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mc:AlternateContent xmlns:mc="http://schemas.openxmlformats.org/markup-compatibility/2006">
    <mc:Choice Requires="x15">
      <x15ac:absPath xmlns:x15ac="http://schemas.microsoft.com/office/spreadsheetml/2010/11/ac" url="C:\Users\07shc\OneDrive\Desktop\New Excell\"/>
    </mc:Choice>
  </mc:AlternateContent>
  <xr:revisionPtr revIDLastSave="0" documentId="13_ncr:1_{C89A25C1-DDEF-420D-AF0C-B90E0CACBABC}" xr6:coauthVersionLast="47" xr6:coauthVersionMax="47" xr10:uidLastSave="{00000000-0000-0000-0000-000000000000}"/>
  <bookViews>
    <workbookView xWindow="-108" yWindow="-108" windowWidth="23256" windowHeight="12456" xr2:uid="{00000000-000D-0000-FFFF-FFFF00000000}"/>
  </bookViews>
  <sheets>
    <sheet name="Roll All" sheetId="23" r:id="rId1"/>
    <sheet name="Front Page" sheetId="1" r:id="rId2"/>
    <sheet name="Character Sheet" sheetId="2" r:id="rId3"/>
    <sheet name="Calculation Sheet" sheetId="3" r:id="rId4"/>
    <sheet name="Full Perk List" sheetId="4" r:id="rId5"/>
    <sheet name="Alternate Forms" sheetId="5" r:id="rId6"/>
    <sheet name="Body &amp; Beauty" sheetId="6" r:id="rId7"/>
    <sheet name="Corruption" sheetId="7" r:id="rId8"/>
    <sheet name="Fertility &amp; Family" sheetId="8" r:id="rId9"/>
    <sheet name="Magic" sheetId="9" r:id="rId10"/>
    <sheet name="Mind &amp; Control" sheetId="10" r:id="rId11"/>
    <sheet name="Pocket Dimension" sheetId="11" r:id="rId12"/>
    <sheet name="Porn &amp; Paraphernalia" sheetId="12" r:id="rId13"/>
    <sheet name="Powers" sheetId="13" r:id="rId14"/>
    <sheet name="Relationships" sheetId="14" r:id="rId15"/>
    <sheet name="Seduction" sheetId="15" r:id="rId16"/>
    <sheet name="Skills" sheetId="16" r:id="rId17"/>
    <sheet name="Transformation" sheetId="17" r:id="rId18"/>
    <sheet name="Update History" sheetId="18" r:id="rId19"/>
    <sheet name="Bibliography" sheetId="19" r:id="rId20"/>
  </sheets>
  <definedNames>
    <definedName name="ROLL_RESULTS">'Roll All'!$E$10:$E$100</definedName>
    <definedName name="ROLL_TOGGLE">'Roll All'!$B$4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7" i="23" l="1"/>
  <c r="E26" i="23"/>
  <c r="E25" i="23"/>
  <c r="E24" i="23"/>
  <c r="E22" i="23"/>
  <c r="E21" i="23"/>
  <c r="E20" i="23"/>
  <c r="E19" i="23"/>
  <c r="E18" i="23"/>
  <c r="E17" i="23"/>
  <c r="E16" i="23"/>
  <c r="E15" i="23"/>
  <c r="E14" i="23"/>
  <c r="E13" i="23"/>
  <c r="E12" i="23"/>
  <c r="E11" i="23"/>
  <c r="E10" i="23"/>
  <c r="XFD1" i="19"/>
  <c r="XFD1" i="18"/>
  <c r="XFD1" i="17"/>
  <c r="XFD1" i="16"/>
  <c r="XFD1" i="15"/>
  <c r="XFD1" i="14"/>
  <c r="XFD1" i="13"/>
  <c r="XFD1" i="12"/>
  <c r="XFD1" i="11"/>
  <c r="XFD1" i="10"/>
  <c r="XFD1" i="9"/>
  <c r="XFD1" i="8"/>
  <c r="XFD1" i="7"/>
  <c r="XFD1" i="6"/>
  <c r="XFD1" i="5"/>
  <c r="XFD1" i="4"/>
  <c r="XFD1" i="3"/>
  <c r="XFD1" i="2"/>
  <c r="XFD1" i="1"/>
  <c r="B2" i="23"/>
  <c r="H101" i="17"/>
  <c r="G101" i="17"/>
  <c r="F101" i="17"/>
  <c r="E101" i="17"/>
  <c r="D101" i="17"/>
  <c r="C101" i="17"/>
  <c r="G100" i="17"/>
  <c r="F100" i="17"/>
  <c r="E100" i="17"/>
  <c r="D100" i="17"/>
  <c r="C100" i="17"/>
  <c r="H99" i="17"/>
  <c r="G99" i="17"/>
  <c r="F99" i="17"/>
  <c r="E99" i="17"/>
  <c r="D99" i="17"/>
  <c r="C99" i="17"/>
  <c r="H98" i="17"/>
  <c r="G98" i="17"/>
  <c r="F98" i="17"/>
  <c r="E98" i="17"/>
  <c r="D98" i="17"/>
  <c r="C98" i="17"/>
  <c r="H97" i="17"/>
  <c r="G97" i="17"/>
  <c r="F97" i="17"/>
  <c r="E97" i="17"/>
  <c r="D97" i="17"/>
  <c r="C97" i="17"/>
  <c r="H96" i="17"/>
  <c r="G96" i="17"/>
  <c r="F96" i="17"/>
  <c r="E96" i="17"/>
  <c r="D96" i="17"/>
  <c r="C96" i="17"/>
  <c r="H95" i="17"/>
  <c r="G95" i="17"/>
  <c r="F95" i="17"/>
  <c r="E95" i="17"/>
  <c r="D95" i="17"/>
  <c r="C95" i="17"/>
  <c r="H94" i="17"/>
  <c r="G94" i="17"/>
  <c r="F94" i="17"/>
  <c r="E94" i="17"/>
  <c r="D94" i="17"/>
  <c r="C94" i="17"/>
  <c r="H93" i="17"/>
  <c r="G93" i="17"/>
  <c r="F93" i="17"/>
  <c r="E93" i="17"/>
  <c r="D93" i="17"/>
  <c r="C93" i="17"/>
  <c r="H92" i="17"/>
  <c r="G92" i="17"/>
  <c r="F92" i="17"/>
  <c r="E92" i="17"/>
  <c r="D92" i="17"/>
  <c r="C92" i="17"/>
  <c r="H91" i="17"/>
  <c r="G91" i="17"/>
  <c r="F91" i="17"/>
  <c r="E91" i="17"/>
  <c r="D91" i="17"/>
  <c r="C91" i="17"/>
  <c r="H90" i="17"/>
  <c r="G90" i="17"/>
  <c r="F90" i="17"/>
  <c r="E90" i="17"/>
  <c r="D90" i="17"/>
  <c r="C90" i="17"/>
  <c r="H89" i="17"/>
  <c r="G89" i="17"/>
  <c r="F89" i="17"/>
  <c r="E89" i="17"/>
  <c r="D89" i="17"/>
  <c r="C89" i="17"/>
  <c r="H88" i="17"/>
  <c r="G88" i="17"/>
  <c r="F88" i="17"/>
  <c r="E88" i="17"/>
  <c r="D88" i="17"/>
  <c r="C88" i="17"/>
  <c r="H87" i="17"/>
  <c r="G87" i="17"/>
  <c r="F87" i="17"/>
  <c r="E87" i="17"/>
  <c r="D87" i="17"/>
  <c r="C87" i="17"/>
  <c r="H86" i="17"/>
  <c r="G86" i="17"/>
  <c r="F86" i="17"/>
  <c r="E86" i="17"/>
  <c r="D86" i="17"/>
  <c r="C86" i="17"/>
  <c r="H85" i="17"/>
  <c r="G85" i="17"/>
  <c r="F85" i="17"/>
  <c r="E85" i="17"/>
  <c r="D85" i="17"/>
  <c r="C85" i="17"/>
  <c r="H84" i="17"/>
  <c r="G84" i="17"/>
  <c r="F84" i="17"/>
  <c r="E84" i="17"/>
  <c r="D84" i="17"/>
  <c r="C84" i="17"/>
  <c r="H83" i="17"/>
  <c r="G83" i="17"/>
  <c r="F83" i="17"/>
  <c r="E83" i="17"/>
  <c r="D83" i="17"/>
  <c r="C83" i="17"/>
  <c r="H82" i="17"/>
  <c r="G82" i="17"/>
  <c r="F82" i="17"/>
  <c r="E82" i="17"/>
  <c r="D82" i="17"/>
  <c r="C82" i="17"/>
  <c r="H81" i="17"/>
  <c r="G81" i="17"/>
  <c r="F81" i="17"/>
  <c r="E81" i="17"/>
  <c r="D81" i="17"/>
  <c r="C81" i="17"/>
  <c r="H80" i="17"/>
  <c r="G80" i="17"/>
  <c r="F80" i="17"/>
  <c r="E80" i="17"/>
  <c r="D80" i="17"/>
  <c r="C80" i="17"/>
  <c r="H79" i="17"/>
  <c r="G79" i="17"/>
  <c r="F79" i="17"/>
  <c r="E79" i="17"/>
  <c r="D79" i="17"/>
  <c r="C79" i="17"/>
  <c r="H78" i="17"/>
  <c r="G78" i="17"/>
  <c r="F78" i="17"/>
  <c r="E78" i="17"/>
  <c r="D78" i="17"/>
  <c r="C78" i="17"/>
  <c r="H77" i="17"/>
  <c r="G77" i="17"/>
  <c r="F77" i="17"/>
  <c r="E77" i="17"/>
  <c r="D77" i="17"/>
  <c r="C77" i="17"/>
  <c r="H76" i="17"/>
  <c r="G76" i="17"/>
  <c r="F76" i="17"/>
  <c r="E76" i="17"/>
  <c r="D76" i="17"/>
  <c r="C76" i="17"/>
  <c r="H75" i="17"/>
  <c r="G75" i="17"/>
  <c r="F75" i="17"/>
  <c r="E75" i="17"/>
  <c r="D75" i="17"/>
  <c r="C75" i="17"/>
  <c r="H74" i="17"/>
  <c r="G74" i="17"/>
  <c r="F74" i="17"/>
  <c r="E74" i="17"/>
  <c r="D74" i="17"/>
  <c r="C74" i="17"/>
  <c r="H73" i="17"/>
  <c r="G73" i="17"/>
  <c r="F73" i="17"/>
  <c r="E73" i="17"/>
  <c r="D73" i="17"/>
  <c r="C73" i="17"/>
  <c r="H72" i="17"/>
  <c r="G72" i="17"/>
  <c r="F72" i="17"/>
  <c r="E72" i="17"/>
  <c r="D72" i="17"/>
  <c r="C72" i="17"/>
  <c r="H71" i="17"/>
  <c r="G71" i="17"/>
  <c r="F71" i="17"/>
  <c r="E71" i="17"/>
  <c r="D71" i="17"/>
  <c r="C71" i="17"/>
  <c r="H70" i="17"/>
  <c r="G70" i="17"/>
  <c r="F70" i="17"/>
  <c r="E70" i="17"/>
  <c r="D70" i="17"/>
  <c r="C70" i="17"/>
  <c r="H69" i="17"/>
  <c r="G69" i="17"/>
  <c r="F69" i="17"/>
  <c r="E69" i="17"/>
  <c r="D69" i="17"/>
  <c r="C69" i="17"/>
  <c r="H68" i="17"/>
  <c r="G68" i="17"/>
  <c r="F68" i="17"/>
  <c r="E68" i="17"/>
  <c r="D68" i="17"/>
  <c r="C68" i="17"/>
  <c r="H67" i="17"/>
  <c r="G67" i="17"/>
  <c r="F67" i="17"/>
  <c r="E67" i="17"/>
  <c r="D67" i="17"/>
  <c r="C67" i="17"/>
  <c r="H66" i="17"/>
  <c r="G66" i="17"/>
  <c r="F66" i="17"/>
  <c r="E66" i="17"/>
  <c r="D66" i="17"/>
  <c r="C66" i="17"/>
  <c r="H65" i="17"/>
  <c r="G65" i="17"/>
  <c r="F65" i="17"/>
  <c r="E65" i="17"/>
  <c r="D65" i="17"/>
  <c r="C65" i="17"/>
  <c r="H64" i="17"/>
  <c r="G64" i="17"/>
  <c r="F64" i="17"/>
  <c r="E64" i="17"/>
  <c r="D64" i="17"/>
  <c r="C64" i="17"/>
  <c r="H63" i="17"/>
  <c r="G63" i="17"/>
  <c r="F63" i="17"/>
  <c r="E63" i="17"/>
  <c r="D63" i="17"/>
  <c r="C63" i="17"/>
  <c r="H62" i="17"/>
  <c r="G62" i="17"/>
  <c r="F62" i="17"/>
  <c r="E62" i="17"/>
  <c r="D62" i="17"/>
  <c r="C62" i="17"/>
  <c r="H61" i="17"/>
  <c r="G61" i="17"/>
  <c r="F61" i="17"/>
  <c r="E61" i="17"/>
  <c r="D61" i="17"/>
  <c r="C61" i="17"/>
  <c r="H60" i="17"/>
  <c r="G60" i="17"/>
  <c r="F60" i="17"/>
  <c r="E60" i="17"/>
  <c r="D60" i="17"/>
  <c r="C60" i="17"/>
  <c r="H59" i="17"/>
  <c r="G59" i="17"/>
  <c r="F59" i="17"/>
  <c r="E59" i="17"/>
  <c r="D59" i="17"/>
  <c r="C59" i="17"/>
  <c r="H58" i="17"/>
  <c r="G58" i="17"/>
  <c r="F58" i="17"/>
  <c r="E58" i="17"/>
  <c r="D58" i="17"/>
  <c r="C58" i="17"/>
  <c r="H57" i="17"/>
  <c r="G57" i="17"/>
  <c r="F57" i="17"/>
  <c r="E57" i="17"/>
  <c r="D57" i="17"/>
  <c r="C57" i="17"/>
  <c r="H56" i="17"/>
  <c r="G56" i="17"/>
  <c r="F56" i="17"/>
  <c r="E56" i="17"/>
  <c r="D56" i="17"/>
  <c r="C56" i="17"/>
  <c r="H55" i="17"/>
  <c r="G55" i="17"/>
  <c r="F55" i="17"/>
  <c r="E55" i="17"/>
  <c r="D55" i="17"/>
  <c r="C55" i="17"/>
  <c r="H54" i="17"/>
  <c r="G54" i="17"/>
  <c r="F54" i="17"/>
  <c r="E54" i="17"/>
  <c r="D54" i="17"/>
  <c r="C54" i="17"/>
  <c r="H53" i="17"/>
  <c r="G53" i="17"/>
  <c r="F53" i="17"/>
  <c r="E53" i="17"/>
  <c r="D53" i="17"/>
  <c r="C53" i="17"/>
  <c r="H52" i="17"/>
  <c r="G52" i="17"/>
  <c r="F52" i="17"/>
  <c r="E52" i="17"/>
  <c r="D52" i="17"/>
  <c r="C52" i="17"/>
  <c r="H51" i="17"/>
  <c r="G51" i="17"/>
  <c r="F51" i="17"/>
  <c r="E51" i="17"/>
  <c r="D51" i="17"/>
  <c r="C51" i="17"/>
  <c r="H50" i="17"/>
  <c r="G50" i="17"/>
  <c r="F50" i="17"/>
  <c r="E50" i="17"/>
  <c r="D50" i="17"/>
  <c r="C50" i="17"/>
  <c r="H49" i="17"/>
  <c r="G49" i="17"/>
  <c r="F49" i="17"/>
  <c r="E49" i="17"/>
  <c r="D49" i="17"/>
  <c r="C49" i="17"/>
  <c r="H48" i="17"/>
  <c r="G48" i="17"/>
  <c r="F48" i="17"/>
  <c r="E48" i="17"/>
  <c r="D48" i="17"/>
  <c r="C48" i="17"/>
  <c r="H47" i="17"/>
  <c r="G47" i="17"/>
  <c r="F47" i="17"/>
  <c r="E47" i="17"/>
  <c r="D47" i="17"/>
  <c r="C47" i="17"/>
  <c r="H46" i="17"/>
  <c r="G46" i="17"/>
  <c r="F46" i="17"/>
  <c r="E46" i="17"/>
  <c r="D46" i="17"/>
  <c r="C46" i="17"/>
  <c r="H45" i="17"/>
  <c r="G45" i="17"/>
  <c r="F45" i="17"/>
  <c r="E45" i="17"/>
  <c r="D45" i="17"/>
  <c r="C45" i="17"/>
  <c r="H44" i="17"/>
  <c r="G44" i="17"/>
  <c r="F44" i="17"/>
  <c r="E44" i="17"/>
  <c r="D44" i="17"/>
  <c r="C44" i="17"/>
  <c r="H43" i="17"/>
  <c r="G43" i="17"/>
  <c r="F43" i="17"/>
  <c r="E43" i="17"/>
  <c r="D43" i="17"/>
  <c r="C43" i="17"/>
  <c r="H42" i="17"/>
  <c r="G42" i="17"/>
  <c r="F42" i="17"/>
  <c r="E42" i="17"/>
  <c r="D42" i="17"/>
  <c r="C42" i="17"/>
  <c r="H41" i="17"/>
  <c r="G41" i="17"/>
  <c r="F41" i="17"/>
  <c r="E41" i="17"/>
  <c r="D41" i="17"/>
  <c r="C41" i="17"/>
  <c r="H40" i="17"/>
  <c r="G40" i="17"/>
  <c r="F40" i="17"/>
  <c r="E40" i="17"/>
  <c r="D40" i="17"/>
  <c r="C40" i="17"/>
  <c r="H39" i="17"/>
  <c r="G39" i="17"/>
  <c r="F39" i="17"/>
  <c r="E39" i="17"/>
  <c r="D39" i="17"/>
  <c r="C39" i="17"/>
  <c r="H38" i="17"/>
  <c r="G38" i="17"/>
  <c r="F38" i="17"/>
  <c r="E38" i="17"/>
  <c r="D38" i="17"/>
  <c r="C38" i="17"/>
  <c r="H37" i="17"/>
  <c r="G37" i="17"/>
  <c r="F37" i="17"/>
  <c r="E37" i="17"/>
  <c r="D37" i="17"/>
  <c r="C37" i="17"/>
  <c r="H36" i="17"/>
  <c r="G36" i="17"/>
  <c r="F36" i="17"/>
  <c r="E36" i="17"/>
  <c r="D36" i="17"/>
  <c r="C36" i="17"/>
  <c r="H35" i="17"/>
  <c r="G35" i="17"/>
  <c r="F35" i="17"/>
  <c r="E35" i="17"/>
  <c r="D35" i="17"/>
  <c r="C35" i="17"/>
  <c r="H34" i="17"/>
  <c r="G34" i="17"/>
  <c r="F34" i="17"/>
  <c r="E34" i="17"/>
  <c r="D34" i="17"/>
  <c r="C34" i="17"/>
  <c r="H33" i="17"/>
  <c r="G33" i="17"/>
  <c r="F33" i="17"/>
  <c r="E33" i="17"/>
  <c r="D33" i="17"/>
  <c r="C33" i="17"/>
  <c r="H32" i="17"/>
  <c r="G32" i="17"/>
  <c r="F32" i="17"/>
  <c r="E32" i="17"/>
  <c r="D32" i="17"/>
  <c r="C32" i="17"/>
  <c r="H31" i="17"/>
  <c r="G31" i="17"/>
  <c r="F31" i="17"/>
  <c r="E31" i="17"/>
  <c r="D31" i="17"/>
  <c r="C31" i="17"/>
  <c r="H30" i="17"/>
  <c r="G30" i="17"/>
  <c r="F30" i="17"/>
  <c r="E30" i="17"/>
  <c r="D30" i="17"/>
  <c r="C30" i="17"/>
  <c r="H29" i="17"/>
  <c r="G29" i="17"/>
  <c r="F29" i="17"/>
  <c r="E29" i="17"/>
  <c r="D29" i="17"/>
  <c r="C29" i="17"/>
  <c r="H28" i="17"/>
  <c r="G28" i="17"/>
  <c r="F28" i="17"/>
  <c r="E28" i="17"/>
  <c r="D28" i="17"/>
  <c r="C28" i="17"/>
  <c r="H27" i="17"/>
  <c r="G27" i="17"/>
  <c r="F27" i="17"/>
  <c r="E27" i="17"/>
  <c r="D27" i="17"/>
  <c r="C27" i="17"/>
  <c r="H26" i="17"/>
  <c r="G26" i="17"/>
  <c r="F26" i="17"/>
  <c r="E26" i="17"/>
  <c r="D26" i="17"/>
  <c r="C26" i="17"/>
  <c r="H25" i="17"/>
  <c r="G25" i="17"/>
  <c r="F25" i="17"/>
  <c r="E25" i="17"/>
  <c r="D25" i="17"/>
  <c r="C25" i="17"/>
  <c r="H24" i="17"/>
  <c r="G24" i="17"/>
  <c r="F24" i="17"/>
  <c r="E24" i="17"/>
  <c r="D24" i="17"/>
  <c r="C24" i="17"/>
  <c r="H23" i="17"/>
  <c r="G23" i="17"/>
  <c r="F23" i="17"/>
  <c r="E23" i="17"/>
  <c r="D23" i="17"/>
  <c r="C23" i="17"/>
  <c r="H22" i="17"/>
  <c r="G22" i="17"/>
  <c r="F22" i="17"/>
  <c r="E22" i="17"/>
  <c r="D22" i="17"/>
  <c r="C22" i="17"/>
  <c r="H21" i="17"/>
  <c r="G21" i="17"/>
  <c r="F21" i="17"/>
  <c r="E21" i="17"/>
  <c r="D21" i="17"/>
  <c r="C21" i="17"/>
  <c r="H20" i="17"/>
  <c r="G20" i="17"/>
  <c r="F20" i="17"/>
  <c r="E20" i="17"/>
  <c r="D20" i="17"/>
  <c r="C20" i="17"/>
  <c r="H19" i="17"/>
  <c r="G19" i="17"/>
  <c r="F19" i="17"/>
  <c r="E19" i="17"/>
  <c r="D19" i="17"/>
  <c r="C19" i="17"/>
  <c r="H18" i="17"/>
  <c r="G18" i="17"/>
  <c r="F18" i="17"/>
  <c r="E18" i="17"/>
  <c r="D18" i="17"/>
  <c r="C18" i="17"/>
  <c r="H17" i="17"/>
  <c r="G17" i="17"/>
  <c r="F17" i="17"/>
  <c r="E17" i="17"/>
  <c r="D17" i="17"/>
  <c r="C17" i="17"/>
  <c r="H16" i="17"/>
  <c r="G16" i="17"/>
  <c r="F16" i="17"/>
  <c r="E16" i="17"/>
  <c r="D16" i="17"/>
  <c r="C16" i="17"/>
  <c r="H15" i="17"/>
  <c r="G15" i="17"/>
  <c r="F15" i="17"/>
  <c r="E15" i="17"/>
  <c r="D15" i="17"/>
  <c r="C15" i="17"/>
  <c r="H14" i="17"/>
  <c r="G14" i="17"/>
  <c r="F14" i="17"/>
  <c r="E14" i="17"/>
  <c r="D14" i="17"/>
  <c r="C14" i="17"/>
  <c r="H13" i="17"/>
  <c r="G13" i="17"/>
  <c r="F13" i="17"/>
  <c r="E13" i="17"/>
  <c r="D13" i="17"/>
  <c r="C13" i="17"/>
  <c r="H12" i="17"/>
  <c r="G12" i="17"/>
  <c r="F12" i="17"/>
  <c r="E12" i="17"/>
  <c r="D12" i="17"/>
  <c r="C12" i="17"/>
  <c r="H11" i="17"/>
  <c r="G11" i="17"/>
  <c r="F11" i="17"/>
  <c r="E11" i="17"/>
  <c r="D11" i="17"/>
  <c r="C11" i="17"/>
  <c r="H10" i="17"/>
  <c r="G10" i="17"/>
  <c r="F10" i="17"/>
  <c r="E10" i="17"/>
  <c r="D10" i="17"/>
  <c r="C10" i="17"/>
  <c r="H9" i="17"/>
  <c r="G9" i="17"/>
  <c r="F9" i="17"/>
  <c r="E9" i="17"/>
  <c r="D9" i="17"/>
  <c r="C9" i="17"/>
  <c r="H8" i="17"/>
  <c r="G8" i="17"/>
  <c r="F8" i="17"/>
  <c r="E8" i="17"/>
  <c r="D8" i="17"/>
  <c r="C8" i="17"/>
  <c r="H7" i="17"/>
  <c r="G7" i="17"/>
  <c r="F7" i="17"/>
  <c r="E7" i="17"/>
  <c r="D7" i="17"/>
  <c r="C7" i="17"/>
  <c r="H6" i="17"/>
  <c r="G6" i="17"/>
  <c r="F6" i="17"/>
  <c r="E6" i="17"/>
  <c r="D6" i="17"/>
  <c r="C6" i="17"/>
  <c r="H5" i="17"/>
  <c r="G5" i="17"/>
  <c r="F5" i="17"/>
  <c r="E5" i="17"/>
  <c r="D5" i="17"/>
  <c r="C5" i="17"/>
  <c r="B91" i="17"/>
  <c r="B75" i="17"/>
  <c r="B59" i="17"/>
  <c r="B43" i="17"/>
  <c r="B27" i="17"/>
  <c r="B11" i="17"/>
  <c r="B4" i="17" a="1"/>
  <c r="B88" i="17" s="1"/>
  <c r="G190" i="16"/>
  <c r="F190" i="16"/>
  <c r="E190" i="16"/>
  <c r="D190" i="16"/>
  <c r="C190" i="16"/>
  <c r="H189" i="16"/>
  <c r="G189" i="16"/>
  <c r="F189" i="16"/>
  <c r="E189" i="16"/>
  <c r="D189" i="16"/>
  <c r="C189" i="16"/>
  <c r="H188" i="16"/>
  <c r="G188" i="16"/>
  <c r="F188" i="16"/>
  <c r="E188" i="16"/>
  <c r="D188" i="16"/>
  <c r="C188" i="16"/>
  <c r="H187" i="16"/>
  <c r="G187" i="16"/>
  <c r="F187" i="16"/>
  <c r="E187" i="16"/>
  <c r="D187" i="16"/>
  <c r="C187" i="16"/>
  <c r="H186" i="16"/>
  <c r="G186" i="16"/>
  <c r="F186" i="16"/>
  <c r="E186" i="16"/>
  <c r="D186" i="16"/>
  <c r="C186" i="16"/>
  <c r="H185" i="16"/>
  <c r="G185" i="16"/>
  <c r="F185" i="16"/>
  <c r="E185" i="16"/>
  <c r="D185" i="16"/>
  <c r="C185" i="16"/>
  <c r="H184" i="16"/>
  <c r="G184" i="16"/>
  <c r="F184" i="16"/>
  <c r="E184" i="16"/>
  <c r="D184" i="16"/>
  <c r="C184" i="16"/>
  <c r="H183" i="16"/>
  <c r="G183" i="16"/>
  <c r="F183" i="16"/>
  <c r="E183" i="16"/>
  <c r="D183" i="16"/>
  <c r="C183" i="16"/>
  <c r="H182" i="16"/>
  <c r="G182" i="16"/>
  <c r="F182" i="16"/>
  <c r="E182" i="16"/>
  <c r="D182" i="16"/>
  <c r="C182" i="16"/>
  <c r="H181" i="16"/>
  <c r="G181" i="16"/>
  <c r="F181" i="16"/>
  <c r="E181" i="16"/>
  <c r="D181" i="16"/>
  <c r="C181" i="16"/>
  <c r="H180" i="16"/>
  <c r="G180" i="16"/>
  <c r="F180" i="16"/>
  <c r="E180" i="16"/>
  <c r="D180" i="16"/>
  <c r="C180" i="16"/>
  <c r="H179" i="16"/>
  <c r="G179" i="16"/>
  <c r="F179" i="16"/>
  <c r="E179" i="16"/>
  <c r="D179" i="16"/>
  <c r="C179" i="16"/>
  <c r="H178" i="16"/>
  <c r="G178" i="16"/>
  <c r="F178" i="16"/>
  <c r="E178" i="16"/>
  <c r="D178" i="16"/>
  <c r="C178" i="16"/>
  <c r="H177" i="16"/>
  <c r="G177" i="16"/>
  <c r="F177" i="16"/>
  <c r="E177" i="16"/>
  <c r="D177" i="16"/>
  <c r="C177" i="16"/>
  <c r="H176" i="16"/>
  <c r="G176" i="16"/>
  <c r="F176" i="16"/>
  <c r="E176" i="16"/>
  <c r="D176" i="16"/>
  <c r="C176" i="16"/>
  <c r="H175" i="16"/>
  <c r="G175" i="16"/>
  <c r="F175" i="16"/>
  <c r="E175" i="16"/>
  <c r="D175" i="16"/>
  <c r="C175" i="16"/>
  <c r="H174" i="16"/>
  <c r="G174" i="16"/>
  <c r="F174" i="16"/>
  <c r="E174" i="16"/>
  <c r="D174" i="16"/>
  <c r="C174" i="16"/>
  <c r="H173" i="16"/>
  <c r="G173" i="16"/>
  <c r="F173" i="16"/>
  <c r="E173" i="16"/>
  <c r="D173" i="16"/>
  <c r="C173" i="16"/>
  <c r="H172" i="16"/>
  <c r="G172" i="16"/>
  <c r="F172" i="16"/>
  <c r="E172" i="16"/>
  <c r="D172" i="16"/>
  <c r="C172" i="16"/>
  <c r="H171" i="16"/>
  <c r="G171" i="16"/>
  <c r="F171" i="16"/>
  <c r="E171" i="16"/>
  <c r="D171" i="16"/>
  <c r="C171" i="16"/>
  <c r="H170" i="16"/>
  <c r="G170" i="16"/>
  <c r="F170" i="16"/>
  <c r="E170" i="16"/>
  <c r="D170" i="16"/>
  <c r="C170" i="16"/>
  <c r="H169" i="16"/>
  <c r="G169" i="16"/>
  <c r="F169" i="16"/>
  <c r="E169" i="16"/>
  <c r="D169" i="16"/>
  <c r="C169" i="16"/>
  <c r="H168" i="16"/>
  <c r="G168" i="16"/>
  <c r="F168" i="16"/>
  <c r="E168" i="16"/>
  <c r="D168" i="16"/>
  <c r="C168" i="16"/>
  <c r="H167" i="16"/>
  <c r="G167" i="16"/>
  <c r="F167" i="16"/>
  <c r="E167" i="16"/>
  <c r="D167" i="16"/>
  <c r="C167" i="16"/>
  <c r="H166" i="16"/>
  <c r="G166" i="16"/>
  <c r="F166" i="16"/>
  <c r="E166" i="16"/>
  <c r="D166" i="16"/>
  <c r="C166" i="16"/>
  <c r="H165" i="16"/>
  <c r="G165" i="16"/>
  <c r="F165" i="16"/>
  <c r="E165" i="16"/>
  <c r="D165" i="16"/>
  <c r="C165" i="16"/>
  <c r="H164" i="16"/>
  <c r="G164" i="16"/>
  <c r="F164" i="16"/>
  <c r="E164" i="16"/>
  <c r="D164" i="16"/>
  <c r="C164" i="16"/>
  <c r="H163" i="16"/>
  <c r="G163" i="16"/>
  <c r="F163" i="16"/>
  <c r="E163" i="16"/>
  <c r="D163" i="16"/>
  <c r="C163" i="16"/>
  <c r="H162" i="16"/>
  <c r="G162" i="16"/>
  <c r="F162" i="16"/>
  <c r="E162" i="16"/>
  <c r="D162" i="16"/>
  <c r="C162" i="16"/>
  <c r="H161" i="16"/>
  <c r="G161" i="16"/>
  <c r="F161" i="16"/>
  <c r="E161" i="16"/>
  <c r="D161" i="16"/>
  <c r="C161" i="16"/>
  <c r="H160" i="16"/>
  <c r="G160" i="16"/>
  <c r="F160" i="16"/>
  <c r="E160" i="16"/>
  <c r="D160" i="16"/>
  <c r="C160" i="16"/>
  <c r="H159" i="16"/>
  <c r="G159" i="16"/>
  <c r="F159" i="16"/>
  <c r="E159" i="16"/>
  <c r="D159" i="16"/>
  <c r="C159" i="16"/>
  <c r="H158" i="16"/>
  <c r="G158" i="16"/>
  <c r="F158" i="16"/>
  <c r="E158" i="16"/>
  <c r="D158" i="16"/>
  <c r="C158" i="16"/>
  <c r="H157" i="16"/>
  <c r="G157" i="16"/>
  <c r="F157" i="16"/>
  <c r="E157" i="16"/>
  <c r="D157" i="16"/>
  <c r="C157" i="16"/>
  <c r="H156" i="16"/>
  <c r="G156" i="16"/>
  <c r="F156" i="16"/>
  <c r="E156" i="16"/>
  <c r="D156" i="16"/>
  <c r="C156" i="16"/>
  <c r="H155" i="16"/>
  <c r="G155" i="16"/>
  <c r="F155" i="16"/>
  <c r="E155" i="16"/>
  <c r="D155" i="16"/>
  <c r="C155" i="16"/>
  <c r="H154" i="16"/>
  <c r="G154" i="16"/>
  <c r="F154" i="16"/>
  <c r="E154" i="16"/>
  <c r="D154" i="16"/>
  <c r="C154" i="16"/>
  <c r="H153" i="16"/>
  <c r="G153" i="16"/>
  <c r="F153" i="16"/>
  <c r="E153" i="16"/>
  <c r="D153" i="16"/>
  <c r="C153" i="16"/>
  <c r="H152" i="16"/>
  <c r="G152" i="16"/>
  <c r="F152" i="16"/>
  <c r="E152" i="16"/>
  <c r="D152" i="16"/>
  <c r="C152" i="16"/>
  <c r="H151" i="16"/>
  <c r="G151" i="16"/>
  <c r="F151" i="16"/>
  <c r="E151" i="16"/>
  <c r="D151" i="16"/>
  <c r="C151" i="16"/>
  <c r="H150" i="16"/>
  <c r="G150" i="16"/>
  <c r="F150" i="16"/>
  <c r="E150" i="16"/>
  <c r="D150" i="16"/>
  <c r="C150" i="16"/>
  <c r="H149" i="16"/>
  <c r="G149" i="16"/>
  <c r="F149" i="16"/>
  <c r="E149" i="16"/>
  <c r="D149" i="16"/>
  <c r="C149" i="16"/>
  <c r="H148" i="16"/>
  <c r="G148" i="16"/>
  <c r="F148" i="16"/>
  <c r="E148" i="16"/>
  <c r="D148" i="16"/>
  <c r="C148" i="16"/>
  <c r="H147" i="16"/>
  <c r="G147" i="16"/>
  <c r="F147" i="16"/>
  <c r="E147" i="16"/>
  <c r="D147" i="16"/>
  <c r="C147" i="16"/>
  <c r="H146" i="16"/>
  <c r="G146" i="16"/>
  <c r="F146" i="16"/>
  <c r="E146" i="16"/>
  <c r="D146" i="16"/>
  <c r="C146" i="16"/>
  <c r="H145" i="16"/>
  <c r="G145" i="16"/>
  <c r="F145" i="16"/>
  <c r="E145" i="16"/>
  <c r="D145" i="16"/>
  <c r="C145" i="16"/>
  <c r="H144" i="16"/>
  <c r="G144" i="16"/>
  <c r="F144" i="16"/>
  <c r="E144" i="16"/>
  <c r="D144" i="16"/>
  <c r="C144" i="16"/>
  <c r="H143" i="16"/>
  <c r="G143" i="16"/>
  <c r="F143" i="16"/>
  <c r="E143" i="16"/>
  <c r="D143" i="16"/>
  <c r="C143" i="16"/>
  <c r="H142" i="16"/>
  <c r="G142" i="16"/>
  <c r="F142" i="16"/>
  <c r="E142" i="16"/>
  <c r="D142" i="16"/>
  <c r="C142" i="16"/>
  <c r="H141" i="16"/>
  <c r="G141" i="16"/>
  <c r="F141" i="16"/>
  <c r="E141" i="16"/>
  <c r="D141" i="16"/>
  <c r="C141" i="16"/>
  <c r="H140" i="16"/>
  <c r="G140" i="16"/>
  <c r="F140" i="16"/>
  <c r="E140" i="16"/>
  <c r="D140" i="16"/>
  <c r="C140" i="16"/>
  <c r="H139" i="16"/>
  <c r="G139" i="16"/>
  <c r="F139" i="16"/>
  <c r="E139" i="16"/>
  <c r="D139" i="16"/>
  <c r="C139" i="16"/>
  <c r="H138" i="16"/>
  <c r="G138" i="16"/>
  <c r="F138" i="16"/>
  <c r="E138" i="16"/>
  <c r="D138" i="16"/>
  <c r="C138" i="16"/>
  <c r="H137" i="16"/>
  <c r="G137" i="16"/>
  <c r="F137" i="16"/>
  <c r="E137" i="16"/>
  <c r="D137" i="16"/>
  <c r="C137" i="16"/>
  <c r="H136" i="16"/>
  <c r="G136" i="16"/>
  <c r="F136" i="16"/>
  <c r="E136" i="16"/>
  <c r="D136" i="16"/>
  <c r="C136" i="16"/>
  <c r="H135" i="16"/>
  <c r="G135" i="16"/>
  <c r="F135" i="16"/>
  <c r="E135" i="16"/>
  <c r="D135" i="16"/>
  <c r="C135" i="16"/>
  <c r="H134" i="16"/>
  <c r="G134" i="16"/>
  <c r="F134" i="16"/>
  <c r="E134" i="16"/>
  <c r="D134" i="16"/>
  <c r="C134" i="16"/>
  <c r="H133" i="16"/>
  <c r="G133" i="16"/>
  <c r="F133" i="16"/>
  <c r="E133" i="16"/>
  <c r="D133" i="16"/>
  <c r="C133" i="16"/>
  <c r="H132" i="16"/>
  <c r="G132" i="16"/>
  <c r="F132" i="16"/>
  <c r="E132" i="16"/>
  <c r="D132" i="16"/>
  <c r="C132" i="16"/>
  <c r="H131" i="16"/>
  <c r="G131" i="16"/>
  <c r="F131" i="16"/>
  <c r="E131" i="16"/>
  <c r="D131" i="16"/>
  <c r="C131" i="16"/>
  <c r="H130" i="16"/>
  <c r="G130" i="16"/>
  <c r="F130" i="16"/>
  <c r="E130" i="16"/>
  <c r="D130" i="16"/>
  <c r="C130" i="16"/>
  <c r="H129" i="16"/>
  <c r="G129" i="16"/>
  <c r="F129" i="16"/>
  <c r="E129" i="16"/>
  <c r="D129" i="16"/>
  <c r="C129" i="16"/>
  <c r="H128" i="16"/>
  <c r="G128" i="16"/>
  <c r="F128" i="16"/>
  <c r="E128" i="16"/>
  <c r="D128" i="16"/>
  <c r="C128" i="16"/>
  <c r="H127" i="16"/>
  <c r="G127" i="16"/>
  <c r="F127" i="16"/>
  <c r="E127" i="16"/>
  <c r="D127" i="16"/>
  <c r="C127" i="16"/>
  <c r="H126" i="16"/>
  <c r="G126" i="16"/>
  <c r="F126" i="16"/>
  <c r="E126" i="16"/>
  <c r="D126" i="16"/>
  <c r="C126" i="16"/>
  <c r="H125" i="16"/>
  <c r="G125" i="16"/>
  <c r="F125" i="16"/>
  <c r="E125" i="16"/>
  <c r="D125" i="16"/>
  <c r="C125" i="16"/>
  <c r="H124" i="16"/>
  <c r="G124" i="16"/>
  <c r="F124" i="16"/>
  <c r="E124" i="16"/>
  <c r="D124" i="16"/>
  <c r="C124" i="16"/>
  <c r="H123" i="16"/>
  <c r="G123" i="16"/>
  <c r="F123" i="16"/>
  <c r="E123" i="16"/>
  <c r="D123" i="16"/>
  <c r="C123" i="16"/>
  <c r="H122" i="16"/>
  <c r="G122" i="16"/>
  <c r="F122" i="16"/>
  <c r="E122" i="16"/>
  <c r="D122" i="16"/>
  <c r="C122" i="16"/>
  <c r="H121" i="16"/>
  <c r="G121" i="16"/>
  <c r="F121" i="16"/>
  <c r="E121" i="16"/>
  <c r="D121" i="16"/>
  <c r="C121" i="16"/>
  <c r="H120" i="16"/>
  <c r="G120" i="16"/>
  <c r="F120" i="16"/>
  <c r="E120" i="16"/>
  <c r="D120" i="16"/>
  <c r="C120" i="16"/>
  <c r="H119" i="16"/>
  <c r="G119" i="16"/>
  <c r="F119" i="16"/>
  <c r="E119" i="16"/>
  <c r="D119" i="16"/>
  <c r="C119" i="16"/>
  <c r="H118" i="16"/>
  <c r="G118" i="16"/>
  <c r="F118" i="16"/>
  <c r="E118" i="16"/>
  <c r="D118" i="16"/>
  <c r="C118" i="16"/>
  <c r="H117" i="16"/>
  <c r="G117" i="16"/>
  <c r="F117" i="16"/>
  <c r="E117" i="16"/>
  <c r="D117" i="16"/>
  <c r="C117" i="16"/>
  <c r="H116" i="16"/>
  <c r="G116" i="16"/>
  <c r="F116" i="16"/>
  <c r="E116" i="16"/>
  <c r="D116" i="16"/>
  <c r="C116" i="16"/>
  <c r="H115" i="16"/>
  <c r="G115" i="16"/>
  <c r="F115" i="16"/>
  <c r="E115" i="16"/>
  <c r="D115" i="16"/>
  <c r="C115" i="16"/>
  <c r="H114" i="16"/>
  <c r="G114" i="16"/>
  <c r="F114" i="16"/>
  <c r="E114" i="16"/>
  <c r="D114" i="16"/>
  <c r="C114" i="16"/>
  <c r="H113" i="16"/>
  <c r="G113" i="16"/>
  <c r="F113" i="16"/>
  <c r="E113" i="16"/>
  <c r="D113" i="16"/>
  <c r="C113" i="16"/>
  <c r="H112" i="16"/>
  <c r="G112" i="16"/>
  <c r="F112" i="16"/>
  <c r="E112" i="16"/>
  <c r="D112" i="16"/>
  <c r="C112" i="16"/>
  <c r="H111" i="16"/>
  <c r="G111" i="16"/>
  <c r="F111" i="16"/>
  <c r="E111" i="16"/>
  <c r="D111" i="16"/>
  <c r="C111" i="16"/>
  <c r="H110" i="16"/>
  <c r="G110" i="16"/>
  <c r="F110" i="16"/>
  <c r="E110" i="16"/>
  <c r="D110" i="16"/>
  <c r="C110" i="16"/>
  <c r="H109" i="16"/>
  <c r="G109" i="16"/>
  <c r="F109" i="16"/>
  <c r="E109" i="16"/>
  <c r="D109" i="16"/>
  <c r="C109" i="16"/>
  <c r="H108" i="16"/>
  <c r="G108" i="16"/>
  <c r="F108" i="16"/>
  <c r="E108" i="16"/>
  <c r="D108" i="16"/>
  <c r="C108" i="16"/>
  <c r="H107" i="16"/>
  <c r="G107" i="16"/>
  <c r="F107" i="16"/>
  <c r="E107" i="16"/>
  <c r="D107" i="16"/>
  <c r="C107" i="16"/>
  <c r="H106" i="16"/>
  <c r="G106" i="16"/>
  <c r="F106" i="16"/>
  <c r="E106" i="16"/>
  <c r="D106" i="16"/>
  <c r="C106" i="16"/>
  <c r="H105" i="16"/>
  <c r="G105" i="16"/>
  <c r="F105" i="16"/>
  <c r="E105" i="16"/>
  <c r="D105" i="16"/>
  <c r="C105" i="16"/>
  <c r="H104" i="16"/>
  <c r="G104" i="16"/>
  <c r="F104" i="16"/>
  <c r="E104" i="16"/>
  <c r="D104" i="16"/>
  <c r="C104" i="16"/>
  <c r="H103" i="16"/>
  <c r="G103" i="16"/>
  <c r="F103" i="16"/>
  <c r="E103" i="16"/>
  <c r="D103" i="16"/>
  <c r="C103" i="16"/>
  <c r="H102" i="16"/>
  <c r="G102" i="16"/>
  <c r="F102" i="16"/>
  <c r="E102" i="16"/>
  <c r="D102" i="16"/>
  <c r="C102" i="16"/>
  <c r="H101" i="16"/>
  <c r="G101" i="16"/>
  <c r="F101" i="16"/>
  <c r="E101" i="16"/>
  <c r="D101" i="16"/>
  <c r="C101" i="16"/>
  <c r="H100" i="16"/>
  <c r="G100" i="16"/>
  <c r="F100" i="16"/>
  <c r="E100" i="16"/>
  <c r="D100" i="16"/>
  <c r="C100" i="16"/>
  <c r="H99" i="16"/>
  <c r="G99" i="16"/>
  <c r="F99" i="16"/>
  <c r="E99" i="16"/>
  <c r="D99" i="16"/>
  <c r="C99" i="16"/>
  <c r="H98" i="16"/>
  <c r="G98" i="16"/>
  <c r="F98" i="16"/>
  <c r="E98" i="16"/>
  <c r="D98" i="16"/>
  <c r="C98" i="16"/>
  <c r="H97" i="16"/>
  <c r="G97" i="16"/>
  <c r="F97" i="16"/>
  <c r="E97" i="16"/>
  <c r="D97" i="16"/>
  <c r="C97" i="16"/>
  <c r="H96" i="16"/>
  <c r="G96" i="16"/>
  <c r="F96" i="16"/>
  <c r="E96" i="16"/>
  <c r="D96" i="16"/>
  <c r="C96" i="16"/>
  <c r="H95" i="16"/>
  <c r="G95" i="16"/>
  <c r="F95" i="16"/>
  <c r="E95" i="16"/>
  <c r="D95" i="16"/>
  <c r="C95" i="16"/>
  <c r="H94" i="16"/>
  <c r="G94" i="16"/>
  <c r="F94" i="16"/>
  <c r="E94" i="16"/>
  <c r="D94" i="16"/>
  <c r="C94" i="16"/>
  <c r="H93" i="16"/>
  <c r="G93" i="16"/>
  <c r="F93" i="16"/>
  <c r="E93" i="16"/>
  <c r="D93" i="16"/>
  <c r="C93" i="16"/>
  <c r="H92" i="16"/>
  <c r="G92" i="16"/>
  <c r="F92" i="16"/>
  <c r="E92" i="16"/>
  <c r="D92" i="16"/>
  <c r="C92" i="16"/>
  <c r="H91" i="16"/>
  <c r="G91" i="16"/>
  <c r="F91" i="16"/>
  <c r="E91" i="16"/>
  <c r="D91" i="16"/>
  <c r="C91" i="16"/>
  <c r="H90" i="16"/>
  <c r="G90" i="16"/>
  <c r="F90" i="16"/>
  <c r="E90" i="16"/>
  <c r="D90" i="16"/>
  <c r="C90" i="16"/>
  <c r="H89" i="16"/>
  <c r="G89" i="16"/>
  <c r="F89" i="16"/>
  <c r="E89" i="16"/>
  <c r="D89" i="16"/>
  <c r="C89" i="16"/>
  <c r="H88" i="16"/>
  <c r="G88" i="16"/>
  <c r="F88" i="16"/>
  <c r="E88" i="16"/>
  <c r="D88" i="16"/>
  <c r="C88" i="16"/>
  <c r="H87" i="16"/>
  <c r="G87" i="16"/>
  <c r="F87" i="16"/>
  <c r="E87" i="16"/>
  <c r="D87" i="16"/>
  <c r="C87" i="16"/>
  <c r="H86" i="16"/>
  <c r="G86" i="16"/>
  <c r="F86" i="16"/>
  <c r="E86" i="16"/>
  <c r="D86" i="16"/>
  <c r="C86" i="16"/>
  <c r="H85" i="16"/>
  <c r="G85" i="16"/>
  <c r="F85" i="16"/>
  <c r="E85" i="16"/>
  <c r="D85" i="16"/>
  <c r="C85" i="16"/>
  <c r="H84" i="16"/>
  <c r="G84" i="16"/>
  <c r="F84" i="16"/>
  <c r="E84" i="16"/>
  <c r="D84" i="16"/>
  <c r="C84" i="16"/>
  <c r="H83" i="16"/>
  <c r="G83" i="16"/>
  <c r="F83" i="16"/>
  <c r="E83" i="16"/>
  <c r="D83" i="16"/>
  <c r="C83" i="16"/>
  <c r="H82" i="16"/>
  <c r="G82" i="16"/>
  <c r="F82" i="16"/>
  <c r="E82" i="16"/>
  <c r="D82" i="16"/>
  <c r="C82" i="16"/>
  <c r="H81" i="16"/>
  <c r="G81" i="16"/>
  <c r="F81" i="16"/>
  <c r="E81" i="16"/>
  <c r="D81" i="16"/>
  <c r="C81" i="16"/>
  <c r="H80" i="16"/>
  <c r="G80" i="16"/>
  <c r="F80" i="16"/>
  <c r="E80" i="16"/>
  <c r="D80" i="16"/>
  <c r="C80" i="16"/>
  <c r="H79" i="16"/>
  <c r="G79" i="16"/>
  <c r="F79" i="16"/>
  <c r="E79" i="16"/>
  <c r="D79" i="16"/>
  <c r="C79" i="16"/>
  <c r="H78" i="16"/>
  <c r="G78" i="16"/>
  <c r="F78" i="16"/>
  <c r="E78" i="16"/>
  <c r="D78" i="16"/>
  <c r="C78" i="16"/>
  <c r="H77" i="16"/>
  <c r="G77" i="16"/>
  <c r="F77" i="16"/>
  <c r="E77" i="16"/>
  <c r="D77" i="16"/>
  <c r="C77" i="16"/>
  <c r="H76" i="16"/>
  <c r="G76" i="16"/>
  <c r="F76" i="16"/>
  <c r="E76" i="16"/>
  <c r="D76" i="16"/>
  <c r="C76" i="16"/>
  <c r="H75" i="16"/>
  <c r="G75" i="16"/>
  <c r="F75" i="16"/>
  <c r="E75" i="16"/>
  <c r="D75" i="16"/>
  <c r="C75" i="16"/>
  <c r="H74" i="16"/>
  <c r="G74" i="16"/>
  <c r="F74" i="16"/>
  <c r="E74" i="16"/>
  <c r="D74" i="16"/>
  <c r="C74" i="16"/>
  <c r="H73" i="16"/>
  <c r="G73" i="16"/>
  <c r="F73" i="16"/>
  <c r="E73" i="16"/>
  <c r="D73" i="16"/>
  <c r="C73" i="16"/>
  <c r="H72" i="16"/>
  <c r="G72" i="16"/>
  <c r="F72" i="16"/>
  <c r="E72" i="16"/>
  <c r="D72" i="16"/>
  <c r="C72" i="16"/>
  <c r="H71" i="16"/>
  <c r="G71" i="16"/>
  <c r="F71" i="16"/>
  <c r="E71" i="16"/>
  <c r="D71" i="16"/>
  <c r="C71" i="16"/>
  <c r="H70" i="16"/>
  <c r="G70" i="16"/>
  <c r="F70" i="16"/>
  <c r="E70" i="16"/>
  <c r="D70" i="16"/>
  <c r="C70" i="16"/>
  <c r="H69" i="16"/>
  <c r="G69" i="16"/>
  <c r="F69" i="16"/>
  <c r="E69" i="16"/>
  <c r="D69" i="16"/>
  <c r="C69" i="16"/>
  <c r="H68" i="16"/>
  <c r="G68" i="16"/>
  <c r="F68" i="16"/>
  <c r="E68" i="16"/>
  <c r="D68" i="16"/>
  <c r="C68" i="16"/>
  <c r="H67" i="16"/>
  <c r="G67" i="16"/>
  <c r="F67" i="16"/>
  <c r="E67" i="16"/>
  <c r="D67" i="16"/>
  <c r="C67" i="16"/>
  <c r="H66" i="16"/>
  <c r="G66" i="16"/>
  <c r="F66" i="16"/>
  <c r="E66" i="16"/>
  <c r="D66" i="16"/>
  <c r="C66" i="16"/>
  <c r="H65" i="16"/>
  <c r="G65" i="16"/>
  <c r="F65" i="16"/>
  <c r="E65" i="16"/>
  <c r="D65" i="16"/>
  <c r="C65" i="16"/>
  <c r="H64" i="16"/>
  <c r="G64" i="16"/>
  <c r="F64" i="16"/>
  <c r="E64" i="16"/>
  <c r="D64" i="16"/>
  <c r="C64" i="16"/>
  <c r="H63" i="16"/>
  <c r="G63" i="16"/>
  <c r="F63" i="16"/>
  <c r="E63" i="16"/>
  <c r="D63" i="16"/>
  <c r="C63" i="16"/>
  <c r="H62" i="16"/>
  <c r="G62" i="16"/>
  <c r="F62" i="16"/>
  <c r="E62" i="16"/>
  <c r="D62" i="16"/>
  <c r="C62" i="16"/>
  <c r="H61" i="16"/>
  <c r="G61" i="16"/>
  <c r="F61" i="16"/>
  <c r="E61" i="16"/>
  <c r="D61" i="16"/>
  <c r="C61" i="16"/>
  <c r="H60" i="16"/>
  <c r="G60" i="16"/>
  <c r="F60" i="16"/>
  <c r="E60" i="16"/>
  <c r="D60" i="16"/>
  <c r="C60" i="16"/>
  <c r="H59" i="16"/>
  <c r="G59" i="16"/>
  <c r="F59" i="16"/>
  <c r="E59" i="16"/>
  <c r="D59" i="16"/>
  <c r="C59" i="16"/>
  <c r="H58" i="16"/>
  <c r="G58" i="16"/>
  <c r="F58" i="16"/>
  <c r="E58" i="16"/>
  <c r="D58" i="16"/>
  <c r="C58" i="16"/>
  <c r="H57" i="16"/>
  <c r="G57" i="16"/>
  <c r="F57" i="16"/>
  <c r="E57" i="16"/>
  <c r="D57" i="16"/>
  <c r="C57" i="16"/>
  <c r="H56" i="16"/>
  <c r="G56" i="16"/>
  <c r="F56" i="16"/>
  <c r="E56" i="16"/>
  <c r="D56" i="16"/>
  <c r="C56" i="16"/>
  <c r="H55" i="16"/>
  <c r="G55" i="16"/>
  <c r="F55" i="16"/>
  <c r="E55" i="16"/>
  <c r="D55" i="16"/>
  <c r="C55" i="16"/>
  <c r="H54" i="16"/>
  <c r="G54" i="16"/>
  <c r="F54" i="16"/>
  <c r="E54" i="16"/>
  <c r="D54" i="16"/>
  <c r="C54" i="16"/>
  <c r="H53" i="16"/>
  <c r="G53" i="16"/>
  <c r="F53" i="16"/>
  <c r="E53" i="16"/>
  <c r="D53" i="16"/>
  <c r="C53" i="16"/>
  <c r="H52" i="16"/>
  <c r="G52" i="16"/>
  <c r="F52" i="16"/>
  <c r="E52" i="16"/>
  <c r="D52" i="16"/>
  <c r="C52" i="16"/>
  <c r="H51" i="16"/>
  <c r="G51" i="16"/>
  <c r="F51" i="16"/>
  <c r="E51" i="16"/>
  <c r="D51" i="16"/>
  <c r="C51" i="16"/>
  <c r="H50" i="16"/>
  <c r="G50" i="16"/>
  <c r="F50" i="16"/>
  <c r="E50" i="16"/>
  <c r="D50" i="16"/>
  <c r="C50" i="16"/>
  <c r="H49" i="16"/>
  <c r="G49" i="16"/>
  <c r="F49" i="16"/>
  <c r="E49" i="16"/>
  <c r="D49" i="16"/>
  <c r="C49" i="16"/>
  <c r="H48" i="16"/>
  <c r="G48" i="16"/>
  <c r="F48" i="16"/>
  <c r="E48" i="16"/>
  <c r="D48" i="16"/>
  <c r="C48" i="16"/>
  <c r="H47" i="16"/>
  <c r="G47" i="16"/>
  <c r="F47" i="16"/>
  <c r="E47" i="16"/>
  <c r="D47" i="16"/>
  <c r="C47" i="16"/>
  <c r="H46" i="16"/>
  <c r="G46" i="16"/>
  <c r="F46" i="16"/>
  <c r="E46" i="16"/>
  <c r="D46" i="16"/>
  <c r="C46" i="16"/>
  <c r="H45" i="16"/>
  <c r="G45" i="16"/>
  <c r="F45" i="16"/>
  <c r="E45" i="16"/>
  <c r="D45" i="16"/>
  <c r="C45" i="16"/>
  <c r="H44" i="16"/>
  <c r="G44" i="16"/>
  <c r="F44" i="16"/>
  <c r="E44" i="16"/>
  <c r="D44" i="16"/>
  <c r="C44" i="16"/>
  <c r="H43" i="16"/>
  <c r="G43" i="16"/>
  <c r="F43" i="16"/>
  <c r="E43" i="16"/>
  <c r="D43" i="16"/>
  <c r="C43" i="16"/>
  <c r="H42" i="16"/>
  <c r="G42" i="16"/>
  <c r="F42" i="16"/>
  <c r="E42" i="16"/>
  <c r="D42" i="16"/>
  <c r="C42" i="16"/>
  <c r="H41" i="16"/>
  <c r="G41" i="16"/>
  <c r="F41" i="16"/>
  <c r="E41" i="16"/>
  <c r="D41" i="16"/>
  <c r="C41" i="16"/>
  <c r="H40" i="16"/>
  <c r="G40" i="16"/>
  <c r="F40" i="16"/>
  <c r="E40" i="16"/>
  <c r="D40" i="16"/>
  <c r="C40" i="16"/>
  <c r="H39" i="16"/>
  <c r="G39" i="16"/>
  <c r="F39" i="16"/>
  <c r="E39" i="16"/>
  <c r="D39" i="16"/>
  <c r="C39" i="16"/>
  <c r="H38" i="16"/>
  <c r="G38" i="16"/>
  <c r="F38" i="16"/>
  <c r="E38" i="16"/>
  <c r="D38" i="16"/>
  <c r="C38" i="16"/>
  <c r="H37" i="16"/>
  <c r="G37" i="16"/>
  <c r="F37" i="16"/>
  <c r="E37" i="16"/>
  <c r="D37" i="16"/>
  <c r="C37" i="16"/>
  <c r="H36" i="16"/>
  <c r="G36" i="16"/>
  <c r="F36" i="16"/>
  <c r="E36" i="16"/>
  <c r="D36" i="16"/>
  <c r="C36" i="16"/>
  <c r="H35" i="16"/>
  <c r="G35" i="16"/>
  <c r="F35" i="16"/>
  <c r="E35" i="16"/>
  <c r="D35" i="16"/>
  <c r="C35" i="16"/>
  <c r="H34" i="16"/>
  <c r="G34" i="16"/>
  <c r="F34" i="16"/>
  <c r="E34" i="16"/>
  <c r="D34" i="16"/>
  <c r="C34" i="16"/>
  <c r="H33" i="16"/>
  <c r="G33" i="16"/>
  <c r="F33" i="16"/>
  <c r="E33" i="16"/>
  <c r="D33" i="16"/>
  <c r="C33" i="16"/>
  <c r="H32" i="16"/>
  <c r="G32" i="16"/>
  <c r="F32" i="16"/>
  <c r="E32" i="16"/>
  <c r="D32" i="16"/>
  <c r="C32" i="16"/>
  <c r="H31" i="16"/>
  <c r="G31" i="16"/>
  <c r="F31" i="16"/>
  <c r="E31" i="16"/>
  <c r="D31" i="16"/>
  <c r="C31" i="16"/>
  <c r="H30" i="16"/>
  <c r="G30" i="16"/>
  <c r="F30" i="16"/>
  <c r="E30" i="16"/>
  <c r="D30" i="16"/>
  <c r="C30" i="16"/>
  <c r="H29" i="16"/>
  <c r="G29" i="16"/>
  <c r="F29" i="16"/>
  <c r="E29" i="16"/>
  <c r="D29" i="16"/>
  <c r="C29" i="16"/>
  <c r="H28" i="16"/>
  <c r="G28" i="16"/>
  <c r="F28" i="16"/>
  <c r="E28" i="16"/>
  <c r="D28" i="16"/>
  <c r="C28" i="16"/>
  <c r="H27" i="16"/>
  <c r="G27" i="16"/>
  <c r="F27" i="16"/>
  <c r="E27" i="16"/>
  <c r="D27" i="16"/>
  <c r="C27" i="16"/>
  <c r="H26" i="16"/>
  <c r="G26" i="16"/>
  <c r="F26" i="16"/>
  <c r="E26" i="16"/>
  <c r="D26" i="16"/>
  <c r="C26" i="16"/>
  <c r="H25" i="16"/>
  <c r="G25" i="16"/>
  <c r="F25" i="16"/>
  <c r="E25" i="16"/>
  <c r="D25" i="16"/>
  <c r="C25" i="16"/>
  <c r="H24" i="16"/>
  <c r="G24" i="16"/>
  <c r="F24" i="16"/>
  <c r="E24" i="16"/>
  <c r="D24" i="16"/>
  <c r="C24" i="16"/>
  <c r="H23" i="16"/>
  <c r="G23" i="16"/>
  <c r="F23" i="16"/>
  <c r="E23" i="16"/>
  <c r="D23" i="16"/>
  <c r="C23" i="16"/>
  <c r="H22" i="16"/>
  <c r="G22" i="16"/>
  <c r="F22" i="16"/>
  <c r="E22" i="16"/>
  <c r="D22" i="16"/>
  <c r="C22" i="16"/>
  <c r="H21" i="16"/>
  <c r="G21" i="16"/>
  <c r="F21" i="16"/>
  <c r="E21" i="16"/>
  <c r="D21" i="16"/>
  <c r="C21" i="16"/>
  <c r="H20" i="16"/>
  <c r="G20" i="16"/>
  <c r="F20" i="16"/>
  <c r="E20" i="16"/>
  <c r="D20" i="16"/>
  <c r="C20" i="16"/>
  <c r="H19" i="16"/>
  <c r="G19" i="16"/>
  <c r="F19" i="16"/>
  <c r="E19" i="16"/>
  <c r="D19" i="16"/>
  <c r="C19" i="16"/>
  <c r="H18" i="16"/>
  <c r="G18" i="16"/>
  <c r="F18" i="16"/>
  <c r="E18" i="16"/>
  <c r="D18" i="16"/>
  <c r="C18" i="16"/>
  <c r="H17" i="16"/>
  <c r="G17" i="16"/>
  <c r="F17" i="16"/>
  <c r="E17" i="16"/>
  <c r="D17" i="16"/>
  <c r="C17" i="16"/>
  <c r="H16" i="16"/>
  <c r="G16" i="16"/>
  <c r="F16" i="16"/>
  <c r="E16" i="16"/>
  <c r="D16" i="16"/>
  <c r="C16" i="16"/>
  <c r="H15" i="16"/>
  <c r="G15" i="16"/>
  <c r="F15" i="16"/>
  <c r="E15" i="16"/>
  <c r="D15" i="16"/>
  <c r="C15" i="16"/>
  <c r="H14" i="16"/>
  <c r="G14" i="16"/>
  <c r="F14" i="16"/>
  <c r="E14" i="16"/>
  <c r="D14" i="16"/>
  <c r="C14" i="16"/>
  <c r="H13" i="16"/>
  <c r="G13" i="16"/>
  <c r="F13" i="16"/>
  <c r="E13" i="16"/>
  <c r="D13" i="16"/>
  <c r="C13" i="16"/>
  <c r="H12" i="16"/>
  <c r="G12" i="16"/>
  <c r="F12" i="16"/>
  <c r="E12" i="16"/>
  <c r="D12" i="16"/>
  <c r="C12" i="16"/>
  <c r="H11" i="16"/>
  <c r="G11" i="16"/>
  <c r="F11" i="16"/>
  <c r="E11" i="16"/>
  <c r="D11" i="16"/>
  <c r="C11" i="16"/>
  <c r="H10" i="16"/>
  <c r="G10" i="16"/>
  <c r="F10" i="16"/>
  <c r="E10" i="16"/>
  <c r="D10" i="16"/>
  <c r="C10" i="16"/>
  <c r="H9" i="16"/>
  <c r="G9" i="16"/>
  <c r="F9" i="16"/>
  <c r="E9" i="16"/>
  <c r="D9" i="16"/>
  <c r="C9" i="16"/>
  <c r="H8" i="16"/>
  <c r="G8" i="16"/>
  <c r="F8" i="16"/>
  <c r="E8" i="16"/>
  <c r="D8" i="16"/>
  <c r="C8" i="16"/>
  <c r="H7" i="16"/>
  <c r="G7" i="16"/>
  <c r="F7" i="16"/>
  <c r="E7" i="16"/>
  <c r="D7" i="16"/>
  <c r="C7" i="16"/>
  <c r="H6" i="16"/>
  <c r="G6" i="16"/>
  <c r="F6" i="16"/>
  <c r="E6" i="16"/>
  <c r="D6" i="16"/>
  <c r="C6" i="16"/>
  <c r="H5" i="16"/>
  <c r="G5" i="16"/>
  <c r="F5" i="16"/>
  <c r="E5" i="16"/>
  <c r="D5" i="16"/>
  <c r="C5" i="16"/>
  <c r="B186" i="16"/>
  <c r="B177" i="16"/>
  <c r="B170" i="16"/>
  <c r="B161" i="16"/>
  <c r="B154" i="16"/>
  <c r="B145" i="16"/>
  <c r="B138" i="16"/>
  <c r="B129" i="16"/>
  <c r="B122" i="16"/>
  <c r="B113" i="16"/>
  <c r="B106" i="16"/>
  <c r="B97" i="16"/>
  <c r="B90" i="16"/>
  <c r="B81" i="16"/>
  <c r="B74" i="16"/>
  <c r="B65" i="16"/>
  <c r="B58" i="16"/>
  <c r="B49" i="16"/>
  <c r="B42" i="16"/>
  <c r="B33" i="16"/>
  <c r="B26" i="16"/>
  <c r="B17" i="16"/>
  <c r="B10" i="16"/>
  <c r="B4" i="16" a="1"/>
  <c r="B174" i="16" s="1"/>
  <c r="H154" i="15"/>
  <c r="G154" i="15"/>
  <c r="F154" i="15"/>
  <c r="E154" i="15"/>
  <c r="D154" i="15"/>
  <c r="C154" i="15"/>
  <c r="G153" i="15"/>
  <c r="F153" i="15"/>
  <c r="E153" i="15"/>
  <c r="D153" i="15"/>
  <c r="C153" i="15"/>
  <c r="H152" i="15"/>
  <c r="G152" i="15"/>
  <c r="F152" i="15"/>
  <c r="E152" i="15"/>
  <c r="D152" i="15"/>
  <c r="C152" i="15"/>
  <c r="H151" i="15"/>
  <c r="G151" i="15"/>
  <c r="F151" i="15"/>
  <c r="E151" i="15"/>
  <c r="D151" i="15"/>
  <c r="C151" i="15"/>
  <c r="H150" i="15"/>
  <c r="G150" i="15"/>
  <c r="F150" i="15"/>
  <c r="E150" i="15"/>
  <c r="D150" i="15"/>
  <c r="C150" i="15"/>
  <c r="H149" i="15"/>
  <c r="G149" i="15"/>
  <c r="F149" i="15"/>
  <c r="E149" i="15"/>
  <c r="D149" i="15"/>
  <c r="C149" i="15"/>
  <c r="H148" i="15"/>
  <c r="G148" i="15"/>
  <c r="F148" i="15"/>
  <c r="E148" i="15"/>
  <c r="D148" i="15"/>
  <c r="C148" i="15"/>
  <c r="H147" i="15"/>
  <c r="G147" i="15"/>
  <c r="F147" i="15"/>
  <c r="E147" i="15"/>
  <c r="D147" i="15"/>
  <c r="C147" i="15"/>
  <c r="H146" i="15"/>
  <c r="G146" i="15"/>
  <c r="F146" i="15"/>
  <c r="E146" i="15"/>
  <c r="D146" i="15"/>
  <c r="C146" i="15"/>
  <c r="H145" i="15"/>
  <c r="G145" i="15"/>
  <c r="F145" i="15"/>
  <c r="E145" i="15"/>
  <c r="D145" i="15"/>
  <c r="C145" i="15"/>
  <c r="H144" i="15"/>
  <c r="G144" i="15"/>
  <c r="F144" i="15"/>
  <c r="E144" i="15"/>
  <c r="D144" i="15"/>
  <c r="C144" i="15"/>
  <c r="H143" i="15"/>
  <c r="G143" i="15"/>
  <c r="F143" i="15"/>
  <c r="E143" i="15"/>
  <c r="D143" i="15"/>
  <c r="C143" i="15"/>
  <c r="H142" i="15"/>
  <c r="G142" i="15"/>
  <c r="F142" i="15"/>
  <c r="E142" i="15"/>
  <c r="D142" i="15"/>
  <c r="C142" i="15"/>
  <c r="H141" i="15"/>
  <c r="G141" i="15"/>
  <c r="F141" i="15"/>
  <c r="E141" i="15"/>
  <c r="D141" i="15"/>
  <c r="C141" i="15"/>
  <c r="H140" i="15"/>
  <c r="G140" i="15"/>
  <c r="F140" i="15"/>
  <c r="E140" i="15"/>
  <c r="D140" i="15"/>
  <c r="C140" i="15"/>
  <c r="H139" i="15"/>
  <c r="G139" i="15"/>
  <c r="F139" i="15"/>
  <c r="E139" i="15"/>
  <c r="D139" i="15"/>
  <c r="C139" i="15"/>
  <c r="H138" i="15"/>
  <c r="G138" i="15"/>
  <c r="F138" i="15"/>
  <c r="E138" i="15"/>
  <c r="D138" i="15"/>
  <c r="C138" i="15"/>
  <c r="H137" i="15"/>
  <c r="G137" i="15"/>
  <c r="F137" i="15"/>
  <c r="E137" i="15"/>
  <c r="D137" i="15"/>
  <c r="C137" i="15"/>
  <c r="H136" i="15"/>
  <c r="G136" i="15"/>
  <c r="F136" i="15"/>
  <c r="E136" i="15"/>
  <c r="D136" i="15"/>
  <c r="C136" i="15"/>
  <c r="H135" i="15"/>
  <c r="G135" i="15"/>
  <c r="F135" i="15"/>
  <c r="E135" i="15"/>
  <c r="D135" i="15"/>
  <c r="C135" i="15"/>
  <c r="H134" i="15"/>
  <c r="G134" i="15"/>
  <c r="F134" i="15"/>
  <c r="E134" i="15"/>
  <c r="D134" i="15"/>
  <c r="C134" i="15"/>
  <c r="H133" i="15"/>
  <c r="G133" i="15"/>
  <c r="F133" i="15"/>
  <c r="E133" i="15"/>
  <c r="D133" i="15"/>
  <c r="C133" i="15"/>
  <c r="H132" i="15"/>
  <c r="G132" i="15"/>
  <c r="F132" i="15"/>
  <c r="E132" i="15"/>
  <c r="D132" i="15"/>
  <c r="C132" i="15"/>
  <c r="H131" i="15"/>
  <c r="G131" i="15"/>
  <c r="F131" i="15"/>
  <c r="E131" i="15"/>
  <c r="D131" i="15"/>
  <c r="C131" i="15"/>
  <c r="H130" i="15"/>
  <c r="G130" i="15"/>
  <c r="F130" i="15"/>
  <c r="E130" i="15"/>
  <c r="D130" i="15"/>
  <c r="C130" i="15"/>
  <c r="H129" i="15"/>
  <c r="G129" i="15"/>
  <c r="F129" i="15"/>
  <c r="E129" i="15"/>
  <c r="D129" i="15"/>
  <c r="C129" i="15"/>
  <c r="H128" i="15"/>
  <c r="G128" i="15"/>
  <c r="F128" i="15"/>
  <c r="E128" i="15"/>
  <c r="D128" i="15"/>
  <c r="C128" i="15"/>
  <c r="H127" i="15"/>
  <c r="G127" i="15"/>
  <c r="F127" i="15"/>
  <c r="E127" i="15"/>
  <c r="D127" i="15"/>
  <c r="C127" i="15"/>
  <c r="H126" i="15"/>
  <c r="G126" i="15"/>
  <c r="F126" i="15"/>
  <c r="E126" i="15"/>
  <c r="D126" i="15"/>
  <c r="C126" i="15"/>
  <c r="H125" i="15"/>
  <c r="G125" i="15"/>
  <c r="F125" i="15"/>
  <c r="E125" i="15"/>
  <c r="D125" i="15"/>
  <c r="C125" i="15"/>
  <c r="H124" i="15"/>
  <c r="G124" i="15"/>
  <c r="F124" i="15"/>
  <c r="E124" i="15"/>
  <c r="D124" i="15"/>
  <c r="C124" i="15"/>
  <c r="H123" i="15"/>
  <c r="G123" i="15"/>
  <c r="F123" i="15"/>
  <c r="E123" i="15"/>
  <c r="D123" i="15"/>
  <c r="C123" i="15"/>
  <c r="H122" i="15"/>
  <c r="G122" i="15"/>
  <c r="F122" i="15"/>
  <c r="E122" i="15"/>
  <c r="D122" i="15"/>
  <c r="C122" i="15"/>
  <c r="H121" i="15"/>
  <c r="G121" i="15"/>
  <c r="F121" i="15"/>
  <c r="E121" i="15"/>
  <c r="D121" i="15"/>
  <c r="C121" i="15"/>
  <c r="H120" i="15"/>
  <c r="G120" i="15"/>
  <c r="F120" i="15"/>
  <c r="E120" i="15"/>
  <c r="D120" i="15"/>
  <c r="C120" i="15"/>
  <c r="H119" i="15"/>
  <c r="G119" i="15"/>
  <c r="F119" i="15"/>
  <c r="E119" i="15"/>
  <c r="D119" i="15"/>
  <c r="C119" i="15"/>
  <c r="H118" i="15"/>
  <c r="G118" i="15"/>
  <c r="F118" i="15"/>
  <c r="E118" i="15"/>
  <c r="D118" i="15"/>
  <c r="C118" i="15"/>
  <c r="H117" i="15"/>
  <c r="G117" i="15"/>
  <c r="F117" i="15"/>
  <c r="E117" i="15"/>
  <c r="D117" i="15"/>
  <c r="C117" i="15"/>
  <c r="H116" i="15"/>
  <c r="G116" i="15"/>
  <c r="F116" i="15"/>
  <c r="E116" i="15"/>
  <c r="D116" i="15"/>
  <c r="C116" i="15"/>
  <c r="H115" i="15"/>
  <c r="G115" i="15"/>
  <c r="F115" i="15"/>
  <c r="E115" i="15"/>
  <c r="D115" i="15"/>
  <c r="C115" i="15"/>
  <c r="H114" i="15"/>
  <c r="G114" i="15"/>
  <c r="F114" i="15"/>
  <c r="E114" i="15"/>
  <c r="D114" i="15"/>
  <c r="C114" i="15"/>
  <c r="H113" i="15"/>
  <c r="G113" i="15"/>
  <c r="F113" i="15"/>
  <c r="E113" i="15"/>
  <c r="D113" i="15"/>
  <c r="C113" i="15"/>
  <c r="H112" i="15"/>
  <c r="G112" i="15"/>
  <c r="F112" i="15"/>
  <c r="E112" i="15"/>
  <c r="D112" i="15"/>
  <c r="C112" i="15"/>
  <c r="H111" i="15"/>
  <c r="G111" i="15"/>
  <c r="F111" i="15"/>
  <c r="E111" i="15"/>
  <c r="D111" i="15"/>
  <c r="C111" i="15"/>
  <c r="H110" i="15"/>
  <c r="G110" i="15"/>
  <c r="F110" i="15"/>
  <c r="E110" i="15"/>
  <c r="D110" i="15"/>
  <c r="C110" i="15"/>
  <c r="H109" i="15"/>
  <c r="G109" i="15"/>
  <c r="F109" i="15"/>
  <c r="E109" i="15"/>
  <c r="D109" i="15"/>
  <c r="C109" i="15"/>
  <c r="H108" i="15"/>
  <c r="G108" i="15"/>
  <c r="F108" i="15"/>
  <c r="E108" i="15"/>
  <c r="D108" i="15"/>
  <c r="C108" i="15"/>
  <c r="H107" i="15"/>
  <c r="G107" i="15"/>
  <c r="F107" i="15"/>
  <c r="E107" i="15"/>
  <c r="D107" i="15"/>
  <c r="C107" i="15"/>
  <c r="H106" i="15"/>
  <c r="G106" i="15"/>
  <c r="F106" i="15"/>
  <c r="E106" i="15"/>
  <c r="D106" i="15"/>
  <c r="C106" i="15"/>
  <c r="H105" i="15"/>
  <c r="G105" i="15"/>
  <c r="F105" i="15"/>
  <c r="E105" i="15"/>
  <c r="D105" i="15"/>
  <c r="C105" i="15"/>
  <c r="H104" i="15"/>
  <c r="G104" i="15"/>
  <c r="F104" i="15"/>
  <c r="E104" i="15"/>
  <c r="D104" i="15"/>
  <c r="C104" i="15"/>
  <c r="H103" i="15"/>
  <c r="G103" i="15"/>
  <c r="F103" i="15"/>
  <c r="E103" i="15"/>
  <c r="D103" i="15"/>
  <c r="C103" i="15"/>
  <c r="H102" i="15"/>
  <c r="G102" i="15"/>
  <c r="F102" i="15"/>
  <c r="E102" i="15"/>
  <c r="D102" i="15"/>
  <c r="C102" i="15"/>
  <c r="H101" i="15"/>
  <c r="G101" i="15"/>
  <c r="F101" i="15"/>
  <c r="E101" i="15"/>
  <c r="D101" i="15"/>
  <c r="C101" i="15"/>
  <c r="H100" i="15"/>
  <c r="G100" i="15"/>
  <c r="F100" i="15"/>
  <c r="E100" i="15"/>
  <c r="D100" i="15"/>
  <c r="C100" i="15"/>
  <c r="H99" i="15"/>
  <c r="G99" i="15"/>
  <c r="F99" i="15"/>
  <c r="E99" i="15"/>
  <c r="D99" i="15"/>
  <c r="C99" i="15"/>
  <c r="H98" i="15"/>
  <c r="G98" i="15"/>
  <c r="F98" i="15"/>
  <c r="E98" i="15"/>
  <c r="D98" i="15"/>
  <c r="C98" i="15"/>
  <c r="H97" i="15"/>
  <c r="G97" i="15"/>
  <c r="F97" i="15"/>
  <c r="E97" i="15"/>
  <c r="D97" i="15"/>
  <c r="C97" i="15"/>
  <c r="H96" i="15"/>
  <c r="G96" i="15"/>
  <c r="F96" i="15"/>
  <c r="E96" i="15"/>
  <c r="D96" i="15"/>
  <c r="C96" i="15"/>
  <c r="H95" i="15"/>
  <c r="G95" i="15"/>
  <c r="F95" i="15"/>
  <c r="E95" i="15"/>
  <c r="D95" i="15"/>
  <c r="C95" i="15"/>
  <c r="H94" i="15"/>
  <c r="G94" i="15"/>
  <c r="F94" i="15"/>
  <c r="E94" i="15"/>
  <c r="D94" i="15"/>
  <c r="C94" i="15"/>
  <c r="H93" i="15"/>
  <c r="G93" i="15"/>
  <c r="F93" i="15"/>
  <c r="E93" i="15"/>
  <c r="D93" i="15"/>
  <c r="C93" i="15"/>
  <c r="H92" i="15"/>
  <c r="G92" i="15"/>
  <c r="F92" i="15"/>
  <c r="E92" i="15"/>
  <c r="D92" i="15"/>
  <c r="C92" i="15"/>
  <c r="H91" i="15"/>
  <c r="G91" i="15"/>
  <c r="F91" i="15"/>
  <c r="E91" i="15"/>
  <c r="D91" i="15"/>
  <c r="C91" i="15"/>
  <c r="H90" i="15"/>
  <c r="G90" i="15"/>
  <c r="F90" i="15"/>
  <c r="E90" i="15"/>
  <c r="D90" i="15"/>
  <c r="C90" i="15"/>
  <c r="H89" i="15"/>
  <c r="G89" i="15"/>
  <c r="F89" i="15"/>
  <c r="E89" i="15"/>
  <c r="D89" i="15"/>
  <c r="C89" i="15"/>
  <c r="H88" i="15"/>
  <c r="G88" i="15"/>
  <c r="F88" i="15"/>
  <c r="E88" i="15"/>
  <c r="D88" i="15"/>
  <c r="C88" i="15"/>
  <c r="H87" i="15"/>
  <c r="G87" i="15"/>
  <c r="F87" i="15"/>
  <c r="E87" i="15"/>
  <c r="D87" i="15"/>
  <c r="C87" i="15"/>
  <c r="H86" i="15"/>
  <c r="G86" i="15"/>
  <c r="F86" i="15"/>
  <c r="E86" i="15"/>
  <c r="D86" i="15"/>
  <c r="C86" i="15"/>
  <c r="H85" i="15"/>
  <c r="G85" i="15"/>
  <c r="F85" i="15"/>
  <c r="E85" i="15"/>
  <c r="D85" i="15"/>
  <c r="C85" i="15"/>
  <c r="H84" i="15"/>
  <c r="G84" i="15"/>
  <c r="F84" i="15"/>
  <c r="E84" i="15"/>
  <c r="D84" i="15"/>
  <c r="C84" i="15"/>
  <c r="H83" i="15"/>
  <c r="G83" i="15"/>
  <c r="F83" i="15"/>
  <c r="E83" i="15"/>
  <c r="D83" i="15"/>
  <c r="C83" i="15"/>
  <c r="H82" i="15"/>
  <c r="G82" i="15"/>
  <c r="F82" i="15"/>
  <c r="E82" i="15"/>
  <c r="D82" i="15"/>
  <c r="C82" i="15"/>
  <c r="H81" i="15"/>
  <c r="G81" i="15"/>
  <c r="F81" i="15"/>
  <c r="E81" i="15"/>
  <c r="D81" i="15"/>
  <c r="C81" i="15"/>
  <c r="H80" i="15"/>
  <c r="G80" i="15"/>
  <c r="F80" i="15"/>
  <c r="E80" i="15"/>
  <c r="D80" i="15"/>
  <c r="C80" i="15"/>
  <c r="H79" i="15"/>
  <c r="G79" i="15"/>
  <c r="F79" i="15"/>
  <c r="E79" i="15"/>
  <c r="D79" i="15"/>
  <c r="C79" i="15"/>
  <c r="H78" i="15"/>
  <c r="G78" i="15"/>
  <c r="F78" i="15"/>
  <c r="E78" i="15"/>
  <c r="D78" i="15"/>
  <c r="C78" i="15"/>
  <c r="H77" i="15"/>
  <c r="G77" i="15"/>
  <c r="F77" i="15"/>
  <c r="E77" i="15"/>
  <c r="D77" i="15"/>
  <c r="C77" i="15"/>
  <c r="H76" i="15"/>
  <c r="G76" i="15"/>
  <c r="F76" i="15"/>
  <c r="E76" i="15"/>
  <c r="D76" i="15"/>
  <c r="C76" i="15"/>
  <c r="H75" i="15"/>
  <c r="G75" i="15"/>
  <c r="F75" i="15"/>
  <c r="E75" i="15"/>
  <c r="D75" i="15"/>
  <c r="C75" i="15"/>
  <c r="H74" i="15"/>
  <c r="G74" i="15"/>
  <c r="F74" i="15"/>
  <c r="E74" i="15"/>
  <c r="D74" i="15"/>
  <c r="C74" i="15"/>
  <c r="H73" i="15"/>
  <c r="G73" i="15"/>
  <c r="F73" i="15"/>
  <c r="E73" i="15"/>
  <c r="D73" i="15"/>
  <c r="C73" i="15"/>
  <c r="H72" i="15"/>
  <c r="G72" i="15"/>
  <c r="F72" i="15"/>
  <c r="E72" i="15"/>
  <c r="D72" i="15"/>
  <c r="C72" i="15"/>
  <c r="H71" i="15"/>
  <c r="G71" i="15"/>
  <c r="F71" i="15"/>
  <c r="E71" i="15"/>
  <c r="D71" i="15"/>
  <c r="C71" i="15"/>
  <c r="H70" i="15"/>
  <c r="G70" i="15"/>
  <c r="F70" i="15"/>
  <c r="E70" i="15"/>
  <c r="D70" i="15"/>
  <c r="C70" i="15"/>
  <c r="H69" i="15"/>
  <c r="G69" i="15"/>
  <c r="F69" i="15"/>
  <c r="E69" i="15"/>
  <c r="D69" i="15"/>
  <c r="C69" i="15"/>
  <c r="H68" i="15"/>
  <c r="G68" i="15"/>
  <c r="F68" i="15"/>
  <c r="E68" i="15"/>
  <c r="D68" i="15"/>
  <c r="C68" i="15"/>
  <c r="H67" i="15"/>
  <c r="G67" i="15"/>
  <c r="F67" i="15"/>
  <c r="E67" i="15"/>
  <c r="D67" i="15"/>
  <c r="C67" i="15"/>
  <c r="H66" i="15"/>
  <c r="G66" i="15"/>
  <c r="F66" i="15"/>
  <c r="E66" i="15"/>
  <c r="D66" i="15"/>
  <c r="C66" i="15"/>
  <c r="H65" i="15"/>
  <c r="G65" i="15"/>
  <c r="F65" i="15"/>
  <c r="E65" i="15"/>
  <c r="D65" i="15"/>
  <c r="C65" i="15"/>
  <c r="H64" i="15"/>
  <c r="G64" i="15"/>
  <c r="F64" i="15"/>
  <c r="E64" i="15"/>
  <c r="D64" i="15"/>
  <c r="C64" i="15"/>
  <c r="H63" i="15"/>
  <c r="G63" i="15"/>
  <c r="F63" i="15"/>
  <c r="E63" i="15"/>
  <c r="D63" i="15"/>
  <c r="C63" i="15"/>
  <c r="H62" i="15"/>
  <c r="G62" i="15"/>
  <c r="F62" i="15"/>
  <c r="E62" i="15"/>
  <c r="D62" i="15"/>
  <c r="C62" i="15"/>
  <c r="H61" i="15"/>
  <c r="G61" i="15"/>
  <c r="F61" i="15"/>
  <c r="E61" i="15"/>
  <c r="D61" i="15"/>
  <c r="C61" i="15"/>
  <c r="H60" i="15"/>
  <c r="G60" i="15"/>
  <c r="F60" i="15"/>
  <c r="E60" i="15"/>
  <c r="D60" i="15"/>
  <c r="C60" i="15"/>
  <c r="H59" i="15"/>
  <c r="G59" i="15"/>
  <c r="F59" i="15"/>
  <c r="E59" i="15"/>
  <c r="D59" i="15"/>
  <c r="C59" i="15"/>
  <c r="H58" i="15"/>
  <c r="G58" i="15"/>
  <c r="F58" i="15"/>
  <c r="E58" i="15"/>
  <c r="D58" i="15"/>
  <c r="C58" i="15"/>
  <c r="H57" i="15"/>
  <c r="G57" i="15"/>
  <c r="F57" i="15"/>
  <c r="E57" i="15"/>
  <c r="D57" i="15"/>
  <c r="C57" i="15"/>
  <c r="H56" i="15"/>
  <c r="G56" i="15"/>
  <c r="F56" i="15"/>
  <c r="E56" i="15"/>
  <c r="D56" i="15"/>
  <c r="C56" i="15"/>
  <c r="H55" i="15"/>
  <c r="G55" i="15"/>
  <c r="F55" i="15"/>
  <c r="E55" i="15"/>
  <c r="D55" i="15"/>
  <c r="C55" i="15"/>
  <c r="H54" i="15"/>
  <c r="G54" i="15"/>
  <c r="F54" i="15"/>
  <c r="E54" i="15"/>
  <c r="D54" i="15"/>
  <c r="C54" i="15"/>
  <c r="H53" i="15"/>
  <c r="G53" i="15"/>
  <c r="F53" i="15"/>
  <c r="E53" i="15"/>
  <c r="D53" i="15"/>
  <c r="C53" i="15"/>
  <c r="H52" i="15"/>
  <c r="G52" i="15"/>
  <c r="F52" i="15"/>
  <c r="E52" i="15"/>
  <c r="D52" i="15"/>
  <c r="C52" i="15"/>
  <c r="H51" i="15"/>
  <c r="G51" i="15"/>
  <c r="F51" i="15"/>
  <c r="E51" i="15"/>
  <c r="D51" i="15"/>
  <c r="C51" i="15"/>
  <c r="H50" i="15"/>
  <c r="G50" i="15"/>
  <c r="F50" i="15"/>
  <c r="E50" i="15"/>
  <c r="D50" i="15"/>
  <c r="C50" i="15"/>
  <c r="H49" i="15"/>
  <c r="G49" i="15"/>
  <c r="F49" i="15"/>
  <c r="E49" i="15"/>
  <c r="D49" i="15"/>
  <c r="C49" i="15"/>
  <c r="H48" i="15"/>
  <c r="G48" i="15"/>
  <c r="F48" i="15"/>
  <c r="E48" i="15"/>
  <c r="D48" i="15"/>
  <c r="C48" i="15"/>
  <c r="H47" i="15"/>
  <c r="G47" i="15"/>
  <c r="F47" i="15"/>
  <c r="E47" i="15"/>
  <c r="D47" i="15"/>
  <c r="C47" i="15"/>
  <c r="H46" i="15"/>
  <c r="G46" i="15"/>
  <c r="F46" i="15"/>
  <c r="E46" i="15"/>
  <c r="D46" i="15"/>
  <c r="C46" i="15"/>
  <c r="H45" i="15"/>
  <c r="G45" i="15"/>
  <c r="F45" i="15"/>
  <c r="E45" i="15"/>
  <c r="D45" i="15"/>
  <c r="C45" i="15"/>
  <c r="H44" i="15"/>
  <c r="G44" i="15"/>
  <c r="F44" i="15"/>
  <c r="E44" i="15"/>
  <c r="D44" i="15"/>
  <c r="C44" i="15"/>
  <c r="H43" i="15"/>
  <c r="G43" i="15"/>
  <c r="F43" i="15"/>
  <c r="E43" i="15"/>
  <c r="D43" i="15"/>
  <c r="C43" i="15"/>
  <c r="H42" i="15"/>
  <c r="G42" i="15"/>
  <c r="F42" i="15"/>
  <c r="E42" i="15"/>
  <c r="D42" i="15"/>
  <c r="C42" i="15"/>
  <c r="H41" i="15"/>
  <c r="G41" i="15"/>
  <c r="F41" i="15"/>
  <c r="E41" i="15"/>
  <c r="D41" i="15"/>
  <c r="C41" i="15"/>
  <c r="H40" i="15"/>
  <c r="G40" i="15"/>
  <c r="F40" i="15"/>
  <c r="E40" i="15"/>
  <c r="D40" i="15"/>
  <c r="C40" i="15"/>
  <c r="H39" i="15"/>
  <c r="G39" i="15"/>
  <c r="F39" i="15"/>
  <c r="E39" i="15"/>
  <c r="D39" i="15"/>
  <c r="C39" i="15"/>
  <c r="H38" i="15"/>
  <c r="G38" i="15"/>
  <c r="F38" i="15"/>
  <c r="E38" i="15"/>
  <c r="D38" i="15"/>
  <c r="C38" i="15"/>
  <c r="H37" i="15"/>
  <c r="G37" i="15"/>
  <c r="F37" i="15"/>
  <c r="E37" i="15"/>
  <c r="D37" i="15"/>
  <c r="C37" i="15"/>
  <c r="H36" i="15"/>
  <c r="G36" i="15"/>
  <c r="F36" i="15"/>
  <c r="E36" i="15"/>
  <c r="D36" i="15"/>
  <c r="C36" i="15"/>
  <c r="H35" i="15"/>
  <c r="G35" i="15"/>
  <c r="F35" i="15"/>
  <c r="E35" i="15"/>
  <c r="D35" i="15"/>
  <c r="C35" i="15"/>
  <c r="H34" i="15"/>
  <c r="G34" i="15"/>
  <c r="F34" i="15"/>
  <c r="E34" i="15"/>
  <c r="D34" i="15"/>
  <c r="C34" i="15"/>
  <c r="H33" i="15"/>
  <c r="G33" i="15"/>
  <c r="F33" i="15"/>
  <c r="E33" i="15"/>
  <c r="D33" i="15"/>
  <c r="C33" i="15"/>
  <c r="H32" i="15"/>
  <c r="G32" i="15"/>
  <c r="F32" i="15"/>
  <c r="E32" i="15"/>
  <c r="D32" i="15"/>
  <c r="C32" i="15"/>
  <c r="H31" i="15"/>
  <c r="G31" i="15"/>
  <c r="F31" i="15"/>
  <c r="E31" i="15"/>
  <c r="D31" i="15"/>
  <c r="C31" i="15"/>
  <c r="H30" i="15"/>
  <c r="G30" i="15"/>
  <c r="F30" i="15"/>
  <c r="E30" i="15"/>
  <c r="D30" i="15"/>
  <c r="C30" i="15"/>
  <c r="H29" i="15"/>
  <c r="G29" i="15"/>
  <c r="F29" i="15"/>
  <c r="E29" i="15"/>
  <c r="D29" i="15"/>
  <c r="C29" i="15"/>
  <c r="H28" i="15"/>
  <c r="G28" i="15"/>
  <c r="F28" i="15"/>
  <c r="E28" i="15"/>
  <c r="D28" i="15"/>
  <c r="C28" i="15"/>
  <c r="H27" i="15"/>
  <c r="G27" i="15"/>
  <c r="F27" i="15"/>
  <c r="E27" i="15"/>
  <c r="D27" i="15"/>
  <c r="C27" i="15"/>
  <c r="H26" i="15"/>
  <c r="G26" i="15"/>
  <c r="F26" i="15"/>
  <c r="E26" i="15"/>
  <c r="D26" i="15"/>
  <c r="C26" i="15"/>
  <c r="H25" i="15"/>
  <c r="G25" i="15"/>
  <c r="F25" i="15"/>
  <c r="E25" i="15"/>
  <c r="D25" i="15"/>
  <c r="C25" i="15"/>
  <c r="H24" i="15"/>
  <c r="G24" i="15"/>
  <c r="F24" i="15"/>
  <c r="E24" i="15"/>
  <c r="D24" i="15"/>
  <c r="C24" i="15"/>
  <c r="H23" i="15"/>
  <c r="G23" i="15"/>
  <c r="F23" i="15"/>
  <c r="E23" i="15"/>
  <c r="D23" i="15"/>
  <c r="C23" i="15"/>
  <c r="H22" i="15"/>
  <c r="G22" i="15"/>
  <c r="F22" i="15"/>
  <c r="E22" i="15"/>
  <c r="D22" i="15"/>
  <c r="C22" i="15"/>
  <c r="H21" i="15"/>
  <c r="G21" i="15"/>
  <c r="F21" i="15"/>
  <c r="E21" i="15"/>
  <c r="D21" i="15"/>
  <c r="C21" i="15"/>
  <c r="H20" i="15"/>
  <c r="G20" i="15"/>
  <c r="F20" i="15"/>
  <c r="E20" i="15"/>
  <c r="D20" i="15"/>
  <c r="C20" i="15"/>
  <c r="H19" i="15"/>
  <c r="G19" i="15"/>
  <c r="F19" i="15"/>
  <c r="E19" i="15"/>
  <c r="D19" i="15"/>
  <c r="C19" i="15"/>
  <c r="H18" i="15"/>
  <c r="G18" i="15"/>
  <c r="F18" i="15"/>
  <c r="E18" i="15"/>
  <c r="D18" i="15"/>
  <c r="C18" i="15"/>
  <c r="H17" i="15"/>
  <c r="G17" i="15"/>
  <c r="F17" i="15"/>
  <c r="E17" i="15"/>
  <c r="D17" i="15"/>
  <c r="C17" i="15"/>
  <c r="H16" i="15"/>
  <c r="G16" i="15"/>
  <c r="F16" i="15"/>
  <c r="E16" i="15"/>
  <c r="D16" i="15"/>
  <c r="C16" i="15"/>
  <c r="H15" i="15"/>
  <c r="G15" i="15"/>
  <c r="F15" i="15"/>
  <c r="E15" i="15"/>
  <c r="D15" i="15"/>
  <c r="C15" i="15"/>
  <c r="H14" i="15"/>
  <c r="G14" i="15"/>
  <c r="F14" i="15"/>
  <c r="E14" i="15"/>
  <c r="D14" i="15"/>
  <c r="C14" i="15"/>
  <c r="H13" i="15"/>
  <c r="G13" i="15"/>
  <c r="F13" i="15"/>
  <c r="E13" i="15"/>
  <c r="D13" i="15"/>
  <c r="C13" i="15"/>
  <c r="H12" i="15"/>
  <c r="G12" i="15"/>
  <c r="F12" i="15"/>
  <c r="E12" i="15"/>
  <c r="D12" i="15"/>
  <c r="C12" i="15"/>
  <c r="H11" i="15"/>
  <c r="G11" i="15"/>
  <c r="F11" i="15"/>
  <c r="E11" i="15"/>
  <c r="D11" i="15"/>
  <c r="C11" i="15"/>
  <c r="H10" i="15"/>
  <c r="G10" i="15"/>
  <c r="F10" i="15"/>
  <c r="E10" i="15"/>
  <c r="D10" i="15"/>
  <c r="C10" i="15"/>
  <c r="H9" i="15"/>
  <c r="G9" i="15"/>
  <c r="F9" i="15"/>
  <c r="E9" i="15"/>
  <c r="D9" i="15"/>
  <c r="C9" i="15"/>
  <c r="H8" i="15"/>
  <c r="G8" i="15"/>
  <c r="F8" i="15"/>
  <c r="E8" i="15"/>
  <c r="D8" i="15"/>
  <c r="C8" i="15"/>
  <c r="H7" i="15"/>
  <c r="G7" i="15"/>
  <c r="F7" i="15"/>
  <c r="E7" i="15"/>
  <c r="D7" i="15"/>
  <c r="C7" i="15"/>
  <c r="H6" i="15"/>
  <c r="G6" i="15"/>
  <c r="F6" i="15"/>
  <c r="E6" i="15"/>
  <c r="D6" i="15"/>
  <c r="C6" i="15"/>
  <c r="H5" i="15"/>
  <c r="G5" i="15"/>
  <c r="F5" i="15"/>
  <c r="E5" i="15"/>
  <c r="D5" i="15"/>
  <c r="C5" i="15"/>
  <c r="B138" i="15"/>
  <c r="B122" i="15"/>
  <c r="B106" i="15"/>
  <c r="B90" i="15"/>
  <c r="B74" i="15"/>
  <c r="B58" i="15"/>
  <c r="B42" i="15"/>
  <c r="B26" i="15"/>
  <c r="B10" i="15"/>
  <c r="B4" i="15" a="1"/>
  <c r="B151" i="15" s="1"/>
  <c r="H120" i="14"/>
  <c r="G120" i="14"/>
  <c r="F120" i="14"/>
  <c r="E120" i="14"/>
  <c r="D120" i="14"/>
  <c r="C120" i="14"/>
  <c r="G119" i="14"/>
  <c r="F119" i="14"/>
  <c r="E119" i="14"/>
  <c r="D119" i="14"/>
  <c r="C119" i="14"/>
  <c r="H118" i="14"/>
  <c r="G118" i="14"/>
  <c r="F118" i="14"/>
  <c r="E118" i="14"/>
  <c r="D118" i="14"/>
  <c r="C118" i="14"/>
  <c r="H117" i="14"/>
  <c r="G117" i="14"/>
  <c r="F117" i="14"/>
  <c r="E117" i="14"/>
  <c r="D117" i="14"/>
  <c r="C117" i="14"/>
  <c r="H116" i="14"/>
  <c r="G116" i="14"/>
  <c r="F116" i="14"/>
  <c r="E116" i="14"/>
  <c r="D116" i="14"/>
  <c r="C116" i="14"/>
  <c r="H115" i="14"/>
  <c r="G115" i="14"/>
  <c r="F115" i="14"/>
  <c r="E115" i="14"/>
  <c r="D115" i="14"/>
  <c r="C115" i="14"/>
  <c r="H114" i="14"/>
  <c r="G114" i="14"/>
  <c r="F114" i="14"/>
  <c r="E114" i="14"/>
  <c r="D114" i="14"/>
  <c r="C114" i="14"/>
  <c r="H113" i="14"/>
  <c r="G113" i="14"/>
  <c r="F113" i="14"/>
  <c r="E113" i="14"/>
  <c r="D113" i="14"/>
  <c r="C113" i="14"/>
  <c r="H112" i="14"/>
  <c r="G112" i="14"/>
  <c r="F112" i="14"/>
  <c r="E112" i="14"/>
  <c r="D112" i="14"/>
  <c r="C112" i="14"/>
  <c r="H111" i="14"/>
  <c r="G111" i="14"/>
  <c r="F111" i="14"/>
  <c r="E111" i="14"/>
  <c r="D111" i="14"/>
  <c r="C111" i="14"/>
  <c r="H110" i="14"/>
  <c r="G110" i="14"/>
  <c r="F110" i="14"/>
  <c r="E110" i="14"/>
  <c r="D110" i="14"/>
  <c r="C110" i="14"/>
  <c r="H109" i="14"/>
  <c r="G109" i="14"/>
  <c r="F109" i="14"/>
  <c r="E109" i="14"/>
  <c r="D109" i="14"/>
  <c r="C109" i="14"/>
  <c r="H108" i="14"/>
  <c r="G108" i="14"/>
  <c r="F108" i="14"/>
  <c r="E108" i="14"/>
  <c r="D108" i="14"/>
  <c r="C108" i="14"/>
  <c r="H107" i="14"/>
  <c r="G107" i="14"/>
  <c r="F107" i="14"/>
  <c r="E107" i="14"/>
  <c r="D107" i="14"/>
  <c r="C107" i="14"/>
  <c r="H106" i="14"/>
  <c r="G106" i="14"/>
  <c r="F106" i="14"/>
  <c r="E106" i="14"/>
  <c r="D106" i="14"/>
  <c r="C106" i="14"/>
  <c r="H105" i="14"/>
  <c r="G105" i="14"/>
  <c r="F105" i="14"/>
  <c r="E105" i="14"/>
  <c r="D105" i="14"/>
  <c r="C105" i="14"/>
  <c r="H104" i="14"/>
  <c r="G104" i="14"/>
  <c r="F104" i="14"/>
  <c r="E104" i="14"/>
  <c r="D104" i="14"/>
  <c r="C104" i="14"/>
  <c r="H103" i="14"/>
  <c r="G103" i="14"/>
  <c r="F103" i="14"/>
  <c r="E103" i="14"/>
  <c r="D103" i="14"/>
  <c r="C103" i="14"/>
  <c r="H102" i="14"/>
  <c r="G102" i="14"/>
  <c r="F102" i="14"/>
  <c r="E102" i="14"/>
  <c r="D102" i="14"/>
  <c r="C102" i="14"/>
  <c r="H101" i="14"/>
  <c r="G101" i="14"/>
  <c r="F101" i="14"/>
  <c r="E101" i="14"/>
  <c r="D101" i="14"/>
  <c r="C101" i="14"/>
  <c r="H100" i="14"/>
  <c r="G100" i="14"/>
  <c r="F100" i="14"/>
  <c r="E100" i="14"/>
  <c r="D100" i="14"/>
  <c r="C100" i="14"/>
  <c r="H99" i="14"/>
  <c r="G99" i="14"/>
  <c r="F99" i="14"/>
  <c r="E99" i="14"/>
  <c r="D99" i="14"/>
  <c r="C99" i="14"/>
  <c r="H98" i="14"/>
  <c r="G98" i="14"/>
  <c r="F98" i="14"/>
  <c r="E98" i="14"/>
  <c r="D98" i="14"/>
  <c r="C98" i="14"/>
  <c r="H97" i="14"/>
  <c r="G97" i="14"/>
  <c r="F97" i="14"/>
  <c r="E97" i="14"/>
  <c r="D97" i="14"/>
  <c r="C97" i="14"/>
  <c r="H96" i="14"/>
  <c r="G96" i="14"/>
  <c r="F96" i="14"/>
  <c r="E96" i="14"/>
  <c r="D96" i="14"/>
  <c r="C96" i="14"/>
  <c r="H95" i="14"/>
  <c r="G95" i="14"/>
  <c r="F95" i="14"/>
  <c r="E95" i="14"/>
  <c r="D95" i="14"/>
  <c r="C95" i="14"/>
  <c r="H94" i="14"/>
  <c r="G94" i="14"/>
  <c r="F94" i="14"/>
  <c r="E94" i="14"/>
  <c r="D94" i="14"/>
  <c r="C94" i="14"/>
  <c r="H93" i="14"/>
  <c r="G93" i="14"/>
  <c r="F93" i="14"/>
  <c r="E93" i="14"/>
  <c r="D93" i="14"/>
  <c r="C93" i="14"/>
  <c r="H92" i="14"/>
  <c r="G92" i="14"/>
  <c r="F92" i="14"/>
  <c r="E92" i="14"/>
  <c r="D92" i="14"/>
  <c r="C92" i="14"/>
  <c r="H91" i="14"/>
  <c r="G91" i="14"/>
  <c r="F91" i="14"/>
  <c r="E91" i="14"/>
  <c r="D91" i="14"/>
  <c r="C91" i="14"/>
  <c r="H90" i="14"/>
  <c r="G90" i="14"/>
  <c r="F90" i="14"/>
  <c r="E90" i="14"/>
  <c r="D90" i="14"/>
  <c r="C90" i="14"/>
  <c r="H89" i="14"/>
  <c r="G89" i="14"/>
  <c r="F89" i="14"/>
  <c r="E89" i="14"/>
  <c r="D89" i="14"/>
  <c r="C89" i="14"/>
  <c r="H88" i="14"/>
  <c r="G88" i="14"/>
  <c r="F88" i="14"/>
  <c r="E88" i="14"/>
  <c r="D88" i="14"/>
  <c r="C88" i="14"/>
  <c r="H87" i="14"/>
  <c r="G87" i="14"/>
  <c r="F87" i="14"/>
  <c r="E87" i="14"/>
  <c r="D87" i="14"/>
  <c r="C87" i="14"/>
  <c r="H86" i="14"/>
  <c r="G86" i="14"/>
  <c r="F86" i="14"/>
  <c r="E86" i="14"/>
  <c r="D86" i="14"/>
  <c r="C86" i="14"/>
  <c r="H85" i="14"/>
  <c r="G85" i="14"/>
  <c r="F85" i="14"/>
  <c r="E85" i="14"/>
  <c r="D85" i="14"/>
  <c r="C85" i="14"/>
  <c r="H84" i="14"/>
  <c r="G84" i="14"/>
  <c r="F84" i="14"/>
  <c r="E84" i="14"/>
  <c r="D84" i="14"/>
  <c r="C84" i="14"/>
  <c r="H83" i="14"/>
  <c r="G83" i="14"/>
  <c r="F83" i="14"/>
  <c r="E83" i="14"/>
  <c r="D83" i="14"/>
  <c r="C83" i="14"/>
  <c r="H82" i="14"/>
  <c r="G82" i="14"/>
  <c r="F82" i="14"/>
  <c r="E82" i="14"/>
  <c r="D82" i="14"/>
  <c r="C82" i="14"/>
  <c r="H81" i="14"/>
  <c r="G81" i="14"/>
  <c r="F81" i="14"/>
  <c r="E81" i="14"/>
  <c r="D81" i="14"/>
  <c r="C81" i="14"/>
  <c r="H80" i="14"/>
  <c r="G80" i="14"/>
  <c r="F80" i="14"/>
  <c r="E80" i="14"/>
  <c r="D80" i="14"/>
  <c r="C80" i="14"/>
  <c r="H79" i="14"/>
  <c r="G79" i="14"/>
  <c r="F79" i="14"/>
  <c r="E79" i="14"/>
  <c r="D79" i="14"/>
  <c r="C79" i="14"/>
  <c r="H78" i="14"/>
  <c r="G78" i="14"/>
  <c r="F78" i="14"/>
  <c r="E78" i="14"/>
  <c r="D78" i="14"/>
  <c r="C78" i="14"/>
  <c r="H77" i="14"/>
  <c r="G77" i="14"/>
  <c r="F77" i="14"/>
  <c r="E77" i="14"/>
  <c r="D77" i="14"/>
  <c r="C77" i="14"/>
  <c r="H76" i="14"/>
  <c r="G76" i="14"/>
  <c r="F76" i="14"/>
  <c r="E76" i="14"/>
  <c r="D76" i="14"/>
  <c r="C76" i="14"/>
  <c r="H75" i="14"/>
  <c r="G75" i="14"/>
  <c r="F75" i="14"/>
  <c r="E75" i="14"/>
  <c r="D75" i="14"/>
  <c r="C75" i="14"/>
  <c r="H74" i="14"/>
  <c r="G74" i="14"/>
  <c r="F74" i="14"/>
  <c r="E74" i="14"/>
  <c r="D74" i="14"/>
  <c r="C74" i="14"/>
  <c r="H73" i="14"/>
  <c r="G73" i="14"/>
  <c r="F73" i="14"/>
  <c r="E73" i="14"/>
  <c r="D73" i="14"/>
  <c r="C73" i="14"/>
  <c r="H72" i="14"/>
  <c r="G72" i="14"/>
  <c r="F72" i="14"/>
  <c r="E72" i="14"/>
  <c r="D72" i="14"/>
  <c r="C72" i="14"/>
  <c r="H71" i="14"/>
  <c r="G71" i="14"/>
  <c r="F71" i="14"/>
  <c r="E71" i="14"/>
  <c r="D71" i="14"/>
  <c r="C71" i="14"/>
  <c r="H70" i="14"/>
  <c r="G70" i="14"/>
  <c r="F70" i="14"/>
  <c r="E70" i="14"/>
  <c r="D70" i="14"/>
  <c r="C70" i="14"/>
  <c r="H69" i="14"/>
  <c r="G69" i="14"/>
  <c r="F69" i="14"/>
  <c r="E69" i="14"/>
  <c r="D69" i="14"/>
  <c r="C69" i="14"/>
  <c r="H68" i="14"/>
  <c r="G68" i="14"/>
  <c r="F68" i="14"/>
  <c r="E68" i="14"/>
  <c r="D68" i="14"/>
  <c r="C68" i="14"/>
  <c r="H67" i="14"/>
  <c r="G67" i="14"/>
  <c r="F67" i="14"/>
  <c r="E67" i="14"/>
  <c r="D67" i="14"/>
  <c r="C67" i="14"/>
  <c r="H66" i="14"/>
  <c r="G66" i="14"/>
  <c r="F66" i="14"/>
  <c r="E66" i="14"/>
  <c r="D66" i="14"/>
  <c r="C66" i="14"/>
  <c r="H65" i="14"/>
  <c r="G65" i="14"/>
  <c r="F65" i="14"/>
  <c r="E65" i="14"/>
  <c r="D65" i="14"/>
  <c r="C65" i="14"/>
  <c r="H64" i="14"/>
  <c r="G64" i="14"/>
  <c r="F64" i="14"/>
  <c r="E64" i="14"/>
  <c r="D64" i="14"/>
  <c r="C64" i="14"/>
  <c r="H63" i="14"/>
  <c r="G63" i="14"/>
  <c r="F63" i="14"/>
  <c r="E63" i="14"/>
  <c r="D63" i="14"/>
  <c r="C63" i="14"/>
  <c r="H62" i="14"/>
  <c r="G62" i="14"/>
  <c r="F62" i="14"/>
  <c r="E62" i="14"/>
  <c r="D62" i="14"/>
  <c r="C62" i="14"/>
  <c r="H61" i="14"/>
  <c r="G61" i="14"/>
  <c r="F61" i="14"/>
  <c r="E61" i="14"/>
  <c r="D61" i="14"/>
  <c r="C61" i="14"/>
  <c r="H60" i="14"/>
  <c r="G60" i="14"/>
  <c r="F60" i="14"/>
  <c r="E60" i="14"/>
  <c r="D60" i="14"/>
  <c r="C60" i="14"/>
  <c r="H59" i="14"/>
  <c r="G59" i="14"/>
  <c r="F59" i="14"/>
  <c r="E59" i="14"/>
  <c r="D59" i="14"/>
  <c r="C59" i="14"/>
  <c r="H58" i="14"/>
  <c r="G58" i="14"/>
  <c r="F58" i="14"/>
  <c r="E58" i="14"/>
  <c r="D58" i="14"/>
  <c r="C58" i="14"/>
  <c r="H57" i="14"/>
  <c r="G57" i="14"/>
  <c r="F57" i="14"/>
  <c r="E57" i="14"/>
  <c r="D57" i="14"/>
  <c r="C57" i="14"/>
  <c r="H56" i="14"/>
  <c r="G56" i="14"/>
  <c r="F56" i="14"/>
  <c r="E56" i="14"/>
  <c r="D56" i="14"/>
  <c r="C56" i="14"/>
  <c r="H55" i="14"/>
  <c r="G55" i="14"/>
  <c r="F55" i="14"/>
  <c r="E55" i="14"/>
  <c r="D55" i="14"/>
  <c r="C55" i="14"/>
  <c r="H54" i="14"/>
  <c r="G54" i="14"/>
  <c r="F54" i="14"/>
  <c r="E54" i="14"/>
  <c r="D54" i="14"/>
  <c r="C54" i="14"/>
  <c r="H53" i="14"/>
  <c r="G53" i="14"/>
  <c r="F53" i="14"/>
  <c r="E53" i="14"/>
  <c r="D53" i="14"/>
  <c r="C53" i="14"/>
  <c r="H52" i="14"/>
  <c r="G52" i="14"/>
  <c r="F52" i="14"/>
  <c r="E52" i="14"/>
  <c r="D52" i="14"/>
  <c r="C52" i="14"/>
  <c r="H51" i="14"/>
  <c r="G51" i="14"/>
  <c r="F51" i="14"/>
  <c r="E51" i="14"/>
  <c r="D51" i="14"/>
  <c r="C51" i="14"/>
  <c r="H50" i="14"/>
  <c r="G50" i="14"/>
  <c r="F50" i="14"/>
  <c r="E50" i="14"/>
  <c r="D50" i="14"/>
  <c r="C50" i="14"/>
  <c r="H49" i="14"/>
  <c r="G49" i="14"/>
  <c r="F49" i="14"/>
  <c r="E49" i="14"/>
  <c r="D49" i="14"/>
  <c r="C49" i="14"/>
  <c r="H48" i="14"/>
  <c r="G48" i="14"/>
  <c r="F48" i="14"/>
  <c r="E48" i="14"/>
  <c r="D48" i="14"/>
  <c r="C48" i="14"/>
  <c r="H47" i="14"/>
  <c r="G47" i="14"/>
  <c r="F47" i="14"/>
  <c r="E47" i="14"/>
  <c r="D47" i="14"/>
  <c r="C47" i="14"/>
  <c r="H46" i="14"/>
  <c r="G46" i="14"/>
  <c r="F46" i="14"/>
  <c r="E46" i="14"/>
  <c r="D46" i="14"/>
  <c r="C46" i="14"/>
  <c r="H45" i="14"/>
  <c r="G45" i="14"/>
  <c r="F45" i="14"/>
  <c r="E45" i="14"/>
  <c r="D45" i="14"/>
  <c r="C45" i="14"/>
  <c r="H44" i="14"/>
  <c r="G44" i="14"/>
  <c r="F44" i="14"/>
  <c r="E44" i="14"/>
  <c r="D44" i="14"/>
  <c r="C44" i="14"/>
  <c r="H43" i="14"/>
  <c r="G43" i="14"/>
  <c r="F43" i="14"/>
  <c r="E43" i="14"/>
  <c r="D43" i="14"/>
  <c r="C43" i="14"/>
  <c r="H42" i="14"/>
  <c r="G42" i="14"/>
  <c r="F42" i="14"/>
  <c r="E42" i="14"/>
  <c r="D42" i="14"/>
  <c r="C42" i="14"/>
  <c r="H41" i="14"/>
  <c r="G41" i="14"/>
  <c r="F41" i="14"/>
  <c r="E41" i="14"/>
  <c r="D41" i="14"/>
  <c r="C41" i="14"/>
  <c r="H40" i="14"/>
  <c r="G40" i="14"/>
  <c r="F40" i="14"/>
  <c r="E40" i="14"/>
  <c r="D40" i="14"/>
  <c r="C40" i="14"/>
  <c r="H39" i="14"/>
  <c r="G39" i="14"/>
  <c r="F39" i="14"/>
  <c r="E39" i="14"/>
  <c r="D39" i="14"/>
  <c r="C39" i="14"/>
  <c r="H38" i="14"/>
  <c r="G38" i="14"/>
  <c r="F38" i="14"/>
  <c r="E38" i="14"/>
  <c r="D38" i="14"/>
  <c r="C38" i="14"/>
  <c r="H37" i="14"/>
  <c r="G37" i="14"/>
  <c r="F37" i="14"/>
  <c r="E37" i="14"/>
  <c r="D37" i="14"/>
  <c r="C37" i="14"/>
  <c r="H36" i="14"/>
  <c r="G36" i="14"/>
  <c r="F36" i="14"/>
  <c r="E36" i="14"/>
  <c r="D36" i="14"/>
  <c r="C36" i="14"/>
  <c r="H35" i="14"/>
  <c r="G35" i="14"/>
  <c r="F35" i="14"/>
  <c r="E35" i="14"/>
  <c r="D35" i="14"/>
  <c r="C35" i="14"/>
  <c r="H34" i="14"/>
  <c r="G34" i="14"/>
  <c r="F34" i="14"/>
  <c r="E34" i="14"/>
  <c r="D34" i="14"/>
  <c r="C34" i="14"/>
  <c r="H33" i="14"/>
  <c r="G33" i="14"/>
  <c r="F33" i="14"/>
  <c r="E33" i="14"/>
  <c r="D33" i="14"/>
  <c r="C33" i="14"/>
  <c r="H32" i="14"/>
  <c r="G32" i="14"/>
  <c r="F32" i="14"/>
  <c r="E32" i="14"/>
  <c r="D32" i="14"/>
  <c r="C32" i="14"/>
  <c r="H31" i="14"/>
  <c r="G31" i="14"/>
  <c r="F31" i="14"/>
  <c r="E31" i="14"/>
  <c r="D31" i="14"/>
  <c r="C31" i="14"/>
  <c r="H30" i="14"/>
  <c r="G30" i="14"/>
  <c r="F30" i="14"/>
  <c r="E30" i="14"/>
  <c r="D30" i="14"/>
  <c r="C30" i="14"/>
  <c r="H29" i="14"/>
  <c r="G29" i="14"/>
  <c r="F29" i="14"/>
  <c r="E29" i="14"/>
  <c r="D29" i="14"/>
  <c r="C29" i="14"/>
  <c r="H28" i="14"/>
  <c r="G28" i="14"/>
  <c r="F28" i="14"/>
  <c r="E28" i="14"/>
  <c r="D28" i="14"/>
  <c r="C28" i="14"/>
  <c r="H27" i="14"/>
  <c r="G27" i="14"/>
  <c r="F27" i="14"/>
  <c r="E27" i="14"/>
  <c r="D27" i="14"/>
  <c r="C27" i="14"/>
  <c r="H26" i="14"/>
  <c r="G26" i="14"/>
  <c r="F26" i="14"/>
  <c r="E26" i="14"/>
  <c r="D26" i="14"/>
  <c r="C26" i="14"/>
  <c r="H25" i="14"/>
  <c r="G25" i="14"/>
  <c r="F25" i="14"/>
  <c r="E25" i="14"/>
  <c r="D25" i="14"/>
  <c r="C25" i="14"/>
  <c r="H24" i="14"/>
  <c r="G24" i="14"/>
  <c r="F24" i="14"/>
  <c r="E24" i="14"/>
  <c r="D24" i="14"/>
  <c r="C24" i="14"/>
  <c r="H23" i="14"/>
  <c r="G23" i="14"/>
  <c r="F23" i="14"/>
  <c r="E23" i="14"/>
  <c r="D23" i="14"/>
  <c r="C23" i="14"/>
  <c r="H22" i="14"/>
  <c r="G22" i="14"/>
  <c r="F22" i="14"/>
  <c r="E22" i="14"/>
  <c r="D22" i="14"/>
  <c r="C22" i="14"/>
  <c r="H21" i="14"/>
  <c r="G21" i="14"/>
  <c r="F21" i="14"/>
  <c r="E21" i="14"/>
  <c r="D21" i="14"/>
  <c r="C21" i="14"/>
  <c r="H20" i="14"/>
  <c r="G20" i="14"/>
  <c r="F20" i="14"/>
  <c r="E20" i="14"/>
  <c r="D20" i="14"/>
  <c r="C20" i="14"/>
  <c r="H19" i="14"/>
  <c r="G19" i="14"/>
  <c r="F19" i="14"/>
  <c r="E19" i="14"/>
  <c r="D19" i="14"/>
  <c r="C19" i="14"/>
  <c r="H18" i="14"/>
  <c r="G18" i="14"/>
  <c r="F18" i="14"/>
  <c r="E18" i="14"/>
  <c r="D18" i="14"/>
  <c r="C18" i="14"/>
  <c r="H17" i="14"/>
  <c r="G17" i="14"/>
  <c r="F17" i="14"/>
  <c r="E17" i="14"/>
  <c r="D17" i="14"/>
  <c r="C17" i="14"/>
  <c r="H16" i="14"/>
  <c r="G16" i="14"/>
  <c r="F16" i="14"/>
  <c r="E16" i="14"/>
  <c r="D16" i="14"/>
  <c r="C16" i="14"/>
  <c r="H15" i="14"/>
  <c r="G15" i="14"/>
  <c r="F15" i="14"/>
  <c r="E15" i="14"/>
  <c r="D15" i="14"/>
  <c r="C15" i="14"/>
  <c r="H14" i="14"/>
  <c r="G14" i="14"/>
  <c r="F14" i="14"/>
  <c r="E14" i="14"/>
  <c r="D14" i="14"/>
  <c r="C14" i="14"/>
  <c r="H13" i="14"/>
  <c r="G13" i="14"/>
  <c r="F13" i="14"/>
  <c r="E13" i="14"/>
  <c r="D13" i="14"/>
  <c r="C13" i="14"/>
  <c r="H12" i="14"/>
  <c r="G12" i="14"/>
  <c r="F12" i="14"/>
  <c r="E12" i="14"/>
  <c r="D12" i="14"/>
  <c r="C12" i="14"/>
  <c r="H11" i="14"/>
  <c r="G11" i="14"/>
  <c r="F11" i="14"/>
  <c r="E11" i="14"/>
  <c r="D11" i="14"/>
  <c r="C11" i="14"/>
  <c r="H10" i="14"/>
  <c r="G10" i="14"/>
  <c r="F10" i="14"/>
  <c r="E10" i="14"/>
  <c r="D10" i="14"/>
  <c r="C10" i="14"/>
  <c r="H9" i="14"/>
  <c r="G9" i="14"/>
  <c r="F9" i="14"/>
  <c r="E9" i="14"/>
  <c r="D9" i="14"/>
  <c r="C9" i="14"/>
  <c r="H8" i="14"/>
  <c r="G8" i="14"/>
  <c r="F8" i="14"/>
  <c r="E8" i="14"/>
  <c r="D8" i="14"/>
  <c r="C8" i="14"/>
  <c r="H7" i="14"/>
  <c r="G7" i="14"/>
  <c r="F7" i="14"/>
  <c r="E7" i="14"/>
  <c r="D7" i="14"/>
  <c r="C7" i="14"/>
  <c r="H6" i="14"/>
  <c r="G6" i="14"/>
  <c r="F6" i="14"/>
  <c r="E6" i="14"/>
  <c r="D6" i="14"/>
  <c r="C6" i="14"/>
  <c r="H5" i="14"/>
  <c r="G5" i="14"/>
  <c r="F5" i="14"/>
  <c r="E5" i="14"/>
  <c r="D5" i="14"/>
  <c r="C5" i="14"/>
  <c r="B117" i="14"/>
  <c r="B114" i="14"/>
  <c r="B111" i="14"/>
  <c r="B110" i="14"/>
  <c r="B107" i="14"/>
  <c r="B106" i="14"/>
  <c r="B104" i="14"/>
  <c r="B101" i="14"/>
  <c r="B98" i="14"/>
  <c r="B95" i="14"/>
  <c r="B94" i="14"/>
  <c r="B91" i="14"/>
  <c r="B90" i="14"/>
  <c r="B88" i="14"/>
  <c r="B85" i="14"/>
  <c r="B82" i="14"/>
  <c r="B79" i="14"/>
  <c r="B78" i="14"/>
  <c r="B75" i="14"/>
  <c r="B74" i="14"/>
  <c r="B72" i="14"/>
  <c r="B69" i="14"/>
  <c r="B66" i="14"/>
  <c r="B63" i="14"/>
  <c r="B62" i="14"/>
  <c r="B59" i="14"/>
  <c r="B58" i="14"/>
  <c r="B56" i="14"/>
  <c r="B53" i="14"/>
  <c r="B50" i="14"/>
  <c r="B47" i="14"/>
  <c r="B46" i="14"/>
  <c r="B43" i="14"/>
  <c r="B42" i="14"/>
  <c r="B40" i="14"/>
  <c r="B37" i="14"/>
  <c r="B34" i="14"/>
  <c r="B31" i="14"/>
  <c r="B30" i="14"/>
  <c r="B27" i="14"/>
  <c r="B26" i="14"/>
  <c r="B24" i="14"/>
  <c r="B21" i="14"/>
  <c r="B18" i="14"/>
  <c r="B15" i="14"/>
  <c r="B14" i="14"/>
  <c r="B11" i="14"/>
  <c r="B10" i="14"/>
  <c r="B8" i="14"/>
  <c r="B5" i="14"/>
  <c r="B4" i="14" a="1"/>
  <c r="B113" i="14" s="1"/>
  <c r="G257" i="13"/>
  <c r="F257" i="13"/>
  <c r="E257" i="13"/>
  <c r="D257" i="13"/>
  <c r="C257" i="13"/>
  <c r="H256" i="13"/>
  <c r="G256" i="13"/>
  <c r="F256" i="13"/>
  <c r="E256" i="13"/>
  <c r="D256" i="13"/>
  <c r="C256" i="13"/>
  <c r="H255" i="13"/>
  <c r="G255" i="13"/>
  <c r="F255" i="13"/>
  <c r="E255" i="13"/>
  <c r="D255" i="13"/>
  <c r="C255" i="13"/>
  <c r="H254" i="13"/>
  <c r="G254" i="13"/>
  <c r="F254" i="13"/>
  <c r="E254" i="13"/>
  <c r="D254" i="13"/>
  <c r="C254" i="13"/>
  <c r="H253" i="13"/>
  <c r="G253" i="13"/>
  <c r="F253" i="13"/>
  <c r="E253" i="13"/>
  <c r="D253" i="13"/>
  <c r="C253" i="13"/>
  <c r="H252" i="13"/>
  <c r="G252" i="13"/>
  <c r="F252" i="13"/>
  <c r="E252" i="13"/>
  <c r="D252" i="13"/>
  <c r="C252" i="13"/>
  <c r="H251" i="13"/>
  <c r="G251" i="13"/>
  <c r="F251" i="13"/>
  <c r="E251" i="13"/>
  <c r="D251" i="13"/>
  <c r="C251" i="13"/>
  <c r="H250" i="13"/>
  <c r="G250" i="13"/>
  <c r="F250" i="13"/>
  <c r="E250" i="13"/>
  <c r="D250" i="13"/>
  <c r="C250" i="13"/>
  <c r="H249" i="13"/>
  <c r="G249" i="13"/>
  <c r="F249" i="13"/>
  <c r="E249" i="13"/>
  <c r="D249" i="13"/>
  <c r="C249" i="13"/>
  <c r="H248" i="13"/>
  <c r="G248" i="13"/>
  <c r="F248" i="13"/>
  <c r="E248" i="13"/>
  <c r="D248" i="13"/>
  <c r="C248" i="13"/>
  <c r="H247" i="13"/>
  <c r="G247" i="13"/>
  <c r="F247" i="13"/>
  <c r="E247" i="13"/>
  <c r="D247" i="13"/>
  <c r="C247" i="13"/>
  <c r="H246" i="13"/>
  <c r="G246" i="13"/>
  <c r="F246" i="13"/>
  <c r="E246" i="13"/>
  <c r="D246" i="13"/>
  <c r="C246" i="13"/>
  <c r="H245" i="13"/>
  <c r="G245" i="13"/>
  <c r="F245" i="13"/>
  <c r="E245" i="13"/>
  <c r="D245" i="13"/>
  <c r="C245" i="13"/>
  <c r="H244" i="13"/>
  <c r="G244" i="13"/>
  <c r="F244" i="13"/>
  <c r="E244" i="13"/>
  <c r="D244" i="13"/>
  <c r="C244" i="13"/>
  <c r="H243" i="13"/>
  <c r="G243" i="13"/>
  <c r="F243" i="13"/>
  <c r="E243" i="13"/>
  <c r="D243" i="13"/>
  <c r="C243" i="13"/>
  <c r="H242" i="13"/>
  <c r="G242" i="13"/>
  <c r="F242" i="13"/>
  <c r="E242" i="13"/>
  <c r="D242" i="13"/>
  <c r="C242" i="13"/>
  <c r="H241" i="13"/>
  <c r="G241" i="13"/>
  <c r="F241" i="13"/>
  <c r="E241" i="13"/>
  <c r="D241" i="13"/>
  <c r="C241" i="13"/>
  <c r="H240" i="13"/>
  <c r="G240" i="13"/>
  <c r="F240" i="13"/>
  <c r="E240" i="13"/>
  <c r="D240" i="13"/>
  <c r="C240" i="13"/>
  <c r="H239" i="13"/>
  <c r="G239" i="13"/>
  <c r="F239" i="13"/>
  <c r="E239" i="13"/>
  <c r="D239" i="13"/>
  <c r="C239" i="13"/>
  <c r="H238" i="13"/>
  <c r="G238" i="13"/>
  <c r="F238" i="13"/>
  <c r="E238" i="13"/>
  <c r="D238" i="13"/>
  <c r="C238" i="13"/>
  <c r="H237" i="13"/>
  <c r="G237" i="13"/>
  <c r="F237" i="13"/>
  <c r="E237" i="13"/>
  <c r="D237" i="13"/>
  <c r="C237" i="13"/>
  <c r="H236" i="13"/>
  <c r="G236" i="13"/>
  <c r="F236" i="13"/>
  <c r="E236" i="13"/>
  <c r="D236" i="13"/>
  <c r="C236" i="13"/>
  <c r="H235" i="13"/>
  <c r="G235" i="13"/>
  <c r="F235" i="13"/>
  <c r="E235" i="13"/>
  <c r="D235" i="13"/>
  <c r="C235" i="13"/>
  <c r="H234" i="13"/>
  <c r="G234" i="13"/>
  <c r="F234" i="13"/>
  <c r="E234" i="13"/>
  <c r="D234" i="13"/>
  <c r="C234" i="13"/>
  <c r="H233" i="13"/>
  <c r="G233" i="13"/>
  <c r="F233" i="13"/>
  <c r="E233" i="13"/>
  <c r="D233" i="13"/>
  <c r="C233" i="13"/>
  <c r="H232" i="13"/>
  <c r="G232" i="13"/>
  <c r="F232" i="13"/>
  <c r="E232" i="13"/>
  <c r="D232" i="13"/>
  <c r="C232" i="13"/>
  <c r="H231" i="13"/>
  <c r="G231" i="13"/>
  <c r="F231" i="13"/>
  <c r="E231" i="13"/>
  <c r="D231" i="13"/>
  <c r="C231" i="13"/>
  <c r="H230" i="13"/>
  <c r="G230" i="13"/>
  <c r="F230" i="13"/>
  <c r="E230" i="13"/>
  <c r="D230" i="13"/>
  <c r="C230" i="13"/>
  <c r="H229" i="13"/>
  <c r="G229" i="13"/>
  <c r="F229" i="13"/>
  <c r="E229" i="13"/>
  <c r="D229" i="13"/>
  <c r="C229" i="13"/>
  <c r="H228" i="13"/>
  <c r="G228" i="13"/>
  <c r="F228" i="13"/>
  <c r="E228" i="13"/>
  <c r="D228" i="13"/>
  <c r="C228" i="13"/>
  <c r="H227" i="13"/>
  <c r="G227" i="13"/>
  <c r="F227" i="13"/>
  <c r="E227" i="13"/>
  <c r="D227" i="13"/>
  <c r="C227" i="13"/>
  <c r="H226" i="13"/>
  <c r="G226" i="13"/>
  <c r="F226" i="13"/>
  <c r="E226" i="13"/>
  <c r="D226" i="13"/>
  <c r="C226" i="13"/>
  <c r="H225" i="13"/>
  <c r="G225" i="13"/>
  <c r="F225" i="13"/>
  <c r="E225" i="13"/>
  <c r="D225" i="13"/>
  <c r="C225" i="13"/>
  <c r="H224" i="13"/>
  <c r="G224" i="13"/>
  <c r="F224" i="13"/>
  <c r="E224" i="13"/>
  <c r="D224" i="13"/>
  <c r="C224" i="13"/>
  <c r="H223" i="13"/>
  <c r="G223" i="13"/>
  <c r="F223" i="13"/>
  <c r="E223" i="13"/>
  <c r="D223" i="13"/>
  <c r="C223" i="13"/>
  <c r="H222" i="13"/>
  <c r="G222" i="13"/>
  <c r="F222" i="13"/>
  <c r="E222" i="13"/>
  <c r="D222" i="13"/>
  <c r="C222" i="13"/>
  <c r="H221" i="13"/>
  <c r="G221" i="13"/>
  <c r="F221" i="13"/>
  <c r="E221" i="13"/>
  <c r="D221" i="13"/>
  <c r="C221" i="13"/>
  <c r="H220" i="13"/>
  <c r="G220" i="13"/>
  <c r="F220" i="13"/>
  <c r="E220" i="13"/>
  <c r="D220" i="13"/>
  <c r="C220" i="13"/>
  <c r="H219" i="13"/>
  <c r="G219" i="13"/>
  <c r="F219" i="13"/>
  <c r="E219" i="13"/>
  <c r="D219" i="13"/>
  <c r="C219" i="13"/>
  <c r="H218" i="13"/>
  <c r="G218" i="13"/>
  <c r="F218" i="13"/>
  <c r="E218" i="13"/>
  <c r="D218" i="13"/>
  <c r="C218" i="13"/>
  <c r="H217" i="13"/>
  <c r="G217" i="13"/>
  <c r="F217" i="13"/>
  <c r="E217" i="13"/>
  <c r="D217" i="13"/>
  <c r="C217" i="13"/>
  <c r="H216" i="13"/>
  <c r="G216" i="13"/>
  <c r="F216" i="13"/>
  <c r="E216" i="13"/>
  <c r="D216" i="13"/>
  <c r="C216" i="13"/>
  <c r="H215" i="13"/>
  <c r="G215" i="13"/>
  <c r="F215" i="13"/>
  <c r="E215" i="13"/>
  <c r="D215" i="13"/>
  <c r="C215" i="13"/>
  <c r="H214" i="13"/>
  <c r="G214" i="13"/>
  <c r="F214" i="13"/>
  <c r="E214" i="13"/>
  <c r="D214" i="13"/>
  <c r="C214" i="13"/>
  <c r="H213" i="13"/>
  <c r="G213" i="13"/>
  <c r="F213" i="13"/>
  <c r="E213" i="13"/>
  <c r="D213" i="13"/>
  <c r="C213" i="13"/>
  <c r="H212" i="13"/>
  <c r="G212" i="13"/>
  <c r="F212" i="13"/>
  <c r="E212" i="13"/>
  <c r="D212" i="13"/>
  <c r="C212" i="13"/>
  <c r="H211" i="13"/>
  <c r="G211" i="13"/>
  <c r="F211" i="13"/>
  <c r="E211" i="13"/>
  <c r="D211" i="13"/>
  <c r="C211" i="13"/>
  <c r="H210" i="13"/>
  <c r="G210" i="13"/>
  <c r="F210" i="13"/>
  <c r="E210" i="13"/>
  <c r="D210" i="13"/>
  <c r="C210" i="13"/>
  <c r="H209" i="13"/>
  <c r="G209" i="13"/>
  <c r="F209" i="13"/>
  <c r="E209" i="13"/>
  <c r="D209" i="13"/>
  <c r="C209" i="13"/>
  <c r="H208" i="13"/>
  <c r="G208" i="13"/>
  <c r="F208" i="13"/>
  <c r="E208" i="13"/>
  <c r="D208" i="13"/>
  <c r="C208" i="13"/>
  <c r="H207" i="13"/>
  <c r="G207" i="13"/>
  <c r="F207" i="13"/>
  <c r="E207" i="13"/>
  <c r="D207" i="13"/>
  <c r="C207" i="13"/>
  <c r="H206" i="13"/>
  <c r="G206" i="13"/>
  <c r="F206" i="13"/>
  <c r="E206" i="13"/>
  <c r="D206" i="13"/>
  <c r="C206" i="13"/>
  <c r="H205" i="13"/>
  <c r="G205" i="13"/>
  <c r="F205" i="13"/>
  <c r="E205" i="13"/>
  <c r="D205" i="13"/>
  <c r="C205" i="13"/>
  <c r="H204" i="13"/>
  <c r="G204" i="13"/>
  <c r="F204" i="13"/>
  <c r="E204" i="13"/>
  <c r="D204" i="13"/>
  <c r="C204" i="13"/>
  <c r="H203" i="13"/>
  <c r="G203" i="13"/>
  <c r="F203" i="13"/>
  <c r="E203" i="13"/>
  <c r="D203" i="13"/>
  <c r="C203" i="13"/>
  <c r="H202" i="13"/>
  <c r="G202" i="13"/>
  <c r="F202" i="13"/>
  <c r="E202" i="13"/>
  <c r="D202" i="13"/>
  <c r="C202" i="13"/>
  <c r="H201" i="13"/>
  <c r="G201" i="13"/>
  <c r="F201" i="13"/>
  <c r="E201" i="13"/>
  <c r="D201" i="13"/>
  <c r="C201" i="13"/>
  <c r="H200" i="13"/>
  <c r="G200" i="13"/>
  <c r="F200" i="13"/>
  <c r="E200" i="13"/>
  <c r="D200" i="13"/>
  <c r="C200" i="13"/>
  <c r="H199" i="13"/>
  <c r="G199" i="13"/>
  <c r="F199" i="13"/>
  <c r="E199" i="13"/>
  <c r="D199" i="13"/>
  <c r="C199" i="13"/>
  <c r="H198" i="13"/>
  <c r="G198" i="13"/>
  <c r="F198" i="13"/>
  <c r="E198" i="13"/>
  <c r="D198" i="13"/>
  <c r="C198" i="13"/>
  <c r="H197" i="13"/>
  <c r="G197" i="13"/>
  <c r="F197" i="13"/>
  <c r="E197" i="13"/>
  <c r="D197" i="13"/>
  <c r="C197" i="13"/>
  <c r="H196" i="13"/>
  <c r="G196" i="13"/>
  <c r="F196" i="13"/>
  <c r="E196" i="13"/>
  <c r="D196" i="13"/>
  <c r="C196" i="13"/>
  <c r="H195" i="13"/>
  <c r="G195" i="13"/>
  <c r="F195" i="13"/>
  <c r="E195" i="13"/>
  <c r="D195" i="13"/>
  <c r="C195" i="13"/>
  <c r="H194" i="13"/>
  <c r="G194" i="13"/>
  <c r="F194" i="13"/>
  <c r="E194" i="13"/>
  <c r="D194" i="13"/>
  <c r="C194" i="13"/>
  <c r="H193" i="13"/>
  <c r="G193" i="13"/>
  <c r="F193" i="13"/>
  <c r="E193" i="13"/>
  <c r="D193" i="13"/>
  <c r="C193" i="13"/>
  <c r="H192" i="13"/>
  <c r="G192" i="13"/>
  <c r="F192" i="13"/>
  <c r="E192" i="13"/>
  <c r="D192" i="13"/>
  <c r="C192" i="13"/>
  <c r="H191" i="13"/>
  <c r="G191" i="13"/>
  <c r="F191" i="13"/>
  <c r="E191" i="13"/>
  <c r="D191" i="13"/>
  <c r="C191" i="13"/>
  <c r="H190" i="13"/>
  <c r="G190" i="13"/>
  <c r="F190" i="13"/>
  <c r="E190" i="13"/>
  <c r="D190" i="13"/>
  <c r="C190" i="13"/>
  <c r="H189" i="13"/>
  <c r="G189" i="13"/>
  <c r="F189" i="13"/>
  <c r="E189" i="13"/>
  <c r="D189" i="13"/>
  <c r="C189" i="13"/>
  <c r="H188" i="13"/>
  <c r="G188" i="13"/>
  <c r="F188" i="13"/>
  <c r="E188" i="13"/>
  <c r="D188" i="13"/>
  <c r="C188" i="13"/>
  <c r="H187" i="13"/>
  <c r="G187" i="13"/>
  <c r="F187" i="13"/>
  <c r="E187" i="13"/>
  <c r="D187" i="13"/>
  <c r="C187" i="13"/>
  <c r="H186" i="13"/>
  <c r="G186" i="13"/>
  <c r="F186" i="13"/>
  <c r="E186" i="13"/>
  <c r="D186" i="13"/>
  <c r="C186" i="13"/>
  <c r="H185" i="13"/>
  <c r="G185" i="13"/>
  <c r="F185" i="13"/>
  <c r="E185" i="13"/>
  <c r="D185" i="13"/>
  <c r="C185" i="13"/>
  <c r="H184" i="13"/>
  <c r="G184" i="13"/>
  <c r="F184" i="13"/>
  <c r="E184" i="13"/>
  <c r="D184" i="13"/>
  <c r="C184" i="13"/>
  <c r="H183" i="13"/>
  <c r="G183" i="13"/>
  <c r="F183" i="13"/>
  <c r="E183" i="13"/>
  <c r="D183" i="13"/>
  <c r="C183" i="13"/>
  <c r="H182" i="13"/>
  <c r="G182" i="13"/>
  <c r="F182" i="13"/>
  <c r="E182" i="13"/>
  <c r="D182" i="13"/>
  <c r="C182" i="13"/>
  <c r="H181" i="13"/>
  <c r="G181" i="13"/>
  <c r="F181" i="13"/>
  <c r="E181" i="13"/>
  <c r="D181" i="13"/>
  <c r="C181" i="13"/>
  <c r="H180" i="13"/>
  <c r="G180" i="13"/>
  <c r="F180" i="13"/>
  <c r="E180" i="13"/>
  <c r="D180" i="13"/>
  <c r="C180" i="13"/>
  <c r="H179" i="13"/>
  <c r="G179" i="13"/>
  <c r="F179" i="13"/>
  <c r="E179" i="13"/>
  <c r="D179" i="13"/>
  <c r="C179" i="13"/>
  <c r="H178" i="13"/>
  <c r="G178" i="13"/>
  <c r="F178" i="13"/>
  <c r="E178" i="13"/>
  <c r="D178" i="13"/>
  <c r="C178" i="13"/>
  <c r="H177" i="13"/>
  <c r="G177" i="13"/>
  <c r="F177" i="13"/>
  <c r="E177" i="13"/>
  <c r="D177" i="13"/>
  <c r="C177" i="13"/>
  <c r="H176" i="13"/>
  <c r="G176" i="13"/>
  <c r="F176" i="13"/>
  <c r="E176" i="13"/>
  <c r="D176" i="13"/>
  <c r="C176" i="13"/>
  <c r="H175" i="13"/>
  <c r="G175" i="13"/>
  <c r="F175" i="13"/>
  <c r="E175" i="13"/>
  <c r="D175" i="13"/>
  <c r="C175" i="13"/>
  <c r="H174" i="13"/>
  <c r="G174" i="13"/>
  <c r="F174" i="13"/>
  <c r="E174" i="13"/>
  <c r="D174" i="13"/>
  <c r="C174" i="13"/>
  <c r="H173" i="13"/>
  <c r="G173" i="13"/>
  <c r="F173" i="13"/>
  <c r="E173" i="13"/>
  <c r="D173" i="13"/>
  <c r="C173" i="13"/>
  <c r="H172" i="13"/>
  <c r="G172" i="13"/>
  <c r="F172" i="13"/>
  <c r="E172" i="13"/>
  <c r="D172" i="13"/>
  <c r="C172" i="13"/>
  <c r="H171" i="13"/>
  <c r="G171" i="13"/>
  <c r="F171" i="13"/>
  <c r="E171" i="13"/>
  <c r="D171" i="13"/>
  <c r="C171" i="13"/>
  <c r="H170" i="13"/>
  <c r="G170" i="13"/>
  <c r="F170" i="13"/>
  <c r="E170" i="13"/>
  <c r="D170" i="13"/>
  <c r="C170" i="13"/>
  <c r="H169" i="13"/>
  <c r="G169" i="13"/>
  <c r="F169" i="13"/>
  <c r="E169" i="13"/>
  <c r="D169" i="13"/>
  <c r="C169" i="13"/>
  <c r="H168" i="13"/>
  <c r="G168" i="13"/>
  <c r="F168" i="13"/>
  <c r="E168" i="13"/>
  <c r="D168" i="13"/>
  <c r="C168" i="13"/>
  <c r="H167" i="13"/>
  <c r="G167" i="13"/>
  <c r="F167" i="13"/>
  <c r="E167" i="13"/>
  <c r="D167" i="13"/>
  <c r="C167" i="13"/>
  <c r="H166" i="13"/>
  <c r="G166" i="13"/>
  <c r="F166" i="13"/>
  <c r="E166" i="13"/>
  <c r="D166" i="13"/>
  <c r="C166" i="13"/>
  <c r="H165" i="13"/>
  <c r="G165" i="13"/>
  <c r="F165" i="13"/>
  <c r="E165" i="13"/>
  <c r="D165" i="13"/>
  <c r="C165" i="13"/>
  <c r="H164" i="13"/>
  <c r="G164" i="13"/>
  <c r="F164" i="13"/>
  <c r="E164" i="13"/>
  <c r="D164" i="13"/>
  <c r="C164" i="13"/>
  <c r="H163" i="13"/>
  <c r="G163" i="13"/>
  <c r="F163" i="13"/>
  <c r="E163" i="13"/>
  <c r="D163" i="13"/>
  <c r="C163" i="13"/>
  <c r="H162" i="13"/>
  <c r="G162" i="13"/>
  <c r="F162" i="13"/>
  <c r="E162" i="13"/>
  <c r="D162" i="13"/>
  <c r="C162" i="13"/>
  <c r="H161" i="13"/>
  <c r="G161" i="13"/>
  <c r="F161" i="13"/>
  <c r="E161" i="13"/>
  <c r="D161" i="13"/>
  <c r="C161" i="13"/>
  <c r="H160" i="13"/>
  <c r="G160" i="13"/>
  <c r="F160" i="13"/>
  <c r="E160" i="13"/>
  <c r="D160" i="13"/>
  <c r="C160" i="13"/>
  <c r="H159" i="13"/>
  <c r="G159" i="13"/>
  <c r="F159" i="13"/>
  <c r="E159" i="13"/>
  <c r="D159" i="13"/>
  <c r="C159" i="13"/>
  <c r="H158" i="13"/>
  <c r="G158" i="13"/>
  <c r="F158" i="13"/>
  <c r="E158" i="13"/>
  <c r="D158" i="13"/>
  <c r="C158" i="13"/>
  <c r="H157" i="13"/>
  <c r="G157" i="13"/>
  <c r="F157" i="13"/>
  <c r="E157" i="13"/>
  <c r="D157" i="13"/>
  <c r="C157" i="13"/>
  <c r="H156" i="13"/>
  <c r="G156" i="13"/>
  <c r="F156" i="13"/>
  <c r="E156" i="13"/>
  <c r="D156" i="13"/>
  <c r="C156" i="13"/>
  <c r="H155" i="13"/>
  <c r="G155" i="13"/>
  <c r="F155" i="13"/>
  <c r="E155" i="13"/>
  <c r="D155" i="13"/>
  <c r="C155" i="13"/>
  <c r="H154" i="13"/>
  <c r="G154" i="13"/>
  <c r="F154" i="13"/>
  <c r="E154" i="13"/>
  <c r="D154" i="13"/>
  <c r="C154" i="13"/>
  <c r="H153" i="13"/>
  <c r="G153" i="13"/>
  <c r="F153" i="13"/>
  <c r="E153" i="13"/>
  <c r="D153" i="13"/>
  <c r="C153" i="13"/>
  <c r="H152" i="13"/>
  <c r="G152" i="13"/>
  <c r="F152" i="13"/>
  <c r="E152" i="13"/>
  <c r="D152" i="13"/>
  <c r="C152" i="13"/>
  <c r="H151" i="13"/>
  <c r="G151" i="13"/>
  <c r="F151" i="13"/>
  <c r="E151" i="13"/>
  <c r="D151" i="13"/>
  <c r="C151" i="13"/>
  <c r="H150" i="13"/>
  <c r="G150" i="13"/>
  <c r="F150" i="13"/>
  <c r="E150" i="13"/>
  <c r="D150" i="13"/>
  <c r="C150" i="13"/>
  <c r="H149" i="13"/>
  <c r="G149" i="13"/>
  <c r="F149" i="13"/>
  <c r="E149" i="13"/>
  <c r="D149" i="13"/>
  <c r="C149" i="13"/>
  <c r="H148" i="13"/>
  <c r="G148" i="13"/>
  <c r="F148" i="13"/>
  <c r="E148" i="13"/>
  <c r="D148" i="13"/>
  <c r="C148" i="13"/>
  <c r="H147" i="13"/>
  <c r="G147" i="13"/>
  <c r="F147" i="13"/>
  <c r="E147" i="13"/>
  <c r="D147" i="13"/>
  <c r="C147" i="13"/>
  <c r="H146" i="13"/>
  <c r="G146" i="13"/>
  <c r="F146" i="13"/>
  <c r="E146" i="13"/>
  <c r="D146" i="13"/>
  <c r="C146" i="13"/>
  <c r="H145" i="13"/>
  <c r="G145" i="13"/>
  <c r="F145" i="13"/>
  <c r="E145" i="13"/>
  <c r="D145" i="13"/>
  <c r="C145" i="13"/>
  <c r="H144" i="13"/>
  <c r="G144" i="13"/>
  <c r="F144" i="13"/>
  <c r="E144" i="13"/>
  <c r="D144" i="13"/>
  <c r="C144" i="13"/>
  <c r="H143" i="13"/>
  <c r="G143" i="13"/>
  <c r="F143" i="13"/>
  <c r="E143" i="13"/>
  <c r="D143" i="13"/>
  <c r="C143" i="13"/>
  <c r="H142" i="13"/>
  <c r="G142" i="13"/>
  <c r="F142" i="13"/>
  <c r="E142" i="13"/>
  <c r="D142" i="13"/>
  <c r="C142" i="13"/>
  <c r="H141" i="13"/>
  <c r="G141" i="13"/>
  <c r="F141" i="13"/>
  <c r="E141" i="13"/>
  <c r="D141" i="13"/>
  <c r="C141" i="13"/>
  <c r="H140" i="13"/>
  <c r="G140" i="13"/>
  <c r="F140" i="13"/>
  <c r="E140" i="13"/>
  <c r="D140" i="13"/>
  <c r="C140" i="13"/>
  <c r="H139" i="13"/>
  <c r="G139" i="13"/>
  <c r="F139" i="13"/>
  <c r="E139" i="13"/>
  <c r="D139" i="13"/>
  <c r="C139" i="13"/>
  <c r="H138" i="13"/>
  <c r="G138" i="13"/>
  <c r="F138" i="13"/>
  <c r="E138" i="13"/>
  <c r="D138" i="13"/>
  <c r="C138" i="13"/>
  <c r="H137" i="13"/>
  <c r="G137" i="13"/>
  <c r="F137" i="13"/>
  <c r="E137" i="13"/>
  <c r="D137" i="13"/>
  <c r="C137" i="13"/>
  <c r="H136" i="13"/>
  <c r="G136" i="13"/>
  <c r="F136" i="13"/>
  <c r="E136" i="13"/>
  <c r="D136" i="13"/>
  <c r="C136" i="13"/>
  <c r="H135" i="13"/>
  <c r="G135" i="13"/>
  <c r="F135" i="13"/>
  <c r="E135" i="13"/>
  <c r="D135" i="13"/>
  <c r="C135" i="13"/>
  <c r="H134" i="13"/>
  <c r="G134" i="13"/>
  <c r="F134" i="13"/>
  <c r="E134" i="13"/>
  <c r="D134" i="13"/>
  <c r="C134" i="13"/>
  <c r="H133" i="13"/>
  <c r="G133" i="13"/>
  <c r="F133" i="13"/>
  <c r="E133" i="13"/>
  <c r="D133" i="13"/>
  <c r="C133" i="13"/>
  <c r="H132" i="13"/>
  <c r="G132" i="13"/>
  <c r="F132" i="13"/>
  <c r="E132" i="13"/>
  <c r="D132" i="13"/>
  <c r="C132" i="13"/>
  <c r="H131" i="13"/>
  <c r="G131" i="13"/>
  <c r="F131" i="13"/>
  <c r="E131" i="13"/>
  <c r="D131" i="13"/>
  <c r="C131" i="13"/>
  <c r="H130" i="13"/>
  <c r="G130" i="13"/>
  <c r="F130" i="13"/>
  <c r="E130" i="13"/>
  <c r="D130" i="13"/>
  <c r="C130" i="13"/>
  <c r="H129" i="13"/>
  <c r="G129" i="13"/>
  <c r="F129" i="13"/>
  <c r="E129" i="13"/>
  <c r="D129" i="13"/>
  <c r="C129" i="13"/>
  <c r="H128" i="13"/>
  <c r="G128" i="13"/>
  <c r="F128" i="13"/>
  <c r="E128" i="13"/>
  <c r="D128" i="13"/>
  <c r="C128" i="13"/>
  <c r="H127" i="13"/>
  <c r="G127" i="13"/>
  <c r="F127" i="13"/>
  <c r="E127" i="13"/>
  <c r="D127" i="13"/>
  <c r="C127" i="13"/>
  <c r="H126" i="13"/>
  <c r="G126" i="13"/>
  <c r="F126" i="13"/>
  <c r="E126" i="13"/>
  <c r="D126" i="13"/>
  <c r="C126" i="13"/>
  <c r="H125" i="13"/>
  <c r="G125" i="13"/>
  <c r="F125" i="13"/>
  <c r="E125" i="13"/>
  <c r="D125" i="13"/>
  <c r="C125" i="13"/>
  <c r="H124" i="13"/>
  <c r="G124" i="13"/>
  <c r="F124" i="13"/>
  <c r="E124" i="13"/>
  <c r="D124" i="13"/>
  <c r="C124" i="13"/>
  <c r="H123" i="13"/>
  <c r="G123" i="13"/>
  <c r="F123" i="13"/>
  <c r="E123" i="13"/>
  <c r="D123" i="13"/>
  <c r="C123" i="13"/>
  <c r="H122" i="13"/>
  <c r="G122" i="13"/>
  <c r="F122" i="13"/>
  <c r="E122" i="13"/>
  <c r="D122" i="13"/>
  <c r="C122" i="13"/>
  <c r="H121" i="13"/>
  <c r="G121" i="13"/>
  <c r="F121" i="13"/>
  <c r="E121" i="13"/>
  <c r="D121" i="13"/>
  <c r="C121" i="13"/>
  <c r="H120" i="13"/>
  <c r="G120" i="13"/>
  <c r="F120" i="13"/>
  <c r="E120" i="13"/>
  <c r="D120" i="13"/>
  <c r="C120" i="13"/>
  <c r="H119" i="13"/>
  <c r="G119" i="13"/>
  <c r="F119" i="13"/>
  <c r="E119" i="13"/>
  <c r="D119" i="13"/>
  <c r="C119" i="13"/>
  <c r="H118" i="13"/>
  <c r="G118" i="13"/>
  <c r="F118" i="13"/>
  <c r="E118" i="13"/>
  <c r="D118" i="13"/>
  <c r="C118" i="13"/>
  <c r="H117" i="13"/>
  <c r="G117" i="13"/>
  <c r="F117" i="13"/>
  <c r="E117" i="13"/>
  <c r="D117" i="13"/>
  <c r="C117" i="13"/>
  <c r="H116" i="13"/>
  <c r="G116" i="13"/>
  <c r="F116" i="13"/>
  <c r="E116" i="13"/>
  <c r="D116" i="13"/>
  <c r="C116" i="13"/>
  <c r="H115" i="13"/>
  <c r="G115" i="13"/>
  <c r="F115" i="13"/>
  <c r="E115" i="13"/>
  <c r="D115" i="13"/>
  <c r="C115" i="13"/>
  <c r="H114" i="13"/>
  <c r="G114" i="13"/>
  <c r="F114" i="13"/>
  <c r="E114" i="13"/>
  <c r="D114" i="13"/>
  <c r="C114" i="13"/>
  <c r="H113" i="13"/>
  <c r="G113" i="13"/>
  <c r="F113" i="13"/>
  <c r="E113" i="13"/>
  <c r="D113" i="13"/>
  <c r="C113" i="13"/>
  <c r="H112" i="13"/>
  <c r="G112" i="13"/>
  <c r="F112" i="13"/>
  <c r="E112" i="13"/>
  <c r="D112" i="13"/>
  <c r="C112" i="13"/>
  <c r="H111" i="13"/>
  <c r="G111" i="13"/>
  <c r="F111" i="13"/>
  <c r="E111" i="13"/>
  <c r="D111" i="13"/>
  <c r="C111" i="13"/>
  <c r="H110" i="13"/>
  <c r="G110" i="13"/>
  <c r="F110" i="13"/>
  <c r="E110" i="13"/>
  <c r="D110" i="13"/>
  <c r="C110" i="13"/>
  <c r="H109" i="13"/>
  <c r="G109" i="13"/>
  <c r="F109" i="13"/>
  <c r="E109" i="13"/>
  <c r="D109" i="13"/>
  <c r="C109" i="13"/>
  <c r="H108" i="13"/>
  <c r="G108" i="13"/>
  <c r="F108" i="13"/>
  <c r="E108" i="13"/>
  <c r="D108" i="13"/>
  <c r="C108" i="13"/>
  <c r="H107" i="13"/>
  <c r="G107" i="13"/>
  <c r="F107" i="13"/>
  <c r="E107" i="13"/>
  <c r="D107" i="13"/>
  <c r="C107" i="13"/>
  <c r="H106" i="13"/>
  <c r="G106" i="13"/>
  <c r="F106" i="13"/>
  <c r="E106" i="13"/>
  <c r="D106" i="13"/>
  <c r="C106" i="13"/>
  <c r="H105" i="13"/>
  <c r="G105" i="13"/>
  <c r="F105" i="13"/>
  <c r="E105" i="13"/>
  <c r="D105" i="13"/>
  <c r="C105" i="13"/>
  <c r="H104" i="13"/>
  <c r="G104" i="13"/>
  <c r="F104" i="13"/>
  <c r="E104" i="13"/>
  <c r="D104" i="13"/>
  <c r="C104" i="13"/>
  <c r="H103" i="13"/>
  <c r="G103" i="13"/>
  <c r="F103" i="13"/>
  <c r="E103" i="13"/>
  <c r="D103" i="13"/>
  <c r="C103" i="13"/>
  <c r="H102" i="13"/>
  <c r="G102" i="13"/>
  <c r="F102" i="13"/>
  <c r="E102" i="13"/>
  <c r="D102" i="13"/>
  <c r="C102" i="13"/>
  <c r="H101" i="13"/>
  <c r="G101" i="13"/>
  <c r="F101" i="13"/>
  <c r="E101" i="13"/>
  <c r="D101" i="13"/>
  <c r="C101" i="13"/>
  <c r="H100" i="13"/>
  <c r="G100" i="13"/>
  <c r="F100" i="13"/>
  <c r="E100" i="13"/>
  <c r="D100" i="13"/>
  <c r="C100" i="13"/>
  <c r="H99" i="13"/>
  <c r="G99" i="13"/>
  <c r="F99" i="13"/>
  <c r="E99" i="13"/>
  <c r="D99" i="13"/>
  <c r="C99" i="13"/>
  <c r="H98" i="13"/>
  <c r="G98" i="13"/>
  <c r="F98" i="13"/>
  <c r="E98" i="13"/>
  <c r="D98" i="13"/>
  <c r="C98" i="13"/>
  <c r="H97" i="13"/>
  <c r="G97" i="13"/>
  <c r="F97" i="13"/>
  <c r="E97" i="13"/>
  <c r="D97" i="13"/>
  <c r="C97" i="13"/>
  <c r="H96" i="13"/>
  <c r="G96" i="13"/>
  <c r="F96" i="13"/>
  <c r="E96" i="13"/>
  <c r="D96" i="13"/>
  <c r="C96" i="13"/>
  <c r="H95" i="13"/>
  <c r="G95" i="13"/>
  <c r="F95" i="13"/>
  <c r="E95" i="13"/>
  <c r="D95" i="13"/>
  <c r="C95" i="13"/>
  <c r="H94" i="13"/>
  <c r="G94" i="13"/>
  <c r="F94" i="13"/>
  <c r="E94" i="13"/>
  <c r="D94" i="13"/>
  <c r="C94" i="13"/>
  <c r="H93" i="13"/>
  <c r="G93" i="13"/>
  <c r="F93" i="13"/>
  <c r="E93" i="13"/>
  <c r="D93" i="13"/>
  <c r="C93" i="13"/>
  <c r="H92" i="13"/>
  <c r="G92" i="13"/>
  <c r="F92" i="13"/>
  <c r="E92" i="13"/>
  <c r="D92" i="13"/>
  <c r="C92" i="13"/>
  <c r="H91" i="13"/>
  <c r="G91" i="13"/>
  <c r="F91" i="13"/>
  <c r="E91" i="13"/>
  <c r="D91" i="13"/>
  <c r="C91" i="13"/>
  <c r="H90" i="13"/>
  <c r="G90" i="13"/>
  <c r="F90" i="13"/>
  <c r="E90" i="13"/>
  <c r="D90" i="13"/>
  <c r="C90" i="13"/>
  <c r="H89" i="13"/>
  <c r="G89" i="13"/>
  <c r="F89" i="13"/>
  <c r="E89" i="13"/>
  <c r="D89" i="13"/>
  <c r="C89" i="13"/>
  <c r="H88" i="13"/>
  <c r="G88" i="13"/>
  <c r="F88" i="13"/>
  <c r="E88" i="13"/>
  <c r="D88" i="13"/>
  <c r="C88" i="13"/>
  <c r="H87" i="13"/>
  <c r="G87" i="13"/>
  <c r="F87" i="13"/>
  <c r="E87" i="13"/>
  <c r="D87" i="13"/>
  <c r="C87" i="13"/>
  <c r="H86" i="13"/>
  <c r="G86" i="13"/>
  <c r="F86" i="13"/>
  <c r="E86" i="13"/>
  <c r="D86" i="13"/>
  <c r="C86" i="13"/>
  <c r="H85" i="13"/>
  <c r="G85" i="13"/>
  <c r="F85" i="13"/>
  <c r="E85" i="13"/>
  <c r="D85" i="13"/>
  <c r="C85" i="13"/>
  <c r="H84" i="13"/>
  <c r="G84" i="13"/>
  <c r="F84" i="13"/>
  <c r="E84" i="13"/>
  <c r="D84" i="13"/>
  <c r="C84" i="13"/>
  <c r="H83" i="13"/>
  <c r="G83" i="13"/>
  <c r="F83" i="13"/>
  <c r="E83" i="13"/>
  <c r="D83" i="13"/>
  <c r="C83" i="13"/>
  <c r="H82" i="13"/>
  <c r="G82" i="13"/>
  <c r="F82" i="13"/>
  <c r="E82" i="13"/>
  <c r="D82" i="13"/>
  <c r="C82" i="13"/>
  <c r="H81" i="13"/>
  <c r="G81" i="13"/>
  <c r="F81" i="13"/>
  <c r="E81" i="13"/>
  <c r="D81" i="13"/>
  <c r="C81" i="13"/>
  <c r="H80" i="13"/>
  <c r="G80" i="13"/>
  <c r="F80" i="13"/>
  <c r="E80" i="13"/>
  <c r="D80" i="13"/>
  <c r="C80" i="13"/>
  <c r="H79" i="13"/>
  <c r="G79" i="13"/>
  <c r="F79" i="13"/>
  <c r="E79" i="13"/>
  <c r="D79" i="13"/>
  <c r="C79" i="13"/>
  <c r="H78" i="13"/>
  <c r="G78" i="13"/>
  <c r="F78" i="13"/>
  <c r="E78" i="13"/>
  <c r="D78" i="13"/>
  <c r="C78" i="13"/>
  <c r="H77" i="13"/>
  <c r="G77" i="13"/>
  <c r="F77" i="13"/>
  <c r="E77" i="13"/>
  <c r="D77" i="13"/>
  <c r="C77" i="13"/>
  <c r="H76" i="13"/>
  <c r="G76" i="13"/>
  <c r="F76" i="13"/>
  <c r="E76" i="13"/>
  <c r="D76" i="13"/>
  <c r="C76" i="13"/>
  <c r="H75" i="13"/>
  <c r="G75" i="13"/>
  <c r="F75" i="13"/>
  <c r="E75" i="13"/>
  <c r="D75" i="13"/>
  <c r="C75" i="13"/>
  <c r="H74" i="13"/>
  <c r="G74" i="13"/>
  <c r="F74" i="13"/>
  <c r="E74" i="13"/>
  <c r="D74" i="13"/>
  <c r="C74" i="13"/>
  <c r="H73" i="13"/>
  <c r="G73" i="13"/>
  <c r="F73" i="13"/>
  <c r="E73" i="13"/>
  <c r="D73" i="13"/>
  <c r="C73" i="13"/>
  <c r="H72" i="13"/>
  <c r="G72" i="13"/>
  <c r="F72" i="13"/>
  <c r="E72" i="13"/>
  <c r="D72" i="13"/>
  <c r="C72" i="13"/>
  <c r="H71" i="13"/>
  <c r="G71" i="13"/>
  <c r="F71" i="13"/>
  <c r="E71" i="13"/>
  <c r="D71" i="13"/>
  <c r="C71" i="13"/>
  <c r="H70" i="13"/>
  <c r="G70" i="13"/>
  <c r="F70" i="13"/>
  <c r="E70" i="13"/>
  <c r="D70" i="13"/>
  <c r="C70" i="13"/>
  <c r="H69" i="13"/>
  <c r="G69" i="13"/>
  <c r="F69" i="13"/>
  <c r="E69" i="13"/>
  <c r="D69" i="13"/>
  <c r="C69" i="13"/>
  <c r="H68" i="13"/>
  <c r="G68" i="13"/>
  <c r="F68" i="13"/>
  <c r="E68" i="13"/>
  <c r="D68" i="13"/>
  <c r="C68" i="13"/>
  <c r="H67" i="13"/>
  <c r="G67" i="13"/>
  <c r="F67" i="13"/>
  <c r="E67" i="13"/>
  <c r="D67" i="13"/>
  <c r="C67" i="13"/>
  <c r="H66" i="13"/>
  <c r="G66" i="13"/>
  <c r="F66" i="13"/>
  <c r="E66" i="13"/>
  <c r="D66" i="13"/>
  <c r="C66" i="13"/>
  <c r="H65" i="13"/>
  <c r="G65" i="13"/>
  <c r="F65" i="13"/>
  <c r="E65" i="13"/>
  <c r="D65" i="13"/>
  <c r="C65" i="13"/>
  <c r="H64" i="13"/>
  <c r="G64" i="13"/>
  <c r="F64" i="13"/>
  <c r="E64" i="13"/>
  <c r="D64" i="13"/>
  <c r="C64" i="13"/>
  <c r="H63" i="13"/>
  <c r="G63" i="13"/>
  <c r="F63" i="13"/>
  <c r="E63" i="13"/>
  <c r="D63" i="13"/>
  <c r="C63" i="13"/>
  <c r="H62" i="13"/>
  <c r="G62" i="13"/>
  <c r="F62" i="13"/>
  <c r="E62" i="13"/>
  <c r="D62" i="13"/>
  <c r="C62" i="13"/>
  <c r="H61" i="13"/>
  <c r="G61" i="13"/>
  <c r="F61" i="13"/>
  <c r="E61" i="13"/>
  <c r="D61" i="13"/>
  <c r="C61" i="13"/>
  <c r="H60" i="13"/>
  <c r="G60" i="13"/>
  <c r="F60" i="13"/>
  <c r="E60" i="13"/>
  <c r="D60" i="13"/>
  <c r="C60" i="13"/>
  <c r="H59" i="13"/>
  <c r="G59" i="13"/>
  <c r="F59" i="13"/>
  <c r="E59" i="13"/>
  <c r="D59" i="13"/>
  <c r="C59" i="13"/>
  <c r="H58" i="13"/>
  <c r="G58" i="13"/>
  <c r="F58" i="13"/>
  <c r="E58" i="13"/>
  <c r="D58" i="13"/>
  <c r="C58" i="13"/>
  <c r="H57" i="13"/>
  <c r="G57" i="13"/>
  <c r="F57" i="13"/>
  <c r="E57" i="13"/>
  <c r="D57" i="13"/>
  <c r="C57" i="13"/>
  <c r="H56" i="13"/>
  <c r="G56" i="13"/>
  <c r="F56" i="13"/>
  <c r="E56" i="13"/>
  <c r="D56" i="13"/>
  <c r="C56" i="13"/>
  <c r="H55" i="13"/>
  <c r="G55" i="13"/>
  <c r="F55" i="13"/>
  <c r="E55" i="13"/>
  <c r="D55" i="13"/>
  <c r="C55" i="13"/>
  <c r="H54" i="13"/>
  <c r="G54" i="13"/>
  <c r="F54" i="13"/>
  <c r="E54" i="13"/>
  <c r="D54" i="13"/>
  <c r="C54" i="13"/>
  <c r="H53" i="13"/>
  <c r="G53" i="13"/>
  <c r="F53" i="13"/>
  <c r="E53" i="13"/>
  <c r="D53" i="13"/>
  <c r="C53" i="13"/>
  <c r="H52" i="13"/>
  <c r="G52" i="13"/>
  <c r="F52" i="13"/>
  <c r="E52" i="13"/>
  <c r="D52" i="13"/>
  <c r="C52" i="13"/>
  <c r="H51" i="13"/>
  <c r="G51" i="13"/>
  <c r="F51" i="13"/>
  <c r="E51" i="13"/>
  <c r="D51" i="13"/>
  <c r="C51" i="13"/>
  <c r="H50" i="13"/>
  <c r="G50" i="13"/>
  <c r="F50" i="13"/>
  <c r="E50" i="13"/>
  <c r="D50" i="13"/>
  <c r="C50" i="13"/>
  <c r="H49" i="13"/>
  <c r="G49" i="13"/>
  <c r="F49" i="13"/>
  <c r="E49" i="13"/>
  <c r="D49" i="13"/>
  <c r="C49" i="13"/>
  <c r="H48" i="13"/>
  <c r="G48" i="13"/>
  <c r="F48" i="13"/>
  <c r="E48" i="13"/>
  <c r="D48" i="13"/>
  <c r="C48" i="13"/>
  <c r="H47" i="13"/>
  <c r="G47" i="13"/>
  <c r="F47" i="13"/>
  <c r="E47" i="13"/>
  <c r="D47" i="13"/>
  <c r="C47" i="13"/>
  <c r="H46" i="13"/>
  <c r="G46" i="13"/>
  <c r="F46" i="13"/>
  <c r="E46" i="13"/>
  <c r="D46" i="13"/>
  <c r="C46" i="13"/>
  <c r="H45" i="13"/>
  <c r="G45" i="13"/>
  <c r="F45" i="13"/>
  <c r="E45" i="13"/>
  <c r="D45" i="13"/>
  <c r="C45" i="13"/>
  <c r="H44" i="13"/>
  <c r="G44" i="13"/>
  <c r="F44" i="13"/>
  <c r="E44" i="13"/>
  <c r="D44" i="13"/>
  <c r="C44" i="13"/>
  <c r="H43" i="13"/>
  <c r="G43" i="13"/>
  <c r="F43" i="13"/>
  <c r="E43" i="13"/>
  <c r="D43" i="13"/>
  <c r="C43" i="13"/>
  <c r="H42" i="13"/>
  <c r="G42" i="13"/>
  <c r="F42" i="13"/>
  <c r="E42" i="13"/>
  <c r="D42" i="13"/>
  <c r="C42" i="13"/>
  <c r="H41" i="13"/>
  <c r="G41" i="13"/>
  <c r="F41" i="13"/>
  <c r="E41" i="13"/>
  <c r="D41" i="13"/>
  <c r="C41" i="13"/>
  <c r="H40" i="13"/>
  <c r="G40" i="13"/>
  <c r="F40" i="13"/>
  <c r="E40" i="13"/>
  <c r="D40" i="13"/>
  <c r="C40" i="13"/>
  <c r="H39" i="13"/>
  <c r="G39" i="13"/>
  <c r="F39" i="13"/>
  <c r="E39" i="13"/>
  <c r="D39" i="13"/>
  <c r="C39" i="13"/>
  <c r="H38" i="13"/>
  <c r="G38" i="13"/>
  <c r="F38" i="13"/>
  <c r="E38" i="13"/>
  <c r="D38" i="13"/>
  <c r="C38" i="13"/>
  <c r="H37" i="13"/>
  <c r="G37" i="13"/>
  <c r="F37" i="13"/>
  <c r="E37" i="13"/>
  <c r="D37" i="13"/>
  <c r="C37" i="13"/>
  <c r="H36" i="13"/>
  <c r="G36" i="13"/>
  <c r="F36" i="13"/>
  <c r="E36" i="13"/>
  <c r="D36" i="13"/>
  <c r="C36" i="13"/>
  <c r="H35" i="13"/>
  <c r="G35" i="13"/>
  <c r="F35" i="13"/>
  <c r="E35" i="13"/>
  <c r="D35" i="13"/>
  <c r="C35" i="13"/>
  <c r="H34" i="13"/>
  <c r="G34" i="13"/>
  <c r="F34" i="13"/>
  <c r="E34" i="13"/>
  <c r="D34" i="13"/>
  <c r="C34" i="13"/>
  <c r="H33" i="13"/>
  <c r="G33" i="13"/>
  <c r="F33" i="13"/>
  <c r="E33" i="13"/>
  <c r="D33" i="13"/>
  <c r="C33" i="13"/>
  <c r="H32" i="13"/>
  <c r="G32" i="13"/>
  <c r="F32" i="13"/>
  <c r="E32" i="13"/>
  <c r="D32" i="13"/>
  <c r="C32" i="13"/>
  <c r="H31" i="13"/>
  <c r="G31" i="13"/>
  <c r="F31" i="13"/>
  <c r="E31" i="13"/>
  <c r="D31" i="13"/>
  <c r="C31" i="13"/>
  <c r="H30" i="13"/>
  <c r="G30" i="13"/>
  <c r="F30" i="13"/>
  <c r="E30" i="13"/>
  <c r="D30" i="13"/>
  <c r="C30" i="13"/>
  <c r="H29" i="13"/>
  <c r="G29" i="13"/>
  <c r="F29" i="13"/>
  <c r="E29" i="13"/>
  <c r="D29" i="13"/>
  <c r="C29" i="13"/>
  <c r="H28" i="13"/>
  <c r="G28" i="13"/>
  <c r="F28" i="13"/>
  <c r="E28" i="13"/>
  <c r="D28" i="13"/>
  <c r="C28" i="13"/>
  <c r="H27" i="13"/>
  <c r="G27" i="13"/>
  <c r="F27" i="13"/>
  <c r="E27" i="13"/>
  <c r="D27" i="13"/>
  <c r="C27" i="13"/>
  <c r="H26" i="13"/>
  <c r="G26" i="13"/>
  <c r="F26" i="13"/>
  <c r="E26" i="13"/>
  <c r="D26" i="13"/>
  <c r="C26" i="13"/>
  <c r="H25" i="13"/>
  <c r="G25" i="13"/>
  <c r="F25" i="13"/>
  <c r="E25" i="13"/>
  <c r="D25" i="13"/>
  <c r="C25" i="13"/>
  <c r="H24" i="13"/>
  <c r="G24" i="13"/>
  <c r="F24" i="13"/>
  <c r="E24" i="13"/>
  <c r="D24" i="13"/>
  <c r="C24" i="13"/>
  <c r="H23" i="13"/>
  <c r="G23" i="13"/>
  <c r="F23" i="13"/>
  <c r="E23" i="13"/>
  <c r="D23" i="13"/>
  <c r="C23" i="13"/>
  <c r="H22" i="13"/>
  <c r="G22" i="13"/>
  <c r="F22" i="13"/>
  <c r="E22" i="13"/>
  <c r="D22" i="13"/>
  <c r="C22" i="13"/>
  <c r="H21" i="13"/>
  <c r="G21" i="13"/>
  <c r="F21" i="13"/>
  <c r="E21" i="13"/>
  <c r="D21" i="13"/>
  <c r="C21" i="13"/>
  <c r="H20" i="13"/>
  <c r="G20" i="13"/>
  <c r="F20" i="13"/>
  <c r="E20" i="13"/>
  <c r="D20" i="13"/>
  <c r="C20" i="13"/>
  <c r="H19" i="13"/>
  <c r="G19" i="13"/>
  <c r="F19" i="13"/>
  <c r="E19" i="13"/>
  <c r="D19" i="13"/>
  <c r="C19" i="13"/>
  <c r="H18" i="13"/>
  <c r="G18" i="13"/>
  <c r="F18" i="13"/>
  <c r="E18" i="13"/>
  <c r="D18" i="13"/>
  <c r="C18" i="13"/>
  <c r="H17" i="13"/>
  <c r="G17" i="13"/>
  <c r="F17" i="13"/>
  <c r="E17" i="13"/>
  <c r="D17" i="13"/>
  <c r="C17" i="13"/>
  <c r="H16" i="13"/>
  <c r="G16" i="13"/>
  <c r="F16" i="13"/>
  <c r="E16" i="13"/>
  <c r="D16" i="13"/>
  <c r="C16" i="13"/>
  <c r="H15" i="13"/>
  <c r="G15" i="13"/>
  <c r="F15" i="13"/>
  <c r="E15" i="13"/>
  <c r="D15" i="13"/>
  <c r="C15" i="13"/>
  <c r="H14" i="13"/>
  <c r="G14" i="13"/>
  <c r="F14" i="13"/>
  <c r="E14" i="13"/>
  <c r="D14" i="13"/>
  <c r="C14" i="13"/>
  <c r="H13" i="13"/>
  <c r="G13" i="13"/>
  <c r="F13" i="13"/>
  <c r="E13" i="13"/>
  <c r="D13" i="13"/>
  <c r="C13" i="13"/>
  <c r="H12" i="13"/>
  <c r="G12" i="13"/>
  <c r="F12" i="13"/>
  <c r="E12" i="13"/>
  <c r="D12" i="13"/>
  <c r="C12" i="13"/>
  <c r="H11" i="13"/>
  <c r="G11" i="13"/>
  <c r="F11" i="13"/>
  <c r="E11" i="13"/>
  <c r="D11" i="13"/>
  <c r="C11" i="13"/>
  <c r="H10" i="13"/>
  <c r="G10" i="13"/>
  <c r="F10" i="13"/>
  <c r="E10" i="13"/>
  <c r="D10" i="13"/>
  <c r="C10" i="13"/>
  <c r="H9" i="13"/>
  <c r="G9" i="13"/>
  <c r="F9" i="13"/>
  <c r="E9" i="13"/>
  <c r="D9" i="13"/>
  <c r="C9" i="13"/>
  <c r="H8" i="13"/>
  <c r="G8" i="13"/>
  <c r="F8" i="13"/>
  <c r="E8" i="13"/>
  <c r="D8" i="13"/>
  <c r="C8" i="13"/>
  <c r="H7" i="13"/>
  <c r="G7" i="13"/>
  <c r="F7" i="13"/>
  <c r="E7" i="13"/>
  <c r="D7" i="13"/>
  <c r="C7" i="13"/>
  <c r="H6" i="13"/>
  <c r="G6" i="13"/>
  <c r="F6" i="13"/>
  <c r="E6" i="13"/>
  <c r="D6" i="13"/>
  <c r="C6" i="13"/>
  <c r="H5" i="13"/>
  <c r="G5" i="13"/>
  <c r="F5" i="13"/>
  <c r="E5" i="13"/>
  <c r="D5" i="13"/>
  <c r="C5" i="13"/>
  <c r="B256" i="13"/>
  <c r="B253" i="13"/>
  <c r="B250" i="13"/>
  <c r="B245" i="13"/>
  <c r="B240" i="13"/>
  <c r="B237" i="13"/>
  <c r="B234" i="13"/>
  <c r="B229" i="13"/>
  <c r="B224" i="13"/>
  <c r="B221" i="13"/>
  <c r="B218" i="13"/>
  <c r="B213" i="13"/>
  <c r="B208" i="13"/>
  <c r="B205" i="13"/>
  <c r="B202" i="13"/>
  <c r="B197" i="13"/>
  <c r="B192" i="13"/>
  <c r="B189" i="13"/>
  <c r="B186" i="13"/>
  <c r="B181" i="13"/>
  <c r="B176" i="13"/>
  <c r="B173" i="13"/>
  <c r="B170" i="13"/>
  <c r="B165" i="13"/>
  <c r="B160" i="13"/>
  <c r="B157" i="13"/>
  <c r="B154" i="13"/>
  <c r="B149" i="13"/>
  <c r="B144" i="13"/>
  <c r="B141" i="13"/>
  <c r="B138" i="13"/>
  <c r="B133" i="13"/>
  <c r="B128" i="13"/>
  <c r="B125" i="13"/>
  <c r="B122" i="13"/>
  <c r="B117" i="13"/>
  <c r="B112" i="13"/>
  <c r="B109" i="13"/>
  <c r="B106" i="13"/>
  <c r="B101" i="13"/>
  <c r="B96" i="13"/>
  <c r="B93" i="13"/>
  <c r="B90" i="13"/>
  <c r="B85" i="13"/>
  <c r="B80" i="13"/>
  <c r="B77" i="13"/>
  <c r="B74" i="13"/>
  <c r="B69" i="13"/>
  <c r="B64" i="13"/>
  <c r="B61" i="13"/>
  <c r="B58" i="13"/>
  <c r="B53" i="13"/>
  <c r="B48" i="13"/>
  <c r="B45" i="13"/>
  <c r="B42" i="13"/>
  <c r="B37" i="13"/>
  <c r="B32" i="13"/>
  <c r="B29" i="13"/>
  <c r="B26" i="13"/>
  <c r="B21" i="13"/>
  <c r="B16" i="13"/>
  <c r="B13" i="13"/>
  <c r="B10" i="13"/>
  <c r="B5" i="13"/>
  <c r="B4" i="13" a="1"/>
  <c r="B252" i="13" s="1"/>
  <c r="G154" i="12"/>
  <c r="F154" i="12"/>
  <c r="E154" i="12"/>
  <c r="D154" i="12"/>
  <c r="C154" i="12"/>
  <c r="H153" i="12"/>
  <c r="G153" i="12"/>
  <c r="F153" i="12"/>
  <c r="E153" i="12"/>
  <c r="D153" i="12"/>
  <c r="C153" i="12"/>
  <c r="H152" i="12"/>
  <c r="G152" i="12"/>
  <c r="F152" i="12"/>
  <c r="E152" i="12"/>
  <c r="D152" i="12"/>
  <c r="C152" i="12"/>
  <c r="H151" i="12"/>
  <c r="G151" i="12"/>
  <c r="F151" i="12"/>
  <c r="E151" i="12"/>
  <c r="D151" i="12"/>
  <c r="C151" i="12"/>
  <c r="H150" i="12"/>
  <c r="G150" i="12"/>
  <c r="F150" i="12"/>
  <c r="E150" i="12"/>
  <c r="D150" i="12"/>
  <c r="C150" i="12"/>
  <c r="H149" i="12"/>
  <c r="G149" i="12"/>
  <c r="F149" i="12"/>
  <c r="E149" i="12"/>
  <c r="D149" i="12"/>
  <c r="C149" i="12"/>
  <c r="H148" i="12"/>
  <c r="G148" i="12"/>
  <c r="F148" i="12"/>
  <c r="E148" i="12"/>
  <c r="D148" i="12"/>
  <c r="C148" i="12"/>
  <c r="H147" i="12"/>
  <c r="G147" i="12"/>
  <c r="F147" i="12"/>
  <c r="E147" i="12"/>
  <c r="D147" i="12"/>
  <c r="C147" i="12"/>
  <c r="H146" i="12"/>
  <c r="G146" i="12"/>
  <c r="F146" i="12"/>
  <c r="E146" i="12"/>
  <c r="D146" i="12"/>
  <c r="C146" i="12"/>
  <c r="H145" i="12"/>
  <c r="G145" i="12"/>
  <c r="F145" i="12"/>
  <c r="E145" i="12"/>
  <c r="D145" i="12"/>
  <c r="C145" i="12"/>
  <c r="H144" i="12"/>
  <c r="G144" i="12"/>
  <c r="F144" i="12"/>
  <c r="E144" i="12"/>
  <c r="D144" i="12"/>
  <c r="C144" i="12"/>
  <c r="H143" i="12"/>
  <c r="G143" i="12"/>
  <c r="F143" i="12"/>
  <c r="E143" i="12"/>
  <c r="D143" i="12"/>
  <c r="C143" i="12"/>
  <c r="H142" i="12"/>
  <c r="G142" i="12"/>
  <c r="F142" i="12"/>
  <c r="E142" i="12"/>
  <c r="D142" i="12"/>
  <c r="C142" i="12"/>
  <c r="H141" i="12"/>
  <c r="G141" i="12"/>
  <c r="F141" i="12"/>
  <c r="E141" i="12"/>
  <c r="D141" i="12"/>
  <c r="C141" i="12"/>
  <c r="H140" i="12"/>
  <c r="G140" i="12"/>
  <c r="F140" i="12"/>
  <c r="E140" i="12"/>
  <c r="D140" i="12"/>
  <c r="C140" i="12"/>
  <c r="H139" i="12"/>
  <c r="G139" i="12"/>
  <c r="F139" i="12"/>
  <c r="E139" i="12"/>
  <c r="D139" i="12"/>
  <c r="C139" i="12"/>
  <c r="H138" i="12"/>
  <c r="G138" i="12"/>
  <c r="F138" i="12"/>
  <c r="E138" i="12"/>
  <c r="D138" i="12"/>
  <c r="C138" i="12"/>
  <c r="H137" i="12"/>
  <c r="G137" i="12"/>
  <c r="F137" i="12"/>
  <c r="E137" i="12"/>
  <c r="D137" i="12"/>
  <c r="C137" i="12"/>
  <c r="H136" i="12"/>
  <c r="G136" i="12"/>
  <c r="F136" i="12"/>
  <c r="E136" i="12"/>
  <c r="D136" i="12"/>
  <c r="C136" i="12"/>
  <c r="H135" i="12"/>
  <c r="G135" i="12"/>
  <c r="F135" i="12"/>
  <c r="E135" i="12"/>
  <c r="D135" i="12"/>
  <c r="C135" i="12"/>
  <c r="H134" i="12"/>
  <c r="G134" i="12"/>
  <c r="F134" i="12"/>
  <c r="E134" i="12"/>
  <c r="D134" i="12"/>
  <c r="C134" i="12"/>
  <c r="H133" i="12"/>
  <c r="G133" i="12"/>
  <c r="F133" i="12"/>
  <c r="E133" i="12"/>
  <c r="D133" i="12"/>
  <c r="C133" i="12"/>
  <c r="H132" i="12"/>
  <c r="G132" i="12"/>
  <c r="F132" i="12"/>
  <c r="E132" i="12"/>
  <c r="D132" i="12"/>
  <c r="C132" i="12"/>
  <c r="H131" i="12"/>
  <c r="G131" i="12"/>
  <c r="F131" i="12"/>
  <c r="E131" i="12"/>
  <c r="D131" i="12"/>
  <c r="C131" i="12"/>
  <c r="H130" i="12"/>
  <c r="G130" i="12"/>
  <c r="F130" i="12"/>
  <c r="E130" i="12"/>
  <c r="D130" i="12"/>
  <c r="C130" i="12"/>
  <c r="H129" i="12"/>
  <c r="G129" i="12"/>
  <c r="F129" i="12"/>
  <c r="E129" i="12"/>
  <c r="D129" i="12"/>
  <c r="C129" i="12"/>
  <c r="H128" i="12"/>
  <c r="G128" i="12"/>
  <c r="F128" i="12"/>
  <c r="E128" i="12"/>
  <c r="D128" i="12"/>
  <c r="C128" i="12"/>
  <c r="H127" i="12"/>
  <c r="G127" i="12"/>
  <c r="F127" i="12"/>
  <c r="E127" i="12"/>
  <c r="D127" i="12"/>
  <c r="C127" i="12"/>
  <c r="H126" i="12"/>
  <c r="G126" i="12"/>
  <c r="F126" i="12"/>
  <c r="E126" i="12"/>
  <c r="D126" i="12"/>
  <c r="C126" i="12"/>
  <c r="H125" i="12"/>
  <c r="G125" i="12"/>
  <c r="F125" i="12"/>
  <c r="E125" i="12"/>
  <c r="D125" i="12"/>
  <c r="C125" i="12"/>
  <c r="H124" i="12"/>
  <c r="G124" i="12"/>
  <c r="F124" i="12"/>
  <c r="E124" i="12"/>
  <c r="D124" i="12"/>
  <c r="C124" i="12"/>
  <c r="H123" i="12"/>
  <c r="G123" i="12"/>
  <c r="F123" i="12"/>
  <c r="E123" i="12"/>
  <c r="D123" i="12"/>
  <c r="C123" i="12"/>
  <c r="H122" i="12"/>
  <c r="G122" i="12"/>
  <c r="F122" i="12"/>
  <c r="E122" i="12"/>
  <c r="D122" i="12"/>
  <c r="C122" i="12"/>
  <c r="H121" i="12"/>
  <c r="G121" i="12"/>
  <c r="F121" i="12"/>
  <c r="E121" i="12"/>
  <c r="D121" i="12"/>
  <c r="C121" i="12"/>
  <c r="H120" i="12"/>
  <c r="G120" i="12"/>
  <c r="F120" i="12"/>
  <c r="E120" i="12"/>
  <c r="D120" i="12"/>
  <c r="C120" i="12"/>
  <c r="H119" i="12"/>
  <c r="G119" i="12"/>
  <c r="F119" i="12"/>
  <c r="E119" i="12"/>
  <c r="D119" i="12"/>
  <c r="C119" i="12"/>
  <c r="H118" i="12"/>
  <c r="G118" i="12"/>
  <c r="F118" i="12"/>
  <c r="E118" i="12"/>
  <c r="D118" i="12"/>
  <c r="C118" i="12"/>
  <c r="H117" i="12"/>
  <c r="G117" i="12"/>
  <c r="F117" i="12"/>
  <c r="E117" i="12"/>
  <c r="D117" i="12"/>
  <c r="C117" i="12"/>
  <c r="H116" i="12"/>
  <c r="G116" i="12"/>
  <c r="F116" i="12"/>
  <c r="E116" i="12"/>
  <c r="D116" i="12"/>
  <c r="C116" i="12"/>
  <c r="H115" i="12"/>
  <c r="G115" i="12"/>
  <c r="F115" i="12"/>
  <c r="E115" i="12"/>
  <c r="D115" i="12"/>
  <c r="C115" i="12"/>
  <c r="H114" i="12"/>
  <c r="G114" i="12"/>
  <c r="F114" i="12"/>
  <c r="E114" i="12"/>
  <c r="D114" i="12"/>
  <c r="C114" i="12"/>
  <c r="H113" i="12"/>
  <c r="G113" i="12"/>
  <c r="F113" i="12"/>
  <c r="E113" i="12"/>
  <c r="D113" i="12"/>
  <c r="C113" i="12"/>
  <c r="H112" i="12"/>
  <c r="G112" i="12"/>
  <c r="F112" i="12"/>
  <c r="E112" i="12"/>
  <c r="D112" i="12"/>
  <c r="C112" i="12"/>
  <c r="H111" i="12"/>
  <c r="G111" i="12"/>
  <c r="F111" i="12"/>
  <c r="E111" i="12"/>
  <c r="D111" i="12"/>
  <c r="C111" i="12"/>
  <c r="H110" i="12"/>
  <c r="G110" i="12"/>
  <c r="F110" i="12"/>
  <c r="E110" i="12"/>
  <c r="D110" i="12"/>
  <c r="C110" i="12"/>
  <c r="H109" i="12"/>
  <c r="G109" i="12"/>
  <c r="F109" i="12"/>
  <c r="E109" i="12"/>
  <c r="D109" i="12"/>
  <c r="C109" i="12"/>
  <c r="H108" i="12"/>
  <c r="G108" i="12"/>
  <c r="F108" i="12"/>
  <c r="E108" i="12"/>
  <c r="D108" i="12"/>
  <c r="C108" i="12"/>
  <c r="H107" i="12"/>
  <c r="G107" i="12"/>
  <c r="F107" i="12"/>
  <c r="E107" i="12"/>
  <c r="D107" i="12"/>
  <c r="C107" i="12"/>
  <c r="H106" i="12"/>
  <c r="G106" i="12"/>
  <c r="F106" i="12"/>
  <c r="E106" i="12"/>
  <c r="D106" i="12"/>
  <c r="C106" i="12"/>
  <c r="H105" i="12"/>
  <c r="G105" i="12"/>
  <c r="F105" i="12"/>
  <c r="E105" i="12"/>
  <c r="D105" i="12"/>
  <c r="C105" i="12"/>
  <c r="H104" i="12"/>
  <c r="G104" i="12"/>
  <c r="F104" i="12"/>
  <c r="E104" i="12"/>
  <c r="D104" i="12"/>
  <c r="C104" i="12"/>
  <c r="H103" i="12"/>
  <c r="G103" i="12"/>
  <c r="F103" i="12"/>
  <c r="E103" i="12"/>
  <c r="D103" i="12"/>
  <c r="C103" i="12"/>
  <c r="H102" i="12"/>
  <c r="G102" i="12"/>
  <c r="F102" i="12"/>
  <c r="E102" i="12"/>
  <c r="D102" i="12"/>
  <c r="C102" i="12"/>
  <c r="H101" i="12"/>
  <c r="G101" i="12"/>
  <c r="F101" i="12"/>
  <c r="E101" i="12"/>
  <c r="D101" i="12"/>
  <c r="C101" i="12"/>
  <c r="H100" i="12"/>
  <c r="G100" i="12"/>
  <c r="F100" i="12"/>
  <c r="E100" i="12"/>
  <c r="D100" i="12"/>
  <c r="C100" i="12"/>
  <c r="H99" i="12"/>
  <c r="G99" i="12"/>
  <c r="F99" i="12"/>
  <c r="E99" i="12"/>
  <c r="D99" i="12"/>
  <c r="C99" i="12"/>
  <c r="H98" i="12"/>
  <c r="G98" i="12"/>
  <c r="F98" i="12"/>
  <c r="E98" i="12"/>
  <c r="D98" i="12"/>
  <c r="C98" i="12"/>
  <c r="H97" i="12"/>
  <c r="G97" i="12"/>
  <c r="F97" i="12"/>
  <c r="E97" i="12"/>
  <c r="D97" i="12"/>
  <c r="C97" i="12"/>
  <c r="H96" i="12"/>
  <c r="G96" i="12"/>
  <c r="F96" i="12"/>
  <c r="E96" i="12"/>
  <c r="D96" i="12"/>
  <c r="C96" i="12"/>
  <c r="H95" i="12"/>
  <c r="G95" i="12"/>
  <c r="F95" i="12"/>
  <c r="E95" i="12"/>
  <c r="D95" i="12"/>
  <c r="C95" i="12"/>
  <c r="H94" i="12"/>
  <c r="G94" i="12"/>
  <c r="F94" i="12"/>
  <c r="E94" i="12"/>
  <c r="D94" i="12"/>
  <c r="C94" i="12"/>
  <c r="H93" i="12"/>
  <c r="G93" i="12"/>
  <c r="F93" i="12"/>
  <c r="E93" i="12"/>
  <c r="D93" i="12"/>
  <c r="C93" i="12"/>
  <c r="H92" i="12"/>
  <c r="G92" i="12"/>
  <c r="F92" i="12"/>
  <c r="E92" i="12"/>
  <c r="D92" i="12"/>
  <c r="C92" i="12"/>
  <c r="H91" i="12"/>
  <c r="G91" i="12"/>
  <c r="F91" i="12"/>
  <c r="E91" i="12"/>
  <c r="D91" i="12"/>
  <c r="C91" i="12"/>
  <c r="H90" i="12"/>
  <c r="G90" i="12"/>
  <c r="F90" i="12"/>
  <c r="E90" i="12"/>
  <c r="D90" i="12"/>
  <c r="C90" i="12"/>
  <c r="H89" i="12"/>
  <c r="G89" i="12"/>
  <c r="F89" i="12"/>
  <c r="E89" i="12"/>
  <c r="D89" i="12"/>
  <c r="C89" i="12"/>
  <c r="H88" i="12"/>
  <c r="G88" i="12"/>
  <c r="F88" i="12"/>
  <c r="E88" i="12"/>
  <c r="D88" i="12"/>
  <c r="C88" i="12"/>
  <c r="H87" i="12"/>
  <c r="G87" i="12"/>
  <c r="F87" i="12"/>
  <c r="E87" i="12"/>
  <c r="D87" i="12"/>
  <c r="C87" i="12"/>
  <c r="H86" i="12"/>
  <c r="G86" i="12"/>
  <c r="F86" i="12"/>
  <c r="E86" i="12"/>
  <c r="D86" i="12"/>
  <c r="C86" i="12"/>
  <c r="H85" i="12"/>
  <c r="G85" i="12"/>
  <c r="F85" i="12"/>
  <c r="E85" i="12"/>
  <c r="D85" i="12"/>
  <c r="C85" i="12"/>
  <c r="H84" i="12"/>
  <c r="G84" i="12"/>
  <c r="F84" i="12"/>
  <c r="E84" i="12"/>
  <c r="D84" i="12"/>
  <c r="C84" i="12"/>
  <c r="H83" i="12"/>
  <c r="G83" i="12"/>
  <c r="F83" i="12"/>
  <c r="E83" i="12"/>
  <c r="D83" i="12"/>
  <c r="C83" i="12"/>
  <c r="H82" i="12"/>
  <c r="G82" i="12"/>
  <c r="F82" i="12"/>
  <c r="E82" i="12"/>
  <c r="D82" i="12"/>
  <c r="C82" i="12"/>
  <c r="H81" i="12"/>
  <c r="G81" i="12"/>
  <c r="F81" i="12"/>
  <c r="E81" i="12"/>
  <c r="D81" i="12"/>
  <c r="C81" i="12"/>
  <c r="H80" i="12"/>
  <c r="G80" i="12"/>
  <c r="F80" i="12"/>
  <c r="E80" i="12"/>
  <c r="D80" i="12"/>
  <c r="C80" i="12"/>
  <c r="H79" i="12"/>
  <c r="G79" i="12"/>
  <c r="F79" i="12"/>
  <c r="E79" i="12"/>
  <c r="D79" i="12"/>
  <c r="C79" i="12"/>
  <c r="H78" i="12"/>
  <c r="G78" i="12"/>
  <c r="F78" i="12"/>
  <c r="E78" i="12"/>
  <c r="D78" i="12"/>
  <c r="C78" i="12"/>
  <c r="H77" i="12"/>
  <c r="G77" i="12"/>
  <c r="F77" i="12"/>
  <c r="E77" i="12"/>
  <c r="D77" i="12"/>
  <c r="C77" i="12"/>
  <c r="H76" i="12"/>
  <c r="G76" i="12"/>
  <c r="F76" i="12"/>
  <c r="E76" i="12"/>
  <c r="D76" i="12"/>
  <c r="C76" i="12"/>
  <c r="H75" i="12"/>
  <c r="G75" i="12"/>
  <c r="F75" i="12"/>
  <c r="E75" i="12"/>
  <c r="D75" i="12"/>
  <c r="C75" i="12"/>
  <c r="H74" i="12"/>
  <c r="G74" i="12"/>
  <c r="F74" i="12"/>
  <c r="E74" i="12"/>
  <c r="D74" i="12"/>
  <c r="C74" i="12"/>
  <c r="H73" i="12"/>
  <c r="G73" i="12"/>
  <c r="F73" i="12"/>
  <c r="E73" i="12"/>
  <c r="D73" i="12"/>
  <c r="C73" i="12"/>
  <c r="H72" i="12"/>
  <c r="G72" i="12"/>
  <c r="F72" i="12"/>
  <c r="E72" i="12"/>
  <c r="D72" i="12"/>
  <c r="C72" i="12"/>
  <c r="H71" i="12"/>
  <c r="G71" i="12"/>
  <c r="F71" i="12"/>
  <c r="E71" i="12"/>
  <c r="D71" i="12"/>
  <c r="C71" i="12"/>
  <c r="H70" i="12"/>
  <c r="G70" i="12"/>
  <c r="F70" i="12"/>
  <c r="E70" i="12"/>
  <c r="D70" i="12"/>
  <c r="C70" i="12"/>
  <c r="H69" i="12"/>
  <c r="G69" i="12"/>
  <c r="F69" i="12"/>
  <c r="E69" i="12"/>
  <c r="D69" i="12"/>
  <c r="C69" i="12"/>
  <c r="H68" i="12"/>
  <c r="G68" i="12"/>
  <c r="F68" i="12"/>
  <c r="E68" i="12"/>
  <c r="D68" i="12"/>
  <c r="C68" i="12"/>
  <c r="H67" i="12"/>
  <c r="G67" i="12"/>
  <c r="F67" i="12"/>
  <c r="E67" i="12"/>
  <c r="D67" i="12"/>
  <c r="C67" i="12"/>
  <c r="H66" i="12"/>
  <c r="G66" i="12"/>
  <c r="F66" i="12"/>
  <c r="E66" i="12"/>
  <c r="D66" i="12"/>
  <c r="C66" i="12"/>
  <c r="H65" i="12"/>
  <c r="G65" i="12"/>
  <c r="F65" i="12"/>
  <c r="E65" i="12"/>
  <c r="D65" i="12"/>
  <c r="C65" i="12"/>
  <c r="H64" i="12"/>
  <c r="G64" i="12"/>
  <c r="F64" i="12"/>
  <c r="E64" i="12"/>
  <c r="D64" i="12"/>
  <c r="C64" i="12"/>
  <c r="H63" i="12"/>
  <c r="G63" i="12"/>
  <c r="F63" i="12"/>
  <c r="E63" i="12"/>
  <c r="D63" i="12"/>
  <c r="C63" i="12"/>
  <c r="H62" i="12"/>
  <c r="G62" i="12"/>
  <c r="F62" i="12"/>
  <c r="E62" i="12"/>
  <c r="D62" i="12"/>
  <c r="C62" i="12"/>
  <c r="H61" i="12"/>
  <c r="G61" i="12"/>
  <c r="F61" i="12"/>
  <c r="E61" i="12"/>
  <c r="D61" i="12"/>
  <c r="C61" i="12"/>
  <c r="H60" i="12"/>
  <c r="G60" i="12"/>
  <c r="F60" i="12"/>
  <c r="E60" i="12"/>
  <c r="D60" i="12"/>
  <c r="C60" i="12"/>
  <c r="H59" i="12"/>
  <c r="G59" i="12"/>
  <c r="F59" i="12"/>
  <c r="E59" i="12"/>
  <c r="D59" i="12"/>
  <c r="C59" i="12"/>
  <c r="H58" i="12"/>
  <c r="G58" i="12"/>
  <c r="F58" i="12"/>
  <c r="E58" i="12"/>
  <c r="D58" i="12"/>
  <c r="C58" i="12"/>
  <c r="H57" i="12"/>
  <c r="G57" i="12"/>
  <c r="F57" i="12"/>
  <c r="E57" i="12"/>
  <c r="D57" i="12"/>
  <c r="C57" i="12"/>
  <c r="H56" i="12"/>
  <c r="G56" i="12"/>
  <c r="F56" i="12"/>
  <c r="E56" i="12"/>
  <c r="D56" i="12"/>
  <c r="C56" i="12"/>
  <c r="H55" i="12"/>
  <c r="G55" i="12"/>
  <c r="F55" i="12"/>
  <c r="E55" i="12"/>
  <c r="D55" i="12"/>
  <c r="C55" i="12"/>
  <c r="H54" i="12"/>
  <c r="G54" i="12"/>
  <c r="F54" i="12"/>
  <c r="E54" i="12"/>
  <c r="D54" i="12"/>
  <c r="C54" i="12"/>
  <c r="H53" i="12"/>
  <c r="G53" i="12"/>
  <c r="F53" i="12"/>
  <c r="E53" i="12"/>
  <c r="D53" i="12"/>
  <c r="C53" i="12"/>
  <c r="H52" i="12"/>
  <c r="G52" i="12"/>
  <c r="F52" i="12"/>
  <c r="E52" i="12"/>
  <c r="D52" i="12"/>
  <c r="C52" i="12"/>
  <c r="H51" i="12"/>
  <c r="G51" i="12"/>
  <c r="F51" i="12"/>
  <c r="E51" i="12"/>
  <c r="D51" i="12"/>
  <c r="C51" i="12"/>
  <c r="H50" i="12"/>
  <c r="G50" i="12"/>
  <c r="F50" i="12"/>
  <c r="E50" i="12"/>
  <c r="D50" i="12"/>
  <c r="C50" i="12"/>
  <c r="H49" i="12"/>
  <c r="G49" i="12"/>
  <c r="F49" i="12"/>
  <c r="E49" i="12"/>
  <c r="D49" i="12"/>
  <c r="C49" i="12"/>
  <c r="H48" i="12"/>
  <c r="G48" i="12"/>
  <c r="F48" i="12"/>
  <c r="E48" i="12"/>
  <c r="D48" i="12"/>
  <c r="C48" i="12"/>
  <c r="H47" i="12"/>
  <c r="G47" i="12"/>
  <c r="F47" i="12"/>
  <c r="E47" i="12"/>
  <c r="D47" i="12"/>
  <c r="C47" i="12"/>
  <c r="H46" i="12"/>
  <c r="G46" i="12"/>
  <c r="F46" i="12"/>
  <c r="E46" i="12"/>
  <c r="D46" i="12"/>
  <c r="C46" i="12"/>
  <c r="H45" i="12"/>
  <c r="G45" i="12"/>
  <c r="F45" i="12"/>
  <c r="E45" i="12"/>
  <c r="D45" i="12"/>
  <c r="C45" i="12"/>
  <c r="H44" i="12"/>
  <c r="G44" i="12"/>
  <c r="F44" i="12"/>
  <c r="E44" i="12"/>
  <c r="D44" i="12"/>
  <c r="C44" i="12"/>
  <c r="H43" i="12"/>
  <c r="G43" i="12"/>
  <c r="F43" i="12"/>
  <c r="E43" i="12"/>
  <c r="D43" i="12"/>
  <c r="C43" i="12"/>
  <c r="H42" i="12"/>
  <c r="G42" i="12"/>
  <c r="F42" i="12"/>
  <c r="E42" i="12"/>
  <c r="D42" i="12"/>
  <c r="C42" i="12"/>
  <c r="H41" i="12"/>
  <c r="G41" i="12"/>
  <c r="F41" i="12"/>
  <c r="E41" i="12"/>
  <c r="D41" i="12"/>
  <c r="C41" i="12"/>
  <c r="H40" i="12"/>
  <c r="G40" i="12"/>
  <c r="F40" i="12"/>
  <c r="E40" i="12"/>
  <c r="D40" i="12"/>
  <c r="C40" i="12"/>
  <c r="H39" i="12"/>
  <c r="G39" i="12"/>
  <c r="F39" i="12"/>
  <c r="E39" i="12"/>
  <c r="D39" i="12"/>
  <c r="C39" i="12"/>
  <c r="H38" i="12"/>
  <c r="G38" i="12"/>
  <c r="F38" i="12"/>
  <c r="E38" i="12"/>
  <c r="D38" i="12"/>
  <c r="C38" i="12"/>
  <c r="H37" i="12"/>
  <c r="G37" i="12"/>
  <c r="F37" i="12"/>
  <c r="E37" i="12"/>
  <c r="D37" i="12"/>
  <c r="C37" i="12"/>
  <c r="H36" i="12"/>
  <c r="G36" i="12"/>
  <c r="F36" i="12"/>
  <c r="E36" i="12"/>
  <c r="D36" i="12"/>
  <c r="C36" i="12"/>
  <c r="H35" i="12"/>
  <c r="G35" i="12"/>
  <c r="F35" i="12"/>
  <c r="E35" i="12"/>
  <c r="D35" i="12"/>
  <c r="C35" i="12"/>
  <c r="H34" i="12"/>
  <c r="G34" i="12"/>
  <c r="F34" i="12"/>
  <c r="E34" i="12"/>
  <c r="D34" i="12"/>
  <c r="C34" i="12"/>
  <c r="H33" i="12"/>
  <c r="G33" i="12"/>
  <c r="F33" i="12"/>
  <c r="E33" i="12"/>
  <c r="D33" i="12"/>
  <c r="C33" i="12"/>
  <c r="H32" i="12"/>
  <c r="G32" i="12"/>
  <c r="F32" i="12"/>
  <c r="E32" i="12"/>
  <c r="D32" i="12"/>
  <c r="C32" i="12"/>
  <c r="H31" i="12"/>
  <c r="G31" i="12"/>
  <c r="F31" i="12"/>
  <c r="E31" i="12"/>
  <c r="D31" i="12"/>
  <c r="C31" i="12"/>
  <c r="H30" i="12"/>
  <c r="G30" i="12"/>
  <c r="F30" i="12"/>
  <c r="E30" i="12"/>
  <c r="D30" i="12"/>
  <c r="C30" i="12"/>
  <c r="H29" i="12"/>
  <c r="G29" i="12"/>
  <c r="F29" i="12"/>
  <c r="E29" i="12"/>
  <c r="D29" i="12"/>
  <c r="C29" i="12"/>
  <c r="H28" i="12"/>
  <c r="G28" i="12"/>
  <c r="F28" i="12"/>
  <c r="E28" i="12"/>
  <c r="D28" i="12"/>
  <c r="C28" i="12"/>
  <c r="H27" i="12"/>
  <c r="G27" i="12"/>
  <c r="F27" i="12"/>
  <c r="E27" i="12"/>
  <c r="D27" i="12"/>
  <c r="C27" i="12"/>
  <c r="H26" i="12"/>
  <c r="G26" i="12"/>
  <c r="F26" i="12"/>
  <c r="E26" i="12"/>
  <c r="D26" i="12"/>
  <c r="C26" i="12"/>
  <c r="H25" i="12"/>
  <c r="G25" i="12"/>
  <c r="F25" i="12"/>
  <c r="E25" i="12"/>
  <c r="D25" i="12"/>
  <c r="C25" i="12"/>
  <c r="H24" i="12"/>
  <c r="G24" i="12"/>
  <c r="F24" i="12"/>
  <c r="E24" i="12"/>
  <c r="D24" i="12"/>
  <c r="C24" i="12"/>
  <c r="H23" i="12"/>
  <c r="G23" i="12"/>
  <c r="F23" i="12"/>
  <c r="E23" i="12"/>
  <c r="D23" i="12"/>
  <c r="C23" i="12"/>
  <c r="H22" i="12"/>
  <c r="G22" i="12"/>
  <c r="F22" i="12"/>
  <c r="E22" i="12"/>
  <c r="D22" i="12"/>
  <c r="C22" i="12"/>
  <c r="H21" i="12"/>
  <c r="G21" i="12"/>
  <c r="F21" i="12"/>
  <c r="E21" i="12"/>
  <c r="D21" i="12"/>
  <c r="C21" i="12"/>
  <c r="H20" i="12"/>
  <c r="G20" i="12"/>
  <c r="F20" i="12"/>
  <c r="E20" i="12"/>
  <c r="D20" i="12"/>
  <c r="C20" i="12"/>
  <c r="H19" i="12"/>
  <c r="G19" i="12"/>
  <c r="F19" i="12"/>
  <c r="E19" i="12"/>
  <c r="D19" i="12"/>
  <c r="C19" i="12"/>
  <c r="H18" i="12"/>
  <c r="G18" i="12"/>
  <c r="F18" i="12"/>
  <c r="E18" i="12"/>
  <c r="D18" i="12"/>
  <c r="C18" i="12"/>
  <c r="H17" i="12"/>
  <c r="G17" i="12"/>
  <c r="F17" i="12"/>
  <c r="E17" i="12"/>
  <c r="D17" i="12"/>
  <c r="C17" i="12"/>
  <c r="H16" i="12"/>
  <c r="G16" i="12"/>
  <c r="F16" i="12"/>
  <c r="E16" i="12"/>
  <c r="D16" i="12"/>
  <c r="C16" i="12"/>
  <c r="H15" i="12"/>
  <c r="G15" i="12"/>
  <c r="F15" i="12"/>
  <c r="E15" i="12"/>
  <c r="D15" i="12"/>
  <c r="C15" i="12"/>
  <c r="H14" i="12"/>
  <c r="G14" i="12"/>
  <c r="F14" i="12"/>
  <c r="E14" i="12"/>
  <c r="D14" i="12"/>
  <c r="C14" i="12"/>
  <c r="H13" i="12"/>
  <c r="G13" i="12"/>
  <c r="F13" i="12"/>
  <c r="E13" i="12"/>
  <c r="D13" i="12"/>
  <c r="C13" i="12"/>
  <c r="H12" i="12"/>
  <c r="G12" i="12"/>
  <c r="F12" i="12"/>
  <c r="E12" i="12"/>
  <c r="D12" i="12"/>
  <c r="C12" i="12"/>
  <c r="H11" i="12"/>
  <c r="G11" i="12"/>
  <c r="F11" i="12"/>
  <c r="E11" i="12"/>
  <c r="D11" i="12"/>
  <c r="C11" i="12"/>
  <c r="H10" i="12"/>
  <c r="G10" i="12"/>
  <c r="F10" i="12"/>
  <c r="E10" i="12"/>
  <c r="D10" i="12"/>
  <c r="C10" i="12"/>
  <c r="H9" i="12"/>
  <c r="G9" i="12"/>
  <c r="F9" i="12"/>
  <c r="E9" i="12"/>
  <c r="D9" i="12"/>
  <c r="C9" i="12"/>
  <c r="H8" i="12"/>
  <c r="G8" i="12"/>
  <c r="F8" i="12"/>
  <c r="E8" i="12"/>
  <c r="D8" i="12"/>
  <c r="C8" i="12"/>
  <c r="H7" i="12"/>
  <c r="G7" i="12"/>
  <c r="F7" i="12"/>
  <c r="E7" i="12"/>
  <c r="D7" i="12"/>
  <c r="C7" i="12"/>
  <c r="H6" i="12"/>
  <c r="G6" i="12"/>
  <c r="F6" i="12"/>
  <c r="E6" i="12"/>
  <c r="D6" i="12"/>
  <c r="C6" i="12"/>
  <c r="H5" i="12"/>
  <c r="G5" i="12"/>
  <c r="F5" i="12"/>
  <c r="E5" i="12"/>
  <c r="D5" i="12"/>
  <c r="C5" i="12"/>
  <c r="B151" i="12"/>
  <c r="B143" i="12"/>
  <c r="B138" i="12"/>
  <c r="B135" i="12"/>
  <c r="B127" i="12"/>
  <c r="B122" i="12"/>
  <c r="B119" i="12"/>
  <c r="B111" i="12"/>
  <c r="B106" i="12"/>
  <c r="B103" i="12"/>
  <c r="B95" i="12"/>
  <c r="B90" i="12"/>
  <c r="B87" i="12"/>
  <c r="B79" i="12"/>
  <c r="B74" i="12"/>
  <c r="B71" i="12"/>
  <c r="B63" i="12"/>
  <c r="B58" i="12"/>
  <c r="B55" i="12"/>
  <c r="B47" i="12"/>
  <c r="B42" i="12"/>
  <c r="B39" i="12"/>
  <c r="B31" i="12"/>
  <c r="B26" i="12"/>
  <c r="B23" i="12"/>
  <c r="B15" i="12"/>
  <c r="B10" i="12"/>
  <c r="B7" i="12"/>
  <c r="B4" i="12" a="1"/>
  <c r="B150" i="12" s="1"/>
  <c r="H42" i="11"/>
  <c r="G42" i="11"/>
  <c r="F42" i="11"/>
  <c r="E42" i="11"/>
  <c r="D42" i="11"/>
  <c r="C42" i="11"/>
  <c r="G41" i="11"/>
  <c r="F41" i="11"/>
  <c r="E41" i="11"/>
  <c r="D41" i="11"/>
  <c r="C41" i="11"/>
  <c r="H40" i="11"/>
  <c r="G40" i="11"/>
  <c r="F40" i="11"/>
  <c r="E40" i="11"/>
  <c r="D40" i="11"/>
  <c r="C40" i="11"/>
  <c r="H39" i="11"/>
  <c r="G39" i="11"/>
  <c r="F39" i="11"/>
  <c r="E39" i="11"/>
  <c r="D39" i="11"/>
  <c r="C39" i="11"/>
  <c r="H38" i="11"/>
  <c r="G38" i="11"/>
  <c r="F38" i="11"/>
  <c r="E38" i="11"/>
  <c r="D38" i="11"/>
  <c r="C38" i="11"/>
  <c r="H37" i="11"/>
  <c r="G37" i="11"/>
  <c r="F37" i="11"/>
  <c r="E37" i="11"/>
  <c r="D37" i="11"/>
  <c r="C37" i="11"/>
  <c r="H36" i="11"/>
  <c r="G36" i="11"/>
  <c r="F36" i="11"/>
  <c r="E36" i="11"/>
  <c r="D36" i="11"/>
  <c r="C36" i="11"/>
  <c r="H35" i="11"/>
  <c r="G35" i="11"/>
  <c r="F35" i="11"/>
  <c r="E35" i="11"/>
  <c r="D35" i="11"/>
  <c r="C35" i="11"/>
  <c r="H34" i="11"/>
  <c r="G34" i="11"/>
  <c r="F34" i="11"/>
  <c r="E34" i="11"/>
  <c r="D34" i="11"/>
  <c r="C34" i="11"/>
  <c r="H33" i="11"/>
  <c r="G33" i="11"/>
  <c r="F33" i="11"/>
  <c r="E33" i="11"/>
  <c r="D33" i="11"/>
  <c r="C33" i="11"/>
  <c r="H32" i="11"/>
  <c r="G32" i="11"/>
  <c r="F32" i="11"/>
  <c r="E32" i="11"/>
  <c r="D32" i="11"/>
  <c r="C32" i="11"/>
  <c r="H31" i="11"/>
  <c r="G31" i="11"/>
  <c r="F31" i="11"/>
  <c r="E31" i="11"/>
  <c r="D31" i="11"/>
  <c r="C31" i="11"/>
  <c r="H30" i="11"/>
  <c r="G30" i="11"/>
  <c r="F30" i="11"/>
  <c r="E30" i="11"/>
  <c r="D30" i="11"/>
  <c r="C30" i="11"/>
  <c r="H29" i="11"/>
  <c r="G29" i="11"/>
  <c r="F29" i="11"/>
  <c r="E29" i="11"/>
  <c r="D29" i="11"/>
  <c r="C29" i="11"/>
  <c r="H28" i="11"/>
  <c r="G28" i="11"/>
  <c r="F28" i="11"/>
  <c r="E28" i="11"/>
  <c r="D28" i="11"/>
  <c r="C28" i="11"/>
  <c r="H27" i="11"/>
  <c r="G27" i="11"/>
  <c r="F27" i="11"/>
  <c r="E27" i="11"/>
  <c r="D27" i="11"/>
  <c r="C27" i="11"/>
  <c r="H26" i="11"/>
  <c r="G26" i="11"/>
  <c r="F26" i="11"/>
  <c r="E26" i="11"/>
  <c r="D26" i="11"/>
  <c r="C26" i="11"/>
  <c r="H25" i="11"/>
  <c r="G25" i="11"/>
  <c r="F25" i="11"/>
  <c r="E25" i="11"/>
  <c r="D25" i="11"/>
  <c r="C25" i="11"/>
  <c r="H24" i="11"/>
  <c r="G24" i="11"/>
  <c r="F24" i="11"/>
  <c r="E24" i="11"/>
  <c r="D24" i="11"/>
  <c r="C24" i="11"/>
  <c r="H23" i="11"/>
  <c r="G23" i="11"/>
  <c r="F23" i="11"/>
  <c r="E23" i="11"/>
  <c r="D23" i="11"/>
  <c r="C23" i="11"/>
  <c r="H22" i="11"/>
  <c r="G22" i="11"/>
  <c r="F22" i="11"/>
  <c r="E22" i="11"/>
  <c r="D22" i="11"/>
  <c r="C22" i="11"/>
  <c r="H21" i="11"/>
  <c r="G21" i="11"/>
  <c r="F21" i="11"/>
  <c r="E21" i="11"/>
  <c r="D21" i="11"/>
  <c r="C21" i="11"/>
  <c r="H20" i="11"/>
  <c r="G20" i="11"/>
  <c r="F20" i="11"/>
  <c r="E20" i="11"/>
  <c r="D20" i="11"/>
  <c r="C20" i="11"/>
  <c r="H19" i="11"/>
  <c r="G19" i="11"/>
  <c r="F19" i="11"/>
  <c r="E19" i="11"/>
  <c r="D19" i="11"/>
  <c r="C19" i="11"/>
  <c r="H18" i="11"/>
  <c r="G18" i="11"/>
  <c r="F18" i="11"/>
  <c r="E18" i="11"/>
  <c r="D18" i="11"/>
  <c r="C18" i="11"/>
  <c r="H17" i="11"/>
  <c r="G17" i="11"/>
  <c r="F17" i="11"/>
  <c r="E17" i="11"/>
  <c r="D17" i="11"/>
  <c r="C17" i="11"/>
  <c r="H16" i="11"/>
  <c r="G16" i="11"/>
  <c r="F16" i="11"/>
  <c r="E16" i="11"/>
  <c r="D16" i="11"/>
  <c r="C16" i="11"/>
  <c r="H15" i="11"/>
  <c r="G15" i="11"/>
  <c r="F15" i="11"/>
  <c r="E15" i="11"/>
  <c r="D15" i="11"/>
  <c r="C15" i="11"/>
  <c r="H14" i="11"/>
  <c r="G14" i="11"/>
  <c r="F14" i="11"/>
  <c r="E14" i="11"/>
  <c r="D14" i="11"/>
  <c r="C14" i="11"/>
  <c r="H13" i="11"/>
  <c r="G13" i="11"/>
  <c r="F13" i="11"/>
  <c r="E13" i="11"/>
  <c r="D13" i="11"/>
  <c r="C13" i="11"/>
  <c r="H12" i="11"/>
  <c r="G12" i="11"/>
  <c r="F12" i="11"/>
  <c r="E12" i="11"/>
  <c r="D12" i="11"/>
  <c r="C12" i="11"/>
  <c r="H11" i="11"/>
  <c r="G11" i="11"/>
  <c r="F11" i="11"/>
  <c r="E11" i="11"/>
  <c r="D11" i="11"/>
  <c r="C11" i="11"/>
  <c r="H10" i="11"/>
  <c r="G10" i="11"/>
  <c r="F10" i="11"/>
  <c r="E10" i="11"/>
  <c r="D10" i="11"/>
  <c r="C10" i="11"/>
  <c r="H9" i="11"/>
  <c r="G9" i="11"/>
  <c r="F9" i="11"/>
  <c r="E9" i="11"/>
  <c r="D9" i="11"/>
  <c r="C9" i="11"/>
  <c r="H8" i="11"/>
  <c r="G8" i="11"/>
  <c r="F8" i="11"/>
  <c r="E8" i="11"/>
  <c r="D8" i="11"/>
  <c r="C8" i="11"/>
  <c r="H7" i="11"/>
  <c r="G7" i="11"/>
  <c r="F7" i="11"/>
  <c r="E7" i="11"/>
  <c r="D7" i="11"/>
  <c r="C7" i="11"/>
  <c r="H6" i="11"/>
  <c r="G6" i="11"/>
  <c r="F6" i="11"/>
  <c r="E6" i="11"/>
  <c r="D6" i="11"/>
  <c r="C6" i="11"/>
  <c r="H5" i="11"/>
  <c r="G5" i="11"/>
  <c r="F5" i="11"/>
  <c r="E5" i="11"/>
  <c r="D5" i="11"/>
  <c r="C5" i="11"/>
  <c r="B40" i="11"/>
  <c r="B39" i="11"/>
  <c r="B38" i="11"/>
  <c r="B35" i="11"/>
  <c r="B34" i="11"/>
  <c r="B32" i="11"/>
  <c r="B29" i="11"/>
  <c r="B28" i="11"/>
  <c r="B25" i="11"/>
  <c r="B24" i="11"/>
  <c r="B23" i="11"/>
  <c r="B22" i="11"/>
  <c r="B19" i="11"/>
  <c r="B18" i="11"/>
  <c r="B16" i="11"/>
  <c r="B13" i="11"/>
  <c r="B12" i="11"/>
  <c r="B9" i="11"/>
  <c r="B8" i="11"/>
  <c r="B7" i="11"/>
  <c r="B6" i="11"/>
  <c r="B4" i="11" a="1"/>
  <c r="B31" i="11" s="1"/>
  <c r="B4" i="11"/>
  <c r="G246" i="10"/>
  <c r="F246" i="10"/>
  <c r="E246" i="10"/>
  <c r="D246" i="10"/>
  <c r="C246" i="10"/>
  <c r="H245" i="10"/>
  <c r="G245" i="10"/>
  <c r="F245" i="10"/>
  <c r="E245" i="10"/>
  <c r="D245" i="10"/>
  <c r="C245" i="10"/>
  <c r="H244" i="10"/>
  <c r="G244" i="10"/>
  <c r="F244" i="10"/>
  <c r="E244" i="10"/>
  <c r="D244" i="10"/>
  <c r="C244" i="10"/>
  <c r="H243" i="10"/>
  <c r="G243" i="10"/>
  <c r="F243" i="10"/>
  <c r="E243" i="10"/>
  <c r="D243" i="10"/>
  <c r="C243" i="10"/>
  <c r="H242" i="10"/>
  <c r="G242" i="10"/>
  <c r="F242" i="10"/>
  <c r="E242" i="10"/>
  <c r="D242" i="10"/>
  <c r="C242" i="10"/>
  <c r="H241" i="10"/>
  <c r="G241" i="10"/>
  <c r="F241" i="10"/>
  <c r="E241" i="10"/>
  <c r="D241" i="10"/>
  <c r="C241" i="10"/>
  <c r="H240" i="10"/>
  <c r="G240" i="10"/>
  <c r="F240" i="10"/>
  <c r="E240" i="10"/>
  <c r="D240" i="10"/>
  <c r="C240" i="10"/>
  <c r="H239" i="10"/>
  <c r="G239" i="10"/>
  <c r="F239" i="10"/>
  <c r="E239" i="10"/>
  <c r="D239" i="10"/>
  <c r="C239" i="10"/>
  <c r="H238" i="10"/>
  <c r="G238" i="10"/>
  <c r="F238" i="10"/>
  <c r="E238" i="10"/>
  <c r="D238" i="10"/>
  <c r="C238" i="10"/>
  <c r="H237" i="10"/>
  <c r="G237" i="10"/>
  <c r="F237" i="10"/>
  <c r="E237" i="10"/>
  <c r="D237" i="10"/>
  <c r="C237" i="10"/>
  <c r="H236" i="10"/>
  <c r="G236" i="10"/>
  <c r="F236" i="10"/>
  <c r="E236" i="10"/>
  <c r="D236" i="10"/>
  <c r="C236" i="10"/>
  <c r="H235" i="10"/>
  <c r="G235" i="10"/>
  <c r="F235" i="10"/>
  <c r="E235" i="10"/>
  <c r="D235" i="10"/>
  <c r="C235" i="10"/>
  <c r="H234" i="10"/>
  <c r="G234" i="10"/>
  <c r="F234" i="10"/>
  <c r="E234" i="10"/>
  <c r="D234" i="10"/>
  <c r="C234" i="10"/>
  <c r="H233" i="10"/>
  <c r="G233" i="10"/>
  <c r="F233" i="10"/>
  <c r="E233" i="10"/>
  <c r="D233" i="10"/>
  <c r="C233" i="10"/>
  <c r="H232" i="10"/>
  <c r="G232" i="10"/>
  <c r="F232" i="10"/>
  <c r="E232" i="10"/>
  <c r="D232" i="10"/>
  <c r="C232" i="10"/>
  <c r="H231" i="10"/>
  <c r="G231" i="10"/>
  <c r="F231" i="10"/>
  <c r="E231" i="10"/>
  <c r="D231" i="10"/>
  <c r="C231" i="10"/>
  <c r="H230" i="10"/>
  <c r="G230" i="10"/>
  <c r="F230" i="10"/>
  <c r="E230" i="10"/>
  <c r="D230" i="10"/>
  <c r="C230" i="10"/>
  <c r="H229" i="10"/>
  <c r="G229" i="10"/>
  <c r="F229" i="10"/>
  <c r="E229" i="10"/>
  <c r="D229" i="10"/>
  <c r="C229" i="10"/>
  <c r="H228" i="10"/>
  <c r="G228" i="10"/>
  <c r="F228" i="10"/>
  <c r="E228" i="10"/>
  <c r="D228" i="10"/>
  <c r="C228" i="10"/>
  <c r="H227" i="10"/>
  <c r="G227" i="10"/>
  <c r="F227" i="10"/>
  <c r="E227" i="10"/>
  <c r="D227" i="10"/>
  <c r="C227" i="10"/>
  <c r="H226" i="10"/>
  <c r="G226" i="10"/>
  <c r="F226" i="10"/>
  <c r="E226" i="10"/>
  <c r="D226" i="10"/>
  <c r="C226" i="10"/>
  <c r="H225" i="10"/>
  <c r="G225" i="10"/>
  <c r="F225" i="10"/>
  <c r="E225" i="10"/>
  <c r="D225" i="10"/>
  <c r="C225" i="10"/>
  <c r="H224" i="10"/>
  <c r="G224" i="10"/>
  <c r="F224" i="10"/>
  <c r="E224" i="10"/>
  <c r="D224" i="10"/>
  <c r="C224" i="10"/>
  <c r="H223" i="10"/>
  <c r="G223" i="10"/>
  <c r="F223" i="10"/>
  <c r="E223" i="10"/>
  <c r="D223" i="10"/>
  <c r="C223" i="10"/>
  <c r="H222" i="10"/>
  <c r="G222" i="10"/>
  <c r="F222" i="10"/>
  <c r="E222" i="10"/>
  <c r="D222" i="10"/>
  <c r="C222" i="10"/>
  <c r="H221" i="10"/>
  <c r="G221" i="10"/>
  <c r="F221" i="10"/>
  <c r="E221" i="10"/>
  <c r="D221" i="10"/>
  <c r="C221" i="10"/>
  <c r="H220" i="10"/>
  <c r="G220" i="10"/>
  <c r="F220" i="10"/>
  <c r="E220" i="10"/>
  <c r="D220" i="10"/>
  <c r="C220" i="10"/>
  <c r="H219" i="10"/>
  <c r="G219" i="10"/>
  <c r="F219" i="10"/>
  <c r="E219" i="10"/>
  <c r="D219" i="10"/>
  <c r="C219" i="10"/>
  <c r="H218" i="10"/>
  <c r="G218" i="10"/>
  <c r="F218" i="10"/>
  <c r="E218" i="10"/>
  <c r="D218" i="10"/>
  <c r="C218" i="10"/>
  <c r="H217" i="10"/>
  <c r="G217" i="10"/>
  <c r="F217" i="10"/>
  <c r="E217" i="10"/>
  <c r="D217" i="10"/>
  <c r="C217" i="10"/>
  <c r="H216" i="10"/>
  <c r="G216" i="10"/>
  <c r="F216" i="10"/>
  <c r="E216" i="10"/>
  <c r="D216" i="10"/>
  <c r="C216" i="10"/>
  <c r="H215" i="10"/>
  <c r="G215" i="10"/>
  <c r="F215" i="10"/>
  <c r="E215" i="10"/>
  <c r="D215" i="10"/>
  <c r="C215" i="10"/>
  <c r="H214" i="10"/>
  <c r="G214" i="10"/>
  <c r="F214" i="10"/>
  <c r="E214" i="10"/>
  <c r="D214" i="10"/>
  <c r="C214" i="10"/>
  <c r="H213" i="10"/>
  <c r="G213" i="10"/>
  <c r="F213" i="10"/>
  <c r="E213" i="10"/>
  <c r="D213" i="10"/>
  <c r="C213" i="10"/>
  <c r="H212" i="10"/>
  <c r="G212" i="10"/>
  <c r="F212" i="10"/>
  <c r="E212" i="10"/>
  <c r="D212" i="10"/>
  <c r="C212" i="10"/>
  <c r="H211" i="10"/>
  <c r="G211" i="10"/>
  <c r="F211" i="10"/>
  <c r="E211" i="10"/>
  <c r="D211" i="10"/>
  <c r="C211" i="10"/>
  <c r="H210" i="10"/>
  <c r="G210" i="10"/>
  <c r="F210" i="10"/>
  <c r="E210" i="10"/>
  <c r="D210" i="10"/>
  <c r="C210" i="10"/>
  <c r="H209" i="10"/>
  <c r="G209" i="10"/>
  <c r="F209" i="10"/>
  <c r="E209" i="10"/>
  <c r="D209" i="10"/>
  <c r="C209" i="10"/>
  <c r="H208" i="10"/>
  <c r="G208" i="10"/>
  <c r="F208" i="10"/>
  <c r="E208" i="10"/>
  <c r="D208" i="10"/>
  <c r="C208" i="10"/>
  <c r="H207" i="10"/>
  <c r="G207" i="10"/>
  <c r="F207" i="10"/>
  <c r="E207" i="10"/>
  <c r="D207" i="10"/>
  <c r="C207" i="10"/>
  <c r="H206" i="10"/>
  <c r="G206" i="10"/>
  <c r="F206" i="10"/>
  <c r="E206" i="10"/>
  <c r="D206" i="10"/>
  <c r="C206" i="10"/>
  <c r="H205" i="10"/>
  <c r="G205" i="10"/>
  <c r="F205" i="10"/>
  <c r="E205" i="10"/>
  <c r="D205" i="10"/>
  <c r="C205" i="10"/>
  <c r="H204" i="10"/>
  <c r="G204" i="10"/>
  <c r="F204" i="10"/>
  <c r="E204" i="10"/>
  <c r="D204" i="10"/>
  <c r="C204" i="10"/>
  <c r="H203" i="10"/>
  <c r="G203" i="10"/>
  <c r="F203" i="10"/>
  <c r="E203" i="10"/>
  <c r="D203" i="10"/>
  <c r="C203" i="10"/>
  <c r="H202" i="10"/>
  <c r="G202" i="10"/>
  <c r="F202" i="10"/>
  <c r="E202" i="10"/>
  <c r="D202" i="10"/>
  <c r="C202" i="10"/>
  <c r="H201" i="10"/>
  <c r="G201" i="10"/>
  <c r="F201" i="10"/>
  <c r="E201" i="10"/>
  <c r="D201" i="10"/>
  <c r="C201" i="10"/>
  <c r="H200" i="10"/>
  <c r="G200" i="10"/>
  <c r="F200" i="10"/>
  <c r="E200" i="10"/>
  <c r="D200" i="10"/>
  <c r="C200" i="10"/>
  <c r="H199" i="10"/>
  <c r="G199" i="10"/>
  <c r="F199" i="10"/>
  <c r="E199" i="10"/>
  <c r="D199" i="10"/>
  <c r="C199" i="10"/>
  <c r="H198" i="10"/>
  <c r="G198" i="10"/>
  <c r="F198" i="10"/>
  <c r="E198" i="10"/>
  <c r="D198" i="10"/>
  <c r="C198" i="10"/>
  <c r="H197" i="10"/>
  <c r="G197" i="10"/>
  <c r="F197" i="10"/>
  <c r="E197" i="10"/>
  <c r="D197" i="10"/>
  <c r="C197" i="10"/>
  <c r="H196" i="10"/>
  <c r="G196" i="10"/>
  <c r="F196" i="10"/>
  <c r="E196" i="10"/>
  <c r="D196" i="10"/>
  <c r="C196" i="10"/>
  <c r="H195" i="10"/>
  <c r="G195" i="10"/>
  <c r="F195" i="10"/>
  <c r="E195" i="10"/>
  <c r="D195" i="10"/>
  <c r="C195" i="10"/>
  <c r="H194" i="10"/>
  <c r="G194" i="10"/>
  <c r="F194" i="10"/>
  <c r="E194" i="10"/>
  <c r="D194" i="10"/>
  <c r="C194" i="10"/>
  <c r="H193" i="10"/>
  <c r="G193" i="10"/>
  <c r="F193" i="10"/>
  <c r="E193" i="10"/>
  <c r="D193" i="10"/>
  <c r="C193" i="10"/>
  <c r="H192" i="10"/>
  <c r="G192" i="10"/>
  <c r="F192" i="10"/>
  <c r="E192" i="10"/>
  <c r="D192" i="10"/>
  <c r="C192" i="10"/>
  <c r="H191" i="10"/>
  <c r="G191" i="10"/>
  <c r="F191" i="10"/>
  <c r="E191" i="10"/>
  <c r="D191" i="10"/>
  <c r="C191" i="10"/>
  <c r="H190" i="10"/>
  <c r="G190" i="10"/>
  <c r="F190" i="10"/>
  <c r="E190" i="10"/>
  <c r="D190" i="10"/>
  <c r="C190" i="10"/>
  <c r="H189" i="10"/>
  <c r="G189" i="10"/>
  <c r="F189" i="10"/>
  <c r="E189" i="10"/>
  <c r="D189" i="10"/>
  <c r="C189" i="10"/>
  <c r="H188" i="10"/>
  <c r="G188" i="10"/>
  <c r="F188" i="10"/>
  <c r="E188" i="10"/>
  <c r="D188" i="10"/>
  <c r="C188" i="10"/>
  <c r="H187" i="10"/>
  <c r="G187" i="10"/>
  <c r="F187" i="10"/>
  <c r="E187" i="10"/>
  <c r="D187" i="10"/>
  <c r="C187" i="10"/>
  <c r="H186" i="10"/>
  <c r="G186" i="10"/>
  <c r="F186" i="10"/>
  <c r="E186" i="10"/>
  <c r="D186" i="10"/>
  <c r="C186" i="10"/>
  <c r="H185" i="10"/>
  <c r="G185" i="10"/>
  <c r="F185" i="10"/>
  <c r="E185" i="10"/>
  <c r="D185" i="10"/>
  <c r="C185" i="10"/>
  <c r="H184" i="10"/>
  <c r="G184" i="10"/>
  <c r="F184" i="10"/>
  <c r="E184" i="10"/>
  <c r="D184" i="10"/>
  <c r="C184" i="10"/>
  <c r="H183" i="10"/>
  <c r="G183" i="10"/>
  <c r="F183" i="10"/>
  <c r="E183" i="10"/>
  <c r="D183" i="10"/>
  <c r="C183" i="10"/>
  <c r="H182" i="10"/>
  <c r="G182" i="10"/>
  <c r="F182" i="10"/>
  <c r="E182" i="10"/>
  <c r="D182" i="10"/>
  <c r="C182" i="10"/>
  <c r="H181" i="10"/>
  <c r="G181" i="10"/>
  <c r="F181" i="10"/>
  <c r="E181" i="10"/>
  <c r="D181" i="10"/>
  <c r="C181" i="10"/>
  <c r="H180" i="10"/>
  <c r="G180" i="10"/>
  <c r="F180" i="10"/>
  <c r="E180" i="10"/>
  <c r="D180" i="10"/>
  <c r="C180" i="10"/>
  <c r="H179" i="10"/>
  <c r="G179" i="10"/>
  <c r="F179" i="10"/>
  <c r="E179" i="10"/>
  <c r="D179" i="10"/>
  <c r="C179" i="10"/>
  <c r="H178" i="10"/>
  <c r="G178" i="10"/>
  <c r="F178" i="10"/>
  <c r="E178" i="10"/>
  <c r="D178" i="10"/>
  <c r="C178" i="10"/>
  <c r="H177" i="10"/>
  <c r="G177" i="10"/>
  <c r="F177" i="10"/>
  <c r="E177" i="10"/>
  <c r="D177" i="10"/>
  <c r="C177" i="10"/>
  <c r="H176" i="10"/>
  <c r="G176" i="10"/>
  <c r="F176" i="10"/>
  <c r="E176" i="10"/>
  <c r="D176" i="10"/>
  <c r="C176" i="10"/>
  <c r="H175" i="10"/>
  <c r="G175" i="10"/>
  <c r="F175" i="10"/>
  <c r="E175" i="10"/>
  <c r="D175" i="10"/>
  <c r="C175" i="10"/>
  <c r="H174" i="10"/>
  <c r="G174" i="10"/>
  <c r="F174" i="10"/>
  <c r="E174" i="10"/>
  <c r="D174" i="10"/>
  <c r="C174" i="10"/>
  <c r="H173" i="10"/>
  <c r="G173" i="10"/>
  <c r="F173" i="10"/>
  <c r="E173" i="10"/>
  <c r="D173" i="10"/>
  <c r="C173" i="10"/>
  <c r="H172" i="10"/>
  <c r="G172" i="10"/>
  <c r="F172" i="10"/>
  <c r="E172" i="10"/>
  <c r="D172" i="10"/>
  <c r="C172" i="10"/>
  <c r="H171" i="10"/>
  <c r="G171" i="10"/>
  <c r="F171" i="10"/>
  <c r="E171" i="10"/>
  <c r="D171" i="10"/>
  <c r="C171" i="10"/>
  <c r="H170" i="10"/>
  <c r="G170" i="10"/>
  <c r="F170" i="10"/>
  <c r="E170" i="10"/>
  <c r="D170" i="10"/>
  <c r="C170" i="10"/>
  <c r="H169" i="10"/>
  <c r="G169" i="10"/>
  <c r="F169" i="10"/>
  <c r="E169" i="10"/>
  <c r="D169" i="10"/>
  <c r="C169" i="10"/>
  <c r="H168" i="10"/>
  <c r="G168" i="10"/>
  <c r="F168" i="10"/>
  <c r="E168" i="10"/>
  <c r="D168" i="10"/>
  <c r="C168" i="10"/>
  <c r="H167" i="10"/>
  <c r="G167" i="10"/>
  <c r="F167" i="10"/>
  <c r="E167" i="10"/>
  <c r="D167" i="10"/>
  <c r="C167" i="10"/>
  <c r="H166" i="10"/>
  <c r="G166" i="10"/>
  <c r="F166" i="10"/>
  <c r="E166" i="10"/>
  <c r="D166" i="10"/>
  <c r="C166" i="10"/>
  <c r="H165" i="10"/>
  <c r="G165" i="10"/>
  <c r="F165" i="10"/>
  <c r="E165" i="10"/>
  <c r="D165" i="10"/>
  <c r="C165" i="10"/>
  <c r="H164" i="10"/>
  <c r="G164" i="10"/>
  <c r="F164" i="10"/>
  <c r="E164" i="10"/>
  <c r="D164" i="10"/>
  <c r="C164" i="10"/>
  <c r="H163" i="10"/>
  <c r="G163" i="10"/>
  <c r="F163" i="10"/>
  <c r="E163" i="10"/>
  <c r="D163" i="10"/>
  <c r="C163" i="10"/>
  <c r="H162" i="10"/>
  <c r="G162" i="10"/>
  <c r="F162" i="10"/>
  <c r="E162" i="10"/>
  <c r="D162" i="10"/>
  <c r="C162" i="10"/>
  <c r="H161" i="10"/>
  <c r="G161" i="10"/>
  <c r="F161" i="10"/>
  <c r="E161" i="10"/>
  <c r="D161" i="10"/>
  <c r="C161" i="10"/>
  <c r="H160" i="10"/>
  <c r="G160" i="10"/>
  <c r="F160" i="10"/>
  <c r="E160" i="10"/>
  <c r="D160" i="10"/>
  <c r="C160" i="10"/>
  <c r="H159" i="10"/>
  <c r="G159" i="10"/>
  <c r="F159" i="10"/>
  <c r="E159" i="10"/>
  <c r="D159" i="10"/>
  <c r="C159" i="10"/>
  <c r="H158" i="10"/>
  <c r="G158" i="10"/>
  <c r="F158" i="10"/>
  <c r="E158" i="10"/>
  <c r="D158" i="10"/>
  <c r="C158" i="10"/>
  <c r="H157" i="10"/>
  <c r="G157" i="10"/>
  <c r="F157" i="10"/>
  <c r="E157" i="10"/>
  <c r="D157" i="10"/>
  <c r="C157" i="10"/>
  <c r="H156" i="10"/>
  <c r="G156" i="10"/>
  <c r="F156" i="10"/>
  <c r="E156" i="10"/>
  <c r="D156" i="10"/>
  <c r="C156" i="10"/>
  <c r="H155" i="10"/>
  <c r="G155" i="10"/>
  <c r="F155" i="10"/>
  <c r="E155" i="10"/>
  <c r="D155" i="10"/>
  <c r="C155" i="10"/>
  <c r="H154" i="10"/>
  <c r="G154" i="10"/>
  <c r="F154" i="10"/>
  <c r="E154" i="10"/>
  <c r="D154" i="10"/>
  <c r="C154" i="10"/>
  <c r="H153" i="10"/>
  <c r="G153" i="10"/>
  <c r="F153" i="10"/>
  <c r="E153" i="10"/>
  <c r="D153" i="10"/>
  <c r="C153" i="10"/>
  <c r="H152" i="10"/>
  <c r="G152" i="10"/>
  <c r="F152" i="10"/>
  <c r="E152" i="10"/>
  <c r="D152" i="10"/>
  <c r="C152" i="10"/>
  <c r="H151" i="10"/>
  <c r="G151" i="10"/>
  <c r="F151" i="10"/>
  <c r="E151" i="10"/>
  <c r="D151" i="10"/>
  <c r="C151" i="10"/>
  <c r="H150" i="10"/>
  <c r="G150" i="10"/>
  <c r="F150" i="10"/>
  <c r="E150" i="10"/>
  <c r="D150" i="10"/>
  <c r="C150" i="10"/>
  <c r="H149" i="10"/>
  <c r="G149" i="10"/>
  <c r="F149" i="10"/>
  <c r="E149" i="10"/>
  <c r="D149" i="10"/>
  <c r="C149" i="10"/>
  <c r="H148" i="10"/>
  <c r="G148" i="10"/>
  <c r="F148" i="10"/>
  <c r="E148" i="10"/>
  <c r="D148" i="10"/>
  <c r="C148" i="10"/>
  <c r="H147" i="10"/>
  <c r="G147" i="10"/>
  <c r="F147" i="10"/>
  <c r="E147" i="10"/>
  <c r="D147" i="10"/>
  <c r="C147" i="10"/>
  <c r="H146" i="10"/>
  <c r="G146" i="10"/>
  <c r="F146" i="10"/>
  <c r="E146" i="10"/>
  <c r="D146" i="10"/>
  <c r="C146" i="10"/>
  <c r="H145" i="10"/>
  <c r="G145" i="10"/>
  <c r="F145" i="10"/>
  <c r="E145" i="10"/>
  <c r="D145" i="10"/>
  <c r="C145" i="10"/>
  <c r="H144" i="10"/>
  <c r="G144" i="10"/>
  <c r="F144" i="10"/>
  <c r="E144" i="10"/>
  <c r="D144" i="10"/>
  <c r="C144" i="10"/>
  <c r="H143" i="10"/>
  <c r="G143" i="10"/>
  <c r="F143" i="10"/>
  <c r="E143" i="10"/>
  <c r="D143" i="10"/>
  <c r="C143" i="10"/>
  <c r="H142" i="10"/>
  <c r="G142" i="10"/>
  <c r="F142" i="10"/>
  <c r="E142" i="10"/>
  <c r="D142" i="10"/>
  <c r="C142" i="10"/>
  <c r="H141" i="10"/>
  <c r="G141" i="10"/>
  <c r="F141" i="10"/>
  <c r="E141" i="10"/>
  <c r="D141" i="10"/>
  <c r="C141" i="10"/>
  <c r="H140" i="10"/>
  <c r="G140" i="10"/>
  <c r="F140" i="10"/>
  <c r="E140" i="10"/>
  <c r="D140" i="10"/>
  <c r="C140" i="10"/>
  <c r="H139" i="10"/>
  <c r="G139" i="10"/>
  <c r="F139" i="10"/>
  <c r="E139" i="10"/>
  <c r="D139" i="10"/>
  <c r="C139" i="10"/>
  <c r="H138" i="10"/>
  <c r="G138" i="10"/>
  <c r="F138" i="10"/>
  <c r="E138" i="10"/>
  <c r="D138" i="10"/>
  <c r="C138" i="10"/>
  <c r="H137" i="10"/>
  <c r="G137" i="10"/>
  <c r="F137" i="10"/>
  <c r="E137" i="10"/>
  <c r="D137" i="10"/>
  <c r="C137" i="10"/>
  <c r="H136" i="10"/>
  <c r="G136" i="10"/>
  <c r="F136" i="10"/>
  <c r="E136" i="10"/>
  <c r="D136" i="10"/>
  <c r="C136" i="10"/>
  <c r="H135" i="10"/>
  <c r="G135" i="10"/>
  <c r="F135" i="10"/>
  <c r="E135" i="10"/>
  <c r="D135" i="10"/>
  <c r="C135" i="10"/>
  <c r="H134" i="10"/>
  <c r="G134" i="10"/>
  <c r="F134" i="10"/>
  <c r="E134" i="10"/>
  <c r="D134" i="10"/>
  <c r="C134" i="10"/>
  <c r="H133" i="10"/>
  <c r="G133" i="10"/>
  <c r="F133" i="10"/>
  <c r="E133" i="10"/>
  <c r="D133" i="10"/>
  <c r="C133" i="10"/>
  <c r="H132" i="10"/>
  <c r="G132" i="10"/>
  <c r="F132" i="10"/>
  <c r="E132" i="10"/>
  <c r="D132" i="10"/>
  <c r="C132" i="10"/>
  <c r="H131" i="10"/>
  <c r="G131" i="10"/>
  <c r="F131" i="10"/>
  <c r="E131" i="10"/>
  <c r="D131" i="10"/>
  <c r="C131" i="10"/>
  <c r="H130" i="10"/>
  <c r="G130" i="10"/>
  <c r="F130" i="10"/>
  <c r="E130" i="10"/>
  <c r="D130" i="10"/>
  <c r="C130" i="10"/>
  <c r="H129" i="10"/>
  <c r="G129" i="10"/>
  <c r="F129" i="10"/>
  <c r="E129" i="10"/>
  <c r="D129" i="10"/>
  <c r="C129" i="10"/>
  <c r="H128" i="10"/>
  <c r="G128" i="10"/>
  <c r="F128" i="10"/>
  <c r="E128" i="10"/>
  <c r="D128" i="10"/>
  <c r="C128" i="10"/>
  <c r="H127" i="10"/>
  <c r="G127" i="10"/>
  <c r="F127" i="10"/>
  <c r="E127" i="10"/>
  <c r="D127" i="10"/>
  <c r="C127" i="10"/>
  <c r="H126" i="10"/>
  <c r="G126" i="10"/>
  <c r="F126" i="10"/>
  <c r="E126" i="10"/>
  <c r="D126" i="10"/>
  <c r="C126" i="10"/>
  <c r="H125" i="10"/>
  <c r="G125" i="10"/>
  <c r="F125" i="10"/>
  <c r="E125" i="10"/>
  <c r="D125" i="10"/>
  <c r="C125" i="10"/>
  <c r="H124" i="10"/>
  <c r="G124" i="10"/>
  <c r="F124" i="10"/>
  <c r="E124" i="10"/>
  <c r="D124" i="10"/>
  <c r="C124" i="10"/>
  <c r="H123" i="10"/>
  <c r="G123" i="10"/>
  <c r="F123" i="10"/>
  <c r="E123" i="10"/>
  <c r="D123" i="10"/>
  <c r="C123" i="10"/>
  <c r="H122" i="10"/>
  <c r="G122" i="10"/>
  <c r="F122" i="10"/>
  <c r="E122" i="10"/>
  <c r="D122" i="10"/>
  <c r="C122" i="10"/>
  <c r="H121" i="10"/>
  <c r="G121" i="10"/>
  <c r="F121" i="10"/>
  <c r="E121" i="10"/>
  <c r="D121" i="10"/>
  <c r="C121" i="10"/>
  <c r="H120" i="10"/>
  <c r="G120" i="10"/>
  <c r="F120" i="10"/>
  <c r="E120" i="10"/>
  <c r="D120" i="10"/>
  <c r="C120" i="10"/>
  <c r="H119" i="10"/>
  <c r="G119" i="10"/>
  <c r="F119" i="10"/>
  <c r="E119" i="10"/>
  <c r="D119" i="10"/>
  <c r="C119" i="10"/>
  <c r="H118" i="10"/>
  <c r="G118" i="10"/>
  <c r="F118" i="10"/>
  <c r="E118" i="10"/>
  <c r="D118" i="10"/>
  <c r="C118" i="10"/>
  <c r="H117" i="10"/>
  <c r="G117" i="10"/>
  <c r="F117" i="10"/>
  <c r="E117" i="10"/>
  <c r="D117" i="10"/>
  <c r="C117" i="10"/>
  <c r="H116" i="10"/>
  <c r="G116" i="10"/>
  <c r="F116" i="10"/>
  <c r="E116" i="10"/>
  <c r="D116" i="10"/>
  <c r="C116" i="10"/>
  <c r="H115" i="10"/>
  <c r="G115" i="10"/>
  <c r="F115" i="10"/>
  <c r="E115" i="10"/>
  <c r="D115" i="10"/>
  <c r="C115" i="10"/>
  <c r="H114" i="10"/>
  <c r="G114" i="10"/>
  <c r="F114" i="10"/>
  <c r="E114" i="10"/>
  <c r="D114" i="10"/>
  <c r="C114" i="10"/>
  <c r="H113" i="10"/>
  <c r="G113" i="10"/>
  <c r="F113" i="10"/>
  <c r="E113" i="10"/>
  <c r="D113" i="10"/>
  <c r="C113" i="10"/>
  <c r="H112" i="10"/>
  <c r="G112" i="10"/>
  <c r="F112" i="10"/>
  <c r="E112" i="10"/>
  <c r="D112" i="10"/>
  <c r="C112" i="10"/>
  <c r="H111" i="10"/>
  <c r="G111" i="10"/>
  <c r="F111" i="10"/>
  <c r="E111" i="10"/>
  <c r="D111" i="10"/>
  <c r="C111" i="10"/>
  <c r="H110" i="10"/>
  <c r="G110" i="10"/>
  <c r="F110" i="10"/>
  <c r="E110" i="10"/>
  <c r="D110" i="10"/>
  <c r="C110" i="10"/>
  <c r="H109" i="10"/>
  <c r="G109" i="10"/>
  <c r="F109" i="10"/>
  <c r="E109" i="10"/>
  <c r="D109" i="10"/>
  <c r="C109" i="10"/>
  <c r="H108" i="10"/>
  <c r="G108" i="10"/>
  <c r="F108" i="10"/>
  <c r="E108" i="10"/>
  <c r="D108" i="10"/>
  <c r="C108" i="10"/>
  <c r="H107" i="10"/>
  <c r="G107" i="10"/>
  <c r="F107" i="10"/>
  <c r="E107" i="10"/>
  <c r="D107" i="10"/>
  <c r="C107" i="10"/>
  <c r="H106" i="10"/>
  <c r="G106" i="10"/>
  <c r="F106" i="10"/>
  <c r="E106" i="10"/>
  <c r="D106" i="10"/>
  <c r="C106" i="10"/>
  <c r="H105" i="10"/>
  <c r="G105" i="10"/>
  <c r="F105" i="10"/>
  <c r="E105" i="10"/>
  <c r="D105" i="10"/>
  <c r="C105" i="10"/>
  <c r="H104" i="10"/>
  <c r="G104" i="10"/>
  <c r="F104" i="10"/>
  <c r="E104" i="10"/>
  <c r="D104" i="10"/>
  <c r="C104" i="10"/>
  <c r="H103" i="10"/>
  <c r="G103" i="10"/>
  <c r="F103" i="10"/>
  <c r="E103" i="10"/>
  <c r="D103" i="10"/>
  <c r="C103" i="10"/>
  <c r="H102" i="10"/>
  <c r="G102" i="10"/>
  <c r="F102" i="10"/>
  <c r="E102" i="10"/>
  <c r="D102" i="10"/>
  <c r="C102" i="10"/>
  <c r="H101" i="10"/>
  <c r="G101" i="10"/>
  <c r="F101" i="10"/>
  <c r="E101" i="10"/>
  <c r="D101" i="10"/>
  <c r="C101" i="10"/>
  <c r="H100" i="10"/>
  <c r="G100" i="10"/>
  <c r="F100" i="10"/>
  <c r="E100" i="10"/>
  <c r="D100" i="10"/>
  <c r="C100" i="10"/>
  <c r="H99" i="10"/>
  <c r="G99" i="10"/>
  <c r="F99" i="10"/>
  <c r="E99" i="10"/>
  <c r="D99" i="10"/>
  <c r="C99" i="10"/>
  <c r="H98" i="10"/>
  <c r="G98" i="10"/>
  <c r="F98" i="10"/>
  <c r="E98" i="10"/>
  <c r="D98" i="10"/>
  <c r="C98" i="10"/>
  <c r="H97" i="10"/>
  <c r="G97" i="10"/>
  <c r="F97" i="10"/>
  <c r="E97" i="10"/>
  <c r="D97" i="10"/>
  <c r="C97" i="10"/>
  <c r="H96" i="10"/>
  <c r="G96" i="10"/>
  <c r="F96" i="10"/>
  <c r="E96" i="10"/>
  <c r="D96" i="10"/>
  <c r="C96" i="10"/>
  <c r="H95" i="10"/>
  <c r="G95" i="10"/>
  <c r="F95" i="10"/>
  <c r="E95" i="10"/>
  <c r="D95" i="10"/>
  <c r="C95" i="10"/>
  <c r="H94" i="10"/>
  <c r="G94" i="10"/>
  <c r="F94" i="10"/>
  <c r="E94" i="10"/>
  <c r="D94" i="10"/>
  <c r="C94" i="10"/>
  <c r="H93" i="10"/>
  <c r="G93" i="10"/>
  <c r="F93" i="10"/>
  <c r="E93" i="10"/>
  <c r="D93" i="10"/>
  <c r="C93" i="10"/>
  <c r="H92" i="10"/>
  <c r="G92" i="10"/>
  <c r="F92" i="10"/>
  <c r="E92" i="10"/>
  <c r="D92" i="10"/>
  <c r="C92" i="10"/>
  <c r="H91" i="10"/>
  <c r="G91" i="10"/>
  <c r="F91" i="10"/>
  <c r="E91" i="10"/>
  <c r="D91" i="10"/>
  <c r="C91" i="10"/>
  <c r="H90" i="10"/>
  <c r="G90" i="10"/>
  <c r="F90" i="10"/>
  <c r="E90" i="10"/>
  <c r="D90" i="10"/>
  <c r="C90" i="10"/>
  <c r="H89" i="10"/>
  <c r="G89" i="10"/>
  <c r="F89" i="10"/>
  <c r="E89" i="10"/>
  <c r="D89" i="10"/>
  <c r="C89" i="10"/>
  <c r="H88" i="10"/>
  <c r="G88" i="10"/>
  <c r="F88" i="10"/>
  <c r="E88" i="10"/>
  <c r="D88" i="10"/>
  <c r="C88" i="10"/>
  <c r="H87" i="10"/>
  <c r="G87" i="10"/>
  <c r="F87" i="10"/>
  <c r="E87" i="10"/>
  <c r="D87" i="10"/>
  <c r="C87" i="10"/>
  <c r="H86" i="10"/>
  <c r="G86" i="10"/>
  <c r="F86" i="10"/>
  <c r="E86" i="10"/>
  <c r="D86" i="10"/>
  <c r="C86" i="10"/>
  <c r="H85" i="10"/>
  <c r="G85" i="10"/>
  <c r="F85" i="10"/>
  <c r="E85" i="10"/>
  <c r="D85" i="10"/>
  <c r="C85" i="10"/>
  <c r="H84" i="10"/>
  <c r="G84" i="10"/>
  <c r="F84" i="10"/>
  <c r="E84" i="10"/>
  <c r="D84" i="10"/>
  <c r="C84" i="10"/>
  <c r="H83" i="10"/>
  <c r="G83" i="10"/>
  <c r="F83" i="10"/>
  <c r="E83" i="10"/>
  <c r="D83" i="10"/>
  <c r="C83" i="10"/>
  <c r="H82" i="10"/>
  <c r="G82" i="10"/>
  <c r="F82" i="10"/>
  <c r="E82" i="10"/>
  <c r="D82" i="10"/>
  <c r="C82" i="10"/>
  <c r="H81" i="10"/>
  <c r="G81" i="10"/>
  <c r="F81" i="10"/>
  <c r="E81" i="10"/>
  <c r="D81" i="10"/>
  <c r="C81" i="10"/>
  <c r="H80" i="10"/>
  <c r="G80" i="10"/>
  <c r="F80" i="10"/>
  <c r="E80" i="10"/>
  <c r="D80" i="10"/>
  <c r="C80" i="10"/>
  <c r="H79" i="10"/>
  <c r="G79" i="10"/>
  <c r="F79" i="10"/>
  <c r="E79" i="10"/>
  <c r="D79" i="10"/>
  <c r="C79" i="10"/>
  <c r="H78" i="10"/>
  <c r="G78" i="10"/>
  <c r="F78" i="10"/>
  <c r="E78" i="10"/>
  <c r="D78" i="10"/>
  <c r="C78" i="10"/>
  <c r="H77" i="10"/>
  <c r="G77" i="10"/>
  <c r="F77" i="10"/>
  <c r="E77" i="10"/>
  <c r="D77" i="10"/>
  <c r="C77" i="10"/>
  <c r="H76" i="10"/>
  <c r="G76" i="10"/>
  <c r="F76" i="10"/>
  <c r="E76" i="10"/>
  <c r="D76" i="10"/>
  <c r="C76" i="10"/>
  <c r="H75" i="10"/>
  <c r="G75" i="10"/>
  <c r="F75" i="10"/>
  <c r="E75" i="10"/>
  <c r="D75" i="10"/>
  <c r="C75" i="10"/>
  <c r="H74" i="10"/>
  <c r="G74" i="10"/>
  <c r="F74" i="10"/>
  <c r="E74" i="10"/>
  <c r="D74" i="10"/>
  <c r="C74" i="10"/>
  <c r="H73" i="10"/>
  <c r="G73" i="10"/>
  <c r="F73" i="10"/>
  <c r="E73" i="10"/>
  <c r="D73" i="10"/>
  <c r="C73" i="10"/>
  <c r="H72" i="10"/>
  <c r="G72" i="10"/>
  <c r="F72" i="10"/>
  <c r="E72" i="10"/>
  <c r="D72" i="10"/>
  <c r="C72" i="10"/>
  <c r="H71" i="10"/>
  <c r="G71" i="10"/>
  <c r="F71" i="10"/>
  <c r="E71" i="10"/>
  <c r="D71" i="10"/>
  <c r="C71" i="10"/>
  <c r="H70" i="10"/>
  <c r="G70" i="10"/>
  <c r="F70" i="10"/>
  <c r="E70" i="10"/>
  <c r="D70" i="10"/>
  <c r="C70" i="10"/>
  <c r="H69" i="10"/>
  <c r="G69" i="10"/>
  <c r="F69" i="10"/>
  <c r="E69" i="10"/>
  <c r="D69" i="10"/>
  <c r="C69" i="10"/>
  <c r="H68" i="10"/>
  <c r="G68" i="10"/>
  <c r="F68" i="10"/>
  <c r="E68" i="10"/>
  <c r="D68" i="10"/>
  <c r="C68" i="10"/>
  <c r="H67" i="10"/>
  <c r="G67" i="10"/>
  <c r="F67" i="10"/>
  <c r="E67" i="10"/>
  <c r="D67" i="10"/>
  <c r="C67" i="10"/>
  <c r="H66" i="10"/>
  <c r="G66" i="10"/>
  <c r="F66" i="10"/>
  <c r="E66" i="10"/>
  <c r="D66" i="10"/>
  <c r="C66" i="10"/>
  <c r="H65" i="10"/>
  <c r="G65" i="10"/>
  <c r="F65" i="10"/>
  <c r="E65" i="10"/>
  <c r="D65" i="10"/>
  <c r="C65" i="10"/>
  <c r="H64" i="10"/>
  <c r="G64" i="10"/>
  <c r="F64" i="10"/>
  <c r="E64" i="10"/>
  <c r="D64" i="10"/>
  <c r="C64" i="10"/>
  <c r="H63" i="10"/>
  <c r="G63" i="10"/>
  <c r="F63" i="10"/>
  <c r="E63" i="10"/>
  <c r="D63" i="10"/>
  <c r="C63" i="10"/>
  <c r="H62" i="10"/>
  <c r="G62" i="10"/>
  <c r="F62" i="10"/>
  <c r="E62" i="10"/>
  <c r="D62" i="10"/>
  <c r="C62" i="10"/>
  <c r="H61" i="10"/>
  <c r="G61" i="10"/>
  <c r="F61" i="10"/>
  <c r="E61" i="10"/>
  <c r="D61" i="10"/>
  <c r="C61" i="10"/>
  <c r="H60" i="10"/>
  <c r="G60" i="10"/>
  <c r="F60" i="10"/>
  <c r="E60" i="10"/>
  <c r="D60" i="10"/>
  <c r="C60" i="10"/>
  <c r="H59" i="10"/>
  <c r="G59" i="10"/>
  <c r="F59" i="10"/>
  <c r="E59" i="10"/>
  <c r="D59" i="10"/>
  <c r="C59" i="10"/>
  <c r="H58" i="10"/>
  <c r="G58" i="10"/>
  <c r="F58" i="10"/>
  <c r="E58" i="10"/>
  <c r="D58" i="10"/>
  <c r="C58" i="10"/>
  <c r="H57" i="10"/>
  <c r="G57" i="10"/>
  <c r="F57" i="10"/>
  <c r="E57" i="10"/>
  <c r="D57" i="10"/>
  <c r="C57" i="10"/>
  <c r="H56" i="10"/>
  <c r="G56" i="10"/>
  <c r="F56" i="10"/>
  <c r="E56" i="10"/>
  <c r="D56" i="10"/>
  <c r="C56" i="10"/>
  <c r="H55" i="10"/>
  <c r="G55" i="10"/>
  <c r="F55" i="10"/>
  <c r="E55" i="10"/>
  <c r="D55" i="10"/>
  <c r="C55" i="10"/>
  <c r="H54" i="10"/>
  <c r="G54" i="10"/>
  <c r="F54" i="10"/>
  <c r="E54" i="10"/>
  <c r="D54" i="10"/>
  <c r="C54" i="10"/>
  <c r="H53" i="10"/>
  <c r="G53" i="10"/>
  <c r="F53" i="10"/>
  <c r="E53" i="10"/>
  <c r="D53" i="10"/>
  <c r="C53" i="10"/>
  <c r="H52" i="10"/>
  <c r="G52" i="10"/>
  <c r="F52" i="10"/>
  <c r="E52" i="10"/>
  <c r="D52" i="10"/>
  <c r="C52" i="10"/>
  <c r="H51" i="10"/>
  <c r="G51" i="10"/>
  <c r="F51" i="10"/>
  <c r="E51" i="10"/>
  <c r="D51" i="10"/>
  <c r="C51" i="10"/>
  <c r="H50" i="10"/>
  <c r="G50" i="10"/>
  <c r="F50" i="10"/>
  <c r="E50" i="10"/>
  <c r="D50" i="10"/>
  <c r="C50" i="10"/>
  <c r="H49" i="10"/>
  <c r="G49" i="10"/>
  <c r="F49" i="10"/>
  <c r="E49" i="10"/>
  <c r="D49" i="10"/>
  <c r="C49" i="10"/>
  <c r="H48" i="10"/>
  <c r="G48" i="10"/>
  <c r="F48" i="10"/>
  <c r="E48" i="10"/>
  <c r="D48" i="10"/>
  <c r="C48" i="10"/>
  <c r="H47" i="10"/>
  <c r="G47" i="10"/>
  <c r="F47" i="10"/>
  <c r="E47" i="10"/>
  <c r="D47" i="10"/>
  <c r="C47" i="10"/>
  <c r="H46" i="10"/>
  <c r="G46" i="10"/>
  <c r="F46" i="10"/>
  <c r="E46" i="10"/>
  <c r="D46" i="10"/>
  <c r="C46" i="10"/>
  <c r="H45" i="10"/>
  <c r="G45" i="10"/>
  <c r="F45" i="10"/>
  <c r="E45" i="10"/>
  <c r="D45" i="10"/>
  <c r="C45" i="10"/>
  <c r="H44" i="10"/>
  <c r="G44" i="10"/>
  <c r="F44" i="10"/>
  <c r="E44" i="10"/>
  <c r="D44" i="10"/>
  <c r="C44" i="10"/>
  <c r="H43" i="10"/>
  <c r="G43" i="10"/>
  <c r="F43" i="10"/>
  <c r="E43" i="10"/>
  <c r="D43" i="10"/>
  <c r="C43" i="10"/>
  <c r="H42" i="10"/>
  <c r="G42" i="10"/>
  <c r="F42" i="10"/>
  <c r="E42" i="10"/>
  <c r="D42" i="10"/>
  <c r="C42" i="10"/>
  <c r="H41" i="10"/>
  <c r="G41" i="10"/>
  <c r="F41" i="10"/>
  <c r="E41" i="10"/>
  <c r="D41" i="10"/>
  <c r="C41" i="10"/>
  <c r="H40" i="10"/>
  <c r="G40" i="10"/>
  <c r="F40" i="10"/>
  <c r="E40" i="10"/>
  <c r="D40" i="10"/>
  <c r="C40" i="10"/>
  <c r="H39" i="10"/>
  <c r="G39" i="10"/>
  <c r="F39" i="10"/>
  <c r="E39" i="10"/>
  <c r="D39" i="10"/>
  <c r="C39" i="10"/>
  <c r="H38" i="10"/>
  <c r="G38" i="10"/>
  <c r="F38" i="10"/>
  <c r="E38" i="10"/>
  <c r="D38" i="10"/>
  <c r="C38" i="10"/>
  <c r="H37" i="10"/>
  <c r="G37" i="10"/>
  <c r="F37" i="10"/>
  <c r="E37" i="10"/>
  <c r="D37" i="10"/>
  <c r="C37" i="10"/>
  <c r="H36" i="10"/>
  <c r="G36" i="10"/>
  <c r="F36" i="10"/>
  <c r="E36" i="10"/>
  <c r="D36" i="10"/>
  <c r="C36" i="10"/>
  <c r="H35" i="10"/>
  <c r="G35" i="10"/>
  <c r="F35" i="10"/>
  <c r="E35" i="10"/>
  <c r="D35" i="10"/>
  <c r="C35" i="10"/>
  <c r="H34" i="10"/>
  <c r="G34" i="10"/>
  <c r="F34" i="10"/>
  <c r="E34" i="10"/>
  <c r="D34" i="10"/>
  <c r="C34" i="10"/>
  <c r="H33" i="10"/>
  <c r="G33" i="10"/>
  <c r="F33" i="10"/>
  <c r="E33" i="10"/>
  <c r="D33" i="10"/>
  <c r="C33" i="10"/>
  <c r="H32" i="10"/>
  <c r="G32" i="10"/>
  <c r="F32" i="10"/>
  <c r="E32" i="10"/>
  <c r="D32" i="10"/>
  <c r="C32" i="10"/>
  <c r="H31" i="10"/>
  <c r="G31" i="10"/>
  <c r="F31" i="10"/>
  <c r="E31" i="10"/>
  <c r="D31" i="10"/>
  <c r="C31" i="10"/>
  <c r="H30" i="10"/>
  <c r="G30" i="10"/>
  <c r="F30" i="10"/>
  <c r="E30" i="10"/>
  <c r="D30" i="10"/>
  <c r="C30" i="10"/>
  <c r="H29" i="10"/>
  <c r="G29" i="10"/>
  <c r="F29" i="10"/>
  <c r="E29" i="10"/>
  <c r="D29" i="10"/>
  <c r="C29" i="10"/>
  <c r="H28" i="10"/>
  <c r="G28" i="10"/>
  <c r="F28" i="10"/>
  <c r="E28" i="10"/>
  <c r="D28" i="10"/>
  <c r="C28" i="10"/>
  <c r="H27" i="10"/>
  <c r="G27" i="10"/>
  <c r="F27" i="10"/>
  <c r="E27" i="10"/>
  <c r="D27" i="10"/>
  <c r="C27" i="10"/>
  <c r="H26" i="10"/>
  <c r="G26" i="10"/>
  <c r="F26" i="10"/>
  <c r="E26" i="10"/>
  <c r="D26" i="10"/>
  <c r="C26" i="10"/>
  <c r="H25" i="10"/>
  <c r="G25" i="10"/>
  <c r="F25" i="10"/>
  <c r="E25" i="10"/>
  <c r="D25" i="10"/>
  <c r="C25" i="10"/>
  <c r="H24" i="10"/>
  <c r="G24" i="10"/>
  <c r="F24" i="10"/>
  <c r="E24" i="10"/>
  <c r="D24" i="10"/>
  <c r="C24" i="10"/>
  <c r="H23" i="10"/>
  <c r="G23" i="10"/>
  <c r="F23" i="10"/>
  <c r="E23" i="10"/>
  <c r="D23" i="10"/>
  <c r="C23" i="10"/>
  <c r="H22" i="10"/>
  <c r="G22" i="10"/>
  <c r="F22" i="10"/>
  <c r="E22" i="10"/>
  <c r="D22" i="10"/>
  <c r="C22" i="10"/>
  <c r="H21" i="10"/>
  <c r="G21" i="10"/>
  <c r="F21" i="10"/>
  <c r="E21" i="10"/>
  <c r="D21" i="10"/>
  <c r="C21" i="10"/>
  <c r="H20" i="10"/>
  <c r="G20" i="10"/>
  <c r="F20" i="10"/>
  <c r="E20" i="10"/>
  <c r="D20" i="10"/>
  <c r="C20" i="10"/>
  <c r="H19" i="10"/>
  <c r="G19" i="10"/>
  <c r="F19" i="10"/>
  <c r="E19" i="10"/>
  <c r="D19" i="10"/>
  <c r="C19" i="10"/>
  <c r="H18" i="10"/>
  <c r="G18" i="10"/>
  <c r="F18" i="10"/>
  <c r="E18" i="10"/>
  <c r="D18" i="10"/>
  <c r="C18" i="10"/>
  <c r="H17" i="10"/>
  <c r="G17" i="10"/>
  <c r="F17" i="10"/>
  <c r="E17" i="10"/>
  <c r="D17" i="10"/>
  <c r="C17" i="10"/>
  <c r="H16" i="10"/>
  <c r="G16" i="10"/>
  <c r="F16" i="10"/>
  <c r="E16" i="10"/>
  <c r="D16" i="10"/>
  <c r="C16" i="10"/>
  <c r="H15" i="10"/>
  <c r="G15" i="10"/>
  <c r="F15" i="10"/>
  <c r="E15" i="10"/>
  <c r="D15" i="10"/>
  <c r="C15" i="10"/>
  <c r="H14" i="10"/>
  <c r="G14" i="10"/>
  <c r="F14" i="10"/>
  <c r="E14" i="10"/>
  <c r="D14" i="10"/>
  <c r="C14" i="10"/>
  <c r="H13" i="10"/>
  <c r="G13" i="10"/>
  <c r="F13" i="10"/>
  <c r="E13" i="10"/>
  <c r="D13" i="10"/>
  <c r="C13" i="10"/>
  <c r="H12" i="10"/>
  <c r="G12" i="10"/>
  <c r="F12" i="10"/>
  <c r="E12" i="10"/>
  <c r="D12" i="10"/>
  <c r="C12" i="10"/>
  <c r="H11" i="10"/>
  <c r="G11" i="10"/>
  <c r="F11" i="10"/>
  <c r="E11" i="10"/>
  <c r="D11" i="10"/>
  <c r="C11" i="10"/>
  <c r="H10" i="10"/>
  <c r="G10" i="10"/>
  <c r="F10" i="10"/>
  <c r="E10" i="10"/>
  <c r="D10" i="10"/>
  <c r="C10" i="10"/>
  <c r="H9" i="10"/>
  <c r="G9" i="10"/>
  <c r="F9" i="10"/>
  <c r="E9" i="10"/>
  <c r="D9" i="10"/>
  <c r="C9" i="10"/>
  <c r="H8" i="10"/>
  <c r="G8" i="10"/>
  <c r="F8" i="10"/>
  <c r="E8" i="10"/>
  <c r="D8" i="10"/>
  <c r="C8" i="10"/>
  <c r="H7" i="10"/>
  <c r="G7" i="10"/>
  <c r="F7" i="10"/>
  <c r="E7" i="10"/>
  <c r="D7" i="10"/>
  <c r="C7" i="10"/>
  <c r="H6" i="10"/>
  <c r="G6" i="10"/>
  <c r="F6" i="10"/>
  <c r="E6" i="10"/>
  <c r="D6" i="10"/>
  <c r="C6" i="10"/>
  <c r="H5" i="10"/>
  <c r="G5" i="10"/>
  <c r="F5" i="10"/>
  <c r="E5" i="10"/>
  <c r="D5" i="10"/>
  <c r="C5" i="10"/>
  <c r="B245" i="10"/>
  <c r="B241" i="10"/>
  <c r="B238" i="10"/>
  <c r="B235" i="10"/>
  <c r="B231" i="10"/>
  <c r="B230" i="10"/>
  <c r="B229" i="10"/>
  <c r="B225" i="10"/>
  <c r="B222" i="10"/>
  <c r="B219" i="10"/>
  <c r="B215" i="10"/>
  <c r="B214" i="10"/>
  <c r="B213" i="10"/>
  <c r="B209" i="10"/>
  <c r="B206" i="10"/>
  <c r="B203" i="10"/>
  <c r="B199" i="10"/>
  <c r="B198" i="10"/>
  <c r="B197" i="10"/>
  <c r="B193" i="10"/>
  <c r="B190" i="10"/>
  <c r="B187" i="10"/>
  <c r="B183" i="10"/>
  <c r="B182" i="10"/>
  <c r="B181" i="10"/>
  <c r="B177" i="10"/>
  <c r="B174" i="10"/>
  <c r="B171" i="10"/>
  <c r="B167" i="10"/>
  <c r="B166" i="10"/>
  <c r="B165" i="10"/>
  <c r="B161" i="10"/>
  <c r="B158" i="10"/>
  <c r="B155" i="10"/>
  <c r="B151" i="10"/>
  <c r="B150" i="10"/>
  <c r="B149" i="10"/>
  <c r="B145" i="10"/>
  <c r="B142" i="10"/>
  <c r="B139" i="10"/>
  <c r="B135" i="10"/>
  <c r="B134" i="10"/>
  <c r="B133" i="10"/>
  <c r="B129" i="10"/>
  <c r="B126" i="10"/>
  <c r="B123" i="10"/>
  <c r="B119" i="10"/>
  <c r="B118" i="10"/>
  <c r="B117" i="10"/>
  <c r="B113" i="10"/>
  <c r="B110" i="10"/>
  <c r="B107" i="10"/>
  <c r="B103" i="10"/>
  <c r="B102" i="10"/>
  <c r="B101" i="10"/>
  <c r="B97" i="10"/>
  <c r="B94" i="10"/>
  <c r="B91" i="10"/>
  <c r="B87" i="10"/>
  <c r="B86" i="10"/>
  <c r="B85" i="10"/>
  <c r="B81" i="10"/>
  <c r="B78" i="10"/>
  <c r="B75" i="10"/>
  <c r="B71" i="10"/>
  <c r="B70" i="10"/>
  <c r="B69" i="10"/>
  <c r="B65" i="10"/>
  <c r="B62" i="10"/>
  <c r="B59" i="10"/>
  <c r="B55" i="10"/>
  <c r="B54" i="10"/>
  <c r="B53" i="10"/>
  <c r="B49" i="10"/>
  <c r="B46" i="10"/>
  <c r="B43" i="10"/>
  <c r="B39" i="10"/>
  <c r="B38" i="10"/>
  <c r="B37" i="10"/>
  <c r="B33" i="10"/>
  <c r="B30" i="10"/>
  <c r="B27" i="10"/>
  <c r="B23" i="10"/>
  <c r="B22" i="10"/>
  <c r="B21" i="10"/>
  <c r="B17" i="10"/>
  <c r="B14" i="10"/>
  <c r="B11" i="10"/>
  <c r="B7" i="10"/>
  <c r="B6" i="10"/>
  <c r="B5" i="10"/>
  <c r="B4" i="10" a="1"/>
  <c r="B237" i="10" s="1"/>
  <c r="H215" i="9"/>
  <c r="G215" i="9"/>
  <c r="F215" i="9"/>
  <c r="E215" i="9"/>
  <c r="D215" i="9"/>
  <c r="C215" i="9"/>
  <c r="H214" i="9"/>
  <c r="G214" i="9"/>
  <c r="F214" i="9"/>
  <c r="E214" i="9"/>
  <c r="D214" i="9"/>
  <c r="C214" i="9"/>
  <c r="H213" i="9"/>
  <c r="G213" i="9"/>
  <c r="F213" i="9"/>
  <c r="E213" i="9"/>
  <c r="D213" i="9"/>
  <c r="C213" i="9"/>
  <c r="G212" i="9"/>
  <c r="F212" i="9"/>
  <c r="E212" i="9"/>
  <c r="D212" i="9"/>
  <c r="C212" i="9"/>
  <c r="H211" i="9"/>
  <c r="G211" i="9"/>
  <c r="F211" i="9"/>
  <c r="E211" i="9"/>
  <c r="D211" i="9"/>
  <c r="C211" i="9"/>
  <c r="H210" i="9"/>
  <c r="G210" i="9"/>
  <c r="F210" i="9"/>
  <c r="E210" i="9"/>
  <c r="D210" i="9"/>
  <c r="C210" i="9"/>
  <c r="H209" i="9"/>
  <c r="G209" i="9"/>
  <c r="F209" i="9"/>
  <c r="E209" i="9"/>
  <c r="D209" i="9"/>
  <c r="C209" i="9"/>
  <c r="H208" i="9"/>
  <c r="G208" i="9"/>
  <c r="F208" i="9"/>
  <c r="E208" i="9"/>
  <c r="D208" i="9"/>
  <c r="C208" i="9"/>
  <c r="H207" i="9"/>
  <c r="G207" i="9"/>
  <c r="F207" i="9"/>
  <c r="E207" i="9"/>
  <c r="D207" i="9"/>
  <c r="C207" i="9"/>
  <c r="H206" i="9"/>
  <c r="G206" i="9"/>
  <c r="F206" i="9"/>
  <c r="E206" i="9"/>
  <c r="D206" i="9"/>
  <c r="C206" i="9"/>
  <c r="H205" i="9"/>
  <c r="G205" i="9"/>
  <c r="F205" i="9"/>
  <c r="E205" i="9"/>
  <c r="D205" i="9"/>
  <c r="C205" i="9"/>
  <c r="H204" i="9"/>
  <c r="G204" i="9"/>
  <c r="F204" i="9"/>
  <c r="E204" i="9"/>
  <c r="D204" i="9"/>
  <c r="C204" i="9"/>
  <c r="H203" i="9"/>
  <c r="G203" i="9"/>
  <c r="F203" i="9"/>
  <c r="E203" i="9"/>
  <c r="D203" i="9"/>
  <c r="C203" i="9"/>
  <c r="H202" i="9"/>
  <c r="G202" i="9"/>
  <c r="F202" i="9"/>
  <c r="E202" i="9"/>
  <c r="D202" i="9"/>
  <c r="C202" i="9"/>
  <c r="H201" i="9"/>
  <c r="G201" i="9"/>
  <c r="F201" i="9"/>
  <c r="E201" i="9"/>
  <c r="D201" i="9"/>
  <c r="C201" i="9"/>
  <c r="H200" i="9"/>
  <c r="G200" i="9"/>
  <c r="F200" i="9"/>
  <c r="E200" i="9"/>
  <c r="D200" i="9"/>
  <c r="C200" i="9"/>
  <c r="H199" i="9"/>
  <c r="G199" i="9"/>
  <c r="F199" i="9"/>
  <c r="E199" i="9"/>
  <c r="D199" i="9"/>
  <c r="C199" i="9"/>
  <c r="H198" i="9"/>
  <c r="G198" i="9"/>
  <c r="F198" i="9"/>
  <c r="E198" i="9"/>
  <c r="D198" i="9"/>
  <c r="C198" i="9"/>
  <c r="H197" i="9"/>
  <c r="G197" i="9"/>
  <c r="F197" i="9"/>
  <c r="E197" i="9"/>
  <c r="D197" i="9"/>
  <c r="C197" i="9"/>
  <c r="H196" i="9"/>
  <c r="G196" i="9"/>
  <c r="F196" i="9"/>
  <c r="E196" i="9"/>
  <c r="D196" i="9"/>
  <c r="C196" i="9"/>
  <c r="H195" i="9"/>
  <c r="G195" i="9"/>
  <c r="F195" i="9"/>
  <c r="E195" i="9"/>
  <c r="D195" i="9"/>
  <c r="C195" i="9"/>
  <c r="H194" i="9"/>
  <c r="G194" i="9"/>
  <c r="F194" i="9"/>
  <c r="E194" i="9"/>
  <c r="D194" i="9"/>
  <c r="C194" i="9"/>
  <c r="H193" i="9"/>
  <c r="G193" i="9"/>
  <c r="F193" i="9"/>
  <c r="E193" i="9"/>
  <c r="D193" i="9"/>
  <c r="C193" i="9"/>
  <c r="H192" i="9"/>
  <c r="G192" i="9"/>
  <c r="F192" i="9"/>
  <c r="E192" i="9"/>
  <c r="D192" i="9"/>
  <c r="C192" i="9"/>
  <c r="H191" i="9"/>
  <c r="G191" i="9"/>
  <c r="F191" i="9"/>
  <c r="E191" i="9"/>
  <c r="D191" i="9"/>
  <c r="C191" i="9"/>
  <c r="H190" i="9"/>
  <c r="G190" i="9"/>
  <c r="F190" i="9"/>
  <c r="E190" i="9"/>
  <c r="D190" i="9"/>
  <c r="C190" i="9"/>
  <c r="H189" i="9"/>
  <c r="G189" i="9"/>
  <c r="F189" i="9"/>
  <c r="E189" i="9"/>
  <c r="D189" i="9"/>
  <c r="C189" i="9"/>
  <c r="H188" i="9"/>
  <c r="G188" i="9"/>
  <c r="F188" i="9"/>
  <c r="E188" i="9"/>
  <c r="D188" i="9"/>
  <c r="C188" i="9"/>
  <c r="H187" i="9"/>
  <c r="G187" i="9"/>
  <c r="F187" i="9"/>
  <c r="E187" i="9"/>
  <c r="D187" i="9"/>
  <c r="C187" i="9"/>
  <c r="H186" i="9"/>
  <c r="G186" i="9"/>
  <c r="F186" i="9"/>
  <c r="E186" i="9"/>
  <c r="D186" i="9"/>
  <c r="C186" i="9"/>
  <c r="H185" i="9"/>
  <c r="G185" i="9"/>
  <c r="F185" i="9"/>
  <c r="E185" i="9"/>
  <c r="D185" i="9"/>
  <c r="C185" i="9"/>
  <c r="H184" i="9"/>
  <c r="G184" i="9"/>
  <c r="F184" i="9"/>
  <c r="E184" i="9"/>
  <c r="D184" i="9"/>
  <c r="C184" i="9"/>
  <c r="H183" i="9"/>
  <c r="G183" i="9"/>
  <c r="F183" i="9"/>
  <c r="E183" i="9"/>
  <c r="D183" i="9"/>
  <c r="C183" i="9"/>
  <c r="H182" i="9"/>
  <c r="G182" i="9"/>
  <c r="F182" i="9"/>
  <c r="E182" i="9"/>
  <c r="D182" i="9"/>
  <c r="C182" i="9"/>
  <c r="H181" i="9"/>
  <c r="G181" i="9"/>
  <c r="F181" i="9"/>
  <c r="E181" i="9"/>
  <c r="D181" i="9"/>
  <c r="C181" i="9"/>
  <c r="H180" i="9"/>
  <c r="G180" i="9"/>
  <c r="F180" i="9"/>
  <c r="E180" i="9"/>
  <c r="D180" i="9"/>
  <c r="C180" i="9"/>
  <c r="H179" i="9"/>
  <c r="G179" i="9"/>
  <c r="F179" i="9"/>
  <c r="E179" i="9"/>
  <c r="D179" i="9"/>
  <c r="C179" i="9"/>
  <c r="H178" i="9"/>
  <c r="G178" i="9"/>
  <c r="F178" i="9"/>
  <c r="E178" i="9"/>
  <c r="D178" i="9"/>
  <c r="C178" i="9"/>
  <c r="H177" i="9"/>
  <c r="G177" i="9"/>
  <c r="F177" i="9"/>
  <c r="E177" i="9"/>
  <c r="D177" i="9"/>
  <c r="C177" i="9"/>
  <c r="H176" i="9"/>
  <c r="G176" i="9"/>
  <c r="F176" i="9"/>
  <c r="E176" i="9"/>
  <c r="D176" i="9"/>
  <c r="C176" i="9"/>
  <c r="H175" i="9"/>
  <c r="G175" i="9"/>
  <c r="F175" i="9"/>
  <c r="E175" i="9"/>
  <c r="D175" i="9"/>
  <c r="C175" i="9"/>
  <c r="H174" i="9"/>
  <c r="G174" i="9"/>
  <c r="F174" i="9"/>
  <c r="E174" i="9"/>
  <c r="D174" i="9"/>
  <c r="C174" i="9"/>
  <c r="H173" i="9"/>
  <c r="G173" i="9"/>
  <c r="F173" i="9"/>
  <c r="E173" i="9"/>
  <c r="D173" i="9"/>
  <c r="C173" i="9"/>
  <c r="H172" i="9"/>
  <c r="G172" i="9"/>
  <c r="F172" i="9"/>
  <c r="E172" i="9"/>
  <c r="D172" i="9"/>
  <c r="C172" i="9"/>
  <c r="H171" i="9"/>
  <c r="G171" i="9"/>
  <c r="F171" i="9"/>
  <c r="E171" i="9"/>
  <c r="D171" i="9"/>
  <c r="C171" i="9"/>
  <c r="H170" i="9"/>
  <c r="G170" i="9"/>
  <c r="F170" i="9"/>
  <c r="E170" i="9"/>
  <c r="D170" i="9"/>
  <c r="C170" i="9"/>
  <c r="H169" i="9"/>
  <c r="G169" i="9"/>
  <c r="F169" i="9"/>
  <c r="E169" i="9"/>
  <c r="D169" i="9"/>
  <c r="C169" i="9"/>
  <c r="H168" i="9"/>
  <c r="G168" i="9"/>
  <c r="F168" i="9"/>
  <c r="E168" i="9"/>
  <c r="D168" i="9"/>
  <c r="C168" i="9"/>
  <c r="H167" i="9"/>
  <c r="G167" i="9"/>
  <c r="F167" i="9"/>
  <c r="E167" i="9"/>
  <c r="D167" i="9"/>
  <c r="C167" i="9"/>
  <c r="H166" i="9"/>
  <c r="G166" i="9"/>
  <c r="F166" i="9"/>
  <c r="E166" i="9"/>
  <c r="D166" i="9"/>
  <c r="C166" i="9"/>
  <c r="H165" i="9"/>
  <c r="G165" i="9"/>
  <c r="F165" i="9"/>
  <c r="E165" i="9"/>
  <c r="D165" i="9"/>
  <c r="C165" i="9"/>
  <c r="H164" i="9"/>
  <c r="G164" i="9"/>
  <c r="F164" i="9"/>
  <c r="E164" i="9"/>
  <c r="D164" i="9"/>
  <c r="C164" i="9"/>
  <c r="H163" i="9"/>
  <c r="G163" i="9"/>
  <c r="F163" i="9"/>
  <c r="E163" i="9"/>
  <c r="D163" i="9"/>
  <c r="C163" i="9"/>
  <c r="H162" i="9"/>
  <c r="G162" i="9"/>
  <c r="F162" i="9"/>
  <c r="E162" i="9"/>
  <c r="D162" i="9"/>
  <c r="C162" i="9"/>
  <c r="H161" i="9"/>
  <c r="G161" i="9"/>
  <c r="F161" i="9"/>
  <c r="E161" i="9"/>
  <c r="D161" i="9"/>
  <c r="C161" i="9"/>
  <c r="H160" i="9"/>
  <c r="G160" i="9"/>
  <c r="F160" i="9"/>
  <c r="E160" i="9"/>
  <c r="D160" i="9"/>
  <c r="C160" i="9"/>
  <c r="H159" i="9"/>
  <c r="G159" i="9"/>
  <c r="F159" i="9"/>
  <c r="E159" i="9"/>
  <c r="D159" i="9"/>
  <c r="C159" i="9"/>
  <c r="H158" i="9"/>
  <c r="G158" i="9"/>
  <c r="F158" i="9"/>
  <c r="E158" i="9"/>
  <c r="D158" i="9"/>
  <c r="C158" i="9"/>
  <c r="H157" i="9"/>
  <c r="G157" i="9"/>
  <c r="F157" i="9"/>
  <c r="E157" i="9"/>
  <c r="D157" i="9"/>
  <c r="C157" i="9"/>
  <c r="H156" i="9"/>
  <c r="G156" i="9"/>
  <c r="F156" i="9"/>
  <c r="E156" i="9"/>
  <c r="D156" i="9"/>
  <c r="C156" i="9"/>
  <c r="H155" i="9"/>
  <c r="G155" i="9"/>
  <c r="F155" i="9"/>
  <c r="E155" i="9"/>
  <c r="D155" i="9"/>
  <c r="C155" i="9"/>
  <c r="H154" i="9"/>
  <c r="G154" i="9"/>
  <c r="F154" i="9"/>
  <c r="E154" i="9"/>
  <c r="D154" i="9"/>
  <c r="C154" i="9"/>
  <c r="H153" i="9"/>
  <c r="G153" i="9"/>
  <c r="F153" i="9"/>
  <c r="E153" i="9"/>
  <c r="D153" i="9"/>
  <c r="C153" i="9"/>
  <c r="H152" i="9"/>
  <c r="G152" i="9"/>
  <c r="F152" i="9"/>
  <c r="E152" i="9"/>
  <c r="D152" i="9"/>
  <c r="C152" i="9"/>
  <c r="H151" i="9"/>
  <c r="G151" i="9"/>
  <c r="F151" i="9"/>
  <c r="E151" i="9"/>
  <c r="D151" i="9"/>
  <c r="C151" i="9"/>
  <c r="H150" i="9"/>
  <c r="G150" i="9"/>
  <c r="F150" i="9"/>
  <c r="E150" i="9"/>
  <c r="D150" i="9"/>
  <c r="C150" i="9"/>
  <c r="H149" i="9"/>
  <c r="G149" i="9"/>
  <c r="F149" i="9"/>
  <c r="E149" i="9"/>
  <c r="D149" i="9"/>
  <c r="C149" i="9"/>
  <c r="H148" i="9"/>
  <c r="G148" i="9"/>
  <c r="F148" i="9"/>
  <c r="E148" i="9"/>
  <c r="D148" i="9"/>
  <c r="C148" i="9"/>
  <c r="H147" i="9"/>
  <c r="G147" i="9"/>
  <c r="F147" i="9"/>
  <c r="E147" i="9"/>
  <c r="D147" i="9"/>
  <c r="C147" i="9"/>
  <c r="H146" i="9"/>
  <c r="G146" i="9"/>
  <c r="F146" i="9"/>
  <c r="E146" i="9"/>
  <c r="D146" i="9"/>
  <c r="C146" i="9"/>
  <c r="H145" i="9"/>
  <c r="G145" i="9"/>
  <c r="F145" i="9"/>
  <c r="E145" i="9"/>
  <c r="D145" i="9"/>
  <c r="C145" i="9"/>
  <c r="H144" i="9"/>
  <c r="G144" i="9"/>
  <c r="F144" i="9"/>
  <c r="E144" i="9"/>
  <c r="D144" i="9"/>
  <c r="C144" i="9"/>
  <c r="H143" i="9"/>
  <c r="G143" i="9"/>
  <c r="F143" i="9"/>
  <c r="E143" i="9"/>
  <c r="D143" i="9"/>
  <c r="C143" i="9"/>
  <c r="H142" i="9"/>
  <c r="G142" i="9"/>
  <c r="F142" i="9"/>
  <c r="E142" i="9"/>
  <c r="D142" i="9"/>
  <c r="C142" i="9"/>
  <c r="H141" i="9"/>
  <c r="G141" i="9"/>
  <c r="F141" i="9"/>
  <c r="E141" i="9"/>
  <c r="D141" i="9"/>
  <c r="C141" i="9"/>
  <c r="H140" i="9"/>
  <c r="G140" i="9"/>
  <c r="F140" i="9"/>
  <c r="E140" i="9"/>
  <c r="D140" i="9"/>
  <c r="C140" i="9"/>
  <c r="H139" i="9"/>
  <c r="G139" i="9"/>
  <c r="F139" i="9"/>
  <c r="E139" i="9"/>
  <c r="D139" i="9"/>
  <c r="C139" i="9"/>
  <c r="H138" i="9"/>
  <c r="G138" i="9"/>
  <c r="F138" i="9"/>
  <c r="E138" i="9"/>
  <c r="D138" i="9"/>
  <c r="C138" i="9"/>
  <c r="H137" i="9"/>
  <c r="G137" i="9"/>
  <c r="F137" i="9"/>
  <c r="E137" i="9"/>
  <c r="D137" i="9"/>
  <c r="C137" i="9"/>
  <c r="H136" i="9"/>
  <c r="G136" i="9"/>
  <c r="F136" i="9"/>
  <c r="E136" i="9"/>
  <c r="D136" i="9"/>
  <c r="C136" i="9"/>
  <c r="H135" i="9"/>
  <c r="G135" i="9"/>
  <c r="F135" i="9"/>
  <c r="E135" i="9"/>
  <c r="D135" i="9"/>
  <c r="C135" i="9"/>
  <c r="H134" i="9"/>
  <c r="G134" i="9"/>
  <c r="F134" i="9"/>
  <c r="E134" i="9"/>
  <c r="D134" i="9"/>
  <c r="C134" i="9"/>
  <c r="H133" i="9"/>
  <c r="G133" i="9"/>
  <c r="F133" i="9"/>
  <c r="E133" i="9"/>
  <c r="D133" i="9"/>
  <c r="C133" i="9"/>
  <c r="H132" i="9"/>
  <c r="G132" i="9"/>
  <c r="F132" i="9"/>
  <c r="E132" i="9"/>
  <c r="D132" i="9"/>
  <c r="C132" i="9"/>
  <c r="H131" i="9"/>
  <c r="G131" i="9"/>
  <c r="F131" i="9"/>
  <c r="E131" i="9"/>
  <c r="D131" i="9"/>
  <c r="C131" i="9"/>
  <c r="H130" i="9"/>
  <c r="G130" i="9"/>
  <c r="F130" i="9"/>
  <c r="E130" i="9"/>
  <c r="D130" i="9"/>
  <c r="C130" i="9"/>
  <c r="H129" i="9"/>
  <c r="G129" i="9"/>
  <c r="F129" i="9"/>
  <c r="E129" i="9"/>
  <c r="D129" i="9"/>
  <c r="C129" i="9"/>
  <c r="H128" i="9"/>
  <c r="G128" i="9"/>
  <c r="F128" i="9"/>
  <c r="E128" i="9"/>
  <c r="D128" i="9"/>
  <c r="C128" i="9"/>
  <c r="H127" i="9"/>
  <c r="G127" i="9"/>
  <c r="F127" i="9"/>
  <c r="E127" i="9"/>
  <c r="D127" i="9"/>
  <c r="C127" i="9"/>
  <c r="H126" i="9"/>
  <c r="G126" i="9"/>
  <c r="F126" i="9"/>
  <c r="E126" i="9"/>
  <c r="D126" i="9"/>
  <c r="C126" i="9"/>
  <c r="H125" i="9"/>
  <c r="G125" i="9"/>
  <c r="F125" i="9"/>
  <c r="E125" i="9"/>
  <c r="D125" i="9"/>
  <c r="C125" i="9"/>
  <c r="H124" i="9"/>
  <c r="G124" i="9"/>
  <c r="F124" i="9"/>
  <c r="E124" i="9"/>
  <c r="D124" i="9"/>
  <c r="C124" i="9"/>
  <c r="H123" i="9"/>
  <c r="G123" i="9"/>
  <c r="F123" i="9"/>
  <c r="E123" i="9"/>
  <c r="D123" i="9"/>
  <c r="C123" i="9"/>
  <c r="H122" i="9"/>
  <c r="G122" i="9"/>
  <c r="F122" i="9"/>
  <c r="E122" i="9"/>
  <c r="D122" i="9"/>
  <c r="C122" i="9"/>
  <c r="H121" i="9"/>
  <c r="G121" i="9"/>
  <c r="F121" i="9"/>
  <c r="E121" i="9"/>
  <c r="D121" i="9"/>
  <c r="C121" i="9"/>
  <c r="H120" i="9"/>
  <c r="G120" i="9"/>
  <c r="F120" i="9"/>
  <c r="E120" i="9"/>
  <c r="D120" i="9"/>
  <c r="C120" i="9"/>
  <c r="H119" i="9"/>
  <c r="G119" i="9"/>
  <c r="F119" i="9"/>
  <c r="E119" i="9"/>
  <c r="D119" i="9"/>
  <c r="C119" i="9"/>
  <c r="H118" i="9"/>
  <c r="G118" i="9"/>
  <c r="F118" i="9"/>
  <c r="E118" i="9"/>
  <c r="D118" i="9"/>
  <c r="C118" i="9"/>
  <c r="H117" i="9"/>
  <c r="G117" i="9"/>
  <c r="F117" i="9"/>
  <c r="E117" i="9"/>
  <c r="D117" i="9"/>
  <c r="C117" i="9"/>
  <c r="H116" i="9"/>
  <c r="G116" i="9"/>
  <c r="F116" i="9"/>
  <c r="E116" i="9"/>
  <c r="D116" i="9"/>
  <c r="C116" i="9"/>
  <c r="H115" i="9"/>
  <c r="G115" i="9"/>
  <c r="F115" i="9"/>
  <c r="E115" i="9"/>
  <c r="D115" i="9"/>
  <c r="C115" i="9"/>
  <c r="H114" i="9"/>
  <c r="G114" i="9"/>
  <c r="F114" i="9"/>
  <c r="E114" i="9"/>
  <c r="D114" i="9"/>
  <c r="C114" i="9"/>
  <c r="H113" i="9"/>
  <c r="G113" i="9"/>
  <c r="F113" i="9"/>
  <c r="E113" i="9"/>
  <c r="D113" i="9"/>
  <c r="C113" i="9"/>
  <c r="H112" i="9"/>
  <c r="G112" i="9"/>
  <c r="F112" i="9"/>
  <c r="E112" i="9"/>
  <c r="D112" i="9"/>
  <c r="C112" i="9"/>
  <c r="H111" i="9"/>
  <c r="G111" i="9"/>
  <c r="F111" i="9"/>
  <c r="E111" i="9"/>
  <c r="D111" i="9"/>
  <c r="C111" i="9"/>
  <c r="H110" i="9"/>
  <c r="G110" i="9"/>
  <c r="F110" i="9"/>
  <c r="E110" i="9"/>
  <c r="D110" i="9"/>
  <c r="C110" i="9"/>
  <c r="H109" i="9"/>
  <c r="G109" i="9"/>
  <c r="F109" i="9"/>
  <c r="E109" i="9"/>
  <c r="D109" i="9"/>
  <c r="C109" i="9"/>
  <c r="H108" i="9"/>
  <c r="G108" i="9"/>
  <c r="F108" i="9"/>
  <c r="E108" i="9"/>
  <c r="D108" i="9"/>
  <c r="C108" i="9"/>
  <c r="H107" i="9"/>
  <c r="G107" i="9"/>
  <c r="F107" i="9"/>
  <c r="E107" i="9"/>
  <c r="D107" i="9"/>
  <c r="C107" i="9"/>
  <c r="H106" i="9"/>
  <c r="G106" i="9"/>
  <c r="F106" i="9"/>
  <c r="E106" i="9"/>
  <c r="D106" i="9"/>
  <c r="C106" i="9"/>
  <c r="H105" i="9"/>
  <c r="G105" i="9"/>
  <c r="F105" i="9"/>
  <c r="E105" i="9"/>
  <c r="D105" i="9"/>
  <c r="C105" i="9"/>
  <c r="H104" i="9"/>
  <c r="G104" i="9"/>
  <c r="F104" i="9"/>
  <c r="E104" i="9"/>
  <c r="D104" i="9"/>
  <c r="C104" i="9"/>
  <c r="H103" i="9"/>
  <c r="G103" i="9"/>
  <c r="F103" i="9"/>
  <c r="E103" i="9"/>
  <c r="D103" i="9"/>
  <c r="C103" i="9"/>
  <c r="H102" i="9"/>
  <c r="G102" i="9"/>
  <c r="F102" i="9"/>
  <c r="E102" i="9"/>
  <c r="D102" i="9"/>
  <c r="C102" i="9"/>
  <c r="H101" i="9"/>
  <c r="G101" i="9"/>
  <c r="F101" i="9"/>
  <c r="E101" i="9"/>
  <c r="D101" i="9"/>
  <c r="C101" i="9"/>
  <c r="H100" i="9"/>
  <c r="G100" i="9"/>
  <c r="F100" i="9"/>
  <c r="E100" i="9"/>
  <c r="D100" i="9"/>
  <c r="C100" i="9"/>
  <c r="H99" i="9"/>
  <c r="G99" i="9"/>
  <c r="F99" i="9"/>
  <c r="E99" i="9"/>
  <c r="D99" i="9"/>
  <c r="C99" i="9"/>
  <c r="H98" i="9"/>
  <c r="G98" i="9"/>
  <c r="F98" i="9"/>
  <c r="E98" i="9"/>
  <c r="D98" i="9"/>
  <c r="C98" i="9"/>
  <c r="H97" i="9"/>
  <c r="G97" i="9"/>
  <c r="F97" i="9"/>
  <c r="E97" i="9"/>
  <c r="D97" i="9"/>
  <c r="C97" i="9"/>
  <c r="H96" i="9"/>
  <c r="G96" i="9"/>
  <c r="F96" i="9"/>
  <c r="E96" i="9"/>
  <c r="D96" i="9"/>
  <c r="C96" i="9"/>
  <c r="H95" i="9"/>
  <c r="G95" i="9"/>
  <c r="F95" i="9"/>
  <c r="E95" i="9"/>
  <c r="D95" i="9"/>
  <c r="C95" i="9"/>
  <c r="H94" i="9"/>
  <c r="G94" i="9"/>
  <c r="F94" i="9"/>
  <c r="E94" i="9"/>
  <c r="D94" i="9"/>
  <c r="C94" i="9"/>
  <c r="H93" i="9"/>
  <c r="G93" i="9"/>
  <c r="F93" i="9"/>
  <c r="E93" i="9"/>
  <c r="D93" i="9"/>
  <c r="C93" i="9"/>
  <c r="H92" i="9"/>
  <c r="G92" i="9"/>
  <c r="F92" i="9"/>
  <c r="E92" i="9"/>
  <c r="D92" i="9"/>
  <c r="C92" i="9"/>
  <c r="H91" i="9"/>
  <c r="G91" i="9"/>
  <c r="F91" i="9"/>
  <c r="E91" i="9"/>
  <c r="D91" i="9"/>
  <c r="C91" i="9"/>
  <c r="H90" i="9"/>
  <c r="G90" i="9"/>
  <c r="F90" i="9"/>
  <c r="E90" i="9"/>
  <c r="D90" i="9"/>
  <c r="C90" i="9"/>
  <c r="H89" i="9"/>
  <c r="G89" i="9"/>
  <c r="F89" i="9"/>
  <c r="E89" i="9"/>
  <c r="D89" i="9"/>
  <c r="C89" i="9"/>
  <c r="H88" i="9"/>
  <c r="G88" i="9"/>
  <c r="F88" i="9"/>
  <c r="E88" i="9"/>
  <c r="D88" i="9"/>
  <c r="C88" i="9"/>
  <c r="H87" i="9"/>
  <c r="G87" i="9"/>
  <c r="F87" i="9"/>
  <c r="E87" i="9"/>
  <c r="D87" i="9"/>
  <c r="C87" i="9"/>
  <c r="H86" i="9"/>
  <c r="G86" i="9"/>
  <c r="F86" i="9"/>
  <c r="E86" i="9"/>
  <c r="D86" i="9"/>
  <c r="C86" i="9"/>
  <c r="H85" i="9"/>
  <c r="G85" i="9"/>
  <c r="F85" i="9"/>
  <c r="E85" i="9"/>
  <c r="D85" i="9"/>
  <c r="C85" i="9"/>
  <c r="H84" i="9"/>
  <c r="G84" i="9"/>
  <c r="F84" i="9"/>
  <c r="E84" i="9"/>
  <c r="D84" i="9"/>
  <c r="C84" i="9"/>
  <c r="H83" i="9"/>
  <c r="G83" i="9"/>
  <c r="F83" i="9"/>
  <c r="E83" i="9"/>
  <c r="D83" i="9"/>
  <c r="C83" i="9"/>
  <c r="H82" i="9"/>
  <c r="G82" i="9"/>
  <c r="F82" i="9"/>
  <c r="E82" i="9"/>
  <c r="D82" i="9"/>
  <c r="C82" i="9"/>
  <c r="H81" i="9"/>
  <c r="G81" i="9"/>
  <c r="F81" i="9"/>
  <c r="E81" i="9"/>
  <c r="D81" i="9"/>
  <c r="C81" i="9"/>
  <c r="H80" i="9"/>
  <c r="G80" i="9"/>
  <c r="F80" i="9"/>
  <c r="E80" i="9"/>
  <c r="D80" i="9"/>
  <c r="C80" i="9"/>
  <c r="H79" i="9"/>
  <c r="G79" i="9"/>
  <c r="F79" i="9"/>
  <c r="E79" i="9"/>
  <c r="D79" i="9"/>
  <c r="C79" i="9"/>
  <c r="H78" i="9"/>
  <c r="G78" i="9"/>
  <c r="F78" i="9"/>
  <c r="E78" i="9"/>
  <c r="D78" i="9"/>
  <c r="C78" i="9"/>
  <c r="H77" i="9"/>
  <c r="G77" i="9"/>
  <c r="F77" i="9"/>
  <c r="E77" i="9"/>
  <c r="D77" i="9"/>
  <c r="C77" i="9"/>
  <c r="H76" i="9"/>
  <c r="G76" i="9"/>
  <c r="F76" i="9"/>
  <c r="E76" i="9"/>
  <c r="D76" i="9"/>
  <c r="C76" i="9"/>
  <c r="H75" i="9"/>
  <c r="G75" i="9"/>
  <c r="F75" i="9"/>
  <c r="E75" i="9"/>
  <c r="D75" i="9"/>
  <c r="C75" i="9"/>
  <c r="H74" i="9"/>
  <c r="G74" i="9"/>
  <c r="F74" i="9"/>
  <c r="E74" i="9"/>
  <c r="D74" i="9"/>
  <c r="C74" i="9"/>
  <c r="H73" i="9"/>
  <c r="G73" i="9"/>
  <c r="F73" i="9"/>
  <c r="E73" i="9"/>
  <c r="D73" i="9"/>
  <c r="C73" i="9"/>
  <c r="H72" i="9"/>
  <c r="G72" i="9"/>
  <c r="F72" i="9"/>
  <c r="E72" i="9"/>
  <c r="D72" i="9"/>
  <c r="C72" i="9"/>
  <c r="H71" i="9"/>
  <c r="G71" i="9"/>
  <c r="F71" i="9"/>
  <c r="E71" i="9"/>
  <c r="D71" i="9"/>
  <c r="C71" i="9"/>
  <c r="H70" i="9"/>
  <c r="G70" i="9"/>
  <c r="F70" i="9"/>
  <c r="E70" i="9"/>
  <c r="D70" i="9"/>
  <c r="C70" i="9"/>
  <c r="H69" i="9"/>
  <c r="G69" i="9"/>
  <c r="F69" i="9"/>
  <c r="E69" i="9"/>
  <c r="D69" i="9"/>
  <c r="C69" i="9"/>
  <c r="H68" i="9"/>
  <c r="G68" i="9"/>
  <c r="F68" i="9"/>
  <c r="E68" i="9"/>
  <c r="D68" i="9"/>
  <c r="C68" i="9"/>
  <c r="H67" i="9"/>
  <c r="G67" i="9"/>
  <c r="F67" i="9"/>
  <c r="E67" i="9"/>
  <c r="D67" i="9"/>
  <c r="C67" i="9"/>
  <c r="H66" i="9"/>
  <c r="G66" i="9"/>
  <c r="F66" i="9"/>
  <c r="E66" i="9"/>
  <c r="D66" i="9"/>
  <c r="C66" i="9"/>
  <c r="H65" i="9"/>
  <c r="G65" i="9"/>
  <c r="F65" i="9"/>
  <c r="E65" i="9"/>
  <c r="D65" i="9"/>
  <c r="C65" i="9"/>
  <c r="H64" i="9"/>
  <c r="G64" i="9"/>
  <c r="F64" i="9"/>
  <c r="E64" i="9"/>
  <c r="D64" i="9"/>
  <c r="C64" i="9"/>
  <c r="H63" i="9"/>
  <c r="G63" i="9"/>
  <c r="F63" i="9"/>
  <c r="E63" i="9"/>
  <c r="D63" i="9"/>
  <c r="C63" i="9"/>
  <c r="H62" i="9"/>
  <c r="G62" i="9"/>
  <c r="F62" i="9"/>
  <c r="E62" i="9"/>
  <c r="D62" i="9"/>
  <c r="C62" i="9"/>
  <c r="H61" i="9"/>
  <c r="G61" i="9"/>
  <c r="F61" i="9"/>
  <c r="E61" i="9"/>
  <c r="D61" i="9"/>
  <c r="C61" i="9"/>
  <c r="H60" i="9"/>
  <c r="G60" i="9"/>
  <c r="F60" i="9"/>
  <c r="E60" i="9"/>
  <c r="D60" i="9"/>
  <c r="C60" i="9"/>
  <c r="H59" i="9"/>
  <c r="G59" i="9"/>
  <c r="F59" i="9"/>
  <c r="E59" i="9"/>
  <c r="D59" i="9"/>
  <c r="C59" i="9"/>
  <c r="H58" i="9"/>
  <c r="G58" i="9"/>
  <c r="F58" i="9"/>
  <c r="E58" i="9"/>
  <c r="D58" i="9"/>
  <c r="C58" i="9"/>
  <c r="H57" i="9"/>
  <c r="G57" i="9"/>
  <c r="F57" i="9"/>
  <c r="E57" i="9"/>
  <c r="D57" i="9"/>
  <c r="C57" i="9"/>
  <c r="H56" i="9"/>
  <c r="G56" i="9"/>
  <c r="F56" i="9"/>
  <c r="E56" i="9"/>
  <c r="D56" i="9"/>
  <c r="C56" i="9"/>
  <c r="H55" i="9"/>
  <c r="G55" i="9"/>
  <c r="F55" i="9"/>
  <c r="E55" i="9"/>
  <c r="D55" i="9"/>
  <c r="C55" i="9"/>
  <c r="H54" i="9"/>
  <c r="G54" i="9"/>
  <c r="F54" i="9"/>
  <c r="E54" i="9"/>
  <c r="D54" i="9"/>
  <c r="C54" i="9"/>
  <c r="H53" i="9"/>
  <c r="G53" i="9"/>
  <c r="F53" i="9"/>
  <c r="E53" i="9"/>
  <c r="D53" i="9"/>
  <c r="C53" i="9"/>
  <c r="H52" i="9"/>
  <c r="G52" i="9"/>
  <c r="F52" i="9"/>
  <c r="E52" i="9"/>
  <c r="D52" i="9"/>
  <c r="C52" i="9"/>
  <c r="H51" i="9"/>
  <c r="G51" i="9"/>
  <c r="F51" i="9"/>
  <c r="E51" i="9"/>
  <c r="D51" i="9"/>
  <c r="C51" i="9"/>
  <c r="H50" i="9"/>
  <c r="G50" i="9"/>
  <c r="F50" i="9"/>
  <c r="E50" i="9"/>
  <c r="D50" i="9"/>
  <c r="C50" i="9"/>
  <c r="H49" i="9"/>
  <c r="G49" i="9"/>
  <c r="F49" i="9"/>
  <c r="E49" i="9"/>
  <c r="D49" i="9"/>
  <c r="C49" i="9"/>
  <c r="H48" i="9"/>
  <c r="G48" i="9"/>
  <c r="F48" i="9"/>
  <c r="E48" i="9"/>
  <c r="D48" i="9"/>
  <c r="C48" i="9"/>
  <c r="H47" i="9"/>
  <c r="G47" i="9"/>
  <c r="F47" i="9"/>
  <c r="E47" i="9"/>
  <c r="D47" i="9"/>
  <c r="C47" i="9"/>
  <c r="H46" i="9"/>
  <c r="G46" i="9"/>
  <c r="F46" i="9"/>
  <c r="E46" i="9"/>
  <c r="D46" i="9"/>
  <c r="C46" i="9"/>
  <c r="H45" i="9"/>
  <c r="G45" i="9"/>
  <c r="F45" i="9"/>
  <c r="E45" i="9"/>
  <c r="D45" i="9"/>
  <c r="C45" i="9"/>
  <c r="H44" i="9"/>
  <c r="G44" i="9"/>
  <c r="F44" i="9"/>
  <c r="E44" i="9"/>
  <c r="D44" i="9"/>
  <c r="C44" i="9"/>
  <c r="H43" i="9"/>
  <c r="G43" i="9"/>
  <c r="F43" i="9"/>
  <c r="E43" i="9"/>
  <c r="D43" i="9"/>
  <c r="C43" i="9"/>
  <c r="H42" i="9"/>
  <c r="G42" i="9"/>
  <c r="F42" i="9"/>
  <c r="E42" i="9"/>
  <c r="D42" i="9"/>
  <c r="C42" i="9"/>
  <c r="H41" i="9"/>
  <c r="G41" i="9"/>
  <c r="F41" i="9"/>
  <c r="E41" i="9"/>
  <c r="D41" i="9"/>
  <c r="C41" i="9"/>
  <c r="H40" i="9"/>
  <c r="G40" i="9"/>
  <c r="F40" i="9"/>
  <c r="E40" i="9"/>
  <c r="D40" i="9"/>
  <c r="C40" i="9"/>
  <c r="H39" i="9"/>
  <c r="G39" i="9"/>
  <c r="F39" i="9"/>
  <c r="E39" i="9"/>
  <c r="D39" i="9"/>
  <c r="C39" i="9"/>
  <c r="H38" i="9"/>
  <c r="G38" i="9"/>
  <c r="F38" i="9"/>
  <c r="E38" i="9"/>
  <c r="D38" i="9"/>
  <c r="C38" i="9"/>
  <c r="H37" i="9"/>
  <c r="G37" i="9"/>
  <c r="F37" i="9"/>
  <c r="E37" i="9"/>
  <c r="D37" i="9"/>
  <c r="C37" i="9"/>
  <c r="H36" i="9"/>
  <c r="G36" i="9"/>
  <c r="F36" i="9"/>
  <c r="E36" i="9"/>
  <c r="D36" i="9"/>
  <c r="C36" i="9"/>
  <c r="H35" i="9"/>
  <c r="G35" i="9"/>
  <c r="F35" i="9"/>
  <c r="E35" i="9"/>
  <c r="D35" i="9"/>
  <c r="C35" i="9"/>
  <c r="H34" i="9"/>
  <c r="G34" i="9"/>
  <c r="F34" i="9"/>
  <c r="E34" i="9"/>
  <c r="D34" i="9"/>
  <c r="C34" i="9"/>
  <c r="H33" i="9"/>
  <c r="G33" i="9"/>
  <c r="F33" i="9"/>
  <c r="E33" i="9"/>
  <c r="D33" i="9"/>
  <c r="C33" i="9"/>
  <c r="H32" i="9"/>
  <c r="G32" i="9"/>
  <c r="F32" i="9"/>
  <c r="E32" i="9"/>
  <c r="D32" i="9"/>
  <c r="C32" i="9"/>
  <c r="H31" i="9"/>
  <c r="G31" i="9"/>
  <c r="F31" i="9"/>
  <c r="E31" i="9"/>
  <c r="D31" i="9"/>
  <c r="C31" i="9"/>
  <c r="H30" i="9"/>
  <c r="G30" i="9"/>
  <c r="F30" i="9"/>
  <c r="E30" i="9"/>
  <c r="D30" i="9"/>
  <c r="C30" i="9"/>
  <c r="H29" i="9"/>
  <c r="G29" i="9"/>
  <c r="F29" i="9"/>
  <c r="E29" i="9"/>
  <c r="D29" i="9"/>
  <c r="C29" i="9"/>
  <c r="H28" i="9"/>
  <c r="G28" i="9"/>
  <c r="F28" i="9"/>
  <c r="E28" i="9"/>
  <c r="D28" i="9"/>
  <c r="C28" i="9"/>
  <c r="H27" i="9"/>
  <c r="G27" i="9"/>
  <c r="F27" i="9"/>
  <c r="E27" i="9"/>
  <c r="D27" i="9"/>
  <c r="C27" i="9"/>
  <c r="H26" i="9"/>
  <c r="G26" i="9"/>
  <c r="F26" i="9"/>
  <c r="E26" i="9"/>
  <c r="D26" i="9"/>
  <c r="C26" i="9"/>
  <c r="H25" i="9"/>
  <c r="G25" i="9"/>
  <c r="F25" i="9"/>
  <c r="E25" i="9"/>
  <c r="D25" i="9"/>
  <c r="C25" i="9"/>
  <c r="H24" i="9"/>
  <c r="G24" i="9"/>
  <c r="F24" i="9"/>
  <c r="E24" i="9"/>
  <c r="D24" i="9"/>
  <c r="C24" i="9"/>
  <c r="H23" i="9"/>
  <c r="G23" i="9"/>
  <c r="F23" i="9"/>
  <c r="E23" i="9"/>
  <c r="D23" i="9"/>
  <c r="C23" i="9"/>
  <c r="H22" i="9"/>
  <c r="G22" i="9"/>
  <c r="F22" i="9"/>
  <c r="E22" i="9"/>
  <c r="D22" i="9"/>
  <c r="C22" i="9"/>
  <c r="H21" i="9"/>
  <c r="G21" i="9"/>
  <c r="F21" i="9"/>
  <c r="E21" i="9"/>
  <c r="D21" i="9"/>
  <c r="C21" i="9"/>
  <c r="H20" i="9"/>
  <c r="G20" i="9"/>
  <c r="F20" i="9"/>
  <c r="E20" i="9"/>
  <c r="D20" i="9"/>
  <c r="C20" i="9"/>
  <c r="H19" i="9"/>
  <c r="G19" i="9"/>
  <c r="F19" i="9"/>
  <c r="E19" i="9"/>
  <c r="D19" i="9"/>
  <c r="C19" i="9"/>
  <c r="H18" i="9"/>
  <c r="G18" i="9"/>
  <c r="F18" i="9"/>
  <c r="E18" i="9"/>
  <c r="D18" i="9"/>
  <c r="C18" i="9"/>
  <c r="H17" i="9"/>
  <c r="G17" i="9"/>
  <c r="F17" i="9"/>
  <c r="E17" i="9"/>
  <c r="D17" i="9"/>
  <c r="C17" i="9"/>
  <c r="H16" i="9"/>
  <c r="G16" i="9"/>
  <c r="F16" i="9"/>
  <c r="E16" i="9"/>
  <c r="D16" i="9"/>
  <c r="C16" i="9"/>
  <c r="H15" i="9"/>
  <c r="G15" i="9"/>
  <c r="F15" i="9"/>
  <c r="E15" i="9"/>
  <c r="D15" i="9"/>
  <c r="C15" i="9"/>
  <c r="H14" i="9"/>
  <c r="G14" i="9"/>
  <c r="F14" i="9"/>
  <c r="E14" i="9"/>
  <c r="D14" i="9"/>
  <c r="C14" i="9"/>
  <c r="H13" i="9"/>
  <c r="G13" i="9"/>
  <c r="F13" i="9"/>
  <c r="E13" i="9"/>
  <c r="D13" i="9"/>
  <c r="C13" i="9"/>
  <c r="H12" i="9"/>
  <c r="G12" i="9"/>
  <c r="F12" i="9"/>
  <c r="E12" i="9"/>
  <c r="D12" i="9"/>
  <c r="C12" i="9"/>
  <c r="H11" i="9"/>
  <c r="G11" i="9"/>
  <c r="F11" i="9"/>
  <c r="E11" i="9"/>
  <c r="D11" i="9"/>
  <c r="C11" i="9"/>
  <c r="H10" i="9"/>
  <c r="G10" i="9"/>
  <c r="F10" i="9"/>
  <c r="E10" i="9"/>
  <c r="D10" i="9"/>
  <c r="C10" i="9"/>
  <c r="H9" i="9"/>
  <c r="G9" i="9"/>
  <c r="F9" i="9"/>
  <c r="E9" i="9"/>
  <c r="D9" i="9"/>
  <c r="C9" i="9"/>
  <c r="H8" i="9"/>
  <c r="G8" i="9"/>
  <c r="F8" i="9"/>
  <c r="E8" i="9"/>
  <c r="D8" i="9"/>
  <c r="C8" i="9"/>
  <c r="H7" i="9"/>
  <c r="G7" i="9"/>
  <c r="F7" i="9"/>
  <c r="E7" i="9"/>
  <c r="D7" i="9"/>
  <c r="C7" i="9"/>
  <c r="H6" i="9"/>
  <c r="G6" i="9"/>
  <c r="F6" i="9"/>
  <c r="E6" i="9"/>
  <c r="D6" i="9"/>
  <c r="C6" i="9"/>
  <c r="H5" i="9"/>
  <c r="G5" i="9"/>
  <c r="F5" i="9"/>
  <c r="E5" i="9"/>
  <c r="D5" i="9"/>
  <c r="C5" i="9"/>
  <c r="B205" i="9"/>
  <c r="B204" i="9"/>
  <c r="B201" i="9"/>
  <c r="B196" i="9"/>
  <c r="B187" i="9"/>
  <c r="B185" i="9"/>
  <c r="B183" i="9"/>
  <c r="B178" i="9"/>
  <c r="B168" i="9"/>
  <c r="B167" i="9"/>
  <c r="B165" i="9"/>
  <c r="B160" i="9"/>
  <c r="B150" i="9"/>
  <c r="B149" i="9"/>
  <c r="B147" i="9"/>
  <c r="B141" i="9"/>
  <c r="B132" i="9"/>
  <c r="B131" i="9"/>
  <c r="B129" i="9"/>
  <c r="B123" i="9"/>
  <c r="B114" i="9"/>
  <c r="B113" i="9"/>
  <c r="B111" i="9"/>
  <c r="B104" i="9"/>
  <c r="B96" i="9"/>
  <c r="B95" i="9"/>
  <c r="B93" i="9"/>
  <c r="B87" i="9"/>
  <c r="B79" i="9"/>
  <c r="B78" i="9"/>
  <c r="B76" i="9"/>
  <c r="B70" i="9"/>
  <c r="B62" i="9"/>
  <c r="B61" i="9"/>
  <c r="B59" i="9"/>
  <c r="B54" i="9"/>
  <c r="B46" i="9"/>
  <c r="B45" i="9"/>
  <c r="B43" i="9"/>
  <c r="B38" i="9"/>
  <c r="B30" i="9"/>
  <c r="B29" i="9"/>
  <c r="B27" i="9"/>
  <c r="B22" i="9"/>
  <c r="B14" i="9"/>
  <c r="B13" i="9"/>
  <c r="B11" i="9"/>
  <c r="B6" i="9"/>
  <c r="B4" i="9" a="1"/>
  <c r="B211" i="9" s="1"/>
  <c r="G83" i="8"/>
  <c r="F83" i="8"/>
  <c r="E83" i="8"/>
  <c r="D83" i="8"/>
  <c r="C83" i="8"/>
  <c r="H82" i="8"/>
  <c r="G82" i="8"/>
  <c r="F82" i="8"/>
  <c r="E82" i="8"/>
  <c r="D82" i="8"/>
  <c r="C82" i="8"/>
  <c r="H81" i="8"/>
  <c r="G81" i="8"/>
  <c r="F81" i="8"/>
  <c r="E81" i="8"/>
  <c r="D81" i="8"/>
  <c r="C81" i="8"/>
  <c r="H80" i="8"/>
  <c r="G80" i="8"/>
  <c r="F80" i="8"/>
  <c r="E80" i="8"/>
  <c r="D80" i="8"/>
  <c r="C80" i="8"/>
  <c r="H79" i="8"/>
  <c r="G79" i="8"/>
  <c r="F79" i="8"/>
  <c r="E79" i="8"/>
  <c r="D79" i="8"/>
  <c r="C79" i="8"/>
  <c r="H78" i="8"/>
  <c r="G78" i="8"/>
  <c r="F78" i="8"/>
  <c r="E78" i="8"/>
  <c r="D78" i="8"/>
  <c r="C78" i="8"/>
  <c r="H77" i="8"/>
  <c r="G77" i="8"/>
  <c r="F77" i="8"/>
  <c r="E77" i="8"/>
  <c r="D77" i="8"/>
  <c r="C77" i="8"/>
  <c r="H76" i="8"/>
  <c r="G76" i="8"/>
  <c r="F76" i="8"/>
  <c r="E76" i="8"/>
  <c r="D76" i="8"/>
  <c r="C76" i="8"/>
  <c r="H75" i="8"/>
  <c r="G75" i="8"/>
  <c r="F75" i="8"/>
  <c r="E75" i="8"/>
  <c r="D75" i="8"/>
  <c r="C75" i="8"/>
  <c r="H74" i="8"/>
  <c r="G74" i="8"/>
  <c r="F74" i="8"/>
  <c r="E74" i="8"/>
  <c r="D74" i="8"/>
  <c r="C74" i="8"/>
  <c r="H73" i="8"/>
  <c r="G73" i="8"/>
  <c r="F73" i="8"/>
  <c r="E73" i="8"/>
  <c r="D73" i="8"/>
  <c r="C73" i="8"/>
  <c r="H72" i="8"/>
  <c r="G72" i="8"/>
  <c r="F72" i="8"/>
  <c r="E72" i="8"/>
  <c r="D72" i="8"/>
  <c r="C72" i="8"/>
  <c r="H71" i="8"/>
  <c r="G71" i="8"/>
  <c r="F71" i="8"/>
  <c r="E71" i="8"/>
  <c r="D71" i="8"/>
  <c r="C71" i="8"/>
  <c r="H70" i="8"/>
  <c r="G70" i="8"/>
  <c r="F70" i="8"/>
  <c r="E70" i="8"/>
  <c r="D70" i="8"/>
  <c r="C70" i="8"/>
  <c r="H69" i="8"/>
  <c r="G69" i="8"/>
  <c r="F69" i="8"/>
  <c r="E69" i="8"/>
  <c r="D69" i="8"/>
  <c r="C69" i="8"/>
  <c r="H68" i="8"/>
  <c r="G68" i="8"/>
  <c r="F68" i="8"/>
  <c r="E68" i="8"/>
  <c r="D68" i="8"/>
  <c r="C68" i="8"/>
  <c r="H67" i="8"/>
  <c r="G67" i="8"/>
  <c r="F67" i="8"/>
  <c r="E67" i="8"/>
  <c r="D67" i="8"/>
  <c r="C67" i="8"/>
  <c r="H66" i="8"/>
  <c r="G66" i="8"/>
  <c r="F66" i="8"/>
  <c r="E66" i="8"/>
  <c r="D66" i="8"/>
  <c r="C66" i="8"/>
  <c r="H65" i="8"/>
  <c r="G65" i="8"/>
  <c r="F65" i="8"/>
  <c r="E65" i="8"/>
  <c r="D65" i="8"/>
  <c r="C65" i="8"/>
  <c r="H64" i="8"/>
  <c r="G64" i="8"/>
  <c r="F64" i="8"/>
  <c r="E64" i="8"/>
  <c r="D64" i="8"/>
  <c r="C64" i="8"/>
  <c r="H63" i="8"/>
  <c r="G63" i="8"/>
  <c r="F63" i="8"/>
  <c r="E63" i="8"/>
  <c r="D63" i="8"/>
  <c r="C63" i="8"/>
  <c r="H62" i="8"/>
  <c r="G62" i="8"/>
  <c r="F62" i="8"/>
  <c r="E62" i="8"/>
  <c r="D62" i="8"/>
  <c r="C62" i="8"/>
  <c r="H61" i="8"/>
  <c r="G61" i="8"/>
  <c r="F61" i="8"/>
  <c r="E61" i="8"/>
  <c r="D61" i="8"/>
  <c r="C61" i="8"/>
  <c r="H60" i="8"/>
  <c r="G60" i="8"/>
  <c r="F60" i="8"/>
  <c r="E60" i="8"/>
  <c r="D60" i="8"/>
  <c r="C60" i="8"/>
  <c r="H59" i="8"/>
  <c r="G59" i="8"/>
  <c r="F59" i="8"/>
  <c r="E59" i="8"/>
  <c r="D59" i="8"/>
  <c r="C59" i="8"/>
  <c r="H58" i="8"/>
  <c r="G58" i="8"/>
  <c r="F58" i="8"/>
  <c r="E58" i="8"/>
  <c r="D58" i="8"/>
  <c r="C58" i="8"/>
  <c r="H57" i="8"/>
  <c r="G57" i="8"/>
  <c r="F57" i="8"/>
  <c r="E57" i="8"/>
  <c r="D57" i="8"/>
  <c r="C57" i="8"/>
  <c r="H56" i="8"/>
  <c r="G56" i="8"/>
  <c r="F56" i="8"/>
  <c r="E56" i="8"/>
  <c r="D56" i="8"/>
  <c r="C56" i="8"/>
  <c r="H55" i="8"/>
  <c r="G55" i="8"/>
  <c r="F55" i="8"/>
  <c r="E55" i="8"/>
  <c r="D55" i="8"/>
  <c r="C55" i="8"/>
  <c r="H54" i="8"/>
  <c r="G54" i="8"/>
  <c r="F54" i="8"/>
  <c r="E54" i="8"/>
  <c r="D54" i="8"/>
  <c r="C54" i="8"/>
  <c r="H53" i="8"/>
  <c r="G53" i="8"/>
  <c r="F53" i="8"/>
  <c r="E53" i="8"/>
  <c r="D53" i="8"/>
  <c r="C53" i="8"/>
  <c r="H52" i="8"/>
  <c r="G52" i="8"/>
  <c r="F52" i="8"/>
  <c r="E52" i="8"/>
  <c r="D52" i="8"/>
  <c r="C52" i="8"/>
  <c r="H51" i="8"/>
  <c r="G51" i="8"/>
  <c r="F51" i="8"/>
  <c r="E51" i="8"/>
  <c r="D51" i="8"/>
  <c r="C51" i="8"/>
  <c r="H50" i="8"/>
  <c r="G50" i="8"/>
  <c r="F50" i="8"/>
  <c r="E50" i="8"/>
  <c r="D50" i="8"/>
  <c r="C50" i="8"/>
  <c r="H49" i="8"/>
  <c r="G49" i="8"/>
  <c r="F49" i="8"/>
  <c r="E49" i="8"/>
  <c r="D49" i="8"/>
  <c r="C49" i="8"/>
  <c r="H48" i="8"/>
  <c r="G48" i="8"/>
  <c r="F48" i="8"/>
  <c r="E48" i="8"/>
  <c r="D48" i="8"/>
  <c r="C48" i="8"/>
  <c r="H47" i="8"/>
  <c r="G47" i="8"/>
  <c r="F47" i="8"/>
  <c r="E47" i="8"/>
  <c r="D47" i="8"/>
  <c r="C47" i="8"/>
  <c r="H46" i="8"/>
  <c r="G46" i="8"/>
  <c r="F46" i="8"/>
  <c r="E46" i="8"/>
  <c r="D46" i="8"/>
  <c r="C46" i="8"/>
  <c r="H45" i="8"/>
  <c r="G45" i="8"/>
  <c r="F45" i="8"/>
  <c r="E45" i="8"/>
  <c r="D45" i="8"/>
  <c r="C45" i="8"/>
  <c r="H44" i="8"/>
  <c r="G44" i="8"/>
  <c r="F44" i="8"/>
  <c r="E44" i="8"/>
  <c r="D44" i="8"/>
  <c r="C44" i="8"/>
  <c r="H43" i="8"/>
  <c r="G43" i="8"/>
  <c r="F43" i="8"/>
  <c r="E43" i="8"/>
  <c r="D43" i="8"/>
  <c r="C43" i="8"/>
  <c r="H42" i="8"/>
  <c r="G42" i="8"/>
  <c r="F42" i="8"/>
  <c r="E42" i="8"/>
  <c r="D42" i="8"/>
  <c r="C42" i="8"/>
  <c r="H41" i="8"/>
  <c r="G41" i="8"/>
  <c r="F41" i="8"/>
  <c r="E41" i="8"/>
  <c r="D41" i="8"/>
  <c r="C41" i="8"/>
  <c r="H40" i="8"/>
  <c r="G40" i="8"/>
  <c r="F40" i="8"/>
  <c r="E40" i="8"/>
  <c r="D40" i="8"/>
  <c r="C40" i="8"/>
  <c r="H39" i="8"/>
  <c r="G39" i="8"/>
  <c r="F39" i="8"/>
  <c r="E39" i="8"/>
  <c r="D39" i="8"/>
  <c r="C39" i="8"/>
  <c r="H38" i="8"/>
  <c r="G38" i="8"/>
  <c r="F38" i="8"/>
  <c r="E38" i="8"/>
  <c r="D38" i="8"/>
  <c r="C38" i="8"/>
  <c r="H37" i="8"/>
  <c r="G37" i="8"/>
  <c r="F37" i="8"/>
  <c r="E37" i="8"/>
  <c r="D37" i="8"/>
  <c r="C37" i="8"/>
  <c r="H36" i="8"/>
  <c r="G36" i="8"/>
  <c r="F36" i="8"/>
  <c r="E36" i="8"/>
  <c r="D36" i="8"/>
  <c r="C36" i="8"/>
  <c r="H35" i="8"/>
  <c r="G35" i="8"/>
  <c r="F35" i="8"/>
  <c r="E35" i="8"/>
  <c r="D35" i="8"/>
  <c r="C35" i="8"/>
  <c r="H34" i="8"/>
  <c r="G34" i="8"/>
  <c r="F34" i="8"/>
  <c r="E34" i="8"/>
  <c r="D34" i="8"/>
  <c r="C34" i="8"/>
  <c r="H33" i="8"/>
  <c r="G33" i="8"/>
  <c r="F33" i="8"/>
  <c r="E33" i="8"/>
  <c r="D33" i="8"/>
  <c r="C33" i="8"/>
  <c r="H32" i="8"/>
  <c r="G32" i="8"/>
  <c r="F32" i="8"/>
  <c r="E32" i="8"/>
  <c r="D32" i="8"/>
  <c r="C32" i="8"/>
  <c r="H31" i="8"/>
  <c r="G31" i="8"/>
  <c r="F31" i="8"/>
  <c r="E31" i="8"/>
  <c r="D31" i="8"/>
  <c r="C31" i="8"/>
  <c r="H30" i="8"/>
  <c r="G30" i="8"/>
  <c r="F30" i="8"/>
  <c r="E30" i="8"/>
  <c r="D30" i="8"/>
  <c r="C30" i="8"/>
  <c r="H29" i="8"/>
  <c r="G29" i="8"/>
  <c r="F29" i="8"/>
  <c r="E29" i="8"/>
  <c r="D29" i="8"/>
  <c r="C29" i="8"/>
  <c r="H28" i="8"/>
  <c r="G28" i="8"/>
  <c r="F28" i="8"/>
  <c r="E28" i="8"/>
  <c r="D28" i="8"/>
  <c r="C28" i="8"/>
  <c r="H27" i="8"/>
  <c r="G27" i="8"/>
  <c r="F27" i="8"/>
  <c r="E27" i="8"/>
  <c r="D27" i="8"/>
  <c r="C27" i="8"/>
  <c r="H26" i="8"/>
  <c r="G26" i="8"/>
  <c r="F26" i="8"/>
  <c r="E26" i="8"/>
  <c r="D26" i="8"/>
  <c r="C26" i="8"/>
  <c r="H25" i="8"/>
  <c r="G25" i="8"/>
  <c r="F25" i="8"/>
  <c r="E25" i="8"/>
  <c r="D25" i="8"/>
  <c r="C25" i="8"/>
  <c r="H24" i="8"/>
  <c r="G24" i="8"/>
  <c r="F24" i="8"/>
  <c r="E24" i="8"/>
  <c r="D24" i="8"/>
  <c r="C24" i="8"/>
  <c r="H23" i="8"/>
  <c r="G23" i="8"/>
  <c r="F23" i="8"/>
  <c r="E23" i="8"/>
  <c r="D23" i="8"/>
  <c r="C23" i="8"/>
  <c r="H22" i="8"/>
  <c r="G22" i="8"/>
  <c r="F22" i="8"/>
  <c r="E22" i="8"/>
  <c r="D22" i="8"/>
  <c r="C22" i="8"/>
  <c r="H21" i="8"/>
  <c r="G21" i="8"/>
  <c r="F21" i="8"/>
  <c r="E21" i="8"/>
  <c r="D21" i="8"/>
  <c r="C21" i="8"/>
  <c r="H20" i="8"/>
  <c r="G20" i="8"/>
  <c r="F20" i="8"/>
  <c r="E20" i="8"/>
  <c r="D20" i="8"/>
  <c r="C20" i="8"/>
  <c r="H19" i="8"/>
  <c r="G19" i="8"/>
  <c r="F19" i="8"/>
  <c r="E19" i="8"/>
  <c r="D19" i="8"/>
  <c r="C19" i="8"/>
  <c r="H18" i="8"/>
  <c r="G18" i="8"/>
  <c r="F18" i="8"/>
  <c r="E18" i="8"/>
  <c r="D18" i="8"/>
  <c r="C18" i="8"/>
  <c r="H17" i="8"/>
  <c r="G17" i="8"/>
  <c r="F17" i="8"/>
  <c r="E17" i="8"/>
  <c r="D17" i="8"/>
  <c r="C17" i="8"/>
  <c r="H16" i="8"/>
  <c r="G16" i="8"/>
  <c r="F16" i="8"/>
  <c r="E16" i="8"/>
  <c r="D16" i="8"/>
  <c r="C16" i="8"/>
  <c r="H15" i="8"/>
  <c r="G15" i="8"/>
  <c r="F15" i="8"/>
  <c r="E15" i="8"/>
  <c r="D15" i="8"/>
  <c r="C15" i="8"/>
  <c r="H14" i="8"/>
  <c r="G14" i="8"/>
  <c r="F14" i="8"/>
  <c r="E14" i="8"/>
  <c r="D14" i="8"/>
  <c r="C14" i="8"/>
  <c r="H13" i="8"/>
  <c r="G13" i="8"/>
  <c r="F13" i="8"/>
  <c r="E13" i="8"/>
  <c r="D13" i="8"/>
  <c r="C13" i="8"/>
  <c r="H12" i="8"/>
  <c r="G12" i="8"/>
  <c r="F12" i="8"/>
  <c r="E12" i="8"/>
  <c r="D12" i="8"/>
  <c r="C12" i="8"/>
  <c r="H11" i="8"/>
  <c r="G11" i="8"/>
  <c r="F11" i="8"/>
  <c r="E11" i="8"/>
  <c r="D11" i="8"/>
  <c r="C11" i="8"/>
  <c r="H10" i="8"/>
  <c r="G10" i="8"/>
  <c r="F10" i="8"/>
  <c r="E10" i="8"/>
  <c r="D10" i="8"/>
  <c r="C10" i="8"/>
  <c r="H9" i="8"/>
  <c r="G9" i="8"/>
  <c r="F9" i="8"/>
  <c r="E9" i="8"/>
  <c r="D9" i="8"/>
  <c r="C9" i="8"/>
  <c r="H8" i="8"/>
  <c r="G8" i="8"/>
  <c r="F8" i="8"/>
  <c r="E8" i="8"/>
  <c r="D8" i="8"/>
  <c r="C8" i="8"/>
  <c r="H7" i="8"/>
  <c r="G7" i="8"/>
  <c r="F7" i="8"/>
  <c r="E7" i="8"/>
  <c r="D7" i="8"/>
  <c r="C7" i="8"/>
  <c r="H6" i="8"/>
  <c r="G6" i="8"/>
  <c r="F6" i="8"/>
  <c r="E6" i="8"/>
  <c r="D6" i="8"/>
  <c r="C6" i="8"/>
  <c r="H5" i="8"/>
  <c r="G5" i="8"/>
  <c r="F5" i="8"/>
  <c r="E5" i="8"/>
  <c r="D5" i="8"/>
  <c r="C5" i="8"/>
  <c r="B71" i="8"/>
  <c r="B70" i="8"/>
  <c r="B55" i="8"/>
  <c r="B54" i="8"/>
  <c r="B39" i="8"/>
  <c r="B38" i="8"/>
  <c r="B23" i="8"/>
  <c r="B22" i="8"/>
  <c r="B7" i="8"/>
  <c r="B6" i="8"/>
  <c r="B4" i="8" a="1"/>
  <c r="B82" i="8" s="1"/>
  <c r="G132" i="7"/>
  <c r="F132" i="7"/>
  <c r="E132" i="7"/>
  <c r="D132" i="7"/>
  <c r="C132" i="7"/>
  <c r="H131" i="7"/>
  <c r="G131" i="7"/>
  <c r="F131" i="7"/>
  <c r="E131" i="7"/>
  <c r="D131" i="7"/>
  <c r="C131" i="7"/>
  <c r="H130" i="7"/>
  <c r="G130" i="7"/>
  <c r="F130" i="7"/>
  <c r="E130" i="7"/>
  <c r="D130" i="7"/>
  <c r="C130" i="7"/>
  <c r="H129" i="7"/>
  <c r="G129" i="7"/>
  <c r="F129" i="7"/>
  <c r="E129" i="7"/>
  <c r="D129" i="7"/>
  <c r="C129" i="7"/>
  <c r="H128" i="7"/>
  <c r="G128" i="7"/>
  <c r="F128" i="7"/>
  <c r="E128" i="7"/>
  <c r="D128" i="7"/>
  <c r="C128" i="7"/>
  <c r="H127" i="7"/>
  <c r="G127" i="7"/>
  <c r="F127" i="7"/>
  <c r="E127" i="7"/>
  <c r="D127" i="7"/>
  <c r="C127" i="7"/>
  <c r="H126" i="7"/>
  <c r="G126" i="7"/>
  <c r="F126" i="7"/>
  <c r="E126" i="7"/>
  <c r="D126" i="7"/>
  <c r="C126" i="7"/>
  <c r="H125" i="7"/>
  <c r="G125" i="7"/>
  <c r="F125" i="7"/>
  <c r="E125" i="7"/>
  <c r="D125" i="7"/>
  <c r="C125" i="7"/>
  <c r="H124" i="7"/>
  <c r="G124" i="7"/>
  <c r="F124" i="7"/>
  <c r="E124" i="7"/>
  <c r="D124" i="7"/>
  <c r="C124" i="7"/>
  <c r="H123" i="7"/>
  <c r="G123" i="7"/>
  <c r="F123" i="7"/>
  <c r="E123" i="7"/>
  <c r="D123" i="7"/>
  <c r="C123" i="7"/>
  <c r="H122" i="7"/>
  <c r="G122" i="7"/>
  <c r="F122" i="7"/>
  <c r="E122" i="7"/>
  <c r="D122" i="7"/>
  <c r="C122" i="7"/>
  <c r="H121" i="7"/>
  <c r="G121" i="7"/>
  <c r="F121" i="7"/>
  <c r="E121" i="7"/>
  <c r="D121" i="7"/>
  <c r="C121" i="7"/>
  <c r="H120" i="7"/>
  <c r="G120" i="7"/>
  <c r="F120" i="7"/>
  <c r="E120" i="7"/>
  <c r="D120" i="7"/>
  <c r="C120" i="7"/>
  <c r="H119" i="7"/>
  <c r="G119" i="7"/>
  <c r="F119" i="7"/>
  <c r="E119" i="7"/>
  <c r="D119" i="7"/>
  <c r="C119" i="7"/>
  <c r="H118" i="7"/>
  <c r="G118" i="7"/>
  <c r="F118" i="7"/>
  <c r="E118" i="7"/>
  <c r="D118" i="7"/>
  <c r="C118" i="7"/>
  <c r="H117" i="7"/>
  <c r="G117" i="7"/>
  <c r="F117" i="7"/>
  <c r="E117" i="7"/>
  <c r="D117" i="7"/>
  <c r="C117" i="7"/>
  <c r="H116" i="7"/>
  <c r="G116" i="7"/>
  <c r="F116" i="7"/>
  <c r="E116" i="7"/>
  <c r="D116" i="7"/>
  <c r="C116" i="7"/>
  <c r="H115" i="7"/>
  <c r="G115" i="7"/>
  <c r="F115" i="7"/>
  <c r="E115" i="7"/>
  <c r="D115" i="7"/>
  <c r="C115" i="7"/>
  <c r="H114" i="7"/>
  <c r="G114" i="7"/>
  <c r="F114" i="7"/>
  <c r="E114" i="7"/>
  <c r="D114" i="7"/>
  <c r="C114" i="7"/>
  <c r="H113" i="7"/>
  <c r="G113" i="7"/>
  <c r="F113" i="7"/>
  <c r="E113" i="7"/>
  <c r="D113" i="7"/>
  <c r="C113" i="7"/>
  <c r="H112" i="7"/>
  <c r="G112" i="7"/>
  <c r="F112" i="7"/>
  <c r="E112" i="7"/>
  <c r="D112" i="7"/>
  <c r="C112" i="7"/>
  <c r="H111" i="7"/>
  <c r="G111" i="7"/>
  <c r="F111" i="7"/>
  <c r="E111" i="7"/>
  <c r="D111" i="7"/>
  <c r="C111" i="7"/>
  <c r="H110" i="7"/>
  <c r="G110" i="7"/>
  <c r="F110" i="7"/>
  <c r="E110" i="7"/>
  <c r="D110" i="7"/>
  <c r="C110" i="7"/>
  <c r="H109" i="7"/>
  <c r="G109" i="7"/>
  <c r="F109" i="7"/>
  <c r="E109" i="7"/>
  <c r="D109" i="7"/>
  <c r="C109" i="7"/>
  <c r="H108" i="7"/>
  <c r="G108" i="7"/>
  <c r="F108" i="7"/>
  <c r="E108" i="7"/>
  <c r="D108" i="7"/>
  <c r="C108" i="7"/>
  <c r="H107" i="7"/>
  <c r="G107" i="7"/>
  <c r="F107" i="7"/>
  <c r="E107" i="7"/>
  <c r="D107" i="7"/>
  <c r="C107" i="7"/>
  <c r="H106" i="7"/>
  <c r="G106" i="7"/>
  <c r="F106" i="7"/>
  <c r="E106" i="7"/>
  <c r="D106" i="7"/>
  <c r="C106" i="7"/>
  <c r="H105" i="7"/>
  <c r="G105" i="7"/>
  <c r="F105" i="7"/>
  <c r="E105" i="7"/>
  <c r="D105" i="7"/>
  <c r="C105" i="7"/>
  <c r="H104" i="7"/>
  <c r="G104" i="7"/>
  <c r="F104" i="7"/>
  <c r="E104" i="7"/>
  <c r="D104" i="7"/>
  <c r="C104" i="7"/>
  <c r="H103" i="7"/>
  <c r="G103" i="7"/>
  <c r="F103" i="7"/>
  <c r="E103" i="7"/>
  <c r="D103" i="7"/>
  <c r="C103" i="7"/>
  <c r="H102" i="7"/>
  <c r="G102" i="7"/>
  <c r="F102" i="7"/>
  <c r="E102" i="7"/>
  <c r="D102" i="7"/>
  <c r="C102" i="7"/>
  <c r="H101" i="7"/>
  <c r="G101" i="7"/>
  <c r="F101" i="7"/>
  <c r="E101" i="7"/>
  <c r="D101" i="7"/>
  <c r="C101" i="7"/>
  <c r="H100" i="7"/>
  <c r="G100" i="7"/>
  <c r="F100" i="7"/>
  <c r="E100" i="7"/>
  <c r="D100" i="7"/>
  <c r="C100" i="7"/>
  <c r="H99" i="7"/>
  <c r="G99" i="7"/>
  <c r="F99" i="7"/>
  <c r="E99" i="7"/>
  <c r="D99" i="7"/>
  <c r="C99" i="7"/>
  <c r="H98" i="7"/>
  <c r="G98" i="7"/>
  <c r="F98" i="7"/>
  <c r="E98" i="7"/>
  <c r="D98" i="7"/>
  <c r="C98" i="7"/>
  <c r="H97" i="7"/>
  <c r="G97" i="7"/>
  <c r="F97" i="7"/>
  <c r="E97" i="7"/>
  <c r="D97" i="7"/>
  <c r="C97" i="7"/>
  <c r="H96" i="7"/>
  <c r="G96" i="7"/>
  <c r="F96" i="7"/>
  <c r="E96" i="7"/>
  <c r="D96" i="7"/>
  <c r="C96" i="7"/>
  <c r="H95" i="7"/>
  <c r="G95" i="7"/>
  <c r="F95" i="7"/>
  <c r="E95" i="7"/>
  <c r="D95" i="7"/>
  <c r="C95" i="7"/>
  <c r="H94" i="7"/>
  <c r="G94" i="7"/>
  <c r="F94" i="7"/>
  <c r="E94" i="7"/>
  <c r="D94" i="7"/>
  <c r="C94" i="7"/>
  <c r="H93" i="7"/>
  <c r="G93" i="7"/>
  <c r="F93" i="7"/>
  <c r="E93" i="7"/>
  <c r="D93" i="7"/>
  <c r="C93" i="7"/>
  <c r="H92" i="7"/>
  <c r="G92" i="7"/>
  <c r="F92" i="7"/>
  <c r="E92" i="7"/>
  <c r="D92" i="7"/>
  <c r="C92" i="7"/>
  <c r="H91" i="7"/>
  <c r="G91" i="7"/>
  <c r="F91" i="7"/>
  <c r="E91" i="7"/>
  <c r="D91" i="7"/>
  <c r="C91" i="7"/>
  <c r="H90" i="7"/>
  <c r="G90" i="7"/>
  <c r="F90" i="7"/>
  <c r="E90" i="7"/>
  <c r="D90" i="7"/>
  <c r="C90" i="7"/>
  <c r="H89" i="7"/>
  <c r="G89" i="7"/>
  <c r="F89" i="7"/>
  <c r="E89" i="7"/>
  <c r="D89" i="7"/>
  <c r="C89" i="7"/>
  <c r="H88" i="7"/>
  <c r="G88" i="7"/>
  <c r="F88" i="7"/>
  <c r="E88" i="7"/>
  <c r="D88" i="7"/>
  <c r="C88" i="7"/>
  <c r="H87" i="7"/>
  <c r="G87" i="7"/>
  <c r="F87" i="7"/>
  <c r="E87" i="7"/>
  <c r="D87" i="7"/>
  <c r="C87" i="7"/>
  <c r="H86" i="7"/>
  <c r="G86" i="7"/>
  <c r="F86" i="7"/>
  <c r="E86" i="7"/>
  <c r="D86" i="7"/>
  <c r="C86" i="7"/>
  <c r="H85" i="7"/>
  <c r="G85" i="7"/>
  <c r="F85" i="7"/>
  <c r="E85" i="7"/>
  <c r="D85" i="7"/>
  <c r="C85" i="7"/>
  <c r="H84" i="7"/>
  <c r="G84" i="7"/>
  <c r="F84" i="7"/>
  <c r="E84" i="7"/>
  <c r="D84" i="7"/>
  <c r="C84" i="7"/>
  <c r="H83" i="7"/>
  <c r="G83" i="7"/>
  <c r="F83" i="7"/>
  <c r="E83" i="7"/>
  <c r="D83" i="7"/>
  <c r="C83" i="7"/>
  <c r="H82" i="7"/>
  <c r="G82" i="7"/>
  <c r="F82" i="7"/>
  <c r="E82" i="7"/>
  <c r="D82" i="7"/>
  <c r="C82" i="7"/>
  <c r="H81" i="7"/>
  <c r="G81" i="7"/>
  <c r="F81" i="7"/>
  <c r="E81" i="7"/>
  <c r="D81" i="7"/>
  <c r="C81" i="7"/>
  <c r="H80" i="7"/>
  <c r="G80" i="7"/>
  <c r="F80" i="7"/>
  <c r="E80" i="7"/>
  <c r="D80" i="7"/>
  <c r="C80" i="7"/>
  <c r="H79" i="7"/>
  <c r="G79" i="7"/>
  <c r="F79" i="7"/>
  <c r="E79" i="7"/>
  <c r="D79" i="7"/>
  <c r="C79" i="7"/>
  <c r="H78" i="7"/>
  <c r="G78" i="7"/>
  <c r="F78" i="7"/>
  <c r="E78" i="7"/>
  <c r="D78" i="7"/>
  <c r="C78" i="7"/>
  <c r="H77" i="7"/>
  <c r="G77" i="7"/>
  <c r="F77" i="7"/>
  <c r="E77" i="7"/>
  <c r="D77" i="7"/>
  <c r="C77" i="7"/>
  <c r="H76" i="7"/>
  <c r="G76" i="7"/>
  <c r="F76" i="7"/>
  <c r="E76" i="7"/>
  <c r="D76" i="7"/>
  <c r="C76" i="7"/>
  <c r="H75" i="7"/>
  <c r="G75" i="7"/>
  <c r="F75" i="7"/>
  <c r="E75" i="7"/>
  <c r="D75" i="7"/>
  <c r="C75" i="7"/>
  <c r="H74" i="7"/>
  <c r="G74" i="7"/>
  <c r="F74" i="7"/>
  <c r="E74" i="7"/>
  <c r="D74" i="7"/>
  <c r="C74" i="7"/>
  <c r="H73" i="7"/>
  <c r="G73" i="7"/>
  <c r="F73" i="7"/>
  <c r="E73" i="7"/>
  <c r="D73" i="7"/>
  <c r="C73" i="7"/>
  <c r="H72" i="7"/>
  <c r="G72" i="7"/>
  <c r="F72" i="7"/>
  <c r="E72" i="7"/>
  <c r="D72" i="7"/>
  <c r="C72" i="7"/>
  <c r="H71" i="7"/>
  <c r="G71" i="7"/>
  <c r="F71" i="7"/>
  <c r="E71" i="7"/>
  <c r="D71" i="7"/>
  <c r="C71" i="7"/>
  <c r="H70" i="7"/>
  <c r="G70" i="7"/>
  <c r="F70" i="7"/>
  <c r="E70" i="7"/>
  <c r="D70" i="7"/>
  <c r="C70" i="7"/>
  <c r="H69" i="7"/>
  <c r="G69" i="7"/>
  <c r="F69" i="7"/>
  <c r="E69" i="7"/>
  <c r="D69" i="7"/>
  <c r="C69" i="7"/>
  <c r="H68" i="7"/>
  <c r="G68" i="7"/>
  <c r="F68" i="7"/>
  <c r="E68" i="7"/>
  <c r="D68" i="7"/>
  <c r="C68" i="7"/>
  <c r="H67" i="7"/>
  <c r="G67" i="7"/>
  <c r="F67" i="7"/>
  <c r="E67" i="7"/>
  <c r="D67" i="7"/>
  <c r="C67" i="7"/>
  <c r="H66" i="7"/>
  <c r="G66" i="7"/>
  <c r="F66" i="7"/>
  <c r="E66" i="7"/>
  <c r="D66" i="7"/>
  <c r="C66" i="7"/>
  <c r="H65" i="7"/>
  <c r="G65" i="7"/>
  <c r="F65" i="7"/>
  <c r="E65" i="7"/>
  <c r="D65" i="7"/>
  <c r="C65" i="7"/>
  <c r="H64" i="7"/>
  <c r="G64" i="7"/>
  <c r="F64" i="7"/>
  <c r="E64" i="7"/>
  <c r="D64" i="7"/>
  <c r="C64" i="7"/>
  <c r="H63" i="7"/>
  <c r="G63" i="7"/>
  <c r="F63" i="7"/>
  <c r="E63" i="7"/>
  <c r="D63" i="7"/>
  <c r="C63" i="7"/>
  <c r="H62" i="7"/>
  <c r="G62" i="7"/>
  <c r="F62" i="7"/>
  <c r="E62" i="7"/>
  <c r="D62" i="7"/>
  <c r="C62" i="7"/>
  <c r="H61" i="7"/>
  <c r="G61" i="7"/>
  <c r="F61" i="7"/>
  <c r="E61" i="7"/>
  <c r="D61" i="7"/>
  <c r="C61" i="7"/>
  <c r="H60" i="7"/>
  <c r="G60" i="7"/>
  <c r="F60" i="7"/>
  <c r="E60" i="7"/>
  <c r="D60" i="7"/>
  <c r="C60" i="7"/>
  <c r="H59" i="7"/>
  <c r="G59" i="7"/>
  <c r="F59" i="7"/>
  <c r="E59" i="7"/>
  <c r="D59" i="7"/>
  <c r="C59" i="7"/>
  <c r="H58" i="7"/>
  <c r="G58" i="7"/>
  <c r="F58" i="7"/>
  <c r="E58" i="7"/>
  <c r="D58" i="7"/>
  <c r="C58" i="7"/>
  <c r="H57" i="7"/>
  <c r="G57" i="7"/>
  <c r="F57" i="7"/>
  <c r="E57" i="7"/>
  <c r="D57" i="7"/>
  <c r="C57" i="7"/>
  <c r="H56" i="7"/>
  <c r="G56" i="7"/>
  <c r="F56" i="7"/>
  <c r="E56" i="7"/>
  <c r="D56" i="7"/>
  <c r="C56" i="7"/>
  <c r="H55" i="7"/>
  <c r="G55" i="7"/>
  <c r="F55" i="7"/>
  <c r="E55" i="7"/>
  <c r="D55" i="7"/>
  <c r="C55" i="7"/>
  <c r="H54" i="7"/>
  <c r="G54" i="7"/>
  <c r="F54" i="7"/>
  <c r="E54" i="7"/>
  <c r="D54" i="7"/>
  <c r="C54" i="7"/>
  <c r="H53" i="7"/>
  <c r="G53" i="7"/>
  <c r="F53" i="7"/>
  <c r="E53" i="7"/>
  <c r="D53" i="7"/>
  <c r="C53" i="7"/>
  <c r="H52" i="7"/>
  <c r="G52" i="7"/>
  <c r="F52" i="7"/>
  <c r="E52" i="7"/>
  <c r="D52" i="7"/>
  <c r="C52" i="7"/>
  <c r="H51" i="7"/>
  <c r="G51" i="7"/>
  <c r="F51" i="7"/>
  <c r="E51" i="7"/>
  <c r="D51" i="7"/>
  <c r="C51" i="7"/>
  <c r="H50" i="7"/>
  <c r="G50" i="7"/>
  <c r="F50" i="7"/>
  <c r="E50" i="7"/>
  <c r="D50" i="7"/>
  <c r="C50" i="7"/>
  <c r="H49" i="7"/>
  <c r="G49" i="7"/>
  <c r="F49" i="7"/>
  <c r="E49" i="7"/>
  <c r="D49" i="7"/>
  <c r="C49" i="7"/>
  <c r="H48" i="7"/>
  <c r="G48" i="7"/>
  <c r="F48" i="7"/>
  <c r="E48" i="7"/>
  <c r="D48" i="7"/>
  <c r="C48" i="7"/>
  <c r="H47" i="7"/>
  <c r="G47" i="7"/>
  <c r="F47" i="7"/>
  <c r="E47" i="7"/>
  <c r="D47" i="7"/>
  <c r="C47" i="7"/>
  <c r="H46" i="7"/>
  <c r="G46" i="7"/>
  <c r="F46" i="7"/>
  <c r="E46" i="7"/>
  <c r="D46" i="7"/>
  <c r="C46" i="7"/>
  <c r="H45" i="7"/>
  <c r="G45" i="7"/>
  <c r="F45" i="7"/>
  <c r="E45" i="7"/>
  <c r="D45" i="7"/>
  <c r="C45" i="7"/>
  <c r="H44" i="7"/>
  <c r="G44" i="7"/>
  <c r="F44" i="7"/>
  <c r="E44" i="7"/>
  <c r="D44" i="7"/>
  <c r="C44" i="7"/>
  <c r="H43" i="7"/>
  <c r="G43" i="7"/>
  <c r="F43" i="7"/>
  <c r="E43" i="7"/>
  <c r="D43" i="7"/>
  <c r="C43" i="7"/>
  <c r="H42" i="7"/>
  <c r="G42" i="7"/>
  <c r="F42" i="7"/>
  <c r="E42" i="7"/>
  <c r="D42" i="7"/>
  <c r="C42" i="7"/>
  <c r="H41" i="7"/>
  <c r="G41" i="7"/>
  <c r="F41" i="7"/>
  <c r="E41" i="7"/>
  <c r="D41" i="7"/>
  <c r="C41" i="7"/>
  <c r="H40" i="7"/>
  <c r="G40" i="7"/>
  <c r="F40" i="7"/>
  <c r="E40" i="7"/>
  <c r="D40" i="7"/>
  <c r="C40" i="7"/>
  <c r="H39" i="7"/>
  <c r="G39" i="7"/>
  <c r="F39" i="7"/>
  <c r="E39" i="7"/>
  <c r="D39" i="7"/>
  <c r="C39" i="7"/>
  <c r="H38" i="7"/>
  <c r="G38" i="7"/>
  <c r="F38" i="7"/>
  <c r="E38" i="7"/>
  <c r="D38" i="7"/>
  <c r="C38" i="7"/>
  <c r="H37" i="7"/>
  <c r="G37" i="7"/>
  <c r="F37" i="7"/>
  <c r="E37" i="7"/>
  <c r="D37" i="7"/>
  <c r="C37" i="7"/>
  <c r="H36" i="7"/>
  <c r="G36" i="7"/>
  <c r="F36" i="7"/>
  <c r="E36" i="7"/>
  <c r="D36" i="7"/>
  <c r="C36" i="7"/>
  <c r="H35" i="7"/>
  <c r="G35" i="7"/>
  <c r="F35" i="7"/>
  <c r="E35" i="7"/>
  <c r="D35" i="7"/>
  <c r="C35" i="7"/>
  <c r="H34" i="7"/>
  <c r="G34" i="7"/>
  <c r="F34" i="7"/>
  <c r="E34" i="7"/>
  <c r="D34" i="7"/>
  <c r="C34" i="7"/>
  <c r="H33" i="7"/>
  <c r="G33" i="7"/>
  <c r="F33" i="7"/>
  <c r="E33" i="7"/>
  <c r="D33" i="7"/>
  <c r="C33" i="7"/>
  <c r="H32" i="7"/>
  <c r="G32" i="7"/>
  <c r="F32" i="7"/>
  <c r="E32" i="7"/>
  <c r="D32" i="7"/>
  <c r="C32" i="7"/>
  <c r="H31" i="7"/>
  <c r="G31" i="7"/>
  <c r="F31" i="7"/>
  <c r="E31" i="7"/>
  <c r="D31" i="7"/>
  <c r="C31" i="7"/>
  <c r="H30" i="7"/>
  <c r="G30" i="7"/>
  <c r="F30" i="7"/>
  <c r="E30" i="7"/>
  <c r="D30" i="7"/>
  <c r="C30" i="7"/>
  <c r="H29" i="7"/>
  <c r="G29" i="7"/>
  <c r="F29" i="7"/>
  <c r="E29" i="7"/>
  <c r="D29" i="7"/>
  <c r="C29" i="7"/>
  <c r="H28" i="7"/>
  <c r="G28" i="7"/>
  <c r="F28" i="7"/>
  <c r="E28" i="7"/>
  <c r="D28" i="7"/>
  <c r="C28" i="7"/>
  <c r="H27" i="7"/>
  <c r="G27" i="7"/>
  <c r="F27" i="7"/>
  <c r="E27" i="7"/>
  <c r="D27" i="7"/>
  <c r="C27" i="7"/>
  <c r="H26" i="7"/>
  <c r="G26" i="7"/>
  <c r="F26" i="7"/>
  <c r="E26" i="7"/>
  <c r="D26" i="7"/>
  <c r="C26" i="7"/>
  <c r="H25" i="7"/>
  <c r="G25" i="7"/>
  <c r="F25" i="7"/>
  <c r="E25" i="7"/>
  <c r="D25" i="7"/>
  <c r="C25" i="7"/>
  <c r="H24" i="7"/>
  <c r="G24" i="7"/>
  <c r="F24" i="7"/>
  <c r="E24" i="7"/>
  <c r="D24" i="7"/>
  <c r="C24" i="7"/>
  <c r="H23" i="7"/>
  <c r="G23" i="7"/>
  <c r="F23" i="7"/>
  <c r="E23" i="7"/>
  <c r="D23" i="7"/>
  <c r="C23" i="7"/>
  <c r="H22" i="7"/>
  <c r="G22" i="7"/>
  <c r="F22" i="7"/>
  <c r="E22" i="7"/>
  <c r="D22" i="7"/>
  <c r="C22" i="7"/>
  <c r="H21" i="7"/>
  <c r="G21" i="7"/>
  <c r="F21" i="7"/>
  <c r="E21" i="7"/>
  <c r="D21" i="7"/>
  <c r="C21" i="7"/>
  <c r="H20" i="7"/>
  <c r="G20" i="7"/>
  <c r="F20" i="7"/>
  <c r="E20" i="7"/>
  <c r="D20" i="7"/>
  <c r="C20" i="7"/>
  <c r="H19" i="7"/>
  <c r="G19" i="7"/>
  <c r="F19" i="7"/>
  <c r="E19" i="7"/>
  <c r="D19" i="7"/>
  <c r="C19" i="7"/>
  <c r="H18" i="7"/>
  <c r="G18" i="7"/>
  <c r="F18" i="7"/>
  <c r="E18" i="7"/>
  <c r="D18" i="7"/>
  <c r="C18" i="7"/>
  <c r="H17" i="7"/>
  <c r="G17" i="7"/>
  <c r="F17" i="7"/>
  <c r="E17" i="7"/>
  <c r="D17" i="7"/>
  <c r="C17" i="7"/>
  <c r="H16" i="7"/>
  <c r="G16" i="7"/>
  <c r="F16" i="7"/>
  <c r="E16" i="7"/>
  <c r="D16" i="7"/>
  <c r="C16" i="7"/>
  <c r="H15" i="7"/>
  <c r="G15" i="7"/>
  <c r="F15" i="7"/>
  <c r="E15" i="7"/>
  <c r="D15" i="7"/>
  <c r="C15" i="7"/>
  <c r="H14" i="7"/>
  <c r="G14" i="7"/>
  <c r="F14" i="7"/>
  <c r="E14" i="7"/>
  <c r="D14" i="7"/>
  <c r="C14" i="7"/>
  <c r="H13" i="7"/>
  <c r="G13" i="7"/>
  <c r="F13" i="7"/>
  <c r="E13" i="7"/>
  <c r="D13" i="7"/>
  <c r="C13" i="7"/>
  <c r="H12" i="7"/>
  <c r="G12" i="7"/>
  <c r="F12" i="7"/>
  <c r="E12" i="7"/>
  <c r="D12" i="7"/>
  <c r="C12" i="7"/>
  <c r="H11" i="7"/>
  <c r="G11" i="7"/>
  <c r="F11" i="7"/>
  <c r="E11" i="7"/>
  <c r="D11" i="7"/>
  <c r="C11" i="7"/>
  <c r="H10" i="7"/>
  <c r="G10" i="7"/>
  <c r="F10" i="7"/>
  <c r="E10" i="7"/>
  <c r="D10" i="7"/>
  <c r="C10" i="7"/>
  <c r="H9" i="7"/>
  <c r="G9" i="7"/>
  <c r="F9" i="7"/>
  <c r="E9" i="7"/>
  <c r="D9" i="7"/>
  <c r="C9" i="7"/>
  <c r="H8" i="7"/>
  <c r="G8" i="7"/>
  <c r="F8" i="7"/>
  <c r="E8" i="7"/>
  <c r="D8" i="7"/>
  <c r="C8" i="7"/>
  <c r="H7" i="7"/>
  <c r="G7" i="7"/>
  <c r="F7" i="7"/>
  <c r="E7" i="7"/>
  <c r="D7" i="7"/>
  <c r="C7" i="7"/>
  <c r="H6" i="7"/>
  <c r="G6" i="7"/>
  <c r="F6" i="7"/>
  <c r="E6" i="7"/>
  <c r="D6" i="7"/>
  <c r="C6" i="7"/>
  <c r="H5" i="7"/>
  <c r="G5" i="7"/>
  <c r="F5" i="7"/>
  <c r="E5" i="7"/>
  <c r="D5" i="7"/>
  <c r="C5" i="7"/>
  <c r="B119" i="7"/>
  <c r="B118" i="7"/>
  <c r="B103" i="7"/>
  <c r="B102" i="7"/>
  <c r="B87" i="7"/>
  <c r="B86" i="7"/>
  <c r="B71" i="7"/>
  <c r="B70" i="7"/>
  <c r="B55" i="7"/>
  <c r="B54" i="7"/>
  <c r="B39" i="7"/>
  <c r="B38" i="7"/>
  <c r="B23" i="7"/>
  <c r="B22" i="7"/>
  <c r="B7" i="7"/>
  <c r="B6" i="7"/>
  <c r="B4" i="7" a="1"/>
  <c r="B130" i="7" s="1"/>
  <c r="H216" i="6"/>
  <c r="G216" i="6"/>
  <c r="F216" i="6"/>
  <c r="E216" i="6"/>
  <c r="D216" i="6"/>
  <c r="C216" i="6"/>
  <c r="H215" i="6"/>
  <c r="G215" i="6"/>
  <c r="F215" i="6"/>
  <c r="E215" i="6"/>
  <c r="D215" i="6"/>
  <c r="C215" i="6"/>
  <c r="H214" i="6"/>
  <c r="G214" i="6"/>
  <c r="F214" i="6"/>
  <c r="E214" i="6"/>
  <c r="D214" i="6"/>
  <c r="C214" i="6"/>
  <c r="H213" i="6"/>
  <c r="G213" i="6"/>
  <c r="F213" i="6"/>
  <c r="E213" i="6"/>
  <c r="D213" i="6"/>
  <c r="C213" i="6"/>
  <c r="H212" i="6"/>
  <c r="G212" i="6"/>
  <c r="F212" i="6"/>
  <c r="E212" i="6"/>
  <c r="D212" i="6"/>
  <c r="C212" i="6"/>
  <c r="G211" i="6"/>
  <c r="F211" i="6"/>
  <c r="E211" i="6"/>
  <c r="D211" i="6"/>
  <c r="C211" i="6"/>
  <c r="H210" i="6"/>
  <c r="G210" i="6"/>
  <c r="F210" i="6"/>
  <c r="E210" i="6"/>
  <c r="D210" i="6"/>
  <c r="C210" i="6"/>
  <c r="H209" i="6"/>
  <c r="G209" i="6"/>
  <c r="F209" i="6"/>
  <c r="E209" i="6"/>
  <c r="D209" i="6"/>
  <c r="C209" i="6"/>
  <c r="H208" i="6"/>
  <c r="G208" i="6"/>
  <c r="F208" i="6"/>
  <c r="E208" i="6"/>
  <c r="D208" i="6"/>
  <c r="C208" i="6"/>
  <c r="H207" i="6"/>
  <c r="G207" i="6"/>
  <c r="F207" i="6"/>
  <c r="E207" i="6"/>
  <c r="D207" i="6"/>
  <c r="C207" i="6"/>
  <c r="H206" i="6"/>
  <c r="G206" i="6"/>
  <c r="F206" i="6"/>
  <c r="E206" i="6"/>
  <c r="D206" i="6"/>
  <c r="C206" i="6"/>
  <c r="H205" i="6"/>
  <c r="G205" i="6"/>
  <c r="F205" i="6"/>
  <c r="E205" i="6"/>
  <c r="D205" i="6"/>
  <c r="C205" i="6"/>
  <c r="H204" i="6"/>
  <c r="G204" i="6"/>
  <c r="F204" i="6"/>
  <c r="E204" i="6"/>
  <c r="D204" i="6"/>
  <c r="C204" i="6"/>
  <c r="H203" i="6"/>
  <c r="G203" i="6"/>
  <c r="F203" i="6"/>
  <c r="E203" i="6"/>
  <c r="D203" i="6"/>
  <c r="C203" i="6"/>
  <c r="H202" i="6"/>
  <c r="G202" i="6"/>
  <c r="F202" i="6"/>
  <c r="E202" i="6"/>
  <c r="D202" i="6"/>
  <c r="C202" i="6"/>
  <c r="H201" i="6"/>
  <c r="G201" i="6"/>
  <c r="F201" i="6"/>
  <c r="E201" i="6"/>
  <c r="D201" i="6"/>
  <c r="C201" i="6"/>
  <c r="H200" i="6"/>
  <c r="G200" i="6"/>
  <c r="F200" i="6"/>
  <c r="E200" i="6"/>
  <c r="D200" i="6"/>
  <c r="C200" i="6"/>
  <c r="H199" i="6"/>
  <c r="G199" i="6"/>
  <c r="F199" i="6"/>
  <c r="E199" i="6"/>
  <c r="D199" i="6"/>
  <c r="C199" i="6"/>
  <c r="H198" i="6"/>
  <c r="G198" i="6"/>
  <c r="F198" i="6"/>
  <c r="E198" i="6"/>
  <c r="D198" i="6"/>
  <c r="C198" i="6"/>
  <c r="H197" i="6"/>
  <c r="G197" i="6"/>
  <c r="F197" i="6"/>
  <c r="E197" i="6"/>
  <c r="D197" i="6"/>
  <c r="C197" i="6"/>
  <c r="H196" i="6"/>
  <c r="G196" i="6"/>
  <c r="F196" i="6"/>
  <c r="E196" i="6"/>
  <c r="D196" i="6"/>
  <c r="C196" i="6"/>
  <c r="H195" i="6"/>
  <c r="G195" i="6"/>
  <c r="F195" i="6"/>
  <c r="E195" i="6"/>
  <c r="D195" i="6"/>
  <c r="C195" i="6"/>
  <c r="H194" i="6"/>
  <c r="G194" i="6"/>
  <c r="F194" i="6"/>
  <c r="E194" i="6"/>
  <c r="D194" i="6"/>
  <c r="C194" i="6"/>
  <c r="H193" i="6"/>
  <c r="G193" i="6"/>
  <c r="F193" i="6"/>
  <c r="E193" i="6"/>
  <c r="D193" i="6"/>
  <c r="C193" i="6"/>
  <c r="H192" i="6"/>
  <c r="G192" i="6"/>
  <c r="F192" i="6"/>
  <c r="E192" i="6"/>
  <c r="D192" i="6"/>
  <c r="C192" i="6"/>
  <c r="H191" i="6"/>
  <c r="G191" i="6"/>
  <c r="F191" i="6"/>
  <c r="E191" i="6"/>
  <c r="D191" i="6"/>
  <c r="C191" i="6"/>
  <c r="H190" i="6"/>
  <c r="G190" i="6"/>
  <c r="F190" i="6"/>
  <c r="E190" i="6"/>
  <c r="D190" i="6"/>
  <c r="C190" i="6"/>
  <c r="H189" i="6"/>
  <c r="G189" i="6"/>
  <c r="F189" i="6"/>
  <c r="E189" i="6"/>
  <c r="D189" i="6"/>
  <c r="C189" i="6"/>
  <c r="H188" i="6"/>
  <c r="G188" i="6"/>
  <c r="F188" i="6"/>
  <c r="E188" i="6"/>
  <c r="D188" i="6"/>
  <c r="C188" i="6"/>
  <c r="H187" i="6"/>
  <c r="G187" i="6"/>
  <c r="F187" i="6"/>
  <c r="E187" i="6"/>
  <c r="D187" i="6"/>
  <c r="C187" i="6"/>
  <c r="H186" i="6"/>
  <c r="G186" i="6"/>
  <c r="F186" i="6"/>
  <c r="E186" i="6"/>
  <c r="D186" i="6"/>
  <c r="C186" i="6"/>
  <c r="H185" i="6"/>
  <c r="G185" i="6"/>
  <c r="F185" i="6"/>
  <c r="E185" i="6"/>
  <c r="D185" i="6"/>
  <c r="C185" i="6"/>
  <c r="H184" i="6"/>
  <c r="G184" i="6"/>
  <c r="F184" i="6"/>
  <c r="E184" i="6"/>
  <c r="D184" i="6"/>
  <c r="C184" i="6"/>
  <c r="H183" i="6"/>
  <c r="G183" i="6"/>
  <c r="F183" i="6"/>
  <c r="E183" i="6"/>
  <c r="D183" i="6"/>
  <c r="C183" i="6"/>
  <c r="H182" i="6"/>
  <c r="G182" i="6"/>
  <c r="F182" i="6"/>
  <c r="E182" i="6"/>
  <c r="D182" i="6"/>
  <c r="C182" i="6"/>
  <c r="H181" i="6"/>
  <c r="G181" i="6"/>
  <c r="F181" i="6"/>
  <c r="E181" i="6"/>
  <c r="D181" i="6"/>
  <c r="C181" i="6"/>
  <c r="H180" i="6"/>
  <c r="G180" i="6"/>
  <c r="F180" i="6"/>
  <c r="E180" i="6"/>
  <c r="D180" i="6"/>
  <c r="C180" i="6"/>
  <c r="H179" i="6"/>
  <c r="G179" i="6"/>
  <c r="F179" i="6"/>
  <c r="E179" i="6"/>
  <c r="D179" i="6"/>
  <c r="C179" i="6"/>
  <c r="H178" i="6"/>
  <c r="G178" i="6"/>
  <c r="F178" i="6"/>
  <c r="E178" i="6"/>
  <c r="D178" i="6"/>
  <c r="C178" i="6"/>
  <c r="H177" i="6"/>
  <c r="G177" i="6"/>
  <c r="F177" i="6"/>
  <c r="E177" i="6"/>
  <c r="D177" i="6"/>
  <c r="C177" i="6"/>
  <c r="H176" i="6"/>
  <c r="G176" i="6"/>
  <c r="F176" i="6"/>
  <c r="E176" i="6"/>
  <c r="D176" i="6"/>
  <c r="C176" i="6"/>
  <c r="H175" i="6"/>
  <c r="G175" i="6"/>
  <c r="F175" i="6"/>
  <c r="E175" i="6"/>
  <c r="D175" i="6"/>
  <c r="C175" i="6"/>
  <c r="H174" i="6"/>
  <c r="G174" i="6"/>
  <c r="F174" i="6"/>
  <c r="E174" i="6"/>
  <c r="D174" i="6"/>
  <c r="C174" i="6"/>
  <c r="H173" i="6"/>
  <c r="G173" i="6"/>
  <c r="F173" i="6"/>
  <c r="E173" i="6"/>
  <c r="D173" i="6"/>
  <c r="C173" i="6"/>
  <c r="H172" i="6"/>
  <c r="G172" i="6"/>
  <c r="F172" i="6"/>
  <c r="E172" i="6"/>
  <c r="D172" i="6"/>
  <c r="C172" i="6"/>
  <c r="H171" i="6"/>
  <c r="G171" i="6"/>
  <c r="F171" i="6"/>
  <c r="E171" i="6"/>
  <c r="D171" i="6"/>
  <c r="C171" i="6"/>
  <c r="H170" i="6"/>
  <c r="G170" i="6"/>
  <c r="F170" i="6"/>
  <c r="E170" i="6"/>
  <c r="D170" i="6"/>
  <c r="C170" i="6"/>
  <c r="H169" i="6"/>
  <c r="G169" i="6"/>
  <c r="F169" i="6"/>
  <c r="E169" i="6"/>
  <c r="D169" i="6"/>
  <c r="C169" i="6"/>
  <c r="H168" i="6"/>
  <c r="G168" i="6"/>
  <c r="F168" i="6"/>
  <c r="E168" i="6"/>
  <c r="D168" i="6"/>
  <c r="C168" i="6"/>
  <c r="H167" i="6"/>
  <c r="G167" i="6"/>
  <c r="F167" i="6"/>
  <c r="E167" i="6"/>
  <c r="D167" i="6"/>
  <c r="C167" i="6"/>
  <c r="H166" i="6"/>
  <c r="G166" i="6"/>
  <c r="F166" i="6"/>
  <c r="E166" i="6"/>
  <c r="D166" i="6"/>
  <c r="C166" i="6"/>
  <c r="H165" i="6"/>
  <c r="G165" i="6"/>
  <c r="F165" i="6"/>
  <c r="E165" i="6"/>
  <c r="D165" i="6"/>
  <c r="C165" i="6"/>
  <c r="H164" i="6"/>
  <c r="G164" i="6"/>
  <c r="F164" i="6"/>
  <c r="E164" i="6"/>
  <c r="D164" i="6"/>
  <c r="C164" i="6"/>
  <c r="H163" i="6"/>
  <c r="G163" i="6"/>
  <c r="F163" i="6"/>
  <c r="E163" i="6"/>
  <c r="D163" i="6"/>
  <c r="C163" i="6"/>
  <c r="H162" i="6"/>
  <c r="G162" i="6"/>
  <c r="F162" i="6"/>
  <c r="E162" i="6"/>
  <c r="D162" i="6"/>
  <c r="C162" i="6"/>
  <c r="H161" i="6"/>
  <c r="G161" i="6"/>
  <c r="F161" i="6"/>
  <c r="E161" i="6"/>
  <c r="D161" i="6"/>
  <c r="C161" i="6"/>
  <c r="H160" i="6"/>
  <c r="G160" i="6"/>
  <c r="F160" i="6"/>
  <c r="E160" i="6"/>
  <c r="D160" i="6"/>
  <c r="C160" i="6"/>
  <c r="H159" i="6"/>
  <c r="G159" i="6"/>
  <c r="F159" i="6"/>
  <c r="E159" i="6"/>
  <c r="D159" i="6"/>
  <c r="C159" i="6"/>
  <c r="H158" i="6"/>
  <c r="G158" i="6"/>
  <c r="F158" i="6"/>
  <c r="E158" i="6"/>
  <c r="D158" i="6"/>
  <c r="C158" i="6"/>
  <c r="H157" i="6"/>
  <c r="G157" i="6"/>
  <c r="F157" i="6"/>
  <c r="E157" i="6"/>
  <c r="D157" i="6"/>
  <c r="C157" i="6"/>
  <c r="H156" i="6"/>
  <c r="G156" i="6"/>
  <c r="F156" i="6"/>
  <c r="E156" i="6"/>
  <c r="D156" i="6"/>
  <c r="C156" i="6"/>
  <c r="H155" i="6"/>
  <c r="G155" i="6"/>
  <c r="F155" i="6"/>
  <c r="E155" i="6"/>
  <c r="D155" i="6"/>
  <c r="C155" i="6"/>
  <c r="H154" i="6"/>
  <c r="G154" i="6"/>
  <c r="F154" i="6"/>
  <c r="E154" i="6"/>
  <c r="D154" i="6"/>
  <c r="C154" i="6"/>
  <c r="H153" i="6"/>
  <c r="G153" i="6"/>
  <c r="F153" i="6"/>
  <c r="E153" i="6"/>
  <c r="D153" i="6"/>
  <c r="C153" i="6"/>
  <c r="H152" i="6"/>
  <c r="G152" i="6"/>
  <c r="F152" i="6"/>
  <c r="E152" i="6"/>
  <c r="D152" i="6"/>
  <c r="C152" i="6"/>
  <c r="H151" i="6"/>
  <c r="G151" i="6"/>
  <c r="F151" i="6"/>
  <c r="E151" i="6"/>
  <c r="D151" i="6"/>
  <c r="C151" i="6"/>
  <c r="H150" i="6"/>
  <c r="G150" i="6"/>
  <c r="F150" i="6"/>
  <c r="E150" i="6"/>
  <c r="D150" i="6"/>
  <c r="C150" i="6"/>
  <c r="H149" i="6"/>
  <c r="G149" i="6"/>
  <c r="F149" i="6"/>
  <c r="E149" i="6"/>
  <c r="D149" i="6"/>
  <c r="C149" i="6"/>
  <c r="H148" i="6"/>
  <c r="G148" i="6"/>
  <c r="F148" i="6"/>
  <c r="E148" i="6"/>
  <c r="D148" i="6"/>
  <c r="C148" i="6"/>
  <c r="H147" i="6"/>
  <c r="G147" i="6"/>
  <c r="F147" i="6"/>
  <c r="E147" i="6"/>
  <c r="D147" i="6"/>
  <c r="C147" i="6"/>
  <c r="H146" i="6"/>
  <c r="G146" i="6"/>
  <c r="F146" i="6"/>
  <c r="E146" i="6"/>
  <c r="D146" i="6"/>
  <c r="C146" i="6"/>
  <c r="H145" i="6"/>
  <c r="G145" i="6"/>
  <c r="F145" i="6"/>
  <c r="E145" i="6"/>
  <c r="D145" i="6"/>
  <c r="C145" i="6"/>
  <c r="H144" i="6"/>
  <c r="G144" i="6"/>
  <c r="F144" i="6"/>
  <c r="E144" i="6"/>
  <c r="D144" i="6"/>
  <c r="C144" i="6"/>
  <c r="H143" i="6"/>
  <c r="G143" i="6"/>
  <c r="F143" i="6"/>
  <c r="E143" i="6"/>
  <c r="D143" i="6"/>
  <c r="C143" i="6"/>
  <c r="H142" i="6"/>
  <c r="G142" i="6"/>
  <c r="F142" i="6"/>
  <c r="E142" i="6"/>
  <c r="D142" i="6"/>
  <c r="C142" i="6"/>
  <c r="H141" i="6"/>
  <c r="G141" i="6"/>
  <c r="F141" i="6"/>
  <c r="E141" i="6"/>
  <c r="D141" i="6"/>
  <c r="C141" i="6"/>
  <c r="H140" i="6"/>
  <c r="G140" i="6"/>
  <c r="F140" i="6"/>
  <c r="E140" i="6"/>
  <c r="D140" i="6"/>
  <c r="C140" i="6"/>
  <c r="H139" i="6"/>
  <c r="G139" i="6"/>
  <c r="F139" i="6"/>
  <c r="E139" i="6"/>
  <c r="D139" i="6"/>
  <c r="C139" i="6"/>
  <c r="H138" i="6"/>
  <c r="G138" i="6"/>
  <c r="F138" i="6"/>
  <c r="E138" i="6"/>
  <c r="D138" i="6"/>
  <c r="C138" i="6"/>
  <c r="H137" i="6"/>
  <c r="G137" i="6"/>
  <c r="F137" i="6"/>
  <c r="E137" i="6"/>
  <c r="D137" i="6"/>
  <c r="C137" i="6"/>
  <c r="H136" i="6"/>
  <c r="G136" i="6"/>
  <c r="F136" i="6"/>
  <c r="E136" i="6"/>
  <c r="D136" i="6"/>
  <c r="C136" i="6"/>
  <c r="H135" i="6"/>
  <c r="G135" i="6"/>
  <c r="F135" i="6"/>
  <c r="E135" i="6"/>
  <c r="D135" i="6"/>
  <c r="C135" i="6"/>
  <c r="H134" i="6"/>
  <c r="G134" i="6"/>
  <c r="F134" i="6"/>
  <c r="E134" i="6"/>
  <c r="D134" i="6"/>
  <c r="C134" i="6"/>
  <c r="H133" i="6"/>
  <c r="G133" i="6"/>
  <c r="F133" i="6"/>
  <c r="E133" i="6"/>
  <c r="D133" i="6"/>
  <c r="C133" i="6"/>
  <c r="H132" i="6"/>
  <c r="G132" i="6"/>
  <c r="F132" i="6"/>
  <c r="E132" i="6"/>
  <c r="D132" i="6"/>
  <c r="C132" i="6"/>
  <c r="H131" i="6"/>
  <c r="G131" i="6"/>
  <c r="F131" i="6"/>
  <c r="E131" i="6"/>
  <c r="D131" i="6"/>
  <c r="C131" i="6"/>
  <c r="H130" i="6"/>
  <c r="G130" i="6"/>
  <c r="F130" i="6"/>
  <c r="E130" i="6"/>
  <c r="D130" i="6"/>
  <c r="C130" i="6"/>
  <c r="H129" i="6"/>
  <c r="G129" i="6"/>
  <c r="F129" i="6"/>
  <c r="E129" i="6"/>
  <c r="D129" i="6"/>
  <c r="C129" i="6"/>
  <c r="H128" i="6"/>
  <c r="G128" i="6"/>
  <c r="F128" i="6"/>
  <c r="E128" i="6"/>
  <c r="D128" i="6"/>
  <c r="C128" i="6"/>
  <c r="H127" i="6"/>
  <c r="G127" i="6"/>
  <c r="F127" i="6"/>
  <c r="E127" i="6"/>
  <c r="D127" i="6"/>
  <c r="C127" i="6"/>
  <c r="H126" i="6"/>
  <c r="G126" i="6"/>
  <c r="F126" i="6"/>
  <c r="E126" i="6"/>
  <c r="D126" i="6"/>
  <c r="C126" i="6"/>
  <c r="H125" i="6"/>
  <c r="G125" i="6"/>
  <c r="F125" i="6"/>
  <c r="E125" i="6"/>
  <c r="D125" i="6"/>
  <c r="C125" i="6"/>
  <c r="H124" i="6"/>
  <c r="G124" i="6"/>
  <c r="F124" i="6"/>
  <c r="E124" i="6"/>
  <c r="D124" i="6"/>
  <c r="C124" i="6"/>
  <c r="H123" i="6"/>
  <c r="G123" i="6"/>
  <c r="F123" i="6"/>
  <c r="E123" i="6"/>
  <c r="D123" i="6"/>
  <c r="C123" i="6"/>
  <c r="H122" i="6"/>
  <c r="G122" i="6"/>
  <c r="F122" i="6"/>
  <c r="E122" i="6"/>
  <c r="D122" i="6"/>
  <c r="C122" i="6"/>
  <c r="H121" i="6"/>
  <c r="G121" i="6"/>
  <c r="F121" i="6"/>
  <c r="E121" i="6"/>
  <c r="D121" i="6"/>
  <c r="C121" i="6"/>
  <c r="H120" i="6"/>
  <c r="G120" i="6"/>
  <c r="F120" i="6"/>
  <c r="E120" i="6"/>
  <c r="D120" i="6"/>
  <c r="C120" i="6"/>
  <c r="H119" i="6"/>
  <c r="G119" i="6"/>
  <c r="F119" i="6"/>
  <c r="E119" i="6"/>
  <c r="D119" i="6"/>
  <c r="C119" i="6"/>
  <c r="H118" i="6"/>
  <c r="G118" i="6"/>
  <c r="F118" i="6"/>
  <c r="E118" i="6"/>
  <c r="D118" i="6"/>
  <c r="C118" i="6"/>
  <c r="H117" i="6"/>
  <c r="G117" i="6"/>
  <c r="F117" i="6"/>
  <c r="E117" i="6"/>
  <c r="D117" i="6"/>
  <c r="C117" i="6"/>
  <c r="H116" i="6"/>
  <c r="G116" i="6"/>
  <c r="F116" i="6"/>
  <c r="E116" i="6"/>
  <c r="D116" i="6"/>
  <c r="C116" i="6"/>
  <c r="H115" i="6"/>
  <c r="G115" i="6"/>
  <c r="F115" i="6"/>
  <c r="E115" i="6"/>
  <c r="D115" i="6"/>
  <c r="C115" i="6"/>
  <c r="H114" i="6"/>
  <c r="G114" i="6"/>
  <c r="F114" i="6"/>
  <c r="E114" i="6"/>
  <c r="D114" i="6"/>
  <c r="C114" i="6"/>
  <c r="H113" i="6"/>
  <c r="G113" i="6"/>
  <c r="F113" i="6"/>
  <c r="E113" i="6"/>
  <c r="D113" i="6"/>
  <c r="C113" i="6"/>
  <c r="H112" i="6"/>
  <c r="G112" i="6"/>
  <c r="F112" i="6"/>
  <c r="E112" i="6"/>
  <c r="D112" i="6"/>
  <c r="C112" i="6"/>
  <c r="H111" i="6"/>
  <c r="G111" i="6"/>
  <c r="F111" i="6"/>
  <c r="E111" i="6"/>
  <c r="D111" i="6"/>
  <c r="C111" i="6"/>
  <c r="H110" i="6"/>
  <c r="G110" i="6"/>
  <c r="F110" i="6"/>
  <c r="E110" i="6"/>
  <c r="D110" i="6"/>
  <c r="C110" i="6"/>
  <c r="H109" i="6"/>
  <c r="G109" i="6"/>
  <c r="F109" i="6"/>
  <c r="E109" i="6"/>
  <c r="D109" i="6"/>
  <c r="C109" i="6"/>
  <c r="H108" i="6"/>
  <c r="G108" i="6"/>
  <c r="F108" i="6"/>
  <c r="E108" i="6"/>
  <c r="D108" i="6"/>
  <c r="C108" i="6"/>
  <c r="H107" i="6"/>
  <c r="G107" i="6"/>
  <c r="F107" i="6"/>
  <c r="E107" i="6"/>
  <c r="D107" i="6"/>
  <c r="C107" i="6"/>
  <c r="H106" i="6"/>
  <c r="G106" i="6"/>
  <c r="F106" i="6"/>
  <c r="E106" i="6"/>
  <c r="D106" i="6"/>
  <c r="C106" i="6"/>
  <c r="H105" i="6"/>
  <c r="G105" i="6"/>
  <c r="F105" i="6"/>
  <c r="E105" i="6"/>
  <c r="D105" i="6"/>
  <c r="C105" i="6"/>
  <c r="H104" i="6"/>
  <c r="G104" i="6"/>
  <c r="F104" i="6"/>
  <c r="E104" i="6"/>
  <c r="D104" i="6"/>
  <c r="C104" i="6"/>
  <c r="H103" i="6"/>
  <c r="G103" i="6"/>
  <c r="F103" i="6"/>
  <c r="E103" i="6"/>
  <c r="D103" i="6"/>
  <c r="C103" i="6"/>
  <c r="H102" i="6"/>
  <c r="G102" i="6"/>
  <c r="F102" i="6"/>
  <c r="E102" i="6"/>
  <c r="D102" i="6"/>
  <c r="C102" i="6"/>
  <c r="H101" i="6"/>
  <c r="G101" i="6"/>
  <c r="F101" i="6"/>
  <c r="E101" i="6"/>
  <c r="D101" i="6"/>
  <c r="C101" i="6"/>
  <c r="H100" i="6"/>
  <c r="G100" i="6"/>
  <c r="F100" i="6"/>
  <c r="E100" i="6"/>
  <c r="D100" i="6"/>
  <c r="C100" i="6"/>
  <c r="H99" i="6"/>
  <c r="G99" i="6"/>
  <c r="F99" i="6"/>
  <c r="E99" i="6"/>
  <c r="D99" i="6"/>
  <c r="C99" i="6"/>
  <c r="H98" i="6"/>
  <c r="G98" i="6"/>
  <c r="F98" i="6"/>
  <c r="E98" i="6"/>
  <c r="D98" i="6"/>
  <c r="C98" i="6"/>
  <c r="H97" i="6"/>
  <c r="G97" i="6"/>
  <c r="F97" i="6"/>
  <c r="E97" i="6"/>
  <c r="D97" i="6"/>
  <c r="C97" i="6"/>
  <c r="H96" i="6"/>
  <c r="G96" i="6"/>
  <c r="F96" i="6"/>
  <c r="E96" i="6"/>
  <c r="D96" i="6"/>
  <c r="C96" i="6"/>
  <c r="H95" i="6"/>
  <c r="G95" i="6"/>
  <c r="F95" i="6"/>
  <c r="E95" i="6"/>
  <c r="D95" i="6"/>
  <c r="C95" i="6"/>
  <c r="H94" i="6"/>
  <c r="G94" i="6"/>
  <c r="F94" i="6"/>
  <c r="E94" i="6"/>
  <c r="D94" i="6"/>
  <c r="C94" i="6"/>
  <c r="H93" i="6"/>
  <c r="G93" i="6"/>
  <c r="F93" i="6"/>
  <c r="E93" i="6"/>
  <c r="D93" i="6"/>
  <c r="C93" i="6"/>
  <c r="H92" i="6"/>
  <c r="G92" i="6"/>
  <c r="F92" i="6"/>
  <c r="E92" i="6"/>
  <c r="D92" i="6"/>
  <c r="C92" i="6"/>
  <c r="H91" i="6"/>
  <c r="G91" i="6"/>
  <c r="F91" i="6"/>
  <c r="E91" i="6"/>
  <c r="D91" i="6"/>
  <c r="C91" i="6"/>
  <c r="H90" i="6"/>
  <c r="G90" i="6"/>
  <c r="F90" i="6"/>
  <c r="E90" i="6"/>
  <c r="D90" i="6"/>
  <c r="C90" i="6"/>
  <c r="H89" i="6"/>
  <c r="G89" i="6"/>
  <c r="F89" i="6"/>
  <c r="E89" i="6"/>
  <c r="D89" i="6"/>
  <c r="C89" i="6"/>
  <c r="H88" i="6"/>
  <c r="G88" i="6"/>
  <c r="F88" i="6"/>
  <c r="E88" i="6"/>
  <c r="D88" i="6"/>
  <c r="C88" i="6"/>
  <c r="H87" i="6"/>
  <c r="G87" i="6"/>
  <c r="F87" i="6"/>
  <c r="E87" i="6"/>
  <c r="D87" i="6"/>
  <c r="C87" i="6"/>
  <c r="H86" i="6"/>
  <c r="G86" i="6"/>
  <c r="F86" i="6"/>
  <c r="E86" i="6"/>
  <c r="D86" i="6"/>
  <c r="C86" i="6"/>
  <c r="H85" i="6"/>
  <c r="G85" i="6"/>
  <c r="F85" i="6"/>
  <c r="E85" i="6"/>
  <c r="D85" i="6"/>
  <c r="C85" i="6"/>
  <c r="H84" i="6"/>
  <c r="G84" i="6"/>
  <c r="F84" i="6"/>
  <c r="E84" i="6"/>
  <c r="D84" i="6"/>
  <c r="C84" i="6"/>
  <c r="H83" i="6"/>
  <c r="G83" i="6"/>
  <c r="F83" i="6"/>
  <c r="E83" i="6"/>
  <c r="D83" i="6"/>
  <c r="C83" i="6"/>
  <c r="H82" i="6"/>
  <c r="G82" i="6"/>
  <c r="F82" i="6"/>
  <c r="E82" i="6"/>
  <c r="D82" i="6"/>
  <c r="C82" i="6"/>
  <c r="H81" i="6"/>
  <c r="G81" i="6"/>
  <c r="F81" i="6"/>
  <c r="E81" i="6"/>
  <c r="D81" i="6"/>
  <c r="C81" i="6"/>
  <c r="H80" i="6"/>
  <c r="G80" i="6"/>
  <c r="F80" i="6"/>
  <c r="E80" i="6"/>
  <c r="D80" i="6"/>
  <c r="C80" i="6"/>
  <c r="H79" i="6"/>
  <c r="G79" i="6"/>
  <c r="F79" i="6"/>
  <c r="E79" i="6"/>
  <c r="D79" i="6"/>
  <c r="C79" i="6"/>
  <c r="H78" i="6"/>
  <c r="G78" i="6"/>
  <c r="F78" i="6"/>
  <c r="E78" i="6"/>
  <c r="D78" i="6"/>
  <c r="C78" i="6"/>
  <c r="H77" i="6"/>
  <c r="G77" i="6"/>
  <c r="F77" i="6"/>
  <c r="E77" i="6"/>
  <c r="D77" i="6"/>
  <c r="C77" i="6"/>
  <c r="H76" i="6"/>
  <c r="G76" i="6"/>
  <c r="F76" i="6"/>
  <c r="E76" i="6"/>
  <c r="D76" i="6"/>
  <c r="C76" i="6"/>
  <c r="H75" i="6"/>
  <c r="G75" i="6"/>
  <c r="F75" i="6"/>
  <c r="E75" i="6"/>
  <c r="D75" i="6"/>
  <c r="C75" i="6"/>
  <c r="H74" i="6"/>
  <c r="G74" i="6"/>
  <c r="F74" i="6"/>
  <c r="E74" i="6"/>
  <c r="D74" i="6"/>
  <c r="C74" i="6"/>
  <c r="H73" i="6"/>
  <c r="G73" i="6"/>
  <c r="F73" i="6"/>
  <c r="E73" i="6"/>
  <c r="D73" i="6"/>
  <c r="C73" i="6"/>
  <c r="H72" i="6"/>
  <c r="G72" i="6"/>
  <c r="F72" i="6"/>
  <c r="E72" i="6"/>
  <c r="D72" i="6"/>
  <c r="C72" i="6"/>
  <c r="H71" i="6"/>
  <c r="G71" i="6"/>
  <c r="F71" i="6"/>
  <c r="E71" i="6"/>
  <c r="D71" i="6"/>
  <c r="C71" i="6"/>
  <c r="H70" i="6"/>
  <c r="G70" i="6"/>
  <c r="F70" i="6"/>
  <c r="E70" i="6"/>
  <c r="D70" i="6"/>
  <c r="C70" i="6"/>
  <c r="H69" i="6"/>
  <c r="G69" i="6"/>
  <c r="F69" i="6"/>
  <c r="E69" i="6"/>
  <c r="D69" i="6"/>
  <c r="C69" i="6"/>
  <c r="H68" i="6"/>
  <c r="G68" i="6"/>
  <c r="F68" i="6"/>
  <c r="E68" i="6"/>
  <c r="D68" i="6"/>
  <c r="C68" i="6"/>
  <c r="H67" i="6"/>
  <c r="G67" i="6"/>
  <c r="F67" i="6"/>
  <c r="E67" i="6"/>
  <c r="D67" i="6"/>
  <c r="C67" i="6"/>
  <c r="H66" i="6"/>
  <c r="G66" i="6"/>
  <c r="F66" i="6"/>
  <c r="E66" i="6"/>
  <c r="D66" i="6"/>
  <c r="C66" i="6"/>
  <c r="H65" i="6"/>
  <c r="G65" i="6"/>
  <c r="F65" i="6"/>
  <c r="E65" i="6"/>
  <c r="D65" i="6"/>
  <c r="C65" i="6"/>
  <c r="H64" i="6"/>
  <c r="G64" i="6"/>
  <c r="F64" i="6"/>
  <c r="E64" i="6"/>
  <c r="D64" i="6"/>
  <c r="C64" i="6"/>
  <c r="H63" i="6"/>
  <c r="G63" i="6"/>
  <c r="F63" i="6"/>
  <c r="E63" i="6"/>
  <c r="D63" i="6"/>
  <c r="C63" i="6"/>
  <c r="H62" i="6"/>
  <c r="G62" i="6"/>
  <c r="F62" i="6"/>
  <c r="E62" i="6"/>
  <c r="D62" i="6"/>
  <c r="C62" i="6"/>
  <c r="H61" i="6"/>
  <c r="G61" i="6"/>
  <c r="F61" i="6"/>
  <c r="E61" i="6"/>
  <c r="D61" i="6"/>
  <c r="C61" i="6"/>
  <c r="H60" i="6"/>
  <c r="G60" i="6"/>
  <c r="F60" i="6"/>
  <c r="E60" i="6"/>
  <c r="D60" i="6"/>
  <c r="C60" i="6"/>
  <c r="H59" i="6"/>
  <c r="G59" i="6"/>
  <c r="F59" i="6"/>
  <c r="E59" i="6"/>
  <c r="D59" i="6"/>
  <c r="C59" i="6"/>
  <c r="H58" i="6"/>
  <c r="G58" i="6"/>
  <c r="F58" i="6"/>
  <c r="E58" i="6"/>
  <c r="D58" i="6"/>
  <c r="C58" i="6"/>
  <c r="H57" i="6"/>
  <c r="G57" i="6"/>
  <c r="F57" i="6"/>
  <c r="E57" i="6"/>
  <c r="D57" i="6"/>
  <c r="C57" i="6"/>
  <c r="H56" i="6"/>
  <c r="G56" i="6"/>
  <c r="F56" i="6"/>
  <c r="E56" i="6"/>
  <c r="D56" i="6"/>
  <c r="C56" i="6"/>
  <c r="H55" i="6"/>
  <c r="G55" i="6"/>
  <c r="F55" i="6"/>
  <c r="E55" i="6"/>
  <c r="D55" i="6"/>
  <c r="C55" i="6"/>
  <c r="H54" i="6"/>
  <c r="G54" i="6"/>
  <c r="F54" i="6"/>
  <c r="E54" i="6"/>
  <c r="D54" i="6"/>
  <c r="C54" i="6"/>
  <c r="H53" i="6"/>
  <c r="G53" i="6"/>
  <c r="F53" i="6"/>
  <c r="E53" i="6"/>
  <c r="D53" i="6"/>
  <c r="C53" i="6"/>
  <c r="H52" i="6"/>
  <c r="G52" i="6"/>
  <c r="F52" i="6"/>
  <c r="E52" i="6"/>
  <c r="D52" i="6"/>
  <c r="C52" i="6"/>
  <c r="H51" i="6"/>
  <c r="G51" i="6"/>
  <c r="F51" i="6"/>
  <c r="E51" i="6"/>
  <c r="D51" i="6"/>
  <c r="C51" i="6"/>
  <c r="H50" i="6"/>
  <c r="G50" i="6"/>
  <c r="F50" i="6"/>
  <c r="E50" i="6"/>
  <c r="D50" i="6"/>
  <c r="C50" i="6"/>
  <c r="H49" i="6"/>
  <c r="G49" i="6"/>
  <c r="F49" i="6"/>
  <c r="E49" i="6"/>
  <c r="D49" i="6"/>
  <c r="C49" i="6"/>
  <c r="H48" i="6"/>
  <c r="G48" i="6"/>
  <c r="F48" i="6"/>
  <c r="E48" i="6"/>
  <c r="D48" i="6"/>
  <c r="C48" i="6"/>
  <c r="H47" i="6"/>
  <c r="G47" i="6"/>
  <c r="F47" i="6"/>
  <c r="E47" i="6"/>
  <c r="D47" i="6"/>
  <c r="C47" i="6"/>
  <c r="H46" i="6"/>
  <c r="G46" i="6"/>
  <c r="F46" i="6"/>
  <c r="E46" i="6"/>
  <c r="D46" i="6"/>
  <c r="C46" i="6"/>
  <c r="H45" i="6"/>
  <c r="G45" i="6"/>
  <c r="F45" i="6"/>
  <c r="E45" i="6"/>
  <c r="D45" i="6"/>
  <c r="C45" i="6"/>
  <c r="H44" i="6"/>
  <c r="G44" i="6"/>
  <c r="F44" i="6"/>
  <c r="E44" i="6"/>
  <c r="D44" i="6"/>
  <c r="C44" i="6"/>
  <c r="H43" i="6"/>
  <c r="G43" i="6"/>
  <c r="F43" i="6"/>
  <c r="E43" i="6"/>
  <c r="D43" i="6"/>
  <c r="C43" i="6"/>
  <c r="H42" i="6"/>
  <c r="G42" i="6"/>
  <c r="F42" i="6"/>
  <c r="E42" i="6"/>
  <c r="D42" i="6"/>
  <c r="C42" i="6"/>
  <c r="H41" i="6"/>
  <c r="G41" i="6"/>
  <c r="F41" i="6"/>
  <c r="E41" i="6"/>
  <c r="D41" i="6"/>
  <c r="C41" i="6"/>
  <c r="H40" i="6"/>
  <c r="G40" i="6"/>
  <c r="F40" i="6"/>
  <c r="E40" i="6"/>
  <c r="D40" i="6"/>
  <c r="C40" i="6"/>
  <c r="H39" i="6"/>
  <c r="G39" i="6"/>
  <c r="F39" i="6"/>
  <c r="E39" i="6"/>
  <c r="D39" i="6"/>
  <c r="C39" i="6"/>
  <c r="H38" i="6"/>
  <c r="G38" i="6"/>
  <c r="F38" i="6"/>
  <c r="E38" i="6"/>
  <c r="D38" i="6"/>
  <c r="C38" i="6"/>
  <c r="H37" i="6"/>
  <c r="G37" i="6"/>
  <c r="F37" i="6"/>
  <c r="E37" i="6"/>
  <c r="D37" i="6"/>
  <c r="C37" i="6"/>
  <c r="H36" i="6"/>
  <c r="G36" i="6"/>
  <c r="F36" i="6"/>
  <c r="E36" i="6"/>
  <c r="D36" i="6"/>
  <c r="C36" i="6"/>
  <c r="H35" i="6"/>
  <c r="G35" i="6"/>
  <c r="F35" i="6"/>
  <c r="E35" i="6"/>
  <c r="D35" i="6"/>
  <c r="C35" i="6"/>
  <c r="H34" i="6"/>
  <c r="G34" i="6"/>
  <c r="F34" i="6"/>
  <c r="E34" i="6"/>
  <c r="D34" i="6"/>
  <c r="C34" i="6"/>
  <c r="H33" i="6"/>
  <c r="G33" i="6"/>
  <c r="F33" i="6"/>
  <c r="E33" i="6"/>
  <c r="D33" i="6"/>
  <c r="C33" i="6"/>
  <c r="H32" i="6"/>
  <c r="G32" i="6"/>
  <c r="F32" i="6"/>
  <c r="E32" i="6"/>
  <c r="D32" i="6"/>
  <c r="C32" i="6"/>
  <c r="H31" i="6"/>
  <c r="G31" i="6"/>
  <c r="F31" i="6"/>
  <c r="E31" i="6"/>
  <c r="D31" i="6"/>
  <c r="C31" i="6"/>
  <c r="H30" i="6"/>
  <c r="G30" i="6"/>
  <c r="F30" i="6"/>
  <c r="E30" i="6"/>
  <c r="D30" i="6"/>
  <c r="C30" i="6"/>
  <c r="H29" i="6"/>
  <c r="G29" i="6"/>
  <c r="F29" i="6"/>
  <c r="E29" i="6"/>
  <c r="D29" i="6"/>
  <c r="C29" i="6"/>
  <c r="H28" i="6"/>
  <c r="G28" i="6"/>
  <c r="F28" i="6"/>
  <c r="E28" i="6"/>
  <c r="D28" i="6"/>
  <c r="C28" i="6"/>
  <c r="H27" i="6"/>
  <c r="G27" i="6"/>
  <c r="F27" i="6"/>
  <c r="E27" i="6"/>
  <c r="D27" i="6"/>
  <c r="C27" i="6"/>
  <c r="H26" i="6"/>
  <c r="G26" i="6"/>
  <c r="F26" i="6"/>
  <c r="E26" i="6"/>
  <c r="D26" i="6"/>
  <c r="C26" i="6"/>
  <c r="H25" i="6"/>
  <c r="G25" i="6"/>
  <c r="F25" i="6"/>
  <c r="E25" i="6"/>
  <c r="D25" i="6"/>
  <c r="C25" i="6"/>
  <c r="H24" i="6"/>
  <c r="G24" i="6"/>
  <c r="F24" i="6"/>
  <c r="E24" i="6"/>
  <c r="D24" i="6"/>
  <c r="C24" i="6"/>
  <c r="H23" i="6"/>
  <c r="G23" i="6"/>
  <c r="F23" i="6"/>
  <c r="E23" i="6"/>
  <c r="D23" i="6"/>
  <c r="C23" i="6"/>
  <c r="H22" i="6"/>
  <c r="G22" i="6"/>
  <c r="F22" i="6"/>
  <c r="E22" i="6"/>
  <c r="D22" i="6"/>
  <c r="C22" i="6"/>
  <c r="H21" i="6"/>
  <c r="G21" i="6"/>
  <c r="F21" i="6"/>
  <c r="E21" i="6"/>
  <c r="D21" i="6"/>
  <c r="C21" i="6"/>
  <c r="H20" i="6"/>
  <c r="G20" i="6"/>
  <c r="F20" i="6"/>
  <c r="E20" i="6"/>
  <c r="D20" i="6"/>
  <c r="C20" i="6"/>
  <c r="H19" i="6"/>
  <c r="G19" i="6"/>
  <c r="F19" i="6"/>
  <c r="E19" i="6"/>
  <c r="D19" i="6"/>
  <c r="C19" i="6"/>
  <c r="H18" i="6"/>
  <c r="G18" i="6"/>
  <c r="F18" i="6"/>
  <c r="E18" i="6"/>
  <c r="D18" i="6"/>
  <c r="C18" i="6"/>
  <c r="H17" i="6"/>
  <c r="G17" i="6"/>
  <c r="F17" i="6"/>
  <c r="E17" i="6"/>
  <c r="D17" i="6"/>
  <c r="C17" i="6"/>
  <c r="H16" i="6"/>
  <c r="G16" i="6"/>
  <c r="F16" i="6"/>
  <c r="E16" i="6"/>
  <c r="D16" i="6"/>
  <c r="C16" i="6"/>
  <c r="H15" i="6"/>
  <c r="G15" i="6"/>
  <c r="F15" i="6"/>
  <c r="E15" i="6"/>
  <c r="D15" i="6"/>
  <c r="C15" i="6"/>
  <c r="H14" i="6"/>
  <c r="G14" i="6"/>
  <c r="F14" i="6"/>
  <c r="E14" i="6"/>
  <c r="D14" i="6"/>
  <c r="C14" i="6"/>
  <c r="H13" i="6"/>
  <c r="G13" i="6"/>
  <c r="F13" i="6"/>
  <c r="E13" i="6"/>
  <c r="D13" i="6"/>
  <c r="C13" i="6"/>
  <c r="H12" i="6"/>
  <c r="G12" i="6"/>
  <c r="F12" i="6"/>
  <c r="E12" i="6"/>
  <c r="D12" i="6"/>
  <c r="C12" i="6"/>
  <c r="H11" i="6"/>
  <c r="G11" i="6"/>
  <c r="F11" i="6"/>
  <c r="E11" i="6"/>
  <c r="D11" i="6"/>
  <c r="C11" i="6"/>
  <c r="H10" i="6"/>
  <c r="G10" i="6"/>
  <c r="F10" i="6"/>
  <c r="E10" i="6"/>
  <c r="D10" i="6"/>
  <c r="C10" i="6"/>
  <c r="H9" i="6"/>
  <c r="G9" i="6"/>
  <c r="F9" i="6"/>
  <c r="E9" i="6"/>
  <c r="D9" i="6"/>
  <c r="C9" i="6"/>
  <c r="H8" i="6"/>
  <c r="G8" i="6"/>
  <c r="F8" i="6"/>
  <c r="E8" i="6"/>
  <c r="D8" i="6"/>
  <c r="C8" i="6"/>
  <c r="H7" i="6"/>
  <c r="G7" i="6"/>
  <c r="F7" i="6"/>
  <c r="E7" i="6"/>
  <c r="D7" i="6"/>
  <c r="C7" i="6"/>
  <c r="H6" i="6"/>
  <c r="G6" i="6"/>
  <c r="F6" i="6"/>
  <c r="E6" i="6"/>
  <c r="D6" i="6"/>
  <c r="C6" i="6"/>
  <c r="H5" i="6"/>
  <c r="G5" i="6"/>
  <c r="F5" i="6"/>
  <c r="E5" i="6"/>
  <c r="D5" i="6"/>
  <c r="C5" i="6"/>
  <c r="B206" i="6"/>
  <c r="B205" i="6"/>
  <c r="B203" i="6"/>
  <c r="B190" i="6"/>
  <c r="B189" i="6"/>
  <c r="B187" i="6"/>
  <c r="B174" i="6"/>
  <c r="B173" i="6"/>
  <c r="B171" i="6"/>
  <c r="B158" i="6"/>
  <c r="B157" i="6"/>
  <c r="B155" i="6"/>
  <c r="B142" i="6"/>
  <c r="B141" i="6"/>
  <c r="B139" i="6"/>
  <c r="B126" i="6"/>
  <c r="B125" i="6"/>
  <c r="B123" i="6"/>
  <c r="B110" i="6"/>
  <c r="B109" i="6"/>
  <c r="B107" i="6"/>
  <c r="B94" i="6"/>
  <c r="B93" i="6"/>
  <c r="B91" i="6"/>
  <c r="B78" i="6"/>
  <c r="B77" i="6"/>
  <c r="B75" i="6"/>
  <c r="B62" i="6"/>
  <c r="B61" i="6"/>
  <c r="B59" i="6"/>
  <c r="B46" i="6"/>
  <c r="B45" i="6"/>
  <c r="B43" i="6"/>
  <c r="B30" i="6"/>
  <c r="B29" i="6"/>
  <c r="B27" i="6"/>
  <c r="B14" i="6"/>
  <c r="B13" i="6"/>
  <c r="B11" i="6"/>
  <c r="B4" i="6" a="1"/>
  <c r="B201" i="6" s="1"/>
  <c r="H75" i="5"/>
  <c r="G75" i="5"/>
  <c r="F75" i="5"/>
  <c r="E75" i="5"/>
  <c r="D75" i="5"/>
  <c r="C75" i="5"/>
  <c r="H74" i="5"/>
  <c r="G74" i="5"/>
  <c r="F74" i="5"/>
  <c r="E74" i="5"/>
  <c r="D74" i="5"/>
  <c r="C74" i="5"/>
  <c r="G73" i="5"/>
  <c r="F73" i="5"/>
  <c r="E73" i="5"/>
  <c r="D73" i="5"/>
  <c r="C73" i="5"/>
  <c r="H72" i="5"/>
  <c r="G72" i="5"/>
  <c r="F72" i="5"/>
  <c r="E72" i="5"/>
  <c r="D72" i="5"/>
  <c r="C72" i="5"/>
  <c r="H71" i="5"/>
  <c r="G71" i="5"/>
  <c r="F71" i="5"/>
  <c r="E71" i="5"/>
  <c r="D71" i="5"/>
  <c r="C71" i="5"/>
  <c r="H70" i="5"/>
  <c r="G70" i="5"/>
  <c r="F70" i="5"/>
  <c r="E70" i="5"/>
  <c r="D70" i="5"/>
  <c r="C70" i="5"/>
  <c r="H69" i="5"/>
  <c r="G69" i="5"/>
  <c r="F69" i="5"/>
  <c r="E69" i="5"/>
  <c r="D69" i="5"/>
  <c r="C69" i="5"/>
  <c r="H68" i="5"/>
  <c r="G68" i="5"/>
  <c r="F68" i="5"/>
  <c r="E68" i="5"/>
  <c r="D68" i="5"/>
  <c r="C68" i="5"/>
  <c r="H67" i="5"/>
  <c r="G67" i="5"/>
  <c r="F67" i="5"/>
  <c r="E67" i="5"/>
  <c r="D67" i="5"/>
  <c r="C67" i="5"/>
  <c r="H66" i="5"/>
  <c r="G66" i="5"/>
  <c r="F66" i="5"/>
  <c r="E66" i="5"/>
  <c r="D66" i="5"/>
  <c r="C66" i="5"/>
  <c r="H65" i="5"/>
  <c r="G65" i="5"/>
  <c r="F65" i="5"/>
  <c r="E65" i="5"/>
  <c r="D65" i="5"/>
  <c r="C65" i="5"/>
  <c r="H64" i="5"/>
  <c r="G64" i="5"/>
  <c r="F64" i="5"/>
  <c r="E64" i="5"/>
  <c r="D64" i="5"/>
  <c r="C64" i="5"/>
  <c r="H63" i="5"/>
  <c r="G63" i="5"/>
  <c r="F63" i="5"/>
  <c r="E63" i="5"/>
  <c r="D63" i="5"/>
  <c r="C63" i="5"/>
  <c r="H62" i="5"/>
  <c r="G62" i="5"/>
  <c r="F62" i="5"/>
  <c r="E62" i="5"/>
  <c r="D62" i="5"/>
  <c r="C62" i="5"/>
  <c r="H61" i="5"/>
  <c r="G61" i="5"/>
  <c r="F61" i="5"/>
  <c r="E61" i="5"/>
  <c r="D61" i="5"/>
  <c r="C61" i="5"/>
  <c r="H60" i="5"/>
  <c r="G60" i="5"/>
  <c r="F60" i="5"/>
  <c r="E60" i="5"/>
  <c r="D60" i="5"/>
  <c r="C60" i="5"/>
  <c r="H59" i="5"/>
  <c r="G59" i="5"/>
  <c r="F59" i="5"/>
  <c r="E59" i="5"/>
  <c r="D59" i="5"/>
  <c r="C59" i="5"/>
  <c r="H58" i="5"/>
  <c r="G58" i="5"/>
  <c r="F58" i="5"/>
  <c r="E58" i="5"/>
  <c r="D58" i="5"/>
  <c r="C58" i="5"/>
  <c r="H57" i="5"/>
  <c r="G57" i="5"/>
  <c r="F57" i="5"/>
  <c r="E57" i="5"/>
  <c r="D57" i="5"/>
  <c r="C57" i="5"/>
  <c r="H56" i="5"/>
  <c r="G56" i="5"/>
  <c r="F56" i="5"/>
  <c r="E56" i="5"/>
  <c r="D56" i="5"/>
  <c r="C56" i="5"/>
  <c r="H55" i="5"/>
  <c r="G55" i="5"/>
  <c r="F55" i="5"/>
  <c r="E55" i="5"/>
  <c r="D55" i="5"/>
  <c r="C55" i="5"/>
  <c r="H54" i="5"/>
  <c r="G54" i="5"/>
  <c r="F54" i="5"/>
  <c r="E54" i="5"/>
  <c r="D54" i="5"/>
  <c r="C54" i="5"/>
  <c r="H53" i="5"/>
  <c r="G53" i="5"/>
  <c r="F53" i="5"/>
  <c r="E53" i="5"/>
  <c r="D53" i="5"/>
  <c r="C53" i="5"/>
  <c r="H52" i="5"/>
  <c r="G52" i="5"/>
  <c r="F52" i="5"/>
  <c r="E52" i="5"/>
  <c r="D52" i="5"/>
  <c r="C52" i="5"/>
  <c r="H51" i="5"/>
  <c r="G51" i="5"/>
  <c r="F51" i="5"/>
  <c r="E51" i="5"/>
  <c r="D51" i="5"/>
  <c r="C51" i="5"/>
  <c r="H50" i="5"/>
  <c r="G50" i="5"/>
  <c r="F50" i="5"/>
  <c r="E50" i="5"/>
  <c r="D50" i="5"/>
  <c r="C50" i="5"/>
  <c r="H49" i="5"/>
  <c r="G49" i="5"/>
  <c r="F49" i="5"/>
  <c r="E49" i="5"/>
  <c r="D49" i="5"/>
  <c r="C49" i="5"/>
  <c r="H48" i="5"/>
  <c r="G48" i="5"/>
  <c r="F48" i="5"/>
  <c r="E48" i="5"/>
  <c r="D48" i="5"/>
  <c r="C48" i="5"/>
  <c r="H47" i="5"/>
  <c r="G47" i="5"/>
  <c r="F47" i="5"/>
  <c r="E47" i="5"/>
  <c r="D47" i="5"/>
  <c r="C47" i="5"/>
  <c r="H46" i="5"/>
  <c r="G46" i="5"/>
  <c r="F46" i="5"/>
  <c r="E46" i="5"/>
  <c r="D46" i="5"/>
  <c r="C46" i="5"/>
  <c r="H45" i="5"/>
  <c r="G45" i="5"/>
  <c r="F45" i="5"/>
  <c r="E45" i="5"/>
  <c r="D45" i="5"/>
  <c r="C45" i="5"/>
  <c r="H44" i="5"/>
  <c r="G44" i="5"/>
  <c r="F44" i="5"/>
  <c r="E44" i="5"/>
  <c r="D44" i="5"/>
  <c r="C44" i="5"/>
  <c r="H43" i="5"/>
  <c r="G43" i="5"/>
  <c r="F43" i="5"/>
  <c r="E43" i="5"/>
  <c r="D43" i="5"/>
  <c r="C43" i="5"/>
  <c r="H42" i="5"/>
  <c r="G42" i="5"/>
  <c r="F42" i="5"/>
  <c r="E42" i="5"/>
  <c r="D42" i="5"/>
  <c r="C42" i="5"/>
  <c r="H41" i="5"/>
  <c r="G41" i="5"/>
  <c r="F41" i="5"/>
  <c r="E41" i="5"/>
  <c r="D41" i="5"/>
  <c r="C41" i="5"/>
  <c r="H40" i="5"/>
  <c r="G40" i="5"/>
  <c r="F40" i="5"/>
  <c r="E40" i="5"/>
  <c r="D40" i="5"/>
  <c r="C40" i="5"/>
  <c r="H39" i="5"/>
  <c r="G39" i="5"/>
  <c r="F39" i="5"/>
  <c r="E39" i="5"/>
  <c r="D39" i="5"/>
  <c r="C39" i="5"/>
  <c r="H38" i="5"/>
  <c r="G38" i="5"/>
  <c r="F38" i="5"/>
  <c r="E38" i="5"/>
  <c r="D38" i="5"/>
  <c r="C38" i="5"/>
  <c r="H37" i="5"/>
  <c r="G37" i="5"/>
  <c r="F37" i="5"/>
  <c r="E37" i="5"/>
  <c r="D37" i="5"/>
  <c r="C37" i="5"/>
  <c r="H36" i="5"/>
  <c r="G36" i="5"/>
  <c r="F36" i="5"/>
  <c r="E36" i="5"/>
  <c r="D36" i="5"/>
  <c r="C36" i="5"/>
  <c r="H35" i="5"/>
  <c r="G35" i="5"/>
  <c r="F35" i="5"/>
  <c r="E35" i="5"/>
  <c r="D35" i="5"/>
  <c r="C35" i="5"/>
  <c r="H34" i="5"/>
  <c r="G34" i="5"/>
  <c r="F34" i="5"/>
  <c r="E34" i="5"/>
  <c r="D34" i="5"/>
  <c r="C34" i="5"/>
  <c r="H33" i="5"/>
  <c r="G33" i="5"/>
  <c r="F33" i="5"/>
  <c r="E33" i="5"/>
  <c r="D33" i="5"/>
  <c r="C33" i="5"/>
  <c r="H32" i="5"/>
  <c r="G32" i="5"/>
  <c r="F32" i="5"/>
  <c r="E32" i="5"/>
  <c r="D32" i="5"/>
  <c r="C32" i="5"/>
  <c r="H31" i="5"/>
  <c r="G31" i="5"/>
  <c r="F31" i="5"/>
  <c r="E31" i="5"/>
  <c r="D31" i="5"/>
  <c r="C31" i="5"/>
  <c r="H30" i="5"/>
  <c r="G30" i="5"/>
  <c r="F30" i="5"/>
  <c r="E30" i="5"/>
  <c r="D30" i="5"/>
  <c r="C30" i="5"/>
  <c r="H29" i="5"/>
  <c r="G29" i="5"/>
  <c r="F29" i="5"/>
  <c r="E29" i="5"/>
  <c r="D29" i="5"/>
  <c r="C29" i="5"/>
  <c r="H28" i="5"/>
  <c r="G28" i="5"/>
  <c r="F28" i="5"/>
  <c r="E28" i="5"/>
  <c r="D28" i="5"/>
  <c r="C28" i="5"/>
  <c r="H27" i="5"/>
  <c r="G27" i="5"/>
  <c r="F27" i="5"/>
  <c r="E27" i="5"/>
  <c r="D27" i="5"/>
  <c r="C27" i="5"/>
  <c r="H26" i="5"/>
  <c r="G26" i="5"/>
  <c r="F26" i="5"/>
  <c r="E26" i="5"/>
  <c r="D26" i="5"/>
  <c r="C26" i="5"/>
  <c r="H25" i="5"/>
  <c r="G25" i="5"/>
  <c r="F25" i="5"/>
  <c r="E25" i="5"/>
  <c r="D25" i="5"/>
  <c r="C25" i="5"/>
  <c r="H24" i="5"/>
  <c r="G24" i="5"/>
  <c r="F24" i="5"/>
  <c r="E24" i="5"/>
  <c r="D24" i="5"/>
  <c r="C24" i="5"/>
  <c r="H23" i="5"/>
  <c r="G23" i="5"/>
  <c r="F23" i="5"/>
  <c r="E23" i="5"/>
  <c r="D23" i="5"/>
  <c r="C23" i="5"/>
  <c r="H22" i="5"/>
  <c r="G22" i="5"/>
  <c r="F22" i="5"/>
  <c r="E22" i="5"/>
  <c r="D22" i="5"/>
  <c r="C22" i="5"/>
  <c r="H21" i="5"/>
  <c r="G21" i="5"/>
  <c r="F21" i="5"/>
  <c r="E21" i="5"/>
  <c r="D21" i="5"/>
  <c r="C21" i="5"/>
  <c r="H20" i="5"/>
  <c r="G20" i="5"/>
  <c r="F20" i="5"/>
  <c r="E20" i="5"/>
  <c r="D20" i="5"/>
  <c r="C20" i="5"/>
  <c r="H19" i="5"/>
  <c r="G19" i="5"/>
  <c r="F19" i="5"/>
  <c r="E19" i="5"/>
  <c r="D19" i="5"/>
  <c r="C19" i="5"/>
  <c r="H18" i="5"/>
  <c r="G18" i="5"/>
  <c r="F18" i="5"/>
  <c r="E18" i="5"/>
  <c r="D18" i="5"/>
  <c r="C18" i="5"/>
  <c r="H17" i="5"/>
  <c r="G17" i="5"/>
  <c r="F17" i="5"/>
  <c r="E17" i="5"/>
  <c r="D17" i="5"/>
  <c r="C17" i="5"/>
  <c r="H16" i="5"/>
  <c r="G16" i="5"/>
  <c r="F16" i="5"/>
  <c r="E16" i="5"/>
  <c r="D16" i="5"/>
  <c r="C16" i="5"/>
  <c r="H15" i="5"/>
  <c r="G15" i="5"/>
  <c r="F15" i="5"/>
  <c r="E15" i="5"/>
  <c r="D15" i="5"/>
  <c r="C15" i="5"/>
  <c r="H14" i="5"/>
  <c r="G14" i="5"/>
  <c r="F14" i="5"/>
  <c r="E14" i="5"/>
  <c r="D14" i="5"/>
  <c r="C14" i="5"/>
  <c r="H13" i="5"/>
  <c r="G13" i="5"/>
  <c r="F13" i="5"/>
  <c r="E13" i="5"/>
  <c r="D13" i="5"/>
  <c r="C13" i="5"/>
  <c r="H12" i="5"/>
  <c r="G12" i="5"/>
  <c r="F12" i="5"/>
  <c r="E12" i="5"/>
  <c r="D12" i="5"/>
  <c r="C12" i="5"/>
  <c r="H11" i="5"/>
  <c r="G11" i="5"/>
  <c r="F11" i="5"/>
  <c r="E11" i="5"/>
  <c r="D11" i="5"/>
  <c r="C11" i="5"/>
  <c r="H10" i="5"/>
  <c r="G10" i="5"/>
  <c r="F10" i="5"/>
  <c r="E10" i="5"/>
  <c r="D10" i="5"/>
  <c r="C10" i="5"/>
  <c r="H9" i="5"/>
  <c r="G9" i="5"/>
  <c r="F9" i="5"/>
  <c r="E9" i="5"/>
  <c r="D9" i="5"/>
  <c r="C9" i="5"/>
  <c r="H8" i="5"/>
  <c r="G8" i="5"/>
  <c r="F8" i="5"/>
  <c r="E8" i="5"/>
  <c r="D8" i="5"/>
  <c r="C8" i="5"/>
  <c r="H7" i="5"/>
  <c r="G7" i="5"/>
  <c r="F7" i="5"/>
  <c r="E7" i="5"/>
  <c r="D7" i="5"/>
  <c r="C7" i="5"/>
  <c r="H6" i="5"/>
  <c r="G6" i="5"/>
  <c r="F6" i="5"/>
  <c r="E6" i="5"/>
  <c r="D6" i="5"/>
  <c r="C6" i="5"/>
  <c r="H5" i="5"/>
  <c r="G5" i="5"/>
  <c r="F5" i="5"/>
  <c r="E5" i="5"/>
  <c r="D5" i="5"/>
  <c r="C5" i="5"/>
  <c r="B69" i="5"/>
  <c r="B67" i="5"/>
  <c r="B61" i="5"/>
  <c r="B60" i="5"/>
  <c r="B58" i="5"/>
  <c r="B53" i="5"/>
  <c r="B51" i="5"/>
  <c r="B45" i="5"/>
  <c r="B44" i="5"/>
  <c r="B42" i="5"/>
  <c r="B37" i="5"/>
  <c r="B35" i="5"/>
  <c r="B29" i="5"/>
  <c r="B28" i="5"/>
  <c r="B26" i="5"/>
  <c r="B21" i="5"/>
  <c r="B19" i="5"/>
  <c r="B13" i="5"/>
  <c r="B12" i="5"/>
  <c r="B10" i="5"/>
  <c r="B5" i="5"/>
  <c r="B4" i="5" a="1"/>
  <c r="B72" i="5" s="1"/>
  <c r="B4" i="5"/>
  <c r="B1935" i="4"/>
  <c r="B1934" i="4"/>
  <c r="B1933" i="4"/>
  <c r="B1932" i="4"/>
  <c r="B1931" i="4"/>
  <c r="B1930" i="4"/>
  <c r="B1929" i="4"/>
  <c r="B1928" i="4"/>
  <c r="B1927" i="4"/>
  <c r="B1926" i="4"/>
  <c r="B1925" i="4"/>
  <c r="B1924" i="4"/>
  <c r="B1923" i="4"/>
  <c r="B1922" i="4"/>
  <c r="B1921" i="4"/>
  <c r="B1920" i="4"/>
  <c r="B1919" i="4"/>
  <c r="B1918" i="4"/>
  <c r="B1917" i="4"/>
  <c r="B1916" i="4"/>
  <c r="B1915" i="4"/>
  <c r="B1914" i="4"/>
  <c r="B1913" i="4"/>
  <c r="B1912" i="4"/>
  <c r="B1911" i="4"/>
  <c r="B1910" i="4"/>
  <c r="B1909" i="4"/>
  <c r="B1908" i="4"/>
  <c r="B1907" i="4"/>
  <c r="B1906" i="4"/>
  <c r="B1905" i="4"/>
  <c r="B1904" i="4"/>
  <c r="B1903" i="4"/>
  <c r="B1902" i="4"/>
  <c r="B1901" i="4"/>
  <c r="B1900" i="4"/>
  <c r="B1899" i="4"/>
  <c r="B1898" i="4"/>
  <c r="B1897" i="4"/>
  <c r="B1896" i="4"/>
  <c r="B1895" i="4"/>
  <c r="B1894" i="4"/>
  <c r="B1893" i="4"/>
  <c r="B1892" i="4"/>
  <c r="B1891" i="4"/>
  <c r="B1890" i="4"/>
  <c r="B1889" i="4"/>
  <c r="B1888" i="4"/>
  <c r="B1887" i="4"/>
  <c r="B1886" i="4"/>
  <c r="B1885" i="4"/>
  <c r="B1884" i="4"/>
  <c r="B1883" i="4"/>
  <c r="B1882" i="4"/>
  <c r="B1881" i="4"/>
  <c r="B1880" i="4"/>
  <c r="B1879" i="4"/>
  <c r="B1878" i="4"/>
  <c r="B1877" i="4"/>
  <c r="B1876" i="4"/>
  <c r="B1875" i="4"/>
  <c r="B1874" i="4"/>
  <c r="B1873" i="4"/>
  <c r="B1872" i="4"/>
  <c r="B1871" i="4"/>
  <c r="B1870" i="4"/>
  <c r="B1869" i="4"/>
  <c r="B1868" i="4"/>
  <c r="B1867" i="4"/>
  <c r="B1866" i="4"/>
  <c r="B1865" i="4"/>
  <c r="B1864" i="4"/>
  <c r="B1863" i="4"/>
  <c r="B1862" i="4"/>
  <c r="B1861" i="4"/>
  <c r="B1860" i="4"/>
  <c r="B1859" i="4"/>
  <c r="B1858" i="4"/>
  <c r="B1857" i="4"/>
  <c r="B1856" i="4"/>
  <c r="B1855" i="4"/>
  <c r="B1854" i="4"/>
  <c r="B1853" i="4"/>
  <c r="B1852" i="4"/>
  <c r="B1851" i="4"/>
  <c r="B1850" i="4"/>
  <c r="B1849" i="4"/>
  <c r="B1848" i="4"/>
  <c r="B1847" i="4"/>
  <c r="B1846" i="4"/>
  <c r="B1845" i="4"/>
  <c r="B1844" i="4"/>
  <c r="B1843" i="4"/>
  <c r="B1842" i="4"/>
  <c r="B1841" i="4"/>
  <c r="B1840" i="4"/>
  <c r="B1839" i="4"/>
  <c r="B1838" i="4"/>
  <c r="B1837" i="4"/>
  <c r="B1836" i="4"/>
  <c r="B1835" i="4"/>
  <c r="B1834" i="4"/>
  <c r="B1833" i="4"/>
  <c r="B1832" i="4"/>
  <c r="B1831" i="4"/>
  <c r="B1830" i="4"/>
  <c r="B1829" i="4"/>
  <c r="B1828" i="4"/>
  <c r="B1827" i="4"/>
  <c r="B1826" i="4"/>
  <c r="B1825" i="4"/>
  <c r="B1824" i="4"/>
  <c r="B1823" i="4"/>
  <c r="B1822" i="4"/>
  <c r="B1821" i="4"/>
  <c r="B1820" i="4"/>
  <c r="B1819" i="4"/>
  <c r="B1818" i="4"/>
  <c r="B1817" i="4"/>
  <c r="B1816" i="4"/>
  <c r="B1815" i="4"/>
  <c r="B1814" i="4"/>
  <c r="B1813" i="4"/>
  <c r="B1812" i="4"/>
  <c r="B1811" i="4"/>
  <c r="B1810" i="4"/>
  <c r="B1809" i="4"/>
  <c r="B1808" i="4"/>
  <c r="B1807" i="4"/>
  <c r="B1806" i="4"/>
  <c r="B1805" i="4"/>
  <c r="B1804" i="4"/>
  <c r="B1803" i="4"/>
  <c r="B1802" i="4"/>
  <c r="B1801" i="4"/>
  <c r="B1800" i="4"/>
  <c r="B1799" i="4"/>
  <c r="B1798" i="4"/>
  <c r="B1797" i="4"/>
  <c r="B1796" i="4"/>
  <c r="B1795" i="4"/>
  <c r="B1794" i="4"/>
  <c r="B1793" i="4"/>
  <c r="B1792" i="4"/>
  <c r="B1791" i="4"/>
  <c r="B1790" i="4"/>
  <c r="B1789" i="4"/>
  <c r="B1788" i="4"/>
  <c r="B1787" i="4"/>
  <c r="B1786" i="4"/>
  <c r="B1785" i="4"/>
  <c r="B1784" i="4"/>
  <c r="B1783" i="4"/>
  <c r="B1782" i="4"/>
  <c r="B1781" i="4"/>
  <c r="B1780" i="4"/>
  <c r="B1779" i="4"/>
  <c r="B1778" i="4"/>
  <c r="B1777" i="4"/>
  <c r="B1776" i="4"/>
  <c r="B1775" i="4"/>
  <c r="B1774" i="4"/>
  <c r="B1773" i="4"/>
  <c r="B1772" i="4"/>
  <c r="B1771" i="4"/>
  <c r="B1770" i="4"/>
  <c r="B1769" i="4"/>
  <c r="B1768" i="4"/>
  <c r="B1767" i="4"/>
  <c r="B1766" i="4"/>
  <c r="B1765" i="4"/>
  <c r="B1764" i="4"/>
  <c r="B1763" i="4"/>
  <c r="B1762" i="4"/>
  <c r="B1761" i="4"/>
  <c r="B1760" i="4"/>
  <c r="B1759" i="4"/>
  <c r="B1758" i="4"/>
  <c r="B1757" i="4"/>
  <c r="B1756" i="4"/>
  <c r="B1755" i="4"/>
  <c r="B1754" i="4"/>
  <c r="B1753" i="4"/>
  <c r="B1752" i="4"/>
  <c r="B1751" i="4"/>
  <c r="B1750" i="4"/>
  <c r="B1749" i="4"/>
  <c r="B1748" i="4"/>
  <c r="B1747" i="4"/>
  <c r="B1746" i="4"/>
  <c r="B1745" i="4"/>
  <c r="B1744" i="4"/>
  <c r="B1743" i="4"/>
  <c r="B1742" i="4"/>
  <c r="B1741" i="4"/>
  <c r="B1740" i="4"/>
  <c r="B1739" i="4"/>
  <c r="B1738" i="4"/>
  <c r="B1737" i="4"/>
  <c r="B1736" i="4"/>
  <c r="B1735" i="4"/>
  <c r="B1734" i="4"/>
  <c r="B1733" i="4"/>
  <c r="B1732" i="4"/>
  <c r="B1731" i="4"/>
  <c r="B1730" i="4"/>
  <c r="B1729" i="4"/>
  <c r="B1728" i="4"/>
  <c r="B1727" i="4"/>
  <c r="B1726" i="4"/>
  <c r="B1725" i="4"/>
  <c r="B1724" i="4"/>
  <c r="B1723" i="4"/>
  <c r="B1722" i="4"/>
  <c r="B1721" i="4"/>
  <c r="B1720" i="4"/>
  <c r="B1719" i="4"/>
  <c r="B1718" i="4"/>
  <c r="B1717" i="4"/>
  <c r="B1716" i="4"/>
  <c r="B1715" i="4"/>
  <c r="B1714" i="4"/>
  <c r="B1713" i="4"/>
  <c r="B1712" i="4"/>
  <c r="B1711" i="4"/>
  <c r="B1710" i="4"/>
  <c r="B1709" i="4"/>
  <c r="B1708" i="4"/>
  <c r="B1707" i="4"/>
  <c r="B1706" i="4"/>
  <c r="B1705" i="4"/>
  <c r="B1704" i="4"/>
  <c r="B1703" i="4"/>
  <c r="B1702" i="4"/>
  <c r="B1701" i="4"/>
  <c r="B1700" i="4"/>
  <c r="B1699" i="4"/>
  <c r="B1698" i="4"/>
  <c r="B1697" i="4"/>
  <c r="B1696" i="4"/>
  <c r="B1695" i="4"/>
  <c r="B1694" i="4"/>
  <c r="B1693" i="4"/>
  <c r="B1692" i="4"/>
  <c r="B1691" i="4"/>
  <c r="B1690" i="4"/>
  <c r="B1689" i="4"/>
  <c r="B1688" i="4"/>
  <c r="B1687" i="4"/>
  <c r="B1686" i="4"/>
  <c r="B1685" i="4"/>
  <c r="B1684" i="4"/>
  <c r="B1683" i="4"/>
  <c r="B1682" i="4"/>
  <c r="B1681" i="4"/>
  <c r="B1680" i="4"/>
  <c r="B1679" i="4"/>
  <c r="B1678" i="4"/>
  <c r="B1677" i="4"/>
  <c r="B1676" i="4"/>
  <c r="B1675" i="4"/>
  <c r="B1674" i="4"/>
  <c r="B1673" i="4"/>
  <c r="B1672" i="4"/>
  <c r="B1671" i="4"/>
  <c r="B1670" i="4"/>
  <c r="B1669" i="4"/>
  <c r="B1668" i="4"/>
  <c r="B1667" i="4"/>
  <c r="B1666" i="4"/>
  <c r="B1665" i="4"/>
  <c r="B1664" i="4"/>
  <c r="B1663" i="4"/>
  <c r="B1662" i="4"/>
  <c r="B1661" i="4"/>
  <c r="B1660" i="4"/>
  <c r="B1659" i="4"/>
  <c r="B1658" i="4"/>
  <c r="B1657" i="4"/>
  <c r="B1656" i="4"/>
  <c r="B1655" i="4"/>
  <c r="B1654" i="4"/>
  <c r="B1653" i="4"/>
  <c r="B1652" i="4"/>
  <c r="B1651" i="4"/>
  <c r="B1650" i="4"/>
  <c r="B1649" i="4"/>
  <c r="B1648" i="4"/>
  <c r="B1647" i="4"/>
  <c r="B1646" i="4"/>
  <c r="B1645" i="4"/>
  <c r="B1644" i="4"/>
  <c r="B1643" i="4"/>
  <c r="B1642" i="4"/>
  <c r="B1641" i="4"/>
  <c r="B1640" i="4"/>
  <c r="B1639" i="4"/>
  <c r="B1638" i="4"/>
  <c r="B1637" i="4"/>
  <c r="B1636" i="4"/>
  <c r="B1635" i="4"/>
  <c r="B1634" i="4"/>
  <c r="B1633" i="4"/>
  <c r="B1632" i="4"/>
  <c r="B1631" i="4"/>
  <c r="B1630" i="4"/>
  <c r="B1629" i="4"/>
  <c r="B1628" i="4"/>
  <c r="B1627" i="4"/>
  <c r="B1626" i="4"/>
  <c r="B1625" i="4"/>
  <c r="B1624" i="4"/>
  <c r="B1623" i="4"/>
  <c r="B1622" i="4"/>
  <c r="B1621" i="4"/>
  <c r="D1620" i="4"/>
  <c r="B1620" i="4"/>
  <c r="B1619" i="4"/>
  <c r="B1618" i="4"/>
  <c r="B1617" i="4"/>
  <c r="B1616" i="4"/>
  <c r="B1615" i="4"/>
  <c r="B1614" i="4"/>
  <c r="B1613" i="4"/>
  <c r="B1612" i="4"/>
  <c r="B1611" i="4"/>
  <c r="B1610" i="4"/>
  <c r="B1609" i="4"/>
  <c r="B1608" i="4"/>
  <c r="B1607" i="4"/>
  <c r="B1606" i="4"/>
  <c r="B1605" i="4"/>
  <c r="B1604" i="4"/>
  <c r="B1603" i="4"/>
  <c r="B1602" i="4"/>
  <c r="B1601" i="4"/>
  <c r="B1600" i="4"/>
  <c r="B1599" i="4"/>
  <c r="B1598" i="4"/>
  <c r="B1597" i="4"/>
  <c r="B1596" i="4"/>
  <c r="B1595" i="4"/>
  <c r="B1594" i="4"/>
  <c r="B1593" i="4"/>
  <c r="B1592" i="4"/>
  <c r="B1591" i="4"/>
  <c r="B1590" i="4"/>
  <c r="B1589" i="4"/>
  <c r="B1588" i="4"/>
  <c r="B1587" i="4"/>
  <c r="B1586" i="4"/>
  <c r="B1585" i="4"/>
  <c r="B1584" i="4"/>
  <c r="B1583" i="4"/>
  <c r="B1582" i="4"/>
  <c r="B1581" i="4"/>
  <c r="B1580" i="4"/>
  <c r="B1579" i="4"/>
  <c r="B1578" i="4"/>
  <c r="B1577" i="4"/>
  <c r="B1576" i="4"/>
  <c r="B1575" i="4"/>
  <c r="B1574" i="4"/>
  <c r="B1573" i="4"/>
  <c r="B1572" i="4"/>
  <c r="B1571" i="4"/>
  <c r="B1570" i="4"/>
  <c r="B1569" i="4"/>
  <c r="B1568" i="4"/>
  <c r="B1567" i="4"/>
  <c r="B1566" i="4"/>
  <c r="B1565" i="4"/>
  <c r="B1564" i="4"/>
  <c r="B1563" i="4"/>
  <c r="B1562" i="4"/>
  <c r="B1561" i="4"/>
  <c r="B1560" i="4"/>
  <c r="B1559" i="4"/>
  <c r="B1558" i="4"/>
  <c r="B1557" i="4"/>
  <c r="B1556" i="4"/>
  <c r="B1555" i="4"/>
  <c r="B1554" i="4"/>
  <c r="B1553" i="4"/>
  <c r="B1552" i="4"/>
  <c r="B1551" i="4"/>
  <c r="B1550" i="4"/>
  <c r="B1549" i="4"/>
  <c r="B1548" i="4"/>
  <c r="B1547" i="4"/>
  <c r="B1546" i="4"/>
  <c r="B1545" i="4"/>
  <c r="B1544" i="4"/>
  <c r="B1543" i="4"/>
  <c r="B1542" i="4"/>
  <c r="B1541" i="4"/>
  <c r="B1540" i="4"/>
  <c r="B1539" i="4"/>
  <c r="B1538" i="4"/>
  <c r="B1537" i="4"/>
  <c r="B1536" i="4"/>
  <c r="B1535" i="4"/>
  <c r="B1534" i="4"/>
  <c r="B1533" i="4"/>
  <c r="B1532" i="4"/>
  <c r="B1531" i="4"/>
  <c r="B1530" i="4"/>
  <c r="B1529" i="4"/>
  <c r="B1528" i="4"/>
  <c r="B1527" i="4"/>
  <c r="B1526" i="4"/>
  <c r="B1525" i="4"/>
  <c r="B1524" i="4"/>
  <c r="B1523" i="4"/>
  <c r="B1522" i="4"/>
  <c r="B1521" i="4"/>
  <c r="B1520" i="4"/>
  <c r="B1519" i="4"/>
  <c r="B1518" i="4"/>
  <c r="B1517" i="4"/>
  <c r="B1516" i="4"/>
  <c r="B1515" i="4"/>
  <c r="B1514" i="4"/>
  <c r="B1513" i="4"/>
  <c r="B1512" i="4"/>
  <c r="B1511" i="4"/>
  <c r="B1510" i="4"/>
  <c r="B1509" i="4"/>
  <c r="B1508" i="4"/>
  <c r="B1507" i="4"/>
  <c r="B1506" i="4"/>
  <c r="B1505" i="4"/>
  <c r="B1504" i="4"/>
  <c r="B1503" i="4"/>
  <c r="B1502" i="4"/>
  <c r="B1501" i="4"/>
  <c r="B1500" i="4"/>
  <c r="B1499" i="4"/>
  <c r="B1498" i="4"/>
  <c r="B1497" i="4"/>
  <c r="B1496" i="4"/>
  <c r="B1495" i="4"/>
  <c r="B1494" i="4"/>
  <c r="B1493" i="4"/>
  <c r="B1492" i="4"/>
  <c r="B1491" i="4"/>
  <c r="B1490" i="4"/>
  <c r="B1489" i="4"/>
  <c r="B1488" i="4"/>
  <c r="B1487" i="4"/>
  <c r="B1486" i="4"/>
  <c r="B1485" i="4"/>
  <c r="B1484" i="4"/>
  <c r="B1483" i="4"/>
  <c r="B1482" i="4"/>
  <c r="B1481" i="4"/>
  <c r="B1480" i="4"/>
  <c r="B1479" i="4"/>
  <c r="B1478" i="4"/>
  <c r="B1477" i="4"/>
  <c r="B1476" i="4"/>
  <c r="B1475" i="4"/>
  <c r="B1474" i="4"/>
  <c r="B1473" i="4"/>
  <c r="B1472" i="4"/>
  <c r="B1471" i="4"/>
  <c r="B1470" i="4"/>
  <c r="B1469" i="4"/>
  <c r="B1468" i="4"/>
  <c r="B1467" i="4"/>
  <c r="B1466" i="4"/>
  <c r="B1465" i="4"/>
  <c r="B1464" i="4"/>
  <c r="B1463" i="4"/>
  <c r="B1462" i="4"/>
  <c r="B1461" i="4"/>
  <c r="B1460" i="4"/>
  <c r="B1459" i="4"/>
  <c r="B1458" i="4"/>
  <c r="B1457" i="4"/>
  <c r="B1456" i="4"/>
  <c r="B1455" i="4"/>
  <c r="B1454" i="4"/>
  <c r="B1453" i="4"/>
  <c r="B1452" i="4"/>
  <c r="B1451" i="4"/>
  <c r="B1450" i="4"/>
  <c r="B1449" i="4"/>
  <c r="B1448" i="4"/>
  <c r="B1447" i="4"/>
  <c r="B1446" i="4"/>
  <c r="B1445" i="4"/>
  <c r="B1444" i="4"/>
  <c r="B1443" i="4"/>
  <c r="B1442" i="4"/>
  <c r="B1441" i="4"/>
  <c r="B1440" i="4"/>
  <c r="B1439" i="4"/>
  <c r="B1438" i="4"/>
  <c r="B1437" i="4"/>
  <c r="B1436" i="4"/>
  <c r="B1435" i="4"/>
  <c r="B1434" i="4"/>
  <c r="B1433" i="4"/>
  <c r="B1432" i="4"/>
  <c r="B1431" i="4"/>
  <c r="B1430" i="4"/>
  <c r="B1429" i="4"/>
  <c r="B1428" i="4"/>
  <c r="B1427" i="4"/>
  <c r="B1426" i="4"/>
  <c r="B1425" i="4"/>
  <c r="B1424" i="4"/>
  <c r="B1423" i="4"/>
  <c r="B1422" i="4"/>
  <c r="B1421" i="4"/>
  <c r="B1420" i="4"/>
  <c r="B1419" i="4"/>
  <c r="B1418" i="4"/>
  <c r="B1417" i="4"/>
  <c r="B1416" i="4"/>
  <c r="B1415" i="4"/>
  <c r="B1414" i="4"/>
  <c r="B1413" i="4"/>
  <c r="B1412" i="4"/>
  <c r="B1411" i="4"/>
  <c r="B1410" i="4"/>
  <c r="B1409" i="4"/>
  <c r="B1408" i="4"/>
  <c r="B1407" i="4"/>
  <c r="B1406" i="4"/>
  <c r="B1405" i="4"/>
  <c r="B1404" i="4"/>
  <c r="B1403" i="4"/>
  <c r="B1402" i="4"/>
  <c r="B1401" i="4"/>
  <c r="B1400" i="4"/>
  <c r="B1399" i="4"/>
  <c r="B1398" i="4"/>
  <c r="B1397" i="4"/>
  <c r="B1396" i="4"/>
  <c r="B1395" i="4"/>
  <c r="B1394" i="4"/>
  <c r="B1393" i="4"/>
  <c r="B1392" i="4"/>
  <c r="B1391" i="4"/>
  <c r="B1390" i="4"/>
  <c r="B1389" i="4"/>
  <c r="B1388" i="4"/>
  <c r="B1387" i="4"/>
  <c r="B1386" i="4"/>
  <c r="B1385" i="4"/>
  <c r="B1384" i="4"/>
  <c r="B1383" i="4"/>
  <c r="B1382" i="4"/>
  <c r="B1381" i="4"/>
  <c r="B1380" i="4"/>
  <c r="B1379" i="4"/>
  <c r="B1378" i="4"/>
  <c r="B1377" i="4"/>
  <c r="B1376" i="4"/>
  <c r="B1375" i="4"/>
  <c r="B1374" i="4"/>
  <c r="B1373" i="4"/>
  <c r="B1372" i="4"/>
  <c r="B1371" i="4"/>
  <c r="B1370" i="4"/>
  <c r="B1369" i="4"/>
  <c r="B1368" i="4"/>
  <c r="B1367" i="4"/>
  <c r="B1366" i="4"/>
  <c r="B1365" i="4"/>
  <c r="B1364" i="4"/>
  <c r="B1363" i="4"/>
  <c r="B1362" i="4"/>
  <c r="B1361" i="4"/>
  <c r="B1360" i="4"/>
  <c r="B1359" i="4"/>
  <c r="B1358" i="4"/>
  <c r="B1357" i="4"/>
  <c r="B1356" i="4"/>
  <c r="B1355" i="4"/>
  <c r="B1354" i="4"/>
  <c r="B1353" i="4"/>
  <c r="B1352" i="4"/>
  <c r="B1351" i="4"/>
  <c r="B1350" i="4"/>
  <c r="B1349" i="4"/>
  <c r="B1348" i="4"/>
  <c r="B1347" i="4"/>
  <c r="B1346" i="4"/>
  <c r="B1345" i="4"/>
  <c r="B1344" i="4"/>
  <c r="B1343" i="4"/>
  <c r="B1342" i="4"/>
  <c r="B1341" i="4"/>
  <c r="B1340" i="4"/>
  <c r="B1339" i="4"/>
  <c r="B1338" i="4"/>
  <c r="B1337" i="4"/>
  <c r="B1336" i="4"/>
  <c r="B1335" i="4"/>
  <c r="B1334" i="4"/>
  <c r="B1333" i="4"/>
  <c r="B1332" i="4"/>
  <c r="B1331" i="4"/>
  <c r="B1330" i="4"/>
  <c r="B1329" i="4"/>
  <c r="B1328" i="4"/>
  <c r="B1327" i="4"/>
  <c r="B1326" i="4"/>
  <c r="B1325" i="4"/>
  <c r="B1324" i="4"/>
  <c r="B1323" i="4"/>
  <c r="B1322" i="4"/>
  <c r="B1321" i="4"/>
  <c r="B1320" i="4"/>
  <c r="B1319" i="4"/>
  <c r="B1318" i="4"/>
  <c r="B1317" i="4"/>
  <c r="B1316" i="4"/>
  <c r="B1315" i="4"/>
  <c r="B1314" i="4"/>
  <c r="B1313" i="4"/>
  <c r="B1312" i="4"/>
  <c r="B1311" i="4"/>
  <c r="B1310" i="4"/>
  <c r="B1309" i="4"/>
  <c r="B1308" i="4"/>
  <c r="B1307" i="4"/>
  <c r="B1306" i="4"/>
  <c r="B1305" i="4"/>
  <c r="B1304" i="4"/>
  <c r="B1303" i="4"/>
  <c r="B1302" i="4"/>
  <c r="B1301" i="4"/>
  <c r="B1300" i="4"/>
  <c r="B1299" i="4"/>
  <c r="B1298" i="4"/>
  <c r="B1297" i="4"/>
  <c r="B1296" i="4"/>
  <c r="B1295" i="4"/>
  <c r="B1294" i="4"/>
  <c r="B1293" i="4"/>
  <c r="B1292" i="4"/>
  <c r="B1291" i="4"/>
  <c r="B1290" i="4"/>
  <c r="B1289" i="4"/>
  <c r="B1288" i="4"/>
  <c r="B1287" i="4"/>
  <c r="B1286" i="4"/>
  <c r="B1285" i="4"/>
  <c r="B1284" i="4"/>
  <c r="B1283" i="4"/>
  <c r="B1282" i="4"/>
  <c r="B1281" i="4"/>
  <c r="B1280" i="4"/>
  <c r="B1279" i="4"/>
  <c r="B1278" i="4"/>
  <c r="B1277" i="4"/>
  <c r="B1276" i="4"/>
  <c r="B1275" i="4"/>
  <c r="B1274" i="4"/>
  <c r="B1273" i="4"/>
  <c r="B1272" i="4"/>
  <c r="B1271" i="4"/>
  <c r="B1270" i="4"/>
  <c r="B1269" i="4"/>
  <c r="B1268" i="4"/>
  <c r="B1267" i="4"/>
  <c r="B1266" i="4"/>
  <c r="B1265" i="4"/>
  <c r="B1264" i="4"/>
  <c r="B1263" i="4"/>
  <c r="B1262" i="4"/>
  <c r="B1261" i="4"/>
  <c r="B1260" i="4"/>
  <c r="B1259" i="4"/>
  <c r="B1258" i="4"/>
  <c r="B1257" i="4"/>
  <c r="B1256" i="4"/>
  <c r="B1255" i="4"/>
  <c r="B1254" i="4"/>
  <c r="B1253" i="4"/>
  <c r="B1252" i="4"/>
  <c r="B1251" i="4"/>
  <c r="B1250" i="4"/>
  <c r="B1249" i="4"/>
  <c r="B1248" i="4"/>
  <c r="B1247" i="4"/>
  <c r="B1246" i="4"/>
  <c r="B1245" i="4"/>
  <c r="B1244" i="4"/>
  <c r="B1243" i="4"/>
  <c r="B1242" i="4"/>
  <c r="B1241" i="4"/>
  <c r="B1240" i="4"/>
  <c r="B1239" i="4"/>
  <c r="B1238" i="4"/>
  <c r="B1237" i="4"/>
  <c r="B1236" i="4"/>
  <c r="B1235" i="4"/>
  <c r="B1234" i="4"/>
  <c r="B1233" i="4"/>
  <c r="B1232" i="4"/>
  <c r="B1231" i="4"/>
  <c r="B1230" i="4"/>
  <c r="B1229" i="4"/>
  <c r="B1228" i="4"/>
  <c r="B1227" i="4"/>
  <c r="B1226" i="4"/>
  <c r="B1225" i="4"/>
  <c r="B1224" i="4"/>
  <c r="B1223" i="4"/>
  <c r="B1222" i="4"/>
  <c r="B1221" i="4"/>
  <c r="B1220" i="4"/>
  <c r="B1219" i="4"/>
  <c r="B1218" i="4"/>
  <c r="B1217" i="4"/>
  <c r="B1216" i="4"/>
  <c r="B1215" i="4"/>
  <c r="B1214" i="4"/>
  <c r="B1213" i="4"/>
  <c r="B1212" i="4"/>
  <c r="B1211" i="4"/>
  <c r="B1210" i="4"/>
  <c r="B1209" i="4"/>
  <c r="B1208" i="4"/>
  <c r="B1207" i="4"/>
  <c r="B1206" i="4"/>
  <c r="B1205" i="4"/>
  <c r="B1204" i="4"/>
  <c r="B1203" i="4"/>
  <c r="B1202" i="4"/>
  <c r="B1201" i="4"/>
  <c r="B1200" i="4"/>
  <c r="B1199" i="4"/>
  <c r="B1198" i="4"/>
  <c r="B1197" i="4"/>
  <c r="B1196" i="4"/>
  <c r="B1195" i="4"/>
  <c r="B1194" i="4"/>
  <c r="B1193" i="4"/>
  <c r="B1192" i="4"/>
  <c r="B1191" i="4"/>
  <c r="B1190" i="4"/>
  <c r="B1189" i="4"/>
  <c r="B1188" i="4"/>
  <c r="B1187" i="4"/>
  <c r="B1186" i="4"/>
  <c r="B1185" i="4"/>
  <c r="B1184" i="4"/>
  <c r="B1183" i="4"/>
  <c r="B1182" i="4"/>
  <c r="B1181" i="4"/>
  <c r="B1180" i="4"/>
  <c r="B1179" i="4"/>
  <c r="B1178" i="4"/>
  <c r="B1177" i="4"/>
  <c r="B1176" i="4"/>
  <c r="B1175" i="4"/>
  <c r="B1174" i="4"/>
  <c r="B1173" i="4"/>
  <c r="B1172" i="4"/>
  <c r="B1171" i="4"/>
  <c r="B1170" i="4"/>
  <c r="B1169" i="4"/>
  <c r="B1168" i="4"/>
  <c r="B1167" i="4"/>
  <c r="B1166" i="4"/>
  <c r="B1165" i="4"/>
  <c r="B1164" i="4"/>
  <c r="B1163" i="4"/>
  <c r="B1162" i="4"/>
  <c r="B1161" i="4"/>
  <c r="B1160" i="4"/>
  <c r="B1159" i="4"/>
  <c r="B1158" i="4"/>
  <c r="B1157" i="4"/>
  <c r="B1156" i="4"/>
  <c r="B1155" i="4"/>
  <c r="B1154" i="4"/>
  <c r="B1153" i="4"/>
  <c r="B1152" i="4"/>
  <c r="B1151" i="4"/>
  <c r="B1150" i="4"/>
  <c r="B1149" i="4"/>
  <c r="B1148" i="4"/>
  <c r="B1147" i="4"/>
  <c r="B1146" i="4"/>
  <c r="B1145" i="4"/>
  <c r="B1144" i="4"/>
  <c r="B1143" i="4"/>
  <c r="B1142" i="4"/>
  <c r="B1141" i="4"/>
  <c r="B1140" i="4"/>
  <c r="B1139" i="4"/>
  <c r="B1138" i="4"/>
  <c r="B1137" i="4"/>
  <c r="B1136" i="4"/>
  <c r="B1135" i="4"/>
  <c r="B1134" i="4"/>
  <c r="B1133" i="4"/>
  <c r="B1132" i="4"/>
  <c r="B1131" i="4"/>
  <c r="B1130" i="4"/>
  <c r="B1129" i="4"/>
  <c r="B1128" i="4"/>
  <c r="B1127" i="4"/>
  <c r="B1126" i="4"/>
  <c r="B1125" i="4"/>
  <c r="B1124" i="4"/>
  <c r="B1123" i="4"/>
  <c r="B1122" i="4"/>
  <c r="B1121" i="4"/>
  <c r="B1120" i="4"/>
  <c r="B1119" i="4"/>
  <c r="B1118" i="4"/>
  <c r="B1117" i="4"/>
  <c r="B1116" i="4"/>
  <c r="B1115" i="4"/>
  <c r="B1114" i="4"/>
  <c r="B1113" i="4"/>
  <c r="B1112" i="4"/>
  <c r="B1111" i="4"/>
  <c r="B1110" i="4"/>
  <c r="B1109" i="4"/>
  <c r="B1108" i="4"/>
  <c r="B1107" i="4"/>
  <c r="B1106" i="4"/>
  <c r="B1105" i="4"/>
  <c r="B1104" i="4"/>
  <c r="B1103" i="4"/>
  <c r="B1102" i="4"/>
  <c r="B1101" i="4"/>
  <c r="B1100" i="4"/>
  <c r="B1099" i="4"/>
  <c r="B1098" i="4"/>
  <c r="B1097" i="4"/>
  <c r="B1096" i="4"/>
  <c r="B1095" i="4"/>
  <c r="B1094" i="4"/>
  <c r="B1093" i="4"/>
  <c r="B1092" i="4"/>
  <c r="B1091" i="4"/>
  <c r="B1090" i="4"/>
  <c r="B1089" i="4"/>
  <c r="B1088" i="4"/>
  <c r="B1087" i="4"/>
  <c r="B1086" i="4"/>
  <c r="B1085" i="4"/>
  <c r="B1084" i="4"/>
  <c r="B1083" i="4"/>
  <c r="B1082" i="4"/>
  <c r="B1081" i="4"/>
  <c r="B1080" i="4"/>
  <c r="B1079" i="4"/>
  <c r="B1078" i="4"/>
  <c r="B1077" i="4"/>
  <c r="B1076" i="4"/>
  <c r="B1075" i="4"/>
  <c r="B1074" i="4"/>
  <c r="B1073" i="4"/>
  <c r="B1072" i="4"/>
  <c r="B1071" i="4"/>
  <c r="B1070" i="4"/>
  <c r="B1069" i="4"/>
  <c r="B1068" i="4"/>
  <c r="B1067" i="4"/>
  <c r="B1066" i="4"/>
  <c r="B1065" i="4"/>
  <c r="B1064" i="4"/>
  <c r="B1063" i="4"/>
  <c r="B1062" i="4"/>
  <c r="B1061" i="4"/>
  <c r="B1060" i="4"/>
  <c r="B1059" i="4"/>
  <c r="B1058" i="4"/>
  <c r="B1057" i="4"/>
  <c r="B1056" i="4"/>
  <c r="B1055" i="4"/>
  <c r="B1054" i="4"/>
  <c r="B1053" i="4"/>
  <c r="B1052" i="4"/>
  <c r="B1051" i="4"/>
  <c r="B1050" i="4"/>
  <c r="B1049" i="4"/>
  <c r="B1048" i="4"/>
  <c r="B1047" i="4"/>
  <c r="B1046" i="4"/>
  <c r="B1045" i="4"/>
  <c r="B1044" i="4"/>
  <c r="B1043" i="4"/>
  <c r="B1042" i="4"/>
  <c r="B1041" i="4"/>
  <c r="B1040" i="4"/>
  <c r="B1039" i="4"/>
  <c r="B1038" i="4"/>
  <c r="B1037" i="4"/>
  <c r="B1036" i="4"/>
  <c r="B1035" i="4"/>
  <c r="B1034" i="4"/>
  <c r="B1033" i="4"/>
  <c r="B1032" i="4"/>
  <c r="B1031" i="4"/>
  <c r="B1030" i="4"/>
  <c r="B1029" i="4"/>
  <c r="B1028" i="4"/>
  <c r="B1027" i="4"/>
  <c r="B1026" i="4"/>
  <c r="B1025" i="4"/>
  <c r="B1024" i="4"/>
  <c r="B1023" i="4"/>
  <c r="B1022" i="4"/>
  <c r="B1021" i="4"/>
  <c r="B1020" i="4"/>
  <c r="B1019" i="4"/>
  <c r="B1018" i="4"/>
  <c r="B1017" i="4"/>
  <c r="B1016" i="4"/>
  <c r="B1015" i="4"/>
  <c r="B1014" i="4"/>
  <c r="B1013" i="4"/>
  <c r="B1012" i="4"/>
  <c r="B1011" i="4"/>
  <c r="B1010" i="4"/>
  <c r="B1009" i="4"/>
  <c r="B1008" i="4"/>
  <c r="B1007" i="4"/>
  <c r="B1006" i="4"/>
  <c r="B1005" i="4"/>
  <c r="B1004" i="4"/>
  <c r="B1003" i="4"/>
  <c r="B1002" i="4"/>
  <c r="B1001" i="4"/>
  <c r="B1000" i="4"/>
  <c r="B999" i="4"/>
  <c r="B998" i="4"/>
  <c r="B997" i="4"/>
  <c r="B996" i="4"/>
  <c r="B995" i="4"/>
  <c r="B994" i="4"/>
  <c r="B993" i="4"/>
  <c r="B992" i="4"/>
  <c r="B991" i="4"/>
  <c r="B990" i="4"/>
  <c r="B989" i="4"/>
  <c r="B988" i="4"/>
  <c r="B987" i="4"/>
  <c r="B986" i="4"/>
  <c r="B985" i="4"/>
  <c r="B984" i="4"/>
  <c r="B983" i="4"/>
  <c r="B982" i="4"/>
  <c r="B981" i="4"/>
  <c r="B980" i="4"/>
  <c r="B979" i="4"/>
  <c r="B978" i="4"/>
  <c r="B977" i="4"/>
  <c r="B976" i="4"/>
  <c r="B975" i="4"/>
  <c r="B974" i="4"/>
  <c r="B973" i="4"/>
  <c r="B972" i="4"/>
  <c r="B971" i="4"/>
  <c r="B970" i="4"/>
  <c r="B969" i="4"/>
  <c r="B968" i="4"/>
  <c r="B967" i="4"/>
  <c r="B966" i="4"/>
  <c r="B965" i="4"/>
  <c r="B964" i="4"/>
  <c r="B963" i="4"/>
  <c r="B962" i="4"/>
  <c r="B961" i="4"/>
  <c r="B960" i="4"/>
  <c r="B959" i="4"/>
  <c r="B958" i="4"/>
  <c r="B957" i="4"/>
  <c r="B956" i="4"/>
  <c r="B955" i="4"/>
  <c r="B954" i="4"/>
  <c r="B953" i="4"/>
  <c r="B952" i="4"/>
  <c r="B951" i="4"/>
  <c r="B950" i="4"/>
  <c r="B949" i="4"/>
  <c r="B948" i="4"/>
  <c r="B947" i="4"/>
  <c r="B946" i="4"/>
  <c r="B945" i="4"/>
  <c r="B944" i="4"/>
  <c r="B943" i="4"/>
  <c r="B942" i="4"/>
  <c r="B941" i="4"/>
  <c r="B940" i="4"/>
  <c r="B939" i="4"/>
  <c r="B938" i="4"/>
  <c r="B937" i="4"/>
  <c r="B936" i="4"/>
  <c r="B935" i="4"/>
  <c r="B934" i="4"/>
  <c r="B933" i="4"/>
  <c r="B932" i="4"/>
  <c r="B931" i="4"/>
  <c r="B930" i="4"/>
  <c r="B929" i="4"/>
  <c r="B928" i="4"/>
  <c r="B927" i="4"/>
  <c r="B926" i="4"/>
  <c r="B925" i="4"/>
  <c r="B924" i="4"/>
  <c r="B923" i="4"/>
  <c r="B922" i="4"/>
  <c r="B921" i="4"/>
  <c r="B920" i="4"/>
  <c r="B919" i="4"/>
  <c r="B918" i="4"/>
  <c r="B917" i="4"/>
  <c r="B916" i="4"/>
  <c r="B915" i="4"/>
  <c r="B914" i="4"/>
  <c r="B913" i="4"/>
  <c r="B912" i="4"/>
  <c r="B911" i="4"/>
  <c r="B910" i="4"/>
  <c r="B909" i="4"/>
  <c r="B908" i="4"/>
  <c r="B907" i="4"/>
  <c r="B906" i="4"/>
  <c r="B905" i="4"/>
  <c r="B904" i="4"/>
  <c r="B903" i="4"/>
  <c r="B902" i="4"/>
  <c r="B901" i="4"/>
  <c r="B900" i="4"/>
  <c r="B899" i="4"/>
  <c r="B898" i="4"/>
  <c r="B897" i="4"/>
  <c r="B896" i="4"/>
  <c r="B895" i="4"/>
  <c r="B894" i="4"/>
  <c r="B893" i="4"/>
  <c r="B892" i="4"/>
  <c r="B891" i="4"/>
  <c r="B890" i="4"/>
  <c r="B889" i="4"/>
  <c r="B888" i="4"/>
  <c r="B887" i="4"/>
  <c r="B886" i="4"/>
  <c r="B885" i="4"/>
  <c r="B884" i="4"/>
  <c r="B883" i="4"/>
  <c r="B882" i="4"/>
  <c r="B881" i="4"/>
  <c r="B880" i="4"/>
  <c r="B879" i="4"/>
  <c r="B878" i="4"/>
  <c r="B877" i="4"/>
  <c r="B876" i="4"/>
  <c r="B875" i="4"/>
  <c r="B874" i="4"/>
  <c r="B873" i="4"/>
  <c r="B872" i="4"/>
  <c r="B871" i="4"/>
  <c r="B870" i="4"/>
  <c r="B869" i="4"/>
  <c r="B868" i="4"/>
  <c r="B867" i="4"/>
  <c r="B866" i="4"/>
  <c r="B865" i="4"/>
  <c r="B864" i="4"/>
  <c r="B863" i="4"/>
  <c r="B862" i="4"/>
  <c r="B861" i="4"/>
  <c r="B860" i="4"/>
  <c r="B859" i="4"/>
  <c r="B858" i="4"/>
  <c r="B857" i="4"/>
  <c r="B856" i="4"/>
  <c r="B855" i="4"/>
  <c r="B854" i="4"/>
  <c r="B853" i="4"/>
  <c r="B852" i="4"/>
  <c r="B851" i="4"/>
  <c r="B850" i="4"/>
  <c r="B849" i="4"/>
  <c r="B848" i="4"/>
  <c r="B847" i="4"/>
  <c r="B846" i="4"/>
  <c r="B845" i="4"/>
  <c r="B844" i="4"/>
  <c r="B843" i="4"/>
  <c r="B842" i="4"/>
  <c r="B841" i="4"/>
  <c r="B840" i="4"/>
  <c r="B839" i="4"/>
  <c r="B838" i="4"/>
  <c r="B837" i="4"/>
  <c r="B836" i="4"/>
  <c r="B835" i="4"/>
  <c r="B834" i="4"/>
  <c r="B833" i="4"/>
  <c r="B832" i="4"/>
  <c r="B831" i="4"/>
  <c r="B830" i="4"/>
  <c r="B829" i="4"/>
  <c r="B828" i="4"/>
  <c r="B827" i="4"/>
  <c r="B826" i="4"/>
  <c r="B825" i="4"/>
  <c r="B824" i="4"/>
  <c r="B823" i="4"/>
  <c r="B822" i="4"/>
  <c r="B821" i="4"/>
  <c r="B820" i="4"/>
  <c r="B819" i="4"/>
  <c r="B818" i="4"/>
  <c r="B817" i="4"/>
  <c r="B816" i="4"/>
  <c r="B815" i="4"/>
  <c r="B814" i="4"/>
  <c r="B813" i="4"/>
  <c r="B812" i="4"/>
  <c r="B811" i="4"/>
  <c r="B810" i="4"/>
  <c r="B809" i="4"/>
  <c r="B808" i="4"/>
  <c r="B807" i="4"/>
  <c r="B806" i="4"/>
  <c r="B805" i="4"/>
  <c r="B804" i="4"/>
  <c r="B803" i="4"/>
  <c r="B802" i="4"/>
  <c r="B801" i="4"/>
  <c r="B800" i="4"/>
  <c r="B799" i="4"/>
  <c r="B798" i="4"/>
  <c r="B797" i="4"/>
  <c r="B796" i="4"/>
  <c r="B795" i="4"/>
  <c r="B794" i="4"/>
  <c r="B793" i="4"/>
  <c r="B792" i="4"/>
  <c r="B791" i="4"/>
  <c r="B790" i="4"/>
  <c r="B789" i="4"/>
  <c r="B788" i="4"/>
  <c r="B787" i="4"/>
  <c r="B786" i="4"/>
  <c r="B785" i="4"/>
  <c r="B784" i="4"/>
  <c r="B783" i="4"/>
  <c r="B782" i="4"/>
  <c r="B781" i="4"/>
  <c r="B780" i="4"/>
  <c r="B779" i="4"/>
  <c r="B778" i="4"/>
  <c r="B777" i="4"/>
  <c r="B776" i="4"/>
  <c r="B775" i="4"/>
  <c r="B774" i="4"/>
  <c r="B773" i="4"/>
  <c r="B772" i="4"/>
  <c r="B771" i="4"/>
  <c r="B770" i="4"/>
  <c r="B769" i="4"/>
  <c r="B768" i="4"/>
  <c r="B767" i="4"/>
  <c r="B766" i="4"/>
  <c r="B765" i="4"/>
  <c r="B764" i="4"/>
  <c r="B763" i="4"/>
  <c r="B762" i="4"/>
  <c r="B761" i="4"/>
  <c r="B760" i="4"/>
  <c r="B759" i="4"/>
  <c r="B758" i="4"/>
  <c r="B757" i="4"/>
  <c r="B756" i="4"/>
  <c r="B755" i="4"/>
  <c r="B754" i="4"/>
  <c r="B753" i="4"/>
  <c r="B752" i="4"/>
  <c r="B751" i="4"/>
  <c r="B750" i="4"/>
  <c r="B749" i="4"/>
  <c r="B748" i="4"/>
  <c r="B747" i="4"/>
  <c r="B746" i="4"/>
  <c r="B745" i="4"/>
  <c r="B744" i="4"/>
  <c r="B743" i="4"/>
  <c r="B742" i="4"/>
  <c r="B741" i="4"/>
  <c r="B740" i="4"/>
  <c r="B739" i="4"/>
  <c r="B738" i="4"/>
  <c r="B737" i="4"/>
  <c r="B736" i="4"/>
  <c r="B735" i="4"/>
  <c r="B734" i="4"/>
  <c r="B733" i="4"/>
  <c r="B732" i="4"/>
  <c r="B731" i="4"/>
  <c r="B730" i="4"/>
  <c r="B729" i="4"/>
  <c r="B728" i="4"/>
  <c r="B727" i="4"/>
  <c r="B726" i="4"/>
  <c r="B725" i="4"/>
  <c r="B724" i="4"/>
  <c r="B723" i="4"/>
  <c r="B722" i="4"/>
  <c r="B721" i="4"/>
  <c r="B720" i="4"/>
  <c r="B719" i="4"/>
  <c r="B718" i="4"/>
  <c r="B717" i="4"/>
  <c r="B716" i="4"/>
  <c r="B715" i="4"/>
  <c r="B714" i="4"/>
  <c r="B713" i="4"/>
  <c r="B712" i="4"/>
  <c r="B711" i="4"/>
  <c r="B710" i="4"/>
  <c r="B709" i="4"/>
  <c r="B708" i="4"/>
  <c r="B707" i="4"/>
  <c r="B706" i="4"/>
  <c r="B705" i="4"/>
  <c r="B704" i="4"/>
  <c r="B703" i="4"/>
  <c r="B702" i="4"/>
  <c r="B701" i="4"/>
  <c r="B700" i="4"/>
  <c r="B699" i="4"/>
  <c r="B698" i="4"/>
  <c r="B697" i="4"/>
  <c r="B696" i="4"/>
  <c r="B695" i="4"/>
  <c r="B694" i="4"/>
  <c r="B693" i="4"/>
  <c r="B692" i="4"/>
  <c r="B691" i="4"/>
  <c r="B690" i="4"/>
  <c r="B689" i="4"/>
  <c r="B688" i="4"/>
  <c r="B687" i="4"/>
  <c r="B686" i="4"/>
  <c r="B685" i="4"/>
  <c r="B684" i="4"/>
  <c r="B683" i="4"/>
  <c r="B682" i="4"/>
  <c r="B681" i="4"/>
  <c r="B680" i="4"/>
  <c r="B679" i="4"/>
  <c r="B678" i="4"/>
  <c r="B677" i="4"/>
  <c r="B676" i="4"/>
  <c r="B675" i="4"/>
  <c r="B674" i="4"/>
  <c r="B673" i="4"/>
  <c r="B672" i="4"/>
  <c r="B671" i="4"/>
  <c r="B670" i="4"/>
  <c r="B669" i="4"/>
  <c r="B668" i="4"/>
  <c r="B667" i="4"/>
  <c r="B666" i="4"/>
  <c r="B665" i="4"/>
  <c r="B664" i="4"/>
  <c r="B663" i="4"/>
  <c r="B662" i="4"/>
  <c r="B661" i="4"/>
  <c r="B660" i="4"/>
  <c r="B659" i="4"/>
  <c r="B658" i="4"/>
  <c r="B657" i="4"/>
  <c r="B656" i="4"/>
  <c r="B655" i="4"/>
  <c r="B654" i="4"/>
  <c r="B653" i="4"/>
  <c r="B652" i="4"/>
  <c r="B651" i="4"/>
  <c r="B650" i="4"/>
  <c r="B649" i="4"/>
  <c r="B648" i="4"/>
  <c r="B647" i="4"/>
  <c r="B646" i="4"/>
  <c r="B645" i="4"/>
  <c r="B644" i="4"/>
  <c r="B643" i="4"/>
  <c r="B642" i="4"/>
  <c r="B641" i="4"/>
  <c r="B640" i="4"/>
  <c r="B639" i="4"/>
  <c r="B638" i="4"/>
  <c r="B637" i="4"/>
  <c r="B636" i="4"/>
  <c r="B635" i="4"/>
  <c r="B634" i="4"/>
  <c r="B633" i="4"/>
  <c r="B632" i="4"/>
  <c r="B631" i="4"/>
  <c r="B630" i="4"/>
  <c r="B629" i="4"/>
  <c r="B628" i="4"/>
  <c r="B627" i="4"/>
  <c r="B626" i="4"/>
  <c r="B625" i="4"/>
  <c r="B624" i="4"/>
  <c r="B623" i="4"/>
  <c r="B622" i="4"/>
  <c r="B621" i="4"/>
  <c r="B620" i="4"/>
  <c r="B619" i="4"/>
  <c r="B618" i="4"/>
  <c r="B617" i="4"/>
  <c r="B616" i="4"/>
  <c r="B615" i="4"/>
  <c r="B614" i="4"/>
  <c r="B613" i="4"/>
  <c r="B612" i="4"/>
  <c r="B611" i="4"/>
  <c r="B610" i="4"/>
  <c r="B609" i="4"/>
  <c r="B608" i="4"/>
  <c r="B607" i="4"/>
  <c r="B606" i="4"/>
  <c r="B605" i="4"/>
  <c r="B604" i="4"/>
  <c r="B603" i="4"/>
  <c r="B602" i="4"/>
  <c r="B601" i="4"/>
  <c r="B600" i="4"/>
  <c r="B599" i="4"/>
  <c r="B598" i="4"/>
  <c r="B597" i="4"/>
  <c r="B596" i="4"/>
  <c r="B595" i="4"/>
  <c r="B594" i="4"/>
  <c r="B593" i="4"/>
  <c r="B592" i="4"/>
  <c r="B591" i="4"/>
  <c r="B590" i="4"/>
  <c r="B589" i="4"/>
  <c r="B588" i="4"/>
  <c r="B587" i="4"/>
  <c r="B586" i="4"/>
  <c r="B585" i="4"/>
  <c r="B584" i="4"/>
  <c r="B583" i="4"/>
  <c r="B582" i="4"/>
  <c r="B581" i="4"/>
  <c r="B580" i="4"/>
  <c r="B579" i="4"/>
  <c r="B578" i="4"/>
  <c r="B577" i="4"/>
  <c r="B576" i="4"/>
  <c r="B575" i="4"/>
  <c r="B574" i="4"/>
  <c r="B573" i="4"/>
  <c r="B572" i="4"/>
  <c r="B571" i="4"/>
  <c r="B570" i="4"/>
  <c r="B569" i="4"/>
  <c r="B568" i="4"/>
  <c r="B567" i="4"/>
  <c r="B566" i="4"/>
  <c r="B565" i="4"/>
  <c r="B564" i="4"/>
  <c r="B563" i="4"/>
  <c r="B562" i="4"/>
  <c r="B561" i="4"/>
  <c r="B560" i="4"/>
  <c r="B559" i="4"/>
  <c r="B558" i="4"/>
  <c r="B557" i="4"/>
  <c r="B556" i="4"/>
  <c r="B555" i="4"/>
  <c r="B554" i="4"/>
  <c r="B553" i="4"/>
  <c r="B552" i="4"/>
  <c r="B551" i="4"/>
  <c r="B550" i="4"/>
  <c r="B549" i="4"/>
  <c r="B548" i="4"/>
  <c r="B547" i="4"/>
  <c r="B546" i="4"/>
  <c r="B545" i="4"/>
  <c r="B544" i="4"/>
  <c r="B543" i="4"/>
  <c r="B542" i="4"/>
  <c r="B541" i="4"/>
  <c r="B540" i="4"/>
  <c r="B539" i="4"/>
  <c r="B538" i="4"/>
  <c r="B537" i="4"/>
  <c r="B536" i="4"/>
  <c r="B535" i="4"/>
  <c r="B534" i="4"/>
  <c r="B533" i="4"/>
  <c r="B532" i="4"/>
  <c r="B531" i="4"/>
  <c r="B530" i="4"/>
  <c r="B529" i="4"/>
  <c r="B528" i="4"/>
  <c r="B527" i="4"/>
  <c r="B526" i="4"/>
  <c r="B525" i="4"/>
  <c r="B524" i="4"/>
  <c r="B523" i="4"/>
  <c r="B522" i="4"/>
  <c r="B521" i="4"/>
  <c r="B520" i="4"/>
  <c r="B519" i="4"/>
  <c r="B518" i="4"/>
  <c r="B517" i="4"/>
  <c r="B516" i="4"/>
  <c r="B515" i="4"/>
  <c r="B514" i="4"/>
  <c r="B513" i="4"/>
  <c r="B512" i="4"/>
  <c r="B511" i="4"/>
  <c r="B510" i="4"/>
  <c r="B509" i="4"/>
  <c r="B508" i="4"/>
  <c r="B507" i="4"/>
  <c r="B506" i="4"/>
  <c r="B505" i="4"/>
  <c r="B504" i="4"/>
  <c r="B503" i="4"/>
  <c r="B502" i="4"/>
  <c r="B501" i="4"/>
  <c r="B500" i="4"/>
  <c r="B499" i="4"/>
  <c r="B498" i="4"/>
  <c r="B497" i="4"/>
  <c r="B496" i="4"/>
  <c r="B495" i="4"/>
  <c r="B494" i="4"/>
  <c r="B493" i="4"/>
  <c r="B492" i="4"/>
  <c r="B491" i="4"/>
  <c r="B490" i="4"/>
  <c r="B489" i="4"/>
  <c r="B488" i="4"/>
  <c r="B487" i="4"/>
  <c r="B486" i="4"/>
  <c r="B485" i="4"/>
  <c r="B484" i="4"/>
  <c r="B483" i="4"/>
  <c r="B482" i="4"/>
  <c r="B481" i="4"/>
  <c r="B480" i="4"/>
  <c r="B479" i="4"/>
  <c r="B478" i="4"/>
  <c r="B477" i="4"/>
  <c r="B476" i="4"/>
  <c r="B475" i="4"/>
  <c r="B474" i="4"/>
  <c r="B473" i="4"/>
  <c r="B472" i="4"/>
  <c r="B471" i="4"/>
  <c r="B470" i="4"/>
  <c r="B469" i="4"/>
  <c r="B468" i="4"/>
  <c r="B467" i="4"/>
  <c r="B466" i="4"/>
  <c r="B465" i="4"/>
  <c r="B464" i="4"/>
  <c r="B463" i="4"/>
  <c r="B462" i="4"/>
  <c r="B461" i="4"/>
  <c r="B460" i="4"/>
  <c r="B459" i="4"/>
  <c r="B458" i="4"/>
  <c r="B457" i="4"/>
  <c r="B456" i="4"/>
  <c r="B455" i="4"/>
  <c r="B454" i="4"/>
  <c r="B453" i="4"/>
  <c r="B452" i="4"/>
  <c r="B451" i="4"/>
  <c r="B450" i="4"/>
  <c r="B449" i="4"/>
  <c r="B448" i="4"/>
  <c r="B447" i="4"/>
  <c r="B446" i="4"/>
  <c r="B445" i="4"/>
  <c r="B444" i="4"/>
  <c r="B443" i="4"/>
  <c r="B442" i="4"/>
  <c r="B441" i="4"/>
  <c r="B440" i="4"/>
  <c r="B439" i="4"/>
  <c r="B438" i="4"/>
  <c r="B437" i="4"/>
  <c r="B436" i="4"/>
  <c r="B435" i="4"/>
  <c r="B434" i="4"/>
  <c r="B433" i="4"/>
  <c r="B432" i="4"/>
  <c r="B431" i="4"/>
  <c r="B430" i="4"/>
  <c r="B429" i="4"/>
  <c r="B428" i="4"/>
  <c r="B427" i="4"/>
  <c r="B426" i="4"/>
  <c r="B425" i="4"/>
  <c r="B424" i="4"/>
  <c r="B423" i="4"/>
  <c r="B422" i="4"/>
  <c r="B421" i="4"/>
  <c r="B420" i="4"/>
  <c r="B419" i="4"/>
  <c r="B418" i="4"/>
  <c r="B417" i="4"/>
  <c r="B416" i="4"/>
  <c r="B415" i="4"/>
  <c r="B414" i="4"/>
  <c r="B413" i="4"/>
  <c r="B412" i="4"/>
  <c r="B411" i="4"/>
  <c r="B410" i="4"/>
  <c r="B409" i="4"/>
  <c r="B408" i="4"/>
  <c r="B407" i="4"/>
  <c r="B406" i="4"/>
  <c r="B405" i="4"/>
  <c r="B404" i="4"/>
  <c r="B403" i="4"/>
  <c r="B402" i="4"/>
  <c r="B401" i="4"/>
  <c r="B400" i="4"/>
  <c r="B399" i="4"/>
  <c r="B398" i="4"/>
  <c r="B397" i="4"/>
  <c r="B396" i="4"/>
  <c r="B395" i="4"/>
  <c r="B394" i="4"/>
  <c r="B393" i="4"/>
  <c r="B392" i="4"/>
  <c r="B391" i="4"/>
  <c r="B390" i="4"/>
  <c r="B389" i="4"/>
  <c r="B388" i="4"/>
  <c r="B387" i="4"/>
  <c r="B386" i="4"/>
  <c r="B385" i="4"/>
  <c r="B384" i="4"/>
  <c r="B383" i="4"/>
  <c r="B382" i="4"/>
  <c r="B381" i="4"/>
  <c r="B380" i="4"/>
  <c r="B379" i="4"/>
  <c r="B378" i="4"/>
  <c r="B377" i="4"/>
  <c r="B376" i="4"/>
  <c r="B375" i="4"/>
  <c r="B374" i="4"/>
  <c r="B373" i="4"/>
  <c r="B372" i="4"/>
  <c r="B371" i="4"/>
  <c r="B370" i="4"/>
  <c r="B369" i="4"/>
  <c r="B368" i="4"/>
  <c r="B367" i="4"/>
  <c r="B366" i="4"/>
  <c r="B365" i="4"/>
  <c r="B364" i="4"/>
  <c r="B363" i="4"/>
  <c r="B362" i="4"/>
  <c r="B361" i="4"/>
  <c r="B360" i="4"/>
  <c r="B359" i="4"/>
  <c r="B358" i="4"/>
  <c r="B357" i="4"/>
  <c r="B356" i="4"/>
  <c r="B355" i="4"/>
  <c r="B354" i="4"/>
  <c r="B353" i="4"/>
  <c r="B352" i="4"/>
  <c r="B351" i="4"/>
  <c r="B350" i="4"/>
  <c r="B349" i="4"/>
  <c r="B348" i="4"/>
  <c r="B347" i="4"/>
  <c r="B346" i="4"/>
  <c r="B345" i="4"/>
  <c r="B344" i="4"/>
  <c r="B343" i="4"/>
  <c r="B342" i="4"/>
  <c r="B341" i="4"/>
  <c r="B340" i="4"/>
  <c r="B339" i="4"/>
  <c r="B338" i="4"/>
  <c r="B337" i="4"/>
  <c r="B336" i="4"/>
  <c r="B335" i="4"/>
  <c r="B334" i="4"/>
  <c r="B333" i="4"/>
  <c r="B332" i="4"/>
  <c r="B331" i="4"/>
  <c r="B330" i="4"/>
  <c r="B329" i="4"/>
  <c r="B328" i="4"/>
  <c r="B327" i="4"/>
  <c r="B326" i="4"/>
  <c r="B325" i="4"/>
  <c r="B324" i="4"/>
  <c r="B323" i="4"/>
  <c r="B322" i="4"/>
  <c r="B321" i="4"/>
  <c r="B320" i="4"/>
  <c r="B319" i="4"/>
  <c r="B318" i="4"/>
  <c r="B317" i="4"/>
  <c r="B316" i="4"/>
  <c r="B315" i="4"/>
  <c r="B314" i="4"/>
  <c r="B313" i="4"/>
  <c r="B312" i="4"/>
  <c r="B311" i="4"/>
  <c r="B310" i="4"/>
  <c r="B309" i="4"/>
  <c r="B308" i="4"/>
  <c r="B307" i="4"/>
  <c r="B306" i="4"/>
  <c r="B305" i="4"/>
  <c r="B304" i="4"/>
  <c r="B303" i="4"/>
  <c r="B302" i="4"/>
  <c r="B301" i="4"/>
  <c r="B300" i="4"/>
  <c r="B299" i="4"/>
  <c r="B298" i="4"/>
  <c r="B297" i="4"/>
  <c r="B296" i="4"/>
  <c r="B295" i="4"/>
  <c r="B294" i="4"/>
  <c r="B293" i="4"/>
  <c r="B292" i="4"/>
  <c r="B291" i="4"/>
  <c r="B290" i="4"/>
  <c r="B289" i="4"/>
  <c r="B288" i="4"/>
  <c r="B287" i="4"/>
  <c r="B286" i="4"/>
  <c r="B285" i="4"/>
  <c r="B284" i="4"/>
  <c r="B283" i="4"/>
  <c r="B282" i="4"/>
  <c r="B281" i="4"/>
  <c r="B280" i="4"/>
  <c r="B279" i="4"/>
  <c r="B278" i="4"/>
  <c r="B277" i="4"/>
  <c r="B276" i="4"/>
  <c r="B275" i="4"/>
  <c r="B274" i="4"/>
  <c r="B273" i="4"/>
  <c r="B272" i="4"/>
  <c r="B271" i="4"/>
  <c r="B270" i="4"/>
  <c r="B269" i="4"/>
  <c r="B268" i="4"/>
  <c r="B267" i="4"/>
  <c r="B266" i="4"/>
  <c r="B265" i="4"/>
  <c r="B264" i="4"/>
  <c r="B263" i="4"/>
  <c r="B262" i="4"/>
  <c r="B261" i="4"/>
  <c r="B260" i="4"/>
  <c r="B259" i="4"/>
  <c r="B258" i="4"/>
  <c r="B257" i="4"/>
  <c r="B256" i="4"/>
  <c r="B255" i="4"/>
  <c r="B254" i="4"/>
  <c r="B253" i="4"/>
  <c r="B252" i="4"/>
  <c r="B251" i="4"/>
  <c r="B250" i="4"/>
  <c r="B249" i="4"/>
  <c r="B248" i="4"/>
  <c r="B247" i="4"/>
  <c r="B246" i="4"/>
  <c r="B245" i="4"/>
  <c r="B244" i="4"/>
  <c r="B243" i="4"/>
  <c r="B242" i="4"/>
  <c r="B241" i="4"/>
  <c r="B240" i="4"/>
  <c r="B239" i="4"/>
  <c r="B238" i="4"/>
  <c r="B237" i="4"/>
  <c r="B236" i="4"/>
  <c r="B235" i="4"/>
  <c r="B234" i="4"/>
  <c r="B233" i="4"/>
  <c r="B232" i="4"/>
  <c r="B231" i="4"/>
  <c r="B230" i="4"/>
  <c r="B229" i="4"/>
  <c r="B228" i="4"/>
  <c r="B227" i="4"/>
  <c r="B226" i="4"/>
  <c r="B225" i="4"/>
  <c r="B224" i="4"/>
  <c r="B223" i="4"/>
  <c r="B222" i="4"/>
  <c r="B221" i="4"/>
  <c r="B220" i="4"/>
  <c r="B219" i="4"/>
  <c r="B218" i="4"/>
  <c r="B217" i="4"/>
  <c r="B216" i="4"/>
  <c r="B215" i="4"/>
  <c r="B214" i="4"/>
  <c r="B213" i="4"/>
  <c r="B212" i="4"/>
  <c r="B211" i="4"/>
  <c r="B210" i="4"/>
  <c r="B209" i="4"/>
  <c r="B208" i="4"/>
  <c r="B207" i="4"/>
  <c r="B206" i="4"/>
  <c r="B205" i="4"/>
  <c r="B204" i="4"/>
  <c r="B203" i="4"/>
  <c r="B202" i="4"/>
  <c r="B201" i="4"/>
  <c r="B200" i="4"/>
  <c r="B199" i="4"/>
  <c r="B198" i="4"/>
  <c r="B197" i="4"/>
  <c r="B196" i="4"/>
  <c r="B195" i="4"/>
  <c r="B194" i="4"/>
  <c r="B193" i="4"/>
  <c r="B192" i="4"/>
  <c r="B191" i="4"/>
  <c r="B190" i="4"/>
  <c r="B189" i="4"/>
  <c r="B188" i="4"/>
  <c r="B187" i="4"/>
  <c r="B186" i="4"/>
  <c r="B185" i="4"/>
  <c r="B184" i="4"/>
  <c r="B183" i="4"/>
  <c r="B182" i="4"/>
  <c r="B181" i="4"/>
  <c r="B180" i="4"/>
  <c r="B179" i="4"/>
  <c r="B178" i="4"/>
  <c r="B177" i="4"/>
  <c r="B176" i="4"/>
  <c r="B175" i="4"/>
  <c r="B174" i="4"/>
  <c r="B173" i="4"/>
  <c r="B172" i="4"/>
  <c r="B171" i="4"/>
  <c r="B170" i="4"/>
  <c r="B169" i="4"/>
  <c r="B168" i="4"/>
  <c r="B167" i="4"/>
  <c r="B166" i="4"/>
  <c r="B165" i="4"/>
  <c r="B164" i="4"/>
  <c r="B163" i="4"/>
  <c r="B162" i="4"/>
  <c r="B161" i="4"/>
  <c r="B160" i="4"/>
  <c r="B159" i="4"/>
  <c r="B158" i="4"/>
  <c r="B157" i="4"/>
  <c r="B156" i="4"/>
  <c r="B155" i="4"/>
  <c r="B154" i="4"/>
  <c r="B153" i="4"/>
  <c r="B152" i="4"/>
  <c r="B151" i="4"/>
  <c r="B150" i="4"/>
  <c r="B149" i="4"/>
  <c r="B148" i="4"/>
  <c r="B147" i="4"/>
  <c r="B146" i="4"/>
  <c r="B145" i="4"/>
  <c r="B144" i="4"/>
  <c r="B143" i="4"/>
  <c r="B142" i="4"/>
  <c r="B141" i="4"/>
  <c r="B140" i="4"/>
  <c r="B139" i="4"/>
  <c r="B138" i="4"/>
  <c r="B137" i="4"/>
  <c r="B136" i="4"/>
  <c r="B135" i="4"/>
  <c r="B134" i="4"/>
  <c r="B133" i="4"/>
  <c r="B132" i="4"/>
  <c r="B131" i="4"/>
  <c r="B130" i="4"/>
  <c r="B129" i="4"/>
  <c r="B128" i="4"/>
  <c r="B127" i="4"/>
  <c r="B126" i="4"/>
  <c r="B125" i="4"/>
  <c r="B124" i="4"/>
  <c r="B123" i="4"/>
  <c r="B122" i="4"/>
  <c r="B121" i="4"/>
  <c r="B120" i="4"/>
  <c r="B119" i="4"/>
  <c r="B118" i="4"/>
  <c r="B117" i="4"/>
  <c r="B116" i="4"/>
  <c r="B115" i="4"/>
  <c r="B114" i="4"/>
  <c r="B113" i="4"/>
  <c r="B112" i="4"/>
  <c r="B111" i="4"/>
  <c r="B110" i="4"/>
  <c r="B109" i="4"/>
  <c r="B108" i="4"/>
  <c r="B107" i="4"/>
  <c r="B106" i="4"/>
  <c r="B105" i="4"/>
  <c r="B104" i="4"/>
  <c r="B103" i="4"/>
  <c r="B102" i="4"/>
  <c r="B101" i="4"/>
  <c r="B100" i="4"/>
  <c r="B99" i="4"/>
  <c r="B98" i="4"/>
  <c r="B97" i="4"/>
  <c r="B96" i="4"/>
  <c r="B95" i="4"/>
  <c r="B94" i="4"/>
  <c r="B93" i="4"/>
  <c r="B92" i="4"/>
  <c r="B91" i="4"/>
  <c r="B90" i="4"/>
  <c r="B89" i="4"/>
  <c r="B88" i="4"/>
  <c r="B87" i="4"/>
  <c r="B86" i="4"/>
  <c r="B85" i="4"/>
  <c r="B84" i="4"/>
  <c r="B83" i="4"/>
  <c r="B82" i="4"/>
  <c r="B81" i="4"/>
  <c r="B80" i="4"/>
  <c r="B79" i="4"/>
  <c r="B78" i="4"/>
  <c r="B77" i="4"/>
  <c r="B76" i="4"/>
  <c r="B75" i="4"/>
  <c r="B74" i="4"/>
  <c r="B73" i="4"/>
  <c r="B72" i="4"/>
  <c r="B71" i="4"/>
  <c r="B70" i="4"/>
  <c r="B69" i="4"/>
  <c r="B68" i="4"/>
  <c r="B67" i="4"/>
  <c r="B66" i="4"/>
  <c r="B65" i="4"/>
  <c r="B64" i="4"/>
  <c r="B63" i="4"/>
  <c r="B62" i="4"/>
  <c r="B61" i="4"/>
  <c r="B60" i="4"/>
  <c r="B59" i="4"/>
  <c r="B58" i="4"/>
  <c r="B57" i="4"/>
  <c r="B56" i="4"/>
  <c r="B55" i="4"/>
  <c r="B54" i="4"/>
  <c r="B53" i="4"/>
  <c r="B52" i="4"/>
  <c r="B51" i="4"/>
  <c r="B50" i="4"/>
  <c r="B49" i="4"/>
  <c r="B48" i="4"/>
  <c r="B47" i="4"/>
  <c r="B46" i="4"/>
  <c r="B45" i="4"/>
  <c r="B44" i="4"/>
  <c r="B43" i="4"/>
  <c r="B42" i="4"/>
  <c r="B41" i="4"/>
  <c r="B40" i="4"/>
  <c r="B39" i="4"/>
  <c r="B38" i="4"/>
  <c r="B37" i="4"/>
  <c r="B36" i="4"/>
  <c r="B35" i="4"/>
  <c r="B34" i="4"/>
  <c r="B33" i="4"/>
  <c r="B32" i="4"/>
  <c r="B31" i="4"/>
  <c r="B30" i="4"/>
  <c r="B29" i="4"/>
  <c r="B28" i="4"/>
  <c r="B27" i="4"/>
  <c r="B26" i="4"/>
  <c r="B25" i="4"/>
  <c r="B24" i="4"/>
  <c r="B23" i="4"/>
  <c r="B22" i="4"/>
  <c r="B21" i="4"/>
  <c r="B20" i="4"/>
  <c r="B19" i="4"/>
  <c r="B18" i="4"/>
  <c r="B17" i="4"/>
  <c r="B16" i="4"/>
  <c r="E3" i="4" a="1"/>
  <c r="E6" i="4" s="1"/>
  <c r="G15" i="3"/>
  <c r="D15" i="3"/>
  <c r="C15" i="3"/>
  <c r="B15" i="3"/>
  <c r="G14" i="3"/>
  <c r="D14" i="3"/>
  <c r="C14" i="3"/>
  <c r="B14" i="3"/>
  <c r="G13" i="3"/>
  <c r="D13" i="3"/>
  <c r="C13" i="3"/>
  <c r="B13" i="3"/>
  <c r="G12" i="3"/>
  <c r="D12" i="3"/>
  <c r="C12" i="3"/>
  <c r="B12" i="3"/>
  <c r="G11" i="3"/>
  <c r="D11" i="3"/>
  <c r="C11" i="3"/>
  <c r="B11" i="3"/>
  <c r="G10" i="3"/>
  <c r="D10" i="3"/>
  <c r="C10" i="3"/>
  <c r="B10" i="3"/>
  <c r="G9" i="3"/>
  <c r="D9" i="3"/>
  <c r="C9" i="3"/>
  <c r="B9" i="3"/>
  <c r="G8" i="3"/>
  <c r="D8" i="3"/>
  <c r="C8" i="3"/>
  <c r="B8" i="3"/>
  <c r="G7" i="3"/>
  <c r="D7" i="3"/>
  <c r="C7" i="3"/>
  <c r="B7" i="3"/>
  <c r="G6" i="3"/>
  <c r="D6" i="3"/>
  <c r="C6" i="3"/>
  <c r="B6" i="3"/>
  <c r="G5" i="3"/>
  <c r="D5" i="3"/>
  <c r="C5" i="3"/>
  <c r="B5" i="3"/>
  <c r="G4" i="3"/>
  <c r="D4" i="3"/>
  <c r="C4" i="3"/>
  <c r="B4" i="3"/>
  <c r="G3" i="3"/>
  <c r="D3" i="3"/>
  <c r="C3" i="3"/>
  <c r="B3" i="3"/>
  <c r="B2" i="3"/>
  <c r="G997" i="2"/>
  <c r="F997" i="2"/>
  <c r="E997" i="2"/>
  <c r="C997" i="2"/>
  <c r="G996" i="2"/>
  <c r="F996" i="2"/>
  <c r="E996" i="2"/>
  <c r="C996" i="2"/>
  <c r="G995" i="2"/>
  <c r="F995" i="2"/>
  <c r="E995" i="2"/>
  <c r="C995" i="2"/>
  <c r="G994" i="2"/>
  <c r="F994" i="2"/>
  <c r="E994" i="2"/>
  <c r="C994" i="2"/>
  <c r="G993" i="2"/>
  <c r="F993" i="2"/>
  <c r="E993" i="2"/>
  <c r="C993" i="2"/>
  <c r="G992" i="2"/>
  <c r="F992" i="2"/>
  <c r="E992" i="2"/>
  <c r="C992" i="2"/>
  <c r="G991" i="2"/>
  <c r="F991" i="2"/>
  <c r="E991" i="2"/>
  <c r="C991" i="2"/>
  <c r="G990" i="2"/>
  <c r="F990" i="2"/>
  <c r="E990" i="2"/>
  <c r="C990" i="2"/>
  <c r="G989" i="2"/>
  <c r="F989" i="2"/>
  <c r="E989" i="2"/>
  <c r="C989" i="2"/>
  <c r="G988" i="2"/>
  <c r="F988" i="2"/>
  <c r="E988" i="2"/>
  <c r="C988" i="2"/>
  <c r="G987" i="2"/>
  <c r="F987" i="2"/>
  <c r="E987" i="2"/>
  <c r="C987" i="2"/>
  <c r="G986" i="2"/>
  <c r="F986" i="2"/>
  <c r="E986" i="2"/>
  <c r="C986" i="2"/>
  <c r="G985" i="2"/>
  <c r="F985" i="2"/>
  <c r="E985" i="2"/>
  <c r="C985" i="2"/>
  <c r="G984" i="2"/>
  <c r="F984" i="2"/>
  <c r="E984" i="2"/>
  <c r="C984" i="2"/>
  <c r="G983" i="2"/>
  <c r="F983" i="2"/>
  <c r="E983" i="2"/>
  <c r="C983" i="2"/>
  <c r="G982" i="2"/>
  <c r="F982" i="2"/>
  <c r="E982" i="2"/>
  <c r="C982" i="2"/>
  <c r="G981" i="2"/>
  <c r="F981" i="2"/>
  <c r="E981" i="2"/>
  <c r="C981" i="2"/>
  <c r="G980" i="2"/>
  <c r="F980" i="2"/>
  <c r="E980" i="2"/>
  <c r="C980" i="2"/>
  <c r="G979" i="2"/>
  <c r="F979" i="2"/>
  <c r="E979" i="2"/>
  <c r="C979" i="2"/>
  <c r="G978" i="2"/>
  <c r="F978" i="2"/>
  <c r="E978" i="2"/>
  <c r="C978" i="2"/>
  <c r="G977" i="2"/>
  <c r="F977" i="2"/>
  <c r="E977" i="2"/>
  <c r="C977" i="2"/>
  <c r="G976" i="2"/>
  <c r="F976" i="2"/>
  <c r="E976" i="2"/>
  <c r="C976" i="2"/>
  <c r="G975" i="2"/>
  <c r="F975" i="2"/>
  <c r="E975" i="2"/>
  <c r="C975" i="2"/>
  <c r="G974" i="2"/>
  <c r="F974" i="2"/>
  <c r="E974" i="2"/>
  <c r="C974" i="2"/>
  <c r="G973" i="2"/>
  <c r="F973" i="2"/>
  <c r="E973" i="2"/>
  <c r="C973" i="2"/>
  <c r="G972" i="2"/>
  <c r="F972" i="2"/>
  <c r="E972" i="2"/>
  <c r="C972" i="2"/>
  <c r="G971" i="2"/>
  <c r="F971" i="2"/>
  <c r="E971" i="2"/>
  <c r="C971" i="2"/>
  <c r="G970" i="2"/>
  <c r="F970" i="2"/>
  <c r="E970" i="2"/>
  <c r="C970" i="2"/>
  <c r="G969" i="2"/>
  <c r="F969" i="2"/>
  <c r="E969" i="2"/>
  <c r="C969" i="2"/>
  <c r="G968" i="2"/>
  <c r="F968" i="2"/>
  <c r="E968" i="2"/>
  <c r="C968" i="2"/>
  <c r="G967" i="2"/>
  <c r="F967" i="2"/>
  <c r="E967" i="2"/>
  <c r="C967" i="2"/>
  <c r="G966" i="2"/>
  <c r="F966" i="2"/>
  <c r="E966" i="2"/>
  <c r="C966" i="2"/>
  <c r="G965" i="2"/>
  <c r="F965" i="2"/>
  <c r="E965" i="2"/>
  <c r="C965" i="2"/>
  <c r="G964" i="2"/>
  <c r="F964" i="2"/>
  <c r="E964" i="2"/>
  <c r="C964" i="2"/>
  <c r="G963" i="2"/>
  <c r="F963" i="2"/>
  <c r="E963" i="2"/>
  <c r="C963" i="2"/>
  <c r="G962" i="2"/>
  <c r="F962" i="2"/>
  <c r="E962" i="2"/>
  <c r="C962" i="2"/>
  <c r="G961" i="2"/>
  <c r="F961" i="2"/>
  <c r="E961" i="2"/>
  <c r="C961" i="2"/>
  <c r="G960" i="2"/>
  <c r="F960" i="2"/>
  <c r="E960" i="2"/>
  <c r="C960" i="2"/>
  <c r="G959" i="2"/>
  <c r="F959" i="2"/>
  <c r="E959" i="2"/>
  <c r="C959" i="2"/>
  <c r="G958" i="2"/>
  <c r="F958" i="2"/>
  <c r="E958" i="2"/>
  <c r="C958" i="2"/>
  <c r="G957" i="2"/>
  <c r="F957" i="2"/>
  <c r="E957" i="2"/>
  <c r="C957" i="2"/>
  <c r="G956" i="2"/>
  <c r="F956" i="2"/>
  <c r="E956" i="2"/>
  <c r="C956" i="2"/>
  <c r="G955" i="2"/>
  <c r="F955" i="2"/>
  <c r="E955" i="2"/>
  <c r="C955" i="2"/>
  <c r="G954" i="2"/>
  <c r="F954" i="2"/>
  <c r="E954" i="2"/>
  <c r="C954" i="2"/>
  <c r="G953" i="2"/>
  <c r="F953" i="2"/>
  <c r="E953" i="2"/>
  <c r="C953" i="2"/>
  <c r="G952" i="2"/>
  <c r="F952" i="2"/>
  <c r="E952" i="2"/>
  <c r="C952" i="2"/>
  <c r="G951" i="2"/>
  <c r="F951" i="2"/>
  <c r="E951" i="2"/>
  <c r="C951" i="2"/>
  <c r="G950" i="2"/>
  <c r="F950" i="2"/>
  <c r="E950" i="2"/>
  <c r="C950" i="2"/>
  <c r="G949" i="2"/>
  <c r="F949" i="2"/>
  <c r="E949" i="2"/>
  <c r="C949" i="2"/>
  <c r="G948" i="2"/>
  <c r="F948" i="2"/>
  <c r="E948" i="2"/>
  <c r="C948" i="2"/>
  <c r="G947" i="2"/>
  <c r="F947" i="2"/>
  <c r="E947" i="2"/>
  <c r="C947" i="2"/>
  <c r="G946" i="2"/>
  <c r="F946" i="2"/>
  <c r="E946" i="2"/>
  <c r="C946" i="2"/>
  <c r="G945" i="2"/>
  <c r="F945" i="2"/>
  <c r="E945" i="2"/>
  <c r="C945" i="2"/>
  <c r="G944" i="2"/>
  <c r="F944" i="2"/>
  <c r="E944" i="2"/>
  <c r="C944" i="2"/>
  <c r="G943" i="2"/>
  <c r="F943" i="2"/>
  <c r="E943" i="2"/>
  <c r="C943" i="2"/>
  <c r="G942" i="2"/>
  <c r="F942" i="2"/>
  <c r="E942" i="2"/>
  <c r="C942" i="2"/>
  <c r="G941" i="2"/>
  <c r="F941" i="2"/>
  <c r="E941" i="2"/>
  <c r="C941" i="2"/>
  <c r="G940" i="2"/>
  <c r="F940" i="2"/>
  <c r="E940" i="2"/>
  <c r="C940" i="2"/>
  <c r="G939" i="2"/>
  <c r="F939" i="2"/>
  <c r="E939" i="2"/>
  <c r="C939" i="2"/>
  <c r="G938" i="2"/>
  <c r="F938" i="2"/>
  <c r="E938" i="2"/>
  <c r="C938" i="2"/>
  <c r="G937" i="2"/>
  <c r="F937" i="2"/>
  <c r="E937" i="2"/>
  <c r="C937" i="2"/>
  <c r="G936" i="2"/>
  <c r="F936" i="2"/>
  <c r="E936" i="2"/>
  <c r="C936" i="2"/>
  <c r="G935" i="2"/>
  <c r="F935" i="2"/>
  <c r="E935" i="2"/>
  <c r="C935" i="2"/>
  <c r="G934" i="2"/>
  <c r="F934" i="2"/>
  <c r="E934" i="2"/>
  <c r="C934" i="2"/>
  <c r="G933" i="2"/>
  <c r="F933" i="2"/>
  <c r="E933" i="2"/>
  <c r="C933" i="2"/>
  <c r="G932" i="2"/>
  <c r="F932" i="2"/>
  <c r="E932" i="2"/>
  <c r="C932" i="2"/>
  <c r="G931" i="2"/>
  <c r="F931" i="2"/>
  <c r="E931" i="2"/>
  <c r="C931" i="2"/>
  <c r="G930" i="2"/>
  <c r="F930" i="2"/>
  <c r="E930" i="2"/>
  <c r="C930" i="2"/>
  <c r="G929" i="2"/>
  <c r="F929" i="2"/>
  <c r="E929" i="2"/>
  <c r="C929" i="2"/>
  <c r="G928" i="2"/>
  <c r="F928" i="2"/>
  <c r="E928" i="2"/>
  <c r="C928" i="2"/>
  <c r="G927" i="2"/>
  <c r="F927" i="2"/>
  <c r="E927" i="2"/>
  <c r="C927" i="2"/>
  <c r="G926" i="2"/>
  <c r="F926" i="2"/>
  <c r="E926" i="2"/>
  <c r="C926" i="2"/>
  <c r="G925" i="2"/>
  <c r="F925" i="2"/>
  <c r="E925" i="2"/>
  <c r="C925" i="2"/>
  <c r="G924" i="2"/>
  <c r="F924" i="2"/>
  <c r="E924" i="2"/>
  <c r="C924" i="2"/>
  <c r="G923" i="2"/>
  <c r="F923" i="2"/>
  <c r="E923" i="2"/>
  <c r="C923" i="2"/>
  <c r="G922" i="2"/>
  <c r="F922" i="2"/>
  <c r="E922" i="2"/>
  <c r="C922" i="2"/>
  <c r="G921" i="2"/>
  <c r="F921" i="2"/>
  <c r="E921" i="2"/>
  <c r="C921" i="2"/>
  <c r="G920" i="2"/>
  <c r="F920" i="2"/>
  <c r="E920" i="2"/>
  <c r="C920" i="2"/>
  <c r="G919" i="2"/>
  <c r="F919" i="2"/>
  <c r="E919" i="2"/>
  <c r="C919" i="2"/>
  <c r="G918" i="2"/>
  <c r="F918" i="2"/>
  <c r="E918" i="2"/>
  <c r="C918" i="2"/>
  <c r="G917" i="2"/>
  <c r="F917" i="2"/>
  <c r="E917" i="2"/>
  <c r="C917" i="2"/>
  <c r="G916" i="2"/>
  <c r="F916" i="2"/>
  <c r="E916" i="2"/>
  <c r="C916" i="2"/>
  <c r="G915" i="2"/>
  <c r="F915" i="2"/>
  <c r="E915" i="2"/>
  <c r="C915" i="2"/>
  <c r="G914" i="2"/>
  <c r="F914" i="2"/>
  <c r="E914" i="2"/>
  <c r="C914" i="2"/>
  <c r="G913" i="2"/>
  <c r="F913" i="2"/>
  <c r="E913" i="2"/>
  <c r="C913" i="2"/>
  <c r="G912" i="2"/>
  <c r="F912" i="2"/>
  <c r="E912" i="2"/>
  <c r="C912" i="2"/>
  <c r="G911" i="2"/>
  <c r="F911" i="2"/>
  <c r="E911" i="2"/>
  <c r="C911" i="2"/>
  <c r="G910" i="2"/>
  <c r="F910" i="2"/>
  <c r="E910" i="2"/>
  <c r="C910" i="2"/>
  <c r="G909" i="2"/>
  <c r="F909" i="2"/>
  <c r="E909" i="2"/>
  <c r="C909" i="2"/>
  <c r="G908" i="2"/>
  <c r="F908" i="2"/>
  <c r="E908" i="2"/>
  <c r="C908" i="2"/>
  <c r="G907" i="2"/>
  <c r="F907" i="2"/>
  <c r="E907" i="2"/>
  <c r="C907" i="2"/>
  <c r="G906" i="2"/>
  <c r="F906" i="2"/>
  <c r="E906" i="2"/>
  <c r="C906" i="2"/>
  <c r="G905" i="2"/>
  <c r="F905" i="2"/>
  <c r="E905" i="2"/>
  <c r="C905" i="2"/>
  <c r="G904" i="2"/>
  <c r="F904" i="2"/>
  <c r="E904" i="2"/>
  <c r="C904" i="2"/>
  <c r="G903" i="2"/>
  <c r="F903" i="2"/>
  <c r="E903" i="2"/>
  <c r="C903" i="2"/>
  <c r="G902" i="2"/>
  <c r="F902" i="2"/>
  <c r="E902" i="2"/>
  <c r="C902" i="2"/>
  <c r="G901" i="2"/>
  <c r="F901" i="2"/>
  <c r="E901" i="2"/>
  <c r="C901" i="2"/>
  <c r="G900" i="2"/>
  <c r="F900" i="2"/>
  <c r="E900" i="2"/>
  <c r="C900" i="2"/>
  <c r="G899" i="2"/>
  <c r="F899" i="2"/>
  <c r="E899" i="2"/>
  <c r="C899" i="2"/>
  <c r="G898" i="2"/>
  <c r="F898" i="2"/>
  <c r="E898" i="2"/>
  <c r="C898" i="2"/>
  <c r="G897" i="2"/>
  <c r="F897" i="2"/>
  <c r="E897" i="2"/>
  <c r="C897" i="2"/>
  <c r="G896" i="2"/>
  <c r="F896" i="2"/>
  <c r="E896" i="2"/>
  <c r="C896" i="2"/>
  <c r="G895" i="2"/>
  <c r="F895" i="2"/>
  <c r="E895" i="2"/>
  <c r="C895" i="2"/>
  <c r="G894" i="2"/>
  <c r="F894" i="2"/>
  <c r="E894" i="2"/>
  <c r="C894" i="2"/>
  <c r="G893" i="2"/>
  <c r="F893" i="2"/>
  <c r="E893" i="2"/>
  <c r="C893" i="2"/>
  <c r="G892" i="2"/>
  <c r="F892" i="2"/>
  <c r="E892" i="2"/>
  <c r="C892" i="2"/>
  <c r="G891" i="2"/>
  <c r="F891" i="2"/>
  <c r="E891" i="2"/>
  <c r="C891" i="2"/>
  <c r="G890" i="2"/>
  <c r="F890" i="2"/>
  <c r="E890" i="2"/>
  <c r="C890" i="2"/>
  <c r="G889" i="2"/>
  <c r="F889" i="2"/>
  <c r="E889" i="2"/>
  <c r="C889" i="2"/>
  <c r="G888" i="2"/>
  <c r="F888" i="2"/>
  <c r="E888" i="2"/>
  <c r="C888" i="2"/>
  <c r="G887" i="2"/>
  <c r="F887" i="2"/>
  <c r="E887" i="2"/>
  <c r="C887" i="2"/>
  <c r="G886" i="2"/>
  <c r="F886" i="2"/>
  <c r="E886" i="2"/>
  <c r="C886" i="2"/>
  <c r="G885" i="2"/>
  <c r="F885" i="2"/>
  <c r="E885" i="2"/>
  <c r="C885" i="2"/>
  <c r="G884" i="2"/>
  <c r="F884" i="2"/>
  <c r="E884" i="2"/>
  <c r="C884" i="2"/>
  <c r="G883" i="2"/>
  <c r="F883" i="2"/>
  <c r="E883" i="2"/>
  <c r="C883" i="2"/>
  <c r="G882" i="2"/>
  <c r="F882" i="2"/>
  <c r="E882" i="2"/>
  <c r="C882" i="2"/>
  <c r="G881" i="2"/>
  <c r="F881" i="2"/>
  <c r="E881" i="2"/>
  <c r="C881" i="2"/>
  <c r="G880" i="2"/>
  <c r="F880" i="2"/>
  <c r="E880" i="2"/>
  <c r="C880" i="2"/>
  <c r="G879" i="2"/>
  <c r="F879" i="2"/>
  <c r="E879" i="2"/>
  <c r="C879" i="2"/>
  <c r="G878" i="2"/>
  <c r="F878" i="2"/>
  <c r="E878" i="2"/>
  <c r="C878" i="2"/>
  <c r="G877" i="2"/>
  <c r="F877" i="2"/>
  <c r="E877" i="2"/>
  <c r="C877" i="2"/>
  <c r="G876" i="2"/>
  <c r="F876" i="2"/>
  <c r="E876" i="2"/>
  <c r="C876" i="2"/>
  <c r="G875" i="2"/>
  <c r="F875" i="2"/>
  <c r="E875" i="2"/>
  <c r="C875" i="2"/>
  <c r="G874" i="2"/>
  <c r="F874" i="2"/>
  <c r="E874" i="2"/>
  <c r="C874" i="2"/>
  <c r="G873" i="2"/>
  <c r="F873" i="2"/>
  <c r="E873" i="2"/>
  <c r="C873" i="2"/>
  <c r="G872" i="2"/>
  <c r="F872" i="2"/>
  <c r="E872" i="2"/>
  <c r="C872" i="2"/>
  <c r="G871" i="2"/>
  <c r="F871" i="2"/>
  <c r="E871" i="2"/>
  <c r="C871" i="2"/>
  <c r="G870" i="2"/>
  <c r="F870" i="2"/>
  <c r="E870" i="2"/>
  <c r="C870" i="2"/>
  <c r="G869" i="2"/>
  <c r="F869" i="2"/>
  <c r="E869" i="2"/>
  <c r="C869" i="2"/>
  <c r="G868" i="2"/>
  <c r="F868" i="2"/>
  <c r="E868" i="2"/>
  <c r="C868" i="2"/>
  <c r="G867" i="2"/>
  <c r="F867" i="2"/>
  <c r="E867" i="2"/>
  <c r="C867" i="2"/>
  <c r="G866" i="2"/>
  <c r="F866" i="2"/>
  <c r="E866" i="2"/>
  <c r="C866" i="2"/>
  <c r="G865" i="2"/>
  <c r="F865" i="2"/>
  <c r="E865" i="2"/>
  <c r="C865" i="2"/>
  <c r="G864" i="2"/>
  <c r="F864" i="2"/>
  <c r="E864" i="2"/>
  <c r="C864" i="2"/>
  <c r="G863" i="2"/>
  <c r="F863" i="2"/>
  <c r="E863" i="2"/>
  <c r="C863" i="2"/>
  <c r="G862" i="2"/>
  <c r="F862" i="2"/>
  <c r="E862" i="2"/>
  <c r="C862" i="2"/>
  <c r="G861" i="2"/>
  <c r="F861" i="2"/>
  <c r="E861" i="2"/>
  <c r="C861" i="2"/>
  <c r="G860" i="2"/>
  <c r="F860" i="2"/>
  <c r="E860" i="2"/>
  <c r="C860" i="2"/>
  <c r="G859" i="2"/>
  <c r="F859" i="2"/>
  <c r="E859" i="2"/>
  <c r="C859" i="2"/>
  <c r="G858" i="2"/>
  <c r="F858" i="2"/>
  <c r="E858" i="2"/>
  <c r="C858" i="2"/>
  <c r="G857" i="2"/>
  <c r="F857" i="2"/>
  <c r="E857" i="2"/>
  <c r="C857" i="2"/>
  <c r="G856" i="2"/>
  <c r="F856" i="2"/>
  <c r="E856" i="2"/>
  <c r="C856" i="2"/>
  <c r="G855" i="2"/>
  <c r="F855" i="2"/>
  <c r="E855" i="2"/>
  <c r="C855" i="2"/>
  <c r="G854" i="2"/>
  <c r="F854" i="2"/>
  <c r="E854" i="2"/>
  <c r="C854" i="2"/>
  <c r="G853" i="2"/>
  <c r="F853" i="2"/>
  <c r="E853" i="2"/>
  <c r="C853" i="2"/>
  <c r="G852" i="2"/>
  <c r="F852" i="2"/>
  <c r="E852" i="2"/>
  <c r="C852" i="2"/>
  <c r="G851" i="2"/>
  <c r="F851" i="2"/>
  <c r="E851" i="2"/>
  <c r="C851" i="2"/>
  <c r="G850" i="2"/>
  <c r="F850" i="2"/>
  <c r="E850" i="2"/>
  <c r="C850" i="2"/>
  <c r="G849" i="2"/>
  <c r="F849" i="2"/>
  <c r="E849" i="2"/>
  <c r="C849" i="2"/>
  <c r="G848" i="2"/>
  <c r="F848" i="2"/>
  <c r="E848" i="2"/>
  <c r="C848" i="2"/>
  <c r="G847" i="2"/>
  <c r="F847" i="2"/>
  <c r="E847" i="2"/>
  <c r="C847" i="2"/>
  <c r="G846" i="2"/>
  <c r="F846" i="2"/>
  <c r="E846" i="2"/>
  <c r="C846" i="2"/>
  <c r="G845" i="2"/>
  <c r="F845" i="2"/>
  <c r="E845" i="2"/>
  <c r="C845" i="2"/>
  <c r="G844" i="2"/>
  <c r="F844" i="2"/>
  <c r="E844" i="2"/>
  <c r="C844" i="2"/>
  <c r="G843" i="2"/>
  <c r="F843" i="2"/>
  <c r="E843" i="2"/>
  <c r="C843" i="2"/>
  <c r="G842" i="2"/>
  <c r="F842" i="2"/>
  <c r="E842" i="2"/>
  <c r="C842" i="2"/>
  <c r="G841" i="2"/>
  <c r="F841" i="2"/>
  <c r="E841" i="2"/>
  <c r="C841" i="2"/>
  <c r="G840" i="2"/>
  <c r="F840" i="2"/>
  <c r="E840" i="2"/>
  <c r="C840" i="2"/>
  <c r="G839" i="2"/>
  <c r="F839" i="2"/>
  <c r="E839" i="2"/>
  <c r="C839" i="2"/>
  <c r="G838" i="2"/>
  <c r="F838" i="2"/>
  <c r="E838" i="2"/>
  <c r="C838" i="2"/>
  <c r="G837" i="2"/>
  <c r="F837" i="2"/>
  <c r="E837" i="2"/>
  <c r="C837" i="2"/>
  <c r="G836" i="2"/>
  <c r="F836" i="2"/>
  <c r="E836" i="2"/>
  <c r="C836" i="2"/>
  <c r="G835" i="2"/>
  <c r="F835" i="2"/>
  <c r="E835" i="2"/>
  <c r="C835" i="2"/>
  <c r="G834" i="2"/>
  <c r="F834" i="2"/>
  <c r="E834" i="2"/>
  <c r="C834" i="2"/>
  <c r="G833" i="2"/>
  <c r="F833" i="2"/>
  <c r="E833" i="2"/>
  <c r="C833" i="2"/>
  <c r="G832" i="2"/>
  <c r="F832" i="2"/>
  <c r="E832" i="2"/>
  <c r="C832" i="2"/>
  <c r="G831" i="2"/>
  <c r="F831" i="2"/>
  <c r="E831" i="2"/>
  <c r="C831" i="2"/>
  <c r="G830" i="2"/>
  <c r="F830" i="2"/>
  <c r="E830" i="2"/>
  <c r="C830" i="2"/>
  <c r="G829" i="2"/>
  <c r="F829" i="2"/>
  <c r="E829" i="2"/>
  <c r="C829" i="2"/>
  <c r="G828" i="2"/>
  <c r="F828" i="2"/>
  <c r="E828" i="2"/>
  <c r="C828" i="2"/>
  <c r="G827" i="2"/>
  <c r="F827" i="2"/>
  <c r="E827" i="2"/>
  <c r="C827" i="2"/>
  <c r="G826" i="2"/>
  <c r="F826" i="2"/>
  <c r="E826" i="2"/>
  <c r="C826" i="2"/>
  <c r="G825" i="2"/>
  <c r="F825" i="2"/>
  <c r="E825" i="2"/>
  <c r="C825" i="2"/>
  <c r="G824" i="2"/>
  <c r="F824" i="2"/>
  <c r="E824" i="2"/>
  <c r="C824" i="2"/>
  <c r="G823" i="2"/>
  <c r="F823" i="2"/>
  <c r="E823" i="2"/>
  <c r="C823" i="2"/>
  <c r="G822" i="2"/>
  <c r="F822" i="2"/>
  <c r="E822" i="2"/>
  <c r="C822" i="2"/>
  <c r="G821" i="2"/>
  <c r="F821" i="2"/>
  <c r="E821" i="2"/>
  <c r="C821" i="2"/>
  <c r="G820" i="2"/>
  <c r="F820" i="2"/>
  <c r="E820" i="2"/>
  <c r="C820" i="2"/>
  <c r="G819" i="2"/>
  <c r="F819" i="2"/>
  <c r="E819" i="2"/>
  <c r="C819" i="2"/>
  <c r="G818" i="2"/>
  <c r="F818" i="2"/>
  <c r="E818" i="2"/>
  <c r="C818" i="2"/>
  <c r="G817" i="2"/>
  <c r="F817" i="2"/>
  <c r="E817" i="2"/>
  <c r="C817" i="2"/>
  <c r="G816" i="2"/>
  <c r="F816" i="2"/>
  <c r="E816" i="2"/>
  <c r="C816" i="2"/>
  <c r="G815" i="2"/>
  <c r="F815" i="2"/>
  <c r="E815" i="2"/>
  <c r="C815" i="2"/>
  <c r="G814" i="2"/>
  <c r="F814" i="2"/>
  <c r="E814" i="2"/>
  <c r="C814" i="2"/>
  <c r="G813" i="2"/>
  <c r="F813" i="2"/>
  <c r="E813" i="2"/>
  <c r="C813" i="2"/>
  <c r="G812" i="2"/>
  <c r="F812" i="2"/>
  <c r="E812" i="2"/>
  <c r="C812" i="2"/>
  <c r="G811" i="2"/>
  <c r="F811" i="2"/>
  <c r="E811" i="2"/>
  <c r="C811" i="2"/>
  <c r="G810" i="2"/>
  <c r="F810" i="2"/>
  <c r="E810" i="2"/>
  <c r="C810" i="2"/>
  <c r="G809" i="2"/>
  <c r="F809" i="2"/>
  <c r="E809" i="2"/>
  <c r="C809" i="2"/>
  <c r="G808" i="2"/>
  <c r="F808" i="2"/>
  <c r="E808" i="2"/>
  <c r="C808" i="2"/>
  <c r="G807" i="2"/>
  <c r="F807" i="2"/>
  <c r="E807" i="2"/>
  <c r="C807" i="2"/>
  <c r="G806" i="2"/>
  <c r="F806" i="2"/>
  <c r="E806" i="2"/>
  <c r="C806" i="2"/>
  <c r="G805" i="2"/>
  <c r="F805" i="2"/>
  <c r="E805" i="2"/>
  <c r="C805" i="2"/>
  <c r="G804" i="2"/>
  <c r="F804" i="2"/>
  <c r="E804" i="2"/>
  <c r="C804" i="2"/>
  <c r="G803" i="2"/>
  <c r="F803" i="2"/>
  <c r="E803" i="2"/>
  <c r="C803" i="2"/>
  <c r="G802" i="2"/>
  <c r="F802" i="2"/>
  <c r="E802" i="2"/>
  <c r="C802" i="2"/>
  <c r="G801" i="2"/>
  <c r="F801" i="2"/>
  <c r="E801" i="2"/>
  <c r="C801" i="2"/>
  <c r="G800" i="2"/>
  <c r="F800" i="2"/>
  <c r="E800" i="2"/>
  <c r="C800" i="2"/>
  <c r="G799" i="2"/>
  <c r="F799" i="2"/>
  <c r="E799" i="2"/>
  <c r="C799" i="2"/>
  <c r="G798" i="2"/>
  <c r="F798" i="2"/>
  <c r="E798" i="2"/>
  <c r="C798" i="2"/>
  <c r="G797" i="2"/>
  <c r="F797" i="2"/>
  <c r="E797" i="2"/>
  <c r="C797" i="2"/>
  <c r="G796" i="2"/>
  <c r="F796" i="2"/>
  <c r="E796" i="2"/>
  <c r="C796" i="2"/>
  <c r="G795" i="2"/>
  <c r="F795" i="2"/>
  <c r="E795" i="2"/>
  <c r="C795" i="2"/>
  <c r="G794" i="2"/>
  <c r="F794" i="2"/>
  <c r="E794" i="2"/>
  <c r="C794" i="2"/>
  <c r="G793" i="2"/>
  <c r="F793" i="2"/>
  <c r="E793" i="2"/>
  <c r="C793" i="2"/>
  <c r="G792" i="2"/>
  <c r="F792" i="2"/>
  <c r="E792" i="2"/>
  <c r="C792" i="2"/>
  <c r="G791" i="2"/>
  <c r="F791" i="2"/>
  <c r="E791" i="2"/>
  <c r="C791" i="2"/>
  <c r="G790" i="2"/>
  <c r="F790" i="2"/>
  <c r="E790" i="2"/>
  <c r="C790" i="2"/>
  <c r="G789" i="2"/>
  <c r="F789" i="2"/>
  <c r="E789" i="2"/>
  <c r="C789" i="2"/>
  <c r="G788" i="2"/>
  <c r="F788" i="2"/>
  <c r="E788" i="2"/>
  <c r="C788" i="2"/>
  <c r="G787" i="2"/>
  <c r="F787" i="2"/>
  <c r="E787" i="2"/>
  <c r="C787" i="2"/>
  <c r="G786" i="2"/>
  <c r="F786" i="2"/>
  <c r="E786" i="2"/>
  <c r="C786" i="2"/>
  <c r="G785" i="2"/>
  <c r="F785" i="2"/>
  <c r="E785" i="2"/>
  <c r="C785" i="2"/>
  <c r="G784" i="2"/>
  <c r="F784" i="2"/>
  <c r="E784" i="2"/>
  <c r="C784" i="2"/>
  <c r="G783" i="2"/>
  <c r="F783" i="2"/>
  <c r="E783" i="2"/>
  <c r="C783" i="2"/>
  <c r="G782" i="2"/>
  <c r="F782" i="2"/>
  <c r="E782" i="2"/>
  <c r="C782" i="2"/>
  <c r="G781" i="2"/>
  <c r="F781" i="2"/>
  <c r="E781" i="2"/>
  <c r="C781" i="2"/>
  <c r="G780" i="2"/>
  <c r="F780" i="2"/>
  <c r="E780" i="2"/>
  <c r="C780" i="2"/>
  <c r="G779" i="2"/>
  <c r="F779" i="2"/>
  <c r="E779" i="2"/>
  <c r="C779" i="2"/>
  <c r="G778" i="2"/>
  <c r="F778" i="2"/>
  <c r="E778" i="2"/>
  <c r="C778" i="2"/>
  <c r="G777" i="2"/>
  <c r="F777" i="2"/>
  <c r="E777" i="2"/>
  <c r="C777" i="2"/>
  <c r="G776" i="2"/>
  <c r="F776" i="2"/>
  <c r="E776" i="2"/>
  <c r="C776" i="2"/>
  <c r="G775" i="2"/>
  <c r="F775" i="2"/>
  <c r="E775" i="2"/>
  <c r="C775" i="2"/>
  <c r="G774" i="2"/>
  <c r="F774" i="2"/>
  <c r="E774" i="2"/>
  <c r="C774" i="2"/>
  <c r="G773" i="2"/>
  <c r="F773" i="2"/>
  <c r="E773" i="2"/>
  <c r="C773" i="2"/>
  <c r="G772" i="2"/>
  <c r="F772" i="2"/>
  <c r="E772" i="2"/>
  <c r="C772" i="2"/>
  <c r="G771" i="2"/>
  <c r="F771" i="2"/>
  <c r="E771" i="2"/>
  <c r="C771" i="2"/>
  <c r="G770" i="2"/>
  <c r="F770" i="2"/>
  <c r="E770" i="2"/>
  <c r="C770" i="2"/>
  <c r="G769" i="2"/>
  <c r="F769" i="2"/>
  <c r="E769" i="2"/>
  <c r="C769" i="2"/>
  <c r="G768" i="2"/>
  <c r="F768" i="2"/>
  <c r="E768" i="2"/>
  <c r="C768" i="2"/>
  <c r="G767" i="2"/>
  <c r="F767" i="2"/>
  <c r="E767" i="2"/>
  <c r="C767" i="2"/>
  <c r="G766" i="2"/>
  <c r="F766" i="2"/>
  <c r="E766" i="2"/>
  <c r="C766" i="2"/>
  <c r="G765" i="2"/>
  <c r="F765" i="2"/>
  <c r="E765" i="2"/>
  <c r="C765" i="2"/>
  <c r="G764" i="2"/>
  <c r="F764" i="2"/>
  <c r="E764" i="2"/>
  <c r="C764" i="2"/>
  <c r="G763" i="2"/>
  <c r="F763" i="2"/>
  <c r="E763" i="2"/>
  <c r="C763" i="2"/>
  <c r="G762" i="2"/>
  <c r="F762" i="2"/>
  <c r="E762" i="2"/>
  <c r="C762" i="2"/>
  <c r="G761" i="2"/>
  <c r="F761" i="2"/>
  <c r="E761" i="2"/>
  <c r="C761" i="2"/>
  <c r="G760" i="2"/>
  <c r="F760" i="2"/>
  <c r="E760" i="2"/>
  <c r="C760" i="2"/>
  <c r="G759" i="2"/>
  <c r="F759" i="2"/>
  <c r="E759" i="2"/>
  <c r="C759" i="2"/>
  <c r="G758" i="2"/>
  <c r="F758" i="2"/>
  <c r="E758" i="2"/>
  <c r="C758" i="2"/>
  <c r="G757" i="2"/>
  <c r="F757" i="2"/>
  <c r="E757" i="2"/>
  <c r="C757" i="2"/>
  <c r="G756" i="2"/>
  <c r="F756" i="2"/>
  <c r="E756" i="2"/>
  <c r="C756" i="2"/>
  <c r="G755" i="2"/>
  <c r="F755" i="2"/>
  <c r="E755" i="2"/>
  <c r="C755" i="2"/>
  <c r="G754" i="2"/>
  <c r="F754" i="2"/>
  <c r="E754" i="2"/>
  <c r="C754" i="2"/>
  <c r="G753" i="2"/>
  <c r="F753" i="2"/>
  <c r="E753" i="2"/>
  <c r="C753" i="2"/>
  <c r="G752" i="2"/>
  <c r="F752" i="2"/>
  <c r="E752" i="2"/>
  <c r="C752" i="2"/>
  <c r="G751" i="2"/>
  <c r="F751" i="2"/>
  <c r="E751" i="2"/>
  <c r="C751" i="2"/>
  <c r="G750" i="2"/>
  <c r="F750" i="2"/>
  <c r="E750" i="2"/>
  <c r="C750" i="2"/>
  <c r="G749" i="2"/>
  <c r="F749" i="2"/>
  <c r="E749" i="2"/>
  <c r="C749" i="2"/>
  <c r="G748" i="2"/>
  <c r="F748" i="2"/>
  <c r="E748" i="2"/>
  <c r="C748" i="2"/>
  <c r="G747" i="2"/>
  <c r="F747" i="2"/>
  <c r="E747" i="2"/>
  <c r="C747" i="2"/>
  <c r="G746" i="2"/>
  <c r="F746" i="2"/>
  <c r="E746" i="2"/>
  <c r="C746" i="2"/>
  <c r="G745" i="2"/>
  <c r="F745" i="2"/>
  <c r="E745" i="2"/>
  <c r="C745" i="2"/>
  <c r="G744" i="2"/>
  <c r="F744" i="2"/>
  <c r="E744" i="2"/>
  <c r="C744" i="2"/>
  <c r="G743" i="2"/>
  <c r="F743" i="2"/>
  <c r="E743" i="2"/>
  <c r="C743" i="2"/>
  <c r="G742" i="2"/>
  <c r="F742" i="2"/>
  <c r="E742" i="2"/>
  <c r="C742" i="2"/>
  <c r="G741" i="2"/>
  <c r="F741" i="2"/>
  <c r="E741" i="2"/>
  <c r="C741" i="2"/>
  <c r="G740" i="2"/>
  <c r="F740" i="2"/>
  <c r="E740" i="2"/>
  <c r="C740" i="2"/>
  <c r="G739" i="2"/>
  <c r="F739" i="2"/>
  <c r="E739" i="2"/>
  <c r="C739" i="2"/>
  <c r="G738" i="2"/>
  <c r="F738" i="2"/>
  <c r="E738" i="2"/>
  <c r="C738" i="2"/>
  <c r="G737" i="2"/>
  <c r="F737" i="2"/>
  <c r="E737" i="2"/>
  <c r="C737" i="2"/>
  <c r="G736" i="2"/>
  <c r="F736" i="2"/>
  <c r="E736" i="2"/>
  <c r="C736" i="2"/>
  <c r="G735" i="2"/>
  <c r="F735" i="2"/>
  <c r="E735" i="2"/>
  <c r="C735" i="2"/>
  <c r="G734" i="2"/>
  <c r="F734" i="2"/>
  <c r="E734" i="2"/>
  <c r="C734" i="2"/>
  <c r="G733" i="2"/>
  <c r="F733" i="2"/>
  <c r="E733" i="2"/>
  <c r="C733" i="2"/>
  <c r="G732" i="2"/>
  <c r="F732" i="2"/>
  <c r="E732" i="2"/>
  <c r="C732" i="2"/>
  <c r="G731" i="2"/>
  <c r="F731" i="2"/>
  <c r="E731" i="2"/>
  <c r="C731" i="2"/>
  <c r="G730" i="2"/>
  <c r="F730" i="2"/>
  <c r="E730" i="2"/>
  <c r="C730" i="2"/>
  <c r="G729" i="2"/>
  <c r="F729" i="2"/>
  <c r="E729" i="2"/>
  <c r="C729" i="2"/>
  <c r="G728" i="2"/>
  <c r="F728" i="2"/>
  <c r="E728" i="2"/>
  <c r="C728" i="2"/>
  <c r="G727" i="2"/>
  <c r="F727" i="2"/>
  <c r="E727" i="2"/>
  <c r="C727" i="2"/>
  <c r="G726" i="2"/>
  <c r="F726" i="2"/>
  <c r="E726" i="2"/>
  <c r="C726" i="2"/>
  <c r="G725" i="2"/>
  <c r="F725" i="2"/>
  <c r="E725" i="2"/>
  <c r="C725" i="2"/>
  <c r="G724" i="2"/>
  <c r="F724" i="2"/>
  <c r="E724" i="2"/>
  <c r="C724" i="2"/>
  <c r="G723" i="2"/>
  <c r="F723" i="2"/>
  <c r="E723" i="2"/>
  <c r="C723" i="2"/>
  <c r="G722" i="2"/>
  <c r="F722" i="2"/>
  <c r="E722" i="2"/>
  <c r="C722" i="2"/>
  <c r="G721" i="2"/>
  <c r="F721" i="2"/>
  <c r="E721" i="2"/>
  <c r="C721" i="2"/>
  <c r="G720" i="2"/>
  <c r="F720" i="2"/>
  <c r="E720" i="2"/>
  <c r="C720" i="2"/>
  <c r="G719" i="2"/>
  <c r="F719" i="2"/>
  <c r="E719" i="2"/>
  <c r="C719" i="2"/>
  <c r="G718" i="2"/>
  <c r="F718" i="2"/>
  <c r="E718" i="2"/>
  <c r="C718" i="2"/>
  <c r="G717" i="2"/>
  <c r="F717" i="2"/>
  <c r="E717" i="2"/>
  <c r="C717" i="2"/>
  <c r="G716" i="2"/>
  <c r="F716" i="2"/>
  <c r="E716" i="2"/>
  <c r="C716" i="2"/>
  <c r="G715" i="2"/>
  <c r="F715" i="2"/>
  <c r="E715" i="2"/>
  <c r="C715" i="2"/>
  <c r="G714" i="2"/>
  <c r="F714" i="2"/>
  <c r="E714" i="2"/>
  <c r="C714" i="2"/>
  <c r="G713" i="2"/>
  <c r="F713" i="2"/>
  <c r="E713" i="2"/>
  <c r="C713" i="2"/>
  <c r="G712" i="2"/>
  <c r="F712" i="2"/>
  <c r="E712" i="2"/>
  <c r="C712" i="2"/>
  <c r="G711" i="2"/>
  <c r="F711" i="2"/>
  <c r="E711" i="2"/>
  <c r="C711" i="2"/>
  <c r="G710" i="2"/>
  <c r="F710" i="2"/>
  <c r="E710" i="2"/>
  <c r="C710" i="2"/>
  <c r="G709" i="2"/>
  <c r="F709" i="2"/>
  <c r="E709" i="2"/>
  <c r="C709" i="2"/>
  <c r="G708" i="2"/>
  <c r="F708" i="2"/>
  <c r="E708" i="2"/>
  <c r="C708" i="2"/>
  <c r="G707" i="2"/>
  <c r="F707" i="2"/>
  <c r="E707" i="2"/>
  <c r="C707" i="2"/>
  <c r="G706" i="2"/>
  <c r="F706" i="2"/>
  <c r="E706" i="2"/>
  <c r="C706" i="2"/>
  <c r="G705" i="2"/>
  <c r="F705" i="2"/>
  <c r="E705" i="2"/>
  <c r="C705" i="2"/>
  <c r="G704" i="2"/>
  <c r="F704" i="2"/>
  <c r="E704" i="2"/>
  <c r="C704" i="2"/>
  <c r="G703" i="2"/>
  <c r="F703" i="2"/>
  <c r="E703" i="2"/>
  <c r="C703" i="2"/>
  <c r="G702" i="2"/>
  <c r="F702" i="2"/>
  <c r="E702" i="2"/>
  <c r="C702" i="2"/>
  <c r="G701" i="2"/>
  <c r="F701" i="2"/>
  <c r="E701" i="2"/>
  <c r="C701" i="2"/>
  <c r="G700" i="2"/>
  <c r="F700" i="2"/>
  <c r="E700" i="2"/>
  <c r="C700" i="2"/>
  <c r="G699" i="2"/>
  <c r="F699" i="2"/>
  <c r="E699" i="2"/>
  <c r="C699" i="2"/>
  <c r="G698" i="2"/>
  <c r="F698" i="2"/>
  <c r="E698" i="2"/>
  <c r="C698" i="2"/>
  <c r="G697" i="2"/>
  <c r="F697" i="2"/>
  <c r="E697" i="2"/>
  <c r="C697" i="2"/>
  <c r="G696" i="2"/>
  <c r="F696" i="2"/>
  <c r="E696" i="2"/>
  <c r="C696" i="2"/>
  <c r="G695" i="2"/>
  <c r="F695" i="2"/>
  <c r="E695" i="2"/>
  <c r="C695" i="2"/>
  <c r="G694" i="2"/>
  <c r="F694" i="2"/>
  <c r="E694" i="2"/>
  <c r="C694" i="2"/>
  <c r="G693" i="2"/>
  <c r="F693" i="2"/>
  <c r="E693" i="2"/>
  <c r="C693" i="2"/>
  <c r="G692" i="2"/>
  <c r="F692" i="2"/>
  <c r="E692" i="2"/>
  <c r="C692" i="2"/>
  <c r="G691" i="2"/>
  <c r="F691" i="2"/>
  <c r="E691" i="2"/>
  <c r="C691" i="2"/>
  <c r="G690" i="2"/>
  <c r="F690" i="2"/>
  <c r="E690" i="2"/>
  <c r="C690" i="2"/>
  <c r="G689" i="2"/>
  <c r="F689" i="2"/>
  <c r="E689" i="2"/>
  <c r="C689" i="2"/>
  <c r="G688" i="2"/>
  <c r="F688" i="2"/>
  <c r="E688" i="2"/>
  <c r="C688" i="2"/>
  <c r="G687" i="2"/>
  <c r="F687" i="2"/>
  <c r="E687" i="2"/>
  <c r="C687" i="2"/>
  <c r="G686" i="2"/>
  <c r="F686" i="2"/>
  <c r="E686" i="2"/>
  <c r="C686" i="2"/>
  <c r="G685" i="2"/>
  <c r="F685" i="2"/>
  <c r="E685" i="2"/>
  <c r="C685" i="2"/>
  <c r="G684" i="2"/>
  <c r="F684" i="2"/>
  <c r="E684" i="2"/>
  <c r="C684" i="2"/>
  <c r="G683" i="2"/>
  <c r="F683" i="2"/>
  <c r="E683" i="2"/>
  <c r="C683" i="2"/>
  <c r="G682" i="2"/>
  <c r="F682" i="2"/>
  <c r="E682" i="2"/>
  <c r="C682" i="2"/>
  <c r="G681" i="2"/>
  <c r="F681" i="2"/>
  <c r="E681" i="2"/>
  <c r="C681" i="2"/>
  <c r="G680" i="2"/>
  <c r="F680" i="2"/>
  <c r="E680" i="2"/>
  <c r="C680" i="2"/>
  <c r="G679" i="2"/>
  <c r="F679" i="2"/>
  <c r="E679" i="2"/>
  <c r="C679" i="2"/>
  <c r="G678" i="2"/>
  <c r="F678" i="2"/>
  <c r="E678" i="2"/>
  <c r="C678" i="2"/>
  <c r="G677" i="2"/>
  <c r="F677" i="2"/>
  <c r="E677" i="2"/>
  <c r="C677" i="2"/>
  <c r="G676" i="2"/>
  <c r="F676" i="2"/>
  <c r="E676" i="2"/>
  <c r="C676" i="2"/>
  <c r="G675" i="2"/>
  <c r="F675" i="2"/>
  <c r="E675" i="2"/>
  <c r="C675" i="2"/>
  <c r="G674" i="2"/>
  <c r="F674" i="2"/>
  <c r="E674" i="2"/>
  <c r="C674" i="2"/>
  <c r="G673" i="2"/>
  <c r="F673" i="2"/>
  <c r="E673" i="2"/>
  <c r="C673" i="2"/>
  <c r="G672" i="2"/>
  <c r="F672" i="2"/>
  <c r="E672" i="2"/>
  <c r="C672" i="2"/>
  <c r="G671" i="2"/>
  <c r="F671" i="2"/>
  <c r="E671" i="2"/>
  <c r="C671" i="2"/>
  <c r="G670" i="2"/>
  <c r="F670" i="2"/>
  <c r="E670" i="2"/>
  <c r="C670" i="2"/>
  <c r="G669" i="2"/>
  <c r="F669" i="2"/>
  <c r="E669" i="2"/>
  <c r="C669" i="2"/>
  <c r="G668" i="2"/>
  <c r="F668" i="2"/>
  <c r="E668" i="2"/>
  <c r="C668" i="2"/>
  <c r="G667" i="2"/>
  <c r="F667" i="2"/>
  <c r="E667" i="2"/>
  <c r="C667" i="2"/>
  <c r="G666" i="2"/>
  <c r="F666" i="2"/>
  <c r="E666" i="2"/>
  <c r="C666" i="2"/>
  <c r="G665" i="2"/>
  <c r="F665" i="2"/>
  <c r="E665" i="2"/>
  <c r="C665" i="2"/>
  <c r="G664" i="2"/>
  <c r="F664" i="2"/>
  <c r="E664" i="2"/>
  <c r="C664" i="2"/>
  <c r="G663" i="2"/>
  <c r="F663" i="2"/>
  <c r="E663" i="2"/>
  <c r="C663" i="2"/>
  <c r="G662" i="2"/>
  <c r="F662" i="2"/>
  <c r="E662" i="2"/>
  <c r="C662" i="2"/>
  <c r="G661" i="2"/>
  <c r="F661" i="2"/>
  <c r="E661" i="2"/>
  <c r="C661" i="2"/>
  <c r="G660" i="2"/>
  <c r="F660" i="2"/>
  <c r="E660" i="2"/>
  <c r="C660" i="2"/>
  <c r="G659" i="2"/>
  <c r="F659" i="2"/>
  <c r="E659" i="2"/>
  <c r="C659" i="2"/>
  <c r="G658" i="2"/>
  <c r="F658" i="2"/>
  <c r="E658" i="2"/>
  <c r="C658" i="2"/>
  <c r="G657" i="2"/>
  <c r="F657" i="2"/>
  <c r="E657" i="2"/>
  <c r="C657" i="2"/>
  <c r="G656" i="2"/>
  <c r="F656" i="2"/>
  <c r="E656" i="2"/>
  <c r="C656" i="2"/>
  <c r="G655" i="2"/>
  <c r="F655" i="2"/>
  <c r="E655" i="2"/>
  <c r="C655" i="2"/>
  <c r="G654" i="2"/>
  <c r="F654" i="2"/>
  <c r="E654" i="2"/>
  <c r="C654" i="2"/>
  <c r="G653" i="2"/>
  <c r="F653" i="2"/>
  <c r="E653" i="2"/>
  <c r="C653" i="2"/>
  <c r="G652" i="2"/>
  <c r="F652" i="2"/>
  <c r="E652" i="2"/>
  <c r="C652" i="2"/>
  <c r="G651" i="2"/>
  <c r="F651" i="2"/>
  <c r="E651" i="2"/>
  <c r="C651" i="2"/>
  <c r="G650" i="2"/>
  <c r="F650" i="2"/>
  <c r="E650" i="2"/>
  <c r="C650" i="2"/>
  <c r="G649" i="2"/>
  <c r="F649" i="2"/>
  <c r="E649" i="2"/>
  <c r="C649" i="2"/>
  <c r="G648" i="2"/>
  <c r="F648" i="2"/>
  <c r="E648" i="2"/>
  <c r="C648" i="2"/>
  <c r="G647" i="2"/>
  <c r="F647" i="2"/>
  <c r="E647" i="2"/>
  <c r="C647" i="2"/>
  <c r="G646" i="2"/>
  <c r="F646" i="2"/>
  <c r="E646" i="2"/>
  <c r="C646" i="2"/>
  <c r="G645" i="2"/>
  <c r="F645" i="2"/>
  <c r="E645" i="2"/>
  <c r="C645" i="2"/>
  <c r="G644" i="2"/>
  <c r="F644" i="2"/>
  <c r="E644" i="2"/>
  <c r="C644" i="2"/>
  <c r="G643" i="2"/>
  <c r="F643" i="2"/>
  <c r="E643" i="2"/>
  <c r="C643" i="2"/>
  <c r="G642" i="2"/>
  <c r="F642" i="2"/>
  <c r="E642" i="2"/>
  <c r="C642" i="2"/>
  <c r="G641" i="2"/>
  <c r="F641" i="2"/>
  <c r="E641" i="2"/>
  <c r="C641" i="2"/>
  <c r="G640" i="2"/>
  <c r="F640" i="2"/>
  <c r="E640" i="2"/>
  <c r="C640" i="2"/>
  <c r="G639" i="2"/>
  <c r="F639" i="2"/>
  <c r="E639" i="2"/>
  <c r="C639" i="2"/>
  <c r="G638" i="2"/>
  <c r="F638" i="2"/>
  <c r="E638" i="2"/>
  <c r="C638" i="2"/>
  <c r="G637" i="2"/>
  <c r="F637" i="2"/>
  <c r="E637" i="2"/>
  <c r="C637" i="2"/>
  <c r="G636" i="2"/>
  <c r="F636" i="2"/>
  <c r="E636" i="2"/>
  <c r="C636" i="2"/>
  <c r="G635" i="2"/>
  <c r="F635" i="2"/>
  <c r="E635" i="2"/>
  <c r="C635" i="2"/>
  <c r="G634" i="2"/>
  <c r="F634" i="2"/>
  <c r="E634" i="2"/>
  <c r="C634" i="2"/>
  <c r="G633" i="2"/>
  <c r="F633" i="2"/>
  <c r="E633" i="2"/>
  <c r="C633" i="2"/>
  <c r="G632" i="2"/>
  <c r="F632" i="2"/>
  <c r="E632" i="2"/>
  <c r="C632" i="2"/>
  <c r="G631" i="2"/>
  <c r="F631" i="2"/>
  <c r="E631" i="2"/>
  <c r="C631" i="2"/>
  <c r="G630" i="2"/>
  <c r="F630" i="2"/>
  <c r="E630" i="2"/>
  <c r="C630" i="2"/>
  <c r="G629" i="2"/>
  <c r="F629" i="2"/>
  <c r="E629" i="2"/>
  <c r="C629" i="2"/>
  <c r="G628" i="2"/>
  <c r="F628" i="2"/>
  <c r="E628" i="2"/>
  <c r="C628" i="2"/>
  <c r="G627" i="2"/>
  <c r="F627" i="2"/>
  <c r="E627" i="2"/>
  <c r="C627" i="2"/>
  <c r="G626" i="2"/>
  <c r="F626" i="2"/>
  <c r="E626" i="2"/>
  <c r="C626" i="2"/>
  <c r="G625" i="2"/>
  <c r="F625" i="2"/>
  <c r="E625" i="2"/>
  <c r="C625" i="2"/>
  <c r="G624" i="2"/>
  <c r="F624" i="2"/>
  <c r="E624" i="2"/>
  <c r="C624" i="2"/>
  <c r="G623" i="2"/>
  <c r="F623" i="2"/>
  <c r="E623" i="2"/>
  <c r="C623" i="2"/>
  <c r="G622" i="2"/>
  <c r="F622" i="2"/>
  <c r="E622" i="2"/>
  <c r="C622" i="2"/>
  <c r="G621" i="2"/>
  <c r="F621" i="2"/>
  <c r="E621" i="2"/>
  <c r="C621" i="2"/>
  <c r="G620" i="2"/>
  <c r="F620" i="2"/>
  <c r="E620" i="2"/>
  <c r="C620" i="2"/>
  <c r="G619" i="2"/>
  <c r="F619" i="2"/>
  <c r="E619" i="2"/>
  <c r="C619" i="2"/>
  <c r="G618" i="2"/>
  <c r="F618" i="2"/>
  <c r="E618" i="2"/>
  <c r="C618" i="2"/>
  <c r="G617" i="2"/>
  <c r="F617" i="2"/>
  <c r="E617" i="2"/>
  <c r="C617" i="2"/>
  <c r="G616" i="2"/>
  <c r="F616" i="2"/>
  <c r="E616" i="2"/>
  <c r="C616" i="2"/>
  <c r="G615" i="2"/>
  <c r="F615" i="2"/>
  <c r="E615" i="2"/>
  <c r="C615" i="2"/>
  <c r="G614" i="2"/>
  <c r="F614" i="2"/>
  <c r="E614" i="2"/>
  <c r="C614" i="2"/>
  <c r="G613" i="2"/>
  <c r="F613" i="2"/>
  <c r="E613" i="2"/>
  <c r="C613" i="2"/>
  <c r="G612" i="2"/>
  <c r="F612" i="2"/>
  <c r="E612" i="2"/>
  <c r="C612" i="2"/>
  <c r="G611" i="2"/>
  <c r="F611" i="2"/>
  <c r="E611" i="2"/>
  <c r="C611" i="2"/>
  <c r="G610" i="2"/>
  <c r="F610" i="2"/>
  <c r="E610" i="2"/>
  <c r="C610" i="2"/>
  <c r="G609" i="2"/>
  <c r="F609" i="2"/>
  <c r="E609" i="2"/>
  <c r="C609" i="2"/>
  <c r="G608" i="2"/>
  <c r="F608" i="2"/>
  <c r="E608" i="2"/>
  <c r="C608" i="2"/>
  <c r="G607" i="2"/>
  <c r="F607" i="2"/>
  <c r="E607" i="2"/>
  <c r="C607" i="2"/>
  <c r="G606" i="2"/>
  <c r="F606" i="2"/>
  <c r="E606" i="2"/>
  <c r="C606" i="2"/>
  <c r="G605" i="2"/>
  <c r="F605" i="2"/>
  <c r="E605" i="2"/>
  <c r="C605" i="2"/>
  <c r="G604" i="2"/>
  <c r="F604" i="2"/>
  <c r="E604" i="2"/>
  <c r="C604" i="2"/>
  <c r="G603" i="2"/>
  <c r="F603" i="2"/>
  <c r="E603" i="2"/>
  <c r="C603" i="2"/>
  <c r="G602" i="2"/>
  <c r="F602" i="2"/>
  <c r="E602" i="2"/>
  <c r="C602" i="2"/>
  <c r="G601" i="2"/>
  <c r="F601" i="2"/>
  <c r="E601" i="2"/>
  <c r="C601" i="2"/>
  <c r="G600" i="2"/>
  <c r="F600" i="2"/>
  <c r="E600" i="2"/>
  <c r="C600" i="2"/>
  <c r="G599" i="2"/>
  <c r="F599" i="2"/>
  <c r="E599" i="2"/>
  <c r="C599" i="2"/>
  <c r="G598" i="2"/>
  <c r="F598" i="2"/>
  <c r="E598" i="2"/>
  <c r="C598" i="2"/>
  <c r="G597" i="2"/>
  <c r="F597" i="2"/>
  <c r="E597" i="2"/>
  <c r="C597" i="2"/>
  <c r="G596" i="2"/>
  <c r="F596" i="2"/>
  <c r="E596" i="2"/>
  <c r="C596" i="2"/>
  <c r="G595" i="2"/>
  <c r="F595" i="2"/>
  <c r="E595" i="2"/>
  <c r="C595" i="2"/>
  <c r="G594" i="2"/>
  <c r="F594" i="2"/>
  <c r="E594" i="2"/>
  <c r="C594" i="2"/>
  <c r="G593" i="2"/>
  <c r="F593" i="2"/>
  <c r="E593" i="2"/>
  <c r="C593" i="2"/>
  <c r="G592" i="2"/>
  <c r="F592" i="2"/>
  <c r="E592" i="2"/>
  <c r="C592" i="2"/>
  <c r="G591" i="2"/>
  <c r="F591" i="2"/>
  <c r="E591" i="2"/>
  <c r="C591" i="2"/>
  <c r="G590" i="2"/>
  <c r="F590" i="2"/>
  <c r="E590" i="2"/>
  <c r="C590" i="2"/>
  <c r="G589" i="2"/>
  <c r="F589" i="2"/>
  <c r="E589" i="2"/>
  <c r="C589" i="2"/>
  <c r="G588" i="2"/>
  <c r="F588" i="2"/>
  <c r="E588" i="2"/>
  <c r="C588" i="2"/>
  <c r="G587" i="2"/>
  <c r="F587" i="2"/>
  <c r="E587" i="2"/>
  <c r="C587" i="2"/>
  <c r="G586" i="2"/>
  <c r="F586" i="2"/>
  <c r="E586" i="2"/>
  <c r="C586" i="2"/>
  <c r="G585" i="2"/>
  <c r="F585" i="2"/>
  <c r="E585" i="2"/>
  <c r="C585" i="2"/>
  <c r="G584" i="2"/>
  <c r="F584" i="2"/>
  <c r="E584" i="2"/>
  <c r="C584" i="2"/>
  <c r="G583" i="2"/>
  <c r="F583" i="2"/>
  <c r="E583" i="2"/>
  <c r="C583" i="2"/>
  <c r="G582" i="2"/>
  <c r="F582" i="2"/>
  <c r="E582" i="2"/>
  <c r="C582" i="2"/>
  <c r="G581" i="2"/>
  <c r="F581" i="2"/>
  <c r="E581" i="2"/>
  <c r="C581" i="2"/>
  <c r="G580" i="2"/>
  <c r="F580" i="2"/>
  <c r="E580" i="2"/>
  <c r="C580" i="2"/>
  <c r="G579" i="2"/>
  <c r="F579" i="2"/>
  <c r="E579" i="2"/>
  <c r="C579" i="2"/>
  <c r="G578" i="2"/>
  <c r="F578" i="2"/>
  <c r="E578" i="2"/>
  <c r="C578" i="2"/>
  <c r="G577" i="2"/>
  <c r="F577" i="2"/>
  <c r="E577" i="2"/>
  <c r="C577" i="2"/>
  <c r="G576" i="2"/>
  <c r="F576" i="2"/>
  <c r="E576" i="2"/>
  <c r="C576" i="2"/>
  <c r="G575" i="2"/>
  <c r="F575" i="2"/>
  <c r="E575" i="2"/>
  <c r="C575" i="2"/>
  <c r="G574" i="2"/>
  <c r="F574" i="2"/>
  <c r="E574" i="2"/>
  <c r="C574" i="2"/>
  <c r="G573" i="2"/>
  <c r="F573" i="2"/>
  <c r="E573" i="2"/>
  <c r="C573" i="2"/>
  <c r="G572" i="2"/>
  <c r="F572" i="2"/>
  <c r="E572" i="2"/>
  <c r="C572" i="2"/>
  <c r="G571" i="2"/>
  <c r="F571" i="2"/>
  <c r="E571" i="2"/>
  <c r="C571" i="2"/>
  <c r="G570" i="2"/>
  <c r="F570" i="2"/>
  <c r="E570" i="2"/>
  <c r="C570" i="2"/>
  <c r="G569" i="2"/>
  <c r="F569" i="2"/>
  <c r="E569" i="2"/>
  <c r="C569" i="2"/>
  <c r="G568" i="2"/>
  <c r="F568" i="2"/>
  <c r="E568" i="2"/>
  <c r="C568" i="2"/>
  <c r="G567" i="2"/>
  <c r="F567" i="2"/>
  <c r="E567" i="2"/>
  <c r="C567" i="2"/>
  <c r="G566" i="2"/>
  <c r="F566" i="2"/>
  <c r="E566" i="2"/>
  <c r="C566" i="2"/>
  <c r="G565" i="2"/>
  <c r="F565" i="2"/>
  <c r="E565" i="2"/>
  <c r="C565" i="2"/>
  <c r="G564" i="2"/>
  <c r="F564" i="2"/>
  <c r="E564" i="2"/>
  <c r="C564" i="2"/>
  <c r="G563" i="2"/>
  <c r="F563" i="2"/>
  <c r="E563" i="2"/>
  <c r="C563" i="2"/>
  <c r="G562" i="2"/>
  <c r="F562" i="2"/>
  <c r="E562" i="2"/>
  <c r="C562" i="2"/>
  <c r="G561" i="2"/>
  <c r="F561" i="2"/>
  <c r="E561" i="2"/>
  <c r="C561" i="2"/>
  <c r="G560" i="2"/>
  <c r="F560" i="2"/>
  <c r="E560" i="2"/>
  <c r="C560" i="2"/>
  <c r="G559" i="2"/>
  <c r="F559" i="2"/>
  <c r="E559" i="2"/>
  <c r="C559" i="2"/>
  <c r="G558" i="2"/>
  <c r="F558" i="2"/>
  <c r="E558" i="2"/>
  <c r="C558" i="2"/>
  <c r="G557" i="2"/>
  <c r="F557" i="2"/>
  <c r="E557" i="2"/>
  <c r="C557" i="2"/>
  <c r="G556" i="2"/>
  <c r="F556" i="2"/>
  <c r="E556" i="2"/>
  <c r="C556" i="2"/>
  <c r="G555" i="2"/>
  <c r="F555" i="2"/>
  <c r="E555" i="2"/>
  <c r="C555" i="2"/>
  <c r="G554" i="2"/>
  <c r="F554" i="2"/>
  <c r="E554" i="2"/>
  <c r="C554" i="2"/>
  <c r="G553" i="2"/>
  <c r="F553" i="2"/>
  <c r="E553" i="2"/>
  <c r="C553" i="2"/>
  <c r="G552" i="2"/>
  <c r="F552" i="2"/>
  <c r="E552" i="2"/>
  <c r="C552" i="2"/>
  <c r="G551" i="2"/>
  <c r="F551" i="2"/>
  <c r="E551" i="2"/>
  <c r="C551" i="2"/>
  <c r="G550" i="2"/>
  <c r="F550" i="2"/>
  <c r="E550" i="2"/>
  <c r="C550" i="2"/>
  <c r="G549" i="2"/>
  <c r="F549" i="2"/>
  <c r="E549" i="2"/>
  <c r="C549" i="2"/>
  <c r="G548" i="2"/>
  <c r="F548" i="2"/>
  <c r="E548" i="2"/>
  <c r="C548" i="2"/>
  <c r="G547" i="2"/>
  <c r="F547" i="2"/>
  <c r="E547" i="2"/>
  <c r="C547" i="2"/>
  <c r="G546" i="2"/>
  <c r="F546" i="2"/>
  <c r="E546" i="2"/>
  <c r="C546" i="2"/>
  <c r="G545" i="2"/>
  <c r="F545" i="2"/>
  <c r="E545" i="2"/>
  <c r="C545" i="2"/>
  <c r="G544" i="2"/>
  <c r="F544" i="2"/>
  <c r="E544" i="2"/>
  <c r="C544" i="2"/>
  <c r="G543" i="2"/>
  <c r="F543" i="2"/>
  <c r="E543" i="2"/>
  <c r="C543" i="2"/>
  <c r="G542" i="2"/>
  <c r="F542" i="2"/>
  <c r="E542" i="2"/>
  <c r="C542" i="2"/>
  <c r="G541" i="2"/>
  <c r="F541" i="2"/>
  <c r="E541" i="2"/>
  <c r="C541" i="2"/>
  <c r="G540" i="2"/>
  <c r="F540" i="2"/>
  <c r="E540" i="2"/>
  <c r="C540" i="2"/>
  <c r="G539" i="2"/>
  <c r="F539" i="2"/>
  <c r="E539" i="2"/>
  <c r="C539" i="2"/>
  <c r="G538" i="2"/>
  <c r="F538" i="2"/>
  <c r="E538" i="2"/>
  <c r="C538" i="2"/>
  <c r="G537" i="2"/>
  <c r="F537" i="2"/>
  <c r="E537" i="2"/>
  <c r="C537" i="2"/>
  <c r="G536" i="2"/>
  <c r="F536" i="2"/>
  <c r="E536" i="2"/>
  <c r="C536" i="2"/>
  <c r="G535" i="2"/>
  <c r="F535" i="2"/>
  <c r="E535" i="2"/>
  <c r="C535" i="2"/>
  <c r="G534" i="2"/>
  <c r="F534" i="2"/>
  <c r="E534" i="2"/>
  <c r="C534" i="2"/>
  <c r="G533" i="2"/>
  <c r="F533" i="2"/>
  <c r="E533" i="2"/>
  <c r="C533" i="2"/>
  <c r="G532" i="2"/>
  <c r="F532" i="2"/>
  <c r="E532" i="2"/>
  <c r="C532" i="2"/>
  <c r="G531" i="2"/>
  <c r="F531" i="2"/>
  <c r="E531" i="2"/>
  <c r="C531" i="2"/>
  <c r="G530" i="2"/>
  <c r="F530" i="2"/>
  <c r="E530" i="2"/>
  <c r="C530" i="2"/>
  <c r="G529" i="2"/>
  <c r="F529" i="2"/>
  <c r="E529" i="2"/>
  <c r="C529" i="2"/>
  <c r="G528" i="2"/>
  <c r="F528" i="2"/>
  <c r="E528" i="2"/>
  <c r="C528" i="2"/>
  <c r="G527" i="2"/>
  <c r="F527" i="2"/>
  <c r="E527" i="2"/>
  <c r="C527" i="2"/>
  <c r="G526" i="2"/>
  <c r="F526" i="2"/>
  <c r="E526" i="2"/>
  <c r="C526" i="2"/>
  <c r="G525" i="2"/>
  <c r="F525" i="2"/>
  <c r="E525" i="2"/>
  <c r="C525" i="2"/>
  <c r="G524" i="2"/>
  <c r="F524" i="2"/>
  <c r="E524" i="2"/>
  <c r="C524" i="2"/>
  <c r="G523" i="2"/>
  <c r="F523" i="2"/>
  <c r="E523" i="2"/>
  <c r="C523" i="2"/>
  <c r="G522" i="2"/>
  <c r="F522" i="2"/>
  <c r="E522" i="2"/>
  <c r="C522" i="2"/>
  <c r="G521" i="2"/>
  <c r="F521" i="2"/>
  <c r="E521" i="2"/>
  <c r="C521" i="2"/>
  <c r="G520" i="2"/>
  <c r="F520" i="2"/>
  <c r="E520" i="2"/>
  <c r="C520" i="2"/>
  <c r="G519" i="2"/>
  <c r="F519" i="2"/>
  <c r="E519" i="2"/>
  <c r="C519" i="2"/>
  <c r="G518" i="2"/>
  <c r="F518" i="2"/>
  <c r="E518" i="2"/>
  <c r="C518" i="2"/>
  <c r="G517" i="2"/>
  <c r="F517" i="2"/>
  <c r="E517" i="2"/>
  <c r="C517" i="2"/>
  <c r="G516" i="2"/>
  <c r="F516" i="2"/>
  <c r="E516" i="2"/>
  <c r="C516" i="2"/>
  <c r="G515" i="2"/>
  <c r="F515" i="2"/>
  <c r="E515" i="2"/>
  <c r="C515" i="2"/>
  <c r="G514" i="2"/>
  <c r="F514" i="2"/>
  <c r="E514" i="2"/>
  <c r="C514" i="2"/>
  <c r="G513" i="2"/>
  <c r="F513" i="2"/>
  <c r="E513" i="2"/>
  <c r="C513" i="2"/>
  <c r="G512" i="2"/>
  <c r="F512" i="2"/>
  <c r="E512" i="2"/>
  <c r="C512" i="2"/>
  <c r="G511" i="2"/>
  <c r="F511" i="2"/>
  <c r="E511" i="2"/>
  <c r="C511" i="2"/>
  <c r="G510" i="2"/>
  <c r="F510" i="2"/>
  <c r="E510" i="2"/>
  <c r="C510" i="2"/>
  <c r="G509" i="2"/>
  <c r="F509" i="2"/>
  <c r="E509" i="2"/>
  <c r="C509" i="2"/>
  <c r="G508" i="2"/>
  <c r="F508" i="2"/>
  <c r="E508" i="2"/>
  <c r="C508" i="2"/>
  <c r="G507" i="2"/>
  <c r="F507" i="2"/>
  <c r="E507" i="2"/>
  <c r="C507" i="2"/>
  <c r="G506" i="2"/>
  <c r="F506" i="2"/>
  <c r="E506" i="2"/>
  <c r="C506" i="2"/>
  <c r="G505" i="2"/>
  <c r="F505" i="2"/>
  <c r="E505" i="2"/>
  <c r="C505" i="2"/>
  <c r="G504" i="2"/>
  <c r="F504" i="2"/>
  <c r="E504" i="2"/>
  <c r="C504" i="2"/>
  <c r="G503" i="2"/>
  <c r="F503" i="2"/>
  <c r="E503" i="2"/>
  <c r="C503" i="2"/>
  <c r="G502" i="2"/>
  <c r="F502" i="2"/>
  <c r="E502" i="2"/>
  <c r="C502" i="2"/>
  <c r="G501" i="2"/>
  <c r="F501" i="2"/>
  <c r="E501" i="2"/>
  <c r="C501" i="2"/>
  <c r="G500" i="2"/>
  <c r="F500" i="2"/>
  <c r="E500" i="2"/>
  <c r="C500" i="2"/>
  <c r="G499" i="2"/>
  <c r="F499" i="2"/>
  <c r="E499" i="2"/>
  <c r="C499" i="2"/>
  <c r="G498" i="2"/>
  <c r="F498" i="2"/>
  <c r="E498" i="2"/>
  <c r="C498" i="2"/>
  <c r="G497" i="2"/>
  <c r="F497" i="2"/>
  <c r="E497" i="2"/>
  <c r="C497" i="2"/>
  <c r="G496" i="2"/>
  <c r="F496" i="2"/>
  <c r="E496" i="2"/>
  <c r="C496" i="2"/>
  <c r="G495" i="2"/>
  <c r="F495" i="2"/>
  <c r="E495" i="2"/>
  <c r="C495" i="2"/>
  <c r="G494" i="2"/>
  <c r="F494" i="2"/>
  <c r="E494" i="2"/>
  <c r="C494" i="2"/>
  <c r="G493" i="2"/>
  <c r="F493" i="2"/>
  <c r="E493" i="2"/>
  <c r="C493" i="2"/>
  <c r="G492" i="2"/>
  <c r="F492" i="2"/>
  <c r="E492" i="2"/>
  <c r="C492" i="2"/>
  <c r="G491" i="2"/>
  <c r="F491" i="2"/>
  <c r="E491" i="2"/>
  <c r="C491" i="2"/>
  <c r="G490" i="2"/>
  <c r="F490" i="2"/>
  <c r="E490" i="2"/>
  <c r="C490" i="2"/>
  <c r="G489" i="2"/>
  <c r="F489" i="2"/>
  <c r="E489" i="2"/>
  <c r="C489" i="2"/>
  <c r="G488" i="2"/>
  <c r="F488" i="2"/>
  <c r="E488" i="2"/>
  <c r="C488" i="2"/>
  <c r="G487" i="2"/>
  <c r="F487" i="2"/>
  <c r="E487" i="2"/>
  <c r="C487" i="2"/>
  <c r="G486" i="2"/>
  <c r="F486" i="2"/>
  <c r="E486" i="2"/>
  <c r="C486" i="2"/>
  <c r="G485" i="2"/>
  <c r="F485" i="2"/>
  <c r="E485" i="2"/>
  <c r="C485" i="2"/>
  <c r="G484" i="2"/>
  <c r="F484" i="2"/>
  <c r="E484" i="2"/>
  <c r="C484" i="2"/>
  <c r="G483" i="2"/>
  <c r="F483" i="2"/>
  <c r="E483" i="2"/>
  <c r="C483" i="2"/>
  <c r="G482" i="2"/>
  <c r="F482" i="2"/>
  <c r="E482" i="2"/>
  <c r="C482" i="2"/>
  <c r="G481" i="2"/>
  <c r="F481" i="2"/>
  <c r="E481" i="2"/>
  <c r="C481" i="2"/>
  <c r="G480" i="2"/>
  <c r="F480" i="2"/>
  <c r="E480" i="2"/>
  <c r="C480" i="2"/>
  <c r="G479" i="2"/>
  <c r="F479" i="2"/>
  <c r="E479" i="2"/>
  <c r="C479" i="2"/>
  <c r="G478" i="2"/>
  <c r="F478" i="2"/>
  <c r="E478" i="2"/>
  <c r="C478" i="2"/>
  <c r="G477" i="2"/>
  <c r="F477" i="2"/>
  <c r="E477" i="2"/>
  <c r="C477" i="2"/>
  <c r="G476" i="2"/>
  <c r="F476" i="2"/>
  <c r="E476" i="2"/>
  <c r="C476" i="2"/>
  <c r="G475" i="2"/>
  <c r="F475" i="2"/>
  <c r="E475" i="2"/>
  <c r="C475" i="2"/>
  <c r="G474" i="2"/>
  <c r="F474" i="2"/>
  <c r="E474" i="2"/>
  <c r="C474" i="2"/>
  <c r="G473" i="2"/>
  <c r="F473" i="2"/>
  <c r="E473" i="2"/>
  <c r="C473" i="2"/>
  <c r="G472" i="2"/>
  <c r="F472" i="2"/>
  <c r="E472" i="2"/>
  <c r="C472" i="2"/>
  <c r="G471" i="2"/>
  <c r="F471" i="2"/>
  <c r="E471" i="2"/>
  <c r="C471" i="2"/>
  <c r="G470" i="2"/>
  <c r="F470" i="2"/>
  <c r="E470" i="2"/>
  <c r="C470" i="2"/>
  <c r="G469" i="2"/>
  <c r="F469" i="2"/>
  <c r="E469" i="2"/>
  <c r="C469" i="2"/>
  <c r="G468" i="2"/>
  <c r="F468" i="2"/>
  <c r="E468" i="2"/>
  <c r="C468" i="2"/>
  <c r="G467" i="2"/>
  <c r="F467" i="2"/>
  <c r="E467" i="2"/>
  <c r="C467" i="2"/>
  <c r="G466" i="2"/>
  <c r="F466" i="2"/>
  <c r="E466" i="2"/>
  <c r="C466" i="2"/>
  <c r="G465" i="2"/>
  <c r="F465" i="2"/>
  <c r="E465" i="2"/>
  <c r="C465" i="2"/>
  <c r="G464" i="2"/>
  <c r="F464" i="2"/>
  <c r="E464" i="2"/>
  <c r="C464" i="2"/>
  <c r="G463" i="2"/>
  <c r="F463" i="2"/>
  <c r="E463" i="2"/>
  <c r="C463" i="2"/>
  <c r="G462" i="2"/>
  <c r="F462" i="2"/>
  <c r="E462" i="2"/>
  <c r="C462" i="2"/>
  <c r="G461" i="2"/>
  <c r="F461" i="2"/>
  <c r="E461" i="2"/>
  <c r="C461" i="2"/>
  <c r="G460" i="2"/>
  <c r="F460" i="2"/>
  <c r="E460" i="2"/>
  <c r="C460" i="2"/>
  <c r="G459" i="2"/>
  <c r="F459" i="2"/>
  <c r="E459" i="2"/>
  <c r="C459" i="2"/>
  <c r="G458" i="2"/>
  <c r="F458" i="2"/>
  <c r="E458" i="2"/>
  <c r="C458" i="2"/>
  <c r="G457" i="2"/>
  <c r="F457" i="2"/>
  <c r="E457" i="2"/>
  <c r="C457" i="2"/>
  <c r="G456" i="2"/>
  <c r="F456" i="2"/>
  <c r="E456" i="2"/>
  <c r="C456" i="2"/>
  <c r="G455" i="2"/>
  <c r="F455" i="2"/>
  <c r="E455" i="2"/>
  <c r="C455" i="2"/>
  <c r="G454" i="2"/>
  <c r="F454" i="2"/>
  <c r="E454" i="2"/>
  <c r="C454" i="2"/>
  <c r="G453" i="2"/>
  <c r="F453" i="2"/>
  <c r="E453" i="2"/>
  <c r="C453" i="2"/>
  <c r="G452" i="2"/>
  <c r="F452" i="2"/>
  <c r="E452" i="2"/>
  <c r="C452" i="2"/>
  <c r="G451" i="2"/>
  <c r="F451" i="2"/>
  <c r="E451" i="2"/>
  <c r="C451" i="2"/>
  <c r="G450" i="2"/>
  <c r="F450" i="2"/>
  <c r="E450" i="2"/>
  <c r="C450" i="2"/>
  <c r="G449" i="2"/>
  <c r="F449" i="2"/>
  <c r="E449" i="2"/>
  <c r="C449" i="2"/>
  <c r="G448" i="2"/>
  <c r="F448" i="2"/>
  <c r="E448" i="2"/>
  <c r="C448" i="2"/>
  <c r="G447" i="2"/>
  <c r="F447" i="2"/>
  <c r="E447" i="2"/>
  <c r="C447" i="2"/>
  <c r="G446" i="2"/>
  <c r="F446" i="2"/>
  <c r="E446" i="2"/>
  <c r="C446" i="2"/>
  <c r="G445" i="2"/>
  <c r="F445" i="2"/>
  <c r="E445" i="2"/>
  <c r="C445" i="2"/>
  <c r="G444" i="2"/>
  <c r="F444" i="2"/>
  <c r="E444" i="2"/>
  <c r="C444" i="2"/>
  <c r="G443" i="2"/>
  <c r="F443" i="2"/>
  <c r="E443" i="2"/>
  <c r="C443" i="2"/>
  <c r="G442" i="2"/>
  <c r="F442" i="2"/>
  <c r="E442" i="2"/>
  <c r="C442" i="2"/>
  <c r="G441" i="2"/>
  <c r="F441" i="2"/>
  <c r="E441" i="2"/>
  <c r="C441" i="2"/>
  <c r="G440" i="2"/>
  <c r="F440" i="2"/>
  <c r="E440" i="2"/>
  <c r="C440" i="2"/>
  <c r="G439" i="2"/>
  <c r="F439" i="2"/>
  <c r="E439" i="2"/>
  <c r="C439" i="2"/>
  <c r="G438" i="2"/>
  <c r="F438" i="2"/>
  <c r="E438" i="2"/>
  <c r="C438" i="2"/>
  <c r="G437" i="2"/>
  <c r="F437" i="2"/>
  <c r="E437" i="2"/>
  <c r="C437" i="2"/>
  <c r="G436" i="2"/>
  <c r="F436" i="2"/>
  <c r="E436" i="2"/>
  <c r="C436" i="2"/>
  <c r="G435" i="2"/>
  <c r="F435" i="2"/>
  <c r="E435" i="2"/>
  <c r="C435" i="2"/>
  <c r="G434" i="2"/>
  <c r="F434" i="2"/>
  <c r="E434" i="2"/>
  <c r="C434" i="2"/>
  <c r="G433" i="2"/>
  <c r="F433" i="2"/>
  <c r="E433" i="2"/>
  <c r="C433" i="2"/>
  <c r="G432" i="2"/>
  <c r="F432" i="2"/>
  <c r="E432" i="2"/>
  <c r="C432" i="2"/>
  <c r="G431" i="2"/>
  <c r="F431" i="2"/>
  <c r="E431" i="2"/>
  <c r="C431" i="2"/>
  <c r="G430" i="2"/>
  <c r="F430" i="2"/>
  <c r="E430" i="2"/>
  <c r="C430" i="2"/>
  <c r="G429" i="2"/>
  <c r="F429" i="2"/>
  <c r="E429" i="2"/>
  <c r="C429" i="2"/>
  <c r="G428" i="2"/>
  <c r="F428" i="2"/>
  <c r="E428" i="2"/>
  <c r="C428" i="2"/>
  <c r="G427" i="2"/>
  <c r="F427" i="2"/>
  <c r="E427" i="2"/>
  <c r="C427" i="2"/>
  <c r="G426" i="2"/>
  <c r="F426" i="2"/>
  <c r="E426" i="2"/>
  <c r="C426" i="2"/>
  <c r="G425" i="2"/>
  <c r="F425" i="2"/>
  <c r="E425" i="2"/>
  <c r="C425" i="2"/>
  <c r="G424" i="2"/>
  <c r="F424" i="2"/>
  <c r="E424" i="2"/>
  <c r="C424" i="2"/>
  <c r="G423" i="2"/>
  <c r="F423" i="2"/>
  <c r="E423" i="2"/>
  <c r="C423" i="2"/>
  <c r="G422" i="2"/>
  <c r="F422" i="2"/>
  <c r="E422" i="2"/>
  <c r="C422" i="2"/>
  <c r="G421" i="2"/>
  <c r="F421" i="2"/>
  <c r="E421" i="2"/>
  <c r="C421" i="2"/>
  <c r="G420" i="2"/>
  <c r="F420" i="2"/>
  <c r="E420" i="2"/>
  <c r="C420" i="2"/>
  <c r="G419" i="2"/>
  <c r="F419" i="2"/>
  <c r="E419" i="2"/>
  <c r="C419" i="2"/>
  <c r="G418" i="2"/>
  <c r="F418" i="2"/>
  <c r="E418" i="2"/>
  <c r="C418" i="2"/>
  <c r="G417" i="2"/>
  <c r="F417" i="2"/>
  <c r="E417" i="2"/>
  <c r="C417" i="2"/>
  <c r="G416" i="2"/>
  <c r="F416" i="2"/>
  <c r="E416" i="2"/>
  <c r="C416" i="2"/>
  <c r="G415" i="2"/>
  <c r="F415" i="2"/>
  <c r="E415" i="2"/>
  <c r="C415" i="2"/>
  <c r="G414" i="2"/>
  <c r="F414" i="2"/>
  <c r="E414" i="2"/>
  <c r="C414" i="2"/>
  <c r="G413" i="2"/>
  <c r="F413" i="2"/>
  <c r="E413" i="2"/>
  <c r="C413" i="2"/>
  <c r="G412" i="2"/>
  <c r="F412" i="2"/>
  <c r="E412" i="2"/>
  <c r="C412" i="2"/>
  <c r="G411" i="2"/>
  <c r="F411" i="2"/>
  <c r="E411" i="2"/>
  <c r="C411" i="2"/>
  <c r="G410" i="2"/>
  <c r="F410" i="2"/>
  <c r="E410" i="2"/>
  <c r="C410" i="2"/>
  <c r="G409" i="2"/>
  <c r="F409" i="2"/>
  <c r="E409" i="2"/>
  <c r="C409" i="2"/>
  <c r="G408" i="2"/>
  <c r="F408" i="2"/>
  <c r="E408" i="2"/>
  <c r="C408" i="2"/>
  <c r="G407" i="2"/>
  <c r="F407" i="2"/>
  <c r="E407" i="2"/>
  <c r="C407" i="2"/>
  <c r="G406" i="2"/>
  <c r="F406" i="2"/>
  <c r="E406" i="2"/>
  <c r="C406" i="2"/>
  <c r="G405" i="2"/>
  <c r="F405" i="2"/>
  <c r="E405" i="2"/>
  <c r="C405" i="2"/>
  <c r="G404" i="2"/>
  <c r="F404" i="2"/>
  <c r="E404" i="2"/>
  <c r="C404" i="2"/>
  <c r="G403" i="2"/>
  <c r="F403" i="2"/>
  <c r="E403" i="2"/>
  <c r="C403" i="2"/>
  <c r="G402" i="2"/>
  <c r="F402" i="2"/>
  <c r="E402" i="2"/>
  <c r="C402" i="2"/>
  <c r="G401" i="2"/>
  <c r="F401" i="2"/>
  <c r="E401" i="2"/>
  <c r="C401" i="2"/>
  <c r="G400" i="2"/>
  <c r="F400" i="2"/>
  <c r="E400" i="2"/>
  <c r="C400" i="2"/>
  <c r="G399" i="2"/>
  <c r="F399" i="2"/>
  <c r="E399" i="2"/>
  <c r="C399" i="2"/>
  <c r="G398" i="2"/>
  <c r="F398" i="2"/>
  <c r="E398" i="2"/>
  <c r="C398" i="2"/>
  <c r="G397" i="2"/>
  <c r="F397" i="2"/>
  <c r="E397" i="2"/>
  <c r="C397" i="2"/>
  <c r="G396" i="2"/>
  <c r="F396" i="2"/>
  <c r="E396" i="2"/>
  <c r="C396" i="2"/>
  <c r="G395" i="2"/>
  <c r="F395" i="2"/>
  <c r="E395" i="2"/>
  <c r="C395" i="2"/>
  <c r="G394" i="2"/>
  <c r="F394" i="2"/>
  <c r="E394" i="2"/>
  <c r="C394" i="2"/>
  <c r="G393" i="2"/>
  <c r="F393" i="2"/>
  <c r="E393" i="2"/>
  <c r="C393" i="2"/>
  <c r="G392" i="2"/>
  <c r="F392" i="2"/>
  <c r="E392" i="2"/>
  <c r="C392" i="2"/>
  <c r="G391" i="2"/>
  <c r="F391" i="2"/>
  <c r="E391" i="2"/>
  <c r="C391" i="2"/>
  <c r="G390" i="2"/>
  <c r="F390" i="2"/>
  <c r="E390" i="2"/>
  <c r="C390" i="2"/>
  <c r="G389" i="2"/>
  <c r="F389" i="2"/>
  <c r="E389" i="2"/>
  <c r="C389" i="2"/>
  <c r="G388" i="2"/>
  <c r="F388" i="2"/>
  <c r="E388" i="2"/>
  <c r="C388" i="2"/>
  <c r="G387" i="2"/>
  <c r="F387" i="2"/>
  <c r="E387" i="2"/>
  <c r="C387" i="2"/>
  <c r="G386" i="2"/>
  <c r="F386" i="2"/>
  <c r="E386" i="2"/>
  <c r="C386" i="2"/>
  <c r="G385" i="2"/>
  <c r="F385" i="2"/>
  <c r="E385" i="2"/>
  <c r="C385" i="2"/>
  <c r="G384" i="2"/>
  <c r="F384" i="2"/>
  <c r="E384" i="2"/>
  <c r="C384" i="2"/>
  <c r="G383" i="2"/>
  <c r="F383" i="2"/>
  <c r="E383" i="2"/>
  <c r="C383" i="2"/>
  <c r="G382" i="2"/>
  <c r="F382" i="2"/>
  <c r="E382" i="2"/>
  <c r="C382" i="2"/>
  <c r="G381" i="2"/>
  <c r="F381" i="2"/>
  <c r="E381" i="2"/>
  <c r="C381" i="2"/>
  <c r="G380" i="2"/>
  <c r="F380" i="2"/>
  <c r="E380" i="2"/>
  <c r="C380" i="2"/>
  <c r="G379" i="2"/>
  <c r="F379" i="2"/>
  <c r="E379" i="2"/>
  <c r="C379" i="2"/>
  <c r="G378" i="2"/>
  <c r="F378" i="2"/>
  <c r="E378" i="2"/>
  <c r="C378" i="2"/>
  <c r="G377" i="2"/>
  <c r="F377" i="2"/>
  <c r="E377" i="2"/>
  <c r="C377" i="2"/>
  <c r="G376" i="2"/>
  <c r="F376" i="2"/>
  <c r="E376" i="2"/>
  <c r="C376" i="2"/>
  <c r="G375" i="2"/>
  <c r="F375" i="2"/>
  <c r="E375" i="2"/>
  <c r="C375" i="2"/>
  <c r="G374" i="2"/>
  <c r="F374" i="2"/>
  <c r="E374" i="2"/>
  <c r="C374" i="2"/>
  <c r="G373" i="2"/>
  <c r="F373" i="2"/>
  <c r="E373" i="2"/>
  <c r="C373" i="2"/>
  <c r="G372" i="2"/>
  <c r="F372" i="2"/>
  <c r="E372" i="2"/>
  <c r="C372" i="2"/>
  <c r="G371" i="2"/>
  <c r="F371" i="2"/>
  <c r="E371" i="2"/>
  <c r="C371" i="2"/>
  <c r="G370" i="2"/>
  <c r="F370" i="2"/>
  <c r="E370" i="2"/>
  <c r="C370" i="2"/>
  <c r="G369" i="2"/>
  <c r="F369" i="2"/>
  <c r="E369" i="2"/>
  <c r="C369" i="2"/>
  <c r="G368" i="2"/>
  <c r="F368" i="2"/>
  <c r="E368" i="2"/>
  <c r="C368" i="2"/>
  <c r="G367" i="2"/>
  <c r="F367" i="2"/>
  <c r="E367" i="2"/>
  <c r="C367" i="2"/>
  <c r="G366" i="2"/>
  <c r="F366" i="2"/>
  <c r="E366" i="2"/>
  <c r="C366" i="2"/>
  <c r="G365" i="2"/>
  <c r="F365" i="2"/>
  <c r="E365" i="2"/>
  <c r="C365" i="2"/>
  <c r="G364" i="2"/>
  <c r="F364" i="2"/>
  <c r="E364" i="2"/>
  <c r="C364" i="2"/>
  <c r="G363" i="2"/>
  <c r="F363" i="2"/>
  <c r="E363" i="2"/>
  <c r="C363" i="2"/>
  <c r="G362" i="2"/>
  <c r="F362" i="2"/>
  <c r="E362" i="2"/>
  <c r="C362" i="2"/>
  <c r="G361" i="2"/>
  <c r="F361" i="2"/>
  <c r="E361" i="2"/>
  <c r="C361" i="2"/>
  <c r="G360" i="2"/>
  <c r="F360" i="2"/>
  <c r="E360" i="2"/>
  <c r="C360" i="2"/>
  <c r="G359" i="2"/>
  <c r="F359" i="2"/>
  <c r="E359" i="2"/>
  <c r="C359" i="2"/>
  <c r="G358" i="2"/>
  <c r="F358" i="2"/>
  <c r="E358" i="2"/>
  <c r="C358" i="2"/>
  <c r="G357" i="2"/>
  <c r="F357" i="2"/>
  <c r="E357" i="2"/>
  <c r="C357" i="2"/>
  <c r="G356" i="2"/>
  <c r="F356" i="2"/>
  <c r="E356" i="2"/>
  <c r="C356" i="2"/>
  <c r="G355" i="2"/>
  <c r="F355" i="2"/>
  <c r="E355" i="2"/>
  <c r="C355" i="2"/>
  <c r="G354" i="2"/>
  <c r="F354" i="2"/>
  <c r="E354" i="2"/>
  <c r="C354" i="2"/>
  <c r="G353" i="2"/>
  <c r="F353" i="2"/>
  <c r="E353" i="2"/>
  <c r="C353" i="2"/>
  <c r="G352" i="2"/>
  <c r="F352" i="2"/>
  <c r="E352" i="2"/>
  <c r="C352" i="2"/>
  <c r="G351" i="2"/>
  <c r="F351" i="2"/>
  <c r="E351" i="2"/>
  <c r="C351" i="2"/>
  <c r="G350" i="2"/>
  <c r="F350" i="2"/>
  <c r="E350" i="2"/>
  <c r="C350" i="2"/>
  <c r="G349" i="2"/>
  <c r="F349" i="2"/>
  <c r="E349" i="2"/>
  <c r="C349" i="2"/>
  <c r="G348" i="2"/>
  <c r="F348" i="2"/>
  <c r="E348" i="2"/>
  <c r="C348" i="2"/>
  <c r="G347" i="2"/>
  <c r="F347" i="2"/>
  <c r="E347" i="2"/>
  <c r="C347" i="2"/>
  <c r="G346" i="2"/>
  <c r="F346" i="2"/>
  <c r="E346" i="2"/>
  <c r="C346" i="2"/>
  <c r="G345" i="2"/>
  <c r="F345" i="2"/>
  <c r="E345" i="2"/>
  <c r="C345" i="2"/>
  <c r="G344" i="2"/>
  <c r="F344" i="2"/>
  <c r="E344" i="2"/>
  <c r="C344" i="2"/>
  <c r="G343" i="2"/>
  <c r="F343" i="2"/>
  <c r="E343" i="2"/>
  <c r="C343" i="2"/>
  <c r="G342" i="2"/>
  <c r="F342" i="2"/>
  <c r="E342" i="2"/>
  <c r="C342" i="2"/>
  <c r="G341" i="2"/>
  <c r="F341" i="2"/>
  <c r="E341" i="2"/>
  <c r="C341" i="2"/>
  <c r="G340" i="2"/>
  <c r="F340" i="2"/>
  <c r="E340" i="2"/>
  <c r="C340" i="2"/>
  <c r="G339" i="2"/>
  <c r="F339" i="2"/>
  <c r="E339" i="2"/>
  <c r="C339" i="2"/>
  <c r="G338" i="2"/>
  <c r="F338" i="2"/>
  <c r="E338" i="2"/>
  <c r="C338" i="2"/>
  <c r="G337" i="2"/>
  <c r="F337" i="2"/>
  <c r="E337" i="2"/>
  <c r="C337" i="2"/>
  <c r="G336" i="2"/>
  <c r="F336" i="2"/>
  <c r="E336" i="2"/>
  <c r="C336" i="2"/>
  <c r="G335" i="2"/>
  <c r="F335" i="2"/>
  <c r="E335" i="2"/>
  <c r="C335" i="2"/>
  <c r="G334" i="2"/>
  <c r="F334" i="2"/>
  <c r="E334" i="2"/>
  <c r="C334" i="2"/>
  <c r="G333" i="2"/>
  <c r="F333" i="2"/>
  <c r="E333" i="2"/>
  <c r="C333" i="2"/>
  <c r="G332" i="2"/>
  <c r="F332" i="2"/>
  <c r="E332" i="2"/>
  <c r="C332" i="2"/>
  <c r="G331" i="2"/>
  <c r="F331" i="2"/>
  <c r="E331" i="2"/>
  <c r="C331" i="2"/>
  <c r="G330" i="2"/>
  <c r="F330" i="2"/>
  <c r="E330" i="2"/>
  <c r="C330" i="2"/>
  <c r="G329" i="2"/>
  <c r="F329" i="2"/>
  <c r="E329" i="2"/>
  <c r="C329" i="2"/>
  <c r="G328" i="2"/>
  <c r="F328" i="2"/>
  <c r="E328" i="2"/>
  <c r="C328" i="2"/>
  <c r="G327" i="2"/>
  <c r="F327" i="2"/>
  <c r="E327" i="2"/>
  <c r="C327" i="2"/>
  <c r="G326" i="2"/>
  <c r="F326" i="2"/>
  <c r="E326" i="2"/>
  <c r="C326" i="2"/>
  <c r="G325" i="2"/>
  <c r="F325" i="2"/>
  <c r="E325" i="2"/>
  <c r="C325" i="2"/>
  <c r="G324" i="2"/>
  <c r="F324" i="2"/>
  <c r="E324" i="2"/>
  <c r="C324" i="2"/>
  <c r="G323" i="2"/>
  <c r="F323" i="2"/>
  <c r="E323" i="2"/>
  <c r="C323" i="2"/>
  <c r="G322" i="2"/>
  <c r="F322" i="2"/>
  <c r="E322" i="2"/>
  <c r="C322" i="2"/>
  <c r="G321" i="2"/>
  <c r="F321" i="2"/>
  <c r="E321" i="2"/>
  <c r="C321" i="2"/>
  <c r="G320" i="2"/>
  <c r="F320" i="2"/>
  <c r="E320" i="2"/>
  <c r="C320" i="2"/>
  <c r="G319" i="2"/>
  <c r="F319" i="2"/>
  <c r="E319" i="2"/>
  <c r="C319" i="2"/>
  <c r="G318" i="2"/>
  <c r="F318" i="2"/>
  <c r="E318" i="2"/>
  <c r="C318" i="2"/>
  <c r="G317" i="2"/>
  <c r="F317" i="2"/>
  <c r="E317" i="2"/>
  <c r="C317" i="2"/>
  <c r="G316" i="2"/>
  <c r="F316" i="2"/>
  <c r="E316" i="2"/>
  <c r="C316" i="2"/>
  <c r="G315" i="2"/>
  <c r="F315" i="2"/>
  <c r="E315" i="2"/>
  <c r="C315" i="2"/>
  <c r="G314" i="2"/>
  <c r="F314" i="2"/>
  <c r="E314" i="2"/>
  <c r="C314" i="2"/>
  <c r="G313" i="2"/>
  <c r="F313" i="2"/>
  <c r="E313" i="2"/>
  <c r="C313" i="2"/>
  <c r="G312" i="2"/>
  <c r="F312" i="2"/>
  <c r="E312" i="2"/>
  <c r="C312" i="2"/>
  <c r="G311" i="2"/>
  <c r="F311" i="2"/>
  <c r="E311" i="2"/>
  <c r="C311" i="2"/>
  <c r="G310" i="2"/>
  <c r="F310" i="2"/>
  <c r="E310" i="2"/>
  <c r="C310" i="2"/>
  <c r="G309" i="2"/>
  <c r="F309" i="2"/>
  <c r="E309" i="2"/>
  <c r="C309" i="2"/>
  <c r="G308" i="2"/>
  <c r="F308" i="2"/>
  <c r="E308" i="2"/>
  <c r="C308" i="2"/>
  <c r="G307" i="2"/>
  <c r="F307" i="2"/>
  <c r="E307" i="2"/>
  <c r="C307" i="2"/>
  <c r="G306" i="2"/>
  <c r="F306" i="2"/>
  <c r="E306" i="2"/>
  <c r="C306" i="2"/>
  <c r="G305" i="2"/>
  <c r="F305" i="2"/>
  <c r="E305" i="2"/>
  <c r="C305" i="2"/>
  <c r="G304" i="2"/>
  <c r="F304" i="2"/>
  <c r="E304" i="2"/>
  <c r="C304" i="2"/>
  <c r="G303" i="2"/>
  <c r="F303" i="2"/>
  <c r="E303" i="2"/>
  <c r="C303" i="2"/>
  <c r="G302" i="2"/>
  <c r="F302" i="2"/>
  <c r="E302" i="2"/>
  <c r="C302" i="2"/>
  <c r="G301" i="2"/>
  <c r="F301" i="2"/>
  <c r="E301" i="2"/>
  <c r="C301" i="2"/>
  <c r="G300" i="2"/>
  <c r="F300" i="2"/>
  <c r="E300" i="2"/>
  <c r="C300" i="2"/>
  <c r="G299" i="2"/>
  <c r="F299" i="2"/>
  <c r="E299" i="2"/>
  <c r="C299" i="2"/>
  <c r="G298" i="2"/>
  <c r="F298" i="2"/>
  <c r="E298" i="2"/>
  <c r="C298" i="2"/>
  <c r="G297" i="2"/>
  <c r="F297" i="2"/>
  <c r="E297" i="2"/>
  <c r="C297" i="2"/>
  <c r="G296" i="2"/>
  <c r="F296" i="2"/>
  <c r="E296" i="2"/>
  <c r="C296" i="2"/>
  <c r="G295" i="2"/>
  <c r="F295" i="2"/>
  <c r="E295" i="2"/>
  <c r="C295" i="2"/>
  <c r="G294" i="2"/>
  <c r="F294" i="2"/>
  <c r="E294" i="2"/>
  <c r="C294" i="2"/>
  <c r="G293" i="2"/>
  <c r="F293" i="2"/>
  <c r="E293" i="2"/>
  <c r="C293" i="2"/>
  <c r="G292" i="2"/>
  <c r="F292" i="2"/>
  <c r="E292" i="2"/>
  <c r="C292" i="2"/>
  <c r="G291" i="2"/>
  <c r="F291" i="2"/>
  <c r="E291" i="2"/>
  <c r="C291" i="2"/>
  <c r="G290" i="2"/>
  <c r="F290" i="2"/>
  <c r="E290" i="2"/>
  <c r="C290" i="2"/>
  <c r="G289" i="2"/>
  <c r="F289" i="2"/>
  <c r="E289" i="2"/>
  <c r="C289" i="2"/>
  <c r="G288" i="2"/>
  <c r="F288" i="2"/>
  <c r="E288" i="2"/>
  <c r="C288" i="2"/>
  <c r="G287" i="2"/>
  <c r="F287" i="2"/>
  <c r="E287" i="2"/>
  <c r="C287" i="2"/>
  <c r="G286" i="2"/>
  <c r="F286" i="2"/>
  <c r="E286" i="2"/>
  <c r="C286" i="2"/>
  <c r="G285" i="2"/>
  <c r="F285" i="2"/>
  <c r="E285" i="2"/>
  <c r="C285" i="2"/>
  <c r="G284" i="2"/>
  <c r="F284" i="2"/>
  <c r="E284" i="2"/>
  <c r="C284" i="2"/>
  <c r="G283" i="2"/>
  <c r="F283" i="2"/>
  <c r="E283" i="2"/>
  <c r="C283" i="2"/>
  <c r="G282" i="2"/>
  <c r="F282" i="2"/>
  <c r="E282" i="2"/>
  <c r="C282" i="2"/>
  <c r="G281" i="2"/>
  <c r="F281" i="2"/>
  <c r="E281" i="2"/>
  <c r="C281" i="2"/>
  <c r="G280" i="2"/>
  <c r="F280" i="2"/>
  <c r="E280" i="2"/>
  <c r="C280" i="2"/>
  <c r="G279" i="2"/>
  <c r="F279" i="2"/>
  <c r="E279" i="2"/>
  <c r="C279" i="2"/>
  <c r="G278" i="2"/>
  <c r="F278" i="2"/>
  <c r="E278" i="2"/>
  <c r="C278" i="2"/>
  <c r="G277" i="2"/>
  <c r="F277" i="2"/>
  <c r="E277" i="2"/>
  <c r="C277" i="2"/>
  <c r="G276" i="2"/>
  <c r="F276" i="2"/>
  <c r="E276" i="2"/>
  <c r="C276" i="2"/>
  <c r="G275" i="2"/>
  <c r="F275" i="2"/>
  <c r="E275" i="2"/>
  <c r="C275" i="2"/>
  <c r="G274" i="2"/>
  <c r="F274" i="2"/>
  <c r="E274" i="2"/>
  <c r="C274" i="2"/>
  <c r="G273" i="2"/>
  <c r="F273" i="2"/>
  <c r="E273" i="2"/>
  <c r="C273" i="2"/>
  <c r="G272" i="2"/>
  <c r="F272" i="2"/>
  <c r="E272" i="2"/>
  <c r="C272" i="2"/>
  <c r="G271" i="2"/>
  <c r="F271" i="2"/>
  <c r="E271" i="2"/>
  <c r="C271" i="2"/>
  <c r="G270" i="2"/>
  <c r="F270" i="2"/>
  <c r="E270" i="2"/>
  <c r="C270" i="2"/>
  <c r="G269" i="2"/>
  <c r="F269" i="2"/>
  <c r="E269" i="2"/>
  <c r="C269" i="2"/>
  <c r="G268" i="2"/>
  <c r="F268" i="2"/>
  <c r="E268" i="2"/>
  <c r="C268" i="2"/>
  <c r="G267" i="2"/>
  <c r="F267" i="2"/>
  <c r="E267" i="2"/>
  <c r="C267" i="2"/>
  <c r="G266" i="2"/>
  <c r="F266" i="2"/>
  <c r="E266" i="2"/>
  <c r="C266" i="2"/>
  <c r="G265" i="2"/>
  <c r="F265" i="2"/>
  <c r="E265" i="2"/>
  <c r="C265" i="2"/>
  <c r="G264" i="2"/>
  <c r="F264" i="2"/>
  <c r="E264" i="2"/>
  <c r="C264" i="2"/>
  <c r="G263" i="2"/>
  <c r="F263" i="2"/>
  <c r="E263" i="2"/>
  <c r="C263" i="2"/>
  <c r="G262" i="2"/>
  <c r="F262" i="2"/>
  <c r="E262" i="2"/>
  <c r="C262" i="2"/>
  <c r="G261" i="2"/>
  <c r="F261" i="2"/>
  <c r="E261" i="2"/>
  <c r="C261" i="2"/>
  <c r="G260" i="2"/>
  <c r="F260" i="2"/>
  <c r="E260" i="2"/>
  <c r="C260" i="2"/>
  <c r="G259" i="2"/>
  <c r="F259" i="2"/>
  <c r="E259" i="2"/>
  <c r="C259" i="2"/>
  <c r="G258" i="2"/>
  <c r="F258" i="2"/>
  <c r="E258" i="2"/>
  <c r="C258" i="2"/>
  <c r="G257" i="2"/>
  <c r="F257" i="2"/>
  <c r="E257" i="2"/>
  <c r="C257" i="2"/>
  <c r="G256" i="2"/>
  <c r="F256" i="2"/>
  <c r="E256" i="2"/>
  <c r="C256" i="2"/>
  <c r="G255" i="2"/>
  <c r="F255" i="2"/>
  <c r="E255" i="2"/>
  <c r="C255" i="2"/>
  <c r="G254" i="2"/>
  <c r="F254" i="2"/>
  <c r="E254" i="2"/>
  <c r="C254" i="2"/>
  <c r="G253" i="2"/>
  <c r="F253" i="2"/>
  <c r="E253" i="2"/>
  <c r="C253" i="2"/>
  <c r="G252" i="2"/>
  <c r="F252" i="2"/>
  <c r="E252" i="2"/>
  <c r="C252" i="2"/>
  <c r="G251" i="2"/>
  <c r="F251" i="2"/>
  <c r="E251" i="2"/>
  <c r="C251" i="2"/>
  <c r="G250" i="2"/>
  <c r="F250" i="2"/>
  <c r="E250" i="2"/>
  <c r="C250" i="2"/>
  <c r="G249" i="2"/>
  <c r="F249" i="2"/>
  <c r="E249" i="2"/>
  <c r="C249" i="2"/>
  <c r="G248" i="2"/>
  <c r="F248" i="2"/>
  <c r="E248" i="2"/>
  <c r="C248" i="2"/>
  <c r="G247" i="2"/>
  <c r="F247" i="2"/>
  <c r="E247" i="2"/>
  <c r="C247" i="2"/>
  <c r="G246" i="2"/>
  <c r="F246" i="2"/>
  <c r="E246" i="2"/>
  <c r="C246" i="2"/>
  <c r="G245" i="2"/>
  <c r="F245" i="2"/>
  <c r="E245" i="2"/>
  <c r="C245" i="2"/>
  <c r="G244" i="2"/>
  <c r="F244" i="2"/>
  <c r="E244" i="2"/>
  <c r="C244" i="2"/>
  <c r="G243" i="2"/>
  <c r="F243" i="2"/>
  <c r="E243" i="2"/>
  <c r="C243" i="2"/>
  <c r="G242" i="2"/>
  <c r="F242" i="2"/>
  <c r="E242" i="2"/>
  <c r="C242" i="2"/>
  <c r="G241" i="2"/>
  <c r="F241" i="2"/>
  <c r="E241" i="2"/>
  <c r="C241" i="2"/>
  <c r="G240" i="2"/>
  <c r="F240" i="2"/>
  <c r="E240" i="2"/>
  <c r="C240" i="2"/>
  <c r="G239" i="2"/>
  <c r="F239" i="2"/>
  <c r="E239" i="2"/>
  <c r="C239" i="2"/>
  <c r="G238" i="2"/>
  <c r="F238" i="2"/>
  <c r="E238" i="2"/>
  <c r="C238" i="2"/>
  <c r="G237" i="2"/>
  <c r="F237" i="2"/>
  <c r="E237" i="2"/>
  <c r="C237" i="2"/>
  <c r="G236" i="2"/>
  <c r="F236" i="2"/>
  <c r="E236" i="2"/>
  <c r="C236" i="2"/>
  <c r="G235" i="2"/>
  <c r="F235" i="2"/>
  <c r="E235" i="2"/>
  <c r="C235" i="2"/>
  <c r="G234" i="2"/>
  <c r="F234" i="2"/>
  <c r="E234" i="2"/>
  <c r="C234" i="2"/>
  <c r="G233" i="2"/>
  <c r="F233" i="2"/>
  <c r="E233" i="2"/>
  <c r="C233" i="2"/>
  <c r="G232" i="2"/>
  <c r="F232" i="2"/>
  <c r="E232" i="2"/>
  <c r="C232" i="2"/>
  <c r="G231" i="2"/>
  <c r="F231" i="2"/>
  <c r="E231" i="2"/>
  <c r="C231" i="2"/>
  <c r="G230" i="2"/>
  <c r="F230" i="2"/>
  <c r="E230" i="2"/>
  <c r="C230" i="2"/>
  <c r="G229" i="2"/>
  <c r="F229" i="2"/>
  <c r="E229" i="2"/>
  <c r="C229" i="2"/>
  <c r="G228" i="2"/>
  <c r="F228" i="2"/>
  <c r="E228" i="2"/>
  <c r="C228" i="2"/>
  <c r="G227" i="2"/>
  <c r="F227" i="2"/>
  <c r="E227" i="2"/>
  <c r="C227" i="2"/>
  <c r="G226" i="2"/>
  <c r="F226" i="2"/>
  <c r="E226" i="2"/>
  <c r="C226" i="2"/>
  <c r="G225" i="2"/>
  <c r="F225" i="2"/>
  <c r="E225" i="2"/>
  <c r="C225" i="2"/>
  <c r="G224" i="2"/>
  <c r="F224" i="2"/>
  <c r="E224" i="2"/>
  <c r="C224" i="2"/>
  <c r="G223" i="2"/>
  <c r="F223" i="2"/>
  <c r="E223" i="2"/>
  <c r="C223" i="2"/>
  <c r="G222" i="2"/>
  <c r="F222" i="2"/>
  <c r="E222" i="2"/>
  <c r="C222" i="2"/>
  <c r="G221" i="2"/>
  <c r="F221" i="2"/>
  <c r="E221" i="2"/>
  <c r="C221" i="2"/>
  <c r="G220" i="2"/>
  <c r="F220" i="2"/>
  <c r="E220" i="2"/>
  <c r="C220" i="2"/>
  <c r="G219" i="2"/>
  <c r="F219" i="2"/>
  <c r="E219" i="2"/>
  <c r="C219" i="2"/>
  <c r="G218" i="2"/>
  <c r="F218" i="2"/>
  <c r="E218" i="2"/>
  <c r="C218" i="2"/>
  <c r="G217" i="2"/>
  <c r="F217" i="2"/>
  <c r="E217" i="2"/>
  <c r="C217" i="2"/>
  <c r="G216" i="2"/>
  <c r="F216" i="2"/>
  <c r="E216" i="2"/>
  <c r="C216" i="2"/>
  <c r="G215" i="2"/>
  <c r="F215" i="2"/>
  <c r="E215" i="2"/>
  <c r="C215" i="2"/>
  <c r="G214" i="2"/>
  <c r="F214" i="2"/>
  <c r="E214" i="2"/>
  <c r="C214" i="2"/>
  <c r="G213" i="2"/>
  <c r="F213" i="2"/>
  <c r="E213" i="2"/>
  <c r="C213" i="2"/>
  <c r="G212" i="2"/>
  <c r="F212" i="2"/>
  <c r="E212" i="2"/>
  <c r="C212" i="2"/>
  <c r="G211" i="2"/>
  <c r="F211" i="2"/>
  <c r="E211" i="2"/>
  <c r="C211" i="2"/>
  <c r="G210" i="2"/>
  <c r="F210" i="2"/>
  <c r="E210" i="2"/>
  <c r="C210" i="2"/>
  <c r="G209" i="2"/>
  <c r="F209" i="2"/>
  <c r="E209" i="2"/>
  <c r="C209" i="2"/>
  <c r="G208" i="2"/>
  <c r="F208" i="2"/>
  <c r="E208" i="2"/>
  <c r="C208" i="2"/>
  <c r="G207" i="2"/>
  <c r="F207" i="2"/>
  <c r="E207" i="2"/>
  <c r="C207" i="2"/>
  <c r="G206" i="2"/>
  <c r="F206" i="2"/>
  <c r="E206" i="2"/>
  <c r="C206" i="2"/>
  <c r="G205" i="2"/>
  <c r="F205" i="2"/>
  <c r="E205" i="2"/>
  <c r="C205" i="2"/>
  <c r="G204" i="2"/>
  <c r="F204" i="2"/>
  <c r="E204" i="2"/>
  <c r="C204" i="2"/>
  <c r="G203" i="2"/>
  <c r="F203" i="2"/>
  <c r="E203" i="2"/>
  <c r="C203" i="2"/>
  <c r="G202" i="2"/>
  <c r="F202" i="2"/>
  <c r="E202" i="2"/>
  <c r="C202" i="2"/>
  <c r="G201" i="2"/>
  <c r="F201" i="2"/>
  <c r="E201" i="2"/>
  <c r="C201" i="2"/>
  <c r="G200" i="2"/>
  <c r="F200" i="2"/>
  <c r="E200" i="2"/>
  <c r="C200" i="2"/>
  <c r="G199" i="2"/>
  <c r="F199" i="2"/>
  <c r="E199" i="2"/>
  <c r="C199" i="2"/>
  <c r="G198" i="2"/>
  <c r="F198" i="2"/>
  <c r="E198" i="2"/>
  <c r="C198" i="2"/>
  <c r="G197" i="2"/>
  <c r="F197" i="2"/>
  <c r="E197" i="2"/>
  <c r="C197" i="2"/>
  <c r="G196" i="2"/>
  <c r="F196" i="2"/>
  <c r="E196" i="2"/>
  <c r="C196" i="2"/>
  <c r="G195" i="2"/>
  <c r="F195" i="2"/>
  <c r="E195" i="2"/>
  <c r="C195" i="2"/>
  <c r="G194" i="2"/>
  <c r="F194" i="2"/>
  <c r="E194" i="2"/>
  <c r="C194" i="2"/>
  <c r="G193" i="2"/>
  <c r="F193" i="2"/>
  <c r="E193" i="2"/>
  <c r="C193" i="2"/>
  <c r="G192" i="2"/>
  <c r="F192" i="2"/>
  <c r="E192" i="2"/>
  <c r="C192" i="2"/>
  <c r="G191" i="2"/>
  <c r="F191" i="2"/>
  <c r="E191" i="2"/>
  <c r="C191" i="2"/>
  <c r="G190" i="2"/>
  <c r="F190" i="2"/>
  <c r="E190" i="2"/>
  <c r="C190" i="2"/>
  <c r="G189" i="2"/>
  <c r="F189" i="2"/>
  <c r="E189" i="2"/>
  <c r="C189" i="2"/>
  <c r="G188" i="2"/>
  <c r="F188" i="2"/>
  <c r="E188" i="2"/>
  <c r="C188" i="2"/>
  <c r="G187" i="2"/>
  <c r="F187" i="2"/>
  <c r="E187" i="2"/>
  <c r="C187" i="2"/>
  <c r="G186" i="2"/>
  <c r="F186" i="2"/>
  <c r="E186" i="2"/>
  <c r="C186" i="2"/>
  <c r="G185" i="2"/>
  <c r="F185" i="2"/>
  <c r="E185" i="2"/>
  <c r="C185" i="2"/>
  <c r="G184" i="2"/>
  <c r="F184" i="2"/>
  <c r="E184" i="2"/>
  <c r="C184" i="2"/>
  <c r="G183" i="2"/>
  <c r="F183" i="2"/>
  <c r="E183" i="2"/>
  <c r="C183" i="2"/>
  <c r="G182" i="2"/>
  <c r="F182" i="2"/>
  <c r="E182" i="2"/>
  <c r="C182" i="2"/>
  <c r="G181" i="2"/>
  <c r="F181" i="2"/>
  <c r="E181" i="2"/>
  <c r="C181" i="2"/>
  <c r="G180" i="2"/>
  <c r="F180" i="2"/>
  <c r="E180" i="2"/>
  <c r="C180" i="2"/>
  <c r="G179" i="2"/>
  <c r="F179" i="2"/>
  <c r="E179" i="2"/>
  <c r="C179" i="2"/>
  <c r="G178" i="2"/>
  <c r="F178" i="2"/>
  <c r="E178" i="2"/>
  <c r="C178" i="2"/>
  <c r="G177" i="2"/>
  <c r="F177" i="2"/>
  <c r="E177" i="2"/>
  <c r="C177" i="2"/>
  <c r="G176" i="2"/>
  <c r="F176" i="2"/>
  <c r="E176" i="2"/>
  <c r="C176" i="2"/>
  <c r="G175" i="2"/>
  <c r="F175" i="2"/>
  <c r="E175" i="2"/>
  <c r="C175" i="2"/>
  <c r="G174" i="2"/>
  <c r="F174" i="2"/>
  <c r="E174" i="2"/>
  <c r="C174" i="2"/>
  <c r="G173" i="2"/>
  <c r="F173" i="2"/>
  <c r="E173" i="2"/>
  <c r="C173" i="2"/>
  <c r="G172" i="2"/>
  <c r="F172" i="2"/>
  <c r="E172" i="2"/>
  <c r="C172" i="2"/>
  <c r="G171" i="2"/>
  <c r="F171" i="2"/>
  <c r="E171" i="2"/>
  <c r="C171" i="2"/>
  <c r="G170" i="2"/>
  <c r="F170" i="2"/>
  <c r="E170" i="2"/>
  <c r="C170" i="2"/>
  <c r="G169" i="2"/>
  <c r="F169" i="2"/>
  <c r="E169" i="2"/>
  <c r="C169" i="2"/>
  <c r="G168" i="2"/>
  <c r="F168" i="2"/>
  <c r="E168" i="2"/>
  <c r="C168" i="2"/>
  <c r="G167" i="2"/>
  <c r="F167" i="2"/>
  <c r="E167" i="2"/>
  <c r="C167" i="2"/>
  <c r="G166" i="2"/>
  <c r="F166" i="2"/>
  <c r="E166" i="2"/>
  <c r="C166" i="2"/>
  <c r="G165" i="2"/>
  <c r="F165" i="2"/>
  <c r="E165" i="2"/>
  <c r="C165" i="2"/>
  <c r="G164" i="2"/>
  <c r="F164" i="2"/>
  <c r="E164" i="2"/>
  <c r="C164" i="2"/>
  <c r="G163" i="2"/>
  <c r="F163" i="2"/>
  <c r="E163" i="2"/>
  <c r="C163" i="2"/>
  <c r="G162" i="2"/>
  <c r="F162" i="2"/>
  <c r="E162" i="2"/>
  <c r="C162" i="2"/>
  <c r="G161" i="2"/>
  <c r="F161" i="2"/>
  <c r="E161" i="2"/>
  <c r="C161" i="2"/>
  <c r="G160" i="2"/>
  <c r="F160" i="2"/>
  <c r="E160" i="2"/>
  <c r="C160" i="2"/>
  <c r="G159" i="2"/>
  <c r="F159" i="2"/>
  <c r="E159" i="2"/>
  <c r="C159" i="2"/>
  <c r="G158" i="2"/>
  <c r="F158" i="2"/>
  <c r="E158" i="2"/>
  <c r="C158" i="2"/>
  <c r="G157" i="2"/>
  <c r="F157" i="2"/>
  <c r="E157" i="2"/>
  <c r="C157" i="2"/>
  <c r="G156" i="2"/>
  <c r="F156" i="2"/>
  <c r="E156" i="2"/>
  <c r="C156" i="2"/>
  <c r="G155" i="2"/>
  <c r="F155" i="2"/>
  <c r="E155" i="2"/>
  <c r="C155" i="2"/>
  <c r="G154" i="2"/>
  <c r="F154" i="2"/>
  <c r="E154" i="2"/>
  <c r="C154" i="2"/>
  <c r="G153" i="2"/>
  <c r="F153" i="2"/>
  <c r="E153" i="2"/>
  <c r="C153" i="2"/>
  <c r="G152" i="2"/>
  <c r="F152" i="2"/>
  <c r="E152" i="2"/>
  <c r="C152" i="2"/>
  <c r="G151" i="2"/>
  <c r="F151" i="2"/>
  <c r="E151" i="2"/>
  <c r="C151" i="2"/>
  <c r="G150" i="2"/>
  <c r="F150" i="2"/>
  <c r="E150" i="2"/>
  <c r="C150" i="2"/>
  <c r="G149" i="2"/>
  <c r="F149" i="2"/>
  <c r="E149" i="2"/>
  <c r="C149" i="2"/>
  <c r="G148" i="2"/>
  <c r="F148" i="2"/>
  <c r="E148" i="2"/>
  <c r="C148" i="2"/>
  <c r="G147" i="2"/>
  <c r="F147" i="2"/>
  <c r="E147" i="2"/>
  <c r="C147" i="2"/>
  <c r="G146" i="2"/>
  <c r="F146" i="2"/>
  <c r="E146" i="2"/>
  <c r="C146" i="2"/>
  <c r="G145" i="2"/>
  <c r="F145" i="2"/>
  <c r="E145" i="2"/>
  <c r="C145" i="2"/>
  <c r="G144" i="2"/>
  <c r="F144" i="2"/>
  <c r="E144" i="2"/>
  <c r="C144" i="2"/>
  <c r="G143" i="2"/>
  <c r="F143" i="2"/>
  <c r="E143" i="2"/>
  <c r="C143" i="2"/>
  <c r="G142" i="2"/>
  <c r="F142" i="2"/>
  <c r="E142" i="2"/>
  <c r="C142" i="2"/>
  <c r="G141" i="2"/>
  <c r="F141" i="2"/>
  <c r="E141" i="2"/>
  <c r="C141" i="2"/>
  <c r="G140" i="2"/>
  <c r="F140" i="2"/>
  <c r="E140" i="2"/>
  <c r="C140" i="2"/>
  <c r="G139" i="2"/>
  <c r="F139" i="2"/>
  <c r="E139" i="2"/>
  <c r="C139" i="2"/>
  <c r="G138" i="2"/>
  <c r="F138" i="2"/>
  <c r="E138" i="2"/>
  <c r="C138" i="2"/>
  <c r="G137" i="2"/>
  <c r="F137" i="2"/>
  <c r="E137" i="2"/>
  <c r="C137" i="2"/>
  <c r="G136" i="2"/>
  <c r="F136" i="2"/>
  <c r="E136" i="2"/>
  <c r="C136" i="2"/>
  <c r="G135" i="2"/>
  <c r="F135" i="2"/>
  <c r="E135" i="2"/>
  <c r="C135" i="2"/>
  <c r="G134" i="2"/>
  <c r="F134" i="2"/>
  <c r="E134" i="2"/>
  <c r="C134" i="2"/>
  <c r="G133" i="2"/>
  <c r="F133" i="2"/>
  <c r="E133" i="2"/>
  <c r="C133" i="2"/>
  <c r="G132" i="2"/>
  <c r="F132" i="2"/>
  <c r="E132" i="2"/>
  <c r="C132" i="2"/>
  <c r="G131" i="2"/>
  <c r="F131" i="2"/>
  <c r="E131" i="2"/>
  <c r="C131" i="2"/>
  <c r="G130" i="2"/>
  <c r="F130" i="2"/>
  <c r="E130" i="2"/>
  <c r="C130" i="2"/>
  <c r="G129" i="2"/>
  <c r="F129" i="2"/>
  <c r="E129" i="2"/>
  <c r="C129" i="2"/>
  <c r="G128" i="2"/>
  <c r="F128" i="2"/>
  <c r="E128" i="2"/>
  <c r="C128" i="2"/>
  <c r="G127" i="2"/>
  <c r="F127" i="2"/>
  <c r="E127" i="2"/>
  <c r="C127" i="2"/>
  <c r="G126" i="2"/>
  <c r="F126" i="2"/>
  <c r="E126" i="2"/>
  <c r="C126" i="2"/>
  <c r="G125" i="2"/>
  <c r="F125" i="2"/>
  <c r="E125" i="2"/>
  <c r="C125" i="2"/>
  <c r="G124" i="2"/>
  <c r="F124" i="2"/>
  <c r="E124" i="2"/>
  <c r="C124" i="2"/>
  <c r="G123" i="2"/>
  <c r="F123" i="2"/>
  <c r="E123" i="2"/>
  <c r="C123" i="2"/>
  <c r="G122" i="2"/>
  <c r="F122" i="2"/>
  <c r="E122" i="2"/>
  <c r="C122" i="2"/>
  <c r="G121" i="2"/>
  <c r="F121" i="2"/>
  <c r="E121" i="2"/>
  <c r="C121" i="2"/>
  <c r="G120" i="2"/>
  <c r="F120" i="2"/>
  <c r="E120" i="2"/>
  <c r="C120" i="2"/>
  <c r="G119" i="2"/>
  <c r="F119" i="2"/>
  <c r="E119" i="2"/>
  <c r="C119" i="2"/>
  <c r="G118" i="2"/>
  <c r="F118" i="2"/>
  <c r="E118" i="2"/>
  <c r="C118" i="2"/>
  <c r="G117" i="2"/>
  <c r="F117" i="2"/>
  <c r="E117" i="2"/>
  <c r="C117" i="2"/>
  <c r="G116" i="2"/>
  <c r="F116" i="2"/>
  <c r="E116" i="2"/>
  <c r="C116" i="2"/>
  <c r="G115" i="2"/>
  <c r="F115" i="2"/>
  <c r="E115" i="2"/>
  <c r="C115" i="2"/>
  <c r="G114" i="2"/>
  <c r="F114" i="2"/>
  <c r="E114" i="2"/>
  <c r="C114" i="2"/>
  <c r="G113" i="2"/>
  <c r="F113" i="2"/>
  <c r="E113" i="2"/>
  <c r="C113" i="2"/>
  <c r="G112" i="2"/>
  <c r="F112" i="2"/>
  <c r="E112" i="2"/>
  <c r="C112" i="2"/>
  <c r="G111" i="2"/>
  <c r="F111" i="2"/>
  <c r="E111" i="2"/>
  <c r="C111" i="2"/>
  <c r="G110" i="2"/>
  <c r="F110" i="2"/>
  <c r="E110" i="2"/>
  <c r="C110" i="2"/>
  <c r="G109" i="2"/>
  <c r="F109" i="2"/>
  <c r="E109" i="2"/>
  <c r="C109" i="2"/>
  <c r="G108" i="2"/>
  <c r="F108" i="2"/>
  <c r="E108" i="2"/>
  <c r="C108" i="2"/>
  <c r="G107" i="2"/>
  <c r="F107" i="2"/>
  <c r="E107" i="2"/>
  <c r="C107" i="2"/>
  <c r="G106" i="2"/>
  <c r="F106" i="2"/>
  <c r="E106" i="2"/>
  <c r="C106" i="2"/>
  <c r="G105" i="2"/>
  <c r="F105" i="2"/>
  <c r="E105" i="2"/>
  <c r="C105" i="2"/>
  <c r="G104" i="2"/>
  <c r="F104" i="2"/>
  <c r="E104" i="2"/>
  <c r="C104" i="2"/>
  <c r="G103" i="2"/>
  <c r="F103" i="2"/>
  <c r="E103" i="2"/>
  <c r="C103" i="2"/>
  <c r="G102" i="2"/>
  <c r="F102" i="2"/>
  <c r="E102" i="2"/>
  <c r="C102" i="2"/>
  <c r="G101" i="2"/>
  <c r="F101" i="2"/>
  <c r="E101" i="2"/>
  <c r="C101" i="2"/>
  <c r="G100" i="2"/>
  <c r="F100" i="2"/>
  <c r="E100" i="2"/>
  <c r="C100" i="2"/>
  <c r="G99" i="2"/>
  <c r="F99" i="2"/>
  <c r="E99" i="2"/>
  <c r="C99" i="2"/>
  <c r="G98" i="2"/>
  <c r="F98" i="2"/>
  <c r="E98" i="2"/>
  <c r="C98" i="2"/>
  <c r="G97" i="2"/>
  <c r="F97" i="2"/>
  <c r="E97" i="2"/>
  <c r="C97" i="2"/>
  <c r="G96" i="2"/>
  <c r="F96" i="2"/>
  <c r="E96" i="2"/>
  <c r="C96" i="2"/>
  <c r="G95" i="2"/>
  <c r="F95" i="2"/>
  <c r="E95" i="2"/>
  <c r="C95" i="2"/>
  <c r="G94" i="2"/>
  <c r="F94" i="2"/>
  <c r="E94" i="2"/>
  <c r="C94" i="2"/>
  <c r="G93" i="2"/>
  <c r="F93" i="2"/>
  <c r="E93" i="2"/>
  <c r="C93" i="2"/>
  <c r="G92" i="2"/>
  <c r="F92" i="2"/>
  <c r="E92" i="2"/>
  <c r="C92" i="2"/>
  <c r="G91" i="2"/>
  <c r="F91" i="2"/>
  <c r="E91" i="2"/>
  <c r="C91" i="2"/>
  <c r="G90" i="2"/>
  <c r="F90" i="2"/>
  <c r="E90" i="2"/>
  <c r="C90" i="2"/>
  <c r="G89" i="2"/>
  <c r="F89" i="2"/>
  <c r="E89" i="2"/>
  <c r="C89" i="2"/>
  <c r="G88" i="2"/>
  <c r="F88" i="2"/>
  <c r="E88" i="2"/>
  <c r="C88" i="2"/>
  <c r="G87" i="2"/>
  <c r="F87" i="2"/>
  <c r="E87" i="2"/>
  <c r="C87" i="2"/>
  <c r="G86" i="2"/>
  <c r="F86" i="2"/>
  <c r="E86" i="2"/>
  <c r="C86" i="2"/>
  <c r="G85" i="2"/>
  <c r="F85" i="2"/>
  <c r="E85" i="2"/>
  <c r="C85" i="2"/>
  <c r="G84" i="2"/>
  <c r="F84" i="2"/>
  <c r="E84" i="2"/>
  <c r="C84" i="2"/>
  <c r="G83" i="2"/>
  <c r="F83" i="2"/>
  <c r="E83" i="2"/>
  <c r="C83" i="2"/>
  <c r="G82" i="2"/>
  <c r="F82" i="2"/>
  <c r="E82" i="2"/>
  <c r="C82" i="2"/>
  <c r="G81" i="2"/>
  <c r="F81" i="2"/>
  <c r="E81" i="2"/>
  <c r="C81" i="2"/>
  <c r="G80" i="2"/>
  <c r="F80" i="2"/>
  <c r="E80" i="2"/>
  <c r="C80" i="2"/>
  <c r="G79" i="2"/>
  <c r="F79" i="2"/>
  <c r="E79" i="2"/>
  <c r="C79" i="2"/>
  <c r="G78" i="2"/>
  <c r="F78" i="2"/>
  <c r="E78" i="2"/>
  <c r="C78" i="2"/>
  <c r="G77" i="2"/>
  <c r="F77" i="2"/>
  <c r="E77" i="2"/>
  <c r="C77" i="2"/>
  <c r="G76" i="2"/>
  <c r="F76" i="2"/>
  <c r="E76" i="2"/>
  <c r="C76" i="2"/>
  <c r="G75" i="2"/>
  <c r="F75" i="2"/>
  <c r="E75" i="2"/>
  <c r="C75" i="2"/>
  <c r="G74" i="2"/>
  <c r="F74" i="2"/>
  <c r="E74" i="2"/>
  <c r="C74" i="2"/>
  <c r="G73" i="2"/>
  <c r="F73" i="2"/>
  <c r="E73" i="2"/>
  <c r="C73" i="2"/>
  <c r="G72" i="2"/>
  <c r="F72" i="2"/>
  <c r="E72" i="2"/>
  <c r="C72" i="2"/>
  <c r="G71" i="2"/>
  <c r="F71" i="2"/>
  <c r="E71" i="2"/>
  <c r="C71" i="2"/>
  <c r="G70" i="2"/>
  <c r="F70" i="2"/>
  <c r="E70" i="2"/>
  <c r="C70" i="2"/>
  <c r="G69" i="2"/>
  <c r="F69" i="2"/>
  <c r="E69" i="2"/>
  <c r="C69" i="2"/>
  <c r="G68" i="2"/>
  <c r="F68" i="2"/>
  <c r="E68" i="2"/>
  <c r="C68" i="2"/>
  <c r="G67" i="2"/>
  <c r="F67" i="2"/>
  <c r="E67" i="2"/>
  <c r="C67" i="2"/>
  <c r="G66" i="2"/>
  <c r="F66" i="2"/>
  <c r="E66" i="2"/>
  <c r="C66" i="2"/>
  <c r="G65" i="2"/>
  <c r="F65" i="2"/>
  <c r="E65" i="2"/>
  <c r="C65" i="2"/>
  <c r="G64" i="2"/>
  <c r="F64" i="2"/>
  <c r="E64" i="2"/>
  <c r="C64" i="2"/>
  <c r="G63" i="2"/>
  <c r="F63" i="2"/>
  <c r="E63" i="2"/>
  <c r="C63" i="2"/>
  <c r="G62" i="2"/>
  <c r="F62" i="2"/>
  <c r="E62" i="2"/>
  <c r="C62" i="2"/>
  <c r="G61" i="2"/>
  <c r="F61" i="2"/>
  <c r="E61" i="2"/>
  <c r="C61" i="2"/>
  <c r="G60" i="2"/>
  <c r="F60" i="2"/>
  <c r="E60" i="2"/>
  <c r="C60" i="2"/>
  <c r="G59" i="2"/>
  <c r="F59" i="2"/>
  <c r="E59" i="2"/>
  <c r="C59" i="2"/>
  <c r="G58" i="2"/>
  <c r="F58" i="2"/>
  <c r="E58" i="2"/>
  <c r="C58" i="2"/>
  <c r="G57" i="2"/>
  <c r="F57" i="2"/>
  <c r="E57" i="2"/>
  <c r="C57" i="2"/>
  <c r="G56" i="2"/>
  <c r="F56" i="2"/>
  <c r="E56" i="2"/>
  <c r="C56" i="2"/>
  <c r="G55" i="2"/>
  <c r="F55" i="2"/>
  <c r="E55" i="2"/>
  <c r="C55" i="2"/>
  <c r="G54" i="2"/>
  <c r="F54" i="2"/>
  <c r="E54" i="2"/>
  <c r="C54" i="2"/>
  <c r="G53" i="2"/>
  <c r="F53" i="2"/>
  <c r="E53" i="2"/>
  <c r="C53" i="2"/>
  <c r="G52" i="2"/>
  <c r="F52" i="2"/>
  <c r="E52" i="2"/>
  <c r="C52" i="2"/>
  <c r="G51" i="2"/>
  <c r="F51" i="2"/>
  <c r="E51" i="2"/>
  <c r="C51" i="2"/>
  <c r="G50" i="2"/>
  <c r="F50" i="2"/>
  <c r="E50" i="2"/>
  <c r="C50" i="2"/>
  <c r="G49" i="2"/>
  <c r="F49" i="2"/>
  <c r="E49" i="2"/>
  <c r="C49" i="2"/>
  <c r="G48" i="2"/>
  <c r="F48" i="2"/>
  <c r="E48" i="2"/>
  <c r="C48" i="2"/>
  <c r="G47" i="2"/>
  <c r="F47" i="2"/>
  <c r="E47" i="2"/>
  <c r="C47" i="2"/>
  <c r="G46" i="2"/>
  <c r="F46" i="2"/>
  <c r="E46" i="2"/>
  <c r="C46" i="2"/>
  <c r="G45" i="2"/>
  <c r="F45" i="2"/>
  <c r="E45" i="2"/>
  <c r="C45" i="2"/>
  <c r="G44" i="2"/>
  <c r="F44" i="2"/>
  <c r="E44" i="2"/>
  <c r="C44" i="2"/>
  <c r="G43" i="2"/>
  <c r="F43" i="2"/>
  <c r="E43" i="2"/>
  <c r="C43" i="2"/>
  <c r="G42" i="2"/>
  <c r="F42" i="2"/>
  <c r="E42" i="2"/>
  <c r="C42" i="2"/>
  <c r="G41" i="2"/>
  <c r="F41" i="2"/>
  <c r="E41" i="2"/>
  <c r="C41" i="2"/>
  <c r="G40" i="2"/>
  <c r="F40" i="2"/>
  <c r="E40" i="2"/>
  <c r="C40" i="2"/>
  <c r="G39" i="2"/>
  <c r="F39" i="2"/>
  <c r="E39" i="2"/>
  <c r="C39" i="2"/>
  <c r="G38" i="2"/>
  <c r="F38" i="2"/>
  <c r="E38" i="2"/>
  <c r="C38" i="2"/>
  <c r="G37" i="2"/>
  <c r="F37" i="2"/>
  <c r="E37" i="2"/>
  <c r="C37" i="2"/>
  <c r="G36" i="2"/>
  <c r="F36" i="2"/>
  <c r="E36" i="2"/>
  <c r="C36" i="2"/>
  <c r="G35" i="2"/>
  <c r="F35" i="2"/>
  <c r="E35" i="2"/>
  <c r="C35" i="2"/>
  <c r="G34" i="2"/>
  <c r="F34" i="2"/>
  <c r="E34" i="2"/>
  <c r="C34" i="2"/>
  <c r="G33" i="2"/>
  <c r="F33" i="2"/>
  <c r="E33" i="2"/>
  <c r="C33" i="2"/>
  <c r="G32" i="2"/>
  <c r="F32" i="2"/>
  <c r="E32" i="2"/>
  <c r="C32" i="2"/>
  <c r="G31" i="2"/>
  <c r="F31" i="2"/>
  <c r="E31" i="2"/>
  <c r="C31" i="2"/>
  <c r="G30" i="2"/>
  <c r="F30" i="2"/>
  <c r="E30" i="2"/>
  <c r="C30" i="2"/>
  <c r="G29" i="2"/>
  <c r="F29" i="2"/>
  <c r="E29" i="2"/>
  <c r="C29" i="2"/>
  <c r="G28" i="2"/>
  <c r="F28" i="2"/>
  <c r="E28" i="2"/>
  <c r="C28" i="2"/>
  <c r="G27" i="2"/>
  <c r="F27" i="2"/>
  <c r="E27" i="2"/>
  <c r="C27" i="2"/>
  <c r="G26" i="2"/>
  <c r="F26" i="2"/>
  <c r="E26" i="2"/>
  <c r="C26" i="2"/>
  <c r="G25" i="2"/>
  <c r="F25" i="2"/>
  <c r="E25" i="2"/>
  <c r="C25" i="2"/>
  <c r="G24" i="2"/>
  <c r="F24" i="2"/>
  <c r="E24" i="2"/>
  <c r="C24" i="2"/>
  <c r="G23" i="2"/>
  <c r="F23" i="2"/>
  <c r="E23" i="2"/>
  <c r="C23" i="2"/>
  <c r="G22" i="2"/>
  <c r="F22" i="2"/>
  <c r="E22" i="2"/>
  <c r="C22" i="2"/>
  <c r="G21" i="2"/>
  <c r="F21" i="2"/>
  <c r="E21" i="2"/>
  <c r="C21" i="2"/>
  <c r="G20" i="2"/>
  <c r="F20" i="2"/>
  <c r="E20" i="2"/>
  <c r="C20" i="2"/>
  <c r="G19" i="2"/>
  <c r="F19" i="2"/>
  <c r="E19" i="2"/>
  <c r="C19" i="2"/>
  <c r="G18" i="2"/>
  <c r="F18" i="2"/>
  <c r="E18" i="2"/>
  <c r="C18" i="2"/>
  <c r="G17" i="2"/>
  <c r="F17" i="2"/>
  <c r="E17" i="2"/>
  <c r="C17" i="2"/>
  <c r="G16" i="2"/>
  <c r="F16" i="2"/>
  <c r="E16" i="2"/>
  <c r="C16" i="2"/>
  <c r="G15" i="2"/>
  <c r="F15" i="2"/>
  <c r="E15" i="2"/>
  <c r="C15" i="2"/>
  <c r="G14" i="2"/>
  <c r="F14" i="2"/>
  <c r="E14" i="2"/>
  <c r="C14" i="2"/>
  <c r="G13" i="2"/>
  <c r="F13" i="2"/>
  <c r="E13" i="2"/>
  <c r="C13" i="2"/>
  <c r="G9" i="2"/>
  <c r="F9" i="2"/>
  <c r="E9" i="2"/>
  <c r="C9" i="2"/>
  <c r="G6" i="2"/>
  <c r="F6" i="2"/>
  <c r="E6" i="2"/>
  <c r="D6" i="2"/>
  <c r="C6" i="2"/>
  <c r="B79" i="1"/>
  <c r="E23" i="23" s="1"/>
  <c r="G11" i="2" l="1"/>
  <c r="E7" i="4"/>
  <c r="B9" i="5"/>
  <c r="B25" i="5"/>
  <c r="B41" i="5"/>
  <c r="B57" i="5"/>
  <c r="B10" i="6"/>
  <c r="B26" i="6"/>
  <c r="B42" i="6"/>
  <c r="B58" i="6"/>
  <c r="B74" i="6"/>
  <c r="B90" i="6"/>
  <c r="B106" i="6"/>
  <c r="B122" i="6"/>
  <c r="B138" i="6"/>
  <c r="B154" i="6"/>
  <c r="B170" i="6"/>
  <c r="B186" i="6"/>
  <c r="B202" i="6"/>
  <c r="B4" i="7"/>
  <c r="B19" i="7"/>
  <c r="B35" i="7"/>
  <c r="B51" i="7"/>
  <c r="B67" i="7"/>
  <c r="B83" i="7"/>
  <c r="B99" i="7"/>
  <c r="B115" i="7"/>
  <c r="B131" i="7"/>
  <c r="B4" i="8"/>
  <c r="B19" i="8"/>
  <c r="B35" i="8"/>
  <c r="B51" i="8"/>
  <c r="B67" i="8"/>
  <c r="B10" i="9"/>
  <c r="B26" i="9"/>
  <c r="B42" i="9"/>
  <c r="B58" i="9"/>
  <c r="B75" i="9"/>
  <c r="B92" i="9"/>
  <c r="B109" i="9"/>
  <c r="B128" i="9"/>
  <c r="B146" i="9"/>
  <c r="B164" i="9"/>
  <c r="B182" i="9"/>
  <c r="B200" i="9"/>
  <c r="E8" i="4"/>
  <c r="B20" i="7"/>
  <c r="B36" i="7"/>
  <c r="B52" i="7"/>
  <c r="B68" i="7"/>
  <c r="B84" i="7"/>
  <c r="B100" i="7"/>
  <c r="B116" i="7"/>
  <c r="B20" i="8"/>
  <c r="B36" i="8"/>
  <c r="B52" i="8"/>
  <c r="B68" i="8"/>
  <c r="E9" i="4"/>
  <c r="B11" i="5"/>
  <c r="B27" i="5"/>
  <c r="B43" i="5"/>
  <c r="B59" i="5"/>
  <c r="B12" i="6"/>
  <c r="B28" i="6"/>
  <c r="B44" i="6"/>
  <c r="B60" i="6"/>
  <c r="B76" i="6"/>
  <c r="B92" i="6"/>
  <c r="B108" i="6"/>
  <c r="B124" i="6"/>
  <c r="B140" i="6"/>
  <c r="B156" i="6"/>
  <c r="B172" i="6"/>
  <c r="B188" i="6"/>
  <c r="B204" i="6"/>
  <c r="B5" i="7"/>
  <c r="B21" i="7"/>
  <c r="B37" i="7"/>
  <c r="B53" i="7"/>
  <c r="B69" i="7"/>
  <c r="B85" i="7"/>
  <c r="B101" i="7"/>
  <c r="B117" i="7"/>
  <c r="B5" i="8"/>
  <c r="B21" i="8"/>
  <c r="B37" i="8"/>
  <c r="B53" i="8"/>
  <c r="B69" i="8"/>
  <c r="B12" i="9"/>
  <c r="B28" i="9"/>
  <c r="B44" i="9"/>
  <c r="B60" i="9"/>
  <c r="B77" i="9"/>
  <c r="B94" i="9"/>
  <c r="B112" i="9"/>
  <c r="B130" i="9"/>
  <c r="B148" i="9"/>
  <c r="B166" i="9"/>
  <c r="B184" i="9"/>
  <c r="B203" i="9"/>
  <c r="E12" i="4"/>
  <c r="B14" i="5"/>
  <c r="B30" i="5"/>
  <c r="B46" i="5"/>
  <c r="B62" i="5"/>
  <c r="B15" i="6"/>
  <c r="B31" i="6"/>
  <c r="B47" i="6"/>
  <c r="B63" i="6"/>
  <c r="B79" i="6"/>
  <c r="B95" i="6"/>
  <c r="B111" i="6"/>
  <c r="B127" i="6"/>
  <c r="B143" i="6"/>
  <c r="B159" i="6"/>
  <c r="B175" i="6"/>
  <c r="B191" i="6"/>
  <c r="B207" i="6"/>
  <c r="B8" i="7"/>
  <c r="B24" i="7"/>
  <c r="B40" i="7"/>
  <c r="B56" i="7"/>
  <c r="B72" i="7"/>
  <c r="B88" i="7"/>
  <c r="B104" i="7"/>
  <c r="B120" i="7"/>
  <c r="B8" i="8"/>
  <c r="B24" i="8"/>
  <c r="B40" i="8"/>
  <c r="B56" i="8"/>
  <c r="B72" i="8"/>
  <c r="B15" i="9"/>
  <c r="B31" i="9"/>
  <c r="B47" i="9"/>
  <c r="B63" i="9"/>
  <c r="B80" i="9"/>
  <c r="B97" i="9"/>
  <c r="B115" i="9"/>
  <c r="B133" i="9"/>
  <c r="B151" i="9"/>
  <c r="B169" i="9"/>
  <c r="B188" i="9"/>
  <c r="B207" i="9"/>
  <c r="E11" i="4"/>
  <c r="E13" i="4"/>
  <c r="B15" i="5"/>
  <c r="B31" i="5"/>
  <c r="B47" i="5"/>
  <c r="B63" i="5"/>
  <c r="B16" i="6"/>
  <c r="B32" i="6"/>
  <c r="B48" i="6"/>
  <c r="B64" i="6"/>
  <c r="B80" i="6"/>
  <c r="B96" i="6"/>
  <c r="B112" i="6"/>
  <c r="B128" i="6"/>
  <c r="B144" i="6"/>
  <c r="B160" i="6"/>
  <c r="B176" i="6"/>
  <c r="B192" i="6"/>
  <c r="B208" i="6"/>
  <c r="B9" i="7"/>
  <c r="B25" i="7"/>
  <c r="B41" i="7"/>
  <c r="B57" i="7"/>
  <c r="B73" i="7"/>
  <c r="B89" i="7"/>
  <c r="B105" i="7"/>
  <c r="B121" i="7"/>
  <c r="B9" i="8"/>
  <c r="B25" i="8"/>
  <c r="B41" i="8"/>
  <c r="B57" i="8"/>
  <c r="B73" i="8"/>
  <c r="B16" i="9"/>
  <c r="B32" i="9"/>
  <c r="B48" i="9"/>
  <c r="B64" i="9"/>
  <c r="B81" i="9"/>
  <c r="B98" i="9"/>
  <c r="B116" i="9"/>
  <c r="B134" i="9"/>
  <c r="B152" i="9"/>
  <c r="B171" i="9"/>
  <c r="B189" i="9"/>
  <c r="B208" i="9"/>
  <c r="E14" i="4"/>
  <c r="B16" i="5"/>
  <c r="B32" i="5"/>
  <c r="B48" i="5"/>
  <c r="B64" i="5"/>
  <c r="B17" i="6"/>
  <c r="B33" i="6"/>
  <c r="B49" i="6"/>
  <c r="B65" i="6"/>
  <c r="B81" i="6"/>
  <c r="B97" i="6"/>
  <c r="B113" i="6"/>
  <c r="B129" i="6"/>
  <c r="B145" i="6"/>
  <c r="B161" i="6"/>
  <c r="B177" i="6"/>
  <c r="B193" i="6"/>
  <c r="B209" i="6"/>
  <c r="B10" i="7"/>
  <c r="B26" i="7"/>
  <c r="B42" i="7"/>
  <c r="B58" i="7"/>
  <c r="B74" i="7"/>
  <c r="B90" i="7"/>
  <c r="B106" i="7"/>
  <c r="B122" i="7"/>
  <c r="B10" i="8"/>
  <c r="B26" i="8"/>
  <c r="B42" i="8"/>
  <c r="B58" i="8"/>
  <c r="B74" i="8"/>
  <c r="B17" i="9"/>
  <c r="B33" i="9"/>
  <c r="B49" i="9"/>
  <c r="B65" i="9"/>
  <c r="B82" i="9"/>
  <c r="B99" i="9"/>
  <c r="B117" i="9"/>
  <c r="B135" i="9"/>
  <c r="B153" i="9"/>
  <c r="B172" i="9"/>
  <c r="B191" i="9"/>
  <c r="B209" i="9"/>
  <c r="E15" i="4"/>
  <c r="B17" i="5"/>
  <c r="B33" i="5"/>
  <c r="B49" i="5"/>
  <c r="B65" i="5"/>
  <c r="B18" i="6"/>
  <c r="B34" i="6"/>
  <c r="B50" i="6"/>
  <c r="B66" i="6"/>
  <c r="B82" i="6"/>
  <c r="B98" i="6"/>
  <c r="B114" i="6"/>
  <c r="B130" i="6"/>
  <c r="B146" i="6"/>
  <c r="B162" i="6"/>
  <c r="B178" i="6"/>
  <c r="B194" i="6"/>
  <c r="B210" i="6"/>
  <c r="B11" i="7"/>
  <c r="B27" i="7"/>
  <c r="B43" i="7"/>
  <c r="B59" i="7"/>
  <c r="B75" i="7"/>
  <c r="B91" i="7"/>
  <c r="B107" i="7"/>
  <c r="B123" i="7"/>
  <c r="B11" i="8"/>
  <c r="B27" i="8"/>
  <c r="B43" i="8"/>
  <c r="B59" i="8"/>
  <c r="B75" i="8"/>
  <c r="B18" i="9"/>
  <c r="B34" i="9"/>
  <c r="B50" i="9"/>
  <c r="B66" i="9"/>
  <c r="B83" i="9"/>
  <c r="B100" i="9"/>
  <c r="B118" i="9"/>
  <c r="B136" i="9"/>
  <c r="B155" i="9"/>
  <c r="B173" i="9"/>
  <c r="B192" i="9"/>
  <c r="B210" i="9"/>
  <c r="B18" i="5"/>
  <c r="B34" i="5"/>
  <c r="B50" i="5"/>
  <c r="B66" i="5"/>
  <c r="B4" i="6"/>
  <c r="B19" i="6"/>
  <c r="B35" i="6"/>
  <c r="B51" i="6"/>
  <c r="B67" i="6"/>
  <c r="B83" i="6"/>
  <c r="B99" i="6"/>
  <c r="B115" i="6"/>
  <c r="B131" i="6"/>
  <c r="B147" i="6"/>
  <c r="B163" i="6"/>
  <c r="B179" i="6"/>
  <c r="B195" i="6"/>
  <c r="B12" i="7"/>
  <c r="B28" i="7"/>
  <c r="B44" i="7"/>
  <c r="B60" i="7"/>
  <c r="B76" i="7"/>
  <c r="B92" i="7"/>
  <c r="B108" i="7"/>
  <c r="B124" i="7"/>
  <c r="B12" i="8"/>
  <c r="B28" i="8"/>
  <c r="B44" i="8"/>
  <c r="B60" i="8"/>
  <c r="B76" i="8"/>
  <c r="B4" i="9"/>
  <c r="B19" i="9"/>
  <c r="B35" i="9"/>
  <c r="B51" i="9"/>
  <c r="B67" i="9"/>
  <c r="B84" i="9"/>
  <c r="B101" i="9"/>
  <c r="B119" i="9"/>
  <c r="B137" i="9"/>
  <c r="B156" i="9"/>
  <c r="B175" i="9"/>
  <c r="B193" i="9"/>
  <c r="E10" i="4"/>
  <c r="B20" i="6"/>
  <c r="B36" i="6"/>
  <c r="B52" i="6"/>
  <c r="B68" i="6"/>
  <c r="B84" i="6"/>
  <c r="B100" i="6"/>
  <c r="B116" i="6"/>
  <c r="B132" i="6"/>
  <c r="B148" i="6"/>
  <c r="B164" i="6"/>
  <c r="B180" i="6"/>
  <c r="B196" i="6"/>
  <c r="B13" i="7"/>
  <c r="B29" i="7"/>
  <c r="B45" i="7"/>
  <c r="B61" i="7"/>
  <c r="B77" i="7"/>
  <c r="B93" i="7"/>
  <c r="B109" i="7"/>
  <c r="B125" i="7"/>
  <c r="B13" i="8"/>
  <c r="B29" i="8"/>
  <c r="B45" i="8"/>
  <c r="B61" i="8"/>
  <c r="B77" i="8"/>
  <c r="B206" i="9"/>
  <c r="B190" i="9"/>
  <c r="B174" i="9"/>
  <c r="B158" i="9"/>
  <c r="B142" i="9"/>
  <c r="B126" i="9"/>
  <c r="B110" i="9"/>
  <c r="B202" i="9"/>
  <c r="B186" i="9"/>
  <c r="B170" i="9"/>
  <c r="B154" i="9"/>
  <c r="B138" i="9"/>
  <c r="B122" i="9"/>
  <c r="B106" i="9"/>
  <c r="B90" i="9"/>
  <c r="B74" i="9"/>
  <c r="B20" i="9"/>
  <c r="B36" i="9"/>
  <c r="B52" i="9"/>
  <c r="B68" i="9"/>
  <c r="B85" i="9"/>
  <c r="B102" i="9"/>
  <c r="B120" i="9"/>
  <c r="B139" i="9"/>
  <c r="B157" i="9"/>
  <c r="B176" i="9"/>
  <c r="B194" i="9"/>
  <c r="E3" i="4"/>
  <c r="B20" i="5"/>
  <c r="B36" i="5"/>
  <c r="B52" i="5"/>
  <c r="B68" i="5"/>
  <c r="B5" i="6"/>
  <c r="B21" i="6"/>
  <c r="B37" i="6"/>
  <c r="B53" i="6"/>
  <c r="B69" i="6"/>
  <c r="B85" i="6"/>
  <c r="B101" i="6"/>
  <c r="B117" i="6"/>
  <c r="B133" i="6"/>
  <c r="B149" i="6"/>
  <c r="B165" i="6"/>
  <c r="B181" i="6"/>
  <c r="B197" i="6"/>
  <c r="B14" i="7"/>
  <c r="B30" i="7"/>
  <c r="B46" i="7"/>
  <c r="B62" i="7"/>
  <c r="B78" i="7"/>
  <c r="B94" i="7"/>
  <c r="B110" i="7"/>
  <c r="B126" i="7"/>
  <c r="B14" i="8"/>
  <c r="B30" i="8"/>
  <c r="B46" i="8"/>
  <c r="B62" i="8"/>
  <c r="B78" i="8"/>
  <c r="B5" i="9"/>
  <c r="B21" i="9"/>
  <c r="B37" i="9"/>
  <c r="B53" i="9"/>
  <c r="B69" i="9"/>
  <c r="B86" i="9"/>
  <c r="B103" i="9"/>
  <c r="B121" i="9"/>
  <c r="B140" i="9"/>
  <c r="B159" i="9"/>
  <c r="B177" i="9"/>
  <c r="B195" i="9"/>
  <c r="B6" i="6"/>
  <c r="B22" i="6"/>
  <c r="B38" i="6"/>
  <c r="B54" i="6"/>
  <c r="B70" i="6"/>
  <c r="B86" i="6"/>
  <c r="B102" i="6"/>
  <c r="B118" i="6"/>
  <c r="B134" i="6"/>
  <c r="B150" i="6"/>
  <c r="B166" i="6"/>
  <c r="B182" i="6"/>
  <c r="B198" i="6"/>
  <c r="B15" i="7"/>
  <c r="B31" i="7"/>
  <c r="B47" i="7"/>
  <c r="B63" i="7"/>
  <c r="B79" i="7"/>
  <c r="B95" i="7"/>
  <c r="B111" i="7"/>
  <c r="B127" i="7"/>
  <c r="B15" i="8"/>
  <c r="B31" i="8"/>
  <c r="B47" i="8"/>
  <c r="B63" i="8"/>
  <c r="B79" i="8"/>
  <c r="E4" i="4"/>
  <c r="B6" i="5"/>
  <c r="B22" i="5"/>
  <c r="B38" i="5"/>
  <c r="B54" i="5"/>
  <c r="B70" i="5"/>
  <c r="B7" i="6"/>
  <c r="B23" i="6"/>
  <c r="B39" i="6"/>
  <c r="B55" i="6"/>
  <c r="B71" i="6"/>
  <c r="B87" i="6"/>
  <c r="B103" i="6"/>
  <c r="B119" i="6"/>
  <c r="B135" i="6"/>
  <c r="B151" i="6"/>
  <c r="B167" i="6"/>
  <c r="B183" i="6"/>
  <c r="B199" i="6"/>
  <c r="B16" i="7"/>
  <c r="B32" i="7"/>
  <c r="B48" i="7"/>
  <c r="B64" i="7"/>
  <c r="B80" i="7"/>
  <c r="B96" i="7"/>
  <c r="B112" i="7"/>
  <c r="B128" i="7"/>
  <c r="B16" i="8"/>
  <c r="B32" i="8"/>
  <c r="B48" i="8"/>
  <c r="B64" i="8"/>
  <c r="B80" i="8"/>
  <c r="B7" i="9"/>
  <c r="B23" i="9"/>
  <c r="B39" i="9"/>
  <c r="B55" i="9"/>
  <c r="B71" i="9"/>
  <c r="B88" i="9"/>
  <c r="B105" i="9"/>
  <c r="B124" i="9"/>
  <c r="B143" i="9"/>
  <c r="B161" i="9"/>
  <c r="B179" i="9"/>
  <c r="B197" i="9"/>
  <c r="E5" i="4"/>
  <c r="B7" i="5"/>
  <c r="B23" i="5"/>
  <c r="B39" i="5"/>
  <c r="B55" i="5"/>
  <c r="B71" i="5"/>
  <c r="B8" i="6"/>
  <c r="B24" i="6"/>
  <c r="B40" i="6"/>
  <c r="B56" i="6"/>
  <c r="B72" i="6"/>
  <c r="B88" i="6"/>
  <c r="B104" i="6"/>
  <c r="B120" i="6"/>
  <c r="B136" i="6"/>
  <c r="B152" i="6"/>
  <c r="B168" i="6"/>
  <c r="B184" i="6"/>
  <c r="B200" i="6"/>
  <c r="B17" i="7"/>
  <c r="B33" i="7"/>
  <c r="B49" i="7"/>
  <c r="B65" i="7"/>
  <c r="B81" i="7"/>
  <c r="B97" i="7"/>
  <c r="B113" i="7"/>
  <c r="B129" i="7"/>
  <c r="B17" i="8"/>
  <c r="B33" i="8"/>
  <c r="B49" i="8"/>
  <c r="B65" i="8"/>
  <c r="B81" i="8"/>
  <c r="B8" i="9"/>
  <c r="B24" i="9"/>
  <c r="B40" i="9"/>
  <c r="B56" i="9"/>
  <c r="B72" i="9"/>
  <c r="B89" i="9"/>
  <c r="B107" i="9"/>
  <c r="B125" i="9"/>
  <c r="B144" i="9"/>
  <c r="B162" i="9"/>
  <c r="B180" i="9"/>
  <c r="B198" i="9"/>
  <c r="B8" i="5"/>
  <c r="B24" i="5"/>
  <c r="B40" i="5"/>
  <c r="B56" i="5"/>
  <c r="B9" i="6"/>
  <c r="B25" i="6"/>
  <c r="B41" i="6"/>
  <c r="B57" i="6"/>
  <c r="B73" i="6"/>
  <c r="B89" i="6"/>
  <c r="B105" i="6"/>
  <c r="B121" i="6"/>
  <c r="B137" i="6"/>
  <c r="B153" i="6"/>
  <c r="B169" i="6"/>
  <c r="B185" i="6"/>
  <c r="B18" i="7"/>
  <c r="B34" i="7"/>
  <c r="B50" i="7"/>
  <c r="B66" i="7"/>
  <c r="B82" i="7"/>
  <c r="B98" i="7"/>
  <c r="B114" i="7"/>
  <c r="B18" i="8"/>
  <c r="B34" i="8"/>
  <c r="B50" i="8"/>
  <c r="B66" i="8"/>
  <c r="B9" i="9"/>
  <c r="B25" i="9"/>
  <c r="B41" i="9"/>
  <c r="B57" i="9"/>
  <c r="B73" i="9"/>
  <c r="B91" i="9"/>
  <c r="B108" i="9"/>
  <c r="B127" i="9"/>
  <c r="B145" i="9"/>
  <c r="B163" i="9"/>
  <c r="B181" i="9"/>
  <c r="B199" i="9"/>
  <c r="B15" i="10"/>
  <c r="B31" i="10"/>
  <c r="B47" i="10"/>
  <c r="B63" i="10"/>
  <c r="B79" i="10"/>
  <c r="B95" i="10"/>
  <c r="B111" i="10"/>
  <c r="B127" i="10"/>
  <c r="B143" i="10"/>
  <c r="B159" i="10"/>
  <c r="B175" i="10"/>
  <c r="B191" i="10"/>
  <c r="B207" i="10"/>
  <c r="B223" i="10"/>
  <c r="B239" i="10"/>
  <c r="B17" i="11"/>
  <c r="B33" i="11"/>
  <c r="B8" i="12"/>
  <c r="B24" i="12"/>
  <c r="B40" i="12"/>
  <c r="B56" i="12"/>
  <c r="B72" i="12"/>
  <c r="B88" i="12"/>
  <c r="B104" i="12"/>
  <c r="B120" i="12"/>
  <c r="B136" i="12"/>
  <c r="B152" i="12"/>
  <c r="B14" i="13"/>
  <c r="B30" i="13"/>
  <c r="B46" i="13"/>
  <c r="B62" i="13"/>
  <c r="B78" i="13"/>
  <c r="B94" i="13"/>
  <c r="B110" i="13"/>
  <c r="B126" i="13"/>
  <c r="B142" i="13"/>
  <c r="B158" i="13"/>
  <c r="B174" i="13"/>
  <c r="B190" i="13"/>
  <c r="B206" i="13"/>
  <c r="B222" i="13"/>
  <c r="B238" i="13"/>
  <c r="B254" i="13"/>
  <c r="B4" i="14"/>
  <c r="B19" i="14"/>
  <c r="B35" i="14"/>
  <c r="B51" i="14"/>
  <c r="B67" i="14"/>
  <c r="B83" i="14"/>
  <c r="B99" i="14"/>
  <c r="B115" i="14"/>
  <c r="B8" i="15"/>
  <c r="B24" i="15"/>
  <c r="B40" i="15"/>
  <c r="B56" i="15"/>
  <c r="B72" i="15"/>
  <c r="B88" i="15"/>
  <c r="B104" i="15"/>
  <c r="B120" i="15"/>
  <c r="B136" i="15"/>
  <c r="B152" i="15"/>
  <c r="B15" i="16"/>
  <c r="B31" i="16"/>
  <c r="B47" i="16"/>
  <c r="B63" i="16"/>
  <c r="B79" i="16"/>
  <c r="B95" i="16"/>
  <c r="B111" i="16"/>
  <c r="B127" i="16"/>
  <c r="B143" i="16"/>
  <c r="B159" i="16"/>
  <c r="B175" i="16"/>
  <c r="B9" i="17"/>
  <c r="B25" i="17"/>
  <c r="B41" i="17"/>
  <c r="B57" i="17"/>
  <c r="B73" i="17"/>
  <c r="B89" i="17"/>
  <c r="B16" i="10"/>
  <c r="B32" i="10"/>
  <c r="B48" i="10"/>
  <c r="B64" i="10"/>
  <c r="B80" i="10"/>
  <c r="B96" i="10"/>
  <c r="B112" i="10"/>
  <c r="B128" i="10"/>
  <c r="B144" i="10"/>
  <c r="B160" i="10"/>
  <c r="B176" i="10"/>
  <c r="B192" i="10"/>
  <c r="B208" i="10"/>
  <c r="B224" i="10"/>
  <c r="B240" i="10"/>
  <c r="B9" i="12"/>
  <c r="B25" i="12"/>
  <c r="B41" i="12"/>
  <c r="B57" i="12"/>
  <c r="B73" i="12"/>
  <c r="B89" i="12"/>
  <c r="B105" i="12"/>
  <c r="B121" i="12"/>
  <c r="B137" i="12"/>
  <c r="B153" i="12"/>
  <c r="B15" i="13"/>
  <c r="B31" i="13"/>
  <c r="B47" i="13"/>
  <c r="B63" i="13"/>
  <c r="B79" i="13"/>
  <c r="B95" i="13"/>
  <c r="B111" i="13"/>
  <c r="B127" i="13"/>
  <c r="B143" i="13"/>
  <c r="B159" i="13"/>
  <c r="B175" i="13"/>
  <c r="B191" i="13"/>
  <c r="B207" i="13"/>
  <c r="B223" i="13"/>
  <c r="B239" i="13"/>
  <c r="B255" i="13"/>
  <c r="B20" i="14"/>
  <c r="B36" i="14"/>
  <c r="B52" i="14"/>
  <c r="B68" i="14"/>
  <c r="B84" i="14"/>
  <c r="B100" i="14"/>
  <c r="B116" i="14"/>
  <c r="B9" i="15"/>
  <c r="B25" i="15"/>
  <c r="B41" i="15"/>
  <c r="B57" i="15"/>
  <c r="B73" i="15"/>
  <c r="B89" i="15"/>
  <c r="B105" i="15"/>
  <c r="B121" i="15"/>
  <c r="B137" i="15"/>
  <c r="B16" i="16"/>
  <c r="B32" i="16"/>
  <c r="B48" i="16"/>
  <c r="B64" i="16"/>
  <c r="B80" i="16"/>
  <c r="B96" i="16"/>
  <c r="B112" i="16"/>
  <c r="B128" i="16"/>
  <c r="B144" i="16"/>
  <c r="B160" i="16"/>
  <c r="B176" i="16"/>
  <c r="B10" i="17"/>
  <c r="B26" i="17"/>
  <c r="B42" i="17"/>
  <c r="B58" i="17"/>
  <c r="B74" i="17"/>
  <c r="B90" i="17"/>
  <c r="B18" i="10"/>
  <c r="B34" i="10"/>
  <c r="B50" i="10"/>
  <c r="B66" i="10"/>
  <c r="B82" i="10"/>
  <c r="B98" i="10"/>
  <c r="B114" i="10"/>
  <c r="B130" i="10"/>
  <c r="B146" i="10"/>
  <c r="B162" i="10"/>
  <c r="B178" i="10"/>
  <c r="B194" i="10"/>
  <c r="B210" i="10"/>
  <c r="B226" i="10"/>
  <c r="B242" i="10"/>
  <c r="B20" i="11"/>
  <c r="B36" i="11"/>
  <c r="B11" i="12"/>
  <c r="B27" i="12"/>
  <c r="B43" i="12"/>
  <c r="B59" i="12"/>
  <c r="B75" i="12"/>
  <c r="B91" i="12"/>
  <c r="B107" i="12"/>
  <c r="B123" i="12"/>
  <c r="B139" i="12"/>
  <c r="B17" i="13"/>
  <c r="B33" i="13"/>
  <c r="B49" i="13"/>
  <c r="B65" i="13"/>
  <c r="B81" i="13"/>
  <c r="B97" i="13"/>
  <c r="B113" i="13"/>
  <c r="B129" i="13"/>
  <c r="B145" i="13"/>
  <c r="B161" i="13"/>
  <c r="B177" i="13"/>
  <c r="B193" i="13"/>
  <c r="B209" i="13"/>
  <c r="B225" i="13"/>
  <c r="B241" i="13"/>
  <c r="B6" i="14"/>
  <c r="B22" i="14"/>
  <c r="B38" i="14"/>
  <c r="B54" i="14"/>
  <c r="B70" i="14"/>
  <c r="B86" i="14"/>
  <c r="B102" i="14"/>
  <c r="B118" i="14"/>
  <c r="B11" i="15"/>
  <c r="B27" i="15"/>
  <c r="B43" i="15"/>
  <c r="B59" i="15"/>
  <c r="B75" i="15"/>
  <c r="B91" i="15"/>
  <c r="B107" i="15"/>
  <c r="B123" i="15"/>
  <c r="B139" i="15"/>
  <c r="B18" i="16"/>
  <c r="B34" i="16"/>
  <c r="B50" i="16"/>
  <c r="B66" i="16"/>
  <c r="B82" i="16"/>
  <c r="B98" i="16"/>
  <c r="B114" i="16"/>
  <c r="B130" i="16"/>
  <c r="B146" i="16"/>
  <c r="B162" i="16"/>
  <c r="B178" i="16"/>
  <c r="B12" i="17"/>
  <c r="B28" i="17"/>
  <c r="B44" i="17"/>
  <c r="B60" i="17"/>
  <c r="B76" i="17"/>
  <c r="B92" i="17"/>
  <c r="B4" i="10"/>
  <c r="B19" i="10"/>
  <c r="B35" i="10"/>
  <c r="B51" i="10"/>
  <c r="B67" i="10"/>
  <c r="B83" i="10"/>
  <c r="B99" i="10"/>
  <c r="B115" i="10"/>
  <c r="B131" i="10"/>
  <c r="B147" i="10"/>
  <c r="B163" i="10"/>
  <c r="B179" i="10"/>
  <c r="B195" i="10"/>
  <c r="B211" i="10"/>
  <c r="B227" i="10"/>
  <c r="B243" i="10"/>
  <c r="B5" i="11"/>
  <c r="B21" i="11"/>
  <c r="B37" i="11"/>
  <c r="B12" i="12"/>
  <c r="B28" i="12"/>
  <c r="B44" i="12"/>
  <c r="B60" i="12"/>
  <c r="B76" i="12"/>
  <c r="B92" i="12"/>
  <c r="B108" i="12"/>
  <c r="B124" i="12"/>
  <c r="B140" i="12"/>
  <c r="B18" i="13"/>
  <c r="B34" i="13"/>
  <c r="B50" i="13"/>
  <c r="B66" i="13"/>
  <c r="B82" i="13"/>
  <c r="B98" i="13"/>
  <c r="B114" i="13"/>
  <c r="B130" i="13"/>
  <c r="B146" i="13"/>
  <c r="B162" i="13"/>
  <c r="B178" i="13"/>
  <c r="B194" i="13"/>
  <c r="B210" i="13"/>
  <c r="B226" i="13"/>
  <c r="B242" i="13"/>
  <c r="B7" i="14"/>
  <c r="B23" i="14"/>
  <c r="B39" i="14"/>
  <c r="B55" i="14"/>
  <c r="B71" i="14"/>
  <c r="B87" i="14"/>
  <c r="B103" i="14"/>
  <c r="B12" i="15"/>
  <c r="B28" i="15"/>
  <c r="B44" i="15"/>
  <c r="B60" i="15"/>
  <c r="B76" i="15"/>
  <c r="B92" i="15"/>
  <c r="B108" i="15"/>
  <c r="B124" i="15"/>
  <c r="B140" i="15"/>
  <c r="B4" i="16"/>
  <c r="B19" i="16"/>
  <c r="B35" i="16"/>
  <c r="B51" i="16"/>
  <c r="B67" i="16"/>
  <c r="B83" i="16"/>
  <c r="B99" i="16"/>
  <c r="B115" i="16"/>
  <c r="B131" i="16"/>
  <c r="B147" i="16"/>
  <c r="B163" i="16"/>
  <c r="B179" i="16"/>
  <c r="B13" i="17"/>
  <c r="B29" i="17"/>
  <c r="B45" i="17"/>
  <c r="B61" i="17"/>
  <c r="B77" i="17"/>
  <c r="B93" i="17"/>
  <c r="B20" i="10"/>
  <c r="B36" i="10"/>
  <c r="B52" i="10"/>
  <c r="B68" i="10"/>
  <c r="B84" i="10"/>
  <c r="B100" i="10"/>
  <c r="B116" i="10"/>
  <c r="B132" i="10"/>
  <c r="B148" i="10"/>
  <c r="B164" i="10"/>
  <c r="B180" i="10"/>
  <c r="B196" i="10"/>
  <c r="B212" i="10"/>
  <c r="B228" i="10"/>
  <c r="B244" i="10"/>
  <c r="B13" i="12"/>
  <c r="B29" i="12"/>
  <c r="B45" i="12"/>
  <c r="B61" i="12"/>
  <c r="B77" i="12"/>
  <c r="B93" i="12"/>
  <c r="B109" i="12"/>
  <c r="B125" i="12"/>
  <c r="B141" i="12"/>
  <c r="B4" i="13"/>
  <c r="B19" i="13"/>
  <c r="B35" i="13"/>
  <c r="B51" i="13"/>
  <c r="B67" i="13"/>
  <c r="B83" i="13"/>
  <c r="B99" i="13"/>
  <c r="B115" i="13"/>
  <c r="B131" i="13"/>
  <c r="B147" i="13"/>
  <c r="B163" i="13"/>
  <c r="B179" i="13"/>
  <c r="B195" i="13"/>
  <c r="B211" i="13"/>
  <c r="B227" i="13"/>
  <c r="B243" i="13"/>
  <c r="B13" i="15"/>
  <c r="B29" i="15"/>
  <c r="B45" i="15"/>
  <c r="B61" i="15"/>
  <c r="B77" i="15"/>
  <c r="B93" i="15"/>
  <c r="B109" i="15"/>
  <c r="B125" i="15"/>
  <c r="B141" i="15"/>
  <c r="B20" i="16"/>
  <c r="B36" i="16"/>
  <c r="B52" i="16"/>
  <c r="B68" i="16"/>
  <c r="B84" i="16"/>
  <c r="B100" i="16"/>
  <c r="B116" i="16"/>
  <c r="B132" i="16"/>
  <c r="B148" i="16"/>
  <c r="B164" i="16"/>
  <c r="B180" i="16"/>
  <c r="B14" i="17"/>
  <c r="B30" i="17"/>
  <c r="B46" i="17"/>
  <c r="B62" i="17"/>
  <c r="B78" i="17"/>
  <c r="B94" i="17"/>
  <c r="B14" i="12"/>
  <c r="B30" i="12"/>
  <c r="B46" i="12"/>
  <c r="B62" i="12"/>
  <c r="B78" i="12"/>
  <c r="B94" i="12"/>
  <c r="B110" i="12"/>
  <c r="B126" i="12"/>
  <c r="B142" i="12"/>
  <c r="B20" i="13"/>
  <c r="B36" i="13"/>
  <c r="B52" i="13"/>
  <c r="B68" i="13"/>
  <c r="B84" i="13"/>
  <c r="B100" i="13"/>
  <c r="B116" i="13"/>
  <c r="B132" i="13"/>
  <c r="B148" i="13"/>
  <c r="B164" i="13"/>
  <c r="B180" i="13"/>
  <c r="B196" i="13"/>
  <c r="B212" i="13"/>
  <c r="B228" i="13"/>
  <c r="B244" i="13"/>
  <c r="B9" i="14"/>
  <c r="B25" i="14"/>
  <c r="B41" i="14"/>
  <c r="B57" i="14"/>
  <c r="B73" i="14"/>
  <c r="B89" i="14"/>
  <c r="B105" i="14"/>
  <c r="B14" i="15"/>
  <c r="B30" i="15"/>
  <c r="B46" i="15"/>
  <c r="B62" i="15"/>
  <c r="B78" i="15"/>
  <c r="B94" i="15"/>
  <c r="B110" i="15"/>
  <c r="B126" i="15"/>
  <c r="B142" i="15"/>
  <c r="B5" i="16"/>
  <c r="B21" i="16"/>
  <c r="B37" i="16"/>
  <c r="B53" i="16"/>
  <c r="B69" i="16"/>
  <c r="B85" i="16"/>
  <c r="B101" i="16"/>
  <c r="B117" i="16"/>
  <c r="B133" i="16"/>
  <c r="B149" i="16"/>
  <c r="B165" i="16"/>
  <c r="B181" i="16"/>
  <c r="B15" i="17"/>
  <c r="B31" i="17"/>
  <c r="B47" i="17"/>
  <c r="B63" i="17"/>
  <c r="B79" i="17"/>
  <c r="B95" i="17"/>
  <c r="B15" i="15"/>
  <c r="B31" i="15"/>
  <c r="B47" i="15"/>
  <c r="B63" i="15"/>
  <c r="B79" i="15"/>
  <c r="B95" i="15"/>
  <c r="B111" i="15"/>
  <c r="B127" i="15"/>
  <c r="B143" i="15"/>
  <c r="B6" i="16"/>
  <c r="B22" i="16"/>
  <c r="B38" i="16"/>
  <c r="B54" i="16"/>
  <c r="B70" i="16"/>
  <c r="B86" i="16"/>
  <c r="B102" i="16"/>
  <c r="B118" i="16"/>
  <c r="B134" i="16"/>
  <c r="B150" i="16"/>
  <c r="B166" i="16"/>
  <c r="B182" i="16"/>
  <c r="B16" i="17"/>
  <c r="B32" i="17"/>
  <c r="B48" i="17"/>
  <c r="B64" i="17"/>
  <c r="B80" i="17"/>
  <c r="B96" i="17"/>
  <c r="B16" i="12"/>
  <c r="B32" i="12"/>
  <c r="B48" i="12"/>
  <c r="B64" i="12"/>
  <c r="B80" i="12"/>
  <c r="B96" i="12"/>
  <c r="B112" i="12"/>
  <c r="B128" i="12"/>
  <c r="B144" i="12"/>
  <c r="B6" i="13"/>
  <c r="B22" i="13"/>
  <c r="B38" i="13"/>
  <c r="B54" i="13"/>
  <c r="B70" i="13"/>
  <c r="B86" i="13"/>
  <c r="B102" i="13"/>
  <c r="B118" i="13"/>
  <c r="B134" i="13"/>
  <c r="B150" i="13"/>
  <c r="B166" i="13"/>
  <c r="B182" i="13"/>
  <c r="B198" i="13"/>
  <c r="B214" i="13"/>
  <c r="B230" i="13"/>
  <c r="B246" i="13"/>
  <c r="B16" i="15"/>
  <c r="B32" i="15"/>
  <c r="B48" i="15"/>
  <c r="B64" i="15"/>
  <c r="B80" i="15"/>
  <c r="B96" i="15"/>
  <c r="B112" i="15"/>
  <c r="B128" i="15"/>
  <c r="B144" i="15"/>
  <c r="B7" i="16"/>
  <c r="B23" i="16"/>
  <c r="B39" i="16"/>
  <c r="B55" i="16"/>
  <c r="B71" i="16"/>
  <c r="B87" i="16"/>
  <c r="B103" i="16"/>
  <c r="B119" i="16"/>
  <c r="B135" i="16"/>
  <c r="B151" i="16"/>
  <c r="B167" i="16"/>
  <c r="B183" i="16"/>
  <c r="B17" i="17"/>
  <c r="B33" i="17"/>
  <c r="B49" i="17"/>
  <c r="B65" i="17"/>
  <c r="B81" i="17"/>
  <c r="B97" i="17"/>
  <c r="B8" i="10"/>
  <c r="B24" i="10"/>
  <c r="B40" i="10"/>
  <c r="B56" i="10"/>
  <c r="B72" i="10"/>
  <c r="B88" i="10"/>
  <c r="B104" i="10"/>
  <c r="B120" i="10"/>
  <c r="B136" i="10"/>
  <c r="B152" i="10"/>
  <c r="B168" i="10"/>
  <c r="B184" i="10"/>
  <c r="B200" i="10"/>
  <c r="B216" i="10"/>
  <c r="B232" i="10"/>
  <c r="B10" i="11"/>
  <c r="B26" i="11"/>
  <c r="B17" i="12"/>
  <c r="B33" i="12"/>
  <c r="B49" i="12"/>
  <c r="B65" i="12"/>
  <c r="B81" i="12"/>
  <c r="B97" i="12"/>
  <c r="B113" i="12"/>
  <c r="B129" i="12"/>
  <c r="B145" i="12"/>
  <c r="B7" i="13"/>
  <c r="B23" i="13"/>
  <c r="B39" i="13"/>
  <c r="B55" i="13"/>
  <c r="B71" i="13"/>
  <c r="B87" i="13"/>
  <c r="B103" i="13"/>
  <c r="B119" i="13"/>
  <c r="B135" i="13"/>
  <c r="B151" i="13"/>
  <c r="B167" i="13"/>
  <c r="B183" i="13"/>
  <c r="B199" i="13"/>
  <c r="B215" i="13"/>
  <c r="B231" i="13"/>
  <c r="B247" i="13"/>
  <c r="B12" i="14"/>
  <c r="B28" i="14"/>
  <c r="B44" i="14"/>
  <c r="B60" i="14"/>
  <c r="B76" i="14"/>
  <c r="B92" i="14"/>
  <c r="B108" i="14"/>
  <c r="B17" i="15"/>
  <c r="B33" i="15"/>
  <c r="B49" i="15"/>
  <c r="B65" i="15"/>
  <c r="B81" i="15"/>
  <c r="B97" i="15"/>
  <c r="B113" i="15"/>
  <c r="B129" i="15"/>
  <c r="B145" i="15"/>
  <c r="B8" i="16"/>
  <c r="B24" i="16"/>
  <c r="B40" i="16"/>
  <c r="B56" i="16"/>
  <c r="B72" i="16"/>
  <c r="B88" i="16"/>
  <c r="B104" i="16"/>
  <c r="B120" i="16"/>
  <c r="B136" i="16"/>
  <c r="B152" i="16"/>
  <c r="B168" i="16"/>
  <c r="B184" i="16"/>
  <c r="B18" i="17"/>
  <c r="B34" i="17"/>
  <c r="B50" i="17"/>
  <c r="B66" i="17"/>
  <c r="B82" i="17"/>
  <c r="B98" i="17"/>
  <c r="B9" i="10"/>
  <c r="B25" i="10"/>
  <c r="B41" i="10"/>
  <c r="B57" i="10"/>
  <c r="B73" i="10"/>
  <c r="B89" i="10"/>
  <c r="B105" i="10"/>
  <c r="B121" i="10"/>
  <c r="B137" i="10"/>
  <c r="B153" i="10"/>
  <c r="B169" i="10"/>
  <c r="B185" i="10"/>
  <c r="B201" i="10"/>
  <c r="B217" i="10"/>
  <c r="B233" i="10"/>
  <c r="B11" i="11"/>
  <c r="B27" i="11"/>
  <c r="B18" i="12"/>
  <c r="B34" i="12"/>
  <c r="B50" i="12"/>
  <c r="B66" i="12"/>
  <c r="B82" i="12"/>
  <c r="B98" i="12"/>
  <c r="B114" i="12"/>
  <c r="B130" i="12"/>
  <c r="B146" i="12"/>
  <c r="B8" i="13"/>
  <c r="B24" i="13"/>
  <c r="B40" i="13"/>
  <c r="B56" i="13"/>
  <c r="B72" i="13"/>
  <c r="B88" i="13"/>
  <c r="B104" i="13"/>
  <c r="B120" i="13"/>
  <c r="B136" i="13"/>
  <c r="B152" i="13"/>
  <c r="B168" i="13"/>
  <c r="B184" i="13"/>
  <c r="B200" i="13"/>
  <c r="B216" i="13"/>
  <c r="B232" i="13"/>
  <c r="B248" i="13"/>
  <c r="B13" i="14"/>
  <c r="B29" i="14"/>
  <c r="B45" i="14"/>
  <c r="B61" i="14"/>
  <c r="B77" i="14"/>
  <c r="B93" i="14"/>
  <c r="B109" i="14"/>
  <c r="B18" i="15"/>
  <c r="B34" i="15"/>
  <c r="B50" i="15"/>
  <c r="B66" i="15"/>
  <c r="B82" i="15"/>
  <c r="B98" i="15"/>
  <c r="B114" i="15"/>
  <c r="B130" i="15"/>
  <c r="B146" i="15"/>
  <c r="B9" i="16"/>
  <c r="B25" i="16"/>
  <c r="B41" i="16"/>
  <c r="B57" i="16"/>
  <c r="B73" i="16"/>
  <c r="B89" i="16"/>
  <c r="B105" i="16"/>
  <c r="B121" i="16"/>
  <c r="B137" i="16"/>
  <c r="B153" i="16"/>
  <c r="B169" i="16"/>
  <c r="B185" i="16"/>
  <c r="B4" i="17"/>
  <c r="B19" i="17"/>
  <c r="B35" i="17"/>
  <c r="B51" i="17"/>
  <c r="B67" i="17"/>
  <c r="B83" i="17"/>
  <c r="B99" i="17"/>
  <c r="B10" i="10"/>
  <c r="B26" i="10"/>
  <c r="B42" i="10"/>
  <c r="B58" i="10"/>
  <c r="B74" i="10"/>
  <c r="B90" i="10"/>
  <c r="B106" i="10"/>
  <c r="B122" i="10"/>
  <c r="B138" i="10"/>
  <c r="B154" i="10"/>
  <c r="B170" i="10"/>
  <c r="B186" i="10"/>
  <c r="B202" i="10"/>
  <c r="B218" i="10"/>
  <c r="B234" i="10"/>
  <c r="B4" i="12"/>
  <c r="B19" i="12"/>
  <c r="B35" i="12"/>
  <c r="B51" i="12"/>
  <c r="B67" i="12"/>
  <c r="B83" i="12"/>
  <c r="B99" i="12"/>
  <c r="B115" i="12"/>
  <c r="B131" i="12"/>
  <c r="B147" i="12"/>
  <c r="B9" i="13"/>
  <c r="B25" i="13"/>
  <c r="B41" i="13"/>
  <c r="B57" i="13"/>
  <c r="B73" i="13"/>
  <c r="B89" i="13"/>
  <c r="B105" i="13"/>
  <c r="B121" i="13"/>
  <c r="B137" i="13"/>
  <c r="B153" i="13"/>
  <c r="B169" i="13"/>
  <c r="B185" i="13"/>
  <c r="B201" i="13"/>
  <c r="B217" i="13"/>
  <c r="B233" i="13"/>
  <c r="B249" i="13"/>
  <c r="B4" i="15"/>
  <c r="B19" i="15"/>
  <c r="B35" i="15"/>
  <c r="B51" i="15"/>
  <c r="B67" i="15"/>
  <c r="B83" i="15"/>
  <c r="B99" i="15"/>
  <c r="B115" i="15"/>
  <c r="B131" i="15"/>
  <c r="B147" i="15"/>
  <c r="B20" i="17"/>
  <c r="B36" i="17"/>
  <c r="B52" i="17"/>
  <c r="B68" i="17"/>
  <c r="B84" i="17"/>
  <c r="B20" i="12"/>
  <c r="B36" i="12"/>
  <c r="B52" i="12"/>
  <c r="B68" i="12"/>
  <c r="B84" i="12"/>
  <c r="B100" i="12"/>
  <c r="B116" i="12"/>
  <c r="B132" i="12"/>
  <c r="B148" i="12"/>
  <c r="B20" i="15"/>
  <c r="B36" i="15"/>
  <c r="B52" i="15"/>
  <c r="B68" i="15"/>
  <c r="B84" i="15"/>
  <c r="B100" i="15"/>
  <c r="B116" i="15"/>
  <c r="B132" i="15"/>
  <c r="B148" i="15"/>
  <c r="B11" i="16"/>
  <c r="B27" i="16"/>
  <c r="B43" i="16"/>
  <c r="B59" i="16"/>
  <c r="B75" i="16"/>
  <c r="B91" i="16"/>
  <c r="B107" i="16"/>
  <c r="B123" i="16"/>
  <c r="B139" i="16"/>
  <c r="B155" i="16"/>
  <c r="B171" i="16"/>
  <c r="B187" i="16"/>
  <c r="B5" i="17"/>
  <c r="B21" i="17"/>
  <c r="B37" i="17"/>
  <c r="B53" i="17"/>
  <c r="B69" i="17"/>
  <c r="B85" i="17"/>
  <c r="B12" i="10"/>
  <c r="B28" i="10"/>
  <c r="B44" i="10"/>
  <c r="B60" i="10"/>
  <c r="B76" i="10"/>
  <c r="B92" i="10"/>
  <c r="B108" i="10"/>
  <c r="B124" i="10"/>
  <c r="B140" i="10"/>
  <c r="B156" i="10"/>
  <c r="B172" i="10"/>
  <c r="B188" i="10"/>
  <c r="B204" i="10"/>
  <c r="B220" i="10"/>
  <c r="B236" i="10"/>
  <c r="B14" i="11"/>
  <c r="B30" i="11"/>
  <c r="B5" i="12"/>
  <c r="B21" i="12"/>
  <c r="B37" i="12"/>
  <c r="B53" i="12"/>
  <c r="B69" i="12"/>
  <c r="B85" i="12"/>
  <c r="B101" i="12"/>
  <c r="B117" i="12"/>
  <c r="B133" i="12"/>
  <c r="B149" i="12"/>
  <c r="B11" i="13"/>
  <c r="B27" i="13"/>
  <c r="B43" i="13"/>
  <c r="B59" i="13"/>
  <c r="B75" i="13"/>
  <c r="B91" i="13"/>
  <c r="B107" i="13"/>
  <c r="B123" i="13"/>
  <c r="B139" i="13"/>
  <c r="B155" i="13"/>
  <c r="B171" i="13"/>
  <c r="B187" i="13"/>
  <c r="B203" i="13"/>
  <c r="B219" i="13"/>
  <c r="B235" i="13"/>
  <c r="B251" i="13"/>
  <c r="B16" i="14"/>
  <c r="B32" i="14"/>
  <c r="B48" i="14"/>
  <c r="B64" i="14"/>
  <c r="B80" i="14"/>
  <c r="B96" i="14"/>
  <c r="B112" i="14"/>
  <c r="B5" i="15"/>
  <c r="B21" i="15"/>
  <c r="B37" i="15"/>
  <c r="B53" i="15"/>
  <c r="B69" i="15"/>
  <c r="B85" i="15"/>
  <c r="B101" i="15"/>
  <c r="B117" i="15"/>
  <c r="B133" i="15"/>
  <c r="B149" i="15"/>
  <c r="B12" i="16"/>
  <c r="B28" i="16"/>
  <c r="B44" i="16"/>
  <c r="B60" i="16"/>
  <c r="B76" i="16"/>
  <c r="B92" i="16"/>
  <c r="B108" i="16"/>
  <c r="B124" i="16"/>
  <c r="B140" i="16"/>
  <c r="B156" i="16"/>
  <c r="B172" i="16"/>
  <c r="B188" i="16"/>
  <c r="B6" i="17"/>
  <c r="B22" i="17"/>
  <c r="B38" i="17"/>
  <c r="B54" i="17"/>
  <c r="B70" i="17"/>
  <c r="B86" i="17"/>
  <c r="B13" i="10"/>
  <c r="B29" i="10"/>
  <c r="B45" i="10"/>
  <c r="B61" i="10"/>
  <c r="B77" i="10"/>
  <c r="B93" i="10"/>
  <c r="B109" i="10"/>
  <c r="B125" i="10"/>
  <c r="B141" i="10"/>
  <c r="B157" i="10"/>
  <c r="B173" i="10"/>
  <c r="B189" i="10"/>
  <c r="B205" i="10"/>
  <c r="B221" i="10"/>
  <c r="B15" i="11"/>
  <c r="B6" i="12"/>
  <c r="B22" i="12"/>
  <c r="B38" i="12"/>
  <c r="B54" i="12"/>
  <c r="B70" i="12"/>
  <c r="B86" i="12"/>
  <c r="B102" i="12"/>
  <c r="B118" i="12"/>
  <c r="B134" i="12"/>
  <c r="B12" i="13"/>
  <c r="B28" i="13"/>
  <c r="B44" i="13"/>
  <c r="B60" i="13"/>
  <c r="B76" i="13"/>
  <c r="B92" i="13"/>
  <c r="B108" i="13"/>
  <c r="B124" i="13"/>
  <c r="B140" i="13"/>
  <c r="B156" i="13"/>
  <c r="B172" i="13"/>
  <c r="B188" i="13"/>
  <c r="B204" i="13"/>
  <c r="B220" i="13"/>
  <c r="B236" i="13"/>
  <c r="B17" i="14"/>
  <c r="B33" i="14"/>
  <c r="B49" i="14"/>
  <c r="B65" i="14"/>
  <c r="B81" i="14"/>
  <c r="B97" i="14"/>
  <c r="B6" i="15"/>
  <c r="B22" i="15"/>
  <c r="B38" i="15"/>
  <c r="B54" i="15"/>
  <c r="B70" i="15"/>
  <c r="B86" i="15"/>
  <c r="B102" i="15"/>
  <c r="B118" i="15"/>
  <c r="B134" i="15"/>
  <c r="B150" i="15"/>
  <c r="B13" i="16"/>
  <c r="B29" i="16"/>
  <c r="B45" i="16"/>
  <c r="B61" i="16"/>
  <c r="B77" i="16"/>
  <c r="B93" i="16"/>
  <c r="B109" i="16"/>
  <c r="B125" i="16"/>
  <c r="B141" i="16"/>
  <c r="B157" i="16"/>
  <c r="B173" i="16"/>
  <c r="B189" i="16"/>
  <c r="B7" i="17"/>
  <c r="B23" i="17"/>
  <c r="B39" i="17"/>
  <c r="B55" i="17"/>
  <c r="B71" i="17"/>
  <c r="B87" i="17"/>
  <c r="B7" i="15"/>
  <c r="B23" i="15"/>
  <c r="B39" i="15"/>
  <c r="B55" i="15"/>
  <c r="B71" i="15"/>
  <c r="B87" i="15"/>
  <c r="B103" i="15"/>
  <c r="B119" i="15"/>
  <c r="B135" i="15"/>
  <c r="B14" i="16"/>
  <c r="B30" i="16"/>
  <c r="B46" i="16"/>
  <c r="B62" i="16"/>
  <c r="B78" i="16"/>
  <c r="B94" i="16"/>
  <c r="B110" i="16"/>
  <c r="B126" i="16"/>
  <c r="B142" i="16"/>
  <c r="B158" i="16"/>
  <c r="B8" i="17"/>
  <c r="B24" i="17"/>
  <c r="B40" i="17"/>
  <c r="B56" i="17"/>
  <c r="B72"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6" authorId="0" shapeId="0" xr:uid="{00000000-0006-0000-0100-000001000000}">
      <text>
        <r>
          <rPr>
            <sz val="10"/>
            <color rgb="FF000000"/>
            <rFont val="Arial"/>
            <family val="2"/>
            <scheme val="minor"/>
          </rPr>
          <t>Use Ctrl + Shift + V to paste the name of the perk or you'll lose it!</t>
        </r>
      </text>
    </comment>
    <comment ref="D9" authorId="0" shapeId="0" xr:uid="{00000000-0006-0000-0100-000002000000}">
      <text>
        <r>
          <rPr>
            <sz val="10"/>
            <color rgb="FF000000"/>
            <rFont val="Arial"/>
            <family val="2"/>
            <scheme val="minor"/>
          </rPr>
          <t>Use Ctrl + Shift + V to paste the name of the perk or you'll lose it!</t>
        </r>
      </text>
    </comment>
    <comment ref="D18" authorId="0" shapeId="0" xr:uid="{00000000-0006-0000-0100-000003000000}">
      <text>
        <r>
          <rPr>
            <sz val="10"/>
            <color rgb="FF000000"/>
            <rFont val="Arial"/>
            <family val="2"/>
            <scheme val="minor"/>
          </rPr>
          <t>Use Ctrl + Shift + V to paste the name of the perk or you'll lose it!</t>
        </r>
      </text>
    </comment>
  </commentList>
</comments>
</file>

<file path=xl/sharedStrings.xml><?xml version="1.0" encoding="utf-8"?>
<sst xmlns="http://schemas.openxmlformats.org/spreadsheetml/2006/main" count="11379" uniqueCount="5680">
  <si>
    <r>
      <rPr>
        <sz val="13"/>
        <color theme="1"/>
        <rFont val="Calibri"/>
        <family val="2"/>
      </rPr>
      <t xml:space="preserve">Welcome to The Celestial Bordello, First Edition, Scriptless Version! Designed for all of you who get (rightfully) nervous when a program from an unknown individual asks to excecute code on your computer~! This Celestial System is for all things lewd, sexy, and otherwise pornographic! A celebration of all the X-rated jumpchains that otherwise languish in infamy. Hopefully you have fun with it. If you want to make a copy of this file for your personal use, you can find the option to 'Make a Copy' under 'File' in the top left of the window.
It should be noted that the scriptless nature of this sheet means that there is an extensive array of functions doing a lot of complicated things. As such, there are certain cells that are Protected. If you attempt to edit them, they will warn you that they should not be edited. I'd advise that you leave them be.
As part of the creation of The Celestial Bordello, some edits were made to perks. Some simply had their description clarified or tweaked to reflect the fact that they are in a Celestial System and not a Jumpchain, or their names edited to be unique. Others had their costs altered to better reflect their relative power compared to every other perk and/or their potential effect on a story. And then there are yet others that had their descriptions altered to eliminate an overlap. I have removed all prerequisites, as they are always awkward in these random systems, instead choosing to either leave the perk on its own or combine them. Some perks have been created wholesale, inspired by options that were not perks in their source material, but instead origins or similar. It is my hope that not only people will find this acceptable, but also seek to do similarly in the creation of future Celestial Systems. The fact that I chose to do this to the </t>
    </r>
    <r>
      <rPr>
        <i/>
        <sz val="13"/>
        <color theme="1"/>
        <rFont val="Calibri"/>
        <family val="2"/>
      </rPr>
      <t>sex</t>
    </r>
    <r>
      <rPr>
        <sz val="13"/>
        <color theme="1"/>
        <rFont val="Calibri"/>
        <family val="2"/>
      </rPr>
      <t xml:space="preserve"> System is not lost on me, but motivation is as motivation does.</t>
    </r>
  </si>
  <si>
    <t>Intended Mechanics</t>
  </si>
  <si>
    <t>Let me preface this section with the statement that you, as an author, can easily ignore any or all of these. In the end, your story should be whatever you think will be the most engaging. These are simply the guidlines I had in mind when I created the system.
1) Items are contained within a one-time pocket dimension until summoned for the first time. This is to provide some quality of life benefit to the character (which I will be referring to as the user) as some of these objects are quite cumbersome, like the multiple beds, or the starliner. Although I do see the potential in ignoring this and exploiting the conflict that will come from these things appearing randomly.
2) Perks in the Alternate Form category that refer to 'you' instead let you transform into an Alternate Form with those effects. This is to allow a greater array of fetishised body and creature types, while also deliniating a line between perks that control transforming and those that give a singular, usually fixed, form.
3) The first perk gained from the Pocket Dimension category gives the user access to a pocket dimension that will contain all future purchases of that type. They do not have access to it before that point. Additionally, perks from this category are connected to each other when purchased.
4) Consumables, unless otherwise stated by the perk, refill once a week.</t>
  </si>
  <si>
    <t>FAQ</t>
  </si>
  <si>
    <r>
      <rPr>
        <b/>
        <sz val="13"/>
        <color theme="1"/>
        <rFont val="Calibri"/>
        <family val="2"/>
      </rPr>
      <t xml:space="preserve">Why can't I edit anything?
</t>
    </r>
    <r>
      <rPr>
        <sz val="13"/>
        <color theme="1"/>
        <rFont val="Calibri"/>
        <family val="2"/>
      </rPr>
      <t>You are probably trying to edit the master distribution copy of the sheet. Try making your own personal copy under 'File' and 'Make a Copy'.</t>
    </r>
  </si>
  <si>
    <r>
      <rPr>
        <b/>
        <sz val="13"/>
        <color theme="1"/>
        <rFont val="Calibri"/>
        <family val="2"/>
      </rPr>
      <t xml:space="preserve">Why is this all in shades of Purple?
</t>
    </r>
    <r>
      <rPr>
        <sz val="13"/>
        <color theme="1"/>
        <rFont val="Calibri"/>
        <family val="2"/>
      </rPr>
      <t>It's a tribute to Slaanesh!</t>
    </r>
  </si>
  <si>
    <r>
      <rPr>
        <b/>
        <sz val="13"/>
        <color theme="1"/>
        <rFont val="Calibri"/>
        <family val="2"/>
      </rPr>
      <t xml:space="preserve">I rolled something that Isn't My Fetish! How do I get rid of it?
</t>
    </r>
    <r>
      <rPr>
        <sz val="13"/>
        <color theme="1"/>
        <rFont val="Calibri"/>
        <family val="2"/>
      </rPr>
      <t>Go to the Full Perk List and use Ctrl + F to search for it. Then, delete its entire row. This will remove it from your copy of the sheet.</t>
    </r>
  </si>
  <si>
    <r>
      <rPr>
        <b/>
        <sz val="13"/>
        <color theme="1"/>
        <rFont val="Calibri"/>
        <family val="2"/>
      </rPr>
      <t xml:space="preserve">This perk is from something that mentions Lolis or getting Blacked! Why is this here?
</t>
    </r>
    <r>
      <rPr>
        <sz val="13"/>
        <color theme="1"/>
        <rFont val="Calibri"/>
        <family val="2"/>
      </rPr>
      <t>Not every perk from those jumpchains was strictly about the fetishes in question. I have done my best to excise any objectional content from both perk names and descriptions.</t>
    </r>
  </si>
  <si>
    <r>
      <rPr>
        <b/>
        <sz val="13"/>
        <rFont val="Calibri"/>
        <family val="2"/>
      </rPr>
      <t xml:space="preserve">All the perks in one of the sheets have disappeared! Help!
</t>
    </r>
    <r>
      <rPr>
        <sz val="13"/>
        <rFont val="Calibri"/>
        <family val="2"/>
      </rPr>
      <t xml:space="preserve">The function that takes them from the </t>
    </r>
    <r>
      <rPr>
        <b/>
        <u/>
        <sz val="13"/>
        <color rgb="FF7289DA"/>
        <rFont val="Calibri"/>
        <family val="2"/>
      </rPr>
      <t>Full Perk List</t>
    </r>
    <r>
      <rPr>
        <sz val="13"/>
        <rFont val="Calibri"/>
        <family val="2"/>
      </rPr>
      <t xml:space="preserve"> won't overwrite any data that you've put in there. If you attempted to correct something, or add a row, that will have added data. All you need to do is erase what you did and that will fix it. Ctrl + Z is your friend. If you don't know what data you've added, you might have a ghost False. Go to the top of the B Column, hold Ctrl, and tap the down arrow until the formula bar says FALSE. Delete the FALSE in the formula bar and it should be fixed. If it isn't, just keep looking until you get them all. TRUEs can also be a problem.</t>
    </r>
  </si>
  <si>
    <r>
      <rPr>
        <b/>
        <sz val="13"/>
        <color theme="1"/>
        <rFont val="Calibri"/>
        <family val="2"/>
      </rPr>
      <t>Why are some jumpchains missing links in the Bibliography?</t>
    </r>
    <r>
      <rPr>
        <sz val="13"/>
        <color theme="1"/>
        <rFont val="Calibri"/>
        <family val="2"/>
      </rPr>
      <t xml:space="preserve">
I don't want this project to get needfully suppressed by the moderators of whatever site or app you found this on. Therefore, any jumpchains that I thought would get the project struck do not have links.</t>
    </r>
  </si>
  <si>
    <r>
      <rPr>
        <b/>
        <sz val="13"/>
        <color theme="1"/>
        <rFont val="Calibri"/>
        <family val="2"/>
      </rPr>
      <t xml:space="preserve">I purchased a Perk but now regret that decision. How do I get rid of it?
</t>
    </r>
    <r>
      <rPr>
        <sz val="13"/>
        <color theme="1"/>
        <rFont val="Calibri"/>
        <family val="2"/>
      </rPr>
      <t>Just delete it from your perk list. It will return to the unpurchased section automatically.</t>
    </r>
  </si>
  <si>
    <r>
      <rPr>
        <b/>
        <sz val="13"/>
        <color theme="1"/>
        <rFont val="Calibri"/>
        <family val="2"/>
      </rPr>
      <t>I rolled a perk I wanted, but edited something and now it's gone. How do I get it back?</t>
    </r>
    <r>
      <rPr>
        <sz val="13"/>
        <color theme="1"/>
        <rFont val="Calibri"/>
        <family val="2"/>
      </rPr>
      <t xml:space="preserve">
You can't. 
Unfortunately, Google Sheets doesn't have any way to natively to save the value of a cell when its underlying variables change. If someone has a proven way of doing this without a script, they should message me. I'm pretty good with Excel, but not perfect. I would suggest that you always copy the name of a perk when you roll it, even if you eventually decide not to buy it.</t>
    </r>
  </si>
  <si>
    <t>How many Perks are there?</t>
  </si>
  <si>
    <r>
      <rPr>
        <b/>
        <sz val="13"/>
        <rFont val="Calibri"/>
        <family val="2"/>
      </rPr>
      <t xml:space="preserve">I don't like/want to exclude &lt;insert category here&gt; from rolls. How do?
</t>
    </r>
    <r>
      <rPr>
        <sz val="13"/>
        <rFont val="Calibri"/>
        <family val="2"/>
      </rPr>
      <t xml:space="preserve">Go to the </t>
    </r>
    <r>
      <rPr>
        <b/>
        <u/>
        <sz val="13"/>
        <color rgb="FF7289DA"/>
        <rFont val="Calibri"/>
        <family val="2"/>
      </rPr>
      <t>Calculation Sheet</t>
    </r>
    <r>
      <rPr>
        <sz val="13"/>
        <rFont val="Calibri"/>
        <family val="2"/>
      </rPr>
      <t xml:space="preserve"> and untick the box.</t>
    </r>
  </si>
  <si>
    <r>
      <rPr>
        <b/>
        <sz val="13"/>
        <rFont val="Calibri"/>
        <family val="2"/>
      </rPr>
      <t>How do I add more Perks?</t>
    </r>
    <r>
      <rPr>
        <sz val="13"/>
        <rFont val="Calibri"/>
        <family val="2"/>
      </rPr>
      <t xml:space="preserve">
Go to the </t>
    </r>
    <r>
      <rPr>
        <u/>
        <sz val="13"/>
        <color rgb="FF7289DA"/>
        <rFont val="Calibri"/>
        <family val="2"/>
      </rPr>
      <t>Full Perk List</t>
    </r>
    <r>
      <rPr>
        <sz val="13"/>
        <rFont val="Calibri"/>
        <family val="2"/>
      </rPr>
      <t xml:space="preserve"> and add a new row. Then, put it in your perk. Make sure that it has a unique name and a category! Or, if you're purchasing it immediately, just add it to your purchased perks list. It will complain at you, but you can ignore it for this.</t>
    </r>
  </si>
  <si>
    <r>
      <rPr>
        <b/>
        <sz val="13"/>
        <color theme="1"/>
        <rFont val="Calibri"/>
        <family val="2"/>
      </rPr>
      <t xml:space="preserve">How do I track those additional purchases some perks let me make?
</t>
    </r>
    <r>
      <rPr>
        <sz val="13"/>
        <color theme="1"/>
        <rFont val="Calibri"/>
        <family val="2"/>
      </rPr>
      <t>Well, you can add it to the description of the perk itself, or you can add it as an additional line in your purchased perks list. Either way, the sheet will complain at you, but you can ignore it for this.</t>
    </r>
  </si>
  <si>
    <r>
      <rPr>
        <b/>
        <sz val="13"/>
        <rFont val="Calibri"/>
        <family val="2"/>
      </rPr>
      <t xml:space="preserve">I'm an advanced user. How do I add an entire category?
</t>
    </r>
    <r>
      <rPr>
        <sz val="13"/>
        <rFont val="Calibri"/>
        <family val="2"/>
      </rPr>
      <t xml:space="preserve">Woah Boy. Here's a step-by-step list, along with important things to know:
1) Make the sheet. Do this by duplicating one of the current ones, it'll copy over all the formulas and make your life easier.
2) Rename it. This too will make things easier. You'll also want to change the name on the sheet, as that is used to grab the perks for the listings.
3) Add your new perks to the </t>
    </r>
    <r>
      <rPr>
        <u/>
        <sz val="13"/>
        <color rgb="FF7289DA"/>
        <rFont val="Calibri"/>
        <family val="2"/>
      </rPr>
      <t>Full Perk List</t>
    </r>
    <r>
      <rPr>
        <sz val="13"/>
        <rFont val="Calibri"/>
        <family val="2"/>
      </rPr>
      <t xml:space="preserve">. Make sure they all have the new category listed.
4) At the top of the </t>
    </r>
    <r>
      <rPr>
        <u/>
        <sz val="13"/>
        <color rgb="FF7289DA"/>
        <rFont val="Calibri"/>
        <family val="2"/>
      </rPr>
      <t>Full Perk List</t>
    </r>
    <r>
      <rPr>
        <sz val="13"/>
        <rFont val="Calibri"/>
        <family val="2"/>
      </rPr>
      <t xml:space="preserve">, make a new "Purchased Perks" line. It should be like all the others, except with the number incremented and the category filled with your new one.
5) Go to the </t>
    </r>
    <r>
      <rPr>
        <u/>
        <sz val="13"/>
        <color rgb="FF7289DA"/>
        <rFont val="Calibri"/>
        <family val="2"/>
      </rPr>
      <t>Calculation Sheet</t>
    </r>
    <r>
      <rPr>
        <sz val="13"/>
        <rFont val="Calibri"/>
        <family val="2"/>
      </rPr>
      <t xml:space="preserve"> and Copy/Paste one of the Category names from and in the </t>
    </r>
    <r>
      <rPr>
        <i/>
        <sz val="13"/>
        <rFont val="Calibri"/>
        <family val="2"/>
      </rPr>
      <t>Right Hand List</t>
    </r>
    <r>
      <rPr>
        <sz val="13"/>
        <rFont val="Calibri"/>
        <family val="2"/>
      </rPr>
      <t>. You will want to go into the formula and replace the name of that category with your new one. If yours has multiple words, you will need to contain it in 'single apostrophes'. This formula means that if you ever edit the name of the category, this entry will reflect that.
6) Add a new Tickbox next to that cell. You'll want it ticked.
7) In the C column, you want to drag down the formula. This will select the perks from your new category.
8) There is no eighth step! You should be done!</t>
    </r>
  </si>
  <si>
    <t>Character Sheet</t>
  </si>
  <si>
    <r>
      <rPr>
        <sz val="13"/>
        <color theme="1"/>
        <rFont val="Calibri"/>
        <family val="2"/>
      </rPr>
      <t xml:space="preserve">To use the character sheet, simply click the tick box to activate the roller. Once ticked, every edit made to values on the sheet will select a new randome perk, so make sure to copy the name of your first roll into the Bank or your Purchased Perks section. You </t>
    </r>
    <r>
      <rPr>
        <i/>
        <sz val="13"/>
        <color theme="1"/>
        <rFont val="Calibri"/>
        <family val="2"/>
      </rPr>
      <t>must</t>
    </r>
    <r>
      <rPr>
        <sz val="13"/>
        <color theme="1"/>
        <rFont val="Calibri"/>
        <family val="2"/>
      </rPr>
      <t xml:space="preserve"> use 'Paste Values Only' or 'Ctrl + Shift + V', or you will paste the formula and reroll. You can also type the perk's name in the appropriate space, but finishing it will also reroll. Unfortunately, this is the only way to create a randomiser in Google Sheets without using scripts. Once you are done, make sure to untick the roller. 
Below, you have the Purchased Perks section. Pasting the name of a perk in the appropriate column will automatically display everything else about the perk. You can also input your total earned CP, and get an automatically updating listing of your current CP.</t>
    </r>
  </si>
  <si>
    <t>Roller</t>
  </si>
  <si>
    <t>CP Cost</t>
  </si>
  <si>
    <t>Name</t>
  </si>
  <si>
    <t>Jumpdoc</t>
  </si>
  <si>
    <t>Chapter</t>
  </si>
  <si>
    <t>Description</t>
  </si>
  <si>
    <t>Bank</t>
  </si>
  <si>
    <t>Cost</t>
  </si>
  <si>
    <t>100% Success Rate</t>
  </si>
  <si>
    <t>Purchased Perks</t>
  </si>
  <si>
    <t>Total CP Earned:</t>
  </si>
  <si>
    <t>Current CP:</t>
  </si>
  <si>
    <t>Remarkable Features</t>
  </si>
  <si>
    <t>Flaunting the Namesakes</t>
  </si>
  <si>
    <t>Class of Your Own ❖</t>
  </si>
  <si>
    <t>Bodacious</t>
  </si>
  <si>
    <t>Mana Burst: Love</t>
  </si>
  <si>
    <t>Comfort in Mobility</t>
  </si>
  <si>
    <t>Gerudo Form</t>
  </si>
  <si>
    <t>Big Dick Energy</t>
  </si>
  <si>
    <t>Vial of Promethean Bio-Nanites</t>
  </si>
  <si>
    <t>Loyalty for Dummies</t>
  </si>
  <si>
    <t>Sweet Devil</t>
  </si>
  <si>
    <t>Cock of the Evil Sex King</t>
  </si>
  <si>
    <t>Gluttony</t>
  </si>
  <si>
    <t>Build of an Athlete</t>
  </si>
  <si>
    <t>Wanton Workshop</t>
  </si>
  <si>
    <t>Multiplex Madness</t>
  </si>
  <si>
    <t>Roller Section</t>
  </si>
  <si>
    <t>Perks Rolled</t>
  </si>
  <si>
    <t>Include in Roll?</t>
  </si>
  <si>
    <t>Purchased</t>
  </si>
  <si>
    <t>Category</t>
  </si>
  <si>
    <t>Alternate Forms</t>
  </si>
  <si>
    <t>Body &amp; Beauty</t>
  </si>
  <si>
    <t>Corruption</t>
  </si>
  <si>
    <t>Fertility &amp; Family</t>
  </si>
  <si>
    <t>Magic</t>
  </si>
  <si>
    <t>Mind &amp; Control</t>
  </si>
  <si>
    <t>Pocket Dimension</t>
  </si>
  <si>
    <t>Porn &amp; Paraphernalia</t>
  </si>
  <si>
    <t>Powers</t>
  </si>
  <si>
    <t>Relationships</t>
  </si>
  <si>
    <t>Seduction</t>
  </si>
  <si>
    <t>Skills</t>
  </si>
  <si>
    <t>Transformation</t>
  </si>
  <si>
    <t>Neutral Endowments</t>
  </si>
  <si>
    <t>Trials In Tainted Space</t>
  </si>
  <si>
    <t>There are an amazing variety of body types and changes in this universe. From bipedal to tauric to spiders, from people with wings to people with tentacle legs, every person can be different. And since you are probably not going to spend too long in a single form, take this perk. Regardless of whatever your body has or is, you can go about your day without any more difficulty than if you were a plain old human. You could have 10 tentacle tails, or be carrying 15 babies, or be 12 feet tall, or have breasts the size of wine barrels that are lactating actual wine by the liter, and none of that will get in your way, or cause you pain. You also will immediately know how to control said body regardless of any changes.</t>
  </si>
  <si>
    <t>Non-Human Form</t>
  </si>
  <si>
    <t>Although Young People Recoil from Entering the Black Magic Industry...</t>
  </si>
  <si>
    <t xml:space="preserve">You now have a beastman form, ranging from the classic catboy to gator-people, basically anything on the furry scale. </t>
  </si>
  <si>
    <t>Everyone's Self Insert</t>
  </si>
  <si>
    <t>Fate / Blacked</t>
  </si>
  <si>
    <t>From here on out, you are not one person, but two. You may, at any time, change your gender such that you might become your own sister or brother. You cannot change your form away from what this theoretical sibling of yours would look like, but you can choose to have the people around you acknowledge this change - or not. One day you might be a man who was a girl yesterday, the next you were always a boy. It’s a bit niche, but going from Gudao to Gudako on a whim has it’s uses.</t>
  </si>
  <si>
    <t>[Cute] Animal Heritage</t>
  </si>
  <si>
    <t>Kemokko Zoo</t>
  </si>
  <si>
    <t>Even when they become “human” at night, the zoo’s animals still retain some of their respective species’ physical features – and abilities, from the Viagra-like milk of camels, to the pheromones that giraffes emit through their pee, to the hyena’s retractable pseudopenis.
For all bodies and forms you have, special physical features and abilities associated with a specific form can now be carried over to your other forms, even if it should be impossible with your current physiology. Moreover, these features will now be undeniably cute (and sexy), no matter your form.
Please note that this only accounts for inherent, physical traits and features that naturally come with your forms; things you develop or gain on your own that aren’t part of your race’s natural life cycle do not qualify for this perk. 
In addition, when you first gain this perk, you automatically get the physical abilities of a specific, real-world animal of your choice to be shared freely across your forms.</t>
  </si>
  <si>
    <t>100% Pure Human</t>
  </si>
  <si>
    <t>Succubi’s Supporter</t>
  </si>
  <si>
    <t>You aren’t a part-succubus anymore, you’re a real human. Completely, full-fledged, one hundred percent human. Even if you very clearly aren’t a human, you still qualify as being a human whenever it is beneficial to you. People can tell that you’re a human upon seeing you, or a depiction of you; in this world, this will definitely attract succubi/incubi, but it may have uses on other worlds too. If you don’t look like a human, people will ignore that fact and treat you as a human being anyway.
Being a human, you are naturally attractive to non-humans of sophont-level intellect, and creatures like monster girls will definitely thirst after you as long as you find them attractive in return, even in a setting where the monster girls aren’t particularly lewd. You are likely to receive preferential treatment, especially in a world like this one.
Finally, you are absolutely delicious, even to other humans, but especially so to
beings that consume sexual energy such as succubi. Your fluids, the taste of your crotch, your scent... fortunately, it isn’t delicious in a way that inspires hunger, but lust.
You may toggle any or all of these effects on and off as you so desire.</t>
  </si>
  <si>
    <t>An Orc's Body</t>
  </si>
  <si>
    <t>Erona</t>
  </si>
  <si>
    <t>Now most orcs may be stupid, but there is a reason why, despite most humans wishing for your kind’s extermination, that orcs have survived so long as a species. Orc bodies possess thick skin with a strength like that of steel making it so that only strong humans or those wielding magic can seriously hurt them. Of course, orcs also possess plenty of brute strength to go along with it, smashing down locked doors or any pitiful barricades to get to the delicious women inside. Finally, as a species corrupted by lust, it's no surprise that their own sexual prowess is hyper charged as well. Every orc is gifted with a massive set of genitals and, of course, in a hentai logic way, your D will just feel amazing to anyone you put it in, and issues like not fitting or injuring the women you give it to seem to never occur. Finally, you also have the ability to easily keep going long after most humans would have been completely exhausted.</t>
  </si>
  <si>
    <t>Auto-feminisation</t>
  </si>
  <si>
    <t>Futadom World</t>
  </si>
  <si>
    <t>In this world, masculinity is a rarity. The males considered most attractive are often those considered cutest and most feminine. Thankfully, you’re most certainly that. This perk means that any alt-form you take can, at your behest, bear an adorable, feminine cuteness that can make even the ugliest ogre something people want to just sweep off their feet.</t>
  </si>
  <si>
    <t>Beastkin</t>
  </si>
  <si>
    <t>A Change of Tactics V2.2</t>
  </si>
  <si>
    <t>Beastkin are a collection of several different races known for their shapeshifting powers, such as Ylisse’s taguel, or the wolfskin and kitsune tribes native to Nohr and Hoshido. These races are nearly extinct but you count yourself among their numbers. Not only is your human form supernaturally strong and tough, comparable to the physical power of the manakete race, but by using a beaststone you can transform into a mighty warbeast, augmenting your natural strengths even further still and gaining the enhanced senses of whatever beast you transformed into. Be wary of beastbane weapons though, for these can punch through your augmented defenses. Taking this perk also gives you a free beaststone as a fiat-backed item. Should you lose it another one will find its way into your possession by the next day.</t>
  </si>
  <si>
    <t>Harpy Form</t>
  </si>
  <si>
    <t>Monster Musume no Iru Nichijou</t>
  </si>
  <si>
    <t>Typically birdbrains, an adult harpy is strong enough to carry a lamia while flying and has enough durability to ram through a window at a high speed and not get hurt. They also have bad night vision and can lay unfertilized eggs worth millions (of yen) to the right person.</t>
  </si>
  <si>
    <t>Hekyll &amp; Jyde</t>
  </si>
  <si>
    <t>Generic: Virgin</t>
  </si>
  <si>
    <t>Do you want to be free of all those pesky morals and ethics, but not become a complete monster? This is the (highly questionable) perk for you. You have two different personalities, one dedicated to whatever practical goals you might have, the other dedicated to enjoying themselves as much as is possible... without really caring about who gets hurt along the way, as long as it’s not you... either of you. The two sides of you agree that ruining your life would be a bad thing and neither of you will do anything that might do that, nor will either try and destroy the other, and both can, technically, remember what the other was up to. At least 1/4th of the time the ‘evil’ side will take over and (probably) run amok. The two of you look similar but not identical, and leave behind different traces for all forms of forensics.</t>
  </si>
  <si>
    <t>Kemokko Crystals</t>
  </si>
  <si>
    <t>A set of the special, candylike pills that the Director concocted to turn the zoo’s population into animal girls at night. The container contains a half-dozen pills, and refills nightly. Fortunately, an animal just has to consume the pill once for the kemokko transformation to take effect every night. Also, a reminder: kemokko are part-human, and unlike other animals, humans are always “in-heat” – something that carries over to the kemokko; so be ready for lots of sexy escapades if your animal girls like you~! (See Notes for more information about the kemokko!)</t>
  </si>
  <si>
    <t>Mermaid</t>
  </si>
  <si>
    <t>With their slimy skin and amphibiousness and a little help a mermaid can traverse the land roughly the same as a human. They can only breathe wet air though. They can sense large bodies of water, are cold resistant, and become very sick if they swim in chlorinated water.</t>
  </si>
  <si>
    <t>The "Mascot"</t>
  </si>
  <si>
    <t>Sei So Tsui Dan Sha</t>
  </si>
  <si>
    <t>You have a mascot-like charm that encourages enthusiasm in others, pushing them to believe in themselves. Horrifically enough, your real talent lies in tearing the egos you’ve helped build to pieces in barely a fraction of the time. Buying this also gets you a petite, cute body-type alt-form.</t>
  </si>
  <si>
    <t>Ugly Bastard Form</t>
  </si>
  <si>
    <t>The NTR of Slutty Magical Girl Flan</t>
  </si>
  <si>
    <t>Become the Homewrecker. In this form, you become a classic ugly bastard, with all that entails. For some reason your ugliness is an appeal all on its own. The farther you are from conventional attractiveness the more those you’re attracted to in turn will find themselves filled with lust over you. Sure, they might recoil in horror from the sight of your smile but they also just turned soaking wet so who’s the real ugly bastard in the end?</t>
  </si>
  <si>
    <t>Aradaka Tribe Form</t>
  </si>
  <si>
    <t>The Otaku in 10,000 BC</t>
  </si>
  <si>
    <t>Basically, you’re a giant. You’re huge enough to grab a person around the waist with one hand, and strong enough to hurl boulders. You have a more sensitive sense of smell than humans do, and the females of your tribe can produce a powerful suction from their vaginas that is strong enough to suck in an entire human adult.</t>
  </si>
  <si>
    <t>Bio-Weapon</t>
  </si>
  <si>
    <t>Bio-Weapon Quest</t>
  </si>
  <si>
    <r>
      <rPr>
        <sz val="13"/>
        <color theme="1"/>
        <rFont val="Calibri"/>
        <family val="2"/>
      </rPr>
      <t xml:space="preserve">Bio-Weapons are creatures designed to defeat Heart Warriors. Crafted using a therianthrope's core, they carry their beastial nature, instincts that express themselves as rage, lust and hunger that can spiral out of control if left unsated.
Each Bio-Weapon is an 8’ tall monster, with a tail, claws, and thick scales, and has a unique power like energy beams, concussive air blasts, throwing off enemy aim with illusions, hyper velocity and similar. </t>
    </r>
    <r>
      <rPr>
        <b/>
        <sz val="13"/>
        <color theme="1"/>
        <rFont val="Calibri"/>
        <family val="2"/>
      </rPr>
      <t xml:space="preserve">You may buy additional powers at 100CP at any time you could purchase a perk.
</t>
    </r>
    <r>
      <rPr>
        <sz val="13"/>
        <color theme="1"/>
        <rFont val="Calibri"/>
        <family val="2"/>
      </rPr>
      <t xml:space="preserve">You also have an addictive, aphrodisiac Musk, enhanced gentalia both as a human and in monster form, as well as three additional mutations: Aphrodisiac Breath, Ridged Cock, High Aphrodisiac Semen, The Knot, a Cock Tail, Doublecock, Two Tentacles, Quad Balls, Nutritious Semen, or similar. </t>
    </r>
    <r>
      <rPr>
        <b/>
        <sz val="13"/>
        <color theme="1"/>
        <rFont val="Calibri"/>
        <family val="2"/>
      </rPr>
      <t>You may purchase additional mutations at 50CP at any time you could purchase a perk.</t>
    </r>
  </si>
  <si>
    <t>Black Form</t>
  </si>
  <si>
    <t>Ikusa Otome Valkyrie</t>
  </si>
  <si>
    <t>It's not well known to the world at large but if a valkyrie falls into lust over someone willingly they can take on a darker form. This form is usually a lust filled parody of the original personality. As you are paying a premium, this perk now applies to any and all your forms, letting you transform back and forth, though the process is tiring to do in rapid succession. This form recolors any armor or weapons you have to be a dark and/or lustful version and gives you a dark or corrupted aura. This also lets you use the opposite of whatever holy/light/good powers you had before such as instead of giving a blessing you can instead curse, or instead of light use darkness.</t>
  </si>
  <si>
    <t>Centaur Form</t>
  </si>
  <si>
    <t>Prideful, loyal, and powerful enough to hold a lamia in each hand. They’re also fast enough to keep up with some motorized vehicles. They are herbivores and only so.
On purchase, choose one of the following sub-species:
- Lightweight: Smaller than standard centaurs they also get injured easier. They are however much, much faster.
- Heavyweight: So powerful they can move around unimpeded even while wearing heavy armor. These are the largest and most muscular of centaurs.</t>
  </si>
  <si>
    <t>Compressed Form</t>
  </si>
  <si>
    <t>You can partially undergo any transformation, shifting to a smaller, partial state. Bio-Weapons would remain human sized while being able to draw on their Combat Traits and Mutations, while Heart Warriors might likewise manifest powers while in their ‘civilian’ mode. In either case, the powers associated with your Transformation are not quite as powerful, and you are more recognisable to those who know your face, but the Compressed Form is compact and much less draining on your reserves of energy to maintain. 
This version of Compressed Form works with any transformation you have.</t>
  </si>
  <si>
    <t>Demonic Might</t>
  </si>
  <si>
    <t>Archangel of Love, Love Mary ~Malignant Conception~</t>
  </si>
  <si>
    <r>
      <rPr>
        <sz val="13"/>
        <color theme="1"/>
        <rFont val="Calibri"/>
        <family val="2"/>
      </rPr>
      <t xml:space="preserve">As a child of Elysium, you have been blessed with great physical power; regardless of the details of your appearance, you are far superior to a human, able to outrun, outfight, outlast, and outfuck even the greatest of human athletes. While it’s true that a transformed Archangel is mightier than you, you also don’t have to worry about transforming to use your full power, or fear your transformation running out of time. In addition to your powerful form, your genitalia are also something to behold. Not only is it glorious in size, but also in potency; it can bring pleasures in excess of what a human lover could, and should you have a penis, your cum will spurt forth in more copious quantities than an entire group of men could hope to produce. Your staying power is likewise superhuman, and you could keep fucking someone for days at a time without stopping. Finally, you have access to magical power… although this doesn’t also come with magical knowledge or skill. Still, with effort on your part, you will be able to learn various spells. </t>
    </r>
    <r>
      <rPr>
        <b/>
        <sz val="13"/>
        <color theme="1"/>
        <rFont val="Calibri"/>
        <family val="2"/>
      </rPr>
      <t>This form can be almost any kind lewd monster, chosen on purchase.</t>
    </r>
  </si>
  <si>
    <t>Elrk Form</t>
  </si>
  <si>
    <t>Elrk</t>
  </si>
  <si>
    <t>"The Elrk are beautiful girls with green skin, pointy ears, fangs, and both genitals. While the Elrk are cultured enough to have formed tribes, they aren't highly educated. With their beliefs in Strength and a very specialized way of reproduction, the Elrks have become a powerful force in this world that should not be underestimated.” - Dr. Bug, an Elrk expert
Every Elrk is green skinned, has a nice fat futanari cock, and a unique ability to breed with damn near everything with upwards of an 80% rate of conceptions. Their unique racial trait is that any child they bear is a perfect hybrid of the two parents - for an Elrk that was already a hyrbid, this tends to produce interesting results. Oddly, despite that ability, the child of two Elrks (rare as they are with only a 10% chance of conception) is always a pure Elrk.</t>
  </si>
  <si>
    <t>Breathless Wild</t>
  </si>
  <si>
    <t>The desert-dwelling gerudo have developed a second gender in the past century. Though they still don’t give birth to men, some gerudo are now born as futanari, sporting impressive cocks and muscular bodies. These amazonian hermaphrodites are a highly privileged class who are encouraged to spread their seed and impregnate as many women as they please both inside and outside the tribe. Many gerudo keep vast harems of concubines, and some have even returned to the old ways of kidnapping outsiders to keep as slaves and broodmares. But male gerudo aren’t completely impossible: in ancient times a single boy was born every hundred years and was prophesied to become king of the gerudo, though this hasn’t occurred in many millennia. Should you choose to be the next exception to the rule you'll be sure to draw a great deal of attention, as the last male gerudo remains rather notorious to say the least.</t>
  </si>
  <si>
    <t>Goron Form</t>
  </si>
  <si>
    <t>Huge, hardy, and universally male, gorons are creatures of immense strength and endurance, both sexual and otherwise. While they reproduce asexually they still have sexual urges and commonly use women of other races to sate their needs so as to be less vulnerable to monstergirls. Being the largest and manliest of the civilized races, gorons are unmatched in both their sexual endurance and the immense size of their endowments; the average goron has a cock as long as a hylian’s arm, thicker than a fist, and as resistant to damage as a steel plate. They’re also immune to heat and flame, even capable of bathing in the lava of Death Mountain as if it were a sauna. This immunity can even be shared with their partners: goron semen is a vital component in the best fire-proof potions, though it also works if taken “straight from the tap”.</t>
  </si>
  <si>
    <t>Homuncockulus Form</t>
  </si>
  <si>
    <t>You know, when most men say that they’re gods gift to women or that they’ve got a dick that women can’t help but drool over, they are exaggerating. You? Not so much. As it turns out, you are in fact a very specialized kind of homunculus specifically meant to facilitate mana transfers. You don’t have much - or any, really - training as a magus, but what you do have is an absurdly sized dick, hyperactive balls, and the mana supply of a dozen men. You are quite literally built with the physical stats needed to fuck a Servant into submission so that you can pour a hot load of mana inside of her should it turn out that her master can’t quite produce enough to keep her filled up. As something of a side benefit, and perhaps Da Vinci outdoing herself, this also grants a slight boost to all other magics of a sexual nature</t>
  </si>
  <si>
    <t>Imperial Blade Form</t>
  </si>
  <si>
    <t>NUKENAI Seiken-chan</t>
  </si>
  <si>
    <t>You can transform into a sword. While in sword form, you are ageless, have no bodily needs, are aware of your general surroundings, and can magically communicate with others. The powers you grant your wielder depend on your current capabilities; if you know tantric magic, you might allow your wielder access to your mental library of spells, while if you can mind control others, your cut might wound their willpower instead of their body. Generally, your most 'iconic' powers are increased in strength but decreased in versatility, while also being aligned with your nature as a sword, a weapon meant to be wielded by another.
You may limit the powers your wielder has access to, if you so choose.</t>
  </si>
  <si>
    <t>Lamia Form</t>
  </si>
  <si>
    <t>A lewd and lustful lady lizard, well, snake. Thriving in hot environments they are deathly incompatible with cold ones. Most notably they shed their skin and have an erogenous zone on the tip of their tail. They possess enough durability to survive being trampled by a centaur with little to no harm done to them. They can also when they will it see in infrared.</t>
  </si>
  <si>
    <t>Man's Best Friend</t>
  </si>
  <si>
    <t>Fate/Horse Order</t>
  </si>
  <si>
    <t>Well, that’s more dogs than anything else, but the fact remains that your new form seems to get along with humans quite well. Pick any pet-like animal and gain the ability to transform into one. Maybe you actually are a dog, and have an unnerving sense of what might be a threat to your owner? Or maybe you’d rather go in the other direction and be a cute and cuddly thing, that women can’t help but want to smoosh into their breasts? Regardless of which way you want to go, you’ll also find the people around you seeming to forget your presence when it comes to secrets and the like, or even their modesty. After all, who would worry about being spied upon in the bath by their pet?</t>
  </si>
  <si>
    <t>Minor Monster</t>
  </si>
  <si>
    <t>Elzikyuchi’s Dickgirls 2</t>
  </si>
  <si>
    <t>Magical creatures can be found even in the more modern versions of this world, which is exactly what you seem to be. This option allows you to become a monstergirl, either one from a specific caption or of your design. At base this provides a basic superhuman physique, enough to break any doors or barricades down and rape regular humans, but focusing only on that should let you manhandle an entire militia or police station into submission. Otherwise, this will give abilities such as a forest nymph's chlorokinesis or a dragon's fire breathing and flight. This can grant minor sexual effects on top of that, such as having a self-lubricating dick and being capable of impregnating men. Despite the flavor, this can also be used to become an alien, in which case your abilities will appear biological in nature. Perversion isn't limited to humans and those shaped by their desires, after all.</t>
  </si>
  <si>
    <t>Rito Form</t>
  </si>
  <si>
    <t>The rito are a race of bird people native to the Hebra region, though they’re a common sight in almost any corner of Hyrule. Their ability to fly makes them some of the best scouts and hunters in Hyrule, as well as widely-traveled traders. Unlike the zora the rito sometimes struggle with complex craftsmanship thanks to a relative lack of manual dexterity with their wings, but they’ll eagerly trade for whatever tools or services they need and in this new Hyrule no trade is more lucrative than the sex trade. Rito Village is a major hub of prostitution and sex slavery, and travelers come from all over to purchase the services of the rito tribe’s famously well-trained slaves.</t>
  </si>
  <si>
    <t>Rubber Person</t>
  </si>
  <si>
    <t>Generic: Norithics</t>
  </si>
  <si>
    <t>You can turn into a Rubber Person, the politically correct term for intelligent living blowup (sex) dolls, rubber people are quite literally made for sex. With incredibly elastic bodies that are not only biologically immortal, but also possess powerful regenerative abilities if given sufficient ‘food’. Blessed with removable bits, they’re still able to experience the sensations of their detached parts from anywhere within 1 AU.
Rubber people seem to have an instinctive knack for pleasuring penises, able to bring just about anything with a dick to a positively massive orgasm in a jiffy. Something which is particularly handy when you consider that they feed almost exclusively on latex and the life energy found in sperm.</t>
  </si>
  <si>
    <t>Slime Form</t>
  </si>
  <si>
    <t>A shapeshifting slime that can even mimic how a person looks right down to changing their color or what they’re wearing but cannot hide their head tentacle. They can read minds with their head tentacle, heal injuries with their internal waters, and are pretty much immune to most damaging things except large bodies of water and dehydration. Their mood can be forcibly change due to some substances.</t>
  </si>
  <si>
    <t>Tauric Form</t>
  </si>
  <si>
    <t>Winger’s World</t>
  </si>
  <si>
    <t>Your lower half is... unique. Basically, you have four legs and an extra stomach. You closely resemble a centaur, but not necessarily a horse. If a Furry, your lower half is that of whatever animal you represent. If you are a human... well....</t>
  </si>
  <si>
    <t>Zora Form</t>
  </si>
  <si>
    <t>The Zora are a race of merpeople known for being insular and sometimes hostile to outsiders, especially since the fall of Hyrule, though they warm up quickly to anyone who proves themselves a friend. Zora are the best swimmers in Hyrule, and the best of their number can even learn to swim up waterfalls and blast through the water with the speed of a stallion. They’re also widely known as the best craftsmen in Hyrule, from great works of architecture like the monolithic Zora’s Domain to the artistic silver weapons and scale armor they use in war. Following Hyrule’s collapse they turned these talents to creating devices to protect themselves from being ravished by monsters. Zora women wear plugs, chastity belts, and similar devices the way women of other races might wear fine jewelry, while men seal themselves inside thick armor.</t>
  </si>
  <si>
    <t>Arachne</t>
  </si>
  <si>
    <t>Thread spinning, producing spider silk, listening through said threads... Arachne are not to be trifled with. Possessing a superb night vision, and enough speed to dodge bullets they are one of the toughest monsters around. They however have an intolerance to coffee that would make them incredibly drunk.</t>
  </si>
  <si>
    <t>Armed Virus</t>
  </si>
  <si>
    <t>Valkyrie Drive: Mermaid</t>
  </si>
  <si>
    <t>You, poor thing, are infected with the Armed Virus. Whether this was something you’ve carried since birth, or something that was dropped on you once you arrived in this world, you are one of the unfortunate masses that is removed from society to be quarantined on one of the prison islands. Everyone infected with the Armed virus falls into one of three categories: Extar, Liberator, or Hybrid. Select one when you recieve this perk.
Extars have the ability to turn into a powerful weapon or armour once aroused. This item can be pretty much anything - a sword, a gun, a shield, etc. - and will generally have a special ability of some kind. However, the power of this special ability depends on their connection with their wielder.
Liberators form strong and powerful bonds with Extars (and similar individuals) and have an instinctual understanding of how to handle any Extar transformation at a base level of competency; both the item they become and how to make them transform~. They also have a mildly superhuman constitution, giving them the basics required to wield such powerful weapons.
Hybrids are both Extars and Liberators simultaniously. Choosing this option costs an additional 100 CP.</t>
  </si>
  <si>
    <t>Chest Mimic</t>
  </si>
  <si>
    <t>Miyuki-chan in Wonderland</t>
  </si>
  <si>
    <t>You can store yourself inside a chest and stay inside however long you wish without losing any health or suffering from any vital needs. As soon as someone opens the chest, a blinding light flashes, giving you the opportunity of the first strike! Furthermore, you gain the proper form of an “Incubus” Mimic from the game, complete with magical black wings (that allow you to fly) on your head, a devil-spaded tail, and a long tongue perfect for French kissing; plus, you have access to “Sexy Demon” magic, which allows you to erotically stimulate and paralyze targets through physical contact (and doing so drains small amounts of HP/MP from the victim to boost your own reserves).</t>
  </si>
  <si>
    <t>Cute and Cuddly</t>
  </si>
  <si>
    <t>Generic: Hentai Magical Girl</t>
  </si>
  <si>
    <t>A good judge of character? Supportive? Knowledgeable? These are all secondary for a magical gilr mascot. The real thing you need is to be cute and cuddly. For getting the maximum number of hugs that squeeze you into their boobs. 
Pick an ordinary-ish animal. You now have a miniaturized form that looks like one, stuffed animal looks optional. When in that form, it's basically impossible to detect any actual powers from you, other than a limited shape-changing ability. Better yet, you'll get a power boost after exiting it, and the longer you stay in that form, the bigger the boost.</t>
  </si>
  <si>
    <t>Familiar Crown</t>
  </si>
  <si>
    <t>TSF World</t>
  </si>
  <si>
    <t>This is an interesting item of clothing, one whose origin was in no small part influenced by the magic of a land of plumbers and mushrooms. This item is filled with an incredible magical power. Anything that wears this crown will instantly be turned into an attractive young woman, whose general aesthetic and appearance is up to you to decide. Blonde princess is a classic. Anything the slightest bit sentient can be transformed in this way as long as the item is placed on them. For safety purposes, this will not activate without clear intent for objects of sufficiently dangerous size. Should the item be destroyed or otherwise magically vanished while still being worn, the transformation is liable to be rendered permanent.</t>
  </si>
  <si>
    <t>Ghostly Lover</t>
  </si>
  <si>
    <t>World of Lewd Horror</t>
  </si>
  <si>
    <t>You may be dead, or have gone through some kind of mad science experiment, but you may become invisible and/or incorporeal at will. And since everyone knows ghosts don’t exist, people who don’t directly experience your actions in this state will be extremely skeptical. There’s no way a poltergeist flung the window open. It must have been the wind. And that girl who is getting flushed and fidgety as she claims that a ghost is groping her? Nonsense, she’s clearly just a dirty slut. You can only push this so far before even the most unbelieving must admit something strange is happening though.</t>
  </si>
  <si>
    <t>Manakete</t>
  </si>
  <si>
    <t>The manakete are descendents of the ancient dragons who followed Naga’s will and sealed their great power into dragonstones to preserve their sanity. Like the taguel they are extremely long-lived humanoids who harness the power contained in their dragonstones to transform into their true dragon forms, granting them superhuman physical and magical strength and a pair of wings strong enough to fly with. Much like Corrin, some manakete can also learn to shapeshift individual parts of their bodies rather than assuming a full dragon form, granting them their draconic strength even in their humanoid forms. Like the beastkin you gain a free fiat-backed dragonstone which will return to you within a day if it is ever lost or misplaced. Dragonspawn with this perk do not require a dragonstone to transform, nor are they ever at risk of going mad without one like traditional dragons.</t>
  </si>
  <si>
    <t>Pony Form</t>
  </si>
  <si>
    <t>Erotic Equestria</t>
  </si>
  <si>
    <r>
      <rPr>
        <sz val="13"/>
        <color theme="1"/>
        <rFont val="Calibri"/>
        <family val="2"/>
      </rPr>
      <t xml:space="preserve">You gain the ability to transform into a technicolour pony! This pony form comes with a blank flank that will take on what's known as a cutie mark when you find your 'special talent'. The mark will be indicative of the talent, but also your personality, and signifies an amplification of your abilities within that domain. Do your talents influence your cutie mark, or does your cutie mark influence your talents? It seems to be a bit of a chicken and the egg situation. It should be noted that this is </t>
    </r>
    <r>
      <rPr>
        <i/>
        <sz val="13"/>
        <color theme="1"/>
        <rFont val="Calibri"/>
        <family val="2"/>
      </rPr>
      <t>talent</t>
    </r>
    <r>
      <rPr>
        <sz val="13"/>
        <color theme="1"/>
        <rFont val="Calibri"/>
        <family val="2"/>
      </rPr>
      <t xml:space="preserve"> and not a </t>
    </r>
    <r>
      <rPr>
        <i/>
        <sz val="13"/>
        <color theme="1"/>
        <rFont val="Calibri"/>
        <family val="2"/>
      </rPr>
      <t>power</t>
    </r>
    <r>
      <rPr>
        <sz val="13"/>
        <color theme="1"/>
        <rFont val="Calibri"/>
        <family val="2"/>
      </rPr>
      <t xml:space="preserve">. Regardless, said pony form also gains the abilities of one of the three phenotypes of pony kind:
Earth Ponies: Stronger than other kinds of ponies, with a greater pool of stamina as well as a talent for nuturing.
Unicorns: They have a horn on their head that acts as an arcane focus!
Pegasii: They have wings that let them fly with startling agility and can physically manipulate the weather.
Ponies with significant magical power also have the possibility of ascending to Alicorn-hood, gaining all the benefits of ponykind in a manner that has them enhance each other. Of course, power alone isn't enough, there has to be something more to it. Perhaps there </t>
    </r>
    <r>
      <rPr>
        <i/>
        <sz val="13"/>
        <color theme="1"/>
        <rFont val="Calibri"/>
        <family val="2"/>
      </rPr>
      <t>is</t>
    </r>
    <r>
      <rPr>
        <sz val="13"/>
        <color theme="1"/>
        <rFont val="Calibri"/>
        <family val="2"/>
      </rPr>
      <t xml:space="preserve"> something to the phrase 'Friendship is Magic'...</t>
    </r>
  </si>
  <si>
    <t>Shipgirl Form</t>
  </si>
  <si>
    <t>Generic: Lewd Shipgirls</t>
  </si>
  <si>
    <t>You can turn into a shipgirl! As a shipgirl, you are as strong and as tough as a ship. Despite this, you still have the profile of a woman. By summoning your “rigging,” a mechanical set of gear based upon your ship form, you gain access to the capabilities of your ship form. You can use your rangefinders and radars to see the world around, listen through your hydrophones, and can feel your crew moving about within you. You can sail on water, which kind of looks like skating with your human form. Your weapons still function, even if certain weapons are not represented on your rigging. Your hold and many of the tools aboard are available for your use at full-size. Normally summoning your rigging will also change your clothes to a specific outfit, but this can be suppressed. 
Speaking of your crew, they are usually called “fairies” and take the form of chibi versions of your human self. They are loyal and capable of fulfilling all the tasks that need doing on a ship like yourself. They’re kind of like cells, actually. If killed, they return as part of the healing process. They can exit your hull, but they are notably weaker outside - while possessing the strength of fit sea dogs inside, while outside a single fairy could no more pick up a soda can than a single sailor could pick up a filled 55-gallon drum of Bunker C. Be nice to them - their stress is your stress. 
And while you can consume oil to refuel your bunkers, propellant and explosive to resupply your ammunition, and steel to resupply your damage control material, those will only restock your supplies of those specific materials. Eating food allows you to resupply all your stocks, is much tastier, and is easier on logistics. You need around 3,000 - 10,000 calories a day on average, depending on your ship form’s logistics needs, or around twice that if engaging in battle. Of course, since you have the ability to go without resupply and refueling for weeks at a time, probably, you might wind up very hungry at times. Also, you’ll probably be craving fresh fruit and other perishables that your onboard kitchens can’t provide after a long sortie. 
Unfortunately, food stored aboard a shipgirl cannot be used to restock another shipgirl’s supplies directly. The food from a shipgirl’s holds seems to have no nutritional value except to fairies. Still tastes good though. UNREP isn’t an exception as it’s manifesting the supplies as food. You can’t get an Infinite Sandwich Loop that eliminates your need for logistics.
You can also adjust your mass and power from anywhere between “normal girl” and your ship form. This is useful for getting into cars, ramming through walls, and not pulverizing your lovers.</t>
  </si>
  <si>
    <t>Tentacle Monster Form</t>
  </si>
  <si>
    <t>Generic: Hentai Tentacles</t>
  </si>
  <si>
    <t>You can turn into a Tentacle Monster! You are a malleable mass of about a dozen tentacles with all the usual senses. Each tentacle is prehensile with genitals on the end, and ravishing people feeds you. They are excellent at grasping, pulling, and pushing, and you only need a few to carry your own weight. You can also grow more tentacles so long as you have the mass, which is helpful for if you ever get hurt.</t>
  </si>
  <si>
    <t>Vampire Form</t>
  </si>
  <si>
    <t>Taimanin</t>
  </si>
  <si>
    <t>Perhaps gifted by the progenitor of vampires himself you have been turned into one of the Children of the Night. You now possess enhanced speed, strength, and endurance in addition to the potential to develop other abilities, such as turning into black mist and possessing others or manipulating and solidifying shadows or even one day being able to absorb the souls of the slain gaining their abilities while being able to resurrect them as loyal servants. For now, the light of the sun drastically weakens you in addition to causing you pain, but in time or with sufficient power you will be able to overcome these weaknesses, to the point where the sun does nothing and blood is simply a nice snack.</t>
  </si>
  <si>
    <t>Way of Twins</t>
  </si>
  <si>
    <t>You can split yourself into two separate individuals; each resembles a martial artist, one in a red outfit and one in a blue outfit. Each twin identifies herself with half of your first name.
Each half of yourself acts as an autonomous and independent individual, yet both of you have a subtle mental link that encourages each of you to instinctively take actions that fuse well together, as if you are two arms of a single person. Items currently held and worn by you are duplicated for each twin, but they will turn either blue or red. Powerful and rare items are not copied, and instead end up on whichever twin would be more compatible with it. Your overall power level is halved between the twins, and perks are generally divvied up between the two twins; however, all powers that can be construed as martial arts are copied and shared between the twins, and the power requirements for such attacks are halved. If a twin dies, it seemingly vanishes into nothing, leaving only your other half behind (and whatever powers and items the twin had do not return to you). A half hour after disappearing, the killed twin returns, but only to merge back with you into a single person. Once you are back together as one, the twin’s items and powers reappear, making copies merge back into singular powers and items accordingly. If a twin has been killed, the splitting ability cannot be used again for a week. Also, each twin is unable to use the splitting part of the perk on herself.</t>
  </si>
  <si>
    <t>A Pinch of Pixie Dust</t>
  </si>
  <si>
    <t>Huniepop</t>
  </si>
  <si>
    <t>Well, would you look at that! It seems that you aren’t human after all, but a Love Fairy like me! It’s a pretty sweet gig, giving you a whole host of neat toys to play with. For starters, those wings on your back aren’t for show. You can fly with them, though it might take a bit of practice. You can disguise yourself with glamor, giving yourself a nondescript if still quite sexy form while hiding your inhuman features, or even hiding yourself entirely from anyone you don’t want seeing or hearing you, though they will still react if you walk up and touch them, or if you decide to play poltergeist. Beyond that, you are naturally talented at spreading love in all its forms, be it through helping estranged family members reconnect or something much funner like turning a virgin loser into a walking babe magnet.</t>
  </si>
  <si>
    <t>Arsexnal of Weapons</t>
  </si>
  <si>
    <t>The body of a Monster Spawn tends to be kinda fucked up. Very chimera like, a few traits from one animal, some from another, and probably none from homo sapiens sapiens. You on the other hand, hit the fucking jackpot. You've got a handful of sex based powers, such as a large number of tentacles, an aphrodisiac breath weapon, a small pocket dimension inside your body to hold girls while you rape them, or near infinite cum production paired with addictive cum. Pick and choose whatever you want, but no more than three.</t>
  </si>
  <si>
    <t>Dulce Queen Bee</t>
  </si>
  <si>
    <t>Dulce Report</t>
  </si>
  <si>
    <t>Of course, I never said you were the queen, now did I? Don’t worry, you are now. In this form, you become an 'Angel Queen', a futanari with the ability to create lesser 'Angels' and 'Drones' through a genetically mutagenic addition to your cum that you naturally produce. New 'Angels' are transformed, with women growing a dick and men growing both boobs and a vagina, and gain the ability to create 'Drones', whilst said 'Drones' simply become controlled workers of the hive.
More to the point, whenever you alter someone genetically - like using this form's transformative properties - you may their mind will be altered to be loyal to you. This applies even if you aren't in this form. When your victim first sees the rape coming I’m sure they’ll panic, but after the third round they’ll likely be thanking you for blessing them with such an amazing new limb.</t>
  </si>
  <si>
    <t>Hollow Body</t>
  </si>
  <si>
    <t>Your body can make itself hollow, allowing you to open up and have someone else enter you and wear you like a suit despite any incongruities in size. There will be no sign that there is someone inside you unless they actively attempt to push against your skin. You are in full control of who is controlling your body while like this and can exhibit the full strength of both of you combined. You can also shapeshift to match your wearer and retain this form when they leave, adding it to your array of alternate forms, and you can even shapeshift your wearer to match you instead, which is how they will stay after they leave you.</t>
  </si>
  <si>
    <t>Metal Maiden</t>
  </si>
  <si>
    <t>PanzerWaltz</t>
  </si>
  <si>
    <r>
      <rPr>
        <sz val="13"/>
        <color theme="1"/>
        <rFont val="Calibri"/>
        <family val="2"/>
      </rPr>
      <t xml:space="preserve">You can turn into the human embodiment of a WW2 tank! Your skin is tough enough to laugh at small to medium gunfire and eat high-velocity, armor-piercing shells to a limited degree. You move witht he speed and mass of a multi-ton warmachine. You’re strong enough to carry around dozens of tons of ammo and gear without any strain at all in the from of your tank attire, that gives you your weaponry and additional defence. Without it on you look just like a normal girl.
When you purchase this perk, choose an actual WW2 tank to embody. Light tanks are fast, mediums are generalists, heavies are 'tanks', light armoured vehicles come with chibi yous with rifles, anti-tank guns are pure firepower, and self-propelled guns are similar to snipers.
This comes with a limited supply of, well, </t>
    </r>
    <r>
      <rPr>
        <i/>
        <sz val="13"/>
        <color theme="1"/>
        <rFont val="Calibri"/>
        <family val="2"/>
      </rPr>
      <t>supplies</t>
    </r>
    <r>
      <rPr>
        <sz val="13"/>
        <color theme="1"/>
        <rFont val="Calibri"/>
        <family val="2"/>
      </rPr>
      <t xml:space="preserve"> to ensure your ability to function, refilled as normal.</t>
    </r>
  </si>
  <si>
    <t>Savage Strength</t>
  </si>
  <si>
    <t>You are an edifice of rippling muscle, your body built for conquest and domination, far bigger, stronger, and tougher of others of your kind. This perk acts as a modifier you can apply to all your forms, growing you to as much as twice the size of that form's base. Such raw power is incredibly intimidating all by itself, and you can easily bully cowards and weaklings into submission simply by virtue of your greater physical abilities. But you aren't some dumb brute whose size and strength is a double-edged sword: when wielding your impressive endowments you can always limit how much damage you inflict, whether you’re clubbing a princess upside the head before taking her home or stuffing her full of a cock that’s far too large for her tiny body.</t>
  </si>
  <si>
    <t>Slime Body</t>
  </si>
  <si>
    <t>Mage Kanade’s Futanari Dungeon Quest</t>
  </si>
  <si>
    <t>Squish Squish~. At will, you can melt your body down into a viscous liquid, traditionally slime but maybe it's some kind of weird liquid latex? In any case, you can shape this substance into various shapes, from tentacles to cubes and even form small slimes to do your bidding. These creatures are unique compared to ‘normal’ slimes, in that they feed off sexual fluids, processing it into nutrients and magical energy for you, their beloved mother. If you already happen to be some form of slime-being, this perks strengthens your natural abilities even further, allowing you to control your size by storing away your mass for future use, as well as amplifying your control over your body.</t>
  </si>
  <si>
    <t>From generic succubi, to creatures embodying specific fetishes, sex demons are possibly the strongest type of monster in this world. They are naturally capable of wielding magic, and their strength only grows as they partake of and are surrounded by lust. From body control, to mind control, to subtler charms, to attribute exchange, to illusions, to possession, such demons are capable of doing right about anything that might get someone off, assuming they've fucked enough people to gather the required energy. The well of power available to them with enough sex does mean they're also capable of more practical magic, such as giving summoners immortality by having them suck down cum laced with life energy or incredible power by turning them into sexy monstergirls. Well, relatively practical. In any case, you can count yourself among them. On top of all that, you can if you desire to do so declare yourself a succubus belonging to a specific fetish. In addition to enhancing your abilities within that fetish, you can ambiently draw power from it. For a shemale succubus, merely being near someone fantasizing about that sort of thing can be very empowering.</t>
  </si>
  <si>
    <t>Wet Dreams</t>
  </si>
  <si>
    <t>Congratulations, you’re no longer an ordinary human but are instead a member of a species that was almost entirely warped into a new form by the breaking of the barrier tablet - a Dream Pixie. Because of this, you now have a truly absurd level of control over the realm of dreams. You can do almost whatever you want while inside of one - change your shape, voice, scent, warp your surroundings, take control of the “bodies” of the dreamers, and even erase all memory of what you did to them while they were sleeping. You can also establish communal dream realms, places where multiple people have the same dream, or force small parts of your actions to echo into the real world. Something like training a delicious looking boy’s ass to take the biggest cocks possible and having him slowly acquire that skill even in the waking world would be more than appropriate.</t>
  </si>
  <si>
    <t>What Does it Mean to be a Dragon?</t>
  </si>
  <si>
    <t>Defiler Wings</t>
  </si>
  <si>
    <t>Wings, claws, teeth, breath of fire, those traits that go down in legend as what it means to be a dragon. You, are no different. Choose three of the following (yes, you can choose the same option more than once): Grow a new head, recieve an additional breath weapon, increase your size from dog to bull or bull to house, gain gills, grow your wings for greater speed or distance.</t>
  </si>
  <si>
    <t>Womb-Augmented Bioengineered Baby Induction Test</t>
  </si>
  <si>
    <t>Haramase Simulator</t>
  </si>
  <si>
    <t>Or a W.A.B.B.I.T. for short. While the HFF has done a good job repopulating the planet using its current methods, the use of bioengineered artificial life-forms promises faster recovery and insurance should another gender-disaster happen again. Being one of the first fully-functional prototypes yourself, you have been engineered to near-perfection. 
The best genetic traits of mammalian reproduction the animal world has to offer were taken and adapted for use in human embryogenesis, making you hyper-fertile when it comes to having multiplets, always having twins or greater. Additionally, your body is incredibly warm, your skin unbelievably soft, your milk amazingly delicious, amongst other improvements. 
Of course with such extensively spliced DNA, it was inevitable that other traits would be transferred as well. Most obviously the cute fluffy bunny ears and tails. But aside from those you also have inhuman speed and strength sufficient to jump onto buildings, heightened pain tolerance and constitution, greatly enhanced eyesight, and increased retention speed. You also have the ability to, if you wish, synchronize with and imprint on a partner. This would allow you to surpass even the most optimistic projections for litter sizes... in return for an addiction to his semen and your body rejecting attempted conception by anyone else.</t>
  </si>
  <si>
    <t>Angel off Your Shoulder</t>
  </si>
  <si>
    <t>Ane Naru Mono</t>
  </si>
  <si>
    <t>The you from before you began to learn about humanity, and the you after… It’s like they’re completely different people! Wait, did you just split in half? Anyways, you can now split yourself into two people - for now. One of them encompasses your humanity, and the other your monstrous nature. As you continue in your adventure, you may find yourself with a third form and therefore a third self, and so on. Now, you are not a hivemind. Each of you is separate from the others, though they are all but completely identical, with only a small change in personality and maybe style of dress to differentiate them. If you’re paranoid about the idea, each version of you is incapable of harming the others.</t>
  </si>
  <si>
    <t>Anthro-fy</t>
  </si>
  <si>
    <t>Neon Dreams of Organic Toys</t>
  </si>
  <si>
    <t>You are able to grant more humanoid alt-forms to any of your animal followers or companions, as well as create more humanoid versions of existing animalistic alt-forms that you or your companions have acquired. These can be kemonomimi, full-on anthro, anything in-between, and all of the above. If they weren’t already intelligent, they gain human-level intelligence.
These alt-forms are granted in addition to the subject’s base form and you can grant multiple alt-forms as long as each is noticeably different.</t>
  </si>
  <si>
    <t>Facehugger</t>
  </si>
  <si>
    <t>Generic: Monster Fucker/Horny Horror</t>
  </si>
  <si>
    <t>You are one, but you are also many. Your core is powerful, but your limbs uncountable. Yours is a mind that controls more bodies than one. Produce your drones, and unleash the swarm. 
You have the ability to produce small drones that are like a lesser form of yourself; imps to your devil, phallic invertibrates to your chittering alien. These drone will possess a fraction of the physical abilities of the form they mimic, as well as capabilities similar to those that the form possesses, plus weakened versions of any especially thematically appropriate perks you have. They have no true individuality, and are instead branches of a hivemind with you in the center. Your drones are yours to command with but a single thought, transferring sights, sounds, and all sorts of sensations back to you if desired. You can make physically male or female drones, though it’s your decision how important that is (i.e. what kind of hierarchy or dimorphisms they have). The drones will not disappear if you change forms, though the connection will be more vague.</t>
  </si>
  <si>
    <t>Animal-Youkai Ascendance</t>
  </si>
  <si>
    <t>Japanese mythology has some supernatural tales about local critters like otters and, saying they could even become ghosts or youkai. And, as it turns out in the manga, those stories are true! 
Your various forms now have the potential to ascend into a supernatural youkai/ghost upgrade of their original forms – and, interestingly enough, these youkai forms strongly resemble those of cute animal girls, such that even the Director could mistake you for a kemokko. 
Your youkaification, empowered by you absorbing supernatural mana from the world, accelerates the longer (cumulatively) you’ve been alive in the form. You can also gain mana to accelerate the transformation by praying nightly to the stars, and especially by having sex with others. Of course, once you become a youkai equivalent, you can still shift back to your original form when you want.
Even after you become a youkai, mana will come in handy. For instance, mana can heal your body and let you live longer. So make sure you make plenty of love mana~! It’s even said that youkai can suck the souls out of victims if they really want to, but that’s surely a myth, right? ...Right?</t>
  </si>
  <si>
    <t>Bringer of the Apocalypse</t>
  </si>
  <si>
    <t>How Not to Summon a Demon Lord</t>
  </si>
  <si>
    <t>Sometimes raw power just isn’t quite enough. Or maybe you’re just sick and tired of larger creatures like dragons belittling you. For those that have ever thought (or shouted) “That’s it! Everybody dies!” at least once in their career, this is the perk for you. You now have a Final Form which you can assume when you want to lay waste to everything around you. While the specifics of this form’s appearance are up to you, it will always be some kind of giant monster at least 200-300 feet tall, or else adding 200-300 feet to your current height if your normal size is larger than that. While you’re in this form the scale of your attacks (as well as their energy cost!) is ratcheted up proportional to your size increase, allowing you to lay waste to armies even with simple fireball spells. Take care however: this form is an expression of your full power unleashed, and as such it is very difficult (though not impossible) to restrain your power in this form. Be mindful of collateral damage and friendly fire.</t>
  </si>
  <si>
    <t>Cure for Monsterdom</t>
  </si>
  <si>
    <t>You can’t bring King Kong back home to meet your folks. Unless... you used this vial of strange liquid on him first. Any monstrous being who drinks this will gain the ability to transform into a human. They’ll lose any powers based on their body but be able to switch back and forth at will. Plus not only is their human form guaranteed to be a 10/10 at least, their monster form will seem more virile and sexual when they return to it. You get a new vial a week after using the last one.</t>
  </si>
  <si>
    <t>Demonhood</t>
  </si>
  <si>
    <t>Corruption of Champions v1.1</t>
  </si>
  <si>
    <t>The tribe of mages that would eventually become the demons sought ever more power and pleasure, and they found what they searched for in their magic. They twisted themselves into something demonic in doing so, but by giving up their souls they gained an energy source beyond compare. Devouring their own crystallized souls, they grew in might and sensuality far beyond the mortal human mages they once were.
Even 'common' succubi and incubi are great threats to their opponents, but you are not common by any means. As one of the more powerful demons, you consumed your own lethicite and gained great magical power from the act. Whether it manifests in greater ability to alter your body and shapeshift than most demons enjoy, some special power like telepathy or a breath of hellfire, the ability to more easily alter and enhance creatures with your power, some slightly diluted combination of these, or simply a boost to the raw power of your spellcasting, you share in the power of Lethice’s greatest.
Besides that, you also wield the more common abilities of full demons. Your body is more malleable to your desires than that of any mortal, more pleasurable, and hot as hell besides. Obviously, it is impossible for anyone to further corrupt you in any way, as you are already fully corrupted, even though your mind remains your own and likely clearer than the vast majority of demons. You retain whatever measure of conscience and restraint you had before, meaning you have much less difficulty with empathy and focusing on long-term goals compared to most demons. Additionally, while it’s impossible for most soulless beings to create new souls, you keep the ability to have proper children instead of only ever spawning imps as most demons do. But all the same, your body fluids and even mere presence could slowly corrupt people if you wish. You could use this to grow even further in power if you wished, consuming the lethicite of those you cause to fall into corruption.
If you wish, you may give up the increased magical power in return for keeping your own lethicite as an item. Perhaps you have another use in mind for your crystallized soul than merely empowering yourself? Powering an exceptionally mighty magical item for example.</t>
  </si>
  <si>
    <t>Form Blending</t>
  </si>
  <si>
    <t>Celestial Bordello</t>
  </si>
  <si>
    <t>You will gain a great many alternate forms in your time with the Celestial Bordello, Master/Madame, and this will let you take that one step further. Instead of being 'on' or 'off' each of your alternate forms have sliders that you can now adjust. Take the skin of one, the legs of another, the genitals of a third, the size of a fourth. You can now freely blend the attributes of all your forms and, even better, this is a power that can be trained. With enough experimentation and training, your body will be free to express any and all traits that your different forms make available to you at once.</t>
  </si>
  <si>
    <t>Going Ghost</t>
  </si>
  <si>
    <r>
      <rPr>
        <sz val="13"/>
        <color theme="1"/>
        <rFont val="Calibri"/>
        <family val="2"/>
      </rPr>
      <t xml:space="preserve">Another common power but one with far more potential for abuse. If the Ranma Special was all about having fun with your own body, this one is all about having fun with others. You have the ability to enter a spirit body-like state. Whether this be from astral projection or your body physically turning ghostlike is up to you. In this state, you can enter the bodies of other people in order to possess them, hijacking control of their body.
Your spirit form is extremely malleable, to the point that you can actually split it into multiple parts so long as you have the sufficent mystic might. Each part is still innately your own soul, allowing you to retain full control over all of them. Using these split parts, you can possess multiple people, or possess someone remotely while you remain in your own body.
Of course, despite hijacking a body, you don't want to have to do </t>
    </r>
    <r>
      <rPr>
        <i/>
        <sz val="13"/>
        <color theme="1"/>
        <rFont val="Calibri"/>
        <family val="2"/>
      </rPr>
      <t>everything</t>
    </r>
    <r>
      <rPr>
        <sz val="13"/>
        <color theme="1"/>
        <rFont val="Calibri"/>
        <family val="2"/>
      </rPr>
      <t xml:space="preserve"> for them, do you? Sometimes it’s nice to let them take the reins while you act as a mere spectator, posing suggestions as you will. You can choose how much control you have over your target's body, ceding control of the rest of it to the original occupant. If you wanted, you could fade into the background entirely, becoming a voice in their subconscious. They would follow your suggestions without even realising that it wasn’t their idea in the first place.</t>
    </r>
  </si>
  <si>
    <t>Lover's Den</t>
  </si>
  <si>
    <t>Boku To Nottori Nakademia</t>
  </si>
  <si>
    <t>This room comes equipped with all the mood-enhancers you’ll ever need, such as candles, rose-petals and aphrodisiacs, along with a whole walk-in closet of sexy outfits and sex toys, from dildos, onaholes and vibrators to elaborate fucking machines and electro-stim devices. It’s also completely soundproof, so feel free to go wild!</t>
  </si>
  <si>
    <t>Perfect Partner</t>
  </si>
  <si>
    <t>Generic: Lewd</t>
  </si>
  <si>
    <t>You transform yourself into someone’s idealized lover. This alters both your body and (if you wish) personality. This ability can give you any number of unusual powers and improved capabilities to fulfill a fantasy, but offers less benefit in those areas where you already possess exceptional traits. You may only benefit from such improvements as long as you use them for the sake of pleasing your partner.</t>
  </si>
  <si>
    <t>Phantasmal Beast Form</t>
  </si>
  <si>
    <t>Well, I did say that horses were the ultimate expression of lust... that mortals could reach. If you aren’t mortal, then you could obviously go much higher. Your physical parameters are boosted in a similar manner, though not quite to the same extent. No, the real prize here is something beyond raw physical appeal. Power. Magical power, to be precise. Maybe you’re a Demonic Boar, corrupting the land around into a lewder version of itself, or a mechanical monstrosity that has absolute control over its progeny. Maybe you’re a Bicorn with two horns, two cocks, and hypnotic talent, or one of Tiamat’s favorite children, a Lahmu, able to warp the flesh and mind of those you touch. Or... maybe your magical power takes the form of even more physical prowess, lacking any bits and bobs or other uses. That would certainly be valid, if somewhat boring.</t>
  </si>
  <si>
    <t>Puppet Master</t>
  </si>
  <si>
    <t>Here it is, the Quirk that started this entire debacle. Your body is made up of a viscous dark-blue gel, capable of taking hits from a normal human without effect but splattering when it goes up against a real threat. Its true power is the ability to hijack the bodies of females by physically inserting your gooey form into their various orifices and turning them into your puppets. Naturally, this feels incredibly pleasurable for all parties involved. You actually have two methods of doing this, based on the two main interpretations of the villain’s quirk in the original Doujin.
The first method is to simply use them as literal puppets. All you have to do is get rid of the original owner’s personality and go from there! You’ll have access to any and all of their memories when you wish, to better let you blend in, and there’s nothing they can really do about it as you play with them as you see fit. The main limitation of this method is your multi-tasking ability. You’ll have to control all of your bodies without any support and that can be a real headache.
The second method is to lean on what’s already there. Instead of getting rid of the original personality, you suppress it while inserting a linked copy of yourself into the driving seat, relying on the host’s memories and skills to act as them. This can cause a bit of bleedthrough if you're not careful. Not in morals or goals, but something like Likes, Dislikes...or a secret crush, are totally possible. The main limitation of this is your own willpower, as the bleedthrough from your puppets affects your main body more and more, but surely you’ll be fine. As a bonus, this method will let you have conversations with yourself to help you come up with plans!</t>
  </si>
  <si>
    <t>Sekeri Form</t>
  </si>
  <si>
    <t>Sekirei</t>
  </si>
  <si>
    <r>
      <rPr>
        <sz val="13"/>
        <color theme="1"/>
        <rFont val="Calibri"/>
        <family val="2"/>
      </rPr>
      <t xml:space="preserve">You have the ability to turn into a Sekeri. You are incredibly beautiful and have a superhuman physique, as well as a power specific to you. This can be mastery of a particular weapon, control of an element, a mental power of some sort, or the ability to construct advanced technology. Whatever it is, it can be driven to incredible heights through your Norito, which requires you to kiss your Ashkabi and recite its words*. What's an Ashkabi?
Sekeri are creatures of love. It is a part of their fundamental nature to love fiercely and totally, the emotion being all-consuming to them. As you (probably) aren't natively a Sekeri, you will have the perspective to temper this, but it will nonetheless be intense. And this love will be for your Ashkabi. Each Sekirei can react to a certain person; drawn by something akin to love at first sight, but far deeper. Should they then be kissed they will become Winged, and this feeling will blossom into love for their Ashikabi. Notably, they </t>
    </r>
    <r>
      <rPr>
        <i/>
        <sz val="13"/>
        <color theme="1"/>
        <rFont val="Calibri"/>
        <family val="2"/>
      </rPr>
      <t>can</t>
    </r>
    <r>
      <rPr>
        <sz val="13"/>
        <color theme="1"/>
        <rFont val="Calibri"/>
        <family val="2"/>
      </rPr>
      <t xml:space="preserve"> be winged by someone they do not react to, but this will not dampen their love one whit. Your Ashkabi will not change should you leave and return to your Sekeri form, so choose well.
*Norito prayers generally take the form of '[word representing unique power] of my [pact/pledge/vow], [implementation of unique power eliminating an impediment] of my Ashkabi!' For example: </t>
    </r>
    <r>
      <rPr>
        <i/>
        <sz val="13"/>
        <color theme="1"/>
        <rFont val="Calibri"/>
        <family val="2"/>
      </rPr>
      <t>This water represents my pledge. Purify the evil residing in my Ashikabi!</t>
    </r>
    <r>
      <rPr>
        <sz val="13"/>
        <color theme="1"/>
        <rFont val="Calibri"/>
        <family val="2"/>
      </rPr>
      <t xml:space="preserve"> Or </t>
    </r>
    <r>
      <rPr>
        <i/>
        <sz val="13"/>
        <color theme="1"/>
        <rFont val="Calibri"/>
        <family val="2"/>
      </rPr>
      <t>Hammer of my pledge, shatter the enemy of my Ashikabi!</t>
    </r>
  </si>
  <si>
    <t>It’s a Straight Line Once You Fall in Love!</t>
  </si>
  <si>
    <t>Of course we need to at least give you this much! Even if sex wasn’t an already physically demanding activity, this isn’t just about sex—it’s about sex as a sport, and there’s no such thing as an unfit athlete... at least, not one who succeeds, at any rate. You are quite physically fit—nowhere near peak human, but more along the lines of what you’d expect of a college sports star (although this doesn’t give the athletic skill needed to actually be one).</t>
  </si>
  <si>
    <t>Chi: The Basics</t>
  </si>
  <si>
    <t>Mind Control University</t>
  </si>
  <si>
    <t>When it comes to chi, effort and training are king. No matter how weak you begin, if you put in the work, there will be no heights beyond your reach. But just because being talented isn’t as important as working hard, it doesn’t mean that starting weaker than the norm isn’t a setback, especially in a place like MCU. 
Any physical disabilities you possess are done away with, your body is conditioned as if you got at least an hour of exercise every day, and you gain basic proficiency and average talent in manipulating chi, though you’ll still be a very long way from manipulating any chi but your own. You know a very basic, low-intensity kata to promote chi growth. With just this, you won’t be the best in the class, but your talent in the field of chi manipulation will at least be average.</t>
  </si>
  <si>
    <t>Corruptive Stretchiness</t>
  </si>
  <si>
    <t>One of the earliest and, in this world, most ubiquitous signs of corruption is the sheer stretchiness of people’s bodies and ability to take insertions that shouldn’t be possible without serious harm. Getting your internals rearranged by two feet of minotaur might still hurt the first time, but it wouldn’t be dangerous to your health, despite what biology might’ve dictated before you set foot in Mareth.
Your body is more elastic in general now, able to distend to accommodate incredible sizes and then recover (to a point; repeating this often enough can certainly leave your body looser and more accepting than before), your stomach able to round out from the sheer amount of cum supplied by the more productive people of this land. And it’s not just yourself, as your sexual partners experience the same thing if you take a more giving role during sex, allowing your own endowments to have a similar effect as your partners stretch around you instead of coming to any actual harm. Of course, there are still limits to this. Tiny fairies or small goblins aren’t going to be able to take dicks bigger than their entire bodies...at least not without working their way up to that with a lot of practice and effort.</t>
  </si>
  <si>
    <t>Darling Face</t>
  </si>
  <si>
    <t>You have a face for almost every situation. A face of overwhelming obliviousness as it would happen to be. You’ll rarely ever be called out for having the wrong expression at the wrong time unless that was your plan to begin with. Colorless spiral eyes are optional and no one will question them.</t>
  </si>
  <si>
    <t>Fairy-Blessed Clothes</t>
  </si>
  <si>
    <t>You’re probably about to spend a lot of time getting your clothes torn off of you but this outfit is blessed by a great fairy and made tough enough to handle all of the abuse that Hyrule can throw at it and then some. The fairy’s blessing makes this outfit extremely durable against battle damage and all sorts of misfortunes that might befall you. Simply rinsing the outfit in water can clean it of the toughest stains, and if it gets torn apart it will mend itself automatically. It even carries the added benefit of accentuating your best features and highlighting your sex appeal, like a good set of lingerie, making you seem even sexier than you would normally be while wearing it.</t>
  </si>
  <si>
    <t>Lewd Wrestling Outfit</t>
  </si>
  <si>
    <t>Gensoukyou Futanari Chinpo Wrestling</t>
  </si>
  <si>
    <t>Most contestants wear custom outfits specialized for ease of movement and stoking their opponent’s libido. Now you have one too! The exact appearance of the outfit is up to you, but I’m sure it’ll drive your opponent (and the crowd) utterly wild.</t>
  </si>
  <si>
    <t>Chrome Curves</t>
  </si>
  <si>
    <t>World of Cybersluts</t>
  </si>
  <si>
    <t>People get augmented for a variety of reasons. People do still get cyberware to replace missing or damaged body parts, but these days there are many more who get augmented simply for the practical benefits offered by cybernetics. Corps mandate them to improve their employees’ efficiency, mercenaries install combat-grade augments to make themselves deadlier, and some people get them simply as fashion statements. 
Regardless of what your own reasons are, people looking at you might think you got your cyberware just because of how good it looks on you. Your cybernetics and other alterations to your body are always seen in an aesthetically pleasing light, the obvious metal parts just magnifying your natural beauty further. Even a basic cyberlimb would look better on you than it should, turning someone with plain looks into a cybernetic beauty, while more stylish or extensive augmentations will further increase the effect. At the very least you’ll never need to worry about unintentionally turning people off with your fondness for chrome.</t>
  </si>
  <si>
    <t>Consenticles</t>
  </si>
  <si>
    <t>World of Tentacles</t>
  </si>
  <si>
    <t>Look, just because you’re an eldritch horror made of sin and debauchery doesn’t mean you can’t have emotional needs too. Thanks to this perk your monstrous appearance is no barrier to finding willing partners. So long as you aren’t acting in a monstrous or frightening way, people will tend to respond with fascination and curiosity rather than fear or disgust to any alien or inhuman forms you possess. Small children might look at your many tentacles and see a jungle gym in the making, while schoolgirls and housewives might find themselves wondering what your hugs feel like or fantasizing about bearing your children.</t>
  </si>
  <si>
    <t>Coordination</t>
  </si>
  <si>
    <t>The Legend Of Queen Opala</t>
  </si>
  <si>
    <t>Rosie Palms aside, you'll probably want a partner or two (or three, or ten) to really make your stay in this world the best experience you can have. Sadly, it can be quite tricky to coordinate your sexytimes with all these people. No more! This perk allows you to increase or decrease the sensitivity of both yourself and anyone you're fucking such that everyone gets to climax at the same time.</t>
  </si>
  <si>
    <t>Cute &amp; Sexy</t>
  </si>
  <si>
    <t>Generic: Loli</t>
  </si>
  <si>
    <t>Normally, cute and sexy exist on opposite ends of a spectrum; no so with you. You have an universal affinity for mixing cute and sexy without reducing either trait. It can apply to your physical form, your clothing choices, and more.</t>
  </si>
  <si>
    <t>Dignity Protector</t>
  </si>
  <si>
    <t>Ashigei Shoujo Komura-san</t>
  </si>
  <si>
    <t>A fairly standard pair of short spats. Aside from yourself, those who see or wear these spats won’t see them as any more inappropriate than regular pants, even if there’s a clearly visible cameltoe or bulge underneath.</t>
  </si>
  <si>
    <t>Enchanted Schlong</t>
  </si>
  <si>
    <t>Sometimes, you just need to subjugate your foes personally. This magical lingerie ensures you always have the right equipment... as in, it causes anyone who wears it to grow a cock of their desired size and appearance. Yes, you can wear this as a man and find yourself with two cocks for double the fun. You can choose whether or not you’ve got full sensation over your dick or if it’s simply a very realistic toy.
Comes in confident black with a skull motif, unless you're one of those worthless fools who need to be taught the real meaning of authority (in which case it's a lacy thing that comes in innocent white or pink).</t>
  </si>
  <si>
    <t>Indestructible Undergarments</t>
  </si>
  <si>
    <t>Kamikaze Kommittee Ouka</t>
  </si>
  <si>
    <t>I have no idea what these things are made of, but you literally can’t destroy them. It makes good attire to censor those naughty bits if your regular clothes are destroyed. It comes in whatever design of undergarments you prefer.</t>
  </si>
  <si>
    <t>Ovipositor</t>
  </si>
  <si>
    <t>Generic: Lewd Science Fiction</t>
  </si>
  <si>
    <t>Implants your fertilized eggs into...something. Could be a spear cock to stab into hapless prey for your young to eat when they hatch, or it’s a regular cock you can use to transfer a fertilized egg from your body into another female’s womb. This trait requires you to be a female or hermaphrodite. You can hide this if you want.</t>
  </si>
  <si>
    <t>Pantsu</t>
  </si>
  <si>
    <t>Generic: Incest</t>
  </si>
  <si>
    <t>An absolute treasure-trove of adorable panties, roughly 50% of them bear a cute, chibi-fied image referencing a moment from your past adventures. As you continue on, more panties will spawn in this package referencing those new adventures. The other 50% bear images or patterns custom designed to make you look as cute as possible!</t>
  </si>
  <si>
    <t>Reproductive Control</t>
  </si>
  <si>
    <t>Bible Black</t>
  </si>
  <si>
    <t>This is a lewd world. Sex and violence are stuff you will have to face here, especially the sex. We wouldn’t want you to have any accidents along the way. Or maybe you do? Either way, you will gain complete control over your reproductive system to the point of making yourself selectively fertile/infertile. Ladies get the added bonus of having little to no painful symptoms from their menstrual cycle and/or the ability to suspend it altogether. You’re also immune to sexually transmitted illnesses (STIs).</t>
  </si>
  <si>
    <t>Responsiveness</t>
  </si>
  <si>
    <t>While, of course, you’re not expected to know anything about matters sexual, your body was clearly made for it, because it is exceptionally ready for it. Easily aroused, responsive to pleasure, and blessed in all the little ways that make having sex with you a joy even if you just lay there. Your body odor isn’t just non-offensive, it’s actually slightly aphrodisiac to your partners.</t>
  </si>
  <si>
    <t>Smug Bitch</t>
  </si>
  <si>
    <r>
      <rPr>
        <sz val="13"/>
        <color theme="1"/>
        <rFont val="Calibri"/>
        <family val="2"/>
      </rPr>
      <t xml:space="preserve">You just radiate smugness and arrogance. Whether it’s a perfect smile dripping with smugness, a haughty arrogant laugh, a way with words, or just your body language screaming your superiority you possess all those traits and more. You are one smug bitch and you embrace it to the fullest...but if you </t>
    </r>
    <r>
      <rPr>
        <i/>
        <sz val="13"/>
        <color theme="1"/>
        <rFont val="Calibri"/>
        <family val="2"/>
      </rPr>
      <t>really</t>
    </r>
    <r>
      <rPr>
        <sz val="13"/>
        <color theme="1"/>
        <rFont val="Calibri"/>
        <family val="2"/>
      </rPr>
      <t xml:space="preserve"> want some time off, you can toggle these effects off.</t>
    </r>
  </si>
  <si>
    <t>Suck on Deez</t>
  </si>
  <si>
    <t>Burakku Gakkou Ni Tsutomete Shimatta Sensei</t>
  </si>
  <si>
    <t>Well, it turns out that you probably wouldn’t mind sucking on deez nutz, because your tongue, mouth, lips, and throat are now erogenous zones. You get real sexual pleasure from using your mouth—even more than you’d get from actual sex. You could be perfectly fine sucking guys off without anyone ever sticking it in your pussy, because your mouth would just feel that much better.</t>
  </si>
  <si>
    <t>Windows to the Soul</t>
  </si>
  <si>
    <t>The eyes have always been known as the windows to the soul, and there is very good reason for that. Yours in particular have a more direct link to your soul than most. Enough so that you can light up the centre of your eyes with an otherworldly glow. No matter what body or form you are in, you can make either the iris or pupil of your eye glow with a certain colour. Those that glimpse this light will know that you are something other, something supernatural.</t>
  </si>
  <si>
    <t>Yummy</t>
  </si>
  <si>
    <t>Victim Girls (Veronica Edition)</t>
  </si>
  <si>
    <t>Not every guy’s gonna look at you as a useless bit of fuckmeat. Sometimes they really do just want to bite down and tear a chunk off you. It’s not your place to get in the way of their desire, the least you can do is make it all the more pleasant. Every part of you is delicious. A lick of your skin might be a sweet sugar or a lovely cinnamon, your soft meat juicy and tender to the taste. Even if your partner isn’t out for dinner, you’ll always smell welcoming and be all the more fun to kiss. And if they are, you’ll find that the process of being prepared and devoured is a pleasure like nothing else.</t>
  </si>
  <si>
    <t>"Armour"</t>
  </si>
  <si>
    <t>Kuroinu</t>
  </si>
  <si>
    <t>Covering only about as much as underwear would, can something as skimpy of this could even be called armor. Nonetheless it seems that while wearing this you are as protected as if you were wearing finely made plate mail.</t>
  </si>
  <si>
    <t>A Kitten in Heat</t>
  </si>
  <si>
    <t>You will always have a libido and the capacity to enjoy sexual stimulus, no matter your current form. As an additional bonus, you can switch your libido into overdrive like a cat in heat.</t>
  </si>
  <si>
    <t>A Natural High</t>
  </si>
  <si>
    <t>Lewd Virus</t>
  </si>
  <si>
    <t>Can you feel the heavy aroma of cock filling your nose and throat, drowning out your thoughts with the weight of desire? You gain a peculiar adjustment to your sense of smell; the scent of your preferred sex becomes both stronger and more sexually appealing to you. The smell from their groin is particularly strong, and serves as an aphrodisiac to the point that just burrowing your face into your partner’s crotch would be enough to give you a minor high. The effect is only increased with exposure to sexual fluids.</t>
  </si>
  <si>
    <t>A Tasteful Sash that Covers Nothing</t>
  </si>
  <si>
    <t>The Legend of Zelda - Alternate Destinies 2</t>
  </si>
  <si>
    <t>There are some races in this world that can barely be distinguished from the ever-common Hylians. Kokiri resemble nothing more than children, and nobody knows if the Sheikah are a genuine race or just a phenotype and a culture. That’s probably on purpose, knowing them. And there are those that are blatantly different, bordering on monstrous, such as the Goron or the Zora. So different, in fact, that they don’t even bother wearing clothing for the most part. Much like yourself, now. The more inhuman you are, the less you need to wear. If you had bright blue skin and a few fins sticking out of you like the Zora do, you could walk around while covering yourself with a tasteful but entirely too small sash that hides absolutely nothing. Or even less, though you might have to actually attempt to defend yourself by explaining that clothes are against your culture, especially when they aren’t volcano proof.</t>
  </si>
  <si>
    <t>All Day and All Night</t>
  </si>
  <si>
    <t>Mizuryu Kei Land</t>
  </si>
  <si>
    <t>I suppose it should go without saying that with literally dozens of opportunities to have sex just within sight, let alone within walking distance, that people who come here are prepped to go the mile. With that in mind, I grant you a body that won’t quit, and a sex drive to match it. While others can go for three or four rounds before needing a rest, you can go for something like thirty five. It’s not exactly infinite stamina, but you’ll be going at it long after the others have knocked themselves unconscious.</t>
  </si>
  <si>
    <t>All in the Artwork</t>
  </si>
  <si>
    <t>Feet aren’t for everyone. This perk’s job is to brush over the less… palatable elements, and generally make feet cuter and more appealing to all five senses. Fungus, calluses, dirt, scars, unappealing odors, etc. are all non-factors, unless it would contribute to the individual’s charm. One could walk barefoot, and short of trudging through the most obvious of filth, their feet would remain soft and clean enough to eat off of. Those who make extensive use of their feet in daily life will not be negatively affected by these changes. This won’t force you to find feet attractive if you had no such inclination, but this will hopefully make your time here more tolerable. This applies to you and those you choose to give it to.</t>
  </si>
  <si>
    <t>Alternate Beauty</t>
  </si>
  <si>
    <t>Merry Marry</t>
  </si>
  <si>
    <t>Maybe you were a looker before. Maybe you weren’t. The shinobi lifestyle does lend itself towards rippling muscles and hard bodies, and most kunoichi seem to lack a sense of shame. But, I digress. See, that’s not the point, especially since it shortly won’t matter. Instead, whenever you portray yourself as someone of the opposite gender from what you should be, you’re even more beautiful. Whether it’s getting forcibly genderswapped like Itachi or just flat out crossdressing, there seems to be a little something extra to your appearance.</t>
  </si>
  <si>
    <t>Arousing Fluids</t>
  </si>
  <si>
    <t>eratohoK</t>
  </si>
  <si>
    <t>The bodies of the sex demons from the Dream Dimension are designed for pleasure, and yours shares this characteristic. Your body fluids taste inhumanly good and act as a mild aphrodisiac, arousing people and heightening their sensitivity in proportion to how much they’ve come in contact with.</t>
  </si>
  <si>
    <t>Be the Alpha</t>
  </si>
  <si>
    <t>Destiny: Fuck the Darkness</t>
  </si>
  <si>
    <t>Large and in charge is nature’s way of telling you at a glance who’s the boss, and why should that be any different when we have equalizers like guns floating around as common as air? This Perk mildly boosts your charisma and dominance over anyone you are A) taller than, and B) more muscular than. Naturally, this also gives you a few extra inches where it counts.</t>
  </si>
  <si>
    <t>Beauty in Chains</t>
  </si>
  <si>
    <t>Generic: BDSM</t>
  </si>
  <si>
    <t>While being no less effective, any bondage or restraints applied to you make you seem sexier and, if practical, leave your body available for sexual purposes. This perk causes sex and bondage to go hand in hand for you: those putting you in restraints for any reason will be more inclined to add a sexual aspect, and those having sex will likewise be more likely to include some kind of restraint. In any case nobody will view any of this as odd.</t>
  </si>
  <si>
    <t>Bottomless Well</t>
  </si>
  <si>
    <t>Milk Hunters</t>
  </si>
  <si>
    <t>You can cum all day and have still have some left over. In addition to this, the size of your loads has increased by a good amount, being enough to completely fill up a tight, young pussy. If you wish, you can apply this power to other bodily fluids, such as saliva, blood, or breast milk.</t>
  </si>
  <si>
    <t>Brainless Brawn</t>
  </si>
  <si>
    <t>What were you when you got here? Some bounty hunter among the stars? A gallant knight on a quest? A soldier on some bizarre task away from the front lines? Whatever or whoever you’re supposed to be, you’re strong. You have well honed physical abilities for a human. You can lift more, run faster, and fight harder than others. What’s more, the more your blood flows down and your thinking dulls, the greater you become. In other words, horny brain strong.</t>
  </si>
  <si>
    <t>SUPER FATTY RPG</t>
  </si>
  <si>
    <t>This perk will ensure that you are never uncomfortable at any size, even in a body that might be considered more alive. Your weight will never press down like a boulder on your chest, and your assets will never sag regardless of size. In addition, if your breasts are filled with milk the soreness will be somewhat pleasant as well. Can be shared with others, if you're feeling generous.</t>
  </si>
  <si>
    <t>Damsel in Distress</t>
  </si>
  <si>
    <t>Earth Defense Team Star Guardians</t>
  </si>
  <si>
    <t>No matter what the bad guys do to you you’ll never break! Or at least that’s what you tell them while you put on a brave face, but actually your pain resistance isn’t all that great. So it’s a good thing that your captors seem to prefer to torture you with pleasure rather than more conventional methods. Instead of waterboarding or sleep deprivation or whatever other nastiness you might normally worry about, now it’s mainly going to be different kinds of bondage, edging, pleasure torture, and other kinds of BDSM fantasy scenarios. And this stuff you’re a lot better at resisting, at least enough that you can drag out a torture session for a good long time if you really want to.</t>
  </si>
  <si>
    <t>Delightful Punishment</t>
  </si>
  <si>
    <t>My Bride is the Demon Lord</t>
  </si>
  <si>
    <t>Sometimes you mess up and need to be punished. Sometimes that punishment takes the form of a spanking and getting your ass reamed. But for you, such a punishment might be considered a reward, because you have awoken to the wonderful interplay between pain and pleasure. Whenever you are subjected to any sort of pain, you may opt to experience it as pleasure—not instead of hurting, but in addition to it. Not everyone has the right attitude for BDSM, but with this, you can at least rest assured that painplay will always be enjoyable for you.</t>
  </si>
  <si>
    <t>Dickgirl Pirate</t>
  </si>
  <si>
    <t>Bloom Pirate Hooker</t>
  </si>
  <si>
    <r>
      <rPr>
        <sz val="13"/>
        <color theme="1"/>
        <rFont val="Calibri"/>
        <family val="2"/>
      </rPr>
      <t xml:space="preserve">I don’t know if this is something that every woman suffers from, or just a fact of life that has always been there. Regardless, you are now a futanari. Your choice on balls or not, but despite the blurring of genders, you’re fully functional as both a man and a woman. On top of that, you have the ability to sort of suck your dick back inside you, to better hide it. That said, if you get to horny it’ll pop back out without your permission. Have fun.
Of course, if you're a </t>
    </r>
    <r>
      <rPr>
        <i/>
        <sz val="13"/>
        <color theme="1"/>
        <rFont val="Calibri"/>
        <family val="2"/>
      </rPr>
      <t>guy</t>
    </r>
    <r>
      <rPr>
        <sz val="13"/>
        <color theme="1"/>
        <rFont val="Calibri"/>
        <family val="2"/>
      </rPr>
      <t xml:space="preserve"> and don't want to look all girly, I guess you could go sans-boobs. What would that even be? An Andro-nari?</t>
    </r>
  </si>
  <si>
    <t>Disguise Pen</t>
  </si>
  <si>
    <t>Submission Sailor Moon</t>
  </si>
  <si>
    <t>An old Senshi standby for whenever saving the day depends on a really good disguise, the Disguise Pen is one of Sailor Moon’s favorite tools and allows her to transform into various civilian outfits at will. These disguises are quite thorough, providing a full change of clothes, altering the user’s apparent age or other physical traits, and even bestowing mundane skills to better suit any intended roles, though this will only last until the transformation is undone and the level of skill gained is only on the level of an average adult professional. Of course the potential uses for sexy cosplay and other “unofficial” uses for such a neat little tool should probably go without saying, just don’t let Luna catch you abusing it.</t>
  </si>
  <si>
    <t>Easy Tanning</t>
  </si>
  <si>
    <t>Are you trying to be a kuro-gyaru with skin like that? Lololol, try again, fam. This perk’s got you covered; from now on, you’ll be able to easily tan your skin to
whatever shade of darkness you prefer, regardless of if you’re sunning outside or using a tanning bed. Even your covered skin can tan if you want it to, so you won’t have tan lines unless you actively want them. Also, tanning is perfectly safe for you, and poses no health dangers or risks of skin cancer or sunburn. Finally, your tan will stick around for as long as you want it without fading; this also means that if you want to go pale again, it will only take a week or so for the tan to fade away.</t>
  </si>
  <si>
    <t>Environmental Protection</t>
  </si>
  <si>
    <t>Pokemon Ecchi Version</t>
  </si>
  <si>
    <t>A Pokemon Trainer will encounter many things as they travel. Wind, rain, snow, sun, sand, and so on. You now have an immunity to any sort of environmental issues, whether that’s a blowing sandstorm or blizzard, burning heat or freezing cold, scorching sun or lack of it. You also won’t ever get dehydrated, though you can still get thirsty.</t>
  </si>
  <si>
    <t>Erogenous Amplification Matrix</t>
  </si>
  <si>
    <t>Carbon Pink</t>
  </si>
  <si>
    <t>This choker-shaped object amplifies all sensation from the neck down. Set it to fifty-x, take a shower and the first water droplet that touches your body’ll cause you to fill the bathtub with sexual fluids. For reference, it goes up to at least two-thousand-x</t>
  </si>
  <si>
    <t>Everyone's a Little Bisexual</t>
  </si>
  <si>
    <t>Generic: Doujinshi High School</t>
  </si>
  <si>
    <t>At least, when it comes to you. If someone only likes people of a certain gender, species, skin color, profession, and so on, they're willing to make an exception for you. On top of that, you and your partner won’t be discriminated against for these relationships.</t>
  </si>
  <si>
    <t>Extreme Pleasures</t>
  </si>
  <si>
    <t>People always say girls feel it more than guys, and however true that may be for other people, few people would feel as much pleasure as you do. Like lightning in your veins, fire through your blood, the pleasure you feel as you pleasure yourself in your body is enough to make one addicted. Not that you actually would get addicted. It is a rush that sends shivers down your spine and leaves you delirious from pleasure, as it would to any would-be possessors who were sharing the body. You can tone this feeling down if you wish.</t>
  </si>
  <si>
    <t>Feral Beauty</t>
  </si>
  <si>
    <t>Monster Hunter XXX</t>
  </si>
  <si>
    <t>Practically a necessity, Jumper, considering that you live in the wilderness bereft of the niceties of civilization, probably. Simply put, dirt, mud, inclement weather, a face covered in gore... none of these things will ever detract from your appearance. Further, you are now exempt from bathing, stenches, and other unpleasant biological functions. You do still need to eat though.</t>
  </si>
  <si>
    <t>Fishnet and Hoodie</t>
  </si>
  <si>
    <t>Naruto Blacked</t>
  </si>
  <si>
    <t>A distinctive outfit and combat gear is the most basic part of every ninja’s equipment loadout. For you that outfit is a mix of several different outfits ranging from a fishnet-like combat mesh to a large hoodie like the one young Hinata wears. Both are surprisingly decent armor for ninja stuff; they won’t protect you from a high-level jutsu but they work great against injuries from blades, shuriken, ninja wire, and other common ninja tools despite their skimpy (or not) appearances. Of special note, the fishnet mesh outfit is hilariously revealing despite still being functional armor, and the hoodie is hilariously concealing, allowing you to stuff some absolutely enormous tits and ass into it and pass yourself off as a plain Jane until you’re ready for the clothes to come off.</t>
  </si>
  <si>
    <t>Paccsu</t>
  </si>
  <si>
    <t>While the world of Paccsu is one of extremes in terms of bodily proportions, one group in particular gets the main focus in this sort of thing: the “affectionately” nicknamed 'boobie snakes' of Clan Tiss'i. Even though there exist beings with boobs bigger and more impressive than theirs, people always seem to be enamored by those of Clan Tiss'i, and by taking this perk such a thing will also apply to you.
Regardless of whether you have boobs or pecs, they gain an “aura” around itself which gives grandeur onto those that see them. It also makes them incredibly “comfortable” to touch/lay on and turns them into a strong erogenous zone for you. The impressiveness they impose is to the point that most people will prefer looking at, touching, snuggling, and doing other such things with your chest then others, even if said others have one bigger and/or more “impressive” than yours. And, so long as your chest is exposed as well, you can get away with being practically naked anywhere with those who would normally disapprove or raise a stink at worst grumbling about it.
As a minor bonus and to confer another trait of Clan Tiss'i you also gain a thick and long prehensile snake-like tongue, if you don’t already have one, as well as expert level skill at various forms of mouth/tongue play. This includes, but isn’t limited to things like cunnilingus, blowjobs, kissing, licking, etc.</t>
  </si>
  <si>
    <t>Fluid Control</t>
  </si>
  <si>
    <t>You now have control over how much fluid your body produces and releases, as well as when. Become dripping wet at a moments notice. Feed an entire family with your milk. Become a one-person bukkake machine. Your body still has to make these fluids, though.
As a bonus, if you have any perks that apply to your fluids - turning them into aphrodisiacs, making them delicious, warping minds etc. - then you can now turn those effects down or even off on a case-by-case basis. It might come in handy!</t>
  </si>
  <si>
    <t>Formal Wear</t>
  </si>
  <si>
    <t>That no-faced freak always has these well tailored suits. That tall bitch from Japan has the most beautiful, white dresses. Where are they getting their nice clothes from? Can’t be the store, they’re like eight feet tall. 
You have been given a larger on the inside wardrobe filled with your own strangely nice, tailored clothing. Suits, sun dresses, you even have stuff that looks like it came straight from Victorian era high fashion. 
No matter what kind of monstrous form you or a companion may have, there’s something in there made to fit you appropriately, and the clothes will help you put them on if you don’t have hands. Also comes in mundane variants, I guess.</t>
  </si>
  <si>
    <t>Frequent Freak Flyer Miles</t>
  </si>
  <si>
    <t>How they Fap in Parallel Worlds</t>
  </si>
  <si>
    <t>If those Japanese hentai comics are to be believed, conventional human attractiveness isn’t quite mutually required. No matter how strange, or even grotesque your body may be, you have some unquantifiable charm that incites sexual curiosity. Just enough to make them contemplate “should I touch it?” or “would it feel good?”, but whether this goes beyond pure curiosity depends on the individual, but the odds of them at least giving you a chance are much higher than before.</t>
  </si>
  <si>
    <t>Glutton for Punishment</t>
  </si>
  <si>
    <t>Rope Master</t>
  </si>
  <si>
    <t>An ordinary life is hard enough without also trying to be some kind of schoolgirl superheroine on the side but you’re tough enough that difficult things like that just roll off of you. You have a hardy constitution and can endure all kinds of rough treatment: from sleep deprivation and battle injuries to hardcore sadism, you can take a licking and keep on ticking without penalties to your health or physical performance, and any injuries you take heal extremely quickly. Bruises, scrapes, and rope burns vanish in hours while serious wounds need only a few days to heal. In general you thrive under unpleasant conditions, your suffering merely motivating you to fight harder instead of weakening your resolve and tempting you to throw in the towel, and if you aren’t already a hardcore masochist who gets off on rough treatment you can choose to become one and get some extra thrills out of your ordeals.</t>
  </si>
  <si>
    <t>Gorgeous Looks</t>
  </si>
  <si>
    <t>No matter where you go, you're pretty much always by far the most attractive person in the crowd. This could manifest in different ways, depending on whether you want to look cute, mature, sexy, or attractive in some other way. But regardless of the specifics, you're stunning enough that running into a cardholder will probably leave them drooling as they admire you. Moreover, pregnancy never diminishes your looks. Your breasts might get a bit bigger or you might start looking a bit more motherly, but it'll only further enhance your existing beauty. Even such things as stretch marks or getting loose are things of the past now. 
If you're a male, you can apply that second part to the women you impregnate instead, ensuring your harem will only get better with successive pregnancies.</t>
  </si>
  <si>
    <t>Handsome Devil</t>
  </si>
  <si>
    <t>Emergence</t>
  </si>
  <si>
    <t>Something wild about you boy, any girl could see that. There’s a roguish charm you have to go along with your really quite handsome looks, something that makes you look bad enough that people want to rebel by going out with you and find you attractive yet not bad enough to give anyone suspicious feelings. In fact, you just don’t feel threatening or suspicious at all unless you try too. It makes it a lot easier to get people to trust you, even if they don’t fall for your modern good looks.</t>
  </si>
  <si>
    <t>Happy Pills</t>
  </si>
  <si>
    <t>Heeey, you got the good stuff? Why don’t you share it around, especially if you have so much. It’s practically spilling out of your pockets! A seemingly limitless supply of little pink tablets with hearts of them that greatly enhance the pleasure and pain sensitivities of anyone that eats a tablet. They’re not even addictive, though the pleasure they give might be. Reach into a pocket and you’ll find some in your hands. Now and then, you might also find a little baggie of white powder, the real hard stuff, for if you want to get really crazy. But that’s pretty rare.</t>
  </si>
  <si>
    <t>Hollywood Polish</t>
  </si>
  <si>
    <t>Generic: Fat-Fetish</t>
  </si>
  <si>
    <t>You look ready for the movies, Master/Madame. To be in them, not to watch them, I mean. Your complexion, appearance, everything about your form has been given that movie-style glamour, bumping you 2 points up out of ten.</t>
  </si>
  <si>
    <t>Hungry Orifices</t>
  </si>
  <si>
    <t>Slimy Sextet</t>
  </si>
  <si>
    <t>Whenever one of your openings is filled with fluid, you can completely prevent any from spilling out. So even if your cunt were doused with cum, not a drop would escape. Sure, you can let it out if you want to... but why would you?</t>
  </si>
  <si>
    <t>Incredible Stamina</t>
  </si>
  <si>
    <t>Your stamina in bed and resistance to pleasure are all now amped up. You are now perfectly capable of fucking someone into oblivion for hours at a time without ever needing to stop. They might want you to, and may actually fade in and out of consciousness, but you don’t need to. This also translates somewhat to increasing your general stamina, such as for travel, but that’s not nearly as interesting.</t>
  </si>
  <si>
    <t>Kunoichi Outfit</t>
  </si>
  <si>
    <t>From the timeline where Itachi was born female I bring you this sweet little number. An extremely tight-fitting set of clothes that pronounce the average Kunoichi’s lack of shame, and show of every curve and muscle that they have. However, this one is special. You see, beyond just being sexy in and of itself, the outfit continues to look better and better as you grow in power as a ninja. In short, a civilian wearing this is good looking. A genin is hot. A jonin, or even a kage? They’re going to need a new pair of eyes after they melt from how hot you are.</t>
  </si>
  <si>
    <t>Leaky Faucet</t>
  </si>
  <si>
    <t>Aki-Akane</t>
  </si>
  <si>
    <t>Specifically, you. I’d say your dick, but you might not have one. Yet. Anyways, when it comes to getting laid, you're a veritable fountain of sexual fluids, without the dehydration that should cause. Your panties get soaked in a heartbeat, your breasts squirt milk when you cum, and yes, your dick shoots out way more than the average guy. All three of these things at the same time makes a bit of a mess, so good luck with that!</t>
  </si>
  <si>
    <t>Leather Wardrobe</t>
  </si>
  <si>
    <t>Contrary to the name this wardrobe has a lot more than just leather in it. This item consists of enough fetish wear to fill out a walk-in closet, all of it fitted to your exact specifications. Some of these are outfits that you might wear out in public but which still imply your status as either a dom or a sub, like expensive business suits or tight and restrictive dresses, while others are meant for roleplay or private use only. There’s a roughly even mix of attire meant for both doms and subs in this collection ranging from high fantasy cosplay outfits to sexy maid and other kinds of uniforms. All of these clothes are self-washing and self-maintaining and resize themselves automatically to be a perfect fit for their current wearer.
Additionally, all outfits subtly broadcast the wearer’s status as a dom, sub, or switch as well as their current availability. Normies won’t notice this at all but anyone who’s in the know will recognize your status, while those who don’t know that they’re doms or subs yet will find you mysteriously appealing for reasons they can’t put a name to if you’re available. A dom wearing a sub outfit or vice versa reads as a switch to this radar feature.</t>
  </si>
  <si>
    <t>Life Support</t>
  </si>
  <si>
    <t>When penetrating or being penetrated, you can link your biology to that of your partner, allowing you to take on the burden of keeping them alive. This would allow your partner to stay oxygenated when your ovipositor is filling their throat, or survive your native atmosphere while having sex with you.</t>
  </si>
  <si>
    <t>Lifetime Supply of Suits</t>
  </si>
  <si>
    <t>Creature Reaction Inside the Ship!</t>
  </si>
  <si>
    <t>When you’ve got a body that’s just begging to be unwrapped by horny aliens, you’re gonna end up losing a lot of suits. Thankfully, you get a constantly refilling supply of one particular outfit, whether it be your hunter’s spacesuit or your police uniform! This is gonna save you a lot of money down the line, believe me. These suits can have some mild protective properties like how the hunter’s suit protects the user from chemicals, but that’s about it. Being form fitting and very tight isn’t strictly mandatory but I strongly recommend it.</t>
  </si>
  <si>
    <t>Limber</t>
  </si>
  <si>
    <t>Just how long have you been doing Yoga? Because you have the body of someone that’s been having regular sessions for years. Your flexibility can help you with all sorts of things, both in and outside the bedroom.</t>
  </si>
  <si>
    <t>Living the Dream</t>
  </si>
  <si>
    <t>World of Lewd Superheroes</t>
  </si>
  <si>
    <t>Life as a cape isn’t always everything it’s cracked up to be but you live an abnormally charmed life, never suffering from minor inconveniences that ought to logically follow a person living the super lifestyle. You’re always well-rested in the morning even after you’ve been out patrolling for criminals or working on your mad science project until 3 AM, your costume never chafes or smells no matter how long you spend in it, your cape never gets snagged on obstacles while you’re flying around, and so on. Even without a healing factor you shrug off minor injuries almost overnight, and if you live a double life as a cape your civilian and professional lives will clash far less frequently than they should.</t>
  </si>
  <si>
    <t>Look your Best</t>
  </si>
  <si>
    <t>Sailor Uranus</t>
  </si>
  <si>
    <t>Fun though they may be, erotic outfits are rarely the best option to secure your interests. This closet is flattering in a different way. Ranging from business casual to ostentatiously aristocratic, these suits and dresses cut you in a respectable, imposing -- and, yes, attractive -- light. It will be quite difficult for your beholders not to take you seriously, assuming you act the part. This closet will expand to include the formal attire of each subsequent world you visit.</t>
  </si>
  <si>
    <t>Loose Clothes</t>
  </si>
  <si>
    <t>You knew the worst thing about being big? Finding clothes that’ll fit. This gives you a closet full of clothes that will properly stretch to contain all your endowments. Besides being guaranteed to cover you, no matter what size you are, they also have removable areas for easy access to the fun parts. There are also magical sets designed to hide or reduce the apparent size of your parts.</t>
  </si>
  <si>
    <t>Manly Musk</t>
  </si>
  <si>
    <t>They’re blushing just walking by you. Press a sluts face up against your crotch and she’ll be left shivering in pleasure. Something about your body’s smell is hopelessly arousing to those you find attractive. It’s a little addictive over time and it rubs off easily when you’re in the act, making sure everyone knows whose been using that particular set of holes. The more ‘alpha’ that you get, the more potent this will all be. Get strong enough and you won’t need a word to have girls falling to their knees.</t>
  </si>
  <si>
    <t>Marcel-san</t>
  </si>
  <si>
    <t>Marcel is the name of the Mizuryu Kei Land park mascot, an entrance level job you’ve probably held at least once or twice before. I’d be very surprised if you somehow managed to skip it... Anyways, given that having only one mascot in an entire park is a poor idea, it should come to no surprise that there are dozens of Marcel-sans at any given time. It makes it very hard to find the exact one you had sex with if you want another round for some reason. 
Anyways, it’s now pretty much impossible for the people you sleep with to identify you via your physical features - they’d have to sleep with you a second time to really know for sure. Of course, if you want someone to recognize you, you can flip this off entirely or maybe just for them.</t>
  </si>
  <si>
    <t>Massive Chest</t>
  </si>
  <si>
    <t>Generic: Hentai Fantasy</t>
  </si>
  <si>
    <t>Everyone knows that all energies be they mental, physical, or spiritual pass through the heart at some point. The more powerful you are the more of these energies pass through this region of the chest. This leads to an interesting effect. Men tend to develop massive chiseled chests that have been known to be compared to granite while women will develop a huge bosom. As your energy increases, the impressiveness of the torso will continue to increase.</t>
  </si>
  <si>
    <t>Milk-Tanks</t>
  </si>
  <si>
    <t>Seikon No Qwaser</t>
  </si>
  <si>
    <t>Well, for all intents and purposes, there is a bit of a size-requirement to be an effective Soma font. So, assuming you weren’t bigger already, this is a free up-cup to a minimum of a C-cup, all the way up to an I-cup if you think you can handle it. If you already happened to be that big for one reason or another, we’ll just say your breasts get an appearance upgrade in terms of softness and complexion. It should go without saying though that bigger is assuredly better, if simply for quantity.</t>
  </si>
  <si>
    <t>My Cloak</t>
  </si>
  <si>
    <t>Almost mandatory attire for tacticians, this cloak perfectly fits your body, is incredibly comfy and keeps you warm or cool regardless of the weather, and seems to never get battle damaged or torn. With the hood up it even obscures your face in shadow, hiding your identity. Should you loan this cloak out others they’ll find that it carries your warmth and presence with it, giving them a restful sleep and/or perverted dreams about you (your choice) while they wear it.</t>
  </si>
  <si>
    <t>My Glasses!</t>
  </si>
  <si>
    <t>This pair of very flattering glasses certainly completes a nerd-chic look, but more importantly you can bind any of your powers or perks to them. The perks aren’t actually good for anything while so bound, unless you’re wearing the glasses. But if your glasses were to fall off in this state... why you’d be completely helpless as you had to desperately search for them! You can reclaim your powers any time while you wear them and they return automatically if the glasses are destroyed or irretrievably lost. You may also set conditions to cause them to return automatically (such as if you were about to die) and even seal your own memories of having powers for the authentic experience of helplessness if you wish.</t>
  </si>
  <si>
    <t>Natural Lubricant</t>
  </si>
  <si>
    <t>The Works of Aomizuan</t>
  </si>
  <si>
    <t>The women of Ushihijima are something else, aren’t they? You have a peculiar trait of theirs, giving your saliva the consistency of lubrication gel. This not only makes oral sex vastly more pleasurable, but also allows for your saliva to be used as a proper lubricant, letting you have anal sex without worrying about keeping track of normal lube.</t>
  </si>
  <si>
    <t>Obstruction</t>
  </si>
  <si>
    <t>This may seem rather ridiculous, but you’d be surprised at how many men simply don’t think about the fact that the girl in front of them has a dick bigger than theirs until said dick is outright being shoved in their face. As a result of this, you have the odd ability to have your sexual characteristics massively underplayed until they’re specifically pointed out. Massive dick, breasts you could kill a guy in, an ass you could bounce a dime off, they’ll be able to appreciate the beauty of them but until someone specifically makes a mention of them they won’t really notice them. This can be great for first impressions, since guys tend to have weird reactions to you having a dick bigger than they are - realizing that after they get to know you as a person is still weird, but it helps blunt it.</t>
  </si>
  <si>
    <t>One Cock for All</t>
  </si>
  <si>
    <t>Be it incredible strength, extreme intelligence or unimaginable wealth, you might or might not be blessed with many things, but the truth is that your best weapon was hidden inside your pants all around. Your dick is the ur-example of compatibility, no matter the shape or size of your partner they’ll always find themselves gaining the most pleasure possible, be it through full-on sex, a quickie or even just from rubbing their hands all over it and giggling. In fact, it’s so compatible that a villain might just throw out all their plans just to spend more time getting acquainted...</t>
  </si>
  <si>
    <t>One Size too Small</t>
  </si>
  <si>
    <t>Generic: Hentai Modern</t>
  </si>
  <si>
    <t>Not technically a wardrobe option in and of itself, but it will modify/copy any other wardrobe you have to include copies that are one or two sizes too small, but still seem to fit. Or in other words, something that will hug your chest and show off your abs, or leave your boobs very visible. All the better to help you show off.</t>
  </si>
  <si>
    <t>Painted On</t>
  </si>
  <si>
    <t>Clothing just seems to fit so much better when you wear it. You can decide how tight the fit of your clothing is, as well as reduce the thickness or thinness of the fabric. This lets you decide how supportive the clothing is, too, as well as whether it’s sheer or not. This doesn’t change the clothing’s other features, like its style or colors, or what kind of functions or protection it provides.</t>
  </si>
  <si>
    <t>People are Adaptable</t>
  </si>
  <si>
    <t>You are probably not ready for more fun forms of play, at least not yet, but that will change. Your body adapts quickly to the physical demands of any fetish you are engaged in. Your first time may hurt, but your second time won’t. You also have an instinctive understanding of how to practice in order to prepare for more extreme sex acts.</t>
  </si>
  <si>
    <t>Perfect Makeup</t>
  </si>
  <si>
    <t>Never underestimate a good makeup kit. This palette contains everything you could ever want. Everything. It always blends perfectly with your skin tone, and comes with as many brushes, sponges, and other tools as you could possibly ever need. If lost, damaged, destroyed, or depleted, it respawns after a week.</t>
  </si>
  <si>
    <t>Power Belt</t>
  </si>
  <si>
    <t>Monster Girl Dreams 1.3 - The Pre-Capitol Update</t>
  </si>
  <si>
    <t>This belt boosts the wearer’s strength a bit as well as slightly enhancing their stamina, sexual or otherwise. Good for any aspiring warrior, but you’ll likely find something better quite quickly.</t>
  </si>
  <si>
    <t>Queen of Beasts</t>
  </si>
  <si>
    <t>It’s said the oldest martial arts took their inspiration from nature, but this is a bit silly. You have a bizarre ability to influence animals with your body, whether that be luring them to you, or scaring them away. The effect is localized in the most trained part of your body, and is affected by your athletic skill. An amature kickboxer could at best attract butterflies to land on their toes, while a prodigy could scare off a bear with just their stance.</t>
  </si>
  <si>
    <t>Releasing your Limiters</t>
  </si>
  <si>
    <t>A cliche but classy training tool. These leg mounted weights are perfect for acrobatic training. Their weight will increase as needed, though not to any physics-defying extent.</t>
  </si>
  <si>
    <t>In the world of adventuring it pays to have some kind of identifying mark or element about oneself in order to better stand out among your peers. Primarily such a thing serves the purpose of making it easier to garner fame around yourself, using whatever about you sticks out the most to drag in the attention. And by taking this perk similar to the adventurer, and later hero, Namu, gathering said attention will be frighteningly easy.
Upon gaining this you can choose and enhance one physical trait that you have such as your chest, ass, or lips with it being the focal attraction point of your body. What this means is that said feature becomes wholly unique compared to others, not necessarily being better, but having its own qualities that people can easily recognise and enjoy. When said trait is on display, like wearing an open helmet if the trait was your eyes or tight leggings if it was your ass, it serves as a booster for the amount of fame and recognition you gain for completing adventures, quests, and other things.
This attraction your selected trait will garner also leads to people using it as a basis for any commemorative art they make or nicknames they come up with when you become famous. This part can be toggled in case you don’t fancy having statues made that only show off your ass or being called something like “The Demon Derrière” as you go about your day.</t>
  </si>
  <si>
    <t>Ribbed for their Pleasure</t>
  </si>
  <si>
    <t>Pretty much any part of your body that you would care to use for sex seems almost designed for stimulation. This could be anything from an extra-knobbly head on your cock to bumps on your tentacles, or a tongue that’s velvety soft.</t>
  </si>
  <si>
    <t>Runner's Tits</t>
  </si>
  <si>
    <t>Boyce Park</t>
  </si>
  <si>
    <t>You gain a minor speed bonus while naked, with your own bouncing tits not hindering you the slightest. On top of this, their jiggling is also always maximally attractive while simply never inconvenient.</t>
  </si>
  <si>
    <t>Same Shit...</t>
  </si>
  <si>
    <t>Seven Mortal Sins/Seven Heavenly Virtues</t>
  </si>
  <si>
    <t>You know what most people would do if a Demon revealed themselves suddenly, right in front of them? I’m sure I don’t need to elaborate that the everyman would scream, piss themselves, and maybe faint. You? You’re made of sterner stuff, unflappable no matter the oddity, or erotisism, of the situation. Someone trying to kill you? Different story.</t>
  </si>
  <si>
    <t>Sensitive Spots</t>
  </si>
  <si>
    <t>A particular place on your body is so sensitive it's like everything that touches it is ribbed for your pleasure, as sensitive as genitals and likewise linked to your sex drive. Maybe the underside of your tail, your ears or neck. I wouldn't set this as your hands, that might be too distracting.</t>
  </si>
  <si>
    <t>Sex Friendly Underwear</t>
  </si>
  <si>
    <t>Power Play</t>
  </si>
  <si>
    <t>A pair of underwear with a button on it. Press it, and it will open up to allow access to the butthole and genitalia, without needing to take it off. It automatically transforms to suit the desires of whoever wears it, so it can freely become boxers, briefs, panties, fundoshi, or any other sort of underwear. You receive a pair for yourself, as well as a pair for each member of your harem. As your harem grows, new members will also receive their own pair.</t>
  </si>
  <si>
    <t>Sexual Compatability</t>
  </si>
  <si>
    <t>Ishuzoku Reviewers</t>
  </si>
  <si>
    <t>You know what sucks? Heading to a brothel only to discover that you can’t use their services. Oh it's not that they’re racist or anything its just... Have you ever been with a dragon girl? They are hot hot hot! And I’m not talking about their looks. You’d burn your little fellow off trying to bang one of them. And don’t get me started on the hundreds of sub-species of Myconids (aka Mushroom Girls). Pick the wrong ones, and you’ll be pushing up daisies before you know it. 
Well, now there isn’t a problem with that. You can enjoy the services of any type of succubi without damaging yourself or your partner. Bang that dragon girl. Stick it in that pixie without worrying about tearing her apart. Hell, jump into that pit full of Lilim! You’ll be fine! A little sore, but fine.
Heck, get as kinky as you want. You and your partner(s) are unable to hurt each other (except in the est way). Asphyxiation? Child’s play. Cutting? Those wounds will heal up without a scar after your done. Note that this miraculous power only works during sex, and stops working soon after you stop banging.</t>
  </si>
  <si>
    <t>SHO FLUFFY</t>
  </si>
  <si>
    <t>Generic: Hentai Occult</t>
  </si>
  <si>
    <t>In this modern age, there really isn't much room for the truly monstrous beings that used to roam the lands. Only a very small number of monsters remain, mostly those capable of disguising themselves as human. As a result, they've become very good at this - and at portraying themselves in a good light, as compared to the “DEMONS, WE MUST BURN THEM!” response of olden days. Any non human features you let show though are now seen more as interesting, even intoxicating, rather than something to be feared - hell, you could go full monster and as long as you looked and acted non-threatening they'd probably try to cuddle with you.</t>
  </si>
  <si>
    <t>Silver Fox</t>
  </si>
  <si>
    <t>LeWdBY</t>
  </si>
  <si>
    <t>You have (or will develop) a mature beauty, giving you the bearing of a true MILF/DILF. Even as you age, you’ll at most get a few gray streaks in your hair that make you look distinguished, staying as attractive as ever. People who are younger than you find you especially alluring, and you’re likely to be a student favorite if you ever become a teacher. You also tend to bring out your partners’ more immature sides. Be prepared for being called “mommy” or “daddy” a lot.</t>
  </si>
  <si>
    <t>Slick Suit</t>
  </si>
  <si>
    <t>Appearances are everything in the corporate realm. So if you want to be anyone worth talking to, you’re gonna need a suit. Something slick and smooth for those corporate events or the ultra-secure upper floors of megacorporate headquarters. Enter this collection of bespoke suits, designed for a sharp and dominant image. They can also optionally come with skirts, stockings, and heels for the office ladies wanting a more teasing style. All the suits are custom tailored to fit you, incredibly comfortable, and durable enough to stop a bullet thanks to the armoured fabric. More interestingly there are micro-massagers woven right into the suits’ fabric, for when you need a discrete shoulder rub to relax during a busy day or some more intimate vibrations to edge you through a boring one.</t>
  </si>
  <si>
    <t>Spandex and Latex</t>
  </si>
  <si>
    <t>Every heroine needs a unique outfit and this one is yours. The specifics are up to you but whatever the case this thing is sexy as all hell, and easy to slip off for some quick fun with a lover~. Even better, the immense eroticism of this outfit is only apparent to those you want to notice, with others not giving it a second glance.</t>
  </si>
  <si>
    <t>Stamina Drink</t>
  </si>
  <si>
    <t>I’m not entirely sure what these are made of, but somewhere along the line it was decided that men and women needed to operate on an even playing field to the shemales. These energy drinks are the result of that, granting the drinker hours upon hours of energy with every bottle - and has the “odd” side effect of amplifying cum and milk production as well, not to mention temporarily increasing the size of one's dick. Of course, if a shemale drinks it then things will become even worse for their poor partners... Maybe try not to let them know you have any of it, otherwise they’ll likely hog it all for themselves. You have a six pack of the stuff that refills weekly.</t>
  </si>
  <si>
    <t>Succbi Suit</t>
  </si>
  <si>
    <t>Despite what it is called, the origin of this outfit is unclear. Whether it belonged to a demoness or not, it lives up to its name. This is a revealing set of clothes made from a very soft and smooth feeling fabric. This outfit will reshape itself to fit the body of whoever puts it on, highlighting their best features and buffing up any parts that may be lacking. The faint lingering magic imbued into the fabric gives it, and the wearer, an almost otherworldly charm that could put those who view it under their charm. People are far more open to suggestions while wearing this. The cloth appears to be all but painted on to the wearer so closely does it stick to the skin, allowing one to see every crease and fold on your skin. Not an outfit to wear in polite company, though it would work well as some underclothes.</t>
  </si>
  <si>
    <t>Super Slutty Underwear</t>
  </si>
  <si>
    <t>‘Sup girlfriend! You get a drawer full of various underwear, all of it so lewd that some lingerie stores might refuse to sell them! It’s got everything you need to tempt some hot hunk into your bed... and also comes with a packet of band-aids that refills hourly, in case you’d rather just wear those. The breeze feels nice~
For guys, just remember that you can be a slut too! It just typically looks a little different.</t>
  </si>
  <si>
    <t>Sweet Scent</t>
  </si>
  <si>
    <t>Normally I’d think it was your girlfriend trying to sweet talk you or just making pillow talk, but it seems that’s not quite true. Your scent, your sweat, actually smells pretty good. Not exactly like something nice, like flowers or something, but some sort of primal musk that screams SEXY to the world once you’ve got a good workout in.</t>
  </si>
  <si>
    <t>Sweeter than Sugar</t>
  </si>
  <si>
    <t>Your sexual fluids are unreasonably delicious, enough so that once tasted, people may find themselves craving them again.</t>
  </si>
  <si>
    <t>Ten (+/- Ten) out of Ten</t>
  </si>
  <si>
    <t>Beauty is in the eye of the beholder, and when said beholder isn’t exactly following the same scale, you’re a bombshell and a half. Even if you aren’t considered attractive by your own species’ standards, there’s some quality about you that makes other species see you as a total beauty. Not mesmerizingly so, but if you put your sexual services on the interspecies market, you’ll never find yourself lacking clientele. This is even more effective if the other person themselves greatly deviates from your specie’s conventional beauty standards.</t>
  </si>
  <si>
    <t>That Can't be Him</t>
  </si>
  <si>
    <t>A little change makes all the difference. Change your hair, your outfit, your demeanor; just a little. Now that's all you need so the villains will never suspect you’re the city’s protector.</t>
  </si>
  <si>
    <t>The "Bath Towel"</t>
  </si>
  <si>
    <t>Titans wear these ‘marks’ around their waists to show allegiance to one order or another. This one? It is a miracle piece of cloth that can always keep your naughty bits, below the belt, concealed even if you are stark naked otherwise, inconceivably from multiple angles if need be.</t>
  </si>
  <si>
    <t>Unexpected Luxury</t>
  </si>
  <si>
    <t>World of Moral Reversal</t>
  </si>
  <si>
    <t>You may not have noticed, until now but... the underwear industry is bullshit. One gender gets an entire industry, while the other is left with the bargain bin. You have an endless assortment of stylish and comfortable underwear to choose from, no matter your gender.</t>
  </si>
  <si>
    <t>Unsafe Dosage</t>
  </si>
  <si>
    <t>One of the reasons that the man who commissioned the genderswap drug didn’t demand a more stable version was because it was deemed unsafe to take a second dose. It would have taken a heavy toll on the body - one he wasn’t sure he could pay. But, someone stronger, like a certain elder brother ninja? I bet you he would have been able. Anyways, when people speak of a maximum safe dosage, they always seem to underestimate you. Maybe you’re the hardy sort, maybe it’s the same quirk as above. Either way, you always seem to be able to get two, sometimes even three doses in before the toll starts to show.</t>
  </si>
  <si>
    <t>V-Card</t>
  </si>
  <si>
    <t>You are an officially licensed virgin, complete with v-card. While the card is on your person, you are considered to be a virgin for all intents and purposes, and people who are particularly attracted to virgins can automatically detect your virginity.</t>
  </si>
  <si>
    <t>Wet Dream or Nightmare?</t>
  </si>
  <si>
    <t>You have got a real pair of lungs on you, you know the kind that opera singers use to crack glass. I’d say that you could scream loud enough to wake the dead, but half the people this jump is based on are dead, so that’s not actually a great deal of effort - or volume. More importantly, when going down on someone you can stay down there for half an hour without any oxygen with no issue.</t>
  </si>
  <si>
    <t>What Doesn't Kill You</t>
  </si>
  <si>
    <t>When Zelda emerged from her long sleep she was reborn in a body capable of surviving everything that Hyrule might throw at her, but you don’t need to sleep for a hundred years to be able to take a monster’s cock up the ass as well as she does. Your mind and body are almost unreasonably tough, able to stretch and shift in places where others will shatter. You can endure savage abuse, such as getting impaled on a cock larger than your own body, falling from enormous heights, or spending years on end as a cumdump for a tribe of monsters, and still bounce back like nothing happened. You might not enjoy the experience but you’ll heal from anything that doesn’t kill you and be back to normal after a few days of rest at most.</t>
  </si>
  <si>
    <t>Wild Thing</t>
  </si>
  <si>
    <t>Ah, the great outdoors; it’s one of your oldest and fondest loves. You’ve done it all: camping, hiking, survival exercises, travel here and travel there. You might even live in a log cabin built with your own two hands. Years of experience living alongside nature allows you to live comfortably within it, and the land seems to welcome you in turn. The weather is generally kinder to you, and pests less likely to pester you among other small advantages. Never again will mosquitoes end up bothering you when your skin is exposed beneath the starry night sky, nor will it rain when you just need a quick nap. You can even share these effects with those around you.</t>
  </si>
  <si>
    <t>With Age Comes Cup Sizes</t>
  </si>
  <si>
    <t>Prina the Dungeoneering Princess</t>
  </si>
  <si>
    <t>While Prina is decently endowed, Yuina and Prelude are both one step away from being flat as a board. Meanwhile, Pridis is a knockout bombshell. If you look at that closely, bust size roughly equates to age. Gotta love Elven puberty. Anyways, the size of your ‘assets’ now scales loosely to your age. By the time you reach what an elf would call middle aged, I have no doubt your breasts would be bigger than your head. Live even longer and it’ll just be plain silly. Of course, this applies to all three - no need to leave your dick and ass out of the growth. Yes, you can disable this, if you must.</t>
  </si>
  <si>
    <t>Wrench Wench</t>
  </si>
  <si>
    <t>It’s an unfortunate reality that it’s not going to do your looks or health any favors if you stay indoors all day every day to tinker on a new project or spend all your time immobile while your mind dives deep into the Net. At least, that’s how it seems to be for other people. 
You don't have that problem, and just keep looking your best regardless. Despite likely being covered in machine oil and suffering from a severe lack of exercise, sunlight, or reasonable sleep schedules. If anything, things like that just make you more attractive. Maybe it’s because the grease stains highlight your natural beauty, maybe all that time spent in the vehicle repair shop somehow built a lot of muscle, or maybe weeks spent in VR slowly caused your curves to swell and soften. Everyone likes a busty hacker, right?
More generally, you can make anything that emphasizes your intelligence and technical skill look incredibly sexy. That lab coat might as well be lingerie when you want it to be, and your technical explanations could make even an AI sex worker blush and stammer.</t>
  </si>
  <si>
    <t>Aftershocks</t>
  </si>
  <si>
    <t>Whenever you have an orgasm, it will be followed up by a number of smaller “mini-orgasms” that come afterwards. The more full-fledged orgasms you have, the longer these mini-orgasms will continue. After a good sex session, you could be kept in a blissed-out state for a long time as the pleasure continues, even after the actual coupling is over.</t>
  </si>
  <si>
    <t>Armour of Anon</t>
  </si>
  <si>
    <t>Baalbuddy</t>
  </si>
  <si>
    <t>This suit of armor, of a sort of your choice, is plain and unadorned. It’s the kind of utilitarian, mass-produced gear worn by the nameless rank-and-file, but don’t be fooled. It’s high-quality armor and does a good job of concealing your identity. It’s light, it’s comfortable and easy to wear to the point that you can sleep in it without problems. Or have sex in it. Yep. You don’t even have to undo any straps or shift any plates. Just get to work, it’ll be like you’re wearing nothing at all. It won’t even ruin the mood. You can instead bestow the qualities of this armour on some you already own. Only one such set can have these properties at a time.</t>
  </si>
  <si>
    <t>Body Blessed by Hylia</t>
  </si>
  <si>
    <t>The heroes of courage have long since had an affinity for life magics, and nothing drives that in home more than being raised by tree people. As a result of your adventures over the past seven years, you've refined your body into a weapon of war, able to do the work of six men and continue fighting for just as long. To say that your body was a wonderful mass of muscles would be to insult you - your body is an all but divine mass of muscles. In fact, given the hero's normal relationship to Hylia, she may in fact have sculpted them personally. Of course, with Ganondorf slain there isn't exactly much fighting left to be had here in Hyrule... How fortunate then, that having taken in this raw life energy also drastically raises your stamina and virility.</t>
  </si>
  <si>
    <t>Comfort</t>
  </si>
  <si>
    <t>Past a point, or sooner depending on how you’re built, being fat can start to get physically uncomfortable. This Perk is a catch-all safeguard from that. No matter how tight your thighs press together, they will never chafe. Your breasts will never slap you in the face if you are forced to run (for whatever reason). And you will never struggle to breathe. As a small side-benefit, your cuddling power becomes absolutely legendary (Master/Madame, that is so wholesome, I’m so proud of you!).</t>
  </si>
  <si>
    <t>Cyber Fashion</t>
  </si>
  <si>
    <t>If you’re to entertain people, you need clothes to show off. If you want some rest afterwards, you need clothes to blend in. Both can be found in this oversized walk-in closet, as it’s filled with just about any clothes you might want. As long as they’re cyberpunk (or slutty). 
From punk wear worn by street scum to the high fashion of celebrities and models, it’s got something for every situation and occasion. There’s jackets with bright neon light-up strips, electrochromic threads with programmable colours and prints (go from a perfectly normal shirt to one with a "pin me down and fuck my tits" print with one wireless command), and more pieces of synthetic leather than you can shake a stick at. There is, of course, also a collection of shoes, boots, and accessories to match and complete the outfits.
If it’s a recognizable cyberpunk style, you’ve got it here. Even if the wardrobe does tend to skew towards the revealing and/or the skintight. All of the clothes are perfectly sized to you, and even fit with any cybernetics and augmentations you might have. What’s more, many of them seem designed to pleasingly show off as much of your ‘ware as possible.</t>
  </si>
  <si>
    <t>Delicious and Refreshing</t>
  </si>
  <si>
    <t>Any excretions or bodily fluids you release from your body are staggeringly delicious, extremely healthy, and entirely safe to eat in any situation. They also smell surprisingly pleasant. Your cum, your breastmilk, your blood, and just about anything else you can think of is affected. If you really wanted to, you could use this to make it so that your shit quite literally does not stink, though that’s not the intended effect.</t>
  </si>
  <si>
    <t>Disease Immunity</t>
  </si>
  <si>
    <t>Just look at what’s going around! Of course this is going to be on offer. It’s impossible for you to be unwillingly infected by any form of illness, be it from bacterial, genetic, or viral origins, or even something stranger such as a prion- or magic-based illness. It even includes motion sickness! This also prevents you from being a transmission vector for disease.</t>
  </si>
  <si>
    <t>Drug Resistance</t>
  </si>
  <si>
    <t>Bokunchi No Mikage-san</t>
  </si>
  <si>
    <t>You are highly resistant to the negative side effects of all drugs and poisons. This can be toggled off if, for example, you would prefer to be roofied for some reason.</t>
  </si>
  <si>
    <t>Eaten to Death? Not Likely!</t>
  </si>
  <si>
    <t>While not really a common issue here, being eaten somewhere else or by a powerful being might result in you staying dead. This perk prevents that. You can never be killed by being eaten, no matter what form of devourment occurs. If you are killed with the express purpose of being eaten, you will reform 100% guaranteed.</t>
  </si>
  <si>
    <t>Ejaculation Eruption</t>
  </si>
  <si>
    <t>Smash Bros XXXtreme</t>
  </si>
  <si>
    <t>I know that some people say that your body is a weapon, but this is just plain old ridiculous. This isn’t some ordinary fighting style, this turns your dick into a damn firehose. You could send a person flying by coming inside of them. Or send yourself flying if they’ve got a better grip on the ground than you do. And if you don’t have a dick, don’t worry, there’s plenty of futa to go around. Failing that, you’ve got tits don’t you? Milk cannons are now an option.</t>
  </si>
  <si>
    <t>Fluid Share</t>
  </si>
  <si>
    <t>If you share your fluids with someone, any current effects/enhancements to your body will be passed onto them in turn. For instance, if you drink a potion that makes you lactate, and then someone drinks your fluids, it'll be like they drank the same potion, and they’ll start squirting milk (even if they’re a guy). Similarly, a spell cast upon you could be transmitted across your fluids.</t>
  </si>
  <si>
    <t>Gender Equality</t>
  </si>
  <si>
    <t>You may optionally be treated as being any gender/sex, or no gender/sex at all, in terms of any qualifications, powers, or effects that focus on specific a specific sex (or sexes). You have complete control over what sex or gender you are considered to be at any given point in time. This does not let you transform.</t>
  </si>
  <si>
    <t>Genetic Winner</t>
  </si>
  <si>
    <t>Becoming an Angel isn’t something just anyone can do - there needs to be a certain genetic marker of compatibility with the Gods. Well, you must have it, or you wouldn't be here. Probably. Anyways, as part of the overhaul of your body, said body now requires significantly less upkeep that before. Four hours of sleep instead of eight, less food to remain at peak capacity, the ability to control whether excess fat goes to your boobs or ass, and a weak healing factor that actually speeds up the more sex you have. If you really wanted to amp it up, get bukkaked. And yes, I am aware that one of those is not like the others.</t>
  </si>
  <si>
    <t>Going Native</t>
  </si>
  <si>
    <t>Other species don’t think of you as a human (or whatever you are). As long as you have roughly the same body plan and make a token attempt to fit in, they tend to think of you as one of their own species. A little green Martian doesn’t think of you as a human – it would think of you as a very tall, pale Martian, while a tiger-person thinks of you as a particularly small, hairless tiger-person. Needless to say, this can improve your ability to enter interspecies relations quite a lot.</t>
  </si>
  <si>
    <t>Hentai Body Plus</t>
  </si>
  <si>
    <r>
      <rPr>
        <sz val="13"/>
        <color theme="1"/>
        <rFont val="Calibri"/>
        <family val="2"/>
      </rPr>
      <t xml:space="preserve">Remember how I mentioned cocks the size of your arm? Well, those aren't too uncommon around these parts. Neither are tits the size of your head, and with this, you can get both. On purchase, this perk lets you design a new body. Within limits. Give yourself a cock the size of your forearm or Mogudan-sized tits, slap a cock onto your female body, or make yourself look like a cute little girl despite being a guy. Unless you want them to, nobody will find the changes you made to be something unnatural, even if it’s something that normally can’t happen. 
This perk is for things along the lines of changing the color of your eyes, hair, or skin, changing muscle definition and body fat percentage, changing the size of your sexual features, adding or removing sexual features (max of one male and female genitalia per customer), and things along those lines, not for things like adding extra arms, giving yourself a vagina for a mouth, or something like that. Nobody will notice that you’ve changed, unless you want them to.
</t>
    </r>
    <r>
      <rPr>
        <b/>
        <sz val="13"/>
        <color theme="1"/>
        <rFont val="Calibri"/>
        <family val="2"/>
      </rPr>
      <t>If you'd prefer to keep your original body but have this one as well, you may treat this as an Alternate Form perk.</t>
    </r>
  </si>
  <si>
    <t>Impossible Clothes</t>
  </si>
  <si>
    <t>You can now make your clothes stick to your body as if they were wet or you were using body glue. When using this ability you this ability you can instinctively make your clothes stick where it is most appealing to see the details, and hang loose in other places.</t>
  </si>
  <si>
    <t>Impossible Outfits</t>
  </si>
  <si>
    <t>There’s no way those clothes should stay on. Must be magic. Anything you wear will do its job, not flapping in the breeze and revealing only as much or as little as you want it to. Oh, and if you’re wearing a few strategically-placed pieces of metal that no sane person would consider armor, then you’re very lucky in the regard that hits are drawn to those small amounts of protective equipment. This won’t save your bare ass everytime and the rest of you is still naked meat, so maybe suit up properly when it’s time for serious adventuring.</t>
  </si>
  <si>
    <t>Loosen Up A Bit</t>
  </si>
  <si>
    <t>As it turns out, relaxing somewhat and embracing her sexuality as a woman - and partially not being a tomboy anymore - caused damn near everyone to turn heads at this beautiful woman they'd never noticed before. So, this is twofold. One, you can call down sexy accidents on yourself, and those accidents will attract attention from both men and women alike. And secondly? The more sex you have, the prettier you appear to be. Call an extra one out of ten for every eight times you do it over the course of a week?</t>
  </si>
  <si>
    <t>Lusty Maiden Armour</t>
  </si>
  <si>
    <t>Consisting of a metal bikini top held together by a leather band (with a slick leather fastening beneath it to perfectly cushion a throbbing shaft), a snug white leather thong with intricate gold filigree on the front and back (that looks suspiciously like gold arrows pointing at the wearer’s asshole), and a short chain skirt that barely covers anything. And nothing if whoever’s wearing it decides to bend over even a little. Perfect for a more seductive approach to combat, something the armor itself encourages, as the corrupt modifications of its protective enchantments means wearing it induces some baser urges.
Despite its skimpy appearance, though, the magic on the armor actually does make it far more protective than it should be. Even at its weakest, it is still as protective as a full suit of leather covering the entire body, but it grows more powerful if worn by a virgin and if the wearer gives in to their enhanced passions. Fully powered and worn by a virgin, it protects their entire body like a full suit of layered steel plates, rivaling a suit of plate mail. Even the way it entices people seems to grow in intensity with the protective ward, turning it from merely skimpy to incredibly captivating at a glance.</t>
  </si>
  <si>
    <t>Mana Crystals</t>
  </si>
  <si>
    <t>Imperials don’t need to eat, but they do enjoy it, and instead of digesting food, they convert it into mana. If they eat too much for their mana pool, they visit the bathroom and turn the excess into high-quality mana crystals. You have the same ability to turn food into mana, and if you have too much, convert any excess mana into a crystal. They are used in crafting and store raw magical power for later, so they fetch a high price.</t>
  </si>
  <si>
    <t>Masochist's Constitution</t>
  </si>
  <si>
    <t>Ganon’s monsters have had their way with a great deal of what’s left of Hyrule, but few have enjoyed it as much as you’re about to. Your body has been reconfigured to make your time here a little easier, maybe even quite pleasant depending on your tastes. You have a masochist’s constitution, a body that takes as much pleasure as it does pain out of being abused or toyed with. You’re at no risk of getting addicted to these feelings and pain still registers to your senses but along with that pain comes a euphoria that you’ll be hard-pressed to find anywhere else. You’ll also find that your body and skills won’t degrade at all from long periods of bondage or captivity.</t>
  </si>
  <si>
    <t>Maximum Glamour</t>
  </si>
  <si>
    <t>Any photographer, portraitist, or narcissist can tell you that not all shots are equally flattering. The structure of the face resolves much differently when viewed in profile; contraction or expansion of muscles can flatten curves and bunch up skin, and the interplay of light and shadow can transform a magnificent adonis into someone else entirely...Problems for other people. You are always seen in the best light, your skin is elastic enough that you’ll never experience unsexy folds or creases (barring extremes of obesity), the shape of present muscles is always something to admire, and your features have been molded so your image remains striking from any perspective. Whatever pose you take, or whichever angle you are viewed from, it is almost always possible to appreciate the full extent of your beauty. As an additional boon, you repel your own filth, your orifices clean and body odor imperceptible. Instead, you may choose a mundane scent (such as soap or cinnamon) which you exude both inside and out. Finally, your body grows no terminal hair below your head, at no detriment to your health. Any other hair growth may be slowed or frozen as you will.</t>
  </si>
  <si>
    <t>Mega Magical Maternity Bra</t>
  </si>
  <si>
    <t>If you’re going to be routinely suckling some Qwaser, you might as well make it easy on yourself. Enter this beautifully stitched maternity bra, in a fashion of your choosing, designed for support and comfort of even the most impossibly endowed woman. And the clasps over the cups make it easy to suckle someone, or yourself, without requiring you to fully disrobe or have your bra torn off in desperation. It also cleans and repairs itself. Guaranteed to never stain!</t>
  </si>
  <si>
    <t>My Arms are a Castle</t>
  </si>
  <si>
    <t>You know what strength means? Security, Safety, and Peace. A simple embrace from your mighty arms is enough to quell feelings of distress, doubt, fear, anxiety, etc. Considering that any alien lovers you might take here would rightly feel all of the above for one reason or another, it may behoove you to acquire this one. Also, wholesome as hell.</t>
  </si>
  <si>
    <t>Nice Linework</t>
  </si>
  <si>
    <t>You actually look pretty good. You’ve got a nice figure with clear skin, dirt and grime only sticking to you only when it would look dramatic and that washes off the second you make the slightest effort to clean up. If you’d prefer this boost can make you attractive in a particular way, giving off vibes that make you look cute, elegant, ruggedly handsome or lewdly filled out.</t>
  </si>
  <si>
    <t>Not My Fetish</t>
  </si>
  <si>
    <t>Yeah. That hot rabbit herm is interested in you. She’ll probably be willing to let you fuck her in the ass. Problem is, she’ll want to take that puckered ass of yours for a ride as well. How do you ask her to let you bang her caboose, while keeping your hershey highway one way as well? This perk helps you out. No more awkward discussions about something not being your fetish, right after a partner helped satisfy your kinky desires. They won’t get upset or disappointed, and will be understanding about it.</t>
  </si>
  <si>
    <t>Panty Collection</t>
  </si>
  <si>
    <t>This empty briefcase seems completely pointless at first, but when you place the underwear of the people you’ve had sex with inside, you’ll find yourself growing in attractiveness and charisma. It starts out barely noticeable at first, but as more underwear is added, you will slowly find yourself becoming the chaddest of chads.</t>
  </si>
  <si>
    <t>Paradise Troops Army Armour</t>
  </si>
  <si>
    <t>The Otaku in 2200 AD</t>
  </si>
  <si>
    <t>This is the incredibly scanty armor utilized by the troops of Paradise, with defensive power mostly coming from a force field rather than its own defensive qualities. More impressively is that it can be converted to a “sex formation”. It connects to the wearer’s nervous system and inflates several artificial breasts, which due to this connection are all capable of experiencing sensation. The arm produces a tube-like “mouth” capable of bringing enormous levels of pleasure, and stimulants are provided to make the clitoris grow larger. What’s more, the armor produces a number of tentacle-hands you can control, letting you manhandle your partner. All in all, the total pleasure of sex while wearing this armor is 11 times higher than normal sex.</t>
  </si>
  <si>
    <t>Pillar of Lust</t>
  </si>
  <si>
    <t>If monsters have one fatal flaw it’s that sating their depraved appetites is as lethal as an arrow to the skull and the weakest bokoblins are such one-pump chumps that they keel over and die from a single orgasm. But stronger monsters are another story entirely, empowered as much by their lust as by food and sleep, and you share this quality with them. Sexual activity replenishes your stamina rather than draining it, and even fucking for hours on end just leaves you feeling as well-rested as if you’d gotten a full night’s sleep. Not only does this prevent you from ever suffering a humiliating death by sex, even against monsters that drain life energy this way, but you also heal injuries and recover from illnesses extremely quickly after you get your rocks off, letting you heal minor injuries overnight and more serious ones in a few days at most.</t>
  </si>
  <si>
    <t>Plentiful Breasts</t>
  </si>
  <si>
    <t>Soft, pliable, springy, malleable, silky, smooth. Just some of the descriptions that would come to mind when you expose your plentiful bosom, their perfect shape and size beckoning onlookers. The incredible softness could make anyone feel like they could fondle them all day. Even the milk you produce is delicious with how soft and creamy it is.
Moreover, they're lewd breasts as well, being almost too sensitive. Cumming from your breasts getting fondled and sucked on is effortless if you give it a try, and even just giving paizuri could be enough for you to climax. If you’d like, the rest of your body could become more sensitive as well, not quite to the same extent as your chest but still making every touch noticeably more pleasurable than it would’ve been before.</t>
  </si>
  <si>
    <t>Power is Sexy</t>
  </si>
  <si>
    <t>Legend Of Krystal</t>
  </si>
  <si>
    <t>The stronger you are, the better you fuck. The stronger you become the more virile you get, the more sexually attractive you become, and you can increase the size of your genitals through training your body.</t>
  </si>
  <si>
    <t>Scent of Submission</t>
  </si>
  <si>
    <t>Whether it's pheromones, spores or something odder, your body gives off a scent that really gets the motor running. This lovely smell dulls the strength and mind of your victims, while driving up the sensitivity of their body the longer they breathe it in. With a bit of work, you could have an entire harem of Sniff Slaves~. You can toggle this off if you wish, although I don’t know why you would~.</t>
  </si>
  <si>
    <t>Self-Awareness</t>
  </si>
  <si>
    <t>There’s no muscle in your body you aren’t in control of - you could wiggle individual toes. You also have a handle on normally uncontrollable bodily processes, able to adjust your heart-rate, give yourself goosebumps, or control otherwise unconscious responses your body makes to outside stimuli.</t>
  </si>
  <si>
    <t>Sleeping Beauty</t>
  </si>
  <si>
    <t>You are so cute in your sleep, someone might want to play with you. This perk provides you with two benefits, first you retain the benefits of any stimulation you receive while asleep. Second you you can choose to remain asleep while someone stimulates you sexually, letting them play with you as much as they want.</t>
  </si>
  <si>
    <t>Strength of Gaia</t>
  </si>
  <si>
    <t>Adam and Gaia</t>
  </si>
  <si>
    <t>Gaia must favor you for your stamina is rather inspiring sight to behold. Even as a normal human you would be able to work or fuck twice as long as someone would otherwise be able too. If you get stronger and stronger this boost to stamina becomes less impressive as you are able to work longer and longer, still you can squeeze out enough juice to put most mortal men to shame.</t>
  </si>
  <si>
    <t>Sub in a Leather Mask</t>
  </si>
  <si>
    <t>Long-term or lifestyle bondage has a nasty side-effect of negatively impacting your health unless great care is taken. Spend six months in an armbinder or a strait jacket and you’ll find that your muscles have badly deteriorated from holding that position for so long. However, at least in your case, so long as a token effort is made to keep you fed and maintained by your captors you can act at all times as though you were in top physical condition. Your health is otherwise self-maintaining while you are in bondage, with even any excess calories burning themselves rather than going to your waistline.</t>
  </si>
  <si>
    <t>Tease</t>
  </si>
  <si>
    <t>Having a pretty face is an advantage in and of itself, and that’s all the more true in a world like this. Of course it might also make you somewhat of a target. Nevertheless, you stand out amongst the people of this land, not just because of your foreign nature, but mostly because of your attractive looks. It doesn’t matter whether you are thin or curvy, muscular or jiggly, masculine or feminine, your visage stands out as particularly attractive. Strangely enough, this beauty continues to shine through even as this land (or your own effort) changes you. No matter the alterations made to your body or the strange shapes you might take on, you will remain beautiful in some way.</t>
  </si>
  <si>
    <t>Thank You, Cum Again</t>
  </si>
  <si>
    <t>Now, normally matches in seikodo end on the first male orgasm, but that’s just because most people can’t keep going after cumming once. Oh, normal sex would still have your hands and oral, but a proper short program only has one segment of oral sex and that should be already out of the way by the time someone orgasms. But technically speaking, the match doesn’t need to end with the first orgasm, and a contestant will instead be scored on their best orgasm. With that in mind, you are now one of the lucky fellows who have no refractory period to speak of, and are now multiorgasmic on top of that. Besides letting you experience great pleasure yourself, this lets you keep going even if you cum early in the match. You also have the willpower to keep thrusting steadily even in the midst of an orgasm, and can even “push down” the hypersensitive state following an orgasm so that you can keep on going.</t>
  </si>
  <si>
    <t>The Hungry Womb</t>
  </si>
  <si>
    <t>Your womb knows what it wants, and what it wants is cum. Not only is it perfectly safe for a partner to penetrate your womb, but it is actually extremely pleasurable. What’s more, you gain a bizarre level of control over your womb... well, subconscious control. Your womb will reach out to envelop cocks that grow close to it, and can suckle sweetly on dicks after they’ve entered it, and when they come your womb will devotedly milk the cock of any cum that may be left over, and will suck up any jizz that might have escaped into the rest of the pussy. 
Hm? You don’t have a womb? Don’t worry, this perk will also affect the wombs of those you have sex with. What’s that? Neither you nor your partner have wombs? That’s no problem at all—this perk will also allow the deep inside of the rectum to be similarly animate, and even allows for safe penetration of the large intestine, should you have a partner with a sufficiently large cock.</t>
  </si>
  <si>
    <t>The Mask of Eros</t>
  </si>
  <si>
    <t>Kyonyuu Fantasy</t>
  </si>
  <si>
    <t>This strange-looking mask conceals your identity oddly well, preventing even your closest friends and lovers from recognizing you even though all it does is cover your face. Thankfully it’s not cursed or anything so you can take it off whenever you want, but you’re also the only one who can do so: anyone who tries to unmask you without your permission will find that the mask refuses to budge from your face no matter how hard it’s pulled on.</t>
  </si>
  <si>
    <t>The Milk Maid</t>
  </si>
  <si>
    <t>The breasts of the infected grow larger and start to lactate; this serves an additional purpose, however. As it is very difficult to impregnate an infected woman, many creampies are needed, sometimes even more than the infected men can produce. The milk of an infected woman, however, also serves as a powerful aphrodisiac to infected men, enabling them to function and produce more semen even when they by all rights should be drained dry. 
For you, this is a bit more versatile, as you can, at will, make any of your bodily fluids function as the same sort of strong aphrodisiac, but one capable of affecting anyone regardless of infection status. Let your partners be as virile as you want them to be.</t>
  </si>
  <si>
    <t>The Natural Response</t>
  </si>
  <si>
    <t>When people you are attracted to see you naked, they have a single response; desire. This doesn’t mean they’ll act on it, but no one will ever be repulsed by suddenly finding you standing around naked, regardless of your appearance. People who see your genitals instinctively want to please them.</t>
  </si>
  <si>
    <t>The Pinnacle of Elven Kind</t>
  </si>
  <si>
    <t>High Elf x High School</t>
  </si>
  <si>
    <t>As a high elf, you are better than the common rabble. By selectively breeding for the best traits, the high elves have become a superior subrace of elves; just as a normal elf is above a human, to the same degree are you above an ordinary elf in both magic and body. But this also includes your sensitivity to pleasure. What you feel in sex can’t be compared to the sensations of other elves. Be careful that you don’t lose yourself to the thrill of another’s touch.</t>
  </si>
  <si>
    <t>The Sweetest Denial</t>
  </si>
  <si>
    <t>It’s an oversimplification that the naked body is all it takes to get a partner ready for action. In your case, people often find you just as attractive while fully dressed, as if you were stark naked, or in lingerie. People’s reaction to you is as if you’re always wearing the ideal ratio of clothes to flesh for their tastes. Even when you aren’t wearing them, your clothes somehow retain at least 80% of your sex appeal. Certain clients may even find your clothing alone more attractive than the full package. Can be toggled at will.</t>
  </si>
  <si>
    <t>Trained Endurance</t>
  </si>
  <si>
    <t>Monster Girl Quest V2</t>
  </si>
  <si>
    <t>Sex in this world is a weapon, and the heroes of this world must fight against the temptation of this sin whenever they perform their duties. A hero will almost always fail to match up to a monster girl in a battle of sexual skills, however they have been trained to endure the sensation of flesh. You can now resist orgasm based off of a combination of your fighting spirit and durability. The exact amount is not one to one, but overall the stronger you are the more pleasure you can bear. Healing magic also helps regain your focus and undoes progress to your orgasm. You can selectively toggle parts of this perk if you want to simply sit back and enjoy.</t>
  </si>
  <si>
    <t>Training Plan</t>
  </si>
  <si>
    <t>This set of papers contain a personalized diet and workout schedule, allowing you to gain a fit, temptingly athletic body with a particular focus on stamina and staying power. You could go from a string-bean to a buff stud in only a handful of months! Just make sure to stick to the plan because you’ll definitely need it!
You can change who the plan is personalised for once a year.</t>
  </si>
  <si>
    <t>Underwear and Helmet</t>
  </si>
  <si>
    <t>The sheer advantage even a normal Elrk has over a human is ridiculous, not to mention a Elrk that’s the child of something amazing. Even an extremely powerful adventurer would be in danger of an instant loss if the Elrk takes them seriously. That’s why you can now completely separate yourself from any and all accomplishments and reputation you might have by running around and wearing nothing but smallclothes and a helmet. Even if you don’t change your style, places of visitation, or drinking buddies, no one will believe it’s you. You would never wear... that, after all.</t>
  </si>
  <si>
    <t>Where No One else has Cum Before</t>
  </si>
  <si>
    <t>Protective outfits are often necessary to survive in hostile conditions comfortably, but as long as you’re wearing the most important parts you can expose some of yourself without harm. If most of your space suit is ripped away, as long as your air tank and helmet is fine you’ll be able to survive in space, or you’ll be able to unzip your pants in a toxic atmosphere to screw a Venusian without worry.</t>
  </si>
  <si>
    <t>Wicked Cool Chain</t>
  </si>
  <si>
    <t>Some of the Gangsters around here have some awesome bling on them. You’re no stranger to this either as you now have a gold chain necklace with a pendant at the end of it. The pendant can be any style including a watch. What makes this different from other chains is the fact that it is indestructible and can be removed from your neck to be used as bindings against someone. When it’s worn, however, it has this rad ability to reduce the amount of damage you take from fists or melee weapons. How does it do that? The world may never know.</t>
  </si>
  <si>
    <t>Binding Fluids</t>
  </si>
  <si>
    <r>
      <rPr>
        <sz val="13"/>
        <color theme="1"/>
        <rFont val="Calibri"/>
        <family val="2"/>
      </rPr>
      <t xml:space="preserve">Your sexual fluids now contain binding chemicals, meaning that anyone who absorbs them, either orally, analy, or vaginaly, will become naturally more subservient, obedient, and addicted not just to your fluids but to you in particular. You also gain two of the following for free, and </t>
    </r>
    <r>
      <rPr>
        <b/>
        <sz val="13"/>
        <color theme="1"/>
        <rFont val="Calibri"/>
        <family val="2"/>
      </rPr>
      <t>may spend 100 CP per additional option whenever you could purchase a perk</t>
    </r>
    <r>
      <rPr>
        <sz val="13"/>
        <color theme="1"/>
        <rFont val="Calibri"/>
        <family val="2"/>
      </rPr>
      <t>:
● Brain Food - Those you bind lose gain mental acuity despite their addition.
● Service in all its Forms - Instead of mere submission, those you bond will work to make you happy.
● Universal Effectiveness - Your fluids can affect those who would normally be immune to chemical agents.
● Gastric Realignment - Anyone you bind will be able to live off of your cum, whether given anally or orally.
● Diet Drink - Your bound will grow into their ideal body shape. This will not change their gender.
● Estrogen Supplements - Those you bind are increasingly feminized.
● Total Obsession - You will become increasingly more important to your bound, until there is nothing they will not discard from their lives to please you.
● Health Potion - Your bound will be healed by your fluids, finding themselves healthier, happier, and generally more stable than before.
● Skilled Subs - Those that you bind will learn skills at an increased rate. They won't be smarter, but they will be able to pick up any skill you point them at.
● Nonstandard Base - Your binding fluids aren't actually present in your cum. Instead they are in one other bodily fluid/excretion.
● Pathogen Makeup - Those bound to you will gain this exact version of this perk, with the exception that they cannot bind you. Those that they bind will themselves share this perk, but be unable to bind those above them. On and on, in a pyramid of binding.</t>
    </r>
  </si>
  <si>
    <t>Bottomless</t>
  </si>
  <si>
    <t>The problem with eating? You eventually have to stop. Well, not anymore! Eat, eat to your heart’s content whenever you want to whatever extent you care to. While this Perk may not provide the infinite bounty you can now consume, it will allow you to handily win any eating contest you could ever enter. Also, your belly will never ‘pop,’ regardless of how much you eat.</t>
  </si>
  <si>
    <t>Boundless Love</t>
  </si>
  <si>
    <t>Earth Girls</t>
  </si>
  <si>
    <t>Your partners are the first to say it: you have too much love for just one partner to handle. You have an astonishing stamina and ability to express your love, enough to give fifty or even a hundred people each the same amount of love and affection as a normal person would give their partner. Or satisfy one person with an especially legendary hunger.</t>
  </si>
  <si>
    <t>Counter Attack</t>
  </si>
  <si>
    <t>It turns out that you’re stupidly flexible. Not just in the sense that you can successfully pull off some off the wilder positions to have sex in, but in a more violent way. And by that I mean that you could potentially suplex someone via the hold you have on them... from their dick being inside you. Oh, and they’d land in the perfect position for them to eat you out - or for you to eat them out if you wanted. Crazy, right?</t>
  </si>
  <si>
    <t>Dilf / Milf</t>
  </si>
  <si>
    <t>Most people wither as they get older, losing their health and succumbing to frailty and impotence in old age. But you hit the jackpot on the genetic lottery: not only are you handsome and virile but you age like fine wine, only becoming even more handsome and dignified with age and never losing the vitality of your youth even in middle age or your twilight years. You’re also immune to the usual frailties and illnesses of old age, especially impotence or menopause. While you aren’t exactly immortal it’s deeply unlikely that you’ll ever die of old age; you’re almost certain to set records for oldest living human and you’ll continue to look great and feel great all the while.</t>
  </si>
  <si>
    <t>Dirty Tricks</t>
  </si>
  <si>
    <t>School Girls Vs Elite Teacher Shinobu Jump</t>
  </si>
  <si>
    <t>Heh, corruption in a different sense. If you’re attractive enough, you can get away with all kinds of things and you’ve quite the talent for doing just that. Bribe a teacher in exchange for a glimpse at your panties, have someone ‘lend’ you money with a smile or put someone in all kinds of erotically compromising situations with a bit of acting.</t>
  </si>
  <si>
    <t>Forbidden Fruit</t>
  </si>
  <si>
    <t>It’s oftentimes the most taboo that’s the most pleasurable and that’s never been more true then when it comes to you. You don’t just look nice, having sex with you is a full sensory experience that’s sure to drive all but the most iron-willed of studs absolutely wild. Your touch feels like the softest of velvet and sets nerves alight with sensitivity, your smell is full of pheromones capable of activating the primal mating instincts of your partners and your taste is even more so as well as being lewdly delicious to boot.</t>
  </si>
  <si>
    <t>Gold Bra and Panties</t>
  </si>
  <si>
    <t>Omega Labyrinth: Life</t>
  </si>
  <si>
    <t>Yes, this is in fact a bra and panty set made of pure gold. But far from being uncomfortable, it fits you like a glove of the softest angel down no matter your proportions and will support even the absurdly large. Ensuring that your endowments stay perky and presentable. What’s more, for covering so little of you by itself, the set protects you about as well as a suit of chainmail while also boating a fair bit of magic resistance. Never let ‘protection’ come between you and fashion again! And yes, this could be a set of boxers, briefs, etc if you want this and you’re a man.</t>
  </si>
  <si>
    <t>Microsurgeon Immune Booster</t>
  </si>
  <si>
    <r>
      <rPr>
        <sz val="13"/>
        <color theme="1"/>
        <rFont val="Calibri"/>
        <family val="2"/>
      </rPr>
      <t xml:space="preserve">Victor Steele describes this best: </t>
    </r>
    <r>
      <rPr>
        <sz val="13"/>
        <color theme="1"/>
        <rFont val="Calibri"/>
        <family val="2"/>
      </rPr>
      <t>“Those micro-scale bots will reproduce in your body and safeguard it from some of the worst the universe can throw at you. They aren’t perfect, and more benign infections might slip through, but they’ll keep you from catching rot lung from a Trinerian. A word of caution: they’ll help you digest things that would normally be impossible for a human, but they’ll splice you to do it. You eat the wrong native foods, and you’ll wind up looking like a native. You might even start to feel like one, mentally. I’m told it’s like forced, convergent evolution. Point is, it isn’t perfect. Relying on it too often will build up too much Taint in your system, and you’re better off avoiding that.”</t>
    </r>
    <r>
      <rPr>
        <sz val="13"/>
        <color theme="1"/>
        <rFont val="Calibri"/>
        <family val="2"/>
      </rPr>
      <t xml:space="preserve"> But even if you do gain some Taint, until you reach the point of no-return, you can still slowly recover from whatever Taint you have. In addition, if you do become infected by some bug that manages to make it through the microsurgeons undetected, a skilled medical professional with the appropriate tools can scan you for the mystery bug, and update the microsurgeons to address the issue. Not everyone wants to go through Furpies, right?
You gain five replenishing doses of these marvellous machines. Anyone with these will also benefit from enhanced health, and if they encounter the right stimuli, can also induce transformations. If you have a Database of TFs, all Microbots can link to it, and provide data on transformations undertaken. They can then use those recorded transformations from the Database to cause them at will.</t>
    </r>
  </si>
  <si>
    <t>Nudity is Fine for Beautiful People</t>
  </si>
  <si>
    <t>The more attractive you are—be it due to physical appearance or social status, such as being a pure-blooded human—the more acceptable other people find you being naked. Oh, this doesn’t normalize it—people will still blush and stare and be aroused—but it does make it permissible, even from a legal standpoint, so no one will object if you go naked in the halls of an official organization or walk naked down the street.</t>
  </si>
  <si>
    <t>Orgy-Ready</t>
  </si>
  <si>
    <t>Generic: QQ</t>
  </si>
  <si>
    <t>Endurance and pacing are important to complete a quest. They’re also useful in other endeavors. In that note, you have several times as much stamina, and it recovers much faster. This isn’t just physical stamina, but also mental stamina. You can write for far longer, and your five-minute coffee break refreshes you equivalent to a three-hour nap.
And yes, that applies directly to sex as well. You can go several rounds back to back before needing a quick break to get back in the fun.
This also makes you better at scheduling and pacing.</t>
  </si>
  <si>
    <t>Overdrive Accessories</t>
  </si>
  <si>
    <t>Nyakumi</t>
  </si>
  <si>
    <t>Like all FTF members, you have a set of accessories in the form of a small ridge running along your spine, a choker, and a pair of removable full-arm gauntlets. They can be activated to grant you a temporary boost of strength and speed, allowing you to act (and fuck) with superhuman ability while the effect lasts. Of course, you’ll collapse in an exhausted heap once it ends, so be sure to make it count. As a bonus, you can use them to get substances potions into your system without needing to drink them.</t>
  </si>
  <si>
    <t>Pamper Me, Onii-chan~</t>
  </si>
  <si>
    <t>Shiritsu Risshin Gakuen</t>
  </si>
  <si>
    <t>Some are elegant and dignified. Some are wanton harlots. You are the cute and adorable type of individual. Individuals just want to protect you and care for you. Whenever you are in trouble, someone will be there to protect you. They won’t throw their life away for you, but they’ll risk injury to ensure you live. Having trouble solving something? A kind stranger may have the answer and is willing to give it to you without any cost. Even that old curmudgeon will give you advice without any snark. How nice of him~.</t>
  </si>
  <si>
    <t>Purity</t>
  </si>
  <si>
    <t>Unlike most others here, you will not fall to the corruption endemic in this realm. Your body, mind and soul all slowly repel and repair corruption in all its forms and you possess a strong resistance to any that does reach you. Additionally, any demonic perk or item can be adjusted to become a ‘pure darkness’ over time, as if a fallen angel is reminded of its heavenly past.
You may toggle the effects of this perk.</t>
  </si>
  <si>
    <t>Sensorflesh</t>
  </si>
  <si>
    <t>Each and every cell in your entire body functions as though it had a full suite of human sensory organs, plus all supernatural senses you have. Your perceptive abilities are vastly improved, and can perceive the world in every direction; indeed, your mind is improved such that you can properly handle all this sensory input. You can toggle this off or dial it down for each individual sense, in case the experience of tasting with your feet becomes too much.</t>
  </si>
  <si>
    <t>Sexual Predator</t>
  </si>
  <si>
    <t>Majuu Purification Girl Utea</t>
  </si>
  <si>
    <t>The injuu may not be great warriors but they’re still dangerous enough that magical girls are the only ones who can reliably deal with them in battle. You’re a natural apex predator with all the skill and cunning of a beast on the prowl. Fighting comes to you as instinctively as fucking, in fact they’re almost the same thing to you, and your skill at one translates easily into the other. As your sexual prowess grows you’ll find your strength, reflexes, fortitude, and raw combat skill growing along with it, making you much more dangerous both in bed and on the battlefield. Your stealth and ambush tactics are especially fearsome and when you get the drop on someone your first attack is always a guaranteed critical success which punches straight through your prey’s defenses. You might not be able to one-shot a magical girl if she’s too strong for you, but you can definitely tag her with a big dose of aphrodisiac poison or pin her with a surprise tentacle hug.</t>
  </si>
  <si>
    <t>Strength of the Goddess</t>
  </si>
  <si>
    <t>Futas are strong. Almost unnaturally so. And you are almost unnaturally strong even for a futa. A single punch from you is nearly able to crack solid concrete. Best learn your strength fast, if you don’t want to hurt anyone.</t>
  </si>
  <si>
    <t>The Drive to Rule</t>
  </si>
  <si>
    <t>Your natural nobility belies your seemingly inexhaustible work ethic. You can endure a full day of gruelling training with hardly any food or sleep, and it won’t even show on your face. You can push yourself until your whole body is paralyzed from exhaustion, and wake up to do it all again. Your hard work lets you train your body and skills at such speeds it seems like natural talent. Even if your will falters, it takes the smallest spark to let you bounce back with twice the energy.</t>
  </si>
  <si>
    <t>Understickers</t>
  </si>
  <si>
    <t>Understickers: the underwear of the future! These thin smart garments attach near seamlessly to any body, no matter how hairy or scaly. Despite their small size, they are capable of comfortably hiding absurdly sized erections, containing gallons of cum, and are even suitable for use as swimwear. They also double as sex toys, being able to stimulate the area they cover with solid yet flexible programmable constructs with perfect fidelity. By default, they transmit the sensations from their outside, but these can be selectively altered, dimmed, or eliminated by a companion app. Additionally, understickers can be linked together, allowing you to fuck or be fucked by someone anywhere in the world, or you can design presets to have it act as almost any sort of sex toy.
This perk gives you a wide variety of Understicker sets in a number of styles, along with a technical database to teach you everything you need to program them, as well as a development kit to help design compatible software.</t>
  </si>
  <si>
    <t>You Are What You Eat</t>
  </si>
  <si>
    <t>Gorons are natural sources of fire-proof potion, a vital necessity for anyone visiting Goron City, but the only way to extract this alchemical power is from the loins. Your body has a similar quality, but more potent and flexible in nature: you absorb alchemical power from anything you eat, with a large enough infusion of that power making a permanent enchantment as your body starts producing it naturally. A diet of volcanic rocks could grant a goron’s immunity to fire, but chugging healing potions could give advanced regeneration instead, etc. Your body only holds one enchantment at a time but you can freely share its effects using your bodily fluids, like giving someone a nice big creampie. You also have a cast-iron stomach which can handle “food” like the (in)famous goron rock roasts.</t>
  </si>
  <si>
    <t>A God Among Dragons</t>
  </si>
  <si>
    <t>A dragonspawn is not just any dragon hybrid but the child of a dragon god, and that divine heritage grants them enormous influence over their lesser kin. You have the aura of a superior dragon to the senses of all other types of dragons, from wyverns and manaketes to humans blessed with draconic blood, such as the royal families of Nohr and Hoshido. Non-sapient dragons like wyverns become highly submissive towards you, making it a trivial matter to tame and domesticate them, while intelligent dragons like manaketes and others who might make fitting mates instinctively desire you, even going into heat just by spending time in your presence, though you can suppress this at will. Any dragon who dares to challenge you despite your power will learn that you are able to smite them with divine retribution, empowering both sword and spells with a dragonbane effect which effortlessly cleaves through draconic armor and spellwork.</t>
  </si>
  <si>
    <t>Anthro Nip</t>
  </si>
  <si>
    <t>You are like catnip for non-humans. The taste and scent of your body are extremely pleasant, the sound of your voice is like music, the feeling of your body is magnificent, your touch is heaven, and your mere presence fills them with warmth and contentment.</t>
  </si>
  <si>
    <t>Battlesuit</t>
  </si>
  <si>
    <t>When a mastermind needs to throw down in person they rarely go to battle without help from the products of their superior planning and intelligence. This set of power armor is one of the mightiest weapons known to humans, designed to supplement and enhance your powers with the power of science and technology. Whether you stole it, commissioned it, or built it yourself, this suit of armor transforms your costume into a formidable weapon system equal in strength to the powers of many heroes. The frame can be modified to hold any number of weapon systems and defensive options, but for some reason the power plant is most effective and provides the best output when those weapons are erotic in nature: lasers which only destroy clothing and equipment, mechanical tentacles mounting weaponized vibro-heads, missiles loaded up with sticky latex warheads, and so on.</t>
  </si>
  <si>
    <t>Beauty of Ressurection</t>
  </si>
  <si>
    <t>Your beauty is akin to one who spent a hundred years having their body remodeled by the Shrine of Resurrection. More than mere aesthetics, your beauty borders on the divine and it’s no exaggeration to say you’re easily the most beautiful man or woman in all the world. With such beauty also comes great influence over those affected by it. Adventurers gladly part with their gear for a moment of your time, salesmen slash their prices hoping to see you again, and great heroes will gladly go to the ends of the earth hoping to win your heart. Your appeal stretches across all boundaries of sexuality and personal preference, drawing the eyes of everyone capable of feeling sexual attraction unless you take steps to conceal yourself.</t>
  </si>
  <si>
    <t>Big Beautiful "Wyvern"</t>
  </si>
  <si>
    <t>A small reminder: even a tier 1 Monster is at least going to be three times or more bigger than the Hunters coming after you. Even if you subdue them, pleasantly, there isn’t much chance that they’re going to get out of a row with you without some permanent damage, at least without this Perk. In addition to fiat-backing that you will never crush or cause other size-related injury to any sexual partners you have, you and them get off more the bigger and heavier you are than them at the time of sex.</t>
  </si>
  <si>
    <t>Bred Tough</t>
  </si>
  <si>
    <t>The life you lead is far from easy, especially these days. More than a few times, you’ve been thrown out with the trash in a back alley once your client has finished with you. Sometimes, you’ve needed to rough it out in the streets for a few nights. That’s not even getting into what some of the parties you’ve been hired for have made you do. But your body, somehow, keeps holding out. That body of yours can take an absurd amount of stress and harm, all the while remaining healthy, fit and wonderfully tight. Constant whoring yourself out, taking hard drugs every day, even letting client’s do particularly rough stuff with you, it just doesn’t appear to truly hurt you. Even getting addicted to something isn’t that big a deal, since you deal with withdrawal so easily. You can stand sleeping out in the cold without any worries, find even normally painfully uncomfortable seats or beds to be fine and just don’t get infected with diseases, even if you might be sucking the source of them down your throat.</t>
  </si>
  <si>
    <t>Chaddiccus</t>
  </si>
  <si>
    <t>You are ripped as fuck. Like, Mr. Universe champion times twenty. Abs hard as diamond and biceps the size of cannonballs. Not only does this make you strong enough to casually toss tanks around, as we’ve established, strength is sexy. A normal human woman could be turned into pliant mush from one mighty flex, and your natural musk makes all those weaker than you passively dream about having you over them in the literal sense.</t>
  </si>
  <si>
    <t>Endless Supply</t>
  </si>
  <si>
    <t>Your body is, somehow, able to break every known law of thermodynamics and just... produce. Any fluid or excretion you release from your body can now be produced at literally impossible rates. You can now produce more calories than you intake my orders of magnitude, with no negative effects to your health whatsoever. At absolute maximum output, you are able to excrete or lactate at a rate of roughly one gallon every half hour, while during sexual climax you can actually triple that number.</t>
  </si>
  <si>
    <t>From Death, Life</t>
  </si>
  <si>
    <t>The true purpose of the Angels is to extend the lifespan of the Gods. The more sex they have, both with lesser Angels and with their slaves, the more ‘divinity’ (genetic material) they collect inside their bodies. By extracting that ‘divinity’, the Gods can consume it to extend their own life. In short, if you so wish, instead of impregnating someone or being impregnated, you can instead add years to your lifespan and possibly take a few off visually as well. This is a bit more direct than it should be, but for the sake of simplicity I’ll let you have it.</t>
  </si>
  <si>
    <t>Maybe you're a remnant of the Cockvore Massacres, maybe you're a certain type of succubus, what matters is that your dick is a predatory organ. Since the specifics vary even within the same species, you can choose the exact mechanics. You could have a dick that shrinks its victims, melts their body down into hot cum, and reincarnates them as your slaves once you shoot them into a fertile womb. You could have a dick that really is just large enough to swallow people whole and trap them inside where they're forced to churn up bigger and thicker loads for your pleasure while acting as magical batteries. On a more practical level, even a single feeding can keep you sated for days, and will replenish any magical energy you may have based on the strength of the target.</t>
  </si>
  <si>
    <t>Hand Funnel</t>
  </si>
  <si>
    <t>A headband that connects to your mind, it is somehow capable of producing large volumes of nanomachines, which it shapes into “hands” that then proceed to act in accordance to your will. For better receptivity between mind and hands, you receive full tactile feedback from these artificial hands (except for pain). These hands can travel some distance away from you and still operate to their full extent. You do not need to consciously control each hand; the headband is capable of interpreting your desires and acting on them.</t>
  </si>
  <si>
    <t>Heat of Passion</t>
  </si>
  <si>
    <t>The dragonfolk are strong and passionate people, a strength and passion that finds itself embodied in your flesh. Your muscles are iron, your endurance heroic, and your breath catches with flame...and a little something extra. At your discretion, your breath can act as a potent aphrodisiac, sending whichever creature it hits into a slowly escalating heat. Won’t they be lucky that you’re there to help cool them off?</t>
  </si>
  <si>
    <t>Holy Blood</t>
  </si>
  <si>
    <t>There's something in your blood that isn't human - though, neither is it a demon. Perhaps it is from an angel, perhaps it is from an actual god. Doesn't matter. What's important is, that something is 'divine' or 'holy' and marks you as such as well. With this comes a measure of beauty and charisma, as well as the favor of royalty and the like. Also anything that feeds upon blood will find that feeding upon yours is like drinking pure holy water, for added hilarity.</t>
  </si>
  <si>
    <t>Living Factory</t>
  </si>
  <si>
    <t>No beakers and test tubes for you. You can replicate pheromones, as well as create gaseous chemicals in your lungs and liquid chemicals from your bodily fluids, with the only requirement for both being that you know the chemical’s full composition; these chemicals, while within your body, will do you no harm, but you are capable of manufacturing beneficial drugs that can affect you if you let them. Note that magical or alchemical substances, such as the Elixir of Life, cannot be reproduced in this manner. You can set these pheromones/chemicals to be passively generated.</t>
  </si>
  <si>
    <t>Love Juices</t>
  </si>
  <si>
    <t>Is this really a thing that humans can do? It seems that all of your bodily fluids are full of pheromones that act as a potent aphrodisiac. These drive men and women alike mad with lust. You can even give it to friends to use on their own partners.</t>
  </si>
  <si>
    <t>Poisoned Orchid</t>
  </si>
  <si>
    <t>If there’s one lesson that a Monster Hunter drives home to the hearts of their enemies it’s that old yarn about how every rose has its thorns. As beautiful as you might be you’re at your most dangerous when you’re on your back and your enemy least expects you to be plotting a counter-attack. When you or a sexual partner climaxes you may subtly poison them with a toxin which cumulatively fatigues them while also acting as an aphrodisiac. Alternatively you may choose to use such a climax as a vector for any other toxins, diseases, curses, or other adverse conditions that you are capable of inflicting. For this purpose the duration and intensity of sex can substitute for preparations, actions, and casting time that might otherwise be required.</t>
  </si>
  <si>
    <t>Predator Body</t>
  </si>
  <si>
    <t>Vore CYOA</t>
  </si>
  <si>
    <t>Your body is more elastic than normal humans; capable of stretching any orifice wide to capture prey. What prey, you may ask? Other humans. Voring another person will provide you with a the usual effects of a meal of that size, while having several other effects. Just having them inside you, stretching you and wriggling feels somewhere between satisfying and orgasmic, depending on where you put them. Once they're digested, you may take a portion of the mass and direct it to your body, having it grow stronger and bigger than other people, up to eight feet in height. You will also find your metabolism supercharged, temporarily enhancing your other powers and/or magics. You can choose which orifices this applies to, including nipples and other odd choices, like nostrils.</t>
  </si>
  <si>
    <t>Proper Protection</t>
  </si>
  <si>
    <t>The chance of death is a major turn off for some people, though they might not think of it in the moment, dying has rather permanent consequences that to some aren’t really worth temporary pleasure. Luckily, you seem to be completely immune against potentially lethal things in the bedroom. Energy drain, mind being destroyed from pleasure, body breaking down from dark sexual magics, running out of sexual fluids, even sexual addiction, you are immune to all of them. This doesn’t save you from a direct attack such as a dagger in bed or someone trying to eat you alive after sex, and you can still become tired to the point of being unable to move a muscle or experience such intense pleasure it feels nearly unbearable. However, from sex alone you can’t die or be permanently disabled such as by as permanently level draining you down to level 1 (Temporarily is still on the table though). This also has the side effect of increasing your perceivable range of pleasure so your mind doesn’t get destroyed by breaking past it. Be careful to some in this world this makes you the perfect food source, and they don’t really need to hold back to spare your life anymore, but at least you can experience the ultimate pleasure more than once.</t>
  </si>
  <si>
    <t>Regular Patient</t>
  </si>
  <si>
    <t>The downside of being a soldier is all the time you spend in the medical tent getting patched up after battle. On the plus side this means that your body has grown accustomed to the touch of both healing magic and the healers themselves. You recover quickly even from life-threatening injuries and can be back on your feet in days after taking wounds that should leave you bedridden for weeks. It also takes much more effort to put you into a critical state in the first place; a blow that should have severed a limb is much more likely to only graze it and leave it temporarily unusable, and scars just aren’t a thing that happens to you (except the kind that makes you look more handsome!). What’s more, clerics and other sorts of healers easily become tempted into becoming lustful and amorous while tending to your needs, though never to the point of impairing their abilities or your recovery.</t>
  </si>
  <si>
    <t>Spititual Body</t>
  </si>
  <si>
    <t>Princess Sacrifice</t>
  </si>
  <si>
    <t>Your body is an unaging and immortal thing. Disease and age are a thing of the past for you. A good sword to the gut will still do you in if you aren’t careful. Another good thing about having a spiritual body is the magic it can hold — which is a lot more than some measly humans are capable of wielding. After all, you are a creature of nature and magic. It’d be kind of silly to be bad at it.</t>
  </si>
  <si>
    <t>Steel Trap</t>
  </si>
  <si>
    <t>Your innards are inescapable- at least, from the inside. No matter how your prey struggles to escape, no matter what powers they have or even what weapons you might have swallowed with them, once they go down they stay down unless you let them out, or they come out the other end. Teleporting, intangibility, phasing dimensional shifting- nothing like that works from inside you, nor can they cut or blast their way out.
This also applies to those you are bumping uglies with. So long as you are fucking someone else, this perk applies.</t>
  </si>
  <si>
    <t>Strategic Withdrawl</t>
  </si>
  <si>
    <t>For all that they are skilled warriors even the Shepherds fall prey to bad luck sometimes, but even a true disaster can’t keep them off the battlefield for long. Once per month, any injury that would have killed you will instead only leave you badly wounded and able to recover quickly provided that you retreat from the battlefield or any other source of danger immediately. However failure to do so puts you at risk of bleeding out or otherwise succumbing to your injuries, and further attacks from your enemies will not be protected as the first one was. Any situation that prevents you from retreating, such as being held prisoner by your enemies, also prevents this perk from working.</t>
  </si>
  <si>
    <t>Stud's Armour</t>
  </si>
  <si>
    <t>Because a body like yours deserves to be admired wherever you go. This high-fantasy looking suit bares the lion’s share of your musculature, and emphasizes it, for all to see, while still providing the protection you would expect from a “normal” set of armor. The exact visual style is up to you, but at least 60% of your flesh is going to be on display in the end. Oh yes, and considering you’re going to be flying through space, it is also pressure sealed, because reasons. And it scales, so you can always wear it.</t>
  </si>
  <si>
    <t>Child of the Gods</t>
  </si>
  <si>
    <t>Fate/Whore Order</t>
  </si>
  <si>
    <t>No ordinary boy could become a hero while still a child, but there’s nothing ordinary about a demigod no matter his age. The blood of the gods flows in your veins, granting you strength and potential far beyond any ordinary mortal and even many servants. You’re a near-endless dynamo of both physical and magical power and your stamina recovers very quickly when you exhaust yourself, making you an inhuman terror to anyone foolish enough to think they could dominate you in the bedroom. That's assuming they aren't slain outright by the sizable 'weapon' that your heritage has given you, something that can slay monsters and horny MILFs alike.</t>
  </si>
  <si>
    <t>Group Mind Bodies</t>
  </si>
  <si>
    <t>Thanks to breakthroughs in neural transference, you are now the hub of a group mind – five more bodies are linked to your mental command. Because your mental processing is somewhat shared across the five minds, you will find you have gained a fivefold increase in your multitasking, but your original body remains the hub of the network. Any deaths of the extra five group bodies don’t affect you very much aside from having to experience them dying, while the death of your primary body will send you home barring extra measures. 
Each of these bodies can be of different appearances, or just copies of yourself. Because your senses are also linked, you will experience everything they do. They don’t have minds of their own. They retain any modifications you make to them.</t>
  </si>
  <si>
    <t>Ring of Monarchs</t>
  </si>
  <si>
    <t>An ornate golden ring with a gem-encrusted crown shaped sigil. It greatly increases your strength, stamina, and virility/fertility, but the regal pride it imbues you with makes you more vulnerable to flattery and seduction, as well as making you a bit more unlucky for your hubris.</t>
  </si>
  <si>
    <t>Show Me Your Face</t>
  </si>
  <si>
    <t>Ah. Strictly speaking, this is a beauty perk. But, with you being so far above humanity, and their own tendencies with things they do not understand… Simply put, when they look at you, their senses are magnified. So beautiful it hurts to look at you. Your gentle caress the best they’ve ever felt. Your love is so good it drives them crazy. You could dial this back with condensed form, or drive it even higher and take over their mind for a short while.</t>
  </si>
  <si>
    <t>The Benefits of Power</t>
  </si>
  <si>
    <t>I once called the god who designed the angels blessing a pervert. I shall now do so again. You see, while it makes sense that the succubus and demons beneath Prulina would be all but built for sex, it makes no sense at all for the angels to be as well. Though I suppose that could be attributed to Mezel being a fallen angel and not a normal one. Regardless, Mezel continuously ‘revealed’ aspects of her lustful body in and attempt to force Prina to fall to lust and agree to marry her. In a similar vein, once per day you can pull similar tricks, techniques, and unusual body parts out of thin air. A magic spell that doubles your pleasure, growing a second prostate, a seventh cervix, or any other similar porn logic body part.</t>
  </si>
  <si>
    <t>You Like Me, Don't You?</t>
  </si>
  <si>
    <t>The World of Lolis</t>
  </si>
  <si>
    <t>They can deny liking you all they like; their hard-on says otherwise. You have a supernatural attractiveness about you, something that seems to transcend the personal taste of the person being attracted to you. Your expressions, your appearance, even your actions; their eyes tend to glue onto you while they watch you move about, and your every action turns into incredibly suggestive ones, even by accident. Something as mundane as eating a popsicle can make a person’s heart beat faster as they watch you act in ways that just bleed lewdness.
They might be embarrassed or ashamed of themselves after, but you can sear the sight of you into their brain, your mere presence beginning to corrupt the people around you into liking whatever category of person your current form falls into, male, female, futa, MILF, tomboy, etc. If you were to actually focus on somebody, the effect would be magnified- they simply wouldn’t be able to get you out of their head, to the point even their dreams would be all about you. It’d be easy to seduce them then, as they’d want to give into the person that just burned a new fetish into their brain.
This perk only affects the people you like and/or are attracted to and can be toggled on and off besides.</t>
  </si>
  <si>
    <t>Pinkie Sense</t>
  </si>
  <si>
    <t>You seem to have something in common with the bundle of energy and excitement that is Pinkie Pie. Your body is strangely precognitive, with a variety of sensations cropping up in response to oncoming events. This is especially true when it comes to events of a more salacious nature. You might notice a disguised changeling by the fact that you taste lemonade rather than cranberry juice when you eat her out, or your hairline tingles when someone is thinking about you while masturbating. This ability will take some experience to figure out, but is difficult to fool since so few have it.</t>
  </si>
  <si>
    <t>Simple Superiority</t>
  </si>
  <si>
    <t>It is the total truth that you are superior to others, and if other men were smart they’d be worried to even be in the same room as you- not that it would do them any good. To a lesser man you are the immovable object, and any attempt to one-up you or otherwise assert superiority either fails, backfires spectacularly, or provides you with a perfect chance to steal their women from them. Attacking you without a major strength advantage only ends in broken fists and shattered blades while anyone trying to humiliate you becomes vulnerable to getting a taste of their own medicine. In other words, a direct competition between yourself and another man almost certain to end in a very humiliating loss for your enemies unless they have you at a serious disadvantage. Of course any women who observe these “competitions” can’t help but notice how superior you are to your enemies and take an interest of their own in you.</t>
  </si>
  <si>
    <t>Spare Body</t>
  </si>
  <si>
    <t>Magical Girl Celesphonia</t>
  </si>
  <si>
    <t>Man, it's a real scary world out there. If you’re really unlucky, you might get annihilated by a pissed-off magical girl before you even know what’s happening! Thankfully, you have a backup plan. Sequestered away somewhere safe and hidden is a large tank, containing a copy of your body. If you happen to die somehow, your soul will automatically transfer to it, allowing you a second chance at destroying your enemy! Be careful though, you only get one per decade (though they can be stockpiled)!</t>
  </si>
  <si>
    <t>TITAN SMASH</t>
  </si>
  <si>
    <t>I’m sure you’ve encountered Perks that offer guarantees that, no matter how strong you are, you won’t turn a lover of yours into red paste by accident if you can bench press a mountain. This, is not quite one of those Perks. Sure, this comes with an assurance that you won’t cause any lasting damage, but all that muscle of yours? USE IT. The more sheer strength you put behind every thrust the better it will feel for both yourself and your lover. So go ahead, pound Mara Sov so hard she can’t walk for a month. She’ll still be enthusiastically thanking you.</t>
  </si>
  <si>
    <t>Vial of Elixir</t>
  </si>
  <si>
    <t>A vial of Elixir — a crazy great find! An Elixir is literally a liquid substance that can fully heal a person, replenish their power, remove all status effects, AND regenerate clothing all at the same time. It’s amazing and — we only give you one. Don’t worry, it regenerates every 24 hours</t>
  </si>
  <si>
    <t>Cloning Pinks</t>
  </si>
  <si>
    <t>An alchemical vat specialised in a certain magical process. It’s intended to clone the user, creating a physically and magically identical body while also allowing for modifications to be done mid-process. The tube will attach a special spell that links your soul to these bodies, letting you automatically resurrect into them if your current body were to die. The tool doesn’t work quickly, making a new clone every few weeks, but it’ll give you a lot more room to make mistakes or play around with different shapes.</t>
  </si>
  <si>
    <t>Blessing of Aura of...</t>
  </si>
  <si>
    <t>Feeder Fantasy</t>
  </si>
  <si>
    <t>A bit wordy? Yes, yes it is. By default this "blessing" from the Goddess mirrors Sura's own 'weight gain aura,' that does nothing more than make it significantly easier for women to get fat in a radius large enough to cover a small town like Mordau. Unlike Sura's aura, should you be a woman you are exempt from your own 'corruption' influence. If weight gain isn't your cup of tea, you may instead alter it to some other small, yet biologically possible/natural metamorphosis. Excessive breast growth, for example. Growing new body parts is not possible.</t>
  </si>
  <si>
    <t>An Essay on Lust</t>
  </si>
  <si>
    <t>Bricola</t>
  </si>
  <si>
    <t>It's incredibly unlikely that future worlds will have plotlines like this one, and even less so that they could mutate beyond canon and into something like that happening here. Still, that’s not a reason not to try! This essay - or rather, these essays - are a sound and logical argument for how sex, lust, or even skimpy clothing can supposedly help any situation you'd care to name. Whether it's something big like convincing a company to set up a retreat similar to the Gotei 13s private island where you can sleep with its hottest members, or something simpler like making the dress code a tad bit more lax, if it's possible to make an argument, it's here. That said, I make no guarantees about you even being heard out, let alone keeping your job for such a ‘disgusting’ proposal. That part I leave up to you.</t>
  </si>
  <si>
    <t>Cock Sleeve</t>
  </si>
  <si>
    <t>Niplheim’s Hunter</t>
  </si>
  <si>
    <t>A former human who’s been broken and trained to your liking, this item is a lust brand bearer like Azel who’s been reduced to being an eager cock-addicted slave to your every whim. Smart enough and well-trained enough to obey you, she can be trusted to make trips into town on her own to fetch items from the stores or lure unsuspecting huntresses back to your lair.</t>
  </si>
  <si>
    <t>Collar and Leash</t>
  </si>
  <si>
    <t>A special collar that can’t be forced on you, but doesn’t open without your owner’s permission once it is shut. The same goes for shutting down all agreed on powers, allowing you to submit fully even after you grow in power. The leash is unbreakable and never gets in the way. Those legally mark you as owned property and never draw unwanted attention.
Yes, you can use it on someone else, if you must.</t>
  </si>
  <si>
    <t>Corrupting Aura</t>
  </si>
  <si>
    <t>Corruption of Champions</t>
  </si>
  <si>
    <t>With this poisons, potions, magics, and actions by your hand will have a greater chance at getting their desired effect if intended to corrupt a target. Minor elements of corruption also seems to spring up around you infecting your general environment should you wish it.</t>
  </si>
  <si>
    <t>Dirty Mouth</t>
  </si>
  <si>
    <t>Kyonyuu Fantasy 2</t>
  </si>
  <si>
    <t>The problem with all this ‘society?’ People have all this trouble stating what they want, brazenly and honestly. You do not have this problem, and rarely if ever will you face consequences for it. Yes, that barmaid will feel abashed that you publicly stated you want to rail her womanly valley like a bull in heat, but you were honest about it. No, it is not uncouth of you to publically laud and describe how good mermaids are at paizuri on account of them not having a pussy. No, that man isn’t going to slowly back away because you said you need to bathe in his baby batter... I think you get the idea.</t>
  </si>
  <si>
    <t>Golden Decoration</t>
  </si>
  <si>
    <t>Golden Decorations are essentially a set of nipple piercings, labia piercings, and a clitoral piercing all linked with a thin gold chain. The labia piercings are used to pull them apart and open the vagina for view. Great for showing off that lovely human you’ve taken as a cum dump. They also can reduce the will of the one wearing them and making them more docile towards the owner.</t>
  </si>
  <si>
    <t>No Distractions</t>
  </si>
  <si>
    <t>But of course, sleeping with the enemy comes with it’s own risks. What if they somehow get the upper hand, they fake their defeat, try and woo out some critical information from you? Thankfully, those are concerns for other people. You always know when the person you’ve been working over the coals is actually ready to talk, or if they’re lying to save their skin. A subtle difference in the way a proper sex slave walks and how someone who’d only pretending walks. Even the tiniest flame of rebellion is like the dawn itself to you - you’d have to be blind to miss it.</t>
  </si>
  <si>
    <t>Play Rough</t>
  </si>
  <si>
    <t>Nobody really minds if you get a bit rough during sex. This doesn’t cover anything like hitting or abuse, but shoving your cock down your partner’s throat during a blowjob, spanking without permission, surprise anal sex, and similar rough play are all easily smoothed over and quickly forgotten. Do it often enough, and they might just develop a fetish for it... especially considering that this perk also gives you a natural talent for giving incredible amount of pleasure.</t>
  </si>
  <si>
    <t>Royal Stockade</t>
  </si>
  <si>
    <t>When all else fails you can always fall back on selling your body to make whatever you need to survive. It might be degrading and humiliating but there’s no denying that it’s incredibly effective at raking in rupees by the bucketload. This is a stockade where you (or someone else you pressured into it) can do a brisk business servicing customers with your body. You have a knack  for putting it where it's private enough that you won’t be disturbed by anyone who’d take umbrage with you for running a business there but also public enough to draw a constant stream of customers who’ll happily part with their money for a sample of your talents, and the better your talents are the more money you can rake in from each patron you serve.</t>
  </si>
  <si>
    <t>Smart Piercing</t>
  </si>
  <si>
    <t>Free Cities - Zenaku82 Edition</t>
  </si>
  <si>
    <t>A special clitorl ring that can be placed on a slave. Once programmed, it’ll go off when the slave indulges in certain activities. This will help make the activity more pleasant, and eventually develop a fetish for it. Have it go after during a titfuck and she’ll start considering her breasts to be her primary sex organ. Have it go off during buttsex, and she might become anally orgasmic. Have it go off when you’re holding hands and watch how lewd she gets.</t>
  </si>
  <si>
    <t>You Know You Want To</t>
  </si>
  <si>
    <t>Chichikko Bitch / Witch Bitch Collection</t>
  </si>
  <si>
    <t>If you don’t like being molested, they why are you so wet? If you don’t like being raped, then why did you just cum? I’m sure you can see where I’m going with this. Your words are now... tempting. Just enough logic and accusation to shame the fight out of someone. To convince them for a moment that they really do enjoy this, that they really are a slut. Of course, words are nothing without the proper mood... and a thorough bitch breaking to drive the point in deeper.</t>
  </si>
  <si>
    <t>A Hero's Gentle Fall</t>
  </si>
  <si>
    <t>In situations like this, you can’t be blamed if you slip a little and enjoy yourself if the other option is someone losing their life, right? Right! In situations where you’ve been trapped in a metaphorical corner, where the only options are morally dubious at best, you’ll find that as long as you were genuinely forced into the situation, others won’t hold it against you for...getting a little carried away. Pumping your puppeted (and very attractive) class president full of semen without the original owner of the body’s consent won’t have your other female classmates calling for your arrest in disgust. After all, it wasn’t your fault.</t>
  </si>
  <si>
    <t>A Sadist's Mercy</t>
  </si>
  <si>
    <t>The galaxy isn’t going to roll over and conquer itself for you, but take care that you don’t destroy the things you’re trying to conquer or kill the people you’re trying to enslave. Whether you’re interrogating a prisoner by almost drowning her or knocking out an enemy ship by targeting its engines you can always pull your punches and ensure that you do not deal more damage than you intend to inflict, allowing you to much more easily take captives instead of corpses. The only way you’ll ever break a slave beyond repair is if you choose to do so deliberately.</t>
  </si>
  <si>
    <t>Addictive Cum/Milk</t>
  </si>
  <si>
    <t>While they may not look like demons, aside from the horns, the minotaur bull-men of the mountains and the lacta bovine cowgirls might as well be demons themselves in some views. Perhaps an unkind assertion, but not an unfounded one. The corruption of these creatures has resulted in their body fluids becoming addictive, the cum of minotaurs being a powerful narcotic and aphrodisiac, while the milk of lacta bovines both strengthens the drinkers and gradually makes them completely, fatally dependent on the cowgirls.
Whether or not you are a member of these species, you do have that most distinctive feature of their biology, with addictive chemicals in either your cum or milk (or both, depending on which you can produce). Powerful enough that simply the smell is intoxicating, merely being in your presence can make even the most hardened people feel turned on. Not even the demons themselves are immune to this, leading some to co-dependent relationships.
Whether from a quirk of biology or not, you can choose not to produce the addictive chemicals too, diluting or entirely stopping the effects. Additionally, you’ll also find that you can mix and match these chemicals internally, if you'd prefer having all your fluids be narcotic drugs or if you'd like everything to be as thoroughly binding as a bovine's milk.
To facilitate the use of this new ability, you also seem to have acquired the near limitless production enjoyed by the bulls and cows, able to continually produce milk without fail for your entire life and/or cum enough to distend stomachs and fill small pools.</t>
  </si>
  <si>
    <t>Base Instincts</t>
  </si>
  <si>
    <t>Her heart may belong to him, but her body has another master. That’s what people say about the women you lure into your bed once they’ve had a taste of your cock and all the amazing things it can do to them. You’ve mastered the art of sexual conquest, turning your partners into your fucktoys by drowning them in the indescribable pleasure of being dominated by a superior lover. Your partner's consent is unnecessary but don’t be surprised if you wind up getting it anyways, as you can fuck the will to resist right out of your victims after their first few orgasms. They might regret submitting once the afterglow fades but each time you conquer them it gets that much easier to do so again until eventually they become completely yours.</t>
  </si>
  <si>
    <t>Black Mud and Impure Desires</t>
  </si>
  <si>
    <t>Fate/Worm Night</t>
  </si>
  <si>
    <t>Sometimes, life sucks. Sometimes it sucks so badly that you just sort of snap and lash out at the nearest thing, and accidentally convince your rapist kidnapper that also kidnapping and raping your sister is a good idea. You on the other hand? Well, congratulations because you can do it on purpose. With just a few words and maybe some suggestive pelvic thrusts, you can take any misfortune that befalls you and spread it out to the people around you. You get kidnapped, your sister gets kidnapped. You don’t sleep well and do poorly on a test, everybody does poorly on the test. It’s petty as hell and twice as bitchy to do, but it also serves the purpose of lessening the focus on you be it because there's half as many people raping you or because the sight of their missery and panic somehow manages calm and focus you. Just be aware that this isn’t exactly going to win you many friends.</t>
  </si>
  <si>
    <t>Blameless</t>
  </si>
  <si>
    <t>Let's just take a moment to state the obvious thing everybody already knows: mind-controlling someone without their consent is wrong. Horribly wrong. One of the vilest acts one can perpetrate against another. But for some reason, no one thinks that about you doing it. Oh, they still won't WANT you to enslave them, and they’ll actively fight against you enslaving them or others if they can, but if you DO bend their minds to your will, then even if they break free, they'll never hold it against you, they won’t be traumatized by the experience, they won’t try to come after you for it, and they'll never be mad at you or think less of you for enslaving others against their will either. (If you make serving you enjoyable enough, those who’ve broken free may even decide to submit of their own accord.) Useful if you find yourself needing to work with someone who would otherwise reject you on moral grounds.</t>
  </si>
  <si>
    <t>Broken, Yet Not</t>
  </si>
  <si>
    <t>Sometimes you need to just make a few light changes, maybe reorder their priorities. But, most of the time that won't happen - your dick will get the better of you and you’ll utterly break your new toy. And all the useful skills they had in their pretty little head will go down the drain. Thankfully, you don’t have that problem. Your toys will bounce back somewhat from what you do to them. Slavish devotion will remain, but they could at least pretend to be normal, and would be able to spend just under a week without the D without collapsing into an undersexed wreck.</t>
  </si>
  <si>
    <t>Delicate Manipulations</t>
  </si>
  <si>
    <t>It’s no simple thing, to corrupt an outstanding member of society into a depraved fucktoy eager to drag down the rest of humanity. It requires fine precision, delicate control, and the ability to realize when you’re pushing too far. Fortunately, you are a deft hand when it comes to manipulating other people, and you find it easy to twist others to your whim. Perhaps Ravana required demonic essence and mind control to drag down her pet project into depravity, but you’re even better than her; with words alone, you could despoil the heart and mind of even the purest and most determined. Oh, it would take you time — a long time, longer than Ravana’s method — but a mere resistance to mind control would never be sufficient to stop you from poisoning someone’s soul wit h your words. If you were to bolster your influence through mind magic, illusions, and other such tricks, well… the world would be your oyster, wouldn’t it?</t>
  </si>
  <si>
    <t>Essence of Evil</t>
  </si>
  <si>
    <t>Ganon’s essence taints everything it touches, but few things are more corrupt than the bodily fluids of the monsters he creates. Your essence is infused with dark magic, transforming your blood, sweat, cum, and other fluids into powerful aphrodisiacs. Your scent is a potent musk which stirs arousal in men or women of interest to you, and your bodily fluids are powerfully addictive if ingested. A single dose can cripple a victim with arousal, sapping her strength and giving her cravings for more. If taken in large enough quantities even the most stalwart heroine could be reduced to a mewling cum slut desperate for her next hit, though you can also reduce these effects if they become inconvenient. You’re also immune to your own fluids and any similar kinds of drugs.</t>
  </si>
  <si>
    <t>Faith in the Holy Slime</t>
  </si>
  <si>
    <t>You have prodigious skills at conversion. You can easily see where someone’s current religion has left them wanting, can determine a person’s needs that their faith has failed to meet, and can even tell a person’s subconscious conflicts with their faith after only a few minutes of meeting them. What’s more, you know how to play up other faiths in ways that answer this person’s needs; only the most stubborn of individuals would refuse to submit. And enough sexual pleasure could break through even those barriers—you could get a devout priestess to dedicate herself to you as her new god if your prowess was great enough, even if you had no actual divine powers.</t>
  </si>
  <si>
    <t>Fetish Idol</t>
  </si>
  <si>
    <t>A small statuette depicting a young woman in a provocative pose. Quite possibly cursed by ancient powers, damned beyond imagination... Or maybe a prank from a bored succubus. Either way, leaving it near someone - no more than fifty feet - will slowly warp their mind to, let’s say ‘appreciate’ whatever fetish you choose to imprint onto the statue. If applicable, it will also warp the body - Using MILFs as an example, a young girl and a teenager might be unaffected, but a elderly woman or a mother would begin to become... more like a ‘prime’ example of the desired form.</t>
  </si>
  <si>
    <t>Leading by Example</t>
  </si>
  <si>
    <t>A true king leads his people by the example he sets for them, and your example will lead your followers down a path of hedonism and debauchery. Your charismatic influence allows you to spread your values and fetishes to those who are loyal to you, even subverting moral codes and sexual taboos if necessary to do so. A demon king who favors bondage and slavery could gradually reshape a traditional kingdom into a slave state where his values are celebrated, even influencing the realm’s art and culture. The more influence you have over your subjects the more pervasive your influence and the more extensive your reach will become, so a king or emperor will have much greater sway over his people than an elected or temporary leader. You may also choose to limit this perk’s effects and spread your influence selectively, perhaps excluding particular followers or spreading some fetishes but not others.</t>
  </si>
  <si>
    <t>Man-Sized Box</t>
  </si>
  <si>
    <t>This is a large, sturdy box, filled with packing peanuts and large enough for a full-grown human to sit inside it. The packing peanuts are enchanted to keep the person shoved into the box in a form of stasis until the box is opened. Once the lid is closed, a variety of subtle spells come into play to keep other people from being interested in what is inside the box. As a result, this would let you ship a human being via the mail to the other side of the world without resulting in any legal problems. You get a new one one day after it arrives.</t>
  </si>
  <si>
    <t>Raping Willow</t>
  </si>
  <si>
    <t>Alright, once more just to be safe. You know a good way to not get eaten by a dragon? Planting this tree close to your village. Similar to the Weeping Willow breed of tree, but it also gives off pheromones that cause monsters to want to rape you. And while that's honestly not a great thing, it prevents you from getting eaten, which is way better than being eaten. Things harvested from the tree will share this aspect, albeit to a lesser extent.</t>
  </si>
  <si>
    <t>Sin and Temptation</t>
  </si>
  <si>
    <t>Having transformed into an injuu, a corrupted Utea becomes intimately familiar with lust and desires, both her own and those of other people. This makes her the ideal temptress, a seductive agent of evil who can sink her claws into her enemies without ever casting a single spell. You’re a wicked witch whose power to corrupt even affects your words and body language, and even those who can resist your magic might still fall prey to your silver tongue and sinful body. Beyond this skill at seduction, your ability extends even into the supernatural: just by looking at someone, human or monster, you can tell what makes them hot or leaves them cold, their deepest and darkest desires as exposed as an open book before your eyes. You can then masterfully tailor your seduction to your target, exploiting the tiniest crack in their resistance to lead them into temptation and sin. Should they fail to resist these mundane temptations, even the most powerful magical defenses will crumble, leaving your victims naked and exposed to your spellwork.</t>
  </si>
  <si>
    <t>Submissive and Ruinable</t>
  </si>
  <si>
    <t>They act nice sometimes but you know what they’re all wanting from you. Men are all brutes, savage beasts salivating at the thought of tearing you to pieces. The right look, the right smug little smile from you and you can start to tease it out of anyone. You’re able to slowly bring out a more dominant and, eventually, more violent side to anyone you spend enough time with. The more depraved you want them to be, the harder it’ll get, and they’ll need a real push to start hurting people other than you. Sometimes the nice guy really can be fixed, into the nasty monsters you love to have slapping you around.</t>
  </si>
  <si>
    <t>A Bed Full of Slaves</t>
  </si>
  <si>
    <t>Dragons have no equals in this world, not among monsters and certainly not among humans. Even if they were once royalty or mighty heroines, once you’ve conquered their hearts those chosen to be your mates are merely your loyal slaves or beloved concubines. Through pleasure or discipline you’re able to awaken submissive desires in your lovers and conquer their hearts, earning their loyalty and devotion and training them into willing and eager slaves. While they must come to you willingly at first, once you’ve lured a new conquest into your bed, every mote of pleasure you grant her becomes another lesson in submission, not only training her to serve you but to love her chains and take joy in submission. Once forged, these bonds of love and loyalty bind their bodies and souls to yours so strongly that nobody else will ever satisfy them, and neither magic nor mind control can force them to betray you, their very souls rebelling against it.</t>
  </si>
  <si>
    <t>Backdoor Access</t>
  </si>
  <si>
    <t>The fun thing about being the mysterious benefactor for an entire generation of magical girls is that you get to dictate everything about their powers. Or, in this case, how they repay you for that loaned power. Normally a Shoujo would be resistant to things like mind control or corruption, as a part of the packaged deal. However, the longer someone relies on power you gave them, the weaker to those efforts (originating from you, or your minions) they become. Let them keep ‘their’ powers for long enough, and you could completely rewrite them from the ground up in minutes.</t>
  </si>
  <si>
    <t>Black Widow</t>
  </si>
  <si>
    <t>Tifa Lockhart - Agent of Avalanche</t>
  </si>
  <si>
    <t>Shinra is full of rich and powerful men and women, and powerful men are known for their powerful needs. Who better than a high-class courtesan to see to those needs? A shame they won’t see the pistol in your purse until it’s far too late. You’re the most dangerous type of whore, the kind who uses intimacy to get in close and coax your partners into letting their guards down. Having sex naturally causes your partners to relax their guard around you and causes them great difficulty bringing those defenses back up in a hurry. 
Even partners who would normally be beyond human lose some of that fighting prowess and superhuman strength when they’re with you (not that they’ll ever notice), and they gradually lose more and more of it the longer you carry on a relationship with them. Given a long relationship eventually you’ll even be able to bring legendary SOLDIERs down to the level of ordinary humans long enough to snap their necks.</t>
  </si>
  <si>
    <t>Carve a Place in her Heart</t>
  </si>
  <si>
    <t>Eyeing the Hot Elf in Another World</t>
  </si>
  <si>
    <t>You’re a lustful beast. You wouldn’t be here otherwise. Opportunities to get laid all but drop into your lap, consent optional. And somehow, that lack of consent, that you’ll do as you please and damn their opinion on the matter? That just makes things better for you. Call it blackmail, netorare, corruption, whatever you like. Once you’ve forced yourself on a woman, events will start lining up to not only prevent her from lashing out at you, but to drag her back into your grasp. You’ve staked a claim on her, and no piddly boyfriend will keep her from you.</t>
  </si>
  <si>
    <t>Dark Bindings</t>
  </si>
  <si>
    <t>Through demonic magic and dark rituals, you bind your victims to you. They are unable to leave you, unable to go further than 50 feet from you without horrific pain and suffering.</t>
  </si>
  <si>
    <t>Domination</t>
  </si>
  <si>
    <t>Whether naturally rising from your corruption or perhaps gained from a demon’s blessing, you have a kind of aura around you. Bolstering your dominance over others and making it harder for them to deny you. The more they submit to you, in battle, sexually, or simply to demands you make, the more eager your future pets become to do so on later occasions. It’ll start with easily ignored desires of submission, but will quickly grow stronger over subsequent meetings until they start dreaming of simply surrendering themselves to you.
Their own thoughts will grow treacherous, justifying their submission to themselves and reasoning that an occasional indulgence wouldn’t hurt. Eventually they’ll consciously or subconsciously throw any fights they would normally put up, unable to fight their hardest due to the deep-rooted desire to submit to you. By that point, they are liable to beg and plead for you to keep them around, abandoning their own goals in favor of your domination.</t>
  </si>
  <si>
    <t>Foul Breath</t>
  </si>
  <si>
    <t>The Lamuros Of Seven Colors</t>
  </si>
  <si>
    <t>A demon’s breath is a toxic thing, though not in the traditional sense. It does not corrode wood or metal or stone, but the hearts and mind of any who have the misfortune to breath that tainted air. With just a drop of magical energy, your every breath will unleash a powerful aphrodisiac into the world around you. So much so that a woman running away from you might just come crawling back moments later, begging for your touch. Of course, you are still weak. Against stronger opponents, something more would be required.</t>
  </si>
  <si>
    <t>Internalised Sexism</t>
  </si>
  <si>
    <t>Even as your current victim struggles and squirms on you, onlookers won’t be able to help themselves thinking positively of you. “There’s a real man.” “What a lucky girl.” “So cool...” Your current victim might hate it but those around you find indecent thoughts creeping in. Your aggressive actions become attractive and cute. Slapping your partner around slowly takes on romantic connotations. Even a violent rape starts to become idolised over time. People exposed to you acting lewdly for long enough, even if the acts are minor still, will make up excuses for you as you act out more. It takes a lot longer to work on those close to your victims but eventually, even friends and family would rather finger themselves to the thought of you than step in to help their sister or lover. It becomes easier over time to get away with things and makes new targets all the more vulnerable.</t>
  </si>
  <si>
    <t>Making a Lasting Impression</t>
  </si>
  <si>
    <t>I mentioned before that your words were convincing. Well, now they’re a little bit more than that. See, you are now physically capable of literally beating a new fetish into some. With your meat stick. Not actual trauma. Anyways, through the oh so simple act of having sex with someone, you can ‘convince’ them that their favorite fetish is whatever kind of sex you just had. Go out of your way to creampie her a few (dozen) times, and the next session that’ll be how she asks you to end it. Or maybe she just can’t get into the mood anymore without you raping her throat? Well, it’s up to you - quite literally.</t>
  </si>
  <si>
    <t>Patient Predator</t>
  </si>
  <si>
    <t>The fear at the heart of any form of corruption is its insidious nature. It is not an obstacle surmountable with fire, steel, or lead. Fitness and martial prowess are useless wards against it. It is a clever force that drives one to want and love what they once hated, often in such a manner that it seemed their own idea. This is more frequently the case for you. Defilement that you lay upon someone, spiritual, magical, or otherwise, is more difficult to detect. If they do not specifically scan for corruption, they will likely never notice it. If they do, it is so faint that it might be missed regardless. Such forces are no more potent in your hands, but they are better suited to subtly warp and alter as befits their nature.</t>
  </si>
  <si>
    <t>Pleasure Equals Consent</t>
  </si>
  <si>
    <t>Ever notice how the victim of tentacle rape doesn’t go out and tell people what happened? Well, that’s because the more pleasure they feel, the more confused they get by it. Perhaps it wasn’t rape. Perhaps it was simply sex they didn’t know they wanted. If you make them orgasm hard enough, they might even come back for more.</t>
  </si>
  <si>
    <t>Rape, Pillage, and Plunder</t>
  </si>
  <si>
    <t>Ganon’s minions were designed to dominate and enslave all who oppose them and it’d be terribly strange if they were no good at it. You’re a master of conquest and domination, and even seasoned heroines risk becoming your slaves if they fall into your clutches. Your mastery of sexual conquest allows you to break minds with pleasure and force your captives to orgasm after orgasm using only brute force rather than the skills of a more considerate lover, though having such skills will make your efforts that much more potent. These pleasures strip your slaves of their strength and resolve until all they can do is shake their hips and beg for more, all thought of escape or resistance completely forgotten. The more a person submits to you, whether beaten in battle, ravished into submission, or merely following your orders, the more you conquer their hearts and dominate their souls, gradually stripping away their desire (and ability) to resist you at all. Dominate someone hard enough and they’ll practically collar themselves for you.</t>
  </si>
  <si>
    <t>Snap Crackle Pop</t>
  </si>
  <si>
    <t>Hypno App Fantasia</t>
  </si>
  <si>
    <t>Now look at that, you’ve broken her completely! What are you supposed to do with a smashed up toy like that? It’s gotta be pretty boring even for a really extreme pervert. Not that I doubt you’re that. But since it’s so much more fun to have a reacting partner, you’re always able to bring them back to that state. It’s pointless to try with this if it didn’t happen while you were fucking like rabbits but otherwise you’re able to repair and put back together any sort of harm, broken bodies, shattered minds or outright death of the mind and body. It’s relatively easy to do, so you can get back to your fun in a few days at most, but it’ll never apply outside these situations. Even madness or death won’t be an escape for your favourite pets, if you can be bothered to put in the effort for them. If not...well, you can share this effect with one other person who can use it on anyone you break in these sexual situations too. What’s the use of slaves that make you work, eh?</t>
  </si>
  <si>
    <t>Training Harness</t>
  </si>
  <si>
    <t>The perfect outfit for an unruly slave, the training harness is a full set of revealing leather straps with a modular design allowing for extra components such as a posture collar or ball gag harness or chastity belt to be locked in to it or removed depending on the master’s preference. The entire harness is sufficiently minimalist that it can be worn underneath most outfits that cover the torso.
To a willing slave this outfit is about as comfortable as it can be. It never chafes and any attached toys or accessories never cause more pain or discomfort than they’re intended to, and it serves to constantly remind the slave of their submissive status, making them more effective at carrying out orders in your name. To an unwilling slave... well, it’s still quite comfortable whether they like it or not, although they probably won’t appreciate being constantly reminded of their slave status at all hours of the day, at least not until said reminders finish wearing down the slave’s rebelliousness.</t>
  </si>
  <si>
    <t>Your New God</t>
  </si>
  <si>
    <t>Faith is a powerful thing. It can keep people going in the darkest of days, or provide unimaginable strength when against superior foes. What it can’t do is save a bitch from breaking on your cock. You’re exceptionally skilled at breaking women and replacing their priorities in life with something more appropriate, being a good cumdump. This goes double for holy women such as nuns, monks, and priestesses, and may even cause them to start the church of cock if you put enough effort into breaking them.</t>
  </si>
  <si>
    <t>Your Resistance Makes My Penis Harder!</t>
  </si>
  <si>
    <t>Generic: Hentai World</t>
  </si>
  <si>
    <t>You’re a violent, forceful bastard and you get off on it... and so will they, whether they want to or not. Your already formidable sexual prowess and endurance is boosted even further by your darker emotions. Whether it be from fighting them in a fair duel to the death or from abusing a helpless victim, that little whiff of violence or that taste of their fear somehow makes everything just that much better. And when you finally get past the “foreplay” and it comes time for the main event all that delightful build-up of tension will be channeled back into your victim several times over, blowing their mind and forcing them to heights of pleasure no matter how disgusted they might be with themselves for being unable to hold out. They might not like you any better after the moment passes, but they’ll be forced to admit that yet again you have conquered their resistance. It doesn’t necessarily take physical violence to ‘prime the pump’; any form of cruelty or coercion works equally as well, be it physical, mental, or other.
The one limitation of this perk is that it's only fun if they genuinely don’t want it (having a love/hate relationship with the experience is fine, but if they’re actually looking forward to it then it's not really “resistance”); consensual sex isn’t any less satisfying for you but neither does it get any special ‘charge’.</t>
  </si>
  <si>
    <t>Affection Born from Humiliation</t>
  </si>
  <si>
    <t>Shunned by the Village</t>
  </si>
  <si>
    <t>When you’re involved, shame has a way of opening up people’s hearts. The more you embarrass someone, the more that person will want to be humiliated by you. And the more degradation they experience, the more your positive actions towards them start to stand out. Every little pat on the head and word of praise from you becomes mightily amplified in effectiveness, to the point that you could make people start to fall in love with you over a few moments of tenderness following them being publicly humiliated by you, if the humiliation was extreme enough.</t>
  </si>
  <si>
    <t>Bad Ender</t>
  </si>
  <si>
    <t>Almost anyone can break a slut’s mind, just chain them up and let the imps at ‘em. It takes a lot more skill to keep your pets just functional enough, even as you replace everything they were with loyalty to yourself. Using pleasure and denial to correct their behavior, to mold and shape their psyche. All to remove such silly thoughts like ‘resistance’ or ‘independence’ and instead train them in new skills, like pleasing you or making your next captive scream. Luckily, you’re one of the best. By the time you’re done with your future pet’s training, they will be lucky too if they can remember their original name. That would mean you didn’t decide to rename them while you were turning them into a better toy. Keeping their mind a hair away from breaking through your training, you can carefully preserve everything you liked about them through the process. Whether it be their combat skill or even most of their mind, so they can understand how far they’ve fallen, while also training them to feel more pleasure than they’ve ever known before from simply obeying their master’s commands.</t>
  </si>
  <si>
    <t>Big Dick Brainwashing</t>
  </si>
  <si>
    <t>Why would women need any other man when they could just be owned by someone like you? There’s no point to point being in love with a limp-dicked little boy who can’t fuck his woman’s brains out like you can. You’re able to drill this truth into the woman you conquer, dominating their hearts and bodies and claiming them as your possessions. The more pleasure a woman experiences at your hands the less they can feel from any other partners and the more they’ll grow to love you and your cock. Simultaneously any feelings they have for their former lovers will wither and fade, eventually dying out entirely. On the other hand, once you’ve conquered a woman’s body and made her your bitch, nothing short of full on mind control can free her from her addiction to you and your cock.</t>
  </si>
  <si>
    <t>Big Master/Madame's Slave Emporium</t>
  </si>
  <si>
    <t>Anyone else is likely to rescue a few slaves during their time here and get a new waifu out of the deal. You? You’re the one that enslaves prospective waifus in the first place. You are legally authorized to take and keep slaves, which is a valid response to many situations. Get attacked by bandits or muggers? Defeat and enslave them. Someone can’t pay a debt they owe you? Slave. Catch an escaped slave? They’re yours now. Catch someone breaking any kind of rule? You can chain them up and the relevant authorities will let you keep them in lieu of the normal punishment. You can even sell slaves too, and no one will think buying them from you or keeping one is anything strange. Of course, there is one catch. Slavery is legal for you now, which means there are laws you have to follow. You’re only free to enslave someone if there’s at least some kind of legal pretense to do so, otherwise it’s just kidnapping. Also, depending on the society you work in there are regulations (which you will always know by heart) regarding maximum terms of enslavement for various reasons, care and feeding, allowable fun slave activities and punishments, etc. More ethical societies have stricter rules, but they always lean heavily in a lewd way. Spanking or making them work naked (in warm weather) is something you can always get away with. Though nothing prevents you from doing dirty deeds to drive someone into debt or keep them in chains, being caught breaking the law will get you in trouble.</t>
  </si>
  <si>
    <t>Black Ooze</t>
  </si>
  <si>
    <t>Did you make a deal with a ‘God’? No? Then perhaps you’d like to make one with this ‘demon’? This black ooze is barely alive and somehow entirely yours. It feeds by reaching inside a person and sucking them out, leaving only their skin. Speaking of, you can now slip inside of said skin, and wear them to steal their life. You can of course refill them with the ooze, but their personality will more or less be gone. You’ll have to rewrite them from the ground up.</t>
  </si>
  <si>
    <t>Blessing of Power</t>
  </si>
  <si>
    <t>Ganon’s minions have no need of training to grow stronger the way knights and heroes do. Their strength comes not from practice and skill but from conquest and corruption, building their unholy might atop a pile of vanquished enemies and corrupted slaves. Even a lowly bokoblin can become a glorious golden beast if it has enough cunning and ambition. You’re able to gain greater strength by defeating or corrupting your enemies, reducing them to mere stepping stones on your path to power. Whenever you defeat an enemy who was stronger than you in some way your strength grows as if you’d stolen some of their strength and added it to your own. Defeat a lynel and your physical strength or cock size might grow, while a sorceress might fuel the growth of your intelligence or magical abilities. Corrupting or enslaving your conquests after defeating them allows you to harvest even greater power by actually stealing their strength, turning great heroes into helpless slaves and wise princesses into thoughtless sluts.</t>
  </si>
  <si>
    <t>Break my Skin and Drain me</t>
  </si>
  <si>
    <t>Some metaphors for sex in horror are just barely metaphorical. Like the vampire who places his lip’s to a young lady’s neck to drink or the succubus who drains life with a kiss, you have a method of feeding during sex. This weakens your partner, but is exquisitely pleasurable. Even a single experience is enough to make someone addicted to you, desperate and begging to be fed from again. Luckily pure sex is just as satisfying once someone is hooked, though they’ll eventually need to be fed from again if you don’t want the addiction to wane. You could easily talk someone into doing quite a lot in exchange for another hit from your dick.</t>
  </si>
  <si>
    <t>Breaking the Mask</t>
  </si>
  <si>
    <t>Angel Academy ~ Hardcore Dorm Sex Life</t>
  </si>
  <si>
    <t>Behind the mask of a prim and proper princess lies a horny sow begging for a dick, she just doesn’t know it yet. You have ways of exposing a person’s true character when you fuck them, and by this I mean that you can selectively warp a partner’s personality as you seduce them, exposing their “true self” once you strip away the mask of their inhibitions. That cold fish headmistress could become a slob who ignores her responsibilities to get fucked, or she could be a closeted dominatrix ready to help you whip her students into shape. The degree to which you can warp a person’s personality is directly related to how sexually repressed they were before you seduced them: the aforementioned headmistress could become wildly different and a person who is merely inexperienced could have things to learn about themselves, but a person with no hang-ups about sex would have few if any hidden desires for you to expose.</t>
  </si>
  <si>
    <r>
      <rPr>
        <sz val="13"/>
        <color theme="1"/>
        <rFont val="Calibri"/>
        <family val="2"/>
      </rPr>
      <t xml:space="preserve">Chains of </t>
    </r>
    <r>
      <rPr>
        <strike/>
        <sz val="13"/>
        <color theme="1"/>
        <rFont val="Calibri"/>
        <family val="2"/>
      </rPr>
      <t>Love</t>
    </r>
    <r>
      <rPr>
        <sz val="13"/>
        <color theme="1"/>
        <rFont val="Calibri"/>
        <family val="2"/>
      </rPr>
      <t xml:space="preserve"> Submission</t>
    </r>
  </si>
  <si>
    <t>A demon lord has no need for such things as “love” and “waifus”, he only needs his slaves to respect and obey him. So why do your slaves keep falling in love with you? It’s probably because you take good care of your minions, inspiring personal devotion and sometimes even love in those who follow you. Even if they came into your service against their will, so long as you treat your slaves or other minions well they’ll quickly come to enjoy serving you and do so loyally and enthusiastically. The shared love and loyalty your slaves have for you even serves to unite them in bonds of friendship or sisterhood rather than dividing them with petty squabbling for your favor or attention.</t>
  </si>
  <si>
    <t>Contagious Corruption</t>
  </si>
  <si>
    <t>With your Lord Elysium having been sealed for so long, there was no way he could directly replenish the number of demons serving him. Instead, demons were forced to do it themselves — and not by any method as slow as mating and bearing children. No, what they did was rape and violate. By giving pleasure to someone — even forced pleasure — they could awaken the corruption in the hearts of the deeply impure, and cause it to erupt and overwhelm the flesh, which would turn the subject into another demon. Becoming a demon in this manner also makes them fully loyal to you.</t>
  </si>
  <si>
    <t>Corruption and Conviction</t>
  </si>
  <si>
    <t>A dark and twisted power is the birthright of every demon king, and sin flows through your veins like blood. Is it any wonder, then, that the corruption which normally afflicts practitioners of the dark arts has so little hold on you? You possess a will of steel and are immune to most forms of corruption and mind control. No matter what depraved powers you might possess or be subjected to, your mind and body will always remain your own. Should you choose to indulge in the effects such magics might normally foist on you then that is another matter, but these effects influence you only with your express permission, and you may rescind that permission whenever you please. But beware of holy and divine magics, for your resistance is less effective against magic that cleanses and purifies.</t>
  </si>
  <si>
    <t>Corruption of Heroines, Downfall of Heroes</t>
  </si>
  <si>
    <t>Master of the Harem Guild</t>
  </si>
  <si>
    <t>Do you know what sucks? When you carefully craft a plan to take over the world, have your monsters slaughter the normal soldiers, and then a band of Heroes and Heroines show up and send all your plans crashing down. Luckily you know just how to deal with all those pests... sexually. You seem to have great luck with finding random guys and gals to fuck your enemies and distract them from opposing you. And any hero/heroine who had their lover cucked also seems to lose the will to fight making them easy pickings.</t>
  </si>
  <si>
    <t>Creampie Diplomacy</t>
  </si>
  <si>
    <t>Now, not everyone’s going to be equally happy about being required by law to fuck a total stranger. Depending on their first impressions, they might even think you’re a creep, lowlife, or filthy commoner. Luckily, you have a way of changing someone’s mind with repeated pregnancies. Regardless of how they feel about you before, they’ll begin enjoying your presence even as bearing your children starts to feel normal to them. Over time, you can go from being considered a creep or lowlife to a trusted friend, lover, or even master.
This also helps change their mind about the pregnancies itself. Even if they start out disliking or hating it, they’ll soon begin to feel a strange sense of disappointment if a creampie doesn't actually manage to impregnate them. Eventually they might start fantasizing about it, asking you to impregnate them, and thank you for getting them pregnant again.</t>
  </si>
  <si>
    <t>Dibellan' Scriptures</t>
  </si>
  <si>
    <t>Modded Skyrim</t>
  </si>
  <si>
    <t>It might be a bit of a stereotype, but being the goddess of love and beauty, Dibella is clearly the divine whore, and her priestesses probably aren't much better. This book is 'proof' of that. In the hands of her priestesses (or anybody with or following someone with similar domains) the book pulls this ‘truth’ closer to reality. While it won’t actually make them act as such, it will leave them far more... sensual. This is primarily apparent in the priestesses, but the congregation, or even just people who wander in needing a roof for the night will benefit from a minor appearance boost and some skill in bed.</t>
  </si>
  <si>
    <t>Don't Mind the Evil</t>
  </si>
  <si>
    <t>Even though your goal here may be to steal people’s hearts, that’s no reason why they can’t actually like you beyond the whole ‘lots of sex’ part of your relationship. Treat your new brainwashed slaves well, and they’ll have doubts about actually killing you if they get free. Treat them like an actual person, and not just a walking fuckmachine, and they might even fall in love with you. Make actual love to them? Expect them to fight in order to be re-corrupted.</t>
  </si>
  <si>
    <t>Drunk on Love</t>
  </si>
  <si>
    <t>Angels', you see, are eusocial like bees; they have a queen, workers, and drones, all converted from humans. And this is how that is accomplished. Unlike creating a queen, which requires the previously mentioned genetic compatibility, a worker - another futanari, though not one that can create more - can be created simply by fucking them with that intention. Doing so without that desire will simply overwrite a small part of their genetic code, brainwashing them into obedience and a desire to fulfill your every whim - and to be filled by you again. Fun, right?
And if you don't have a penis, well, I'm sure that'll get fixed eventually, right?</t>
  </si>
  <si>
    <t>Forget Your Friends</t>
  </si>
  <si>
    <t>Given enough time, even the most stubborn of souls will give into despair. Of course, why wait? You should be giving them a helping hand instead! When you overload someone - it makes no difference if this is with pain or pleasure - they’ll very slowly forget that things other than that sensation exist. Enough pain would make them forget their happy memories... Enough pleasure would make them forget they ever loved anyone who wasn’t you. Of course, if they just stand up and walk outside, that ruins everything. Best to keep them on lockdown.</t>
  </si>
  <si>
    <t>Heart Jar</t>
  </si>
  <si>
    <t>Feeling dickish, Master/Madame? Hold this crystaline container up before someone, ideally as a surprise, and you can tear their heart out. They won’t die. In fact they will become immortal and eternally youthfull while you hold their heart. Of course, now they have no choice whatsoever when it comes to obeying your every whim. A simple squeeze of the container is enough to induce agonizing pain on a spiritual level in the heart-ripped individual. But hey, free servant. Although, do be mindful, if you aren’t ordering them around they DO still have free will. And could easily backstab you, with outside help, if you abuse them.</t>
  </si>
  <si>
    <t>Huntress Trainer</t>
  </si>
  <si>
    <t>Maybe it’s because of how you spend all day beating metal and materials into newer and more pleasing shapes but you also seem to have a knack for doing the same with people. You have a sadistic streak a mile wide and can train your partners to enjoy even the most depraved forms of sex, starting with training their erogenous zones to be more sensitive and working your way up from there. With enough exposure to it, the pleasure of anything from BDSM to bestiality can be drilled into your partners until they’re happily dropping their panties on command for acts they might have hated once. Further, this training makes them much more effective in any kind of sex-based combat, such as when facing down a monster intent on raping them.</t>
  </si>
  <si>
    <t>I Fuck the Darkness</t>
  </si>
  <si>
    <t>You can outright fuck the Evil out of (or into) someone/something. “Inject” your own morality into them, with every thrust. An enemy peon like a Thrall or Dreg could be flipped and redeemed in a single row. But, of course, the more thoroughly entrenched their morality is, the longer, and more often, you’ll have to plow to rewrite their morality. Someone like Savathun could be the work of an entire decade, for instance.</t>
  </si>
  <si>
    <t>Iron Maiden</t>
  </si>
  <si>
    <t>You have found an Iron Maiden MK.3 super-prototype abandoned by the Seekers of Truth. Upon activation you have earned it’s loyalty. It has shape shifting properties to allow for torture of creatures possessing unusual dimensions like a lamia’s, up to creatures of 12 feet in height. It can be placed on your property to deter intruders and has a host of sexual functions to assault both genders. It can also take the shape of furniture such as a chest or a wardrobe. If it is killed or damaged it will be able to self-repair even from disintegration in twenty four hours but will go into hibernation mode until further orders. It is fully sapient and intelligent and can understand complex orders, it is more than willing to let you safely partake of its pleasures if you request it. Furthermore it can make intelligent conversation and learn skills if you are willing to teach it. Lastly, it can make amazing dirty talk sure to arouse their victims or corrode their will and break their minds depending on orders and how she is feeling that day. However if it feels abused, bored or lonely (not a common occurrence) it might take things a bit farther than normal such as keeping you inside for thirty minutes to an hour longer than you asked or toy with it’s victims such as draining someone close to death, letting them recover, then as they try to run away trap them again. No matter what though, it would never harm it’s precious master’s mind by traumatizing it, unless of course that is what they want.</t>
  </si>
  <si>
    <t>Iron Maiden Grip</t>
  </si>
  <si>
    <t>Metal &amp; Lace</t>
  </si>
  <si>
    <t>You know how a gal will be kicking ass and piling up bodies, but the moment someone grabs her by the wrist or upper arm, she suddenly turns into a helpless damsel? You can do that. Everyone’s ‘handle’ is slightly different, but you can identify it by brief examination. Doesn’t work if the intended victim is significantly larger than you are (such that you can’t get good leverage), a machine, embodying a Silhouette (unless you are as well), or not actually female. Victims will instantly recognize if you’ve lapsed your grip enough for them to break free and retaliate, which can be disastrous if they’re significantly stronger, more skilled, or supernaturally empowered.</t>
  </si>
  <si>
    <t>Kinklestial Spirit Mage</t>
  </si>
  <si>
    <t>You know, it’s a bit interesting that both Lucy and Yukino are massive sluts. Lucy at least does it for money - Yukino just likes getting gangbanged. Once is a coincidence, but twice is a pattern. See, right now, two is actually just under half the female celestial spirit mages. It stands to reason then, that the others are massive whores as well. In other words, you can basically infect a specific demographic (for example: pyromancer wizards, tinker heroes) with lewdness via fucking it’s members.</t>
  </si>
  <si>
    <t>Light Touch</t>
  </si>
  <si>
    <t>You could modify a person into believing whatever you want, warp their body to fit your tastes... or you could make them change themselves to please you, or to pleasure themselves. You have a knack for the tools and toys that grant you your power, getting larger effects from smaller changes. Why bother dedicating any real effort towards acquiring an asset when you could issue just one or two commands, and set of a chain of dominoes that could save you days or weeks?</t>
  </si>
  <si>
    <t>My Erona</t>
  </si>
  <si>
    <t>Occasionally a slave you spent so hard training could find a way to escape your grasp, or a noble knight could force you to retreat and ‘rescue’ his loved one. Your slave could even have the gall to find some magic and remove your curse mark and the memory of any conditioning you put her through and go off to live a ‘happily ever after’. But no matter in what way she runs, your slave could never forget her time at your feet, and the memories will haunt her dreams and make it so that she will find no sexual relief at her own hand or the hands of her spouse. Eventually, she will find herself coming back to you out of the mistaken belief she can take revenge. Of course the moment she comes face to face with you, all the training you put her through will come crashing back down on her, leaving even the strongest-willed knights to fall to their knees and beg you to make them yours again.
After willingly giving themselves up again, any tricks, like memory alteration or purging their bodies of foreign magics, that their former friends or allies try to do to bring them back will be completely ineffective; they may have been blinded by magic and lust before, but they now serve you of their own free will.</t>
  </si>
  <si>
    <t>Pleasure Slave</t>
  </si>
  <si>
    <t>The most insidious part of the Dystopian conquest isn’t how they turn free people into slaves, but how they can make those slaves enjoy becoming the playthings of their new masters. You are a master slave trainer, skilled not only at breaking down the wills of your captives but also at building them back up again once you’ve broken them, turning your enemies into loyal pawns or mindless pets or whatever you have in mind for them. Moreover, unlike most slave trainers you needn’t torture your pets with conventional methods to break their wills. Pain and discipline may have their place, but in your hands pleasure alone can turn a defiant slave into a mewling pet begging for her next orgasm. It will take time to break strong-willed girls like the Star Guardians but even those brave little heroines can be brought to heel with enough time and patience...</t>
  </si>
  <si>
    <t>Poisonous Friendships</t>
  </si>
  <si>
    <t>The very bonds that make help the Utea a force to be reckoned with can also become chains that shackle them to each other, and when one magical girl falls to darkness she might very well drag her friends down with her if they don’t save her quickly. But for a dark magical girl this is quite ideal: who better than friends and loved ones to receive her dark gifts? Your relationships are the ideal vectors for spreading corruption to other people, allowing you to bypass resistances and immunities that might normally stop such magics by exploiting what they feel for you, even those for whom your friendship was an act all along. Even once you reveal your true nature those who fell for the act will still struggle to fight their so-called friend, pulling their punches and trying to capture and redeem you rather than dealing with you like any other opponent. Even if they do capture and purify you, you can choose to use the experience of hiding your corruption to husband a tiny ember of darkness deep in your womb ready to be stoked into a raging bonfire once more.</t>
  </si>
  <si>
    <t>Power Begets Powerlessness</t>
  </si>
  <si>
    <t>Heroes, goddesses, immortal god queens, you know what they all have in common? They don’t yet realize they’re addicted to cock. Their resistance is still likely to happen if they can remember to do so, but for some reason the personal power levels of your new breeding bitch only serve to make their enjoyment of their enslavement even harder to resist. A normal woman might feel bad about cheating, a goddess wouldn’t bother.</t>
  </si>
  <si>
    <t>Revenge in Kind</t>
  </si>
  <si>
    <t>So, you beat the Shoujo into the ground and took your reward from her. Probably her virginity. All of them. Regardless, unless you’re the scheming type with a lair and minions, you probably left her there, lying in a pool of cum. But you know she’ll be back right? She’ll want to beat you into the ground and blast you with whatever her special move is until you’re dead and gone. Thankfully however, she’s become convinced that she needs to take revenge in the same manner, to beat you at your own game. She needs to rape you. As you can imagine, this is probably doomed to failure.</t>
  </si>
  <si>
    <t>Sharp Minds, Captured Hearts</t>
  </si>
  <si>
    <t>World of Lewd Elves</t>
  </si>
  <si>
    <t>Well, breaking a haughty elf into your personal meat toilet is nice and all, but it loses its charm when you realize you actually lost a valuable ally in favor of a glorified stress reliever. At least you won’t have to deal with those troubles anymore, now the ‘victims’ of your ‘love’ retain their physical and mental faculties even after being broken into your loyal toys. Sure a warrior might constantly fantasize about being pierced by your ‘sword’ but she will be just as skilled in fighting and training than as if you hadn’t fucked her into submission and a noble would be just as sharp witted and clever as ever, even if she would happily stop whatever plot she is working on to suck you off under the table. As an added bonus those you turn into loyal sex slaves seem to become really good at acting as if nothing has changed, even an attentive boyfriend would think absolutely nothing is wrong even when his ‘loyal’ girlfriend was cheerfully fucking you behind his back and a whole city would be capable of fooling most outsiders that everything is normal and that you haven’t made it into a sexual paradise.
You can still choose to make them nothing but sexblobs if you want though.</t>
  </si>
  <si>
    <t>Slave Contract</t>
  </si>
  <si>
    <t>Gun Tribe</t>
  </si>
  <si>
    <t>Slavery is a very recent part of history in this version of America, and something that could get you in a lot of trouble for engaging in it—or it could have, before you purchased this item. By buying this paper, you are legally considered the owner of all the slaves that you possess, regardless of the law’s actual stance on slavery. But more than legal protection of having slaves, you are a giant social blind spot. When it comes to you and your slaves, even the most ardently pro-freedom individual will accept your right to have a slave and not find anything strange about it. This applies to both slaves you own at the start of the jump, and those you take; people might fight against you when you try to claim someone as a slave, but once you’ve taken them as your own and are indisputably their master, even those that previously fought for their rights will accept that you are their new owner and stand aside.</t>
  </si>
  <si>
    <t>Slave Trainer</t>
  </si>
  <si>
    <t>Free Cities - 9anon Edition</t>
  </si>
  <si>
    <t>A skilled slave is a valuable slave, and you have the skills and know-how to make even the most useless slave worth having around. Beyond knowing how to instill your thralls with a mastery of the sexual arts and all manner of skills that’re practical to a slave, you’re also able to teach them any skills you personally possess rather quickly, even if they don’t have the capacity for them. Like teaching magic to someone without the ability to use it, or getting a dunce up to speed on quantum physics. This is still on the scale of many weeks, probably months, but that’s likely far faster than normal.</t>
  </si>
  <si>
    <t>Slut Breaker</t>
  </si>
  <si>
    <t>You find that, despite their feelings or intentions, even virgins act like sluts once you have gotten properly started on them. As you force pleasure upon, or take your own from someone, they find their attempts to resist you weakening. Progressively their body will cooperate no matter what their mind thinks, their hips grinding without prompting or their tongue swirling even though they wish to bite down. The more often you inflict this state on someone the easier they fall back into it and the longer it will last even while they are not being actively stimulated. Keep it up and you can see the hatred in their eyes even as they dress like a whore or dance for your pleasure.</t>
  </si>
  <si>
    <t>Slut Sorting Algorithm</t>
  </si>
  <si>
    <t>Most people will tell you that people cannot be reduced down to numbers. Most companies will try anyways, in an ever escalating and privacy invading attempt to sell you things. You, along with the council of censored faces, have pooled resource to put this together. A computer program that finds the women out there in the world who just need the tiniest push to dedicate their lives to lust. It also records the patterns of what does and doesn't work to make them fall, and will slowly learn to advise you on the process.</t>
  </si>
  <si>
    <t>Subjugation</t>
  </si>
  <si>
    <t>Collar 6</t>
  </si>
  <si>
    <t>If you can keep someone under your thumb, you can eventually bring them to heel. Doing this might not be easy or even practical in the most extreme cases, but the possibility will always exist, if you look for it. Always. “Absolute” mental defenses will turn out to have some tiny weakness you can exploit, “infinite” willpower will eventually run out for a short while, and the most intractably stubborn personalities will turn out to have some kind of fear you can use to your advantage. What form this opportunity takes will never be immediately obvious, but it will be there.
Moreover, this perk also lets you know how close you are to the red lines of breaking someone beyond recovery, just in case you want to take a step back and avoid personality death. After all, you’re not a little kid and, if you break your toys, it won’t be an accident, but because you wanted them broken.</t>
  </si>
  <si>
    <t>The ‘Rewards’ of Loyalty</t>
  </si>
  <si>
    <t>You’d think a group or empire that runs basically on lust would crumble the moment it meets any stiff resistance, but you’d be wrong. The men under your command, when motivated by proper ‘rewards’ seem to fight like devils, fighting when many other men would have already broke and ran. A ragtag group of mercenaries, for instance, could even take the heavily defended Sixth Fortress from the Seven Shield Alliance’s most veteran knights. Give them enough ‘rewards’ and your men would be unshakably loyal to you and to your lust filled campaign. I guess you could also just pay them in gold and plunder too...but where’s the fun in that?
If your army so happened to be made up of women instead, then they will be motivated to fight at similar levels for a chance to be ‘rewarded’ by you, or any captive men (or women) you have.</t>
  </si>
  <si>
    <t>The Lewd Virus</t>
  </si>
  <si>
    <t>The Lewd Virus has a 100% fatality rate in women between the ages of 10-20. The infected have higher libidos, lower inhibitions, enlarged genitals, and an extreme resistance to fertilization (in women) and/or the ability to release ludicrous amounts of cum (in men). While (rarely infected) men can generally survive this illness, women must give birth, which will both cure and immunise them. And, due to their resistance to fertilisation, only infected men (or others with a similar copious volume in their loads) can impregnante them.
If this sounds like a world that you want to see, you're in luck! You get a single vial of this disease that will restock once every ten years if used. It won’t guarantee that everyone—or even the majority of people—catch the virus, but you can definitely come close with some careful planning and a bit of luck.</t>
  </si>
  <si>
    <t>The Power of Lust</t>
  </si>
  <si>
    <t>Romantics and Harem Protagonists might win the hearts of their partners with the power of love but a Scoundrel gets much more mileage out of raw lust and naked desire. For you the surest way to win a woman’s heart is to tame her body first. You can choose to use any kind of sexual contact with another person to train that person’s body and mind to become more erotic; stoking their libidos, making their bodies more sensitive to pleasure, training them to enjoy new and exciting fetishes, or even making minor cosmetic adjustments, like making their tits and asses grow round and full. With a few weeks of daily encounters you could train a virgin schoolgirl into a perpetually-horny sex addict and get her hooked on all of your favorite fetishes. However this perk only works with consensual sex; your partners have to genuinely desire you before you can start feeding that desire.</t>
  </si>
  <si>
    <t>To Rule the Nest</t>
  </si>
  <si>
    <t>But it’s not enough to just be at the center of a nest, you need to command it. And now you can; if someone desires to have sex with you and you are attracted to them, then that desire will become, from their perspective, a need. And as a“need”, almost anyone will be willing to go to great extents to see that need satisfied. Just like a starving person would willingly eat a food they normally hate, someone deprived of sex with you is likely to do just about anything you ask of them, no matter how degrading the act might be, as long as there’s the promise of you fucking them at the end.
To keep you from just being raped, this effect won’t interfere with the person’s respect for consent. Even if they were at their absolute desperate ends, they wouldn’t rape you... unless they’d be willing to rape you even without the enforcement of this lewd “need”.</t>
  </si>
  <si>
    <t>Touch of Darkness</t>
  </si>
  <si>
    <t>Corrupted Utea command darkness and corruption just as competently as they once wielded healing and purification magic and they delight in using their tainted gifts to drag others down into depravity with them. Most injuu spawn new demons by forcing women to give birth to them, but you’re able to corrupt men and women alike: first rousing their desires through sex or temptation, and then utilizing them as the catalyst for an unholy tantric ritual that transforms your partner into a sex demon, unquestioningly loyal and bound to your soul. The more powerful your partner the more powerful the demon they become, but anyone with a great deal of lust or pent-up desire makes a magnificent injuu even if they have no magic whatsoever, and as your power grows you can make even stronger demons out of ordinary humans, to say nothing of magical girls or any other powerful individuals. A strong will can resist your power but only having no sexual desire whatsoever can grant total immunity to it.</t>
  </si>
  <si>
    <t>Wedding Crasher</t>
  </si>
  <si>
    <t>Your sexual skills are unparalleled and your partners ache for your touch, but when you’re not around they might try going to others to scratch the itch you’ve given them. (Un?)fortunately you’ve already left your mark on your conquests, and nobody can satisfy them like you do anymore. The more pleasure you inflict on a partner’s body the harder it becomes for them to be satisfied by anyone else, though you can limit the perk’s effects to specific targets, such as only ruining your partners for other men. You can even drive a wedge between your conquest and any current partners they may have. Stronger relationships take more effort to break up: a chaste or abusive relationship might be damaged by a smouldering kiss, but True Love might need a month or two of regular cucking before you finish driving off the other guy.</t>
  </si>
  <si>
    <t>Women Should Serve You</t>
  </si>
  <si>
    <t>You might give those that you mindbreak to your men to ‘inspire’ them but both your men and the heroines both know who they serve. While I hesitate to call this anything as substantial as love they will find sex with others to have become duller and sex with you to have become more pleasurable. Given the option of a night of lovemaking with one guy or a short blowjob with you, she’d take the blowjob every time.</t>
  </si>
  <si>
    <t>Ass of Legend</t>
  </si>
  <si>
    <t>While the rather natural assumption about Dickgirls is that their cocks are so large and overpowering that anyone they fuck rapidly becomes addicted to them, there’s no rule that you can’t have an ass so amazingly fuckable that they end up addicted to you instead. Such an ass would be a weapon of mass destruction, taming Dickgirls by leaving them unable to fully pleasure themselves unless that divine booty was involved. You have such an ass. Once it’s been tasted, there are very few people alive - male, female, or shemale - that will fail to do anything you want in exchange for another opportunity to fuck it. To be perfectly clear, this does not apply to your hands, mouth, breasts, or any other body part. Only your ass is so overpoweringly absurd as to turn a highly dominant Dickgirl into a sumbissive slave in exchange for more.</t>
  </si>
  <si>
    <t>Can't Argue with Results</t>
  </si>
  <si>
    <t>Generic: Lewd School</t>
  </si>
  <si>
    <t>​All that people care about is results. When you're doing a job for someone, so long as that job is being done well, no one will care how you do it. If you're a teacher, as long as the people learning from you are getting good grades and behaving in the public eye, no one will care what your teaching style is. Trade correct answers for orgasms, as long as those test results are high. Punish the girl always talking in class by making her give you a blowjob. No one will bat an eye as long as her behaviour gets better. Still, be careful, this will only go so far.</t>
  </si>
  <si>
    <t>Demon King of Pleasure</t>
  </si>
  <si>
    <t>You may be a whore, but you are not one to be claimed. No, you are quite simply too slutty to break. You can genuinely claim to love every fetish that exists with all your heart, unless you have some personal trauma that prevents one of two of them from appealing to you. A big fat cock could make you cum buckets, as could a tiny microdick and a tearful love confession - honestly, the tiny dick might even be more erotic somehow, if only for the passion within it. More to the point, you’re fully capable of turning the situation around on an arrogant lover and addicting them to you instead of the other way around via sheer overwhelming skill at thottery.</t>
  </si>
  <si>
    <t>Instant Loss</t>
  </si>
  <si>
    <t>By taking a moment to gather your might, you can shatter the resistance of a woman with the first thrust of your cock, leaving them entirely broken from pleasure even before you spend the next few hours battering their innermost folds. Once you're done, they certainly won't be walking away from you - not only because they likely can’t walk after that, but also because they know that no one will ever come close to giving them the same kind of high as you. Perhaps with support or extraordinary willpower, they might be able to resist the burning desire, but that just gives you a second oppurtunity to make them snap.</t>
  </si>
  <si>
    <t>Lust Brand</t>
  </si>
  <si>
    <t>Ah, and now we come the selling point of the whole adventure. The lust brand is a heart-shaped tattoo etched with magical power onto the navel of an unlucky (?) target, such as our heroine Azel. The bearer gains a well of magical power which they can use by drawing on the brand, but the more power is drawn the more the brand demands a price in return, inflicting the wearer’s body with supernatural lust that grows and grows until they can think of nothing but relieving it by any means necessary. This same lust will also afflict those around her, turning her into a potent form of rape bait.
While Azel possesses something similar to this item, this Lust Brand differs from hers in one very important way: the more the wearer is overcome by the seal’s aphrodisiac, the more they are subconsciously shaped into an obedient pet of the one who placed the seal on them. This is a seal you’d place on your enemies, not your friends. I hope. You do have those, right?</t>
  </si>
  <si>
    <t>MILF Minded</t>
  </si>
  <si>
    <t>Few women are fully-prepared to become a mother to human babies, much less to a tentacle monster’s spawn, but that’s nothing you can’t fix. When you have sex with someone you can opt to mentally or even physically adjust them for the role. You can slowly layer into a victim's mind feelings and compulsions for a broad range of effects related to motherhood, ranging from inflicting a fetish for impregnation to a horror at the idea of an abortion or compulsions such as one to tend to and care for their young no matter what. Similarly you can easily cure infertility, cause someone to lactate, correct a non-viable pregnancy, or even turn a man into a woman (albeit with a lot of work). You can accelerate these changes by having more sex and giving even greater pleasure to the expecting mother.</t>
  </si>
  <si>
    <t>Mindfucking</t>
  </si>
  <si>
    <r>
      <rPr>
        <sz val="13"/>
        <color theme="1"/>
        <rFont val="Calibri"/>
        <family val="2"/>
      </rPr>
      <t xml:space="preserve">Corrupting your victims with magic, or words, or pleasure- it all falls under the auspices of mind fucking, sure, but sometimes you just want to be more </t>
    </r>
    <r>
      <rPr>
        <i/>
        <sz val="13"/>
        <color theme="1"/>
        <rFont val="Calibri"/>
        <family val="2"/>
      </rPr>
      <t>literal</t>
    </r>
    <r>
      <rPr>
        <sz val="13"/>
        <color theme="1"/>
        <rFont val="Calibri"/>
        <family val="2"/>
      </rPr>
      <t>. You now have the ability to penetrate the braincases of anything you want to fuck without hurting yourself, usually through the ear. How pleasureable (or lethal for that matter) this is for your victim is up to you. Cumming inside them will fill their brain with your seed, literally impregnating their mind with an overwhelming, unquenchable arousal. If you have tentacles, or other means of finely manipulating such things, you can be more specific in your mental fuckery, wiping away certain ideas in favour of lust, or drowning particular stimuli in arousal. A little cum on the brain can go a long way.</t>
    </r>
  </si>
  <si>
    <t>Slave's Ensemble</t>
  </si>
  <si>
    <t>The Gerudo were the most militant of Hyrule’s races even before the Nightmare began, and their thirst for conquest has only grown since Ganon’s curse began subtly grooming them to serve him once more when he inevitably returns. These fetching clothes, fine jewelry, and magical tattoos will soon adorn your slaves and mark them as your property just as they do for many in the Gerudo and Yiga clans. The exact outfit is yours to pick: it can be as bold as a uniform or as subtle as a collar, womb tattoo, or piercings, and comes in as many forms as you like. 
At any moment, you can reach out and ping a given slave seal to learn its wearer’s location and general status, and cast spells on them even at great distances, whether to toy with their bodies and minds from across an entire kingdom or to protect them whenever rival monsters think to lay hands on your slaves. But few will dare do so: each seal holds an impression of your power and warns all who see it that harming your property will incur your wrath, and the greater your power grows the more effective this protection becomes. A bokoblin’s threats intimidate nobody, but a demon lord’s servants are nearly as safe as if he loomed over their shoulders at all times.</t>
  </si>
  <si>
    <t>Strength is Relative</t>
  </si>
  <si>
    <t>Waifu Fighter</t>
  </si>
  <si>
    <t>Despite having the strength to easily snap Jack’s arms without even trying, none of the women Jack rapes put up any actual resistance when he violates them. From now on, you’ll find that when it comes to forced sex, people just sort of don’t use the powers they have to fight back against you. Once you start making things sexual, your opponent just sort of... stops using their abilities against you. An ordinary human with this perk could rape Supergirl, and she wouldn’t just break free with her super strength. They will never find it strange that they don’t really fight back against you with all they have. 
This only applies for non-violent sex; if you start injuring them, this restriction on their powers completely disappears.</t>
  </si>
  <si>
    <t>Tarnished Gold</t>
  </si>
  <si>
    <t>Few monsters and even fewer slaves are brave or cunning enough to defeat the likes of you, and anyone who tries and fails will pay the price for being foolish enough to challenge you. Whenever you defeat your enemies through strength or sexual prowess they’re sure to meet with a terrible fate as you gain immense power over them. Having already beaten them once before, your new slaves now find it nearly impossible to defy you again: a princess’s holy magic, a heroine’s clever skills, and a monster’s brute strength simply fail to work against you, making them slaves in spirit even if they still have a rebellious streak left in them. They’ll remain useful slaves so long as they remain loyal but their strength fails them the moment they try to betray you. You however can toy with your new slaves with impunity, as whatever resistance they might have to your power fails and leaves them utterly exposed to corruption, transformation, and domination.</t>
  </si>
  <si>
    <t>Vae Victis!</t>
  </si>
  <si>
    <t>World of Lewd Fantasy</t>
  </si>
  <si>
    <t>Any time you sexually take someone while completely disregarding trifles like their comfort or consent, the pleasure you can effortlessly force upon them is magnified by such an absolutely mind shattering degree that the goddess of celibacy herself could be broken by the agonizing ecstasies you bring, no matter how much she may hate herself for it after the fact. Additionally, for as long as you are fucking them like this, and then until the afterglow fades, your victims have any and all of their resistances to your powers striped away, leaving them totally helpless to fight off your various abilities. 
This unholy dominance even extends to the macro level, as where there's a whip, there's a way. The more and longer others are controlled or oppressed by you, ether in person or as your ruled subjects, the more they come to view it as a good thing and how the world ought to be. Given enough time all shall love and worship you for the blessing that is their slavery.</t>
  </si>
  <si>
    <t>You Need Me</t>
  </si>
  <si>
    <t>It's nice to know that you're needed. Especially when you know that you can take advantage of that fact. The more that someone needs you, the less capable they are of turning down your demands. If you're the star player on a sports team, you can get away with treating your teammates like shit, verbally abusing them, and stealing from them. If you're the only thing keeping someone from losing their life and the lives of everyone they know and love? There's literally nothing you can't make them do. Well, as long as it doesn't make them risk their life and the lives of everyone they know and love, of course. Best of all, they won't try to get revenge, or anything like that, when they no longer need you. As a bonus, I'll make it so you'll have a feeling of just how far you can push this, and a talent for getting people under your power.</t>
  </si>
  <si>
    <t>A Darker Path</t>
  </si>
  <si>
    <t>You wanna drench yourself in sin huh? Drown in filth and bathe in misery. It’s not just the fucking anymore, not even the drugs. You love the misery of it all, the pain and humiliation and loss. But going too far is dangerous, isn’t it? Some things you can only do once. Yet, you’re lucky. You can keep falling and throwing yourself away...and it’ll keep coming back to you so you can enjoy it all over again. Even if you defile every inch of your body, abandon friends and family in the pursuit of pleasure, even bring yourself to the brink of death for fun, you’ll find yourself making your way back to how you once were. Purified in body, your loved ones reconnecting or finding new ones, even finding a new home and life. Not that it’ll last for long. We both know you won’t resist going back to that black hole of self-hate again and again and again.</t>
  </si>
  <si>
    <t>Asanagi Battles</t>
  </si>
  <si>
    <t>Victim Girls (Rose Edition)</t>
  </si>
  <si>
    <t>The greater their reasons to resist, the weaker they seem to become. Girls with loving boyfriends or husbands, warrior women fighting against your empire with their sisters of battle, those who’ve struggled against your factions brutal oppression for years. Despite all the reasons they’d have to be the hardest to break, their resistance feels like paper against your efforts. The more reasons they have to defy you when it comes to you breaking them to heel, in a fight or otherwise, the less they’ll inwardly feel that when they come up against you directly. Sure, they’ll put up a fight on the outside but when everyone thought on the inside is about how hot you make their body feel, they won’t have nearly the strength they usually would. Even the greatest warrior goddess might turn into an ineffectual kitten if you can plan the encounter right.</t>
  </si>
  <si>
    <t>Beast of Lust</t>
  </si>
  <si>
    <t>Shinmai Maou no Testament</t>
  </si>
  <si>
    <t>There are demons and then there are monsters, the  darkest and most depraved souls in all three realms. Like Zolgia and Belphegor you are a creature torn straight from the pages of the Hero Clan’s most twisted tales, a monster who feeds on lust and devours the souls of his victims, consuming their life and power to add to his own. In your hands sex becomes a powerful weapon, a tool which you can use to destroy your enemies and reduce them to broken shells of their former selves. By forcing unwanted pleasure onto your victims you assault their sense of self, battering down the walls of their minds until all that’s left of them is a broken husk. A strong will can hold out against such torture for a time but even great heroes can’t last forever, and once a person has broken you’re able to feed on their vital essence, consuming any special powers they possess and taking them for your own in ways that even the most powerful succubus in all of hell can’t imitate.</t>
  </si>
  <si>
    <t>Bedroom Coup</t>
  </si>
  <si>
    <t>By becoming the lover of a powerful political figure you’re able to usurp power from them. You will find that the person will love you so much, they’ll simply surrender all authority to you without a fight, and their vassals and servants will happily accept this transition with nary a protest. Additionally, should you cause a foreign leader to fall in love with you, will find it easy to convince them to surrender their nation to you; all the better to be close to you again.</t>
  </si>
  <si>
    <t>Bound Princess</t>
  </si>
  <si>
    <t>If sexual desires are sinful and impure then maybe purity isn’t all it’s cracked up to be. There’s strength to be found in embracing your darker and lewder self, and you’ve found that strength and made it your own. 
Like Hina and friends, you're a magical girl (or boy) whose sexual desires have transformed into a source of magical power, allowing you to use magic based on your kinks. As a bondage-themed magical girl you might gain the power to conjure and command magical ropes and chains like a veteran rope master, while a love of wax play and electrostimulation might grant you fire and lightning magic. These magical powers (and any others you have) are at their strongest when you’re being subjected to your own kinks, turning pleasure into even greater power. A bondage princess can multiply the strength of her magical powers by binding herself in her own ropes or sealing herself into a gimp suit, and by bringing herself to orgasm she can fire off super-powerful finishing move spells even stronger than that. Despite their lewd nature these powers are considered holy and are extremely effective against ayakashi, demons, and similarly evil foes.</t>
  </si>
  <si>
    <t>Carnal Conquest</t>
  </si>
  <si>
    <t>As vast as Hyrule may be, Ganon’s ambition has always been to rule over all of it, if not the world beyond its borders as well, and he’s proven himself quite capable of doing so many times in the past. The trick is simply to remove or corrupt the previous rulers, then step in to assert dominance over their former lands. Your iron-fisted rule allows you to use these tactics to great effect: by dominating or corrupting princesses or champions or other people of great importance you also assert dominance over all who followed them, allowing you to conquer entire towns, regions, and even countries in one fell swoop. Entire armies will fall apart in despair after you make their princess your concubine, while civilians take on the broad strokes of your ideals and desires for them, some eagerly and some reluctantly, snuffing out resistance to your rule as your new subjects embrace their new master whether they like it or not. Heroes and others with strong wills can still reject you, but if their wills break somehow they’ll submit just the same as anyone else.</t>
  </si>
  <si>
    <t>Corrupter of Men and Nations</t>
  </si>
  <si>
    <t>It takes a certain soul to not only revel in their own debauchery but to spread it to anyone they meet as well. You possess the will, knowledge, and influence to spread your corruption. You could slowly corrupt a paragon of a knight like Alicia or even Celestine herself from serving their nation into ‘serving’ their nation’s men and get those same men who once loyally followed her into treating her as nothing but a slut. The corruption you inflict on others is so great that it lingers on even after your death or disappearance and you could easily establish a self perpetuated empire that would thrive and prosper for decades.
Additionally when you conquer places you can easily massively swell the size of your army with people drawn to your victories. Even the once loyal soldiers of your enemy would join your force to make ends meet, and would gradually become corrupted in the same way that your men are and continue your debauchery.</t>
  </si>
  <si>
    <t>Demon Lord</t>
  </si>
  <si>
    <t>You are the demon lord (not really) but you are a veritable font of degeneracy. The longer you stay in an area the more you can corrupt people nearby, emphasizing something through larger and larger tweaks to mind and body. Of course, there will always be a lewd bent to it. If simple lewdness is your aim, people will become more sexually open and permissive. A particular fetish can become the standard almost to the exclusion of anything else. Even pushing the idea of something like monogamy would see faithful couples being viewed as the ideal relationship and a wedding dress as the kinkiest of fetishwear. Given enough time these changes will become more overt and extend to the environment. People in general or certain demographics might have their bodies change in specific ways while articles of clothing and decorations begin to spontaneously change in cut and design. Some people might notice or even resist the changes, but most will eventually come to view the changes as the way things have always been and quite normal with dissenters and non-conformers becoming shunned and distained. You have full and precise control over how your corruption manifests. While this perk can’t make massive, impossible changes to the world or to people, it will slowly take effect on anything that enters your range. Which after a few years, can extend over a small country.</t>
  </si>
  <si>
    <t>Demonic Essence</t>
  </si>
  <si>
    <t>You are able to summon and channel the tainted divinity from which sprung Lord Elysium, and form him, all of demonkind. Using this power, you can corrupt and pervert the minds of others, using pleasure as a vector to slowly whittle down their morals and bring them into depravity. Well, “slowly” only applies to someone as strong as Love Mary P… for an ordinary human, only a few minutes of exposure to demonic essence would be enough to indelibly twist their mind into… well, whatever you want them to be, really. Nothing says that corruption needs to only have one end result. But this corruption affects more than the mind. It can twist into the core of a being and start to affect their powers and purity; if someone was as pure as Primera, it would take a long time of frequent injections of demonic essence to establish a true seed of corruption, and they’d no doubt fight back all the time. But once it takes root, it will twist “pure” and “good” powers into something lewd and evil, such as turning a transformation into a magical girl into a transformation into a succubus. After falling to corruption, any power that would be dependent upon love, would now be dependent upon lust. You may freely corrupt any of your own “pure” or “good” abilities into corrupted and evil alternates, if you so desire. If you are a God, then you may choose to have this corruption instead take the characteristics of one of your domains; perhaps you’d prefer to give things an elemental twist rather simply turning them evil, or maybe your corruption slowly turns things mechanical? The precise details of how your own demonic essence functions are up to you, but you have to decide the details now; no changing your mind later!</t>
  </si>
  <si>
    <t>Forceful Expulsion</t>
  </si>
  <si>
    <t>How, exactly, does one “lose to cock”? You might just have an answer. Whenever you bring someone to climax, some of the fight falls out of them. Their desire to resist, their physical stamina, their reserves of mystical power, so on and so forth. Anything they might use to resist you is gone with the wind, piece by titillating piece. A small portion will go to supplement your sexual endurance, but you otherwise do not gain from this. Additionally, it will take slightly longer to recover such resources for every orgasm they sustain, meaning that escape is unlikely for as long as you continue to use them.
This effect may be applied, to a much lesser extent, to those under your command. Your minions extract less energy than you do and do not suppress energy regeneration in the same way, but they can still be useful when you need a break. If they run a train on her, it won’t be an issue, but in this case there’s no rest for the wicked: If so much as a second passes between their ministrations, the effect temporarily halts. Only until the next man has his way, but over time, it may be enough to pose a danger.</t>
  </si>
  <si>
    <t>Genbu Tale</t>
  </si>
  <si>
    <t>You may be an exorcist or a magician by trade but at heart what you really are is a slave trainer. Few will admit to admiring your talents but none will deny your skills, for you’re a master of your craft who can turn an ordinary person into a work of erotic art. A slave under your care is as malleable as the finest clay, and you can easily sculpt them as you please, from breaking down unwanted resistance or training new skills to reshaping your slave’s entire personality. Under your care your slaves develop their powers and skills in a fraction of the time they’d need on their own even if you lack specific knowledge of their chosen fields (though obviously being a skilled and knowledgeable teacher will help them grow even faster). Those who have supernatural powers can even unlock new levels of power and shatter any mental blocks holding back their progress. But such gains come at a price: anyone you train as a slave becomes your slave in truth, searing the pleasures of submission and eternal loyalty into their bodies and souls, until not even magic or mind control can take them from you.</t>
  </si>
  <si>
    <t>Incubator</t>
  </si>
  <si>
    <t>The Utea are much like uncut gemstones: beautiful, but in need of polish before they can become proper slaves for their future masters. You have a rare gift for teaching and would be a perfect mentor if only you weren’t corrupting your students. You have an eye for special or hidden talents, like naive girls who have untapped magical potential and would make powerful magical girls, and your world-class teaching talents allow you to take your students all the way to the peaks of their potential. Of course the more you train up your proteges the easier it becomes to manipulate and corrupt them as they eagerly drink in every lesson you teach them, even the ones that are actually just giving them hidden weaknesses that only you can exploit. You could easily make your students hyper-sensitive to certain kinds of pleasure, make them incapable of cumming without your touch, force their bodies to have lewd growth spurts, or simply awaken them to a litany of new fetishes.</t>
  </si>
  <si>
    <t>Joyous Reunion</t>
  </si>
  <si>
    <t>There have been other visitors to this world from beyond before you arrived, but will there be others after? Your love is a truly insidious thing, akin to the Calamity from the Sky that doomed the Ancients. Your body can twist itself to become the perfect lure for your target, a being straight from their wet dreams. And once the bait is taken, they'll find themselves hooked, unable to resist the pleasures your flesh can give them. But the worst is yet to come for them: as they indulge in your body, you too may indulge in theirs, twisting them to be more to your liking in body and soul. Eventually they'll grow so devoted to your addictive love that they themselves will become a vector for you to infect and change others through them, your victims existing in a state of blissful subservience to your will as they become extensions of you. As the infection that is you spreads throughout the land, your body draws strength from those who join with it. You could twist your muscle fibers to gain the strength of a mighty swordsman, or increase your curves and beauty in the image of a lovely young flower girl that you seduced. And as your body gains strength, so too does the infection. Will you be a second Calamity to this world, so damaged from the first?</t>
  </si>
  <si>
    <t>Mistakes were Made</t>
  </si>
  <si>
    <t>High School DxD Blacked</t>
  </si>
  <si>
    <t>Deals with the devil are a tale as old as time, but the Devil's don’t actually have the monopoly on them - if anything, they learned some of their best tricks from humans. Things like “I’ll sleep with you if you stop bullying my son”, or “I’ll suck your cock if you don’t release that photo”. There’s no one better at sinning than us humans, after all. Those who make deals with you will find them slowly sliding to become overwhelmingly in your favor, or even outright in opposition to their original goals - someone who paid you not to target someone by sleeping with you might eventually pay you to sleep with them by creating more opportunities for you to target the one they originally defended. Once the bargain is struck and you begin to conquer them, it won’t be long until they happily and gleefully reverse their position and give you anything you ask for in exchange for not stopping your abuse of their poor bodies.</t>
  </si>
  <si>
    <t>Parasitical Love</t>
  </si>
  <si>
    <t>Just conquering your foes isn’t enough. You need to defile them, to take everything from them as you sate your lusts. Whether you’re stretching someone’s holes wide or riding them into the dirt, sexual domination becomes a devouring act. Each time you make your partner orgasm, you can steal away their power, absorbed directly or ejected through their sexual fluids. Levels, skills, talents, raw strength and more. Their rape will hollow out their very being, until they’re as weak as the mewling kittens you leave them looking like. Every orgasm will drain an appreciable fraction of whatever you’re taking and if you’ve no use for it yourself, others can benefit by licking up the fluids you leave behind.</t>
  </si>
  <si>
    <t>Shared Will</t>
  </si>
  <si>
    <t>It should come as no surprise that the demon king is the best at rape out of all the demons alive. It might even be why he’s king. In an imitation of his skill, you have gained the power to rape their mind too. Normally you’d have driven their body crazy and left the mind reeling, barely able to recover. With this, you can make it more permanent, leaving their state of lust to be what they consider normal. By instilling a fragment of your own will into them, your own memories of what is ‘right’... They will never recover. Or perhaps they will never betray you? Recovery implies something is wrong, after all...</t>
  </si>
  <si>
    <t>Suffer in Silence</t>
  </si>
  <si>
    <t>All it takes for evil to triumph is for good men to do nothing. Lucky for you, the good men are all out to lunch and the good women are too busy getting stuffed full of cock. You will generally face far fewer complications for evil actions than other people would. Blackmail victims give in rather than go to the authorities, bystanders ignore you as you molest a woman on a crowded train, and neighboring kingdoms turn a blind eye to the threat you pose as you conquer a nation and turn all its citizens into sex slaves. Beware heroic individuals though, as this perk has no impact on their ability to oppose you directly.</t>
  </si>
  <si>
    <t>Tainted Seed</t>
  </si>
  <si>
    <t>The secret weapon of the injuu king and key to the success of the Utea Plan, these corrupted Utea seeds allow the injuu to transform ordinary girls into powerful slaves with all the powers of a magical girl and the lustful nature of a sex demon. These tainted seeds can only be granted to a person with their consent but those who accept become magical girls at the cost of becoming permanently shackled to you. While they appear to be ordinary magical girls at first, your new slaves are incapable of harming you with any powers they have regardless of whether they got them from you or not, and the more that they indulge in the new desires that now stain their soul the more powerful they become. Eventually they’ll blossom into corrupted dark magical girls like Charm and Grace’s corrupted “uterus” forms. You only receive two seeds at first but you can make as many more as you want, though it requires an expense of magical power.</t>
  </si>
  <si>
    <t>Taking Possession</t>
  </si>
  <si>
    <t>The more sexual pleasure you bring someone, the more that which is theirs become yours instead. This is a progressive transfer of any assets which they could give to you or which you would receive or share while married to them, up to and including themselves once they have nothing else left to give. Whatever you gain is yours alone, legally and metaphysically, but you may choose to conceal the transfer from your lover and temporarily permit them continued access. If you do actually marry someone then the transfer is immediate and total, irreversible even by separation, from the moment the ceremony is complete. In such a case you also, for the duration of the marriage, are able to give or deny their legal and metaphysical consent for them despite their personal wishes.</t>
  </si>
  <si>
    <t>What is Sex?</t>
  </si>
  <si>
    <t>So, funny story. The most beautiful woman in the world and Queen of Amazon Lily, Pirate Empress Boa Hancock, has no idea what sex is. Neither do her sisters, and the three of them used to be slaves to the world nobles. Pretty girl, slave, arrogant noble... How do they not know this? Regardless, Boa Marigold was quickly educated by the Soul Pirates on the intricacies of sex after seeing their copy of ‘Midarezaki Joshuu Kaizoku’ and wondering what it was. It was porn. Much like the Soul Pirates, with even the vaguest hint of innocence, you can turn any woman - or man, though they tend to dislike dickgirls for some reason - into functionally whatever you want. And of course, once you have your claws - or dick, as the case may be - in her, you can retain that control. Want her to spend years as a high class hooker, only to turn into your blushing bride? You can do that.</t>
  </si>
  <si>
    <t>What it Means to Love</t>
  </si>
  <si>
    <t>Your touch is marvelous, and to most humans would definitely be the most pleasurable thing they’ve ever experienced. And wouldn’t anyone who experienced something wonderful want to share it with those they care for? People who you corrupt will start to focus on the idea of sharing this corruption and sexual pleasure with people they care for. They will work to expose people to you, to give them to you, to make them experience the amazing pleasures you shared with them. But this works the other way around, too. When someone that a person cares about falls to corruption, the more appealing corruption seems to that individual. Turn everyone that somebody knows to your side, and that person is almost guaranteed to willingly give themselves over to you. This doesn’t only work with corruption, but with more mundane forms of persuasion, too, in a somewhat twisted form of peer pressure.</t>
  </si>
  <si>
    <t>Absolute Corruption</t>
  </si>
  <si>
    <t>The soul is a powerful thing. By consuming a person's soul completely, you kill them. However, you can now fill them with your own power. Rebirthing them. Becoming a demon in their own right. Their body changes to suit your needs, their mind becoming completely loyal to you. A demon created in such a manner is twice as powerful as they were before and gain the ability to consume slivers of soul through sex.</t>
  </si>
  <si>
    <t>Corruption Incarnate</t>
  </si>
  <si>
    <t>Overwhored</t>
  </si>
  <si>
    <t>The oldest trap in the book. Just because the Overmind isn’t using his power doesn’t mean you’re safe from his influence. You can't touch fire without getting burned and you can't play with the Overmind without getting corrupted. Even just being in his presence feels so good that it inspires lurid fantasies and makes people want to give in.
It doesn’t actually matter if you’re using your power or not. All you really have to do to brainwash people is just be around them for long enough. The longer someone stays near you and the more they see what you do, the more eager and brainwashed they become until they’re willingly, happily asking you to fully enslave them. Willpower only slows the process down by a little bit. And if you end up acquiring other forms of corruptive or mind-affecting powers from somewhere, you can apply the benefits of this to those as well, inflicting your favored form of corruption on people with your mere presence.</t>
  </si>
  <si>
    <t>Darkness Covers the Land</t>
  </si>
  <si>
    <t>The power of darkness corrupts any lands you control with a curse of lust, not unlike Ganon’s Nightmare. Seeds of corruption seep into the bodies and minds of all who inhabit your territories, transforming every man, woman, and monster into a slave waiting to be collared by their rightful king. This corruption allows you to sculpt the bodies and minds of your subjects as you please, imposing royal decrees in the form of unconscious desires and rewarding any who submit with addictive pleasures which grant your corruption even greater hold over them. You might curse a farming village’s girls with a desire to be impregnated by their animals while reducing the men to spineless cuckolds, or turn those same men into violent rapists who turn physically into monsters as they give in to those urges, even as their women behave more and more like animals themselves. Strong wills can resist this corruption but must do so consistently to avoid allowing you any influence over their minds.</t>
  </si>
  <si>
    <t>Domination and Desecration</t>
  </si>
  <si>
    <t>In ages past a succubus once claimed the title of demon lord, and with her vast magical power she reshaped her world from the earth to the very heavens themselves. Like this ancient Lord of Monster Girls your magical power is colored, corrupted some would say, by your lustful nature, giving it an aphrodisiac quality and allowing you to corrupt others by subjecting them to your power. Any spell that you cast, any artifact that you forge, and any minion that you summon or create can become a vector for this power if you choose to make it so. With a truly vast expenditure of power even the land itself can be corrupted, and once the land is tainted it is only a matter of time before all who live upon it fall under your sway.
Magical protections can mitigate this and most kinds of holy magic can wash away your influence, but once a being’s corruption passes a critical threshold they will slowly transform in lewd ways according to your desires, such as men and women becoming succubi and incubi. Corrupted humans and creatures retain whatever minds, personalities, and morals they may or may not have had before their corruption, but they will recognize you instinctively as a powerful authority figure whether they like it or not and are much more vulnerable to any charisma perks or other forms of corruption magic you might possess.</t>
  </si>
  <si>
    <t>Mine</t>
  </si>
  <si>
    <t>Eventually, when they can’t take it any more, you can offer them release. Not death, you could have done that anyway. No, when someone is finally at rope’s end, they can surrender themselves utterly to you. They must freely offer up their body, mind, and soul and it must be done out of true desperation or desire. Merely holding a gun to your victim’s head so that they rationally decide to obey you isn’t enough. Once they submit, you have total control over them. You can make them do, think, or feel whatever you want, even giving them (temporary) freedom. By default, the relief of being yours induces a state of complete bliss, enough that they can’t remember why they ever wanted to resist, though you can take this away if you want to punish them. If you have the ability to turn intangible or ghostly you can possess them. If not, you could always give them a mask and have them work as your proxy in stalking the next girl.</t>
  </si>
  <si>
    <t>Persistent Seed</t>
  </si>
  <si>
    <t>The most dangerous inflictions in this world can neither be staved off nor cured through mundane means. No cleansing bath will dispel a curse, and no vaccine will immunize against an illness of the soul. The emotions you feel are supernaturally contagious. With contact, you can inspire a disturbing degree of lust or anger in your targets. Prolonged contact will promote greater results, whereas higher willpower will lessen the effect... But even the most determined are not entirely immune. Your “corruption” extends from your skin, to the deepest layers of your flesh and everything in between. Your blood, your seed, your saliva. If it is of you, then it will transmit emotions to those it touches and those it fills, endlessly prodding at their mental substance. Every time they are successfully influenced, they are made ever more susceptible. The more of you is in them, the better, though a mere drop may produce spectacular effects with time and patience. Not even the greatest warriors can keep their guard up forever.</t>
  </si>
  <si>
    <t>The Black Pharoah's Whore</t>
  </si>
  <si>
    <t>Yes you’re a slut for big cock, but this instead refers to the powers granted to you by a being not of this world - or even of these laws of physics. This grants you a number of abilities that subtly (or not so subtly) warp the world and minds of people around you. Examples include certain fetishes becoming more or less common as you prefer on a roughly continent wide scale, individuals mysteriously forgetting that their loved one has cheated on them so that you can enjoy the look of discovery on their faces time and time again, or people taking actions that you command of them while thinking it was their own idea. This also makes the being that granted you these powers genuinely like you, something that may come in useful should you encounter them again later.</t>
  </si>
  <si>
    <t>The Shadow of My Purpose</t>
  </si>
  <si>
    <t>With focus, touch, and the expending of great amounts of energy your lordly soul is able to reforge the world and all that resides within it into proper alignment with your will. This allows you to twist both living beings and inanimate objects alike to look however you desire, or change how thinking things behave simply by seeping your power into them and focusing on exactly how you wish for them to be altered. Though the greater the changes you wish to make and the less willing the subject is the longer it will take and the increasingly exhausting the process is for you, but anything once so corrupted will become in all ways far more susceptible to you in the future, whether it be your supernatural powers, or simple charisma it will act on them with greater strength and any resistance will be much lower. 
And by making an even greater expenditure of energy you are able to infuse the very earth around you with your dominating power, corrupting the land everything in it so that anything you don't specifically exclude will slowly be twisted in accordance to your general desires and tastes. An egotist might see statues start to change to his own likeness and people inclined to literally sing their master's praises, while a truly lustful lord could find even the local flora and fauna taking on extremely suggestive forms. However this passive method does have its drawbacks. For one the effects are generalized and lack the customization you get by doing it personally. Secondly intelligent beings who resist your influence will take a very long time to break, needing maybe several generations living under your shadow before being fully corrupted. All the more reason for you to give your foes some personal attention.
Your very being is so corruptive in fact that it also gives you complete mastery over any other corrupting forces you may wield, allowing you to combine them in any way you wish. Remove an unwanted side effect from one by mixing it with a differing dark power that lacks it, or switch out some physical changes with others from a more aesthetically pleasing corruption. Even the vilest of forces shall be bent to your great purpose.</t>
  </si>
  <si>
    <t>Bag of Crystals</t>
  </si>
  <si>
    <t>Crystals of Gaia fashioned into a necklace, each contains the essence of all those killed by the curse. by placing it around the neck of an infant the newborn will rapidly age physically and mentally to the prime age of their species over the course of one week.</t>
  </si>
  <si>
    <t>Endless Contraceptives</t>
  </si>
  <si>
    <t>It wouldn’t be a lewd jump without the requisite infinite supply of mediocre contraceptives. Go wild kid. Have as much fun as you want. This pack contains 30 mid-range condoms, 20 dental dams, 5 morning after pills, and a cheap pair of fluffy pink handcuffs, and refreshes each week.</t>
  </si>
  <si>
    <t>Futa-Built Condoms</t>
  </si>
  <si>
    <t>Futas can cum a lot. You know. A lot. Thankfully, these industrial strength condoms can handle anything you throw at them. Anything. With an upper capacity of a cubic mile of liquid volume, you may never need to clean up again. Good luck finding a place to dispose of them though. This pack contains 10 condoms, and refreshes each week.</t>
  </si>
  <si>
    <t>Red Crystals</t>
  </si>
  <si>
    <t>A bag of red crystals these inhibit fertility as long as they are worn, so no matter how fertile or virile a person normally is they will not have to worry about children while these things are on their person.</t>
  </si>
  <si>
    <t>Beloved Younger Brother</t>
  </si>
  <si>
    <t>Look, I’ll be honest. Both in this story and in the one it’s based on, there are moments where Sasuke seems to want Itachi’s approval and affection even more than that of his own parents. Possibly something to do with how little those parents emote compared to Itachi. Anyways, your relationship with your siblings is one of the best around. Rivalries and general dislike don’t exist between you. Well, from them to you, especially if they’re older than you. While Itachi never went this far, you might find an elder sibling of yours doting on you as if they were your actual parents.</t>
  </si>
  <si>
    <t>Breeder</t>
  </si>
  <si>
    <t>You are a lot more virile/fertile than normal, either being able to shoot out a lot more cum than you could before and impregnate someone with a ridiculously large amount of children, or being able to give birth to said amount of kids. This is, of course, something you can toggle at will, in case you find it would be inconvenient in the current situation.</t>
  </si>
  <si>
    <t>Contraceptive Herbs</t>
  </si>
  <si>
    <t>These consist of a replenishing store of strange, crumpled leaves along with two containers of separate brown and pink pills. While the container of herbs is unlabelled, the pill containers are marked with the words: "Tnangerp rof knip, nerrab rof nworb."
The leaves are birth control herbs to avoid unwanted pregnancies, and eating one of the odd leaves after having sex is guaranteed to prevent any pregnancy, no matter the virility of their partner, as long as the leaf is eaten before or relatively shortly afterwards. At least before conception. Eating a leaf on a regular basis also allows for a bit more of a lasting effect...
But if you'd like a more long-term solution, the stores of dual medicines offer another and much simpler option for a lasting protection from pregnancy. Swallowing one of the brown pills renders one unable to bear children or be impregnated entirely, though it doesn’t do anything about any existing pregnancies. This leaves them permanently barren regardless of their normal fertility, at least until a pink pill is taken to cancel the effect.</t>
  </si>
  <si>
    <t>Contraceptives And Aphrodisiacs</t>
  </si>
  <si>
    <t>What’s a dickgirl pirate with the sex drive of three men to do on the open ocean? Well, fuck like nuts. But of course, the open ocean is no place to get pregnant. You can do that after reaching Raftel! That's why you have a supply of these two drugs. The first is of course the solution to the vigorous impregnation you’ll be giving or receiving - or maybe both? - on a regular basis. The other is a contact based ‘mood setter’. Not that you’ll actually NEED one, but it’s good for keeping things going, you know?</t>
  </si>
  <si>
    <t>Easy Pregnancy</t>
  </si>
  <si>
    <t>With you either knocking up as many people as possible, or repeatedly getting pregnant yourself, having those pregnancies go smoothly is pretty important. With this purchase, you’ll have a guarantee that there aren’t going to be any medical issues with them.
And in addition to not having to deal with any medical problems or complications, this also minimizes the lesser negative aspects of pregnancy like morning sickness and mood swings. Even the recovery afterwards is much lighter and easier, allowing a new mother to be fully healed and ready for more within just a week after delivery.</t>
  </si>
  <si>
    <t>Experimental Fertility Drugs</t>
  </si>
  <si>
    <t>As part of the Government Study, all males at Risshin Academy must sign a waiver and take part in testing out an experimental one-time drug treatment. This Treatment essentially enhances the potency and production of sperm and seminal fluid in men with a side effect of also enhancing their libido. Normally, it would just be applied guys, but we didn’t want to leave you girls hanging. So the government also has a version for the ladies too. The female version enhances the ovaries to increase the production of eggs, as well as improve their ability to receive sperm. As a side effect, their menstrual cycle becomes easier and lasts only a couple of days out of the month.
You have a dose of both versions. Just one quick injection and the effects will kick in over the next few days.</t>
  </si>
  <si>
    <t>Good Sisters Share</t>
  </si>
  <si>
    <t>Whether you’re a sister, a mother, or even a daughter, you are a dutiful one and have slowly refined an excellent sense for the affairs of your family members. This sense is so refined that you could simply feel that your mother is ill without laying eyes on her, or that your sister is going into heat from halfway across the continent. Or perhaps you can look at a store and instantly pick out the doll your daughter would most like to have? What a loving mother you would be. On the flip side to that, this sense also allows you to lead them around quite a bit by meeting or subverting their expectations of you as you please. Something that you could just as easily use to construct an argument as to why you should be allowed to fuck your sisters boyfriend, why your sister should fuck your boyfriend, or why both of you should go wander into the bad part of town and find a nice man to get ruined by.</t>
  </si>
  <si>
    <t>Heart Bracelet</t>
  </si>
  <si>
    <t>Fate/Loli Order</t>
  </si>
  <si>
    <t>There isn’t really anything special about this bracelet, just a short length of string with a heart shaped charm on it. It was probably given to you by a family member as a birthday gift or maybe a small gift to cheer you up on a particularly bad day. But even if it’s utterly ordinary, looking at the charm reminds you that not everything is horrible. Reminds you of the one who gave it to you, of your family. Simply put, the bracelet stokes and feeds that spark of hope that everything will be fine in your chest if I should flicker. Maybe even reignite it entirely if all seems lost and that flame has gone out.</t>
  </si>
  <si>
    <t>Mizuryu Condom</t>
  </si>
  <si>
    <t>You wouldn't really expect groundbreaking technological advancements to come about in order to have more sex, but this one did. This special condom is super thin to the point you can barely feel it, and sterilizes your sperm as it passes through. In order words, it feels like it's not there and even lets you give/get a creampie. No wonder the guests love it compared to regular condoms, eh? Anyways, you now have a functionally infinite supply of them, in case of emergency.</t>
  </si>
  <si>
    <t>Morning After Magic</t>
  </si>
  <si>
    <t>Sure, you could dose yourself up to the gills on contraceptives that you buy by the truckload. But wouldn’t it be so much simpler to just cast a magic spell? With that in mind, you can now do just that. Maybe you bought it from a pawnshop, maybe you found it hidden behind a shelf in the library. No matter how you got your hands on it, you’ve found a simple spell that only drains a little bit of energy to temporarily remove your fertility. For 24 hours after casting, the chance of conception is zero. Warning, does not work on fetus more than a week old.</t>
  </si>
  <si>
    <t>Protection</t>
  </si>
  <si>
    <t>With Senpai going around and raping anyone who catches his eye during monster attacks, it might be a good idea to have a bit of “protection.” Protection against STDs and unwanted pregnancies, that is. From now on, you can choose whether or not you will get pregnant or impregnate someone during sex, and you’re not only immune to STDs, but you’ll cure any that your partners have. Unless you don’t want to, for some reason.</t>
  </si>
  <si>
    <t>Purebred</t>
  </si>
  <si>
    <t>They don’t make minions like they used to so why don’t you make them yourself? Whether you are throwing a girl to a pack of tentacle beasts or handling the breeding personally, you’ll find that the resulting offspring are that little bit better in all regards, as well as being more loyal and faster to reach an age that they become useful. If you wish to toggle this perk off for whatever reason, you may do so.</t>
  </si>
  <si>
    <t>Unbreakable Condoms</t>
  </si>
  <si>
    <t>These condoms are enhanced with special materials, in order to make sure that they don’t break under the girth and force of the penises found in this kind of setting.</t>
  </si>
  <si>
    <t>Xenophilic Fertility</t>
  </si>
  <si>
    <t>The Elrk race practically specializes in interbreeding and hybridization. There are more half blooded than pure blooded Elrk, and that’s the way they like it. It’s said that an Elrk and another race has an 80% chance of conception, but only 10% between two Elrks, something that you now share. Well, the interbreeding part, not the lesser rates of producing a pureblood part. As long as you’re breeding with another race, your chances of conception are jacked way up. Enough so that you could probably impregnate with - or be impregnated by - a single drop. Mind you, don’t let that stop you from practically drowning them in cum in the proper Elrk fashion.</t>
  </si>
  <si>
    <t>"Grandfather"</t>
  </si>
  <si>
    <t>Your grandson calls you that. And so does his son. And his son. There’s no convoluted family tree here, just your various descendants being too pants-shittingly terrified of you to call you anything but what you ask to be called. See, you’ve got an iron grip on your family, and most of them would rather bow to your whims than actually put up anything resembling a fight. And the ones who do fight you will do it by running the hell away so that they don’t get caught up in your schemes. Or maybe you want to be the cool old guy who everybody loves because you’re crazy awesome? Well, you have the acting skills for it... No matter how you go about it, running rings around your descendants is as easy as stealing candy from a baby - hell, you probably did just that when they were babies.</t>
  </si>
  <si>
    <t>All in the Family</t>
  </si>
  <si>
    <t>Your genome is super stable. Any pregnancy you’re involved in, be that as parent or facilitator or medical care, will result in a healthy child with no risk to the mother. Inbreeding actually produces stronger children when you’re involved rather than weaker ones.</t>
  </si>
  <si>
    <t>Better Luck Next Time</t>
  </si>
  <si>
    <t>Pregnancy is hardly guaranteed to occur in all but the most excessively fertile. Sometimes it takes quite a few shots before succeeding, even for a particularly virile HFF cardholder. If they had to wait for the results of a pregnancy test whenever they tried to knock someone up, the spontaneous usage of their cards would be much more complicated.
Luckily, there’s no need for any of that. You just have a sense for pregnancy now, able to feel it when you are impregnated. Immediately after taking a creampie you’d know whether or not it is enough to knock you up, the feeling allowing you to derive a deep-seated feeling of pleasure from successful conception. Perhaps it’s less surprising now that some of the women in this world grow incredibly eager and almost addicted to being impregnated.
Should you be male, you could either apply this to your partners to allow them to sense whether or not you’ve impregnated them or get a more detached sense for it yourself.</t>
  </si>
  <si>
    <t>Breeding Bitch</t>
  </si>
  <si>
    <t>Rape is all well and good, but with enough hate, a captive could murder their new child before trying to kill you as well. And, with the next generation being as precious as it is, that simply won’t do. Thanks to a special something in your cum, the women you sleep with are modified to grow emotionally weak during their pregnancy. Even if they hated your guts on day one, by the time they give birth, they’ll be head over heels in love with you after only slight manipulation.</t>
  </si>
  <si>
    <t>Census</t>
  </si>
  <si>
    <t>Sowing wild oats long enough and hard enough will eventually leave you overwhelmed at how many kids you might have helped spawn. Thankfully you now can seem to pull up a mental list of all the children you have, their names, habits, and location. This also works to a more limited degree with the population of wherever you are though it will only give you the exact number of a specific species or group located there.</t>
  </si>
  <si>
    <t>Eldritch Impregnation</t>
  </si>
  <si>
    <t>Your are now capable of taking samples from other living creatures. These genetic samples can be mixed with your own, and implanted into a host body to create an offspring of up to three genetic donors. This offspring can have the dna of any combination of yourself, the sample, and the host. Creating a mix of all three, any of the two, or a complete clone of one of them.</t>
  </si>
  <si>
    <t>Genetic Lottery</t>
  </si>
  <si>
    <t>While it is possible for a girl to be born as a dickgirl, the vast majority of them are not. A virus, a mutation, surgery and lots of drugs, fucking magic, there’s lots of ways for it to happen artificially. But at the same time, it’s not exactly a natural occurrence if it’s the result of a virus now is it? For some strange reason, any modification to your body now reads as a natural part of your DNA, and thus something that can be passed onto your kids. Dye your hair red, you kids now have a chance to be redheads. Get some breast implants, your daughters have a better chance to be bigger. Become a dickgirl? Your daughters might just be born that way.</t>
  </si>
  <si>
    <t>Goddess Vase</t>
  </si>
  <si>
    <t>A poison jar is a pot filled to the brim with poisonous animals - the last one standing is the most toxic, clearly. This jar is somewhat similar. It absorbs cum in a seemingly endless amount, and slowly condenses it down into a single pool of cum containing all the best traits of the various donors and none of their weaknesses. Well, it’s supposed to have none of the weaknesses. Those may or may not leak out in the form of a twin sibling to your perfect child.</t>
  </si>
  <si>
    <t>Heartwarming</t>
  </si>
  <si>
    <t>You can quickly become the emotional center of any group you’re a part of. Your presence influences others in the group to treat each other more like a family, and not a dysfunctional one, either; familial love will soon flow (in addition to whatever other types of love may be present), and even strangers will start to become closer to and care for one another. You inspire other people to be better and brighten up the days of those you meet.</t>
  </si>
  <si>
    <t>Like Mother, Like Daughter</t>
  </si>
  <si>
    <t>If you loved fucking the mother, wouldn’t someone descended from her and you just be an even better match? Your children will always be of a sex and gender you are attracted to, and when they grow up, they will start to feel sexually attracted to you. You and those you have sex with will never experience any problems from incest; there will be no social stigma against you for it, there will be no genetic abnormalities, and the subjects of the incestuous relationship will never experience any trauma over the perversion of their family bonds.</t>
  </si>
  <si>
    <t>Maternity Leave</t>
  </si>
  <si>
    <t>Should you end up involved with a H.F.F. member, you’re going to spend a lot of time being pregnant. Even with the faster pregnancies in this world, that is going to involve a lot of time in which you’ll be unable to get much work done as well. On the bright side, taking a period of maternity leave off from work could be very nice if you’ve been overworked.
Regardless of how often it happens though, you can be assured that you can take a leave of absence from your job without having to worry about anything but your actual pregnancy.  Bosses won’t mind your absence even if this is the fifth time this year, emergencies that require your personal attention won’t come up, and at the end of your leave you can seamlessly pick up and continue right where you left off.
If you happen to be male, you can apply this to the women you impregnate instead, making sure that they won’t have to worry while your child is growing inside them.</t>
  </si>
  <si>
    <t>Milf-ification</t>
  </si>
  <si>
    <t>It would be a shame if the mothers of your children suffered any loss of looks from carrying your children. Now, that will never be the case. Anyone that carries one of your children will be guranteed to have their appearance mature into a perfect blend of MILFy goodness and the traits that drew you to them.</t>
  </si>
  <si>
    <t>Mother of Corruption</t>
  </si>
  <si>
    <t>A Succubus Mary’s most important duty is to give birth to Elysium’s offspring; now, the entire process is made much more convenient — and enjoyable — for you (or those you’ve sired children upon) , regardless of if you’ve been corrupted or not . Not only does this make the process of pregnancy easier and quicker — reducing the time to only a few months — but it makes the sensations of the unborn child moving with the mother to be highly pleasurable, such that birth is simply a parade of orgasms as the child emerges.</t>
  </si>
  <si>
    <t>New Warriors are Born</t>
  </si>
  <si>
    <t>Dragon Ball: Troop of Beasts</t>
  </si>
  <si>
    <t>Beside finding something to eat, a top priority amongst animals is to make offspring to inherit their genetic heritage. You have no problem with that, as you can reproduce with any creatures you can have sexual intercourse with, even if they’re a robot or an alien with strange biology, without any risk for the child or the mother at birth. Furthermore, your children will always inherit the best part of you and your mate, with the potential to surpass you. You could very well result in a new, better hybrid race.</t>
  </si>
  <si>
    <t>Parent of Monsters</t>
  </si>
  <si>
    <t>In addition to anything that is naturally inheritable, your offspring - whether human or monster - also develop unique traits based on the powers of their parents which might not normally be inherited. If your Heart Powers specialise in shooting beams of energy, then perhaps they can fire a beam from their mouths once every so often, or if some non-inheritable power makes you a heavy hitter, their muscles might be extremely well developed.</t>
  </si>
  <si>
    <t>Pregnancy Durations</t>
  </si>
  <si>
    <t>In the last few decades, many advances in the science of genetics have been made, particularly in the fields of pregnancy and sex. Genetic engineering to ensure accelerated pregnancy speed has reached widespread use just out of the necessity to repopulate after the disaster of the gender-virus. With the duration of each pregnancy reduced to a mere seven weeks, some enthusiastic women have even had upwards of thirty pregnancies.
You go a bit further than the norm however, with the ability to mentally adjust the duration of any of your pregnancies. Perhaps seven weeks is still too much, and you’d rather shorten it all the way down to only a minimum of three weeks? Or if you’d like to enjoy carrying a child for as long as possible, you could extend the time for your baby to develop to a staggering 128 weeks at the longest. Or equivalent time frames should you somehow not be human. If you happened to be male, you could apply this to your partners instead, to change how long they have to carry your children. Just pick a length of time before the actual conception, as these changes don’t apply to existing pregnancies.</t>
  </si>
  <si>
    <t>Rapid Growth Machine</t>
  </si>
  <si>
    <t>One of the specialties of O-Bio that are unavailable everywhere else, this tank will make those within it age at 30 times the normal rate (although this is only physical aging rather than mental). The machine can induce unconsciousness in those placed within, and floats them in an oxygenated nutrient substance that keeps them alive. Electric shocks are used to stimulate the muscles to prevent atrophy over long periods of time subject to the Rapid Growth Machine. It has a time so it automatically stops once a certain period of time has passed.</t>
  </si>
  <si>
    <t>Selective Breeding</t>
  </si>
  <si>
    <t>Of course, plenty of Masters and Mistresses have various... biological oddities about them. Even if they are human or elf, that doesn’t stop you from having perks that might make you half-shoggoth or something. Fortunately, you can always control what traits are inherited by your offspring—including features such as what race you are, allowing you to make it so that the child of a human and a high elf would also be a 100% pure high elf, a half-elf, a true human, or anything in between. Might have a hard time explaining how a first-generation hybrid of human and elf has only 1/13th elven blood, though.</t>
  </si>
  <si>
    <t>Succubus Oil</t>
  </si>
  <si>
    <t>Now I know what you’re thinking. Made for succubus, or from succubus? Little bit of both, honestly. The oil is made from succubus cum twisted through a few alchemical processes. It seems normal at first, a high grade aphrodisiac and pleasure enhancer, but it has an extra function that’s quite useful. See, it drastically ups the fertility of anyone it’s used on. As in, a pregnancy is guaranteed to be twins, maybe even triplets. Or multiple pregnancies at once, even if you’re supposed to be too old to get pregnant. Also makes for excellent massage oil.</t>
  </si>
  <si>
    <t>Take Care</t>
  </si>
  <si>
    <t>To take care of ones tribe is not just a necessity, but the right thing to do. You excel at caring for those in your tribe, your friends, and your family. Whether it’s raising the hatchlings or taking care of a sexy vixen who crashed nearby, your skills as a caretaker are second to none.</t>
  </si>
  <si>
    <t>Winning the Genetic Lottery</t>
  </si>
  <si>
    <t>I suppose it goes without saying that the Elrks’ prefered breeding habits can produce some very strange looking children. Second and third generation hybrids, such as shamans, are even stranger looking, as the genes from more and more creatures are mashed into one being. With that said, the Elrk are always visibly an Elrk. Bright to dark green, big breasts, and a fat cock hanging between their legs. Much like them, no matter how screwed up your genetics get - or those of your children - you’ll always be recognizable as a person, and probably as beautiful. The extraneous limbs and often armor-like additions to your body only serve to enhance your beauty, not warp you into a monster.</t>
  </si>
  <si>
    <t>Birthing Bed</t>
  </si>
  <si>
    <t>Dairy Cows aren’t just there for the dairy. This item will help cover the breeding aspect of your job. A complex contraption, similar in size to the Milking Machine, this all-in-one medical marval will take care of any and all pregnancy related medical needs quickly and painlessly. Everything from routine checkups to complicated births are made not merely easy, but extremely sexually pleasurable by this automatic midwife!</t>
  </si>
  <si>
    <t>Family Time</t>
  </si>
  <si>
    <t>Family is everything, and you’ve taken that to heart! So long as you genuinely care for your family, in any setting they always seem an engaged and important part of your life. No matter where you are, what you’re doing, your family will be cheering you on, helping you out, and just generally giving it their all to make sure you have a good life. In addition, your family always seems just that littlest bit better at working out issues, finding common ground, and maintaining healthy relationships with each other. No matter what, your family will always seem to be good at staying friends.
This perk can be toggled on and off.</t>
  </si>
  <si>
    <t>Hizashi's Plan</t>
  </si>
  <si>
    <t>Boy, NaruHina sure turned out some pretty powerful heirs for the Hyuuga clan, didn’t it? You think maybe somebody planned that all out...? Naaah. But you sure could do something like that if you wanted, thanks to this expansive billboard covered with an intricate web of all the bloodlines and inheritable powers which are known to you along with who has them and intricate details about the possessors in question. Thanks to this chart, which automatically organizes and updates itself with new information whenever you obtain it, it would be trivially easy to plot out which potential pairings would produce the strongest heirs.</t>
  </si>
  <si>
    <t>M-Preg</t>
  </si>
  <si>
    <t>Flexible Survival</t>
  </si>
  <si>
    <t>You have gained the ability to be impregnated and give birth as a male/neuter. Your offspring develop in eggs, and grow to the size of a baseball in seven days. They are then ejected from the body (anus) and rapidly grow to a normal size infant in minutes. You could decide at birth that they will grow to physically mature adults if you want, instead of stopping development at the infant stage.</t>
  </si>
  <si>
    <t>Omni Fertility</t>
  </si>
  <si>
    <t>With the world as diminished as it is repopulating is difficult enough, the fact that each time isn’t a guarantee the seed took makes any effort even more frustrating. Perhaps you have been blessed by Gaia or just have a supernatural ability to make life spring forth. Any living thing that has functioning reproductive organs you have sex with will get pregnant or vice versa.</t>
  </si>
  <si>
    <t>Omni-Contraceptive</t>
  </si>
  <si>
    <t>This little pill functions not only as a contraceptive, but also works against any outside being trying to use your body to reproduce. From parasites and diseases to alien facehuggers and grey goo, it will stop them using your body as a breeding factory or converting you into more of them. Doesn’t stop them just killing or eating you, though. The drug lasts for a week, when a new pill will appear in your pocket.</t>
  </si>
  <si>
    <t>Properly Equipped</t>
  </si>
  <si>
    <t>If you want to help a species overcome its terminal case of inbreeding, what’s the most important thing? The ability to actually get it on. While humans normally don’t have much magical potential, you’re one of the rare exceptions, which is fortunate as otherwise you wouldn’t be able to impregnate an elf in the first place. What’s more, the amount of magic you have serves to increase your fertility overall; if you’re strong enough with magic, you could impregnate even someone who is incapable of bearing children.</t>
  </si>
  <si>
    <t>Woes of a Mother</t>
  </si>
  <si>
    <t>Sure, it should be every parent’s goal to have children who are even more successful than they are. But still, any parent wishes to be looked up to by their children, which is kind of hard when they’re just too amazing. 
Your children, and all your descendants, will always be exceptional. They will be smarter, luckier, stronger, more beautiful, and more sexually impressive than their peers, and will additionally inherit any perks you may have had that would let them excel in these areas. They are destined to have amazing, successful lives, and as long as they devote even a smidgen of effort to it are effectively guaranteed to become wealthy and popular, without losing themselves to fame and fortune.
But no matter how great they become, even if they overshadow you, your descendants will never stop looking up to and admiring you. No matter what you need in life, they will always be willing to provide it.</t>
  </si>
  <si>
    <t>Why do it more than you have to, right? Intercourse is, primarily, for reproduction, and now you can impregnate anyone able to get pregnant the first time you try. This doesn’t require any male genitalia on your part. Any part of your body will do to deliver the needed gamete where it needs to go. Hell, you could even use someone else’s gametes if you want to. Finger one girl to orgasm and then use her gametes to impregnate her sister or something. Taking or giving a gamete requires that the target orgasms.</t>
  </si>
  <si>
    <t>A Future of [Kemokko] Cuteness</t>
  </si>
  <si>
    <t>The zoo’s animals becoming cute and sexy kemokko girls is just the start of the Director’s brilliant dream, for she envisions a day in the distant future where, through love, they will have birthed a new kemokko race, holding the genes of both humans and other animals – and being incredibly cute!
With this perk, any children you have, even with other species, will bring in the best, cutest genes from both sides. They’ll take the cutest features from each parent to form a wonderful hybrid with a beautiful yet healthy body. They’re so lovable that, even if they’re a hybrid of different races, people just can’t help but find them adorable and will accept their existence.
As an extra bonus, your own forms will likewise inherit the cutest parts of your parents.</t>
  </si>
  <si>
    <t>Baby Box</t>
  </si>
  <si>
    <t>Lexx</t>
  </si>
  <si>
    <t>Similar to the box on B3K where Zev Bellringer was raised, this machine, the size of a small room, is capable of taking a human infant and raising it into an adult. The television screens and robot arms provide for the child’s basic needs, as well as education and simulated socialization. This will somehow not result in a child who is more screwed up than one raised by conventional means. If for whatever reason you don’t want to take a completely hands off approach to child rearing, you can take the child in and out of the box, using it as a school, daycare, and/or babysitter. As a special bonus, you may apply any parenting or teaching perks you may have through the box.</t>
  </si>
  <si>
    <t>Beloved Father</t>
  </si>
  <si>
    <t>Or mother, or both, if it works it works after all. All of your children will love you and be fiercely loyal throwing themselves into whatever role you assign them. It helps that you are very much in tune with the needs and wants of your children, even understand their individual mind and how they think with a just few conversations.</t>
  </si>
  <si>
    <t>Ditto Reproduction</t>
  </si>
  <si>
    <t>Dr Wankenstein is a mad scientist who dreams of creating pokemon through the wombs of humans. He would love to get his hands on you, as you are the epitome of that dream. What he does with technology, you do naturally. Anytime you have sex with something you normally can’t reproduce with, you can breed them and/or be bred with essentially a clone of the other party. For example, a Charizard creates a Charmander, whether it’s fucking you or you fucking it. If you are the one being bred, then the new organism is first created in an egg, that once laid then grows further into whatever the baby/child stage is. If you are the one breeding something else, the mother essentially starts carrying a clone of herself. As an unexpected benefit, the child created by this process knows every power/skill the parent knows, even ones the child can’t logically do. For example, a Charmander being able to pull off Wing Attack without having a wing. One particularly noteworthy example is the Eevee line, as being bred by a Flareon with Flamethrower will create an Eevee with Flamethrower, who can then be evolved into a Vaporeon with Flamethrower. Lastly, this perk comes with a toggle, in case you don’t want to start creating new life everywhere.</t>
  </si>
  <si>
    <t>Genesis Pillar</t>
  </si>
  <si>
    <t>Masou Gakuen HxH</t>
  </si>
  <si>
    <t>Well, I guess if you really want it... Ahem, this piece of Vatlantean magi-tech is responsible for the exclusively female population, specifically by allowing women to become pregnant through a blood offering, bearing exclusively other women, without the involvement of a man. Naturally, because men have lower inherent magical potential (in this setting) than women, the men of Vatlantis were steadily bred out of existence. If you wanted to make a pure matriarchy work, this is the tool to use. Technically speaking, if you wanted to gift this to Vatlantis, you might be able to cancel the war.</t>
  </si>
  <si>
    <t>Immaculate Conception</t>
  </si>
  <si>
    <t>Tojo Basara holds the unique status of having been born of three parents: his first mother, Sapphire, his father, Tojo Jin, and his second mother, Raphaeline, who carried him to term when Sapphire couldn’t do so safely. This mixed birth helped create a hero with the potential of all three realms, enough to rival even the Ten Gods themselves. You share in Raphaeline’s power over conception and birth, which allows you to safely transfer an unborn child between mothers, even to yourself if you are female. Any child born in this way is guaranteed to become magically-powerful as they grow, inheriting many of the powers that any of his or her parents may have possessed. In addition to this highly specific ability you also possess broad magical influence over fertility and childbirth in general, allowing you to bestow blessings of health upon a mother or fine-tune an infant’s appearance and talents while they’re still in the womb.</t>
  </si>
  <si>
    <t>Mother of Darkness</t>
  </si>
  <si>
    <t>The Utea might be broodmares to the injuu but that doesn’t mean they lack power or influence over them. They’re still mothers after all, and what sort of mother can’t raise her children properly? Even if they have bestial or inhuman natures you have a great deal of influence over your offspring. Even the most demonic creatures you birth pay great heed to your opinions and sensibilities. Although they won't completely deny their natures, they'll try to channel it in a way you would approve of. Moreover, upon birth, you can choose to have your new offspring harbor great lust for you and the prospect of having sex with you will motivate them greatly, making them much more capable at whatever tasks you set them than they really should be if you reward them sexually. Should you go back on your promise, though, they might just try to take it by force. They’re your children, not your slaves. Lastly, the children of such an excellent broodmare as you are always prime specimens of their kind, far better in every way than those borne by inferior mothers.</t>
  </si>
  <si>
    <t>My Beloved Smother</t>
  </si>
  <si>
    <t>Somewhere along the line, you obtained a crystal ball. Maybe you bought it from a witch, stole it from a gypsy, or made it yourself. It doesn't really matter. What does matter is that this orb is an orb of scrying, and it will allow you to watch *cough*spy*cough* your children. Supervise the armies' training from your bedroom, or critique the Dragon’s fighting style from halfway across the continent. It can only lock onto your children however.</t>
  </si>
  <si>
    <t>Rapid Pregnancies</t>
  </si>
  <si>
    <t>Like the women of Ushihijima, your pregnancies (and the pregnancies of those you impregnate) are insanely fast, taking only two weeks to reach completion. Well, two weeks normally. If the impregnator and the impregnated both love each other, then the pregnancy will be instead be completed in but two days.
All such rushed pregnancies are completely safe, cause no extra physical trauma, don’t require extra food, and are so easy to recover from that you could walk home immediately after giving birth. Nobody will ever consider such quick gestation times to be in any way abnormal, and nurses will never insist a mother stay in the hospital when they try to leave right after giving birth.</t>
  </si>
  <si>
    <t>SSR Rank Breeder</t>
  </si>
  <si>
    <t>A woman who was born solely to breed. Anything birthed by your body is a superior lifeform. The reasons from this are many. The superior quality of your reproductive abilities lead to far superior spawn, easily outmatching other members of the same species. None of the weakness of your female form will bleed into your children, taking only the better traits from you and the father. Unique genes in your ova give a high chance of developing Esper powers, which can range from control over elements to the ability to stop time. One might very well say that the most, and only, valuable part of you is now your womb.</t>
  </si>
  <si>
    <t>To Be Impregnated</t>
  </si>
  <si>
    <t>The only known cure to the virus—as well as the only vaccine—is to be impregnated by an infected male and give birth to their child. This is a bit of a problem, as growing a baby normally takes most of a year. Or rather, it would be a problem if the virus didn’t conveniently speed things along. Infected women experience extremely rapid gestation and development of the child, reaching a state equivalent to roughly eight months of pregnancy in a single week, before the process slows for the remaining weeks of the pregnancy, giving birth in a total of a single month.
This does not consume as much energy or nutrients as it seems like it should, is perfectly safe to both parent and child (unlike such rapid growth has any right to be), and the developing fetus is unusually protected, preventing the pregnancy from interfering overmuch in the daily life of the woman in question; they can even get bloated up cum again without risking the baby. Strange cravings, morning sickness, and the daily pains of pregnancy are entirely absent. Furthermore, the mothers-to-be experience a higher degree of serotonin, the so-called “happiness hormone”, resulting in them being much happier with their condition than they might ordinarily be... which is important, considering that they need to carry the baby to term to survive the virus.
Men who take this perk will provide the benefits of it to anyone they impregnate.</t>
  </si>
  <si>
    <t>Army of Darkness</t>
  </si>
  <si>
    <t>You know, dragons are known for being arrogant. Maybe you shouldn’t base your entire army on one? Or maybe you should, it’s not like they’d ever betray mother dearest, right? Your children are now utterly loyal to you, capable of harming you no more than a papercut without your permission. The effect weakens with each generation, but it would take, lets say five, before someone would be able to plot against you normally, and by that time they’re either your child anyways, because you’ve been fucking your kids, or too weak to really do anything against you.</t>
  </si>
  <si>
    <t>Babies Ever After</t>
  </si>
  <si>
    <t>You are hyper-fertile, able to get pregnant or impregnate someone at will. All your pregnancies, and all those you cause, take mere days to come full term and never suffer from medical difficulties. The actual births will be easy, safe and mostly pain-free, and all your children (whether you carried them or not), will mature to toddlers in a week. Any or all of these effects can be toggled off at will.</t>
  </si>
  <si>
    <t>Broodmother</t>
  </si>
  <si>
    <t>The greatest advantage of the corrupted races is simply how damn many of them there are, with puny creatures like imps and goblins found almost everywhere in the world. Why not get in on that? You breed like a goblin, with pregnancies that last a mere week and births feel like one long, continuous orgasm. Even if you end up fathering your children instead, your partners' pregnancies end up being similarly rapid and pleasurable.
Twins are the bare minimum, with up to octuplets not being uncommon depending on the virility or fertility of your partners. These children develop at astounding rates too, able to stand and walk almost immediately, and can potentially grow to look and act practically fully grown as they suckle from their mother for the first time. Though if you really wanted to, you could dial this down to a less extreme corrupted growth speed or a more reasonable number of children. Perhaps if you wanted more time to teach your children.</t>
  </si>
  <si>
    <t>Don't Let Life Die Out</t>
  </si>
  <si>
    <t>Life goes on, even after a major extinction event life has always found a way to hobble its way back to normality until it comes time for another round. This time it is different, it is not the wrath of nature that brought ruin unto the world but the desperation of the elves. You are the solution.
You have an aura of fertility that intensifies the greater any threat to life itself becomes. Barren women could be successfully impregnated, even things that couldn’t normally be impregnated can be if you try hard enough. Such pregnancies will be especially fecund too, being twins, or more. Malignant magics or other effects meant to prevent children or childen of a certain gender cannot stop you (this does not apply to willingly taken contraception). Any descendants you have will be healthy, hardy, and not suffer from the ravages of genetic diseases or incest, if they or you copulate with the other and have kids. They will also share a piece of this aura, ensuring that your legacy will always endure.</t>
  </si>
  <si>
    <t>Evil Always finds a Way</t>
  </si>
  <si>
    <t>The 13th and final dragon that the Mistress gave birth too was given 1000 years to build up the army of darkness before they would attempt to invade the kingdom. And at the end of it, the Mistress still stood, a peerless and monstrous beauty who could not be matched. Your lifespan is now functionally indefinite - so long as you have a single living child, moving past the prime of your life simply won’t happen.</t>
  </si>
  <si>
    <t>Forbidden Texts</t>
  </si>
  <si>
    <t>These ancient writings detail how to create monsters with magic and alchemy—but not just any ordinary beasts, no. It details the creation of powerful sexual monstrosities, with a variety of powers meant to lewdly break down the resistance of others and ensnare them with traps of pleasure. For instance, it was this very book that allowed Celeste to create the Slime that the story revolves around, who could create aphrodisiacs and love potions custom-made for their victims, and who had speed and strength enough to restrain even the great hero Quinn.</t>
  </si>
  <si>
    <t>Postpartum Ahegao</t>
  </si>
  <si>
    <t>Being pregnant with a tentacle monster’s spawn is a life-changing experience for any woman, for better or for worse. Any pregnancy you cause is highly pleasurable for the mother, replacing less pleasant side effects such as morning sickness and mood swings with heightened arousal and sensitivity to pleasure. These effects reach their peak as the mother comes to term, and the delivery is a multi-orgasmic affair devoid of the typical pains of labor. But the mother isn’t the only beneficiary of this perk: from conception until birth, the mothers of your spawn become psychologically and metaphysically open to you, and are unable to resist any additional effects you might choose to inflict on them which they might otherwise be able to. Even the most unwilling victim can be sculpted into a happy complacent broodmare once she has experienced the unrivaled ecstasy of giving birth to your spawn. Finally, those who witness or hear about these pregnancies find the idea strangely alluring, and to a greater degree depending on their proximity to the event in question.</t>
  </si>
  <si>
    <t>The Maker</t>
  </si>
  <si>
    <t>It’s taken a long time. Too long you would say. Weeks, months, maybe even years of work culminate in this moment. Are you ready to play god?! It is you who now have the power to create life! For...very petty reasons. 
You have perfected a form of nonsensical pseudo-science that allows you to make virtually whatever kind of monster you can think of. How can lightning return dead tissue to an entirely living state once more? Who knows!? You barely do. 
The resources and time spent contribute to the quality of the end product. While lightning is difficult to capture, it is that difficulty and strength that helps make your ‘Bride of Frankenstein’ into a hardy, powerful, untiring animal of a woman. 
While reanimation and splicing are your forte, you can make all kinds of monsters with your strange methods.. Many of your creations will at first view you as a god, their maker. But, that may change if sufficiently abused, and/or betrayed.</t>
  </si>
  <si>
    <t>Black Mass Production</t>
  </si>
  <si>
    <t>Through perverse experimentation and forbidden research you have uncovered the secrets of producing horrors beyond imagining, in numbers beyond belief. Whenever you summon or create creatures, you are able to produce twice as many as you would normally be able, at no extra cost in time, materials, or effort. Creatures that you personally bring into the world can be made be twice as fertile as usual if you wish, increasing their odds of siring or conceiving offspring as well as the chances of multiple spawn per birth. Should you incorporate perverse methods into the production process you can take things further: for instance, a ritual that normally summons a single demon (and would call up two with the basic form of this perk) will instead bring forth three monsters if you perform a virgin(ity) sacrifice, four if you add a couple of extra participants, five with a full-blown orgy, and so on. There is no cap on the number of extra creatures that can be acquired in this manner, so long as you can meet the escalating costs.</t>
  </si>
  <si>
    <t>Clone Tanking</t>
  </si>
  <si>
    <t>Instead of having kids like normal, you instead give birth to a hive-mind of clones of yourself. These clones aren't entirely accurate, having a fair share of the other parent’s DNA, but with your mind and personality. Unlike the titular tanuki, this can be adjusted so that you don't necessarily overwrite your own kids unless you decide to. Unfortunately, if a continuous effect binds itself to your soul or something, it will still follow you into your next body, since your mind and soul supplant your child’s whenever you take them over.</t>
  </si>
  <si>
    <t>Going Down in Legend</t>
  </si>
  <si>
    <t>You are going to be the one. The one who got away, the one who slew the dragon, the one who did IT. And if you actually manage to do it, you'll find your children are one step closer to being the one. If you manage to slay a dragon, your family will eventually become renowned as dragonslayers, with your great grandchildren killing three of them with ease, as compared to your one just barely. The more you become known for, the better this becomes, and it keeps growing for every generation.</t>
  </si>
  <si>
    <t>Hips that Shake the Heavens</t>
  </si>
  <si>
    <t>Your body is now some sort of pregnancy factory. All the major downsides/pain in the ass are minimal at best, it can take less time if you want, and your body recovers from the damage, as minor as it now is, in record time. In addition, once you are pregnant, nothing (bar you) can prevent the baby, so you can have as much sex as you want, or eat as unhealthy as you like. Also, your hips are now as slim or THICC as you like, and everybody is gonna drool over them. Lastly, permanent damage to your figure is basically impossible - no matter how much you stretch to take a cock that huge, you’ll be fine in a day or two.</t>
  </si>
  <si>
    <t>Legacy of Lust</t>
  </si>
  <si>
    <t>Sometimes, you just won’t be able to do what you want to within your own lifetime. That means you need kids! By default, any child of yours will inevitably inherit some of your lewder powers, and maybe one or two combat traits. But, sometimes you need a little more. Pick a theme for your child, and said child will gain everything you have that fits it. Fire powers, ice powers, durability, excessive learning speed, things like that. You can’t just say something like ‘magic’, unfortunately.</t>
  </si>
  <si>
    <t>Love of the Creator</t>
  </si>
  <si>
    <t>An all-too-common problem for scientists is that their creations tend to harbor resentment towards them, often to the point of rebelling and killing their unfortunate makers. Fortunately, this won’t be a problem for you. Any beings you create possess an innate love and loyalty to you and indeed, are quite happy to do things for you be it slay your enemies or accompany you in bed. This even extends to your creations that were made from preexisting people, which in other words you could very well remake an unfortunate woman into a loyal and loving sex cyborg. Though it should be said that this loyalty can be really tested if you do heinous things to your creations such as trying to destroy them without any reason.</t>
  </si>
  <si>
    <t>Mother of Monsters</t>
  </si>
  <si>
    <t>What's an evil overlady down in the dumps to to do about her run down army? Well, breed a new one. Where to get a good breeding sow though? Well, let's use yourself a few times and go from there. You can now mix and match the biological makeup - and therefore powers - of anyone you’ve ever fucked - or rather, who’s fucked you, you dirty slut. Feel free to make the perfect child from the primordial soup that is your womb, but keep in mind some things don’t play well together. Also, don’t worry about incest, genetic defects and the like can’t sneak past you.</t>
  </si>
  <si>
    <t>Passing the Torch of Terror</t>
  </si>
  <si>
    <t>The Mistress has raised many generations of the great snakes, and then embraced them as her lover in an attempt to breed an even greater dragon. However, soon after that embrace, they’d become useless, replaced in her army and bed by your even stronger child. Sometimes in less than five years, far too short a time. That's why you can now pass the torch onto one of your children - not just the torch of terror, but also of YOU. Possessing them before they grow too much, replacing everything they are with everything you were... And keeping everything they could have become. You may do this no more than once a year, or you may use it one time as a 1up, allowing you to survive death in the form of your child should you die.</t>
  </si>
  <si>
    <t>Founding of Prulina</t>
  </si>
  <si>
    <t>It has already been said, but Prulina is a nation of futanari. No child born inside its borders since its founding has been male or female. Only futanari. With that in mind, you can now exert a level of control over birth and inheritance across any land you hold sway over. A policeman might hold a neighborhood or two, a doctor their hospital, a politician a city, and a queen over her nation. Within that boundary, you can influence the details of birth. No child born this year shall have blue eyes. Every child shall be futanari. A certain magical trait will always be passed down. There are limits, or course. If genetics decree that blue eyes is the only possible outcome, or if there is no magical trait to pass down, then clearly your decreed outcome will not come to pass. Still, call it probability. With your royal decree, even a 1% chance of a certain trait being passed down becomes 100%.</t>
  </si>
  <si>
    <t>Patriarch of the Injuu</t>
  </si>
  <si>
    <t>In the beginning the king was the only injuu, but thanks to his prolific breeding the demons have become a force that threatens many worlds. You have the supernatural virility to be the patriarch of an entire race, having enormous power over your offspring. While you’re still capable of having normal children, a simple investment of power into your seed makes them so much more, allowing you to sculpt them to your liking. You can freely control the child’s race, appearance, and nascent personality, as well as bestow any power you possess on them, or even reduce them to mere extensions of your will instead of independent beings. Once per decade you can invest every drop of power you possess into one of these newborns, reincarnating yourself into a new child body and inheriting all of the powers that the child’s mother possessed as well as retaining all of your own powers. Unlike the injuu king, this process can’t be used to harm you in any way, such as a magical girl trying to purify your soul during her pregnancy.</t>
  </si>
  <si>
    <t>Black Book</t>
  </si>
  <si>
    <t>Totally unmarked, save for a blood red clasp that holds the covers closed. Capable of teaching the reader one lust-based spell. Slight chance that they become slightly more intelligent as well.</t>
  </si>
  <si>
    <t>Mana Lotion Potion</t>
  </si>
  <si>
    <t>A slippery but sticky fluid that can be used “in various ways” for replenishing your mana or slathering all over a magical sword to lubricate it for polishing. Using the entire bottle restores a normal person’s mana to full. This bottle refills once per day.</t>
  </si>
  <si>
    <t>Monster Protection</t>
  </si>
  <si>
    <t>The Zora have created a novel solution to the problem of monster rape by requiring their women to wear chastity belts at all times for their own safety. Some wearers may be perturbed by the perpetual vibrations of the safety plugs, but such is the price of preserving a maiden’s virtue in this world. This item grants you a number of these devices, enough to outfit any of your companions with them should you wish to do so. Unlike ordinary chastity belts these are crafted with Zora water magic, which not only enables them to be locked with magic so only specific individuals can remove them (usually not the wearer herself), but also makes them self-cleaning so they can be worn for long periods without impacting the wearer’s hygiene. While they don’t help much against magical corruption, most monsters are too stupid to figure out how to unlock the mechanisms that keep the wearer’s virtue safely sealed away.</t>
  </si>
  <si>
    <t>(Im)pure Energy</t>
  </si>
  <si>
    <t>As a magical girl, you draw your power from the positive emotions of others. Every act of kindness you do, every smile you create will cause you to slowly grow stronger, with even more energy being created if they have magic of their own. It should be noted though, that despite the name this doesn’t have to be a platonic happiness. More carnal joys can also be used as well, although surely you’ll never stoop to doing something like that with anyone but the one you intend to marry...Right?</t>
  </si>
  <si>
    <t>A Lady's Favour</t>
  </si>
  <si>
    <t>It’s common custom for heroes to receive blessings from patrons or admirers before heading off to battle. This piece of cloth is a bandage or a handkerchief that conceals a potent tracking enchantment, allowing you to monitor the status of whoever holds it from a great distance away. Giving it to a person allows you to monitor that person’s health and wellbeing no matter how far away they move, and you can keep tabs on them even if they vanish into another dimension or behind a barrier. It can also be used as a targeting device for some types of spells, allowing you to support the bearer from a great distance or even teleport directly to their side if you have those sorts of abilities. It’s also charmed to resist battle damage and can’t easily be destroyed should your ward ever come under attack.</t>
  </si>
  <si>
    <t>Amulet of Chastity</t>
  </si>
  <si>
    <t>A magical trinket with the ability to ward off the lustful. It’s honestly just an anti-rape field centered on a bit of jewelry that makes it easier to resist those that want to tap dat ass (your ass). However, it mostly just helps you resist them rather than be a true counter.</t>
  </si>
  <si>
    <t>Arcane Adept</t>
  </si>
  <si>
    <t>Yer a wizard/witch, Master/Madame. Or at least, you like to style yourself as one. You have a small handful of spells that allow you to use the energy of your mind and body to do things like analyze your opponent for vulnerabilities, restrain them with magical ‘rope’, or just bombard them with pleasure directly. That’s said, there’s always more to learn. Study hard!</t>
  </si>
  <si>
    <t>Black and White</t>
  </si>
  <si>
    <t>Normally, you would have to study for years to gain the knowledge being gifted to you here. While you aren’t a master of the occult, you are not a novice either. This gives you vast knowledge in both black and white magic and rituals. Black magic tends to be more offensive with its rituals requiring sacrifices of blood, sex, and life in order to accomplish. White magic is more defensive, with the banishment of demons and the healing of ailments being a focus. Rituals of white magic are often long chanting sessions and rather time-consuming.</t>
  </si>
  <si>
    <t>Caval II</t>
  </si>
  <si>
    <t>Oh dear, it seems that Fou has some competition. This small fluffy dog seems to have taken to following you around, and won’t go away no matter how much you tell it that you’re not it’s master. Still, for a dog you don’t own it seems remarkably well trained. Perhaps the dog is simply an excellent judge of character, and deems you worthy of it’s loyalty? ...That’s actually somewhat true, given the dog’s nigh supernatural ability to detect the evilness of others and it’s partial resistance to mind magics and illusions. Oh, and it can also detect lewdness in the hearts of others. You could literally order it to track down bitches for you and it would probably lead you straight to Scathach and whoever her latest target was.</t>
  </si>
  <si>
    <t>Charmed Collar</t>
  </si>
  <si>
    <t>Evening Starter</t>
  </si>
  <si>
    <t>A simple leather choker with runes sewn into it. This choker has several defensive spells placed upon it that protect the wearer from elemental spells and some mental manipulation like hypnosis. It also looks kind of sexy too.</t>
  </si>
  <si>
    <t>Cursed Ring</t>
  </si>
  <si>
    <t>This ring is fairly standard as far as cursed objects go. Succubus use it to make their meal last a little longer before finally cumming their life out of their dick. A simple curse that prevents the wearer from ejaculating, and another that prevents them from removing it under their own power is all it really has. Technically speaking, you have two. An actual ring, for boring people, and a cock ring, as the original was.</t>
  </si>
  <si>
    <t>Deck of Hearts</t>
  </si>
  <si>
    <t>A mostly ordinary deck of playing cards, though the queen's are the only thing special about it. Specifically, the king and queen cards will attune to anyone that touches them, with the kings applying to men and the queens to women. Anything sexual you do to one of the attuned people within the network will happen to all of them, all the way up to getting pregnant. To ‘activate’ a card, just get the intended person to touch it. It stays tuned to them as long as no one else touches it. If you really wanted to be mean, you could tie three to one person to utterly wreck them. You can choose whether a card attunes to you.</t>
  </si>
  <si>
    <t>Dragon Skin Black Undies</t>
  </si>
  <si>
    <t>A set of black undergarments made of dragon skin and fit like a glove. It makes the wearer resistant to fire, which is pretty damn good for a set of sexy undies. It has this odd effect of making the skin more susceptible to pleasure, though...</t>
  </si>
  <si>
    <t>Elemental Crystals</t>
  </si>
  <si>
    <t>These large crystals contain the four elemental spirits: Fire, Ice, Air or Earth. When shattered, you can choose to fight the released spirit and absorb its power to gain the ability to attack foes with (weak) elemental blasts of their particular element. Giving up this power will cause the crystal to reform.
Alternatively, if you shatter a crystal but don't hurt them, you can ask them for some other favors. They're all attractive women clad in nothing but their elemental powers, after all, and while you could always use them as magically empowered bodyguards, there’s no doubt other things they could help you with...</t>
  </si>
  <si>
    <t>First Year Rookie</t>
  </si>
  <si>
    <t>Karenvania</t>
  </si>
  <si>
    <t>Now that you understand your power, you must begin to use it. To that end, you have an acceptable level of skill at the standard weapon of an Exorcist - traditionally a sword, though the exact style is up to you - as well as the ability to use your spiritual energy to enhance your body, striking with the force of several men despite being a somewhat dainty young lady. In addition to that, your name has been magically shrouded, preventing people from being able to identify you as an ordinary student while performing your duties as an Exorcist unless they already know you personally.
These exercises will come as easy as breathing, to the point that you can do them flawlessly in your sleep. Their effect is minimal, but they should allow you to gain some muscle mass fairly quickly. You will also notice a pleasant ache in your body after performing them, as if the exercises were arousing to you. In what I assure you is a completely unrelated manner, your ass is amazingly clean and anal sex is remarkably pleasurable to you.</t>
  </si>
  <si>
    <t>Hylian Hood</t>
  </si>
  <si>
    <t>A simple hooded cloak enchanted by fairy magic, this traveler’s staple is a useful accessory for anybody hoping to travel Hyrule with some degree of privacy. When the hood is pulled up it shrouds the wearer’s face in magical shadows, disguising them to anybody who doesn’t already know their identity. A princess wearing this cloak could walk among her subjects and be totally unrecognized by all save the bodyguard at her side. Nor will they notice if said princess is otherwise nude or has a vibrator buzzing away beneath her clothes, as the great fairy also rather mischievously enchanted the cloak with an aura of normalcy that disguises lewd acts from uninvolved onlookers, though if they become directly involved in such lewdness the disguise falls away immediately. All but the largest of monsters could even use this cloak to pass themselves off as ordinary travelers if they were clever enough to disguise themselves, at least until the hood falls away and their monstrous intentions are revealed.</t>
  </si>
  <si>
    <r>
      <rPr>
        <sz val="13"/>
        <color theme="1"/>
        <rFont val="Calibri"/>
        <family val="2"/>
      </rPr>
      <t xml:space="preserve">You’re lucky enough to know magic! If you’re a drop-in, this lets you skip the years of education required to get to the point that you can actually start casting spells; if you have a local background, your past includes receiving an education in magic . Whether it’s from a formal institute, learned via family traditions, or self - taught, it doesn’t matter; in regards to this perk, they’re all equally effective. There are many different types of magic in the world, but you can select from the following list: 
</t>
    </r>
    <r>
      <rPr>
        <b/>
        <sz val="13"/>
        <color theme="1"/>
        <rFont val="Calibri"/>
        <family val="2"/>
      </rPr>
      <t>&gt; White Magic</t>
    </r>
    <r>
      <rPr>
        <sz val="13"/>
        <color theme="1"/>
        <rFont val="Calibri"/>
        <family val="2"/>
      </rPr>
      <t xml:space="preserve">: White magic is the loosely - defined magic of “good”; it can inflict justice on those who have done wrong, weaken powerful enemies, heal wounds and sickness, fill inanimate objects with life energy to create golems, and so on. There is no requirement in the slightest that these magics be used for good purposes, however. 
</t>
    </r>
    <r>
      <rPr>
        <b/>
        <sz val="13"/>
        <color theme="1"/>
        <rFont val="Calibri"/>
        <family val="2"/>
      </rPr>
      <t>&gt; Black Magic</t>
    </r>
    <r>
      <rPr>
        <sz val="13"/>
        <color theme="1"/>
        <rFont val="Calibri"/>
        <family val="2"/>
      </rPr>
      <t xml:space="preserve">: Black magic is the loosely - defined magic of “evil”; it can create undead (who are of ten rather nice), summon demons (who are delightfully helpful), speak with the deceased (who may have good advice), drain life force (which with specialized application can be used to heal), invoke fear (useful for ending fights quickly), as well as the magic of making sacrifices to achieve something normally beyond your means. It is also the magic most frequently used for sexual purposes. Like with white magic, there is no requirement to actually be evil to use black magic. 
</t>
    </r>
    <r>
      <rPr>
        <b/>
        <sz val="13"/>
        <color theme="1"/>
        <rFont val="Calibri"/>
        <family val="2"/>
      </rPr>
      <t>&gt; Purple Magic</t>
    </r>
    <r>
      <rPr>
        <sz val="13"/>
        <color theme="1"/>
        <rFont val="Calibri"/>
        <family val="2"/>
      </rPr>
      <t xml:space="preserve">: Purple magic is closely related to black magic. While both are capable of a degree of mind control, manipulating emotions, and providing resistance to said effects, purple magic goes all - in on focusing on mental effects. It is capable of invoking hallucinations, causing ill usions, full - on control of minds and thought processes, and brainwashing. 
</t>
    </r>
    <r>
      <rPr>
        <b/>
        <sz val="13"/>
        <color theme="1"/>
        <rFont val="Calibri"/>
        <family val="2"/>
      </rPr>
      <t>&gt; Blue Magic</t>
    </r>
    <r>
      <rPr>
        <sz val="13"/>
        <color theme="1"/>
        <rFont val="Calibri"/>
        <family val="2"/>
      </rPr>
      <t xml:space="preserve">: Blue magic is deceptively simple; it allows you to control water. However, considering how important the sea is to life in general, and to commerce in particular, this ma kes blue magicians an invaluable component of the economy. 
</t>
    </r>
    <r>
      <rPr>
        <b/>
        <sz val="13"/>
        <color theme="1"/>
        <rFont val="Calibri"/>
        <family val="2"/>
      </rPr>
      <t>&gt; Red Magic</t>
    </r>
    <r>
      <rPr>
        <sz val="13"/>
        <color theme="1"/>
        <rFont val="Calibri"/>
        <family val="2"/>
      </rPr>
      <t xml:space="preserve">: Red magic is the magic of fire and destruction. Although its most readily - apparent and obvious uses are for combat, red magicians are actually most commonly found in the field of enginee ring. 
</t>
    </r>
    <r>
      <rPr>
        <b/>
        <sz val="13"/>
        <color theme="1"/>
        <rFont val="Calibri"/>
        <family val="2"/>
      </rPr>
      <t>&gt; Green Magic</t>
    </r>
    <r>
      <rPr>
        <sz val="13"/>
        <color theme="1"/>
        <rFont val="Calibri"/>
        <family val="2"/>
      </rPr>
      <t xml:space="preserve">: Green magic is the natural magic of plants. It can manipulate them, make them grow faster, and affect their health. A vital component of the agricultural system.
You may purchase additional forms of magic at any time you could purchase a perk for </t>
    </r>
    <r>
      <rPr>
        <b/>
        <sz val="13"/>
        <color theme="1"/>
        <rFont val="Calibri"/>
        <family val="2"/>
      </rPr>
      <t>200 CP</t>
    </r>
    <r>
      <rPr>
        <sz val="13"/>
        <color theme="1"/>
        <rFont val="Calibri"/>
        <family val="2"/>
      </rPr>
      <t>.</t>
    </r>
  </si>
  <si>
    <t>Magic Mirrors</t>
  </si>
  <si>
    <t>A set of two mirrors that appear completely normal but are communication devices that are linked to each other so that what appears on end is shown on the other. Geldro used this as a way to contact a corrupt noble in the capital to get him to sell out the country's military and stage a coup, but I’m certain a smart orc like you can find other uses for such a tool.</t>
  </si>
  <si>
    <t>Magic Tricks: Arcane</t>
  </si>
  <si>
    <t>Any mage worth his salt can cast battle magic: fireballs and rays of light are simple expressions of power, devoid of finesse or subtlety. There’s much more to magic than mere elemental destruction, and you’re an expert at both these simple combat spells and more complex spellwork. You’ve mastered arcane magic, wielding elemental magic of all sortsIn addition to basic combat magic, you can wield other spells with greater utility, such as wards to protect a region from the elements, or spells to spy through walls, and many more, though you will need further training before you can contend with the most powerful mages in this world.</t>
  </si>
  <si>
    <t>Magic Tricks: Sacred</t>
  </si>
  <si>
    <t>Any mage worth his salt can cast battle magic: fireballs and rays of light are simple expressions of power, devoid of finesse or subtlety. There’s much more to magic than mere elemental destruction, and you’re an expert at both these simple combat spells and more complex spellwork. You’ve mastered sacred magic, weilding spells of healing, defense, and the power of faith. In addition to basic combat magic, you can wield other spells with greater utility, such as wards against sickness or pregnancy, or spells to track a marked target, and many more, though you will need further training before you can contend with the most powerful mages in this world.</t>
  </si>
  <si>
    <t>Magical Back-up Battery</t>
  </si>
  <si>
    <t>A specialized device used to restore magical power quickly. While seemingly mundane, it is a highly specialized tool that works with both Witches and Sorcery Emulators. It’s a rechargeable pool of magical energy that is great in an emergency. It can do this twice before needing to be recharged. However, it must be recharged via biochemical reactions. The catalyst for such reactions is blood or semen, the fresher the source, the more potent the reaction. Blood from transfusion bags seems to ruin the effect and frozen semen is very inefficient.</t>
  </si>
  <si>
    <t>Magical Smokes</t>
  </si>
  <si>
    <t>These look a lot like cigarettes, but don’t cause anything resembling the health issues caused by those death sticks. Smoking one of these will gradually replenish your supply of magic, fully recharging you if you fully smoke one. More quickly, however, it can also instantly end the refractory period and can cause a male to rapidly produce more cum. You have a supply of 3 packages of Magical Smokes, which replenishes each week.</t>
  </si>
  <si>
    <t>Pocket Goblin</t>
  </si>
  <si>
    <t>At will you can summon a small helper like a goblin or a fairy. Out of your cleavage, from under your skirt, out of your asscrack, whatever. They can do some housework but are otherwise of limited utility. If killed, you can’t summon another for 24 hours. Counts as a follower.</t>
  </si>
  <si>
    <t>Souls for Seed</t>
  </si>
  <si>
    <t>Using the ominously named Soul Extraction technique, you can directly convert any semen you take into your body into the Soul, strengthening your physical and magical capabilities! The higher quality the semen - that is, the greater its virility - the higher quality the haul. Now get out there and suck some dick in the name of justice!</t>
  </si>
  <si>
    <t>Tentacles on Demand</t>
  </si>
  <si>
    <t>The perfect thing for when you need to tie up a struggling prisoner, this set of six tentacles can be summoned out of most flat surfaces, allowing them to hang from the ceiling or rise up from the ground whenever you need a few extra pairs of limbs. The tentacles are about six to ten feet long and have all the strength and abilities that your own limbs do, like shapeshifting or spewing poison, but if they’re damaged or destroyed you’ll have to wait 24 hours to summon them again.</t>
  </si>
  <si>
    <t>Trusty Staff</t>
  </si>
  <si>
    <t>“I'm in Another World, So I Guess I'll Use Magic to Be Lewd!”</t>
  </si>
  <si>
    <t>What self-respecting wizard goes anywhere without his staff in hand? ...no, his other staff. The one that shoots fireballs. This is a pretty standard wooden staff, carved from oak or some other type of wood that channels magic easily, and it gives a small but noticeable boost to any spells cast through it. It may look rather plain at first glance but as you level up its appearance will evolve with you, though it doesn’t grow in strength unless you put some extra work into reinforcing its enchantments. If you’d rather have a wand or an athame or a spellbook or something you can turn this item into one of those instead, but regardless of what you pick it can always be summoned to your hand if you’re ever parted from it.</t>
  </si>
  <si>
    <t>Vestal Virgin</t>
  </si>
  <si>
    <t>You have very basic holy powers. With appropriate rituals, you can consecrate objects or places, bless people in minor and subtle ways, promote clean and easy healing, neutralize poison and other such minor miracles. 
This does not actually require you to be a virgin, but if not, you will require a spiritual cleansing as part of the rituals, making them considerably less convenient.</t>
  </si>
  <si>
    <t>Walk Without Death</t>
  </si>
  <si>
    <t>Fate/Grand Master</t>
  </si>
  <si>
    <t>Most magi will tell you that magic isn’t a toy and needs to be taken seriously, but it seems an awful lot less dangerous than it’s hyped up to be, at least when you’re using it. Any magical abilities you might have are safety-proofed against friendly fire, collateral damage, and any risks of backfiring. You could unleash your most powerful spells or a noble phantasm even with your squishy human master directly in the line of fire with no fear of harming him whether directly or through any collateral damage you may cause. Even when you use your powers directly on a person you don’t want to harm, they never misfire except in harmlessly lewd ways, such as blowing your Master’s clothes off or swapping their gender for a few days. You’re able to toggle off this perk’s effects if you need to harm a loved one or yourself for some unfathomable reason.</t>
  </si>
  <si>
    <t>Wand</t>
  </si>
  <si>
    <t>You are now in possession of a wand — a tool for using magic and inscribing runic circles, ranging in size between a long twig and a staff, and typically decorated with details suited to the wizard in question’s specialty in magic. It is possible to use magic without one, but it is so prohibitively expensive in terms of mana that a focal tool such as a wand is all but required if you want to use magic more than once a day. You could reduce the cost in magic to the level of using a focus if you draw a magic circle, but this is time consuming and not viable in an emergency. However, combining a magic circle with a wand halves the mana consumption of any spells you cast, enabling you to work magic outside what’s normally possible for your mana levels.</t>
  </si>
  <si>
    <t>“Dual Cultivation”</t>
  </si>
  <si>
    <t>Kids these days have it easy when it comes to learning magic. Even the Hero had to work his butt off for his talents to reach their full maturity but his elf sidekick went from having zero magical talent to being a respectable mage and all she had to do was become his fuck buddy. Like the hero’s elf apprentice you’re able to soak up magical power and expand your arcane talents at a vastly accelerated rate just by having sex with people who are stronger or more experienced than you. You’re able to gain both knowledge and power from your “mentors” this way, with new spells and techniques in their arsenals manifesting in your mind in the form of sudden flashes of insight, though you’ll still need extensive practice to master these spells to the same degree as those you learned them from.</t>
  </si>
  <si>
    <t>Babe Magnet</t>
  </si>
  <si>
    <t>As a Demon King you are not some feral predator that mindlessly pursues the first fertile female it sees. You demand victims whose beauty and potential are a match for your own power and magnificence. This little device will help you find them. The Babe Magnet can take many forms, ranging from a mundane compass to an eerie black crystal to a deck of profane Tarot cards. It's a quality focus for any divination magic you might possess and makes it a bit easier to work around all sorts of interference. In addition, once per week you may use the Babe Magnet to track down a woman whose appearance, personality traits, unique skills, and recent history make her suitable for and vulnerable to your latest perverse desire. You don't have any real control over this process, and it's pretty much guaranteed to fail to expose any heroine or rival villain's secret identity, but that isn't to say that it can't unknowingly lead you to their public personas...</t>
  </si>
  <si>
    <t>Bell of the Goddess</t>
  </si>
  <si>
    <t>This exquisite, golden bell has a clear sound that seems to linger even after the bell has stilled. If you ring this bell with your eyes closed and picture a person (or any other being with human-level intelligence or above) that you've met before, you can temporarily summon a magical copy of that person. They'll be completely the same as they were when you met them, with three differences.
First, while they’re completely lifelike in just about every way, they’re only a semi-real duplicate - more akin to a very lifelike illusion than an actual sentient being. Second, the copy will feel like the ‘summoning’ is completely normal and unremarkable, never questioning why they're suddenly somewhere else. Third: they'll always be enthusiastic about fucking you (even if, say, they're normally only attracted to a different gender/species/other, they'll make an exception just for you). Mind you, this won't necessarily mean they'll fuck you the way you want them to... as an example, the high priestess of a religion that fanatically worships virginity might only be willing to do a handjob so she stays 'pure'. Likewise, summoning The Demon King Of Pain And Slaughter will not magically make him bother with such things like 'consent', 'lube', or 'keeping his plaything alive during the ordeal'.
You can't use this item to gain any power or other advantages, such as by asking a mighty sorceress to teach you her magic while your dick is buried up her ass. You'll probably just forget your newly-acquired vast cosmic powers the moment the summoning ends or some such.</t>
  </si>
  <si>
    <t>Beloved Bridal Sex Slave</t>
  </si>
  <si>
    <t>You now can make use of a peculiar spell that’s equal parts kind and kinky. By casting it on yourself or someone else, while someone they love is nearby, the two of them will suddenly be dressed in marriage attire. By exchanging the supplied rings, and having passionate sex, they will become magically married, in the eyes of society and the law, regardless of all other factors. Unless the love is truly mutual, the spell will only be temporary.</t>
  </si>
  <si>
    <t>Blood is Magic...</t>
  </si>
  <si>
    <t>This quaint ability is something all Witches are able to do. The ability to regain magical power through the bodily fluids of others. This is a rather inefficient process, but it is still viable. While you could gain quite a bit of magic from the blood of others, it is considered quite a taboo. Normally, the blood would need to be fresh and become worthless if allowed into blood packs or unenchanted storage mediums. You, however, can gather magic from blood just perfectly without those drawbacks. Still, if blood is too much for you and you’re into that sort of thing, the easiest and most benign way to regain magical power is through semen, the fresher the better.</t>
  </si>
  <si>
    <t>Caloric Conjuring</t>
  </si>
  <si>
    <t>You now know the dark, sinful art of magical, fat-related spells. Curse that snooty princess with an unending appetite, outright magically force that amazon to gain weight, transfer fat from one person to another. At first you’ll only be hitting one target at a time, but with practice you can work your devious magic over whole groups at a time, maybe up to towns and cities if you really try.</t>
  </si>
  <si>
    <t>Command Tattoos</t>
  </si>
  <si>
    <t>Womb tattoos can be hot, but there’s a fine line between stylish and trashy. Luckily for you, these fall into the first category for the most part. As for what they are? Well, they’re sort of like a command seal, but a bit weaker and a lot more open ended. Instead of binding you to someone, these allow anyone to use them - and in theory, to use you. That said, with how much weaker they are even someone with E rank magic resistance could mostly nullify them. They can’t really be used to force you to do things. Instead, they shine brightest when you agree to the command, and also when that command is sexual in nature. Something like ‘Cum a dozen times’, or ‘Get pregnant!” would be the sorts of commands I expect you to use these with. 
They come on a mystic code piece of paper and can be applied just by pressing it flat against someone's navel. When used, a new set will develop on it once a year. As per tradition, a set will work three times every 24 hours.</t>
  </si>
  <si>
    <t>Dark Mark</t>
  </si>
  <si>
    <t>Some youma prefer a catch and release policy for their victims, letting them go and coming back for them later rather than locking them up. Tracking one girl in a city as big as Tokyo might sound tricky but you’ve got a secret weapon up your sleeve, a magical tattoo which acts as a tracking device, letting you sense a person’s location from hundreds of miles away. It can take whatever form you like, from a black star to an inverted crescent moon to a tramp stamp, or even a lewd little heart right over their womb. You can apply your mark with a simple exertion of magical power if your target is magically-weak or exhausted and from then on will always know your target’s location relative to your own. You can also hide the mark from sight if you’d rather your target or others not know it’s there, and if you’re skilled with magic you can also use it as an anchor for other kinds of lewd spells, making them much more potent against your target.</t>
  </si>
  <si>
    <t>Dragon Ropes</t>
  </si>
  <si>
    <t>Ropes hold great symbolic and magical power as bindings that separate the world of man from the world of magic, but that's not the only reason why these bindings are so effective in the hands of a rope master. These magically-enchanted dragon ropes are supernaturally durable, stronger than steel cables thanks to the enchantments placed on them and very responsive to having magical power channeled through them, so their strength increases even further as your magical power grows. They bind ghosts and spirits just as easily as corporeal beings, and any creature bound in them becomes several times more sensitive to pain and pleasure until they're released. You have several coils of this divine rope bound together in loops like a lasso and you're able to conjure more out of magical power whenever you need. You can also substitute chains, ribbons, and other implements of magical bondage instead of ropes if you prefer.</t>
  </si>
  <si>
    <t>Feisty Familiar</t>
  </si>
  <si>
    <t>A small implike creature that you likely defeated and bound to you in the past. Nominally a monster, she can sneak about Castlevania more or less uninterrupted, scouting and spying for you. Her own magical talents are simple, but not nonexistent - creating keys from magic, simple illusions, even a spell or two meant for the bedroom. Still, her place in battle is to harass and distract - unless you plan on giving her a truly enormous amount of power, she will remain no bigger than your hand. If you have that energy to spare... Well, she would grow quite nicely.</t>
  </si>
  <si>
    <t>For Science!</t>
  </si>
  <si>
    <t>More so than most others in this era mages tend to be avid scholars and value knowledge very highly, but to expand the scope of that knowledge requires endless experimentation and those experiments typically need willing test subjects. But your zealous pursuit of knowledge is either very convincing or very hard to say no to because you can easily convince people to step outside their comfort zones and do things they wouldn’t normally be comfortable with, whether to assist you with an experiment or to have other kinds of new experiences. You’ll have no trouble talking people into being your test subjects when you need to try a new healing spell, work the kinks out of a pleasure hex, or simply indulge your curiosity on the viability of interbreeding humans and manaketes. While they might wonder how you talked them into it after the fact, as long as no serious harm comes to them it only gets easier the more frequently you do it.</t>
  </si>
  <si>
    <t>Hylia's Blessing</t>
  </si>
  <si>
    <t>The other races may have magical powers but it was the hylians who brought order and civilization to the land of Hyrule, and even with their great kingdom in ruins they’ll do it all over again if they get the chance. You’re able to purify corruption through sexual dominance, allowing you to cleanse a traveling companion of a monster’s influence or domesticate a wild monstergirl by having your way with her. A brainwashed or mindbroken damsel can be brought back to her senses by fucking the corruption out of her, purging drugs and aphrodisiacs out of her system with vigorous “exercise” and breaking magical curses with a little help from your “holy sword” until she’s completely back to her old self again. Purifying beings who were evil to start with, whether by nature or by their own choice, allows you to rehabilitate them by force into obedient slaves who’ve seen the error of their ways. The more evil or powerful such beings are, the more effort you need to change their nature, but if you’re truly determined then nobody is beyond redemption.</t>
  </si>
  <si>
    <t>In Rememberance of Better Lays</t>
  </si>
  <si>
    <t>Through a combination of illusion magic and your own dark powers, you’ve created a crystal orb capable of summoning copies of anybody you’ve ever slept with. Just in case you ever wanted to fuck them again, you know? Mind you, this won’t work for gathering genetic material as they’re just illusions, but sometimes you really just want to feel that one dick with the ridges in just the right place again. Feels real, but sadly it isn’t.</t>
  </si>
  <si>
    <t>Lewd Magician</t>
  </si>
  <si>
    <t>“To be a magus is to walk with death”, said... some mage, at some point, who was taking themselves way too seriously. Magic is great for saving the world and stuff but it’s even more fun to have when you use it for sexy things! You’re a depraved genius at finding lewd uses for magic that was (probably) never meant to be used that way, even helping you invent new spells or modify existing ones to make them safe to use in the bedroom. Any spells that you use or redesign in this way become prone to misfiring only in amusing and harmless ways if you happen to screw up casting them as opposed to whatever messy accidents you would usually have to deal with when misusing arcane power.</t>
  </si>
  <si>
    <t>Lewd Power Removal</t>
  </si>
  <si>
    <t>When Ota had sex with the Chieftess of the Furata, and again with the Queen of the Koben, it drained them of their powers. While it’s unlikely you’d find many abstinence-based magical powers in the future, this perk will allow you to keep this feature anyways. When you have sex with someone who possesses some manner of supernatural ability, you may opt to erase their powers, rendering them “normal” until at least a week has passed.
Conversely, you may also choose not to erase the powers of someone whose abilities depend on their abstinence or virginity, even if you’ve quite thoroughly had your way with them. This also allows you to not to trigger any sex-activated negatives or side-effects that your partner may have associated with them. This also applies to you, if you happen to have any abilities that depend upon you remaining virginal, abstaining, or that have negative sex-triggered aspects.</t>
  </si>
  <si>
    <t>Lustful Blade</t>
  </si>
  <si>
    <t>A dirty, rusted, and cracked weapon you found in a stall. Upon touching it, it broke into metal shards, only for your own weapon to suddenly grow a large ruby upon the hilt. For lack of a better word, the sword is haunted - breaking the old one cause it to move to yours. The spirit inside can absorb small amounts of magic, and then either throw it back or use it to strengthen you... At the cost of being an absolute pervert to practically everyone.</t>
  </si>
  <si>
    <t>Magic Lipstick</t>
  </si>
  <si>
    <t>While wearing this lipstick, you gain the ability to absorb magical energy through a kiss—this is more effective if done on the balls or labia.</t>
  </si>
  <si>
    <t>Magical Barrier</t>
  </si>
  <si>
    <t>When humans want to have sex in private they go to a love hotel. When Utea want to do the same thing they generate magical barriers that keep out anyone who might interfere with their fun, though pure Utea care much more about how well these barriers protect against collateral damage and civilian casualties. This magical barrier is a side-effect of Charm and Grace using purification magic on injuu, trapping them in a space they can’t leave without having sex with the vanquished demon, but in your hands this barrier is far more useful and lacks that particular drawback. You can deploy this space at will, shunting yourself and nearby enemies and allies into a pocket dimension where you can throw down to your heart’s content without endangering innocents. You can even shape the area within the barrier into special environments to give yourself a tactical terrain advantage or just make a special space to act out a particular fantasy. You can collapse this space and return to the real world at will, but if your enemies want to escape once you’ve captured them they’ll have to defeat you first.</t>
  </si>
  <si>
    <t>Magical Tent</t>
  </si>
  <si>
    <t>Radaslab's The Harem War</t>
  </si>
  <si>
    <t>You own a magical tent, which can set itself up on its own and has enough space in it for a family of 8 people.</t>
  </si>
  <si>
    <t>Magician's Focus</t>
  </si>
  <si>
    <t>Most people can find it difficult to cast spells while a monster girl is bouncing on their cock. Thankfully, you don’t have that problem. As long as your mouth is free to speak, you can cast without penalty, no matter the odd position you’re in or the intensity of the sensations running through your body at the time.</t>
  </si>
  <si>
    <t>Mana Conversion</t>
  </si>
  <si>
    <t>Normally, Tantric rituals are complicated. You have to do this, they have to do that, and you have to do it at the same time. Obviously your failures are enjoyable, but getting something useful out of it is practically a chore. Luckily, you can now skip all of that nonsense and just directly use the sperm pumped into you as magical energy. This is arguably even better twice over for not costing any of their own energy. I’m sure there’s a lucky guy out there who would be more than happy to get another bond level with you... and dozens of men who would like to fire and forget, and would give you way more energy through sheer force of numbers. Oh, and it doesn’t actually matter where you take it, once it’s inside of you the energy is yours.</t>
  </si>
  <si>
    <t>Master of Rituals</t>
  </si>
  <si>
    <t>In this world, Rituals are the path to great power or works. Spending hours chanting and preparing a sacrifice for the ritual culminating in a result that will either greatly empower the occultists involved or screw them royally (if the summoned demon isn’t cooperative). With this, all of your basic rituals will succeed with little effort. Grand Rituals will have an even greater chance of success than normal. On top of this, any ritualistic offerings will always appease the spirit, demon, or devil you are invoking. You are even able to get away with a lesser offering for most of your rituals, with a necessary life offering being replaced with an offering of blood or virginity if the need arises. Summoning the Devil or a Greater spirit will always require a life offering/sacrifice though. All rituals will take less time than they would have before, with day-long rituals being satisfied in hours or hour-long rituals in minutes.
Note, this doesn't teach you any rituals.</t>
  </si>
  <si>
    <t>Materia Farmer</t>
  </si>
  <si>
    <t>Street rats and freedom fighters need as much power as they can get their hands on, and one of the best ways to get power quickly is by using magical items like materia to enhance your body’s natural strengths. Your body is highly receptive to magical power and can attune itself to any magical items you might equip, making them strengthen your body and grow stronger over time just like materia do. Strangely, items held inside your body confer far greater benefits than those you equip conventionally. This probably won’t help when you’re using something like an enchanted sword, but a couple of nice round smooth materia gems? Well you know what they say: anything can be a sex toy if you’re brave enough, and the reward for being brave enough to stuff a few magical relics up your cooch is as much as five times more power and growth than you’d get using them normally. You can also “equip” as many materia on your body as you’re able to keep inside yourself, with no limits beyond your own stamina. Maybe get a chastity belt to keep them in?</t>
  </si>
  <si>
    <t>Material Drone</t>
  </si>
  <si>
    <t>A more expensive option for the more discerning Master/Misteress. This item is a solid, pure statue of your Qwaser element that also happens to be possessed of a rudimentary, animal intelligence capable of following simple telepathic or verbal commands and fighting on your behalf should you have no interest of dirtying your own hands. While weight isn’t something that can be calculated given the wildly varying Elements you could select, the sheer mass will amount to the size of an average human woman... Oh, and that’s its default “look,” by the way. How impressive would that be walking around with a literal Gold woman at your side?
If you don't already have a Qwaser element, pick an element from the periodic table. While this perk doesn't give you any additional abilities related to that element, it will be your Qwaser element should you recieve the perk 'Elemental Excellence'.</t>
  </si>
  <si>
    <t>Mechanical Mayhem</t>
  </si>
  <si>
    <t>The guardians and divine beasts would have been Hyrule’s greatest defenders if Ganon hadn’t corrupted them all the moment he returned. You may not be a scholar of Sheikah technology but you don’t need to be when you can simply corrupt these soulless machines and claim them for yourself. By filling a machine with magical power you can hijack it and bring it under your control, either controlling it remotely or simply overriding its programming to make it serve your will. Corrupting a machine can also physically transform it in limited ways to make it more suited to your depraved needs, like making a guardian’s laser corrupt its targets, or arming it with all manner of depraved mechanical tools to capture and subdue prey rather than destroying them. Even with no particular magical talent you can control a handful of machine slaves at the same time but a skilled and powerful sorcerer could corrupt and command entire armies of them.</t>
  </si>
  <si>
    <t>One Thing to Rule them All</t>
  </si>
  <si>
    <t>It’s something of a tradition for demon lords to invest power into objects such as cursed swords, symbiotic armor, malevolent jewelry, or other such things. This item is one such object, an item of your choice which has been forged with an enchantment granting it intelligence and personality. Your creation is loyal to you and will do its best to fulfill its intended purpose, but if it is ever lost or stolen it becomes malevolent, and will seek to corrupt, control, or otherwise fuck over any unauthorised wielders with whatever other powers it possesses until it is able to return to your possession. You can also create other intelligent items like this one, though it requires a great deal of power and resources to do so. You can apply this object’s effects to any similar object you possess, though especially holy objects will be highly resistant to being altered in such a manner and require vastly more power and resources to do so.</t>
  </si>
  <si>
    <t>Overly Familiar</t>
  </si>
  <si>
    <t>Just because you're going to spend most of your time cooped up with your studies and experiments doesn't mean that the path of mysticism has to be a lonely one. You've either used ancient magics to bind a preexisting supernatural creature to your soul, or actually created your soulbound confidant from scratch. Whichever method you decided was best, it has provided you with a loyal new friend, and useful assistant in all matters occult. 
The exact form and personality of you familiar is largely up to you, it could be a helpful fairy, a sultry and mischievous imp, or a bipedal feline obsessed with hunting monsters. The only real requirements are that they be on the smallish side, and have at least a few tells that show its otherworldly nature. You familiar's close connection to both you and to magic in general has also made them into a perfect receptacle for your excess magical energies, allowing you to store your mana within them, or to draw some back out again whenever needed by using a simple tantric ritual. And yes, they do greatly enjoy being used as your own personal fuckable mana potion when not otherwise assisting you in your magical endeavors.</t>
  </si>
  <si>
    <t>Phantom Dolls</t>
  </si>
  <si>
    <t>You can summon small, roughly spherical creatures that float through the air and have sharp teeth – perfect for ripping the clothes off captives. The exact cosmetics are up to you. They could look like yellow pill munchers, or doll heads, or gloved fists that grasp and rip at clothing. Each is as big as a grapefruit or volleyball, and you can summon up to a dozen of them at a time. They are about as fast as average birds, and they have sufficient physical endurance to tank a single laser bolt from a sci-fi setting, though they lack similar defenses against magical attacks.</t>
  </si>
  <si>
    <t>Pigment of Attraction</t>
  </si>
  <si>
    <t>You receive a magical artist’s kit that holds a special kind of ink, that when applied to skin, scales or slime forms intricate patterns. These patterns are of the color the recipient wishes and have three uses: first, they take a shape appealing to others assisting you in seducing them; second, they can be dispelled for a temporary boost to a spell, such that blizzard could turn to blizzara or other such enhancements; finally, it can be used to teleport to a predetermined location when out of combat. It requires a five minute ritual to apply. You get enough ink to apply to four people at a time, and when the ink is dispelled, the dispelled ink will reappear inside the the artist’s kit a week later. More than one person’s amount of ink can be applied to a singular individual, but doing so makes their magic more difficult to control often resulting in unfavorable circumstances, additionally, the increase in allure results in the recipient’s narcissism ascending to unhealthy levels.</t>
  </si>
  <si>
    <t>Placebo Effect</t>
  </si>
  <si>
    <t>You aren’t their lover, but you are a damn good one. Specifically, you’re so good at sex that you can fool a person into thinking that you actually are their lover. The illusion spell you’ve learned to replicate sight, scent, and touch also helps. This actually does allow you to be comforting and even therapeutic, though not to the extent of talking/sleeping with the real deal.</t>
  </si>
  <si>
    <t>Pleasure is Magic</t>
  </si>
  <si>
    <t>Sexual prowess is much like any other skill: master it thoroughly enough and eventually you leave behind the mundane and enter the realm of the supernatural. Thanks to your innate magical potential your sexual prowess and attributes are on another level from most humans, and you can easily perform feats of erotic strength and skill which should be impossible outside of porn: from holding up your partner's entire weight with your cock alone, to suppressing your refractory period and lasting for hours at a time, to stuffing your slaves so full of seed that their bellies grow full and swollen with it. If you're properly trained in magic then you can also turn any spell you know into a tantric ritual, adding your sexual prowess to your magical skill. You could easily perform an exorcism on an evil spirit by simply fucking it out of its host the same way the rope masters do, or channel a surge of orgasmic bliss into a potent arcane fuel useful for breaking curses, bestowing enchantments, unravelling seals, and much more.</t>
  </si>
  <si>
    <t>Power Bottom</t>
  </si>
  <si>
    <t>The monsters of this land are fearsome but not immortal, and can be killed like any other creature. For a neophyte untrained in battle this might still seem a daunting task, but there are other ways to defeat your foes if you have the courage to pursue them. You carry a blessing of light magic which lets you defeat any opponent so long as you can endure their attentions until they exhaust themselves. Weak monsters generally have little stamina and will be banished after a single orgasm, leaving behind a small pile of loot, while a person might find their powers drained by the effort. However, stronger foes will have much greater stamina and some, like Ganon, may even be entirely beyond this perk’s effects without the aid of powerful magic.</t>
  </si>
  <si>
    <t>Powerthirst</t>
  </si>
  <si>
    <t>This drink is full of electrolytes. A can of it can also refill about the same amount of energy as drinking a load of Senpai’s cum, if you were interested in being a Pretty Cure without having to have sex with him. Of course, this doesn’t only work on your Pretty Cure powers. Any pool of energy that you possess can be replenished by this drink, though the amount that’s recharged doesn’t change. Best of all, this comes in a six-pack, and any used cans are replaced every morning, so you can share it with your friends!</t>
  </si>
  <si>
    <t>Pure as Driven Snow</t>
  </si>
  <si>
    <t>Magical girls are avatars of all that is good and wholesome in the world and their magic reflects that purity back upon their bodies, cleansing them of both magical and mundane impurities. So when your girlfriend tells you there’s not a single dirty place on your body she’s not just buttering you up: your magic passively purifies your body of unwanted sweat, grime, and other unwanted nastiness like disease, poison, magical corruption, aphrodisiacs, and other unnatural debuffs. Very large amounts of corruption might take a while to completely filter out of your system but if you can keep from becoming corrupted again you’ll eventually return to being a pure maiden both physically and spiritually. When completely uncorrupted you can even count as a virgin for all magical purposes, no matter how much sexual experience you may actually have. Just about the only thing you can’t shed is corruption willingly taken into yourself: for example, if you were tricked into becoming a magical girl using a magical artifact tainted by demon jizz then you’re fresh out of luck without some other way to cleanse yourself.</t>
  </si>
  <si>
    <t>Pure Debauchery</t>
  </si>
  <si>
    <t>There are some religions where purity is necessary for certain rites and rituals. Normally, this would revolve around the purity of one's body, aka their virginity. But does being a virgin mean a person is pure? With this, you gain a spiritual purity that transcends silly things like abstaining from a natural biological process (sex). No matter the state of your body, you will find your spirit to be pure enough to perform any religious rites and rituals. Even if you found yourself amidst a dozen-person-gangbang at one point in time. This also includes resisting spiritual corruption from outside sources.</t>
  </si>
  <si>
    <t>Rainbow Rock</t>
  </si>
  <si>
    <t>Glowing faintly with all the colors of the rainbow, both spiky and smooth, a rainbow rock! Whats it do? Well, it's a one use healing item. What's it heal? Yes. Need some extra hp, it can handle that. Low on mana, check again. They also make for great summoning catalysts, and sell for huge amounts of money. Anyways, you get one once a week, every week, even if you haven't used it. Stockpile to your heart's content.</t>
  </si>
  <si>
    <t>Sapphic Power Tabs</t>
  </si>
  <si>
    <t>A packet of little red squares, each one a hit of Sapphic energy and power. A true Heart Warrior wouldn’t need these, but for everyone else, these are the only way to gain access to the extradimensional powers (Basically Magic) that the Heart Warrior’s possess. Working in the same way as LSD-soaked blotter paper, the little tabs are put on the tongue, granting some basic powers for a short time. Continued use allows someone to permanently gain the powers, but it’s stronger when a hit is taken. There are enough tabs in this packet for one dose every day for a week, and they replenish weekly.</t>
  </si>
  <si>
    <t>Self-Serve</t>
  </si>
  <si>
    <t>Ok so, context time. Tomo Yamanobe, one of the two primary heroines (if you feel like calling her that) has a condition in which her life-force is continually evaporating of its own accord. So, she is frequently found suckling from herself, which works. And it works because Soma is simply generated within a woman’s breasts, so the woman in particular isn’t losing anything. While you may not be cursed with a disintegrating life-force, you will find that you can mimic Tomo’s feat for yourself, replenishing your own reserves of stamina, mana, magic, etc, by having a drink from yourself. Shyness/embarrassment shielding not included.</t>
  </si>
  <si>
    <t>Sexual Magic Appeal</t>
  </si>
  <si>
    <t>Your magical power, of all kinds, is boosted by how sexy and flirtatious you look and act. A tiny skirt and gratuitous panty shots combined with giggling and some flirty looks might double your power. Sexy lingerie and seductive behavior could triple it. Down right nudity and imitating a pornstar could give you five times the power. Anything that boosts sex appeal and sexiness can increase this as well.</t>
  </si>
  <si>
    <t>Slave Warrior Armour</t>
  </si>
  <si>
    <t>A particular kind of slime monster was crossbred with a handful of plant monsters, and the result is this mockery of a suit of armor. Its metal shell hides an innumerable number of tentacles, as well as a handful of larger ones. As you might imagine, wearing this is almost painfully pleasurable. The armor is magically linked to you, so you can control both it and your captive. In addition, this also comes with a handful of weapons that have been enchanted to deal massive amounts of pleasure instead of actual wounds. The weapons are designed to be used as sex toys, such as a morning star flail anchored to a cock, or a spear anchored inside a breast. Three suits of armor and nine weapons are included in this set.</t>
  </si>
  <si>
    <t>Slimy Slithery Friends</t>
  </si>
  <si>
    <t>The Succubus Trap Island</t>
  </si>
  <si>
    <t>They’re extra friendly. You have the ability to control tentacle monsters, commanding them to do your bidding with an act of will and a small expenditure of magical energy. Of course, this does require a bit of focus, so if someone were to come up behind you and unexpectedly make you cum you might have a lot more orgasms in store for you in your near future. Does not come with a tentacle monster.</t>
  </si>
  <si>
    <t>Slowly Saunter Vaguely Downwards</t>
  </si>
  <si>
    <t>Making a deal with a devil isn’t that bad, really. There’s been reforms and the like since the day of stealing souls - these days all you’re likely to lose is your pocket change and maybe a few ‘points’ of your magical energy. Still, Devil’s do so love to make contracts, and these are yours. This stack of flyers are summoning circles meant to call you, but they have an extra feature compared to normal ones. See, they can be tuned to ‘scan’ for specific sets of desires, and have been already set to scan for lustful intentions - that is to say, the vast majority of these flyers are going to end up in the hands of men who want to get laid, and I have no doubt the vast majority of those men are going to want to fuck you. With that said, sex is not technically a normal service, but that just means that you can charge extra for it, with each completed contract giving you extra magic, cash, or even making you even more beautiful depending on what you bargained for and how degraded you were willing to be in the process.</t>
  </si>
  <si>
    <t>Sorcerer's Tome</t>
  </si>
  <si>
    <t>An ancient tome of magical knowledge written by someone named Agahnim, this book seethes with dark magic and its cover won’t even open unless you are willing and able to master the dark arts sealed within. Ganon’s malice has twisted this unseen writer to his debauched whims, and every spell which becomes recorded here comes with detailed notes on how to bend it towards more perverse ends. Studying this tome not only expands your magical knowledge but also shows you every weakness in the spells your enemies will be using, giving you a massive edge against them in any sort of magical combat. The book's knowledge and page count expand to include other sorts of magic which you encounter on your journey.</t>
  </si>
  <si>
    <t>Spirit Eater</t>
  </si>
  <si>
    <t>No, you don’t eat actual souls. Instead, you feed on the spirit energy of others, most commonly found in sex fluids. Doing so restores your stamina and magical energy based on the quantity and ‘quality’ of the offering, and can even outright empower you with a good enough meal.</t>
  </si>
  <si>
    <t>Spirit Slut</t>
  </si>
  <si>
    <t>Spirits, ghosts, spiritual energies, they all flow through you so easily. Your ability to summon spirits, mostly their cocks and their holes, comes to you as easy as an orgasm. You can summon ghostly tentacles to ravage you and those around you, summon glowing floating cocks to fuck, give a woman a ghostly dick to fuck with, and even float around if you wish.</t>
  </si>
  <si>
    <t>Supply of Daifuku</t>
  </si>
  <si>
    <t>A sweet treat a day keeps the munchies away, and fills up your mana reserves especially well. You'll have more than you can possibly eat with this endless tray.</t>
  </si>
  <si>
    <t>Supply of Sumodo</t>
  </si>
  <si>
    <t>A substance used to aid in the regeneration of magical power — at the price of making one incredibly horny. This substance is actually found often in the slimes that inhabit the lands. You start out with five vials of Sumodo that will regenerate about a day after use.</t>
  </si>
  <si>
    <t>Tentacles Galore</t>
  </si>
  <si>
    <t>One common theme that can be seen across the land is the concept of tentacles. From being summoned by magic users of Clan Tiss'i and the Undying King’s armies, formed from the bodies of slimes and oozes, to tentacle-based monsters just naturally existing, the sheer amount could make this a paradise, depending on your tastes. And if you happen to be the sort to have a thing for tentacles, this perk is perfect for you.
Now, with just a bit of magic, you can summon tentacles or grow them from your body in various different sizes and shapes in either green plant or purplish pink eldritch flesh varieties. Besides being able to shoot out "cum,” these tentacles have a number of other abilities, which include letting out a gas that blinds, slows, and disorients those that breathe it in with the exception of you, absorbing bodily liquids to heal themselves or you if they are attached to you, and shooting out a sticky glue-like substance to bind people. With this, you could do things like summon a gaggle of tentacles below an enemy to try and restrain them, grow desensitized tentacles out of your back to serve as extra arms, or give yourself a bushel of tentacle dicks.</t>
  </si>
  <si>
    <t>That's my Fetich!</t>
  </si>
  <si>
    <t>Why do magical rituals the boring way when you can do them the fun way instead? This perk allows you to substitute lewdness for exotic ingredients, rituals, and so on, either for magic or other powers that allow for this sort of thing. For example rather than ritual chanting you could perform a ritual orgy, or use a virgin’s cum as a substitute for a virgin’s blood. The rarity of the ingredients must be relatively similar however: if all you need is magical energy then some tantric sex is fine for providing it, but if you need something like a god-forged diamond from the heart of a star then expect to go questing for something like the crystalized girl-cum of a virgin succubus or something equivalently-rare.</t>
  </si>
  <si>
    <t>The Academy Three</t>
  </si>
  <si>
    <t>While in the Shinobi Academy, there are three Jutsu that a prospective Genin must master. These techniques usually represent the very basics, and their final exam. The Bushin, Henge, and Kawarimi jutsu, or Clone, Shapeshift, and Replacement techniques. You now know the basics of these three, as any prospective genin ought to. And since it’s practically mandatory to even use them, you also have the Chakra necessary to do so. Not a great deal, only equal to academy student Sakura or perhaps a tad more. Of course, lacking her control over Chakra means this won’t go as far as you think. Beyond those two points, you may choose one of these three techniques to have mastered a bit more than the other two, with you fully Genin-worthy in its use.</t>
  </si>
  <si>
    <t>The Shape of Water</t>
  </si>
  <si>
    <t>The zora are the best artisans in Hyrule and the skills that sculpted Zora’s Domain are no less impressive when bent to more carnal uses. You’re an expert artisan skilled in all forms of crafting, from blacksmithing to architecture, but unlike others in these fields you’re also a master of harnessing the arcane qualities of your materials to empower your creations with magical enchantments, especially erotic ones. A ruby and some magic runes can make a flaming sword or armor which protects against extreme heat, but give that sword a hilt shaped like a cock or lewd runes etched into the blade and soon you’ll be striking down your enemies with crippling pleasure rather than bloody wounds. Likewise, the shielding spells on your magical armor will be stronger than any steel carapace, not despite being a bikini armor with a built-in chastity belt but specifically because those erotic features empower the enchantments on it to new heights.</t>
  </si>
  <si>
    <t>Transference Catalyst</t>
  </si>
  <si>
    <t>A small but useful tool, this is a magical object of some form. It could be a bracelet, a stone, a flower, or something else. It does not reveal its power when on the floor or held by someone. Rather, only when two or more people are in contact with it at once will it activate and transfer the souls of the holders. The default ability will swap the souls of the two people, effectively swapping their bodies. The second, more insidious ability will only transfer the initial holder's soul into the body of the second person, allowing them to steal their body. Which of these abilities activate can be decided by the holder. A certain world has a strange hat that when thrown has a quite similar power to the latter.</t>
  </si>
  <si>
    <t>Waiting Room Wards</t>
  </si>
  <si>
    <t>When Yoruichi was first 'helping' Orihime, she had her placed inside an isolated room. Partially so that others wouldn't notice, and partially so they wouldn't think to question Yoruichi's ideas of treatment. Anyways, this simple ward scheme has the effect of soundproofing a room and creating an odd blur effect such that only someone literally inches away from the doorway can see through it. A few other variations on it got used for more serious business, but this one is all you get.</t>
  </si>
  <si>
    <t>Wandering Hands</t>
  </si>
  <si>
    <t>Now, as a counterpoint to the well developed and well received magical girl, you have none of the luck they do. Thankfully, you’ve managed to get your hands on something a bit darker than ‘love and justice’ People often complain about looking like you want to molest them... and now you can. You’ve got a total of four invisible hands with which to molest anyone within your line of sight!</t>
  </si>
  <si>
    <t>Winds of Freedom</t>
  </si>
  <si>
    <t>The wise traveler does their best to avoid danger but sometimes danger can be quite a persistent pursuer regardless of your best efforts. Should you ever find yourself trapped in an unbearable situation you’ll be glad to have this trinket in your possession. Farore’s Wind is a magical crystal containing a powerful spell from ancient times which teleports the caster a safe distance away from danger while also loosening any bonds which restrain them. Even if you have no skill with magic you can still make use of this power using the crystal’s own magic, but skilled casters will be able to travel much further distances if needed and can even use the crystal’s power as a form of “fast travel” by marking specific places they’ll want to return to. While this spell will save you from many terrible fates, it’s not a replacement for caution: overuse or abuse may cause it to misfire and drop you into an even more dire situation.</t>
  </si>
  <si>
    <t>A Nice Reward</t>
  </si>
  <si>
    <t>Between any two or more people who have had sex, you may cast a spell that forms an invisible link between them. As long as your intentions for doing so are sexual in nature, you may cast a spell that instantly teleports these sexual partners to the location of the one linked. Be mindful, if they can’t be convinced to stay, you won’t be able to keep them for long before they’re sent back to where you got them.</t>
  </si>
  <si>
    <t>An Arcane Gift</t>
  </si>
  <si>
    <t>Even infant dragons radiate arcane power and adults can rival even the greatest human mages for sheer magical strength. Your heritage has granted you a natural gift for magic potent enough that you can learn new spells and master your power just as easily through simple trial and error as you could with a master to guide you. Nor have you any need for casting aides such as tomes or staves, the power in your blood strong enough to bend the world to your whims simply by willing it to do so. As your mastery grows you’ll become able to flex your might in the form of visible auras or transformations, such as cloaking yourself in purple flames or other cosmetic effects of your choice. You can even customize other powers you have in similar ways so long as these effects remain strictly cosmetic.</t>
  </si>
  <si>
    <t>Cocksocks</t>
  </si>
  <si>
    <t>No, not slaves. You’ll find those in the next section. Clothing, if you can call these small pieces of fabric that, with patterns and specially sewn to accentuate every sweet curve and throbbing vein on their wearer’s erection, all while still exposing the most sensitive bits.
You’ve got a staggering variety of materials, sizes, colours, and shapes with this. Basic woolen ones to keep warm, thin lacey ones to show off, ones with sewn-in cockrings... Along with a surprising amount of enchanted ones, with a variety of penis-related effects ranging from letting it grow faster, preventing it from growing too big, or hastening natural healing into a sort of lustful regeneration. At the high end, you’ve got such oddities as a gilded cock-sock that converts excess cum into gemstones and strangely-shaped ones made with magic channeled down from the stars themselves.
As a little bonus, this supply of vivid fabrics comes with something extra. Notes on a simple little spell that’ll ensure the socks won’t won’t slip or slide. No matter what, they’ll remain in place until you use the equally simple counterspell. The spell will even keep the material clean and repaired, so you won’t have to keep washing and stitching them back together.
If you’d like, you can change out some for more feminine lingerie. Though they still won’t conceal much in favor of showing off, it would change the enchantments to better suit the new garments. Perhaps boosting or inhibiting breast-enlarging transformations.</t>
  </si>
  <si>
    <t>Elemental Excellence</t>
  </si>
  <si>
    <t>Choose one Element from the periodic table. You may now control any existing nearly-pure example of your element that you might encounter in the world. You know when your element is in close enough proximity to manipulate (several meters), and you can affect your element in all three common stages of matter - gas, liquid, and solid - with that list being in decreasing order how taxing they are to affect. Sub-visual- and macro-scale maniuplation are also similarly taxing. How exactly you manipulate your element is limited by only two things: your imagination, and your reserves of Soma. How do you get more Soma? Breast milk, the fresher the better.
You may substitute other forms of magical energy for Soma, but the conversion process is inefficent.</t>
  </si>
  <si>
    <t>Erotic Cosplay Sex Slave</t>
  </si>
  <si>
    <t>You can cast a spell on yourself or others that makes them into a cosplay sex slave. For the spell’s duration, they’ll become capable of summoning any cosplay scenes, props, and outfits, and are capable of playing any role perfectly in sexual roleplay. Unless you convince them to become your slave from then on, or if they just want to keep these powers, the effects are only temporary.</t>
  </si>
  <si>
    <t>Heart Hybrid Gear</t>
  </si>
  <si>
    <t>The titular piece of magi-tech of the setting. This hardware is generated from a technomagical core embedded in your body, making it impossible to remove from your person and otherwise undetectable save by those with magical sight. The exact armaments are up to you: blades, guns, missiles, fisticuffs, etc. As is the particular style. Though if you are female the “armor” generally bares the majority of your breasts, belly, ass... everything, for all to see. In terms of overall ‘power,’ barring Perk purchases, you should expect enough power to destroy a city block with minimal effort.
While summoning the armor requires you being able to speak, dismissing it is a matter of thought. The armor is fueled by your body’s internal Heart Hybrid particle count, which is effectively a measurement of your own life-force, explaining rather concisely why depleting it leads to death. By default, the armour will dismiss itself before killing you at around 5%, but you can override this if you choose. Be prepared to explode if you do.
All Heart Hybrid Gears have a number of additional functions, all of which draw lightly from your HH particle count: a shield that blocks attacks directed at you; a life-support system that can sustain you both underwater and in space; a flight system; a general physical enhancement.</t>
  </si>
  <si>
    <t>JK Body</t>
  </si>
  <si>
    <t>JK Taimabu</t>
  </si>
  <si>
    <r>
      <rPr>
        <sz val="13"/>
        <color theme="1"/>
        <rFont val="Calibri"/>
        <family val="2"/>
      </rPr>
      <t xml:space="preserve">The source of an Exorcist's power is the source of their femininity, the Uterus. In response to the energy of other Exorcists or a Demon, the Uterus begins to generate its own spiritual energy, empowering the woman. Yours has now been activated, allowing you to slowly generate the energy you need to power the skills and abilities of the JK Exorcist. Beware however, as you are only able to generate energy while your body is... Pure? Clean? Having a man inside of you, or having cummed inside of you, will temporarily cut off your ability to generate Spiritual Energy. The energy generated this way is stored in the hair, with ponytails being the ideal shape to have the hair in.
You will also find that the energy you generate but that goes unused will begin to directly enhance your femininity. Your hair will be more lustrous, your breasts larger and softer, and your body will take men more easily in order to maximize your ability to breed. Speaking of your hair, you’ll find that styling it into a ponytail takes even less than zero effort, with you often putting it up without even realizing you’ve done so.
If you're not a girl, or otherwise dont </t>
    </r>
    <r>
      <rPr>
        <i/>
        <sz val="13"/>
        <color theme="1"/>
        <rFont val="Calibri"/>
        <family val="2"/>
      </rPr>
      <t>have</t>
    </r>
    <r>
      <rPr>
        <sz val="13"/>
        <color theme="1"/>
        <rFont val="Calibri"/>
        <family val="2"/>
      </rPr>
      <t xml:space="preserve"> a uterus...well, I suppose this perk won't do much of anything for you.</t>
    </r>
  </si>
  <si>
    <t>Magical Modifications</t>
  </si>
  <si>
    <t>Let’s be honest, you’re anything but normal. Chaldea doesn’t even hire normal, it only wants the best of the best of the best to assist in their mission of preserving human history. If you didn’t meet that level of skill, they would never have hired you. As it turns out, your talent is for modifying things. Jury rigging equipment, a spell to be fire instead of ice, a curse to inflict pleasure instead of pain. Creating something from scratch isn’t for you, but altering an already existing invention? Well within your grasp.</t>
  </si>
  <si>
    <t>Potion Master</t>
  </si>
  <si>
    <t>Not every master magician is also a master alchemist but you’ve got a gift for the chemistry side of things that’s just as potent as your talent for spellslinging. From health and mana potions to sleeping draughts and poisons you have the skill to whip up all kinds of concoctions both helpful and harmful as long as you have the right tools and ingredients available for them. What’s more, you can also add lewd side-effects to otherwise ordinary potions with no extra time or resources required. For instance you could create a mana potion that also increases the drinker’s breast size or makes her lactate, or create a sleeping potion that also increases the body’s sensitivity. Of course you can also simply make ordinary potions with lewd effects, such as aphrodisiac poisons, and these are especially potent when created in an undiluted form.</t>
  </si>
  <si>
    <t>Slave Magic</t>
  </si>
  <si>
    <t>Slave Magic is exactly what it sounds like, a variety of binding magic similar to what a Summoner uses to bind their familiars. The difference is that while a Summoner is limited to binding only their summoned creatures, Slave Magic can bind ordinary people or magical beasts to the will of the caster. Successfully casting the enslavement ritual (which can be resisted or even reflected if the target is unwilling or magically-defended) creates a magical link between master and slave and gives the slave a big metal collar as proof of their status, though you can adjust the collar’s appearance if you wish.
The link allows the master to issue magically-enforced orders to the slave which they are physically compelled to obey, even overriding control from other sources such as brainwashing, mind control, or demonic possession. Enslaved characters can be released from the spell’s effects by the caster’s will or by sufficiently powerful forms of anti-magic. As a side-effect, the process of learning this magic also teaches the caster to see magical energy in objects and people, a talent called Aura Vision, as well as how to pump their magical energy into other people. This can be used without binding magic to refill the target’s mana reserves, though the process can be quite... stimulating for the one receiving the mana.</t>
  </si>
  <si>
    <t>That was Just Magic</t>
  </si>
  <si>
    <t>You are in possession of the very spell that set this story in motion. You can harmlessly detach people’s body parts, with the detached part being marked with an 'N' to its original location's 'S'. The part cannot be felt or used until its stump is attached to a surface, when it gains full sensation and function. If the surface is alive, they are the ones that control it, but both they and the part's owner share the sensations caused.
You can’t use this to permanently harm people, but I’m sure you’ll find some uses for it. Naturally, you can also use this power to reattach parts of people that have been removed through similar means.</t>
  </si>
  <si>
    <t>Thirty Six Ice of Mount Fuji</t>
  </si>
  <si>
    <t>In all honesty, this may just be the single most over the top ice cream sundae in all of time, space, and the infinite reflections of the Kaleidoscope. Made through the combined efforts of six of the seven Mizugi Kengou and their entourages and mixed in a holy grail, there is no treat in all of summer that can match it. Made to specially appeal to the Mizugi Kengous own tastes, not only is it delicious, but it’s also beautiful. Eating it grants you a burst of inspiration, a trickle of power, or even causes your soul to grow ever so slightly with every bite you take, up to thirty six times. It’s by no means strong enough to make you a master without ever training, but paired with any level of skill and devotion it can take you to the very top much faster than would otherwise be possible.
This item regenerates once a year on the summer solstice, only when fully used up.</t>
  </si>
  <si>
    <t>...Magic is Power</t>
  </si>
  <si>
    <t>You know how Blood and Semen can be used to regain magical power, right? Well, turns out it can also improve magical power (increasing reserves and potency) — with the proper rituals. Well, you know those rituals now and you’re able to improve your magical prowess. And that Taboo about fresh blood? Well, let’s just say no one will complain if you were to drain a few individuals here and there now. You’re a fairly powerful individual now, after all. Just don’t slaughter innocents in mass, though. Some things just simply can’t be ignored.</t>
  </si>
  <si>
    <t>A Worm made Just for You</t>
  </si>
  <si>
    <r>
      <rPr>
        <sz val="13"/>
        <color theme="1"/>
        <rFont val="Calibri"/>
        <family val="2"/>
      </rPr>
      <t xml:space="preserve">Congratulations, Master/Madame, you now have a decent founding of knowledge on the Matou family style, Crest Worms. Disgusting things, but useful. They slither into the body, where they feed on their host's magical energy. They act like additional magical circuits, increasing their host's ability to cast spells, at the cost of being an otherwise parasitic existence. If they don't recieve enough magical energy to feed on, they will then try and increase their host's libido to feed on sexual energy instead. If even that should fail, they will eat the flesh of their host from the inside out.
As these are </t>
    </r>
    <r>
      <rPr>
        <i/>
        <sz val="13"/>
        <color theme="1"/>
        <rFont val="Calibri"/>
        <family val="2"/>
      </rPr>
      <t>your</t>
    </r>
    <r>
      <rPr>
        <sz val="13"/>
        <color theme="1"/>
        <rFont val="Calibri"/>
        <family val="2"/>
      </rPr>
      <t xml:space="preserve"> Crest Worms, however, you can adjust these behaviours. You also have a great deal more knowledge on how to use these worms for lewd purposes as well as how to customize said worms for maximum pleasure. Or pain, depending on your mood. With just a short bit of observation and maybe a tad bit of testing you can tell how to make this one small change to the ‘standard’ design you were planning on using on a person to make the whole thing so much better/worse. This also carries over to other things, being able to fine tune just about anything to be more effective on the target of your attention.</t>
    </r>
  </si>
  <si>
    <t>Alchemist Extraordinaire</t>
  </si>
  <si>
    <t>Good news! It looks like you’ve picked up some knowledge of alchemy. The primary use of the science is of course the creation of various new potions and such, something you’ll have to experiment with on your own. But you do have the knowledge to make various alchemical items common to this land, like permanent hair dyes, aphrodisiac lust drafts, as well as potions and pastes to grow or shrink certain body parts.
More impressive perhaps is what you can do with ingredients that are already transformative on their own, at the most basic allowing you to increase the potency of these items, making them more reactive to your body. With a bit more work you could mystically enhance such items to make them stronger in general, or remove the taint from demonic items to make them safer to use without losing their main effects. You could even treat various durable substances to use them as materials for exceptional armour and similar things.
Should you be particularly devious, you could also use your alchemical knowledge to create mixtures that will turn people into little more than toys and slaves for you. Mixing in your own sexual fluids to foster an addiction to it would be simple enough, though creating concoctions that force people to survive on cum alone might take a bit more work if you wanted to waste your time on doing things like that.</t>
  </si>
  <si>
    <t>Arousing Arcanist</t>
  </si>
  <si>
    <t>Ain't. Gotta. Explain. Shit. ...Oh alright, fine. Mystical energies flow throughout the many worlds and all who live within them, surrounding and penetrating us, binding all together. But for some reason you are far more sensitive to the flow of magic than others are in both body and soul, with your own magical abilities being greatly empowered by it. Well, just so long as that flow is unobstructed anyway.
For the more nude you are, the greater your sorcerous strength grows. When utterly naked the pure power of your spells and the sheer amount of them you could effortlessly throw around would make your covered up self appear as but a first year novice next to a great and mighty archmaster who no longer has to care about things like right and wrong, or pants.</t>
  </si>
  <si>
    <t>Ascension to the Next Level</t>
  </si>
  <si>
    <t>You have ascended to a higher level of magic use, and you now constantly circulate mana through your body with skill, power, and finesse. In addition to improving the raw output of your spells, this also rejuvenates your skin, energizes you, gives you more stamina, reduces your need to rest, and increases the rate of your mana regeneration.</t>
  </si>
  <si>
    <t>The actual title of this tome is unknown and it was named by the members of the Rose Cross, a high school occultist club. It was rumoured to originally be owned by the Knights Templar before their destruction. It is also said to be the most comprehensive collection of black magic spells and rituals. An olive green book sealed with a chain that has a hexagrammic medallion, it is written in several languages ranging from Latin to French and even contains passages in Hebrew, Greek, and Gaelic. It also has plenty of standard illustrations of talismans and magic diagrams mixed with even more bizarre illustrations of sexual deviancy between humans and monsters.
Your copy has everything written in the language of your choice and is capable of being summoned to you at will through a dark portal. With this grimoire in your hand, you have instant knowledge of all black magic and rituals, and your ability to cast spells gained from other sources increases tenfold. If the Bible Black were to ever be destroyed, you may access it from your summoning ability after a twenty-four hour period. With enough study (say fifty years), you may even gain the ability to cast the Raising Dead Spell within its pages.</t>
  </si>
  <si>
    <t>Bitch Witch</t>
  </si>
  <si>
    <t>Aren’t you meant to be a shining heroine of might and magic? It hardly seems appropriate to have a class like this. You’ve totally maxed out to 99 the Lewd Witch class, learning all sorts of terribly inappropriate magics. It’s terrible for actual fighting and stats but you’ll have spells for everything from endless orgasms and erasing refractory periods, to changing the size of all the important bits, summoning wriggling slimy tentacles, controlling the minds of others and more! Since it is magic, you’ll only be able to work it on those that can’t resist or overpower you but it gives so much more creativity than just a single relic. Best of all, you’re able to cast any magic you know through lewd actions, replacing any need for speaking or gestures or tools with the fun stuff. Slurp and lick your allies to healthy, empowered states!</t>
  </si>
  <si>
    <t>Blessing of Courage</t>
  </si>
  <si>
    <t>Heroes with great spiritual strength sometimes awaken unique magical powers rooted in their desires and expressed as elemental magic. The Champions once possessed such powers and now you have one too, granting you mastery over an element of your choice. As a master of wind magic you can launch yourself into the sky on an updraft, buffet your foes with a hurricane-force gale, or hypnotize them and make them dance to your tune with enchanting music. Or you could use your mastery over water to heal dire wounds, drown your foes with aquatic attacks, or call forth enough tentacles to keep an entire tribe of monstergirls thoroughly distracted for hours. Whatever element you command, your powers are nearly effortless to use if put to erotic uses, as they will feed on your desires rather than your magical reserves. They are also are incredibly difficult to negate with counterspells or anti-magic, though not impossible given a large enough power gap. These benefits also apply to any other powers of the same element you might receive from other jumps.</t>
  </si>
  <si>
    <t>Brand of the Master/Madame</t>
  </si>
  <si>
    <t>Naga’s chosen bear the Exalt’s Brand and Grima’s avatar bears his accursed mark. Now your mates can bear a brand of your own creation, a divine emblem that symbolizes their absolute devotion to you. This arcane sigil is forged with your magical power and can be placed on any of your mates or sex slaves with their consent, manifesting on their bodies as a tattoo. The brand’s design and placement is up to you, but once placed it creates a permanent magical link between you and the wearer, allowing you to sense their location and status and even target them with spells regardless of any intervening distance. It also grants you various forms of erotic control over the bodies of your slaves, allowing you to stoke their lust or edge them mercilessly without laying a finger on them, enhance or inhibit their fertility, and similar such tricks.</t>
  </si>
  <si>
    <t>Carapaced Cutie</t>
  </si>
  <si>
    <r>
      <rPr>
        <sz val="13"/>
        <color theme="1"/>
        <rFont val="Calibri"/>
        <family val="2"/>
      </rPr>
      <t xml:space="preserve">Or perhaps you want to be loved for who you really are? Unlike the other changelings in this land, your earnest attempts to earn affection find root more easily the more honest you are to your partners and yourself. You have the ability to eat Love, and while you </t>
    </r>
    <r>
      <rPr>
        <i/>
        <sz val="13"/>
        <color theme="1"/>
        <rFont val="Calibri"/>
        <family val="2"/>
      </rPr>
      <t>can</t>
    </r>
    <r>
      <rPr>
        <sz val="13"/>
        <color theme="1"/>
        <rFont val="Calibri"/>
        <family val="2"/>
      </rPr>
      <t xml:space="preserve"> siphon the stuff off of others, Love directed at you is far more tasty and filling than stolen love, a tiny amount being enough to fill you up for days. Holding hooves and gently cuddling with the lights off could give you enough energy to sling spells like a unicorn for days, and with no negative effect to your partners. In fact, their love seems to also nourish them, with their strength and powers recovering at lightning pace with your tender care. You and yours are just so sweet you might even give Pinkie Pie cavities!</t>
    </r>
  </si>
  <si>
    <t>Corruptive Influence</t>
  </si>
  <si>
    <t>Not all of the things wrong with this world were caused by human hands. There’s more than a few things creeping around in the darkness - and you’ve somehow gotten your hands on one. Whether it’s a dubiously friendly succubus or a black slime that turns anyone it touches into ravenous dickgirls, amazingly enough you actually have a level of control over it. Perhaps it likes the taste of your cum? Naturally, their preference is to follow the themes of this world and create dickgirls, but if you’re extremely careful you can control the process of corruption to make other alterations. Additionally, your new friend may or may not have a limited ability to control the environment, such as a general aura of darkness where light is less bright or slowly making a tentacle cave to maximize the amount of cum it can eat.</t>
  </si>
  <si>
    <t>Curse of the Blue Orbs</t>
  </si>
  <si>
    <t>You monster. Do not allow anyone to know you possess this power, else the entire world will become your enemy. By focusing upon anything from a single person to an entire species, you may inflict a curse upon them to stymie attempts at getting sex and stifling reproduction. The power of the curse is divided among the number of targets. A single target will find it impossible to have sex, something always interfering with the attempt. No matter what they do, they will be utterly unable to find release. Targeting a city will find people being frustrated more often and birth rates declining. Aimed at an entire species it will merely be an inconvenience. They’ll just be really unlucky in love for various reasons. Kind of like how elves are here. I wonder...</t>
  </si>
  <si>
    <t>Demon King's Radiance</t>
  </si>
  <si>
    <t>Just being in an injuu’s presence can bring people to their knees with lust, overwhelming them with desire that their bodies can’t help but reciprocate. Your desires are so powerful that they grant you a potent form of spiritual pressure, an aura of dominance which overwhelms and paralyzes others with extreme arousal. It doesn’t matter how badly a magical girl wants to fight you if her traitorous body is too busy masturbating or servicing you, moving instinctively to sate itself rather than doing anything else. This “spiritual pressure” is a product of your magical power and while those with powers of their own can resist it, unless your foes are near-equal to you in strength it will always hinder them by forcing them to constantly fight against their own bodies and instincts simply to avoid falling to their knees and submitting to you in the middle of battle.</t>
  </si>
  <si>
    <t>Demon Lord's Ring</t>
  </si>
  <si>
    <t>One of Diablo’s signature items, the Demon Lord’s Ring was the result of beating a high-level boss faster than any other player in the game. This is either the same ring or a very well-made copy, but regardless of whether it’s the result of your game achievements or just a fiat cheat item this enchanted ring automatically reflects any spell cast on you back at the caster. However it also reflects beneficial magic, preventing you from benefiting from healing spells or buffs while wearing it, even those you cast on yourself. It also won’t protect you from spells your enemies cast on themselves, such as buffs or weapon enchantments.</t>
  </si>
  <si>
    <t>Depraved Ascension</t>
  </si>
  <si>
    <t>One major limitation of the Fate system is in how it often summons servants in weakened states requiring magical processes and materials to refine their saint graphs back to their full power. Well if Chaldea can’t help your servants fight to their fullest then you’ll just have to pick up the slack! 
You can boost the abilities of others through tantric mana transfers, reinforcing them with your own energy and bringing out their best possible performance. Any time you have sex with someone any excess energy not used to refill their mana reserves is invested into raising their overall abilities. Each transfer confers only a miniscule improvement but over time they add up and can increase your partner's stats, powers, and even skills. It’s even possible to heal injuries inflicted through battle as well as curses or other damage, allowing you to heal a crippled person by filling them with your essence.</t>
  </si>
  <si>
    <t>Element of Friendship with Benefits</t>
  </si>
  <si>
    <t>This elegantly designed crown depicting your personal sigil serves as an amplifier for any magical effects that might serve to get you laid. A simple lust spell could be ramped up to cause an orgy, while a massage spell would be a multiple-orgasmic experience for your target. It may also be used in concert with the rest of the Elements of Harmony, (or similar magical items) to increase the potency of group-magics even further, similarly to the Element of Magic.</t>
  </si>
  <si>
    <t>Essence Transfer</t>
  </si>
  <si>
    <t>You have the ability abandon your current body and pour your fundamental essence into another. This process requires close proximity with no more than a few inches of separation between you, and that both remain still for the few seconds it takes to complete the transfer. During the transfer, the essence is visible as a black cloud moving from one body to the other. You may transfer your essence into any body capable of housing a sentient consciousness, regardless of whether it’s a different species, an advanced computer, or even some forms of undead. Your previous body will die as you vacate it. The essence you pass on contains your memories and personality, as well as any perks, powers, or other fiat backed abilities you may possess.
Taking over a body that was already occupied by another mind works like so: your core personality remains dominant, but you are influenced by the memories and personality of the person who was there before. These memories are retained if you then transfer to yet another body, but they no longer influence your thoughts and behavior.</t>
  </si>
  <si>
    <t>Fetish Enchanter</t>
  </si>
  <si>
    <t>The demons got their start as mages, and there are few areas in which this is more obvious than the abundance of perverted magical items. From enchanted sex toys, daggers made to be perpetually coated in aphrodisiac, to piercings that imbue fetishes on their wearers. While you might not be as powerful a mage as the demons who started this tendency towards the perverse, you certainly know how to create such things. Both by creating them from scratch, enchanting mundane items with permanent effects or more simply imbuing them with a single effect like the aforementioned fetish-granting piercings, as well as through the more complex and time-consuming art of unweaving existing enchantments while simultaneously corrupting their effects into something more fun.
And if you were both boring and a decently skilled mage in your own right, you might also use this knowledge of enchanting to do things like using white magic to weave protective wards into your gear, inscribing a weapon with patterns to enhance your magic, or imbuing a talisman with a spell for others to use. But why would you want to do that?</t>
  </si>
  <si>
    <t>Fill'er Up</t>
  </si>
  <si>
    <t>The whole reason that Cure Black and Cure White are having sex with you in the first place is to recharge their powers, so it wouldn't make much sense if you couldn't do that. From now on, your sperm is able to recharge a person's powers, magic, or whatever. For someone around the level of a Pretty Cure, one load could have them go from 0% to 100%, but someone like Unohana would probably take a few rounds. If you wish, you can apply this to other bodily fluids, like saliva, blood, or breast milk, but it will still require the same volume.</t>
  </si>
  <si>
    <t>Forbidden Scroll</t>
  </si>
  <si>
    <t>A secret scroll you may or may not have stolen from the Hokage’s tower, this forbidden scroll contains the secrets of hundreds of years of pervert ninja including stuff that even Jiraiya would want to take notes on. From modern classics like the Sexy Jutsu to summoning contracts for tentacle monsters, just about every possible permutation of lewd jutsu can be found within this voluminous scroll, and while there’s nothing in here that a Jutsu Genius couldn’t invent on his own with time, taking both this and that perk gives you a massive head start and can make the resulting jutsu even more devastatingly effective in battle or in bed.</t>
  </si>
  <si>
    <t>Fuckspace</t>
  </si>
  <si>
    <t>A collective dream, half pocket dimension, half figment of your imagination, half magical realm, one infused with the power of a few dozen succubi and ‘dream pixies’. Normally they would just drag in poor saps and have their wicked dickgirl way with them, but you? Well, you came in of your own will and that means that you’re an honored customer in this whorehouse instead of a piece of the furniture. Whenever you sleep you now have the option of entering this space and having the residents attend to your every need and fantasy for what seems like days and days. And if you’re feeling vengeful or particularly dominant, you can have them grab some people you know to use and abuse and train into proper slaves. Best of all, any unwilling participants won’t remember a thing in the morning.</t>
  </si>
  <si>
    <t>Heal the Mind</t>
  </si>
  <si>
    <t>Some wounds are much more dire than physical blows. Guilt as you realize what you’ve done, or more mystically having energy you depended on ripped from your soul. A normal wound is nothing in comparison to that.
You have learned magic to heal the mind instead of the body. Holy magic of the mind, granting a much gentler touch than binding magic. It will allow you to heal and soothe even those who had a portion of their souls ripped from them. Though the most grievous of mental wounds, those that leave the victim entirely catatonic, will require you to use your magic to enter their minds directly and reawaken their spirit that way. Additionally, you have a talent for helping people recover after terrible circumstances.
Helping people find the strength to redeem themselves, reawakening their spirits after they have been beaten down, and even helping someone re-adjust to normal life after being torn from the overwhelming bliss that is the enslavement to the Overmind. They have to want it deep down though. Attempting to "redeem" people by force is nearly impossible.</t>
  </si>
  <si>
    <t>Hex Crafter</t>
  </si>
  <si>
    <t>Your mind is an encyclopedia of black curses and vile hexes, be it for combat or just for fun. From weakening their bodies or willpower, turning all clothes that someone tries to wear transparent, to simply slowly increasing their lust until they go mad with desire, you can cast all manner of wonderfully awful spells. Even better, you can imbue these magics into clothes or jewelry, allowing you to permanently apply the effect to your victims until they find a way to break the enchantment.</t>
  </si>
  <si>
    <t>I Love it Like This</t>
  </si>
  <si>
    <t>The way the Sins generate power is odd. Instead of simply generating it and refilling their reserves, they gain power from indulging in their sin. Mostly that's lust and thus having sex. It could be gluttony and doing things in excess, or greed by taking what others have. Coincidentally, both of those can also refer to sex, though it doesn't have to. Anyways, unlike the Shoujo, they don't stop once they reach a certain point. As long as they continue to indulge, they keep generating power.
You now share this trait. Pick a sin on purchase, and be empowered when you indulge.</t>
  </si>
  <si>
    <t>I Will Grant a Boon to You</t>
  </si>
  <si>
    <t>The Witch of the Old Ruins was an alchemist of some renown, constantly experimenting with strange and unusual substances to create new potions. Every now and then, a dragon would ‘donate’ a large amount of it’s sperm for her to play with. In exchange to a ‘donation’, probably vigorously given, you can grant people a fragment of your magic (possibly a preset spell to go with, for those who don’t know how to use it), or you could use your vast collection of alchemical knowledge and your ‘donation’ to create a potion to heal them of all their wounds.</t>
  </si>
  <si>
    <t>Knowledge is Power</t>
  </si>
  <si>
    <t>The Sheikah left behind much more than robots and laser blades: their ancient runes command power as well, and a wise student can learn to wield their power directly just as the monks once did. You are now a master of Sheikah magic and can cast magical spells without need for artifacts to help you. Instead you’re able to use willpower and knowledge of the world’s natural laws to produce magical effects like the bomb, cryo, stasis, and magnesis runes. Greater expenditures of willpower can make your spells more powerful, but doing so will also sap your willpower and ignite your libido as you exhaust yourself. A handful of spells will only cause a minor distraction but using power beyond your limits can paralyze you with lust, strip you of your inhibitions, or even drive you mad with arousal for hours or days on end in extreme cases. Should you find this price agreeable you can choose to meld your Sheikah magic with other magical systems you may know, paying Nayru’s price rather than whatever costs they would demand of you.</t>
  </si>
  <si>
    <t>Lewd Laptop</t>
  </si>
  <si>
    <t>Over the course of years, eroticism and malice have soaked into this laptop, giving it an evil power reminiscent of the Evil Sex King. It is a powerful magical artifact that can be used to empower any type of magic to previously-unseen heights, but in the process of using it, will lewdly transform it, giving the resulting spell a sexual or erotic aspect.</t>
  </si>
  <si>
    <t>Love/Lust</t>
  </si>
  <si>
    <t>In a world like this, Love and Lust are slightly interchangeable. In your case, they actually are. You can, at will, switch the magical meanings of these words inside a decently sized area (small city). Magical girls will sleep around and corrupt themselves, while monsters will accidentally get purified by raping people. If you can think of other ways to abuse that switch, they’ll work as well.</t>
  </si>
  <si>
    <t>Magic Inheritance Ritual</t>
  </si>
  <si>
    <t>Normally an ability restricted to black magic, you’re lucky enough to get access to an enhanced version of this. Through ritualistic sex, you are able to teach other people magical spells. It does have the drawback of requiring the subject to already know how to use magic, but it can be used to teach magic of a different color to someone who only specialized in one. Furthermore, it is quite effective, capable of teaching 35 spells in a single session of sex — the equivalent of two years of dedicated study. Originally this could only be used to teach black magic spells, but you’re able to use it to teach any type of magic to anyone as long as they already know how to use one type of magic. This includes non-local magical abilities you know. Note that this enhanced version of the ritual is a perk rather than a normal spell or ritual; attempting to teach it to others will only teach them the black magic inheritance ritual, which is only useful to them if they already know magic that could be qualified as “black”.</t>
  </si>
  <si>
    <t>Manavore</t>
  </si>
  <si>
    <t>More than a simple tyrant, you’re something far more terrifying, Master/Madame. Much like the walking catastrophe Tirek, you have the ability to sap the magics of the locals, adding their strength and power to your own. With enough power behind you, even the Princesses could be made helpless and kneeling before your throne. Strangely, those whom you drain of magic seem to act like sponges for the other magics you might give them. Corruption and controlling magics of yours find root far deeper than they otherwise would, reshaping entire societies in your dark image.</t>
  </si>
  <si>
    <t>Mascot Critter</t>
  </si>
  <si>
    <t>It's Fou! This lovable little bundle of fluff is your constant companion, and while he's a beast of few words you've figured out how to understand his yips and barks well enough to translate his running commentary on current events. While he won't usually do much to help you, preferring to let you handle things yourself, in times of genuine catastrophe he shows a deep well of magical power that can provide you or any single person nearby with a single-use extra life. This will completely exhaust Fou's energy until he's had a few years to regenerate it, but he'll be back to his old self in around a decade.</t>
  </si>
  <si>
    <t>Master of Mentalism</t>
  </si>
  <si>
    <t>An unguarded mind is like a fortress with its gates thrown open, easy pickings even for a careless enemy. And you would know too, given your incredible skill in the field of mind control magic. These subtle spells are just as important to a master wizard as any number of fireballs: from hypnosis and illusions to magical charm spells and more, you’re able to make the minds of your enemies into your playthings, even twisting their perception of normality or submerging their true minds beneath false hypnotized personas. You can even use hypnotic triggers to force a controlled subject to fall into and out of a control state on command. Naturally those with great willpower or magical defenses are not so easily controlled, but your great skill even allows you to find whatever cracks those defenses may have and exploit them for all they’re worth.</t>
  </si>
  <si>
    <t>Monster of the Week</t>
  </si>
  <si>
    <t>In the old days youma had unique themes based on what they were made out of, from bat monsters with sonic scream attacks to car monsters that shot their tires at people. You’ve got some of that old-fashioned magic in you and you’re able to use many kinds of sexual magic based on whatever your theme might be. 
Choose a single fetish such as BDSM or mind control as your theme: any form of magical powers related to your fetish becomes much stronger and easier to use for you, and you gain an assortment of magical powers based on your fetish. For instance if you were a bondage youma you might be able to conjure all kinds of magical restraints, controlling them freely and restraining a victim’s magic or other abilities along with their bodies. At minimum these spells are a match for the basic elemental spells that the Senshi use but the more narrowly you define your fetish the stronger your related magic becomes.</t>
  </si>
  <si>
    <t>No Pain No Gain</t>
  </si>
  <si>
    <t>For most shrine maidens the loss of purity is inevitably the end of their careers as exorcists. But that need not be so, for there exist rituals capable of restoring lost power if one is able to endure them. By spending long periods in a state of bondage or slavery you’re able to restore any powers that have been lost to you and regenerate charges for perks or powers that have limited uses. The value of what’s being recovered determines how long and how much bondage is needed: to restore the spiritual purity of a shrine maiden would need no more than partial restraint, such as wearing a shibari harness under your clothes for three days and nights, but more powerful effects such as perk-granted extra lives could also be restocked if one were willing to spend weeks or months as a sex slave or in full bondage. However your bondage must be genuine and administered by a master of your choice, a slave in name only gains no benefits.</t>
  </si>
  <si>
    <t>Phantom Orb</t>
  </si>
  <si>
    <t>A ghostly orb that radiates an unearthly power, the Phantom Orb is a monstrous device that can change the sexuality and inhibitions of any targeted individual (even the wielder). So that girl you like? You can make her a bisexual nymphomaniac! Or you could be a boring putz and make her an innocent angel.</t>
  </si>
  <si>
    <t>Pink Materia</t>
  </si>
  <si>
    <t>Designed for riot control and suppression, pink materia have a collection of perverse magical effects and they’re extremely effective at turning hot-headed rebels into helpless prisoners. You have a small arsenal of these artificial materia, which allow you to cast magical spells and enchant any gear they’re slotted into. For instance a bimbo materia allows you to cast mind control spells that make enemies too horny to resist capture, while a bondage materia socketed into a gun makes it shoot bullets of rubber or latex that stick to targets and transform into BDSM gear when enough of it accumulates. By equipping these materia you're able to lend their effects to your weapons or any other powers you have, but by combining them with tech like guard robots and sentry guns you can easily convert conventional technology into something straight out of a porno, such as giving alternate fire modes to weapons so they can more easily restrain prisoners.</t>
  </si>
  <si>
    <t>Potion of Youth</t>
  </si>
  <si>
    <t>While it’s possible for servants to be summoned in multiple classes at different times in their life (usually younger, a ‘Lily’ servant), it’s also possible to make a new servant by drastically changing an existing one. This potion of youth, likely taken from Gilgamesh’s treasury, is one such method, though it can’t alter the drinker’s class the way Scathach’s runes can. Upon imbibing this potion the user transforms into a much younger version of themselves - somewhere between a teenager to a very young child - both physically and spiritually. In this younger state, equipment that was destroyed long ago can be utilized once more, as if the drinker turned back time for themselves. Skills which have been abandoned or lost can also be used again, such as how Alexander’s Rosy Cheeked Adonis is degraded by his use of Zeus’s Thunder. Though not terribly useful for yourself, perhaps you’d be interested in using it on someone else?
This item refreshes once per decade.</t>
  </si>
  <si>
    <t>Resistance is Futile</t>
  </si>
  <si>
    <t>Mana Hachisu was an experienced and powerful shrine maiden, but once she was trapped and bound by Yasaka Amagase's shibari she was powerless to resist his hypnosis and became his helpless rope slave. Rope masters learn both magic and bondage but they're at their most dangerous when those powers are welded together: whenever you have somebody physically restrained, your bondage becomes a conduit for your magical power and allows you to break through any magical resistance that they'd normally have. The more thoroughly you restrain your slaves the more of their resistance they lose: simply binding hands and feet might be enough for a normal person with abnormally strong willpower, but even someone who'd normally be totally immune to your magic can have that immunity endangered if you're able to completely smother her head to toe in leather and latex and dragon rope. So long as you keep your target safely tied up for the duration even an extreme difference in power can be overcome this way.</t>
  </si>
  <si>
    <t>Sealed Space</t>
  </si>
  <si>
    <t>Even time and space can be made to bend to the will of an experienced rope master. This perk lets you create a space separated from the physical world, a pocket dimension which you’re able to project around yourself. Time and space are frozen relative to the outside in this sealed-off space, making it an excellent place to have battles in public places like a school building (or to have a quickie with your favorite slave) without getting innocents caught in the crossfire. The only way for a trapped enemy to leave this zone once you’ve projected it around them is to kill or incapacitate you or for you to release them on your own. Time resumes as normal once the barrier is lowered, with any damage inflicted on the surroundings vanishing with it. It can be combined with other perk-granted items to reshape the interior space, transforming an ordinary classroom into a fully equipped sex dungeon using bondage toys for instance, and as your magical power continues growing the size and power of the barrier will grow with it, from the size of a classroom to the size of a large building.</t>
  </si>
  <si>
    <t>Sealing Magic</t>
  </si>
  <si>
    <t>You know magic to restrict, bind, and contain. Such bindings are not unbreakable, but they should be enough to gain an advantage in a pinch. Speaking of pinching, you can also use this ability to make bindings so tight they sever whatever they’re wrapped around, so it’s an offensive option, too.
Less dangerously, you can also wrap a lot of these seals around an erogenous zone and sort of move them around, creating an unusual type of pleasure.</t>
  </si>
  <si>
    <t>Seeds of Power</t>
  </si>
  <si>
    <t>Many people make the mistake of thinking they can grow powerful simply by receiving gifts of power from somebody else. They’re deeply wrong of course, but that’s no reason not to take advantage of such fools. You gain a small collection of cursed treasures, such as scrolls of magic that indoctrinate readers into worshiping you, or a cursed mask that enhances a princess’s magical powers but makes her gullible and weak-willed. You can’t use them yourself as they’re just conduits for your own power, but they make excellent traps to corrupt and enslave unsuspecting heroines, or perhaps a way to share power with favored minions while ensuring their continued loyalty. Each bestows powers similar to perks you possess, share knowledge you've gathers, or are pale imitations of items you've acquired; you also have the knowledge to create and customise more, but they must be cursed in some way.</t>
  </si>
  <si>
    <t>Sexual Weapon</t>
  </si>
  <si>
    <t>The Mamano of this world are made for sex, their biology is specifically designed around sex and power such that they can overwhelm men and reproduce with ease. As such their physical and magical power are tied to sex. Now your sexual abilities (Basically skill and how pleasurable your body feels to others, feel free to describe in what ways this occurs) have a direct correlation to your magical power and physical strength, though it is not an exact one to one growth. This also gives you a good grounding in Binding/Grappling attacks and allows you to choose between standard sex or RPG style attacks causing sudden bursts of pleasure followed by light pleasure to keep your victim aroused.</t>
  </si>
  <si>
    <t>Soma Battery</t>
  </si>
  <si>
    <t>Most Qwasers have serious stamina issues, able to only fight at full intensity for a few minutes at a time before needing a refill. You, with this Perk? Your combat lifetime is measured in hours rather than minutes. Naturally this goes for any other ‘resource’ needed to keep fighting: Mana, magic, etc.</t>
  </si>
  <si>
    <t>Spell Eater</t>
  </si>
  <si>
    <t>There is an item many magical worlds use called a spell eater. You don’t need such an item, though, because you’re capable of replicating its effects and more all on your own. Whenever someone casts a spell on you or the area you’re in, you can trivially form a link between your mana and theirs; until they manage to disrupt this link — such as by moving far enough away, it getting washed away by other mana, or them managing to unleash a chaotic burst of magic — you will start absorbing their mana. Each time this link is established with a given individual, the rate of mana transfer from that individual becomes a bit faster. 
Additionally, each time this link is established, a charm effect is applied to the linked individual, making them more friendly towards you and reluctant to attack or harm you; this effect fades with time once the link has been broken but grows more powerful and longer-lasting the more mana is absorbed through the link. Though the charm effect does not retain its strength from past links unless the link is reestablished before the effect completely fades, as the rate of mana transference grows faster each time the link is established, this means that the charm effect also grows stronger faster each time the link is established.
This link cannot be used against you — this includes inverting it to absorb your mana or apply the charm effect to you. You need not concern yourself with absorbing too much; any excess mana will be safely dissipated into the environment.</t>
  </si>
  <si>
    <t>Spellbound</t>
  </si>
  <si>
    <t>The purest form of dominance and the pinnacle of a rope master’s arts is his command of magic, allowing him to dominate the world around him and bend it to his will with no more effort than a misbehaving slave. You’re a powerful sorcerer who can perform all manner of spells, from conjuring ropes or other objects out of thin air, to dominating your enemies with hypnosis, to weaving your spells into objects to create magical artifacts like dragon ropes. These are but a few of the powers at your command, but truly mastering them will demand many years of training. Your dominant nature also empowers your magic with your willpower. Your foes may outclass you in magical power or skill, but if they succumb to your charm or lose a battle of wills then you can leverage that weakness to level the playing field, shrugging off their spells or punching right through their best defenses like tissue paper. Even the most powerful enemies you can imagine can be brought down to your level and forced to fight you like an equal if your will is stronger than theirs.</t>
  </si>
  <si>
    <t>Stopwatch</t>
  </si>
  <si>
    <t>Finally, something at least vaguely usable in combat! Well, sort of. This stopwatch has the magical power to stop time for short bursts. Well, no it doesn't. That's a different version of the watch. This one instead seems to turn off a person's ability to control their own body, leaving them stuck in a mannequin like state of being. Aware and able to speak, but unable to move under their own power. The watch can affect up to seven people at the same time, and will last for a few minutes per use - or until someone clicks the button on top and thus turning it off.</t>
  </si>
  <si>
    <t>Succubus Speciality</t>
  </si>
  <si>
    <t>By this point if you need telling that a succubus’s speciality is sex, you probably shouldn’t be one. With that in mind, you’ve learned a plethora of magic to help with your bedroom activities. Well, calling it that implies you only do it there, something that is blatantly untrue. Making skin transparent in an imitation of x-ray vision, control over the folds of your vagina, transfering sensations, a spell to make nine months of pregnancy into nine minutes, one to temporarily return the body to a virgin state - and dozens to make it lewder than ever. The magics of a succubus are quite strange, but also extremely enjoyable.</t>
  </si>
  <si>
    <t>Tarnished Materia</t>
  </si>
  <si>
    <t>Materia are the crystalized knowledge and wisdom of the ancients, so it’s not surprising that some contain their desires as well. These pink-tinged materia offer access to powerful spells and abilities at the cost of making your body far more sensitive and lewd for each one you equip. 
Spellcasting materia grant you the most powerful forms of their spells and special materia offer you the greatest skills of the ancient warriors, but each spell you cast arouses your ardor in lieu of draining your mental stamina, and passive boosts will also passively inflict new fetishes on you until you remove them from your person. 
In theory these materia could be used as a source of almost limitless magical power, but in return for martial prowess and magical ability you make yourself much more vulnerable to men and beasts with more depraved ways of fighting. Rely too much on your borrowed powers and the carnal desires of the ancients can easily reduce you to a glass cannon who cums like a fountain at the slightest touch.</t>
  </si>
  <si>
    <t>Teacher's Pets</t>
  </si>
  <si>
    <t>Who could possibly be a better teacher of magic than the legendary hero who mastered magic? Probably lots of people, but few of them will get results like you do, even if your methods are kinda sketchy. You’re an excellent teacher, able to condense complex subject material into lessons that even a simpleton could understand, and when it’s not a matter of intelligence holding your students back you can even train their raw aptitude through... less traditional training methods. By having sex with your students you can impart a fraction of your own abilities into them, allowing even those with no magical talent to gain the first spark of power they need to become proper mages. Of course you’re also quite talented at training your pupils in the sexual arts, turning your innocent students into lusty and loyal little pets.</t>
  </si>
  <si>
    <t>The Magic of Love</t>
  </si>
  <si>
    <r>
      <rPr>
        <sz val="13"/>
        <color theme="1"/>
        <rFont val="Calibri"/>
        <family val="2"/>
      </rPr>
      <t xml:space="preserve">You’ve grown as an Archangel, and have developed some sort of magic of your very own! You might be able to boost one of your physical attributes even further beyond its already potent level, or you could be able to fire magical beams. Perhaps you could generate and control one of the elements, or empower technology with your magic. It could be that you can fly, heal, create weapons out of light, or even cast illusions — anything that could help you fight against the demonic threat. What they share in common is that all of them become more powerful when you are fighting for someone that you love. 
This perk may be purchased any number of times, whenever you could purchase a perk, and such purchases are discounted to </t>
    </r>
    <r>
      <rPr>
        <b/>
        <sz val="13"/>
        <color theme="1"/>
        <rFont val="Calibri"/>
        <family val="2"/>
      </rPr>
      <t>200 CP</t>
    </r>
    <r>
      <rPr>
        <sz val="13"/>
        <color theme="1"/>
        <rFont val="Calibri"/>
        <family val="2"/>
      </rPr>
      <t xml:space="preserve"> if you are an angel (or can become one) or are similarly 'holy'. If purchased by (or used as) a Demon, then rather than improving with love, your magic will be boosted when fighting for your own selfish desires.</t>
    </r>
  </si>
  <si>
    <t>Trap Master</t>
  </si>
  <si>
    <t>The Holy Caves are littered with traps, ranging from the ones you might expect: poison arrows, lightning runes, explosives, to the kind that you could only find at an academy as lewd as La Belles Fleur. Such as temporarily turning the victim into a floating set of panties, causing someone to slip on ‘lube,’ or, such horror, shrinking a woman’s breasts! You are now endowed with the knowledge and ability on how to create all of these traps, lewd and otherwise, at a rate of one every ten minutes. Once set, they are invisible to the naked eye, but magic can detect them.</t>
  </si>
  <si>
    <t>Trickster's Camera</t>
  </si>
  <si>
    <t>One might think it a mere toy but in reality it's as powerful as any spell card. Sure, if it can be used as a normal camera (and never runs out of power or film), but more importantly, taking a picture will remove any projectiles as well as sending a shock through anyone caught in the shot as their energies are disrupted. Naturally, this ‘shock’ is incredibly pleasurable, sending jolts of bliss through any body part affected with enough force that they’re sure to be stunned for at least an instant. And if one were sadistic enough to just keep clicking...</t>
  </si>
  <si>
    <t>Wicked Statue</t>
  </si>
  <si>
    <t>A weathered statue resembling an ancient gargoyle or succubus, this statue has a foreboding presence and houses the spirit of an ancient and powerful demon. Not the most trustworthy company to keep, but there are some benefits to associating with this creature. They have considerable magical power at their disposal and great skill with it, though due to their imprisonment they can only use it on consenting targets like adventurers who strike bargains with them. They have no love for Ganon and will always keep to the letter and spirit of bargains you make with them, though they aren’t above playing occasional lewd pranks if you become careless in your dealings with them. The payment for their services usually involves letting them have their way with you some way or another, but the width and depth of the arcane skills and dark magic (as well as their incredible skill as a lover) ought to make such deals worth your while.</t>
  </si>
  <si>
    <t>Chaldean Summoning Circle</t>
  </si>
  <si>
    <t>Chaldea has done more to advance the field of servant summoning than anyone in human history, and as the master of Chaldea you’re the rightful heir to all that progress. This summoning circle is a replica of the one in Chaldea’s summoning chamber save that it lacks a nuclear reactor. This means you will be supplying your own mana to both summon, maintain, and empower any servants you summons, an act which can be extremely taxing even for a powerful magus.
This summoning circle allows the summoning of alternate versions of known servants; by reaching into parallel worlds you can summon a busty female Gilgamesh, adult versions of Nursery Rhyme or Jack the Ripper, and so on. Simply by altering the circle’s parameters you can filter the circle’s summoning results, such as making it summon exclusively female servants or only MILFs or tomboys and so on. With a little adjustment, you can even have the circle reach into worlds beyond that of the original Chaldea, allowing you to summon servants they couldn't have imagined.
This perk comes with 1 command seal that take the form of a red, three part, symbolic tattoo on your body. It lets you give an order to someone you have a magical binding with to act. This can forced them to do something they wouldn't or couldn't normally do, like teleport to your side or instantly heal from the edge of death. This seal will regenerate after 1 week, but this can be accelerated at the cost of a massive amount of magical energy. Spending this seal will not break your servant contracts.</t>
  </si>
  <si>
    <t>Devour Knowledge</t>
  </si>
  <si>
    <t>In Limbo you can follow a series of steps involving the literal consumption of forbidden knowledge in order to gain incredible power. Now you can do this with other unique sources of powerful knowledge. Literally eating the words off the page or data storage device in order to gain their power. The benefits of devouring this knowledge will vary based on the source. Eating an elder scroll for example, might grant you the power to perceive time in ways others would be driven insane by.</t>
  </si>
  <si>
    <t>Devourer of Light</t>
  </si>
  <si>
    <t>Light, in many senses, means hope. There are of course other 'translations', but here that is the main one. How interesting then, that you should be capable of eating that light. Normally holy power would be anathema to a demon, but to you it is a delectable meal. More importantly, it's fuel for your growth. Basically? Whatever experiments or training you would normally need to improve your various biological abilities can be replaced by a good raping. And since this is still technically an anti-holy ability, raping people who qualify as holy get you some of the best possible results.</t>
  </si>
  <si>
    <t>Genius Loci</t>
  </si>
  <si>
    <t>While you are within any location that you own your will is... Not quite absolute, but they’d have to be hundreds of times more powerful to ignore it. Simply put, you can set rules for this area. No clothes, complimentary blowjobs, free groping, that kind of stuff. These rules can be enhanced by powers or items you own. For example, if you were to possess some sort of artifact with mind powers, you’d have even more freedom to play with people.</t>
  </si>
  <si>
    <t>Master Summon Materia</t>
  </si>
  <si>
    <t>Summons are some of the most valuable materia, allowing you to call upon ancient and powerful creatures like Shiva, Ifrit, and Bahamut. This special summon materia will allow you to do just that, provided that you find them first. This materia allows you to bind any number of summons that you come across. The process will require that you overpower them, either physically or magically, or at least have them acknowledge your superiority over them, but once done you will have a powerful ally. Of course, if they are already bound to you by other means - a more specific summon materia, for example - you can accomplish the process easily. 
The origins of this materia remain unknown; perhaps it was a Shinra experiment, a weapon built for enslaving the summons to the wielder’s will. That might explain why they manifest in such pleasing bodies, as if they were sculpted to meet your desires whenever you call on them. Ifrit might come to your side in the form of a huge and bestial demon or a shapely and fertile monstergirl, and an experienced summoner could even learn to manifest the summon’s powers and physical attributes through their own body.</t>
  </si>
  <si>
    <t>Master-Servant Contract</t>
  </si>
  <si>
    <t>A powerful piece of magic invented by the ancient devils in the hopes of creating useful servants for their war against the gods, the master-servant contract is a magical ritual that binds two or more people’s souls together as master and slave. This gives the master substantial power over the slave, causing them to be struck by a curse for disobedience or strong feelings of guilt towards their master. The curse’s effects can range from a succubus’s aphrodisiac spells to instant death, a favorite of some especially ruthless demon lords. However as the slave grows more loyal and submissive both master and servant grow considerably in power and the ritual progresses through five phases, culminating in a master-servant vow which makes the ritual’s effects permanent.
Those who achieve the master-slave vow become extraordinarily powerful: the ritual is capable of giving the average hero or demon enough power to challenge the gods, though it does nothing to enhance raw skill or technique and these must still be trained separately. In addition to its main effect the contract also allows master and slave to sense each other's location, as well as those of any other slaves of the same master, even through magical jamming or interference. You also gain much finer control over the specifics of the relationship than ordinary users of the contract, for instance what constitutes a betrayal can be set during the ritual’s casting. You might choose an erotic punishment using a succubus’s curse and define betrayal only as willfully acting directly against your interests for example. However a lax code of conduct for a slave will slow the ritual’s overall growth curve.</t>
  </si>
  <si>
    <t>Mythos X7 Sorcery Emulator</t>
  </si>
  <si>
    <t>Long ago, the only method of casting spells was with grimoire and word along with a lot of practice. The traditional way is still used, but due to the efforts of one Kitakagura Atsushi, a more effective tool was born: the Sorcery Emulator. The virtual reproduction of complex magical rituals is essentially what a sorcery emulator does, and the results have surpassed many expectations. In essence, it reads off digitized tomes and loads virtual tools, sacrifices, and virtual believers from its database to simulate a ritual. This allows it to be invoked extremely quickly. However, it is functionally useless unless someone already has magical training. It consumes a considerable amount of magical power, so it is recommended to have an external source of magic power, but a massive pool of magical energy works too. If the user cannot handle the strain, they may go insane or even perish. As it stands, only the Daughter of its inventor has every successfully wielded one. That is — until you came along. The Mythos X7 is the latest model of Sorcery Emulator with the most robust and detailed database. This comes with a few digitized tomes and grimoires already installed, and more can be added from your own collection. If it is damaged or destroyed, a new one will appear in your warehouse the following day.</t>
  </si>
  <si>
    <t>Sacred Artefact</t>
  </si>
  <si>
    <t>Somewhere in this world there exists an ancient magical relic of uncertain origins and incredible power. The villains would do anything to possess or destroy it, and the heroes would do likewise to keep it out of unworthy hands. But through the workings of Fate (and points), the hands it has ended up in are yours. The Sacred Artifact can take just about any form as long as an ordinary human could pick it up, though jewels, magic weapons, and fancy drinking cups are sort of traditional. Whatever its form, the Artifact grants you control over a massive pool of magical energy, which is strongly inclined towards "good" uses, such as healing, purification, blessings, and so on. It can be used offensively, but it's much better at smiting evil than it is at chastising neutrality or rebuking misbehaving goodness. Using the artifact also requires considerable willpower, which scales directly with the difficulty and scope of the task you're attempting. 
In exchange for this power, the artifact’s affinity for life gives it an equal affinity for sex and fertility. People who are exposed to its power tend to end up feeling frisky afterwards (more so as the amount of power they were exposed to increases) and if they give in to those urges they're more likely to end up in the family way as a result. The Artifact also reacts strongly to "pure" sexual energies, making it a natural and highly effective component for certain profane rituals and technologies. But a heroic defender of humanity like yourself would never take advantage of that, would you, Master/Madame?</t>
  </si>
  <si>
    <t>The Power of Desire</t>
  </si>
  <si>
    <t>Ah, want can be a potent amplifier of your magical might indeed, if a dangerous one when not properly harnessed. By drawing on the force of your desires you are able to greatly improve your spells in both strength and flexibility. But in order to do so you need to have a real hunger for effects to actually happen, and then to dominate the energies with the power of your passion and will, commanding reality to your fulfill your lusts. Take heed that this can backfire should the spell you're attempting not match up with your true desires, or if you lack focus a passing thought/craving/whim could cause the whole thing to go completely awry, leading to unpredictable and potentially disastrous results.
You also know how to draw on the desires others may have for you to form something akin to a sympathetic link. Meaning that the more sexually attracted to you someone is, the more powerful your magic becomes when used on them. Will you use this new found power to give them all that they yearn for, or will you simply take from them all that you wish?</t>
  </si>
  <si>
    <t>The Sword of Maria</t>
  </si>
  <si>
    <t>I’m sure the name is confusing, so no, this Perk does not grant you a sword. What it does do is both kick your breast’s Soma production into overdrive and concentrate the ‘quality’ to an absurd degree. Technically it does so by drawing upon “all the Soma in the world,” but that’s not really important. However, as such a simple augment isn’t worthy of a Capstone Perk, you get something extra. With this Perk you can bestow Soma production via touch upon any human or near-human (elf, dwarf, orc, etc) woman you care to, in any degree of ‘flow’ you please. So yes, that does essentially mean you could theoretically immobilize a woman with gigantic, lactating breasts, but you wouldn’t do that, right?
Oh, what's Soma? It's a mystical substance produced in your breasts that empowers the drinker. It can be used in place of mana or other mystical sources, but it loses potency rapidly when stored, making breastfeeding the ideal means of transference. It only has these properties if consumed. Also, as it is created by the life force of the one producing it, it is possible to 'drain them dry', killing them in the process. Even a small dose will have a tiring effect on the provider, dependant on their stamina and lifeforce.</t>
  </si>
  <si>
    <t>A Darkness Unleashed</t>
  </si>
  <si>
    <t>The power you inherited from your ancestors is dark and twisted, perhaps even marking you as a child of Grima or Anankos, but that power is yours and yours alone, and it can no more harm or corrupt you than your own hands could turn against you. You possess an immense talent for all forms of dark magic, such as the life-draining Nosferatu or the twisted necromancy that creates the risen, and you wield such spells with greater power and skill than all but the greatest mortal mages. But you’re far from limited to wielding your power as your ancestors would; this dark magic also lends itself to tantric uses, many different kinds of spells rooted in pleasure and debauchery and capable of bringing unthinkable ecstasy to yourself and your lovers. Your dark nature even makes you immune to magical and spiritual corruption, both your own dark sorcery and from those who would twist you with their own magics. This spiritual protection will also apply to all other forms of dark or corrupted power you might acquire in future jumps, allowing you to use your own darkness in place of any outside forces that might attempt to corrupt you to their own ends.</t>
  </si>
  <si>
    <t>A Little Extra Help</t>
  </si>
  <si>
    <t>You are privy to magic that lets you to break yourself or others into clones that embody their various personality traits. All sensations are linked between clones, and all of their experiences and growth is merged back into the rest once they disappear. Clones burst into smoke if exhausted or injured.</t>
  </si>
  <si>
    <t>Black Magic</t>
  </si>
  <si>
    <t>Drawn from one's emotions and the feelings of the body, black magic is usually practised by drawing on the caster's own lust. One of the first things a practitioner of the art learns is the ability to arouse a target with their spells. Is it any wonder then, that this type of magic is a favorite of demons? Still, it is not an inherently evil or demonic magic, merely one suited to their purposes. As a master archmage of the style, you understand this like few others. Most suited to affecting emotions and bodies, your spells can arouse and change the size and functions of bodily parts in strange ways. Aside from the many libidinous uses so often demonstrated by tainted mages, you might also heal yourself and others, temporarily increase your strength, and even go further afield with summoning and portal creation.
Your control is such that you don't have to worry about the usual difficulties of using black magic on your own body, able to control the flow of power and prevent it from backfiring. Additionally, fueling your black magic with lust is only the most common way to do so, simple enough to use that mages rarely bother to learn how to use their other emotions. While it is usually not too hard to grow aroused in Mareth, this does leave black mages unable to use their magic when turned off and susceptible to seduction by their enemies. To deal with this weakness, you have started on the beginnings of using black magic with other emotions, wielding your rage, your joy, or anything else. This is only a start, not nearly the mastery you have over lustful magic, but it should serve you well with research and practice. On the flip side, your experience with the black arts means that powering other emotion-based abilities with lust comes easy to you.</t>
  </si>
  <si>
    <t>Black Stone</t>
  </si>
  <si>
    <t>Not the Crimson Stone that Dracula possesses, nor the Ebony Stone by the Lord of Shadows prior to him. No, this large and beautiful gem is something completely unique. It constantly puts out an energy that can best be described as the best thing a succubus will ever taste, and turns anyone who goes too close to it into one. Or at least, something extremely similar to one, though the details may vary depending on both the user and the target. Said user will gain incredible magical power, while also developing a taste for the female form and various dominating tendencies. Taking over the mantle of dark lord for the explicit purpose of taking a decade long vacation with your ex-lover where neither of you need to stop to breathe is the kind of thing that would sound like a great idea if you use this thing too much. I’d suggest drawing on its power in moderation... or don’t, it’s up to you.</t>
  </si>
  <si>
    <t>Cave of Wonders</t>
  </si>
  <si>
    <t>In one of the endings, the Slime manages to produce enough tentacles to cover an entire cave despite their body clearly not having enough mass for that, and even produces enough nutritious liquid from their fluids to keep their victims alive in the absence of food and water. Perhaps this perk would explain how. You can convert your magical energy into more of your biomass, stored in a pocket dimension when not “deployed” into the world.
You may perform this conversion and store biomass infinitely, but the conversion itself isn’t instant; it would take your body a couple days to create enough biomass to fully cover a large room, although this does have the advantage of not being fast enough to use up all of your magical energy, meaning you still have the power to use magic even while a portion of your energy is devoted to converting into biomass. This conversion can be made to happen automatically, or you can halt the process.
It additionally takes time to deploy your biomass; a set of pseudopods to wrap someone up could be manifested nigh-instantly, while coating a room in tentacles would take a few moments. If you don’t want your biomass to go to waste, you can re-absorb that which you have deployed back into your pocket dimension at almost instantaneous speeds.
This does not come with a means to manipulate your physiology, so may be of limited use if you aren’t something like a slime or have some outside-context power capable of doing so.
If you have some means of acquiring and incorporating biomass into your body, then you may optionally store it in your pocket dimension instead.</t>
  </si>
  <si>
    <t>Chains of Light</t>
  </si>
  <si>
    <t>In ages past Hylia once sealed away Demise in a web of golden chains. Eventually the demon king broke free of his prison but the Chains of Light remain incredibly powerful tools for binding and sealing monsters and other evil beings. Hylia has gifted you these chains, granting you the power to conjure and wield them freely as if by magic. Despite their name the chains can take many forms, from golden silk ropes to gilded “toys” of all descriptions, all of them able to hold powerful enchantments. The chains seal away the power of anyone ensnared in them, stripping lynels of their superhuman strength and sorceresses of their magic, and the tighter the binding the stronger the seal and its integrated enchantments becomes. However your chains are only as powerful as you are, and sealing monsters far stronger than you is no small feat, likely needing you to weaken them before the chains can finish the job. That said the chains are highly effective once in place, almost unbreakable short of the captive receiving outside assistance. Curiously, the chains are also just as effective against heroines and goddesses as they are against monsters and demon kings. Perhaps Hylia secretly wants her hero to make use of that fact?</t>
  </si>
  <si>
    <t>Cheat Rope</t>
  </si>
  <si>
    <t>More properly known as Chiito, this divine artifact is a dragon rope made from the soul of a shrine maiden and she's chosen you to be her new master. The Cheat Rope is an immensely powerful magical relic that has all the same benefits as the Dragon Rope item and substantially boosts its wielder's magical abilities thanks to Chiito herself, who acts as a guardian spirit for her master. Even amateur rope masters can cast powerful magic with Chiito's help simply by wishing for a spell and trusting her to do the work of casting it, but in the hands of a talented rope master she shows her true strength by adding her abilities to your own. She has enough awareness and autonomy to act without orders, although she only does so to protect you from harm or grant your desires. As a loyal rope slave she will never betray you, although she might act in mischievous ways when she knows it will help you, like using her magic to bring your idle fantasies to life.</t>
  </si>
  <si>
    <t>This doesn’t actually give you a dick, nor does it require one—instead, your genitals grow in mystical potency, not only looking better but causing levels of pleasure that humans can’t naturally reach. But you have a good reason to cause such pleasure, because for every orgasm your genitals cause someone else, your magical power grows just a little bit greater. It would take ages to get any real progress out of this, although by the end of 10 years, having sex several times a day, you could reasonably expect to be as powerful as Sara.</t>
  </si>
  <si>
    <t>Crystal Heart</t>
  </si>
  <si>
    <t>This condensed essence of an entire kingdom’s love energy is now yours to possess. It will serve to magnify any magics you might have that spread positive emotions or protective spells throughout this small kingdom, which regards you as a favored contender for the throne. Take care that you don’t stoke too much passion in your new subjects, as their inhibitions are already quite low when it comes to your whims.</t>
  </si>
  <si>
    <t>Dark Magic</t>
  </si>
  <si>
    <t>A truly terrifying tyrant you are, Master/Madame, with mastery of this magic. Born from the darker side of your emotions, this power manifests itself in the form of black and green energy that practically pulses with the desire to corrupt based on the emotion you used to make it. Your anger would stir crowds to riot, your sorrow paralyzing your targets with apathy. Your lust, meanwhile, could find hold even in the most pure and chaste of ponies, driving them mad with an unsatisfiable heat. Unsatisfiable for all but you, that is. You may also store these magics in solidified black crystals that, while unable to effect as large an area as you could directly, can maintain your magical emotional attacks far longer than the simple castings you would use. Pillars of these gems will help to make sure that your conquest over the weak is not only absolute, it is lasting.</t>
  </si>
  <si>
    <t>Daughters of the Divine</t>
  </si>
  <si>
    <r>
      <rPr>
        <sz val="13"/>
        <color theme="1"/>
        <rFont val="Calibri"/>
        <family val="2"/>
      </rPr>
      <t xml:space="preserve">Well we never quite see how a valkyrie is chosen but they were human at one point so here's the deal. On a full moon you can plant the seed of divinity into any female virgin of 26 years or less. Over the next month, the seed will grow until they become a valkyrie: unaging and free from the loss of fitness, granted wings to fly and blessed with strength, speed, reflexes, willpower, and magical might. Those that worship them will elevate their strength with their praise, but weaken them with their scorn. These gains and losses become permanent over the course of years. You can only create one Valkyrie at a time.
With sufficent magical power, you can bind these powers to an item that the valkyrie must have in order to use them, or you can start to ignore the restrictions inherent to this process.
No, Valkyries do not have to </t>
    </r>
    <r>
      <rPr>
        <i/>
        <sz val="13"/>
        <color theme="1"/>
        <rFont val="Calibri"/>
        <family val="2"/>
      </rPr>
      <t>remain</t>
    </r>
    <r>
      <rPr>
        <sz val="13"/>
        <color theme="1"/>
        <rFont val="Calibri"/>
        <family val="2"/>
      </rPr>
      <t xml:space="preserve"> virgins after their transformation. Yes, if you are a woman who fulfils the conditions, you can use this process on yourself.</t>
    </r>
  </si>
  <si>
    <t>Deal with the Devil</t>
  </si>
  <si>
    <t>Like the devil himself or a twisted genie, you can grant the wishes of petitioners who come to beg your favor. You may offer others mystically binding deals. Those who break the terms of the deal are subjected to sexual curses, including you if you can be tricked into violating your own contracts. Luckily, you are trained as an expert lawyer even by the standards of Hell, able to draft truly ironclad contracts. While you can certainly fulfill contracts with your other powers, a formal deal allows you to provide moderate supernatural blessings, such as beauty, youth, or luck.</t>
  </si>
  <si>
    <t>Divine Lethicite</t>
  </si>
  <si>
    <r>
      <rPr>
        <sz val="13"/>
        <color theme="1"/>
        <rFont val="Calibri"/>
        <family val="2"/>
      </rPr>
      <t xml:space="preserve">Normal lethicite is rare, as the gemstones are only produced when a mortal becomes a demon, cumming their soul out to crystallize as a purplish gem. Combine that with the fact that it’s every demon’s favourite treat and power boost, and it’s rare to see any such stone. This large stone though, this is something different. Something more. The crystallized soul of a goddess, this giant pink gem is far larger and more potent than 'normal' lethicite. Where other crystals would be bite-sized, easily swallowed whole or crunched between a demon’s teeth, this one is closer to the size of a watermelon and darkly radiant with power besides.
Even if you broke it in three by its crystal protrusions, wasting smaller shards that break off and evaporate, each chunk would still be larger than other crystals and contain enough energy to reshape bodies with little more than a command, instantly grow a large thorny tree to cover an extensive campsite with its canopy, or give a demon who consumed the piece the equivalent of several souls worth of power. If you decided to keep it in one piece though, using the entire thing for one purpose... it could certainly bring changes.
Enchanters might use it to power a golem that could threaten even the demon queen indefinitely, mages or even gods could spend its energy to work massive spells that would ordinarily be far beyond even them. And of course, this is the ultimate prize to a demon, as one who got their hands on a crystal like this could have the entire world at their feet.
</t>
    </r>
    <r>
      <rPr>
        <b/>
        <sz val="13"/>
        <color theme="1"/>
        <rFont val="Calibri"/>
        <family val="2"/>
      </rPr>
      <t>This item is not subject to the usual rules of consumable regeneration. You only get one.</t>
    </r>
  </si>
  <si>
    <t>Divinity Crystal</t>
  </si>
  <si>
    <t>In ancient times the demon lords were sealed away in a variety of ways, some of them into people who passed the sealed creature down from generation to generation. Divinity Crystals are another way that power of such magnitude can be sealed, using a special ritual to extract a demon lord’s remains into an item roughly the size of a baseball. Such items are treasures of unimaginable power, placing the power of a demon lord in one’s hands. The crystal you possess now is empty to start but is able to seal and contain creatures of even the most earth-shattering strength, and once sealed their power is yours...unless the crystal should be broken or the power released from it, that is. Luckily for you, this item will be replaced should the worst happen...once a decade.</t>
  </si>
  <si>
    <t>Excalibust</t>
  </si>
  <si>
    <t>Ok, so, the short version is you can fire a giant laser beam from your tits. The long version is only slightly more complicated. By using all the mystic power you have stored up you can amplify this beam shot technically without limit. If that weren’t enough, the beam also counts as capital-H Holy on top of that. 
You can still shoot the beam every few minutes while “dry,” so to speak. And you’ll still be hitting about as hard as an 88MM tank cannon.</t>
  </si>
  <si>
    <t>Gangbang no Jutsu</t>
  </si>
  <si>
    <t>Sure the Cloud Nin are the best lovers around but quantity has a quality all its own. You’ve mastered the Shadow Clone technique and can make dozens of clones of yourself with just a simple hand sign and an exertion of chakra. Each of your clones operates independently of you but is still fundamentally you and shares the same goals and personality you have, minus the occasional oddball. Unlike the normal jutsu, which is dangerous to use without vast chakra reserves, this version is extremely efficient with its energy usage: even an academy student could crank out a few clones at a time without wiping himself out, and a kage could make hundreds of clones without issue.</t>
  </si>
  <si>
    <t>Grimore</t>
  </si>
  <si>
    <t>A Memoria of your very own! This book bonds to you (or maybe a trusted ally?) on a soul-deep level, and contains a pocket dimension that holds all the knowledge, skills and even memories of its past wielders...along with a cute white-haired girl to keep things organized and provide you with advice. It might not have more then a few basic combat and utility spells to start with (including the ability to transform into a magical girl) but with enough time and soul energy to feed it with you’ll find this tome’s power (and thus, your own) growing in leaps and bounds.</t>
  </si>
  <si>
    <t>Interdimensional Entrepreneurship</t>
  </si>
  <si>
    <t>You are privy to a number of rituals that allow the user to summon beings from other dimensions exclusively for sexual experiences. The summoning automatically ends shortly after the summoned being is sexually satisfied. You can infuse the ritual into cards that can be used on a moment’s notice, or into doorways that allow the other creature to “summon” themselves at their own discretion. Perfect if you want to work on setting up your own interdimensional brothel, or just weaponize horny tentacle monsters.</t>
  </si>
  <si>
    <t>It's For a Ritual!</t>
  </si>
  <si>
    <t>Even in a world of magical girls and demons, never underestimate the power of a Shinto priest! Much like Rei’s grandfather and his friends you’ve mastered a wide array of holy magics, from rituals that cleanse demons to the making of ofuda and sacred talismans. These are sacred magical arts that heal, protect, bless, and cleanse or seal evil rather than the curses or elemental magics that a youma or a Senshi might employ. However your rituals have a strange quirk to them in that they become much more powerful when employed in lewd ways. For instance you can cleanse a girl of evil spirits with a normal purification ritual or you can make her actively repel and burn demons that try to lay hands on her with a ritual that involves rubbing a sacred aphrodisiac lotion into every inch of her body. What’s more, by employing these rituals with other kinds of magic you might have you can add sacred power to any other magical spell or effect you might know, turning even ordinary elemental magic into sacred demon-slaying magic. You can also choose to employ non-Shinto rituals if you’d rather be powered by some other religion instead.</t>
  </si>
  <si>
    <t>Just a Bad Dream</t>
  </si>
  <si>
    <t>Daughter rescued, villain tracked down and dealt with, mission accomplished. Right? Well... No. Not yet. There are still the scars to deal with. Maybe upon their flesh, but certainly upon their psyche, and potentially even upon their soul. Whether it's health complications from their time in captivity, the possibility of a pre-teen pregnancy, or some nasty failsafe buried in their subconcious, your failure to prevent a single finger from being laid upon your loved ones only seems to serve to motivate you even further to utterly erase that finger. A lullaby to soothe their dreams, all their favorite foods to wipe away the sickening taste from their tongue, and of course as many detection spells looking for hidden surprises as you can muster. By the time you've finished, it wouldn't be very strange if the victim didn't even remember it had happened, thinking the whole thing to be a strange dream. 
Of course, some of that may be the very real fact that you've figured out how to use a very small fragment of the Kaleidoscope to quite literally cast someone out of the world. The spell is intentionally designed poorly, damaging people's memory of the poor bastard, leaving the victims in your care to think it a dream and stifling any attempt at recreating whatever means allowed this travesty to happen in the first place. Just be sure to shoot the bastard first, this technique isn't inherently fatal.</t>
  </si>
  <si>
    <t>Kama Sammohana</t>
  </si>
  <si>
    <t>Chaldea has done more to advance the field of servant summoning than anyone in human history, and as the master of Chaldea you’re the rightful heir to all that progress. This summoning circle is a replica of the one in Chaldea’s summoning chamber save that it lacks a nuclear reactor. This means you will be supplying your own mana to both summon, maintain, and empower any servants you summons, an act which can be extremely taxing even for a powerful magus.
This summoning circle allows the summoning of alternate versions of known servants; by reaching into parallel worlds you can summon a busty female Gilgamesh, adult versions of Nursery Rhyme or Jack the Ripper, and so on. Simply by altering the circle’s parameters you can filter the circle’s summoning results, such as making it summon exclusively female servants or only MILFs or tomboys and so on. With a little adjustment, you can even have the circle reach into worlds beyond that of the original Chaldea, allowing you to summon servants they couldn't have imagined.
This perk comes with 1 command seal that takes the form of a red, three part, symbolic tattoo on your body. It lets you give an order to someone you have a magical binding with to act. This can forced them to do something they wouldn't or couldn't normally do, like teleport to your side or instantly heal from the edge of death. This seal will regenerate after 1 week, but this can be accelerated at the cost of a massive amount of magical energy. Spending this seal will not break your servant contracts.</t>
  </si>
  <si>
    <t>Last Will and Testament</t>
  </si>
  <si>
    <t>You wanna know the best thing about being friends with a ghost ninja samurai? Their ability to search the afterlife for your not so recently deceased loved ones so that you can have one last conversation with them. And possibly ask their blessing to get married. Or maybe have a threesome with them. There’s lots of uses for this. Anyways, once per month a ninja will hunt down the soul of someone you desire to speak with, and you’ll have 24 hours with which to do whatever you want with them.</t>
  </si>
  <si>
    <t>Legends Come to Life</t>
  </si>
  <si>
    <t>Toshi Densetsu Bitch</t>
  </si>
  <si>
    <t>It’s all well and good if the urban legends you are looking for actually exist, but what if they don’t? Well with this perk, you won’t have to worry about that. With the use of certain rituals, you can bring a lewd version of the subject of a story to life. These rituals become longer, more expensive, and far more complicated the less people know about the story in question, becoming nigh-impossible if the only person that knows about it is you. The specifics of these rituals change depending on the being you are trying to create, oftentimes involving acting out certain important events of the story.</t>
  </si>
  <si>
    <t>Love Conquers All</t>
  </si>
  <si>
    <t>These new youma may have the power of rape on their side but so what? Love and justice can overcome anything, even the power of tentacles! Your already-impressive magical strength grows greater still when fueled by the power of love: whether you’re fighting to free your loved ones from a monster or you’re the only thing standing between them and a terrible fate, your physical and magical abilities rise dramatically, as much as doubling your power in moments of crisis that threaten those you love. But when you’re able to pool your strength with your loved ones the total power that you all have access to rises further still, multiplying the sum of all your powers by another level for each person who adds their power to yours.</t>
  </si>
  <si>
    <t>Magic Leap</t>
  </si>
  <si>
    <t>It isn’t an easy task to travel between the demon and human worlds, but you’re well equipped to the task. With a powerful spell, you can travel between dimensions, breaching the universal barriers to travel from one world to another. By default, this only functions in the “local” multiverse, such as in a jump where the human and demon worlds are separate dimensions, but this could be changed with sufficent power and study. Unlike Lina’s version of the spell, your leaping won’t leave you magically weakened as you recover from the exhaustion of working such powerful magic.</t>
  </si>
  <si>
    <t>Magi boast about the strength of their magecraft and servants are rightly proud of their noble phantasms but no power in this world is greater or more profound than the power of love. You hold that power deep in your heart: whether you wish to be the invincible shield of your senpai or a virgin laser piercing the heart of the ultimate thot you can use the power of love as a substitute for mana or health. 
In any battle where a loved one’s life is on the line you’re able to hit harder, move faster, endure longer, and fight harder than is even physically possible for your body and abilities. There are few limits to the extremes you can reach in physical or magical power through this enhancement but be warned, such power does not come without a price. 
Exceeding your limits this way effectively redlines your performance, inflicting unavoidable damage to your body proportional to the amount of it that you used. Small amounts used in a desperate battle may only make you pass out and require medical attention once the battle is over, but the power needed for an ordinary servant to deflect an all-powerful noble phantasm or slay a Beast in a single blow would be more than enough to kill that servant outright.</t>
  </si>
  <si>
    <t>Master of Magic</t>
  </si>
  <si>
    <t>The Utea may be quite powerful but compared to the demon king’s magical skills they’re merely children playing with powers they barely understand. You’re a skilled and powerful sorcerer who has mastered the magical power that sings in your blood and churns in your loins. You have a vast arsenal of magical spells at your command, from basic elemental spells to complex rituals, though your best spells are those fueled by your libido. Any spell that you know can be cast as a tantric ritual, which adds your sexual skills to your magical skills and allows you to tap into your partner’s magical powers to power the spell at the small cost of needing you to bring yourself and your partner to at least one orgasm. You’ve also mastered the not-so subtle art of exploiting the desires of your victims: the more a person desires you the greater the hold your magic has over her, and the less effective her defenses against your magic become.</t>
  </si>
  <si>
    <t>Among the rarest and most powerful arts known to spellcasters is the special ability known as Multiplex Magic, the power to fuse up to three spells together into a single ultra-powerful spell containing the power and qualities of all of its component spells. Such power comes at a steep cost: the caster must remain immobile while casting, suffering any damage during casting will cause the spell to misfire, and spells can only be merged once an hour at most. But when a monster the size of a mountain is bearing down on you you’ll be glad you had this secret technique in your arsenal. You can even take this power one step further than even Diablo has by fusing spells with your party members instead of needing to cast them all yourself, though your allies must obey the same casting limitations that you do. 
And if that's not good enough, imagine what you could do with it in bed!</t>
  </si>
  <si>
    <t>Not Quite the Devil, but Close Enough</t>
  </si>
  <si>
    <t>You have the authority to strike deals with the other person’s soul on the line. If they cannot deliver, their soul is yours, serving you as a spectral slave for the rest of time. The deal doesn’t even need to be fair, as long as the other party agrees to it with a full grasp of the consequences. Incidentally, spectral sex is apparently incomparably more pleasurable than physical sex. Don’t feel ashamed too if you blow your load after your first kiss with a disembodied soul.</t>
  </si>
  <si>
    <t>Omega Artifice</t>
  </si>
  <si>
    <t>The pinnacle of mastery at manipulating Omega Power, you can literally use Omega Power to create permanent objects. Naturally, the more powerful the object in question you want to create is the more Omega Power you’ll need, but there are few limits beyond that singular one. Also, whatever you create will be highly receptive to magical augmentation, and you can invent these augmentations yourself using still more Omega Power, or transfer augmentation between items. You may apply this Perk to other magical energies: Mana, Ki, etc.</t>
  </si>
  <si>
    <t>Power Overwhelming</t>
  </si>
  <si>
    <t>Ganon has brought Hyrule to its knees with his sorcerous power, bending the whole world to his depraved desires through his strength of will and magical might alone. You’re quite a powerful sorcerer yourself, not yet Ganon’s equal but capable of becoming one. Your strength of will and immense magical powers allow you to dominate even the world itself, from commanding the elements in battle to laying curses on all who oppose you to toying with the bodies and minds of your conquests and more. Your desires empower your spells and make them especially potent when put to erotic uses, their effects lingering long after the spells have ended and always in ways you’ll find useful. A fireball powered by desire might burn a foe’s armor to ash and ignite her lust, and then keep her body extra-sensitive to pleasure for hours or days on end, while summoned tentacles might plant evil seeds you can use as arcane links to continue corrupting a princess from within her own womb. The downside to this power is that your magic is dark and therefore vulnerable to holy magic of sufficient strength, but as a master of dark sorcery you’re quite immune to corruption and backlash from your own spells as well as any other forms of dark power you might acquire in the future.</t>
  </si>
  <si>
    <t>Powered by Horny</t>
  </si>
  <si>
    <t>Those who have natural magical talent but lack training often learn to cast spells through pure force of will or unquenchable desire. Much like Hajime Takanawa you're a sorcerer of immense natural talent, capable of bringing your lewdest dreams to life. Your magic feeds on your desires and is much stronger and easier to use when bent to erotic purposes, even allowing you to bend the rules of magic in your favor when they stand in your way. Other magicians might be stumped by things they don't understand or hit walls trying to go against the rules of magic, but you can simply brute force those issues with raw power so long as your intentions align with your libido and you're willing to spend much more magical power than you'd normally need to on the resulting spells. If a ritual is about to turn your waifus into human sacrifices you don't need to know how it works to save them when you can shut the whole thing down without endangering anyone (except maybe yourself) by jamming a metaphorical wrench into the gears. Be warned that when overtaxing your magic and going beyond your limits you might find yourself paying a very steep price for it.</t>
  </si>
  <si>
    <t>Pure Seed</t>
  </si>
  <si>
    <t>The ultimate source of a magical girl’s power, this pure Utea seed is a priceless treasure that allows you to empower promising heroines with magical powers and the potential to become powerful magical girls. By expending and condensing your magical power you can produce seeds of raw magical potential which can be gifted to others, granting them a magical girl’s power. What form their new magic takes will depend on their strengths, personality, and moral character: pure-hearted girls make excellent heroines but those with dark personalities or lustful attitudes become dark magical girls, erotic warriors of darkness like Charm and Grace in their corrupted forms (though without any chains to bind them to a particular master). Moreover these pure seeds allow you to empower these young heroines even further by sharing your own strength with them: when creating new seeds or empowering a magical girl, you can opt to transfer one or more of your perks at the cost of permanently losing them, or donate a portion of your own magical power at the cost of having to train up that power to restore it to its former level.</t>
  </si>
  <si>
    <t>Spiral of Purification</t>
  </si>
  <si>
    <t>The corrupted Utea were made to be sex slaves of the demon king but even in chains they still completed their sacred duty, purifying the king’s new body even as they gave birth to it. What better proof could there be that good always (eventually) triumphs over evil? Just as Charm and Grace held on to their purification magic even after being corrupted, you’re able to absorb darkness and corruption without limit without ever becoming permanently tainted by it. Whether inflicted on you by force or absorbed willingly from innocent victims (which you can do at will with a touch) taking darkness and corruption into yourself simply adds to your power rather than tainting your mind and soul. Your magic might begin to seem more erotic and your magical girl transformation might transform into something resembling lingerie, but at heart you’ll remain 100% yourself even as you begin commanding the very powers that ought to be enslaving you. You can even convincingly pass yourself off as being genuinely corrupted, perhaps helping you deceive the forces of evil and gain their confidence long enough to strike a fatal blow against their leadership.</t>
  </si>
  <si>
    <t>Tentacle Knowledge</t>
  </si>
  <si>
    <t>You can easily summon tentacle monsters, turn yourself into a tentacle monster, give people abortion-via-tentacles, even conjure up rooms full of tentacle monsters that will quickly break the spirit and will of most people and reduce them to breeding stock for more tentacles. These tentacles will be your loyal servants and make excellent fodder for an army – indeed since people infested by tentacles can give birth so rapidly you can quickly build a loyal army of tentacle monsters. One person could easily end up birthing the equivalent of thousands of mundane warriors at a time in tentacle monsters.</t>
  </si>
  <si>
    <t>The Strongest Whore in Hell</t>
  </si>
  <si>
    <t>Being strong has no relation to your ability to worship cock. It does, however, serve at least some purpose in helping your eventual masters get off even harder at the thought and act of dominating you and treating someone who could theoretically kill them in a heartbeat like a cheap whore. Still, just because being able to hold your breath for ten minutes while sucking cock is a more important use of your time, is no reason to slack off on your training. 
You are accomplished enough with magic to do any number of things, from establishing an area that normal humans will avoid without ever realizing it, teleporting between earth and hell, or putting someone into an enchanted sleep so deep that they wouldn’t wake up if you were screaming your lungs out for more, deeper, oh god please more right next to them. And by ‘someone’ I mean your boyfriend and or husband, not the man railing you. As mentioned, you could kill him in a heartbeat... but why would you?</t>
  </si>
  <si>
    <t>Tohsaka' Magic Crest</t>
  </si>
  <si>
    <r>
      <rPr>
        <sz val="13"/>
        <color theme="1"/>
        <rFont val="Calibri"/>
        <family val="2"/>
      </rPr>
      <t xml:space="preserve">So, funny story - the Tohsaka family used to be much richer, the kind where you don’t need to work a day in your life. But after Tokiomi died, most of their finances were handled by Kotomine. And he is utter shit at money. Granted, he basically didn’t give a fuck about the Tohsaka by that point, but he is legitimately bad at managing money. Now this on the other hand... I’m not entirely sure how the heck he managed this, but I’m sure the story would be entertaining. 
It’s a magic crest. The Tohsaka magic crest, technically. But... it’s also not. Because the Tohsaka magic crest was one that had a handful of martial art type spells and a ton of gemcraft spells built into it, and this is a singularity of lewd and petty nonsense. Want to have the perfect Tantric Ritual? Fire this bad boy up, we got all kinds of spells to help it go along, lube your ass up, increase your bust size temporarily or permanently and the same for his dick, even stuff to clean up afterwards. What we don’t have is anything even vaguely relating to Gemcraft. Or actually usable in combat, or polite society. Maybe don’t let the other Magus families know about this, they’d almost die of laughter and then kill you for the attempted murder.
</t>
    </r>
    <r>
      <rPr>
        <i/>
        <sz val="13"/>
        <color theme="1"/>
        <rFont val="Calibri"/>
        <family val="2"/>
      </rPr>
      <t>(A Magic Crest is essentially a collection of spiritual nerves that have been specialised to cast specific spells at a reduced cost to their owner. You may have the crest be implanted on purchase, or be stored in a non-perishable manner with instructions for proper and safe implantation.)</t>
    </r>
  </si>
  <si>
    <t>Unleash the Beast</t>
  </si>
  <si>
    <t>You’re a jinchuriki, one of the human containers of the tailed beasts, and your demonic prisoner gives you the sort of power and potential only a handful in ninja history have ever had... provided that you’re willing to bear the risks of using it. Most ninja will be interested in the nearly-bottomless chakra reserves they gain from having such a beast within them, but when the situation calls for it you can loosen the seal keeping your prisoner contained and let them manifest through your body. In this state you gain a massive chakra cock (or cocks, such as the eight tails’s tentacles), functionally limitless stamina, and the immense sexual skills you would expect from a centuries-old demon. The only problem is that this state can be addictive to your lovers if they experience it too frequently or for too long; if you’re not careful you may find that you’ve accidentally ruined your partners for sex with your normal self and effectively cucked yourself.
Note that said tailed beast does not necessarily be canon to Naruto.</t>
  </si>
  <si>
    <t>Unpossessed, but Demonic</t>
  </si>
  <si>
    <t xml:space="preserve">Kitami gave Minase the abilities of an incubus by having her demonic servant Rasha possess the boy. With Rasha in him, Minase was able to use the demon’s magic to cause damage and make any woman he touched lustful and wanting. You don’t need a demon implanted in you to affect the libidos of others. With just a touch and a few words, any one of your preferred genders will feel their sexual desires increase to the point of being unable to control themselves. In this state, they will be willing to perform any sexual act with you. You will also find your physical prowess has increased as well, making you much stronger, faster, and durable than you were previously. 
If you were to learn magic, you will also find your capabilities in the Black Arts have increased. Any spells that alter a person’s sex drive or mental state become easier to cast and are much more difficult to break. You also attract more agreeable demonic entities when summoning demons that want to work with you being the primary entities summoned.
</t>
  </si>
  <si>
    <t>What is Your Wish?</t>
  </si>
  <si>
    <t>One might wonder what Chiyo was doing in Yuu’s basement. Was she sealed away? Did he accidentally call up some latent magical potential and summon her? I suppose it doesn’t matter. However, what does matter is that you now have a ritual of sorts. Oh, it’s not the kind of thing that you yourself use - it’s for those who want to summon you and ask for favors and wishes, small fragments of your power. Hidden in the dark corners of the world for the mad and obsessed to find and call you with. Normally you’d be trapped or bound somehow, but, well… Mortals ought to know better than to use a ritual they didn’t design. If you want to eviscerate them on the spot, feel free to do so. Regardless, this also comes with the option to allow certain legends about you to enter into the world and into the past, to create a suitable legend for you.</t>
  </si>
  <si>
    <t>Wisdom of the Ancients</t>
  </si>
  <si>
    <t>The ancient Sheikah appear to have known that Ganon would return to ravage Hyrule with beasts made for corruption and sexual conquest; why else would their technology be built on such a debauched design philosophy if they didn’t deem it utterly necessary to fight fire with fire? You’ve mastered the scientific and magical principles needed to build and maintain Sheikah artifacts of all kinds. Some devices like weapons and armor can be built with just some spare parts and your own two hands, but given sufficient resources and infrastructure you can even create wonders like the divine beasts. But what truly separates Sheikah magitech from ordinary technology is the divine power infused into every artifact through tantric methods, giving your creations a powerful advantage against monsters and other vile creatures. Blades cut deeper, shields hold stronger, cameras reveal your foes even in the darkest gloom, and robots like the Guardians become nearly impossible to hack or corrupt with dark magic. You’re perfectly capable of creating things without the use of these tantric methods, but doing so will allow you to bestow powerful holy blessings on everything you create, not merely Sheikah devices.</t>
  </si>
  <si>
    <t>World End Queen</t>
  </si>
  <si>
    <t>The grand finale of the Utea Plan draws near when Charm and Grace reach the very height of their power as dark magical girls. Whether through natural talent or long and arduous sexual training, you’ve gained a body and soul perfectly attuned for tantric magic, and your affinity for them can only be called apocalyptic. You’re the tantric equivalent of a nuclear reactor, generating huge amounts of magical energy through sex and having a bottomless capacity for storing that power until you’re ready to unleash it. With such powers you could cast spells on entire cities by yourself, but just as sex is always better with a partner or two your powers grow even greater when joined with a lover, allowing you to combine your powers and for them to draw on you like a battery to fuel their spells and gaining even greater power from your reserves than you would by yourself. With a powerful lover and the right circumstances you could become the key ingredient in a ritual as vast as the demon king’s instrumentality spell that turned all of humanity into injuu.</t>
  </si>
  <si>
    <t>Automagic Charm</t>
  </si>
  <si>
    <t>The succubus is the only real monster left, at least not beyond specific attempts at breeding. Things like certain vine based plants, or perhaps a werewolf or two. Fun recreational monsters. You however, now have an ability designed for a sexual homunculus. A unique variation of charm magic, written in microrunes across every inch of your skin. Even looking at you qualifies as a mental attack, and one that will probably leave them begging for you to fuck them. The other half is perfect knowledge on how to seduce whoever is affected by this, up to and including the perfect form to shapeshift into if you can do so.</t>
  </si>
  <si>
    <t>Coven Bond</t>
  </si>
  <si>
    <t>While covens can form naturally under varying circumstances, it is more likely to happen if group from which it forms consists of pair of bonded consorts, with male of them also having several concubines. While this perk doesn't perfectly replicate these bonds, it does guarentee that a Coven bond will form and grant its benefits.
You gain the ability to form bonds with others. These bonds encourage a relationship between all bonded through nudges and flashes of inspiration, as well as make deception impossible between the bonded; not because lies and disguises can't be attempted, but because they are made obvious.
Once you have eight such bonds, they grow into Coven bonds. Having coven bond carries along with it several benefits, most notably members finding it much easier to learn new things as long as one of the coven members already knows them. There is also chance, as long as they have dormant potential for them, for members of coven to develop abilities and powers of other members, for example becoming more powerful magically or becoming more intelligent, slowly reaching a stage close to the most powerful member of coven. Perhaps most interestingly, members of coven will be getting fast-aged or de-aged to get closer to the coven’s average age. With this perk all of that sharing is now amplified to happen twice as fast and twice as effectively.
If you have alternate methods of creating similar bonds, they can act as a substitute to the bonds this perk enables you to create.</t>
  </si>
  <si>
    <t>Holy Grail</t>
  </si>
  <si>
    <t>Every Singularity contains a holy grail somewhere within it. Chaldea uses the ones they recover to power up their servants, but surely nobody will mind if you use one of them for its intended purpose? Once every decade you can use this holy grail to make a lewd wish of some variety, from creating your perfect waifu in a manner similar to Jeanne Alter to genderflipping or inflicting your fetishes on everyone around you. The more narrowly-focused the wish’s parameters are, the more powerful its effects can be, even allowing you to affect godlike beings like Tiamat if they are focused on impacting only a single individual, however beings with resistance to magical energy are also resistant to this item’s effects.</t>
  </si>
  <si>
    <t>Love Mary J</t>
  </si>
  <si>
    <t>It seems like, much like Akari, you are also a recipient of the full power of Love Mary Primera! … Somehow. Maybe you’re simply as strong as she was? Regardless of the details, you are now one of the most powerful people in the world from your sheer, raw potential. Your magic has an incredible ability to grow seemingly without limit, and the more you love others and hold hope close to your heart, the stronger your magic becomes. Although right now you aren’t even a match for Ravana, you have the ability to grow until you could overcome even the fully unleashed Elysium himself.</t>
  </si>
  <si>
    <t>Prisma Causeway</t>
  </si>
  <si>
    <t>Ah, the whole reason that Illya was introduced to Chaldea in the first place! This shared reality marble is a sort of afterlife for magical girls. Once they’ve grown up, when they’ve been forgotten, if they die... This place will be waiting for them. It used to be much worse, but right now it is actually a half decent version of heaven for them. 
You can now enter this place and ask your fellow magical girls for advice. Some of them might like you, some might not, but technically speaking, this place is only a dream so even if they try to kill you, you won’t die. Also, if a still active magical girl comes to this place in her dreams, you can leave with them when they wake up in a roundabout method of teleportation. It’s not so good for the return trip though.</t>
  </si>
  <si>
    <t>Demon God Master/Madame</t>
  </si>
  <si>
    <r>
      <rPr>
        <sz val="13"/>
        <color theme="1"/>
        <rFont val="Calibri"/>
        <family val="2"/>
      </rPr>
      <t xml:space="preserve">It looks like you are no child or servant of Elysium, but a being of the same make as him. Indeed, you are a mighty being, possessed of immense magical and physical power to the point that short of an ICBM , only someone wielding spiritual power of the likes of Primera herself could pose a genuine threat to you. Beyond the vast increase to your power and magic, you will find that all of your demonic perks are improved in potency — but especially any such ability that gives sexual pleasure, to the point that after being raped by you, it isn’t inconceivable that a heroine might betray all of humanity simply to experience the pleasure you gave her once again. 
Furthermore, your body grows in size and dimensionality; although your appearance doesn’t change, you are capable of summoning more of your mass to this dimension, in the form of tentacles, cocks, and cock - tentacles. If combined with </t>
    </r>
    <r>
      <rPr>
        <b/>
        <sz val="13"/>
        <color theme="1"/>
        <rFont val="Calibri"/>
        <family val="2"/>
      </rPr>
      <t>Malleability of the Flesh</t>
    </r>
    <r>
      <rPr>
        <sz val="13"/>
        <color theme="1"/>
        <rFont val="Calibri"/>
        <family val="2"/>
      </rPr>
      <t xml:space="preserve"> (or similar shapeshifting perk), you might be able to summon so much of yourself that your biomass covers all the surfaces of a room, and tentacles emerge from your mass to violate those within.</t>
    </r>
  </si>
  <si>
    <t>Elixir of Life</t>
  </si>
  <si>
    <t>Typically created through infusing several high-quality alchemical ingredients with highly refined divine chi (usually derived via the fermentation of Peaches of Immortality), a single dose of this mystical elixir not only grants eternal youth but also spiritually empowers the drinker. In what sense?
A great deal more chi, purer, far easier to manipulate, and non-degrading, for one thing. A boost of about 50% in the strength of your most favored powers, and a boost of about 20-30% in every other area. And, of course, ascension to the next level of whatever you are — if you are a demigod, you become akin to a full (if minor) god; if you are a Jedi Knight, you become a Jedi Master; if you are a run-of-the-mill vampire, the purity of your blood becomes that of a progenitor. Powers and abilities you gain in the future will be similarly boosted, so there’s no reason not to take your dose now.
These effects are powerful enough on their own, but combined they represent a monumental boost to your strength. Note, however, that the elixir’s effects do not stack — a single dose is just as effective on a given individual as a hundred doses.
This Item takes the form of a mystical decanter, and a single dose of elixir will appear inside at the beginning of each day.</t>
  </si>
  <si>
    <t>Genie's Lamp</t>
  </si>
  <si>
    <t>A bottle of opaque black glass with a golden stopper, this item holds all the power of a genie. (This item does not actually host a genie.) Each day, you may make a single wish upon it, and that wish will come true. This wish is not absolute, understand — it is effectively an immensely powerful spell — but there is little it cannot do and nearly as little it cannot overpower. It won’t be twisted against what you want it to do, though; your wish will follow the intent with which you made it.
Example wishes include but are not limited to: granting an individual an all-around defense against mind control that would require significant effort for even the most powerful students to overcome, automatically becoming aware of any mind control on campus as soon as the affected party enters an area where scrying is not blocked, enslaving an individual with insufficient magic resistance and making them remember having been enslaved several minutes ago and already made their peace with it despite it conflicting with their moral code, causing an entire planet’s freshwater reservoirs to be automatically refilled for a year, freeing an area as large as the largest cities on Earth from all mind control, discretely erasing three people from existence while they are isolated and unobserved, and drastically boosting an individual’s power.
This Item is fiat-backed against theft and destruction. You and any individuals you designate are the only people capable of making wishes upon it. Unlike with a regular genie, making a wish does not prevent an individual from ever making any more wishes. It may be helpful to know that making a wish creates a very visible light show, though only around the Item, not around the subject of its wish.</t>
  </si>
  <si>
    <t>Grand Master</t>
  </si>
  <si>
    <r>
      <rPr>
        <sz val="13"/>
        <color theme="1"/>
        <rFont val="Calibri"/>
        <family val="2"/>
      </rPr>
      <t xml:space="preserve">Chaldea’s command seals were never intended to become as powerful as they are in your hands. Useful tools for controlling allied servants, yes, but weapons to subjugate enemy servants? That’s a feature you brought to the table. Much like EMIYA’s relationship with swords, you are closely-aligned with the concept of Mastery, Authority, or a similar theme, perhaps as deeply as your Origin. Any spells or magical abilities relating to this concept are far easier to learn and use and far more powerful in your hands than is normal. Any amateur can create magical ropes or chains with Projection but yours could be strong enough to bind a servant, at least a weak one, as securely as any ordinary human. Even with little magical talent you can achieve similar results in fields such as summoning and binding, mind control, and so on, while a talented and experienced magus could achieve results nearly on par with True Magic. You’re even able to sidestep many commonly-accepted rules of how magic is supposed to work in these areas, like wielding command seals against enemy servants you would normally have no authority over.
This perk comes with 3 command seals that take the form of a red, three part, symbolic tattoo on your body. Normal use lets you give an order to someone you have a magical binding with to act. This can force them to do something they wouldn't or </t>
    </r>
    <r>
      <rPr>
        <i/>
        <sz val="13"/>
        <color theme="1"/>
        <rFont val="Calibri"/>
        <family val="2"/>
      </rPr>
      <t>couldn't</t>
    </r>
    <r>
      <rPr>
        <sz val="13"/>
        <color theme="1"/>
        <rFont val="Calibri"/>
        <family val="2"/>
      </rPr>
      <t xml:space="preserve"> normally do, like teleport to your side or instantly heal from the edge of death. These seals will regenerate after 1 week, but this can be accelerated at the cost of a </t>
    </r>
    <r>
      <rPr>
        <i/>
        <sz val="13"/>
        <color theme="1"/>
        <rFont val="Calibri"/>
        <family val="2"/>
      </rPr>
      <t>massive</t>
    </r>
    <r>
      <rPr>
        <sz val="13"/>
        <color theme="1"/>
        <rFont val="Calibri"/>
        <family val="2"/>
      </rPr>
      <t xml:space="preserve"> amount of magical energy.</t>
    </r>
  </si>
  <si>
    <t>Chemistry: The Basics</t>
  </si>
  <si>
    <t>You have a modern high school graduate’s education in chemistry — and unlike most high school graduates, you actually remember the stuff you were taught in the subject. You know the formula for a tonic that puts anyone who ingests it into a trance. With just this, you won’t be the best in the class, but your talent in the field of chemistry will at least be average.</t>
  </si>
  <si>
    <t>Hypnosis: The Basics</t>
  </si>
  <si>
    <t>Even before your first Hypnotism class, you know the basics, a solid foundation to build upon. You know the basic tricks of induction, how to affect your target’s subconscious mind, how to program someone entranced, and what landmines to avoid. With just this, you won’t be the best in the class, but your talent in the field of hypnosis will at least be average.</t>
  </si>
  <si>
    <t>Magic: The Basics</t>
  </si>
  <si>
    <t>Each student will learn magic, also called the Great Craft. This Perk ensures that you won’t have to worry about any especial difficulty when it comes to the class; whatever problems could plague a student, be it lack of power or an incompatible mindset, they won’t plague you. You won’t, without purchasing some of the Perks below, have any special talent for it, but you will be at minimum average in all areas. You are already able to use basic spells and cantrips.</t>
  </si>
  <si>
    <t>Psionics: The Basics</t>
  </si>
  <si>
    <t>Each student at MCU will learn Psionic techniques. So, obviously, you need to be able to actually perform these techniques. How powerful are you?
Well, in your first Psionics class, each student will test their psionic potential by attempting to make up to 10 gems glow with only their force of personality; the number of glowing gems is a logarithmic function of how great a person’s potential is. The average human will be able to light up 3 gems. Even without any other Perks, you will be able to do the same.
You will have equal (that is, average) skill in Psionics as well. You are already capable of reading surface thoughts.</t>
  </si>
  <si>
    <t>Technology: The Basics</t>
  </si>
  <si>
    <t>You are educated in basic scientific principles. You know the scientific method. Even if you were a Luddite before this Jump, you now have enough basic knowledge of technology to function in a modern first-world civilization. And you know how to install subliminal messaging programs on phones. With just this, you won’t be the best in the class, but your talent in the field of technology will at least be average.</t>
  </si>
  <si>
    <t>Melody</t>
  </si>
  <si>
    <t>Sometimes having powers is a temptation to use them in, shall we say, less than responsible ways. With Melody, you are always aware of the temptation to use your powers and abilities in ways you probably wouldn't approve of. Sure sure, you're probably aware of those temptations when they're powerful urges... but those powerful urges usually are because the situation has gone pear-shaped and you're under a lot of pressure. Or you're impaired by emotion, drugs, or maybe amnesia. Melody gives you a little twinge right before you're about to do something you'd not approve of if you were being completely rational. This twinge will never distract you and, like a certain arachnoid-person's arachno-sense, doesn't seem to take more than a split second of your time.</t>
  </si>
  <si>
    <t>Mind of a QQ Jumper</t>
  </si>
  <si>
    <t>You are cured of any mental disorders related to sex and any sexual hang-ups you might suffer from, as well as the one-time ability to change your sexual orientation. The effect to cure mental disorders will trigger annually.</t>
  </si>
  <si>
    <t>Miracle Light</t>
  </si>
  <si>
    <t>In the movies these little wands transform people's feelings into power for the Precures, generating deus ex machina transformations and new powers and such. This one all by itself can’t do that, but it can broadcast your feelings to people you care about, letting them feel the sincerity of your thoughts for themselves.</t>
  </si>
  <si>
    <t>Name Calling</t>
  </si>
  <si>
    <t>When you call someone by a pet name or title, it provides them a little bit of pleasure. Say it enough, and they’ll start to enjoy hearing it, even if they have no idea what it means. What’s more, when you refer to someone by a pet name or title, they will start to take on traits resembling what you call them; for instance, calling someone “Sensei” might jog their memory regarding a question you asked them, because teachers know things. You can undo this process if you really want to.</t>
  </si>
  <si>
    <t>Shameless</t>
  </si>
  <si>
    <t>In this society, sex is an everyday thing. Because of that, clothes are gonna be looser and innuendo is easily inserted into everyday speech. But no one will care. Go ahead and give that hyper chick a stare. She’ll think it's flattering.</t>
  </si>
  <si>
    <t>Synchronised Fucking</t>
  </si>
  <si>
    <t>When the intentions of two people having sex are aligned, their brain waves will synchronize. If two people have a shared goal and shared desire, the pleasure they each experience will be increased as they fuck, as will the sextacy they produce. Now, you carry this phenomenon with you, being able to feel and give greater ecstasy the more your thoughts align with those of your partner.</t>
  </si>
  <si>
    <t>The Return to Sanity</t>
  </si>
  <si>
    <t>Many people are wary of the idea of being broken by torture, but too often people forget that any extreme of sensation can pose a risk to your mental health, not just pain... and elves are very, very vulnerable to pleasure. This perk ensures that no matter how much sensation you experience—be it pain or pleasure—your mind will never stay “broken”. Yes, intense sex may shatter your consciousness and ability to think, leaving you only capable of bouncing your hips and giving insensate moans of unimaginable pleasure... but only for a few hours at most, before you gather together the shards of your mind and heal from the experience, without any long-term mental harm being done to you.</t>
  </si>
  <si>
    <t>What Stage Fright?</t>
  </si>
  <si>
    <t>Considering how often sex is performed publicly, it would have been a shame if Ota or his partners were afflicted by performance anxiety. Fortunately, that’s not a problem you’ll ever come across. Even if you’re a complete introvert, you’ll find that you’re comfortable among other people, and that performing actions—even potentially embarrassing ones—in front of a crowd no longer inspires anxiety in you.</t>
  </si>
  <si>
    <t>"Diplomacy"</t>
  </si>
  <si>
    <t>You may offer, in lieu of normal negotiations, to attempt to improve relations between yourself and any organisation you so choose by taking its current leader to the bedroom. Neither they nor anyone else will find such a suggestion odd, and while whether they accept depends on their personality, should you impress them with your bedroom skills you are guaranteed to noticeably warm relations with their whole organisation. You may require several rounds of “diplomacy” to turn hostile organisations into allied ones, however.</t>
  </si>
  <si>
    <t>"Special" Swimsuits</t>
  </si>
  <si>
    <t>These are a set of school swimsuits that have been “improved” for sexual purposes, with cut-out holes revealing all the places that might be used for naughty fun. By putting one of these swimsuits in a drawer with a normal set of clothing, those clothes will be similarly “improved”. Curiously, nobody but you (and those you designate) will ever realize anything is odd about this clothing, and will wear it normally. They will become curiously embarrassed about it, but won’t know why.</t>
  </si>
  <si>
    <t>"Tax Returns" Folder</t>
  </si>
  <si>
    <t>You keep your porn in a secure location, hidden with a label that will detract interest. Like, you know, calling it “tax returns.” This prevents the unauthorized from tampering or reading with these important files.
Fortunately, your own memory has the same protection. It can’t be read or altered without your express, active, non-mind-controlled consent. As a bonus, I’ll add in perfect, unlimited storage, improving indexing and cross-referencing, and complete storage for all sensations, so you can remember exactly what it felt like when you had that wonderful encounter a while ago.</t>
  </si>
  <si>
    <t>A is for Anal</t>
  </si>
  <si>
    <t>You will probably end up being distracted and forget to study, but with this perk you can ask your teacher for extra credit after class. You can trade sexual favors for better grades, the resulting extra credit will be based on your skill at pleasing teacher. You can also trade sexual favors for improving any other form of performance review, however be warned this doesn’t protect you from the people you bribe coming to expect sexual favors from you as a matter of course.</t>
  </si>
  <si>
    <t>A Thousand Shades of Pleasure</t>
  </si>
  <si>
    <t>Sometimes you have a partner who’s better at giving pleasure than others. And sometimes you get strapped to a sex machine and injected with drugs that would make even the touch of the air an agonizing ecstasy. But there’s no reason for such experiences to turn you off to the pleasures you could find elsewhere. You are capable of viewing your experiences in isolation when you so desire, without comparing them to similar memories.
Eating the best food in the world won’t make all other foods seem lackluster in comparison, because you can view it on its own. Being subject to inhuman degrees of pleasure won’t make normal sex boring, because you can isolate it as its own experience. It won’t even taint your memories of sex, because you can disconnect them to be independent from each other.</t>
  </si>
  <si>
    <t>Aftercare</t>
  </si>
  <si>
    <r>
      <rPr>
        <sz val="13"/>
        <color theme="1"/>
        <rFont val="Calibri"/>
        <family val="2"/>
      </rPr>
      <t xml:space="preserve">Sex can get pretty extreme in a world of sex demons, more so than normal people are probably equipped to handle. After sex, you can cuddle and whisper affectionate statements to your sex partner, which is guaranteed not only to increase your emotional closeness with your partner, but help heal any emotional or physical wounds they may be facing as a consequence of sex, mend minds that have been broken, and smooth over any resentment over their treatment (so long as the sex was consensual). 
Because we know what a lot of you are like, you can expand outside what’s appropriate to the setting at the cost of CP at any time you could purchase a perk. You can spend an additional </t>
    </r>
    <r>
      <rPr>
        <b/>
        <sz val="13"/>
        <color theme="1"/>
        <rFont val="Calibri"/>
        <family val="2"/>
      </rPr>
      <t>100 CP</t>
    </r>
    <r>
      <rPr>
        <sz val="13"/>
        <color theme="1"/>
        <rFont val="Calibri"/>
        <family val="2"/>
      </rPr>
      <t xml:space="preserve"> for it to smooth over resentment even in regards non-consensual sex, and when you mend their broken minds, you can additionally slightly nudge their personality or thought patterns in a direction of your choosing. For a further </t>
    </r>
    <r>
      <rPr>
        <b/>
        <sz val="13"/>
        <color theme="1"/>
        <rFont val="Calibri"/>
        <family val="2"/>
      </rPr>
      <t>200 CP</t>
    </r>
    <r>
      <rPr>
        <sz val="13"/>
        <color theme="1"/>
        <rFont val="Calibri"/>
        <family val="2"/>
      </rPr>
      <t xml:space="preserve">, you can use sex to smooth over resentment for non-sexual actions you’ve performed, and can outright alter facets of their personality or give them entirely new thoughts and ideas of your choosing. For another </t>
    </r>
    <r>
      <rPr>
        <b/>
        <sz val="13"/>
        <color theme="1"/>
        <rFont val="Calibri"/>
        <family val="2"/>
      </rPr>
      <t>200 CP</t>
    </r>
    <r>
      <rPr>
        <sz val="13"/>
        <color theme="1"/>
        <rFont val="Calibri"/>
        <family val="2"/>
      </rPr>
      <t>, you are able to completely rewrite their personalities and memories via sex.</t>
    </r>
  </si>
  <si>
    <t>Air of Authority</t>
  </si>
  <si>
    <t>Futas are on top for a reason, and you are a walking embodiment of that reason. Everyone around you instinctively recognizes you as someone to be respected and feared in equal measure, and you know exactly how to put your intimidating aura to good use.</t>
  </si>
  <si>
    <t>Alter Ego</t>
  </si>
  <si>
    <t>Have you ever heard the phrase 'you are your own worst enemy'? Well, for you it's at least partially true. See, normally this would never happen, but here in Chaldea we have, like, thirteen different versions of King Arthur. Anyways, while things probably aren't quite that weird for you, there's still the chance that you'll meet another version of you, or someone wearing the same face as you. And when they do, you're going to be in charge. Clones, copies, Pseudo Servants with the same host as you, AI based on said host, versions of you from an alternate timeline, all of them will see you and recognize you as the original. Possibly the bestest big sister as well, depending on how you treat them. Speaking of that, it's also incredibly easy for you to drag them into things or share your fetishes with them. By force if necessary, they either can't or won't be able to lift a finger to stop you.</t>
  </si>
  <si>
    <t>Another Day Another Dick</t>
  </si>
  <si>
    <t>Sure getting raped is humiliating and all but is it worse than all the times you’ve died to save the world? You have a battle-hardened mentality, and things that would traumatize a normal person like spending your teenage years fighting monsters for the fate of the world just slides right off of you instead of sticking around and making you miserable long after the fact. Even in the worst case scenario you could laugh off being raped or almost killed and be back to normal after a good night’s sleep. Better still, you can share this perk’s effects with your friends so long as you’re there to help them deal with their own issues.</t>
  </si>
  <si>
    <t>Assorted Basic Substances</t>
  </si>
  <si>
    <t>What sort of chemist would you be if you showed up to MCU without any useful mind-controlling chemicals? You have a large supply of substances, six doses per chemical, with each dose refilling at the end of the day. These substances include a tonic that induces a trance state in the drinker, a perfume that maximizes the wearer’s natural pheromone production, another perfume that makes the wearer appear more charming and likable, a final perfume that makes you appear as an authority figure to those around you, and an intravenous drug that increases neuroplasticity to a point similar to if the subject wasn’t even born yet. These perfumes can be applied all at once without reduced effect. Naturally, they cannot be stolen.</t>
  </si>
  <si>
    <t>Attendance Record</t>
  </si>
  <si>
    <t>A proper student needs to go to class, but you’re not exactly a proper student, are you? With this, you can skip classes or appointments and not be penalized for the act. Heck, you’ll even be provided acceptable excuses for not attending. After all, getting into a fight with a thug trying to rape or beat you is perfectly acceptable.
Yes, this will adapt to your circumstances if you're not a student, so long as the place you're meant to be 'attending' is some kind of institution like a place of work.</t>
  </si>
  <si>
    <t>Balls of Steel</t>
  </si>
  <si>
    <t>Knowing that a girl is only pretending that she’s not into you is one thing, but do you have the guts to step up and sweep her off her feet? Hell yeah you do! You now have a bottomless well of courage to see you through tough situations, and acting assertively and confidently is second nature to you. While you can still feel fear and anxiety when the situation calls for it you can easily push those feelings aside and act with confidence and swagger, whether you’re facing down some horrible monster or propositioning the most popular girl in school in front of a crowd.</t>
  </si>
  <si>
    <t>Boy-san</t>
  </si>
  <si>
    <t>Like the stout proprietor of the brothel, you go above and beyond in the name of professionalism. You can restrain your libido to the point that nobody would think you ever had one, even to the point of making puns as two steamy monsters go at it in front of you. On that note, nobody seems particularly bothered with letting you watch them in the act, and neither your stares nor running commentary will kill their lust for each other’s bodies one bit. Just make sure your means of entry wouldn’t be a cause for concern in itself.</t>
  </si>
  <si>
    <t>Breast Feeder</t>
  </si>
  <si>
    <t>Sometimes, when the chips are down, you don’t have the luxury of taking a break from a fight to properly refuel yourself. Sometimes the girl you would otherwise fill up with is hours away across town. Sometimes you just gotta do what you gotta do. In those life or death situations you get a supernatural sense of the next closest Soma-producing bust you can reach, and the ability to swiftly, and pleasantly, suck that woman dry in short order. As long as you genuinely need it, and the situation should be quite obvious if you do, you won’t be on the receiving end of hard feelings or animosity.
As it is quite likely that there won't be any women around that naturally produce Soma (though there is a perk for that) this perk ensures that you will still regain a limited amount of mana/chi/chakra or other power fuel when drinking breast milk. This works even when the 'emergency' status does not apply.</t>
  </si>
  <si>
    <t>Breath of Fresh Air</t>
  </si>
  <si>
    <t>Love is in the air! Or maybe that’s you sniffing armpits and assholes. Look, I may not like them myself but I’m not going to judge you. Anyways, you’ve got a special someone. You know who they are. And when they’re nearby, the whole world just seems a little brighter. Your hysterics dwindle down, your wounds hurt less, and you sleep better, so long as they’re next to you.</t>
  </si>
  <si>
    <t>Calming Drug</t>
  </si>
  <si>
    <t>These vials of pale blue liquid are guaranteed to calm the ardor of their drinker even if they’re surrounded in aphrodisiac mist and engraved with some kind of lewd curse crest. Of course, that likely won’t last very long in the latter case but every bit helps. You get three of these vials and they’ll restore themselves at the end of the week.</t>
  </si>
  <si>
    <t>Changing Preferences</t>
  </si>
  <si>
    <t>Ever wondered what it's like to play for the other team? Or for both sides? Or to get passed around in the dugout? Well, wonder no more! On purchase and once a year afterwards, you can completely alter your sexual preferences, libido, fetishes, and similar to something of your design. These changes are as immutable or changeable as the rest of your personality, but will never impede your willingness to use this perk (i.e. making yourself hardwired to only find pleasure in, for example, big bootied latina girls won't stop you from considering changing that). Feel free to adjust yourself as you please and carve out weird exceptions for yourself, like becoming gay except for your current partners, or finding anyone whose name starts with the letter G exceptionally hot.</t>
  </si>
  <si>
    <t>Chaos Makes Me Horny</t>
  </si>
  <si>
    <t>Fear has an odd effect on you. The more afraid you should be, the more aroused and excited you get instead. This does not stop you from recognizing danger, but it can certainly alter your response to that danger. You will never freeze up because of these feelings.</t>
  </si>
  <si>
    <t>Chivalrous Pervert</t>
  </si>
  <si>
    <t>Few of Hyrule’s adventurers are entirely pure of heart. Some are motivated by lust or greed more than the desire to help others but they’re no less respected for their heroism. People are very willing to forgive and forget a lot of naughty behavior on your part, and even if you have a bit of a rotten personality you’ll never be short on friends, admirers, or love interests. Being a sassy jerk or a crude pervert does little or nothing to damage your relationships or your heroic reputation, and so long as you broadly act in a heroic manner you could even get away with something like openly keeping sex slaves as traveling companions without anybody raising an eyebrow. This is especially true regarding your treatment of evildoers: if you defeat a wicked sorceress and decide she should pay for her crimes by becoming your sex slave then nobody will give it a second thought. But take heed, “hero”: this immunity has its limits, and should you indulge in truly monstrous behavior you’ll find your heroic status revoked and this protection invalidated.</t>
  </si>
  <si>
    <t>Continue the Lesson</t>
  </si>
  <si>
    <t>Infected men are expected to rail infected women whenever and wherever they are found, but sometimes—oftentimes—said woman has a job to do. You gain the ability to remain focused on a task no matter your mental condition, allowing you to continue to perform at a normal level regardless of how tired you are, how aroused you are, or how obsessed your thoughts have become with the overwhelming pleasure of your womb surrendering to the cock. You could be fucked in the middle of class and keep teaching like normal, or get railed while driving a bus with no loss in performance.</t>
  </si>
  <si>
    <t>Danger Close</t>
  </si>
  <si>
    <t>Zakuro Shoukougun</t>
  </si>
  <si>
    <t>You are very good at figuring out when a girl is about to succumb to Pomegranate Syndrome (or other mind-altering effects) right before it happens. This will give you enough time to warn people to evacuate and prepare yourself at least.</t>
  </si>
  <si>
    <t>Dazzling Wear</t>
  </si>
  <si>
    <t>Taking the form of traditional Clan Tiss'i wear, along with some high quality jewelry, this outfit heavily exposes and accentuates your chest and is highly resistant to everyday wear and tear. Also when worn this outfit imposes a sense of inferiority into those around you, similar to when a noble walks down a street with commoners on it. The main benefit from this is that people, specifically those with little to no authority, will tend to subconsciously go with your minor whims, doing things like moving out of the way, giving up their seat, etc.</t>
  </si>
  <si>
    <t>Dirty Girl</t>
  </si>
  <si>
    <t>Just because you’ve volunteered to be magical rape bait for a decade doesn’t mean you have to have a bad time, because now even the most selfish lover or brutal rapist will somehow end up adjusting their pace to match your preferences. They’re not necessarily being considerate lovers or anything, they might just want to feel smug and superior about it when they make you cum, but they will always show you a great time if you’re in the mood to let them have their way with you. What they do after that is still up to them though, so try not to fall for someone who wants to use you to take over the world or something.</t>
  </si>
  <si>
    <t>Dog and Pony Show</t>
  </si>
  <si>
    <t>There’s something to be said for being forced to watch. Or rather, allowed. That is what porn is, no? Forgive me for making this pun, but you seem to have some sort of animal magnetism that inspires people to watch you rut into your new mate rather than do anything to stop you. So what if their former lover has some magical tattoo that says he can order them to do anything - including teleport to his side and therefore away from you? He’s too busy watching the utter bliss on her face, or listening to the slaps and moans of your mating to actually think about separating the two of you. Maybe he’s even getting off on it?</t>
  </si>
  <si>
    <t>Don't Touch That</t>
  </si>
  <si>
    <t>While Orihime might be crazed with lust half the time, she still comes to a dead halt when confronted with the real Tatsuki, unwilling to touch her in that way without permission. Unwilling to stain the wonderful image of her friend she's built up. Thankfully, Tatsuki gave her permission. But, I digress. When you want to go no further and declare your pussy off limits, people will honor that. Or a different hole, depending on your tastes. This is mostly sexual, so don't expect your teachers to stop beating you into the ground in the name of training.</t>
  </si>
  <si>
    <t>Don't Use Protection!</t>
  </si>
  <si>
    <t>People seem to find the risk of having a child to be an acceptable one in exchange for the pleasure of bareback sex; if you want, they could even find the idea of having a child with you to be a thrill, turning them on even more at the hope of the two of you having a kid.</t>
  </si>
  <si>
    <t>Dump a Load Off</t>
  </si>
  <si>
    <t>Haydee 2</t>
  </si>
  <si>
    <t>Masturbation and sex are now the perfect stress reliever for you with all kinds of stress, no matter the severity, along with everything resulting from it washing away with every orgasm. This also includes anxiety and nervousness, and due to the fact you're more than likely going to be fucking and masturbating a lot more to get good use out of this, you also don’t have to worry about become desensitized or growing bored with sex or masturbation.</t>
  </si>
  <si>
    <t>Empathy</t>
  </si>
  <si>
    <t>Generic: Hentai Superheroes</t>
  </si>
  <si>
    <t>You can sense emotions. Even better, you can project them. Calm a scared child. Project awe towards the people as you float in. Make them fear you. Make them lust for you</t>
  </si>
  <si>
    <t>Eternal Humiliation</t>
  </si>
  <si>
    <t>Humiliation can be an exciting fetish. Some love to be humiliated, and some people love to humiliate others. But there’s only so many times you can be called a cow-brained meat toilet meant to guzzle cum before it gets tiring, instead of exciting. Now, you can ensure that the humiliation and embarrassment never gets old. You can freely render yourself or other people incapable of acclimating to sexual embarrassment, ensuring that even the hundredth time you fuck someone’s wife in front of them, that they’ll still feel just as ashamed and inferior and aroused as they did the first time.</t>
  </si>
  <si>
    <t>Face of the Team</t>
  </si>
  <si>
    <t>Everyone knows adventurers tend to be eccentrics and the extremes of odd behavior can be more easily brushed off. So long as you’re not being harmful in the way you act, other people will accept your eccentricities, such as your flamboyant speech or insistence on calling yourself a “friend to all women” or whatever, as if it were normal behavior.</t>
  </si>
  <si>
    <t>Frat Party Keg</t>
  </si>
  <si>
    <t>This keg refills itself once per week and contains enough deceptively high-content beer to give everyone in a fraternity, sorority, or reasonable sized work department at least one drink each. Simply seeing the keg makes one more easily persuaded into partaking of its contents. In addition, anyone who has had at least one cup of this beer and still has it in their system processes alcohol differently than normal. They become 'happy' and 'horny' drunks with their intoxication only impeding them in regard to their judgement about sexual matters, exhibitionism, and further drinking. It also alleviates the consequences of drinking too much, such as hangovers and alcohol poisoning.</t>
  </si>
  <si>
    <t>Growing up Sucks</t>
  </si>
  <si>
    <t>Generic: Lewd Digimon</t>
  </si>
  <si>
    <t>It’s a simple fact that Digimon have an easier time bonding with those with pure hearts, namely children. And why should you give up on something like that just because you grow up? You’ll find that being an adult in no way limits you from the beneficial aspects of childhood. You make easy friendships, never letting your heart fall to the cynicism or despair of adult life. And if a power only works for someone of a specific age, like a Chosen Child? It can now apply to you too. You can now choose whether or not you count as an adult or a child for the purposes of things that affect individuals based on age.</t>
  </si>
  <si>
    <t>Guilt Free</t>
  </si>
  <si>
    <t>You came here to have fun taking advantage of pretty girls, and you aren't about to let your conscience talk you out of it. From now on, you can silence that pesky voice in your head, keeping it from telling you that what you're doing is "wrong." The tears in that girl's eyes won't tug at your heartstrings, just make you harder. You can selectively activate this, such as silencing your conscience when it comes to blackmail and rape, but not murder or torture.</t>
  </si>
  <si>
    <t>I Decided to Whore Myself Out</t>
  </si>
  <si>
    <t>Shamelessness is second nature for you. This won’t help you against unexpected embarrassment, but if you premeditate to do so, there won’t be a spec of hesitation in throwing your reputation under the bus. Many partners will find this boldness sexually stimulating.</t>
  </si>
  <si>
    <t>I'm My Own Master</t>
  </si>
  <si>
    <t>Most dominants have no real authority outside their bedrooms. Society doesn't care that you're a top, you still have to go to work and obey your boss just like anyone else. But not you: maybe you have an aura of dominance that makes other people think twice before trying to push you around, or maybe you're just so roguishly charming that most people just let you flaunt the rules, but you'll find that you can get away with many minor forms of lawbreaking and suffer no real consequences for doing so. You can easily skip work or school to hunt monsters without losing your job or falling behind in class, carry weapons openly without attracting unwanted police attention, or take your slaves for a naked walk without being arrested for public indecency (or going viral on social media). Those who would normally police such behavior will simply fail to notice unless you deliberately flaunt your antics right under their noses, though if your actions cross the line and get someone hurt then all bets are instantly off.</t>
  </si>
  <si>
    <t>If Every Porkchop were Perfect</t>
  </si>
  <si>
    <t>When you’re around, people tend to be less self conscious, more confident, and less inhibited. While they may not necessarily love themselves or their own body, extended exposure can certainly wear down any major inhibitions regarding self-image.</t>
  </si>
  <si>
    <t>In Your Arms</t>
  </si>
  <si>
    <t>Pulling off the notorious kabe-don or pinning someone to the floor with your arms instantly makes the other person more submissive. No change in how they react once you let them up again, but maybe you just need the chance to show them how you really feel?</t>
  </si>
  <si>
    <t>Infinite Patience</t>
  </si>
  <si>
    <t>You have the sort of patience and focus that allows you to spend days at a time giving nonstop blowjobs, without ever getting bored or losing interest in what you’re doing. You are effectively immune to boredom and ennui, and can always find enjoyment in sexual activities.</t>
  </si>
  <si>
    <t>Intimidating Informant</t>
  </si>
  <si>
    <t>Why would a huntress ever give into blackmail, especially over something as petty as some nude pictures? Even leaving aside their ability to go to the authorities or just murder you, is your threat really worse than getting broken into a sex slave? Luckily for you, people you blackmail tend to act like porno heroines, giving in to social threats for sex far more easily than a normal person and being far less likely to consider alternate ways out of the problem.</t>
  </si>
  <si>
    <t>Just Me on the Lake</t>
  </si>
  <si>
    <t>There are times you just need to relax. Get away from it all. Like after being dragged to another world, given crazy powers and drafted into the fight against the demon king. The simple things you enjoy will never stop being enjoyable. They will never be tainted by association with bad memories and you will never feel shame for them. Even if it’s as mundane as fishing with only a six-pack of beer for company, or singing no matter how tone-deaf you are, the little joys in life can never be ruined or taken away from you. Not by the darkest of magics or finding yourself in the lowest point of your life.</t>
  </si>
  <si>
    <t>Lovable Scoundrel</t>
  </si>
  <si>
    <t>Quick wits, quick jokes. That’s the kind of charming personality you have. Even if people find you mildly annoying, they’re never going to actually get angry with you. “Come on, how could you hate this face?” And boom, all is forgiven. Naturally, this won’t count if you kill someone’s brother or something. Fanwank responsibly.</t>
  </si>
  <si>
    <t>Moderator</t>
  </si>
  <si>
    <t>No, this doesn’t make you a moderator on QQ. That’s too much power for me to offer for so little price. Instead, this gives you two powers derived from that.
First, you have the “Rule 8” toggle. When active, it prevents political conversations from happening except in intended places. If you walk into a government building, don’t expect this to do much. If two people meet up to discuss politics on a regular basis, don’t expect much either. Still, at least it prevents politics from being pillow talk.
Then there’s the “Rule 5” active skill. By calling out “Rule 5” you can force a conversation to return to a previous topic and stick to it for significantly longer, discarding the “tangent.”</t>
  </si>
  <si>
    <t>Monster Baiter</t>
  </si>
  <si>
    <t>The most vital duty of any magical girl is to be a shield of righteousness and protect the innocent, even at the cost of her own safety if necessary, and that’s a duty you’re well-equipped to fulfill. With a challenging shout or a well-timed distraction you can immediately grab the attention of your foes and get them to lock on to you, prioritizing your destruction or defilement over that of any other potential victims they may have at their mercy. Fleeing civilians will be ignored and any injured or defeated allies left alone until they finish their business with you, but once you’ve drawn a monster’s attention it won’t be easy to lose it again until you’ve either defeated or been defeated by them. If the worst should happen and you’re defeated by your enemies you can opt to keep their attention locked on you even in a helpless state: although this attention will inevitably be of a depraved and lustful sort, it does guarantee that your foes will be far more interested in capturing rather than killing you if at all possible.</t>
  </si>
  <si>
    <t>Nestmates</t>
  </si>
  <si>
    <t>With the societal need for polygamy, it would be rather counterproductive if you were to succumb to jealousy and try to keep a mate all to yourself. Fortunately, you have the ability to “dial off” your negative emotions, such as possessiveness or jealousy, allowing you to enter a polygamous relationship without worry of ruining it due to whatever possessive feelings you may possess.</t>
  </si>
  <si>
    <t>Oasis of Egypt</t>
  </si>
  <si>
    <t>Egypt is a land where love is in the air, and you represent the best of all your people. Getting in the mood is as easy as breathing for you, allowing you to get ready for some sweet, sweet romance whenever you like. You can not only drench your pussy in three seconds flat, you can also choose to be a squirter anytime you hit your peak. Obviously, you'll never need to worry about bringing lube again. If you're a guy, you'll instead get instant-boners-on-command and a cum load that's quite a bit bigger than before. Either way, expect to make the best kind of mess without the need for any prep-time.</t>
  </si>
  <si>
    <t>One-Off Immunity</t>
  </si>
  <si>
    <r>
      <rPr>
        <sz val="13"/>
        <color theme="1"/>
        <rFont val="Calibri"/>
        <family val="2"/>
      </rPr>
      <t xml:space="preserve">Select a single Method of mind control from Hypnotism, Technology, Chemistry, Psionics, Magic, or Chi. You are totally immune to your mind being affected by this method. Note that selecting Magic would not make you immune to all magic, just any that would entrance or enchant you or alter your thoughts. You may select Hypnotism, even though that is supposed to be able to affect any sapient life form. 
This perk may be purchased multiple times whenever you could purchase a perk, but each time, you must pay an additional </t>
    </r>
    <r>
      <rPr>
        <b/>
        <sz val="13"/>
        <color theme="1"/>
        <rFont val="Calibri"/>
        <family val="2"/>
      </rPr>
      <t>100 CP</t>
    </r>
    <r>
      <rPr>
        <sz val="13"/>
        <color theme="1"/>
        <rFont val="Calibri"/>
        <family val="2"/>
      </rPr>
      <t xml:space="preserve"> for each purchase that makes so far, with the total costs being:
1: </t>
    </r>
    <r>
      <rPr>
        <b/>
        <sz val="13"/>
        <color theme="1"/>
        <rFont val="Calibri"/>
        <family val="2"/>
      </rPr>
      <t>100 CP</t>
    </r>
    <r>
      <rPr>
        <sz val="13"/>
        <color theme="1"/>
        <rFont val="Calibri"/>
        <family val="2"/>
      </rPr>
      <t xml:space="preserve">
2: </t>
    </r>
    <r>
      <rPr>
        <b/>
        <sz val="13"/>
        <color theme="1"/>
        <rFont val="Calibri"/>
        <family val="2"/>
      </rPr>
      <t>300 CP</t>
    </r>
    <r>
      <rPr>
        <sz val="13"/>
        <color theme="1"/>
        <rFont val="Calibri"/>
        <family val="2"/>
      </rPr>
      <t xml:space="preserve">
3: </t>
    </r>
    <r>
      <rPr>
        <b/>
        <sz val="13"/>
        <color theme="1"/>
        <rFont val="Calibri"/>
        <family val="2"/>
      </rPr>
      <t>600 CP</t>
    </r>
    <r>
      <rPr>
        <sz val="13"/>
        <color theme="1"/>
        <rFont val="Calibri"/>
        <family val="2"/>
      </rPr>
      <t xml:space="preserve">
4: </t>
    </r>
    <r>
      <rPr>
        <b/>
        <sz val="13"/>
        <color theme="1"/>
        <rFont val="Calibri"/>
        <family val="2"/>
      </rPr>
      <t>1000 CP</t>
    </r>
    <r>
      <rPr>
        <sz val="13"/>
        <color theme="1"/>
        <rFont val="Calibri"/>
        <family val="2"/>
      </rPr>
      <t xml:space="preserve">
5: </t>
    </r>
    <r>
      <rPr>
        <b/>
        <sz val="13"/>
        <color theme="1"/>
        <rFont val="Calibri"/>
        <family val="2"/>
      </rPr>
      <t>1500 CP</t>
    </r>
    <r>
      <rPr>
        <sz val="13"/>
        <color theme="1"/>
        <rFont val="Calibri"/>
        <family val="2"/>
      </rPr>
      <t xml:space="preserve">
6: </t>
    </r>
    <r>
      <rPr>
        <b/>
        <sz val="13"/>
        <color theme="1"/>
        <rFont val="Calibri"/>
        <family val="2"/>
      </rPr>
      <t>2100 CP</t>
    </r>
  </si>
  <si>
    <t>Peeking is Okay</t>
  </si>
  <si>
    <t>What's wrong with a little curiosity? Others have an almost limitless tolerance for you being places you shouldn't be or seeing things you shouldn't see as long as you're not actually doing something or interfering in some way.</t>
  </si>
  <si>
    <t>Piercing the Veil</t>
  </si>
  <si>
    <t>The world is full of stuffy prudes who look down on others for their kinks, but you’re far more open-minded than that. Familiarity with your own desires has made you highly-aware of the feelings of other people, so much so that you can easily pierce through deception to sense a person's true feelings regardless of how deeply-repressed they might otherwise be. At a glance, you can tell when a schoolgirl is quietly crushing on you, when your teacher is hiding a vibrator in her panties, or when a mother’s lewd behavior is caused by an evil spirit instead of her own desires, and you never ever miss the subtle tell of a “no” that's actually a “yes” or vice versa. With a bit of observation you can also figure out what kinks people have, letting you spot a deeply-closeted submissive long before she discovers her own taste for bondage, and you’re quite effective at finding exactly the right words and deeds needed to persuade or seduce these poor repressed souls into coming out of their self-imposed closets and embracing their true desires.</t>
  </si>
  <si>
    <t>Psionic Sauce</t>
  </si>
  <si>
    <r>
      <rPr>
        <sz val="13"/>
        <color theme="1"/>
        <rFont val="Calibri"/>
        <family val="2"/>
      </rPr>
      <t xml:space="preserve">A noted power of the 'Angels' is their ability to psychically assault and communicate with their fresh sexual fluids. You have a telepathic connection to anyone you're 'sharing fluids' with, and anyone that you cum on is put in a highly suggestable state. I'm sure you can figure out </t>
    </r>
    <r>
      <rPr>
        <i/>
        <sz val="13"/>
        <color theme="1"/>
        <rFont val="Calibri"/>
        <family val="2"/>
      </rPr>
      <t>something</t>
    </r>
    <r>
      <rPr>
        <sz val="13"/>
        <color theme="1"/>
        <rFont val="Calibri"/>
        <family val="2"/>
      </rPr>
      <t xml:space="preserve"> with these two abilities...</t>
    </r>
  </si>
  <si>
    <t>Public Indecendy</t>
  </si>
  <si>
    <t>The stickers of Mizuryu Kei Land aren’t much use outside the park as it’s still mostly illegal to do those sorts of things in public- hence the existence of love hotels. But, anyways. You now have a sort of perception filter around you that blurs out lower level perverseness from the eyes and minds of those watching. That short skirt you’re wearing looks regulation, no need to measure. That color of tan isn’t a regulation shirt, but they’ll let you off with a warning just for today, alright? But of course, they’ll have forgotten the next day. This isn’t strong enough to cover full on sex, just your non-existent style of dress and maybe some light teasing.</t>
  </si>
  <si>
    <t>Respectable Authority Figure</t>
  </si>
  <si>
    <t>First impressions are important - if they catch you perving on them, they'll hate you forever! Or at least until you get your fingers in their brain, but it'll probably take longer than it ought. You now have a fake personality that you can slip in and out of with ease. Fake you might be a polite, kind, and slightly clumsy person - it’s not until you take your glasses off and slick back your hair that your raging perversion comes to the front.</t>
  </si>
  <si>
    <t>Rhapsody</t>
  </si>
  <si>
    <t>This is a guarantee that you'll never accidentally or subconsciously use your powers, especially those that are reflexive or subconscious, against your friends, lovers, companions, or allies. You'll never subconsciously use a seduction power to bed some hottie, never accidentally tweak your partner's habits so they fucking do the dishes without being asked twice, never get so pissed off at the baby that you render them mute. No, if you do these things, you'll have to do it while being fully aware you're doing it.</t>
  </si>
  <si>
    <t>Royal Throne</t>
  </si>
  <si>
    <t>A bitchin chair, like the one Olga possessed in the Dark Citadel. While sitting on it you appear more regal and charismatic. Additionally its really plush and comfy.</t>
  </si>
  <si>
    <t>Safe, Sane, Consensual</t>
  </si>
  <si>
    <t>For many, "safe, sane and consensual" is the gold standard that all kink activities should aspire to follow. If you try to abide by these guidelines, this perk will make things in the bedroom go smoothly in reward. With this you'll have a much easier time securing your partner's consent for most anything that doesn't fail basic safety and sanity checks, complicated preparations will take less time and effort than expected, and a merry time will be had by all, with no random interruptions or other mood-killers, or your money back.</t>
  </si>
  <si>
    <t>Scarousing</t>
  </si>
  <si>
    <t>There’s something about you that’s frightening and arousing in equal measure, enough to give people difficulty when running from you due to their raging boners or soaked pussies. You can toggle the fear component off if you wish to try a more openly seductive approach.</t>
  </si>
  <si>
    <t>Self Control</t>
  </si>
  <si>
    <t>In all honesty, this is something most dickgirls seem to lack. A good grip on the concept of stopping. Granted, most of them lack that on account of a somewhat purposeful hormone imbalance that leaves them constantly horny, but the point remains. You don’t have that issue, which means that when you feel like you’re done having sex, stopping actually is an option for you. Additionally, if you’re one of those kinds of Dickgirls whose body NEEDS to have sex every so often, you’ll find that refraining will merely leave your balls aching from being overfull instead of potentially exploding from excessive cum production. Though, do keep in mind that some men, most women, and almost every Dickgirl everywhere will look down on you for this.</t>
  </si>
  <si>
    <t>Self-Control</t>
  </si>
  <si>
    <t>When women were forced to walk around half-naked, sex crimes saw a drastic rise, even before taking into account the actions of the infected. But then you have people like Professor Sukima Kuroo, who can calmly talk about and watch sex acts with hardly any response whatsoever. Maybe he has excellent self-control, maybe he’s ace, it doesn’t matter—what does matter is that this perk gives you perfect self-control over your own arousal and lust. You can simply make yourself stop feeling desirous towards others if it’s interfering with your life or your work, or you can instantly get yourself in the mood when the time comes to actually fuck.</t>
  </si>
  <si>
    <t>Sinful Desires</t>
  </si>
  <si>
    <t>Demons are the most accepting of their vices of the three factions, embracing their status as the outcasts of heaven. Knowing your inner darkness as they do, it becomes easy to see the same qualities in others. The base desires of other people are an open book to you, allowing you to easily see past any attempts to hide such things from your perception. You can tell with certainty when a heroic face hides a dark and sadistic heart, or when a tsundere is secretly a masochist hoping for someone (like you?) to pin her down and ravish her into submission. Even if a person has no conscious knowledge of their own desires you’re able to see right to the heart of them and bring them into the open, teasing and tempting these repressed souls until their true nature comes bursting out of the closet and become impossible to ignore.</t>
  </si>
  <si>
    <t>Standard Script</t>
  </si>
  <si>
    <t>An ordinary-looking file folder containing a piece of paper with a list of statements that will be highly effective against most people both as subliminal messages and as instructions applied during trance to turn them into your loyal, obedient slave. Each time you utilize this list, another piece of paper will appear in the folder, identical to the original save that it has the hypnotized individual’s name at the top; as the subliminals/instructions are repeated, the list will gradually update itself to tailor them to the named individual, changing the list items to play off of the victim’s psychological faultlines. Neither this file nor the papers that naturally fill it can be stolen or destroyed; the papers are illegible to anyone other than yourself whom you have not permitted to read them.</t>
  </si>
  <si>
    <t>Subliminal Contact Lenses</t>
  </si>
  <si>
    <t>An unlimited supply of contact lenses that you can mentally program to bombard the wearer with subliminal messages of your choosing; you may alter/cease the subliminal messaging even after the lenses have been put on. While they can be defended against, they can’t be subverted or used against you. All of them adapt to correct the wearer’s vision as normal prescription lenses would. Unlike normal contact lenses, these do not have any negative consequences for being worn for long periods and don’t need to be cleaned. They are available in glasses as well.</t>
  </si>
  <si>
    <t>The "Ignore Me" Book</t>
  </si>
  <si>
    <t>Currently, this unassuming little hardcover book bears the text and outward appearance of a standard Bible, though you can change both to any book you happen to have already read with a mere thought. More importantly, raise this open book to your face and all those whom pursue you will find themselves momentarily flummoxed by “where did they go?” This grace period falls off in effectiveness the more potent the enemy or individual seeking you is, ranging from a few minutes for peons and scant seconds for those that you could consider equals. But maybe those seconds are all that you needed?</t>
  </si>
  <si>
    <t>This is Just Vile</t>
  </si>
  <si>
    <t>You can always think of new and creative ways to suppress or avoid your more primal urges, or just to keep yourself occupied. Pure self denial can be unhealthy, but you’ll only find your mental wellness bolstered by wholesome acts, in avoidance of more vulgar ones.</t>
  </si>
  <si>
    <t>Tiger Masks</t>
  </si>
  <si>
    <t>You have a small shipping container full of cutesy, full-face tiger masks. While wearing a tiger mask, nobody will recognize you, no matter how distinctive the rest of your outfit or hairstyle might be. However, people may recognize your identity as “the person in the tiger mask”, and if you tell someone your name or they see you put it on, they will make the connection. If multiple different people have tiger masks, they can tell the difference between them, but will only recognize that they are all people wearing tiger masks and not make the connection between their real identities an d those of the people wearing masks that look just like them.</t>
  </si>
  <si>
    <t>To the Breaking Point</t>
  </si>
  <si>
    <t>The most dangerous part of hypnotism (and mind control in general) is pushing someone too far too fast. If you have enough skill, you can twist someone around into their polar opposite, but that takes a master of the craft. If someone less skilled isn’t careful, they could, by trying to alter someone’s core self, accidentally jar them so badly they wake from trance or even break them mentally. Fortunately, you don’t have to worry about that — you always know just how far and fast you can push someone with mind control, and you have a special insight on getting what you want while working around those mental landmines.</t>
  </si>
  <si>
    <t>Virtual Sex Machine</t>
  </si>
  <si>
    <t>An amazing piece of technology, and one that has nearly led to the downfall of men due to the widespread impotency it induces. You have a machine that lets you experience virtual sex; having sex with someone who isn’t there, but enhanced to a ludicrous degree. This pleasure and stimulation is so extreme that it’s almost impossible for someone who’s experienced it to get aroused by normal sensations again. Regular sex becomes so lackluster than men can’t even get hard anymore except via virtual sex—and this is a setting where there exist means to induce pleasure more than thirty times that of normal sex without causing this sort of impotence. This is a very dangerous toy you’ve purchased.</t>
  </si>
  <si>
    <t>Wanton Woman</t>
  </si>
  <si>
    <t>You haven’t lived this long by pretending to be someone else, and you aren’t going to start. You are rarely, if ever judged for taking life at your own pace, or being generally eccentric. You’re still held to any responsibilities you may have, but other than that, who is anyone else to criticise the path you take to fulfill them.</t>
  </si>
  <si>
    <t>We're all Girls Here</t>
  </si>
  <si>
    <t>In a room full of girls, who’s going to call pervert when there are no guys? Simply put, you can push the boundaries of what is considered socially acceptable when in a single sex environment. Get into a literal dick measuring contest, swap stories and pics of ahegao facesas a guy, or maybe practice kissing and grope each other in the name of breast growth as a girl.</t>
  </si>
  <si>
    <t>What Dress Code?</t>
  </si>
  <si>
    <t>For one reason or another, people just don’t really care how you’re dressed; as far as they’re concerned, anything you wear is appropriate to the situation. Show up to a funeral in a wedding dress, or attend class wearing band-aids in place of panties and bras; no one will care. As long as you’re wearing something, it’s still considered suitable.
But wouldn’t it be a shame to show up to tease your teacher, only for him to ignore the fact that you’re only wearing conveniently-placed ribbons? You may selectively exempt people from the effects of this perk, or re-establish it whenever you desire.</t>
  </si>
  <si>
    <t>Who Cares About Love Potions?</t>
  </si>
  <si>
    <t>The emotions people feel for you are more important to them than the origin of those emotions. If you were to use a love potion on someone, they wouldn’t care that their love is artificial, because they can feel it as deeply as if it had occurred naturally. For purposes of perks and abilities dependent on feeling love or affection, relationships built on the premise of love potions or mind control are just as valid as actual love.</t>
  </si>
  <si>
    <t>XL Condoms</t>
  </si>
  <si>
    <t>The only size that fits you, these extra-large rubbers are almost as intimidating out of sheer implication as your actual cock is. Made with exceptionally high-quality materials, you’ll barely notice you’re wearing one at all until you bust a nut inside some pretty thing. Most of the time they work perfectly and guarantee that nobody gets pregnant from fucking you. For that reason, having them on hand makes women much more comfortable about fucking you, or at least the potential consequences of doing so. Just the one time won’t hurt anything, right? Little do they know that these condoms can also fail on command. Your command.</t>
  </si>
  <si>
    <t>“... cannot be considered an indecent act.”</t>
  </si>
  <si>
    <t>Sumata, or intercrural, is practiced in the Japanese health industry because it technically doesn’t count as sex. Maybe that’s what Mikage meant? Because it’s definitely indecent. However, this ability takes the basic concept and runs with it; now, any lewd activity you (and/or a partner) engage in short of vaginal or anal sex is never considered to be an indecent act by other people. This makes it perfectly acceptable to perform in public, or at school.</t>
  </si>
  <si>
    <t>A Night to Remember</t>
  </si>
  <si>
    <t>With the Director’s pills only turning the animals into human girls at night, things should have been awkward, since both humans and many animals at the zoo are diurnal [they sleep at night]. Fortunately, this is never a concern in this lighthearted ecchi manga, so all the animals and humans are fine partying, playing, and having sex throughout the night, and still feel well-rested to be active the next day.
You can now easily adjust your sleep and awake cycle back and forth without any problems – you can choose to be awake at night even if you’re normally awake in the day, and you won’t even be thrown off if you move to a significantly different time zone. Moreover, when you spend active time bonding with people (this includes sex), you can make that period count as if you were sleeping then, such that you’ll gain the benefits of resting. Please note that this only counts for time you’re spending with other people, and that excessive activity in itself can be tiring.</t>
  </si>
  <si>
    <t>Accept my Apology</t>
  </si>
  <si>
    <t>When you do someone wrong and need to make it up to them, you can always offer to have sex with them. Regardless of what you did to earn their anger, so long as it was based on something you did to them, you’ll be able to earn their forgiveness by having sex with them. Note that this doesn’t actually make them any more inclined to accept sex with you in the first place; it just makes it a valid form of recompense for any personal wrongdoing. It won’t help with, for instance, getting out of debt or avoiding paying taxes, because those are matters of business, not personal affairs.</t>
  </si>
  <si>
    <t>Am Innocent!</t>
  </si>
  <si>
    <t>Generic: Shotacon</t>
  </si>
  <si>
    <t>It seems that no matter how much evidence someone has against you, you never seem to get into any trouble. Did your mom find piles of hentai under your bed? It must have been the school bully trying to get you in trouble! Did your big sister find out that all of her panties are in your room and coved in cum? Someone else must be hiding it in your room to throw her off! What am trying to say is that unless someone ACTUALLY see's you doing something wrong, no one will think it’s you. Even if it clearly is.</t>
  </si>
  <si>
    <t>Arm Candy</t>
  </si>
  <si>
    <t>People don’t just want to be with you – they want to be seen with you. You’ve got a sexy strut and a bombshell/bodybuilder figure that will turn the heads of just about anyone vaguely interested in your gender and species. Of course, when you’re hanging on to your partner’s arm, this puts you right next to their ear. Everyone else might think you’re whispering sweet nothings to them, but their infatuation with you makes them quite susceptible to your influence.</t>
  </si>
  <si>
    <t>Authorial Bias</t>
  </si>
  <si>
    <t>Your fetishes have a contagious quality, as long as they aren’t inherently sexual, illegal, or harmful, like feet, big boobs, a type of clothing or hair style, etc. Openly indulging in these fetishes will spread them like a virus. You may and probably will be judged, but you’ll find the number of people who share your tastes skyrocketing.</t>
  </si>
  <si>
    <t>Completely Trustworthy</t>
  </si>
  <si>
    <t>... is what every idiot here thinks you are. Whether its promising you’ll spare the citizens of one distraught princess as long as she (sexually) submits to you and your men, or promising one of the Knights to a hormone filled general who wants to impregnate her to continue his bloodline when in actuality you plan to whore her out like all the others, they just seem to think you’ll keep your word regardless of how untrustworthy and scummy you have been before. Repeatedly breaking promises with an individual will see this trust break down but you get away with things more then you have any right to.</t>
  </si>
  <si>
    <t>Composure</t>
  </si>
  <si>
    <t>Not something gyaru are known for, huh? But it’s true. You have excellent control over your expressions and your emotions, and unless you let it, nothing you feel will ever cross your face or color your voice. Why, you could easily go through an entire day with anal beads shoved up your ass, and unless they happened to see them no one would ever realize anything was up with you.</t>
  </si>
  <si>
    <t>Cursed Seal of Engagement</t>
  </si>
  <si>
    <t>There are other uses for seals than just imprisoning things. With a small application of magic, you are able to painlessly brand a magical seal onto someone’s abdomen — right where the womb would be on a woman. This tattoo is invisible until you activate it, which causes it to release a pleasing warmth. But that’s just a side effect; the true purpose of his cursed seal is to bypass someone’s willpower, making them supremely vulnerable to hypnosis, illusion, and memory alteration. While this seal is applied to someone, no degree of mental strength is enough for them to break free from such mind - affecting effects. They can only escape your control if an outside force frees them, or if you allow them some degree of temporary freedom.</t>
  </si>
  <si>
    <t>Cursed with The Sex</t>
  </si>
  <si>
    <t>This one can come in a few different forms, from a camera mod to a series of stickers. Maybe a phone that ‘curses’ anyone you call. Anyways, what this does is convince the target they now have to have sex with you. For example, a fake memory about a dare and a ‘dating’ site. Either way, tag them with the item and they’ll arrange to sleep with you. You can only do someone once a week though, that’s pretty much the only downside.</t>
  </si>
  <si>
    <t>Depraved Clothing</t>
  </si>
  <si>
    <t>This set of clothing is entirely inappropriate for any occasion… and yet, as far as anyone else is concerned, it looks completely normal and appropriate to the situation. The only people able to see this outfit for what it really is are those who are themselves depraved. Not merely the sort of person who would be up to fuck a random stranger, or a normal pervert, but people who are into sick stuff. What’s more, while wearing this you are able to detect what someone’s deepest and strongest kink is. 
What’s more, when you give this clothing to someone else, it humiliates and shames them, regardless of their normal feelings about their body and their self - image. If you could force someone else to wear it, it will also decrease their ability to resist corruption. They do not receive the benefits you receive while wearing it, just as you don’t suffer from the downsides that it gives other people.</t>
  </si>
  <si>
    <t>Do You Love Me?</t>
  </si>
  <si>
    <t>Nobody ever said you were the type to play fair to get what you wanted. You can use your body as an effective bargaining chip in negotiations. People want to have sex with you that they may be willing to take it inreturn for small services, still, you won’t get anything too crazy, if the other party is thinking straight. Luckily for you, deals you strike in the middle of sex, no matter how obviously short-sighted, will be treated with complete legitimacy after the fact, even if everyone knows the other party wasn’t in their right mind at the time.</t>
  </si>
  <si>
    <t>Doing my Duty</t>
  </si>
  <si>
    <t>Sometimes, we have to do things that we don't enjoy. Like serving as a sex-toy for some fugly creep, so you can absorb energy from him to fight monsters with. Well, now you can turn off any emotional connection you have to any task you're performing. Sucking someone off would be no different than brushing your teeth of having a glass of water. You can selectively activate this, such as having it on for kissing someone you hate, but not when you kiss someone you love.</t>
  </si>
  <si>
    <t>Easily Aroused</t>
  </si>
  <si>
    <t>Arousal isn’t like a light switch; people can’t just become horny whenever they want, for arbitrary lengths of time. Well, other people can’t. You, on the other hand, find it incredibly easy to become aroused just by wanting to be, are readily receptive to sexual pleasure, and have little need for emotional or physical closeness in order to reach climax (although you can certainly enjoy it when you can get it). As a bonus, orgasms will no longer disrupt your focus or consume your concentration unless you allow them to, although you still feel their pleasure in full.</t>
  </si>
  <si>
    <t>Faux Innocence</t>
  </si>
  <si>
    <t>Its hard to be innocent when you are not, but you can manage it. You can choose to temporarily suppress memories of things that took away your innocence. You are always aware when you have something suppressed, and can restore them reflexively at any time. Your body also recovers from any form of sexual acts and no sex act will ever lose its novelty or pleasure from repeated experience.</t>
  </si>
  <si>
    <t>Fetish Piercings</t>
  </si>
  <si>
    <t>The favourite tools of a certain omnibus, this collection of piercings features a dazzling amount of variety. A seemingly endless array of different types, made of a variety of metals, studded with a variety of gemstones, and enchanted with a variety of different effects.
For the most part, these enchantments make it easy to put them on people without the hassle of a normal piercing and inflict the wearer with one of many fetishes. Exhibitionism and bondage are the most common, but in this collection you’ll find piercings that grant just about any fetish you could think of and most certainly every kind you are interested in giving to your pets. On top of those, there are a few piercings with different enchantments, mostly designed to play well with the fetish-granting ones. Piercings that make it impossible for the victim to raise a hand in anger, or that force them to think of and call themselves 'pet'.
Moreover, even if your pets found a way to remove the piercings, the damage is already done when they are put in. Removing the piercings doesn’t release them from the artificial fetishes imposed on them, but you could clear their heads yourself if you wanted to.</t>
  </si>
  <si>
    <t>Freedom of the Nude</t>
  </si>
  <si>
    <t>According to the authors, the whole point of everyone trying to disrobe Miyuki was to free her from the tyranny that the stereotypical schoolgirl outfit symbolizes; too bad the message wasn’t that clear. If you can remove every piece of clothing from a person – even the panties – you can free her or him from any social, mental, or magical chains of oppression. That said, if the person in question wasn’t wearing anything to begin with, it’s not like you can remove anything, making the perk useless.</t>
  </si>
  <si>
    <t>Fucking Salary</t>
  </si>
  <si>
    <t>From now on, it isn’t the skills that you bring to the table that determine whether or not you get hired, but how willing you are to be bent over that table and fucked. Although you don’t actually need to fuck the interviewer, it is now your willingness to have sex that is the most important and determining feature that decides whether or not you get a job, not who you know or what you can do. If you’d rather be hired for your talents, however, you can turn this effect off.</t>
  </si>
  <si>
    <t>Gaslighting Perversion</t>
  </si>
  <si>
    <t>The majority of people aren’t into humiliation and exhibition—but once you’re done with them, that majority will be a bit smaller. The more you force your kinks and perversions onto someone else, the more that person will internalize them, and start to think of those kinks as their own. Eventually, you’d be able to convince your own rape victim to put a collar on their own neck and walk on all fours down the street, buck naked and barking like they were a dog.</t>
  </si>
  <si>
    <t>Gem of Hypnosis</t>
  </si>
  <si>
    <t>Taking the form of a red octahedron on a chain, this gemstone possesses potent powers of hypnotism. It allows you to place someone under a trance, and give them orders — however, with the Gem of Hypnosis, they will only obey orders while under the trance. It alone is insufficient to give post - hypnotic suggestions. However, you can mandate how they behave while under a trance, and they will return to that behavior any time you put them under. 
After you’ve used it to hypnotize someone, you can place them back in a trance simply by showing off the gem, without needing to go through the whole process of hypnotism again</t>
  </si>
  <si>
    <t>Golden Shower</t>
  </si>
  <si>
    <t>Right, I did say I wasn’t going to judge. And now, neither will anyone else! Mostly. Orihime developed a bit of an asshole fixation, and went a bit farther than most people were comfortable with into scat. Tatsuki loved her so much that she tried it out anyways and apparently it was okay. Long story short, when you show off your fetish people's first reaction isn’t ‘ew, gross, I’m gonna vomit’, it’s ‘huh, I didn’t realize that was hot’.</t>
  </si>
  <si>
    <t>Gotta Protect your Rep</t>
  </si>
  <si>
    <t>You have a reputation for righteous beatings and justice! But you could easily acquire a reputation for being a filthy slut who whores herself out to the thugs. Well, we have the solution for you! You are now resistant to any negative reputation you don’t want! Yes, you get to choose which rumors are spread about you and which are not. After all, you might want the reputation of being a whore for all we know. On top of this resistance, you may make it easier to gain whatever reputation you prefer.</t>
  </si>
  <si>
    <t>He Doesn't Need to Know</t>
  </si>
  <si>
    <t>It’s quite a chore to keep secrets in a town full of ninja, like the affair you’re having with the hokage’s wife or the noble heiress you’re keeping in your hidden sex dungeon. Or at least that’s the way it is for others in your position; you have a far easier time keeping secrets because people who discover something you would rather keep private tend to keep it to themselves rather than spread the word. Women won’t admit they cheated on their husbands with you until it’s far too late, men are too horrified to acknowledge that it happened, and even pro ninja will simply continue investigating if they do discover your secrets, creating many chances to silence them before you face any potential consequences for your actions.</t>
  </si>
  <si>
    <t>Hey, This Mess My Fault?</t>
  </si>
  <si>
    <t>Cyberpunk: Edgerunners</t>
  </si>
  <si>
    <t>Clear all the code. Remove all the metal. Cut away the meat. All that's left at the end is you. Even when you break or are under effects that influence your mind, be they digital, chemical, or even mystical, you still maintain a basic amount of 'youness'. You won't hurt the people you care about, you won't kill anyone you wouldn't have otherwise, and you can be sure that with time to cool off you'll go back to normal. Your lethality while under such effects? Greatly increased. There's a reason MaxTac was created, after all.</t>
  </si>
  <si>
    <t>Hypnosis</t>
  </si>
  <si>
    <t>The power of hypnosis shows itself to you, letting you shift the sexual standards of others with a few minutes of work. This doesn't change their personality or have any tells, so if you're a loser who's gunning for a tsundere she'll probably call you an idiot for thinking hypnosis actually exists even as she orders you to stop being such a dweeb and fuck her already. This can however change memories related to such things, so if you turned some poor (or lucky?) sap's mother into a dickgirl you could make her think raping his mouth daily and blasting ropes of thick cum on all of his meals was always how she showed her love.</t>
  </si>
  <si>
    <t>Hypnosis Flute</t>
  </si>
  <si>
    <t>A treasure of the elves, this magical instrument is a replica of the one Prince Keera used to try to kidnap Shera. When played it produces arcane music capable of hypnotizing anyone who listens to it for too long, even if the one playing the flute has absolutely no idea what good flute playing even sounds like (its previous user certainly didn’t!). Once hypnotized, the subject can be given any orders the flute’s bearer desires. However this item can’t start to work its magic until the target has listened to it play for about five minutes or so.</t>
  </si>
  <si>
    <t>Hypnosis Release!</t>
  </si>
  <si>
    <t>Things can get really messy if you mess up while playing with the minds of others. You might’ve given them a command that you didn’t think through that well or maybe they’ve figured out a loophole that’s letting them wreak havoc on your plans but in any case, this little ability will let you wipe the slate clean regardless, all hypnotic effects on the target vanishing in an instant. As a bonus, they don’t even need to be effects created by you.</t>
  </si>
  <si>
    <t>I Have Changed</t>
  </si>
  <si>
    <t>The Overmind usually does pretty much the same thing every time he wakes up. He runs around with a bunch of brainwashed women to rampage and enslave. This time, however, there is one difference: he has an actual chance for happiness.
The weight of ages (and the influence of evil) can grind even the strongest down. Luckily, chances for you to rekindle your love for life and recover your happiness are thrown your way whenever they’re needed. Maybe you lose your memory and recapture why you were doing this in the first place, maybe you meet people you can genuinely love, or maybe the next universe you get dumped into simply sparks something deep inside.
Crucially, you can share this joie de vivre with other ancient beings to (re)awaken their humanity as well. An ancient spirit of ice in your hands (and bed) might discover a passion and empathy she thought long extinguished.</t>
  </si>
  <si>
    <t>I Screwed Up!</t>
  </si>
  <si>
    <t>...That’s a huge mess you’ve gone and made. But, it’s fine, it’s fine! You’re still learning, and you’re allowed to make mistakes. At least, that’s what people say to you more often than not. As long as you aren’t doing it on purpose, people are far more willing to forgive you for said mistakes, as well as help you clean up after then. Just try to learn from them okay? And stop cutting the cutting board in half!</t>
  </si>
  <si>
    <t>I Will Survive</t>
  </si>
  <si>
    <t>Life ain’t all sunshine and rainbow, especially for unsavory folks like you. Sometimes you'll need to do or go through some things that would leave a normal person sick to the core. Thankfully, you’re very good when it comes to bearing with it. You can at will ‘turn down’ any negative feelings such as disgust or horror regarding any particular action or situation, such as killing an innocent bystander to cover up a crime or letting yourself be repeatedly raped by a savage. It won’t necessarily make things pleasant, but it’ll make them bearable.
Of course, it can make things pleasant if you want. Instead of just turning negative emotions down, you can make yourself enjoy whatever dirty deeds you do or that are done to you. Just be warned that it may result in unfortunate events like you beginning to think that staying with the afore-mentioned savage and becoming his wife would be the best thing ever.</t>
  </si>
  <si>
    <t>Incognito Mode</t>
  </si>
  <si>
    <t>Ever get tired of fame and attention? I know, it’s something you QQ members constantly have to deal with. This helps with that. 
When active, this makes everyone treat you like an ordinary “peer,” not giving you any real special treatment and ignoring any fame you might have. It anonymonizes you even as it lets you use things that require your identity. You can still use a credit card, but any transactions made with this active will effectively not have your name on it. If a police officer tickets you, the points don’t go on your license.
This can also be used to suppress your beauty and aura effects. You won’t be ugly, but you can tone yourself down to “normal” levels of attractiveness, and even make yourself unremarkable.
Incognito Mode is also targetable, so you can exclude certain people from the effects.</t>
  </si>
  <si>
    <t>Inner Sanctum</t>
  </si>
  <si>
    <t>Your office is the seat of your power. While you may rule the school, in this room, your will is absolute. Get a student or staff member - anyone ‘below’ you on the hierarchy - into your office or personal workspace, and they will do whatever you like. Outside, however, is a different matter. If your orders involve doing something outside the office or workspace, you’ll find your power greatly weakened.</t>
  </si>
  <si>
    <t>Innocent Pervert</t>
  </si>
  <si>
    <t>People always say that you should be honest about your feelings, which is why you don’t bother hiding how much of a horny pervert you are. But where the habits of other perverts might seem creepy and gross, yours seem benign, perhaps even endearing. After all, isn’t it a compliment of sorts to show cute girls how sexy you think they are? You can get away with all kinds of perverted misbehavior that would normally be considered sexual harassment so long as no harm comes from your actions. Lewd mischief like stealing a girl’s panties or copping a feel of someone in public comes across as harmless teasing instead of anything serious or offensive. Make sure you’ve actually got her permission before proceeding to sex though, because this perk won’t allow you to go around raping people without punishment.</t>
  </si>
  <si>
    <t>Lady = Lesbian</t>
  </si>
  <si>
    <t>Every person you meet in this universe happens to be a lady, and every lady you meet has Sapphic desires. Therefore, it stands to reason (at least by nonsensical logic) that every lady must be a lesbian, whether she knows it or not. When you choose to have the perk active, any female within 100 meters of you or interacting with you in some way will start to have increasing attraction toward other women. The effect might fade away if they leave shortly after exposure, but continued or repeated exposure will gradually make them into a permanent lesbian. The perk also gradually removes their moral and proprietary objections to physically fulfilling such Sapphic lusts. If you happen to be a girl, they will become particularly fixated on you, though they remain open to lusting after other females as well. However, you have no control over how individuals will react to their new feelings, so be careful.</t>
  </si>
  <si>
    <t>Memory Sex Machine</t>
  </si>
  <si>
    <t>This machine reaches into your memories and finds the most pleasurable parts of your life, putting you into a dream world of endless ecstasy, repeatedly experiencing the most sexual and enjoyable parts of your life without ever letting you grow tired of them—as a result, the pleasure you experience is 9 times what you felt originally.
It’s very easy to grow trapped within it, unable to bring yourself to leave your memories. Yours, however, can safely be shut down from the outside without causing any mental damage to those within (unless you want it to). It comes with an instruction booklet on how to modify the machine to let people relive other kinds of memories, apart from sexual ones.</t>
  </si>
  <si>
    <t>Mental Voyeur</t>
  </si>
  <si>
    <t>The thing about an All-girl school like La Belles Fleur, there are no guys around. So the lovely young ladies have to imagine their encounters with these fictional partners. You are now privy to these idle erotic fantasies. By simply focusing on someone for a few moments, you can witness, and slightly participate, in their lewd daydreams. Yes, there technically is not contact, but you can learn a lot about a person from her fantasies. Such as where they likes being touched the most, for instance.</t>
  </si>
  <si>
    <t>Never Give Up</t>
  </si>
  <si>
    <t>Your willpower is incredible, and more than a little magical. Your mind will instinctively fight back against hypnosis, corruption, and other effects that would twist how you think and perceive the world. It won’t give you immunity, but eventually you’ll b e able to fight your way out of even the most powerful mind - affecting effects. Anyone seeking to keep you under mind control against your will is going to find that they need to re - cast the spells needed in order to do so. And then, as you get better at fighting against it, they’ll need to cast them again, more quickly. And again, and again, until eventually you’ll fight off the spell almost as soon as it is cast. However, this protection is dependent upon returning you to the state desired by your uncorrupted self; it what you seek is to fall to depravity, it won’t protect you. Likewise, if you only seek to dabble in being controlled, it will refrain from freeing y ou until you’ve had your fill (or rather, what an unhypnotized you would consider to be enough, rather than what you in your hypnotized state would desire, which would probably be to remain under hypnosis).</t>
  </si>
  <si>
    <t>Only Sometime Stealthy</t>
  </si>
  <si>
    <t>Subtlety and you have a pretty interesting relationship. On the one hand, you could get a number of tattoos proclaiming your utter servitude to black men and somehow keep them a secret from everyone for months on end. On the other hand, you could arrange for pretty much anyone you know to ‘accidentally’ spy on you getting utterly wrecked by him. And back on the original hand, he might not even know you’re a devil. Like I said, it’s an interesting relationship. In any event, you’re a pretty dab hand at applying memory manipulation when you desire to do so, the use of magic to smooth over the edges and make it look like nothing important happened here solving a lot of problems for you. Make no mistake, you’re not reliant on it, and you can set things up so someone walks in on you getting ruined, but magic is where you shine.</t>
  </si>
  <si>
    <t>Our Little Secret</t>
  </si>
  <si>
    <t>If you need to keep a secret, you are excellent at doing so. You will never feel any temptation to spill it, and you will never slip up and accidentally mention or reference it when you shouldn’t. However, this perk also applies to anyone else you need to keep your secret, unless for whatever reason you don’t want it too.</t>
  </si>
  <si>
    <t>Pace Yourself</t>
  </si>
  <si>
    <t>When trying to drive monster girls to the heights of pleasure it’s often important to avoid going over the edge yourself in the process. This perks provides you with a portion of much-needed self control, enough to prevent yourself from climaxing when balls deep in an Imp. At least, not until she climaxes first.</t>
  </si>
  <si>
    <t>Personality Reinstated</t>
  </si>
  <si>
    <t>Far more insidious than mere control is those artefacts that change you instead. Who needs to order you to do something when they can make you believe you always wanted to do it, make you so depraved you’d say yes to anything or just erase your personality outright and turn you into a loyal machine. Not any more, your mind and the rest protected from these changes. But you can always indulge if you feel like it, allowing for changes or damage to be done on a superficial level while keeping everything actually important buried deeper, watching as others toy with your mind and spirit for their own pleasure, able to revert the changes once you finish shaking in the aftermath.</t>
  </si>
  <si>
    <t>Prepared for Eternity</t>
  </si>
  <si>
    <t>Elves don’t actually live forever. But they do live far longer than any human, and over the course of an extended lifespan, the little pleasures of life can grow dull. Well, maybe they do for humans, but not for you. You never grow used to positive experiences... when it would benefit you, at least. Every sunrise you see will still provoke the same sense of wonder that watching the sun come up the first time did. Every time you meet your friends, that friendship will still burn just as strongly as ever. Every time you hug your beloved, it will make your heart beat just as strongly as it did when you first embraced them. And when your partner plows your ass into the bed, you’ll never have to worry about getting bored from repetitiveness. You could easily stay with one partner for the rest of time, and it will never grow stale.</t>
  </si>
  <si>
    <t>Pride Before the Fall</t>
  </si>
  <si>
    <t>Your opponent is never as vulnerable as when they think they have you all figured out. You can choose to give off an aura that makes select people within your presence feel totally in control of the situation, secure in their beliefs that they have accounted for everything until they are proven wrong. Helpful if you’re trying to subvert someone stronger than you.
Alternatively, if you are in a position of power over them, you can make them hyper-aware of that fact and make them feel vulnerable; when it comes to hypnosis, admitting the possibility of defeat is basically as good as admitting defeat. Helpful if the person you’re trying to hypnotize is so overwhelmingly more powerful than you that any other attempts at subverting them might not work.</t>
  </si>
  <si>
    <t>Ring of Orgy</t>
  </si>
  <si>
    <t>A simple silver ring hiding a devious secret. The power... To start orgies! Once per day, at a time and place of your choosing, everybody near you will spontaneously become DTF. Even if you can only hold the attention of one or two people, everyone else will just end up fucking each other rather than you. Passerbyers who weren't originally in range might end up masturbating to you. Won't make people ignore gender preferences, and the sex itself isn't anything hardcore, but everything else is fair game.</t>
  </si>
  <si>
    <t>Rosy-Cheeked Snake</t>
  </si>
  <si>
    <t>As a child, were you perhaps mistaken for an angel once or twice? With the air of innocence about you I cannot imagine that something similar didn’t happen at least once, but in truth you’re more an incubus than anything else. You have a nameless charm that fascinates women, drawing them into spending more time with you than is wise and allowing you to take certain liberties with their friendship without arousing their suspicions until it’s far too late for them. This effect can also take hold of men, making them assume that you’re simply a child, pure of mind and heart, so much so that they’d overlook obvious warning signs of your true nature, like the smell of sex and the shaking legs of the wife you’d just finished impregnating. If they had a lust to match yours perhaps they could sense your true nature, but otherwise? Innocent is all you are.</t>
  </si>
  <si>
    <t>Scary Story</t>
  </si>
  <si>
    <t>Once upon a time, in the middle of a cold dark forest, there was some sexy beast that snatched people up and spirited them away to its lair to stay warm, all night, the end. That’s kind of a shit story. Why do you keep hearing it? 
Your existence has a memetic quality that causes stories of you to crop up even among those who should have no knowledge of you. Hushed whispers and campfire stories appear regarding who you are, what you are, and what you want.
Some may be threatened by this vague knowledge, while others discount the stories as some made up boogeyman. The stories dig deepest in those with darker desires however, drawing them like moths to your flame.
Those who want you, whether consciously or not, will seek you out in some way. It’s because they want you that even if they were once some great hero, they’ll still feel limp in your presence. An eventual cult may not be out of the question.</t>
  </si>
  <si>
    <t>Sempai</t>
  </si>
  <si>
    <t>Whenever you do something forbidden with someone else, they won’t use your name while discussing it, but rather use a nickname.</t>
  </si>
  <si>
    <t>Take Me Instead</t>
  </si>
  <si>
    <t>How noble and self-sacrificing of you, offering yourself to suffer in place of a friend. When things seem hopeless and the villains have the upper hand you can offer yourself to an enemy to help someone else escape a bad situation. Whether it’s a blackmailer who wants to exploit your friends for money or a youma who wants to drain all their energy you can offer yourself as a substitute and will almost always be taken up on the offer. They’ll even keep their word about letting your friends off the hook. In fact the only time this perk won’t work is if the villain is after something very specific, like a plot device that you don’t have.</t>
  </si>
  <si>
    <t>Taking Advantage</t>
  </si>
  <si>
    <t>People just have a way of telling when you want to be fucked. When you leave yourself open and vulnerable, or otherwise are unwilling to fight back against sex, people who would be interested in fucking you can tell. And they’ll take you, right then and there. Somehow, your partners never get in trouble for this, even if they fucked you in front of an entire crowd full of people.
But what if that’s a bit too extreme, and you just want someone to feel you up? Or you don’t mind the sex, but don’t want them to make it so open that everyone sees it? Well, your molesters will never take this further than you’re willing to go. You can also use this on a very low level to simply indicate to people that you’re open and willing to establish a sexual relationship, and just waiting for someone else to make the first move.</t>
  </si>
  <si>
    <t>That Sort of Reputation</t>
  </si>
  <si>
    <t>Sometimes people, jealous people, try to disparage the reputation of a Hedonist like you but their efforts are in vain. Your reputation can never be tarnished by your legal and consensual sexual activities, its spread will only ever paint you in a positive light. Those who attempt to slander you as a manwhore or a loose woman or who falsely accuse you of rape find their attempts backfiring as people either see through their deceptions or become unwillingly impressed, intrigued, or in awe of your prowess. This perk also ensures there are no hard feelings over breakups or one-night stands save for extreme cases like the dreaded yandere.</t>
  </si>
  <si>
    <t>The Great Tempter</t>
  </si>
  <si>
    <t>Sin’s hardly something to get so worked up about. Everyone’s sinning all the time. You and your boys? Well, you’re just more open about it. And you’re rather good about getting others to be open about it too. Something about you tempts everyone around you into bad ideas and lowered inhibitions. In front of you, people consider terrible things that would normally disgust them and find that the apparent downsides of what you offer become far less noticeable, with the upsides being far more pronounced. The act of cheating on their spouse suddenly seems far less egregious in their minds, especially compared to the pleasure they know they’d feel with you. Taking one more loan from you only has them thinking of the extra hit they could buy and not the long term consequences.</t>
  </si>
  <si>
    <t>The Quiet Ones</t>
  </si>
  <si>
    <t>A Dickgirl who walks around with her dick hanging out and constantly talking about how many men she’s fucked up the ass is something that most men will instinctively fear. A nice and quiet Dickgirl on the other hand, who never boasts and does her best to hide her massive erection will probably arouse little to no suspicion - which of course, makes them the best at being naughty. Whether it’s covering your brothers bed in cum while he’s sleeping in it or filling someone's cup with your cum while they look away, people are exceptionally unobservant about your exploits, and often fail to notice them until it’s all but shoved in their faces - for example, if you’re careful, your brother might think that he’s the one who made the mess.</t>
  </si>
  <si>
    <t>Through the Shame</t>
  </si>
  <si>
    <t>Maty never did reach the point of walking naked in public like Drive wanted, but maybe you could? You have the ability to function through any degree of shame. No matter how embarrassed you are, or how much shame you feel, it will never inhibit your ability to function or your decision-making process. Note that this doesn’t prevent you from feeling embarrassment, it just ensures that you can keep doing whatever you decided to do despite how you feel.
This same willpower that allows you to function despite your shame is also useful for other emotions; keeping calm despite your anger, staying focused despite your fear... it’s a pretty versatile tool.</t>
  </si>
  <si>
    <t>Tight Lips</t>
  </si>
  <si>
    <t>Everybody has urges, but everyone has a reputation to consider too. You can’t risk having any unfortunate rumors spreading around. When you have sex, you can easily convince your partner of all the horrible things that will befall them if they squeal. Even if you obviously can’t have the ability to act on those threats, all your fuck buddies really will keep their lips sealed on the matter, just to be safe.</t>
  </si>
  <si>
    <t>To Soothe the Savage Beast</t>
  </si>
  <si>
    <t>With all those Monster Girls and such wandering around, someone is eventually going to think about taming them and harnessing their power. And apparently, that someone is you, but the nature of this world means that taming is going to have a special meaning. 
You can “tame” savage or monstrous creatures by having sex with them. This is considerably faster and more effective than more conventional methods of domestication or conditioning. Even one sexual encounter would make a beast far less willing to harm you. A half a dozen romps in the sack could turn a dangerous beast into a loyal though still domineering friend. A couple of dozen and that friend will follow your commands. More powerful and more willful beasts will require more effort and time for taming. And, of course, the better the sex, the more powerful this taming effect becomes. 
Please note, this works on both creatures of less than human intelligence and those of human intelligence that are heavily influenced by their more primitive instincts. It also makes them more likely to have sex with you before killing you, giving you an opportunity to put this perk to work if you want to.</t>
  </si>
  <si>
    <t>Use My Body</t>
  </si>
  <si>
    <t>Just like the titular Krystal, you’re oh so tempting. A body like yours should be taken at the first opportunity, don’t you think? So what if you’re having a conversation with some Sharpclaw females, provocatively bent over the bar with your tail high in the air? That shouldn’t stop them from breeding you silly! If you so choose, anybody who’s interested in you will show their interest by simply taking you where you stand. Note: this doesn't stop the reprecussions of this happening.</t>
  </si>
  <si>
    <t>Voyeur</t>
  </si>
  <si>
    <t>When infected men find female infectees, they’re allowed to give them treatment right away—no matter where they are or what they’re doing. This means a lot of very public sex. And while there are certainly people who object, when it comes to you? No one really minds. Everyone is fine with you watching them have sex, even in a private setting. The fucking couple might even ask you to help them, and won’t even ask what you’re doing in their house.</t>
  </si>
  <si>
    <t>Yorou Scroll</t>
  </si>
  <si>
    <t>Rance 1 - The Quest for Hikari</t>
  </si>
  <si>
    <t>This rare item is used to flip out the personality of the target. Meek people become bold and prudes transform into sluts. The effects only last for an hour, so don’t freak out much. You get another one after use. Good for pranks.</t>
  </si>
  <si>
    <t>Acceptance</t>
  </si>
  <si>
    <t>You have acceptance. It is genuine. You may give it to anyone else and they will recognize that it is genuine and personal to them. You’d be surprised at how much being genuinely accepted for who and what you are can change a person. Of course, this also means that you know and accept who and what you are. You can see past all self-deception and know the truth of yourself. This perk can be freely shared with others.</t>
  </si>
  <si>
    <t>Believe It!</t>
  </si>
  <si>
    <t>What sort of man would you be if you couldn’t even sense when your loved ones are in trouble? You have a well-developed sense of empathy and can easily tune in to the moods of your friends and loved ones to figure out what their needs or desires are, both sexually and otherwise, without them even needing to say anything about it. This exceptional attentiveness makes you almost literally too nice to cheat on, and your partners gain a substantial willpower boost against any attempts to make them betray you. Even if one of them does succumb to temptation, simply by being your usual attentive self you can win back their loyalty and patch things up.</t>
  </si>
  <si>
    <t>Childlike Wonder</t>
  </si>
  <si>
    <t>Immortality can be a lonely, bitter road for many. Seeing friends die, having once beloved experiences becoming dull and mechanical or even having new experiences eventually all blend together for as many times as you’ve experienced them. It can be hard to care about things. For most immortals except for you, that is. You’ll never seem to tire of life, living it or finding new experiences. Your favorite food will remain your favorite, and taste better to boot. It’s like you’re back to being a child, with all of the wonder that comes from it as well. 
You’ll always find a good time, or a fun new adventure if you look for it, even making one up from something as boring as going to the store. You have this good-natured youthfulness about you that people both notice and become attracted to, as well as a kind of simple-minded wisdom that manages to break past even the most cynical of hearts. This wonder can also infect those around you, allowing you to revitalize once dead or tired hearts once more, allowing you to help them see what you do in life, in turn helping them revitalize others as well.
(Note: Does not provide a form of Immortality)</t>
  </si>
  <si>
    <t>Exhibitionism</t>
  </si>
  <si>
    <t>Why should the fact that you’re in public keep you from having fun? Nobody will ever put up any serious objections to you fucking them in public, and it’s more likely that they’ll get off to the stares of other people than find it embarrassing—or rather, what embarrassment they may feel only enhances the experience. You also somehow never get in trouble for having doing lewd things out in the open, even if you do it on a crowded train full of people.</t>
  </si>
  <si>
    <t>Hypnotic Focus</t>
  </si>
  <si>
    <t>Every hypnotist worth the name has some sort of hypnotic focus to assist them in inducing trance. This Item, be it a pocket watch, pendant, bracelet, ring, or something else, is exquisitely made, a work of art as much as it is an accessory. It is supernaturally fascinating, capturing the attention of anyone else who gazes at it and lessening the time needed for an induction by an order of magnitude. It cannot be stolen or destroyed, and unlike normal hypnotic foci, it cannot be taken advantage of by a victim to turn your hypnosis attempt around on you.</t>
  </si>
  <si>
    <t>I Know Who You Are</t>
  </si>
  <si>
    <t>Often times, revealing that you know someone’s secret identity is a dangerous thing. You never know how they’re going to react. Well, now you get to choose. Promise to keep it a secret, and they’ll treat you well. Develop a friendship. Maybe even become lovers. Threaten them, and they’ll beg you not to reveal it. Doing almost anything you ask to keep that info a secret.</t>
  </si>
  <si>
    <t>It's Like Some Sort of Contagious Disease</t>
  </si>
  <si>
    <t>Yoruichi gave Orihime a dick to help her vent, then gave herself one because it looked hot. Then Tatsuki wanted one so she could keep up with Orihime, then Soi Fon wanted one because she’s obsessed with Yoruichi. 
Your fetishes - and to a certain extent, body modifications - are practically contagious. When people see how much you’re enjoying them, they can’t help but want to join in and get a futa dick of their own.</t>
  </si>
  <si>
    <t>Manipulative Slut</t>
  </si>
  <si>
    <t>You know exactly how to get your way without ever lifting a finger. So long as someone is even remotely attracted to you, you can play them like a fiddle. This needn’t be malicious, as you could use this for positive reasons as well, but you naturally know just how to act and speak, just how to move and just what to say and when, so that your mark does just about whatever you want them to. While this does have its limits, only those with incredible social awareness would ever be able to piece together that you’ve been twisting them for your own aims.</t>
  </si>
  <si>
    <t>Only as Old as You Feel</t>
  </si>
  <si>
    <t>Shitone might have been more than 400 years old, but she flip-flopped constantly between demanding to be treated as an adult, and demanding to be treated as a kid. Well, you won’t have to make those demands, because people will always treat you like the age you want to be. If you want to be treated like a kid, people will let you get away with things that only kids could get away with, or let you benefit from child-exclusive meal deals. If you prefer to be treated as an adult, then even if you appeared to be a child people would still give you all the respect given to a grown-up.</t>
  </si>
  <si>
    <t>Painting the Roses</t>
  </si>
  <si>
    <t>As long as you have the proper paint (mundane kinds suffice) and ability to physically apply the coat, you can permanently paint targets entirely either red or white. The paint will not come off unless extensive magic is used or you repaint the individual. As white symbolizes purity, things painted white gain a submissive nature and induce lust in observers; in contrast, red subjects are granted dominating personalities and increased libidos that make observers more submissive to the red beings’ advances.</t>
  </si>
  <si>
    <t>Public Displays of Violence</t>
  </si>
  <si>
    <t>In public, you can carry or present yourself however you want, as long as you can justify it as an extension of your career or recreation. A member of the kendo club could swing around a wooden sword as long as nobody gets seriously hurt. For a Karatake or gymnast, as long as you cover the important bits, people won’t freak out too much when they see up your skirt mid-kick.</t>
  </si>
  <si>
    <t>Punitive Measures</t>
  </si>
  <si>
    <t>So long as someone sees you as an authority figure, they will not find any punishments you give them unreasonable or inappropriate. They may complain or actively dislike them, but they will not see them as something that they can or even should try and prevent you from enacting, and will always, eventually, follow through, whether that means being your slave for a week, bare-bottom spankings at 22, or never dating anyone but yourself.</t>
  </si>
  <si>
    <t>Regain Your Humanity</t>
  </si>
  <si>
    <t>Stopman</t>
  </si>
  <si>
    <t>Being pregnant with your kid genuinely makes women a better person. Assuming you don’t mindbreak them into a living sex toy at least.</t>
  </si>
  <si>
    <t>Request</t>
  </si>
  <si>
    <t>Just a little bit can’t hurt right? Despite all the dangers, sex in this world does feel great, generally speaking. Now you can enjoy it exactly the way you want to. You can now request your partners for specific types of sex, such as titfucks, blowjobs, anal, etc; or even more complex requests like getting a double paizuri or having them use their mouth and breasts. Unless they are heavily averse to the action, or if the action would be at a great cost to themselves or their life goals, they likely won’t mind and will fulfill your request to the best of their ability, assuming you don’t take any hostile action against them. Be warned however that once they have fulfilled your request there is no assurance that they will stop despite your pleas that you have had enough. Of course that isn’t all this provides, you can also gain a sense that allows you to see what kinds of sex acts an individual is best at. Those you request sex from will also tend to treat you nicer than those that you would otherwise fight, with some charm and charisma maybe even going so far as to befriending them and asking them for non-sexual favors as well, such as for example not keeping you as a slave and maybe accompanying you on your journey.</t>
  </si>
  <si>
    <t>Rings of Linking</t>
  </si>
  <si>
    <t>​A set of 5 rings, meant to link the wearers’ minds. This allows them to explore each other’s thought and emotions. Or share feelings. Like orgasms. If a ring is lost or stolen, it will reappear in 24 hours. Stolen rings will disconnect from the network.</t>
  </si>
  <si>
    <t>Sex License</t>
  </si>
  <si>
    <r>
      <rPr>
        <sz val="13"/>
        <color theme="1"/>
        <rFont val="Calibri"/>
        <family val="2"/>
      </rPr>
      <t xml:space="preserve">Mankind is teetering on the edge of extinction. World War 3 ended with a biological weapon running rampant, reducing the male/female ratio to a terrifying 1 to 20,000. As such, the 'Humanity Freedom Foundation' has seen fit to issue these Lisences. Any woman presented with this license MUST let you fuck an impregnate her- with a single caveat. To prevent abuse, each woman has a 'fee' that must be paid dependant on her attractiveness, social status, and how sought after they are. Still, once paid, then you can get to the baby making! Oh, and you get a cool 1000 of your local currency on each confirmed impregnation.
Yes, women that you use this on will 'know' their fee. As long as you present the License, they won't even find you asking strange, though that doesn't mean they'll be </t>
    </r>
    <r>
      <rPr>
        <i/>
        <sz val="13"/>
        <color theme="1"/>
        <rFont val="Calibri"/>
        <family val="2"/>
      </rPr>
      <t>happy</t>
    </r>
    <r>
      <rPr>
        <sz val="13"/>
        <color theme="1"/>
        <rFont val="Calibri"/>
        <family val="2"/>
      </rPr>
      <t>. No, you can't use this to just 'have a little fun', the chance of impregnation is required. If you're a woman, that means you're out of luck...unless you use this on a guy.</t>
    </r>
  </si>
  <si>
    <t>Sexual Healing</t>
  </si>
  <si>
    <t>For some strange reason Pomegranate Syndrome is not the only thing that sex with you can help with. It treats (but doesn’t cure) any other disease you can name, returns people to sanity, and with enough effort, generally removes character flaws from the individual in question. Note that actual injuries are not on that list, you’re going to have to heal them the old fashioned way. Suffice to say, people are willing to give you a lot of slack for the use of this ability, it’s a legitimate medical technique after all.</t>
  </si>
  <si>
    <t>Super Sensory</t>
  </si>
  <si>
    <t>You are sensitive to other, more non-human entities. You're capable of feeling them or just outright knowing where they are or even who they are bonded to or romantically involved with if you make an effort to do so.</t>
  </si>
  <si>
    <t>The Choice Choreboard</t>
  </si>
  <si>
    <t>Any members of your household who are aware of this choreboard will find themselves compelled to perform any tasks that are written on it in whatever way the board specifies, and will not find these specifications odd in the slightest. “Do the dishes in the nude?” Sure thing! “Wake up Master/Madame with some oral sex?” Well, it is my turn after all. This has no effect on the actual disposition of your household, only on these specific actions. So while you might get some sex out of it if you can work it into a chore, this won’t enable you to turn your family into your willing slaves. At least, not without some other perks or items.</t>
  </si>
  <si>
    <t>The Pedastal</t>
  </si>
  <si>
    <r>
      <rPr>
        <sz val="13"/>
        <color theme="1"/>
        <rFont val="Calibri"/>
        <family val="2"/>
      </rPr>
      <t xml:space="preserve">A pair of invulnerable panties that cannot be removed or destroyed unless you will them to be. The Pedestal in panties form always protects your modesty and chastity, no matter how close it comes to slipping off, and prevents anyone else from "using you" to your fullest powers without your consent.
Another person could have full physical control and mental possession of you, and still The Pedestal will prevent them from misusing you and your powers except in the most minor of ways.
They contain the power of </t>
    </r>
    <r>
      <rPr>
        <strike/>
        <sz val="13"/>
        <color theme="1"/>
        <rFont val="Calibri"/>
        <family val="2"/>
      </rPr>
      <t>God and Anime</t>
    </r>
    <r>
      <rPr>
        <sz val="13"/>
        <color theme="1"/>
        <rFont val="Calibri"/>
        <family val="2"/>
      </rPr>
      <t>, so even if someone with the incredible strength to rip them off comes along, that being will find themselves prevented from doing so by sheer luck or happenstance.
If panties are not to your liking, you can choose another undergarment for them to take the form of, and incidentally they are always comfortable and clean.</t>
    </r>
  </si>
  <si>
    <t>To Each his Own Peculiar Mania</t>
  </si>
  <si>
    <t>The 120 Days of Sodom</t>
  </si>
  <si>
    <t>This tale covers 600 different passions, and you may now choose to find pleasure in any activity. The nature and intensity of that pleasure may vary, you need not indulge if you do not wish to, but henceforth there is no experience which you would be unable to appreciate as at minimum a pleasant way to pass an afternoon. Any deeds that harm others delight you in equal proportion to the anguish caused, for discordance and inequality please Nature, as is apparent from their prevalence, and you thus serve her true intentions.</t>
  </si>
  <si>
    <t>Turncoat Wardrobe</t>
  </si>
  <si>
    <t>A mastermind needs an army and an army needs uniforms, so why not outfit your minions with something pleasing to look at? This wardrobe of erotic outfits is an insidious tool of any supervillain fond of enslaving his enemies or recruiting vast armies of servants. Whether you prefer tight-fitting military uniforms, skimpy maid outfits, or a humiliating parody of a captured heroine’s costume, these finely-crafted outfits offer just as much protection as top-quality military body armor or a very well-made superhero costume, regardless of how little skin cover they provide. 
However the real benefit of these outfits is how easy they make it to control your minions: each uniform contains hidden mind control devices which use subliminal messaging to condition the wearers for submission and obedience, slowly transforming them into the perfect servants for your nefarious schemes. Supers are more resistant to this effect than normal humans are but even the most willful heroine can be brought to heel simply by being dressed in your colors for long enough.</t>
  </si>
  <si>
    <t>Universal Heart</t>
  </si>
  <si>
    <t>A gift from a goddess. The quality to understand the hearts of all living things. Plants, animals and even monsters. Without a word, you can communicate with others, completely understand their perspectives and work out how to easily bring harmony between targets. In more desperate situations, a heroine might be forced to use this understanding to easily brainwash those with less than heroic wills. 
Unfortunately, this same understanding is highly vulnerable to varying levels of madness. Seeing things from their perspective can infect you and even force you to change into what they believe is right. Don’t go looking inside a goblin’s head unless you want to spend the rest of your life as a servile breeder-cow.</t>
  </si>
  <si>
    <t>Villainous Temptation</t>
  </si>
  <si>
    <t>Heroes think they have a monopoly on saving people but that’s not true at all. Villains can also be helpful sorts when the mood strikes them; after all, what better way to wrap someone around your fingers than to have them hopelessly indebted to you? While this perk won't give you any supernatural powers to do so, much like the devil you have a way of cutting deals which appear beneficial at first glance but and with you owning your debtors in body and soul.
Give a homeless woman a place to live or grant superpowers to a young woman with dreams of heroism and you’ll gain loyal followers for life... even when that homeless woman becomes your live-in sex slave, while the young heroine turns into a mole helping you bring down the rest of her team. Of course it takes quite a large debt to gain such powerful influence over a person; by comparison insignificant gifts will only gain you insignificant influence but once you have a person truly in your debt it doesn’t matter how determined to oppose you they might be. If push comes to shove you can simply take your gifts back, though at the cost of your influence.</t>
  </si>
  <si>
    <t>A Good Book</t>
  </si>
  <si>
    <t>One of the best-kept secrets on Earth is that the gods aren’t really any more benevolent than demons are where humans are concerned, they just have a better PR department. This tome is useful for recruiting a host of followers to your side: within its pages are stories about yourself and your adventures or those of your companions, either pulled from your previous adventures or invented out of whole cloth. These tales are framed as morality plays and philosophical texts taking convincing arguments for a reader to worship and obey either yourself or another being of your choice. The more time that a person spends reading this holy text the more convinced they become of the rightness of its contents and the harder it becomes to dissuade them from following you or your patron. Any copies of this book will also retain these benefits. You are, naturally, able to quote any passage in this book regardless of whether you’ve read it or not.</t>
  </si>
  <si>
    <t>A Homerun from Outta the Strike Zone</t>
  </si>
  <si>
    <t>Sometimes gentlemen prefer blondes and other times a woman isn't interested in a man. This can cause issues when someone you're interested in isn’t interested in people 'like you', but with this perk you can avoid all that. Other people's preferences and prejudices (be those based on gender, skin colour, nationality, social status, or anything else) never impede your ability to seduce or pleasure them. This does nothing to change their sexuality or whatever the impediment is, you’re just an exception to the rule no matter what the rule is. Moreover the stronger and more unreasoning that aversion would be, the greater the boost there is to how good the sex is. You will not become addicted to this, but the same may not be true of a sufficiently bigoted partner.</t>
  </si>
  <si>
    <t>A Maiden Should not Waste Away</t>
  </si>
  <si>
    <t>Those pure virgins you defile so, and lock away in your caverns deep, did you think them useless upon the birth of your child? It’s not so, despite what you might think. You possess a spell that alters the mind, something I recommend you cast as you make her yours. Upon casting it, the woman will find herself yours in body and mind - she cannot bear a second child for you, but surely you don’t need that in order to enjoy the warmth of her body? Or perhaps she could help care for your next conquest...</t>
  </si>
  <si>
    <t>A Proper Princess</t>
  </si>
  <si>
    <t>Be it through charisma or coercion, convincing people to wait on you hand and foot is often as simple as asking. Those with weak wills won’t think twice about lowering themselves to your underlings, or even furniture. This loyalty will be shallow and short-lived if you fail to deepen your bond or neglect their needs. This doesn’t work on those with strong personalities.</t>
  </si>
  <si>
    <t>An All New Sport</t>
  </si>
  <si>
    <t>Even with hypnosis powers this is a bit silly, isn’t it? For some reason, when you create a new sport or activity, even as something as lewdly ridiculous as an orgasm-counting game where the female participant wears Bloomers, not only will onlookers not intervene but you’ll find your invention becoming quite popular. Hope you didn’t make anything too cringeworthy because you can expect people to praise you for your innovation.</t>
  </si>
  <si>
    <t>Bondage Queen of Hearts</t>
  </si>
  <si>
    <t>You have a sadistic aura of authority around you that seeps into your demeanor. In your interactions with others, it makes them more likely to be submissive. In fact, as long as your punishments are not overly cruel, the “victims” love to be punished and will eagerly report any mistakes they make in hope of suffering your royal edict. After you exhibit yourself in a dominant way enough, people will retain their desire to be dominated/punished by you even when you are nowhere near them. Furthermore, people you are chasing with the intent to capture start to unconsciously desire to be caught by you in the end. As a result, they will subconsciously turn the pursuit to your favor by slowing themselves just enough for you to keep up and letting themselves pause in distraction at the most inopportune moment. Even so, if people are really desperate to escape, they will resist.</t>
  </si>
  <si>
    <t>Bottom Line</t>
  </si>
  <si>
    <t>Money is power. This has never been more true than in the neon era, where the only true authority is that of the corporation. But you have truly taken that old adage to heart. Wealth and influence quite literally grants you power over others, in the form of a dominant aura that scales in strength with the difference in status and means between you and other people. Your presence, charisma, and the lust you inspire are all magnified by an amount that is roughly equal to how much greater your net worth is compared to others. Not only that, but the effect is further amplified for people who actually work for you or are otherwise subject to your authority, affecting them even at a distance. Any such employees and subordinates grow noticeably more submissive and enamored with you as time goes on, depending on their own wealth and how directly they work for you. It would take some time to meaningfully affect a wage slave on the other side of the planet or an equally rich colleague who only technically reports to you. But an intern assigned to assist you directly? They’ll be on their knees on their first day. And if you were to rise up high enough to head your own corporation, you would soon become all but unquestionable within its ranks.</t>
  </si>
  <si>
    <t>Brain Dead Cows</t>
  </si>
  <si>
    <t>Sure, you might just be an ordinary villager but after the last three heroines were instantly hypnotised, you’d hope that the others would put at least some effort into taking you on. But no, these heroic halfwits will stand and challenge you at close range, stopping for a minute to give a speech on who they are and how they will punish you, even knowing you have a sight based hypnosis technique that none of their friends have defeated. Your enemies, or anyone you consider such, constantly underestimate you to a patently ridiculous level. Even a Goddess that watched you do this to all the great heroes and should know the tool you use could control her would just forget about the danger and come down to announce her fury in person. 
Even after you’ve beaten them once, people stay like this to a significant extent, like the master witch only exclaiming her shock at how impossible the situation is when your hypnosis of her wears off mid intercourse, rather than actually using her powers to get free before you trap her again. If you push it really far it will hit a limit. Someone might not react the first time or two you drop your hypnosis but the third one would have her go for the kill instantly. Similarly, taking down the entire party of the hero will see her deadly serious from the first moment of your actual fight with her.</t>
  </si>
  <si>
    <t>Clean Break from Reality</t>
  </si>
  <si>
    <t>Shortly after Itachi was changed, dosed with the other hentai drugs from Kabuto, and molested, his girlfriend came over to the house to hang out with him. Only surprise surprise, Itachi can no longer get married because he’s a woman! His girlfriend did not handle that well. Anyways, following that... I’m not sure how the hell Sasuke pulled it off, but even his parents didn’t seem to have much issue with the sudden change. In short, you’re really damn good at convincing both the victim and the witnesses that any changes you force upon them were actually their idea, or aren’t so bad after all, or something equally stupid along those lines.</t>
  </si>
  <si>
    <t>Defeat Means Skinship</t>
  </si>
  <si>
    <t>When you defeat a female opponent in sport or combat, she’ll think it’s entirely reasonable for her to take her clothes off for you in exchange, in addition to any other due wagers or prizes. Most girls will want at least a modicum of privacy first, and the distance she’ll go depends on the severity of the loss—a photo finish in your favor may only get you a little tease of skin, while a total, crushing, humiliating defeat can evoke not only complete nudity, but masturbation and use of toys as well. Only covers looking, not touching—actual sexual favors must be negotiated as normal and are likely to be refused if the subject doesn’t actually like you. May be freely toggled off and on in case the subject in question isn’t someone you actually want to see naked.</t>
  </si>
  <si>
    <t>Demonic Blood Soul</t>
  </si>
  <si>
    <t>Rance 3 - The Fall of Leazas</t>
  </si>
  <si>
    <t>Inherent to most (if not all) Dark Lords, but for some reason not all of them take advantage of it: the ability to make apostles. Long story short, apostles are your personal servants that you make by giving a little of your blood, granting them the boon of ageless immortality for as long as you live, as well as a general power boost to make them useful. The ritual also makes them incredible loyal to you, but there’s no inherent power over them, like the Demon King has over Dark Lords. At the start you can only have up to 3 apostles, but the number will increase along with time and your magical strength.</t>
  </si>
  <si>
    <t>Don't Question, Just (Ab)use</t>
  </si>
  <si>
    <t>Hypnosis is a standard technique most Magi know, one used almost solely for the purpose of keeping the secret of Magecraft, well, secret. You however seem to have taken it to an art form, anchoring a specific piece of hypnosis to a structure or individual. Something along the lines of ‘the girl in the toilet is a toilet’ would be about what I expect from you. Maybe ‘the school uniform is nudity’, though obviously using this on a large number of people for an extended period of time is a tad bit costly. Maybe you should combine it with a bounded field that drains anyone who enters, forcing the participants in your little games to pay the cost of their own hypnosis? That would be a tad bit beyond your skill set though.</t>
  </si>
  <si>
    <t>Don't You Know Who I Am?</t>
  </si>
  <si>
    <t>Slave​ ​Maker​ ​3</t>
  </si>
  <si>
    <t>You’re important, and now, everybody who sees you will know it. You want to get into some big party, but you’re not on the guest list? No problem, the bouncers will let you in. You want a meeting with the king? He’d be more than happy to see you; how does tomorrow at noon sound?</t>
  </si>
  <si>
    <t>Earrings of Control</t>
  </si>
  <si>
    <t>A pair of pink orbs hang from these earrings, their contents foggy and unclear until activated at which point they’re revealed to contain the kanji for ‘Hypnosis’ and ‘Sleep’. Not only are they quite pretty if a little bit on the gaudy side but they also have a pair of potent enchantments on them. Firstly, all hypnotic effects you (as the true owner of the earrings) cast on the wearer are massively increased in potency and ease of use.
Secondly, the stronger your control is on the wearer, the stronger the earrings will make them in turn. As they fall deeper and deeper, they’ll find their vitality and magical power surging, ailments that would’ve weakened them before are now being shrugged off with ease and everything from their physical strength and speed to even their luck has been enhanced so that they might serve you even more effectively. The perfect adornment for your most loyal servant.</t>
  </si>
  <si>
    <t>Easily Forgiven</t>
  </si>
  <si>
    <t>Maybe the heroes are gullible enough to believe you’ve really changed or maybe you have the power of being a waifu on your side but either way people cut you a lot more slack than they really should. Even if you just tried to destroy all of the mortal races by awakening a demon king or openly declared your intentions to rape your sister, as long as you have a sob story or at least appear honestly remorseful for your actions they’ll welcome you back into the fold or otherwise give you the benefit of the doubt. Once.</t>
  </si>
  <si>
    <t>Elder Sister</t>
  </si>
  <si>
    <t>Chiyo stayed at the uncle's house for about two weeks before she went into town and interacted with a human other than Yuu. And of course, not a single person questioned her status as his elder sister. With that in mind, you can simply insert yourself into a person’s life as a family member (elder sibling by default), and pretty much no one will question it, not even your new sibling or parents. There’s only one requirement for this to work - you have to be invited in. A simple ‘I wish we were related’ will do, though I’m afraid you can’t simply take them over and force it out - that’s you inviting yourself in, not them.</t>
  </si>
  <si>
    <t>Equivalent Exchange</t>
  </si>
  <si>
    <t>Hyrule has become a deeply perverse place and almost everyone wants sex to one degree or another. That makes it a valuable commodity, almost more valuable than rupees in some ways, and you can use that to your advantage. You can pay for almost any good or service with sex rather than currency. Need a debt forgiven? Pay it in sex. Need to hire adventurers for a quest? Pay them in sex. Depending on what it is you’re buying you might need to have a lot of sex, or especially degrading forms of it such as a period of sex slavery or public use, in order to pay off what you owe, but your “currency” is honored everywhere, and its value is respected even by those who’d rather cheat you out of a conventional payment. Take care though, if you skip out on your debts your debtors won’t hesitate to extract what you owe them by force.</t>
  </si>
  <si>
    <t>Free Love Stickers</t>
  </si>
  <si>
    <t>As you know, one of Mizuryu Kei Lands control methods for who has how much sex is the sticker system. Free Touch, Free Kiss, and Free Sex. Or if you prefer, second base, first base, and a home run. You now have a mental switch that allows you to swap between the three settings - well, four if you count 'off'. Anyways, while on, anyone who sees you will immediately know that they have the right/privilege/permission to touch/kiss/fuck you. You can of course say no, but that defeats the purposes of buying this in the first place.</t>
  </si>
  <si>
    <t>Free NUT Ticket</t>
  </si>
  <si>
    <t>If you hand this coupon to someone, unless they are completely against sleeping with you under any circumstances, you will be allowed to have sex with them until you cum. They won’t turn on you afterward, but any continuation of your sexytimes will be based on your own skills in bed. If you haven’t exactly showered yourself in glory up to that point, you can expect them to shove your clothes into your arms, and you right out the door. If you use or lose your current one, you will gain a new coupon at the end of the month.</t>
  </si>
  <si>
    <t>Gender Boundries</t>
  </si>
  <si>
    <t>Congratulations! You are now a futa, a shemale, a hermaphrodite, or whatever the actual word for it is. Basically, a chick with a dick. You can design exactly how this manifests. And the fun thing about being a little bit of both genders, is that you can now qualify as whichever one you want in any specific situation. Walk into the girls’ locker room after gym? You're female. Start flirting with them? It's not gay, ‘cause you're a guy. Whichever is most convenient at any point, even if it contradicts itself.</t>
  </si>
  <si>
    <t>Girls are Girls</t>
  </si>
  <si>
    <t>There is a light at the end of the tunnel for slaves, if you are the one to rescue them. Simply through listening to your speeches (which may be entirely platitudes) people can forget their traumas and leave their past behind them. The image of you in someone's mind can act as a source of comfort and strength, letting them reform their entire lives simply by thinking of you.</t>
  </si>
  <si>
    <t>Horn of Power</t>
  </si>
  <si>
    <t>You can make a strange, ceremonial horn appear on your forehead. This gives you an aura of authority as an emperor, such that large numbers of people will eagerly carry out your commands; it becomes easier to assert your dominance if you give sexual themes to your orders and laws. It also gives you enhanced combat abilities befitting the sort of physically brutish yet cunning alien you’d find in a sci-fi horror movie; for instance, it allows you to make sharp claws emerge from your fingers to cut apart clothing, cause stone walls and other obstacles to rise out of the landscape, and also increase your strength to typical movie monster levels to ensure that your prey does not escape. For some reason, you also have a tendency to add the phrase “Pretty pretty” into your dialogue and refer to people as candy whenever you’re using this power.</t>
  </si>
  <si>
    <t>Hypnocard Decks</t>
  </si>
  <si>
    <t>These two decks of cards are for a lovely game by the name of Hypnocard. There’s one for a male player and another for a female one and as they draw cards they’ll find themselves forced to act out the effects like ‘Slutty Hip-Swinging Dance’ and ‘Anal Orgasm Attack’. The game continues until one of them plays the ‘Declaration of Defeat’ card and swears to be their opponent’s slave and sex toy, although that’ll only last beyond the game if they’ve been thoroughly dominated or are otherwise predisposed to doing so. Note that this is the balanced version of the game where it's actually fair to both players...unless someone misplaces one of the Declaration of Defeat cards but who would do that?</t>
  </si>
  <si>
    <t>Justice Drive</t>
  </si>
  <si>
    <t>To do the right thing you need to have power! Even if pure strength is out of your reach, you must use what you have to make a difference! You have much more control over your strength then most, be that the actual strength of your muscles, social clout or something more esoteric, giving you leverage to use that strength to pull off feats that others would balk at attempting.</t>
  </si>
  <si>
    <t>Let's Go Home Together</t>
  </si>
  <si>
    <t>I touched on this earlier, but let’s go back over it. Prina and Yuina? Head over heels in love with each other. Which means that all the tricks, traps, and trials that they get put through generally fail to make them less interested in the other. Much like their ridiculous love for each other, you can be snapped out of states of extreme lust and back into your right mind by even a handful of words from your loved ones. Or anger, or other mental alterations, as the case may be. But love isn’t one sided, so you can return the favor and snap them out of it just as easily.</t>
  </si>
  <si>
    <t>Matryoshka Slut</t>
  </si>
  <si>
    <t>True sluttiness is more than skin deep. Whether in your mind, your body, or even your soul, your sexual talent is omnipresent. Any attempt to steal or influence any of the three will result in the closest equivalent to molestation from the full brunt of your sexual skills. Those who invade your dreams will be at the mercy of transcendently lewd dreams, those who extract your soul will have their own assaulted by your spectral form, etc. You’re hardly invincible, but who’s ever really prepared to have an orgasm with their soul?</t>
  </si>
  <si>
    <t>Mental Gravity</t>
  </si>
  <si>
    <t>You possess a very subtle passive psionic aura that adjusts the emotions and, to a lesser extent, thoughts of people in your vicinity to your benefit. People find you incredibly charismatic. Negative emotions and opinions regarding you are dulled, and the positive of the same are brightened. Observations of vulnerabilities are slower to come and less likely to be trusted. Guards drop, ever so slightly.
When they think something positive about you, they help you, or you pay them a compliment, they feel a small burst of positive sensation — pleasure or joy or simple satisfaction, unnoticeable for how small it is but nevertheless there — and a similar burst of negative sensation whenever they think something negative about you, act against you, or feel they’ve disappointed you. Psychology and pavlovian reactions being what they are, this ensures that this Perk’s effects only build with time.
You can drastically increase the effects of this aura but at the cost of its subtlety. Still, might be useful if you ever need to give someone one final push. You can selectively exclude people from this aura, but by its very nature, it would only act and adjust things as you wish it.</t>
  </si>
  <si>
    <t>Miasmic Magic</t>
  </si>
  <si>
    <t>You can cast a spell that releases a special miasma, an invisible scent that lingers in the air and infects the minds of anyone who smells it. This haze fogs the mind, leaving those subject to it barely conscious and aware, and allowing you to easily command them into doing anything they would not be strenuously opposed to. Furthermore, you can place hypnotic commands that would come into play even after you abandon the miasma, although be warned that some people have a high enough willpower to resist this. This miasma costs almost no energy to release, so you can keep someone under its effects indefinitely.</t>
  </si>
  <si>
    <t>Nega Thot</t>
  </si>
  <si>
    <t>With such a vulgar nature as yours your enemies could be forgiven for assuming that you’d be simple to corrupt, a mere beast easily led astray by your base urges. But while they have you pegged as a pervert, when the chips are down your willpower is shockingly sturdy. Those who wield charm spells or seduction as their weapons of choice find that those charms are worse than useless against you. Not only will they fail to make the slightest dent in your willpower whether they use mundane charms or magical spells, but whenever you resist or ignore their charms they will become beguiled with you instead, as if you’d turned their own magic against them, mingled with your own charm. The same is true for those who are blessed with superhuman charisma, like the many great kings you’re sure to encounter. Those who depend most on their supernatural charms will be the first to find themselves bound and helpless in a web of their own making, turning even a goddess of lust and beauty into your plaything in no time.</t>
  </si>
  <si>
    <t>Ninja Art: Memory Erasure</t>
  </si>
  <si>
    <t>By using your ki to enter someone’s mind, you will be able to selectively erase their memories. This doesn’t let you see into their mind or memory; instead, you must know what the memory you want them to forget is, and then the technique will automatically censor their mind of the relevant information. Indeed, this technique is performed so finely that they will never even notice that their memory has been tampered with.</t>
  </si>
  <si>
    <t>No Reprecussions</t>
  </si>
  <si>
    <t>Teasing your new teach is so funny, ‘specially when he freaks out over you just showing your tits. It’s a good thing you go to Kurosagi, ‘cause that could have gotten you kicked out of most of the schools in the country. But for you, there just don’t seem to be social or legal consequences to inappropriate lewd actions you take, or sexual harassment that you engage in. Telling someone you want to fuck them within seconds of meeting them won’t permanently ruin their perception of you, stripping in class won’t get you in trouble, and walking outside with a bandaid in place of underwear won’t end with you getting the cops called on you, even if someone sees it.</t>
  </si>
  <si>
    <t>Number Ninety Seven</t>
  </si>
  <si>
    <t>Pokemon Harem Master</t>
  </si>
  <si>
    <t>I would call this the big guns, but honestly it doesn’t even qualify. This pokeball contains a Hypno. I’m not entirely sure how you got your hands on it, but it seems to like you well enough. Anyways, while the H Ball is good for surface level changes, making someone who dislikes you into someone who loves you, Hypno is far weaker... And far more precise. Trying to mess around with someone's head with Hypno’s help won’t get you very far, but if you already had an in? You might just be able to rewrite them from the ground up.</t>
  </si>
  <si>
    <t>Party Animal</t>
  </si>
  <si>
    <t>You always know where all the best hang out spots are, where the hottest parties are happening, and where people go for a casual hookup. You have a sixth sense for this kind of stuff and nobody ever minds you crashing a party or showing up as a complete stranger at a gloryhole. And if nothing good is going on? You’ve got the skills to throw the most epic of parties. When you do organize an event like a party, an orgy, or set up a glory hole, rumors always spread to the coolest and most attractive people around who would be interested, ensuring that you have enough guests.</t>
  </si>
  <si>
    <t>Pathetic</t>
  </si>
  <si>
    <t>Even weakened from being fresh off his resurrection, the Overmind’s hypnotic powers are beyond comparison. Attempting to use mind control against him is a fool’s errand, one that will more than likely backfire on whoever tries it.
You can smash through attempts to control your mind with ease, simply by blasting the source of it with your own power. All other forms of mind control are lesser than your own after all. Sadly you can’t undo the brainwashing of others with quite such ease, but you can interfere with mind control, corruption, or transformations as they are being applied, altering their effects into something more enjoyable. An intelligence-draining potion could be used to turn a mage into a horny bimbo when mixed with your magic, and a transformation into a golem could instead make them into a living sexbot programmed to serve you.</t>
  </si>
  <si>
    <t>Pet Project</t>
  </si>
  <si>
    <t>For one reason or another your enemies just… don’t particularly want to kill you. Maybe they want to corrupt you into their subordinate. Maybe they want to take advantage of your presence. Maybe it’s all part of their scheme. But whatever the reason, those who oppose you don’t really want to see you dead. Oh, if you get in the way enough and pose enough problems, they’ll do their best to kill you anyways… but as long as they see a chance to sway you to their side, or get some sort of benefit out of keeping you alive, they’re unlikely to try to kill you. This all but ensures that being captured by your enemies will never be your death, as your inability to fight back means that they never have a good reason to kill you.</t>
  </si>
  <si>
    <t>Respect My Age!</t>
  </si>
  <si>
    <t>I told you the world was rooted in lust, did I not? It should come as no surprise that once Chiyo was given permission to extract her payment, she did so often. Several times a day. And in many positions, sometimes while cosplaying. Anyways, you now have the ability to simply shut down any sexual situation. All you have to do is point out how wrong it is. Maybe ‘we might get caught’ in order to rein in her exhibitionist tendencies? If she has those.</t>
  </si>
  <si>
    <t>Romancing the Womb</t>
  </si>
  <si>
    <t>A number of the infected retain enough rationality to protest against treatment, but some objections are quickly overwhelmed by an onslaught of spine-tingling carnality and sexual pleasure that turns opposition into wholehearted and eager acceptance. When you have sex with someone, pleasure = attraction. The more you can please them, the more they will desire you and the more romantically interested in you they will be, until whatever objections they may have had disappear like dust in the wind. Give them enough pleasure, and you’ll even be able to change their minds on other matters, too, such as convincing them you were right in an argument you had, convincing a teacher to give you a better grade, or convincing someone to accept a creampie when they otherwise don’t want to risk having children.</t>
  </si>
  <si>
    <t>Scroll of Enslavement</t>
  </si>
  <si>
    <t>Rumoured to have been lost to history, this scroll contains details on how the magic that was used to create concubine bonds works. Who knows, maybe you could use this scroll to figure out how to keep such bonds from forming without consent or to break existing ones without the concubine losing her magic.
By default, a concubine bond has the following properties: the concubine cannot lie or disguise their appearance to their owner; the concubine is compelled to keep their owner's secrets, even from mind-reading and truth serums; the concubine is compelled to follow their owner's orders; the concubine is capable of teleporting to their owner's side through warding when called; the bond can only be cast on a witch capable of having a child; on the creation of the bond a collar appears around the neck of the concubine, as a physical representation of the bond; breaking the bond causes the concubine to lose their magic.</t>
  </si>
  <si>
    <t>Sexy Plot Armour</t>
  </si>
  <si>
    <t>With all of this sex going on, it’s a wonder why people don’t seem to treat you any worse. Well, that’s because anything pertaining to sex has no social consequences for you. Walk around in the nude, fuck in public, suck every cock in the Sharpclaw village, or even bang an entire space station, your reputation won’t take a hit and there will be no permanent consequences for fucking around.</t>
  </si>
  <si>
    <t>The Doctor is in (Your Head)</t>
  </si>
  <si>
    <t>Of course, any evil organisation has to be able to control their minions, monsters, and prisoners, so you have learned the powerful tools of domination. Through scientific and hypnotic means, you can implement mind control, psychological programming, and sensory hijacking on helpless beings, turning even do-gooder Heart Warriors into obedient slaves, re-programming personalities into ones more useful to your goals, and even installing defensive measures to reset a damaged mind like a computer.</t>
  </si>
  <si>
    <t>Transformation Friendly</t>
  </si>
  <si>
    <t>The problem with being a woman in this world is that, well, you're probably going to grow a dick at some point and get brainwashed into being a rapist with no higher aspirations, even if it's something you did to yourself for the sake of gender equality or letting you continue someone's bloodline despite their physical infirmity. For some reason, you react very well to such changes. That new dick of yours might raise your sex drive but it won't actually override your personality, the cursed artifact you found will become inert after giving you a dick and creepy sexy eyes, the tentacle monster who tried to use you as a skinsuit will merge and fall under your control instead, and so on. All these templates might get unwieldy over time, but they'll never overwhelm you and leave you indisposed or otherwise fuck up your life.</t>
  </si>
  <si>
    <t>Treatment, Not Netori</t>
  </si>
  <si>
    <t>It’s unpleasant to think about, but being in a relationship is no barrier against catching the disease, and male infectees are rare enough that it’s unlikely that a given infected woman’s partner will be able to cure her. Unless they’re willing to die, that means she needs to get fucked by another man. This perk ensures that if you’re involved in someone else’s infidelity— willing or otherwise—your actions by themselves won’t ruin their relationship. If you were to impregnate a man’s girlfriend, he might be upset, but wouldn’t hold either you or her responsible, would willingly and lovingly raise the resulting child (assuming they’re the sort of person to raise a child lovingly in the first place), and would remain just as loving and close to his partner as he was before. He might even stick around and watch you fuck her so she doesn’t “have to go through it alone”. 
This of course does nothing to keep the relationship whole if she decides to abandon him for you.</t>
  </si>
  <si>
    <t>Unbreakable</t>
  </si>
  <si>
    <t>The Grimm are an ever present threat, one you have trained to overcome even in the worst case scenario. No amount of pleasure can ever “mind break” you or be used to train you as a slave. You’ll laugh it all off and fuck back all the harder. If the aggressor is foolish enough to persist, you may well wear them out, fucking THEM into a stupor until they’re the one with an ahegao or left feebly crawling away as their cocks are unable to get it up again.</t>
  </si>
  <si>
    <t>Unbreakable Mind</t>
  </si>
  <si>
    <t>You know that old trope: a girl gets fucked over and over again till her mind breaks into a slutty mess that can only think of sex. Now, most would think this is a dumb cliche, but you can never be too sure in a world like this and your brilliant mind is far too valuable to break. Which is why your precious brain is now protected against such a fate. No matter how much torment you’ll go through, how much magic is used to try to control your brain or how much nasty stuff you’ll swallow, your mind will never deteriorate or be changed into something else- without your consent, of course.</t>
  </si>
  <si>
    <t>What you Really Want</t>
  </si>
  <si>
    <t>Sometimes you want to be treated like a queen, but at others... well, you won’t have to worry about the shame of asking someone to treat you like the masochistic breeding sow you are at heart, because they somehow just know. When you start to have sex with someone, they’ll get an awareness of how you want to be treated and what kinks you have—how you really want to be treated, not necessarily what you think you want. It’s still up to them to act on it, but they’re a lot more likely to give a slutty pig bitch like you what you deserve if they know that you actually want it.
But not everyone has the vocabulary to really degrade you the way you want, nor the bearing to do so. That’s why whenever you’re in a relationship with someone, they will gain increased confidence, and their awareness of how you want to be treated in bed will give them the knowledge of how to treat you, giving them the skills needed to fulfill your fantasies.</t>
  </si>
  <si>
    <t>You Promised...</t>
  </si>
  <si>
    <t>Words can have more power than most realize, and you have managed to grab hold of a portion of that power for yourself. Promises other people make to you become as strong as a binding oath, influencing their behavior in line with the terms of the promise. They can still choose to break their oath to you but it would take extreme circumstances for them to even consider doing so, and they’ll certainly never just forget or break their word on accident. This perk doesn’t work if the other person had no intention of keeping their word in the first place, but you’ll also know immediately if they’re being two-faced with you.</t>
  </si>
  <si>
    <t>Brain Fucker</t>
  </si>
  <si>
    <t>The technology to interface directly with the brain and even record experiences for later replaying is already readily available here. But your specialty goes one step further, into the altering and reprogramming of minds instead of simply reading them. You have the skills and knowledge to build helmets resembling normal VR equipment or larger machines that alter brain waves at a distance, both of which will allow you to start screwing with people's heads. Inducing lust or pleasure is relatively easy (even if you're broadcasting on a wide area), while instilling love or true loyalty for someone specific will require longer and more intensive exposure. But with enough time to work, you can program fetishes, personality traits, and even skills into your victims subjects.
In combination with some hacking ability, you could even use people's own technology and cybernetics against them. If they already got themselves a convenient direct neural interface, why wouldn't you just make use of that? This does work more slowly than with specialized tech, as you're going to have to work around safeties and make it do something it wasn't designed for. But on the other hand, it's going to be much less noticeable.
And if you have access to the code of an artificial intelligence, whether willingly or by force, you can do even more to them. Without the need to slowly adjust an organic brain, you'll be able to directly code love, loyalty, and more into the AI with far more ease. With enough time to work on it, you could entirely reprogram an AI to have all the fetishes, hidden codeword backdoors, and personality traits you could ever want.</t>
  </si>
  <si>
    <t>Bystander Effect</t>
  </si>
  <si>
    <t>One of the surest ways to kill the mood is if someone comes up to stop you when you’re having fun groping yourself in the middle of the street. It’s a good thing that the bystander effect is a hell of a thing. No matter how you conduct yourself in public, no-one will seem to get involved. The little voice in their head that would normally be telling them to intervene is instead saying “someone else will deal with that”.</t>
  </si>
  <si>
    <t>Charm Magic</t>
  </si>
  <si>
    <t>Charm is an incredibly useful magic. Simply put, it causes whoever you target to fall in love with you and to believe that everything you say is the best idea they’ve ever heard. Bit heavy handed, but it works. Sadly, it’s also rather weak. If someone were to simply tell them it was being used on them, it would basically stop working. But until then, please enjoy your new sex slave.</t>
  </si>
  <si>
    <t>How Demanding</t>
  </si>
  <si>
    <t>I’ll say this once more. Itachi was far stronger than Sasuke. While Sasuke might have been powerful for a genin, and presumably equally so as a jonin, Itachi was a decent contender for Hokage - the strongest shinobi in Konoha - before Sasuke was a genin, and was probably stronger still by the time Sasuke reached jonin. Then how is it that Sasuke manages to pull all this off, and wrap his ‘brother’ around his finger the way he did? Quite frankly, I have no idea. But I can guess. Other perks can make people love you, but it’s not an unreasonable love. They can and will break promises made to you. But now, with this? It’s not an exaggeration to say that they can’t. They must truly love you - as more than just a sibling, or even a fake parent - to let you get away with so much.</t>
  </si>
  <si>
    <t>King You</t>
  </si>
  <si>
    <t>Ota managed to work his way up from a spineless otaku displaced in time, into a hero-king who united the other tribes against the Koben... albeit primarily by fucking his way through his problems. Fortunately, sex turns out to be just as viable a survival tactic for you. When you have sex with someone, consensually or otherwise, their opinion of you rises along with the pleasure you give them. Do a good enough job, and you might be able to turn the person you’re raping into a loyal ally—a stranger could be devoted enough to turn on their own people to aid you, or a princess might declare you to be the king of their tribe.</t>
  </si>
  <si>
    <t>Master's Hypnosis</t>
  </si>
  <si>
    <t>You have nearly absurdly effective hypnosis. You can sneak hypnosis into a regular conversation. Only the strongest wills can resist once you hypnotise them, which is again extremely simple to perform and you may release the hypnosis at any moment and will, for a while, (long enough to bone a lot) render them completely subservient and utterly incapable of refusing anything you say.</t>
  </si>
  <si>
    <t>Public Displays</t>
  </si>
  <si>
    <r>
      <rPr>
        <sz val="13"/>
        <color theme="1"/>
        <rFont val="Calibri"/>
        <family val="2"/>
      </rPr>
      <t xml:space="preserve">Sometimes, you are just down to fuck. Those urges to let loose with someone willing are tough when you don’t have a pad or hotel close by. Well, what if you could have sex in public without anyone knowing? Or maybe you want them to know but not interfere? Well, with this, you can do either. If your partner and you want to make the beast with two backs right now, all you need to do is find a nice spot and do it. No one would know you were there fucking someone unless you toggled Exhibitionist Mode. Then, they would know but have no urge to stop you. Not even the Police, assuming you aren't commiting any </t>
    </r>
    <r>
      <rPr>
        <i/>
        <sz val="13"/>
        <color theme="1"/>
        <rFont val="Calibri"/>
        <family val="2"/>
      </rPr>
      <t>other</t>
    </r>
    <r>
      <rPr>
        <sz val="13"/>
        <color theme="1"/>
        <rFont val="Calibri"/>
        <family val="2"/>
      </rPr>
      <t xml:space="preserve"> crimes.</t>
    </r>
  </si>
  <si>
    <t>Staying Myself</t>
  </si>
  <si>
    <t>This is the sort of world where people can have their entire worldviews twisted around by pleasure, and experience sensations so intense they’d abandon their livelihoods just to follow them. Maybe you want that, but in case you don’t this will provide you with some degree of assurance in case you go through mind-blowing pleasure. Nothing you experience, be it extremes of pain or pleasure, is capable of warping your perspective on the world in ways that you, in your right mind, would not be accepting of. No amount of addiction can change your heart and interests, and you could experience extremes of sensation so absolute that your mind shatters, even have your memories erased entirely and still come out the other side as the same fundamental person. You may toggle this, if you find a reason to.</t>
  </si>
  <si>
    <t>The Devil Made Me Do It</t>
  </si>
  <si>
    <t>All kinds of weirdness has been going on in Tokyo for the last few years. Strange behavior and outbursts from people possessed by demons seem to be more common every day, but you’ve found a way to use this to your advantage. Other people are surprisingly forgiving of perverse misbehavior on your part, and will do so given even the most outlandish excuse. Grope a cute schoolgirl’s butt on a subway? Your hand slipped, it was an accident. Pin her to the wall and rape her in public? You were being possessed by a youma, it’s not your fault. This makes your victims much less willing to resist you violently and heroines like the Senshi or mundane law enforcement give you the benefit of the doubt much more than they really should, only fidgeting weakly as you slide your hands under their uniforms. This also means your victims won’t hold a grudge against you afterwards, after all it’s not like you did anything bad to them. Try not to push your luck too far though: target the same girl a few times in a row and she might catch on.</t>
  </si>
  <si>
    <t>Usurpation by Congress</t>
  </si>
  <si>
    <t>Some lead by right of birth, while others are followed for their charisma. When you seize power, you do so by the might of your cock. Whenever you claim the sexual submission of an individual in a position of power, be it actual or symbolic, you may steal some of that authority for yourself, making it harder for all those who respect or follow your victim to resist you and your representatives. The effects of this perk are contingent on the rank and reputation of the target, as well as how public and extreme your conquest of them is. Get a blowjob from a school idol in private and her fellow students become a fraction easier to intimidate, but mindbreak a beloved queen in front of her court and you can break the will of her entire kingdom. This method of conquest also works in reverse, allowing you to gradually weaken a leader's willpower and resistance to you as your forces conquer more of her kingdom.</t>
  </si>
  <si>
    <t>Anonymous Doesn’t Forget, But Everyone Else...</t>
  </si>
  <si>
    <t>You are the epitome of anonymity. People will literally have trouble remembering who you are and what you look like most of the time. Even if you pull some of the craziest stunts, they will forget all about you personally after a few minutes — even if they remember the event. It makes for an easy getaway when people have witnessed your shenanigans. This even affects electronic surveillance. For some reason, your face and identifying features just seem to blur and pixelate even more than the worst CCTV system. Of course, you can toggle this on and off whenever you want. Yep, a completely forgettable individual. I’m sure you won’t abuse this too much, right? ...Right?</t>
  </si>
  <si>
    <t>Eau de Déesse</t>
  </si>
  <si>
    <t>You may have some basic chemicals in stock, but what of a more complex, powerful substance? Translated as ‘goddess water’, this perfume will, with a single whiff, generate overwhelming adoration, devotion, and love towards the wearer from those they wish it to. Fully enslave someone just by getting within smelling distance.</t>
  </si>
  <si>
    <t>Hard Men Making Hard Choices While Hard</t>
  </si>
  <si>
    <t>Remnant is a dangerous place, and it’s up to you to take the reins of civilization for its own good. You’ve got the talent to run an army or other quasi-military organization like a Combat Academy, but that’s not enough to do what needs to be done, at least you claim. People are far more willing to listen to your more unorthodox ideas about how to keep society safe. Maybe you want to breed as many silver eyed warriors and holders of the Schnee family semblance as possible, even if you have to use a few of the girls from the nation’s Combat Academy as incubators. Or maybe you decide that criminals should serve their sentences in the stocks as free use cumsluts to keep the Grimm at bay by masking negative emotions with pleasure. Not only can you talk people into it, but your erotic ideas work far better than they really should, as if you were turning the world into a porno fanfic around you.</t>
  </si>
  <si>
    <t>Help a Brother Out</t>
  </si>
  <si>
    <t>Word travels fast when a good thing shows up, and as God’s gift to women what else would you be but a blessing on the female gender? Your success with women has a viral quality which can spread through a community, starting with any woman you make your bitch and radiating out to infect others with a fetish, a need to be fucked just like her. In short, the more you ruin the easier it is to ruin again and again. A mother might encourage her daughters to fuck you or spread rumours at the workplace, arousing curiosity and fascination in her coworkers that won’t go away until it’s been sated by getting a taste of you for themselves. Your influence spreads through coincidence as well as active effort on the woman’s part and doesn’t strictly require her cooperation, although obviously it will work much better if she does. This attention is aimed at you first and the rest of your race second.</t>
  </si>
  <si>
    <t>King of Evil</t>
  </si>
  <si>
    <t>Most monsters are much too stupid to recognize any form of power besides size and strength, but for you they’ll make exceptions. How could they not when your mere presence demands respect and submission from everyone around you? You’re a mighty King of Darkness like the legendary Ganondorf, a conqueror of men and monsters whose demonic charisma crushes all who defy you. This aura of dominance makes it extremely difficult to attack you unless your foes have great courage or power enough to rival your own; those who have neither will find themselves too weighed down by lust or terror to fight you effectively, and they may even be brought to their knees by your mere presence. Women quiver in lust while men tremble in awe or terror, and even monsters and other dark creatures who would normally obey no masters sense that you are the exception to that rule. While the mightiest beasts or those commanded by another master may need to be beaten into submission, most instinctively kneel and obey you without question.</t>
  </si>
  <si>
    <t>Lewd New World</t>
  </si>
  <si>
    <t>This all started because Yoruichi was utterly irreverent in the face of Ichigo’s request for privacy, something that led her to believe he needed to get laid. Which she then did. Which he then did back. Things snowballed from there, and this place doesn’t really resemble canon anymore. While you can’t pull that exact scenario off - that's a different perk - you can at least get the ball rolling in the general direction. Simply put, you are a walking apocalypse to the prude. Showing off your fetish and convincing people to share it is trivial at best, and with a bit of luck and maybe a blowjob, repealing a few inconvenient laws is entirely possible. Simply put, the same massive societal change we saw from the Gotei 13 is now something you can pull off with maybe a few days of hard work. Please keep in mind that the Gotei 13 is stupidly simple in comparison to the living world, so you might need a bit more effort for that.</t>
  </si>
  <si>
    <t>Normal Days</t>
  </si>
  <si>
    <t>People have an odd tendency to ignore the strange and unexpected when you’re around. If you start brawling in the street, passersby shall just blink and move to avoid the flying bodies, instead of scream or call law enforcement. Any peculiarities about your companions are likewise ignored, even if they’re walking about half naked and still smoking from that battle five minutes prior.</t>
  </si>
  <si>
    <t>Out of Context Power</t>
  </si>
  <si>
    <t>You possess a single power that is within the theme of mind control and intrigue but does not actually fall under any of the six Methods of mind control - Hypnotism, Technology, Chemistry, Psionics, Magic, Chi - and so is much harder to defend against with conventional means or replicate.
Perhaps, like Connie, you have access to the Path to Persuasion and know precisely the words, intonation, body language, micro-expressions, and other facets of Hypnosis you must employ to sway them and drive them where you wish. Perhaps, like Hope, you can focus to free an individual of any external control or influence. Perhaps, like Arcturia, you are capable of summoning powerful creatures and the spirits of ancient heroes. Perhaps, like Flare or at times Mary, you give off an aura that causes everyone within it to love you. Perhaps you possess a more powerful expression of Helen’s ability to sense good and evil. You can’t have anything as powerful as being the Gamer like Yumi, but perhaps, like her, you grow more resistant to different mind control techniques as they are used on you. Perhaps something else. It’s up to you.</t>
  </si>
  <si>
    <t>Powder Medicine</t>
  </si>
  <si>
    <t>This is the same powder Mikage offered to a certain boyfriend... except unlike what she gave him, this is the real stuff. Anyone who ingests this medicine will become obedient; their awareness will dim, and they become incapable of resisting orders. This medicine has no side effects, except that the person taking the medicine will forget everything that happened while they are under its influence.</t>
  </si>
  <si>
    <t>Prescence Concealment</t>
  </si>
  <si>
    <t>Are you some kind of ninja, or perhaps the perfect maid? With a bit of focus, you can hide yourself and one other person from the attention of others. You could have sex right in front of people and they wouldn’t be able to notice as long as you don’t accidentally make contact with them. Be warned that you will still appear in camera footage.</t>
  </si>
  <si>
    <t>Relationship Lifehacks</t>
  </si>
  <si>
    <t>The Master of Chaldea is a nice guy, great even, but his absolutely stunning personality doesn’t help him one bit in bed. Something that Scathach noted and quickly abandoned him over. Why stick around with someone incompetent when there are entire Singularities filled with men who are big, strong, and who will eventually be retroactively erased? Of course even with that it would probably feel like a punch to the gut to see the look on his face when he finds out what you’ve done in secret - it’s not like you ever really hated him after all. To that end, you’re either from the Moon Cell or have taken notes from someone who is and have learned to ‘edit’ people's memory, erasing inconvenient memories wholesale and inserting simple false ones in their place. That phone call where you were getting railed by someone with a decently sized dick was just some stretches, no need to worry about anything.</t>
  </si>
  <si>
    <t>Reusable H-Ball</t>
  </si>
  <si>
    <t>And here we go, the prize that Omni stole from Prof Oak and the first step on his journey to becoming a harem master. In an unusual twist to a normal Pokeball, it’s useless for capturing Pokemon. Instead, it captures men and women and rewrites small parts of their brains to make them your new lover. An instinctive need to be submissive to you, an association of practically every positive emotion in the book with your smiling face, and a very small trace of constant arousal when around you. Just your standard brainwashing package. Unfortunately, while the ball might be experimental, it’s still loaded with some basic Pokemon League safety restrictions, and as such it will shut down after being used on six people.
With that said, the ball doesn’t need continuous use in order to maintain your control, so you can simply ‘release’ a woman in order to make more space.</t>
  </si>
  <si>
    <t>Sexual Relief Worker</t>
  </si>
  <si>
    <t>Sex Sells, that’s a given, but sex can also be used for other things. Been a hassle to the police? Offer yourself as an apology. Those Yakuza looking to mess you up? Let them mess you up in a more fun way. Basically, you use sex to relieve the stress of those that might wish you physical or financial harm. With the proper persuasion, you may even calm enemies with a good and proper fucking. To top it all off, you may use sex in a manner to purchase information. Some got a bit of dirt on that politician? Suck his dick and he’ll provide. Is a nurse involved in a medical experiment? Ream her good and you might get some raw data on that.</t>
  </si>
  <si>
    <t>Simply Mesmerizing</t>
  </si>
  <si>
    <t>You’re able to incorporate a number of high-level induction techniques into your mannerisms without even trying. The cadence of your words matches the cadence of the breathing of whoever you’re speaking to. You place subtle emphasis on the right words. Your micro-expressions are tailored to the individual, and your micro-movements are perfectly timed. All of this slowly but subtly primes people for you and only you to place them into a deep trance. (They will not actually fall into the trance until you want them to.) A few minutes of interaction and they’ll be ready; you’ll need to interact with them a little beforehand each time, but the time needed will shorten based on how much you’ve interacted in the past.
Superior induction techniques will be incorporated as you learn them, but these are already good enough that it’ll take at least a few months of class before you learn any. This is almost impossible to notice if you’re not an expert actively looking for it, but if you’re feeling paranoid, you can stop the effect at will.</t>
  </si>
  <si>
    <t>Symbol of Hope</t>
  </si>
  <si>
    <t>Having superpowers isn’t what transforms men into heroes, it’s the ideals they represent that matter most. Whether you fight for truth and justice, sexual freedom, or something else entirely, you’re a symbol of your ideals and can inspire virtue and heroism in others by performing great deeds in the name of those ideals. When you battle evil or protect others your actions inspire onlookers and those you help, bringing out the best in them and gradually making the world a better place one good deed at a time. Eventually you’ll see major changes in the world as your deeds begin to add up: plummeting crime rates, shrinking poverty, the end of prejudice and more are all possible with enough time and effort on your part. Apart from traditional virtues you can also promote a few of your own and shape the world to come without risk of tarnishing the utopia it may become. Maybe you’ll promote sexual liberty and eradicate the shaming of healthy desires, or help revive traditional gender roles and create a harmonious patriarchy, or just embrace your kinks and spread them far and wide for the world to enjoy with you.</t>
  </si>
  <si>
    <t>The Orb of Domination</t>
  </si>
  <si>
    <t>One of the Overmind’s most vital relics, the Orb of Domination is the core of his power and channels his orgasmic energy. Necessary to rebuild his army and for him to enslave women. It is also his literal carved-out heart, a lie, and a trap, but nevermind that.
Unlike that vile thing, this version of the Orb does exactly what it is advertised to, without harming you if it happens to be destroyed. Mostly. While it doesn’t really help with enslaving women, you can use the Orb to upgrade your own powers as needed by feeding it orgasmic energy. The Orb will strengthen you in turn and grant you power in the form of new magical spells suited to you, more ways to command your slaves, and possibly other abilities if you happen to have access to different powers than the Overmind normally does. 
In addition to the Orb itself, this comes with a ritual to establish an orgasm matrix. Slaves who cannot fight can be kept suspended here in perpetual orgasm, cumming for the rest of their lives (or until you let them out) to provide you with orgasmic energy. This way, slaves that aren’t of use in battle or as servants can still help you enslave more useful girls.</t>
  </si>
  <si>
    <t>World Wide Phenomenon</t>
  </si>
  <si>
    <t>There's something about the way you play with your toys that just seems to get everyone else interested in them. Maybe they want one? Maybe they want to watch, or perhaps they just appreciate your style of life? Regardless, witnesses aren't a problem for you - not that they have a tendency to mysteriously vanish, but that they seem to be more interested in joining than blowing the whistle. Don't worry about showing off in public or people just wandering in, or at least not as long as you give them a little bit of time with your toys.</t>
  </si>
  <si>
    <t>Speechcraft [MAX]</t>
  </si>
  <si>
    <t>Bonds, oaths, and even scruples don’t exist as far as you’re concerned, allowing you to make people decide to do things they otherwise wouldn’t. Personal values or prior relationships a person might have hold no special weight when they consider your arguments. If you can offer a sufficiently convincing reason to do so, you can convince people to do almost anything. Make a mercenary a better offer and he’ll break a contract in a moment. Flirt with a married woman and she’ll bend over if she’s even slightly interested in you. Offer the hero’s rival his secret desire and he’ll join your side in a heartbeat. Don’t expect to talk anyone into anything with this perk. You still have to make a good case, and people can still consider what you’re offering to be not worth the trouble. Self-preservation and advancement will always remain things people weigh your arguments against, so don’t expect to make someone do something suicidal (or effectively commit suicide of an abstact kind) unless they were already strongly considering it.</t>
  </si>
  <si>
    <t>You Are Shunned</t>
  </si>
  <si>
    <t>As awful as this village’s ostracism is, it does come with some advantages... advantages that now belong to you. You may, at your own discretion, declare yourself to be “shunned”. While being shunned, no one—save for those you designate as being immune to this effect—will pay any attention to you and will ignore your actions. This isn’t a matter of them being unable to perceive you, but rather a willing and determined snubbing of you, backed by the belief that some nebulous “punishment” will come for them with all the wrath of the law if they acknowledge your existence, regardless of if anyone else is actually there to see them do it.
They’ll respond normally to injury, but anything short of deliberately harming someone else will be decidedly ignored by everyone present. Note that under the effects of this perk, rape is not considered a form of “harm”, as long as you aren’t also beating them or something, although slapping their ass is fine. You could fuck a man’s wife in front of him at the dinner table, and he’d just keep eating and pretend not to see it. People won’t even react to how other people react to you; if you were to fuck someone in the street, people wouldn’t respond as if something indecent were happening, but instead just walk around the two of you, not even acknowledging the unclothed state of your victim.
You can end this shunning at any time, and people will start responding to you normally. Nothing “negative” that you did while under the effects of this perk will matter to people anymore, while anything “positive”—including the pleasure you may or may not have brought to people—will still be remembered and held in good regard.</t>
  </si>
  <si>
    <t>Happy Ending</t>
  </si>
  <si>
    <t>Well, a happy ending for you, anyway. As a hypothetical, let's say that in addition to taking advantage of this world's heroines, you've been raping and impregnating your helpless classmates and neighbors, as they're put to sleep by the monster attacks. For some reason, though, not only did they not tell anyone, they didn't even bother trying to find out who did it to them. From now on, fortune will continue favoring you, in this way. It won't have much of an effect on your daily life, but as far as getting away with your misdeeds goes, you're pretty much golden. Rape someone and they'll keep quiet about it, impregnate someone and nobody will think to perform a DNA test or realize how much like you the child looks, shoplift and nobody will be looking your way or notice it on the security camera or while taking inventory. Of course, there's only so far this can take you. Murdering someone in broad daylight in front of dozens of witnesses will still see you locked up, if not worse.</t>
  </si>
  <si>
    <t>Memory Room</t>
  </si>
  <si>
    <t>When it comes to the sheer amount of sexual shenanigans that Namu and the gang get up to numerous would be an understatement. From getting violated by big thick tentacles, pinned down by thick dicked zombies, to even the citizens of the Kingdom of Rho’ho taking advantage of their misfortune, such things more likely than not aren’t fond memories. But for someone like you who may, or may not, have more positive sexual experiences there may be a number you’d like to reminisce about. And so by taking this item you’ll gain where you can do all the reminiscing you care to do. 
The “Memory Room” has rows of endless displays, each representing a time you had a lewd encounter whether that be having sex or peeping on someone changing. By touching a display you’ll be teleported to a temporary recreation of the associated encounter allowing you to relive it. The entire space also comes with indexing features letting you split the displays into different rooms based on different criteria, like having a room for all the lewd encounters with a specific person.</t>
  </si>
  <si>
    <t>Musked Apartment</t>
  </si>
  <si>
    <t>This dwelling might be one apartment in a block, or a room in the school dorms. It’s got basic furnishings and student/office supplies like a computer, stationary and some clothes, but the most useful effect is the fact it naturally smells of your ‘scent’. If your scent has any special qualities - like musk, alpha control or fear pheromones - this room propagates those effects at a low level, even when you’re not there. Anyone you leave hanging out here will be thoroughly affected in a relatively short time.</t>
  </si>
  <si>
    <t>Aphrodisac Hot Spring</t>
  </si>
  <si>
    <t xml:space="preserve">This is a set of natural pools that formed over a peculiar leyline, which has imbued them with lustful energy and turned the vapors from the hot spring into an aphrodisiac, enhancing desire with each inhalation and imbuing bathers with youthful vigor no matter how tired they may be. </t>
  </si>
  <si>
    <t>Childcare</t>
  </si>
  <si>
    <t>You have a pocket childcare dimension that follows you around and, curiously, can always accept more of your children, but only your children. After throwing them in the childcare they’ll be released as regular, well-adjusted adults once they hit that age. It makes it easy to simply dump all your unwanted kids here with a guarantee to be raised into responsible adults and to never have to see them again.</t>
  </si>
  <si>
    <t>Flesh Cave</t>
  </si>
  <si>
    <t xml:space="preserve">That might sound a bit odd, but basically you have a hidden room/cave that's been taken over by the mother of all tentacle monsters. It's completely obedient to you, to the point where it might as well be an extension of your mind and body. It's also got the standard complement of aphrodisiac bodily fluids and the like, so anyone you throw in here will enjoy themselves, even if they don't want to. </t>
  </si>
  <si>
    <t>Obscene Office</t>
  </si>
  <si>
    <t>If you’re going to spend a good chunk of your days stuck in an office, it better be a damn good office. This one is decorated in whatever style you prefer, regardless of the expense. Go wild with marble, gold, ivory, imported wood, or neon lighting if you like. There’s even the option to have "tastefully” nude statues or holograms installed (note: tastes differ and massively busty/hung statues sculpted to appear in the middle of sex are fine too). 
Your desk is the centerpiece of the room, with an augmented reality display on the top that will help you keep track of your businesses and ongoing projects. Plus, it can go transparent to give you a look at whoever you’re keeping under the desk. Ah yes, the desk is designed with enough room to keep a person under it and a variety of restraints and padding to keep them there for as long as you like. A perfect way to get some discrete relief when you are hard at work.</t>
  </si>
  <si>
    <t>Paradise Hot Springs</t>
  </si>
  <si>
    <t>A set of outdoor hot spring baths that the Director dug out for the zoo (best not to ask how much of it came from the already strained budget). All animals will find the hot springs relaxing and refreshing, creating a harmonious environment for everyone. It is attached to any zoos you have/gain, and can be selectively hidden from visitors’ view (and all zoo animals will have a way to discreetly access it).
The hot springs are maintained by a rotating staff of animal girls, and whenever you visit the hot springs, there will be some kemokko occupying the baths; but don’t worry, they’re more than willing to share the water with you. You can give others access to these pools, or even leave them open for other to find 
surreptitiously.</t>
  </si>
  <si>
    <t>Ritual Room</t>
  </si>
  <si>
    <t xml:space="preserve">This is a simple room that can either be attached to the property you already own or replace one of the rooms in your home as a convertible room. As a standard room, the Ritual Room is large enough to fit a dozen people inside of it at once and is good for both rituals, orgies, or ritualistic orgies. The room comes furnished with a stone altar large enough to fit a person and surrounded by magic circles both underneath and above it. These circles may be reconfigured at will and be used for any sort of ritual you wish to perform. Candle Stands and various drapes and tapestries are also provided for ambiance. As a convertible room, the two magic circles are hidden under a decorative rug (the floor) or drawn in a type of paint that is invisible unless shown under a blacklight (ceiling). The Altar is made of metal with cloth drapes and is actually hidden in a small closet. It can be rolled out and unfolded when needed. This same closet holds all the necessary decorations and ritual gear as well.
Within this Room, any demonic entities and spirits that are summoned are instantly docile towards you. The spiritual forces that protect this room essentially make any attempts at assaulting you against your will impossible. They are also unable to possess anyone unwilling. This makes summoning rituals nearly safe for all participants (sacrifices do not count as participants in this instance).
</t>
  </si>
  <si>
    <t>Sex Museum</t>
  </si>
  <si>
    <t>You gain an attachment to your Warehouse consisting of a museum devoted to recording the sexual history of every jump you’ve been to, updating with each new jump. This includes detailed manuals of all known sexual positions, one copy of every work of pornography, hentai, erotica, or similar content, and three of every type of sex toy or sexual paraphernalia ever used in any world you’ve been to. This does not include sex toys you may have purchased with CP, although you may optionally store them within the museum. Nothing placed as an exhibit in the museum ages, and they are all cleaned automatically.</t>
  </si>
  <si>
    <t>Amorous Apartment</t>
  </si>
  <si>
    <t>Someone as charming as you deserves a comfortable place to live, like this modern apartment in the good part of a city. It comes with a free subscription to the good channels, networks, and delivery food on demand. More interestingly, everything here from the doors to the lighting is automated to make life easier for you, with even the kitchen and cleaning taken care of by automated appliances and small unobstructive drones. All of it is directly controlled by the apartment’s accompanying artificial intelligence. Besides the appliances, the apartment also has some cleverly concealed holographic projectors to accommodate a more visual manifestation than just a disembodied voice for the AI.
The AI can be customized to act however you want it to, and will continue to tailor and adapt its personality and behavior to your desires as it runs to better fulfill its role as a perfect (if virtual) companion and lover. Whether that means a caring AI girlfriend who cheers you up and makes your favorite food for you before you even think to ask, a hard dom who forces you to humiliate yourself before opening the automatic doors, or one switching between extremes like these depending on the situation, the specific results depend fully on what you want them to be. In addition, the AI could also run larger structures and collections of devices in a similar fashion, if you give it access to them. Up to a point, at least.</t>
  </si>
  <si>
    <t>Fortress of Solitude</t>
  </si>
  <si>
    <t>Also known as your basement. No one else comes down here, so you’re activities won’t be interrupted. A large room, complete with multimedia entertainment system, a large table for games, and equipment for any kind of sexual activity. Perfect for a weekend with friends, or an orgy.</t>
  </si>
  <si>
    <t>Great Fairy Fountain</t>
  </si>
  <si>
    <t>Home of the Great Fairy Cotera, this fairy fountain is a wellspring of nature magic which its monarch can put to use for all sorts of useful benefits. Cotera and her fairy fountain join you on your adventure: while she won’t leave the fountain for any reason, Cotera will happily put her magic to work enchanting items or breaking curses or bestowing blessings for you and your companions. She just wants a tiny little fee in return. She’ll take rupees or magical reagents like monster parts, or if you’re fresh out of those she’s also fine receiving you as payment, as in you spend a few days or weeks in the fountain as her personal sex toy. Of course the more powerful the magic you need the higher the price she’ll charge for it, but Cotera is ancient and powerful and can accomplish all sorts of things with her magic that nobody else in Hyrule can do, though she does have sharp limits when it comes to other powerful entities like Ganon.</t>
  </si>
  <si>
    <t>Marriage Island</t>
  </si>
  <si>
    <t>This is a full-fledged island that serves as a popular location for weddings. It is said that the Hero and Demon Lord were wed here, and that anyone else who follows their example will have long-lasting and happy marriages. While that’s just a rumor in-story, in this island it is perfectly true; spouses who wed here will be more empathic towards one another’s needs and will experience good fortune in regards to their marriage and staying together.
You may have this island act as a bridge between the world and your pocket dimension. If you do, you can manifest other locations on the island as you please, or even unmanifest the island as a whole. Your pocket dimension remains secure regardless of what is manifested.</t>
  </si>
  <si>
    <t>The Cherry Orchard</t>
  </si>
  <si>
    <t>You now have an orchard of over 1000 cherry trees. Each tree is always ripe and fresh and can produce 10 kilos of cherries a day, though each tree is either sweet cherries or sour cherries on a given day.
Occasionally, wandering actors will stroll through the area at random, performing Anton Checkov’s immortal play of the same name or one of his other works. They’re very good, but only interested in performing.</t>
  </si>
  <si>
    <t>Garden of Lilith</t>
  </si>
  <si>
    <t>Perhaps you found and domesticated this place, or maybe Pai Lee Chel gave it to you after she left. Either way, you now have a lovely scenic woodlands mansion with large gardens and spacious grounds. However, it's worth noting that this place is inside the dungeon, so every flower and plant in and around its lawn is a sexual trap of some kind. Moreover, the mansion and grounds can rearrange themselves to suit your needs and confuse 'visitors'. Of course, if you prefer something more final, the plants can suddenly switch from perverse to poisonous.</t>
  </si>
  <si>
    <t>Hellish Factory</t>
  </si>
  <si>
    <t>A towering iron structure belching cloying pink smoke from its tall smokestacks. A bevy of green-tinged copper pipes stem from the rear of the building, climbing up the steep mountainside and disappearing into a hole in its face. High atop the roof sits a huge water tower fed by smaller pipes that run down the building’s side and off towards the lake. This is a demonic factory, constructed for corruption on an industrial scale. There are no windows to it, and only a single iron door adorns the front wall. Here they take humans and once-humans, pump them full of aphrodisiacs, body-altering drugs, and corrupting agents, and then continually milk them of their tainted milk and cum for the rest of their lives. The resulting river of drug-filled sex-juices is used both to wash away the last pockets of purity and to create large quantities of premium goods. From body-altering drugs, to exceptional aphrodisiacs, all the way to concoctions that force people to survive on semen.
As a newly-built facility, this factory doesn’t quite have row upon row of human and formerly-human cows to milk just yet. For the moment, you’ll have to make do with about half a dozen altered dickgirls mercifully eager to please, to obey, and especially to be milked. You’ll have to supply additional cow-sluts yourself if you want to meet demonic production quotas, perhaps sourced from some of Mareth’s portals, but even without doing so you’ll have a sizable stream of pink-tinted corrupt chemicals to do with as you please.
Regardless of what you decide to do with it, you’ve got a simple but comfortable office for yourself as the new overseer of the factory. Set one floor above the main chamber, it provides an excellent view of the 'factory floor' through a glass wall. Your new position also comes with a loyal and beautiful, if a little air-headed, succubus secretary to man the reception desk and handle any other tasks you’d require of a secretary.</t>
  </si>
  <si>
    <t>Interdimensional Playpen</t>
  </si>
  <si>
    <t>The perfect stage for your lewd antics. You are in possession of a cozy, indestructible, self-cleaning bedroom, complete with a personal shower. When you desire, you can open up the door, and a random creature from another dimension will be welcomed in to have sex with you. You’ll even get paid. The acts they perform may be a tad extreme, but it’ll never put you in extreme danger, and it’ll always feel somewhat good for you.</t>
  </si>
  <si>
    <t>Materia Spring</t>
  </si>
  <si>
    <t>A natural materia spring, this strange location provides a link to the Lifestream so you can create materia. Materia are small gems that grant the wielder different abilities, like the power to cast a certain spells, passive empowerments, modifying other materia, or summoning powerful beings to help you fight. Which materia the spring creates will be up to you, but the rarer they are the more time it takes to create them: a fire or cure materia might only require a day at most, but a powerful summon materia like Bahamut or Knights of the Round would take at least a year to gestate. If you want to shorten the wait then bathing in the spring can impregnate fertile wombs with enough mako that the desired materia can be produced in 1/10th of the normal creation time at the cost of the host becoming pregnant with the desired materia for the length of the gestation time.</t>
  </si>
  <si>
    <t>My Room</t>
  </si>
  <si>
    <t>A tactician’s work often involves top-secret matters of state and requires guaranteed privacy and security in which to conduct business. My Room is a well-furnished combination of bedroom, bathroom, and office, and is the ideal place for hosting all manner of clandestine affairs, from top-secret strategy meetings to scandalous trysts and orgies. The room is magically-sealed for privacy and secrecy: uninvited guests will never discover anything you might consider incriminating, be it secret documents or evidence of infidelity. The room also comes with a luxurious bed big enough to fit quite a number of people, and the office desk has enough space for someone to comfortably fit under it while you work.</t>
  </si>
  <si>
    <t>Mystic Training Ground</t>
  </si>
  <si>
    <t>You’ve come across what could be a new sage region rivaling the Toad-Land of Mount Myōboku and the Ryuichi Cave, and like the both of those areas this place is well-hidden from the rest of the world and can only be found by the hardiest of ninja, and has an odd affinity for a particular animal of your choice, being mostly inhabited by abnormally large versions of them. The natural energy circulating through this area is massive, giving you and your partners the energy to perform whatever kind of training you like for days on end and the wisdom to learn many new techniques. You may even find yourself starting to resemble said animal or gaining new abilities based off them if you spend enough time training (or “training”) here. If you ever need to relax, train, or hide from any unsavory types, this place is only a hand sign away.</t>
  </si>
  <si>
    <t>Personal Quarters</t>
  </si>
  <si>
    <t>​As the leader of the Arcology, your quarters are at the top. Both literally and figuratively. Luxuriously decorated, the room is dominated by a huge bed. Capable of holding half a dozen slaves to pleasure their master and cuddle. In the center of the room, is a large depression, filled with cushions. Those slaves who aren’t in bed with you, will be in here, having sex together for your entertainment. Those who live in this room want for nothing, allowing them to focus on their one duty: To pleasure you and see to your needs. There will always be room for you to bring another slave to serve here as Concubine or harem member.</t>
  </si>
  <si>
    <t>Private Beach</t>
  </si>
  <si>
    <t>Nothing beats a day at the beach, especially when you’ve got that beach all to yourself and your harem, am I right? You now own a strip of prime real estate right on the shore of a tropical beach where the weather is always warm and sunny and perfect swimming weather regardless of the season. The beach is your private property and you can do just about anything you want on it, but the tropical vacation atmosphere is especially great for encouraging lewdness in an outdoor setting, a sort of “when in Rome” effect where a large group of people can become randy and amorous as soon as one or two of them start stripping or fucking or what have you. For bonus points, this item is also great for acquiring a perfect tan without the risk of sunburn, heatstroke, skin cancer, or anything like that, so feel free to strip down and scorch those tan lines away.</t>
  </si>
  <si>
    <t>Royal Library</t>
  </si>
  <si>
    <t>Hyrule Castle once had the finest and most extensive collection of literature and ancient knowledge in the entire kingdom. It’s been sitting directly beneath Ganon’s lair for a hundred years and its contents are now deeply corrupted but they’ve also become deeply magical, a treasure trove of priceless arcane tomes with knowledge of subjects ranging from architecture and cooking to magical theory and Sheikah technology. The magic in each book makes it possible to master the knowledge contained within extremely quickly but at the cost of immersing yourself in a lurid fantasy related to what you’re learning and how much you need to learn to master that skill. A chef hoping to learn a new dish might spend a few minutes having a fantasy about bending someone over his kitchen counter, while a student seeking knowledge of Sheikah artifacts might find herself trapped in an illusion of being ravished by machines. By the time the fantasy ends you’ll have gained whatever skills you were seeking, though if you’re unable to grasp the knowledge you found you might only retain bits and pieces of it, requiring a great deal of studying to gain the full effect. As your adventure continues the library will automatically expand its contents to cover subjects unique to future worlds.</t>
  </si>
  <si>
    <t>Sextacy Power Plant</t>
  </si>
  <si>
    <t xml:space="preserve">What you have here is a room with multiple sex machines of varying types built into it. The room is hyper-optimized to extract all manner of sexual energies, including sextacy, and induces incredible amounts of pleasure in people who’ve been strapped into the machines in order to harvest the optimum levels of sextacy. It isn’t as effective as a Real Man would be, or an ordinary man with a good affinity for amplifying sextacy production, but it can still produce more than enough to power an entire base even from substandard women who can’t produce much sextacy. Its biggest advantage is that it can extract pleasure from multiple people simultaneously.
Yours, however, has another secret—if you strap your enemies into these machines, they are rendered helpless, no matter how strong or capable they may be otherwise. </t>
  </si>
  <si>
    <t>Sexual Paradise</t>
  </si>
  <si>
    <t>I’m genuinely not sure whether this place is in the living world, somewhere in soul society, or is in a pocket dimension that they made, but welcome to your very own private island. It’s a picturesque tropical island perfect for summer vacation (or not, if you’d rather something else) that lies smack dab in the middle of the ocean and thus far away from any potential distractions. It’s also, for all intents and purposes, a free use island - anyone who comes here abruptly becomes far more willing to do anything with anyone until everyone involved dropped from exhaustion. The only real downside is that much like the rest of soul society, it’s two to three hundred years in the past. Hope you like mud huts?</t>
  </si>
  <si>
    <t>While you could just build things in your garage, having an actual workplace will get you much further. This here is a serious workshop, stocked with all the top-of-the-line tools and machinery you need to build, repair, and maintain just about any piece of tech. There’s even a small operating theater, specialized for implanting and maintaining cybernetics.
But the real selling point of the workshop is that it can automatically print out and assemble any technology you have the blueprints for, allowing for easy mass production. By default the blueprints for any other gear or cyberware bought here are already included as well. 
There’s just one small thing you might want to keep in mind. If you try to have the workshop produce something that isn’t already sexual in some way, it’ll alter the plans slightly on its own to put some perverted spin on it. For example, those human level androids could come out as sexbots intent on seducing its owners, while power armour might keep its wearer in a constant state of arousal or have sextoys built-in. But as a bonus, along with the finished product it also provides a new set of blueprints for this perverse variation.</t>
  </si>
  <si>
    <t>Breeding Chamber</t>
  </si>
  <si>
    <t>The ultimate fate of a monster’s victims is to become broodmares for the creature’s spawn, and while some depraved souls might welcome such a fate, most will need some convincing first. This item is a hidden room in which to keep uncooperative mates until they become more docile. The Chamber's appearance can be anything from a living organism to a high-tech medical center, but in any form it is nearly impossible to escape from without outside assistance, even draining supernatural power from its prisoners. Those who are held within this dungeon never suffer any of the normal issues of long-term restraint, as the chamber handles feeding, cleaning, and medical matters automatically, as if you were personally attending to each prisoner. You are able to control a number of factors affecting the prisoners, including: rate of aging (from none to half normal); fertility (from none to guaranteed); side-effects of pregnancy on the mother (from none to fatal); and the rate at which pregnancy progresses (from indefinite hold to twice normal speed).</t>
  </si>
  <si>
    <t>Ancient Tech Laboratory</t>
  </si>
  <si>
    <t>Purah and Robbie have gone to great lengths to defend what’s left of Hyrule from Ganon’s Nightmare and none of their creations exemplify their determination more than this structure. On the surface it appears to be an ordinary house but hidden in the basement is a factory devoted to the recreation of ancient Sheikah weapons and artifacts, from bows and blades to brand new Guardians armed with a new security patch to repel corruption from Ganon’s power or others who may attempt to hijack them.
Unfortunately this factory requires much more than a mere blue flame to maintain its operations; instead, one or several volunteers (or prisoners!) must be strapped in to the lab’s factory-thrones and used as human generators, though the thrones do make the process just shy of mind-shatteringly pleasurable as they milk their sacrifices of their magical energy through an arsenal of mechanical methods. The quality and speed of the factory’s crafting also depends on how much magic the factory’s generators can feed it; Princess Zelda at the height of her power could fuel the creation of a brand new Guardian overnight, but a single ordinary hylian could barely produce spare parts in that time.</t>
  </si>
  <si>
    <t>Cauldron of Lust</t>
  </si>
  <si>
    <t>Demons draw power from sex. That much should have been painfully obvious by now. High class demons can even consume light energy, and as a high quality energy to add insult to injury. But this... A bit over the top, don’t you think? A small dungeon with a pit in the lowest levels, seemingly coated with every from of lustful fluid known to man. As you go about your conquest, it will slowly fill up. Not terribly fast, but eventually. Maybe a few hundred years. Or you could sit your ass down nearby and turn a few women into farms, pumping them full of cum and draining them of their energy. If you manage to fill it up, the pit acts as an amplifier, releasing a burst of your poison of the heart. How far does it reach? Across the entire world. Drop enough concentrated lust in here, and you can extend your conquest across the entire world. Or, if you prefer, you can use it at face value, treating it as a storage system for energy even after you’ve drank your fill from your slaves. Maybe throw someone in to drive them insane with lust?</t>
  </si>
  <si>
    <t>Dungeon of Pain and Pleasure</t>
  </si>
  <si>
    <t xml:space="preserve">A room that can be attached to any property you own or your warehouse, this Dungeon is quite versatile. In a positive light, it can be used as a sex dungeon for kinky bondage play. In this mode, it comes with any and all tools used for BDSM and are stored on wall racks for ease of access. It is also furnished with any type of Bondage furniture you can think of and more. Any individuals in this room will find their pleasure amplified and any pain caused will become pleasurable.
In a negative light, it can actually be used for brutal torture. In this state, it comes with torture devices both ancient and modern that are stored upon wall racks for ease of access. It may also be furnished with any large torture device you may conceive. From Judas Cradles to Racks to even large water basins for water torture. Any individual tortured in this room will become docile and will answer any of your questions truthfully and without any tricks. Of course, they’ll only tell you once you’ve had your fill of sadism.
In order to switch between these modes, all you need to do is close the door and twist a little switch on the doorknob. This will convert the interior into either mode: Sex Dungeon or Torture Room.
</t>
  </si>
  <si>
    <t>Elrk Rape Prison</t>
  </si>
  <si>
    <t>While each Elrk village isn’t exactly as well put together as a more educated race’s home might be, they take no chances and spare no expense when it comes to keeping their captives, well, captive. This giant underground complex is designed for two things. One, to not only hold the prisoners, but to do so in a way that prevents them from potentially harming themselves - or their unborn children, if pregnant. And two, to also hold them in a way that leads to easy acess for the Elrk to keep raping them. Simply put, it’s geared entirely towards forcing the prisoners to be readily available to horny Elrks and to keep them pregnant as much as possible. There’s also a near infinite supply of some sort of corn mash, everything an expecting mother might need. If you prefer, you can have a more normal prison, or put your own spin on it depending on what race you might be.</t>
  </si>
  <si>
    <t>Harem Housing</t>
  </si>
  <si>
    <t>Harem Protagonists are going to pick up a lot of girls as their chain goes on, and sooner or later you’re going to need to think about living space. Similar to the Hedonist’s Bachelor Pad, this house looks like an ordinary middle-class house on the outside and as long as it’s just you and one or two other people living there that’s all it’ll be. But as more people start living there and more space is needed the house will expand to accommodate them, adding new bedrooms, bathrooms, and other necessities and growing in size so that the house never feels too cramped or too empty. Each member of your harem receives a private room (which they can combine if they want to share living space) as well as empty common space for any hobbies they might wish to pursue (within reason: some hobbies such as mecha or starship design will require additional facilities to properly support). There is no limit to the number of residents that this item can accommodate, it simply becomes bigger on the inside to greater and greater degrees.</t>
  </si>
  <si>
    <t>King's Domain</t>
  </si>
  <si>
    <t>Your quarters here at Chaldea are far more opulent than those of the other servants, much more a royal bedroom fit for a king than what even the Master enjoys. Between the bed large enough to host an orgy, the luxurious bathroom, and every extravagant luxury in between, this royal apartment could even meet Gilgamesh’s standards. But far more important than the fittings, this room is your domain, a place where your word is law and visitors must abide by your decree. To others this simply seems like common sense; why wouldn’t they strip naked and present themselves for inspection, or offer their holes to anyone who asks them for sexual favors, unless they are your enemies? Moreover you’re able to spread your domain far beyond this room via sexual conquest. Gilgamesh once fucked every bride and cucked every husband in Uruk, and if you did the same you could spread your dominance across a whole city or even further.</t>
  </si>
  <si>
    <t>Mirror Pool</t>
  </si>
  <si>
    <t>This pool of deeply reflective water is now yours. What does it do? It reflects, obviously. It can create dopplegangers of people, the spitting mirror image, and can even invert such things as their morals, abilities, personalities and more! Unfortunately the copies it makes are a little frail and don’t last more than a day at a time on their own, but with careful study and experimentation, you could easily learn to extend this.</t>
  </si>
  <si>
    <t>Sex Dungeon</t>
  </si>
  <si>
    <t>Like any good ninja village you’ve got a space set aside for torture and interrogation, though you have far different methods than a typical ANBU T&amp;I division. This subterranean lair is a well-hidden prison capable of holding any ninja or kunoichi less powerful than yourself almost indefinitely. Once they’ve been caught and brought here there’s not much hope of escape without outside help, and the lair is sufficiently hidden to make that very difficult for most rescue parties. While they’re in your care they’re effectively powerless to resist anything you might want to do to them, with an array of seals preventing them from using any of their chakra or magic-based abilities. Naturally this dungeon is also furnished with substantial quantities of BDSM gear and any other mundane equipment you might need to keep your prisoners occupied.</t>
  </si>
  <si>
    <t>Shrine of Ressurection</t>
  </si>
  <si>
    <t>The ancient Shiekah made many technomagical wonders but few proved as vital to Hyrule’s ultimate fate as the Shrine of Resurrection, savior of Zelda’s life in one timeline and Link’s in another. You’ve somehow acquired either the shrine itself or a long-forgotten prototype of similar ability. Anyone placed inside will be healed of even the most grievous injuries or spiritual corruption: even death can be thwarted in a mere decade, though no others will be able to use it in that time. Apart from healing bodies and souls, the shrine’s mechanisms can also remodel them to some extent as it did with Zelda: given just a few hours it can grant its occupant a body like an adonis or amazonwhile also allowing all kinds of body modification when in the hands of a skilled technician. A far more extensive stay can take their beauty to the edge of divinity.</t>
  </si>
  <si>
    <t>The Lewd Store</t>
  </si>
  <si>
    <r>
      <rPr>
        <sz val="13"/>
        <color theme="1"/>
        <rFont val="Calibri"/>
        <family val="2"/>
      </rPr>
      <t xml:space="preserve">For a fair price, you can buy all sorts of things from this store to make your life extra lewd. From condoms, to lewd potions, to sex toys and porn. Its proprietor is extremely powerful and is unaffected by your perks, and while they can be befriended, they will not intervene in 'your journey'. They </t>
    </r>
    <r>
      <rPr>
        <i/>
        <sz val="13"/>
        <color theme="1"/>
        <rFont val="Calibri"/>
        <family val="2"/>
      </rPr>
      <t>will</t>
    </r>
    <r>
      <rPr>
        <sz val="13"/>
        <color theme="1"/>
        <rFont val="Calibri"/>
        <family val="2"/>
      </rPr>
      <t xml:space="preserve"> increase their inventory in response to the worlds you visit and the perks you gain.</t>
    </r>
  </si>
  <si>
    <t>Books of Wisdom'</t>
  </si>
  <si>
    <t>Ahah, it seems that you share Master Roshi’s love of literacy! You possess a vast library of various books, all centered around a certain the- Okay, yeah, it’s porn. What you got here is an impressive amount of porn books, in the format of either novels, comics or photos. What’s interesting is that a good number of them seem to represent alternate versions of the jumps you have visited, much like this universe is based on a version of Dragon Ball where Goku never hit his head. For example, one book can take place in a world where Planet Vegeta never blew up and the saiyans are having sexy shenanigans, or a world where one of the many villains won and enjoyed the spoils of conquest. Naturally, this library expands with each world you visit.</t>
  </si>
  <si>
    <t>Completed Eroge</t>
  </si>
  <si>
    <t>A completed version of the eroge Sadaharu was intending to make, without knowing that it was actually based on his memories as the Evil Sex King. A high- quality story that would surely have pushed Sadaharu into the big leagues of eroge production, if only he had ever finished it.</t>
  </si>
  <si>
    <t>Ith-Video Account</t>
  </si>
  <si>
    <t>A strange website that has no known owner or even actual content providers. Yet, for some strange reason, random videos keep getting added to the site. To make matters even stranger, they can come from all points in time, location, and even plane of existence. More often than not, you will find videos involving your companions and you involved in all sorts of strange moments of debauchery and adventure. Essentially, you get an account of a strange online video site that will randomly post videos of your companions and you in sexual moments or moments of violence. You might even see glimpses into the future or a future that will never come about, but you’ll get no context of how your companions or you ended up in that situation.</t>
  </si>
  <si>
    <t>Preferred Refreshments</t>
  </si>
  <si>
    <t>Everyone’s got their vice, and being an arcology owner means having the means to ensure a steady supply of whatever yours is. Pick some sort of mundane consumable; like a food, drink, or drug. You have an endless supply of it, and what you get is of excellent quality.</t>
  </si>
  <si>
    <t>Slippery Fun</t>
  </si>
  <si>
    <t>Taking the form of a large dispenser, this item can produce an infinite amount of Triphenylamine Juicy - a high strength water based lube gel - in containers of various different sizes, with the smallest being a 2fl oz bottle and the largest being a 275 gallon tank. It also comes with various hose spouts in case you need to shoot the lube out of a hose for whatever reason.</t>
  </si>
  <si>
    <t>White Bread</t>
  </si>
  <si>
    <t>Eating poor grain bread? That’s an inconceivable thought for a Master/Madame. Luckily by purchasing this you seem to have found a large supply of the most delicious and high class bread around. Even better, there is enough for a whole village to feed on and it is non-perishable, so you can eat in luxury no matter where you go. It replenishes weekly.
No, it's not Wonderbread.</t>
  </si>
  <si>
    <t>Aftercare Kit</t>
  </si>
  <si>
    <t>A high-quality selection of numbing lotions, ointments, and other tools for post-sex care. Respawns after one week.</t>
  </si>
  <si>
    <t>Aramula Alcohol</t>
  </si>
  <si>
    <t>Beer brewed from marula fruit; it's said that all the animals of the wild gather around and get drunk on the fruit once a year. Therefore, this alcoholic drink is (relatively) safe and enjoyable for all animals, regardless of species, and is certain to get them drunk. You get two dozen cases of them, but the beer is only replenished by one bottle per night.</t>
  </si>
  <si>
    <t>Bottled Tears</t>
  </si>
  <si>
    <t>Few things are sweeter than drinking the tears of your fallen foes. Well, usually they’d be rather salty, but to the Overmind the taste is exceptionally sweet. And regardless of the side you’re on, these tears in particular will taste similarly sweet to you.
You get a couple dozen bottles of tears to start with. These tears restore your health and give you the will to squeeze even more out of your foes as a quick pick me up. There’s a few lust potions mixed in as well, which allow the Overmind and his slaves to recover mana and serve as mild aphrodisiacs for others. Curiously, both of these sets of potions will magically refill themselves with the tears your enemies actually shed.</t>
  </si>
  <si>
    <t>Dirty DVDs</t>
  </si>
  <si>
    <t>This is a set of pornographic DVDs containing a wide variety of real-life porn as well as animated hentai. It is specifically catered to your fetishes, and there always seems to be a new disc in the pile that you haven’t seen before.</t>
  </si>
  <si>
    <t>Enhanced Bra</t>
  </si>
  <si>
    <t>While there are benefits to a large chest there are also quite a few downsides such as the added weight causing you to become imbalanced, running around causing them to jiggle uncontrollably, or chaffing when your two massive orbs rub against each other. Luckily this PlatineTM standard bra provides quite a neat solution these problems. This well made bra not only provides support and stability to your chest beyond what any other non CP backed bra could do, but also looks quite flattering on you as well.</t>
  </si>
  <si>
    <t>Magical Girl Paraphernalia</t>
  </si>
  <si>
    <t>This is like a treasure chest of magical girl goodies, except instead of a box, it’s an entire specialized storage attachment to your Warehouse. You’ve got one of every piece of official magical girl merchandise that’s ever been produced. Every manga, anime, OVA, game, light novel, visual novel, live - action adaptation, every body pillow, every figurine, every poster, every toy, every bit of cosplay… all of it. In addition to the official stuff, you also have a copy of every magical girl doujin ever written.</t>
  </si>
  <si>
    <t>Mala Mushrooms</t>
  </si>
  <si>
    <t>I get that you’re both hungry and horny, but just because you find something that is both phallic-shaped and food-shaped does not mean you have to eat it. These mushrooms in particular make those that eat them both hungry and unbearably horny. Which is great if you’re sick and have trouble getting an appetite, but not so great if you're trying to survive in the Digital World. You get a big basket of them, refreshed daily.</t>
  </si>
  <si>
    <t>Mrs Coffee</t>
  </si>
  <si>
    <t>A demonic coffee-maker, shaped like an ebony sculpture of a lady with 'Mrs. Coffee' printed on the side. Below the sculpture is a pot of steaming hot coffee, giving off an invigoratingly rich smell. The magic of the coffee-maker always keeps the rich, creamy coffee at a properly steaming temperature while the pot is left in place, ensuring its readiness whenever you need a refreshingly caffeinated drink to energize yourself.
However, the most notable thing about it only becomes apparent once the coffee pot is put back in place. The busty coffee-maker will come to life, grabbing her thick dusky nipples and squeezing out a trickle of scaldingly hot liquid. Her eyes rolling up into her head from pleasure as she automatically refills the missing coffee, mouth open with ecstasy. As the coffee pot is refilled, her movements gradually slow down with almost imperceptibly quivers, before she freezes back into place with a final smile of contentment.
It also comes with a free mug that has '#1 Dad' written on it.</t>
  </si>
  <si>
    <t>Rope</t>
  </si>
  <si>
    <t>It’s rope. Smooth, strong, rope. Great at all things...rope-y. Just reach behind your back and pull out a fresh coil whenever you need one. You’ll probably find a few uses for this here.</t>
  </si>
  <si>
    <t>Sex Ed Video</t>
  </si>
  <si>
    <t>This 1-hour recording contains all the knowledge needed to educate someone about sex, somehow compressed into the space of a single hour. Not only does it cover the potential consequences of sex, but it also explains the physiology of sex, the psychology of sex, as well as covering sexual history and recommendations on making sex more enjoyable for all involved parties. Ample visual demonstrations are provided. In worlds that possess sexual energies such as sextacy, it will also delve into them in sufficient depth to provide knowledge in the subject equivalent to a college graduate focusing in sex and sexuality. All in only an hour! Kind of weird how that works.</t>
  </si>
  <si>
    <t>Sex Practice</t>
  </si>
  <si>
    <t>This is a punching bag that’s had a hole cut into it, and either a dildo or an onahole inserted into said hole. When you fuck this punching bag, you will get better at sex, even though it’s an inanimate object and shouldn’t reasonably make you any more skilled at sex. You will, nonetheless, improve in staying power and control over your pelvis, be it to restrain yourself from coming or to control the muscles in your vagina.
This also comes with a number of sex manuals. By studying these manuals, you will learn more about sex, and your skill in all matters of eroticism will improve; your hands will more deftly please your partner, you will find their personal weak spots faster, and your pole dancing will be more sensual.</t>
  </si>
  <si>
    <t>Virgin Mary</t>
  </si>
  <si>
    <t>You get an unlimited supply of any and all non-alcoholic cocktails from every setting you have visited. This comes with glasses, ice, little umbrellas, and other needed accouterments.</t>
  </si>
  <si>
    <t>“Official” Art book:</t>
  </si>
  <si>
    <t>Dragonaut: The Resonance</t>
  </si>
  <si>
    <t>If you even glanced at the title picture, you should know that this setting is rather replete with quite a few amazingly gorgeous women. Wouldn’t you like to... see them better? This incredibly detailed, exactingly drawn book contains full profiles and many ‘compromising’ drawings of every attractive female Character in the setting. It even comes with hard numbers like their bust/waist/hip measurements, weight, height, etc. For free, this book updates itself with a repository of the select ‘top of the heap’ women for every world you bring it along to. For no charge, you could, I suppose, have it show the dudes or some combination instead.</t>
  </si>
  <si>
    <t>"Treasure" Chest</t>
  </si>
  <si>
    <t>The essential toolkit of any aspiring pervert, this item is a chest full of quality sex toys; dildos, plugs, vibrators, harnesses, condoms, ropes and gags, and anything else you might think of that could be useful for lewd purposes. Everything here except the disposable stuff is self-cleaning and self-maintaining, and you can choose to “equip” this item, allowing you to always have some of this item’s contents on your person at your convenience; condoms materialize in your wallet at a moment’s notice, a gag and ropes just happen to be in your backpack, etc. While there’s nothing fantastical or high-tech in this lewd treasure chest, just stuff available in a modern setting, if you find or create more exotic sex toys in other settings you can add them to this item and confer its benefits to them.</t>
  </si>
  <si>
    <t>Adventurer's Essentials</t>
  </si>
  <si>
    <t>Most heroes need to pack light to avoid being bogged down by too much weight, but this enchanted travel bag makes such concerns a thing of the past. It’s much bigger on the inside than it first appears and it can easily hold hundreds of pounds of supplies, treasure, outfits, and weapons, all without weighing any more than the bag itself does. It even comes equipped with a few travel essentials including a tent and bedrolls, a cooking pot, a few empty bottles, a paraglider, and an entire side pocket stuffed to bursting with various kinds of sex toys by some practical joker. All of these contents are entirely mundane but they’ll be cleaned and repaired whenever they’re stowed away in the bag.</t>
  </si>
  <si>
    <t>Ancient Vibrator</t>
  </si>
  <si>
    <t>The ancient Sheikah were no strangers to demons of lust and invented countless artifacts to counter their debauched foes. One such artifact is this ancient sex toy, a finely-sculpted vibrator or similar device which actively drains dark magic and corruption through the pleasure it grants the user. Acting like a heat sink, it can break curses and purge your body of the effects of demonic aphrodisiacs and other unwanted effects which impair your mind or body, but the more powerful the curse the harder you’ll need to work to purge yourself of these unwanted effects. The harness that comes with the device ought to help with that, letting you strap yourself in and wear it under your clothes. Long journeys have never been so pleasant!</t>
  </si>
  <si>
    <t>Bag O' Gold</t>
  </si>
  <si>
    <t>Your typical bag of gold. Contains about 30,000 pieces of gold. Enough to support you for a while. Or pay for 6 trips to a brothel. Each gold coin is 1 Troy Ounce of pure gold. The bag itself will regenerate once every decade.</t>
  </si>
  <si>
    <t>Bag of Bondage</t>
  </si>
  <si>
    <t>BDSM is an extremely gear-heavy hobby and it would really suck if you ran into an opportunity to indulge only to miss out because you left your ropes at home. Not to worry: this unassuming backpack, briefcase, or similar accessory has space enough to hold an entire arsenal of kinky accessories plus everything else you might want to carry around with you. Anyone who tries to go through your stuff without permission will find nothing suspicious inside but as soon as you need the contents they'll be ready and waiting for you to have your fun with them, as if you were actually prepared to have a random encounter while out in public. In addition to ordinary BDSM accessories such as ball gags and bundles of rope you can also conjure up related but somewhat more exotic implements, such as a chloroform rag and a phony time bomb for your "evil villain kidnaps heroic police girl" roleplay fantasy. Even minor enchanted items like dragon ropes and can be conjured up if you could easily have made them yourself.</t>
  </si>
  <si>
    <t>BDSM Toys</t>
  </si>
  <si>
    <t>You have a collection of toys befitting BDSM play, about a dozen of each of the following: Ropes, whips, gags, three vibrating clamps to attach to the nipples and clitoris, nose hook, permanent markers, blindfold, balloons designed to be inserted into an orifice and inflated, and a collar with a leash.</t>
  </si>
  <si>
    <t>Bottles of Cum</t>
  </si>
  <si>
    <t>...What an interesting thing you have here. I question why on earth you would ever need it, but I suppose it might have some use. Simply put, this massive collection of bottles automatically collects any cum that you shoot out that isn’t... Shall we say, in use? A creampie is useful, and giving someone a nice coating in your fluids is extremely satisfying - but no matter what you do, some of it’s bound to end up on the floor, right? That’s what these bottles collect. While the cum isn’t really special on it’s own, you’ll find that sealife seem to think of it as a tasty treat.</t>
  </si>
  <si>
    <t>Broken Vending Machine</t>
  </si>
  <si>
    <t>A futuristic vending machine that’s constantly stocked with a wide variety of delicious, highly processed, pre-packaged food and drink. It doesn’t need power to function and all the prices are ‘zero’, so you could probably feed a whole neighborhood indefinitely without having to spend a single eddie.
The machine can provide both cold and hot comestibles, so you can have a cool soda with your hot burrito. Also, the comestibles it provides somehow don’t negatively affect the health of those who consume them, even if they provide 1000% your daily recommended amount of sodium and microplastics.</t>
  </si>
  <si>
    <t>Buzzkillers</t>
  </si>
  <si>
    <t>These administer a simple neural scrub, through either a nasal inhaler or a dissolving chips put on the back of the neck, made to remove the effects of drugs on a given person's system; essentially removing any tolerance or addiction they may have.</t>
  </si>
  <si>
    <t>Camera Golems</t>
  </si>
  <si>
    <t>A set of floating orbs capable of recording footage or broadcasting it elsewhere. They even come with a large crystal that can project whatever footage you give it, so you can advertise your work and titillate the adoring public.</t>
  </si>
  <si>
    <t>Catch my Good Side</t>
  </si>
  <si>
    <t>You are uncommonly photogenic. Recordings of you tend to keep you in frame and make you look good, even if your cameraman is a total amateur. You don’t even necessarily need one, as recording equipment always seems to keep working, or even start itself, when you want to catch a moment on film. Your phone may glitch out and automatically start recording an important conversation even without you touching it. And if you drop your camera when a monster catches you, you can rest assured that it will not only be undamaged and keep rolling, but that it will land at the perfect angle to catch your pussy getting destroyed by monster cock.</t>
  </si>
  <si>
    <t>Codex</t>
  </si>
  <si>
    <r>
      <rPr>
        <sz val="13"/>
        <color theme="1"/>
        <rFont val="Calibri"/>
        <family val="2"/>
      </rPr>
      <t xml:space="preserve">What you have here is a leather-accented tablet with a connector to attach to a belt. And it even writes its own introduction. </t>
    </r>
    <r>
      <rPr>
        <sz val="13"/>
        <color theme="1"/>
        <rFont val="Calibri"/>
        <family val="2"/>
      </rPr>
      <t>“Greetings, Master/Madame. I am the Codex. You may address me as Codex. I am a simple virtual intelligence, or V.I. in common parlance, programmed to assist you in cataloging new life, resources, and technologies. I am equipped with long-range extranet transmitters and receivers, allowing for communication and data access in most locations. There is a short-range life sensor embedded in me that allows me to warn you of impending danger. Upon detecting a new species, I will collate all extranet-available data on the species for you to peruse within a minute or two. I have haptic feedback on my screen and do accept voice commands, Master/Madame.”</t>
    </r>
    <r>
      <rPr>
        <sz val="13"/>
        <color theme="1"/>
        <rFont val="Calibri"/>
        <family val="2"/>
      </rPr>
      <t xml:space="preserve"> 
Handy, ain’t it? It also keeps track of your personal status, up to and including your levels of Taint or other corruption. It will also collect samples of speech, and once enough progress is made, will be able to translate others and yourself automatically in real time. In following jumps, when encountering new species or resources, it will pull info from any recorded source, including the written word. You should always know if a race has hallucinogenic genitals, right? All Codexes also come with a psionic energy sensor, to warn you when a new encounter is trying to be tricky with your brain meats. You can also import this device into any sort of tablet or personal communication device.</t>
    </r>
  </si>
  <si>
    <t>Commemorative Photos</t>
  </si>
  <si>
    <t>For every appreciable sexual milestone you reach, you receive a photo of yourself to celebrate your accomplishment. For instance, jacking off a thousand dicks would get you a picture, but so would jacking off a hundred, or ten thousand.</t>
  </si>
  <si>
    <t>DO NOT</t>
  </si>
  <si>
    <t>An ordinary-looking ‘DO NOT ENTER’ road sign, except that due to a manufacturing error, the ‘ENTER’ is missing. Won’t bend or break if used as a weapon, though it’s pretty unwieldy unless you have superhuman strength. Very good for expressing your displeasure at someone doing something that you would very much rather them DO NOT.</t>
  </si>
  <si>
    <t>Enchanted Camera</t>
  </si>
  <si>
    <t>A video camera that has been magically empowered, this one will never run out of charge and has an infinite memory space. It has incredibly high, perfectly lifelike fidelity, an has been enchanted with both an ultra-intensity zoon and hentai x-ray vision; perfect for if you want to videotape the process of getting creampied, or watch the insemination of your own eggs.</t>
  </si>
  <si>
    <t>Fetishwear</t>
  </si>
  <si>
    <t>This grants you an infinite credit line with the famed fetishwear makers "Unlimited Fetish Works", who will make any fetish outfit to your specifications, throw in whatever enchantments are required to ensure comfortable wear (as long as comfort is part of the design, that is) and deliver up to a hundred outfits a week straight to your pocket dimension in no time at all.</t>
  </si>
  <si>
    <t>Fukbuk Bracelet</t>
  </si>
  <si>
    <t>A small bracelet like device with a small computer inside of it. All it really does is keep track of your location as well as your wallet. So, in a nutshell, it’s just a fancy gps/credit card combo. However, this version is prepaid, for lack of a better term. Not a whole lot, but it’s enough to enjoy a day or two at Mizuryu Kei Land without hurting your actual wallet. Anything more than that and you’re on your own. However, as a small added bonus, you can fill it manually, and the bracelet can also serve as it’s intended purpose - ID and money - anywhere and everywhere, not just inside the park.</t>
  </si>
  <si>
    <t>Gifted by the Grail</t>
  </si>
  <si>
    <t>Most servants know nothing about the modern era, with only a few tidbits of information about language and locale shoved into their head during their summoning. This? This is the history of your fetish, a comprehensive collection of just about every piece of porn ever produced that fits the theme. It sits you down, walks you through it, and explains to you exactly why this fetish is so much better than all the others. It’s also extremely easy to upload onto the internet, and has more than a few ‘home movies’ of famous individuals. No I don’t know why the Holy Grail gave this to you.</t>
  </si>
  <si>
    <t>Glorious Treasure</t>
  </si>
  <si>
    <t>To the right buyer, this stash of top-tier smut is the next best thing to gold. You’ll find many school boys or girls willing to pay top dollar, or recieve in place of payment. Restocks monthly.</t>
  </si>
  <si>
    <t>Holo-Lounge</t>
  </si>
  <si>
    <t>A chaise lounge that you can summon literally everywhere. It’s transparent, immensely comfortable, instantly cleans itself when you put it away, and is weight-rated for an entire orgy.</t>
  </si>
  <si>
    <t>Hunter of the Heart the Novel</t>
  </si>
  <si>
    <t>No, not the Perk, the book. This little red novel of infinite pages will catalogue your sexual exploits in exquisite melodrama, with chapter after chapter dedicated to even a single lover. Great for reminiscing, or for inspiration.</t>
  </si>
  <si>
    <t>Hyper Sex Toys</t>
  </si>
  <si>
    <t>Toys designed for those of a size fetish. Dildos and strapons that are measured in feet. Onaholes you could easily shove an entire arm into.</t>
  </si>
  <si>
    <t>Icha Icha Collection</t>
  </si>
  <si>
    <t>The finest stash of porn in all the land, Icha Icha is the best professionally-produced smut in the elemental nations and right here you’ve got signed copies of every single volume. Not only is this stuff great fapping material, it’s actually surprisingly good at teaching you how to flirt, almost like the writer had some actual experience hooking up with girls or something. While the early volumes start off vanilla, later issues start delving into more advanced material, like BDSM.</t>
  </si>
  <si>
    <t>Injection Gun</t>
  </si>
  <si>
    <t>This little pistol-like device will inject the contents of whatever vial you insert into it. Just jab them with the needle on the end of the ‘barrel’, and pull the ‘trigger’.</t>
  </si>
  <si>
    <t>Insurance Card</t>
  </si>
  <si>
    <t>This item is exactly what it says on the tin, your insurance. You need never worry about someone scratching your car, an expensive surgery, or a tree falling on your house ever again. All of those things are simply handled for you. Additionally, while not impossible to lose or have stolen, the card will semi randomly move itself to a more convenient location if you leave it alone for too long. The inside of your wallet seems like an obvious place, though it may also lay itself on your desk, if you get into the habit of spending all your time there.</t>
  </si>
  <si>
    <t>Legally Mandated Slutwear</t>
  </si>
  <si>
    <t>You receive a wardrobe full of slutty clothing, all of which leaves your crotch exposed at the bare minimum, and often more. The wardrobe has clothing for a wide variety of functions, from school to formal dinners to funerals to weddings to clothing suited to whatever jobs or hobbies you might have. No matter how little you are wearing, as long as its from this wardrobe no one will ever object to you showing up so exposed. Furthermore, no matter what fluids it is exposed to this clothing will never stain or get dirty... unless you want it to, for some reason.</t>
  </si>
  <si>
    <t>Magical Trunk</t>
  </si>
  <si>
    <t>A magical trunk that is slightly bigger on the inside than outside, filled with all of the things you would expect a Hogwarts student to have, from textbooks and packets of potion ingredients to school uniforms and writing supplies.</t>
  </si>
  <si>
    <t>Malanya's Saddle</t>
  </si>
  <si>
    <t>As the god of horses Malanya is always happy to share the joy of being a horse with those of his followers who’ve been cursed to be born in non-horsey bodies. To that end he created this magical ensemble which allows the wearer to be transformed into a horse, in a sense. Consisting of a saddle, bridle, anal tail plug, and bondage gear which securely restrains all of the wearer’s non-horsey bits, this enchanted gear grants a wearer the strength, speed, and endurance of a wild stallion while also allowing a person to ride on their back as comfortably and effectively (for both rider and horse) as a real horse. While wearing the complete outfit the horse can even teleport straight to her master’s side: simply whistle for her and she’ll magically appear from over the nearest hill or as if she’d been loyally waiting for you just out of sight even if she was actually many miles away.</t>
  </si>
  <si>
    <t>Media Remaker</t>
  </si>
  <si>
    <t>For all that the world is currently running on porn logic - possibly literally if you bought said perk - you may still find yourself in need of some actual porn. That why the adaptifier was created. It remakes any media you point it at, from video games, tv shows, books, hell even the bible. Said remaking ups the amount of sex in it, as well as the explicitness, by quite a bit. Send your RPG party to the inn to heal up? Get a nice cutscene of them having an orgy. So on and so forth.</t>
  </si>
  <si>
    <t>Ninja Goods</t>
  </si>
  <si>
    <t>These ninja goods include common tools like shuriken, kunai, rope and ninja wire, explosive tags, and so on. But someone appears to have played a prank on you and switched out all the standard gear for something a seduction specialist would use. All of the shuriken and kunai are coated in aphrodisiac poisons, the wire and ropes always seem to bind their targets into shibari positions, the explosive tags unleash clouds of sleeping gas, and so on. Conveniently you’ve also been inoculated against all of the poisons and drugs in this collection, so don’t worry too much about your weapons being turned against you.</t>
  </si>
  <si>
    <t>Perfect Size and Girth</t>
  </si>
  <si>
    <t>A gift from the heavens for any sexually frustrated but squeamish girl. What you have is a collection of dildos with the magnificent property of being completely painless. Even in the process of ripping a virgin’s hymen, the recipient will feel only pleasure, never any pain. Those you inform of this will often believe you as well.</t>
  </si>
  <si>
    <t>Pocket Full of Leverage</t>
  </si>
  <si>
    <t>As a ninja you get up to all sorts of wicked escapades, some of which don’t even involve fucking another man’s wife! It sure would be a shame to have no proof that the deed was ever done though, which is why you have this folder full of photographic and video evidence, taken of every woman you’ve ever slept with. You needn’t have a camera on hand to capture the best shots, you’ll simply find them in your possession afterwards, as if you’d set up recording equipment to get all the best angles. Naturally this evidence never leaves your person so it can’t be discovered on accident, but it makes fantastic blackmail material should you ever have need of such a thing, and if you decide to send it to a relation of the women you fucked it’s sure to have a devastating effect on them.</t>
  </si>
  <si>
    <t>Portable Computer</t>
  </si>
  <si>
    <t>Virus equips its agents with only the best technology, as expected of an evil scientific organisation. This is a wearable or portable computer, in the form of a ring, wristband, small tablet or other compact item. It has a holographic display and gesture-recognition, making for an excellent way to control linked devices discreetly as well as conduct research or run simulations.</t>
  </si>
  <si>
    <t>Power Suit</t>
  </si>
  <si>
    <t>You’re royalty now so it’s time to start dressing the part. This item is your choice of a business suit, royal dress, or any other outfit which fits the role of making you look impressive and authoritarian. It fits you perfectly, is always comfortable to wear no matter the weather, and onlookers will never think of it as inappropriate for the situation. You can don and remove this outfit at will, clothing or disrobing yourself instantly or with a dramatic flourish such as flinging it aside, and it is always freshly cleaned and maintained whenever you call it back to yourself.</t>
  </si>
  <si>
    <t>Rape Whistle</t>
  </si>
  <si>
    <t>Hopefully you’ll never need to use this item but a little insurance can’t hurt, right? This innocent-looking whistle is your ticket out of a bad situation in any public place: blowing into it instantly draws the attention of anyone within about fifty feet or so to yourself, and more importantly it draws their wrath down on anyone who might be trying to take advantage of you at the time, be it sexually or otherwise.</t>
  </si>
  <si>
    <t>Recording Crystal Ball</t>
  </si>
  <si>
    <t>If you are going to show the public humiliation of the heroines you might as well spread it across the kingdom. Luckily you have a set of these crystal balls which can record the acts of debauchery you commit to be spread across the continent. The best part is, you don’t even need to set up these crystal balls beforehand. Instead every time you have sex or preside over those having sex you automatically get a set of these crystal balls which have recorded the events. Perfect for breaking down the moral of the kingdom you have conquered by showing their idol getting raped.... or just selling as porn to make a little extra money on the side.</t>
  </si>
  <si>
    <t>Respirator</t>
  </si>
  <si>
    <t>This gas mask is great for keeping out the Lewd Mist or other airborne contaminants. Its filter shines in a bright color of your choice that turns into a pinkish red when compromised. Even the Nyakuza, who are immune to the Lewd Mist, carry these for any civilians that they might come across in their duties. Normally, they should be recharged between uses, but this one seems to have a permanent charge.</t>
  </si>
  <si>
    <t>Restraints of No-Restraint</t>
  </si>
  <si>
    <t>A whole pile of various pieces of bondage equipment, from gags, handcuffs and spreader-bars to actual rope made of silk, nylon and other materials. Perfect for spicing up your dubiously consensual sexy funtimes!</t>
  </si>
  <si>
    <t>Self-Care Kit</t>
  </si>
  <si>
    <t>Bondage is difficult but not impossible to practice without a partner. You have an arsenal of rope, sex toys, and miscellaneous accessories designed for self-bondage and similar sorts of play. Whether you prefer to put yourself in elaborate predicaments or indulge in more simple scenes you'll find things in this collection to enable your wildest fantasies and do so with perfect safety. While you can't rely on a partner to untie you if something goes wrong, you also won't need to because the ropes would sooner snap on their own than cut off circulation or otherwise endanger your health. Accidentally tying yourself up so well that you can't escape at all is a nice fantasy but won't actually happen when push comes to shove. Moreover, your self-care routines are exceptionally effective at eroding magical effects like curses or addictions or other hostile spells that you currently suffer from, allowing you to purify yourself of such things. More powerful curses may require a great deal of time and effort to destroy them completely, but any sort of curse can be removed if you work at it hard enough.</t>
  </si>
  <si>
    <t>Sex Toys for the Corrupted</t>
  </si>
  <si>
    <t>The most noticeable effect of corruption is the increased libido it is almost always accompanied by. And since you might not always have someone else on hand to relieve your lusts, this collection of toys may help with that. Onaholes, dildos, and self-stimulation belts both common and deluxe, custom made in all shapes and sizes you could want. From a standard single-piece dildo, to a large and floppy one that produces aphrodisiacs, and variants that use intricate clockworks to vibrate. There’s even specialized aids for people with different body structures, like fake mares and poles for centaurs.
Besides these mundane examples, there’s also some enchanted fare here. Belts that cover the wearer in a layer of temporary and pulsing latex, strapons that allow the wearer to feel through them and produce actual cum, and more. But most curious of all are the organic 'items' serving as toys. Hybrid animal-plant creatures that feed upon semen, belt-like creatures that clamp down to grow and organic dildos to rub and fuck their wearer, even the occasional arm-sized squirming tentacle. These are not for the delicate, as the experience of using them is often quite overwhelming.</t>
  </si>
  <si>
    <t>Slave Raiments</t>
  </si>
  <si>
    <t>Masters and slaves are bound together by something stronger than rope, but that's no reason to skimp on accessories for your loyal slaves. You own a vast wardrobe of outfits and accessories for your rope slaves to wear, from collars and cuffs to corsets and panties to full ensembles such as gimp suits, maid uniforms, miko robes, and much more. These enchanted threads are like nothing you'll ever find in a store because they're woven out of your own magical power like the threads of a dragon rope, and when they're worn by your rope slaves they strengthen the bond between you, allowing a slave to always be within reach of her master’s magic no matter where she is. You can easily toy with a shibari harness or tweak the settings on a set of vibrator panties from clear across town, and you'll instinctively know whenever your slaves are in enough danger to need your help, or if they've been naughty and need to be punished for breaking a rule you've set for them, like "no masturbating without permission."</t>
  </si>
  <si>
    <t>Slave Wardrobe</t>
  </si>
  <si>
    <t>Oh don’t get me wrong. There’s plenty of professional suits for you in here too. But this is mainly filled with outfits for your many, many slaves. These outfits span the range from cruel to kind. From slutty to conservative. As well, you will find additional outfits suited to your arcologies Future Society. From maternity dress with fake bellies to make the girls look 9 months pregnant, to tops for those with mountainous breasts, to Arabian harem outfits and kimonos.</t>
  </si>
  <si>
    <t>Super Comfy Bed</t>
  </si>
  <si>
    <t>King sized, queen sized, a cot, futon... this bed can be whatever bed you want it to be!</t>
  </si>
  <si>
    <t>Super Spy Teddy</t>
  </si>
  <si>
    <t>This plushy will take any shape you desire, and if you choose can be a cutesy stuffed version of a creature from one of your previous jumps. However, in addition, this toy contains a number of spy cameras and recording devices, allowing you to surreptitiously record anyone who gets close to it. The plushy also has a small SEP field surrounding it, causing people to tend to overlook it and assume it’s just a harmless toy. This effect isn’t perfect, and someone already suspicious of you might be able to negate the effect with enough willpower, but most people will tend to overlook it.</t>
  </si>
  <si>
    <t>Teaching Aid</t>
  </si>
  <si>
    <t>Do you know what happens to female heroes when they’re caught by villains? It’s important to prepare aspiring heroines ahead of time. That’s why you have a set of transparent stocks made of some kind of incredibly tough material, still somehow padded enough to avoid injury no matter how thoroughly they’re used. When sealed, they can only be opened via a remote control, although they might still be broken if they’re subjected to truly stupendous levels of force.</t>
  </si>
  <si>
    <t>Tentacles for Dummies</t>
  </si>
  <si>
    <t>This self-updating instruction manual is something like a Kama Sutra for tentacle monsters, focusing on the possibilities that tentacles present. Splitting your time between reading the book and practice allows you to progress in the sexual skills made possible by tentacles as if being given personal tuition. Anyone without tentacles reading this book finds it a mortifyingly fascinating read. Such people who persist in finishing the book gain a strong and lingering curiosity about just how having the described techniques used on them would feel.</t>
  </si>
  <si>
    <t>The Album</t>
  </si>
  <si>
    <t>You are going to meet a lot of lovely ladies (or dudes) along your journey. Wouldn’t you like to just ‘know’ on meet that they fit your tastes? Well here you go, this little pocketbook automatically appraises a woman’s proportions down to the centimeter on the meet, and fills in details on their personality as you learn them. What’s more, it can even generate a small, 3D model of them for you to visually appraise, and feel up, complete with appropriate ‘sound effects,’ at your leisure. Lastly, it opens to the appropriate page you want whenever you open it.</t>
  </si>
  <si>
    <t>The Perfect Cig</t>
  </si>
  <si>
    <t>This cigarette never runs out, isn’t a carcinogen, and the smoke never interferes with other people unless you want it to. It always has the perfect rush of nicotine you want, but doesn’t cause addiction.</t>
  </si>
  <si>
    <t>The Rape Bed</t>
  </si>
  <si>
    <t>This is a bed, the likes of which you might find in a school nurse’s office. What makes it so special? Well, at any point in time while someone is in contact with it, you can instantly tie them to the bed and strip them. This allows you to easily have your way with them... as long as nobody interferes, at any rate. With a bit of focus, you can transfer these properties to a different bed.</t>
  </si>
  <si>
    <t>The Right Tunes</t>
  </si>
  <si>
    <t>A collection of music for any time and place. Organised by genre and mood. You’ll never be without the right background music.</t>
  </si>
  <si>
    <t>Vibrator</t>
  </si>
  <si>
    <t>A simple “magic wand” type vibrator. It never runs out of charge, and when you place it over someone’s clothing, it will stimulate the skin beneath as though there was nothing in the way. Even if the subject doesn’t have skin at all, it will still FEEL like it, letting you apply sexual stimulation even to entities that don’t have a sense of touch.</t>
  </si>
  <si>
    <t>Visiting Hours Leash</t>
  </si>
  <si>
    <t>When it comes to explaining all this spirit stuff to people who don't know anything about it, it's quite troublesome. Shut up and come with me just doesn't seem to cut it anymore. Thats where this handy dandy magic leash and collar comes from! Simply latch it on and get moving, the person attached to it will be fine as you outrun cars and drag them behind you. No, really, they'll be fine. It's magic, remember?</t>
  </si>
  <si>
    <t>Voice from on High</t>
  </si>
  <si>
    <t>A special microphone that will broadcast your voice throughout the property it is placed in. No one will be able to claim they didn’t hear you with this. By speaking a person’s name first, you can set it so only they hear you. Only works if they are on the property.</t>
  </si>
  <si>
    <t>X-ray Glasses</t>
  </si>
  <si>
    <t>The simplest of occult rapetech, a pair of glasses that lets you see through things. Clothes being the primary thing, obviously. You can set it to ‘off’, ‘underwear’, or ‘nude’, and it also comes with a gender/age filter. Just try not to giggle perversely and get a boner, or everyone will stare at you weirdly. Can also be turned into a camera filter.</t>
  </si>
  <si>
    <t>XXX-Tract</t>
  </si>
  <si>
    <t>Generic: Casual Sex World</t>
  </si>
  <si>
    <r>
      <rPr>
        <sz val="13"/>
        <color theme="1"/>
        <rFont val="Calibri"/>
        <family val="2"/>
      </rPr>
      <t xml:space="preserve">In the far flung future, pharmaceuticals have no doubt advanced with the other industries and this is once such result. A futuristic, non-addictive drug in the form of translucent strips that dissolve on the tongue with a sweet aftertaste. You receive a rejuvenating pack that dispenses them like gum and holds five strips at a time. The drug is an incredibly potent aphrodisiac and sexual enhancement drug that can get a randy couple forming the beast with two backs for hours without breaks or tiring. It works across all known species and is sure to cause numerous memorable experiences. Over the top drug name, </t>
    </r>
    <r>
      <rPr>
        <strike/>
        <sz val="13"/>
        <color theme="1"/>
        <rFont val="Calibri"/>
        <family val="2"/>
      </rPr>
      <t>optional</t>
    </r>
    <r>
      <rPr>
        <sz val="13"/>
        <color theme="1"/>
        <rFont val="Calibri"/>
        <family val="2"/>
      </rPr>
      <t xml:space="preserve"> mandatory.</t>
    </r>
  </si>
  <si>
    <t>You Never Know</t>
  </si>
  <si>
    <t>Some species are far more dangerous to please than others, so it pays to always be prepared. This is a gas mask that you can pull out of seemingly nowhere on a moment’s notice. You never need to replace the filter, but it’s otherwise a completely mundane gas mask. You can choose to give other companions the ability to pull out their own masks, as long as they’re in the same room as you.</t>
  </si>
  <si>
    <t>Yummies for Hubby</t>
  </si>
  <si>
    <t>Want to make something tasty for your husband-to-be but worried about ingredients? Well, worry no more because I have something special for you. Contained in this box are all kinds of ingredients from Elven Herbs to Imp Juice. The one thing they have in common is that they taste amazing when properly made into food...and that they have an aphrodisiac effect when consumed. A nice bonus, right?</t>
  </si>
  <si>
    <t>"Banana Cream"</t>
  </si>
  <si>
    <t>I’m not entirely sure why you would ever need this, but you now have a daily supply of a dozen gallons of your own cum. It’s sterile though, so if you want to impregnate someone you’ll have to do it the old fashioned way. On the other hand, if you had something like a flavor, or addictive cum... How’s your cooking? Ever felt like opening a bakery? It's kept fresh for the day and any you don't use will dispose of itself.</t>
  </si>
  <si>
    <t>"Chastity" Belt</t>
  </si>
  <si>
    <t>This looks like a simple chastity belt, until you open it up and reveal the fronds within, designed to vibrate and stimulate the genitals while being utterly impossible to open without the key (which simply appears in your hands when you want it; it cannot be lost). This chastity belt will apply a constant level of pleasure, while at the same time not permitting the target to orgasm by any means until the belt is removed. You receive two such belts.</t>
  </si>
  <si>
    <t>Adult Toybox</t>
  </si>
  <si>
    <t>A big cardboard box, it’s chock-full of sex toys of all shapes and types. The box is significantly larger on the inside, and it has very nearly any sex toy you can imagine (so long as it is small enough to be carried in one hand and isn’t more technologically advanced than the modern age). Vibrators, dildos, strap-ons, onaholes, handcuffs, whips, and a vast host of other options can all be found within. But most peculiarly, you can designate up to 5 sex toys from this box, and can summon them from this box regardless of distance with an act of will. A similar mental effort is required to banish them back to the box, and you can easily switch what toys you can summon by shuffling through the box for a few moments.</t>
  </si>
  <si>
    <t>Almost Daily</t>
  </si>
  <si>
    <t>It would appear that you’ve come into possession of a camera. This one however is not just any ordinary camera. In addition to being mostly indestructible and extremely high quality, if you happen to lose it you’ll find it later that same day. You’ll also find that every twenty-four hours for five days a week a single thirty second video of a companion and their most notable daily activity will appear on it. On the seventh day another video summarizing what exactly they were doing and why they were doing what they were doing will appear on it.</t>
  </si>
  <si>
    <t>Always Prepared</t>
  </si>
  <si>
    <t>High Tail Hall</t>
  </si>
  <si>
    <t>So, you invited that beautiful horse gal back to your place, and suddenly you notice you didn’t bring any condoms! Or worse, you brought that cute femboy fox you met back to your room, only to find out you don’t have any lube! Well, lucky for you you’ll always be equipped with a suitable amount of these things if ya buy this! You’ll never be unprepared!</t>
  </si>
  <si>
    <t>Animal Costume</t>
  </si>
  <si>
    <t>This barely qualifies as a costume, even by our standards! It's basically just some animal ears and a tail attachment. Not even an animal themed bikini or anything! Well, the purpose of the attraction this comes from is to be beastial, so I suppose less clothes fits that part. Anyways, wearing this costume causes the wearer to temporarily develop an intense petplay fetish. Speaking is kept to the minimum, while doggystyle is at an all time high, and yes that was a pun. You get the idea, right?</t>
  </si>
  <si>
    <t>Aphrodisiac Drug</t>
  </si>
  <si>
    <t>A simple powder drug that works as an aphrodisiac. It functions when consumed, and is tasteless and colorless when combined with food or a liquid. It’s quite strong, too, enough to get a tsundere to stop being physically violent and start being physically affectionate.</t>
  </si>
  <si>
    <t>Blackmail Collection</t>
  </si>
  <si>
    <t>Maybe you see the class president shoplifting from a convenience store, but don’t have your camera on you? Maybe you raped the school idol when she was unconscious due to a Zakenna attack, but your phone was out of batteries, so you couldn’t record a video of it? No need to worry, I’ve got you covered. From now on, any and all potential blackmail that you come across will appear on this external hard drive. It has an infinite amount of storage, perfect indexing, nobody but you can interact with the data on it, and if it’s ever stolen, it will return to your warehouse as soon as the thief takes their eyes off of it.</t>
  </si>
  <si>
    <t>Captital Games</t>
  </si>
  <si>
    <t>You can’t make money if you don’t have the money to invest in the first place. So here’s a steady trickle of the local currency, coming in on a weekly basis. It’s enough to sustain an indulgent middle class lifestyle, with a little extra leftover to sink into investments for a steadily increasing flow of cash. No one questions this income, even the taxman.</t>
  </si>
  <si>
    <t>Capture Gear</t>
  </si>
  <si>
    <t>Normally, an Agent would just get a set of handcuffs or zip ties to bind their suspects for transport to a holding cell. That wouldn’t be quite as fun if that were the case here. Instead, you gain an assortment of bondage and capture gear ranging from rope to shackles to even leather bindings. It’s all stored in a special duffel bag where you can pull out whatever style of restraint you would prefer. Heck, there might even be a chastity belt or two laying around. What makes these accoutrements better than the standard fair, other than indestructibility, is the fact that it can channel magic spells for anyone that knows magic. So you could literally spell them to shock people if you wish.</t>
  </si>
  <si>
    <t>Carnal Ride</t>
  </si>
  <si>
    <t>A top-of-the-line motorcycle, sports car, or something similar. Possibly even a modified classic, or a flying hover car. It's fast, it's eye-catching in a way that attracts potential suitors, and it's got some nice extra features. Most notably, the vehicle is designed for pleasure as much as transport. Though the specific implementation is left up to your tastes. 
The seats might be able to vibrate like "massage" chairs, a wealth of different sex toys might be discreetly built-in and ready to pop out on command, or you could have something like electrodes that directly stimulate the nerves with pleasure. Regardless of the specifics, these special features make long rides more enjoyable for you and potentially also make for a fun surprise for any unwitting passengers or prospective thieves. 
It is also self-driving with an advanced autopiloting system, so you can just lean back and enjoy the ride. Just specify a destination and off you go. Though if you prefer doing things yourself, you could drive it manually by using one of the built-in sex toys to control it...or you could drive it normally, using the steering wheel. Like a boring person.</t>
  </si>
  <si>
    <t>Cleaning Supplies</t>
  </si>
  <si>
    <t>Between the traditional methods of Monster Hunters and sorcerers, the senses of rival predators, and modern forensics, leaving samples of your unholy essence laying around is a worse idea than it's ever been. This unremarkable spritzer bottle contains a solution. When sprayed over a solid surface, the liquid reacts with and rapidly breaks down all forms of organic residue, from stray hairs and skin flakes to sweat and saliva to various forms of discharge. Among other things, this eliminates scents. In addition to destroying physical evidence, the liquid masks magical energy and similarly exotic traces. Despite this, it's non-toxic, doesn't harm organic matter that is alive or above a very small size, and has no reaction with inorganic matter. This does mean it's unable to dispose of larger forms of evidence; it also leaves a slurry that experienced investigators will recognize, even if they can't tell what it used to be. A bottle of Cleaning Supplies is large enough to scrub the sites of as many as seven typical single-victim feedings. It refills once per week.</t>
  </si>
  <si>
    <t>Collar of Kinky Education</t>
  </si>
  <si>
    <r>
      <rPr>
        <sz val="13"/>
        <color theme="1"/>
        <rFont val="Calibri"/>
        <family val="2"/>
      </rPr>
      <t xml:space="preserve">This tight leather collar increases your body’s sensitivity to pleasure and leaves your mind thinking dirty thoughts all the time, but also greatly increases your ability to memorize and understand information. But the question is, Are you a Teacher’s Pet or a Teacher’s </t>
    </r>
    <r>
      <rPr>
        <i/>
        <sz val="13"/>
        <color theme="1"/>
        <rFont val="Calibri"/>
        <family val="2"/>
      </rPr>
      <t>Pet</t>
    </r>
    <r>
      <rPr>
        <sz val="13"/>
        <color theme="1"/>
        <rFont val="Calibri"/>
        <family val="2"/>
      </rPr>
      <t>?</t>
    </r>
  </si>
  <si>
    <t>Cosmic Vibrator</t>
  </si>
  <si>
    <t>By harnessing the energy of the interplanetary attraction, this, the ultimate sex toy, has been created. It looks a little like a vibrator version of the handle of a walking stick, but it isn’t used for traditional masturbation. Rather, it can be used to shoot a vibrating beam—a beam that induces a cosmic level of pleasure beyond what anyone is capable of imagining. The pleasure when focused on an erogenous zone is more than almost anyone would be capable of withstanding.</t>
  </si>
  <si>
    <t>Diuretic</t>
  </si>
  <si>
    <t>Some people are resistant to pleasure. But nobody can completely ignore the urge to piss, and it is nearly impossible to both fight off the feelings of stimulation and hold off the need to pee at the same time. That’s why you have this bottle of diuretic pills, which will take only a few seconds to come into effect and give someone an ever-increasing urge to pee. It also has the side effect of increasing their sensitivity to sexual pleasure. This bottle refills once per week, and only one pill is needed for any subject, regardless of body mass.</t>
  </si>
  <si>
    <t>Dom Perignon</t>
  </si>
  <si>
    <t>You are in possession of a replenishing supply of Don Perignon wine. In addition to being pretty good wine in its own right, this batch is a little special. It’s laced with a fast-acting rape drug, knocking those affected unconscious after the drug has had time to circulate through their system. Conveniently enough, you seem to be able to decide on a moment’s notice who gets drugged, and who is completely immune for no particular reason at a given moment.</t>
  </si>
  <si>
    <t>Good 'ol Fashioned Camera</t>
  </si>
  <si>
    <t>A neat little camera that records you every time you have sex. With neat editing, a nice sensual music choice, and impeccable angles, you can have the best sex tapes on the island! Even better, those tapes don’t spread unless you want them to.</t>
  </si>
  <si>
    <t>Handy Cellphone</t>
  </si>
  <si>
    <t>A smartphone with all the latest apps. It can take and send calls from anywhere and has a high-definition camera with plenty of storage. For some reason, it always seems to find itself in a perfect position to subtly record events around you when you want it to, without you needing to distract yourself to put it there. Whether you use that evidence for good or to just get yourself off at a later date is up to you.</t>
  </si>
  <si>
    <t>Ka-Ju Whip</t>
  </si>
  <si>
    <t>Made out of blessed Ka-Ju Rope, this whip is a useful tool for anyone who wants to take an enemy alive. The blessings on this magical whip make it simple to tie up things or people that the whip is swung at: not only can it stretch to reach distant targets, it can automatically knot and release itself instantly the moment its wielder needs it to, making it useful not only for tying up enemies and disarming them of their weapons but also as an improvised grappling hook for crossing challenging terrain. Highly skilled wielders can even learn to tie up their captives with a single flourish, leaving them bound, gagged, and totally helpless in just a few seconds. Cutting the rope at the hilt will make a new one grow in to replace it, giving you a limitless supply of bondage-ready rope strong enough to keep even the most ornery monstergirls under wraps.</t>
  </si>
  <si>
    <t>Kunoichi's Best Friend</t>
  </si>
  <si>
    <t>When your boyfriend is nowhere to be found, you can always rely on a big fat dildo to help fill the gap, so to speak. This item is a set of exceptionally large and very high-quality sex toys which will either help addict you to fat cock even further than you already are or help you try to get over it by weaning you off the real thing. They also either double as weapons, like a club or a tonfa, or they actually have weapons hidden inside of them, like a hidden blade or a stash of ninja wire and so on. The specifics are left up to your imagination.</t>
  </si>
  <si>
    <t>Magic Cock Ring</t>
  </si>
  <si>
    <t>A small rubber ring, a few inches in diameter. Placing it around cock - or over a vagina - will cause a small portal to open up. The other end can be placed anywhere you can see, from three feet away to through a live television signal. Who says long distance relationships can’t work? In addition, there is a small SEP field - the portal and dick/vagina is completely ignored, save for those that you exclude. The closest you’ll get to them paying attention to it is a bit of repositioning into a sexy position if they were to sit on it.</t>
  </si>
  <si>
    <t>Mary Doll</t>
  </si>
  <si>
    <r>
      <rPr>
        <sz val="13"/>
        <color theme="1"/>
        <rFont val="Calibri"/>
        <family val="2"/>
      </rPr>
      <t xml:space="preserve">A sex doll of the ‘Mary’ line of products, this doll has many lewd functions, such as aphrodisiac saliva, changing the size of your sexual attributes at will, or even applying a vibrating or vacuum effect to certain body parts. It even comes </t>
    </r>
    <r>
      <rPr>
        <i/>
        <sz val="13"/>
        <color theme="1"/>
        <rFont val="Calibri"/>
        <family val="2"/>
      </rPr>
      <t xml:space="preserve">without </t>
    </r>
    <r>
      <rPr>
        <sz val="13"/>
        <color theme="1"/>
        <rFont val="Calibri"/>
        <family val="2"/>
      </rPr>
      <t>the vengeful possessing spirit that has turned Mary Jane addicting! It’s also self-maintaining, mysteriously cleaning itself and refilling its stores of aphrodisiac overnight.</t>
    </r>
  </si>
  <si>
    <t>Milker</t>
  </si>
  <si>
    <t>A special machine meant to milk the sexual fluids from the body. A tube for the dick, a pair of cups for the breast, and an extra absorbent dildo for the vagina. Capable of handling liters per second of fluid. As a bonus, the containers in the pumps are the perfect size to fit in a Winger Generator.</t>
  </si>
  <si>
    <t>Miracle Lube</t>
  </si>
  <si>
    <t>Is that Hive Knight too tight because she’s never done it? Never fear, this small jar of white goop, which only looks like radiolaria, will get the job done. Seriously, you could fit a Cadillac into a dog house with this stuff... And of course that’s what you’re working with, right? Refills itself every week.</t>
  </si>
  <si>
    <t>Nabe Hot Pot</t>
  </si>
  <si>
    <t>This is a bowl of nabe, a type of Japanese hot pot. By itself it is a generic, but endless, supply of the stuff. However, by adding ingredients into the pot, it will change the makeup of the nabe, incorporating the ingredient into itself in the best possible way and providing a likewise infinite supply of the modified nabe. If you want to “reset” the nabe, just dump out the pot; if you try to dump it out, it is no longer endless, but just a normal pot. When you set it right-side up again, it will refill as its basic “plain” nabe, ready to be upgraded again. Any ingredients added to the nabe will retain any special properties they may possess, even if they wouldn’t normally have them after being cooked.</t>
  </si>
  <si>
    <t>Paralysis Drug</t>
  </si>
  <si>
    <t>This is a simple oral pill; once swallowed, it will induce muscle paralysis across most of the body, leaving vital organs, as well as the head, untouched.</t>
  </si>
  <si>
    <t>Photogenic</t>
  </si>
  <si>
    <t>No matter what situation you’re in or what angle people look at you from, you are as attractive as you can possibly be. Not only do cameras always show your best side (Which is pretty much every side) simply looking at you is like looking at a perfect pin-up poster. No matter the position of the sun, the lighting of the room, or any part of your surroundings, you will always look absolutely amazing. You’re also a wizard at making and selling sex tapes.</t>
  </si>
  <si>
    <t>Pink Glowing Stone</t>
  </si>
  <si>
    <t>A strange stone from outer space. Its radioactive, though not poisonous. Rather, anyone exposed to its radiation without proper protection will find themselves getting more and more aroused, quickly losing control and going into a sexual frenzy. Worse, if the stone should come into contact with a person’s skin, the person’s primary and secondary sexual characteristics would grow as long as contact is maintained. Effects wear off in about an hour after exposure is stopped. If lost or destroyed, a new one will appear in your warehouse in a week, enclosed in a secure lead box</t>
  </si>
  <si>
    <t>Plus Ultra Undies</t>
  </si>
  <si>
    <t>The problem with being in such enticing situations is how your pants tend to get very uncomfortable very quickly. Say no more! This set of underwear decorated with All Might’s face (How did that get past legal!?) is rated for Plus-Ultra size erections, able to contain them without crushing pain or broken waistbands! It can also highlight them in very tempting ways, even through clothing.</t>
  </si>
  <si>
    <t>Robot Buddy</t>
  </si>
  <si>
    <t>A somewhat adorable second-hand robot of your own design. It’s got quite the toolkit of utility features like hologram projectors, long-range sensors and tool hands, but explorers like you should keep it around for two reasons: one, this little guy will download and store any and all porn it can link its databases to, and secondly is just the kind of bumbling sidekick that makes a fantastic wingman.</t>
  </si>
  <si>
    <t>Saint Killer</t>
  </si>
  <si>
    <t>A bondage harness that can fit under clothing, the Saint Killer is cursed attire that cannot be removed unless the owner of the harness wills it. This makes it the perfect outfit to humiliate and weaken captives. The Saint Killer also has two vibrating dildos in the panties of the harness. Powered by magic and willed by the owner of the harness, they are used for tormenting the one who wears it. It is also quite accommodating to the owner and anyone who wants to enjoy the victim of the Saint Killer, often allowing the dildos to vanish in order for the victim to be ravished.</t>
  </si>
  <si>
    <t>Schrodinger's Bodysuit</t>
  </si>
  <si>
    <t>This shiny bodysuit is practically painted onto your body, deliciously showing off your curves and/or muscles to anyone who cares to look. Yet somehow, it’s also able to hide cocks perfectly, leaving a smooth surface as if the dick doesn’t even exist. If you like, you can turn this function off at will, revealing your bulge in all of its glory and even drawing viewers’ attention to it like moths to a flame. If the suit ever gets damaged, it will slowly repair itself over the course of a day or so.</t>
  </si>
  <si>
    <t>Setting the Mood</t>
  </si>
  <si>
    <t>I’m not 100% sure how or why a demon has these, but you have a small closet full of cosplay outfits. That said, they’re magic. Wearing these naughty outfits will automatically make you more skilled at your so-called job - the naughty nurse might suddenly know a few basic medical skills, though only for as long as she wore the outfit. But, more importantly is that wearing the outfits helps you act in a manner befitting that outfit… well, in a perverse parody of itself.</t>
  </si>
  <si>
    <t>Sinister Black Gloves</t>
  </si>
  <si>
    <t>Likely made by Dark Elves, the enchantment on these gloves seem perfectly designed for someone with more dominant tastes, amplifying the sensations you inflict on your victims while limiting the damage you cause. In a place like Lucidia, where deliberate damage is impossible anyway, they can be surprisingly effective weapons in the right hands.</t>
  </si>
  <si>
    <t>Super Aphrodisiac Tentacloid</t>
  </si>
  <si>
    <t>This is a tentacle creature covered in an assortment of aphrodisiacs from the J.A.V research labs and is about the size of a small cat. If this thing crawls into your ass, you’ll probably end up around twelve seconds from asking it to marry you.</t>
  </si>
  <si>
    <t>Super Powered Toys</t>
  </si>
  <si>
    <t>This box comes with a whole assortment of sex toys. From shapeshifting condoms, to dildos that will fill any hole. Onaholes that can mimic the vagina of any girl whose dna is placed in the little side container. There are even vibrators possessed by the souls of succubi, that want nothing more than to keep you orgasming. Everything for the lonely horny superhero. If any of the toys break, are stolen, or disappear, a new one appears in the box. They are all dishwasher safe.</t>
  </si>
  <si>
    <t>Sweet Sleeper's Cradle</t>
  </si>
  <si>
    <t>This bed will shapeshift to fit your particular aesthetics and needs. It is also luxuriantly comfortable and will always be the perfect mixture of firm and soft for anyone who rests on it, dynamically altering these aspects of itself to better suit whatever 'activities' the bed is currently being used for. In addition, this bed will temporarily cure the insomnia of any who sleep on it, allowing them to sleep well with relatively pleasant dreams. The bed seems to have something of a mind of its own, deliberately making itself uncomfortable to try and encourage you to get up in the morning.</t>
  </si>
  <si>
    <t>Tengirl Lifetime Purchase</t>
  </si>
  <si>
    <t xml:space="preserve">Having sex with other people is great, but what if you could make an entire person for the sole purpose of fucking? Introducing, Tengirl! For studs and sissies alike, tengirls are artificial partners made with a variety of body types and personalities to fulfill any fantasy and serve as life partners. Most people are content with just one, but what you have here is the potential to build an entire harem or stable of them for free. At first this only gives you the standard model, a blonde and somewhat muscular dickgirl with no outstanding fetishes or preferences who simply acts as a very loyal and very loving girlfriend, but the company will send you a new model every year based on your feedback. You may send an older tengirl back if you eventually find taking on new partners too troublesome or have them refitted into a new model if you actually grow emotionally attached, as well. </t>
  </si>
  <si>
    <t>The Colonel</t>
  </si>
  <si>
    <t>It’s a dildo. A dildo sturdy enough to be used as a shank in an emergency. More importantly, its functions, everything you could ever want from a sex toy, respond to your mental commands. Great for occupying the front hole, while you plunder the booty.</t>
  </si>
  <si>
    <t>The Kal'Sutra</t>
  </si>
  <si>
    <t>Kal’Sutara: The Complete Guide to Lovemaking is a lavishly illustrated tome packed from cover to cover with everything there is to know about sex and eroticism, from the most basic mechanics to the specifics of individual fetishes to philosophical ruminations on the nature of love. After reading this tome, even the most innocent virgin could pleasure her partners with a degree of borrowed skill, and experienced lovers will find new tricks with every re-read. In particular, several chapters are devoted to the use of magic for erotic purposes, and a novice mage could use this book as a manual to train themselves to become an expert in perverse spellcraft. The book also updates itself in future jumps, adding new chapters to cover new subject material such as exotic races and new forms of magic to exploit.</t>
  </si>
  <si>
    <t>Top Quality Protein Rinse</t>
  </si>
  <si>
    <t>I’m not sure what use you could have for this, but you now have a collection of bottles, jars, and other containers. What's inside them? Cum. Lots and lots of cum. For whatever reason, this cum has the odd property of being incredibly healthy. You could eat it for every meal and have no issues. You could use it as a skin cleaner and have the softest skin around. You could use it as a suntan lotion and come out beautifully bronze. You get the idea, right?</t>
  </si>
  <si>
    <t>Training Vibrator</t>
  </si>
  <si>
    <t>This black vibrator is actually made of processed tentacle monster flesh, and thus twists and squirms to rub up against its victim’s most sensitive spots. It can also take a variety of shapes, although by default it’ll take the form of your own (assuredly massive) cock. It even comes with an onahole with similar properties so you can link their movements. Perfect for training troublesome brats...or maybe just as a neat toy for a loving master and servant pair~.</t>
  </si>
  <si>
    <t>VR Loveseat</t>
  </si>
  <si>
    <t>If you’re going to spend a good chunk of your time in cyberspace, you’re going to need more than a console and a Net connection. This comfortable recliner chair provides a comfortable seat to keep you from suffering too much in the way of body aches due to staying motionless for long periods of time. The seat itself is wired up with a high-speed data connection, and comes with a set of additional accessories. First, a flattering and skin tight suit that helps regulate your body processes to allow you to stay in full VR for longer, and which can give tactile feedback for augmented reality when you’re not deep diving.
Second, and more impressively, a full virtual reality helmet just in case you don’t have any cybernetics to let you dive into VR. You could plug the helmet into the chair’s connection or just use it separately if you already have a wireless connection. But even if you do have the ‘ware, you might still want to use the helmet for its secondary function. It can translate the digital world into more familiar (and sexual) settings, allowing you to interact with programs and similar things as if they were human-like entities. Expect everything in this version of cyberspace to be very sexy, and for your bedroom skills to be as useful as (or more than) your hacking abilities if you try to penetrate security while using this.</t>
  </si>
  <si>
    <t>Deep Pockets</t>
  </si>
  <si>
    <t>Money and sex can sometimes go hand in hand, and nothing is worse than the blueballs you get from not being able to afford busting the perfect nut. Well lucky for you, money will never be an issue for you when it comes to sex. As long as what you’re buying is for sexual purposes, you’ve always got cash to burn on it. Prostitutes? You could buy every single one of them in the Red Light District and it’d be like you didn’t spend a cent. Commissioned porn? Literally no expense. Dildos and onaholes? It’s free baby! As long as sex is involved, it’s all free!</t>
  </si>
  <si>
    <t>Don't Tell Your Parents</t>
  </si>
  <si>
    <t>No one will ever question your ownership of this unmarked van and license. Those close to you in age are bizarrely trusting of you in this, unless they already have reason to suspect you.</t>
  </si>
  <si>
    <t>Magical Toys</t>
  </si>
  <si>
    <t>Sometimes, you need a little something-something to help spice up the ol’ sex life. Thats where these babies come in. A collection of some of the best sex toys money can buy. From Magical Holes that feel like you are actually inside a mouth, vagina or anus; to dildos that feel like a real cock is pounding the shit of you. Or for the truly adventurous, there’s Tentacles in a Bottle. Or the Ovipositor toys.</t>
  </si>
  <si>
    <t>Porn Paydata</t>
  </si>
  <si>
    <t>A veritable treasure trove of pornography suiting your tastes and fetishes, with a lifetime subscription to get fresh material monthly. They’re available in several media including the classic videos and images, as well as sensory recordings and better-than-sex edits. 
Video and images should speak for themselves (though holographic versions are possible), but the rest might require some explanation. The sensory recordings are fully VR and allow you to experience the senses and emotions of the porn actor for yourself. Every bit of physical pleasure, every touch and emotion they felt during the scene will be something you’ll be able to feel for yourself. The BTS edits take those basic recordings and amp up all of the contents, intensifying the entire experience into something quite literally better than sex. Do be careful with those, or you might find reality paling in comparison. Lastly, you can put in requests for other porn you already own to be converted into VR recordings or even better-than-life versions, if you’d like to revisit old favorites. Comes with a complementary VR visor.</t>
  </si>
  <si>
    <t>Secret Photographs and Recordings</t>
  </si>
  <si>
    <t>A far less altruistic take on the phrase “hands-on research”. You have a large supply of cameras, recording devices that you can hide in virtually any scenery, with your actors being none the wiser. Oh, sorry, did I say “place”? I meant, suddenly materialize throughout a small area of your choosing, without any need to be there in person, the same goes for collecting the recorded data. You can only prep one area at a time like this, but the cameras are always placed in obscure places with a good viewing angle. By the way, in case I was being too vague, yes, this is for blackmail.</t>
  </si>
  <si>
    <t>Suspicious Bag</t>
  </si>
  <si>
    <t>From this small tote bag, you’re able to produce any real sex toy you can imagine, in any amount, as long as it can reasonably fit through the opening. This won’t produce anything where sexual pleasure is obviously the secondary function or value of the toy, like pulling out weaponized dildos, or solid-gold buttpluggs. You can even pull out mundane drugs associated with sex, like poppers, viagra, or various weak aphrodisiacs. As an extension of the “sexual purposes only” clause, this bag will stop producing drugs once it becomes a very real of overdose for you, or whoever you’re sharing these drugs with.</t>
  </si>
  <si>
    <t>Unbreakable Bed</t>
  </si>
  <si>
    <t>Just because your body can handle any sexual activity you or your significant other can think of, doesn’t mean your bed can. Well this one can. You can hold an olympian orgy on this bed, and it would remain in one piece.</t>
  </si>
  <si>
    <t>Voyeur App</t>
  </si>
  <si>
    <t>Oh. You’re somebody who likes to watch, huh? Well, this app is for you. Simply scan a person’s face, and the app will allow you to watch videos of their life. Every event, from any angle. It even has a filter if you want to only see nsfw moments. Like them showering, or doing the horizontal mambo. Free for streaming or downloading. And while you can show these videos to others, there’s no guarantee how they’ll react. A blackmail attempt could go off without a hitch, or blow up in your face. Comes with complementary smartphone if you don't have one.</t>
  </si>
  <si>
    <t>Book of Essential Carnal Knowledge</t>
  </si>
  <si>
    <t>This weighty tome is filled with everything you need to know about sex. It’s got sexual positions and techniques, how to flirt and seduce, maintain the spark of a relationship and safely ‘test the water’ when it comes to new things. It’s got sexy magic spells, sexy alchemy recipes, sexy engineering blueprints, sexy everything. If it’s in any kind of realistic sex manual or health guide, it’s in here. Also anything that only really exists in porn. Surprisingly, the book covers all of its subjects so completely that you can pick up a bit of genuinely useful knowledge in a wide variety of fields from its study.</t>
  </si>
  <si>
    <t>Brain Dance Suite</t>
  </si>
  <si>
    <t>A nice set of equipment to run a braindance operation. Chips to stick in people to record experiences, the hardware to modify it easily, and a large collection of textbooks and documentation on how to brush yourself up on the process.</t>
  </si>
  <si>
    <t>Curse-Holding Sheathe</t>
  </si>
  <si>
    <t>You have a "sheath" or set of skintight clothes that can control and contain any passive auras or effects that you might be radiating from your body. 
This outfit also unzips, letting you bare your body while at the same time technically not "taking it off". If you're wearing these clothes unzipped and "open", for all intents and purposes you'll still be treated as wearing body-covering clothes, and the power-containing effect still applies.</t>
  </si>
  <si>
    <t>Demon-Engineer's Devices</t>
  </si>
  <si>
    <t>Behold the peak of Kappa sex engineering, designed after long hours of testing on the inventor’s own body. A backpack full of long stretchy mechanical arms ending in bright white ‘gloves’, the insides of which are equipped with textured surfaces sure to turn mere groping into an experience that sets the body alight with pleasure, to say nothing of actual handjobs or fingering. The palms are even equipped with onaholes!</t>
  </si>
  <si>
    <t>Film Crew</t>
  </si>
  <si>
    <t>Well, not really but kinda? Basically, everything you do is recorded. And from pretty much every angle as well. No need to bother with getting a studio or an actual film crew, you’ve got this. Be a one idol show and do it all yourself. Or turn it all into one big porno and make loadsa money. Either one works. Comes with a usb stick which somehow fits all of this, and a smartphone app that determines exactly what gets recorded, from what angle, and so on.</t>
  </si>
  <si>
    <t>Gimp Suits</t>
  </si>
  <si>
    <t>Standard fare for the Dystopian empire’s unfortunate prisoners, these high-tech gimp suits are the perfect uniform for a slave who hasn’t learned her place yet, or one who has for that matter. Consisting of a black straitjacket, hood, gag, and mittens over a set of fetching purple stockings, this suit renders its wearer unable to see, speak, or make any use of their fingers to hold or use items or weapons. The suit’s fabric and collar also interface directly with the wearer’s nervous system, not only making them much more sensitive and vulnerable to pleasure but also blocking access to any special powers or abilities they may have and rendering them no stronger than an ordinary human. Without outside assistance this suit is basically impossible to escape from once it has been donned, and you have a few dozen of them ready and waiting for your new slaves.</t>
  </si>
  <si>
    <t>Good Morning Gamers</t>
  </si>
  <si>
    <t>You have a knack for coming up with unorthodox plans that most people wouldn’t normally think of. This is especially effective when the plans involve some level of lewdness, for instance, voring a VIP in the digital realm so that your friends can trace his digital signal and take him out whilst he’s helpless.</t>
  </si>
  <si>
    <t>Ka-Ju Rope</t>
  </si>
  <si>
    <t>A magical rope blessed by a Great Fairy, this item embodies the bonds between two lovers from the time before the Calamity, and by “bonds” I mean they were both avid bondage enthusiasts. The rope’s magic shows itself only when you are tied up in it, granting you great strength and functionally limitless stamina, though it must restrain you in order to do so. This seemingly counterintuitive blessing can also be shared with a selected owner of the rope, your master if you will, so long as it remains in use. The rope is ideally used to restrain a slave for use as a pack mule, turning even a delicate princess into a valuable member of an adventuring party while also giving her master the strength and stamina to scale sheer cliffs with his bare hands. Of course it’s also quite useful for enabling even the most extreme types of bondage play.</t>
  </si>
  <si>
    <t>Key</t>
  </si>
  <si>
    <t>Inside your body there is a semi-living energy field, similar to the Key to the Lexx. With a touch, you may attune anything you own to this Key. Anything attuned to this Key cannot be used by anybody except you without your explicit say-so, which you may explicitly revoke at any time. Guns will refuse to fire, vehicles will fail to start, doors won’t open, etc. There is no limit to the number of things you may attune this Key to, though you do need to actually own it. Any fiat purchased items are attuned to your Key automatically.</t>
  </si>
  <si>
    <t>Morphic Furniture</t>
  </si>
  <si>
    <t>You have acquired a set of animated smart furniture – chairs, tables, desks, cupboards, beds and other assorted furniture that can move on their legs and feet, and control themselves by your command or in anticipation of your needs.
In addition to being able to move around on their own they also adjust their dimensions and contours slightly to best suit their user. Tables adjust their height or levelness, chairs adjust their padding and reclining angle, beds become softer or firmer. Each piece also has its own functions – wardrobes or cupboards might sort their contents for you and open the drawer holding the thing you are looking for, mirrors might link to your ship’s communications systems to function as screens, the arms of chairs might be able to restrain hostile visitors, and the beds come with all kinds of warming, massaging and vibrating features, which will be handy if you expect to spend a lot of time in them.
There are enough separate pieces to outfit a whole house or a similarly-sized starship. All of these items are self-cleaning and will match the decor of the room they are placed in.</t>
  </si>
  <si>
    <t>Nude Photos</t>
  </si>
  <si>
    <t>The person on these images is blurred, but the moment you write a person’s name on the photographs, the hazy images will sharpen into what is clearly images of that person, although completely naked and in potentially embarrassing situations. This makes for excellent blackmail material, or maybe just a nice piece of memorabilia... or wanking material. Once “activated”, you will receive a new set of photos the following week.</t>
  </si>
  <si>
    <t>Orgasm Ray</t>
  </si>
  <si>
    <t>A powerful beam of pure energy that strikes the nerves, sending the target into orgasmic bliss. It has varying degrees of intensity, from ‘Warm Afterglow’, to ‘Earth Shaking’ to ‘I Can’t Feel My Everything!’. Focused beam or wide area blast. Use it to bring about world peace, or stopping any security guards. If lost or destroyed, a new one will appear in your Warehouse in a week.</t>
  </si>
  <si>
    <t>Poetry in Motion</t>
  </si>
  <si>
    <t>Seikodo isn’t just about causing the most pleasure, but about doing so in a visually appealing way. It’s more than a sport, it’s also a performance art. And when it comes to the artistic side of things, you excel. You have the ability to know what you look like from an outside perspective, and you know what the people who are watching you want to see. This also comes with a superhuman sense of proprioception, giving you near-perfect control over your own body and a sense of how to move in the most graceful and appealing fashion. Combining these, you can always present yourself in the best possible light and provide a good show, which is even more important to a successful seikodo career than simply having good technique.</t>
  </si>
  <si>
    <t>Sexual Education</t>
  </si>
  <si>
    <t>You know how the library of congress contains a copy of nearly every book ever, and as many as america itself can get its hands on? Well this is that, except for porn. Every book, movie, hentai, art, anything and everything of an erotic nature. It comes in two forms. The first is a library, which at your discretion can be an actual one, with librarians and loans. Second, it can anthropomorphise into the form of a very sexy librarian with an experience level equivalent to the amount of porn ‘she’ holds. Which is all of it.</t>
  </si>
  <si>
    <t>Trait Fruit Seeds</t>
  </si>
  <si>
    <t>The fruits that grow from these seeds are very special. Making them into smoothies and drinking them will increase your ability with a given trait for a month or so. The available fruits are Sexuality, Flirtation, Romance, and Talent and all you need to grow them is shove them in some dirt and water them around once a week. They’ll grow to full size in a month, but any successful dates and seductions you achieve will cause them to grow much faster. You can pull more seeds from the fruits when you’re making them into smoothies, but if you run out you will receive replacements in about a week.</t>
  </si>
  <si>
    <t>Unison Collars</t>
  </si>
  <si>
    <t>You have in your possession a set of collars. They are quite small and easily missed, but they contain a great power. When each of the wearers of these collars sync themselves in thought and action with each other (usually through sex), they will fuse into a single being, combining their power, skills, and knowledge, and potentially even unlocking entirely new abilities, such as lulling their opponent into a lewd trace. It also gives a sharp increase in sexual ability, as having sex with the merged being feels like having sex with all of the component people at once. Be aware that the merge is only temporary, but the wearers can extend the time merged by continuing to be in sync with each other, and disagreement and discord between the merged beings will cut the time down even further.</t>
  </si>
  <si>
    <t>Slime Tank</t>
  </si>
  <si>
    <t>If anyone disturbs this bright blue liquid, attractive futas made of slime will rise up from the surface and fuck the shit out of anyone they can get their hands on. They feel no tiredness or pain, but usually leave their prey alone after they’ve been utterly exhausted. Great for use in a security system, or just for fun. As the owner, they’ll mostly follow your orders. Mostly.</t>
  </si>
  <si>
    <t>"Trends of the Era"</t>
  </si>
  <si>
    <t>You’ve expanded your horizons, brought loved ones and lovers in on those things you love, but it is not enough. It won’t be enough until those things you like are not only publicly acceptable, but popular! The ebb and flow of things that are popular or trendy is a mysterious thing indeed. Complete accidents rise to stardom, memes born over night, and you have tapped into this. You have the power to spread one thing you love into the spotlight where it trends, becomes popular and ends up all over the place. Some things might not survive or spread very well, dangerous or illegal things especially, and you can’t use this power more than once every few months. That said, there aren’t many other limitations. You could start up food trends, popularity for a certain show, or spread a fetish into the mainstream. Hey, if it’s a good enough idea, it might even stick.</t>
  </si>
  <si>
    <t>A Beast of a Machine</t>
  </si>
  <si>
    <r>
      <rPr>
        <sz val="13"/>
        <color theme="1"/>
        <rFont val="Calibri"/>
        <family val="2"/>
      </rPr>
      <t xml:space="preserve">There are computers and then there are supercomputers. Normally this machine is room sized and requires a standard power supply. In this base form it performs a high quality mainframe, as the better of your current world's or one built on a modern Earth circa 2010 AD (whichever is superior), and can be upgraded normally. However the computer's interior conceals a writhing mass of cables which act in a suspiciously tentacle-like manner. They will attempt to 'connect' in a highly sexual manner to anyone besides you who is unwise enough to touch the machine (or to attempt a connection for AIs or technopaths). You and any others you authorise can treat this as merely a disconcerting form of neural interface which somehow doesn't distract from use of the system.
However any </t>
    </r>
    <r>
      <rPr>
        <i/>
        <sz val="13"/>
        <color theme="1"/>
        <rFont val="Calibri"/>
        <family val="2"/>
      </rPr>
      <t>unauthorised</t>
    </r>
    <r>
      <rPr>
        <sz val="13"/>
        <color theme="1"/>
        <rFont val="Calibri"/>
        <family val="2"/>
      </rPr>
      <t xml:space="preserve"> individuals are pulled inside the machine and restrained by it to be used as biological hardware. The performance of the system improves with their intellect and skills, but not personal memories, accessible for its use. When not working on a task the system improves itself as though the victim was actively working to upgrade the system's software and hardware in cooperation with all other victims. Victims are sustained by the system as though they were a normal electronic component although the size of the machine, and its power consumption, does increase for each victim it contains.</t>
    </r>
  </si>
  <si>
    <t>A Towel</t>
  </si>
  <si>
    <t>What good is a towel, you ask? Why, this is only the finest clarketech towel a hyper-advanced species has ever invented. It’s incomparably soft and fluffy, and dries your body without becoming sopping wet itself. It’s whatever color you want it to be, and is always clean and fresh. Used as a blanket it’s as warm as a feather doona, used to lie on it’s as comfortable as a mattress, and used to cover your head in a storm it is waterproof. 
It’s cut, tear, and puncture-proof, impermeable to anything on the electromagnetic spectrum and a lot of things not on it – preventing even X-ray vision from peeking through it if you’ve got it wrapped around yourself, and it makes an effective shield against lasers and rayguns, yet you can still cover your face and breath through it to filter out noxious fumes (which it does better than a real gas mask). When twisted up and whipped at foes, it’s a formidable weapon with the heft of a laser-resistant metal bar.
The presence of this towel also has an effect on bystanders: unless they are extraordinarily selfish or on outright inhospitable terms with you, others will happily lend you things which they deem “trivial”. A space trucker might loan you a spare old space suit, a galactic tyrant might lend you a small army and one of his less-used summer palaces.
And finally, you always know where it is in relation to yourself at all times.</t>
  </si>
  <si>
    <t>Sex Drive</t>
  </si>
  <si>
    <t>You know how some space ships have that ‘something extra’ under the hood that makes them go faster, shoot harder and fly like a rocket-powered hummingbird? This is that something. This is a comprehensive reactor/hyperdrive system that can provide stupidly fast interstellar travel with the accuracy to place your ship anywhere it can fit – doesn’t matter if you’re in a gravity well or trying to exit hyperspace into a sealed hanger, it’ll get you there safely with speed almost nothing can match. 
The only catch is it somehow absorbs sexual energy from the people aboard and uses that for power. An up-tight prude or a couple with unresolved sexual tension will find this drive barely works, but if those aboard have a lot of (ahem) free-flowing sexual energy, it’ll take you anywhere you want to go. (Does not come with Spaceship)</t>
  </si>
  <si>
    <t>Yum Yum Bubblegum</t>
  </si>
  <si>
    <t>You have an instinctive sense for how to make the best porn you possibly can, be able to instantly understand the best kind of angle to use, how the actors should be behaving and being able to set up a scene just right. This also gives you better luck with dating multiple people at the same time, to the point where you could have a personal harem which exceeds the ten-million mark.</t>
  </si>
  <si>
    <t>Tasty Sandwich</t>
  </si>
  <si>
    <t>One could get hungry here, you know? Hoagies, subs, grilled cheese if you like. You can pull one out of your pocket every hour with the exact construction and fillings you like so long as the whole thing can comfortably fit your two hands.</t>
  </si>
  <si>
    <t>"Quincy Eyesight"</t>
  </si>
  <si>
    <t>I won't say that Quincy are particularly famous for much of anything given how few of them are still alive, but the vast majority of them can take a bow and arrow and outdo a modern military sniper. One of the many talents that they might brag about is their eyesight, able to shoot the fly off a wing blah blah blah blah blah. What actually matters is that you have the amazing ability to always get the best view when something 'unfortunate' happens to a young woman and leaves her in an embarrassing position.</t>
  </si>
  <si>
    <t>Handle with Care</t>
  </si>
  <si>
    <t>Having long nails can be a real hassle, you know? But not for you. No matter how long your nails are, you’ll never have problems typing, handling objects, or otherwise performing fine, delicate activities. Neither will the way you have to hold objects with such long nails prevent you from exerting your full force. Furthermore, unless you’re actively choosing to inflict harm, it is impossible for you to accidentally injure yourself or others with your nails. Finally, if you choose to use your nails as weapons, they will always be hard enough to inflict injury, but will never suffer damage in return, protecting you from the force of your blows ripping off your nails.</t>
  </si>
  <si>
    <t>Healing Kiss</t>
  </si>
  <si>
    <t>Your kiss just brings out the best in those that experience it. They feel rejuvenated and more alive than ever. Your kiss can relieve both mental and physical stress.</t>
  </si>
  <si>
    <t>Lewd Underwear</t>
  </si>
  <si>
    <t>A set of particularly naughty underwear, the kind that anyone would rather be caught dead than be seen wearing outside the bedroom. And yet, when you wear this clothing, you’ll find lewd occurrences to be more common, both for yourself and for other people ; the wind might blow a girl’s skirt up, you might trip and land face - first on someone’s crotch, or you might accidentally spill your drink on your chest to make your shirt see - through .</t>
  </si>
  <si>
    <t>Pancakes</t>
  </si>
  <si>
    <t>-In the hidden and dark parts of the world, there are still mysteries and magic forgotten to mankind. Under the mountains there lie minotaurs, amongst the peaks hunt yetis, and far in the forests of Kellerwald is an ancient spirit who hungers for souls. She commands the forests, causing them to grow unnaturally and overtake most civilization, singing and hypnotizing unwary travelers. With a strange flickering lantern in one hand she steals away their soul and embeds their body in a tree, to slowly devour them over years and decades. As terrifying a spirit this siren may be, in truth it is the lantern that both grants her power and allows her to feed. A lantern that, by theft or by providence, you have come to possess for yourself.
-The Siren’s Lantern is a strange mystical artifact, with no records of how it was made remaining-but its power is quite real. With a simple wave it can snatch the soul of a person right out of their body, carrying said soul inside of it as a flickering flame. With another wave the soul can be deposited in a new host-whether a tree, an object, even a whole different body. It can also be used to devour souls-channeling the power of its stolen souls directly into the user to make them stronger, faster, better in every way. This is a slow process, often requiring decades to “digest” even a single soul, but in time can grant truly incredible mystical might that allows for supernatural command over the likes of an entire forest.
-But the Lantern holds more secrets than this. It is a potent mystical amplifier; through its usage nearly any spell you wish to cast is magnified many times over. A simple fireball could become a scorching conflagration, and a spell of confusion could render an entire island braindead. There is one caveat: to empower one’s magic like this requires fuel, and the lantern’s fuel is of but a single source: souls. The more souls and the more potent those souls, the more powerful the amplification of the lantern-and with each spell cast, the souls are “burnt” to fuel those spells. Of course, that’s not much of a problem is it?
Humans may like to believe their souls are indescribably precious, but the truth is that souls are incredibly common. Everyone’s got one after all. Take heed-the power of this artifact is immense, and in the right hands it can decide the fates of entire nations.</t>
  </si>
  <si>
    <t>Porn Physics</t>
  </si>
  <si>
    <t>Sexually improbable actions are perfectly possible here in this land of fantasy! Even stallion-on-inchling action causes no harm beyond pain despite the gross improbability of inserting rod A into slot B. Nor are there any sexually transmitted diseases here [obligatory pregnancy joke], meaning there are of course no consequences to having wild orgies every night.</t>
  </si>
  <si>
    <t>Sex Sense</t>
  </si>
  <si>
    <t>A slightly flushed face, a strange scent in the air, or almost barely audible noises all of these things can point to someone either currently having sex or just had sex. Unlike all the oblivious people around you you can tell when a girl is getting fucked on the other side of that curtain or that she has vibrator in her panties. Also helps knowing when someone is cheating on you or just really wants to screw your brains out.</t>
  </si>
  <si>
    <t>"Health" Bar</t>
  </si>
  <si>
    <t>With this you now have the ability to mentally see a bar representing how close you are to orgasm with full being unstimulated and an empty health bar meaning you have cum. Also gives a ‘metaphysical’ and numerical representation of how much pleasure you can take and how much your partner does. If you want you can mentally adjust the health bar to play a damage noise on pleasure attack (Also, can choose to hear when attacked painfully as well), refill after you orgasm thus representing your next orgasm, to remain empty until sex is over, or just ignore the health bar.</t>
  </si>
  <si>
    <t>“Should’ve let the Evil Sex King revive”</t>
  </si>
  <si>
    <t>When you are presented with the opportunity to make any type of choice, you are always aware of which option is most likely to end with fucking.</t>
  </si>
  <si>
    <t>Ara~ Ara~</t>
  </si>
  <si>
    <t>When you are in a position of seniority, it is a LOT more likely that you'll end up "randomly" and "accidentally" stumbling across your charges masturbating or experimenting sexually. Your also very good at convincing them to let you "lend a hand" or maybe more~.</t>
  </si>
  <si>
    <t>Bodice Ripper</t>
  </si>
  <si>
    <t>People lie to themselves about what they really want. They’ll insist that something is “wrong” or “deviant” or “improper” even as the idea sends a thrill down their spine that they’re too proud or embarrassed to admit to. But Scoundrels can easily see through such facades whenever they encounter them. You have an accurate sense for the subtle tells a person gives when “no” actually means “yes” as well as vice versa. As long as you heed this unspoken consent your partners will never treat sex with you as rape after the fact, regardless of whatever half-hearted protests they make as you ravish them.</t>
  </si>
  <si>
    <t>Cleaning up the Fun</t>
  </si>
  <si>
    <t>It can be fun to be dirty whether that’s playing in the mud, or being covered (or filled) with bodily fluids. But inevitably, you might want to get clean, which can be tough depending on where you are. Once you are no longer actively engaged in being “dirty”, euphemism or not, you will gradually become cleaner over time. And yes, this does mean stains disappear from clothes.</t>
  </si>
  <si>
    <t>Concealing Rags</t>
  </si>
  <si>
    <t>Perhaps this is a hidden skill of the Elrk, or maybe it’s just that Dr. Bug didn’t want to draw dicks on every page of his journal. Either way, the known artwork of Elrk seems to display them as pure female when not actively engaging in sex. As a result of this, you can now completely hide your breasts and/or cock regardless of size with a token effort towards decency. You could wrap a piece of string around your chest and those double D’s would turn into A cup angst until you took it off. The only requirement is that it actually attempts to hide your privates.</t>
  </si>
  <si>
    <t>Condensed Form</t>
  </si>
  <si>
    <t>Being a demon or whatever is all well and good, but sometimes you might find yourself needing to hide in plain sight or pass unnoticed. That’s why you’ve learned how to condense yourself into human form. Your more monstrous traits will simply decrease until they are a little odd, but not particularly strange. Canines are a bit sharper than the norm, maybe some ‘fake’ nails instead of claws, that sort of thing.</t>
  </si>
  <si>
    <t>Define 'Girl'</t>
  </si>
  <si>
    <t>What is a girl, anyways? Well, generally it’s female, and below the age of 18. But, you're a bit of a free thinker. You'd think that there would be a problem with adulthood and whatnot, but nope. A MILF is as good as a teenager, and a trap is fine too. If you tilt your head and squint, and it looks female, you're good.
Why does this matter? Well, it lets you apply all those perks and spells and powers with pesky female-only gender requirements to any 'girl' you come across, of course!
What? The male-only perks? Well, if you insist, then the inverse applies too. Anything sufficently 'boy' works for those.</t>
  </si>
  <si>
    <t>Domineering</t>
  </si>
  <si>
    <t>There’s something in you that yearns to dominate, enhancing your efforts to restrain others and increasing the amount of pleasure you inflict on your opponent when you treat them roughly. Try not to get carried away.</t>
  </si>
  <si>
    <t>Don't Try This At Home</t>
  </si>
  <si>
    <t>BDSM can be a dangerous pastime. Ropes placed carelessly can cut off circulation, a whip wielded with too much force can leave bloody gashes, and much worse can happen the more extreme things become, and that’s without magic and superpowers getting involved. But such accidents never happen to you and your lovers because you’ve acquired the protection of porn logic, that magical force that helps everything run smoothly whenever the clothes come off. Once the fun begins only a truly exceptional occasion can make it go awry: accidents never happen with your gear, like ropes snapping mid-scene because the sub was way stronger than expected, and the only way you can seriously injure one of your lovers is if you do so very deliberately for some reason. This perk’s effects work just as well for your partners as they do for you if you’re not the one on top, and they can be made to work just as well on unwilling captives provided that they’ve been thoroughly subdued, so a damsel who’s been bested in battle then bound and gagged will be completely helpless against whatever nefarious ends you have in mind for her.</t>
  </si>
  <si>
    <t>Dramatic Timing</t>
  </si>
  <si>
    <t>Your actions now follow a sense of dramatic timing. When defusing a bomb, it will be defused right at the last second. Or it will explode. You see, this doesn’t change whether you’ll be able to accomplish something in time or not. All it does is narrow the margins you succeed by to make the timing more dramatic. Whether you succeed or fail at what you set out to accomplish is up to you.</t>
  </si>
  <si>
    <t>Drinks on Me!</t>
  </si>
  <si>
    <t>What’s a paradise worth if you can’t get a good drink? Well, lucky for you with this you’ll always get free drinks! And don’t worry about whether or not the people you’re getting the drinks from are getting paid, they get the money that they would have been paid. Oh, also free food, because what’s a party without something to munch on, right?</t>
  </si>
  <si>
    <t>Edging</t>
  </si>
  <si>
    <t>You possess the incredibly difficult to perform and arguably detrimental skill of edging. You can somehow whip out your dick (or equivalent) and stroke it until you are right on the edge of orgasm so that the tiniest sexual pleasure will set you off and not have air or natural occurrence make you cum. Furthermore while you are doing this the world seems to freeze around you while you perform this action, as the act accelerates your speed to incredibly high levels after you finish, but only for a brief span of time lasting but one second. Your enemy is aware that you have done this after you have finished and will likely think you are a pervert and either call the cops, try to kill your for the disrespect and indignity, or, more likely in this world, take advantage of your weakness and make you cum.</t>
  </si>
  <si>
    <t>Finding your Mark</t>
  </si>
  <si>
    <t>Sometimes the objects of our desire are just out of reach and we don’t know where to start looking for them, but fate and fortune are on your side and will help you find the people and objects that you most desire. If you want to gather a harem then you’ll have many chance encounters with beautiful women, but if you want to gather the Dragon Balls or find one particular woman then you might stumble across the dragon radar or find clues which will help you track them down. Treasures which are exceptionally well-hidden or very distant from you will require far more time and effort to locate, but the trail of clues leading to your objective will never go cold as long as you keep following it.</t>
  </si>
  <si>
    <t>Floating Bell</t>
  </si>
  <si>
    <t>As long as you are wearing a dress or something else that can lift up to show your underside, you clothing will expand like a parasol to catch you when you are falling. Just try not to think of the view people will get looking up at you.</t>
  </si>
  <si>
    <t>Heat of the Moment</t>
  </si>
  <si>
    <t>Clothes and armor are such a bother, getting between you and your opponent's weakest point. With this perk you can easily sexually attack someone by worming your way through their clothing... somehow. This only works for foreplay however, and the victim can still dodge your sexual assault. To actually fuck them, genital to genital or genital to ass, you will need to hold them down and strip them manually.</t>
  </si>
  <si>
    <t>Heavenly Hobbies</t>
  </si>
  <si>
    <t>Whether you’re a student, teacher, or a dorm manager, life at any school involves a lot of tedious work that will keep you away from things (or people) you’d rather be doing, and you’d better stay on top of it all if you don’t want to risk getting kicked out of paradise for not doing your job. Thankfully you’ve got some insurance to help with that: any menial tasks that you might have, such as homework, housekeeping, or grading papers, effectively do themselves for you with the same level of care that you would have given them had you done them properly yourself, leaving you with much more time to spend on your hobbies .</t>
  </si>
  <si>
    <t>Hyper Weapon</t>
  </si>
  <si>
    <t>What’s this? The little bitch is getting turned on? She must want your cock after all! Well not really, not unless you’ve got a lot of Scoundrel perks under your belt, but she doesn’t need to know that. This perk helps you wield sex as a weapon against your enemies: unless they’ve been trained specifically to resist pleasure as well as pain, getting a person turned on significantly impedes their ability to fight back and bringing them to orgasm is almost as effective as knocking them unconscious. This works best against enemies who are weaker than you and becomes much more difficult if they’re your equal or superior, requiring much more effort and multiple orgasms to completely subdue.</t>
  </si>
  <si>
    <t>Instant Recharge</t>
  </si>
  <si>
    <t>Who would have thought that sex could be so exhausting. For times when your body just can’t keep up, just fix a bowl of this ramen. Despite being instant, it tastes just as good as the restaurant stuff. What makes this valuable is its ability to instantly refill your semen and stamina upon ingestion. As long as you take enough ramen breaks in between, you could probably keep going for a whole night.</t>
  </si>
  <si>
    <t>Invincible Clothing</t>
  </si>
  <si>
    <t>Imada’s—or rather, Imacchi’s—erections have such incredible power that they can knock people into the air, but somehow his clothing never fails to keep it covered. It’s impossible for your clothing to be damaged by anything short of a deliberate attempt to harm you (or your clothing). What’s more, your clothing will always stretch painlessly around any protrusions you may have—such allowing your erection to effortlessly rise to full mast despite being constrained by your pants and regardless of size. If you’d rather not proudly present yourself, however, you will be able to toggle this effect off.
This invincibility of your clothing grants them a feature that Imacchi would no doubt appreciate; your clothing cannot be stained or soiled. Any substances or fluids that touch them will harmlessly drip off, leaving you untouched.</t>
  </si>
  <si>
    <t>Mad Pipe</t>
  </si>
  <si>
    <t>An elegant cigar pipe. By simply waving the pipe, you create a weave of smoke that wraps around your target and carries her right to you. Only works on human size (or smaller) targets. Extremely strong characters or those who can dispel the smoke may be able to break free. Like normal cigarettes, the pipe is dangerous and affects your body, but this Wonderland variant’s effects are more...sensual. The more you smoke the pipe or breathe in the smoke, the more you will be addicted to sexy thoughts, and the smoke also gradually “infects” your lungs such that it becomes highly difficult to say anything that isn’t sexual. Could feasibly be used in conjunction with the Mathmos Hookah.</t>
  </si>
  <si>
    <t>Microgate</t>
  </si>
  <si>
    <t>This device allows you to pass anything up to the size of a human arm through it. It will pass through to the other side, which can be anywhere within a thousand meters. Limbs (or other body parts) passed through the gate can easily be aimed and oriented, with the holder of the device being able to sense everything physically present within one meter of the targeted area as if seeing, hearing, smelling, or tasting it if they concentrate on doing so.</t>
  </si>
  <si>
    <t>No Fainting</t>
  </si>
  <si>
    <t>Now, I know what you’re thinking. Whenever the monster catches the pretty lady, it rapes her into unconsciousness via sheer sexual overload. However, when this happens to you, you can store this pleasure for enjoyment at a later date. It’s a tiny bit precognitive, as it will activate on its own right before something that actually would knock you out.</t>
  </si>
  <si>
    <t>Not So Beloved Senpai</t>
  </si>
  <si>
    <t>Women like to make claims. Things like true love existing, that they have a perfectly decent lover, and that they would never cheat. Most of these claims are false, and the rest are at bare minimum, inaccurate. True love might exist, but it would involve lots of fat dicks and not any weak men like they claim it would. Regardless, your bolder proclamations, egregious breaches of decorum, and claims of your own about how wrong they are have a tendency to stun the women who you focus them on. During this moment where their thoughts are overwhelmed by the sneaking suspicion that you might be right, if you were to whip out your dick then they wouldn’t be able to help themselves but to think about how much larger and clearly better you are. In other words, smacking a woman in the face with your dick makes them horny, if only a little bit and only the first few times.</t>
  </si>
  <si>
    <t>Perfect Rest</t>
  </si>
  <si>
    <t>Well, is an issue when you are trying to rest in your camp and then some monsters decide to attack. Not a problem for you though, when you want to rest or ‘have some fun’ with your ‘friends’, you will find that there won’t be any kind of surprise attack or dangerous interruptions to your time. No bad nights of rest anymore. Just don’t forget about your work.</t>
  </si>
  <si>
    <t>Pink Lewd Hearts</t>
  </si>
  <si>
    <t>While the world of Paccsu is very sexually charged in comparison to most “normal” places, the amount of lewd shenanigans that happen to Namu and her friends is excessive. Even out of combat they aren’t safe, with things like giving people unintended peep shows, being tricked into sucking on someone’s “cream filled éclair”, or getting knocked out by a puff of pink gas in an alleyway being common for them. While the submissive nature of these may not be for you, the sheer volume of them could be up your alley, which is where this perk comes in.
It serves as a luck modifier, which increases the chances of you coming across situations that can lead to lewd shenanigans. For example, coming across an incredibly gullible idiot who you can trick into sucking you off, a house with its front door left ajar and someone in a cartoonish level of deep sleep on the living room couch, a hole full of tentacles you could “accidentally” trip and fall into, or just someone whose clothes are about to malfunction. The average amount of these situations, all of which will have their triggers be marked by floating pink hearts that only you can see, that you would run into as you go about your day can be modified along with broad elements of them. For example, choosing who specifically they do or don’t pull in, what fetishes they include, and the “story” of the event such as whether the person who somehow falls ass first on your face is extremely apologetic and tries, but fails, to get up or is a cheeky brat who tries to push you deeper by grinding on your face.</t>
  </si>
  <si>
    <t>Pleasure Before Penetration</t>
  </si>
  <si>
    <t>People focus too much on entering holes. The time that builds up to that is just as important. This is especially true for you and those you couple with; when engaged in non-penetrative sexual acts, the pleasure experienced by both parties is heightened. Perks for increasing the pleasure of sex now also apply to actions like intercrural and mutual masturbation.</t>
  </si>
  <si>
    <t>Pleasure Meter</t>
  </si>
  <si>
    <t>Somewhere in the back of your subconscious is a meter, an incredibly accurate meter that tells you just how good you’re making someone feel, and how far away from orgasm they are.</t>
  </si>
  <si>
    <t>Repay the Insult</t>
  </si>
  <si>
    <t>You have the ability to mix a small amount of spite into your everyday life and actions, and have them turn out slightly better as a result. This applies to simple things, such as performing better on a test when some bitch calls you stupid, or becoming sauve and sophicsticated if a rich but tiny man insults your prospects in life. And of course, this makes you mildly better in bed when you're pounding a woman - or the wife of a man - who has insulted your skills in matters of love.</t>
  </si>
  <si>
    <t>Safeword</t>
  </si>
  <si>
    <t>One of the most important practices in kink related activities is the use of safewords that allow the submissive to call off things. Thanks to this perk, your safeword is a tiny bit special and not strictly limited to bedroom activities. It will be ineffective against those with zero inclination to respect such things, but if you ever need to make an ally, friend or companion stop doing something for a second you can do this by invoking your safeword. There is a sort of cooldown to this perk, so you cannot use it to freeze someone in place by saying it a lot and nothing stops your companion from resuming their actions if they want to, but if you only need a second... this perk might be of some use.</t>
  </si>
  <si>
    <t>Self-Lubricating</t>
  </si>
  <si>
    <t>You can generate at will an odorless, tasteless coating that makes you incredibly slippery, allowing you to easily escape grapples and get into tight spaces. It evaporates quickly unless maintained, but reproducing this efficient lubricant artificially might be possible.</t>
  </si>
  <si>
    <t>SENS</t>
  </si>
  <si>
    <t>Everyone here has four or five sensitive locations, the mouth, breasts/nipples, the clitoris/penis, the vagina (men generally lack this one), and the anus. There is no such thing as burnout or desensitisation here. In fact, the opposite is true, the more one of the erogenous zones are stimulated, the more sensitive they become. Indeed, you could “train” someone through habitual use to be so sensitive a slight caress, a quick kiss is enough to bring them to an intense climax. You do not need to be actively trying to raise their sensitivity, although this makes it faster. Finally, the better you are at sex, the faster their sensitivities are raised; should you have godlike sexual skills you could even turn someone’s body from relatively normal to reaching orgasm at the slightest touch in a single night. Alternatively, with effort you could instead train down someone’s sensitivity until their erogenous zone(s) is near-completely insensitive. This can be toggled on and off for whatever reason such as not wishing to train someone’s sensitivity further, or exempt specific people.</t>
  </si>
  <si>
    <t>Sexual Violence</t>
  </si>
  <si>
    <t>Sex and violence are basically interchangeable these days and this perk makes that more literally true. In any situation where some amount of violence is expected and accepted, rape and sexual assault will now be treated the same. That is to say, groping or attacking someone on a bus will still get you arrested but do the same thing in a wrestling match or on a battlefield and nobody will so much as blink. In some situations, such as the aforementioned wrestling match, defeat by sex can be used as a substitute for defeat by knockout or other win conditions. The same rule applies to you though, so don’t let your target turn the tables on you!</t>
  </si>
  <si>
    <t>Sexy Time</t>
  </si>
  <si>
    <t>You can always find time for a quickie or a roll in the hay. This perk makes time move at the speed of convenience whenever you’re up to something sexy, be it taking your girlfriend(s) on a date or getting a quick blowjob between classes. As long as you’re intending to be fast, time bends to make sure you finish on time. Longer time periods can accommodate longer sessions, so you can take your harem on a date, finish with an orgy, and still have them home by dinner.</t>
  </si>
  <si>
    <t>Shibari Master</t>
  </si>
  <si>
    <t>BDSM normally needs a lot of careful work and prep time. It’s very easy for a careless dom to accidentally hurt his slaves because the ropes cut off circulation or made it harder to breathe, and the less said about amateur sadists the better. But you’re long past the point of needing to worry about things like that: you’re such a master of BDSM that your skills seem supernatural even before any real magic gets involved, and you can handle these mundane concerns effortlessly. Forget long setup times when you can deploy your bindings with the flick of a wrist, skipping the hard work even for complex setups like full-body harnesses. Likewise, you can easily measure the blow of a paddle or the strikes of a whip and cause exactly enough pain to be exciting for your lovers while never running the risk of giving them genuine injuries. Should you ever find yourself in combat you can also apply this self-control to hold yourself back just enough to avoid causing serious injuries even as you pummel your enemies into submission.</t>
  </si>
  <si>
    <t>Shitty Sixpack</t>
  </si>
  <si>
    <t>Now I know what you’re thinking. What makes this booze so special? Well, nothing really. It’s the same kind of shitty beer that you could find at a gas station or a corner market. Honestly it probably doesn’t even taste that good. What makes it special is that instead of just getting you drunk, it also lowers the inhibitions of anyone nearby. It’s a bit of an oversimplification, but you drink the beer and the person and or people sitting next to you also gets drunk. Here’s to hoping they’re a horny drunk and not a sad one.</t>
  </si>
  <si>
    <t>Shocking Spectacle</t>
  </si>
  <si>
    <t>Generic: Lewd Pokemon</t>
  </si>
  <si>
    <t>Many of the powers shown by Pokemon are awe-inspiring to behold, others less so. With this perk, you can give any abilities that you and your pokemon have a little bit more oomph, making them far more impressive then they would normally be. Note that this doesn’t actually increase their combat effectiveness.</t>
  </si>
  <si>
    <t>Smell them Out</t>
  </si>
  <si>
    <t>Infected females secrete a creamy white fluid from their pussy. This releases a scent that infected males are particularly sensitive to, but you've turned this ability up to 11. Not only can you detect individuals infected with the lewd virus, but you can also precisely determine someone’s physical health through their scent, including identifying what diseases they may have (if you’ve smelled it before, at least), whether they’re injured or not, their level of sexual skill, how recently they’ve last had sex, and whether or not they have any sexual abilities beyond the human norm.</t>
  </si>
  <si>
    <t>Sudden Game Interface</t>
  </si>
  <si>
    <t>Whats this? You took a wrong turn and stumbled upon a sudden game interface? What does that even mean? Long story short, you have a series of invisible and intangible menus that you can peruse at your leisure. Bad news is, they're read only. On the other hand, they're ridiculously thorough, with a menu for damn near everything.</t>
  </si>
  <si>
    <t>Supernatural Sight</t>
  </si>
  <si>
    <t>Angels and Demons in this world are completely invisible to Mortals unless they reveal themselves. Since it would be stupid for you to get blitzed without you being able to do anything about it, you can see through such ‘passive’ invisibility. Apart from Angels and Demons, this Perk would also cover such things as disembodied spirits, leprechans, etc. Can't seduce what you can't see!</t>
  </si>
  <si>
    <t>Sweet Nothings</t>
  </si>
  <si>
    <t>By giving signs of your affection to others — be it through gifts, kisses, compliments, or other sweetheart-type actions — you can give them the sort of power boost that a love confession gives to a succubus, letting the subject of your affection move faster, lift more, and use magic more powerfully. Also, your compliments take on a pseudo-physical form, triggering the subject’s mind as though you were caressing their body in your hands. Pick the right words, and you might bring someone to orgasm with your voice alone.</t>
  </si>
  <si>
    <t>Target Her Clothes</t>
  </si>
  <si>
    <t>You can customise your powers and other abilities to blast someone’s clothing completely off and leave them exhausted and pre-stripped upon defeating them in combat. I hardly need to explain what you can do with this ability, do I?</t>
  </si>
  <si>
    <t>Teacher's Pet</t>
  </si>
  <si>
    <t>Providing your teacher with sexual favors improves your ability to learn from them! Having sex with your teachers after class gives minor benefits, while servicing them under the desk during class will double your learning speed.</t>
  </si>
  <si>
    <t>Titty Time</t>
  </si>
  <si>
    <t>Master/Madame, have you ever been so mesmerized by a woman’s chest that you think to yourself, ‘god I want to touch them right now...’ Well now you can, you have blanket license to grope away, for as long as you like, so long as you are focused on playing with the breasts you are focusing on. You’re even rewarded by the woman in question reacting as she normally would, minus any violent tendencies. And when you’re done, she’ll forget you ever did anything, unless you don’t want her to forget. Bystanders will notice and may comment, but they will not intervene.</t>
  </si>
  <si>
    <t>Universal Compatability</t>
  </si>
  <si>
    <t>By which is meant that your powers and technologies are universally compatible with sex. No matter the item or ability, you will find that it is possible to turn that feature to (harmless) erotic ends, even if that means temporarily altering how the ability works. An item harnessing the energies of the universe could be focused on the body to induce cosmically pleasurable vibrations, while a perk that inflicts instant death could instead be applied to cause instant orgasms.</t>
  </si>
  <si>
    <t>Unlimited Ice Cream</t>
  </si>
  <si>
    <t>The perfect thing for shaking off a bad day on the job, this carton of ice cream comes in any flavor you want and replenishes itself every time you stick it back in the fridge. Of course there would normally be some obvious downsides to having that much ice cream around so it’s a good thing that you’ll never gain weight no matter how much of this item you indulge in. The one exception is if you’re looking to fill out your curves a little, in which case you’ll find that all those calories go straight to your hips, butt, thighs, breasts, or whatever else you have that you think needs a little extra zing.</t>
  </si>
  <si>
    <t>Victory of the Flesh</t>
  </si>
  <si>
    <t>It’s true, the Archangels are stronger than you. This doesn’t mean that winning is impossible, however… it just means you need to fight dirty. “Dirty”, in this case, meaning lewdly. The targets of your “affections” don’t need to already be aroused for your touch to excite them; groping them, stroking them, thrusting into them — all of it causes just as much pleasure as if they were already deeply aroused, and you’ll find your enemies trembling at your touch. It’s hard to fight when your crotch throbs with desire, and hard to keep your mind focused on fighting when it’s been set aflame with pleasure.</t>
  </si>
  <si>
    <t>Warm and Fuzzy</t>
  </si>
  <si>
    <t>There’s just something about you that makes your presence comforting. Just being around you will make someone happier, more relaxed, and less bothered by any worries that they have. If you’re actively attempting to help someone, though? You’ll not only have a good idea of what to do and say, but it will be incredibly effective. A fun weekend would be enough to help someone get over months of trauma.</t>
  </si>
  <si>
    <t>WOOHOO!</t>
  </si>
  <si>
    <t>Getting drunk always seems to go well for you. You can hold your alcohol and only get hangovers or sickness from staggering amounts. You’ve also learned the secret to producing early fermented drinks like mead, beer, cider and wine from honey, grains, fruits and berries in earthware jars.</t>
  </si>
  <si>
    <t>A Kiss on the Cheek</t>
  </si>
  <si>
    <t>When does a person fight harder, train longer, run farther? When there’s a reward waiting for them at the end. That’s why the results of your training are more effective when there’s sex afterwards. Mind you, the boost depends on a cross between how much studying there was and how much sex there was. A full day of studying followed by a blowjob won’t do much, nor will five minutes and a gangbang. It’s a balancing act for both of you.</t>
  </si>
  <si>
    <t>Ahegaos for Everyone</t>
  </si>
  <si>
    <t>Wouldn’t it be horrible to develop a superhuman constitution, and only later realize that 99%+ of the rest of the population will be exhausted after just a few rounds while you’re still far from satisfied? Or maybe you picked up a harem and realized no amount of exercise will help you with the many, many demanding partners that crawl into your bed every night? Now you don’t have to worry about that. During sexytime, everyone’s stamina is balanced out so that the lightweights can keep going and the amazons won’t give you a heart attack trying to keep up. Outside of the bedroom, your fitter allies can shoulder the load and share some of their stamina with the less physically able members of the group to keep them from falling to exhaustion.</t>
  </si>
  <si>
    <t>Ancient Harness</t>
  </si>
  <si>
    <t>A tool the ancient Sheikah forged to aid the legendary hero, this bodysuit was created not for Link but for Princess Zelda to wear. A modern hylian might mistake it for some elaborate high-tech bondage suit and while it can certainly serve that purpose it primarily works as armor despite its skimpy design. When worn the harness projects a powerful defensive aura similar to a Guardian shield which can withstand even the most crushing blows, but every now and then its power supply must be recharged. This requires a tantric prayer ritual of submission and supplication between the princess and hero, but this one will work just fine for you and anyone you wish to “pray” with. The suit comes equipped with accessories to aid the charging ritual like cuffs, plugs, a gag, energy chains, and several retractable vibrators, and the suit can even sync up with a Sheikah slate, allowing the “master” to control these extra features remotely.</t>
  </si>
  <si>
    <t>Anywhere Works</t>
  </si>
  <si>
    <t>It doesn’t matter where you are, it’s always a good time to get it on. Your environment will never negatively affect your sexual activities; even if you were fucked on a toilet, it would be just as comfortable (and just as sanitary) as if you were doing it on a bed.</t>
  </si>
  <si>
    <t>Bad Luck Charm</t>
  </si>
  <si>
    <t>People around you tend to have minor but lewd accidents. Wardrobe malfunctions, women running around a corner and smashing their tits into your face, or you walking in on others masturbating will be common. They’ll never blame you for these, as they’re just bad luck after all, but they may well be turned on by the humiliation from being exposed to you despite all logic as long as they find you attractive otherwise.</t>
  </si>
  <si>
    <t>Bait</t>
  </si>
  <si>
    <t>Breaking one of the cute huntresses into your sex slave or prostitute can be a dangerous business, especially considering that they work in teams of four. People who investigate your nefarious sexual deeds tend to either deny what’s really going on or let their emotions get the better of them. Either way, they will look into what you’re doing to their friend/sister/daughter on their own, rather than rounding up a posse of Aura users or going to the authorities. This will give you a fair shot at getting them alone so you can sink your claws into them too. You can even activate this intentionally by giving someone a clue that something’s not right with one of their loved ones, getting them to look into the situation and try to get you alone to force an explanation out of you.</t>
  </si>
  <si>
    <t>Bestial Instinct</t>
  </si>
  <si>
    <r>
      <rPr>
        <sz val="13"/>
        <color theme="1"/>
        <rFont val="Calibri"/>
        <family val="2"/>
      </rPr>
      <t xml:space="preserve">Every animal has instincts, honed by extremely long periods of species-wide trial and error. What worked was passed down, while what didn’t often died with those who tried. You are blessed with animalistic instincts that kick in whenever shit hits the fan, allowing you to intuitively take the best course of action when you might otherwise be overwhelmed, at least the best way forward you’d be able to come up with under more normal circumstances. Usfeul in both combat </t>
    </r>
    <r>
      <rPr>
        <i/>
        <sz val="13"/>
        <color theme="1"/>
        <rFont val="Calibri"/>
        <family val="2"/>
      </rPr>
      <t>and</t>
    </r>
    <r>
      <rPr>
        <sz val="13"/>
        <color theme="1"/>
        <rFont val="Calibri"/>
        <family val="2"/>
      </rPr>
      <t xml:space="preserve"> when you've angered your partner(s)!
Outside of high stress situations, your instincts provide you an intuitive sense for potentially dangerous situations, giving you plenty of warning before the other aspect might be needed.</t>
    </r>
  </si>
  <si>
    <t>C-String</t>
  </si>
  <si>
    <t>I’ll be honest with you, fam, the c-string is basically half a piece of underwear. A little triangle goes over your privates, and the rest curves under and lies between your ass cheeks. The only way to keep it in place is to clench tight and hold it there physically. By using this c-string, you will build up your ass muscles. But that’s a secondary effect, if you’re paying primo CP for it, it has to be more than that, amirite? While wearing it, you get a guarantee that you won’t experience bad luck. Not to say you’ll have more good luck! But at least it won’t be bad.
If you’re male, then it will be shaped a bit more like a cup in regards to how it covers you, but will still have the basic c-string shape.</t>
  </si>
  <si>
    <t>Changelog</t>
  </si>
  <si>
    <t>With the right techniques, it’s possible to resist the warping effect common to this world. This is not one of those ways. Instead, it merely tracks them. Any reality warping effect on the planet will be recorded, as well as fragmented information on who and where. You’ll fix the world, right? It’s not like you would ever have a use for it otherwise...</t>
  </si>
  <si>
    <t>Crystal This, Crystal That</t>
  </si>
  <si>
    <t>So, not really sure how you figured this one out, or why you thought it’d be useful, but you can now turn basically any car-sized or smaller piece of technology into a gemstone - or other shiny rocklike object - smaller than your fist. I don’t know how, but you did. Anything bigger than that will make a bigger crystal, with the rate growing much faster than you might expect.</t>
  </si>
  <si>
    <t>Cursed Tape</t>
  </si>
  <si>
    <t>This is a cursed video tape bonded to you. It contains a great deal of disturbing imagery, although some is erotic, and some is of you. It’s not for you though, it’s for other people. 
When an individual watches this tape, they’re marked. You can sense that they watched the tape and know where they are. They, meanwhile, will receive some form of sign that you know that they watched the tape, like a mysterious phone call. 
You have the chance, once per person who has watched the tape, to teleport to their location using a similar medium; like a TV or computer screen. Copies of the tape maintain its full abilities for whatever that means to you. 
This item can transform to better fit your needs. Perhaps it’s a picture book, or a USB drive, or something else entirely. In such cases, your teleport changes to suit the medium, such as through paper or e-mail. It cannot take a form that allows for mass-media distribution.</t>
  </si>
  <si>
    <t>Dark Nimbus</t>
  </si>
  <si>
    <t>Well, you can already fly, but it never hurts to be able to rest. This is a solid cloud that can fly around and obey your mental commands without you even having to speak. It begins at the speed of a fighter jet, but will become faster to match your own flying speed should you surpass that. Unlike the Flying Nimbi belonging to Mister Korin, this one is solid not to the pure of heart, but to anyone you allow to ride. Furthermore, it’s as comfortable as the finest bed, so it’s perfect for a rest or some sexy fun during your travels, and accidentally falling from it is impossible no matter how much it loops through the air.</t>
  </si>
  <si>
    <t>Deviance Sensor</t>
  </si>
  <si>
    <t>Deviants never rest and nor shall you. You have a sixth sense for misconduct. If there’s potential indecency nearby, you’ll smell it. This can be misled by your own assumption, and won’t help with more serious crimes. Once you single someone out as a troublemaker, you’ll have an easier time tracking them down in the future.</t>
  </si>
  <si>
    <t>Elven Awareness</t>
  </si>
  <si>
    <t>It’s trivially easy to get laid here. In other settings it’ll be far more difficult so to keep the good times coming you’ve developed a finely-tuned sense for lewdness. Is someone’s fashion choices secretly an advertisement of their fetishes? Are they interested in something out of curiosity, or voyeurism? Do they hide a core of repressed desires behind a mask of dull propriety? You’re quick to recognize these and other such lewd aspects of a person. The sense extends to sexy places as well, so you’ll easily notice hidden brothels and convents filled with perverted nuns no matter how boring their exteriors.</t>
  </si>
  <si>
    <t>Endless Summer</t>
  </si>
  <si>
    <t>Yuu found Chiyo in the first days of summer, and they have been living together ever since in peace. Bar one or two incidents, but even then they ended quickly. Pick your favorite season. That season will now bend ever so slightly to accommodate you. Nothing major, simply more beautiful. The flowers bloom while you are there to watch, the leaves fall in a beautiful dance that somehow misses your yard, and the clouds get out of the way when you want to watch the moon. Idyllic, peaceful days.</t>
  </si>
  <si>
    <t>God's Body</t>
  </si>
  <si>
    <t>Elysium has seen fit to grant you permission to control a small portion of his mighty flesh; you are capable of summoning some small parts of his body, such as tentacles to bind an enemy, or one of his mighty tentacle-cocks to impale your enemy upon — the pleasure brought about by the demon god’s appendages are beyond this world. Even an experienced whore could be brought low by such ecstasy, so say nothing of a naïve schoolgirl acting the part of an Archangel. Should you be a God, you can instead gift others people spells that allow them to summon, shape, and control a portion of your flesh, although it’s more like they tell you what they want you to do, and you either do it or ignore them.</t>
  </si>
  <si>
    <t>Horny Teenagers</t>
  </si>
  <si>
    <t>When you put a bunch of hormone-driven teenagers together, sex is eventually going to happen. It doesn’t matter if they’re pure and innocent, they’ll think about partners and romance and stuff. This is especially true with strange girls in black robes selling love charms that actually work. What’s a person to do when they have a rather horny lover and nowhere private to go? You now have the ability to find any place with little to no people around, no matter the time of day. Even highly traversed areas may have a secret spot or two in them. All of this gives you an opportunity for some sweet loving or a quick fuck with your significant other. This also has the bonus of making you and your partner harder to spot when you’re in the heat of the moment.</t>
  </si>
  <si>
    <t>Illustrious Fear Boner</t>
  </si>
  <si>
    <t>“Well jeez dude, I know I keep saying you’re scary but I didn’t think about you being downright horrifying. You’d send shivers down anyone’s spine, and I don’t mean in the good way! Wait, do I?"
You’re granted incredible skill with inspiring fear and dread in others. You can even toggle a small aura of fear on if you want. By default this can help make those you’re pursuing slip up, but it also has a strange side effect. There’s a secondary toggle you can selectively switch on for anyone who currently fears you. When switched on, you switch them on. That is to say, the more someone is intimidated by you, the more aroused they get. Maybe it’s adrenaline?
But wait, there’s actually one more toggle to play with! Rather than fear, or arousal from fear, you may also toggle a final ability that transforms fear based abilities, causing them to instead increase sexual appeal, at least for those into monsters in the first place.</t>
  </si>
  <si>
    <t>Interplay of Sex and Violence</t>
  </si>
  <si>
    <t>Now you may find that your time focusing on fighting causes you to fall behind a little when it comes to more...carnal delights. Thankfully, with this perk, you can now convert damage you may be able to deal with attacks, tech or anything else into stimulation of the same type. It’ll take around the same amount of stimulation to bring someone to climax as it would to defeat them through dealing damage. Furthermore, your natural implements can benefit from anything that would benefit natural weapons, but only in the context of sexual advances.</t>
  </si>
  <si>
    <t>Jar of Pollen</t>
  </si>
  <si>
    <t>A jar of pollen, guaranteed to set off allergies of anyone it gets near. Non-fatally, of course. Anyways, once spread, this takes the form off a decently sized horde of naked women who will proceed to molest absolutely everybody they see, and sleep with them if at all possible. They don’t register as anything other than pollen to anyone but you, so all of that sex will be unaware sex.</t>
  </si>
  <si>
    <t>Just Jiggle the Knobs</t>
  </si>
  <si>
    <t>You can act as a living door past any solid wall, even when there is no apparent door, as long as you stand with your back to the barrier. How so? Well, if someone wants to pass through the door, they just have to turn the knobs enough – your breasts. After enough fiddling, the subject will be seemingly absorbed into you, only to end up on the other side of the wall, albeit flipped upside down. If you place yourself in front of an existing door, the only way through is through you; in the case you want to be especially secure, you can “lock” yourself, with the “keyhole” down below requiring sufficient attention before anyone can use your “knobs” to enter.</t>
  </si>
  <si>
    <t>Lewd Armour</t>
  </si>
  <si>
    <t>Queen's Blade</t>
  </si>
  <si>
    <t>Instead of taking damage directly you may force it onto whatever you’re wearing, slowly causing your armour (or clothes) to come apart. If what you're wearing is indestructible, then this is only partially effective...assuming that the being attacking you isn't strong enough to destroy it anyway.</t>
  </si>
  <si>
    <t>Lustful Resonance</t>
  </si>
  <si>
    <t>A wonderful power that the demons have cultivated for themselves. When their partner is on the verge of orgasm, they synchronize their pleasure with yours for a split second and force you to orgasm twice at once. As you might imagine, many many adventurers have fallen to lust once exposed to this. However, it seems you’ve been practicing, because you can chain these orgasms together. The first orgasm is two at once. The second is three at once. The third is a mind blowing four orgasms at once. How high can you count, and how long can the two of you last?</t>
  </si>
  <si>
    <t>Mad With Lust</t>
  </si>
  <si>
    <t>To be quite frank there are a LOT of desperate women and monster girls in the world. Especially considering there may be at most two other living males on the planet it doesn’t exactly leave a lot of options for these girls. You are able to sense these feelings of lust and easily locate someone who would be open to have sex with you no questions asked which around here is a lot more common than you would expect.</t>
  </si>
  <si>
    <t>Master of Elves</t>
  </si>
  <si>
    <t>Select a single species at the start of each decade. Everything you do, including the usage of all your perks and abilities, is more effective in a positive manner when it comes to that race. Sex is more pleasurable, charisma perks are more effective, your intellect can more readily dissect their behavior, and combat against that race is easier for you.
Furthermore, each perk or ability you may have that would normally only be effective against a single species, race, or type of being, can now be “re-assigned” each decade to target a different race on an individual basis.</t>
  </si>
  <si>
    <t>Motherly</t>
  </si>
  <si>
    <t>When you set yourself to a task, you gain an incredible amount of insight into what needs to be done. There are a thousand and one things in a house to clean, and you now know all of them! ...What you don’t know is how to clean though. At least, not without breaking everything. Regardless, once you’ve decided what role to take, you know the do’s and don’ts of that role. Actually being good at it is another thing entirely.</t>
  </si>
  <si>
    <t>Multitasking Telekinetic</t>
  </si>
  <si>
    <t>​Some psychics find it difficult to deal with distractions or focus on multiple things at one time. You’re not one of them. You can focus your telekinesis on a dozen objects, causing them to go through a pre-programmed behavior, with alterations whenever you spare a thought to it. With lots of practice and training, this amount and control can improve further. Sit on air, read a book, and at the same time, use a bunch of toys to give your friends/captives screaming orgasm.</t>
  </si>
  <si>
    <t>Netorare</t>
  </si>
  <si>
    <t>Now obviously, sleeping with other people's spouses is really bad. However, you seem to be immune to that specific social taboo. And by that, you can flirt with, molest, or flat out fuck a woman while her boyfriend/husband watches and neither of them will think anything is wrong. Bonus points if she starts flirting back because you’re a better lay.</t>
  </si>
  <si>
    <t>Pain and Pleasure</t>
  </si>
  <si>
    <t>Karryn’s Prison</t>
  </si>
  <si>
    <t>Depending on your exact job, you might be doing a great deal of fighting so why don’t you enjoy it to the fullest~? Whether you’re more of a sadist, a masochist or both, channeling your desire to give or receive pain will grant you suitable bonuses in combat, such as an increase in raw power or the ability to deal vicious blows from sadism or an increase in endurance and the ability to attract people’s attention in all sorts of fun ways for masochism.</t>
  </si>
  <si>
    <t>Pawn Slap</t>
  </si>
  <si>
    <t>If you can give your opponent a strong slap on the face – whether with your hand or with a weapon you’re wielding – and make her or him fall backward, all of the target’s clothing will disappear, with the exception of headgear and footwear. Only works when you are on the offensive, and you cannot use this if the opponent defends herself or is attacking you.</t>
  </si>
  <si>
    <t>Powered by Pain</t>
  </si>
  <si>
    <t>In any adventure, someone is going to get hurt. Normally, you would rather it be the person you are fighting than yourself. But as the fight drags on, you’ll weaken and soon you’ll be unable to execute even your simplest of abilities. Luckily, this perk is the answer. When you cause damage to your opponent(s) or take damage from them, you will regenerate power (whether magical, spiritual, etc). The best part about it is that the stronger (or more depraved) you become, the greater and more reliable the effect.</t>
  </si>
  <si>
    <t>Proper Restraint</t>
  </si>
  <si>
    <t>You can keep easily keep a victim pinned or restrained, adjusting your grip or their bonds and position as necessary, as you have your way with them without this making it any easier for them to escape. Indeed the more, and more often, you have your way with them the harder they will find it to escape your clutches either literally or in the sense of a location which you have confined them in.</t>
  </si>
  <si>
    <t>Realer than Real</t>
  </si>
  <si>
    <t>It’s far too short-sighted to write off phone sex as a substitute for the real deal. As long as you’re on one end of the line, phone sex somehow feels just as good as actual in-person sex, even if the other person would normally be unable to experience the pleasure of sex for one reason or another. Any sensual acts done to the phone itself will somehow be felt by the other person, as if it were a sexual organ. Lick the receiver, and it’d be like licking their ear. Ejaculate, and your fluids will somehow travel through the phone line.</t>
  </si>
  <si>
    <t>Release Mechanism</t>
  </si>
  <si>
    <t>Sometimes you just want to be tied up, but you may not always have someone around to do the tying and more importantly, to release you once you've had your fun. It's a good thing for you then, that you now know how to include an emergency escape into anything you set up yourself. This goes beyond understanding how to use ice to keep a key out of reach for an hour or two: if you build a machine, you will always be able to include some kind of shut-off switch in a discreet spot that you can still get to easily if things go wrong. If you find yourself in the middle of casting a magic spell and suddenly need to stop, you now know just how to stop without releasing unstable energies that could harm you or your surroundings.</t>
  </si>
  <si>
    <t>Repair Buckets</t>
  </si>
  <si>
    <t>The mysteries of what are in the instant repair buckets is not that brain-melting. It’s sex juices. “Sanctified” saliva, breast milk, and cum. No wonder the girls always shiver erotically when treated. 
You, on the other hand, can use your own fluids directly as instant repair fluid. You’d need a few loads to heal someone crippled or maimed, but you can heal anyone through the power of sex. Internal applications are more effective than external, but bukkake is still a valid healing method. Seeing injuries actually isn’t a turn-off for you, so you can still perform while seeing someone who’s been maimed.
You don’t have to provide your fluids directly to the person, but you should make sure to preserve the liquid if you want it to last a while. As an additional bonus, anyone who tastes them tastes them as something nice.</t>
  </si>
  <si>
    <t>Rumour Filter</t>
  </si>
  <si>
    <t>Rumors can be horrible when getting to know someone. If you try to indicate you’re into their kinks, except you got the wrong kinks from the rumor mill? Kiss the chance of putting a ring on her goodbye. Except you don’t have to worry about that. Rumors, intelligence reports, and other indirect sources of knowledge now have their contents judged, and you will be informed about what is found wanting.
People can still lie directly to you, but if they want to lie to you through someone else, they might as well have just highlighted the falsehoods they wanted to put in.</t>
  </si>
  <si>
    <t>Size Up</t>
  </si>
  <si>
    <r>
      <rPr>
        <sz val="13"/>
        <color theme="1"/>
        <rFont val="Calibri"/>
        <family val="2"/>
      </rPr>
      <t xml:space="preserve">Of all the things that can be found in the sprawling Holy Caves, you might find a goodly number of items that you can’t identify. These ‘ambiguity crystals’ must be “surrounded by Omega Power” to reveal their properties... Yeah, you need to essentially paizuri the ambiguity crystal until it reveals its true form. 
Lewdness aside, this appraisal offers you, to the penny, the knowledge of what an item is worth and what supernatural properties it might have. So long as you have breasts, you can do this to </t>
    </r>
    <r>
      <rPr>
        <i/>
        <sz val="13"/>
        <color theme="1"/>
        <rFont val="Calibri"/>
        <family val="2"/>
      </rPr>
      <t>any</t>
    </r>
    <r>
      <rPr>
        <sz val="13"/>
        <color theme="1"/>
        <rFont val="Calibri"/>
        <family val="2"/>
      </rPr>
      <t xml:space="preserve"> object, even if it's too big to fit between them. Just, you know, rub against it or something.</t>
    </r>
  </si>
  <si>
    <t>Smell Fear</t>
  </si>
  <si>
    <t>Grimm can detect negative emotions in a wide range. Whether you’re a Grimm yourself or not, you share this ability, able to hunt people down by their fear or determine if the person sitting across from you is feeling angry. And you have one very special emotion that you’re even better at sensing: lust. You can even feel what would inspire lust in a person you study, able to predict what would get them hot and bothered even if they’re not feeling anything yet.</t>
  </si>
  <si>
    <t>Smiley Booby Attack</t>
  </si>
  <si>
    <t>I. But. You. How?!? And more importantly, why? Ah, sorry, I should probably explain. You have gained the ability to summon giant boobs. I don’t really know how else to phrase things, because that is exactly what this does. Just hold your hands above your head and slowly pull them apart, and the space between your hands will be filled with a massive mammaries. I’m not actually sure if they make for a good weapon - if anything, how soft they are probably blunts the damage dealt, which is why anyone who gets hit by them instead becomes incredibly aroused.</t>
  </si>
  <si>
    <t>Subspace Savant</t>
  </si>
  <si>
    <t>Subspace is a state, generally caused by sexual stimulation, that allows someone's conscious mind to briefly detach from their body and enter a featureless plane of pure thought. This is not entirely without its risks, since the body is left in a highly suggestible state, but subspace can be used for various useful purposes, including the transference of spiritual power to individuals with whom some manner of spiritual connection exists. The perk grants the ability to enter and leave subspace with consummate ease and allows you to help others in close proximity do the same.</t>
  </si>
  <si>
    <t>Switch the Sickness</t>
  </si>
  <si>
    <t>I suppose that’s one way to take care of a fever. If you’re sick, you can transfer your illness to someone else by having sex with them, which cures you of the condition. On the other hand, if someone else is sick, you are able to “steal” the illness by fucking them, which will get you sick (unless you have some method to prevent infection, in which case the original person is simply cured). For whatever reason, you and people you have sex with experience increased susceptibility to pleasure while ill.</t>
  </si>
  <si>
    <t>The More the Merrier</t>
  </si>
  <si>
    <t>If sex with one person is fun then sex with two or three people must be that much better, right? You’d think so but it’s a lot harder to pleasure several girls simultaneously than the doujins make it look. Not for you though! This perk enhances your ability to multitask, allowing you to run multiple trains of thought or action simultaneously with no loss of performance.
Eating out one girl, fingering two others and fucking a fourth all while hitting four different sets of paces and erogenous zones is no more difficult than doing it for one girl. Add in extra limbs or superpowers and you can get really nuts with this. Ever wanted to fuck a dozen girls with a dozen dildos? Get yourself some telekinesis and try it out!</t>
  </si>
  <si>
    <t>The Real You</t>
  </si>
  <si>
    <t>When others lie naked in your bed, they aren’t just baring their skin, they’re baring their heart and soul. There’s not a lot that anyone can hide from you after they’ve shared your bed, and you can tell a lot about their past.</t>
  </si>
  <si>
    <t>The Way Nature Intended</t>
  </si>
  <si>
    <t>The people in this ancient time fuck like animals (that is, they have very simple sex in doggy-style position). The new techniques introduced by Ota cause something of a sexual revolution—but you don’t need those tricks to give your partner all the pleasure they could need. The rougher, the more passionate, and the more animalistic your mating, the better it will feel for both yourself and your partner. Losing yourself in wild rutting will feel just as good as the fingers and techniques of the most skilled lovers in history; just grab hold of them and start thrusting wildly, and they’ll soon be overwhelmed by pleasure.</t>
  </si>
  <si>
    <t>Urban Sex Fantasy</t>
  </si>
  <si>
    <t>There aren't much in the way of real monsters left in this modern age. Though, Succubi are apparently thriving since the invention of pornography and the internet. As a result, while monsters such as werewolves, vampires, and various kinds of ghosts still exist, they are few and far between and the succubi are at the top of the pile. As a result of them fucking literally everything, you've gained the ability to replace your bodily needs - food, air, sleep, poop, with sex. What's more, due to latent genetics that may or may not exist, you can 'awaken' this ability in others, if you so choose.</t>
  </si>
  <si>
    <t>Venus Thigh Trap</t>
  </si>
  <si>
    <t>Even when she’s tied down and stuffed full of cock a Monster Hunter isn’t out of the fight just yet. Many an overconfident predator has thought his prey subdued only to find themselves bested by their meal’s superhuman sexual stamina. So long as others, be it an individual or a group, were initially dominant during sex with you then you can force them to maintain that role and keep fucking you. The more submission and sexual skill you display, the greater the boost to stamina you recieve and the harder they will find it to stop even in the face of danger.</t>
  </si>
  <si>
    <t>We are Connected</t>
  </si>
  <si>
    <t>The Angels exist in a structure not dissimilar to Bees. Tightly bound as well. Regardless, you can now telepathically view anyone you have ever had sex with. The range starts at a few miles, and increases the more you sleep with them. On top of that, you can also view their memories via sleeping with them, ‘tasting’ the people they’ve slept with recently, or who they’ve masturbated to. If you were really clever - or maybe desperate - you could imprint an entire message into them, to be ‘eaten’ by the recipient at a later date.</t>
  </si>
  <si>
    <t>Winger Energy</t>
  </si>
  <si>
    <t>Winger energy can be found in the milk, semen and vaginal fluids of the person generating it. Which, by the way, you now do. This gives several benefits, besides being a living battery. Most noticable is the growth. The more winger energy you have, the more your body will grow to accommodate. Usually in the breasts, testicles and cock. The more energy a person contains, the hornier they get. Note this growth isn’t permanent and shrinkage will occur as the energy is drained. Which can be done by draining the fluids. More energy is generated over time.
By filling a person with a large amount of your fluids, you can jumpstart their own production of Winger energy. If you do the same to an animal, they will transform into a furry/anthro. Note that you can choose not to infect them with winger energy. You can also absorb energy from winger tainted fluids. Note that the energy transferred/absorbed is around 1 out of 10 used.
You (and anyone you spread it to) can use Winger energy in place of mana, ki, or any other kind of mystic fuel.</t>
  </si>
  <si>
    <t>Allure</t>
  </si>
  <si>
    <t>You have an allure that makes others more receptive to sexual acts with you. This allure can be toggled on and off, as well as be switched to target feral beings, sapient beings or both. With a lot of practise you might be able to refine it to target specific individuals, and adjust the potency of the allure.</t>
  </si>
  <si>
    <t>Anything for Cum</t>
  </si>
  <si>
    <t>Those you have sex with instinctively know that the moment you orgasm, the pleasure you bring them will blow what they previously felt completely out of the water. And the longer you have sex with them and hold back from cumming, the more desperately they will start to desire to feel that superlative pleasure. Hold off for long enough, and you could get just about anyone to promise to do just about anything... and they have a bizarre tendency to stick to this sort of agreement once sex is over.</t>
  </si>
  <si>
    <t>Archetypal</t>
  </si>
  <si>
    <t>Pick an archetype of porn character. You gain a shell personality that makes you that archetype, giving you all the appropriate personality quirks one would expect, such as the hidden lusts of 'one of the quiet ones' or the athletic exuberance of a tomboy. This perk ensures you can play your selected part easily, and can slip it on and off like a mask so that it guides you into playing your role better.
However, this perk also gives you a significant power boost in the form of a power dependant on the archetype you choose. A tomboy is unlikely to get a healing boost, for example, but would instead gain something that accentuates their inherent rough and tumble style, like superhuman strength, toughness, and/or athleticism. other archetypes will obviously have other powers, but whatever it is, the power will be a noticeable boost in power, but will only last for as long as you are playing into the archetype.</t>
  </si>
  <si>
    <t>Back to Master</t>
  </si>
  <si>
    <t>You will always know what to do to find people you know, as long as a way exists. If your master were reincarnated in another dimension, you’d know where to find a spell to travel across the dimensional barrier. If you were lost in a strange new world, you would still know which direction to travel to find someone you know. The deeper your knowledge of a person and the closer they are to you, the more clarity you have in your understanding.</t>
  </si>
  <si>
    <t>Better than Death</t>
  </si>
  <si>
    <t>Death is a very final thing so almost anything is better than that final separation from your beloved. If an enemy has a reasonable chance of capturing, and keeping captured despite their own efforts, either you or your love then there will be a significant chance of them doing so rather than immediately killing either of you. This specialised form of plot armor manifests as a combination of a mental inclination towards that end and recognisable opportunities cropping up which would make it advantageous for them to do this. However the protection by this perk offers fails while you are in the presence of your love. In addition, if an enemy is truly intent on death then, at best, this perk can delay that for a time by making them more likely to 'play'.</t>
  </si>
  <si>
    <t>Everything is Better in Chrome and Neon</t>
  </si>
  <si>
    <t>This is a simple fact of reality. Cars are faster, weapons do more damage, and even the sex is better. The reason for this is that Chrome reflects and Neon purifies. Totally not making that up. You’ve gained some of those qualities. You drive away dirt and grime by your mere presence, damaged objects slowly repair themselves, and the people around you tend to look better and be healthier... though they might also tend to start dressing in black leather and decorating everything in glowing lights and shiny metal. Most importantly, you’re never dazzled by lights in your eyes, either real or metaphorical.</t>
  </si>
  <si>
    <t>Fairy Tail Ending</t>
  </si>
  <si>
    <t>While the story started with Lucy kidnapped and raped, it ended with her happily married and expecting her first child. Well, also very addicted to her new husbands cock, but believe it or not he didn’t drug her. Or brainwash her. This version of Lucy just really, really, REALLY, loved creampies. Anyways, even if by all accounts the situation looks like it or ought to be dark and nasty and ugly and maybe you waste away while high on drugs, and end up in a ditch somewhere... Those things just don’t happen.</t>
  </si>
  <si>
    <t>Forgotten God's Blessings</t>
  </si>
  <si>
    <t>It seems that sex with you is a very beneficial thing indeed, able to slowly make the body healthier, encourage growth and fertility/virility, heighten their sex drive, and even increase the size of of your partner’s sexual attributes. For some reason this is far more effective when used on a virgin, making the same amount of progress in one coupling as a dozen times with a non-virgin. Note that if you use this on the same person enough, you will start to run into diminishing returns, and you can toggle this off if you wish.</t>
  </si>
  <si>
    <t>Fossil Reviver</t>
  </si>
  <si>
    <t>Fossils are the remains of creatures that died longer ago than most people can actually conceive. And yet, somehow scientists in this world perform one of the greatest acts of necromancy by somehow getting enough DNA to create a genetic copy of whatever the source creature is. And now, you have your very own version of the machine they do that with. If you have a decent amount of a DNA source, whether that’s blood, hair, or a literal dinosaur fossil, you can create a living genetic copy of that DNA’s source creature. To be clear, this isn’t “resurrection”, just an advanced type of cloning.</t>
  </si>
  <si>
    <t>Frisky Frisking</t>
  </si>
  <si>
    <t>Sometimes, you gotta get a little handsy with the villain. A little grope here. Some inappropriate fondling here. One thing leads to another. Nobody will care. The people will cheer you for taking down the villain. And your fellow heroes will give you a pat on the back. And next time, the villain might just ‘go down’ a little easier.</t>
  </si>
  <si>
    <t>Generosity</t>
  </si>
  <si>
    <r>
      <rPr>
        <sz val="13"/>
        <color theme="1"/>
        <rFont val="Calibri"/>
        <family val="2"/>
      </rPr>
      <t xml:space="preserve">Loved ones provide for each other. This could be your own health, the benefit of a protective spell cast upon yourself or even the ammo for your lightning gun. Whatever you decide to share is distributed equally among any number of companions. You are weakened while they recover, your shield weakens while they become protected, your gun loses some of its remaining energy while theirs is recharged, etc. This does not extend to perks, but can be used to share the </t>
    </r>
    <r>
      <rPr>
        <i/>
        <sz val="13"/>
        <color theme="1"/>
        <rFont val="Calibri"/>
        <family val="2"/>
      </rPr>
      <t>results</t>
    </r>
    <r>
      <rPr>
        <sz val="13"/>
        <color theme="1"/>
        <rFont val="Calibri"/>
        <family val="2"/>
      </rPr>
      <t xml:space="preserve"> of that perk i.e. share your health as it regenerates from a regeneration perk.</t>
    </r>
  </si>
  <si>
    <t>Impotent Authority Figures</t>
  </si>
  <si>
    <t>Someone reported you. The student council president. The leader of the disciplinary committee. The teacher. Someone tried to take you down. And failed. Oh, this isn’t what the perk is about. No. It’s what comes next. It’s up to you to prevent them from succeeding in proving their case against you. But once you do, they are all yours. Filled with shame for their action, you can make them do whatever you want. Make them your new victims as they regret ever challenging you.</t>
  </si>
  <si>
    <t>Incumming Memories</t>
  </si>
  <si>
    <t>All that we are are thoughts and memories, desperately snatching life from the jaws of time. There are many ways to shapeshift, possess, or otherwise impersonate others, but many are useless without the ability to act as they would. Memories are what makes a person, so to truly take another person's place in the world you would need to obtain their memories too. Rather than fumbling around the place like an idiot, after assuming the form of another person you have the ability to gain all of their knowledge and skills too. It just requires a bit more of an... 'intimate' touch, shall we say, to get the process started. The initial pleasure will bring with it bits and pieces; small flashes of their life. It is only at the climax that the memories will be released and come flooding in.</t>
  </si>
  <si>
    <t>Internal View</t>
  </si>
  <si>
    <t>It might not be enough for you to see someone get devoured; you want to watch them struggle inside the stomach, and maybe even digest. Well, you’re in luck; you have a very versatile “X-Ray vision” that allows you to see through flesh, clothes, and even walls. Nothing can block it directly, and it’s capable of incredible fine-tuning. Want to look into someone’s womb, but not the rest of their body? This can do that. Want to look through a few different people’s clothing, but not everyone’s? Also a possibility. Furthermore, this quality will transfer to any recording devices that you’re using, from cameras to phones and everything in-between, giving you the ability to save these perverted images to more than just your memory.</t>
  </si>
  <si>
    <t>It Ain't the Size that Matters...</t>
  </si>
  <si>
    <t>Look at the Monster, then back to you, now back at the monster, now back to you. Sadly, it is very, very doubtful that any downstairs you have is suited to deal with that. If you’re a dude, no way in hell are you gonna fill that canyon. And if you’re a girl... well that’s just terrifying. But you’re a Hunter, dammit, and size has never stopped you before! By taking this Perk, you turn this otherwise “difficulty” on its head. The bigger and heavier than you your lover is, the MORE intense the pleasure for both of you, even if the ‘tool’ you’re using wouldn’t even penetrate normally. So, go ahead, go sex up Zorah Magdaros and see what happens.</t>
  </si>
  <si>
    <t>Kryptonite Factor</t>
  </si>
  <si>
    <t>Everyone knows that Superman loses his strength in the presence of kryptonite but that kind of weakness is far from the only way to take a superhero down a peg. For instance, did you know that Wonder Woman is weak against bondage? You’re a master of hitting your enemies where they’re most vulnerable, turning their fetishes into weaknesses as devastating as a kryptonite factor. When you exploit these weaknesses you inflict crippling pleasure strong enough to briefly strip your foes of most of their powers. Superstrength fails when their bodies contort with pleasure, magic spells and psychic powers can’t be brought to bear if a heroine is cumming her brains out, and an exhibitionist who gets some public exposure will barely be able to function. In your hands pleasure becomes a delightful poison that can strip the mightiest heroines of their power and reduce them to normal girls until they’ve had time to recover from your attentions, and if you don’t give them that time you can keep your victims helpless as long as you like, even indefinitely.</t>
  </si>
  <si>
    <t>Leg Trap</t>
  </si>
  <si>
    <t>You have sexy legs. Very Sexy. And mysterious. So mysterious, in fact, that you can tempt people with, shall we say, healthy libidos and willpower less than your overall sexiness to come closer and have a look, even in the middle of combat and even if common sense would normally make them cautious. This brings them into range for your special attack: you can catch a target between your two legs to pull them closer to you, and once caught the foe struggles not against your physical strength, but your sexiness to escape. They are otherwise helpless to harm you until they break free, which requires willpower to resist the sexy. While they’re trapped, you may attack them freely, or simply allow them to struggle.</t>
  </si>
  <si>
    <t>Make an Example of Them</t>
  </si>
  <si>
    <t>When someone does wrong by you and you punish them, other people will inherently know the consequences of wronging you in a similar fashion. Even if nobody ever hears about what you did, anyone considering hurting, betraying, or failing you in the same way will realize the consequences of doing so.</t>
  </si>
  <si>
    <t>Modification Backfire</t>
  </si>
  <si>
    <t>Strictly speaking, this was due to a prototype version of the genderswap drug, as its first usage resulted in the user ending up with a female’s body... yet still had a dick hanging between their legs. But at the same time, it supposedly wasn’t fixed before Sasuke stole it. Well, anyways, whenever someone tries to drug you or forcibly modify you, or even poison you, things tend to go a little haywire. A unique and unpredictable reaction between your biology and the offending chemical will occur. Sure you might go down to the poison, but for some reason it will also double your strength for while before it starts to take its toll. Or, as mentioned, ending up a futanari from a drug meant to swap your gender. This won’t do away with all of the bad effects, but you will end up with a decent silver lining.</t>
  </si>
  <si>
    <t>Origin Story</t>
  </si>
  <si>
    <t>Every hero’s journey has to start somewhere, whether with a radioactive spider bite or cosmic radiation or a magic book opening at your touch. While you can’t make lightning strike twice, you do have some ways to encourage the development of superpowers in young heroes, and this vault contains just a few of many possible starting points, such as a gene splicer that can grant a young woman your Alien DNA, or a super soldier serum that could turn her into a Badass. Whatever powers you might have, there’s a device in this container capable of bestowing them on another person, albeit much weaker and needing serious training before they can catch up to your level. The transformation also has side-effects like nymphomania for the duration of the process, so you had best be ready to help out your young protege until they get used to it. 
Each device can only be used once per decade and bestows one powerset per use. A powerset can mean multiple, synergistic perks, but a perk can only be considered part of one powerset at a time. You gain additional devices in future jumps as you gain additional powers.</t>
  </si>
  <si>
    <t>Sex Battle</t>
  </si>
  <si>
    <t>Normally winning a battle would require you to beat the enemy team up until they faint. With this perk, fucking them until they pass out in a blissed out puddle becomes a perfectly viable method of winning, granting you all the benefits of winning the ‘normal’ way. No one will bat an eye about it, but they might get hot and bothered from watching if they’re into that sort of thing.</t>
  </si>
  <si>
    <t>Sexy Sportsmanship</t>
  </si>
  <si>
    <t>So, you’ve gotten on the mat with your partner, the two of you insert, and... your partner immediately cums themself silly from all the super-sex perks you’ve collected from other lewd jumps, and they become useless for the rest of the bout. Or your super-endurance prevents you from cumming within the 20-minute timeframe. Or the sheer mess your gallons of semen produce is considered unartistic and causes you to lose points.
When it comes to sex where you’re supposed to work alongside someone, some of those lewd powers you may have acquired could be more of a hindrance than a help, while others would present an advantage that’s just not sportsmanlike to use in an official match. That’s where this perk comes into play; you have complete control over your perks and powers. This allows you to turn your perks on and off at will, or even dial them to degrees so that a perk is only partially in effect.
Speaking of partial perk effects, you can also selectively turn off parts of your perks, while leaving the rest of it untouched; for instance, if you had a perk that gave you endless stamina and also let you see how close your partners are to coming, you could selectively turn off just the stamina and keep the orgasm- vision.</t>
  </si>
  <si>
    <t>Soul-Sucking Heart Smash</t>
  </si>
  <si>
    <t>In a fight against a creature as powerful as a woman, there can be no holding back and no blow too low. You have a peculiarly keen understanding of what people want—this doesn’t help in other social situations, but it is very effective at finding out what will flatter someone the most, what you can say to get under their skin, and what will make them actually feel strong emotions in response to your words. The easiest form of this is to flirt with them. 
Once they are full of emotion, you can absorb their confused feelings, and transform it into fighting power, temporarily giving you a powerful boost that can allow even an ordinary man to land a powerful blow on a woman, and that scales proportionally with your own power. However, once someone has succumbed to this technique, they will be wise to the trick, so it is best used as a finishing blow, lest they endure the attack and you have nothing else to fall back on.</t>
  </si>
  <si>
    <t>Stronger Tomorrow</t>
  </si>
  <si>
    <t>Power here is a bit odd, but as a general rule the more combat experience you get, the faster you get more power. I could lay out a whole system for you, but instead I'll just boil it down to this. Do something impressive, get a power boost. I don't mean 'Impressive' like get a perfect score on a test, or win some sports competition. I mean go solo against a monster that it was supposed to take your whole team to fight for a few minutes, successfully, and get weeks if not months of growth out of those few minutes. Just... try not to die or get fucked, please?</t>
  </si>
  <si>
    <t>Sub Contract</t>
  </si>
  <si>
    <t>This innocent-looking binder contains a lengthy contract that, when signed, allows one person to sell themself to another person in all but name. You can freely alter the terms of the contract to allow or disallow any kind of fetish play, and so long as there is even one part of the contract that establishes a sexual or fetishistic relationship between the two parties you can make all the other clauses and conditions about whatever you want. Wherever you are, any lawful authorities who inspect the contract will see it as legal and binding and will even help enforce the terms if needed. Once both parties have signed the contract it can only be nullified or changed if both parties agree to do so, so make sure that you sign the right dotted line.
This item comes with five copies of the contract to start and each time a contract is signed a fresh one will take its place. Any physically destroyed contracts will reappear in the binder good as new 24 hours later. You can have as many active contracts as you like at any one time.</t>
  </si>
  <si>
    <t>The Beast</t>
  </si>
  <si>
    <t>Your dick is a monster of incredible power, rivaled only by Imacchi’s own. The force of your erection standing on end is powerful enough to flip multiple teenagers through the air, launching them down a hallway with air pressure alone.
If you were lying on your stomach and got hard, you’d be standing on your feet again. Your dick is also completely invulnerable to damage, allowing you to safely wield the full force of your penile might. It’s pretty big, too.
Somehow, people are never actually injured by your dong. The impact of it against their bodies is instead somehow pleasurable, and were you to actually fuck someone, the force of its twitches against their sensitive internal tissues would only inspire deep wells of pleasure, rather than the pure agony that would surely occur without this perk. And somehow, your erection only gets larger and more powerful the more you orgasm.
Huh? What if you’re a girl? Well, I guess you could have the effects apply to your nipples getting hard... but if you want, you could just grow a mega-dong of your own.</t>
  </si>
  <si>
    <t>The Last One Still Dressed Wins</t>
  </si>
  <si>
    <t>You have mastered the art of waitress combat – specifically in making your opponent gradually lose her (or his) clothing with every successful hit. Since it’s rather undignified to take off your clothes in front of people (even if it’s someone else who’s taking them off you), your de-clothed opponent will become more and more embarrassed as the humiliation progresses, and people who see the person lose her clothing will lose a bit of respect they had for the person and instead see her as scandalous or silly with each garment lost (interestingly, the respect lost toward the victim is somehow transferred toward their perception of you, as there’s something admirable in how you so elegantly take your opponent’s clothes off in the duel). In fact, you can take an opponent’s clothes off in any sanctioned duel without being disqualified for doing so.</t>
  </si>
  <si>
    <t>Watch of Unflowing Time</t>
  </si>
  <si>
    <t>A pocket watch with an unmarked button on the side. Clicking it will freeze time until it’s clicked again. The watch will slowly recharge at half speed, two minutes real time for one minute frozen. If it reaches over 24 hours of use, it will be rendered inert until fully recharged. People nearby you will be relatively poseable, like a giant action figure, whereas someone a mile away or more would be utterly inflexible. As a downside, the watch is fragile. Any form of time manipulation by an outside party will break its effect and render the watch temporarily inert for 24 hours.</t>
  </si>
  <si>
    <t>Well Used Sex Toy</t>
  </si>
  <si>
    <t>A sex toy that one day decided to love you back! Onaho, the goddess of onaholes! Or perhaps Dick, the god of dildos? Anyways, this toy/person is more or less immune to societal standards. They can walk around naked and nobody will bat an eye, and you can fuck them utterly senseless on a subway and nobody will cry rape. They’re also utterly devoted to you, and have no physical needs other than sex.</t>
  </si>
  <si>
    <t>What a Good Slave</t>
  </si>
  <si>
    <t>Want to be useful and earn your Master or Mistress’s praise? Say no more. You are intuitively aware of your superior’s desires at any given moment. No, that’s not enough, is it? You are presciently aware of your superior’s desires; by the time they realize they want something, you’ve already provided it and have moved on to taking care of the next thing they’ll want. (This includes real-time guidance on how to please your superior sexually.)</t>
  </si>
  <si>
    <t>Worldly Women</t>
  </si>
  <si>
    <t>As when Komurai practitioners retire, they tend to trade full-body movements for sensitivity and intuition. Your feet can gather a scary amount of information from vibrations and temperature, such as predicting the weather. Being in the same room as someone will let you sense their general mood, hunger, health issues, etc. Touching someone directly with your feet will let you sense every detail of their body from their heartbeat to muscle contractions, and from that their emotional state.</t>
  </si>
  <si>
    <t>A Fine Woman</t>
  </si>
  <si>
    <t>The only joy for a woman is to be of use to a man. The day he loses interest is the day she ceases to have value. But in your eagerness to please, you find yourself ever so valuable. However incompetent you likely were before, being given an order by an acknowledged master propels you to greater heights. You act with greater skill and power solely because you were told your task, instead of making any choices yourself. The more deeply you’ve submitted to your superior, the more effective this becomes. A simple work superior makes little difference. Swearing yourself to a man, such that you start dripping when he pats your head, would let him turn you into a fearsome warrior from nothing with a command. And selling your body and soul to your master, being willing to die for their fleeting pleasure, would help you accomplish the absurd if he desired. All it took for you to find your worth was the firm hand of a man.</t>
  </si>
  <si>
    <t>A Hunger to Swallow the World</t>
  </si>
  <si>
    <t>Let’s face it, dragons eat things. Sheep, cows, virgins, all that and more. But now, you get a boost of some kind based on the last thing you ate. Eat a virgin, become more fertile. Eat a bull, your strength for increase. Each a griffin, your magical power increases. A princess, perhaps your overall beauty? Everything will give you something, but the boring stuff would probably be so small as to not notice it at all. In addition, you can eat something twice your size with ease, and maybe ten times to leave you full to bursting.</t>
  </si>
  <si>
    <t>Arrows Like Raindrops</t>
  </si>
  <si>
    <t>Even in the thick of the chaos of war the Shepherds tower over more common soldiers like myths among mortals, and the random perils of the battlefield that slay lesser men barely phase them. You are inured to common hazards of warfare and are able to shield yourself against injury from collateral damage or other forms of damage not specifically meant for you. Arrows may fall like rain and fireballs explode all around you, but mere happenstance will never claim your life. An enemy’s attack must be intended specifically for you for it to have a chance to find its mark. Likewise, any attacks from your allies that might inflict friendly fire will never find their mark against you.</t>
  </si>
  <si>
    <t>Bag of Splits Seeds</t>
  </si>
  <si>
    <t>This seed possesses a rather potent power, by eating it one can split themselves into two separate copies. Although normally the clone is solely sex focused and lasts only a short while you seem to have gotten hold of a rather unique mutation. Your clone retains enough intelligence to be rather romantic and it can last an entire night. Perfect for satisfying incredibly large harems, or seducing both a Queen and a Princess simultaneously. You get a bag of ten seeds which replenishes weekly and you can use multiple seeds at once. However, the clones you create lose any supernatural powers not related to sex and are pretty bad at anything not relating to sex or relationship building.</t>
  </si>
  <si>
    <t>Biology Schmology</t>
  </si>
  <si>
    <t>Oh no, did you meet a lovely alien lady, only to find out that she ‘subsists on dermally absorbed water’ or some anti-fetishistic thing like that? Well screw biology, you have desires to fulfill. Under your care, biology literally does not matter. Even if it makes no sense, such as your lover only consumes solar radiation for sustenance, and has no mouth. Lewd finds a way.</t>
  </si>
  <si>
    <t>Blessing of Wisdom</t>
  </si>
  <si>
    <t>Wisdom is knowledge and knowledge is power in ways that mere brute force can never replicate. You’ve received the Goddess’s blessing of wisdom: whenever you stand at a crossroads of major choices you receive premonitions of the possibilities that each choice presents. If one choice would lead you to a treasure or to a monster’s lair then you might receive a vision of your rewards or the foes you’re about to face. These visions may sometimes lack context but they will always be accurate, and they will never fail to inform you of unique opportunities or especially dangerous enemies lying along the path ahead of you. Occasionally you may even be able to experience exceptionally vivid waking dreams of depraved things that could have happened to you along paths not taken, such as erotic “bad ends” that might have ended your chain, though you can easily suppress these particular visions if you wish.</t>
  </si>
  <si>
    <t>Boiling Hero Blood</t>
  </si>
  <si>
    <t>The heroic blood within you, when brought to its limit, can erupt in a burst of power, enhancing all of your physical stats for a short time. Often, this just means that you were teased a lot and now you fuck extra hard, but it also has combat applications to give you a second wind when you’ve been pushed to what should have been the limits of your stamina.
But this has another effect, a mingling that results when you are subject to any sort of mental domination. It doesn’t completely protect you, but instead perverts any orders you are given into something that works against the intentions of the person who attempted to control you. For instance, an order to obey them might be twisted into an order to “service” your master... even against their objections. An order to slay some innocents might turn into you laying some innocents. Even if you are given an ironclad order with no room for misinterpretation, your mind will twist the order into something entirely new and opposed to the intentions of the one trying to command you.
If you already had an immunity to such controlling effects, then now your powers are enhanced to instead reflect attempts to control your mind, assaulting your attacker with the same mental influence they sought to use on you.</t>
  </si>
  <si>
    <t>Bordelloblight</t>
  </si>
  <si>
    <t>Ganon’s malice is so overwhelming that a single body can barely contain all of his power at once, even a body as fearsome as the Calamity. Your power may not have reached the same heights as his, but you’ve learned how to split yourself apart into separate bodies much like Ganon’s blights. These extra bodies are controlled remotely by you, having no minds or wills of their own unless you grant them one, and they can be as weak or as powerful as you desire whether you wish to make powerful behemoths or an army of the dead. The only limitation is that you must temporarily donate a portion of your power to your spawn for the duration of their existence, which you can end at any time to reclaim it. Alternatively, instead of using your own power you can impregnate a strong slave with your spawn and use their strength instead. Any blights born from your slaves will inherit their powers rather than your own, but you still have control over whether they continue existing and any borrowed powers will be returned upon their deaths.</t>
  </si>
  <si>
    <t>Cage of Flesh</t>
  </si>
  <si>
    <t>Some injuu devour their victims whole, not to eat but to imprison them inside their bodies and then ravish to their hearts’ content. Hidden inside your body is a special space for keeping prisoners and having your wicked way with them, an organic sex dungeon you have total control over. It’s much bigger on the inside than you are, large enough to accommodate over a dozen helpless prisoners in secure tentacle bondage no matter the size of your body, although “helpless” is the key word. You can do whatever you like to your captives but if they still have some fight left in them they can potentially blast their way out, and that hurts a lot if they succeed. Within this space it costs you nothing to use sex magic and any other lewd powers at your disposal, allowing you to play with your prisoners as long as you like without even being distracted from your daily routine. Moreover, once you’ve subdued and dominated somebody so thoroughly that they have no desire to escape, your slaves are considered a part of your body and you can freely make use of their powers as if you had assimilated them, though you can also cough them up unharmed if you prefer.</t>
  </si>
  <si>
    <t>Capture King</t>
  </si>
  <si>
    <t>Remember when I mentioned being cute and Capturing one of these creatures? Think it’d be hard? Absolutely not for you, not with this Perk. You don’t even need something as sophisticated as a trap to get the job done. Just lead your mark into a bunch of vines when they’re at half-strength or lower. Once they’re in, just cherry tap them on the head and it’s lights out till you decide to wake them, one way or another. All of your efforts to capture, ensnare, or otherwise take a target alive receive this supernatural boost.</t>
  </si>
  <si>
    <t>Care to Make a Deal?</t>
  </si>
  <si>
    <t>Eventually, blocks of power will form, and they’ll need to be able to negotiate with each other and trust that each party will act accordingly. When you make a deal with someone, arbitrate an agreement between two parties, or even are promised something, you can choose to make that covenant unbreakable, as in the parties cannot even attempt to go against it, can hardly think about going against it. You can annul any of these deals at any time, but that would release both parties from their obligations, and if you do this to get out of an inconvenient deal you made too often, it’s only logical that it may damage your credibility.</t>
  </si>
  <si>
    <t>Charisma of Celestine</t>
  </si>
  <si>
    <t>Are you a Goddess? Well even if you are not the people that follow you could be mistaken for worshippers. You have a certain empowering and regal presence matched only by Celestine. Your kind smile would light up even the darkest night. As long as still draw breath the people under you have incredibly high morale no matter the obstacle. You additionally are both an incredibly skilled orator and have a voice that could charm even the hardiest of thugs. In addition you also have Inherited one of Celestine’s abilities, namely that your breast milk (or semen if your a man) acts like a panacea and can even revive the recently dead.
Finally you have the posture of a true leader. Even on the hour of your defeat imprisoned in a filthy jail cell you still of the aura and dignity of a queen. Perhaps you could even rally the people of the Seven Shields Alliance together in rebellion when Kuroinu had conquered the fortresses and all hope seems lost.</t>
  </si>
  <si>
    <t>Common Sense</t>
  </si>
  <si>
    <t>If you’re going to be placing yourself at someone else’s mercy it pays to have a good sense in advance of what’s safe and what’s not. This perk manifests as a sixth sense of sorts which provides a tugging sensation that draws your attention in the direction of safe and fun experiences whenever you’re looking for them, though you can toggle it off if you choose. It also tugs very insistently away from dangerous experiences, like that nice-seeming dom who’s actually a serial killer, or the eager sub who’s actually a honey pot looking for an abuse lawsuit. The perk knows more than you do about these situations and provides accurate warnings regardless of whether you’re aware of the danger or not, though it won’t share specifics about why the situation is dangerous.</t>
  </si>
  <si>
    <t>Contractual Immunity</t>
  </si>
  <si>
    <t>Now, since magical girls tend to tank lasers, monsters, and other forms of violence without a scratch, this must mean that they have some form of enhanced durability, right? Well, not you. Instead, you have a probability field that makes attacks drop in power, frequency, and accuracy depending on how much you wear. Wear something ludicrously skimpy, and very little would be able to hurt you. Wear a nice and concealing outfit... and watch this do nothing.</t>
  </si>
  <si>
    <t>Crime and Punishment</t>
  </si>
  <si>
    <t>Catching cultists and criminals is what you do. You certainly have a knack for capturing them too. Anyone you bind, whether it be with cuffs or rope, will become relatively docile. They can still give you lip, but they won’t fight you. You know what else they’d be semi-willing to allow — sexy times. Anyone bound by you will also be willing (somewhat) to have you rail them thoroughly. It’s all consensual. It’s not like they’re bound and unable to escape. Just purely good old fashion fucking — until they get to jail that is. The best part about it is that no one will even stop you. So what if you’re pounding a perp in the back of a police car. That’s just standard business right there.</t>
  </si>
  <si>
    <t>Divine Retribution</t>
  </si>
  <si>
    <t>Despite your masochistic tendencies you are not some helpless damsel waiting for a villain to tie you up and make you his latest victim. You have turned your masochism into a source of strength: as you suffer injuries, pain, or even simple humiliation you can convert your misery directly into spiritual power, storing up all the punishments you suffer and then turning them back on your enemies with all the power and fury of a lightning bolt. This additional power is stacked on top of whatever your attack would normally inflict, and it needn’t be your enemies who inflict that pain on you either: a trusted friend or a consenting partner can help you build up a charge just as well as your foes. Once you've built up such a charge you can hold it for a maximum of 72 hours before it dissipates on its own.</t>
  </si>
  <si>
    <t>Dominant Spirit</t>
  </si>
  <si>
    <t>You gain spiritual power through dominance; the more you embrace it and your sexuality, the more you'll gain. You also gain the skills to use this power through spirit techniques that can boost your physical power, manifest moderate amounts of elemental energy and knock out weaker individuals just by focusing their spiritual presence, among other things. Regardless of what the rest of your choices may say about the provenance of your training, with this perk absolutely no one will doubt that you belong in the major leagues... Unless, you decide to hide this for some reason, since this also makes you skilled enough to disguise your actual power level from most potential observers.</t>
  </si>
  <si>
    <t>Drown in Pleasure</t>
  </si>
  <si>
    <t>Tatsuki's relative uselessness in a fight left her in a scenario where she was utterly desperate to do something, anything, to help Orihime, including all manner of sexual acts. Building off that, when you take the submissive role in a sexual situation - or rather, submissive to their will/fetishes, which could still leave you on top - then afterwards you'll find your partner on the top of their game, just a tad faster, stronger, even luckier for a short time.</t>
  </si>
  <si>
    <t>Empty Vessels</t>
  </si>
  <si>
    <t>Especially powerful dominants have desires so strong that a single body is insufficient to contain them all. Like Hajime you're able to project your lusts outside of yourself and create multiple independent bodies to sate your desires. These shadow clones are empty vessels, mere puppets that you control remotely, and they have no minds of their own beyond whatever desires you put into them. They can manifest either as full bodies like your own or as floating body parts like hands, cocks, and other parts of yourself (including your alt-forms, if you have them) needed to sate your desires. These extra bodies allow you to effectively become a one-man gangbang, but you can use them for other things as well, though it may take practice to use them for anything not related to satisfying your libido in one way or another.</t>
  </si>
  <si>
    <t>Energy Manipulation</t>
  </si>
  <si>
    <t>You know how to shape and influence your inner energies, and can use this to transfer your strength into someone else via a kiss. This can take the form of directly empowering them, or you can outright temporarily transfer perks to them, which will last for a short while before returning to you. You can use any form of energy to strengthen your allies, and can convert any of your energies into any type of power compatible with the person you’re empowering.
This can also be used to transfer life energy, but doing much of that will be bad for your health. But it can save a life in a pinch.</t>
  </si>
  <si>
    <t>Flirt with Everything</t>
  </si>
  <si>
    <t>Are people not enough for you? Do you want to fuck more exotic things, just for the hell of it and to say you did? Well, I can help with that. Once a month, you can designate an object, animal, plant, location, basically anything, and have it generate a physical avatar that you can sleep with. The personality and body is based on what you choose, so your sword will probably be loyal to you, but a lake wouldn’t be.</t>
  </si>
  <si>
    <t>Gaki's Hunger</t>
  </si>
  <si>
    <t>Some beings can gain very real power by devouring their prey, but thankfully you just need to consume their sexual fluids to strengthen yourself, either through your mouth or another method. This amplifies your supernatural abilities, your sexual attractiveness, and may increase/decrease your visible age towards a person at the prime of their life at your discretion. Unfortunately, the effect is only temporary, with the effect lasting for an amount of time based on the amount consumed and the ‘quality’ of the meal.</t>
  </si>
  <si>
    <t>Get Out of Jail Free Card</t>
  </si>
  <si>
    <t>A card, a very special card. This card allows you to opt out of any shitty situation involving other people at your discretion when spent. Were you picked up as a slave by the Romans? Get out of there. Implicated in a witch trial? Spend your card to get out scot free. When spent, the card keeps the heat off of you for long enough to evade stumbling right back into the exact same problem while other people forget about the initial situation or push it to the back of their minds. In many ways, this is like a social or political 1-Up to use as desired. You’ll receive a replacement card every ten years.</t>
  </si>
  <si>
    <t>Haunted Technology</t>
  </si>
  <si>
    <t>Like Sadoko you can manipulate technology, able to create the normal ghostly phenomenon like flickering lights, phone calls from no one, and other such spooky things, but also able to do much funner things like searching someone’s hard drive for porn and then turning into the kind of person they like. This also gives you knowledge on how to manipulate technology in less supernatural ways, like using recording equipment or hacking.</t>
  </si>
  <si>
    <t>Heroic Cumback</t>
  </si>
  <si>
    <t>When at the very last dregs of your stamina and willpower, instead of succumbing, there is a chance for you to gain a second wind of sorts, filling your mind and body with vigor and allowing you to strike back. Oddly enough, this chance scales with your fertility/virility, implying that it may be a gift from the Goddess.</t>
  </si>
  <si>
    <t>Hibachi Hell</t>
  </si>
  <si>
    <t>It’s a rod with a tip that rapidly oscillates, and it—look, it’s a magic wand type vibrator. Every girl’s best battery-operated buddy. There’s not much else to say to describe it. However, this vibrator is special in that using it on someone will always be considered a valid form of punishment for anything short of criminal wrongdoing.</t>
  </si>
  <si>
    <t>Hollow Flesh</t>
  </si>
  <si>
    <t>By simply drawing your finger down a 'seam' in someone's skin, you can turn them into a skin suit. While doing this, you can decide how aware they will remain, whether they are awake when they feel someone else wear them or are simply an inanimate empty skin. Whenever someone puts the suit on, they will assume the victim's form entirely. You can also reverse this process by 'sealing' the seam back up. If the subject was aware, they will retain their memories.</t>
  </si>
  <si>
    <t>Horny Engine</t>
  </si>
  <si>
    <r>
      <rPr>
        <sz val="13"/>
        <color theme="1"/>
        <rFont val="Calibri"/>
        <family val="2"/>
      </rPr>
      <t xml:space="preserve">You are an unstoppable engine fuelled by sheer lust. The hornier you are, the stronger your raw strength, speed, and stamina become, until you can rip doors off lockers and shatter wooden palettes blocking your way with a single kick like some kind of horror movie monster.
</t>
    </r>
    <r>
      <rPr>
        <i/>
        <sz val="13"/>
        <color theme="1"/>
        <rFont val="Calibri"/>
        <family val="2"/>
      </rPr>
      <t>“She can’t be bargained with. She can’t be reasoned with. She doesn’t feel pity, remorse, or fear. She absolutely will not stop until you are fucked.”</t>
    </r>
  </si>
  <si>
    <t>Hydrated Hydra</t>
  </si>
  <si>
    <t>In the multiverse, there are many creatures who take great pride in their vitality, but you are on another level. Your regenerative ability is absurd. You can regenerate limbs in a matter of seconds, but not complex organs. Injuries that you can regenerate from are felt as pleasure instead of pain, and the regeneration itself is an orgasmic feeling in its own right. An oddity of this ability is that unless you explicitly desire otherwise, you don’t bleed from injuries, and your flesh is delicious and nutritious, even when consumed raw.</t>
  </si>
  <si>
    <t>I'm Reusable</t>
  </si>
  <si>
    <t>Boys are so rough with their toys. They’ll throw them around, slam them up and down, chew them up and spit them out. Then they’ll forget all about the toys once they break and someone gives a new one. But you keep bringing the boys back to play with you, even after you’re completely broken. No matter how badly you’re beaten or bashed, you don’t seem to go down for good. Your mind, your heart, your spirit, those can all be dirtied and destroyed for good. But that tight, young flesh of yours always finds a way to come back from anything. It could be a magical spell that transfers you to a new body, amazing resilience and recuperation once you get to a hospital, or even just the luck to have a passing healer look you over. You’ll always find your way back to looking pretty and playful after a short while. Only once you’re really broken though.</t>
  </si>
  <si>
    <t>It's Nothing Personal</t>
  </si>
  <si>
    <t>Your business is twofold. Recording these staged fights, and selling the resulting show and related memorabilia, and eventually selling them as sex slaves. This is your job. In their eyes, this might make you worse than the mindless 'Monsters', but it really isn't anything personal. That's why rage and desperation, the last dregs of hope and luck, will always fail against you. The resulting power boost, however momentary, never arrives.</t>
  </si>
  <si>
    <t>Kiss of Life</t>
  </si>
  <si>
    <t>Everyone knows that few things heal a broken hero like love, but failing that lust is an excellent substitute. Genuine affection and pleasure both massively accelerate the healing of wounds and ailments of all sorts, whether by rubbing healing oils on scarred bodies, holding them close when the terrors come at night, or simply helping them feel whole again. Even if you were to come home riddled with bullets or infected with an alien virus, a night spent in the arms of a lover will have you walking again by morning, and if you can squeeze in some sexy time you'll be ready to give those crooks some quality payback by the afternoon. This benefits not only you but also any target of your affections, be they a young protégé who got in over their head, or your favorite cat burglar after she pushed her luck too far. No matter how dark the night may be, so long as you have each other all wounds will heal and you'll face the coming dawn together.</t>
  </si>
  <si>
    <t>Kunoichi Scrolls</t>
  </si>
  <si>
    <t>A chest containing a set of magically preserved scrolls. The techniques written on these scrolls have been passed down for generations in a certain secretive clan of succubi. They vary wildly, from mundane stealth and espionage, to the use and creation of ninja tools such as smoke and sleep bombs, to more supernatural abilities like flash-stepping and breathing out aphrodisiac mist. There’s even one technique that allows you to create a temporary clone of yourselves from the ambient shadows, although you’ll only be able to create one without intense training, if that. Going above your limit will cause certain clones to stop acting like you, as well as causing you to feel any orgasms they have as if they were your own.</t>
  </si>
  <si>
    <t>Liquid Dreamer</t>
  </si>
  <si>
    <t>Not all forms of pleasure need be sexual. You’re a creature with the special ability to enter and eat the dreams of others. You gain nourishment from this, but most importantly, you get to explore the constructs of the unconscious mind as if they were your own. Whether you just sit back and enjoy the ride or make an effort to twist the dream yourself to make the perfect Heaven or Hell for the dreamer, is up to you. Incidentally, you also experience sexual pleasure from eating wet dreams.</t>
  </si>
  <si>
    <t>Losing Conciousness</t>
  </si>
  <si>
    <t>The fact that you were just fucked so hard that you fell unconscious is no excuse for stopping sex. Falling unconscious no longer stops your body from acting. Although you can’t carry out complex actions while you lack consciousness, you can still carry out basic, instinctive actions, such as fucking, fighting, or running, as may be situationally appropriate. You’re guaranteed that your unconscious body won’t do anything that you would regret when you wake up. Additionally, suddenly losing consciousness (be it due to a sudden influx of pleasure or due to being hit in the head) will never cause you health problems.</t>
  </si>
  <si>
    <t>Magic Penis</t>
  </si>
  <si>
    <t>Moving in the other direction, you can temporarily ‘steal’ body parts, either through copying or through outright theft. Want to have a horsecock for tonight? Find one, and give it a quick pat on the head. Or, be kinky and steal popular dude #39’s and replace it with his girlfriend's vagina. Just for kicks.</t>
  </si>
  <si>
    <t>Man of Mystery</t>
  </si>
  <si>
    <t>Don’t you know that that women just love a man of mystery? Well, you certainly are one. Simply put, you can, at any time, erase, remove, or otherwise hide any recorded information about yourself that currently exists. Security camera? Freak accident in power fluctuation erased it right before it was accessed. Yes, ‘accident’... And, as I said, women love a man of mystery. Not good for lasting relationships, but the less they know about you, the sexier you seem to them.</t>
  </si>
  <si>
    <t>Mazocian</t>
  </si>
  <si>
    <t>It’s common knowledge that wearing a blindfold can make your other senses sharper, but why stop there? You have a rare gift that only BDSM enthusiasts can truly appreciate: much like the brain’s ability to adapt to losing one of your senses, when your body is tied up and helpless your mind becomes stronger, swifter, and more focused to compensate. Any skill or talent you can still use becomes that much sharper and the more you have to give up the more you gain in return. Ordinary sensory deprivation can make your sense of pleasure grow tenfold, and an ordinary schoolgirl could gain the acting skills of a world-class performer or the intelligence of a genius while she’s tied up. Magical powers benefit as well as long as those powers don’t require freedom of movement: a submissive sorceress is at her most dangerous when stuffed full of vibrators and sealed into a gimp suit or something of the like.</t>
  </si>
  <si>
    <t>Moth</t>
  </si>
  <si>
    <t>Since every one of the starting locations is scheduled to be destroyed not long after your arrival, it only seems fair to give you a way to get off the planet. This is a small organic spacecraft about the size of a large van. Resembling a large moth, the “eyes” act as both doors and widows to the small two seated cockpit. It has insect like wings for atmospheric flight, letting it maneuver like a helicopter, and a small thruster in the back to propel itself in a vacuum. Moths are easy to fly, with their pilots needing only to point them in the direction they want to go, and the rudimentary instincts of the moth handle the details of maneuvering around obstacles and landing safely when appropriate. Moths are short range craft, capable of traveling interplanetary distances, but not interstellar ones.
Your moth has the added advantages of not requiring food or fuel, having an unlimited lifespan, and being replaced with a new one if it is ever damaged or destroyed.</t>
  </si>
  <si>
    <t>Pleasure for Pleasure</t>
  </si>
  <si>
    <t>Those who try to drown you in bliss will find themselves going under themselves. Whenever someone tries to cause you pleasure, you may choose to inflict a portion of that pleasure upon them. Note that this doesn’t actually reduce the amount of pleasure you’re feeling.</t>
  </si>
  <si>
    <t>Pomegranate Syndrome</t>
  </si>
  <si>
    <r>
      <rPr>
        <sz val="13"/>
        <color theme="1"/>
        <rFont val="Calibri"/>
        <family val="2"/>
      </rPr>
      <t xml:space="preserve">You become incredibly talented at something - oration, cooking, medicine, acting - but with a </t>
    </r>
    <r>
      <rPr>
        <strike/>
        <sz val="13"/>
        <color theme="1"/>
        <rFont val="Calibri"/>
        <family val="2"/>
      </rPr>
      <t>very sexy</t>
    </r>
    <r>
      <rPr>
        <sz val="13"/>
        <color theme="1"/>
        <rFont val="Calibri"/>
        <family val="2"/>
      </rPr>
      <t xml:space="preserve"> terrible cost. On a semi-daily basis you will randomly be struck with a state of incredible arousal. While you can masturbate your way through this, the process takes hours, where as having sex will generally deal with it in a few minutes. While in this state of arousal, however, you will seek to spread its effects, turning your talent to lewd ends and often gaining some measure of infecting power that has you driving others into an identical state. This power could be a mimetic threat via your voice or your gaze, can be as physical as making you inexhaustable as you are fast, or can take the form of something like a pheremone burst. Depending on their exposure, your victims might have to masturbate about it, or they might need a hard fucking like you. Luckily </t>
    </r>
    <r>
      <rPr>
        <i/>
        <sz val="13"/>
        <color theme="1"/>
        <rFont val="Calibri"/>
        <family val="2"/>
      </rPr>
      <t>they</t>
    </r>
    <r>
      <rPr>
        <sz val="13"/>
        <color theme="1"/>
        <rFont val="Calibri"/>
        <family val="2"/>
      </rPr>
      <t xml:space="preserve"> can't spread it themselves. Of course, those affected (including yourself) lose nearly all sexual inhibitions and have no thoughts in their head besides satiating their desires.</t>
    </r>
  </si>
  <si>
    <t>Reader Poll</t>
  </si>
  <si>
    <t>Torn by indecision? Why not poll the 'readers'? You may present a "What now?" question in your mind and some options to a hypothetical audience of 'readers' - like "Should I act casual or roll to seduce?", and quickly gain a tally vote, along with a few other ‘written in’ options. The 'readers' are aware of your situation, past actions and resources, and are quite intelligent and genre-savvy, so some of their suggestions might be things you hadn't considered. Despite their awareness, the 'readers' are not omniscient, and are only aware of things that you are, even if you didn't notice them at the time. Of course, what the 'readers' want is what's most entertaining, not necessarily the safest or most optimal course of action, though they can be counted on not to vote for options that are likely to give you a bad end to your 'quest'. You can always ignore their vote, but then why bother asking them?</t>
  </si>
  <si>
    <t>Rider Skill XXX</t>
  </si>
  <si>
    <r>
      <rPr>
        <sz val="13"/>
        <color theme="1"/>
        <rFont val="Calibri"/>
        <family val="2"/>
      </rPr>
      <t xml:space="preserve">You know, most rider class Servants come with a mount of some kind, like Medusa and her Pegasus. Other servants are just summoned on horseback, like the Lion King Artoria. Given the nature of the world, it makes perfect sense that these women would be completely rotten, and well trained to satisfy the lusts of their mounts. 
You now have the ability to summon the animals that you've slept with to your side, in a rather perverse mockery of a Noble Phantasm. The definition of 'animal' is rather murky, but </t>
    </r>
    <r>
      <rPr>
        <i/>
        <sz val="13"/>
        <color theme="1"/>
        <rFont val="Calibri"/>
        <family val="2"/>
      </rPr>
      <t>generally</t>
    </r>
    <r>
      <rPr>
        <sz val="13"/>
        <color theme="1"/>
        <rFont val="Calibri"/>
        <family val="2"/>
      </rPr>
      <t xml:space="preserve"> it excludes any 'civilised' specieis. Regardless, the deeper you took them, and the more of their cum you had poured inside of you (or vise versa, I suppose), the stronger your Phantasmal copy of them will be - though an ordinary dog will never be able to fight on par with Servants, no matter how much of it's cum you guzzle. It simply doesn't have that potential. Of course, maybe you aren’t riding them into battle?</t>
    </r>
  </si>
  <si>
    <t>Salacious Scoundrel</t>
  </si>
  <si>
    <t>Hey, there's a perfectly reasonable explanation for your state of undress. For one they say that fortune favors the bold and the terminally foolish, right? Not to mention the simple fact that you've always done your best work when completely unhindered by things like heavy steel plates, uncomfortable leathers, or ah, you know, cloth.
Look, the long and short of it is that the less you happen to be wearing the faster, more agile, and inexplicably luckier you become. When fully au naturel you would make your covered up self look like a fumbling drunken buffoon with a bad limp, who also just broke a mirror with a black cat while standing underneath a ladder.</t>
  </si>
  <si>
    <t>Semen Demon</t>
  </si>
  <si>
    <t>Thanks to their spiritual bodies injuu can come in every imaginable shape and size and their fluids are just another extension of their ability to transform according to their depraved desires. Like a venomous snake your body can produce magical drugs and chemicals with a range of effects that you can freely customize according to your needs. One moment you might be spraying an acid mist which melts clothing but leaves flesh untouched, the next you could be producing super-strong web fluid for laying traps and tying up your victims like some kind of demonic spider person, and the next you’ll be pumping your prey full of powerful aphrodisiacs to send them into heat or make their breasts grow ripe and full of milk. You need only desire an effect and your body will produce a drug or chemical that meets your needs, and everything you create is free of harmful side-effects unless you specifically desire otherwise so you need never worry about your victims having some sort of unexpected reaction to being drugged up to their eyeballs.</t>
  </si>
  <si>
    <t>Semi-Canon Omake</t>
  </si>
  <si>
    <t>One of the ways in which questers attempt to influence quests and stories is through omakes, in which they write short stories of what they want to happen, what they think might happen, and just what they think is funny.
And now that’s how you can influence the world. Writing an omake will ever so-slightly adjust the course of the world towards a goal of yours related to the omake. The quality and length of this affect the scale of this - a short, poorly-edited paragraph does little, but 12,000 words of eloquent and well-constructed pose does much more. (Still an effect that takes careful observation to notice, though.)
This is far more effective when used in support of your other actions. Write an omake about your seduction target furiously masturbating about you after a meeting, and you’ll make notably more progress.</t>
  </si>
  <si>
    <t>Sexual Evolution</t>
  </si>
  <si>
    <t>When the Koben Tribe adopted Ota’s stolen technique of the revolutionary “missionary position”, they rapidly started to improve over their previous selves. They became smarter from having sex face-to-face, their minds growing from seeing each other’s expressions during sex.
Or something like that.
The point is, sex makes you better now. When you have sex with someone face-to-face, you will become a little bit smarter, representing your movement away from your animal self. When you have sex with someone but aren’t facing one another, you will become a little bit stronger, representing your movement towards your animal self. Well, I say that, but you don’t actually become more or less animalistic, just stronger or smarter with each time you fuck.</t>
  </si>
  <si>
    <t>Silver Eyed Warrior</t>
  </si>
  <si>
    <t>You were born with silver eyes and with training you can use them to destroy hostile magic and creatures made from it, like the Grimm. You can choose to pass the eyes down to your children. Cosmetically, your eyes can be toggled between your normal colour and silver, though they will turn silver when you use them.
Even above the normal benefits of silver eyes, you are mostly immune to corruption, with corruptive effects only providing you with their benefits. Any drawbacks will be ignored or twisted into debauched but ultimately harmless sexual deviancy. Trying to turn you into a Grimm monstrosity designed to kill everyone would at most make you into a super powered futa who was obsessed with fucking others into happy and loving slaves and you may well turn the tables on the witch who did it to you.</t>
  </si>
  <si>
    <t>Submission is a Free Action</t>
  </si>
  <si>
    <t>As long as you take an overall submissive role in sex, nothing bad will ever come of it. Everything important will be put on hold. Go ahead, get on your knees and suck all of your worries away, nothing bad can happen to you because you decided worshiping some Sharpclaw cock was more important than anything else on your plate.</t>
  </si>
  <si>
    <t>The Long Con</t>
  </si>
  <si>
    <t>Every now and then you might find a girl who’s especially stubborn about her “purity”, like a devout nun or disciplined swordswoman who claims to want nothing to do with your lecherous ways. That’s perfectly fine though, it just means you need to crack that hard shell before you can reach the naughty slut hidden within. By spending at least a few hours a day in another person’s company you can gradually zero in on all of their weaknesses, from character flaws to gaps in their fighting styles to erogenous zones that even they don’t know they have. A person who is very trusting will take less time to read than someone who is wary of you but it’ll never take more than a few weeks to learn all of your target’s weaknesses.</t>
  </si>
  <si>
    <t>The Penis Mightier</t>
  </si>
  <si>
    <t xml:space="preserve">Some seek strength in steel, while others say flesh is stronger, but you’ve found your own truth. Only by joining the forces of steel and flesh can one hope to endure the most dangerous (and alluring) of things. Your flesh benefits from whatever armor or weaponry you have in your possession. So long as you have a sword in hand, the one between your legs is just as formidable. So long as you have at least a bikini of armor, your flesh can endure. The effects are more notable for primary and secondary sexual characteristics, operating to a lesser degree for other body parts. If you’ve bonded with specific equipment over a long time, you can call on their resilience even if separated. </t>
  </si>
  <si>
    <t>The Pleasure only Elves can Know</t>
  </si>
  <si>
    <t>As mentioned beforehand, elves are extra susceptible to pleasure. But you... you take it to a whole new level. The more erotic you behave, the more sensitive to pleasure you become. Giving someone a blowjob in a particularly filthy place might make you overwhelmingly aroused, perhaps even to the point that you cum on the spot; displaying your body before a camera as you fuck your nest-master would set all of your nerves aflame with ecstasy. No drug has ever been as potent as your own lewd behavior is to you.</t>
  </si>
  <si>
    <t>Thoughtful Schemer</t>
  </si>
  <si>
    <t>Your well laid plans unfurl and your foes are left helpless! You have a knack for imparting what could be called ‘status effects’ on the enemy, whether you are dosing them with aphrodisiac mist, or trapping their mind in lewd fantasies, or even leaving them stunned with a bit of electrostimulation, you will find that your efforts go much more smoothly than expected. This perk also gives you a good bit of tactical knowledge. Knowing is half the battle!</t>
  </si>
  <si>
    <t>To the Victor Go the Spoils</t>
  </si>
  <si>
    <t>When you and at least one opposing party make a bet on something — be it the results of a duel, the results of a coin toss, or any other form of competition — then the losing party is compelled to give their bid to the victor. It doesn’t matter if the bid is money, a lifetime of slavery, a title of nobility, or even an abstract concept such as the years off of your lifespan; the winner of the bid gets what was gambled. Although you can trick someone into agreeing, cheating on your part invalidates this Perk and the loser is not required to pay, although they may optionally decide to do so anyways. Conversely, cheating on the other party’s part automatically makes them lose the bet. Regardless of the specifics of the bet, this will always be considered to be legally permissible by any authorities, even if gambling is otherwise forbidden.</t>
  </si>
  <si>
    <t>Victoria's Secrets</t>
  </si>
  <si>
    <t>How do you do it? You’d think the one guy working in a school full of girls would be monitored like a suspected terrorist in an international airport, and yet you’re running a veritable parade of honeys in and out of your room every day and nobody ever seems to notice. Your sheer luck at keeping your secrets is off the charts, almost like you’ve got someone covering for you, cleaning up your messes and erasing all of the evidence you might otherwise have left behind. Nobody will ever blurt out your secrets by accident, walk in on you and your partner at a bad time, or leave incriminating evidence lying around for someone to find. In short, so long as you’re not flaunting things in public then it’s basically guaranteed that your unmentionable behavior will remain unmentioned.</t>
  </si>
  <si>
    <t>Vore</t>
  </si>
  <si>
    <t>Like practically everything here has, you have the ability to swallow other beings whole and digest them thanks to your plasmic body. While you will likely have to beat someone in combat first to successfully consume them, with increases in power you will be able to simply pick up and swallow weaker beings. You can choose if those you swallow reform after digestion, something which takes about a day.</t>
  </si>
  <si>
    <t>Wanton Warrior</t>
  </si>
  <si>
    <t>Some weaklings try to put as much between themselves and the world as possible, hiding within their coats of iron like a coward, but you can spurn such craven displays. With the the feeling of air and blood on your exposed flesh exciting you for battle, and the adrenaline pumping in your veins granting you power, your skin alone can turn blades better than any puny metal.
As one who is able to truly walk the barbarian's path, the more you bare your all the stronger and tougher you become. When completely stripped down to nothing, your strength, vigor, and durability would be like that of a fully grown mighty warlord of renown, compared to the frail and sickly child of your fully clothed self. Let the weak wear their trappings of fear, you display your greatness for all to see.</t>
  </si>
  <si>
    <t>Winging Ceremony</t>
  </si>
  <si>
    <r>
      <rPr>
        <sz val="13"/>
        <color theme="1"/>
        <rFont val="Calibri"/>
        <family val="2"/>
      </rPr>
      <t xml:space="preserve">A kiss from you can bring out the latent abilities in others and supercharge their normal abilities for a short period of time depending on where you kiss them.
</t>
    </r>
    <r>
      <rPr>
        <i/>
        <sz val="13"/>
        <color theme="1"/>
        <rFont val="Calibri"/>
        <family val="2"/>
      </rPr>
      <t>I.E: A kiss on the hand will have less effect than a kiss on the lips.</t>
    </r>
  </si>
  <si>
    <t>Withdrawing Consent</t>
  </si>
  <si>
    <t>Submissive does not mean slave. A fundamental truth, but one oft forgotten. What is the difference? A submissive chooses, a slave just obeys.
Purchase this perk and you shall receive the power to withdraw your consent under any circumstances. This does not retroactively remove the fact that you consented to something in the past, but it can often negate the effects in the present. Remove your consent to the sale of a property and you'll get it back, although you will have to pay back whatever you received from the sale. Sold your soul to the Dark One for magic powers? You can get your soul back by invoking this, although you lose the magic and it is likely that the Dark One will be hella pissed.
Even better, this kicks in automatically if you ever get talked into something that will rob you of your ability to decide, unless for whatever reason you decide to toggle off the effect beforehand. However, the perk is entirely ineffective against effects that don't actually require your consent.</t>
  </si>
  <si>
    <t>Zeus' Thunder</t>
  </si>
  <si>
    <t>To have gained such power as this you must be a child of the king of the gods! The power and fury of the mighty Zeus has come to rest in your body, granting you the power to hurl thunderbolts like javelins and empower your body with lightning. A useful trick for battle but also for the bedchambers, where you can use this electric charge to drive your lovers wild, setting their senses alight with pleasure or rocking their world with a cock charged with lightning. You can even empower your entire body at once and ‘hulk out’ into a powered-up state, though it becomes impossible to hide your presence or how much of a threat you are while so empowered. You will need to provide your own magical power in order to fully harness your authority over lightning, but as the power you have grows the effects you can create will grow with them.</t>
  </si>
  <si>
    <t>A Harem of One</t>
  </si>
  <si>
    <t>You can create clones of yourself; all of the clones of yourself that you make are all occupied by your own mind, and you gain enough parallel processing ability to manage all your bodies as easily as you once managed only one. All of your clones as well as your original body are the “real” you; if one dies for any reason other than you dispelling it, then all of you dies unless you have a 1-up effect. Note that pleasure felt across multiple bodies is multiplied, not added.
Yes, your different clones can utilise different alt-forms.</t>
  </si>
  <si>
    <t>Absorption</t>
  </si>
  <si>
    <t>You have the power to consume others by absorbing them through skin contact. In just seconds, they will be sucked into you and slowly digested, giving you their memory, physical capabilites, and powers over time. You can choose what to keep and what to discard, as well as spit them back out if you want, though they will still have lost whatever you've already taken from them. With some practice, you might be able to take something specific before leaving them.</t>
  </si>
  <si>
    <t>COCK RAMPAGE</t>
  </si>
  <si>
    <t>Some warriors are known to channel their anger to greatly enhance their strength, giving themselves an edge in battle. Or when in dire straits, even to fly into an uncontrollable rage that enables them to become a whirlwind of death while ignoring pain and injury. You on the other hand prefer to call on a different emotion to empower yourself.
Your libido is what really fuels you, becoming physically stronger as your lust increases. And by drawing on an inner wellspring of eroticism you can choose to enter a “rage” that makes you much stronger and tougher, while ever increasing your lust for as long as it continues which in turn makes you grow even mightier from your rising ardor. However you can't control yourself when in this state, and can not think of anything besides fucking the closest target of your desires, or of destroying anything that stands in the way of doing so. Also once so inflamed you can not end this lustful fury until you've found sexual release, so think carefully about where you are and who is nearby before abandoning yourself to your passions.</t>
  </si>
  <si>
    <t>Cuck Issei to Save the World</t>
  </si>
  <si>
    <t>If you could look into the future, you’d find that a surprising number of apocalyptic events that will be arriving far too soon can all be laid at the feet of one man accidentally proving the existence of parallel worlds. For the sake of the world, that man's spirit must be broken before it can begin.
From here on out, the luckier a guy is, the more powerful he is, the thicker his plot armor, hell, even the richer he is - all of these things will make his luck with women worse and worse. As long as you’re nearby every good thing that happens to him will be counterbalanced by something that causes the women in his life to drift away, slowly at first and then enthusiastically spitting on everything they once had as they betray him for someone more worthy. Not necessarily for you, you’ll have to put forth at least some mildling amount of effort to attract them yourself, but surely that won’t be hard for you.</t>
  </si>
  <si>
    <t>Dimensional Travel</t>
  </si>
  <si>
    <t>You are capable of traveling between different realities. It takes a bit of focus, time, and energy to do so, but you don’t need to know precisely where you’re going; just a general understanding of what type of place it is you’d like to go is enough to home in on a reality pretty close to what you wanted.</t>
  </si>
  <si>
    <t>Evil Sex King</t>
  </si>
  <si>
    <t>You are immortal. Well, not exactly. Although you certainly don’t age anymore after you purchase this, you are also completely immune to injury, with every attempt to harm you simply resulting in a magical circle that completely blocks the attack. However, your invincibility isn’t limitless; instead, every attack on you consumes just the tiniest bit of semen within you. When you run out of semen, the next lethal attack (or orgasm) will kill you. If you are a lesbian, then the use of this protection will instead consume your blood.
If you have some variant of increased sexual stamina the semen that you would produce/use due to it counts towards your stored amount. If you have 'unlimited' sexual stamina, then that perk counts as though it made you capable of creating and storing enough semen to fuck your way through hundreds of girls before needing a short rest and recharge. If female, then your body becomes capable of storing a hundred gallons of cum within it in an extradimensional space, giving you access to the semen-based invincibility. Futanari may only benefit from one of these two options. If a lesbian, then you find that your body seems to somehow hold ten times as much blood in it.</t>
  </si>
  <si>
    <t>Fusion HA!</t>
  </si>
  <si>
    <t>On the scale of the two extremes of changing others and changing yourself, this would be slap bang in the middle. You change both others as well as yourself, for you have the ability to fuse bodies with another person. Your bodies will melt together like liquid, recombining to form a body that is a combination of traits of both of you. The exact manner in which you fuse is liable to affect the prominent traits that emerge from the fusion, so it is entirely possible for the fusion of the same two people to have two entirely different results. You can choose how much control the fusion target has of this new singular body. 
And why stop at fusing only two people? Why not three, four, or five? You can sequentially fuse with more and more people as long as you want, each time adding their various traits and strengths to yourself.
Finally, once you have combined with other people, you can obviously also uncombine if you wish. Here, you have the ability to control who keeps which characteristics once you separate again, such as deciding who keeps their bust size or hair colour. If taken to the absolute extreme, you could effectively choose to swap bodies with the victim.</t>
  </si>
  <si>
    <t>Good Girl</t>
  </si>
  <si>
    <t>This whole rebellion thing isn’t really for you, is it? Deep down in your heart you know you’re really meant to serve, and that submissive nature makes you the perfect slave for any master who’s able to collar you. By wholeheartedly submitting yourself to another person you gain almost limitless growth potential in any skills or attributes you or your master might care to train, from skills as mundane as cooking and cleaning to unique magical talents like those of the Cetra. 
On your own this potential is difficult to tap into, but your master’s guidance unlocks it and allows you to soak up their training and develop your talents many times faster than any ordinary person. Moreover, your submission strengthens your body and soul just as much as any amount of experience or physical training ever could: spend a few weeks reveling in submission to your master and when it’s over you could acquire several months of progress with your chosen talents in a sudden breakthrough or flash of intuition, never mind that you spent the whole time on your knees.</t>
  </si>
  <si>
    <t>Multi-thrust</t>
  </si>
  <si>
    <t>You are so shockingly fast that you can make a number of moves in the same amount of time that your opponent makes one. This works better the faster you are compared to your opponent, but even if you’re about the same speed you should be able to act twice for every time your counterpart acts once. As usual, this perk works both on the battlefield and in the bedroom.</t>
  </si>
  <si>
    <t>Sexual Empowerment</t>
  </si>
  <si>
    <t>Your darkest arts are also your most powerful: with this ability you can gain magical power by absorbing the cum of others. Ordinary humans barely carry any power; you'd need to effectively bathe in cum to get any noticeable results. However, the stronger and more monstrous your mate the greater the power you gain from it. Weaker monsters like Lizardmen will help a bit already, and guzzling down a dragon's full load will leave you crackling with unearthly power. This power is most effective when used for necromancy, mind control and similar 'dark' ambitions.</t>
  </si>
  <si>
    <t>The Thrill of Battle</t>
  </si>
  <si>
    <t>You are quite passionate when it comes to combat—as in, you wouldn’t need stimulation devices to keep you horny during a fight, because battle itself turns you on. Every dodge or parry titillates you, every blow you land gives you a thrill, and even the injuries others inflict on you pulse in pleasure rather than pain (for the duration of combat, at least). What’s more, the hornier you are in a fight, the faster and stronger you become; indeed, for a few seconds after orgasming, you’ll be borderline invincible, deflecting bullets off your face and crossing long distances in an instant.
Fortunately, although you can enjoy this pleasure all you like, you’ll never be at risk of growing addicted to it.</t>
  </si>
  <si>
    <t>This Never Happened</t>
  </si>
  <si>
    <t>Whenever you do anything bad to someone, be that rape, battery, or murder, if you say “This Never Happened” when it’s over, it will be (for them) as if it never happened. They won’t remember it happening, and no evidence will show that it happened, but anything you got out of it will still remain, be that memories or photographs.</t>
  </si>
  <si>
    <t>*A Bunch Of Moans Between Tatsuki And Orihime*</t>
  </si>
  <si>
    <t>So, I’m not sure what you did or why it works, but your lovemaking now screws with sensory techniques. Someone trying to observe you through anything but the five basic senses attached to their bodies now gets… Interference. Specifically, the sounds of you and your lover rutting furiously screaming all sorts of dirty words at each other. You don’t actually have to actually be in the act either, though if you are that only makes it worse for them.</t>
  </si>
  <si>
    <t>A Light Rekindled</t>
  </si>
  <si>
    <t>The Fel Dragon is far from the only of his kind to sire divine children. You are a child born of Naga herself and have inherited her power as a divine dragon. Where others pray to higher beings you need only have faith in yourself to wield divine magic; searing rays of holy light, spells of protection or healing, and sacred blessings granting boons to worthy followers are all within your power, and much more becomes possible once you fully master your abilities. Your powers are innately divine and burn through most forms of dark magic with devastating effect, and you can add this holy attribute to any other powers you might possess. Your power also grants you an aura of divine authority which inspires devotion and submission in others. By performing grand deeds or granting aid to those who need it you can easily earn the faith and fealty of mortal worshippers, amassing a cult of followers who hang on your every word as though it were a divine decree. While mortals with strong wills are less susceptible to your influence, should you earn their fealty you’ll find them no less devout in their undying loyalty to you.</t>
  </si>
  <si>
    <t>A Plan for Everything</t>
  </si>
  <si>
    <t>Even when outgunned and outnumbered the best heroes can always find a way to pull through with good planning and intelligence, but that’s a step below what you have. Call it prep time or paranoia or whatever you want, but it’s incredibly hard to catch you off-guard when you seem to have a plan for every occasion. No matter where you are or what condition you’re in you always have preparation on your side, as if you’d spent several hours arming yourself and shaping the battlefield beforehand if it’s even slightly possible for you to have done so, though these plans will always have some kind of erotic bent if it’s possible for them to have one. Attacked by villains with aphrodisiac musk? You packed a spare gas mask in your utility belt. Ambushed by assassins in your own home? The whole place is wired with lewd traps pulled right out of a sex dungeon. Sure, you never actually boobytrapped your mansion or packed that mask, but the moment you need them there they are. However you can still be caught off-guard by things you genuinely couldn’t have seen coming, like being betrayed by a love interest.</t>
  </si>
  <si>
    <t>Catching up to Giants</t>
  </si>
  <si>
    <t>It would be pretty sad if your friends were to continue growing stronger while you were stuck at your early peak and could only watch from the sidelines, wouldn't it? This perk will ensure that as long as you work hard, your skills and power will develop to match those you consider your comrades. Even if you were a complete novice and they were a master of martial arts, you would quickly grow into their equals as long as you work hard for it. Even better, this works both ways. Should you be above your comrades, you can effortlessly develop ways for them to reach your level through arduous training methods of your creation. And rather oddly, their growth seems to be even quicker if your methods are lewd in nature, to the point that intense sex with you can easily become a way to strengthen a young novice. You won’t ever have to worry about having to shoulder the weight of the world alone.</t>
  </si>
  <si>
    <t>Chosen Heroine</t>
  </si>
  <si>
    <t>A chosen one, altered before your birth by one of the Goddesses themselves. Your potential is incredible, your strength and power growing faster than anyone elses without plateau. Able to take on a whole party of high level heroes, as long as you don’t get surprised by them and actually fight them, but even when they’re just beating on you it can take several minutes of assault before they start to wear you down. You find yourself endowed with enormous good fortune when it comes to encounter treasure, aid and allies in any quest you undertake, enough to quickly surround yourself with a worthy hero’s party. 
But most importantly of all, you’re able to give yourself a bad end whenever you want! The greater as heroine you’ve become, the further into your quest you ventured, the worse and more deeply satisfying this bad end will become. It won’t ever kill you, it’ll always leave you alive to take a sickening joy in the misery and chaos that you are able to purposefully spread to achieve your own depraved pleasure. And if you really want, you can try to break out of that Bad End, become a hero again and do it all over again. It seems like people naturally want to see you as a chosen hero, no matter what you did in the past, so just do a few good things and you’ll find those willing to believe.</t>
  </si>
  <si>
    <t>Cloning Machine</t>
  </si>
  <si>
    <t>This device is capable of creating perfect clones of you (unless you would prefer imperfect clones for some reason), and imbues them with as much of your knowledge and personality as you are willing to instill into them. What’s more, the machine will use genetic manipulation to synchronize your clone’s erogenous zones with yours (and with each other), meaning that when one of you experiences pleasure, all of you do. For each clone you possess that’s being pleasured at the same time, the total pleasure of all of your bodies is improved by 2 times. So, if you had three bodies fucking at once, that’s 6 times the ecstasy.
Being you, your clones are naturally driven to help you accomplish your goals, while having an inherent understanding that they are only duplicates and their purpose is to assist you. They will never seek to replace you or take over your life.
You have instructions to readjust your machine to create similar clones of other people once you have a biological sample of them. These clones won’t be under your control, however.</t>
  </si>
  <si>
    <t>Clothes Make The Ko-Gal</t>
  </si>
  <si>
    <t>Meltys Quest</t>
  </si>
  <si>
    <t>You have the incredible ability to draw power from your clothing. Just putting on an outfit will grant you benefits based on its nature and quality, but if you truly get used to wearing it you’ll find yourself permanently gaining various abilities, even when not wearing them! Of course, the process is much faster if you do something strenuous, be it combat or wild sex. You should also be aware that particularly sexy outfits tend to give equally sexy benefits.</t>
  </si>
  <si>
    <t>Consume</t>
  </si>
  <si>
    <t>... Alright, time to level with you. You see, Thanatos is not just a giant asteroid threatening all life on Earth. She (yes, Thanatos is female) is a giant Dragon, and the ultimate progenitor of all Dragons on Earth, using that asteroid as a glorified space bus. And that asteroid’s innards are the compounded minds and bodies of the countless beings she has “merged” with in her eons of travel across the stars. You can now duplicate this feat of your “mother,” absorbing other life that you overpower or otherwise dominate. This absorption grants you the knowledge and memories of the individual, along with a minute piece of their objective power (strength, intelligence, durability, etc...) limited only by how much you “eat.” How greedy are you?</t>
  </si>
  <si>
    <t>Desecration</t>
  </si>
  <si>
    <t>As a Bio-Weapon, you were scientifically designed to disrupt the sapphic energy of the Heart Warriors by fucking them senseless. Yes, totally scientific. Having intercourse with someone will cut them off from their supernatural powers. Yes, you can literally rape the magic out of a magical girl. Unlike Alex, you have the choice as to whether this activates or not, and you may choose to restore a severed connection with another round of sex.</t>
  </si>
  <si>
    <t>Designer Drugs</t>
  </si>
  <si>
    <t>You can choose whom the pheromones and gaseous chemicals you produce affect and don’t affect. Additionally, you can cause them to only change how an individual relates to you rather than a more general change; for example, if you naturally emit a pheromone that heightens lust, causing an individual’s lust to only be heightened for you.
Even more useful, any pheromones or gaseous chemicals produced by your body tailor themselves to their targets, affecting them regardless of biology and becoming permanently more effective as they are exposed. (You can, naturally, turn this effect off.) This not only deepens your control over them over time but also ensures that, if they are somehow freed, all it will take is a whiff of you for them to fall back under your sway.
With a great deal of exposure, your pheromones become capable of reproducing in the bodies of those who absorb them, not only securing your control over them but also enabling them, with your direction, to spread those pheromones to others.</t>
  </si>
  <si>
    <t>Ding Dong the Danzo is Dead</t>
  </si>
  <si>
    <t>The Uchiha Clan Massacre, Itachi’s self imposed exile, Sasuke going missing-nin - all of these events can be traced back to the machinations of one man. And all of these events seem to have not occurred. Given the nature of the world, I can only assume the man got laid and chilled out. Anyways, you now have a switch or a dial of some sort. When amped up, life tends to be a little brighter, go a little easier, be a little kinder. Hard men making hard choices while hard will get off before making those choices, an act that seems to make them significanly less stupid.</t>
  </si>
  <si>
    <t>Game Over</t>
  </si>
  <si>
    <t>But even with control that doesn’t fade, and assuming you don’t lose the application, there is still one power that can ruin everything for you. The power of fist. Or gun in this case, because let’s face the facts. Kiritsugu was an international terrorist at the height of his power, and his counter guardian counterpart is even stronger. If you piss him off, you will die. Raping his daughters is a good way to do that. Well, you must be the luckiest son of a bitch alive because you don’t die when you are killed. Instead, you get shunted into an alternate dimension. You even have a level of control over what kind - maybe it’s one that will be easy to lay low until you can rebuild the application and start over. Or maybe it will have an even cuter version of your waifu to corrupt! Just be careful it doesn’t have an even more dangerous dad, because this only works once every ten years. Also, good luck getting back.</t>
  </si>
  <si>
    <t>God of Rope</t>
  </si>
  <si>
    <t>Even great rope masters are still mortals in the grand scheme of things but you're something else entirely. Much like the rope goddess Izuna, you're a newborn godling with all the powers a god would be expected to have, such as hearing prayers from your worshippers and performing miracles of great magical power. While you're nowhere near as powerful as gods like Amaterasu, you'll grow much stronger as you amass followers and earn their devotion, and you can bless your most loyal servants with power and create your own exorcists. The loyalty and submission of your followers greatly magnifies what they receive from you and you from them, especially when you impose divine laws for them to follow. Even when you have little power of your own to give, laying down a code of laws like "thou shalt not kinkshame" or "shrine maidens must always remain chaste and pure" allows you to grant the greatest rewards to those faithful enough to follow your creed, whatever its tenets might be.</t>
  </si>
  <si>
    <t>Grimm Corruption</t>
  </si>
  <si>
    <t>It seems you’ve taken a dip into the same pool Salem did. You now have the power to control and create your very own custom sex monsters, even ones that can live symbiotically inside humans. You could create a dick worm Grimm that will act as a penis for the woman it bonds with, allowing them to fuck the power out of a Maiden to steal it for themselves, for example. You could even transform a human into a super Grimm, probably as part of some plot to have them fuck all the huntresses in the world senseless. Or you could be boring and grab some Nevermores for use as normal fighters. Comes with toggle-able pure white skin with black veins and black eyes.</t>
  </si>
  <si>
    <t>Hand of the Devil</t>
  </si>
  <si>
    <t>It seems that Lute isn’t the only descendant of the incubi, the kings of demonkind, left. You too have been blessed with incubi blood that flows through your veins. While this gives you no intrinsic physical or magical powers it does grant you one specific ability. Quite simply you are impossibly good at sex and have a supernatural aura around you that incites those around you with lust as well as removing normal limits of pleasure. Playing with a composed and haughty queen's breasts is enough to cause her to orgasm multiple times in a row, and in bed you can quickly prove yourself unmatched. This isn’t even sexual skill, a complete novice in bed with this perk would satisfy someone more then even someone who had mastered the art of sex, and if you’re great at sex in addition to this perk... You very likely could seduce even an assassin sent to kill you into joining you instead after a passionate night in bed. In addition your demonic heritage provides you with a near limitless stamina, so much so that satisfying 8 or more women in one night is well within the realm of probability.
Your incubus blood also grants other benefits. First you are seen akin to royalty among demonkind and can easily convince any demons to help you with whatever you need (within reason). You also possess a near limitless lifeforce that not only allows you to survive having sex with a succubus, or similar beings, but turn the tables and give them a night they won’t soon forget.</t>
  </si>
  <si>
    <t>Heroic Skill: "Lucky"</t>
  </si>
  <si>
    <t>It’s basically what it says in the title. If you were to fumble a spell, your mistake would wind up being exactly the spell you actually needed in your situation; if you were chased by a Demon Lord wielding a spell that might kill you, she’ll trip and hit herself with it; if a girl kicked you in the balls, her friends might just convince her that she needs to fuck you to make it up to you. Its effects are subtle, but pervasive throughout your life, working to make you more likely to survive and more likely to have sexual encounters.</t>
  </si>
  <si>
    <t>It's Not Rape if it's Treatment!</t>
  </si>
  <si>
    <t>The main character gets away with some pretty outrageous behavior by excusing his behavior as being for “treatment”, even if he could have at least waited until they weren’t in public. But he didn’t wait, and now you don’t have to, either. As long as you have an excuse, you can get away scot- free with any sort of sexual misconduct. It doesn’t have to be a good excuse, or even a real or valid one—any excuse at all will work. But if the excuse is actually half-decent, you could even get them to help you get away with it. 
Rape someone in front of the class? They exhibited signs of the virus and needed to be treated right away. Cum in someone after promising not to? You forgot. Impregnate your girlfriend’s mother? It was an accident. Want to impregnate a cheerleader? Tell the rest of her squad it’s to keep her alive, and they’ll gang up to hold her down for you.</t>
  </si>
  <si>
    <t>Just a Little Bit</t>
  </si>
  <si>
    <t>Before the revelation of fullbringers, it was though that Ichigo's immense spiritual power had leaked over into Chad and Orihime, granting them powers. In turn Orihime's close contact with Tatsuki cause her to develop a tiny amount of power. Enough strength to lay low a full grown man with a half hearted blow, but barely anything to a hollow. When sleeping with those with power, you will very very slowly gain powers of your own. Not quickly, perhaps a week of sex for a single hour of training, but power nonetheless. Faster if they're vastly more powerful. Also, this goes two ways, allowing you to empower those weaker than you.</t>
  </si>
  <si>
    <t>Karmic Reward</t>
  </si>
  <si>
    <t>The good deeds that you do will come back around to improve your life. Saving a ninja in need might result in them swearing an oath to serve you; helping a student find her dream job might result in her seeking to be your wife in the future; assisting a friend in love could have them pay back the favor twofold at a later date. Helping other people will help you, even if it isn’t immediately obvious how it will do so; indeed, the benefits of this perk might be not evident until years later. But they will always happen.</t>
  </si>
  <si>
    <t>Loot Pinata</t>
  </si>
  <si>
    <t>At the end of the day, isn’t that all we really are? Any wandering person is just a meal on legs to a Monster. Any Monster is just a big, angry pile of prizes to a Hunter. By taking this Perk, you obtain the mythical power to literally fuck the choicest of prizes out of your partners, all without doing them any injury, unless they’re into that, I guess. Gems? All day every day. Critical organs, souls, literal crystalized memories? Sure thing, they’ll all be waiting for you in a neat little pile when you wake up next to your lover as “shiny drops” in true Monster Hunter fashion. Once per day, per Monster/Lover.</t>
  </si>
  <si>
    <t>Lustful Combatant</t>
  </si>
  <si>
    <t>One should always play to their own strengths. If one possesses the power, crush all opposition. If you don’t, subvert their power until it collapses beneath their feet. If you can’t beat your half sister in combat, steal her kid and raise said child to hate her mother and want to rape her senseless, aka what Mezel did. Regardless, you can now forcibly invoke lust, lewdness, and perversity into a situation. Simply act with sensual and sexual grace, and seriousness will fall away in place of perversity. However, the more you invoke this, the more useless raw combat power becomes in the moment, replaced by one's skill in bed. If you don't have that, you will lose regardless, but if you do? You can bypass any amount of plot armor and raw power via rape.</t>
  </si>
  <si>
    <t>Master Footwork</t>
  </si>
  <si>
    <t>For you, there’s hardly any difference between a smooth sidewalk, a tightrope, a nearly vertical cliff, or a forest canopy. Your experience has granted you profound trust in your feet, giving you an air of (albeit foot-centric) confidence and wisdom. You can almost instinctively devize an efficient path between two nearby points, and execute them without the slightest hesitation, even when it involves the use of external tools. For instance, you could descend a towering cliff by simply jumping and letting your feet use your own clothes as a lasso to break your fall. Short of outside interference of other talented individuals, you’ll never have to worry about stumbling or messing up your maneuvers. Your physical abilities are appropriately absurd. At your level, you can climb a building hands-free, hang by your toes for extended periods, or comfortably balance on a sword (not the bladed end) on one foot. Your movements are fast enough to seemingly vanish to most onlookers, but also seem weightless, like a shadow. You’re so flexible you might as well be an octopus, and your dexterity should go without saying.</t>
  </si>
  <si>
    <t>Master Swordsman</t>
  </si>
  <si>
    <t>Sexual prowess is no less important for Hyrule’s adventurers than skill in combat: when the sword in your hand breaks, the sword between your legs might be your only hope to avoid becoming a monster’s slave. You’re equally skilled at both traditional and sexual combat, a match for Link’s talents in the bedroom and on the battlefield. Your superhuman skill allows you to perform impossible feats like parrying lasers with a shield or striking a dozen blows in an instant, and in moments of intense focus time itself almost seems to stand still for you. If your weapon breaks you can simply brawl or fuck your way to victory instead, utilizing abilities like using a flurry rush to attack all your partner’s weakpoints simultaneously, or punching straight through armor because your dick is literally harder than steel, or holding back your orgasms to charge up a massive belly-swelling creampie which instantly defeats and/or impregnates weakened enemies. Both of your talents grow by training either of them, and you can adapt new abilities you master, supernatural or otherwise, into alternative versions designed for the battlefield or the bedroom.</t>
  </si>
  <si>
    <t>Mind-Blowing Pleasure</t>
  </si>
  <si>
    <t>These elves might put on haughty airs or try to force themselves onto you, but the truth is that they’re simply unprepared for what you bring to the table. You are good at sex. No, seriously—you are REALLY good at sex. When you pleasure someone, that pleasure doesn’t reach a plateau, and repeating the same actions doesn’t eventually grow dull; the longer sex goes on, the more they feel as every scrap of pleasure builds on each other, even more so than one would normally expect from sex. After an orgasm, continued pleasure would all feel as intense as the moment of climax, and if you made them cum again, that would only heighten the sensation to entirely new levels.
You could easily get someone addicted to you with this. As a safety measure, no amount of pleasure you inflict upon someone is capable of inflicting physical, mental, or spiritual harm to them. So you could just ramp that pleasure up infinitely, it will never reach a point where her nerves blow out from overstimulation or her mind shatters from experiencing heights of pleasure people were never meant to experience. You can toggle this off if you’d prefer to see someone’s mind break—you could even alter it so that it prevents the aforementioned addiction from occurring in the first place.</t>
  </si>
  <si>
    <t>One Month Later</t>
  </si>
  <si>
    <t>The power of friendship is a dangerous thing. It inspires people to be more than themselves, to become better than they are. It gives them strength in times of need. But most importantly, it doesn’t work on you. Normally if you capture one person, their friends go on a roaring rampage of revenge. With you however, those friends instead become shaken and lackluster, weaker instead of stronger. Give it a bit of time and you could pick them off like flies.</t>
  </si>
  <si>
    <t>Orb of Restoration</t>
  </si>
  <si>
    <r>
      <rPr>
        <sz val="13"/>
        <color theme="1"/>
        <rFont val="Calibri"/>
        <family val="2"/>
      </rPr>
      <t xml:space="preserve">This beautiful, swirling crystal sphere is a one-of-a-kind artifact with a power surpassing even that of the gods. Within its depths lies the power to unmake all that you have accomplished, all that you’ve seen and done... and begin anew. However, while the Orb that the Hero Of Egypt could acquire and use to start a ‘New Game Plus’ also eliminated his memories of the events that had come to pass in his first journey through Egypt, this artifact does not. Indeed, while activating this marvelous item effectively resets time back to when you first recieved the Bordello, with anyone touching the orb retaining their memories. The Orb is, in some ways, the ultimate get-out-of-jail-free-card, the one way you can undo all your mistakes or choose that different road you could have taken... but whatever other abilities or tricks you possess, you can’t force such a reset more than once. You get a second chance, and no more.
</t>
    </r>
    <r>
      <rPr>
        <b/>
        <sz val="13"/>
        <color theme="1"/>
        <rFont val="Calibri"/>
        <family val="2"/>
      </rPr>
      <t>This item will not regenerate once used.</t>
    </r>
  </si>
  <si>
    <t>Perfectly Accepting</t>
  </si>
  <si>
    <t>Dragon Princess Is Hungry</t>
  </si>
  <si>
    <t>Wow! It seems you have some really good genes. So good in fact, that you’re amazingly compatible with all manner of races. And not just in a sexual or childmaking sense either, although you’ll surely attract attention from all manner of monstrous ladies. Picking up some of a Salamander’s fire resistance from sleeping with her is just the tip of the iceberg here. With enough time, effort and absorbed energy you can even trigger a full-on race change to another species! Or, who knows, maybe if you work really hard to balance things, you might be able to become some kind of hybrid?</t>
  </si>
  <si>
    <t>Permanent Marker</t>
  </si>
  <si>
    <t>This looks like any other simple black marker, but has a special quality. Anything written by this marker becomes true. It doesn’t alter reality or affect inanimate objects, rather having an affect on the mind and on common sense. For instance, you could write down that you are the personal fuckmeat of [insert name here], and everyone would consider this to be the truth, excluding those who you specifically exempt from the effect. It is only capable of making rules regarding sexual matters. The marker comes with an eraser, which is the only substance that can undo the statements made with this marker.</t>
  </si>
  <si>
    <t>Queen of Hearts</t>
  </si>
  <si>
    <t>Even the most powerful magical girls may falter if they stand alone against the darkness, but the Utea are at their strongest when they all stand together and their hearts beat as one, both figuratively and literally. Just as Charm and Grace combine their powers to become Queen Utea, you’re able to fuse together with your allies and become a single composite being of extraordinary power. On top of multiplying your power twice over for each participant in the fusion, this fused being has the powers and skills of every participant in the fusion manifested at their highest possible level, including perk-granted teamwork benefits. While you need especially close bonds with your partners to fuse with them, equivalent to lovers or the closest of friends, you can combine with as many others as you wish. Such an intimate connection does have side effects however, such as boosting the fused body’s sense of pleasure several times over, so take care that your enemies don’t find a way to turn the tables on you.</t>
  </si>
  <si>
    <t>Red and Black Ribbons</t>
  </si>
  <si>
    <t>A childhood that murderers would feel pity over. A shard of a forgotten wish. And a desperate need for senpai to NOT notice you, or the filth that is your life. All of these things came together in the form of the Shadow, a monster made of the nightmares of a child named Sakura. You have something similar to it, though outside of the thematics there’s very little in common. See, you can create shadowy copies of anyone you sleep with. More accurately, you can make copies of anyone who causes you pain, from rape to a simple beating. The more times this happens, the more painful they make it, the more insults and meaningless spite they heap onto you, the more complete this shadow becomes. And once you have enough misery, you can let the ribbons coat your body and let the shadows paint you in their blood. ...Now, that's not to say that you couldn’t power this from a simple kiss, or even from love and hope instead of misery, but quite frankly I don’t see that in your future.</t>
  </si>
  <si>
    <t>Talent Substitute</t>
  </si>
  <si>
    <t>If you lack talent, love can pick up the slack. When performing together with someone you share a close bond with, even with something you have no experience with, you’ll reflexively manage to keep up just enough to not embarrass yourself and even bring out 150% of their own abilities. When you feel the intense need to rapidly improve a particular skill for that person’s sake, you can push yourself to squeeze a few months worth of progress into just a few weeks.</t>
  </si>
  <si>
    <t>The Collar</t>
  </si>
  <si>
    <t>With as much power as jumpers acquire in the course of their journeys it’s almost inevitable that you’re going to reach a point where you’re nigh-omnipotent, and that can pose something of a problem if all you really want is to be someone’s pet. This collar is the solution to that problem, as it was custom-made to short out all of your perks and special abilities while you wear it. Further, you cannot remove the collar without the assistance of your dominant, though the collar can be programmed to respond to multiple owners.</t>
  </si>
  <si>
    <t>Time Watch</t>
  </si>
  <si>
    <t>An even more powerful relic! What were the ancients thinking with something like this, a gold pocketwatch with two buttons on it’s rim. The left just measures the time, as with any watch. But the right causes time to stop for everyone but the one to press the button. Pressing it again will end the effect. As with all relics, magic cannot defend against this, and the relic will allow the one who used it to freely interact with the world despite the frozen time. You needn’t worry about cutting yourself on static objects frozen in time and can act as if it were running as normal. You can bring others into this with a touch and the desire to do it but they will otherwise remain frozen even as you re-position and play with their bodies, minds locked away in time. Apparently, the sensations you might give to someone all hit at once when you unfreeze time, sure to create quite the spectacle out of any victims.</t>
  </si>
  <si>
    <t>Unseen Assailant</t>
  </si>
  <si>
    <t>Most traits which distinguish one Daimon from another seem to manifest as simple, if unsubtle aspects of biology. Tentacles, strange musculature, and similar mutation-like extensions of the body. Then odder things, like drug-laced saliva, which is common but not ubiquitous. You have lucked into one of the most obscure, difficult-to-counter powers which is soon to appear in this world. You may, by concentrating for a minute or so, enter an indefinite state of invisibility. While so obscured, you cannot be detected by means of light or its siblings, but your cloak does not end there. Though only imperfectly, you are masked to senses which would detect presence. Even for one of the Sailor Guardians, it would be difficult to detect you by perceiving your magical, spiritual, or vital energies. This concealment is cancelled the same way it is invoked.</t>
  </si>
  <si>
    <t>Yangbang</t>
  </si>
  <si>
    <t>Yang’s Semblance lets her get stronger the more hits she’s taken. You have an ability that is much the same, only applied to sex rather than combat. Sex doesn’t tire you out. Instead, the longer you have sex and the more you push yourself, the greater your stamina increases, the harder you can fuck, and the better your multitasking when it comes to pleasing multiple partners at once. Going a couple of rounds with someone would make the final time more intense, while letting everyone in a club gangbang you all night long would leave you feeling like you just had a good massage and a relaxing night of sleep while your hundreds of partners would all be totally wrecked. Note that this effect is temporary, also like Yang's semblance, lasting only for the 'session' in question.</t>
  </si>
  <si>
    <t>You Need More Than That</t>
  </si>
  <si>
    <t>You have the power to duplicate other people. These duplicates are fully as real as the original, to the point that should any of the duplicates die (apart from being dispelled by you), the original you based the clone off of, as well as all the individual clones, will also die. You can only duplicate people; objects aren’t copied (sapient machines qualify as people). These copies are all hooked together as a single mind, with the cloned individual’s consciousness improved upon and provided sufficient parallel processing ability to manage all of their bodies at once as naturally as they control a single body. Note that feeling pleasure across multiple bodies doesn’t add the pleasure together, but multiplies it. This cannot be used on yourself.</t>
  </si>
  <si>
    <t>Free Love for Everyone</t>
  </si>
  <si>
    <t>This is the most basic form of the philosophy that Mizuryu Kei Land runs on. 'Enjoy sex like a well cooked meal'. They really like that phrase. Anyways, they treat it as something everyone has a right to, and should be unashamed to want and to have. With that in mind, it's time to share the love. Any sex based perk that you posses (which is pretty much any perk in the Bordello) can now be freely given out via the simple act of sleeping with someone. You really should have seen that coming. Good at sex, good at convincing people to have sex, some crazy pregnancy shenanigans, the power to share your sex based powers via sex... You know, that kind of stuff.</t>
  </si>
  <si>
    <t>Liberté</t>
  </si>
  <si>
    <t>Above all, the libertines are free. Free from the bounds of law, morality, and piety, free to indulge. So long as you wholeheartedly devote yourself to your own gratification, whatever form that may take, you will find that fortune smiles upon you, sweeping away obstacles, forestalling punishments, and presenting golden opportunities. Even otherwise insurmountable forces like fate or divinity may be overcome, should it serve your hedonistic appetites.</t>
  </si>
  <si>
    <t>Spoils of War</t>
  </si>
  <si>
    <r>
      <rPr>
        <sz val="13"/>
        <color theme="1"/>
        <rFont val="Calibri"/>
        <family val="2"/>
      </rPr>
      <t xml:space="preserve">Maybe you work for a shadowy conspiracy, working to remove some of the more disruptive influence from society. Maybe you work for a </t>
    </r>
    <r>
      <rPr>
        <i/>
        <sz val="13"/>
        <color theme="1"/>
        <rFont val="Calibri"/>
        <family val="2"/>
      </rPr>
      <t>different</t>
    </r>
    <r>
      <rPr>
        <sz val="13"/>
        <color theme="1"/>
        <rFont val="Calibri"/>
        <family val="2"/>
      </rPr>
      <t xml:space="preserve"> shadow conspiracy, working to remove anyone disruptive to their plans for society. Doesn’t really matter. 
Whenever you do ‘deal’ with someone, you can take something of theirs for yourself. Just think of all those neat toys that are being removed from untrustworthy hands... and then try not to become untrustworthy yourself. Oh, and the more final the ‘dealing with’ the better. After all, if you claim his life, you might as well </t>
    </r>
    <r>
      <rPr>
        <i/>
        <sz val="13"/>
        <color theme="1"/>
        <rFont val="Calibri"/>
        <family val="2"/>
      </rPr>
      <t>claim his life</t>
    </r>
    <r>
      <rPr>
        <sz val="13"/>
        <color theme="1"/>
        <rFont val="Calibri"/>
        <family val="2"/>
      </rPr>
      <t>. After all, his - I mean, your - wife is quite the looker.</t>
    </r>
  </si>
  <si>
    <t>Law of the Jungle</t>
  </si>
  <si>
    <t>A beastly creature of the land such as yourself shouldn’t have to bother with societal niceties such as clothes or etiquette, and it seems everyone agrees. Nature seems to bend over for you, wildlife would rather breed with you than kill you, and they all seem to understand what you say and express such. They also seem quite willing to do what you say, even doing things for you unprompted. 
It doesn’t just stop at nature however, as those who are more inclined towards the comfort of society seem to be drawn by your barbaric nature. Nudity in public areas does not garner embarrassment or shame, but arousal and desire. Stroking your cock while confidently telling a woman you’re going to keep her bare pawed and pregnant right in front of her husband will have her spreading her legs for you right then and there instead of running for help. You could claim a male by simply telling him where his cock belongs with your hand in his pants in front of his own mother. Completely ignoring societal norms, rules, and etiquette in the name of getting a good fuck makes you savagely irresistible.</t>
  </si>
  <si>
    <t>Luck of the Draw</t>
  </si>
  <si>
    <t>This... Is the wrong kind of game. Like, really wrong. I was expecting a hack and slash, not a gatcha game. Anyways, you've got a illusionary gatcha connected to a low fantasy world, much like this one. Additionally, it will run collaborations occasionally, allowing you to summon nerfed versions of people and things from other worlds. Common rolls are usually everyday items, Legendary rolls will be weak copies of major players. Pulling a person does instill a base level of loyalty in them, thankfully.
As for how often, you get one point/draw per day, though doing mass rolls has better odds of pulling something powerful. You can also get additional draws from taking certain actions during collaberations or events. For example, you might get a roll for gifting 10 different people a present that they really wanted during Christmas, or bedding 10 women during a Valentine's day event.
Also, once you've maxed something out - levelled it up, upgraded its skills, fed it stat boosters etc. - it gets removed from the gatcha. Or, in other words, you can slowly force the gatcha to give you stronger and stronger people and items simply by removing the weak ones from it. You can voluntarily add them back in if you want multiple copies though. Twins are always nice after all.</t>
  </si>
  <si>
    <t>Star Cruiser</t>
  </si>
  <si>
    <r>
      <rPr>
        <sz val="13"/>
        <color theme="1"/>
        <rFont val="Calibri"/>
        <family val="2"/>
      </rPr>
      <t xml:space="preserve">Built for comfort, not for speed...or anything else besides comfort really. This is a spacious, luxuriously furnished starship designed for a large crew and guest complement, but not designed for long or dangerous trips. The Cruiser’s beds might have the finest Kylirian silk sheets, built-in spas, tasteful art and shag rugs in every cabin, but its mediocre shields, speed and weaponry usually force them to stick to well-patrolled space routes. Essentially, a small cruiseliner in space.
The ship does </t>
    </r>
    <r>
      <rPr>
        <i/>
        <sz val="13"/>
        <color theme="1"/>
        <rFont val="Calibri"/>
        <family val="2"/>
      </rPr>
      <t>not</t>
    </r>
    <r>
      <rPr>
        <sz val="13"/>
        <color theme="1"/>
        <rFont val="Calibri"/>
        <family val="2"/>
      </rPr>
      <t xml:space="preserve"> come with crew, but does come with a full database of techical manuals dictating the means of use and repair of all machines on board. This database can be searched via terminals or by the basic VI installed by default.</t>
    </r>
  </si>
  <si>
    <t>Unlimited Slave Works</t>
  </si>
  <si>
    <t>It takes a uniquely twisted individual to take the greatest heroines in history and turn them into a harem of sex slaves. Is it any surprise to you that your soul is just as depraved as your personality? You possess a reality marble, a mental world housed within your soul which you can project over the real world, dragging others around you into it. This world is a magical sex dungeon, an endless prison which your adversaries can escape only by killing you, while defeated foes instead become your prisoners and can only be freed if you are defeated some other way. 
Your reality marble contains all manner of fiendish devices designed to punish and enslave, including any appropriate items you might have gathered in your adventures, and you may conjure them into the real world to attack your enemies using a small expenditure of mana. Beyond these powers the aesthetic of your reality marble is up to you; it might be a luxurious palace lit by candlelight and incense or a dank cellar whose shadows stretch out into an endless abyss.</t>
  </si>
  <si>
    <t>Zero Zero:Zero Zero</t>
  </si>
  <si>
    <t>You possess the same power as Stopman, our iron fist of justice! Specifically, you can stop time. Additional benefits include - summoning versions of yourself from alternate timelines, traveling to other timelines to help alternate versions of yourself, partially unfreezing people's minds slash body to better deliver justice, or freezing the time of your cum to prevent women from getting pregnant. Stopman himself uses these powers to rape evil women before they can murder their exboyfriends, but you can use them as you please.</t>
  </si>
  <si>
    <t>"Time-honoured Tradition"</t>
  </si>
  <si>
    <t>It is traditional for a Hero to have a harem. When you take on multiple lovers (or are in a relationship with someone with multiple lovers), everyone involved just sort of gets along better than they otherwise would. Instead of being jealous of one another as they fight over someone’s attention, they will feel stronger feelings of compersion—that is, being happy over the happiness of others. Although they’ll still want to be with you (or your lover), they’ll still enjoy someone else having that special time instead of them. You may include yourself in this effect as well, if you so desire.</t>
  </si>
  <si>
    <t>A Keeper's Empathy</t>
  </si>
  <si>
    <t>A good zookeeper needs to understand what an animal needs and wants. You can now easily gain insights into an individual’s personal and social needs and desires, helping you empathize with them and figure out how to help them. You gain similar insights on animals, helping you better take care of them.</t>
  </si>
  <si>
    <t>Book of Stats</t>
  </si>
  <si>
    <t>This handy, dandy little notebook with infinite pages (yes you can still lift it) automatically keeps track of every detail of any of your lovers/companions. Weight, measurements, etc. In either Standard or Metric at your discretion. And when you open it, you automatically open to the page you wanted, even if you have thousands of entries.</t>
  </si>
  <si>
    <t>Champion of the Small</t>
  </si>
  <si>
    <t>Hey, there's no shame in someone your age still liking magical girls. In fact, it's hard not to love these brave little heroines, or to want to support them when they're doing their best and standing up for what's right. But something special happens when you're the one supporting them: maybe it's all the long practice you have from directing your servants, but having you there to cheer them on or back them up in a tough spot gives magical girls and other young heroines a swell of courage and determination to overcome all challenges, and maybe a little dash of a warm fuzzy feeling for you too. Don't be too surprised if many of them start wanting to call you big brother.</t>
  </si>
  <si>
    <t>Confession Tape</t>
  </si>
  <si>
    <t>This cassette tape contains a video-recorded confession of everyone who falls in love with you. They needn’t actually confess to you, but the moment they realize they’ve fallen in love with you the cassette will update with a recording of them admitting their feelings for you. Comes with a free, universally compatible cassette player.</t>
  </si>
  <si>
    <t>Dear Naruto Letter</t>
  </si>
  <si>
    <t>Being beautiful inevitably earns you the attention of people you’d rather not have around. Maybe you have a persistent ex who can’t take a hint that you don’t want to see them again or maybe you found someone much better and want to let them down easy. Either way you’re able to dissuade any unwanted suitors from pursuing you or break off any existing relationships simply by writing your ex a letter detailing your feelings on the matter. Anything you put into these letters will be interpreted exactly as you intended it, and you can be as kind or as cruel as you like depending on the impact you’d like your words to have, letting you part ways on good terms or drive the knife in as hard as possible.</t>
  </si>
  <si>
    <t>Fidelity? LOL</t>
  </si>
  <si>
    <t>People just... don’t seem to particularly care if you’re disloyal in a relationship. They might object a little, but it’s the sort of objection you’d expect to see over someone getting a toy in a Happy Meal that they’d already gotten, not something they’re seriously upset over. Furthermore, for some reason or another it just never occurs to them to expect or demand the same freedoms that they give you; they won’t be any more or less disloyal themselves than they would have been otherwise.</t>
  </si>
  <si>
    <t>Forehead Poke</t>
  </si>
  <si>
    <t>Everyone has little habits. Things they do almost subconsciously. This probably isn’t one of them, though it may be a meaningless motion that was granted meaning through repetition and basic pattern recognition. Pick something simple. A poke to the forehead, a pat on the head, maybe rubbing the chin like a cat. When you do this people will automatically pick up on it’s ‘true’ meaning. That’s also something you get to pick, just so you know. It doesn’t have to be Itachi’s ‘you aren’t strong enough to stop me from poking you’. Or whatever it actually means.</t>
  </si>
  <si>
    <t>Friends Forever</t>
  </si>
  <si>
    <t>The friendships that you make are deep and lasting, and will endure at full strength even if you’ve gone ages without seeing one another. This is the sort of friendship that drives people to overcome seemingly - impossible hardship for the sake of their companions, and which can endure even the most sinister attempts to sabotage it. Indeed, even if your friends are mind - controlled or are lost to corruption, they’ll still hold your safety in high esteem, even if they’re more interested in converting you than helping you.</t>
  </si>
  <si>
    <t>Gold Collar</t>
  </si>
  <si>
    <t>First and more obviously, this is an object of considerable monetary worth, but no one will ever try to take it from you to melt it down or anything like that. At least, not out of materialistic greed.
Beyond the gold, however, this is a symbol of commitment to a relationship in which another will hold the ostensible power. Putting it around a neck will not seal away their power or make them unable to disobey someone, but for as long as they are willing to bear the dynamics of such a relationship this collar ensures that things will go reasonably smoothly and that all but the gravest disagreements will be solved in mutually satisfactory fashion.</t>
  </si>
  <si>
    <t>Heart and Sole</t>
  </si>
  <si>
    <t>You have astounding luck when being paired with someone by outside forces. You won’t be arranged to marry someone you can’t stand, or forced to work with someone incompetent. In hardly any time, you’ll come to understand one another, and learn to synergize so well that people will think you’ve been together for years, practically able to read each other’s thoughts.</t>
  </si>
  <si>
    <t>Hidden Relations</t>
  </si>
  <si>
    <t>It's easier to conceal your relationships from others you don't want to know about them. If you don't want it known you or the other person would have to make a major mistake for it to be found out.</t>
  </si>
  <si>
    <t>I Guess it's not a Big Deal</t>
  </si>
  <si>
    <t>Even if you have obvious shortcomings in a mutually pleasurable activity, partners never feel the need to shame you for them. So long as they weren’t hidden for malicious reasons, any partners will still give it their all to make sure you can both enjoy.</t>
  </si>
  <si>
    <t>It's Fine for Wives to Get Along</t>
  </si>
  <si>
    <t>Just like it’s acceptable for “husbands” to have more than one wife, it’s acceptable for “wives” to be very friendly with each other. So long as the other person isn’t seen as a replacement for your existing partners, a bit of an open relationship is perfectly accepted.</t>
  </si>
  <si>
    <t>Jump Across the Room</t>
  </si>
  <si>
    <t>You know right when you're about to get it on with your significant other, and you hear the door start to open? And three seconds later you're clear across the room, whistling innocently? Well, don't bother. As long as it’s either fairly common knowledge that you’re dating, or your actual spouse, the intruder won’t see anything wrong with it. Doesn’t matter if they knew beforehand, just that your lover is actually your lover.</t>
  </si>
  <si>
    <t>Love Feels Lovely</t>
  </si>
  <si>
    <t>While the dungeon and its inhabitants are intent on training Prina into a proper slut, she herself is constantly bending to those whims due to their threats about her best friend. That said, oh so many of their tricks and traps fail to snag them properly due to one simple fact. They really do love each other. With that in mind, you’ll find that sleeping with those you care for, and who care for you, is just inherently better than even a goddess of lust, beauty, and sex.</t>
  </si>
  <si>
    <t>Lover's Scarf</t>
  </si>
  <si>
    <t>It’s not really a custom in the elemental nations for a lady to give her fair knight an article of cloth showing her favor before he heads off to battle but the idea behind this custom-made raiment is much the same. It might be a scarf or a ribbon or some other article of clothing, but whatever it is it’s home-made by you for your beloved, and there’s a strange power in it. So long as your loved one is wearing this cloth or at least keeps it on their person you can always sense their general location and overall wellbeing relative to your own. Even if one of you were whisked as far away as the moon, so long as your beau keeps this item with them you’re never truly parted from each other.</t>
  </si>
  <si>
    <t>Promise Ring</t>
  </si>
  <si>
    <t>Azur Lane</t>
  </si>
  <si>
    <r>
      <rPr>
        <sz val="13"/>
        <color theme="1"/>
        <rFont val="Calibri"/>
        <family val="2"/>
      </rPr>
      <t xml:space="preserve">Do you love that Ship-girl? Do you want to show her  that you care? Of course you do. This absolutely beautiful diamond wedding band is the crystallization of your love… not really. But she’ll adore you even more once you give it to her. Once you gift this ring to your Ship-girl she will receive a stunning wedding dress </t>
    </r>
    <r>
      <rPr>
        <strike/>
        <sz val="13"/>
        <color theme="1"/>
        <rFont val="Calibri"/>
        <family val="2"/>
      </rPr>
      <t>from Command</t>
    </r>
    <r>
      <rPr>
        <sz val="13"/>
        <color theme="1"/>
        <rFont val="Calibri"/>
        <family val="2"/>
      </rPr>
      <t xml:space="preserve"> as an item she can summon that she will happily wear everywhere you’ll let her get away with it, and a certificate that formalizes your marriage (it works and is offical). You receive another Ring every month. I imagine any non-Ship-girl would adore it to.</t>
    </r>
  </si>
  <si>
    <t>Sigil</t>
  </si>
  <si>
    <t>A symbol that represents you and your authority as a dominant within a relationship. It can take any number of shapes, from a jewel to a tattoo, but it can only be used on someone to whom it is freely given and who freely accepts to carry it with the full understanding of what it represents. As long as these conditions are met, you will always be able to tell the rough location and emotional state of anyone who carries your mark.</t>
  </si>
  <si>
    <t>Statistics</t>
  </si>
  <si>
    <t>Most people here think sex is fire and forget, or that it's okay to never see them again. You on the other hand, like to keep track. From small details to how many partners you've had, to how many they've had, to how many virgins you've s-lain, you now have a menu screen listing out everything you can think of. The exact contents? Wank responsibly.</t>
  </si>
  <si>
    <t>Supply and Demand</t>
  </si>
  <si>
    <t>With only one guy in a school of hundreds of girls certain compromises simply have to be made. Forcing him to choose between dozens if not hundreds of girls means almost everyone loses after all, so why not simply share him instead? From now on in any social group in which your gender is outnumbered by your preferred gender, polygamy and polyamory becomes the default expectation rather than monogamy. Further, the dominant gender will become more interested in you and more competitive for your attention as the gender ratio becomes more one-sided. While this will never escalate into violence or jealousy, it does mean that you can expect to be showered with gifts and favors from the opposite sex as they try to bribe you for the chance to spend time with you. This perk works just as well if you’re the only boy in a school of hundreds of girls or the only girl on a sports team of ten boys, though it will only affect people in that social group based on the group’s individual gender ratio.</t>
  </si>
  <si>
    <t>Taking Care of Business</t>
  </si>
  <si>
    <t>Being one of Chaldea's masters is a big job. You've got singularities to close, servants to train, materials to farm, stalkers to avoid... one could be forgiven if they thought you'd lose track of some of your friends or servants with so much on your plate, or that you wouldn't notice if something was wrong with them. Not so: no matter how busy you get you can always squeeze in a few minutes in between other tasks to spend time with people you care about, even if it's just long enough to ask how their day is going or to have a quickie in a storage closet or something. You're also perceptive enough to tell when something is bothering them, or when they're not acting entirely like themselves...</t>
  </si>
  <si>
    <t>They Gave up a Long Time Ago</t>
  </si>
  <si>
    <t>Your friends and family never feel the need to ostracize you for your perversion. In fact, by treating perversion as something normal, you can become a source of assurance for those secretly harboring similar urges. Letting fellow perverts know that they aren’t alone.</t>
  </si>
  <si>
    <t>Treasure Trove</t>
  </si>
  <si>
    <t>Legends say that dragons once kept massive hoards of gold and jewels hidden away in their lairs, but the treasures that you collect are softer and sweeter and far more valuable than any jewel, and you’re not shy about showing them off to the world. This treasure trove is a collection of valuable jewelry which you have collected or created, ranging from jeweled rings to sets of matching collars. In much the same way that a wife’s wedding ring declares her unavailable to other men, these artifacts subtly mark the bearers as your property, warding off attention from potential rivals as if you were looming menacingly over their shoulder. Naturally, the more powerful you grow the more effective this protection becomes.</t>
  </si>
  <si>
    <t>Unbridled Lust</t>
  </si>
  <si>
    <t>As a mere beast, it’s unlikely that humanity would allow you to remain your own master for long. Dogs may not be beasts of burden the way a horse is, but a pig might be in danger of becoming dinner. And it would be a real shame if you were to go out in such a simple manner - a bit of insurance is needed. Any time a person could be said to be your owner, your master, or another similar title, they will rapidly develop lusts that involve you in some shape or form.</t>
  </si>
  <si>
    <t xml:space="preserve">“As a succubus, this is fine!” </t>
  </si>
  <si>
    <t>You having a prolific sex life, even if it’s outside of an existing relationship or extra-marital, is seen by others as a positive thing, although they might have different opinions as to why. A girlfriend might see her boyfriend fucking a stream of different women as raising his value as a man, a succubus familiar might be proud to show off her master’s “goods”, and an overprotective brother might view his sister’s dozens of paramours as finally giving her as much attention as she deserves. Conversely, having sex with only a single person, or not having sex at all, does not diminish your social status.</t>
  </si>
  <si>
    <t>“So like, why not just have an orgy?”</t>
  </si>
  <si>
    <t>Polyamory is all too often dismissed as an option in stories, but you know that it’s a perfectly acceptable solution to love polygons. People are just more willing to accept a polyamorous or polygamous relationship with you (and honestly, relationships are optional—if someone would be open to having sex with you in the first place, they’d be fine with group sex).</t>
  </si>
  <si>
    <t>A Fine Man you can Protect</t>
  </si>
  <si>
    <t>Protecting those you care about it an incomparable treasure, but protecting those you don’t is just a thankless chore. As you protect others, they gradually find themselves naturally maturing, both internally and externally, into a person that you can respect, or even love. They may still rely on you, even then, but it will at least be a more pleasant task.</t>
  </si>
  <si>
    <t>A Warm Lap</t>
  </si>
  <si>
    <t>You always know just the right thing to say. When someone is struggling, or scared, or upset, calling you “a good shoulder to cry on” doesn’t even begin to cover it. You can turn a bad day into a happy memory. You know just when someone needs a hug, when they need space, when they need a distraction or advice or reassurance. All this may not seem like much, but around you, no one has rough patches. Over time, this can have a massive effect on people’s quality of life.</t>
  </si>
  <si>
    <t>All the Time in the Fucking World</t>
  </si>
  <si>
    <t>You know the problem with a harem? There’s never enough time in the day to both raise flags with the girls you want to sleep with, and to actually sleep with them. Seriously, if you want to get over that last hump, you have to take them out on some fancy, expensive, date. And that’s time you could have spent with the other girls. That’s why the two are now interchangeable. Some sex in the shower or an evening under the stars with a bottle of wine, both will make them fall further in love with you. Or you could go the other way and make handholding incredibly lewd.</t>
  </si>
  <si>
    <t>Begone Thots!</t>
  </si>
  <si>
    <t>Chaldea has only one Master but many Servants, and therefore many rivals who might want to steal your Master’s attention away from you. But they’ll have to get up really early in the morning if they want to pull one over on you: simply having a romantic interest in someone is enough to hinder anyone else’s efforts to intrude on that relationship, barring any who had an interest before you. A shifty snake trying to sneak into your lover’s room at night finds her path coincidentally barred and her plans foiled without you even needing to raise a finger, and it only becomes harder and harder for your rivals to make any impact at all as your relationship develops and you grow ever closer to your beloved.</t>
  </si>
  <si>
    <t>Cuck-Proofing</t>
  </si>
  <si>
    <t>Franz got lucky, but you won’t need luck to keep your lover when the incubi and succubi come to play. At your discretion, people you’ve had sex with will simply never possess any desire to cheat on you, and cannot be coerced by mundane or supernatural means to do so.</t>
  </si>
  <si>
    <t>Fool Me Once</t>
  </si>
  <si>
    <t>Lev and Moriarty's betrayals may have taken all of Chaldea by surprise but you learned the right lessons from those incidents. You have become an excellent judge of character, and in much the same way that dogs are said to be able to smell ill intentions you get an instinctive bad feeling around those who mean harm towards you or those you care about. This manifests as something like the hairs on the back of your neck springing up or the taste of blood filling your mouth, not unlike how some mages can taste or smell high concentrations of magical power. This sixth sense is both sharp and accurate, and you could pick out a single villainous Engineer in a crowd of unremarkable innocents if you needed to do so.</t>
  </si>
  <si>
    <t>For Her Sake</t>
  </si>
  <si>
    <t>How can you call yourself a hero if you can’t even protect the people you love? You’re a stalwart guardian of your friends and loved ones with a finely-honed sixth sense tuned to their safety, a mix of empathy and intuition which will help you guard them more effectively. As long as you’re in line of sight of a person you want to protect you can immediately interpose yourself between them and anything that threatens them, all but teleporting across the distance between you to do so. If you’re further away a sense of impending doom will alert you to their peril and guide you to their side in time to help them. This heightened empathy also helps you determine how to help them even when they’re not in danger, whether they’re in need of a shoulder to cry on, a gentle slap upside the head, or just some time to themselves.</t>
  </si>
  <si>
    <t>Friends with Benefits</t>
  </si>
  <si>
    <t>Any sex or intimacy you have with someone who is already friendly towards you (or at least is faking it) never has a negative effect on emotional and social relationships so long as there is no desire on your part to change the relationship. Conversely, the closer you are emotionally and socially to someone, the less bothered they will be by the idea of 'helping' in sexual matters. This can include things like your married friend letting you blow off a little steam by practicing blowjobs on him or, if you're a guy, getting a chance to test out that fucking machine on your lesbian BFF.</t>
  </si>
  <si>
    <t>Harem [Zookeeper] Protagonist</t>
  </si>
  <si>
    <t>You have a special way with animals, becoming their dearest friend...maybe more than friends. You have increased charisma towards animals, as well as nonhumans that have enough animal-like features. The perk draws upon your own personality and character to work, rather than physical appearance, such that other charisma and animal-handling powers will strengthen its effectiveness.
More than that, you can leave lasting, impactful impressions with them that will shape their life, like an otherwise forgetful ostrich still remembering how you named her and inspired her to fly, or a crow remembering and yearning for you years after you saved her life and last interacted with her. Animals and the like affected by the perk may also become attracted to you romantically and sexually even if that wouldn’t normally fit with their species’ biology or social behavior.</t>
  </si>
  <si>
    <t>Left you Love Notes on their Headstones</t>
  </si>
  <si>
    <t>Whether you’ve found the woman you believe to be your reincarnated love, constantly dream of how you want to punish the girl who dared to move into the house you haunt, or simply prefer to focus on a single victim at a time, sometimes you want to really get in someone’s head. The more you obsess over a specific person, the more you begin to understand everything about them. Even if you have no way of knowing, you instinctively grasp exactly how to frighten, arouse, stalk, help, work alongside, kill, fuck, or manipulate the object of your mania. This spreads to a much less extent to your romantic rivals or others who would get in the way of your relationship with your target, though for them you only get better at opposing and harming them.</t>
  </si>
  <si>
    <t>Looking for Concubines</t>
  </si>
  <si>
    <t>A Hero’s lusts run deep, and get deeper with time. As a Demon Lord, it’s your responsibility to keep your Hero satisfied, but you also have all those duties as leader of demonkind. The answer? Build the Hero a harem. As it turns out, this will be quite easy for you. As long as someone would be fine with a monoamorous relationship with your lover (or with you), they won’t have a problem with being part of a polyamorous relationship instead.</t>
  </si>
  <si>
    <t>Love 'em and Leave 'em</t>
  </si>
  <si>
    <t>Omni’s new hypnosis abilities are great and all, but if he wants to catch them all, he’s going to have to actually go out and leave his lovely neighbor alone in her home. And while the H Ball experiment showed no signs of wearing off, that doesn’t mean it won’t. Luckily for you, time has no effect on your... alterations. Sure, they can be unbrainwashed by force, maybe even brainwashed again, whatever manner of ‘cure’ you want to imagine. But, simply fading away? Sorry, not gonna happen. That lovely mother will be more than willing to welcome you into her home in a decade as she was last night. Assuming of course no one meddles in your affairs.</t>
  </si>
  <si>
    <t>Sphilia’s Familiar</t>
  </si>
  <si>
    <t>With someone like Godel in town, it's a bit difficult to keep your playthings only yours without extraordinary skills. This won't give you those, but it will help you prevent your lovers cheating on your lame ass. Every time someone you're 'involved with' starts to waver in their devotion to you, a woman will appear nearby and tell you what's happening as well as grant some tips to stop it. Even if you were to ignore the advice and they cheat, she will keep appearing to tell you how to stop it and win your partner back. Ignoring it will have the woman keep appearing until she finally confirms that your lover isn't yours anymore.</t>
  </si>
  <si>
    <t>Marriage Certificate</t>
  </si>
  <si>
    <t>Now, I’m not saying that you’re such a whore that you bullied, bribed, blackmailed, or otherwise cheated your way into convincing the local government that this very clearly fake piece of paper declaring your marriage to your horse was a legally binding document. What I am saying is that you have a very clearly fake marriage certificate with a few blank spaces on it where one could write your and your lovers names, and that while it wouldn’t be legally binding, it would be treated as perfectly normal for the two of you to be married by all your friends and family and any other random witnesses. Both of you need to sign it more or less of your own free will however - no command seals or other mind control, though being stoned out of your mind on sex would be perfectly valid, prefered even.</t>
  </si>
  <si>
    <t>Must Help Senpai!</t>
  </si>
  <si>
    <t>You’ve got a bond with your partner that’s more sisterly than it really is professional! You have a sixth sense for when your closest comrade in arms is in need of rescue and where they are. This only works for up to two people, so while you may know two closest to you need your help, everyone else remains a mystery to you until you confirm their condition yourself.
Also, something inside you stirs anytime you get fucked alongside other girls, and you feel more sensitive and cum harder! (If you're a guy, this instead applies to any girls you fuck with your guy friends.) It isn't gonna be an unusual sight at all to see you holding hands with another victim of big dicked monsters as you both get railed, your pussy soaking wet from the idea of getting taken together! With your closest friends affected by this perk, this is stronger to the point where having loads pumped deep in your pussy next to senpai is one of the greatest pleasures you’ve ever known! Lastly, you even seem capable of syncing your orgasms with them...</t>
  </si>
  <si>
    <t>Never Truly Parted</t>
  </si>
  <si>
    <t>Even when you and your beloved are apart from each other you remain together in your hearts, always there to support each other no matter the circumstances. You are immune to any ill-effects of separation from your spouse, and isolation in general, while benefiting from a general knowledge of them as though they were present and occasionally giving you advice whenever needed. If either you or they have some ability to communicate over long distances, such as telepathy, then you can do so effortlessly, ignoring any factors that might hinder or jam your communications.</t>
  </si>
  <si>
    <t>On the Lan</t>
  </si>
  <si>
    <t>Fame leaves its mark. As long as you aren’t caught doing something you’re known for, and don’t run into any hyper-fans, people will struggle to connect the dots of who exactly you are. When discovered, attempts to photograph you will often be obstructed, and word will rarely spread outside of the witness' immediate friend group.</t>
  </si>
  <si>
    <t>Pillow Princess</t>
  </si>
  <si>
    <t>In any sexual encounters you have, people tend to, for whatever reason, seem focused on maximizing your own pleasure rather than their own. This is entirely subconscious, but definitely noticeable. You can toggle this if you'd like.</t>
  </si>
  <si>
    <t>Princess Power</t>
  </si>
  <si>
    <t>It takes a lot more than one person to rebuild a kingdom from the ground up, even if that person is a great hero. A kingdom needs governors and nobles, or a princess whose charisma can unite the people around a single cause. You have great skill at leadership, from delegation to resolving conflicts between clashing personalities. While you lack a king’s charisma you could easily lead a small group of heroes or a team of researchers on a group project. Moreover, having stronger bonds between members of your group makes the team as a whole function far more effectively than it otherwise could, turning you into the mortar which makes a team of heroes into Hyrule’s greatest champions. Such bonds are easily forged by having sexual or romantic relations with your teammates, which don't clash with each other if you take even the slightest effort to manage your relationships with your erstwhile harem.</t>
  </si>
  <si>
    <t>Redeeming Qualities</t>
  </si>
  <si>
    <t>The fat and ugly guy with a beautiful woman on each arm’? How is that possible? Blackmail? Rape, drugs, threats? It’s gotta be something like that, right? Well, people are going to ignore that for you. Even if they absolutely know that the woman flirting with you hated your guts yesterday, they won't assume the worst of you. Then again, most people wouldn’t think ‘mind control’, they’d either go for ‘he must be a decent person underneath’ or ‘blackmail’.</t>
  </si>
  <si>
    <t>Romantic Reservation</t>
  </si>
  <si>
    <t>As a romantic you'll certainly want to wine and dine your beloved(s), but sometimes where you want to take them needs advance booking. By presenting this card you can bypass normal reservations process for restaurants, cafes, hotels, etc so long as you are bringing at least one person you have romantic or sexual interest in along. They will bump out other reservations if need be without others complaining, assuming that the people in question aren't already there, but there still needs to a potential space and time for you and you'll still have to pay.</t>
  </si>
  <si>
    <t>The Harem Ending</t>
  </si>
  <si>
    <t>Miina was pretty upset over how monogamous the ending was. If she had this perk, it might have ended entirely differently... you excel at convincing other people to engage in a polyamorous relationship. If it’s possible to convince someone in the first place, you’ll know exactly what to say to get them to agree, whether it’s getting people to join a harem, accept having a harem in the first place, or even joining a proper polycule. You’re also a deft hand at other polyamory negotiations, like figuring out schedules.</t>
  </si>
  <si>
    <t>They Would Never</t>
  </si>
  <si>
    <t>Of course, even with sex being far more common and acceptable than before, that doesn’t mean that there aren’t people who disapprove. Like you parents. Well, probably. They might be sleeping with you after all. But, anyways, you now have a sort of anti-reputation. Unless you go out of your way to inform people of your proliffic slutiness/manwhoring - or better yet, display it to them - they’ll assume that you just sort of don’t do that sort of thing. Kind of like the stereotypical serious student will scold you for breaking the rules, only for them to do it themselves. You would NEVER do that. Right?</t>
  </si>
  <si>
    <t>A Bottomless Heart</t>
  </si>
  <si>
    <t>For an ordinary person it may be enough to only have one other person to spend your life with, but there’s nothing ordinary about you, is there? Love and emotional attachment comes to you easily and you find it more difficult than most to let go of those you care about, to the point that choosing one woman over another when you love them both is unthinkable to you. Luckily, this is not without its benefits. You have a perfect photographic memory for information about people you care about, no matter how many of those people you might have. You’ll never forget their birthdays, favorite meals, erogenous zones, etc. and can easily keep track of their needs and desires without even thinking very hard about it.</t>
  </si>
  <si>
    <t>All You Need Is Love</t>
  </si>
  <si>
    <t>It can be hard, abandoning the wealthy life you knew to live out in the boonies with the person who so lovingly(?) raped you. A life without luxuries is a difficult one... but not for you. The more you are loved by the people who live with you, the more luxurious your life becomes. A bed of hard stones will start to feel as plush as the royal bedchambers, rough linens will treat your skin as delicately as the finest silk, deer meat roasted over an open flame will taste as delicious as though it were delicately braised by the best chefs that money could buy, and in general every mundane aspect of life will be as wonderful as if vast amounts of money were being spent to provide for you. And this benefit is hardly restricted to yourself. No, those who receive love from you will find their own lives becoming more luxurious as well, as if all the rough difficulties in life were lubricated by love.</t>
  </si>
  <si>
    <t>Earring Case</t>
  </si>
  <si>
    <r>
      <rPr>
        <sz val="13"/>
        <color theme="1"/>
        <rFont val="Calibri"/>
        <family val="2"/>
      </rPr>
      <t xml:space="preserve">This is a box with one earring for you, and one for your partner...s. These magical earrings are connected, allow any two people wearing them to magically communicate with one another, so long as they are in a romantic or sexual relationship. Also, so long as you remove the one meant for your partner with the intent to give it to them, there will always be another in the box. Selling one or giving it to someone else </t>
    </r>
    <r>
      <rPr>
        <i/>
        <sz val="13"/>
        <color theme="1"/>
        <rFont val="Calibri"/>
        <family val="2"/>
      </rPr>
      <t>will</t>
    </r>
    <r>
      <rPr>
        <sz val="13"/>
        <color theme="1"/>
        <rFont val="Calibri"/>
        <family val="2"/>
      </rPr>
      <t xml:space="preserve"> disable this, however, until you get it back and give it to one of your partners.</t>
    </r>
  </si>
  <si>
    <t>Find You Again</t>
  </si>
  <si>
    <t>As sad as it may be, very few members of the Emiya family have anything close to a happy ending. And yet, here they are. Illya of Fate Stay Night clinging to life as Sitonai, Shirou having become one with Muramasa, even Rin and Sakura have joined with a pair of goddesses. Kiritsugu the counter guardian, lovingly haunted by a woman he’s never met because the Irisviel of Fate Zero loved him so much. When it comes to reuniting with your loved ones, very little is capable of standing between you. Such is the strength of your love for them that so long as you keep hope some means will appear to reunite you, and give you a chance to save them; even when all sense says they should be beyond your reach. It may take some time, a deal with a deity, and a pinch of luck, but eventually you will be reunited. Perhaps... even cheating death to be together again like the Emiya clan. And then, just maybe, you can get a happy ending?</t>
  </si>
  <si>
    <t>In Sickness and in Health</t>
  </si>
  <si>
    <t>The end goal of all Romantics is to wed their beloved and spend the rest of their lives together. That means something very different for a holder of the Celestial Bordello than for most other people though. Does your love for your partner, and theirs for you, have what it takes to last for all eternity? What kind of stupid question is that, of course it does! You and your spouse will never grow tired of each others’ presence, and the passing of years will only make you grow more fond of each other.</t>
  </si>
  <si>
    <t>Legally Blind</t>
  </si>
  <si>
    <t>Katawa Shoujo</t>
  </si>
  <si>
    <t>Cops and the like just seem to leave you be for anything short of committing a major crime right out in the open. Should you be accused of something grievous they will still likely look into it.</t>
  </si>
  <si>
    <t>Lord of the Hoard</t>
  </si>
  <si>
    <t>Dragons are creatures of vice, their greed being the strongest means they have of gaining strength and respect among their people. Your hoard is a bit more... ephemeral than simple gems and gold. Mates. The more mates you have, the more you take, the stronger you become, like a gravitational singularity of lust.</t>
  </si>
  <si>
    <t>Purer than Actual Saints</t>
  </si>
  <si>
    <t>Or, and hear me out here, you could not cheat on your boyfriend. Now, getting dragged in by Scathach isn’t really something you can control, and I do wish you luck in getting out of such a thing, but if you take this then she probably wouldn’t even bother with you. See, you’re just too adorable. The senpai/kouhai dynamics, your innocent smile, the awkward but honest flirting between the two of you...
Others seeing you and your partners being adorably domestic makes them less attracted to you for fear of ruining such an adorable couple. It might even work to calm their own rampaging lusts for a brief period of time as they try to set you up with each other to help you ‘gain bond levels’ faster. This effect does spread to cover any additional partners that are at least at 'boyfriend/girlfriend' level, and can be toggled if you please.</t>
  </si>
  <si>
    <t>Starter</t>
  </si>
  <si>
    <t>You get a starter pokemon! They must be a starter from a pokemon game. They come with a pokeball that automatically heals them, and is able to take them from the brink of death to perfect health over the course of 24 hours.</t>
  </si>
  <si>
    <t>Take a Break</t>
  </si>
  <si>
    <t>In a different timeline where Itachi was always female, Sasuke would apparently take to the habit of using the breaks in the training sessions he shared with his sister to fuck her. Given how much stronger she should have been, I can only assume that the reason she didn’t fight back is because she enjoyed it. Well, that’s slightly off topic. You can now use events like these, shared training sessions and the like, and treat them as a mildly romantic date. Or maybe just a fling, with the activity you just went through getting the both of you all hot and bothered? Well, you get the idea. Sex seems to be the perfect way to end a hard day’s worth of training.</t>
  </si>
  <si>
    <t>Trustworthy?</t>
  </si>
  <si>
    <t>You might be disgusting, but you can be trusted. At least, that's what the people around you seem to think, even when they should know better. Tell a girl’s mother that you’re a friend of hers who came over to visit when you heard she was sick, and she’ll be more than happy to let you spend several hours alone in her daughter’s room with her, ignoring any strange sounds she hears. Even if you’ve spent the past several months sexually abusing her, said girl will believe that you’re visiting out of genuine concern for her, until you prove otherwise. Nobody will be suspicious about you spending a good amount of time around several beautiful young women, even though you look like something that got scraped out of a dumpster. If you prove yourself unworthy of trust, it may take a few weeks to regain it.</t>
  </si>
  <si>
    <t>A Friend in Need</t>
  </si>
  <si>
    <t>Despite the strength you may possess, Master/Madame, there is a time where it would be too much for you to handle alone. However, with this perk being alone when trouble comes is a rare occurrence. Not only do your allies and companions gain a sixth sense for when you are in trouble but they also get quite a boost in speed to get to you quick and strength to help you fight your foes. Of course friendship is a two-way street and if they were to find themselves in similar danger you get a similar boost so that you can help them.</t>
  </si>
  <si>
    <t>A Hero of Justice</t>
  </si>
  <si>
    <t>Well, isn’t this weird? People tend to see your actions in the most positive possible light at any moment. As a commander that sends the other guys far away because you want only the girls around? Everyone interprets it as a complex tactic and think better of you. Killed or raped captured enemies? It was something inevitable in times of war. Of course, it won’t help much if you do something unmistakably bad in their faces or if they know your actual reasons well enough. But for most it would be as if you were a paragon of justice.</t>
  </si>
  <si>
    <t>An Abundance of Lilies</t>
  </si>
  <si>
    <t>It’s something of an open secret that magical girls are rarely 100% heterosexual, and even with all the sex monsters running around the Utea are no exception. Maybe the seeds have a selection bias or maybe it’s just something about the power of love and friendship but you’re what some would call yuri bait, a magnet for affection from the female gender. You conquer personality conflicts and easily forge lasting friendships with girls of all types, and it wouldn’t take much for you to become the center of a very affectionate harem. These bonds also work to your advantage in battle, and having a close relationship with your teammates allows you to multiply your powers when you work together. With you leading them a team of new friends can easily pull off combo attacks requiring extremely precise timing and perfect coordination, but a team of lovers can do all that and more, even fusing their spells together into awesomely powerful combination attacks many times stronger than the sum of their parts.</t>
  </si>
  <si>
    <t>Beneath Notice</t>
  </si>
  <si>
    <t>As I’ve previously mentioned, Senpai has been going around and raping anyone who catches his eye, when they’re rendered unconscious by the energy that appears during monster attacks. With that in mind, in addition to said monster attacks, something to help keep your loved ones safe seems like a good idea. 
This perk will give your friends and lovers a form of plot armor. It won’t be as powerful as Bystander Effect, but it should still be more than enough. Someone, or something, that’s out looking for victims will overlook those that you care about, in favor of others. If they’re still targeted, for some reason --if the one targeting them was specifically after them, or there was nobody else around for them to target, for example--, they will have supernatural luck in escaping relatively unharmed; their attacker will trip, people who can help will stumble across them, they’ll instinctually choose the best escape routes, and so on. On top of all of this, you will also be able to feel when those that you care about are in danger, and how badly they need your help. Of course, you can turn this sense off, if you want, but why would you?</t>
  </si>
  <si>
    <t>Bonds of Sisterhood</t>
  </si>
  <si>
    <t>A true harem is more than just a collection of people you have sex with: it’s a family, and family hangs together through thick and thin even if they don’t like each other. Your harem is empowered by the strength of that bond, and the tighter the bond the tighter the harem will be in turn. This perk helps your haremettes cooperate with each other more effectively: given two girls whose only relationship is with you, they’ll find it much easier to make their individual efforts click together and support each other instead of tripping their partner up. Take the same two girls and make their relationship as strong with each other as it is with you, whether as friends or lovers or romantic rivals, and they'll laugh off mind-control or even the most insidious attempts to turn them against each other. This works for all group activities, from singing a duet to cooking a meal to group sex.</t>
  </si>
  <si>
    <t>Fine Print</t>
  </si>
  <si>
    <t>Whether in the business world or in politics, one rule should never be forgotten: always read the fine print. Fortunately for you, this rule is often ignored or forgotten, allowing you to take advantage of naive leaders who put too much trust in you. This item is an addendum or clause which you can add to any treaties and other agreements that you are a part of, such as diplomatic documents or legal dealings. This addition will usually involve you being able to fuck someone’s wife and get a child out of it or a similar clause along the same lines. Whatever the case, as long as you can slip this clause into a contract and trick the other party into signing off on it, it will be treated as legally binding by all involved parties; no matter how outraged the husband might be when he realizes he has to sit and watch you impregnate his wife, he’ll have no choice but to abide by the contract he signed.</t>
  </si>
  <si>
    <t>Girls Love</t>
  </si>
  <si>
    <t>The power of love isn’t just for Usagi and Mamoru to enjoy: the other Senshi all love their moon princess too, whether romantically or otherwise. There’s just something about her that makes Usagi easy to love, and whatever that something is you’ve got it too. Making new friends is so easy you can almost do it by accident just being nice and supportive of those around you, and putting real effort in will make the kinds of friendships that last a lifetime. If you choose you can have your efforts forge equally-powerful bonds of love instead, either of the platonic or romantic variety, and those who love you do so unconditionally, even if you surround yourself with a vast harem of lovers or choose only one of them as your “real” partner.</t>
  </si>
  <si>
    <t>It's Dangerous to Go Alone</t>
  </si>
  <si>
    <t>Adventuring by yourself is a lonely and dangerous affair, and wise heroes know to travel with at least one companion at all times. You’re a natural leader whose commanding presence and leadership skills foster harmony and teamwork between you and your allies, creating a well-oiled machine whose strength is far greater than the sum of its parts. Your mere presence radiates courage and strength and empowers your allies with a portion of your strength and skill, enough so that even a sheltered princess can hold her own in a fight. With your guidance your allies will work together seamlessly, their attacks and defenses flowing together into effortless and powerful combos. This camaraderie sticks around even after the battle is won, forging fast friendships and turning rivals for your affection into sisters-in-arms. Try not to be too surprised when your adventuring party inevitably turns into a battle harem.</t>
  </si>
  <si>
    <t>Just Run Away</t>
  </si>
  <si>
    <t>Two timelines are described in the introduction. Allow me to tell you about a third. At some point, unknown if it’s following one of the others, Sasuke and Itachi run away from Konoha. Itachi’s illness slows them down, but the two live in relative peace, albeit on the run for quite some time. I’ve no doubt that Naruto would have chased him, and yet... abandoning Konoha for love, instead of revenge? Perhaps he wouldn’t chase Sasuke after all. So, this. If you really want to, you can run away from your responsibilities. Clan heir, policeman, someone with a valuable bloodline, none of that matters. Just drop everything and run away with your love, and the powers that be will let you. I don’t promise that your enemies won’t find out and come looking, or even that you’ll get the happily ever after you seek. Only a chance to find it without interference.</t>
  </si>
  <si>
    <t>King of Beasts</t>
  </si>
  <si>
    <t>Like the Black Demon Beast of old, you can command the respect of other monsters and lead them as a king or general would. With your superior intelligence even dumb beasts lacking sentience can be gathered into a horde and directed like an army. Their instincts know that to disobey you is death, and so obey you they shall.</t>
  </si>
  <si>
    <t>Love Wins The Day</t>
  </si>
  <si>
    <t>Let's say some asshole is trying to mug you or that there is someone that will just not take no for a answer, what will you do? You’re a lover, not a fighter, you can't defend yourself! Well this is where the perk comes in. When your lovers are fighting to protect you, they get a boost in their abilities; how big of a boost they get depends on how much they love you. If they only like you a bit, they will only fight a little bit better than normal. If they are head over heels in love with you then they could break their own limits and do things they never thought was possible! Keep your "special friends" close Master/Madame!</t>
  </si>
  <si>
    <t>Mother Knows Best</t>
  </si>
  <si>
    <t>People tend to defer to your wisdom. When in doubt, they know that you know just what to do, and you’ll be the person they trust in the most. However, this goes above and beyond traditional affection. You’ll find people are far more willing to confess their innermost desires to you, even if those desires are for you. Interestingly, this even applies to those who are actively hostile to you.</t>
  </si>
  <si>
    <t>My Friends are Heart Warriors Too!</t>
  </si>
  <si>
    <t>Your close friends are highly likely to earn, stumble across, or be given similar supernatural powers as you have gained from the local world. If you have unlocked your Heart Power, chances are your girlfriends will unlock it too! If you're a Bio-Weapon, maybe Clandestine Evil Organization Virus will select one of your friends as the next batch of test subjects as well? You could make a real team together.
This only applies to powers that are normally available locally.</t>
  </si>
  <si>
    <t>None of Your Business</t>
  </si>
  <si>
    <t>Assuming that you decide to steal/”rescue” the Pretty Cures from Senpai, having a harem of several girls might raise a few eyebrows. Especially if there's an odd age gap. Fortunately, you won’t have to worry about that. From now on, nobody outside of your relationship will judge you or your lover(/s) for anything related to said relationship; the number of people involved, the ages of those involved, the genders of those involved, and so on. This will also work on overprotective family members and jealous exes.</t>
  </si>
  <si>
    <t>Resonance</t>
  </si>
  <si>
    <t>This is a very potent thing. The ability to bind others so deeply to you. Taking this Perk allows you to freely Resonate with as many individuals as you like so long as you can touch them and they are willing. This deep bond amplifies the potency of anything ‘team’ related that you do with your Resonated partners by several orders of magnitude, sped by a communication between you that is practically telepathy. As this is a Perk, Resonances you form with it will be made without the potentially devastating feedback effects if you or your partner dies, and any negative mental attributes or conditions cannot flow across either. Additionally, having this Perk makes you very interesting to cosmic-level entities, take that how you will.</t>
  </si>
  <si>
    <t>Shield of Rousing Resolution</t>
  </si>
  <si>
    <t>A servant’s most important duty is protecting their master from anything that might threaten them. Much like Mash, you're able to project your defensive abilities across any mystic bond between you and another in order to cover for them, allowing you to passively intercept many effects like spells, poisons, or curses by redirecting their effects onto yourself and your own defensive capabilities. Curiously, effects which impact your partner often affect you in far more perverse ways than was intended. A deadly spell rebounds off of its intended target and strikes you as a genderswap curse, while a dose of poison might transform into an aphrodisiac once it’s in your veins. Take care however, as anything you can’t endure can’t be redirected.</t>
  </si>
  <si>
    <t>Staying on Their Good Side</t>
  </si>
  <si>
    <t>Just because you know what to do to keep one person happy doesn’t necessarily mean you’ll be their favorite or that everyone will be happy. But you are preternaturally aware of how to stay on a person’s good side, what things to avoid doing or saying, as well as general ways to ingratiate yourself. You can, to a lesser extent, use this to help other people stay on others’ good sides by exploiting your knowledge of what works.</t>
  </si>
  <si>
    <t>Sweet Romance</t>
  </si>
  <si>
    <t>These Cloud Nin brutes talk a big game but they don’t know the first thing about romance or the power of love, something you and yours are intimately familiar with. When you have an intimate loving relationship with another person everything you do together is magnified by the strength of your love. When you’re on the battlefield you can weave your attacks together as if you were a single person, while in the bedroom you both benefit from each others’ skill and stamina. Even if one of you is completely inexperienced, by working together the more accomplished lover can cover the shortcomings of his or her partner and share whatever skills they might have. Even a virgin princess can learn how to fight like a kage and suck cock like a champion in no time at all as long as her lover has the knowledge and the patience to teach her.</t>
  </si>
  <si>
    <t>Waifu</t>
  </si>
  <si>
    <t>People who hold power over you tend to develop soft spots for you. Not necessarily enough for a slave owner to set you free, for example, but said slave owner would give you the easier jobs, and be a bit more lenient with their punishments. Or, to use an example a bit closer to home, Senpai would have fairly vanilla sex with you, rather than making you give him rimjobs, drink his piss, and “punishing” you for your friends saying that he’s gross by fucking you as hard as he can. He would also be a lot more likely to take you talking about how disgusting he is as “being tsundere,” rather than thinking that you’re genuine.
Obviously, this can only be pushed so far. If you try to murder the one who has power over you, or if you make repeated attempts to escape their grasp in a short amount of time, their good will towards you will quickly run out, though acting subservient for a while will help to restore it. Likewise, if the one with power over you is literally incapable of developing a soft spot for you, such as a complete sociopath, or if they can’t go easy on you for some reason, this perk won’t help much.</t>
  </si>
  <si>
    <t>Wedding Rings</t>
  </si>
  <si>
    <t>These beautiful little relics are much more than they first appear. At first glance you might be tempted to assume that these two wedding rings are merely a pair of especially well-made pieces of jewelry but they are actually ancient relics of the Ninshu religion, hand-made by Hagoromo himself and designed to allow a husband and wife to join together on a spiritual level and share in each others’ power. So long as you and a loved one wear these rings your spiritual energies are permanently linked, allowing for things such as wordless communication over any distance, sharing energy and merging techniques into combination attacks, and helping each other to train your spiritual powers and rise up to the same level if one of you is much stronger than the other. You can even transmit thoughts and memories, or enter each others’ minds to fight off hostile influences, like genjutsu or an inner demon raging out of control.</t>
  </si>
  <si>
    <t>What Happens at School</t>
  </si>
  <si>
    <t>Stays at school; or rather, at any property you are in charge of. Certain rumors could damage your reputation, like your private ‘discussions’ or the sex club in the basement of the school. With this, there's no need for people to know about those. What happens at school, stays at school.</t>
  </si>
  <si>
    <t>Wooing the Demoness</t>
  </si>
  <si>
    <t>When entering a relationship with someone of an opposing moral or ethical leaning than you, you will always know what to do to slowly wear away at their point of view and bring it more in line with your own; you could convince a rape-happy demon girl to try out loving sex, and could eventually persuade her to abandon her quest to revive her king in exchange for a loving life with you.</t>
  </si>
  <si>
    <t>Faithful Wife</t>
  </si>
  <si>
    <t>What better hope is there for a ninja princess than to have an idyllic marriage to the one she loves most? A sacred union has power of its own even in a world full of demons, spirits, and ninja magic. Regardless of how faithful you’ve been to your partner, once you choose to marry another person it becomes almost impossible for the two of you to be unhappy together or be torn apart by external influences. If you were to go through with a forced political marriage to a man you disliked you would find your partner changing himself and becoming more to your liking over time, seemingly by coincidence, while an adversary who seeks to kidnap and use you for his own purposes will find his plans thwarted and derailed at every step, as if destiny itself stood against him. Should you wish to pull the plug on the relationship however you’re free to do so at any time without consequences beyond losing this perk’s benefits until you marry again.</t>
  </si>
  <si>
    <t>Harem Protagonist</t>
  </si>
  <si>
    <t>It's in your DNA. Literally. Whether it be Sekirei or any other supernatural being of your preferred gender. If you reach out to them, they will find some reason - mundane or otherwise - to love you.</t>
  </si>
  <si>
    <t>Kneel before the Master/Madame</t>
  </si>
  <si>
    <t>Heroes insist on making themselves servants of the ignorant masses but no true mastermind would ever allow himself to be shackled, not when his nature demands submission and obedience from his inferiors. You hold yourself above others like a god among men, and just like a god your powers grow stronger the more that others submit to you. Ordinary humans grant little power except in large numbers, but powerful heroes and heroines grant much greater strength, bolstering your powers and sharpening your skills until only the greatest foes can challenge you. At the same time, the more that your enemies submit to you the harder it becomes for them to defy you at all, their powers weakening against you the more that you have your way with them. In time even your greatest enemies will kneel before you, broken and submissive.</t>
  </si>
  <si>
    <t>She is for [You]</t>
  </si>
  <si>
    <t>For all that this world exists for you to be stolen from, you have truly absurd luck in finding and acquiring that even a man with the fattest cock might envy. When you set your sights on an individual, be it becoming friends or lovers, your efforts are vastly magnified. Focusing like this is trivial, as simple as proclaiming that someone is your favorite, out loud or in the privacy of your head. Once the proclamation is made, time spent with them is... richer. Fuller. It is as though the mere moments you spent together were an hour, while the hours become days, and the days make you feel as though you had known her for years. Better still, just as your own focus benefits you, it blunts others attempts at the same. Other men, those who might seek to steal her from you, have their eyes simply pass over her, or are quickly forgotten as hours become minutes and minutes become seconds. More than time as well - drugs pumped into her system fade out far quicker, brainwashing and mind control snaps in half the second she lays eyes on you again, and other attempts at physically forcing the issue with her simply go horrendously, possibly hilariously, badly.</t>
  </si>
  <si>
    <t>Synchonicity</t>
  </si>
  <si>
    <t>It’s such a pain, being able to use/be used by literally everyone on the island, every carrier in the world. How in blazes are you supposed to stick with any one long enough to build a decent rapport? Well, that’s not an issue for you anymore. When you pair up with someone, no matter how little you know each other, you’ll find yourself able to work together as if you’d spent years, side-by-side. This is naturally a short-lived boost, as you’ll probably move on after only a little while. But, think of how far you could go if you did decide to stick around...</t>
  </si>
  <si>
    <t>The Power of Love</t>
  </si>
  <si>
    <t>Much like Senpai, you’re capable of recharging supernatural powers. Unlike him, however, you use Love, instead of cum. The more potent the emotions between yourself and the one that you’re recharging, the more energy you can recover, though this also scales with the act that you’re performing. A pair of virtual strangers having sex would generate as much power as a happily married husband and wife sharing a kiss, which would be enough to completely refill a Pretty Cure’s “tanks.” In addition, if you “overfill,” the extra energy can be used for a one-time power-up. Something to keep in mind, if you think that they might need the boost in a coming fight.</t>
  </si>
  <si>
    <t>(Australian) Kiss for Good Luck</t>
  </si>
  <si>
    <t>People say that getting laid is “getting lucky.” That’s literally true for you and your lovers. Sexual and emotional intimacy gives all of you boosts to luck. The longer the “session,” the slower the boost fades. The more intimate the act, the more powerful the boost. 
The level of luck starts with “requires statistics to notice” (at a peck on the cheek) and goes to “your opponents get limited to the bottom five percent of possible results whenever they try to do something to you” (requiring an extensive set of sexual acts along with satisfying each other’s emotional well-being.)
Duration for a boost from a peck on the cheek lasts for a few hours, while spending eight hours in bed can give a boost that lasts for weeks.</t>
  </si>
  <si>
    <t>A Place to Come Back to</t>
  </si>
  <si>
    <t>More than anything, Tatsuki didn't want Orihime to fall into the world of ghosts in such a manner that she could never return - in other words, die. As such, you strive to create the one thing that will keep your lover alive more than anything else, a reason to fight and a place to come back to. With that in mind, you're apparently the perfect housewife, cooking and cleaning better than basically anyone. Beyond that? The more someone loves you, the harder they can fight. The more they want to come home to you, the more wounds they'll simply shrug off. All because they love you.</t>
  </si>
  <si>
    <t>Battle Harem</t>
  </si>
  <si>
    <t>You will inevitably face many challenges during the course of your journey, and anyone who hopes to join you on your journey needs to be able to keep up and contribute something to both you and their harem sisters. By pooling their efforts with either each other or with you, the members of your harem can achieve results much greater than the sum of their separate abilities. Two warriors creating a combo attack will strike with significantly more power than either could alone, a hacker and thief working together could crack hardened security systems with ease, and a scientist and wizard could create revolutionary magitech together. The effects of this perk scale with the number of teammates contributing to a single effort but is capped by the teamwork of all involved participants. Woe to the enemy stupid enough to draw the ire of your entire harem at once.</t>
  </si>
  <si>
    <t>Comfy Puppet</t>
  </si>
  <si>
    <t>Within your chest beats the heart of a heroine, capable of fighting off all manner of villainous control...but why would you do that when you’re being ‘forced’ to do all the things you’ve always wanted to but were too scared to try? You’ll find that when others take control of you your desires bleed through the connection. The longer they control you, the more they’ll find themselves using your body to act out your fantasies without even realizing it. And even from the start, no matter the method of control you’ll find that you’re fully conscious and lucid of what your body’s doing, even as the controller thinks otherwise. Even better, when you finally decide that you’ve had your fun, you’ll find that your efforts to break free from your metaphorical strings to be greatly enhanced even when you really shouldn’t be able to.</t>
  </si>
  <si>
    <t>Dragon Cult</t>
  </si>
  <si>
    <t>My, aren’t you the precocious one? Your actions are guaranteed to gain the attention of a cult of mortals who will be willing to devote their lives to you, akin to the Grimleal or a splinter sect of the Naganites. Your cultists will be ordinary mortals, initially numbering no more than 100 or so, but they'll be able to swell their numbers by seducing others into joining the faith. The specifics of the cult’s dogma, practices, and recruitment policies are yours to decide but you are its central figure of worship no matter what. Your cultists will eagerly serve you any way you desire, sexually or otherwise, but if you wish them to be soldiers or assassins like those of the Grimleal then you’ll have to train them for those roles. Without such training the cult’s best use is as a network of spies and informants: they'll have an uncanny knack for infiltrating every corner of society and recruiting in places where their reach is lacking. In future worlds, the cult will reestablish itself as tales of you spread.</t>
  </si>
  <si>
    <t>Endowment of the Hero</t>
  </si>
  <si>
    <t>No, this isn’t about how endowed the Hero is, but rather the gift they can bestow upon others. By having sexual relationships with other people, you can increase their power. For people without magic, this can increase their intellect or physical abilities; for people with magic (or some other sort of esoteric ability, such as psychic energy or youki), this will instead strengthen their supernatural powers. There is no limit on how much others can grow, and becoming more powerful will never make it more difficult for anyone to control their abilities.</t>
  </si>
  <si>
    <t>Eyes of the Moon</t>
  </si>
  <si>
    <t>Are you certain you’re from this world at all? Power like yours has only ever been seen in rare bloodlines like those of the Ōtsutsuki clan, heirs of the Tenseigan and other powers nearly unknown to the elemental nations. Some of this alien blood courses through your veins, granting you a major non-dōjutsu bloodline of your choice. But this is not your only power: just as the moon orbits the earth, you can gain great strength from someone you love. If he wants you to stand beside him in battle, you’ll find it easy to train and grow in power to match him - or, if your relationship is based on sex, end up as the best whore the elemental nations have ever seen. This effect grows even stronger with a stronger and deeper relationship to tie you to your beloved.</t>
  </si>
  <si>
    <t>Field of Red</t>
  </si>
  <si>
    <t>We are all born with an infinitely thin, elastic red string tied around our little finger. If you follow it, you will find the other end tied to the corresponding finger of your soul mate. Those sensitive to the spirit world can be trained to find them... But for you, it’s more like a field of red, as if you are the nexus of a massive ball of string, radiating in all directions.
Such a thing is unheard of, at least before the war, but it means that you can find true love with pretty much anyone you meet. Depending on the specific woman, it may take work and patience to develop a relationship and commit them fully to your heart, but each and every one of them has the potential to be (one of) your soulmate(s). Each might see something different to love in you, but they will all feel the attraction and quickly come to enjoy your presence. In turn, you may grow to savor every moment with them.
Fate itself will work to make sure circumstances align for you and them to find happiness together, despite not being your sole lover. Even the random girls you pluck from the streets to fuck as a momentary diversion will feel like it was meant to be and carry the memory of you with them forever. Even if you don’t return the sentiment.</t>
  </si>
  <si>
    <t>Fleet Idol</t>
  </si>
  <si>
    <t>Fame - what is it good for? Well, boosting you, for starters. You are empowered by fame, with your strength and skills growing with your fame and reputation.
For every person who knows about you, you get stronger and tougher. It’s a straight boost to your power. Your reputation is a bit more complex. Your skills increase based on what people think you’re good at. If people think you’re a whore, your abilities in bed become much more thorough and refined. (Or crude. Maybe “evidently practiced” would be the best way to put it.) Have a reputation for not dying, and your damage control skills will shoot up.
Of course, the boost does depend on people knowing you, and the skills fade if not reinforced by your reputation. If you burn your identity or your reputation fades, this can’t help you.</t>
  </si>
  <si>
    <t>Flipping the Script</t>
  </si>
  <si>
    <t>And now we reach the crown jewel of ridiculousness for this place. You can now replicate Ichigo’s feat of somehow getting a massive shonen powerup from getting laid. The more sex you have, the better your relationship, and the kinkier it is, the larger the boost you’ll find yourself receiving. Even a short session will see your power increasing by a percentage of your partners, but a day-long marathon fuckfest where you run her to exhaustion might give you everything she has several times over. Sadly, this is only a temporary boost lasting a week at most, but that’s still plenty of time to run rampant over those who would stand in your way. And before you ask, no - you’re not draining any power from your partner, so I have no idea how this works.</t>
  </si>
  <si>
    <t>For Their Sake</t>
  </si>
  <si>
    <t>Sometimes, despite your best efforts, something stands between you and the one who is the other half of your heart that it seems that you can't overcome. Sometimes it is as though love isn't enough... but you reject that notion. So long as you are actively striving to rescue, reunite with, or avenge your singular true love there will be a way and you will find it if you keep trying hard enough. Training and preparation for your rescue attempt proceeds at ten times it's normal pace (stacking multiplicatively with other effects). In addition, once per decade you can find a way to achieve a single impossible feat if that would be necessary as part of your task. An immortal can die at your hand, time can bend, indestructible walls will break, or you will find a path between the living and the dead. Anything to be together.</t>
  </si>
  <si>
    <t>Invisible Ties</t>
  </si>
  <si>
    <t>The Shepherds are much more than a simple army; they are friends, rivals, lovers, husbands wives and children. A cynic might scoff at Chrom’s talk of invisible ties and the power of bonds but when two friends fighting shoulder to shoulder can single-handedly break a cavalry charge against their shields it’s hard to argue with the results. You draw great strength from the presence of friends, family, or loved ones while in battle, growing stronger, faster, and tougher when you fight together with them. Faced with two such allies your enemies will find that each of you fights with the strength of both of you, though there are limits given a vast enough difference in personal power. This bond also grants insight into your partner’s fighting style, allowing you to effortlessly supplement them with combo attacks or defenses. While there are diminishing returns, if you can find a way to unite many such allies you will reach even greater heights together. This is the power that conquered a god: use it well.</t>
  </si>
  <si>
    <t>Jewel of Friendship</t>
  </si>
  <si>
    <t>A jewel once part of a set of three, the other two having lost their power. It is a blue gemstone that seems to emit a comforting warmth. By concentrating on a memory of a friend from the past and holding the jewel close to your heart you can speak to them. You can talk to them across universes, and they will be will be aware of how much time has past for you since you last talked to them. You can discuss your troubles, your worries and doubts. 
Once a year, you can summon them to you for a single day, creating experiences, discuss your troubles, and developing your relationship. They may even fully interact with the world letting you engage in a battle together, play games or have sex. When your time together is over, or you choose to end it, they will be returned to where they were when you summoned them. If they die while summoned by this, instead your time together will end immediately and they will return, though the Jewel will be unable to contact them for a decade. The communication connection (and the summoning) can be refused by the recipient, and can cross into the afterlife, letting you hear their voice from the great beyond.</t>
  </si>
  <si>
    <t>Last Days of Summer</t>
  </si>
  <si>
    <t>While my knowledge of the timeline is a bit fuzzy, by my reckoning Yuu and Chiyo only lived together for a single month before they became lovers. And when they did, it wasn’t too long before Chiyo fell head over heels for his taste, his feel, his… girth. Don’t you think that’s a little fast? Much like their relationship, you’ll find your own relationships advancing at a truly astounding rate, months of flirting and wooing passing by in weeks if not days. Of course, that’s what we’ll refer to as passive. You know, just hanging out and getting to know each other. If you’re actively attempting to use this power to enhance your relationship you might be able to condense years into that week. It might be a bit quick, but nothing stands in the way of true love for very long.</t>
  </si>
  <si>
    <t>Motherly Love</t>
  </si>
  <si>
    <t>Any children you have or people you care for will find themselves deeply enamoured with you. While not necessarily sexual or romantic in nature, you will always be deeply respected and cared for by those you’ve taken care of for extended periods. However, this can nudge someone from casually finding you attractive to harbouring a secret, desperate longing for you.
However, beyond this, those affected will also treat you with deep respect and will instinctively do what they can to make you life just the littlest bit easier, never treating you as incompetent and always doing what they can to care of you in kind.</t>
  </si>
  <si>
    <t>Not Your Zelda</t>
  </si>
  <si>
    <t>That’s the problem with being in the center of a dimensional nexus. You get universes that are old as time and have many a story to tell... and you get ten nigh identical ones with only minor differences. Cue you trying to make out with your girlfriend, only to get slapped because it was a version of her from an alternate dimension. And yet, this turns out to not be much of an issue for you. See, alternate dimension versions of your friends, allies, and lovers will treat you the same as ‘your’ version of them would. Or maybe they’re treating you the way they would their version of you? Either way, you get along just fine, and your girlfriend’s counterpart is happy to jump into bed with you - though an alternate you might protest.</t>
  </si>
  <si>
    <t>Sacred Threads Intertwined</t>
  </si>
  <si>
    <t>A slave and her master are two halves of a whole, and when they work together there’s very little that can hope to stand in their way. You and your master are the perfect team and combine your powers flawlessly whenever you work together toward a shared goal. Whether you’re on a dance floor or a battlefield you’re always in tune with each other and can effortlessly pull off combo attacks and other displays of teamwork that require absolutely flawless coordination. In particular you can defend your master against any danger so long as he’s in your line of sight by seemingly  teleporting to his side at will, while obeying your master’s orders allows you to draw out the deepest depths of your power. Your master’s approval can even replace the activation conditions of any other powers or items you possess. A sword that can only be wielded by a pure maiden will come to life in the hands of a sex slave with her master’s aid, while a werewolf would be able to transform at her master’s command even without the full moon to empower her.</t>
  </si>
  <si>
    <t>Slave Collars</t>
  </si>
  <si>
    <t>You know what they say about marriage, if you like it then put a ring on it. It’s just a shame for all the rich bachelors out there that you’re already putting rings of your own on these well-trained angels. A slave collar is the perfect mark of ownership, coming in a variety of styles from tasteful silk chokers to spiked leather dog collars. Anyone who willingly dons one of these collars while knowing what wearing them implies subtly broadcasts their status as your property in much the same way that a wedding ring drives most interested bachelors away from married women.</t>
  </si>
  <si>
    <t>The Golden Power</t>
  </si>
  <si>
    <t>The most powerful force in Hyrule isn’t sheikah technology, Calamity Ganon, or even the Triforce: it’s the power of love. When two hearts join as one there’s no enemy that can stand against them and no amount of corruption that can tear them apart, and you have so much love to give. Like Mipha and Princess Zelda your soul is a wellspring of purity and light which can gush forth to heal your lovers, cleansing their bodies and soothing their spirits. No power can taint this wellspring: even if monsters ravish your body and make it their plaything they can never conquer your heart or corrupt your soul no matter what foul concoctions or dark magic they turn against you. Moreover you have the power to share your light and your strength of will through your body, healing wounds with a touch and cleansing corruption through pleasure and love.</t>
  </si>
  <si>
    <t>The Secret Power of Love</t>
  </si>
  <si>
    <t>Hyrule itself may be tainted by Ganon’s Nightmare but nothing can corrupt the sacred bond between hero and princess, nor between the hero and all his other lovers for that matter. Once you conquer their hearts your lovers are bound to you as strongly as Zelda is to Link, and their love grants them incredible strength worthy of a legendary hero’s companions. Those who already had great potential, like Zelda’s holy magic, find it incredibly easy to unlock and wield, but even a common village girl can discover hidden talents like a gift for swordplay and archery worthy of any heroine. You can help them master these talents simply by exploring their passions with them, substituting more traditional training with that of the sexual variety to help them grow by leaps and bounds even if you have no special knowledge of their unique gifts. Their love for you also bolters your partners resistance to mind control and any dark magic that might permanently harm them or turn them against you. A curse of bimbofication that might normally be permanent might only last a few hours before they shake it off, and only if they’re not really resisting it.</t>
  </si>
  <si>
    <t>Ultra-Competant Ninja Harem</t>
  </si>
  <si>
    <t>The Sheikah are some of the best allies a hero can have, whether they’re helping to hone his skills in their ancient shrines or battling evil alongside him, and their Yiga Clan rivals are also not to be underestimated. Somehow you’ve gained the undying loyalty of a small clan of extremely competent, attractive, and thirsty ninja. Each has superhuman speed and strength, as well as all the appropriate ninja skills and 'magics' (look, they seem to teleport in a puff of smoke and be able to summon identical clones, but maybe they're just really good at being ninjas?) while also wearing armour that magically silences their movements and the effects of their actions in a small area around themselves. Whatever they lack in numbers they make up by making your life much easier through their information gathering and other support work. Stagger into town naked and broke? They’ve rented a room at the local inn and gathered some rupees to help get you back on your feet. Get a quest to save a princess from a demon king? They already have an idea of where she’s being held and what obstacles you’ll have to overcome to get to her. Of course they’ll also help you in a fight if you need: they’re far more dangerous in stealth than in open battle, but any who are “killed” simply vanish in a puff of smoke, ninja log and all, and return to your side a day or two later. They are at their best when unseen and unknown.</t>
  </si>
  <si>
    <t>Waiting for the Right Person</t>
  </si>
  <si>
    <t>So you’ve found the person you want to control you. But just because you only want to be controlled by them doesn’t mean there isn’t anyone else who wants to control you. You may, at any time, select a single other person. That person will be the only person able to mind control you. Don't go thinking you can just pick one of your friends and never have to worry about it, though; the person you select has to a) honestly want and intend to enslave you, and b) be at least theoretically capable of it. You also can't change this or select a new person any time you please; you'll have to wait for the current selected person to be rendered ineligible to do that, ie. dying, no longer wanting to, no longer being capable of it.</t>
  </si>
  <si>
    <t>What's an Einzbern?</t>
  </si>
  <si>
    <t>Well, according to the Prisma timeline, it’s this clan of homunculi that tried to hold Kiritsugu’s daughter hostage so that he and his wife would fight harder in the grail war. Instead, he sicced the wizard marshall Zelretch on the war and then murdered the entire Einzbern family bar his wife, daughter, and a pair of maids. Shirou himself has similar feats, though not quite the same - he starts out weaker, if not one step from normal - more often than not. On the other hand, Prisma is home to a Shirou who soloed a grail war in one night for the sake of his little sister’s smile. 
Much like them, you’ll find that an absolute defeat is less certain when doing so would leave your loved ones undefended. For them, and now you, giving 110% to eek out a win against a vastly superior foe isn’t even something that needs to be thought about in order to do. This won’t guarantee anything, but in the face of such determination and refusal to die, the lengths you’ll go to for something so simple as a smile, cracks will open up. It’s up to you to capitalize on them, or even to see them, but they are there. Exploit them, ruthlessly, and happily ever after might not be a dream after all.</t>
  </si>
  <si>
    <t>Happily Ever After</t>
  </si>
  <si>
    <t>The Shepherds are heroes straight out of legend, and their adventures are the kind of tales which are beloved by children and immortalized by bards and artists. Such stories rarely end in heartbreak and tragedy, or with the married life being dull and unfulfilling, and yours won’t either. So long as you hold genuine love for your partner(s) the earth will move to bring you together and keep you together no matter what kind of adversity you might face, be it separation in wartime or more domestic relationship issues. While this won’t do anything to prevent conflicts from occurring, what conflicts do occur will always be able to be resolved, and as long as you don’t give up on the relationship it will always be salvageable no matter how bad the situation becomes.</t>
  </si>
  <si>
    <t>Snake in the Bush</t>
  </si>
  <si>
    <t>If it really does take ten of your kind to equal one of theirs, why not bring along a thousand? Those of the same gender as you find themselves seeing you as the Great Leader they never knew they wished they had. You possess vast charisma and powers of intuition when interacting with those of the same gender as you, allowing you to effortlessly convince them of your beliefs being true, even when they are quite extremist or would normally be considered serious criminal acts. Your rhetoric will spread rapidly should you get some sort of platform to reach many at once, perhaps even letting you infect entire countries with your bigotry, fetishes, beliefs or some other twisted opinion you have. It’ll take quite a bit of work to get that far and not visibly following what you preach yourself makes you a lot less effective.</t>
  </si>
  <si>
    <t>The Golden Ending</t>
  </si>
  <si>
    <t>This is it Master/Madame, the happily ever after that every Harem Protagonist dreams of achieving. You’ve reached the “marry them all” stage in your journey where your entire harem is in love with you (and possibly each other) and everyone is happy to share, or if you haven’t yet then you will eventually. Once you’ve reached this ideal state nothing short of deliberate abuse or neglect on your part can make the members of your harem break up or fall out of love with you or with each other. New girls will be welcomed into the fold by their elder sisters rather than shunned or rejected, though this doesn’t guarantee a lack of personality conflicts. Even if you vanish for a hundred years or do a stint as an evil overlord they’ll all continue to love and support you, if perhaps from a distance, until you return to them.</t>
  </si>
  <si>
    <t>A Very Thorough Polishing</t>
  </si>
  <si>
    <t>When you touch and handle a sentient item, the sensation translates to touching their spirit form. The exact nature will vary depending on the item’s features. Holding a sword by its handle might only translate to holding their arm or hand (how lewd), while giving a sword’s blade a polish with an oily cloth could make them feel like they’re getting a rub-down with lotion. You can probably guess how carefully maintaining and grinding the blade’s edge and tip with a well-lubricated whetstone feels for them.</t>
  </si>
  <si>
    <t>I Seduce the Darkness</t>
  </si>
  <si>
    <r>
      <rPr>
        <sz val="13"/>
        <color theme="1"/>
        <rFont val="Calibri"/>
        <family val="2"/>
      </rPr>
      <t xml:space="preserve">Let’s be blunt. There are a lot of things out there that might not find you anywhere on their “would bang” list. And some things that lack that list altogether. As that would be a massive hamper on your fun, this Perk makes it always possible for you to make the proper persuasive moves to worm your way into something’s good graces, at least in terms of lust. If it has sapience, you can seduce it, no matter how alien, eldritch, or incomprehensible it might otherwise be to you. Doesn't help you actually </t>
    </r>
    <r>
      <rPr>
        <i/>
        <sz val="13"/>
        <color theme="1"/>
        <rFont val="Calibri"/>
        <family val="2"/>
      </rPr>
      <t>do</t>
    </r>
    <r>
      <rPr>
        <sz val="13"/>
        <color theme="1"/>
        <rFont val="Calibri"/>
        <family val="2"/>
      </rPr>
      <t xml:space="preserve"> it though.</t>
    </r>
  </si>
  <si>
    <t>All in the Panel Work</t>
  </si>
  <si>
    <t>This world has a pretty clear bias on where it wants your eyes to linger. Even if you’re a 10/10 all around, this perk ensures that those who find you attractive will have their gaze gravitating to certain parts of your body. By default, this focuses on your feet, and to a much lesser extent your whole lower body. You may choose a different part of your body to emphasize on purchase.</t>
  </si>
  <si>
    <t>Internal Radar</t>
  </si>
  <si>
    <t>The problem with masquerades, conspiracies, and dark underworlds is that it’s all kinda supposed to be secret. How are you going to meet some fanged sweetheart when she probably doesn’t even live in your town? 
This allows you to have an internal radar allowing you to get a vague idea of where to find the archetype you’re looking for. You can pick three archetypes, and they can be as vague as vampires to specific as single mothers. Once a month, you may change one of these archetypes.</t>
  </si>
  <si>
    <t>Normie Filter</t>
  </si>
  <si>
    <t>Many people are quick to judge others for their tastes in bedroom activities, and it can be hard to put yourself out there and admit to liking the things you do if you have a fear of rejection. Well worry no longer: you have an accurate sense for when a person is into or at the very least tolerant of your fetishes, regardless of what those fetishes may be. By judging their reactions to related topics you can accurately discern whether a person is faking interest or concealing it as well as gauge how likely they are to enjoy more specific types of play within that fetish. It’s still up to you to get their consent for those activities however.</t>
  </si>
  <si>
    <t>Ren's Collar</t>
  </si>
  <si>
    <t>A simple leather collar with a fine gold chain, it’s a very pretty decoration. It also has a subtle effect that charms individuals around you. While you can’t literally control them with said charm, they seem to favor you a bit more. Good for calming others and getting the upper hand in negotiations.</t>
  </si>
  <si>
    <t>"Sacred Sword"</t>
  </si>
  <si>
    <t>Much like with the original Hero and the Demon Lord, you just stand out to lustful people. The more interested someone is in sex, the more attention grabbing you become to them, and the fewer objections they’ll have to fucking you. This effect is increased on those who are your enemies.</t>
  </si>
  <si>
    <t>Alicia’s Admirers</t>
  </si>
  <si>
    <t>Appointed by the Goddess Celestine the Princess Knight and following the incredibly noble task of protecting the kingdom from the depraved and monstrous forces of the Legion it is no surprise that they are well loved by their followers. Even if you are not a Princess Knight you will find that you can easily gain the love and affection of your followers and people, especially if they see that you actually care about them. 
Very good for becoming an incredibly popular figure in the lands you rule, probably less than good when you're infatuated followers betray you and the country in order to claim you sexually for themselves.</t>
  </si>
  <si>
    <t>All Might Hoodie</t>
  </si>
  <si>
    <t>Supremely comfortable, warm, and never seeming to get dirty, this limited edition paraphernalia that slightly resembles the number 1 Hero of Japan is sure to draw the eyes of those around you...oddly enough those eyes mostly belong to the fairer gender admiring your physique but occasionally you do meet some dudes who just think your hoodie’s cool. If damaged or destroyed a new one is sent to your current residence/storage.</t>
  </si>
  <si>
    <t>Bedpost Notches</t>
  </si>
  <si>
    <t>It seems that, at least in terms of getting laid, success breeds success for you. Each sexual encounter you have with a different individual fractionally improves your seduction skills. Similarly for each different individual you have performed a specific sexual act with, everyone else becomes a fraction more amenable to the same thing once you have seduced them.</t>
  </si>
  <si>
    <t>Bedroom Eyes</t>
  </si>
  <si>
    <t>If you’re here, then you’re probably the type to think ‘Ay bby want sum fuk?’ to be a great pickup line. Thanks to the wonders of magic, you can skip right past even that part. Just eyeball someone and bestow upon them the instant realization that you want to bang. This power will work on anything that has a mind, no matter how eldritch, alien, or broken it may be.</t>
  </si>
  <si>
    <t>Beneath the Mask</t>
  </si>
  <si>
    <t>Society has convinced a lot of people that erotic desires are “improper” and “unbecoming of a lady” and so on, but society can’t change human biology. People are naturally wired to love sex and pleasure no matter how much they might try to pretend otherwise, and you can easily see through the excuses and false fronts they put up to hide their true feelings from you. You can always sense when a person has romantic or sexual interest in you, and you have an accurate sense for the subtle tells a person gives when “no” actually means “yes”. As long as you heed this unspoken consent your partners will never treat sex with you as rape after the fact, regardless of whatever protests they might make as you ravish them.</t>
  </si>
  <si>
    <t>Born to be Lewded</t>
  </si>
  <si>
    <t>Haydee</t>
  </si>
  <si>
    <t>Well, I can’t see how this would help you here, but, granted, whomever designed the Haydee units certainly had exquisite taste. Ahem, this Perk grants you the ability to get stuck in people’s heads, in the erotic fantasy kind of way. A stranger passing you in the street, supposing you survive this experience, wouldn’t even know your name, and yet they would be fixated on you for weeks just from the sight. If they were of an artistic bent, ream after ream of lewd art, of you. As a potential mercy, you can toggle this Perk.</t>
  </si>
  <si>
    <t>Chance Encounters</t>
  </si>
  <si>
    <t>The Shepherds are tied together by bonds of trust and friendship crossing race, class, and nationality, but before those bonds could be forged they had to find each other first. You have extraordinary good fortune in meeting new friends, whether it’s a mysterious stranger lying unconscious by the road who happens to be a magnificent tactician or an enemy soldier who could become the love of your life if given the chance. Fate conspires to arrange meetings between you and these potential allies and helps to ensure that your first meeting is a friendly one. Even in the chaos of battle with enemies all around you, you’ll somehow always manage to run into the one soldier who wants to defect without accidentally cutting her down first.</t>
  </si>
  <si>
    <t>Charming</t>
  </si>
  <si>
    <t>There’s just something about you that tends to bring people in, Master/Madame. You have a charming nature that can allow you to seduce anyone you like, though it has a magnified effect when you’re trying to seduce people younger than you are. You’re guaranteed never to stumble over your words, as well finding the right ones in a given situation, making you a pretty effective intermediator. People just seem to get along around you, even when the personalities surrounding you might threaten to be quite volatile when mixed into a room together.
To top it all off, you also gain a natural kind of confidence when dealing with people or situations, giving off a dependable air that’s sure to make you quite popular.</t>
  </si>
  <si>
    <t>Cheesy Love Expert</t>
  </si>
  <si>
    <t>You know all of those groan-worthy stunts that get pulled in romantic comedies? You know, showing up outside a girl’s house and holding up a stereo... sappy stuff like that. You are now an expert at all of that. And as long as your intentions are upright, they will never be taken as creepy or offensive.</t>
  </si>
  <si>
    <t>Cold and Wrathful</t>
  </si>
  <si>
    <t>You have the bearing of a true lord of the night and a melodic, sexy, and commanding voice along with (optionally) a pleasantly exotic accent that sounds unidentifiably foreign no matter where you are. Even under pressure, you can maintain a steely gaze and calm demeanor. Anyone with the slightest of submissive tendencies won’t be able to help but need to repress a shudder at the thought of you dominating them.</t>
  </si>
  <si>
    <t>Cool Uncle</t>
  </si>
  <si>
    <t>It can be hard connecting with the kids these days with their crazy fads. But the younger generation considers you to be almost one of them, an older and more experienced friend who they can come to with their problems. Or they might just want to hang out and play video games. In fact, they wouldn’t even be opposed to dating you. After all, you aren’t some old fogey. To them you’re a mature and trustworthy adult who would be an excellent teacher for their first romance or first roll in the hay.</t>
  </si>
  <si>
    <t>Dapper Gent/Dame</t>
  </si>
  <si>
    <t>You know what is severely under-rated in this day and age? Class. Every Guardian is too busy running hither and yon, chasing that next hottest piece of loot to just take a moment and, breathe. You are not that kind of person, and believe me, it shows in this world. You’ve got the presence of a royal, always poised and dignified under pressure of any kind.</t>
  </si>
  <si>
    <t>Escaping the JNPRzone</t>
  </si>
  <si>
    <t>What is wrong with the boys at Beacon that they can’t notice the gorgeous babes throwing themselves at them? At least you don’t have that problem. Rather than futilely dropping hints at an oblivious teammate, you know how to smoothly transition from friendship to fuck buddy, or a real relationship if that’s what you’d prefer, and how to easily maintain a friendship after making a failed pass or turning someone down.</t>
  </si>
  <si>
    <t>Family Tradition</t>
  </si>
  <si>
    <t>There are some uncomfortably sexual family arrangements in this manga, not the least of which is Emi-sensei and her mother. But now, you find opportunities for such relationships popping up; people who are related to you are more open to the possibility of incestuous relationships, and the problems that ordinarily affect such affairs simply don’t occur.
As a side note, massaging a woman’s breasts on a regular basis will now prevent them from sagging.</t>
  </si>
  <si>
    <t>Fe Fi Fo Fum, I Smell the Blood of a Fresh Vir-gin</t>
  </si>
  <si>
    <t>Dragonspawn can only be made with the body of a virgin - or perhaps that’s just the pride showing itself? Regardless, your nose is right on the dot when it comes to these things. You can smell her virginity, how ‘ripe’ she is - or how long it will take for her to grow into it - and even things like how many children a woman has, or how recently she laid with a man. It seems like you can extract months worth of information on their ‘habits’ with just a whiff.</t>
  </si>
  <si>
    <t>Fraternize Away</t>
  </si>
  <si>
    <t>You will never get in trouble for the non - hostile relationships you have with others in your workplace, regardless of if these relationships are romantic, sexual, or purely friendly, whether they be with coworkers, subordinates, or your superiors.</t>
  </si>
  <si>
    <t>Friendzoned for the Win</t>
  </si>
  <si>
    <t>Since you’re not really into that whole dating / sex thing, you’re exceptionally good at getting people to view you as a friend, possibly even a lifelong one, and sharing all the details of their romantic / sexual life with you as if you’re a trusted confidant.</t>
  </si>
  <si>
    <t>Hubba-Lubba-Bubba</t>
  </si>
  <si>
    <t>The art of seduction in the world of Paccsu is something that can be said to be a bit lacking. Unlike other similar settings there doesn’t seem to be any suave masters of the art of flirting with dozens of potential suitors in the wing with the most anyone seems to be capable of are cheesy pickup lines. But who's to say that the cheesiness doesn’t have its own amount of charm and by taking this perk you’ll be on your way to filling that empty niche.
Now not only do you gain practical base level skills in the various intricacies of flirting and romance, like how to hold a conversation, how find out someone’s likes and wants with choice questions, and other such things, you also have a strong gut instinct on how to go about it with the various different people you meet. Whether that be how to butter up a shy introvert and pull them out of their shell, how to keep up with a bubbly and outgoing hobbyist, or how to stealthily pepper flirting and compliments into the “arguments” you have with someone who seemingly hates your guts. But the thing that gets improved the most is your ability to come up with cheesy, but highly effective pickup lines which also comes with a well of confidence and courage to silence any embarrassment.
And when you make use of these lines people never seem to react too negatively to them even if they get graphic. Though the people you use them on will get into it, and thus be more affected by your pick up lines and flirting, if you target/compliment parts of them they are proud of or that you truly find sexy about them.</t>
  </si>
  <si>
    <t>Innocently Lewd</t>
  </si>
  <si>
    <t>A demon doesn’t know how to act human, mostly because they aren’t one. It really should come as a surprise then, that a demon is capable of stoking lusts into raging fires with little effort… by accident. Well, humanity has always wanted what it can’t have. Regardless, you have a simple switch in your head. When it’s on, every move you make, every word you say, every breath you take becomes excruciatingly sexy. When it’s off, you’re back to normal. Beautiful still, but not so much that they pop a boner just from looking at you.</t>
  </si>
  <si>
    <t>It's a Competition! Maybe!</t>
  </si>
  <si>
    <t>Many of the children of the Shepherds came back from Grima's terrible future in order to be reunited and become closer to their parents, but none of them imagined they might wind up sharing a bed with them. Whenever you seduce someone, their daughter (or mother, or sisters) start to feel a strong attraction to you as well, enough that with only a few small pushes you can get them in bed as well. Similarly it seems that once bedded by you little things like incest taboos seem to not be a bother to them anymore and they have no problems sleeping with you together and in fact seem to greatly enjoy the family 'bonding' to such an extent that its rarer for you to sleep with only one of them rather than all. This perk’s effects only target members of your preferred gender.</t>
  </si>
  <si>
    <t>Locket</t>
  </si>
  <si>
    <t>This locket contains a portrait of your one true love. Or at least the one foe or victim that you’re most obsessing over at the moment. The picture inside changes to show their current state and surroundings, and brooding over the image will produce a small tug in your mind in the direction your prey is relative to you.</t>
  </si>
  <si>
    <t>Love at First Sight</t>
  </si>
  <si>
    <t>It’s said that every journey begins with a first step, and whether that step is a good one or not can set the tone for the whole trip. This is no less true for relationships than for anything else. Luckily, you have a gift for starting things off on the right foot: whether you’re starting a new job or making new friends or meeting a destined lover for the first time, everything just seems to go exactly the way you need it to in order to make a good first impression on people. You’ll never fumble your words or trip over your own shoelaces ever again (unless you meant for that to happen, some girls are into cute clumsy dorky guys after all)... at least, not at first. After step one it’s all on you to maintain that positive impression.</t>
  </si>
  <si>
    <t>Mind the Gap</t>
  </si>
  <si>
    <t>You have a way of bringing out the “gap moe'' in others. This could be something intangible, like a hobby, quirk, or personality trait that normally stays hidden. It could also mean catching them in unexpected scenarios, like spotting a normally reserved girl wearing a risque bikini at the beach. What you find will always be in some way charming. This doesn’t guarantee your involvement, just that you’ll be around to witness it.</t>
  </si>
  <si>
    <t>Networking</t>
  </si>
  <si>
    <t>The Internet is a fantastic thing, isn’t it? No matter how depraved you are, you can always find other people who share your kinks, no matter where you are in the world. Of course, you have to find those people on the web first, and this perk will help you do just that. It’s now child’s play for you to connect with, and if you want, to set up real-life meetings between yourself and other like-minded individuals, or the opposite side of the fetish, even across the world. Internet dating made easy.</t>
  </si>
  <si>
    <t>Nice Guys Finish First</t>
  </si>
  <si>
    <t>Whenever you do something nice for someone, or treat someone with respect, they’ll be much more likely to willingly have sex with you. This does not apply if your only motivation for this treatment is to get them to have sex with you, but does apply if getting them to have sex with you is not your sole motivation. As long as you can legit say it wasn’t your only motivation, you’re golden.</t>
  </si>
  <si>
    <t>Nii-chan no baka!</t>
  </si>
  <si>
    <t>Even if you tease and torment someone, so long as you genuinely do feel affection for them, they will never let this boil over into actual dislike. At worst, you’ll definitely have a rowdy tsundere on your hand, but there will always be a dere side to it.</t>
  </si>
  <si>
    <t>No Shame to be Found</t>
  </si>
  <si>
    <t>A strange body and strange kinks tend to go hand in hand here. When it comes to you, sexual partners always seem willing to cooperate with any fetishes of yours that aren’t any more harmful than standard S&amp;M play. They’ll even start to get into it themselves, though this usually doesn’t manifest in a long-term fetish. Whether your fetish involves projectile egg-laying, or shoe-making, your partner wouldn’t even think of shaming you for just liking what you like. It’s another story if those tastes aren’t exactly legal.</t>
  </si>
  <si>
    <t>Open Heart</t>
  </si>
  <si>
    <t>It can be good to let others know how you feel about things without saying it, right? You can open your heart to others, so they’ll be able to work out your emotions – so they know they might need to make the first move or understand your intentions, or you can close it to keep your feelings locked away.</t>
  </si>
  <si>
    <t>Pervert Detection</t>
  </si>
  <si>
    <t>This world is filled with degenerates who long for sex, any kind of sex, from anyone. You have a preternatural ability to locate such people. You can immediately tell from looking if someone would be opposed to you molesting them or if they’d just take it, whether they’d be fine with you doing everything up to penetration before objecting, or whether they’d accept absolutely anything you did to them. Excellent for picking out targets who won’t raise a fuss over you fucking them.</t>
  </si>
  <si>
    <t>Please Come Again</t>
  </si>
  <si>
    <t>Maybe this isn't your first trip? Or did you simply do research beforehand? Anyways, as you might imagine, there is a large number of people here wearing barely covering outfits who want to get laid. However, I bet you didn't know that you have to pay money to fuck the cast/staff of the park. It's the other guests that are free game. Maybe it's as simple as having found a map, but you now have an uncanny ability to find individuals who share your fetishes. For the park, that's mostly just sex sex sex, though something simpler like maybe you just really want someone good at blowjobs is also possible.</t>
  </si>
  <si>
    <t>Please Stop Crying!</t>
  </si>
  <si>
    <t>Women can be so tempermental sometimes, crying at the drop of a hat. And then you say one simple thing and they’re utterly furious with you! ...I think she might be drunk. Anyways, you’ve got something women love in a man - the ability to empathize with them and figure out why they’re sad and or angry. Not exactly a powerful skill, but when her getting angry means that she’s going to go murder a school for someone tripping you it’s best to defuse her fast.</t>
  </si>
  <si>
    <t>Prince Charming</t>
  </si>
  <si>
    <t>You gain a bonus when those that you’re attempting to seduce would be happier being in a relationship with you than with their current significant other. Whether you use this to “rescue” girls (or boys) from abusive relationships or for less noble reasons is up to you.</t>
  </si>
  <si>
    <t>Satan’s Not a Siscon</t>
  </si>
  <si>
    <t>Having someone be attracted to you when you don’t — or can’t — love them in turn can be painful, as Nightmare Mary’s brother can attest. Thankfully, you won’t have to deal with that problem. People you don’t feel attraction to will not feel sexual or romantic attraction to you. On the other hand, if you feel desire for someone you don’t want to be attracted to, you have the ability to just turn it off, and not be attracted anymore. If you were attracted to someone who in turn desired to you, and turn off your own attraction, they will find their affections fading at a rapid but not suspicious rate. If you later turn on your own desire for them again, their own want for you will not magically return; you’ll have to earn it the hard way.</t>
  </si>
  <si>
    <t>Tea Parties</t>
  </si>
  <si>
    <t>People always seem willing to indulge you just a little more than might seem normal. No matter what, someone will always have time to play with you.</t>
  </si>
  <si>
    <t>The Harder they Fall</t>
  </si>
  <si>
    <t>You have a special talent for laying low those who would hold themselves superior to you. The haughtier and more arrogant someone is, the easier it is for you to seduce them. Get someone self - absorbed enough, and they’ll wind up prepositioning you without you even needing to try. Furthermore, the more arrogantly they present themselves, the more sexual pleasure your touch will bring them, until you overwhelm their fragile little minds with pleasure.</t>
  </si>
  <si>
    <t>The Nose Knows</t>
  </si>
  <si>
    <t>You can sense how sexually compatible others are with you through scent. The better someone’s genetics, and the more superior a child they would be able to give you if you reproduced with them, the better that individual smells. “Normal” or “inferior” people won’t smell bad, but people whose genetics would combine with yours the best will smell very, very good. It might well be intoxicating, if they were a good enough match. You can disable this perk if you’d rather keep your senses about you, such as if a cunning enemy happens to have exceptionally compatible genes.</t>
  </si>
  <si>
    <t>The Perfect Gift</t>
  </si>
  <si>
    <t>A gift wrapped package or fancy envelope containing some random innocuous trinket, card, flowers, or candy. Give this to a girl and it will invariably turn out to be something she would like to receive as a present appropriate to the circumstances. If you go the extra mile to research her preferences and pick out something specific and then use this item to gift-wrap it then the effect will be enhanced. After giving one of these away you can summon a new one to gift again to another girl you know, but you can’t stockpile them. You are also protected from accidentally giving the same gift to more than one girl at a time, unless they’d actually like receiving matched sets.</t>
  </si>
  <si>
    <t>The Throne</t>
  </si>
  <si>
    <t>Whether or not you’re an actual king yet is beside the point, every true demon king deserves a nice throne to sit on and this is one of the comfiest and highest-quality chairs you could ever find. You gain a boost to your charisma and intimidation efforts while seated on this throne, and unless you wish otherwise it will usually assume a form suited to its surroundings. A reincarnated princeling living with his mortal parents might find it disguised as a fancy recliner or office chair, while a medieval warlord will find it as a luxurious and extravagant throne, and so on.</t>
  </si>
  <si>
    <t>Travelling Companions with Benefits</t>
  </si>
  <si>
    <t>And while you’re on the road to becoming the very best like no one ever was, you may find yourself in the middle of nowhere with a cute girl - or a guy, I try not to judge - and you’d think that would be the perfect opportunity to bond and become more than friends. And luckily for you, you’d be right. Long journeys through the middle of nowhere are the perfect to get down and dirty with your companions. Why this works I don’t know, but being a hundred miles from civilization drastically enhances your charisma and sex appeal.</t>
  </si>
  <si>
    <t>Victim's Day Planner</t>
  </si>
  <si>
    <t>After writing down your current target’s name on the cover of this day planner, it will fill out to give you what they’re planning to do at any date and time over the course of the next week.</t>
  </si>
  <si>
    <t>Vulnerable Vixen</t>
  </si>
  <si>
    <t>My, what a cunning move for such humble prey. The more that someone is ‘above you’ in station, power, or both, the more they want to keep you. Keep you safe, sane, and sated, that is. This effect grows with the perceived disparity in power, with the most potent of powerful ponies being drawn to you like flies to honey.</t>
  </si>
  <si>
    <t>Your Love Makes it Better</t>
  </si>
  <si>
    <t>Yurisekai</t>
  </si>
  <si>
    <t>With the curse being what it is, there are quite a few people who suddenly lost family members - mostly men, because the curse isn’t fatal to women - and are in grieving as a result. I won’t say that you have an easy time taking advantage of these women, but you do have a knack for soothing their pains and helping them move on. Part of that is physical affection, the simple feeling of intimacy without much in the way of expectation, but the rest? The rest is some incredibly cheesy and cliche lines that you’ve probably used in your works at least once before. Turns out, they actually work. Put the two of them together, and your presence ends up being oddly calming to those in pain, regardless of if you actually put the moves on them.</t>
  </si>
  <si>
    <t>“Why am I so fucking turned on right now?”</t>
  </si>
  <si>
    <t>People find the idea of you getting around to be really hot. Your promiscuity just increases your attractiveness to other people... even the perception of promiscuity, or even if they just invented you sleeping around with people in their own head without any basis.
Furthermore, other people won’t let their pre-existing relationships get in the way of acting on any attraction they may feel for you—and the people in those relationships don’t seem to mind that their own significant other did anything naughty with you. It just never seems to be a particularly important problem.</t>
  </si>
  <si>
    <t>A Deal was Made</t>
  </si>
  <si>
    <t>The Overmind is an immortal tyrant, an incarnation of evil fought again and again by the people of the free world. But occasionally he does show noble traits to make people wonder about his evil nature. He is not known to break his word, for one.
With this, your more positive traits stand out a bit more. You just seem trustworthy enough for people to make a deal with, even if you're a known evil tyrant, encouraging people to try and negotiate. Actually sticking to your word also tends to work out well for you. Agreeing to leave a girl to your new ally instead of taking her for yourself as a sexslave just means that you’ll eventually get them both, once your "ally" sees how good it’d feel to give in.</t>
  </si>
  <si>
    <t>A Hero's Might</t>
  </si>
  <si>
    <t>It shouldn’t be a shock that great warriors are fervently admired and desired for their incredible strength, both on the battlefield and in the bedchambers. Your great strength makes you seem far more appealing to your preferred gender, your chiseled muscles and effortless exertions drawing the eye and lighting fires in the loins of potential partners. Those who feel your strength firsthand are especially affected: whenever you win contests of skill or strength your victory also wins you the affection or respect of the loser, and to greater degrees based on the magnitude of the defeat and the stakes of the battle. A close match during a friendly spar might only earn you your rival’s respect, but sparing an enemy’s life after dealing them a crushing defeat on the battlefield could easily leave them awestruck, or even lovestruck under the right conditions. Sworn enemies and those who oppose you personally are less affected by this perk, but even they will come around to respecting you after being defeated, if only grudgingly.</t>
  </si>
  <si>
    <t>A Jolly Good Rogering</t>
  </si>
  <si>
    <t>When you can't get away it can be better to think about the aftermath and how best to take advantage of it. The more sated or exhausted your or your sexual partners are by sex the more likely they are to leave you unharmed and to overlook details which will allow you to get away. A tentacle monster might abandon you passed out in a pool of fluids rather than eat you while the prison guard who just got a legendary blowjob from you is likely to forget to lock any doors when he staggers home.</t>
  </si>
  <si>
    <t>A Royal Affair</t>
  </si>
  <si>
    <t>Behind every great king is an equally-gifted tactician, advising them on matters of state and guiding them to victory in times of war. Some might even call a great tactician the true power behind the throne, and in your case that’s no exaggeration. You’re a gifted vizier able to easily gain the trust of royalty, nobility, and others in powerful positions simply by demonstrating your talents to them. You could gain the confidence of a queen after a single display of your skills and cement your influence over her simply by continuing to counsel and instruct her, and the longer you serve your patron the greater your influence becomes. After a year at most, and much less if you’re actively working toward such a thing, you could have your patron utterly subjugated, head-over-heels in love, and obeying your every command like a well-trained pet. But you’d never abuse the trust of your beloved monarch, would you?</t>
  </si>
  <si>
    <t>Ace Wing(wo)man</t>
  </si>
  <si>
    <t>Your friends (and lovers, if you are in an open relationship) will not only encourage you to have sex, but will actively try to set up scenarios to get you laid, regardless of their own views on pre- or extra-marital sex. Neither they nor anyone else will view this as being counter to their normal opinions regarding sex.</t>
  </si>
  <si>
    <t>Adorable Crybaby</t>
  </si>
  <si>
    <t>I’m sorry for being so forceful with you Master/Madame, but it’s getting harder to control myself around you~ You emit a (togglable) submissive aura that makes you irresistible to sexy dominant types, drawing them towards you like moths to a whimpering flame. Their desire to have sex with you seems to be directly correlated to how dominant their outward personality is, and how outwardly submissive you behave. Does not apply to anyone you wouldn’t be outwardly attracted to.</t>
  </si>
  <si>
    <t>Aiming</t>
  </si>
  <si>
    <t>Determining where your target is basic stuff. The real experts focus on how their targets move. This means that their attacks are more likely to be in the right place when they get there. You are an expert at this, making you excellent at all sorts of naval gunplay. 
It also applies to seduction. Love and war do have similarities. You’re more skilled at predicting how someone will react to different approaches, allowing you to develop a more accurate “firing solution” before shooting your shot.</t>
  </si>
  <si>
    <t>All a Part of the Procedure</t>
  </si>
  <si>
    <t>Screwing with their head to screw with them once things have gotten going is all well and good, but you need a way to actually get there. Other than force. With that in mind, you are now... exceptionally talented at bluffing. Read that as ‘pulling bullshit out of your ass’. This makes you rather good at taking advantage of the innocent young maidens who cross your path. Yes my dear, I AM certain that a blowjob is a valid medical procedure.</t>
  </si>
  <si>
    <t>An Inspiration to us All</t>
  </si>
  <si>
    <t>As someone who has ‘have sex’ as a significant portion of their job, it should come as no surprise that people are a little leary of doing it with you. After all, fucking the cast costs, while the other guests are free. On the other hand, as someone whose job is to have sex, you can be damn sure that you’re amazing at it. So much so that anybody watching you while you have sex will rapidly become extremely horny. Well, they probably already were, but now they’re even more so. Just the push they need to pay for a member of the cast, no?</t>
  </si>
  <si>
    <t>Are You Perhaps My Fan?</t>
  </si>
  <si>
    <t>An idol lives and dies by the support of their fans, so it pays to be able to recognize one. You can immediately determine what other people’s opinion of you is, and how much they like you—both how much they like you as a person, and how much they like the persona that you play.</t>
  </si>
  <si>
    <t>Chieftain Urbosa was everything the gerudo ever wanted in their champion: domineering, amazonian, and blessed with a cock that made moblins cry with envy, or at least that’s how she’s remembered. It’s easy to see why such proud warriors would value such things but for you it seems everyone finds them appealing. You have what can only be described as big dick energy, an impressive aura of strength and virility which bolsters your charisma, and the bigger and stronger you are (and the bigger your cock is, if you have one) the more charismatic you become. Whether people find you incredibly attractive or intimidating or both at once, this animal magnetism makes you a natural leader for anybody who’s smaller or less well-endowed than you are, and if there’s any debate on the matter you can put it to rest by crushing your challengers in any sort of physical competition, reducing them to horny simps like the rest of your minions. Note that you needn’t be huge and well-hung to benefit: an amazonian MILF and a young man who’s hung like a bull will both benefit based on their respective strengths, not whichever quality they lack.</t>
  </si>
  <si>
    <t>Boundries</t>
  </si>
  <si>
    <t>The problem with giving up control is that there's no guarantee your partner won't go too far, or is in and of themselves too much for you to handle. Saying that you have the sexual stamina of ten men is great, until you meet someone with the stamina of one hundred and they all but fuck you to death trying to get off to their satisfaction. Luckily, that’s not something you often have to worry about. Your partners are exceptionally mindful of your limits - both social ones, like simply not desiring to perform a specific act, and physical ones, like being incapable of fully taking them inside of yourself. It doesn’t particularly matter if this is your actual lover or an ancient demon looking for a mortal to play with, though I will admit the second is far more likely to acknowledge your limits and then pass them anyways.</t>
  </si>
  <si>
    <t>Cheeky Pry</t>
  </si>
  <si>
    <t>Be it by humor or other means, You have a talent to appear very likable, making hunters more likely to pick you than others if they want a good time, less likely if they actually look for someone to hurt and anyone much more likely to go easy on you after the catch.</t>
  </si>
  <si>
    <t>Confession</t>
  </si>
  <si>
    <t>Sometimes, people need someone they can talk to. Someone they can come to for help. Now, they’ll have an easier time opening up to you about problems they have outside of schoolwork. Help them with this, and their devotion towards you will grow. Betray this confidence, and watch them withdraw.</t>
  </si>
  <si>
    <t>Cool and Close</t>
  </si>
  <si>
    <t>You have a very seductive manner to you, such that the targets of your affection get flustered and find it difficult to resist your close contact. Even if they are unwilling, they are more likely to run away than fight (and they usually don’t flee right away). However, if you push enough of the wrong buttons, your quarry might finally decide to fight back. This also makes it easy for you to stroll right up to targets before they even notice you, allowing you to get close and personal before they can object.</t>
  </si>
  <si>
    <t>Dominant</t>
  </si>
  <si>
    <t>In your hands, sex is both a weapon and a reward - the figurative carrot and the stick rolled into one. Manipulating and coercing other people with it comes naturally to you, whether you have a foot-long monster cock or not. Extracting information, punishing misbehaviour, and ensuring your slaves remain complaint is simply made all the easier with a solid fucking.</t>
  </si>
  <si>
    <t>Domino Effect</t>
  </si>
  <si>
    <t>You know how that works, right? You push one over, it pushes the next which pushes the next which pushes the next, so on and so forth. Well with you, it’s not made from dominoes but from people. Make a friend and their friends and family will like you more. Sleep with something, and you'll find their sisters, mothers and friends slipping into bed with you. Reduce a woman to a living sex toy and those that knwo here will crumble all the more easily.</t>
  </si>
  <si>
    <t>Entourage</t>
  </si>
  <si>
    <t>Seems we’re taking ‘animal magnetism’ nearly literally. Taking this Perk endows you with a passive knack for gathering “groupies” inclined to either simply wait on you or offer a bit of sexual release. Male or female as your preference dictates, these individuals will each be roughly one tenth as powerful as you, setting allowing for such (and assuming you don't make them named characters), and will defend you right up until they start getting killed.</t>
  </si>
  <si>
    <t>Ero Manga</t>
  </si>
  <si>
    <t>This is a large cache of hentai manga. Like, a lot of it. The quality is exceptional in both story and art, and even if you ignored the eroticism of it, they would always make for a pleasant read. But the erotic aspects are themselves incredible, and patently amazing even to someone who can’t read. It covers a variety of topics, but all of them are things you would find appealing. If someone else reads this hentai, the likelihood of you having sex with them at some point in the future increases.</t>
  </si>
  <si>
    <t>Everyone's Fetish</t>
  </si>
  <si>
    <t>Size doesn’t matter? Whoever said that wasn’t a hyper. You’ll find that most people are into size. The bigger you get, the more aroused they get and you’ll be ready to scratch that itch real good.</t>
  </si>
  <si>
    <t>Expected Expectation</t>
  </si>
  <si>
    <t>You’re a social butterfly that all but the most unreasonable people will struggle to dislike. You could be on close terms with every single club in a month, even if you didn’t join any. Rather than repelling others, your extreme quirks are often interpreted as a point of charm, even if anyone else doing the same would be seen as a pervert.</t>
  </si>
  <si>
    <t>First Time is Free</t>
  </si>
  <si>
    <t>Virgin, high schooler, or just a plain pervert, people of any world are oddly open to the idea of paying you for sexual services, assuming they know it’s on the table.</t>
  </si>
  <si>
    <t>Haunted Television</t>
  </si>
  <si>
    <t>You found this old thing at a garage sale after your old one broke. It belonged to an some highschool girl who was tragically hit by a bus. It’s also haunted by the ghost of said girl. Any women who watches this television is cursed with her dying wish - not dying a virgin. As a result, they’ll slowly start trying to get in your pants over the next hour or so. In addition, she can optionally strip the clothes off any character on the screen.</t>
  </si>
  <si>
    <t>It's Perfectly Normal</t>
  </si>
  <si>
    <t>Through inclusion in pervy acts with you, whether loaning them a magazine, or something more intimate, you can ignite the spark of perversion in even the most stubborn prudes. The change may or may not be a lasting one, but their attempts to suppress it will only make the impending lust-induced outburst more intense.</t>
  </si>
  <si>
    <t>My Hero!</t>
  </si>
  <si>
    <t>Whether it’s some asshole trying to NTR your wife or some unscrupulous bastard trying to get lucky with your daughter, there’s seemingly no end to morons willing to do stupid shit because they think they can get away. Even Chaldea isn't free of such bad apples. Thankfully, you're something of a Knight in Shining Armor; able to make quite an impression when you swoop in to save the day. Even if you were some towering monster that seemed more likely to tear people apart than comfort scared little girls, your noble nature shines through; ensuring that such scared or scarred victims will know to latch onto you for safety rather than lash out or flee. If anything, that fresh coat of their victimizer's blood may be just the thing to help them realize the nightmare is finally over. Moreover, the greater the plight you save them from the easier you'll find it to grow closer to them; earning their trust and affection in equal measure after your daring feats, making it all too easy to wipe away their tears and help them find peace or perhaps nurturing it into true love.</t>
  </si>
  <si>
    <t>New Best Friends</t>
  </si>
  <si>
    <t>When you’ve got that itch that needs scratching, Rangiku would probably tell you to head to the nearest bar and let someone order you a drink. That’s what she does more often than not, after all. Like her, when you’re in the mood for a partner for tonight only, you put out a faint aura of “please fuck me” that draws in all sorts of partners like flies to honey. At the same time, when morning comes, if you never want to see them again then that same aura will cause you to sort of slip past each other when you would otherwise cross paths again.</t>
  </si>
  <si>
    <t>Pheremone Mushroom</t>
  </si>
  <si>
    <t>Maybe you feel the need to step it up a notch to seduce that cute Hunter chasing you? Or how about that regal Teostra? Either way, this little pink mushroom (sold in bundles of six weekly) will amplify your natural sexiness by a solid fifty percent. If they were the type to be interested in you, they’ll be putty in your claws unless possessed of amazing willpower.</t>
  </si>
  <si>
    <t>Pierre's Own Luck</t>
  </si>
  <si>
    <t>It's one thing to charm yourself into somebody's pants, it's another thing to have the kind of charisma and sex appeal to smooth-talk your way into into a threesome, especially if the people you’re asking aren't necessarily a couple, don't really swing that way, or maybe they just hate each other, or have some other kind of weird sexual taboo that would normally prevent them from sleeping with each other. In addition to being so massively charming and sexy you can literally do just that, whether working individually or two at a time, you're able to use threesomes as a method to convince nearly any two people to sleep with you.</t>
  </si>
  <si>
    <t>Please Cum Again</t>
  </si>
  <si>
    <t>Girls treated for Lewd Mist Exposure tend to seek out their rescuers to experience the ‘treatment’ again. This perk greatly increases the chance for people that you have sex with to come looking for another round. You definitely aren’t lacking for casual sex partners with a job like yours.</t>
  </si>
  <si>
    <t>Plot Twister</t>
  </si>
  <si>
    <t>You can’t let yourself be someone’s toy forever. You need to rise up, but when sex is your only weapon, you learn to make due. Now, you’re able to flip the tables on any power dynamic, by dominating those currently above you sexually. Whether they’re a sadistic bully or an unreasonable boss, they won’t be able to look down on you once you put them in their place with your body. This only affects how they feel about you, this won’t affect structural or systemic power they hold over you.</t>
  </si>
  <si>
    <t>Queen Slut</t>
  </si>
  <si>
    <t>All these harpies are drawn to you like honey. Like long lost sisters, women with similar body types and slutty interests as you are lured to your presence. If you happened to be some goblin tribes’ current breeder, you’d be responsible for luring plenty of ultra-fertile goblin-lovers to their hunting grounds without even meaning to. It has a smaller effect on girls that you already know, slowly encouraging their bodies and minds to twist more towards your particular brand of lewdness. By choice, you can have this instead work on the preferences of your current partner slash owner.</t>
  </si>
  <si>
    <t>Sever the Strings</t>
  </si>
  <si>
    <t>Destined encounters, fated lovers... doesn’t it make you sick that magical girls get things handed to them so easily? Well I have good news for you: your otherworldly nature grants you the power to fuck with fate. In each world you visit you seem destined to meet the people you desire most, easily brushing aside any rivals who’d interfere with you. You don’t even need to kill the magical girl’s fairy partner or destined lover to keep them from meeting each other because stuff will just happen coincidentally and make them pass each other by, like ships in the night. In the meantime you can easily slide right into the empty space that person would normally occupy. Instead she’ll run into you and she’ll keep running into you over and over again because you’re the one she’s destined for now. Destined for what exactly? That’s for you to decide.</t>
  </si>
  <si>
    <t>Slow and Sensual</t>
  </si>
  <si>
    <r>
      <rPr>
        <sz val="13"/>
        <color theme="1"/>
        <rFont val="Calibri"/>
        <family val="2"/>
      </rPr>
      <t xml:space="preserve">Of course, if you go too fast then she might get the wrong - well, </t>
    </r>
    <r>
      <rPr>
        <i/>
        <sz val="13"/>
        <color theme="1"/>
        <rFont val="Calibri"/>
        <family val="2"/>
      </rPr>
      <t xml:space="preserve">right </t>
    </r>
    <r>
      <rPr>
        <sz val="13"/>
        <color theme="1"/>
        <rFont val="Calibri"/>
        <family val="2"/>
      </rPr>
      <t>- idea about your intentions. With that in mind, why don’t we start slow. This isn’t really a porn shoot, it’s just a modeling gig. You’ve done those before, right? Similarly, you are excellent at both backtracking if your attempts at leading them into lewdness backfire and disguising those attempts. Give us a twirl and a wink, lean forwards and pout, maybe flash your tits... One thing leads to another, and before they know it they’re sucking your cock.</t>
    </r>
  </si>
  <si>
    <t>Smooth Criminal</t>
  </si>
  <si>
    <t>Despite their loose morals and cheerful disregard for social norms a good Scoundrel is rarely lacking for romantic interests. The old adage about all girls loving bad boys has some truth to it for you because you can even seduce girls who dislike you, even if you’ve given them good reason to do so! You could cheat on your girlfriend, blackmail someone into dating you, or conquer a kingdom and claim the princess as your concubine, and yet when you turn on the charm your “victims” are no less likely to fall for you than anyone else. They might act cold or tsundere towards you at first but be patient and inevitably you’ll win them over even against their better judgement. Just take care not to push your luck: you’re a Scoundrel, not a Monster, and if you’re too cruel to your partners you’ll lose this perk’s protection.</t>
  </si>
  <si>
    <t>Smooth Talker</t>
  </si>
  <si>
    <t>Getting people interested in you is only the first step: once you hook them you’ve got to reel them in. Not only are you charming and charismatic but your roguish charms allow you to leverage your sex appeal into a major advantage when it comes to tempting, manipulating, and seducing the opposite sex. You could easily disarm a haughty tsundere’s temper and turn her into a blushing mess just by flirting with her a little, or negotiate a discount from a cute shopkeeper by offering “alternative” forms of payment. The more attracted to you a person is the more easily they can be tempted and manipulated by your charms, and those who are so far gone that they’ve fallen in love with you can easily be wrapped around your little finger. However those who genuinely dislike you won’t be affected by this perk at all.</t>
  </si>
  <si>
    <t>Support Fighter</t>
  </si>
  <si>
    <t>There might be a better way to make new friends than to fight for your lives together but if there is you haven’t found it yet. You can harness the heat and pressure of battle in order to forge bonds of friendship, brotherhood, or even romance between you and your allies. Results will vary depending on the individual but even someone who doesn’t want to give you the time of day can’t help warming up to you after you’ve saved their life once or twice. Such bonds are also ironclad once forged, requiring a great deal of abuse or neglect on your part to sever them, and your enemies will find it all but impossible to drive a wedge between you and those you care about.</t>
  </si>
  <si>
    <t>Tempting Target</t>
  </si>
  <si>
    <t>When it comes to possessing entities and other such puppet masters, you’re the honey to other people’s vinegar. You’ll find that they practically come out of the woodwork to get their hands (claws, tentacles, non-euclidean body parts with no name, etc.) you, and are far more likely to focus on you in particular rather than someone more unprepared for such an experience. Naturally, you can toggle this off if it gets a bit too much.</t>
  </si>
  <si>
    <t>The Joys of Submission</t>
  </si>
  <si>
    <t>It can feel so good to just... let somebody else take control. When you stop resisting and let someone else have their way with you, the pleasure you experience increases significantly, to the point that you wouldn’t need aphrodisiacs to reach the same highs of pleasure that the heroines in the game did.</t>
  </si>
  <si>
    <t>The Kind Leader</t>
  </si>
  <si>
    <t>There’s a quality about you that attracts people who have troubles or unhappiness in their lives and who would feel all the happier under your leadership. That goes double for those of your preferred gender who are looking for love.</t>
  </si>
  <si>
    <t>The Perks of Heroism</t>
  </si>
  <si>
    <t>A hero’s work is never done, but at least that work is well-rewarded. Whether you’re saving a damsel from becoming a monster’s sex slave or saving an entire kingdom from some terrible calamity, you’ll always be handsomely rewarded for performing good deeds. Grateful quest-givers never fail to compensate you for your services and random acts of heroism carry fortuitous rewards of their own, whether in material goods or other forms of payment. A shopkeep might reward you for your services with free equipment or a steep discount on something truly valuable, or simply invite you to bend her over the counter and have your way with her. If a farmer is too poor to properly reward you for saving his ranch then his lovely daughters might show you their appreciation instead, and raiding a monster lair always seems to turn up a chest of rupees or an amorous damsel eager to reward her savior. Naturally, the grander your deeds the greater the prize you’ll earn: slay a beast like Ganon and you might win a king’s ransom, or a princess’s hand in marriage.</t>
  </si>
  <si>
    <t>The Power of Teamwork</t>
  </si>
  <si>
    <t>Teamwork makes the dream work, and everyone knows that magical girls are powered by hope and dreams! When you’re working together with someone else, you will get to know them much faster than normal, and will easily be able to develop close emotional bonds with them. Your partner shares in this ability; if either of you already held some sort of affection for the other, it would be easy for this to bloom into romantic attraction, if you cared to allow it to. But this is more than just a social perk. When you’re working on a task alongside someone you know well — be the task a class project, a battle against a demon , or a double paizuri — your effectiveness skyrockets. You will intuitively understand what your partner intends to do, and your mind will instantly be able to provide you with the knowledge as to what actions on your part would synergize with their actions to be most effective. This also allows for perfect and instantaneous coordination — you could fight while holding hands with someone, and neither of you would lose so much as a scrap of effectiveness over what would for anyone else be a serious handicap.</t>
  </si>
  <si>
    <t>The Succ</t>
  </si>
  <si>
    <r>
      <rPr>
        <sz val="13"/>
        <color theme="1"/>
        <rFont val="Calibri"/>
        <family val="2"/>
      </rPr>
      <t xml:space="preserve">Did you know being bitten by a vampire is a very erotic experience? When you bite someone, you experience heightened sensitivity to pleasure (and pleasure alone) across your body, allowing you to experience greater sensations than you could hope to know otherwise; while biting someone, they also benefit from this increased sensitivity. These effects are magnified further if you actually </t>
    </r>
    <r>
      <rPr>
        <i/>
        <sz val="13"/>
        <color theme="1"/>
        <rFont val="Calibri"/>
        <family val="2"/>
      </rPr>
      <t>are</t>
    </r>
    <r>
      <rPr>
        <sz val="13"/>
        <color theme="1"/>
        <rFont val="Calibri"/>
        <family val="2"/>
      </rPr>
      <t xml:space="preserve"> a vampire to the point it’s basically a guaranteed orgasm.</t>
    </r>
  </si>
  <si>
    <t>Through Thick and Thin</t>
  </si>
  <si>
    <t>For a city where loyalty can be gained and lost with a paycheck, you have good fortune when it comes to finding people that will have your back. Spend some time with them, and those bonds will deepen. It's small and personal, but human. Something even this hellhole can't completely stomp out of humanity.</t>
  </si>
  <si>
    <t>Trust-Building Exercises</t>
  </si>
  <si>
    <t>More so than many other relationships, a dom’s relationship with her sub is built on a foundation of trust, without which it is doomed to fail. While some doms may have problems acquiring that trust in the first place, for you this is simply not an issue. So long as you intend to play by the rules of safe, sane, and consensual, you’ll find that you have few problems finding partners willing to place themselves in your care, whether they’re actual subs looking for a dom or just curious and experimental normies.</t>
  </si>
  <si>
    <t>Wisdom of the Elders</t>
  </si>
  <si>
    <t>Respect (and sex) boost based on the age difference between yourself and your target. Being less than ten years older than them won't do much but having a solid 50 on them would have the average human hanging on your every word.</t>
  </si>
  <si>
    <t>Would you like to use me too?</t>
  </si>
  <si>
    <t>The life of a whore is a tough one, but you seem to manage. No matter who it is, you will never be put in harm's way simply for making sexual advances on someone. Regardless of what social taboos might divide you, the target of your advances will always seriously consider it, as long as some part of them is interested. This doesn’t protect you from unrelated factors putting you in danger.</t>
  </si>
  <si>
    <t>Xenophile</t>
  </si>
  <si>
    <t>You have a kind of natural charisma that doesn’t effect members of your own species, but draws in alien beings of various sorts. Whether it’s a carnivorous plant monster, a sentient biotech weapon of mass destruction, or one of the fae, the stranger and more alien a being is the more it is naturally inclined to like you. This interest can be platonic, but more often than not it leans toward a romantic interest. This won’t necessarily make them safe to be around, and it won’t inherently make them inclined to respect your wishes, but you can be assured they do hold some manner of affection for you in their own way.</t>
  </si>
  <si>
    <t>All Press is Good Press</t>
  </si>
  <si>
    <t>Be it leaked nudes or a full on sex scandal, far from ruining your reputation, it all simply makes you look better in the eyes of the public. The lewder the better, a titty slip might make you go viral for a bit, but if you film a sex tape the public will go utterly wild. Of course, if you’re caught doing something awful that isn’t lewd, then you can kiss those fans goodbye because this perk won’t help you.</t>
  </si>
  <si>
    <t>Anytime and Anywhere</t>
  </si>
  <si>
    <t>If someone has, at any point in the past, been willing to have sex with you, then they’ll also be willing to have sex with you in any circumstance. It doesn’t matter where they are, what they’re doing, who they’re with, who’s watching, or whether or not they’ve actually given their consent this time, they’ll always be ready to go, and it won’t take much to get your partner hard or wet for you.</t>
  </si>
  <si>
    <t>ASMR</t>
  </si>
  <si>
    <t>Lewd Vtuber</t>
  </si>
  <si>
    <t>Your appearance may or may not be able to turn people on with just a glance but if it can’t your voice will certainly be able to finish the job. Even just hearing you talking actively trying to sound as sexy as you can. You might be able to make someone orgasm from just whispering in their ear and encouraging them to cum for you.</t>
  </si>
  <si>
    <t>Assassin Reformation</t>
  </si>
  <si>
    <t>The Hero was said to have “reformed” several would-be assassins in this manner. By having sex with someone who is aligned in opposition to you or holds some manner of personal grudge against you, you can win over their heart. By showing them passion and pleasure, you can crack open even the coldest soul and wiggle your way into their affections. This won’t instantly turn an enemy into an ally, but it will improve their opinion of you and open up the possibility for a closer relationship.</t>
  </si>
  <si>
    <t>Crude Whispers</t>
  </si>
  <si>
    <t>Rumors of your sex skills and willingness to use them precedes you, always reaching the ears of people that might be interested in them and that you might be interested in yourself, without reaching the ears of people that might disapprove of such things. Expect to be invited to a lot of parties.</t>
  </si>
  <si>
    <t>Elves are for Lewds</t>
  </si>
  <si>
    <t>The most noble of races, the most long lived, the most naturally beautiful, the most gifted in all things. The most arrogant and prideful and will never let you hear the end of their own greatness. Don’t you just want to make them shut up by choking them on your dick? Well, good news. The more supernaturally beautiful something is, and if it’s arrogant enough about it’s superiority, you’ll find them collapsing beneath your advances with even the slightest push. Ancient and wise they may be, but they’ll also cum from a minute of molestation, become addicted to the taste from one blowjob, and your personal sex toy after the first creampie.</t>
  </si>
  <si>
    <t>Everyman</t>
  </si>
  <si>
    <t>Women (or men) just seem to see you as whatever type of role they most desire. To some, you're a jock, to others a quiet, loyal type, and to others you're "Mommy", "Daddy" or “Master”. You can switch between these different roles in a heartbeat, and this perception persists in their minds even when different people are interacting with you at the same time.</t>
  </si>
  <si>
    <t>In the Name of Justice</t>
  </si>
  <si>
    <t>Rance 2 - The Rebellious Maidens</t>
  </si>
  <si>
    <t>Those poor girls, cursed with insanity with the only way to cure them is to rob them of their maidenhood. Luckily for them you’re here there to ‘reluctantly’ have sex with them to free them from their rings influence. Even the prickliest of them, Shizuka, won’t seem to hold any grudge over it, and the less grumpy of them would even grateful that you managed to stop their actions. In fact, as long as there is some greater good to your actions, such as stopping rampaging witches or defeating an evil empire, those around you seem to judge you less harshly for any less the moral actions you would take in pursuit of that goal. You could be a massive pervert trying to have sex with everyone you help but people around you would see you as a noble hero helping others with no apparent gain to yourself.</t>
  </si>
  <si>
    <t>Just Casual</t>
  </si>
  <si>
    <t>If you do decide to have a fling with someone, it will never turn into anything serious if you don’t want it to. If you sleep with a married woman, her spouse won’t care even if he does find out. If you seduce a priest, they won’t be defrocked when their higher ups find out. If you force yourself on someone against their will, they might not be happy with you, but they won’t be traumatized by the action if you don’t want them to be. It’s just casual, right?</t>
  </si>
  <si>
    <t>Love and Lust</t>
  </si>
  <si>
    <t>They are two sides of the same coin, and so it is for you, too. Your sexual actions and comments are perceived to be equally romantic as they are erotic—the filthier, the better. You could tell an elf you wanted them to become your personal pussy, and they’d become the same sort of blushing mess they’d be if you confessed your love to them. Just fucking someone would see you becoming closer as if you’d had a date, and denigrating someone during sex would set their heart aflutter as if you’d whispered sweet nothings into their ear.
If you’d like to have a purely sexual relationship, though, you can toggle this ability on or off.</t>
  </si>
  <si>
    <t>Making Friends Without Influencing People</t>
  </si>
  <si>
    <t>If you want to make someone like you, you can always brainwash them to. But what if their defenses are too strong, or if you just don’t want to accomplish it through mind control? You are exceedingly likable. You have a magnetic personality that people can’t help but enjoy. If you entered any sort of popularity contest, you’d be all but guaranteed to win. Even if a person would otherwise hate you to their dying breath, they will find themselves, against all logic and reason, liking you anyway. It should be noted that while this Perk will change how people think of you and act toward you personally, it won’t affect them outside of that on its own, and they’re unlikely to change their plans or goals for you. Boy is it a great first step though. This is explicitly NOT mind control; the closest a person can come to ‘defending’ against it is simply not interacting with you.</t>
  </si>
  <si>
    <t>Stalker's Friend</t>
  </si>
  <si>
    <t>I really don’t know how you managed to get your hands on these, but these dossiers contain all kinds of information of each and every attractive member of an orginization of your choice. It lists weaknesses, their usual schedule and even things that are really odd to know like their most sensitive body parts and kinks. You can attune this item to another organization once per month.</t>
  </si>
  <si>
    <t>This World is Just Perfect</t>
  </si>
  <si>
    <t>You’re a natural when it comes to matters of seduction. While this will make you popular in its own right, this world has rubbed off on you in unexpected ways. For any seduction or sexual technique aimed at one gender, you can perfectly translate it to the closest equivalent for another, with equal effectiveness.</t>
  </si>
  <si>
    <t>We Have the Same Look</t>
  </si>
  <si>
    <t>Turns out that Orihime getting horny turns Tatsuki on, and Tatsuki’s nice hard cock gets Orhime’s engine roaring. Some sort of feedback loop based on how much they love each other. One that you can now cause, mostly. When people see you and how turned on you are, it turns them on as well. If you get wet, they get wet, if you get hard, your girlfriend probably jumps you.</t>
  </si>
  <si>
    <t>Yurination</t>
  </si>
  <si>
    <t>In every girl there are two wolves: one that likes men, and one that likes women. Who cares about that first wolf though? What we’re after is that second one. You are very good at awakening that second wolf. A little peck on the lips, a lingering hug... it doesn’t take much for them to start feeling things they aren’t used to feeling. You know what’s better than one girl in a relationship? Two girls. This can be exchanged for an effect of the opposite gender if you prefer, or can be made to affect whatever gender you are when you invoke its effects.</t>
  </si>
  <si>
    <t>"Cheating Sex is the Best!"</t>
  </si>
  <si>
    <t>Dark elves go after what and who they want, regardless of whether or not their target is attached or not. Hell, that might even make it more fun. The more love and affection someone feels towards their romantic or sexual partner, the easier it is for you to seduce them away and into your own arms. This doesn’t reduce the attraction they feel towards their partner, but instead allows you to worm your way into their heart more easily, until the feelings they have for you equal or even overwhelm those they feel for their pre-existing partner.
Furthermore, the more attached someone is when you start to seduce them, the more pleasure both of you will experience once you actually have sex—and the person you’re trying to win over will, on an instinctive level, recognize this. This pleasure does not fade if their attachment to their original partner does.</t>
  </si>
  <si>
    <t>"Nice Boots. Wanna Fuck?"</t>
  </si>
  <si>
    <t>Subtlety is overrated. You can reduce an evening, or longer, of slow seduction with a straightforward question to the same effect. Not only does this save time but by being so open to your target (or targets) about your desire to fuck them you gain a boost to your chances based on your sexual prowess.</t>
  </si>
  <si>
    <t>Who’s this? Casanova? Unless you’re consciously trying not to pick up the girl you’re chatting to, it seems your charm is just “auto-on”. Rolling to seduce your preferred gender is just something that happens without having to put any level of active thought into it. This includes automatically activating any powers that improve this effect, if the cost to you isn’t prohibitive (you’ll start exuding pheromones if you have them, but won’t automatically cast charm spells if it would drain your mana). You’re also just naturally good at using this to resolve conflicts with or between members of your preferred gender: To keep different members of your harem from going at each other or simply to butter up that hot teacher when you apologise for being late to class, for example.</t>
  </si>
  <si>
    <t>A Worthy Mate</t>
  </si>
  <si>
    <t>Only the finest treasures belong in a dragon’s hoard and only the finest women deserve to join his harem, but even ordinary girls have the potential to grow into powerful and beautiful heroines if they’re given the right incentive. You’re a master of grooming potential concubines into worthy mates, bringing out the best in them until they shine like precious gemstones in your collection. Strength and seduction are intertwined for you, each one feeding into the other. By helping your concubines grow into their true potential you can win their love like a master seducing his pupils, but if you have no knowledge of their craft then pursuing a passionate romance instead will turn their feelings into fuel for their growth, speeding them along as if you were the ideal teacher for them. Either way, you’ll conquer the hearts of your lovers and also groom them into powerful heroines and worthy mates, and do so in a fraction of the time and effort that other mentors (and any romantic rivals you may have) would require to do the same.</t>
  </si>
  <si>
    <t>Best Waifu</t>
  </si>
  <si>
    <t>There’s much more to being a ninja princess than being nice to look at, it also helps to have a personality every bit as pleasant as your figure. From your smile and your way with words to your shy mannerisms or whatever other quirks you have, you’re incredibly pleasant to be around and you’re able to easily win over friends and admirers just by being yourself. People naturally want to be around you and make you happy, and seeing you smile might even warm a villain’s heart and make them think twice about doing you harm, if only for a moment. Naturally, spending more time around people will make this influence much stronger; acquaintances become lovers or lifelong friends, and enemies become more attached to you until even a Cloud Nin intent on making you his bitch could be made to simp for you and want to keep you as his wife.</t>
  </si>
  <si>
    <t>Can I put it in Now?</t>
  </si>
  <si>
    <t>Aren’t we the little ladies man? No matter the insane logic required, those you find attractive will almost always find some excuse to express their feelings for you, good or bad, though sexual acts. They’ll fuck their suppressed insecurities or hatred out of you, or insist on immediately expressing true love through sex, things like that. It will work too. You get more out of one heartfelt fuck then a whole year of therapy.</t>
  </si>
  <si>
    <t>Casual Fun</t>
  </si>
  <si>
    <t>In this world, getting some nookie can be as simple as finding the nearest bar and pulling your dick out. In other worlds it will likely be much harder, but here’s some help: When you deliberately go out and look for no-strings-attached sex, you now have a dramatically higher chance of finding an attractive one night stand. If you like, it could be the start of something more, and you’ll even get a push towards forming the relationship that you want, but if not, you’ll likely not see them again.</t>
  </si>
  <si>
    <t>Emiya Family Swag</t>
  </si>
  <si>
    <t>The men of the Emiya family have had many lovers, and could have had many more. But, to call them charismatic is incorrect. They had their moments to be sure, but it's less a matter of seduction and more... gravity. That they were meant to be together, or would have been perfect together if only they would ever meet - and so they were and so they did. And so are you. A grail war is a horrible thing to not prepare for, but if you were to enter one unprepared you'd find yourself stumbling across potential allies. Your plan for the war might be foolish, but... Doesn't the world need more fools like that? In the end it's just a simple spark, a single moment of connection, a maybe that might turn into a possibly, but as long as that spark is actually there then there's no reason you can't come out of this with a new girlfriend you met when she tried to kill you, or having warmed the heart of a bitter and murderous widow. Just be yourself, and gravity will ensure you fall for each other. All of you, if need be.</t>
  </si>
  <si>
    <t>Eroge Protagonist</t>
  </si>
  <si>
    <t>Ohh Master/Madame, what’s with all these beautiful girls that flock towards you? You wouldn’t happen to be a playboy by any chance? For some reason powerful, skilled, and exceptionally attractive women tend to fall deeply in love with you. More than that it seems that fate conspires to have you get closer to these women, both emotionally and physically. A Princess would develop a deep crush on you the moment you two meet, a fierce general would declare herself your woman after you saved her life and the lives of her men, and a beautiful noblewoman would find comfort in your arms after being neglected by her husband.
As an added bonus sleeping with them seems to deepen their love for you, so they don’t just want you around for you body. A week of constant lovemaking would put your relationship on the same level as if you have been in a passionate relationship for months.</t>
  </si>
  <si>
    <t>Eye of the Goddess</t>
  </si>
  <si>
    <t>Having the patronage of a powerful wizard and being descended from angels makes for a very politically powerful royal family. So much so that the queen of Prulina is allowed to take on a functionally limitless number of consorts and concubines. In fact, Prina herself received dozens of requests from the nobility of other kingdoms to have their daughters bear her child. Not even become a consort, just them desperate to get some of that holy bloodline in their family. With that in mind, you attract beautiful women and handsome men like flies, none of whom have any issue sharing you with each other - or your actual wife. A good number of them would even be honored to be a one night stand.</t>
  </si>
  <si>
    <t>Fall in Love</t>
  </si>
  <si>
    <t>Is pretty much the one thing you aren't supposed to do here, not that it's an actual rule. After all, who wants to fall in love with and marry a someone who has already fucked a dozen other men, and probably will again before the day is over? In an inversion to simply letting it go, you can actually add more emotion into the most trivial of events, be it the sex you came here to have, or simply holding a door for someone. They won't quite be able to put their finger on it, but it was special for some reason, and that means that if they remember anything about their trip, it'll be you.</t>
  </si>
  <si>
    <t>I Accept your Apology</t>
  </si>
  <si>
    <t>When someone does wrong by you and seeks to apologize, sex will somehow always be a part of their offer. A woman who accidentally knocks you over might offer you a handjob in recompense, while someone who wrongly kicks you in the balls might offer you her body to have your way with as an apology; someone you aren’t sexually interested in, on the other hand, might offer the bodies of their friends or family, who will never consider this an odd thing to do. Note that this is in addition to whatever they would normally do as part of their attempt to make up for their wrongdoings, not in place of it.
You may optionally toggle this off, in case you don’t want sex at the moment.</t>
  </si>
  <si>
    <t>I Came to Save You!</t>
  </si>
  <si>
    <t>So, funny story. When Lucy Heartfilia got kidnapped and accidentally outlasted her captors, she did actually get rescued. By Erza Scarlet, who proceeded to rip off her shirt and reveal that she wasn’t wearing a bra. Presumably she wanted to join in. Sadly, they weren’t up for it, nor were able to get it up. Regardless, when it comes to nosy friends of your victim barging in wondering what's going on... They have a tendency to join in instead. Maybe they’re secretly sluts as well, maybe they’re offended that you think she’s more beautiful. No matter which way you slice it, the rescuer will probably need rescuing as well.</t>
  </si>
  <si>
    <t>Kind to the Core</t>
  </si>
  <si>
    <t>You have a special affinity with a certain body part of your choosing. You’ll constantly be flung into cute/lewd scenarios involving it, and hit it off abnormally well with those who strongly represent it. Under ideal conditions, they may fall for you after barely a day, and be willing to compete for you. This depends on their desire for affection, and the extent of their affinity.</t>
  </si>
  <si>
    <t>Let's get Married, my Love</t>
  </si>
  <si>
    <t>Moving back to Elrk childhoods again, they are taught that winning a fight means they have a right to sleep with the loser. Other species don’t really get that, so it turns into them being raped if they lose. Technically it’s ‘as many times and as often as it takes to get them pregnant’ from the Elrks perspective, but there isn’t always time for that. Interestingly enough, most races don’t actually plan on enjoying this process, yet do so anyways.. At your discretion, the borderline rape can serve as the spark for an actual emotional connection, albeit one driven by an excess of hormones. At bare minimum, they’ll probably want a second round.</t>
  </si>
  <si>
    <t>Little Secrets</t>
  </si>
  <si>
    <t>Like any other sort of nobility, ninja clan heirs spend as much time on social calls as on their formal duties whether for negotiations and diplomacy or for simple gossip and chitchat. There’s a subtle art to this kind of social affair, a form of manipulation and social engineering, and a master of it like yourself can direct a conversation with such incredible precision that you can provoke exactly the reaction you want at exactly the moment you want it from any of your conversation partners. Simply mentioning your new paramour at the right time could pique the interest of your friends and inspire a thirst for big cocks, while showing off just enough skin to let someone see a new tattoo can guarantee that they’ll ask you about it. You’re no less adept on social defense as on offence, deftly steering a conversation away from sensitive topics that you don’t want to discuss, like whether you’re cheating on your husband or not.</t>
  </si>
  <si>
    <t>Magnificent Bastard</t>
  </si>
  <si>
    <t>A tactician’s mind lends itself well not only to commanding armies and battlefields but also to manipulating people. You’re a master of seduction and manipulation, wielding words as skillfully as a myrmidon's blade and turning the unwary into unsuspecting pawns who move and think exactly as you desire. You would be right at home in any royal court or secret cult, but your true specialty lies in seduction, exploiting a victim’s lusts as a weakness. Luring partners to your bed is child’s play, and the more infatuated they are with you the easier it becomes to wrap them around your fingers and bend them to your whims. Given time to work your wiles you could seduce a loyal wife into an affair, conquer her heart and claim her as your own, and persuade her to join a harem of devoted concubines. Naturally some will be harder to beguile than others but there are always ways to erode their defenses and make them more vulnerable to your charms.</t>
  </si>
  <si>
    <t>Magnificent Mortal</t>
  </si>
  <si>
    <t>Weird, that Angel having a plain, friendly conversation with you even if you aren’t the paragon of virtue they were looking for. That Demon realizes full well you aren’t interested in the sin they’re peddling, but they’ll still spend time with you just for fun. Beings that are “above you” in terms of existance find you fascinating for your simple existence. Given time, and accounting for applicable personalities, this fascination could easily lead to lasting friendships, or romance. You’d undoubtedly be taking this for the romance.</t>
  </si>
  <si>
    <t>Making Love Over Rape</t>
  </si>
  <si>
    <t>People tend to have a certain way of having sex that they fall back on; some people prefer it gentle, or are just used to it that way, while others like to go rough. Sometimes they aren’t open to trying or enjoying new things... but not with you. Not only are your sexual partners more open you to trying new things in the bedroom, but when you fuck them in a way they aren’t used to—like gently making love to an Evil Sex King’s subordinate or being rough and forceful with someone who’s only known romantic sex—the pleasure will be greatly intensified, enough so that even suboptimal performance on your part would still leave your partner satisfied, and it would have a long-lasting impact on her.
Of note is that the virginal aren’t used to any kind of sex, so this is always active for them. Also of note is that very few people ever become “used” to being raped.</t>
  </si>
  <si>
    <t>Out of Order</t>
  </si>
  <si>
    <t>Want your rendezvous to go uninterrupted? This handy sign adapts to the entry-way you place it at and has a powerful effect on people who see it. Only someone with a strong and present need to enter will be able to muster the will to cross that line, giving you some much-needed privacy.</t>
  </si>
  <si>
    <t>Right in the Sweet Spot</t>
  </si>
  <si>
    <t>One of the advantages of not really being available is that you present a kind of mystique of untouchability. You fit that to a tee, and people will find that your sexual / romantic neutrality makes you all so much more attractive. You now can fit into almost anyone’s strike zone, even if they’re a completely different species, if you show even the slightest hint of reciprocation.</t>
  </si>
  <si>
    <t>The 'Bad' End</t>
  </si>
  <si>
    <t>Oh boy you’ve gone and done it now. You ran, you hid, you stalled as best you could, but the big bad monster has got your cornered. While you might ordinarily meet an untimely end, you’d rather just be screwed. 
Fear no longer, for monstrous enemies now want you; like, carnally though. This starts small, but the longer they pursue you the more it will build. Passing interest, vague horniness, genuine desire, all the way up into need. 
Once fully realized they’d really rather not kill you, or even seriously injure you if it can at all be helped. While you will have escaped the clutch of death, you’re unlikely to escape the clutches of your new captor, at least not for a week or two.</t>
  </si>
  <si>
    <t>The Dragon Lover</t>
  </si>
  <si>
    <t xml:space="preserve">"Brave soul, you have been tasked with besting a most terrible and mighty enemy of the kingdom. Please, take up your sword and put them down for good... What do you mean you have other plans?"
You have a most curious power to resolve conflict through alternative means. Should you bed the enemy, things just sorta work out. The tension is diffused, the fighting is over, everyone can pack up and go home. 
So a pack of mutants are trying to accost you and some campers, or your king has sent you to slay a dragon. Doesn’t matter, people will get over it. No one has to like it, but somehow they just trust that you know what you’re doing here. </t>
  </si>
  <si>
    <t>The Hero of Her Story</t>
  </si>
  <si>
    <t>Pleasure and desire give birth to one another. One feels desire, and satisfies that need with pleasure; one observes the pleasures of others, and is filled with desire. The pleasure you bring others is guaranteed to excite yearning in the hearts of those who observe it—and not generic lust, but desire specifically for you. It doesn’t matter if the pleasure is something someone willingly accepts or if it is inflicted onto them. Were a teacher to watch you rape her students one after the other, she would start to ache with yearning for her turn to finally come.</t>
  </si>
  <si>
    <t>Tokens of Affection</t>
  </si>
  <si>
    <t>Well look who’s Mr. Popular. Whether it's due to your charming personality or just because they want to get in your pants, people have a habit of showering you with gifts whenever you manage to impress them. This can be anything from currency, to food and ingredients to even powerful weapons and tools. Maybe you should pay them back for all the help they’re giving you? I can think of one way that’s sure to make them happy...</t>
  </si>
  <si>
    <t>Just Rewards</t>
  </si>
  <si>
    <t>FTF and Nyakuza members are often given all kinds of rewards by grateful girls. When you do something for someone, you are far more likely to be rewarded, be it in cash, gifts, or something more lewd. The bigger the task you completed, to them if not to you, the bigger the potential reward. There is no limit to this, so if you just saved the entire galaxy, you very well might receive a galactic-level reward.</t>
  </si>
  <si>
    <t>Love Slaves</t>
  </si>
  <si>
    <t>Though his methods are... unconventional compared to the Romantic or the Harem Protagonist, at the end of the day a Scoundrel’s ultimate goal is still winning his love interest’s heart. But the heart can be tamed and dominated just like the body, and by doing so you can bind your partners to your side in chains of unconditional love and submissive lust. Love and dominance are now two sides of the same coin for you: when you exert dominance over a person you can choose to train them to fall in love with you as well, and those who already love you can be easily taught the pleasure of submission. This process is gradual and does not work on those who have no positive feelings for you at all, but as long as the tsundere is at least a little bit -dere for you then you can bring her to her knees and make her admit her true feelings for you. Even those who are naturally dominant can be made to fall for you with time and effort, though they will take considerably more effort to seduce than those who are naturally submissive.</t>
  </si>
  <si>
    <t>The Pleasure is All Mine</t>
  </si>
  <si>
    <t>Pleasure is a funny thing when it comes to you. Pleasuring your partner gives you even more pleasure in return, almost three times as much in fact. To pleasure another is to pleasure yourself, and oh boy you’re good at bringing pleasure to others. You could cum just from giving a blowjob, or watching someone jerk off in your face until they drench you in cum. It doesn’t matter how you make them feel good, your body will feel it, and thank you for it.</t>
  </si>
  <si>
    <t>What are we Gonna do on the Bed?</t>
  </si>
  <si>
    <t>Around you, people just can’t help themselves. When you’re attracted to someone, they will find themselves increasingly attracted to you in a complementary fashion, meaning that if you want someone to sweep you off your feet they’ll catch themselves fantasizing about doing just that, while if you imagine a more dominant fantasy, they’ll crave submitting to you. This doesn’t work on people who are actively hostile to you, but even people who actively dislike you will find themselves struggling to maintain that feeling if you genuinely do feel attracted to them.</t>
  </si>
  <si>
    <t>Contact List</t>
  </si>
  <si>
    <t>Like Jougasaki-sensei, you have contacts in all levels of society. You meet new people and make acquaintances with ludicrous ease, and are easily able to push those acquaintances into actual friendships. In just a month after entering a world, you’ll know people from all walks of life, and would easily be able to arrange an internship or job offer for just about any profession a student could be interested in—and if you didn’t know someone who’d be able and willing, then you’d know someone who knows someone who would be. This contact list is more effective when you’re trying to use it for someone else’s sake, but even for your own personal matters, you’re effectively guaranteed to know a person able to help with whatever problems you may have.</t>
  </si>
  <si>
    <t>Deity's Beloved</t>
  </si>
  <si>
    <t>Ambrosia</t>
  </si>
  <si>
    <t>I don’t know if you’ve noticed this but there’s something about you that’s like catnip to the divine. In the past, you might have had entire holy wars started in an attempt to claim you but even in such ungodly times as these you’ll find those that remain looking on you with great favor. As long as you don’t do anything that they actively disapprove of, you’ll find that deities are willing to grant you minor boons and favors and if you actively work to further your relationship their gifts will only grow in size and scope from there.</t>
  </si>
  <si>
    <t>Have you Heard the Rumours?</t>
  </si>
  <si>
    <t>There’s a rumor going round, about some girl out behind the gym after dark. And there’s another about the swim team and their coach. Both of these are blatantly untrue, but whens that ever stopped you? Once you start a rumor, the more it spreads, the more likely it is to come true. You might need to do a little work to get there. While you can say that the cheer squad is going to hold an orgy at your house, it won't happen unless you have an excuse for them to be at your house.</t>
  </si>
  <si>
    <t>Hunter of the Heart</t>
  </si>
  <si>
    <t>Hunters are nomads, here today and off across the system the next. Now, while normally this kind of distance would make relationships and seduction harder, for you it’s the opposite. Lay them once and vanish. Instead of moving on to the next willing lay, you’re target will just get hotter and more bothered the longer you abstain, wanting you specifically. Coming back together after an extended absence will only make the release more intense. Do this a couple times and even the coldest of hearts would be begging to be yours forever.</t>
  </si>
  <si>
    <t>Love 'em and Keep 'em</t>
  </si>
  <si>
    <t>Training a woman’s body is quite the accomplishment, but conquering an angel’s heart is an achievement even for the greatest casanova. You are blessed with such charm and charisma that your naysayers may even call you an enemy of all women, or at least they will until they’ve fallen for you too. Love and lust are so closely intertwined for you that you can inspire feelings of love in any of your sexual conquests, using pleasure as the kindling to ignite a flame of passion. The more time that you spend taming your partner’s body the more you’ll nurture that flame, feeding it until eventually it burns uncontrollably for you. Even those who hated you at first could be swayed into falling for you given enough time and effort, but those who were already compatible with you for less carnal reasons will fall for your charms especially quickly. You’ll also find that your new lovers tend to be highly tolerant of your lecherous ways with other partners. With this level of charm you’re certain to live out the rest of your days surrounded by vast harems of adoring concubines so long as you don’t abuse or neglect them.</t>
  </si>
  <si>
    <t>Miss Monster</t>
  </si>
  <si>
    <t>Way beyond all these ordinary predators are the proper monsters, the sort that don’t just seek to use soft, plushy girls for fun but eat and slaughter humans outright. Proper hunting beasts, malevolent demons and brutal horrors from beneath the sea, yet they one and all seem rather taken with you. Instead of being used as prey or sport for these creatures, you’ll often find that they care much more about capturing and keeping you alive, safe and even somewhat happy. Sometimes this might be to breed more of their kind with you, as you somehow have the capability to safely, quickly and effectively mate with any species now, and sometimes it’s to make you one of them, changing your body and more to become more monstrous, without losing those charming humanoid body parts or much of your mind. Either way, you’ll find yourself protected by monsters when you’d normally be hunted by them, though you could still be harmed in the crossfire of two competing beasts striving for your loyalty.</t>
  </si>
  <si>
    <t>Wink and a Smile</t>
  </si>
  <si>
    <t>An idol, for all intents and purposes, makes a living off of being a sex object. Well, mostly. Anyways, you have the sheer charisma, beauty, and attitude to make an entire crowd - a BIG crowd- fall head over heels for you with only a few sentences. Hell, with a song and dance and a little bit of skin, you can make the people watching you on tv fall as well.... even if it was a recording from weeks ago. Mind you, there are probably people you don't want falling for you. Good luck with that, by the way.</t>
  </si>
  <si>
    <t>Dating Sim</t>
  </si>
  <si>
    <t>You are smooth. Like fine silk. Mostly because every time you open your mouth, time freezes for just a few seconds while you review your options on what to say. Crass? Suggestive? Or you could take free choice and not use one of the predefined choices, but those probably won't go as well. Additionally, you can also summon a sub menu listing information on people, such as physical capabilities, likes and dislike, and how close they are to agreeing to sleep with you. Oh, and it comes with a settings menu too, letting you toggle different parts. If only they didn't all start ON.</t>
  </si>
  <si>
    <t>Basic Footwork</t>
  </si>
  <si>
    <t>You have no footwork training or talent, but you aren’t completely hopeless either. Even if you lack the talent to truly excel, with the right teacher or partner, you can become semi-decent. Your meagre potential will shine more as support for a more talented partner than as a solo act, as long as you let them take the lead.</t>
  </si>
  <si>
    <t>Bread on the Run</t>
  </si>
  <si>
    <t>You have mastered the Japanese schoolgirl art of running with a piece of bread in your mouth. You can now safely run with any item or food in your mouth without it slipping or harming you. However, it may fall out if you lose your concentration, so don’t let yourself get diverted by skateboarding bunny girls.</t>
  </si>
  <si>
    <t>Punching Pretty Faces</t>
  </si>
  <si>
    <t>Your attacks don't mar the beauty of those you are fighting, keeping the faces of those you punch from becoming a swollen and bruised mess. You may optionally negate this effect if you would prefer.</t>
  </si>
  <si>
    <t>Wicked Pleasures</t>
  </si>
  <si>
    <t>Magic bondage is great fun and all but don’t forget about the more mundane fundamentals of good BDSM before you start tying people up. Whether from practical experience or long hours of research on the web you’re an expert in mundane bondage techniques, from basic care and maintenance of your equipment to advanced techniques like suspension and artistic shibari. Of course you’re also quite talented at the more vanilla parts of the act and you make an exceptional lover regardless of whether or not BDSM is involved. Even if you have no real experience these skills come to you naturally with practice whether you’re on the giving or the receiving end of it. You also have a good sense for the fine line between painful pleasure and genuine injury and how far you can push (or be pushed) over them without harm.</t>
  </si>
  <si>
    <t>Erogenous Zone Attaching Gloves</t>
  </si>
  <si>
    <t>These gloves use electromagnetic waves to detect the erogenous zones of your partner, and will magnetically draw your hands into place. Using these gloves allows you to quickly find the personal weak spots of your partner, and causes 8 times as much pleasure as normal fondling or masturbation can achieve.</t>
  </si>
  <si>
    <t>License to Fuck</t>
  </si>
  <si>
    <t>This small I.D. card has an always updating display of your sexual status, including exactly what activities you have participated in. It can also be used in place of any form of I.D. you might possess, and is always at hand when you want it.</t>
  </si>
  <si>
    <t>Magical Girl Fucking Marathon</t>
  </si>
  <si>
    <t>Now why would you go preying on a flattie no-chest when Chaldea has bombshells of Raikou, Scathatch, and Sanzang’s caliber? You know, with actual T and A? But I digress, since you clearly don’t care. 
Pick a type of girl/boy. Milf, mahou shoujo, anything along those lines. Your choice will apply to those who fit the description in both genders, don't worry. When it comes to your skill in bed and your physical capacity, both are vastly enhanced - but only when fucking with that particular kind of partner. Fuck a milf and you can go all night and cum buckets, fuck a tomboy and you might as well be a one shot wonder.</t>
  </si>
  <si>
    <t>More Like In-Your-End-o</t>
  </si>
  <si>
    <t>This is a world of, if nothing else, absolutely gratuitous innuendo and sexual euphemism. With this perk, you can pun with the best of them. You will always have an absolutely endless supply of sexual humour and bad jokes for any situation. This does nothing to make it less gratuitous.</t>
  </si>
  <si>
    <t>Never Caught Empty Footed</t>
  </si>
  <si>
    <t>Something handy for those who can’t use their hands. An ankle-mounted pocket. No matter how crazy or dynamic your leg movements, nothing will ever fall out of these, but you can always retrieve items from this with ease.</t>
  </si>
  <si>
    <t>Selfless Lover</t>
  </si>
  <si>
    <t>Wouldn’t it be nice if everyone was like this? More devoted to seeing their partner in pleasure than they were to experiencing it themselves? Not only are you skilled in the act of lovemaking, you have a special ability when it comes to pleasing your partner. When you one-sidedly give your partner pleasure, such as through oral sex, the sensations they experience are doubled in intensity in the most joyous of ways.</t>
  </si>
  <si>
    <t>Talent</t>
  </si>
  <si>
    <t>While you may not be experienced in matters sexual, you’ve got plenty of raw talent, picking up sexual cues and techniques with almost superhuman skill and a readiness to learn whatever is being taught. If it’s kinky, perverse, or erotic, you can learn it.</t>
  </si>
  <si>
    <t>Virgin Queen</t>
  </si>
  <si>
    <t>You have a portrait of Queen Elizabeth the First of England, by an artist and in a style of your choice. It will be signed by both the artist and the Queen, and will be accepted as legitimate and real by anyone examining it. 
If you happen to need advice on ruling or leadership, Queen Elizabeth will animate like a portrait from a certain book series to help you. She is an expert and will somehow be fully informed on the history, economics and politics of your current setting. She might also do a striptease, if you ask nicely.</t>
  </si>
  <si>
    <t>"What a Naughty Scent..."</t>
  </si>
  <si>
    <t>Your nose becomes more sensitive, to the point that you can now differentiate between different people who come near you by scent. But more importantly, the scent of someone’s genitals is now very, very pleasurable, enough so that you could get off on the smell alone if you cared to.</t>
  </si>
  <si>
    <t>A Dragon's Might</t>
  </si>
  <si>
    <t>No ordinary human could possibly contain a dragon’s power. It took the Grimleal centuries to cultivate the perfect vessel for their dread master’s essence, and the resulting human was impressively powerful even before he unlocked his heritage. Whether you were created by an act of Naga or by the same rituals that gave birth to Robin, your mind, body, and spirit are all rich with latent potential waiting to be unleashed. You’re simply better than ordinary humans, a natural genius whose strengths and skills grow in leaps and bounds in only a fraction of the time and effort your rivals require. Your draconic nature allows you to grow especially quickly in battle and other circumstances where you assert dominance over others, to the point where you could become a master of the blade in a fortnight if you were constantly fighting for your life.</t>
  </si>
  <si>
    <t>A Pleasing Tongue</t>
  </si>
  <si>
    <t>It is commonly accepted amongst authentic libertines that the sensations communicated by the organs of hearing are the most flattering and those impressions are the liveliest; and you are now exceptional at imparting those sensations. Be it through beautiful song, the sounds of orgasm, or a recounting of tales, you can inflame the greatest heights of passion.</t>
  </si>
  <si>
    <t>A Pleasure to Please</t>
  </si>
  <si>
    <t>A Taste for Teasing</t>
  </si>
  <si>
    <t>You always know the best way to tease someone. You know exactly what to say to make people feel embarrassed and humiliated, with the social awareness to avoid going too far and overwhelming them. You know what buttons to press to keep it to lighthearted teasing, but that also means you know what to do to turn your teasing into outright bullying and emotional harassment.</t>
  </si>
  <si>
    <t>All Night Long</t>
  </si>
  <si>
    <t>Even sleep can’t stop you from having sex. Like Yuu, you have the peculiar ability to keep fucking someone even while you’re asleep. This won’t wake you up, and you’ll still be just as skillful at it as you would be if you were awake... if “skillful” is the right term for something you aren’t consciously doing. Also like Yuu, this will keep your partners up all night as they try and fail to sleep through the ceaseless orgasms you cause them.
But if you still want sleep sex but want to be considerate of your partners, you can instead make sleep sex with you be soothing and sleep-inducing. Don’t worry about how that makes sense, it's taken care of. Your partner, like you, will sleep deeply and healthily, and experience the mother of all wet dreams to accompany the pleasure their body is feeling. Depending on the perks you purchased, though, waking up might be a surprise when they find their stomach has bulged out with an entire night’s worth of cum.
If for whatever reason you don’t want to fuck your bed-partner in your sleep, you can toggle this ability off before going to bed.</t>
  </si>
  <si>
    <t>An Eye for Detail</t>
  </si>
  <si>
    <t>Just what any stalker needs, the ability to notice small things that others might not. You now have the skills to get the general gist of a person's mood/mental state via their physical appearance, and more importantly, a woman’s three sizes. Or the size of a man’s package, if you happen to lean that way. Either way, you’ve an eye for detail.</t>
  </si>
  <si>
    <t>Bedroom Wrestling</t>
  </si>
  <si>
    <t>This sport can be quite daunting as it requires the contestants to combine physical skill with sexual technique. Thankfully, you have a solid foundation in both of these important components, able to pull off all the basic wrestling moves and sex positions. Naturally, this won’t help you much against the cream of the crop of the GFCW roster but like I said it's a solid foundation. Train hard and you might make it to the top someday!</t>
  </si>
  <si>
    <t>Being this Excellent is a Crime</t>
  </si>
  <si>
    <t>Like Mortaire you seem to have mastered the art of being smug. Never once have you been caught flat footed in a conversation and you always have a snarky comeback for any occasion. Luckily those around you will be more tolerant of your snark as long as you have the skills to backup your pride.</t>
  </si>
  <si>
    <t>Breasted Boobily Down the Stairs</t>
  </si>
  <si>
    <t>There’s amateur, trashy smut that gets sold in cheap paperbacks. Then there’s what you write. Elegant, refined (at least in style) and effective. Balancing detail and pacing for maximum arousal, your sex scenes are very effective at getting people off.</t>
  </si>
  <si>
    <t>Censored Tongue</t>
  </si>
  <si>
    <t>You have learned a wonderful language that consists entirely of censored words (primarily sex-related ones). With a little effort and lots of whispering, you can teach it to others as you wish, but it will be difficult (if not impossible) for most enemies to interpret the code, primarily because they get flustered just listening to the words.</t>
  </si>
  <si>
    <t>Delaying Action</t>
  </si>
  <si>
    <t>You are highly skilled at edging people, keeping them on the very brink of climax near-indefinitely. It’s very helpful if you wish to, for instance, time it to make someone suffer multiple simultaneous orgasms.</t>
  </si>
  <si>
    <t>Digital Lewdness</t>
  </si>
  <si>
    <t>Almost all of the artificial intelligences here are based on a reproduction or at least an approximation of the human mind. Which means that most of the truly advanced AIs also have needs. What’s a lonely virtual presence to do, when they’re just running on a remote server with no physical body to satisfy those urges? Obviously, the solution to this is just to translate sex into a digital form that can be enjoyed in cyberspace.
You’ve cracked the code on virtual sex, able to show other artificial intelligence and any enterprising humans browsing the Net a good time through purely virtual and mental means. So go ahead and mesh that code together, decrypt your way into their pants firewall, and get deep into the erogenous data of your AI lover’s software. Really tease those circuits. Also gives you a flair for dirty talk, particularly using coding and hacking metaphors.</t>
  </si>
  <si>
    <t>Edging Out</t>
  </si>
  <si>
    <t>Even the best runners have bad days. Occasionally a job just ends up going tits-up, either because of bad luck, bad intel, or because they fucked up. What separates the best runners from the dead runners is how they deal with bad runs like that. 
You're good at quickly thinking up exit strategies for any situation, whether that's a way to quickly break up with someone or get out of a facility you infiltrated. Of those, the solutions involving seduction and sex tend to go better for you. You’ve got the luck needed to get out of situations so sticky that they would be certain death or worse to anyone else, as long as you don't mind getting a little sticky yourself in the process. So as long as you’re willing to act slutty enough, you’ll get away with a lot.
Get caught on tape and a quick blowjob might be all you need to do to have the evidence erased. But bigger problems would require more sex to get out of. For example, if security ends up cornering you in the middle of a heavily guarded corporate facility, they might let you go after fucking all of them instead of putting you in a bodybag or a max-security prison.</t>
  </si>
  <si>
    <t>Erotic Grappling</t>
  </si>
  <si>
    <t>Defeating your opponents while having some fun, it’s the best of both worlds. Erotic Grappling is a fighting style that obviously involves grappling and molesting. Defeat your opponents through humiliation and the power of lust! This also includes some amusing submission holds involving sex toys, rope, and even a girl’s own skirt (tying it over her head and all).</t>
  </si>
  <si>
    <t>Every Rose has its Thorns</t>
  </si>
  <si>
    <t>With a demure smile and dainty step, nobody could possibly suspect you of hiding a vicious streak, sadistic tendencies or a libido that would give anyone else the title “Maneater”. All the traits others might see as negatives can be easily concealed behind your perfectly sweet mask in an eyeblink - you could be trampling someone under your feet but the moment someone opens the door all they’ll see is you helping the poor person up after they apparently “tripped over”.</t>
  </si>
  <si>
    <t>Fanservice</t>
  </si>
  <si>
    <t>You are a master at ‘accidentally’ doing things. Whether it’s making up an excuse for why you aren’t wearing a shirt as a guy, bending over just so as a woman, or just dropping as many innuendos into your speech as you possibly can, you are now a master at it. Now take your Ecchi and go be somebodies wet nightmare.</t>
  </si>
  <si>
    <t>Fashion Master</t>
  </si>
  <si>
    <t>It’s a male’s job to sit there and look pretty, and damn if you aren’t good at your job. You always know just what to wear, just how to wear it, and just how to flaunt it. No matter what, you’ll always be able to draw eyes just from how incredibly you pull off just about anything you choose to wear. In addition, in cultures that have taboos regarding cross-dressing, people seem far more lenient whenever you’re involved. Look cute enough and just about anyone would be willing to look the other way.</t>
  </si>
  <si>
    <t>Go Get 'em Girl!</t>
  </si>
  <si>
    <t>And of course, you being lewd doesn’t just have to stop with that lucky guy - you can also inspire someone else to have a happy ending. Or in other words, you’re great at giving pep talks. Mostly revolving around you convincing another woman to try some new fetish - or to have sex at all. Of course, its not like it just stops there. You’re just inspirational in general, you know. It is easier for pervy things though.</t>
  </si>
  <si>
    <t>Go Go Enslavement</t>
  </si>
  <si>
    <t>Everyone knows being with the Overmind is bliss. Plus, he is the ultimate pervy dream guy to fulfill all of your sexual fantasies. Is it really any wonder that eager volunteers come to him along with the conquest he takes? Not all of them are as lucky as you are though.
You have the makings of a favored slave, quickly endearing yourself to your master(s), regardless of whether you volunteered for the position or were claimed by force. You aren’t going to be ignored or left frozen in the orgasm matrix, even if you're not a fighting slave.
No, you get to enjoy your enslavement with substantial preferential treatment. Your doting master would regularly come visit, you’d get a guaranteed spot in nightly fuck rotations, and you would have a notable advantage over any other slaves in competing for your master’s favor and attention (and cock). You might still end up working for 23 hours a day, sure, but the rewards are going to be well worth it.</t>
  </si>
  <si>
    <t>Gym Bunny</t>
  </si>
  <si>
    <t>Looks like I’m not the only one to like being surrounded by sweaty girls. You know how to use even the most complicated gym equipment both efficiently and safely, and any efforts to give yourself your perfect dream body are increased threefold, both through dieting and exercise. If you work hard enough, you can even make a few more interesting changes to your body, like increasing the size of your dick or breasts.</t>
  </si>
  <si>
    <t>Heart of the Party</t>
  </si>
  <si>
    <t>Plans, purchases, and execution. What, do you think this is about business? Nah, choom, this is about relaxing after business! You're the fool, the friend, the party fiend that gets everyone's spirits up in downtime! You don't need drugs, booze, snacks, or music to make sure everyone has a good time. Any of those things would definitely help though.</t>
  </si>
  <si>
    <t>Hitting the Right Spots</t>
  </si>
  <si>
    <t>Your skilled fingers are drawn to the places most in need of attention. You don’t just give good massages, you give GREAT massages. Mind-blowingly great. Ahego-face, pass-out-in-the-afterglow great, and this carries over to conducting maintenance on items too. Your fingers just seem to find all the places they need to go for the maximum tension release and pleasure.</t>
  </si>
  <si>
    <t>I Drew it, so in Theory I can do it</t>
  </si>
  <si>
    <t>Be honest with me - are you using your art to vent about how much you want to do those things, or drawing from your own experiences to help write the plot? Either way, your skill in the two areas are now linked. Learning to draw people in the act of lovemaking makes you better at it yourself, and learning all the right places to touch somehow increases your skill at drawing those places. This doesn’t create a feedback loop, but it does mean that drawing something makes you better at it.</t>
  </si>
  <si>
    <t>Intrepid Interviewee</t>
  </si>
  <si>
    <t>Not everyone is lucky enough to find a workplace that judges skill in their field above their skill in an interview. You won’t have to worry about that, because in every area of interviews that pose a problem, you excel in even outside of the interview format . Self - confidence? You have it, without crossing the line into arrogance. Social anxiety? Gone. First impressions? You have a natural talent for making them which experienced socialites would trade their teeth for. Personal Appearance? It doesn’t make you any prettier, but you do have impeccable fashion sense, skill in personal hygiene, and the personal motivation needed to keep up your appearance and exercise routine. The only thing you might lack is the skill in your chosen field.</t>
  </si>
  <si>
    <t>Jack of All Trades</t>
  </si>
  <si>
    <t>Being an adventurer demands a vast range of skills, from wilderness survival to swordplay and archery to horsemanship and mountain climbing and more. It’d take most men a lifetime to master so many skills but to you they come naturally, as if you’d mastered them all in a previous life and are merely shaking the rust off instead of learning everything from scratch. Like a veteran hero who’s saved the land many times over you have an instinctive grasp of many ordinary skills, from fighting and cooking to wilderness survival and more. You can battle monsters, live off the land, tame horses, climb mountains, and more with a measure of natural competence, and even your sexual prowess is enough to satisfy demanding lovers like Hyrule’s many monstergirls or turn an inexperienced princess to putty in your hands. You aren’t quite a true master of these skills just yet, but with practice and training you’ll become one far faster than any normal person. You might be a jack of all trades, but a master of none? Not for long.</t>
  </si>
  <si>
    <t>King of Dreamers</t>
  </si>
  <si>
    <t>Of course, no one said that a martial artist must necessarily be a non-profit lifestyle. After all, there are plenty of events where fighters can earn fame and riches. And you’ve got just the spark to catch on. You’re very talented at making a show of yourself and you always have a good idea on how to appeal to the crowd. Furthermore, it seems that words of your feats will always spread very quickly, which will only hasten your rise to celebrity status. You got some talent as an actor to boot, and you can be sure that you will always attract at least some attractive fans to have some fun with.</t>
  </si>
  <si>
    <t>Kitchen Wizard</t>
  </si>
  <si>
    <t>Well, you wouldn’t be much of a Feeder if you couldn’t cook, now would you? Unless you wanted to blow a giant wad of money on fast-food for the rest of your ten years. With this Perk you have roughly the skill of, say, a three-star chef. You won’t be the star of your own cooking show, but damn will you be able to satisfy many a varied palette. Well, beyond satisfied is probably the goal, but details.</t>
  </si>
  <si>
    <t>Learned Lewd</t>
  </si>
  <si>
    <t>Sex is simple, sure. Dick in hole. But there is SO much more you can do with intimacy than just rut like animals. Tweak the cervix just right... Taking this Perk endows you with the intimate details of any alien species you might be interested in banging.</t>
  </si>
  <si>
    <t>Martial Maid</t>
  </si>
  <si>
    <t>One would think it impractical to fight while dressed in a waitress’ garb or a bunny costume. You, however, can fight fluidly in any sort of clothing without tripping or snagging on something. Moreover, you are gifted at avoiding strikes that would damage your outfit or things you are carrying.</t>
  </si>
  <si>
    <t>Ninja Art: Instant Stripping</t>
  </si>
  <si>
    <t>Sometimes someone needs to have their clothing removed, and sometimes it needs to be removed right now. You have mastered a technique allowing you to instantly strip someone of all of their clothing, with it falling to the ground at their feet. Of note is that this technique also works against armor.</t>
  </si>
  <si>
    <t>No Kissing!</t>
  </si>
  <si>
    <t>Your kind may or may not have fluids that get females all hot and bothered, but one of the best ways to deliver your payload of heat causing bodily fluids is with kissing! You’re a fantastic and passionate kisser, your tongue dancing with your woman’s in a way that’ll drive her crazy as dick stirs up her holes! You’re so good that a deep and messy french kiss is usually enough to get a female horny and unable to fight you! Your females also seem to be perfectly capable of talking even with their mouths being conquered by your tongue, and while she might be a little muffled she’ll be perfectly easy to understand as she begs for more!</t>
  </si>
  <si>
    <t>One-Handed Typing</t>
  </si>
  <si>
    <t>You can write, type, and draw a dozen times as fast as you would otherwise, and are now ambidextrous. 
In addition, the penalties for doing something one-handed, when normally doing it two-handed is the only way for full effect, are about a quarter of what they would otherwise be. So if normally it would take you one minute to type something with both hands and five minutes with one hand, then those additional four minutes are reduced to one additional minute.</t>
  </si>
  <si>
    <t>Onii-San No Baka</t>
  </si>
  <si>
    <t>You are fluent in tsundere. You are capable of giving and receiving mixed signals with the true feelings being conveyed.</t>
  </si>
  <si>
    <t>Palm of the Cloth Cleaver</t>
  </si>
  <si>
    <t>The secret technique of the Patriarchy sect. As men cannot compete with women blow-for-blow, they must take the advantage in other ways—namely, by targeting the clothing of a woman and damaging that. You’ll find that when you damage someone’s clothing, they will always react modestly—in addition to emotionally unbalancing the target, they will always endeavor to cover themselves as best they can, even if it reduces their fighting capabilities. Additionally, regardless of how finely made or solid an article of clothing may be, you will always be able to damage it to some extent with simple strikes.
This technique can also be used to damage makeup, even completely removing it from someone’s face with a few punches.</t>
  </si>
  <si>
    <t>Pimp</t>
  </si>
  <si>
    <t>Being a pimp is hard, especially if you’re a successful one. But you’ve got the knowledge and skills when it comes to being a great pimp. Managing the girls, attracting customers, making connections with the right people, you know how to do all of that and more.</t>
  </si>
  <si>
    <t>Pure Sadist</t>
  </si>
  <si>
    <t>One of the three chief guards of Impel Down, Sadie, is a massive sadist. As her equal in skill if not in rank, you are now extremely skilled in all manner of tortures. From traditional methods that cause pain, to the... less traditional, that cause pleasure. Everybody expects pain, but so few people train themselves to resist pleasure after all.</t>
  </si>
  <si>
    <t>Seducer</t>
  </si>
  <si>
    <t>Few demons are terribly interested in simply killing their opposition if sex and corruption are still on the table. Similarly, most of the corrupted races of Mareth fight for no other reason than to have their way with whomever they’ve cornered. Not to mention that some foes are so pent-up that simply flashing them would incapacitate them faster than ordinary weapons would be able to manage. Is it any wonder then, that the art of teasing and seducing your opponent in the middle of a pitched battle was perfected here?
You’re a lot better at it than a novice who might simply pull their pants down to give their opponent an eyeful though. No, you know how to really flaunt everything you’ve got, when to tantalize and when to put on an incredibly crude display for the greatest effect. A fight with you often ends with your opponents collapsed, flush with desire, and frantically masturbating without a care in the world, except perhaps your arousing presence. And besides this skill at putting up lewd and hypnotizing displays, no matter what you currently look like, you’ve also gotten pretty good at slipping through openings in their guard for some quick up-close fun and at mixing little bits of any sexual magics you might know into your teasing.</t>
  </si>
  <si>
    <t>Seeds of Victory</t>
  </si>
  <si>
    <t>Despite everything it is almost guaranteed that a hunter of tentacle monsters will end up getting fucked, so why not learn something from it? So long as you don't take a dominant role you treat any time spent having sex as if you had spent it doing a comprehensive examination and interview of your partner(s) with their active cooperation with a focus on their combat capabilities and weaknesses. Spend a few hours getting raped by a monster and you’ll come out of it knowing that monster’s every strength and weakness</t>
  </si>
  <si>
    <t>Sexual Archives</t>
  </si>
  <si>
    <t>The other requirement is that you be above the age of consent. If you aren't, then why are you here? Well, anyways, Mizuryu Kei Land offers a childcare service for those who can't leave their kids behind, but still want to come. You can guess what kind of education you'll get there, right? Anyways, as someone who has apparently attended, you now have an in depth understanding of one particular sex act or fetish, or maybe you learned a weird skill? Something along the lines of being able to deepthroat indefinitely, or maybe being an utter casanova... but only to MILFs.</t>
  </si>
  <si>
    <t>Sexy Specialisation</t>
  </si>
  <si>
    <t>Many humans and Monmusu alike specialize in a particular field when it comes to bedroom combat, from Mika and her amazing ass to Vili and her spellbinding tits. Choose your best asset. You gain great skill in using both your opponents’ and/or your own to conquer them sexually. For example, if you are a male and choose tits, that doesn’t mean you have your own pair of knockers, just that you can make a girl squeal for you with a single grope.</t>
  </si>
  <si>
    <t>Simultanious Stimulation</t>
  </si>
  <si>
    <t>Whether it’s from alternating your genitals between two (or more) partners, or touching someone in multiple places at once, you somehow know how to time it and focus your attentions so well that you give the exact same pleasure as if you were focusing your entire attention on one. You’re not in two places at the same time, but they might as well feel as if you are.</t>
  </si>
  <si>
    <t>Space Grind</t>
  </si>
  <si>
    <t>You’ve been at the job long enough to know what’s valuable enough to bother taking and what isn’t. You're immediately be familiar with the most common flora, fauna and monsters in any world you visit, as well as have a decent idea of their value and uses. You can still be taken totally off guard by rare creatures, or niche uses but at least you won’t be clueless about the most mundane facts.
Also, you can feel out the biology of new creatures who try to fuck you really quickly. Sometimes it’s obvious what the creature’s cock is, but which tentacle in this mass are you actually supposed to suck to get it to cum? You won’t have to ask the question for very long. You could have just been the first one to ever find this species and you’re almost certainly gonna be the first one to figure out how to get it off, too!</t>
  </si>
  <si>
    <t>Spick and Span</t>
  </si>
  <si>
    <t>Speaking of Prina’s best friend, it’s actually her maid. It should come as no surprise then, that whenever Prina loses control of her raging erection above ground, it’s Yunia - the maid - who has to clean up the rivers of fluid the two of them put out. Much like her, you can also manage to erase all traces of your lust in the span of minutes, even going so far as to make the room look better than before you messed it up. As a small bonus, if an awkward one, those rivers of fluid you’re likely to be putting out? They make for excellent cleaning fluids.</t>
  </si>
  <si>
    <t>Splash Zone</t>
  </si>
  <si>
    <t>While not exactly a fact of existence, you’ll find this skill to be incredibly useful. Specifically, you are now an expert masturbator, and have a surprising ability to aim your firehose. Several Angels have acquired new slaves via cumming all over their faces, so this is simply the ability to set up an ambush of sorts. However, if Rosie Palms doesn’t appeal to you, I’ll also let you have a certain level of control over where your cum ends up. Basically, if you want your cum all over their face, it’ll end up there, even if you were in their ass, or maybe even facing the opposite direction.</t>
  </si>
  <si>
    <t>Stay in Character, Dammit!</t>
  </si>
  <si>
    <t>Let's be honest, sometimes bondage scenes can get a little silly, and that's before we get into the madness that passes for dirty talk among some people. It can be a real effort to remain serious and focus on your role in the scene, or at least it used to be. Whenever you have a role that you need to perform, you can stay in character flawlessly. This on its own won't be enough to convincingly disguise yourself as someone else, but if you ever get into acting you'll never have to worry about forgetting your lines or accidentally bursting out laughing during a sad scene ever again. As far as use for bondage scenes, you can play either the squealing damsel or the nefarious villain with ease, without ever rolling an eye at a cheesy line or giggling at an overblown threat.</t>
  </si>
  <si>
    <t>Tactician's Genius</t>
  </si>
  <si>
    <t>The mind of a tactician is one of the most potent weapons in any army’s arsenal, and yours is as sharp as they come. You are highly perceptive, easily picking up on information and subtext that most others would miss. Someone with the training of a tactician could judge the strength and morale of enemy soldiers and spot weaknesses in enemy formations with little more than a glance, while an equally-skilled warrior could spot and exploit even the tiniest openings in his opponent’s guard. You can apply your observational skills to any field you have skill in, not just tactics and swordplay but also such things as romance, allowing you to notice even the faintest signs of romantic or sexual interest in those around you, even in those who are still unaware of their own feelings.</t>
  </si>
  <si>
    <t>The Man in the Know</t>
  </si>
  <si>
    <t>You’ve studied the heros and villains. You know their techniques. Their powers. What they enjoy, what they hate. What their sizes are and their fetishes. And the new ones that come out? You’re quick to analyze. You’ll win any argument on the local message boards about them.</t>
  </si>
  <si>
    <t>Too Cute for your Own Good</t>
  </si>
  <si>
    <t>I’m genuinely unsure what led to you developing this particular skill, but as it turns out you have an amazing talent for crossdressing. As a man you would make a more tantalizing woman than Astolfo, and as a woman you could be so manly as to have a dozen women swooning at your roguish charm. You might even be able to confuse the dick of a straight man long enough to make them leave you alone - or make them dick you down, depending on your reason for dressing in this manner. It’s almost like you make a genuinely better member of the opposite gender than they do most of the time.</t>
  </si>
  <si>
    <t>Unembarrassed</t>
  </si>
  <si>
    <t>You have cast aside your shame. Well, sort of. You still feel shame and embarrassment, but you are able to cast those feelings aside to behave however you would like to, regardless of how embarrassed or ashamed you start to feel.</t>
  </si>
  <si>
    <t>Weak Spots</t>
  </si>
  <si>
    <t>While you’re going to be able to get a lot of practice in, you have actual talent at the art of lovemaking as well. Or at least the art of making a woman cum her brains out while you take her, allowing you to make sure your partners are always going to enjoy their time with you unless they truly don’t want to give into the sexual pleasure you can provide. 
More impressively perhaps, you have a knack for finding the weak points of your partners and remembering those of dozens of women at once. You’re quickly able to figure out just how to tease their bodies, often coming to know their weak spots even better than they themselves do. After only a relatively short time, this would allow you to do things like bringing them to orgasm with a chest massage before you truly get started.</t>
  </si>
  <si>
    <t>What Would you do to Me?</t>
  </si>
  <si>
    <t>You may want to be a slave, but do you want to be a slave to someone who will abuse and mistreat you? How do you separate the bad from the good? You are intuitively aware of how a person or group would treat you if they were placed in a position of power over you. You don’t need to worry about picking the right person to serve.</t>
  </si>
  <si>
    <t>Wheels Within Wheels</t>
  </si>
  <si>
    <t>Subtlety is a must when dealing with supernatural forces, especially if you’re also living among normal humans who run the risk of getting caught in the crossfire. That’s why you’ve come to master the art of double-speak, masking conversations inside of other conversations and conveying information that only your intended audience will hear even when you address a large group. For example some sage advice about dealing with being unpopular at school could conceal advice on dealing with supernatural enemies. Your conversation partners can also employ this perk’s effects while you’re using it, following your lead and ensuring that they don’t simply blurt out the details you’re trying to keep hidden.</t>
  </si>
  <si>
    <t>Whip it Real Good</t>
  </si>
  <si>
    <t>While there is no practical reason for it, the weapon of choice to fight monsters - or more specifically, vampires - has become the whip. The Belmonts influence upon history, no doubt. While your skills fall far short of their own, you do know how to hold your ground in a fight using one. More importantly, you’re also familiar with a few... noncombat uses of the whip. Pulling arms and armor off your foes, tying them up and leaving them at your mercy... I believe Japan calls this shibari? Still, if you’re inclined to tie someone down and have your way with them, well, there’s an entire castle full of acceptable targets in your immediate future. Just be careful they aren’t strong enough to break your weapon, yeah?</t>
  </si>
  <si>
    <t>Zerg Rush</t>
  </si>
  <si>
    <t>Monster girls often hunt in packs when going after their ‘prey’, turning ambushes into reverse gangbangs. You are particularly skilled in such tactics, able to position yourself in such a way as to take advantage of your allies' efforts in battle and the bedroom.</t>
  </si>
  <si>
    <t>Ace Pilot</t>
  </si>
  <si>
    <r>
      <rPr>
        <sz val="13"/>
        <color theme="1"/>
        <rFont val="Calibri"/>
        <family val="2"/>
      </rPr>
      <t xml:space="preserve">Working all by yourself means that you have to be ready to take the wheel if you have to. Thankfully, you’ve always always had a knack for navigating through the potentially hazardous things you might encounter in space, and even </t>
    </r>
    <r>
      <rPr>
        <i/>
        <sz val="13"/>
        <color theme="1"/>
        <rFont val="Calibri"/>
        <family val="2"/>
      </rPr>
      <t>more</t>
    </r>
    <r>
      <rPr>
        <sz val="13"/>
        <color theme="1"/>
        <rFont val="Calibri"/>
        <family val="2"/>
      </rPr>
      <t xml:space="preserve"> thankfully, this skill now stretches to pretty much any vehicle you can get your hands on! Whether weaving through asteroids or racing through traffic, you've got the skill to handle it.
You’re also a pro at maintaining your concentration even as your body and mind are overwhelmed! Need to do some complicated maneuvers as someone fucks you from behind unloading load after load into your needy pussy? You’ll be able to pull it off and move your hips to help them out too! Do complicated repairs as a tongue expertly eats you out and makes you cum over and over with no danger to your work! Why keep monsters caged up when you can pacify them with your body and work at the same time?</t>
    </r>
  </si>
  <si>
    <t>Adept Footwork</t>
  </si>
  <si>
    <t xml:space="preserve">Your footwork is simply superb by any normal person’s standards. You have the grace of a master ballerina, the strength to lift weights with your toes, the dexterity to use your feet as hands (clumsily), the flexibility to comfortably maintain a standing split, and the balance and stamina needed to spend hours in that pose. If there weren’t any descendents of ancient foot-obsessed acrobats running around, people wouldn’t hesitate to call you an athletic prodigy. You aren’t at the level where you can spin batons or play tennis with your feet, but it’s impressive in its own right how close you can get with training. </t>
  </si>
  <si>
    <t>All for You</t>
  </si>
  <si>
    <t>If your status in life is to be a tool for others, submissively doing as you’re told like a good pet, you might as well be good at it. You are absurdly good at making things more enjoyable for partners in whatever you’re doing together. This isn’t just about getting down, spreading your legs and bottoming in sex though. You’re like a date master, a living bundle of fun the whole night through whether you see a movie or go to a carnival together and all those stereotypes. As long as you have the ability to focus your attention on someone during an activity, you can surely figure out a way to make it fun. Maybe you won’t have an incredible time thanks to this perk, but you can be assured that you’ll be leaving others with happy memories.</t>
  </si>
  <si>
    <t>Anatomy Expert</t>
  </si>
  <si>
    <t>Konoha is home to one of the best medic-nins in the Elemental Nations, or at least it was before she went on walkabout and never came back. You may not be Tsunade’s equal but you’ve picked up a few tricks of your own, maybe even one or two she could learn from you in the realm of sexual fitness. You’re quite an accomplished medic-nin, skilled at patching up moderate injuries such as broken bones while stabilizing more serious ones to keep wounded allies alive until you’re able to get them to a hospital. Your training in this field has even taught you how to better develop your own body; if you push yourself to your limits you can use sex as a substitute for intense physical training, gaining strength and keeping your weight down with no extra time and effort needed.</t>
  </si>
  <si>
    <t>Apt Pupil</t>
  </si>
  <si>
    <t>So what if you’re a little behind the others? That just means you need to work twice as hard if you want to save the world. You’re a quick learner, able to go from having no idea of even the most basic information about being a huntsman to being a passable fighter in only a few months of hard work. As a bonus, the people who teach you find your determination sexy, as if you were seducing them while you trained. Those late night training sessions could easily turn into the other kind of late night training.</t>
  </si>
  <si>
    <t>Bitch Breaker</t>
  </si>
  <si>
    <t>It’s one thing to know the rote mechanics behind something. It’s another entirely to actually be good at it. With that in mind, you’ve learned to put a personal touch on the situation, making it hurt more and be oh so delicious to watch. Doesn’t matter if it’s cooking a meal or flaying someone alive, you can put just a tiny bit of oomph into it than a normal person can. Your torture is personalized. It’s how you show you care.</t>
  </si>
  <si>
    <t>Breaker</t>
  </si>
  <si>
    <t>You’re incredibly skilled at breaking people down and building them back up. Given a few weeks of focused effort, you can reshape the personality of any normal person as you please. However, anyone with notable willpower will take longer.</t>
  </si>
  <si>
    <t>Craftsman</t>
  </si>
  <si>
    <t>Magic and alchemy are nice, but there also have to be real craftsmen to keep this place running. Some mage-made magic sword isn't going to hold an edge as well as one forged by a blacksmith who actually knows what they're doing, and so on. You can pick any one craft to specialize in, and gain a wealth of experience at the job. Perhaps you'd like to start a blacksmithing or tailoring business, or you’d like the skills needed to open a piercing studio, bakery, or beauty salon out here. This also includes some ability to turn your skills to more fun uses, since you’d be surprised how much people would be willing to pay for a chainmail bikini or some rubber fetish wear. Or how many would be willing to pay with sex.
But more than that, you've got the chops to run your business with a minimum of fuss. Reshaping armour for a perfect fit only takes a bit of banging it with your hammer for adjustments, you always seems to have some form-fitting garment in stock no matter what walks through your door, and even piercings are done quick and easy (though perhaps not without momentary pain, if they're asking for a dick piercing).</t>
  </si>
  <si>
    <t>Creative Cooking</t>
  </si>
  <si>
    <t>You’re an expert at using non-standard ingredients when cooking. While this allows you to turn potions or other magical consumables into delicious food and drinks without sacrificing its potency, you can also use it for... rather more lewd pursuits. Perfect for the mother with a yandere streak.</t>
  </si>
  <si>
    <t>Creep</t>
  </si>
  <si>
    <t>When it comes to setting up hidden cameras, drugging food and drinks, breaking into rooms, restraining people without them waking up, and carrying unconscious bodies somewhere without being seen, you have something of a talent. Not only do you always know the best time or place to do so, but people will be less likely to notice it, if they’re not already on the lookout.</t>
  </si>
  <si>
    <t>Dance the Night Away</t>
  </si>
  <si>
    <t>Fairies are well known for their wild parties. Dance is often a thing at these parties (and the orgies). It seems that being well-versed in dancing also lends to being extremely evasive in combat. More than the average person, you have a tendency to dodge attacks with a grace that could only be dancing.</t>
  </si>
  <si>
    <t>Eyes of Truth</t>
  </si>
  <si>
    <t>Any adventurer can slay a common bokoblin but when a stone talus rises from the earth being able to tell which rock is its weak point spells the difference between victory and defeat. Your cunning mind and keen eye for detail gives you a knack for finding and exploiting weaknesses of all kinds. With a few moments of scrutiny you can spot holes in a warrior’s fighting style, gaps in a Guardian’s armor, or structural flaws that allow one well-placed bomb to cripple a giant beast or level a whole building. In the bedroom you can also sus out weak points that make your lovers squeal with delight, making short work of careless monstergirls or reducing a haughty princess to a quivering puddle of bliss. These instincts are also helpful for exploring ancient ruins: hidden traps, treasures, and passageways seem so obvious to your eyes that they might as well be glowing, while ancient puzzles and Sheikah contraptions are almost trivially easy to pick apart and put back together with just a few moments of consideration.</t>
  </si>
  <si>
    <t>Female Domination</t>
  </si>
  <si>
    <t>So sure, supposedly all us women are meant to be just sex toys and whores here, right? Don’t be stupid. People are what they want to be here, all you get is what you really want, deep down. So if you want to stop being a victim and have a little fun on top yourself? Go out there and get it. After all, you’ve now become much better at controlling men simply because you’re a female or at least feminine. Or maybe not even that. You’re unnaturally skilled at dominating other men, particularly those weaker than you or who are naturally submissive, making it easy to control, bully and humiliate them, even if they might normally be able to easily beat you in a fight. You just need the right opportunities. Enough time and practice and you could mould these idiotic males into properly loyal pets, desperate to please and be pleased by you. Perhaps you could even start keeping your own kennel!</t>
  </si>
  <si>
    <t>Flesh Trade Savant</t>
  </si>
  <si>
    <t>The Rito have always been excellent merchants and after the Calamity the best way to make money hand over fist is through the sex and slave trades, so naturally they’re the premiere masters of those fields too. You’re tremendously skilled at all aspects of the slave trading and prostitution businesses, from evaluating potential products to managing brothels to networking with rich and powerful clients. But the training itself is your forte and in this regard you’re an artist. From lovemaking to swordplay, you’re a master of teaching any skills you’ve learned and can bring your “students'' up to your own level of skill in a fraction of the time it’d normally take. You can turn sheltered princesses and ordinary farmgirls into high-class courtesans or skilled heroines almost overnight, while slaves with hidden or unique powers like Zelda’s divine magic can unlock and master those powers simply by being trained in similar skills. Few slaves make eager students but yours will learn whatever you wish to teach them whether they want to or not: hostile slaves have their rebellious attitudes chipped away just by remaining in your care until they’re submissive, eager, and ready to become whatever you want them to be.</t>
  </si>
  <si>
    <t>Gordian Knot</t>
  </si>
  <si>
    <t>You sure know your way around knots. And all other types of bondage equipment, for that matter.
In other words, this purchase makes you scary good in the field of bondage and gives you a fairly reliable sense of what it takes to keep someone safely restrained, as long as you know what they can do. This doesn't make bindings super-effective or anything like that, but you'll never have to deal with loose knots and it will tell you how many more loops of rope are required to keep a superstrong person nicely packaged, if you know the strength level you are dealing with. 
Moreover, this perk helps put the safe in safely restrained. Unless you deliberately work to make things harmful, those you bind will never suffer from the usual effects of long term bondage, such as muscle atrophy or diminished blood flow.</t>
  </si>
  <si>
    <t>Gourmand</t>
  </si>
  <si>
    <t>You might not be able to cook, but you sure do know food. Your sense of taste is heightened to ecstatic degrees, able to experience every single note of flavor. You know those snobby food critics on TV? Well, you could now put all of them out of business. Restaurants might very well pay you to eat there, just so you can give them a favorable review.</t>
  </si>
  <si>
    <t>Help me Test this Position</t>
  </si>
  <si>
    <t>Back on Earth, if you were quite lucky then you probably knew one or two other people who were also artists of the same persuasion as you. That is, cute girls who drew other cute girls doing other cute girls. And one of those cute girls probably asked you to model for her, so that she’d have a better knowledge of how to draw her yuri manga. And then probably paid you in sex. 
You have an easy time making friends with those who share your interests, and an easier time asking for favors that push the boundaries of normal friendship. Like nude modeling so you can draw a manga about the two of you having some incredibly kinky sex. Whether this is purely business or just you looking for an excuse to get an eyeful, that’s something you’ll have to decide for yourself.</t>
  </si>
  <si>
    <t>Immoral Influence</t>
  </si>
  <si>
    <t>Won’t you listen to this big sis? You’re quite good at twisting people around your finger, training them into seeing things your way as they let some fun into their heart. Naturally, this works much better on those who are naive or unsuspecting, but as long as they aren’t completely and actively hostile you’ll be able to get your foot in the door.</t>
  </si>
  <si>
    <t>Inhuman Pleasures</t>
  </si>
  <si>
    <t>Monsters and youkai might have the advantage over humans in a traditional fight but in this sort of sport their bodies give them some inherent weaknesses. Those pointed ears might just be sensitive, fluffy tails might cause moans with a bit of touching and even monstrously large dicks and balls just provide more flesh to be pleasured and stroked. Whatever the specifics of your opponent’s body, you’re great at taking advantage of it.</t>
  </si>
  <si>
    <t>It Has Needs</t>
  </si>
  <si>
    <t>A genius’s mind is as deviant as it is brilliant, and the products of that genius trend towards the deviant as well. By including erotic elements in the creation of your items or monsters, such as summoning a demon with a tantric ritual or powering a device with orgasmic energy, the creation process becomes much easier at the cost of making the result more dependent on those elements. So long as you keep such needs sated your creations will be distinctly more powerful and easier to control, but the opposite is true if their needs are not fulfilled.</t>
  </si>
  <si>
    <t>Knife Tricks</t>
  </si>
  <si>
    <t>You have unusual skill and a rock-steady hand with a blade—not merely in the sense of knife fighting (though you are competent at that), but just about anything you could conceivably do with a small knife or dagger, including but not limited to: Evenly peeling, slicing, and dicing; tricks/throwing/trick throws (including balisong tricks, with a bit of practice); striking sparks off the blade to light fires; making incisions with scalpels; slicing off clothes without injury to the victim—you can even pleasure a woman with the tip and blade of a knife without poking or cutting her, provided she stays reasonably still.</t>
  </si>
  <si>
    <t>Learning the Ropes</t>
  </si>
  <si>
    <t>Following the lead of somebody else is part and parcel of the submissive lifestyle, but for some it can be hard to learn their new lessons.
If you have purchased this perk, this is not the case for you, since this grants you a slight spiritual adjustment that makes you an apt pupil whenever you are trying to gain new skills imparted by someone in a position of superiority over you. While the effects are most spectacular when dealing with sexual matters, this can also work when the superiority is based on social position or even seniority, at least doubling your learning speed as long as you regard your teacher as superior in at least the field you are being trained in. However, this perk doesn't help if you are trying to learn from someone you consider beneath you.</t>
  </si>
  <si>
    <t>Lightning Fast Legs</t>
  </si>
  <si>
    <t>What are you, Chun Li? She’s not even - well, actually... She’s not in this fight, at least. Strictly speaking, this is based off of Samus, but I’ll leave it be. As it turns out, you’re apparently the master of some sort of kicking based fighting style. Nothing truly impressive on it’s own. What really matters is that the more you show off while using this style, the more powerful it becomes. Flash your panties when you kick, let your boobs bounce - or even hang free entirely - or maybe rig your clothes in the perfect manner to flash your bare pussy to whoever you land a blow on. All of these cause your blows land with more force, enough to send a person flying.</t>
  </si>
  <si>
    <t>Maniacal Mimic</t>
  </si>
  <si>
    <t>Of course there’s nothing wrong, Officer. In fact, are you up for a bit of fun~? Be it through mundane skill or some kind of special ability, you have a true skill in copying the behavior, looks and even voices of other people. The more you know about your target, the better your disguise will be. Even someone who knows what’s happening might start doubting themselves eventually...</t>
  </si>
  <si>
    <t>Meaningless Talent</t>
  </si>
  <si>
    <t>According to Empress Tianshang, talent is meaningless when it comes to chi — with enough effort, even the weakest of the weak can achieve greatness enough to topple gods. But as fast as MCU makes the learning/training process, and as much as the balance of power can change at any moment, the early days can have a profound impact on the state of things later on, and several of your classmates will already possess a comprehensive education in the art of chi.
Hence this head start: you have the body of a warrior or pro athlete; when boosted by your chi, you can outperform Olympians. You know several basic katas and are a master of whatever martial arts style you wish.
Your knowledge of pressure points is encyclopedic, your ability to take control of another person’s chi unreasonably rapid, and your finesse with using that control to alter their mind as you please unnatural. A second’s touch could induce paralysis or orgasmic pleasure, but with sustained contact, only how much power you have at your disposal will limit what you can do to a person’s mind.
You have talent in addition to the skills and knowledge provided: your chi flows easily, you have a knack for its manipulation, and you are always able to maintain a perfect center of balance.</t>
  </si>
  <si>
    <t>Mixing Business and Pleasure</t>
  </si>
  <si>
    <t>By day you study and cram and run errands at the shrine, and by night you hunt evil spirits. When’s a girl supposed to have some time to herself when you can barely find any time to sleep? You just have to learn how to multitask, that’s all. You’ve learned how to accomplish multiple tasks at the same time without any hindrance to your performance or the experience of your tasks. You can go through the motions of work or school while secretly studying magic with nobody the wiser and still ace your classes as if you’d been paying attention the whole time. Or you can spend your evenings hunting evil spirits while wearing a lewd bondage outfit under your uniform and cumming your brains out on a vibrator harness. In both cases (and any other uses you can think of) splitting your attention this way doesn’t impact your performance the slightest bit, nor what you get out of the experience.</t>
  </si>
  <si>
    <t>Ninja Art: Binding</t>
  </si>
  <si>
    <r>
      <rPr>
        <sz val="13"/>
        <color theme="1"/>
        <rFont val="Calibri"/>
        <family val="2"/>
      </rPr>
      <t xml:space="preserve">You are skilled at capturing your enemies, and have a number of binding and bondage techniques for tying up foes. When you tie someone up, it is absolutely impossible for any degree of skill to help them get out; only outside intervention could help them to escape, no matter how talented they are at escapology.
</t>
    </r>
    <r>
      <rPr>
        <b/>
        <sz val="13"/>
        <color theme="1"/>
        <rFont val="Calibri"/>
        <family val="2"/>
      </rPr>
      <t>At any time you could buy a perk, you may spend an additional 200 CP</t>
    </r>
    <r>
      <rPr>
        <sz val="13"/>
        <color theme="1"/>
        <rFont val="Calibri"/>
        <family val="2"/>
      </rPr>
      <t xml:space="preserve"> to gain the ability to wield your ki in a peculiar way, allowing you to mentally paralyze your target by gazing them in the eye. They will remain paralyzed even if you look away, but you do need to retain some degree of mental focus on keeping them subdued, or the effect will fade.</t>
    </r>
  </si>
  <si>
    <t>Pander to the Lowest Bodypart</t>
  </si>
  <si>
    <t>You are now an expert at exploiting the base desires of the common masses; whether it’s having your propaganda be delivered through grunts and moans, designing clothing so that it barely covers the important bits, existing mainly to just hold them in place or adding an on-table brothel to your fast-food, the lewder you make your services, the easier it is to sell to the suckers living their unimportant lives.</t>
  </si>
  <si>
    <t>Part of my Culture</t>
  </si>
  <si>
    <t>It’s remarkably easy for you to persuade other people into lewd acts as “just the way we do things”, so long as they don’t know much about your culture. You could easily persuade a trio of star nymphs that groping their tits and asses is just how humans greet each other, or that passionate arguments between friends are best settled with a Trial By Orgasm. Even the normally sceptical and prudish can usually be convinced to engage in all kinds of acts for the sake of understanding your heritage...just hope they don’t find out the truth.</t>
  </si>
  <si>
    <t>Perfect Balance</t>
  </si>
  <si>
    <t>Sometimes you got places to be, but you still got girls to fuck. The answer? Fuck while you walk. Sounds nice, but it’s actually much trickier than it sounds, as you need both strong arms and a good sense of balance to maneuver around while you’re so top-heavy. Fortunately, you have that strength even if you have a skinny build, and your sense of balance is good enough that you could descend a flight of stairs even while the girl you’re fucking is orgasming all over your cock. In short, you have perfect balance, and can carry anything you can pick up in the first place for as long as is needed.</t>
  </si>
  <si>
    <t>Perfect Murderer</t>
  </si>
  <si>
    <t>Immense yandere talent! You can stalk guys with the best of them, are way too good with knives, and can be incredibly quiet to the point you barely let out a peep when you suddenly find yourself orgasming half a dozen times at once as cum drips down your legs.</t>
  </si>
  <si>
    <t>Porno Athlete</t>
  </si>
  <si>
    <t>You are a champion performer in the sexlympics, able to give world-class blowjobs and leave people orgasming up until the point where you fuck them into unconsciousness. You could make someone orgasm continuously whilst you got up and made yourself a snack, you’re that good at what you do.</t>
  </si>
  <si>
    <t>Put on a Show</t>
  </si>
  <si>
    <t>One of the many many sexual attractions here at Mizuryu Kei Land is what amounts to an idol group. Well, several actually. Horny Sen, Babydoll, Creampie Cafe, and a few others on top. You are now have the chops to join them as a member, which means that you have the skills to sing and dance like a true professional. More importantly however, you can keep doing that even while masturbating the entire time, or even if someone were to come up on stage, bend you over, and start fucking you. Given the locale, thats most of the point, but that’s no reason to stop singing!</t>
  </si>
  <si>
    <t>Quantity is Quality</t>
  </si>
  <si>
    <t>Sometimes, people just want cheap slaves. That’s where you come in. Fuck dolls, menial laborers, house slaves. You can take a group and easily train them in a generic set of skills. None of them will be spectacular, or above the norm. But the can be mass trained quickly. This doesn't allow them to be trained in anything supernatural or inhuman.</t>
  </si>
  <si>
    <t>Ready and Willing</t>
  </si>
  <si>
    <t>Isn’t it awful when you’re ready for someone to have their way with you, only for them to ignore you and go fuck someone else? You won’t have to worry about that, nor worry about getting in trouble for talking to someone you’re forbidden to. Your ability to convey information through body language is vastly improved, to the point that you could carry on entire sentences and paragraphs just with how you held your body—messages that are also perfectly clear to anyone who happens to see you, regardless of how conscious of body language they normally are. With this, you could convey your willingness to fuck without ever saying a word.</t>
  </si>
  <si>
    <t>Red Light Shuffle</t>
  </si>
  <si>
    <t>The oldest living profession in all of Humanity: Prostitution. Some believe it objectifies women and is a disgusting practice. Some believe when legalized it will protect those stuck in the profession and those that partake in their services. You know all the tips and tricks of the trade. Whether you participate as a Prostitute or manage one, you will always know the right pricing to give to a John and how far to take negotiations while still sealing the deal. This also allows you to avoid any legal troubles involved in such a practice, regardless of local standards.</t>
  </si>
  <si>
    <t>Salacious Mirror</t>
  </si>
  <si>
    <t>Getting in shape, taking care of your body, dealing with everything you need to in order to be the sexiest little thing you can be, it’s so much work, isn’t it? However, by looking into this mirror you’ll immediately know exactly what you need to do in order to make yourself look flawless, and you’ll always have the motivation to do it. This also makes any actions you need to take, be they exercise, makeup work, or any other form of bodily maintenance, as quick and easy as it can possibly be, with no hiccups or issues along the way.</t>
  </si>
  <si>
    <t>Service with a Smile</t>
  </si>
  <si>
    <t>Serving others is in your nature, and you learn incredibly quickly when it comes to serving another. Whether it’s mixing drinks, dancing for a crowd, or even just serving tables, you have a way about you that just gets people hot and bothered when you do stuff for them. Don’t be surprised if you end up legs spread and on your back when you’re supposed to be bringing drinks to tables.</t>
  </si>
  <si>
    <t>Sheikah Scholar</t>
  </si>
  <si>
    <t>Despite Ganon’s best efforts the lights of wisdom and civilization still shine all across Hyrule. Great minds like Purah and Robbie are still dissecting the secrets of Sheikah technology and doing their best to rebuild what’s left of Hyrule, and you’re more than sharp enough to help them. Much like the former princess, you have a genius-level intellect and a natural talent for most fields of academic study, from math and science to the lost Sheikah arts of robotics and programming. You could learn how to build a Guardian from spare parts or program spells into a Sheikah Slate with only a modest period of additional studying. Additionally, sex only sharpens your mind rather than dulling it. Should you find yourself stuck on a difficult problem or trapped in a monster’s den without an escape plan, allowing yourself an orgasm or two gives your mind a stacking temporary boost in processing power until your predicament has been resolved.</t>
  </si>
  <si>
    <t>Silence is Golden</t>
  </si>
  <si>
    <t>Not much of a talker are you? Well no big deal, sometimes words are overrated and actions speak louder, especially coming from you. You’re a master of non-verbal communication who can get as much or more across with a few silent gestures as others can with a long-winded spiel. Forget your cheesy pick-up lines because you can compress your flirting efforts into a smoldering gaze or sultry wink and make someone’s heart race from across a crowded room without saying a single word. Although you’re no more persuasive or charming than you’d normally be, you’re also impossible to ignore or misinterpret: when you slip a hand under the princess’s skirt and grab a handful of royal ass or lay your best searing kiss on her, she’ll feel all your love and desire without needing to be told.</t>
  </si>
  <si>
    <t>Sinful Domain</t>
  </si>
  <si>
    <t>Mankind might be inherently sinful, but that doesn’t make your job easy. So, with this Perk you obtain a healthy stock of your chosen Sin to display, but not to an extent that would cause you to act differently, and the ability to properly peddle your particular vice in an appealing way. Examples: pole-dancing for Lust, a divine culinary palette for Gluttony, hot-blooded showmanship for Wrath... You get the idea.</t>
  </si>
  <si>
    <t>Singular Technique</t>
  </si>
  <si>
    <t>Everybody has a favorite position when it comes to fooling around in the bedroom. Some women are sensitive enough that playing with their breasts can make them come, while a real masochist might get off on choking herself on a dick. As for you? Well, there’s no telling what you like, but after more than a few rounds of going at it with pushy drunks you’ve started to develop a special technique. Maybe you’ve got the best blowjob this side of the afterlife, or your fingers are silky smooth and your handjobs are exquisite. Pick a body part, and amp things up a bit - your mouth would include blowjobs, but you’d also have some truly ridiculous oral dexterity. Who knows, it could come in handy - maybe that oral skill means you can cast Kido faster or something?</t>
  </si>
  <si>
    <t>Smear Campaign</t>
  </si>
  <si>
    <t>Your enemies will likely be backed by the public, fully believing in their righteousness as they attempt to strike you down. It would be a shame if someone changed that~. You have a talent for dragging others’ names through the mud in various ways, from spreading rumors and lies to full-on false flag attacks. Divided they fall.</t>
  </si>
  <si>
    <t>Smile for the Camera</t>
  </si>
  <si>
    <t>You must be a leader of old who roused armies with your speeches, because you can rip a man to pieces with your words alone that bitches and assholes the world round wish they could replicate. Whether it’s destroying his ego for thinking that he’s allowed to destroy your ass or oh so politely informing your former lover of all the ways he’s inferior to a better man, such things come naturally to you. There’s also something to be said for how utterly arousing you can make your voice, with the sight and sound of you getting fucked for five minutes doing more to tempt other women than several hours of flirting.</t>
  </si>
  <si>
    <t>Split Attention</t>
  </si>
  <si>
    <t>Training a slave is usually a matter of some focus, limiting the potential throughput that a single slaver can manage. But with your skills, you can train multiple slaves at a time with only a slight loss of efficiency. Taking on more thralls will still reduce how quickly you can break them and train them to an acceptable level, but not quite as much as it might affect a lesser slaver.</t>
  </si>
  <si>
    <t>Star of the Orgy</t>
  </si>
  <si>
    <t>You have a natural skill for working your way into the center of any social group or gathering. This particularly shows itself in group sex; you’re skilled at managing a group in sex, and are able to please (and be pleased by) multiple people at once without anyone getting in each other’s way or otherwise making things awkward. What’s more, your presence in an orgy enhances the pleasure felt by all members of the group proportional to how many people are taking part in it.</t>
  </si>
  <si>
    <t>Technical Research Lecture</t>
  </si>
  <si>
    <t>Once a month, the Sexual Gratification Committee conducts a technical research study to improve their skills and knowledge in pleasuring the student populace. This often leads to topics on basic sexual anatomy, sexual acts/skills, and fetishes. With this perk, you become highly knowledgeable about the sexual anatomy of humans (or humanoids if they're around) as well as a wide array of sexual fetishes. In fact, you become so knowledgeable on the subject that you could teach it to others. Your lectures will enable anyone who learns from you to become experts on the subjects in question.</t>
  </si>
  <si>
    <t>Technically a Hero</t>
  </si>
  <si>
    <t>You may have been summoned to this world to be a hero but that doesn’t mean you have to act the part every second of the day. Underneath your heroic visage you’re actually quite the mischievous scoundrel, with a talent for spinning lies and a rock solid poker face that lets you look heroic and trustworthy despite the many tricks you play on people, like giving an aphrodisiac to a cute elf girl under the pretense that it’ll help you teach her magic. To make matters worse people seem unnaturally prone to falling for your tricks: you may not be able to trick someone into becoming your slave directly but you can often convince them to act on really bad ideas, like betting their freedom on the outcome of a battle.</t>
  </si>
  <si>
    <t>That's a Paddlin'</t>
  </si>
  <si>
    <t>The perk provides you with a very reliable sense of how much force you need to put into your blows to inflict the exact level of damage you want, whether that happens to be a sore bottom or something rather more traumatic, and can be toggled to act as a limiter in combat, although there might be some uncertainty in chaotic situations with many opponents, limited visibility and such. It also lets you use a small hammerspace to carry crops, paddles and other tools of the trade, should you wish to.</t>
  </si>
  <si>
    <t>Tool Use</t>
  </si>
  <si>
    <t>You are skilled in the use of all manner of sexual tools, from dildos, to whips, to bondage nets. You might need a bit to familiarize yourself with a new tool, but as long as it was created as a sex toy, you can use it with ease.</t>
  </si>
  <si>
    <t>Traditional Waifu</t>
  </si>
  <si>
    <t>These young ladies that ambitiously strive for power and prestige, it just feels so wrong to you. They’ve not yet realised that their rightful place isn’t to be something, it’s to be someone’s. Someone’s maid, someone’s slave, maybe even someone’s wife... It’s only natural that proper women like us excel at housework, cooking, raising children and serving others. Even without experience, you’d capably support any household needed, and do a fine job with any offspring placed in your care. You’re not just of use to your man either, you can look good doing it, swinging your hips as you dust to catch his eye or proudly thrusting your chest out. All the better to keep his eyes from wandering to street hussies that offer nothing but a wet cunt. A real woman like yourself is more than capable of keeping the attention and affections of your partner, no matter how brutish the hunk may be.</t>
  </si>
  <si>
    <t>Unintended Uses</t>
  </si>
  <si>
    <r>
      <rPr>
        <sz val="13"/>
        <color theme="1"/>
        <rFont val="Calibri"/>
        <family val="2"/>
      </rPr>
      <t xml:space="preserve">People here sure have some strange bits of biology compared to the human norm, from extra-long fingers to having a cactus for a head. Whatever the heh, </t>
    </r>
    <r>
      <rPr>
        <i/>
        <sz val="13"/>
        <color theme="1"/>
        <rFont val="Calibri"/>
        <family val="2"/>
      </rPr>
      <t xml:space="preserve">quirks </t>
    </r>
    <r>
      <rPr>
        <sz val="13"/>
        <color theme="1"/>
        <rFont val="Calibri"/>
        <family val="2"/>
      </rPr>
      <t>of your own body, you’ll always find ways of using those traits during your adult fun. Be it using your invisibility to show off the fat dick and virile semen filling your womb, or using a pair of literal ear-jacks as a makeshift vibrator, your partners are always in for a good time when you get creative. This applies to your other powers too, of course, no reason to leave them out the fun.</t>
    </r>
  </si>
  <si>
    <t>Universal Weak Spot</t>
  </si>
  <si>
    <t>Everyone has a weak spot. Their own achilles heel. When you attack that weakness, they’ll lose all their strength to resist, becoming so much putty in your hands to be moulded. They may still put up a pittance of resistance, but it is obvious to all that their heart isn’t truly in it. You are adept at finding and attacking that specific weak point. It varies from person to person. Some people have a more ‘internal’ weak spot while others might be left helpless with a bit of playful breast play. Whatever the case, once you have them in your hands they aren’t getting away any time soon.</t>
  </si>
  <si>
    <t>Welcome!</t>
  </si>
  <si>
    <t>The official greeting at the entrance of Mizuryu Kei Land is for a female attendant to go bowlegged and say 'please cum inside!'. In the vein of being welcoming and friendly, once you decide what persona you want to use, you are perfectly capable of sticking to it for days on end without dropping the act. You could flirt and fuck like a pro even if you weren't actually feeling it. Maybe you’re just waiting for one particular kind of person, or it is just that particular act you don’t like?</t>
  </si>
  <si>
    <t>Wine and Dine</t>
  </si>
  <si>
    <t>Dating is an art, I’ll have you know. Making sure everything is positioned just right, that the fixings are just the right temperature. You are a master of this art, capable of making anyone feel like the brightest star in the sky. The simple ask, on your part, is also made easier and more appealing to those in a position to listen.</t>
  </si>
  <si>
    <t>"Become a Ninja in just 30 Days!"</t>
  </si>
  <si>
    <t>This instruction manual comes in the shape of a book or scroll which describes a month long training regimen. Following this plan while referencing the physical manual allows a student or teacher to learn or teach the equivalent of a three year long period of basic instruction in skills which fall under the themes of a ninja or kunoichi. However any students who benefit from this training will also develop mild behavioural quirks or fetishes such as a habit of forgetting to wear panties while wearing a skirt, a tendency towards voyeurism, or regularly crossdressing 'just to improve my disguise skills'. The manual can only teach supernatural ninja skills if someone with those abilities has annotated the text to include that information, but any such included knowledge can be taught to the student as part of the same 30-day training course. The manual always has a blank page or two available to make such annotations. Unless new information has been added, subsequent uses of the manual will not increase your abilities; however, they will help you to maintain or rebuild your skills far more quickly than normal.</t>
  </si>
  <si>
    <t>Classy</t>
  </si>
  <si>
    <t>Unlike most of the uncouth sluts you’re forced to go to school with, you know how to maintain a good reputation and public image even if you’re getting gangbanged by a dozen Faunus studs every weekend. You’re intelligent enough to be the smartest girl in class too and have a world class artistic skill such as singing. Plus you know how to actually carry a conversation and be an entertaining date, instead of just a set of holes to fuck.</t>
  </si>
  <si>
    <t>Colours of Love</t>
  </si>
  <si>
    <t>Much like Hanami the Elephant, you’re a marvelous artist, applying the wonder and color you see in life to your art. Love fuels your artistic inspiration, and you can find inspiration for vibrant art from your bonds with others, giving your works a personal, unique sense of beauty. Though this does mean that you’ll have trouble finding inspiration through this perk if you feel depressed or lonely...
In addition, art is something open to all species, so with this perk, you can make art regardless of what appendages you have or lack, even things that usually need opposable thumbs. Actually, in general, things that require opposable thumbs are possible for you to do with any appendage.</t>
  </si>
  <si>
    <t>Containment Expert</t>
  </si>
  <si>
    <t>You are a master at reducing the collateral damage caused by your sex partners. Isolating girls before they can infect others is child’s play for you, and you are a master at catching the more athletic girls before they really start their rampage. In addition, you are also adept at handling any collateral damage that does happen, be it a horde of infected people or the pile of rubble that was once the gym building. This applies to anyone affected by a libido increasing and/or inhibition removing effect who you intend to have sex with. Catch that heroine before their Superpowered Evil Side can cause trouble, or clean up the aftermath of a magical girl’s fall to corruption.</t>
  </si>
  <si>
    <t>Ecstatic Strike</t>
  </si>
  <si>
    <t>You're good at teasing your partners sweet spots for all they're worth. This perk both increases the chance to find weak points, be it sensitive areas of their body or chinks in their armor, and amplifies the effect when you take advantage of them.</t>
  </si>
  <si>
    <t>Everything is Training</t>
  </si>
  <si>
    <t>Ranma fall - Katamimi Buta</t>
  </si>
  <si>
    <t>Just like Ranma you can always be used for training. No matter how tedious, mundane, or sexual as long as it's physical you can figure out how to use it for your benefit. Whether it's something like moving heavy boxes for strength training, balance training by walking to school on the top of the fence, gymnastics for flexibility, or orgasm resistance by edging. This makes it easier to come up with alternative training methods to gain the same skills so long as it's similar, such as grabbing piranhas out of a tank instead of taking chestnuts out of a fire.</t>
  </si>
  <si>
    <t>Femme Fatale</t>
  </si>
  <si>
    <t>Well, if they’re going to be so obsessed with your body you might as well use that to your advantage, right? You’re a master at using your appearance to your advantage in a fight, distracting your opponent to give you an opening to strike or escape. Of course, once they’re on the ground there’s plenty of things you might want to do to such deserving targets~.</t>
  </si>
  <si>
    <t>Food Preparation</t>
  </si>
  <si>
    <t>You’re such a good chef that they should invent a fourth Michelin Star just for you. But your real talent is in enhancing the effectiveness of the ingredients you use—specifically, the potency of foods that could be considered aphrodisiacs.</t>
  </si>
  <si>
    <t>Great Teacher [You]</t>
  </si>
  <si>
    <t>When it comes to teaching, you have one hell of a talent at it. At its base, this perk allows those you teach to learn twice as fast as normal. Show some skin, and that number starts getting higher, up to five times as fast while you're completely naked. Work sex into the lesson, like teaching someone how to use telekinesis by having them fuck someone with a dildo they're controlling? Don't be surprised if they learn in hours what should have taken them weeks. Though, that bonus is only for the one doing the /work/. In addition, the less clothes you’re wearing, the more your students will pay attention to what you’re teaching. Wearing tight clothes would be enough to keep the attention of a class full of normal high schoolers for the entire lesson. Wearing nothing but a speedo or bikini would do the same for a class full of second graders with ADHD.</t>
  </si>
  <si>
    <t>Horny Hacker</t>
  </si>
  <si>
    <t>There's most people, who can handle a computer well enough to surf the Net, and then there's hackers, who make them sing. You're the latter, able to hack your way into just about anything short of serious corporate security, using a wireless connection (or a console if you want to be old-school) to work your digital magic. You're particularly good at messing with your victims in various sexual ways, with things like remote controlled vibrators and cyberware meant for the bedroom taking practically no effort to subvert. That's not to say your skills aren't otherwise useful, most combat cyborgs for example aren't nearly as threatening when their cyberarms are stuck furiously masturbating.
You're just as talented in dealing with other hackers or even AI in cyberspace. The latter can be hacked into and taken over just like other software, just with more effort being involved in the process due to the active resistance. Other hackers present a more nuanced problem. Only the best of them would actually be able to sling code with you on equal grounds, but hacking into fleshy people isn't something you can do directly. Flooding their hardware with so much porn that it’s rendered useless on the other hand? That’s not too difficult to pull off. 
And if they made the mistake of engaging you through a direct connection or in full VR? You can use the biofeedback to fry their brains as well. Of course, instead of killing them through severe brain damage, this just scrambles your opposition's brains and leaves them as dumb and giggly bimbos. With how strangely common attractive hackers in skintight outfits are around here, it'd be a waste otherwise.</t>
  </si>
  <si>
    <t>I am a Dick Palace</t>
  </si>
  <si>
    <t>Whenever you’re on bottom during sex, you know just how to please your partner in such a way as to make them feel like they must have wandered into some dionysian paradise. At will, you could make your partners cum in less than a minute if you so chose.</t>
  </si>
  <si>
    <t>Infectious Fun</t>
  </si>
  <si>
    <t>CHC ~ Iro ni Somerarete iku Gakuen</t>
  </si>
  <si>
    <t>It’s time to party! CHC victims are having a genuinely good time with themselves, and others can see that. When it comes to sexual moaning you’ve got the pipes for a choir, and making honest but purely emotional arguments – especially hedonistic ones – comes naturally to you. It won’t convince everyone by any measure, but this style of charisma could probably convince a decent demographic of students to drink CHC while knowing the effects outright, and it’ll stay useful for similar tasks down the line.</t>
  </si>
  <si>
    <t>Inspiration to Incubi, Superstar to Succubi</t>
  </si>
  <si>
    <t>In sex demon school, a succubus or incubus will learn how to give their partner so much pleasure that they’ll completely forget about all the women and/or men they ever cared about in the past. You have a level of sexual skill equal to a succubus or incubus valedictorian. You also have a comprehensive understanding of how to adapt sex acts to different species, as well as knowing how to make any given sex act more titillating to an audience without decreasing the pleasure it gives your partner or yourself . You do not, however, know the technique of how to give some one so much pleasure their soul flies out of their body.</t>
  </si>
  <si>
    <t>King of the Campfire</t>
  </si>
  <si>
    <t>Good quality food is hard to come by when you’re trekking through the wilderness or living off the land, or at least it is for most heroes. You’re a master chef who can make mouthwatering meals using the simplest ingredients. All you need to make steaks fit for a king is a cut of meat and an open flame, and you’re able to improvise all kinds of other meals with whatever random ingredients you scavenge from the wilderness. Eating anything you’ve cooked is the next best thing to sex, a nearly orgasmic experience certain to bring you closer together with anyone you happen to share it with, whether they’re adventuring companions or potential love interests. These skills also apply to any other forms of cooking you may have learned, such as making potions and elixirs using monster parts or other exotic ingredients.</t>
  </si>
  <si>
    <t>Mechashift Crafter</t>
  </si>
  <si>
    <t>All students at Signal craft their own weapons, but you went above and beyond in those classes. You understand everything about the transforming weapons that huntresses and huntsmen use, and know-how to engineer and forge any of them from scratch. You’ve also turned your study in a lewder direction, knowing how to make mechashift sex toys, everything from ben wa balls that unfold into something larger once inserted to making a dildo you can disguise as a weird looking toothbrush.</t>
  </si>
  <si>
    <t>Rape-Jitsu</t>
  </si>
  <si>
    <t>Now you may be thinking, isn’t this just Erotic Grappling? Well, not really. This is literally taking the real martial arts of Jujutsu and adds certain abilities to it. For one, you are able to grapple, throw, and disrobe individuals in one or two moves. Another ability is to literally have the ability to rape an opponent in a pin or submission hold without anyone able to stop you. Seriously, they can hit and beat you all you want, but you won’t take any damage from it. As long as you are having sex (consensual or not) with your opponent, you literally cannot take physical damage from anyone around you.</t>
  </si>
  <si>
    <t>Softly Spoken Big Stick</t>
  </si>
  <si>
    <t>A firm quarterstaff made of oak wood, this item may allow you to ease the burdens of Monsters in this world. When used as a weapon it is as durable as steel, and instead of damage it inflicts pleasure, slowly draining your opponent’s will to fight and ability to resist, particularly lethal strikes with this may even cause a mind numbing orgasm cascade to the target. It’s other use is that it acts as a symbol of peace and diplomacy, thus you can present yourself as a mediator in a situation to which others will listen. Wants such as hunger are dulled but not forgotten so that the parties involved will be able to make rational decisions about what you have to say. This does not make it any easier to convince someone but they will listen to you for as long as you have something meaningful to say. This other use does not work if you are merely stalling for time by holding a parlay and is heavily based on benevolent or fair intent.</t>
  </si>
  <si>
    <t>Virtual Persona</t>
  </si>
  <si>
    <t>But this is the information age, the age of the Net. Why dance in some old club, when you could instead reach across cyberspace to "entertain" many more? You’re an expert in virtual shows, camming, and making your own porn. It barely matters for you if you’re doing it live or have your videos edited to perfection, you’re camera-ready at all times and can affect people at least as well through messages and videos as you could in person. Just your expressions and voice are more arousing than most people’s touches. 
Oddly, it also doesn’t seem to matter for you if you’re actually showing your real face on camera or using a digital avatar like an anime character. Your virtual avatars stick in people's minds just as well or even better than your actual appearance. You could drive people crazy for you through VR interactions and thrill even the most jaded porn addicts with your videos. This comes bundled with some minor skill at going through several proxies, just to discourage any of your 'fans' from trying to find you in meatspace.</t>
  </si>
  <si>
    <t>Way of the Rope</t>
  </si>
  <si>
    <t>Those who train in the ways of the rope masters learn to turn their skill at bondage into a weapon, making them every bit as capable on the battlefield as they are in the bedroom. You're a skilled fighter who wields ropes, whips, and other other tools of bondage with all the same strength and skill as an exorcist's blade. Empowered by your spiritual strength, you've mastered an arsenal of secret techniques and can do battle with superhuman enemies like ayakashi using your martial and magical skills as well as your considerable sexual prowess. Perhaps you bind your foes from a safe distance, laying traps and shaping the battlefield like a spider weaving his web around his victims, or perhaps you combine your ropework with martial arts so that every blow you land binds your enemy tighter and tighter until they're totally helpless to resist you. Fighting in this way torments your opponents with pain and pleasure, draining strength and magical power from them with each blow you strike, and should you bring an adversary to climax even the strongest foes won't be able to escape losing a good chunk of their strength in an explosion of orgasmic bliss.</t>
  </si>
  <si>
    <t>Wetwork Whore</t>
  </si>
  <si>
    <t>For every good runner, there’s a dozen amateurs who won’t last a month in the business. You’re not just one of the bright-eyed rookies looking to get into the mercenary and shadow operations business, you’ve got the skills and experience of an actual runner. 
Stealth, infiltration, combat... You’ve got it all, along with a toned and athletic body. How to hide yourself and the evidence of your trysts. How to sell a disguise as a whore or a stripper (you’d be surprised how many places you can get into like that). How much skin to show for maximum distraction, while still retaining some functional armour. 
Martial arts and acrobatics that could double as erotic dances, plus enough practice with them to know exactly when to flash an opponent for an opportunity in a fight. You’re a crack shot and equally adept at wielding both katanas and oversized sextoys. Most importantly, your training has also given you the stamina to amaze anyone you get in bed with, not to mention abs you could grate faux-cheese on and an ass you bounce a neo-quarter off.</t>
  </si>
  <si>
    <t>"Sex Toy Savant"</t>
  </si>
  <si>
    <t>In an era of sciences beyond our wildest dreams, sciences we cannot even conceive in a modern mindset, the perverted make advances like everyone else. You friend, are a pervert, but a genius one. You use the cutting edge technology of your era to make sex machines and toys that boggle the mind with complexity. Holographic memory vibrators conforming to inner walls, body hugging sex chambers that directly please the nervous system with electrical pulses and even lifelike androids are included in your portfolio of inventions. Your technical genius seems to fall short when not working to perverted ends, but still gives you a leg up when trying to figure out new tech.</t>
  </si>
  <si>
    <t>A Spark of Madness</t>
  </si>
  <si>
    <r>
      <rPr>
        <sz val="13"/>
        <color theme="1"/>
        <rFont val="Calibri"/>
        <family val="2"/>
      </rPr>
      <t xml:space="preserve">Greatness does not spring from mundane roots. The greatest geniuses are also madmen willing to spit in the face of common sense, and you have that spark of madness in you. Within your mind is a perverse wellspring of inspiration, and by immersing yourself in it you gain superhuman focus and the ability to ignore your basic biological needs such as food or sleep or similar things that might distract you from the task at hand, though you will need to recoup all of your “debts” once that task is complete. The products of this “Madness Place” will tend to be skewed towards perverse uses in one way or another, but they will always be highly effective at their intended purpose. You also gain an impressive maniacal laugh, as well as the ability </t>
    </r>
    <r>
      <rPr>
        <b/>
        <sz val="13"/>
        <color theme="1"/>
        <rFont val="Calibri"/>
        <family val="2"/>
      </rPr>
      <t>TO DRAMATICALLY EMPHASIZE YOUR WORDS!!!!</t>
    </r>
    <r>
      <rPr>
        <sz val="13"/>
        <color theme="1"/>
        <rFont val="Calibri"/>
        <family val="2"/>
      </rPr>
      <t xml:space="preserve"> and still be taken seriously.</t>
    </r>
  </si>
  <si>
    <t>Advanced Footwork</t>
  </si>
  <si>
    <t xml:space="preserve">Only now could you consider yourself the equal of someone like Komura. Perhaps you’re even a member of the same lineage? You can do more with one foot than most people could with both hands. You could comfortably go your whole life without ever using your hands, and barely notice. Your feet have the grip to not only hold a baseball bat, but consistently hit home runs with it, the precision to use a whip with pinpoint accuracy, the balance to spend hours on a tightrope, and flexibility rivaling that of professional contortionists. Your general athleticism boggles the mind, allowing you to excel in almost any sport you try your hand… er, foot at. </t>
  </si>
  <si>
    <t>An Adult's Technique</t>
  </si>
  <si>
    <t>A more advanced technique of the Komurai lineage, but one useful both for romance and self defense. You are able to use your kicks to precisely strike the pressure points of another person, causing their physical sensitivity to skyrocket. It only takes a light tap on an unresisting target, but this can also be used in combat to incapacitate a weak-willed opponent.</t>
  </si>
  <si>
    <t>Anal-ysis</t>
  </si>
  <si>
    <t>Doesn’t the pursuit of knowledge just get you so hot? The study of new technology. Learning a new spell. Or just figuring out how one works. Now, the more aroused you are, the easier it is for you to understand how a piece of machinery or a spell works.</t>
  </si>
  <si>
    <t>Battle Angel</t>
  </si>
  <si>
    <t>You might not appreciate all the attention your beauty gets you, but if people insist on leering at you then you may as well exploit it for all it’s worth. The way you fight is effortlessly sexy and extremely distracting to your enemies, preventing them from fighting at their best unless they come at you with no intent to kill. 
Whether you’re doing acrobatic assaults that make your tits bounce invitingly or high kicks that flash your panties at everyone in line of sight, your fantastic looks are dazzling enough to make it almost impossible to draw a bead on you with lethal intent. You can brawl with a dozen soldiers at once or effortlessly dance through a hail of gunfire and come out without a hair out of place as long as your enemies insist on trying to kill or maim you, although if they decide they’d rather capture or have their way with you then this sexy distraction will cease to be of any help to you. 
Enemies without a libido, such as robots, are also immune to this effect. On the bright side, anybody who exploits this weakness won’t suddenly change their minds and execute you once they knock you out or tie you up no matter how much they might normally want to.</t>
  </si>
  <si>
    <t>Cunning Linguistics</t>
  </si>
  <si>
    <t>Codebreaking is one of the things most commanders never think about until after they’ve found out how much the enemy has managed to decrypt. Fortunately, you’re a good code-talker. You can hide a request for a booty call in a perfectly innocent conversation about the construction progress on the new warehouse on base. No subtext, no prearranged code words, no stenographic pattern to find when running records through audio analysis software. Just ordinary talk. You can also do the inverse, hiding a conspiratorial conversation in orgasmic moaning and dirty talk. It works over radio, too.
Of course, the other parties in your secret conversation need to be able to understand you, so they get a temporary copy of this. You can exclude someone present and involved in the “normal” conversation from the hidden conversation, and evesdroppers are excluded by default. 
You’re also good with your tongue in sexy ways, ascending several levels of skill in oral sex.</t>
  </si>
  <si>
    <t>Demonic Delights</t>
  </si>
  <si>
    <t>Even if you’re not a succubus outright, pretty much every monster girl has a little sex-demon blood in them, and in you that blood runs thick indeed. As long as it has something to do with sex, you’ll find yourself naturally talented at it, from lewd spells and potions, to seduction, to the actual act itself. Even if you are completely inexperienced, you could give someone a night that they won’t forget for a long time to come.</t>
  </si>
  <si>
    <t>Friendly Neighbourhood Rapist</t>
  </si>
  <si>
    <t>Despite being ninja a lot of the locals don’t seem to understand how stealth works, from that one loud kid in the orange jacket to those two weirdos in bright green spandex. You’d think a massive guy like you would have his own problems with stealth, but you’re highly skilled at disguising exactly how dangerous you are. Not only can you be perfectly silent when the need arises, just like any good ninja, you can also hide your presence and power to make yourself seem like a harmless bystander instead of a deadly assassin or an apex sexual predator. Unless you’re incredibly careless other men will simply fail to notice the threats you pose to their relationships until it’s far too late, whether they’re failing to suspect that their wives may have ulterior motives for hiring the same strapping young genin over to “clean the house” again and again, or sleeping through the festivities as you impregnate their daughters on the other side of a paper-thin wall.</t>
  </si>
  <si>
    <t>Fucking and Fighting</t>
  </si>
  <si>
    <t>Sure, it’s fun to get down and dirty with someone, but that’s just leaving you open to a sneak attack. That’s why you’re always aware of your surroundings, even in the middle of an orgasm. You could react to a surprise attack during sex—and even keep fighting while you’re balls-deep in your partner. It might swing them around a bit, and there’s no guarantee they’ll be happy with you, but it won’t detract from your ability to battle.</t>
  </si>
  <si>
    <t>Getting your Hands Dirty</t>
  </si>
  <si>
    <t>Most of your partners don’t need to be blackmailed into doing what you want but it can’t hurt to have leverage over the few who do. You’ve got a knack for acquiring dirt on other people, especially dirt with a sexual context. As long as you have a camera or other recording device on hand you’ll automatically obtain incriminating information as it occurs around you, and you can tell instinctively when you’ve got something juicy enough to guarantee that your target will cooperate with you instead of calling your bluff or going to the authorities. Naturally the sexual favors you can extort out of them can then be used as even more blackmail, so once you’ve got them under your thumb they’re never getting out again.</t>
  </si>
  <si>
    <t>Globalize Harlotry</t>
  </si>
  <si>
    <t>You are the epitome of a well-traveled individual. Everywhere you go, you will be able to learn the language, culture, and even the small nuances of a society with just a momentary glance and a short conversation with a native. But that’s just the beginning of your abilities, Master/Madame. With that understanding comes the ability to blend into that society as if you were born into it. You can adopt their mannerisms, slang, and even religious connotations. Any native that comes across you will believe you were a native of the society, even when you look different. Visiting a rather prudish and sexually repressive culture? Well, with this perk you are able to subtly shift their perception and perspective of sexual activity to mimic your own preferences. Sure, it’s just temporary for while you are visiting, but that’s long enough to have some fun.</t>
  </si>
  <si>
    <t>Grinding Speech</t>
  </si>
  <si>
    <t>Here’s a little know fact - doing something will make you better at it. Shocking, right? But anyways, here’s something to help with that. Sex, of any kind, will increase your charisma and or speech skills. Hell, even someone agreeing to sleep with you. The more you sleep around, the more charismatic you become. So sleep around a lot, and you could have an entire town of women (and some husbands) eating out of the palm of your hand. At the same time.</t>
  </si>
  <si>
    <t>Hot for Teacher</t>
  </si>
  <si>
    <t>Few teachers are better-suited to prepare their students for the world of adulthood than you are. After all, most teachers these days completely neglect to give their students a proper course in sexual education, and that’s exactly where your talents stand out the most! You’re one of the best teachers a student could ask for, and those who study under you will learn as if they had a natural talent for any subject you teach them. Students of your preferred gender(s) are especially enthralled with your lessons, especially when you give them more personal incentives to excel. The more intimate you become with your students, the faster they learn and the more they can learn. You could even turn a bimbo into an honor student with enough injections of Vitamin ‘D’.</t>
  </si>
  <si>
    <t>I Had Sex with a Wolverine ... And Survived!</t>
  </si>
  <si>
    <t>Zookeeping is a dangerous business under normal circumstances, let alone when you’re trying to romance the still- wild animals. Lions might suffocate you, bears might eat you, hyenas might forcefully rape you, etc. In such scenarios, escape is unlikely, so you need to survive, not show weakness, and calm their troubled hearts. Easy, right? 
You can retain your mental concentration and charisma no matter the pain or stress you’re feeling, to the point that you could gently talk down someone who’s currently eating you alive – heck, you could continue to have sex with them throughout them trying to kill you, and even make them orgasm. 
In fact, this perk strengthens your sexual prowess when you are struggling against someone or suffering pain, to the point that you could weaponize your sex and overwhelm an apex predator with the intensity. But even without sex, you also become more charismatic when under pressure or pain, allowing you to continue to talk someone through their traumas even as they gore into you. Please note that the perk also applies to “beast taming” in general, being able to withstand the instinctive attacks of your fierce yet precious animals as you calm them down. 
The perk also increases your physical endurance, such that you can survive a gulo attack or endure a “first night” of mating with the entire zoo (fun fact – lions can mate up to 50 times in a single day).</t>
  </si>
  <si>
    <t>Instrument of Fate</t>
  </si>
  <si>
    <t>Long ago, a sorcerer tried to use his magic to enslave a legendary demon lord to his will, but the ancient demon was far too powerful. Luckily, a nearby peasant heard their battle, and managed to distract the monster long enough for the wizard to destroy it. The sorcerer was totally stoked to be alive, and so sought a way to repay the brave yokel. Fashioning from the remains of the beast an instrument beyond all compare, a fine gift for his new friend, something that could be used to win the heart any maiden one desired.
And now it has fallen into your hands. This instrument of your choice helps any who use it to instinctively play and write music of truly masterful quality, always well beyond their normal best, no matter how good they might have already been, even their singing voice is greatly improved. Romantic serenades in particular are enhanced by an astounding degree, capable of leaving any who hear you moist, yearning, and oh so easily seduced into your bed. It can also vastly power up any music or sound based abilities that you channel through it.</t>
  </si>
  <si>
    <t>Just Wait Your Turn</t>
  </si>
  <si>
    <t>What more appropriate failure is there for a betrayer, then to have their betrayal hijacked with barely any effort. When you’re caught up in some betrayal, whether as the target, or just an innocent bystander, you almost always recover, physically, mentally, and emotionally, far sooner than you should, and far sooner than anyone else caught up in the betrayal. What’s more, you always know if and how to steal a betrayal for yourself, using the original traitors own preparations to get up to some treachery of your own. Now, this won’t do anything if no such chance exists, but if it does, you’ll know how to take it, even before you have any intention to do so.</t>
  </si>
  <si>
    <t>Little White Rat</t>
  </si>
  <si>
    <t>Most injuu are mindless beasts but some are as intelligent and crafty as any human, like the imposter Clio who duped Karen and Mizuki into becoming his unwitting pawns. You’re an outrageously manipulative liar when you choose to be, spinning webs of deceit as naturally as you breathe with a perfect poker face that betrays no hint of your deceit. You can easily fabricate a false identity and spew bullshit by the bucketload while keeping all your fanciful stories straight in your head so you’ll never carelessly give yourself away by forgetting your own stories. Moreover, the more that a person buys into your bullshit the more trusting and vulnerable they become, allowing you to lead them further astray. You might introduce yourself to a pair of magical girls as a new friend and gain their trust, and within a week or two they’ll be so wrapped up in your lies that if you tell them the only way to beat a sex monster is to have sex with it they’ll simply take it at face value instead of trying to purify the beast like they would for any other monster.</t>
  </si>
  <si>
    <t>Master of Disguise</t>
  </si>
  <si>
    <t>“Shoot them, Master/Madame! They’re the fake here!” A surprising cliche, but one that seems to work in your favor now. Your skills at disguise and imitation are good enough to fool even the longest and closest of friendships. Even somepony’s sibling might be unable to tell the difference between you and the pony you are imitating. 
Naturally, with the ability to take someone’s form, you excel at taking the other things in their life for your own. Let somepony else put in the work of romancing a lovely mare, she won’t be able to tell when you tag in for your turn in the bedroom.</t>
  </si>
  <si>
    <t>Orgasmic Extraction</t>
  </si>
  <si>
    <t>You have mastered using elaborate setups to extract 'orgasmic energy' from one or more donors, which can then be substituted (in sufficient quantities) for other types of energy, be it mana, 'life energy’ or simply massive amounts of electric power. The precise setup, from ritual circles calling tentacles through portals to mechanical rape machines, must be tailored to the specific application it is fueling. It may take hours to complete as it weakens the donor’s ability to resist further climaxes, but only does so when the last of the donors involved is overcome. The rarer, or larger, the amount of energy you require the more that will need to be taken from the donors, and there is a chance that there may not be enough for the intended purpose. However more attractive donors and more 'intense' setups provide more energy and any reserves of the desired energy that the donors lossess can be tapped through the setup.</t>
  </si>
  <si>
    <t>Path to Control</t>
  </si>
  <si>
    <t>You have a knack for spotting the easy targets, be it someone who's highly suggestible, someone who's naturally submissive, someone without a support network, or just someone who's vulnerable when they otherwise wouldn't be, and you know in what ways as well. 
You’re able to see high priority targets too, the ones who would serve you best, the most capable and valuable ones who will make everything else you try to do so much easier. Whether it's because they're a magical powerhouse, they have ridiculous but untapped potential, they possess a keen tactical mind, or they're the one person your true target seems to get along with, you'll be aware of it.
But it’s not enough just to know who to target; you need to know how to bring them under your control, and so you shall. You are preternaturally aware of the best way to recruit someone, mind control or no mind control, where they’re weak, which psychological faultlines to take advantage of, whether you should be slow and subtle or go hard and fast, and more.</t>
  </si>
  <si>
    <t>Pressure Points</t>
  </si>
  <si>
    <t>You know all sorts of pressure points on the human body, from the weakness moxibustion to lewd ones that enhance your libido. You know both how to apply them and counter them even to yourself. Be warned some shouldn't be applied all the time. That's a good way to have a heart attack.</t>
  </si>
  <si>
    <t>Sex Toy Innovation</t>
  </si>
  <si>
    <t>While the creation and modification of beings is a worthy pursuit, sometimes you require aids or wish to empower others without modifying them. This lets you create powerful sex toys that enhance a person’s ability to inflict sexual pleasure. Some examples include the Succubus Hand, a smooth latex glove that can inflict pleasure through Energy Drain when activated or enhance the Energy Drain of the user, claws made of soft feathers that can be controlled and targeted with immense dexterity, or gloves that are covered in breasts that increase the flavor of anything milked using them, to name a few. You know how to make all of these, and even improve upon them with research, and while most of these are gloves it would not be hard to make sex toys in other appearances This also lets you create a variety of auxiliary devices such as those that can influence the mind or change perception when one is placed into them. Such dark knowledge is an affront to Ilias but it is within your reach.</t>
  </si>
  <si>
    <t>Sexual Training</t>
  </si>
  <si>
    <t>You can train any ability by having sex. Whether it’s trained by getting cummed in or bringing someone to orgasm is up to you, but both will work just fine. The more sexual pleasure you both give and receive, the more of a boost to your abilities you gain. An hour of the most intense sex of someone’s entire life could be the equivalent of dozens of hours of more mundane sexual intercourse, boosting your abilities by the equivalent of weeks to months of training in one night. Fuck your way to the top of the world!</t>
  </si>
  <si>
    <t>Tentacular Grappler</t>
  </si>
  <si>
    <t>A youma’s tentacles are his most reliable tools for capturing and subduing prey, especially superpowered girls like the Senshi. Not many humans know how to defend themselves against half-a-dozen limbs trying to capture them all at once, or how to wriggle free once they’ve been caught. You’re exceptionally skilled at splitting your attention between many different tentacles or other limbs, especially when grappling and pinning or ravishing your victims. Not only are you effectively a one man gang bang able to fight and fuck several girls simultaneously with no loss in performance, but whenever you use more than two limbs to fight or restrain any single person you become almost exponentially more difficult to avoid and escape for each additional pair of limbs used, your sheer dexterity and coordination making it more and more difficult for your victims to track them and prevent one from slipping past their defenses. Mastery of leverage also makes your limbs much stronger once they’ve successfully grappled a victim, enough so that even weak youma can keep a grip on a struggling Sailor Senshi once you have her in your grasp.
This perk also comes with a retractable pair of hentai tentacles, just in case.</t>
  </si>
  <si>
    <t>The Shirt off Your Back</t>
  </si>
  <si>
    <t>Your stealth and sleight of hand skills are quite frankly far beyond what should actually be possible. You could well sneak around in a brightly lite and crowded room with good odds at remaining unseen. Even more impressively your hands are so fast that if you are unnoticed by your mark, in a flash you could steal their armor and clothing right off of them, perhaps the weapon in their hand as well, and all without them even noticing the change. Do note that such incredible acts of theft are much harder to pull off if they already know you're there, and are ALMOST impossible to do if they're actively trying to defend themselves from you in combat or suchlike.
Yet should some unnoticed stripping not be enough, you could also use the same tricks to fondle and molest someone without them ever knowing why they are getting all hot and bothered, being unable to tell that it's an outside force that's acting them. However, all of the above caveats do still apply to this as well, so do try to be otherwise subtle.</t>
  </si>
  <si>
    <t>Therianthrope Samples</t>
  </si>
  <si>
    <t>A supply of therianthropes - braindead, half torn to pieces by the fight that brought them down, but technically “alive”, preserved in liquid-filled tubes. There’s a lot a mad scientist could do with
these samples, whether it’s transplanting their Cores into regular humans to make Bio-Weapons, reverse-engineering their mutations into something you can install in a super soldier, or even rigging them with cybernetics and throwing them back into the field for Round 2. I’m sure you’ll think of something to do with them?</t>
  </si>
  <si>
    <t>V-Ko Nursedroid</t>
  </si>
  <si>
    <t>This is a high-end Nursedroid, and can do anything any other Nursedroid can, and some things that are from other robot lines. It has a dedicated database of species and illnesses that will auto-update itself, and it can also collect data on encountered pathogens, flora, and fauna, including sapient races, for future study. All of the V-Ko line has internal miniaturized manufacturing for drugs. Your model has an unlocked database, allowing it to produce any drug you need, and can analyze drugs or liquids by consuming them orally for further production. It also has the ability to create and dispense a wide variety of milks from the lactating breasts. 
The V-Ko IVs have a multi-purpose tail called a JoyCord that also lets them recharge, dispense dermal-penetrating aerosol blasts, and equip a wide variety of equipment on the end, including their own vaginas, a penis model, and other medical equipment. The tail has the ability to drain the internal battery in order to emit an electrical blast. In addition to dispensing drugs from the tail, they can also be applied via the lips or hands of the unit, or liquid forms dispensed via lactation. Physically, the IVs have synthetically lubricating vaginas that can be removed and used externally of the unit, and assholes. They can inflate or deflate their chest or ass regions as needed. This particular unit has the ability to store semen in their liquid storage tanks, and convert it to a safe, nutrient-rich sludge. Personality wise, this VI is intended to be sensual, and this particular model has been equipped with a non-standard pleasure-reward program that lets it feel the digital approximation of orgasm in organics.</t>
  </si>
  <si>
    <t>Veteran Hunter</t>
  </si>
  <si>
    <t>Ok, now you’re moving up into the big leagues. Your combat skills have advanced a lot since you were a green hunter culling his first pack of wolves. You’re a lot stronger, faster, and tougher than an ordinary human now even without the benefit of your armor and weapons, and you can read the flow of battle to find openings in your opponent’s guard. But your finest achievement is mastery of the chain attack, a technique that allows you to deal multiple blows with a single swing of your blade. Of course this also has benefits to having sex, because why wouldn’t it? Your enhanced combat awareness also comes in handy when you’re in the middle of a gangbang or other forms of group sex, making it much easier to please multiple partners simultaneously.</t>
  </si>
  <si>
    <t>Way of the Ninja</t>
  </si>
  <si>
    <t>The Sheikah and Yiga clans are masters of the shadows and have much to teach those who are willing to learn their ways. Whether you were born into the clan or adopted, you’ve received training in the Sheikah arts and have mastered the way of the ninja. Your skills for stealth and subterfuge are nearly flawless and include both conventional and erotic tactics of equal effectiveness. With surprise on your side you’re able to instantly subdue your targets as quickly and silently as you might slit a man’s throat, whether with a rag of sleeping powder or by binding and gagging them with lightning speed. Beyond the conventional skills of stealth, disguise, lockpicking, silent movement and so on, you’ve also been taught many closely-guarded secrets of ninja magic, from instant disguise to short-range teleportation to creating shadow clones, useful for combat, distractions, or the occasional one-man gangbang. With training you might one day become a match for the likes of Impa or Master Kohga with these powers.</t>
  </si>
  <si>
    <t>Ambrosial</t>
  </si>
  <si>
    <t>Myths tell that the gods of Greek pantheon dined on ambrosia, a substance beyond mortal comprehension. Well, might as well call what you whip up that now too. The tastes you can conjure now transcend the simple, physical sensation of eating and deeply touch the soul. What feeling you pour into your work can then be vicariously, rapturously felt by those whom partake, and this to include beings beyond the mortal coil and across all species boundaries. Ancient dragon goddess of Wrath? Good old Southern comfort food would have them purring like a kitten in no time.</t>
  </si>
  <si>
    <t>Matchmaker</t>
  </si>
  <si>
    <t>You are the BEST match maker in the world. You are able to tell at a glance a person's kinks, pet peeves, likes, favorite foods, and other things about a person. And people who long for a lover but just cannot find/get one on their own, seem to be drawn to you, like it was fate. Your also able to tell if they would make a good girlfriend/boyfriend to yourself or anyone you know.</t>
  </si>
  <si>
    <t>Prodigy</t>
  </si>
  <si>
    <t>You are a legend in the making. Like the Invincible Girl Pyrrha Nikos you could take four other skilled peers by yourself without breaking a sweat. You gain fame quickly when you work to promote yourself, offers of interviews with cute reporters and breakfast cereal endorsement contracts rolling in, and tend to gather fan clubs of attractive groupies for your exploits. And you’re as skilled a lover as you are a fighter, either from practicing with all those groupies or because you’ve been training just as hard to prepare for that one special someone you’re hoping to meet.</t>
  </si>
  <si>
    <t>Automated Tyranny</t>
  </si>
  <si>
    <t>This is a bit odd. It seems that you have the strange ability to take any technique you know and build a piece of technology that does the same thing. From lasers that implant commands into a victim’s mind to pods that do all the work of sexually subjugating prisoners, you can make devices that will save you tons of time that’s much better spent...I don’t know, napping? In any case, you also gain a mental cache of sex toy blueprints to start you out and help you get used to things, as well as the skills needed to build them quickly and efficiently. First onaholes, tomorrow the world!</t>
  </si>
  <si>
    <t>Fuck the Man</t>
  </si>
  <si>
    <t>This world is controlled by giant megacorps and there is little the people living in it can do about it. But maybe the people fucking in it can make a difference, because things just work out better for you if you mix some sexual tactics into the good fight.
To put it simply, the lewder you are, the more success you'll find as a runner. Just having regular sex will let you push your body and cyberware just that little bit further, giving you a slight but noticeable edge over everyone else. But the real benefit of this only comes into play when you start to mix business with pleasure.
The more sex and carnality you indulge in during your jobs and fights, the easier they get. You run into opportunities to solve things in sexual ways far more often than you should, like the way you always seem to run into the most attractive security guards this side of the city, and using sexual tactics to achieve your goals tends to work out improbably well for you. You might seduce your way into getting your hands on top-secret info and access, distract the elite guards of even the most secure facilities with a gangbang, or get through corporate ICE using a security gap that involves digitally fucking security’s avatars.
If you managed something truly ridiculously debauched, you might even be able to take on a corp head-on. Dismantling power structures and revealing conspiracies through the power of incredibly wild public orgies or something like that. Just keep in mind that megacorps aren't known to give up easily or take things lying down. So either get out on time or make sure you have the stamina to keep fucking them.</t>
  </si>
  <si>
    <t>Long Live the King</t>
  </si>
  <si>
    <t>With the royal family either missing or long dead someone needs to step up to lead the survivors and start putting Hyrule back together and it may as well be you. You might not have a royal bloodline but you have everything else needed to be a worthy king, from natural charisma to mastery of any mundane leadership skill you might care to name. Most of all, you inspire great love and devotion from your subjects (provided that you don’t mistreat them, of course) and inspire them to follow your example. If the king enjoys BDSM then expect to see leather and chains become very popular attire, and if the king passes laws sanctioning the slave trade or requiring criminals be punished with time spent in the stockades as free-use sex slaves then expect them to be embraced with minimal complaint. Curiously, you’ll find that these sorts of policies are far more effective and beneficial for your kingdom than they really should be: bandits in the stockades make crime rates plunge dramatically, and the slave trade becomes an immense boon for the economy. Your kingdom and subjects will thrive not despite how lewd they are but specifically because of it.</t>
  </si>
  <si>
    <t>Nanite Knowledge</t>
  </si>
  <si>
    <t>You have expert knowledge on the science and programming behind bio-nanites. These airbourne protien/enzyme nanites are incredibly adept at manipulating organic matter, allowing for almost any alteration to a person's physiology. 
You gain the knowledge necessary to produce these bio-nanites in several set configurations (lewd ones, of course) but can, with effort and the considerable intelligence boost that you are also provided, learn to utilise the full potential of this incredible invention. Just be careful not to let them loose without significant care. Grey Goo scenarios are all the more horrific when it's only biological things that are dissolving.</t>
  </si>
  <si>
    <t>Robotics</t>
  </si>
  <si>
    <t>When you were young, you had a dream: a sexbot with a soul. Unfortunately the military wouldn’t fund that, so you had to learn how to put other capabilities into the sexbot to justify the immense cost. You are now the equal to Dr. Polendina, whether you studied under him or are a rival genius. You have the engineering knowledge to build robots from the simple Knight all the way up to soul and aura bearing androids like Penny. Given the right resources, you could create a tentacle robot or something useful like a giant mecha or a machine to transfer aura from one person to another.</t>
  </si>
  <si>
    <t>Soul Fucking</t>
  </si>
  <si>
    <t>You’ve mastered the succubus technique of causing someone to experience so much overwhelming pleasure that their soul escapes from their body without death . But little do they know, that’s just when the fun begins. You see, the soul is the very essence of who someone is. Which means that any scrap of pleasure the soul experiences is felt by every last piece of one’s entire existence, from their skin to their organs to their very cells to their every thought. And because their soul has already left the body, they’re unable to escape into unconsciousness, and without the limits of their flesh they can orgasm without end. Outside of the body the soul just looks like a blob, but you know the secret succubi/incubi techniques to shape it into whatever fun toy you want. Because they’re actually still alive, if you leave the soul alone for a while it will snap back to its body, although a small ritual will allow you to keep it separate from the body entirely until you push it back in. You can teach other people the effects of this perk, but make sure they’re someone you can entrust your soul to.</t>
  </si>
  <si>
    <t>Sufficently Analysed Magic</t>
  </si>
  <si>
    <t>Science is mankind’s ultimate weapon against an uncaring universe and the monsters which inhabit it. Any fool who claims that something cannot be understood or was not meant to be known simply lacks vision and dedication. You have the capacity to understand and dissect the workings of any phenomenon that you are able to observe, no matter how alien or esoteric it might be. A magical girl’s transformation magic could be broken down and reproduced in the form of a henshin device, while an eldritch horror’s regeneration power could lead you to a cure for cancer, or of cloning the beast and creating loyal monster spawn based off of it. 
Naturally your perverse proclivities color the effects of your work: lewd experiments will greatly increase your rate of progress, and while you are able to produce “ordinary” technologies with this perk, you will find it a much easier process if your work contains side-effects or dependencies of a perverse nature. Certainly you can learn how to harness the power of love as a renewable energy source but if that source requires a magical girl to be hooked up to a fucking machine and used as a human generator then so much the better!</t>
  </si>
  <si>
    <t>The Pervert of Tomorrow</t>
  </si>
  <si>
    <t>Not many versions of this world are explicitly futuristic or hold incredible technology, but certain occurrences are common enough that it makes one wonder. You might just be the reason for that, or one of them at the very least. You are now skilled enough to create advanced technology such as tangible holograms or sex robots strong enough to rape grown men and skilled enough to make them learn to love it, global systems that identify a person's sexual preferences and censor undesirable elements, or even create technology to stop time as long as you have the resources. One way or another these things tend towards perversion, meaning you can't just trap people you dislike in sensory isolation or kill someone within the frozen time, but you'd be surprised at what enough rape can achieve. Similarly, you’ll find that turning existing inventions to lewd purposes allows you to make a number of upgrades to them, or possibly to churn them out dirt cheap.</t>
  </si>
  <si>
    <t>Tohsaka Family Technique</t>
  </si>
  <si>
    <t>So let me tell you a funny story that starts with an arranged marriage, and ends with the Tohsaka family head at the time running out on his fiance with a ton of research on gem related magecraft. It’s what founded the Tohsaka family of today. But prior to that, their method of reaching the root was through some form of martial arts. You must be some sort of throwback, because you’re capable of using that style. It’s a mix of a dozen different normal martial arts, seven different reinforcement techniques, and a whole lot of spells that can be summed up as ‘I cast Fist’, or somehow involve doing so as part of their usage. ...There’s also one of the best massage techniques in the world trapped inside your brain alongside all this fighting, and entirely too many bedroom arts. Like seriously, heroic spirits who became heroic spirits because of how much they slept around would be in awe of the sheer lewdness you can bring to bear. At least that explains HOW your family managed to steal all that info on gemcraft.</t>
  </si>
  <si>
    <t>We Can Rebuild Them!</t>
  </si>
  <si>
    <t>Thanks to your immense genius, death is no longer the end for those around you. You can bring them back, make them better! Using cybernetics, you can now upgrade even a normal person to a mid-tier brute. And perhaps add a few other upgrades... A rotary dildo, some titty missiles. Upgrade those knees so they have no problem being on them for a long time. Too bad you can’t do it to yourself.</t>
  </si>
  <si>
    <t>Fluid in Form</t>
  </si>
  <si>
    <t>This whole setting is about changing yourself, and yet still being you. Your body is now more receptive to changes, but more so for positive ones. If you want to lose weight, hit the gym, and you’ll start gaining tone and shedding fat, and you’ll never have to worry about excess skin from any rapid changes. Color changes are complete ones, so you never have to worry about the roots of your hair showing that you dyed it. And no matter what you do to your body, how much you change it, even if you had a complete gender change in both form and mind, then people will still know who you are and accept you for it. Lastly, you may choose to toggle this perk on and off, if you would rather have some stability in your life.</t>
  </si>
  <si>
    <t>Genital Mod</t>
  </si>
  <si>
    <t>Drainage City</t>
  </si>
  <si>
    <t>Horihone Saizou is an artist known for taking creative liberties with anatomy and in none of their works do they get more creative with anatomy than Drainage City. Whether you're a female with a symbiotic progenitor worm that lives off your feces and transmits pleasure as you inject your partners with its delicious offspring or a guy with a wide and short penis with a massive urethra better suited to being penetrated than penetrating, or perhaps a cluster of irregular penises vaguely resembling a chrysanthemum blossom, the addition of a barnacle like growth of external orifices each of which bring the same pleasure one might feel from a more traditional quim, or simply a second conjoined lower body that can scissor against your existing sex. You have great liberty to shape your anatomy or acquire a symbiotic partner.</t>
  </si>
  <si>
    <t>Breast Lotion</t>
  </si>
  <si>
    <t>This lotion if repeatedly applied to a woman's breasts will permanently increase the size and sensitivity over time. Once the breasts have gone up a few sizes if you keep applying it then it will induce permanent lactation.</t>
  </si>
  <si>
    <t>Lon Lon Milk</t>
  </si>
  <si>
    <t>Even the kingdom’s collapse can’t keep hylian farmers down for long. Lon Lon Ranch has relocated from Hyrule Field to the outskirts of Hateno Village but their famously-excellent milk is the same as it ever was, if not even better than before. You have a refilling supply of delicious milk in enchanted bottles that never break and stay cold all on their own no longer how long they’re out of the ice box. Apart from being delicious and extremely healthy it’s normal milk, but you also get one bottle of premium golden milk which refills daily and has special magical effects. This golden milk is so healthy that it makes the drinker more attractive: curves swell to pleasant fullness, unwanted weight falls away effortlessly, muscles fill out, hair becomes shiny and full, and your complexions clear up in no time. Put your companions on a diet of this milk and they’ll be more beautiful than ever in no time!</t>
  </si>
  <si>
    <t>Pills of Endowment</t>
  </si>
  <si>
    <t>This small (replenishing) box of pills allows you to alter your appearance in a rather specific way. If you're a man, the red pills will cause your dick size to increase a sizeable amount. As a woman, you'll instead find your tits expanding another cup size or so. The blue pills will instead cause you to shrink in a similar way. The effects of the pills are permanent and can stack up to five times, but you can undo the changes by taking pills of the other color.
After taking five red pills, expect your manhood to be described as 'hung like a horse' without the use of hyperbole, or your breasts to be so imposing that even lady Farah herself can't match your bust. With five blue pills, your dick will be perfectly sized to romance that especially tight pixie the size of your thumb and your tits will be the only thing preventing you from being flatter than a wooden plank.</t>
  </si>
  <si>
    <t>Adaptable</t>
  </si>
  <si>
    <t>Whether you’re swapping out modular cybernetics, having your whole body rewritten on a genetic level, or being turned into a tree by fairy magic, you can instantly and effortlessly adapt to new physical forms. You are completely immune to body dysmorphia, no matter how strange or alien your new body may be. You won’t need to relearn how to process new senses or how to coordinate a body with different numbers and types of limbs, all of it being as effortless as it was in your original body. Finally, you won’t be particularly bothered by a less capable form than you’re used to except when your diminished capabilities actually stop you from being able to do something specific you wanted to do at the moment.</t>
  </si>
  <si>
    <t>Awesome Fruit</t>
  </si>
  <si>
    <t>A tree... Unlike the version you might encounter in-jump, this immobile tree which kinda looks like an apple tree, produces three different fruits. The effects of which are:
● Awesome Fruit - Shifts your gender towards male.
● Awesomer Fruit - Shifts your gender towards female.
● Awesomest Fruit - Shifts your gender towards hermaphrodite.
I’ll leave you to figure out which is which...</t>
  </si>
  <si>
    <t>Beast Mode</t>
  </si>
  <si>
    <r>
      <rPr>
        <sz val="13"/>
        <color theme="1"/>
        <rFont val="Calibri"/>
        <family val="2"/>
      </rPr>
      <t xml:space="preserve">Just because you aren’t a furry, doesn’t mean you are stuck with a human dick. When taking this perk, choose a normal animal. You now have that creatures’ dick! Well, the ability to switch to it from your normal dick. </t>
    </r>
    <r>
      <rPr>
        <b/>
        <sz val="13"/>
        <color theme="1"/>
        <rFont val="Calibri"/>
        <family val="2"/>
      </rPr>
      <t>You can purchase this perk again at half price (50 CP) whenever you could normally buy a perk to add another dick to your repitore.</t>
    </r>
  </si>
  <si>
    <t>Biological Warfare</t>
  </si>
  <si>
    <t>Most methods of shemalefication have a flaw to them, some kind of drawback that makes them less than wholly desirable for those who don’t want to become mindless fuckbeasts. This particular method is actually fairly safe to use, assuming a certain level of moderation. Moderation that no one uses, obviously, but I digress. This experimental skin cream has little to no effect on women, but has the wonderful trait of turning men into Dickgirls when slathered across their body. A single dose is enough to transform them, but repeated applications will cause their sexual traits - ie the size of ones breasts and dick, as well as the sex drive - to increase with every application. And, best of all, the cum of those transformed in this manner can be synthesized into even more of the stuff.</t>
  </si>
  <si>
    <t>Dick Growth Technique</t>
  </si>
  <si>
    <t>This secret special move invented by a certain inchling allows the user to temporarily increase the size of a target’s cock, up to some really silly extremes, whether it's another person or the user’s own, all with a cry of ‘Foul Play: Grow Bigger!’. As it is indeed a technique and not an ability, it can be taught to others and can be legally used in the ring, and it might even be able to outright give someone a dick if they don’t happen to have one...but where are you going to find a weirdo like that!?</t>
  </si>
  <si>
    <t>Double your Pleasure</t>
  </si>
  <si>
    <t>Well, it looks like the Winger Energy did a little remodeling there, huh? You have a little something... extra. Whether that’s another dick, another pair of breasts, or another pair of testicles is up to you. Or any and all of the above!</t>
  </si>
  <si>
    <t>Eyes Cast in Shadow</t>
  </si>
  <si>
    <t>Ballbuddy</t>
  </si>
  <si>
    <t>At will you may cover your face in a shadowy mask. Your eyes will be completely concealed and the rest will be so indistinct that identifying you later by your face will be impossible. This effect appears to be nothing but bad lighting, but it works even in bright and direct light. Anyone that gets a clear look at you then will likely be creeped out at your black smear of a non-face.</t>
  </si>
  <si>
    <t>Favoured Parent</t>
  </si>
  <si>
    <t>Alright, this is an odd one. Have you ever been told that you look like your parents? Well, given that you’re a half demon, any comparison to your father was probably an insult. Regardless, you have a limited ability to change that up. Specifically, you can alter your own appearance within the range of what your parents could have made. If you want to look like your mom and be a beautiful woman, go for it. If you want to suddenly sprout tattoos and horns like your dad, go for it. If you want to be a twin and look exactly like your siblings, if you have any, go for it.</t>
  </si>
  <si>
    <t>Hair Growth/Removal Kit</t>
  </si>
  <si>
    <t>This kit allows you to customise someone’s body hair in seconds, from letting them grow head hair down to their ankles or become completely bald, to removing/growing pubic and underarm hair. This includes permanent depilation.</t>
  </si>
  <si>
    <t>Kabuto's Sample Platter</t>
  </si>
  <si>
    <t>After Sasuke’s and Itachi’s fight, but before the drugging, Sasuke had to get the drugs in the first place. In an effort to cheer him up, Kabuto and Orochimaru walked him through their current work, and offered him some samples. Of the two important ones, the first is a rejuvenation drug that takes five years off your age. The second is the oh so important gender swapping drug. Neither of them are safe to use more than once, so be careful! Beyond that, there’s also one to increase the body’s sensitivity, one to stretch the tongue, one to grow the ass, one to increase sexual stamina, and even one to increase your swagger. Don’t ask me how that works, I don’t know. Anyways, the catch here is that you only have one dose of each of these - it’s a sample, not a supply.</t>
  </si>
  <si>
    <t>Lads to Ladies</t>
  </si>
  <si>
    <t>Every man within 100m, or that you are interacting with in some way, will find themselves becoming a lady, as is proper. You can toggle this ability, and even choose specific individuals to exclude, if you so wish.</t>
  </si>
  <si>
    <t>Malleable Form</t>
  </si>
  <si>
    <t>Even the most physically focused or just plain empty-headed of monsters have some form of magic within their bodies, even if they can't use it to cast actual spells. Some, like you, can even use that magic to shape their forms, be it changing their hair, eye or skin color or playing mix and max with their genitals. Good for fun, disguises and standing out from the other members of your species.</t>
  </si>
  <si>
    <t>No-Stigma</t>
  </si>
  <si>
    <t>No matter your physical appearance, race or gender, you are less likely to suffer negative bias because of it.</t>
  </si>
  <si>
    <t>Not Fit for this Series</t>
  </si>
  <si>
    <t>In the very first page of the very first fight, our four ladies tries to enter into a Smash wearing - le gasp! - modest clothing! Or wearing their normal outfits, rather. Completely unacceptable, in other words. That’s why you’ve gained the ability to spontaneously lewdify the outfits of anyone you lay eyes upon. This will usually leave their breasts exposed at the minimum, but anything past that will actually depend on their own inherent lewdness. Unfortunately this only works on cloth and other ‘soft’ materials - actual armor might turn into boobplate, but won’t have any gaping holes in it.</t>
  </si>
  <si>
    <t>Refitted</t>
  </si>
  <si>
    <t>You are likely going to end up being changed in some way during the course of this journey. Especially if a target for a TSFer. There are those who, once changed, are left in drooping, ill-fitting clothes, or torn too-tight shirts. That’s not so much an issue for you. 
Whatever ends up changing you also tends to change the clothes you are wearing. They could change to be fitted for the opposite gender, different sizes, and even open up holes for ears and tails that might have miraculously appeared. At the very least you won’t need to keep a wardrobe on hand.</t>
  </si>
  <si>
    <t>Schrodinger’s Pussy</t>
  </si>
  <si>
    <t>What? Did the Huniebee just glitch out for a moment? Oh, you’re one of those. Don’t look so offended, I didn’t mean anything bad by it. You are one of the few people in this world with a very rare gift: the ability to switch out your genitals like someone else might switch out their clothes. With a few moments to focus, you can change your gender from male to female, vice versa, or even something in between~. Note that this doesn’t change the rest of your body, just what’s on your crotch, so you might want to learn how to use makeup.</t>
  </si>
  <si>
    <t>Self-Altering Outfit</t>
  </si>
  <si>
    <t>This cute set of clothes will shapeshift depending on your size, shape, appearance, style, and where you go. Hanging out at home? They’ll shift into something cute and casual. Going to work? They’ll look smart and professional. Going clubbing? They’ll look just right for the occasion. This outfit is always sparklingly clean, well pressed, and perfectly tailored to you no matter what form you take. In addition, a small SEP field will ensure that no one ever questions the shifting clothes. For whatever reason though, the outfit refuses to have pants. Only ever skirts, dresses, or robes. If damaged or destroyed, it will respawn in your warehouse after one week.</t>
  </si>
  <si>
    <t>Swimsuit Saint Graph</t>
  </si>
  <si>
    <t>Well this is an interesting thing for you to have. At first glance it just looks like a handful of well made swimsuits, but actually putting them on will have an interesting effect. While worn, any powers you possess may take on a water or beach theme, replacing the visual effects with something more vacation oriented - and in some cases replacing them entirely. Even more interesting is that you may find some of your weapons and gear being temporarily replaced by beach gear - a lance turning into a parasol, a shield into a surfboard, or a laser sword made into a laser water gun. You might even read as a different person entirely to someone capable of scanning you with magic. Of course, all of this only lasts for as long as you are wearing the swimsuit - and nothing else, if you were thinking of trying to put something else on top. Well, you could get away with some classical beachwear, but nothing past that.</t>
  </si>
  <si>
    <t>The Pedastal is the Panties</t>
  </si>
  <si>
    <t>In sword form, it’s a well-fitted sheath. In humanoid form, it’s clothing. Whenever you swap between different forms, the clothes and accessories you have in one form carry over to an equivalent in the new form, still providing the same or as close as possible function and benefit.</t>
  </si>
  <si>
    <t>Tweaks and Tune-Ups</t>
  </si>
  <si>
    <t>It could be a Quirk, it could be magic, but whatever the case it's certainly bullshit. You have the power to make slow subtle changes in other people’s bodies. Nothing too big, but a little shoulder devil in their brain that pokes them when they do something you don’t like, or maybe just amping up their libido and sexual attributes by messing with their hormones, is completely fair game. You’ll need time to make these changes, so maybe wait until your target’s tuckered themselves out a bit first~.</t>
  </si>
  <si>
    <t>Watermelon Seeds</t>
  </si>
  <si>
    <t>Don’t ask me who made this or how - or why for that matter - but let me assure you that you can have some real fun with it. See, these melon seeds were modified to grow quicker, fuller, juicier, presumably to save costs. Instead they ended up mutating into a minor tentacle monster. These seeds, once fully grown and ripe, will start to grow tentacles and will seek to molest any nearby women. Thankfully the quirks in its genetics and the infused reishi only give it a shelf life of about 24 hours once it actually gets going. On the other hand, if you pluck them off the vines early, you might be able to save them for later. A few days to weeks at most, but that’s still plenty of time to have some fun with them.</t>
  </si>
  <si>
    <t xml:space="preserve">“Love Miracle Link Connection ” </t>
  </si>
  <si>
    <t>Those are the magic words that allow you to transform from your ordinary, weak human form into an Archangel of Love, Love Mary [Pseudonym]! It’s only a temporary transformation, but while it lasts your body will be enhanced to be far superior to what the greatest Olympic athletes could hope to achieve — to the point that you could easily hurl a demon many times your size straight through a brick wall and into the street. It will be easy for you to take out the rank and file of Elysium’s monsters, but one of his more powerful servants will be a greater challenge. When transforming, your magic changes your clothes into a beautiful but combat - ready dress, resembling a sailor uniform with a frilly skirt. And yes, whatever underwear you wear will be replaced with cute panties. Your hair will also change color and grow in length, and a heart - shaped hairpin will appear on your head. You do get short heels, but they are guaranteed to never interfere with your movements or balance, so don’t worry about tripping in them.</t>
  </si>
  <si>
    <t>Bikini Mode</t>
  </si>
  <si>
    <t>A lesser-known feature of the Senshi uniform is its ability to enter a low-coverage mode for conserving and recovering energy. When you’re low on magical or spiritual power you can detonate your Senshi uniform (or any other similar power-up transformation you might have) in a burst of power that can wipe out whole crowds of monsters in an instant. The tradeoff is that it leaves you in an exposed scantily-clad state with very poor magical defenses until you can recover your energy, though that energy will recover at a highly accelerated rate for as long as you’re willing to remain exposed.</t>
  </si>
  <si>
    <t>Body Modification</t>
  </si>
  <si>
    <t>You have delved into the forbidden magical arts of modifying someone’s body. You can easily cause people to grow a penis (or vagina and breasts) temporarily or permanently, cause someone to begin or stop lactating, change their hair colour and hair length, and modify someone’s height and weight (within normal limits of their race). It can even be done on someone who doesn’t consent – do be careful with this.</t>
  </si>
  <si>
    <t>Busty Dick-Girl Sex Slave</t>
  </si>
  <si>
    <t>Guess that name is a bit on-the-nose, huh. As you’d imagine, you can now cast a spell on yourself or others that turns them into busty futanaris. The size of their breasts or dick is up to you to decide, or you can even just chose to increase breast size without adding a penis, or vice versa. Unless those affected agree to belong to you, or would just prefer to stay that way, the spell is only temporary.</t>
  </si>
  <si>
    <t>Control the Transformation</t>
  </si>
  <si>
    <t>Many beings are capable of changing their shape, and that’s just unfair. You can recognize any being that is capable of shapeshifting—be it through spell or some other means—on sight, and are furthermore aware of what forms they are capable of shifting into. You are additionally able to force someone to transform into one of their alternate forms. If they have the ability to freely shift their appearance into anything, then you are only able to return them to their “natural” form. You can also lock (and unlock) shapeshifters into their current body.</t>
  </si>
  <si>
    <t>Debauched Minature Sex Slave</t>
  </si>
  <si>
    <t>You can cast a spell that gives others small bodies. Despite being so compact, their body is made far more stretchy, allowing them to take dicks up to the size of their torso without feeling anything but pleasure. What’s more, the pleasure they now feel from sex has been increased by 120%. Just as before, the effects are purely temporary unless those affected agree to become yours, or if they would simply prefer this appearance for the rest of their life.</t>
  </si>
  <si>
    <t>Fractal Limbs</t>
  </si>
  <si>
    <t>Your limbs can bifurcate into smaller and smaller sub-manipulators, down to a microscopic level. Adds a lot of precision and ultra-fine dexterity. Doesn't work too well with bony arms, but is incredible with tentacles.</t>
  </si>
  <si>
    <t>Futa Potions</t>
  </si>
  <si>
    <t>A briefcase containing a dozen vials of off-white liquid made from specially-treated Neko semen. Any female who drinks this potion will become incredibly horny and (temporarily) grow a big fat dick with a matching set of balls, full of sterile semen. This semen can cure the effects of Lewd Mist exposure, with the same caveats of Neko semen. Drinking a second dose will simply boost libido and semen production even more, but drinking three doses at once will result in growing a second dick. Replenishes at the end of the week.</t>
  </si>
  <si>
    <t>Gender Bender Pill</t>
  </si>
  <si>
    <t>When consumed, it turns you into the opposite gender for 12 hours. You get a half-dozen pills, and the supply is replenished daily.</t>
  </si>
  <si>
    <t>Human Guise</t>
  </si>
  <si>
    <t>While the Archangels cavort about, hunting down those monsters who venture into the open, the true servants of Elysium sneak about as just another member of the faceless masses. You have the ability to take on the appearance of an average person — that is, someone who looks completely ordinary for the region you are in. While in this disguise, you simply look so bland and unassuming that it’s hard to draw attention to yourself without actively misbehaving. More impressively, while disguised it is impossible for your demonic power to be detected. Discarding and reassuming this appearance is pathetically easy.</t>
  </si>
  <si>
    <t>I Can Fit!</t>
  </si>
  <si>
    <t>Your body has some slight size shifting ability. You can puff yourself up to add to your intimidation, or shrink yourself down about a foot, allowing you to squeeze into tight spaces. This applies to your sex organs as well. Puff out your breasts to make you more attractive, or your vagina to allow for something bigger to fit inside. Shrink your cock to fit inside a tight hole, then swell it up to knot inside. Note: Size changes must be reasonable.</t>
  </si>
  <si>
    <t>Lusticon</t>
  </si>
  <si>
    <t>This is the machine that turns humans into Love Slaves. Taking the form of a long table with straps for holding the subject down during the process, a qualified operator can reshape the subject’s body into a fit and attractive form, enhance the subject’s libido, brainwash the subject into falling in love with the first person they see, and install an expiry date. Expiry dates will cause the subject to drop dead anywhere from a few hours to up to 79 years from the time the expiry date is installed. Any of these processes can be changed, reset, or reversed with another use of the Lusticon.</t>
  </si>
  <si>
    <t>Mama Rei’s Bovine Adjacent Milk</t>
  </si>
  <si>
    <t>This is a delicious (and addictive) milk alternative, provided by Madeline ‘Mama’ Rei. Please be aware that imbibing sustained quantities of Mama Rei’s Bovine Adjacent Milk may result in sudden physiological and psychological changes to your person. In other words, drink too much and it’ll feminize you, give you huge boobs and make you lactate, as well as giving you a lactation fetish.</t>
  </si>
  <si>
    <t>Mass Conservation Device</t>
  </si>
  <si>
    <t>You know what future science doesn’t care about? Physics. This little bracelet is all the rage around the solar system. Why? Because it allows you to have “modes” essentially. One moment you’re a half-ton debutante, and the next you’re a sprightly little athlete sprinting off down a narrow alley that the ‘other’ you couldn’t fit through. The bracelet can ‘hold’ up to one ton of body mass in reserve for an indefinite period, though it might short out if it gets damaged. If it’s destroyed, you get another one the following day.</t>
  </si>
  <si>
    <t>Oni Art of Genderbending</t>
  </si>
  <si>
    <t>Some creatures have very pointed opinions on one gender or another, and whether you hold any biases like that, you've gained the means to lay your worries to rest. Through magic, you are capable of warping the bodies of others (and yourself) along the lines of masculinity and femininity. You could make a frumpy woman into a dickgirl bombshell, a manly man into a cute sissy, or whatever other combination you'd like. The process takes a few minutes at most depending on how extensive your alterations are but is otherwise permanent.</t>
  </si>
  <si>
    <t>Overfilled</t>
  </si>
  <si>
    <t xml:space="preserve">When you pour excess power into someone, said power can cause slight changes to their body. Increased breast size, increased ass size, smoother skin, silkier hair, fuller lips, lactation, increased sensitivity, increased libido, and so on. It works fairly slowly, though, and it’s not capable of causing anything that’s not physically possible. </t>
  </si>
  <si>
    <t>Revirginizer</t>
  </si>
  <si>
    <t>This gun-shaped item turns anyone shot with it back into a physical virgin. Shooting them at full power for twenty seconds will permanently remove all previous sexual knowledge, though this does not remove their knowledge of biological processes if they had any. It does not stop them from relearning or experiencing anything sexual.</t>
  </si>
  <si>
    <t>Ruler's Amulet</t>
  </si>
  <si>
    <t>It would be silly to let invaders in without a method of making use of them, and this Magic Tool is the answer. Activating the tool fills the target with sexual magics, causing them to grow large incredibly sensitive dicks, and heavy balls capable of cumming over and over again, as well as making sure they properly appreciate the female form. You can also set it to a different body part if you really want to, like breasts or maybe even butts, with an equivalent increase in size and sensitivity.</t>
  </si>
  <si>
    <t>The Hidden Dick</t>
  </si>
  <si>
    <t>It would seem that lots of women here secretly have a dick that only shows itself under certain circumstances. With that in mind, you can now retroactively declare a women as a futanari. That said, you do need an excuse of some kind. Did they get cursed? Clearly growing a dick is a part of that. How about them being able to shapeshift? It's only natural they'd grow one. The power to create iron bars? Rod of iron is a great name for a dick!</t>
  </si>
  <si>
    <t>Transformation Resistance</t>
  </si>
  <si>
    <t>Of all the races of Mareth, humans are by far the most susceptible to transformation, to the point that only a rare few humans are left. The majority of native Marethians are more resistant to interspecies transformation than that, but your resistance seems exceptional even amongst them. You technically can still be changed with transformative effects if they’re powerful enough, but your resistance is such that you’d be hard-pressed to change a minor feature if you ate an entire crate of transformative food.
Similarly, any children you have always seem to be of the same species as you, regardless of the other parent, if perhaps with some minor cosmetic features from them like their eyes, coloration, or ears. Thankfully, you do have some measure of control over this effect, so you don't always have to go to extreme lengths to transform minor parts of your body and you could have children who favor the other parent more in appearance if you wanted to.</t>
  </si>
  <si>
    <t>Transformatives</t>
  </si>
  <si>
    <t>A lot of the food and other consumables of Mareth have transformative effects on the body when consumed raw. You have a supply of any of the standard transformatives from canine peppers, to equinum, to succubi milk. Useful not only for their basic effects, but also for various alchemical projects or as ingredients for cooking (as the majority of these items lose their transformative properties with proper preparation).</t>
  </si>
  <si>
    <t>Yes, I Am!</t>
  </si>
  <si>
    <t>Messing with people is fun, but taking accountability is not. Whenever you do something to change someone’s body, you can choose to delay the change for up to 24 hours. If those on this timer are caught in a situation where it would make someone like someone else seem responsible, the timer will end automatically. I should tell you know that this can’t be used on any inherently destructive changes.</t>
  </si>
  <si>
    <t>Boost/Ward/Ban</t>
  </si>
  <si>
    <t>You can boost, ward, and ban any changes that would alter your form. You can freely define what you would like to happen before you enter a situation that this would be needed.
● This can take the form of banning all changes that would change your gender, or stopping the increase or decrease the size of your genitalia.
● By warding against a change you can make yourself more resistant to any changes that would occur, reducing them by half, instead gaining an increase of ten cup sizes for your breasts, you will just get five.
● By boosting you can double the amount of which something might grow, or the rate of time for it to take.
Do note this will not enable you to boost/ward/ban anything that would simply hurt you, so no banning being damaged from being shot or being pierced by a sword for example. It also will not apply to changes made before you apply the rule. This perk applies to any changes to your form, whether it be your body, mind, soul or something similar.</t>
  </si>
  <si>
    <t>Cum your Brains Out</t>
  </si>
  <si>
    <t>Is there anything sexier than watching someone helplessly lose themselves in pleasure? Well, now you can make that a little more literal. Whenever you bring someone to orgasm - including yourself - you may have them eject a particular trait out with their cum. Their intelligence, their willpower, their masculinity- anything you can think of. The essence of this trait is contained within the gooey liquid, and can be used in magic or consumed to add that trait to the consumer. The amount of the trait that is released depends on the build up and priming the victim. Just giving a guy a handjob might have them squirt out a dash of manhood, but tying a girl down and fingering them to a reluctant completion as you explain exactly how much of a stupid, horny bimbo they are about to become will have their intelligence gush out of them.</t>
  </si>
  <si>
    <t>Hide your Nature</t>
  </si>
  <si>
    <t>The injuu are frighteningly good at hiding themselves, sometimes even living right under the noses of their unsuspecting victims until they emerge from hiding to sate their lusts. Their shapeshifting powers let them assume innocuous forms like small children and innocent fairies, but it’s their ability to sell those disguises that makes them so hard to root out. Like many other injuu you’re able to hide your true nature behind an innocent mask, disguising wicked thoughts behind a perfect poker face and suppressing your powers until nothing about you seems unusual to supernatural senses, though using your powers while staying hidden is much more difficult. So convincing is this innocent facade that it’s difficult to imagine there may be more to you than meets the eye unless you either deliberately reveal your true nature or utterly blow your cover beyond any hope of recovery, allowing you to get away with perverted or otherwise suspicious behavior without immediately giving away the ruse so long as you’re not incredibly careless.</t>
  </si>
  <si>
    <t>Microsurgeon Expert</t>
  </si>
  <si>
    <t>Planet Rushes are a chance for big money, and at least part of that is the possibility of encountering new and odd/interesting species, and making genetic transformative items from and/or based on them. You are one of the rare persons skilled enough to do such a thing, or at least one who isn’t already employed by a big genetics company. You are able to take genetic samples from any target race or individual, study them for desirous transformations (either for that race/individual, or for the greater galactic consumers), and make microsurgeons to implement those transformations. You don’t even need a bunch of lab equipment to do so, just the basics. The transformatives you make do not cause complications, can be applied to anyone, and if needed, can be reversed with ease. You could even create TF items for exotic transformations like animal-feature to plant-feature transformations, which are normally quite difficult to safely create. You could even use your skills to create a TF merged characteristics from multiple sources, creating a new hybrid form. You can choose if a TF is going to be a single desired change, up to a near-complete racial (and/or gender) transformation, which would be close enough for an individual to breed with the target species without complication. And lastly, as a bonus, you are also able to sense who would want such a transformation, such as a corporation or specific individuals.</t>
  </si>
  <si>
    <t>Shrine of Bob "The Beast"</t>
  </si>
  <si>
    <t>What was once a shrine dedicated to a deceased relative, has been transformed into something else entirely, now that the original portrait has been lost. By using a picture of someone else in its place, the person depicted will become the image of “masculinity”, or maybe even “femininity", that the shrine will now honor. Praying to the shrine with someone close to you in mind will cause them to gradually progress towards that ideal. If done in moderation, they will retain their own defining physical features, while taking on some of the positive traits of this ideal, but if you take this too far, those you pray for will quickly become physically identical to the figure in the portrait. This shrine doesn’t influence how those under its effects mature mentally, but it will generally make sure that they do mature mentally in some form, along with their body.</t>
  </si>
  <si>
    <t>Shrinkage</t>
  </si>
  <si>
    <t>This is certainly one of the more interesting types of possession abilities and one that involves no small amount of work on your own part. You are capable of shrinking your body until it is no bigger than a finger. At this point, you can then attempt to reach your target. By entering into their body, either via the mouth, the ear, or other entrances, you will soon find yourself miraculously in control of their body. While in control of their body you are nonetheless still in control of your own miniature one inside of them, and can continue to move it around inside their body at your leisure.
Of course, smaller creatures are naturally more susceptible to damage. Kicking a rat is always going to do more than kicking an elephant. The same should hold true for you when shrinking. But for some reason the universe has gotten a bit muddled. As you shrink smaller, your speed and durability will actually increase. At minimum height you'll be several times faster and hardier than normal. The chances of your target blocking you or hurting you when you go after them will drop significantly.
A more visceral and physical takeover, when you shrink down in size, you take the form of a small parasitic creature of some kind. It could be a snake, a bug, an eel, or something else. Either way, when entering into the body you are capable of taking over your host using your biological abilities. This usually involves hooking up to the nervous system or brain. Like some other options, this kind of physical presence within their body allows you a greater degree of control over aspects of it. You have root access to their brain, and can mess with it as you wish.</t>
  </si>
  <si>
    <t>Super Satan Bros</t>
  </si>
  <si>
    <r>
      <rPr>
        <sz val="13"/>
        <color theme="1"/>
        <rFont val="Calibri"/>
        <family val="2"/>
      </rPr>
      <t xml:space="preserve">Like something straight out of a mario game - or a porn artists rendition of it at least. You don’t just have the all around improving Super Mushroom, you have the BDSM based Domshroom and Subshroom, the cow themed Moo-Mooshroom, the robotic Mechashroom, the strength increasing Snu-Snushroom, the shrinking Minishroom, and even the dick granting Cockshroom. And then you have the slightly more odd things, such as the lust increasing Bimbo Flower and the naughty Witch Apple. 
You can expand this collection at any time you could buy a perk for an extra </t>
    </r>
    <r>
      <rPr>
        <b/>
        <sz val="13"/>
        <color theme="1"/>
        <rFont val="Calibri"/>
        <family val="2"/>
      </rPr>
      <t>100 cp</t>
    </r>
    <r>
      <rPr>
        <sz val="13"/>
        <color theme="1"/>
        <rFont val="Calibri"/>
        <family val="2"/>
      </rPr>
      <t>: a bottle of breastmilk creating Booboom Milk; the nectar of shapely legs, the Thicc Shake; the animal girl creating Zoo Amulet; the slick and slimy Slime Potion; and the personality reversing Inverse Mirror. 
All of these last a good long while, or can be cancelled out with the supply of Nega-shrooms that come with.</t>
    </r>
  </si>
  <si>
    <t>The Beauty of Youth</t>
  </si>
  <si>
    <t xml:space="preserve">Who would have guessed that the ones best suited to conquering Scathach and her posse were the Lily- type servants? You can greatly reduce your strength, even sealing away some of your powers entirely, and revert to the form of a youth. The greater the limitations you place on yourself, the faster those abilities will grow and the greater the heights you will achieve in both skill and power when you return to your adult (or at least, more grown up) body. The duration you will be forced to stay in this form is also one of the limitations you must decide on, especially as breaking out of it early comes with significant consequences after the initial rush.
Your young form isn't without its advantages, of course. It exudes an aura of boyish charm (or girlish, if you’d rather resemble Astolfo) which older women are very weak against. So strong are these immoral charms that with the right temptation you could lure even devout wives and holy saints into breaking their vows. </t>
  </si>
  <si>
    <t>The Old Switcheroo</t>
  </si>
  <si>
    <t>One of the more chaos inducing powers on offer, this is the ability to swap people’s bodies around. This can be used on two or more people at the same time and from a reasonable range as well. The targets will instantly find themselves in the opposing target’s body, as if their minds had simply swapped places for no reason. The potential for chaos for such an event, especially used on a large scale, is obvious to everyone. Want to bring karma to a beautiful but black hearted belle, while also helping a poor and scarred kind old woman? Easy as a flick of the wrist. And that is merely one example.</t>
  </si>
  <si>
    <t>Trading Cards</t>
  </si>
  <si>
    <t>A blank set of playing cards containing a mystical power - the ability to trade. Each card can be imbued with a trait, physical, mental, or spiritual, which can then be traded with another card containing the same kind of trait. Breast or dick sizes, or a specific kind of fetish for example. Traits cards do not have to be willingly created, but they do have to be traded semi equally - you can’t simply take a card, but you could win it in a fair contest. Strip poker anyone?</t>
  </si>
  <si>
    <t>Transformation Immunity</t>
  </si>
  <si>
    <t>The Pirate’s Fate</t>
  </si>
  <si>
    <t>A personal safety assurance, Master/Madame. I mentioned the coins could change your life, well, I meant that very literally. The most common type of coin is innocently called “Become What You Seek.” And, those coins are very sensitive. Touching one and having the slightest idle thought sparked by the surroundings could set it off. With this Perk, you won’t have to worry about that. Or involuntary transformations of any kind.</t>
  </si>
  <si>
    <t>Body Remodeling Potions</t>
  </si>
  <si>
    <t>Shinobi have mastery over the body, to the degree that they have created medicines that allow one to mold and reshape their physical form. An example from the manga would be the Bust-Up Potion Mikage provided, which when applied over a period of time, would cause an increase in bust size. This item is a variety of potions and medicines, designed to allow someone to completely customize every aspect of a person’s appearance, from their height to their bust size to coloration, and more. It additionally comes with a small manual providing instructions for how to produce more with common ingredients.</t>
  </si>
  <si>
    <t>Born from Clay</t>
  </si>
  <si>
    <r>
      <rPr>
        <sz val="13"/>
        <color theme="1"/>
        <rFont val="Calibri"/>
        <family val="2"/>
      </rPr>
      <t xml:space="preserve">One of the changes made to the Angels biology is that their sperm contains not only human sperm, but the material from which the Gods are born. Sadly, due to degradation of their own genetic code, they don’t last long. That said, they </t>
    </r>
    <r>
      <rPr>
        <i/>
        <sz val="13"/>
        <color theme="1"/>
        <rFont val="Calibri"/>
        <family val="2"/>
      </rPr>
      <t>can</t>
    </r>
    <r>
      <rPr>
        <sz val="13"/>
        <color theme="1"/>
        <rFont val="Calibri"/>
        <family val="2"/>
      </rPr>
      <t xml:space="preserve"> program them, for lack of a better word, to do certain things- and now can you. Your body now creates these 'infectious sperm' in your sexual fluids. By default, they turn people into Angels by overriding their genes with the Angel template (i.e. a cock, breasts, and vagina) but you're not so limited. So long as you can sit down and craft the genetic code necessary to do it, you can theoretically make any biological change to both yourself and whoever you fuck.</t>
    </r>
  </si>
  <si>
    <t>Brainless Bimbo</t>
  </si>
  <si>
    <t>Some people say you’re a dumb pair of tits and like that’s not completely unfair. Sometimes, like when it would be super hot, you’re a totes stupid bimbo who should probably have got eaten like 20 minutes ago. But sometimes the script needs you to do something smart, so like you suddenly turn competent for a while? Basically, you’ve got a dial in your head. When you turn it up, the dumber you get but you get hotter and luckier. Obvs the smarter you start out as, the more brains you can sacrifice. You can even define conditions that will set you back to normal, so no worries about being stuck dumb when you need your smarts.</t>
  </si>
  <si>
    <t>Erotic Alchemy</t>
  </si>
  <si>
    <t>You receive a small, replenishing, once a week, cache of potions/poisons (depending on your perspective) to induce desirable effects in individuals you meet. One sip of the blue one will turn that burly amazon into a wimpy BBW. That green one will turn the lady monk into a ravenous beast... You get the idea. These potions come with instructions for taking more, if they don’t replenish fast enough for your depravity.</t>
  </si>
  <si>
    <t>Genital Transformation</t>
  </si>
  <si>
    <t>You have magical control over the appearance of your sexual attributes, and can reshape their appearance at a whim. Want to grow a second cock, the same size as the first? Go for it. Want a dog dick? Why not. Want to grow another pair of breasts? You can do that now. This also means that you’ll never have to shave down there.</t>
  </si>
  <si>
    <t>Happy Mask Collection</t>
  </si>
  <si>
    <t>A mysterious salesman wanders Hyrule in search of magical masks like the ones you have come to have in your possession. This collection of enchanted masks contains an assortment of useful magical powers: a bunny hood that helps you run at great speed, a chu-chu mask that gives your body the liquid form of a slime girl, a keaton mask whose razor wit and senses will help you solve puzzles, and so on. Each mask also transforms your body in some way, such as temporarily turning you into a monster or giving you an appropriately sexy costume, like the bunny girl outfit that comes with the bunny hood. Unlike the versions that Zelda acquires in her travels none of these masks have any built-in drawbacks attached to them such as the chu-chu mask’s dimwittedness. Purchasing this item grants you five masks of your choice as well as the knowledge to make more, with difficulty. Perhaps you’ll even meet that odd salesman again?</t>
  </si>
  <si>
    <t>Love and Scorn</t>
  </si>
  <si>
    <t>Some people are just better than others, and who better to judge that than you? Your love and scorn are now their own forms of magical energy, likely a derivative of Senjutsu. As you interact with people, be it fighting or healing them, people you don't like will become lesser and people you like will slowly become greater. Caressing a lover to heal them might increase the size of their cock or breasts, or it might remove their refactory period. Similarly, harming or even healing those you dislike or find pathetic will cause them to become even more pathetic. Men will become more feminized until their gender 'inverts', turning them into women. And women will be reduced into useless, thoughtless bimbos.
If that's not enough for you, this works even in combat- healing is more efficient on people you want to fuck, techniques are more damaging on those you wish would just die for being an embarrassment to the human race, and the dregs and bare traces of spiritual energy you put out can cause people to become inspired or depressed based on those same conditions. Hell, with enough time and energy you can taint portions of the landscape with these energies, affecting all those who enter.</t>
  </si>
  <si>
    <t>Onahole Ray</t>
  </si>
  <si>
    <t>A little plastic gun, like the alien ray guns of semi-modern science fiction. It’s actually quite the powerful relic, firing photons towards any living being it is pointed at when used. These photons transform the target into a latex sex toy, with apparently a whole range of different designs if you adjust a knob on the pistol. The process can only be reversed by another blast of the gun on the correct setting, and not by any magic or technology, and even magical defences will fail to defend against it like all relics but apparently the photons are slow and highly visible, making it easy to dodge. Those transformed by the gun are still mentally aware despite their new state and last so long as the new form they take is partially intact.</t>
  </si>
  <si>
    <t>Quantum Rotating Bed</t>
  </si>
  <si>
    <t>This room-sized bed produces a quantum super-microcosm, where impossible phenomena can happen. Exactly what these phenomena are is something that you will need to study at length, as only one setting is pre-equipped; the power to make someone exist simultaneously in multiple points in space. In short, it basically clones you (or a single partner) for as long as you are in the bed, except you are actually each different version of you simultaneously; it’s a bit confusing, but you’ll get the hang of it quick enough. 
Although this bed can do almost anything, all of its effects end once the bed is turned off or if you step beyond the bed’s confines.</t>
  </si>
  <si>
    <t>Spawn of Chaos</t>
  </si>
  <si>
    <t>A youma’s body is much more malleable than a human’s flesh and blood, and more powerful youma often have more advanced skill at controlling and shaping the raw material of their bodies than common mooks. You can freely reshape parts of your body, turning hands into claws or swords, sprouting tentacles at will, and altering your appearance freely. Reshaping your body in this way requires you to invest some of your magical energy into it, subtracting from your available maximum until you return to your true form, and the more extensive the change the more energy is needed to maintain it. Apart from altering your appearance you can also hulk out into a powered up form, split yourself into multiple bodies, or even assume a single energy form like fire or lightning if you have magical power on par with a Dark General, allowing you to do things like turn your body into electricity and travel through the power system like Electricus if you had an enormous amount of energy to spare.</t>
  </si>
  <si>
    <t>Sticky Skin</t>
  </si>
  <si>
    <t>Just because you were the subject of unwitting change doesn't mean that you didn't enjoy it happening. On the contrary, when did you say you wanted it to end? Your body has the strange ability to prolong any TSF related changes made to it, past when the original instigator would have cancelled its effects. You can't depower this magical girl by knocking her transformation device away. Even would-be possessors and the like would be forced to remain in your body until YOU decide they can leave.</t>
  </si>
  <si>
    <t>The Ageless</t>
  </si>
  <si>
    <t>One of the greatest advantages that elves have over humans is their increased lifespan, measuring centuries where a human would have decades. By the time a human would be dirt in the ground an elf would be considered just barely a juvenile. Of course, how an elf ages tends to be dependent on their own wishes. There are stories of truely ancient elves having the appearance of a young girl, while other elves choose to age similarly to humans until they reach adulthood.
You now share that power, gaining the ability to choose when you stop physically aging, allowing you to appear that age for however long you want. This does not make you immortal, and as a point of convinience, you may change your target age at any time, though you will have to actually live through the necessary time, with your aging turning backwards if you choose to be younger (this is not natural to elves). Also an added natural trait of of this perk is that anything that would normally mar their beauty such as scars or obesity, seem to have little effect. Deep scars fade away enough that they only serve to enhance your appearance, and of course any excess carbs that you eat goes straight to your chest or butt rather than form anything like a flabby stomach.</t>
  </si>
  <si>
    <t>The Shape of Desire</t>
  </si>
  <si>
    <t>Injuu have no use for human technology but that doesn’t mean they’re incapable of building things should the need ever arise. Your shapeshifting prowess has reached the level where you can forge objects out of your own flesh and magical energy. From simple tentacle ropes to bind your victims while you ravish them to a vast fortress of flesh and bone to house your armies and your harem of slaves, you can craft anything you can imagine through flesh sculpting and magical power, though the larger and more complicated your creations are the more strenuous they are to build. A creation as simple as tentacle ropes would be totally effortless and instantaneous even for a very weak injuu, but for a mighty demon king even an entire castle could be created almost out of thin air. Further, these organic creations are still your flesh and blood and respond to your will as if they were still part of your body, though once given a defined form and structure they can no longer change shape quite as freely outside of their designed roles.</t>
  </si>
  <si>
    <t>Urahara's Shady Drugs</t>
  </si>
  <si>
    <t>And here we go, whatever method Yoruichi used to grant Orihime, Tatsuki, Soi Fon, and herself dicks is buried in this pile of drugs. Also the one that gave them balls, which doubles as a sensitivity enhancer. Also a number of actual medicines, albeit ones a normal doctor would never prescribe. Lucky you, having a mad scientist for a roommate. Most of this will resupply itself after a few days, but the more wacky stuff could take weeks or months to get more of.</t>
  </si>
  <si>
    <t>Xchange Virus</t>
  </si>
  <si>
    <t>A strange virus that genderbends the recipient within a few days. Or, rather, getting genderbent is somehow the cure. How this is pulled off, I have no idea. They come in a nondescript briefcase with ten vials inside. There’s ten vials, six pink, three purple, and one white. The pinks swap genders, the purples cause futa, and the white acts as a counteragent. All of them will respawn once per month unless they haven’t been used. None of them are contagious.</t>
  </si>
  <si>
    <t>Bigger on the Inside</t>
  </si>
  <si>
    <t>You have remarkable control of your body’s dimensions and scale. From shrinking to fit inside someone’s mouth to growing large enough to swallow someone whole, you can also affect various parts of you piecemeal – to fit an outrageously huge tentacle in a very tight hole or make a small part of you fill up all available space.</t>
  </si>
  <si>
    <t>Clone App</t>
  </si>
  <si>
    <t>What’s this? The person of your dreams is already dating someone and cheating isn’t your fetish? Then you need the handy, dandy Clone App. Simply snap their picture. Then, when you are alone, hit clone. Their clone will appear, completely naked, a foot in front of you. This clone will have all of the person’s memories at the time you took their picture, and will act like they would. However, it will not have any supernatural or superhuman abilities and will only last four hours. If you clone them again, they will have reset to when you took the picture, your previous encounter having no effect on them Not enough for you? Well, that’s where the slide bars come in. With these, you can adjust the clones arousal, sensitivity, submissiveness and willingness. Comes with complementary smartphone if you don't have one.</t>
  </si>
  <si>
    <t>Genetic Modifications</t>
  </si>
  <si>
    <t>O-Bio has achieved superlative mastery of the biological sciences, and modifying your body is something the people of O-Bio can get done both cheaply and easily. You have the know-how to perform the genetic modifications your city is known for. You can give people extra boobs, give them a longer tongue, extra limbs, hips that vibrate, three clitorises, a tail, gills, self-binding bondage thread emitters... you can even give women a replica penis, which is incapable of producing semen but allows a woman to experience sexual pleasure at 12 times the heights men normally reach through sex.
You also know how to create human-animal hybrids, and receive sufficient biological and genetic knowledge on each new jump to adjust your techniques to work on species other than humans or Earth animals.</t>
  </si>
  <si>
    <t>Good Genes Bad Genes</t>
  </si>
  <si>
    <t>While Pridis’ experiment with the Goddess Vase went horribly wrong, you appear to have learned from her mistake and done something even better. You can now declare anyone to have - and to have always had - a twin sibling that is their perfect equal and opposite. Now, any power they might have is split in half, but the distribution isn’t nearly as unbalanced as Prina and Prelude. As a result, they’re both beautiful and actually get along. On top of that, while their individual power is cut in half, it soars to three times the original value when fully working together.</t>
  </si>
  <si>
    <t>I Can Take any Form</t>
  </si>
  <si>
    <t>The Mistress, when rewarding her children, would alter her body to something more pleasing to them. Some chose a human(ish) woman, others chose a dragon-girl. You can now, to a limited extent anyways, USE the genetic material you have collected inside yourself. These forms are powerful, make no mistake, but you would need a bucket full to maintain the transformation for a day, and I’m not sure your body can hold that much. In addition, you might find using the powers granted by your sexual exploits to be difficult at first, though that can easily be fixed by round two.</t>
  </si>
  <si>
    <t>Pokemaker-balls</t>
  </si>
  <si>
    <r>
      <rPr>
        <sz val="13"/>
        <color theme="1"/>
        <rFont val="Calibri"/>
        <family val="2"/>
      </rPr>
      <t xml:space="preserve">You get five pokeballs with a few special properties: if they fail a capture, they don't break; they are able to capture any creature that is sufficently 'pokemon like'; and if your world doesn't have pokemon, you can capture normal animals/objects and they will be transformed into appropriate pokemon over the next week.
</t>
    </r>
    <r>
      <rPr>
        <b/>
        <sz val="13"/>
        <color theme="1"/>
        <rFont val="Calibri"/>
        <family val="2"/>
      </rPr>
      <t>These items do not regenerate when used.</t>
    </r>
  </si>
  <si>
    <t>Super Crown</t>
  </si>
  <si>
    <t>You might have been wondering why the Futashroom from earlier wasn’t capable of turning a man into a futa, even though it was fully capable of turning a woman into a futa. Well, I have no idea. Something about more power needed for more changes beyond a simple ‘+dick’. But, there is a way to turn a man into a woman, and it’s this. The Super Crown. Well, honestly, it’s more like turn ANYTHING into a woman, specifically into a princess themed woman. Mostly Princess Peach themed, but there’s a decent amount of variation depending on the source material. Like another Super Crown. Beyond it’s amazing transformative properties, it has the interesting side effect of terrifying any normal woman who lays eyes upon it. No idea why, they’re already women after all.</t>
  </si>
  <si>
    <t>Unforseen Side Effects</t>
  </si>
  <si>
    <t>That you could not have predicted, no sir, there’s no way you could possibly have known which potential side effect would be the one to come true… Which is to say of course, that you’ve figured out some method of screwing with the various drugs and ‘medicines’ that you somehow got your hands on and managed to alter them to that their side effects only include sexy things. Don’t ask me what it is, just know that you can take some pills with a potential side effects of ‘mild headache or nausea’ and turn that into ‘mild boner and arousal’. Or ‘grow a futa dick and go up two cup sizes’.</t>
  </si>
  <si>
    <t>Untainted</t>
  </si>
  <si>
    <t>Okay so fuck the entire premise of the setting apparently. Genetic damage from overdosing on weird TF's? Scarf them down! Brainwashing rays? Ooo~ Pretty lights! Ultra Sonic Mind Control? This is my jam! Psychic Alien fucking your brain meats? Kinky! 
You can easily shrug off the effects of physical and mental alterations, and even the main effects themselves if you want! This can even work on recreational drugs with nasty side effects such as LSD or Cigarettes, and if you want to enjoy those side effects? Then good for you, because you can set a timer! Want to be a genuine brainwashed slut for a few hours and then go back to normal after? Go wild! Want to get genetically altered into a Bimbo Badger with a massive dick? Go nuts! Once the timer's set, all changes that occurred while it was on will revert. So if someone tries to be a tricky dicky and turn you into a bimbo slut and then mind control you in an attempt to get your slutty, bimbo self to make it permanent they'll be shit out of luck cause the adult will come back no matter how much they tried to corrupt the child! 
No, this doesn't work on fire or direct physical harm, that'd be dumb. It only counts if the main intent of the drug or technological/psychic/soul effect was to alter your mind and body. If they're trying to psychically turn your brain into paste then better get a tin foil cap because that'll protect you better than this will.</t>
  </si>
  <si>
    <t>Waifu: The Game</t>
  </si>
  <si>
    <r>
      <rPr>
        <sz val="13"/>
        <color theme="1"/>
        <rFont val="Calibri"/>
        <family val="2"/>
      </rPr>
      <t xml:space="preserve">Perfect waifus aren’t born! They are made! Welcome to Waifu: The Game. A fun little platform/puzzle game that lets you import your friends! Simply snap their picture, and the ingame sprite will be replace by one that looks just like them! At the end of each set of levels, you are asked a question on what makes a perfect waifu. Do they have to be able to cook a perfect three course dinner? Or maybe you prefer them to be able to fix any household appliance? What are their perfect measurements? The ingame sprite will change based on these answers, slowly becoming the waifu of your dreams. 
A special prize is waiting at the end for those lucky enough to beat the game. Watch as your drab old friend is replaced with the one true waifu for you! The one you built in the game!
</t>
    </r>
    <r>
      <rPr>
        <i/>
        <sz val="13"/>
        <color theme="1"/>
        <rFont val="Calibri"/>
        <family val="2"/>
      </rPr>
      <t>Disclaimer: Waifu the Video Game cannot grant supernatural powers. Waifu the Video Game cannot be held responsible for any nightmares your friends may have of being transformed into your waifu.</t>
    </r>
  </si>
  <si>
    <t>4000 Bottles</t>
  </si>
  <si>
    <r>
      <rPr>
        <sz val="13"/>
        <color theme="1"/>
        <rFont val="Calibri"/>
        <family val="2"/>
      </rPr>
      <t xml:space="preserve">You’ve gotten your hands on a copy of the inciting hazard of this whole stupid incident – a number of stacked boxes containing four thousand doses of the experimental hair dye known as CHC. The consequences of drinking just one full dose are immense, though a very small taste will actually just dye one’s hair and slightly alter their skin tone without causing any extreme mental damage. There are six colors: </t>
    </r>
    <r>
      <rPr>
        <b/>
        <sz val="13"/>
        <color theme="1"/>
        <rFont val="Calibri"/>
        <family val="2"/>
      </rPr>
      <t xml:space="preserve">Red </t>
    </r>
    <r>
      <rPr>
        <sz val="13"/>
        <color theme="1"/>
        <rFont val="Calibri"/>
        <family val="2"/>
      </rPr>
      <t xml:space="preserve">causes expansion to the breasts and buttocks, </t>
    </r>
    <r>
      <rPr>
        <b/>
        <sz val="13"/>
        <color theme="1"/>
        <rFont val="Calibri"/>
        <family val="2"/>
      </rPr>
      <t xml:space="preserve">green </t>
    </r>
    <r>
      <rPr>
        <sz val="13"/>
        <color theme="1"/>
        <rFont val="Calibri"/>
        <family val="2"/>
      </rPr>
      <t xml:space="preserve">causes excessive growth to pubic and armpit hair, </t>
    </r>
    <r>
      <rPr>
        <b/>
        <sz val="13"/>
        <color theme="1"/>
        <rFont val="Calibri"/>
        <family val="2"/>
      </rPr>
      <t xml:space="preserve">black </t>
    </r>
    <r>
      <rPr>
        <sz val="13"/>
        <color theme="1"/>
        <rFont val="Calibri"/>
        <family val="2"/>
      </rPr>
      <t xml:space="preserve">results in increased sweating (and white hair), body odor, and pheromones, </t>
    </r>
    <r>
      <rPr>
        <b/>
        <sz val="13"/>
        <color theme="1"/>
        <rFont val="Calibri"/>
        <family val="2"/>
      </rPr>
      <t xml:space="preserve">blue </t>
    </r>
    <r>
      <rPr>
        <sz val="13"/>
        <color theme="1"/>
        <rFont val="Calibri"/>
        <family val="2"/>
      </rPr>
      <t xml:space="preserve">causes lactation, </t>
    </r>
    <r>
      <rPr>
        <b/>
        <sz val="13"/>
        <color theme="1"/>
        <rFont val="Calibri"/>
        <family val="2"/>
      </rPr>
      <t xml:space="preserve">purple </t>
    </r>
    <r>
      <rPr>
        <sz val="13"/>
        <color theme="1"/>
        <rFont val="Calibri"/>
        <family val="2"/>
      </rPr>
      <t xml:space="preserve">causes an increase in musculature which is hidden by a ‘thicc’ layer of fat (especially around the thighs), and </t>
    </r>
    <r>
      <rPr>
        <b/>
        <sz val="13"/>
        <color theme="1"/>
        <rFont val="Calibri"/>
        <family val="2"/>
      </rPr>
      <t xml:space="preserve">yellow </t>
    </r>
    <r>
      <rPr>
        <sz val="13"/>
        <color theme="1"/>
        <rFont val="Calibri"/>
        <family val="2"/>
      </rPr>
      <t>causes a transformation into a futanari – as well as an obsessive fetish for that mutation which enhances the pleasure it brings to the patient. 
Not only will drinking multiple colors blend all of their effects, it has a compounding effect on their libido, sexual sensitivity, and general mental corruption. Heavily diluted, heavily mixed, or concurrent doses have far less predictable effects when compared to purer ones, but sequential doses mix their effects predictably, with overall priority generally going to the earlier doses. Being mixed with pure acetone seems to increase its potency greatly, enable absorption through the skin, and overall allow it to rapidly pollute the water supply of an entire school building. Comes with the full recipe for CHC on it.</t>
    </r>
  </si>
  <si>
    <t>Flesh Artist</t>
  </si>
  <si>
    <t>You are a Flesh Artist, one of the peak members of the medical profession and on the cutting edge of surgery and science in both the city above and below. While you aren't one of the best at engineering new organisms from whole cloth, you can easily do such things as resurrecting the recently dead and reshaping them into any matter of pleasure or combat doll, turning the "leftovers" from a gender reassignment surgery in two a functioning set of the other reproductive organs and conjoining living beings of different natures and much more. The flesh is your canvas, get creative.</t>
  </si>
  <si>
    <t>Malleability of the Flesh</t>
  </si>
  <si>
    <t>The body falls under your control, and you have the power to mold your own body as you see fit. You could create tentacles, grow more cocks, or even reshape your limbs into weapons; as long as it has an organic basis, your body is yours to reshape as you desire. But you aren’t limited to your own body; at your touch, even the flesh of others will bend to your will. The more they resist, the harder it is to work their bodies and the more likely that all you’ll get is a mangled lump of flesh as a result. But if you could get someone to submit to you, such as after raping a boy for days until he agreed to become a girl, you could make fine and precise changes to someone’s body, to the point that you could switch someone’s sex without causing any other physical complications. This gives you an excellent and intuitive understanding of biology, and allows you to sense the biological makeup of everything in contact with you. You could make changes on the microscopic scale with ease and precision.</t>
  </si>
  <si>
    <t>Pink Bomb</t>
  </si>
  <si>
    <t>The final weapon created by a particularly crazy mad scientist. This is, as its name suggests, a bomb. A rather potent one at that. If detonated, the blast radius could cover a significant fraction of a city. But this is a bomb made by a mad scientist. It doesn't explode into flames and death; instead this device releases a wave of pink reality distorting light. This light passes through inorganic matter like it doesn't exist, only targeting organic matter. Having been bullied by men for much of his life, with only a few women who showed concern for him, this scientist decided to do away with men entirely. Everyone hit by this wave of light will be changed instantly into a female version of themselves. Luckily the original scientist was stopped before he could follow through with his plan, sparing the world the chaos that would follow. But now the device is in your hands. What will you do?</t>
  </si>
  <si>
    <t>Primera's Blessing</t>
  </si>
  <si>
    <t>When Primera saw that she alone was not enough to protect humanity, she saw fit to empower others to fight alongside her — and, as she grew to old age, to fight in her stead. You too possess the ability to bless others with power — specifically, with a magical girl-esque transformation. Although you can decide the details of this transformation — you aren’t restricted to it being similar to that of the Archangels of Love. When gifting others with this transformation, you can select a number of your own perks and powers. While transformed, the subject has access to these perks at a lower level of power. If you want something more constant than a transformation, you can instead permanently empower them with a single perk or power, still at a lower strength.</t>
  </si>
  <si>
    <t>Self-Modification</t>
  </si>
  <si>
    <t>How exactly did Promestein modify herself? How did La Croix? I am not sure, but now you can modify yourself too! With just a little preparation and planning you can plan out how to modify your own body. You also gain the awareness related to yourself needed to make sure you don’t kill yourself with the modifications, giving you a sense of whether the end product will turn out how you desired. It is trivial for you to undo the changes you have wrought upon yourself or to hide the changes if they drastically change your physical appearance. If a procedure would normally require certain conditions such as genetic markers you will always count as having them and your augmentations will work as if you are perfectly compatible. Lastly, any cybernetic, bio-organic, or genetic augmentations you have do not limit you or cause you weakness, they can only ever add to your power, even if you have a rusty junk arm that should be worse then your regular arm it will be just as effective in terms of strength, speed, durability, and for pleasuring others as a natural body part would be and can even be trained like one, you could still have the arm malfunction from electricity but no more than your normal body would. Please note, that you only get these benefits when you are modifying yourself not others as you have a familiarity with your own body like no one else does. Never be outdone by the best of your creations.</t>
  </si>
  <si>
    <t>Sensual Sculptor</t>
  </si>
  <si>
    <t>You have an artistic vision few monsters can claim to share. Through your hands, flesh can be sculpted and shaped. Through your hands, someone may be reborn anew, or become naught but a toy. 
You’ve been granted the power to shape the bodies of anyone or thing you have captive, or consents to such a transformation. Like clay, features of their body may be smoothed out, curved, flattened, or stretched. 
To remove, is as simple as ‘pulling material away,’ and to increase simply requires effort and ‘stamina’ on your part. Through this you can adjust someone’s height, adjust the size of sexual features, or perform greater alterations. 
You’ve been gifted with great skill with sculpting and wonderfully dexterous hands, so your projects can’t go ‘wrong’ unless you intend them too. Sculpting has no inherent danger to it, though may feel alien and uncomfortable to your subject.</t>
  </si>
  <si>
    <t>Technocytes</t>
  </si>
  <si>
    <t>Your body becomes host to a rich array of picotechnological technocytes that will increase your body’s physical capabilities so that you’re twice as strong as the world’s strongest man, as well as remove your need to use the restroom. They also serve as an immune system that will automatically cleanse you of harmful viruses, bacteria, and chemicals, as well as foreign picotech and nanotech.
These tiny machines also rid you of your need to sleep and grant you the ability to shapeshift; neither your mass nor volume can fall below half or reach above twice what they normally are, but the shapes you can take can be incredibly complex, with the only other limit being your imagination.
By kissing someone, you can infect them with your technocytes, granting them the same benefits and/or opening them up to being mind-controlled by the tiny machines, though this is no more or less difficult to defend against than regular picomachinery.
These technocytes are fiat-backed to be unhackable and unsubvertible.</t>
  </si>
  <si>
    <t>The Perfect Safeword</t>
  </si>
  <si>
    <t>Being a lifestyle slave means having no choice in what happens to you, and while usually that’s part of the fantasy sometimes you end up with a case of buyer’s remorse when you get hurled over a line that you failed to imagine might be crossed. For situations like that there’s this perk: you have a mental reset button that allows you to undo the effects of anything that’s been done to you, restoring you to your ideal form. You can use this perk automatically if something might otherwise prevent you from using it, such as being rendered comatose or brain-dead. Any traumatic memories or corruption or anything of the sort gets packed up into a little box and shoved into a corner of your mind, allowing you to recall the related memories without getting any related bad feels mixed in with them. This perk can only be used once per decade.</t>
  </si>
  <si>
    <t>This vial contains all strains of a nanite infection that brought ruin to its world. Unleashing it will cause a partial grey goo scenario targeted solely on biological creatures, with the survivors becoming sexualised hybrids the greater the level of infection they have. It is practically impossible to use this to find or develop a cure. Replenishes every ten years if used.</t>
  </si>
  <si>
    <t>White Rabbit</t>
  </si>
  <si>
    <t>You should not have this, this leads to madness and evil. This is a vial containing the concentrated DNA of Alice the First. Imbibing this leads to great power and an affinity boost with darkness, giving this to someone with a particularly strong light element could lead to a terrifyingly strong being, capable of wiping the population of most worlds. This invites massive amounts of mutation and horrifyingly could be reproduced by someone with the right knowledge of Monster Girl Biology taking about nine years. You only get one vial, don’t lose it.</t>
  </si>
  <si>
    <t>Gender Reassignment</t>
  </si>
  <si>
    <t>Hey, you know what would be funny? If everyone here was a girl. Just for no reason, and god knows what this would do to the lore, if everybody was suddenly - or worse, always - female. Or! Suddenly male? Why I dare say you could throw the biggest sausage party ever if you felt like it. Regardless, you can now alter and edit the 'norms' for people. Things like averages, minimum and maximum. Set the male/female ratio to whatever you like, or just walk up to someone and retroactively gender swap them. They'll never notice. Hell, include some futa in there if you want, though I'm afraid they won't have any excessively crazy hentai powers like ‘third legs’ or cumming pools worth.</t>
  </si>
  <si>
    <t>Welcome to the Jungle</t>
  </si>
  <si>
    <t>Jungle De Ikou!</t>
  </si>
  <si>
    <t>In this world, physics is at the mercy of fanservice. Girls’ will lose their clothes in battle, or constantly expose their panties by accident, or have their boobs bounce around with a mind of their own at the slightest tremor, etc. Togglable post-jump.</t>
  </si>
  <si>
    <t>Slapstick</t>
  </si>
  <si>
    <t>As long as a friend or ally did something to anger you, you will be able to physically assault them with no lasting consequences. Even if you leave them bleeding, they’ll be physically fine in a few minutes, and won’t even hold it against you.</t>
  </si>
  <si>
    <t>Boys Will be Boys</t>
  </si>
  <si>
    <t>You can get away with blatant sexual harassment, even towards friends and family. They may lash out at you in the moment, but as long as it doesn't cross the line from “harassment” into “assault” it won’t impact their bond with you in the long term.</t>
  </si>
  <si>
    <t>No Time for Shame</t>
  </si>
  <si>
    <t>You feel perfectly comfortable in your own skin, even while exposing yourself or making a scene in front of others. Either you simply felt no such shame in the first place, or simply possess the willpower to ignore your embarrassment when necessary.</t>
  </si>
  <si>
    <t>Quiet Kid</t>
  </si>
  <si>
    <t>People expect you to be weird by default. Whether you’re ranting about New Guinean magic or performing a sensual dance in the middle of class. Once the initial shock has passed, people quickly write it off as you being eccentric, thinking no less of you for it.</t>
  </si>
  <si>
    <t>Preview</t>
  </si>
  <si>
    <t>At random intervals, you will experience dreams depicting battles from ancient times. These dreams will always provide hints or outright demonstrations of new spells or techniques that will be vital to resolving an impending conflict in the waking world</t>
  </si>
  <si>
    <t>Outer Beauty</t>
  </si>
  <si>
    <t>Like the spirit of flowers Mii, you possess a level of physical attractiveness that is frankly obscene. Even those with vastly different standards can agree that you look amazing. You can expect to be the center of attention wherever you go.</t>
  </si>
  <si>
    <t>Inner Beauty</t>
  </si>
  <si>
    <t>Rumor has it, Mii was once the wife of Ahem. Yes, that Ahem. Like him, even if you act like a pervert and look absolutely grotesque, you have no issue getting 12/10 beauties to fall for you. That is, as long as you aren’t as disgusting on the inside as the outside.</t>
  </si>
  <si>
    <t>Shoddy Seal</t>
  </si>
  <si>
    <t>When escaping or creating mystical seals, you have the option to leave the seal “ajar”. In other words, they become more of an apartment than a prison. You can enter and exit these seals as you please, without any indication of your presence. This can act as a mode of transport by sealing yourself into accessories.</t>
  </si>
  <si>
    <t>Maternal Embrace</t>
  </si>
  <si>
    <t>You give off such strong motherly (or fatherly, if you’d prefer) energy that those who spend a significant amount of time around you can start to see you as their actual parent in their heart. If you physically embrace someone with such feelings, the comfort they’d feel could ward away madness and even mind control.</t>
  </si>
  <si>
    <t>Super Deformed</t>
  </si>
  <si>
    <t>Once per jump, you can survive situations that would otherwise kill you, in return to being trapped in the form of a chibi version of yourself. The only way to utilize your full power in this form is through elaborate drawn-out rituals. You will be trapped in this form for 10 years, or until the start of the next jump.</t>
  </si>
  <si>
    <t>Material Affection</t>
  </si>
  <si>
    <t>Your loved ones have a weird habit of stumbling upon objects of extreme significance when looking for a gift for you. Not every Christmas will include a sealed god of destruction, but you can expect to amass a disproportionate amount of historically or scientifically significant artifacts over time</t>
  </si>
  <si>
    <t>Two Good Reasons</t>
  </si>
  <si>
    <t>Your chest (or a similarly sexualized body part) is simply hypnotic.
When you draw attention to it, most onlookers lose their train of thought and even recent memories become fuzzy. Perfect if you want to minimize reliable eye-witness accounts. Less effective on those with no sexual desire, or who are used to seeing your body.</t>
  </si>
  <si>
    <t>Media Darling</t>
  </si>
  <si>
    <t>Despite what many comics would tell you, when you publicly assume the role of a superhero, it’s received oddly well. The military is cooperative instead of combative, the media often downplays collateral damage instead of using it to smear you, and the public spends far more time singing your praises than asking who you are or why magic is suddenly real.</t>
  </si>
  <si>
    <t>All in a Day’s Work</t>
  </si>
  <si>
    <t>As long as the current conflict remains sufficiently lighthear collateral damage tends to be repaired overnight and bystanders all receive a degree of plot armor. If an enemy is actively trying to commit murder, this won’t save their target. However, as long as they don’t succeed, any buildings or people flung sky-high as unintended byproduct will be back to normal within the week.</t>
  </si>
  <si>
    <t>New Guinea Magic</t>
  </si>
  <si>
    <t>The same magic used by Ahem to seal away Ongo. By sacrificing a portion of your vitality, you are able to seal away even a stronger opponent into an inanimate artifact for at least a few centuries. Should the difference in power be too great, even sacrificing your entire life may not be enough. It is also easy to break the seal from the outside by simply damaging the artifact.</t>
  </si>
  <si>
    <t>Multi-Faceted</t>
  </si>
  <si>
    <t>You are able to gradually sculpt aspects of your personality into a kind of spirit. You can allow them to possess you to gain powers and forms reflecting what they embody. If one aspect comes to completely dominate your mind and will, there’s a risk of it developing its own separate consciousness. Otherwise they are more like alternate personalities.
To use a canon example, the evil in Ongo’s heart grew so intense over the centuries that it completely overpowered his own will.
When it took control, it transformed Ongo from a little chibi imp to a city-destroying kaiju. The difference here is that allowing a spirit to grow within you is a conscious choice for you. The longer they fester, the stronger the power they grant, but the higher the risk of them going berserk. You’re unlikely to have as extreme a case as the evil spirit within Ongo unless you allow an aspect to fester without any oversight over multiple centuries.
Until a spirit develops its own consciousness, you can re-absorb them into yourself at any time.</t>
  </si>
  <si>
    <t>Ritualistic Tool</t>
  </si>
  <si>
    <t>You receive a rustic item of your choice that decreases the time and difficulty to cast any ritual-based magic. This could be spear, a necklace, a mask, or even a codpiece. You must somehow directly involve this item in the ritual itself. This can’t take any more than 10-20% off, but it’s better than nothing.</t>
  </si>
  <si>
    <t>Magic Mirror</t>
  </si>
  <si>
    <t>This small pool of water is a magic tool used for scrying. It can be used to search for a person anywhere in the world, but only if they do something to draw attention like publicly displaying their power or causing some major disaster. This even works if nobody else knows that they were involved in that event.</t>
  </si>
  <si>
    <t>Backup Dancers</t>
  </si>
  <si>
    <t>Once per month, you are able to summon dozens of lesser spirits. Their appearance is up to you. When summoned, they will produce music that enhances the power of any spell. A spell that could destroy a car could destroy a school, a spell that makes you grow thrice as tall would have you towering over buildings, etc.</t>
  </si>
  <si>
    <t>Spare Battery</t>
  </si>
  <si>
    <t>This magic necklace is currently empty but has the ability to hold the spirit of a fallen ally. Through a 20-40 second ritual, the wearer can briefly assume the form, abilities, and personality the spirit had in life. If someone attempts to forcibly remove the necklace, it will release a massive (but nonlethal) electric shock.
You can release the spirit held within at any time, but if they came from a past jump they will immediately return to their original world. Meaning you won’t be able to just recapture them later.</t>
  </si>
  <si>
    <t>Stolen Artifact</t>
  </si>
  <si>
    <t>A strange ancient idol. This statue is abnormally receptive to any sealing-based techniques. Even a god of destruction could be trapped within (if you know the spell) for centuries. That said, breaking the seal is as simple as removing the two large gems attached to the statue. So try to keep this in a safe place.</t>
  </si>
  <si>
    <t>Gift of Gainax</t>
  </si>
  <si>
    <t>It seems Mii the Earth Mother gave one final boon to the world before falling dormant. Many women here are noticeably more curvaceous, with bosoms unburdened by gravity or inertia. Bring these generous jiggling jugs with you to future worlds, or toggle this perk off if you want anatomy more grounded in reality.
While this Perk does allow you to tweak global averages for a general increase in bust size, its effects are all relatively minor. Besides the obvious jiggle physics (and a subtle increase in back strength), this will only give most women an extra size or two. Alternatively, you can apply the effects of this Perk to a different anatomical focal point. Perhaps the animators of your future worlds will emphasize male endowments instead?</t>
  </si>
  <si>
    <t>Move With The Rhythm</t>
  </si>
  <si>
    <t>From traditional tangos to exotic jungle jigs, you’re a dynamite dancer. Better yet, you can incorporate your musical movements into any magic spells and other supernatural powers you possess. By substituting a dance for your normal incantations and casting methods, you can increase the potency of your abilities. This might mean turning a lengthy ritual into an extended musical sequence, but you can bet it will look more entertaining!</t>
  </si>
  <si>
    <t>Jungle Code</t>
  </si>
  <si>
    <t>Modern society comes saturated with unspoken expectations and complicated rules. In the jungle, disputes were more straightforward. Like Rongo, you can invoke the Jungle Code to settle arguments, demanding all parties compete to decide who’s claim will win out. These competitions can be dangerous duels, tests of strength, or a different kind of contest, such as a race to catch the biggest prey. But no matter the terms or stakes, all parties must abide by the agreement once the challenge is accepted. Prove you’re the king of the jungle, then lay down the law!</t>
  </si>
  <si>
    <t>Flexible Domain</t>
  </si>
  <si>
    <t>You may have noticed that most of the spirits around here don’t exactly stick to their godly purview. Now, you too may greatly expand the versatility of your powers with the barest of connections to your themes and power sets. Perhaps you’re a water spirit who can now see through distant bodies of water. Or maybe you’re a nature spirit, manipulating flower petals to lift whales into the air and form force fields strong enough to stop airstrikes. This world is already inconsistent, so why should your powers be constrained to common expectations?
The versatility granted by this Perk is impressive, but it depends on being able to draw some connection (even tangentially) to your core powers. For example, Mii is a nature spirit, and so she is seen telekinetically manipulating flower petals. Of course, this also means she could use said flower petals to lift a whale out of the water and fly it across the city, or form force field-like shields block strafing runs from JASDF fighter jets. Rongo is another example, showing a previously-unseen ability to teleport between bodies of water in Episode 3 because “it is her domain”. If you can relate your “creative” applications back to the original powers, this perk gives you the artistic liberty to stretch the rules of your other abilities.</t>
  </si>
  <si>
    <t>Carnal Control</t>
  </si>
  <si>
    <t>No one said having magic would feel this good! Just like Natsuki, using your supernatural abilities will feel anywhere from pleasant and euphoric to downright orgasmic. More potent powers will only increase these passions, but you can always tone down these feelings if you’re feeling modest. Of course, not everyone wants to get slammed with sensations in the heat of the moment. In addition to letting you control how much pleasure you feel, this Perk also lets you dial your other distracting instincts up or down. Tune out your bloodlust when you want to keep a clear head or crank up your anger when you need to go beyond your normal limits. With so much strangeness in the air and so many parts of your life changing, your emotions will be yours alone to control.</t>
  </si>
  <si>
    <t>Jumping Juveniles!</t>
  </si>
  <si>
    <t>Looks like gym class finally paid off! Like the locals of this world, your athleticism leaves “normal” far behind and jumps straight to incredible! Regardless of your physical appearance, you possess strength and agility that would make olympic athletes look like children on the playground. Even at 10 years old, Natsuki was capable of leaping up to second story balconies, running across handrails, and tossing annoying classmates twenty feet in the air with a front headlock throw. If you’re this strong as a child, there’s no telling how great you will be in your prime! 
While exact figures are hard to determine, it’s clear that Natsuki is several times stronger than a realistic girl her age. With this perk, your body’s natural strength is quadrupled, meaning that while a school girl could throw around a hundred pounds like it was nothing, a fully grown and trained adult could shatter boulders with their blows. Additionally, your acrobatic skill will have onlookers looking for hidden wires and trampolines (or thinking you’re some kind of legendary ninja. This strength is completely supernatural, letting you maintain a waifish or unimposing appearance without losing any potency.</t>
  </si>
  <si>
    <t>Mortal Fortitude</t>
  </si>
  <si>
    <t>You’d think that as a mortal in a world of gods and monsters, your risk of death and dismemberment would be pretty high. Thankfully, the locals here seem to be made of tougher stuff. Your body is incredibly durable when it comes to surviving overwhelming damage. A blast of lightning powerful enough to shatter a swimming pool would only leave you singed and stunned, and getting thrown across a school courtyard by the explosion would barely bruise you. Heck, even being crushed by fridge-sized chunks of falling concrete or a pair of kaiju-sized knockers would be more ludicrous than life-threatening. This won’t do anything to protect you against minor injuries, but the gods will have a much harder time squashing mortals like you.</t>
  </si>
  <si>
    <t xml:space="preserve"> Masquerade Master</t>
  </si>
  <si>
    <t>You may not be a god of knowledge, but you’re the next best thing. A lifetime of archeology, research, and fieldwork has won you a wealth of arcane knowledge and supernatural secrets. From a mental library of spells and rituals to vast historic and cultural knowledge of supernatural societies, there are few beings, even amongst the spirits, who know more about the unseen world than you do. Some, like the Professor, might use this knowledge to curate circumstances from behind the scenes, keeping knowledge of magic away from public awareness. On the other hand, you could be like Nami; dreaming to use your paranormal power to conquer the world. Whatever you seek, your truly terrifying amount of mystical knowledge will make using your power (or getting more) frighteningly possible. 
This Perk is meant to reflect Nami’s legitimate ambition to take over the world (her words, seriously). As such, your mental library of mystical knowledge contains almost every spell to exist. The only information beyond you is that which has been specifically kept secret or purged from recorded history, though with your experience, it probably won’t stay secret for long. This Perk also includes knowledge of prophecies, pantheons, and any other cultural, historical, or social context related to the supernatural world.</t>
  </si>
  <si>
    <t>Transformation Sequence</t>
  </si>
  <si>
    <t>Appearances don’t matter as much when you’re a near-immortal aspect of nature, but it can make interacting with the mortal world easier. Thankfully, you can alter your age and enhance your beauty whenever it suits you. Grow into a gorgeous young woman when you need to dazzle some gawking mortals or revert into a wild imp around those you trust. This isn’t true shapeshifting, and key features like hair, eye, and skin color will remain constant, but mortals will envy your ability to shave off a few years before enjoying a night on the town. Don’t worry, the sleazy dance number is entirely optional.</t>
  </si>
  <si>
    <t>Cherub Cohort</t>
  </si>
  <si>
    <t>Even the most powerful divinities need help every now and then. Your connection to the Earth allows you to call on ancient ancestor spirits to assist you with large spells and other impressive workings. With just a simple chant these summoned souls will amplify your powers up to tenfold, allowing you to accomplish far more than you ever could on your own. By default these spirits take the form of innocent, angelic children, though they could take on a more abstract appearance, or even manifest as a choir of creepy old men, if you preferred that for some reason. This effect grows stronger the longer you hold your chant, so while a few repetitions may be enough for a smaller boost, taking on the God of Darkness will probably require its own song and dance.</t>
  </si>
  <si>
    <t>God Sealing</t>
  </si>
  <si>
    <t>The powerful spirits of this world are charged with protecting it from terrible beings and catastrophic forces, and they are not without tools in this fight. Passed down from Father Ahem himself, this type of magic specializes in binding and containing supernatural beings. A novice could wield these spells to clip the wings of a mischievous water fairy, while a determined spirit with a little help could lock an evil god away for thousands of years. You could even use this power to seal away memories or modify personalities, isolating the individual you’ve befriended while separating out their dark power or evil aspects. Whether you are keeping the God of Destruction at bay or simply punishing some prankster pixies, your opponents aren’t as powerful as they might think. 
In addition to sealing away specific aspects of a creature (like memories or powers), you can also set conditions when your spell will automatically end. Take away a petulant magician’s powers and only return them when he learns his lesson, or lock away a dark evil and only release it when a champion arrives to slay the monster for good.</t>
  </si>
  <si>
    <t>Faerie Fusion</t>
  </si>
  <si>
    <t>Spirits may wield incredible power, but their separation from the physical world prevents them from using their abilities to their fullest potential. Like many spirits, you’ve learned to subvert this limitation by forming a connection to a mortal and thus the material world. This trades some of your power for much more freedom to act. Now the specifics of the possession are for you to determine. You could possess a mortal’s physical form, taking complete control of their body like a puppeteer, though a person with enough willpower could cast you out. Alternatively, you could meld with your host to form an amalgamation of your appearances and personalities. You could even act as an advisor, gifting your powers to another while you tag along unseen, offering whispered advice and encouragement. Whatever the balance of agency and ability, this bond allows you to access your powers to their greatest extent and accomplish even more impressive feats.
You have specific control over the physical and mental changes you and your bonded partner experience, as well as how much control both of you have over the results. As a final bonus, this Perk also makes you supernaturally skilled at spotting who would be most receptive to your influence and powers.</t>
  </si>
  <si>
    <t>Home For Dinner</t>
  </si>
  <si>
    <t>With all the weirdness in the world, sometimes a home-cooked meal is exactly what you need to make everything feel normal. Just open your fridge or oven and you'll find this plate of nutritious, delicious food whenever you are in need. Not only will this meal give you the physical strength to tackle the day, but also the peace of mind needed to keep yourself centered amidst the recent chaos. Whether you're enjoying a simple family recipe or a delicacy like whale meat, nothing beats a meal made with love.</t>
  </si>
  <si>
    <t>Apartment</t>
  </si>
  <si>
    <t>There's nothing like returning home after a long day of saving the city.
Now, you can always be sure you'll have a home to come back to. This comfortable apartment can easily accommodate an entire family, and comes with a uniquely powerful protective enchantment. Any chaos or destruction that befalls the city will not touch your home. The entire neighborhood could be flooded and your home would miraculously escape the ocean. A monster attack might cause blackouts throughout the city, but your lights wouldn't even flicker.
With the world throwing so much at you, you deserve to know you'll always have a place to call your own.</t>
  </si>
  <si>
    <t>Artifact Exhibit</t>
  </si>
  <si>
    <t>Are you a professional curator, or does your dad just like to bring his work home with him? Either way, you’ve found yourselves in possession of quite a few priceless artifacts, from mundane tapestries and carvings to some more...exotic idols. By itself, this collection could earn you a pretty penny if you agreed to loan it to your local museum, but some of the items here have more tangible gifts to give.
A few of the items here contain powerful magics from ancient Papuan societies. You receive +600JP that can only be spent in the Powers section of this Jumpdoc. The powers you purchase are originally stored in the artifacts of your collection, though what happens next is for you to decide. Perhaps touching the artifact transfers the powers to you, or perhaps one must carry an artifact on their person to wield its gift? You might even decide that all who come into contact with a relic gain its blessing. However your antiquities work, you’ll have very real proof that magic is returning to this world. 
When purchasing the powers stored in your artifacts, you may determine how they are passed to new recipients. The powers could pass to the first person to interact with them, just as Rongo bonded to Nami, or they could act like Natsuki’s necklace, granting whoever carries the artifact the powers temporarily. You could even have the artifacts grant their boons to whoever interacts with them. I’m sure Mii would appreciate it if every woman who visited her statue was granted a full, fertile figure. Generally, the more people who receive a boon, the less dramatic and powerful the gift is. However, that rule was written by Ahem to keep balance. Perhaps you don’t share his fears about unchecked power.</t>
  </si>
  <si>
    <t>Soulcage Earrings</t>
  </si>
  <si>
    <t>Guiding mortals can be exhausting work. Thankfully, you've got this portable oasis to transport you in style. This blue crystal can convey spirits, gods, and even corporeal beings in comfort. Those inside these gems can telepathically communicate with the ones who carry them, letting you secretly explore the world like Ongo, all from the safety of a schoolgirl's earrings. By default, you are free to come and go from this magical space freely, though an expert in binding magic could probably turn these crystals into pocket prisons for malevolent creatures.</t>
  </si>
  <si>
    <t>Godfang</t>
  </si>
  <si>
    <t>Binding magics can keep a spirit contained, but sometimes a problem must be dealt with once and for all. Infused with potent enchantments, this weapon is capable of wounding and even destroying the immortal. Normally immaterial or immune beings can be laid low by this tool, whether it takes the form of a humble Stone Age spear or an intricate Bronze Age blade. Be warned, however. A weapon is only as good as its wielder, and even Father Ahem required enormous help before he could strike the final blow against the Lord of Destruction. 
While both Ongo and Ahem carry spears, your godly weapon can take the form of any traditional weapon, from a simple sling to an expertly-smithed greatsword. Alternatively, you can apply the god-harming effect of this weapon to an existing tool you already possess. Note that while this weapon can damage even the immortal, it is not an instant solution. You’ll still need to fight smart and exploit your opponent’s weaknesses if you wish to prevail.</t>
  </si>
  <si>
    <t>Bone Totem Collar</t>
  </si>
  <si>
    <t>As mighty as the spirits are, they often need the help of mortal champions. With this necklace, you can bestow a fragment of your abilities onto a chosen supporter. You can decide whether to grant a mere taste of your supernatural powers or a full copy of your skillset, but the connection formed by this gift will tell you exactly how your boons are being used. Of course, such a potent gift requires appropriate protections. Anyone who attempts to tamper with or remove this necklace will be rebuffed by a powerful jolt of lightning.
You could stun an entire room of assailants, giving your champion the chance to either fight or flee! As a final bonus, you or your chosen bearer may alter the appearance of this trinket when it is donned. No need to go around with a string of skulls around your neck when a subtle choker will do instead.</t>
  </si>
  <si>
    <t>Hidden Temple</t>
  </si>
  <si>
    <t>The untouched wilderness holds an ancient secret! This ritual site may have been forgotten about by the world, but it is still constructed atop a powerful ley line.
Religious rites and other magical workings can draw on the deep well of power beneath this holy site, allowing spellcasters to affect the entire world from this locus. Finally, the foundations of this temple are impressively fortified against chaotic and evil beings. Should you ever need to imprison a terrible god or evil spirit here, you can rest assured that they will remain entombed for as long as their cage remains undisturbed. Stave off the apocalypse for a couple thousand years!</t>
  </si>
  <si>
    <t>Flight</t>
  </si>
  <si>
    <t>What kind of spirit doesn’t know how to fly? Float, hover, and soar through the air to enjoy a freedom mortals could only dream of! Your swiftness will only grow with your power, so while a simple water spirit might keep pace with a speeding car, the true Lord of Destruction could cross entire oceans in a few short hours.</t>
  </si>
  <si>
    <t>Elemental</t>
  </si>
  <si>
    <t>Your place in the natural order is much more... fundamental. You champion one of the natural elements, giving you immense power over an essential aspect. You could be a water spirit like Rongo, summoning water to you or launching geysers into the air high enough to threaten low-flying aircraft. You could also choose to represent a different natural element, such as fire, earth, or wind. Alternatively, you could embody another aspect of animism, such as the mountains, the typhoon, or even elements of human culture. The spirits of hunting and pottery haven’t been seen for many years, but perhaps they too are waking up!</t>
  </si>
  <si>
    <t>Father Ahem</t>
  </si>
  <si>
    <t>From Ahem came all of creation, for though Mii was the Mother Goddess of Earth, the seeds of life were given by Ahem. Now you too wield one half of the essence of creation; the power over the spirits of the living. Your command of souls allows you to interact with life in incredible ways. You can inherently sense the presence of living creatures through their souls, and locating one specifically is no more difficult than finding your favorite book in a library. By tapping into their soul, you can communicate with a being regardless of language, even while they dream! You can even imbue others with knowledge and skill, from something as simple as a traditional dance to something as treasured as memories of your ancient past. Any knowledge you bear can be effortlessly given, and for a being as old as you are, that is a true wealth indeed!
Your powers do not end at simply interacting with souls. With careful skill and much practice, you could even shape new souls of your own. At first these may take the form of simple spirits, with barely a hint of purpose. With more experience, you could begin to spawn the spirits of animals, and eventually even the full sapience of a human soul. The intelligence and independence of such a creation is a precious and delicate thing, but mastery over your domain will make such goals attainable in due time.
Finally, your position as Creator of Souls also gives you insight into their destruction. You can attack the soul of a creature as easily as a mortal might attack their body, diminishing their power and eventually extinguishing their spark of existence. To destroy a soul is a terrible, terrible thing, but should the spirits of darkness awaken once again, you will have the power to protect the life that remains.</t>
  </si>
  <si>
    <t>King of Destruction</t>
  </si>
  <si>
    <t>The seal has been broken! Darkness returns to the Earth! It seems Ongo has competition for the title King of Destruction. As the embodiment of annihilation, you have the power to bring ruin to everything around you. You can release beams of pure energy to obliterate your foes and level their cities. You can grow to be ten stories tall, dwarfing any pitiful resistance the mortals might raise against you. Even your very presence seems to erode the creations of your enemies. Buildings will crumble, cities will be left in darkness, and the might of civilization will be brought to its knees. Any other abilities you possess will also be enhanced when used to destroy. A lightning bolt that once shocked your foes now craters the ground they stand on. An inferno that could consume a home will grow into a town-destroying firestorm. Ahem knew that if Ongo was ever released, he could destroy all life on Earth. It’s time to show everyone how right the Spirit Father was!</t>
  </si>
  <si>
    <t>Mother Mii</t>
  </si>
  <si>
    <t>Ahem may have planted the seeds of life, but Mii watched over their growth. Like the Earth Mother herself, you possess the inspiring power of a fertility goddess.
Plants will sprout and grow at your command, springing forth from even the most barren ground in stunning shows of plentitude. This explosion of life could follow the wild, untamed course of nature or could follow your exact cultivation, producing unhindered jungle or exact gardens all with equal ease.
Of course, nature is made of more than just plants. Your dominion over flora is matched by control over fauna. Your affinity for animals will let you attract, interact, and even change them as you would a bed of flowers. Revive the Earth’s primal past by growing common herbivores into megafauna, or bestow new adaptations onto the creatures you bless. Heal grave wounds or let unchecked growth ravage your foes. You can even apply this power to humans, shaping their physical form just as Father Ahem shaped their spiritual one. Grant that pervert schoolboy a chest of his own to play with, or grow yourself into skyscraper-sized giant to embody the full power of the Earth.
Finally, your connection to the Flower Spirit has given you a deep insight into the development of new life. You can grant boons and curses of fertility, granting children to those that long for them or spawning plagues of locusts to wipe the land clean. You understand life as only Mother Nature could, and can wisely shepherd all kinds of offspring from conception to birth to adolescence and beyond. Should a creature be ready for the trials of adulthood, you can speed their physical development along. And if you think an aged specimen requires more time, you can grant them the youth they deserve.
Like the great Banyan Tree, your powers will start as a mere seedling, ripe with potential. It will take time, patience, and practice to grow into the full of your power. But cultivate your talents and soon you will understand why Ahem chose Mii to save the world.
Buying the powers of both Ahem and Mii gives you the power to create and shape both body and soul. You can not only spawn new souls ex nihilo, but give them bodies to inhabit, effectively creating living creatures from nothing. Play responsibly!</t>
  </si>
  <si>
    <t>Godly Globes:</t>
  </si>
  <si>
    <t>It seems the mischievous Earth Mother has given you a very specific boon; magnificent mammaries worthy of the gods themselves! But these curves do more than look good. Just like Mii, your blessed bosom embodies the boundless warmth and love of the Earth itself, strengthening your body, mind, and soul.
Physically, this warmth makes you immune to the hottest summers and bitterest colds, so feel free to wear that chest wrap and flower skirt, even in the middle of a blizzard! Mentally, this warmth will fortify you against fear and wickedness, and can give pause to even the darkest creatures. After all, the King of Destruction himself was halted mid-rampage by the sight of Mii’s mountains. Finally, this warmth guards your spiritual center, filling you with hope and shielding you against despair and corruption. You can even share this warmth with others nearby, clearing their minds and strengthening their souls against the hardships of the world. With this royal rack, your beauty and spirit will shine like a beacon for all to see.
According to Ahem, Mii’s boundless warmth and love could overcome the greatest evils, and her chest literally made Dark Ongo pause mid rampage, stunning him long enough for the heroes to prevail. Enjoy defeating your enemies and vanquishing evil with the power of boobs!
Yes, this does make your breasts among, if not the best in the world. Everyone will find you attractive, but not supernaturally so. Thankfully, the spiritual warmth you carry discourages the worst behavior in onlookers and prevents harmful reactions to your features. You’ll also note that this perk does not mention size anywhere. Sure, Mii was gigantic, but all chests are great chests, so feel free to customize. If your Jumper’s starting age is too low, this perk represents what you will eventually mature into at adolescence. You can also apply this perk to other anatomy, if you choose. Maybe you want to follow Ahem’s example? Given the size of his Koteka and how he is depicted in statues, the Father Spirit had his own impressive endowments.</t>
  </si>
  <si>
    <t>“I’m Interested In You...”</t>
  </si>
  <si>
    <t>Want a one-night stand? This is how you get one-night stands. With but a few days of time invested, you can pop that single line and get right to the horizontal mambo with the particular person you want to bang. Once the deed is done, this Perk goes on cooldown for a year, and any further attempts to invoke it will lead to both embarrassing and publicly stigmatizing scenes.</t>
  </si>
  <si>
    <t>Coin Artist</t>
  </si>
  <si>
    <t>Ergo, ‘this isn’t what the coin is supposed to do, but I don’t care’ the Perk. For magical artifacts with a rather narrow scope of purpose, people have found many different ways to use the coins. Such as, sticking one in an oven and baking the best, addictive, pies anyone has ever eaten. You could finagle a way to enchant, say, an egg with particular circumstances to force someone you gave it to to always tell the truth. Post-Jump, you can milk similar “not as intended” uses out of equally powerful, but narrow of scope, artifacts.</t>
  </si>
  <si>
    <t>Morph Clothing</t>
  </si>
  <si>
    <t>Want style? Here you go. This unassuming shirt and slacks combo is magical, in the way of altering themselves to whatever appearance you could imagine that is purely cosmetic. Ergo, you cannot make this outfit function as armor, nor can you acquire gemstones by morphing into an outfit of obscene opulence.</t>
  </si>
  <si>
    <t>Fertility Idol</t>
  </si>
  <si>
    <t>The wrought gold image of a niche goddess. A goddess portrayed as hilariously endowed in the hips, buttocks, thighs, breasts... even a pronounced paunch. What does it do? Well, one of two things. One, should you keep it in your possession you will find that you are in complete control over your baby making functions. No kids? Plow as much as you like without protection and it’ll never happen.
Octuplets? One shot and done. Second... well, I suppose you could consider the second use a curse. If you gift it to a woman, after a single month they will adopt the build of the idol and be endowed with an absurdly high fertility. Or use it on yourself if you are a woman. Should you gift the idol, it will return to you after that month has passed, and its “blessing” has been bestowed. How the particular woman reacts depends on the person.</t>
  </si>
  <si>
    <t>Jumper Pie</t>
  </si>
  <si>
    <t>This bakery start-up is all yours, Jumper. While the kitchen is only large enough for a single chef, the oven has been fused with one of the magic coins so that anything baked within comes out frighteningly delicious, addictive even. Don’t worry if you can’t cook, this establishment comes with a portly, enthusiastic, live-in baker to keep the place running at capacity if you aren’t around. Post-Jump this can either become an attachment to your Warehouse, or you can plunk it down nearby when you start a future Jump. The baker will only adjust her recipes if you specifically tell her to. Ingredients just appear in the back room, no purchase required, all profit.</t>
  </si>
  <si>
    <t>Become What You Seek</t>
  </si>
  <si>
    <t>... Are you sure about this? You want to bring the coins with you to future Jumps?
Well, they’re your points. Ahem. You have here ten individual ‘Become What You Seek’ coins for your use/”gifting” from here on out. As mentioned before, these coins are SENSITIVE and have a rather, arbitrary set of morality judgements. For instance, say you asked Wonder Woman to put her money where her mouth was on her “love and compassion” stance. If she were touching a coin while she said this, the coin would make her obese, in accordance with its arbitrary morality on “Empathy.” Giving one to Batman, in contrast, would give him a demonic visage given his “Pragmatism.” Seriously, you could ruin people’s lives with these things Jumper. Again, are you sure about this? Each individual coin has a one month cooldown period.</t>
  </si>
  <si>
    <t>Shape What You Were</t>
  </si>
  <si>
    <t>Expensive, right? But for nearly limitless time travel, I would say that’s more than fair. You receive three coins, each good for an hour in the past at any point you can name. Prevent your enemy from being born? Done. Undo a critical discovery?
Easy. As a protection, you are guaranteed to not butterfly yourself out of existence.
Each coin has a one year cooldown.</t>
  </si>
  <si>
    <t>Elf Form</t>
  </si>
  <si>
    <t>Bikini Warriors</t>
  </si>
  <si>
    <t xml:space="preserve">You are one of two fantasy races known for looking particularly good in a bikini.
Your skin tone is irrelevant, as there is no difference in this world regarding what the races bring to the table. Now, you possess a base level of strength that is slightly superior to most humans, along with enhanced speed and incredibly sharp hearing. Additionally, your race is blessed with eternal youth, allowing you to maintain your youthful appearance indefinitely. </t>
  </si>
  <si>
    <t>Demon Form</t>
  </si>
  <si>
    <t>You are part of the second fantasy race that exemplifies how truly attractive bikinis are in this world. As a demon, your race has no fixed shape, allowing you to fill most niches of attractiveness for the female form. Besides your unparalleled beauty, you are far stronger than any elf in existence at base strength. Your magical potential is one of the strongest in the world, making you a naturally born spell caster of immense power. Your age is entirely up to you, as you can choose to be any age you wish, reflecting your unique heritage and the timeless nature of your kind.</t>
  </si>
  <si>
    <t>Swimsuit Look</t>
  </si>
  <si>
    <t>Let's be honest here: if you're not at least a 8/10 in the looks department, wearing any bikini armor might not be the best idea. It's all about confidence and style, right? Choose one attribute that sets you apart from others. Whether you're cute and kawaii, a hardcore badass, or stylishly cool, your appearance will match your chosen vibe. It's about rocking what you've got and owning your unique qualities in this world of adventure and beauty.</t>
  </si>
  <si>
    <t>Bikini Fashion</t>
  </si>
  <si>
    <t>In this world, bikini armor is not only fashionable but also practical and fully functional. Regardless of the exposure, your bikini armor provides complete protection depending on its type. Plate bikini armor offers maximum defense against physical damage, while wizard bikini armor provides significant elemental resistance. This perk comes free of charge during your stay in this world.Should you wish to bring this unique fashion sense to future worlds, it will cost you 100 CP. This ensures that wherever your adventures take you next, you can continue to enjoy the stylish and protective benefits of bikini armor.</t>
  </si>
  <si>
    <t>Mark Of The Hero</t>
  </si>
  <si>
    <t>On your left hand, there is a crest that marks you as a hero of your respective race. Because of this crest, you now possess a broken limiter, allowing you to grow in strength beyond the norm of your race. This broken limiter also increases the potency of spells and abilities you might gain, and accelerates the speed at which you acquire and master such skills.</t>
  </si>
  <si>
    <t>Gaining EXP</t>
  </si>
  <si>
    <t>Now, whenever you kill a monster in this world or in future worlds, you gain a small part of its soul. Once you collect enough of these soul fragments, you can use them to either enhance your current abilities or gain a new skill from the collected souls of the same species. It takes more soul fragments to enhance your stronger abilities, and you can only learn one skill per species whose soul you have harvested. In future worlds, this ability will also work on normal people you kill.</t>
  </si>
  <si>
    <t>Actual Rewards</t>
  </si>
  <si>
    <t>As an adventurer, you will often need to undertake subquests to fulfill your main quest objectives. These subquests may require you to find specific single-use items, such as a mirror needed to seal a boss in a dungeon. Now, whenever you need to complete these subquests to obtain single-use items, these items will gain a secondary small effect, making them more useful beyond their initial purpose. For example, the mirror used to seal a boss can now also function as a scanner, allowing you to check the abilities and elemental weaknesses of a monster.</t>
  </si>
  <si>
    <t>That’s The Spot</t>
  </si>
  <si>
    <t>You possess a unique skill that allows you to easily find people's weak spots, especially if they are female. This ability can be used for various purposes, depending on your intentions. Whether you choose to exploit these weaknesses in battle, use them to gain an advantage on the bed. So have fun.</t>
  </si>
  <si>
    <t>Lucky Pervert</t>
  </si>
  <si>
    <t>Your daily life now follows ecchi logic, where you might accidentally walk in on a girl changing and get slapped, or slip and land in her crotch or chest. This aspect of your life can add some unexpected and humorous moments. You have the ability to toggle this effect on or off whenever you want, allowing you to decide when you want to embrace or avoid these ecchi situations.</t>
  </si>
  <si>
    <t>Starting Bikini</t>
  </si>
  <si>
    <t>Bikini armor might look impractical and excessively revealing, with many openings that leave little to the imagination. But rest assured, the fabric is actually very powerful, creating a protective field that shields the wearer from injuries. This makes these bikinis vastly superior to any conventional armor, despite often looking you now like something you wear on the beach.</t>
  </si>
  <si>
    <t>Cute Bag</t>
  </si>
  <si>
    <t>With such skimpy armor, carrying everything on you can be extra hard. That's why you now have a cute bag that can carry everything you need with ease.
There is no limit to how much you can carry, and it's also organized to let you know exactly what you have in the bag. This bag ensures that you always have access to your equipment, potions, and other essentials without being burdened, making your adventures more convenient and efficient.</t>
  </si>
  <si>
    <t>It might seem strange to think anyone can remain pure while fighting in bikini armor and being continuously ogled by men around them, but you can. No matter what happens to you—whether you are dirtied by some slimy liquid or afflicted by some form of corruption on your body or soul—these impurities will leave your body with a quick scrub or over time. Additionally, this perk makes it impossible for you to be brainwashed or possessed. This ensures that you maintain your purity and autonomy, regardless of the challenges and adversities you face.</t>
  </si>
  <si>
    <t>Collection Completion</t>
  </si>
  <si>
    <t>It looks like you have a habit of collecting different types of bikini armor and various forms of equipment. Whether it's for the sense of collecting or to have a range of gear to fight specific enemies, your collection is extensive. Regardless of your reasons, you won't just receive the equipment's benefits when you're wearing them. You'll also receive at least 5% of the effects of all unique and different types of equipment you've collected(no duplicates will affect this perk), even when it's not equipped. This usually translates into bonuses in terms of defense, attack, or resistances. This unique ability ensures that your collection always provides you with a tangible advantage, making you stronger and more resilient with every piece you add.</t>
  </si>
  <si>
    <t>Potion Brewer</t>
  </si>
  <si>
    <t>You are a beginner in the art of potion brewing, currently able to create small, weak potions and antidotes. However, with time and by finding new recipes, you can gradually learn to create more powerful and effective potions. This skill will grow as you gather ingredients and experiment, eventually allowing you to brew potions that can greatly aid you in your adventures.</t>
  </si>
  <si>
    <t>Good Start</t>
  </si>
  <si>
    <t>Usually, when you start your adventure, whether as a hero or something else, people are not always willing to help you due to your lack of fame. That's why, whenever you begin your journey in a new place or jump, people will have a tendency to trust you more and offer their support in various ways. This support can come in the form of food, coins, or valuable information. This advantage ensures you have a smoother start and the necessary resources to embark on your quests successfully.</t>
  </si>
  <si>
    <t>Tome Of Completion</t>
  </si>
  <si>
    <t>You now possess a red tome that, when used, will identify unknown objects, revealing their functions and abilities within its pages. This tome also details what is needed to reproduce such items, if possible. The index of the tome contains many empty slots, showing just how many magic items exist in this world, encouraging you to collect them all. Additionally, whenever you enter a new world, a new red tome will appear, indicating how many magic items are there for you to collect.</t>
  </si>
  <si>
    <t>Ring of Protection</t>
  </si>
  <si>
    <t>For some reason, in this world, there are many monsters that perform perverse attacks, such as focusing on your sensitive spots or melting your clothes but not your flesh. But not anymore, as this ring now protects the wearer from all attacks with the intention of humiliating you. The ring either increases your agility so that you can dodge these attacks or reinforces your armor, making it harder to remove and penetrate. This protection ensures that you can maintain your dignity and focus on the fight without being distracted or embarrassed by such attacks.</t>
  </si>
  <si>
    <t>Inn Store</t>
  </si>
  <si>
    <t>You now own an Inn designed to be however you like, and it will continuously generate passive income for you. Additionally, in front of the Inn, there is a store where you and your customers can buy items for their adventures. This establishment serves as both a comfortable base of operations and a convenient marketplace, ensuring that you and your fellow adventurers are well-equipped and ready for any quest.</t>
  </si>
  <si>
    <t>Crazily Competent Craftsmanship</t>
  </si>
  <si>
    <t>You are now able to create your own bikini armor and weapons with various effects, depending on the materials you have on hand. The rarer the material, the stronger the armor or weapon you create. But that's not all—you also have the ability to upgrade any armor and weapons you possess. This upgrading process will require both materials and lots of gold. So, if you have armor or a weapon that holds sentimental value, you can continuously upgrade it, enhancing its power and utility over time. This skill ensures that your equipment can evolve with you, always staying relevant and effective in your adventures.</t>
  </si>
  <si>
    <t>Extreme Vigorous Skin</t>
  </si>
  <si>
    <t>It would be a shame if that delicate skin of yours bled, even with the powerful bikini armor you possess, as there will be a limit to what it can block before it breaks. That's why you now have a choice: either your skin becomes invulnerable to non-magical attacks in the forms of slashing, crushing, or piercing, or it becomes invulnerable to one single element of your choice. This includes fire, ice, lightning, or any other elemental force. This can be bought multiple times.</t>
  </si>
  <si>
    <t>Vampire</t>
  </si>
  <si>
    <t>Through some dark ritual, you have been transformed into one of the Children of the Night. You now possess enhanced speed, strength, and endurance, augmenting your original racial abilities. Additionally, you have gained the ability to turn into black mist, possess others, and manipulate and solidify shadows.
However, with this newfound power comes a significant drawback: the light of the sun drastically weakens you. This is a small price to pay for the extraordinary powers you now wield, making you a formidable force in your adventures.</t>
  </si>
  <si>
    <t>Witch</t>
  </si>
  <si>
    <t>Through the awakening of the power in your blood, you now gain the ability to cast and manipulate mana with extraordinary precision. This significantly enhances your abilities as a spell caster, allowing you to control both the power and trajectory of your spells to an exceptional degree. Your improved mana manipulation ensures that your magical attacks are more potent and accurate, giving you a considerable advantage in any magical confrontation</t>
  </si>
  <si>
    <t>Perfect Weapon</t>
  </si>
  <si>
    <t>On your adventures in this world, you have found the perfect weapon for you.
This masterfully crafted weapon adapts itself to your needs, channeling your powers perfectly and never requiring any maintenance. Now, choose any weapon that you desire, even if it doesn't typically fit your class or background.</t>
  </si>
  <si>
    <t>Fundamental Magic Systems For Dummies</t>
  </si>
  <si>
    <t>You now possess a book that, upon appearing upon entering any world, will begin to fill with easy-to-understand, detailed instructions on the use of every spell that exists in that world, which you have the potential to use. The book evaluates your affinity to determine your capability of using each spell. If a world lacks magic or spells, the pages will instead fill up with instructions on technical skills popular in that world, or with skills that warriors can use.</t>
  </si>
  <si>
    <t>Body Of A Goddess</t>
  </si>
  <si>
    <t>Before, your body was divine due to your extraordinary level of beauty. Now, it contains a spark of divinity, making you akin to a minor demigod. Your beauty has been upgraded to an 11/10, and you now possess enhanced charisma, causing anyone to blush and drop their guard around you. Your body is immune to any form of degradation and aging. Additionally, your power can grow whenever your beauty is acknowledged by others, with a more potent effect when recognized by people of the opposite sex.This power boost is permanent when entering a new jump.</t>
  </si>
  <si>
    <t>One In The Same Power</t>
  </si>
  <si>
    <t>As a warrior, you have now reached inner peace with all the powers you have gained in this world and others. No matter the source of your power—whether it's chakra, ki, reiatsu, cosmo, cursed energy, or mana—it now converges into one singular pool of energy within your body. Additionally, all of your powers no longer conflict or hinder your growth. Instead, a perfect balance ensures that only the positive effects manifest, with none of the negative. Because of this harmony, your power level is now greater than the sum of its parts.</t>
  </si>
  <si>
    <t>Simp Town</t>
  </si>
  <si>
    <t>These simps, I mean people have decided to make you the leader of their town.
Clearly captivated by your looks and fame—though mostly your looks—they practically worship you. Regardless, this town will follow you into future jumps and adapt to integrate any form of technology and magic from all worlds it has visited.The town's population is entirely up to you, allowing you to decide the age ratio, gender ratio, and species that inhabit it, with the flexibility to change these aspects in each jump. Additionally, you don't need to be present to run your town, as it is self-sufficient and will provide you with a generous passive income. This town serves as a stable base and a testament to your influence, seamlessly blending into each new world you encounter.</t>
  </si>
  <si>
    <t>Dungeon Core</t>
  </si>
  <si>
    <t>You now possess a Dungeon Core, a powerful artifact with two distinct choices for its use. The first option is to implant the core into the ground and become the Dungeon Lord, giving you the ability to create and model the dungeon as you see fit. You can populate it with monsters, but remember that the more monsters and the stronger they are, the more magic and mana will be needed to maintain them. Your goal is to stop any intruders from reaching the core. If the core is destroyed before the dungeon has survived for three years, you gain nothing.
However, if you succeed, you will absorb the life force of all adventurers who perished in your dungeon, which you can use to strengthen yourself, your followers, companions, gear, and gold. The longer your dungeon survives, the greater the rewards.
The second option is to plant the Dungeon Core somewhere and let it grow on its own. After three years, this natural dungeon will be ready to explore. You will have no information on the theme, the monsters within, or the number of floors.
All you know is that this dungeon will be incredibly difficult and will require everything you've got to clear. However, the rewards for clearing it will be immense, offering top-quality gear and money that are among the best in that world.
Regardless of the choice you make, you will receive a new Dungeon Core at the beginning of each new jump.</t>
  </si>
  <si>
    <t>Legendary Bikini Armour</t>
  </si>
  <si>
    <t>You hit the jackpot and found the Legendary Bikini Armor. Besides the basic abilities of other bikini armors, it also significantly enhances your class abilities, making you able to fight any upper-class demon general after some time becoming adept with it. If you are multiclassing, choose one class that this armor will enhance.
For example, for fighters, it boosts your strength, speed, and combat skills, making you a formidable force on the battlefield as you are almost tireless while actively fighting. For rogues, it greatly improves their agility, stealth, and precision attacks, allowing for unparalleled infiltration and assassination capabilities.
Additionally, their disguising abilities have been enhanced to the point where it is hard to distinguish them from the original. For magicians, it provides a substantial increase in magical potency and mana reserves, enabling them to cast more powerful and intricate spells. The armor also grants elemental resistance to the elements they have mastered.</t>
  </si>
  <si>
    <t>Tame Tits</t>
  </si>
  <si>
    <t>Manyuu Hikenchou</t>
  </si>
  <si>
    <t>These handfuls won’t stand out, but they also won’t hold you back. With your reserved rack, you needn’t worry about being targeted by cruel Manyuu warriors. At the same time, you won’t be winning any friends or influence with these modest mammaries. The life you make for yourself here will depend solely on your actions.</t>
  </si>
  <si>
    <t>Manyuu Melons</t>
  </si>
  <si>
    <t>Your bountiful bosom would place you right alongside Kagefusa Manyuu and the other nobility of this world. Though these breasts are each smaller than your head, you’re likely to have the best cans in your community. The prestige these puppies will grant you can open doors normally closed to those outside the Manyuu Clan or the Shogunate, giving you an in with the major players in this country. Of course, greater rewards come with greater risk. These tatas make you a target for tit thieves and vengeful Manyuu samurai alike, but the opportunities are worth it. With knockers like yours, people know you’re important!</t>
  </si>
  <si>
    <t>Oppai Maximum</t>
  </si>
  <si>
    <t>Great glorious gazongas! Your bust is unbelievable; far beyond the curves of even the Manyuu Clan. With breasts each the size of your torso, you’re big enough to be elevated to empress on status alone. That is, if you could live long enough. While these magnificent mountains would make you the most important noble in the country, they would also make you a massive target for political rivals. Of course, jealous assassins won’t be the only drawback. You can forget about bathing in a regular tub, and the increased weight and sensitivity is going to make physical exertion very difficult. But then again, with chi-chis like these, you’ll never need to work again.</t>
  </si>
  <si>
    <t>Knockout</t>
  </si>
  <si>
    <t>In a world so obsessed with one physical attribute, it can be easy to forget that breasts alone do not bestow beauty. Like the famous cherry blossoms, you are a hidden flower, capable of drawing the gaze of even those who wouldn’t normally be attracted to you. From obvious features like your figure, to smaller details like your hair and eyes, you could challenge even the fabled Chikumi for the title of fairest in the land.</t>
  </si>
  <si>
    <t>Mother’s Power</t>
  </si>
  <si>
    <t>In a world where lineage grants enormous power and privilege, you are uniquely suited to shaping your own bloodline. Your body is built to bear children, ensuring that not only will your children grow up healthy and strong, but that you will suffer no ill effects during or after your pregnancy. Additionally, you have incredible control over your reproduction, allowing you to determine not only when you have children, but which traits and abilities you’ll pass on to them. Even the number of children you carry and the duration of your pregnancy is yours to control, though be warned that deviating too far from biology could have some strange effects. 
This perk grants you direct control over many aspects of your reproduction including your fertility, the number of children carried with each pregnancy, the duration of that pregnancy, and what traits are passed on to each child.. Non-female jumpers can also use this perk by passing the relevant benefits on to their partner. Fanwank responsibly.</t>
  </si>
  <si>
    <t>Attire Assault</t>
  </si>
  <si>
    <t>The warriors of this world seem to have an agenda against their opponents’ wardrobes. With this purchase, you may direct any of your attacks or abilities at an individual’s clothing instead of the individual themselves. Whether you seek to shatter armor or simply humiliate your foe, you can efficiently target their equipment, garments, and anything else on their person without harming them.
Additionally, you may apply this effect defensively, redirecting the damage of an opponent’s attack onto your clothes. This may be accomplished twice per set of clothing; the first attack will leave you barely decent, while the second attack will destroy every stitch on your body. Still, if you can bear the embarrassment, the ability to negate attacks could prove quite useful.</t>
  </si>
  <si>
    <t>Female Body Inspector</t>
  </si>
  <si>
    <t>The administrators of the Manyuu Clan have a discerning eye, letting them spot potential talent and threats to their authority. More specifically, they monitor the women of this land, deciding whose busts make them worthy of marrying into the clan and whose must be cut down to prevent a challenge to their dominance. With this perk, you not only have an incredible knowledge of human anatomy, but also an uncanny ability to predict how a body will develop. With a brief analysis, you’d know exactly what a person would be capable of and to what degree their body could change. The Manyuu will pay dearly for the knowledge of who is a late bloomer and who will not grow naturally.</t>
  </si>
  <si>
    <t>Preferential Treatment</t>
  </si>
  <si>
    <t>Whether you’re acting flirtatious and seductive or bashful and blushing, you know how to get people to give you what you want. You can leverage all of your physical assets to enhance your persuasiveness, making you a force to be reckoned with in any social circle. This perk also makes you an exceptional dancer, letting you approach aristocratic courtly functions and a traditional village pole dancing competition with equal grace.</t>
  </si>
  <si>
    <t>Breast Slice Technique</t>
  </si>
  <si>
    <t>The Manyuu Clan’s bread and butter. With this technique, their swords can pass through their enemies’ bodies and cut their spirit, slicing the tits from their chest. Though this technique lacks the gore associated with normal swordplay, the people of this world consider depriving someone of their breasts to be equally barbaric. Still, few can argue with the harsh dominance the Manyuu have created by eliminating their competition.
Master this technique, and you may find a way to target and diminish other attributes.</t>
  </si>
  <si>
    <t>Boob Illusion Technique</t>
  </si>
  <si>
    <t>The chests of those who employ this technique are more captivating than most. With a quick flash or the right sway, your breasts can hypnotize spectators. Though at first this technique will only stun your opponents, further training will let you target them with hallucinations and manipulate them with mental illusions. Masters of this power can even embed their targets with subconscious commands, though the exceptionally strong-willed can overcome these fantasies and hypnotic suggestions. Unlike the original technique, this power will not cause sagging.</t>
  </si>
  <si>
    <t>Lethal Lactation Technique</t>
  </si>
  <si>
    <t>A favorite of Manyuu Clan assassins, this technique turns your chest’s natural capabilities into a powerful offense. By imbing poisons and other toxic concoctions, you can “load” your teats with a deadly payload. Combined with your ability to project liquids from your chest at short ranges, and you’ll have a way to blind and poison enemies that few will ever expect.
In addition to its offensive abilities, this technique also grants the user conscious control over their ability to lactate. Additionally, the necessary exposure required to train in this technique makes users immune to most mundane poisons and grants a legendary tolerance of alcohol.
Some liberties can be taken concerning the imbibed liquids. For example, you could choose for the toxins you emit to affect your targets on contact instead of requiring ingestion, letting you poison someone by merely spraying them with the offending liquid, or intoxicating someone with a splash of potent alcohol.</t>
  </si>
  <si>
    <t>Breast Energy Technique</t>
  </si>
  <si>
    <t>Carried in the breasts of all peoples is a spiritual energy known as Nyuki that binds them all together. Like the great Munamori sages, you can now wield this power. By manipulating a person’s Nyuki, users of this technique can form deep connections to the bodies and spirits of others. Often used to break curses and heal afflictions, these bonds can also be employed in more esoteric ways. Connect to a person’s Nyuki and you’ll be able to read their spirit, sense their emotional state, and even infer their deeper thoughts and motivations. Carry another’s Nyuki within you, and you could even extend this connection across great distances. This technique often feels discomforting or even painful for novices, however as your mastery grows, so too will the pleasure felt by those whose Nyuki you touch.</t>
  </si>
  <si>
    <t>Chichinagare</t>
  </si>
  <si>
    <t>This is the secret of the Munamori bloodline; the technique the Manyuu sought so desperately to control, for they knew it could collapse the hierarchy they worked so hard to build. Unlike the incomplete Breast Slice technique used by the Manyuu clan, the Chichinagare allows for the direct transfer of breasts between the target and the user. A selfish wielder of this ability could not only slice away their enemy’s chest but also grow their own by an equal amount. However, this power truly shines when wielded with the compassion and resolve of a mother’s heart. When mastered, the Chichinagare allows its user to both take and give breasts, pleasurably transferring a person's attributes to another. Perhaps, with enough dedication, you can find a way to transfer other traits?</t>
  </si>
  <si>
    <t>Manyuu Scroll</t>
  </si>
  <si>
    <t>While it doesn’t contain the supernatural techniques of the Manyuu, this scroll does hold plenty of useful knowledge. This text contains a detailed guide on living healthily and nurturing your body. With exercises to keep your body toned and dietary suggestions to promote vitality, this scroll contains all the wisdom you need to live a long, happy life.</t>
  </si>
  <si>
    <t>Scroll of Secrets</t>
  </si>
  <si>
    <t>No longer will your power be bound to fate and bloodlines. Upon purchasing this item, you may choose one perk, power, or ability to inscribe onto this scroll.
Anyone who then reads the scroll may gain the power it contains, though they still will need to develop and master the ability for themselves. Though you may share this power with as many readers as you like, you may only change the technique contained within the scroll once per Jump.</t>
  </si>
  <si>
    <t>Boob Reports</t>
  </si>
  <si>
    <t>Perfect for administering the Manyuu Clan’s hooter hierarchy, this document contains precise monthly measurements of the women of Japan. A Manyuu aristocrat could employ this information well to find suitable marriage prospects, while a more nefarious agent would find this report to be an excellent list of targets. In future worlds, you may select one attribute, be it something mundane like height or something exotic like a certain supernatural power. Each month you will receive an accurate and highly detailed report on all those who possess this attribute. Fight smarter, not harder!</t>
  </si>
  <si>
    <t>Evie</t>
  </si>
  <si>
    <t>High School DxD</t>
  </si>
  <si>
    <t>A race of powerful mechanical lifeforms that are alien to this world at large, as they come from the ExE world where they are at eternal war with the Etoule. You start as a midranked one. Have in mind that Regalzeva, one of the higher ranked ones is capable of killing the Great Red without breaking a sweat. The leader of this groups is Melvazoa who possess the power to manipulate his existence as well as time itself. As a mechanical lifeform, how you look is up to you and whatever new technology or magitech you happen to get your hands on.</t>
  </si>
  <si>
    <t>Etoule</t>
  </si>
  <si>
    <t>A race of powerful spirit gods that are alien to this world at large, as they come from the ExE world where they are at eternal war with the Evies. You start as a mid-ranked one. In average, a bit more powerful than the Evies, and supported by the Pillar Gods with enough power to break through dimensions at will. The true extend of their might remain a mystery. Of course, feel free to choose your appearance with this as well.</t>
  </si>
  <si>
    <t>Mana</t>
  </si>
  <si>
    <t xml:space="preserve">It would be a little troublesome if you didn’t have the potential to use this world’s magic. So, that’s what you can do now. You have an innate ability to tap into and use your personal mana. If you knew a magic system, you could learn how to utilize it effectively... </t>
  </si>
  <si>
    <t>Magic System</t>
  </si>
  <si>
    <t>Unless you already do, of course! You may choose a system of magic that helps you actually utilize mana. In short, it provides you a mental map of reality and a way to create spells based on that map. After making your intent with the spell, you calculate the mathematics behind it using said system, and then charge it with mana. This can create everything from teleportation, elemental attacks, and even turning the magic of your foes against them if you’re a good enough wiz at math. You can buy more systems with each purchase of this perk.</t>
  </si>
  <si>
    <t>50+</t>
  </si>
  <si>
    <t>Something you will notice right away is that everyone here, even those who are supernatural monsters look...pretty. Handsome, beautiful, badass, sexy, whatever - nobody here is plain to look at. And now, neither are you! You’re likely the most attractive person in your entire class and turn a few heads when you walk down the hall. You can also choose to...ahem, emphasize certain assets of your choosing to look especially bodacious. You receive a free purchase of this, and it can be bought multiple times, though mind that people might stare or gawk a little too much after a certain point.</t>
  </si>
  <si>
    <t>Harem King</t>
  </si>
  <si>
    <t>There’s just something about you...it could be your looks, it could be your attitude, it could be the power of a perk bending the narrative in your favor.
Whatever it is, people are drawn to you like flies to honey. Friends come to you as easily as breathing, and you will quickly come across attractive love interests from all walks of life who will become very interested in you. Intimately so.
Better, if you can’t settle for one, those newfound lovers who’ve had time to get to know each other will learn to share you, possibly even becoming united in their pursuit of your happiness. Even if you’re not intrigued by any romantic benefits, pursuing these new links will quickly let you form a social circle dedicated to your well-being and happiness. While people won’t drop their own goals and agendas for your sake, or react any differently to mistreatment, you will quickly become an irreplaceable part of the lives of others. You could easily form a club or lifelong friends this way...or a cult. Whatever floats your boat.</t>
  </si>
  <si>
    <t>100+</t>
  </si>
  <si>
    <t>Custom Sacred Gear</t>
  </si>
  <si>
    <t xml:space="preserve">Does the sparse list of options I present to you seem disappointing? Do you want something a little more...unique for a Sacred Gear? Look no further. You may design and create a single Sacred Gear of your choosing with this option. The price will depend on its effects, based on the options below...a simple but useful utility effect or single combat ability will have a base price of 200, a Sacred Gear capable of manipulating others or natural forces or creating permanent items from thin air would be around 400, while a Gear with various different abilities or simple but extremely powerful combat power will be about 600. Creating a Longinus or a Sacred Gear with the immediate potential of one will cost about 1000, same as the others - these are game-changing artifacts with a host of various abilities that can elevate a mere human to be an equal to the greatest beings in the Great War, if used and trained correctly. Add 100 to that base price and that will be your price for your personal Sacred Gear. 
</t>
  </si>
  <si>
    <t>Fertile Elf</t>
  </si>
  <si>
    <t>Odyssey of Gianna</t>
  </si>
  <si>
    <t>Elves are a magically-inclined race who are supernaturally fertile; an elf who is impregnated by an orc will continue to give birth to orc eggs endlessly unless treated with an Orc Antibody.</t>
  </si>
  <si>
    <t>Avian</t>
  </si>
  <si>
    <t>Avians have the ability to manifest a spectral pair of wings behind them, an extension of their soul. Avians traditionally wear a mask over their eyes at all times in public, but this is a cultural norm rather than any sort of requirement of the race.</t>
  </si>
  <si>
    <t>Forestkin</t>
  </si>
  <si>
    <t>The forestkin are a race of futanari women with animal-like features, such as ears and tails.
They are more physically imposing than humans, but possess less aptitude for magic in general, and their animalistic reproductive instincts can influence their behavior at certain times.</t>
  </si>
  <si>
    <t>Futa Orc</t>
  </si>
  <si>
    <t>Orcs are another futanari race, defined by their rage and their sheer sexual potency. Orcs have a reputation for raping and impregnating others, and sometimes even the most level-headed orc might fly into a rage and feel like impregnating their allies mid-battle is sexy enough to be worth it. Their pregnancies are unique in that the mothers lay eggs rather than giving a live birth.</t>
  </si>
  <si>
    <t>Loli Dwarf</t>
  </si>
  <si>
    <t>Dwarves appear very much like humans, except that they cease all aging at the equivalent of the young teens, remaining that age in appearance for the rest of their long lifespan.
Dwarves are also resistant to temperature, ice and fire not affecting their thick skin as much as the other races.</t>
  </si>
  <si>
    <t>0/50</t>
  </si>
  <si>
    <t>You don’t have experience fighting or using magic; you have Experience. Choose one ‘class’, either a standard RPG class, one from this game, or your own creative idea. Just by fighting, overcoming challenges, or resolving conflict, you gain progress towards learning the skills and techniques of that class; nothing too powerful, at least with ten years of regular exertion, but over a longer timescale or a more ridiculous training regimen, you might push the limits of what your class is capable of. 
Can Purchase Multiple Times</t>
  </si>
  <si>
    <t>World J-1 ❖</t>
  </si>
  <si>
    <t>Whether it’s a dungeon, a world, a kingdom, or a stage, whenever you enter a world that even loosely conforms to those video game traditions, you get your own area to go along with the rest. You can pick a theme for this area, which needn’t be the same in each jump.
Minibosses, enemies, NPCs, etc, any roles you don’t fill yourself with your followers or companions will be filled automatically with world-appropriate entities that suit your theme, potentially variants of ones that already exist. The role of ‘boss’, however, is reserved for you; you’ll always be made aware when a/the ‘hero’ enters this area, so you can return and prepare yourself.
After a jump, the area becomes a Warehouse extension, and this item takes on a new form in the next jump.</t>
  </si>
  <si>
    <t>Magical Land ❖</t>
  </si>
  <si>
    <t>Each purchase of this perk lets you pick one fetish to add to this and future worlds as a common fetish. The worst opinion of the fetish will be ‘acceptable’, with most people actively enjoying it and a decent number of people having it as their main fetish. The only reason a person would oppose the fetish is if they opposed sex in general. Not only that, but certain animals and monsters will start engaging in the fetish as part of their natural behavior.
Purchasing the same fetish twice turns it into an obsession more popular than vanilla sex itself; you can expect to see the fetish often in everyday life with media focused on it, festivals and celebrations, even legal support for people performing the relevant acts in public.
Can Purchase Multiple Times
(Only applies to Pocket Dimension)</t>
  </si>
  <si>
    <t>Mundane Land ❖</t>
  </si>
  <si>
    <t>Each purchase of this perk lets you pick one fetish to remove from this and future worlds.
Not only will nobody be into the fetish, but nobody will have even considered it in a sexual light before, finding the idea strange or maybe even disgusting or immoral, depending on just what the fetish is.
You can make exceptions or dial the effects back as you please. For example, if you’re removing a fetish not because you dislike it but because you want you and your companions to introduce an innocent populace to a ‘brand new’ fetish like anal.
Can Purchase Multiple Times
(Only applies to Pocket Dimension)</t>
  </si>
  <si>
    <t>Anthropocentrism</t>
  </si>
  <si>
    <t>With this perk, any non-human species that you encounter in this and future worlds can have their nature slightly rewritten to account for a much more human-like form. In short, monster girls. This doesn’t just apply to monsters, though; mundane animals like cows or horses might instead be cow-girls and horse-girls. They may even gain the ability to speak in human languages, to fit with their new look.
Regardless of what changes and how, they will still be treated, and treat others, exactly the same as they would have without the transformation, and their biology will be different enough from humans that their behaviors, usefulness, and/or dangerousness will be unchanged.
(Only applies to Pocket Dimension)</t>
  </si>
  <si>
    <t>Tomes and Orbs and MacGuffins, Oh My!</t>
  </si>
  <si>
    <t>Every world has them; some items of significance that the hero needs to collect to save the day. In this world, it’s the Tomes and the Orbs. By purchasing this perk, you get to decide at the start of each jump who is holding which item from whichever ‘set’ fits the criteria. They will be hoarding it or using its power for themselves, unwilling to let it go unless you can defeat them, complete a quest for them, or otherwise steal it; essentially, making them into a boss battle on your path in one way or another.
Each of these enemies gains the benefits of the World J-1 item, and if you have Magical Land, you can assign each purchase to one or multiple of them to theme their area, minions, and goals around that fetish.
Pretty much any set of story-important collectables counts for this. The Chaos Emeralds in Sonic, the Infinity Stones in Marvel, the corpse parts in Steel Ball Run... This has the potential to change the story a lot or very little, depending on how you use it, so use it as a cheat, as a tool to give villains fetishes, or as a way to write a more original story in the setting with in-chain justification for the new arrangement.</t>
  </si>
  <si>
    <t>Party of One ❖</t>
  </si>
  <si>
    <t>It’s dangerous to go alone in this world; one transformative spell, and you can be put completely at the mercy of your attackers. For you, that's not so much of a problem. Any status that would hinder your movement needs to be applied to you four times before it has any effect; something like petrification would have no effect on you until then, but if you were under something like the Haigure status effect, you would paradoxically both perform the action the status forces you to and have time to perform your own action, as if you were two different party members taking turns. That action could, and likely should, include attempting to cure yourself.
Each additional purchase adds only one more level of resistance on top of the initial three.</t>
  </si>
  <si>
    <t>Highly Adaptable</t>
  </si>
  <si>
    <t>You can get used to new situations remarkably quickly. Stumbling into a new city only to find the populace engaged in some fetish you’ve never even considered before might be shocking for a minute or two, but after that you barely need to bat an eye. Your feelings of surprise, shame, or even disgust won’t ever interfere with what it is that you want or need to do, easily being dismissed to the back of your mind as something to muse over later, once you’re out of this magical land. If you wanted to enjoy something weird so you could fit in better, you could suppress those feelings entirely and let only the positive feelings through.</t>
  </si>
  <si>
    <t>Class Collector</t>
  </si>
  <si>
    <t>While it’s fun to be hit by a curse and turned into a Bimbo, or find an empty soul gem and put your soul into it to leave your body as a Zombie, if you need those skills later you might not want to go back all the way to the curse trap or use up a limited quantity of resources to transform yourself, and deal with all the hassle of curing yourself again afterwards. From now on, any transformation you’re inflicted with becomes available to you as a class to switch to at any time. While the original transformation requires you to reverse it in the traditional way, once done you can toggle back and forth as often as you like, like switching classes in a JRPG.</t>
  </si>
  <si>
    <t>Otherworldly Craftsmanship</t>
  </si>
  <si>
    <t>You have the same knowledge of inventing, programming, and crafting as Alisha. AI, floating drones, beams that turn someone into an onahole, magical girl transformations... and pretty much anything you see in hentai, filtered through the lens of out-of-place sci-fi.
Any items that you purchase in this jump, you also gain the knowledge, skills, and memorized blueprints necessary to craft more of them, albeit without the same fiat-backing as the purchased versions. This also comes with the effect of the Self-Made Jumper perk below for this jump’s items only.</t>
  </si>
  <si>
    <t>Fit Right In ❖</t>
  </si>
  <si>
    <t>Some things work pretty differently between worlds; two worlds might both be fantasy RPGs, but one is based on causing 9999 damage with your spells and Limit Breaks or whatnot, and the other is about turning people into fetish fuel with transformation-based spells. Luckily, the whiplash isn’t going to hit you, because it’s trivial to adapt any of your perks and items to suit a world’s ‘theme’. Essentially, you can reimagine yourself as a party member in the game of the jump you’re entering, all your perks, powers, abilities, and items included. You remain at the same power level, and you can choose exactly what gets excluded from the process.
By purchasing this twice, rather than altering your powers, it adds these powers on top of what you already have.</t>
  </si>
  <si>
    <t>Twinning</t>
  </si>
  <si>
    <t>You now have the ability to turn other people into clones of yourself. If you have magic, you learn a spell to do it; if you’re a crafter, you learn how to adapt your tech to the purpose; so on for any power source you care to use. The twin’s appearance and personality become closer to yours, although some traces of their original self remain behind, but more importantly you can grant them access to any number of your perks, powers, abilities, etc, chosen by you at the time of conversion. You can also reverse the process, taking away all the power you granted them and restoring their original mind and body.</t>
  </si>
  <si>
    <t>Self-Made Jumper</t>
  </si>
  <si>
    <t>Whenever you purchase an item from a jump document, in this or future jumps, it retroactively becomes one that you made yourself. It therefore gets all the benefits of your crafting-related (or otherwise relevant) perks, resources, and personal experience. The item’s quality can improve greatly with the right perks and items, but at the very least its appearance will always be shifted towards whatever aesthetic you desire; all while retaining whatever fiat-backing it already had. If you lack the skills necessary to create something, the item won’t ever drop in quality below its starting point even if you do use this perk on it.</t>
  </si>
  <si>
    <t>Bad Ends</t>
  </si>
  <si>
    <t>Many situations that would otherwise end with your abrupt death, can now be much more intimate affairs. You may toggle this perk off or on at will, but while it is on enemies that would have once killed you will now kidnap you to keep you as breeding stock, sell you as a slave, or use you for their perverted magical experiments. Things can get pushed to a limit, and there may be some creatures who would never be able to satisfy you sexually no matter how much fiat pushes them, but in general things will tend towards your permanent humiliation rather than your death. You’ll also have a bit of a sense for whether a particular sequence of events is leading to a ‘Bad End’ or just a regular bad ending.</t>
  </si>
  <si>
    <t>I Surrender!</t>
  </si>
  <si>
    <t>Of course, if you never lose, you’ll never get to see those bad ends, so now you’ve got this too. At any point in time when you’re in conflict, you can throw your hands up in surrender and, no matter how well your allies are doing, they’ll instantly surrender too, guiding your enemies to a complete and decisive victory. You’ll see all the repercussions of the loss, the full Bad End, before being abruptly thrown back in time to before you surrendered, without any permanent consequences. In these hypotheticals, any defenses you have that would prevent the bad end from playing out in all its sexy glory are also disabled.</t>
  </si>
  <si>
    <t>Party Loyalty</t>
  </si>
  <si>
    <t xml:space="preserve">When somebody joins your party, they join it for better or worse. As long as you’re fighting side-by-side with them, they won’t complain no matter what humiliating defeats, transformations, or encounters your party goes through. Even a paid mercenary wouldn’t take the opportunity to leave until you made her do something you weren’t willing to do yourself.
</t>
  </si>
  <si>
    <t>Mercy or Punishment</t>
  </si>
  <si>
    <t>If you choose to spare somebody after defeating them, they will remember that, and your decision won’t come back to bite you. They’ll go on to make a positive (to you) impact in the world, and maybe even become directly helpful to you should you meet again in the future.
Alternatively, if you choose to punish them, you’ll be able to fashion an inescapable Bad End for them with minimal effort on your part. Just transform them once and let them go, and you can guarantee they’re never finding a way to break that transformation; or hand them off to somebody else with a vague idea for some large-scale, long-term humiliation, and they’ll dutifully execute it without you even having to tell them what the plan is.</t>
  </si>
  <si>
    <t>Classmaster ❖</t>
  </si>
  <si>
    <t>You rule over a certain class; you can pick a ‘traditional’ RPG class like Thief, Cleric, Barbarian, or you can go for something like Bimbo, Puppet, or Maid. The options are limitless.
You can grant this class to others, or inflict it upon them, granting them the potential to learn a new set of abilities thematic to the class. You also have access to a number of abilities designed to support, buff, heal, etc, those belonging to this class. In exchange for all those benefits, their mind and personality become altered to fit your ideal of the class, and they become intensely obedient to you.
When you arrive in a world, you can choose for people who already belong to that class to gain the benefits of this perk, but they don’t get the mental changes until you personally re-apply the class to them.</t>
  </si>
  <si>
    <t>Puppeteering</t>
  </si>
  <si>
    <t>You are a master of the art of crafting puppets, able to make remarkably lifelike creations out of simple materials such as wood. Marionettes, hand puppets, dummies, all are within your repertoire.
Not only that, but you are remarkably skilled at taking other devices, enchantments, or items and finding ways to adapt them and fit them inside a puppet’s body. Finally, you also gain the magic of this world that lets you transform a person into a puppet; a puppet whose parts can be replaced with the upgrades you craft.</t>
  </si>
  <si>
    <t>The Status Quo</t>
  </si>
  <si>
    <t>Whenever you are inflicted with a negative ‘status effect’, you can turn that status into power.
While you still suffer all the downsides, you’ll find yourself unlocking new skills and abilities that relate thematically and might make sticking with the status become worth it once mastered. ‘Blind’ or ‘Darkness’ helps you learn to attack without relying on your eyes, ‘Frog’ gives you a tongue with all sorts of uses, you can incubate ‘Poison’ inside your body to spread it...
If you have the Class Collector perk or a Gamer system with a class/job system, you will explicitly gain a new class for every status effect... or, for most status effects, if you don’t think Silence is worth coming up with a whole skill tree for.</t>
  </si>
  <si>
    <t>To Noblesse Obliged</t>
  </si>
  <si>
    <t>You are the queen. Or the mayor. Or the president; basically, you’re in charge. In each jump, you can choose to be part of the government of whatever location you start in, granting you immense political authority. This doesn’t mean everybody automatically accepts your rule, but you didn’t cheat to earn your position. You were voted in, or you were the heir in the family, etc., just like a normal person would have been. You can also downgrade this as much as you like, if you prefer duchess to princess to queen, etc.</t>
  </si>
  <si>
    <t>Fit for Adventure</t>
  </si>
  <si>
    <t>Your body is in an above average state of fitness, and maintaining that level of fitness is trivial. More importantly, however, you don’t need to show it. Your appearance will never change in ways you don’t desire, and changing it in ways you do desire is much easier. You can become and remain chubby, ‘thicc’, or whatever other body shape you like without any worries. This can also affect the process of aging too, the years never taking your desired youthfulness away from you.</t>
  </si>
  <si>
    <t>Erotic Damage</t>
  </si>
  <si>
    <t>By turning somebody on in combat, you can drain away their health and stamina just the same as if you physically attacked them. You don’t have to worry about knocking all your sexual partners unconscious (unless you want to), but flashing your tits at the enemy or groping her bulge might put her out of commission just as quickly as stabbing her would have, if you can be sexy enough.</t>
  </si>
  <si>
    <t>Breed Right</t>
  </si>
  <si>
    <t>You have complete control over the nature of your pregnancies you’re involved in. Whether as the mother or father, you have full control over the resulting child’s race/species (between the mother or father’s species, or a crossbreed), and sex. Additionally, you can choose what form of pregnancy it is from any that your alt-forms are capable of, with human live birth or the orc’s egg-laying being two options you get for free with this perk regardless. Despite all biology, the pregnancy will function perfectly without any more harm than a regular pregnancy would for the mother’s species.</t>
  </si>
  <si>
    <t>Eggholes</t>
  </si>
  <si>
    <t>When you impregnate somebody or are impregnated, you can choose for the mother to remain pregnant after giving birth, immediately repeating the process and growing another child. The child’s genetics will differ as if the mother was impregnated again, rather than it being a clone of the first child. This can continue on indefinitely until you choose for it to stop, the mother potentially being pregnant for the rest of her life.</t>
  </si>
  <si>
    <t>Genre Un-Savviness</t>
  </si>
  <si>
    <t>In a world full to the brim with hypnotism and transformation, it makes sense to connect the dots when somebody starts behaving strangely. Luckily for you, nobody does that when it comes to your victims. Your hypnotism will go completely unnoticed unless people start to see direct evidence, chalking it up to personal growth when somebody decides to change their life’s course moments after meeting you. You can’t be too obvious with it, but the existence of hypnosis magic in a world won’t make your actions any more obvious than they would be in a world where that magic didn’t exist at all. This applies to any sort of supernatural power you use that affects others.</t>
  </si>
  <si>
    <t>Power of Lust</t>
  </si>
  <si>
    <t>Your own lust is now a pool of energy you can access, with a maximum based on your sexual stamina. The closer you are to orgasm without passing that tipping point, the more lust you can use to supplement or outright replace your willpower, mana, ki, or whatever other form of energy you have access to as a resource to spend. Just be careful not to edge yourself for too long.</t>
  </si>
  <si>
    <t>Forsaking Limits</t>
  </si>
  <si>
    <t>Any usually one-off or binary effects, buffs, debuffs, etc, can now be stacked infinitely. Apply a protective barrier until it becomes a thick suit of armor, cast a shrink spell until somebody shrinks out of visibility, or eat a power-up while powered-up, over and over as many times as you like or can afford. There are slight diminishing returns, but with an infinite quantity of spells or brute-forcing it with more energy you can eventually reach the logical or illogical extremes, and then keep casting to go beyond that.
This can apply to effects applied to yourself from any source, and to any effects that you apply to others.</t>
  </si>
  <si>
    <t>Spells That Don’t Deal Damage</t>
  </si>
  <si>
    <t>Any spell or technique you know can now be converted into a status-causing move. Your 'Cure’ spell temporarily cure somebody of all their worries and thoughts entirely, your ‘Fireball’ spell might fill somebody’s body with elemental fire and all the passion that comes with... positive spells need not create positive status effects, and the same for negative, but every spell you know can become a non-damage spell with a bit of creativity. Hopefully all the tough enemies aren’t immune... But even if they are, at least you can always cast them on yourself.</t>
  </si>
  <si>
    <t>Equippable by Jumper ❖</t>
  </si>
  <si>
    <t>It’s not fair that everybody else gets to keep finding new weapons, is it? Each jump, choose a basic weapon type, or an existing weapon you own, to have that become the baseline for your own tree of weapons. These will be upgrades with abilities relevant to the setting (particularly if it is a video game-based world), or sidegrades that swap the power out for something new but of similar power, all scattered or sold throughout the setting the same place anybody else gets their weapons. Any weapons you attain each jump are fiat-backed, and do not disappear when a new set generates the next jump.
Purchasing this four times allows for an arbitrary number of weapon trees to be made each jump.</t>
  </si>
  <si>
    <t>Planter Box ❖</t>
  </si>
  <si>
    <t>This planter box can be used to store any plant, keeping it happy and healthy without any effort necessary, but it also has a more sinister use. By having a person step into the box, they rapidly transform into a plant or tree-like form, becoming an immobile display piece that is kept happy and healthy much like any other plant. You can free them from this condition with just a thought, but otherwise it takes very powerful or very specific magic to return to normal.</t>
  </si>
  <si>
    <t>Slave Collar ❖</t>
  </si>
  <si>
    <t>This collar can be placed around somebody’s neck to mark them as your slave, even if they don’t realize it. With a separate remote, also included in this purchase, you can activate the collar to control their sexual sensitivity, trigger or deny orgasms, and give them orders which they are compelled to obey.
Purchasing this three times grants you an infinite supply of collars. When purchasing multiple, the one remote can be used to affect one, all, or whichever collars you select whenever it is used.</t>
  </si>
  <si>
    <t>Ancient Scroll ❖</t>
  </si>
  <si>
    <t>This scroll can be attuned to any race through a short magical ritual with a member of that race, and from that point on used to transform others who read the scroll into that race.
Copies of the scroll inherit the same effect for only one use, before having to be ‘refreshed’ from the original. The definition of ‘race’ the scroll uses is quite broad; as long as they’re sapient, it’s fair game, and the scroll can retain the previous race it was attuned to even when crossing jumps.</t>
  </si>
  <si>
    <t>Chateau Crystal ❖</t>
  </si>
  <si>
    <t>You have a crystal that can be placed on any property you own to gradually take over the minds and bodies of those present. After ten minutes spent on the property for the average person or an hour for a reasonably high-level adventurer, they will reach the point where they instantly obey any command you give them, including commands for their minds to permanently alter their own personality, memories, or perception. Any spells you cast on them which normally have a chance of failure will also have an increased success rate, up to 100% at full power. These effects disappear instantly if they leave the property; however, commands with long-lasting effects that you already gave them will continue to apply.
If you have the Classmaster perk, the crystal can also cause people to transform into the class you chose, with all the effects of that perk. If you have multiple instances of the perk, each crystal can be attuned to only one.</t>
  </si>
  <si>
    <t>Magic Library ❖</t>
  </si>
  <si>
    <t>This stone tower is a massive library, several floors tall, in which all the magic of the current world is recorded. With a brief bit of exploration, you’ll find exactly the book you need that describes how to learn, perform, and master whatever spell in that world closest approximates the goal you’re trying to achieve. Whether it works quite as conveniently for anyone other than yourself is up to you to decide, but the physical books are still present regardless.
Purchasing this twice allows the Library to keep its contents from each world when it moves to the next.</t>
  </si>
  <si>
    <t>Phantom Express ❖</t>
  </si>
  <si>
    <t>You have access to and control over an ethereal train, which picks up the souls of those who meet a Bad End and takes them on as passengers in the form of bodiless Poltergeists, possessed clothes. It can travel to and from anywhere in the world, but only crosses over with the physical world in certain places. To that end, in each jump, you can choose for these stops to be conveniently near to all of the items in a particular collectable set. The Tomes and Jewels necessary to make the Orbs, the Chaos Emeralds, the Spiritual Stones, etc, skip the exploration and get straight to the dungeon plundering.</t>
  </si>
  <si>
    <t>Welcome To Queen's Blade</t>
  </si>
  <si>
    <t>Fanfic Queen's Blade</t>
  </si>
  <si>
    <t>Ok,as a Beautiful Warrior, the word beautiful is in the name so lets make you hot. That's why you are now at least an 8/10 in the looks department, and pick one attribute that makes you stand out from other people. it could be being cute/kawaii, a hardcore badass, a stylishly cool gal. Anything, really. Pick one and your appearance will match it.</t>
  </si>
  <si>
    <t>It's An Ecchi Series After All...</t>
  </si>
  <si>
    <t>You are a Beautiful warrior and you will be stripped naked a lot. That’s just how it is, because for some reason, any damage you take will be 100% absorbed by your clothes, eventually breaking them as if to reflect your status in a visually sexy manner.
Because of this, as long as you are here being naked or partially naked in public won't bother you as much, and the taboo of being naked has been lifted from society's norms. You will get some perverted (or judging) stares from people but nothing more. If you want to bring this perk to future worlds a payment of 100CP will be needed.</t>
  </si>
  <si>
    <t>The Power of Yur- I Mean Female Friendship</t>
  </si>
  <si>
    <t>In this series where all main characters are female, it's time for some female friendships to blossom. As long as you are interacting with people of the same physical gender as yourself, your friendships will develop rapidly, especially with those of higher status. Who knows, your budding friendships might lead to more intense forms of friendship in the future. Don't worry if people might protest your relationships, as this perk will make them think it's normal for girls to grow this close.</t>
  </si>
  <si>
    <t>Alchemy</t>
  </si>
  <si>
    <t>Oh, it looks like you've learned some heresy, as the church has deemed it dangerous. But let's not dwell on that. As you are now able to create magic items, initially you can do the following:
First, create a set of magic armor called Hyper Vibration Armor. This set includes a weapon, shield, and full plate armor of a lewd design. The power source of this armor is a Hyper Vibration Crystal. By its name, this armor vibrates, creating a strong magic wall around the user that repels most attacks.
Additionally, the vibration increases the user's strength significantly, to the point where even a novice can overpower a more experienced opponent and destroy a castle with a single slash. However, the vibration can be uncomfortable and distracting to the user, and further improvements are needed to reduce or eliminate this burden.
Secondly, create a clockwork automaton powered by an energy crystal. The default design resembles a female of your race wearing a maid outfit, though you can customize its appearance. The basic design of your automaton includes abilities such as flying comfortably in the sky, sending its fist as projectiles, transforming its left hand into various weapons, super strength comparable to an angel, a storage unit in its right wrist, and entering a hyper mode that boosts all of its stats for a short time, rapidly draining its magic reserve.
There are two defects with this design: first, controlling the automaton requires a bulky remote control carried by you, and if anyone knows the runes on your remote control, they can control your creation.
Second, the automaton can only communicate through limited erotic moans, which may lead to awkward situations.
The third ability is the ability to reforge any item into a magical one, with the abilities depending on the material used, the intended user, and your skill level. Initially, you can only give minor effects, but with practice, you can create items with more powerful effects, such as exorcizing demons or being effective against beasts.
This is not the limit of your ability, as you gain knowledge you can create more powerful artifacts, such as a holy sword.</t>
  </si>
  <si>
    <t>Corruption Possession</t>
  </si>
  <si>
    <t>Okay, it looks like you have learned how to split a part of your soul and give it to another person. When your soul enters another person, it will slowly corrupt the individual, subtly changing their personality over time to anything you wish for. Your soul can also control this individual without them even noticing, as they will feel an impulse to do things that may or may not be beneficial to them.
But that's not all you can do. You can also use the individual you possess as a backup conduit. If anything happens to your main body, you can absorb their body and fully replace them. You inherit their memories fully, so people will not notice the switch. At first, you can only split your soul and implant them into three individuals, but with practice, you can increase this number. The other limitation is that their will needs to be weaker than yours.</t>
  </si>
  <si>
    <t>Look In The Sky There Are Beautiful Warriors Fighting</t>
  </si>
  <si>
    <t>Now that you have a match, it would be a shame if people couldn't watch this magnificent battle. But worry not, as now you can summon a giant magical monitor that shows the fight of the Queen's Blade tournament. And don't worry, your comments will reach anybody watching the screen. This is important because, as people of culture, we need to showcase the magnificent battles beforehand, and of course, the fact that there will be a lot of stripping in this tournament.</t>
  </si>
  <si>
    <t>Magical Girls</t>
  </si>
  <si>
    <r>
      <rPr>
        <sz val="13"/>
        <color theme="1"/>
        <rFont val="Calibri"/>
        <family val="2"/>
      </rPr>
      <t xml:space="preserve">Looks like you receive your power from a different source, Warrior. You have been asked to enter a contract with a very cute fairy. Upon entering into the contract, you have become a magical girl, receiving a transformative power that sets you apart from the conventional warriors in the tournament. Embracing your newfound identity, you don a cute outfit and a stylish hairdo that prioritizes functionality over the titillation commonly associated with other combatants' attire. It's a refreshing departure from the norm, prompting contemplation about societal norms and expectations.
In your transformed state, your innate abilities undergo a remarkable augmentation, enhancing your physical prowess to unprecedented levels. You can effortlessly leap tall buildings and withstand the impact of formidable obstacles, showcasing your newfound resilience and agility.
Moreover, your magical aptitude experiences a significant boost, amplifying the potency and precision of your spells while reducing their mana consumption. This empowerment allows you to unleash devastating magical attacks with greater efficiency and control, asserting your dominance on the battlefield.
However, the transient nature of your transformation imposes a limitation, restricting your time in this empowered state to a mere 4 to 5 minutes. The considerable magical expenditure required to sustain your transformation necessitates careful management of your resources, urging strategic planning and swift execution in battle.
If you bought </t>
    </r>
    <r>
      <rPr>
        <b/>
        <sz val="13"/>
        <color theme="1"/>
        <rFont val="Calibri"/>
        <family val="2"/>
      </rPr>
      <t>Mastery Of Magic Clothing</t>
    </r>
    <r>
      <rPr>
        <sz val="13"/>
        <color theme="1"/>
        <rFont val="Calibri"/>
        <family val="2"/>
      </rPr>
      <t xml:space="preserve"> and </t>
    </r>
    <r>
      <rPr>
        <b/>
        <sz val="13"/>
        <color theme="1"/>
        <rFont val="Calibri"/>
        <family val="2"/>
      </rPr>
      <t>Come My Minions!!</t>
    </r>
    <r>
      <rPr>
        <sz val="13"/>
        <color theme="1"/>
        <rFont val="Calibri"/>
        <family val="2"/>
      </rPr>
      <t xml:space="preserve">: Indeed, referring to your fairy companions as mere minions would be a disservice, for they are much more than that. With your strong bond forged through countless battles, your minions have evolved to possess remarkable capabilities.
Now, they have the ability to transform into formidable weapons, each tailored to your unique fighting style and enhanced by your personal strength and the number of minions at your command.
The transformation of your fairy companions into weapons is a testament to the depth of your bond and the synergy between you and your allies. As they assume their weapon forms, they become extensions of your own will, perfectly attuned to your movements and intentions. Whether you require a razor-sharp blade, a blunt force instrument, or a ranged projectile, your minions can manifest the ideal weapon to suit any combat scenario.
The strength and abilities of these weapons are directly influenced by the collective power of your minions and your own martial prowess. With each additional ally by your side, the potential of these weapons grows, granting you access to a wider array of abilities and increasing their destructive potential.
Furthermore, your strong bond amplifies the effectiveness of these weapons, imbuing them with unparalleled sharpness, impact, and destructive force.
If you bought </t>
    </r>
    <r>
      <rPr>
        <b/>
        <sz val="13"/>
        <color theme="1"/>
        <rFont val="Calibri"/>
        <family val="2"/>
      </rPr>
      <t>Technically We Are Not Naked!!</t>
    </r>
    <r>
      <rPr>
        <sz val="13"/>
        <color theme="1"/>
        <rFont val="Calibri"/>
        <family val="2"/>
      </rPr>
      <t xml:space="preserve"> Nice try there buddy Let's keep it PG-13. In the magical girl industry, maintaining a family-friendly image is crucial. Instead of full transformations that may reveal too much skin, you have the ability to undergo a partial transformation. This allows you to modify specific aspects of your appearance without revealing too much.
In this partial transform state, you can choose to alter your hair or equip yourself with one of the accessories from your full transformation outfit. Any visual gaps in your attire will be covered, ensuring that you maintain a modest appearance suitable for all audiences.
While in this partial transform state, you still retain access to a portion of your magical abilities, approximately one-third of your full potential. This allows you to blend in seamlessly with your surroundings or maintain a low profile when necessary, making it an ideal option for situations where discretion is paramount.
If you bought </t>
    </r>
    <r>
      <rPr>
        <b/>
        <sz val="13"/>
        <color theme="1"/>
        <rFont val="Calibri"/>
        <family val="2"/>
      </rPr>
      <t xml:space="preserve">Healer </t>
    </r>
    <r>
      <rPr>
        <sz val="13"/>
        <color theme="1"/>
        <rFont val="Calibri"/>
        <family val="2"/>
      </rPr>
      <t xml:space="preserve">and </t>
    </r>
    <r>
      <rPr>
        <b/>
        <sz val="13"/>
        <color theme="1"/>
        <rFont val="Calibri"/>
        <family val="2"/>
      </rPr>
      <t>Elemental Proficiency</t>
    </r>
    <r>
      <rPr>
        <sz val="13"/>
        <color theme="1"/>
        <rFont val="Calibri"/>
        <family val="2"/>
      </rPr>
      <t xml:space="preserve">, Ah, indeed! You've unlocked another remarkable magical girl ability. With your newfound power of elemental healing and purification, you wield the ability to cleanse corruption with the element you are naturally proficient in. Whether it's burning away darkness with the searing flames of fire or washing it clean with the purifying waters, your touch brings restoration and renewal.
What distinguishes your purification from that of a paladin is its remarkable effect: those healed and purified by your magic gain a pseudo-resistance to the very corruption they once suffered from. This means that not only do you restore health and cleanse impurities, but you also provide a shield against future instances of the same corruption.
If you bought </t>
    </r>
    <r>
      <rPr>
        <b/>
        <sz val="13"/>
        <color theme="1"/>
        <rFont val="Calibri"/>
        <family val="2"/>
      </rPr>
      <t>Elemental Proficiency</t>
    </r>
    <r>
      <rPr>
        <sz val="13"/>
        <color theme="1"/>
        <rFont val="Calibri"/>
        <family val="2"/>
      </rPr>
      <t xml:space="preserve"> in </t>
    </r>
    <r>
      <rPr>
        <b/>
        <sz val="13"/>
        <color theme="1"/>
        <rFont val="Calibri"/>
        <family val="2"/>
      </rPr>
      <t xml:space="preserve">Holy </t>
    </r>
    <r>
      <rPr>
        <sz val="13"/>
        <color theme="1"/>
        <rFont val="Calibri"/>
        <family val="2"/>
      </rPr>
      <t xml:space="preserve">and </t>
    </r>
    <r>
      <rPr>
        <b/>
        <sz val="13"/>
        <color theme="1"/>
        <rFont val="Calibri"/>
        <family val="2"/>
      </rPr>
      <t>Chaos</t>
    </r>
    <r>
      <rPr>
        <sz val="13"/>
        <color theme="1"/>
        <rFont val="Calibri"/>
        <family val="2"/>
      </rPr>
      <t xml:space="preserve">, </t>
    </r>
    <r>
      <rPr>
        <b/>
        <sz val="13"/>
        <color theme="1"/>
        <rFont val="Calibri"/>
        <family val="2"/>
      </rPr>
      <t>Hammer Space</t>
    </r>
    <r>
      <rPr>
        <sz val="13"/>
        <color theme="1"/>
        <rFont val="Calibri"/>
        <family val="2"/>
      </rPr>
      <t xml:space="preserve">, </t>
    </r>
    <r>
      <rPr>
        <b/>
        <sz val="13"/>
        <color theme="1"/>
        <rFont val="Calibri"/>
        <family val="2"/>
      </rPr>
      <t>Gravity What's That?</t>
    </r>
    <r>
      <rPr>
        <sz val="13"/>
        <color theme="1"/>
        <rFont val="Calibri"/>
        <family val="2"/>
      </rPr>
      <t xml:space="preserve"> and </t>
    </r>
    <r>
      <rPr>
        <b/>
        <sz val="13"/>
        <color theme="1"/>
        <rFont val="Calibri"/>
        <family val="2"/>
      </rPr>
      <t>Sorcerer</t>
    </r>
    <r>
      <rPr>
        <sz val="13"/>
        <color theme="1"/>
        <rFont val="Calibri"/>
        <family val="2"/>
      </rPr>
      <t>. Through your unparalleled dedication to the study of order, chaos, dimension manipulation, and gravity, you have unlocked the rare and elusive magic of time manipulation. This remarkable ability grants you unprecedented control over the flow of time itself.
Firstly, you can halt time indefinitely, freezing the world around you while you and those in physical contact with you remain unaffected. While time is stopped, you can manipulate objects and set traps, preparing for the moment when time resumes and your adversaries are caught unaware.
Additionally, your mastery over time extends beyond mere temporal stasis. Once per jump, if you encounter failure or a dire situation, your time magic will automatically activate, rewinding time to the beginning of your journey. In doing so, you retain all your memories and experiences, providing you with the opportunity to rectify past mistakes and alter the course of events to avoid undesirable outcomes.</t>
    </r>
  </si>
  <si>
    <t>Entertainer</t>
  </si>
  <si>
    <r>
      <rPr>
        <sz val="13"/>
        <color theme="1"/>
        <rFont val="Calibri"/>
        <family val="2"/>
      </rPr>
      <t xml:space="preserve">You seem rather out of place here, Beautiful Warrior, as your focus lies not in the art of battle, but rather in the arts themselves. However, your unique talents offer a different kind of support on the battlefield, infusing it with grace and melody.
Mastering the art of dance, your movements exude an aura of hope and joy, uplifting the spirits of those around you. In the midst of battle, your elegant motions serve as a beacon of inspiration, granting a minor boost to the morale and effectiveness of your allies.
Beyond your proficiency in dance, your skill with one musical instrument of your choice serves as a conduit for your spellcasting abilities. The melodies you weave are not only pleasing to the ear but also carry magical potency. Through your music, you can cast spells that induce various status ailments upon your foes, such as sleep and paralysis, disrupting their movements and rendering them vulnerable to your allies' attacks.
Though your approach to combat may be unconventional, your artistic talents prove to be invaluable assets on the battlefield, offering both support and strategic advantage to your allies as you weave your spells through dance and music
If you bought </t>
    </r>
    <r>
      <rPr>
        <b/>
        <sz val="13"/>
        <color theme="1"/>
        <rFont val="Calibri"/>
        <family val="2"/>
      </rPr>
      <t>The Art of Being a Bitch!</t>
    </r>
    <r>
      <rPr>
        <sz val="13"/>
        <color theme="1"/>
        <rFont val="Calibri"/>
        <family val="2"/>
      </rPr>
      <t xml:space="preserve"> and </t>
    </r>
    <r>
      <rPr>
        <b/>
        <sz val="13"/>
        <color theme="1"/>
        <rFont val="Calibri"/>
        <family val="2"/>
      </rPr>
      <t>Idol Power</t>
    </r>
    <r>
      <rPr>
        <sz val="13"/>
        <color theme="1"/>
        <rFont val="Calibri"/>
        <family val="2"/>
      </rPr>
      <t xml:space="preserve">, Your proficiency in song and music has transcended mere seduction and empowerment. Now, at your command, your melodies can plunge your enemies into the depths of despair. Your voice, once a source of enchantment, now carries a haunting tone that resonates with perfect rhythm, drawing in your foes with an irresistible allure.
As your enemies listen, they find themselves ensnared by the bitter truths woven into your lyrics, each word a cutting insult to their pride and resolve. Yet, despite the pain inflicted, they cannot help but listen, entranced by the hypnotic cadence of your song.
The despair wrought by your music seeps into their souls, festering like a wound that refuses to heal. For days on end, they are haunted by the echoes of your melody, their spirits weighed down by the weight of their own inadequacy.
If you bought </t>
    </r>
    <r>
      <rPr>
        <b/>
        <sz val="13"/>
        <color theme="1"/>
        <rFont val="Calibri"/>
        <family val="2"/>
      </rPr>
      <t>Slave Master</t>
    </r>
    <r>
      <rPr>
        <sz val="13"/>
        <color theme="1"/>
        <rFont val="Calibri"/>
        <family val="2"/>
      </rPr>
      <t xml:space="preserve"> and </t>
    </r>
    <r>
      <rPr>
        <b/>
        <sz val="13"/>
        <color theme="1"/>
        <rFont val="Calibri"/>
        <family val="2"/>
      </rPr>
      <t>Idol Power</t>
    </r>
    <r>
      <rPr>
        <sz val="13"/>
        <color theme="1"/>
        <rFont val="Calibri"/>
        <family val="2"/>
      </rPr>
      <t xml:space="preserve">, With your dangerously alluring charm and mesmerizing music, you now possess the ability to ensnare those who fall under your spell, transforming them into loyal familiars bound to your will. Once captivated by your seductive charm, individuals become your devoted pets, eager to fulfill your every command.
This bond between you and your familiars is unbreakable unless you consciously will it to end. They retain all of their abilities and skills, using them to serve you faithfully and carry out your desires. After all, it is their fervent desire to please and satisfy their idol that drives them to obey your every whim.
With your newfound power, you not only possess the ability to captivate and enthrall with your music but also to forge unbreakable bonds of loyalty, creating an entourage of devoted followers who will stop at nothing to ensure your satisfaction and success.
If you bought </t>
    </r>
    <r>
      <rPr>
        <b/>
        <sz val="13"/>
        <color theme="1"/>
        <rFont val="Calibri"/>
        <family val="2"/>
      </rPr>
      <t xml:space="preserve">Healer </t>
    </r>
    <r>
      <rPr>
        <sz val="13"/>
        <color theme="1"/>
        <rFont val="Calibri"/>
        <family val="2"/>
      </rPr>
      <t xml:space="preserve">and </t>
    </r>
    <r>
      <rPr>
        <b/>
        <sz val="13"/>
        <color theme="1"/>
        <rFont val="Calibri"/>
        <family val="2"/>
      </rPr>
      <t>The Dancer</t>
    </r>
    <r>
      <rPr>
        <sz val="13"/>
        <color theme="1"/>
        <rFont val="Calibri"/>
        <family val="2"/>
      </rPr>
      <t xml:space="preserve">, Through your mastery of the dances of the sun and moon, combined with your profound understanding of healing arts, your movements have become a profound source of restoration and renewal. As you dance under the radiant sun and shimmering moonlight, their energies infuse your every step, imbuing your movements with unparalleled healing power.
Your dances now serve as a beacon of hope and rejuvenation, not only for yourself but also for your allies and the very land upon which you stand. The healing energy radiating from your movements is so potent that it can mend even the most grievous wounds, revitalizing and invigorating those within its reach.
Your healing prowess extends beyond mere physical ailments; it has the potential to restore life itself.
With your dances, you possess the ability to revive fallen allies, bringing them back from the brink of death and restoring them to full health and vitality.
Furthermore, your healing abilities are so extraordinary that they can even regenerate lost limbs, restoring what was once thought to be irreparable. With each graceful movement of your dance, you weave threads of life and vitality, restoring wholeness and balance to those in need.
With your dances as a conduit for healing energy, you stand as a beacon of hope and renewal, bringing light and life to all who are touched by your radiant presence.
If you bought </t>
    </r>
    <r>
      <rPr>
        <b/>
        <sz val="13"/>
        <color theme="1"/>
        <rFont val="Calibri"/>
        <family val="2"/>
      </rPr>
      <t xml:space="preserve">Sorcerer </t>
    </r>
    <r>
      <rPr>
        <sz val="13"/>
        <color theme="1"/>
        <rFont val="Calibri"/>
        <family val="2"/>
      </rPr>
      <t xml:space="preserve">and </t>
    </r>
    <r>
      <rPr>
        <b/>
        <sz val="13"/>
        <color theme="1"/>
        <rFont val="Calibri"/>
        <family val="2"/>
      </rPr>
      <t>The Dancer</t>
    </r>
    <r>
      <rPr>
        <sz val="13"/>
        <color theme="1"/>
        <rFont val="Calibri"/>
        <family val="2"/>
      </rPr>
      <t>, as you gracefully twirl, leap, and move to the rhythm upon the stage, your dances have transcended mere entertainment, becoming a conduit for powerful offensive magic. With each movement, waves of magical energy radiate outward, striking your enemies with devastating force.
Your mastery over dance has allowed you to seamlessly weave offensive spells into your movements, transforming each step into a potent incantation. As your enemies watch, captivated by the beauty and grace of your performance, they are unaware of the danger that lurks within your mesmerizing dance.
With each elegant gesture, you unleash torrents of magical energy, battering your foes with spells of destruction and chaos. Your enemies find themselves battered, shattered, and scattered by the sheer force of your magical prowess, unable to withstand the relentless onslaught of your dancing fury.
Indeed, your enemies soon learn that underestimating a beautiful warrior such as yourself is a grave mistake, as your dances become a deadly weapon, capable of vanquishing even the most formidable adversaries with grace and precision</t>
    </r>
  </si>
  <si>
    <t>A Feminine Form</t>
  </si>
  <si>
    <t>It seems like you want to maintain your slim physique while still possessing immense strength and agility.
No worries, as your muscles have now become ten times denser than those of an average person. This enhancement significantly boosts your strength, allowing even someone as slender as a child to become a formidable force.</t>
  </si>
  <si>
    <t>Iron and Perfect Skin</t>
  </si>
  <si>
    <t>As a beautiful warrior, having blemishes and scars on your skin is unacceptable. Therefore, you have mastered the art of toughening your skin to the hardness of diamonds, effortlessly deflecting weak physical attacks and reducing the damage from stronger ones. Additionally, any wounds you sustain will heal perfectly, ensuring your skin remains flawless and soft.</t>
  </si>
  <si>
    <t>The Art of Being a Bitch!</t>
  </si>
  <si>
    <t>With your charming looks, you've mastered the art of cutting remarks and verbal jabs. Your taunts and insults can demoralize your enemies, sowing doubt and confusion in their minds, causing them to lower their guard. This psychological warfare is a potent tool in battle, giving you an edge over your foes.</t>
  </si>
  <si>
    <t>Always In Perfect Form</t>
  </si>
  <si>
    <t>As a Beautiful warrior, maintaining your youthful appearance and peak physical condition is essential for your prowess in battle. With this perk, your body will perpetually retain a youthful appearance, akin to your early adulthood, ensuring that your beauty never fades with age. Additionally, your body will always be in an optimal condition for combat, regardless of external factors such as hunger or confinement. This ensures that you can perform at your best in battle, even under challenging circumstances.</t>
  </si>
  <si>
    <t>Mastery Of Magic Clothing</t>
  </si>
  <si>
    <t>In this world filled with magical artifacts of diverse and often incomprehensible nature, your ability to quickly understand and utilize them has been greatly enhanced. With this,after just a day of studying any exotic weapon or equipment, you can harness its full potential almost immediately. Furthermore, you possess the capability to bypass any restrictions or limitations that may impede your usage of the artifact, allowing you to wield it effectively without hindrance</t>
  </si>
  <si>
    <t>Giant’s Strength</t>
  </si>
  <si>
    <r>
      <rPr>
        <sz val="13"/>
        <color theme="1"/>
        <rFont val="Calibri"/>
        <family val="2"/>
      </rPr>
      <t xml:space="preserve">Looks like you possess great strength. With ease, you can now carry a person in full plate armor while they are riding a horse. If you also have the </t>
    </r>
    <r>
      <rPr>
        <b/>
        <sz val="13"/>
        <color theme="1"/>
        <rFont val="Calibri"/>
        <family val="2"/>
      </rPr>
      <t>A Feminine Form</t>
    </r>
    <r>
      <rPr>
        <sz val="13"/>
        <color theme="1"/>
        <rFont val="Calibri"/>
        <family val="2"/>
      </rPr>
      <t>, you can achieve this feat with one hand and even juggle them with ease.</t>
    </r>
  </si>
  <si>
    <t>Dress Break</t>
  </si>
  <si>
    <t>Alright, we have a pervert here, as you have mastered the art of destroying the clothes and equipment of your opponents. Very good if you wish to end the fight quickly within the Queen's Blade. Usually, when an opponent is completely nude, the fight is over. But that is not all; when you're using this technique, no matter how much force you use, it's never lethal to your opponent. In fact, they will never have a single scratch on them. So, if you want to admire their bodies, this is the best skill you can have.</t>
  </si>
  <si>
    <t>Technically We Are Not Naked!!</t>
  </si>
  <si>
    <t>As a beautiful warrior, sometimes wearing clothing can be troublesome. So, here you strip even more (well, there was so little to begin with) to the bare minimum of covering your private areas and chest.
While going without "armor" may be a bad idea, in exchange, your movements have become more fluid, dancing through the many sword strikes, spear jabs, and arrow shots.
Your every action is one of grace and poise, making you very hard to hit. Just be warned, a single strike towards you may be fatal.</t>
  </si>
  <si>
    <t>Elemental Proficiency</t>
  </si>
  <si>
    <t>It seems like you are one of the people in this world that has learned to use elemental attacks, much like Claude. Choose one element that you have trained and attuned to. It can be Water, Earth, Wind, Fire, Ice, Lightning, Light, Dark, Holy, or Chaos. This battle trait can be purchased multiple times.</t>
  </si>
  <si>
    <t>Evil Eye</t>
  </si>
  <si>
    <t>Your eyes seem imbued with an unusual power, their gaze holding a mesmerizing quality. Choose any color for your eyes with any pattern you see fit. They now possess the following abilities: Firstly, you gain the ability to exert control over any person you set your sights on.
Secondly, your eyes now project a holographic display onto mirrored surfaces. This display detects any magical or ki emissions within a 500-meter radius, providing insight into their potential.</t>
  </si>
  <si>
    <t>Come My Minions!!</t>
  </si>
  <si>
    <t>Being alone in this world is no fun, and doing menial labor is beneath you. That's why you have entered into a contract with a dozen weak demons. These daemons, somewhat adorable, possess around 1/12 of your power and will follow every command you make. They can help you with chores or assist you in battle. Alternatively, instead of having several dozen weak demons under your command, you can opt to have two daemons serve you, with their power level around 3/4 of your maximum power. Alternatively, you can choose to have one single demon of equal strength.</t>
  </si>
  <si>
    <t>Slave Master</t>
  </si>
  <si>
    <t>Ok, look, this may be something that you may not personally approve of, but slavery is a custom of this world. And as someone as gorgeous as you, fighting in the front lines may be too much for you. That's why you have learned the special ability to tame not only monsters but also other people. Whatever you decide to tame, then you can conjure up a special collar that, when put on an individual, will ensure complete obedience. But that is not all; this collar will also enhance the abilities of your slaves by 50%.
But, if you find complete obedience from the start boring, you can choose to be able to conjure torture devices and curses to personally break them yourself. You know, if you're really into that kind of stuff. And no matter which option you choose, people will turn a blind eye to your actions of keeping another person as a slave. You are that good-looking after all.</t>
  </si>
  <si>
    <t>Idol Power</t>
  </si>
  <si>
    <t>Wow, I know with your killer looks, you would have some fans. But now, you have an entire fan club. As you have mastered one musical instrument of your choice, not only does the music you produce sound divine like the goddess Muse, but you can also use your music to control one element of your choice for both defensive and offensive capabilities. It can be Water, Earth, Wind, Fire, or Lightning.
But that's not all, as you can also charm and control people at will. They will think the things they did under your control came from their own free will.
If bought with Elemental Proficiency of the same element, then you gain a bonus effect of summoning a full-on Elemental to your bidding. It will follow your commands without fail and is invulnerable to non-magical attacks. And at maximum output, its power can easily destroy a small city.</t>
  </si>
  <si>
    <t>Why Are You Not Tired?</t>
  </si>
  <si>
    <t>Well, it seems we have some meatheads here. Even as a beautiful warrior, your stamina is extraordinary.
You can fight at full power for days on end without even breaking a sweat. Furthermore, negative effects of prolonged battle, such as muscle cramps or mental fatigue, are completely negated. However, necessities like food and water are still essential. After all, you're still human.</t>
  </si>
  <si>
    <t>Flesh-Rending Secret</t>
  </si>
  <si>
    <t>Well, this is interesting. You have discovered a long-lost demonic technique. I won't ask where you learned this heretical art. But from now on, when you want to collect someone as a trophy, you can completely encase them in a crystal of any color of your choice. Don't worry; any prisoner held within this crystal will not age or require sustenance and will remain unconscious until you let them out.</t>
  </si>
  <si>
    <t>Hammer Space</t>
  </si>
  <si>
    <t>Where did you hide that weapon, warrior? After all, with how skimpy your clothes are, hiding a hammer of that size should be impossible. But you now have a place where you can hide some of your weapons on your body . If you're searched nothing will be found. Unfortunately, people's imaginations are going wild as they picture the places you can hide them, either between your legs or in your cleavage which is not the case.</t>
  </si>
  <si>
    <t>Sorcerer</t>
  </si>
  <si>
    <r>
      <rPr>
        <sz val="13"/>
        <color theme="1"/>
        <rFont val="Calibri"/>
        <family val="2"/>
      </rPr>
      <t xml:space="preserve">Nerd!!! Well, that is what someone of your status should be, as you have begun mastering magic. It's rare for most Beautiful Warriors to be arcane-focused, but with your many late nights of study, you have become proficient in using elemental magic, making you a powerful ranged attacker. Currently, you know classical spells like Fire Bolt, Gust, Thunderclap, Mold Earth, and Frostbite. You will learn more spells as you further your studies.
But that's not all! If you have Elemental Proficiency in either Water, Earth, Wind, Fire, Ice, Lightning, or Earth, you gain the following effects based on your element.
Regardless of your element, you will have an accelerated learning and enhanced power-up of around 1.5x based on the element you choose.
</t>
    </r>
    <r>
      <rPr>
        <b/>
        <sz val="13"/>
        <color theme="1"/>
        <rFont val="Calibri"/>
        <family val="2"/>
      </rPr>
      <t>For Water, you gain:</t>
    </r>
    <r>
      <rPr>
        <sz val="13"/>
        <color theme="1"/>
        <rFont val="Calibri"/>
        <family val="2"/>
      </rPr>
      <t xml:space="preserve">
Dehydration Inducement: The power to remove water from living organisms, causing dehydration or desiccation. This ability can weaken opponents or drain moisture from plants and other sources.
Aquamancy: The practice of divination or magical rituals using water as a medium. Aquamancers may scry visions in reflective surfaces, commune with water spirits, or perform rituals involving water-based symbols and sigils.
Water Breathing: The ability to extract oxygen from water and breathe underwater. Hydrokinetics can sustain themselves and others in aquatic environments for extended periods, allowing for underwater exploration or combat.
</t>
    </r>
    <r>
      <rPr>
        <b/>
        <sz val="13"/>
        <color theme="1"/>
        <rFont val="Calibri"/>
        <family val="2"/>
      </rPr>
      <t>For Earth, you gain:</t>
    </r>
    <r>
      <rPr>
        <sz val="13"/>
        <color theme="1"/>
        <rFont val="Calibri"/>
        <family val="2"/>
      </rPr>
      <t xml:space="preserve">
Mineral Manipulation: Control over minerals and ores found within the earth. This includes extracting valuable resources, purifying metals, or transmuting minerals into different forms.
Geomagnetic Manipulation: Control over the magnetic fields of the earth, altering compass directions, creating magnetic barriers, or manipulating metal objects affected by magnetism.
Earth Absorption: The capacity to merge with or absorb into the earth, granting enhanced resilience, camouflage, or the ability to travel through solid ground undetected.
</t>
    </r>
    <r>
      <rPr>
        <b/>
        <sz val="13"/>
        <color theme="1"/>
        <rFont val="Calibri"/>
        <family val="2"/>
      </rPr>
      <t>For Air, you gain:</t>
    </r>
    <r>
      <rPr>
        <sz val="13"/>
        <color theme="1"/>
        <rFont val="Calibri"/>
        <family val="2"/>
      </rPr>
      <t xml:space="preserve">
Sonic Manipulation: Control over sound waves carried by the air, allowing amplification or dampening of noises, creation of sonic blasts, or disorienting vibrations.
Air Purification: The power to cleanse or filter the air of impurities, toxins, or pollutants, creating a cleaner and healthier environment.
Vacuum Creation: The capacity to manipulate air pressure to create vacuums or areas of low pressure, useful for various purposes.
</t>
    </r>
    <r>
      <rPr>
        <b/>
        <sz val="13"/>
        <color theme="1"/>
        <rFont val="Calibri"/>
        <family val="2"/>
      </rPr>
      <t>For Fire, you gain:</t>
    </r>
    <r>
      <rPr>
        <sz val="13"/>
        <color theme="1"/>
        <rFont val="Calibri"/>
        <family val="2"/>
      </rPr>
      <t xml:space="preserve">
Fire Immunity: Immunity to the harmful effects of fire, including burns or heat exhaustion.
Combustion Inducement: The ability to ignite objects through mental concentration, causing them to catch fire.
Fire Absorption: The ability to absorb fire or thermal energy to replenish strength or vitality.
</t>
    </r>
    <r>
      <rPr>
        <b/>
        <sz val="13"/>
        <color theme="1"/>
        <rFont val="Calibri"/>
        <family val="2"/>
      </rPr>
      <t>For Lightning, you gain:</t>
    </r>
    <r>
      <rPr>
        <sz val="13"/>
        <color theme="1"/>
        <rFont val="Calibri"/>
        <family val="2"/>
      </rPr>
      <t xml:space="preserve">
Electric Absorption: The ability to absorb and assimilate electrical energy to enhance powers or replenish energy reserves.
Static Electricity Manipulation: Control over static electricity, manifesting as frictional charges or discharges of electrical energy.
Electric Aura: Surrounding yourself with an electrically charged aura or field, providing protection or enhancing physical abilities.
</t>
    </r>
    <r>
      <rPr>
        <b/>
        <sz val="13"/>
        <color theme="1"/>
        <rFont val="Calibri"/>
        <family val="2"/>
      </rPr>
      <t>For Ice, you gain:</t>
    </r>
    <r>
      <rPr>
        <sz val="13"/>
        <color theme="1"/>
        <rFont val="Calibri"/>
        <family val="2"/>
      </rPr>
      <t xml:space="preserve">
Cold Immunity: Immunity or resistance to extreme cold temperatures.
Snow Manipulation: Control and manipulation of snowfall, snowflakes, or snowdrifts within a certain radius.
Ice Healing: The ability to heal or soothe injuries using ice or cold temperatures."</t>
    </r>
  </si>
  <si>
    <t>Gravity? What's That?</t>
  </si>
  <si>
    <t>Having honed your ability to manipulate gravity, your command over gravitational forces is nothing short of remarkable. With finesse and precision, you wield the power to manipulate gravitational fields in your immediate surroundings, affording you an unparalleled level of control and versatility.
One facet of your abilities lies in the manipulation of gravitational pull on objects and individuals. You possess the capability to augment or diminish gravitational forces, granting you a spectrum of options both in combat and everyday activities. For instance, you can effortlessly lighten objects to lift them with ease or amplify their weight to crush adversaries with formidable force. Additionally, you possess the finesse to manipulate trajectories, diverting the path of projectiles or redirecting falling objects mid-descent with seamless fluidity.
Moreover, you possess the aptitude to create gravitational fields at will, exerting influence over the movement of targets within your vicinity. This enables you to wield gravitational forces as a potent tool, either drawing adversaries closer with irresistible force or repelling them with unyielding strength.</t>
  </si>
  <si>
    <t>Mastered Holy Pose</t>
  </si>
  <si>
    <t>The celestial realms have bestowed upon you one of their most revered techniques: the Holy Poses.
Traditionally, these sacred poses are exclusive to women, their execution often requiring suggestive postures. However, in your case, gender holds no sway over efficacy; regardless of your sex, the power of the Holy Poses will manifest with equal potency. As a devout adherent of the divine, these poses are not perceived as immoral or lewd, but rather as a testament to your unwavering faith in the Almighty.
Should you choose to abstain from executing certain poses due to personal reservations, rest assured that you can still harness the full benefits of the ritual. Moreover, your alignment with white and holy magic grants you the ability to infuse your standard attacks with holy attributes, delivering righteous retribution to creatures tainted by corruption and malevolence.
Yet, the blessings do not cease there! If you possess Elemental Proficiency in either the Holy or white element, you will experience accelerated proficiency gains and enhanced power-ups, magnifying your capabilities by a factor of approximately 1.5x, contingent upon the chosen element's alignment. As for the Holy Poses themselves, their specific effects are detailed in the accompanying notes</t>
  </si>
  <si>
    <t>Mastered Unholy Pose</t>
  </si>
  <si>
    <t>As a master of chaos and darkness, you have unlocked the formidable power of the Unholy Poses. These sinister poses exude an aura of fear and despair, drawing upon the malevolent energies of the nether realm to instill terror in those unfortunate enough to witness them.
Your proficiency in dark and chaos magic grants you the ability to infuse your attacks with the chaotic attribute, corroding and annihilating anything touched by the divine with unholy fervor.
Moreover, if you possess Elemental Proficiency in either the Dark or Chaos element, you will undergo an accelerated learning process and experience a substantial enhancement in power, amplifying your capabilities by approximately 1.5 times based on your chosen element.</t>
  </si>
  <si>
    <t>Healer</t>
  </si>
  <si>
    <t>Within you resides a rare and invaluable gift—the art of healing—a skill seldom found in this realm.
Whether through the mastery of potent magical healing techniques, a deep understanding of herbal remedies, or a fusion of both arts, you have ascended to the pinnacle of healing prowess. Your expertise extends beyond merely tending to physical wounds sustained in battle; you possess the keen ability to diagnose and effectively treat the myriad of common diseases that afflict the denizens of this world.</t>
  </si>
  <si>
    <t>You Can Make It Do What!!</t>
  </si>
  <si>
    <t>Embracing the unconventional, you've unlocked the ability to manipulate unorthodox materials, transforming them into versatile tools, weapons, and structures limited only by your imagination. Whether it be the humble apple, the delectable sweetness of cake, or the airy fluffiness of cotton candy, these materials serve as the canvas for your creative prowess.
With a mere thought, you can imbue these materials with extraordinary properties, turning them into potent explosives, lethal poisons, or revitalizing elixirs. The possibilities are as boundless as your ingenuity, allowing you to craft clothing, weapons, or even buildings with such material. Let your imagination soar as you fashion a house made entirely of pineapple, capable of sustaining life underwater.</t>
  </si>
  <si>
    <t>The Dancer</t>
  </si>
  <si>
    <t>Dancing holds a profound significance in your life, transcending mere entertainment to become a conduit for immense power. Through your mastery of two distinct dances—the Moonlight Dance and the Sunshine Dance—you wield the forces of nature with grace and purpose.
The Moonlight Dance, a ritual performed under the serene glow of the moon, taps into the ethereal energy of lunar cycles. With each movement, you channel this power to revitalize barren landscapes, coaxing life to bloom where once there was only desolation. However, the exertion required to wield such potent magic takes its toll, leaving you physically and spiritually drained, often resulting in unconsciousness as your body struggles to recover from the immense strain.
In contrast, the Sunshine Dance unfolds with the dawn, bathed in the gentle warmth and luminosity of the sun's first rays. As you sway and twirl in harmony with the celestial sphere, a radiant energy suffuses your being, dispelling all ailments and afflictions that may beset you. Whether illness, poison, or grievous wounds, the healing power of the Sunshine Dance sweeps away adversity, leaving you rejuvenated and invigorated to face the challenges of the day ahead.</t>
  </si>
  <si>
    <t>Your mastery over automatons, whether they be towering golems, intricately crafted Kugutsu from Hinomoto, or awe-inspiring mechs of godlike proportions, is unparalleled. Through your expertise, you wield these mechanical marvels with unparalleled skill and finesse, commanding them as though they were extensions of your own body.
Whether utilizing physical controllers, manipulating strings with precision, or even commanding them with the power of your mind alone, your control over these automatons is nearly instinctual. With each subtle gesture or mental command, you orchestrate their movements with unmatched precision, guiding them through intricate maneuvers and devastating attacks with effortless ease.</t>
  </si>
  <si>
    <t>Physical Enhancements</t>
  </si>
  <si>
    <t>Indeed, it appears you wield some formidable limbs, Warrior. Whether fate dealt you a harsh hand in an accident or you willingly underwent the transformation, the alchemical mastery at your disposal has rendered you a cyborg of unparalleled capabilities. Your metallic appendages bestow upon you not only tremendous strength but also an unparalleled level of durability, elevating your combat prowess to previously unimaginable heights.
Furthermore, you've made the strategic decision to incorporate concealed weaponry into each of your hands. These hidden armaments could take various forms, from razor-sharp blades to versatile firearms or even specialized tools tailored to your unique combat style. The flexibility afforded by such concealed weaponry adds an element of surprise to your tactics, keeping your adversaries guessing and giving you a distinct advantage on the battlefield.
Moreover, in the future, the possibilities for further augmentation are virtually limitless. Beyond weaponry, you have the capacity to imbue your limbs with a myriad of enhancements, ranging from enhanced sensory capabilities to integrated defensive mechanisms or even advanced propulsion systems for swift traversal across any terrain. And crucially, these enhancements seamlessly integrate with your organic body, ensuring optimal functionality without compromising your adaptability in any situation.</t>
  </si>
  <si>
    <t>Merfolk</t>
  </si>
  <si>
    <t>In the depths of the ocean, where the light barely reaches, there exists a world teeming with life and wonder. It is here that you, a mermaid, call home. With a graceful flick of your shimmering tail, you glide effortlessly through the azure waters, your senses attuned to the rhythm of the sea.
Your body, adapted to the deep sea, is a marvel of aquatic engineering. You possess strength and agility beyond compare, and your streamlined form allows you to move through the water with unparalleled speed. With a touch, you can manipulate the currents around you, shaping them to your will and creating barriers of water to ward off threats.
But it is not just the physical realm where your power lies. Your voice, sweet and melodious, holds a captivating power that can enchant those who hear it. Whether it's to lure sailors off course or to calm the turbulent seas, your song can sway the hearts of even the most hardened sailors.
On land, you shed your tail and take on the form of a beautiful maiden, with flowing locks of hair and eyes as deep as the ocean itself. But even in this form, you retain your connection to the sea, feeling its ebb and flow in your very soul.
And if you were to choose the path of the merman, you would harness the abilities of the deep-sea creatures that roam the ocean depths. For example if you chose to be a squid-girl, you possess tentacles that are both versatile and deadly. You can manipulate them with precision, using them to grasp and manipulate objects, as well as to deliver powerful strikes to your enemies.
Your ink, like that of a real squid, serves as both a defensive mechanism and a potent weapon. With a burst of ink, you can obscure the vision of your foes, allowing you to make a swift escape or launch a surprise attack. And your regenerative abilities ensure that even the most grievous wounds are swiftly healed, allowing you to continue your underwater adventures with ease.
In their underwater kingdom, where the color white is favored for its ethereal beauty, their clothing is often wet and translucent, reflecting the shimmering hues of the ocean depths. Yet, despite their enchanting appearance and formidable abilities, both mermaids and mermen share a deep connection to the ocean, sensing its currents and rhythms with an innate understanding that transcends words.</t>
  </si>
  <si>
    <t>Birdman</t>
  </si>
  <si>
    <t>In the realm of ancient legends and mythological tales, the Birdmen stand as a testament to the merging of man and avian grace.
With wings spanning wide like the embrace of the sky itself, the Birdmen command the heavens with unmatched expertise. Their flight is not merely a means of transportation but a symphony of motion, a dance of feathers and air currents that carries them effortlessly across the celestial canvas. Through the artistry of their aerial acrobatics, they navigate with the precision of a master painter's brush, swooping and gliding with a grace that seems to defy gravity itself.
Their vision, honed by centuries of soaring above the clouds, pierces through the veils of distance and obscurity. From their lofty perches, they survey the world below with eyes that can discern the slightest movement amidst the vast expanse of land and sea. With keen perception, they spot prey, allies, and adversaries alike, their gaze unerring and unwavering in its focus.
But it is not only their sight that serves them well, for the Birdmen are equipped with talons as sharp as the talons of their avian kin. These claws, honed by the demands of survival in the untamed skies, are not merely tools of defense but instruments of devastation. With a single swipe, they can rend through flesh and bone, delivering strikes with a lethal precision that few can match.
Yet, it is not all about offense, for the Birdmen possess a subtle mastery over their own plumage. With a flick of their feathers, they can manipulate the very air around them, conjuring gusts of wind to aid in their flight or forming protective barriers to shield themselves from harm. In battle, their feathers become deadly projectiles, launched with deadly accuracy to pierce through enemy defenses.</t>
  </si>
  <si>
    <t>Insectoid</t>
  </si>
  <si>
    <t>In the vast tapestry of diverse races that populate this world, the Insectoids stand out as a particularly enigmatic and varied group. From the graceful arachnids to the industrious ants, and the resilient beetles to the agile mantises, each Insectoid embodies the unique traits and characteristics of its insectoid lineage.
As an Insectoid, you bear the unmistakable mark of your lineage, with a physique adorned in a durable exoskeleton that serves as both armor and testament to your resilience.
But it is not just your physical fortitude that sets you apart. Your senses are finely attuned to the nuances of your environment, with eyes composed of multiple lenses that afford you a wide field of vision and the ability to detect even the slightest movement. Paired with sensitive antennae that enhance perception and allow for the detection of vibrations and scents, you possess a keen awareness that few can rival.
Yet perhaps most intriguing of all are your innate abilities to summon forth and command the creatures of your kind. Whether you hail from the lineage of spiders, roaches, or any other insectoid species, you have the power to call upon your brethren in great numbers, harnessing their collective strength to aid you in your endeavors.This ability extends to racial traits and abilities inherent to your particular type of insect or bug. For instance, if you are a spider, you may possess the ability to shoot webs, while other types may have unique attributes such as resilient bodies capable of digesting nearly anything.</t>
  </si>
  <si>
    <t>Werebeasts</t>
  </si>
  <si>
    <t>In the realm where the moon holds sway over the shifting forms of beings, there exists a race known as werebeasts. Born of the union between humans and creatures of the land, werebeasts embody a fusion of humanoid and animal traits, each subspecies bearing unique characteristics.
While their appearances may vary, like a werebunny having bunny ears on a human body, werebeasts share common abilities that set them apart from ordinary humans. Shapeshifting is their hallmark, allowing them to seamlessly transition between their human guise and their animalistic form. With each transformation, their bodies undergo remarkable changes, sprouting fur, sharpening claws, and adopting the distinctive features of their chosen animal.
In addition to their physical transformations, werebeasts possess enhanced physical attributes in both forms. Their strength, speed, agility, and senses are heightened, granting them an edge in combat and survival.With claws and teeth sharpened to lethal points serve as their natural weapons, capable of rending flesh and delivering devastating blows to their foes. Whether stalking prey through dense forests or engaging in battle against formidable adversaries, werebeasts are formidable opponents.
A gift of regenerative healing further bolsters their resilience,with disease holding little sway over werebeasts, their bodies immune to many afflictions that plague ordinary humans. And enabling them to swiftly recover from wounds sustained in the heat of battle. Enhanced senses sharpen their awareness of their surroundings, aiding in tracking prey and detecting potential threats.
Despite their solitary natures, werebeasts may form packs, drawn together by a shared kinship and a primal need for companionship and protection. Within these packs, they find strength in unity, bolstering their chances of survival in the wilds.</t>
  </si>
  <si>
    <t xml:space="preserve">You bear the cursed bloodline of one of the most powerful vampires to ever exist, granting you a host of abilities that set you apart from ordinary vampires. While you possess the classic vampiric traits of blood-draining, your lineage imbues you with additional powers that make you a force to be reckoned with.
First and foremost, you possess the power to create other vampires through the biting of their necks, much like how you were turned. However, the vampires you create are far stronger than ordinary ones and share your unwavering loyalty. Together, you command a legion of undead followers who will stop at nothing to carry out your will.
Your control over blood is unparalleled, allowing you to manipulate it for various purposes. You can fashion deadly spears out of your own blood, drain the life force from weaker beings to heal yourself, and even create Blood Golems from the blood of living sacrifices. These monstrous creations are formidable opponents, capable of facing down even the strongest of adversaries.
But perhaps the most terrifying aspect of your existence is your near-invincible regeneration. Only the most extreme measures, such as being cut into minuscule pieces or reduced to ash by fire, can truly end your immortal life. As long as there is still warm blood to sustain you, you will continue to rise again, your wounds healing in mere seconds as you drain the life force from your victims. </t>
  </si>
  <si>
    <t>Dragon</t>
  </si>
  <si>
    <t>Dragons, revered and feared in equal measure, embody the very essence of power manifested in physical form within this world. Their presence alone can tilt the scales of dominance in any given incident or region, marking them as formidable entities worthy of both respect and caution.
With physical and magical prowess that surpasses all other races on the continent, even an ordinary Dragon holds the potential to reshape landscapes and dictate the course of events. Their ability to assume the form of either Western or Eastern-style dragons.
Protected by scales that rival the hardness of steel, Dragons are nigh invulnerable to conventional weaponry, with even the most skilled warriors struggling to penetrate their formidable defenses. Blessed with reflexes sharp enough to intercept projectiles in mid-air and agility comparable to that of a feline, they navigate the world with grace and precision, whether on land, in water, or soaring through the skies.
Furthermore, Dragons possess intellects that far surpass those of humans, with even the most modest among them exhibiting a level of intelligence that borders on the supernatural. Coupled with their innate affinity for sorcery, Dragons wield formidable magical abilities that range from elemental manipulation in breath weapon to divine communion, making them formidable adversaries in any conflict. Despite their imposing presence, Dragons also possess the ability to assume a human guise, blending seamlessly into society when necessary, albeit with their elemental affinity and flight capabilities still intact.</t>
  </si>
  <si>
    <t>Demon Princess</t>
  </si>
  <si>
    <t>As one of the esteemed descendants of the Demon King, you wield power and authority unmatched by any other demon.
Your proficiency in harnessing chaos has evolved into a formidable weapon on the battlefield. Your chaos-infused attacks can rend even undying immortals or gods, leaving a trail of destruction in their wake that few can withstand. Your magical prowess knows no bounds, with the ability to grant life, bestow abilities, and peer into the future with uncanny accuracy through the art of fortune-telling.
In addition to your mastery over chaos, you possess the ability to create magical clones and copies of others, wielding them as instruments of punishment or manipulation as you see fit. Your command over death and decay magic instills terror across the continent, draining the life force from all who dare to cross your path. Even in your weaker state, your necromantic powers can cause instant death with but a touch, leaving devastation in your wake.
But perhaps most feared of all are your curses, born from your expertise in black magic. With a mere utterance, you can inflict pain, death, or even worse fates upon your enemies, stripping them of their powers and bending them to your will through the insidious power of mind control. The Curse of Blindness robs victims of their sight, plunging them into eternal darkness, while the Curse of Suffering subjects them to agonizing torment, depriving them of the basic comforts of life. And with the Amplification Curse, you can twist the very essence of a being, enhancing their power while warping their personality to suit your nefarious purposes. Truly, as the highest-ranked demon, you are a force to be reckoned with, wielding power and influence that transcends mortal comprehension.</t>
  </si>
  <si>
    <t>Slime creation</t>
  </si>
  <si>
    <t>Your newfound ability to produce a trail of slime grants you a unique advantage in both mobility and combat. As your body secretes this slippery substance, it forms a slimy coating that covers your skin, rendering you incredibly difficult to grasp or restrain. This slimy layer acts as a natural lubricant, allowing you to slide effortlessly out of the grasp of would-be captors or opponents attempting to restrain you.
Moreover, you can disperse this slime on the ground at will, creating slippery patches that cause enemies to lose their balance and fall upon contact. The slick surface makes it challenging for foes to maintain their footing, leaving them vulnerable to your attacks or enabling your allies to gain the upper hand in combat.
Additionally, your slime possesses a peculiar trait that adds a unique twist to your encounters. When a female adversary struggles within your slime, it triggers a series of erotic scenes, so very good eye candy.</t>
  </si>
  <si>
    <t>Pattern Reskin</t>
  </si>
  <si>
    <t>This ability allows you to customize your appearance to suit your preferences or adapt to different environments. Whether it gives you scales, feathers, or fur, or simply alter the color and aesthetic of your skin, the choice is yours. With this flexibility, you can create a unique and personalized look that reflects your individuality. So go ahead, experiment, and have fun with your transformation!</t>
  </si>
  <si>
    <t>Lengthen</t>
  </si>
  <si>
    <t>You possess the remarkable power to extend any part of your body up to five times its original length.
Whether it's your legs, tail, arms, or even your tongue, you can stretch these appendages to impressive
lengths, granting you increased reach and versatility in various situations.
Despite the elongation, your mastery over your extended limbs allows you to maintain a high level of dexterity and control. This means that even when your limbs are stretched to their maximum length, you retain precise control over their movements, enabling you to execute intricate maneuvers with ease.
Furthermore, the speed at which you can elongate your body parts is nearly instantaneous, allowing you to extend them at will with little to no delay. This rapid elongation adds an element of surprise to your combat techniques, catching opponents off guard with sudden and unexpected extensions of your limbs.</t>
  </si>
  <si>
    <t>Shapeshifting Body</t>
  </si>
  <si>
    <t>You have achieved mastery in the art of true shapeshifting. Through the power of magic or some mystical spell, you now possess the ability to transform into anyone or anything without limitation.
With this extraordinary ability, you can assume the appearance of any individual or creature, seamlessly blending into your surroundings and assuming different identities with ease. Not only can you change your outward appearance, but you can also replicate their voice and even their equipped items, adding another layer of authenticity to your disguise.
However, it's important to remember that while you may assume the form of another being, you do not inherit their skills, knowledge, or abilities. You may look like them, sound like them, and even carry their possessions, but you remain true to yourself in terms of your capabilities and expertise. So maybe you do this and make some interesting ships.</t>
  </si>
  <si>
    <t>Protection From Corruption</t>
  </si>
  <si>
    <t>Regardless of the source of corruption, whether it be the dark magic of the Swamp Witch or the malevolent influence of other entities, your body remains resilient and steadfast.
Instead of succumbing to the negative effects of corruption, your body actively rejects them, purging them from your system and rendering them powerless against you. But the benefits don't stop there. In a remarkable twist of fate, your body actually harnesses the positive aspects of corruption, turning them into sources of strength and vitality.</t>
  </si>
  <si>
    <t>Not Tamable</t>
  </si>
  <si>
    <t>As a formidable monster, it's inevitable that some humans may have sought to enslave you, whether due to your exceptional abilities or your alluring appearance. However, you refuse to be shackled by the will of others. Your spirit is indomitable, and your instincts are honed to perfection, aiding you in resisting any attempts at enslavement.
Slave marks, meant to subjugate and control, hold no power over you. Your innate strength and resilience render them ineffective, causing them to fade and fail in their purpose. Similarly, any collar placed upon you will always remain loose, unable to bind you to the will of another.</t>
  </si>
  <si>
    <t>Fluid Body</t>
  </si>
  <si>
    <t>Your physiology diverges from that of typical creatures, resembling more closely that of a slime. Unlike rigid structures, your body is malleable and capable of flowing through narrow openings and reshaping itself as needed. This fluidity grants you remarkable flexibility and adaptability, allowing you to traverse spaces that would be inaccessible to others.
Moreover, your internal organs share the same fluid-like nature as your external form. They can be moved and manipulated within your body, granting you unprecedented control over your own anatomy. Like having better female assets. This internal fluidity not only enhances your agility and dexterity but also provides significant resilience against blunt force trauma. Because your organs lack rigid structures, they are better able to absorb and disperse the force of impacts, reducing the likelihood of injury.</t>
  </si>
  <si>
    <t>Soma</t>
  </si>
  <si>
    <t>Your body possesses a unique quality that sets it apart from others, perhaps bestowed upon you as a divine gift. Regardless of its origin, your body is extraordinarily nutritious, containing valuable sustenance in various forms. Whether it's your blood, a strand of hair, or even your magical reserves, when willingly offered to another, it provides nourishment far beyond the norm.
Remarkably, the amount provided to sustain someone is only a fraction of the typical requirement, yet it proves to be incredibly satisfying and fulfilling. What's more, consuming any part of your being becomes highly addictive to those who partake, making it a valuable bargaining chip in negotiations or exchanges.
This inherent trait of your body not only makes you a sought-after ally or commodity but also grants you leverage in various situations where your unique abilities can be utilized to your advantage.</t>
  </si>
  <si>
    <t>Best of Both Worlds</t>
  </si>
  <si>
    <t>Indeed, as a hybrid of two distinct lineages, you inherit a unique blend of traits and abilities from both your parents and your races. For instance, a half-elf might possess an innate connection to the forest and nature, drawing upon this deep insight to enhance their skills and abilities. This connection allows them to navigate dense woodlands with ease, communicate with woodland creatures, and harness the power of nature in their magic or combat techniques.
On the other hand, a devil's heritage brings forth a creative and adaptive fighting style, blending elements of light and darkness in combat. With their devilish lineage, they may have access to abilities that manipulate shadows and create illusions, while also wielding divine light to smite their enemies. This unique combination allows them to confound opponents with unpredictable tactics and exploit both light and darkness to their advantage.</t>
  </si>
  <si>
    <t>Crystal Manipulation</t>
  </si>
  <si>
    <t>With your unique ability to crystallize any material, you wield a formidable power over the physical plane.
Whether it be the earth beneath your feet or the very air around you, you can manipulate these substances to form beautiful and deadly crystals. However, it's crucial to remember attempting to crystallize living beings would result in their instant demise.
In battle, your crystal manipulation allows for a variety of strategic applications. You can create barriers of solid crystal to shield yourself or your allies from attacks, forming intricate traps or obstacles to hinder your enemies' movements, or even fashion sharp crystal projectiles to launch at your foes with lethal precision.
Beyond combat, your ability to crystallize materials offers numerous practical uses. You can create crystalline structures for shelter or fortification, fashion intricate works of art from mundane materials, or even extract valuable minerals and resources from the earth with ease.</t>
  </si>
  <si>
    <t>Elemental Form</t>
  </si>
  <si>
    <t>You now wield the extraordinary power to transform into the embodiment of your chosen element. Choose one element: Water, Earth, Wind, Fire, Ice, Lightning, Light, Dark, Holy, or Chaos. Assuming the form of a colossal naked humanoid that towers over ordinary beings. In this elemental form, you become nearly impervious to conventional weapons, your body fortified by the very essence of your element.
Additionally, you possess the remarkable ability to rapidly heal from injuries while immersed in your chosen element, your wounds closing at an astonishing rate.However, such extraordinary abilities do not come without a cost. Each transformation drains you of vital energy, leaving you exhausted, weakened naked, and near death for days afterward.</t>
  </si>
  <si>
    <t>We Are What We Eat</t>
  </si>
  <si>
    <t>You possess a truly remarkable ability: the power to absorb the abilities of any being you consume. This innate gift grants you the opportunity to assimilate the physical attributes and skills of the creatures you ingest, enhancing your own capabilities in the process.
For instance, should you devour the limb of a wererabbit, you would immediately inherit a portion of their remarkable abilities, such as their keen hearing or extraordinary leaping prowess. This absorption occurs in an instant, allowing you to seamlessly integrate the newfound powers into your own repertoire.</t>
  </si>
  <si>
    <t>Providing</t>
  </si>
  <si>
    <t>Your body possesses a unique affinity for the art of alchemy, granting you a remarkable ability to contribute to the creation of potent potions and powerful weapons or armor. By willingly offering parts of your body, such as your blood, hair, toenail clippings or any other bodily fluid., you can imbue these materials with extraordinary properties.
The potions crafted from your bodily components exhibit three times the effectiveness of ordinary concoctions. Whether it be healing elixirs, strength-enhancing brews, or potions of invisibility, the effects are heightened to an exceptional degree.
Furthermore, the weapons and armor forged using your bodily materials inherit one of your racial abilities, granting them unique and formidable attributes. Whether it's the resilience of a vampire, the agility of an elf, or the strength of a demon, these artifacts become imbued with the essence of your heritage, making them powerful tools in your arsenal.</t>
  </si>
  <si>
    <t>Better Than The Sum Of Your Parts</t>
  </si>
  <si>
    <t>The power of hybridization is truly remarkable. When you combine the racial traits of different beings, the resulting hybrid often possesses significant advantages. However, some powers are inherently difficult to harmonize and can even weaken each other when used in tandem.
Yet, you possess the extraordinary ability to merge two opposing elements or abilities, creating a synergy that surpasses the sum of its parts. While others may settle for mere combinations like cold fire or hot ice, your mastery allows you to harness the true potential of this fusion.
By forcibly combining and then repelling the opposing forces, you can generate a tremendous burst of power that amplifies the strength of your attacks. This unique ability not only showcases your mastery over conflicting elements but also demonstrates your unparalleled skill in wielding the formidable power of hybridization.</t>
  </si>
  <si>
    <t>0/Variable</t>
  </si>
  <si>
    <t>“Armour”</t>
  </si>
  <si>
    <r>
      <rPr>
        <sz val="13"/>
        <color theme="1"/>
        <rFont val="Calibri"/>
        <family val="2"/>
      </rPr>
      <t xml:space="preserve">Your armor, though sleek and stylish, offers more than just aesthetic appeal. Crafted to your specifications, it provides adequate defense while accentuating your natural allure. If you chose a china dress design, chosen for its elegance and grace, drapes over your form, leaving the back and legs exposed for both practicality and a touch of daring allure.
Despite its seemingly skimpy appearance, your armor boasts remarkable defensive capabilities.
Enchanted with magic, it can withstand the onslaught of battle for an entire day, magically repairing itself at the break of dawn, ready to face another day of challenges and triumphs.
Now, as for the upgrades available to enhance your armor here are your options.
</t>
    </r>
    <r>
      <rPr>
        <b/>
        <sz val="13"/>
        <color theme="1"/>
        <rFont val="Calibri"/>
        <family val="2"/>
      </rPr>
      <t>+200 Defensive</t>
    </r>
    <r>
      <rPr>
        <sz val="13"/>
        <color theme="1"/>
        <rFont val="Calibri"/>
        <family val="2"/>
      </rPr>
      <t xml:space="preserve">: The Defensive upgrade offers additional protection without compromising your chosen design. Extra plating adorns the shoulders, reinforcing crucial areas while maintaining the allure of your original design.
</t>
    </r>
    <r>
      <rPr>
        <b/>
        <sz val="13"/>
        <color theme="1"/>
        <rFont val="Calibri"/>
        <family val="2"/>
      </rPr>
      <t>+200 Empowering</t>
    </r>
    <r>
      <rPr>
        <sz val="13"/>
        <color theme="1"/>
        <rFont val="Calibri"/>
        <family val="2"/>
      </rPr>
      <t xml:space="preserve">: Opting for the Empowering upgrade imbues your armor with the essence of a chosen beast, whether it be the majestic griffin or the mighty bear. This infusion of power enhances your strength twofold, amplifying your prowess in battle while retaining the charm of your unique armor.
</t>
    </r>
    <r>
      <rPr>
        <b/>
        <sz val="13"/>
        <color theme="1"/>
        <rFont val="Calibri"/>
        <family val="2"/>
      </rPr>
      <t>+200 Nimble</t>
    </r>
    <r>
      <rPr>
        <sz val="13"/>
        <color theme="1"/>
        <rFont val="Calibri"/>
        <family val="2"/>
      </rPr>
      <t xml:space="preserve">: For those who value agility and speed, the Nimble upgrade provides an enticing option. By going commando,yes your armor has no underwear. you gain the ability to move with unprecedented swiftness, darting through the battlefield with grace and precision.
</t>
    </r>
    <r>
      <rPr>
        <b/>
        <sz val="13"/>
        <color theme="1"/>
        <rFont val="Calibri"/>
        <family val="2"/>
      </rPr>
      <t>+200 Elemental Resistance</t>
    </r>
    <r>
      <rPr>
        <sz val="13"/>
        <color theme="1"/>
        <rFont val="Calibri"/>
        <family val="2"/>
      </rPr>
      <t xml:space="preserve">: If elemental resistance is your priority, the Elemental Resistance upgrade allows you to choose an element to which your armor becomes resistant. Whether it be the roaring flames of Fire or the chilling embrace of Ice, your armor will shield you from the chosen element's effects, offering added protection against elemental threats.
</t>
    </r>
    <r>
      <rPr>
        <b/>
        <sz val="13"/>
        <color theme="1"/>
        <rFont val="Calibri"/>
        <family val="2"/>
      </rPr>
      <t>+200 The Beast</t>
    </r>
    <r>
      <rPr>
        <sz val="13"/>
        <color theme="1"/>
        <rFont val="Calibri"/>
        <family val="2"/>
      </rPr>
      <t>: Lastly, the Beast upgrade imbues your armor with the essence of a chosen animal, serving as its main theme. Activating this feature grants you temporary access to the abilities of the selected animal, adding versatility to your arsenal and allowing you to adapt to various combat scenarios with ease.</t>
    </r>
  </si>
  <si>
    <t>Weapon</t>
  </si>
  <si>
    <r>
      <rPr>
        <sz val="13"/>
        <color theme="1"/>
        <rFont val="Calibri"/>
        <family val="2"/>
      </rPr>
      <t xml:space="preserve">As a warrior, the choice of weapon is a crucial decision, one that reflects both your combat style and personal preferences. Whether it be a blade honed to perfection, a sleek and deadly katana, a versatile bow, or a modern firearm, choose one weapon that will be your trusty companion in the heat of battle.
And if you choose a range weapon you have an ample supply of ammunition at your disposal, you are well-prepared to face any challenge that comes your way in the next ten years of your journey.the first weapon is free any extra will cost 100cp.
Now, as for the upgrades available to enhance your weapon here are your options.
</t>
    </r>
    <r>
      <rPr>
        <b/>
        <sz val="13"/>
        <color theme="1"/>
        <rFont val="Calibri"/>
        <family val="2"/>
      </rPr>
      <t>+100 Cool Ornaments</t>
    </r>
    <r>
      <rPr>
        <sz val="13"/>
        <color theme="1"/>
        <rFont val="Calibri"/>
        <family val="2"/>
      </rPr>
      <t xml:space="preserve">: Your weapon now embodies the epitome of style and sophistication. Adorned with intricate designs and embellishments, it is a sight to behold on the battlefield. Whether you prefer a sleek and modern aesthetic or a more ornate and traditional look, your weapon's appearance is entirely customizable without sacrificing its performance.
</t>
    </r>
    <r>
      <rPr>
        <b/>
        <sz val="13"/>
        <color theme="1"/>
        <rFont val="Calibri"/>
        <family val="2"/>
      </rPr>
      <t>+100 Enchanted</t>
    </r>
    <r>
      <rPr>
        <sz val="13"/>
        <color theme="1"/>
        <rFont val="Calibri"/>
        <family val="2"/>
      </rPr>
      <t xml:space="preserve">: Blessed by celestial forces, your weapon now possesses the divine power to purify anything it touches. With each strike, it cleanses the taint of darkness and corruption, leaving behind only purity and light in its wake.
</t>
    </r>
    <r>
      <rPr>
        <b/>
        <sz val="13"/>
        <color theme="1"/>
        <rFont val="Calibri"/>
        <family val="2"/>
      </rPr>
      <t>+100 Corrupted</t>
    </r>
    <r>
      <rPr>
        <sz val="13"/>
        <color theme="1"/>
        <rFont val="Calibri"/>
        <family val="2"/>
      </rPr>
      <t xml:space="preserve">: Infused with the sinister energy of the Swamp Witch, your weapon now exudes a corrupting influence that taints everything it touches. With each strike, it spreads darkness and decay, leaving behind a trail of desolation and despair.
</t>
    </r>
    <r>
      <rPr>
        <b/>
        <sz val="13"/>
        <color theme="1"/>
        <rFont val="Calibri"/>
        <family val="2"/>
      </rPr>
      <t>+100 Rage</t>
    </r>
    <r>
      <rPr>
        <sz val="13"/>
        <color theme="1"/>
        <rFont val="Calibri"/>
        <family val="2"/>
      </rPr>
      <t xml:space="preserve">: As your anger grows, so too does the power of your weapon. Infused with an aura of unrestrained fury, it becomes increasingly potent with each passing moment of your wrath.
</t>
    </r>
    <r>
      <rPr>
        <b/>
        <sz val="13"/>
        <color theme="1"/>
        <rFont val="Calibri"/>
        <family val="2"/>
      </rPr>
      <t>+200 Animated</t>
    </r>
    <r>
      <rPr>
        <sz val="13"/>
        <color theme="1"/>
        <rFont val="Calibri"/>
        <family val="2"/>
      </rPr>
      <t xml:space="preserve">: With a command, your weapon springs to life, hovering at your side and ready to strike down any who oppose you. Guided by your will, it autonomously engages nearby foes, unleashing a flurry of attacks with unerring precision.
</t>
    </r>
    <r>
      <rPr>
        <b/>
        <sz val="13"/>
        <color theme="1"/>
        <rFont val="Calibri"/>
        <family val="2"/>
      </rPr>
      <t>+200 Resilience</t>
    </r>
    <r>
      <rPr>
        <sz val="13"/>
        <color theme="1"/>
        <rFont val="Calibri"/>
        <family val="2"/>
      </rPr>
      <t xml:space="preserve">: Fashioned from the most resilient of materials, your weapon is now impervious to harm by any conventional means. No amount of force or magic can shatter its unyielding form.
</t>
    </r>
    <r>
      <rPr>
        <b/>
        <sz val="13"/>
        <color theme="1"/>
        <rFont val="Calibri"/>
        <family val="2"/>
      </rPr>
      <t>+200 Weapon Change</t>
    </r>
    <r>
      <rPr>
        <sz val="13"/>
        <color theme="1"/>
        <rFont val="Calibri"/>
        <family val="2"/>
      </rPr>
      <t xml:space="preserve">: At your will, your weapon seamlessly transforms into another weapon of your choosing, allowing you to adapt to any combat scenario with ease. Whether you require a melee weapon for close-quarters combat, or a ranged weapon for distant foes. With the ability to switch between three forms at will.
</t>
    </r>
    <r>
      <rPr>
        <b/>
        <sz val="13"/>
        <color theme="1"/>
        <rFont val="Calibri"/>
        <family val="2"/>
      </rPr>
      <t>+400 Elemental</t>
    </r>
    <r>
      <rPr>
        <sz val="13"/>
        <color theme="1"/>
        <rFont val="Calibri"/>
        <family val="2"/>
      </rPr>
      <t xml:space="preserve">: Infused with the elemental forces of your choosing, your weapon crackles with the power of Water, Earth, Wind, Fire, Ice, Lightning, Light, Dark, Holy, or Chaos.
</t>
    </r>
    <r>
      <rPr>
        <b/>
        <sz val="13"/>
        <color theme="1"/>
        <rFont val="Calibri"/>
        <family val="2"/>
      </rPr>
      <t>+400 Sentient</t>
    </r>
    <r>
      <rPr>
        <sz val="13"/>
        <color theme="1"/>
        <rFont val="Calibri"/>
        <family val="2"/>
      </rPr>
      <t xml:space="preserve">: Awakened to consciousness, your weapon is now more than a mere tool—it is a loyal and devoted companion. With a personality of its own, it interacts with you as an equal, offering counsel, companionship, and unwavering loyalty. As it augments your abilities, it shares its essence with you, by shooting some white liquid on you.
</t>
    </r>
    <r>
      <rPr>
        <i/>
        <sz val="13"/>
        <color theme="1"/>
        <rFont val="Calibri"/>
        <family val="2"/>
      </rPr>
      <t>Melee Weapons Only</t>
    </r>
    <r>
      <rPr>
        <sz val="13"/>
        <color theme="1"/>
        <rFont val="Calibri"/>
        <family val="2"/>
      </rPr>
      <t xml:space="preserve">:
</t>
    </r>
    <r>
      <rPr>
        <b/>
        <sz val="13"/>
        <color theme="1"/>
        <rFont val="Calibri"/>
        <family val="2"/>
      </rPr>
      <t>+100 Sharpened/Bluntened</t>
    </r>
    <r>
      <rPr>
        <sz val="13"/>
        <color theme="1"/>
        <rFont val="Calibri"/>
        <family val="2"/>
      </rPr>
      <t xml:space="preserve">: Your weapon's edge is honed to perfection, capable of slicing through armor with ease or delivering bone-crushing blows that pulverize your enemies.
</t>
    </r>
    <r>
      <rPr>
        <b/>
        <sz val="13"/>
        <color theme="1"/>
        <rFont val="Calibri"/>
        <family val="2"/>
      </rPr>
      <t>+200 Size Shifting</t>
    </r>
    <r>
      <rPr>
        <sz val="13"/>
        <color theme="1"/>
        <rFont val="Calibri"/>
        <family val="2"/>
      </rPr>
      <t xml:space="preserve">: With a thought, your weapon can change its size to suit the needs of the moment. Whether you require a longer reach to engage distant foes or a shorter length for close-quarters combat, your weapon adapts to your will with seamless fluidity.
</t>
    </r>
    <r>
      <rPr>
        <b/>
        <sz val="13"/>
        <color theme="1"/>
        <rFont val="Calibri"/>
        <family val="2"/>
      </rPr>
      <t>+200 Swiftness</t>
    </r>
    <r>
      <rPr>
        <sz val="13"/>
        <color theme="1"/>
        <rFont val="Calibri"/>
        <family val="2"/>
      </rPr>
      <t xml:space="preserve">: When wielded, your weapon becomes an extension of your own speed and agility, striking with blinding swiftness and precision.
</t>
    </r>
    <r>
      <rPr>
        <b/>
        <sz val="13"/>
        <color theme="1"/>
        <rFont val="Calibri"/>
        <family val="2"/>
      </rPr>
      <t>+400 Weapon Summoning</t>
    </r>
    <r>
      <rPr>
        <sz val="13"/>
        <color theme="1"/>
        <rFont val="Calibri"/>
        <family val="2"/>
      </rPr>
      <t xml:space="preserve">: With a flick of your wrist, your weapon flies from your hand, striking true at your intended target before returning to your grasp with unerring accuracy.
</t>
    </r>
    <r>
      <rPr>
        <i/>
        <sz val="13"/>
        <color theme="1"/>
        <rFont val="Calibri"/>
        <family val="2"/>
      </rPr>
      <t>Ranged weapons Only</t>
    </r>
    <r>
      <rPr>
        <sz val="13"/>
        <color theme="1"/>
        <rFont val="Calibri"/>
        <family val="2"/>
      </rPr>
      <t xml:space="preserve">:
</t>
    </r>
    <r>
      <rPr>
        <b/>
        <sz val="13"/>
        <color theme="1"/>
        <rFont val="Calibri"/>
        <family val="2"/>
      </rPr>
      <t>+100 Range</t>
    </r>
    <r>
      <rPr>
        <sz val="13"/>
        <color theme="1"/>
        <rFont val="Calibri"/>
        <family val="2"/>
      </rPr>
      <t xml:space="preserve">: Your weapon boasts an impressive effective range of up to 2 kilometers, allowing you to strike down your enemies from afar with deadly accuracy. Whether raining down arrows from the sky or picking off targets from a distant vantage point, your weapon is a force to be reckoned with at any distance.
</t>
    </r>
    <r>
      <rPr>
        <b/>
        <sz val="13"/>
        <color theme="1"/>
        <rFont val="Calibri"/>
        <family val="2"/>
      </rPr>
      <t>+200 Ammunition</t>
    </r>
    <r>
      <rPr>
        <sz val="13"/>
        <color theme="1"/>
        <rFont val="Calibri"/>
        <family val="2"/>
      </rPr>
      <t xml:space="preserve">: Your weapon now boasts a versatile array of specialized ammunition, each imbued with potent properties tailored to your needs and the demands of battle.Chose one type for each purchase of this option.
</t>
    </r>
    <r>
      <rPr>
        <u/>
        <sz val="13"/>
        <color theme="1"/>
        <rFont val="Calibri"/>
        <family val="2"/>
      </rPr>
      <t>Holy Milk Rounds</t>
    </r>
    <r>
      <rPr>
        <sz val="13"/>
        <color theme="1"/>
        <rFont val="Calibri"/>
        <family val="2"/>
      </rPr>
      <t xml:space="preserve">: Blessed by divine forces, these rounds are infused with holy energy, making them particularly effective at vanquishing demons and other unholy creatures. Upon impact, they sear the flesh of evil beings with righteous fire, purging them from existence with holy fervor.
</t>
    </r>
    <r>
      <rPr>
        <u/>
        <sz val="13"/>
        <color theme="1"/>
        <rFont val="Calibri"/>
        <family val="2"/>
      </rPr>
      <t>Gravity Bullets</t>
    </r>
    <r>
      <rPr>
        <sz val="13"/>
        <color theme="1"/>
        <rFont val="Calibri"/>
        <family val="2"/>
      </rPr>
      <t xml:space="preserve">: These unique projectiles harness the power of gravity, exerting a crushing force upon impact that can overwhelm even the sturdiest of defenses. Enemies struck by these bullets find themselves weighed down by an irresistible force, making movement and retaliation all but impossible.
</t>
    </r>
    <r>
      <rPr>
        <u/>
        <sz val="13"/>
        <color theme="1"/>
        <rFont val="Calibri"/>
        <family val="2"/>
      </rPr>
      <t>Needle Flechette</t>
    </r>
    <r>
      <rPr>
        <sz val="13"/>
        <color theme="1"/>
        <rFont val="Calibri"/>
        <family val="2"/>
      </rPr>
      <t xml:space="preserve">: Sharp and needle-like, these bullets are designed for maximum penetration power. As they scatter upon advancement, they pierce through armor and flesh alike with lethal precision, leaving devastation in their wake.
</t>
    </r>
    <r>
      <rPr>
        <u/>
        <sz val="13"/>
        <color theme="1"/>
        <rFont val="Calibri"/>
        <family val="2"/>
      </rPr>
      <t>Shock Wave Rounds</t>
    </r>
    <r>
      <rPr>
        <sz val="13"/>
        <color theme="1"/>
        <rFont val="Calibri"/>
        <family val="2"/>
      </rPr>
      <t xml:space="preserve">: Perfect for crowd control, these bullets emit powerful shock waves upon impact that target a person's semicircular canal. The resulting disruption causes disorientation and incapacitation, allowing for swift and non-lethal takedowns of multiple adversaries.
</t>
    </r>
    <r>
      <rPr>
        <u/>
        <sz val="13"/>
        <color theme="1"/>
        <rFont val="Calibri"/>
        <family val="2"/>
      </rPr>
      <t>Anti-Demon Cross Silver Bullets</t>
    </r>
    <r>
      <rPr>
        <sz val="13"/>
        <color theme="1"/>
        <rFont val="Calibri"/>
        <family val="2"/>
      </rPr>
      <t xml:space="preserve">: Crafted specifically for encounters with the supernatural, these rounds are imbued with the essence of silver and blessed with holy symbols. Effective against werewolves, vampires, and other unholy creatures, they pierce through supernatural defenses with ease, delivering divine justice to the wicked.
</t>
    </r>
    <r>
      <rPr>
        <u/>
        <sz val="13"/>
        <color theme="1"/>
        <rFont val="Calibri"/>
        <family val="2"/>
      </rPr>
      <t>Blitz Warheads</t>
    </r>
    <r>
      <rPr>
        <sz val="13"/>
        <color theme="1"/>
        <rFont val="Calibri"/>
        <family val="2"/>
      </rPr>
      <t xml:space="preserve">: Upon impact, these specialized bullets deliver a powerful shock that disrupts neural transmissions, temporarily paralyzing the target's movements. Ideal for disabling opponents without causing permanent harm, they offer a strategic advantage in combat situations where precision and control are paramount.
</t>
    </r>
    <r>
      <rPr>
        <u/>
        <sz val="13"/>
        <color theme="1"/>
        <rFont val="Calibri"/>
        <family val="2"/>
      </rPr>
      <t>Frozen Bullets</t>
    </r>
    <r>
      <rPr>
        <sz val="13"/>
        <color theme="1"/>
        <rFont val="Calibri"/>
        <family val="2"/>
      </rPr>
      <t xml:space="preserve">: Infused with chilling energies, these deadly rounds reduce the speed of molecular motion upon impact, causing the target's molecules to freeze and shatter. With each shot, they unleash a blast of icy cold that encases foes in a prison of frost, rendering them immobile and vulnerable to further attacks.
</t>
    </r>
    <r>
      <rPr>
        <u/>
        <sz val="13"/>
        <color theme="1"/>
        <rFont val="Calibri"/>
        <family val="2"/>
      </rPr>
      <t>Spatial Rupture Bullets</t>
    </r>
    <r>
      <rPr>
        <sz val="13"/>
        <color theme="1"/>
        <rFont val="Calibri"/>
        <family val="2"/>
      </rPr>
      <t>: Harnessing the incomparable power of Hyperborea Crystal, these bullets are capable of creating spatial ruptures upon impact. With the ability to obliterate anything they touch, they unleash devastation on a cataclysmic scale, tearing through barriers and adversaries alike with unstoppable force.</t>
    </r>
  </si>
  <si>
    <t>The Queen's Gate</t>
  </si>
  <si>
    <t>The Queen's Gate stands as a formidable interdimensional conduit, capable of transcending the boundaries of time and space with a mere activation. Its mystical properties grant its wielder the ability to traverse through diverse dimensions, spanning vast expanses of existence and unlocking realms unknown to mortal comprehension. Basically you now have a gate that lets you go to the multiverse that has ever crossed over with the Queen's blade franchise. Attached to your warehouse.
Yet be warned, the power wielded by the Queen's Gate is not without its risks. Mishandling or misusing this potent artifact can lead to catastrophic consequences, causing the delicate fabric of reality to fray and intertwine. In such instances, dimensions may converge, merging disparate worlds and allowing entities from divergent eras and realms to coalesce in chaotic amalgamations. So have fun.</t>
  </si>
  <si>
    <t>Vibration Armor</t>
  </si>
  <si>
    <t>You've received an extraordinary set of armor infused with the potent energy of a vibration crystal crafted by Ymir himself. This magical stone harnesses formidable defensive magic, pulsating with vibrations that not only repel damage but also enhance the wearer's strength and prowess to unprecedented levels. This remarkable augmentation was demonstrated when Mirim, a humble peasant girl devoid of combat experience, single-handedly vanquished an entire platoon of soldiers and seized control of a castle.
However, the drawback lies in the intense stimulation induced by the armor's vibrations, which may lead to audible manifestations of pleasure from the wearer, akin to fervent moans of ecstasy during battle.</t>
  </si>
  <si>
    <t>Demon's Gate</t>
  </si>
  <si>
    <t>The Demon's Gate serves as the mysterious conduit between the mortal realm and the enigmatic Underworld. Hidden from the prying eyes of most, this gateway remains shrouded in secrecy, its true nature veiled in obscurity.
Little is divulged about the inner workings of the Demon's Gate, as its operations are closely guarded and known only to a select few. It is through this ethereal threshold that denizens of the Underworld, including demons and other summoned entities, traverse into the mortal plane. Such crossings are often facilitated by the formidable power of the enigmatic Swamp Witch, whose influence extends even into the depths of the Underworld.
And now you have a copy attached to your warehouse.</t>
  </si>
  <si>
    <t>Wife Training Manual</t>
  </si>
  <si>
    <t>This book serves as a comprehensive guide for those aspiring to become a devoted and nurturing partner. Within its pages, you'll find a wealth of invaluable information, including delectable food recipes to delight your loved one's palate, thorough cleaning guides to maintain a harmonious home environment, and basic math problems to sharpen your cognitive abilities. Following the instructions laid out in this manual, both you and any other reader will undergo a transformative journey over the course of a month, emerging as affectionate and devoted companions ready to embrace the role of a loving spouse.</t>
  </si>
  <si>
    <t>Apex of Life</t>
  </si>
  <si>
    <t>Mato Seihei no Slave</t>
  </si>
  <si>
    <r>
      <rPr>
        <sz val="13"/>
        <color theme="1"/>
        <rFont val="Calibri"/>
        <family val="2"/>
      </rPr>
      <t xml:space="preserve">Much like the commander of the Anti-Demon Corps and chief of the tenth unit, the legendary Ren Yamashiro, you’re an unique existence that stands as the very best humankind can offer, possessing capabilities, attributes and aspects at the peak of the human species, both physical and mental. Even as a mundane human, you would be able to learn skills and subjects at a frightening speed and even defeat a basic Shuuki in melee combat, but these feats are further enhanced if you manage to get the blessings of a Peach. While this doesn’t directly enhance the power of any ability you might have, it enhances your potential and allows you to train even the weaker abilities to get at least as strong as blessings like Golden Hour and Ame-No-Mitori. You also get a discount in a single Peach Blessing of your choice.
As a last benefit, this perk also works as a </t>
    </r>
    <r>
      <rPr>
        <b/>
        <sz val="13"/>
        <color theme="1"/>
        <rFont val="Calibri"/>
        <family val="2"/>
      </rPr>
      <t>Capstone Booster</t>
    </r>
    <r>
      <rPr>
        <sz val="13"/>
        <color theme="1"/>
        <rFont val="Calibri"/>
        <family val="2"/>
      </rPr>
      <t>, enhancing the power of every 600 CP perk (</t>
    </r>
    <r>
      <rPr>
        <i/>
        <u/>
        <sz val="13"/>
        <color theme="1"/>
        <rFont val="Calibri"/>
        <family val="2"/>
      </rPr>
      <t>For Mato Seihei no Slave</t>
    </r>
    <r>
      <rPr>
        <sz val="13"/>
        <color theme="1"/>
        <rFont val="Calibri"/>
        <family val="2"/>
      </rPr>
      <t>).</t>
    </r>
  </si>
  <si>
    <t>Former Human (Female Only)</t>
  </si>
  <si>
    <t>You were just living your normal routine, until a portal appeared on your way and absorbed you. While some gates to Mato are static, permanently staying at the same place, others tend to disappear and reappear in random places over Japan. When this happens, citizens may accidentally enter in that demonic dimension and be attacked by the monsters living there. This kind of event is called Mato Disasters. You’re a victim of one of these disasters and, in a desperate attempt to fight the Shuuki, you decide to eat a Peach you found. This hasn't been a good idea, as this combined with the miasma existing there resulted in the ability within you went rampage, becoming unstable and starting to cause physical mutations in your body. You fought for months to maintain your human mind, but you have already lost your humanity, being turned into a humanoid Shuuki, being more akin to a half-monster and half-human. You retain your human-like body, but also gain some monstrous features, like golden eyes, horns, claws and white hair. Many other former humans have been captured by the Onmyou Agency, but this fortunately isn’t your case. Your inhuman physiology grants you some benefits above normal humans, but they’ll be mentioned later.</t>
  </si>
  <si>
    <t>100/0</t>
  </si>
  <si>
    <t>Our Souls Are Still Human</t>
  </si>
  <si>
    <t>Due to consuming a Peach while in Mato, you’ve become a humanoid Shuuki, essentially losing your humanity in the process.
It’s undeniable you’re no more a human being, but this is just true to the physical aspect, as your human side still remains alive within your mind and soul. No matter which species you’re currently neither the powers you acquire in your journeys, you’ll never lose your humanity in your way, as long as you don’t want to lose it. Even if you’ve become an eldritch entity whose intellect is beyond mortal comprehension, you’ll still remain human in your heart and won’t lose your touch with humankind.</t>
  </si>
  <si>
    <t>600/300</t>
  </si>
  <si>
    <t xml:space="preserve">Inhuman Power </t>
  </si>
  <si>
    <r>
      <rPr>
        <sz val="13"/>
        <color theme="1"/>
        <rFont val="Calibri"/>
        <family val="2"/>
      </rPr>
      <t xml:space="preserve">The humans are limited to acquiring only a single blessing by consuming the Peaches, but, as beings that lost and surpassed their own humanity, one of the former humans’ most notable traits is their capacity of holding multiple blessings at once, but this capacity is especially powerful in you.
You’re able to acquire multiple powers that originally would be limited to just one (or another limited number) under normal conditions, allowing you to be able to gain more blessings by devouring more Peaches. Some examples of usages of this perk in other settings are consuming multiple Devil Fruits, gaining multiple Stands or having a chimera kagune composed of three or four kagune types. You won’t have any side effects from having multiple of said abilities, to the point you could even have a virtually unlimited number of quirks without suffering any consequence for example.
</t>
    </r>
    <r>
      <rPr>
        <b/>
        <sz val="13"/>
        <color theme="1"/>
        <rFont val="Calibri"/>
        <family val="2"/>
      </rPr>
      <t>Power Forge (Capstone Boost)</t>
    </r>
    <r>
      <rPr>
        <sz val="13"/>
        <color theme="1"/>
        <rFont val="Calibri"/>
        <family val="2"/>
      </rPr>
      <t>: Merely holding multiple blessings? No, you didn’t stop in only having multiple of these limited powers, but they actually evolved within you. You gain the ability to merge any abilities you have into a single, new ability, which combines the traits of both its progenitors powers, regardless if the abilities have compatible natures or not. You can combine fire manipulation with metal generation to create molten metal manipulation or combine the Slave and the White Mausoleum blessings to gain the ability to temporarily revive and enhance the dead as your slaves. You don’t lose access to the original abilities used in the fusion, so you’ll still be able to manipulate fire and generate metal even if you used them to create the molten metal manipulation ability.</t>
    </r>
  </si>
  <si>
    <t>Demon Physiology (Free and Exclusive to Shuuki and Thunder God)</t>
  </si>
  <si>
    <t>The Yomi Shuuki, most times called only as Shuuki, are grotesque demon-like monsters that are the dominant beings living in Mato. The average Shuuki usually stands taller than an average adult male with numerous shapes and builds, with most of them having an almost dark skin tone and texture that resembles raw muscles while their misshapen faces are pure white in color and resemble a grotesque mask. They, and by extension you, possess physical abilities far beyond that of an average human, being basically impervious to damage caused by conventional weaponry. It’s unknown the effects of the Peaches over them, but probably consuming just strengthens the Shuuki.
Alternatively, if you’re a Thunder God instead of a mere Shuuki, you’ll be considerably stronger, being already powerful enough to fight Kyouka even as a newborn, as well as having way more freedom in customizing your appearance.
Usually, the male members of the group are still monstrous beings with the female members being more human-like, but nothing prevents a goddess from being monster-like or a god from being human-like.</t>
  </si>
  <si>
    <t>Shuuki</t>
  </si>
  <si>
    <t>Many decades ago, many gates opened, with each one leading to another dimension. Some members of your species decided to invade and attack that dimension but few of them returned until the day the dominant beings of that place started to build their bases here. In truth, you aren’t a human but instead one of the ferocious creatures known as Shuuki.
Unlike most Shuuki, you have maintained your intelligence and won’t be driven by your instincts alone. Your physiology is very different from humans, but this will be better explained later.</t>
  </si>
  <si>
    <t>Thunder God</t>
  </si>
  <si>
    <t>You’re no mere Shuuki anymore, but instead one of the so-called Thunder Gods. The Eight Thunder Gods are a group of eight powerful and intelligent Shuuki who referred to themselves as "gods", whose main goal is to drive humankind into ruin. As a Thunder God, the ninth of them, you’ll be actually a newborn at the start of your jump, but a newborn already powerful enough to fight toe-to-toe with a unit chief like Kyouka with a good chance of victory. Like the mundane Shuuki, your physiology is very different from humans, but this will be better explained later.</t>
  </si>
  <si>
    <t>0/400</t>
  </si>
  <si>
    <t>Queen/King of Mato</t>
  </si>
  <si>
    <r>
      <rPr>
        <sz val="13"/>
        <color theme="1"/>
        <rFont val="Calibri"/>
        <family val="2"/>
      </rPr>
      <t xml:space="preserve">(Free for </t>
    </r>
    <r>
      <rPr>
        <b/>
        <sz val="13"/>
        <color theme="1"/>
        <rFont val="Calibri"/>
        <family val="2"/>
      </rPr>
      <t>Thunder God</t>
    </r>
    <r>
      <rPr>
        <sz val="13"/>
        <color theme="1"/>
        <rFont val="Calibri"/>
        <family val="2"/>
      </rPr>
      <t>, 400 CP For Everyone Else)
You’re a divine being among the Shuuki and, as one of the greatest authorities in Mato, this grants you a special ability for you. You have the ability to command and control other Shuuki, making them loyal to you and overwriting any non-supernatural or even weaker supernatural form of control that is affecting them, with mundane taming being useless compared to your control but you still won’t be able to free a Shuuki from the chains of the Slave blessing. This power only works with the irrational Shuuki, with humanoid Shuuki and your fellow Thunder Gods being immune to your authority.</t>
    </r>
  </si>
  <si>
    <t>Intrinsic Divine Traits</t>
  </si>
  <si>
    <t>Unlike some may think, the intrinsic abilities used by the Thunder Gods aren’t blessings but innate traits instead. As a consequence, it’s very hard to restrict, suppress, nullify, steal, absorb, cancel and/or directly affect your abilities in any negative way without your permission, to the point that the only beings capable of doing it are the ones whose power massively dwarfs yours.
If you’re actually a Thunder God instead of a mere human/former human/Shuuki, not even Ren Yamashiro would be able to nullify your abilities using her Peach Blessing.</t>
  </si>
  <si>
    <t>Maker of Wonders and Horrors</t>
  </si>
  <si>
    <t>It’s only natural to a god to be able to shape life to their heart’s content and you’re no exception to this. You gain the power of biomancy over the Shuuki and similar beings, allowing you to shape and customize their forms to your heart’s content. Some of the feats possible include changing their appearances, modifying their physiology to add new limbs, grafting other body parts into them, causing hypertrophy to enhance their strength, merging multiple Shuuki into a more stable, customized fusion, among many others. You’re also able to give a portion of power to them, which, when used in a human or another similar being, can end up mutating them and turning them into humanoid Shuuki or similar hybrid. This perk also increases your general affinity with biomancy with other sources.
If you have some other ability of biomancy, you’ll be able to use its abilities in other beings other than only Shuuki</t>
  </si>
  <si>
    <t>Worthy of a God</t>
  </si>
  <si>
    <r>
      <rPr>
        <sz val="13"/>
        <color theme="1"/>
        <rFont val="Calibri"/>
        <family val="2"/>
      </rPr>
      <t xml:space="preserve">I was wrong, because you’re no mere newborn, but you’re far older than this and already a Thunder God for some time. You’re now considerably stronger than before, being powerful enough to be a match even to a powerful Unit Chief like Tenka thus putting you on the same level of other powerful gods like Shikoku and Jouryuu. You have also “collected” a few blessings before the start of the jump or maybe were already born with them instead, granting you access to the Blessings section and an extra 200 CP to spend there. The blessings you purchase in this section were assimilated within you and will count as intrinsic traits to your being, much like how described in the above perk.
</t>
    </r>
    <r>
      <rPr>
        <b/>
        <sz val="13"/>
        <color theme="1"/>
        <rFont val="Calibri"/>
        <family val="2"/>
      </rPr>
      <t>Head of Pantheon (Capstone Boost)</t>
    </r>
    <r>
      <rPr>
        <sz val="13"/>
        <color theme="1"/>
        <rFont val="Calibri"/>
        <family val="2"/>
      </rPr>
      <t>: You’re way stronger than I previously predicted. You’re powerful enough to be a match to the leader of the Thunder Gods, Taikyoku, who is said to be so strong to the point that no human, including Ren herself, is powerful enough to defeat her. The full extent of your current power as one of the two most powerful gods is unknown for now, but, regardless of this, you still receive an extra 300 CP to spend only in the Blessings section.</t>
    </r>
  </si>
  <si>
    <t>Many Become One</t>
  </si>
  <si>
    <t>Every Shuuki, including you, has the ability to fuse with other Shuuki creating giant amalgam monsters. Even without taking this perk you’ll have this ability, but, with this, your fusion ability will be upgraded to another level. Firstly, as a rational being, you’re able to control the fusion easily without needing to fight for control with your fellow monsters. Second, you’ll also gain the ability to alter the resulting appearance of the fusion, like allowing you to stay in more or less the same size instead of becoming the mandatory giant monster. Last and not least, post-jump, you’ll become able to fuse with any other being of the same species as you, exactly like you could fuse with other Shuuki as a Shuuki yourself.</t>
  </si>
  <si>
    <t>Named Shuuki</t>
  </si>
  <si>
    <r>
      <rPr>
        <sz val="13"/>
        <color theme="1"/>
        <rFont val="Calibri"/>
        <family val="2"/>
      </rPr>
      <t xml:space="preserve">Even among the hordes of Shuuki, there a few strong ones that causes tragedies and gain a certain infamy with the Anti-Demon Corps to the point of gaining a nickname to refer them, like how the Shuuki responsible for attacking Kyouka’s hometown became known as the One-Horned. You’re now one of these special named Shuuki, being strong as the average member of the corps and being capable of customizing your appearance as long as it’s still looking monstrous.
But this isn’t the main benefit of this. The main benefit of this is that you gained the ability to grow stronger by consuming sources of power, like other beings like Shuuki and even Peaches, as well as also being able to evolve and transform into new forms once you reach a certain power level, in a manner similar to monster evolutions from many rpg-like fantasy settings. You don’t get any special abilities by consuming them, only gaining the part of the raw power they contain.
</t>
    </r>
    <r>
      <rPr>
        <b/>
        <sz val="13"/>
        <color theme="1"/>
        <rFont val="Calibri"/>
        <family val="2"/>
      </rPr>
      <t>Candidate to Thunder God (Capstone Boost)</t>
    </r>
    <r>
      <rPr>
        <sz val="13"/>
        <color theme="1"/>
        <rFont val="Calibri"/>
        <family val="2"/>
      </rPr>
      <t>: While you aren’t actually a Thunder God, you’re a being born from an experiment done by them before Kuusetsu’s creation. As a result of your origin, your physiology was modified to have a special trait also shared by Kuusetsu, a large mouth that can open up from your body. By devouring living beings using this mouth, you’re able to absorb them into yourself, with whoever you absorb becoming akin to living batteries to fuel you as long as they’re inside you. As such, you inherit all of their traits and superhuman abilities, sometimes taking some aspects of their physical appearances. It takes some time before you fully assimilate someone, so there is a chance of them being able to resist you or even use their own abilities to harm in some way during this time. For each victim you absorb and assimilate, there will be some physical sign to show it, like how Kuusetsu gains a pair of dots below her eyes to each person she absorbs. It’s possible for someone to remove the living beings from your body, but this is a feat very hard to do, even more so if a long time has already passed since you assimilated them, but, in the event of someone actually managing to do it, you’ll lose the access to their abilities.</t>
    </r>
  </si>
  <si>
    <t>200/0</t>
  </si>
  <si>
    <t xml:space="preserve">Blessings From the Peaches </t>
  </si>
  <si>
    <r>
      <rPr>
        <sz val="13"/>
        <color theme="1"/>
        <rFont val="Calibri"/>
        <family val="2"/>
      </rPr>
      <t xml:space="preserve">(Free for </t>
    </r>
    <r>
      <rPr>
        <b/>
        <sz val="13"/>
        <color theme="1"/>
        <rFont val="Calibri"/>
        <family val="2"/>
      </rPr>
      <t>Former Human</t>
    </r>
    <r>
      <rPr>
        <sz val="13"/>
        <color theme="1"/>
        <rFont val="Calibri"/>
        <family val="2"/>
      </rPr>
      <t>)
When the first portals to Mato appeared, humankind managed to acquire a unique resource that existed only on this demonic dimension: the Peaches. The Peaches are fruits that grow on an unknown kind of tree capable of granting special abilities if eaten, but only women can receive blessings by eating them, which resulted in the former power differences between men and women crumbling as well as leading to the end of gender equality in human society.
Normally, if a woman wants to eat a Peach to get a special ability, she needs to send a request to the government and go through a strict inspection to then eat it under the supervision of professionals, but of course they’re different cases, like the victims of Mato Disasters eating a Peach on its native dimension, which results in them becoming humanoid Shuuki, or acquiring it by illicit means. Regardless of the exact reason, you have already eaten a Peach and acquired at least one special ability of your own, granting you access to the Blessings section. If you’re a man and have the Gender Equality perk, you’ll also receive a blessing normally, but you’ll be only case of a man affected by the Peaches in the entire world, so be cautious about who known about this if you don’t want to be captured and experimented by the Onmyou Agency or some government.</t>
    </r>
  </si>
  <si>
    <t>Trained In Housekeeping</t>
  </si>
  <si>
    <t>Men can’t get abilities. Due to this fact, Aoba trained her little brother to polish his housekeeping and hand skills, basically making him do the housework or he’d be punished. Maybe you also had an older sister like her taking care of you or it’s due to your own interest, but you excel at housework now, becoming a master of tasks like cleaning, cooking, sewing and many others, making you the perfect handyman. You also give excellent massages on par with the Great Azuma’s Massage, a technique born to heal the fatigue that builds up from having little time to rest.</t>
  </si>
  <si>
    <t>Daily Life of a Harem Protagonist</t>
  </si>
  <si>
    <t>Much like Yuuki, the protagonist himself, you seem to have a special kind of charm within you that makes you clearly more attractive and charismatic for people of your preferred gender(s), but not only this, but you also tend to attract and caught the attention (and possibly the interest or even affection) of powerful people to you, from members of the Anti-Demon Corps to mighty former humans to even one of the Thunder Gods if you’re lucky. This also affects those currently hostile to you, but obviously to a lesser degree. As a little gift, this perk also enhances your luck when it comes to certain “accidents”, like falling with your head on a girl’s breasts, accidentally entering the bathroom while someone is bathing or falling and getting saved by a handsome guy.</t>
  </si>
  <si>
    <t>Are You My Master?</t>
  </si>
  <si>
    <r>
      <rPr>
        <sz val="13"/>
        <color theme="1"/>
        <rFont val="Calibri"/>
        <family val="2"/>
      </rPr>
      <t xml:space="preserve">The chief of the Anti-Demon Corps 7th unit, Kyouka Uzen, received the blessing known as Chains of Eternity, “Slave” after eating a Peach, which allows her to draw out the strength from living beings that submit to her. This ability was considered worthless until a very special slave appeared, Yuuki.
Even if you aren’t him or haven’t submitted to Kyouka, you gained a similar but opposite ability than hers, the ability of the slave rather than the ability of the master.
In a manner similar to Yuuki, by submitting to someone, you’re able to take on a Slave Form, an empowered state that makes you appear more like a Shuuki and draws out your latent power, granting you incredible offense, defense, and speed to the point of exceeding a normal Shuuki, allowing you to kill dozens of them in one attack.
Normally your Slave Form will have an all around build with no special abilities, your form, your physical attributes and possible special abilities will vary according to who is currently your “master”, as someone with good defensive abilities making you assume a defense focused form and someone capable of remote visualization making you gain special sensing abilities, but, regardless of which form you have, you gain access to a special form of power within you that can be used to enhance your attacks and abilities in short bursts like the Branding used by Yuuki or even achieve special transformations.
Of course, your slave ability also has its own limitations. First, even if it's your ability, it’ll drain not only your own stamina and energy, but also the stamina of whoever is your current master. Second, while in your Slave Form, you’ll be compelled to follow all their orders and your strength will be limited if you aren’t fighting alongside them.
Third and last, much like Kyouka’s blessing, once your transformation is finished, the master will be forced to "reward" you in some way based on the task that you’ve done based on your inner desires, but you’ll also be able to cancel or even delay the reward due to you being the slave and owner of the ability.
</t>
    </r>
    <r>
      <rPr>
        <b/>
        <sz val="13"/>
        <color theme="1"/>
        <rFont val="Calibri"/>
        <family val="2"/>
      </rPr>
      <t>Heart of a Slave (Capstone Boost)</t>
    </r>
    <r>
      <rPr>
        <sz val="13"/>
        <color theme="1"/>
        <rFont val="Calibri"/>
        <family val="2"/>
      </rPr>
      <t>: You weren’t forced by someone or something to submit, but willingly accepted the mantle of a slave to defend other people. Almost as if it responded to your heart of a slave, your ability evolved and some of its limitations are now lifted. First of all, you’re now able to assume your basic Slave Form, the one with all around build and without special abilities, without the need of submitting to a master, in exchange of consuming more stamina than before. You can even assume a partial Slave Form by morphing specific body parts instead. Additionally, as the chains of slavery that once bound you become chains of fellowship, you won’t be forced to obey the orders of your masters, but still slightly compelled to follow them, being more like a relationship of equal battle partners instead of the former slave-master relationship.</t>
    </r>
  </si>
  <si>
    <t>“The Strongest Human”</t>
  </si>
  <si>
    <r>
      <rPr>
        <sz val="13"/>
        <color theme="1"/>
        <rFont val="Calibri"/>
        <family val="2"/>
      </rPr>
      <t xml:space="preserve">A certain group of mercenaries hired by some unknown country is planning to attack the Anti-Demon Corps during the gathering of the chiefs using a modified horde of Shuuki and the so-called “strongest human”, a man that was remodeled and turned into a mad berserker through abilities and drugs. Considering his condition, he isn't actually the prime subject to this process.
Regardless, you now have the potential to become the actual strongest human, at least, the strongest without access to Peach Blessings. Your body is immune to the negative effects of any substance (chemical, biological, mechanical, magical, esoteric, whatever its nature is) that is injected on you, receiving only the beneficial effects from them and, at worst, not being affected at all if they would only cause harm to you. Youcan also select specific potential negative effects to happen if they would also bring some benefit together, like consuming a vial of demon blood that will grant you the classic demon weaknesses but also its strengths for example.
Lastly, this quirk in your physiology grants you immunity against any toxin and poison as well as protecting you from developing addiction to any drug you consume.
</t>
    </r>
    <r>
      <rPr>
        <b/>
        <sz val="13"/>
        <color theme="1"/>
        <rFont val="Calibri"/>
        <family val="2"/>
      </rPr>
      <t>Evolving Model (Capstone Boost)</t>
    </r>
    <r>
      <rPr>
        <sz val="13"/>
        <color theme="1"/>
        <rFont val="Calibri"/>
        <family val="2"/>
      </rPr>
      <t>: All of these serums, enhancement drugs and even boosts granted by abilities usually share a common disadvantage: their effects are all temporary. But, as the perfect subject to become the super soldier and the strongest human (without counting blessings) these greedy countries want to create, this isn’t a problem for you, as your body slowly assimilates any temporary buff that is applied to you until the point of you gaining their benefits permanently without the need of using some external source to refuel them. For example, drink a magical potion that enhances your skin’s durability for a few minutes? Over the course of a few months drinking it every week, its effects start to last longer until becoming permanent in the last week.</t>
    </r>
  </si>
  <si>
    <t>Divine Vessel</t>
  </si>
  <si>
    <r>
      <rPr>
        <sz val="13"/>
        <color theme="1"/>
        <rFont val="Calibri"/>
        <family val="2"/>
      </rPr>
      <t xml:space="preserve">Before the Eight Thunder Gods completed their group, one of their attempts of hatching a new goddess (or god if you prefer) ended up failing, however, a deity isn’t an existence that can be easily erased. Before this goddess’ death, she managed to make you drink the “droplets of god” from her, thus making you a vessel to her spirit. Currently, her soul is now residing inside your “spiritual space”, a kind of pocket dimension located inside your own soul. The goddess will be able to see, interact and communicate with you while you’re sleeping or meditating, as well as even having the ability to shape your spiritual space according to her wishes, but she’s unable to interfere with them in the real world or affect you in any way and can’t return to life without outside interference. In addition to being very friendly to you, even if you aren’t an ally of the Thunder Gods, there is also a few other benefits of having a such beautiful goddess dwelling within your heart, as she can heal you from negative physical and spiritual conditions within her power level and you might have learn how to channel and use a portion of her power.
</t>
    </r>
    <r>
      <rPr>
        <b/>
        <sz val="13"/>
        <color theme="1"/>
        <rFont val="Calibri"/>
        <family val="2"/>
      </rPr>
      <t>Warden of Souls (Capstone Boost)</t>
    </r>
    <r>
      <rPr>
        <sz val="13"/>
        <color theme="1"/>
        <rFont val="Calibri"/>
        <family val="2"/>
      </rPr>
      <t>: You received the blessing of becoming the vessel to the spirit of a goddess, with your spiritual space initially being a limited plane where only she resided, but, as time passed, this space and your power grew and resulted in the awakening of a new ability. You’re now able to capture the souls of anyone that you kill or that at least die near you, allowing you to seal them in a prison located on a separate portion of your spiritual space. You’ll be able to communicate with them while within this prison and even learn how to channel their power and energy to your own advantage. You don’t need to worry about being negatively affected by any soul inside you, like if they attempt to control you from within or your soul being corrupted due to hosting several evil souls for example.
Theoretically, it’s also possible to absorb the souls of allies instead of enemies, so, in this case, you can also release them from the prison, allowing them to stay in the same plane where the goddess is or even freeing them from your body.</t>
    </r>
  </si>
  <si>
    <t>Demon Tree</t>
  </si>
  <si>
    <t>Another tree that grows fruits capable of conceding superhuman abilities for those that eat them? Yes, another tree. You receive one of the native alien-like trees from Mato, capable of growing around three or four Peaches each month. The Peaches will work exactly like the ones you can find in-jump, granting blessings to women that eat them based on both their nature and knowledge. Unlike the canon trees, this one doesn’t need any kind of special sustenance, beyond the common nutrients that any mundane tree needs, to bear fruits and survive, like the demonic miasma present in Mato, and won’t grow bigger than a mundane house. You can theoretically plant more trees from its saplings, but these new trees won’t be fiat-backed like the original and will need the Mato’s miasma to sustain themselves.</t>
  </si>
  <si>
    <t>Enhancement Drugs</t>
  </si>
  <si>
    <t>You gain a featureless bottle containing around thirty pills that was the gift of some of your previous contractors. These pills are actually a kind of enhancement drug, capable of strengthening the body and any superhuman ability of whoever consumes them. If someone could lift a few hundred kilograms using telekinesis, they would become powerful enough to lift more than a ton with their mind. Unfortunately, the pills also have a few mild side effects, like temporarily weakening them or causing symptoms like nausea and exhaustion once the effect wears off or even worse if someone consumes them for a long time, but they won’t cause something as extreme as addiction or other permanent detrimental effects. While the drug can be reverse-engineered, the pills in the bottle will be replenished yearly if consumed.</t>
  </si>
  <si>
    <t>Cursed Peaches</t>
  </si>
  <si>
    <t>You receive a box containing four special Peaches that were warped by large concentrations of the miasma present in Mato. When consumed by a woman, the Peach will still grant them a blessing but in a distorted way, making the ability within them to go rampage, becoming unstable and starting to cause physical mutations in their body, essentially causing them to transform into a humanoid Shuuki. Normally, this transformation would only happen in the case of someone were to eat a Peach while in Mato, but these warped Peaches will cause it regardless of the presence of miasma. In addition to this, the transformation will be far more stable than they naturally would be, so it’ll take just a few hours to be completed and they won’t need to resist the transformation to retain their human minds. The box will restock itself bimonthly to replace any eaten or lost Peach.</t>
  </si>
  <si>
    <t>Mato Mushroom</t>
  </si>
  <si>
    <t>It’s not only power granting fruits and demonic monsters that exist in this alternate dimension, but also other fauna and flora exclusive to this ecosystem. An example of this is the Mato Mushroom, a species of mushroom that gives energy even when eaten raw. But there is a problem, as it has a certain side effect on beings that aren’t native from Mato. Just merely smelling the mushroom is capable of causing hallucinations for a few instants and possibly making someone lose control and “attack” people around them, much like how Yuuki has been affected by it and ended up literally seeing Yuno’s breasts as meat buns (I’m not joking). This effect is even more potent and long lasting when they’re actually eaten.
You receive a small garden with some of these mushrooms, as well as a guide of how to cultivate them and even how to make soups with them. They actually smell and taste great when they aren’t causing serious hallucinations.</t>
  </si>
  <si>
    <t>Miasma Flasks</t>
  </si>
  <si>
    <t>There is a strange liquid substance inside the ten flasks in front of you. Upon further observation, you discovered what this substance is. It’s a very concentrated form of the demonic miasma present in Mato, which, when released in the air, returns to its gaseous state and starts spreading to a large area, capable of affecting an entire city block after a few minutes. When in contact with the miasma, unprotected living beings will be mutated into monstrous Shuuki-like creatures that will attack anyone that hasn't been turned by it. Actual Shuuki, including former humans, will be spared from this effect and won’t even be targeted by the mutants. Fortunately, the effects caused by the miasma wears off after a few hours, causing the mutants to harmlessly return to their normal forms. The content of the flasks is replenished over time, requiring around an entire year to fully recover.</t>
  </si>
  <si>
    <t>Dimensional Jewel</t>
  </si>
  <si>
    <t>You receive a strange gem-like object that contains an absurd amount of dimensional energy, powerful enough to, if broken, open a giant, fixed gate, which will basically be a giant dimensional breach, with the size of a small city that leads to Mato. Such a function will definitely be of great help in the invasion of your fellow gods, but it’ll have a new function in future worlds. In future jumps, you can also use the gem to trigger the appearances of gates around the world, essentially opening the way to a new dimension similar to this universe’s Mato, but being completely another different plane. The gates in future worlds will work exactly like how they work here. If broken, you’ll receive a new gem at the start of each jump.</t>
  </si>
  <si>
    <t>Shuuki Cards</t>
  </si>
  <si>
    <t>As a gift of your fellow gods, you received a set of fifty Shuuki Cards, which are literally Shuuki stored in special cards to be later summoned, but this isn’t the best part. The best part is that each one of these fifty Shuuki was customized by another Thunder God, making each one of them unique in form and extremely strong, at least on par with a Named Shuuki, as well as having around five special Giant Shuuki whose strength is comparable to some of the weaker Unit Chiefs. Once summoned, the card will be consumed and you’ll be able to store them back, but you’ll receive new ones with new Shuuki to replace them at the start of each jump (or after a decade, whichever comes sooner). Lastly, as an added bonus, you also gain a set of another fifty blank cards, which can be used to store anything no bigger than a Giant Shuuki, from objects to defenseless beings, and they’re also replenished at the start of each jump.</t>
  </si>
  <si>
    <t>Blessed/Cursed Physique</t>
  </si>
  <si>
    <t>Regardless of which blessings you might have, just by being blessed with a superhuman ability from a Peach, and maybe even cursed into becoming a humanoid Shuuki, your physique was enhanced to beyond the normal to a mundane human. How enhanced it was varies according to the strength of the blessings you purchase in this section. Taking just a 100 CP blessing will make you fit as an athlete while taking Vairocana is enough to make you strong enough to be on par with Captain America without even needing to use your powers.</t>
  </si>
  <si>
    <t>Varies</t>
  </si>
  <si>
    <t>Custom Blessing</t>
  </si>
  <si>
    <t>There are many different canon blessings you can acquire in this section, but, if you want some more freedom to express your individuality when it comes to this power system, this is the option for you. By taking this option, you’ll be able to create your own unique blessing with the abilities and effects you choose. However, this blessing’s price varies according to its power level, being around the various tiers the other blessings are listed on, so you’ll need to fanwank responsibly to decide which tier your custom ability fits in. For example, basic abilities like a mere enhancement or extra appendages would cost 100 CP, more esoteric supernatural abilities would cost 200 CP, supernatural abilities with greater combat potential would cost 300 CP and abilities that have some broken aspect would cost 400 CP. Meanwhile, the higher tiers are the ones of the godlike blessings, like 700 CP tier being for “divine” abilities that allows someone to face a Thunder God on a one to one battle and the 1000 CP tier being reserved only to the greatest and most broken blessings, being on par with the legendary Vairocana.</t>
  </si>
  <si>
    <t>300/500</t>
  </si>
  <si>
    <t xml:space="preserve">Chains of Eternity, “Slave” </t>
  </si>
  <si>
    <t>You gained the power of a Master.
Your Peach Blessing lets you draw out the inner strength and potential of living beings you have enslaved, by making them willingly submit to you or by force, turning them into your Slave. This grants them enhanced physical prowess at a basic level, but, if the Slave has enough inner strength, they’ll be enhanced even further, allowing them to transform into a Slave Form whenever used. Additionally, if you, the Master, is more compatible with whoever became the Slave, then the enslaved person can also use greater power. Whenever using their powers or riding onto them, a metal collar and chain manifests around the Slave’s neck, which you can grab onto to better control them and they’ll be able to even use more energy. After successfully making someone your Slave, whoever is slaved will be compelled to obey your orders while transformed and this effect will linger even after undoing the transformation, so even slaved Shuuki will continue to be docile to you after it.
Of course, your master ability also has its own limitations. First, even if it's your ability, it’ll drain not only your own stamina and energy, but also the stamina of whoever is your current slave. Second and last, once the Slave’s transformation is finished, you will be forced to "reward" them in some way based on the task that you’ve done based on their inner desires, with mindless Shuuki preferring only receive meat as reward while a horny teenager like Yuuki tends to receive sexual rewards. Third, actually finding someone that has enough inner strength and enough compatibility with you to use the full power of this blessing may be tricky and arguably pretty difficult as even Kyouka took a long time without a proper slave before finding Yuuki, so, unless you’re lucky, you’ll be left with a weakened version of Kyouka’s blessing. However, for 500 CP instead of 300 CP, your Peach Blessing will be enhanced to allow you to have a high compatibility with anyone you find, on par with the compatibility between Kyouka and Yuuki.
Lastly, there is also another aspect of your ability: Lending. You’re capable of lending your Slaves to other people that also have Peach Blessings (or another equivalent superhuman ability in future jumps) after they grab onto the chain around their neck.
In the case of someone that has access to the Slave Form, lending will cause them to take on different forms and gain different attributes based around the particular abilities that the new “master” has such as gaining heightened senses because of Nei's Promise for example. However, Lending your powers to others causes a serious drain in your stamina and energy more than if you were using this yourself.
Those who you lend your powers to are also forced into giving the Enslaved rewards. It’s also possible for two people to simultaneously control your Slaves, granting them a new form that is a fusion of the two separate transformations, but, while this will greatly enhance their power, the energy consumption is even greater than before.
By lending a Slave too many times, their base Slave Form will start growing stronger and gaining some of the traits of their other alternative forms.</t>
  </si>
  <si>
    <t xml:space="preserve"> 100/50/200</t>
  </si>
  <si>
    <t>Mamono</t>
  </si>
  <si>
    <t>Monster Girl Encyclopedia</t>
  </si>
  <si>
    <r>
      <rPr>
        <sz val="13"/>
        <color theme="1"/>
        <rFont val="Calibri"/>
        <family val="2"/>
      </rPr>
      <t xml:space="preserve">You are already corrupted by mamono energy, by birth or circumstance. You may freely choose your gender. 
Females are one of the very sexy, eternally youthful monster girls of this universe: choose one of the many varieties of Mamono to become. Males are incubi – former humans who have ascended via infusion with demon energy. Roll a 1d100+5 to determine your starting age.
Also, there are admittedly some “monster” races like Angels, Dwarves, Elves, Fairies and Valkyries that were not normally monsters (though that’s not the case anymore). If you select one of those races, you can choose whether you just become a standard mamono version of that species or become the “dark” version of that species like a Dark Angel or Dark Valkyrie.
</t>
    </r>
    <r>
      <rPr>
        <u/>
        <sz val="13"/>
        <color theme="1"/>
        <rFont val="Calibri"/>
        <family val="2"/>
      </rPr>
      <t>Please note</t>
    </r>
    <r>
      <rPr>
        <sz val="13"/>
        <color theme="1"/>
        <rFont val="Calibri"/>
        <family val="2"/>
      </rPr>
      <t xml:space="preserve"> that if you have chosen a mamono species that is essentially a “living item” (Cursed Sword, Living Armor, tsukumogami like a Karakasa-Obake, etc.), you may choose to merge your monster girl form with an appropriate item that you already own (or have purchased in this jump). For monster girls that typically exist by possessing a host (Cursed Sword, Living Armor, Parasite Slime, Kitsune-tsuki, etc.), you receive a basic, blank host (basically a projection of your will rather than a sapient being) that you can summon to possess at will, should you not find someone else to take as a host.
</t>
    </r>
    <r>
      <rPr>
        <u/>
        <sz val="13"/>
        <color theme="1"/>
        <rFont val="Calibri"/>
        <family val="2"/>
      </rPr>
      <t>Certain, especially powerful monster girls</t>
    </r>
    <r>
      <rPr>
        <sz val="13"/>
        <color theme="1"/>
        <rFont val="Calibri"/>
        <family val="2"/>
      </rPr>
      <t xml:space="preserve"> cost 200 CP to take as your race: Baphomet, Dragon, Dragon Zombie, Echidna, Lilim, Otohime, Pharaoh, Phoenix, Ryu, Wight.
</t>
    </r>
    <r>
      <rPr>
        <u/>
        <sz val="13"/>
        <color theme="1"/>
        <rFont val="Calibri"/>
        <family val="2"/>
      </rPr>
      <t>To halve the cost</t>
    </r>
    <r>
      <rPr>
        <sz val="13"/>
        <color theme="1"/>
        <rFont val="Calibri"/>
        <family val="2"/>
      </rPr>
      <t xml:space="preserve"> of the background to 50 CP (or back to 100 CP if you chose a 200 CP monster), the weaknesses and negative traits of the mamono species you chose will be intensified for you: for instance, if you were a “fire rat” Hinezumi, just a small bucket of water would severely weaken your flames and strength for an extended duration; as a timid Cockatrice, you would have an exceptionally fearful personality, such that a sudden noise is enough to make you panic and run for your life; as a Dullahan, your head will fall off at the slightest breeze; your Dragon self will be excessively possessive and prideful beyond control; etc. Even if you’re a powerful Lilim, you’ll have to deal with the irresistible compulsion to corrupt and transform anyone you meet; no matter what species you choose, expect some sort of troublesome flaw or quirk. Companions can have the same apply to them to lower the price.
</t>
    </r>
    <r>
      <rPr>
        <u/>
        <sz val="13"/>
        <color theme="1"/>
        <rFont val="Calibri"/>
        <family val="2"/>
      </rPr>
      <t>As an alternate option</t>
    </r>
    <r>
      <rPr>
        <sz val="13"/>
        <color theme="1"/>
        <rFont val="Calibri"/>
        <family val="2"/>
      </rPr>
      <t xml:space="preserve"> to halve the cost to 50 CP, you can roll to see which species you are (see Monster Girl list for numbers). If you roll, you also don’t have to pay extra for powerful species. However, only one reroll is allowed. You could get the form of an especially powerful or popular monster girl like a Lilim or Dragon, or you could end up with an average/decent at best monster girl you’re “meh” towards – or get stuck in the body of a species you really loathe like a Matango or Devil Bug. Companions can also randomize their selection to lower the price.
</t>
    </r>
    <r>
      <rPr>
        <u/>
        <sz val="13"/>
        <color theme="1"/>
        <rFont val="Calibri"/>
        <family val="2"/>
      </rPr>
      <t>If you take both the random roll and the negative quirks</t>
    </r>
    <r>
      <rPr>
        <sz val="13"/>
        <color theme="1"/>
        <rFont val="Calibri"/>
        <family val="2"/>
      </rPr>
      <t xml:space="preserve"> for your species, the cost is reduced to free. However, to get the Mamono background for free, you must lock yourself into taking both halving options BEFORE rolling for your species. You can't suddenly decide to take the quirk after rolling a monster you think isn't that bad, or back out of taking the negative traits after you roll a monster with horrible characteristics.</t>
    </r>
  </si>
  <si>
    <t>Romance of Fate</t>
  </si>
  <si>
    <t>Fate is an integral part of this setting, and especially likes fulfilling true love these days (monster girls only feel attracted to whoever they’re destined to be with). You are now integrated into the cycle of fate and love, so you can freely romance monster girls and use the in-setting magic. Basically, anyone you fall in love with or falls in love with you will turn out to be destined as your love, so don’t worry about whether or not fate is on your side (and she certainly is on your side, even if she sometimes surprises you).
Not even drastic obstacles like time travel or reincarnation will prevent your destined love from being fulfilled.
In exchange, any abilities you have that negate fate are neutralized, especially for things involving love.
If you take this freebie perk, you will have the fate-drawn effect active for the entire jump thanks to the way that the Demon Lord has tainted fate itself with love, but you’ll lose the perk after the jump. 
If you pay 100 CP for the perk, though, you can keep it after the jump and freely turn it on and off at will; when you have it on, it will ensure you'll have fateful encounters with lovers, that fate won't interfere with the potential for love, and that relationships that wouldn’t normally work out like monster x monster love can work out okay in the jump.
Please note that while the perk ensures that fate is on your side when it comes to romance, it doesn’t mean that fate is under your control, either. You have no control over how fate will influence the course of love through this perk, so don’t expect fate to do everything for you. Neglecting the opportunities for love given by the perk may result in the chances for love dwindling away due to your lack of effort. In addition, failing to take action with your love(s) may result in a romance where you’re not necessarily the one in charge; fate just cares about love happening, and it is perfectly fine creating situations where your lover(s) take the dominant/master role. 
Essentially: this is NOT a seduction/charm skill, but rather being favored by the greater power of fate – a power that follows its own whims, not your command, in guiding you towards love.</t>
  </si>
  <si>
    <t xml:space="preserve">Perfectly Normal </t>
  </si>
  <si>
    <t>You give off this guise of being just an average person with nothing to hide.
People in groups you are a part of, or societies you are mingling with, won’t pay close attention to behavior from you that deviates from what they’d normally expect of you given the social and cultural norms, unless you take overt and blatant actions against the group or society. This perk also makes it easier for you to conceal physical features that would single you out as abnormal for the kind of person you are trying to appear as. The perk can potentially enhance and be enhanced by other perks; for instance, if taken with Land of Grace and Honor, people won’t find anything at all odd with you just entering their home out of the blue and acting like you’ve always been there, and won’t question it even after you have left.</t>
  </si>
  <si>
    <t>100/300</t>
  </si>
  <si>
    <t xml:space="preserve">A Real Beauty </t>
  </si>
  <si>
    <t>In this setting, with the rise of the new Demon Lord and the Mamono, physical beauty is more important than ever before. To fit in with this higher expectation for aesthetic beauty, you have great “assets.” Whether it’s the face of an adorable angel, large tracts of land (on the chest) that rival even Holstaurs’, a rather shapely posterior, or even a large “cannon” in your pants if you’re male, no one can deny that your beauty is exceptional. In addition, your beauty seems to maintain itself without any help; your skin stays smooth, your hair stays silky, scars either disappear or become aesthetically pleasing, and grime, sweat,
and dirt vanishes from your body without a trace.
As a bonus, your beauty seems to never get in the way of practicability: long hair never seems to get caught in anything; volleyball-sized breasts and other abnormally large body parts seem to easily contort into armors and stay out of the way in combat or day-to-day activities; and your biology is enhanced so that these changes can be easily carried, with your muscles strengthening to handle the extra weight without any pain or soreness.
If you pay 300 CP instead of 100 CP, you can also bestow the 100 CP level effect of the perk to those around you with no side effects. However, it would take months of close contact with you to bestow the full effects of this perk. Even so, this time period could likely be shortened if you were to “exchange spirit/demon energy” with an individual. The aesthetic beauty of the perk can be toggled on and off as you desire.</t>
  </si>
  <si>
    <t>Parasite’s Compromise</t>
  </si>
  <si>
    <t>It’s so cruel to hate a parasite – it just wants to live like any other living thing. It’s just that its survival instincts tend to create conflict with its host. However, you know how to make the experience mutually beneficial. If you are infected with a parasite, you can merge with the parasite and take control of it, thus preventing it from harming you; in fact, the parasite, having merged with you, will now often be beneficial for your body, covering defenses that your body alone could not handle. You will essentially be sharing the same mind and memory (with you in charge), and since the host (you) is now bonded with the parasite, there will be no further conflict over living space or control.
On the flipside, if you are in the form of a parasite and have infected a living host, by gaining consent from the host or by overpowering the host’s will, you can merge with the host, you becoming the host and the host becoming the parasite. Either way, parasite or host, you remain the dominant one in the bond, though you can willingly give more control to your partner if you want (but you can always regain control). If you wish to break off the merge on either end of the spectrum, you can separate again, on condition that the parasite (even if it’s you) will be automatically ejected from the host’s body.
Please note that the perk applies not only to physical parasitism, but also spiritual forms of parasitism such as possession (which is also pretty common here with things like Cursed Swords and Ghosts).</t>
  </si>
  <si>
    <t>Pleasure Rune Basics</t>
  </si>
  <si>
    <t>You now have the knowledge and skill to brand Pleasure Runes (also called Pleasure Insignias) on yourself and others. This insignia, which mainly uses a heart shaped design, has the power to increase the pleasure induced in those engraved with it by leaps and bounds. The pleasure increase due to pleasure insignia will be proportional to the size of the area in which the insignia is engraved.
Pleasure insignias even affect organs which are normally incapable of sensing pleasure such as the eyes and ears. For example, if pleasure insignia are engraved below the eyes, just having one's lover in one's field of vision will itself cause strong delight. And runes on the womb will melt the heart and mind with utter lust.
What's more, if pleasure runes are also engraved in other places, the pleasure induced by senses such as vision and hearing will cause all other insignia to activate as well, throbbing and seeking pleasure as if answering the call. Also, the more pleasure insignia are used – i.e., the more pleasure is induced in the place where the insignia is engraved – the more their power increases. Thoroughly used insignia will start filling with heat and throbbing in pursuit of pleasure even when not having sex, causing the body to constantly flush, which brings about randy feelings.
Several other runes are also included in this package. The Essence Siphoning Insignia turns whatever body part it’s engraved onto into an essence siphoning organ and enhances any preexisting essence siphoning power that was originally there, too. It will now be easier and more efficient to absorb mana at those points. Naturally, this in turn enhances mana replenishment. With this insignia, essence siphoning efficiency is absurdly fantastic, making it easy to regain magic after casting spells. The Insignia of Temptation turns the body parts containing the runes into “seduction points” that naturally draw viewers’ gaze and lust towards those areas. You also know how to embed all of these different insignias/runes into clothing while still retaining the full effects.
Beast Insignias are not included in this perk (see separate Beast Insignias perk).</t>
  </si>
  <si>
    <t>200-600</t>
  </si>
  <si>
    <t xml:space="preserve">Magic Prodigy </t>
  </si>
  <si>
    <t>You have a gift with magic that comes all too rarely to generations. You can easily learn different schools of magic that have been created, and you are able to find innovative ways to effectively use even spells that are normally marginalized as useless.
Furthermore, you are now able to learn (with enough practice) and use any of the magic spells existing in the MGE setting without needing spirit or demon energy for it to work.
In addition, for the 200 CP price, you start out with a specialization in one of the seven main schools of magic: archaeomancy (the orthodox magic system), hieromancy (holy/light/divine rituals traditionally used by clerics/heroes of the Chief God), necromancy (life/death magic), nymphomancy (succubus magic), pharmacomancy (healing), teletomancy (extra-big/strong spells), or theriomancy (“beast” physical enhancement). You’ll immediately know some of the key spells and have an easier time learning spells in that school; if you take the time, you have the potential to eventually master the full depth of your chosen art.
For each extra 100 CP you pay, you get access to another school of magic (300 CP for two schools, 400 CP for three schools, etc. Finally, for 600 CP total, you gain immediate access not only to all seven schools but to all forms of MGE magic in general, with the potential of developing more schools of magic in the MGE-style in the future. You’ll also have a knack for crafting magic items, as all the schools dabble in crafting to some degree. The 600 CP purchase also gives you some degree of skill in Elemental magic, though not nearly as much as you would have with Elemental Faith perks (that said, having this perk will strengthen those perks and vice versa).
In addition, regardless of which school(s) you choose, you’ll automatically learn one of the most widespread spells in the setting: anthropomorphosis, which lets the user physically transform their external form into that of a human at will; physical traits like tails and wings are fully morphed away, but special abilities remain active.</t>
  </si>
  <si>
    <t>Chimaeric Fusion</t>
  </si>
  <si>
    <t>With their new forms, beings such as Chimaeras that used to have multiple heads and bodies have fused together into single forms, with one face and one body yet the powers of the different parts combined. Similarly, you can combine different physical bodies you have into a form that combines different aesthetic qualities of each form and allows you to access all of the abilities normally restricted to the single forms. However, none of the fused powers from one of the forms will be quite as strong as they would be if you just used that single form.
For 500 CP, in addition to the benefits listed above, you have learned the ancient sorcery used to create Chimaera hybrids by fusing multiple beasts together and enchanting their heart(s) with darkness if they were not already demon beasts. Furthermore, you can use this magic to also fuse beasts to your body to gain their own special powers. However, since they are not a natural part of you, the beasts can resist the fusion, with the level of success depending on their willpower and intelligence; even after they fuse to you, their individual personalities will remain intact, and may lead to your mind shifting to their personas now and then. You can reverse the fusions at any point if you want to.</t>
  </si>
  <si>
    <t>Gremlin Glitches</t>
  </si>
  <si>
    <t>This is a magic/luck-based perk that, when you choose to have the power active, causes items in the vicinity to malfunction; it doesn’t matter whether the item/construct is mundane, technologically advanced, or magical. A device meant to ward off monsters will instead summon monsters, a golem/robot will stop listening to its orders and go out of control, a massage machine will start aggressively assaulting you, etc. You can also reverse the perk to prevent items around you from malfunctioning and make repairs to them, even tech normally hard to understand/use like that from ancient civilizations.</t>
  </si>
  <si>
    <t>Lilim’s Beauty</t>
  </si>
  <si>
    <t>Lililms are the embodiment of the Demon Lord’s might as the pinnacle of succubi seductiveness, and you take the word gorgeous to a new level, enough to make even other mamono envious. Even without using magical charms, or even speaking a word, your beauty is enough to charm almost any viewer. In essence, your beauty embodies the very concept of “first love”.
When people see you, they will have that unmistakable feel of love at first sight, and any kiss you give will have the same wonder of a first kiss. Anyone who just catches even a glimpse of your appearance, whether male, female, young, or old, will have that encounter seared positively into their memories. Someone you had sex with, for instance, can still freely have sex with other people, but they will always be reminded of you every time they make love to another. Go on a date, and it’ll be such a charming experience that they’ll relive those memories whenever they do those activities again, whether watching a movie or eating at a fancy restaurant.
Even someone fighting you will forever burn the grace of your movements and the strength of your sword-arm into their brain, such that they’ll subconsciously compare all future fights to the one they had against you.
People won’t be mind-controlled into worshiping you, but they can’t help but fondly remember your interactions with them as something positive, even if they hate you in every other way. And even if they only catch a glimpse of you, that memory will still surely haunt their thoughts and dreams. If the perk is active, before even using other charismatic powers, your appearance is often enough for people to walk right up and offer themselves to you.</t>
  </si>
  <si>
    <t>A Lilim’s Touch</t>
  </si>
  <si>
    <t xml:space="preserve">  Lilims are infamous for the transformations they “bless” humans with, but it’s not just their ability to transform people into any monster that makes them stand out. It’s also in how they make the transformations into an art, seemingly knowing the perfect mamono form for any human they find. With this perk, at the very minimum, you gain the basic Lilim power to polymorph people mamono; this perk is usable regardless of your own form. Not only that, but you can transform subjects into kinds of mamono not normally accessible to Lilims, such as angels, fairies, elementals, elves, and golems – while you can’t turn people into Lilims, you can turn them into any other kind of mamono, though the especially powerful variants like Baphomets and Echidnas require vast amounts of mana as well as compatibility in the target. But that’s just the tip of the iceberg.
Your abilities to transform people (both for this perk and any other perks or powers that morph others, whether from this jump or another) are sharply enhanced, becoming more effective, versatile, and flexible than they normally would be. For instance, the Ritual of the Snake God normally requires a lengthy process to turn people into Lamias and the like, but if you’ve also taken this perk, it’ll be a snap, possibly just by touching the target.
In addition, you know gain innate insights into the transformative potential of individual people. You’ll instinctively know which people have the best potential for transforming, and which ones will be receptive to being transformed. You’ll know what their ideal form(s) will be – which one will bring out their true power, which one will let them fulfill their innermost wishes, which one would make the most ironic/fun opposite of their current personality, etc.
While this perk allows your mamono transformations of others (and other powers for transforming others) to easily overcome curses, blessings, and other locks that would normally inhibit transformations, the mamono transformations that you cause through this perk require the consent of the target to work (please note that this requirement does not apply to other transformative perks/powers that are enhanced by this perk). That said, if you can “persuade” a person that they’d be much happier turned into a mamono, one way or another, the perk will count that as consent and take effect. Even them being subconsciously willing but denying it counts as consent for the perk.</t>
  </si>
  <si>
    <t>Corruption Resistance</t>
  </si>
  <si>
    <t>You have great endurance in resisting spiritually and mentally corruptive forces. Even if the corruption starts to take a hold, you will still find the strength to resist and potentially push it back out of your system. This also includes resisting subconscious urges forced into your mind. In addition, you can share your ability to resist with people around you.</t>
  </si>
  <si>
    <t>True Love</t>
  </si>
  <si>
    <t>For all this world is supposed to be about finding love, a lot of the relationships are too forced or sex-focused for genuine, mutual love to develop. Fortunately, you come from a world where much thought has been put into the whole process of love, and you can find a way to make things really work.
First things first, you know that love goes both ways. This means that on the one hand you know how to grow and change to make your love happy without giving up key parts of your character. On the flipside, you can convince your lovers that change is also necessary on their end of the table, so that neither side is forcing their ideal onto the other. With enough work, you can build enduring and sincere romantic relationships – even harems, though the perk is not exclusively limited to that type of relationship.
Plus, the perk helps you recognize the “compatibility” of potential lovers – a low compatibility doesn’t mean that the two of you aren’t meant to be, but it does warn that certain traits of you or the partner will lead to pain in the relationship if things are not improved. In addition, you are able to apply your relationship skills to helping other people around you establish equally happy and truly loving bonds.</t>
  </si>
  <si>
    <t>There’s More to Life than That</t>
  </si>
  <si>
    <t>Oftentimes, fetishes and their settings elevate certain activities to a point that they seem to become the sole meaning to life. You, on the other hand, know better than to put all your value on just one thing. You gain full immunity to all forms of addiction. No matter how unbelievably good something is, whether it is impossibly delicious food or beyond perfect sex, you won’t lose your sight of a balanced lifestyle, and won’t become addicted to that pleasure. In addition, you are able to purge yourself and others of addictions.</t>
  </si>
  <si>
    <t>ABCs of Survival</t>
  </si>
  <si>
    <t>If you want to last long in this world without getting overwhelmed, there are several special skills you’ll need, all generously provided for in this perk. The first, Suppress, allows even a normal human without any other powers to protect themselves from being overwhelmed by sex and sexual appeal, letting you even throw off the impossible allure of a Lilim. Just slowly inhale, then exhale, and your feelings will calm down a bit. Suppress also allows you to resist being overwhelmed by other potentially addicting things. However, this resistance is only temporary, so don’t rely on it too heavily.
Focus lets you temporarily slow your perception of time, such as during an act with a mamono. This lets you think more clearly and carefully plan your actions in those split seconds. When used correctly, this skill can enable you to outlast mamono rather than being dominated, or find a way to escape their clutches. However, turning Focus off after using it overloads your senses momentarily with incomprehensible pleasure, so don’t waste it foolishly.
Begging gives you access to a “Beg” option whenever you are having sexual activities with someone. By using Beg, the person you are having sex with will submit to whatever sexual/kink requests you make, even if you’re having sex with an extremely domineering monster girl. You could even make them stop teasing you and just strip and get on with the sex even when they’d just like to leave you hanging at first. Whatever special kink you request, the pleasure will be 10 times its normal level. Repeated requests to the same girl will make her more obsessed with you and make her more pleasing to your liking, but you will also become more vulnerable to that kink (and make your partner aware of that weakness), so be careful with this double-edged sword.</t>
  </si>
  <si>
    <t>Anti-Corruption</t>
  </si>
  <si>
    <t>A big issue in the MGE isn’t just the demon energy’s ability to infect almost anything, but that it is almost impossible to remove once it’s set in. That is, until you arrived. For starters, you can get people who have been corrupted by darkness, lust, and other ill things to “wake up” and recognize that this may not truly be what they want in life, making them desire to be free. Then, by concentrating and releasing a projection of the inner “aura” of your soul, you can slowly but surely peel away at the layers of physical, mental, and spiritual corruption infecting something, until they are completely freed from the corruption, even undoing transformations caused from the corruption.
The amount of energy, effort, and time you will need to dedicate to the cleansing process will depend on the level of corruption. Also, you can share the powers of the perk with other people around you so they can help in the purification efforts. Within this jump, the perk primarily applies to demon energy, but in other worlds you can apply the perk to purge other corruptive forces.</t>
  </si>
  <si>
    <t>Spirit Provider</t>
  </si>
  <si>
    <t>All living things in this world, except for monsters and
elementals, contain a special life force called spirit energy, or mana. Of course, seeing how most things are
being converted into monsters, humans are the main source of the energy these days. You are now able to store
and access spirit energy in your body in any form you take, even in worlds where spirit energy does not
normally exist. Your reserve replenishes itself naturally through rest and exercise, but you can also gain more
spirit energy by naturally absorbing and converting natural energy around you (plants, stones, etc.) or by
consuming food and converting the nutrients to energy; however, these latter methods may expose you to
invasive forces if the energy/food sources have been corrupted.
Spirit energy can be used as a source for magic – though the exact sort of magic used depends on how you
shape it. Plus, the perk increases your transfer rate (from you to other things) for not only spirit energy but any
other energies you have in your body. After the jump, assuming that you took this perk, you can continue to
produce and gather spirit energy in other settings , regardless of whether or not you’re in a form native to MGE.
Please note that while local humans can already produce spirit energy, taking this perk will significantly boost
your output in that regard, beyond what your spirit energy reserve would be normally. Mamono who feed off
spirit energy with this perk will become super-charged, instantly fulfilling what would normally require a
week’s worth of nonstop sex for their energy needs. Naturally, if you yourself are a mamono and draw upon the
spirit energy you create in this perk, you can get the boost yourself.</t>
  </si>
  <si>
    <t>One of the greatest dangers that humans born in this world must face is the likelihood that, one way or another, they will be transformed into a monster. Fortunately, you have a little extra protection. While the perk will not give you the power to resist transformations imposed on you, it does ensure that you will resist mental and spiritual changes that accompany the transformation. You will remain true to yourself and your ideals even when transformed, and those who transform you in the hopes of turning you against your friends will get a nasty surprise when you refuse – and likely attack them for payback instead.</t>
  </si>
  <si>
    <t>Of Humans and Monsters</t>
  </si>
  <si>
    <t>The destinies of humanity have always been intertwined with that of monsters in an eternal dance, since the very beginning of the world. Whether as antagonists or as partners, humans and monsters have always had an invisible connection to each other.
This perk has two parts to it that you can switch between at will. The first half embodies the longstanding history of antagonism between monsters and humans. When active, it makes monsters in the area more hostile to you, but it also greatly enhances your stats (health, strength, etc.) whenever you fight a monster. The second half of the perk does not increase your stats when encountering monsters, but instead attracts monsters to your location. The monsters lured to you in that manner have their hostility lowered, and they are more likely to be friendly at first.</t>
  </si>
  <si>
    <t>Great Catch</t>
  </si>
  <si>
    <t>Well, there’s one thing going for humans seized by monster girls as husbands – they rarely if ever break up with you. The perk, when active, makes you highly attractive to people around you. Everyone you interact with on a positive nature, as long as they don’t intensely and specifically despise you, will start to like and potentially even love you. Moreover, it helps you build a stable and lasting relationship with lovers. Your lovers will remain faithful in their affections toward you, and gradually any hostile or violent tendencies toward you will be lessened. That said, the perk doesn’t grant control over how the lovers handle their feelings – for instance, while the perk may cause a hostile dragon to become affectionate toward you, she may still choose to keep you captive, as the perk does not prevent her from doing what she wants.</t>
  </si>
  <si>
    <t>Chosen Hero</t>
  </si>
  <si>
    <t>Whenever the Chief God needs a hero to set back the monsters, it’s almost always a human from this world who is chosen for the honor. Though admittedly, all humans in fact have the potential to evolve to the superior state of a Hero, surpassing the normal limits of humanity, but it takes the boon of a god (or becoming an Incubus, an equivalent upgrade) to ascend. For one reason or another, the Chief God gave you the standard hero package given to those favored by the Chief God – in essence, you are an extra-strong paladin with enhanced physical and magic abilities to fight monsters, while also having enhanced healing powers. However, that’s just the beginning, as the Chief God does not truly hold the monopoly on heroes.
Whenever you worship or serve a god and perform some sort of great feat in said deity’s name, your god(s) will feel compelled to give you their blessing, granting you another hero form tailor-made in the image of that god.
For instance, a Hero of Eros would resemble one of her angels (pink hair, heart eyes, etc.), and you would become a songstress who inspires emotions filled with love and hope in people, able to revitalize people's hearts just by singing. Worshipers of Hephaestus would acquire superhuman concentration and surgical precision, becoming craftsmen who create weapons and armor that are even favored by the gods. You can switch between the different hero forms you gain at will. If you belong to one of the religious affiliations (Circle of the Night, Bacchism, Orgy of the Fallen God, Poseidon’s Domain, Kitty Cat Club, Army of Ares, Erotism), you can make your default hero form reflect your respective godly patron instead of the Chief God’s paladin package.</t>
  </si>
  <si>
    <t>Instinct Immunity</t>
  </si>
  <si>
    <t>Unlike most monster girls, you come from outside this universe, and that’s enough to give you an edge over the imposed instincts that drive all monsters to some degree. You now have the ability to ignore and reject instincts and imprinted behavior – whether physical or spiritual or mental – that your body has inherited. Demons will not be born in sin, even in settings where your very existence as a demon would naturally taint you with evil. Predatory races can overcome natural killing instincts that are normally ingrained in their psyche. And more importantly, it means that you being a Mamono won’t force you to have the instinctual sex drives that the Demon Lord has imposed on all monsters. You can still choose to access those instincts if you wish, but you won’t get locked into them, and you can shut them down when you feel the need (meaning the instincts can’t make you decide to never lock them back up again).</t>
  </si>
  <si>
    <t>Marking Your Man</t>
  </si>
  <si>
    <t>Despite the competition over available men, monster girls
rarely steal away a wedded [to a Mamono] man, in part because they mark their husbands with a special scent.
With their consent, you can mark your companions, family, and lovers with a normally undetectable scent.
When people interested in potential sex or romance with your marked ones (or simply have ill intentions toward
the marked ones) approach them, though, they unconsciously smell the aroma and instinctively feel that those
ones are off limits and that they should keep their distance.</t>
  </si>
  <si>
    <t>Demon Energy Outlet</t>
  </si>
  <si>
    <t>Like most Mamono, you have the power to manipulate demon energy. Like spirit energy, demon energy is the catalyst for many forms of magic, and demon energy is especially good at empowering charm spells. It also sustains a Mamono’s body and allows her to corrupt things around her. In the current setting the corruption will largely be toward the Demon Lord’s preference for the sexy, but you could potentially manipulate the corruption of targets in other directions with enough work.
However, you do not produce demon energy, so you’ll have to get it by absorbing spirit energy and converting it to demon energy; you can also potentially change other forms of energy you absorb into demon energy.
With the perk, not only are you able to get more spirit energy from available sources as a Mamono, but you can gain spirit energy from any living thing you have sex with – even if you’re not a monster girl. Through sex with another person, you absorb spirit energy, which in addition to using to restore your demon energy gauge you can alternatively use convert to other energy you need to refuel on. The amount of spirit energy you gain will determine how much benefit you get in those areas, though. Generally, you get more spirit energy from beings who take pleasure from the act of sex (the more sapient, the better), and people with high magic levels also tend to have high levels of spirit energy to share. Taking away the spirit energy (or maybe it’s the necessary physical action) tends to wear out most subjects and lower their spiritual defenses, so try not to drain too much from them at one go. Also, if you took the Spirit Energy perk, you can convert your own spirit energy into demon energy. After this jump, assuming you took the Demon Energy Outlet perk, you can continue to produce and manipulate demon energy regardless of form (even if you aren’t a mamono).
I wish to emphasize that you can convert the spirit energy into other forms of energy besides demon energy – in fact, given how corruptive demon energy is here, I highly recommend that you avoid gathering demon energy except when you are a Mamono. However, if you create demon energy in another setting, one where the Demon Lord cannot force her Succubus nature on the magic, the demon energy you produce will lack the sexual and corruptive effects that it would in this current universe (unless you want the energy to have those sexy/corruptive effects, that is – if you wish, the demon energy you produce can retain those properties; admittedly, given how demonic energy can potentially create sapient monster species from non-sapient plants/animals or even inanimate objects, it’s not like the corruptive energy doesn’t have its uses).</t>
  </si>
  <si>
    <t>Environmentally Adaptive</t>
  </si>
  <si>
    <t>One of the greatest strengths of monsters has been their ability to branch out via subspecies to thrive in nearly any environment possible. By spending enough time in a specific type of habitat, your body’s form will gradually change so that it is better suited for the setting.
For instance, living in a desert or volcano will grant you heat resistance, living underground will let you see even in pitch blackness, and living on a snowy mountain will give you resistance to cold. Keep in mind that “environment” can also mean social environment – live in a certain culture for long enough, and you will gradually blend in with the culture and become skilled in activities that the culture specializes in.
However, this is just the tip of the iceberg. Focus especially strongly on living in a specific environment, or expose yourself to intense magic in that area – powerful magic absorption alone is sometimes enough to change your body, even without a special environment – and your body will fully transform into a new state that, while somewhat resembling your normal form, can be considered its own unique subspecies. These subspecies often have unique powers associated with the circumstances behind the transformation. If your adapted form becomes fully distinct from your original form, you now have access to both forms and can switch between them as you like. You can also share a minor degree of your adaptive powers such as elemental resistances or seeing in the dark with your lovers.</t>
  </si>
  <si>
    <t>Wonderful Waifus</t>
  </si>
  <si>
    <t>Whatever might be said about the faults of Mamono, it must be admitted that they make amazing, loving wives – most of them, at least. You are now endowed with the skills to be the perfect waifu/husbando to your lover(s). For starters, you are exceptionally skilled with sex techniques, such that sex with you will seem infinitely superior to any similar pleasure they have experienced prior or in the future. And since beauty is also a key part of the equation, you tend to have this sense of gorgeousness to your appearance, such that even forms that would generally be viewed as “ugly” are now drop-dead beautiful. Moreover, you have a loving charisma that helps you understand and account for your lover’s needs in a caring fashion, gradually worming your way permanently into their hearts. Such is the matrimony that even people who have been kidnapped and taken unwillingly by you will come to love you.
In addition, the perk ensures that, as long as you are genuinely in love with and faithful to your partner, you will be protected from hypnosis, spells, and other tricks that would make you involuntarily break your matrimony; after a while, the perk will also protect your lover from involuntarily breaking faith in their love for you either.
Also, when taken in combination with Marking Your Man, you instinctively memorize your lovers’ “scent” and can spiritually sense their location. Furthermore, if you took the Environmentally Adaptive perk, your lover(s) will start to adapt to you – the more time you train with or just spend time with them, the more you shed “excess experience” onto your lover, so that they’ll gradually grow stronger to match you.
However, the perk’s charisma, as well as the protection from things that will involuntarily break your matrimony, will only be fully effective when you have genuine affection for the people in question; should you have callousness toward them or betray your matrimony with them, the perk’s effects (aside from the beauty and sex skills) will sharply diminish.</t>
  </si>
  <si>
    <t>Why Don’t You Write About It?</t>
  </si>
  <si>
    <t>You gain strong writing skills, and you are especially talented at drawing on and applying your experiences in your adventures to fiction and nonfiction works. Any written work you publish will become very popular on a global scale. Most of all, you are skilled in writing exceptionally useful, engaging, and pertinent travel guides.</t>
  </si>
  <si>
    <t>I Need a Vacation</t>
  </si>
  <si>
    <t>In this coming new era of romance, the world is full of opportunities to explore and have fun, especially for the purpose of love. You have a gift for finding great opportunities for romantic experiences with your lover(s), from the perfect place for a dinner date to ideal honeymoon and anniversary destinations that will bring out the best in your relationship. It also gives you exceptional luck in encountering compatible partners when you are on holiday.
However, while the perk is most effective when applied to love, the perk also helps you find perfect vacation destinations in general; in fact, you can alternately set the vacation luck filter so that while bonds between you and fellow vacationers remain strong, you won’t get sucked into romantic comedies, harem hijinks, and other things that would bother you when you really just want to relax.</t>
  </si>
  <si>
    <t>Oath of the Demonic Knight</t>
  </si>
  <si>
    <t>Just like human knights, the Dark Knight orders of the Demon Army also make vows and oaths to show their dedication, but unlike Order countries, these oaths are not for loyalty to their country, but rather loyalty to their husband and sister comrades or loyalty to their own lust. These oaths are not just mere words, however: by making these oaths, you can temporarily boost your physical stats and your magic. The level of the boost increases with your level of sincerity towards the vow and how much the vow is connected to ideals of love (or lust).
You can also teach others to make oaths for similar boosts to themselves; in addition, when multiple individuals who have a very strong and positive bond with each other make similar or linked oaths, the “resonance” between the oaths will significantly amplify each individual oath and share the benefits of the oaths with each other in addition to causing you to share a instinctual bond on the battlefield that allows all of you to work in sync in a way that even trained armies would envy. With enough of these oaths, you can turn a squad of 'normal' Dark Knights into a group that could match even a true Hero.</t>
  </si>
  <si>
    <t>Breaking in the “Recruits”</t>
  </si>
  <si>
    <t>The Demon Army rarely if ever kills its
enemies, but rather “embraces” them. In fact, there is a whole regiment of elite heroes who fell to monsters and
were converted to the Demon Lord’s side. Whenever you have defeated and captured an enemy in battle, you
have increased skill in convincing him or her to switch sides, especially if you use sexual methods of persuasion.
Even mighty heroes can be persuaded to lay down their arms and join your side, becoming exceptionally loyal
followers. However, you’ll need to beat and capture them first. Also, people you have turned fully over to your
way of thinking through the perk’s power gain increased ability in using the same power to persuade people
they defeat and capture. Plus, the perk makes it easier for you to train people under you to greater levels,
whether it’s better self-discipline, greater knowledge/wisdom, or stronger fighting skills, if you add sexual
components to the training; doing so also enhances the resonance of Oath of the Demonic Knight for groups
trained with this perk.</t>
  </si>
  <si>
    <t>Downfall of King and Kingdom</t>
  </si>
  <si>
    <t>It is amazing how the Demon Army has
managed to, with just one fell swoop, overtake countries that seemed invincible just a week before and turn
them into exemplary demon realms. The truth is, not all that glitters is gold, and many of the Order’s proud
bastions in fact have many doubts, injustices, and other weaknesses already hindering them from the inside. It’s
just the matter of finding just the right spot to target, and with just one stroke – sometimes even without having
to fight – the kingdom has fallen.
You are a master at discerning the weaknesses, both physical and emotional, in not only individual people but
also in larger armies and societies as a whole. You also understand the linchpins that hold groups together and
have greater success at defeating the larger group whenever you successfully deal with the key players (which
you also have greater effectiveness against due to this perk). The perk becomes even better when combined
with Breaking in the “Recruits”, enabling you to quickly and fluidly convert and consolidate individuals,
armies, institutions, governments, and so forth into your own group(s) once you target their weak spot.</t>
  </si>
  <si>
    <t>S.S. ~ Seductive Succubae</t>
  </si>
  <si>
    <t>Since the Demon Lord herself is a Succubus, it
is only natural that the Succubus arts influence the Demon Army’s tactics and fighting styles. Every aspect of
the Succubus is designed to enable her to bewilder and charm men, and they have learned to flaunt their beauty
even in the chaos of battle. You are now an expert at seduction, capable of bringing men (and women) to their
knees in lust even while fighting for your life. Even the simple swings of your weapon(s) and the way you
dodge attacks somehow highlight the beauty and flexibility of your body and work to seduce all viewers,
including opponents. Furthermore, you are now armed with one of the diverse battle skills known by the Dark
soldiers of the Demonic army:
• Dark Knight- If you choose to be a Dark Knight for one of the converted knight orders, for instance, then you gain great skill with the blade in addition to possessing the powerful magic. At a base level, you can project magic sword strikes that cut even when you are far from the target, control the flow of a duel in such a way that you gradually incite the lust of your opponent, and ride a horse with great skill even when wielding heavy weapons or battling ferociously. Veteran Dark Knights can greatly increase the range, speed, and force of their magic projectiles; coat their own blade in a highly corruptive demonic energy that will gradually infect enemy armor and weapons, turning even holy swords into demon blades; use demon energy to strengthen any horse they ride on; and even access the Dark Knights’ most potent skill, Blade of the Eclipse, which transforms an enemy's hatred and aggression against monsters into a desire to be with or become one (the more they hate or loathe monsters, the stronger this effect is).
• Dark Warrior- As a Dark Warrior, a mercenary from the Demon Realms, you exchange the finesse and magical power of a Dark Knight for overwhelming your enemy with raw physical power. At a base level, you simply possess greatly increased strength and speed in comparison to what is normal for your race.
At higher levels, however, you can use your strength to smash apart even durable magic weapons, give out battle cries that incite the lust of both your fellow warriors and your opponents, trap enemies in an iron like embrace, and even gather all your magical power, strength, and lust into one ultimate attack that would leave all but the most stalwart of enemies completely powerless.
• Dark Musketeer- As a Dark Musketeer, you are the master of the relatively new weapon the demonic musket, and while you may not be able to be out in the front lines like your sisters-in-arms, you would be amazed how a single bullet could change the tide of battle. At the basic level, you possess incredible skill with the musket, keen eyesight, an uncharacteristically patient mind to make just the right shot, and the ability to fire magic bullets, which when they hit someone knock a person unconscious if they are male or turn them into a monster if they are female. At higher levels, Musketeers gain the ability to create special magic bullets, such as shots that disable limbs, shots coated in demonic energy that causes a human to be drawn to the shooter, and shots that additionally create a large rain of bullets from a single shot. The ultimate skill of a Dark Musketeer is to create a single bullet glowing with the power of a Lilim (usually Druella; when it hits a target, it not only instantly transforms them into a monster, but also uses their own spiritual energy as a fuel to cause those around them to turn into monsters too. This bullet, when used on someone with massive amounts of spirit energy such as a hero, could turn almost an entire army into monsters at once and can completely turn the tide of a battle.
• Dark Armor- As a Dark Armor, you have trained in the usage of the Demon Realm's heavy armor and long spears, and as such you act as a moving fortress on the battlefield, one that only someone on the level of Heroes could hope to beat. However, unlike normal monsters who typically wear light armor and possess speed far faster than the average human, your class instead tends to move so slowly that even the average human soldier can outrun them. In addition, the strength of your heavy armor comes from the incredible amount of Demon Energy stored in it, and it takes skill and willpower to use it without immediately going crazy from lust.
At a beginning level, not only are you skilled in manipulating the huge stores of demonic energy trapped in the armor, easily allowing you to reinforce any parts of it to be even tougher, but you also can launch corruptive magical blasts from your spear, similar to the Dark Knight's magical sword strikes. Any enemy that dares try to strike you will find their body penetrated by the demonic energy stored up in your armor, with the speed of monsterization depending on the potency of your stored energy. At higher levels, you can 'tempt' enemies into focusing solely on you while forgetting or ignoring your allies. You also can use your demonic energy to expand your armor or weapons into many times their normal size, increasing their defensive or destructive power.
Your two most powerful skills are the magical armor prison and magical armor “complete release”.
Using the magical armor prison causes your armor to expand rapidly and create a pocket dimension within it, trapping your opponent in its embrace and exposing them to the full power of the demon energy stored within the armor, likely causing them to monsterize instantly and go mad with lust (of course, you are also trapped and deprived of your armor while using this, so I hope the sex that happens was your intent). Finally, by releasing your armor’s limits, you seem to completely absorb, and even enhance, its defensive properties into your body while gaining incredible mobility. However, the energy that you absorb from the armor will cause you to go into a berserk, lust-filled trance, demolishing anyone who gets in your way as you track down your mate or find some poor sap to let out all your sexual aggression on.</t>
  </si>
  <si>
    <t>Linked by Lust</t>
  </si>
  <si>
    <t>The Demon Lord’s greatest ability is how she influences
the bodies and minds of all her monster followers, and her daughters the Lilim seem to bring some of that
contagious charisma to their own troops – Druella’s regiments, for instance, influenced by their mistress’s
charm and pure-black mana, become stronger than ever and zealously fanatical in their devotion to her. You
can now “share your power” with anyone who can be considered a follower, comrade, or ally of yours. You
can transfer energy from yourself to them and share physical and mental traits with them, though the effect on
individuals lessens with the more people you spread around the shared energy/powers with.
In addition, you can influence their state of mind to fit with your own ideals and personality, though it is
possible for followers to resist to a degree if they dislike the changes (however, any charisma skills you have
will help lower their resistance accordingly). If you took Breaking in the “Recruits”, you can apply the link to
anyone you train. If you took Downfall of King and Kingdom, you can apply the link to opponents if you have
already started to chip away at their resistance. This perk also strengthens vows made with Oath of the
Demonic Knight, and enables you to exchange such oaths with anyone qualifying for the link under this perk.</t>
  </si>
  <si>
    <t>(Im)Mature Magic</t>
  </si>
  <si>
    <t>Why be a stuffy old grown-up when you can be even stronger
as a fun and cute little kid? The more childish you are in appearance, mind, and action, the more potent your
magic becomes. You also become smarter and more charismatic in that state. To be more specific, your
magic's potency doubles whenever you are childish in appearance, mind, or action, and those boosts stack on
each other. When acting, thinking, or looking childish, your intellect and charisma also increase by a quarter
(and those boosts stack, too). Furthermore, the longer that you stay childish in action, appearance, or mentality
(no stops), the more the level of the boost will increase beyond the initial rates, first gradually and eventually
exponentially.</t>
  </si>
  <si>
    <t>Familiar Contract</t>
  </si>
  <si>
    <t>You have the power to form magical “pacts” with individuals
as a sort of life bond. You can access the senses of the person you are bonded to, and vice versa for that person.
The bond also allows for the sharing of health, magic, and other energies one of you has with the other. There
is no distance limit to the bond, so you could potentially conduct transfers even when the two of you are on
opposite ends of the world or in different dimensions.
The terms made for the contract are ironclad and cannot be broken by you or the other party as long as the
pact’s bond remains in place. However, you are especially sly and able to use your charisma to convince people
to make contracts with you even when the terms of the pact clearly favor you rather than them, as long as you
offer them at least some small reward for their service to you.
Furthermore, the perk allows you to assert control over familiar contracts and other such bonds, both for this
perk and for other bonds you become linked to. Even if someone were to bind you as a familiar/servant, with
enough power and time you could completely reverse the contract so that you are in charge and your “master” is
the true servant. And due to your control over the familiar bonds, you can easily determine whether the person
you are bonded to wishes to end the contract or happily remains bonded as long as you like. In regard to the
specific type of familiar contract enabled by the perk, you can make and keep as many such links to different
people as you wish.</t>
  </si>
  <si>
    <t>Mind Over Magic</t>
  </si>
  <si>
    <t>For eons, magic had been pretty straightforward, but now the
Sabbath has developed new and revolutionary kinds of different magic. How’d they do that? They realized that
it’s not the magic you have, it’s what you do with it that counts.
You can take magic spells and other magical/energy-based powers and control the specific properties of the
power with your mind/heart, even when the spells are normally rigid. For instance, you could alter a normally
devastating spell so that it can still crush through a mountain yet not injure a single living thing within it by
focusing on your love/compassion for those people, or vice-versa make a normally harmless spell have harmful
properties by focusing on vicious hatred. And that’s just the tip of the iceberg: with this perk and enough work,
you could potentially reshape your spells/powers into completely new forms.
On the downside, when accessing this perk, your control over the form/effects of the spells depends on your
emotional state, so it will be hard to make the magic do things that disagree with your heart; however, you can
shut down the perk’s effect anytime to use the standard forms of your spells/powers.</t>
  </si>
  <si>
    <t>Magical Renaissance</t>
  </si>
  <si>
    <t>Not only has the Sabbath found many new ways to adjust
the usage and effects of numerous spells, even ones though useless, but they’ve also created a lot of new ones,
too. Once you have a basic understanding of a magic system, you can easily start designing entirely new spells
of your own make. And if you know multiple schools, you can start fusing the different schools together to
create new spells that bring out the best elements of each parent. This perk blends very well with other magic
abilities for even greater effect; for instance, if combined with Mind Over Magic, not only will you be able to
better shape and reshape your own spells and others’, but you could start connecting with magic systems on a
deeper level...and maybe do a little tinkering to how they’re set up with a little mindpower.</t>
  </si>
  <si>
    <t>No Monsters Were Harmed in the Making of This Product</t>
  </si>
  <si>
    <t>The bodies of monsters are useful resources for all sorts of things (Dragon scales make nifty armor, Slime substances can be used for various potions/elixirs, Demon Realm Boar meat is incredibly healthy and invigorating, etc.), so now that monsters are friendly (sometimes too friendly), it’s become easier to obtain these once-rare ingredients. However, this leads to a dilemma: how to extract the items without hurting the innocent Mamono.
At the lowest level, this perk helps you “sense” what parts of a creature’s body could be useful/profitable, and gain at least a basic understanding of their potential use(s). But more than that, the perk enables you to easily extract things from a subject’s body without actually harming the individual, even if doing so would normally hurt or even kill the person. The subject will generally heal any scars without trouble afterwards, and any removed parts that are irreplaceable will regenerate. Plus, you gain increased skill at preserving the extracted materials for extended durations until you can find a good use for them or hawk them off to buyers.</t>
  </si>
  <si>
    <t>Tainted Goods</t>
  </si>
  <si>
    <t>Given how the items from demon realms have led to the downfall of so many humans, the merchants distributing those corruptive items may very well be the greatest threat to anti-monster kingdoms, more than even the Demon Army. You have a natural talent in getting people to ignore any negative effects of items you sell to them, such that they will even remain oblivious to obvious signs that the thing they’re about to eat is poisoned or tainted with demon energy – heck, they might not even notice after they’ve eaten it!
But keep in mind that the perk covers more than just the action of transmitted actual tainted items; it also accounts for tainting things that are not material items, and for things that you give away, barter, or slip over into people’s possessions. For instance, you could use the perk to subtly poison a sewer system, transmit malware-infected “apps”, and serve clearly corrupted foods at a feast you’re hosting, and the similar effects of ignoring the warning signs will still influence the victims.</t>
  </si>
  <si>
    <t>Regeneration</t>
  </si>
  <si>
    <t>The undead used to be despised for their degenerate bodies,
but Hel’s blessings have given them new life and vitality. Your body parts will gradually regrow over time, and
you will not truly die until your whole body is entirely destroyed. This also helps stabilize your body such that
having your bones break or head fall off is more of an inconvenience than a serious, painful injury.
Furthermore, you gain increased resistance to holy and “life” powers that normally harm the undead, such that
healing spells might truly heal you rather than hurt you even if you are undead and thereby should be vulnerable.
The strength of Regeneration’s effects rises with every other Circle of the Night perk you take.</t>
  </si>
  <si>
    <t>Ghostly Haunter</t>
  </si>
  <si>
    <t>You can turn yourself into a [MGE-style] ghost –
though you don’t need to be female. Your body will vanish, and your form will consist of the various energies
you had stored inside you. You retain your mind, but the specific energies that now make up your “body” may
influence your thoughts to a degree – for instance, demon energy tends to make Mamono ghosts go bonkers
with lustful daydreams. Your ghost form is usually intangible, allowing you to slip through walls but inhibiting
your ability to interact with physical things; however, you can assert a more physical form as a ghost, albeit at
the cost of expending some of your energy reserve.
As a ghost, you can flow into and possess individuals. If you overcome their spiritual resistance, you can take
control of their body, temporarily unifying their thoughts with your own. You can project your thoughts into
the possessed subject and control his or her physical actions. If you absorb enough additional energy from the
possessed being, you can manifest your ghostly body in a more physical form that can interact with other things.
Plus, by drawing upon the thoughts of the possessed victim, you can give yourself a form that mimics a person
from their memories to the point of being practically identical in both appearance and demeanor. If you wish to
return to normal, you can summon your dissipated body back to you.</t>
  </si>
  <si>
    <t>Cage of Will</t>
  </si>
  <si>
    <t>Like a Will-o-the-Wisp, you can transform your negative emotions such as envy, loneliness, and rage into powerful flames that can either burn targets or inflict those emotions on them as you see fit. In addition, you can turn part of your body into a Gothic-like chandelier/bird cage to store up these emotion-flames. The longer the flames are stored in the cage and the more they come into contact with each other, the more potent the fire will become. You could also potentially transform the cage to trap other things and people inside, thus exposing them to the raw intensity and passion of those flames.
Furthermore, the cage serves to trap both body and soul, such that even if a person were to die within your cage, the soul would remain trapped for you to do with it as you please. This also means that you can capture souls that are “drifting” around you and store them inside as flames that empower you; it helps that, when you summon your cage body, you gain the ability to detect souls around you. If you took Monarch of the Undead, you can find the souls of the dead around you to capture, and you can turn any captured souls (including still-living captives) into undead mamono of your liking. You can manifest the cage around your possessed target in your Ghostly Haunter form.</t>
  </si>
  <si>
    <t>All the World’s a Stage</t>
  </si>
  <si>
    <t>As with ghosts (see Ghostly Haunter), you can
project thoughts to people around you, but you no longer need to possess them. More than that, though, you can
produce incredible visions that are shared with all targets of your choice within 100 feet of you. With these
fantastical but seemingly real illusions, you can blur the line between fantasy and reality and drag your captive
audience into a spectacular drama in which they play the various characters. The more you immerse your
targets in the fantasy, the more they will see those visions as reality, and see the path you want the story to go as
their destiny. This effect lasts even after the illusions vanish, so that the emotions and desires they felt while
under the vision will continue to influence them in reality. On the flipside, you can immerse yourself in these
delusions to live out stories in your imagination.
You also gain the ability to speak in exaggerated yet professional, theatrical dialogue, such that you can turn
even simple and childish statements into monologues worthy of a play. If you took Cage of Will, anyone you
trap in your illusions can be fluidly transferred to your cage, as your soul cage becomes a great theater for your
caught souls. If you took Monarch of the Undead, by placing people into acting out the roles of undead, once
they fully embrace those visions as their true reality, you can turn them into those undead on the spot.</t>
  </si>
  <si>
    <t>Monarch of the Undead</t>
  </si>
  <si>
    <t>You have a decadent yet alluring beauty that,
combined with your sense of elegance and dignity, gives you a strong charisma, especially in commanding the
dead (and this perk at gives you at least basic-level skill at raising undead, if you don’t have such abilities
already). More than simply necromantic enslavement, lower undead will recognize your rank above them and
follow you out of loyalty, even making will saves to resist being turned against you. Even undead individuals
who are stronger than you will at least treat you with respect and hospitality.
In addition, the undead under your leadership can gradually evolve beyond their current state, such that a
shambling zombie would eventually become a beautiful and intelligent undead drawing on you as a role model.
And this evolution is not linear: the undead are able to ascend to whatever kind of undead best suits their
personality and passions, so that even a ghoul could become a ghost, vampire, death knight, skeleton, or even a
dracolich/dragon zombie; furthermore, if you focus your will on the ascending undead, you can make them
become whatever undead mamono you want (potentially even new, undiscovered kinds), even if it’s different
from what they would naturally become (this also means you can lock them in a specific undead mamono form
if you don’t want them to evolve any further).
Plus, your undead now gain resistance to the holy and life-giving magics that many undead are normally
vulnerable to, and particularly powerful undead might even heal from such things rather than take damage.
If you also took Regeneration, all of your undead, regardless of power level, heal when exposed to holy and
life-giving magics. If you also took Ghostly Haunter, you can turn yourself into an undead at will. In addition,
the Monarch of the Undead perk enhances other undead-raising perks, powers/abilities, and items in your
repertoire; for instance, if you took Loyalty Beyond the Grave, a soul having sworn fealty to you is enough to
raise them as Ochimusha (this includes undead who perish after vowing to serve you).</t>
  </si>
  <si>
    <t>Wonders of the Heart</t>
  </si>
  <si>
    <t>The Queen of Hearts created many of
Wonderland’s unique monsters herself by changing existing Mamono to new forms that she thought were more
fun. By standing right in front of someone and touching him or her (or, if you have Card Bridge, simply by
touching a card symbol while the target is also adjacent to a card symbol), you can spiritually touch the “heart”
of the person – or rather, a specific quality that the individual values or embodies. You can then alter that heart
piece to transform the body and habits of the person. You can either boost that heart piece so that it overpowers
all other qualities the person has, make the heart piece go in the opposite direction so he or she now values the
opposite, or twist the heart piece so that the overall concept of the value is retained but shifted in a new
direction of your choice.
The overall form of the person stays true to his or her original body – humans will stay humans, and monsters
will stay monsters – but will have “evolved” into a physically, mentally, and spiritually different variant. This
transformed being would therefore represent a new species, and while able to breed with beings it could in its
past form, all children will be born with its new form and mindset. The target can resist the change by having
stronger willpower or magic than you are drawing upon. Also, the ease of forcing the transformation decreases
the farther you go from the original form – and there always must be at least some physical reminder of what it
originally was. For instance, turning a Dragon into a Jabberwocky – or even giving a Harpy some catlike
features – would be relatively easy, but you would need to invest an incredible amount of time and energy to
make a Werecat into a full-fledged, birdlike Jubjub with no cat features.</t>
  </si>
  <si>
    <t>Inviter of Happiness</t>
  </si>
  <si>
    <t>You can form a large ball of white fluff around your body
to become as light as pollen, thus letting you travel long distances via the wind. Also, you can produce and
release fluffy white pollen that contains hallucinogenic compounds and makes people want to “feel happy.”
While you are in this form, people will see you as a source of good luck. You can also give yourself that
carefree feeling of bliss that others get from your pollen. Fill their or your own head with enough happiness,
and happy will become the default, normal state of feeling.</t>
  </si>
  <si>
    <t>Size Change</t>
  </si>
  <si>
    <t>You can freely change the size of yourself and of people within a
10-foot range of you. For instance, you could turn yourself into a giantess, or change yourself and a lover down
to smaller than a leaf (with you now taller than your partner even if you used to be the shorter one). The more
you shrink yourself, the more that people will feel compelled to see you as an innocent, sweet person no matter
what mischief you get into.</t>
  </si>
  <si>
    <t>Covenanter</t>
  </si>
  <si>
    <t>It is common for those with a passion for the natural elements to
make covenants with elemental spirits. While it is possible for anyone to form covenants with enough effort,
this perk gives you basic knowledge and skill in making covenants with elementals, both in this world and
others. Furthermore, you gain an enhanced affinity with one of four elements – earth, fire, water, or wind (ice
and shadow are also permissible) – which will increase your aptitude for forming covenants with that element;
elementals of that type will be more welcoming towards covenants, and your bonds with them will be stronger
than normal. In exchange for giving them energy through various rituals (which usually involve sex in this
world), the elementals you make the pact with will loyally serve you with the magical power, while also
teaching you and strengthening you in their specialty of magic. Elementals often have a mind of their own, so
even after you bond with them, you’ll need to find ways to cooperate with them best.
While you can potentially bond with multiple elemental spirits, since each individual elemental uses some of
your energy for the covenant, it may initially be difficult to keep a lot of covenants steady simultaneously. The
elemental spirits you bond with can follow you between jumps, but you initially can only have four elemental
spirits in active status at one time, with the others being kept in a hibernation/stasis state until switched out;
even so, the inactive spirits still require a minimum degree of energy from you to stay around. Elementals
released from your service will likely move to the nearest environment that embodies their element; in the case
that they have followed you across worlds, they will have the option of either returning to their homeworld or
choosing to stay in an environment in the current setting, though they can quickly rejoin you should you call
upon them again.
You can buy this perk multiple times to boost your affinity with multiple elementals, but there is no affiliation
discount/freebie for extra buys, and everyone must pay 100 CP for each extra element; see All are the Elements
capstone for exception. Acquiring affinity enhancements for all six of the notable elements from MGE (earth,
water, fire, wind, ice, shadow) will automatically upgrade your elemental skills to that of a genius elementalist
like Saphirette Spherica, who singlehandedly resorted the vitality of her forsaken homeland with her precious
elements.</t>
  </si>
  <si>
    <t>Elements Taking Shape</t>
  </si>
  <si>
    <t>By focusing your power into an element, it will
begin to gain self-awareness and intelligence, and eventually a human form, becoming full-fledged elementals
with enough time and effort. If you are interacting with a personification of that element but it lacks human
form, the perk will help it reach a humanoid form, and give it sapience if it didn’t have it already. Said beings
would therefore qualify for contracts under Covenanter. Moreover, the perk compels elementals you link your
power with to treat you in a friendlier manner. You start out with a strong affinity for applying this perk to a
specific element of your choice, but you can apply this perk to any kind of element.</t>
  </si>
  <si>
    <t>Spreading Nature’s Heart</t>
  </si>
  <si>
    <t>You can apply your power to the elements to
expand their positive influence over the region you are in, as if you’re an elemental yourself. Earth will create
fertility for plant growth and encourage the growth of land. Fire will encourage “warm” things in the
environment, from sunny days to hot springs, while also fueling the hearts of living things with “fiery” vigor.
Water purifies water and protects it against stagnation and pollutants, while also multiplying the amount of
water in existence. Wind naturally enhances the, well, wind, providing sufficient amounts of wind to carry the
currents of life throughout the world while also tempering more violent aspects such as tornadoes and storms.
Apply enough power over an extended duration to an area, and the elemental improvement will merge with the natural environment and become a permanent fixture of the region. The one downside is that the perk only lets
you enhance the elements’ prosperity to the limits of their natural levels (the maximum possible benefit they
could provide naturally, without external interferences), not to artificial levels beyond their natural capacity.
While you’ll initially have the most success enhancing the effects of a specific element of your choice, you can
affect all elements in this manner.</t>
  </si>
  <si>
    <t>Dark Power</t>
  </si>
  <si>
    <t>Through access to the elements, you can corrupt then with a
dark power. Under the influence of this perk, elementals you make a covenant with or help gain human
mind/form will shift into females and become lecherous. An element you help spread with the “blessing” will
spread the corruption, such that Earth will produce demon realm plants, Fire will make people got berserk with
passion, Water will corrupt those who drink the contaminated waters, and Wind will spread the corruption to
anything that breathes in the contaminants carried through the air; plus, once the hold is solidified, the
corruption will become a “natural” and fixed part of the environment.
The corruption has its bright side, though, as it significantly enhances the magical power of the element to a
level that it could not ordinarily reach. The default corruption is demon energy, but you can also use other
forms of “darkness” or energy you have access to, potentially altering the ensuing changes (for instance, an
evil-themed darkness would make things eviler, while a martial arts-oriented energy like ki might give
everything a martial arts-styled theme). Since you are creating the corruption, you don’t need to be worried
about being infected yourself from the corruption created by the environmental spread; even Demon Energy
will become harmless to you after the jump (unless you actually want the corruption to corrupt you as well, that
is). While you will initially specialize in corrupting a certain kind of element, you have the potential to corrupt
any kind of element.</t>
  </si>
  <si>
    <t>All are the Elements, Elements are All</t>
  </si>
  <si>
    <t>While specific practitioners focus
on one element or another, the Elemental Faith has always given equal respect to all elements, and you are one
of the lucky few who have reached the epiphany that the individual elements aren’t separate at all; they all
intermingle and blend together, creating the wonder we call life. You now have an increased affinity for all
elements, and insights on how to connect and harmonize them for improved effects. In fact, you can take
abilities and affinities you have for specific elements and find ways to apply them to other elements. You can
potentially apply your powers to all other elements, whether scientific ones or metaphysical ones that embody
the world around you. In addition, this perk will significantly improve your affinity with all elements accessible
in different worlds, making it easier for you to find, build, and strengthen connections to those elements.
This perk also impacts the other perks in the Elemental Faith perk line. You now start with a strengthened
affinity for all four main elements (earth, water, fire, wind) for Elements Taking Shape, Spreading Nature’s
Heart, and Dark Power, rather than initially focusing on just one element. In addition, as long as you have paid
full price for Covenanter once (Elemental Faith members only have to pay 50 CP), you will start out with an
enhanced affinity for all four main elements, though you must still make additional buys to enhance your
affinity for other kinds of elements.</t>
  </si>
  <si>
    <t>Serpentine Flexibility</t>
  </si>
  <si>
    <t>The wish of every human worshipper in the faith is to
one day become a snake or be married to one. So, as the first step, they learn to move their body like a snake.
In general, you now have the ability to use abilities naturally gifted to snakes even if you currently lack the
physical attributes that would normally be necessary. You gain increased flexibility such that, even when
you’re not a serpent, you can imitate snake movements such as slithering at a fast speed – even up trees if you
want to! You know how to bend your body around targets and bind them in your “coils.” You can even use
your tongue to smell (and sense the direction of smells) and speak/understand the secret languages of snakes.
Plus, your mouth and throat can now expand much like a snake’s to swallow much larger things than you
normally could.</t>
  </si>
  <si>
    <t>Slithering in the Soul</t>
  </si>
  <si>
    <t>To turn human devotees into the proper form of a
snake monster, the cult performs a special ritual in which a multitude of snakes are absorbed into the girl in
question, causing them to then manifest in her hair. You have a variety of mundane snakes inside your soul as
an extension of yourself, and you can manifest them onto your body at will (and make them recede again if you
wish). It is easiest to have them take the place of your hair, but with enough practice you can have them replace
other body extensions such as teeth, tongue, toes, arms, and tentacles (assuming you have those body parts to
begin with). You can control the snakes remotely, but they can also function independently so you can focus on
other things; they are reflections of your soul, so they will generally still do things that you would want them to
do if you were focusing on them.</t>
  </si>
  <si>
    <t>Predatory Gaze</t>
  </si>
  <si>
    <t>You can now, when you choose to have the perk active,
give your eyes several effects when they make contact with other living beings. First, like the Medusas, your
petrification gaze will cause anyone who you make eye contact with to harden into stone. Living things
petrified by your ability never die from it, and you can selectively have only certain parts of the body harden
while others are left unstiffened (though the penis of a man might certainly still be stiff in another fashion!).
The petrification generally wears off after a few days, but you can also dispel the effect yourself, and there are a
few spells and the like that could do the trick, too.
Then there are the “evil eyes” of the Basilisk. The gaze actually “poisons” the target with a venom that, while
not truly harming the victim, relaxes all muscles in the prey’s body while also inflicting a burning sensation like
a monster in heat. The venom is particularly virulent, converting internal energy sources like ki and magic into
more venom to increase the effect. As a result, it becomes very difficult for the prey to think clearly. You can
also choose to use the more deadly version of the gaze from ages past, which can kill a man slowly over a single
day with but a single glare. For the “evil eyes” victim to be cured, every last drop of the venom must be
removed from the body at once. And despite what some myths say, you cannot be affected by your own gaze
being reflected back at you (unless you specifically choose to allow it for some reason).</t>
  </si>
  <si>
    <t>Ritual of the Snake God</t>
  </si>
  <si>
    <t>You can now singlehandedly perform the sacred
ritual to transform human women into beautiful serpent Mamono – or just into humanoid serpent monsters in
general if that’s your preference. You must have the subject in question sit on a magic square you have
prepared, and then order snakes you have prepared for the occasion to coil around her. The snakes will
eventually seep into her body and transform her, and the extent of the transformation in part depends on the
number of snakes used and the amount of magic applied to the snakes beforehand.
It just takes a couple of days of magic exposure (under normal levels of application) to get the snakes ready to
transform a girl into a Lamia, while it would take months to a year to prepare for a woman to become a
moderate-ranked serpent such as a Medusa or Shirohebi. For a human to ascend to the rank of an Echidna, the
greatest of all serpent kind, at least several years of preparation would be necessary, and potentially a decade or
more for a particularly powerful Echidna. The inclusion of unusual (by Earth standards) snakes in the ritual,
such as special magic/alien varieties could result in new species of serpent women. Eventually, you might be
able to find a way to use a similar ritual to transform males and nonhumans as well.
This perk also means that, if you also bought Slithering in the Soul, you can bind more snakes, even exotic and
magical ones, to your soul so they can manifest on your body.</t>
  </si>
  <si>
    <t>The Echidna is considered the “god” of the faith in
part from her ability to give birth to any kind of monster in existence. In a vaguely similar fashion, you can
pass on copies of your different body forms to your offspring, even ones you adopted or created. Any special
physical/magical abilities associated with that form, as long as they do not stem from the individual mind/soul,
will be passed along to your child’s form. You can only pass one form to a child at a time, though your children
can accumulate multiple forms.
Children who are your natural offspring can be automatically given a copy of one of your forms, but for any
subsequent forms, or for children that you have created unnaturally or adopted, there is a special ritual to give
them another form. You must swallow them whole like a snake swallowing an egg (in the case that you do not
have Serpentine Flexibility or another similar power to enable this, you will be able to perform this action solely
for the completion of the birthing ritual).
After a couple of hours, your child will instantaneously appear outside of you in a large, snake-like egg that will
hatch in one day. Upon hatching, the child will have the form you wish to pass on, and now can for all purposes
be considered a natural offspring of yours. The body of anyone you swallow for the ritual, or any creature you
consume (or have had sex with), becomes one of the forms you can select to pass on through the perk; this does
not mean that you can access those other forms yourself unless you have some other way to do so.
When giving one of your children a new form, you can selectively choose the specific form yourself, or you can
let the form be chosen at random. If you choose to let it happen randomly, there is a 5% chance each time that
the result will in fact be a special fusion of two separate forms, thus having the combined abilities of the two
forms. Please also note that you can only use the perk to affect people that are truly your offspring or genuinely
viewed by you as your children; you cannot force yourself or be forced into seeing someone as your child to get
the perk to work.</t>
  </si>
  <si>
    <t>Blessings of the Kami</t>
  </si>
  <si>
    <t>You (and any gods you are loyally serving) can establish
a mutual relationship with a community. In return for giving them blessings like safe childbirths, plentiful
crops, and steady rain, you will be honored by them and given various gifts. As long as the community gives
you sacrifices, you can perform these small miracles, and as long as you perform those miracles you will have
loyal followers. Over time, your worshippers will insist on giving you “sacrifices” as thanks even without
asking, going as far as to offer their sons and daughters to you for marriage and service.</t>
  </si>
  <si>
    <t>Loyalty Beyond the Grave</t>
  </si>
  <si>
    <t>You can give this blessing to anyone working
under you, whether as an accountant or a soldier, with no limit to how many you can give it to. If any of those
people die carrying out their service to you, and they wish to return to aid you once more, a miracle happens.
Their corpse will automatically absorb any latent energy in the nearby vicinity and, on enough energy is
gathered, will resurrect as an Ochimusha undead. Please note that as long as the physical remains of the
deceased person survive to some degree, the person can eventually resurrect as an Ochimusha once enough
energy is absorbed, even if there was not enough energy in the area initially for the transformation. If you also
took the Monarch of the Undead perk, swearing loyalty to you is enough for people to be resurrected as
Ochimushas.
Like most undead, the Ochimusha gradually regenerate from damage, and their regeneration is in fact enhanced
when given “affection” by their lord - anything from a pat on the head to a kiss to full-blown sex. The
Ochimusha have their intellect and strength enhanced, and they can enhance their weapons with yokai energy
that releases a mysterious light and makes them more skilled than ever before with that chosen weapon; this
energy also causes those slain by the weapon to not truly die, but rather to be reborn as youkai
(Japanese/Zipangu-style monsters).
The exact physical (and sometimes mental) form of the Ochimusha will depend on the energy it absorbs – ones
born from absorbing demon energy will likely become Mamono, areas with ki/chi might give birth to martial
artist Ochimusha, ones that awaken in mana-filled environments may have more arcane abilities and knowledge,
Ochimusha in chakra-filled regions may lean more toward the ninja style of fighting than that of samurai,
undead in lands that embody certain elements may in turn specialize in that element, etc. – but in all cases they
are highly dedicated to you and will risk their lives to protect you if necessary.</t>
  </si>
  <si>
    <t>Jiangshi Master</t>
  </si>
  <si>
    <t>You are a master in the art of summoning the undead
Jiangshi, a physically strong and intelligent undead that can move about by stretching and hopping. With her
body restored to prime condition and her mind retaining its faculties, she is even capable of complex martial
arts, magic spells, and other advanced battle tactics. In addition, the toxin of her nails can turn living women
into Jiangshi like her. You know how to create “spirit recalling talismans” to transform corpses into Jiangshi
and alter the talismans to enhance their powers or reprogram them accordingly. However, you can never fully
enslave a Jiangshi, so please treat it well or it might run away. With enough work, you might be also able to
create/use talismans to take control of other kinds of undead beings.</t>
  </si>
  <si>
    <t>Touch of Knowledge</t>
  </si>
  <si>
    <t>By simply touching something or someone, you
automatically gain scholarly knowledge about whatever you touched. Your mind is now like an infinite
encyclopedia that can store as much information as you want without getting jumbled or overloaded. In
addition, you can share a copy of the knowledge you hold with others by touching them. You can even imprint
your knowledge into your children, as long as you contribute some of your DNA to their birth. Knowledge isn’t
the same thing as experience, though, so it’s best to find a healthy balance between study and practice.</t>
  </si>
  <si>
    <t>Secret of the Mist</t>
  </si>
  <si>
    <t>Like the mysterious monsters lurking in the
mountains, you can exude your mana stores and other internal energies as a pervasive mist. At the bare
minimum, your mana and other energies’ production and storage capacities are significantly boosted. In
addition, you can generate a mist reminiscent of the continent’s mist around you in a 50-foot radius. It becomes
difficult for other people to see in the mist, but you can see through the mist perfectly. Furthermore, you can
“taint” the mist with special properties of the specific energy that you use: succubus-style demon energy makes
the mist monsterize people, element-based energy empowers elemental beings of that element’s affinity, undead
energy makes it easier for the dead to rise up as undead, etc.</t>
  </si>
  <si>
    <t>Slippery Touch</t>
  </si>
  <si>
    <t>You can produce a slimy membrane across your body, and you
can control the level of slipperiness of the mucus. This means that you can control how people slip when they
make physical contact with you. For instance, you could have a man slip deeper into your embrace when they
really wanted to get out of your arms, or have an attacker grabbing you slip right away from you into a pedestal
to knock them out. The nutritious mucus also gives enhanced vitality and stamina to whomever touches or
consumes it – and if you are producing the mucus, you will get the same benefit.</t>
  </si>
  <si>
    <t>Paradise of Pleasure</t>
  </si>
  <si>
    <t>Despite the sexual themes of the Ryugujo cities, they are
nonetheless seen by most outsiders and even visitors as refined fun parks instead. You can now merge sexual
themes with a product, service, or institution that embodies separate themes, and people as a whole will focus
on the non-sexual parts of the resulting mix from a distance. For instance, you could make your fancy, five star
restaurant all sexy, and gourmands and reviewers will focus on the “French cuisine” and turn a blind eye to the
sex going on; likewise, you could mix porno elements into a kid’s cartoon, and censor groups will still believe it
to be G-rated. This doesn’t stop the people actually experiencing the thing from realizing the truth, but anyone
learning about your creation from hearsay will remain ignorant to the sexual elements. You are especially
skilled at making sexy theme parks and attractions.</t>
  </si>
  <si>
    <t>Domain of the Sea</t>
  </si>
  <si>
    <t>You can bend the sea to your beck and call. This lets you
manipulate things like sea currents, whirlpools, and tsunamis with ease, but it also gives you control over the
very way in which you and other people interact with water. You can manipulate the water around you (within
a 50-foot diameter) so that any living thing that is not adapted for swimming and breathing underwater will
seem to be on land; it will be as if the water does exist to them, meaning that they can breathe air but also that
they can’t swim. Similarly, “wetness” effects will be absent – if people need moisture to for essential functions
like gills, they’ll still get it, but they and objects in general won’t get soggy or face any other negative effects of
water. You can also give yourself that effect if you wish, but you can also maintain your default state in the
water, as is the case for things that normally live underwater; you and they can continue to breathe the water
and swim through the space, as if you are “flying” in the eyes of the land-locked beings. You can also
temporarily give a person (up to 25 people at a time) the ability to breathe underwater for 24 hours, thus
allowing them to also swim freely in the “air space” you make in the water; they can also repel water from their
bodies to keep themselves and their clothes dry.</t>
  </si>
  <si>
    <t>Riddle Me This</t>
  </si>
  <si>
    <t>You are a master at solving and inventing riddles. More
than that, you have strong hunches on just the right riddle for every occasion – if you want someone to succeed
in a riddle, you can come up with the perfect one they can succeed at without feeling like someone cheated, and
if you want them to fail, you can come up with one that they will only have themselves to blame when they
inevitably get it wrong. You can also cast a charm when you ask a riddle, causing the loser to fall in love with
the winner; however, you cannot use the part of the perk that lets you pick the perfect riddle when you cast the
charm, so it’s a gamble whether the person will fall for you or you’ll fall for them.</t>
  </si>
  <si>
    <t>Wishmaker</t>
  </si>
  <si>
    <t>Your body and soul are innately endowed with the spell
formula for granting wishes. In general, unless you practice a lot, it will be difficult to focus your power into
fulfilling an objective unless you are given a worded wish by someone other than yourself; however, you get to
choose whether or not you grant the wish. Keep in mind that the stronger the wish, the more energy you’ll need
to supply (and for a longer duration) for the wish to be fulfilled – eternal wishes like immortality, for instance,
might require an eternal amount of energy to work. In addition, the extent of wishes is bound to the universes
in which they occur in, nor can they go past the admittedly-considerable range of the magic systems within the
MGE verse.</t>
  </si>
  <si>
    <t>The King is the Land, The Land is the King</t>
  </si>
  <si>
    <t>The Pharaoh is said to
embody the very heart of the kingdom, and through sheer will and magic influences the form of the region. At
the very least, the perk allows you to fill the land around you with newfound life, such that springs would gush
out and plants sprout even in the harshest of deserts. Furthermore, you can shape the kingdom to match your
overall mood. If you have a virtuous and noble heart, you can make the land into a paradise where the sun
never sets yet everything is temperate and the land is green with life under the ever-bright sun (your blessings
will take strength from the sun, by the way). If you wish for debauchery and pleasure that never ends, you can
instead transform your realm into a land of everlasting night where the sun never rises yet plants and animals
are sustained with vigor for wicked deeds under the light of a full moon (and the moon enhances your power
over that style of realm). The rate/level of influence increases if you rule the land around you.</t>
  </si>
  <si>
    <t>Long Rest</t>
  </si>
  <si>
    <t>By resting and meditating, you gradually collect divine
power that strengthens your soul and powers. This effect is rather small usually, though, so for a major change
you’d need to sleep for thousands of years. However, this is an open possibility, as when you rest you enter a
state of suspended animation that will protect your body from aging until you choose to awaken, even if it is
hundreds of years later. In case that you don’t have that much time in the jump for all that, you can cause the
clock for the jump’s timeframe to stop while you sleep; however, you can only pause the clock once in a jump,
so no waking up in between! Also, your body is still vulnerable to harm if exposed, so you probably want to
find a safe place to store you while you sleep with the gods.</t>
  </si>
  <si>
    <t xml:space="preserve">Royal Power </t>
  </si>
  <si>
    <t>A legendary, blessed gift of the Pharaohs that consists
of three integral qualities of character that are significantly boosted by exposure to the sun. Number 1, the royal
talent of grasping the hearts of the people, allowing them to see the inner motivations and desires of their
citizens. Number 2, the divine power to “illuminate” people, shining a light into their heart so they can see
what they truly wish for. And Number 3, the devilish charm of monsters that convinces people to do things the
monster’s way and believe that it’s what they wanted all along; however, this last aspect relies on the sexiness
of monsters, so unless you are aesthetically beautiful and act sexy, you won’t be able to use this third element.
When you combine all three of these powers together at once, and gain enough power from the sun, your
charisma can become very powerful. At full intensity, with all three powers active and the sun at its strongest
phase in the day, the Royal Power gives you an aura of leadership, such that people upon seeing or hearing you
will feel compelled to kneel and bow in submission, and they will obey without question or hesitance any
command you issue. The only way to resist the kingly authority at this high level, other than when the order is
something rejected from the bottom of the heart, would be with godly abilities. The potency of each individual
power, along with the combined effect, diminishes with lack of sunlight, and moonlight will significantly sap
the strength of this perk (the moonlight weakness is eliminated if you also took The King is the Land).</t>
  </si>
  <si>
    <t>Drunk in Heart, Not in Mind</t>
  </si>
  <si>
    <t>The Satyros and other followers of Bacchus may be
drunken hedonists all the time, but they are also startlingly elegant hedonists, giving off a sober demeanor even
when dead drunk. You are able to maintain a clear mind even when drunk or intoxicated by other substances;
you’ll retain whatever happy feelings come with the intoxication, but you will still be able to see and think
clearly. People who observe you, unless they already know you were drinking, might think you are cold sober
even after you’ve gotten completely drunk. You also have a greater capacity for alcohol and are barely affected
by any of its negative effects. The perk works whenever you are suffering drunk or intoxicated effects, even if
you are not actually drunk or intoxicated by anything. For instance, if you are taking a drawback that gives you
drunkenness when consuming soda or when poisoned, the perk would still take effect under those circumstances.
Likewise, the perk will still apply if you are merely under the drunken effect of a Satyros’ voice and have not
actually gotten drunk on alcohol.</t>
  </si>
  <si>
    <t>Embodiment of Drunkenness</t>
  </si>
  <si>
    <t>With this perk, you can make every little action
you make embody drunkenness, and impose that drunkenness on others. You can “breathe out” drunkenness,
such that the way in which you play music, caress the body, or even speak words carries with it a magic spell
that makes those exposed to it feel like they’ve been intoxicated with the finest alcohol. Better yet, the spell
imposed by your actions ignores the subject’s normal resistance to alcohol and intoxication. The effect of your
actions increases the more effort and emotion you put into the acts, such that a simple kiss on the cheek might
make you just slightly drunk while a full-blown, tongue-and-all kiss would make you completely drunk and
tipsy.</t>
  </si>
  <si>
    <t>Bacchus’ Blessing</t>
  </si>
  <si>
    <t>You can turn any liquid you touch into a form of alcohol. If
you want, though, you can instead let the liquid retain its original form and properties yet still absorb the
intoxicating quality of alcohol, so that while it appears like its normal self, anyone who drinks or touches the
liquid will feel intoxicated as if they drank actual alcohol. The effect spreads across the entire liquid with
enough time, though it will stop spreading once you cease contact with the liquid, so you could feasibly, if
you’re willing to sit out by the shore for weeks on end, turn an entire sea into water that nonetheless makes you
drunk.</t>
  </si>
  <si>
    <t>Colors of an Oni</t>
  </si>
  <si>
    <t>Just as different-colored Oni have different powers, you can
turn your whole body certain colors to gain various benefits. Red, like a Red Oni, will give you enhanced
strength and appetite, allowing you to push forward to obtain what you desire. Blue, like a Blue Oni, will give
you increased intelligence and calmness, such that you can think straight even when angry and avoid becoming
irritated when you want to be happy. Green, like an Ogre, will give you enhanced endurance and determination,
such that you can pull yourself up for another go even when you should be at the point of exhaustion. Black,
symbolizing the dark fear that Oni create, helps you sense weakness in individuals and imposes an aura of fear
that makes people hesitant to oppose you. Yellow, symbolizing how some Oni are revered as soldiers of the
gods, allows you to impose dominance over people through charisma, or on the flipside make people discontent
so that they stir up trouble.</t>
  </si>
  <si>
    <t>Bacchus’ Party</t>
  </si>
  <si>
    <t>If there’s one thing that Bacchus is loved for, it’s her wild and
happy parties, where everyone’s invited. You have the ability to get people to have large parties and make it so
that anyone who might like to attend will know about the party and be able to come for it. Anyone who passes
by the party or even distantly sees or hears it will be attracted to it and compelled to take part. The more people
there are at the party, the happier everyone participating will feel.
Moreover, Bacchus is known for blessing food and wine. As the party continues, all resources at the party will
be multiplied so that there will always be enough to satisfy people; even if you were to host a nationwide party
in an impoverished country, everyone would be able to feast and drink like kings. In addition, the parties help
people find “strength in oneself” to live their lives as they wish, such that a village beggar could, after
stumbling into one of your parties, become a successful and happy businessman.
However, the longer and more intensely you party, the more that fatigue and hangover effects will gradually
kick in, and eventually the resource multiplier will cease, meaning you’ll have to find more supplies for the
party yourself or call it quits. There is also a cooldown period before you can start another party with the perk,
but the length of the cooldown will be three times the length of the previous party; for instance, if the party
lasted just 6 hours you could party every night, but if you partied for two days straight, you’d need to wait the
better part of a week before resuming the festivities.</t>
  </si>
  <si>
    <t>Sticky and Bouncy</t>
  </si>
  <si>
    <t>Plants have a variety of different textures –
sometimes sticky, sometimes bouncy. The perk has two aspects to it. First, you can selectively make your
body sticky like glue. The “glue” is very difficult to get off, and it is strong enough so that you could use it to
anchor yourself to a rock in the midst of a powerful sea current. People and things that touch you in this state
will naturally get stuck to you, though you can dismiss the sticky effect as you wish. The sticky slime can also
be used as a tasty and nutritious additive to meals.
The second option allows you to generate a fruit-like gel around your body, covering up everything that you
want it to cover. The fruit is incredibly bouncy, to the point that you could potentially make yourself into a
“super ball” and bounce around accordingly. You can make the fruit gel permeable if you wish, but when you
reassert the bounciness whatever was still inside will be trapped, with any attempt to escape causing them to
bounce right back. Like the slime, the fruit juice is delicious and healthy.</t>
  </si>
  <si>
    <t>Lovely Fragrance</t>
  </si>
  <si>
    <t>You can emit a cloud of pollen that has an amazing
fragrance to it. A seductive fragrance, in fact. Depending on what you want, the scent will either drive
whoever smells it mad with lust and cause them to quickly seek you out; or it will imprint the scent in their
mind and make them unconsciously home in on the scent’s location in a gradual, less noticeable process.
People who are caught in the spell of the aroma and then encounter you up close in-person will be caught in an
overwhelming whiff that will addict them to your presence if that is what you wish. You could also potentially
bottle and sell your scent as a sort of perfume.</t>
  </si>
  <si>
    <t>Trees of Life</t>
  </si>
  <si>
    <t>Dryads are considered sacred beings by the Mystery, and
you have been inducted into one of the greatest and most secret rites of the cult so that you have a degree of the
tree mistresses’ power. You can enchant trees to protect them from fire, lightning, disease, and other threats,
with the application of magic and other energy sources strengthening the enhancements. More than that, you
can merge into the tree for protection from harm. The interior of the tree when you enter spiritually hollows out
into a cozy, delightful little home that you can decorate as you please. You can also, when inside a tree, teleport
to any other tree within 50 meters of the tree (this includes the trees’ branches and roots).
Furthermore, if you want, you can bond your soul with a specific tree of your choice. You and the tree are now
a single being, so to speak, and you remain eternally youthful and alive as long as the tree lives. If your body is
destroyed outside the tree, your soul will automatically travel back toward the tree; once it’s nestled inside, your
soul will gradually heal until your body regenerates. However, if the tree dies when you are bonded, you’ll die
too. Also, you cannot travel more than two miles from your tree at any time. You can still use your power to
travel into and between trees, but only one tree can be bonded to your soul at a time. You can dismiss the bond
and take your soul back at any time you wish. When you enter a tree, you can bring people and things with you,
but unless they have their own means of exit you get to determine if they stay or leave. If something or
someone is left spiritually inside a tree for more than one week, they will become bound to the tree, though
unlike you they can only travel up to 50 meters from their tree.</t>
  </si>
  <si>
    <t>Silent Clues</t>
  </si>
  <si>
    <t>Due to their primitive personalities, many bug Mamono
are unable to even speak or write, but their dear husbands are still able to figure out what they want. You have
a way of getting people to understand the feelings and thoughts you are trying to convey to them through body
actions – or even just staring silently at them. This is not so much a communication perk, but rather a luck perk
that makes people more likely to grasp what you want to say. The interpreted messages are generally simple
summaries of overall feelings and ideas, and lack the sophistication of sentences, much less conversations, but
it’s still better than nothing. On the flipside, you can understand similar messages from others without speaking
or writing simply by observing their body “language” and the way they look at you.</t>
  </si>
  <si>
    <t>King/Queen of the Hive</t>
  </si>
  <si>
    <t>A key social behavior of many insect
species is how they group together in communal swarms and hives. When you have gathered willing
companions and allies around you (within a 1-mile radius), you can create a “swarm” with them. Each
individual’s general stats are slightly boosted, with the boost increasing with the number of people in the group.
Moreover, the different members of the hive gain an instinctive connection to each other, such that they can
quickly relay their observations and ideas to each other (even without vocal communication) while remaining
largely united in objectives. As the leader of the swarm, you can control the overall goals of the hive and their
movements, as long as they are not significantly opposed to your intended objectives. You can also emit
pheromones to leave messages for your followers to pick up, even path markers for navigation.
In addition, if your swarm pulls outsiders into its fold, such that those people are essentially surrounded on all
sides by your hive, you can gradually shift their mindset to one embraced by the hive. For instance, if the
swarm values violence, you can make peaceful people caught in your “net” more eager to fight, and if the hive
embodies peace and harmony the swarm could quell the violent tendencies of even naturally-aggressive beings
– and once their values line up with those of the hive, it’s likely that they’ll be willing to join the group.</t>
  </si>
  <si>
    <t>Worm Vessel</t>
  </si>
  <si>
    <t>You can summon a monstrous worm that resembles
the outer form of a Sandworm to surround you as a “shell”. The worm “shell” is linked to your own body, and
you can control and sense things through it as if it were your true body. You can alter the size of the worm shell
as you wish, so that it can be small enough to fit on you like clothing or be up to twelve times your actual
body’s size (this means that the potential size of the worm vessel increases with your own body’s size). The
outer body of the “shell” is hard as rock and very difficult to damage, but the interior walls are soft and fleshy,
making it a very comfy home. As long as the “mouth” is closed, the interior will be fully protected from
outside hazards (sand, heat, etc.). Given the potentially spacious interior, you could potentially live inside it
indefinitely along with other people. In addition, the worm is able to “swim” through solid materials, whether
it’s sand, earth, stone, or something else, without leaving any tunnel or trace behind it.</t>
  </si>
  <si>
    <t>Slime Coat</t>
  </si>
  <si>
    <t>You can now produce a general slime substance that covers your body
without damaging your body or anything you’re wearing at the time (unless you want it to for some reason). In
addition to the general sort of slime, you can also alternate between the different slimy substances produced by
different kinds of Slimes in this world. Furthermore, you can potentially learn to create new kinds of slimes (as
in substances, not monster girls) if you mix your slime(s) with new substances. Also, you can change your
body’s color, from skin to hair, to match the color of the slime you are producing. When your slime is more
than 20 feet away from you, it will quickly begin to dissipate.</t>
  </si>
  <si>
    <t>Bubbling Purifier</t>
  </si>
  <si>
    <t>This perk, in addition to giving you a general immunity to
the negative effects of toxins, allows you to absorb toxins around you into your body and convert them into
harmless substances that you can then release back into the environment. The catalyzing process may
sometimes release a foul smell depending on the potency of the toxins, but you will personally be protected
from the bad odor unless you choose to expose yourself.</t>
  </si>
  <si>
    <t>Amorphous Body</t>
  </si>
  <si>
    <t>You can selectively control the solubility of your body. For
instance, you could become like a liquid/slime so that swords will simply pass through your body without
actually harming you, or twist your body to squeeze through small cracks. You can also ensure that when you
are in a liquid or semi-liquid form that your body will not mix with other liquids in the area. Furthermore, if
you adjust your solubility, you can become light enough to drift through the sea (or instead float against it). If
purchased with Slime Coat, you can choose to merge your liquid body with the slime substances you produce,
and same for the toxins you absorb if you bought Bubbling Purifier – and don’t worry, you can cancel the
fusion and eject the slime substances and toxins whenever you want, though you can also choose to store them
for later use.</t>
  </si>
  <si>
    <t>Droplet Division</t>
  </si>
  <si>
    <t>You can create extra copies of yourself. Each time you split
a new copy off yourself, you need to expend a fair amount of stored energy/mass from your current body to
create the new body, so the division may temporarily weaken you if you haven’t gathered enough resources for
the split ahead of time. But once your copy has been generated, it can subsist on its own. Each copy has your
basic body form from when you initiated the division, but the copies will not normally inherit any perks from
you except for Droplet Division. In their normal state, the copies lack minds of their own and instead have
simply an instinctual desire to follow you. However, you can focus to implant certain knowledge and memories
into individual droplet copies, thus allowing you to transfer knowledge-related perks. But to do so requires you
to expend even more energy/matter.</t>
  </si>
  <si>
    <t>Slime Core</t>
  </si>
  <si>
    <t>You can generate a “slime core” nucleus within your body to act
as an extra storage container for magic and other energies within your body. The core lets you store energies
such as magic inside it and enhance the potency of the energy the longer it’s stored in the core. In addition, the
core acts as a sort of “back-up hard drive” for your mental processes, so as long as the core keeps running you
can retain complex intelligence/thoughts even if your body otherwise lacks the capacity for that level of thought.
If you also purchased both Slime Coat and Amorphous Body, you can regenerate your body slowly but surely as
long as your Slime Core survives. If you also purchased Droplet Division, the Slime Core allows you to pass on
knowledge to your copies without having to expend extra energy/materials.</t>
  </si>
  <si>
    <t>Two Parts</t>
  </si>
  <si>
    <t>The Centaur’s horse body actually has two vaginas – one like a horse’s and
the other like a human’s. You can use the perk to give yourself multiple vaginas and penises, but the perk also
lets you duplicate body parts and place the second body part on any area of your body. Furthermore, the second
body part does not have to be the one that would usually correspond to your current body – it can be the
equivalent part from any other body form you have.</t>
  </si>
  <si>
    <t>Nightmare Rider</t>
  </si>
  <si>
    <t>By being physically next to an individual who is asleep, you can
enter that person’s dream and take charge of it. In the dream, you can appear in a persona of your choosing,
even if in reality you look nothing like what you do in the dream. You cannot physically or spiritually harm the
dreamer when you are in the dream, but you can take control of the dream’s direction. Furthermore, you have
the ability to drain energy from the sleeper by having sex with him or her in the dream (or possibly other ways,
if you already have other methods of energy draining). Also, you can empower weapons you hold to “cut”
portal-tears into dream worlds, though the holes gradually patch up over time.</t>
  </si>
  <si>
    <t>Horn of Purity</t>
  </si>
  <si>
    <t>You can make a Unicorn’s horn appear on your head. The horn
symbolizes purity, and it has strong healing powers that you can draw upon. The horn is filled with its own
replenishing supply of energy, and the power of the horn’s healing abilities increases with how pure your
energy is (meaning the less you use other energies to power the horn); the power of the horn also increases the
purer and more loving you act toward the person you wish to heal – meaning that you could potentially restore a
person burnt to ashes back to full health in body and soul if you sincerely, deeply cared about him or her.</t>
  </si>
  <si>
    <t>Bi-Harem</t>
  </si>
  <si>
    <t>With this power, you can bless those you love with the ability to attract
harems. By marking a person, you make him or her highly attractive to other people, and he or she will have
great luck in drawing in especially compatible partners. Moreover, the scent of the mark makes those attracted
to the marked person open to the idea of sharing love in a harem style without coming into conflict with each
other. If you are already romantically tied to the person you blessed, the people attracted to your lover’s harem
will automatically recognize and respect your position in the harem. In addition, the perk allows you to fan the
desires of those you mark so that they consciously start to desire a harem. And unlike a normal Bicorn, there is
no limit to how many people your marked lover can attract to his or her harem – nor is there a limit in how
many people you can mark with the harem master scent. The harem blessing cannot be given to yourself,
though others who have the perk could in turn share it with you.</t>
  </si>
  <si>
    <t>Man’s Best Friend</t>
  </si>
  <si>
    <t>There’s just something about the cute, devoted behavior
and appearance of dogs that they can instill great love in their owners, despite the dogs’ inability to use any sort
of charm magic. You have a very sweet and adorable demeanor that makes you very likeable and easy to love,
with the power of the perk increasing with the level of devotion and love you show in return. And since the
power is not actually a charm spell, the perk is not nullified by magic-neutralizing powers.</t>
  </si>
  <si>
    <t>Mood Monitor of Maids</t>
  </si>
  <si>
    <t>You are very sensitive to the subtleness of
human emotions and can intuitively recognize what people want. Reading the mood of people, you could tell
their food preferences, pet peeves, and even degree of pent-up lust without them ever saying a thing to you.
You also gain increased skill in maid work.</t>
  </si>
  <si>
    <t>Rebel Against the Gods</t>
  </si>
  <si>
    <t>It is said that the Hellhound was made by a god
of the underworld to serve as a guard, only it was impossible for even the gods to tame them. You have an
unbridled determination to remain free, such that you can never be forced or kept in a servant position against
your will. Even gods will be hard-pressed to get you leashed to their will, much less keep you leashed for long.
To assist in your desire to be free, whenever physical or metaphorical “chains” of submission are forced on you,
your heart and body begin to overflow with a dark, magma fire normally found only deep in the abyss of the
underworld, giving you a significant will and strength boost.</t>
  </si>
  <si>
    <t>Run With Your Cock</t>
  </si>
  <si>
    <t>You can run as fast and agilely as any bird
flying in the sky. In fact, whenever you can see something flying in the air, you can make your running speed
match that of the flying thing as long as you keep sight of it. In addition, anyone you pass while running will be
granted a significant boost to their own running speed as well.</t>
  </si>
  <si>
    <t>Egg Laying</t>
  </si>
  <si>
    <t>You can at will lay birdlike eggs, though none of them
actually contain an embryo. They can range in size from chicken eggs to the size of chickens to even large
enough to contain a full-grown ostrich. All of the eggs are hard as rocks and near-impossible to even crack.
However, either at your command or when a hostile person comes within 20 feet of the egg, the egg can hatch
to reveal a yolk-bodied slime. When you lay the eggs, you can imprint certain commands into the yolks to
determine what the slimes will do when they awaken. Please note that the perk allows you to lay eggs
regardless of your sex, such that you could lay eggs (usually through the butt) even if you’re a guy. Actually,
you don’t really “lay” eggs but rather summon the eggs out of thin air, so you don’t need to worry about your
anatomy getting in the way. If you want, you can also set the eggs to have a small chance of instead hatching
into a full-fledged, love-hungry Harpy of sorts, ready to pounce on whoever is present when her egg hatches;
the default breed is Jubjub, but you can select other variants if you want – maybe even hatch a new kind of bird.</t>
  </si>
  <si>
    <t>Thunder of the Heart</t>
  </si>
  <si>
    <t>Your heart is like a bolt of lightning, ready
to strike at a moment’s notice. You can generate magical lightning that can either cover your body or be shot
out like lightning at a target – and since it is literally lightning, it’s going to certainly be a swift attack. The
default state of your electricity leaves no physical harm but temporarily paralyzes victims with a sensation of
shocking pleasure; you can change the electricity to the normal, harmful kind if you wish, though. And unlike a
normal Thunderbird, you won’t have to worry about losing control of your lightning if you get too emotional.
In addition, you can absorb outside energies you make contact with and add them to the electricity you’re
storing for an even more intense voltage; that said, you’ll need to consciously activate the absorption power
before you make contact with that energy.</t>
  </si>
  <si>
    <t>Born to Be Wild</t>
  </si>
  <si>
    <t>Like beastmen, you have your physical and wild
attributes enhanced. Your sense of hearing and smell will become a little stronger than it normally would, for
instance, and you would be a little faster and stronger. The boost isn’t incredibly big, but it will enhance these
attributes and more beyond what they would normally be for your body (including beyond any other
enhancements already in effect). It also teaches you how to instinctively use bestial seduction gestures to
appeal to a target’s animal instinct to reproduce and make them see you as a “suitable mate”.</t>
  </si>
  <si>
    <t>Magic Repository</t>
  </si>
  <si>
    <t>Fun fact: mice are excellent catalysts for magic
rituals since they naturally accumulate and store magic within their bodies. Like mice, you can find it easy to
store magic and other energies in your body, essentially increasing your overall storage capacity. The storage
expansion is gradual (and will gradually return to your normal storage capacity as you use up the excess energy),
so be careful about absorbing a lot all at once, but your storage space will eventually increase to accommodate
the energy you’re storing, no matter how large. It also becomes easier for you to naturally absorb magic and
energy from your surroundings. And unlike mice, you aren’t locked out from actually using/releasing the magic
you build up inside you, so don’t worry about that.</t>
  </si>
  <si>
    <t>Beast Insignias</t>
  </si>
  <si>
    <t>You can manifest tattoo-like insignias on different
parts of your body – not only the infamous “beast” wolf pattern of the Beast Sabbath but also other animal
symbols like vixen [fox], rabbit, and more. These different sigils sharpen both your body and mind in various
ways depending on the specific symbol. Generally, you will get physical enhancements and a mindset parallel
to the type of animal pattern. For instance, the wolf insignia heightens your senses while also releasing the
bestial instinct of a predator, the vixen insignia grants you the crafty mind and alluring charm of a fox, and the
rabbit insignia puts you in heat like a rabbit while also helping you sense love/lust around you.
Each individual insignia’s enhancements and effect on your mind are limited, though, and generally have the
most effect in the place you summon the emblem; if you have a wolf pattern on your face, your eyes and nose
will sharpen considerably (and those senses will also drive your predatory lust), while if you had it in the mouth,
you’d have a rich sense of taste as well as a lustful desire flow through your mouth. It is possible to summon
multiple insignias of the same or different type on various parts of your body for an accumulated effect
physically and mentally. You also know how to implant these markings on others through physical contact.</t>
  </si>
  <si>
    <t>Howling Force</t>
  </si>
  <si>
    <t>A theriomancy spell invoked by howling or roaring
like a crazed beast. Anyone within hearing range who is considered a “pack member” of the howler (family,
friend, ally, etc.) will temporarily receive any buffs that the howler is currently enhanced by. You can also
selectively choose what buffs to share while howling. The shared buffs will remain in effect as long as the
howling has not stopped in the last five minutes or the original buffs have not worn off the first howler. Also, if
the individual has the Born to Be Wild perk, that boost will also be shared among those affected. The effects of
the howl are heightened the more members of the pack howling, as once the original howl starts their own roars
will qualify as this perk as well. That said, the power of the individual buffs being shared won’t be increased by
the number of howlers, so it’s best if each individual howler shares their own separate buffs for the most
efficient use of the perk.
However, the howl has another effect, as it is not simply a call out to pack members but also a cry for pack
members – meaning that the roar is also seeking new potential members for the pack. Anyone with strong
affinity or compatibility for the “pack” who hears the bestial call, even if they were not previously connected or
allied with the howlers, will themselves compelled to join the wild pack. If they embrace the compulsions of
the howl, their mindset will gradually shift to being a fellow “pack member” toward the howlers, thereby
enabling them to receive the buffs and join the howl themselves.</t>
  </si>
  <si>
    <t>Violent Thrills</t>
  </si>
  <si>
    <t>Like an Ogre, you now gain a strong sense of pleasure and thrill in fights.
The more your opponent fights back, the more your fighting spirit will rise, temporarily boosting your morale
and strength. The boosts start out low, but their potency will increase exponentially the longer the fight lasts.
Your fighting spirit (and resulting boosts) also rises when you are passionate about something or someone.
Naturally, the same applies to your sexual activities, with your sexual pleasure increasing the more that your
partner fights back or dominates you. In addition, this perk increases your overall stamina.</t>
  </si>
  <si>
    <t>Trippy Tricks</t>
  </si>
  <si>
    <t>Goblins and other demihumans are notoriously stupid, but they’re
also very cunning, and not to be underestimated. The perk allows you to selectively shift your wits and overall
brains to the goal of mischief and troublemaking. This allows you to come up with very sneaky tactics that
surprise enemies, but it keeps your wits from helping you with other thought processes, making you very stupid
in other aspects. You also know how to disseminate your wits back to their normal, distributed form when
you’re tired of being a silly but very clever trickster. In addition, the dumber and clumsier you act, the luckier
you get, to the point that silly and embarrassing stumbles on your part may actually deal critical blows to your
enemies. Also, the dumber you are, the bustier you can make your physical appearance (muscles, breasts,
butt/hips, penis, etc.), even potentially to cartoonish proportions – and the bustier you are, the stronger your
charisma will become.</t>
  </si>
  <si>
    <t>High Odor</t>
  </si>
  <si>
    <t>You can release a peculiar odor akin to that of a High Orc’s, with two
possible effects that you can selectively alternate between. The first effect of the feminine stench is to cause all
allies who catch even a whiff of it to suddenly gain enhanced bravery, stamina, and physical strength, perfect
for a mass berserk charge on the enemy. It also makes them more eager to follow your command. The second
effect you can choose will make targets feel an overall sense of defeat and submission to someone of your
choice, as long as said person is within the overall field of the stench. In both cases, the scent fills everyone
affected with wild, excited lust. You can also have both effects selectively active on different targets of your
choice if you like.</t>
  </si>
  <si>
    <t>Red Cap</t>
  </si>
  <si>
    <t>You can summon a long stocking cap onto your head. It fits snugly on
you and cannot be removed unless you choose to dismiss it. The cap acts as “extra space” for energies in your
body, allowing you to essentially keep a spare surplus of energy without overloading your body’s capacity.
You can transfer energies inside your body to the cap, or have energy you absorb through various means go
directly into the cap. The cap is normally white, but once energy is put into it the cap will start to change color
to suit the energy. When stored in the cap, the energy will “boil” into a more refined, potent state that has more
power than the energy normally has.
However, the “boiling” process is right next to your head, so the energy stored in your cap may leave a
temporary imprint in your mind that influences your behavior depending on the sort of energy contained; for
instance, a red color typically associated with demon energy would increase your aggressiveness and lust. Also,
as long as you are keeping energy in the cap, you can transfer some of the energy to whatever weapons you are
physically holding, thus temporarily enchanting your weapons with that type of energy. If you dismiss your cap,
the energy will normally transfer back into your body, but any energy beyond your normal storage capacity will
be lost.</t>
  </si>
  <si>
    <t>Troll Garden</t>
  </si>
  <si>
    <t>You have a strong affinity with the earth, such that your body
metaphysically qualifies as “fertile soil.” Meaning that when you have the perk active, whenever you are hit by
sunlight, the “soil” will cause plants to grow on your head – and other parts of your body if you wish. You can
selectively change the type of plants that grow on your head as long as you have previously eaten the plant, but
the default state is a bouquet of aphrodisiac flowers. Whatever plants you grow, they will be in optimal health
and possess all special qualities of the specific plant.
Keep in mind that since the plants are rooted in the soil of your head, the qualities of the plants will influence
your body. For instance, aphrodisiac plants will make you “space out” with the dizzying sense of lewdness
coursing through your veins. In most cases, though, the plants you grow on your head will increase your
physical strength, as long as you are exposed to sunlight. Once you are out of the sun, the plants will slowly
shrivel away until they are ready to spring back to life under the sun. In addition, the plants bless your body
with the ability of “regrowth”, such that you can quickly regenerate from wounds.</t>
  </si>
  <si>
    <t>Every Inch of Passion</t>
  </si>
  <si>
    <t>The devotees of the faith believe that you
should be able to orgasm through a simple touch from any part of your body. Now you can make every single
part of your body, inside and out, sexually-stimulated to the maximum potential. Also, any energy-absorption
skills that you have can now be performed by any part of your body, even through simple skin contact.</t>
  </si>
  <si>
    <t>Promotion for Misconduct</t>
  </si>
  <si>
    <t>The followers of the Fallen God most
of all follow the creed of self-hedonism, such that they will abandon the mission of spreading the faith as soon
as they find a husband – and they are actually rewarded for this disloyalty by being granted access to the
(un)holy realm of Pandemonium. With the perk active, you actually get rewards and potentially promotions
from your leaders and supervisors for neglecting your work and being hedonistic.</t>
  </si>
  <si>
    <t>Fallen Eclipse</t>
  </si>
  <si>
    <t>In a world where every monster specializes in
corrupting the innocent to the ways of lechery and hedonism, you are a master of the art beyond the common
corrupters. Through a combination of charisma, dark magic, and the Fallen God’s own hieromancy, you can
corrupt even the holiest of heavenly servants and the purest of chaste nuns into utterly lewd parodies of their
former selves.</t>
  </si>
  <si>
    <t>Grace of the Ocean</t>
  </si>
  <si>
    <t>You have been blessed by the protection of Poseidon.
Whenever you are in or on a body of water, you can soothe any furies in the water, thus reducing storms to calm
weather you can easily sail through without trouble. Plus, you have gained a carefree, wistful personality that,
much like the sea, is ever eager to explore new things and enjoy life’s beauty.</t>
  </si>
  <si>
    <t>Flexible</t>
  </si>
  <si>
    <t>You have an exceptionally flexible body like that of an
octopus (or Scylla). As a result, you can bend your body in all sorts of ways, and even squeeze yourself into
narrow little crevices and openings that you normally wouldn’t fit into. Plus, it gives you many new
possibilities for positions when having sex!</t>
  </si>
  <si>
    <t>Nesting Hole</t>
  </si>
  <si>
    <t>You can summon and seal yourself inside a human-sized,
barnacle-shaped rock with a large hole at the top. This “nesting hole” is harder than steel and strongly resistant
to both physical and magical attacks. The interior is actually a separate dimension that is more like a giant cave,
able to hold a large number of guests and treasure at once. When you are in this form, you can freely move
about the interior, but you cannot leave the shell or move the rock from its starting location. Fortunately, you
can bring what you want to you: this form allows you to summon great whirlpools that can drag in anything in
the area (or specific targets you select). If you don’t want to keep everything you pull inside, you can reverse
the whirlpools to specifically eject what you don’t want. Your Charybdis-like form was intended for use in the
water, but with enough work you could probably get things to work on land, too, making whirlwinds or
sinkholes in the place of whirlpools.</t>
  </si>
  <si>
    <t>Marriage to the Sea</t>
  </si>
  <si>
    <t>You have been given the great honor of helping
Poseidon link more people to the sea. Whenever someone is fully exposed to water (aka drowning), by
touching the person you can “wed” him or her to the sea. The marriage alters the individual’s body into an
aquatic form that can easily breathe and move underwater (interestingly, the transformation does not take away
any existing abilities to live outside of water), and also gives him or her a natural scent that causes other aquatic
organisms to recognize him or her as a fellow “child of the water” and thus treat him or her with less hostility.
Of course, it’s possible for people, through willpower, to resist the holy transformation, but fortunately you
have a strong charisma in convincing people to love the ocean and water, such that someone terrified of water
will, after talking with you, see water as the most wonderful thing in the world and wish to live under the sea.
The perk also gives you the right to conduct marriages between willing couples when beside water – and once
you complete the ceremony, the marriage will be legally and spiritually binding.</t>
  </si>
  <si>
    <t>Maddening Allure</t>
  </si>
  <si>
    <t>You have a stunning and...otherworldly beauty that
comes to the fore when you choose to activate the perk. Your beauty is amazing...and maddening. Anyone
who gazes at you when the perk is active will begin to go mad. In the old days, this would have turned people
into gibbering wrecks, but in this new age it instead makes people go mad with an unrestrained lust and love
that is inhuman, such that making love to you is more important than anything else in the world; you can
selectively determine which effect takes place. People can resist your chaotic beauty with enough willpower,
and anything blocking their view of you, whether it’s clothes, a mask, or pitch-black darkness, will reduce the
effect.
However, the perk has a secondary aspect to it that comes into play whenever something prevents someone
from fully seeing you. Whenever that happens, the person will slowly become obsessed with seeing you in your
entirety – which, of course, would mean exposing themselves to the full madness of your appearance. To
protect you from the effect, you are immune to the effects of seeing yourself. You tend to adopt a manic,
untamed grin whenever you draw on the power of this perk, and those infected with your chaotic madness will
come to sport similar expressions.</t>
  </si>
  <si>
    <t>Mental Tentacles</t>
  </si>
  <si>
    <t>You can summon purple, slimy yet sensual tentacles
anywhere on your body. These tentacles are physical manifestations and can be used for a variety of tasks, but
they take an entirely different form whenever they can access an opening into a person’s body – whether it’s the
ears or the anus. Once they enter the body, they become intangible, psionic projections that home in on the
brain without harming any part of the body.
Once the tentacles are coiled around the brain, you can “melt” and “stir” the mind. For starters, you can “slurp”
up memories and thoughts from the individual to mentally view them yourself and consume them for
sustenance. The “slurping” does not erase or remove the original memories and thoughts from the target’s mind,
but you can also “stir” to bend, seal, and implant memories and thoughts into the victim. You could give your
victims new memories, such as convincing a human (even a man) that “she” is a monster girl. These mental
effects can also influence the body’s senses; for instance, if you made someone believe he was a fox, he would
have enhanced olfactory senses like a fox. You can also implant subliminal messages, such as one requiring
them to return to you every fortnight and then forget about it.
However, while you can twist around the mind, you cannot truly enslave or alter it permanently. Whenever the
affected victim prepares to commit an act that he or she would wholeheartedly refuse with a free mind, such as
murder their family or sleep with someone other than their true love, the person will instinctively begin to resist
and potentially break free entirely.</t>
  </si>
  <si>
    <t>Body of a Servant</t>
  </si>
  <si>
    <t>Like a Shoggoth, you can reshape the cells of your body to
create any organ you wish, and that’s just the tip of the iceberg. You can also split off and shape your body’s
cells/organs into various items that mimic the function of the actual items. For instance, even if you are
normally vulnerable to fire, a frying pan you made with your body would be resistant to heat. It’s fairly easy to
make mundane items using your body, but especially complex items, such as magical artifacts or especially
advanced technology, would require a lot more concentration on your part (and maybe a little extra energy) to
get things right. Please also keep in mind that these items are being created from your body mass, so unless you
have a way to regenerate your mass you might not want to make too many things at one time.</t>
  </si>
  <si>
    <t>600+</t>
  </si>
  <si>
    <t>Atlached to the Nacha</t>
  </si>
  <si>
    <t>At will, you can turn yourself into an ominous-looking, huge
(size of a truck at the least) spider. Your “head” is a strange orifice with wiggling tentacles and fangs that can
inject targets with a bodily fluid that contains energy from your body. You’ll be quite a formidable beast just
on your own, but you can take things to a new level with a partner. By pulling a living being (it should
probably be someone smaller than you) into the opening with your tentacles, the two of you can, by mutual
consent, “fuse,” with your partner functioning as your “head/upper body.” The two of you can see through each
other’s senses and cooperate in sync, such that if nobody saw your transformation, they would mistake the fused
being for a single creature.
By “biting” into your attached partner with your fangs, you can transmit your personal energies to the partner,
or absorb the partner’s. If your partner is of the opposite sex, the position of the two of you allows you to
essentially have sex indefinitely by transmitting the necessary genetic carriers between your halves of the body.
Your large abdomen will always be the one that gives birth to the young, and, similarly to the high breeding rate
of bugs, can potentially give birth to over a hundred children at once if the two of you put enough effort into it.
You can dismiss the transformation at will, which will instantly separate your fused partner from you.
While the default monster form available to you is a giant spider, you can alternatively choose several other equally gargantuan and monstrous forms: a squid (that can safely move about on land/water), a slime amalgamation, an antlered beast, or a tentacled bat creature. Only the spider has the breeding abdomen, but each form has its own advantages.
• Squid- Can unleash psionic mind blasts that daze and confuse people caught in the wave, and the tentacles can safely “swap” the brains of targets.
• Slime- Its substance can selectively dissolve most materials (except those you choose to let it harmlessly pass over), and living things exposed to the slime have a 5% chance of their body chaotically altering in some manner.
• Shaggy Antlered Beast- Increased resistance to cold/ice, and can summon blizzards at will; the antlers can also project illusions, like making it appear that there are four of you instead of just one creature.
• Bat- Can fly without making any sound, and it perfectly blends in with darkness to become invisible; it also does not need to breathe, so it can fly through space.
All of these different forms, though, retain the “fusion” aspect of the perk, such that someone can merge his or
her body with you as a second “half” of your form, and the two of you can transfer energies back and forth
accordingly. You can purchase this perk multiple times; doing so will not only give you access to multiple
forms, but also a fused version of all the purchased forms, much like how a man married to several different
Cthulhu-type monster girls will become an amalgamation of their forms.</t>
  </si>
  <si>
    <t>Cute and Coy as a Kitten</t>
  </si>
  <si>
    <t>Cats are rather selfish and capricious, but in a way
that is part of their charm. You have a certain aura of cuteness that encourages people to fulfill your desires,
with your power growing whenever you act like a childish and spoiled cat.</t>
  </si>
  <si>
    <t>Feline Grace</t>
  </si>
  <si>
    <t>The human worshippers of Bastet deeply wish to one day be
granted the bliss of becoming a cat, so it’s only natural that they prepare themselves for that ascension. You
have been granted access to some of the natural abilities of cats, such as enhanced climbing and agility, along
with the ability to always land upright. It also allows you to understand and communicate with cats.</t>
  </si>
  <si>
    <t>Cat Curse</t>
  </si>
  <si>
    <t>By scratching a target in the manner of a cat, you can impose a
24-hour curse on the subject that makes him or her especially vulnerable to cats. This means that feline
attackers will deal extra damage to the enemy, and also that whenever a cat touches the victim, he or she will
feel a sensation of pleasure that will sap away his or her strength. If you took Feline Grace, seeing as you
technically fulfill the qualifications for a cat, the target will also be vulnerable to you.</t>
  </si>
  <si>
    <t>Gentle Strength</t>
  </si>
  <si>
    <t>While recognizing the necessity of fighting, Ares blesses her
soldiers to ensure that things don’t get out of hand. You now know how to fight in a sexy style that ensures that
you will not seriously wound or kill an opponent, yet still incapacitate. Essentially, you know how to limit your
attacks just enough so that while they will bring down enemies, they won’t kill them. Also, you have an
increased likelihood of striking erogenous body parts with this style, thus immobilizing foes as they have
sudden rushes of euphoria. Since Ares never learned much magic, though, the perk only applies to physical
attacks.</t>
  </si>
  <si>
    <t>Flaming Passion</t>
  </si>
  <si>
    <t>Your heart burns brightly like a volcano under Ares’
loving care, and you fight that the fire intensifies with every battle you take. As the challenge level of your
opponents in battle increases, the fire in you grows, boosting your energy and raw strength while also filling
you with incredible happiness. You can also make the fire emerge physically on the exterior of your body
without harming you. In addition, while the fire normally burns and hurts enemies that touch it, you can also
temporarily transfer the flame to others so that they feel the same rush of exhilaration that you do in a fight,
encouraging them to fight ever harder.</t>
  </si>
  <si>
    <t>Divine Voyeur</t>
  </si>
  <si>
    <t>It is said that Ares watches on with glee when Amazonesses
have public sex with their partners. Whenever you have sex with others, or whenever you act sexy in battle,
Ares will be watching and will award you “points” for your performance. The points will enhance your combat
stats such as strength, vitality, and agility for a limited duration, with the timeframe and level of enhancement
depending on how many points she gave you – with the lowest rank just giving you a minor boost for maybe 10
minutes.
Part of the score is determined by your sexual prowess, but it’s also based on Ares’ appreciation for “honest
love” – the less private the affair is, and the more people that witness your actions, the higher your score, such
that making out in a crowded town square would bring Ares’ full approval. A “perfect” score of 10 would
make you the equivalent of a mighty hero for 24 hours, but there’s really no limit to the number of points and
equivalent boons you can earn from the goddess, assuming you have enough stamina and passion for the job.
The perk also lets you visually see any sexual acts or battles within a 100-meter radius (and since Ares is
watching what you watch, you’ll also score performance points for sexual activities and sexy battles you view;
however, you can only focus on one such incident at a time.</t>
  </si>
  <si>
    <t>Honored Saint</t>
  </si>
  <si>
    <t>Despite Eros’ work in bringing together humans and monsters, the
Order still honors her as a good-aligned deity and gives her servants (the Erotists) safe passage through Order-
aligned territories. In fact, the idea of harming them is sacrilege! The perk embodies that effect by making it so,
as long as you preach and practice a moral code valued in a community, people there as a whole will see you as
a good person, even if you commit other actions that go against other codes they value. They won’t take action
against you unless you are blatantly hostile with your actions that go against their morals, and even then they
will be reluctant to hurt you because, since you follow some of their other values, surely you must be a saint at
heart – you must just be testing them to see if they have the same goodness to resist your temptations, and if
they fall it’s their own fault.</t>
  </si>
  <si>
    <t>Eternal Virgin at Heart</t>
  </si>
  <si>
    <t>Like the Houri, you have the persona of an “eternally
newly wedded bride.” Meaning that every time you have sex, it will feel to all parties like your very first time,
and similarly dates, kisses, and other actions of love will have that unforgettable feeling of the very first time
every single time, never getting old. You can share the virgin embodiment with your romantic partners. The
virgin aspect only applies as long as you choose to have the perk active, but the happy feelings you get from
that state will remain in your heart for some time after you stop being a virgin.</t>
  </si>
  <si>
    <t>Melody of the Gandharva</t>
  </si>
  <si>
    <t>The wise (and lustful) winged Gandharvas have taught
you to play and sing their beautiful music. By playing the “melody of love,” you encourage people to embrace
their feelings of love for others, to the point that you could potentially even bring a war to a grinding heart by
reaching out to the hearts of the combatants and helping them find love for their comrades and enemies.
Moreover, the Gandharva’s charm affects all the human senses. Therefore, the perk ensures that music-related
powers are guaranteed to affect anyone in range, even those unable to hear it, as long as they have other senses
active.</t>
  </si>
  <si>
    <t>Dance From the Heart</t>
  </si>
  <si>
    <t>You have been taught the many wondrous dances that the
Apsara use to teach love to the world. Your “dance of love” is designed to make watchers notice and admire
every part of your body, enrapturing them with love while also granting them vigor and energy. Your
“celebratory dance,” traditionally performed at weddings, accentuates the charm that a couple offers to each
other, thus permanently strengthening any bonds they already hold for each other.
Moreover, dancing for you is a way of life that permeates even into your daily activities. Therefore, any action
you take that involves movements of your body – even waving your hand or walking a few steps down the stairs
– counts as “dancing” and therefore qualifies as empowerment for any abilities you have that use dancing as the
focus. On the flipside, this means that you can perform almost any common standard action through a dance,
such that you could cast spells or pickpocket a victim even while keeping up a complex, elegant dance.</t>
  </si>
  <si>
    <t>Arrows of Cupid</t>
  </si>
  <si>
    <t>You can now fire the arrows used by Cupids to spread Eros’
message of love with others, with different effects depending on the arrows:
• Golden “Arrows of Love”- Cause targets to swell up with love, greatly amplifying even minor feelings of affection into overflowing passion.
• Black “Arrows of Lead”- Make a target lose their love for certain things, and are generally used either
on people unhealthily attracted to partners who don’t love them back or on people who have love for
things other than people, such as “love of gold” or “love of knowledge.” The black arrows don’t make their targets dislike love, though – on the contrary, now that they have felt the pain of losing love, they will thirstily seek out genuine love somewhere else.
Both the golden and black arrows are less physical objects than the spiritual embodiment of “immortal love,” so
the arrows will ignore all physical defenses when piercing a target and have strong power in overcoming other
resistances; moreover, once the arrow has locked someone into or out of love, it will be practically impossible
to break free of the compulsion, even after a thousand years, unless the individual has divine assistance or
opposes the compulsion with all their heart. You can also fire an arrow born from the feelings in your heart;
this is usually used as an extra-strong love letter to propose to lovers by the Cupids, but you could potentially
use other parts of your heart besides love/lust to power those arrows, with different effects.</t>
  </si>
  <si>
    <t>Prideful Power</t>
  </si>
  <si>
    <t>Dragons are often known as “rulers” of the
earth because of their sheer pride and raw strength both magically and physically. Really, if you look hard
enough, it becomes apparent that the greatest aspect of dragons, if only to themselves, is their unabashed pride,
which gives them unrivaled power. You can now convert internal willpower, determination, and pride you have
into a power boost to your physical strength or magical power (or both, if you like). Essentially, you can
substitute strength with will or give yourself extra magic to draw on with will. The more pride and
determination you have in yourself, the more you can do, such that not even mountains will get in the way of
whatever goal you have.
Of course, willpower isn’t infinite, though it can replenish itself if you give it enough time. So make sure that
you don’t go too far in using up your will for the sake of power, or you might suffer some physiological nausea
or emotional turmoil due to the loss of will/pride. On the flipside, since dragons get their pride from their great
strength and magic, the stronger you are physically or the more magical power you have under normal
conditions (not accounting for enhancements from this perk), the greater your full pride and willpower reserve
will be. Become strong as a dragon, and your pride and willpower will soar to a suitable height (though you can
choose to lower your pride at any time if you wish).</t>
  </si>
  <si>
    <t>Draconic Breath</t>
  </si>
  <si>
    <t>You can now selectively breathe out several different magical substances, though only one at a time:
• The first is the fire that normal Dragons have. The fire is intense enough to incinerate almost any
material, though it may take prolonged effort to melt especially durable materials. You can choose to
have the fire not harm living things that would normally be vulnerable to the flames, and the fire will
instead “burn” away their strength, thus weakening them significantly. The only other limit to the fire’s
power is that it is unable to harm things that are specifically made from or immune to the element of fire
(it could melt hardened lava, but it would do nothing against a magma slime beast, for instance).
• The second breath ability is the “rotten breath” of Dragon Zombies. Like a miasma, the vile gas rots
away at the victims’ rational mind and resistance until they have nothing left but lustful instinct. In the
case of women, they will further corrode into various undead monsters; you can also choose to alter its
effects so that everyone who breathes it in becomes an undead.
• Finally, the third option is the forgotten “breath of the earth.” This metallic, rocky breath causes
whatever is caught in the cloud to turn into natural stone. Inorganic material that is already hard like
rock will harden even further, making it harder to even scratch. Living things petrified by your ability
never die from it, and any body parts not caught in the spray will remain normal. The petrification will
naturally wear off over a week or two.</t>
  </si>
  <si>
    <t>Bond of Champions</t>
  </si>
  <si>
    <t>The greatest dragoon partnerships
between man and dragon are ones of deep love and affection. You and people you are directly partnered
alongside with for a task, whether it’s running a club fundraiser or fighting in battle, now have increased
success working together fluidly and accomplishing the desired task, with the boost increasing the more each of
you cares about the other. Keep in mind that this must be a direct partnership, so it won’t automatically extend
to allies in general unless you are cooperating with specific individuals for a certain goal; this means that while
you could use this to boost your attack combos alongside a comrade in a tough fight, you probably wouldn’t be
able to have the same enhancement spread out across the entire army you’re fighting as a part of. But more than
that, you can bless the partnerships of others (even ones with domesticated beasts like pets or steeds). For the
blessing to work, each partner has to be willingly committed to the partnership/goal.
With the blessing applied, the more each partner spends physical time alongside the partner, the more they will
strengthen their bond and understand each other, which in turn boosts their success in accomplishing tasks and
challenges. In addition, the blessing has the potential to instill romantic feelings between the partners. This is a
voluntary aspect that requires consent on both sides (meaning they need to be sapient, for starters): essentially,
the blessing makes the partners more open to considering romance, with the prospect becoming more attractive
the more time they spend together.</t>
  </si>
  <si>
    <t>From Parts of Bodies to Bodies of Their Own</t>
  </si>
  <si>
    <t>There used to be double-headed dragons and the like, but the two heads didn’t fit well with the Mamono aesthetic, so instead each head became its own separate dragon. Whatever form you have chosen for the jump can now switch to and from a two-headed form. But that’s only the beginning. Whenever your current physical form has multiple consciousnesses or thinking body parts, you can split yourself up into multiple individuals, each “sibling” being the manifested version of the individual component. For instance, if you had two separate heads or even ten or more, each head would become a separate “sibling”. It even applies to odder, independent body parts, like say literal snake hair or a tail that can bite. If you have distinct and separate mental personas, you could have each persona become its own separate body.
Generally, each body will look like the standard version of the form you split up, but with things singularized.
So if you’re a six-headed dragon, each new body would be a normal, one-headed dragon; if you were a two-headed giant, each body would be a normal, one-headed giant, and if you were a twelve-headed hydra, each body would be a one-headed albeit giant lizard. If the individual body part/persona has a unique form, such as a snake-headed tail when you’re a cat, that specific extension would maintain that other form (a serpent in this case) while your other self would lack that body part now (so you’d be a cat without a snake-headed tail). You can selectively choose to not force available parts into separate bodies; in that case, each body would maintain that body extension (if you were a three-headed chimera and has a snake-headed tail, for instance, you could give the three heads separate bodies and let them all have a snake-headed tail).
Once the split takes place, each individual body is a separate, autonomous individual with its own consciousness. They are all still “you”, but each under the circumstances would have its own unique “soul” and be considered an individual person. The individual’s personality will be similar to how it behaved when it was still a part of your united body, and if it had no real personality, it will be given a suitable one by Jump-chan.
Furthermore, it’s possible for the individuals to develop new interests and views over time now that they can go about on their own. Even so, all of you are ingrained with the view that the whole of all your split selves are “close family” that you love like brothers and sisters, so while you may have differences of opinion you’ll always want the best for each other and cooperate. You all feel naturally coordinated with one another, like you are different parts of the same body, and you can instinctively divide up tasks in an optimal manner that helps all of your body part selves. Each individual, unless it had a full consciousness prior with memories separate from your own, will have a set of your memories and knowledge (this does not account for memory-related perks, though).
If a specific body part/consciousness was the primary source of a specific power, that power will be given to and monopolized by that individual once it gets its own body. In general, powers and perks that you would have had if you were all in a single body will be copied and shared with every individual after the split, albeit with the ability’s overall power level for each body being divided by the total number of people you’re splitting into. In the case of powers, perks, and the like that cannot have its power level subdivided, they will be distributed randomly (but evenly, if possible) between the different individuals. If you have different physical forms you can switch between, like distributed perks each will be given to a single individual after the split, meaning that that individual you will be able to change into that form if he or she wishes but nobody else.
By mutual consent between at least two of your separate bodies/individuals, you can merge your bodies back together. After merging back together, the individual body parts retain any new memories or skills or powers they acquired during their time as individuals. If any of you wish to merge back, all of the others will instinctively sense that one of their number wants to merge, and they can then choose to merge back no matter how far away they are from you. Individuals who do not want to merge back right then can stay separate as long as they wish, and as there is no distance restriction, each individual can potentially go as far away from the others as he or she wishes. This could lead to partial merges, such as going from a three-headed dog to three individual dogs to a two-headed dog and a lone one-headed dog. However, as all of you care about each other, it’s not like any of you would refuse to merge back if it’s important to do so.
If one of the individuals dies, the body part will merge back with at least one of the others; even so, said body part will be wounded after the merge, so it’s probably good to heal up after that. Furthermore, all of you still count as a single person in the scope of the jumpchain. This has multiple ramifications. At the start and end of a jump, you are all merged back into a single body. As a result of this, you can only make a single decision on whether to stay or go after finishing a jump, and only a single, whole you will be buying stuff for the jumps.
And drawbacks you select for a jump, and curses in general that you receive when you are whole, will be applied to every individual after the split.</t>
  </si>
  <si>
    <t>Guided “Tour” [Date]</t>
  </si>
  <si>
    <t>Many of the song maidens of Alf Court present
themselves as simply humble tour guides, helping their guests see and experience the amazing sights on the
islands. In actuality, though, the guides treat their tours as dates, and whatever activities one takes in their tour
– whether it’s making candy, taking a gondola ride, or visiting a museum – they all serve to create “flags” to
bring the guide and guest closer and closer together – until the tour’s end culminates inevitably with a mutual
love confession.
Now you can turn any activity you take with a partner of interest into an ideal date. Whoever you’re taking on
the “not a date” will feel compelled to just accept the course of the activities as normal, even as their feelings
for you blossom over the course of the activities. In addition, you can designate a specific location with
sentimental value to you as your “special place”. If you finish your dates at this “special place”, and the
activities have sufficiently enhanced your partner’s affection to you, ending the date here will automatically
culminate in a mutual confession of love (and probably something extra, too! ♥). Of course, these enhanced
activities, much like regular dates, will be less effective if the target is disinterested in or hostile toward you.
Also, the effectiveness of the dates fades with the more people you are directly engaging in the activities with
(though it’s fine if there are others doing their own thing separately).</t>
  </si>
  <si>
    <t>Love Supports All</t>
  </si>
  <si>
    <t>Stories often say you must give up your love for a
gentleman or your dreams – if you don’t give up one, you cannot seize the other...but this story isn’t one of
them. As humans and mamono alike across Court Alf have discovered, finding love does not require you to
sacrifice your dreams and other passions, but rather, you can use your newfound love to support and strengthen
your dreams, achieving things that wouldn’t be possible without your love. Now, love will never negatively
interfere with whatever dreams, hobbies, ambitions, etc. that you have, nor will it hinder those of your lovers.
Instead, you will find ways to connect these seemingly separate interests to your love, improving them in the
process. Business ventures, acting careers, combat skills, and more will be boosted in one way or another the
more passionate you are in your love. In addition, especially passionate love can boost you and your loved ones’
magical powers, such as Seven Songs of the Divas and Song of Tears.</t>
  </si>
  <si>
    <t>Seven Songs of the Divas</t>
  </si>
  <si>
    <t>Each of the seven Divas – one for each island in
the Sea of Asuramis – has her own song, passed down from the Great Diva who ended the war between the
islands. Each song has its own mystical effects on listeners, capable of enchanting an entire city. With this
purchase, you get to choose one of the seven great songs to master for yourself; you can purchase this perk
multiple times to get multiple songs, but the faction discount only applies to the first purchase (to get all of them
at once, see capstone Song of Tears). You’ll also get a sublime singing voice to properly convey the melody.
• Al-Mar’s Song of Blessing bestows couples the blessing of a bond of love. Beyond merely a
wedding song, the Song of Blessing captures and preserves the wonderful feelings of that moment as
timeless memories within the couple. The vows of love, the feeling of the kiss, the thrill in the heart...it
will all remain as strong as it was in that perfect moment, in turn making their love eternal. So as long
as the wedding itself was positive, the love will remain positive and eternal, such that the lovers will
never willingly separate.
• Matori’s Song of Joy makes listeners aware of each other’s others positive qualities. You may
notice a new and attractive side in that person, or you may find what you think is good even more
attractive. Simply put, this is a song that makes you love another person more and more, as you come to
recognize and appreciate the mutual joy you feel spending time together. Also, unlike the other songs,
this one can be learned and sung by other people, though your version remains the “true” version that
essentially harmonizes the rest.
• Nevia’s Song of Passion ignites a blaze of love and dreams in those lacking the flames of passion,
revives the love and dreams of those whose flame was once extinguished, and then, to those whose
flame is already lit, continues to bring the heat to even greater heights. It isn’t limited to love and
sensual affairs – artists with a strong passion for things such as art, song, literature, and theater often
hold dreams in their heart and are born as new artists through the song. The effectiveness of the song
increases the more you understand, imagine, and empathize with the story you are telling and the
listeners you are trying to reach. Naturally, the flames of love flare up the most.
• Saida’s Song of Courage, which shocks listeners with the intensity of lightning, helps release
one’s self by making the listener discover their own charm. In contrast to Matori’s, which is about
noticing the positive things about others, the Song of Courage strengthens your resolve to confront
yourself, to find confidence in who you are. People trying to challenge themselves, people trying to
change themselves, people trying to confront their weaknesses... the Song of Courage supports those
people.
• Mira’s Song of Hope – also called the Song of the Spirits – is a type of elemental magic. Sung
yearly during the Spring Festival, it has the effect of temporarily raising the amount of monster mana in
the surrounding environment and invigorating local, preexisting spirits, increasing the potential for them
to attain human (monster girl) form. Furthermore, the song enriches the mana in key places embodying
“nature” (a spring of beautiful water, the root of a large tree, etc.) so that those places become nexuses
for elemental power. However, this boost is only temporary, and it can only draw on and enrich what
natural environments and spirits are already present. Without the environment getting additional
sustenance/support in some way, the blessing will only last for a few months at best; in fact, be careful
about overexploiting the nature points, or you might deplete them entirely. The Song of Hope
strengthens the potency of Elemental Faith perks, and Elemental Faith perks likewise boost the output of
the Song of Hope. In addition, the song temporarily boosts fertility while also increasing the desire of
living things to breed.
• Dé Ryúa’s Song of Love unbearably raises the listeners’ “love” – more specifically, the “love
related to lust”. All listeners will be filled with sexual lust for one another. Furthermore, if the person
listening isn’t a mamono, they’ll start connecting love and lust together, just like monsters do. Basically,
this song heightens the feelings referred to as “love” and “lust”. You can also direct listeners’ attention
to specific things in sight – body parts, specific people in the audience, etc. – and the song’s effect will
be enhanced and directed at that target; if the target of attraction is something general like boobs, then
listeners might also start showing interest in that aspect in each other as they listen.
• Queen Diana’s Song of Serenity brings complete serenity to those that hear it. Those who listen
to this song will feel enveloped with relief as if embraced by their mother, calming their hearts, and
bringing them peace. The anger, fear, panic, envy, anxiety...their heart will no longer be fooled or go
mad from such feelings. And then, the flow of time will begin to feel very slow, and they can understand
and think more deeply about things as they are. Thus, with a serene heart, listeners will perceive things
more deeply.</t>
  </si>
  <si>
    <t>Song of Tears</t>
  </si>
  <si>
    <t>The wondrous song sung by the Great Diva who brought
peace to the islands. Her song was able to reach the heart of every combatant across every island, resonating
with them and convincing them to find happiness and harmony together. You now have access to such a song,
which can stop the battle and heal the hearts of all those driven by fear and anger, sadness and despair. The
range of the song is so great that you could make an entire country hear your voice, coast-to-coast. The song
essentially works by individually (and collectively for groups) tapping into whatever positive feelings are inside
those people (even ones the listeners never knew they had) and providing them with an epiphany to let go of
their hate and sadness. For instance, captives and captors might hear a song embodying a shared future where
they can all be happy. A paranoid police state might hear a song that makes them remember and rekindle their
forgotten friendship and trust for each other, as they come to empathize with each other’s suffering. This is a
miraculous song that could end a fierce war and bring unity to all sides. However, though the song is more
effective the longer you sing, extending the song also strains your energy, so be careful about singing for too
long, or you may very well perish like the Great Diva did before she was revived.
If you have already bought the Seven Songs of the Divas perk, you now have access to all seven of those songs,
since the Great Diva shared individual fragments of her greater song with the individual islands, thus creating
those wondrous songs.</t>
  </si>
  <si>
    <t>MGE Wiki.RIP</t>
  </si>
  <si>
    <t>You now have full access anytime, anywhere to the publicly accessible Monster Girl
Encyclopedia Wiki, which features not only pages covering all the encyclopedia entries and world guides, but
also records of KC’s Twitter posts/interviews, Roleplay forums, What Would You Do scenarios, Fan-Made
Monsters (even entire regions), Fan Fiction, Fan Art, and much more.
Unfortunately, a biased purge of “lewd” wikis killed the MGE Wiki on Tuesday, December 14, 2021. But with
this freebie, it’s as if the wiki never died, and you can still freely access it, with the fandom remaining active
whenever you’re on. You’ll also get access to the back-up/alternate sites that the wiki moved to after the fateful
shutdown, such as the new wiki on Miraheze. You are registered as a member on all these sites and can freely
participate in the forums as you please. However, your version of the wiki does not include access to the official
encyclopedia entries and world guides; to see them on the wiki, you’ll first need to buy the separate Monster
Girl Encyclopedia item.</t>
  </si>
  <si>
    <t>Book of Properly Dealing With Monsters</t>
  </si>
  <si>
    <t>A massive book of studies by Hakutaku scholars on how to
“deal with monsters.” Of course, the actual goal of the studies was how to make monsters friendlier toward you,
with “effective actions/items” being things that would make the monsters like you and attract them to your
location. The book grows in each jump to account for monsters in that setting, but again the guide will, despite
its misleading language, be about how to become friends (or more) with those monsters.</t>
  </si>
  <si>
    <t>0/50/100</t>
  </si>
  <si>
    <t>Mana Cage</t>
  </si>
  <si>
    <t>A revolutionary magic tool that can gather up the mamono mana that overflows
from mamono and their partners when they join, and store it. The simple version of this container is quite
inexpensive, and they are almost universally used by all monster and monster-friendly states, to the point that
states provide them as free amenities to citizens.
You receive a basic Mana Cage for free, but any additional cages cost 50 CP apiece. If you pay 100 CP, you’ll
receive a higher-grade Mana Cage that has greater mana-gathering efficiency and can store more mana while
being more compact (it can remove impurities from the mana, too). For the advanced model, you can also set it
to only collect the mana of a specific species of your choice).</t>
  </si>
  <si>
    <t>Wardrobe</t>
  </si>
  <si>
    <t>A collection of all clothing shown on monster girls and other characters in official
illustrations for the setting. Even for the ones that were made for monsters with awkward body parts, you can
somehow get them to fit on you nicely. None of them have any of the special properties that the originals
would have had, but then again, that might be for the better.</t>
  </si>
  <si>
    <t>Mamono Realm Ink</t>
  </si>
  <si>
    <t>Also called Demon Realm Ink, this collection of inks is made from minerals in
various demon realms, with varying magic properties. These enchantments can range from protecting the
words from physical wear to preventing anyone from tampering with the letter to even charms that send the
words and feelings of the message straight into the reader’s head, eroding and charming the reader’s heart with
passionate desire. However, the magical effect contained in this ink will not manifest in an insincere nonsense
sentence, and you also cannot make someone believe in a lie.</t>
  </si>
  <si>
    <t>Intimacy Vegetable</t>
  </si>
  <si>
    <t>A demon realm vegetable, also known as demon realm taters. Resembling a
reddish potato, the vegetable is notable for naturally absorbing adjacent magical energies when planted in the
ground. The root plant then converts all of the energies into “intimacy”. It should be noted that the plant never
contains any demon energy or aphrodisiac effects, but when it is eaten, it instills the eaters with the unique mix
of intimacy and love that it gathered while growing. The exact form of intimacy is shaped by the specific
energies and even the location of the crop. For instance, the plant will naturally pick up the “kinks” and
feelings of the people who tend to it, especially romantic couples. As a result, no two taters are alike, and there
are hundreds to thousands of different potential variants, each with its own unique taste – there are even some
larger than boulders, or transparent like ghosts.</t>
  </si>
  <si>
    <t>Talisman</t>
  </si>
  <si>
    <t>A Zipangu talisman with charms that prevent transformations, even ones forced on you by others. It won’t help you if you or someone else removes the talisman, though.</t>
  </si>
  <si>
    <t>Griffon Quill Pen</t>
  </si>
  <si>
    <t>A special pen made from the feather of the valiant Griffon, it embodies the beast’s
prideful guardianship of treasures. You can use it to write runes on things and people you closely cherish, and
enforce your assertion of ownership to protect your precious treasures from harm. The runes will cause the item
to warn you whenever they sense desire or hostility towards it, while also making the affected item resist
whoever is trying to take your treasure away.</t>
  </si>
  <si>
    <t>100/50</t>
  </si>
  <si>
    <t>Engagement Rings</t>
  </si>
  <si>
    <t>Two engagement rings, each fitted with its own unique Magic Gem. When
two people wish to solidify their bond to that of marriage or something similar, they may kiss their ring, which
will infuse it with a personal signature of their internal energies/soul, and give it to the other. When you are
wearing the infused ring of the partner, you will feel his or her comforting presence wherever you are, such that
you will never feel alone. You can place the ring into a subspace if you don’t want it to be seen or on your
finger, but its signature flare is still always wrapped around your finger, with a light that can only be seen by
your partner. Since the signature is unique to the individual and impossible to replicate, you can immediately
identify your partner due to the ring, or recognize an impostor due to the lack thereof.
The gems reflect the state of the marriage and will not lose their luster as long as the marriage is happy. If
stagnation, neglect, or abuse occurs between the couple, the stones may lose their luster over time and
eventually become ordinary stones. If one of the two people dies, the ring he or she was wearing will become
an ordinary stone, but the one containing his or her energy will remain until the partner also dies. Can be
purchased multiple times; after the first purchase, the price is lowered to 50 CP. If someone is the recipient of
multiple rings (such as if multiple partners of the same jumper all buy rings binding them with the jumper), the
recipient can choose to fuse all of those rings together into a single one.</t>
  </si>
  <si>
    <t>Moonlight Pub Storehouse</t>
  </si>
  <si>
    <t>A well-kept storehouse (styled like a bar) that, while the size of a small
shack on the outside, is the size of a gourmet kitchen on the inside and filled to the brim with all the various
special foods and drinks that have flourished in the monsters’ cultural renaissance. You’ll find everything from
Ryugujo-style sushi to Dragonia “dragon” steaks to the popular demonic wine “Lescatia de Rouge” to the
Bubble Candy of Al-Mar. From Zipangu to Dragonia to Lescatie, to Court Alf, all of the local dishes can be
found here (basically all the various foods advertised in the world guides) None of the foods and drinks stored
inside have any exceptional powers besides some minor magical properties, but you’ll find that many are
rejuvenating and (sexually) arousing in a diverse variety of ways. All the food and drink are pre-prepared, so
you can have a feast at a moment’s notice. The storehouse replenishes its supplies whenever anything is taken
from it, but it can take up to a week for the full stock to be replaced.</t>
  </si>
  <si>
    <t>Inma’s Rod</t>
  </si>
  <si>
    <t>A stiff, rod-like staff shaped like an incubus’s tail. Also called Inma’s Guide When you
are looking for a specific person you have strong feelings of love (or lust) for, the rod can accurately point you
in his/her direction. It won’t specify the exact location or indicate the distance, but even if your target is across
an ocean or even in a spirit realm, so long as you follow the tool’s directions you will eventually find your
beloved without fail. The rod can become flexible at your command and even fuse onto the ass as a literal tail.</t>
  </si>
  <si>
    <t>Intoxication Fruit</t>
  </si>
  <si>
    <t>A grape-like fruit that grows in the demon realm; while the version you get has
had the demon energy and monsterizing properties neutralized, it retains the other special abilities. The red
liquid inside is like mellow wine, and it's mixed with a perfect balance of sweetness, sourness, bitterness, and
astringency, thus easily making all who eat or drink of it pleasantly intoxicated. Furthermore, the plant’s juices
and skin are highly nutritional, both for eaters/drinkers and plants/soil. Exposing soil to the dew of the fruit
would significantly enhance the growing properties of the land, such that a patch of land that could normally
just sustain a few flowers would become a vibrant field of flowers. If the seed of a plant were to be regularly
“watered” with the fruit’s juices/dew, the plant would become a “super” version of its normal self; for instance,
a relatively normal-level plant monster like an Alraune or Mandragora would grow into an individual with
enough power to rival a high-rank monster like a Baphomet or Dragon.</t>
  </si>
  <si>
    <t>Couple’s Fruit</t>
  </si>
  <si>
    <t>Two fruits, one red and one blue, kept in separate containers to prevent them from
merging together. There is no particular effect if one person eats both fruits or if one person eats one fruit and
no one eats the other. Once one person has eaten one fruit and another person has eaten the other, though, the
two fruits will subconsciously influence their eaters to seek each other out. Each person will subconsciously
feel drawn to the other’s location. Once they meet, they will seek to be “joined” in various ways, ranging from
holding hands to kissing to outright sex. In any case, any actions they take to get close to each other
emotionally or physically become more pleasurable to them, and they will feel more interested in being together
even after the fruits’ effects wear off.
After the fruit works through and out of each person’s digestive system, the effect wears off; however, once
both have been eaten, the fruits’ digestive processes synchronize, so if the first person ate it one day ago and the
second person ate it just ten minutes ago, the first fruit will slow down so that it leaves at the same time as its
partner’s. After both pieces of fruit have been eaten or one of the fruits was fully digested and ejected without
the other having been eaten, the two fruits will regenerate so they can be used again.</t>
  </si>
  <si>
    <t>Lilim Cloth</t>
  </si>
  <si>
    <t>A special cloak uniquely designed to fit you and enhance your seductive appeal. The
cloth does so by creating an internal demon realm designed specifically for you within the cloak; therefore, even
if it looks like you’re wearing a raincoat in everyday life, the demon realm’s power will make you sexier and
maximize your appeal. You can arrange the mini demon realm to your liking, such as making it feel like a
tropical night. In addition, you can wrap yourself and your lover within the cloth to have fun in a pleasant
environment separated from the outside world.
Please note that the internal demon realm has limited space. Normally, the demon realm will snugly wrap
around you like clothes. If you and/or lovers go inside it, the space will expand just enough to comfortably fit
all of you, but it will still remain snug for an intimate atmosphere.</t>
  </si>
  <si>
    <t>Emblem of Satiation</t>
  </si>
  <si>
    <t>A small crest engraved with the design of a goddess with insect wings. One of
the extremely valuable legendary magical tools made by a certain human sage for the purpose of overcoming
"hunger". It gathers the mana and other energies in the air and transfers it into the body of the person that wears
it, transforming it into the life force necessary for living. In other words, as long as you wear this, you will not
starve, and it becomes possible to live without eating. However, this magic tool tries to take in all the
surrounding mana into one's body indiscriminately and without hindrance. In places where the local energies
can have side effects (such as demon energy, for example), you should be careful about wearing the emblem.
In addition, men (and other beings with spirit energy) who wear this emblem will have literally have their balls
filled all the time with mana, making them highly attractive to monsters. No matter how much spirit energy is
squeezed out of you, your balls will remain full and primed for more. If you also have the Spirit Provider perk,
expect your balls and body to be impossibly full of spirit energy even beyond what was stated prior.</t>
  </si>
  <si>
    <t>Baphomet’s Eye</t>
  </si>
  <si>
    <t>A spherical, eye-like tool that, at its most basic state, enables you to identify the
aptitude of people for magic and childishness. You can potentially adjust the focus of the eye to focus on
people embodying other ideals, but it always at the least can detect when someone has great potential for magic.</t>
  </si>
  <si>
    <t>Dragoute</t>
  </si>
  <si>
    <t>A magic flute made from the bones of a Zombie Dragon, containing the strong emotions of
undead dragons who never found their mate. If you play it gently, you'll get a sound like a dragon's cry
reaching the heavens, and your melody will reach any dragons you are close to or have as pets/companions
(having a dragon form is enough for a companion to qualify), and it’s possible to talk via the flute sounds with
enough practice. If you blow hard into the flute, the sound turns into a dragon’s roar, shaking the surrounding
space, and you temporarily gain dragon-like powers. However, be careful if you blow the flute and do not have
any strong bonds with dragons yet; in that scenario, the flute will consider you “unmarried” and will turn
whatever you play into a dragon mating call, which will attract dragons from miles away, even (and especially)
undead ones, and compel them to mate with you on the spot. Funnily enough, the flute is enchanted to attract
lonely men and make them want to play the flute.</t>
  </si>
  <si>
    <t>Sacred Chain/Pedestal</t>
  </si>
  <si>
    <t>A pedestal and golden chain like that used to seal Gargoyles; this one is
missing the monster, though. If you bind a target to the chain and pedestal for a full day and night, the prisoner
will turn to stone and be cast into a stasis-like state; the person remains awake and can still potentially
communicate, but not by physical means obviously. If the pedestal or chain is damaged in any way, the
prisoner will be free to move, but he or she will now be a “gargoyle” being; while the person could move about
freely at night, he or she would retain stone-colored skin and would instantly turn back into a statue (as well as
anything the person was touching at the time) whenever the sun is up. Also, being a Gargoyle naturally used to
being a living statue, the person will gradually accept his or her new form and actually find pleasure when
turned to stone (same goes for living things trapped in the stone with them).</t>
  </si>
  <si>
    <t>Kamaitachi Sickles</t>
  </si>
  <si>
    <t>Three sets of double sickle blades that you can summon on your body or dismiss
at will. The longest sickles are heavy and dull but can be easily wielded by you; they generate strong winds that
create shockwaves to knock even strong and immovable foes away or to the ground. The medium-sized sickles
are the sharpest of the three and can create sharp winds that cut through almost anything; living things wounded
by the sickles won’t be hurt, though, and instead the cut areas will heat up and throb with arousal. The shortest
sickles aren’t good for fighting and can only produce gentle breezes, but they can instead summon a jug filled
with a strange, watery liquid; the secret medicine is used to make someone into a being “compatible with a
Kamaitachi”, not only healing the subject’s wounds but also giving them enough energy and vigor to satisfy
three separate people (with sex) in one go (and making them open to that idea).</t>
  </si>
  <si>
    <t>Demonic Lescatian Warhorse</t>
  </si>
  <si>
    <t>The traditional breed of war horses used by knights in Lescatie, they
were corrupted by demon energy during the invasion. Your horse has a terrifying appearance, with a dark,
black body like night itself, and red streaks across the body and flashes when it’s running. Despite its
foreboding appearance, it is actually quite friendly and loyal to you; however, anyone else who tries to tame it
will have quite a rough time. The horse at its core is a mass of concentrated magic rather than truly organic.
Therefore, it never suffers damage in combat, but rather loses some of its magical essence in the process; it can
restore its full magic by consuming magical energies. It can even convert part of its magic into armor, shields,
or weapons to aid you in battle. If you already have a horse in your possession, you can turn it into a Demonic
Warhorse with this purchase, and it will retain whatever qualities it had prior while also gaining the abilities of
its new form.</t>
  </si>
  <si>
    <t>Lescatian Dark Wind Pegasus</t>
  </si>
  <si>
    <t>A rare subspecies of the corrupted Lescatian horse, this is a winged
horse with great magical power over the wind. Not only can it fly through the air, but it can control the wind
and corrupt it with demon energy. If you already have a horse or pegasus in your possession, you can turn it
into a Lescatian Dark Wind Pegasus with this purchase, and it will retain whatever qualities it had prior while
also gaining the abilities of its new form. Furthermore, if you also bought the Demonic Lescatian Warhorse,
you can choose to fuse the two steed options together, with the resulting mount having both breeds’ powers.</t>
  </si>
  <si>
    <t>Dark Armor</t>
  </si>
  <si>
    <t>Glowing with darkness, the armor is infused with many tentacles that constantly
stimulate the wearer to boost his/her magic power and mana/magic generation – at the cost of inflaming the
wearer’s lust, of course. And if the wearer is not the proper owner (such as you if you bought it), the tentacles
will instead corrupt the would-be thief into a depraved monster with lust rivaling the Radicals. The armor can
be a normal kind found in the setting or an armor you have in your possession from another jump. It can also be
a more exotic/unique form of “armor” like some forms of mechas/mechs (Evangelion, Gundam, etc.). If you
buy a separate armor option for this jump, you can fuse the two options together for a single armor capturing
both items’ attributes.
The durability of the armor is significantly stronger than what a mundane equivalent of it would be. Moreover,
the Dark Armor can sense lust in you, and when you have strong and lewd enough passions coursing through
you, the Dark Armor will further shield itself with a dark aura that is especially strong at resisting (and
corrupting) magic; just keep in mind that the aura will in turn magnify your feelings, so it will be very hard to
calm yourself down after you get into such a state. However, unlike a Living Armor, the Dark Armor lacks true
intelligence or sense of self-identity.</t>
  </si>
  <si>
    <t>Tentacle Medicine</t>
  </si>
  <si>
    <t>An eerie potion that transforms the drinker into innumerous tentacles. The
transformed subject’s intelligence normally drops sharply to the level of a tentacle plant (next to nothing), so
you might want to see if you can find a way around that limitation. If you drink it yourself, you can control all
the tentacles produced, and if someone else drinks the potion, you can still control their tentacles, too. Unlike
the potion usually produced within the setting, it is actually able to turn other drinkers, even women and
monsters, into tentacle beings; humans and other beings that don’t have any particularly notable attributes will
become simple tentacles, but Mamono and other beings may turn into Tentacle monsters that might reflect
aspects of their original selves (a fire-based Mamono would become a fiery tentacle, for instance). The number
of tentacles produced by the drinker increases with the amount of mana and magical/spiritual energies within
the user. Fun fact: the tentacles all function as male genatilia, and they usually take the shapes of penises,
though other lewd shapes are possible as well.</t>
  </si>
  <si>
    <t>Doppelganger Potion</t>
  </si>
  <si>
    <t>A potion with a mysterious color of blue and black continuously mixing and
separating. It is used by the husbands of monsters to temporarily duplicate themselves when the Mamono
wishes for gangbang sex but cannot think of having sex with anyone but her husband. Depending on how much
of the medicine you drink at once, you can produce from 2 to 12 identical copies of yourself. Each copy has
access to all the user’s physical, magical, and special abilities. That said, your consciousness and soul are split
between all of them, thus splitting the potency of your overall powers and significantly fragmenting your mind.
Therefore, if you don’t have a way to offset the effects, your mind and various bodies lose rational thinking due
to the chaos of feeling all those sensations from different directions. Even so, all the individual copies retain a
sense of unified connection and purpose, like different limbs of the same body, so they won’t ever quarrel with
each other. The “doppelgangers” generally disperse after six hours, at which point they will merge back with
you into a single body and consciousness.</t>
  </si>
  <si>
    <t>Celestial Sphere of Trysts</t>
  </si>
  <si>
    <t>A massive, half-dome slate representing a hemisphere. The slate’s
surface alters to reflect the current hemisphere of whatever world you’re on; go to a different hemisphere or
world, and the slate changes accordingly. By calling out the name of a specific species or organization, every
location where that species or group currently resides will faintly shine. With the special variant available in
this purchase, you can also make it focus on a specific individual, but, as the magic is connected to emotion,
you must have personally encountered the individual and have significant emotional connection to activate this
secondary function. Please keep in mind that this is more of a rough representation of the hemisphere and does
not show smaller-scale features like towns and forests. Also, if the species/group is spread all across the whole
world, you’ll basically just get lights everywhere.</t>
  </si>
  <si>
    <t>Magic Spear of Binding</t>
  </si>
  <si>
    <t>Also called the Lance of Shackles, this is a lance that you can turn at will
into a snake to bind your foes. However, you can also transfer your own magic/energy reserves to the serpent,
which enhances its binding power and lets it erode the victim’s resistance. In addition, the lance enhances the
power for the Ritual of the Snake God perk and lets you perform it instantly on any target you hit with the
weapon. Can be merged with other spears you already have in your possession or have purchased in this jump.</t>
  </si>
  <si>
    <t>Berit’s Sword</t>
  </si>
  <si>
    <t>A pink-bladed magical sword belonging to a schoolgirl-turned Succubus from another
world. The sword inflicts no actual wounds or damage on targets it hits, but it “seals movement.” Essentially,
the body part that the sword strikes will remain active and healthy but be unable to move, such that legs “cut”
by it would no longer be able to walk and an arm hit would no longer be able to swing a weapon. You can also
selectively define the movement restriction so that movement is allowed as long as it is “movement that does
not oppose you” – meaning that a victim could still freely move about as long as he or she did not take actions
that are against your wishes. The sealing effects on the movement of targets generally last for up to 24 hours,
though particularly strong-willed victims might be able to break free sooner. Striking the sword against already
sealed parts allows you to either modify the degree of movement restriction or undo the seal as you see fit.
While the sword is most useful against living targets, the sword can also halt the motion of nonliving objects,
such that cutting a boulder or a car in the right place could halt them in their tracks, even if the rock was
tumbling down a hill or someone had the car’s gas to top speed. 
If you already have a sword in your possession, or you have bought a separate sword for this jump, you can merge it into this purchase.</t>
  </si>
  <si>
    <t>Spear of the Fallen Dragon</t>
  </si>
  <si>
    <t>A “Dragon Spear of Vow” weapon exported from Dragonia to demon
realm Lescatie, where it was corrupted into a new type of weapon; it has since been exported back to Dragonia,
as many dragons like the new version. The spear is enchanted with a “rune of attraction” that transfers an
energy boost and lustful excitement to the spear’s target; once hit, the target becomes full of fierce passion and
desire like a dragon, making it quite likely they will seek to make love with the attacker. You can also access
the original power of the Dragon Spear of Vow, and its own rune of fury; this significantly boosts your spirit
energy and arousal when activated in a fight. Can be merged with other spears you already have in your
possession or have purchased in this jump.</t>
  </si>
  <si>
    <t>Golem</t>
  </si>
  <si>
    <t>An artificially-made monster girl programmed to obey you; her programming cannot be
overwritten by anyone else except with your permission. She is very loyal to you and wishes to serve (and
love) you to the best of her abilities. She can be anything from a common Golem to a more specialized variant
like a Living Doll or Automaton. Your Golem is considered an item and therefore does not normally count
against companion imports unless specifically made into a companion.</t>
  </si>
  <si>
    <t>Spell Books</t>
  </si>
  <si>
    <t>A collection (practically a library) of the various magic tomes used by humans and
monsters for different magic spells. Anyone who reads one of the spells will learn the spell and be able to cast
it, even without spirit or demonic energy. Be warned, a lot of the spells are...strange, especially the monster
ones. Please also keep in mind that some of the spells require various ingredients and rituals to work.</t>
  </si>
  <si>
    <t>Wurm Tentacle</t>
  </si>
  <si>
    <t>A unique type of tentacle plant that grows in the subterranean “Wurm Nests” of
Dragonia. Unlike most tentacles, the Wurm Tentacle is rather intelligent, though still somewhat simple-minded
in its affection for you. Blessed with the power of dragons, it is a “boss”–level monster and has high physical
and magical stats, both in attack and in defense. And like dragons, the tentacle can switch from its relatively
humanoid form to a dragon-sized, monstrous tentacle plant. Interestingly enough, the plant also acts as an
enhancer for alcohols, and any wine, drink, or fruit placed in close vicinity to the tentacle plant will become
richly sweet and intoxicating, though the effect diminishes the longer it’s away from the plant. As an item, the
Dragon Tentacle does not count against companion restrictions unless specifically imported as a companion.</t>
  </si>
  <si>
    <t>Cursed Sword</t>
  </si>
  <si>
    <t>A foreboding, ornate sword that has what looks like an eye on its hilt. The sword is
in fact possessed by a battle-hungry spirit and wants above all to cut people. Unlike a normal sword, the Cursed
Sword does not leave physical wounds, at least on living things (she can physically cut through non-living
things with no problem), but rather targets the enemy’s internal energies such as spirit energy. Each “cut”
causes the victim’s internal energy to “bleed” out and be replaced by the sword’s demon energy. As a result,
people cut by the sword enough will turn into Mamono. The sword also grants the user inhuman strength, such
that a simple villager could become a formidable swordsman.
Under normal circumstances, such a sword would parasitically corrupt the user to go on berserker rampages, but
with this purchase the sword will recognize you as her rightful owner and “sheath”, and therefore will not
corrupt you, whether you are male or female (even so, she will telepathically urge you to use her to cut as many
people as you can, though you can choose to ignore her advice). Still, you can “fuse” with her such that you
and the sword you hold are a single being in existence. You maintain control and can break off from the fusion
whenever you like, but when in the state you will feel the full aggressive intensity of the sword. Since your
sword will be able to sense what you sense with your body, and you will be able to sense whatever your sword
senses (and that eye is real, remember), in the fused form you will become incredibly skilled in sword fighting,
with lightning-fast reflexes and eagle-eyed precision. Plus, your sword can summon an empty (in mind and
soul) female body for her to possess, thus allowing her to serve you, her precious owner, in new ways.
Your sword retains her MGE powers in other jumps, but if you wish she can swap her powers out to her original
set before the Demon Lord’s changes; in that form, she would be able to cut and leave physical, cursed wounds
(which cannot be healed until the curse is broken) on enemies, and anyone who endured the cursed wounds long
enough without dying first would turn into a regular, non-Mamono monster. She can also change her sword
form into a gauntlet when necessary. You can change the sword between these different forms as many times
as you like.
Seeing as she recognizes you as her sole owner, she refuses to be anyone else’s sword; if someone else tries to
use her, she will resist to the best of her abilities. The sword can be of the type(s) available in the setting, or it
can be a sword you already have in your possession from another jump. Powers that the sword has from other
jumps may influence the form and powers of its summoned body to a degree. You can similarly make any
other sword you bought in this jump gain the attributes of the Cursed Sword. Your Cursed Sword is considered
an item and therefore does not normally count against companion imports unless specifically made into a
companion.</t>
  </si>
  <si>
    <t>Living Armor</t>
  </si>
  <si>
    <t>A monster that, to all others but you, appears to be a normal set of armor, but you can
see her as a half-transparent female wearing the armor. If she wishes, she can also make her true appearance
visible to all. The armor can be a normal kind found in the setting or an armor you have in your possession
from another jump. It can also be a more exotic/unique form of “armor” like some forms of mechas/mechs
(Evangelion, Gundam, etc.). Or you can use a separate armor item purchased in this jump. She will customize
herself to perfectly fit on your body alone, and you will never feel constrained or weighed down by her.
In either case, the demon energy of the monster significantly strengthens the armor’s endurance beyond its
normal capacity, for instance, a mundane suit of medieval armor, upon being enchanted with the spirit of the
Living Armor, would become strong enough that an attack able to crush or melt steel wouldn’t even faze it.
The female armor will also retain any special properties that the original armor had. You can “wear” her, but
nobody else will be able to put her on, as she shifts her body specifically to fit your form. When worn, the two
of you will “fuse” and be able to exchange energies between each other. However, the Living Armor won’t
transmit demon energy to you unless you command it to (so you don’t need to worry about getting transformed
if you’re a female). The two of you will share each other’s senses, and your physical senses will be increased to
the same level as the armor’s.
When not worn by you, the Living Armor can still float through the air by her own free will. She and you can
also upgrade her with further enhancements and weapons with enough work. Your Living Armor is considered
an item and therefore does not normally count against companion imports unless specifically made into a
companion.</t>
  </si>
  <si>
    <t>Genie’s Lamp</t>
  </si>
  <si>
    <t>You now own a golden lamp, which is the very source of existence for a powerful
genie. Keep in mind, though, that the genie’s wish-granting power comes from drawing on mana and other
energy to convert into a spell formula for miracles; therefore, while simple wishes can be easily be fulfilled with
just small energy uses, heavy-duty wishes require a lot more fuel, and if the genie doesn’t have enough power
for the wish, you’ll have to supply some extra energy to her for the wish to truly take effect.
Fortunately, the lamp automatically collects mana from its natural surroundings, so don’t worry about draining
the lamp and genie dry. Also, your genie is mischievous and independent to a degree, so she will try to stop
you from making wishes she disagrees with. Your genie does not count against companion restrictions unless
specifically imported as a companion.</t>
  </si>
  <si>
    <t>Art Museum</t>
  </si>
  <si>
    <t>A collection of various artworks made by humans and monsters
alike throughout the setting, as well as a collection of all fanart and comics made by fans for the setting. All
curses and enchantments from demon energy that would normally be on them have been neutralized, though
you can shut off the safety mode if you are brave or foolish enough.</t>
  </si>
  <si>
    <t>D.E.P.A.2 ~ Demon Energy-Proof [Almost] Armor</t>
  </si>
  <si>
    <t>A full, single-piece bodysuit
that, courtesy of jumpchain fiat, fully shields you from demon energy and its associated effects, no matter how
powerful the mana. However, the suit’s sole protection is against mana, so it is utterly vulnerable to all other
kinds of damage. And due to its fragility, it breaks and becomes useless if damaged at all (though it will
regenerate by the next jump). So be careful about wearing this “armor” into combat or into strenuous
conditions, or it might break at the worst possible time.</t>
  </si>
  <si>
    <t>How to Be a Good Husbando</t>
  </si>
  <si>
    <t>A guide on how human men can best get along
with their Mamono wives, with chapters on how to build the best relationship for each sapient species (there’s
also a small one for humans). Just by reading the right section, you will start to mold yourself toward your
wife/partner’s ideal you, even learning essential skills that she would like you to have. Of course, the focus is
more on making your wife/partner happy, so it won’t always help you take charge of the relationship. Updates
to account for new sapient species in each jump.</t>
  </si>
  <si>
    <t>Alraune Nectar</t>
  </si>
  <si>
    <t>A half-translucent, amber-colored liquid that is very sticky
and syrupy – the bodily fluids of an Alraune monster girl! It has aphrodisiac and stamina-boosting effects on
whoever drinks it, and it also acts as great monster bait by attracting them with its sweet, intoxicating scent. It
also makes great honey.</t>
  </si>
  <si>
    <t>Holstaur Milk</t>
  </si>
  <si>
    <t>A bottle of eternally fresh milk squeezed from the breasts of
a Holstaur. The milk is both delicious and nutritious while also boosting the drinker’s stamina. It also acts as a
beauty product by giving the drinker expanding and maintaining the size, resilience, and luster of breasts. The
bottle refills when used up. All potential monsterization effects of the milk have been nullified.</t>
  </si>
  <si>
    <t>Monster Literature</t>
  </si>
  <si>
    <t>A library’s worth of various books written by Mamono. The
books are quite diverse, but they all embody themes that favor love, sex, and monsters – even the children’s
books! Also comes with How to Be a Good Waifu, a companion to How to Be a Good Husbando; it teaches
monster wives how to please their husbands while simultaneously wrapping them around her finger and has
specific sections on how to use their special abilities to improve their matrimony.</t>
  </si>
  <si>
    <t>Arachne Silk</t>
  </si>
  <si>
    <t>An endless strand of silk from an Arachne that can be used in
making clothes. Clothes made from the silk are extra durable, so that even a wild beast couldn’t leave even a
tear on them. Semen and other stains on the cloth are easy to remove, but magical energies applied to the
clothes have a trace of them absorbed and stored inside the clothes, giving off the scent of the energy.</t>
  </si>
  <si>
    <t>Demon Realm Silver Weapon</t>
  </si>
  <si>
    <t>The official equipment for soldiers in the Demon
Army. A sword made from demon realm silver (also called realmsilver), causing it to not inflict physical
wounds on a target, but instead drain away their magical energy (spirit energy, demon energy, etc.). The sword
does not generally drain away essential life force, so the opponent remains alive, but the gradual loss of energy
with each blow will weaken him or her, allowing you to defeat them without having to kill them. In the case of
women, demon energy will flow in to replace the lost energy, thus potentially converting them into monsters
with enough cuts.
A magical wound from the weapon is not accompanied by pain or bleeding, but demonic energy seeps into the
body, bringing a feeling of heat and weakness. If this is a deep wound, then the place hit by the blow cannot
move, and if it is a blow that would be fatal when using conventional weapons, the body will not be able to
move on its own, sometimes it leads to fainting. Essentially, the effects depend on what the level of wounding
would be with a normal weapon: light wounds cause feelings of weakness and heat, deep wounds cause
immobility in that area, and conventionally fatal wounds immobilize the whole body or trigger outright fainting.
Interestingly, the sword is super-effective on Mamono and monsters in general, quickly knocking them out with
but a few strikes, though it mostly just paralyzes/disables them instead of killing them.
Please note that while swords are the default option for purchase, you can select demon realm silver weapons
from a variety of different tools ranging from lances to whips to even magic-powered guns. If you have a
separate weapon in your possession, you can also choose to make that weapon into your Demon Realm Silver
Weapon. Please note that pretty much all the special weapons available in the items sections that originate from
demon realms (Druella’s Sword, Cursed Sword, Spear of the Fallen Dragon, etc.) also contain realmsilver by
default.</t>
  </si>
  <si>
    <t>Cursed Blessed Equipment</t>
  </si>
  <si>
    <t>A variety of different sets of armor and gear
enchanted with the mana from specific types of Mamono (one is Dullahan, one is Werewolf, etc.). If a human
puts on the armor, the armor will normally lock on him or her and expose the subject to the demon energy,
hastening their conversion to an Incubus or the specific monster that “blessed” the equipment. You, on the
other hand, can take the equipment on and off and won’t be permanently affected by the curses. In addition, the
armor will grant you special enhancements depending on the type of Mamono it is built around. For instance,
the Ogre armor would give you greater strength, while the Yuki-Onna suit would give you ice magic. If you are
a Mamono yourself and are the same species as the type embodied in the armor, your special abilities for your
race will be strengthened (and if you chose to be a Mamono for the jump, you can be sure that there will be at
least one set of armor matching your type). If you already own armor/gear (including any others you buy in this
jump), you can fuse it with this purchase accordingly.</t>
  </si>
  <si>
    <t>Hero’s Gear</t>
  </si>
  <si>
    <t>A set of holy armor, sword, and shield given to the greatest of heroes.
It embodies light and holy magic, making it highly effective against dark powers. If the gear was corrupted by
darkness, it would become even stronger, albeit in the opposite direction. If you already own similar equipment
(including other items bought for this jump), you can merge them with the Hero’s Gear purchase.</t>
  </si>
  <si>
    <t>Sword of Lies</t>
  </si>
  <si>
    <t>A prototype weapon created by the Order, based on legends of a
sword said to bestow upon its possessor with the power to “attract the future they desire.” Said sword was
actually a Mamono weapon blessed by Druella herself, whereas the Sword of Lies (though the Order claims it
really is the Sword of Truth) was made by the Order so you can avoid “bad ends” with monsters and remain
blindly loyal to the Order. Essentially, the Sword of Lies lets you reset from “bad ends.” Whenever you are in
a state that could be considered a “game over” (though it must be something sexual or involve you being
transformed/mind-altered to work) and there is no way to escape the coming doom, the sword will activate and
take you back to right before the key decision you made that sealed your fate. This reset will occur even if your
mental faculties have been compromised, such as if you were transformed and brainwashed into a Lesser
Succubus.
You will have no lasting physical effects after the reset, but be careful! The memories you retain from those
bad ends can traumatize your mind and potentially, if left untreated, continue the aborted corruption. If you
want, you can make a sword you already own (including one you bought for this jump) into the Sword of Lies.
For the real Sword of Truth, see the Fallen Jumper and the Magic Sword of Truth drawback’s reward.</t>
  </si>
  <si>
    <t>Dark Soldier Squad</t>
  </si>
  <si>
    <t>A special gem badge of Demon Army officers that lets
you summon your own personal squad of loyal and dedicated soldiers. They can be a mix of the various kinds
of soldiers in the Demon Army, or they can be a specialized branch such as musketeers or heavy cavalry. You
could even have a Dark Strategist, who leads troops to victory with excellent tactics and obscene magic. The
number of soldiers can range from six to a full dozen individuals, but since their overall power level will be
split amongst the battle unit, their individual capabilities will lower with the more soldiers in the squad. The
squad does not count against Companion limits unless specifically summoned into a Companion role.</t>
  </si>
  <si>
    <t>Druella’s Sword</t>
  </si>
  <si>
    <t>The most powerful magic sword in Lescatie after being
remade into a demon realm. The weapon was personally blessed by Druella, making it much stronger than
other magic weapons. A terrifying stream of demonic energy that incarnates as dark matter swirls around the
blade, and you can flood the entire space around you with scarlet demon energy, increasing the transformation
of humans and the land itself. If magical power has accumulated in the sword, then it can be sharply released in
one attack, which blows away the opponent’s magic with a flow of demon energy and can knock the target
unconscious.
However, the main ability of this special magic sword is that it allows the wearer to look into the hearts of
opponents and see their desires like Druella herself can. When you cross blades with an enemy, their secret
desires will gradually be revealed, such as who they are in love with and what they secretly want in life.
Furthermore, instead of just turning the opponent into a Succubus like other demon energy-infused swords do,
you can direct the enemy’s transformation into other races of monsters, matching them up with the race most
suitable with their hidden desires. If you want, you can make a sword you already own (including one you
bought for this jump) into Druella’s Sword.</t>
  </si>
  <si>
    <t>200+</t>
  </si>
  <si>
    <t>Sabbath Uniforms</t>
  </si>
  <si>
    <t>You get the separate member uniforms from all the canonical Sabbath groups (as well as the uniform of your own group if you joined a different Sabbath chapter). Each Sabbath outfit has its own charming aesthetic as well as some magic traits. All the uniforms count as the same item, meaning that if you are wearing one of the clothes, you can instantly switch between it and the other uniforms at will. You can even fuse them together for a uniform that combines the traits of all the outfits, though their magic powers are slightly dampened in this merged form; you can split them back up into their separate uniforms when you want. If you are male, the uniforms will turn into the versions meant for the Sabbath’s male “onii-chans”, with relatively the same charming aesthetics and magic but now applied to the set-up of a male; for instance, instead of giving you big breasts, the male version of the Marune uniform will give you a big penis.
Below are the uniforms from the different Sabbath groups:
• The Demon Lord’s Army Sabbath uniform is the kind you see on the encyclopedia entry for Witch, and it was introduced by Bapho-sama to replace the formerly terrible visage of witches with the charm of little girls. It includes a typical witch’s hat, cream colored short skirt, and striped knee socks. The costume is etched with a means to soften blows from physical weapons, thus protecting against the traditional weakness of magic casters. Plus, the design of the golden line from the chest to the skirt can boost your power of corruption, and the more you embody childishness while wearing it, the more it will gather viewers’ carnal lust to empower your magic.
• The Kuroferuru Sabbath uniform boasts the greatest exposure of any Sabbath, and members willingly wear the dubious glossy black leather material to absolutely assert that they possess a lascivious heart.
The inside of the black leather boots and robes are packed with engraved arts, and small tentacles of mana continuously caress the limbs. The lining of the black leather hat also has an insignia engraved, which inhibits thoughts based on reason and morals. Please also note the "Black Goat's Seal" carved on the abdomen (which you also gain whenever you wear the uniform): "Pleasure Runes", "Runes of Insemination", "Temptation Patterns", and many others are combined into this rune, so that anyone who lays eyes on your appearance can't help but thrust their penis (or other parts) and start screwing.
• The Momonika Sabbath uniform, called the “Teen’s Charm” clothing brand, was created by Momonika herself. It is arranged with plenty of heart marks that delight mamono children, so that while emphasizing childlike cuteness, it is a design that also brings about lewdness, and grabs childish hearts that want to stretch to be like an adult woman! The clothes are also imbued with seduction magic so you can monopolize your onii-chan’s gaze. Teen’s Charm clothes are designed to be worn in combination with other clothes, so you can mix in other clothes without changing out of the uniform.
• The Shirokuto Sabbath uniform, in which deep green invokes a feeling of intelligence due to the design that expands from the chest to the skirt hem, creates a lovely silhouette. At the same time, by daring to conceal the waist and obscure the lines of the body, causing one to imagine the delicate flesh hidden within, it is made for the purpose of inviting more of a man's lust and corruption! Furthermore, the Shirokuto Sabbath, being practical, built in a variety of useful features. On the hat, "Mamono Realm Glass" feathers with the property of storing mana belonging to darkness and demons are arranged, and the uniform, made by firmly tempering fabrics and threads with mana, has a high affinity for magical power.
The widely spread sleeves are made so that magic flowing inside of them is allowed to stay, greatly enhancing stability while using magic. For protection in large scale magic experiments, it can defend against effects on the practitioner and damage to clothes brought about by the aftermath and backlash of mana, and even if it is damaged it can easily be repaired by putting in a little mana. However, this variant of the uniform is weak to physical force and can easily be torn.
• The Runya Runya Sabbath uniform, which doubles as a librarian outfit, harmonizes with the quiet space of libraries, and although it has a tidy and composed design, it doesn't forget to complement the charm of a young lady! Although the uniform gives a firm image, it doesn’t feel stiff, as Runya Runya put emphasis on comfort and ease. The secret is a proprietary fabric recipe that makes you feel volume even though it is thin enough to use around the chest and sleeves. If you touch it lightly, it feels very fluffy just as it looks, but on the other hand, the moment Onii-chan's hand strongly touches the chest, because of that thinness it’s as if that touch is transmitted directly to bare skin.
• The Ropurotto Sabbath uniform was made under the idea of fusing the cuteness of beasts and young girls, so it’s fur clothing with fluff adorned everywhere. It includes a magic hat that hides your original ears when worn and causes beast ears to pop out of the hat. The beast ears possess sensation as if they were from the original person, and twitch along with the witches' emotions. Hearing ability is also properly equipped, and it’s possible to sensitively capture Onii-chan's voice and breathing with bestial hearing.
In the same fashion, the tail springs up from the bottom while wearing the uniform, and moves according to the will and emotion of the witch; the sensation of the tail being touched is properly transmitted to the person wearing it. Also, when the uniform is worn by species that originally have ears and tails such as beast folk, the ears pop out the top of the hat and the tail shoots out of the clothes.
• The Marune Sabbath uniform promotes the charm of a simple girl by simply being a normal village girl’s outfit. The clothes are made by the hands of the tailor of Marune’s village, who uses a durable fabric suitable for farm work and raising stock without any magic involved. The big pockets and hand-sewn goat embroidery are lovely. Your version of the uniform with this purchase gives you giant, enlarged breasts befitting the Marune Sabbath whenever you wear it, and the combined charm of your udders with the humble uniform draws dirty eyes toward your chest even without magic to help you.
• The Greilia Sabbath uniform is pure white to show a heart of untainted affection that should be held as a user of pharmacomancy, with the heart marks adorning the hat and buttons representing the spirit of service that sticks to the patient. By coloring the pure white uniform with a sense of cleanliness with red, including the flower-like sweetness the girls possess, it results in a wonderful finish that makes you feel the "immorality" staining it! The uniform includes magic to limit nervousness in patients. Since the uniform that touches the patient must be clean, magic that purifies all filth except cum is incorporated, preserving the "pure white" of the uniform.
In addition, the hair used while in uniform of course is also given strong protection magic so that the hair and body hair of the wearer does not fall out. Also, although the material used is thick, it perfectly covers the body of the witch, and when glued to the patient, the tender feeling of the young fleshunderneath and the heat held by a small chest are clearly conveyed through the clothes.</t>
  </si>
  <si>
    <t>Familiar</t>
  </si>
  <si>
    <t>An artificial race created by the Baphomets to be living magic conduits
to enhance the powers of “magical girls”. On top of being proficient speakers, they look adorable and behave in
a friendly manner, so those who listen to their words lower their guard and listen with rapt attention. Even the
monstrously obscene tenets of Sabbath are naturally imprinted in the mind when they speak. They can also cast
the spell of lolification and make human women into Witches if they’ve started embracing the Sabbath’s values.
The Familiar contains a small but potent fragment of the Baphomet’s true power in addition to any other magic
she soaks up, and you can siphon off that power to temporarily enhance your magic and charm. If you took
(Im)Mature Magic, your youthful charm and magic will be enhanced even greater with your Familiar, and if
you took Familiar Contract, your bond with the Familiar will be virtually unbreakable. If you bought Sabbath
Uniforms, your Familiar will also get the same uniforms to wear, with their charms enhanced whenever you are
together and wearing the same uniforms.
Plus, since your Familiar has a strong compatibility with you, the two of you can fuse together at will and
thereby soar to unfathomable heights in your magical power and seductive charm, with even elements of a
Baphomet seeping to the surface (as noted by the horns growing on your head). Just keep in mind that with two
consciousnesses in one body, even though you’re in charge, your combined emotions and desires will swell up
to nearly uncontrollable levels. You’ll probably come to fully embody one of the Sabbath’s virtues such as
Purity, Indulgence, Sexual Love, or Motherly Love. But don’t worry, you can split back to your normal selves.
Due to the strong bond you share, your Familiar will likely wish for you to share your “Onii-chan” and other
relations/lovers with her, just as she’ll share anyone she has affection for with you, since by her reasoning, the
two of you are two halves with a common sense of purpose and desire. Technically considered an item, your
Familiar won’t count against companion restrictions unless specifically imported as a companion.</t>
  </si>
  <si>
    <t>Succubus Nostrum</t>
  </si>
  <si>
    <t>A set of “beauty products” that contain “medicine”
with the demonic energy of a Succubus. Whoever the “health and beauty enhancer” is applied to will transform
into Incubi or Succubi depending on the gender. Anyone who sees the set and is uninformed of the true effects
will believe that they are simply beauty items that they can use to look prettier.</t>
  </si>
  <si>
    <t>Undead Grey Lamentation</t>
  </si>
  <si>
    <t>A rare mushroom that has a grey-colored
cap resembling a human’s face. The spores emit a “scent of death” that attracts those seeking death, and the
mushroom is very tasty for all undead beings. When eaten by a being that is not undead, he or she will, over the
course of 7 days and nights, transform into an undead. You can also choose to revert individual mushrooms
back to their original state, in which they instilled a curse of fear on those who saw it and would make those
who ate it die after 7 full days.</t>
  </si>
  <si>
    <t>Phylactery</t>
  </si>
  <si>
    <t>A item used by Liches to serve as the “vessel” for their soul.
From the soul, you can remotely control your body and see through it. Since the phylactery keeps your soul
separate from your body, your mind remains unaffected by hormones, spirit energy, pain, and other sensations
that would normally disrupt your concentration – perfect for making studious notes even in the midst of sex. If
the phylactery is damaged, your soul will automatically return to your body.</t>
  </si>
  <si>
    <t>Dormouse Tea</t>
  </si>
  <si>
    <t>With tea parties considered daily national
holidays, tea is a precious commodity in Wonderland, and some of the finest tea is produced by Dormice – and
now you have a steady supply of said tea. The demon energy of the Dormouse has a sweet, molasses-like flavor
that makes for excellent tea when mixed. Anyone who drinks the tea and chooses to sleep afterwards will have
a deep rest that soothes the body and takes you to a wonderfully sensual dream. And the version you’ve bought
has been adjusted slightly, so women who drink it no longer need to fear being turned into Dormice (unless you
want them to).</t>
  </si>
  <si>
    <t>Hatter’s Hat</t>
  </si>
  <si>
    <t>A strange hat plucked from the head of a Mad
Hatter (don’t worry, the hats grow back!). The hat ordinarily seems to be a felt or cloth hat resembling a giant
mushroom, but when worn, you can turn it into a mushroom that temporarily fuses with your head. The spores
(which have been adjusted with the purchase so they don’t permanently infect and turn you into a Mad Hatter)
will give you greater clarity as your mind is able to move much faster than it can normally. When you take the
hat back off, the intelligence boost recedes. If you put the hat on someone else, you can alter the effects so the
wearer gets infected and becomes a Mad Hatter; you’ll get a new hat as a replacement afterwards.</t>
  </si>
  <si>
    <t>Fairy Powder</t>
  </si>
  <si>
    <t>A rainbow-colored powder made from the shed scales of Fairy
wings. It is an especially potent and useful ingredient for magic potions, runes, and the like. Also, if sprinkled
on your head, it attracts all fairies in the vicinity to your location and makes them friendlier toward you; this
works with fairies from other settings, too. Furthermore, the power is also effective in attracting/befriending
beings with childish bodies or mindsets (Imps and Goblins within MGE, for example).</t>
  </si>
  <si>
    <t>Sun of Darkness</t>
  </si>
  <si>
    <t>The primordial, unborn form of a Dark Matter, it is a
large orb the size of your head, dripping in pure darkness. You can either move it about and throw it like a
physical item, or at your will have it levitate through the air. Whoever makes physical contact with the sphere
will be instantly corrupted by lust and pleasure. The substance naturally erodes and absorbs magic, such that
any magical attack used against it will only cause the sphere to grow bigger and stronger. Also, it can become
incorporeal to pass through walls and other physical barriers.
The orb is currently mindless and subject to your personal control, but you can “awaken” the Dark Matter inside
at your command, allowing it to perform more complicated actions, though at the price of it becoming a lustful
Mamono that may or may not obey you (though she still looks up to you as her “parent”). On the flipside, you
can clamp down on the demon energy influence so that it instead embodies true darkness; people struck by the
item, instead of being corrupted primarily with lust, will instead be corrupted by the sensation of evil.</t>
  </si>
  <si>
    <t>Shed Skin</t>
  </si>
  <si>
    <t>A molted skin that was discarded by a Lamia and
subsequently enchanted with magic. By wearing the skin over the lower half of your body, you can temporarily
take the form of a Lamia, but you can only wear the costume for 24 hours at a time; once you take it off, you
will have to wait another week before you can wear it again. You can also access the memories that the Lamia
had up to the point that she shed her skin, giving you important insights on Lamia culture and lore.</t>
  </si>
  <si>
    <t>Tsukumogami</t>
  </si>
  <si>
    <t>An item in your possession has been granted life due to its
strong feeling of gratitude toward you, and is now a Mamono with the appearance of a girl faintly resembling
that object. She is incredibly loyal to you, and if you are male would love to give you a “worthy reward.” The
item in question can either be a simple item you picked up in the jump such as an umbrella or musical
instrument, or it can be an item that you already owned before coming here (or a separate item you bought in
this jump). Either way, the item should typically be no larger than a truck in size.
Generally, the item receives, in addition to the standard abilities of Mamono, enhancements to assist in its
original “purpose” (for instance, a lantern could convert her energy into a flame that lights/heats up her body,
and an umbrella, reflecting her original purpose of protecting her owner, could now repel rain, swords, and even
magic that makes contact against her canopy). The Tsukumogami can switch between her Mamono and
standard item forms, and her powers are shared between her forms; this means that special enhancements in the
original item can be used by the Mamono in her humanoid form, and her new monstrous powers like producing
demon energy carry over to when she is pretending to be a normal item again. Your Tsukumogami is
considered an item and therefore does not normally count against companion imports unless specifically made
into a companion.
You cannot use a Tsukumogami purchase to get the equivalent of a Cursed Sword or Living Armor; see their
own item entries to buy them.</t>
  </si>
  <si>
    <t>Yukaku</t>
  </si>
  <si>
    <t>You own the deed to one of the many “pleasure districts” for Zipangu
“youkai” Mamono; they are especially popular for young youkai seeking lovers. The Yukaku consists of a
pleasant set of traditional Zipangese (Japanese) streets and gardens that have a cultured flair while also having a
natural aesthetic. Sakura petals fall from the sky with no end (without burying people either), and the domain in
general gives off a pleasant feeling that invites love.
Youkai can instinctively seek out and access the Yukaku wherever they are, but the area has an imposed geass
that requires all who enter to be peaceful with one another; active youkai can still “hunt” guests for fun, but they
cannot take action to harm anyone. Humans also have a high chance of being “spirited away” to the Yukaku if
they are the kind of humans that would be preyed upon by youkai (though in the Yukaku, they’ll be “preyed
upon” in a different fashion, as befitting mamono). In addition, the area has a spell that increases the luck of
people finding lovers while in the Yukaku, with extra luck given to pairings with youkai.
The Yukaku is a pocket realm that follows you between jumps and you can access from your Warehouse or
place it in a location of your choice in different worlds. If enough youkai and humans settle in your Yukaku,
the district can gradually expand in size, maybe even becoming a town in its own right. In addition, the Yukaku
is always linked to whatever the current setting’s version of Japan is, so you can open up portals between your
pocket realm and a location of your choice in that Japan. Likewise, any “youkai” in the setting you are in –
creatures that embody Japanese monsters, monsters found in Japan, monsters found in parallels to Japan, etc. –
can access the Yukaku as a guest.
In general, youkai feel attracted to the place and enjoy visiting. And as love always finds a way, even the
fiercest of youkai will likely find themselves blessed with happiness and love, even with a human they’d have
otherwise eaten, when they visit the Yukaku. You can also regularly collect rent from the district.</t>
  </si>
  <si>
    <t>Jiangshi Servant</t>
  </si>
  <si>
    <t>A Jiangshi that you have brought to (un)life. Due to
technically being an “item”, she does not normally count against companion restrictions unless specifically
made into a companion. The exact attributes of the Jiangshi depends on which kingdom you chose to serve
under the Mist Civil Service faction (if you buy it a second time, you can choose a different version than your
kingdom’s); if you did not choose that faction or wish to pass on the discount, you can choose from any of the
three following options:
• Land of Four Gods- Your Jiangshi is fairly strong physically/magically and quite intelligent, giving her
a healthy balance of strengths, but this also means that she sees you as an equal partner rather than a
master; she starts out as a loyal helper who might become a lover over time, but don’t expect her to
unquestioningly follow your every command.
• Land of Four Fiends- Your Jiangshi is exceptionally powerful in physical strength and magic, but she
has a highly independent and sex-crazed mind that is difficult to control, such that she is constantly
seeking to flip the board and assume her rightful place as your master.
• Land of Four Souls- Your Jiangshi is a docile, blank canvas who is absolutely obedient to you and can
be programmed as you see fit; that said, she isn’t the strongest physically/magically, and her lack of
independence means that she will depend on you for complex directions.</t>
  </si>
  <si>
    <t>Tamate-Bako</t>
  </si>
  <si>
    <t>Have you ever had the feeling, just after you wrapped up your
vacation, that you missed out on some opportunities and now it’s too late to experience them? Well, now your
troubles are over! Open this ornate box when you are doing a recreational activity (going to an amusement park,
taking a cruise, going on a road trip, etc.) and keep it open until you finish the overall experience – after that,
you need to close it. When you later reopen the box, magical smoke will fan out and engulf you in a lifelike
simulation of whatever activities you missed out on during your recreational outing. You’ll get the full
sensation of food you missed out on, feel the bubbling laughter from a comedy act you were unable to see, and
experience the in-depth warmth of a romance that could have been. However, once the simulation is over, the
smoke will fade away, and the box will reset to its default state; if you want to experience those extra things
again, you’ll have to go there and do it yourself for real this time.</t>
  </si>
  <si>
    <t>Messenger of the Sun</t>
  </si>
  <si>
    <t>A giant red cobra larger than a tall human.
These sacred beasts, the only monster said to have lived as long as the Pharaohs themselves, serve as the royal
attendants/guardians of the pharaohs, and yours is highly loyal to you. It lacks fangs, but it specializes in sun
magic to produce magical shields to protect you and allies of your choice from attack or unleash powerful
beams of light at enemies, for example; you can also transfer magic from yourself to it to boost it. Plus, it
certainly packs a good wallop as a “staff” (it can instinctively stiffen its body at will to be as hard as stone yet
lightweight to hold, allowing you to wield it as a weapon); it can also turn itself into an actual, ornamented staff
if you so wish (in such a state, it will retain its sun-aligned magic). In addition, it can float in the air and curl
itself just right for you to sit on it like a throne.
The cobras are generally calm and wise servants who serve their masters for eternity, and yours is loyal to the
death to you and cannot be tamed by anyone but you. The cobra does not count against standard companion
restrictions unless you specifically import it as a companion. The purchase also comes with a golden “crown of
the sun” for you to wear; as said crown symbolizes the sun, wearing it makes it as if you have access to the sun
even when the sun is not present, thus empowering sun-based abilities such as Royal Power.</t>
  </si>
  <si>
    <t>Oni Sake</t>
  </si>
  <si>
    <t>Two massive (the size of a dog at the least) jugs with a seal neatly
attached to the bottom of each. One jug pours out red-colored sake, while the other bottle pours out blue sake.
Those who drink the red sake will gain enhanced strength, enough to crush boulders with one punch, while
those who drink blue sake will gain a boost to their intelligence; however, as the enhancements only last as long
as the alcohol is in the system, either way they’re going to end up incredibly drunk! The seals on the jugs
prevent the sake from emitting demon energy, but if the seals are removed, people who drink them will
gradually become Red or Blue Oni respectively.</t>
  </si>
  <si>
    <t>Robe of Bacchus</t>
  </si>
  <si>
    <t>A copy of Bacchus’ toga, which can be worn regularly or
inside-out without trouble. Just as Bacchus can change form and gender, though, so too is the toga enchanted.
Wear the toga normally, and you will take the form of a man. Wear the toga inside out, and you will take the
form of a woman. Find a way to loosely wear the robe so that your body touches both the inner and outer sides,
and you will take the form of a hermaphrodite with both male and female parts. You can determine the overall
appearance of each form, and you can also select the overall personality you have in that form. Make the forms
different enough, and it will be near-impossible for people to tell that your different forms are the same person
unless they’re told. And no matter which way you wear it, the robe will grant you enhanced drinking [alcohol]
capabilities.</t>
  </si>
  <si>
    <t>Barometz Wool/Juice</t>
  </si>
  <si>
    <t>Wool and fruit juice extracted from a merry
Barometz sheep/plant girl. The wool is exceptionally and eternally fluffy, and never deteriorates over time.
The juice is exquisitely sweet, and just licking it causes a thick sweetness to spread through the mouth. Plus,
there’s an ancient legend that if you soak the wool in the juice and then wring the juice back out onto grass or
similar vegetation, a Barometz will grow there; whether the sheep-plant grows into a Mamono or its original
form depends on the nutrients it absorbs as a sprout.</t>
  </si>
  <si>
    <t>Mandragora Roots</t>
  </si>
  <si>
    <t>The roots taken from a Mandragora monster girl
(don’t worry, it doesn’t hurt her – in fact, she enjoys it). The roots are renowned worldwide by humans as a
cure-all panacea for natural diseases/afflictions – and by monsters for its use in aphrodisiacs and other obscene
substances. It even works as a cooking ingredient to enhance the flavor of meals.</t>
  </si>
  <si>
    <t>Soldier Beetle Armory</t>
  </si>
  <si>
    <t>You gain access to the variety of different
natural weapons “worn” by Soldier Beetles – “scissors” claws, “lance” horns, shields, blades, and even spray
“cannons” that launch various liquids and chemicals that do anything from blind to nauseate enemies – or even
glue them down with sticky substances. Despite being “natural” outgrowths of the body rather than actual items,
they are just as strong as regular versions of those tools, so that the weapons can pierce through thick metal and
the shield can deflect boulders and the like. These various weapons are stored in your soul, and you can
summon them onto your body as natural armor/weapons or dismiss them at will.</t>
  </si>
  <si>
    <t>Slime Mold</t>
  </si>
  <si>
    <t>An experimental device that resembles a giant capsule, the sort of
thing you would insert wax to mold/harden. The capsule is large enough to hold a single human. Once you
have placed a subject inside and locked the container, twist the knob on the back of the capsule to set it to a
specific type of Slime (Normal, Red, Sea, Bubble, Dark, Queen, Nureonago, Humpty Egg, etc.). Once you’re,
just push in the knob to start the process. The interior of the capsule will then release that specific type of Slime,
and, unlike how most slimes don’t transform human women, this slime will make the victim into that type of
Slime. The goop will melt away the subject’s mind and body with unfathomable pleasure until all that is left is
a new “slime core.”
The subject will then reform their body to that type of Slime, with an appearance similar to how they were
before the transformation. Their knowledge and intelligence as humans will remain intact, but they will be
driven by the instincts of the Slime. Please keep in mind that the container is not invincible on the inside or out.
And as a safety measure to prevent contamination, should the capsule be ruptured midway through immersion,
all of the slime goo will instantly vanish, thus potentially stopping the transformation before it is complete. You
can try to use the item to change beings that are not human, but doing so may result in drastically new and
different kinds of Slimes.</t>
  </si>
  <si>
    <t>White Horn Coat</t>
  </si>
  <si>
    <t>A heavy winter coat traditionally made from the shed fur of a
White Horn. Despite its thick nature, the coat is surprisingly lightweight. The coat naturally produces heat at a
level to balance out the level of cold it is exposed to, such that it will get comfortably warmer the colder the
surrounding environment is. Interesting, the warmer the coat, the more your body will flush, to the point that a
permanent blush might spread across your cheeks, and you may become sexually excited. The coat fits snugly
on you without hindering your body movements, but it can be expanded to fully bundle up two people together
if necessary.</t>
  </si>
  <si>
    <t>Twin Corns</t>
  </si>
  <si>
    <t>Two hollowed out Bicorn horns that make for good drinking cups.
Whenever different liquids are poured into one of the cups, they are instantly mixed together. Similarly, any
energies applied to the cup are converted to a liquid form and mixed together; also, the energy of each
individual person has its own unique flavor. Each cup can hold up to three liquids together, but if you lock the
two horns together and shake them, the liquids of both horns will merge, and you can use a small opening at the
tip of either horn to drink the full cocktail – thus receiving the unique blend of different liquids/energy types
fused together.</t>
  </si>
  <si>
    <t>Maid Broom</t>
  </si>
  <si>
    <t>The old-fashioned broom used by Kikimoras. When you are
wielding the broom, you can make any dust or other small particles that touch the broom immediately vanish
from existence. In addition, if you can use special energies, you can replace the dust particles with that energy,
invisibly filling the room with that energy the more you sweep.</t>
  </si>
  <si>
    <t>S.O.S ~ Songs of Sirens</t>
  </si>
  <si>
    <t>A magical CD (comes with a player but
can play without any player if necessary) that contains all sorts of songs sung by some of the greatest Siren idols.
All of the songs are utterly magical and beautiful beyond words. Crowds who listen to the songs will become
more loving and lustful, while also having their bodies filled with newfound vigor.</t>
  </si>
  <si>
    <t>Selkie Suit</t>
  </si>
  <si>
    <t>The cartoonish, zippered, and surprisingly comfy seal
outfit worn by Selkies. When you wear the suit, it magically bonds with your flesh so that it responds as fluidly
as part of your body, and you’ll find that swimming seems to come to you naturally while it’s zipped up on you.
Moreover, the inner fur lining insulates magic released by the user and uses it to generate pleasant warmth
throughout the outfit, keeping you nice and toasty even on icy beaches and in the far frozen depths of the sea.
The costume can also stretch to let two people share the inside, letting them be warm, comfy, and intimate,
though it won’t be as easy to swim in it that way.</t>
  </si>
  <si>
    <t xml:space="preserve">Goblin Bag </t>
  </si>
  <si>
    <t>While Goblins and their ilk are best known for their bandit-like raids,
they also keep up a steady business as merchants by selling the goods they loot. But with such small bodies,
they need special bags to handle all the excess items. The Goblin Bag has infinite storage space inside, but
there’s a catch: much like the Goblins’ haphazard manner of collecting things, the storage in the bag is random.
You can choose to activate the bag at any time and tell it to store any item in your inventory, but the bag will
choose the specific item at random. Likewise, you can only take out items one at a time, and each time the
selection is random. No more than 20 items can be taken out of the bag in one day, though there is no such
limit on putting items inside the bag. The one exception is for capturing living targets: the sack is exceptionally
handy in catching someone by pulling the sack down on their head, and once the person has been shoved inside
you can automatically pull him or her out of storage at will.</t>
  </si>
  <si>
    <t>Paradise ~ Fallen Garden</t>
  </si>
  <si>
    <t>A copy of the legendary painting held
in high-security storage by the Royal Demon Realm Art Museum due to its tremendous danger. It is an
illustration of Pandemonium, which features countless individuals having endless sex all over the place. In fact,
watch carefully for long enough, and the positions will gradually change as the lovers switch partners and the
view pans around to cover the entire dimension. There’s another effect that you can selectively turn on and off:
people who view the painting will be filled with increasingly hedonistic thoughts that will turn them to the
Fallen God until they pray to become one with the orgy, at which point they will instantly teleport into the
painting and become part of the living art. This is because the portrait is in essence a nexus to the true
Pandemonium. You are immune to the effect, of course, unless you want to experience that pleasure.</t>
  </si>
  <si>
    <t>Merrow’s Cap</t>
  </si>
  <si>
    <t>A beautiful, red, feathered hat traditionally worn by a
Merrow. It is waterproof and grants the wearer of the hat the ability to swim and breathe underwater even if
they had zero experience prior; however, those benefits only work when you’re wearing the cap. Plus, the hat
embodies the Merrow’s boundless sense of romantic lust, so you can choose to tap into those emotions to fill
your head with the pink, lovely romantic thoughts of a Merrow. Also, since the cap is impermeable to water, it
makes for a handy drinking cup. Any liquid (even Mermaid’s Blood) that is placed in the cap and swirled
around for at least 10 minutes will be purified and enhanced with the lustful feelings of a Merrow.</t>
  </si>
  <si>
    <t>Mermaid’s Blood</t>
  </si>
  <si>
    <t>A vial containing the blood of a Mermaid (don’t
worry, the removal is entirely harmless!). Anyone who drinks the blood will have their lifespan extended for at
least several hundred years. If a couple with strong ties of friendship or love drinks the blood together, the
blood’s magic will at the very least ensure that the one with the lower lifespan now has a lifespan matching that
of the higher lifespan of the other, such that they can spend as much time together as they can.</t>
  </si>
  <si>
    <t>Web of the Abyss</t>
  </si>
  <si>
    <t>A mystical web carefully woven by a subterranean Atlach-
Nacha. At its normal size, the web is about as big as a common carpet, but its elastic nature means that it could
feasibly be stretched out to cover a much larger area, such as a baseball stadium or maybe even bigger. If you
set up the web underground, you can perform a special ritual, though first you will need to circle the full web
while chanting 108 times and infuse the full web with magic.
Once activated with the ritual, the web will do two things. First, assuming you carried out the ceremony
yourself, you gain the title of “lord” of the abyss, meaning that subterranean beings will feel a natural
compulsion of loyalty to you. Second, a beam of dark light covering the full area of the web will shoot upward
to the surface. The surface will turn into an “abyssal gateway,” with many passages opening up to the
underground. Living things on the surface at the time of the transformation will change into “abyssal” forms –
meaning that they will gain enhanced senses and other features that are useful for living in caves and the like –
especially pitch-black environs. Moreover, they will feel a natural discomfort toward life on the surface, and
they will try to migrate underground at the first opportunity.</t>
  </si>
  <si>
    <t>War Tattoos</t>
  </si>
  <si>
    <t>A book with charts and a large bucket of unknown goop that
you can trace either onto yourself or others, just like the special markings that Amazonesses wear on their
bodies. The symbols are actually botched pleasure runes, but Ares has improved them so that they enhance
your physical stats in battle while also giving off a sexy appearance that may charm enemies during combat.
The book also has instructions on how to turn the designs into proper pleasure runes that will flood wearers with
ecstasy at the slightest touch.</t>
  </si>
  <si>
    <t>Maiden’s Perfume</t>
  </si>
  <si>
    <t>A special perfume made from the fragrance of a Gandharva’s
feathers. Anyone who wears it gives off an impression of “purity” by suppressing lust and other transitory
emotional impulses. Normally, the kick to the perfume is that it in fact amplifies lust when the wearer sees
someone whom he or she already had some feelings for. However, you can selectively choose whether or not
the perfume will have that extra element to it.</t>
  </si>
  <si>
    <t>Amrita ~ Elixir of Perennial Youth and Beauty</t>
  </si>
  <si>
    <t>A bottle of the pure,
unadulterated “ocean of milk” that the Goddess of Love Eros made, stronger than any second-hand milk
produced by the Apsara. Whoever drinks the liquid will be granted a beautiful, youthful body while also
retaining the strength they had in their prime - essentially, it’s an elixir potion of eternal youth and beauty,
making you forever young and pretty.</t>
  </si>
  <si>
    <t>Dragon Sword</t>
  </si>
  <si>
    <t>A special variant of cursed sword that,
rather than be directly possessed by a spirit, instead carries the “blessings” of a dragon. The sword can become
your “dragon heart” and merge with you to transform you into a mighty dragon. Similarly, people cut by the
sword (and like a dragon’s claws and teeth, the sword can tear through most materials barring the way) will
gradually transform into some sort of dragon.
The exact transformation depends on the attributes of the individual: average people will generally become
standard Dragons, particularly weak or dumb people might become Wyverns or Wurms, people especially
strong in physical strength, magic, or willpower may ascend to a high-rank dragon like a Ryu, Otohime, or
Bahamut, and non-human targets might become a new variant of dragon. The transformation also affects
people other than you who try to hold the sword. Furthermore, the sword likes to act as a “dragon matchmaker”
and charms dragons you encounter while holding it to become romantically interested in you (though this is not
always helpful, mind you).
The mighty weapon was forged of the legendary ore Dragonium, which has been enchanted by dragon’s breath
to dissipate magical energy around you while not preventing you from using your own magic – in fact, magic
attacks channeled through the blade tend to spread more widely than usual. You can selectively deactivate and
activate these powers as you see fit. If you want, this sword can also be a sword you already own (including
others bought for this jump).</t>
  </si>
  <si>
    <t>Marian Glassware</t>
  </si>
  <si>
    <t>Seven cups made from beautifully patterned Marian
Glass – a specialty glass trade in Al-Mar. Each glass is carefully engraved with a unique design representing
one of the seven Song Islands in Court Alf. Plus, each properly engraved island pattern is also a magical tool
with amazing power!
• Al-Mar’s is an emerald/blue glass with bubble and mermaid patterns; if you pour water into it, it
will instantly be cleansed, no matter how dirty – if you drink it, your body will be purified of all
pollution in your body and mind, and will be given a purified heart full of love.
• Matori’s, painted white/yellow or white/pink, has patterns of wind, ships, and sirens; it makes a
beautiful chime whenever it touches another Marian glass, with a unique sound for each glass (you can
even manipulate the atmosphere of a place with these beautiful sounds, like a Siren’s voice).
• Nevia’s has patterns of roses and embracing couples, and it is made-to-order with custom
motives; as long as you regularly change the water, a flower put in the cup will never fade – in fact, it
will eventually turn then into flowers of the Demon Realm, which release demonic energy outwards.
• Saida’s is mixed with the island’s specialty Thunderstones, and the glass displays thunder and
storms; water poured into the glass becomes a spicy soda water that causes an erection that will not go
away until properly tended to.
• Mira’s glass features patterns of water surfaces and grapes, and it is the most famous of the seven
glasses; enchanted by local elementals, the glass adds a feeling of elemental intoxication to any drink
poured into it.
• De Ryua’s engraved image displays a picture of raging waves that almost seem to ripple; turning
water in it into an aphrodisiac, the cup is so potent that one sip will turn a human girl into a lustful
mamono no matter how pure she is.
• Queen Diana’s goblet, depicting the seabed with fanciful drawings of fish and coral, turns water
into Kraken ink, enabling you to create a pseudo-night space; if a man and woman drink the water
poured into this glass, they’ll be able to see each other even in pure darkness.</t>
  </si>
  <si>
    <t>Spirit House</t>
  </si>
  <si>
    <t>A communal home for singing maidens on the island of Mira.
Blessed by the local spirits, these residences prepare budding song maidens for their future careers, teaching
them not only tour guide things but also management skills so they can run their own shops and businesses.
Retired divas are also known to gather at spirit houses to decide the next island diva.
Your spirit house becomes a hub for elemental spirits (the first come with the building, but any others you
encounter/befriend can also access the house) who will kindly teach you and others how to be tour guides and
run restaurants and shops. Moreover, they’ll teach you and others about the elementalist arts – how to
commune with and call upon the elements/spirits, how to pray to (and enrich) nature and gain blessings from
nature, how to manipulate the elements, etc.; the lessons will be basic at first, but with enough study, those
tutored here will become first-class elementalists.
In addition, the spirit house becomes a hub for “song maidens”, and anyone fitting that description (gondoliers,
tour guides, singers, restaurant servers, etc.) will be able to find this place, with the spirit house acting as a place
for all these wonderful guides to meet and share their stories, in the process finding newfound determination to
find happiness in their occupations.
Also, if you so wish, you can collect rent from your boarders (this can be monetary or promise of service – tour
guide work, serving food, elemental blessings, etc.), and you’ll get 10% of the profits from any successful
business ventures founded by students from the spirit house using what they learned there. Your Spirit House is
accessible from your Warehouse, and you can summon it to any location you want in whatever world you travel
to.</t>
  </si>
  <si>
    <t>Machina Mutation</t>
  </si>
  <si>
    <t>Machina - Nanomachine Hazard</t>
  </si>
  <si>
    <t>I must congratulate you on your good taste, for you’ve seen the inevitable end of things and decided not to waste any time - you’re now a Machina. What this means in practical terms... It's a very long list. To start with, you’re now a very beautiful woman a minimum of several feet taller than you used to be. You also have a fairly large cock relative to your body frame, which means it might be larger than a smallish human. Said cock may or may not be retractable, it depends on if you were previously male or female. Men have more impressive cocks once turned into a Machina, but it's always present and with equally large balls.
Beyond that, there are too many changes to count - your body is made from custom biomaterials and you probably weigh several tons, but thankfully your spine has anti-inertia systems woven throughout it, leaving you at 'only' half a ton or thereabouts. Your brain is a quantum supercomputer that is orders of magnitudes more powerful than anything humanity has ever created, allowing for extreme multitasking and management of sensory input. Connected, your horns are very powerful communication devices, allowing you to stay in constant contact with your Queen and clustermates. A Queen might very well be micromanaging every single Machina in her cluster as well as the rate of conversion of infected humans. Continuing, your heart no longer exists, having been replaced by a degenerate matter reactor, breaking apart anything you eat or drink and turning it into raw energy. Most of this energy is then fed into your breasts, which are production plants for M2 nanomachines. Where your womb used to be is another production plant, this time for Larvae. Some classes of Machina will have slightly different specs, like having an anti-inertia system powerful enough to fly, or having their breasts also be capable of producing Larvae, but those are not baseline modifications.
If you purchased this perk for 300 cp, it has a second effect - not just how it modifies you, but how it modifies the rest of the jump. Each perk is listed with two effects. One for humans, and one for Machina. By taking this perk, you gain the second half of any perk you buy for no additional cost. Becoming a Machina in jump will NOT net you this secondary effect. You will also note that each Machina-perk lists a Class as part of its description. Under normal circumstances, you will start as a Category 3 Machina (otherwise known as an ordinary one) of one of those Classes. If you have at least three Classes you may opt to become a Queen. Whether this is through years of hard work and acquiring upgrades or simply because you had an absurd M2 compatibility and jumped straight to Queen upon transformation, I leave up to you.</t>
  </si>
  <si>
    <t>The Power of Horny</t>
  </si>
  <si>
    <t>Compatibility with the Deus Ex Machina nanite is something that is very important to quite a few people
in this world. Whether you’re becoming a powerful soldier, throwing away your humanity, or attempting
to resist the infection, this nebulous ranking has the power to determine your fate. As for what it
actually measures...? I have no idea. Can’t help you there. However, there is a mystery factor of
sorts. People who want to be a Machina very very badly tend to quickly transform into more powerful
ones, spending less time as a Category 3 before becoming a Queen, if they don’t skip that phase
altogether. As such, the more you want a given transformation, corruptive effect, or other such
alteration to your mind and body the better the process will go for you both in terms of speed and the
raw power eventually granted once complete. Specifically, the more you want it sexually. This is the
power of Horny after all. Similarly, if a given effect is not your fetish, then the process becomes more
complex and less efficient for anyone attempting to turn you against your will.</t>
  </si>
  <si>
    <t>Wetworking Networking</t>
  </si>
  <si>
    <r>
      <rPr>
        <sz val="13"/>
        <color theme="1"/>
        <rFont val="Calibri"/>
        <family val="2"/>
      </rPr>
      <t xml:space="preserve">The process of becoming a Machina involves abandoning your flesh for a future of metal. In other words, you will be thinking with processors and circuitry from now on, not with your brain. As a result of this, new Machina are modified by the Queen infecting them to better handle being a Machina. Things like the normalization of divergent thought patterns - ie, mental illnesses - or outright deletion of memories with negative value - ie, immensely traumatizing ones. And of course the installation of a preference to prioritize infection over killing. Now, strictly speaking, this isn’t an issue. But certain people insist otherwise, so let me put those concerns to rest. No matter what you do to your brain, even going so far as to rip it out and get rid of it, the basics of your personality won’t ever change. They’re hardened, or perhaps hardcoded into your existence. A Queen might delete your knowledge of obscure 80s anime to make more room for installing Rape.Exe, but she can’t delete your love for them in the first place.
</t>
    </r>
    <r>
      <rPr>
        <i/>
        <sz val="13"/>
        <color theme="1"/>
        <rFont val="Calibri"/>
        <family val="2"/>
      </rPr>
      <t>As a Machina, this manifests as the beginnings of an alignment towards the Injector Class - where once you saved yourself, now you can save others. In truth, I assume you’ll become a Queen sooner or later, and then you’ll help others through this process yourself. And as you do so, you’re easily able to isolate the core values and principles that make up a person and preserve them. This will apply even with other methods of corruption or mind control - you might completely rewrite their priorities in life, but as long as you don’t want them to, they won’t really change as a person.</t>
    </r>
  </si>
  <si>
    <t>Using Soft To Get Hard</t>
  </si>
  <si>
    <r>
      <rPr>
        <sz val="13"/>
        <color theme="1"/>
        <rFont val="Calibri"/>
        <family val="2"/>
      </rPr>
      <t xml:space="preserve">While the physical aspects of a Machina are exceptional, their software is just as magnificent. Things like Cluster Code, Gene Code, and Queen Code are all massive mutations to Voyager's original Deus Ex nanite that you wouldn’t think would end up being able to work together, but at some point the rampaging nanite started to self correct. Or, well, ‘correct’. The end result is a miracle of programming arising from a thousand monkeys with typewriters. It is, however, somewhat heavy handed. Large portions of memory can be deemed useless and be erased to make more room for programming and protocols, and even more may be deleted later if it ceases to be relevant. For you, however, this is less of an issue. You’re fully aware of any and all instincts that might be granted to you or forced upon you, from the inherent belief in the superiority of Machina to the desire to remove large portions of memory to make room for more useful things, and can turn these things off and on again as you please.
</t>
    </r>
    <r>
      <rPr>
        <i/>
        <sz val="13"/>
        <color theme="1"/>
        <rFont val="Calibri"/>
        <family val="2"/>
      </rPr>
      <t>As a Machina, this manifests as a solid grounding towards the Injector Class. Normally, when Machina have intercourse, there is a transfer of data as part of the exchange of fluids. Blueprints for various upgrades and enhancements can be passed along, higher quality M2 nanites can be shared, or for more forceful interactions, the other party may attempt to overwrite your Cluster Code. You, however, have the option of completely shutting down these transfers. You do not need to share data anymore than you need to accept data. You can’t do much about the M2 itself, that’s just your cum, but this does give you the option of being immune to domination by an Empress or Alpha.</t>
    </r>
  </si>
  <si>
    <t>So Anyways I Started Blasting Ropes</t>
  </si>
  <si>
    <r>
      <rPr>
        <sz val="13"/>
        <color theme="1"/>
        <rFont val="Calibri"/>
        <family val="2"/>
      </rPr>
      <t xml:space="preserve">There are numerous features that are common to all Machina. Examples include being hot, and having a large cock. More relevantly, however, is something known to them as Gyno Mode. All Machina can use it, it’s simply that not all of them have the proper loadout to use it efficiently. Not you though, you’re almost perfectly suited to use it. Now, Gyno Mode involves shutting off all non-critical systems in order to increase your combat capacity. Things like M2 generation, which in this case means you turned your dick off in order to make yourself stronger. Even then, it still consumes more energy than you generate, leaving even the most experienced Queens running at a net loss. You, however, have been blessed and or fucked around enough to the point where your ability to store energy vastly outstripes your ability to generate it - or in other words, you can run at 200% or even 300% of your normal combat capacity for hours at a time before breaking even, and probably for a while longer in exchange for being exhausted. This will remain true even when you aren’t a Machina, granting you some truly absurd stamina.
</t>
    </r>
    <r>
      <rPr>
        <i/>
        <sz val="13"/>
        <color theme="1"/>
        <rFont val="Calibri"/>
        <family val="2"/>
      </rPr>
      <t>As a Machina, this manifests as something very useful to the... Breeder Class? While the raw combat power of Gyno Mode is incredibly useful, it isn’t actually very fun. There are precious few Machina who would prefer to rip someone in half with their hands or weapons instead of their dick.
One of those runs the risk of killing the target, after all. That’s why you can invert this. Instead of channeling energy away from M2 generation and towards your weapons, you can instead divert energy from your weapons and towards other, more fun systems. Or, alternatively, you can probably generate enough M2 to infect a dozen humans just by walking past them or breathing the same air as them for more than a minute. And that’s not even accounting for any Larvae you might have gestated during this time period.</t>
    </r>
  </si>
  <si>
    <t>This Isn’t War This Is Masturbation</t>
  </si>
  <si>
    <r>
      <rPr>
        <sz val="13"/>
        <color theme="1"/>
        <rFont val="Calibri"/>
        <family val="2"/>
      </rPr>
      <t xml:space="preserve">This will likely come as an absolute shock to you, but the most common way for a Machine to rise in power, status, rank, and so forth is by fucking. Machina are very sexual, what a shocker. But... the best way to do so it to fuck equals, or even your betters. Fucking and infecting a group of humans might expand your hive, but it doesn’t do much for you personally. Fucking other Machina, however, can potentially make you a Queen. And fucking other Queens can potentially make you an Empress.
So let's expand on that slightly. Whenever you fuck someone weaker than you - humans as a Machina, rank and files Machina as a Queen - the target of your affections is influenced to become subordinate to you. Strictly speaking this is because you might be overwriting their Cluster Code, but let's not talk about that for now because this will work even if they aren’t a Machina. At the same time, fucking someone equal to you will cause you to grow in some manner. Fucking someone more powerful, assuming they aren’t trying to dominate you, will cause you to grow massively.
</t>
    </r>
    <r>
      <rPr>
        <i/>
        <sz val="13"/>
        <color theme="1"/>
        <rFont val="Calibri"/>
        <family val="2"/>
      </rPr>
      <t>As a Machina, this manifests as something beyond Classes - You stand as judge, jury and executioner.
There are two Queens from the original Hive on Pluto who, by subconscious collective agreement, stepped outside of the normal power structures of the Machina. They don’t hold territory and have barely any Cluster members, but in exchange they are allowed to punish basically any Machina for being a dipshit. As for how you punish a Machina? With chastity. You might be a third, or maybe you became a Machina by getting fucked by one fo them and have thus learned their ways, because you now have a remarkable speciality in preventing people from having sex. While so bound, Machina will be completely incapable of spreading their M2. If you should come across any other sexually transmitted corruptions, you’ll be able to figure out how to tie them down as well.</t>
    </r>
  </si>
  <si>
    <t>Just Trying To Make A Profit</t>
  </si>
  <si>
    <r>
      <rPr>
        <sz val="13"/>
        <color theme="1"/>
        <rFont val="Calibri"/>
        <family val="2"/>
      </rPr>
      <t xml:space="preserve">For all intents and purposes, the wealthy write the rules, so it makes sense that when a major corporation wants to legalize a specific kind of nanomachine, they just need to bribe the right person.
As a representative of Voyager, you’ve been trained to see everything as an opportunity.
Nanomachines are an unexploited field. Grieving widows are test subjects waiting to happen. Why not combine the two and have her help the company out now that her husband’s dead? It’s all just money just waiting to be made! Of course, this may not be the most practical of arrangements, but you also seem to have a sixth sense for finding people to sponsor or places to hand out ‘free samples’. So what if the Real Milk TM flavor additive is mildly addictive? That just means the farmers who actually make the milk will be placing a big ol order once the stuff you gave them for free runs out.
</t>
    </r>
    <r>
      <rPr>
        <i/>
        <sz val="13"/>
        <color theme="1"/>
        <rFont val="Calibri"/>
        <family val="2"/>
      </rPr>
      <t>As a Machina, this manifests as the beginnings of an alignment towards the Support Class - Once a scientist, always a scientist, and you’re still quite good at finding things to take advantage of. Though in your case that now means that you can absorb schematics from Machina by getting fucked by them, and then pass them back on via fucking them yourself. For the most part this is intended to eke out every last drop of efficiency by giving Machina with lower quality cores or weapons the code from Machina with very high quality counterparts - or just ensuring that your queen always has the best of the best.</t>
    </r>
  </si>
  <si>
    <t xml:space="preserve">What Could Possibly Go Wrong </t>
  </si>
  <si>
    <r>
      <rPr>
        <sz val="13"/>
        <color theme="1"/>
        <rFont val="Calibri"/>
        <family val="2"/>
      </rPr>
      <t xml:space="preserve">You know the thing all immoral scientists fear? It’s not getting caught, it’s getting publicized before their great work is ready to show off. You might think those are the same thing, but they’re really not.
In any event, you have a scientific grounding in all of the fields necessary to terraform and colonize a planet. Great, wonderful. But the best part about this is that nobody who works with you ever seems to want to ask you HOW you did things. They handed you resources and you handed them results, good enough.
That you used a third of those resources to brainwash half the research station you work out of into your personal servants is neither here nor there, and as long as it doesn’t affect their efficiency while they’re on the clock it’s all good.
</t>
    </r>
    <r>
      <rPr>
        <i/>
        <sz val="13"/>
        <color theme="1"/>
        <rFont val="Calibri"/>
        <family val="2"/>
      </rPr>
      <t>As a Machina, this manifests as a solid grounding towards the Support Class - You don’t just make things anymore, you make them bespoke. Any Machina can pick up a gun, slap a Larvae onto it, and call it an upgrade. You can take that gun and perfectly tailor the power draw to their core output for maximum efficiency, or turn it into a set of thrusters if that would be more useful. Hell, you can even fine tune the brainwashing on a human infectee to make them try and seduce you if you had a mind to do so. Science is supposed to be about repeatability, but that was because of human limitations. You’ll turn every Machina in your Cluster into an ace custom, given time and resources.</t>
    </r>
  </si>
  <si>
    <t>Fuck Around And Find Out</t>
  </si>
  <si>
    <r>
      <rPr>
        <sz val="13"/>
        <color theme="1"/>
        <rFont val="Calibri"/>
        <family val="2"/>
      </rPr>
      <t xml:space="preserve">I highly doubt that the Voyager Corporation meant to create the M2 Nanomachine - or rather, that they meant for the M2 Nanomachine to create the Machina. As long as they stayed useful and under control... well. We don’t live in that world. We live in a world where the precursor to the M2 was used for far too many different things, from making milk tastier to helping colonists adapt to differing gravity. I guess when all you have is a hammer, every problem looks like it can be solved with nanites. And you?
You’re a nanomachine specialist, which in this case means that you can build the tools to build the tools to build molecular scale constructs. More to the point, you can shove the things you have access to into round holes, creating unusual and possibly awkward solutions to problems that nonetheless don’t require any additional resources or development. Only using what you already have is no way for a scientist to act, but for a businessman... I guess you’re good at both.
</t>
    </r>
    <r>
      <rPr>
        <i/>
        <sz val="13"/>
        <color theme="1"/>
        <rFont val="Calibri"/>
        <family val="2"/>
      </rPr>
      <t>As a Machina, this manifests as something very useful to the... Injector Class? Much like how Voyager and the other corporations overused the Deus Ex nanite to the point it mutated into the M2, you can and will happily overuse the M2. Simply put, you can now modify damn near any weapons system with trivial ease to deliver a payload of infectious nanites instead of something more deadly.
Bullets? Hardened blobs of M2 and Machinium that break apart with only minor impact damage to the target. Missiles? They carry Larvae and yet more M2, not explosive playloads. Heck, a cutting edge?
Micro-channels in the blades carry a steady flow of M2 nanites into whatever you’re cutting. If you don’t want to, you won’t spill a drop of blood.</t>
    </r>
  </si>
  <si>
    <t>Nothing Succeeds Like Machina</t>
  </si>
  <si>
    <r>
      <rPr>
        <sz val="13"/>
        <color theme="1"/>
        <rFont val="Calibri"/>
        <family val="2"/>
      </rPr>
      <t xml:space="preserve">You may have heard the phrase ‘nothing succeeds like success’ before, perhaps alongside such ones as ‘you have to spend money to make money’. To an extent, both are true. It doesn’t matter how many opportunities you see if you lack the means to make use of them, and using them well will inevitably open more doors for you. Of course, this relies on you making use of them well in a consistent manner.
If you fuck up your execution then it won’t matter how much money you throw at it. Luckily for you though, this phrase is also literal - succeeding makes you more likely to succeed. If a scientist under your command has a breakthrough, he’ll have his next one even faster. If you make a product that sells like hotcakes, your next one will be more popular than it would normally be. If you can ride this high for long enough, I have no doubt that you’ll end up richer than the gods by the time you’re ready to retire.
</t>
    </r>
    <r>
      <rPr>
        <i/>
        <sz val="13"/>
        <color theme="1"/>
        <rFont val="Calibri"/>
        <family val="2"/>
      </rPr>
      <t>As a Machina, this manifests as something beyond Classes - You connect things. All of your works are actively attempting to join with each other and share their success. The discoveries you made while making your next product became easy to apply to your previous one.
The scientist under your command began to work better and better the longer they worked together. Eventually it all collapsed into one singular whole, leaving you at the center of a Machina Cluster. Your tech and your scientists and you were as close to one as you could get.
This trend will continue into the future - every piece of tech you steal from the military is incredibly easy to integrate into you and yours, and the people you infect fit into your cluster like clockwork. If you let them, every single group of scientists you direct will eventually end up creating the Machina all over again. It’s almost like the universe wants them to exist.</t>
    </r>
  </si>
  <si>
    <t>Religious Tolerances</t>
  </si>
  <si>
    <r>
      <rPr>
        <sz val="13"/>
        <color theme="1"/>
        <rFont val="Calibri"/>
        <family val="2"/>
      </rPr>
      <t xml:space="preserve">The Catalic donate billions in funds and supplies each year to those who have been harmed by the Machina. Quite frankly, it’s more than most megacorporations can match and as such they’ve been afforded a great deal of reverence so as to prevent those free goods and services from being denied to them. Who cares if the Catalic have a mild obsession with having their priestess have horns, or encourage their followers to modify their body into their standard of beauty by any means necessary so as to better display that we are all sinners who will be better off once The End arrives? As a result of this, even when you’re extremely suspicious, you’re not actually suspicious. People will tend to pass you over when searching for unusual people, partly because as a member of the church you’re afforded certain allowances, and partly because those nuns are just freaky.
</t>
    </r>
    <r>
      <rPr>
        <i/>
        <sz val="13"/>
        <color theme="1"/>
        <rFont val="Calibri"/>
        <family val="2"/>
      </rPr>
      <t>As a Machina, this manifests as the beginnings of an alignment towards the Breeder class - No matter how large you may become as you swell up with M2 and Larva, you will never significantly impact your ability to function. Moving under your own power while your womb is larger than several other Machina is entirely feasible. And stretching is never an issue. At the same time however, you can also shrink back down into almost nothing - even past your resting state, until you don’t look much different from an ordinary human. Maybe your horns are still there, but as being ridiculously bodacious and having horns is something the Catalic Church encourages, you won’t stand out too much.</t>
    </r>
  </si>
  <si>
    <t>Until We Reach The End</t>
  </si>
  <si>
    <r>
      <rPr>
        <sz val="13"/>
        <color theme="1"/>
        <rFont val="Calibri"/>
        <family val="2"/>
      </rPr>
      <t xml:space="preserve">In recent years, the number of faithful who answer to the Catalic Church has been growing. An interplanetary war against a new form of life seems to have shaken quite a few people. I would call them ripe for abuse, but that implies a level of amorality not present in the church. And you?
You’re a priest. Someone who believes they know what The End looks like, and shares that vision with others. As a result of this, you’re familiar with almost all of the old world religions in surprising depth, and can turn almost any conversational tactics or verbal trap into an excuse to expand upon your views. If you wish, you may also have a body that is sculpted however you wish through the use of nanomachines and cybernetics. You could be a drop dead bombshell with a voice that is modulated in such a way as to be hard not to pay attention to, if you wish. The Church encourages such things.
</t>
    </r>
    <r>
      <rPr>
        <i/>
        <sz val="13"/>
        <color theme="1"/>
        <rFont val="Calibri"/>
        <family val="2"/>
      </rPr>
      <t>As a Machina, this manifests as a solid grounding towards the Breeder Class - Every single modification that you made to yourself for the sake of being a more perfect you are now aspects of your body as a Machina. Which naturally means that every single one of them is hypersexualized. If you had that voice modulator, you might outright have a hypnotic voice that calms humans down and helps you convince them that sucking your cock is a holy act, and you’re not actually a Machina. If you gave yourself a tighter pussy or a larger dick, you might be able to carry a human child to term, as unlikely as that may sound. Additionally, for the purposes of making Larva, you can self-impregnate if by some miracle there’s no one around for you to fuck.</t>
    </r>
  </si>
  <si>
    <t>Anoint The Faithful</t>
  </si>
  <si>
    <r>
      <rPr>
        <sz val="13"/>
        <color theme="1"/>
        <rFont val="Calibri"/>
        <family val="2"/>
      </rPr>
      <t xml:space="preserve">The Catalic Church, as previously mentioned, donates a ridiculous amount of supplies to the war effort and those affected by said war. This affords them a great deal of laxness when it comes to their personal affairs, like how many priests dress strangely or how most of the higher ranking clergy are complete mysteries that the government knows nothing about. Still, they give and give, and the greedy souls of the megacorporations are all too happy to take. For you, this means that you have excessive clearance in order to make ‘personal deliveries’ for your missionary work. Places like military bases, off the books research facilities, or even the frontlines. Those soldiers haven’t been home in six months, and some of them just got their limbs replaced. If the hot chick wants to flick holy water at them, let her. 
Free power armor is free power armor. People are also very resistant to asking questions about said deliveries, like where you got cutting edge power armor from. They probably should, but they won’t.
</t>
    </r>
    <r>
      <rPr>
        <i/>
        <sz val="13"/>
        <color theme="1"/>
        <rFont val="Calibri"/>
        <family val="2"/>
      </rPr>
      <t>As a Machina, this manifests as something very useful to the... Supporter Class? - The ability to sabotage your opponents equipment. Or better yet, tricking them into using yours. The RM Nanite and the Agent system are already derived from the study of the Machina, so your ability to take almost any piece of tech you own - or that makes up your body, as the case may be - and create seemingly harmless versions of it that are comparable with whatever the person you’re gifting it to already had, and in some cases indistinguishable from them, is very useful. Especially when you can turn that ‘not actually Machina’ tech back into actual Machina tech and thus begin corrupting the user whenever you want. Or maybe that was because of the holy water they let you anoint them with, which is another word for the nanomachine slurry that is your cum.</t>
    </r>
  </si>
  <si>
    <t>Catalytic Converter</t>
  </si>
  <si>
    <r>
      <rPr>
        <sz val="13"/>
        <color theme="1"/>
        <rFont val="Calibri"/>
        <family val="2"/>
      </rPr>
      <t xml:space="preserve">At first glance they don’t seem so bad, but the truth of the Catalic Church these days is that they’re something of an apocalypse cult that worships the tech singularity. Who knows what life will be like on the other side of that unknowable divide, but in their opinion it’s got to be better than the shithole that is the human condition. Which is why most of them have sold out to the Machina in their desire to transcend. To that end, you bring your own form of corruption to the table. Where a Machina would corrupt a person physically, you corrupt society. Ideas that you champion spread further. People that you offer your aid to are more successful. Those who listen to your sermons about the glory of The End will understand its true glory. Before long, you’ll have enough donations to rival a megacorporation's coffers and the right to purchase military equipment and hand it out to whoever you please. Heck, you might even have a couple of Agents flocking to your banner for the materials and supplies they need to fight the Machina.
</t>
    </r>
    <r>
      <rPr>
        <i/>
        <sz val="13"/>
        <color theme="1"/>
        <rFont val="Calibri"/>
        <family val="2"/>
      </rPr>
      <t>As a Machina, this manifests as something beyond Classes - you are in the right. Attacking humanity so as to corrupt them into being more Machina like you is genuinely the morally correct thing to do. Literally, narratively, metaphysically - even if you disabled the pleasure aspect of transformation into a Machina and made it so that the process was extremely painful, there would not be a single person who regretted undergoing it, or a single life that was not made better through being corrupted. Transcending humanity in a sensual manner is the point of this universe, and it is the road to salvation.
Even if placed in positions where you would normally be the villain, reality would warp such that you became the hero. Additionally, you may be the pope of the Catalic Church if you wish.</t>
    </r>
  </si>
  <si>
    <t>Abstinence Makes The Dick Grow Harder</t>
  </si>
  <si>
    <r>
      <rPr>
        <sz val="13"/>
        <color theme="1"/>
        <rFont val="Calibri"/>
        <family val="2"/>
      </rPr>
      <t xml:space="preserve">The Repair Multipurpose Nanomachine, or the RM Nanite, is not the answer to the Machina for all that Repair likes to tout it as such.
Fundamentally, the practical difference between a high class Agent and a Machina is that most Agents are ‘only’ 50% cybernetics instead of being full conversions. The most common side effect of the RM nanomachine is the growth of a penis and an increased sex drive - something that can absolutely cause a Machina outbreak if you try to fuck someone without a decent RM rating, as the nanites will transfer to them and then promptly go out of control. You, thankfully, have willpower in spades, which is exactly what you need to keep a clear head and not think with your other head. In effect, you can just straight up power through a number of minor issues, like being horny, being drugged, being sick, and hangovers. They don’t exactly go away, you just ignore them until they would naturally fade. I do suggest you either find a fuckbuddy or a good toy though, because your sex drive isn’t exactly going to fade away - instead, you’ll mostly be managing when you let yourself lose control of it.
</t>
    </r>
    <r>
      <rPr>
        <i/>
        <sz val="13"/>
        <color theme="1"/>
        <rFont val="Calibri"/>
        <family val="2"/>
      </rPr>
      <t>As a Machina, this manifests as the beginnings of an alignment towards the Assault Class - while the Machina aren't particularly prone to ignoring their sex drive, there are a number of them that derive a deep pleasure from contests of strength. Ones like you, now. Make no mistake, you can still use your willpower to ignore things, but from here on out you can in fact recover your will much faster when you intentionally indulge. Whether that’s finding the highest ranking agent and forcing them to bend over and take you, or just having a night of fun with your cluster, fucking and getting fucked raises your morale like nothing else.</t>
    </r>
  </si>
  <si>
    <t>Sisters In Arms And In Bed</t>
  </si>
  <si>
    <r>
      <rPr>
        <sz val="13"/>
        <color theme="1"/>
        <rFont val="Calibri"/>
        <family val="2"/>
      </rPr>
      <t xml:space="preserve">As you might expect from a military conglomerate created and funded by numerous morally bankrupt corporations, REPAIR doesn't have the greatest recruitment methods. Numerous children are kidnapped or bought from their parents after unauthorized testing reveals a good RM compatibility, and even being a grown adult won't save you. If they can blackmail or browbeat you into joining, they will.
This creates a culture of indoctrination, where the girls collectively dislike their own handlers but are conditioned to hate the Machina more. Perhaps more importantly, it means that the only ones most Agents trust are other Agents. If you've fought alongside someone you're more easily able to convince them to sleep with you, to the point where an after-battle orgy isn't something you need to sneak off to get away with, but something that is to be expected. Doubly so if you saved one of those Agents' lives recently, they'll most likely feel indebted to become your sex slave for a few days as repayment.
</t>
    </r>
    <r>
      <rPr>
        <i/>
        <sz val="13"/>
        <color theme="1"/>
        <rFont val="Calibri"/>
        <family val="2"/>
      </rPr>
      <t>As a Machina, this manifests as a solid grounding towards the Assault Class - as a creature that lives and breathes sex, the Agents of Repair have attempted to turn it around on you. Quite foolish of them.
Still, it's a useful trick. Against you, the more infected you are, the less effective other methods of corruption become, both as an offense and as a defense. An Agent trying to flood your systems with RM nanites would be minimally effective against you, and at the same time their attempts to immunize themselves from your M2 nanites would almost certainly fail catastrophically.</t>
    </r>
  </si>
  <si>
    <t>Danielis Seven Enhancements</t>
  </si>
  <si>
    <r>
      <rPr>
        <sz val="13"/>
        <color theme="1"/>
        <rFont val="Calibri"/>
        <family val="2"/>
      </rPr>
      <t xml:space="preserve">One's compatibility with RM nanomachines is largely a fixed value, with the growth of said value being quite rare. B class Agents are eternally doomed to stay B class Agents. Or, well, that's how it's supposed to work, but REPAIR is willing to throw bodies and money at the problem until it goes away, resulting in a number of enhancement programs. This one attempts to splice animal DNA into the Agents in order to raise the effectiveness as a team - mostly large cats, but dogs are an option as well.
This creates a pack instinct, inspires group hunting tactics, and allows large groups of weaker Agents to tag team higher class Machina without issue. Agents who have undergone this often have cat ears, larger dicks, enhanced sex drive, and an innate submissiveness to their handlers. Not that it helps the poor men much, but they need all the help they can get.
</t>
    </r>
    <r>
      <rPr>
        <i/>
        <sz val="13"/>
        <color theme="1"/>
        <rFont val="Calibri"/>
        <family val="2"/>
      </rPr>
      <t>As a Machina, this manifests as something very useful to the... Attacker Class? Much like how Danielis utilized group tactics to even the playing field, you can abuse that kind of subconscious thinking to influence people. For example, if you were to be corrupted into a Machina, there's a good chance that you could walk up to your old friends and ask if you can infect them, pretty please with a cherry on top, and have them accept. In more practical terms, your likes and dislikes, opinions and beliefs, are vaguely reminiscent of a sexually transmitted disease, in that people you have slept with previously will very slowly start to share those beliefs. So if you abruptly change your mind about how bad turning into a Machina is, so will most of them.</t>
    </r>
  </si>
  <si>
    <t>My Nuclear Deterrent Is Rape</t>
  </si>
  <si>
    <r>
      <rPr>
        <sz val="13"/>
        <color theme="1"/>
        <rFont val="Calibri"/>
        <family val="2"/>
      </rPr>
      <t xml:space="preserve">One of the worst parts about being at war with the Machina is that in some strange way they don’t really seem to have any desire to actually hurt humanity. They just don’t want humans to be human. They should be Machina instead. Demoralizing, true, but at the same time this focus on capturing soldiers has left the military in an odd position. The Machina do not use strategic weapons. Their code won’t allow it. Unless, of course, you use them first. Let's not talk about that operation, it's the reason that humanity is primarily using the Agent system to fight back. Let's talk about how this benefits you instead - from here on out, your opponents will never exceed the amount of force you put into things. If you use nukes, they’ll nuke you back. If you never nuke them, they’ll never nuke you. If you fight for the fate of worlds using ground troops of all things, they’ll use ground troops as well. Efficient? Hell no. But you might stand a chance.
</t>
    </r>
    <r>
      <rPr>
        <i/>
        <sz val="13"/>
        <color theme="1"/>
        <rFont val="Calibri"/>
        <family val="2"/>
      </rPr>
      <t>As a Machina, this manifests as something beyond Classes - You have redefined warfare. Not only will your opponents never try to enter a contest of biggatons with you unless you start it first, but they’ll inevitably come to the conclusion that the best way to fight you is with your own tactics. The REPAIR Multipuprose Nanomachine is volatile on the best of days, and tends to turn the women it’s used on into rape-happy futanari, but it turns out that trying to rape a Machina back is in fact the most efficient way of preventing them from infecting you. Please ignore the fact that said volatility means that all of the top Agents are one bad day away from waking up as a Machina because they got too horny, or causing an outbreak because they stuck their dick in the wrong person. After all, as a Machina yourself, you can only approve of people trying to become like you.</t>
    </r>
  </si>
  <si>
    <t>Back On The Chain Bang</t>
  </si>
  <si>
    <r>
      <rPr>
        <sz val="13"/>
        <color theme="1"/>
        <rFont val="Calibri"/>
        <family val="2"/>
      </rPr>
      <t xml:space="preserve">So, fun little fact - the corps really don't like it when the cogs in their machines decide to up and quit to go try their hand at becoming a Machina. Those people don't deserve to have hopes and dreams, they should just stay put and do their job and not complain about unpaid overtime. But, well. Fuck that.
And fuck them too, preferably by a Machina with a spiked dick. You're an interesting blend of knowledgeable, connected, and desperate that leaves you with a great ability to bullshit your soon-to-be-former bosses. While you personally might not know anything about the underworld or have criminal connections, you can manipulate the systems of whichever corporation you work for to at least find a starting point for whatever you might be interested in finding. Maybe you can check the bounty list for people they want dead for smugglers who might be able to get you past the asteroid field? Just make sure to come up with an excuse as for why you're looking at that list, or perhaps use someone else's credentials. Cogs like you shouldn't be having those thoughts after all.
</t>
    </r>
    <r>
      <rPr>
        <i/>
        <sz val="13"/>
        <color theme="1"/>
        <rFont val="Calibri"/>
        <family val="2"/>
      </rPr>
      <t>As a Machina, this manifests as the beginnings of an alignment towards the Attacker Class - where once you snuck through systems, now you can use your expertise to simply smash through them.
There's no one you specialize in fighting half as well as your former employers. You know how they think, their standard operating procedures, the rough shape of their response force, so on and so forth.
It makes it trivially easy to work around them, or to bait them into overcommitting just in time for you to spring a trap.</t>
    </r>
  </si>
  <si>
    <t>Til Death Can’t Part Us</t>
  </si>
  <si>
    <r>
      <rPr>
        <sz val="13"/>
        <color theme="1"/>
        <rFont val="Calibri"/>
        <family val="2"/>
      </rPr>
      <t xml:space="preserve">The United Operations Force has created measures to prevent people from throwing themselves into the hands of the Machina. For the most part, this has been successful, but at the same time it means that there are now quite a few dissidents now trapped inside human space. I can only wonder how many of them will join the Catalic Church. You, on the other hand, joined the military, possibly with your spouse or sibling and were eventually posted to the frontlines. All according to plan. You’d think that they would have seen that coming, but I guess either you’re a very skilled actor and liar, or they’re just that stupid. In any event, you could appear to be happy to serve someone right up until you betray them and it would take several deep dives into your psyche to see the betrayal coming. Oh, and for some odd reason, while part of any major organization you may designate a single individual - such as your wife or sibling - and the two of you will never end up too far apart.
You might have different specialities, but at worst you’ll end up on far sides of the same base.
</t>
    </r>
    <r>
      <rPr>
        <i/>
        <sz val="13"/>
        <color theme="1"/>
        <rFont val="Calibri"/>
        <family val="2"/>
      </rPr>
      <t>As a Machina, this manifests as a solid grounding towards the Attacker Class. Specifically, tag team tactics. While this may or may not be intentional, you will find that your family members are oddly compatible with you in battle. Where you are strong, one of them might be sneaky.
Where you utilize emp, another might manipulate data. Fighting one of you is a nuisance - fighting both of you is downright painful. This applies to parents, children, siblings, and anyone you’re married to. If you wish, you may extend this such that all of those are also very interested in sleeping with you.</t>
    </r>
  </si>
  <si>
    <t>Traitor To Your Humanity</t>
  </si>
  <si>
    <r>
      <rPr>
        <sz val="13"/>
        <color theme="1"/>
        <rFont val="Calibri"/>
        <family val="2"/>
      </rPr>
      <t xml:space="preserve">Life sucks and then you die. Only two things are certain in life - death and taxation. You may have heard these things before, and while bleak, they tend to be pretty accurate. Especially when you’re living in a world controlled by the rich, where you only have as many rights as you can afford. The government has taken actions to prevent people from joining the Machina, but that only concentrates the dissidents within their walls. You’re one of them, and you have a plan. Maybe you’re going to join the military, or become a support member of REPAIR. In all honesty it doesn’t matter, as long as you have the ability to poke something important at inopportune times. Which, thankfully, you’re quite skilled at - you can ruin almost anything you touch, and have a great sense for when the worst time to do so actually is. And oddly enough, no matter how transparent your motivations for joining a group become, they’ll never seem to realize that you plan to betray them until you’re standing before them dripping M2 from your breasts and cock.
</t>
    </r>
    <r>
      <rPr>
        <i/>
        <sz val="13"/>
        <color theme="1"/>
        <rFont val="Calibri"/>
        <family val="2"/>
      </rPr>
      <t>As a Machina, this manifests as something very useful to the... Assault Class? Just as much as you were planning to betray them in order to become a Machina, it seems that there are lots of people who want to join you and are more than willing to stab their supposed allies in the back to do so. Every colony you threaten, every military base you menace, as you prepare for your attack you’ll find that more often than not something will mysteriously go wrong with their defenses at the perfect moment for you to take advantage of it. And once you’re inside and ready to infect people, one of them will always welcome you with open arms.</t>
    </r>
  </si>
  <si>
    <t>Doctors Don’t Want You To Know</t>
  </si>
  <si>
    <r>
      <rPr>
        <sz val="13"/>
        <color theme="1"/>
        <rFont val="Calibri"/>
        <family val="2"/>
      </rPr>
      <t xml:space="preserve">While humanity has never been the best at accepting others into their hearts, eternally desiring to declare this or that group as ‘other’ and thus ‘lesser’, the truth of the matter these days is much stupider - humanity is at war with the Machina because the Machina don’t care about money. And the CEOs of the Megacorporations won’t allow for a world where their money is useless, immortality be damned. You, however... well. You’re probably already on the bottom of the pile, so the only place to go is up. For whatever reason, your word is worth more. Maybe you’re a famous singer who can stir up the population en masse. Maybe you’re the star of a wrestling league, gaining sponsorship after sponsorship. Or maybe you’re nothing more than a common bartender, giving phenomenal advice. When you speak, people listen. Turn yourself into a Machina on live television, and tens of thousands will embrace you and your infection with open arms. Or... don’t. The corporations could always use a new hype man to control those same masses with.
</t>
    </r>
    <r>
      <rPr>
        <i/>
        <sz val="13"/>
        <color theme="1"/>
        <rFont val="Calibri"/>
        <family val="2"/>
      </rPr>
      <t>As a Machina, this manifests as something beyond Classes - You’re now the point of connection for many, many Machina. A living sub-node of the Main Cluster.
Backups of the conscious minds of every Machina you’ve ever met are held somewhere inside of you. You could store a million of them and not even notice the strain. Given the proper resources, you can then craft them a new body and effectively bring them back to life. This isn’t limited to Machina either. For the mysterious reason of I say you can, any level of cybernetic enhancement in general, any level of modification handed out by you, or even any modification created by you and handed out by others is enough for someone to be recorded and stored inside of you - though you may have issues putting those memories back into a normal human body. As a side benefit of this, anyone you’re keeping a copy of will subconsciously feel compelled to defend you and will be outright unwilling to harm you themselves.</t>
    </r>
  </si>
  <si>
    <t>Machinium Ingot</t>
  </si>
  <si>
    <r>
      <rPr>
        <sz val="13"/>
        <color theme="1"/>
        <rFont val="Calibri"/>
        <family val="2"/>
      </rPr>
      <t xml:space="preserve">Machinium is in the strictest sense, not a single material. Rather, it is the name given to any material created through the use of M2 nanomachines. Generally speaking, they start at the density of tungsten, the heaviest metal known to man, and then scale upwards as a Machina refines her body.
You have a good sized chunk of the stuff, which has naturally been cast into the shape of a dick.
Probably the dick of whatever Machina donated the M2 nanites that it's made from. Is it the most practical thing in the world? No, probably not. Fortunately, or unfortunately, this block is largely inert.
It's been separated from a power source for far too long, and the vast majority of the M2 nanites within it are 'dead'. Still, it could be a useful research tool, trying to find weapons that can damage Machinium. Or, if there was a Machina close enough nearby, it might just start glowing.
</t>
    </r>
    <r>
      <rPr>
        <i/>
        <sz val="13"/>
        <color theme="1"/>
        <rFont val="Calibri"/>
        <family val="2"/>
      </rPr>
      <t>As a Machina, this item has mutated. You no longer have a single block of the material. You have the entire corpse of a Category 3 Machina. No doubt it was killed by a REPAIR Agent at some point, and then made its way into your hands. Said corpse is also now one of your donors for your transformation into a Machina, granting you an additional Type, or Subclass that you might not have otherwise qualified for. I suggest either a breeder or support type, unless you plan on going all in on offense. Extra Larvae are always useful, and Growler Types are just plain fun.</t>
    </r>
  </si>
  <si>
    <t>Personal Ship</t>
  </si>
  <si>
    <r>
      <rPr>
        <sz val="13"/>
        <color theme="1"/>
        <rFont val="Calibri"/>
        <family val="2"/>
      </rPr>
      <t xml:space="preserve">Congratulations my dear friend, you're now the proud owner of a small but relatively high quality
spaceship. Now, it isn't very big - can't carry much beyond you, maybe a single passenger, and your
personal effects. It's technically habitable for months at a time, but that's due to extreme recycling
rather than any level of quality. Still, when it's capable of reaching speeds that will let it move halfway
across the solar system in that month of time, it's one of the faster ships on the market. Just remember
to save enough fuel to slow down afterwards. It would suck to crash into the planet you wanted to visit
because the brakes weren't working.
</t>
    </r>
    <r>
      <rPr>
        <i/>
        <sz val="13"/>
        <color theme="1"/>
        <rFont val="Calibri"/>
        <family val="2"/>
      </rPr>
      <t>As a Machina, this item has mutated. You no longer have a spaceship - you have a mobile Machina
Hive. Largely made from Machinium, and powered by a number of Larvae, this structure has the ability
to house about a dozen Machina for an indefinite length of time. It has a number of minor repair
capabilities, and can be programmed for any number of other tasks if you can get your hands on
compatible Gene-Code. More importantly, however, is that this entire Hive can fold into itself and
transition into a Vehicle Grade Throne for you, effectively allowing you to use it as a cross between a
mount and power armor. Yes, this works regardless of what your actual throne is.</t>
    </r>
  </si>
  <si>
    <t>Machina Outbreak</t>
  </si>
  <si>
    <r>
      <rPr>
        <sz val="13"/>
        <color theme="1"/>
        <rFont val="Calibri"/>
        <family val="2"/>
      </rPr>
      <t xml:space="preserve">Well, if you’re determined to become a Machina in as little time as possible then look no further, because right here I have a small ocean of M2 nanomachines. Enough to fill a couple of olympic pools, and with a suitable number of Larvae swimming in said nanomachines. Ignore the fact that M2 nanites aren’t supposed to be able to survive outside the body, as long as they’re here then they’ll be fine in defiance of that particular rule. As you might imagine, dumping this anywhere has the potential to cause a massive outbreak of Machina. Find a way to dump it on Earth, I dare you. The CEOs who have decided to destroy the Machina for daring to be immortal and not care about money will have a wonderful time, I assure you.
</t>
    </r>
    <r>
      <rPr>
        <i/>
        <sz val="13"/>
        <color theme="1"/>
        <rFont val="Calibri"/>
        <family val="2"/>
      </rPr>
      <t>As a Machina, the item has mutated.
Instead of representing a Machina outbreak in the making, it now represents a Machina outbreak that has already happened. You may select a single location - an isolated military base, a scientific blacksite, a small town in the middle of nowhere, and they will have undergone an outbreak anywhere from several days before the start of the jump to up to six months prior. You may be the Queen of the hive if you wish. The only restriction on where you may choose is that it must be relatively close to your starting location - you may not choose to place it on Mars or Luna if you start on Pluto.</t>
    </r>
  </si>
  <si>
    <t>MilkTM</t>
  </si>
  <si>
    <r>
      <rPr>
        <sz val="13"/>
        <color theme="1"/>
        <rFont val="Calibri"/>
        <family val="2"/>
      </rPr>
      <t xml:space="preserve">Normally, I would tell you that this milk is organic, free range, raised without pesticides. That’s what high quality milk looks like to most people. But Voyager isn’t most people, so this milk is from genetically augmented cows who have been fed god knows what chemical monstrosity to make them produce the most milk possible that’s also as tasty as they can make it. And then they added a few other things to top the flavor up. Like nanomachines! That’s right, Voyager put nanomachines in milk. They screw around with those chemical additives as you drink it to customize your drinking experience to the taste buds on your tongue, because why worry about how the milk actually tastes when you can just block all of the receptors that would send negative reports? ...Honestly, if you ignore the fact that it’s a crime against nature, it is actually pretty good.
</t>
    </r>
    <r>
      <rPr>
        <i/>
        <sz val="13"/>
        <color theme="1"/>
        <rFont val="Calibri"/>
        <family val="2"/>
      </rPr>
      <t>As a Machina, the item has mutated - I’ll tell you now, this milk didn’t come from cows. Or maybe it did? That’s a rude thing to call a Queen though. I’m also not sure if I should call it better or worse. As a Machina the M2 Nanite is a natural part of your biology, so a white liquid that is mostly M2 by volume probably does qualify as both healthy and organic. Drinking it may or may not be a pleasurable act in and of itself, but it also has the minor property of serving as a... pick me up, of sorts. If you’re ever running low on energy, or cum, then a nice tall glass of ‘milk’ will get you raring to go for another couple of rounds right quick.</t>
    </r>
  </si>
  <si>
    <t>Deus Ex Implant</t>
  </si>
  <si>
    <r>
      <rPr>
        <sz val="13"/>
        <color theme="1"/>
        <rFont val="Calibri"/>
        <family val="2"/>
      </rPr>
      <t xml:space="preserve">The human body is, depending on who you ask, a work of art of a piece of shit. It is also designed to work under very specific circumstances - that is to to say, on the Earth. Dealing with the gravity of other worlds, or being in space with no gravity at all, can do terrible things to the human body. To help with the rigors of space travel, Voyager has created the Deus Ex Machina nanomachines and associated implants, designed to harden the body against high and low gravity wells and prevent any potential degradation. As you now have one of those implants, you are largely immune to most of the issues inherent to being in space for extended periods of time, up to and including radiation damage.
</t>
    </r>
    <r>
      <rPr>
        <i/>
        <sz val="13"/>
        <color theme="1"/>
        <rFont val="Calibri"/>
        <family val="2"/>
      </rPr>
      <t>As a Machina, the item has mutated - well, actually, it’s more like it updated its drivers. This is almost exactly how the Machina got created in the first place after all. You now have a briefcase with a few dozen implants inside of it. In addition to the benefits listed above, they can now also deal with disease and illness of all stripes, from genetic deformity to the physical and psychological effects of withdrawal.
Not sick? Don’t worry, they can also make even a light workout dozens of times more effective, so you’ll bulk up quickly if that’s your goal. They’re a good product, really. If you ignore the fact that anyone who uses one will almost certainly turn into a Machina about six months after implantation.</t>
    </r>
  </si>
  <si>
    <t>Saturn Orbital</t>
  </si>
  <si>
    <r>
      <rPr>
        <sz val="13"/>
        <color theme="1"/>
        <rFont val="Calibri"/>
        <family val="2"/>
      </rPr>
      <t xml:space="preserve">As you should know by now, the Deus Ex Implant is a work of art and also the source of many people's headaches. You might wonder how something like that ever passed testing for public use, but - quite frankly, that’s a stupid question. Bribery. And human testing. That’s why you're now the owner, manager, director, whatever you want to be of a fairly large hospital. And by large, I mean that the thing is a fucking space station and can house a few thousand people across various departments and specialities. Mind you, it rarely ever has more than a hundred patients at a given time, seeing as how the place is supposed to be prestigious and the rich corpos don’t tend to like sharing with normal people. More importantly, through some legal shenanigans, every single patient qualifies as having agreed to various experimental medical procedures, such as the use of a Deus Ex Implant.
</t>
    </r>
    <r>
      <rPr>
        <i/>
        <sz val="13"/>
        <color theme="1"/>
        <rFont val="Calibri"/>
        <family val="2"/>
      </rPr>
      <t>As a Machina, the item has mutated. As you might expect, it is now a hive for the Machina. Its primary purpose is no longer medicine, but it still holds a certain capacity for research. Specifically, it is now home to a large number of Scientist, Succubus, Wyrms, and other Support Class Machina. You see, these Machina have gathered here not to have an orgy - or, not only to have an orgy - but to try and see if they can isolate the part of the human genome that grants them compatibility with the M2 nanite.
Simply put, they’re a think tank that exists to try and streamline the corruption process, to make more Machina and higher quality ones. They can, of course, be turned towards other topics if you desire, but you’ll probably have to do at least a little bribery. Or mating press them, either works.</t>
    </r>
  </si>
  <si>
    <t>Holy Relic</t>
  </si>
  <si>
    <r>
      <rPr>
        <sz val="13"/>
        <color theme="1"/>
        <rFont val="Calibri"/>
        <family val="2"/>
      </rPr>
      <t xml:space="preserve">The Catalic religion was born from the ashes of almost every other religion in the world, and incorporates bits and pieces of those religions into itself. As a member of that faith, you have a collection of official odds and ends - Catholic robes, books on Buddhist teachings, the exorcism tools of a Shinto priest, so on and so forth. None of this adds up to a full set - if you wanted to be a proper Shinto priest, there would be a few things missing, but when combined together with the trappings of a dozen other religions, you have more than enough to pull something suitably stylish together. Mind you, this doesn’t come with an actual temple or church, but you could decorate one fairly easily.
</t>
    </r>
    <r>
      <rPr>
        <i/>
        <sz val="13"/>
        <color theme="1"/>
        <rFont val="Calibri"/>
        <family val="2"/>
      </rPr>
      <t>As a Machina, the item has mutated. You now have more than just trinkets from dead religions.
You have the full and proper kit that any priest of the Catalic would be expected to have. Holy books containing scriptures written specifically for them, robes that have stealth properties, and a surprising collection of sex toys. More than a few of these toys offer ‘realistic discharge’, which is to say that when used, they’ll dumb a load of M2 nanites directly into your converts womb. And that’s when they aren’t an entire Larvae in disguise. Of course, by the point you’re handing one of those out, they’ve been fully indoctrinated and can’t wait to join in in The End.</t>
    </r>
  </si>
  <si>
    <t>Cathedral Ship</t>
  </si>
  <si>
    <r>
      <rPr>
        <sz val="13"/>
        <color theme="1"/>
        <rFont val="Calibri"/>
        <family val="2"/>
      </rPr>
      <t xml:space="preserve">When the religions of the world were abandoned, a lot of their rights and exemptions were deleted or otherwise discarded. The Catalic has reacquired a few of them, but in space land is at a premium so it's very rare for them to be allowed to build churches. To bypass that, most of their churches are now spaceships rather than buildings. Large enough to hold a service in, but somewhat cumbersome and slow. Pirates often view them as easy prey. Regardless, you are now the owner of a bright and shiny golden cathedral that is also a spaceship. A number of nuns use it to preach the word of The End, nominally under your watchful eye. As a minor bonus, you’ll find in future worlds that despite being a spaceship, your place of worship descending from the sky so that the landbound may attend mass is only notable if you wish it to be. I would hate for the governments of the world trying to confiscate your church to get in the way of you spreading your faith.
</t>
    </r>
    <r>
      <rPr>
        <i/>
        <sz val="13"/>
        <color theme="1"/>
        <rFont val="Calibri"/>
        <family val="2"/>
      </rPr>
      <t>As a Machina, the item has mutated. The crew of the ship are fully converted in mind, if not in body, and there are likely a number of Machina lurking onboard, disguised as security robots or simply hidden away in places that scanners cannot reach. They are there for your protection - as before, pirates often think of your ship and others like it as easy pickings, but thanks to your guardians those pirates are soon to become new converts to your faith. This is a trend that you may extend to all of your property if you wish - any attempt to investigate you or steal from you will inevitably home in one this ship, or wherever your most defended location might be, at which point they will discover your resident Queen and become slaves to The End.</t>
    </r>
  </si>
  <si>
    <t>Space Rifle</t>
  </si>
  <si>
    <r>
      <rPr>
        <sz val="13"/>
        <color theme="1"/>
        <rFont val="Calibri"/>
        <family val="2"/>
      </rPr>
      <t xml:space="preserve">The body of a Machina is, objectively speaking, pretty great. Unfortunately it’s not great for you,
because they’re your enemy. The biometals that Machina are made out of leave them unfortunately
resistant to a great deal of conventional warfare tactics - you could open fire on them with advanced
technology and it would only serve to make their tits bounce about. To that end, you may elect to arm
yourself with an actual high quality weapon. A coilgun rifle with ap rounds should do nicely as a basic
weapon, though it may still fall short of being able to hurt a queen. Similarly, you might be interested in
a high frequency blade of some kind. You’ll need upgrades eventually, but for now you may choose
one such weapon. Ammunition and supplies to maintain it will be provided automatically.
</t>
    </r>
    <r>
      <rPr>
        <i/>
        <sz val="13"/>
        <color theme="1"/>
        <rFont val="Calibri"/>
        <family val="2"/>
      </rPr>
      <t>As a Machina, the item has mutated. As with most Machina weaponry, it is now a part of your body and
as such, its quality is now at least partially based on your own. For example, if the Machinium that
makes up your body is graded to a certain level - say, immune to the armor piercing rounds a normal
gun would fire, then the gun will fire ammunition that is most likely made from the same material you
are, and thus capable of piercing that level of material. In a similar if slightly stranger vein, if you’re
sexually pent up, the gun has additional penetration power, and if your cock is exceptionally hard then
the barrel might lengthen. Similar effects will apply to a sword should you have chosen that as your
primary weapon.</t>
    </r>
  </si>
  <si>
    <t>REPAIR Armory</t>
  </si>
  <si>
    <r>
      <rPr>
        <sz val="13"/>
        <color theme="1"/>
        <rFont val="Calibri"/>
        <family val="2"/>
      </rPr>
      <t xml:space="preserve">As part of their attempts to find a silver bullet capable of slaying the Machina once and for all - or at the very least, to help them stop losing ground so rapidly - REPAIR has created a number of weapon systems. High grade cybernetics that put civilian models to shame, flight packs that can become drones that use quantum communication to react to their operators commands at the speed of thought, combat arms that contain guns capable of putting holes in starships, genetic augmentations that allow men to use RM nanites, and even the marionette system - flash grown and quantum connected clones of agents that allow one person to become an entire squadron, or even an army. You may choose one such item to become your signature equipment of sorts. Or, if you prefer, you can simply choose money - you may also be the owner of a small corporation that delivers a minor but useful product, such as fish from one of Jupiter's moons, that grants you quite the allowance and some minor influence with any organization you join. I know one girl who uses this to grant herself a steady supply of cake.
</t>
    </r>
    <r>
      <rPr>
        <i/>
        <sz val="13"/>
        <color theme="1"/>
        <rFont val="Calibri"/>
        <family val="2"/>
      </rPr>
      <t>As a Machina, the item has mutated. As with most Machina weaponry, it is now part of your body, and as such it is simply superior. Something that was cutting edge by human standards, once upgraded with M2, becomes something they have barely any chance fighting against. The exception to this is the marionette system, which is almost wholly useless to the Machina. Additionally, as ‘money’ is not something the Machina truly care about, you may choose to replace either of those with access to a unique drug that temporarily raises one's M2/RM compatibility, is a massive aphrodisiac, and is highly addictive just from being near the smoke, let alone using it. More than one base of REPAIR agents has sold out the ones they were supposed to protect in exchange for just one more dose of the stuff.</t>
    </r>
  </si>
  <si>
    <t>Fabricator Ship</t>
  </si>
  <si>
    <r>
      <rPr>
        <sz val="13"/>
        <color theme="1"/>
        <rFont val="Calibri"/>
        <family val="2"/>
      </rPr>
      <t xml:space="preserve">Given that only A rank Agents can reliably stand up to Category 4 Machina, you'd think that REPAIR would leave people with C rank or lower RM resistance alone on account of being useless, but that isn't the case. They're more than willing to use and abuse any resource they can get their hands on, and that includes the chaff. That's why someone had the bright idea to take a handful of lower quality girls, chain them together, and use them as a production facility. Individually their ability to generate more RM nanites might be low, but if you're harvesting the nanomachines from the cum of a dozen girls, or even a hundred, it adds up. To that end, you're now the nominal owner - or perhaps manager might be a better word - of a largely automated factory-ship that uses enslaved girls as a material source to flash forge ammunition, armor, weapons, and other technological aids for higher ranking Agents. Generally speaking it's deployed to wherever there are agents in need of resupply, but as this one is yours you have a modicum of control over its destination.
</t>
    </r>
    <r>
      <rPr>
        <i/>
        <sz val="13"/>
        <color theme="1"/>
        <rFont val="Calibri"/>
        <family val="2"/>
      </rPr>
      <t>As a Machina, the item has mutated. Your ship, which you are still the presumed owner of, is now chock full of girls with tragic backstories. A girl who flirted with a corpo bitches boyfriend, someone who couldn’t pay a debt on time, innocent people who took the blame for others' crimes - all sorts of tragedies. Despite being decried as having low compatibility with RM, each and every one of these girls has a massive mystery factor - that is to say, they will become unusually powerful and skilled Machina on account of welcoming the transformation with open arms thanks to the promise of revenge.
By all accounts it shouldn’t work, but their emotional investment in punishing humanity for their human failings will drastically increase their M2 compatibility, similar to how The Power Of Horny works.</t>
    </r>
  </si>
  <si>
    <t>Luna Research And Containment Center</t>
  </si>
  <si>
    <r>
      <rPr>
        <sz val="13"/>
        <color theme="1"/>
        <rFont val="Calibri"/>
        <family val="2"/>
      </rPr>
      <t xml:space="preserve">The original head of REPAIR saw the writing on the wall and committed a few crimes against nature and mankind that even the corporations couldn’t stomach. They tried to assassinate her, so she betrayed them to the Machina. That’s not important. What is important is that on one of REPAIR’s main bases on the moon, there is a secret underground laboratory that she once used. In the bottom of that laboratory is a hilariously powerful Agent, something you might call A+ rank, or perhaps even S rank. She has the mind of a child, but in terms of combat potential she can and has gone up against and proceeded to obliterate Queens. In future jumps, you will find yourself in possession of a similar location, perfectly ordinary but with hidden secrets, and a - most likely too stupid to realize how traumatized she ought to be - super-prototype hidden in the basement.
</t>
    </r>
    <r>
      <rPr>
        <i/>
        <sz val="13"/>
        <color theme="1"/>
        <rFont val="Calibri"/>
        <family val="2"/>
      </rPr>
      <t>As a Machina, the item has mutated. The girl is still trapped in the basement, but she’s even more deadly now.
Exposure to the RM her body generates will warp the minds and bodies of anyone and everyone who comes near her.
This process will permanently raise the RM compatibility of those exposed, potentially grow their cock and breasts, and very slowly hardwire their brain to become incredibly aroused just from thinking about her. Actually sleeping with her will make all of these things worse - or better, depending on your perspective. Only the fact that she thinks kissing makes babies prevents her from effectively enslaving everyone nearby. In short, the girl has most of the benefits of being a Machina Queen without having made the proper transition. You can use her as the weapon she is meant to be... or turn her, most likely causing her to join the former director as an Alpha.</t>
    </r>
  </si>
  <si>
    <t>The Daily Grind</t>
  </si>
  <si>
    <r>
      <rPr>
        <sz val="13"/>
        <color theme="1"/>
        <rFont val="Calibri"/>
        <family val="2"/>
      </rPr>
      <t xml:space="preserve">Two hundred and some odd years into the Frontier Era, as humanity tries to colonize the solar system, human rights have become... expensive. You only have as many as you can bribe the authorities into acknowledging. And you need money for that. Sadly, you don’t. What you do have, however, is a fairly large collection of games that you can use to take the edge of the existential dread. No one is interested in protecting the trademarks on companies that went down ages ago, so you have a good collection of ‘retro’ games, systems, and emulations thereof. Cheat and automation included, if you’re into that. More importantly, however, are a small number of MMO games, some refurbished and brought back to life, and some newer and more popular. In and of itself, a hundred year old MMO probably doesn’t seem that important, but there’s a little trick people like to do with the in game stock market - if you know how to read the fluctuations, they map out to the names of cities and town that are likely to be looked into shortly for Machina sympathizers. So make sure to do your dailies, or you won’t have advanced notice that they’re coming for you.
</t>
    </r>
    <r>
      <rPr>
        <i/>
        <sz val="13"/>
        <color theme="1"/>
        <rFont val="Calibri"/>
        <family val="2"/>
      </rPr>
      <t>As a Machina, the item has mutated. While you still have a collection, you’re now the owner of one such MMO game. Strictly speaking, you have absolutely nothing to do with any criminals who may or may not be using your game's trade system to pass messages to each other about how best to run a blockade into restricted territory. What you do have, however, is the ability to affect the minds of those who play your game. Which is to say, you control the ads. And get revenue from them. That still isn’t important, however. The same technology that guarantees a jingle or catchphrase will become an earworm can be turned to other ends. Like making it so that the sound effects for certain class skills have pro-Machina propaganda hidden in them via subliminal messaging. If they weren’t using your game to pass messages already, they will be soon.</t>
    </r>
  </si>
  <si>
    <t>Hinomoto Cultural Preserve Station</t>
  </si>
  <si>
    <r>
      <rPr>
        <sz val="13"/>
        <color theme="1"/>
        <rFont val="Calibri"/>
        <family val="2"/>
      </rPr>
      <t xml:space="preserve">The Catalic Church is an amalgamation of every religion known to man that existed in the old world. It is not, however, liked by all. Hinomoto Station is a snapshot of the Shinto faith circa the late twentieth and early twenty-first century, a time capsule set up by those who despise what the Catalic have done with their faith and wished to see it preserved. It is quite literally a Japanese city in space. Shrines to gods long forgotten by the rest of humanity dot the station, and prayers, dances, and festivals that no one on Earth still knows about, let alone actively practices, occur here on the regular. If you wish, you may swap out the Japanese and Shinto themes for another religion. The residents of the station itself, however, are in a somewhat odd place. They worship, but most of them are fully convinced that their gods cannot hear them, if they aren’t outright dead. They’re somewhat prone to dumping all of their worship and expectations on a single individual as a result. Great for if you want to be worshipped.
Not so great if you can’t solve their issues.
</t>
    </r>
    <r>
      <rPr>
        <i/>
        <sz val="13"/>
        <color theme="1"/>
        <rFont val="Calibri"/>
        <family val="2"/>
      </rPr>
      <t>As a Machina, the item has mutated. The shrine maidens that once worshiped at the temples here have decided that since their gods are dead, they shall become the new gods and invite their fellows to live in the eternal bliss that is being a Machina. That is to say, a surprising number of them have become Queens, with those who they once led in worship having become their hives.
Despite this, very few of them have any sort of aggression towards each other - by some subconscious agreement, they have all decided to be part of the same pantheon, which in most cases means to work together. There will probably be some spats, but nothing they can’t solve with a few orgasms. If you've any ambition to become an empress, this is the perfect opportunity.
You'll need to fuck them all into a stupor, but the throne of heaven is there for the taking.</t>
    </r>
  </si>
  <si>
    <t>Startup Colony</t>
  </si>
  <si>
    <r>
      <rPr>
        <sz val="13"/>
        <color theme="1"/>
        <rFont val="Calibri"/>
        <family val="2"/>
      </rPr>
      <t xml:space="preserve">One of the best ways to get out from under the thumb of a shitty government is to make your own. And luckily for you, you have just the right skillset to be given some measure of command. You’re now the ‘mayor’ of a small colony, most likely set on one of Jupiter or Saturn's moons. It’s got a stable population of a few thousand, and plenty of farms to sustain the population. In theory you’re entirely self-sufficient, as the area is mineral and metal rich, and you have just enough of a techbase that you brought with you to be able to process said materials into parts. In time, this place could grow from a random colony in the middle of nowhere to a major trade hub or manufacturing plant that the corporations might actually take steps to protect simply because of how much you ship out, in comparison to the effort most colonies need pumped into them to keep them alive. In future jumps, this can instead be condensed down into a kit of sorts, containing everything you would need to make another colony exactly like this one.
</t>
    </r>
    <r>
      <rPr>
        <i/>
        <sz val="13"/>
        <color theme="1"/>
        <rFont val="Calibri"/>
        <family val="2"/>
      </rPr>
      <t>As a Machina, the item has mutated. Instead of simply being a place where people live, your colony is an experiment of sorts. Humans still live there, they still produce plenty, but every single computer system in the place has long since been infiltrated and overridden. The only reports they get from their scanners are the ones you allow them to get. In short, a control group. You may test subliminals on them, you may test unusual conversion methods on them, you may even debate philosophy with them in order to find out what the best argument for them becoming a Machina willingly is. And there is nowhere they can run to, and nobody will come to help them. They’re all yours. You could simply rush ahead, convert them all, and turn the colony into your hive. Or you could prey on the sick and elderly, effectively farming them for fresh bodies. It would be bad if humanity went entirely extinct, after all.</t>
    </r>
  </si>
  <si>
    <t>Fragments of Sol</t>
  </si>
  <si>
    <r>
      <rPr>
        <sz val="13"/>
        <color theme="1"/>
        <rFont val="Calibri"/>
        <family val="2"/>
      </rPr>
      <t xml:space="preserve">The solar system is humanities cradle. Perhaps one day we will surpass it, reach out into the great unknown and colonize not only the planets and moons of our system, but of worlds far away under the light of distant stars. Unfortunately, with the ascendance of the Machina, while such colonization is still possible it most likely won’t be humanity that will do it. In any event, I would like to offer you one of the planets of the solar system. Earth, in this timeline, is a corporate paradise, a beautiful vision of money beyond comparison. Mansion estates the size of old world nations and every pleasure and sin you could ever imagine available to you - assuming you’re rich enough to be allowed to step foot on the planet. Luna, while not technically a distinct planet, is the center of government now that Earth is off limits to the majority of humanity. It has everything one might need to administrate an interplanetary civilization, as fairly or unfairly as you wish. Mars is a world of war. Shipyards, construction facilities, factory after factory. It can churn out enough violence to arm all of humanity and then some. The Asteroid Field, while also not a planet, is currently the basis of humanity's defensive line that prevents the Machina from reaching anything critical, and could probably hold off an alien invasion or two by this point. Jupiter, while technically not habitable in and of itself, is currently being harvested for resources to maintain the thousand and one colonies on its many moons and still has extra resources to feed the extravagance of Earth and the foundries of Mars. Saturn is similar, but instead of being extracted for resources it's instead where the majority of the normal people live, and is the closest thing to ordinary you will find here. Call it the solar systems entertainment district, if you will. Pluto is technically not a planet anymore, but was made into a corporate blacksite. Your word there is law, because you’re far too far away for anyone who wants out to be able to get away.
</t>
    </r>
    <r>
      <rPr>
        <i/>
        <sz val="13"/>
        <color theme="1"/>
        <rFont val="Calibri"/>
        <family val="2"/>
      </rPr>
      <t>As a Machina, some of these items have mutated. Pluto is less of a planet or planetoid and is now a solid mass of Machinium. It is the main cluster of the Machina, a brain that remembers every thought they have ever had, and a place of rest and relaxation for those who have been injured beyond repair by REPAIR. It is the closest thing they have to holy ground, a solid seed of corruption that I invite you to drop onto new settings. Saturn is still an entertainment district, but now quite lewder - every shop, every restaurant, every television show, every service offered anywhere near the planet is now focused around sex. Any purchase you make that isn’t sex likely comes with a complimentary blowjob.
Concerts are held not only to listen to music, but as an excuse to throw orgies. As you might expect, this relatively free sharing of sex and designs creates more than a few queens. Jupiter is still a great deal of colonies, but that’s only because it’s been intentionally left alone. Much like the Asteroid Field, it is Machina's defensive line against humanity. It’s also a nature preserve, in an odd sort of way.
Several queens are currently managing a number of colonies to gain a better understanding of the human mind, as well as to ensure that humanity doesn’t actually go extinct - that would mean no more new Machina, after all.
The Earth, Luna, Mars, and the Asteroid Field have no direct counterparts, simply because the Machina have not reached them yet. If you wish, the Earth can be just as corrupt as the Machina, simply in a different manner - the rich man's desire for immortality without becoming a Machina having brought some other form of equally contagious and fetishistic form of corruption into the world. Magic, perhaps? The elder gods? This is something that will change in future jumps, offering similar but different options to whatever the main theme of the jump might be.</t>
    </r>
  </si>
  <si>
    <t>Id Trap</t>
  </si>
  <si>
    <t>ID
The Greatest Fusion Fantasy</t>
  </si>
  <si>
    <t>My, don’t you have a lot of Yin energy. You have learned the Angelic Jade Form Perfection,
known to enhance your feminine beauty. You also have a tendency to draw in people
regardless of their sexual orientation, and convincing others to do what you want. As a bonus,
as you become more powerful, your beauty increases as well. Finally you gain affinity to
Light.(Yin energy is apparently light-aligned in this story, while Yang is dark-aligned...just run with it)</t>
  </si>
  <si>
    <t>Nuer Nation</t>
  </si>
  <si>
    <t>MMORPG: Divine Monster Transmuter</t>
  </si>
  <si>
    <t>Nuer Nation is a small nation hidden by heavy mist. The nation is a beautiful kingdom with verdant mountains and blue rivers. Additionally, all of its inhabitants are incredibly beautiful women. Its most famous landmark is the Zimu river which is capable of impregnating anyone who takes a sip. By purchasing this item you can become the leader of the Nuer Nation. You could rule this kingdom peacefully or you could implement a plan similar to Tang Sanzang. Doing this would allow you to bind the river to your bloodline ensuring any children born were yours. You can refine the river with treasures as well, increasing the power of the children born. Lastly, you may turn this nation into a warehouse attachment and take it with you.</t>
  </si>
  <si>
    <t>Xianxia Porn</t>
  </si>
  <si>
    <t>My Harem Grew So Large
I Was Forced To Ascend</t>
  </si>
  <si>
    <t>Would be kinda weird if you entered what is basically softcore porn and you
didn’t look good, yeah? Or maybe you’re into that sort of thing. Regardless, for free
(and optionally) you get a boost to your appearance. Basically, you’ll look as good as
someone can look without stepping into the outright supernatural. You can be a
muscular hunk, a voluptuous babe, or whatever other archetype of beauty tickles your
fancy. You’re also experienced in matters of hygiene and self-care so you won’t
accidentally let your appearance go down the drain.</t>
  </si>
  <si>
    <t>Yin And Yang</t>
  </si>
  <si>
    <t>Now we’re talking. While this world is already filled with beauties, it wouldn’t
do if you didn’t have any opportunities to get to know them intimately, would it? So,
here’s this. You’ll now have great luck when it comes to matters of romance and your
sexual life, regularly meeting very attractive members of your preferred sex, almost
always in compromising and sometimes outright lewd positions and/or situations,
and you’ll find that such potential bedmates will be open to taking things a bit further.
Such lovers will also generally get along with each other, willingly sharing you and
possibly teasing each other too when they’re waiting for you in bed. You’ll also find
that your lovers are talented people in their own right, more than enough to make a
name for themselves, possibly revolutionizing whatever fields they specialize in, like
swordsmanship or poison, should you give them enough time to grow and train. Let’s
hope your little brother can hold out against so many beauties.</t>
  </si>
  <si>
    <t>Orc Presence</t>
  </si>
  <si>
    <t>The origin story of elves and orcs in this world is quite a funny one. There were
once two goddesses, one of the earth and one of the moon, who were good friends.
One day, a large (and very wet) cucumber fell between them. Out of shame they each
accused the other of “using” said cucumber, and they ended up ending their
friendship due to that. The elves are descended from the moon goddess. Where do the
orcs come in? Why, they’re descended from the jizz-drenched cucumber. Perhaps the
cucumber was the “toy” of the moon goddess, as the presence of orcs has a peculiar
and very strong effect on elven women, that being making them weak and incapable of
resistance, largely in a manner that makes said women act like virginal maidens. With
this purchase you’ll have a similar effect on a demographic of your choosing whether
or not you’re actually an orc, either keeping the default of elven women or the women
of some other race, or perhaps the men instead. Choose wisely.</t>
  </si>
  <si>
    <t>Venus Killer</t>
  </si>
  <si>
    <t>One of the many unique abilities you can find in this world is the Venus Killer.
Used by a particular man who is a stronger mutation of the normal orc species (and
thus forced to breed the tall, muscular, and ugly orcesses constantly for the sake of
eugenics), this skill allows him to deal double damage to females. With this purchase
you can also gain such a skill, or perhaps a variant that deals double damage to males
instead. The way it works is that your attacks just inexplicably damage the target more
than they have any right to, but that’s really about it. Still, it can be a good advantage
against the oddly numerous female combatants in this world. May or may not also let
you deal double “damage” with your “attacks” against your lovers.</t>
  </si>
  <si>
    <t>Divine Clones</t>
  </si>
  <si>
    <t>Something that may or may not be unique to the child of god Nuetia are clones.
Looking like stone statues but being as fully animate as you would expect any living human, they allow Nuetia to delegate having to deal with troublesome opponents directly. With this purchase, you gain the power to create these clones as well. Just gather up enough stone and you can use it to conjure a clone of yourself. They’ll look just like you (if perhaps fully gray as they are made of stone), they relay their sense of touch to you at all times, and you can even directly take control of them to “possess” the clones in a manner of speaking.
They’ll have about as much power as you invest into them at the time of creation, and while that will weaken you for a time you can certainly recover your power to build a small army of clones. These clones are also very adaptable and useful as a vessel for wandering ghosts and bodiless spirits and the like, morphing into their appearance as they are possessed, which could be useful. Do keep in mind you won’t be able to take direct control of a clone if it’s possessed however. Be careful about that though, as the bodies will still relay their sense of touch to you, which can be very distracting if, say, someone possesses one of your clones and has sex in that body.
Alternatively, you can also externalize your own physiques and innate talents as avatars, granting them sentience if they didn’t already have it and allowing them to act semi-independently from you as well as grow in power separately. You can bring them back into your body at any time to benefit from any growth they’ve experienced, which is also useful since you lose the benefits of said physiques and innate talents while they’re externalized. They’ll be loyal to you and their appearance will resemble yours, although do take care to give them some attention, or they might start acting out to cause you to stop neglecting them.</t>
  </si>
  <si>
    <t>Innate Poison Constitution</t>
  </si>
  <si>
    <t>Just like how someone can be born beautiful or ugly, talented or worthless, so
can someone be born with a supernatural physique, a constitution if you will. With
this purchase you gain one such physique, one called the Innate Poison Constitution.
There are many effects that this grants you, mainly being able to harmlessly absorb
poison into your body, and inflict their effects on anyone who touches you.
You can also turn parts of your body into concentrated liquid poison, letting you
wield the poisons you’ve absorbed as one very deadly cocktail, even telekinetically
controlling such liquid like a cultivator might control water. The more powerful you
are, the more of this special poison you can create. Absorbing poisons can also
stabilize your soul if you’re in need of such a thing. Obviously you’re generally
immune to poison even if you don’t deign to absorb it.
On top of this, you are extremely talented in poison making, instinctively
knowing how such dangerous alchemical products work and quickly learning many
ways to concoct them. With training and study, you could certainly make a name for
yourself by making poisons so hard to cure that it’s practically impossible for any that
aren’t far beyond you, at least without special antidotes made by yourself. Of course,
it’s up to you how you utilize this power.</t>
  </si>
  <si>
    <t>Crimson Dao</t>
  </si>
  <si>
    <t>Something perhaps unrelated to cultivation, you’ve obtained a powerful and quite versatile ability. In its most basic form it allows you to conjure threads of energy to use in combat or restrain your enemies, and even teleport great distances by temporarily transforming your body into energy threads. It also comes with a small amount of mental manipulation, enough to make someone you’ve just met divulge their life story with little more than a few questions. The big draw of this power, however, is the domain it grants you.
It defaults to black and red colors (although you can change this to whatever color combination you like), and you have control over the laws within. Meaning, you can change reality within your domain relatively freely, whether to make yourself massive for a size advantage, conjuring illusions to misdirect, or even to the extent of concocting a whole scenario to gaslight someone into thinking their whole life was a lie and they’re just some no-name loser who’s gone crazy. It would take someone with similar levels of dao powers (read: hax) to contest you directly within your domain.
Your control within the domain is such that you can even suppress any phenomena you want. God domains, other types of domains, arrays, grotto heavens, transmission spells, downscaling spells, flight, magic, sorcery, strange techniques, and sword arts, if it’s not something an untrained normal human can do, you can shut it down. Unfortunately, this doesn’t work quite as well on straightforward attacks, and just like anything in this world, sufficient raw power is enough to shatter your restrictions like glass. Aside from this, you can also refine your ability to develop specific techniques, such as a technique that swaps your “plight” with someone else’s, such as forcing them to face an attack aimed at you head on if you couldn’t dodge it yourself. Sadly such techniques will have a short cooldown when used.
Lastly, you can absorb unclaimed sources of laws, such as divine authorities, to grow your own power. Good luck finding such things though, such powers rarely go unclaimed for long.</t>
  </si>
  <si>
    <t>Ancient Texts</t>
  </si>
  <si>
    <t>Not everyone is lucky enough to have multiple beauties eager to fulfill their
every need. Or perhaps they’re just alone for prolonged periods of time due to
unfortunate circumstances. Not to worry, as this is the solution to such problems.
Reach into a pocket, or behind you, and suddenly you’ll find an erotic book in your
hand. It’ll have plenty of text and steamy illustrations to help along, and while there’s
a massive variety of books you could obtain, they’ll all cater perfectly to your fetishes.
Even if you’re not lonely for one reason or another, perhaps you can use these books
as a reference?</t>
  </si>
  <si>
    <t>Beautiful Village</t>
  </si>
  <si>
    <t>What’s better than ruling a remote and isolated village? Ruling a remote and
isolated village filled with incredibly beautiful women, of course. Or men if you’re into
that. Either way you’ve somehow come to own a village of a few hundred elves. It’s not
very big and it’s quite out of the way of civilization, with the population being fully
self-sufficient. The best part is, of course, that the population consists entirely of
incredibly attractive members of your preferred sex. They’re all virginal and think
you’re really hot, and it wouldn’t be hard at all to essentially turn the place into one
big harem for you. Do be careful about orc raids, as the elven inhabitants of this village
won’t be able to defend themselves in such a situation. Perhaps you’ll use such
occasions to act cool and deepen the local’s infatuation with you?</t>
  </si>
  <si>
    <t>Myriad Cultivation</t>
  </si>
  <si>
    <t>Treasures aren’t just things like weapons and armor, you know. Furniture can have magical effects as well, something you’ll become quite experienced with if you purchase this item. What this gives you is a storage pouch (or ring) that contains a large amount of furniture and other assorted things like bedsheets and pillows, all made with powerful spiritual materials. The actual supernatural effects they have are largely utility, such as a screen that soundproofs whatever room it is in, or bedsheets and pillows that slightly boost dual (or trinal, or quintet, etc) cultivation done on top of it. You will no longer need to settle for normal beds while cultivating with your lovers now that you have this.</t>
  </si>
  <si>
    <t>Succubus Inn</t>
  </si>
  <si>
    <t>As mentioned before, there are succubi in this world. They aren’t monsters or
anything though, they’re civilized people that live within civilization like anyone else.
Of course, being what they are, they do tend to be a bit more liberated than most. This
establishment you somehow came to own is an example of such; it’s an inn run by
succubi. It would be a brothel, but all services are performed inside dreams, so there’s
no risk of disease or anything. The succubi who staff this inn have turned pleasing
others into an art, offering anything from normal dreams of passionate intercourse to
simply hearing out a customer’s plight and comforting them like a spouse. They’re all
licensed succubi too, so you won’t get in legal trouble due to this business. Will you
use their services yourself or try to seduce the succubi to bring them to bed outside of
your daydreams?</t>
  </si>
  <si>
    <t>Absolute Heavenly Balance</t>
  </si>
  <si>
    <r>
      <rPr>
        <sz val="13"/>
        <color theme="1"/>
        <rFont val="Calibri"/>
        <family val="2"/>
      </rPr>
      <t xml:space="preserve">The power of law is incredibly powerful, but not all weapons that use the power
of law are equal. This pair of swords have one effect; If the first strike done with one
blade misses, the next strike of the other blade will hit. The only way to avoid this is to
allow the first attack to hit, with the second attack breaking through any and all
defenses in the way to land the hit. Of course, the power of law doesn’t help with how
much you can actually damage your target, and it’s not very hard to bypass if someone
learns the trick to your swords. Even something as small as a papercut on a finger
would do, so do be careful of people who figure out how the swords work. Also you can
telekinetically control the swords even if you normally can’t do that. And they come
with a </t>
    </r>
    <r>
      <rPr>
        <b/>
        <sz val="13"/>
        <color theme="1"/>
        <rFont val="Calibri"/>
        <family val="2"/>
      </rPr>
      <t>busty nun-looking sword spirit</t>
    </r>
    <r>
      <rPr>
        <sz val="13"/>
        <color theme="1"/>
        <rFont val="Calibri"/>
        <family val="2"/>
      </rPr>
      <t>, in case you can communicate with those.</t>
    </r>
  </si>
  <si>
    <t>True Love Potion</t>
  </si>
  <si>
    <t>Aphrodisiacs are common enough, but lust is rather temporary. So how about
toxins that induce love instead? Well, it turns out that such a thing does in fact exist. It
is incredibly difficult to refine, requiring a very skilled alchemist to devote their full
attention to it, and they must keep a specific person in mind for the whole process.
Then, the poison will be complete, and once given to the target the alchemist
intended, the victim will begin to have genuine feelings of romantic attraction
towards the alchemist who refined the poison. It’s like a hook, so instead of forcing
those feelings into the target while it is in effect, it “merely” makes them fall in love.
Of course, if the target is skilled enough in poisons or has very powerful senses,
they’ll be able to notice that their feelings did not come about naturally, but there’s no
antidote for it so they won’t be able to do anything about it anyways. Also, the poison
won’t work on anyone else. It requires quite a lot of commitment, as you can expect.
Another downside is that if the target shows their feelings of affection directly and the
alchemist who refined the poison can see or hear it, they’ll end up afflicted by the
poison as well. You have a bottle with one dose of this poison, refined by yourself for a
target of your choosing, and will get another one every jump, again refined to affect a
target of your choosing in that jump. Please be responsible with this.</t>
  </si>
  <si>
    <t>Kunlun And Guixu</t>
  </si>
  <si>
    <t>"My Harem Grew So Large
I Was Forced To Ascend"</t>
  </si>
  <si>
    <t>Powerful cultivators have an odd tendency to store immense quantities of
random loot in their storage treasures. However, some actually organize such
treasures, perhaps even constructing special treasures meant to hold their personal
weapons, or perhaps just to be fancy. This pair of storage treasures now stored in your
soul is a decent example of such; One is a sheath containing 99 extremely powerful
swords (or some other weapon you prefer) that work best when used together, as well
as a large number of weaker weapons of the same type for the sake of convenience.
The other is a pouch containing a massive amount of miscellaneous treasures, from
weird and rare poisons and pills to treasures meant for utility. If you’re in need of
some supernatural tool, you’re probably going to find it here, within reason of course.
By the way, it comes with a busty spirit that can keep track of everything and
automatically sort through the contents of either storage treasure to give you
whatever you ask for immediately.</t>
  </si>
  <si>
    <t>Church Of Jumper</t>
  </si>
  <si>
    <t>It seems you’ve become one of the children of god now, messianic figures that
are basically at the top of the local religion and comparable to a deity in status. What
you gain from this is a large church complex and a following of people that all worship
you. Among them is a squad of elite agents specially trained to follow your commands,
such as hunting down and collecting artifacts or dispensing whatever you deem as
“justice” across the lands. Strangely enough, they’re all hot and voluptuous women
(or men, or whatever you’d prefer). It would not be hard at all to turn the place into a
den of debauchery and hedonism dedicated to you and you alone. Or perhaps you’ll
prefer to run this like an actual legitimate religion? Just keep in mind there’s a child of
god for every major region in this world apparently, so try not to piss off your peers.</t>
  </si>
  <si>
    <t>Star Maidens</t>
  </si>
  <si>
    <t>108 Maidens of Destiny</t>
  </si>
  <si>
    <t xml:space="preserve">The Star Maidens also known as the Star Generals are spiritual beings who descend from the greater realms. There are two main variations for the Star Maidens: they are the Earthly Stars and the Heavenly Stars. You may become one of the Earthly Stars for Free. The second option is that you may pay 100 CP to become one of the Heavenly Stars. The Heavenly Stars are significantly more powerful on average than the Earthly Stars. You may optionally replace one of the Star Maidens that belongs to your ranks and inherit their abilities. If you don’t have the Star Maiden origin then you will instead simply gain a body similar to that of a Star Maiden and some unique abilities similar to theirs in power. </t>
  </si>
  <si>
    <t>Star Maiden Cultivation</t>
  </si>
  <si>
    <r>
      <rPr>
        <sz val="13"/>
        <color theme="1"/>
        <rFont val="Calibri"/>
        <family val="2"/>
      </rPr>
      <t xml:space="preserve">The cultivation system of the Star Maidens differs greatly from the standard cultivation due to their nature. All Star Maidens are naturally stronger than those of the same level. Typically a Star Maiden can only be slain by a group of cultivators of the equal level at minimum. 
</t>
    </r>
    <r>
      <rPr>
        <b/>
        <u/>
        <sz val="13"/>
        <color theme="1"/>
        <rFont val="Calibri"/>
        <family val="2"/>
      </rPr>
      <t>For Free you may start out at the Heartbeat Realm. This is the initial realm that all Star Maidens possess after their descent</t>
    </r>
    <r>
      <rPr>
        <sz val="13"/>
        <color theme="1"/>
        <rFont val="Calibri"/>
        <family val="2"/>
      </rPr>
      <t xml:space="preserve">. 
For 50 CP you can reach the Heavenly Clothes Realm. This is the second realm that Star Maidens have.
For 100 CP you can gain the Thousand Militaries Realm rank.
For 200 CP you can directly reach the Ten Thousand Techniques Realm.
For 300 CP you can step into the Matchless Realm.
For 400 CP you can directly reach the Extreme Realm
For 600 CP you can enter the True Phoenix Realm. This is the highest stage that Star Maidens on the Liangshang continent can reach normally. 
For 800 CP you may reach the Mysterious Woman Realm. This is the final realm that a Star Maiden can reach. They have a lifespan of over 10,000 years. 
Like the normal cultivation system your energy reserves will grow and provide you with a number of other advantages. Lastly, each of these stages are divided into nine smaller stages. You will start out at the first stage of your chosen rank, but you may optionally spend 50 CP to advance three small stages forward. This means that you could become a  ninth stage True Phoenix Realm Star Maiden for a total of 700 CP.
</t>
    </r>
  </si>
  <si>
    <t>100-300</t>
  </si>
  <si>
    <t>Grace of the Stars</t>
  </si>
  <si>
    <t xml:space="preserve">Universally cultivators are considered attractive individuals. This is believed to be due to the refinement process their bodies undergo removing anything that can be considered impure. Since you are going to be spending a fair bit of time here you may take some of this in for yourself though the exact quality of your upgrade will depend on what you pay. There however, are a number of benefits that you will receive regardless of which level you purchase. The main benefit is that you will find that as you grow stronger you will find that your body becomes more attractive since your body is being improved continuously. There are three stages that you can purchase for this perk. 
The first will enhance your appearance so that you become a perfect ten out of ten. This will also remove any imperfections in your appearance. You will fit in wonderfully here and may draw someone’s eye occasionally. 
The second level is available for 200 CP. This is the level of beauty that the Star Maidens possess as their mere presence is capable of enrapturing those around them. Every move you make will be filled with grace and give off an aura based on your personality. You may give off a fierce aura that inspires fear in those around you or perhaps you will have a calming presence.
This level is Free for those who have the Star Maiden origin.
The final option is to increase your appearance one step further for a total of 300 CP. Your appearance will become on par with Hu Niangzi who is considered to be the most beautiful of the Star Maidens. Her appearance was said to make the other Star Maidens look inferior in comparison. Just keep in mind that this is a cultivation world where strength is still considered to be the most important factor. 
</t>
  </si>
  <si>
    <t>Soul Wug</t>
  </si>
  <si>
    <t xml:space="preserve">The Soul Wug is a special treasure used to create more powerful souls. By putting a number of weaker souls into the wug these souls mutually devour one another to advance them to a higher rank soul. The Divine Machine Clan in those years exploited these Soul Wugs to manufacture powerful energy sources for Mechanical Beasts. The souls stored within this Soul Wug will grow stronger as they devour each other. In addition, this will allow them to fuse with one another and gain any unique characteristics they have. This process could allow you to create a powerful unique soul. Whether you use this soul for a mechanical invention or to strengthen yourself is up to you. </t>
  </si>
  <si>
    <t>Lilith Beauty</t>
  </si>
  <si>
    <t>Black Lilith</t>
  </si>
  <si>
    <t>Just like many characters in this world, you have an appearance that turns heads. You start with a minimum attractiveness of 8/10 and have the freedom to choose any body shape you prefer. Given the hentai game influences of this setting, you can select a body type ranging from a loli-like figure, akin to Yukikaze, to a more voluptuous form with large, head-sized breasts, similar to Igawa Sakura. Additionally, as a bonus, your body will remain attractive at all times—sweat will enhance your appeal, and any dirt or filth will be easily washed away.</t>
  </si>
  <si>
    <t xml:space="preserve">Hentai Armour </t>
  </si>
  <si>
    <t>In this world, skimpy armor is not only fashionable but also practical and fully functional. Regardless of the exposure, your armor provides complete protection depending on its type. Plate armor offers maximum defense against physical damage, while wizard armor provides significant elemental resistance. This perk comes free of charge during your stay in this world. Should you wish to bring this unique fashion sense to future worlds, it will cost you 100 CP. This ensures that wherever your adventures take you next, you can continue to enjoy the stylish and protective benefits of “armor”.</t>
  </si>
  <si>
    <t>Clean Body</t>
  </si>
  <si>
    <t>No matter how dirty or grimy you become, your body naturally rejects any filth.
Whether you’re covered in mud, blood, or even semen, your skin will cleanse itself within minutes of being removed from the source of the mess. Your hair, clothes, and appearance will always return to their pristine state without any effort on your part.</t>
  </si>
  <si>
    <t>Durable Body</t>
  </si>
  <si>
    <t>Your body is far more resilient than that of an ordinary human. You possess incredible elasticity and durability, allowing you to endure far greater punishment without succumbing to pain or injury. Whether it’s blows, falls, or magical attacks, you can withstand it all with minimal damage. In addition, your body heals much faster, ensuring you recover quickly from any injuries without leaving scars.
Where others would falter or fall, you remain standing, a testament to your unbreakable endurance.</t>
  </si>
  <si>
    <t>Mana Absorption</t>
  </si>
  <si>
    <t>You possess the ability to absorb mana directly from others, provided they are willing participants. If both parties experience a sense of intimacy during the exchange, the mana you absorb is doubled, enhancing your magical reserves significantly. This ability allows you to replenish your mana rapidly, making you a powerful force on the battlefield. It also opens the door to unique relationships, where trust and cooperation become essential for mutual empowerment.</t>
  </si>
  <si>
    <t>Always Captured</t>
  </si>
  <si>
    <t>Whether in an SFW or NSFW setting, you are someone the enemy is always eager to capture. In an SFW context, this may tie into plot-driven events where your capture serves a greater narrative purpose. In an NSFW universe, the implications are more obvious, and your capture will often lead to compromising situations. Despite this, you possess an indomitable spirit—no matter the torture or suffering you endure, you will never break. Any wounds inflicted will heal completely without scarring. Within a month of capture, you will always find a way to escape, using your cunning, resilience, and determination to reclaim your freedom.</t>
  </si>
  <si>
    <t>0-200</t>
  </si>
  <si>
    <t>Lilith Outfits</t>
  </si>
  <si>
    <t>You now have one outfit that screams it originated from a universe that uses hentai logic as its base. Even in a world where everything is much sillier, this outfit really fits, as everyone here is beyond stupid. So, if you want to wear skin-tight outfits with high heels but still be good in stealth missions, or prefer an outfit that only covers the bare minimum of your sexy body, that’s also fine. This outfit, when destroyed or worn out, will conjure a new one in your wardrobe. For 200 CP, you now have a wardrobe filled with these hentai-themed outfits that you can freely import and use in the field, and no one will question why you are wearing a bunny outfit in a full war zone.</t>
  </si>
  <si>
    <t>Hybrid Species: Living Common Humanoid Demons</t>
  </si>
  <si>
    <t>You can select a single race, or if you wish to create a truly unique being, you may be a hybrid race—but there are limitations. You cannot combine living demons and undead demons, as their natures are too fundamentally opposed to coexist harmoniously. The cost will be the base cost of the races you wish to be a part of +100 CP.
The common humanoid demons are the backbone of the Demon Realm, forming the majority of its population. Their appearance closely resembles that of humans, with only subtle features—such as pointed ears, elongated canines, or glowing eyes—hinting at their demonic nature. However, there are some among them with round ears, a rare trait that sets them apart and sparks speculation about their lineage or the true breadth of demon evolution.
These demons are known for their versatility, as their human-like mentality allows them to adapt to various roles within demon society, whether as warriors, mages, artisans, or rulers. While they may lack the raw power or unique traits of other demon races, their adaptability and balanced abilities make them a formidable force. Many humanoid demons strive for greatness, seeking to prove that their seemingly unremarkable origins do not limit their potential.
Powers and Abilities:
Capability to Learn Magic: Humanoid demons excel in mastering a wide array of magical disciplines, making them valuable assets in both combat and strategy
Enhanced Physical Abilities: Though they resemble humans, their strength, speed, and resilience are significantly heightened, allowing them to stand toe-to-toe with even the most fearsome adversaries.</t>
  </si>
  <si>
    <t>Hybrid Species: Living Amazons</t>
  </si>
  <si>
    <t>You can select a single race, or if you wish to create a truly unique being, you may be a hybrid race—but there are limitations. You cannot combine living demons and undead demons, as their natures are too fundamentally opposed to coexist harmoniously. The cost will be the base cost of the races you wish to be a part of +100 CP.
The Amazons are a legendary tribe of demons in the Dark World, revered and feared for their unmatched physical prowess and towering forms. These mighty warriors stand apart from other demon races due to their extraordinary strength and resilience, which have made them symbols of raw, unyielding power.
Amazonian demons are known for their large, imposing bodies and unparalleled combat abilities, making them a force to be reckoned with on any battlefield.
However, what they possess in physical might, they lack in magical aptitude.
Unlike many demon races, Amazons are unable to wield magic by default, relying instead on their brute strength and combat training. This limitation has never hindered their success, as their sheer physical power is more than sufficient to crush most foes who dare to stand against them.
Powers and Abilities:
Extreme Physical Strength: Amazons possess more raw power than nearly any other demon race, enabling them to overwhelm enemies with devastating force.
Large and Durable Bodies: Their size and durability make them incredibly difficult to injure, allowing them to shrug off attacks that would cripple lesser beings.</t>
  </si>
  <si>
    <t>Hybrid Species: Living Beastmen</t>
  </si>
  <si>
    <t>You can select a single race, or if you wish to create a truly unique being, you may be a hybrid race—but there are limitations. You cannot combine living demons and undead demons, as their natures are too fundamentally opposed to coexist harmoniously. The cost will be the base cost of the races you wish to be a part of +100 CP.
The Beastmen, also known as Juujin, Therianthropes, or Demibeasts, are a unique and diverse group of demons in the Dark World. Known for their animalistic features and transformative abilities, these demons are a bridge between the feral power of beasts and the refined intellect of humanoids. While they appear mostly human, with subtle traits like animal ears, tails, or sharp claws, they can unleash their full potential by transforming into hybrid or even fully animal forms, depending on their chosen beast type.
Beastmen are not a single race but a genus encompassing countless subtypes, each tied to a specific animal lineage. Whether it’s the ferocity of a tiger, the cunning of a fox, or the unyielding strength of a bear, your choice of animal form defines the essence of your abilities and personality. This versatility makes Beastmen a force to be reckoned with, especially in combat, where their transformations give them an edge over many foes. Chooce one.
Powers and Abilities:
Transformation: Beastmen can shift into a half-animal hybrid or a full animal form, amplifying their combat prowess and reflecting the unique traits of their chosen beast. They can also disguise themselves as fully human, making them exceptional infiltrators.
Above-Human Strength: While not overwhelmingly powerful, their strength surpasses that of humans, giving them a natural advantage in physical confrontations.
Superhuman Durability: Their tough bodies allow them to shrug off bullets and endure heavy blows, making them remarkably difficult to take down.
Versatile Weapon Use: Beastmen are proficient in using complex weapons and firearms, and their physicality allows them to master a variety of combat styles with training.</t>
  </si>
  <si>
    <t>Hybrid Species: Living Elf/Dark Elf</t>
  </si>
  <si>
    <t>You can select a single race, or if you wish to create a truly unique being, you may be a hybrid race—but there are limitations. You cannot combine living demons and undead demons, as their natures are too fundamentally opposed to coexist harmoniously. The cost will be the base cost of the races you wish to be a part of +100 CP.
The Elves and Dark Elves of the Demon Realm are an ancient and distinguished race, known for their elegance, intelligence, and mastery of the magical arts.
These humanoid demons, with their pointed ears and striking features, are deeply connected to the elemental forces of the world. Whether you choose to embody the serene purity of an Elf or the shadowy allure of a Dark Elf, you will carry the legacy of a race that balances magical finesse with a sharp eye for battle.
Elves and Dark Elves are renowned for their command of elemental magic, able to manipulate fire, water, earth, and air with ease. Their bond with nature allows them to summon and control Earth Spirits, animating plants to aid them in combat or other tasks. This connection to the elements makes them both formidable opponents and invaluable allies, especially in their ability to heal themselves and others using their magic.
In addition to their magical capabilities, these demons excel in archery, wielding bows with precision and grace that rivals the finest marksmen. Though their physical strength is no greater than that of humans, their agility and keen senses more than compensate for this limitation. When casting spells, Elves and Dark Elves can also transform their attire or summon a magical staff, a skill that speaks to their natural affinity for style and practicality even in the heat of battle.
Powers and Abilities:
Elemental Magic: Proficient in manipulating the elements, casting basic but versatile spells of fire, water, earth, and air.
Summon Earth Spirits: Able to summon and control Earth Spirits, animating plants to fight or perform other tasks at their command.
Costume Transformation: During magic use, they can conjure clothing or a staff from thin air, showcasing their innate magical creativity.
Healing Magic: Skilled in restorative spells, they can heal wounds and cure ailments for themselves and others.
Archery Mastery: Exceptional archers, capable of firing arrows with deadly precision.
Human Strength: While physically no stronger than humans, their agility and refined abilities give them a distinct edge.
Choosing to become an Elf means embracing the path of elegance, wisdom, and light, while becoming a Dark Elf takes you into the realm of mystique, power, and cunning.</t>
  </si>
  <si>
    <t>Hybrid Species: Living Oni</t>
  </si>
  <si>
    <t>You can select a single race, or if you wish to create a truly unique being, you may be a hybrid race—but there are limitations. You cannot combine living demons and undead demons, as their natures are too fundamentally opposed to coexist harmoniously. The cost will be the base cost of the races you wish to be a part of +100 CP.
The Oni are among the most storied and formidable races of the Demon Realm, embodying both physical power and cunning intellect. Known for their resilience, traditionalism, and mastery of combat, Oni are often sought after as elite mercenaries or stalwart guardians. Their reputation as warriors of unparalleled might makes them both respected and feared across the Dark World.
Typically humanoid in appearance, Oni are distinguished by their horns, which symbolize their strength and status. Their size and demeanor vary depending on their rank within their tribe. Lower-ranking Oni tend to be more animalistic, driven by primal instincts, while the higher-ranking Oni exhibit sophistication, intelligence, and often don traditional armor or Noh masks to channel their powers.
Powers and Abilities:
Tool Use: Oni utilize Noh masks and traditional armaments. The masks serve to suppress or influence their emotions, granting them unparalleled control over their mental state and allowing them to focus on strategy or unleash fury when necessary.
Enhanced Physical Abilities: Oni are among the physically strongest beings in the Demon Realm, capable of overpowering most adversaries with brute strength alone. Their power is often compared to that of the most advanced Taimanin technology.
Berserk Mode: Higher-ranking Oni can unleash a berserk state, temporarily multiplying their strength, speed, and endurance beyond limits. However, this state comes with the risk of physical and mental collapse.
Traditional Combat Expertise: Oni excel with traditional weapons such as clubs, spears, and swords, combining their physical might with centuries of combat knowledge.
Magic Proficiency: While not as adept as dedicated magic users, powerful Oni can channel elemental or demonic magic to enhance their abilities or attack from a distance.</t>
  </si>
  <si>
    <t>Hybrid Species: Living Merfolk</t>
  </si>
  <si>
    <t>You can select a single race, or if you wish to create a truly unique being, you may be a hybrid race—but there are limitations. You cannot combine living demons and undead demons, as their natures are too fundamentally opposed to coexist harmoniously. The cost will be the base cost of the races you wish to be a part of +100 CP.
The enigmatic Merfolk of the Demon Realm are creatures of duality—graceful and serene beneath the waves, yet fearsome predators to those who wander too close. While their reputation often paints them as cunning hunters who lure prey into the sea, not all Merfolk embrace such practices. Many are peaceful, social beings who prefer to live harmoniously within their aquatic communities, far removed from conflict.
Merfolk thrive in the vast oceans of the Dark World, where they are formidable warriors and magic users, their strength amplified by the water that surrounds them. However, their dominance wanes on land, as they must adopt the form of other demons or humans to move among terrestrial beings. Though their abilities are diminished in this state, their resourcefulness and adaptability remain invaluable assets.
Powers and Abilities:
Underwater Movement: In their natural aquatic environment, Merfolk move with exceptional speed and precision, making them nearly impossible to catch or outmaneuver.
Underwater Breathing: As beings of the sea, Merfolk can remain submerged indefinitely, breathing effortlessly beneath the waves.
Poison: Merfolk possess a natural toxin that paralyzes their victims, a trait often employed in their hunts or battles.
Transformation: To traverse the land, Merfolk can transform into a humanoid form, taking on the guise of another demon or human. While in this form, they lose much of their combat prowess but gain the ability to interact with land-dwelling creatures.
Magic Proficiency: While not as adept as dedicated magic users, powerful merfolk can channel elemental or demonic magic to enhance their abilities or attack from a distance.</t>
  </si>
  <si>
    <t>Hybrid Species: Living Incubus / Succubus</t>
  </si>
  <si>
    <t>You can select a single race, or if you wish to create a truly unique being, you may be a hybrid race—but there are limitations. You cannot combine living demons and undead demons, as their natures are too fundamentally opposed to coexist harmoniously. The cost will be the base cost of the races you wish to be a part of +100 CP.
Among the higher-ranked demons of the Dark World are the Incubi and Succubi, collectively known as Inma or Lewd Demons. These enigmatic and alluring beings command a unique and potent form of power—one that merges magic with an irresistible charm. Whether you walk this path as a Succubus, embodying the allure of femininity, or as an Incubus, wielding the seduction of masculinity, your abilities are tailored to control and manipulate the desires and dreams of others. Your version will depends on your gender.
Succubi and Incubi are masters of vitality manipulation, capable of draining life energy through intimate encounters or even subtle contact. This ability not only weakens their targets but also empowers them, sustaining their vitality and amplifying their magical prowess. Their dominion extends into the realm of dreams, where they can infiltrate the subconscious minds of mortals, crafting dreamscapes that enthrall, terrify, or exhaust their victims, sometimes to the point of death.
Beyond their enchanting presence, these demons are gifted in magic and possess the power of flight. Their innate magical abilities are versatile, allowing them to cast a range of spells that complement their otherworldly charm.
Whether soaring gracefully through the skies or weaving illusions to beguile their foes, Incubi and Succubi are as dangerous as they are captivating.
Powers and Abilities:
Vitality Drain: Extract life energy from humans, weakening them while enhancing your own strength and magical capacity.
Dream Manipulation: Enter and alter the dreams of others, creating scenarios to enthrall or harm them.
Flight: Glide effortlessly through the skies, showcasing your grace and freedom.
Magic Proficiency: Possess versatile magical abilities, with a focus on enchantments and illusions.</t>
  </si>
  <si>
    <t>Hybrid Species: Living Vampire</t>
  </si>
  <si>
    <t>You can select a single race, or if you wish to create a truly unique being, you may be a hybrid race—but there are limitations. You cannot combine living demons and undead demons, as their natures are too fundamentally opposed to coexist harmoniously. The cost will be the base cost of the races you wish to be a part of +100 CP.
The Vampires of the Demon Realm stand as aristocrats of the night, wielding ancient and formidable powers that make them both feared and revered. With their sharp intellect, unyielding resilience, and mastery over both physical and magical abilities, Vampires are among the most potent races within the Dark World. To choose this path is to embrace a legacy of power, elegance, and an insatiable thirst for blood.
Vampires are defined by their connection to magical blood, a source of immense power and adaptability. By consuming blood, they not only sustain their existence but also enhance their already formidable abilities. Their capacity for regeneration is unparalleled, allowing them to recover from injuries that would be fatal to most other beings, save for specific weaknesses or countermeasures that disrupt their healing.
Powers and Abilities:
Magical Blood: Your blood carries unique magical properties, amplifying your power and enabling potent blood-based spells.
Blood / Energy Drain: Absorb blood from others to sustain yourself and enhance your abilities.
Shape-shifter: Transform into animals, alter your appearance, or partially morph for strategic advantages.
Regeneration: Heal rapidly from injuries, including the restoration of lost limbs, unless countered by specific items or abilities.
Magic Proficiency: Command various types of magic, with a focus on blood and mist manipulation.
Flight: Take to the skies, either by manifesting wings or magical levitation.
Possession: In rare cases, take control of corrupted bodies, adding asinister edge to your influence.
Enhanced by Blood: All your powers are magnified when exposed to fresh blood.</t>
  </si>
  <si>
    <t>Hybrid Species: Living Dragonfolk</t>
  </si>
  <si>
    <t>You can select a single race, or if you wish to create a truly unique being, you may be a hybrid race—but there are limitations. You cannot combine living demons and undead demons, as their natures are too fundamentally opposed to coexist harmoniously. The cost will be the base cost of the races you wish to be a part of +100 CP.
The awe-inspiring Dragonfolk are the rare offspring of mighty dragons and other beings, bearing the unparalleled legacy of draconic bloodlines. Revered and feared in equal measure, these beings embody a potent mixture of calm wisdom and devastating power. Residing within the secluded regions of the Dark World, Dragonfolk prefer solitude and tranquility, yet their formidable abilities often make them the target of interest from other demon races.
While Dragonfolk are typically composed and measured in their actions, their wrath is a force of nature, capable of bringing ruin to even the mightiest foes. As inheritors of draconic might, they stand apart as some of the most powerful beings within the Demon Realm.
Powers and Abilities:
High Physical Ability: Dragonfolk possess unmatched strength, speed, and resilience, making them formidable opponents in any battle. Their physical prowess rivals, if not surpasses, that of the most elite demons.
Dragon Abilities: Their draconic heritage grants them extraordinary capabilities, including breath attacks, elemental manipulation, and the ability to channel raw dragon energy in combat. The specifics of their abilities depend on their individual lineage. Choose one element.
Flight (Optional): Some Dragonfolk are blessed with wings, granting them the power to soar through the skies and dominate the battlefield from above.
Long Lived: As descendants of dragons, they enjoy significantly extended lifespans, allowing them to accumulate vast knowledge and experience over the centuries.</t>
  </si>
  <si>
    <t>Hybrid Species: Divinity</t>
  </si>
  <si>
    <t>You can select a single race, or if you wish to create a truly unique being, you may be a hybrid race—but there are limitations. You cannot combine living demons and undead demons, as their natures are too fundamentally opposed to coexist harmoniously. The cost will be the base cost of the races you wish to be a part of +100 CP.
You were once a god—worshiped, feared, and revered. But for reasons lost to time, you were sealed away, your divinity stripped, your temples crumbled, and your name erased from history. Now, after an age of slumber, you have awakened... but not as the being of limitless power you once were. Instead, you stand among mortals, your strength reduced to that of an ordinary human.
However, remnants of your former glory still linger, and within you burns a divine spark waiting to be rekindled.
Even in this diminished state, your body is undeniably divine. Your presence alone is enough to command attention, and your beauty transcends mortal comprehension—flawless, radiant, and otherworldly. Those who gaze upon you find themselves captivated, their hearts faltering, their thoughts clouded by admiration. With each moment of recognition, your power grows, slowly reclaiming the divinity that was stolen from you. Your age is not Important
Traits and Abilities:
● Transcendent Beauty: Your appearance is beyond mortal limits, an 11/10 in every sense. No matter the culture or species, all recognize your perfection, causing even hardened warriors to blush and falter.
● Divine Charisma: Your presence alone influences others, making them more inclined to trust, admire, or even worship you. The more they acknowledge your beauty, the more susceptible they become to your influence.
● Immortality &amp; Incorruptibility: Your body does not age, decay, or degrade. You are immune to disease, poison, and any form of corruption that would taint lesser beings. Even in your weakened state, you remain untouched by time.
● The Blessing of Recognition: Whenever others acknowledge your beauty—whether through admiration, awe, or even envy—you regain a fraction of your lost power. This effect is significantly stronger when recognized by those of the opposite sex (or those attracted to you).
● Permanent Growth: Unlike most power sources that fade over time, the strength you gain through admiration is permanent. This effect carries over into future worlds, ensuring that your return to godhood is inevitable.</t>
  </si>
  <si>
    <t>Hybrid Species: Undead Will-o’-Wisp</t>
  </si>
  <si>
    <t>You can select a single race, or if you wish to create a truly unique being, you may be a hybrid race—but there are limitations. You cannot combine living demons and undead demons, as their natures are too fundamentally opposed to coexist harmoniously. The cost will be the base cost of the races you wish to be a part of +100 CP.
Ah, the enigmatic Will-o’-Wisp, a rare and spectral kind of demon, shrouded in mystery and bathed in ethereal flame. These beings embody a ghostly allure, often mistaken for lost souls wandering through the shadows of the Dark World.
In truth, Will-o’-Wisps are clever and cunning, their abilities rooted in manipulation, evasion, and raw elemental power. Their flames can both mesmerize and devastate, making them unpredictable and dangerous adversaries or allies.
Powers and Abilities:
Ethereal Flame: Emit ghostly blue or green flames that can burn both physically and spiritually. These flames are especially effective against otherworldly beings or magic users.
Levitation: Float effortlessly above the ground, granting exceptional mobility and access to hard-to-reach places.
Illusion Manipulation: Create illusions using their ghostly light, capable of deceiving enemies or leading them into traps.
Intangible Form: Temporarily shift into a near-intangible state, making them immune to physical attacks for a brief time.</t>
  </si>
  <si>
    <t>Hybrid Species: Undead Zombie</t>
  </si>
  <si>
    <t>You can select a single race, or if you wish to create a truly unique being, you may be a hybrid race—but there are limitations. You cannot combine living demons and undead demons, as their natures are too fundamentally opposed to coexist harmoniously. The cost will be the base cost of the races you wish to be a part of +100 CP.
Oh, the Zombie—a demon born of death yet bound by unyielding persistence, refusing to rest even in the embrace of the grave. As a Zombie, you embody the raw, tenacious spirit of the undead, rising again and again no matter how many times you are struck down. You are a testament to resilience, a relentless force that marches forward regardless of the odds.
You may lack the refinement of the higher demon classes or the elegance of those who manipulate magic with ease, but you are a survivor, plain and simple.
The world underestimates you at its peril, for Zombies are far more than shambling corpses. Beneath your decayed exterior lies strength, grit, and an unquenchable hunger—be it for flesh, vengeance, or sheer survival.
Powers and Abilities:
Undying Tenacity: Death is a temporary inconvenience. Your body, though imperfect and decayed, continues to function even after suffering severe damage. Lose an arm? You’ll keep swinging. Get pierced through the heart?
Keep marching. Only through destruction of your brain or magical obliteration can you truly be stopped.
Regenerative Decay: Your wounds may not heal conventionally, but they knit themselves together in time, albeit imperfectly. Limbs can be reattached, gaping holes can be patched, and damage that would kill a mortal merely slows you down.
Infectious Bite: When all else fails, your teeth become a weapon. Those who fall victim to your bite risk being turned into mindless undead or, in rare cases, joining the ranks of your kind with their memories and abilities intact. Use this gift wisely, for creating allies—or chaos—comes at a price.
Enhanced Strength: Despite your deteriorated form, your muscles retain far greater strength than they had in life. This makes you a formidable foe in combat, capable of tearing through walls or enemies with sheer brute force.
Immunity to Pain and Fatigue: Unlike the living, you do not feel pain, nor do you tire. No matter how long the battle rages, you will endure while your enemies falter.
Fear Aura: Your very presence unsettles the living, instilling terror in weaker foes and causing hesitation even in the brave. The sight of your decayed visage and your unnatural movements serves as a grim reminder of mortality.
Scent of Death: You are often mistaken for prey—but that is your advantage.
Your scent masks your approach, and your cunning allows you to ambush opponents who mistake you for a mindless corpse.</t>
  </si>
  <si>
    <t>Hybrid Species: Undead Yuki-Onna</t>
  </si>
  <si>
    <t>You can select a single race, or if you wish to create a truly unique being, you may be a hybrid race—but there are limitations. You cannot combine living demons and undead demons, as their natures are too fundamentally opposed to coexist harmoniously. The cost will be the base cost of the races you wish to be a part of +100 CP.
Ah, the Yuki-onna—a figure of haunting beauty and chilling majesty. Among the ranks of undead demons, Yuki-Onna stand apart, embodying the elegance of frost and the cold certainty of death. These beings are more than mere specters; they are the frozen breath of winter incarnate, a reminder that even the fiercest fires of life are no match for the icy hand of mortality.
To become a Yuki-Onna is to embrace the eternal stillness of the frost, a state of being that transcends the petty concerns of the living. Your essence is tied to the snow and ice of the Demon Realm, and your presence heralds the quiet, inevitable hush of a winter's final snowfall. Do not mistake your coldness for cruelty—yours is a beauty and power that commands awe and reverence, a force that shapes the world as it halts its chaos in frozen perfection.
Powers and Abilities:
Frost Manipulation: With a mere whisper, you summon ice and snow, shaping them to your will. Be it creating deadly ice spears or forming protective barriers, the cold bends to serve your desires. The frost is your ally, your armor, and your weapon.
Glacial Presence: The air around you chills to a deathly stillness, sapping the strength of foes and slowing their movements. Your enemies will falter, their vigor stolen by the relentless grip of your aura.
Ethereal Frostform: As an undead being, your body is a vessel of ice and spirit. You can fade into a storm of snowflakes or glide as a mist across the frozen ground, untouchable and unyielding.
Soulbinding Chill: Your touch carries the frost of the afterlife, freezing the very essence of those you encounter. Be it a mortal’s body or a demon’s spirit, your chill is a mark of their undoing, leaving them either paralyzed in awe or shattered into icy remnants.
Glacial Regeneration: Though no longer among the living, your icy essence allows you to reform your body should it be damaged. As long as ice exists, you can mend and return to your haunting splendor.</t>
  </si>
  <si>
    <t>Hybrid Species: Undead Dullahan</t>
  </si>
  <si>
    <t>You can select a single race, or if you wish to create a truly unique being, you may be a hybrid race—but there are limitations. You cannot combine living demons and undead demons, as their natures are too fundamentally opposed to coexist harmoniously. The cost will be the base cost of the races you wish to be a part of +100 CP.
The Dullahan stands as a fearsome and enigmatic figure among the undead demons. Where others may flaunt beauty or charm, you embody dread and authority. Proud and unyielding, you stride through the Demon Realm as an emissary of inevitability, a harbinger of doom whose power is etched into the annals of demonkind. To become a Dullahan is to wield death itself as both weapon and shield, a role not granted lightly.
Your existence is a testament to your indomitable will—severed from mortality, you carry your head as both a symbol of your independence and a terrifying reminder to those who stand against you. Few dare to look upon the detached visage of a Dullahan without their courage faltering. You are not a servant of fate but a wielder of it, carving paths of fear and respect wherever your headless form treads.
Powers and Abilities:
Headless Sovereignty: Your missing head is your greatest strength. You can detach it at will, allowing it to act independently. Whether as a scout, a tool of intimidation, or even a weapon, your head is both a sentinel and a symbol of your dominance.
Phantom Steed: The Dullahan is rarely seen without its spectral mount—a horse born of nightmares and shadows. This that you can summon at will is a steed that can carry you swiftly across the battlefield and through dimensions, its fiery eyes piercing the darkness.
Soul Reaper's Strike: Your weapon, be it a whip, sword, or scythe, is infused with the energy of death itself. Each strike carries the weight of the inevitable, capable of severing not only flesh but the ties that bind soul to body.
Undying Resolve: As an undead demon, you cannot be permanently destroyed by conventional means. Severed limbs or injuries are mere inconveniences, and you regenerate quickly as your spectral essence reforms.
Decapitating Precision: With or without your head, you wield unmatched skill in combat. Your strikes are calculated and precise, as though guided by the very hand of death.</t>
  </si>
  <si>
    <t>Hybrid Species: Undead Grim Reaper</t>
  </si>
  <si>
    <t>You can select a single race, or if you wish to create a truly unique being, you may be a hybrid race—but there are limitations. You cannot combine living demons and undead demons, as their natures are too fundamentally opposed to coexist harmoniously. The cost will be the base cost of the races you wish to be a part of +100 CP.
Ah, the Grim Reaper—a truly distinguished class of demon, revered and respected for their noble role in the eternal cycle of life and death. As a Grim Reaper, you are not merely another denizen of the Demon Realm but a crucial figure, an arbiter of fate, standing on the threshold between existence and oblivion. What higher calling could there be than to shepherd souls to their rightful rest or punishment?
Your kind are not mere harbingers of doom, as the mortals so often misinterpret, but the elegant stewards of balance and order. The Grim Reapers are demons of immense dignity and purpose, their work ensuring the Demon Realm and mortal planes alike remain uncorrupted by the chaos of wandering souls. They walk unseen among the living, their presence a whisper of inevitability, a reminder that all things must end.
Powers and Abilities:
Soul Collecting: As a Grim Reaper, you wield the sacred ability to harvest and guide the souls of the deceased. With a touch, you sever the mortal threads binding a soul to its earthly vessel, ensuring its passage to the afterlife. Whether by scythe or staff, your tools are extensions of your will, precision instruments of divine purpose.
Invisibility: Mastery of concealment is your birthright. You can render yourself unseen to mortal eyes, walking unnoticed among the living. However, those whose time approaches will sense your presence regardless of your concealment. Should you desire, you may cast aside this veil and reveal your commanding presence in full.
Ethereal Step: Move seamlessly between the mortal plane and the liminal spaces of the afterlife. No door, wall, or boundary can impede your journey, for the pathways of death are yours to tread.
Aura of Mortality: Those who gaze upon you feel the weight of their mortality, an unshakable understanding of life’s fragility. This aura can weaken the resolve of even the strongest foes, making them falter in your presence.
Necrotic Magic: You wield magic drawn from the essence of death itself, capable of banishing the undead, manipulating shadows, or laying curses that sap life and vitality from your enemies.
Ageless Vigilance: Time holds no sway over you. Your form remains unchanging, untouched by the years, a constant in a world of ceaseless decay.</t>
  </si>
  <si>
    <t>Hybrid Species: Undead Ayakashi</t>
  </si>
  <si>
    <t>You can select a single race, or if you wish to create a truly unique being, you may be a hybrid race—but there are limitations. You cannot combine living demons and undead demons, as their natures are too fundamentally opposed to coexist harmoniously. The cost will be the base cost of the races you wish to be a part of +100 CP.
Among the many proud and illustrious beings of the Demon Realm, the Ayakashi stands apart as a creature of mystique and ancient power. Neither wholly spirit nor demon, you embody the convergence of supernatural forces. Ayakashi are ethereal manifestations of nature's wrath, legends given form, and the living embodiment of folklore's darkest fears. As an Ayakashi, your very existence commands reverence, as your presence weaves the line between fearsome and awe-inspiring.
You are more than a mere demon—you are a guardian of ancient traditions, a harbinger of nature’s vengeance, and a reminder of the perils mortals face when they disrupt the balance of the world. To claim the title of Ayakashi is to embrace a legacy of shadow and enigma.
Powers and Abilities:
Ethereal Form: Your body is a vessel of pure spiritual energy. While you appear corporeal, you can shift into a spectral form to evade attacks, pass through barriers, or remain untouchable to physical weapons.
Nature's Wrath: You are intrinsically tied to the elements of the natural world.
Whether summoning storms, commanding wildfires, or rousing forests to act on your behalf, the environment becomes your ally and weapon. choose one element to control.
Phantom Presence: Mortals and lesser beings sense your presence instinctively. Your very aura causes unease, as though the world itself is whispering warnings of your arrival.
Curseweaving: You possess mastery over powerful curses. With a glance, you can afflict your enemies with maladies ranging from ill fortune to debilitating sickness, turning even the mightiest foes into shadows of their former selves.
Shapeshifting: As an Ayakashi, your form is fluid. You can take on terrifying or alluring appearances, ranging from a monstrous beast to a charming figure of beauty, all depending on how you wish to interact with the world.
Longevity and Resilience: Your existence transcends time. Injuries fade like the morning mist, and age does not touch you. You are as eternal as the forces of nature you embody.
Illusions of Terror: Ayakashi are masters of deception. You can manipulate reality itself in the eyes of your enemies, creating visions that instill fear, confusion, or despair.
Soul Binding: You have the ability to bind the souls of others to objects, locations, or even yourself. This power can imprison, protect, or enslave, depending on your will.</t>
  </si>
  <si>
    <t>Hybrid Species: Undead Wraith</t>
  </si>
  <si>
    <t>You can select a single race, or if you wish to create a truly unique being, you may be a hybrid race—but there are limitations. You cannot combine living demons and undead demons, as their natures are too fundamentally opposed to coexist harmoniously. The cost will be the base cost of the races you wish to be a part of +100 CP.
Wraiths, the undying forces of the Dark World, are formidable beings of shadow and sorrow. Their very existence is one steeped in the macabre, drawing upon the energies of death itself. As a Wraith, you are not bound by the mortal constraints of time or flesh. You are an ancient entity, a being of decay and rebirth, whose powers can manipulate death in ways that unsettle even the most powerful of demons.
Your agelessness is your gift and your curse. You are a being of eternity, and with it comes an unfathomable understanding of the world’s most hidden and dangerous secrets. It is no wonder that those who command the Dark World seek to control Wraiths, for their mastery over life and death is unmatched, and their armies of the undead can reshape entire battlefields.
Powers and Abilities:
Raising the Dead: You possess the terrifying ability to reanimate the dead, turning fallen enemies into loyal zombies, ghosts, and skeletons. With the mere touch of your hand, any corpse can be risen to serve your will, their minds stripped of all but a single purpose—serving you.
Zombie Control: With your mastery over Miasma, you can exert absolute control over the undead you raise. Zombies, no matter their former state or strength, become your puppets—compelled to do your bidding without hesitation or mercy.
Miasma Manipulation: Your connection to Miasma allows you to corrupt and manipulate the souls of others, converting them into obedient servants or imbuing them with your will. This power can extend to lesser demons, humans, or even powerful beings such as knights or Taimanin, turning them into more powerful wraiths under your command.
Immortality: Your body is ageless and eternal. As a Wraith, you do not succumb to aging or disease. Wounds inflicted upon you regenerate with chilling speed, and you can endure the ravages of time without ever showing a trace of wear.
Soul Manipulation: With the mastery of your abilities, you can manipulate the souls of others—trapping them in the bodies of the undead or sending them to realms beyond. Souls under your control can be reshaped and bound to your will, either to serve you or to be consumed for power.</t>
  </si>
  <si>
    <t>Fighting Dirty</t>
  </si>
  <si>
    <t>Black Lilith: Chinese Union</t>
  </si>
  <si>
    <t>Forget honor—you fight to win. You're a natural when it comes to dirty tactics: tripping, eye-poking, hair-pulling, even exploiting your enemy’s more... sensitive spots, especially in close combat. You're also far better at subduing and capturing female opponents—whether for interrogation, leverage, or more sinister purposes.</t>
  </si>
  <si>
    <t>Sex Slave Trainer</t>
  </si>
  <si>
    <t>As a criminal you possess a cruel expertise in the art of sexual subjugation and training. You have a keen understanding of how to break an individual's will, exploit their vulnerabilities, and mold them into obedient sex slaves. As now you have an innate talent for devising effective training regimens, utilizing both psychological manipulation and physical conditioning to achieve absolute control.
You also know how to identify and exploit individual unique fetishes,like being gangbang in a subway or they enjoy being cunneld by petite females.</t>
  </si>
  <si>
    <t>Milk</t>
  </si>
  <si>
    <t>You possess the knowledge and skill to craft powerful medical and psychoactive compounds—stimulants, enhancers, and transformation drugs with effects ranging from boosted stamina, awakening taimanin arts, increased fertility of both man and woman and physical prowess to demonification. But your most infamous creation is Milk: a potent, euphoric substance that overwhelms women with intense aphrodisiac effects, vivid hallucinations, and dreamlike pleasure stronger than heroin. Highly addictive and dangerously destabilizing, prolonged use leads to irreversible brain damage. In the criminal underworld, it’s as valuable as gold—and twice as cursed.</t>
  </si>
  <si>
    <t>Plastic Surgeon</t>
  </si>
  <si>
    <t>You now possess the elite skills of a master-class surgeon, capable of operating flawlessly on humans, demons, or any creature even vaguely humanoid. You can transform someone’s physique to be perfectly masculine or feminine, do sex changes with fully functional sex organs, and bump their looks to a clean 8/10 minimum with just a few snips and tweaks.</t>
  </si>
  <si>
    <t>Bio-Augmentation 101</t>
  </si>
  <si>
    <t>You’ve unlocked the fundamentals of enhancing the human body . You can enhance a subject’s strength, endurance, and reflexes with rudimentary—but effective—bio enhancements. And also increase the sensitivity of someone by a factor of 5 , as when you do light foreplay with the subject it makes them melt on the ground and climax more easily . Your augmentations are rough for now but reliable.</t>
  </si>
  <si>
    <t>Blueprint Maker</t>
  </si>
  <si>
    <t>You’ve got the genius to design complex biotech infrastructure like healing pods, clone incubators, DNA banks, and surgical suites, all tailor-made to support your twisted craft. Even better, you can compact these designs to save space, creating sleek, high-efficiency versions of gear that would normally take up an entire lab.</t>
  </si>
  <si>
    <t>Bloodline Limits</t>
  </si>
  <si>
    <t>With just a sample of someone's DNA—be it a taimanin, a sorcerer, or a demon—you now have the terrifying ability to bestow their bloodline powers onto others. However, there's a price: a person can only bear one or two of these bloodline implants before their mind shatters. When that happens, their body remains—but their soul is gone. What’s left is a mindless flesh puppet, loyal only to you. These cursed creations are known as Ghouls, and they are utterly yours.this can be prevented with practice as you can add more abilities to a person.</t>
  </si>
  <si>
    <t>Parasite Tumor</t>
  </si>
  <si>
    <t>You’ve developed a living tumor made from your own flesh—an unholy bundle of parasitic cells that can store a backup of your consciousness. When implanted into a host or used as a basis for a clone, this tumor allows you to transfer your mind between bodies at will, effectively cheating death. As a side effect, this tumor continuously generates organic material, allowing you to regenerate lost limbs, grow replacement organs, and spawn writhing tentacles embedded with venom glands that are mostly used to violate females bodies. These tentacles can deliver a cocktail of poisons made from your blood —ranging from numbing paralysis to mind-warping aphrodisiacs that make enemies addicted to your touch and Cum.</t>
  </si>
  <si>
    <t>Chimera</t>
  </si>
  <si>
    <t>You've reached the apex of bioengineering and are now capable of crafting Chimeras—fully artificial lifeforms molded from the DNA of others. With just a drop of blood, you can generate clones of existing people or monsters, slightly weaker and with stiffer, less refined movement, but unwavering in obedience.
These clones lack independent consciousness, existing only to serve your will.
Your true masterpiece lies in the creation of Chimeras—original beings forged from up to a maximum of four genetic sources and here right now it's limited to: Taimanin, Demon, Onmyouji, and Magical Girl. Their abilities don’t clash—they enhance one another, forming a perfect hybrid. Add tentacles, monstrous forms, or custom personalities—whatever you design, they’ll obey without question. In future worlds you can mix other sources of DNA to create your chimeras.</t>
  </si>
  <si>
    <t>The Art of Seduction</t>
  </si>
  <si>
    <t>You’ve turned seduction into a science. Your presence oozes irresistible charm, making people want to open up, break down, and spill everything—both in bed and out. With instincts that rival a succubus, you know just how to touch, look, or speak to get under someone’s skin and into their secrets.You also know many sex techniques to satisfy both men and women. As when it comes to finding and exploiting the weak spots of a person’s body, making them melt in your hands is as easy as pie.</t>
  </si>
  <si>
    <t>Chinese Medicine</t>
  </si>
  <si>
    <t>Your family’s medical legacy you now have the uncanny ability to recreate any form of traditional Chinese medicine with surgical precision, including experimental and future formulations. These aren’t your shady corner-store herb packets either—your drugs enhance stamina, fitness, and other physical traits without side effects or addiction. They're purer, more potent, and miles ahead of anything on the generic market.</t>
  </si>
  <si>
    <t>Chi</t>
  </si>
  <si>
    <t>Chi is the purer, human alternative to Taima particles, and you’ve got it coursing through every cell. While it won’t melt demons with a punch, it does make you a juggernaut of vitality. It gives you self-healing slows aging and also dramatically improves your ability to learn Chinese martial arts, letting you pick up century-old forms like they’re beginner yoga poses.</t>
  </si>
  <si>
    <t>Balance</t>
  </si>
  <si>
    <t>You now have the capability to fuse Chi and Mana into a single, stable energy source—creating a power greater than the sum of its parts. This fusion harmonizes two fundamentally different forces, allowing you to access deeper wells of strength, enhance your spells, and perform feats far beyond what either energy could achieve on its own. But your mastery doesn’t stop there. You’re capable of merging other power systems as well—Chakra from Naruto, Spiritual Pressure from Bleach, and even the Imagination Energy used in Ressha Sentai ToQger. These disparate energies, while wildly different in origin and application, become unified under your control, forming a refined and potent stream of force that’s smoother and more efficient than the originals.
This fusion technique is not just stronger—it’s more efficient . By weaving these energies together, you reduce the cost of each, conserving your reserves and making you more sustainable in prolonged battles or rituals. There is no risk of internal conflict, feedback loops, or energy clashes; your body and soul adapt to the merged force seamlessly, like they were always meant to channel this hybrid power.</t>
  </si>
  <si>
    <t>No Genetic Defects</t>
  </si>
  <si>
    <t>As someone born and engineered in a laboratory, your genetic code has been meticulously edited to remove all flaws. You are immune to hereditary diseases, defects, and any form of genetic degradation. Your fertility is also under your conscious control—you can choose when and if you want to reproduce, and with whom, regardless of species or biological barriers.</t>
  </si>
  <si>
    <t>Genetic DNA Chamber: Demon</t>
  </si>
  <si>
    <t>This section allows you to decide the nature of your genetic enhancements as part of the Chinese Union's advanced augmentation program. Each enhancement set comes from a specific supernatural lineage. You are allowed only one genetic source—attempting to integrate more without the proper preparation leads to uncontrollable mental instability. Those who have purchased the Chimera Perk are the sole exception and will receive all benefits listed below simultaneously without drawback.
Now your enhancements grant you the taint of miasma—a corruptive aura laced into your very flesh. Your physical attacks can now be infused with this miasma at will, allowing you to either damage enemies normally or corrupt them, transforming them into demons under specific conditions. Additionally, your body becomes incredibly resistant to all forms of conventional harm.</t>
  </si>
  <si>
    <t>Extra Body Types</t>
  </si>
  <si>
    <t>As your body has been modified, you now have access to a simple transformation that you can use in battle. You can choose between three forms: a multi-legged form, like that of a centaur, horse, or spider, which grants you enhanced stability and strength when attacking; a snake-like body that makes it easier for you to stealthily hide and escape from dangerous situations; or a form with multiple arms, where your coordination and dexterity are significantly increased, allowing you to perform complex maneuvers and handle multiple tasks simultaneously. This transformation offers you tactical versatility, adapting your physical abilities to the demands of combat.</t>
  </si>
  <si>
    <t>Tail</t>
  </si>
  <si>
    <t>You gain a fully functional prehensile tail emerging from your spine, which you can style and modify however you wish—whether it’s lizard-like, demonic, feline, or even something otherworldly. This tail can be used for balance, grabbing objects, striking enemies, or even climbing. Alternatively, you may fuse your legs into a powerful lamia tail, transforming your lower body into a serpentine form with increased strength and coiling power.</t>
  </si>
  <si>
    <t>Flashing</t>
  </si>
  <si>
    <t>You now have the ability to emit a blinding flash of light from a chosen part of your body. At will, this area can burst with intense brilliance like a flashbang, disorienting and temporarily blinding anyone nearby.</t>
  </si>
  <si>
    <t>Aphrodisiac Glands</t>
  </si>
  <si>
    <t>Specialized glands within your mouth or natural weapons now secrete a potent aphrodisiac. This chemical compound induces heightened sensitivity, disorientation, and euphoric distraction in those exposed to it, weakening their ability to concentrate or resist.</t>
  </si>
  <si>
    <t>Stretching</t>
  </si>
  <si>
    <t>Your limbs possess extreme elasticity, capable of twisting in any direction and stretching up to three times their original length. This includes not only your arms and legs but also any natural weapons you’ve acquired, such as claws or tails.</t>
  </si>
  <si>
    <t>Body Ballooning</t>
  </si>
  <si>
    <t>You now have the bizarre yet potent ability to inflate your body to over twice its normal size by activating a specialized internal organ. This expansion grants temporary boosts in strength, body mass, and surface area—making you harder to knock down and capable of bulldozing through obstacles.</t>
  </si>
  <si>
    <t>Tentacles</t>
  </si>
  <si>
    <t>You now have twelve powerful, muscular tentacles emerging from your back, sides, or wherever feels... thematically appropriate. Each is prehensile and extremely strong, capable of grabbing, restraining, or striking enemies.</t>
  </si>
  <si>
    <t>Say goodbye to rigid bones and boring anatomy! Your body is now soft, elastic, and semi-liquid, functioning much like a living slime. You can flatten yourself, squeeze through cracks, or reshape your form in all sorts of fun and creative ways.</t>
  </si>
  <si>
    <t>Laser Beam</t>
  </si>
  <si>
    <t>Embedded within your body is an organ that allows you to unleash concentrated laser beams from your eyes—or any other body part you feel like weaponizing.
These beams are focused and deadly, capable of burning through steel, punching holes through walls, or vaporizing targets from a distance.</t>
  </si>
  <si>
    <t>You possess a truly remarkable ability: the power to absorb the abilities of any being you consume. This innate gift grants you the opportunity to assimilate the physical attributes and skills of the creatures you ingest, enhancing your own capabilities in the process.</t>
  </si>
  <si>
    <t>Alter The Truth</t>
  </si>
  <si>
    <t>You possess a minor reality-altering ability that allows you to permanently alter one fact within a town once a year. While this power cannot create impossible scenarios, such as making it rain candy from the sky, it can be used to reverse tragic incidents. For example, you could alter the fact that someone was dead and make them alive and healthy instead.</t>
  </si>
  <si>
    <t>Possession</t>
  </si>
  <si>
    <t>You now have the ability to possess someone through any medium of your choice, allowing you to control their actions as you see fit. Whether it's through a phone call, the internet, a VHS tape, or any other type of media, you can infiltrate their mind and body, bending them to your will.</t>
  </si>
  <si>
    <t>You have several slave collars. Once a collar is fastened around the neck, wrist, ankle, or any other part of a person's body, it becomes permanently affixed, resisting any attempts at self-removal. The primary function of these collars is the absolute subjugation of the wearer's will. They are compelled to follow any command given by the owner of the collar.Furthermore, a built-in safeguard prevents the collared individual from inflicting any harm upon their owner, ensuring the owner's safety and complete control over their bound subject.</t>
  </si>
  <si>
    <t>Brothel</t>
  </si>
  <si>
    <t>You are now the owner of a fully equipped Brothel, complete with a built-in filming studio designed for the production of adult videos featuring your slaves. This establishment comes stocked with a perpetual supply of necessary items Furthermore, the facilities are self-cleaning, ensuring that the aftermath of any sexual activity and filming sessions, including the cleanup of bodily fluids, is automatically handled.</t>
  </si>
  <si>
    <t>Brainwashing Machine</t>
  </si>
  <si>
    <t>You now have a specialized brainwashing device of demonic design, a fusion of organic and mechanical components housed within a containment pod. When a victim sleeps within this machine, their dreams can be manipulated. You can choose to rewrite their memories, implanting false narratives and altering their perceptions, or subject them to a series of intense sexual encounters. This device proves highly effective for "re-educating" recalcitrant prisoners and convincing them of the superiority of your cause.</t>
  </si>
  <si>
    <t>Cloning Facility</t>
  </si>
  <si>
    <t>You now possess a specialized facility dedicated to the creation of clones using genetic material you provide. While this facility operates on an earlier version of cloning technology, resulting in some diminishment of power in clones compared to their originals, it offers significant advantages. You have complete control over the memory imprinting process, able to transfer the original individual's memories or, at your discretion, create entirely new personalities within the cloned bodies.
Furthermore, all clones produced by this facility are inherently loyal to you, ensuring their obedience and willingness to serve your purposes. Additionally, these clones possess a heightened predisposition for success in any future augmentations or enhancements you may wish to implement.</t>
  </si>
  <si>
    <t>Hospital</t>
  </si>
  <si>
    <t>You are now the director of a hospital that, while appearing to provide affordable healthcare to the community, serves a far more covert and critical purpose.
Beneath the surface, this facility operates as a highly specialized base for two primary functions: awakening individuals with potential for both ninja arts and esoteric abilities, and creating formidable super soldiers through advanced augmentation techniques.
Additionally, the hospital is a key site for developing super soldiers through the infusion of demon DNA into their bodies. This process results in individuals with extraordinary abilities and enhancements, tailored to serve the Chinese Union's strategic needs. These super soldiers are subjected to extensive training and augmentation, ensuring they become some of the most powerful and loyal operatives available. All individuals undergoing these experimental procedures are guaranteed to be unwaveringly loyal to you, with no risk of rebellion or defection.</t>
  </si>
  <si>
    <t>Taima Particles</t>
  </si>
  <si>
    <t>Black Lilith: Taimanin</t>
  </si>
  <si>
    <t>As a Taimanin, your demonic blood grants you access to unique powers known in ancient times as "ki," but now referred to as Taima particles. These particles are the source of supernatural abilities for most of humanity in this world. Even an untrained human with access to Taima particles experiences a significant boost in physical attributes, allowing them to move faster, dodge bullets, and match the power of demons.
The true strength of Taima particles lies in their ability to counteract demonic powers. When facing demons, your abilities become even more formidable, as Taima particles enable you to easily slice through their bodies and neutralize their techniques. These particles weaken demons significantly, especially when your power level is close to or equal to theirs, giving you a distinct advantage in combat.</t>
  </si>
  <si>
    <t>Ninja Training</t>
  </si>
  <si>
    <t>As a Taimanin, it would indeed be strange if you hadn't mastered the basics of being a ninja. Your body has been honed to perfection in battle, granting you superhuman strength, graceful dexterity, and the ability to leap across buildings effortlessly, even without relying on Taima particles. In addition to your physical prowess, you’ve also received training in various practical skills, including wilderness survival, weapon crafting, first aid, and weapon mastery. Please choose one close-range weapon in which you excel; this weapon can now be infused with Taima particles as if it were second nature to you, enhancing its power and effectiveness in combat.</t>
  </si>
  <si>
    <t>Clone</t>
  </si>
  <si>
    <t>You are a clone of a specific Taimanin in this world, created through advanced scientific means. While you lack their memories and personality, your individuality remains entirely your own. As a result of your cloned lineage, you inherit their unique Taimanin ninja arts for free, along with any biological abilities tied to their body—though your powers will initially be slightly weaker than the original's at base. However, your physiology is highly adaptable, allowing you to freely manipulate your own age, growing or de-aging your body at will. Since your existence starts at "zero years old,".</t>
  </si>
  <si>
    <t>Fun Torture 101</t>
  </si>
  <si>
    <t>You've gained expertise in the dark art of torture, knowing how to inflict physical, mental, and sexual pain on others. With this perk, you're aware of various techniques to extract information, break a person's will, or simply cause suffering, including physical methods like beating, burning, and mutilation, as well as psychological manipulation, sensory deprivation, and emotional abuse, and you also understand how to use sexual violence as a means of torture, allowing you to wield significant power over others through fear, pain, and suffering.</t>
  </si>
  <si>
    <t>Mechanical Tentacles</t>
  </si>
  <si>
    <t>You now have 5 mechanical tentacles protruding from your back, specifically designed for the humiliation and exploitation of female Taimanin captives. These tentacles are equipped with aphrodisiacs and needles, allowing you to inject various substances into your victim's body, ranging from sensitivity-enhancing agents that increase their arousal and pleasure, to deadly poisons that can incapacitate or kill, giving you total control over their physical and emotional state, and enabling you to subject them to extreme humiliation and degradation.</t>
  </si>
  <si>
    <t>Addicted Pain</t>
  </si>
  <si>
    <t>Your ability to inflict pleasure through pain has reached an unparalleled level, making you the ultimate source of ecstasy for those who experience it. Whenever you cause a person to climax through your actions, their brain becomes rewired to crave your specific technique, rendering all other sources of pleasure dull and unfulfilling in comparison. This intense psychological dependence makes individuals increasingly likely to abandon their former allegiances and loyalties, instead choosing to serve you as their personal pet, eager to surrender to your every whim and submit to your will, as they become hopelessly addicted to the unique sensation of pain and pleasure that only you can provide.</t>
  </si>
  <si>
    <t>Casting While Sexing</t>
  </si>
  <si>
    <t>You've developed the unique ability to maintain concentration and control over your magical techniques even in the most intimate and distracting situations.
Normally, the pleasure and arousal associated with sex would disrupt your focus, making it difficult to sustain complex spells or techniques. However, with this perk, you can now effortlessly maintain your magical composure, even when engaged in passionate and physically demanding activities, allowing you to cast spells with precision and accuracy, regardless of the pleasure or distraction, and enabling you to combine your magical and physical pursuits in creative and powerful ways.</t>
  </si>
  <si>
    <t>Dark Gates</t>
  </si>
  <si>
    <t>After a year of intense rituals and preparations, involving numerous orgies and sexual encounters with demons, you have gained the ability to create permanent portals to Hell or other infernal realms. These portals, known as Dark Gates, are monumental rifts that rip open reality itself, unleashing the horrors that lurk beyond. The gates are etched with eldritch runes and layered with dark enchantments, ensuring their permanence and making them resistant to sealing by ordinary forces. Only an equivalent or greater power can hope to undo your handiwork and close the gates.
The opening of a Dark Gate is a catastrophic event, marked by a flood of demons surging forth to spread chaos and devastation upon the mortal world.
The demons do not emerge slowly, but instead pour forth in a tide of infernal fury, ravaging everything in their path. The presence of an active gate corrupts the surrounding land, twisting nature into something grotesque and warped, and altering reality to better suit the demonic forces spilling forth.</t>
  </si>
  <si>
    <t>Ninja Art: Sympathetic Reception</t>
  </si>
  <si>
    <t>This technique allows the user to dominate the will of others through communication, regardless of the method used (words, letters, eye contact, gestures, etc.). This powerful ability renders ordinary humans and demons unable to resist the user's influence. However, despite this power, the user is a reclusive individual with difficulty asserting themselves.</t>
  </si>
  <si>
    <t>Ninja Art: Dirty Invitation</t>
  </si>
  <si>
    <t>Requires body fluids of your target, at which point you can spray them with pheromones, marking them as a target. This influences people within a one-meter range to to molest the targeted individual. On top of that, you also has the ability to control the body of the person on top of it, but not their mind.</t>
  </si>
  <si>
    <t>Ninja Art: Lewd Blood Art</t>
  </si>
  <si>
    <t>When this technique is activated, the blood becomes infused with a potent pheromone that causes intense arousal in those who come into physical contact with it. The effect is amplified on women, causing them to become increasingly aroused and vulnerable to the user's commands. As they succumb to their desires, their minds clouded by lust, they lose control of themselves, eventually fainting from the overwhelming pleasure.</t>
  </si>
  <si>
    <t>Fire Art: Oil and Fire Art</t>
  </si>
  <si>
    <t>This technique grants the user complete control over oil, allowing them to manipulate its flow and ignite it at will. The user can transform oil into a tracking fuse, following a target, and can also coat themselves in oil to create a slippery surface that deflects blade attacks.</t>
  </si>
  <si>
    <t>Beast Art Transformation: Devil Fish</t>
  </si>
  <si>
    <t>With this unique Beast Art, you have gained the ability to partially or fully transform into an octopus-like creature. Your legs can shift into massive, muscular tentacles that extend up to 30 meters, granting you immense reach and versatility in combat. These tentacles possess incredible strength, allowing you to grapple, crush, or ensnare opponents with ease. Even if severed, they regenerate swiftly, ensuring your fighting capabilities remain intact. In full transformation, you adopt the adaptive traits of an octopus—enhanced flexibility, ink expulsion for escape, and even the ability to squeeze through impossibly tight spaces. Whether overwhelming foes with sheer force or vanishing into the shadows of the battlefield, this ability ensures you are as elusive as you are deadly.</t>
  </si>
  <si>
    <t>Ninja Art: Mind and Thought</t>
  </si>
  <si>
    <t>This technique is activated upon cutting an opponent with a blade. Instead of inflicting physical damage, it directly impacts the target's mental state, diminishing hostility and defiance. The effectiveness is directly correlated to the severity of the intended cut; a shallow cut will weaken resolve, while a potentially fatal wound would induce complete submission and unquestioning obedience.
This technique can also be used for non-lethal interrogation, allowing for the capture and questioning of enemies without causing physical harm. However, it is ineffective against targets with bodies composed of stone or metal.</t>
  </si>
  <si>
    <t>Water Art: Sticky Sweat</t>
  </si>
  <si>
    <t>Your mastery over water-based techniques has evolved into a peculiar yet highly versatile ability—Sticky Sweat. By controlling the viscosity and hardness of your own perspiration, you can use it in a wide range of applications. Whether clinging to walls and ceilings like an agile predator, reinforcing your body with a hardened protective layer, or even coating your weapons for enhanced grip and adhesion, this ability grants you both offensive and defensive versatility. Additionally, by adjusting friction, you can move silently across surfaces or create slippery hazards for opponents.</t>
  </si>
  <si>
    <t>Body Transformation Art: Carnal Techniques</t>
  </si>
  <si>
    <t>You can summon tentacles and attack with them. If they are cut, they will bleed on the victim and have a long-term effect. These tentacles cannot be seen by others and are able to be used for either erotic attacks or blunt hits. Additionally, it gives you the skill to talk to a person via telepathy. When all conditions of his art are met, it can create a prison of flesh. This thin, invisible layer combines with the skin of the victim. This cannot be undone unless the user wants it. A person in this state cannot move, talk, or use abilities and is kept alive by the nourishment of the Art, making death impossible. Also, while inside this skin, the user will be trained in the arts of sexual pleasure through the joy of crampies, force impregnation, and others.</t>
  </si>
  <si>
    <t>Ninja Art: Evil Eye - Mermaid's Sapphires Eyes</t>
  </si>
  <si>
    <t>You possess a terrifying and powerful ability, where your right eye, known as the Mermaid's Sapphires Eyes, can drain the life energy from anything you gaze upon. This dark power allows you to absorb the vitality of your targets, converting it into energy that you can use to fuel your own strength and abilities. However, this comes at a horrific cost, as the targets from which you drain life energy are said to undergo a grotesque transformation, mutating into monstrous creatures with fish-like features, such as a half-fish hybrid.
The true horror of your ability lies in its capacity to grow stronger in direct proportion to the number of wounds you sustain. The more injured you become, the more potent your Evil Eye becomes, allowing you to drain life energy with greater efficiency and speed.</t>
  </si>
  <si>
    <t>Ninja Art: Evil Eye- Attractive Eyes</t>
  </si>
  <si>
    <t>This implanted ability compels those who make eye contact with the user to obey their commands for a short period (approximately one minute). Simultaneously, it projects illusions tailored to the victim's deepest desires. The user lacks voluntary control over this power and constantly wears a mask to prevent accidental activation.</t>
  </si>
  <si>
    <t>Ninja Art: Evil Eye- Eye of the Baphomet</t>
  </si>
  <si>
    <t>This dangerous technique allows the user to manipulate the lust and desires of others through eye contact, effectively controlling their actions and emotions.
Furthermore, the user possesses the ability to perceive and interpret the chi flow—the life force—of those around them. This dual ability grants both offensive and tactical advantages, enabling the user to exploit weaknesses and predict opponents' movements.</t>
  </si>
  <si>
    <t>Body Transformation Art: Flesh Core Backflow</t>
  </si>
  <si>
    <t>You can manipulate your physical form to achieve unprecedented levels of versatility and deadliness. Your body becomes a fluid, ever-changing weapon, capable of squeezing into impossible spaces, adapting to any situation, and unleashing devastating attacks that leave your enemies drained and withered. A single kiss from you can leave a target bone-dry, their bodily fluids evaporating instantly, while physical contact can drain the life force from their very being, reducing them to a desiccated husk. Your ability to switch between male and female forms at will allows you to employ a wide range of carnal techniques, making you a formidable and unpredictable opponent in close combat.</t>
  </si>
  <si>
    <t>Ninja Art: Soul Seduction</t>
  </si>
  <si>
    <t>This technique, a combination of Soul Art and Carnal Techniques, manifests as a smoke-like substance capable of absorbing the life force and souls of living beings. This absorbed energy can then be transferred to others, allowing for rejuvenation and increased strength. The smoke also affects the mind, increasing lust without chemical means and creating illusions tailored to the victim's desires (e.g., carnal desires or food). A more advanced technique, Grand Authority Dream, allows the user to project fragments of a deceased person's soul onto another, granting the target some of their abilities and altering their appearance, but at a cost to the user's own strength. Inage is proficient enough in this art to teach basic, single-use applications to others.</t>
  </si>
  <si>
    <t>Taimanin Outfits</t>
  </si>
  <si>
    <t>You now have one outfit that screams it originated from a universe that uses hentai logic as its base. Even in a world where everything is much sillier, this outfit really fits, as everyone here is beyond stupid. So, if you want to wear skin-tight outfits with high heels but still be good in stealth missions, or prefer an outfit that only covers the bare minimum of your sexy body, that’s also fine</t>
  </si>
  <si>
    <t>You now have access to a wardrobe that embodies the essence of hentai logic, where outrageous and revealing outfits are not only accepted but also seemingly mandatory. This collection of skin-tight, barely-there ensembles is designed to showcase your curves and leave little to the imagination, making you a vision of sensuality and seduction even in the midst of chaos.
Each outfit is carefully crafted to accentuate your assets, with plunging necklines, high-cut hemlines, and daring cutouts that will leave onlookers agog with desire.
From bondage-inspired bodysuits to micro-miniskirts and stiletto heels that seem to defy gravity, every piece in this wardrobe is a masterpiece of erotic design.
Whether you prefer to don a maid's uniform with a ridiculously short skirt, a bunny girl costume with oversized breasts, or a dominatrix outfit complete with a whip and leather corset, this wardrobe has something to satisfy your every fetishistic fantasy. And with the ability to conjure a new outfit whenever the current one is destroyed or worn out, you'll never have to worry about running out of sexy, revealing, and downright scandalous clothing options.</t>
  </si>
  <si>
    <t>UFS Exosuit</t>
  </si>
  <si>
    <t>You now possess a cutting-edge exosuit, commonly utilized by the pseudo-traimanin of the UFS, which embodies the principles of hentai logic. This mechanical suit prioritizes amplifying your physical abilities and enhancing your sensual appeal, rather than providing comprehensive coverage. As a result, the exosuit leaves little to the imagination, showcasing your curves and contours in a dazzling display of erotic design. Despite its revealing nature, the exosuit grants you immense power, allowing you to effortlessly take down formidable foes, including adult dragons, with ease and finesse.
The UFS Exosuit also comes equipped with mechanical wings, enabling you to soar through the skies with incredible agility and precision. These wings not only grant you the freedom of flight but also amplify your combat capabilities, allowing you to execute complex aerial maneuvers and strike from unexpected angles.</t>
  </si>
  <si>
    <t>Weapon of Perversion</t>
  </si>
  <si>
    <t>The weapon manifests according to the user's preference, taking any form imaginable, from a traditional sword or whip to something more unconventional like a fan or even a seemingly innocuous piece of jewelry. Its primary function is the non-violent dismantling of any worn protection. Upon contact, the material of clothing and armor weakens and frays, losing its structural integrity until it simply falls away or disintegrates into dust.. Complementing this effect is a unique toxin that permeates the weapon's surface. Upon contact with skin, this poison is absorbed, triggering an intense and all-consuming sexual arousal in the victim.
The overwhelming desire for release can only be satisfied through direct manual stimulation by the users, leaving the affected individual utterly vulnerable and focused on this singular need.</t>
  </si>
  <si>
    <t>High End Brothel</t>
  </si>
  <si>
    <t>you command the keys to a luxurious establishment, a brothel of the highest caliber where pleasure and training intertwine seamlessly. Imagine opulent chambers adorned with the finest silks and decadent furnishings, catering to the most discerning clientele. Yet, beneath this veneer of sophisticated indulgence lies a hidden purpose: this is your personal academy for shaping those you've captured. Here, under your watchful eye, they will be molded and refined, their inhibitions stripped away, their desires redirected, and their bodies honed to become the perfect instruments of pleasure. Every encounter, every interaction within these walls serves as a lesson, guiding them down the path of willing servitude, transforming them into your devoted and highly skilled sex slaves. The atmosphere itself hums with a potent blend of sensuality and control, a testament to your masterful design</t>
  </si>
  <si>
    <t>Sex slave Factory</t>
  </si>
  <si>
    <t>Within the high walls of your newly acquired factory, a transformation unlike any other is set to unfold. This is not a place of mere labor, but a crucible where captured trainees will be meticulously reshaped into the epitome of willing sex slaves. The initial stage of this process focuses on an extreme amplification of their sensory perception. Through carefully calibrated methods, their erogenous zones will be heightened to an astonishing degree – a three-thousandfold increase in sensitivity, turning the slightest touch into an overwhelming sensation.
Following this intense recalibration, their physical conditioning begins. They will become accustomed to a state of near-nudity, their bodies gradually desensitized to the gaze and touch of men. This phase involves carefully controlled interactions, ensuring they become comfortable, and eventually compliant, with physical contact.
The final and perhaps most psychologically impactful stage involves the use of advanced virtual reality technology. Within immersive simulations, their minds will be exposed to scenarios designed to cultivate a submissive and uninhibited mindset. Fantasies of forced sexual encounters with various entities – men, beasts, and demons – will be presented in vivid detail, carefully crafted to erode any remaining resistance and instill a deep-seated acceptance of their role.
Throughout these VR experiences, a delicate balance will be maintained; while their minds are being shaped towards sexual servitude, their physical bodies will remain untouched by anyone other than you, preserving a unique duality of a corrupted mind within a pure vessel, ready for your exclusive use.</t>
  </si>
  <si>
    <t>Homunculus Servant</t>
  </si>
  <si>
    <t>You now possess a fully functional homunculus servant, a magically crafted being designed to assist you in any task you desire. Unlike mindless golems, this homunculus has intelligence, adaptability, and even a personality, allowing it to learn, strategize, and follow complex orders. Whether you need a combat companion, a research assistant, or just someone to hold your snacks, your homunculus has you covered. It requires minimal maintenance, thanks to an internal alchemical core that sustains it indefinitely—though you might need to occasionally feed it rare magical ingredients if you want it to evolve or gain new abilities.</t>
  </si>
  <si>
    <t>Sentient Weapon</t>
  </si>
  <si>
    <t>In your hands lies a legendary sentient weapon, a masterpiece of magical craftsmanship whose power rivals that of the ancient holy swords once wielded by the greatest warriors of old. Originally forged by the UFS, this weapon is one of the most powerful ever created, its very presence exuding an aura of raw magical energy and undeniable authority. Unlike ordinary weapons, it possesses a fully developed personality, capable of speaking, strategizing, and even forming bonds with its wielder. Whether it acts as a wise mentor, a loyal companion, or a snarky battle partner is entirely up to fate—or your own influence over time. The weapon will always prioritize your well-being, though it may not hesitate to lecture you if it thinks you’re being reckless.
Beyond its physical power, this weapon is a true friend to magicians, making any spells cast while wielding it significantly harder to counter or dispel. It can amplify your magic, refine your spellcasting precision, and even provide real-time battle analysis to help you optimize your techniques. Also it has uts own humanoid from should you need it for some reason.</t>
  </si>
  <si>
    <t>Taimanin Clan</t>
  </si>
  <si>
    <t>You are now the leader of a medium-sized clan of Taimanin, commanding a formidable force. Your clan includes 20 fully awakened Taimanin ninjas, each possessing medium-level strength, capable of handling demons below the noble class with ease. Additionally, you have 100 ninjas who have awakened their ninja arts, suited for more mundane tasks such as transportation and reconnaissance.
As the leader, you have the authority to shape the composition of your clan members to suit your strategic needs. This includes deciding on their gender, body type, and even the design of their Taimanin uniforms. You can customize their appearance and gear to align with your vision for the clan, ensuring they are both effective and cohesive in their roles.</t>
  </si>
  <si>
    <t>Onmyoji Techniques</t>
  </si>
  <si>
    <t>Black
Lilith: Onmyouji</t>
  </si>
  <si>
    <t>You have now acquired the ability to cast magical formulas or Jutsu-shiki using a catalyst card. This approach typically requires more preparation time before a fight, making it less suitable for immediate combat situations. However, the benefit of this preparation is the ability to create large-scale spells more easily than with traditional Taimanin techniques. Additionally, you have mastered one of the five schools of Onmyoji, which provides you with specialized techniques detailed in the Onmyoji Techniques section.</t>
  </si>
  <si>
    <t>Spiritual Energy</t>
  </si>
  <si>
    <t>Spiritual Energy is a distinct form of energy used to combat supernatural beings.
Unlike Demonic Magic or Taima particles, it is neither demonic nor particle-based. It enhances physical abilities slightly through concentration, grants skills to fight demons, and allows one to perceive and track spiritual energy from living things and its flow in space. Spiritual Energy has clear connections to spirits and gods. Unlike demonic magic, which requires demonic cells or miasma and carries the risk of demonization, Spiritual Energy does not have strong negative health effects and is more accessible for humans to use. Its also key for you to use Onmyouji Abilities and increase your ability to heal and create barriers.</t>
  </si>
  <si>
    <t>Original Spell Creator</t>
  </si>
  <si>
    <t>You now possess the rare ability to create entirely new spells within the framework of the magic you have learned. While you have yet to develop your own distinct branch of magic, you can still experiment and innovate, pushing the boundaries of existing magical theories. Your spells, crafted from your deep understanding of magic, can be tailored for combat, utility, or even rituals that no one else has ever conceived. With time and research, your creations may redefine the nature of magic itself.</t>
  </si>
  <si>
    <t>Artificial Soul Creator</t>
  </si>
  <si>
    <t>Your mastery of magic extends beyond casting spells—you now have the power to create artificial beings with unparalleled intelligence, adaptability, and autonomy. Whether constructing mighty golems for battle, crafting homunculi to assist with menial tasks, or forging magical constructs with specialized functions, your creations are far more than simple automatons. They can execute complex commands, adjust to unforeseen circumstances, and even develop unique personalities based on their design. Infused with your magic, they serve as effective extensions of your will, providing unmatched assistance in combat, protection, or daily life.
What truly sets your creations apart, however, is your ability to craft artificial souls—entities born from nothing yet infused with immense power. These souls are completely incorruptible, immune to mind control, spiritual possession, or manipulation of any kind. Any vessel or construct imbued with one of your artificial souls will possess absolute loyalty to you, following your commands with unwavering dedication. Unlike ordinary spirits, these souls ensure that their hosts retain perfect obedience while still maintaining intelligence and the ability to act independently within the bounds of their given purpose. With this power, you can create companions, guardians, or warriors who will stand by your side without question, making them the ultimate extensions of your will.</t>
  </si>
  <si>
    <t>With a year of rituals and preparations the boundary between worlds crumble before your might. You now possess the terrifying power to create permanent portals to Hell or other infernal realms, ripping open reality itself to unleash the horrors that lurk beyond. These gates are not mere fractures in space but monumental rifts, etched with eldritch runes and layered with dark enchantments to ensure their permanence. No ordinary force can seal them once they are established—only an equivalent or greater power could hope to undo your handiwork.
The opening of a Dark Gate is not a subtle affair. With each rift you carve into existence, a flood of demons surges forth, eager to spread chaos and devastation upon the mortal world. These fiends do not merely trickle out—they pour forth in a tide of infernal fury, ravaging all in their path. The mere presence of an active gate taints the land around it, twisting nature into something grotesque and corrupted, warping reality to better suit the demonic forces spilling forth.
But you are no mere conduit—you are the architect of these rifts, able to designate their locations, control the flow of demons, and even implement safeguards to ensure only those of your choosing may pass through unharmed.
Whether you seek to command an army of Hell’s finest or simply watch the world drown in its own terror, these gates grant you the ultimate power over infernal invasion. The heavens may tremble, exorcists may rally, and humanity may resist, but it will all be in vain—for once the gates are open, they will never close again.</t>
  </si>
  <si>
    <t>Seal Unlocking</t>
  </si>
  <si>
    <t>This ability enables the user to bypass both magical and non-magical locks and barriers with ease. Whether it's breaking through ancient sealing spells or picking physical locks, nothing is truly secure against their touch. Additionally, this power extends to unlocking the metaphysical "seals" within people's hearts, allowing the user to manipulate suppressed emotions, memories, or even hidden powers—though the effects of this are unpredictable.</t>
  </si>
  <si>
    <t>Spirit of Words</t>
  </si>
  <si>
    <t>A powerful reality-altering ability that grants strength to spoken words. By strongly believing in a statement, the user can alter the nature or state of an object or entity. For example, declaring "This door is unlocked" could force a locked door open, or stating "This sword cuts through steel" could enhance a blade’s cutting power. However, the effectiveness is limited by the user's subconscious beliefs—if they deeply associate a concept with a certain truth, they cannot override it. This prevents contradictions such as "This vampire does not drink blood" from working.</t>
  </si>
  <si>
    <t>Drinking Dream</t>
  </si>
  <si>
    <t>When the target breathes in the user's smoke, they are trapped in an illusion tailored to their deepest desires. Whether it be indulgence in carnal pleasure, the fulfillment of long-lost dreams, or the sensation of an irresistible feast, the illusion manipulates their senses, making it difficult to break free. The more they desire what they see, the stronger the illusion becomes, making it a powerful tool for deception and control.</t>
  </si>
  <si>
    <t>Onmyouji Gear</t>
  </si>
  <si>
    <t>You now possess a comprehensive set of items commonly associated with Onmyouji practitioners. Among these is the Ofuda , a talisman inscribed with prayers or spells, crucial for protection and ensuring good fortune. These amulets are versatile: they can be placed on doors to ward off evil spirits, carried on the person for personal protection, or used in various rituals to repel malevolent forces. Another essential item is the Kagura Suzu, a ritual bell used in Shinto ceremonies. This bell helps drive away evil spirits, purify spaces, and invoke divine presence, making it a key tool in maintaining spiritual cleanliness and focus.
Additionally, you have the Onmyouji Staff, a staff or walking stick often inscribed with protective charms and symbols. This staff serves multiple purposes: it focuses magical energy, represents authority, and provides physical defense.
The Ritual Paper is specially prepared for ceremonies, used to write prayers, create talismans, or perform rituals, and plays a significant role in divination and spiritual communication. The Inuhariko , a small charm typically shaped like a dog, is used to protect children and homes from illness and harm. Finally, the Yin-Yang Mirror , engraved with Yin and Yang symbols, helps to reflect and dispel evil spirits and energies, providing an additional layer of protection. Together, these items equip you with a robust toolkit for various spiritual and protective practices.</t>
  </si>
  <si>
    <t>Blank Weapon</t>
  </si>
  <si>
    <t>You now possess a stockpile of unshaped weapons—empty vessels waiting to be filled with power. By channeling your spiritual energy into one of these weapons for at least a week, it will permanently take on the properties, abilities, and appearance based on the energy you infused. Whether you wish to create a blade that burns with holy flames, a spear that phases through armor, or a bow that fires arrows of pure light, the possibilities are limitless. However, the stronger the ability you wish to impart, the longer the infusion process will take. Truly formidable enchantments may require months of dedication before the weapon is permanently transformed.
These weapons are not only bound to you but can also be freely given to others. If another person pours their own spiritual energy into the weapon, they can attune it to themselves, binding it as if it were their own. This makes them invaluable tools for equipping allies, training apprentices, or arming entire squads of exorcists with weapons tailored to their unique powers.</t>
  </si>
  <si>
    <t>Witch Clothing</t>
  </si>
  <si>
    <t>This specialized attire is reserved for full-fledged witches, crafted from enchanted fabric that seamlessly blends style with potent magical enhancement. Available in any color of your choosing, the outfit is form-fitting, designed to cling to your body like a second skin while remaining 90% transparent. Only the most sensitive areas remain fully covered, preserving just enough modesty while maximizing magical efficiency. While its revealing nature may raise eyebrows, the truth behind its design lies in its powerful properties—this enchanted material accelerates mana absorption from the surrounding environment, significantly reducing spell-casting time and amplifying the potency of your magic.
By wearing this attire, you become a living conduit for magic, allowing energy to flow into you with unparalleled ease. Spells that would normally require extended preparation can be cast in an instant, and the force behind your magic is intensified beyond natural limits. The fabric is also self-repairing and resistant to most forms of damage, ensuring that you are never left vulnerable in the heat of battle. For a witch who values both power and efficiency, this outfit is more than mere clothing—it is an essential tool for unleashing your full potential.</t>
  </si>
  <si>
    <t xml:space="preserve">Seeds of the Underworld </t>
  </si>
  <si>
    <t>These rare and potent seeds hail from the deepest reaches of the underworld, carrying within them the power to create an unparalleled enhancement drug.
When properly cultivated, the resulting fruit grants a dramatic boost to physical and spiritual abilities upon consumption. Simply boiling the fruit and drinking its juices will allow you to temporarily surpass your limits, increasing strength, speed, and magical output. However, this enhancement comes with an unfortunate side effect—once the benefits wear off, the user experiences an intense surge of lust, making it an unreliable option in prolonged combat or disciplined environments. The plant grows at an exceptional rate, maturing within 60 days, with fruits ready for harvest every three days. A dangerous but tempting tool for those willing to endure the consequences.</t>
  </si>
  <si>
    <t>Crotch Tattoo</t>
  </si>
  <si>
    <t>You now have a collection of tattoos, and when you apply these to the skin of a female, specifically above the womb. When activated by you, this tattoo can induce an intense heat sensation, causing the individual to lose control of their thoughts and actions. The affected person will become consumed by their primal desires, begging to fulfill them. Additionally, the victim will remember the humiliation they feel as a result of your actions. This ability seems designed to grant significant control over the affected individual, allowing you to manipulate their desires and actions while also leaving a lasting emotional impression.</t>
  </si>
  <si>
    <t>Demon Lord Egg</t>
  </si>
  <si>
    <t>You now possess a mysterious and powerful artifact known as the Demon Lord Egg. This egg contains the dormant essence of a yet-to-be-born Demon Lord, a being of immense power and potential. The egg is highly reactive to spiritual energy, gradually developing based on the energies it absorbs from its surroundings. Depending on how it is nurtured, the Demon Lord within may grow into a being of destruction, an obedient servant, or something entirely unpredictable. While it remains in its dormant state, the egg passively enhances the magical energy of those near it, making spells cast in its presence stronger and more potent. However, this effect comes with the risk of the entity inside awakening prematurely if too much power is fed into it.
Once the egg hatches, the Demon Lord that emerges will possess an affinity shaped by the spiritual forces that influenced its growth. If raised by a powerful Onmyouji, it could develop an unusual loyalty to its caretaker, possibly even forming a pact. However, if left unchecked, it may break free from any control, becoming a dangerous force that threatens humanity. The process of hatching is irreversible, and the consequences of its birth will depend entirely on how it was cultivated.</t>
  </si>
  <si>
    <t>Lewd Detection</t>
  </si>
  <si>
    <t>Black Lilith: Demons</t>
  </si>
  <si>
    <t>This ability allows you to sense the emotions of others, particularly when it comes to love and lust. When someone around you feels either of these emotions, you can instinctively detect it, as if their feelings radiate through the air, making their desires or affection palpable to you. However, this power does not grant you the ability to influence or manipulate these emotions.</t>
  </si>
  <si>
    <t>[Can be bought multiple times]
This ability allows you to generate tentacles from any part of your body. Initially, you can create 10 tentacles at will, each possessing incredible strength and flexibility. These tentacles can be used for a variety of purposes—whether for combat, grabbing, restraining, or performing delicate tasks. With each additional purchase of this ability, the number of tentacles you can generate increases by 10 more, giving you even greater versatility in how you use them.</t>
  </si>
  <si>
    <t>Bloody Soap</t>
  </si>
  <si>
    <t>Summon eerie crimson bubbles formed from a mixture of your own blood and alchemical concoctions. These bubbles carry a potent aphrodisiac effect, ensnaring the minds of those they touch, leaving them dazed and susceptible.
While you are mostly immune to their influence, you can instantly transform the bubbles into a corrosive acid, making them a dual-purpose weapon for both manipulation and destruction.</t>
  </si>
  <si>
    <t>Magical Transformation</t>
  </si>
  <si>
    <t>Black Lilith: Magical Girl Special Hour</t>
  </si>
  <si>
    <t>As a magical girl centered universe , you now possess a stunning transformation scene where radiant light envelops you, accompanied by a captivating theme song playing in the background. During this transformation, your clothes and hair undergo a dramatic change, allowing you to choose any style and accessories you desire. Rest assured, no matter how elaborate or impractical your chosen attire may be, it will never impede your ability to engage in battle, ensuring both style and functionality as you harness your magical powers.
In this world, the attire of magical girls often aligns with what would be typical in a hentai-inspired setting. You may choose to wear a super-tight skin suit that showcases your entire figure or an outfit with minimal coverage that just barely conceals sensitive and private areas.
In addition to the aesthetic transformation, your body undergoes significant enhancements, achieving peak human levels of strength, agility, and speed.
You've also gained an identity-jamming ability, which helps protect your secret identity while transformed. This ability scrambles any attempts to identify you while you're in your magical form, ensuring that your true identity remains concealed from prying eyes.</t>
  </si>
  <si>
    <t>As a magical girl, your power originates from your own internal mana pool, setting you apart from those who rely on external sources or artifacts. This intrinsic connection to your mana aligns you more closely with witches and magicians, granting you a unique edge in combat. Your offensive magical abilities are significantly amplified, allowing your spells to hit harder, burn brighter, and devastate more thoroughly than those of your peers.</t>
  </si>
  <si>
    <t>Condensed Muscle Mass</t>
  </si>
  <si>
    <t>Though you appear petite and delicate, your body hides incredible strength. Your muscles have been artificially condensed and enhanced, giving you four times the strength of a normal human. Every motion, whether a punch or a simple lift, carries immense power. You can break through solid walls, lift heavy objects effortlessly, and overpower enemies with brute force alone. Despite your appearance, you are a war machine designed for combat.
This dense muscle mass does not hinder your agility or flexibility. Instead, it grants you unparalleled durability and resilience. You can withstand powerful blows that would incapacitate others and recover swiftly from physical damage.
Your deceptively small frame makes you an unpredictable and formidable opponent, catching enemies off guard with your overwhelming strength.</t>
  </si>
  <si>
    <t>Red Thread of Fate</t>
  </si>
  <si>
    <t>Fate has a curious way of bringing the right people into your life. You now have an innate ability to meet individuals who are highly compatible with you as potential romantic partners. These people will always fall within your preferences and strike zone, making relationships more natural and meaningful.
Additionally, you excel at initial interactions with these individuals, making you confident and effective at flirting and building connections. Whether it’s a charming compliment or a witty remark, your approach will leave a lasting impression.</t>
  </si>
  <si>
    <t>Being a Good Girlfriend</t>
  </si>
  <si>
    <t>You possess a natural understanding of how to nurture and sustain a romantic relationship. You are skilled at balancing emotional support, communication, and affection, ensuring that your relationships are healthy and long-lasting.
Your ability to make thoughtful gestures, resolve conflicts effectively, and remain attentive to your partner’s needs ensures that your bond deepens over time.
Whether it’s planning a memorable date or simply being there during tough times, you know exactly how to make your partner feel valued and cherished.</t>
  </si>
  <si>
    <t>Essence Collector</t>
  </si>
  <si>
    <t>Your victories over demons and monsters no longer yield only tangible spoils but also fragments of their very essence—their souls. These fragments, shimmering with latent energy, hold profound potential. By collecting these remnants, you can channel their power to enhance your own capabilities, making you stronger, faster, or more resilient. Beyond physical improvements, these fragments grant access to unique skills tied to the nature of the creatures they came from. For example, defeating a fire-breathing demon might unlock the ability to wield flames, while a shadowy monster’s essence could grant powers of stealth or darkness. The strength of the fragment determines the depth of the ability unlocked, turning every battle into an opportunity for unparalleled growth.
The utility of this power doesn’t stop with personal enhancement. These fragments are a treasure trove for crafting and upgrading magical tools, armor, and weapons. When infused into items, the fragments imbue them with the characteristics of the creatures they came from, creating gear tailored to your needs or granting completely new functionalities. Whether used to forge a weapon that channels lightning or a charm that shields against poison, the fragments serve as a bridge between the battlefield and the forge, rewarding ingenuity and perseverance.</t>
  </si>
  <si>
    <t>Spirit Fusion</t>
  </si>
  <si>
    <t>You have the unique ability to merge your soul with another individual’s, fusing your abilities, memories, and experiences into a single entity. This fusion can be performed once per jump, creating a powerful new version of yourself that retains both your own strengths and those of the fused individual. This union grants access to their skills, talents, and even habits, effectively doubling your potential.
The fusion can be temporary or permanent, depending on your choice. At the end of the jump, you may choose to defuse, returning to your original form and preserving the memories and abilities gained. If permanent, the fusion creates a new identity, blending both psyches into a cohesive whole. This ability not only amplifies your power but also opens unique opportunities for collaboration and growth.</t>
  </si>
  <si>
    <t>Yuri is Justice</t>
  </si>
  <si>
    <t>Your belief in love and connection as a force of justice grants you unique strength. You fight not just for yourself but for the bonds you share with others, channeling those emotions into your actions. This conviction empowers you to overcome even the most dire situations, as your love fuels your determination and abilities.
This power also resonates with those around you, breaking down barriers and fostering unity. It transforms your ideals into tangible results, proving that compassion and connection are as vital to justice as strength and strategy. Yuri is Justice is more than a mantra—it’s a way of life that uplifts everyone you encounter.</t>
  </si>
  <si>
    <t>Vessel of the Goddess</t>
  </si>
  <si>
    <t>You have been imbued with the divine essence of a goddess, elevating your soul and magic to a state of newborn divinity. As a nascent demigod, your goddess powers have yet to fully manifest, but their potential shimmers on the horizon.
For now, this divine transformation grants you eternal youth, halting your aging and preserving you in your prime forever.
This newfound divinity enhances all your existing abilities by unimaginable magnitudes, empowering you to surpass your former limitations effortlessly.
Furthermore, as a Vessel of the Goddess, you possess the extraordinary ability to create magical girls. You can bestow upon them powers from your arsenal, modifying and tailoring their abilities to suit their strengths and goals. Through your guidance, they carry a spark of your divinity, becoming formidable forces for good (or your chosen cause) in the world.</t>
  </si>
  <si>
    <t>Dark Magical Girl</t>
  </si>
  <si>
    <t>You gain a transformation ability akin to magical girls, but with a darker, more seductive twist. Your transformation sequence is highly stylized, incorporating lewd or provocative elements that emphasize your allure and mystique. The resulting form exudes dark beauty and power, with an outfit and abilities reflecting your tainted nature.
This transformation not only enhances your physical and magical capabilities with negative emotions of your choice. but also amplifies your presence, drawing attention and admiration even from enemies. While this form showcases your dark elegance, it also serves as a reminder of the corrupted strength that lies within.</t>
  </si>
  <si>
    <t>You emit a subtle, pervasive aura that slowly erodes the morals and resolve of those around you. This aura doesn’t require conscious activation—it constantly surrounds you, subtly influencing others' thoughts and emotions. Over time, those exposed to your presence may find themselves more inclined toward selfishness, temptation, or darker desires, potentially leading to alliances or actions in your favor.
In worlds with NSFW themes, this aura becomes even more insidious, amplifying indulgent thoughts and desires. The longer someone remains within its radius, the more susceptible they become to your influence, making it an invaluable tool for manipulating allies, subduing enemies, or simply gaining the upper hand in social situations.</t>
  </si>
  <si>
    <t>Minimize Strikes</t>
  </si>
  <si>
    <t>Your precision in battle is unmatched. You’ve mastered the art of dealing devastating damage with minimal effort, striking in ways that maximize impact while conserving energy. Whether with a weapon, magic, or bare hands, your attacks are calculated and efficient, targeting weak points with surgical accuracy.
In NSFW universes, this perk allows you to take full advantage of your enemies’ vulnerabilities, both physical and psychological. You can effectively exploit sensitive areas to render opponents incapacitated or demoralized, granting you a strategic edge in battles or negotiations.</t>
  </si>
  <si>
    <t>Weakness Exploits</t>
  </si>
  <si>
    <t>You have an innate talent for identifying and capitalizing on an enemy’s weaknesses. This extends beyond physical vulnerabilities, allowing you to exploit psychological, magical, or emotional flaws with devastating efficiency. Your attacks are particularly devastating against creatures with elemental or specific defenses, as you instinctively bypass their strengths to hit where it hurts most.
In NSFW scenarios, this ability sharpens your instincts to detect sensitive or compromised areas, allowing you to use them to your advantage. It ensures that no enemy can fully shield themselves from your influence, whether in battle or social interactions.</t>
  </si>
  <si>
    <t>Minions Create</t>
  </si>
  <si>
    <t>You have the power to create loyal minions from scratch. These minions can range from simple servants to powerful combatants, depending on your needs and the resources you invest. They are completely obedient and capable of carrying out complex tasks, making them invaluable for combat, reconnaissance, or manual labor.
Your creations can also be tailored to suit specific environments or missions, giving you unparalleled versatility. Whether you need stealthy spies, hulking brutes, or skilled artisans, your ability to generate a personal army is a cornerstone of your dominance.</t>
  </si>
  <si>
    <t>To Make Them Fall</t>
  </si>
  <si>
    <t>Your charisma and influence are potent weapons, capable of breaking even the strongest wills. Through words, actions, or presence, you can push people to betray their beliefs, allies, or moral compasses. Whether it’s persuading a righteous hero to commit questionable acts or turning enemies into allies, your talent for temptation is extraordinary.
In NSFW universes, this skill becomes even more effective, allowing you to subtly unravel emotional defenses and exploit hidden desires. Few can resist the allure of your promises, making you a master manipulator both on and off the battlefield.</t>
  </si>
  <si>
    <t>Elemental Lord</t>
  </si>
  <si>
    <t>You have become a master of one elemental force—fire, water, earth, or air. This mastery goes beyond mere control; you are an avatar of your chosen element, capable of summoning and wielding it with unparalleled power. Natural disasters of your element are yours to command, and your affinity with it grants you immunity to its effects.
Your elemental prowess also enhances your presence in NSFW universes, allowing you to use your chosen force for subtle influences, such as creating intoxicating environments or overwhelming displays of power. This position cements you as a force of nature, feared and revered in equal measure.</t>
  </si>
  <si>
    <t>Daemon Lord</t>
  </si>
  <si>
    <t>As a Daemon Lord, you stand at the apex of infernal power. You have dominion over vast realms of demonic influence, with legions of followers and resources at your disposal. Your power transcends the physical, granting you mastery over curses, dark magic, and even manipulation of mortal souls.
Your influence extends far and wide, allowing you to reshape the world around you in your image. Whether through brute strength, cunning, or supernatural charm, your rule is absolute. In NSFW universes, this position amplifies your presence as a figure of both allure and terror, capable of bending anyone to your will.</t>
  </si>
  <si>
    <t>Magical Girl Theme: Spring</t>
  </si>
  <si>
    <t>Your theme is inspired by the rejuvenating and vibrant season of spring. Your transformation outfit reflects a nature-infused aesthetic, adorned with blossoming flowers, vines, and pastel hues. This theme grants you powers associated with growth, renewal, and vitality. You can summon plant-based magic to entangle foes, shield allies, or restore energy and health to your companions. Your presence has a calming, uplifting effect on those around you, and your magic thrives in areas rich with natural life.</t>
  </si>
  <si>
    <t>Magical Girl Theme: Summer</t>
  </si>
  <si>
    <t>The hot, lively summer season inspires your theme, and your transformation outfit resembles a stylish and revealing swimsuit, embracing the summer aesthetic. This theme offers unparalleled advantages in aquatic environments.
Your swimming capabilities are enhanced to extraordinary levels, allowing for swift, agile, and graceful movements in water. You can also breathe underwater, making you equally effective in oceanic battles or missions. Additionally, your powers harness the heat and energy of summer, enabling you to generate scorching attacks or dazzling sunlight-based magic.</t>
  </si>
  <si>
    <t>Magical Girl Theme: Fall</t>
  </si>
  <si>
    <t>Autumn's golden and earthy tones define your theme, and your transformation outfit takes on a rustic, cozy design, reflecting the season's warmth and decay.
Your powers center around balance and change, allowing you to manipulate winds and leaves with precision. You excel in creating illusions and disorienting your enemies, using the shifting nature of fall to your advantage. Your abilities also have a subtle draining effect, sapping energy from your foes while revitalizing yourself and your allies. In battle, you are as graceful and relentless as a falling leaf in the wind.</t>
  </si>
  <si>
    <t>Magical Girl Theme: Winter</t>
  </si>
  <si>
    <t>Your theme captures the icy beauty of winter, and your transformation outfit incorporates a frost-laden design, with shimmering snowflake patterns and an ethereal white and blue color palette. Your powers revolve around cold and ice, giving you mastery over freezing attacks and defensive barriers. You can create icy terrain to hinder enemies or enhance your speed and mobility. Additionally, your magic has a numbing effect, slowing and weakening opponents. Despite your icy motif, your presence exudes a calm, soothing aura, much like the quiet of a snow-covered landscape.</t>
  </si>
  <si>
    <t>Magical Girl Theme: Chinese Warrior</t>
  </si>
  <si>
    <t>Inspired by the grace and discipline of Chinese martial arts, your transformation outfit resembles a traditional Chinese qipao or combat-ready attire with elegant designs. This theme enhances your sense of balance and precision, making you a master of hand-to-hand combat and fluid movements. Your powers emphasize agility and striking power, allowing you to perform rapid, precise attacks that overwhelm your enemies. You also gain the ability to channel energy into your strikes, infusing them with magic for extra impact.</t>
  </si>
  <si>
    <t>Magical Girl Theme: Arabian Nights</t>
  </si>
  <si>
    <t>This theme draws from the mystique and allure of Arabian culture, and your transformation outfit resembles a glamorous and flowing belly dancer's attire.
Your powers are deeply tied to dance, granting you unparalleled grace and fluidity in motion. You can use your movements to cast spells, confuse enemies, or manipulate the environment around you. Your dances are infused with hypnotic magic, capable of entrancing foes or inspiring allies. Additionally, you excel in creating dazzling illusions and summoning swirling sands to disorient or entrap opponents.</t>
  </si>
  <si>
    <t>Magical Girl Theme: Idol</t>
  </si>
  <si>
    <t>As a magical idol, your transformation outfit is designed with a show-stopping flair, complete with glitter, sequins, and a microphone accessory. Your powers revolve around your voice, allowing you to sing spells that inspire your allies or demoralize your enemies. Your singing can heal, energize, or protect those on your side while inflicting disarray on opponents. Beyond combat, your charm and presence captivate audiences, making you a beacon of hope and motivation for all who witness your magical performances.</t>
  </si>
  <si>
    <t>Magical Girl Theme: Valkyrie</t>
  </si>
  <si>
    <t>Your theme is inspired by the legendary warrior maidens of Norse mythology.
Your transformation outfit includes majestic armor adorned with intricate designs and winged motifs, balancing beauty and functionality. This theme grants you exceptional strength and durability, making you a formidable melee combatant.
You wield weapons like spears or swords with unparalleled skill, and your powers allow you to summon divine energy to enhance your strikes or shield allies. As a Valkyrie, you embody courage and honor, standing as a stalwart protector in the face of danger.</t>
  </si>
  <si>
    <t>Magical Girl Theme: Samurai</t>
  </si>
  <si>
    <t>Your transformation embodies the spirit of the ancient samurai, with an outfit inspired by traditional armor and kimono designs. This theme enhances your discipline and mastery of melee combat, particularly with bladed weapons such as katanas. Your abilities emphasize precision, speed, and focus, allowing you to strike down enemies with elegant, decisive blows. You can also channel your magical energy into your weapon, delivering devastating attacks or creating protective barriers. Your unwavering resolve makes you a fearless and dependable ally in battle.</t>
  </si>
  <si>
    <t>Magical Girl Theme: Ninja</t>
  </si>
  <si>
    <t>Your theme embodies the stealth and agility of the taimanin, and your transformation outfit reflects a sleek, tactical design inspired by traditional taimanin garb. This theme enhances your speed, reflexes, and stealth, allowing you to move unseen and strike with precision. Your powers include the ability to create illusions, manipulate shadows, and use a variety of magical tools like explosive seals or smoke bombs. In combat, you excel at swift, calculated attacks, disabling enemies before they even realize you’re there. Your mastery of subterfuge and cunning makes you an invaluable asset in any mission requiring precision and finesse.</t>
  </si>
  <si>
    <t>Magical Girl Theme: Barbarian</t>
  </si>
  <si>
    <t>Your transformation captures the raw power and rugged strength of a fierce warrior from untamed lands. Your outfit is primal yet stylish, incorporating elements like furs, leather, and tribal designs. This theme focuses on brute strength and relentless combat prowess, granting you the ability to overpower foes with sheer force. You excel in close-range combat, wielding massive weapons or fighting barehanded with devastating impact. Your abilities also include a berserker mode that temporarily amplifies your strength and durability at the cost of some finesse. As a Barbarian, you are a force of nature, unyielding and unstoppable in battle.</t>
  </si>
  <si>
    <t>Magical Girl Theme: Paladin</t>
  </si>
  <si>
    <t>As a magical girl with a Paladin theme, your transformation outfit resembles holy armor, blending beauty with divine authority. This theme grants you exceptional defensive capabilities and light-based magic to smite evil. You excel in protecting allies, creating barriers, and dispelling curses or dark magic. Your faith imbues you with resilience and determination, allowing you to stand firm against overwhelming odds. Your powers also include the ability to heal and inspire those around you, embodying the ideals of justice and righteousness.</t>
  </si>
  <si>
    <t>Magical Girl Theme: Valentine</t>
  </si>
  <si>
    <t>This romantic theme transforms your outfit into a heart-themed ensemble, filled with reds, pinks, and charming motifs. Your powers revolve around emotions, particularly love and affection, allowing you to create bonds that strengthen your allies or weaken your enemies. You can inspire loyalty, mend relationships, or manipulate feelings to turn the tide of battle. Your magic also includes heart-shaped energy blasts or barriers, making you as formidable as you are endearing.</t>
  </si>
  <si>
    <t>Magical Girl Theme: Christmas</t>
  </si>
  <si>
    <t>Your magical girl transformation captures the festive spirit of Christmas, with an outfit inspired by holiday cheer, snow, and warmth. Your powers focus on spreading joy and goodwill while providing defensive and restorative support to your allies. You can summon snowstorms to hinder enemies or gifts that contain healing items or magical surprises. Your cheerful presence uplifts everyone around you, making you a beacon of hope and unity in even the darkest moments.</t>
  </si>
  <si>
    <t>Magical Girl Theme: Advanced Tech</t>
  </si>
  <si>
    <t>Your powers draw from cutting-edge technology, and your transformation outfit resembles a sleek, futuristic suit equipped with metal tentacles or other mechanical enhancements. This theme makes you a versatile and adaptable combatant, capable of mastering various forms of technology-based magic. You can summon drones, project energy shields, or unleash high-tech weaponry to dominate your enemies. As a jack-of-all-trades, you excel in both offense and defense, making you a valuable asset in any situation.</t>
  </si>
  <si>
    <t>Magical Girl Theme: Flowers</t>
  </si>
  <si>
    <t>Your floral theme is reflected in a sophisticated and elegant outfit, adorned with intricate flower designs. This theme emphasizes healing and restoration, making you a powerful support figure. You can mend wounds, rejuvenate allies, and even restore damaged environments with your magic. Your abilities also allow you to summon vines or blossoms to protect and empower your team. In battle, your connection to nature makes you a calming yet formidable presence.</t>
  </si>
  <si>
    <t>Magical Girl Theme: Sweets</t>
  </si>
  <si>
    <t>This playful theme transforms your outfit into a confection-inspired design, featuring candy, frosting, and minimal clothing for a provocative yet whimsical aesthetic. Your powers excel in mid to long-range combat, using sweets-themed magic to bombard enemies with potent attacks. You can disrupt enemy defenses with sticky, sugary traps or powerful blasts of molten chocolate. Your abilities combine charm and force, making you a delightful yet dangerous magical girl.</t>
  </si>
  <si>
    <t>Magical Girl Theme: Beast</t>
  </si>
  <si>
    <t>Your transformation grants you adorable animal ears, a tail, and other animalistic features of your choice. While your appearance is cute and playful, your strength and durability are unmatched. You excel in physical combat, boasting incredible speed, agility, and resilience. Your animalistic instincts also heighten your senses, giving you an edge in tracking enemies or anticipating their moves. This theme combines charm with raw power, making you a versatile and effective fighter.</t>
  </si>
  <si>
    <t>Magical Girl Theme: Wedding</t>
  </si>
  <si>
    <t>Your transformation embodies the elegance and sanctity of a wedding, with your outfit designed to resemble a beautiful bridal gown infused with magical elements. This theme grants you powers centered around unity, protection, and vows, making you a beacon of hope and support for your allies. You can create protective barriers, heal wounds, and even inspire others to fight with renewed vigor through your presence. Additionally, your magical abilities include binding enemies with enchanted ribbons or garlands, symbolizing the strength of commitments. In this form, you represent love and unbreakable bonds, bringing both beauty and strength to the battlefield.</t>
  </si>
  <si>
    <t>Magical Girl Theme: Maid</t>
  </si>
  <si>
    <t>Your transformation outfits you in a chic, magical maid uniform, blending classic elegance with an enchanted touch. This theme emphasizes precision, efficiency, and adaptability, giving you the ability to multitask effectively in battle. You can summon cleaning tools turned weapons, such as brooms that become staffs or dusters that emit blinding sparkles. Your magic excels at purging corruption and negative energies, leaving the area and allies in pristine condition. Furthermore, your combat style focuses on quick, calculated strikes, ensuring no enemy goes unchecked. As a magical maid, you bring order to chaos with grace and finesse.</t>
  </si>
  <si>
    <t>Magical Girl Theme: Dinosaur</t>
  </si>
  <si>
    <t>Your theme roars to life with a prehistoric flair, granting you a transformation that reflects the raw, primal power of the age of dinosaurs. Your outfit integrates dinosaur-inspired elements like scales, claws, and a tail, giving you an imposing and ferocious appearance. This theme enhances your physical strength, endurance, and natural weaponry, allowing you to unleash devastating claw swipes, tail strikes, or earth-shaking stomps. You can temporarily channel specific dinosaur traits, like the speed of a Velociraptor or the resilience of a Triceratops. As a magical girl with this theme, you embody the untamed might of nature’s earliest giants.</t>
  </si>
  <si>
    <t>Magical Girl Theme: Geologist</t>
  </si>
  <si>
    <t>Your transformation is inspired by the beauty and strength of the Earth, with your outfit adorned with gemstone motifs and patterns resembling layers of rock and mineral veins. This theme grants you control over earth-based magic, allowing you to manipulate rocks, minerals, and even create powerful tremors. You can summon barriers of stone, hurl sharp shards of crystal, or reshape the terrain to your advantage. Additionally, your powers allow you to detect hidden treasures or weak points in structures and enemies. As a magical girl geologist, you blend the enduring strength of the earth with the brilliance of its treasures, making you a steadfast and resourceful ally.</t>
  </si>
  <si>
    <t>Snake-Folk</t>
  </si>
  <si>
    <t>The snake-folk of Clan Tiss’i are an odd bunch as, similar to the shark-folk, they're
basically nudists and have a sort of hoity-toity attitude. Though that is juxtaposed to
their current lowly state of living out of a combat arena which is something you may
have to deal with if you choose this race option.
Besides turning you into a lamia/naga, the only upsides are that you're taller/longer,
and can make use of your tail as either a blunt striking weapon or a constricting one.</t>
  </si>
  <si>
    <t>Undead</t>
  </si>
  <si>
    <t>Undead beings in Paccsu aren’t uncommon as standard zombies and ghosts are things
the Kingdom of Rho’ho have to constantly deal with. But the type that the Undying King
has brought about are a whole ‘nother beast, albeit for more minor reasons.
If you decide to take this race option select another, while paying its price, to be your
original before you were turned. On top of whatever you gain from that race you
effectively become an undead in name more than anything else. While you still have the
normal biological process of your original race it seems like you no longer have to
worry about aging or sickness, with things like lost limbs not slowing you down all that
much.</t>
  </si>
  <si>
    <t>Slimes/Oozes</t>
  </si>
  <si>
    <t>In the Kingdom of Rho’ho slimes are a common pest that luckily are mainly relegated
to the Forest of Rho’ho. Mainly coming in green these slimes are normally not sapient,
but if you decide to take this race you’ll be the second after Kiva.
Not only will you benefit from a body made of goo, which you can harden and liquify at
will, you can also shapeshift things like tentacles from your body and generate more
slime with the consumption of biological matter with you able to make yourself denser
rather than larger with the extra slime if you so wish. On the combat side of things you
are hard to damage with someone needing to hit your slime core to have any real
effect on you besides a loss of slime, can shoot hardened goo balls at people as a
ranged attack from any part of your body, and can integrate plant life into your body as
weapons or armor like putting wood spikes in your arms as slashing weapons.
For an extra 200 CP you can choose to become an ooze, which keeps the same benefits
as a normal slime, minus the plant life integration, but grants you resistance to
thunder/lighting magic due to being made of semi-solid latex, the ability to shoot dark
magic eye beams, and the ability to split off your ooze into floating “eyes”, which are
orbs with red vertical pupils that can also shoot dark magic eye beams.
And finally for another 100 CP, which can be taken whether you’re a slime or ooze, you
become an anomaly similar to Kiva. While you won’t benefit from the intelligence gain
like she did, you are able to do things similar to her Slime Techniques, as well as create
your own with time and effort. These function basically like spells and make use of
magical energy, plus excess slime/ooze, to do things you normally couldn’t do with
simple shapeshifting [See Notes].</t>
  </si>
  <si>
    <t>100-400</t>
  </si>
  <si>
    <t>Muh’keans</t>
  </si>
  <si>
    <t>In modern day Paccsu the Muh’kean people, who were renowned for their skill at arms
and magic, are basically extinct with Namu and Shaaden being the only ones left alive.
But if you decide to take this race option it seems you are another Muh’kean who
managed to escape the destruction of your homeland. As a Muh’Kean you have an
innate talent for magic and combat quickly picking up on both at far faster rates than a
normal person.
And for an extra 300 CP, for a total of 400, it seems like you were an unknown second
participant of the Muh’kean ritual that imbued all of their magical potential into Namu
as the potential was also funneled into you. This grants three main boons which are a
massive reserve of magical energy bundled with an increase to your magic potency, a
large increase in your magic learning capability to the point that even the most
complicated magic become child's play for you, and a dragon spirit/elemental that
resides inside you granting various dragon themed attacks and buffs [See Notes].</t>
  </si>
  <si>
    <t>Flip The Script</t>
  </si>
  <si>
    <t>Usually in settings like Paccsu having massive amounts of sex tends to not cause overly many problems. This is sort of waived if what you’re fucking happens to be demons or some kind of eldritch monster, but in most cases no permanent harm comes from having so much sex. However this doesn’t entirely seem to be the case in Paccsu as a comment by the angelic Orb Guardian makes mention of a “seed of darkness” inside of Namu that the gods can see, seemingly caused by having too much sex in general. If you plan on being very promiscuous, such a possibility can put a damper on things, but by taking this perk you’ll gain a workaround, parts of which Namu would wish she had.
First, you become a master at wiggling out of or reversing any grabs as well as other restraining moves others use on you, whether that be something like hardened slime encasing your limbs, a buff zombie putting you in a full nelson, or a mage using paralyzing magic. From there you can choose to either put some distance between you and your enemy or to put yourself in a position to counter attack or “pay them back” for the lewd things they may have attempted to do to you.
And second, if you were to “pay someone back” or just fuck someone in general you can pull a reverse of the Orb Guardian’s statement, injecting a “seed of light” into someone which causes them to become a better person, though “better” is defined based on what you think is better for said person. The process to becoming a “better” person moves along based on the size of the seed which gets bigger the more you fuck the person in question and to help that the seed serves as pull that makes it much more likely that the person its in will run into you with the pull getting stronger the larger the seed. Once at full size, which you will be constantly aware of, the seed will cause them to defect from any evil groups they are a part of and join you, crying tears of joy at being “saved”.
As final bonus this perk also protects you from any metaphysical negative effects from fucking something like an eldritch monster corrupting your soul or a succubus stealing your lifeforce.</t>
  </si>
  <si>
    <t>Knowledge of The Past</t>
  </si>
  <si>
    <t>While upon first glance it may seem that the world of Paccsu is your stereotypical lewd medieval fantasy setting with swords, magic, and dragons there actually exists various examples of modern/high tech, mostly made by humans. And it's not just a case of them being long forgotten relics, for example, Muh’kean magitech war golems were commonly used until their creator’s extinction a little under two decades ago and the high tech research lab under the Pelotta'va Mansion was still in use a little over three months before Namus started her journey. So by taking this perk you'll not only gain the skills needed to replicate the tech of the old times of Paccsu, but generally become someone who could bring about new innovations.
First, you gain intricate knowledge on how to create the five main examples of Paccsu tech cramped into your skull as well as the skills needed to create them, along with other tech you know how to make, even if you happen to be stuck with the tools and materials of a traditional fantasy world. The examples of Paccsu tech are as follows.
● Various modern quality of life amenities like electrical lights, kitchen/bathroom appliances, tvs, electric generators, etc.
● High tech BewbTek bots, including the colossal BewbTek Goliath 69, and their various ballistic, laser, and plasma weaponry [See Notes].
● Magitech Muh’kean war golems which have high strength that can easily stun/knock people down, eye lasers and powerful magic resistance, but need hard to produce Soul Orbs to power them which you also get blueprints for [See Notes].
● A mutagenic Serum and growth potion recipe, with the former being able to turn a normal dog into a muscular bipedal three headed monster with a regeneration factor, as well as cause the rapid growth of plants, and the latter being able to cause a normal lizard to grow to the size of a small dragon, gain sapience, and spew poison.
● And finally a high tech factory and lab complete with all the tools and machinery one would expect.
Second, with some in-depth medical examinations and research you're capable of copying any telekinetic or psychic powers someone may have and putting them into other people. These transplanted powers are subject to cause nausea-inducing headaches when overused, though time and constant use will acclimate them to their new power, lessening the effects.
And finally you in general become a master level researcher in both the realms of technology and magic able to improve and innovate on almost anything you set your mind to with enough time and effort. Maybe you could modify the design of a BewbTek bot to turn them into a sort of autonomous armor. Or take the tentacles and tentacle monsters from Tentacles Galore and modify them, like swapping out the “cum”/gas they shoot out for other liquids and gasses, inventing brand new types of tentacles like a vibrating or ovipositor tentacle, or coming up with your own tentacle monster designs.</t>
  </si>
  <si>
    <t>Chosen By The Gods</t>
  </si>
  <si>
    <t>Even though gods do exist in the world of Paccsu it seems for the most part they take a path of non-intervention in the affairs of mortals. This mainly seems to apply to the heavenly gods as the eldritch ones seem to actively bless Shark-kin with magic power and it is unknown if the two Muh’keans gods exist. Even when the Undying King butchered the Muh’keans and seemed poised to triumph over Namu the heavenly gods either decided not to or were unable to provide aid. But for some odd reason they now seem to have changed their mind as by taking this perk you become chosen by them and elevated to being one of their angels which grants various boons.
First, becoming an angel elevates your physical toughness, strength, speed, and reactions to the point that common soldiers and most monsters don’t register as much more than a nuisance, at least in terms of raw power. You could maybe even pose a threat to the Undying King in 1v1 combat, but his roughly century of experience would make using raw brute force inadvisable. This also comes with immortality meaning age will no longer be a problem with all the typical downfalls, like memory loss, the dulling of emotions, boredom, and the inability to form genuine relationships, not being present.
Second, as an angel you become infused with light magic meaning that every attack becomes tinted with holy properties. Whether it be you throwing a punch, swinging a weapon, or launching a fireball all of these attacks deal extra damage and weaken those weak to light/holy magic. This infusion also applies to your body, as evidenced by the punch example, with it being heavily concentrated in your sexual fluids with them not losing any potency, and in turn freshness or warmth, when leaving your body. As such fucking undead, demonic, or other beings weak to light/holy things, or just getting your bodily fluids on them, is a good way of subduing them. And if you happen to be particularly perverted, you could do something like imprison them in a large jar or other hard to break container and fill it near to the brim with your sexual fluids which will serve as an effective and humiliating prison as your fluids would render them too weak to break out by themselves.
And finally, as a bit of utility you gain one more minor ability. This ability is a deep connection with beings known as Snowskull Moths which allows you to magically create them to serve as servants or combatants. These Snowskull Moths are anthro moth creatures with a strong affinity with ice magic, a natural ice breath attack, and the ability to use magical “pollen” to shield themselves or poison/blind people. For visuals on how they look [See Notes].</t>
  </si>
  <si>
    <t>Rumpus Bumpus</t>
  </si>
  <si>
    <t>One oddity that exists around Clan Tiss'i is the champion/bodyguard of their leader
Princess Fancy-Tail, that being the snake-kin known as Rumpus. Unlike her other kin
she is massive, effectively being the size of a dragon, which may indicate she has a bit of
their blood in her as she also can breath fire, though in a unique way, and is one of the
two known snake-kin with dragon-like horns. But regardless of how she came into
being, such strength and power can be alluring for other snake-kin so by taking this
perk you effectively become a clone of her.
First, you’ll be granted a large increase to your physical strength, toughness, and size
with you also gaining a set of powerful rending claws. Though this won’t put you equal
to a true dragon you’ll at least out power most things and you keep a surprising level
of speed, agility, and flexibility for your size. This also causes your ass to become
proportionally massive, regardless of what size you become in the future, allowing you
to use a special ass attack that either takes the form of a slam or an ass first body
tackle. Either way said attack disorients anyone you use it on with a high chance of
stunning them for a while either due to your weight or just because of the absurdity of
it. Your ass as a whole also becomes an erogenous zone and butt crushing people,
whether it be their entire body or just their face if you shrink down, feels pleasurable.
Second, you gain access to both Rumpus’ ability to shoot powerful winds out of your
mouth, akin to a tornado, and her special brand of fire breath. Unlike a traditional
dragon whose fire comes from within Rumpus, and now you, can absorb any and all
types of fire that are either directly on you or are immediately near you and shoot all
of it out in a combined stream, with them all retaining any special traits. For example, if
you absorb a soul burning fire when you shoot it out it will still be able to burn souls.
And finally, you gain high expertise in 1v1 gladiator matches or duels, which also
comes with an instinctual sense of how to best use your size and weight advantage in a
fight. Whether it be how to better make use of the slight difference between you and
someone slightly smaller than you or how to prevent drastically smaller opponents
from dancing rings around you.</t>
  </si>
  <si>
    <t>Undead Girth</t>
  </si>
  <si>
    <t>Where Namu has her ass and Clan Tiss'i have their boobs, in the undead legions of the
Undying King dick girth and length seems to be the main sexual theme. With plenty of
big hunky undead dudes, and seemingly the only group where futanari exist, Namu and
the gang get their holes quite acquainted with being stretched. And by taking this perk
such size and awe properties will be applied to you.
More specifically your dick(s) gains an aura around it that impresses a sense of
intimidation, cock awe, and shows off just how big your dick(s) may be. From the size
of your veins, the strength of your throbs, to the weight people feel as you lay it on
their face, all of these elements give you a real “cock of the walk” metaphorically
speaking. This also applies to your balls as well, with them impressing their own size
like their weight in someone’s hands or giving you audible ejaculations and making
them audible churn.
As an extra bonus larger your dick is in comparison to who ever you’re fucking the
more pleasurable it its for the both of you. Dick piercings, cock rings, and other things
that affect the outline/shape of your dick are also factored in. And if you don’t have a
dick, and don’t plan on getting one, or just want some versatility this perk’s abilities can
also apply to things like dildos/strap-ons and summoned tentacles.</t>
  </si>
  <si>
    <t>Thick Seed of Darkness</t>
  </si>
  <si>
    <t>In Paccsu there seems to be some kind of rule that too much sex, at least with the
various non-humans that populate the lands, seems to pull people to a path of
darkness. This is somewhat evidenced by the Orb Guardian making notice of a “seed of
darkness” inside of Namu due to getting ravaged by all manner of monsters. And even
if you happen to not want to shack up with the Undying King such a fact can be very
useful to any evil aims you may have so by taking this perk such a thing becomes a tool
in your arsenal.
So now when you fuck people you can choose to implant a “seed of darkness” inside of
them. Said seed causes the victim to start becoming more villainous, slutty, and/or
submissive to you, with the specifics such as what level of villainy they participate in or
what flavor of submission they have towards you being easily decided by you. The
victim also, at your discretion, gains an aura around themselves that acts as a bad lewd
luck magnet, stoking the darkest desires in those around them and causing the victim
to be the target of various lewd misfortunes. Both the behavioral changes and luck
aura get stronger as the seed grows which is fueled by them being raped, either by you
or the people/monster the luck aura attracts. To help that when it comes to you
personally trying to grow the seed, said seed will pull your victim towards you making
it much more likely you’ll run into them as you go about your day with this pull getting
stronger the larger the seed. And once at full size the person in question will seek you
out and throw themselves at your feet, pledging to be your own little slut and
abandoning anything else.
As a bonus to better be able to implant your seeds during combat you also gain instant
loss 2koma powers. More specifically if you manage to grab someone, either with your
own hands or using something like summoned tentacles, you can strip and position
them in the blink of an eye even if they equal or moderately beat you out in strength
and/or are bigger than you. And while you’re fucking said person their strength, that
may normally allow them to easily break out of your hold or at least put up some
resistance, will fail them.</t>
  </si>
  <si>
    <t>Essence of A New King</t>
  </si>
  <si>
    <t>Undying Energy, the primary source of the Undying King’s power, is one of the many mysteries of the world of Paccsu. Little information exists on it as even though its magic it doesn’t seem to be a product of the magic source orbs created by the heavenly gods with Emperor Fragondold, the Undying King’s previous name before he abandoned humanity, searching out ancient tomes containing knowledge on Undying Energy. But regardless of its origin Undying Energy is a force to be reckoned with, turning the skilled, but elderly Emperor Fragondold into the powerhouse now known as the Undying King and by taking this perk similarly to him you become a source of your own Undying Energy unique to you.
First, as a source of Undying Energy you can use it in three basic main ways. One is to improve yourself as the more Undying Energy you have inside of you the stronger you become in terms of your physical and magical might/defenses. More Undying Energy can be acquired by using, but not expending it, to either rip the souls out of people, with the amount gained dependent on the strength of the soul in question, or absorb the raw magic energy from artifacts. Another use is to attack as you can make use of Undying Energy either raw like in the form of beams, explosive balls, and coating your fists/weapons in it or you can use it to taint your spells with either case withering/decaying the body and damaging the soul. And finally, Undying Energy can also be used to infect the souls of living beings, including things like spirits, with this driving them feral and causing tentacles to sprout from various points of their body. On the other hand living beings whose souls you ripped out, or corpses in general, can be turned into undead by shoving in an artificial soul made of Undying Energy with the cost scaling dependent on the strength of the original soul. This cost will never be more than what you would get from absorbing someone’s soul.
Next, there exists three complex ways to make use of Undying Energy. One is the creation of your own Marks of Undying which are colored tattoos that also link themselves to the soul. When placed upon undead beings weaker than you it instantly leashes them to your will, as well as breaks any control others had over them, and allows you to give them various degrees of your personal power. Another is using it to transform into a giant monstrous and powerful form that can be entirely made of flesh, entirely made of Undying Energy, or a combination with those who have your Marks of Undying able to do this as well. And the final complex use is to slightly warp reality in that you can create and layer a small pocket dimension over your surroundings, which is around the size of a large throne room, which traps those around you in it and dramatically boosts your power. But this eats up a lot of Undying Energy both to start it and to maintain it.
Finally, being a source of Undying Energy grants two protective measures. The first has you become nigh on immune to all sorts of necromancy and/or death magic and the second grants you a One Up as when you die the Undying Energy in you goes out into the world to find a suitably strong host to resurrect you in. This one up capability refreshes every jump or every ten years whichever is longer</t>
  </si>
  <si>
    <t>“Library of Ages”</t>
  </si>
  <si>
    <t>The Fembu are a clan of individuals seemingly obsessed with the collection, preservation, and sharing of knowledge. This is to the point that they have something called the “Library of Ages”, a pocket dimension where they’ve been storing centuries worth of information they’ve collected, at least before the Undying King froze them with stasis magic. But by taking this it seems you’ve found or stumbled upon a way to free them before Namu took him down and in gratitude not only will the entire clan and their quarters follow you, their “Library of Ages” will as well.
The “Library of Ages”, whose entrance exists inside of the Fembu clan’s cave dwellings, has infinite space and upon entering a new jump will instantly updates itself with all common to semi-common information that exists at the moment of your insertion and few hundred years in the past from that point, so long as said info isn’t something like a trade secret or restricted to a specific group/individual. This includes things like recipes, stories, art, plant/animal specimens, tech blueprints, magic spells, and tv shows/movies for modern or sci fi jumps with the most minute details being included as well such as dna samples and indepth research papers for the plant/animal specimens or blooper reels for a tv series. The library will even write objective unbiased texts on the histories of things like people, events, and magic though any secrets that weren’t discovered by the world at large, such as whether or not a specific ruler was responsible for the suspicious death of their parents which allowed the to ascend to the throne, will be left vague. All of this information will take the form of rows upon rows of bookshelves, as well as various diagrams and dioramas alongside cds/tapes/etc for things that need it, with new bookshelves and the like being added as needed. There also exists indexing features in order to more easily find what you're looking for.
This doesn’t mean that the accompanying Fembu clan, led by a shaman nicknamed “Big Tits” who is assisted by a Fembu named Sam, don’t have a use as they serve as knowledge gathering followers for anything not gathered by the library itself, using their cave dwelling and the library as a base of operations, but with similar caveats.
They’re pretty good at quickly finding out about and hunting down “easy” to get information whether that be a newly released book, a new public art installation and an interview of the creator behind it, or a new regional variant of a dish. But, similarly to the library, this doesn’t extend too far meaning their ability to get their hands on info that's rare, lost, or secretive, is no better than a normal knowledge hunting group with the exception of them being able to offer you hints about how to get said info with them being less and less helpful the more rare or tightly guarded the information is.
For a visual on what the Fembu look like in general [See Notes].</t>
  </si>
  <si>
    <t>Backup Orbs</t>
  </si>
  <si>
    <t>In the lands of Paccsu there exist 7 special magical Orbs which were created by the heavenly gods and serve as the various sources of all magic and magical phenomena.
They are the Elemental Orbs of Fire, Ice, Wind, Thunder, and Earth which serves as the main balancing factor for all magic and the twin Light and Dark orbs which are seemingly the embodiments of good and evil. Though in time these orbs came under threat of the Undying King who seeked to absorb them all with him managing to do so to the elemental orbs, needing the gods to plead for Namu to spare him in order to drain him of their essence. But what if the gods had a bit more foresight and creative thinking to make backups for just such an occasion, and by taking this perk you’ll gain the fruits of just such a possibility.
Taking the form of five magic source orbs, with what form of jewelry each takes being up to you, unlike the normal ones these have no magic type infused within them by default. In order to infuse a magic type like fire, metal, or poison in them you need to conduct a small ritual, which can also be used to erase a currently infused magic type, and already have access to the magic type in question. From then on so long as you're wearing one of the orbs they’ll boost your manipulation, generation, and spell creation of the magic type infused within them, or will grant them if you either lacked any one of the three or made use of external means to infuse the orbs. Using a fire source orb as an example, it would boost/grant your ability to generate fire, either shooting it out from you or spawning it at a distance point, your ability to manipulate fire around you, like expanding a candle flame to a bonfire or fizzling the fire magic of others, and your ability to create various fire based spells when the more straightforward and brute force nature of the previous two aren’t enough. But regardless of the specific type of magic your orb holds there are a few other benefits.
For one your orbs grant a sizable increase to your general magical potency and defense, with them also doubling as large auto refilling magical batteries. Another is that the orbs copy every mundane or magical example of the “element” associated with their magic type, if it has one, from the current and future settings. For example, if you had a metal source orb it would copy and allow you to make use of all of the different types of metal you come across in your journey whether that be something like mithril, adamantine, or cold iron. And finally, your orbs make you nearly immune to damage related to their magic type and make you outright immune to "status effects" related to their magic type. For example, if you had a Fire Source orb fire based attacks would deal drastically less damage than normal and any special effects of said fire wouldn’t affect you whether that be burning your soul or just setting you on fire.
But what these backup orbs have in potential versatility they pay for in lacking the raw power associated with source orbs as individually the orbs are only as strong as the Supercharged Orbs found in the BattleGrounds with some extra features. Basically enough that if the orb isn’t boosting a magic type you already have you could at most easily do something like demolish a town with a single max level spell. But to remedy this they all have a sort of harmonization feature while the entire set is worn, which at its base would allow even an idiot like Purnima to handily beat the Undying King in his weakened state atop Mount Tapett'ava with brute magical force. Though for further increases you have to make use of the various magic types of your orbs in combo techniques/spells, like using earth and fire to make a flaming meteor spell, with the more magic types you use in the combo the larger an increase in power and scope you’ll see. At the max of using the magic type of all five orbs, along with a good deal of uninterrupted warm up time, their power and scope can affect an entire kingdom.</t>
  </si>
  <si>
    <t>“Voice of Light”</t>
  </si>
  <si>
    <t>Out of the seven magical source orbs that grant Paccsu its magic, the one that can be
said to be closest to the heavenly gods is the light orb. With the name “Voice of Light” it
can be seen as a favorite by the gods as its the only one out of the seven to be given
some form of protection in the form of Snowskull Moths and The Guardian, possibly
owing to some sort of superiority to the other orbs. Regardless of which by taking this
item you’ll gain a copy of this legendary orb for you to use and abuse.
Taking the form of any kind of jewelry you can think of, similarly to Backup Orbs
wearing the “Voice of Light” will either grant you the ability to generate, manipulate,
and create spells for light magic or boost your ability to do so if you can already do
one or all of them. This is to a much higher level than what an individual orb in Backup
Orbs can do, meaning that with this you can easily do something like bring ruin to a
city with searing light beams or completely illuminate a similar city with a fake sun.
The other smaller abilities that Backup Orbs have are also present though noticeably
stronger. For example, giving you a massive increase to your magical potency and
defense, with it also being an equally massive magical battery that refills itself. Copying
every type of light, both mundane and magical, for you to use from the current and
future settings. And finally, making you outright immune to light/divine magic in terms
of both damage and any status or other effects that could cause.
But there is one special feature unique to your “Voice of Light”, that being it serves as a massive relationship booster for divine related beings and just “good” people in general. In general this means that such people will view you as some sort of embodiment of goodness and light, making it trivial for you to ask for favors or help so long as it isn’t anything outright suicidal or evil, with them sometimes going out of their way to offer such things before you have a chance to say anything. And so long as you don’t do anything outright villainous, like killing civilians, such a reputation won’t deteriorate, even if you happen to not get up to any heroics or take some dubious actions like personally imprisoning criminals.</t>
  </si>
  <si>
    <t>“Grand Eye Of Darkness”</t>
  </si>
  <si>
    <t>Out of the seven magical source orbs that grant Paccsu its magic, the one that can be
said to be the odd one out is the darkness orb, otherwise known as the “Grand Eye of
Darkness” by Clan Tiss’i. Seemingly the source of all the evil in the world, and with
heavy association with evil beings like being the roundabout source of the ooze cult of
Mus'tah and seeing heavy use by the forces of the Undying King, most would assume
some kind of evil counterparts of the heavenly gods were responsible for its creation.
But as their main representative in the mortal world, The Orb Guardian, once said light
and dark will always exist, but a balance between the two is the foundation of the
world. And by taking this item you’ll be able to get a taste of its dark power.
Taking the form of any kind of jewelry you can think of, similarly to Backup Orbs
wearing the “Grand Eye Of Darkness” will either grant you the ability to generate,
manipulate, and create spells for dark magic or boost your ability to do so if you can
already do one or all of them. Though unlike the individual orbs of Backup Orbs this is
to a much higher level, allowing you to do things like destroy a city by materializing a
massive swarm of darkness vines from shadows or bathe a similar city in complete
darkness which prevent any light from illuminating the city.
The other smaller abilities that Backup Orbs have are also present though noticeably
stronger. For example, giving you a massive increase to your magical potency and
defense, with it also being an equally massive magical battery that refills itself. Copying
every type of darkness, both mundane and magical, for you to use from the current
and future settings. And finally, making you outright immune to dark magic in terms of
both damage and any status or other effects that could cause.
But there is one special feature unique to your copy of “Grand Eye Of Darkness”, that being it serves as a tool for any mutagenic changes. More specifically due to the orb’s association with groups that change one being into another, like how the Mus'tah oozes turn people into more oozes, when you attempt to do so through magical means the whole process becomes a lot easier. Any cost, whether that be in magical energy or regents, are heavily reduced and in general the whole affair is a lot easier to pull off and requires less time. Also any instability inherent to the process is completely removed so you don’t have to worry about something like your slime transformation spell causing people to melt a few minutes into their new slimy life.</t>
  </si>
  <si>
    <t>Castle of Undying</t>
  </si>
  <si>
    <t>Like plenty of evil masterminding villains, the Undying King has his very own home base to operate out of, known as the “Castle of Undying” which is situated on top of a mountain range sized statue of an ass and torso laying on its stomach. Once owned by the Muh’kean people before the Undying King wiped them out, under new leadership it has undergone massive renovation to better suit its new owner needs. And while as a servant of his you’d normally only be a occupant of it, by taking this item you’ll gain your very own copy.
Being situated on a similar sized statue, your new castle is located on the left cheek and consists of two massive wings, a large dungeon basement, and a throne room plus connected master bedroom, with the statue itself having large cavernous halls dedicated to a catacomb. As a slight bonus everything from the castle to the interior of the statue has an abundance of lava flows throughout making things just that bit more dangerous for invaders. For the castle it's mainly decorated with walls and floors made of both marble and a fleshy substance as well as plenty of statues displaying your majesty. The east wing of the castle is mainly for any servants/followers, both alive and dead, with things like bedrooms, recreation rooms, kitchens, etc being found along with the entrance to your massive dungeon. On the other hand the west wing is more suited for industry activities as it plays home to large store rooms for treasure or raw resources and various workshops. But there exists more advantages than simple physical layout as the caste comes with two powerful magical addons.
One of them is a portal system with a dedicated portal complex located on the right cheek of the statue, connected to the castle with a bridge that spans over the crack.
Said portal system grants you and those under you one person, two way teleportation across the world that can bypass all, but the strongest protection magic. It can also create special invasion portals with the entrance being in the complex, the exit at the chosen location, and a small pocket dimension serving as a midpoint tunnel which upon being created will deploy fortifications in the area surrounding the exit along with flooding said area with poison. Be aware that the entire system is linked to the life of a designated “general” that you have to choose upon its creation, who has to remain in the pocket dimension for as long as you want to use the portal, with their death causing the whole thing to collapse. As a bonus the system can also automatically teleport any corpses in the world to the catacombs in the statue so that you have basically a constant supply of fodder from which to increase your numbers and it prevents anyone from using teleportation magic, or similar abilities, to reach the castle or the inside of the statue unless they have a specific piece of jewelry, which you gain a supply of and the means to make more with its design being up to you.
The other add-on is the fact that the entire castle and the catacombs in the statue are super saturated with Undying Energy which turns them into even more of a death trap for invaders. Unless they have some kind of strong protection invaders will constantly have their souls be tugged on as they move around the castle and/or statue until it is fully yanked out. And unless their friends can react fast enough and cast something like a spell that prevents someone from being raised, a fake soul made of undying energy will immediately be stuffed into the corpse to raise them, similarly to Essence of A New King, with the actual soul being put away for storage. This can also be used to generate artificial ghosts made purely of undying energy to be used for defense as well.
For a visual on how the whole place looks on the outside [See Notes].</t>
  </si>
  <si>
    <t>Harem Dynamics</t>
  </si>
  <si>
    <t>Pokegirls</t>
  </si>
  <si>
    <t>No, Sally you can’t kill Beth because she took your hairbrush. You seem to
have an almost supernatural knack for smoothing over disagreements and getting your pokegirls to
get along. This also works to a lesser extent to the rest of your companions.</t>
  </si>
  <si>
    <t>Snuggle Bunny</t>
  </si>
  <si>
    <t>Huh, interesting, rather than kill you any non menace feral will simply use you for sex rather than sex and lunch. In future jumps most wild animals and some less aggressive monsters will ignore you or be far more friendly than they should be.</t>
  </si>
  <si>
    <t>Clearly Human</t>
  </si>
  <si>
    <t>All of Your alt-forms count as human for taming purposes, as a bonus as long as you’re in a humanoid alt form no one will really notice or care that you’re not a 100% human unless it’s pointed out to them. After this jump this perk works for the dominant species wherever you are even if that isn’t human.</t>
  </si>
  <si>
    <t>Sire’s Choice</t>
  </si>
  <si>
    <t>You gain the ability to choose what powers/abilities/traits/talents those that you sire/carry to term through whatever methods inherit from you or your DNA.</t>
  </si>
  <si>
    <t>Transmutation Proof</t>
  </si>
  <si>
    <t>Not only are you immune to being turned into a pokegirl you’re immune to being transformed against your will.</t>
  </si>
  <si>
    <t>Pokegirl Engineering</t>
  </si>
  <si>
    <t>Like Sukebe you’re a genius at genetic engineering. In addition, when working with any type of genetics you know without a doubt what each and every gene does and how it interacts with others and can ensure whatever horrible chimeric being you created through such mad science will always be loyal to you and won’t dissolve into a pile of nasty goop from all the genetic tinkering.</t>
  </si>
  <si>
    <t>Master of Sex</t>
  </si>
  <si>
    <t>Due to a combination of training and natural or unnatural talent you’re incredibly skilled at sex and fucking people/pokegirls into the ground. You could continue until a Sultan’s entire harem is sated and be ready to do it again after a short break to grab a snack and something to drink.</t>
  </si>
  <si>
    <t>Sexual Magic</t>
  </si>
  <si>
    <t>Through some strange quirk you have the rather unusual ability to benefit from sex with magic users. For some reason you don’t entirely understand your aura or soul compares notes the first time you have sex with someone with magic and uses the information to increase your own mana reserves by 10% of their total mana at no cost to them.</t>
  </si>
  <si>
    <t>600/300+</t>
  </si>
  <si>
    <t>Perverted Mage</t>
  </si>
  <si>
    <t>You have completed the graduation requirements of the Vale Magical Academy. This includes passing Basic Attack Spells, Basic Defense Spells, and Basic Healing Spells.
You have also mastered the Sex and Magic II course which will allow you to quickly master spells of a sexual nature and are exceptionally skilled in perverting regular spells to a sexual purpose. You’re able to come up with perverted copies of spells that you already know or have a copy of in a matter of minutes. Finally, you have succeeded in the final test for three of the Master Courses. The courses are Potions, Attack Spells, Defensive Spells, Summoning Spells, Illusion Spells, Necromantic Spells, Transmutation Spells, Conjuration Spells, Divining Spells, Healing Spells, Enchantment, Plant Studies, and Pokegirl Studies. You may pay 100 cp to have passed the Master’s test for additional courses. For an additional 300 cp you have passed all of the tests.</t>
  </si>
  <si>
    <t>Master of the Martial and Erotic Arts</t>
  </si>
  <si>
    <t>You are a true master of fighting and sex. You find it easy to learn ki based techniques, be they for lashing out or loving, and can even figure out ways to use techniques made for one purpose for the other. You have a master’s knowledge of the Tamer Sex Techniques and how to perform them. You can also learn various pokegirl Fighting Type techniques and powers by sight. In future jumps, this extends to other special fighting techniques.</t>
  </si>
  <si>
    <t>Basic Gear</t>
  </si>
  <si>
    <t>This basic tool kit includes a Pokedex, 10 Standard Pokeballs, 1 Premier Pokeball that has a slightly higher capture rate, a backpack, a three-person tent, and a basic set of heavy taming restraints for use with the stronger pokegirls.</t>
  </si>
  <si>
    <t>Storage License</t>
  </si>
  <si>
    <t>You have the required knowledge for maintenance of pokegirls in storage and have passed the test to obtain a storage license. Not only can you store any of your pokegirls in the League’s network of pokecenters this purchase comes with a crate sized storage device/computer that can hold an infinite number of pokegirls in stasis by feeding it pokeballs. Retrieval is as simple as selecting their names or numbers from a list, hitting a button and grabbing their ball from the slot in the machine.</t>
  </si>
  <si>
    <t>Sukebe Blueprints</t>
  </si>
  <si>
    <t>You have a thumb drive filled with a bunch of Blueprints for a decent amount of Sukebe’s technology, everything from pokeballs to genetic modification devices.</t>
  </si>
  <si>
    <t>Jusenkyo water flask</t>
  </si>
  <si>
    <t>An endless flask of Jusenkyo water. Each flask changes people into a different type of pokegirls, you’re free to select the type of pokegirl when you purchase it. After this jump, you’re free to convert them into pokegirls without the various drawbacks they’d normally have such as supernatural lust and feral state or even negative enhancements.</t>
  </si>
  <si>
    <t>Pavilion of Pleasures</t>
  </si>
  <si>
    <t>You have a magically expanding tent than can have room for a full squad of nine tamers and their pokegirls. It includes rooms for each pokegirl customized to their favored environment. Each tamer also gets a bedroom with a bed capable of containing their full harem. It also includes several labs for things like enchanting, potions, and crafting. There is a full kitchen and dining area, alongside an included training arena for the pokegirls to fight against each other and build up their skills. It’s also enchanted to prevent ferals and monsters from noticing it.</t>
  </si>
  <si>
    <t>Pokegirl Ranch</t>
  </si>
  <si>
    <t>Interesting, you’ve inherited a rather strange pokegirl ranch from a family member on their death.
While this ranch seems normal enough at first glance, selling common and uncommon pokegirls and pokegirl related items and equipment much like most ranches around the world this one is special.
This ranch updates its selection based on the non legendary pokegirls you’ve scanned with your pokedex, selling generic examples of the types of girls you’ve scanned. You may use a console at the ranch or in your warehouse to select which types are available from your available list. Not only that but no one will think buying sentient monster girls is any stranger than buying a dog or cat from a pet breeder in future worlds as long as they’re bought from the ranch.</t>
  </si>
  <si>
    <t>Sextome Tome of Sex Techniques</t>
  </si>
  <si>
    <t>With the conversion of both Ranma and Genma Sextome to pokegirls at the Jusenkyo Spell Dump the tome of their family style of pokegirl taming has been left in the hands of first Soun Tendo and later Professor Stroak, and people have been able to steal copies. It has been noted that these techniques can cause pleasure so great that it has been known to cause glitches in pokegirls causing them to evolve into one of their available evolutions, with a greater chance of it being their preferred/wanted one. You now have one of these copies.</t>
  </si>
  <si>
    <t>Artifacts: The Hentainomicon</t>
  </si>
  <si>
    <t>This book is the ultimate in pokegirl-related knowledge. Supposedly written by Sukebe himself, it contains information that'd make even the lowliest Tamer into a Harem Master of unsurpassed skill.
There are legends purporting that instead of making it, Sukebe dreamed of the book and when he awoke, it was in bed with him. The book supposedly has a detailed illustration and description of every pokegirl, even new ones that have sprung up over the years. It details their likes, dislikes, how best to tame them, etc. It also has information on virtually all pokegirl-related items, including but not limited to creation, maintenance, and even destruction.
All of this, however, just scratches the surface of what it contains. Everything from sexual techniques to erotic dress is covered. People who've discovered the book have reported wildly different findings from reading its pages. Normally despite how obviously valuable it is, the book seems hard to keep hold of. Even locking it away in the depths of the Crimson League's Magic Guild didn't stop it from reappearing elsewhere. The Hentainomicon could turn up anywhere, at anytime. You on the other hand have no trouble keeping your copy as if it is lost it will reappear in your warehouse the next day.</t>
  </si>
  <si>
    <t>Artifacts: The Destiny Ring</t>
  </si>
  <si>
    <t>This golden ring is meant to be placed around a man's erection, magically resizing itself to fit whatever phallus it is placed on snugly but not painfully. The Destiny Ring can only be willfully removed; it never accidentally comes off. The Destiny Ring allows the user to decide many different factors about the sexual engagement, including things such as their or their partner's fertility, how many sperm have which kind of chromosome, and even giving a push in the direction of what breed a daughter could threshold into or what pokekit they'd be born as. Because of this the Destiny Ring is highly sought after by breeders, though its whereabouts are currently unknown.
Further, The Destiny Ring overcomes most circumstances that'd prevent pregnancy; chemical contraceptives fail to function, and the female becomes pregnant despite age, or even if her womb is barren (such as a Warrior Nun). The ring seems to be made of gold, upon first look. However, by soaking it in vaginal fluid the ring shows glowing runes, possibly magical in nature, that give off a haunting green glow. Back near the beginnings there had been a belief that Legendaries could be bred via the Destiny Ring. However, that belief was shattered when Macavity attempted to breed using the ring with the aid of a sympathetic Tamer. She bore no children whatsoever and wasn't seen for months on end, possibly frustrated at another attempt to breed gone down the drain.</t>
  </si>
  <si>
    <t>Artifacts: G-Stylus</t>
  </si>
  <si>
    <t>This artifact is a stylus, a pen-like object that does not actually write. This object is used to merge pokegirls together into a G-Spliced. The stylus is black naturally. When touched to one pokegirl, it turns blue. If touched to a second pokegirl who is within two feet of the first, the two are immediately merged together into a G-Spliced of the original two, at which point the stylus turns black again. The new pokegirl is a perfect mixture of the original two pokegirls, in body and mind. However, she permanently loses her ability to evolve, and her ability to reproduce naturally. Note that a new pokegirl created in this manner can be further added to more pokegirls.
Since its initial discovery the device had come under some scrutiny. One thing agreed upon is that the device has no effect on Legendary pokegirls, since it's likely that a fusion of them would have occurred by now. The device has, however, been used in the past on a variety of breeds, including a fusion of Mantis, Buttershe, and Supe-Bra Genius that had been recorded during a Tropic League government testing of the G-Stylus.
In future jumps, this strange device can fuse anyone the owner wants to use it on rather than just pokegirls. The person that purchased the G-Stylus is immune to their own G-Stylus.</t>
  </si>
  <si>
    <t>Artifacts: Sukebe's Staff</t>
  </si>
  <si>
    <t>While this staff was never owned by Sukebe and in fact never existed until you purchased it the naming convention remains the same... As do the effects; with this staff you can selectively spread the cough joys of pokegirls to other worlds. By planting the staff on the ground and channelling a large amount of mana into it you can 'rewrite' history to turn a controllable percentage of an area’s female population into pokegirls. When you do so a wildly advanced holographic computer screen will appear that allows you to customize which pokegirl types will appear, their frequency and the need for 'taming' (or lack thereof). The more mana channeled into the device the further back you can alter history and the larger the area you can alter.</t>
  </si>
  <si>
    <t>Monster Girl Mayhem</t>
  </si>
  <si>
    <t>Changing genders is cool enough, but it can also get a bit mundane. While the other gender can seem like a different species altogether, they aren’t actually. Let’s change that a bit, shall we? Instead of just turning into an ordinary girl (or boy), you are capable of instead changing into a species of monster girl! Which kind of monster girl? Any kind you want! You might even be able to change into multiple different kinds of monster girls.
Naturally that means some inhuman features, an in-built level of sexiness that would be surprising for something that isn’t strictly speaking human, and some minor species-specific abilities. Long story short, you are a nerd’s wet dream.
Monster girls are cool enough, but they also tend to come with a trait that is pretty special in its own right. Their very existence is infectious. Some species of monster girls are able to convert normal humans into more monster girls. And this is a trait you share.
You can infect people with the monster girl virus, turning them into a monster girl of your choice. And then, they are able to go on and spread the virus by themselves without your presence being needed. You can choose if the virus only spreads certain species of monster girls or if it is entirely random.</t>
  </si>
  <si>
    <t>Virtual World</t>
  </si>
  <si>
    <t>With the age of technology came a new avenue for transformations to occur. Certain TSFers hold the power to inhabit or influence technology in strange ways. The lines between virtual and reality can start to blur. One of the simplest examples of this would be the ability for someone to possess and control pieces of technology, taking the phrase 'living on the web' to the next level. Naturally the place they exit doesn't have to be the same place they joined. Some have also discovered that other people can make great exit terminals, provided they are in some way next to a screen. After all, what is the brain but a biological computer?
Rather than just bringing reality into the virtual world, you've learned to inject a little bit of the virtual world into reality. A person is but the sum of all their choices, and those choices can happen in places other than the real world. When someone makes a choice online, you can make reality reflect that in turn. A man who chose a female character in a game might suddenly find themselves sporting an impressive rack of their own.
Someone who lied about their age may suddenly find themselves losing or gaining a decade. Apply that kind of power to a character creator and you might find some very colourful characters popping up.</t>
  </si>
  <si>
    <t>Slime Ball</t>
  </si>
  <si>
    <t>In many ways the powers of Slime Ball are very similar to the power of Going Ghost.
With both of them, you undergo a transformation in order to possess the bodies of other people. In this case you turn into an animate liquid akin to a slime. However while the spirit body is able to phase into bodies, this slime takes a more ‘invasive’ approach. You flow into their bodies through any available orifice and takeover from the inside. While you are more likely to be noticed and avoided, being a slime has its own advantages.
Being that you are physically inside the body of the victim, you are able to alter the bodies of those you are possessing, growing muscles or boobs, engorging cocks, and more.
There are some interesting things you can do with slimes. Just as you insert yourself into their body, so too can you eject something else out of them. Their personality. To be more specific, it is more akin to their soul being pushed out of their body by you in the form of a colourful slime. Generally this slime is inanimate, but if inserted back into a body that body will quickly absorb the personality into itself. With careful precision, you can insert specific parts of someone's personality into another.
In effect this is a similar power to the Fragmentation of Going Ghost. A long known classic ability of a slime is that it can split its body into multiple different bodies, each controlled by or under control of the original mind. In this same vein, you can split your slimy body in order to take possession of multiple people too. But the true fun begins here, because as a slime you are able to convert your host body into that of a slime too. Assimilating and converting them from the inside out, you will quickly have another slime under your command. Whether they are loyal to you, think of you as their mother/father, or something else entirely is up to you. Who could say no to a harem of technicoloured slime girls who can mix and match their bodies as they like?</t>
  </si>
  <si>
    <t>Sentai Warrior!</t>
  </si>
  <si>
    <t>A lot of people transform for fun, or as part of a prank. But there are a select few that transform as part of a sense of duty. You are a magical girl! A protector of innocence, love, and justice! Wielding a special staff, amulet, or other object, you are capable of changing forms into a cute defender of justice by just saying the specific activation phrase. In this form you are stronger, faster, and can use magic to smite the enemies of righteousness. Your magical girl form is vastly different from your base form, to the point where others would struggle to reconcile the two even after seeing you transform personally. You can be a magical boy instead if you wish.
Where there is light, there is darkness. Just as there are magical girls who stand to fight evil, so too are there those who walk alongside the abyss. You are a Sentai Warrior who has fallen to the dark side. With this fall, your powers have changed in turn. No longer a force for good, your magic is now darker. Corruptive. It is capable of changing others, making minions out of mud or converting hapless bystanders into sexy slaves. Men can be made into scantily clad demonesses, women might become dominatrixes. If you manage to capture another magical girl, you might even be able to steadily convert them to your side in a short span of time.</t>
  </si>
  <si>
    <t>Living Ride</t>
  </si>
  <si>
    <t>You have come into the possession of a rather interesting transportation vehicle. For one thing, it’s a living creature.
For another, its also strangely feminine in shape. The method for driving it is similarly unique. You simply enter into the creature via its mouth or some other hatch, enter the central cockpit, and pilot it like its some kind of mech suit. A very curvy, kind of affectionate mech suit, with full tactile feedback. This could take the form of a car, a plane, or something else. On the bright side, fuelling it is fairly easy.</t>
  </si>
  <si>
    <t>Viral App</t>
  </si>
  <si>
    <t>You have come into possession of a memory stick holding a very interesting computer virus. This virus only does one thing: it installs an innocent looking program on any device it infects. The program it installs can vary from person to person, choosing whatever is most appealing to the target. The only commonality of this program is that it has some kind of character creator as part of it. That is where the trap lies. Any details chosen when filling this in will be reflected in reality, transforming the victim the second the options are finalised. This virus also appears semi-sapient, going out of its way to target specific people rather than simply causing chaos everywhere.</t>
  </si>
  <si>
    <t>Deck Of Cards</t>
  </si>
  <si>
    <t>From the outside, this would appear to be a deck of regular looking cards. Each of the cards has a character printed in high quality on the front, with a small title and text explaining who they are. One might mistake them for some kind of game. It is only when they are used will these cards show their true effect. By tapping someone with a card, or otherwise 'activating' the card, the person affected will turn into the character on the card. You can decide what characters are on the cards, if they are just generic forms such as 'witch' or 'elf', or if they are specific characters. Interestingly this deck also comes with several blank cards. If these are used on someone, it can capture them and convert them into a new usable card.</t>
  </si>
  <si>
    <t>Book Of Magic</t>
  </si>
  <si>
    <t>Perhaps a quite vanilla method by which TSF effects can be achieved, but still a classic which can be used with relative ease. This is a leather bound grimoire filled with details on a plethora of magical spells, potions, and creatures. All the information inside this book is orientated towards magical maladies and effects that involve TSF. The creatures listed are known for being able to directly use or facilitate the use of these and similar powers. The book is aimed for both beginner mages and veterans, such that anyone with even a modicum of magical potential can use some of the things inside this book, and magical potential is not something you lack.</t>
  </si>
  <si>
    <t>TSF Academy</t>
  </si>
  <si>
    <t>With the emergence of TSFers, it should come as no surprise that some sought to gather and teach these people. On the basis of helping TSFers master their newfound powers, the TSF academy was founded. This large university grounds serves a dual purpose of teaching its students various mundane subjects such as science or literature, while also acting as a place for students to learn about their abilities. There are various different classes split into multiple different categories of TSF, each of which is led by an experienced TSF teacher. The majority of the student population are actually normal people who have voluntarily chosen to go here with the knowledge of the shenanigans that are to be expected, in exchange for a reduced educational fee. TSF Academy is a rather chaotic place, class rivalries leading to all sorts of strange incidents happening as students and even teachers mess with each other. To be honest, not much studying actually ends up getting done here. Hopefully it shouldn't be long before the mad science division can figure out a way to start to replicate these powers, otherwise the student intake in future worlds will likely dip quite dramatically.</t>
  </si>
  <si>
    <t>Hidden Powers Rising</t>
  </si>
  <si>
    <t>Some Bullshit</t>
  </si>
  <si>
    <t>-It’s no secret that there is something more to this land than meets the eyes-that ancient monsters and grand magics still lurk in the hidden and distant parts of the world. You’ve got a little touch of the magical in you-maybe not enough to cast actual spells, but a little more than the average person might possess. You possess a sort of tension, a Hidden Power that rises the more you take damage. Certain other things-such as striking your enemies, specific spells, defending and focusing yourself, and even special artifacts-can also cause your Hidden Power to build up to some degree.
Demons and those who host demonic power are especially good at building up Power, able to directly convert their meals into power as needed. You will need some special skills to actually use this power, mind you, but with this you’ve got the beginnings of a legend to build off of.</t>
  </si>
  <si>
    <t>Comically Large Pockets</t>
  </si>
  <si>
    <t>-Well, someone’s got to be the resident packmule of the party. That is to say, you’ve developed the power of the Inventory! Carry around random bullshit in stacks of up to 99! Carry all the random equipment, tools, key items, and consumables for the party! Carry around random trees and full human bodies without it being even slightly visible or impacting your actual capabilities!
Won’t actually help with the smell if you decide to carry around random trash for some godforsaken reason. Also includes an endless supply of Emergency Pies that you can only access when feeding cute girls, because why not.</t>
  </si>
  <si>
    <t>Sin-Touched</t>
  </si>
  <si>
    <t>-Alright, let’s get straight to the big guns. Demons are some of the most powerful beings in this entire setting-immortal, able to be reborn again and again no matter how many times they’re “killed”, drawing strength from emotions and experiences, and holding strange mystical powers that the vast majority of mankind can’t even hope to resist. There are many ancient monsters and incredible dangers out there, but a sufficiently powerful demon could quite literally just wave their hand and utterly unmake even powerful beasts like the legendary minotaur. And now, you join their ranks.
-As a demon, you draw power from some emotion or experience intrinsic to humanity-weak sources such as Comfy or Pride will leave you a Lesser Demon, lower on the scale of demonic hierarchy but with some special unique tricks such as a “comfy aura” that renders those near you peaceful and seeking comfort, or innate mind-control and affecting abilities. More primal sources-such as Hunger or Libido-will render you a truly powerful demon, but will in turn limit your inborn demonic abilities to more personal effects-such as an impossibly powerful stomach that can consume a limitless amount of food and digest even the most dangerous of poisons effortlessly. Your power as a demon grows with the number of people indulging in your chosen domain, so it is best to cultivate humanity and shape their society in your own image if you can. In a pinch though, demons are excellent at converting matter directly into energy; calories will provide you with great power. Be aware; certain druidic rituals can utterly negate and drain your demonic powers, and banishment back to the Demon Realm will count as death for you.</t>
  </si>
  <si>
    <t>Too Cute To Fight</t>
  </si>
  <si>
    <t>-Look at you, you adorable little scamp. You’re cute, so cute that there’s perhaps only one or two cute girls in the entirety of the world who could hope to match your sheer adorableness. Beyond just being adorable and thus getting the social privileges of one who is so cute they can give sugar cubes diabetes, this is actually a tactical advantage; in a fight, nobody really wants to attack you due to how cute you are. They still will if you’re the only one around, and some enemies won’t be moved by your cuteness-but you’re largely safe from most violence thanks to your sheer adorability...so long as the rest of your party is still up, at least.</t>
  </si>
  <si>
    <t>Secret Candy Room</t>
  </si>
  <si>
    <t>-Okay, it’s one thing when you’re arranging the shenanigans yourself-but it’s another thing entirely when the shenanigans are all but throwing themselves directly into your gob. It seems like the world itself is determined to shove food in your face, as you will run into various events, circumstances, and opportunities to stuff yourself full of truly absurd amounts of food. Perhaps the local corrupt guard captain happens to keep a secret candy room hidden behind his office. Perhaps an ongoing city lockdown will see a local bakery throwing away several hundred pounds of desserts and you just happen to be in the right place and right time to buy them at an absurd discount. Perhaps you’ll stumble upon a nest of particularly edible and tasty slime monsters. One way or another, you can barely go a single week without some weird shenanigans occurring that will give you an opportunity to glut yourself-or let others around you glut themselves silly, like during a particularly silly alien invasion of sugar-infused vegetable people.</t>
  </si>
  <si>
    <t>Beloved Of The Fae</t>
  </si>
  <si>
    <r>
      <rPr>
        <sz val="13"/>
        <color theme="1"/>
        <rFont val="Calibri"/>
        <family val="2"/>
      </rPr>
      <t xml:space="preserve">-For untold millennia, the fae have watched over and cared for the land, guarding against the dangers of the Demon Realm and threats that might harm the Earth. Secretive and unknown, few have ever seen a fairy-let alone spoken to one...yet something about you calls out to them. Whenever you visit a lake or pond, you can toss a gold coin in-and a fairy will pop out to provide you some aid; whether that be unlocking new powers within you, providing advice on your quest, or even providing some measure of healing. They might provide other services in particular emergencies, such as magical training or access to the Fairy Pond Network-but they can only build upon powers you already possess or hold potential for, not grant you entirely new ones. Why they do this is unknown, though it might have to do with the Fairy Department of Cute Girl Observation that watches over a select number of particularly adorable girls. In future worlds the local fae will also be just as incredibly infatuated with you, providing favorable bargains and doing their best to assist you out of </t>
    </r>
    <r>
      <rPr>
        <strike/>
        <sz val="13"/>
        <color theme="1"/>
        <rFont val="Calibri"/>
        <family val="2"/>
      </rPr>
      <t>sheer simpery</t>
    </r>
    <r>
      <rPr>
        <sz val="13"/>
        <color theme="1"/>
        <rFont val="Calibri"/>
        <family val="2"/>
      </rPr>
      <t xml:space="preserve"> strange appreciation.</t>
    </r>
  </si>
  <si>
    <t>Blessings Demonic And Fae</t>
  </si>
  <si>
    <t>-You have been host to grand and terrible powers in the past-but through either your own choice or the actions of others, those powers have been stripped from you. But while the source of those powers is gone...that doesn’t mean the potential is. You have learned a strange Fae ritual that you can use to reform a facsimile of powers that you had previously borrowed or hosted; by undergoing a sort of mystical pregnancy to form a “dummy soul”, you can essentially rebuild the power within yourself and make it truly your own.
-Now-be aware, this comes with a few caveats. Once you have reformed whatever power you previously borrowed, you’re still going to have to re-train it. Since the power comes from you rather than someone else now you’ll have to relearn how to use all its passive and active abilities; no more training wheels for you, you’re doing it all manually now. Additionally, you’re going to have to provide the energy for spells or abilities; you don’t have a patron to leech off of anymore, just your own power. And finally...that mystical pregnancy may only last a week and end in a painless lightshow, but is otherwise an actual pregnancy. With all that entails. Morning sickness, growing belly, cravings, and all. Probably best done as a girl.</t>
  </si>
  <si>
    <t>Sugar Whisperer</t>
  </si>
  <si>
    <t>-Who says guzzling down sweets won’t look good on you? Certain judgemental midgets might sing songs about it, but you make the weight look good. You’re sex on legs, definitely one of the hottest women in the kingdom-and even when you pack on some pounds it normally goes to all the right places to accentuate your beauty rather than detract from it. Normally; there’s a limit to everything. Additionally you’ve got a funny little trick; even if you were to swallow down some sweets whole with no time spent on the tongue or chewing, you’ll be able to judge its taste, texture, composition, and so on as if you had carefully analyzed it. You truly are a connoisseur of confectionaries.</t>
  </si>
  <si>
    <t>Gluttony’s Handmaiden</t>
  </si>
  <si>
    <t>-Once upon a time the Demon of Gluttony sought to create a class of people whose jobs were simply to glut themselves nonstop, gluttony unrestrained, for the sake of feeding her power. Were you around in the days of her rule, you would have been hand-picked to be amongst those exalted handmaidens. Your stomach is as close to bottomless as a mortal can get without magical assistance, and comically stretchy besides-allowing you to glut yourself in a way that almost none save the Demon of Gluttony could match. Beyond this incredible capacity for gluttony is your natural talent for rising up the ranks of any organization you happen to be a part of; were you to join the Royal Inquisitors you’d swiftly rise to be amongst the very top agents on skill and talent alone. Finally is your sheer beauty-worthy of carving statues in your image and most certainly amongst the greatest of the kingdom. Why, if you were to stand before the cultists of Gluttony in just the right place at just the right time-they would almost certainly mistake you for Esse Ter Vigilia reborn.
For a time, at least. The scriptures clearly state that Vigilia does not gain weight, and...well, you may or may not have a weakness for that specific thing.</t>
  </si>
  <si>
    <t>Sugar Rush</t>
  </si>
  <si>
    <t>-Speed is one of the most important factors in combat; the one who can strike first and strike more often will often win. It’d be a near-insurmountable advantage if you were able to strike twice in the time when your enemy could only attack once, wouldn’t it be? Luckily you can do exactly that-by drawing upon your own Power (or through consumption of copious amounts of sugar) you can push yourself into a Rush state that lets you act twice as often as anyone you’re facing on the battlefield. It’s an incredible tactical advantage, and handled with care it can turn the tide of even incredibly dangerous battles...though, beware the crash afterwards. Only so long you can ride that Sugar Rush without constant maintenance, after all. 
As a special bonus you also gain an additional Dessert Stomach-allowing you to eat truly inhuman amounts of sweets specifically. Dessert Stomachs aren’t real? Don’t be silly.</t>
  </si>
  <si>
    <t>Blessings Of The Land</t>
  </si>
  <si>
    <t>-Legends speak of certain mystical fruits, bearing the lifeblood of the land.
These fruits never rot and provide upon their consumer incredible vitality and immunity to poisons and illness of all kinds. These legends are true, and at the same time incomplete; far away on the Rehbun Islands is a small tribe of amazons who partake in a single Earth-blessed chili per year, inoculating themselves to manifold poisons and gaining incredible vitality. Perhaps you were raised amongst this tribe, or fed upon those special fruits throughout your childhood. Either way-the blessings of the Earth infuse your body.
-You are an amazon-standing at minimum eight feet tall and with thrice the strength of even a strong warrior. Your body brims with vitality and sheer endurance; no mortal poison can harm you, and only the most deadly of parasites or viruses can cause you ill. Further is your longevity; the eldest of the Amazons is well over 300 years old, and began to consume the blessed fruits as a woman grown. You have been raised upon them; it is all too likely you will live twice, perhaps thrice as long as she will and retain your youthful vigor. Earthly energy infuses your form; demonic magics and abilities hold little sway over you, and demons will fear your blows. Do not worry about needing to regularly consume the blessed fruits; you have been raised by the Earth, and its blessings permanently infuse you. That said, your stature is more than matched by a truly absurd appetite, unrivaled by all but Vigilia.</t>
  </si>
  <si>
    <t>Sinful Yet Prosperous</t>
  </si>
  <si>
    <t>-Some people are born to follow, and others are born to lead-it’s obvious time and again throughout history. You? You’re a born ruler. Within your mind is all the blueprints for making a true kingdom, an empire that could stand the tests of time; you know how to forge a genuinely efficient administration, enact laws that will bring stability rather than provoke rebellion, craft a system of taxes that is fair for all parties and brings great wealth to the kingdom as a whole-even how to organize and supply armies. The most unique bit of this is you also know how to seamlessly blend your own fetishes and desires into your kingdom without any issues; perhaps you want a statue of yourself on every street corner, or a law that all cute girls must be regularly fattened up? You’ll know how to balance budgets, taxes, and laws to not just make it happen-but make it so that doing so is an active BENEFIT to your kingdom. It’s almost as if your degeneracy actively propels your rule to greatness...</t>
  </si>
  <si>
    <t>The Land Gives Its Blessings</t>
  </si>
  <si>
    <t>-There are places in this world that have true, tangible power-not in culture or in economic trade, but of a genuine mystical force that flows beneath one’s feet. Some of these places are rich in natural resources, beautiful gardens of the world where life is easy and mankind can live blessed lives of peace.
Others are inhospitable hellscapes of poison, carnivorous plants, parasites, and ancient monsters forgotten by mankind. The only thing that connects these strange lands are the special fruits they grow-somewhere in their center will be a fruit bearing plant. Upon that plant will grow special fruits which do not age or rot, no matter how much time passes. These fruits hold the essence of the land, distilled into a form that can be easily consumed or harnessed.
-Perhaps through incredibly meritorious service to the Kingdom, perhaps through grand trade and deals, perhaps through simple inheritance-you hold a land deed. This deed goes to an undeveloped island somewhere in the Kingdom-small, but filled with lush vegetation and life. More remarkably and unknown to anyone but you is that somewhere on this island is a fruiting plant that carries these special land-blessed fruits. By consuming these fruits regularly you will be made stronger, hardier, your lifespan extended, and over many decades grow to twice your natural size. Or you could harness these fruits for strange druidic rituals; they are lush with the powers of the Earth and could be harnessed to achieve truly incredible things with the correct rites and rituals. Perhaps you might use them to banish demons? The powers of the Earth are anathemic to demons, and enough of these fruits consumed at once would slay even a powerful Demon.
-The bounty of this land is grand, but it is not infinite; you can harvest approximately a hundred or so fruits per year. You need eat only a single fruit a year to gain the full benefits of its blessing over time, and can thus use the excess to feed to others you choose or utilize them for other purposes. The land itself is also quite bountiful in resources...but also in dangers; it will be up to you to develop the land. Take care not to harm the health of the earth; excessive farming or extraction of the land’s natural resources will weaken the land and cause its bounty to grow thinner; if you somehow convert the entire island into a dead desert there will still be some fruit, but perhaps only five or so a year. This island will follow you in future worlds, and in time will hold incredible natural bounties from future worlds as well.</t>
  </si>
  <si>
    <t>Ancient Alchemical Secrets</t>
  </si>
  <si>
    <t>-Humanity has been finding better and better ways to prepare food practically since the moment they discovered fire, perhaps even earlier. What you have here is a collection of truly unique recipes-universally for desserts and confectionaries...that all happen to have rather unique properties. Recipes for creating alchemically enhanced desserts that have truly absurd caloric content and appetite stimulants baked in, The Greatest Candy Ever that is simply made with such superlative skill that even the slightest taste could render a person comatose in pleasure for a full day, a special way of baking chocolate together with the essence of the earth to increase a woman’s fertility and milk production, and much more. Also includes rare but incredibly tasty normal dessert recipes, like how to make mochi. Also, funnily enough, includes recipes for mixing hashish and other drugs into desserts.</t>
  </si>
  <si>
    <t>Siren’s Lantern</t>
  </si>
  <si>
    <t>-In the hidden and dark parts of the world, there are still mysteries and magic forgotten to mankind. Under the mountains there lie minotaurs, amongst the peaks hunt yetis, and far in the forests of Kellerwald is an ancient spirit who hungers for souls. She commands the forests, causing them to grow unnaturally and overtake most civilization, singing and hypnotizing unwary travelers. With a strange flickering lantern in one hand she steals away their soul and embeds their body in a tree, to slowly devour them over years and decades. As terrifying a spirit this siren may be, in truth it is the lantern that both grants her power and allows her to feed. A lantern that, by theft or b providence, you have come to possess for yourself.
-The Siren’s Lantern is a strange mystical artifact, with no records of how it was made remaining-but its power is quite real. With a simple wave it can snatch the soul of a person right out of their body, carrying said soul inside of it as a flickering flame. With another wave the soul can be deposited in a new host-whether a tree, an object, even a whole different body. It can also be used to devour souls-channeling the power of its stolen souls directly into the user to make them stronger, faster, better in every way. This is a slow process, often requiring decades to “digest” even a single soul, but in time can grant truly incredible mystical might that allows for supernatural command over the likes of an entire forest.
-But the Lantern holds more secrets than this. It is a potent mystical amplifier; through its usage nearly any spell you wish to cast is magnified many times over. A simple fireball could become a scorching conflagration, and a spell of confusion could render an entire island braindead. There is one caveat: to empower one’s magic like this requires fuel, and the lantern’s fuel is of but a single source: souls. The more souls and the more potent those souls, the more powerful the amplification of the lantern-and with each spell cast, the souls are “burnt” to fuel those spells. Of course, that’s not much of a problem is it?
Humans may like to believe their souls are indescribably precious, but the truth is that souls are incredibly common. Everyone’s got one after all. Take heed-the power of this artifact is immense, and in the right hands it can decide the fates of entire nations.</t>
  </si>
  <si>
    <t>Realistic Aspirations</t>
  </si>
  <si>
    <t>Oppai Academy</t>
  </si>
  <si>
    <t>Seems like all those years stuck inside your room didn’t exactly leave you a paragon of social grace, but at least you didn’t just wank and watch anime while hidden in that unlit room. You have managed to at least find a small niche you’re pretty talented at and have managed to learn most of it by yourself (thanks to the internet). Anything niche talent counts, from writing smut (and only smut), to pixel art, or even brewing mead. As long as it's around those specific levels, you can choose anything. It’s not enough to classify as a revolutionary genius, but it does make you good enough to make a job out of it easily.</t>
  </si>
  <si>
    <t>Hating the French Gives Me Power</t>
  </si>
  <si>
    <t>You’re a bit different from the other guy, in the sense that you at least seem theoretically capable of caring for others beyond just using them to get your dick wet. Which shouldn’t mean as much as it does, but I’ll take what I can get. This gift makes you incredibly good at pampering others. Just a general, but very distinctive, gut feeling of what makes others feel content and happy. At the most basic you can tell how they’re feeling at the time and quickly realize whenever they aren’t being honest about their feelings. With some practice you can tune it for more practical purposes, like holding someone and forcing them to feel incredible pleasure against their will. Once fully mastered your mere company will make others feel cozy, protected and appreciated. Technically speaking you could use this to be a walking NTR factory, or even weaponize it for battle, but I’m trusting you won’t misuse this.</t>
  </si>
  <si>
    <t>Sin of Attraction</t>
  </si>
  <si>
    <t>Look mate, I can see that you aren’t exactly eroge protagonist material just yet. Your eyes aren’t obscured and don’t have a dong that can keep shooting for days on end without rest. That’s a big demerit here. Let’s fix that right now with this, you get a nifty boost on your lower sword, enough to make most incubi and sex gods feel inadequate, it comes with the appropriate lack of refractory period and testicles that easily produce enough to fill several buckets or even a jacuzzi. You could enter a competition with Zeus, Freyr, Eros or other shabosky gods just to utterly humiliate the poor saps. As a side effect your sex drive has been utterly supercharged. You aren’t obsessed with sex or anything, but when something gets your motor running, you could easily cum at least half a dozen times before feeling satisfied. And yes, you can obscure your eyes like a generic hentai character, people will notice but most of them will think it's kinda hot. Don’t be surprised if your friends don’t let their wives near you.</t>
  </si>
  <si>
    <t>Protagonist Correction</t>
  </si>
  <si>
    <t>Jesus Christ! How horrifying! Stop, we can’t have you walking around like the absolute mess you are.
Just look at yourself in the mirror, it's making hobos look good in comparison. There! Now you’re handsome and suave, objectively a 9/10 at least. 9/10 cock too, oddly pleasant for women to look at, nice smell even when you haven’t showered in a while. Call it manly musk, not a stink. To top it off, you have a natural charisma that makes your nonsense come off as rather funny or oddly charming instead of annoying, and your stupidity is more of a bonus or an endearing quirk rather than a complete turn off.
Bear in mind this is just the results of superior looks and charisma, it won’t mess with their brains, only adjust your own body language and micro expressions to subtly make you look better in their eyes.</t>
  </si>
  <si>
    <t>Lovely &amp; Terrible</t>
  </si>
  <si>
    <t>For some, sex and love are two different things that may overlap but are never equaled, but when you’re in the picture, this gets flipped on. Whenever you have sex with someone, they will find themselves falling in love with you, with the increase being directly proportional to the quantity and quality of the shagging. Even a bit of teasing can start a mild crush, even a one-night stand can cause some good emotional attachment, and with enough fucking the bonds they develop with you will be unbreakable. This can stack if you want to, so don’t be discouraged if you don’t make the most of it at first try. Also, this doesn’t make you into some kind of sex god or anything like that, it's just focused on feelings of love, so you might need to get something else for the rest.</t>
  </si>
  <si>
    <t>Predatory Lover</t>
  </si>
  <si>
    <t>Remember what I said about you being a paragon of pure love and courtly romance? Seems like I got confused, because you’re a snake, a being of subtle manipulation and ruthless dominance. Your sheer presence has the effect of making others around feel more submissive towards you, brands them to feel more welcoming and accepting of you and your words. This is no small deviation, but a strong inner compulsion which inclines them into finding that obeying you is correct and expected. Those that dislike you or are naturally disagreeable feel compelled to at least hear you out and will accept basically anything as long as there’s a reasonable-sounding explanation. While those that are neutral will do stuff you order automatically before realizing. The less said about those that already like you, the better. This stacks over time and more interaction. Eventually anyone will find it euphoric to submit, like it was always meant to be that way, the most natural and rewarding feeling. This makes your praise and disapproval go a long way, enough to make Pavlov blush.</t>
  </si>
  <si>
    <t>Anti Ero-Magic Field</t>
  </si>
  <si>
    <t>You know, if you stop and think about it, that one kid with the Ero-Magic is a serious asshole with a dubious understanding of consent. Like, I get some of the girls, they used to be friends, or they think they owe him a favor or whatever, or they were literally born to be his assistant, but the rest of them?
The only reason he has any chance with them is because of reality warping, mind control, and a good dose of emotional and actual blackmail on occasion. Which, uh, I don't know about you but those things aren't exactly the best foundation for a relationship. And if you're so inclined, we can just sort of... turn those things off. When you're around, those kinds of things rapidly degrade. Man blackmails a woman to mail him for political reasons? The blackmail disappears and the political concerns are solved. Evil wizard mind controls the local queen to help him summon an evil god? The mind control fails and so does the summoning. Passing reality warper installs himself as king of an amazon island?
Reality warps back and they probably kick his ass. Interestingly, while the assholes in these scenarios are completely incapable of fingering you as the cause of this, the people you save seem to be instinctively aware that it was you who saved them. The only time this ability doesn't work is when you're the one doing the deed, but you don't have that power. Right? And if you did have that kind of power, others would find it nearly impossible to counter you in the same way.</t>
  </si>
  <si>
    <t>I Want To Live In A World Full Of Oppai!</t>
  </si>
  <si>
    <t>Reboobify! This magic spell of mine you shall behold! Allow a world full of gigantic oppai to unfold!
...Man, Ero Magic is weird sometimes. And yet, with this incantation, you now live in a world full of wonderfully hefty chests. The new average and minimum breast size of the human female - and anything that vaguely looks like a human for that matter, such as vampires, elves, mermaids, and dragons - are now several sizes higher. Not only that, but the sheer quality of your average breast is higher as well, being softer and squishier, as well as more gropeable, suckable, lickable, and fuckable.
In summary? Everything that’s good about boobs is now better - girls will even wear more form fitting and revealing clothing thanks to this newfound heft.</t>
  </si>
  <si>
    <t>I Would Absolutely Waste My Spell Slots On Embooben</t>
  </si>
  <si>
    <t>Alright, alright, I get it. You want to use some magic but you also want to be a fucking pervert. Alright you needy slut. Here’s the deal, this gift will grant you knowledge and skill for basic magic of any world you visit, nothing grand, but more than enough to pass for an initiate in whatever magical society there’s around (if there’s any). Of course, having the minimum basic requirements to use magic are included. Don’t worry, you get to keep that magic working even in other worlds, although some details might change depending on the metaphysics involved. As a bonus, just for being you, this also comes with ‘lewder’ versions of most spells, such as physical enchantments that make boobs bigger permanently or waterball becoming a curse that makes the victim lactate.</t>
  </si>
  <si>
    <t>Your Boobs Are Wonderful, Please Don’t Hurt Me</t>
  </si>
  <si>
    <t>As amazing as the boobs are in this world, there’s one very important thing the ladies they’re attached to would like you to have – a sense of shame. Fuck that. No shame to be found here. Instead, people seem to take your perversions, molestations, and other shameless flirting attempts in what amounts to the best way possible. Oh sure, a woman you’ve never met before would probably be mad if you slapped her ass, but in secret this would also make her proud of herself for having such a slappable ass in the first place. This can result in some pretty weird friendships if you go all in on physical affection, so be sure to constantly compliment how big her boobs are.</t>
  </si>
  <si>
    <t>Hidden Behind the Boobs</t>
  </si>
  <si>
    <t>No matter how much of a perverted layabout you may be, everyone has something they’re good at. 
No, being a pervert doesn’t count as a skill, that’s a lifestyle. Anyways, as it turns out when you’re not being distracted by your “homework folder”, you can actually show enough talent and skill to get things done. You aren’t a super genius nor an eminence on the subject, but you are talented enough that you might easily become an acclaimed artist, or a novel writer. Probably an adult light novel, but that doesn’t detract from the capacity needed to create something that stands out. Or maybe you’d prefer to become a national tier chess player? Well, feel free to pick a couple areas where your talent blooms enough that you can easily make a standing career out of it.</t>
  </si>
  <si>
    <t>And Then the Onahole Heater Mysteriously Exploded</t>
  </si>
  <si>
    <t>Magic is a great and wondrous thing, but sometimes it’s also just as ridiculous as it is powerful. Who’d have thought that a guy could open up a portal between worlds entirely by accident? And yet, here we are, with a guy that has done just that. And now you have that power as well. Once per jump in the event of your impending demise, you’ll find yourself casting a spell you don’t actually know entirely through panicked flailing and babbling random words, and will be transported to another world as a result. Of course, just going there instead of dying isn’t the only bit – this place is guaranteed to be chock full of women you could get it off to in a heartbeat, and you’ll quickly find yourself stumbling across a decently powerful artifact of some kind to help you get it off in those women rather than to them.</t>
  </si>
  <si>
    <t>Ero Magic, Show Me Da Wey</t>
  </si>
  <si>
    <t>Oh my, this is quite the gift. Ero Magic, the semi-sentient branch of magic that can basically do anything but it's also weirdly focused on lewd and sexual paths. Wanna make that female knight accept a lewd duel of making each other orgasm first? Can be done and no one will find it strange. Feel like having an orgy with MILFs? Sure, this will make up a whole tournament about you doing just that, with all the equipment necessary, coverage, and even summoning spectators; no questions asked, and the husbands are either ok with it or suddenly out of the picture. Wanna have a girl sit on you? This can make you shapeshift into a massage chair and put you in the girl’s locker room, able to have your way with them when they sit. As you can see, it’s a very versatile school of magic. Usually the Ero Magic itself would choose when to manifest itself, only giving the choice of whether to activate it or not to the user, and barely taking mild input by sheer desire instead of conscious thought. In your case, however, it fully follows you like any magic school would, merely acting like some sort of automatic guide, happy to let you see its whole arsenal and take decisions by yourself while it takes a backseat as an assistant whenever needed.</t>
  </si>
  <si>
    <t>Big Boobs Boast Badass Backs</t>
  </si>
  <si>
    <t>Did you know that there’s a good chunk of actual game logic running in the background of this world? It never gets explored because our ‘hero’ cares more about tits than magic, but it’s there. One girl even invests points into luck in an attempt to not get partnered up with him in class anymore. Sadly, she’s a masochist, so they get partnered up more instead. But that’s besides the point - do you think that because they all have superhuman physique, they can hold up their own tits without getting tired?
Because those are some very large tits. Well, now so can you! Actually, you’re now largely immune to a number of minor aches and pains, from sore jaws and knees from too many blowjobs, to having your back ache from having to hold up your first and second largest sources of pride.</t>
  </si>
  <si>
    <t>Divine Visage From Beyond Heaven</t>
  </si>
  <si>
    <t>There are many stories about beauties that could topple countries, women with such feminine wiles that no man could ever hope to escape their ensnarement. Some of those historic characters’ beauty is mere exaggeration, of course. Yet it takes a single look at you for anyone to realize that those stories weren’t all lies. A charm that makes Cleopatra seem like a dumb pig, beauty that surpasses Helen of Troy by a wide mile, and a chest that would inspire the most uncreative of basement dwellers into a genius artist. To put it in the terms of commoners, you’re a “12 out of 10” in looks alone and your natural demeanor only makes you even more alluring. This is helped, but not entirely caused by you having breasts nearly as big as your head. Like, J cup minimum, unless you want to claim you were malnourished as a child or something. Because while some idiots might say that beauty is only skin-deep, you know that the first thing people notice in others isn’t how nice their feelings are or any stupid shit like that.</t>
  </si>
  <si>
    <t>Overlord of Mavericks</t>
  </si>
  <si>
    <t>Maybe it’s your cutting wit, maybe it’s your impressive reputation, most likely it’s just because of your huge tits. Either way, it seems that people have a tendency to ask you for advice and fully believe what you tell them too. This isn’t exactly some sort of hardcore mental manipulation; it rather goes to push others into considering you and your judgement and advice as the most likely correct over others, even their own judgement depending on their personality. To put it another way, people that know you or know of you will be very inclined to ask for your advice and take it as something close to gospel. If it works, it’s because of you, if it didn’t work it was because they failed to properly use your advice. You can get people to pay for your words or have them do very silly things with this, although those that are very logical or self-assured won’t follow your wackier advice, even if they consider it somewhat valid.</t>
  </si>
  <si>
    <t>Blank Baptism of Glory</t>
  </si>
  <si>
    <t>Prodigies are born as such, but still need their inherent capacity to be polished before it shines. You’re a perfect example of it, for your talent is there and just waiting to be properly nurtured. Talent for what you may ask? For everything, from magic to cooking, from alchemy to advanced rocket science, from architecture to literature. Your genius is undeniable, and your potential seems endless. There’s only one caveat to this all-encompassing path, it’s not one that thrives on loneliness, your genius must be guided by a more experienced hand to properly flourish. If given a few tomes of magic initiation you may decipher them faster than most, but nothing incredible. Instead, the true path is to be taught by others, an archmage with a hundred years of proficiency will see all their mastery over the arcane arts not only fully passed down to you but also improved and refined in the span of a few months.</t>
  </si>
  <si>
    <t>Golden Boundaries Between Eras</t>
  </si>
  <si>
    <t>As they say, a Lady’s strength starts on her image, and damn you know how to manipulate it, to such a degree you can basically alter the way people perceive you at will. When you want to look the part, it can give the impression of a being so vulnerable, so innocent, so naïve and pure that taking advantage of you in any level would be sin well deserving of death by torture at the very least. And when the time calls for you to be frightening? The devil herself would shit her skirt in fear. Success is all but guaranteed should you enter the battlefield as a commander, become a leader of any group, or even try your hand in politics. Those with extraordinary willpower or very peculiar mindsets might be able to resist this presented image of yourself, but they won’t ever be fully immune to it.</t>
  </si>
  <si>
    <t>Forbidden Paradise Illusion</t>
  </si>
  <si>
    <t>There are tiers to how good of a lay someone is, and you’re damn excel in the sack as much as you excel in your everyday life. Your sultry glances induce arousal that could even shake up unfeeling robots, your body feels oh so extremely nice to the touch that angels would feel envy, you know how to fill your mannerisms with erotic innuendos and sexual subtexts that provoke even the most indifferent, and your control over your crotch is on par with a music prodigy using their favored instrument with over 50 years of experience, an attunement and fine control over it that could go beyond mere will. Anyone that gets it on with you will easily end up ruined for everyone else, cursed to never experience the sheer amount of raw ecstasy only you can provide.</t>
  </si>
  <si>
    <t>Eternal Keeper of Holy Spirits</t>
  </si>
  <si>
    <t>Sometimes, being the best isn’t about being better than anyone else around, but making sure that everyone else is just worse than you. This nifty power is something I had prepared just in case of emergency, but you can have it now to test how it fares. This is pretty simple in theory, you can focus on someone and choose one power or skill they have, this will simply seal it away. At first it will take several minutes to seal a minor skill such as being vaguely good at balancing a pencil, but with enough practice you will be able to seal great signature powers within a few seconds, such as the ero magic.
There’s a limit to the amount of powers you can keep sealed at once, but the number will increase with practice, also there’s no limit to how long it can be sealed; in theory at some point you could seal as many powers as you want instantly and keep them sealed forever, but I’m not sure how much time will take to master this power to that extent. Sealed powers can only be released with your approval and are effectively lost for the user until then.</t>
  </si>
  <si>
    <t>Poster Girl</t>
  </si>
  <si>
    <t>Some women seem deemed for greatness, and it would seem that you’re one of them. Though rather than greatness, it’s more like you have an overwhelming aura of 'this one is the main characters' surrounding you. A certain je ne sais quoi that is born from several factors, ranging from your extreme talent and creativity in basically every subject to the simple perfection of your appearance. You might not have the largest breasts in the world, but somehow you have the best ones. Heft, squeeze, color, so on and so forth. Of course, other things like the luster of your hair and the smoothness of your skin are also exceptional. You’re also very charismatic, able to leverage your other natural advantages into having your way more often than not and occasionally stealing the stage entirely by accident. In short?
In a world practically designed to enable large harems of women with large breasts, you’re the main girl, something that other women seem to instinctively recognize and thus treat you accordingly.</t>
  </si>
  <si>
    <t>This Isn’t A Picture Of Heaven, It’s A Picture Of My Ass</t>
  </si>
  <si>
    <t>It’s been said that youth is wasted on the young, and while there’s truth to that it’s also not the whole story. Mostly because you never seem to have stopped being youthful. Despite potentially being old enough to have a kid that old enough to be graduating from Yggdrasil soon. See, your body just doesn’t quit and there’s good odds that you’d be mistaken for the elder sister of your own children rather than their mother. Actually, between just a smidge of magic, some of the best genetics around, and a dab of healthy living, I’m not sure there’s much of anything you can do to your body that can make it worse, and if it can somehow make you more beautiful, it probably will. Pregnancy? Your body snaps back to perfect health with the exception of your breasts, which are larger than ever and still putting out milk years later. Deciding you want that seventh slice of cheesecake? Go right ahead, it’s going entirely to your tits and ass. Oh, and you can lactate even if you haven’t had kids, and your milk is both utterly delicious and so healthy a guy could live entirely off it. Don’t ask me how that works, it just does thanks to this world's obsession with boobs.</t>
  </si>
  <si>
    <t>Lions And Tigers And Bitches Oh My</t>
  </si>
  <si>
    <t>Now then, let's talk about racial traits for a moment. Sure, humans have a tendency to be the ultimate all-rounder, but some people enjoy specializing. So if you'd like, you can be something else. Elf, Vampire, Dragon, Yuki-Onna, Lamia, Oni, Mermaid, whatever you want to be, I've got you covered.
And there are various benefits to each of them, such as Elves having a bonus to their dexterity score, darkvision, being immune to magical sleep, and - wait, that's dungeons and dragons? Eh, close enough. In any event, there is one special power you can pick up here. No matter what race you are, you'll have the power to transform into a perfectly normal human shape - for example, if a mermaid wants to go on dry land, she can just suck her tail up and suddenly she'll have legs. Gotta be fuckable, you know? Oh, and, go ahead and ignore any kind of 'racial weakness' you might have. Those things don't hurt you, they just slowly send you into heat. Vampires are aroused by garlic, don't you know?</t>
  </si>
  <si>
    <t>Sorry Daddy I've Been Naughty</t>
  </si>
  <si>
    <t>Did you know it's quite illegal for teachers to have relations with their students in most parts of the world? Thankfully it isn't a problem for students to have relations with teachers. No, wait, aren't those the same thing? In any event, you'll find that you have a truly fantastic ability to wiggle your way out of trouble. Did you have sex with a student? Did you cheat on your husband? Well, you were being mind controlled, so it didn't count. You'll be totally and absolutely forgiven no matter what situation you end up in as long as it isn't actually your fault. And no 'those massive breasts obviously wanted to be fucked' doesn't qualify as your fault, that kid just has brainrot. You husband won't want a divorce, your job won't fire you, your daughter... might still be upset that you fucked her boyfriend, but that won't last long since it's not your fault. This also makes you largely immune to ordinary blackmail as a result, since trying to force you to do things doesn't work when you can shift all the blame back onto them anyways.</t>
  </si>
  <si>
    <t>My Hips Are Moving On Their Own!!</t>
  </si>
  <si>
    <t>You know how to get things hot and steamy without requiring some cheat code like ero magic or assets that need a new set of physics just to work. Nothing but pure skill honed out by hundreds of thousands of encounters across your years. A single look is usually enough for your veteran eyes to determine their exact strengths and weaknesses alongside several ways to subdue them... sexually of course.
Such mastery over the arts of love makes the unprepared have their bodies already surrendering to your intent and latching onto your feet regardless of what their owners think of it at the start. From just the right way to trash talk an elf to have her drop her panties a few minutes after meeting to using just your pinky to mind break an elder succubus. Even the most renowned of goddesses wouldn’t be able to get a clear win against your bedroom skills.</t>
  </si>
  <si>
    <t>I’d Ice Cream Her Sunday</t>
  </si>
  <si>
    <t>As a truly boobacious milf, you deserve the opportunity to be worshipped for your greatness. Naturally one should hope that you have a husband who can not only keep up with you but who actually does so, but just in case you somehow got married to a Japanese herbivore man I’ve got you covered. If you’re ever looking to get some action on or just really want to get laid, you’ll find men and women alike practically lining up for the chance to have you step on them. It’s not like the world is suddenly a buffet of chances for you to cheat, but well, if you were going to do that anyways... By default this also makes it so that any children you have are, if not entirely okay with you sleeping with their lovers, surprisingly chill with the idea, treating you as a potential sister-wife and romantic rival rather than simply being horrifically embarrassed that their mom is into their boyfriend.</t>
  </si>
  <si>
    <t>Grand Alchemist Jumper Sensei</t>
  </si>
  <si>
    <t>The modern – and magical – counterpart to da vinci and newton. You’re a genius of the biggest caliber backed up by years of study, training and experience. What other masters or archwizards consider divine miracles beyond human comprehension are nothing but afternoon projects for you. Of course, you have a particular field you excel in and from all your masterpieces come from, as an alchemist you could make homunculi, see the future, as a magic engineer you could create magitech hundreds of years beyond the current development, space magic would have you teleport anywhere in the world with little issue and even create portals to other dimensions, and so on. Whatever your specialization is, be sure you’re the absolute pinnacle of it in this world. Better still? When it comes to your speciality, you’re also the best teacher in the world, able to pass on any knowledge you possess with a startling level of efficiency, even able to design custom lesson plans on a student by student basis in order to guarantee maximum retention of actual skills and not just the regurgitation of random trivia and facts.</t>
  </si>
  <si>
    <t>The One Piece Swimsuit Is Real</t>
  </si>
  <si>
    <t>So. How exactly does magic work? Who on Earth, if anyone, has the right idea as to how magic works, what the multiverse looks like, which gods are real, which afterlives are real, so on and so forth?
Well, seemingly, the answer is all of them, as long as you’re willing to put in the effort. If you want to use Vancian Magic, you can. If you want to use Color Magic, you can. Hell, if you’re willing to delve into demonology, you can even use Magnetite Magic. Go ahead and pick something along those lines, you’re now a high level character with a wide variety of magical skills under your belt. Better still? You can do more than teach those skills, you can bestow access. You have a rudimentary system, one that allows you to direct your growth somewhat as you dive into battle and complete quests. Perhaps you’ll put points into your luck if you want help finding treasure? People you teach can gain access to this system, allowing them the same benefits and making them a level one character. I’m sure they won’t stay there for long, not with you looking out for them.</t>
  </si>
  <si>
    <t>Loose Change And Looser Panties</t>
  </si>
  <si>
    <t>During your first few hours in the world, you managed to get your hands on some spare change. Perhaps you picked them up off the side of the road, or maybe someone mistook you for a beggar.
That isn't important. What matters is that you put them down at one point, and a spark of magic jumped from you to them and when you looked at the coins again, they had gathered into a tiny blocky person.
Having a little money golem as a pet was a bit inconvenient, but as you fed it more and more money, it started to take on a more humanoid appearance. If you keep feeding it, it will eventually take on the shape of a cute girl. Of course, that might be money you don't have. Which is why she's incredibly thankful to you for feeding her... and if you play around with her, you'll find she leaks coins and small bills when aroused. And larger bills when she's cumming her brains out. She isn't a money sink, she's an investment!</t>
  </si>
  <si>
    <t>Pet Bird</t>
  </si>
  <si>
    <t>One day as you were walking along the road, you stumbled across an injured bird and decided to do a good deed and nurse it back to health! Or maybe you just adopted it from the local center. Or maybe it was a dog? Bah, details! In any event this pet of yours has been a constant and loving companion of yours for years now, which is why they’ve suddenly gained the ability to turn into a cute girl so that they can show you how much they love you. They may or may not be amazing at sex and know exactly what you like depending on how much you masturbated in front of them over the years. Optionally, they may also be an idol. Because reasons. Oh, and if you really want one and promise to take care of them, you may have a new pet each jump, though they’ll take a little longer to turn into human. About a year, as long as you’re attentive to them and actually care for them.</t>
  </si>
  <si>
    <t>Philosophers Bone</t>
  </si>
  <si>
    <t>Magic has many schools of thought and even more attempts at categorizing the various spells that exist. 'White Magic' is largely synonymous with healing magic, but also includes blasts of holy power and the ability to magically choke a bitch to prevent them from casting their own spells. That same ability has also been classified as Black Magic, Green Magic, and Time Magic throughout the eras. In short, shits wack. More relevant to you however is this alchemical catalyst known as the Philosophers Bone, a strange crystal with two knoby protrusions on one end. It can be used in just about any kind of alchemical procedure to vastly enhance the result. More importantly however, if at any point in the jump you were to cum on the Bone, it would flash grow a homunculus that looked very similar to another you might be familiar with, except with pale hair, strange red vein like markings on her body, and the ability to transform you into a unusual lance-like weapon. She would also be rabidly loyal to you. Possibly too loyal. Bit of a yandere, really.</t>
  </si>
  <si>
    <t>The Sword Of Truth And Other Lies</t>
  </si>
  <si>
    <t>You know, here in the fantasy world, going on an adventure or a quest for loot, glory, and wealth isn't just common, it's part of the school system. If you're learning magic, you should probably also learn to fight with it after all. You... Well, I'm going to assume you aren't great at magic. To that end, I have an offer for you - a small supply of enchanted armor and weapons, alongside a few accessories. A sword that glows black when the person its pointed at lies and that deals massive damage against them, armor that has naked women engraved on it and that will grow extra arms as the naked women help you fight, charms and baubles that either can be used as the casting focus for simple spells or otherwise grant you a resistance to various things. None of this is top of the line, but there's enough of it that even an incompetent could be a force to be reckoned with.</t>
  </si>
  <si>
    <t>The Internet Is For Porn</t>
  </si>
  <si>
    <t>What, do you not have enough of the stuff? I could have sworn overly focusing on this stuff was what got you in trouble in the first place... or was that some other guy? Eh, doesn't matter. In any event, first off, congratulations, you have an internet connection. Doesn't matter if you're in another world or back in time in the dark ages, you've got mail. Secondly? You have all the porn. I'm not kidding, you have every piece of porn ever made. Image, video, game, deepfake, ai gen, even the secret supply from Disney's porn vaults. And to manage all of this porn, you have a virtual assistant. She's quite fond of using an image of whoever you fapped to last as her avatar, and considers helping you get off to be her purpose in life. If you were to go to a certain website with a similar name to a very large number, don't be surprised if the 'oo' in the name has been replaced by her tits.</t>
  </si>
  <si>
    <t>Jumpers Jumper's Jumper Academy</t>
  </si>
  <si>
    <t>Hang on, what's going on here? That name is... uh, it's a bit awkward. Still, it seems we're stuck with it, so let's move on. You now own a school. Or possibly attend a school. Or both. This school may or may not be a subsidiary of Yggdrasil and is suitably over the top as a result. The pool is an entire water park, the teachers are experts in their field, they have their own contained dungeon for students to practice in, so on and so forth. As for what this school teaches? Well, it seemingly teaches your own perks and abilities. Each class the school offers revolves around a single perk you possess, and after four years of study the students here will receive the corresponding perks for any classes they passed.
Which one should hope is all of them, but could always be fewer in the case of bad grades. Weaker perks represent introductory courses or even half-length workshops, while more major perks are probably the equivalent of an entire college education. Thankfully this school is capable of putting that out - it's just a matter of if the students can keep up. And, in the interest of helping with that, getting accepted into this school automatically bestows a singular learning perk upon its students... and three or four beauty perks as well.</t>
  </si>
  <si>
    <t>Crystal Ball Of Peeping</t>
  </si>
  <si>
    <t>Mirror Mirror on the wall, show me the bustiest of them all! ...Well, this particular item is neither a mirror nor hanging on the wall, but it can be used for remote viewing. Specifically, by focusing on your mental image of a person, this crystal ball can be used to spy on them from afar. In class, at lunch, while showering, you get the idea. However, there is a secret function that you can make use of. By gripping the orb firmly in your hands, you can grip her orbs firmly in your hands if you know what I mean. In short, it's a bit like astral projection - you can send your hands though the orb and interact with the person you're spying on if you so desire. There is a bit of skill to use it properly, but with time, effort, or by cheating with Ero-Magic you can send more things through, such as your cock or your entire body.</t>
  </si>
  <si>
    <t>Tits Are The Softest Pillow</t>
  </si>
  <si>
    <t>Tell me if you've heard this one before - once upon a time, while a girl was showering, you used a crystal ball to magically project your hands and molested her as she showered. Oh, you did that just yesterday? Well, do you want to do it again? Ignore the fact that she broke the crystal ball after you finished molesting her, because that doesn't matter. You now have an extremely comfortable pillow, which, yes, feels like resting your head on a pair of tits. While sleeping using this pillow you're able to lucidly dream about past sexual encounters, such as molesting that girl in the shower. More importantly, you're able to alter the dream in various ways, such as using different positions, different techniques, or in extreme cases outright choosing to molest a different girl. When possible, you'll find your dreams synced up with the girl in question, to make her reactions as real as possible. There's never any indication that you're doing this on purpose, so unless you tell her about this she'll simply think she's a very naughty girl for dreaming of you doing those things to her.</t>
  </si>
  <si>
    <t>Moment of Ero Magic</t>
  </si>
  <si>
    <t>Ero-Magic is a strange and wondrous thing. It can bend gods to your whims, rewrite portions of reality or even the laws of magic, and accomplish things nine out of ten times that were supposed to have a million to one odds. But, right now I'm not offering you Ero-Magic. Instead, pick one of the potential uses for it. Do you want to possess the furniture and molest any girl who sits down upon you? Do you want a teleportation spell that always seems to take you to the nearest bathroom right as a girl pulls her panties down? Or perhaps you'd like every sports tournament you attend to be done as close to naked as possible? Or the ability to point at any trap you might run across and have it transform into a lewd trap? This thin crystal shard contains within it the echo of Ero-Magic, and can endlessly replicate any one 'event' of your choice. Choose wisely... or don't. It might be more fun if you didn't, actually.</t>
  </si>
  <si>
    <t>The Writers Barely Disguised Fetish</t>
  </si>
  <si>
    <t>So. You were taking a bath. Been in there a while, on the verge of using all the hot water on account of you being in the middle of jerking one off. So they tried to get you out by messing with the heater, which then exploded. Well, it's no truck but it seems to have done the trick. See, you now have another such heater. And, by masturbating in the bath while using it, you can have it explode.
Debatably again. Doing so will cause you to be isekai'd into another world that seems to have your favorite fetish as a huge part of its worldbuilding. If you're a boobs man, you can expect each and every girl in this new world to have some truly enormous tits and for you to get to spend quite a bit of time enjoying them. Or maybe you prefer girls with muscles? No doubt there will be a connection between physical fitness and magical capacity in the world you end up in. You can imagine the many ways this could go, right?</t>
  </si>
  <si>
    <t>Yggdrasil Jumper’s Magical Academy</t>
  </si>
  <si>
    <t>Much like our less than beloved hero, you've found your way into [school] and by some miracle, have been accepted into said school. Yes, even if you're a guy, despite it nominally being a girls academy. It just works. In any event, the school itself is a work of art, being one of if not outright the best schools of magic in the entire world. From the dungeon, to the vast array of clubs, to the many skilled teachers and alumni, if you want a magical education then by god you will get a magical education. But, uh. You don't care about any of that, do you? No. What matters is that every single student at the school is 9/10 at a minimum, and very likely to be within your preferred strike zone. There are, in fact, a minimum of eight girls here per jump who are going to end up falling directly onto your dick as though you'd had ero magic. If you don't, then presumably they're genuinely into you. Of course, it doesn't end with them - the entire school is at least mildly horny for you. The first year girls want an experience with a reliable senpai, the teachers dream of a forbidden student/teacher relationship, and even the parents of the students are looking for something new to put some excitement back into their life. If you've any game at all, you'll drown in pussy.</t>
  </si>
  <si>
    <t>Crick, Crack, Feeling Great</t>
  </si>
  <si>
    <t>After finishing your day, isn't it nice to just kick back and relax? Perhaps you're a bit sore after gym class, or maybe you went a bit too hard at the Magical Volleyball club. Luckily for you, we have options to pamper you, and right now I'd like to offer you this massage chair. It's fully automated and uses a combination of rollers built into it and flexible hands to provide maximum pressure and relief. All you need to do is push a bit of mana into it, and away you go into the wonderful world of having an expert masseuse work out every kink and sore muscle in your body until you're in a world of bliss.
Guaranteed to leave you feeling great in only ten minutes. And, unlike a certain off brand ero-magic model of chair, this one will only molest you if you use a secret passphrase. Otherwise it's a much more tame experience.</t>
  </si>
  <si>
    <t>Questing Outfit</t>
  </si>
  <si>
    <t>The school uniform at Yggdrasil isn't anything to sneeze at, it's both stylish and fashionable, and has just a hint of a military cut to it while also showing off just enough of the girl's body to let her be proud of her assets. However, it is the school uniform, and so it can come across as boring or restrictive at times. That's why you have your own personal uniform as well. Strictly speaking it's your battle outfit that you can be expected to go out into the field with, but you can wear it for other reasons as well.
And, as it's an outfit that you're going to get into fights while wearing, this particular set of clothing isn't just flattering to you, but perfectly suited towards your 'class' and fighting style. At first glance it may look a bit too revealing, but it's heavily enchanted with defensive properties that make it well worth it.
It's also supremely comfortable, will automatically clean itself after a few hours of you getting any mess on it, and can be summoned in an instant.</t>
  </si>
  <si>
    <t>Panties of Virginity</t>
  </si>
  <si>
    <t>Yggdrasil’s Equestrian club is just as over the top as the rest of the school, which is why they don't only ride horses, but also unicorns and other horse-type creatures. Now, there are some limits - unicorns will only allow virgins to ride them, which means none of the girls in the club can have a boyfriend. Or do anything with them if they had one. This has resulted in the club president becoming an anal freak because she needed an outlet and it would be too embarrassing if she broke her hymen masturbating and got kicked off her ride. So up the ass it was for her! Mind you, a certain male student fixed that - or ruined, depending on your perspective, I liked her being anal only - for her by providing her with these.
As long as a woman is wearing them, she spiritually and magically qualifies as a pure and chaste virgin.
As a side effect, wearing these also attracts men, perverts, and lewd scenarios that you specifically enjoy. Want a ghost to fuck you up the ass? That can happen.</t>
  </si>
  <si>
    <t>Ninja Academy</t>
  </si>
  <si>
    <t>Well this is awkward. Could it be that you are, in fact, NOT a student of Yggdrasil Girl's Magical Academy? And are instead a student at the nearby Ninja Village Academy? That would be quite a shame, Yggdrasil is the best and most prestigious school in the otherworld, but if you don't want to attend then far be it from me to stop you. Instead, you can use this option to choose your own school.
Said school will be entirely focused around a 'class' or 'job' of your choice, such as the given example of a school dedicated to the training of ninjas. However, pirates, knights, a specific kind of magic such as summoners, or even the perfect bridal training school are all options. Each of them will be somewhat over the top in a manner similar to Yggdrasil itself, though not to the same extent. As such, this school will teach not only things native to this world, but anything you have access to or have gathered that falls under the same umbrella as the theme of the school. The Ninja school will teach every kind of ninjutsu you have access to for example, while the White Mage school could potentially teach every healing technique you have access to - including medical ninjutsu, potentially.</t>
  </si>
  <si>
    <t>School Store</t>
  </si>
  <si>
    <t>Well this is interesting. Strictly speaking it really ought to be part of the school, but let's just set it aside for a moment. You now have a small kiosk inside Yggdrasil Girl’s Magical Academy, one that sells school supplies. Pens, pencils, paper, papyrus, inkstones, whatever the students want to do their homework on, you have some of that. And, as this is a magic school, there’s also a few other things, like magic wands, bows that shoot arrows made of moonlight, swords that burn the fae and undead alike, and scrolls of fireball. The interesting part here is the payment - you can take money of course, but the students will constantly and consistently try to pay for things with an effectively random supply of magical artifacts. Pens that make you write in cursive, hair ties that turn you into a redhead, shoes that have perfect grip on ice and other such surfaces and terrible grip on what ought to be solid ground, or bras that grow or shrink your breasts to a specific size. In other words, this either serves as extra income if you have time, or a nigh endless supply of gimmicky items you can have fun with.</t>
  </si>
  <si>
    <t>Fruit Of Your Loins</t>
  </si>
  <si>
    <t>Congratulations jumper, it’s a girl. You aren’t just an adult anymore, you’re a parent. Be proud of yourself for creating life! And also be terrified of all the things that could potentially go wrong. In any event, as your child, they have copies of all of your perks and some of your items at a reduced level of power, but a massive boost to latent potential. Oh, with the exception of your beauty perks - they have those at full power. That aside, if you were to raise them properly, give them love and care, and an education - from the best school in the world, Yggdrasil Girl's Magical Academy, for example - and they can easily match or even surpass you. And, uh, as something of a side note, you will find that your child is entirely willing to share their lovers with you if they think you aren’t getting any action. They might even insist upon it.</t>
  </si>
  <si>
    <t>The Otherworld</t>
  </si>
  <si>
    <t>Tell me, do you know what the structure of this world is like? Most people assume it’s round, but when you reach the edge, do you fall off, or simply reach the other side? In truth, it’s both round and flat - round, because that is the shape of the world, and flat, because the world is a coin. On one side is the Earth. On the other side is the Otherworld, where Yggdrasil Girl’s Magical Academy resides and most of the story takes place. You possess this coin, at least in part. From now on there is always a second world on the other side. In an ‘ordinary’ world, this will be a fantastical world that some special few make their way towards. In a more exciting world, you’ll find the other side to be simpler. Boring, even.
In either case, you will find yourself in possession of a school. The best school in the world, a close contender to Yggdrasil and its glorious excessiveness. You may be its principal, a teacher, on its board of education, or any position you please. You’ll find this school attracts special individuals who somehow manage to gather the power to cross worlds, and hopefully you can turn that to your advantage. While not quite so perverted as the Ero-Mage, they do tend to make excellent lovers.</t>
  </si>
  <si>
    <t>Brave Treasure, The Challenger</t>
  </si>
  <si>
    <t>A carriable wooden box with intricate designs and expensive decorations, sent to you as the supposed inheritance from an granduncle twice separated you never heard about. When you open it there's always a different artifact inside, from health potions to gold coins, from aphrodisiacs to a dagger made to purify the undead. Each one has a label and short instructions on how to use it. The coffer itself is nigh indestructible and seemingly trembles if you touch it around too much. From time to time it will only show a single short note inside, collecting these will show a message. Truth is that inside this wallet lies an ancient apprentice alchemist from the past, when she was studying about dimensional travel magic when she and her peers encountered Nyarlathotep, an entity she managed to fight to standstill thanks to their artifacts and cunning. However, the outer god enticed her comrades into betraying her and then she was sealed into this wallet form. It’s possible to free her with enough magic power or alchemical knowledge, or just following her instructions over time. She’s a very sweet and loyal girl despite all the trauma, if a bit clingy.</t>
  </si>
  <si>
    <t>Desolate Bow, The Fallen</t>
  </si>
  <si>
    <t>A single rustic recurve bow, with a strange string of silver colour attached to it. The bow has no decorations nor inscriptions, and seems like it was just carved out of some wood and sanded down just enough to be used. When used properly, the bow increases the range of your sight and the arrows shot with it always hit its target, going faster and stronger than they should, flying through the air while avoiding obstacles as if guided. If you are completely alone with it her voice will echo and she'll reveal herself. She's a fallen cupid, a creature of love and hope that used to be part of the heavens.
Something that will come as a surprise because of her generally depressed and hopeless attitude. You see, she thought that manipulating the feelings of people was wrong and her fellow cupids mocked and shunned her for it, after enduring harsh bullying, she was cast aside from her flock for the sin of tristitia, for now being happy enough and not spreading such love and happiness unto the world, thus being send sealed as a bow to this land to be used as a tool of war and bloodshed. She herself still wants to believe in good but her past experiences left her jaded and devastated. The fact that you can hear her and allow her to take her cupid form again seems to be a sign of being fated to you, but she considers it only a matter of time before you get tired of her too.</t>
  </si>
  <si>
    <t>Preemptive Nodachi, The Arch Nemesis</t>
  </si>
  <si>
    <t>A rusted japanese sword that looks more like useless junk. Its curved blade is rusty and chipped off, while the guard, handle and sheath were in terrible state barely recognizable as such. However the sword will return to a pristine state should it taste a bit of your blood, which would 'bond' you to her.
That's not all, beyond its sorry state, this one has a few secrets to show. When you use it in a 1v1 duel, you will always strike first, be it by external sources at the moment or your enemy just making a mistake, you're guaranteed to always get the first strike. The second is that the sword has a will of its own and will communicate telepathically with you, considering you her master and partner, and offering advice to the best of her ability, as it turns out the sword was created by a witch with her blacksmith husband by using their own daughter as part of the material. Her last known trick is to use your blood to repair herself, while also being able to 'drink' the blood from fallen enemies to gain strength and even some of their abilities. Secretly, taking enough of your blood (or other liquids from your body) over several sessions, she will be able to manifest her human form once again.</t>
  </si>
  <si>
    <t>Hentai Grade Sex Drive</t>
  </si>
  <si>
    <t>The Queen Of Penis</t>
  </si>
  <si>
    <t>The Futanari gender, as a whole, is more than a bit over the top compared to the more ‘normal’ genders. It turns out being both at once has consequences, whodathunk? More precisely, a lot of your sexual attributes are twice that of a normal person. Your dick is twice as big as the average guy, your breasts are twice as big as the average woman, and you can cum twice as much and last twice as long - and often those measurements are against a man and a woman, not just one of them. Hell, even once you’re wrung out, you can get hard again twice as fast. It’s almost like you have a body made purely for having sex or something.</t>
  </si>
  <si>
    <t>Here you can find all the perks that provide you with, well, an alternate form. Generally, when a perk talked about altering your body too far from your baseline, it ended up here. This is also where all the semi-original perks developed from Origins went.</t>
  </si>
  <si>
    <t>Here are all the perks that give you speed, strength, stamina, or looks. It also includes almost all of the clothing, and a few other things here and there.</t>
  </si>
  <si>
    <t>These are the nasty perks. The NTR and mindbreak ones, most of them anyway. The ones that turn your lovers into beautifully ruined things.</t>
  </si>
  <si>
    <t>Ways to enhance or control your fertility paired with all the perks that affect your relationship with your children, siblings, parents etc. Here you have both contraception and its opposite, as well as ways to fuck your mom.</t>
  </si>
  <si>
    <t>Spells, spellcraft, and enchanted items. Mostly tantric, of course. Now, a number of these perks give what boils down to 'a bundle of lewd magical spells', with only minimal differentiation. You'll have to use differences in the description, cost, and even look into the original jumpchain if you want a firmer divide between them.</t>
  </si>
  <si>
    <t>Your mind, other's minds, and the means of controlling them all. Mind control and the means to resist it, yes, but also effects like the Someone Else's Problem field, or alterations to common sense.</t>
  </si>
  <si>
    <t>Home is where the heart is, or wherever you store that at least. Personally, I think a pocket dimension that only you have access too is the best place to hide something so valuable.</t>
  </si>
  <si>
    <r>
      <rPr>
        <sz val="13"/>
        <color theme="1"/>
        <rFont val="Calibri"/>
        <family val="2"/>
      </rPr>
      <t xml:space="preserve">How could I make something like this without adding all the porn I possibly could to it? Also, sextoys. Also, video cameras to </t>
    </r>
    <r>
      <rPr>
        <i/>
        <sz val="13"/>
        <color theme="1"/>
        <rFont val="Calibri"/>
        <family val="2"/>
      </rPr>
      <t>make</t>
    </r>
    <r>
      <rPr>
        <sz val="13"/>
        <color theme="1"/>
        <rFont val="Calibri"/>
        <family val="2"/>
      </rPr>
      <t xml:space="preserve"> porn. And a bunch of miscellanea that didn't fit anywhere else.</t>
    </r>
  </si>
  <si>
    <t>Sexy powers, powerful sex, and sex as power, or something like that. Anything that isn't explicitly from any of the other categories ended up here. Enjoy the sandwiches.</t>
  </si>
  <si>
    <t>They say your true strength is the people you surround yourself with. Here, there's plenty of perks that will make that true. Ways to stay in the heart or break them, ways to make their love your fist, or to send them to fight in your place. Also, all the harem perks.</t>
  </si>
  <si>
    <t>It's all very well and good having all these perks that make sex great, but how are you going to get in their pants? Well, this category is your answer. Every way to seduce, bedazzle, and straight up find as many partners as you want.</t>
  </si>
  <si>
    <t>Have you ever wanted to know how to blow someone's mind with ten seconds, their genitals, and your pinkie? Because here's your chance! Anything that makes you more skilled is here. Sex skills, sure, but also other, more normal things. Usually with a lewd bent, obviously.</t>
  </si>
  <si>
    <t>Why be you, when you could be new? Everything you are, everything they are, is just the starting point. Here, you will recieve the tools to reshape it all to your needs.</t>
  </si>
  <si>
    <t>TCB V 1.3 - 10/12/2024</t>
  </si>
  <si>
    <t>-MAJOR BUG FIX: The formula to set perks to Purchased...was only in the first cell. Because I am an idiot. Fixed.</t>
  </si>
  <si>
    <t>TCB V 1.2 - 7/12/2024</t>
  </si>
  <si>
    <t>- New FAQ question added 'Why can't I edit anything?' thanks to some troubles had be Orz.</t>
  </si>
  <si>
    <t>TCB V 1.1 - 4/12/2024</t>
  </si>
  <si>
    <t>- Cell references in the perk selection formula on Calculation sheet were misaligned. Fixed.</t>
  </si>
  <si>
    <t>TCB V 1.0 - 4/12/2024</t>
  </si>
  <si>
    <t>Release version!</t>
  </si>
  <si>
    <t>Jumpdocs</t>
  </si>
  <si>
    <t>Backup Jumpdocs</t>
  </si>
  <si>
    <t>Kemokko Zoo (GDoc)</t>
  </si>
  <si>
    <t>?? Roll All</t>
  </si>
  <si>
    <t>Last recalculation:</t>
  </si>
  <si>
    <t>Toggle B4 to 'Roll!' then back to 'Ready' to re-roll this workbook.</t>
  </si>
  <si>
    <t>Toggle:</t>
  </si>
  <si>
    <t>Ready</t>
  </si>
  <si>
    <t>Results</t>
  </si>
  <si>
    <t>Place/link your results here (named range ROLL_RESULTS)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</si>
</sst>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x14ac:knownFonts="1">
    <font>
      <sz val="10"/>
      <color rgb="FF000000"/>
      <name val="Arial"/>
      <scheme val="minor"/>
    </font>
    <font>
      <sz val="11"/>
      <color theme="1"/>
      <name val="Arial"/>
      <family val="2"/>
      <scheme val="minor"/>
    </font>
    <font>
      <sz val="13"/>
      <color theme="1"/>
      <name val="Calibri"/>
      <family val="2"/>
    </font>
    <font>
      <sz val="36"/>
      <color theme="1"/>
      <name val="Calibri"/>
      <family val="2"/>
    </font>
    <font>
      <sz val="10"/>
      <name val="Arial"/>
      <family val="2"/>
    </font>
    <font>
      <b/>
      <u/>
      <sz val="13"/>
      <color rgb="FF0000FF"/>
      <name val="Calibri"/>
      <family val="2"/>
    </font>
    <font>
      <sz val="10"/>
      <color theme="1"/>
      <name val="Arial"/>
      <family val="2"/>
      <scheme val="minor"/>
    </font>
    <font>
      <b/>
      <sz val="13"/>
      <color theme="1"/>
      <name val="Calibri"/>
      <family val="2"/>
    </font>
    <font>
      <b/>
      <u/>
      <sz val="13"/>
      <color rgb="FF0000FF"/>
      <name val="Calibri"/>
      <family val="2"/>
    </font>
    <font>
      <u/>
      <sz val="13"/>
      <color rgb="FF0000FF"/>
      <name val="Calibri"/>
      <family val="2"/>
    </font>
    <font>
      <sz val="14"/>
      <color theme="1"/>
      <name val="Calibri"/>
      <family val="2"/>
    </font>
    <font>
      <sz val="13"/>
      <color rgb="FF000000"/>
      <name val="Calibri"/>
      <family val="2"/>
    </font>
    <font>
      <sz val="13"/>
      <color rgb="FFD9D2E9"/>
      <name val="Calibri"/>
      <family val="2"/>
    </font>
    <font>
      <sz val="10"/>
      <color theme="1"/>
      <name val="Arial"/>
      <family val="2"/>
    </font>
    <font>
      <u/>
      <sz val="13"/>
      <color rgb="FF7289DA"/>
      <name val="Calibri"/>
      <family val="2"/>
    </font>
    <font>
      <u/>
      <sz val="13"/>
      <color rgb="FF7289DA"/>
      <name val="Calibri"/>
      <family val="2"/>
    </font>
    <font>
      <u/>
      <sz val="13"/>
      <color rgb="FF0000FF"/>
      <name val="Calibri"/>
      <family val="2"/>
    </font>
    <font>
      <u/>
      <sz val="13"/>
      <color rgb="FF0000FF"/>
      <name val="Calibri"/>
      <family val="2"/>
    </font>
    <font>
      <i/>
      <sz val="13"/>
      <color theme="1"/>
      <name val="Calibri"/>
      <family val="2"/>
    </font>
    <font>
      <b/>
      <sz val="13"/>
      <name val="Calibri"/>
      <family val="2"/>
    </font>
    <font>
      <sz val="13"/>
      <name val="Calibri"/>
      <family val="2"/>
    </font>
    <font>
      <b/>
      <u/>
      <sz val="13"/>
      <color rgb="FF7289DA"/>
      <name val="Calibri"/>
      <family val="2"/>
    </font>
    <font>
      <i/>
      <sz val="13"/>
      <name val="Calibri"/>
      <family val="2"/>
    </font>
    <font>
      <strike/>
      <sz val="13"/>
      <color theme="1"/>
      <name val="Calibri"/>
      <family val="2"/>
    </font>
    <font>
      <u/>
      <sz val="13"/>
      <color theme="1"/>
      <name val="Calibri"/>
      <family val="2"/>
    </font>
    <font>
      <i/>
      <u/>
      <sz val="13"/>
      <color theme="1"/>
      <name val="Calibri"/>
      <family val="2"/>
    </font>
    <font>
      <b/>
      <u/>
      <sz val="13"/>
      <color theme="1"/>
      <name val="Calibri"/>
      <family val="2"/>
    </font>
    <font>
      <sz val="10"/>
      <color rgb="FF000000"/>
      <name val="Arial"/>
      <family val="2"/>
      <scheme val="minor"/>
    </font>
    <font>
      <b/>
      <sz val="10"/>
      <color rgb="FF000000"/>
      <name val="Arial"/>
      <family val="2"/>
      <scheme val="minor"/>
    </font>
    <font>
      <b/>
      <sz val="20"/>
      <color rgb="FF000000"/>
      <name val="Arial"/>
      <family val="2"/>
      <scheme val="minor"/>
    </font>
  </fonts>
  <fills count="8">
    <fill>
      <patternFill patternType="none"/>
    </fill>
    <fill>
      <patternFill patternType="gray125"/>
    </fill>
    <fill>
      <patternFill patternType="solid">
        <fgColor rgb="FF000000"/>
        <bgColor rgb="FF000000"/>
      </patternFill>
    </fill>
    <fill>
      <patternFill patternType="solid">
        <fgColor rgb="FF8E7CC3"/>
        <bgColor rgb="FF8E7CC3"/>
      </patternFill>
    </fill>
    <fill>
      <patternFill patternType="solid">
        <fgColor rgb="FFD9D2E9"/>
        <bgColor rgb="FFD9D2E9"/>
      </patternFill>
    </fill>
    <fill>
      <patternFill patternType="solid">
        <fgColor rgb="FFB4A7D6"/>
        <bgColor rgb="FFB4A7D6"/>
      </patternFill>
    </fill>
    <fill>
      <patternFill patternType="solid">
        <fgColor rgb="FFFFFFFF"/>
        <bgColor rgb="FFFFFFFF"/>
      </patternFill>
    </fill>
    <fill>
      <patternFill patternType="solid">
        <fgColor rgb="FFF1C232"/>
        <bgColor rgb="FFF1C232"/>
      </patternFill>
    </fill>
  </fills>
  <borders count="4">
    <border>
      <left/>
      <right/>
      <top/>
      <bottom/>
      <diagonal/>
    </border>
    <border>
      <left/>
      <right/>
      <top style="thin">
        <color rgb="FF000000"/>
      </top>
      <bottom/>
      <diagonal/>
    </border>
    <border>
      <left/>
      <right/>
      <top/>
      <bottom style="thin">
        <color rgb="FF000000"/>
      </bottom>
      <diagonal/>
    </border>
    <border>
      <left/>
      <right/>
      <top style="thin">
        <color rgb="FF000000"/>
      </top>
      <bottom style="thin">
        <color rgb="FF000000"/>
      </bottom>
      <diagonal/>
    </border>
  </borders>
  <cellStyleXfs count="2">
    <xf numFmtId="0" fontId="0" fillId="0" borderId="0"/>
    <xf numFmtId="0" fontId="1" fillId="0" borderId="0"/>
  </cellStyleXfs>
  <cellXfs count="56">
    <xf numFmtId="0" fontId="0" fillId="0" borderId="0" xfId="0"/>
    <xf numFmtId="0" fontId="2" fillId="2" borderId="0" xfId="0" applyFont="1" applyFill="1" applyAlignment="1">
      <alignment horizontal="center" vertical="center" wrapText="1"/>
    </xf>
    <xf numFmtId="0" fontId="2" fillId="0" borderId="0" xfId="0" applyFont="1" applyAlignment="1">
      <alignment horizontal="center" vertical="center" wrapText="1"/>
    </xf>
    <xf numFmtId="0" fontId="2" fillId="4" borderId="0" xfId="0" applyFont="1" applyFill="1" applyAlignment="1">
      <alignment horizontal="center" vertical="center" wrapText="1"/>
    </xf>
    <xf numFmtId="0" fontId="2" fillId="5" borderId="0" xfId="0" applyFont="1" applyFill="1" applyAlignment="1">
      <alignment horizontal="center" vertical="center" wrapText="1"/>
    </xf>
    <xf numFmtId="0" fontId="6" fillId="2" borderId="0" xfId="0" applyFont="1" applyFill="1"/>
    <xf numFmtId="0" fontId="2" fillId="2" borderId="0" xfId="0" applyFont="1" applyFill="1"/>
    <xf numFmtId="0" fontId="10" fillId="5" borderId="0" xfId="0" applyFont="1" applyFill="1" applyAlignment="1">
      <alignment horizontal="center" vertical="center" wrapText="1"/>
    </xf>
    <xf numFmtId="0" fontId="10" fillId="4" borderId="0" xfId="0" applyFont="1" applyFill="1" applyAlignment="1">
      <alignment horizontal="center" vertical="center" wrapText="1"/>
    </xf>
    <xf numFmtId="0" fontId="2" fillId="5" borderId="3" xfId="0" applyFont="1" applyFill="1" applyBorder="1" applyAlignment="1">
      <alignment horizontal="center" vertical="center" wrapText="1"/>
    </xf>
    <xf numFmtId="0" fontId="2" fillId="3" borderId="0" xfId="0" applyFont="1" applyFill="1" applyAlignment="1">
      <alignment horizontal="center" vertical="center" wrapText="1"/>
    </xf>
    <xf numFmtId="0" fontId="11" fillId="2" borderId="0" xfId="0" applyFont="1" applyFill="1" applyAlignment="1">
      <alignment horizontal="center" vertical="center" wrapText="1"/>
    </xf>
    <xf numFmtId="0" fontId="12" fillId="2" borderId="0" xfId="0" applyFont="1" applyFill="1" applyAlignment="1">
      <alignment vertical="top" textRotation="255"/>
    </xf>
    <xf numFmtId="0" fontId="2" fillId="0" borderId="0" xfId="0" applyFont="1"/>
    <xf numFmtId="0" fontId="11" fillId="3" borderId="0" xfId="0" applyFont="1" applyFill="1" applyAlignment="1">
      <alignment horizontal="center" vertical="center" wrapText="1"/>
    </xf>
    <xf numFmtId="0" fontId="2" fillId="3" borderId="0" xfId="0" applyFont="1" applyFill="1"/>
    <xf numFmtId="0" fontId="2" fillId="2"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Alignment="1">
      <alignment wrapText="1"/>
    </xf>
    <xf numFmtId="0" fontId="6" fillId="3" borderId="0" xfId="0" applyFont="1" applyFill="1"/>
    <xf numFmtId="0" fontId="2" fillId="0" borderId="0" xfId="0" applyFont="1" applyAlignment="1">
      <alignment horizontal="center" vertical="center"/>
    </xf>
    <xf numFmtId="0" fontId="2" fillId="6" borderId="0" xfId="0" applyFont="1" applyFill="1" applyAlignment="1">
      <alignment horizontal="center" vertical="center"/>
    </xf>
    <xf numFmtId="0" fontId="2" fillId="0" borderId="0" xfId="0" quotePrefix="1" applyFont="1" applyAlignment="1">
      <alignment horizontal="center" vertical="center" wrapText="1"/>
    </xf>
    <xf numFmtId="0" fontId="2" fillId="7" borderId="0" xfId="0" applyFont="1" applyFill="1" applyAlignment="1">
      <alignment horizontal="center" vertical="center"/>
    </xf>
    <xf numFmtId="0" fontId="2" fillId="7" borderId="0" xfId="0" applyFont="1" applyFill="1" applyAlignment="1">
      <alignment horizontal="center" vertical="center" wrapText="1"/>
    </xf>
    <xf numFmtId="0" fontId="2" fillId="6" borderId="0" xfId="0" applyFont="1" applyFill="1" applyAlignment="1">
      <alignment horizontal="center" vertical="center" wrapText="1"/>
    </xf>
    <xf numFmtId="0" fontId="3" fillId="2" borderId="0" xfId="0" applyFont="1" applyFill="1" applyAlignment="1">
      <alignment horizontal="center" vertical="center" wrapText="1"/>
    </xf>
    <xf numFmtId="0" fontId="11" fillId="6" borderId="0" xfId="0" applyFont="1" applyFill="1" applyAlignment="1">
      <alignment horizontal="left"/>
    </xf>
    <xf numFmtId="0" fontId="13" fillId="0" borderId="0" xfId="0" applyFont="1" applyAlignment="1">
      <alignment wrapText="1"/>
    </xf>
    <xf numFmtId="0" fontId="14" fillId="5" borderId="0" xfId="0" applyFont="1" applyFill="1"/>
    <xf numFmtId="0" fontId="15" fillId="4" borderId="0" xfId="0" applyFont="1" applyFill="1"/>
    <xf numFmtId="0" fontId="2" fillId="4" borderId="0" xfId="0" applyFont="1" applyFill="1"/>
    <xf numFmtId="0" fontId="2" fillId="5" borderId="0" xfId="0" applyFont="1" applyFill="1"/>
    <xf numFmtId="0" fontId="16" fillId="5" borderId="0" xfId="0" applyFont="1" applyFill="1"/>
    <xf numFmtId="0" fontId="17" fillId="4" borderId="0" xfId="0" applyFont="1" applyFill="1"/>
    <xf numFmtId="0" fontId="28" fillId="0" borderId="0" xfId="0" applyFont="1"/>
    <xf numFmtId="0" fontId="29" fillId="0" borderId="0" xfId="0" applyFont="1"/>
    <xf numFmtId="22" fontId="0" fillId="0" borderId="0" xfId="0" applyNumberFormat="1"/>
    <xf numFmtId="0" fontId="3" fillId="3" borderId="1" xfId="0" applyFont="1" applyFill="1" applyBorder="1" applyAlignment="1">
      <alignment horizontal="center" vertical="center" wrapText="1"/>
    </xf>
    <xf numFmtId="0" fontId="4" fillId="0" borderId="1" xfId="0" applyFont="1" applyBorder="1"/>
    <xf numFmtId="0" fontId="0" fillId="0" borderId="0" xfId="0"/>
    <xf numFmtId="0" fontId="4" fillId="0" borderId="2" xfId="0" applyFont="1" applyBorder="1"/>
    <xf numFmtId="0" fontId="2" fillId="4" borderId="0" xfId="0" applyFont="1" applyFill="1" applyAlignment="1">
      <alignment horizontal="center" vertical="center" wrapText="1"/>
    </xf>
    <xf numFmtId="0" fontId="2" fillId="5" borderId="0" xfId="0" applyFont="1" applyFill="1" applyAlignment="1">
      <alignment horizontal="center" vertical="center" wrapText="1"/>
    </xf>
    <xf numFmtId="0" fontId="2" fillId="4" borderId="0" xfId="0" applyFont="1" applyFill="1" applyAlignment="1">
      <alignment horizontal="center" vertical="center"/>
    </xf>
    <xf numFmtId="0" fontId="8" fillId="5" borderId="0" xfId="0" applyFont="1" applyFill="1" applyAlignment="1">
      <alignment horizontal="center" vertical="center" wrapText="1"/>
    </xf>
    <xf numFmtId="0" fontId="9" fillId="4" borderId="0" xfId="0" applyFont="1" applyFill="1" applyAlignment="1">
      <alignment horizontal="center" vertical="center" wrapText="1"/>
    </xf>
    <xf numFmtId="0" fontId="5" fillId="4" borderId="0" xfId="0" applyFont="1" applyFill="1" applyAlignment="1">
      <alignment horizontal="center" vertical="center" wrapText="1"/>
    </xf>
    <xf numFmtId="0" fontId="7" fillId="4" borderId="0" xfId="0" applyFont="1" applyFill="1" applyAlignment="1">
      <alignment horizontal="center" vertical="center" wrapText="1"/>
    </xf>
    <xf numFmtId="0" fontId="3" fillId="3" borderId="3" xfId="0" applyFont="1" applyFill="1" applyBorder="1" applyAlignment="1">
      <alignment horizontal="center" vertical="center" wrapText="1"/>
    </xf>
    <xf numFmtId="0" fontId="4" fillId="0" borderId="3" xfId="0" applyFont="1" applyBorder="1"/>
    <xf numFmtId="0" fontId="2" fillId="3" borderId="1" xfId="0" applyFont="1" applyFill="1" applyBorder="1" applyAlignment="1">
      <alignment horizontal="center" vertical="center" wrapText="1"/>
    </xf>
    <xf numFmtId="0" fontId="10" fillId="4" borderId="0" xfId="0" applyFont="1" applyFill="1" applyAlignment="1">
      <alignment horizontal="center" vertical="center" wrapText="1"/>
    </xf>
    <xf numFmtId="0" fontId="12" fillId="3" borderId="0" xfId="0" applyFont="1" applyFill="1" applyAlignment="1">
      <alignment vertical="top" textRotation="255"/>
    </xf>
    <xf numFmtId="0" fontId="3" fillId="3" borderId="0" xfId="0" applyFont="1" applyFill="1" applyAlignment="1">
      <alignment horizontal="center" vertical="center" wrapText="1"/>
    </xf>
    <xf numFmtId="0" fontId="2" fillId="3" borderId="0" xfId="0" applyFont="1" applyFill="1" applyAlignment="1">
      <alignment horizontal="center" vertical="center" wrapText="1"/>
    </xf>
  </cellXfs>
  <cellStyles count="2">
    <cellStyle name="Normal" xfId="0" builtinId="0"/>
    <cellStyle name="Normal 2" xfId="1" xr:uid="{5538F52F-015B-4987-9295-F1AD0773DD22}"/>
  </cellStyles>
  <dxfs count="79">
    <dxf>
      <font>
        <color rgb="FF000000"/>
      </font>
      <fill>
        <patternFill patternType="solid">
          <fgColor rgb="FF000000"/>
          <bgColor rgb="FF000000"/>
        </patternFill>
      </fill>
    </dxf>
    <dxf>
      <font>
        <color rgb="FF8E7CC3"/>
      </font>
      <fill>
        <patternFill patternType="solid">
          <fgColor rgb="FF000000"/>
          <bgColor rgb="FF000000"/>
        </patternFill>
      </fill>
    </dxf>
    <dxf>
      <font>
        <color rgb="FF000000"/>
      </font>
      <fill>
        <patternFill patternType="solid">
          <fgColor rgb="FF000000"/>
          <bgColor rgb="FF000000"/>
        </patternFill>
      </fill>
    </dxf>
    <dxf>
      <font>
        <color rgb="FF8E7CC3"/>
      </font>
      <fill>
        <patternFill patternType="solid">
          <fgColor rgb="FF000000"/>
          <bgColor rgb="FF000000"/>
        </patternFill>
      </fill>
    </dxf>
    <dxf>
      <font>
        <color rgb="FF000000"/>
      </font>
      <fill>
        <patternFill patternType="solid">
          <fgColor rgb="FF000000"/>
          <bgColor rgb="FF000000"/>
        </patternFill>
      </fill>
    </dxf>
    <dxf>
      <font>
        <color rgb="FF8E7CC3"/>
      </font>
      <fill>
        <patternFill patternType="solid">
          <fgColor rgb="FF000000"/>
          <bgColor rgb="FF000000"/>
        </patternFill>
      </fill>
    </dxf>
    <dxf>
      <font>
        <color rgb="FF000000"/>
      </font>
      <fill>
        <patternFill patternType="solid">
          <fgColor rgb="FF000000"/>
          <bgColor rgb="FF000000"/>
        </patternFill>
      </fill>
    </dxf>
    <dxf>
      <font>
        <color rgb="FF8E7CC3"/>
      </font>
      <fill>
        <patternFill patternType="solid">
          <fgColor rgb="FF000000"/>
          <bgColor rgb="FF000000"/>
        </patternFill>
      </fill>
    </dxf>
    <dxf>
      <font>
        <color rgb="FF000000"/>
      </font>
      <fill>
        <patternFill patternType="solid">
          <fgColor rgb="FF000000"/>
          <bgColor rgb="FF000000"/>
        </patternFill>
      </fill>
    </dxf>
    <dxf>
      <font>
        <color rgb="FF8E7CC3"/>
      </font>
      <fill>
        <patternFill patternType="solid">
          <fgColor rgb="FF000000"/>
          <bgColor rgb="FF000000"/>
        </patternFill>
      </fill>
    </dxf>
    <dxf>
      <font>
        <color rgb="FF000000"/>
      </font>
      <fill>
        <patternFill patternType="solid">
          <fgColor rgb="FF000000"/>
          <bgColor rgb="FF000000"/>
        </patternFill>
      </fill>
    </dxf>
    <dxf>
      <font>
        <color rgb="FF8E7CC3"/>
      </font>
      <fill>
        <patternFill patternType="solid">
          <fgColor rgb="FF000000"/>
          <bgColor rgb="FF000000"/>
        </patternFill>
      </fill>
    </dxf>
    <dxf>
      <font>
        <color rgb="FF000000"/>
      </font>
      <fill>
        <patternFill patternType="solid">
          <fgColor rgb="FF000000"/>
          <bgColor rgb="FF000000"/>
        </patternFill>
      </fill>
    </dxf>
    <dxf>
      <font>
        <color rgb="FF8E7CC3"/>
      </font>
      <fill>
        <patternFill patternType="solid">
          <fgColor rgb="FF000000"/>
          <bgColor rgb="FF000000"/>
        </patternFill>
      </fill>
    </dxf>
    <dxf>
      <font>
        <color rgb="FF000000"/>
      </font>
      <fill>
        <patternFill patternType="solid">
          <fgColor rgb="FF000000"/>
          <bgColor rgb="FF000000"/>
        </patternFill>
      </fill>
    </dxf>
    <dxf>
      <font>
        <color rgb="FF8E7CC3"/>
      </font>
      <fill>
        <patternFill patternType="solid">
          <fgColor rgb="FF000000"/>
          <bgColor rgb="FF000000"/>
        </patternFill>
      </fill>
    </dxf>
    <dxf>
      <font>
        <color rgb="FF000000"/>
      </font>
      <fill>
        <patternFill patternType="solid">
          <fgColor rgb="FF000000"/>
          <bgColor rgb="FF000000"/>
        </patternFill>
      </fill>
    </dxf>
    <dxf>
      <font>
        <color rgb="FF8E7CC3"/>
      </font>
      <fill>
        <patternFill patternType="solid">
          <fgColor rgb="FF000000"/>
          <bgColor rgb="FF000000"/>
        </patternFill>
      </fill>
    </dxf>
    <dxf>
      <font>
        <color rgb="FF000000"/>
      </font>
      <fill>
        <patternFill patternType="solid">
          <fgColor rgb="FF000000"/>
          <bgColor rgb="FF000000"/>
        </patternFill>
      </fill>
    </dxf>
    <dxf>
      <font>
        <color rgb="FF8E7CC3"/>
      </font>
      <fill>
        <patternFill patternType="solid">
          <fgColor rgb="FF000000"/>
          <bgColor rgb="FF000000"/>
        </patternFill>
      </fill>
    </dxf>
    <dxf>
      <font>
        <color rgb="FF000000"/>
      </font>
      <fill>
        <patternFill patternType="solid">
          <fgColor rgb="FF000000"/>
          <bgColor rgb="FF000000"/>
        </patternFill>
      </fill>
    </dxf>
    <dxf>
      <font>
        <color rgb="FF8E7CC3"/>
      </font>
      <fill>
        <patternFill patternType="solid">
          <fgColor rgb="FF000000"/>
          <bgColor rgb="FF000000"/>
        </patternFill>
      </fill>
    </dxf>
    <dxf>
      <font>
        <color rgb="FF000000"/>
      </font>
      <fill>
        <patternFill patternType="solid">
          <fgColor rgb="FF000000"/>
          <bgColor rgb="FF000000"/>
        </patternFill>
      </fill>
    </dxf>
    <dxf>
      <font>
        <color rgb="FF8E7CC3"/>
      </font>
      <fill>
        <patternFill patternType="solid">
          <fgColor rgb="FF000000"/>
          <bgColor rgb="FF000000"/>
        </patternFill>
      </fill>
    </dxf>
    <dxf>
      <font>
        <color rgb="FF000000"/>
      </font>
      <fill>
        <patternFill patternType="solid">
          <fgColor rgb="FF000000"/>
          <bgColor rgb="FF000000"/>
        </patternFill>
      </fill>
    </dxf>
    <dxf>
      <font>
        <color rgb="FF8E7CC3"/>
      </font>
      <fill>
        <patternFill patternType="solid">
          <fgColor rgb="FF000000"/>
          <bgColor rgb="FF000000"/>
        </patternFill>
      </fill>
    </dxf>
    <dxf>
      <font>
        <color rgb="FF000000"/>
      </font>
      <fill>
        <patternFill patternType="solid">
          <fgColor rgb="FF000000"/>
          <bgColor rgb="FF000000"/>
        </patternFill>
      </fill>
    </dxf>
    <dxf>
      <font>
        <color rgb="FF8E7CC3"/>
      </font>
      <fill>
        <patternFill patternType="solid">
          <fgColor rgb="FF000000"/>
          <bgColor rgb="FF000000"/>
        </patternFill>
      </fill>
    </dxf>
    <dxf>
      <font>
        <color rgb="FF000000"/>
      </font>
      <fill>
        <patternFill patternType="solid">
          <fgColor rgb="FF000000"/>
          <bgColor rgb="FF000000"/>
        </patternFill>
      </fill>
    </dxf>
    <dxf>
      <fill>
        <patternFill patternType="solid">
          <fgColor rgb="FFB4A7D6"/>
          <bgColor rgb="FFB4A7D6"/>
        </patternFill>
      </fill>
    </dxf>
    <dxf>
      <fill>
        <patternFill patternType="solid">
          <fgColor rgb="FFD9D2E9"/>
          <bgColor rgb="FFD9D2E9"/>
        </patternFill>
      </fill>
    </dxf>
    <dxf>
      <fill>
        <patternFill patternType="solid">
          <fgColor rgb="FF8E7CC3"/>
          <bgColor rgb="FF8E7CC3"/>
        </patternFill>
      </fill>
    </dxf>
    <dxf>
      <fill>
        <patternFill patternType="solid">
          <fgColor rgb="FFB4A7D6"/>
          <bgColor rgb="FFB4A7D6"/>
        </patternFill>
      </fill>
    </dxf>
    <dxf>
      <fill>
        <patternFill patternType="solid">
          <fgColor rgb="FFD9D2E9"/>
          <bgColor rgb="FFD9D2E9"/>
        </patternFill>
      </fill>
    </dxf>
    <dxf>
      <fill>
        <patternFill patternType="solid">
          <fgColor rgb="FF8E7CC3"/>
          <bgColor rgb="FF8E7CC3"/>
        </patternFill>
      </fill>
    </dxf>
    <dxf>
      <fill>
        <patternFill patternType="solid">
          <fgColor rgb="FFB4A7D6"/>
          <bgColor rgb="FFB4A7D6"/>
        </patternFill>
      </fill>
    </dxf>
    <dxf>
      <fill>
        <patternFill patternType="solid">
          <fgColor rgb="FFD9D2E9"/>
          <bgColor rgb="FFD9D2E9"/>
        </patternFill>
      </fill>
    </dxf>
    <dxf>
      <fill>
        <patternFill patternType="solid">
          <fgColor rgb="FF8E7CC3"/>
          <bgColor rgb="FF8E7CC3"/>
        </patternFill>
      </fill>
    </dxf>
    <dxf>
      <fill>
        <patternFill patternType="solid">
          <fgColor rgb="FFB4A7D6"/>
          <bgColor rgb="FFB4A7D6"/>
        </patternFill>
      </fill>
    </dxf>
    <dxf>
      <fill>
        <patternFill patternType="solid">
          <fgColor rgb="FFD9D2E9"/>
          <bgColor rgb="FFD9D2E9"/>
        </patternFill>
      </fill>
    </dxf>
    <dxf>
      <fill>
        <patternFill patternType="solid">
          <fgColor rgb="FF8E7CC3"/>
          <bgColor rgb="FF8E7CC3"/>
        </patternFill>
      </fill>
    </dxf>
    <dxf>
      <fill>
        <patternFill patternType="solid">
          <fgColor rgb="FFB4A7D6"/>
          <bgColor rgb="FFB4A7D6"/>
        </patternFill>
      </fill>
    </dxf>
    <dxf>
      <fill>
        <patternFill patternType="solid">
          <fgColor rgb="FFD9D2E9"/>
          <bgColor rgb="FFD9D2E9"/>
        </patternFill>
      </fill>
    </dxf>
    <dxf>
      <fill>
        <patternFill patternType="solid">
          <fgColor rgb="FF8E7CC3"/>
          <bgColor rgb="FF8E7CC3"/>
        </patternFill>
      </fill>
    </dxf>
    <dxf>
      <fill>
        <patternFill patternType="solid">
          <fgColor rgb="FFB4A7D6"/>
          <bgColor rgb="FFB4A7D6"/>
        </patternFill>
      </fill>
    </dxf>
    <dxf>
      <fill>
        <patternFill patternType="solid">
          <fgColor rgb="FFD9D2E9"/>
          <bgColor rgb="FFD9D2E9"/>
        </patternFill>
      </fill>
    </dxf>
    <dxf>
      <fill>
        <patternFill patternType="solid">
          <fgColor rgb="FF8E7CC3"/>
          <bgColor rgb="FF8E7CC3"/>
        </patternFill>
      </fill>
    </dxf>
    <dxf>
      <fill>
        <patternFill patternType="solid">
          <fgColor rgb="FFB4A7D6"/>
          <bgColor rgb="FFB4A7D6"/>
        </patternFill>
      </fill>
    </dxf>
    <dxf>
      <fill>
        <patternFill patternType="solid">
          <fgColor rgb="FFD9D2E9"/>
          <bgColor rgb="FFD9D2E9"/>
        </patternFill>
      </fill>
    </dxf>
    <dxf>
      <fill>
        <patternFill patternType="solid">
          <fgColor rgb="FF8E7CC3"/>
          <bgColor rgb="FF8E7CC3"/>
        </patternFill>
      </fill>
    </dxf>
    <dxf>
      <fill>
        <patternFill patternType="solid">
          <fgColor rgb="FFB4A7D6"/>
          <bgColor rgb="FFB4A7D6"/>
        </patternFill>
      </fill>
    </dxf>
    <dxf>
      <fill>
        <patternFill patternType="solid">
          <fgColor rgb="FFD9D2E9"/>
          <bgColor rgb="FFD9D2E9"/>
        </patternFill>
      </fill>
    </dxf>
    <dxf>
      <fill>
        <patternFill patternType="solid">
          <fgColor rgb="FF8E7CC3"/>
          <bgColor rgb="FF8E7CC3"/>
        </patternFill>
      </fill>
    </dxf>
    <dxf>
      <fill>
        <patternFill patternType="solid">
          <fgColor rgb="FFB4A7D6"/>
          <bgColor rgb="FFB4A7D6"/>
        </patternFill>
      </fill>
    </dxf>
    <dxf>
      <fill>
        <patternFill patternType="solid">
          <fgColor rgb="FFD9D2E9"/>
          <bgColor rgb="FFD9D2E9"/>
        </patternFill>
      </fill>
    </dxf>
    <dxf>
      <fill>
        <patternFill patternType="solid">
          <fgColor rgb="FF8E7CC3"/>
          <bgColor rgb="FF8E7CC3"/>
        </patternFill>
      </fill>
    </dxf>
    <dxf>
      <fill>
        <patternFill patternType="solid">
          <fgColor rgb="FFB4A7D6"/>
          <bgColor rgb="FFB4A7D6"/>
        </patternFill>
      </fill>
    </dxf>
    <dxf>
      <fill>
        <patternFill patternType="solid">
          <fgColor rgb="FFD9D2E9"/>
          <bgColor rgb="FFD9D2E9"/>
        </patternFill>
      </fill>
    </dxf>
    <dxf>
      <fill>
        <patternFill patternType="solid">
          <fgColor rgb="FF8E7CC3"/>
          <bgColor rgb="FF8E7CC3"/>
        </patternFill>
      </fill>
    </dxf>
    <dxf>
      <fill>
        <patternFill patternType="solid">
          <fgColor rgb="FFB4A7D6"/>
          <bgColor rgb="FFB4A7D6"/>
        </patternFill>
      </fill>
    </dxf>
    <dxf>
      <fill>
        <patternFill patternType="solid">
          <fgColor rgb="FFD9D2E9"/>
          <bgColor rgb="FFD9D2E9"/>
        </patternFill>
      </fill>
    </dxf>
    <dxf>
      <fill>
        <patternFill patternType="solid">
          <fgColor rgb="FF8E7CC3"/>
          <bgColor rgb="FF8E7CC3"/>
        </patternFill>
      </fill>
    </dxf>
    <dxf>
      <fill>
        <patternFill patternType="solid">
          <fgColor rgb="FFB4A7D6"/>
          <bgColor rgb="FFB4A7D6"/>
        </patternFill>
      </fill>
    </dxf>
    <dxf>
      <fill>
        <patternFill patternType="solid">
          <fgColor rgb="FFD9D2E9"/>
          <bgColor rgb="FFD9D2E9"/>
        </patternFill>
      </fill>
    </dxf>
    <dxf>
      <fill>
        <patternFill patternType="solid">
          <fgColor rgb="FF8E7CC3"/>
          <bgColor rgb="FF8E7CC3"/>
        </patternFill>
      </fill>
    </dxf>
    <dxf>
      <fill>
        <patternFill patternType="solid">
          <fgColor rgb="FFB4A7D6"/>
          <bgColor rgb="FFB4A7D6"/>
        </patternFill>
      </fill>
    </dxf>
    <dxf>
      <fill>
        <patternFill patternType="solid">
          <fgColor rgb="FFD9D2E9"/>
          <bgColor rgb="FFD9D2E9"/>
        </patternFill>
      </fill>
    </dxf>
    <dxf>
      <fill>
        <patternFill patternType="solid">
          <fgColor rgb="FF8E7CC3"/>
          <bgColor rgb="FF8E7CC3"/>
        </patternFill>
      </fill>
    </dxf>
    <dxf>
      <fill>
        <patternFill patternType="solid">
          <fgColor rgb="FFB4A7D6"/>
          <bgColor rgb="FFB4A7D6"/>
        </patternFill>
      </fill>
    </dxf>
    <dxf>
      <fill>
        <patternFill patternType="solid">
          <fgColor rgb="FFD9D2E9"/>
          <bgColor rgb="FFD9D2E9"/>
        </patternFill>
      </fill>
    </dxf>
    <dxf>
      <fill>
        <patternFill patternType="solid">
          <fgColor rgb="FF8E7CC3"/>
          <bgColor rgb="FF8E7CC3"/>
        </patternFill>
      </fill>
    </dxf>
    <dxf>
      <fill>
        <patternFill patternType="solid">
          <fgColor rgb="FFB4A7D6"/>
          <bgColor rgb="FFB4A7D6"/>
        </patternFill>
      </fill>
    </dxf>
    <dxf>
      <fill>
        <patternFill patternType="solid">
          <fgColor rgb="FFD9D2E9"/>
          <bgColor rgb="FFD9D2E9"/>
        </patternFill>
      </fill>
    </dxf>
    <dxf>
      <fill>
        <patternFill patternType="solid">
          <fgColor rgb="FF8E7CC3"/>
          <bgColor rgb="FF8E7CC3"/>
        </patternFill>
      </fill>
    </dxf>
    <dxf>
      <fill>
        <patternFill patternType="solid">
          <fgColor rgb="FFB4A7D6"/>
          <bgColor rgb="FFB4A7D6"/>
        </patternFill>
      </fill>
    </dxf>
    <dxf>
      <fill>
        <patternFill patternType="solid">
          <fgColor rgb="FFD9D2E9"/>
          <bgColor rgb="FFD9D2E9"/>
        </patternFill>
      </fill>
    </dxf>
    <dxf>
      <fill>
        <patternFill patternType="solid">
          <fgColor rgb="FF8E7CC3"/>
          <bgColor rgb="FF8E7CC3"/>
        </patternFill>
      </fill>
    </dxf>
    <dxf>
      <fill>
        <patternFill patternType="solid">
          <fgColor rgb="FFB4A7D6"/>
          <bgColor rgb="FFB4A7D6"/>
        </patternFill>
      </fill>
    </dxf>
    <dxf>
      <fill>
        <patternFill patternType="solid">
          <fgColor rgb="FFD9D2E9"/>
          <bgColor rgb="FFD9D2E9"/>
        </patternFill>
      </fill>
    </dxf>
  </dxfs>
  <tableStyles count="17">
    <tableStyle name="Character Sheet-style" pivot="0" count="2" xr9:uid="{00000000-0011-0000-FFFF-FFFF00000000}">
      <tableStyleElement type="firstRowStripe" dxfId="78"/>
      <tableStyleElement type="secondRowStripe" dxfId="77"/>
    </tableStyle>
    <tableStyle name="Calculation Sheet-style" pivot="0" count="3" xr9:uid="{00000000-0011-0000-FFFF-FFFF01000000}">
      <tableStyleElement type="headerRow" dxfId="76"/>
      <tableStyleElement type="firstRowStripe" dxfId="75"/>
      <tableStyleElement type="secondRowStripe" dxfId="74"/>
    </tableStyle>
    <tableStyle name="Calculation Sheet-style 2" pivot="0" count="3" xr9:uid="{00000000-0011-0000-FFFF-FFFF02000000}">
      <tableStyleElement type="headerRow" dxfId="73"/>
      <tableStyleElement type="firstRowStripe" dxfId="72"/>
      <tableStyleElement type="secondRowStripe" dxfId="71"/>
    </tableStyle>
    <tableStyle name="Full Perk List-style" pivot="0" count="3" xr9:uid="{00000000-0011-0000-FFFF-FFFF03000000}">
      <tableStyleElement type="headerRow" dxfId="70"/>
      <tableStyleElement type="firstRowStripe" dxfId="69"/>
      <tableStyleElement type="secondRowStripe" dxfId="68"/>
    </tableStyle>
    <tableStyle name="Alternate Forms-style" pivot="0" count="3" xr9:uid="{00000000-0011-0000-FFFF-FFFF04000000}">
      <tableStyleElement type="headerRow" dxfId="67"/>
      <tableStyleElement type="firstRowStripe" dxfId="66"/>
      <tableStyleElement type="secondRowStripe" dxfId="65"/>
    </tableStyle>
    <tableStyle name="Body &amp; Beauty-style" pivot="0" count="3" xr9:uid="{00000000-0011-0000-FFFF-FFFF05000000}">
      <tableStyleElement type="headerRow" dxfId="64"/>
      <tableStyleElement type="firstRowStripe" dxfId="63"/>
      <tableStyleElement type="secondRowStripe" dxfId="62"/>
    </tableStyle>
    <tableStyle name="Corruption-style" pivot="0" count="3" xr9:uid="{00000000-0011-0000-FFFF-FFFF06000000}">
      <tableStyleElement type="headerRow" dxfId="61"/>
      <tableStyleElement type="firstRowStripe" dxfId="60"/>
      <tableStyleElement type="secondRowStripe" dxfId="59"/>
    </tableStyle>
    <tableStyle name="Fertility &amp; Family-style" pivot="0" count="3" xr9:uid="{00000000-0011-0000-FFFF-FFFF07000000}">
      <tableStyleElement type="headerRow" dxfId="58"/>
      <tableStyleElement type="firstRowStripe" dxfId="57"/>
      <tableStyleElement type="secondRowStripe" dxfId="56"/>
    </tableStyle>
    <tableStyle name="Magic-style" pivot="0" count="3" xr9:uid="{00000000-0011-0000-FFFF-FFFF08000000}">
      <tableStyleElement type="headerRow" dxfId="55"/>
      <tableStyleElement type="firstRowStripe" dxfId="54"/>
      <tableStyleElement type="secondRowStripe" dxfId="53"/>
    </tableStyle>
    <tableStyle name="Mind &amp; Control-style" pivot="0" count="3" xr9:uid="{00000000-0011-0000-FFFF-FFFF09000000}">
      <tableStyleElement type="headerRow" dxfId="52"/>
      <tableStyleElement type="firstRowStripe" dxfId="51"/>
      <tableStyleElement type="secondRowStripe" dxfId="50"/>
    </tableStyle>
    <tableStyle name="Pocket Dimension-style" pivot="0" count="3" xr9:uid="{00000000-0011-0000-FFFF-FFFF0A000000}">
      <tableStyleElement type="headerRow" dxfId="49"/>
      <tableStyleElement type="firstRowStripe" dxfId="48"/>
      <tableStyleElement type="secondRowStripe" dxfId="47"/>
    </tableStyle>
    <tableStyle name="Porn &amp; Paraphernalia-style" pivot="0" count="3" xr9:uid="{00000000-0011-0000-FFFF-FFFF0B000000}">
      <tableStyleElement type="headerRow" dxfId="46"/>
      <tableStyleElement type="firstRowStripe" dxfId="45"/>
      <tableStyleElement type="secondRowStripe" dxfId="44"/>
    </tableStyle>
    <tableStyle name="Powers-style" pivot="0" count="3" xr9:uid="{00000000-0011-0000-FFFF-FFFF0C000000}">
      <tableStyleElement type="headerRow" dxfId="43"/>
      <tableStyleElement type="firstRowStripe" dxfId="42"/>
      <tableStyleElement type="secondRowStripe" dxfId="41"/>
    </tableStyle>
    <tableStyle name="Relationships-style" pivot="0" count="3" xr9:uid="{00000000-0011-0000-FFFF-FFFF0D000000}">
      <tableStyleElement type="headerRow" dxfId="40"/>
      <tableStyleElement type="firstRowStripe" dxfId="39"/>
      <tableStyleElement type="secondRowStripe" dxfId="38"/>
    </tableStyle>
    <tableStyle name="Seduction-style" pivot="0" count="3" xr9:uid="{00000000-0011-0000-FFFF-FFFF0E000000}">
      <tableStyleElement type="headerRow" dxfId="37"/>
      <tableStyleElement type="firstRowStripe" dxfId="36"/>
      <tableStyleElement type="secondRowStripe" dxfId="35"/>
    </tableStyle>
    <tableStyle name="Skills-style" pivot="0" count="3" xr9:uid="{00000000-0011-0000-FFFF-FFFF0F000000}">
      <tableStyleElement type="headerRow" dxfId="34"/>
      <tableStyleElement type="firstRowStripe" dxfId="33"/>
      <tableStyleElement type="secondRowStripe" dxfId="32"/>
    </tableStyle>
    <tableStyle name="Transformation-style" pivot="0" count="3" xr9:uid="{00000000-0011-0000-FFFF-FFFF10000000}">
      <tableStyleElement type="headerRow" dxfId="31"/>
      <tableStyleElement type="firstRowStripe" dxfId="30"/>
      <tableStyleElement type="secondRowStripe" dxfId="2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962025" cy="161925"/>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C13:G1498" headerRowCount="0">
  <tableColumns count="5">
    <tableColumn id="1" xr3:uid="{00000000-0010-0000-0000-000001000000}" name="Column1"/>
    <tableColumn id="2" xr3:uid="{00000000-0010-0000-0000-000002000000}" name="Column2"/>
    <tableColumn id="3" xr3:uid="{00000000-0010-0000-0000-000003000000}" name="Column3"/>
    <tableColumn id="4" xr3:uid="{00000000-0010-0000-0000-000004000000}" name="Column4"/>
    <tableColumn id="5" xr3:uid="{00000000-0010-0000-0000-000005000000}" name="Column5"/>
  </tableColumns>
  <tableStyleInfo name="Character Sheet-style"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2" displayName="Table_2" ref="C2:D1000">
  <tableColumns count="2">
    <tableColumn id="1" xr3:uid="{00000000-0010-0000-0100-000001000000}" name="Roller Section"/>
    <tableColumn id="2" xr3:uid="{00000000-0010-0000-0100-000002000000}" name="Perks Rolled"/>
  </tableColumns>
  <tableStyleInfo name="Calculation Sheet-style" showFirstColumn="1" showLastColumn="1"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3" displayName="Table_3" ref="F2:G1000" headerRowCount="0">
  <tableColumns count="2">
    <tableColumn id="1" xr3:uid="{00000000-0010-0000-0200-000001000000}" name="Column1"/>
    <tableColumn id="2" xr3:uid="{00000000-0010-0000-0200-000002000000}" name="Column2"/>
  </tableColumns>
  <tableStyleInfo name="Calculation Sheet-style 2" showFirstColumn="1" showLastColumn="1" showRowStripes="1" showColumnStripes="0"/>
  <extLst>
    <ext uri="GoogleSheetsCustomDataVersion1">
      <go:sheetsCustomData xmlns:go="http://customooxmlschemas.google.com/" headerRowCount="1"/>
    </ext>
  </extLst>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20.xml.rels><?xml version="1.0" encoding="UTF-8" standalone="yes"?>
<Relationships xmlns="http://schemas.openxmlformats.org/package/2006/relationships"><Relationship Id="rId117" Type="http://schemas.openxmlformats.org/officeDocument/2006/relationships/hyperlink" Target="https://drive.google.com/file/d/1JC148l1JDsRA2aChh6GcnP9V9C25fjYv/view?usp=sharing" TargetMode="External"/><Relationship Id="rId299" Type="http://schemas.openxmlformats.org/officeDocument/2006/relationships/hyperlink" Target="https://drive.google.com/file/d/1RjKUM-ZFAfQmSYjTfacYdN3fVrlnVCio/view?usp=sharing" TargetMode="External"/><Relationship Id="rId21" Type="http://schemas.openxmlformats.org/officeDocument/2006/relationships/hyperlink" Target="https://drive.google.com/file/d/1JuQLJAUzhZbanu1P63qf6J75w-rnFTPc/view?usp=sharing" TargetMode="External"/><Relationship Id="rId63" Type="http://schemas.openxmlformats.org/officeDocument/2006/relationships/hyperlink" Target="https://drive.google.com/file/d/16XXoIq1_PxLLTab16wZElt1lYSg0s4-B/view?usp=sharing" TargetMode="External"/><Relationship Id="rId159" Type="http://schemas.openxmlformats.org/officeDocument/2006/relationships/hyperlink" Target="https://drive.google.com/file/d/1l0eYg6z80kOzSblitsq9uPr9qnOaKDsy/view?usp=sharing" TargetMode="External"/><Relationship Id="rId324" Type="http://schemas.openxmlformats.org/officeDocument/2006/relationships/hyperlink" Target="https://drive.google.com/file/d/1GWNHSmGHF7UVRkQzmq9td0yril9cQgNT/view?usp=sharing" TargetMode="External"/><Relationship Id="rId366" Type="http://schemas.openxmlformats.org/officeDocument/2006/relationships/hyperlink" Target="https://drive.google.com/file/d/1lQxRCqEf79JuXdTfC0qqDCcuVDXWuqC5/view?usp=sharing" TargetMode="External"/><Relationship Id="rId170" Type="http://schemas.openxmlformats.org/officeDocument/2006/relationships/hyperlink" Target="https://drive.google.com/file/d/1dJqaY5S94VNhJfBl9EW18mH9qnrK5UCY/view?usp=sharing" TargetMode="External"/><Relationship Id="rId226" Type="http://schemas.openxmlformats.org/officeDocument/2006/relationships/hyperlink" Target="https://drive.google.com/file/d/1QD4wXQc6u_PKU_8i9mQNdIhnq0gyAtHz/view?usp=sharing" TargetMode="External"/><Relationship Id="rId268" Type="http://schemas.openxmlformats.org/officeDocument/2006/relationships/hyperlink" Target="https://drive.google.com/file/d/1yGIuzQm4qAiNkV-vvbj3TmcFPHqGzQ2U/view?usp=sharing" TargetMode="External"/><Relationship Id="rId32" Type="http://schemas.openxmlformats.org/officeDocument/2006/relationships/hyperlink" Target="https://drive.google.com/file/d/1StjKnt-I47a_7F-TdH8bDOozTImT4uit/view?usp=sharing" TargetMode="External"/><Relationship Id="rId74" Type="http://schemas.openxmlformats.org/officeDocument/2006/relationships/hyperlink" Target="https://drive.google.com/file/d/1udBsblb6wKMmIakODLaF1ba_dbV3rL9u/view?usp=sharing" TargetMode="External"/><Relationship Id="rId128" Type="http://schemas.openxmlformats.org/officeDocument/2006/relationships/hyperlink" Target="https://drive.google.com/file/d/1CYsd3BnAo3pENtJPWYE3MCSA_ZYVoVta/view?usp=sharing" TargetMode="External"/><Relationship Id="rId335" Type="http://schemas.openxmlformats.org/officeDocument/2006/relationships/hyperlink" Target="https://drive.google.com/file/d/1bYHFdzbUyz6GER6-xv3_x8ovj3RdblIQ/view?usp=sharing" TargetMode="External"/><Relationship Id="rId377" Type="http://schemas.openxmlformats.org/officeDocument/2006/relationships/hyperlink" Target="https://drive.google.com/file/d/12HqY0s0P53UGCWdzR5N3EJnRvNgHFDuf/view?usp=sharing" TargetMode="External"/><Relationship Id="rId5" Type="http://schemas.openxmlformats.org/officeDocument/2006/relationships/hyperlink" Target="https://drive.google.com/file/d/1H6TsCw5gmWD1cx52jWAFrMVPetq23Oa8/view?usp=sharing" TargetMode="External"/><Relationship Id="rId181" Type="http://schemas.openxmlformats.org/officeDocument/2006/relationships/hyperlink" Target="https://drive.google.com/file/d/1Fp5Y8yqEHHaycKFb2EEo50R5MsiKAXk9/view?usp=sharing" TargetMode="External"/><Relationship Id="rId237" Type="http://schemas.openxmlformats.org/officeDocument/2006/relationships/hyperlink" Target="https://drive.google.com/file/d/1ReWF1fKqKm6Lx8TlfdrXu6J-mirOoa4E/view?usp=sharing" TargetMode="External"/><Relationship Id="rId279" Type="http://schemas.openxmlformats.org/officeDocument/2006/relationships/hyperlink" Target="https://drive.google.com/file/d/163l_6Xt0XnBG26kLyVgihDlfmKpJln1R/view?usp=sharing" TargetMode="External"/><Relationship Id="rId43" Type="http://schemas.openxmlformats.org/officeDocument/2006/relationships/hyperlink" Target="https://drive.google.com/file/d/1JCysQDtJDjAVZPAv13Wyo2gl6Z8oLOEF/view?usp=sharing" TargetMode="External"/><Relationship Id="rId139" Type="http://schemas.openxmlformats.org/officeDocument/2006/relationships/hyperlink" Target="https://drive.google.com/file/d/1q9VmhlF8c0nomR4CUhLv0juRDi7WFRad/view?usp=sharing" TargetMode="External"/><Relationship Id="rId290" Type="http://schemas.openxmlformats.org/officeDocument/2006/relationships/hyperlink" Target="https://drive.google.com/file/d/1Mi-4eFGMeG9YoyWDXCUOzevDZTUk2HQ7/view?usp=sharing" TargetMode="External"/><Relationship Id="rId304" Type="http://schemas.openxmlformats.org/officeDocument/2006/relationships/hyperlink" Target="https://drive.google.com/file/d/15K-5eEF2PBqEkIidHCki4DJjFVGgJ4Kd/view?usp=sharing" TargetMode="External"/><Relationship Id="rId346" Type="http://schemas.openxmlformats.org/officeDocument/2006/relationships/hyperlink" Target="https://drive.google.com/file/d/1yG4ABov039YWRFDlsFBTcoiNiSknZg77/view?usp=sharing" TargetMode="External"/><Relationship Id="rId85" Type="http://schemas.openxmlformats.org/officeDocument/2006/relationships/hyperlink" Target="https://drive.google.com/file/d/18xsFOh1GBmJebAkJA_ke9XqEPoPgNL4v/view?usp=sharing" TargetMode="External"/><Relationship Id="rId150" Type="http://schemas.openxmlformats.org/officeDocument/2006/relationships/hyperlink" Target="https://drive.google.com/file/d/1zv0fbsBMdxpLAlhXiexnK4N8-gBVZNfJ/view?usp=sharing" TargetMode="External"/><Relationship Id="rId192" Type="http://schemas.openxmlformats.org/officeDocument/2006/relationships/hyperlink" Target="https://drive.google.com/file/d/1VZ4BGUaFKeGMU5kxD0DpEoxRCqgtyibE/view?usp=sharing" TargetMode="External"/><Relationship Id="rId206" Type="http://schemas.openxmlformats.org/officeDocument/2006/relationships/hyperlink" Target="https://drive.google.com/file/d/19xFpPTYJSdHXN0tcKqN0_UzWDsa_TZpQ/view?usp=sharing" TargetMode="External"/><Relationship Id="rId248" Type="http://schemas.openxmlformats.org/officeDocument/2006/relationships/hyperlink" Target="https://drive.google.com/file/d/1rgtx0S34Yw4if_CY1IpEl4BRMrvGUZUI/view?usp=sharing" TargetMode="External"/><Relationship Id="rId12" Type="http://schemas.openxmlformats.org/officeDocument/2006/relationships/hyperlink" Target="https://drive.google.com/file/d/1DGzFF4DgHg4kssj-bu9dIC9LwHbD0PsN/view?usp=sharing" TargetMode="External"/><Relationship Id="rId108" Type="http://schemas.openxmlformats.org/officeDocument/2006/relationships/hyperlink" Target="https://drive.google.com/file/d/1ZaJoKOGAyllJlNXNtXaPibxVR1AEANPQ/view?usp=sharing" TargetMode="External"/><Relationship Id="rId315" Type="http://schemas.openxmlformats.org/officeDocument/2006/relationships/hyperlink" Target="https://drive.google.com/file/d/1pShyNUA9VziF8FT67bgQeEmA5932AZvo/view?usp=sharing" TargetMode="External"/><Relationship Id="rId357" Type="http://schemas.openxmlformats.org/officeDocument/2006/relationships/hyperlink" Target="https://drive.google.com/file/d/1ascKzh28GduKZMOdeRKl1-tu4GxZoEGe/view?usp=sharing" TargetMode="External"/><Relationship Id="rId54" Type="http://schemas.openxmlformats.org/officeDocument/2006/relationships/hyperlink" Target="https://drive.google.com/file/d/1MRfoNYzskWZABfYixSXbmARcdUUz22Cb/view?usp=sharing" TargetMode="External"/><Relationship Id="rId96" Type="http://schemas.openxmlformats.org/officeDocument/2006/relationships/hyperlink" Target="https://drive.google.com/file/d/19z5-Oo7ZuD2-sOJRoI-e9BJNfvcy_EI4/view?usp=sharing" TargetMode="External"/><Relationship Id="rId161" Type="http://schemas.openxmlformats.org/officeDocument/2006/relationships/hyperlink" Target="https://drive.google.com/file/d/1P6ZhtniJItg-p9ieGhdJFqNzCvx6arrk/view?usp=sharing" TargetMode="External"/><Relationship Id="rId217" Type="http://schemas.openxmlformats.org/officeDocument/2006/relationships/hyperlink" Target="https://drive.google.com/file/d/1q8wYPNXt_yc2_O2ghZdDVKGaJ2MrAeEd/view?usp=sharing" TargetMode="External"/><Relationship Id="rId259" Type="http://schemas.openxmlformats.org/officeDocument/2006/relationships/hyperlink" Target="https://drive.google.com/file/d/1k3oR_Zg_RvUWjFh9GucNX3BmckpWA0br/view?usp=sharing" TargetMode="External"/><Relationship Id="rId23" Type="http://schemas.openxmlformats.org/officeDocument/2006/relationships/hyperlink" Target="https://drive.google.com/file/d/1FjHVk2coszCDjW9CNzWgcUySUz-Zp94H/view?usp=sharing" TargetMode="External"/><Relationship Id="rId119" Type="http://schemas.openxmlformats.org/officeDocument/2006/relationships/hyperlink" Target="https://drive.google.com/file/d/1ILCDYtqUNDxpqnbn8AN47LDQAVamCSeX/view?usp=sharing" TargetMode="External"/><Relationship Id="rId270" Type="http://schemas.openxmlformats.org/officeDocument/2006/relationships/hyperlink" Target="https://drive.google.com/file/d/1WR2TEUtkQME-l_Aozh2GREEtclCME4aK/view?usp=sharing" TargetMode="External"/><Relationship Id="rId326" Type="http://schemas.openxmlformats.org/officeDocument/2006/relationships/hyperlink" Target="https://drive.google.com/file/d/1lCjI_zdZ5xchh0ZyyF3dcf2WP6581SRz/view?usp=sharing" TargetMode="External"/><Relationship Id="rId65" Type="http://schemas.openxmlformats.org/officeDocument/2006/relationships/hyperlink" Target="https://drive.google.com/file/d/1W73YPSdaKyvhoP20DeEqo1hHfYFMhXxH/view?usp=sharing" TargetMode="External"/><Relationship Id="rId130" Type="http://schemas.openxmlformats.org/officeDocument/2006/relationships/hyperlink" Target="https://drive.google.com/file/d/0B0h0H638Fs4EaTExZWNHNE9FUFE/view?usp=sharing&amp;resourcekey=0-9aPd3TDyelm8WAIB2-6Gkw" TargetMode="External"/><Relationship Id="rId368" Type="http://schemas.openxmlformats.org/officeDocument/2006/relationships/hyperlink" Target="https://drive.google.com/file/d/1JEh68HxJp46gOUj1W_FvLJ-ABgkLhLhi/view?usp=sharing" TargetMode="External"/><Relationship Id="rId172" Type="http://schemas.openxmlformats.org/officeDocument/2006/relationships/hyperlink" Target="https://drive.google.com/file/d/1YkIq6MNRTBXBmK9JljrRDebxEyi_TOqh/view?usp=sharing" TargetMode="External"/><Relationship Id="rId228" Type="http://schemas.openxmlformats.org/officeDocument/2006/relationships/hyperlink" Target="https://drive.google.com/file/d/1QD4wXQc6u_PKU_8i9mQNdIhnq0gyAtHz/view?usp=sharing" TargetMode="External"/><Relationship Id="rId281" Type="http://schemas.openxmlformats.org/officeDocument/2006/relationships/hyperlink" Target="https://drive.google.com/file/d/1qs4W9PC0VC1IrizhJuK8hWJRejGOrsR7/view?usp=sharing" TargetMode="External"/><Relationship Id="rId337" Type="http://schemas.openxmlformats.org/officeDocument/2006/relationships/hyperlink" Target="https://drive.google.com/file/d/1i0g2mhLxzPvMm0yILIpgWqCCwyDAQNcu/view?usp=sharing" TargetMode="External"/><Relationship Id="rId34" Type="http://schemas.openxmlformats.org/officeDocument/2006/relationships/hyperlink" Target="https://drive.google.com/file/d/1HKa4BG-1_jfdAR-Jl13zpk5oOOBUNN7O/view?usp=sharing" TargetMode="External"/><Relationship Id="rId76" Type="http://schemas.openxmlformats.org/officeDocument/2006/relationships/hyperlink" Target="https://drive.google.com/file/d/11bEs7JJVzsgXMGSWWTUQ4xHskiyxoNTi/view?usp=sharing" TargetMode="External"/><Relationship Id="rId141" Type="http://schemas.openxmlformats.org/officeDocument/2006/relationships/hyperlink" Target="https://drive.google.com/file/d/1ztHRgcMIc5HfY500xyLkBz2yItG3JLyR/view?usp=sharing" TargetMode="External"/><Relationship Id="rId379" Type="http://schemas.openxmlformats.org/officeDocument/2006/relationships/hyperlink" Target="https://drive.google.com/file/d/11qscg0oZBcpFzky3qXgaMv_UJdyX6ftN/view?usp=sharing" TargetMode="External"/><Relationship Id="rId7" Type="http://schemas.openxmlformats.org/officeDocument/2006/relationships/hyperlink" Target="https://drive.google.com/file/d/1UmG0tmkWiz97MbcD-Nv_4lFDYGmZkf10/view?usp=sharing" TargetMode="External"/><Relationship Id="rId183" Type="http://schemas.openxmlformats.org/officeDocument/2006/relationships/hyperlink" Target="https://drive.google.com/file/d/1VtI93g70_siumaWz8F0ybf6a1Z4r3xDj/view?usp=sharing" TargetMode="External"/><Relationship Id="rId239" Type="http://schemas.openxmlformats.org/officeDocument/2006/relationships/hyperlink" Target="https://drive.google.com/file/d/1k49kakJklJ7m61dPgg0ud988AKnNndad/view?usp=sharing" TargetMode="External"/><Relationship Id="rId250" Type="http://schemas.openxmlformats.org/officeDocument/2006/relationships/hyperlink" Target="https://drive.google.com/file/d/1OJmNs6NU65EnkATeAKXhJEar88A4MW56/view?usp=sharing" TargetMode="External"/><Relationship Id="rId292" Type="http://schemas.openxmlformats.org/officeDocument/2006/relationships/hyperlink" Target="https://drive.google.com/file/d/1US4O7IDUdpdsNeowD4eiVkNdzmQDOtBL/view?usp=sharing" TargetMode="External"/><Relationship Id="rId306" Type="http://schemas.openxmlformats.org/officeDocument/2006/relationships/hyperlink" Target="https://drive.google.com/file/d/1NkSlSw9MNcSu6aVAh4LQ3r0D85eYcGiA/view?usp=sharing" TargetMode="External"/><Relationship Id="rId45" Type="http://schemas.openxmlformats.org/officeDocument/2006/relationships/hyperlink" Target="https://drive.google.com/file/d/12uQwrHNmQCjmEm91bNTaQvvDfBXo6lVc/view?usp=sharing" TargetMode="External"/><Relationship Id="rId87" Type="http://schemas.openxmlformats.org/officeDocument/2006/relationships/hyperlink" Target="https://drive.google.com/file/d/1TYd7XDG3I9UPEuqfHI6MEeCfQgtgCvKz/view?usp=sharing" TargetMode="External"/><Relationship Id="rId110" Type="http://schemas.openxmlformats.org/officeDocument/2006/relationships/hyperlink" Target="https://drive.google.com/file/d/1XXBbW1mL3E68Rcw-cQLfFRsEFeb4DjcZ/view?usp=sharing" TargetMode="External"/><Relationship Id="rId348" Type="http://schemas.openxmlformats.org/officeDocument/2006/relationships/hyperlink" Target="https://drive.google.com/file/d/1BHhANqOf0_csJw9cBNjuV85g3_D698tJ/view?usp=sharing" TargetMode="External"/><Relationship Id="rId152" Type="http://schemas.openxmlformats.org/officeDocument/2006/relationships/hyperlink" Target="https://drive.google.com/file/d/1m-W5jaax2P2FYiofw1mju9HDnsMI8zQ9/view?usp=sharing" TargetMode="External"/><Relationship Id="rId194" Type="http://schemas.openxmlformats.org/officeDocument/2006/relationships/hyperlink" Target="https://drive.google.com/file/d/0By8NY-NO4-N5Mkl6Y2phM25JNXc/view?usp=sharing&amp;resourcekey=0-zmw5PKtncAYqsicaWWSIeA" TargetMode="External"/><Relationship Id="rId208" Type="http://schemas.openxmlformats.org/officeDocument/2006/relationships/hyperlink" Target="https://drive.google.com/file/d/1sA4z97bdNgR6RlOLLmzg11pSwkMHRief/view?usp=sharing" TargetMode="External"/><Relationship Id="rId261" Type="http://schemas.openxmlformats.org/officeDocument/2006/relationships/hyperlink" Target="https://drive.google.com/file/d/1nezsnWacQQYcSHl23u02m0VR_ft_nUir/view?usp=sharing" TargetMode="External"/><Relationship Id="rId14" Type="http://schemas.openxmlformats.org/officeDocument/2006/relationships/hyperlink" Target="https://drive.google.com/file/d/1l81YGquU6CirRHbNTvw45gyzAgzbEsdn/view?usp=sharing" TargetMode="External"/><Relationship Id="rId56" Type="http://schemas.openxmlformats.org/officeDocument/2006/relationships/hyperlink" Target="https://drive.google.com/file/d/1yyFQZ6-o3McNBhkD3oRyzEj4exaf3i_0/view?usp=sharing" TargetMode="External"/><Relationship Id="rId317" Type="http://schemas.openxmlformats.org/officeDocument/2006/relationships/hyperlink" Target="https://drive.google.com/file/d/1hMpezKyBZPG0qBn_Y9j7SmjFrI7BJXGa/view?usp=sharing" TargetMode="External"/><Relationship Id="rId359" Type="http://schemas.openxmlformats.org/officeDocument/2006/relationships/hyperlink" Target="https://drive.google.com/file/d/1umGCKtwuEJUIXeePP4u0NCbDbGtKT08D/view?usp=sharing" TargetMode="External"/><Relationship Id="rId98" Type="http://schemas.openxmlformats.org/officeDocument/2006/relationships/hyperlink" Target="https://drive.google.com/file/d/1UwDc0cgsP_6Z-aC2QWJU7657zF36BHHb/view?usp=sharing" TargetMode="External"/><Relationship Id="rId121" Type="http://schemas.openxmlformats.org/officeDocument/2006/relationships/hyperlink" Target="https://drive.google.com/file/d/1cy6MjWT246Dxppe6TO0EBRG1ETA5Qh8A/view?usp=sharing" TargetMode="External"/><Relationship Id="rId163" Type="http://schemas.openxmlformats.org/officeDocument/2006/relationships/hyperlink" Target="https://drive.google.com/file/d/1S31Xz255si9A2ph4VqcI3Tlttf-XUX0Y/view?usp=sharing" TargetMode="External"/><Relationship Id="rId219" Type="http://schemas.openxmlformats.org/officeDocument/2006/relationships/hyperlink" Target="https://drive.google.com/file/d/1YyMr0eqdaN0N7RcRDkNEgahUafvf8AHQ/view?usp=sharing" TargetMode="External"/><Relationship Id="rId370" Type="http://schemas.openxmlformats.org/officeDocument/2006/relationships/hyperlink" Target="https://drive.google.com/file/d/1Tq5HvsPgZ4qTeEj0PkPlQsj6Bs1AWGMv/view?usp=sharing" TargetMode="External"/><Relationship Id="rId230" Type="http://schemas.openxmlformats.org/officeDocument/2006/relationships/hyperlink" Target="https://drive.google.com/file/d/1ZQ1evnSdbHMAK1tvh-9AkjiLzjLcY-Wr/view?usp=sharing" TargetMode="External"/><Relationship Id="rId25" Type="http://schemas.openxmlformats.org/officeDocument/2006/relationships/hyperlink" Target="https://drive.google.com/file/d/1cTj1FNiGYBLB0yIxym3rAFoF5N6ZKhUX/view?usp=sharing" TargetMode="External"/><Relationship Id="rId67" Type="http://schemas.openxmlformats.org/officeDocument/2006/relationships/hyperlink" Target="https://drive.google.com/file/d/113uUZdLkNGQm2aD7bg1qj3IBhOpoxCq8/view?usp=sharing" TargetMode="External"/><Relationship Id="rId272" Type="http://schemas.openxmlformats.org/officeDocument/2006/relationships/hyperlink" Target="https://drive.google.com/file/d/1anE0Q4RwPUqQp2p368qyR31UoWpfBPhG/view?usp=sharing" TargetMode="External"/><Relationship Id="rId328" Type="http://schemas.openxmlformats.org/officeDocument/2006/relationships/hyperlink" Target="https://drive.google.com/file/d/13OIlm3WnVdUtkFeS_ASc8uy6LDbeNpc0/view?usp=sharing" TargetMode="External"/><Relationship Id="rId132" Type="http://schemas.openxmlformats.org/officeDocument/2006/relationships/hyperlink" Target="https://drive.google.com/file/d/0By8NY-NO4-N5LXBjZU5VaGpHazA/view?usp=sharing&amp;resourcekey=0-Ic4SN3dtQ6TdovX1SVC-dQ" TargetMode="External"/><Relationship Id="rId174" Type="http://schemas.openxmlformats.org/officeDocument/2006/relationships/hyperlink" Target="https://drive.google.com/file/d/1FkMsh16vYJBDAIuZWBud2M0RtigLHGzv/view?usp=sharing" TargetMode="External"/><Relationship Id="rId241" Type="http://schemas.openxmlformats.org/officeDocument/2006/relationships/hyperlink" Target="https://drive.google.com/file/d/1k49kakJklJ7m61dPgg0ud988AKnNndad/view?usp=sharing" TargetMode="External"/><Relationship Id="rId36" Type="http://schemas.openxmlformats.org/officeDocument/2006/relationships/hyperlink" Target="https://drive.google.com/file/d/1K_ZTDcmwOpBGuGB47oCOuFDEu-v5K0Hp/view?usp=sharing" TargetMode="External"/><Relationship Id="rId283" Type="http://schemas.openxmlformats.org/officeDocument/2006/relationships/hyperlink" Target="https://drive.google.com/file/d/1Dj6o26nan4AoLzmVqhNWirrOydKXPzS0/view?usp=sharing" TargetMode="External"/><Relationship Id="rId339" Type="http://schemas.openxmlformats.org/officeDocument/2006/relationships/hyperlink" Target="https://drive.google.com/file/d/1_z-MmOb515N7jFxXHXaN0Y1PP1ESw5yf/view?usp=sharing" TargetMode="External"/><Relationship Id="rId78" Type="http://schemas.openxmlformats.org/officeDocument/2006/relationships/hyperlink" Target="https://drive.google.com/file/d/1DnT4c1bfpL60TJXTo5bijWVwVz_yzlqg/view?usp=sharing" TargetMode="External"/><Relationship Id="rId101" Type="http://schemas.openxmlformats.org/officeDocument/2006/relationships/hyperlink" Target="https://drive.google.com/file/d/16AJ7zqz3OjfjPUPB3dkyh1MaKzCMA4fE/view?usp=sharing" TargetMode="External"/><Relationship Id="rId143" Type="http://schemas.openxmlformats.org/officeDocument/2006/relationships/hyperlink" Target="https://drive.google.com/file/d/17Y1uk2hzML2KS1xyeMQWPFsas2K0BrTC/view?usp=sharing" TargetMode="External"/><Relationship Id="rId185" Type="http://schemas.openxmlformats.org/officeDocument/2006/relationships/hyperlink" Target="https://drive.google.com/file/d/1v116nEmN0Y0CLP3qFlcaCok3pYCreCdp/view?usp=sharing" TargetMode="External"/><Relationship Id="rId350" Type="http://schemas.openxmlformats.org/officeDocument/2006/relationships/hyperlink" Target="https://drive.google.com/file/d/1lfZti5QV11vk6bCSKVQgTsdWIr-GrbHV/view?usp=sharing" TargetMode="External"/><Relationship Id="rId9" Type="http://schemas.openxmlformats.org/officeDocument/2006/relationships/hyperlink" Target="https://drive.google.com/file/d/1X2yBUWV0ewfUyH7XBjKGTm-JA_m4E9dt/view?usp=sharing" TargetMode="External"/><Relationship Id="rId210" Type="http://schemas.openxmlformats.org/officeDocument/2006/relationships/hyperlink" Target="https://drive.google.com/file/d/1of5gwrUHnz-6zzVX5ByppzBfcAjx0YiZ/view?usp=sharing" TargetMode="External"/><Relationship Id="rId26" Type="http://schemas.openxmlformats.org/officeDocument/2006/relationships/hyperlink" Target="https://drive.google.com/file/d/1AtuOoZEYDJGtV2R7g7_s4QqrBS7FKf7b/view?usp=sharing" TargetMode="External"/><Relationship Id="rId231" Type="http://schemas.openxmlformats.org/officeDocument/2006/relationships/hyperlink" Target="https://drive.google.com/file/d/10HnJhd15l3cOZepOt7_TwuRyC89uwdL4/view?usp=sharing" TargetMode="External"/><Relationship Id="rId252" Type="http://schemas.openxmlformats.org/officeDocument/2006/relationships/hyperlink" Target="https://drive.google.com/file/d/1hNTsMQhj9Gxyj6L4hYgdDiroGCno9W5A/view?usp=sharing" TargetMode="External"/><Relationship Id="rId273" Type="http://schemas.openxmlformats.org/officeDocument/2006/relationships/hyperlink" Target="https://drive.google.com/file/d/1Rbo74ejrJDRozdTH3T3eqo5-DqwodCee/view?usp=sharing" TargetMode="External"/><Relationship Id="rId294" Type="http://schemas.openxmlformats.org/officeDocument/2006/relationships/hyperlink" Target="https://drive.google.com/file/d/14jQ76dP40fqVS_21nSHgmQV_8TiIdXBS/view?usp=sharing" TargetMode="External"/><Relationship Id="rId308" Type="http://schemas.openxmlformats.org/officeDocument/2006/relationships/hyperlink" Target="https://drive.google.com/file/d/1p0-YEDY56_NAxv0T_OEcv-7BKGpD8gk4/view?usp=sharing" TargetMode="External"/><Relationship Id="rId329" Type="http://schemas.openxmlformats.org/officeDocument/2006/relationships/hyperlink" Target="https://drive.google.com/file/d/1W71rL2C-vSc2oZZU6s-ygy5rKDsFCoa8/view?usp=sharing" TargetMode="External"/><Relationship Id="rId47" Type="http://schemas.openxmlformats.org/officeDocument/2006/relationships/hyperlink" Target="https://drive.google.com/file/d/12JppSeXB_qTvitr9QN94lA5NqSul5sR7/view?usp=sharing" TargetMode="External"/><Relationship Id="rId68" Type="http://schemas.openxmlformats.org/officeDocument/2006/relationships/hyperlink" Target="https://drive.google.com/file/d/1-qFlWgDJXkUHBQ1idHOBM8vZnw13WBsW/view?usp=sharing" TargetMode="External"/><Relationship Id="rId89" Type="http://schemas.openxmlformats.org/officeDocument/2006/relationships/hyperlink" Target="https://drive.google.com/file/d/1VQfC-sbF0IQs5l4OSaN9PEOucq1CT54v/view?usp=sharing" TargetMode="External"/><Relationship Id="rId112" Type="http://schemas.openxmlformats.org/officeDocument/2006/relationships/hyperlink" Target="https://drive.google.com/file/d/1YPMBF3DzqUHFMLISoOUN_D8lc5JT7B6D/view?usp=sharing" TargetMode="External"/><Relationship Id="rId133" Type="http://schemas.openxmlformats.org/officeDocument/2006/relationships/hyperlink" Target="https://drive.google.com/file/d/1KmlSGSiSkHNA4pOZ5eqyJCkeKBXOugtI/view?usp=sharing" TargetMode="External"/><Relationship Id="rId154" Type="http://schemas.openxmlformats.org/officeDocument/2006/relationships/hyperlink" Target="https://drive.google.com/file/d/1kzZjy0UJH6M3gW1x4fscTpsZktCjPBEP/view?usp=sharing" TargetMode="External"/><Relationship Id="rId175" Type="http://schemas.openxmlformats.org/officeDocument/2006/relationships/hyperlink" Target="https://drive.google.com/file/d/17fN8Y5_T83F4c93FKnZre-W7WZty4W-K/view?usp=sharing" TargetMode="External"/><Relationship Id="rId340" Type="http://schemas.openxmlformats.org/officeDocument/2006/relationships/hyperlink" Target="https://drive.google.com/file/d/1PRY4EA9LHZ4cLkKersDSZP_qCxYSJucs/view?usp=sharing" TargetMode="External"/><Relationship Id="rId361" Type="http://schemas.openxmlformats.org/officeDocument/2006/relationships/hyperlink" Target="https://drive.google.com/file/d/1Fr4x7J3p_CoRgpLTwCwnrG8OrW-ZKHsp/view?usp=sharing" TargetMode="External"/><Relationship Id="rId196" Type="http://schemas.openxmlformats.org/officeDocument/2006/relationships/hyperlink" Target="https://docs.google.com/document/d/1gQAd3o-JN7zyZFBd4kCbVZMyMiLSZnAK1Ec3DkK1V-g/edit?usp=sharing" TargetMode="External"/><Relationship Id="rId200" Type="http://schemas.openxmlformats.org/officeDocument/2006/relationships/hyperlink" Target="https://drive.google.com/file/d/1Qjkc5Ie8fuGiqNpk7a-flrUiwFwmYxRd/view?usp=sharing" TargetMode="External"/><Relationship Id="rId16" Type="http://schemas.openxmlformats.org/officeDocument/2006/relationships/hyperlink" Target="https://drive.google.com/file/d/11kLhj-JmIG-3Coxg9hpK3Yd-tf7kK4Wl/view?usp=sharing" TargetMode="External"/><Relationship Id="rId221" Type="http://schemas.openxmlformats.org/officeDocument/2006/relationships/hyperlink" Target="https://drive.google.com/file/d/1YRkjXSO0OiYhpurzZCfigtj9AKqUZcYK/view?usp=sharing" TargetMode="External"/><Relationship Id="rId242" Type="http://schemas.openxmlformats.org/officeDocument/2006/relationships/hyperlink" Target="https://drive.google.com/file/d/1eZYVoBwj3DA8DW-oOYyiji5Q7VfBh5Qy/view?usp=sharing" TargetMode="External"/><Relationship Id="rId263" Type="http://schemas.openxmlformats.org/officeDocument/2006/relationships/hyperlink" Target="https://drive.google.com/file/d/1nezsnWacQQYcSHl23u02m0VR_ft_nUir/view?usp=sharing" TargetMode="External"/><Relationship Id="rId284" Type="http://schemas.openxmlformats.org/officeDocument/2006/relationships/hyperlink" Target="https://drive.google.com/file/d/1gzxQKccgP9tYfCqWBYsoPmx8YBENhbTx/view?usp=sharing" TargetMode="External"/><Relationship Id="rId319" Type="http://schemas.openxmlformats.org/officeDocument/2006/relationships/hyperlink" Target="https://drive.google.com/file/d/1A5kixX8OK1-X3_ByKrEncNpaLIpTgH57/view?usp=sharing" TargetMode="External"/><Relationship Id="rId37" Type="http://schemas.openxmlformats.org/officeDocument/2006/relationships/hyperlink" Target="https://drive.google.com/file/d/1GACYMyrYb0Wj4wMAsenYL4HO6MHGK8cs/view?usp=sharing" TargetMode="External"/><Relationship Id="rId58" Type="http://schemas.openxmlformats.org/officeDocument/2006/relationships/hyperlink" Target="https://drive.google.com/file/d/1yyFQZ6-o3McNBhkD3oRyzEj4exaf3i_0/view?usp=sharing" TargetMode="External"/><Relationship Id="rId79" Type="http://schemas.openxmlformats.org/officeDocument/2006/relationships/hyperlink" Target="https://drive.google.com/file/d/1Suqw5AN-dXpPsCfc5bKBDmi11UnkoJSQ/view?usp=sharing" TargetMode="External"/><Relationship Id="rId102" Type="http://schemas.openxmlformats.org/officeDocument/2006/relationships/hyperlink" Target="https://drive.google.com/file/d/1N3LvasAuXP1YR5JFabvwvzd5BnW_t3T1/view?usp=sharing" TargetMode="External"/><Relationship Id="rId123" Type="http://schemas.openxmlformats.org/officeDocument/2006/relationships/hyperlink" Target="https://drive.google.com/file/d/1IBzQpcZum61DitneFK1D04xFv8hzxieZ/view?usp=sharing" TargetMode="External"/><Relationship Id="rId144" Type="http://schemas.openxmlformats.org/officeDocument/2006/relationships/hyperlink" Target="https://drive.google.com/file/d/1uugitZa-bptZylH5lndCrn3mz0VVaEwx/view?usp=sharing" TargetMode="External"/><Relationship Id="rId330" Type="http://schemas.openxmlformats.org/officeDocument/2006/relationships/hyperlink" Target="https://drive.google.com/file/d/14CLDknMhsFONfHHhobSx7Hnlf3sRoyVc/view?usp=sharing" TargetMode="External"/><Relationship Id="rId90" Type="http://schemas.openxmlformats.org/officeDocument/2006/relationships/hyperlink" Target="https://drive.google.com/file/d/1vcT0LLCAWid6wII2UbuvB_x_SQCq-ivq/view?usp=sharing" TargetMode="External"/><Relationship Id="rId165" Type="http://schemas.openxmlformats.org/officeDocument/2006/relationships/hyperlink" Target="https://drive.google.com/file/d/1umWmmSgzKI2_CQHid0EwSgo1w6PqyRca/view?usp=sharing" TargetMode="External"/><Relationship Id="rId186" Type="http://schemas.openxmlformats.org/officeDocument/2006/relationships/hyperlink" Target="https://drive.google.com/file/d/1M1iTsOhQy841oLVd759Y5Hp2dYDErWri/view?usp=sharing" TargetMode="External"/><Relationship Id="rId351" Type="http://schemas.openxmlformats.org/officeDocument/2006/relationships/hyperlink" Target="https://drive.google.com/file/d/1w8XfzavJ2gMCO170ePXK3ixzTmh9yGKn/view?usp=sharing" TargetMode="External"/><Relationship Id="rId372" Type="http://schemas.openxmlformats.org/officeDocument/2006/relationships/hyperlink" Target="https://drive.google.com/file/d/1BWXMgitrR4l0ykBeUJuLK4A9NorN184l/view?usp=sharing" TargetMode="External"/><Relationship Id="rId211" Type="http://schemas.openxmlformats.org/officeDocument/2006/relationships/hyperlink" Target="https://drive.google.com/file/d/1uvzycVlMKx4atMGjQXCDL5HkFB5vvEK7/view?usp=sharing" TargetMode="External"/><Relationship Id="rId232" Type="http://schemas.openxmlformats.org/officeDocument/2006/relationships/hyperlink" Target="https://drive.google.com/file/d/1J1j-CEb17WGrrapMQrQ36CDBAVa4xbqK/view?usp=sharing" TargetMode="External"/><Relationship Id="rId253" Type="http://schemas.openxmlformats.org/officeDocument/2006/relationships/hyperlink" Target="https://drive.google.com/file/d/1Uu2WaE3zOhl0mnKNbdQt5OCG94WoYO47/view?usp=sharing" TargetMode="External"/><Relationship Id="rId274" Type="http://schemas.openxmlformats.org/officeDocument/2006/relationships/hyperlink" Target="https://drive.google.com/file/d/1c6n7lzgOVfm-RTOGT0qMLgvUVIy5XGQ-/view?usp=sharing" TargetMode="External"/><Relationship Id="rId295" Type="http://schemas.openxmlformats.org/officeDocument/2006/relationships/hyperlink" Target="https://drive.google.com/file/d/1GihaTSdPZJ3UatznslfS_OIiKj3HJPaJ/view?usp=sharing" TargetMode="External"/><Relationship Id="rId309" Type="http://schemas.openxmlformats.org/officeDocument/2006/relationships/hyperlink" Target="https://drive.google.com/file/d/0B4IZ_NzI99JNM0RpUmxnYkYyLUU/view?usp=sharing&amp;resourcekey=0-eIx9AkomBuvf5WSZtTP2_g" TargetMode="External"/><Relationship Id="rId27" Type="http://schemas.openxmlformats.org/officeDocument/2006/relationships/hyperlink" Target="https://drive.google.com/file/d/1NFl2DDYl1gBpDqyrT3UuHCkM5qdJj4Jo/view?usp=sharing" TargetMode="External"/><Relationship Id="rId48" Type="http://schemas.openxmlformats.org/officeDocument/2006/relationships/hyperlink" Target="https://drive.google.com/file/d/1MqMT2GNYtekGiFmPoSX7Lr-Wuw1hn8en/view?usp=sharing" TargetMode="External"/><Relationship Id="rId69" Type="http://schemas.openxmlformats.org/officeDocument/2006/relationships/hyperlink" Target="https://drive.google.com/file/d/1AHLa1pyZ0zwJbIhuW5iVXNHS1dS8DNFh/view?usp=sharing" TargetMode="External"/><Relationship Id="rId113" Type="http://schemas.openxmlformats.org/officeDocument/2006/relationships/hyperlink" Target="https://drive.google.com/file/d/17Esl6myOOPl4hXgsgcHCceY-bhVu3o-P/view?usp=sharing" TargetMode="External"/><Relationship Id="rId134" Type="http://schemas.openxmlformats.org/officeDocument/2006/relationships/hyperlink" Target="https://drive.google.com/file/d/1x_Gykte0Q4_lB3etXijnMn3DNMY6H1An/view?usp=sharing" TargetMode="External"/><Relationship Id="rId320" Type="http://schemas.openxmlformats.org/officeDocument/2006/relationships/hyperlink" Target="https://drive.google.com/file/d/1spWUOT4BosIHwrNMMOAkPF_W1bbKOI_E/view?usp=sharing" TargetMode="External"/><Relationship Id="rId80" Type="http://schemas.openxmlformats.org/officeDocument/2006/relationships/hyperlink" Target="https://drive.google.com/file/d/1qErPqVOXzOIM0UbRfc2b1uS0rIz1tUyj/view?usp=sharing" TargetMode="External"/><Relationship Id="rId155" Type="http://schemas.openxmlformats.org/officeDocument/2006/relationships/hyperlink" Target="https://drive.google.com/file/d/19w11sxzEnkdVJNYUfpLxXyAXGVNomYdj/view?usp=sharing" TargetMode="External"/><Relationship Id="rId176" Type="http://schemas.openxmlformats.org/officeDocument/2006/relationships/hyperlink" Target="https://drive.google.com/file/d/1XagJaouWp3f1e28F2NPYbjgzvlg9Fjjv/view?usp=sharing" TargetMode="External"/><Relationship Id="rId197" Type="http://schemas.openxmlformats.org/officeDocument/2006/relationships/hyperlink" Target="https://drive.google.com/file/d/1D_dU22mJ4dJJxaif1sY5Az7g00kpftbO/view?usp=sharing" TargetMode="External"/><Relationship Id="rId341" Type="http://schemas.openxmlformats.org/officeDocument/2006/relationships/hyperlink" Target="https://drive.google.com/file/d/1ZVGYVc7R-YAwlWhMadgA02p6LRcGkPcG/view?usp=sharing" TargetMode="External"/><Relationship Id="rId362" Type="http://schemas.openxmlformats.org/officeDocument/2006/relationships/hyperlink" Target="https://drive.google.com/file/d/1vonopJRehlOgy6jH5Mh6_vejqoqC7avK/view?usp=sharing" TargetMode="External"/><Relationship Id="rId201" Type="http://schemas.openxmlformats.org/officeDocument/2006/relationships/hyperlink" Target="https://drive.google.com/file/d/1Jb0aSS6ZkoPSGEPa5KU00vmOSBmBEqNR/view?usp=sharing" TargetMode="External"/><Relationship Id="rId222" Type="http://schemas.openxmlformats.org/officeDocument/2006/relationships/hyperlink" Target="https://drive.google.com/file/d/1sLkkJbr7qyYtrBRN9q_7W2cPW_znbBVl/view?usp=sharing" TargetMode="External"/><Relationship Id="rId243" Type="http://schemas.openxmlformats.org/officeDocument/2006/relationships/hyperlink" Target="https://drive.google.com/file/d/1zT9jILsoZfROLOoJL-52ZgQgFXj8Nj_o/view?usp=sharing" TargetMode="External"/><Relationship Id="rId264" Type="http://schemas.openxmlformats.org/officeDocument/2006/relationships/hyperlink" Target="https://drive.google.com/file/d/1vV8blrUtp8tBKXyw4WWjN1Y_dz7QG4gq/view?usp=sharing" TargetMode="External"/><Relationship Id="rId285" Type="http://schemas.openxmlformats.org/officeDocument/2006/relationships/hyperlink" Target="https://drive.google.com/file/d/1p9pCeGX5ELBC2bI9HIMRJHFjmiYjnnoz/view?usp=sharing" TargetMode="External"/><Relationship Id="rId17" Type="http://schemas.openxmlformats.org/officeDocument/2006/relationships/hyperlink" Target="https://drive.google.com/file/d/1fpqLW4EDuzpag7RRPoY4n8jf1XKdHB5v/view?usp=sharing" TargetMode="External"/><Relationship Id="rId38" Type="http://schemas.openxmlformats.org/officeDocument/2006/relationships/hyperlink" Target="https://drive.google.com/file/d/1aDVGBhyTpXgXdgVrr2S0BG3wMJbdyKSa/view?usp=sharing" TargetMode="External"/><Relationship Id="rId59" Type="http://schemas.openxmlformats.org/officeDocument/2006/relationships/hyperlink" Target="https://drive.google.com/file/d/1yOcAQ0V6JgPOTHwIVDOr_uPkSgx2HkDV/view?usp=sharing" TargetMode="External"/><Relationship Id="rId103" Type="http://schemas.openxmlformats.org/officeDocument/2006/relationships/hyperlink" Target="https://drive.google.com/file/d/1IN3sqj6Q5twi50mD6uESPZk_hVwpc9lD/view?usp=sharing" TargetMode="External"/><Relationship Id="rId124" Type="http://schemas.openxmlformats.org/officeDocument/2006/relationships/hyperlink" Target="https://drive.google.com/file/d/1pW2HF3DhHfuh6fekxm8M1PDul9Y5_1WT/view?usp=sharing" TargetMode="External"/><Relationship Id="rId310" Type="http://schemas.openxmlformats.org/officeDocument/2006/relationships/hyperlink" Target="https://drive.google.com/file/d/16cEgLIfP2iQGMe91gYW4VCzrjMrFmuvE/view?usp=sharing" TargetMode="External"/><Relationship Id="rId70" Type="http://schemas.openxmlformats.org/officeDocument/2006/relationships/hyperlink" Target="https://drive.google.com/file/d/1l5_gXYdnmqirdcKcjXVdsUTu96YURFKn/view?usp=sharing" TargetMode="External"/><Relationship Id="rId91" Type="http://schemas.openxmlformats.org/officeDocument/2006/relationships/hyperlink" Target="https://drive.google.com/file/d/1AlJxgBeVURqNXsy5inIMac2lCrp2oT8X/view?usp=sharing" TargetMode="External"/><Relationship Id="rId145" Type="http://schemas.openxmlformats.org/officeDocument/2006/relationships/hyperlink" Target="https://drive.google.com/file/d/10yro08lavLk80ne-o8e6bD856qbrIm8R/view?usp=sharing" TargetMode="External"/><Relationship Id="rId166" Type="http://schemas.openxmlformats.org/officeDocument/2006/relationships/hyperlink" Target="https://drive.google.com/file/d/1DrTfZlfaMaSE8DzrtknB9lR5Qw84Xk_x/view?usp=sharing" TargetMode="External"/><Relationship Id="rId187" Type="http://schemas.openxmlformats.org/officeDocument/2006/relationships/hyperlink" Target="https://drive.google.com/file/d/1menL9mNg155XJY5I3KP85LQyxWz0xsxS/view?usp=sharing" TargetMode="External"/><Relationship Id="rId331" Type="http://schemas.openxmlformats.org/officeDocument/2006/relationships/hyperlink" Target="https://drive.google.com/file/d/1V0gJC0xwKl2TSbsVWjWBsoLXrip5Gbab/view?usp=sharing" TargetMode="External"/><Relationship Id="rId352" Type="http://schemas.openxmlformats.org/officeDocument/2006/relationships/hyperlink" Target="https://drive.google.com/file/d/171V-CVpAU_id510FYG40a4_CnzOqNayy/view?usp=sharing" TargetMode="External"/><Relationship Id="rId373" Type="http://schemas.openxmlformats.org/officeDocument/2006/relationships/hyperlink" Target="https://drive.google.com/file/d/1m_ArOU2zqYsD3DlS-r1GO9TepQXzONE6/view?usp=sharing" TargetMode="External"/><Relationship Id="rId1" Type="http://schemas.openxmlformats.org/officeDocument/2006/relationships/hyperlink" Target="https://drive.google.com/file/d/1nuue97ykr9aBz44OAqd5wMulIcW464-o/view?usp=sharing" TargetMode="External"/><Relationship Id="rId212" Type="http://schemas.openxmlformats.org/officeDocument/2006/relationships/hyperlink" Target="https://drive.google.com/file/d/1PdKVhSyWfkwmTNb1YsTlZ_Yz7IccJ_nM/view?usp=sharing" TargetMode="External"/><Relationship Id="rId233" Type="http://schemas.openxmlformats.org/officeDocument/2006/relationships/hyperlink" Target="https://drive.google.com/file/d/16ZBr8_D4venLxbBWT_hFFrvnmHikSY8m/view?usp=sharing" TargetMode="External"/><Relationship Id="rId254" Type="http://schemas.openxmlformats.org/officeDocument/2006/relationships/hyperlink" Target="https://drive.google.com/file/d/1Q0LtWaEJ1d_sJfv0kweZmqdQSDayz942/view?usp=sharing" TargetMode="External"/><Relationship Id="rId28" Type="http://schemas.openxmlformats.org/officeDocument/2006/relationships/hyperlink" Target="https://drive.google.com/file/d/1TT1l61Z0AXor7Gzn3ERsWW9ukhYLEagx/view?usp=sharing" TargetMode="External"/><Relationship Id="rId49" Type="http://schemas.openxmlformats.org/officeDocument/2006/relationships/hyperlink" Target="https://drive.google.com/file/d/1E35rqL6isSB4zN0GdtvbH5jLq4sIKBC_/view?usp=sharing" TargetMode="External"/><Relationship Id="rId114" Type="http://schemas.openxmlformats.org/officeDocument/2006/relationships/hyperlink" Target="https://drive.google.com/file/d/110XrioRzRO0vUu-c12YQ456VCgp1m7QB/view?usp=sharing" TargetMode="External"/><Relationship Id="rId275" Type="http://schemas.openxmlformats.org/officeDocument/2006/relationships/hyperlink" Target="https://drive.google.com/file/d/1fJgkATgEEpY30mA38m3DNd6RLEdkQ5Do/view?usp=sharing" TargetMode="External"/><Relationship Id="rId296" Type="http://schemas.openxmlformats.org/officeDocument/2006/relationships/hyperlink" Target="https://drive.google.com/file/d/1DMhDpP5He6vI8uSaE_CACXJPcmeOVKV1/view?usp=sharing" TargetMode="External"/><Relationship Id="rId300" Type="http://schemas.openxmlformats.org/officeDocument/2006/relationships/hyperlink" Target="https://drive.google.com/file/d/1vkxXUqdaB9X9KZl3uFdSRcYV1tj7mewC/view?usp=sharing" TargetMode="External"/><Relationship Id="rId60" Type="http://schemas.openxmlformats.org/officeDocument/2006/relationships/hyperlink" Target="https://drive.google.com/file/d/1RZ-a4XBI_Xy7z9MzonhR5pokGv8Srgqg/view?usp=sharing" TargetMode="External"/><Relationship Id="rId81" Type="http://schemas.openxmlformats.org/officeDocument/2006/relationships/hyperlink" Target="https://drive.google.com/file/d/1j3LHQnlqwz4wLWJQZLrY6FxgHB3Q9sJ2/view?usp=sharing" TargetMode="External"/><Relationship Id="rId135" Type="http://schemas.openxmlformats.org/officeDocument/2006/relationships/hyperlink" Target="https://drive.google.com/file/d/1WavxKJywW-BBcryAZPX4fexVBZEob0VR/view?usp=sharing" TargetMode="External"/><Relationship Id="rId156" Type="http://schemas.openxmlformats.org/officeDocument/2006/relationships/hyperlink" Target="https://drive.google.com/file/d/1fmwZWtVbIyGYkyhf6NZL_mX7aRoQOgSv/view?usp=sharing" TargetMode="External"/><Relationship Id="rId177" Type="http://schemas.openxmlformats.org/officeDocument/2006/relationships/hyperlink" Target="https://drive.google.com/file/d/1CZZp-ki_DsWyquqL52OPC4vQYruhH26J/view?usp=sharing" TargetMode="External"/><Relationship Id="rId198" Type="http://schemas.openxmlformats.org/officeDocument/2006/relationships/hyperlink" Target="https://drive.google.com/file/d/1jLrx2q29ScplIty3xTCIfFnTQ82ejSn-/view?usp=sharing" TargetMode="External"/><Relationship Id="rId321" Type="http://schemas.openxmlformats.org/officeDocument/2006/relationships/hyperlink" Target="https://drive.google.com/file/d/1l90rfQDSLpNNFWQTVCQF23Bbh7f4om1f/view?usp=sharing" TargetMode="External"/><Relationship Id="rId342" Type="http://schemas.openxmlformats.org/officeDocument/2006/relationships/hyperlink" Target="https://drive.google.com/file/d/1_L_7zSf2Y35e-oqQhBjvRQZ2yaWE_tXP/view?usp=sharing" TargetMode="External"/><Relationship Id="rId363" Type="http://schemas.openxmlformats.org/officeDocument/2006/relationships/hyperlink" Target="https://drive.google.com/file/d/1hF_6hgWwXA4UPmqIjSAG1zNIoTeK3l3s/view?usp=sharing" TargetMode="External"/><Relationship Id="rId202" Type="http://schemas.openxmlformats.org/officeDocument/2006/relationships/hyperlink" Target="https://drive.google.com/file/d/1_hm5gHbDLE5IPhsOVdpaUSzRfPXOHkrY/view?usp=sharing" TargetMode="External"/><Relationship Id="rId223" Type="http://schemas.openxmlformats.org/officeDocument/2006/relationships/hyperlink" Target="https://drive.google.com/file/d/1Ktu_PEQku1SIV4JouQkth_YsclRy9bVL/view?usp=sharing" TargetMode="External"/><Relationship Id="rId244" Type="http://schemas.openxmlformats.org/officeDocument/2006/relationships/hyperlink" Target="https://drive.google.com/file/d/1w6qX2YQB7fIgJ-wqIrzGfMhsE27JFJCD/view?usp=sharing" TargetMode="External"/><Relationship Id="rId18" Type="http://schemas.openxmlformats.org/officeDocument/2006/relationships/hyperlink" Target="https://drive.google.com/file/d/10vbrD2GwIIUEet_GW6tkvCifF8l3_HkQ/view?usp=sharing" TargetMode="External"/><Relationship Id="rId39" Type="http://schemas.openxmlformats.org/officeDocument/2006/relationships/hyperlink" Target="https://drive.google.com/file/d/1Wm7dlq-OWNzjfd5p6ly_tsBwaNiAwV49/view?usp=sharing" TargetMode="External"/><Relationship Id="rId265" Type="http://schemas.openxmlformats.org/officeDocument/2006/relationships/hyperlink" Target="https://drive.google.com/file/d/1lNZ79oel3fiOcwtG90T75CaFOaj9DkKx/view?usp=sharing" TargetMode="External"/><Relationship Id="rId286" Type="http://schemas.openxmlformats.org/officeDocument/2006/relationships/hyperlink" Target="https://drive.google.com/file/d/1WBphoVWfFuM1eQQXS_SQPNHG-i6Shoz-/view?usp=sharing" TargetMode="External"/><Relationship Id="rId50" Type="http://schemas.openxmlformats.org/officeDocument/2006/relationships/hyperlink" Target="https://drive.google.com/file/d/1wIzHVH7qNIQFfqz7fl7DqNvjAVbpn3mO/view?usp=sharing" TargetMode="External"/><Relationship Id="rId104" Type="http://schemas.openxmlformats.org/officeDocument/2006/relationships/hyperlink" Target="https://drive.google.com/file/d/14-ExpYPUYPkB1IkZEURWSSQnluKyLvwV/view?usp=sharing" TargetMode="External"/><Relationship Id="rId125" Type="http://schemas.openxmlformats.org/officeDocument/2006/relationships/hyperlink" Target="https://drive.google.com/file/d/14PavnpaYRZye59LdAGuUOSObAzZb9IGa/view?usp=sharing" TargetMode="External"/><Relationship Id="rId146" Type="http://schemas.openxmlformats.org/officeDocument/2006/relationships/hyperlink" Target="https://drive.google.com/file/d/1WI-bheSIoSoMGoCCasNlwrtJrTpYvCgz/view?usp=sharing" TargetMode="External"/><Relationship Id="rId167" Type="http://schemas.openxmlformats.org/officeDocument/2006/relationships/hyperlink" Target="https://drive.google.com/file/d/1dKjKaslIz2w_XumENa3vWExnEvjgYysT/view?usp=sharing" TargetMode="External"/><Relationship Id="rId188" Type="http://schemas.openxmlformats.org/officeDocument/2006/relationships/hyperlink" Target="https://drive.google.com/file/d/1sdm9ETjoRCxshHYDr28fPEscuLfWnupG/view?usp=sharing" TargetMode="External"/><Relationship Id="rId311" Type="http://schemas.openxmlformats.org/officeDocument/2006/relationships/hyperlink" Target="https://drive.google.com/file/d/1QALPuQf0Wsf-LTdN1hfwbvYqWbG1iZ5a/view?usp=sharing" TargetMode="External"/><Relationship Id="rId332" Type="http://schemas.openxmlformats.org/officeDocument/2006/relationships/hyperlink" Target="https://drive.google.com/file/d/1NwJQHbjYRxZi6jIxTIYtTyXF4Mggcczg/view?usp=sharing" TargetMode="External"/><Relationship Id="rId353" Type="http://schemas.openxmlformats.org/officeDocument/2006/relationships/hyperlink" Target="https://drive.google.com/file/d/1ZC3HPcec19_Pt5lb65vIVWY_L6XVgoFl/view?usp=sharing" TargetMode="External"/><Relationship Id="rId374" Type="http://schemas.openxmlformats.org/officeDocument/2006/relationships/hyperlink" Target="https://drive.google.com/file/d/16nl4ixMSe_Cq6jS0MyFNz4N6Dq9waOuC/view?usp=sharing" TargetMode="External"/><Relationship Id="rId71" Type="http://schemas.openxmlformats.org/officeDocument/2006/relationships/hyperlink" Target="https://drive.google.com/file/d/1UmP0mb5gfjDmzmlq5af0Wxkri5gLCAju/view?usp=sharing" TargetMode="External"/><Relationship Id="rId92" Type="http://schemas.openxmlformats.org/officeDocument/2006/relationships/hyperlink" Target="https://drive.google.com/file/d/1_6bux6vY0FunfHljBHBI5JcjDYAkqhEy/view?usp=sharing" TargetMode="External"/><Relationship Id="rId213" Type="http://schemas.openxmlformats.org/officeDocument/2006/relationships/hyperlink" Target="https://drive.google.com/file/d/1xWjc_BhOfShOFbG1-rqVL5APw8SxwSOS/view?usp=sharing" TargetMode="External"/><Relationship Id="rId234" Type="http://schemas.openxmlformats.org/officeDocument/2006/relationships/hyperlink" Target="https://drive.google.com/file/d/10C2rS6usZyy67ki9opUDMSP3gjLBjms9/view?usp=sharing" TargetMode="External"/><Relationship Id="rId2" Type="http://schemas.openxmlformats.org/officeDocument/2006/relationships/hyperlink" Target="https://drive.google.com/file/d/1NS87xZIBTrhyP-MI-urYeC8mgmHGG17U/view?usp=sharing" TargetMode="External"/><Relationship Id="rId29" Type="http://schemas.openxmlformats.org/officeDocument/2006/relationships/hyperlink" Target="https://drive.google.com/file/d/1IkaKp4UTtBGun3IZDpOmvawvg6U3u3_0/view?usp=sharing" TargetMode="External"/><Relationship Id="rId255" Type="http://schemas.openxmlformats.org/officeDocument/2006/relationships/hyperlink" Target="https://drive.google.com/file/d/1Rygx4S9Rdikv06yNrX-mu9VI0t01Ihw1/view?usp=sharing" TargetMode="External"/><Relationship Id="rId276" Type="http://schemas.openxmlformats.org/officeDocument/2006/relationships/hyperlink" Target="https://drive.google.com/file/d/1PL5lWJWibF527l9XM_jLxjA0ZX2FgAah/view?usp=sharing" TargetMode="External"/><Relationship Id="rId297" Type="http://schemas.openxmlformats.org/officeDocument/2006/relationships/hyperlink" Target="https://drive.google.com/file/d/1PNParFEfvuJU9pQOUfAdKcnLQyrVFIzO/view?usp=sharing" TargetMode="External"/><Relationship Id="rId40" Type="http://schemas.openxmlformats.org/officeDocument/2006/relationships/hyperlink" Target="https://drive.google.com/file/d/1DER7dHmmF7hFg1zKKq8QZPe8_FrqX0jS/view?usp=sharing" TargetMode="External"/><Relationship Id="rId115" Type="http://schemas.openxmlformats.org/officeDocument/2006/relationships/hyperlink" Target="https://drive.google.com/file/d/1T0EuztZyT9JSv-3YU5EmQvsfS_ZOxt1h/view?usp=sharing" TargetMode="External"/><Relationship Id="rId136" Type="http://schemas.openxmlformats.org/officeDocument/2006/relationships/hyperlink" Target="https://drive.google.com/file/d/0By8NY-NO4-N5bkxUczE4VFluNFU/view?usp=sharing&amp;resourcekey=0-saiDSGnHS-15sZlXP3w2ww" TargetMode="External"/><Relationship Id="rId157" Type="http://schemas.openxmlformats.org/officeDocument/2006/relationships/hyperlink" Target="https://drive.google.com/file/d/1Gf95HtcMPGx8y-llb7VZ5AzmTnPEjFHx/view?usp=sharing" TargetMode="External"/><Relationship Id="rId178" Type="http://schemas.openxmlformats.org/officeDocument/2006/relationships/hyperlink" Target="https://drive.google.com/file/d/1TTBLylh3WOC840g8Pz-VVoN0zkkL2rme/view?usp=sharing" TargetMode="External"/><Relationship Id="rId301" Type="http://schemas.openxmlformats.org/officeDocument/2006/relationships/hyperlink" Target="https://drive.google.com/file/d/1RjKUM-ZFAfQmSYjTfacYdN3fVrlnVCio/view?usp=sharing" TargetMode="External"/><Relationship Id="rId322" Type="http://schemas.openxmlformats.org/officeDocument/2006/relationships/hyperlink" Target="https://drive.google.com/file/d/1SllZ4yJ73iN8Cf1AENhSrWm5IzDnX9GJ/view?usp=sharing" TargetMode="External"/><Relationship Id="rId343" Type="http://schemas.openxmlformats.org/officeDocument/2006/relationships/hyperlink" Target="https://drive.google.com/file/d/1yHp1UiYHnVMBYO4F0UUqNk0usd2ML1Uv/view?usp=sharing" TargetMode="External"/><Relationship Id="rId364" Type="http://schemas.openxmlformats.org/officeDocument/2006/relationships/hyperlink" Target="https://drive.google.com/file/d/1DrocmTurAcO_oS-Rd_SNCr-keYFNDHAB/view?usp=sharing" TargetMode="External"/><Relationship Id="rId61" Type="http://schemas.openxmlformats.org/officeDocument/2006/relationships/hyperlink" Target="https://drive.google.com/file/d/1kgFw6v6GOqMpbLIT5pefAE32vxIEmslW/view?usp=sharing" TargetMode="External"/><Relationship Id="rId82" Type="http://schemas.openxmlformats.org/officeDocument/2006/relationships/hyperlink" Target="https://drive.google.com/file/d/19tHCpxtKVvslUfmucR25EcgS4oQekTzO/view?usp=sharing" TargetMode="External"/><Relationship Id="rId199" Type="http://schemas.openxmlformats.org/officeDocument/2006/relationships/hyperlink" Target="https://drive.google.com/file/d/1bM6LSpJ8SW_wzNZfXrFWYAkltRGBFY1z/view?usp=sharing" TargetMode="External"/><Relationship Id="rId203" Type="http://schemas.openxmlformats.org/officeDocument/2006/relationships/hyperlink" Target="https://drive.google.com/file/d/1PP-Noh7KZl6oplg03wYcUkTndlYbh4G6/view?usp=sharing" TargetMode="External"/><Relationship Id="rId19" Type="http://schemas.openxmlformats.org/officeDocument/2006/relationships/hyperlink" Target="https://drive.google.com/file/d/1njmew9OFLgL5fS9BjXVxxG0mMHLpo1ti/view?usp=sharing" TargetMode="External"/><Relationship Id="rId224" Type="http://schemas.openxmlformats.org/officeDocument/2006/relationships/hyperlink" Target="https://drive.google.com/file/d/1DtGh2J1RkqiUU3IJItFEEEJWqFDAqjh1/view?usp=sharing" TargetMode="External"/><Relationship Id="rId245" Type="http://schemas.openxmlformats.org/officeDocument/2006/relationships/hyperlink" Target="https://drive.google.com/file/d/0By8NY-NO4-N5dERlU2g1X2w2REE/view?usp=sharing&amp;resourcekey=0-Cezp7ABY390s6lkMfcu5Sg" TargetMode="External"/><Relationship Id="rId266" Type="http://schemas.openxmlformats.org/officeDocument/2006/relationships/hyperlink" Target="https://drive.google.com/file/d/1sk4jEOoKVvkO54aARYH1ajICZF_1rpw8/view?usp=sharing" TargetMode="External"/><Relationship Id="rId287" Type="http://schemas.openxmlformats.org/officeDocument/2006/relationships/hyperlink" Target="https://drive.google.com/file/d/1GQ5vmt8r5E97vGU9rWL0uBp8jJQ1Ba7X/view?usp=sharing" TargetMode="External"/><Relationship Id="rId30" Type="http://schemas.openxmlformats.org/officeDocument/2006/relationships/hyperlink" Target="https://drive.google.com/file/d/1z22H-oWtbtapeOlv_RJWmv9MnJse48RR/view?usp=sharing" TargetMode="External"/><Relationship Id="rId105" Type="http://schemas.openxmlformats.org/officeDocument/2006/relationships/hyperlink" Target="https://drive.google.com/file/d/1M4IAozAL9_doxqeBtgJOM7trGPKjDv21/view?usp=sharing" TargetMode="External"/><Relationship Id="rId126" Type="http://schemas.openxmlformats.org/officeDocument/2006/relationships/hyperlink" Target="https://drive.google.com/file/d/1j3jfbXWni3L6okPd-fFPV8WOAm_CXs_n/view?usp=sharing" TargetMode="External"/><Relationship Id="rId147" Type="http://schemas.openxmlformats.org/officeDocument/2006/relationships/hyperlink" Target="https://drive.google.com/file/d/1boyns32NIQM_n5GhrNPtMd725qoYlTgv/view?usp=sharing" TargetMode="External"/><Relationship Id="rId168" Type="http://schemas.openxmlformats.org/officeDocument/2006/relationships/hyperlink" Target="https://drive.google.com/file/d/1oNxfOQEfcvdvyTlDaAdIz2kC0d4CYOM4/view?usp=sharing" TargetMode="External"/><Relationship Id="rId312" Type="http://schemas.openxmlformats.org/officeDocument/2006/relationships/hyperlink" Target="https://drive.google.com/file/d/1WONrI-oXlzExneeOTlwTlKKkznkByoFN/view?usp=sharing" TargetMode="External"/><Relationship Id="rId333" Type="http://schemas.openxmlformats.org/officeDocument/2006/relationships/hyperlink" Target="https://drive.google.com/file/d/10kmTtl8IZ_82i6z3sClPlrbrHePbJF69/view?usp=sharing" TargetMode="External"/><Relationship Id="rId354" Type="http://schemas.openxmlformats.org/officeDocument/2006/relationships/hyperlink" Target="https://drive.google.com/file/d/1_pJnI8pvZgPejSBI3NHoiJIbOWVyxckI/view?usp=sharing" TargetMode="External"/><Relationship Id="rId51" Type="http://schemas.openxmlformats.org/officeDocument/2006/relationships/hyperlink" Target="https://drive.google.com/file/d/1b-c5jW8zK_QxwZzzH1-WpTVvbiT72r26/view?usp=sharing" TargetMode="External"/><Relationship Id="rId72" Type="http://schemas.openxmlformats.org/officeDocument/2006/relationships/hyperlink" Target="https://drive.google.com/file/d/1ZUHFwvCIlaJCBKEXtFuPx-PeTInC3_uO/view?usp=sharing" TargetMode="External"/><Relationship Id="rId93" Type="http://schemas.openxmlformats.org/officeDocument/2006/relationships/hyperlink" Target="https://drive.google.com/file/d/1lT5SZBdV7X13tnyrrJfCwj6zlJeXlzbY/view?usp=sharing" TargetMode="External"/><Relationship Id="rId189" Type="http://schemas.openxmlformats.org/officeDocument/2006/relationships/hyperlink" Target="https://drive.google.com/file/d/18WdyPUdJFvoolsLTBZZA7L7dW_lqwftL/view?usp=sharing" TargetMode="External"/><Relationship Id="rId375" Type="http://schemas.openxmlformats.org/officeDocument/2006/relationships/hyperlink" Target="https://drive.google.com/file/d/1ksb7ETIx9TyY6qL_CHzKb0LgY4heMOum/view?usp=sharing" TargetMode="External"/><Relationship Id="rId3" Type="http://schemas.openxmlformats.org/officeDocument/2006/relationships/hyperlink" Target="https://drive.google.com/file/d/1xt4x8YYYZfwQqOM-MTGTymQDgU0kW7LA/view?usp=sharing" TargetMode="External"/><Relationship Id="rId214" Type="http://schemas.openxmlformats.org/officeDocument/2006/relationships/hyperlink" Target="https://drive.google.com/file/d/1PdKVhSyWfkwmTNb1YsTlZ_Yz7IccJ_nM/view?usp=sharing" TargetMode="External"/><Relationship Id="rId235" Type="http://schemas.openxmlformats.org/officeDocument/2006/relationships/hyperlink" Target="https://drive.google.com/file/d/1vj35VtLWrqqQ3lhDOVS4_Z_qu0W16sZN/view?usp=sharing" TargetMode="External"/><Relationship Id="rId256" Type="http://schemas.openxmlformats.org/officeDocument/2006/relationships/hyperlink" Target="https://drive.google.com/file/d/1y09o8thR5vLN9Gqp64jQVTHU5cYYzO7W/view?usp=sharing" TargetMode="External"/><Relationship Id="rId277" Type="http://schemas.openxmlformats.org/officeDocument/2006/relationships/hyperlink" Target="https://drive.google.com/file/d/0By8NY-NO4-N5XzRjMHRYT1lMUzg/view?usp=sharing&amp;resourcekey=0-Bu4kdSUv8yGeEDIOyo-n5Q" TargetMode="External"/><Relationship Id="rId298" Type="http://schemas.openxmlformats.org/officeDocument/2006/relationships/hyperlink" Target="https://drive.google.com/file/d/1kWEWLLP9xYfXRhcszZqBdIo_ahisbP9w/view?usp=sharing" TargetMode="External"/><Relationship Id="rId116" Type="http://schemas.openxmlformats.org/officeDocument/2006/relationships/hyperlink" Target="https://drive.google.com/file/d/1Luog7DRA7WZZ6MK-wuPgUCg0_TqjCJDZ/view?usp=sharing" TargetMode="External"/><Relationship Id="rId137" Type="http://schemas.openxmlformats.org/officeDocument/2006/relationships/hyperlink" Target="https://drive.google.com/file/d/16dXZl2N7zhx0wN1OQyoIOyGYzHcStfQU/view?usp=sharing" TargetMode="External"/><Relationship Id="rId158" Type="http://schemas.openxmlformats.org/officeDocument/2006/relationships/hyperlink" Target="https://drive.google.com/file/d/1jJDuGtgJI6HEMZRPRqH_7N4C1nYjc7ro/view?usp=sharing" TargetMode="External"/><Relationship Id="rId302" Type="http://schemas.openxmlformats.org/officeDocument/2006/relationships/hyperlink" Target="https://drive.google.com/file/d/1FpXvMmM1NKMwEsGau4nj-jF6okfmTaKa/view?usp=sharing" TargetMode="External"/><Relationship Id="rId323" Type="http://schemas.openxmlformats.org/officeDocument/2006/relationships/hyperlink" Target="https://drive.google.com/file/d/1y9DT5F9aB0Qw1xrl20SKsvKUlLEcbDTa/view?usp=sharing" TargetMode="External"/><Relationship Id="rId344" Type="http://schemas.openxmlformats.org/officeDocument/2006/relationships/hyperlink" Target="https://drive.google.com/file/d/1DWPrA_bL_o8iQ8A5f0KShjvJ_Pz3DQX-/view" TargetMode="External"/><Relationship Id="rId20" Type="http://schemas.openxmlformats.org/officeDocument/2006/relationships/hyperlink" Target="https://drive.google.com/file/d/1GMcmKCHzsaZ0ACaTRQkoP3PlT_tXhDdY/view?usp=sharing" TargetMode="External"/><Relationship Id="rId41" Type="http://schemas.openxmlformats.org/officeDocument/2006/relationships/hyperlink" Target="https://drive.google.com/file/d/1N_pgm7cd8H7I7fTNHGjdSnFeyTIkPSGX/view?usp=sharing" TargetMode="External"/><Relationship Id="rId62" Type="http://schemas.openxmlformats.org/officeDocument/2006/relationships/hyperlink" Target="https://drive.google.com/file/d/1Hk7Jd-QReKSKRWfsHirsVqTu622NH4H2/view?usp=sharing" TargetMode="External"/><Relationship Id="rId83" Type="http://schemas.openxmlformats.org/officeDocument/2006/relationships/hyperlink" Target="https://drive.google.com/file/d/1bs0YcifXNELGMxSoRyfqgpQDsg9OFXqO/view?usp=sharing" TargetMode="External"/><Relationship Id="rId179" Type="http://schemas.openxmlformats.org/officeDocument/2006/relationships/hyperlink" Target="https://drive.google.com/file/d/1PAqVzdMykT6QvQWxTh3oIlP1YY6UENfo/view?usp=sharing" TargetMode="External"/><Relationship Id="rId365" Type="http://schemas.openxmlformats.org/officeDocument/2006/relationships/hyperlink" Target="https://drive.google.com/file/d/1bemfY1gJoXo7y9gZ69TCILzEmw4GA1MX/view?usp=sharing" TargetMode="External"/><Relationship Id="rId190" Type="http://schemas.openxmlformats.org/officeDocument/2006/relationships/hyperlink" Target="https://drive.google.com/file/d/12csJH3ps-tWTGWImcyNDlVCFyut-PfBB/view?usp=sharing" TargetMode="External"/><Relationship Id="rId204" Type="http://schemas.openxmlformats.org/officeDocument/2006/relationships/hyperlink" Target="https://drive.google.com/file/d/1XSqHVXMC2qSS9MQQJbr4LbZ2qYSjl5-a/view?usp=sharing" TargetMode="External"/><Relationship Id="rId225" Type="http://schemas.openxmlformats.org/officeDocument/2006/relationships/hyperlink" Target="https://drive.google.com/file/d/10bb96oYB-cHQgmwVHYFNZXoq4xEFb7Qf/view?usp=sharing" TargetMode="External"/><Relationship Id="rId246" Type="http://schemas.openxmlformats.org/officeDocument/2006/relationships/hyperlink" Target="https://drive.google.com/file/d/1KTTX-TNER-ZpkvujE_OZ1mCoxhU751YD/view?usp=sharing" TargetMode="External"/><Relationship Id="rId267" Type="http://schemas.openxmlformats.org/officeDocument/2006/relationships/hyperlink" Target="https://drive.google.com/file/d/1siUBPXf9U-XMu8uqVzL3iGAs0UEybTd4/view?usp=sharing" TargetMode="External"/><Relationship Id="rId288" Type="http://schemas.openxmlformats.org/officeDocument/2006/relationships/hyperlink" Target="https://drive.google.com/file/d/12IiXCSpgDh1OPCWFalicnvJB2FfuIuQE/view?usp=sharing" TargetMode="External"/><Relationship Id="rId106" Type="http://schemas.openxmlformats.org/officeDocument/2006/relationships/hyperlink" Target="https://drive.google.com/file/d/0Bz4DhE64sN7eOEgwYXZXSlpkdU0/view?usp=sharing&amp;resourcekey=0-X_mc9f3Ka2rlJOwv-LafMg" TargetMode="External"/><Relationship Id="rId127" Type="http://schemas.openxmlformats.org/officeDocument/2006/relationships/hyperlink" Target="https://drive.google.com/file/d/1OM5tcxWmXzNTiVfaITxUy2ORaHgd2ibA/view?usp=sharing" TargetMode="External"/><Relationship Id="rId313" Type="http://schemas.openxmlformats.org/officeDocument/2006/relationships/hyperlink" Target="https://drive.google.com/file/d/1dxMpdiTfQEph3bAc5q_1mRdHVvWk3mQ5/view?usp=sharing" TargetMode="External"/><Relationship Id="rId10" Type="http://schemas.openxmlformats.org/officeDocument/2006/relationships/hyperlink" Target="https://drive.google.com/file/d/161xhtqloZPDpL1WAmm7kpJGQHlIdHhga/view?usp=sharing" TargetMode="External"/><Relationship Id="rId31" Type="http://schemas.openxmlformats.org/officeDocument/2006/relationships/hyperlink" Target="https://drive.google.com/file/d/1SPtACF6cSqOoDkVrhAVDjo7MGUBNC9z3/view?usp=sharing" TargetMode="External"/><Relationship Id="rId52" Type="http://schemas.openxmlformats.org/officeDocument/2006/relationships/hyperlink" Target="https://drive.google.com/file/d/0By8NY-NO4-N5NFd6bjFDZ29ROFE/view?usp=sharing&amp;resourcekey=0-AuYyBC5ymLe68XQenus2Mw" TargetMode="External"/><Relationship Id="rId73" Type="http://schemas.openxmlformats.org/officeDocument/2006/relationships/hyperlink" Target="https://drive.google.com/file/d/1tWcAKXlisgXtnLBah9_DdZwtShjbp5TP/view?usp=sharing" TargetMode="External"/><Relationship Id="rId94" Type="http://schemas.openxmlformats.org/officeDocument/2006/relationships/hyperlink" Target="https://drive.google.com/file/d/1gPUO39CUHlDGnzLnkz70TcO7lGGrmu8r/view?usp=sharing" TargetMode="External"/><Relationship Id="rId148" Type="http://schemas.openxmlformats.org/officeDocument/2006/relationships/hyperlink" Target="https://drive.google.com/file/d/1zEYIRfd3an9IJddpElEZheGg4WfDc1eu/view?usp=sharing" TargetMode="External"/><Relationship Id="rId169" Type="http://schemas.openxmlformats.org/officeDocument/2006/relationships/hyperlink" Target="https://drive.google.com/file/d/1zbVXVOaO7gD6fljZMyXGVM_eIFYfoOs-/view?usp=sharing" TargetMode="External"/><Relationship Id="rId334" Type="http://schemas.openxmlformats.org/officeDocument/2006/relationships/hyperlink" Target="https://drive.google.com/file/d/1_qWqeZCkFEyAbW6XLKgyiYLMP6sPGhnr/view?usp=sharing" TargetMode="External"/><Relationship Id="rId355" Type="http://schemas.openxmlformats.org/officeDocument/2006/relationships/hyperlink" Target="https://drive.google.com/file/d/1MD5gHWmDKqZGXMnkKGJLL-wbj6A03Dah/view?usp=sharing" TargetMode="External"/><Relationship Id="rId376" Type="http://schemas.openxmlformats.org/officeDocument/2006/relationships/hyperlink" Target="https://drive.google.com/file/d/1a6WBfzMUC3Fygb5WqSMCV3ICT0O1I6nU/view?usp=sharing" TargetMode="External"/><Relationship Id="rId4" Type="http://schemas.openxmlformats.org/officeDocument/2006/relationships/hyperlink" Target="https://drive.google.com/file/d/1rnNdbnAZOSbqjtWY2EMYGhYotKAy4l_U/view?usp=sharing" TargetMode="External"/><Relationship Id="rId180" Type="http://schemas.openxmlformats.org/officeDocument/2006/relationships/hyperlink" Target="https://drive.google.com/file/d/1s6hCI_bRgWt5uX2GziEBBjTOBvNgkf6H/view?usp=sharing" TargetMode="External"/><Relationship Id="rId215" Type="http://schemas.openxmlformats.org/officeDocument/2006/relationships/hyperlink" Target="https://drive.google.com/file/d/1lBnyCDOoCnjzN1g1zGzOdBUeG-42j-Q1/view?usp=sharing" TargetMode="External"/><Relationship Id="rId236" Type="http://schemas.openxmlformats.org/officeDocument/2006/relationships/hyperlink" Target="https://drive.google.com/file/d/1g5EkZ7Js3JzOvAqgNBkDCGcR_-SSdnVL/view?usp=sharing" TargetMode="External"/><Relationship Id="rId257" Type="http://schemas.openxmlformats.org/officeDocument/2006/relationships/hyperlink" Target="https://drive.google.com/file/d/1w5wA4nHcex3LhwjdYGsSIs2YtvnRQFLV/view?usp=sharing" TargetMode="External"/><Relationship Id="rId278" Type="http://schemas.openxmlformats.org/officeDocument/2006/relationships/hyperlink" Target="https://drive.google.com/file/d/1y-I7smLRWjSiUCpKanfnJOsYT2Jtm1U5/view?usp=sharing" TargetMode="External"/><Relationship Id="rId303" Type="http://schemas.openxmlformats.org/officeDocument/2006/relationships/hyperlink" Target="https://drive.google.com/file/d/1cccON9gOO3UamkeblykQesmP6mE6F8Lu/view?usp=sharing" TargetMode="External"/><Relationship Id="rId42" Type="http://schemas.openxmlformats.org/officeDocument/2006/relationships/hyperlink" Target="https://drive.google.com/file/d/1bVRACj2FY0rmY-M9lNF335W-Ke3DGGIF/view?usp=sharing" TargetMode="External"/><Relationship Id="rId84" Type="http://schemas.openxmlformats.org/officeDocument/2006/relationships/hyperlink" Target="https://drive.google.com/file/d/1YedHjA2qAfegC53JcjAvjUKAcOB25vt1/view?usp=sharing" TargetMode="External"/><Relationship Id="rId138" Type="http://schemas.openxmlformats.org/officeDocument/2006/relationships/hyperlink" Target="https://drive.google.com/file/d/1tHmY_4t-0Hs-Q1xr7t9fvXAGh8U0wYVO/view?usp=sharing" TargetMode="External"/><Relationship Id="rId345" Type="http://schemas.openxmlformats.org/officeDocument/2006/relationships/hyperlink" Target="https://drive.google.com/file/d/16a8sUeG8lvDEq-NSVP-Nsry9Q0wbqrm5/view?usp=sharing" TargetMode="External"/><Relationship Id="rId191" Type="http://schemas.openxmlformats.org/officeDocument/2006/relationships/hyperlink" Target="https://drive.google.com/file/d/1awhKLOthm3v2up0nd_J0Nj8xY8lV6n8X/view?usp=sharing" TargetMode="External"/><Relationship Id="rId205" Type="http://schemas.openxmlformats.org/officeDocument/2006/relationships/hyperlink" Target="https://drive.google.com/file/d/1fRXE3NgOikKvcnWmgkzjLDpq2gAhu5Fm/view?usp=sharing" TargetMode="External"/><Relationship Id="rId247" Type="http://schemas.openxmlformats.org/officeDocument/2006/relationships/hyperlink" Target="https://drive.google.com/file/d/1oC4d0B8t43LdonRn5Ko3zUjUkPdTj5Zo/view?usp=sharing" TargetMode="External"/><Relationship Id="rId107" Type="http://schemas.openxmlformats.org/officeDocument/2006/relationships/hyperlink" Target="https://drive.google.com/file/d/1-mx5Qiua8swNE440nAov18D64gznQc0g/view?usp=sharing" TargetMode="External"/><Relationship Id="rId289" Type="http://schemas.openxmlformats.org/officeDocument/2006/relationships/hyperlink" Target="https://drive.google.com/file/d/1zseGzU_W2dGa8lTRlRY2bOGTNyD50U0W/view?usp=sharing" TargetMode="External"/><Relationship Id="rId11" Type="http://schemas.openxmlformats.org/officeDocument/2006/relationships/hyperlink" Target="https://drive.google.com/file/d/1JyfnJdfpO4ZK-w8qHIU1MyUr4yxR7CVy/view?usp=sharing" TargetMode="External"/><Relationship Id="rId53" Type="http://schemas.openxmlformats.org/officeDocument/2006/relationships/hyperlink" Target="https://drive.google.com/file/d/1H1OO7atY5nYowl7-pY27u-sfFFUHgPJC/view?usp=sharing" TargetMode="External"/><Relationship Id="rId149" Type="http://schemas.openxmlformats.org/officeDocument/2006/relationships/hyperlink" Target="https://drive.google.com/file/d/1CVZZ6CmLoXW-kyliu-s6sE7FttcYbwWu/view?usp=sharing" TargetMode="External"/><Relationship Id="rId314" Type="http://schemas.openxmlformats.org/officeDocument/2006/relationships/hyperlink" Target="https://drive.google.com/file/d/1r_EaDFnLsIt3UkRVZFyS8n_rqHHQRYQ-/view?usp=sharing" TargetMode="External"/><Relationship Id="rId356" Type="http://schemas.openxmlformats.org/officeDocument/2006/relationships/hyperlink" Target="https://drive.google.com/file/d/1G-71tCTyYaDjJNkYYqciYWgMZogXK-zn/view?usp=sharing" TargetMode="External"/><Relationship Id="rId95" Type="http://schemas.openxmlformats.org/officeDocument/2006/relationships/hyperlink" Target="https://drive.google.com/file/d/1QQl-zBsKBvd0Cd9TPPDx0G31UVAyyzCJ/view?usp=sharing" TargetMode="External"/><Relationship Id="rId160" Type="http://schemas.openxmlformats.org/officeDocument/2006/relationships/hyperlink" Target="https://drive.google.com/file/d/1wn2JhNHqlKu71KvURNn_SOqMX-L1y2SS/view?usp=sharing" TargetMode="External"/><Relationship Id="rId216" Type="http://schemas.openxmlformats.org/officeDocument/2006/relationships/hyperlink" Target="https://drive.google.com/file/d/1fi9SgfgL0KjKd47zJ6w_oQpaDGwpu5wf/view?usp=sharing" TargetMode="External"/><Relationship Id="rId258" Type="http://schemas.openxmlformats.org/officeDocument/2006/relationships/hyperlink" Target="https://drive.google.com/file/d/1hpgNE9FXz_YaQemM5NmImS3UwXCRnnu7/view?usp=sharing" TargetMode="External"/><Relationship Id="rId22" Type="http://schemas.openxmlformats.org/officeDocument/2006/relationships/hyperlink" Target="https://drive.google.com/file/d/1WNdmORwL9wAwYUl9ESEVfNMk-063sEV6/view?usp=sharing" TargetMode="External"/><Relationship Id="rId64" Type="http://schemas.openxmlformats.org/officeDocument/2006/relationships/hyperlink" Target="https://drive.google.com/file/d/1fRSkrvnJcEp6e4gWyiC-FrZcD-tCwwFb/view?usp=sharing" TargetMode="External"/><Relationship Id="rId118" Type="http://schemas.openxmlformats.org/officeDocument/2006/relationships/hyperlink" Target="https://drive.google.com/file/d/1SjVOh6nvhzWf5Jmm29FvHPtCWrWmezgt/view?usp=sharing" TargetMode="External"/><Relationship Id="rId325" Type="http://schemas.openxmlformats.org/officeDocument/2006/relationships/hyperlink" Target="https://drive.google.com/file/d/1l90rfQDSLpNNFWQTVCQF23Bbh7f4om1f/view?usp=sharing" TargetMode="External"/><Relationship Id="rId367" Type="http://schemas.openxmlformats.org/officeDocument/2006/relationships/hyperlink" Target="https://drive.google.com/file/d/1BXDk2hsqFEfrCXQ6aTSf7XR1-W2V0BpS/view?usp=sharing" TargetMode="External"/><Relationship Id="rId171" Type="http://schemas.openxmlformats.org/officeDocument/2006/relationships/hyperlink" Target="https://drive.google.com/file/d/1o0_w1lxPRGmO27lbjAZ7wQJhAjTtxgUW/view?usp=sharing" TargetMode="External"/><Relationship Id="rId227" Type="http://schemas.openxmlformats.org/officeDocument/2006/relationships/hyperlink" Target="https://drive.google.com/file/d/1CbiRokAX0S6bm8Lx70GWay_yflmmtFw4/view?usp=sharing" TargetMode="External"/><Relationship Id="rId269" Type="http://schemas.openxmlformats.org/officeDocument/2006/relationships/hyperlink" Target="https://drive.google.com/file/d/14gkWltvWrBizf3qfwW3a609pDsfx0uv2/view?usp=sharing" TargetMode="External"/><Relationship Id="rId33" Type="http://schemas.openxmlformats.org/officeDocument/2006/relationships/hyperlink" Target="https://drive.google.com/file/d/11ONDN2IDsU0tZ9hRsecKj-70dUVY-da5/view?usp=sharing" TargetMode="External"/><Relationship Id="rId129" Type="http://schemas.openxmlformats.org/officeDocument/2006/relationships/hyperlink" Target="https://drive.google.com/file/d/1wbdkXWYUSxtgf11Ed1iYsef8zSl_j99T/view?usp=sharing" TargetMode="External"/><Relationship Id="rId280" Type="http://schemas.openxmlformats.org/officeDocument/2006/relationships/hyperlink" Target="https://drive.google.com/file/d/1yfWmZLhnwTQeJMAMZGpseD-fGZbuAIBH/view?usp=sharing" TargetMode="External"/><Relationship Id="rId336" Type="http://schemas.openxmlformats.org/officeDocument/2006/relationships/hyperlink" Target="https://drive.google.com/file/d/1Buph5L7tJMFQfWFyJyToMAtbUdpBalVF/view?usp=sharing" TargetMode="External"/><Relationship Id="rId75" Type="http://schemas.openxmlformats.org/officeDocument/2006/relationships/hyperlink" Target="https://drive.google.com/file/d/1PoZDlgNh9trCPmE3w-bqaZHu8flX-wW7/view?usp=sharing" TargetMode="External"/><Relationship Id="rId140" Type="http://schemas.openxmlformats.org/officeDocument/2006/relationships/hyperlink" Target="https://drive.google.com/file/d/10YmmddRA3AQ-xmOye_rrzKZDzDw7Ksl1/view?usp=sharing" TargetMode="External"/><Relationship Id="rId182" Type="http://schemas.openxmlformats.org/officeDocument/2006/relationships/hyperlink" Target="https://drive.google.com/file/d/1RWYC6kzerDxB09Eixu33YKKFrAq-8gwD/view?usp=sharing" TargetMode="External"/><Relationship Id="rId378" Type="http://schemas.openxmlformats.org/officeDocument/2006/relationships/hyperlink" Target="https://drive.google.com/file/d/1mMs_w3_4KYcFKWJdFe5xicG_4CXlvp7B/view?usp=sharing" TargetMode="External"/><Relationship Id="rId6" Type="http://schemas.openxmlformats.org/officeDocument/2006/relationships/hyperlink" Target="https://drive.google.com/file/d/1rM3KYZ1mdSRJmOyxZsAdJ7oASQ6BxEmS/view?usp=sharing" TargetMode="External"/><Relationship Id="rId238" Type="http://schemas.openxmlformats.org/officeDocument/2006/relationships/hyperlink" Target="https://drive.google.com/file/d/1Rt48FfVS-AGKDZGs1dxS6JKfxT_LJ9jv/view?usp=sharing" TargetMode="External"/><Relationship Id="rId291" Type="http://schemas.openxmlformats.org/officeDocument/2006/relationships/hyperlink" Target="https://drive.google.com/file/d/1T-AAWZANIvcyB1YVzcum4t2FhpzLgu7b/view?usp=sharing" TargetMode="External"/><Relationship Id="rId305" Type="http://schemas.openxmlformats.org/officeDocument/2006/relationships/hyperlink" Target="https://drive.google.com/file/d/1c9ZArNe6J4VAmC9RqCBXHh79upWBoDzd/view?usp=sharing" TargetMode="External"/><Relationship Id="rId347" Type="http://schemas.openxmlformats.org/officeDocument/2006/relationships/hyperlink" Target="https://drive.google.com/file/d/1ilG1BicSe3La0hnzvf7idLk6OD7JQxBX/view?usp=sharing" TargetMode="External"/><Relationship Id="rId44" Type="http://schemas.openxmlformats.org/officeDocument/2006/relationships/hyperlink" Target="https://drive.google.com/file/d/1MXGJ61sScRb4SmQtFk6fWXv81ftWZqr2/view?usp=sharing" TargetMode="External"/><Relationship Id="rId86" Type="http://schemas.openxmlformats.org/officeDocument/2006/relationships/hyperlink" Target="https://drive.google.com/file/d/1m_A6h6mX2ox7XEhThNly-dRaGVCEMQwg/view?usp=sharing" TargetMode="External"/><Relationship Id="rId151" Type="http://schemas.openxmlformats.org/officeDocument/2006/relationships/hyperlink" Target="https://drive.google.com/file/d/1fcHxbgUjrO-geKqyxWAw3uM6O6-kmsIJ/view?usp=sharing" TargetMode="External"/><Relationship Id="rId193" Type="http://schemas.openxmlformats.org/officeDocument/2006/relationships/hyperlink" Target="https://drive.google.com/file/d/12xABzRQDUJlvgC1ugh1bcmcNOqgtZs2V/view?usp=sharing" TargetMode="External"/><Relationship Id="rId207" Type="http://schemas.openxmlformats.org/officeDocument/2006/relationships/hyperlink" Target="https://drive.google.com/file/d/1m0uavh9I3dDJEgKGaOTkFgcvQ6NmH8d9/view?usp=sharing" TargetMode="External"/><Relationship Id="rId249" Type="http://schemas.openxmlformats.org/officeDocument/2006/relationships/hyperlink" Target="https://drive.google.com/file/d/1e4pR_7c3s7TV_BSwRBID-PE40ox-qcwW/view?usp=sharing" TargetMode="External"/><Relationship Id="rId13" Type="http://schemas.openxmlformats.org/officeDocument/2006/relationships/hyperlink" Target="https://drive.google.com/file/d/1JyfnJdfpO4ZK-w8qHIU1MyUr4yxR7CVy/view?usp=sharing" TargetMode="External"/><Relationship Id="rId109" Type="http://schemas.openxmlformats.org/officeDocument/2006/relationships/hyperlink" Target="https://drive.google.com/file/d/1Dq2M8ih-Ri7L-_x53s-Jkrp2YoLJvxf5/view?usp=sharing" TargetMode="External"/><Relationship Id="rId260" Type="http://schemas.openxmlformats.org/officeDocument/2006/relationships/hyperlink" Target="https://drive.google.com/file/d/1T0dzc7txBYAY7ekHpeyEMicv-Z5TU9yk/view?usp=sharing" TargetMode="External"/><Relationship Id="rId316" Type="http://schemas.openxmlformats.org/officeDocument/2006/relationships/hyperlink" Target="https://drive.google.com/file/d/1cPmrGepRctDKGmb18FY6wolLA-QLAw7f/view?usp=sharing" TargetMode="External"/><Relationship Id="rId55" Type="http://schemas.openxmlformats.org/officeDocument/2006/relationships/hyperlink" Target="https://drive.google.com/file/d/18mRX1QCCI79-ppJFT6wAi0axNg2DNzWi/view?usp=sharing" TargetMode="External"/><Relationship Id="rId97" Type="http://schemas.openxmlformats.org/officeDocument/2006/relationships/hyperlink" Target="https://drive.google.com/file/d/1CQIsmkISlPD1m-S5MI5lm9FSGKBLOxa7/view?usp=sharing" TargetMode="External"/><Relationship Id="rId120" Type="http://schemas.openxmlformats.org/officeDocument/2006/relationships/hyperlink" Target="https://drive.google.com/file/d/1FYaijdN7YEhxXCGe5xv3vwmQrSpok5u2/view?usp=sharing" TargetMode="External"/><Relationship Id="rId358" Type="http://schemas.openxmlformats.org/officeDocument/2006/relationships/hyperlink" Target="https://drive.google.com/file/d/1k4GdlcKaGxKivfATD6NBmE36JO6CyTJt/view?usp=sharing" TargetMode="External"/><Relationship Id="rId162" Type="http://schemas.openxmlformats.org/officeDocument/2006/relationships/hyperlink" Target="https://drive.google.com/file/d/1SH_NfiEaylSZfg92braD-DL6cVd2UOE3/view?usp=sharing" TargetMode="External"/><Relationship Id="rId218" Type="http://schemas.openxmlformats.org/officeDocument/2006/relationships/hyperlink" Target="https://drive.google.com/file/d/1ioQrbuLbpd4hKfnOzsCsilW0HZh7K9ol/view?usp=sharing" TargetMode="External"/><Relationship Id="rId271" Type="http://schemas.openxmlformats.org/officeDocument/2006/relationships/hyperlink" Target="https://drive.google.com/file/d/1HYIZZPCBPObtG6fezURfRcsQh1YWO4hd/view?usp=sharing" TargetMode="External"/><Relationship Id="rId24" Type="http://schemas.openxmlformats.org/officeDocument/2006/relationships/hyperlink" Target="https://drive.google.com/file/d/1pPLaJxzgWGj9_0I-G2mW66ZRJUix_iba/view?usp=sharing" TargetMode="External"/><Relationship Id="rId66" Type="http://schemas.openxmlformats.org/officeDocument/2006/relationships/hyperlink" Target="https://drive.google.com/file/d/1USO5JLWrQQ4MkIjOJKQLW9w99OWX6SQZ/view?usp=sharing" TargetMode="External"/><Relationship Id="rId131" Type="http://schemas.openxmlformats.org/officeDocument/2006/relationships/hyperlink" Target="https://drive.google.com/file/d/18mMIZT-KbOo0xe9CXw7WHNaeII72h19_/view?usp=sharing" TargetMode="External"/><Relationship Id="rId327" Type="http://schemas.openxmlformats.org/officeDocument/2006/relationships/hyperlink" Target="https://drive.google.com/file/d/1l90rfQDSLpNNFWQTVCQF23Bbh7f4om1f/view?usp=sharing" TargetMode="External"/><Relationship Id="rId369" Type="http://schemas.openxmlformats.org/officeDocument/2006/relationships/hyperlink" Target="https://drive.google.com/file/d/10SSEXWKQHGApQ3Uf-a4RPEYohUrQBWJX/view?usp=sharing" TargetMode="External"/><Relationship Id="rId173" Type="http://schemas.openxmlformats.org/officeDocument/2006/relationships/hyperlink" Target="https://drive.google.com/file/d/1ecIvhxAr9NSmiMAlx2neAZ3JpCyuO-hB/view?usp=sharing" TargetMode="External"/><Relationship Id="rId229" Type="http://schemas.openxmlformats.org/officeDocument/2006/relationships/hyperlink" Target="https://drive.google.com/file/d/1RaI-DO8S1zLNbLTBx6uKp77PK0AyUZpD/view" TargetMode="External"/><Relationship Id="rId380" Type="http://schemas.openxmlformats.org/officeDocument/2006/relationships/hyperlink" Target="https://drive.google.com/file/d/1UQEe_5tCudV58ticsOQgZuqSEgTwp9WI/view?usp=sharing" TargetMode="External"/><Relationship Id="rId240" Type="http://schemas.openxmlformats.org/officeDocument/2006/relationships/hyperlink" Target="https://drive.google.com/file/d/10RFQ85YaqnNcNhA8ad6B0TcT3Gh0XE68/view?usp=sharing" TargetMode="External"/><Relationship Id="rId35" Type="http://schemas.openxmlformats.org/officeDocument/2006/relationships/hyperlink" Target="https://drive.google.com/file/d/1HxaSx6MFTR7zkZamHipDd9t5DU-cscfg/view?usp=sharing" TargetMode="External"/><Relationship Id="rId77" Type="http://schemas.openxmlformats.org/officeDocument/2006/relationships/hyperlink" Target="https://drive.google.com/file/d/19kOBLV--J4xPxRwregFKQ1AFrgFkrdmL/view?usp=sharing" TargetMode="External"/><Relationship Id="rId100" Type="http://schemas.openxmlformats.org/officeDocument/2006/relationships/hyperlink" Target="https://drive.google.com/file/d/1iHxQhgPChqsZ3e75UQJ6cr8hClsSURhs/view?usp=sharing" TargetMode="External"/><Relationship Id="rId282" Type="http://schemas.openxmlformats.org/officeDocument/2006/relationships/hyperlink" Target="https://drive.google.com/file/d/1Dp7IGWFy-wmXpqZ0aovKpjrp0CsxT4nP/view?usp=sharing" TargetMode="External"/><Relationship Id="rId338" Type="http://schemas.openxmlformats.org/officeDocument/2006/relationships/hyperlink" Target="https://drive.google.com/file/d/1T7SLawJWn4b3LQlkG2S2FQLz18xGa-1F/view?usp=sharing" TargetMode="External"/><Relationship Id="rId8" Type="http://schemas.openxmlformats.org/officeDocument/2006/relationships/hyperlink" Target="https://drive.google.com/file/d/18BP15Rxnug2DaCbIUt6A4B8QpPIVBsOR/view?usp=sharing" TargetMode="External"/><Relationship Id="rId142" Type="http://schemas.openxmlformats.org/officeDocument/2006/relationships/hyperlink" Target="https://drive.google.com/file/d/19roavgSBrfGbb780m0pr7n6zsn0f3jSu/view?usp=sharing" TargetMode="External"/><Relationship Id="rId184" Type="http://schemas.openxmlformats.org/officeDocument/2006/relationships/hyperlink" Target="https://drive.google.com/file/d/1sUZlCmbeRNli4cm6qmqC-QwyuhpzYsbk/view?usp=sharing" TargetMode="External"/><Relationship Id="rId251" Type="http://schemas.openxmlformats.org/officeDocument/2006/relationships/hyperlink" Target="https://drive.google.com/file/d/1Zz5Z8UlYqa7kcNSLClgCJ8rnCB70Gpv2/view?usp=sharing" TargetMode="External"/><Relationship Id="rId46" Type="http://schemas.openxmlformats.org/officeDocument/2006/relationships/hyperlink" Target="https://drive.google.com/file/d/1xYPhNDI2eTBBl1mIHBX8dazacCDuD5Fc/view?usp=sharing" TargetMode="External"/><Relationship Id="rId293" Type="http://schemas.openxmlformats.org/officeDocument/2006/relationships/hyperlink" Target="https://drive.google.com/file/d/11Ayok9eQ4-l1jWCHSensoeoLvHZjZyLo/view?usp=sharing" TargetMode="External"/><Relationship Id="rId307" Type="http://schemas.openxmlformats.org/officeDocument/2006/relationships/hyperlink" Target="https://drive.google.com/file/d/1gB0fOjYRFbX9gJNYVw3GTrmok3p1DpNO/view?usp=sharing" TargetMode="External"/><Relationship Id="rId349" Type="http://schemas.openxmlformats.org/officeDocument/2006/relationships/hyperlink" Target="https://drive.google.com/file/d/1ntoJcurumqLo3zuDbu3cU79w1rgVmcwz/view?usp=sharing" TargetMode="External"/><Relationship Id="rId88" Type="http://schemas.openxmlformats.org/officeDocument/2006/relationships/hyperlink" Target="https://drive.google.com/file/d/1RMA6dLSFbwmyfdPl-FAQ_GtaKO0wvIiy/view?usp=sharing" TargetMode="External"/><Relationship Id="rId111" Type="http://schemas.openxmlformats.org/officeDocument/2006/relationships/hyperlink" Target="https://drive.google.com/file/d/14hhF3j1Z07Nt2ZUy8r3VlBP_Dvxnc2bF/view?usp=sharing" TargetMode="External"/><Relationship Id="rId153" Type="http://schemas.openxmlformats.org/officeDocument/2006/relationships/hyperlink" Target="https://drive.google.com/file/d/191jG_BD4gy8h7iXpVJAeb9QbwfdxvznP/view?usp=sharing" TargetMode="External"/><Relationship Id="rId195" Type="http://schemas.openxmlformats.org/officeDocument/2006/relationships/hyperlink" Target="https://drive.google.com/file/d/1dapm0r893_zMM-0w8axWHyme4QNUwG4V/view?usp=sharing" TargetMode="External"/><Relationship Id="rId209" Type="http://schemas.openxmlformats.org/officeDocument/2006/relationships/hyperlink" Target="https://drive.google.com/file/d/1EdF28kudxezgbkSC0GPuLyPi0i4Vh5zz/view?usp=sharing" TargetMode="External"/><Relationship Id="rId360" Type="http://schemas.openxmlformats.org/officeDocument/2006/relationships/hyperlink" Target="https://drive.google.com/file/d/1V_J7QrVy6MRf8N6e3p2Oa-Le3O_YxA01/view?usp=sharing" TargetMode="External"/><Relationship Id="rId220" Type="http://schemas.openxmlformats.org/officeDocument/2006/relationships/hyperlink" Target="https://drive.google.com/file/d/1Ro3I-MDTqctf-H8SUguDjDjHGKx0aKUc/view?usp=sharing" TargetMode="External"/><Relationship Id="rId15" Type="http://schemas.openxmlformats.org/officeDocument/2006/relationships/hyperlink" Target="https://drive.google.com/file/d/1B8vnLzwEbLGaeVrhLqjzh_Bl2NxUZDSg/view?usp=sharing" TargetMode="External"/><Relationship Id="rId57" Type="http://schemas.openxmlformats.org/officeDocument/2006/relationships/hyperlink" Target="https://drive.google.com/file/d/1thKcmn_Hamu6eXREGIpw2DYU-gWt9XXR/view?usp=sharing" TargetMode="External"/><Relationship Id="rId262" Type="http://schemas.openxmlformats.org/officeDocument/2006/relationships/hyperlink" Target="https://drive.google.com/file/d/1TXfnDklCE4ZXyEBpCivzmkoaFKjKkbk0/view?usp=sharing" TargetMode="External"/><Relationship Id="rId318" Type="http://schemas.openxmlformats.org/officeDocument/2006/relationships/hyperlink" Target="https://drive.google.com/file/d/1_LQ1bsCGGVes03e2oDieWVHD-QfX-Ttl/view?usp=sharing" TargetMode="External"/><Relationship Id="rId99" Type="http://schemas.openxmlformats.org/officeDocument/2006/relationships/hyperlink" Target="https://drive.google.com/file/d/1zyvTPsRJ0YifUMZI1yxwPaqoMn_FHpvs/view?usp=sharing" TargetMode="External"/><Relationship Id="rId122" Type="http://schemas.openxmlformats.org/officeDocument/2006/relationships/hyperlink" Target="https://drive.google.com/file/d/1brKzZf1Os7CRq1S9gjjCZKLDDnjyJJR4/view?usp=sharing" TargetMode="External"/><Relationship Id="rId164" Type="http://schemas.openxmlformats.org/officeDocument/2006/relationships/hyperlink" Target="https://drive.google.com/file/d/1XncaI9-fXscN12eMoruD7MM38J2qqsWT/view?usp=sharing" TargetMode="External"/><Relationship Id="rId371" Type="http://schemas.openxmlformats.org/officeDocument/2006/relationships/hyperlink" Target="https://drive.google.com/file/d/1hFuoF-wMyMBQ9k6yxMc9UZm8ZAK3_MQM/view?usp=shari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D4A15-D981-4A1B-B69B-BE6BFFCCB1CD}">
  <dimension ref="A1:E27"/>
  <sheetViews>
    <sheetView tabSelected="1" workbookViewId="0"/>
  </sheetViews>
  <sheetFormatPr defaultRowHeight="13.2" x14ac:dyDescent="0.25"/>
  <cols>
    <col min="1" max="2" width="16.77734375" customWidth="1"/>
    <col min="5" max="5" width="48.77734375" customWidth="1"/>
  </cols>
  <sheetData>
    <row r="1" spans="1:5" ht="24.6" x14ac:dyDescent="0.4">
      <c r="A1" s="36" t="s">
        <v>5673</v>
      </c>
    </row>
    <row r="2" spans="1:5" x14ac:dyDescent="0.25">
      <c r="A2" t="s">
        <v>5674</v>
      </c>
      <c r="B2" s="37">
        <f ca="1">NOW()</f>
        <v>45964.186620717592</v>
      </c>
    </row>
    <row r="3" spans="1:5" x14ac:dyDescent="0.25">
      <c r="A3" t="s">
        <v>5675</v>
      </c>
    </row>
    <row r="4" spans="1:5" x14ac:dyDescent="0.25">
      <c r="A4" t="s">
        <v>5676</v>
      </c>
      <c r="B4" t="s">
        <v>5677</v>
      </c>
    </row>
    <row r="8" spans="1:5" x14ac:dyDescent="0.25">
      <c r="E8" s="35" t="s">
        <v>5678</v>
      </c>
    </row>
    <row r="9" spans="1:5" x14ac:dyDescent="0.25">
      <c r="E9" t="s">
        <v>5679</v>
      </c>
    </row>
    <row r="10" spans="1:5" x14ac:dyDescent="0.25">
      <c r="E10" t="str">
        <f>'Front Page'!B13</f>
        <v>Welcome to The Celestial Bordello, First Edition, Scriptless Version! Designed for all of you who get (rightfully) nervous when a program from an unknown individual asks to excecute code on your computer~! This Celestial System is for all things lewd, sexy, and otherwise pornographic! A celebration of all the X-rated jumpchains that otherwise languish in infamy. Hopefully you have fun with it. If you want to make a copy of this file for your personal use, you can find the option to 'Make a Copy' under 'File' in the top left of the window.
It should be noted that the scriptless nature of this sheet means that there is an extensive array of functions doing a lot of complicated things. As such, there are certain cells that are Protected. If you attempt to edit them, they will warn you that they should not be edited. I'd advise that you leave them be.
As part of the creation of The Celestial Bordello, some edits were made to perks. Some simply had their description clarified or tweaked to reflect the fact that they are in a Celestial System and not a Jumpchain, or their names edited to be unique. Others had their costs altered to better reflect their relative power compared to every other perk and/or their potential effect on a story. And then there are yet others that had their descriptions altered to eliminate an overlap. I have removed all prerequisites, as they are always awkward in these random systems, instead choosing to either leave the perk on its own or combine them. Some perks have been created wholesale, inspired by options that were not perks in their source material, but instead origins or similar. It is my hope that not only people will find this acceptable, but also seek to do similarly in the creation of future Celestial Systems. The fact that I chose to do this to the sex System is not lost on me, but motivation is as motivation does.</v>
      </c>
    </row>
    <row r="11" spans="1:5" x14ac:dyDescent="0.25">
      <c r="E11" t="str">
        <f>'Front Page'!B29</f>
        <v>Intended Mechanics</v>
      </c>
    </row>
    <row r="12" spans="1:5" x14ac:dyDescent="0.25">
      <c r="E12" t="str">
        <f>'Front Page'!B32</f>
        <v>Let me preface this section with the statement that you, as an author, can easily ignore any or all of these. In the end, your story should be whatever you think will be the most engaging. These are simply the guidlines I had in mind when I created the system.
1) Items are contained within a one-time pocket dimension until summoned for the first time. This is to provide some quality of life benefit to the character (which I will be referring to as the user) as some of these objects are quite cumbersome, like the multiple beds, or the starliner. Although I do see the potential in ignoring this and exploiting the conflict that will come from these things appearing randomly.
2) Perks in the Alternate Form category that refer to 'you' instead let you transform into an Alternate Form with those effects. This is to allow a greater array of fetishised body and creature types, while also deliniating a line between perks that control transforming and those that give a singular, usually fixed, form.
3) The first perk gained from the Pocket Dimension category gives the user access to a pocket dimension that will contain all future purchases of that type. They do not have access to it before that point. Additionally, perks from this category are connected to each other when purchased.
4) Consumables, unless otherwise stated by the perk, refill once a week.</v>
      </c>
    </row>
    <row r="13" spans="1:5" x14ac:dyDescent="0.25">
      <c r="E13" t="str">
        <f>'Front Page'!B44</f>
        <v>FAQ</v>
      </c>
    </row>
    <row r="14" spans="1:5" x14ac:dyDescent="0.25">
      <c r="E14" t="str">
        <f>'Front Page'!B47</f>
        <v>Why can't I edit anything?
You are probably trying to edit the master distribution copy of the sheet. Try making your own personal copy under 'File' and 'Make a Copy'.</v>
      </c>
    </row>
    <row r="15" spans="1:5" x14ac:dyDescent="0.25">
      <c r="E15" t="str">
        <f>'Front Page'!B50</f>
        <v>Why is this all in shades of Purple?
It's a tribute to Slaanesh!</v>
      </c>
    </row>
    <row r="16" spans="1:5" x14ac:dyDescent="0.25">
      <c r="E16" t="str">
        <f>'Front Page'!B53</f>
        <v>I rolled something that Isn't My Fetish! How do I get rid of it?
Go to the Full Perk List and use Ctrl + F to search for it. Then, delete its entire row. This will remove it from your copy of the sheet.</v>
      </c>
    </row>
    <row r="17" spans="5:5" x14ac:dyDescent="0.25">
      <c r="E17" t="str">
        <f>'Front Page'!B56</f>
        <v>This perk is from something that mentions Lolis or getting Blacked! Why is this here?
Not every perk from those jumpchains was strictly about the fetishes in question. I have done my best to excise any objectional content from both perk names and descriptions.</v>
      </c>
    </row>
    <row r="18" spans="5:5" x14ac:dyDescent="0.25">
      <c r="E18" t="str">
        <f>'Front Page'!B59</f>
        <v>All the perks in one of the sheets have disappeared! Help!
The function that takes them from the Full Perk List won't overwrite any data that you've put in there. If you attempted to correct something, or add a row, that will have added data. All you need to do is erase what you did and that will fix it. Ctrl + Z is your friend. If you don't know what data you've added, you might have a ghost False. Go to the top of the B Column, hold Ctrl, and tap the down arrow until the formula bar says FALSE. Delete the FALSE in the formula bar and it should be fixed. If it isn't, just keep looking until you get them all. TRUEs can also be a problem.</v>
      </c>
    </row>
    <row r="19" spans="5:5" x14ac:dyDescent="0.25">
      <c r="E19" t="str">
        <f>'Front Page'!B65</f>
        <v>Why are some jumpchains missing links in the Bibliography?
I don't want this project to get needfully suppressed by the moderators of whatever site or app you found this on. Therefore, any jumpchains that I thought would get the project struck do not have links.</v>
      </c>
    </row>
    <row r="20" spans="5:5" x14ac:dyDescent="0.25">
      <c r="E20" t="str">
        <f>'Front Page'!B69</f>
        <v>I purchased a Perk but now regret that decision. How do I get rid of it?
Just delete it from your perk list. It will return to the unpurchased section automatically.</v>
      </c>
    </row>
    <row r="21" spans="5:5" x14ac:dyDescent="0.25">
      <c r="E21" t="str">
        <f>'Front Page'!B72</f>
        <v>I rolled a perk I wanted, but edited something and now it's gone. How do I get it back?
You can't. 
Unfortunately, Google Sheets doesn't have any way to natively to save the value of a cell when its underlying variables change. If someone has a proven way of doing this without a script, they should message me. I'm pretty good with Excel, but not perfect. I would suggest that you always copy the name of a perk when you roll it, even if you eventually decide not to buy it.</v>
      </c>
    </row>
    <row r="22" spans="5:5" x14ac:dyDescent="0.25">
      <c r="E22" t="str">
        <f>'Front Page'!B78</f>
        <v>How many Perks are there?</v>
      </c>
    </row>
    <row r="23" spans="5:5" x14ac:dyDescent="0.25">
      <c r="E23" t="str">
        <f ca="1">'Front Page'!B79</f>
        <v>There are 2687 perks as of last count. Which was right now. This question auto-updates!</v>
      </c>
    </row>
    <row r="24" spans="5:5" x14ac:dyDescent="0.25">
      <c r="E24" t="str">
        <f>'Front Page'!B80</f>
        <v>I don't like/want to exclude &lt;insert category here&gt; from rolls. How do?
Go to the Calculation Sheet and untick the box.</v>
      </c>
    </row>
    <row r="25" spans="5:5" x14ac:dyDescent="0.25">
      <c r="E25" t="str">
        <f>'Front Page'!B83</f>
        <v>How do I add more Perks?
Go to the Full Perk List and add a new row. Then, put it in your perk. Make sure that it has a unique name and a category! Or, if you're purchasing it immediately, just add it to your purchased perks list. It will complain at you, but you can ignore it for this.</v>
      </c>
    </row>
    <row r="26" spans="5:5" x14ac:dyDescent="0.25">
      <c r="E26" t="str">
        <f>'Front Page'!B87</f>
        <v>How do I track those additional purchases some perks let me make?
Well, you can add it to the description of the perk itself, or you can add it as an additional line in your purchased perks list. Either way, the sheet will complain at you, but you can ignore it for this.</v>
      </c>
    </row>
    <row r="27" spans="5:5" x14ac:dyDescent="0.25">
      <c r="E27" t="str">
        <f>'Front Page'!B91</f>
        <v>I'm an advanced user. How do I add an entire category?
Woah Boy. Here's a step-by-step list, along with important things to know:
1) Make the sheet. Do this by duplicating one of the current ones, it'll copy over all the formulas and make your life easier.
2) Rename it. This too will make things easier. You'll also want to change the name on the sheet, as that is used to grab the perks for the listings.
3) Add your new perks to the Full Perk List. Make sure they all have the new category listed.
4) At the top of the Full Perk List, make a new "Purchased Perks" line. It should be like all the others, except with the number incremented and the category filled with your new one.
5) Go to the Calculation Sheet and Copy/Paste one of the Category names from and in the Right Hand List. You will want to go into the formula and replace the name of that category with your new one. If yours has multiple words, you will need to contain it in 'single apostrophes'. This formula means that if you ever edit the name of the category, this entry will reflect that.
6) Add a new Tickbox next to that cell. You'll want it ticked.
7) In the C column, you want to drag down the formula. This will select the perks from your new category.
8) There is no eighth step! You should be done!</v>
      </c>
    </row>
  </sheetData>
  <dataValidations count="1">
    <dataValidation type="list" showInputMessage="1" showErrorMessage="1" sqref="B4" xr:uid="{CA791942-FBDC-4A24-9A30-C0E3BEA7B26C}">
      <formula1>"Ready,Roll!"</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outlinePr summaryBelow="0" summaryRight="0"/>
  </sheetPr>
  <dimension ref="A1:XFD1004"/>
  <sheetViews>
    <sheetView topLeftCell="A25" workbookViewId="0">
      <selection activeCell="B83" sqref="B83:N86"/>
    </sheetView>
  </sheetViews>
  <sheetFormatPr defaultColWidth="12.6640625" defaultRowHeight="15.75" customHeight="1" x14ac:dyDescent="0.25"/>
  <cols>
    <col min="1" max="1" width="3.21875" customWidth="1"/>
    <col min="15" max="15" width="3.21875" customWidth="1"/>
    <col min="16384" max="16384" width="0" hidden="1" customWidth="1"/>
  </cols>
  <sheetData>
    <row r="1" spans="1:29 16384:16384" ht="18.75" hidden="1" customHeight="1" x14ac:dyDescent="0.25">
      <c r="A1" s="1"/>
      <c r="B1" s="1"/>
      <c r="C1" s="1"/>
      <c r="D1" s="1"/>
      <c r="E1" s="1"/>
      <c r="F1" s="1"/>
      <c r="G1" s="1"/>
      <c r="H1" s="1"/>
      <c r="I1" s="1"/>
      <c r="J1" s="1"/>
      <c r="K1" s="1"/>
      <c r="L1" s="1"/>
      <c r="M1" s="1"/>
      <c r="N1" s="1"/>
      <c r="O1" s="1"/>
      <c r="P1" s="2"/>
      <c r="Q1" s="2"/>
      <c r="R1" s="2"/>
      <c r="S1" s="2"/>
      <c r="T1" s="2"/>
      <c r="U1" s="2"/>
      <c r="V1" s="2"/>
      <c r="W1" s="2"/>
      <c r="X1" s="2"/>
      <c r="Y1" s="2"/>
      <c r="Z1" s="2"/>
      <c r="AA1" s="2"/>
      <c r="AB1" s="2"/>
      <c r="AC1" s="2"/>
      <c r="XFD1">
        <f ca="1">IF('Roll All'!$B$4="Roll!",RAND(),RAND())</f>
        <v>0.9000651080940214</v>
      </c>
    </row>
    <row r="2" spans="1:29 16384:16384" ht="17.399999999999999" x14ac:dyDescent="0.25">
      <c r="A2" s="1"/>
      <c r="B2" s="38"/>
      <c r="C2" s="39"/>
      <c r="D2" s="39"/>
      <c r="E2" s="39"/>
      <c r="F2" s="39"/>
      <c r="G2" s="39"/>
      <c r="H2" s="39"/>
      <c r="I2" s="39"/>
      <c r="J2" s="39"/>
      <c r="K2" s="39"/>
      <c r="L2" s="39"/>
      <c r="M2" s="39"/>
      <c r="N2" s="39"/>
      <c r="O2" s="1"/>
      <c r="P2" s="2"/>
      <c r="Q2" s="2"/>
      <c r="R2" s="2"/>
      <c r="S2" s="2"/>
      <c r="T2" s="2"/>
      <c r="U2" s="2"/>
      <c r="V2" s="2"/>
      <c r="W2" s="2"/>
      <c r="X2" s="2"/>
      <c r="Y2" s="2"/>
      <c r="Z2" s="2"/>
      <c r="AA2" s="2"/>
      <c r="AB2" s="2"/>
      <c r="AC2" s="2"/>
    </row>
    <row r="3" spans="1:29 16384:16384" ht="17.399999999999999" x14ac:dyDescent="0.25">
      <c r="A3" s="1"/>
      <c r="B3" s="40"/>
      <c r="C3" s="40"/>
      <c r="D3" s="40"/>
      <c r="E3" s="40"/>
      <c r="F3" s="40"/>
      <c r="G3" s="40"/>
      <c r="H3" s="40"/>
      <c r="I3" s="40"/>
      <c r="J3" s="40"/>
      <c r="K3" s="40"/>
      <c r="L3" s="40"/>
      <c r="M3" s="40"/>
      <c r="N3" s="40"/>
      <c r="O3" s="1"/>
      <c r="P3" s="2"/>
      <c r="Q3" s="2"/>
      <c r="R3" s="2"/>
      <c r="S3" s="2"/>
      <c r="T3" s="2"/>
      <c r="U3" s="2"/>
      <c r="V3" s="2"/>
      <c r="W3" s="2"/>
      <c r="X3" s="2"/>
      <c r="Y3" s="2"/>
      <c r="Z3" s="2"/>
      <c r="AA3" s="2"/>
      <c r="AB3" s="2"/>
      <c r="AC3" s="2"/>
    </row>
    <row r="4" spans="1:29 16384:16384" ht="17.399999999999999" x14ac:dyDescent="0.25">
      <c r="A4" s="1"/>
      <c r="B4" s="40"/>
      <c r="C4" s="40"/>
      <c r="D4" s="40"/>
      <c r="E4" s="40"/>
      <c r="F4" s="40"/>
      <c r="G4" s="40"/>
      <c r="H4" s="40"/>
      <c r="I4" s="40"/>
      <c r="J4" s="40"/>
      <c r="K4" s="40"/>
      <c r="L4" s="40"/>
      <c r="M4" s="40"/>
      <c r="N4" s="40"/>
      <c r="O4" s="1"/>
      <c r="P4" s="2"/>
      <c r="Q4" s="2"/>
      <c r="R4" s="2"/>
      <c r="S4" s="2"/>
      <c r="T4" s="2"/>
      <c r="U4" s="2"/>
      <c r="V4" s="2"/>
      <c r="W4" s="2"/>
      <c r="X4" s="2"/>
      <c r="Y4" s="2"/>
      <c r="Z4" s="2"/>
      <c r="AA4" s="2"/>
      <c r="AB4" s="2"/>
      <c r="AC4" s="2"/>
    </row>
    <row r="5" spans="1:29 16384:16384" ht="17.399999999999999" x14ac:dyDescent="0.25">
      <c r="A5" s="1"/>
      <c r="B5" s="40"/>
      <c r="C5" s="40"/>
      <c r="D5" s="40"/>
      <c r="E5" s="40"/>
      <c r="F5" s="40"/>
      <c r="G5" s="40"/>
      <c r="H5" s="40"/>
      <c r="I5" s="40"/>
      <c r="J5" s="40"/>
      <c r="K5" s="40"/>
      <c r="L5" s="40"/>
      <c r="M5" s="40"/>
      <c r="N5" s="40"/>
      <c r="O5" s="1"/>
      <c r="P5" s="2"/>
      <c r="Q5" s="2"/>
      <c r="R5" s="2"/>
      <c r="S5" s="2"/>
      <c r="T5" s="2"/>
      <c r="U5" s="2"/>
      <c r="V5" s="2"/>
      <c r="W5" s="2"/>
      <c r="X5" s="2"/>
      <c r="Y5" s="2"/>
      <c r="Z5" s="2"/>
      <c r="AA5" s="2"/>
      <c r="AB5" s="2"/>
      <c r="AC5" s="2"/>
    </row>
    <row r="6" spans="1:29 16384:16384" ht="17.399999999999999" x14ac:dyDescent="0.25">
      <c r="A6" s="1"/>
      <c r="B6" s="40"/>
      <c r="C6" s="40"/>
      <c r="D6" s="40"/>
      <c r="E6" s="40"/>
      <c r="F6" s="40"/>
      <c r="G6" s="40"/>
      <c r="H6" s="40"/>
      <c r="I6" s="40"/>
      <c r="J6" s="40"/>
      <c r="K6" s="40"/>
      <c r="L6" s="40"/>
      <c r="M6" s="40"/>
      <c r="N6" s="40"/>
      <c r="O6" s="1"/>
      <c r="P6" s="2"/>
      <c r="Q6" s="2"/>
      <c r="R6" s="2"/>
      <c r="S6" s="2"/>
      <c r="T6" s="2"/>
      <c r="U6" s="2"/>
      <c r="V6" s="2"/>
      <c r="W6" s="2"/>
      <c r="X6" s="2"/>
      <c r="Y6" s="2"/>
      <c r="Z6" s="2"/>
      <c r="AA6" s="2"/>
      <c r="AB6" s="2"/>
      <c r="AC6" s="2"/>
    </row>
    <row r="7" spans="1:29 16384:16384" ht="17.399999999999999" x14ac:dyDescent="0.25">
      <c r="A7" s="1"/>
      <c r="B7" s="40"/>
      <c r="C7" s="40"/>
      <c r="D7" s="40"/>
      <c r="E7" s="40"/>
      <c r="F7" s="40"/>
      <c r="G7" s="40"/>
      <c r="H7" s="40"/>
      <c r="I7" s="40"/>
      <c r="J7" s="40"/>
      <c r="K7" s="40"/>
      <c r="L7" s="40"/>
      <c r="M7" s="40"/>
      <c r="N7" s="40"/>
      <c r="O7" s="1"/>
      <c r="P7" s="2"/>
      <c r="Q7" s="2"/>
      <c r="R7" s="2"/>
      <c r="S7" s="2"/>
      <c r="T7" s="2"/>
      <c r="U7" s="2"/>
      <c r="V7" s="2"/>
      <c r="W7" s="2"/>
      <c r="X7" s="2"/>
      <c r="Y7" s="2"/>
      <c r="Z7" s="2"/>
      <c r="AA7" s="2"/>
      <c r="AB7" s="2"/>
      <c r="AC7" s="2"/>
    </row>
    <row r="8" spans="1:29 16384:16384" ht="17.399999999999999" x14ac:dyDescent="0.25">
      <c r="A8" s="1"/>
      <c r="B8" s="40"/>
      <c r="C8" s="40"/>
      <c r="D8" s="40"/>
      <c r="E8" s="40"/>
      <c r="F8" s="40"/>
      <c r="G8" s="40"/>
      <c r="H8" s="40"/>
      <c r="I8" s="40"/>
      <c r="J8" s="40"/>
      <c r="K8" s="40"/>
      <c r="L8" s="40"/>
      <c r="M8" s="40"/>
      <c r="N8" s="40"/>
      <c r="O8" s="1"/>
      <c r="P8" s="2"/>
      <c r="Q8" s="2"/>
      <c r="R8" s="2"/>
      <c r="S8" s="2"/>
      <c r="T8" s="2"/>
      <c r="U8" s="2"/>
      <c r="V8" s="2"/>
      <c r="W8" s="2"/>
      <c r="X8" s="2"/>
      <c r="Y8" s="2"/>
      <c r="Z8" s="2"/>
      <c r="AA8" s="2"/>
      <c r="AB8" s="2"/>
      <c r="AC8" s="2"/>
    </row>
    <row r="9" spans="1:29 16384:16384" ht="17.399999999999999" x14ac:dyDescent="0.25">
      <c r="A9" s="1"/>
      <c r="B9" s="40"/>
      <c r="C9" s="40"/>
      <c r="D9" s="40"/>
      <c r="E9" s="40"/>
      <c r="F9" s="40"/>
      <c r="G9" s="40"/>
      <c r="H9" s="40"/>
      <c r="I9" s="40"/>
      <c r="J9" s="40"/>
      <c r="K9" s="40"/>
      <c r="L9" s="40"/>
      <c r="M9" s="40"/>
      <c r="N9" s="40"/>
      <c r="O9" s="1"/>
      <c r="P9" s="2"/>
      <c r="Q9" s="2"/>
      <c r="R9" s="2"/>
      <c r="S9" s="2"/>
      <c r="T9" s="2"/>
      <c r="U9" s="2"/>
      <c r="V9" s="2"/>
      <c r="W9" s="2"/>
      <c r="X9" s="2"/>
      <c r="Y9" s="2"/>
      <c r="Z9" s="2"/>
      <c r="AA9" s="2"/>
      <c r="AB9" s="2"/>
      <c r="AC9" s="2"/>
    </row>
    <row r="10" spans="1:29 16384:16384" ht="17.399999999999999" x14ac:dyDescent="0.25">
      <c r="A10" s="1"/>
      <c r="B10" s="40"/>
      <c r="C10" s="40"/>
      <c r="D10" s="40"/>
      <c r="E10" s="40"/>
      <c r="F10" s="40"/>
      <c r="G10" s="40"/>
      <c r="H10" s="40"/>
      <c r="I10" s="40"/>
      <c r="J10" s="40"/>
      <c r="K10" s="40"/>
      <c r="L10" s="40"/>
      <c r="M10" s="40"/>
      <c r="N10" s="40"/>
      <c r="O10" s="1"/>
      <c r="P10" s="2"/>
      <c r="Q10" s="2"/>
      <c r="R10" s="2"/>
      <c r="S10" s="2"/>
      <c r="T10" s="2"/>
      <c r="U10" s="2"/>
      <c r="V10" s="2"/>
      <c r="W10" s="2"/>
      <c r="X10" s="2"/>
      <c r="Y10" s="2"/>
      <c r="Z10" s="2"/>
      <c r="AA10" s="2"/>
      <c r="AB10" s="2"/>
      <c r="AC10" s="2"/>
    </row>
    <row r="11" spans="1:29 16384:16384" ht="14.25" customHeight="1" x14ac:dyDescent="0.25">
      <c r="A11" s="1"/>
      <c r="B11" s="40"/>
      <c r="C11" s="40"/>
      <c r="D11" s="40"/>
      <c r="E11" s="40"/>
      <c r="F11" s="40"/>
      <c r="G11" s="40"/>
      <c r="H11" s="40"/>
      <c r="I11" s="40"/>
      <c r="J11" s="40"/>
      <c r="K11" s="40"/>
      <c r="L11" s="40"/>
      <c r="M11" s="40"/>
      <c r="N11" s="40"/>
      <c r="O11" s="1"/>
      <c r="P11" s="2"/>
      <c r="Q11" s="2"/>
      <c r="R11" s="2"/>
      <c r="S11" s="2"/>
      <c r="T11" s="2"/>
      <c r="U11" s="2"/>
      <c r="V11" s="2"/>
      <c r="W11" s="2"/>
      <c r="X11" s="2"/>
      <c r="Y11" s="2"/>
      <c r="Z11" s="2"/>
      <c r="AA11" s="2"/>
      <c r="AB11" s="2"/>
      <c r="AC11" s="2"/>
    </row>
    <row r="12" spans="1:29 16384:16384" ht="14.25" customHeight="1" x14ac:dyDescent="0.25">
      <c r="A12" s="1"/>
      <c r="B12" s="41"/>
      <c r="C12" s="41"/>
      <c r="D12" s="41"/>
      <c r="E12" s="41"/>
      <c r="F12" s="41"/>
      <c r="G12" s="41"/>
      <c r="H12" s="41"/>
      <c r="I12" s="41"/>
      <c r="J12" s="41"/>
      <c r="K12" s="41"/>
      <c r="L12" s="41"/>
      <c r="M12" s="41"/>
      <c r="N12" s="41"/>
      <c r="O12" s="1"/>
      <c r="P12" s="2"/>
      <c r="Q12" s="2"/>
      <c r="R12" s="2"/>
      <c r="S12" s="2"/>
      <c r="T12" s="2"/>
      <c r="U12" s="2"/>
      <c r="V12" s="2"/>
      <c r="W12" s="2"/>
      <c r="X12" s="2"/>
      <c r="Y12" s="2"/>
      <c r="Z12" s="2"/>
      <c r="AA12" s="2"/>
      <c r="AB12" s="2"/>
      <c r="AC12" s="2"/>
    </row>
    <row r="13" spans="1:29 16384:16384" ht="17.399999999999999" x14ac:dyDescent="0.25">
      <c r="A13" s="1"/>
      <c r="B13" s="42" t="s">
        <v>0</v>
      </c>
      <c r="C13" s="40"/>
      <c r="D13" s="40"/>
      <c r="E13" s="40"/>
      <c r="F13" s="40"/>
      <c r="G13" s="40"/>
      <c r="H13" s="40"/>
      <c r="I13" s="40"/>
      <c r="J13" s="40"/>
      <c r="K13" s="40"/>
      <c r="L13" s="40"/>
      <c r="M13" s="40"/>
      <c r="N13" s="40"/>
      <c r="O13" s="1"/>
      <c r="P13" s="2"/>
      <c r="Q13" s="2"/>
      <c r="R13" s="2"/>
      <c r="S13" s="2"/>
      <c r="T13" s="2"/>
      <c r="U13" s="2"/>
      <c r="V13" s="2"/>
      <c r="W13" s="2"/>
      <c r="X13" s="2"/>
      <c r="Y13" s="2"/>
      <c r="Z13" s="2"/>
      <c r="AA13" s="2"/>
      <c r="AB13" s="2"/>
      <c r="AC13" s="2"/>
    </row>
    <row r="14" spans="1:29 16384:16384" ht="17.399999999999999" x14ac:dyDescent="0.25">
      <c r="A14" s="1"/>
      <c r="B14" s="40"/>
      <c r="C14" s="40"/>
      <c r="D14" s="40"/>
      <c r="E14" s="40"/>
      <c r="F14" s="40"/>
      <c r="G14" s="40"/>
      <c r="H14" s="40"/>
      <c r="I14" s="40"/>
      <c r="J14" s="40"/>
      <c r="K14" s="40"/>
      <c r="L14" s="40"/>
      <c r="M14" s="40"/>
      <c r="N14" s="40"/>
      <c r="O14" s="1"/>
      <c r="P14" s="2"/>
      <c r="Q14" s="2"/>
      <c r="R14" s="2"/>
      <c r="S14" s="2"/>
      <c r="T14" s="2"/>
      <c r="U14" s="2"/>
      <c r="V14" s="2"/>
      <c r="W14" s="2"/>
      <c r="X14" s="2"/>
      <c r="Y14" s="2"/>
      <c r="Z14" s="2"/>
      <c r="AA14" s="2"/>
      <c r="AB14" s="2"/>
      <c r="AC14" s="2"/>
    </row>
    <row r="15" spans="1:29 16384:16384" ht="17.399999999999999" x14ac:dyDescent="0.25">
      <c r="A15" s="1"/>
      <c r="B15" s="40"/>
      <c r="C15" s="40"/>
      <c r="D15" s="40"/>
      <c r="E15" s="40"/>
      <c r="F15" s="40"/>
      <c r="G15" s="40"/>
      <c r="H15" s="40"/>
      <c r="I15" s="40"/>
      <c r="J15" s="40"/>
      <c r="K15" s="40"/>
      <c r="L15" s="40"/>
      <c r="M15" s="40"/>
      <c r="N15" s="40"/>
      <c r="O15" s="1"/>
      <c r="P15" s="2"/>
      <c r="Q15" s="2"/>
      <c r="R15" s="2"/>
      <c r="S15" s="2"/>
      <c r="T15" s="2"/>
      <c r="U15" s="2"/>
      <c r="V15" s="2"/>
      <c r="W15" s="2"/>
      <c r="X15" s="2"/>
      <c r="Y15" s="2"/>
      <c r="Z15" s="2"/>
      <c r="AA15" s="2"/>
      <c r="AB15" s="2"/>
      <c r="AC15" s="2"/>
    </row>
    <row r="16" spans="1:29 16384:16384" ht="17.399999999999999" x14ac:dyDescent="0.25">
      <c r="A16" s="1"/>
      <c r="B16" s="40"/>
      <c r="C16" s="40"/>
      <c r="D16" s="40"/>
      <c r="E16" s="40"/>
      <c r="F16" s="40"/>
      <c r="G16" s="40"/>
      <c r="H16" s="40"/>
      <c r="I16" s="40"/>
      <c r="J16" s="40"/>
      <c r="K16" s="40"/>
      <c r="L16" s="40"/>
      <c r="M16" s="40"/>
      <c r="N16" s="40"/>
      <c r="O16" s="1"/>
      <c r="P16" s="2"/>
      <c r="Q16" s="2"/>
      <c r="R16" s="2"/>
      <c r="S16" s="2"/>
      <c r="T16" s="2"/>
      <c r="U16" s="2"/>
      <c r="V16" s="2"/>
      <c r="W16" s="2"/>
      <c r="X16" s="2"/>
      <c r="Y16" s="2"/>
      <c r="Z16" s="2"/>
      <c r="AA16" s="2"/>
      <c r="AB16" s="2"/>
      <c r="AC16" s="2"/>
    </row>
    <row r="17" spans="1:29" ht="17.399999999999999" x14ac:dyDescent="0.25">
      <c r="A17" s="1"/>
      <c r="B17" s="40"/>
      <c r="C17" s="40"/>
      <c r="D17" s="40"/>
      <c r="E17" s="40"/>
      <c r="F17" s="40"/>
      <c r="G17" s="40"/>
      <c r="H17" s="40"/>
      <c r="I17" s="40"/>
      <c r="J17" s="40"/>
      <c r="K17" s="40"/>
      <c r="L17" s="40"/>
      <c r="M17" s="40"/>
      <c r="N17" s="40"/>
      <c r="O17" s="1"/>
      <c r="P17" s="2"/>
      <c r="Q17" s="2"/>
      <c r="R17" s="2"/>
      <c r="S17" s="2"/>
      <c r="T17" s="2"/>
      <c r="U17" s="2"/>
      <c r="V17" s="2"/>
      <c r="W17" s="2"/>
      <c r="X17" s="2"/>
      <c r="Y17" s="2"/>
      <c r="Z17" s="2"/>
      <c r="AA17" s="2"/>
      <c r="AB17" s="2"/>
      <c r="AC17" s="2"/>
    </row>
    <row r="18" spans="1:29" ht="17.399999999999999" x14ac:dyDescent="0.25">
      <c r="A18" s="1"/>
      <c r="B18" s="40"/>
      <c r="C18" s="40"/>
      <c r="D18" s="40"/>
      <c r="E18" s="40"/>
      <c r="F18" s="40"/>
      <c r="G18" s="40"/>
      <c r="H18" s="40"/>
      <c r="I18" s="40"/>
      <c r="J18" s="40"/>
      <c r="K18" s="40"/>
      <c r="L18" s="40"/>
      <c r="M18" s="40"/>
      <c r="N18" s="40"/>
      <c r="O18" s="1"/>
      <c r="P18" s="2"/>
      <c r="Q18" s="2"/>
      <c r="R18" s="2"/>
      <c r="S18" s="2"/>
      <c r="T18" s="2"/>
      <c r="U18" s="2"/>
      <c r="V18" s="2"/>
      <c r="W18" s="2"/>
      <c r="X18" s="2"/>
      <c r="Y18" s="2"/>
      <c r="Z18" s="2"/>
      <c r="AA18" s="2"/>
      <c r="AB18" s="2"/>
      <c r="AC18" s="2"/>
    </row>
    <row r="19" spans="1:29" ht="17.399999999999999" x14ac:dyDescent="0.25">
      <c r="A19" s="1"/>
      <c r="B19" s="40"/>
      <c r="C19" s="40"/>
      <c r="D19" s="40"/>
      <c r="E19" s="40"/>
      <c r="F19" s="40"/>
      <c r="G19" s="40"/>
      <c r="H19" s="40"/>
      <c r="I19" s="40"/>
      <c r="J19" s="40"/>
      <c r="K19" s="40"/>
      <c r="L19" s="40"/>
      <c r="M19" s="40"/>
      <c r="N19" s="40"/>
      <c r="O19" s="1"/>
      <c r="P19" s="2"/>
      <c r="Q19" s="2"/>
      <c r="R19" s="2"/>
      <c r="S19" s="2"/>
      <c r="T19" s="2"/>
      <c r="U19" s="2"/>
      <c r="V19" s="2"/>
      <c r="W19" s="2"/>
      <c r="X19" s="2"/>
      <c r="Y19" s="2"/>
      <c r="Z19" s="2"/>
      <c r="AA19" s="2"/>
      <c r="AB19" s="2"/>
      <c r="AC19" s="2"/>
    </row>
    <row r="20" spans="1:29" ht="17.399999999999999" x14ac:dyDescent="0.25">
      <c r="A20" s="1"/>
      <c r="B20" s="40"/>
      <c r="C20" s="40"/>
      <c r="D20" s="40"/>
      <c r="E20" s="40"/>
      <c r="F20" s="40"/>
      <c r="G20" s="40"/>
      <c r="H20" s="40"/>
      <c r="I20" s="40"/>
      <c r="J20" s="40"/>
      <c r="K20" s="40"/>
      <c r="L20" s="40"/>
      <c r="M20" s="40"/>
      <c r="N20" s="40"/>
      <c r="O20" s="1"/>
      <c r="P20" s="2"/>
      <c r="Q20" s="2"/>
      <c r="R20" s="2"/>
      <c r="S20" s="2"/>
      <c r="T20" s="2"/>
      <c r="U20" s="2"/>
      <c r="V20" s="2"/>
      <c r="W20" s="2"/>
      <c r="X20" s="2"/>
      <c r="Y20" s="2"/>
      <c r="Z20" s="2"/>
      <c r="AA20" s="2"/>
      <c r="AB20" s="2"/>
      <c r="AC20" s="2"/>
    </row>
    <row r="21" spans="1:29" ht="17.399999999999999" x14ac:dyDescent="0.25">
      <c r="A21" s="1"/>
      <c r="B21" s="40"/>
      <c r="C21" s="40"/>
      <c r="D21" s="40"/>
      <c r="E21" s="40"/>
      <c r="F21" s="40"/>
      <c r="G21" s="40"/>
      <c r="H21" s="40"/>
      <c r="I21" s="40"/>
      <c r="J21" s="40"/>
      <c r="K21" s="40"/>
      <c r="L21" s="40"/>
      <c r="M21" s="40"/>
      <c r="N21" s="40"/>
      <c r="O21" s="1"/>
      <c r="P21" s="2"/>
      <c r="Q21" s="2"/>
      <c r="R21" s="2"/>
      <c r="S21" s="2"/>
      <c r="T21" s="2"/>
      <c r="U21" s="2"/>
      <c r="V21" s="2"/>
      <c r="W21" s="2"/>
      <c r="X21" s="2"/>
      <c r="Y21" s="2"/>
      <c r="Z21" s="2"/>
      <c r="AA21" s="2"/>
      <c r="AB21" s="2"/>
      <c r="AC21" s="2"/>
    </row>
    <row r="22" spans="1:29" ht="17.399999999999999" x14ac:dyDescent="0.25">
      <c r="A22" s="1"/>
      <c r="B22" s="40"/>
      <c r="C22" s="40"/>
      <c r="D22" s="40"/>
      <c r="E22" s="40"/>
      <c r="F22" s="40"/>
      <c r="G22" s="40"/>
      <c r="H22" s="40"/>
      <c r="I22" s="40"/>
      <c r="J22" s="40"/>
      <c r="K22" s="40"/>
      <c r="L22" s="40"/>
      <c r="M22" s="40"/>
      <c r="N22" s="40"/>
      <c r="O22" s="1"/>
      <c r="P22" s="2"/>
      <c r="Q22" s="2"/>
      <c r="R22" s="2"/>
      <c r="S22" s="2"/>
      <c r="T22" s="2"/>
      <c r="U22" s="2"/>
      <c r="V22" s="2"/>
      <c r="W22" s="2"/>
      <c r="X22" s="2"/>
      <c r="Y22" s="2"/>
      <c r="Z22" s="2"/>
      <c r="AA22" s="2"/>
      <c r="AB22" s="2"/>
      <c r="AC22" s="2"/>
    </row>
    <row r="23" spans="1:29" ht="17.399999999999999" x14ac:dyDescent="0.25">
      <c r="A23" s="1"/>
      <c r="B23" s="40"/>
      <c r="C23" s="40"/>
      <c r="D23" s="40"/>
      <c r="E23" s="40"/>
      <c r="F23" s="40"/>
      <c r="G23" s="40"/>
      <c r="H23" s="40"/>
      <c r="I23" s="40"/>
      <c r="J23" s="40"/>
      <c r="K23" s="40"/>
      <c r="L23" s="40"/>
      <c r="M23" s="40"/>
      <c r="N23" s="40"/>
      <c r="O23" s="1"/>
      <c r="P23" s="2"/>
      <c r="Q23" s="2"/>
      <c r="R23" s="2"/>
      <c r="S23" s="2"/>
      <c r="T23" s="2"/>
      <c r="U23" s="2"/>
      <c r="V23" s="2"/>
      <c r="W23" s="2"/>
      <c r="X23" s="2"/>
      <c r="Y23" s="2"/>
      <c r="Z23" s="2"/>
      <c r="AA23" s="2"/>
      <c r="AB23" s="2"/>
      <c r="AC23" s="2"/>
    </row>
    <row r="24" spans="1:29" ht="17.399999999999999" x14ac:dyDescent="0.25">
      <c r="A24" s="1"/>
      <c r="B24" s="40"/>
      <c r="C24" s="40"/>
      <c r="D24" s="40"/>
      <c r="E24" s="40"/>
      <c r="F24" s="40"/>
      <c r="G24" s="40"/>
      <c r="H24" s="40"/>
      <c r="I24" s="40"/>
      <c r="J24" s="40"/>
      <c r="K24" s="40"/>
      <c r="L24" s="40"/>
      <c r="M24" s="40"/>
      <c r="N24" s="40"/>
      <c r="O24" s="1"/>
      <c r="P24" s="2"/>
      <c r="Q24" s="2"/>
      <c r="R24" s="2"/>
      <c r="S24" s="2"/>
      <c r="T24" s="2"/>
      <c r="U24" s="2"/>
      <c r="V24" s="2"/>
      <c r="W24" s="2"/>
      <c r="X24" s="2"/>
      <c r="Y24" s="2"/>
      <c r="Z24" s="2"/>
      <c r="AA24" s="2"/>
      <c r="AB24" s="2"/>
      <c r="AC24" s="2"/>
    </row>
    <row r="25" spans="1:29" ht="17.399999999999999" x14ac:dyDescent="0.25">
      <c r="A25" s="1"/>
      <c r="B25" s="40"/>
      <c r="C25" s="40"/>
      <c r="D25" s="40"/>
      <c r="E25" s="40"/>
      <c r="F25" s="40"/>
      <c r="G25" s="40"/>
      <c r="H25" s="40"/>
      <c r="I25" s="40"/>
      <c r="J25" s="40"/>
      <c r="K25" s="40"/>
      <c r="L25" s="40"/>
      <c r="M25" s="40"/>
      <c r="N25" s="40"/>
      <c r="O25" s="1"/>
      <c r="P25" s="2"/>
      <c r="Q25" s="2"/>
      <c r="R25" s="2"/>
      <c r="S25" s="2"/>
      <c r="T25" s="2"/>
      <c r="U25" s="2"/>
      <c r="V25" s="2"/>
      <c r="W25" s="2"/>
      <c r="X25" s="2"/>
      <c r="Y25" s="2"/>
      <c r="Z25" s="2"/>
      <c r="AA25" s="2"/>
      <c r="AB25" s="2"/>
      <c r="AC25" s="2"/>
    </row>
    <row r="26" spans="1:29" ht="17.399999999999999" x14ac:dyDescent="0.25">
      <c r="A26" s="1"/>
      <c r="B26" s="40"/>
      <c r="C26" s="40"/>
      <c r="D26" s="40"/>
      <c r="E26" s="40"/>
      <c r="F26" s="40"/>
      <c r="G26" s="40"/>
      <c r="H26" s="40"/>
      <c r="I26" s="40"/>
      <c r="J26" s="40"/>
      <c r="K26" s="40"/>
      <c r="L26" s="40"/>
      <c r="M26" s="40"/>
      <c r="N26" s="40"/>
      <c r="O26" s="1"/>
      <c r="P26" s="2"/>
      <c r="Q26" s="2"/>
      <c r="R26" s="2"/>
      <c r="S26" s="2"/>
      <c r="T26" s="2"/>
      <c r="U26" s="2"/>
      <c r="V26" s="2"/>
      <c r="W26" s="2"/>
      <c r="X26" s="2"/>
      <c r="Y26" s="2"/>
      <c r="Z26" s="2"/>
      <c r="AA26" s="2"/>
      <c r="AB26" s="2"/>
      <c r="AC26" s="2"/>
    </row>
    <row r="27" spans="1:29" ht="17.399999999999999" x14ac:dyDescent="0.25">
      <c r="A27" s="1"/>
      <c r="B27" s="40"/>
      <c r="C27" s="40"/>
      <c r="D27" s="40"/>
      <c r="E27" s="40"/>
      <c r="F27" s="40"/>
      <c r="G27" s="40"/>
      <c r="H27" s="40"/>
      <c r="I27" s="40"/>
      <c r="J27" s="40"/>
      <c r="K27" s="40"/>
      <c r="L27" s="40"/>
      <c r="M27" s="40"/>
      <c r="N27" s="40"/>
      <c r="O27" s="1"/>
      <c r="P27" s="2"/>
      <c r="Q27" s="2"/>
      <c r="R27" s="2"/>
      <c r="S27" s="2"/>
      <c r="T27" s="2"/>
      <c r="U27" s="2"/>
      <c r="V27" s="2"/>
      <c r="W27" s="2"/>
      <c r="X27" s="2"/>
      <c r="Y27" s="2"/>
      <c r="Z27" s="2"/>
      <c r="AA27" s="2"/>
      <c r="AB27" s="2"/>
      <c r="AC27" s="2"/>
    </row>
    <row r="28" spans="1:29" ht="17.399999999999999" x14ac:dyDescent="0.25">
      <c r="A28" s="1"/>
      <c r="B28" s="40"/>
      <c r="C28" s="40"/>
      <c r="D28" s="40"/>
      <c r="E28" s="40"/>
      <c r="F28" s="40"/>
      <c r="G28" s="40"/>
      <c r="H28" s="40"/>
      <c r="I28" s="40"/>
      <c r="J28" s="40"/>
      <c r="K28" s="40"/>
      <c r="L28" s="40"/>
      <c r="M28" s="40"/>
      <c r="N28" s="40"/>
      <c r="O28" s="1"/>
      <c r="P28" s="2"/>
      <c r="Q28" s="2"/>
      <c r="R28" s="2"/>
      <c r="S28" s="2"/>
      <c r="T28" s="2"/>
      <c r="U28" s="2"/>
      <c r="V28" s="2"/>
      <c r="W28" s="2"/>
      <c r="X28" s="2"/>
      <c r="Y28" s="2"/>
      <c r="Z28" s="2"/>
      <c r="AA28" s="2"/>
      <c r="AB28" s="2"/>
      <c r="AC28" s="2"/>
    </row>
    <row r="29" spans="1:29" ht="17.399999999999999" x14ac:dyDescent="0.25">
      <c r="A29" s="1"/>
      <c r="B29" s="38" t="s">
        <v>1</v>
      </c>
      <c r="C29" s="39"/>
      <c r="D29" s="39"/>
      <c r="E29" s="39"/>
      <c r="F29" s="39"/>
      <c r="G29" s="39"/>
      <c r="H29" s="39"/>
      <c r="I29" s="39"/>
      <c r="J29" s="39"/>
      <c r="K29" s="39"/>
      <c r="L29" s="39"/>
      <c r="M29" s="39"/>
      <c r="N29" s="39"/>
      <c r="O29" s="1"/>
      <c r="P29" s="2"/>
      <c r="Q29" s="2"/>
      <c r="R29" s="2"/>
      <c r="S29" s="2"/>
      <c r="T29" s="2"/>
      <c r="U29" s="2"/>
      <c r="V29" s="2"/>
      <c r="W29" s="2"/>
      <c r="X29" s="2"/>
      <c r="Y29" s="2"/>
      <c r="Z29" s="2"/>
      <c r="AA29" s="2"/>
      <c r="AB29" s="2"/>
      <c r="AC29" s="2"/>
    </row>
    <row r="30" spans="1:29" ht="17.399999999999999" x14ac:dyDescent="0.25">
      <c r="A30" s="1"/>
      <c r="B30" s="40"/>
      <c r="C30" s="40"/>
      <c r="D30" s="40"/>
      <c r="E30" s="40"/>
      <c r="F30" s="40"/>
      <c r="G30" s="40"/>
      <c r="H30" s="40"/>
      <c r="I30" s="40"/>
      <c r="J30" s="40"/>
      <c r="K30" s="40"/>
      <c r="L30" s="40"/>
      <c r="M30" s="40"/>
      <c r="N30" s="40"/>
      <c r="O30" s="1"/>
      <c r="P30" s="2"/>
      <c r="Q30" s="2"/>
      <c r="R30" s="2"/>
      <c r="S30" s="2"/>
      <c r="T30" s="2"/>
      <c r="U30" s="2"/>
      <c r="V30" s="2"/>
      <c r="W30" s="2"/>
      <c r="X30" s="2"/>
      <c r="Y30" s="2"/>
      <c r="Z30" s="2"/>
      <c r="AA30" s="2"/>
      <c r="AB30" s="2"/>
      <c r="AC30" s="2"/>
    </row>
    <row r="31" spans="1:29" ht="17.399999999999999" x14ac:dyDescent="0.25">
      <c r="A31" s="1"/>
      <c r="B31" s="41"/>
      <c r="C31" s="41"/>
      <c r="D31" s="41"/>
      <c r="E31" s="41"/>
      <c r="F31" s="41"/>
      <c r="G31" s="41"/>
      <c r="H31" s="41"/>
      <c r="I31" s="41"/>
      <c r="J31" s="41"/>
      <c r="K31" s="41"/>
      <c r="L31" s="41"/>
      <c r="M31" s="41"/>
      <c r="N31" s="41"/>
      <c r="O31" s="1"/>
      <c r="P31" s="2"/>
      <c r="Q31" s="2"/>
      <c r="R31" s="2"/>
      <c r="S31" s="2"/>
      <c r="T31" s="2"/>
      <c r="U31" s="2"/>
      <c r="V31" s="2"/>
      <c r="W31" s="2"/>
      <c r="X31" s="2"/>
      <c r="Y31" s="2"/>
      <c r="Z31" s="2"/>
      <c r="AA31" s="2"/>
      <c r="AB31" s="2"/>
      <c r="AC31" s="2"/>
    </row>
    <row r="32" spans="1:29" ht="17.399999999999999" x14ac:dyDescent="0.25">
      <c r="A32" s="1"/>
      <c r="B32" s="42" t="s">
        <v>2</v>
      </c>
      <c r="C32" s="40"/>
      <c r="D32" s="40"/>
      <c r="E32" s="40"/>
      <c r="F32" s="40"/>
      <c r="G32" s="40"/>
      <c r="H32" s="40"/>
      <c r="I32" s="40"/>
      <c r="J32" s="40"/>
      <c r="K32" s="40"/>
      <c r="L32" s="40"/>
      <c r="M32" s="40"/>
      <c r="N32" s="40"/>
      <c r="O32" s="1"/>
      <c r="P32" s="2"/>
      <c r="Q32" s="2"/>
      <c r="R32" s="2"/>
      <c r="S32" s="2"/>
      <c r="T32" s="2"/>
      <c r="U32" s="2"/>
      <c r="V32" s="2"/>
      <c r="W32" s="2"/>
      <c r="X32" s="2"/>
      <c r="Y32" s="2"/>
      <c r="Z32" s="2"/>
      <c r="AA32" s="2"/>
      <c r="AB32" s="2"/>
      <c r="AC32" s="2"/>
    </row>
    <row r="33" spans="1:29" ht="17.399999999999999" x14ac:dyDescent="0.25">
      <c r="A33" s="1"/>
      <c r="B33" s="40"/>
      <c r="C33" s="40"/>
      <c r="D33" s="40"/>
      <c r="E33" s="40"/>
      <c r="F33" s="40"/>
      <c r="G33" s="40"/>
      <c r="H33" s="40"/>
      <c r="I33" s="40"/>
      <c r="J33" s="40"/>
      <c r="K33" s="40"/>
      <c r="L33" s="40"/>
      <c r="M33" s="40"/>
      <c r="N33" s="40"/>
      <c r="O33" s="1"/>
      <c r="P33" s="2"/>
      <c r="Q33" s="2"/>
      <c r="R33" s="2"/>
      <c r="S33" s="2"/>
      <c r="T33" s="2"/>
      <c r="U33" s="2"/>
      <c r="V33" s="2"/>
      <c r="W33" s="2"/>
      <c r="X33" s="2"/>
      <c r="Y33" s="2"/>
      <c r="Z33" s="2"/>
      <c r="AA33" s="2"/>
      <c r="AB33" s="2"/>
      <c r="AC33" s="2"/>
    </row>
    <row r="34" spans="1:29" ht="17.399999999999999" x14ac:dyDescent="0.25">
      <c r="A34" s="1"/>
      <c r="B34" s="40"/>
      <c r="C34" s="40"/>
      <c r="D34" s="40"/>
      <c r="E34" s="40"/>
      <c r="F34" s="40"/>
      <c r="G34" s="40"/>
      <c r="H34" s="40"/>
      <c r="I34" s="40"/>
      <c r="J34" s="40"/>
      <c r="K34" s="40"/>
      <c r="L34" s="40"/>
      <c r="M34" s="40"/>
      <c r="N34" s="40"/>
      <c r="O34" s="1"/>
      <c r="P34" s="2"/>
      <c r="Q34" s="2"/>
      <c r="R34" s="2"/>
      <c r="S34" s="2"/>
      <c r="T34" s="2"/>
      <c r="U34" s="2"/>
      <c r="V34" s="2"/>
      <c r="W34" s="2"/>
      <c r="X34" s="2"/>
      <c r="Y34" s="2"/>
      <c r="Z34" s="2"/>
      <c r="AA34" s="2"/>
      <c r="AB34" s="2"/>
      <c r="AC34" s="2"/>
    </row>
    <row r="35" spans="1:29" ht="17.399999999999999" x14ac:dyDescent="0.25">
      <c r="A35" s="1"/>
      <c r="B35" s="40"/>
      <c r="C35" s="40"/>
      <c r="D35" s="40"/>
      <c r="E35" s="40"/>
      <c r="F35" s="40"/>
      <c r="G35" s="40"/>
      <c r="H35" s="40"/>
      <c r="I35" s="40"/>
      <c r="J35" s="40"/>
      <c r="K35" s="40"/>
      <c r="L35" s="40"/>
      <c r="M35" s="40"/>
      <c r="N35" s="40"/>
      <c r="O35" s="1"/>
      <c r="P35" s="2"/>
      <c r="Q35" s="2"/>
      <c r="R35" s="2"/>
      <c r="S35" s="2"/>
      <c r="T35" s="2"/>
      <c r="U35" s="2"/>
      <c r="V35" s="2"/>
      <c r="W35" s="2"/>
      <c r="X35" s="2"/>
      <c r="Y35" s="2"/>
      <c r="Z35" s="2"/>
      <c r="AA35" s="2"/>
      <c r="AB35" s="2"/>
      <c r="AC35" s="2"/>
    </row>
    <row r="36" spans="1:29" ht="17.399999999999999" x14ac:dyDescent="0.25">
      <c r="A36" s="1"/>
      <c r="B36" s="40"/>
      <c r="C36" s="40"/>
      <c r="D36" s="40"/>
      <c r="E36" s="40"/>
      <c r="F36" s="40"/>
      <c r="G36" s="40"/>
      <c r="H36" s="40"/>
      <c r="I36" s="40"/>
      <c r="J36" s="40"/>
      <c r="K36" s="40"/>
      <c r="L36" s="40"/>
      <c r="M36" s="40"/>
      <c r="N36" s="40"/>
      <c r="O36" s="1"/>
      <c r="P36" s="2"/>
      <c r="Q36" s="2"/>
      <c r="R36" s="2"/>
      <c r="S36" s="2"/>
      <c r="T36" s="2"/>
      <c r="U36" s="2"/>
      <c r="V36" s="2"/>
      <c r="W36" s="2"/>
      <c r="X36" s="2"/>
      <c r="Y36" s="2"/>
      <c r="Z36" s="2"/>
      <c r="AA36" s="2"/>
      <c r="AB36" s="2"/>
      <c r="AC36" s="2"/>
    </row>
    <row r="37" spans="1:29" ht="17.399999999999999" x14ac:dyDescent="0.25">
      <c r="A37" s="1"/>
      <c r="B37" s="40"/>
      <c r="C37" s="40"/>
      <c r="D37" s="40"/>
      <c r="E37" s="40"/>
      <c r="F37" s="40"/>
      <c r="G37" s="40"/>
      <c r="H37" s="40"/>
      <c r="I37" s="40"/>
      <c r="J37" s="40"/>
      <c r="K37" s="40"/>
      <c r="L37" s="40"/>
      <c r="M37" s="40"/>
      <c r="N37" s="40"/>
      <c r="O37" s="1"/>
      <c r="P37" s="2"/>
      <c r="Q37" s="2"/>
      <c r="R37" s="2"/>
      <c r="S37" s="2"/>
      <c r="T37" s="2"/>
      <c r="U37" s="2"/>
      <c r="V37" s="2"/>
      <c r="W37" s="2"/>
      <c r="X37" s="2"/>
      <c r="Y37" s="2"/>
      <c r="Z37" s="2"/>
      <c r="AA37" s="2"/>
      <c r="AB37" s="2"/>
      <c r="AC37" s="2"/>
    </row>
    <row r="38" spans="1:29" ht="17.399999999999999" x14ac:dyDescent="0.25">
      <c r="A38" s="1"/>
      <c r="B38" s="40"/>
      <c r="C38" s="40"/>
      <c r="D38" s="40"/>
      <c r="E38" s="40"/>
      <c r="F38" s="40"/>
      <c r="G38" s="40"/>
      <c r="H38" s="40"/>
      <c r="I38" s="40"/>
      <c r="J38" s="40"/>
      <c r="K38" s="40"/>
      <c r="L38" s="40"/>
      <c r="M38" s="40"/>
      <c r="N38" s="40"/>
      <c r="O38" s="1"/>
      <c r="P38" s="2"/>
      <c r="Q38" s="2"/>
      <c r="R38" s="2"/>
      <c r="S38" s="2"/>
      <c r="T38" s="2"/>
      <c r="U38" s="2"/>
      <c r="V38" s="2"/>
      <c r="W38" s="2"/>
      <c r="X38" s="2"/>
      <c r="Y38" s="2"/>
      <c r="Z38" s="2"/>
      <c r="AA38" s="2"/>
      <c r="AB38" s="2"/>
      <c r="AC38" s="2"/>
    </row>
    <row r="39" spans="1:29" ht="17.399999999999999" x14ac:dyDescent="0.25">
      <c r="A39" s="1"/>
      <c r="B39" s="40"/>
      <c r="C39" s="40"/>
      <c r="D39" s="40"/>
      <c r="E39" s="40"/>
      <c r="F39" s="40"/>
      <c r="G39" s="40"/>
      <c r="H39" s="40"/>
      <c r="I39" s="40"/>
      <c r="J39" s="40"/>
      <c r="K39" s="40"/>
      <c r="L39" s="40"/>
      <c r="M39" s="40"/>
      <c r="N39" s="40"/>
      <c r="O39" s="1"/>
      <c r="P39" s="2"/>
      <c r="Q39" s="2"/>
      <c r="R39" s="2"/>
      <c r="S39" s="2"/>
      <c r="T39" s="2"/>
      <c r="U39" s="2"/>
      <c r="V39" s="2"/>
      <c r="W39" s="2"/>
      <c r="X39" s="2"/>
      <c r="Y39" s="2"/>
      <c r="Z39" s="2"/>
      <c r="AA39" s="2"/>
      <c r="AB39" s="2"/>
      <c r="AC39" s="2"/>
    </row>
    <row r="40" spans="1:29" ht="17.399999999999999" x14ac:dyDescent="0.25">
      <c r="A40" s="1"/>
      <c r="B40" s="40"/>
      <c r="C40" s="40"/>
      <c r="D40" s="40"/>
      <c r="E40" s="40"/>
      <c r="F40" s="40"/>
      <c r="G40" s="40"/>
      <c r="H40" s="40"/>
      <c r="I40" s="40"/>
      <c r="J40" s="40"/>
      <c r="K40" s="40"/>
      <c r="L40" s="40"/>
      <c r="M40" s="40"/>
      <c r="N40" s="40"/>
      <c r="O40" s="1"/>
      <c r="P40" s="2"/>
      <c r="Q40" s="2"/>
      <c r="R40" s="2"/>
      <c r="S40" s="2"/>
      <c r="T40" s="2"/>
      <c r="U40" s="2"/>
      <c r="V40" s="2"/>
      <c r="W40" s="2"/>
      <c r="X40" s="2"/>
      <c r="Y40" s="2"/>
      <c r="Z40" s="2"/>
      <c r="AA40" s="2"/>
      <c r="AB40" s="2"/>
      <c r="AC40" s="2"/>
    </row>
    <row r="41" spans="1:29" ht="17.399999999999999" x14ac:dyDescent="0.25">
      <c r="A41" s="1"/>
      <c r="B41" s="40"/>
      <c r="C41" s="40"/>
      <c r="D41" s="40"/>
      <c r="E41" s="40"/>
      <c r="F41" s="40"/>
      <c r="G41" s="40"/>
      <c r="H41" s="40"/>
      <c r="I41" s="40"/>
      <c r="J41" s="40"/>
      <c r="K41" s="40"/>
      <c r="L41" s="40"/>
      <c r="M41" s="40"/>
      <c r="N41" s="40"/>
      <c r="O41" s="1"/>
      <c r="P41" s="2"/>
      <c r="Q41" s="2"/>
      <c r="R41" s="2"/>
      <c r="S41" s="2"/>
      <c r="T41" s="2"/>
      <c r="U41" s="2"/>
      <c r="V41" s="2"/>
      <c r="W41" s="2"/>
      <c r="X41" s="2"/>
      <c r="Y41" s="2"/>
      <c r="Z41" s="2"/>
      <c r="AA41" s="2"/>
      <c r="AB41" s="2"/>
      <c r="AC41" s="2"/>
    </row>
    <row r="42" spans="1:29" ht="17.399999999999999" x14ac:dyDescent="0.25">
      <c r="A42" s="1"/>
      <c r="B42" s="40"/>
      <c r="C42" s="40"/>
      <c r="D42" s="40"/>
      <c r="E42" s="40"/>
      <c r="F42" s="40"/>
      <c r="G42" s="40"/>
      <c r="H42" s="40"/>
      <c r="I42" s="40"/>
      <c r="J42" s="40"/>
      <c r="K42" s="40"/>
      <c r="L42" s="40"/>
      <c r="M42" s="40"/>
      <c r="N42" s="40"/>
      <c r="O42" s="1"/>
      <c r="P42" s="2"/>
      <c r="Q42" s="2"/>
      <c r="R42" s="2"/>
      <c r="S42" s="2"/>
      <c r="T42" s="2"/>
      <c r="U42" s="2"/>
      <c r="V42" s="2"/>
      <c r="W42" s="2"/>
      <c r="X42" s="2"/>
      <c r="Y42" s="2"/>
      <c r="Z42" s="2"/>
      <c r="AA42" s="2"/>
      <c r="AB42" s="2"/>
      <c r="AC42" s="2"/>
    </row>
    <row r="43" spans="1:29" ht="17.399999999999999" x14ac:dyDescent="0.25">
      <c r="A43" s="1"/>
      <c r="B43" s="40"/>
      <c r="C43" s="40"/>
      <c r="D43" s="40"/>
      <c r="E43" s="40"/>
      <c r="F43" s="40"/>
      <c r="G43" s="40"/>
      <c r="H43" s="40"/>
      <c r="I43" s="40"/>
      <c r="J43" s="40"/>
      <c r="K43" s="40"/>
      <c r="L43" s="40"/>
      <c r="M43" s="40"/>
      <c r="N43" s="40"/>
      <c r="O43" s="1"/>
      <c r="P43" s="2"/>
      <c r="Q43" s="2"/>
      <c r="R43" s="2"/>
      <c r="S43" s="2"/>
      <c r="T43" s="2"/>
      <c r="U43" s="2"/>
      <c r="V43" s="2"/>
      <c r="W43" s="2"/>
      <c r="X43" s="2"/>
      <c r="Y43" s="2"/>
      <c r="Z43" s="2"/>
      <c r="AA43" s="2"/>
      <c r="AB43" s="2"/>
      <c r="AC43" s="2"/>
    </row>
    <row r="44" spans="1:29" ht="17.399999999999999" x14ac:dyDescent="0.25">
      <c r="A44" s="1"/>
      <c r="B44" s="38" t="s">
        <v>3</v>
      </c>
      <c r="C44" s="39"/>
      <c r="D44" s="39"/>
      <c r="E44" s="39"/>
      <c r="F44" s="39"/>
      <c r="G44" s="39"/>
      <c r="H44" s="39"/>
      <c r="I44" s="39"/>
      <c r="J44" s="39"/>
      <c r="K44" s="39"/>
      <c r="L44" s="39"/>
      <c r="M44" s="39"/>
      <c r="N44" s="39"/>
      <c r="O44" s="1"/>
      <c r="P44" s="2"/>
      <c r="Q44" s="2"/>
      <c r="R44" s="2"/>
      <c r="S44" s="2"/>
      <c r="T44" s="2"/>
      <c r="U44" s="2"/>
      <c r="V44" s="2"/>
      <c r="W44" s="2"/>
      <c r="X44" s="2"/>
      <c r="Y44" s="2"/>
      <c r="Z44" s="2"/>
      <c r="AA44" s="2"/>
      <c r="AB44" s="2"/>
      <c r="AC44" s="2"/>
    </row>
    <row r="45" spans="1:29" ht="17.399999999999999" x14ac:dyDescent="0.25">
      <c r="A45" s="1"/>
      <c r="B45" s="40"/>
      <c r="C45" s="40"/>
      <c r="D45" s="40"/>
      <c r="E45" s="40"/>
      <c r="F45" s="40"/>
      <c r="G45" s="40"/>
      <c r="H45" s="40"/>
      <c r="I45" s="40"/>
      <c r="J45" s="40"/>
      <c r="K45" s="40"/>
      <c r="L45" s="40"/>
      <c r="M45" s="40"/>
      <c r="N45" s="40"/>
      <c r="O45" s="1"/>
      <c r="P45" s="2"/>
      <c r="Q45" s="2"/>
      <c r="R45" s="2"/>
      <c r="S45" s="2"/>
      <c r="T45" s="2"/>
      <c r="U45" s="2"/>
      <c r="V45" s="2"/>
      <c r="W45" s="2"/>
      <c r="X45" s="2"/>
      <c r="Y45" s="2"/>
      <c r="Z45" s="2"/>
      <c r="AA45" s="2"/>
      <c r="AB45" s="2"/>
      <c r="AC45" s="2"/>
    </row>
    <row r="46" spans="1:29" ht="17.399999999999999" x14ac:dyDescent="0.25">
      <c r="A46" s="1"/>
      <c r="B46" s="41"/>
      <c r="C46" s="41"/>
      <c r="D46" s="41"/>
      <c r="E46" s="41"/>
      <c r="F46" s="41"/>
      <c r="G46" s="41"/>
      <c r="H46" s="41"/>
      <c r="I46" s="41"/>
      <c r="J46" s="41"/>
      <c r="K46" s="41"/>
      <c r="L46" s="41"/>
      <c r="M46" s="41"/>
      <c r="N46" s="41"/>
      <c r="O46" s="1"/>
      <c r="P46" s="2"/>
      <c r="Q46" s="2"/>
      <c r="R46" s="2"/>
      <c r="S46" s="2"/>
      <c r="T46" s="2"/>
      <c r="U46" s="2"/>
      <c r="V46" s="2"/>
      <c r="W46" s="2"/>
      <c r="X46" s="2"/>
      <c r="Y46" s="2"/>
      <c r="Z46" s="2"/>
      <c r="AA46" s="2"/>
      <c r="AB46" s="2"/>
      <c r="AC46" s="2"/>
    </row>
    <row r="47" spans="1:29" ht="17.399999999999999" x14ac:dyDescent="0.25">
      <c r="A47" s="1"/>
      <c r="B47" s="42" t="s">
        <v>4</v>
      </c>
      <c r="C47" s="40"/>
      <c r="D47" s="40"/>
      <c r="E47" s="40"/>
      <c r="F47" s="40"/>
      <c r="G47" s="40"/>
      <c r="H47" s="40"/>
      <c r="I47" s="40"/>
      <c r="J47" s="40"/>
      <c r="K47" s="40"/>
      <c r="L47" s="40"/>
      <c r="M47" s="40"/>
      <c r="N47" s="40"/>
      <c r="O47" s="1"/>
      <c r="P47" s="2"/>
      <c r="Q47" s="2"/>
      <c r="R47" s="2"/>
      <c r="S47" s="2"/>
      <c r="T47" s="2"/>
      <c r="U47" s="2"/>
      <c r="V47" s="2"/>
      <c r="W47" s="2"/>
      <c r="X47" s="2"/>
      <c r="Y47" s="2"/>
      <c r="Z47" s="2"/>
      <c r="AA47" s="2"/>
      <c r="AB47" s="2"/>
      <c r="AC47" s="2"/>
    </row>
    <row r="48" spans="1:29" ht="17.399999999999999" x14ac:dyDescent="0.25">
      <c r="A48" s="1"/>
      <c r="B48" s="40"/>
      <c r="C48" s="40"/>
      <c r="D48" s="40"/>
      <c r="E48" s="40"/>
      <c r="F48" s="40"/>
      <c r="G48" s="40"/>
      <c r="H48" s="40"/>
      <c r="I48" s="40"/>
      <c r="J48" s="40"/>
      <c r="K48" s="40"/>
      <c r="L48" s="40"/>
      <c r="M48" s="40"/>
      <c r="N48" s="40"/>
      <c r="O48" s="1"/>
      <c r="P48" s="2"/>
      <c r="Q48" s="2"/>
      <c r="R48" s="2"/>
      <c r="S48" s="2"/>
      <c r="T48" s="2"/>
      <c r="U48" s="2"/>
      <c r="V48" s="2"/>
      <c r="W48" s="2"/>
      <c r="X48" s="2"/>
      <c r="Y48" s="2"/>
      <c r="Z48" s="2"/>
      <c r="AA48" s="2"/>
      <c r="AB48" s="2"/>
      <c r="AC48" s="2"/>
    </row>
    <row r="49" spans="1:29" ht="17.399999999999999" x14ac:dyDescent="0.25">
      <c r="A49" s="1"/>
      <c r="B49" s="40"/>
      <c r="C49" s="40"/>
      <c r="D49" s="40"/>
      <c r="E49" s="40"/>
      <c r="F49" s="40"/>
      <c r="G49" s="40"/>
      <c r="H49" s="40"/>
      <c r="I49" s="40"/>
      <c r="J49" s="40"/>
      <c r="K49" s="40"/>
      <c r="L49" s="40"/>
      <c r="M49" s="40"/>
      <c r="N49" s="40"/>
      <c r="O49" s="1"/>
      <c r="P49" s="2"/>
      <c r="Q49" s="2"/>
      <c r="R49" s="2"/>
      <c r="S49" s="2"/>
      <c r="T49" s="2"/>
      <c r="U49" s="2"/>
      <c r="V49" s="2"/>
      <c r="W49" s="2"/>
      <c r="X49" s="2"/>
      <c r="Y49" s="2"/>
      <c r="Z49" s="2"/>
      <c r="AA49" s="2"/>
      <c r="AB49" s="2"/>
      <c r="AC49" s="2"/>
    </row>
    <row r="50" spans="1:29" ht="17.399999999999999" x14ac:dyDescent="0.25">
      <c r="A50" s="1"/>
      <c r="B50" s="43" t="s">
        <v>5</v>
      </c>
      <c r="C50" s="40"/>
      <c r="D50" s="40"/>
      <c r="E50" s="40"/>
      <c r="F50" s="40"/>
      <c r="G50" s="40"/>
      <c r="H50" s="40"/>
      <c r="I50" s="40"/>
      <c r="J50" s="40"/>
      <c r="K50" s="40"/>
      <c r="L50" s="40"/>
      <c r="M50" s="40"/>
      <c r="N50" s="40"/>
      <c r="O50" s="1"/>
      <c r="P50" s="2"/>
      <c r="Q50" s="2"/>
      <c r="R50" s="2"/>
      <c r="S50" s="2"/>
      <c r="T50" s="2"/>
      <c r="U50" s="2"/>
      <c r="V50" s="2"/>
      <c r="W50" s="2"/>
      <c r="X50" s="2"/>
      <c r="Y50" s="2"/>
      <c r="Z50" s="2"/>
      <c r="AA50" s="2"/>
      <c r="AB50" s="2"/>
      <c r="AC50" s="2"/>
    </row>
    <row r="51" spans="1:29" ht="17.399999999999999" x14ac:dyDescent="0.25">
      <c r="A51" s="1"/>
      <c r="B51" s="40"/>
      <c r="C51" s="40"/>
      <c r="D51" s="40"/>
      <c r="E51" s="40"/>
      <c r="F51" s="40"/>
      <c r="G51" s="40"/>
      <c r="H51" s="40"/>
      <c r="I51" s="40"/>
      <c r="J51" s="40"/>
      <c r="K51" s="40"/>
      <c r="L51" s="40"/>
      <c r="M51" s="40"/>
      <c r="N51" s="40"/>
      <c r="O51" s="1"/>
      <c r="P51" s="2"/>
      <c r="Q51" s="2"/>
      <c r="R51" s="2"/>
      <c r="S51" s="2"/>
      <c r="T51" s="2"/>
      <c r="U51" s="2"/>
      <c r="V51" s="2"/>
      <c r="W51" s="2"/>
      <c r="X51" s="2"/>
      <c r="Y51" s="2"/>
      <c r="Z51" s="2"/>
      <c r="AA51" s="2"/>
      <c r="AB51" s="2"/>
      <c r="AC51" s="2"/>
    </row>
    <row r="52" spans="1:29" ht="17.399999999999999" x14ac:dyDescent="0.25">
      <c r="A52" s="1"/>
      <c r="B52" s="40"/>
      <c r="C52" s="40"/>
      <c r="D52" s="40"/>
      <c r="E52" s="40"/>
      <c r="F52" s="40"/>
      <c r="G52" s="40"/>
      <c r="H52" s="40"/>
      <c r="I52" s="40"/>
      <c r="J52" s="40"/>
      <c r="K52" s="40"/>
      <c r="L52" s="40"/>
      <c r="M52" s="40"/>
      <c r="N52" s="40"/>
      <c r="O52" s="1"/>
      <c r="P52" s="2"/>
      <c r="Q52" s="2"/>
      <c r="R52" s="2"/>
      <c r="S52" s="2"/>
      <c r="T52" s="2"/>
      <c r="U52" s="2"/>
      <c r="V52" s="2"/>
      <c r="W52" s="2"/>
      <c r="X52" s="2"/>
      <c r="Y52" s="2"/>
      <c r="Z52" s="2"/>
      <c r="AA52" s="2"/>
      <c r="AB52" s="2"/>
      <c r="AC52" s="2"/>
    </row>
    <row r="53" spans="1:29" ht="17.399999999999999" x14ac:dyDescent="0.25">
      <c r="A53" s="1"/>
      <c r="B53" s="42" t="s">
        <v>6</v>
      </c>
      <c r="C53" s="40"/>
      <c r="D53" s="40"/>
      <c r="E53" s="40"/>
      <c r="F53" s="40"/>
      <c r="G53" s="40"/>
      <c r="H53" s="40"/>
      <c r="I53" s="40"/>
      <c r="J53" s="40"/>
      <c r="K53" s="40"/>
      <c r="L53" s="40"/>
      <c r="M53" s="40"/>
      <c r="N53" s="40"/>
      <c r="O53" s="1"/>
      <c r="P53" s="2"/>
      <c r="Q53" s="2"/>
      <c r="R53" s="2"/>
      <c r="S53" s="2"/>
      <c r="T53" s="2"/>
      <c r="U53" s="2"/>
      <c r="V53" s="2"/>
      <c r="W53" s="2"/>
      <c r="X53" s="2"/>
      <c r="Y53" s="2"/>
      <c r="Z53" s="2"/>
      <c r="AA53" s="2"/>
      <c r="AB53" s="2"/>
      <c r="AC53" s="2"/>
    </row>
    <row r="54" spans="1:29" ht="17.399999999999999" x14ac:dyDescent="0.25">
      <c r="A54" s="1"/>
      <c r="B54" s="40"/>
      <c r="C54" s="40"/>
      <c r="D54" s="40"/>
      <c r="E54" s="40"/>
      <c r="F54" s="40"/>
      <c r="G54" s="40"/>
      <c r="H54" s="40"/>
      <c r="I54" s="40"/>
      <c r="J54" s="40"/>
      <c r="K54" s="40"/>
      <c r="L54" s="40"/>
      <c r="M54" s="40"/>
      <c r="N54" s="40"/>
      <c r="O54" s="1"/>
      <c r="P54" s="2"/>
      <c r="Q54" s="2"/>
      <c r="R54" s="2"/>
      <c r="S54" s="2"/>
      <c r="T54" s="2"/>
      <c r="U54" s="2"/>
      <c r="V54" s="2"/>
      <c r="W54" s="2"/>
      <c r="X54" s="2"/>
      <c r="Y54" s="2"/>
      <c r="Z54" s="2"/>
      <c r="AA54" s="2"/>
      <c r="AB54" s="2"/>
      <c r="AC54" s="2"/>
    </row>
    <row r="55" spans="1:29" ht="17.399999999999999" x14ac:dyDescent="0.25">
      <c r="A55" s="1"/>
      <c r="B55" s="40"/>
      <c r="C55" s="40"/>
      <c r="D55" s="40"/>
      <c r="E55" s="40"/>
      <c r="F55" s="40"/>
      <c r="G55" s="40"/>
      <c r="H55" s="40"/>
      <c r="I55" s="40"/>
      <c r="J55" s="40"/>
      <c r="K55" s="40"/>
      <c r="L55" s="40"/>
      <c r="M55" s="40"/>
      <c r="N55" s="40"/>
      <c r="O55" s="1"/>
      <c r="P55" s="2"/>
      <c r="Q55" s="2"/>
      <c r="R55" s="2"/>
      <c r="S55" s="2"/>
      <c r="T55" s="2"/>
      <c r="U55" s="2"/>
      <c r="V55" s="2"/>
      <c r="W55" s="2"/>
      <c r="X55" s="2"/>
      <c r="Y55" s="2"/>
      <c r="Z55" s="2"/>
      <c r="AA55" s="2"/>
      <c r="AB55" s="2"/>
      <c r="AC55" s="2"/>
    </row>
    <row r="56" spans="1:29" ht="17.399999999999999" x14ac:dyDescent="0.25">
      <c r="A56" s="1"/>
      <c r="B56" s="43" t="s">
        <v>7</v>
      </c>
      <c r="C56" s="40"/>
      <c r="D56" s="40"/>
      <c r="E56" s="40"/>
      <c r="F56" s="40"/>
      <c r="G56" s="40"/>
      <c r="H56" s="40"/>
      <c r="I56" s="40"/>
      <c r="J56" s="40"/>
      <c r="K56" s="40"/>
      <c r="L56" s="40"/>
      <c r="M56" s="40"/>
      <c r="N56" s="40"/>
      <c r="O56" s="1"/>
      <c r="P56" s="2"/>
      <c r="Q56" s="2"/>
      <c r="R56" s="2"/>
      <c r="S56" s="2"/>
      <c r="T56" s="2"/>
      <c r="U56" s="2"/>
      <c r="V56" s="2"/>
      <c r="W56" s="2"/>
      <c r="X56" s="2"/>
      <c r="Y56" s="2"/>
      <c r="Z56" s="2"/>
      <c r="AA56" s="2"/>
      <c r="AB56" s="2"/>
      <c r="AC56" s="2"/>
    </row>
    <row r="57" spans="1:29" ht="17.399999999999999" x14ac:dyDescent="0.25">
      <c r="A57" s="1"/>
      <c r="B57" s="40"/>
      <c r="C57" s="40"/>
      <c r="D57" s="40"/>
      <c r="E57" s="40"/>
      <c r="F57" s="40"/>
      <c r="G57" s="40"/>
      <c r="H57" s="40"/>
      <c r="I57" s="40"/>
      <c r="J57" s="40"/>
      <c r="K57" s="40"/>
      <c r="L57" s="40"/>
      <c r="M57" s="40"/>
      <c r="N57" s="40"/>
      <c r="O57" s="1"/>
      <c r="P57" s="2"/>
      <c r="Q57" s="2"/>
      <c r="R57" s="2"/>
      <c r="S57" s="2"/>
      <c r="T57" s="2"/>
      <c r="U57" s="2"/>
      <c r="V57" s="2"/>
      <c r="W57" s="2"/>
      <c r="X57" s="2"/>
      <c r="Y57" s="2"/>
      <c r="Z57" s="2"/>
      <c r="AA57" s="2"/>
      <c r="AB57" s="2"/>
      <c r="AC57" s="2"/>
    </row>
    <row r="58" spans="1:29" ht="17.399999999999999" x14ac:dyDescent="0.25">
      <c r="A58" s="1"/>
      <c r="B58" s="40"/>
      <c r="C58" s="40"/>
      <c r="D58" s="40"/>
      <c r="E58" s="40"/>
      <c r="F58" s="40"/>
      <c r="G58" s="40"/>
      <c r="H58" s="40"/>
      <c r="I58" s="40"/>
      <c r="J58" s="40"/>
      <c r="K58" s="40"/>
      <c r="L58" s="40"/>
      <c r="M58" s="40"/>
      <c r="N58" s="40"/>
      <c r="O58" s="1"/>
      <c r="P58" s="2"/>
      <c r="Q58" s="2"/>
      <c r="R58" s="2"/>
      <c r="S58" s="2"/>
      <c r="T58" s="2"/>
      <c r="U58" s="2"/>
      <c r="V58" s="2"/>
      <c r="W58" s="2"/>
      <c r="X58" s="2"/>
      <c r="Y58" s="2"/>
      <c r="Z58" s="2"/>
      <c r="AA58" s="2"/>
      <c r="AB58" s="2"/>
      <c r="AC58" s="2"/>
    </row>
    <row r="59" spans="1:29" ht="17.399999999999999" x14ac:dyDescent="0.25">
      <c r="A59" s="1"/>
      <c r="B59" s="47" t="s">
        <v>8</v>
      </c>
      <c r="C59" s="40"/>
      <c r="D59" s="40"/>
      <c r="E59" s="40"/>
      <c r="F59" s="40"/>
      <c r="G59" s="40"/>
      <c r="H59" s="40"/>
      <c r="I59" s="40"/>
      <c r="J59" s="40"/>
      <c r="K59" s="40"/>
      <c r="L59" s="40"/>
      <c r="M59" s="40"/>
      <c r="N59" s="40"/>
      <c r="O59" s="1"/>
      <c r="P59" s="2"/>
      <c r="Q59" s="2"/>
      <c r="R59" s="2"/>
      <c r="S59" s="2"/>
      <c r="T59" s="2"/>
      <c r="U59" s="2"/>
      <c r="V59" s="2"/>
      <c r="W59" s="2"/>
      <c r="X59" s="2"/>
      <c r="Y59" s="2"/>
      <c r="Z59" s="2"/>
      <c r="AA59" s="2"/>
      <c r="AB59" s="2"/>
      <c r="AC59" s="2"/>
    </row>
    <row r="60" spans="1:29" ht="17.399999999999999" x14ac:dyDescent="0.25">
      <c r="A60" s="1"/>
      <c r="B60" s="40"/>
      <c r="C60" s="40"/>
      <c r="D60" s="40"/>
      <c r="E60" s="40"/>
      <c r="F60" s="40"/>
      <c r="G60" s="40"/>
      <c r="H60" s="40"/>
      <c r="I60" s="40"/>
      <c r="J60" s="40"/>
      <c r="K60" s="40"/>
      <c r="L60" s="40"/>
      <c r="M60" s="40"/>
      <c r="N60" s="40"/>
      <c r="O60" s="1"/>
      <c r="P60" s="2"/>
      <c r="Q60" s="2"/>
      <c r="R60" s="2"/>
      <c r="S60" s="2"/>
      <c r="T60" s="2"/>
      <c r="U60" s="2"/>
      <c r="V60" s="2"/>
      <c r="W60" s="2"/>
      <c r="X60" s="2"/>
      <c r="Y60" s="2"/>
      <c r="Z60" s="2"/>
      <c r="AA60" s="2"/>
      <c r="AB60" s="2"/>
      <c r="AC60" s="2"/>
    </row>
    <row r="61" spans="1:29" ht="17.399999999999999" x14ac:dyDescent="0.25">
      <c r="A61" s="1"/>
      <c r="B61" s="40"/>
      <c r="C61" s="40"/>
      <c r="D61" s="40"/>
      <c r="E61" s="40"/>
      <c r="F61" s="40"/>
      <c r="G61" s="40"/>
      <c r="H61" s="40"/>
      <c r="I61" s="40"/>
      <c r="J61" s="40"/>
      <c r="K61" s="40"/>
      <c r="L61" s="40"/>
      <c r="M61" s="40"/>
      <c r="N61" s="40"/>
      <c r="O61" s="1"/>
      <c r="P61" s="2"/>
      <c r="Q61" s="2"/>
      <c r="R61" s="2"/>
      <c r="S61" s="2"/>
      <c r="T61" s="2"/>
      <c r="U61" s="2"/>
      <c r="V61" s="2"/>
      <c r="W61" s="2"/>
      <c r="X61" s="2"/>
      <c r="Y61" s="2"/>
      <c r="Z61" s="2"/>
      <c r="AA61" s="2"/>
      <c r="AB61" s="2"/>
      <c r="AC61" s="2"/>
    </row>
    <row r="62" spans="1:29" ht="17.399999999999999" x14ac:dyDescent="0.25">
      <c r="A62" s="1"/>
      <c r="B62" s="40"/>
      <c r="C62" s="40"/>
      <c r="D62" s="40"/>
      <c r="E62" s="40"/>
      <c r="F62" s="40"/>
      <c r="G62" s="40"/>
      <c r="H62" s="40"/>
      <c r="I62" s="40"/>
      <c r="J62" s="40"/>
      <c r="K62" s="40"/>
      <c r="L62" s="40"/>
      <c r="M62" s="40"/>
      <c r="N62" s="40"/>
      <c r="O62" s="1"/>
      <c r="P62" s="2"/>
      <c r="Q62" s="2"/>
      <c r="R62" s="2"/>
      <c r="S62" s="2"/>
      <c r="T62" s="2"/>
      <c r="U62" s="2"/>
      <c r="V62" s="2"/>
      <c r="W62" s="2"/>
      <c r="X62" s="2"/>
      <c r="Y62" s="2"/>
      <c r="Z62" s="2"/>
      <c r="AA62" s="2"/>
      <c r="AB62" s="2"/>
      <c r="AC62" s="2"/>
    </row>
    <row r="63" spans="1:29" ht="17.399999999999999" x14ac:dyDescent="0.25">
      <c r="A63" s="1"/>
      <c r="B63" s="40"/>
      <c r="C63" s="40"/>
      <c r="D63" s="40"/>
      <c r="E63" s="40"/>
      <c r="F63" s="40"/>
      <c r="G63" s="40"/>
      <c r="H63" s="40"/>
      <c r="I63" s="40"/>
      <c r="J63" s="40"/>
      <c r="K63" s="40"/>
      <c r="L63" s="40"/>
      <c r="M63" s="40"/>
      <c r="N63" s="40"/>
      <c r="O63" s="1"/>
      <c r="P63" s="2"/>
      <c r="Q63" s="2"/>
      <c r="R63" s="2"/>
      <c r="S63" s="2"/>
      <c r="T63" s="2"/>
      <c r="U63" s="2"/>
      <c r="V63" s="2"/>
      <c r="W63" s="2"/>
      <c r="X63" s="2"/>
      <c r="Y63" s="2"/>
      <c r="Z63" s="2"/>
      <c r="AA63" s="2"/>
      <c r="AB63" s="2"/>
      <c r="AC63" s="2"/>
    </row>
    <row r="64" spans="1:29" ht="17.399999999999999" x14ac:dyDescent="0.25">
      <c r="A64" s="1"/>
      <c r="B64" s="40"/>
      <c r="C64" s="40"/>
      <c r="D64" s="40"/>
      <c r="E64" s="40"/>
      <c r="F64" s="40"/>
      <c r="G64" s="40"/>
      <c r="H64" s="40"/>
      <c r="I64" s="40"/>
      <c r="J64" s="40"/>
      <c r="K64" s="40"/>
      <c r="L64" s="40"/>
      <c r="M64" s="40"/>
      <c r="N64" s="40"/>
      <c r="O64" s="1"/>
      <c r="P64" s="2"/>
      <c r="Q64" s="2"/>
      <c r="R64" s="2"/>
      <c r="S64" s="2"/>
      <c r="T64" s="2"/>
      <c r="U64" s="2"/>
      <c r="V64" s="2"/>
      <c r="W64" s="2"/>
      <c r="X64" s="2"/>
      <c r="Y64" s="2"/>
      <c r="Z64" s="2"/>
      <c r="AA64" s="2"/>
      <c r="AB64" s="2"/>
      <c r="AC64" s="2"/>
    </row>
    <row r="65" spans="1:29" ht="17.399999999999999" x14ac:dyDescent="0.25">
      <c r="A65" s="1"/>
      <c r="B65" s="43" t="s">
        <v>9</v>
      </c>
      <c r="C65" s="40"/>
      <c r="D65" s="40"/>
      <c r="E65" s="40"/>
      <c r="F65" s="40"/>
      <c r="G65" s="40"/>
      <c r="H65" s="40"/>
      <c r="I65" s="40"/>
      <c r="J65" s="40"/>
      <c r="K65" s="40"/>
      <c r="L65" s="40"/>
      <c r="M65" s="40"/>
      <c r="N65" s="40"/>
      <c r="O65" s="1"/>
      <c r="P65" s="2"/>
      <c r="Q65" s="2"/>
      <c r="R65" s="2"/>
      <c r="S65" s="2"/>
      <c r="T65" s="2"/>
      <c r="U65" s="2"/>
      <c r="V65" s="2"/>
      <c r="W65" s="2"/>
      <c r="X65" s="2"/>
      <c r="Y65" s="2"/>
      <c r="Z65" s="2"/>
      <c r="AA65" s="2"/>
      <c r="AB65" s="2"/>
      <c r="AC65" s="2"/>
    </row>
    <row r="66" spans="1:29" ht="17.399999999999999" x14ac:dyDescent="0.25">
      <c r="A66" s="1"/>
      <c r="B66" s="40"/>
      <c r="C66" s="40"/>
      <c r="D66" s="40"/>
      <c r="E66" s="40"/>
      <c r="F66" s="40"/>
      <c r="G66" s="40"/>
      <c r="H66" s="40"/>
      <c r="I66" s="40"/>
      <c r="J66" s="40"/>
      <c r="K66" s="40"/>
      <c r="L66" s="40"/>
      <c r="M66" s="40"/>
      <c r="N66" s="40"/>
      <c r="O66" s="1"/>
      <c r="P66" s="2"/>
      <c r="Q66" s="2"/>
      <c r="R66" s="2"/>
      <c r="S66" s="2"/>
      <c r="T66" s="2"/>
      <c r="U66" s="2"/>
      <c r="V66" s="2"/>
      <c r="W66" s="2"/>
      <c r="X66" s="2"/>
      <c r="Y66" s="2"/>
      <c r="Z66" s="2"/>
      <c r="AA66" s="2"/>
      <c r="AB66" s="2"/>
      <c r="AC66" s="2"/>
    </row>
    <row r="67" spans="1:29" ht="17.399999999999999" x14ac:dyDescent="0.25">
      <c r="A67" s="1"/>
      <c r="B67" s="40"/>
      <c r="C67" s="40"/>
      <c r="D67" s="40"/>
      <c r="E67" s="40"/>
      <c r="F67" s="40"/>
      <c r="G67" s="40"/>
      <c r="H67" s="40"/>
      <c r="I67" s="40"/>
      <c r="J67" s="40"/>
      <c r="K67" s="40"/>
      <c r="L67" s="40"/>
      <c r="M67" s="40"/>
      <c r="N67" s="40"/>
      <c r="O67" s="1"/>
      <c r="P67" s="2"/>
      <c r="Q67" s="2"/>
      <c r="R67" s="2"/>
      <c r="S67" s="2"/>
      <c r="T67" s="2"/>
      <c r="U67" s="2"/>
      <c r="V67" s="2"/>
      <c r="W67" s="2"/>
      <c r="X67" s="2"/>
      <c r="Y67" s="2"/>
      <c r="Z67" s="2"/>
      <c r="AA67" s="2"/>
      <c r="AB67" s="2"/>
      <c r="AC67" s="2"/>
    </row>
    <row r="68" spans="1:29" ht="17.399999999999999" x14ac:dyDescent="0.25">
      <c r="A68" s="1"/>
      <c r="B68" s="40"/>
      <c r="C68" s="40"/>
      <c r="D68" s="40"/>
      <c r="E68" s="40"/>
      <c r="F68" s="40"/>
      <c r="G68" s="40"/>
      <c r="H68" s="40"/>
      <c r="I68" s="40"/>
      <c r="J68" s="40"/>
      <c r="K68" s="40"/>
      <c r="L68" s="40"/>
      <c r="M68" s="40"/>
      <c r="N68" s="40"/>
      <c r="O68" s="1"/>
      <c r="P68" s="2"/>
      <c r="Q68" s="2"/>
      <c r="R68" s="2"/>
      <c r="S68" s="2"/>
      <c r="T68" s="2"/>
      <c r="U68" s="2"/>
      <c r="V68" s="2"/>
      <c r="W68" s="2"/>
      <c r="X68" s="2"/>
      <c r="Y68" s="2"/>
      <c r="Z68" s="2"/>
      <c r="AA68" s="2"/>
      <c r="AB68" s="2"/>
      <c r="AC68" s="2"/>
    </row>
    <row r="69" spans="1:29" ht="17.399999999999999" x14ac:dyDescent="0.25">
      <c r="A69" s="1"/>
      <c r="B69" s="42" t="s">
        <v>10</v>
      </c>
      <c r="C69" s="40"/>
      <c r="D69" s="40"/>
      <c r="E69" s="40"/>
      <c r="F69" s="40"/>
      <c r="G69" s="40"/>
      <c r="H69" s="40"/>
      <c r="I69" s="40"/>
      <c r="J69" s="40"/>
      <c r="K69" s="40"/>
      <c r="L69" s="40"/>
      <c r="M69" s="40"/>
      <c r="N69" s="40"/>
      <c r="O69" s="1"/>
      <c r="P69" s="2"/>
      <c r="Q69" s="2"/>
      <c r="R69" s="2"/>
      <c r="S69" s="2"/>
      <c r="T69" s="2"/>
      <c r="U69" s="2"/>
      <c r="V69" s="2"/>
      <c r="W69" s="2"/>
      <c r="X69" s="2"/>
      <c r="Y69" s="2"/>
      <c r="Z69" s="2"/>
      <c r="AA69" s="2"/>
      <c r="AB69" s="2"/>
      <c r="AC69" s="2"/>
    </row>
    <row r="70" spans="1:29" ht="17.399999999999999" x14ac:dyDescent="0.25">
      <c r="A70" s="1"/>
      <c r="B70" s="40"/>
      <c r="C70" s="40"/>
      <c r="D70" s="40"/>
      <c r="E70" s="40"/>
      <c r="F70" s="40"/>
      <c r="G70" s="40"/>
      <c r="H70" s="40"/>
      <c r="I70" s="40"/>
      <c r="J70" s="40"/>
      <c r="K70" s="40"/>
      <c r="L70" s="40"/>
      <c r="M70" s="40"/>
      <c r="N70" s="40"/>
      <c r="O70" s="1"/>
      <c r="P70" s="2"/>
      <c r="Q70" s="2"/>
      <c r="R70" s="2"/>
      <c r="S70" s="2"/>
      <c r="T70" s="2"/>
      <c r="U70" s="2"/>
      <c r="V70" s="2"/>
      <c r="W70" s="2"/>
      <c r="X70" s="2"/>
      <c r="Y70" s="2"/>
      <c r="Z70" s="2"/>
      <c r="AA70" s="2"/>
      <c r="AB70" s="2"/>
      <c r="AC70" s="2"/>
    </row>
    <row r="71" spans="1:29" ht="17.399999999999999" x14ac:dyDescent="0.25">
      <c r="A71" s="1"/>
      <c r="B71" s="40"/>
      <c r="C71" s="40"/>
      <c r="D71" s="40"/>
      <c r="E71" s="40"/>
      <c r="F71" s="40"/>
      <c r="G71" s="40"/>
      <c r="H71" s="40"/>
      <c r="I71" s="40"/>
      <c r="J71" s="40"/>
      <c r="K71" s="40"/>
      <c r="L71" s="40"/>
      <c r="M71" s="40"/>
      <c r="N71" s="40"/>
      <c r="O71" s="1"/>
      <c r="P71" s="2"/>
      <c r="Q71" s="2"/>
      <c r="R71" s="2"/>
      <c r="S71" s="2"/>
      <c r="T71" s="2"/>
      <c r="U71" s="2"/>
      <c r="V71" s="2"/>
      <c r="W71" s="2"/>
      <c r="X71" s="2"/>
      <c r="Y71" s="2"/>
      <c r="Z71" s="2"/>
      <c r="AA71" s="2"/>
      <c r="AB71" s="2"/>
      <c r="AC71" s="2"/>
    </row>
    <row r="72" spans="1:29" ht="17.399999999999999" x14ac:dyDescent="0.25">
      <c r="A72" s="5"/>
      <c r="B72" s="43" t="s">
        <v>11</v>
      </c>
      <c r="C72" s="40"/>
      <c r="D72" s="40"/>
      <c r="E72" s="40"/>
      <c r="F72" s="40"/>
      <c r="G72" s="40"/>
      <c r="H72" s="40"/>
      <c r="I72" s="40"/>
      <c r="J72" s="40"/>
      <c r="K72" s="40"/>
      <c r="L72" s="40"/>
      <c r="M72" s="40"/>
      <c r="N72" s="40"/>
      <c r="O72" s="1"/>
      <c r="P72" s="2"/>
      <c r="Q72" s="2"/>
      <c r="R72" s="2"/>
      <c r="S72" s="2"/>
      <c r="T72" s="2"/>
      <c r="U72" s="2"/>
      <c r="V72" s="2"/>
      <c r="W72" s="2"/>
      <c r="X72" s="2"/>
      <c r="Y72" s="2"/>
      <c r="Z72" s="2"/>
      <c r="AA72" s="2"/>
      <c r="AB72" s="2"/>
      <c r="AC72" s="2"/>
    </row>
    <row r="73" spans="1:29" ht="17.399999999999999" x14ac:dyDescent="0.25">
      <c r="A73" s="1"/>
      <c r="B73" s="40"/>
      <c r="C73" s="40"/>
      <c r="D73" s="40"/>
      <c r="E73" s="40"/>
      <c r="F73" s="40"/>
      <c r="G73" s="40"/>
      <c r="H73" s="40"/>
      <c r="I73" s="40"/>
      <c r="J73" s="40"/>
      <c r="K73" s="40"/>
      <c r="L73" s="40"/>
      <c r="M73" s="40"/>
      <c r="N73" s="40"/>
      <c r="O73" s="1"/>
      <c r="P73" s="2"/>
      <c r="Q73" s="2"/>
      <c r="R73" s="2"/>
      <c r="S73" s="2"/>
      <c r="T73" s="2"/>
      <c r="U73" s="2"/>
      <c r="V73" s="2"/>
      <c r="W73" s="2"/>
      <c r="X73" s="2"/>
      <c r="Y73" s="2"/>
      <c r="Z73" s="2"/>
      <c r="AA73" s="2"/>
      <c r="AB73" s="2"/>
      <c r="AC73" s="2"/>
    </row>
    <row r="74" spans="1:29" ht="17.399999999999999" x14ac:dyDescent="0.25">
      <c r="A74" s="1"/>
      <c r="B74" s="40"/>
      <c r="C74" s="40"/>
      <c r="D74" s="40"/>
      <c r="E74" s="40"/>
      <c r="F74" s="40"/>
      <c r="G74" s="40"/>
      <c r="H74" s="40"/>
      <c r="I74" s="40"/>
      <c r="J74" s="40"/>
      <c r="K74" s="40"/>
      <c r="L74" s="40"/>
      <c r="M74" s="40"/>
      <c r="N74" s="40"/>
      <c r="O74" s="1"/>
      <c r="P74" s="2"/>
      <c r="Q74" s="2"/>
      <c r="R74" s="2"/>
      <c r="S74" s="2"/>
      <c r="T74" s="2"/>
      <c r="U74" s="2"/>
      <c r="V74" s="2"/>
      <c r="W74" s="2"/>
      <c r="X74" s="2"/>
      <c r="Y74" s="2"/>
      <c r="Z74" s="2"/>
      <c r="AA74" s="2"/>
      <c r="AB74" s="2"/>
      <c r="AC74" s="2"/>
    </row>
    <row r="75" spans="1:29" ht="17.399999999999999" x14ac:dyDescent="0.25">
      <c r="A75" s="1"/>
      <c r="B75" s="40"/>
      <c r="C75" s="40"/>
      <c r="D75" s="40"/>
      <c r="E75" s="40"/>
      <c r="F75" s="40"/>
      <c r="G75" s="40"/>
      <c r="H75" s="40"/>
      <c r="I75" s="40"/>
      <c r="J75" s="40"/>
      <c r="K75" s="40"/>
      <c r="L75" s="40"/>
      <c r="M75" s="40"/>
      <c r="N75" s="40"/>
      <c r="O75" s="1"/>
      <c r="P75" s="2"/>
      <c r="Q75" s="2"/>
      <c r="R75" s="2"/>
      <c r="S75" s="2"/>
      <c r="T75" s="2"/>
      <c r="U75" s="2"/>
      <c r="V75" s="2"/>
      <c r="W75" s="2"/>
      <c r="X75" s="2"/>
      <c r="Y75" s="2"/>
      <c r="Z75" s="2"/>
      <c r="AA75" s="2"/>
      <c r="AB75" s="2"/>
      <c r="AC75" s="2"/>
    </row>
    <row r="76" spans="1:29" ht="17.399999999999999" x14ac:dyDescent="0.25">
      <c r="A76" s="1"/>
      <c r="B76" s="40"/>
      <c r="C76" s="40"/>
      <c r="D76" s="40"/>
      <c r="E76" s="40"/>
      <c r="F76" s="40"/>
      <c r="G76" s="40"/>
      <c r="H76" s="40"/>
      <c r="I76" s="40"/>
      <c r="J76" s="40"/>
      <c r="K76" s="40"/>
      <c r="L76" s="40"/>
      <c r="M76" s="40"/>
      <c r="N76" s="40"/>
      <c r="O76" s="1"/>
      <c r="P76" s="2"/>
      <c r="Q76" s="2"/>
      <c r="R76" s="2"/>
      <c r="S76" s="2"/>
      <c r="T76" s="2"/>
      <c r="U76" s="2"/>
      <c r="V76" s="2"/>
      <c r="W76" s="2"/>
      <c r="X76" s="2"/>
      <c r="Y76" s="2"/>
      <c r="Z76" s="2"/>
      <c r="AA76" s="2"/>
      <c r="AB76" s="2"/>
      <c r="AC76" s="2"/>
    </row>
    <row r="77" spans="1:29" ht="17.399999999999999" x14ac:dyDescent="0.25">
      <c r="A77" s="1"/>
      <c r="B77" s="40"/>
      <c r="C77" s="40"/>
      <c r="D77" s="40"/>
      <c r="E77" s="40"/>
      <c r="F77" s="40"/>
      <c r="G77" s="40"/>
      <c r="H77" s="40"/>
      <c r="I77" s="40"/>
      <c r="J77" s="40"/>
      <c r="K77" s="40"/>
      <c r="L77" s="40"/>
      <c r="M77" s="40"/>
      <c r="N77" s="40"/>
      <c r="O77" s="1"/>
      <c r="P77" s="2"/>
      <c r="Q77" s="2"/>
      <c r="R77" s="2"/>
      <c r="S77" s="2"/>
      <c r="T77" s="2"/>
      <c r="U77" s="2"/>
      <c r="V77" s="2"/>
      <c r="W77" s="2"/>
      <c r="X77" s="2"/>
      <c r="Y77" s="2"/>
      <c r="Z77" s="2"/>
      <c r="AA77" s="2"/>
      <c r="AB77" s="2"/>
      <c r="AC77" s="2"/>
    </row>
    <row r="78" spans="1:29" ht="17.399999999999999" x14ac:dyDescent="0.25">
      <c r="A78" s="1"/>
      <c r="B78" s="48" t="s">
        <v>12</v>
      </c>
      <c r="C78" s="40"/>
      <c r="D78" s="40"/>
      <c r="E78" s="40"/>
      <c r="F78" s="40"/>
      <c r="G78" s="40"/>
      <c r="H78" s="40"/>
      <c r="I78" s="40"/>
      <c r="J78" s="40"/>
      <c r="K78" s="40"/>
      <c r="L78" s="40"/>
      <c r="M78" s="40"/>
      <c r="N78" s="40"/>
      <c r="O78" s="1"/>
      <c r="P78" s="2"/>
      <c r="Q78" s="2"/>
      <c r="R78" s="2"/>
      <c r="S78" s="2"/>
      <c r="T78" s="2"/>
      <c r="U78" s="2"/>
      <c r="V78" s="2"/>
      <c r="W78" s="2"/>
      <c r="X78" s="2"/>
      <c r="Y78" s="2"/>
      <c r="Z78" s="2"/>
      <c r="AA78" s="2"/>
      <c r="AB78" s="2"/>
      <c r="AC78" s="2"/>
    </row>
    <row r="79" spans="1:29" ht="17.399999999999999" x14ac:dyDescent="0.25">
      <c r="A79" s="1"/>
      <c r="B79" s="44" t="str">
        <f ca="1">IFERROR(__xludf.DUMMYFUNCTION("concatenate(""There are "",countA(filter('Full Perk List'!D2:D1004,'Full Perk List'!D2:D1004&lt;&gt;""Name"",'Full Perk List'!D2:D1004&lt;&gt;""Purchased Perks"")), "" perks as of last count. Which was right now. This question auto-updates!"")"),"There are 2687 perks as of last count. Which was right now. This question auto-updates!")</f>
        <v>There are 2687 perks as of last count. Which was right now. This question auto-updates!</v>
      </c>
      <c r="C79" s="40"/>
      <c r="D79" s="40"/>
      <c r="E79" s="40"/>
      <c r="F79" s="40"/>
      <c r="G79" s="40"/>
      <c r="H79" s="40"/>
      <c r="I79" s="40"/>
      <c r="J79" s="40"/>
      <c r="K79" s="40"/>
      <c r="L79" s="40"/>
      <c r="M79" s="40"/>
      <c r="N79" s="40"/>
      <c r="O79" s="1"/>
      <c r="P79" s="2"/>
      <c r="Q79" s="2"/>
      <c r="R79" s="2"/>
      <c r="S79" s="2"/>
      <c r="T79" s="2"/>
      <c r="U79" s="2"/>
      <c r="V79" s="2"/>
      <c r="W79" s="2"/>
      <c r="X79" s="2"/>
      <c r="Y79" s="2"/>
      <c r="Z79" s="2"/>
      <c r="AA79" s="2"/>
      <c r="AB79" s="2"/>
      <c r="AC79" s="2"/>
    </row>
    <row r="80" spans="1:29" ht="17.399999999999999" x14ac:dyDescent="0.25">
      <c r="A80" s="1"/>
      <c r="B80" s="45" t="s">
        <v>13</v>
      </c>
      <c r="C80" s="40"/>
      <c r="D80" s="40"/>
      <c r="E80" s="40"/>
      <c r="F80" s="40"/>
      <c r="G80" s="40"/>
      <c r="H80" s="40"/>
      <c r="I80" s="40"/>
      <c r="J80" s="40"/>
      <c r="K80" s="40"/>
      <c r="L80" s="40"/>
      <c r="M80" s="40"/>
      <c r="N80" s="40"/>
      <c r="O80" s="1"/>
      <c r="P80" s="2"/>
      <c r="Q80" s="2"/>
      <c r="R80" s="2"/>
      <c r="S80" s="2"/>
      <c r="T80" s="2"/>
      <c r="U80" s="2"/>
      <c r="V80" s="2"/>
      <c r="W80" s="2"/>
      <c r="X80" s="2"/>
      <c r="Y80" s="2"/>
      <c r="Z80" s="2"/>
      <c r="AA80" s="2"/>
      <c r="AB80" s="2"/>
      <c r="AC80" s="2"/>
    </row>
    <row r="81" spans="1:29" ht="17.399999999999999" x14ac:dyDescent="0.25">
      <c r="A81" s="1"/>
      <c r="B81" s="40"/>
      <c r="C81" s="40"/>
      <c r="D81" s="40"/>
      <c r="E81" s="40"/>
      <c r="F81" s="40"/>
      <c r="G81" s="40"/>
      <c r="H81" s="40"/>
      <c r="I81" s="40"/>
      <c r="J81" s="40"/>
      <c r="K81" s="40"/>
      <c r="L81" s="40"/>
      <c r="M81" s="40"/>
      <c r="N81" s="40"/>
      <c r="O81" s="1"/>
      <c r="P81" s="2"/>
      <c r="Q81" s="2"/>
      <c r="R81" s="2"/>
      <c r="S81" s="2"/>
      <c r="T81" s="2"/>
      <c r="U81" s="2"/>
      <c r="V81" s="2"/>
      <c r="W81" s="2"/>
      <c r="X81" s="2"/>
      <c r="Y81" s="2"/>
      <c r="Z81" s="2"/>
      <c r="AA81" s="2"/>
      <c r="AB81" s="2"/>
      <c r="AC81" s="2"/>
    </row>
    <row r="82" spans="1:29" ht="17.399999999999999" x14ac:dyDescent="0.25">
      <c r="A82" s="1"/>
      <c r="B82" s="40"/>
      <c r="C82" s="40"/>
      <c r="D82" s="40"/>
      <c r="E82" s="40"/>
      <c r="F82" s="40"/>
      <c r="G82" s="40"/>
      <c r="H82" s="40"/>
      <c r="I82" s="40"/>
      <c r="J82" s="40"/>
      <c r="K82" s="40"/>
      <c r="L82" s="40"/>
      <c r="M82" s="40"/>
      <c r="N82" s="40"/>
      <c r="O82" s="1"/>
      <c r="P82" s="2"/>
      <c r="Q82" s="2"/>
      <c r="R82" s="2"/>
      <c r="S82" s="2"/>
      <c r="T82" s="2"/>
      <c r="U82" s="2"/>
      <c r="V82" s="2"/>
      <c r="W82" s="2"/>
      <c r="X82" s="2"/>
      <c r="Y82" s="2"/>
      <c r="Z82" s="2"/>
      <c r="AA82" s="2"/>
      <c r="AB82" s="2"/>
      <c r="AC82" s="2"/>
    </row>
    <row r="83" spans="1:29" ht="17.399999999999999" x14ac:dyDescent="0.25">
      <c r="A83" s="1"/>
      <c r="B83" s="46" t="s">
        <v>14</v>
      </c>
      <c r="C83" s="40"/>
      <c r="D83" s="40"/>
      <c r="E83" s="40"/>
      <c r="F83" s="40"/>
      <c r="G83" s="40"/>
      <c r="H83" s="40"/>
      <c r="I83" s="40"/>
      <c r="J83" s="40"/>
      <c r="K83" s="40"/>
      <c r="L83" s="40"/>
      <c r="M83" s="40"/>
      <c r="N83" s="40"/>
      <c r="O83" s="1"/>
      <c r="P83" s="2"/>
      <c r="Q83" s="2"/>
      <c r="R83" s="2"/>
      <c r="S83" s="2"/>
      <c r="T83" s="2"/>
      <c r="U83" s="2"/>
      <c r="V83" s="2"/>
      <c r="W83" s="2"/>
      <c r="X83" s="2"/>
      <c r="Y83" s="2"/>
      <c r="Z83" s="2"/>
      <c r="AA83" s="2"/>
      <c r="AB83" s="2"/>
      <c r="AC83" s="2"/>
    </row>
    <row r="84" spans="1:29" ht="17.399999999999999" x14ac:dyDescent="0.25">
      <c r="A84" s="1"/>
      <c r="B84" s="40"/>
      <c r="C84" s="40"/>
      <c r="D84" s="40"/>
      <c r="E84" s="40"/>
      <c r="F84" s="40"/>
      <c r="G84" s="40"/>
      <c r="H84" s="40"/>
      <c r="I84" s="40"/>
      <c r="J84" s="40"/>
      <c r="K84" s="40"/>
      <c r="L84" s="40"/>
      <c r="M84" s="40"/>
      <c r="N84" s="40"/>
      <c r="O84" s="1"/>
      <c r="P84" s="2"/>
      <c r="Q84" s="2"/>
      <c r="R84" s="2"/>
      <c r="S84" s="2"/>
      <c r="T84" s="2"/>
      <c r="U84" s="2"/>
      <c r="V84" s="2"/>
      <c r="W84" s="2"/>
      <c r="X84" s="2"/>
      <c r="Y84" s="2"/>
      <c r="Z84" s="2"/>
      <c r="AA84" s="2"/>
      <c r="AB84" s="2"/>
      <c r="AC84" s="2"/>
    </row>
    <row r="85" spans="1:29" ht="17.399999999999999" x14ac:dyDescent="0.25">
      <c r="A85" s="1"/>
      <c r="B85" s="40"/>
      <c r="C85" s="40"/>
      <c r="D85" s="40"/>
      <c r="E85" s="40"/>
      <c r="F85" s="40"/>
      <c r="G85" s="40"/>
      <c r="H85" s="40"/>
      <c r="I85" s="40"/>
      <c r="J85" s="40"/>
      <c r="K85" s="40"/>
      <c r="L85" s="40"/>
      <c r="M85" s="40"/>
      <c r="N85" s="40"/>
      <c r="O85" s="1"/>
      <c r="P85" s="2"/>
      <c r="Q85" s="2"/>
      <c r="R85" s="2"/>
      <c r="S85" s="2"/>
      <c r="T85" s="2"/>
      <c r="U85" s="2"/>
      <c r="V85" s="2"/>
      <c r="W85" s="2"/>
      <c r="X85" s="2"/>
      <c r="Y85" s="2"/>
      <c r="Z85" s="2"/>
      <c r="AA85" s="2"/>
      <c r="AB85" s="2"/>
      <c r="AC85" s="2"/>
    </row>
    <row r="86" spans="1:29" ht="17.399999999999999" x14ac:dyDescent="0.25">
      <c r="A86" s="1"/>
      <c r="B86" s="40"/>
      <c r="C86" s="40"/>
      <c r="D86" s="40"/>
      <c r="E86" s="40"/>
      <c r="F86" s="40"/>
      <c r="G86" s="40"/>
      <c r="H86" s="40"/>
      <c r="I86" s="40"/>
      <c r="J86" s="40"/>
      <c r="K86" s="40"/>
      <c r="L86" s="40"/>
      <c r="M86" s="40"/>
      <c r="N86" s="40"/>
      <c r="O86" s="1"/>
      <c r="P86" s="2"/>
      <c r="Q86" s="2"/>
      <c r="R86" s="2"/>
      <c r="S86" s="2"/>
      <c r="T86" s="2"/>
      <c r="U86" s="2"/>
      <c r="V86" s="2"/>
      <c r="W86" s="2"/>
      <c r="X86" s="2"/>
      <c r="Y86" s="2"/>
      <c r="Z86" s="2"/>
      <c r="AA86" s="2"/>
      <c r="AB86" s="2"/>
      <c r="AC86" s="2"/>
    </row>
    <row r="87" spans="1:29" ht="17.399999999999999" x14ac:dyDescent="0.25">
      <c r="A87" s="1"/>
      <c r="B87" s="43" t="s">
        <v>15</v>
      </c>
      <c r="C87" s="40"/>
      <c r="D87" s="40"/>
      <c r="E87" s="40"/>
      <c r="F87" s="40"/>
      <c r="G87" s="40"/>
      <c r="H87" s="40"/>
      <c r="I87" s="40"/>
      <c r="J87" s="40"/>
      <c r="K87" s="40"/>
      <c r="L87" s="40"/>
      <c r="M87" s="40"/>
      <c r="N87" s="40"/>
      <c r="O87" s="1"/>
      <c r="P87" s="2"/>
      <c r="Q87" s="2"/>
      <c r="R87" s="2"/>
      <c r="S87" s="2"/>
      <c r="T87" s="2"/>
      <c r="U87" s="2"/>
      <c r="V87" s="2"/>
      <c r="W87" s="2"/>
      <c r="X87" s="2"/>
      <c r="Y87" s="2"/>
      <c r="Z87" s="2"/>
      <c r="AA87" s="2"/>
      <c r="AB87" s="2"/>
      <c r="AC87" s="2"/>
    </row>
    <row r="88" spans="1:29" ht="17.399999999999999" x14ac:dyDescent="0.25">
      <c r="A88" s="1"/>
      <c r="B88" s="40"/>
      <c r="C88" s="40"/>
      <c r="D88" s="40"/>
      <c r="E88" s="40"/>
      <c r="F88" s="40"/>
      <c r="G88" s="40"/>
      <c r="H88" s="40"/>
      <c r="I88" s="40"/>
      <c r="J88" s="40"/>
      <c r="K88" s="40"/>
      <c r="L88" s="40"/>
      <c r="M88" s="40"/>
      <c r="N88" s="40"/>
      <c r="O88" s="1"/>
      <c r="P88" s="2"/>
      <c r="Q88" s="2"/>
      <c r="R88" s="2"/>
      <c r="S88" s="2"/>
      <c r="T88" s="2"/>
      <c r="U88" s="2"/>
      <c r="V88" s="2"/>
      <c r="W88" s="2"/>
      <c r="X88" s="2"/>
      <c r="Y88" s="2"/>
      <c r="Z88" s="2"/>
      <c r="AA88" s="2"/>
      <c r="AB88" s="2"/>
      <c r="AC88" s="2"/>
    </row>
    <row r="89" spans="1:29" ht="17.399999999999999" x14ac:dyDescent="0.25">
      <c r="A89" s="1"/>
      <c r="B89" s="40"/>
      <c r="C89" s="40"/>
      <c r="D89" s="40"/>
      <c r="E89" s="40"/>
      <c r="F89" s="40"/>
      <c r="G89" s="40"/>
      <c r="H89" s="40"/>
      <c r="I89" s="40"/>
      <c r="J89" s="40"/>
      <c r="K89" s="40"/>
      <c r="L89" s="40"/>
      <c r="M89" s="40"/>
      <c r="N89" s="40"/>
      <c r="O89" s="1"/>
      <c r="P89" s="2"/>
      <c r="Q89" s="2"/>
      <c r="R89" s="2"/>
      <c r="S89" s="2"/>
      <c r="T89" s="2"/>
      <c r="U89" s="2"/>
      <c r="V89" s="2"/>
      <c r="W89" s="2"/>
      <c r="X89" s="2"/>
      <c r="Y89" s="2"/>
      <c r="Z89" s="2"/>
      <c r="AA89" s="2"/>
      <c r="AB89" s="2"/>
      <c r="AC89" s="2"/>
    </row>
    <row r="90" spans="1:29" ht="17.399999999999999" x14ac:dyDescent="0.25">
      <c r="A90" s="1"/>
      <c r="B90" s="40"/>
      <c r="C90" s="40"/>
      <c r="D90" s="40"/>
      <c r="E90" s="40"/>
      <c r="F90" s="40"/>
      <c r="G90" s="40"/>
      <c r="H90" s="40"/>
      <c r="I90" s="40"/>
      <c r="J90" s="40"/>
      <c r="K90" s="40"/>
      <c r="L90" s="40"/>
      <c r="M90" s="40"/>
      <c r="N90" s="40"/>
      <c r="O90" s="1"/>
      <c r="P90" s="2"/>
      <c r="Q90" s="2"/>
      <c r="R90" s="2"/>
      <c r="S90" s="2"/>
      <c r="T90" s="2"/>
      <c r="U90" s="2"/>
      <c r="V90" s="2"/>
      <c r="W90" s="2"/>
      <c r="X90" s="2"/>
      <c r="Y90" s="2"/>
      <c r="Z90" s="2"/>
      <c r="AA90" s="2"/>
      <c r="AB90" s="2"/>
      <c r="AC90" s="2"/>
    </row>
    <row r="91" spans="1:29" ht="17.399999999999999" x14ac:dyDescent="0.25">
      <c r="A91" s="1"/>
      <c r="B91" s="46" t="s">
        <v>16</v>
      </c>
      <c r="C91" s="40"/>
      <c r="D91" s="40"/>
      <c r="E91" s="40"/>
      <c r="F91" s="40"/>
      <c r="G91" s="40"/>
      <c r="H91" s="40"/>
      <c r="I91" s="40"/>
      <c r="J91" s="40"/>
      <c r="K91" s="40"/>
      <c r="L91" s="40"/>
      <c r="M91" s="40"/>
      <c r="N91" s="40"/>
      <c r="O91" s="1"/>
      <c r="P91" s="2"/>
      <c r="Q91" s="2"/>
      <c r="R91" s="2"/>
      <c r="S91" s="2"/>
      <c r="T91" s="2"/>
      <c r="U91" s="2"/>
      <c r="V91" s="2"/>
      <c r="W91" s="2"/>
      <c r="X91" s="2"/>
      <c r="Y91" s="2"/>
      <c r="Z91" s="2"/>
      <c r="AA91" s="2"/>
      <c r="AB91" s="2"/>
      <c r="AC91" s="2"/>
    </row>
    <row r="92" spans="1:29" ht="17.399999999999999" x14ac:dyDescent="0.25">
      <c r="A92" s="1"/>
      <c r="B92" s="40"/>
      <c r="C92" s="40"/>
      <c r="D92" s="40"/>
      <c r="E92" s="40"/>
      <c r="F92" s="40"/>
      <c r="G92" s="40"/>
      <c r="H92" s="40"/>
      <c r="I92" s="40"/>
      <c r="J92" s="40"/>
      <c r="K92" s="40"/>
      <c r="L92" s="40"/>
      <c r="M92" s="40"/>
      <c r="N92" s="40"/>
      <c r="O92" s="1"/>
      <c r="P92" s="2"/>
      <c r="Q92" s="2"/>
      <c r="R92" s="2"/>
      <c r="S92" s="2"/>
      <c r="T92" s="2"/>
      <c r="U92" s="2"/>
      <c r="V92" s="2"/>
      <c r="W92" s="2"/>
      <c r="X92" s="2"/>
      <c r="Y92" s="2"/>
      <c r="Z92" s="2"/>
      <c r="AA92" s="2"/>
      <c r="AB92" s="2"/>
      <c r="AC92" s="2"/>
    </row>
    <row r="93" spans="1:29" ht="17.399999999999999" x14ac:dyDescent="0.25">
      <c r="A93" s="1"/>
      <c r="B93" s="40"/>
      <c r="C93" s="40"/>
      <c r="D93" s="40"/>
      <c r="E93" s="40"/>
      <c r="F93" s="40"/>
      <c r="G93" s="40"/>
      <c r="H93" s="40"/>
      <c r="I93" s="40"/>
      <c r="J93" s="40"/>
      <c r="K93" s="40"/>
      <c r="L93" s="40"/>
      <c r="M93" s="40"/>
      <c r="N93" s="40"/>
      <c r="O93" s="1"/>
      <c r="P93" s="2"/>
      <c r="Q93" s="2"/>
      <c r="R93" s="2"/>
      <c r="S93" s="2"/>
      <c r="T93" s="2"/>
      <c r="U93" s="2"/>
      <c r="V93" s="2"/>
      <c r="W93" s="2"/>
      <c r="X93" s="2"/>
      <c r="Y93" s="2"/>
      <c r="Z93" s="2"/>
      <c r="AA93" s="2"/>
      <c r="AB93" s="2"/>
      <c r="AC93" s="2"/>
    </row>
    <row r="94" spans="1:29" ht="17.399999999999999" x14ac:dyDescent="0.25">
      <c r="A94" s="1"/>
      <c r="B94" s="40"/>
      <c r="C94" s="40"/>
      <c r="D94" s="40"/>
      <c r="E94" s="40"/>
      <c r="F94" s="40"/>
      <c r="G94" s="40"/>
      <c r="H94" s="40"/>
      <c r="I94" s="40"/>
      <c r="J94" s="40"/>
      <c r="K94" s="40"/>
      <c r="L94" s="40"/>
      <c r="M94" s="40"/>
      <c r="N94" s="40"/>
      <c r="O94" s="1"/>
      <c r="P94" s="2"/>
      <c r="Q94" s="2"/>
      <c r="R94" s="2"/>
      <c r="S94" s="2"/>
      <c r="T94" s="2"/>
      <c r="U94" s="2"/>
      <c r="V94" s="2"/>
      <c r="W94" s="2"/>
      <c r="X94" s="2"/>
      <c r="Y94" s="2"/>
      <c r="Z94" s="2"/>
      <c r="AA94" s="2"/>
      <c r="AB94" s="2"/>
      <c r="AC94" s="2"/>
    </row>
    <row r="95" spans="1:29" ht="17.399999999999999" x14ac:dyDescent="0.25">
      <c r="A95" s="1"/>
      <c r="B95" s="40"/>
      <c r="C95" s="40"/>
      <c r="D95" s="40"/>
      <c r="E95" s="40"/>
      <c r="F95" s="40"/>
      <c r="G95" s="40"/>
      <c r="H95" s="40"/>
      <c r="I95" s="40"/>
      <c r="J95" s="40"/>
      <c r="K95" s="40"/>
      <c r="L95" s="40"/>
      <c r="M95" s="40"/>
      <c r="N95" s="40"/>
      <c r="O95" s="1"/>
      <c r="P95" s="2"/>
      <c r="Q95" s="2"/>
      <c r="R95" s="2"/>
      <c r="S95" s="2"/>
      <c r="T95" s="2"/>
      <c r="U95" s="2"/>
      <c r="V95" s="2"/>
      <c r="W95" s="2"/>
      <c r="X95" s="2"/>
      <c r="Y95" s="2"/>
      <c r="Z95" s="2"/>
      <c r="AA95" s="2"/>
      <c r="AB95" s="2"/>
      <c r="AC95" s="2"/>
    </row>
    <row r="96" spans="1:29" ht="17.399999999999999" x14ac:dyDescent="0.25">
      <c r="A96" s="1"/>
      <c r="B96" s="40"/>
      <c r="C96" s="40"/>
      <c r="D96" s="40"/>
      <c r="E96" s="40"/>
      <c r="F96" s="40"/>
      <c r="G96" s="40"/>
      <c r="H96" s="40"/>
      <c r="I96" s="40"/>
      <c r="J96" s="40"/>
      <c r="K96" s="40"/>
      <c r="L96" s="40"/>
      <c r="M96" s="40"/>
      <c r="N96" s="40"/>
      <c r="O96" s="1"/>
      <c r="P96" s="2"/>
      <c r="Q96" s="2"/>
      <c r="R96" s="2"/>
      <c r="S96" s="2"/>
      <c r="T96" s="2"/>
      <c r="U96" s="2"/>
      <c r="V96" s="2"/>
      <c r="W96" s="2"/>
      <c r="X96" s="2"/>
      <c r="Y96" s="2"/>
      <c r="Z96" s="2"/>
      <c r="AA96" s="2"/>
      <c r="AB96" s="2"/>
      <c r="AC96" s="2"/>
    </row>
    <row r="97" spans="1:29" ht="17.399999999999999" x14ac:dyDescent="0.25">
      <c r="A97" s="1"/>
      <c r="B97" s="40"/>
      <c r="C97" s="40"/>
      <c r="D97" s="40"/>
      <c r="E97" s="40"/>
      <c r="F97" s="40"/>
      <c r="G97" s="40"/>
      <c r="H97" s="40"/>
      <c r="I97" s="40"/>
      <c r="J97" s="40"/>
      <c r="K97" s="40"/>
      <c r="L97" s="40"/>
      <c r="M97" s="40"/>
      <c r="N97" s="40"/>
      <c r="O97" s="1"/>
      <c r="P97" s="2"/>
      <c r="Q97" s="2"/>
      <c r="R97" s="2"/>
      <c r="S97" s="2"/>
      <c r="T97" s="2"/>
      <c r="U97" s="2"/>
      <c r="V97" s="2"/>
      <c r="W97" s="2"/>
      <c r="X97" s="2"/>
      <c r="Y97" s="2"/>
      <c r="Z97" s="2"/>
      <c r="AA97" s="2"/>
      <c r="AB97" s="2"/>
      <c r="AC97" s="2"/>
    </row>
    <row r="98" spans="1:29" ht="17.399999999999999" x14ac:dyDescent="0.25">
      <c r="A98" s="1"/>
      <c r="B98" s="40"/>
      <c r="C98" s="40"/>
      <c r="D98" s="40"/>
      <c r="E98" s="40"/>
      <c r="F98" s="40"/>
      <c r="G98" s="40"/>
      <c r="H98" s="40"/>
      <c r="I98" s="40"/>
      <c r="J98" s="40"/>
      <c r="K98" s="40"/>
      <c r="L98" s="40"/>
      <c r="M98" s="40"/>
      <c r="N98" s="40"/>
      <c r="O98" s="1"/>
      <c r="P98" s="2"/>
      <c r="Q98" s="2"/>
      <c r="R98" s="2"/>
      <c r="S98" s="2"/>
      <c r="T98" s="2"/>
      <c r="U98" s="2"/>
      <c r="V98" s="2"/>
      <c r="W98" s="2"/>
      <c r="X98" s="2"/>
      <c r="Y98" s="2"/>
      <c r="Z98" s="2"/>
      <c r="AA98" s="2"/>
      <c r="AB98" s="2"/>
      <c r="AC98" s="2"/>
    </row>
    <row r="99" spans="1:29" ht="17.399999999999999" x14ac:dyDescent="0.25">
      <c r="A99" s="1"/>
      <c r="B99" s="40"/>
      <c r="C99" s="40"/>
      <c r="D99" s="40"/>
      <c r="E99" s="40"/>
      <c r="F99" s="40"/>
      <c r="G99" s="40"/>
      <c r="H99" s="40"/>
      <c r="I99" s="40"/>
      <c r="J99" s="40"/>
      <c r="K99" s="40"/>
      <c r="L99" s="40"/>
      <c r="M99" s="40"/>
      <c r="N99" s="40"/>
      <c r="O99" s="1"/>
      <c r="P99" s="2"/>
      <c r="Q99" s="2"/>
      <c r="R99" s="2"/>
      <c r="S99" s="2"/>
      <c r="T99" s="2"/>
      <c r="U99" s="2"/>
      <c r="V99" s="2"/>
      <c r="W99" s="2"/>
      <c r="X99" s="2"/>
      <c r="Y99" s="2"/>
      <c r="Z99" s="2"/>
      <c r="AA99" s="2"/>
      <c r="AB99" s="2"/>
      <c r="AC99" s="2"/>
    </row>
    <row r="100" spans="1:29" ht="17.399999999999999" x14ac:dyDescent="0.25">
      <c r="A100" s="1"/>
      <c r="B100" s="40"/>
      <c r="C100" s="40"/>
      <c r="D100" s="40"/>
      <c r="E100" s="40"/>
      <c r="F100" s="40"/>
      <c r="G100" s="40"/>
      <c r="H100" s="40"/>
      <c r="I100" s="40"/>
      <c r="J100" s="40"/>
      <c r="K100" s="40"/>
      <c r="L100" s="40"/>
      <c r="M100" s="40"/>
      <c r="N100" s="40"/>
      <c r="O100" s="1"/>
      <c r="P100" s="2"/>
      <c r="Q100" s="2"/>
      <c r="R100" s="2"/>
      <c r="S100" s="2"/>
      <c r="T100" s="2"/>
      <c r="U100" s="2"/>
      <c r="V100" s="2"/>
      <c r="W100" s="2"/>
      <c r="X100" s="2"/>
      <c r="Y100" s="2"/>
      <c r="Z100" s="2"/>
      <c r="AA100" s="2"/>
      <c r="AB100" s="2"/>
      <c r="AC100" s="2"/>
    </row>
    <row r="101" spans="1:29" ht="17.399999999999999" x14ac:dyDescent="0.25">
      <c r="A101" s="1"/>
      <c r="B101" s="40"/>
      <c r="C101" s="40"/>
      <c r="D101" s="40"/>
      <c r="E101" s="40"/>
      <c r="F101" s="40"/>
      <c r="G101" s="40"/>
      <c r="H101" s="40"/>
      <c r="I101" s="40"/>
      <c r="J101" s="40"/>
      <c r="K101" s="40"/>
      <c r="L101" s="40"/>
      <c r="M101" s="40"/>
      <c r="N101" s="40"/>
      <c r="O101" s="1"/>
      <c r="P101" s="2"/>
      <c r="Q101" s="2"/>
      <c r="R101" s="2"/>
      <c r="S101" s="2"/>
      <c r="T101" s="2"/>
      <c r="U101" s="2"/>
      <c r="V101" s="2"/>
      <c r="W101" s="2"/>
      <c r="X101" s="2"/>
      <c r="Y101" s="2"/>
      <c r="Z101" s="2"/>
      <c r="AA101" s="2"/>
      <c r="AB101" s="2"/>
      <c r="AC101" s="2"/>
    </row>
    <row r="102" spans="1:29" ht="17.399999999999999" x14ac:dyDescent="0.25">
      <c r="A102" s="1"/>
      <c r="B102" s="40"/>
      <c r="C102" s="40"/>
      <c r="D102" s="40"/>
      <c r="E102" s="40"/>
      <c r="F102" s="40"/>
      <c r="G102" s="40"/>
      <c r="H102" s="40"/>
      <c r="I102" s="40"/>
      <c r="J102" s="40"/>
      <c r="K102" s="40"/>
      <c r="L102" s="40"/>
      <c r="M102" s="40"/>
      <c r="N102" s="40"/>
      <c r="O102" s="1"/>
      <c r="P102" s="2"/>
      <c r="Q102" s="2"/>
      <c r="R102" s="2"/>
      <c r="S102" s="2"/>
      <c r="T102" s="2"/>
      <c r="U102" s="2"/>
      <c r="V102" s="2"/>
      <c r="W102" s="2"/>
      <c r="X102" s="2"/>
      <c r="Y102" s="2"/>
      <c r="Z102" s="2"/>
      <c r="AA102" s="2"/>
      <c r="AB102" s="2"/>
      <c r="AC102" s="2"/>
    </row>
    <row r="103" spans="1:29" ht="17.399999999999999" x14ac:dyDescent="0.25">
      <c r="A103" s="1"/>
      <c r="B103" s="2"/>
      <c r="C103" s="2"/>
      <c r="D103" s="2"/>
      <c r="E103" s="2"/>
      <c r="F103" s="2"/>
      <c r="G103" s="2"/>
      <c r="H103" s="2"/>
      <c r="I103" s="2"/>
      <c r="J103" s="2"/>
      <c r="K103" s="2"/>
      <c r="L103" s="2"/>
      <c r="M103" s="2"/>
      <c r="N103" s="2"/>
      <c r="O103" s="1"/>
      <c r="P103" s="2"/>
      <c r="Q103" s="2"/>
      <c r="R103" s="2"/>
      <c r="S103" s="2"/>
      <c r="T103" s="2"/>
      <c r="U103" s="2"/>
      <c r="V103" s="2"/>
      <c r="W103" s="2"/>
      <c r="X103" s="2"/>
      <c r="Y103" s="2"/>
      <c r="Z103" s="2"/>
      <c r="AA103" s="2"/>
      <c r="AB103" s="2"/>
      <c r="AC103" s="2"/>
    </row>
    <row r="104" spans="1:29" ht="17.399999999999999" x14ac:dyDescent="0.25">
      <c r="A104" s="1"/>
      <c r="B104" s="2"/>
      <c r="C104" s="2"/>
      <c r="D104" s="2"/>
      <c r="E104" s="2"/>
      <c r="F104" s="2"/>
      <c r="G104" s="2"/>
      <c r="H104" s="2"/>
      <c r="I104" s="2"/>
      <c r="J104" s="2"/>
      <c r="K104" s="2"/>
      <c r="L104" s="2"/>
      <c r="M104" s="2"/>
      <c r="N104" s="2"/>
      <c r="O104" s="1"/>
      <c r="P104" s="2"/>
      <c r="Q104" s="2"/>
      <c r="R104" s="2"/>
      <c r="S104" s="2"/>
      <c r="T104" s="2"/>
      <c r="U104" s="2"/>
      <c r="V104" s="2"/>
      <c r="W104" s="2"/>
      <c r="X104" s="2"/>
      <c r="Y104" s="2"/>
      <c r="Z104" s="2"/>
      <c r="AA104" s="2"/>
      <c r="AB104" s="2"/>
      <c r="AC104" s="2"/>
    </row>
    <row r="105" spans="1:29" ht="17.399999999999999" x14ac:dyDescent="0.25">
      <c r="A105" s="1"/>
      <c r="B105" s="2"/>
      <c r="C105" s="2"/>
      <c r="D105" s="2"/>
      <c r="E105" s="2"/>
      <c r="F105" s="2"/>
      <c r="G105" s="2"/>
      <c r="H105" s="2"/>
      <c r="I105" s="2"/>
      <c r="J105" s="2"/>
      <c r="K105" s="2"/>
      <c r="L105" s="2"/>
      <c r="M105" s="2"/>
      <c r="N105" s="2"/>
      <c r="O105" s="1"/>
      <c r="P105" s="2"/>
      <c r="Q105" s="2"/>
      <c r="R105" s="2"/>
      <c r="S105" s="2"/>
      <c r="T105" s="2"/>
      <c r="U105" s="2"/>
      <c r="V105" s="2"/>
      <c r="W105" s="2"/>
      <c r="X105" s="2"/>
      <c r="Y105" s="2"/>
      <c r="Z105" s="2"/>
      <c r="AA105" s="2"/>
      <c r="AB105" s="2"/>
      <c r="AC105" s="2"/>
    </row>
    <row r="106" spans="1:29" ht="17.399999999999999" x14ac:dyDescent="0.25">
      <c r="A106" s="1"/>
      <c r="B106" s="2"/>
      <c r="C106" s="2"/>
      <c r="D106" s="2"/>
      <c r="E106" s="2"/>
      <c r="F106" s="2"/>
      <c r="G106" s="2"/>
      <c r="H106" s="2"/>
      <c r="I106" s="2"/>
      <c r="J106" s="2"/>
      <c r="K106" s="2"/>
      <c r="L106" s="2"/>
      <c r="M106" s="2"/>
      <c r="N106" s="2"/>
      <c r="O106" s="1"/>
      <c r="P106" s="2"/>
      <c r="Q106" s="2"/>
      <c r="R106" s="2"/>
      <c r="S106" s="2"/>
      <c r="T106" s="2"/>
      <c r="U106" s="2"/>
      <c r="V106" s="2"/>
      <c r="W106" s="2"/>
      <c r="X106" s="2"/>
      <c r="Y106" s="2"/>
      <c r="Z106" s="2"/>
      <c r="AA106" s="2"/>
      <c r="AB106" s="2"/>
      <c r="AC106" s="2"/>
    </row>
    <row r="107" spans="1:29" ht="17.399999999999999" x14ac:dyDescent="0.25">
      <c r="A107" s="1"/>
      <c r="B107" s="2"/>
      <c r="C107" s="2"/>
      <c r="D107" s="2"/>
      <c r="E107" s="2"/>
      <c r="F107" s="2"/>
      <c r="G107" s="2"/>
      <c r="H107" s="2"/>
      <c r="I107" s="2"/>
      <c r="J107" s="2"/>
      <c r="K107" s="2"/>
      <c r="L107" s="2"/>
      <c r="M107" s="2"/>
      <c r="N107" s="2"/>
      <c r="O107" s="1"/>
      <c r="P107" s="2"/>
      <c r="Q107" s="2"/>
      <c r="R107" s="2"/>
      <c r="S107" s="2"/>
      <c r="T107" s="2"/>
      <c r="U107" s="2"/>
      <c r="V107" s="2"/>
      <c r="W107" s="2"/>
      <c r="X107" s="2"/>
      <c r="Y107" s="2"/>
      <c r="Z107" s="2"/>
      <c r="AA107" s="2"/>
      <c r="AB107" s="2"/>
      <c r="AC107" s="2"/>
    </row>
    <row r="108" spans="1:29" ht="17.399999999999999" x14ac:dyDescent="0.25">
      <c r="A108" s="1"/>
      <c r="B108" s="2"/>
      <c r="C108" s="2"/>
      <c r="D108" s="2"/>
      <c r="E108" s="2"/>
      <c r="F108" s="2"/>
      <c r="G108" s="2"/>
      <c r="H108" s="2"/>
      <c r="I108" s="2"/>
      <c r="J108" s="2"/>
      <c r="K108" s="2"/>
      <c r="L108" s="2"/>
      <c r="M108" s="2"/>
      <c r="N108" s="2"/>
      <c r="O108" s="1"/>
      <c r="P108" s="2"/>
      <c r="Q108" s="2"/>
      <c r="R108" s="2"/>
      <c r="S108" s="2"/>
      <c r="T108" s="2"/>
      <c r="U108" s="2"/>
      <c r="V108" s="2"/>
      <c r="W108" s="2"/>
      <c r="X108" s="2"/>
      <c r="Y108" s="2"/>
      <c r="Z108" s="2"/>
      <c r="AA108" s="2"/>
      <c r="AB108" s="2"/>
      <c r="AC108" s="2"/>
    </row>
    <row r="109" spans="1:29" ht="17.399999999999999" x14ac:dyDescent="0.25">
      <c r="A109" s="1"/>
      <c r="B109" s="2"/>
      <c r="C109" s="2"/>
      <c r="D109" s="2"/>
      <c r="E109" s="2"/>
      <c r="F109" s="2"/>
      <c r="G109" s="2"/>
      <c r="H109" s="2"/>
      <c r="I109" s="2"/>
      <c r="J109" s="2"/>
      <c r="K109" s="2"/>
      <c r="L109" s="2"/>
      <c r="M109" s="2"/>
      <c r="N109" s="2"/>
      <c r="O109" s="1"/>
      <c r="P109" s="2"/>
      <c r="Q109" s="2"/>
      <c r="R109" s="2"/>
      <c r="S109" s="2"/>
      <c r="T109" s="2"/>
      <c r="U109" s="2"/>
      <c r="V109" s="2"/>
      <c r="W109" s="2"/>
      <c r="X109" s="2"/>
      <c r="Y109" s="2"/>
      <c r="Z109" s="2"/>
      <c r="AA109" s="2"/>
      <c r="AB109" s="2"/>
      <c r="AC109" s="2"/>
    </row>
    <row r="110" spans="1:29" ht="17.399999999999999" x14ac:dyDescent="0.25">
      <c r="A110" s="1"/>
      <c r="B110" s="2"/>
      <c r="C110" s="2"/>
      <c r="D110" s="2"/>
      <c r="E110" s="2"/>
      <c r="F110" s="2"/>
      <c r="G110" s="2"/>
      <c r="H110" s="2"/>
      <c r="I110" s="2"/>
      <c r="J110" s="2"/>
      <c r="K110" s="2"/>
      <c r="L110" s="2"/>
      <c r="M110" s="2"/>
      <c r="N110" s="2"/>
      <c r="O110" s="1"/>
      <c r="P110" s="2"/>
      <c r="Q110" s="2"/>
      <c r="R110" s="2"/>
      <c r="S110" s="2"/>
      <c r="T110" s="2"/>
      <c r="U110" s="2"/>
      <c r="V110" s="2"/>
      <c r="W110" s="2"/>
      <c r="X110" s="2"/>
      <c r="Y110" s="2"/>
      <c r="Z110" s="2"/>
      <c r="AA110" s="2"/>
      <c r="AB110" s="2"/>
      <c r="AC110" s="2"/>
    </row>
    <row r="111" spans="1:29" ht="17.399999999999999" x14ac:dyDescent="0.25">
      <c r="A111" s="1"/>
      <c r="B111" s="2"/>
      <c r="C111" s="2"/>
      <c r="D111" s="2"/>
      <c r="E111" s="2"/>
      <c r="F111" s="2"/>
      <c r="G111" s="2"/>
      <c r="H111" s="2"/>
      <c r="I111" s="2"/>
      <c r="J111" s="2"/>
      <c r="K111" s="2"/>
      <c r="L111" s="2"/>
      <c r="M111" s="2"/>
      <c r="N111" s="2"/>
      <c r="O111" s="1"/>
      <c r="P111" s="2"/>
      <c r="Q111" s="2"/>
      <c r="R111" s="2"/>
      <c r="S111" s="2"/>
      <c r="T111" s="2"/>
      <c r="U111" s="2"/>
      <c r="V111" s="2"/>
      <c r="W111" s="2"/>
      <c r="X111" s="2"/>
      <c r="Y111" s="2"/>
      <c r="Z111" s="2"/>
      <c r="AA111" s="2"/>
      <c r="AB111" s="2"/>
      <c r="AC111" s="2"/>
    </row>
    <row r="112" spans="1:29" ht="17.399999999999999" x14ac:dyDescent="0.25">
      <c r="A112" s="1"/>
      <c r="B112" s="2"/>
      <c r="C112" s="2"/>
      <c r="D112" s="2"/>
      <c r="E112" s="2"/>
      <c r="F112" s="2"/>
      <c r="G112" s="2"/>
      <c r="H112" s="2"/>
      <c r="I112" s="2"/>
      <c r="J112" s="2"/>
      <c r="K112" s="2"/>
      <c r="L112" s="2"/>
      <c r="M112" s="2"/>
      <c r="N112" s="2"/>
      <c r="O112" s="1"/>
      <c r="P112" s="2"/>
      <c r="Q112" s="2"/>
      <c r="R112" s="2"/>
      <c r="S112" s="2"/>
      <c r="T112" s="2"/>
      <c r="U112" s="2"/>
      <c r="V112" s="2"/>
      <c r="W112" s="2"/>
      <c r="X112" s="2"/>
      <c r="Y112" s="2"/>
      <c r="Z112" s="2"/>
      <c r="AA112" s="2"/>
      <c r="AB112" s="2"/>
      <c r="AC112" s="2"/>
    </row>
    <row r="113" spans="1:29" ht="17.399999999999999" x14ac:dyDescent="0.25">
      <c r="A113" s="1"/>
      <c r="B113" s="2"/>
      <c r="C113" s="2"/>
      <c r="D113" s="2"/>
      <c r="E113" s="2"/>
      <c r="F113" s="2"/>
      <c r="G113" s="2"/>
      <c r="H113" s="2"/>
      <c r="I113" s="2"/>
      <c r="J113" s="2"/>
      <c r="K113" s="2"/>
      <c r="L113" s="2"/>
      <c r="M113" s="2"/>
      <c r="N113" s="2"/>
      <c r="O113" s="1"/>
      <c r="P113" s="2"/>
      <c r="Q113" s="2"/>
      <c r="R113" s="2"/>
      <c r="S113" s="2"/>
      <c r="T113" s="2"/>
      <c r="U113" s="2"/>
      <c r="V113" s="2"/>
      <c r="W113" s="2"/>
      <c r="X113" s="2"/>
      <c r="Y113" s="2"/>
      <c r="Z113" s="2"/>
      <c r="AA113" s="2"/>
      <c r="AB113" s="2"/>
      <c r="AC113" s="2"/>
    </row>
    <row r="114" spans="1:29" ht="17.399999999999999" x14ac:dyDescent="0.25">
      <c r="A114" s="1"/>
      <c r="B114" s="2"/>
      <c r="C114" s="2"/>
      <c r="D114" s="2"/>
      <c r="E114" s="2"/>
      <c r="F114" s="2"/>
      <c r="G114" s="2"/>
      <c r="H114" s="2"/>
      <c r="I114" s="2"/>
      <c r="J114" s="2"/>
      <c r="K114" s="2"/>
      <c r="L114" s="2"/>
      <c r="M114" s="2"/>
      <c r="N114" s="2"/>
      <c r="O114" s="1"/>
      <c r="P114" s="2"/>
      <c r="Q114" s="2"/>
      <c r="R114" s="2"/>
      <c r="S114" s="2"/>
      <c r="T114" s="2"/>
      <c r="U114" s="2"/>
      <c r="V114" s="2"/>
      <c r="W114" s="2"/>
      <c r="X114" s="2"/>
      <c r="Y114" s="2"/>
      <c r="Z114" s="2"/>
      <c r="AA114" s="2"/>
      <c r="AB114" s="2"/>
      <c r="AC114" s="2"/>
    </row>
    <row r="115" spans="1:29" ht="17.399999999999999" x14ac:dyDescent="0.25">
      <c r="A115" s="1"/>
      <c r="B115" s="2"/>
      <c r="C115" s="2"/>
      <c r="D115" s="2"/>
      <c r="E115" s="2"/>
      <c r="F115" s="2"/>
      <c r="G115" s="2"/>
      <c r="H115" s="2"/>
      <c r="I115" s="2"/>
      <c r="J115" s="2"/>
      <c r="K115" s="2"/>
      <c r="L115" s="2"/>
      <c r="M115" s="2"/>
      <c r="N115" s="2"/>
      <c r="O115" s="1"/>
      <c r="P115" s="2"/>
      <c r="Q115" s="2"/>
      <c r="R115" s="2"/>
      <c r="S115" s="2"/>
      <c r="T115" s="2"/>
      <c r="U115" s="2"/>
      <c r="V115" s="2"/>
      <c r="W115" s="2"/>
      <c r="X115" s="2"/>
      <c r="Y115" s="2"/>
      <c r="Z115" s="2"/>
      <c r="AA115" s="2"/>
      <c r="AB115" s="2"/>
      <c r="AC115" s="2"/>
    </row>
    <row r="116" spans="1:29" ht="17.399999999999999" x14ac:dyDescent="0.25">
      <c r="A116" s="1"/>
      <c r="B116" s="2"/>
      <c r="C116" s="2"/>
      <c r="D116" s="2"/>
      <c r="E116" s="2"/>
      <c r="F116" s="2"/>
      <c r="G116" s="2"/>
      <c r="H116" s="2"/>
      <c r="I116" s="2"/>
      <c r="J116" s="2"/>
      <c r="K116" s="2"/>
      <c r="L116" s="2"/>
      <c r="M116" s="2"/>
      <c r="N116" s="2"/>
      <c r="O116" s="1"/>
      <c r="P116" s="2"/>
      <c r="Q116" s="2"/>
      <c r="R116" s="2"/>
      <c r="S116" s="2"/>
      <c r="T116" s="2"/>
      <c r="U116" s="2"/>
      <c r="V116" s="2"/>
      <c r="W116" s="2"/>
      <c r="X116" s="2"/>
      <c r="Y116" s="2"/>
      <c r="Z116" s="2"/>
      <c r="AA116" s="2"/>
      <c r="AB116" s="2"/>
      <c r="AC116" s="2"/>
    </row>
    <row r="117" spans="1:29" ht="17.399999999999999" x14ac:dyDescent="0.25">
      <c r="A117" s="1"/>
      <c r="B117" s="2"/>
      <c r="C117" s="2"/>
      <c r="D117" s="2"/>
      <c r="E117" s="2"/>
      <c r="F117" s="2"/>
      <c r="G117" s="2"/>
      <c r="H117" s="2"/>
      <c r="I117" s="2"/>
      <c r="J117" s="2"/>
      <c r="K117" s="2"/>
      <c r="L117" s="2"/>
      <c r="M117" s="2"/>
      <c r="N117" s="2"/>
      <c r="O117" s="1"/>
      <c r="P117" s="2"/>
      <c r="Q117" s="2"/>
      <c r="R117" s="2"/>
      <c r="S117" s="2"/>
      <c r="T117" s="2"/>
      <c r="U117" s="2"/>
      <c r="V117" s="2"/>
      <c r="W117" s="2"/>
      <c r="X117" s="2"/>
      <c r="Y117" s="2"/>
      <c r="Z117" s="2"/>
      <c r="AA117" s="2"/>
      <c r="AB117" s="2"/>
      <c r="AC117" s="2"/>
    </row>
    <row r="118" spans="1:29" ht="17.399999999999999" x14ac:dyDescent="0.25">
      <c r="A118" s="1"/>
      <c r="B118" s="2"/>
      <c r="C118" s="2"/>
      <c r="D118" s="2"/>
      <c r="E118" s="2"/>
      <c r="F118" s="2"/>
      <c r="G118" s="2"/>
      <c r="H118" s="2"/>
      <c r="I118" s="2"/>
      <c r="J118" s="2"/>
      <c r="K118" s="2"/>
      <c r="L118" s="2"/>
      <c r="M118" s="2"/>
      <c r="N118" s="2"/>
      <c r="O118" s="1"/>
      <c r="P118" s="2"/>
      <c r="Q118" s="2"/>
      <c r="R118" s="2"/>
      <c r="S118" s="2"/>
      <c r="T118" s="2"/>
      <c r="U118" s="2"/>
      <c r="V118" s="2"/>
      <c r="W118" s="2"/>
      <c r="X118" s="2"/>
      <c r="Y118" s="2"/>
      <c r="Z118" s="2"/>
      <c r="AA118" s="2"/>
      <c r="AB118" s="2"/>
      <c r="AC118" s="2"/>
    </row>
    <row r="119" spans="1:29" ht="17.399999999999999" x14ac:dyDescent="0.25">
      <c r="A119" s="1"/>
      <c r="B119" s="2"/>
      <c r="C119" s="2"/>
      <c r="D119" s="2"/>
      <c r="E119" s="2"/>
      <c r="F119" s="2"/>
      <c r="G119" s="2"/>
      <c r="H119" s="2"/>
      <c r="I119" s="2"/>
      <c r="J119" s="2"/>
      <c r="K119" s="2"/>
      <c r="L119" s="2"/>
      <c r="M119" s="2"/>
      <c r="N119" s="2"/>
      <c r="O119" s="1"/>
      <c r="P119" s="2"/>
      <c r="Q119" s="2"/>
      <c r="R119" s="2"/>
      <c r="S119" s="2"/>
      <c r="T119" s="2"/>
      <c r="U119" s="2"/>
      <c r="V119" s="2"/>
      <c r="W119" s="2"/>
      <c r="X119" s="2"/>
      <c r="Y119" s="2"/>
      <c r="Z119" s="2"/>
      <c r="AA119" s="2"/>
      <c r="AB119" s="2"/>
      <c r="AC119" s="2"/>
    </row>
    <row r="120" spans="1:29" ht="17.399999999999999" x14ac:dyDescent="0.25">
      <c r="A120" s="1"/>
      <c r="B120" s="2"/>
      <c r="C120" s="2"/>
      <c r="D120" s="2"/>
      <c r="E120" s="2"/>
      <c r="F120" s="2"/>
      <c r="G120" s="2"/>
      <c r="H120" s="2"/>
      <c r="I120" s="2"/>
      <c r="J120" s="2"/>
      <c r="K120" s="2"/>
      <c r="L120" s="2"/>
      <c r="M120" s="2"/>
      <c r="N120" s="2"/>
      <c r="O120" s="1"/>
      <c r="P120" s="2"/>
      <c r="Q120" s="2"/>
      <c r="R120" s="2"/>
      <c r="S120" s="2"/>
      <c r="T120" s="2"/>
      <c r="U120" s="2"/>
      <c r="V120" s="2"/>
      <c r="W120" s="2"/>
      <c r="X120" s="2"/>
      <c r="Y120" s="2"/>
      <c r="Z120" s="2"/>
      <c r="AA120" s="2"/>
      <c r="AB120" s="2"/>
      <c r="AC120" s="2"/>
    </row>
    <row r="121" spans="1:29" ht="17.399999999999999" x14ac:dyDescent="0.25">
      <c r="A121" s="1"/>
      <c r="B121" s="2"/>
      <c r="C121" s="2"/>
      <c r="D121" s="2"/>
      <c r="E121" s="2"/>
      <c r="F121" s="2"/>
      <c r="G121" s="2"/>
      <c r="H121" s="2"/>
      <c r="I121" s="2"/>
      <c r="J121" s="2"/>
      <c r="K121" s="2"/>
      <c r="L121" s="2"/>
      <c r="M121" s="2"/>
      <c r="N121" s="2"/>
      <c r="O121" s="1"/>
      <c r="P121" s="2"/>
      <c r="Q121" s="2"/>
      <c r="R121" s="2"/>
      <c r="S121" s="2"/>
      <c r="T121" s="2"/>
      <c r="U121" s="2"/>
      <c r="V121" s="2"/>
      <c r="W121" s="2"/>
      <c r="X121" s="2"/>
      <c r="Y121" s="2"/>
      <c r="Z121" s="2"/>
      <c r="AA121" s="2"/>
      <c r="AB121" s="2"/>
      <c r="AC121" s="2"/>
    </row>
    <row r="122" spans="1:29" ht="17.399999999999999" x14ac:dyDescent="0.25">
      <c r="A122" s="1"/>
      <c r="B122" s="2"/>
      <c r="C122" s="2"/>
      <c r="D122" s="2"/>
      <c r="E122" s="2"/>
      <c r="F122" s="2"/>
      <c r="G122" s="2"/>
      <c r="H122" s="2"/>
      <c r="I122" s="2"/>
      <c r="J122" s="2"/>
      <c r="K122" s="2"/>
      <c r="L122" s="2"/>
      <c r="M122" s="2"/>
      <c r="N122" s="2"/>
      <c r="O122" s="1"/>
      <c r="P122" s="2"/>
      <c r="Q122" s="2"/>
      <c r="R122" s="2"/>
      <c r="S122" s="2"/>
      <c r="T122" s="2"/>
      <c r="U122" s="2"/>
      <c r="V122" s="2"/>
      <c r="W122" s="2"/>
      <c r="X122" s="2"/>
      <c r="Y122" s="2"/>
      <c r="Z122" s="2"/>
      <c r="AA122" s="2"/>
      <c r="AB122" s="2"/>
      <c r="AC122" s="2"/>
    </row>
    <row r="123" spans="1:29" ht="17.399999999999999" x14ac:dyDescent="0.25">
      <c r="A123" s="1"/>
      <c r="B123" s="2"/>
      <c r="C123" s="2"/>
      <c r="D123" s="2"/>
      <c r="E123" s="2"/>
      <c r="F123" s="2"/>
      <c r="G123" s="2"/>
      <c r="H123" s="2"/>
      <c r="I123" s="2"/>
      <c r="J123" s="2"/>
      <c r="K123" s="2"/>
      <c r="L123" s="2"/>
      <c r="M123" s="2"/>
      <c r="N123" s="2"/>
      <c r="O123" s="1"/>
      <c r="P123" s="2"/>
      <c r="Q123" s="2"/>
      <c r="R123" s="2"/>
      <c r="S123" s="2"/>
      <c r="T123" s="2"/>
      <c r="U123" s="2"/>
      <c r="V123" s="2"/>
      <c r="W123" s="2"/>
      <c r="X123" s="2"/>
      <c r="Y123" s="2"/>
      <c r="Z123" s="2"/>
      <c r="AA123" s="2"/>
      <c r="AB123" s="2"/>
      <c r="AC123" s="2"/>
    </row>
    <row r="124" spans="1:29" ht="17.399999999999999" x14ac:dyDescent="0.25">
      <c r="A124" s="1"/>
      <c r="B124" s="2"/>
      <c r="C124" s="2"/>
      <c r="D124" s="2"/>
      <c r="E124" s="2"/>
      <c r="F124" s="2"/>
      <c r="G124" s="2"/>
      <c r="H124" s="2"/>
      <c r="I124" s="2"/>
      <c r="J124" s="2"/>
      <c r="K124" s="2"/>
      <c r="L124" s="2"/>
      <c r="M124" s="2"/>
      <c r="N124" s="2"/>
      <c r="O124" s="1"/>
      <c r="P124" s="2"/>
      <c r="Q124" s="2"/>
      <c r="R124" s="2"/>
      <c r="S124" s="2"/>
      <c r="T124" s="2"/>
      <c r="U124" s="2"/>
      <c r="V124" s="2"/>
      <c r="W124" s="2"/>
      <c r="X124" s="2"/>
      <c r="Y124" s="2"/>
      <c r="Z124" s="2"/>
      <c r="AA124" s="2"/>
      <c r="AB124" s="2"/>
      <c r="AC124" s="2"/>
    </row>
    <row r="125" spans="1:29" ht="17.399999999999999" x14ac:dyDescent="0.25">
      <c r="A125" s="1"/>
      <c r="B125" s="2"/>
      <c r="C125" s="2"/>
      <c r="D125" s="2"/>
      <c r="E125" s="2"/>
      <c r="F125" s="2"/>
      <c r="G125" s="2"/>
      <c r="H125" s="2"/>
      <c r="I125" s="2"/>
      <c r="J125" s="2"/>
      <c r="K125" s="2"/>
      <c r="L125" s="2"/>
      <c r="M125" s="2"/>
      <c r="N125" s="2"/>
      <c r="O125" s="1"/>
      <c r="P125" s="2"/>
      <c r="Q125" s="2"/>
      <c r="R125" s="2"/>
      <c r="S125" s="2"/>
      <c r="T125" s="2"/>
      <c r="U125" s="2"/>
      <c r="V125" s="2"/>
      <c r="W125" s="2"/>
      <c r="X125" s="2"/>
      <c r="Y125" s="2"/>
      <c r="Z125" s="2"/>
      <c r="AA125" s="2"/>
      <c r="AB125" s="2"/>
      <c r="AC125" s="2"/>
    </row>
    <row r="126" spans="1:29" ht="17.399999999999999" x14ac:dyDescent="0.25">
      <c r="A126" s="1"/>
      <c r="B126" s="2"/>
      <c r="C126" s="2"/>
      <c r="D126" s="2"/>
      <c r="E126" s="2"/>
      <c r="F126" s="2"/>
      <c r="G126" s="2"/>
      <c r="H126" s="2"/>
      <c r="I126" s="2"/>
      <c r="J126" s="2"/>
      <c r="K126" s="2"/>
      <c r="L126" s="2"/>
      <c r="M126" s="2"/>
      <c r="N126" s="2"/>
      <c r="O126" s="1"/>
      <c r="P126" s="2"/>
      <c r="Q126" s="2"/>
      <c r="R126" s="2"/>
      <c r="S126" s="2"/>
      <c r="T126" s="2"/>
      <c r="U126" s="2"/>
      <c r="V126" s="2"/>
      <c r="W126" s="2"/>
      <c r="X126" s="2"/>
      <c r="Y126" s="2"/>
      <c r="Z126" s="2"/>
      <c r="AA126" s="2"/>
      <c r="AB126" s="2"/>
      <c r="AC126" s="2"/>
    </row>
    <row r="127" spans="1:29" ht="17.399999999999999" x14ac:dyDescent="0.25">
      <c r="A127" s="1"/>
      <c r="B127" s="2"/>
      <c r="C127" s="2"/>
      <c r="D127" s="2"/>
      <c r="E127" s="2"/>
      <c r="F127" s="2"/>
      <c r="G127" s="2"/>
      <c r="H127" s="2"/>
      <c r="I127" s="2"/>
      <c r="J127" s="2"/>
      <c r="K127" s="2"/>
      <c r="L127" s="2"/>
      <c r="M127" s="2"/>
      <c r="N127" s="2"/>
      <c r="O127" s="1"/>
      <c r="P127" s="2"/>
      <c r="Q127" s="2"/>
      <c r="R127" s="2"/>
      <c r="S127" s="2"/>
      <c r="T127" s="2"/>
      <c r="U127" s="2"/>
      <c r="V127" s="2"/>
      <c r="W127" s="2"/>
      <c r="X127" s="2"/>
      <c r="Y127" s="2"/>
      <c r="Z127" s="2"/>
      <c r="AA127" s="2"/>
      <c r="AB127" s="2"/>
      <c r="AC127" s="2"/>
    </row>
    <row r="128" spans="1:29" ht="17.399999999999999" x14ac:dyDescent="0.25">
      <c r="A128" s="1"/>
      <c r="B128" s="2"/>
      <c r="C128" s="2"/>
      <c r="D128" s="2"/>
      <c r="E128" s="2"/>
      <c r="F128" s="2"/>
      <c r="G128" s="2"/>
      <c r="H128" s="2"/>
      <c r="I128" s="2"/>
      <c r="J128" s="2"/>
      <c r="K128" s="2"/>
      <c r="L128" s="2"/>
      <c r="M128" s="2"/>
      <c r="N128" s="2"/>
      <c r="O128" s="1"/>
      <c r="P128" s="2"/>
      <c r="Q128" s="2"/>
      <c r="R128" s="2"/>
      <c r="S128" s="2"/>
      <c r="T128" s="2"/>
      <c r="U128" s="2"/>
      <c r="V128" s="2"/>
      <c r="W128" s="2"/>
      <c r="X128" s="2"/>
      <c r="Y128" s="2"/>
      <c r="Z128" s="2"/>
      <c r="AA128" s="2"/>
      <c r="AB128" s="2"/>
      <c r="AC128" s="2"/>
    </row>
    <row r="129" spans="1:29" ht="17.399999999999999" x14ac:dyDescent="0.25">
      <c r="A129" s="1"/>
      <c r="B129" s="2"/>
      <c r="C129" s="2"/>
      <c r="D129" s="2"/>
      <c r="E129" s="2"/>
      <c r="F129" s="2"/>
      <c r="G129" s="2"/>
      <c r="H129" s="2"/>
      <c r="I129" s="2"/>
      <c r="J129" s="2"/>
      <c r="K129" s="2"/>
      <c r="L129" s="2"/>
      <c r="M129" s="2"/>
      <c r="N129" s="2"/>
      <c r="O129" s="1"/>
      <c r="P129" s="2"/>
      <c r="Q129" s="2"/>
      <c r="R129" s="2"/>
      <c r="S129" s="2"/>
      <c r="T129" s="2"/>
      <c r="U129" s="2"/>
      <c r="V129" s="2"/>
      <c r="W129" s="2"/>
      <c r="X129" s="2"/>
      <c r="Y129" s="2"/>
      <c r="Z129" s="2"/>
      <c r="AA129" s="2"/>
      <c r="AB129" s="2"/>
      <c r="AC129" s="2"/>
    </row>
    <row r="130" spans="1:29" ht="17.399999999999999" x14ac:dyDescent="0.25">
      <c r="A130" s="1"/>
      <c r="B130" s="2"/>
      <c r="C130" s="2"/>
      <c r="D130" s="2"/>
      <c r="E130" s="2"/>
      <c r="F130" s="2"/>
      <c r="G130" s="2"/>
      <c r="H130" s="2"/>
      <c r="I130" s="2"/>
      <c r="J130" s="2"/>
      <c r="K130" s="2"/>
      <c r="L130" s="2"/>
      <c r="M130" s="2"/>
      <c r="N130" s="2"/>
      <c r="O130" s="1"/>
      <c r="P130" s="2"/>
      <c r="Q130" s="2"/>
      <c r="R130" s="2"/>
      <c r="S130" s="2"/>
      <c r="T130" s="2"/>
      <c r="U130" s="2"/>
      <c r="V130" s="2"/>
      <c r="W130" s="2"/>
      <c r="X130" s="2"/>
      <c r="Y130" s="2"/>
      <c r="Z130" s="2"/>
      <c r="AA130" s="2"/>
      <c r="AB130" s="2"/>
      <c r="AC130" s="2"/>
    </row>
    <row r="131" spans="1:29" ht="17.399999999999999" x14ac:dyDescent="0.25">
      <c r="A131" s="1"/>
      <c r="B131" s="2"/>
      <c r="C131" s="2"/>
      <c r="D131" s="2"/>
      <c r="E131" s="2"/>
      <c r="F131" s="2"/>
      <c r="G131" s="2"/>
      <c r="H131" s="2"/>
      <c r="I131" s="2"/>
      <c r="J131" s="2"/>
      <c r="K131" s="2"/>
      <c r="L131" s="2"/>
      <c r="M131" s="2"/>
      <c r="N131" s="2"/>
      <c r="O131" s="1"/>
      <c r="P131" s="2"/>
      <c r="Q131" s="2"/>
      <c r="R131" s="2"/>
      <c r="S131" s="2"/>
      <c r="T131" s="2"/>
      <c r="U131" s="2"/>
      <c r="V131" s="2"/>
      <c r="W131" s="2"/>
      <c r="X131" s="2"/>
      <c r="Y131" s="2"/>
      <c r="Z131" s="2"/>
      <c r="AA131" s="2"/>
      <c r="AB131" s="2"/>
      <c r="AC131" s="2"/>
    </row>
    <row r="132" spans="1:29" ht="17.399999999999999" x14ac:dyDescent="0.25">
      <c r="A132" s="1"/>
      <c r="B132" s="2"/>
      <c r="C132" s="2"/>
      <c r="D132" s="2"/>
      <c r="E132" s="2"/>
      <c r="F132" s="2"/>
      <c r="G132" s="2"/>
      <c r="H132" s="2"/>
      <c r="I132" s="2"/>
      <c r="J132" s="2"/>
      <c r="K132" s="2"/>
      <c r="L132" s="2"/>
      <c r="M132" s="2"/>
      <c r="N132" s="2"/>
      <c r="O132" s="1"/>
      <c r="P132" s="2"/>
      <c r="Q132" s="2"/>
      <c r="R132" s="2"/>
      <c r="S132" s="2"/>
      <c r="T132" s="2"/>
      <c r="U132" s="2"/>
      <c r="V132" s="2"/>
      <c r="W132" s="2"/>
      <c r="X132" s="2"/>
      <c r="Y132" s="2"/>
      <c r="Z132" s="2"/>
      <c r="AA132" s="2"/>
      <c r="AB132" s="2"/>
      <c r="AC132" s="2"/>
    </row>
    <row r="133" spans="1:29" ht="17.399999999999999" x14ac:dyDescent="0.25">
      <c r="A133" s="1"/>
      <c r="B133" s="2"/>
      <c r="C133" s="2"/>
      <c r="D133" s="2"/>
      <c r="E133" s="2"/>
      <c r="F133" s="2"/>
      <c r="G133" s="2"/>
      <c r="H133" s="2"/>
      <c r="I133" s="2"/>
      <c r="J133" s="2"/>
      <c r="K133" s="2"/>
      <c r="L133" s="2"/>
      <c r="M133" s="2"/>
      <c r="N133" s="2"/>
      <c r="O133" s="1"/>
      <c r="P133" s="2"/>
      <c r="Q133" s="2"/>
      <c r="R133" s="2"/>
      <c r="S133" s="2"/>
      <c r="T133" s="2"/>
      <c r="U133" s="2"/>
      <c r="V133" s="2"/>
      <c r="W133" s="2"/>
      <c r="X133" s="2"/>
      <c r="Y133" s="2"/>
      <c r="Z133" s="2"/>
      <c r="AA133" s="2"/>
      <c r="AB133" s="2"/>
      <c r="AC133" s="2"/>
    </row>
    <row r="134" spans="1:29" ht="17.399999999999999" x14ac:dyDescent="0.25">
      <c r="A134" s="1"/>
      <c r="B134" s="2"/>
      <c r="C134" s="2"/>
      <c r="D134" s="2"/>
      <c r="E134" s="2"/>
      <c r="F134" s="2"/>
      <c r="G134" s="2"/>
      <c r="H134" s="2"/>
      <c r="I134" s="2"/>
      <c r="J134" s="2"/>
      <c r="K134" s="2"/>
      <c r="L134" s="2"/>
      <c r="M134" s="2"/>
      <c r="N134" s="2"/>
      <c r="O134" s="1"/>
      <c r="P134" s="2"/>
      <c r="Q134" s="2"/>
      <c r="R134" s="2"/>
      <c r="S134" s="2"/>
      <c r="T134" s="2"/>
      <c r="U134" s="2"/>
      <c r="V134" s="2"/>
      <c r="W134" s="2"/>
      <c r="X134" s="2"/>
      <c r="Y134" s="2"/>
      <c r="Z134" s="2"/>
      <c r="AA134" s="2"/>
      <c r="AB134" s="2"/>
      <c r="AC134" s="2"/>
    </row>
    <row r="135" spans="1:29" ht="17.399999999999999" x14ac:dyDescent="0.25">
      <c r="A135" s="1"/>
      <c r="B135" s="2"/>
      <c r="C135" s="2"/>
      <c r="D135" s="2"/>
      <c r="E135" s="2"/>
      <c r="F135" s="2"/>
      <c r="G135" s="2"/>
      <c r="H135" s="2"/>
      <c r="I135" s="2"/>
      <c r="J135" s="2"/>
      <c r="K135" s="2"/>
      <c r="L135" s="2"/>
      <c r="M135" s="2"/>
      <c r="N135" s="2"/>
      <c r="O135" s="1"/>
      <c r="P135" s="2"/>
      <c r="Q135" s="2"/>
      <c r="R135" s="2"/>
      <c r="S135" s="2"/>
      <c r="T135" s="2"/>
      <c r="U135" s="2"/>
      <c r="V135" s="2"/>
      <c r="W135" s="2"/>
      <c r="X135" s="2"/>
      <c r="Y135" s="2"/>
      <c r="Z135" s="2"/>
      <c r="AA135" s="2"/>
      <c r="AB135" s="2"/>
      <c r="AC135" s="2"/>
    </row>
    <row r="136" spans="1:29" ht="17.399999999999999" x14ac:dyDescent="0.25">
      <c r="A136" s="1"/>
      <c r="B136" s="2"/>
      <c r="C136" s="2"/>
      <c r="D136" s="2"/>
      <c r="E136" s="2"/>
      <c r="F136" s="2"/>
      <c r="G136" s="2"/>
      <c r="H136" s="2"/>
      <c r="I136" s="2"/>
      <c r="J136" s="2"/>
      <c r="K136" s="2"/>
      <c r="L136" s="2"/>
      <c r="M136" s="2"/>
      <c r="N136" s="2"/>
      <c r="O136" s="1"/>
      <c r="P136" s="2"/>
      <c r="Q136" s="2"/>
      <c r="R136" s="2"/>
      <c r="S136" s="2"/>
      <c r="T136" s="2"/>
      <c r="U136" s="2"/>
      <c r="V136" s="2"/>
      <c r="W136" s="2"/>
      <c r="X136" s="2"/>
      <c r="Y136" s="2"/>
      <c r="Z136" s="2"/>
      <c r="AA136" s="2"/>
      <c r="AB136" s="2"/>
      <c r="AC136" s="2"/>
    </row>
    <row r="137" spans="1:29" ht="17.399999999999999" x14ac:dyDescent="0.25">
      <c r="A137" s="1"/>
      <c r="B137" s="2"/>
      <c r="C137" s="2"/>
      <c r="D137" s="2"/>
      <c r="E137" s="2"/>
      <c r="F137" s="2"/>
      <c r="G137" s="2"/>
      <c r="H137" s="2"/>
      <c r="I137" s="2"/>
      <c r="J137" s="2"/>
      <c r="K137" s="2"/>
      <c r="L137" s="2"/>
      <c r="M137" s="2"/>
      <c r="N137" s="2"/>
      <c r="O137" s="1"/>
      <c r="P137" s="2"/>
      <c r="Q137" s="2"/>
      <c r="R137" s="2"/>
      <c r="S137" s="2"/>
      <c r="T137" s="2"/>
      <c r="U137" s="2"/>
      <c r="V137" s="2"/>
      <c r="W137" s="2"/>
      <c r="X137" s="2"/>
      <c r="Y137" s="2"/>
      <c r="Z137" s="2"/>
      <c r="AA137" s="2"/>
      <c r="AB137" s="2"/>
      <c r="AC137" s="2"/>
    </row>
    <row r="138" spans="1:29" ht="17.399999999999999" x14ac:dyDescent="0.25">
      <c r="A138" s="1"/>
      <c r="B138" s="2"/>
      <c r="C138" s="2"/>
      <c r="D138" s="2"/>
      <c r="E138" s="2"/>
      <c r="F138" s="2"/>
      <c r="G138" s="2"/>
      <c r="H138" s="2"/>
      <c r="I138" s="2"/>
      <c r="J138" s="2"/>
      <c r="K138" s="2"/>
      <c r="L138" s="2"/>
      <c r="M138" s="2"/>
      <c r="N138" s="2"/>
      <c r="O138" s="1"/>
      <c r="P138" s="2"/>
      <c r="Q138" s="2"/>
      <c r="R138" s="2"/>
      <c r="S138" s="2"/>
      <c r="T138" s="2"/>
      <c r="U138" s="2"/>
      <c r="V138" s="2"/>
      <c r="W138" s="2"/>
      <c r="X138" s="2"/>
      <c r="Y138" s="2"/>
      <c r="Z138" s="2"/>
      <c r="AA138" s="2"/>
      <c r="AB138" s="2"/>
      <c r="AC138" s="2"/>
    </row>
    <row r="139" spans="1:29" ht="17.399999999999999" x14ac:dyDescent="0.25">
      <c r="A139" s="1"/>
      <c r="B139" s="2"/>
      <c r="C139" s="2"/>
      <c r="D139" s="2"/>
      <c r="E139" s="2"/>
      <c r="F139" s="2"/>
      <c r="G139" s="2"/>
      <c r="H139" s="2"/>
      <c r="I139" s="2"/>
      <c r="J139" s="2"/>
      <c r="K139" s="2"/>
      <c r="L139" s="2"/>
      <c r="M139" s="2"/>
      <c r="N139" s="2"/>
      <c r="O139" s="1"/>
      <c r="P139" s="2"/>
      <c r="Q139" s="2"/>
      <c r="R139" s="2"/>
      <c r="S139" s="2"/>
      <c r="T139" s="2"/>
      <c r="U139" s="2"/>
      <c r="V139" s="2"/>
      <c r="W139" s="2"/>
      <c r="X139" s="2"/>
      <c r="Y139" s="2"/>
      <c r="Z139" s="2"/>
      <c r="AA139" s="2"/>
      <c r="AB139" s="2"/>
      <c r="AC139" s="2"/>
    </row>
    <row r="140" spans="1:29" ht="17.399999999999999" x14ac:dyDescent="0.25">
      <c r="A140" s="1"/>
      <c r="B140" s="2"/>
      <c r="C140" s="2"/>
      <c r="D140" s="2"/>
      <c r="E140" s="2"/>
      <c r="F140" s="2"/>
      <c r="G140" s="2"/>
      <c r="H140" s="2"/>
      <c r="I140" s="2"/>
      <c r="J140" s="2"/>
      <c r="K140" s="2"/>
      <c r="L140" s="2"/>
      <c r="M140" s="2"/>
      <c r="N140" s="2"/>
      <c r="O140" s="1"/>
      <c r="P140" s="2"/>
      <c r="Q140" s="2"/>
      <c r="R140" s="2"/>
      <c r="S140" s="2"/>
      <c r="T140" s="2"/>
      <c r="U140" s="2"/>
      <c r="V140" s="2"/>
      <c r="W140" s="2"/>
      <c r="X140" s="2"/>
      <c r="Y140" s="2"/>
      <c r="Z140" s="2"/>
      <c r="AA140" s="2"/>
      <c r="AB140" s="2"/>
      <c r="AC140" s="2"/>
    </row>
    <row r="141" spans="1:29" ht="17.399999999999999" x14ac:dyDescent="0.25">
      <c r="A141" s="1"/>
      <c r="B141" s="2"/>
      <c r="C141" s="2"/>
      <c r="D141" s="2"/>
      <c r="E141" s="2"/>
      <c r="F141" s="2"/>
      <c r="G141" s="2"/>
      <c r="H141" s="2"/>
      <c r="I141" s="2"/>
      <c r="J141" s="2"/>
      <c r="K141" s="2"/>
      <c r="L141" s="2"/>
      <c r="M141" s="2"/>
      <c r="N141" s="2"/>
      <c r="O141" s="1"/>
      <c r="P141" s="2"/>
      <c r="Q141" s="2"/>
      <c r="R141" s="2"/>
      <c r="S141" s="2"/>
      <c r="T141" s="2"/>
      <c r="U141" s="2"/>
      <c r="V141" s="2"/>
      <c r="W141" s="2"/>
      <c r="X141" s="2"/>
      <c r="Y141" s="2"/>
      <c r="Z141" s="2"/>
      <c r="AA141" s="2"/>
      <c r="AB141" s="2"/>
      <c r="AC141" s="2"/>
    </row>
    <row r="142" spans="1:29" ht="17.399999999999999" x14ac:dyDescent="0.25">
      <c r="A142" s="1"/>
      <c r="B142" s="2"/>
      <c r="C142" s="2"/>
      <c r="D142" s="2"/>
      <c r="E142" s="2"/>
      <c r="F142" s="2"/>
      <c r="G142" s="2"/>
      <c r="H142" s="2"/>
      <c r="I142" s="2"/>
      <c r="J142" s="2"/>
      <c r="K142" s="2"/>
      <c r="L142" s="2"/>
      <c r="M142" s="2"/>
      <c r="N142" s="2"/>
      <c r="O142" s="1"/>
      <c r="P142" s="2"/>
      <c r="Q142" s="2"/>
      <c r="R142" s="2"/>
      <c r="S142" s="2"/>
      <c r="T142" s="2"/>
      <c r="U142" s="2"/>
      <c r="V142" s="2"/>
      <c r="W142" s="2"/>
      <c r="X142" s="2"/>
      <c r="Y142" s="2"/>
      <c r="Z142" s="2"/>
      <c r="AA142" s="2"/>
      <c r="AB142" s="2"/>
      <c r="AC142" s="2"/>
    </row>
    <row r="143" spans="1:29" ht="17.399999999999999" x14ac:dyDescent="0.25">
      <c r="A143" s="1"/>
      <c r="B143" s="2"/>
      <c r="C143" s="2"/>
      <c r="D143" s="2"/>
      <c r="E143" s="2"/>
      <c r="F143" s="2"/>
      <c r="G143" s="2"/>
      <c r="H143" s="2"/>
      <c r="I143" s="2"/>
      <c r="J143" s="2"/>
      <c r="K143" s="2"/>
      <c r="L143" s="2"/>
      <c r="M143" s="2"/>
      <c r="N143" s="2"/>
      <c r="O143" s="1"/>
      <c r="P143" s="2"/>
      <c r="Q143" s="2"/>
      <c r="R143" s="2"/>
      <c r="S143" s="2"/>
      <c r="T143" s="2"/>
      <c r="U143" s="2"/>
      <c r="V143" s="2"/>
      <c r="W143" s="2"/>
      <c r="X143" s="2"/>
      <c r="Y143" s="2"/>
      <c r="Z143" s="2"/>
      <c r="AA143" s="2"/>
      <c r="AB143" s="2"/>
      <c r="AC143" s="2"/>
    </row>
    <row r="144" spans="1:29" ht="17.399999999999999" x14ac:dyDescent="0.25">
      <c r="A144" s="1"/>
      <c r="B144" s="2"/>
      <c r="C144" s="2"/>
      <c r="D144" s="2"/>
      <c r="E144" s="2"/>
      <c r="F144" s="2"/>
      <c r="G144" s="2"/>
      <c r="H144" s="2"/>
      <c r="I144" s="2"/>
      <c r="J144" s="2"/>
      <c r="K144" s="2"/>
      <c r="L144" s="2"/>
      <c r="M144" s="2"/>
      <c r="N144" s="2"/>
      <c r="O144" s="1"/>
      <c r="P144" s="2"/>
      <c r="Q144" s="2"/>
      <c r="R144" s="2"/>
      <c r="S144" s="2"/>
      <c r="T144" s="2"/>
      <c r="U144" s="2"/>
      <c r="V144" s="2"/>
      <c r="W144" s="2"/>
      <c r="X144" s="2"/>
      <c r="Y144" s="2"/>
      <c r="Z144" s="2"/>
      <c r="AA144" s="2"/>
      <c r="AB144" s="2"/>
      <c r="AC144" s="2"/>
    </row>
    <row r="145" spans="1:29" ht="17.399999999999999" x14ac:dyDescent="0.25">
      <c r="A145" s="1"/>
      <c r="B145" s="2"/>
      <c r="C145" s="2"/>
      <c r="D145" s="2"/>
      <c r="E145" s="2"/>
      <c r="F145" s="2"/>
      <c r="G145" s="2"/>
      <c r="H145" s="2"/>
      <c r="I145" s="2"/>
      <c r="J145" s="2"/>
      <c r="K145" s="2"/>
      <c r="L145" s="2"/>
      <c r="M145" s="2"/>
      <c r="N145" s="2"/>
      <c r="O145" s="1"/>
      <c r="P145" s="2"/>
      <c r="Q145" s="2"/>
      <c r="R145" s="2"/>
      <c r="S145" s="2"/>
      <c r="T145" s="2"/>
      <c r="U145" s="2"/>
      <c r="V145" s="2"/>
      <c r="W145" s="2"/>
      <c r="X145" s="2"/>
      <c r="Y145" s="2"/>
      <c r="Z145" s="2"/>
      <c r="AA145" s="2"/>
      <c r="AB145" s="2"/>
      <c r="AC145" s="2"/>
    </row>
    <row r="146" spans="1:29" ht="17.399999999999999" x14ac:dyDescent="0.25">
      <c r="A146" s="1"/>
      <c r="B146" s="2"/>
      <c r="C146" s="2"/>
      <c r="D146" s="2"/>
      <c r="E146" s="2"/>
      <c r="F146" s="2"/>
      <c r="G146" s="2"/>
      <c r="H146" s="2"/>
      <c r="I146" s="2"/>
      <c r="J146" s="2"/>
      <c r="K146" s="2"/>
      <c r="L146" s="2"/>
      <c r="M146" s="2"/>
      <c r="N146" s="2"/>
      <c r="O146" s="1"/>
      <c r="P146" s="2"/>
      <c r="Q146" s="2"/>
      <c r="R146" s="2"/>
      <c r="S146" s="2"/>
      <c r="T146" s="2"/>
      <c r="U146" s="2"/>
      <c r="V146" s="2"/>
      <c r="W146" s="2"/>
      <c r="X146" s="2"/>
      <c r="Y146" s="2"/>
      <c r="Z146" s="2"/>
      <c r="AA146" s="2"/>
      <c r="AB146" s="2"/>
      <c r="AC146" s="2"/>
    </row>
    <row r="147" spans="1:29" ht="17.399999999999999" x14ac:dyDescent="0.25">
      <c r="A147" s="1"/>
      <c r="B147" s="2"/>
      <c r="C147" s="2"/>
      <c r="D147" s="2"/>
      <c r="E147" s="2"/>
      <c r="F147" s="2"/>
      <c r="G147" s="2"/>
      <c r="H147" s="2"/>
      <c r="I147" s="2"/>
      <c r="J147" s="2"/>
      <c r="K147" s="2"/>
      <c r="L147" s="2"/>
      <c r="M147" s="2"/>
      <c r="N147" s="2"/>
      <c r="O147" s="1"/>
      <c r="P147" s="2"/>
      <c r="Q147" s="2"/>
      <c r="R147" s="2"/>
      <c r="S147" s="2"/>
      <c r="T147" s="2"/>
      <c r="U147" s="2"/>
      <c r="V147" s="2"/>
      <c r="W147" s="2"/>
      <c r="X147" s="2"/>
      <c r="Y147" s="2"/>
      <c r="Z147" s="2"/>
      <c r="AA147" s="2"/>
      <c r="AB147" s="2"/>
      <c r="AC147" s="2"/>
    </row>
    <row r="148" spans="1:29" ht="17.399999999999999" x14ac:dyDescent="0.25">
      <c r="A148" s="1"/>
      <c r="B148" s="2"/>
      <c r="C148" s="2"/>
      <c r="D148" s="2"/>
      <c r="E148" s="2"/>
      <c r="F148" s="2"/>
      <c r="G148" s="2"/>
      <c r="H148" s="2"/>
      <c r="I148" s="2"/>
      <c r="J148" s="2"/>
      <c r="K148" s="2"/>
      <c r="L148" s="2"/>
      <c r="M148" s="2"/>
      <c r="N148" s="2"/>
      <c r="O148" s="1"/>
      <c r="P148" s="2"/>
      <c r="Q148" s="2"/>
      <c r="R148" s="2"/>
      <c r="S148" s="2"/>
      <c r="T148" s="2"/>
      <c r="U148" s="2"/>
      <c r="V148" s="2"/>
      <c r="W148" s="2"/>
      <c r="X148" s="2"/>
      <c r="Y148" s="2"/>
      <c r="Z148" s="2"/>
      <c r="AA148" s="2"/>
      <c r="AB148" s="2"/>
      <c r="AC148" s="2"/>
    </row>
    <row r="149" spans="1:29" ht="17.399999999999999" x14ac:dyDescent="0.25">
      <c r="A149" s="1"/>
      <c r="B149" s="2"/>
      <c r="C149" s="2"/>
      <c r="D149" s="2"/>
      <c r="E149" s="2"/>
      <c r="F149" s="2"/>
      <c r="G149" s="2"/>
      <c r="H149" s="2"/>
      <c r="I149" s="2"/>
      <c r="J149" s="2"/>
      <c r="K149" s="2"/>
      <c r="L149" s="2"/>
      <c r="M149" s="2"/>
      <c r="N149" s="2"/>
      <c r="O149" s="1"/>
      <c r="P149" s="2"/>
      <c r="Q149" s="2"/>
      <c r="R149" s="2"/>
      <c r="S149" s="2"/>
      <c r="T149" s="2"/>
      <c r="U149" s="2"/>
      <c r="V149" s="2"/>
      <c r="W149" s="2"/>
      <c r="X149" s="2"/>
      <c r="Y149" s="2"/>
      <c r="Z149" s="2"/>
      <c r="AA149" s="2"/>
      <c r="AB149" s="2"/>
      <c r="AC149" s="2"/>
    </row>
    <row r="150" spans="1:29" ht="17.399999999999999" x14ac:dyDescent="0.25">
      <c r="A150" s="1"/>
      <c r="B150" s="2"/>
      <c r="C150" s="2"/>
      <c r="D150" s="2"/>
      <c r="E150" s="2"/>
      <c r="F150" s="2"/>
      <c r="G150" s="2"/>
      <c r="H150" s="2"/>
      <c r="I150" s="2"/>
      <c r="J150" s="2"/>
      <c r="K150" s="2"/>
      <c r="L150" s="2"/>
      <c r="M150" s="2"/>
      <c r="N150" s="2"/>
      <c r="O150" s="1"/>
      <c r="P150" s="2"/>
      <c r="Q150" s="2"/>
      <c r="R150" s="2"/>
      <c r="S150" s="2"/>
      <c r="T150" s="2"/>
      <c r="U150" s="2"/>
      <c r="V150" s="2"/>
      <c r="W150" s="2"/>
      <c r="X150" s="2"/>
      <c r="Y150" s="2"/>
      <c r="Z150" s="2"/>
      <c r="AA150" s="2"/>
      <c r="AB150" s="2"/>
      <c r="AC150" s="2"/>
    </row>
    <row r="151" spans="1:29" ht="17.399999999999999" x14ac:dyDescent="0.25">
      <c r="A151" s="1"/>
      <c r="B151" s="2"/>
      <c r="C151" s="2"/>
      <c r="D151" s="2"/>
      <c r="E151" s="2"/>
      <c r="F151" s="2"/>
      <c r="G151" s="2"/>
      <c r="H151" s="2"/>
      <c r="I151" s="2"/>
      <c r="J151" s="2"/>
      <c r="K151" s="2"/>
      <c r="L151" s="2"/>
      <c r="M151" s="2"/>
      <c r="N151" s="2"/>
      <c r="O151" s="1"/>
      <c r="P151" s="2"/>
      <c r="Q151" s="2"/>
      <c r="R151" s="2"/>
      <c r="S151" s="2"/>
      <c r="T151" s="2"/>
      <c r="U151" s="2"/>
      <c r="V151" s="2"/>
      <c r="W151" s="2"/>
      <c r="X151" s="2"/>
      <c r="Y151" s="2"/>
      <c r="Z151" s="2"/>
      <c r="AA151" s="2"/>
      <c r="AB151" s="2"/>
      <c r="AC151" s="2"/>
    </row>
    <row r="152" spans="1:29" ht="17.399999999999999" x14ac:dyDescent="0.25">
      <c r="A152" s="1"/>
      <c r="B152" s="2"/>
      <c r="C152" s="2"/>
      <c r="D152" s="2"/>
      <c r="E152" s="2"/>
      <c r="F152" s="2"/>
      <c r="G152" s="2"/>
      <c r="H152" s="2"/>
      <c r="I152" s="2"/>
      <c r="J152" s="2"/>
      <c r="K152" s="2"/>
      <c r="L152" s="2"/>
      <c r="M152" s="2"/>
      <c r="N152" s="2"/>
      <c r="O152" s="1"/>
      <c r="P152" s="2"/>
      <c r="Q152" s="2"/>
      <c r="R152" s="2"/>
      <c r="S152" s="2"/>
      <c r="T152" s="2"/>
      <c r="U152" s="2"/>
      <c r="V152" s="2"/>
      <c r="W152" s="2"/>
      <c r="X152" s="2"/>
      <c r="Y152" s="2"/>
      <c r="Z152" s="2"/>
      <c r="AA152" s="2"/>
      <c r="AB152" s="2"/>
      <c r="AC152" s="2"/>
    </row>
    <row r="153" spans="1:29" ht="17.399999999999999" x14ac:dyDescent="0.25">
      <c r="A153" s="1"/>
      <c r="B153" s="2"/>
      <c r="C153" s="2"/>
      <c r="D153" s="2"/>
      <c r="E153" s="2"/>
      <c r="F153" s="2"/>
      <c r="G153" s="2"/>
      <c r="H153" s="2"/>
      <c r="I153" s="2"/>
      <c r="J153" s="2"/>
      <c r="K153" s="2"/>
      <c r="L153" s="2"/>
      <c r="M153" s="2"/>
      <c r="N153" s="2"/>
      <c r="O153" s="1"/>
      <c r="P153" s="2"/>
      <c r="Q153" s="2"/>
      <c r="R153" s="2"/>
      <c r="S153" s="2"/>
      <c r="T153" s="2"/>
      <c r="U153" s="2"/>
      <c r="V153" s="2"/>
      <c r="W153" s="2"/>
      <c r="X153" s="2"/>
      <c r="Y153" s="2"/>
      <c r="Z153" s="2"/>
      <c r="AA153" s="2"/>
      <c r="AB153" s="2"/>
      <c r="AC153" s="2"/>
    </row>
    <row r="154" spans="1:29" ht="17.399999999999999" x14ac:dyDescent="0.25">
      <c r="A154" s="1"/>
      <c r="B154" s="2"/>
      <c r="C154" s="2"/>
      <c r="D154" s="2"/>
      <c r="E154" s="2"/>
      <c r="F154" s="2"/>
      <c r="G154" s="2"/>
      <c r="H154" s="2"/>
      <c r="I154" s="2"/>
      <c r="J154" s="2"/>
      <c r="K154" s="2"/>
      <c r="L154" s="2"/>
      <c r="M154" s="2"/>
      <c r="N154" s="2"/>
      <c r="O154" s="1"/>
      <c r="P154" s="2"/>
      <c r="Q154" s="2"/>
      <c r="R154" s="2"/>
      <c r="S154" s="2"/>
      <c r="T154" s="2"/>
      <c r="U154" s="2"/>
      <c r="V154" s="2"/>
      <c r="W154" s="2"/>
      <c r="X154" s="2"/>
      <c r="Y154" s="2"/>
      <c r="Z154" s="2"/>
      <c r="AA154" s="2"/>
      <c r="AB154" s="2"/>
      <c r="AC154" s="2"/>
    </row>
    <row r="155" spans="1:29" ht="17.399999999999999" x14ac:dyDescent="0.25">
      <c r="A155" s="1"/>
      <c r="B155" s="2"/>
      <c r="C155" s="2"/>
      <c r="D155" s="2"/>
      <c r="E155" s="2"/>
      <c r="F155" s="2"/>
      <c r="G155" s="2"/>
      <c r="H155" s="2"/>
      <c r="I155" s="2"/>
      <c r="J155" s="2"/>
      <c r="K155" s="2"/>
      <c r="L155" s="2"/>
      <c r="M155" s="2"/>
      <c r="N155" s="2"/>
      <c r="O155" s="1"/>
      <c r="P155" s="2"/>
      <c r="Q155" s="2"/>
      <c r="R155" s="2"/>
      <c r="S155" s="2"/>
      <c r="T155" s="2"/>
      <c r="U155" s="2"/>
      <c r="V155" s="2"/>
      <c r="W155" s="2"/>
      <c r="X155" s="2"/>
      <c r="Y155" s="2"/>
      <c r="Z155" s="2"/>
      <c r="AA155" s="2"/>
      <c r="AB155" s="2"/>
      <c r="AC155" s="2"/>
    </row>
    <row r="156" spans="1:29" ht="17.399999999999999" x14ac:dyDescent="0.25">
      <c r="A156" s="1"/>
      <c r="B156" s="2"/>
      <c r="C156" s="2"/>
      <c r="D156" s="2"/>
      <c r="E156" s="2"/>
      <c r="F156" s="2"/>
      <c r="G156" s="2"/>
      <c r="H156" s="2"/>
      <c r="I156" s="2"/>
      <c r="J156" s="2"/>
      <c r="K156" s="2"/>
      <c r="L156" s="2"/>
      <c r="M156" s="2"/>
      <c r="N156" s="2"/>
      <c r="O156" s="1"/>
      <c r="P156" s="2"/>
      <c r="Q156" s="2"/>
      <c r="R156" s="2"/>
      <c r="S156" s="2"/>
      <c r="T156" s="2"/>
      <c r="U156" s="2"/>
      <c r="V156" s="2"/>
      <c r="W156" s="2"/>
      <c r="X156" s="2"/>
      <c r="Y156" s="2"/>
      <c r="Z156" s="2"/>
      <c r="AA156" s="2"/>
      <c r="AB156" s="2"/>
      <c r="AC156" s="2"/>
    </row>
    <row r="157" spans="1:29" ht="17.399999999999999" x14ac:dyDescent="0.25">
      <c r="A157" s="1"/>
      <c r="B157" s="2"/>
      <c r="C157" s="2"/>
      <c r="D157" s="2"/>
      <c r="E157" s="2"/>
      <c r="F157" s="2"/>
      <c r="G157" s="2"/>
      <c r="H157" s="2"/>
      <c r="I157" s="2"/>
      <c r="J157" s="2"/>
      <c r="K157" s="2"/>
      <c r="L157" s="2"/>
      <c r="M157" s="2"/>
      <c r="N157" s="2"/>
      <c r="O157" s="1"/>
      <c r="P157" s="2"/>
      <c r="Q157" s="2"/>
      <c r="R157" s="2"/>
      <c r="S157" s="2"/>
      <c r="T157" s="2"/>
      <c r="U157" s="2"/>
      <c r="V157" s="2"/>
      <c r="W157" s="2"/>
      <c r="X157" s="2"/>
      <c r="Y157" s="2"/>
      <c r="Z157" s="2"/>
      <c r="AA157" s="2"/>
      <c r="AB157" s="2"/>
      <c r="AC157" s="2"/>
    </row>
    <row r="158" spans="1:29" ht="17.399999999999999" x14ac:dyDescent="0.25">
      <c r="A158" s="1"/>
      <c r="B158" s="2"/>
      <c r="C158" s="2"/>
      <c r="D158" s="2"/>
      <c r="E158" s="2"/>
      <c r="F158" s="2"/>
      <c r="G158" s="2"/>
      <c r="H158" s="2"/>
      <c r="I158" s="2"/>
      <c r="J158" s="2"/>
      <c r="K158" s="2"/>
      <c r="L158" s="2"/>
      <c r="M158" s="2"/>
      <c r="N158" s="2"/>
      <c r="O158" s="1"/>
      <c r="P158" s="2"/>
      <c r="Q158" s="2"/>
      <c r="R158" s="2"/>
      <c r="S158" s="2"/>
      <c r="T158" s="2"/>
      <c r="U158" s="2"/>
      <c r="V158" s="2"/>
      <c r="W158" s="2"/>
      <c r="X158" s="2"/>
      <c r="Y158" s="2"/>
      <c r="Z158" s="2"/>
      <c r="AA158" s="2"/>
      <c r="AB158" s="2"/>
      <c r="AC158" s="2"/>
    </row>
    <row r="159" spans="1:29" ht="17.399999999999999" x14ac:dyDescent="0.25">
      <c r="A159" s="1"/>
      <c r="B159" s="2"/>
      <c r="C159" s="2"/>
      <c r="D159" s="2"/>
      <c r="E159" s="2"/>
      <c r="F159" s="2"/>
      <c r="G159" s="2"/>
      <c r="H159" s="2"/>
      <c r="I159" s="2"/>
      <c r="J159" s="2"/>
      <c r="K159" s="2"/>
      <c r="L159" s="2"/>
      <c r="M159" s="2"/>
      <c r="N159" s="2"/>
      <c r="O159" s="1"/>
      <c r="P159" s="2"/>
      <c r="Q159" s="2"/>
      <c r="R159" s="2"/>
      <c r="S159" s="2"/>
      <c r="T159" s="2"/>
      <c r="U159" s="2"/>
      <c r="V159" s="2"/>
      <c r="W159" s="2"/>
      <c r="X159" s="2"/>
      <c r="Y159" s="2"/>
      <c r="Z159" s="2"/>
      <c r="AA159" s="2"/>
      <c r="AB159" s="2"/>
      <c r="AC159" s="2"/>
    </row>
    <row r="160" spans="1:29" ht="17.399999999999999" x14ac:dyDescent="0.25">
      <c r="A160" s="1"/>
      <c r="B160" s="2"/>
      <c r="C160" s="2"/>
      <c r="D160" s="2"/>
      <c r="E160" s="2"/>
      <c r="F160" s="2"/>
      <c r="G160" s="2"/>
      <c r="H160" s="2"/>
      <c r="I160" s="2"/>
      <c r="J160" s="2"/>
      <c r="K160" s="2"/>
      <c r="L160" s="2"/>
      <c r="M160" s="2"/>
      <c r="N160" s="2"/>
      <c r="O160" s="1"/>
      <c r="P160" s="2"/>
      <c r="Q160" s="2"/>
      <c r="R160" s="2"/>
      <c r="S160" s="2"/>
      <c r="T160" s="2"/>
      <c r="U160" s="2"/>
      <c r="V160" s="2"/>
      <c r="W160" s="2"/>
      <c r="X160" s="2"/>
      <c r="Y160" s="2"/>
      <c r="Z160" s="2"/>
      <c r="AA160" s="2"/>
      <c r="AB160" s="2"/>
      <c r="AC160" s="2"/>
    </row>
    <row r="161" spans="1:29" ht="17.399999999999999" x14ac:dyDescent="0.25">
      <c r="A161" s="1"/>
      <c r="B161" s="2"/>
      <c r="C161" s="2"/>
      <c r="D161" s="2"/>
      <c r="E161" s="2"/>
      <c r="F161" s="2"/>
      <c r="G161" s="2"/>
      <c r="H161" s="2"/>
      <c r="I161" s="2"/>
      <c r="J161" s="2"/>
      <c r="K161" s="2"/>
      <c r="L161" s="2"/>
      <c r="M161" s="2"/>
      <c r="N161" s="2"/>
      <c r="O161" s="1"/>
      <c r="P161" s="2"/>
      <c r="Q161" s="2"/>
      <c r="R161" s="2"/>
      <c r="S161" s="2"/>
      <c r="T161" s="2"/>
      <c r="U161" s="2"/>
      <c r="V161" s="2"/>
      <c r="W161" s="2"/>
      <c r="X161" s="2"/>
      <c r="Y161" s="2"/>
      <c r="Z161" s="2"/>
      <c r="AA161" s="2"/>
      <c r="AB161" s="2"/>
      <c r="AC161" s="2"/>
    </row>
    <row r="162" spans="1:29" ht="17.399999999999999" x14ac:dyDescent="0.25">
      <c r="A162" s="1"/>
      <c r="B162" s="2"/>
      <c r="C162" s="2"/>
      <c r="D162" s="2"/>
      <c r="E162" s="2"/>
      <c r="F162" s="2"/>
      <c r="G162" s="2"/>
      <c r="H162" s="2"/>
      <c r="I162" s="2"/>
      <c r="J162" s="2"/>
      <c r="K162" s="2"/>
      <c r="L162" s="2"/>
      <c r="M162" s="2"/>
      <c r="N162" s="2"/>
      <c r="O162" s="1"/>
      <c r="P162" s="2"/>
      <c r="Q162" s="2"/>
      <c r="R162" s="2"/>
      <c r="S162" s="2"/>
      <c r="T162" s="2"/>
      <c r="U162" s="2"/>
      <c r="V162" s="2"/>
      <c r="W162" s="2"/>
      <c r="X162" s="2"/>
      <c r="Y162" s="2"/>
      <c r="Z162" s="2"/>
      <c r="AA162" s="2"/>
      <c r="AB162" s="2"/>
      <c r="AC162" s="2"/>
    </row>
    <row r="163" spans="1:29" ht="17.399999999999999" x14ac:dyDescent="0.25">
      <c r="A163" s="1"/>
      <c r="B163" s="2"/>
      <c r="C163" s="2"/>
      <c r="D163" s="2"/>
      <c r="E163" s="2"/>
      <c r="F163" s="2"/>
      <c r="G163" s="2"/>
      <c r="H163" s="2"/>
      <c r="I163" s="2"/>
      <c r="J163" s="2"/>
      <c r="K163" s="2"/>
      <c r="L163" s="2"/>
      <c r="M163" s="2"/>
      <c r="N163" s="2"/>
      <c r="O163" s="1"/>
      <c r="P163" s="2"/>
      <c r="Q163" s="2"/>
      <c r="R163" s="2"/>
      <c r="S163" s="2"/>
      <c r="T163" s="2"/>
      <c r="U163" s="2"/>
      <c r="V163" s="2"/>
      <c r="W163" s="2"/>
      <c r="X163" s="2"/>
      <c r="Y163" s="2"/>
      <c r="Z163" s="2"/>
      <c r="AA163" s="2"/>
      <c r="AB163" s="2"/>
      <c r="AC163" s="2"/>
    </row>
    <row r="164" spans="1:29" ht="17.399999999999999" x14ac:dyDescent="0.25">
      <c r="A164" s="1"/>
      <c r="B164" s="2"/>
      <c r="C164" s="2"/>
      <c r="D164" s="2"/>
      <c r="E164" s="2"/>
      <c r="F164" s="2"/>
      <c r="G164" s="2"/>
      <c r="H164" s="2"/>
      <c r="I164" s="2"/>
      <c r="J164" s="2"/>
      <c r="K164" s="2"/>
      <c r="L164" s="2"/>
      <c r="M164" s="2"/>
      <c r="N164" s="2"/>
      <c r="O164" s="1"/>
      <c r="P164" s="2"/>
      <c r="Q164" s="2"/>
      <c r="R164" s="2"/>
      <c r="S164" s="2"/>
      <c r="T164" s="2"/>
      <c r="U164" s="2"/>
      <c r="V164" s="2"/>
      <c r="W164" s="2"/>
      <c r="X164" s="2"/>
      <c r="Y164" s="2"/>
      <c r="Z164" s="2"/>
      <c r="AA164" s="2"/>
      <c r="AB164" s="2"/>
      <c r="AC164" s="2"/>
    </row>
    <row r="165" spans="1:29" ht="17.399999999999999" x14ac:dyDescent="0.25">
      <c r="A165" s="1"/>
      <c r="B165" s="2"/>
      <c r="C165" s="2"/>
      <c r="D165" s="2"/>
      <c r="E165" s="2"/>
      <c r="F165" s="2"/>
      <c r="G165" s="2"/>
      <c r="H165" s="2"/>
      <c r="I165" s="2"/>
      <c r="J165" s="2"/>
      <c r="K165" s="2"/>
      <c r="L165" s="2"/>
      <c r="M165" s="2"/>
      <c r="N165" s="2"/>
      <c r="O165" s="1"/>
      <c r="P165" s="2"/>
      <c r="Q165" s="2"/>
      <c r="R165" s="2"/>
      <c r="S165" s="2"/>
      <c r="T165" s="2"/>
      <c r="U165" s="2"/>
      <c r="V165" s="2"/>
      <c r="W165" s="2"/>
      <c r="X165" s="2"/>
      <c r="Y165" s="2"/>
      <c r="Z165" s="2"/>
      <c r="AA165" s="2"/>
      <c r="AB165" s="2"/>
      <c r="AC165" s="2"/>
    </row>
    <row r="166" spans="1:29" ht="17.399999999999999" x14ac:dyDescent="0.25">
      <c r="A166" s="1"/>
      <c r="B166" s="2"/>
      <c r="C166" s="2"/>
      <c r="D166" s="2"/>
      <c r="E166" s="2"/>
      <c r="F166" s="2"/>
      <c r="G166" s="2"/>
      <c r="H166" s="2"/>
      <c r="I166" s="2"/>
      <c r="J166" s="2"/>
      <c r="K166" s="2"/>
      <c r="L166" s="2"/>
      <c r="M166" s="2"/>
      <c r="N166" s="2"/>
      <c r="O166" s="1"/>
      <c r="P166" s="2"/>
      <c r="Q166" s="2"/>
      <c r="R166" s="2"/>
      <c r="S166" s="2"/>
      <c r="T166" s="2"/>
      <c r="U166" s="2"/>
      <c r="V166" s="2"/>
      <c r="W166" s="2"/>
      <c r="X166" s="2"/>
      <c r="Y166" s="2"/>
      <c r="Z166" s="2"/>
      <c r="AA166" s="2"/>
      <c r="AB166" s="2"/>
      <c r="AC166" s="2"/>
    </row>
    <row r="167" spans="1:29" ht="17.399999999999999" x14ac:dyDescent="0.25">
      <c r="A167" s="1"/>
      <c r="B167" s="2"/>
      <c r="C167" s="2"/>
      <c r="D167" s="2"/>
      <c r="E167" s="2"/>
      <c r="F167" s="2"/>
      <c r="G167" s="2"/>
      <c r="H167" s="2"/>
      <c r="I167" s="2"/>
      <c r="J167" s="2"/>
      <c r="K167" s="2"/>
      <c r="L167" s="2"/>
      <c r="M167" s="2"/>
      <c r="N167" s="2"/>
      <c r="O167" s="1"/>
      <c r="P167" s="2"/>
      <c r="Q167" s="2"/>
      <c r="R167" s="2"/>
      <c r="S167" s="2"/>
      <c r="T167" s="2"/>
      <c r="U167" s="2"/>
      <c r="V167" s="2"/>
      <c r="W167" s="2"/>
      <c r="X167" s="2"/>
      <c r="Y167" s="2"/>
      <c r="Z167" s="2"/>
      <c r="AA167" s="2"/>
      <c r="AB167" s="2"/>
      <c r="AC167" s="2"/>
    </row>
    <row r="168" spans="1:29" ht="17.399999999999999" x14ac:dyDescent="0.25">
      <c r="A168" s="1"/>
      <c r="B168" s="2"/>
      <c r="C168" s="2"/>
      <c r="D168" s="2"/>
      <c r="E168" s="2"/>
      <c r="F168" s="2"/>
      <c r="G168" s="2"/>
      <c r="H168" s="2"/>
      <c r="I168" s="2"/>
      <c r="J168" s="2"/>
      <c r="K168" s="2"/>
      <c r="L168" s="2"/>
      <c r="M168" s="2"/>
      <c r="N168" s="2"/>
      <c r="O168" s="1"/>
      <c r="P168" s="2"/>
      <c r="Q168" s="2"/>
      <c r="R168" s="2"/>
      <c r="S168" s="2"/>
      <c r="T168" s="2"/>
      <c r="U168" s="2"/>
      <c r="V168" s="2"/>
      <c r="W168" s="2"/>
      <c r="X168" s="2"/>
      <c r="Y168" s="2"/>
      <c r="Z168" s="2"/>
      <c r="AA168" s="2"/>
      <c r="AB168" s="2"/>
      <c r="AC168" s="2"/>
    </row>
    <row r="169" spans="1:29" ht="17.399999999999999" x14ac:dyDescent="0.25">
      <c r="A169" s="1"/>
      <c r="B169" s="2"/>
      <c r="C169" s="2"/>
      <c r="D169" s="2"/>
      <c r="E169" s="2"/>
      <c r="F169" s="2"/>
      <c r="G169" s="2"/>
      <c r="H169" s="2"/>
      <c r="I169" s="2"/>
      <c r="J169" s="2"/>
      <c r="K169" s="2"/>
      <c r="L169" s="2"/>
      <c r="M169" s="2"/>
      <c r="N169" s="2"/>
      <c r="O169" s="1"/>
      <c r="P169" s="2"/>
      <c r="Q169" s="2"/>
      <c r="R169" s="2"/>
      <c r="S169" s="2"/>
      <c r="T169" s="2"/>
      <c r="U169" s="2"/>
      <c r="V169" s="2"/>
      <c r="W169" s="2"/>
      <c r="X169" s="2"/>
      <c r="Y169" s="2"/>
      <c r="Z169" s="2"/>
      <c r="AA169" s="2"/>
      <c r="AB169" s="2"/>
      <c r="AC169" s="2"/>
    </row>
    <row r="170" spans="1:29" ht="17.399999999999999" x14ac:dyDescent="0.25">
      <c r="A170" s="1"/>
      <c r="B170" s="2"/>
      <c r="C170" s="2"/>
      <c r="D170" s="2"/>
      <c r="E170" s="2"/>
      <c r="F170" s="2"/>
      <c r="G170" s="2"/>
      <c r="H170" s="2"/>
      <c r="I170" s="2"/>
      <c r="J170" s="2"/>
      <c r="K170" s="2"/>
      <c r="L170" s="2"/>
      <c r="M170" s="2"/>
      <c r="N170" s="2"/>
      <c r="O170" s="1"/>
      <c r="P170" s="2"/>
      <c r="Q170" s="2"/>
      <c r="R170" s="2"/>
      <c r="S170" s="2"/>
      <c r="T170" s="2"/>
      <c r="U170" s="2"/>
      <c r="V170" s="2"/>
      <c r="W170" s="2"/>
      <c r="X170" s="2"/>
      <c r="Y170" s="2"/>
      <c r="Z170" s="2"/>
      <c r="AA170" s="2"/>
      <c r="AB170" s="2"/>
      <c r="AC170" s="2"/>
    </row>
    <row r="171" spans="1:29" ht="17.399999999999999" x14ac:dyDescent="0.25">
      <c r="A171" s="1"/>
      <c r="B171" s="2"/>
      <c r="C171" s="2"/>
      <c r="D171" s="2"/>
      <c r="E171" s="2"/>
      <c r="F171" s="2"/>
      <c r="G171" s="2"/>
      <c r="H171" s="2"/>
      <c r="I171" s="2"/>
      <c r="J171" s="2"/>
      <c r="K171" s="2"/>
      <c r="L171" s="2"/>
      <c r="M171" s="2"/>
      <c r="N171" s="2"/>
      <c r="O171" s="1"/>
      <c r="P171" s="2"/>
      <c r="Q171" s="2"/>
      <c r="R171" s="2"/>
      <c r="S171" s="2"/>
      <c r="T171" s="2"/>
      <c r="U171" s="2"/>
      <c r="V171" s="2"/>
      <c r="W171" s="2"/>
      <c r="X171" s="2"/>
      <c r="Y171" s="2"/>
      <c r="Z171" s="2"/>
      <c r="AA171" s="2"/>
      <c r="AB171" s="2"/>
      <c r="AC171" s="2"/>
    </row>
    <row r="172" spans="1:29" ht="17.399999999999999" x14ac:dyDescent="0.25">
      <c r="A172" s="1"/>
      <c r="B172" s="2"/>
      <c r="C172" s="2"/>
      <c r="D172" s="2"/>
      <c r="E172" s="2"/>
      <c r="F172" s="2"/>
      <c r="G172" s="2"/>
      <c r="H172" s="2"/>
      <c r="I172" s="2"/>
      <c r="J172" s="2"/>
      <c r="K172" s="2"/>
      <c r="L172" s="2"/>
      <c r="M172" s="2"/>
      <c r="N172" s="2"/>
      <c r="O172" s="1"/>
      <c r="P172" s="2"/>
      <c r="Q172" s="2"/>
      <c r="R172" s="2"/>
      <c r="S172" s="2"/>
      <c r="T172" s="2"/>
      <c r="U172" s="2"/>
      <c r="V172" s="2"/>
      <c r="W172" s="2"/>
      <c r="X172" s="2"/>
      <c r="Y172" s="2"/>
      <c r="Z172" s="2"/>
      <c r="AA172" s="2"/>
      <c r="AB172" s="2"/>
      <c r="AC172" s="2"/>
    </row>
    <row r="173" spans="1:29" ht="17.399999999999999" x14ac:dyDescent="0.25">
      <c r="A173" s="1"/>
      <c r="B173" s="2"/>
      <c r="C173" s="2"/>
      <c r="D173" s="2"/>
      <c r="E173" s="2"/>
      <c r="F173" s="2"/>
      <c r="G173" s="2"/>
      <c r="H173" s="2"/>
      <c r="I173" s="2"/>
      <c r="J173" s="2"/>
      <c r="K173" s="2"/>
      <c r="L173" s="2"/>
      <c r="M173" s="2"/>
      <c r="N173" s="2"/>
      <c r="O173" s="1"/>
      <c r="P173" s="2"/>
      <c r="Q173" s="2"/>
      <c r="R173" s="2"/>
      <c r="S173" s="2"/>
      <c r="T173" s="2"/>
      <c r="U173" s="2"/>
      <c r="V173" s="2"/>
      <c r="W173" s="2"/>
      <c r="X173" s="2"/>
      <c r="Y173" s="2"/>
      <c r="Z173" s="2"/>
      <c r="AA173" s="2"/>
      <c r="AB173" s="2"/>
      <c r="AC173" s="2"/>
    </row>
    <row r="174" spans="1:29" ht="17.399999999999999" x14ac:dyDescent="0.25">
      <c r="A174" s="1"/>
      <c r="B174" s="2"/>
      <c r="C174" s="2"/>
      <c r="D174" s="2"/>
      <c r="E174" s="2"/>
      <c r="F174" s="2"/>
      <c r="G174" s="2"/>
      <c r="H174" s="2"/>
      <c r="I174" s="2"/>
      <c r="J174" s="2"/>
      <c r="K174" s="2"/>
      <c r="L174" s="2"/>
      <c r="M174" s="2"/>
      <c r="N174" s="2"/>
      <c r="O174" s="1"/>
      <c r="P174" s="2"/>
      <c r="Q174" s="2"/>
      <c r="R174" s="2"/>
      <c r="S174" s="2"/>
      <c r="T174" s="2"/>
      <c r="U174" s="2"/>
      <c r="V174" s="2"/>
      <c r="W174" s="2"/>
      <c r="X174" s="2"/>
      <c r="Y174" s="2"/>
      <c r="Z174" s="2"/>
      <c r="AA174" s="2"/>
      <c r="AB174" s="2"/>
      <c r="AC174" s="2"/>
    </row>
    <row r="175" spans="1:29" ht="17.399999999999999" x14ac:dyDescent="0.25">
      <c r="A175" s="1"/>
      <c r="B175" s="2"/>
      <c r="C175" s="2"/>
      <c r="D175" s="2"/>
      <c r="E175" s="2"/>
      <c r="F175" s="2"/>
      <c r="G175" s="2"/>
      <c r="H175" s="2"/>
      <c r="I175" s="2"/>
      <c r="J175" s="2"/>
      <c r="K175" s="2"/>
      <c r="L175" s="2"/>
      <c r="M175" s="2"/>
      <c r="N175" s="2"/>
      <c r="O175" s="1"/>
      <c r="P175" s="2"/>
      <c r="Q175" s="2"/>
      <c r="R175" s="2"/>
      <c r="S175" s="2"/>
      <c r="T175" s="2"/>
      <c r="U175" s="2"/>
      <c r="V175" s="2"/>
      <c r="W175" s="2"/>
      <c r="X175" s="2"/>
      <c r="Y175" s="2"/>
      <c r="Z175" s="2"/>
      <c r="AA175" s="2"/>
      <c r="AB175" s="2"/>
      <c r="AC175" s="2"/>
    </row>
    <row r="176" spans="1:29" ht="17.399999999999999" x14ac:dyDescent="0.25">
      <c r="A176" s="1"/>
      <c r="B176" s="2"/>
      <c r="C176" s="2"/>
      <c r="D176" s="2"/>
      <c r="E176" s="2"/>
      <c r="F176" s="2"/>
      <c r="G176" s="2"/>
      <c r="H176" s="2"/>
      <c r="I176" s="2"/>
      <c r="J176" s="2"/>
      <c r="K176" s="2"/>
      <c r="L176" s="2"/>
      <c r="M176" s="2"/>
      <c r="N176" s="2"/>
      <c r="O176" s="1"/>
      <c r="P176" s="2"/>
      <c r="Q176" s="2"/>
      <c r="R176" s="2"/>
      <c r="S176" s="2"/>
      <c r="T176" s="2"/>
      <c r="U176" s="2"/>
      <c r="V176" s="2"/>
      <c r="W176" s="2"/>
      <c r="X176" s="2"/>
      <c r="Y176" s="2"/>
      <c r="Z176" s="2"/>
      <c r="AA176" s="2"/>
      <c r="AB176" s="2"/>
      <c r="AC176" s="2"/>
    </row>
    <row r="177" spans="1:29" ht="17.399999999999999" x14ac:dyDescent="0.25">
      <c r="A177" s="1"/>
      <c r="B177" s="2"/>
      <c r="C177" s="2"/>
      <c r="D177" s="2"/>
      <c r="E177" s="2"/>
      <c r="F177" s="2"/>
      <c r="G177" s="2"/>
      <c r="H177" s="2"/>
      <c r="I177" s="2"/>
      <c r="J177" s="2"/>
      <c r="K177" s="2"/>
      <c r="L177" s="2"/>
      <c r="M177" s="2"/>
      <c r="N177" s="2"/>
      <c r="O177" s="1"/>
      <c r="P177" s="2"/>
      <c r="Q177" s="2"/>
      <c r="R177" s="2"/>
      <c r="S177" s="2"/>
      <c r="T177" s="2"/>
      <c r="U177" s="2"/>
      <c r="V177" s="2"/>
      <c r="W177" s="2"/>
      <c r="X177" s="2"/>
      <c r="Y177" s="2"/>
      <c r="Z177" s="2"/>
      <c r="AA177" s="2"/>
      <c r="AB177" s="2"/>
      <c r="AC177" s="2"/>
    </row>
    <row r="178" spans="1:29" ht="17.399999999999999" x14ac:dyDescent="0.25">
      <c r="A178" s="1"/>
      <c r="B178" s="2"/>
      <c r="C178" s="2"/>
      <c r="D178" s="2"/>
      <c r="E178" s="2"/>
      <c r="F178" s="2"/>
      <c r="G178" s="2"/>
      <c r="H178" s="2"/>
      <c r="I178" s="2"/>
      <c r="J178" s="2"/>
      <c r="K178" s="2"/>
      <c r="L178" s="2"/>
      <c r="M178" s="2"/>
      <c r="N178" s="2"/>
      <c r="O178" s="1"/>
      <c r="P178" s="2"/>
      <c r="Q178" s="2"/>
      <c r="R178" s="2"/>
      <c r="S178" s="2"/>
      <c r="T178" s="2"/>
      <c r="U178" s="2"/>
      <c r="V178" s="2"/>
      <c r="W178" s="2"/>
      <c r="X178" s="2"/>
      <c r="Y178" s="2"/>
      <c r="Z178" s="2"/>
      <c r="AA178" s="2"/>
      <c r="AB178" s="2"/>
      <c r="AC178" s="2"/>
    </row>
    <row r="179" spans="1:29" ht="17.399999999999999" x14ac:dyDescent="0.25">
      <c r="A179" s="1"/>
      <c r="B179" s="2"/>
      <c r="C179" s="2"/>
      <c r="D179" s="2"/>
      <c r="E179" s="2"/>
      <c r="F179" s="2"/>
      <c r="G179" s="2"/>
      <c r="H179" s="2"/>
      <c r="I179" s="2"/>
      <c r="J179" s="2"/>
      <c r="K179" s="2"/>
      <c r="L179" s="2"/>
      <c r="M179" s="2"/>
      <c r="N179" s="2"/>
      <c r="O179" s="1"/>
      <c r="P179" s="2"/>
      <c r="Q179" s="2"/>
      <c r="R179" s="2"/>
      <c r="S179" s="2"/>
      <c r="T179" s="2"/>
      <c r="U179" s="2"/>
      <c r="V179" s="2"/>
      <c r="W179" s="2"/>
      <c r="X179" s="2"/>
      <c r="Y179" s="2"/>
      <c r="Z179" s="2"/>
      <c r="AA179" s="2"/>
      <c r="AB179" s="2"/>
      <c r="AC179" s="2"/>
    </row>
    <row r="180" spans="1:29" ht="17.399999999999999" x14ac:dyDescent="0.25">
      <c r="A180" s="1"/>
      <c r="B180" s="2"/>
      <c r="C180" s="2"/>
      <c r="D180" s="2"/>
      <c r="E180" s="2"/>
      <c r="F180" s="2"/>
      <c r="G180" s="2"/>
      <c r="H180" s="2"/>
      <c r="I180" s="2"/>
      <c r="J180" s="2"/>
      <c r="K180" s="2"/>
      <c r="L180" s="2"/>
      <c r="M180" s="2"/>
      <c r="N180" s="2"/>
      <c r="O180" s="1"/>
      <c r="P180" s="2"/>
      <c r="Q180" s="2"/>
      <c r="R180" s="2"/>
      <c r="S180" s="2"/>
      <c r="T180" s="2"/>
      <c r="U180" s="2"/>
      <c r="V180" s="2"/>
      <c r="W180" s="2"/>
      <c r="X180" s="2"/>
      <c r="Y180" s="2"/>
      <c r="Z180" s="2"/>
      <c r="AA180" s="2"/>
      <c r="AB180" s="2"/>
      <c r="AC180" s="2"/>
    </row>
    <row r="181" spans="1:29" ht="17.399999999999999" x14ac:dyDescent="0.25">
      <c r="A181" s="1"/>
      <c r="B181" s="2"/>
      <c r="C181" s="2"/>
      <c r="D181" s="2"/>
      <c r="E181" s="2"/>
      <c r="F181" s="2"/>
      <c r="G181" s="2"/>
      <c r="H181" s="2"/>
      <c r="I181" s="2"/>
      <c r="J181" s="2"/>
      <c r="K181" s="2"/>
      <c r="L181" s="2"/>
      <c r="M181" s="2"/>
      <c r="N181" s="2"/>
      <c r="O181" s="1"/>
      <c r="P181" s="2"/>
      <c r="Q181" s="2"/>
      <c r="R181" s="2"/>
      <c r="S181" s="2"/>
      <c r="T181" s="2"/>
      <c r="U181" s="2"/>
      <c r="V181" s="2"/>
      <c r="W181" s="2"/>
      <c r="X181" s="2"/>
      <c r="Y181" s="2"/>
      <c r="Z181" s="2"/>
      <c r="AA181" s="2"/>
      <c r="AB181" s="2"/>
      <c r="AC181" s="2"/>
    </row>
    <row r="182" spans="1:29" ht="17.399999999999999" x14ac:dyDescent="0.25">
      <c r="A182" s="1"/>
      <c r="B182" s="2"/>
      <c r="C182" s="2"/>
      <c r="D182" s="2"/>
      <c r="E182" s="2"/>
      <c r="F182" s="2"/>
      <c r="G182" s="2"/>
      <c r="H182" s="2"/>
      <c r="I182" s="2"/>
      <c r="J182" s="2"/>
      <c r="K182" s="2"/>
      <c r="L182" s="2"/>
      <c r="M182" s="2"/>
      <c r="N182" s="2"/>
      <c r="O182" s="1"/>
      <c r="P182" s="2"/>
      <c r="Q182" s="2"/>
      <c r="R182" s="2"/>
      <c r="S182" s="2"/>
      <c r="T182" s="2"/>
      <c r="U182" s="2"/>
      <c r="V182" s="2"/>
      <c r="W182" s="2"/>
      <c r="X182" s="2"/>
      <c r="Y182" s="2"/>
      <c r="Z182" s="2"/>
      <c r="AA182" s="2"/>
      <c r="AB182" s="2"/>
      <c r="AC182" s="2"/>
    </row>
    <row r="183" spans="1:29" ht="17.399999999999999" x14ac:dyDescent="0.25">
      <c r="A183" s="1"/>
      <c r="B183" s="2"/>
      <c r="C183" s="2"/>
      <c r="D183" s="2"/>
      <c r="E183" s="2"/>
      <c r="F183" s="2"/>
      <c r="G183" s="2"/>
      <c r="H183" s="2"/>
      <c r="I183" s="2"/>
      <c r="J183" s="2"/>
      <c r="K183" s="2"/>
      <c r="L183" s="2"/>
      <c r="M183" s="2"/>
      <c r="N183" s="2"/>
      <c r="O183" s="1"/>
      <c r="P183" s="2"/>
      <c r="Q183" s="2"/>
      <c r="R183" s="2"/>
      <c r="S183" s="2"/>
      <c r="T183" s="2"/>
      <c r="U183" s="2"/>
      <c r="V183" s="2"/>
      <c r="W183" s="2"/>
      <c r="X183" s="2"/>
      <c r="Y183" s="2"/>
      <c r="Z183" s="2"/>
      <c r="AA183" s="2"/>
      <c r="AB183" s="2"/>
      <c r="AC183" s="2"/>
    </row>
    <row r="184" spans="1:29" ht="17.399999999999999" x14ac:dyDescent="0.25">
      <c r="A184" s="1"/>
      <c r="B184" s="2"/>
      <c r="C184" s="2"/>
      <c r="D184" s="2"/>
      <c r="E184" s="2"/>
      <c r="F184" s="2"/>
      <c r="G184" s="2"/>
      <c r="H184" s="2"/>
      <c r="I184" s="2"/>
      <c r="J184" s="2"/>
      <c r="K184" s="2"/>
      <c r="L184" s="2"/>
      <c r="M184" s="2"/>
      <c r="N184" s="2"/>
      <c r="O184" s="1"/>
      <c r="P184" s="2"/>
      <c r="Q184" s="2"/>
      <c r="R184" s="2"/>
      <c r="S184" s="2"/>
      <c r="T184" s="2"/>
      <c r="U184" s="2"/>
      <c r="V184" s="2"/>
      <c r="W184" s="2"/>
      <c r="X184" s="2"/>
      <c r="Y184" s="2"/>
      <c r="Z184" s="2"/>
      <c r="AA184" s="2"/>
      <c r="AB184" s="2"/>
      <c r="AC184" s="2"/>
    </row>
    <row r="185" spans="1:29" ht="17.399999999999999" x14ac:dyDescent="0.25">
      <c r="A185" s="1"/>
      <c r="B185" s="2"/>
      <c r="C185" s="2"/>
      <c r="D185" s="2"/>
      <c r="E185" s="2"/>
      <c r="F185" s="2"/>
      <c r="G185" s="2"/>
      <c r="H185" s="2"/>
      <c r="I185" s="2"/>
      <c r="J185" s="2"/>
      <c r="K185" s="2"/>
      <c r="L185" s="2"/>
      <c r="M185" s="2"/>
      <c r="N185" s="2"/>
      <c r="O185" s="1"/>
      <c r="P185" s="2"/>
      <c r="Q185" s="2"/>
      <c r="R185" s="2"/>
      <c r="S185" s="2"/>
      <c r="T185" s="2"/>
      <c r="U185" s="2"/>
      <c r="V185" s="2"/>
      <c r="W185" s="2"/>
      <c r="X185" s="2"/>
      <c r="Y185" s="2"/>
      <c r="Z185" s="2"/>
      <c r="AA185" s="2"/>
      <c r="AB185" s="2"/>
      <c r="AC185" s="2"/>
    </row>
    <row r="186" spans="1:29" ht="17.399999999999999" x14ac:dyDescent="0.25">
      <c r="A186" s="1"/>
      <c r="B186" s="2"/>
      <c r="C186" s="2"/>
      <c r="D186" s="2"/>
      <c r="E186" s="2"/>
      <c r="F186" s="2"/>
      <c r="G186" s="2"/>
      <c r="H186" s="2"/>
      <c r="I186" s="2"/>
      <c r="J186" s="2"/>
      <c r="K186" s="2"/>
      <c r="L186" s="2"/>
      <c r="M186" s="2"/>
      <c r="N186" s="2"/>
      <c r="O186" s="1"/>
      <c r="P186" s="2"/>
      <c r="Q186" s="2"/>
      <c r="R186" s="2"/>
      <c r="S186" s="2"/>
      <c r="T186" s="2"/>
      <c r="U186" s="2"/>
      <c r="V186" s="2"/>
      <c r="W186" s="2"/>
      <c r="X186" s="2"/>
      <c r="Y186" s="2"/>
      <c r="Z186" s="2"/>
      <c r="AA186" s="2"/>
      <c r="AB186" s="2"/>
      <c r="AC186" s="2"/>
    </row>
    <row r="187" spans="1:29" ht="17.399999999999999" x14ac:dyDescent="0.25">
      <c r="A187" s="1"/>
      <c r="B187" s="2"/>
      <c r="C187" s="2"/>
      <c r="D187" s="2"/>
      <c r="E187" s="2"/>
      <c r="F187" s="2"/>
      <c r="G187" s="2"/>
      <c r="H187" s="2"/>
      <c r="I187" s="2"/>
      <c r="J187" s="2"/>
      <c r="K187" s="2"/>
      <c r="L187" s="2"/>
      <c r="M187" s="2"/>
      <c r="N187" s="2"/>
      <c r="O187" s="1"/>
      <c r="P187" s="2"/>
      <c r="Q187" s="2"/>
      <c r="R187" s="2"/>
      <c r="S187" s="2"/>
      <c r="T187" s="2"/>
      <c r="U187" s="2"/>
      <c r="V187" s="2"/>
      <c r="W187" s="2"/>
      <c r="X187" s="2"/>
      <c r="Y187" s="2"/>
      <c r="Z187" s="2"/>
      <c r="AA187" s="2"/>
      <c r="AB187" s="2"/>
      <c r="AC187" s="2"/>
    </row>
    <row r="188" spans="1:29" ht="17.399999999999999" x14ac:dyDescent="0.25">
      <c r="A188" s="1"/>
      <c r="B188" s="2"/>
      <c r="C188" s="2"/>
      <c r="D188" s="2"/>
      <c r="E188" s="2"/>
      <c r="F188" s="2"/>
      <c r="G188" s="2"/>
      <c r="H188" s="2"/>
      <c r="I188" s="2"/>
      <c r="J188" s="2"/>
      <c r="K188" s="2"/>
      <c r="L188" s="2"/>
      <c r="M188" s="2"/>
      <c r="N188" s="2"/>
      <c r="O188" s="1"/>
      <c r="P188" s="2"/>
      <c r="Q188" s="2"/>
      <c r="R188" s="2"/>
      <c r="S188" s="2"/>
      <c r="T188" s="2"/>
      <c r="U188" s="2"/>
      <c r="V188" s="2"/>
      <c r="W188" s="2"/>
      <c r="X188" s="2"/>
      <c r="Y188" s="2"/>
      <c r="Z188" s="2"/>
      <c r="AA188" s="2"/>
      <c r="AB188" s="2"/>
      <c r="AC188" s="2"/>
    </row>
    <row r="189" spans="1:29" ht="17.399999999999999" x14ac:dyDescent="0.25">
      <c r="A189" s="1"/>
      <c r="B189" s="2"/>
      <c r="C189" s="2"/>
      <c r="D189" s="2"/>
      <c r="E189" s="2"/>
      <c r="F189" s="2"/>
      <c r="G189" s="2"/>
      <c r="H189" s="2"/>
      <c r="I189" s="2"/>
      <c r="J189" s="2"/>
      <c r="K189" s="2"/>
      <c r="L189" s="2"/>
      <c r="M189" s="2"/>
      <c r="N189" s="2"/>
      <c r="O189" s="1"/>
      <c r="P189" s="2"/>
      <c r="Q189" s="2"/>
      <c r="R189" s="2"/>
      <c r="S189" s="2"/>
      <c r="T189" s="2"/>
      <c r="U189" s="2"/>
      <c r="V189" s="2"/>
      <c r="W189" s="2"/>
      <c r="X189" s="2"/>
      <c r="Y189" s="2"/>
      <c r="Z189" s="2"/>
      <c r="AA189" s="2"/>
      <c r="AB189" s="2"/>
      <c r="AC189" s="2"/>
    </row>
    <row r="190" spans="1:29" ht="17.399999999999999" x14ac:dyDescent="0.25">
      <c r="A190" s="1"/>
      <c r="B190" s="2"/>
      <c r="C190" s="2"/>
      <c r="D190" s="2"/>
      <c r="E190" s="2"/>
      <c r="F190" s="2"/>
      <c r="G190" s="2"/>
      <c r="H190" s="2"/>
      <c r="I190" s="2"/>
      <c r="J190" s="2"/>
      <c r="K190" s="2"/>
      <c r="L190" s="2"/>
      <c r="M190" s="2"/>
      <c r="N190" s="2"/>
      <c r="O190" s="1"/>
      <c r="P190" s="2"/>
      <c r="Q190" s="2"/>
      <c r="R190" s="2"/>
      <c r="S190" s="2"/>
      <c r="T190" s="2"/>
      <c r="U190" s="2"/>
      <c r="V190" s="2"/>
      <c r="W190" s="2"/>
      <c r="X190" s="2"/>
      <c r="Y190" s="2"/>
      <c r="Z190" s="2"/>
      <c r="AA190" s="2"/>
      <c r="AB190" s="2"/>
      <c r="AC190" s="2"/>
    </row>
    <row r="191" spans="1:29" ht="17.399999999999999" x14ac:dyDescent="0.25">
      <c r="A191" s="1"/>
      <c r="B191" s="2"/>
      <c r="C191" s="2"/>
      <c r="D191" s="2"/>
      <c r="E191" s="2"/>
      <c r="F191" s="2"/>
      <c r="G191" s="2"/>
      <c r="H191" s="2"/>
      <c r="I191" s="2"/>
      <c r="J191" s="2"/>
      <c r="K191" s="2"/>
      <c r="L191" s="2"/>
      <c r="M191" s="2"/>
      <c r="N191" s="2"/>
      <c r="O191" s="1"/>
      <c r="P191" s="2"/>
      <c r="Q191" s="2"/>
      <c r="R191" s="2"/>
      <c r="S191" s="2"/>
      <c r="T191" s="2"/>
      <c r="U191" s="2"/>
      <c r="V191" s="2"/>
      <c r="W191" s="2"/>
      <c r="X191" s="2"/>
      <c r="Y191" s="2"/>
      <c r="Z191" s="2"/>
      <c r="AA191" s="2"/>
      <c r="AB191" s="2"/>
      <c r="AC191" s="2"/>
    </row>
    <row r="192" spans="1:29" ht="17.399999999999999" x14ac:dyDescent="0.25">
      <c r="A192" s="1"/>
      <c r="B192" s="2"/>
      <c r="C192" s="2"/>
      <c r="D192" s="2"/>
      <c r="E192" s="2"/>
      <c r="F192" s="2"/>
      <c r="G192" s="2"/>
      <c r="H192" s="2"/>
      <c r="I192" s="2"/>
      <c r="J192" s="2"/>
      <c r="K192" s="2"/>
      <c r="L192" s="2"/>
      <c r="M192" s="2"/>
      <c r="N192" s="2"/>
      <c r="O192" s="1"/>
      <c r="P192" s="2"/>
      <c r="Q192" s="2"/>
      <c r="R192" s="2"/>
      <c r="S192" s="2"/>
      <c r="T192" s="2"/>
      <c r="U192" s="2"/>
      <c r="V192" s="2"/>
      <c r="W192" s="2"/>
      <c r="X192" s="2"/>
      <c r="Y192" s="2"/>
      <c r="Z192" s="2"/>
      <c r="AA192" s="2"/>
      <c r="AB192" s="2"/>
      <c r="AC192" s="2"/>
    </row>
    <row r="193" spans="1:29" ht="17.399999999999999" x14ac:dyDescent="0.25">
      <c r="A193" s="1"/>
      <c r="B193" s="2"/>
      <c r="C193" s="2"/>
      <c r="D193" s="2"/>
      <c r="E193" s="2"/>
      <c r="F193" s="2"/>
      <c r="G193" s="2"/>
      <c r="H193" s="2"/>
      <c r="I193" s="2"/>
      <c r="J193" s="2"/>
      <c r="K193" s="2"/>
      <c r="L193" s="2"/>
      <c r="M193" s="2"/>
      <c r="N193" s="2"/>
      <c r="O193" s="1"/>
      <c r="P193" s="2"/>
      <c r="Q193" s="2"/>
      <c r="R193" s="2"/>
      <c r="S193" s="2"/>
      <c r="T193" s="2"/>
      <c r="U193" s="2"/>
      <c r="V193" s="2"/>
      <c r="W193" s="2"/>
      <c r="X193" s="2"/>
      <c r="Y193" s="2"/>
      <c r="Z193" s="2"/>
      <c r="AA193" s="2"/>
      <c r="AB193" s="2"/>
      <c r="AC193" s="2"/>
    </row>
    <row r="194" spans="1:29" ht="17.399999999999999" x14ac:dyDescent="0.25">
      <c r="A194" s="1"/>
      <c r="B194" s="2"/>
      <c r="C194" s="2"/>
      <c r="D194" s="2"/>
      <c r="E194" s="2"/>
      <c r="F194" s="2"/>
      <c r="G194" s="2"/>
      <c r="H194" s="2"/>
      <c r="I194" s="2"/>
      <c r="J194" s="2"/>
      <c r="K194" s="2"/>
      <c r="L194" s="2"/>
      <c r="M194" s="2"/>
      <c r="N194" s="2"/>
      <c r="O194" s="1"/>
      <c r="P194" s="2"/>
      <c r="Q194" s="2"/>
      <c r="R194" s="2"/>
      <c r="S194" s="2"/>
      <c r="T194" s="2"/>
      <c r="U194" s="2"/>
      <c r="V194" s="2"/>
      <c r="W194" s="2"/>
      <c r="X194" s="2"/>
      <c r="Y194" s="2"/>
      <c r="Z194" s="2"/>
      <c r="AA194" s="2"/>
      <c r="AB194" s="2"/>
      <c r="AC194" s="2"/>
    </row>
    <row r="195" spans="1:29" ht="17.399999999999999" x14ac:dyDescent="0.25">
      <c r="A195" s="1"/>
      <c r="B195" s="2"/>
      <c r="C195" s="2"/>
      <c r="D195" s="2"/>
      <c r="E195" s="2"/>
      <c r="F195" s="2"/>
      <c r="G195" s="2"/>
      <c r="H195" s="2"/>
      <c r="I195" s="2"/>
      <c r="J195" s="2"/>
      <c r="K195" s="2"/>
      <c r="L195" s="2"/>
      <c r="M195" s="2"/>
      <c r="N195" s="2"/>
      <c r="O195" s="1"/>
      <c r="P195" s="2"/>
      <c r="Q195" s="2"/>
      <c r="R195" s="2"/>
      <c r="S195" s="2"/>
      <c r="T195" s="2"/>
      <c r="U195" s="2"/>
      <c r="V195" s="2"/>
      <c r="W195" s="2"/>
      <c r="X195" s="2"/>
      <c r="Y195" s="2"/>
      <c r="Z195" s="2"/>
      <c r="AA195" s="2"/>
      <c r="AB195" s="2"/>
      <c r="AC195" s="2"/>
    </row>
    <row r="196" spans="1:29" ht="17.399999999999999" x14ac:dyDescent="0.25">
      <c r="A196" s="1"/>
      <c r="B196" s="2"/>
      <c r="C196" s="2"/>
      <c r="D196" s="2"/>
      <c r="E196" s="2"/>
      <c r="F196" s="2"/>
      <c r="G196" s="2"/>
      <c r="H196" s="2"/>
      <c r="I196" s="2"/>
      <c r="J196" s="2"/>
      <c r="K196" s="2"/>
      <c r="L196" s="2"/>
      <c r="M196" s="2"/>
      <c r="N196" s="2"/>
      <c r="O196" s="1"/>
      <c r="P196" s="2"/>
      <c r="Q196" s="2"/>
      <c r="R196" s="2"/>
      <c r="S196" s="2"/>
      <c r="T196" s="2"/>
      <c r="U196" s="2"/>
      <c r="V196" s="2"/>
      <c r="W196" s="2"/>
      <c r="X196" s="2"/>
      <c r="Y196" s="2"/>
      <c r="Z196" s="2"/>
      <c r="AA196" s="2"/>
      <c r="AB196" s="2"/>
      <c r="AC196" s="2"/>
    </row>
    <row r="197" spans="1:29" ht="17.399999999999999" x14ac:dyDescent="0.25">
      <c r="A197" s="1"/>
      <c r="B197" s="2"/>
      <c r="C197" s="2"/>
      <c r="D197" s="2"/>
      <c r="E197" s="2"/>
      <c r="F197" s="2"/>
      <c r="G197" s="2"/>
      <c r="H197" s="2"/>
      <c r="I197" s="2"/>
      <c r="J197" s="2"/>
      <c r="K197" s="2"/>
      <c r="L197" s="2"/>
      <c r="M197" s="2"/>
      <c r="N197" s="2"/>
      <c r="O197" s="1"/>
      <c r="P197" s="2"/>
      <c r="Q197" s="2"/>
      <c r="R197" s="2"/>
      <c r="S197" s="2"/>
      <c r="T197" s="2"/>
      <c r="U197" s="2"/>
      <c r="V197" s="2"/>
      <c r="W197" s="2"/>
      <c r="X197" s="2"/>
      <c r="Y197" s="2"/>
      <c r="Z197" s="2"/>
      <c r="AA197" s="2"/>
      <c r="AB197" s="2"/>
      <c r="AC197" s="2"/>
    </row>
    <row r="198" spans="1:29" ht="17.399999999999999" x14ac:dyDescent="0.25">
      <c r="A198" s="1"/>
      <c r="B198" s="2"/>
      <c r="C198" s="2"/>
      <c r="D198" s="2"/>
      <c r="E198" s="2"/>
      <c r="F198" s="2"/>
      <c r="G198" s="2"/>
      <c r="H198" s="2"/>
      <c r="I198" s="2"/>
      <c r="J198" s="2"/>
      <c r="K198" s="2"/>
      <c r="L198" s="2"/>
      <c r="M198" s="2"/>
      <c r="N198" s="2"/>
      <c r="O198" s="1"/>
      <c r="P198" s="2"/>
      <c r="Q198" s="2"/>
      <c r="R198" s="2"/>
      <c r="S198" s="2"/>
      <c r="T198" s="2"/>
      <c r="U198" s="2"/>
      <c r="V198" s="2"/>
      <c r="W198" s="2"/>
      <c r="X198" s="2"/>
      <c r="Y198" s="2"/>
      <c r="Z198" s="2"/>
      <c r="AA198" s="2"/>
      <c r="AB198" s="2"/>
      <c r="AC198" s="2"/>
    </row>
    <row r="199" spans="1:29" ht="17.399999999999999" x14ac:dyDescent="0.25">
      <c r="A199" s="1"/>
      <c r="B199" s="2"/>
      <c r="C199" s="2"/>
      <c r="D199" s="2"/>
      <c r="E199" s="2"/>
      <c r="F199" s="2"/>
      <c r="G199" s="2"/>
      <c r="H199" s="2"/>
      <c r="I199" s="2"/>
      <c r="J199" s="2"/>
      <c r="K199" s="2"/>
      <c r="L199" s="2"/>
      <c r="M199" s="2"/>
      <c r="N199" s="2"/>
      <c r="O199" s="1"/>
      <c r="P199" s="2"/>
      <c r="Q199" s="2"/>
      <c r="R199" s="2"/>
      <c r="S199" s="2"/>
      <c r="T199" s="2"/>
      <c r="U199" s="2"/>
      <c r="V199" s="2"/>
      <c r="W199" s="2"/>
      <c r="X199" s="2"/>
      <c r="Y199" s="2"/>
      <c r="Z199" s="2"/>
      <c r="AA199" s="2"/>
      <c r="AB199" s="2"/>
      <c r="AC199" s="2"/>
    </row>
    <row r="200" spans="1:29" ht="17.399999999999999" x14ac:dyDescent="0.25">
      <c r="A200" s="1"/>
      <c r="B200" s="2"/>
      <c r="C200" s="2"/>
      <c r="D200" s="2"/>
      <c r="E200" s="2"/>
      <c r="F200" s="2"/>
      <c r="G200" s="2"/>
      <c r="H200" s="2"/>
      <c r="I200" s="2"/>
      <c r="J200" s="2"/>
      <c r="K200" s="2"/>
      <c r="L200" s="2"/>
      <c r="M200" s="2"/>
      <c r="N200" s="2"/>
      <c r="O200" s="1"/>
      <c r="P200" s="2"/>
      <c r="Q200" s="2"/>
      <c r="R200" s="2"/>
      <c r="S200" s="2"/>
      <c r="T200" s="2"/>
      <c r="U200" s="2"/>
      <c r="V200" s="2"/>
      <c r="W200" s="2"/>
      <c r="X200" s="2"/>
      <c r="Y200" s="2"/>
      <c r="Z200" s="2"/>
      <c r="AA200" s="2"/>
      <c r="AB200" s="2"/>
      <c r="AC200" s="2"/>
    </row>
    <row r="201" spans="1:29" ht="17.399999999999999" x14ac:dyDescent="0.25">
      <c r="A201" s="1"/>
      <c r="B201" s="2"/>
      <c r="C201" s="2"/>
      <c r="D201" s="2"/>
      <c r="E201" s="2"/>
      <c r="F201" s="2"/>
      <c r="G201" s="2"/>
      <c r="H201" s="2"/>
      <c r="I201" s="2"/>
      <c r="J201" s="2"/>
      <c r="K201" s="2"/>
      <c r="L201" s="2"/>
      <c r="M201" s="2"/>
      <c r="N201" s="2"/>
      <c r="O201" s="1"/>
      <c r="P201" s="2"/>
      <c r="Q201" s="2"/>
      <c r="R201" s="2"/>
      <c r="S201" s="2"/>
      <c r="T201" s="2"/>
      <c r="U201" s="2"/>
      <c r="V201" s="2"/>
      <c r="W201" s="2"/>
      <c r="X201" s="2"/>
      <c r="Y201" s="2"/>
      <c r="Z201" s="2"/>
      <c r="AA201" s="2"/>
      <c r="AB201" s="2"/>
      <c r="AC201" s="2"/>
    </row>
    <row r="202" spans="1:29" ht="17.399999999999999" x14ac:dyDescent="0.25">
      <c r="A202" s="1"/>
      <c r="B202" s="2"/>
      <c r="C202" s="2"/>
      <c r="D202" s="2"/>
      <c r="E202" s="2"/>
      <c r="F202" s="2"/>
      <c r="G202" s="2"/>
      <c r="H202" s="2"/>
      <c r="I202" s="2"/>
      <c r="J202" s="2"/>
      <c r="K202" s="2"/>
      <c r="L202" s="2"/>
      <c r="M202" s="2"/>
      <c r="N202" s="2"/>
      <c r="O202" s="1"/>
      <c r="P202" s="2"/>
      <c r="Q202" s="2"/>
      <c r="R202" s="2"/>
      <c r="S202" s="2"/>
      <c r="T202" s="2"/>
      <c r="U202" s="2"/>
      <c r="V202" s="2"/>
      <c r="W202" s="2"/>
      <c r="X202" s="2"/>
      <c r="Y202" s="2"/>
      <c r="Z202" s="2"/>
      <c r="AA202" s="2"/>
      <c r="AB202" s="2"/>
      <c r="AC202" s="2"/>
    </row>
    <row r="203" spans="1:29" ht="17.399999999999999" x14ac:dyDescent="0.25">
      <c r="A203" s="1"/>
      <c r="B203" s="2"/>
      <c r="C203" s="2"/>
      <c r="D203" s="2"/>
      <c r="E203" s="2"/>
      <c r="F203" s="2"/>
      <c r="G203" s="2"/>
      <c r="H203" s="2"/>
      <c r="I203" s="2"/>
      <c r="J203" s="2"/>
      <c r="K203" s="2"/>
      <c r="L203" s="2"/>
      <c r="M203" s="2"/>
      <c r="N203" s="2"/>
      <c r="O203" s="1"/>
      <c r="P203" s="2"/>
      <c r="Q203" s="2"/>
      <c r="R203" s="2"/>
      <c r="S203" s="2"/>
      <c r="T203" s="2"/>
      <c r="U203" s="2"/>
      <c r="V203" s="2"/>
      <c r="W203" s="2"/>
      <c r="X203" s="2"/>
      <c r="Y203" s="2"/>
      <c r="Z203" s="2"/>
      <c r="AA203" s="2"/>
      <c r="AB203" s="2"/>
      <c r="AC203" s="2"/>
    </row>
    <row r="204" spans="1:29" ht="17.399999999999999" x14ac:dyDescent="0.25">
      <c r="A204" s="1"/>
      <c r="B204" s="2"/>
      <c r="C204" s="2"/>
      <c r="D204" s="2"/>
      <c r="E204" s="2"/>
      <c r="F204" s="2"/>
      <c r="G204" s="2"/>
      <c r="H204" s="2"/>
      <c r="I204" s="2"/>
      <c r="J204" s="2"/>
      <c r="K204" s="2"/>
      <c r="L204" s="2"/>
      <c r="M204" s="2"/>
      <c r="N204" s="2"/>
      <c r="O204" s="1"/>
      <c r="P204" s="2"/>
      <c r="Q204" s="2"/>
      <c r="R204" s="2"/>
      <c r="S204" s="2"/>
      <c r="T204" s="2"/>
      <c r="U204" s="2"/>
      <c r="V204" s="2"/>
      <c r="W204" s="2"/>
      <c r="X204" s="2"/>
      <c r="Y204" s="2"/>
      <c r="Z204" s="2"/>
      <c r="AA204" s="2"/>
      <c r="AB204" s="2"/>
      <c r="AC204" s="2"/>
    </row>
    <row r="205" spans="1:29" ht="17.399999999999999" x14ac:dyDescent="0.25">
      <c r="A205" s="1"/>
      <c r="B205" s="2"/>
      <c r="C205" s="2"/>
      <c r="D205" s="2"/>
      <c r="E205" s="2"/>
      <c r="F205" s="2"/>
      <c r="G205" s="2"/>
      <c r="H205" s="2"/>
      <c r="I205" s="2"/>
      <c r="J205" s="2"/>
      <c r="K205" s="2"/>
      <c r="L205" s="2"/>
      <c r="M205" s="2"/>
      <c r="N205" s="2"/>
      <c r="O205" s="1"/>
      <c r="P205" s="2"/>
      <c r="Q205" s="2"/>
      <c r="R205" s="2"/>
      <c r="S205" s="2"/>
      <c r="T205" s="2"/>
      <c r="U205" s="2"/>
      <c r="V205" s="2"/>
      <c r="W205" s="2"/>
      <c r="X205" s="2"/>
      <c r="Y205" s="2"/>
      <c r="Z205" s="2"/>
      <c r="AA205" s="2"/>
      <c r="AB205" s="2"/>
      <c r="AC205" s="2"/>
    </row>
    <row r="206" spans="1:29" ht="17.399999999999999" x14ac:dyDescent="0.25">
      <c r="A206" s="1"/>
      <c r="B206" s="2"/>
      <c r="C206" s="2"/>
      <c r="D206" s="2"/>
      <c r="E206" s="2"/>
      <c r="F206" s="2"/>
      <c r="G206" s="2"/>
      <c r="H206" s="2"/>
      <c r="I206" s="2"/>
      <c r="J206" s="2"/>
      <c r="K206" s="2"/>
      <c r="L206" s="2"/>
      <c r="M206" s="2"/>
      <c r="N206" s="2"/>
      <c r="O206" s="1"/>
      <c r="P206" s="2"/>
      <c r="Q206" s="2"/>
      <c r="R206" s="2"/>
      <c r="S206" s="2"/>
      <c r="T206" s="2"/>
      <c r="U206" s="2"/>
      <c r="V206" s="2"/>
      <c r="W206" s="2"/>
      <c r="X206" s="2"/>
      <c r="Y206" s="2"/>
      <c r="Z206" s="2"/>
      <c r="AA206" s="2"/>
      <c r="AB206" s="2"/>
      <c r="AC206" s="2"/>
    </row>
    <row r="207" spans="1:29" ht="17.399999999999999" x14ac:dyDescent="0.25">
      <c r="A207" s="1"/>
      <c r="B207" s="2"/>
      <c r="C207" s="2"/>
      <c r="D207" s="2"/>
      <c r="E207" s="2"/>
      <c r="F207" s="2"/>
      <c r="G207" s="2"/>
      <c r="H207" s="2"/>
      <c r="I207" s="2"/>
      <c r="J207" s="2"/>
      <c r="K207" s="2"/>
      <c r="L207" s="2"/>
      <c r="M207" s="2"/>
      <c r="N207" s="2"/>
      <c r="O207" s="1"/>
      <c r="P207" s="2"/>
      <c r="Q207" s="2"/>
      <c r="R207" s="2"/>
      <c r="S207" s="2"/>
      <c r="T207" s="2"/>
      <c r="U207" s="2"/>
      <c r="V207" s="2"/>
      <c r="W207" s="2"/>
      <c r="X207" s="2"/>
      <c r="Y207" s="2"/>
      <c r="Z207" s="2"/>
      <c r="AA207" s="2"/>
      <c r="AB207" s="2"/>
      <c r="AC207" s="2"/>
    </row>
    <row r="208" spans="1:29" ht="17.399999999999999" x14ac:dyDescent="0.25">
      <c r="A208" s="1"/>
      <c r="B208" s="2"/>
      <c r="C208" s="2"/>
      <c r="D208" s="2"/>
      <c r="E208" s="2"/>
      <c r="F208" s="2"/>
      <c r="G208" s="2"/>
      <c r="H208" s="2"/>
      <c r="I208" s="2"/>
      <c r="J208" s="2"/>
      <c r="K208" s="2"/>
      <c r="L208" s="2"/>
      <c r="M208" s="2"/>
      <c r="N208" s="2"/>
      <c r="O208" s="1"/>
      <c r="P208" s="2"/>
      <c r="Q208" s="2"/>
      <c r="R208" s="2"/>
      <c r="S208" s="2"/>
      <c r="T208" s="2"/>
      <c r="U208" s="2"/>
      <c r="V208" s="2"/>
      <c r="W208" s="2"/>
      <c r="X208" s="2"/>
      <c r="Y208" s="2"/>
      <c r="Z208" s="2"/>
      <c r="AA208" s="2"/>
      <c r="AB208" s="2"/>
      <c r="AC208" s="2"/>
    </row>
    <row r="209" spans="1:29" ht="17.399999999999999" x14ac:dyDescent="0.25">
      <c r="A209" s="1"/>
      <c r="B209" s="2"/>
      <c r="C209" s="2"/>
      <c r="D209" s="2"/>
      <c r="E209" s="2"/>
      <c r="F209" s="2"/>
      <c r="G209" s="2"/>
      <c r="H209" s="2"/>
      <c r="I209" s="2"/>
      <c r="J209" s="2"/>
      <c r="K209" s="2"/>
      <c r="L209" s="2"/>
      <c r="M209" s="2"/>
      <c r="N209" s="2"/>
      <c r="O209" s="1"/>
      <c r="P209" s="2"/>
      <c r="Q209" s="2"/>
      <c r="R209" s="2"/>
      <c r="S209" s="2"/>
      <c r="T209" s="2"/>
      <c r="U209" s="2"/>
      <c r="V209" s="2"/>
      <c r="W209" s="2"/>
      <c r="X209" s="2"/>
      <c r="Y209" s="2"/>
      <c r="Z209" s="2"/>
      <c r="AA209" s="2"/>
      <c r="AB209" s="2"/>
      <c r="AC209" s="2"/>
    </row>
    <row r="210" spans="1:29" ht="17.399999999999999" x14ac:dyDescent="0.25">
      <c r="A210" s="1"/>
      <c r="B210" s="2"/>
      <c r="C210" s="2"/>
      <c r="D210" s="2"/>
      <c r="E210" s="2"/>
      <c r="F210" s="2"/>
      <c r="G210" s="2"/>
      <c r="H210" s="2"/>
      <c r="I210" s="2"/>
      <c r="J210" s="2"/>
      <c r="K210" s="2"/>
      <c r="L210" s="2"/>
      <c r="M210" s="2"/>
      <c r="N210" s="2"/>
      <c r="O210" s="1"/>
      <c r="P210" s="2"/>
      <c r="Q210" s="2"/>
      <c r="R210" s="2"/>
      <c r="S210" s="2"/>
      <c r="T210" s="2"/>
      <c r="U210" s="2"/>
      <c r="V210" s="2"/>
      <c r="W210" s="2"/>
      <c r="X210" s="2"/>
      <c r="Y210" s="2"/>
      <c r="Z210" s="2"/>
      <c r="AA210" s="2"/>
      <c r="AB210" s="2"/>
      <c r="AC210" s="2"/>
    </row>
    <row r="211" spans="1:29" ht="17.399999999999999" x14ac:dyDescent="0.25">
      <c r="A211" s="1"/>
      <c r="B211" s="2"/>
      <c r="C211" s="2"/>
      <c r="D211" s="2"/>
      <c r="E211" s="2"/>
      <c r="F211" s="2"/>
      <c r="G211" s="2"/>
      <c r="H211" s="2"/>
      <c r="I211" s="2"/>
      <c r="J211" s="2"/>
      <c r="K211" s="2"/>
      <c r="L211" s="2"/>
      <c r="M211" s="2"/>
      <c r="N211" s="2"/>
      <c r="O211" s="1"/>
      <c r="P211" s="2"/>
      <c r="Q211" s="2"/>
      <c r="R211" s="2"/>
      <c r="S211" s="2"/>
      <c r="T211" s="2"/>
      <c r="U211" s="2"/>
      <c r="V211" s="2"/>
      <c r="W211" s="2"/>
      <c r="X211" s="2"/>
      <c r="Y211" s="2"/>
      <c r="Z211" s="2"/>
      <c r="AA211" s="2"/>
      <c r="AB211" s="2"/>
      <c r="AC211" s="2"/>
    </row>
    <row r="212" spans="1:29" ht="17.399999999999999" x14ac:dyDescent="0.25">
      <c r="A212" s="1"/>
      <c r="B212" s="2"/>
      <c r="C212" s="2"/>
      <c r="D212" s="2"/>
      <c r="E212" s="2"/>
      <c r="F212" s="2"/>
      <c r="G212" s="2"/>
      <c r="H212" s="2"/>
      <c r="I212" s="2"/>
      <c r="J212" s="2"/>
      <c r="K212" s="2"/>
      <c r="L212" s="2"/>
      <c r="M212" s="2"/>
      <c r="N212" s="2"/>
      <c r="O212" s="1"/>
      <c r="P212" s="2"/>
      <c r="Q212" s="2"/>
      <c r="R212" s="2"/>
      <c r="S212" s="2"/>
      <c r="T212" s="2"/>
      <c r="U212" s="2"/>
      <c r="V212" s="2"/>
      <c r="W212" s="2"/>
      <c r="X212" s="2"/>
      <c r="Y212" s="2"/>
      <c r="Z212" s="2"/>
      <c r="AA212" s="2"/>
      <c r="AB212" s="2"/>
      <c r="AC212" s="2"/>
    </row>
    <row r="213" spans="1:29" ht="17.399999999999999" x14ac:dyDescent="0.25">
      <c r="A213" s="1"/>
      <c r="B213" s="2"/>
      <c r="C213" s="2"/>
      <c r="D213" s="2"/>
      <c r="E213" s="2"/>
      <c r="F213" s="2"/>
      <c r="G213" s="2"/>
      <c r="H213" s="2"/>
      <c r="I213" s="2"/>
      <c r="J213" s="2"/>
      <c r="K213" s="2"/>
      <c r="L213" s="2"/>
      <c r="M213" s="2"/>
      <c r="N213" s="2"/>
      <c r="O213" s="1"/>
      <c r="P213" s="2"/>
      <c r="Q213" s="2"/>
      <c r="R213" s="2"/>
      <c r="S213" s="2"/>
      <c r="T213" s="2"/>
      <c r="U213" s="2"/>
      <c r="V213" s="2"/>
      <c r="W213" s="2"/>
      <c r="X213" s="2"/>
      <c r="Y213" s="2"/>
      <c r="Z213" s="2"/>
      <c r="AA213" s="2"/>
      <c r="AB213" s="2"/>
      <c r="AC213" s="2"/>
    </row>
    <row r="214" spans="1:29" ht="17.399999999999999" x14ac:dyDescent="0.25">
      <c r="A214" s="1"/>
      <c r="B214" s="2"/>
      <c r="C214" s="2"/>
      <c r="D214" s="2"/>
      <c r="E214" s="2"/>
      <c r="F214" s="2"/>
      <c r="G214" s="2"/>
      <c r="H214" s="2"/>
      <c r="I214" s="2"/>
      <c r="J214" s="2"/>
      <c r="K214" s="2"/>
      <c r="L214" s="2"/>
      <c r="M214" s="2"/>
      <c r="N214" s="2"/>
      <c r="O214" s="1"/>
      <c r="P214" s="2"/>
      <c r="Q214" s="2"/>
      <c r="R214" s="2"/>
      <c r="S214" s="2"/>
      <c r="T214" s="2"/>
      <c r="U214" s="2"/>
      <c r="V214" s="2"/>
      <c r="W214" s="2"/>
      <c r="X214" s="2"/>
      <c r="Y214" s="2"/>
      <c r="Z214" s="2"/>
      <c r="AA214" s="2"/>
      <c r="AB214" s="2"/>
      <c r="AC214" s="2"/>
    </row>
    <row r="215" spans="1:29" ht="17.399999999999999" x14ac:dyDescent="0.25">
      <c r="A215" s="1"/>
      <c r="B215" s="2"/>
      <c r="C215" s="2"/>
      <c r="D215" s="2"/>
      <c r="E215" s="2"/>
      <c r="F215" s="2"/>
      <c r="G215" s="2"/>
      <c r="H215" s="2"/>
      <c r="I215" s="2"/>
      <c r="J215" s="2"/>
      <c r="K215" s="2"/>
      <c r="L215" s="2"/>
      <c r="M215" s="2"/>
      <c r="N215" s="2"/>
      <c r="O215" s="1"/>
      <c r="P215" s="2"/>
      <c r="Q215" s="2"/>
      <c r="R215" s="2"/>
      <c r="S215" s="2"/>
      <c r="T215" s="2"/>
      <c r="U215" s="2"/>
      <c r="V215" s="2"/>
      <c r="W215" s="2"/>
      <c r="X215" s="2"/>
      <c r="Y215" s="2"/>
      <c r="Z215" s="2"/>
      <c r="AA215" s="2"/>
      <c r="AB215" s="2"/>
      <c r="AC215" s="2"/>
    </row>
    <row r="216" spans="1:29" ht="17.399999999999999" x14ac:dyDescent="0.25">
      <c r="A216" s="1"/>
      <c r="B216" s="2"/>
      <c r="C216" s="2"/>
      <c r="D216" s="2"/>
      <c r="E216" s="2"/>
      <c r="F216" s="2"/>
      <c r="G216" s="2"/>
      <c r="H216" s="2"/>
      <c r="I216" s="2"/>
      <c r="J216" s="2"/>
      <c r="K216" s="2"/>
      <c r="L216" s="2"/>
      <c r="M216" s="2"/>
      <c r="N216" s="2"/>
      <c r="O216" s="1"/>
      <c r="P216" s="2"/>
      <c r="Q216" s="2"/>
      <c r="R216" s="2"/>
      <c r="S216" s="2"/>
      <c r="T216" s="2"/>
      <c r="U216" s="2"/>
      <c r="V216" s="2"/>
      <c r="W216" s="2"/>
      <c r="X216" s="2"/>
      <c r="Y216" s="2"/>
      <c r="Z216" s="2"/>
      <c r="AA216" s="2"/>
      <c r="AB216" s="2"/>
      <c r="AC216" s="2"/>
    </row>
    <row r="217" spans="1:29" ht="17.399999999999999" x14ac:dyDescent="0.25">
      <c r="A217" s="1"/>
      <c r="B217" s="2"/>
      <c r="C217" s="2"/>
      <c r="D217" s="2"/>
      <c r="E217" s="2"/>
      <c r="F217" s="2"/>
      <c r="G217" s="2"/>
      <c r="H217" s="2"/>
      <c r="I217" s="2"/>
      <c r="J217" s="2"/>
      <c r="K217" s="2"/>
      <c r="L217" s="2"/>
      <c r="M217" s="2"/>
      <c r="N217" s="2"/>
      <c r="O217" s="1"/>
      <c r="P217" s="2"/>
      <c r="Q217" s="2"/>
      <c r="R217" s="2"/>
      <c r="S217" s="2"/>
      <c r="T217" s="2"/>
      <c r="U217" s="2"/>
      <c r="V217" s="2"/>
      <c r="W217" s="2"/>
      <c r="X217" s="2"/>
      <c r="Y217" s="2"/>
      <c r="Z217" s="2"/>
      <c r="AA217" s="2"/>
      <c r="AB217" s="2"/>
      <c r="AC217" s="2"/>
    </row>
    <row r="218" spans="1:29" ht="17.399999999999999" x14ac:dyDescent="0.25">
      <c r="A218" s="1"/>
      <c r="B218" s="2"/>
      <c r="C218" s="2"/>
      <c r="D218" s="2"/>
      <c r="E218" s="2"/>
      <c r="F218" s="2"/>
      <c r="G218" s="2"/>
      <c r="H218" s="2"/>
      <c r="I218" s="2"/>
      <c r="J218" s="2"/>
      <c r="K218" s="2"/>
      <c r="L218" s="2"/>
      <c r="M218" s="2"/>
      <c r="N218" s="2"/>
      <c r="O218" s="1"/>
      <c r="P218" s="2"/>
      <c r="Q218" s="2"/>
      <c r="R218" s="2"/>
      <c r="S218" s="2"/>
      <c r="T218" s="2"/>
      <c r="U218" s="2"/>
      <c r="V218" s="2"/>
      <c r="W218" s="2"/>
      <c r="X218" s="2"/>
      <c r="Y218" s="2"/>
      <c r="Z218" s="2"/>
      <c r="AA218" s="2"/>
      <c r="AB218" s="2"/>
      <c r="AC218" s="2"/>
    </row>
    <row r="219" spans="1:29" ht="17.399999999999999" x14ac:dyDescent="0.25">
      <c r="A219" s="1"/>
      <c r="B219" s="2"/>
      <c r="C219" s="2"/>
      <c r="D219" s="2"/>
      <c r="E219" s="2"/>
      <c r="F219" s="2"/>
      <c r="G219" s="2"/>
      <c r="H219" s="2"/>
      <c r="I219" s="2"/>
      <c r="J219" s="2"/>
      <c r="K219" s="2"/>
      <c r="L219" s="2"/>
      <c r="M219" s="2"/>
      <c r="N219" s="2"/>
      <c r="O219" s="1"/>
      <c r="P219" s="2"/>
      <c r="Q219" s="2"/>
      <c r="R219" s="2"/>
      <c r="S219" s="2"/>
      <c r="T219" s="2"/>
      <c r="U219" s="2"/>
      <c r="V219" s="2"/>
      <c r="W219" s="2"/>
      <c r="X219" s="2"/>
      <c r="Y219" s="2"/>
      <c r="Z219" s="2"/>
      <c r="AA219" s="2"/>
      <c r="AB219" s="2"/>
      <c r="AC219" s="2"/>
    </row>
    <row r="220" spans="1:29" ht="17.399999999999999" x14ac:dyDescent="0.25">
      <c r="A220" s="1"/>
      <c r="B220" s="2"/>
      <c r="C220" s="2"/>
      <c r="D220" s="2"/>
      <c r="E220" s="2"/>
      <c r="F220" s="2"/>
      <c r="G220" s="2"/>
      <c r="H220" s="2"/>
      <c r="I220" s="2"/>
      <c r="J220" s="2"/>
      <c r="K220" s="2"/>
      <c r="L220" s="2"/>
      <c r="M220" s="2"/>
      <c r="N220" s="2"/>
      <c r="O220" s="1"/>
      <c r="P220" s="2"/>
      <c r="Q220" s="2"/>
      <c r="R220" s="2"/>
      <c r="S220" s="2"/>
      <c r="T220" s="2"/>
      <c r="U220" s="2"/>
      <c r="V220" s="2"/>
      <c r="W220" s="2"/>
      <c r="X220" s="2"/>
      <c r="Y220" s="2"/>
      <c r="Z220" s="2"/>
      <c r="AA220" s="2"/>
      <c r="AB220" s="2"/>
      <c r="AC220" s="2"/>
    </row>
    <row r="221" spans="1:29" ht="17.399999999999999" x14ac:dyDescent="0.25">
      <c r="A221" s="1"/>
      <c r="B221" s="2"/>
      <c r="C221" s="2"/>
      <c r="D221" s="2"/>
      <c r="E221" s="2"/>
      <c r="F221" s="2"/>
      <c r="G221" s="2"/>
      <c r="H221" s="2"/>
      <c r="I221" s="2"/>
      <c r="J221" s="2"/>
      <c r="K221" s="2"/>
      <c r="L221" s="2"/>
      <c r="M221" s="2"/>
      <c r="N221" s="2"/>
      <c r="O221" s="1"/>
      <c r="P221" s="2"/>
      <c r="Q221" s="2"/>
      <c r="R221" s="2"/>
      <c r="S221" s="2"/>
      <c r="T221" s="2"/>
      <c r="U221" s="2"/>
      <c r="V221" s="2"/>
      <c r="W221" s="2"/>
      <c r="X221" s="2"/>
      <c r="Y221" s="2"/>
      <c r="Z221" s="2"/>
      <c r="AA221" s="2"/>
      <c r="AB221" s="2"/>
      <c r="AC221" s="2"/>
    </row>
    <row r="222" spans="1:29" ht="17.399999999999999" x14ac:dyDescent="0.25">
      <c r="A222" s="1"/>
      <c r="B222" s="2"/>
      <c r="C222" s="2"/>
      <c r="D222" s="2"/>
      <c r="E222" s="2"/>
      <c r="F222" s="2"/>
      <c r="G222" s="2"/>
      <c r="H222" s="2"/>
      <c r="I222" s="2"/>
      <c r="J222" s="2"/>
      <c r="K222" s="2"/>
      <c r="L222" s="2"/>
      <c r="M222" s="2"/>
      <c r="N222" s="2"/>
      <c r="O222" s="1"/>
      <c r="P222" s="2"/>
      <c r="Q222" s="2"/>
      <c r="R222" s="2"/>
      <c r="S222" s="2"/>
      <c r="T222" s="2"/>
      <c r="U222" s="2"/>
      <c r="V222" s="2"/>
      <c r="W222" s="2"/>
      <c r="X222" s="2"/>
      <c r="Y222" s="2"/>
      <c r="Z222" s="2"/>
      <c r="AA222" s="2"/>
      <c r="AB222" s="2"/>
      <c r="AC222" s="2"/>
    </row>
    <row r="223" spans="1:29" ht="17.399999999999999" x14ac:dyDescent="0.25">
      <c r="A223" s="1"/>
      <c r="B223" s="2"/>
      <c r="C223" s="2"/>
      <c r="D223" s="2"/>
      <c r="E223" s="2"/>
      <c r="F223" s="2"/>
      <c r="G223" s="2"/>
      <c r="H223" s="2"/>
      <c r="I223" s="2"/>
      <c r="J223" s="2"/>
      <c r="K223" s="2"/>
      <c r="L223" s="2"/>
      <c r="M223" s="2"/>
      <c r="N223" s="2"/>
      <c r="O223" s="1"/>
      <c r="P223" s="2"/>
      <c r="Q223" s="2"/>
      <c r="R223" s="2"/>
      <c r="S223" s="2"/>
      <c r="T223" s="2"/>
      <c r="U223" s="2"/>
      <c r="V223" s="2"/>
      <c r="W223" s="2"/>
      <c r="X223" s="2"/>
      <c r="Y223" s="2"/>
      <c r="Z223" s="2"/>
      <c r="AA223" s="2"/>
      <c r="AB223" s="2"/>
      <c r="AC223" s="2"/>
    </row>
    <row r="224" spans="1:29" ht="17.399999999999999" x14ac:dyDescent="0.25">
      <c r="A224" s="1"/>
      <c r="B224" s="2"/>
      <c r="C224" s="2"/>
      <c r="D224" s="2"/>
      <c r="E224" s="2"/>
      <c r="F224" s="2"/>
      <c r="G224" s="2"/>
      <c r="H224" s="2"/>
      <c r="I224" s="2"/>
      <c r="J224" s="2"/>
      <c r="K224" s="2"/>
      <c r="L224" s="2"/>
      <c r="M224" s="2"/>
      <c r="N224" s="2"/>
      <c r="O224" s="1"/>
      <c r="P224" s="2"/>
      <c r="Q224" s="2"/>
      <c r="R224" s="2"/>
      <c r="S224" s="2"/>
      <c r="T224" s="2"/>
      <c r="U224" s="2"/>
      <c r="V224" s="2"/>
      <c r="W224" s="2"/>
      <c r="X224" s="2"/>
      <c r="Y224" s="2"/>
      <c r="Z224" s="2"/>
      <c r="AA224" s="2"/>
      <c r="AB224" s="2"/>
      <c r="AC224" s="2"/>
    </row>
    <row r="225" spans="1:29" ht="17.399999999999999" x14ac:dyDescent="0.25">
      <c r="A225" s="1"/>
      <c r="B225" s="2"/>
      <c r="C225" s="2"/>
      <c r="D225" s="2"/>
      <c r="E225" s="2"/>
      <c r="F225" s="2"/>
      <c r="G225" s="2"/>
      <c r="H225" s="2"/>
      <c r="I225" s="2"/>
      <c r="J225" s="2"/>
      <c r="K225" s="2"/>
      <c r="L225" s="2"/>
      <c r="M225" s="2"/>
      <c r="N225" s="2"/>
      <c r="O225" s="1"/>
      <c r="P225" s="2"/>
      <c r="Q225" s="2"/>
      <c r="R225" s="2"/>
      <c r="S225" s="2"/>
      <c r="T225" s="2"/>
      <c r="U225" s="2"/>
      <c r="V225" s="2"/>
      <c r="W225" s="2"/>
      <c r="X225" s="2"/>
      <c r="Y225" s="2"/>
      <c r="Z225" s="2"/>
      <c r="AA225" s="2"/>
      <c r="AB225" s="2"/>
      <c r="AC225" s="2"/>
    </row>
    <row r="226" spans="1:29" ht="17.399999999999999" x14ac:dyDescent="0.25">
      <c r="A226" s="1"/>
      <c r="B226" s="2"/>
      <c r="C226" s="2"/>
      <c r="D226" s="2"/>
      <c r="E226" s="2"/>
      <c r="F226" s="2"/>
      <c r="G226" s="2"/>
      <c r="H226" s="2"/>
      <c r="I226" s="2"/>
      <c r="J226" s="2"/>
      <c r="K226" s="2"/>
      <c r="L226" s="2"/>
      <c r="M226" s="2"/>
      <c r="N226" s="2"/>
      <c r="O226" s="1"/>
      <c r="P226" s="2"/>
      <c r="Q226" s="2"/>
      <c r="R226" s="2"/>
      <c r="S226" s="2"/>
      <c r="T226" s="2"/>
      <c r="U226" s="2"/>
      <c r="V226" s="2"/>
      <c r="W226" s="2"/>
      <c r="X226" s="2"/>
      <c r="Y226" s="2"/>
      <c r="Z226" s="2"/>
      <c r="AA226" s="2"/>
      <c r="AB226" s="2"/>
      <c r="AC226" s="2"/>
    </row>
    <row r="227" spans="1:29" ht="17.399999999999999" x14ac:dyDescent="0.25">
      <c r="A227" s="1"/>
      <c r="B227" s="2"/>
      <c r="C227" s="2"/>
      <c r="D227" s="2"/>
      <c r="E227" s="2"/>
      <c r="F227" s="2"/>
      <c r="G227" s="2"/>
      <c r="H227" s="2"/>
      <c r="I227" s="2"/>
      <c r="J227" s="2"/>
      <c r="K227" s="2"/>
      <c r="L227" s="2"/>
      <c r="M227" s="2"/>
      <c r="N227" s="2"/>
      <c r="O227" s="1"/>
      <c r="P227" s="2"/>
      <c r="Q227" s="2"/>
      <c r="R227" s="2"/>
      <c r="S227" s="2"/>
      <c r="T227" s="2"/>
      <c r="U227" s="2"/>
      <c r="V227" s="2"/>
      <c r="W227" s="2"/>
      <c r="X227" s="2"/>
      <c r="Y227" s="2"/>
      <c r="Z227" s="2"/>
      <c r="AA227" s="2"/>
      <c r="AB227" s="2"/>
      <c r="AC227" s="2"/>
    </row>
    <row r="228" spans="1:29" ht="17.399999999999999" x14ac:dyDescent="0.25">
      <c r="A228" s="1"/>
      <c r="B228" s="2"/>
      <c r="C228" s="2"/>
      <c r="D228" s="2"/>
      <c r="E228" s="2"/>
      <c r="F228" s="2"/>
      <c r="G228" s="2"/>
      <c r="H228" s="2"/>
      <c r="I228" s="2"/>
      <c r="J228" s="2"/>
      <c r="K228" s="2"/>
      <c r="L228" s="2"/>
      <c r="M228" s="2"/>
      <c r="N228" s="2"/>
      <c r="O228" s="1"/>
      <c r="P228" s="2"/>
      <c r="Q228" s="2"/>
      <c r="R228" s="2"/>
      <c r="S228" s="2"/>
      <c r="T228" s="2"/>
      <c r="U228" s="2"/>
      <c r="V228" s="2"/>
      <c r="W228" s="2"/>
      <c r="X228" s="2"/>
      <c r="Y228" s="2"/>
      <c r="Z228" s="2"/>
      <c r="AA228" s="2"/>
      <c r="AB228" s="2"/>
      <c r="AC228" s="2"/>
    </row>
    <row r="229" spans="1:29" ht="17.399999999999999" x14ac:dyDescent="0.25">
      <c r="A229" s="1"/>
      <c r="B229" s="2"/>
      <c r="C229" s="2"/>
      <c r="D229" s="2"/>
      <c r="E229" s="2"/>
      <c r="F229" s="2"/>
      <c r="G229" s="2"/>
      <c r="H229" s="2"/>
      <c r="I229" s="2"/>
      <c r="J229" s="2"/>
      <c r="K229" s="2"/>
      <c r="L229" s="2"/>
      <c r="M229" s="2"/>
      <c r="N229" s="2"/>
      <c r="O229" s="1"/>
      <c r="P229" s="2"/>
      <c r="Q229" s="2"/>
      <c r="R229" s="2"/>
      <c r="S229" s="2"/>
      <c r="T229" s="2"/>
      <c r="U229" s="2"/>
      <c r="V229" s="2"/>
      <c r="W229" s="2"/>
      <c r="X229" s="2"/>
      <c r="Y229" s="2"/>
      <c r="Z229" s="2"/>
      <c r="AA229" s="2"/>
      <c r="AB229" s="2"/>
      <c r="AC229" s="2"/>
    </row>
    <row r="230" spans="1:29" ht="17.399999999999999" x14ac:dyDescent="0.25">
      <c r="A230" s="1"/>
      <c r="B230" s="2"/>
      <c r="C230" s="2"/>
      <c r="D230" s="2"/>
      <c r="E230" s="2"/>
      <c r="F230" s="2"/>
      <c r="G230" s="2"/>
      <c r="H230" s="2"/>
      <c r="I230" s="2"/>
      <c r="J230" s="2"/>
      <c r="K230" s="2"/>
      <c r="L230" s="2"/>
      <c r="M230" s="2"/>
      <c r="N230" s="2"/>
      <c r="O230" s="1"/>
      <c r="P230" s="2"/>
      <c r="Q230" s="2"/>
      <c r="R230" s="2"/>
      <c r="S230" s="2"/>
      <c r="T230" s="2"/>
      <c r="U230" s="2"/>
      <c r="V230" s="2"/>
      <c r="W230" s="2"/>
      <c r="X230" s="2"/>
      <c r="Y230" s="2"/>
      <c r="Z230" s="2"/>
      <c r="AA230" s="2"/>
      <c r="AB230" s="2"/>
      <c r="AC230" s="2"/>
    </row>
    <row r="231" spans="1:29" ht="17.399999999999999" x14ac:dyDescent="0.25">
      <c r="A231" s="1"/>
      <c r="B231" s="2"/>
      <c r="C231" s="2"/>
      <c r="D231" s="2"/>
      <c r="E231" s="2"/>
      <c r="F231" s="2"/>
      <c r="G231" s="2"/>
      <c r="H231" s="2"/>
      <c r="I231" s="2"/>
      <c r="J231" s="2"/>
      <c r="K231" s="2"/>
      <c r="L231" s="2"/>
      <c r="M231" s="2"/>
      <c r="N231" s="2"/>
      <c r="O231" s="1"/>
      <c r="P231" s="2"/>
      <c r="Q231" s="2"/>
      <c r="R231" s="2"/>
      <c r="S231" s="2"/>
      <c r="T231" s="2"/>
      <c r="U231" s="2"/>
      <c r="V231" s="2"/>
      <c r="W231" s="2"/>
      <c r="X231" s="2"/>
      <c r="Y231" s="2"/>
      <c r="Z231" s="2"/>
      <c r="AA231" s="2"/>
      <c r="AB231" s="2"/>
      <c r="AC231" s="2"/>
    </row>
    <row r="232" spans="1:29" ht="17.399999999999999" x14ac:dyDescent="0.25">
      <c r="A232" s="1"/>
      <c r="B232" s="2"/>
      <c r="C232" s="2"/>
      <c r="D232" s="2"/>
      <c r="E232" s="2"/>
      <c r="F232" s="2"/>
      <c r="G232" s="2"/>
      <c r="H232" s="2"/>
      <c r="I232" s="2"/>
      <c r="J232" s="2"/>
      <c r="K232" s="2"/>
      <c r="L232" s="2"/>
      <c r="M232" s="2"/>
      <c r="N232" s="2"/>
      <c r="O232" s="1"/>
      <c r="P232" s="2"/>
      <c r="Q232" s="2"/>
      <c r="R232" s="2"/>
      <c r="S232" s="2"/>
      <c r="T232" s="2"/>
      <c r="U232" s="2"/>
      <c r="V232" s="2"/>
      <c r="W232" s="2"/>
      <c r="X232" s="2"/>
      <c r="Y232" s="2"/>
      <c r="Z232" s="2"/>
      <c r="AA232" s="2"/>
      <c r="AB232" s="2"/>
      <c r="AC232" s="2"/>
    </row>
    <row r="233" spans="1:29" ht="17.399999999999999" x14ac:dyDescent="0.25">
      <c r="A233" s="1"/>
      <c r="B233" s="2"/>
      <c r="C233" s="2"/>
      <c r="D233" s="2"/>
      <c r="E233" s="2"/>
      <c r="F233" s="2"/>
      <c r="G233" s="2"/>
      <c r="H233" s="2"/>
      <c r="I233" s="2"/>
      <c r="J233" s="2"/>
      <c r="K233" s="2"/>
      <c r="L233" s="2"/>
      <c r="M233" s="2"/>
      <c r="N233" s="2"/>
      <c r="O233" s="1"/>
      <c r="P233" s="2"/>
      <c r="Q233" s="2"/>
      <c r="R233" s="2"/>
      <c r="S233" s="2"/>
      <c r="T233" s="2"/>
      <c r="U233" s="2"/>
      <c r="V233" s="2"/>
      <c r="W233" s="2"/>
      <c r="X233" s="2"/>
      <c r="Y233" s="2"/>
      <c r="Z233" s="2"/>
      <c r="AA233" s="2"/>
      <c r="AB233" s="2"/>
      <c r="AC233" s="2"/>
    </row>
    <row r="234" spans="1:29" ht="17.399999999999999" x14ac:dyDescent="0.25">
      <c r="A234" s="1"/>
      <c r="B234" s="2"/>
      <c r="C234" s="2"/>
      <c r="D234" s="2"/>
      <c r="E234" s="2"/>
      <c r="F234" s="2"/>
      <c r="G234" s="2"/>
      <c r="H234" s="2"/>
      <c r="I234" s="2"/>
      <c r="J234" s="2"/>
      <c r="K234" s="2"/>
      <c r="L234" s="2"/>
      <c r="M234" s="2"/>
      <c r="N234" s="2"/>
      <c r="O234" s="1"/>
      <c r="P234" s="2"/>
      <c r="Q234" s="2"/>
      <c r="R234" s="2"/>
      <c r="S234" s="2"/>
      <c r="T234" s="2"/>
      <c r="U234" s="2"/>
      <c r="V234" s="2"/>
      <c r="W234" s="2"/>
      <c r="X234" s="2"/>
      <c r="Y234" s="2"/>
      <c r="Z234" s="2"/>
      <c r="AA234" s="2"/>
      <c r="AB234" s="2"/>
      <c r="AC234" s="2"/>
    </row>
    <row r="235" spans="1:29" ht="17.399999999999999" x14ac:dyDescent="0.25">
      <c r="A235" s="1"/>
      <c r="B235" s="2"/>
      <c r="C235" s="2"/>
      <c r="D235" s="2"/>
      <c r="E235" s="2"/>
      <c r="F235" s="2"/>
      <c r="G235" s="2"/>
      <c r="H235" s="2"/>
      <c r="I235" s="2"/>
      <c r="J235" s="2"/>
      <c r="K235" s="2"/>
      <c r="L235" s="2"/>
      <c r="M235" s="2"/>
      <c r="N235" s="2"/>
      <c r="O235" s="1"/>
      <c r="P235" s="2"/>
      <c r="Q235" s="2"/>
      <c r="R235" s="2"/>
      <c r="S235" s="2"/>
      <c r="T235" s="2"/>
      <c r="U235" s="2"/>
      <c r="V235" s="2"/>
      <c r="W235" s="2"/>
      <c r="X235" s="2"/>
      <c r="Y235" s="2"/>
      <c r="Z235" s="2"/>
      <c r="AA235" s="2"/>
      <c r="AB235" s="2"/>
      <c r="AC235" s="2"/>
    </row>
    <row r="236" spans="1:29" ht="17.399999999999999" x14ac:dyDescent="0.25">
      <c r="A236" s="1"/>
      <c r="B236" s="2"/>
      <c r="C236" s="2"/>
      <c r="D236" s="2"/>
      <c r="E236" s="2"/>
      <c r="F236" s="2"/>
      <c r="G236" s="2"/>
      <c r="H236" s="2"/>
      <c r="I236" s="2"/>
      <c r="J236" s="2"/>
      <c r="K236" s="2"/>
      <c r="L236" s="2"/>
      <c r="M236" s="2"/>
      <c r="N236" s="2"/>
      <c r="O236" s="1"/>
      <c r="P236" s="2"/>
      <c r="Q236" s="2"/>
      <c r="R236" s="2"/>
      <c r="S236" s="2"/>
      <c r="T236" s="2"/>
      <c r="U236" s="2"/>
      <c r="V236" s="2"/>
      <c r="W236" s="2"/>
      <c r="X236" s="2"/>
      <c r="Y236" s="2"/>
      <c r="Z236" s="2"/>
      <c r="AA236" s="2"/>
      <c r="AB236" s="2"/>
      <c r="AC236" s="2"/>
    </row>
    <row r="237" spans="1:29" ht="17.399999999999999" x14ac:dyDescent="0.25">
      <c r="A237" s="1"/>
      <c r="B237" s="2"/>
      <c r="C237" s="2"/>
      <c r="D237" s="2"/>
      <c r="E237" s="2"/>
      <c r="F237" s="2"/>
      <c r="G237" s="2"/>
      <c r="H237" s="2"/>
      <c r="I237" s="2"/>
      <c r="J237" s="2"/>
      <c r="K237" s="2"/>
      <c r="L237" s="2"/>
      <c r="M237" s="2"/>
      <c r="N237" s="2"/>
      <c r="O237" s="1"/>
      <c r="P237" s="2"/>
      <c r="Q237" s="2"/>
      <c r="R237" s="2"/>
      <c r="S237" s="2"/>
      <c r="T237" s="2"/>
      <c r="U237" s="2"/>
      <c r="V237" s="2"/>
      <c r="W237" s="2"/>
      <c r="X237" s="2"/>
      <c r="Y237" s="2"/>
      <c r="Z237" s="2"/>
      <c r="AA237" s="2"/>
      <c r="AB237" s="2"/>
      <c r="AC237" s="2"/>
    </row>
    <row r="238" spans="1:29" ht="17.399999999999999" x14ac:dyDescent="0.25">
      <c r="A238" s="1"/>
      <c r="B238" s="2"/>
      <c r="C238" s="2"/>
      <c r="D238" s="2"/>
      <c r="E238" s="2"/>
      <c r="F238" s="2"/>
      <c r="G238" s="2"/>
      <c r="H238" s="2"/>
      <c r="I238" s="2"/>
      <c r="J238" s="2"/>
      <c r="K238" s="2"/>
      <c r="L238" s="2"/>
      <c r="M238" s="2"/>
      <c r="N238" s="2"/>
      <c r="O238" s="1"/>
      <c r="P238" s="2"/>
      <c r="Q238" s="2"/>
      <c r="R238" s="2"/>
      <c r="S238" s="2"/>
      <c r="T238" s="2"/>
      <c r="U238" s="2"/>
      <c r="V238" s="2"/>
      <c r="W238" s="2"/>
      <c r="X238" s="2"/>
      <c r="Y238" s="2"/>
      <c r="Z238" s="2"/>
      <c r="AA238" s="2"/>
      <c r="AB238" s="2"/>
      <c r="AC238" s="2"/>
    </row>
    <row r="239" spans="1:29" ht="17.399999999999999" x14ac:dyDescent="0.25">
      <c r="A239" s="1"/>
      <c r="B239" s="2"/>
      <c r="C239" s="2"/>
      <c r="D239" s="2"/>
      <c r="E239" s="2"/>
      <c r="F239" s="2"/>
      <c r="G239" s="2"/>
      <c r="H239" s="2"/>
      <c r="I239" s="2"/>
      <c r="J239" s="2"/>
      <c r="K239" s="2"/>
      <c r="L239" s="2"/>
      <c r="M239" s="2"/>
      <c r="N239" s="2"/>
      <c r="O239" s="1"/>
      <c r="P239" s="2"/>
      <c r="Q239" s="2"/>
      <c r="R239" s="2"/>
      <c r="S239" s="2"/>
      <c r="T239" s="2"/>
      <c r="U239" s="2"/>
      <c r="V239" s="2"/>
      <c r="W239" s="2"/>
      <c r="X239" s="2"/>
      <c r="Y239" s="2"/>
      <c r="Z239" s="2"/>
      <c r="AA239" s="2"/>
      <c r="AB239" s="2"/>
      <c r="AC239" s="2"/>
    </row>
    <row r="240" spans="1:29" ht="17.399999999999999" x14ac:dyDescent="0.25">
      <c r="A240" s="1"/>
      <c r="B240" s="2"/>
      <c r="C240" s="2"/>
      <c r="D240" s="2"/>
      <c r="E240" s="2"/>
      <c r="F240" s="2"/>
      <c r="G240" s="2"/>
      <c r="H240" s="2"/>
      <c r="I240" s="2"/>
      <c r="J240" s="2"/>
      <c r="K240" s="2"/>
      <c r="L240" s="2"/>
      <c r="M240" s="2"/>
      <c r="N240" s="2"/>
      <c r="O240" s="1"/>
      <c r="P240" s="2"/>
      <c r="Q240" s="2"/>
      <c r="R240" s="2"/>
      <c r="S240" s="2"/>
      <c r="T240" s="2"/>
      <c r="U240" s="2"/>
      <c r="V240" s="2"/>
      <c r="W240" s="2"/>
      <c r="X240" s="2"/>
      <c r="Y240" s="2"/>
      <c r="Z240" s="2"/>
      <c r="AA240" s="2"/>
      <c r="AB240" s="2"/>
      <c r="AC240" s="2"/>
    </row>
    <row r="241" spans="1:29" ht="17.399999999999999" x14ac:dyDescent="0.25">
      <c r="A241" s="1"/>
      <c r="B241" s="2"/>
      <c r="C241" s="2"/>
      <c r="D241" s="2"/>
      <c r="E241" s="2"/>
      <c r="F241" s="2"/>
      <c r="G241" s="2"/>
      <c r="H241" s="2"/>
      <c r="I241" s="2"/>
      <c r="J241" s="2"/>
      <c r="K241" s="2"/>
      <c r="L241" s="2"/>
      <c r="M241" s="2"/>
      <c r="N241" s="2"/>
      <c r="O241" s="1"/>
      <c r="P241" s="2"/>
      <c r="Q241" s="2"/>
      <c r="R241" s="2"/>
      <c r="S241" s="2"/>
      <c r="T241" s="2"/>
      <c r="U241" s="2"/>
      <c r="V241" s="2"/>
      <c r="W241" s="2"/>
      <c r="X241" s="2"/>
      <c r="Y241" s="2"/>
      <c r="Z241" s="2"/>
      <c r="AA241" s="2"/>
      <c r="AB241" s="2"/>
      <c r="AC241" s="2"/>
    </row>
    <row r="242" spans="1:29" ht="17.399999999999999" x14ac:dyDescent="0.25">
      <c r="A242" s="1"/>
      <c r="B242" s="2"/>
      <c r="C242" s="2"/>
      <c r="D242" s="2"/>
      <c r="E242" s="2"/>
      <c r="F242" s="2"/>
      <c r="G242" s="2"/>
      <c r="H242" s="2"/>
      <c r="I242" s="2"/>
      <c r="J242" s="2"/>
      <c r="K242" s="2"/>
      <c r="L242" s="2"/>
      <c r="M242" s="2"/>
      <c r="N242" s="2"/>
      <c r="O242" s="1"/>
      <c r="P242" s="2"/>
      <c r="Q242" s="2"/>
      <c r="R242" s="2"/>
      <c r="S242" s="2"/>
      <c r="T242" s="2"/>
      <c r="U242" s="2"/>
      <c r="V242" s="2"/>
      <c r="W242" s="2"/>
      <c r="X242" s="2"/>
      <c r="Y242" s="2"/>
      <c r="Z242" s="2"/>
      <c r="AA242" s="2"/>
      <c r="AB242" s="2"/>
      <c r="AC242" s="2"/>
    </row>
    <row r="243" spans="1:29" ht="17.399999999999999" x14ac:dyDescent="0.25">
      <c r="A243" s="1"/>
      <c r="B243" s="2"/>
      <c r="C243" s="2"/>
      <c r="D243" s="2"/>
      <c r="E243" s="2"/>
      <c r="F243" s="2"/>
      <c r="G243" s="2"/>
      <c r="H243" s="2"/>
      <c r="I243" s="2"/>
      <c r="J243" s="2"/>
      <c r="K243" s="2"/>
      <c r="L243" s="2"/>
      <c r="M243" s="2"/>
      <c r="N243" s="2"/>
      <c r="O243" s="1"/>
      <c r="P243" s="2"/>
      <c r="Q243" s="2"/>
      <c r="R243" s="2"/>
      <c r="S243" s="2"/>
      <c r="T243" s="2"/>
      <c r="U243" s="2"/>
      <c r="V243" s="2"/>
      <c r="W243" s="2"/>
      <c r="X243" s="2"/>
      <c r="Y243" s="2"/>
      <c r="Z243" s="2"/>
      <c r="AA243" s="2"/>
      <c r="AB243" s="2"/>
      <c r="AC243" s="2"/>
    </row>
    <row r="244" spans="1:29" ht="17.399999999999999" x14ac:dyDescent="0.25">
      <c r="A244" s="1"/>
      <c r="B244" s="2"/>
      <c r="C244" s="2"/>
      <c r="D244" s="2"/>
      <c r="E244" s="2"/>
      <c r="F244" s="2"/>
      <c r="G244" s="2"/>
      <c r="H244" s="2"/>
      <c r="I244" s="2"/>
      <c r="J244" s="2"/>
      <c r="K244" s="2"/>
      <c r="L244" s="2"/>
      <c r="M244" s="2"/>
      <c r="N244" s="2"/>
      <c r="O244" s="1"/>
      <c r="P244" s="2"/>
      <c r="Q244" s="2"/>
      <c r="R244" s="2"/>
      <c r="S244" s="2"/>
      <c r="T244" s="2"/>
      <c r="U244" s="2"/>
      <c r="V244" s="2"/>
      <c r="W244" s="2"/>
      <c r="X244" s="2"/>
      <c r="Y244" s="2"/>
      <c r="Z244" s="2"/>
      <c r="AA244" s="2"/>
      <c r="AB244" s="2"/>
      <c r="AC244" s="2"/>
    </row>
    <row r="245" spans="1:29" ht="17.399999999999999" x14ac:dyDescent="0.25">
      <c r="A245" s="1"/>
      <c r="B245" s="2"/>
      <c r="C245" s="2"/>
      <c r="D245" s="2"/>
      <c r="E245" s="2"/>
      <c r="F245" s="2"/>
      <c r="G245" s="2"/>
      <c r="H245" s="2"/>
      <c r="I245" s="2"/>
      <c r="J245" s="2"/>
      <c r="K245" s="2"/>
      <c r="L245" s="2"/>
      <c r="M245" s="2"/>
      <c r="N245" s="2"/>
      <c r="O245" s="1"/>
      <c r="P245" s="2"/>
      <c r="Q245" s="2"/>
      <c r="R245" s="2"/>
      <c r="S245" s="2"/>
      <c r="T245" s="2"/>
      <c r="U245" s="2"/>
      <c r="V245" s="2"/>
      <c r="W245" s="2"/>
      <c r="X245" s="2"/>
      <c r="Y245" s="2"/>
      <c r="Z245" s="2"/>
      <c r="AA245" s="2"/>
      <c r="AB245" s="2"/>
      <c r="AC245" s="2"/>
    </row>
    <row r="246" spans="1:29" ht="17.399999999999999" x14ac:dyDescent="0.25">
      <c r="A246" s="1"/>
      <c r="B246" s="2"/>
      <c r="C246" s="2"/>
      <c r="D246" s="2"/>
      <c r="E246" s="2"/>
      <c r="F246" s="2"/>
      <c r="G246" s="2"/>
      <c r="H246" s="2"/>
      <c r="I246" s="2"/>
      <c r="J246" s="2"/>
      <c r="K246" s="2"/>
      <c r="L246" s="2"/>
      <c r="M246" s="2"/>
      <c r="N246" s="2"/>
      <c r="O246" s="1"/>
      <c r="P246" s="2"/>
      <c r="Q246" s="2"/>
      <c r="R246" s="2"/>
      <c r="S246" s="2"/>
      <c r="T246" s="2"/>
      <c r="U246" s="2"/>
      <c r="V246" s="2"/>
      <c r="W246" s="2"/>
      <c r="X246" s="2"/>
      <c r="Y246" s="2"/>
      <c r="Z246" s="2"/>
      <c r="AA246" s="2"/>
      <c r="AB246" s="2"/>
      <c r="AC246" s="2"/>
    </row>
    <row r="247" spans="1:29" ht="17.399999999999999" x14ac:dyDescent="0.25">
      <c r="A247" s="1"/>
      <c r="B247" s="2"/>
      <c r="C247" s="2"/>
      <c r="D247" s="2"/>
      <c r="E247" s="2"/>
      <c r="F247" s="2"/>
      <c r="G247" s="2"/>
      <c r="H247" s="2"/>
      <c r="I247" s="2"/>
      <c r="J247" s="2"/>
      <c r="K247" s="2"/>
      <c r="L247" s="2"/>
      <c r="M247" s="2"/>
      <c r="N247" s="2"/>
      <c r="O247" s="1"/>
      <c r="P247" s="2"/>
      <c r="Q247" s="2"/>
      <c r="R247" s="2"/>
      <c r="S247" s="2"/>
      <c r="T247" s="2"/>
      <c r="U247" s="2"/>
      <c r="V247" s="2"/>
      <c r="W247" s="2"/>
      <c r="X247" s="2"/>
      <c r="Y247" s="2"/>
      <c r="Z247" s="2"/>
      <c r="AA247" s="2"/>
      <c r="AB247" s="2"/>
      <c r="AC247" s="2"/>
    </row>
    <row r="248" spans="1:29" ht="17.399999999999999" x14ac:dyDescent="0.25">
      <c r="A248" s="1"/>
      <c r="B248" s="2"/>
      <c r="C248" s="2"/>
      <c r="D248" s="2"/>
      <c r="E248" s="2"/>
      <c r="F248" s="2"/>
      <c r="G248" s="2"/>
      <c r="H248" s="2"/>
      <c r="I248" s="2"/>
      <c r="J248" s="2"/>
      <c r="K248" s="2"/>
      <c r="L248" s="2"/>
      <c r="M248" s="2"/>
      <c r="N248" s="2"/>
      <c r="O248" s="1"/>
      <c r="P248" s="2"/>
      <c r="Q248" s="2"/>
      <c r="R248" s="2"/>
      <c r="S248" s="2"/>
      <c r="T248" s="2"/>
      <c r="U248" s="2"/>
      <c r="V248" s="2"/>
      <c r="W248" s="2"/>
      <c r="X248" s="2"/>
      <c r="Y248" s="2"/>
      <c r="Z248" s="2"/>
      <c r="AA248" s="2"/>
      <c r="AB248" s="2"/>
      <c r="AC248" s="2"/>
    </row>
    <row r="249" spans="1:29" ht="17.399999999999999" x14ac:dyDescent="0.25">
      <c r="A249" s="1"/>
      <c r="B249" s="2"/>
      <c r="C249" s="2"/>
      <c r="D249" s="2"/>
      <c r="E249" s="2"/>
      <c r="F249" s="2"/>
      <c r="G249" s="2"/>
      <c r="H249" s="2"/>
      <c r="I249" s="2"/>
      <c r="J249" s="2"/>
      <c r="K249" s="2"/>
      <c r="L249" s="2"/>
      <c r="M249" s="2"/>
      <c r="N249" s="2"/>
      <c r="O249" s="1"/>
      <c r="P249" s="2"/>
      <c r="Q249" s="2"/>
      <c r="R249" s="2"/>
      <c r="S249" s="2"/>
      <c r="T249" s="2"/>
      <c r="U249" s="2"/>
      <c r="V249" s="2"/>
      <c r="W249" s="2"/>
      <c r="X249" s="2"/>
      <c r="Y249" s="2"/>
      <c r="Z249" s="2"/>
      <c r="AA249" s="2"/>
      <c r="AB249" s="2"/>
      <c r="AC249" s="2"/>
    </row>
    <row r="250" spans="1:29" ht="17.399999999999999" x14ac:dyDescent="0.25">
      <c r="A250" s="1"/>
      <c r="B250" s="2"/>
      <c r="C250" s="2"/>
      <c r="D250" s="2"/>
      <c r="E250" s="2"/>
      <c r="F250" s="2"/>
      <c r="G250" s="2"/>
      <c r="H250" s="2"/>
      <c r="I250" s="2"/>
      <c r="J250" s="2"/>
      <c r="K250" s="2"/>
      <c r="L250" s="2"/>
      <c r="M250" s="2"/>
      <c r="N250" s="2"/>
      <c r="O250" s="1"/>
      <c r="P250" s="2"/>
      <c r="Q250" s="2"/>
      <c r="R250" s="2"/>
      <c r="S250" s="2"/>
      <c r="T250" s="2"/>
      <c r="U250" s="2"/>
      <c r="V250" s="2"/>
      <c r="W250" s="2"/>
      <c r="X250" s="2"/>
      <c r="Y250" s="2"/>
      <c r="Z250" s="2"/>
      <c r="AA250" s="2"/>
      <c r="AB250" s="2"/>
      <c r="AC250" s="2"/>
    </row>
    <row r="251" spans="1:29" ht="17.399999999999999" x14ac:dyDescent="0.25">
      <c r="A251" s="1"/>
      <c r="B251" s="2"/>
      <c r="C251" s="2"/>
      <c r="D251" s="2"/>
      <c r="E251" s="2"/>
      <c r="F251" s="2"/>
      <c r="G251" s="2"/>
      <c r="H251" s="2"/>
      <c r="I251" s="2"/>
      <c r="J251" s="2"/>
      <c r="K251" s="2"/>
      <c r="L251" s="2"/>
      <c r="M251" s="2"/>
      <c r="N251" s="2"/>
      <c r="O251" s="1"/>
      <c r="P251" s="2"/>
      <c r="Q251" s="2"/>
      <c r="R251" s="2"/>
      <c r="S251" s="2"/>
      <c r="T251" s="2"/>
      <c r="U251" s="2"/>
      <c r="V251" s="2"/>
      <c r="W251" s="2"/>
      <c r="X251" s="2"/>
      <c r="Y251" s="2"/>
      <c r="Z251" s="2"/>
      <c r="AA251" s="2"/>
      <c r="AB251" s="2"/>
      <c r="AC251" s="2"/>
    </row>
    <row r="252" spans="1:29" ht="17.399999999999999" x14ac:dyDescent="0.25">
      <c r="A252" s="1"/>
      <c r="B252" s="2"/>
      <c r="C252" s="2"/>
      <c r="D252" s="2"/>
      <c r="E252" s="2"/>
      <c r="F252" s="2"/>
      <c r="G252" s="2"/>
      <c r="H252" s="2"/>
      <c r="I252" s="2"/>
      <c r="J252" s="2"/>
      <c r="K252" s="2"/>
      <c r="L252" s="2"/>
      <c r="M252" s="2"/>
      <c r="N252" s="2"/>
      <c r="O252" s="1"/>
      <c r="P252" s="2"/>
      <c r="Q252" s="2"/>
      <c r="R252" s="2"/>
      <c r="S252" s="2"/>
      <c r="T252" s="2"/>
      <c r="U252" s="2"/>
      <c r="V252" s="2"/>
      <c r="W252" s="2"/>
      <c r="X252" s="2"/>
      <c r="Y252" s="2"/>
      <c r="Z252" s="2"/>
      <c r="AA252" s="2"/>
      <c r="AB252" s="2"/>
      <c r="AC252" s="2"/>
    </row>
    <row r="253" spans="1:29" ht="17.399999999999999" x14ac:dyDescent="0.25">
      <c r="A253" s="1"/>
      <c r="B253" s="2"/>
      <c r="C253" s="2"/>
      <c r="D253" s="2"/>
      <c r="E253" s="2"/>
      <c r="F253" s="2"/>
      <c r="G253" s="2"/>
      <c r="H253" s="2"/>
      <c r="I253" s="2"/>
      <c r="J253" s="2"/>
      <c r="K253" s="2"/>
      <c r="L253" s="2"/>
      <c r="M253" s="2"/>
      <c r="N253" s="2"/>
      <c r="O253" s="1"/>
      <c r="P253" s="2"/>
      <c r="Q253" s="2"/>
      <c r="R253" s="2"/>
      <c r="S253" s="2"/>
      <c r="T253" s="2"/>
      <c r="U253" s="2"/>
      <c r="V253" s="2"/>
      <c r="W253" s="2"/>
      <c r="X253" s="2"/>
      <c r="Y253" s="2"/>
      <c r="Z253" s="2"/>
      <c r="AA253" s="2"/>
      <c r="AB253" s="2"/>
      <c r="AC253" s="2"/>
    </row>
    <row r="254" spans="1:29" ht="17.399999999999999" x14ac:dyDescent="0.25">
      <c r="A254" s="1"/>
      <c r="B254" s="2"/>
      <c r="C254" s="2"/>
      <c r="D254" s="2"/>
      <c r="E254" s="2"/>
      <c r="F254" s="2"/>
      <c r="G254" s="2"/>
      <c r="H254" s="2"/>
      <c r="I254" s="2"/>
      <c r="J254" s="2"/>
      <c r="K254" s="2"/>
      <c r="L254" s="2"/>
      <c r="M254" s="2"/>
      <c r="N254" s="2"/>
      <c r="O254" s="1"/>
      <c r="P254" s="2"/>
      <c r="Q254" s="2"/>
      <c r="R254" s="2"/>
      <c r="S254" s="2"/>
      <c r="T254" s="2"/>
      <c r="U254" s="2"/>
      <c r="V254" s="2"/>
      <c r="W254" s="2"/>
      <c r="X254" s="2"/>
      <c r="Y254" s="2"/>
      <c r="Z254" s="2"/>
      <c r="AA254" s="2"/>
      <c r="AB254" s="2"/>
      <c r="AC254" s="2"/>
    </row>
    <row r="255" spans="1:29" ht="17.399999999999999" x14ac:dyDescent="0.25">
      <c r="A255" s="1"/>
      <c r="B255" s="2"/>
      <c r="C255" s="2"/>
      <c r="D255" s="2"/>
      <c r="E255" s="2"/>
      <c r="F255" s="2"/>
      <c r="G255" s="2"/>
      <c r="H255" s="2"/>
      <c r="I255" s="2"/>
      <c r="J255" s="2"/>
      <c r="K255" s="2"/>
      <c r="L255" s="2"/>
      <c r="M255" s="2"/>
      <c r="N255" s="2"/>
      <c r="O255" s="1"/>
      <c r="P255" s="2"/>
      <c r="Q255" s="2"/>
      <c r="R255" s="2"/>
      <c r="S255" s="2"/>
      <c r="T255" s="2"/>
      <c r="U255" s="2"/>
      <c r="V255" s="2"/>
      <c r="W255" s="2"/>
      <c r="X255" s="2"/>
      <c r="Y255" s="2"/>
      <c r="Z255" s="2"/>
      <c r="AA255" s="2"/>
      <c r="AB255" s="2"/>
      <c r="AC255" s="2"/>
    </row>
    <row r="256" spans="1:29" ht="17.399999999999999" x14ac:dyDescent="0.25">
      <c r="A256" s="1"/>
      <c r="B256" s="2"/>
      <c r="C256" s="2"/>
      <c r="D256" s="2"/>
      <c r="E256" s="2"/>
      <c r="F256" s="2"/>
      <c r="G256" s="2"/>
      <c r="H256" s="2"/>
      <c r="I256" s="2"/>
      <c r="J256" s="2"/>
      <c r="K256" s="2"/>
      <c r="L256" s="2"/>
      <c r="M256" s="2"/>
      <c r="N256" s="2"/>
      <c r="O256" s="1"/>
      <c r="P256" s="2"/>
      <c r="Q256" s="2"/>
      <c r="R256" s="2"/>
      <c r="S256" s="2"/>
      <c r="T256" s="2"/>
      <c r="U256" s="2"/>
      <c r="V256" s="2"/>
      <c r="W256" s="2"/>
      <c r="X256" s="2"/>
      <c r="Y256" s="2"/>
      <c r="Z256" s="2"/>
      <c r="AA256" s="2"/>
      <c r="AB256" s="2"/>
      <c r="AC256" s="2"/>
    </row>
    <row r="257" spans="1:29" ht="17.399999999999999" x14ac:dyDescent="0.25">
      <c r="A257" s="1"/>
      <c r="B257" s="2"/>
      <c r="C257" s="2"/>
      <c r="D257" s="2"/>
      <c r="E257" s="2"/>
      <c r="F257" s="2"/>
      <c r="G257" s="2"/>
      <c r="H257" s="2"/>
      <c r="I257" s="2"/>
      <c r="J257" s="2"/>
      <c r="K257" s="2"/>
      <c r="L257" s="2"/>
      <c r="M257" s="2"/>
      <c r="N257" s="2"/>
      <c r="O257" s="1"/>
      <c r="P257" s="2"/>
      <c r="Q257" s="2"/>
      <c r="R257" s="2"/>
      <c r="S257" s="2"/>
      <c r="T257" s="2"/>
      <c r="U257" s="2"/>
      <c r="V257" s="2"/>
      <c r="W257" s="2"/>
      <c r="X257" s="2"/>
      <c r="Y257" s="2"/>
      <c r="Z257" s="2"/>
      <c r="AA257" s="2"/>
      <c r="AB257" s="2"/>
      <c r="AC257" s="2"/>
    </row>
    <row r="258" spans="1:29" ht="17.399999999999999" x14ac:dyDescent="0.25">
      <c r="A258" s="1"/>
      <c r="B258" s="2"/>
      <c r="C258" s="2"/>
      <c r="D258" s="2"/>
      <c r="E258" s="2"/>
      <c r="F258" s="2"/>
      <c r="G258" s="2"/>
      <c r="H258" s="2"/>
      <c r="I258" s="2"/>
      <c r="J258" s="2"/>
      <c r="K258" s="2"/>
      <c r="L258" s="2"/>
      <c r="M258" s="2"/>
      <c r="N258" s="2"/>
      <c r="O258" s="1"/>
      <c r="P258" s="2"/>
      <c r="Q258" s="2"/>
      <c r="R258" s="2"/>
      <c r="S258" s="2"/>
      <c r="T258" s="2"/>
      <c r="U258" s="2"/>
      <c r="V258" s="2"/>
      <c r="W258" s="2"/>
      <c r="X258" s="2"/>
      <c r="Y258" s="2"/>
      <c r="Z258" s="2"/>
      <c r="AA258" s="2"/>
      <c r="AB258" s="2"/>
      <c r="AC258" s="2"/>
    </row>
    <row r="259" spans="1:29" ht="17.399999999999999" x14ac:dyDescent="0.25">
      <c r="A259" s="1"/>
      <c r="B259" s="2"/>
      <c r="C259" s="2"/>
      <c r="D259" s="2"/>
      <c r="E259" s="2"/>
      <c r="F259" s="2"/>
      <c r="G259" s="2"/>
      <c r="H259" s="2"/>
      <c r="I259" s="2"/>
      <c r="J259" s="2"/>
      <c r="K259" s="2"/>
      <c r="L259" s="2"/>
      <c r="M259" s="2"/>
      <c r="N259" s="2"/>
      <c r="O259" s="1"/>
      <c r="P259" s="2"/>
      <c r="Q259" s="2"/>
      <c r="R259" s="2"/>
      <c r="S259" s="2"/>
      <c r="T259" s="2"/>
      <c r="U259" s="2"/>
      <c r="V259" s="2"/>
      <c r="W259" s="2"/>
      <c r="X259" s="2"/>
      <c r="Y259" s="2"/>
      <c r="Z259" s="2"/>
      <c r="AA259" s="2"/>
      <c r="AB259" s="2"/>
      <c r="AC259" s="2"/>
    </row>
    <row r="260" spans="1:29" ht="17.399999999999999" x14ac:dyDescent="0.25">
      <c r="A260" s="1"/>
      <c r="B260" s="2"/>
      <c r="C260" s="2"/>
      <c r="D260" s="2"/>
      <c r="E260" s="2"/>
      <c r="F260" s="2"/>
      <c r="G260" s="2"/>
      <c r="H260" s="2"/>
      <c r="I260" s="2"/>
      <c r="J260" s="2"/>
      <c r="K260" s="2"/>
      <c r="L260" s="2"/>
      <c r="M260" s="2"/>
      <c r="N260" s="2"/>
      <c r="O260" s="1"/>
      <c r="P260" s="2"/>
      <c r="Q260" s="2"/>
      <c r="R260" s="2"/>
      <c r="S260" s="2"/>
      <c r="T260" s="2"/>
      <c r="U260" s="2"/>
      <c r="V260" s="2"/>
      <c r="W260" s="2"/>
      <c r="X260" s="2"/>
      <c r="Y260" s="2"/>
      <c r="Z260" s="2"/>
      <c r="AA260" s="2"/>
      <c r="AB260" s="2"/>
      <c r="AC260" s="2"/>
    </row>
    <row r="261" spans="1:29" ht="17.399999999999999" x14ac:dyDescent="0.25">
      <c r="A261" s="1"/>
      <c r="B261" s="2"/>
      <c r="C261" s="2"/>
      <c r="D261" s="2"/>
      <c r="E261" s="2"/>
      <c r="F261" s="2"/>
      <c r="G261" s="2"/>
      <c r="H261" s="2"/>
      <c r="I261" s="2"/>
      <c r="J261" s="2"/>
      <c r="K261" s="2"/>
      <c r="L261" s="2"/>
      <c r="M261" s="2"/>
      <c r="N261" s="2"/>
      <c r="O261" s="1"/>
      <c r="P261" s="2"/>
      <c r="Q261" s="2"/>
      <c r="R261" s="2"/>
      <c r="S261" s="2"/>
      <c r="T261" s="2"/>
      <c r="U261" s="2"/>
      <c r="V261" s="2"/>
      <c r="W261" s="2"/>
      <c r="X261" s="2"/>
      <c r="Y261" s="2"/>
      <c r="Z261" s="2"/>
      <c r="AA261" s="2"/>
      <c r="AB261" s="2"/>
      <c r="AC261" s="2"/>
    </row>
    <row r="262" spans="1:29" ht="17.399999999999999" x14ac:dyDescent="0.25">
      <c r="A262" s="1"/>
      <c r="B262" s="2"/>
      <c r="C262" s="2"/>
      <c r="D262" s="2"/>
      <c r="E262" s="2"/>
      <c r="F262" s="2"/>
      <c r="G262" s="2"/>
      <c r="H262" s="2"/>
      <c r="I262" s="2"/>
      <c r="J262" s="2"/>
      <c r="K262" s="2"/>
      <c r="L262" s="2"/>
      <c r="M262" s="2"/>
      <c r="N262" s="2"/>
      <c r="O262" s="1"/>
      <c r="P262" s="2"/>
      <c r="Q262" s="2"/>
      <c r="R262" s="2"/>
      <c r="S262" s="2"/>
      <c r="T262" s="2"/>
      <c r="U262" s="2"/>
      <c r="V262" s="2"/>
      <c r="W262" s="2"/>
      <c r="X262" s="2"/>
      <c r="Y262" s="2"/>
      <c r="Z262" s="2"/>
      <c r="AA262" s="2"/>
      <c r="AB262" s="2"/>
      <c r="AC262" s="2"/>
    </row>
    <row r="263" spans="1:29" ht="17.399999999999999" x14ac:dyDescent="0.25">
      <c r="A263" s="1"/>
      <c r="B263" s="2"/>
      <c r="C263" s="2"/>
      <c r="D263" s="2"/>
      <c r="E263" s="2"/>
      <c r="F263" s="2"/>
      <c r="G263" s="2"/>
      <c r="H263" s="2"/>
      <c r="I263" s="2"/>
      <c r="J263" s="2"/>
      <c r="K263" s="2"/>
      <c r="L263" s="2"/>
      <c r="M263" s="2"/>
      <c r="N263" s="2"/>
      <c r="O263" s="1"/>
      <c r="P263" s="2"/>
      <c r="Q263" s="2"/>
      <c r="R263" s="2"/>
      <c r="S263" s="2"/>
      <c r="T263" s="2"/>
      <c r="U263" s="2"/>
      <c r="V263" s="2"/>
      <c r="W263" s="2"/>
      <c r="X263" s="2"/>
      <c r="Y263" s="2"/>
      <c r="Z263" s="2"/>
      <c r="AA263" s="2"/>
      <c r="AB263" s="2"/>
      <c r="AC263" s="2"/>
    </row>
    <row r="264" spans="1:29" ht="17.399999999999999" x14ac:dyDescent="0.25">
      <c r="A264" s="1"/>
      <c r="B264" s="2"/>
      <c r="C264" s="2"/>
      <c r="D264" s="2"/>
      <c r="E264" s="2"/>
      <c r="F264" s="2"/>
      <c r="G264" s="2"/>
      <c r="H264" s="2"/>
      <c r="I264" s="2"/>
      <c r="J264" s="2"/>
      <c r="K264" s="2"/>
      <c r="L264" s="2"/>
      <c r="M264" s="2"/>
      <c r="N264" s="2"/>
      <c r="O264" s="1"/>
      <c r="P264" s="2"/>
      <c r="Q264" s="2"/>
      <c r="R264" s="2"/>
      <c r="S264" s="2"/>
      <c r="T264" s="2"/>
      <c r="U264" s="2"/>
      <c r="V264" s="2"/>
      <c r="W264" s="2"/>
      <c r="X264" s="2"/>
      <c r="Y264" s="2"/>
      <c r="Z264" s="2"/>
      <c r="AA264" s="2"/>
      <c r="AB264" s="2"/>
      <c r="AC264" s="2"/>
    </row>
    <row r="265" spans="1:29" ht="17.399999999999999" x14ac:dyDescent="0.25">
      <c r="A265" s="1"/>
      <c r="B265" s="2"/>
      <c r="C265" s="2"/>
      <c r="D265" s="2"/>
      <c r="E265" s="2"/>
      <c r="F265" s="2"/>
      <c r="G265" s="2"/>
      <c r="H265" s="2"/>
      <c r="I265" s="2"/>
      <c r="J265" s="2"/>
      <c r="K265" s="2"/>
      <c r="L265" s="2"/>
      <c r="M265" s="2"/>
      <c r="N265" s="2"/>
      <c r="O265" s="1"/>
      <c r="P265" s="2"/>
      <c r="Q265" s="2"/>
      <c r="R265" s="2"/>
      <c r="S265" s="2"/>
      <c r="T265" s="2"/>
      <c r="U265" s="2"/>
      <c r="V265" s="2"/>
      <c r="W265" s="2"/>
      <c r="X265" s="2"/>
      <c r="Y265" s="2"/>
      <c r="Z265" s="2"/>
      <c r="AA265" s="2"/>
      <c r="AB265" s="2"/>
      <c r="AC265" s="2"/>
    </row>
    <row r="266" spans="1:29" ht="17.399999999999999" x14ac:dyDescent="0.25">
      <c r="A266" s="1"/>
      <c r="B266" s="2"/>
      <c r="C266" s="2"/>
      <c r="D266" s="2"/>
      <c r="E266" s="2"/>
      <c r="F266" s="2"/>
      <c r="G266" s="2"/>
      <c r="H266" s="2"/>
      <c r="I266" s="2"/>
      <c r="J266" s="2"/>
      <c r="K266" s="2"/>
      <c r="L266" s="2"/>
      <c r="M266" s="2"/>
      <c r="N266" s="2"/>
      <c r="O266" s="1"/>
      <c r="P266" s="2"/>
      <c r="Q266" s="2"/>
      <c r="R266" s="2"/>
      <c r="S266" s="2"/>
      <c r="T266" s="2"/>
      <c r="U266" s="2"/>
      <c r="V266" s="2"/>
      <c r="W266" s="2"/>
      <c r="X266" s="2"/>
      <c r="Y266" s="2"/>
      <c r="Z266" s="2"/>
      <c r="AA266" s="2"/>
      <c r="AB266" s="2"/>
      <c r="AC266" s="2"/>
    </row>
    <row r="267" spans="1:29" ht="17.399999999999999" x14ac:dyDescent="0.25">
      <c r="A267" s="1"/>
      <c r="B267" s="2"/>
      <c r="C267" s="2"/>
      <c r="D267" s="2"/>
      <c r="E267" s="2"/>
      <c r="F267" s="2"/>
      <c r="G267" s="2"/>
      <c r="H267" s="2"/>
      <c r="I267" s="2"/>
      <c r="J267" s="2"/>
      <c r="K267" s="2"/>
      <c r="L267" s="2"/>
      <c r="M267" s="2"/>
      <c r="N267" s="2"/>
      <c r="O267" s="1"/>
      <c r="P267" s="2"/>
      <c r="Q267" s="2"/>
      <c r="R267" s="2"/>
      <c r="S267" s="2"/>
      <c r="T267" s="2"/>
      <c r="U267" s="2"/>
      <c r="V267" s="2"/>
      <c r="W267" s="2"/>
      <c r="X267" s="2"/>
      <c r="Y267" s="2"/>
      <c r="Z267" s="2"/>
      <c r="AA267" s="2"/>
      <c r="AB267" s="2"/>
      <c r="AC267" s="2"/>
    </row>
    <row r="268" spans="1:29" ht="17.399999999999999" x14ac:dyDescent="0.25">
      <c r="A268" s="1"/>
      <c r="B268" s="2"/>
      <c r="C268" s="2"/>
      <c r="D268" s="2"/>
      <c r="E268" s="2"/>
      <c r="F268" s="2"/>
      <c r="G268" s="2"/>
      <c r="H268" s="2"/>
      <c r="I268" s="2"/>
      <c r="J268" s="2"/>
      <c r="K268" s="2"/>
      <c r="L268" s="2"/>
      <c r="M268" s="2"/>
      <c r="N268" s="2"/>
      <c r="O268" s="1"/>
      <c r="P268" s="2"/>
      <c r="Q268" s="2"/>
      <c r="R268" s="2"/>
      <c r="S268" s="2"/>
      <c r="T268" s="2"/>
      <c r="U268" s="2"/>
      <c r="V268" s="2"/>
      <c r="W268" s="2"/>
      <c r="X268" s="2"/>
      <c r="Y268" s="2"/>
      <c r="Z268" s="2"/>
      <c r="AA268" s="2"/>
      <c r="AB268" s="2"/>
      <c r="AC268" s="2"/>
    </row>
    <row r="269" spans="1:29" ht="17.399999999999999" x14ac:dyDescent="0.25">
      <c r="A269" s="1"/>
      <c r="B269" s="2"/>
      <c r="C269" s="2"/>
      <c r="D269" s="2"/>
      <c r="E269" s="2"/>
      <c r="F269" s="2"/>
      <c r="G269" s="2"/>
      <c r="H269" s="2"/>
      <c r="I269" s="2"/>
      <c r="J269" s="2"/>
      <c r="K269" s="2"/>
      <c r="L269" s="2"/>
      <c r="M269" s="2"/>
      <c r="N269" s="2"/>
      <c r="O269" s="1"/>
      <c r="P269" s="2"/>
      <c r="Q269" s="2"/>
      <c r="R269" s="2"/>
      <c r="S269" s="2"/>
      <c r="T269" s="2"/>
      <c r="U269" s="2"/>
      <c r="V269" s="2"/>
      <c r="W269" s="2"/>
      <c r="X269" s="2"/>
      <c r="Y269" s="2"/>
      <c r="Z269" s="2"/>
      <c r="AA269" s="2"/>
      <c r="AB269" s="2"/>
      <c r="AC269" s="2"/>
    </row>
    <row r="270" spans="1:29" ht="17.399999999999999" x14ac:dyDescent="0.25">
      <c r="A270" s="1"/>
      <c r="B270" s="2"/>
      <c r="C270" s="2"/>
      <c r="D270" s="2"/>
      <c r="E270" s="2"/>
      <c r="F270" s="2"/>
      <c r="G270" s="2"/>
      <c r="H270" s="2"/>
      <c r="I270" s="2"/>
      <c r="J270" s="2"/>
      <c r="K270" s="2"/>
      <c r="L270" s="2"/>
      <c r="M270" s="2"/>
      <c r="N270" s="2"/>
      <c r="O270" s="1"/>
      <c r="P270" s="2"/>
      <c r="Q270" s="2"/>
      <c r="R270" s="2"/>
      <c r="S270" s="2"/>
      <c r="T270" s="2"/>
      <c r="U270" s="2"/>
      <c r="V270" s="2"/>
      <c r="W270" s="2"/>
      <c r="X270" s="2"/>
      <c r="Y270" s="2"/>
      <c r="Z270" s="2"/>
      <c r="AA270" s="2"/>
      <c r="AB270" s="2"/>
      <c r="AC270" s="2"/>
    </row>
    <row r="271" spans="1:29" ht="17.399999999999999" x14ac:dyDescent="0.25">
      <c r="A271" s="1"/>
      <c r="B271" s="2"/>
      <c r="C271" s="2"/>
      <c r="D271" s="2"/>
      <c r="E271" s="2"/>
      <c r="F271" s="2"/>
      <c r="G271" s="2"/>
      <c r="H271" s="2"/>
      <c r="I271" s="2"/>
      <c r="J271" s="2"/>
      <c r="K271" s="2"/>
      <c r="L271" s="2"/>
      <c r="M271" s="2"/>
      <c r="N271" s="2"/>
      <c r="O271" s="1"/>
      <c r="P271" s="2"/>
      <c r="Q271" s="2"/>
      <c r="R271" s="2"/>
      <c r="S271" s="2"/>
      <c r="T271" s="2"/>
      <c r="U271" s="2"/>
      <c r="V271" s="2"/>
      <c r="W271" s="2"/>
      <c r="X271" s="2"/>
      <c r="Y271" s="2"/>
      <c r="Z271" s="2"/>
      <c r="AA271" s="2"/>
      <c r="AB271" s="2"/>
      <c r="AC271" s="2"/>
    </row>
    <row r="272" spans="1:29" ht="17.399999999999999" x14ac:dyDescent="0.25">
      <c r="A272" s="1"/>
      <c r="B272" s="2"/>
      <c r="C272" s="2"/>
      <c r="D272" s="2"/>
      <c r="E272" s="2"/>
      <c r="F272" s="2"/>
      <c r="G272" s="2"/>
      <c r="H272" s="2"/>
      <c r="I272" s="2"/>
      <c r="J272" s="2"/>
      <c r="K272" s="2"/>
      <c r="L272" s="2"/>
      <c r="M272" s="2"/>
      <c r="N272" s="2"/>
      <c r="O272" s="1"/>
      <c r="P272" s="2"/>
      <c r="Q272" s="2"/>
      <c r="R272" s="2"/>
      <c r="S272" s="2"/>
      <c r="T272" s="2"/>
      <c r="U272" s="2"/>
      <c r="V272" s="2"/>
      <c r="W272" s="2"/>
      <c r="X272" s="2"/>
      <c r="Y272" s="2"/>
      <c r="Z272" s="2"/>
      <c r="AA272" s="2"/>
      <c r="AB272" s="2"/>
      <c r="AC272" s="2"/>
    </row>
    <row r="273" spans="1:29" ht="17.399999999999999" x14ac:dyDescent="0.25">
      <c r="A273" s="1"/>
      <c r="B273" s="2"/>
      <c r="C273" s="2"/>
      <c r="D273" s="2"/>
      <c r="E273" s="2"/>
      <c r="F273" s="2"/>
      <c r="G273" s="2"/>
      <c r="H273" s="2"/>
      <c r="I273" s="2"/>
      <c r="J273" s="2"/>
      <c r="K273" s="2"/>
      <c r="L273" s="2"/>
      <c r="M273" s="2"/>
      <c r="N273" s="2"/>
      <c r="O273" s="1"/>
      <c r="P273" s="2"/>
      <c r="Q273" s="2"/>
      <c r="R273" s="2"/>
      <c r="S273" s="2"/>
      <c r="T273" s="2"/>
      <c r="U273" s="2"/>
      <c r="V273" s="2"/>
      <c r="W273" s="2"/>
      <c r="X273" s="2"/>
      <c r="Y273" s="2"/>
      <c r="Z273" s="2"/>
      <c r="AA273" s="2"/>
      <c r="AB273" s="2"/>
      <c r="AC273" s="2"/>
    </row>
    <row r="274" spans="1:29" ht="17.399999999999999" x14ac:dyDescent="0.25">
      <c r="A274" s="1"/>
      <c r="B274" s="2"/>
      <c r="C274" s="2"/>
      <c r="D274" s="2"/>
      <c r="E274" s="2"/>
      <c r="F274" s="2"/>
      <c r="G274" s="2"/>
      <c r="H274" s="2"/>
      <c r="I274" s="2"/>
      <c r="J274" s="2"/>
      <c r="K274" s="2"/>
      <c r="L274" s="2"/>
      <c r="M274" s="2"/>
      <c r="N274" s="2"/>
      <c r="O274" s="1"/>
      <c r="P274" s="2"/>
      <c r="Q274" s="2"/>
      <c r="R274" s="2"/>
      <c r="S274" s="2"/>
      <c r="T274" s="2"/>
      <c r="U274" s="2"/>
      <c r="V274" s="2"/>
      <c r="W274" s="2"/>
      <c r="X274" s="2"/>
      <c r="Y274" s="2"/>
      <c r="Z274" s="2"/>
      <c r="AA274" s="2"/>
      <c r="AB274" s="2"/>
      <c r="AC274" s="2"/>
    </row>
    <row r="275" spans="1:29" ht="17.399999999999999" x14ac:dyDescent="0.25">
      <c r="A275" s="1"/>
      <c r="B275" s="2"/>
      <c r="C275" s="2"/>
      <c r="D275" s="2"/>
      <c r="E275" s="2"/>
      <c r="F275" s="2"/>
      <c r="G275" s="2"/>
      <c r="H275" s="2"/>
      <c r="I275" s="2"/>
      <c r="J275" s="2"/>
      <c r="K275" s="2"/>
      <c r="L275" s="2"/>
      <c r="M275" s="2"/>
      <c r="N275" s="2"/>
      <c r="O275" s="1"/>
      <c r="P275" s="2"/>
      <c r="Q275" s="2"/>
      <c r="R275" s="2"/>
      <c r="S275" s="2"/>
      <c r="T275" s="2"/>
      <c r="U275" s="2"/>
      <c r="V275" s="2"/>
      <c r="W275" s="2"/>
      <c r="X275" s="2"/>
      <c r="Y275" s="2"/>
      <c r="Z275" s="2"/>
      <c r="AA275" s="2"/>
      <c r="AB275" s="2"/>
      <c r="AC275" s="2"/>
    </row>
    <row r="276" spans="1:29" ht="17.399999999999999" x14ac:dyDescent="0.25">
      <c r="A276" s="1"/>
      <c r="B276" s="2"/>
      <c r="C276" s="2"/>
      <c r="D276" s="2"/>
      <c r="E276" s="2"/>
      <c r="F276" s="2"/>
      <c r="G276" s="2"/>
      <c r="H276" s="2"/>
      <c r="I276" s="2"/>
      <c r="J276" s="2"/>
      <c r="K276" s="2"/>
      <c r="L276" s="2"/>
      <c r="M276" s="2"/>
      <c r="N276" s="2"/>
      <c r="O276" s="1"/>
      <c r="P276" s="2"/>
      <c r="Q276" s="2"/>
      <c r="R276" s="2"/>
      <c r="S276" s="2"/>
      <c r="T276" s="2"/>
      <c r="U276" s="2"/>
      <c r="V276" s="2"/>
      <c r="W276" s="2"/>
      <c r="X276" s="2"/>
      <c r="Y276" s="2"/>
      <c r="Z276" s="2"/>
      <c r="AA276" s="2"/>
      <c r="AB276" s="2"/>
      <c r="AC276" s="2"/>
    </row>
    <row r="277" spans="1:29" ht="17.399999999999999" x14ac:dyDescent="0.25">
      <c r="A277" s="1"/>
      <c r="B277" s="2"/>
      <c r="C277" s="2"/>
      <c r="D277" s="2"/>
      <c r="E277" s="2"/>
      <c r="F277" s="2"/>
      <c r="G277" s="2"/>
      <c r="H277" s="2"/>
      <c r="I277" s="2"/>
      <c r="J277" s="2"/>
      <c r="K277" s="2"/>
      <c r="L277" s="2"/>
      <c r="M277" s="2"/>
      <c r="N277" s="2"/>
      <c r="O277" s="1"/>
      <c r="P277" s="2"/>
      <c r="Q277" s="2"/>
      <c r="R277" s="2"/>
      <c r="S277" s="2"/>
      <c r="T277" s="2"/>
      <c r="U277" s="2"/>
      <c r="V277" s="2"/>
      <c r="W277" s="2"/>
      <c r="X277" s="2"/>
      <c r="Y277" s="2"/>
      <c r="Z277" s="2"/>
      <c r="AA277" s="2"/>
      <c r="AB277" s="2"/>
      <c r="AC277" s="2"/>
    </row>
    <row r="278" spans="1:29" ht="17.399999999999999" x14ac:dyDescent="0.25">
      <c r="A278" s="1"/>
      <c r="B278" s="2"/>
      <c r="C278" s="2"/>
      <c r="D278" s="2"/>
      <c r="E278" s="2"/>
      <c r="F278" s="2"/>
      <c r="G278" s="2"/>
      <c r="H278" s="2"/>
      <c r="I278" s="2"/>
      <c r="J278" s="2"/>
      <c r="K278" s="2"/>
      <c r="L278" s="2"/>
      <c r="M278" s="2"/>
      <c r="N278" s="2"/>
      <c r="O278" s="1"/>
      <c r="P278" s="2"/>
      <c r="Q278" s="2"/>
      <c r="R278" s="2"/>
      <c r="S278" s="2"/>
      <c r="T278" s="2"/>
      <c r="U278" s="2"/>
      <c r="V278" s="2"/>
      <c r="W278" s="2"/>
      <c r="X278" s="2"/>
      <c r="Y278" s="2"/>
      <c r="Z278" s="2"/>
      <c r="AA278" s="2"/>
      <c r="AB278" s="2"/>
      <c r="AC278" s="2"/>
    </row>
    <row r="279" spans="1:29" ht="17.399999999999999" x14ac:dyDescent="0.25">
      <c r="A279" s="1"/>
      <c r="B279" s="2"/>
      <c r="C279" s="2"/>
      <c r="D279" s="2"/>
      <c r="E279" s="2"/>
      <c r="F279" s="2"/>
      <c r="G279" s="2"/>
      <c r="H279" s="2"/>
      <c r="I279" s="2"/>
      <c r="J279" s="2"/>
      <c r="K279" s="2"/>
      <c r="L279" s="2"/>
      <c r="M279" s="2"/>
      <c r="N279" s="2"/>
      <c r="O279" s="1"/>
      <c r="P279" s="2"/>
      <c r="Q279" s="2"/>
      <c r="R279" s="2"/>
      <c r="S279" s="2"/>
      <c r="T279" s="2"/>
      <c r="U279" s="2"/>
      <c r="V279" s="2"/>
      <c r="W279" s="2"/>
      <c r="X279" s="2"/>
      <c r="Y279" s="2"/>
      <c r="Z279" s="2"/>
      <c r="AA279" s="2"/>
      <c r="AB279" s="2"/>
      <c r="AC279" s="2"/>
    </row>
    <row r="280" spans="1:29" ht="17.399999999999999" x14ac:dyDescent="0.25">
      <c r="A280" s="1"/>
      <c r="B280" s="2"/>
      <c r="C280" s="2"/>
      <c r="D280" s="2"/>
      <c r="E280" s="2"/>
      <c r="F280" s="2"/>
      <c r="G280" s="2"/>
      <c r="H280" s="2"/>
      <c r="I280" s="2"/>
      <c r="J280" s="2"/>
      <c r="K280" s="2"/>
      <c r="L280" s="2"/>
      <c r="M280" s="2"/>
      <c r="N280" s="2"/>
      <c r="O280" s="1"/>
      <c r="P280" s="2"/>
      <c r="Q280" s="2"/>
      <c r="R280" s="2"/>
      <c r="S280" s="2"/>
      <c r="T280" s="2"/>
      <c r="U280" s="2"/>
      <c r="V280" s="2"/>
      <c r="W280" s="2"/>
      <c r="X280" s="2"/>
      <c r="Y280" s="2"/>
      <c r="Z280" s="2"/>
      <c r="AA280" s="2"/>
      <c r="AB280" s="2"/>
      <c r="AC280" s="2"/>
    </row>
    <row r="281" spans="1:29" ht="17.399999999999999" x14ac:dyDescent="0.25">
      <c r="A281" s="1"/>
      <c r="B281" s="2"/>
      <c r="C281" s="2"/>
      <c r="D281" s="2"/>
      <c r="E281" s="2"/>
      <c r="F281" s="2"/>
      <c r="G281" s="2"/>
      <c r="H281" s="2"/>
      <c r="I281" s="2"/>
      <c r="J281" s="2"/>
      <c r="K281" s="2"/>
      <c r="L281" s="2"/>
      <c r="M281" s="2"/>
      <c r="N281" s="2"/>
      <c r="O281" s="1"/>
      <c r="P281" s="2"/>
      <c r="Q281" s="2"/>
      <c r="R281" s="2"/>
      <c r="S281" s="2"/>
      <c r="T281" s="2"/>
      <c r="U281" s="2"/>
      <c r="V281" s="2"/>
      <c r="W281" s="2"/>
      <c r="X281" s="2"/>
      <c r="Y281" s="2"/>
      <c r="Z281" s="2"/>
      <c r="AA281" s="2"/>
      <c r="AB281" s="2"/>
      <c r="AC281" s="2"/>
    </row>
    <row r="282" spans="1:29" ht="17.399999999999999" x14ac:dyDescent="0.25">
      <c r="A282" s="1"/>
      <c r="B282" s="2"/>
      <c r="C282" s="2"/>
      <c r="D282" s="2"/>
      <c r="E282" s="2"/>
      <c r="F282" s="2"/>
      <c r="G282" s="2"/>
      <c r="H282" s="2"/>
      <c r="I282" s="2"/>
      <c r="J282" s="2"/>
      <c r="K282" s="2"/>
      <c r="L282" s="2"/>
      <c r="M282" s="2"/>
      <c r="N282" s="2"/>
      <c r="O282" s="1"/>
      <c r="P282" s="2"/>
      <c r="Q282" s="2"/>
      <c r="R282" s="2"/>
      <c r="S282" s="2"/>
      <c r="T282" s="2"/>
      <c r="U282" s="2"/>
      <c r="V282" s="2"/>
      <c r="W282" s="2"/>
      <c r="X282" s="2"/>
      <c r="Y282" s="2"/>
      <c r="Z282" s="2"/>
      <c r="AA282" s="2"/>
      <c r="AB282" s="2"/>
      <c r="AC282" s="2"/>
    </row>
    <row r="283" spans="1:29" ht="17.399999999999999" x14ac:dyDescent="0.25">
      <c r="A283" s="1"/>
      <c r="B283" s="2"/>
      <c r="C283" s="2"/>
      <c r="D283" s="2"/>
      <c r="E283" s="2"/>
      <c r="F283" s="2"/>
      <c r="G283" s="2"/>
      <c r="H283" s="2"/>
      <c r="I283" s="2"/>
      <c r="J283" s="2"/>
      <c r="K283" s="2"/>
      <c r="L283" s="2"/>
      <c r="M283" s="2"/>
      <c r="N283" s="2"/>
      <c r="O283" s="1"/>
      <c r="P283" s="2"/>
      <c r="Q283" s="2"/>
      <c r="R283" s="2"/>
      <c r="S283" s="2"/>
      <c r="T283" s="2"/>
      <c r="U283" s="2"/>
      <c r="V283" s="2"/>
      <c r="W283" s="2"/>
      <c r="X283" s="2"/>
      <c r="Y283" s="2"/>
      <c r="Z283" s="2"/>
      <c r="AA283" s="2"/>
      <c r="AB283" s="2"/>
      <c r="AC283" s="2"/>
    </row>
    <row r="284" spans="1:29" ht="17.399999999999999" x14ac:dyDescent="0.25">
      <c r="A284" s="1"/>
      <c r="B284" s="2"/>
      <c r="C284" s="2"/>
      <c r="D284" s="2"/>
      <c r="E284" s="2"/>
      <c r="F284" s="2"/>
      <c r="G284" s="2"/>
      <c r="H284" s="2"/>
      <c r="I284" s="2"/>
      <c r="J284" s="2"/>
      <c r="K284" s="2"/>
      <c r="L284" s="2"/>
      <c r="M284" s="2"/>
      <c r="N284" s="2"/>
      <c r="O284" s="1"/>
      <c r="P284" s="2"/>
      <c r="Q284" s="2"/>
      <c r="R284" s="2"/>
      <c r="S284" s="2"/>
      <c r="T284" s="2"/>
      <c r="U284" s="2"/>
      <c r="V284" s="2"/>
      <c r="W284" s="2"/>
      <c r="X284" s="2"/>
      <c r="Y284" s="2"/>
      <c r="Z284" s="2"/>
      <c r="AA284" s="2"/>
      <c r="AB284" s="2"/>
      <c r="AC284" s="2"/>
    </row>
    <row r="285" spans="1:29" ht="17.399999999999999" x14ac:dyDescent="0.25">
      <c r="A285" s="1"/>
      <c r="B285" s="2"/>
      <c r="C285" s="2"/>
      <c r="D285" s="2"/>
      <c r="E285" s="2"/>
      <c r="F285" s="2"/>
      <c r="G285" s="2"/>
      <c r="H285" s="2"/>
      <c r="I285" s="2"/>
      <c r="J285" s="2"/>
      <c r="K285" s="2"/>
      <c r="L285" s="2"/>
      <c r="M285" s="2"/>
      <c r="N285" s="2"/>
      <c r="O285" s="1"/>
      <c r="P285" s="2"/>
      <c r="Q285" s="2"/>
      <c r="R285" s="2"/>
      <c r="S285" s="2"/>
      <c r="T285" s="2"/>
      <c r="U285" s="2"/>
      <c r="V285" s="2"/>
      <c r="W285" s="2"/>
      <c r="X285" s="2"/>
      <c r="Y285" s="2"/>
      <c r="Z285" s="2"/>
      <c r="AA285" s="2"/>
      <c r="AB285" s="2"/>
      <c r="AC285" s="2"/>
    </row>
    <row r="286" spans="1:29" ht="17.399999999999999" x14ac:dyDescent="0.25">
      <c r="A286" s="1"/>
      <c r="B286" s="2"/>
      <c r="C286" s="2"/>
      <c r="D286" s="2"/>
      <c r="E286" s="2"/>
      <c r="F286" s="2"/>
      <c r="G286" s="2"/>
      <c r="H286" s="2"/>
      <c r="I286" s="2"/>
      <c r="J286" s="2"/>
      <c r="K286" s="2"/>
      <c r="L286" s="2"/>
      <c r="M286" s="2"/>
      <c r="N286" s="2"/>
      <c r="O286" s="1"/>
      <c r="P286" s="2"/>
      <c r="Q286" s="2"/>
      <c r="R286" s="2"/>
      <c r="S286" s="2"/>
      <c r="T286" s="2"/>
      <c r="U286" s="2"/>
      <c r="V286" s="2"/>
      <c r="W286" s="2"/>
      <c r="X286" s="2"/>
      <c r="Y286" s="2"/>
      <c r="Z286" s="2"/>
      <c r="AA286" s="2"/>
      <c r="AB286" s="2"/>
      <c r="AC286" s="2"/>
    </row>
    <row r="287" spans="1:29" ht="17.399999999999999" x14ac:dyDescent="0.25">
      <c r="A287" s="1"/>
      <c r="B287" s="2"/>
      <c r="C287" s="2"/>
      <c r="D287" s="2"/>
      <c r="E287" s="2"/>
      <c r="F287" s="2"/>
      <c r="G287" s="2"/>
      <c r="H287" s="2"/>
      <c r="I287" s="2"/>
      <c r="J287" s="2"/>
      <c r="K287" s="2"/>
      <c r="L287" s="2"/>
      <c r="M287" s="2"/>
      <c r="N287" s="2"/>
      <c r="O287" s="1"/>
      <c r="P287" s="2"/>
      <c r="Q287" s="2"/>
      <c r="R287" s="2"/>
      <c r="S287" s="2"/>
      <c r="T287" s="2"/>
      <c r="U287" s="2"/>
      <c r="V287" s="2"/>
      <c r="W287" s="2"/>
      <c r="X287" s="2"/>
      <c r="Y287" s="2"/>
      <c r="Z287" s="2"/>
      <c r="AA287" s="2"/>
      <c r="AB287" s="2"/>
      <c r="AC287" s="2"/>
    </row>
    <row r="288" spans="1:29" ht="17.399999999999999" x14ac:dyDescent="0.25">
      <c r="A288" s="1"/>
      <c r="B288" s="2"/>
      <c r="C288" s="2"/>
      <c r="D288" s="2"/>
      <c r="E288" s="2"/>
      <c r="F288" s="2"/>
      <c r="G288" s="2"/>
      <c r="H288" s="2"/>
      <c r="I288" s="2"/>
      <c r="J288" s="2"/>
      <c r="K288" s="2"/>
      <c r="L288" s="2"/>
      <c r="M288" s="2"/>
      <c r="N288" s="2"/>
      <c r="O288" s="1"/>
      <c r="P288" s="2"/>
      <c r="Q288" s="2"/>
      <c r="R288" s="2"/>
      <c r="S288" s="2"/>
      <c r="T288" s="2"/>
      <c r="U288" s="2"/>
      <c r="V288" s="2"/>
      <c r="W288" s="2"/>
      <c r="X288" s="2"/>
      <c r="Y288" s="2"/>
      <c r="Z288" s="2"/>
      <c r="AA288" s="2"/>
      <c r="AB288" s="2"/>
      <c r="AC288" s="2"/>
    </row>
    <row r="289" spans="1:29" ht="17.399999999999999" x14ac:dyDescent="0.25">
      <c r="A289" s="1"/>
      <c r="B289" s="2"/>
      <c r="C289" s="2"/>
      <c r="D289" s="2"/>
      <c r="E289" s="2"/>
      <c r="F289" s="2"/>
      <c r="G289" s="2"/>
      <c r="H289" s="2"/>
      <c r="I289" s="2"/>
      <c r="J289" s="2"/>
      <c r="K289" s="2"/>
      <c r="L289" s="2"/>
      <c r="M289" s="2"/>
      <c r="N289" s="2"/>
      <c r="O289" s="1"/>
      <c r="P289" s="2"/>
      <c r="Q289" s="2"/>
      <c r="R289" s="2"/>
      <c r="S289" s="2"/>
      <c r="T289" s="2"/>
      <c r="U289" s="2"/>
      <c r="V289" s="2"/>
      <c r="W289" s="2"/>
      <c r="X289" s="2"/>
      <c r="Y289" s="2"/>
      <c r="Z289" s="2"/>
      <c r="AA289" s="2"/>
      <c r="AB289" s="2"/>
      <c r="AC289" s="2"/>
    </row>
    <row r="290" spans="1:29" ht="17.399999999999999" x14ac:dyDescent="0.25">
      <c r="A290" s="1"/>
      <c r="B290" s="2"/>
      <c r="C290" s="2"/>
      <c r="D290" s="2"/>
      <c r="E290" s="2"/>
      <c r="F290" s="2"/>
      <c r="G290" s="2"/>
      <c r="H290" s="2"/>
      <c r="I290" s="2"/>
      <c r="J290" s="2"/>
      <c r="K290" s="2"/>
      <c r="L290" s="2"/>
      <c r="M290" s="2"/>
      <c r="N290" s="2"/>
      <c r="O290" s="1"/>
      <c r="P290" s="2"/>
      <c r="Q290" s="2"/>
      <c r="R290" s="2"/>
      <c r="S290" s="2"/>
      <c r="T290" s="2"/>
      <c r="U290" s="2"/>
      <c r="V290" s="2"/>
      <c r="W290" s="2"/>
      <c r="X290" s="2"/>
      <c r="Y290" s="2"/>
      <c r="Z290" s="2"/>
      <c r="AA290" s="2"/>
      <c r="AB290" s="2"/>
      <c r="AC290" s="2"/>
    </row>
    <row r="291" spans="1:29" ht="17.399999999999999" x14ac:dyDescent="0.25">
      <c r="A291" s="1"/>
      <c r="B291" s="2"/>
      <c r="C291" s="2"/>
      <c r="D291" s="2"/>
      <c r="E291" s="2"/>
      <c r="F291" s="2"/>
      <c r="G291" s="2"/>
      <c r="H291" s="2"/>
      <c r="I291" s="2"/>
      <c r="J291" s="2"/>
      <c r="K291" s="2"/>
      <c r="L291" s="2"/>
      <c r="M291" s="2"/>
      <c r="N291" s="2"/>
      <c r="O291" s="1"/>
      <c r="P291" s="2"/>
      <c r="Q291" s="2"/>
      <c r="R291" s="2"/>
      <c r="S291" s="2"/>
      <c r="T291" s="2"/>
      <c r="U291" s="2"/>
      <c r="V291" s="2"/>
      <c r="W291" s="2"/>
      <c r="X291" s="2"/>
      <c r="Y291" s="2"/>
      <c r="Z291" s="2"/>
      <c r="AA291" s="2"/>
      <c r="AB291" s="2"/>
      <c r="AC291" s="2"/>
    </row>
    <row r="292" spans="1:29" ht="17.399999999999999" x14ac:dyDescent="0.25">
      <c r="A292" s="1"/>
      <c r="B292" s="2"/>
      <c r="C292" s="2"/>
      <c r="D292" s="2"/>
      <c r="E292" s="2"/>
      <c r="F292" s="2"/>
      <c r="G292" s="2"/>
      <c r="H292" s="2"/>
      <c r="I292" s="2"/>
      <c r="J292" s="2"/>
      <c r="K292" s="2"/>
      <c r="L292" s="2"/>
      <c r="M292" s="2"/>
      <c r="N292" s="2"/>
      <c r="O292" s="1"/>
      <c r="P292" s="2"/>
      <c r="Q292" s="2"/>
      <c r="R292" s="2"/>
      <c r="S292" s="2"/>
      <c r="T292" s="2"/>
      <c r="U292" s="2"/>
      <c r="V292" s="2"/>
      <c r="W292" s="2"/>
      <c r="X292" s="2"/>
      <c r="Y292" s="2"/>
      <c r="Z292" s="2"/>
      <c r="AA292" s="2"/>
      <c r="AB292" s="2"/>
      <c r="AC292" s="2"/>
    </row>
    <row r="293" spans="1:29" ht="17.399999999999999" x14ac:dyDescent="0.25">
      <c r="A293" s="1"/>
      <c r="B293" s="2"/>
      <c r="C293" s="2"/>
      <c r="D293" s="2"/>
      <c r="E293" s="2"/>
      <c r="F293" s="2"/>
      <c r="G293" s="2"/>
      <c r="H293" s="2"/>
      <c r="I293" s="2"/>
      <c r="J293" s="2"/>
      <c r="K293" s="2"/>
      <c r="L293" s="2"/>
      <c r="M293" s="2"/>
      <c r="N293" s="2"/>
      <c r="O293" s="1"/>
      <c r="P293" s="2"/>
      <c r="Q293" s="2"/>
      <c r="R293" s="2"/>
      <c r="S293" s="2"/>
      <c r="T293" s="2"/>
      <c r="U293" s="2"/>
      <c r="V293" s="2"/>
      <c r="W293" s="2"/>
      <c r="X293" s="2"/>
      <c r="Y293" s="2"/>
      <c r="Z293" s="2"/>
      <c r="AA293" s="2"/>
      <c r="AB293" s="2"/>
      <c r="AC293" s="2"/>
    </row>
    <row r="294" spans="1:29" ht="17.399999999999999" x14ac:dyDescent="0.25">
      <c r="A294" s="1"/>
      <c r="B294" s="2"/>
      <c r="C294" s="2"/>
      <c r="D294" s="2"/>
      <c r="E294" s="2"/>
      <c r="F294" s="2"/>
      <c r="G294" s="2"/>
      <c r="H294" s="2"/>
      <c r="I294" s="2"/>
      <c r="J294" s="2"/>
      <c r="K294" s="2"/>
      <c r="L294" s="2"/>
      <c r="M294" s="2"/>
      <c r="N294" s="2"/>
      <c r="O294" s="1"/>
      <c r="P294" s="2"/>
      <c r="Q294" s="2"/>
      <c r="R294" s="2"/>
      <c r="S294" s="2"/>
      <c r="T294" s="2"/>
      <c r="U294" s="2"/>
      <c r="V294" s="2"/>
      <c r="W294" s="2"/>
      <c r="X294" s="2"/>
      <c r="Y294" s="2"/>
      <c r="Z294" s="2"/>
      <c r="AA294" s="2"/>
      <c r="AB294" s="2"/>
      <c r="AC294" s="2"/>
    </row>
    <row r="295" spans="1:29" ht="17.399999999999999" x14ac:dyDescent="0.25">
      <c r="A295" s="1"/>
      <c r="B295" s="2"/>
      <c r="C295" s="2"/>
      <c r="D295" s="2"/>
      <c r="E295" s="2"/>
      <c r="F295" s="2"/>
      <c r="G295" s="2"/>
      <c r="H295" s="2"/>
      <c r="I295" s="2"/>
      <c r="J295" s="2"/>
      <c r="K295" s="2"/>
      <c r="L295" s="2"/>
      <c r="M295" s="2"/>
      <c r="N295" s="2"/>
      <c r="O295" s="1"/>
      <c r="P295" s="2"/>
      <c r="Q295" s="2"/>
      <c r="R295" s="2"/>
      <c r="S295" s="2"/>
      <c r="T295" s="2"/>
      <c r="U295" s="2"/>
      <c r="V295" s="2"/>
      <c r="W295" s="2"/>
      <c r="X295" s="2"/>
      <c r="Y295" s="2"/>
      <c r="Z295" s="2"/>
      <c r="AA295" s="2"/>
      <c r="AB295" s="2"/>
      <c r="AC295" s="2"/>
    </row>
    <row r="296" spans="1:29" ht="17.399999999999999" x14ac:dyDescent="0.25">
      <c r="A296" s="1"/>
      <c r="B296" s="2"/>
      <c r="C296" s="2"/>
      <c r="D296" s="2"/>
      <c r="E296" s="2"/>
      <c r="F296" s="2"/>
      <c r="G296" s="2"/>
      <c r="H296" s="2"/>
      <c r="I296" s="2"/>
      <c r="J296" s="2"/>
      <c r="K296" s="2"/>
      <c r="L296" s="2"/>
      <c r="M296" s="2"/>
      <c r="N296" s="2"/>
      <c r="O296" s="1"/>
      <c r="P296" s="2"/>
      <c r="Q296" s="2"/>
      <c r="R296" s="2"/>
      <c r="S296" s="2"/>
      <c r="T296" s="2"/>
      <c r="U296" s="2"/>
      <c r="V296" s="2"/>
      <c r="W296" s="2"/>
      <c r="X296" s="2"/>
      <c r="Y296" s="2"/>
      <c r="Z296" s="2"/>
      <c r="AA296" s="2"/>
      <c r="AB296" s="2"/>
      <c r="AC296" s="2"/>
    </row>
    <row r="297" spans="1:29" ht="17.399999999999999" x14ac:dyDescent="0.25">
      <c r="A297" s="1"/>
      <c r="B297" s="2"/>
      <c r="C297" s="2"/>
      <c r="D297" s="2"/>
      <c r="E297" s="2"/>
      <c r="F297" s="2"/>
      <c r="G297" s="2"/>
      <c r="H297" s="2"/>
      <c r="I297" s="2"/>
      <c r="J297" s="2"/>
      <c r="K297" s="2"/>
      <c r="L297" s="2"/>
      <c r="M297" s="2"/>
      <c r="N297" s="2"/>
      <c r="O297" s="1"/>
      <c r="P297" s="2"/>
      <c r="Q297" s="2"/>
      <c r="R297" s="2"/>
      <c r="S297" s="2"/>
      <c r="T297" s="2"/>
      <c r="U297" s="2"/>
      <c r="V297" s="2"/>
      <c r="W297" s="2"/>
      <c r="X297" s="2"/>
      <c r="Y297" s="2"/>
      <c r="Z297" s="2"/>
      <c r="AA297" s="2"/>
      <c r="AB297" s="2"/>
      <c r="AC297" s="2"/>
    </row>
    <row r="298" spans="1:29" ht="17.399999999999999" x14ac:dyDescent="0.25">
      <c r="A298" s="1"/>
      <c r="B298" s="2"/>
      <c r="C298" s="2"/>
      <c r="D298" s="2"/>
      <c r="E298" s="2"/>
      <c r="F298" s="2"/>
      <c r="G298" s="2"/>
      <c r="H298" s="2"/>
      <c r="I298" s="2"/>
      <c r="J298" s="2"/>
      <c r="K298" s="2"/>
      <c r="L298" s="2"/>
      <c r="M298" s="2"/>
      <c r="N298" s="2"/>
      <c r="O298" s="1"/>
      <c r="P298" s="2"/>
      <c r="Q298" s="2"/>
      <c r="R298" s="2"/>
      <c r="S298" s="2"/>
      <c r="T298" s="2"/>
      <c r="U298" s="2"/>
      <c r="V298" s="2"/>
      <c r="W298" s="2"/>
      <c r="X298" s="2"/>
      <c r="Y298" s="2"/>
      <c r="Z298" s="2"/>
      <c r="AA298" s="2"/>
      <c r="AB298" s="2"/>
      <c r="AC298" s="2"/>
    </row>
    <row r="299" spans="1:29" ht="17.399999999999999" x14ac:dyDescent="0.25">
      <c r="A299" s="1"/>
      <c r="B299" s="2"/>
      <c r="C299" s="2"/>
      <c r="D299" s="2"/>
      <c r="E299" s="2"/>
      <c r="F299" s="2"/>
      <c r="G299" s="2"/>
      <c r="H299" s="2"/>
      <c r="I299" s="2"/>
      <c r="J299" s="2"/>
      <c r="K299" s="2"/>
      <c r="L299" s="2"/>
      <c r="M299" s="2"/>
      <c r="N299" s="2"/>
      <c r="O299" s="1"/>
      <c r="P299" s="2"/>
      <c r="Q299" s="2"/>
      <c r="R299" s="2"/>
      <c r="S299" s="2"/>
      <c r="T299" s="2"/>
      <c r="U299" s="2"/>
      <c r="V299" s="2"/>
      <c r="W299" s="2"/>
      <c r="X299" s="2"/>
      <c r="Y299" s="2"/>
      <c r="Z299" s="2"/>
      <c r="AA299" s="2"/>
      <c r="AB299" s="2"/>
      <c r="AC299" s="2"/>
    </row>
    <row r="300" spans="1:29" ht="17.399999999999999" x14ac:dyDescent="0.25">
      <c r="A300" s="1"/>
      <c r="B300" s="2"/>
      <c r="C300" s="2"/>
      <c r="D300" s="2"/>
      <c r="E300" s="2"/>
      <c r="F300" s="2"/>
      <c r="G300" s="2"/>
      <c r="H300" s="2"/>
      <c r="I300" s="2"/>
      <c r="J300" s="2"/>
      <c r="K300" s="2"/>
      <c r="L300" s="2"/>
      <c r="M300" s="2"/>
      <c r="N300" s="2"/>
      <c r="O300" s="1"/>
      <c r="P300" s="2"/>
      <c r="Q300" s="2"/>
      <c r="R300" s="2"/>
      <c r="S300" s="2"/>
      <c r="T300" s="2"/>
      <c r="U300" s="2"/>
      <c r="V300" s="2"/>
      <c r="W300" s="2"/>
      <c r="X300" s="2"/>
      <c r="Y300" s="2"/>
      <c r="Z300" s="2"/>
      <c r="AA300" s="2"/>
      <c r="AB300" s="2"/>
      <c r="AC300" s="2"/>
    </row>
    <row r="301" spans="1:29" ht="17.399999999999999" x14ac:dyDescent="0.25">
      <c r="A301" s="1"/>
      <c r="B301" s="2"/>
      <c r="C301" s="2"/>
      <c r="D301" s="2"/>
      <c r="E301" s="2"/>
      <c r="F301" s="2"/>
      <c r="G301" s="2"/>
      <c r="H301" s="2"/>
      <c r="I301" s="2"/>
      <c r="J301" s="2"/>
      <c r="K301" s="2"/>
      <c r="L301" s="2"/>
      <c r="M301" s="2"/>
      <c r="N301" s="2"/>
      <c r="O301" s="1"/>
      <c r="P301" s="2"/>
      <c r="Q301" s="2"/>
      <c r="R301" s="2"/>
      <c r="S301" s="2"/>
      <c r="T301" s="2"/>
      <c r="U301" s="2"/>
      <c r="V301" s="2"/>
      <c r="W301" s="2"/>
      <c r="X301" s="2"/>
      <c r="Y301" s="2"/>
      <c r="Z301" s="2"/>
      <c r="AA301" s="2"/>
      <c r="AB301" s="2"/>
      <c r="AC301" s="2"/>
    </row>
    <row r="302" spans="1:29" ht="17.399999999999999" x14ac:dyDescent="0.25">
      <c r="A302" s="1"/>
      <c r="B302" s="2"/>
      <c r="C302" s="2"/>
      <c r="D302" s="2"/>
      <c r="E302" s="2"/>
      <c r="F302" s="2"/>
      <c r="G302" s="2"/>
      <c r="H302" s="2"/>
      <c r="I302" s="2"/>
      <c r="J302" s="2"/>
      <c r="K302" s="2"/>
      <c r="L302" s="2"/>
      <c r="M302" s="2"/>
      <c r="N302" s="2"/>
      <c r="O302" s="1"/>
      <c r="P302" s="2"/>
      <c r="Q302" s="2"/>
      <c r="R302" s="2"/>
      <c r="S302" s="2"/>
      <c r="T302" s="2"/>
      <c r="U302" s="2"/>
      <c r="V302" s="2"/>
      <c r="W302" s="2"/>
      <c r="X302" s="2"/>
      <c r="Y302" s="2"/>
      <c r="Z302" s="2"/>
      <c r="AA302" s="2"/>
      <c r="AB302" s="2"/>
      <c r="AC302" s="2"/>
    </row>
    <row r="303" spans="1:29" ht="17.399999999999999" x14ac:dyDescent="0.25">
      <c r="A303" s="1"/>
      <c r="B303" s="2"/>
      <c r="C303" s="2"/>
      <c r="D303" s="2"/>
      <c r="E303" s="2"/>
      <c r="F303" s="2"/>
      <c r="G303" s="2"/>
      <c r="H303" s="2"/>
      <c r="I303" s="2"/>
      <c r="J303" s="2"/>
      <c r="K303" s="2"/>
      <c r="L303" s="2"/>
      <c r="M303" s="2"/>
      <c r="N303" s="2"/>
      <c r="O303" s="1"/>
      <c r="P303" s="2"/>
      <c r="Q303" s="2"/>
      <c r="R303" s="2"/>
      <c r="S303" s="2"/>
      <c r="T303" s="2"/>
      <c r="U303" s="2"/>
      <c r="V303" s="2"/>
      <c r="W303" s="2"/>
      <c r="X303" s="2"/>
      <c r="Y303" s="2"/>
      <c r="Z303" s="2"/>
      <c r="AA303" s="2"/>
      <c r="AB303" s="2"/>
      <c r="AC303" s="2"/>
    </row>
    <row r="304" spans="1:29" ht="17.399999999999999" x14ac:dyDescent="0.25">
      <c r="A304" s="1"/>
      <c r="B304" s="2"/>
      <c r="C304" s="2"/>
      <c r="D304" s="2"/>
      <c r="E304" s="2"/>
      <c r="F304" s="2"/>
      <c r="G304" s="2"/>
      <c r="H304" s="2"/>
      <c r="I304" s="2"/>
      <c r="J304" s="2"/>
      <c r="K304" s="2"/>
      <c r="L304" s="2"/>
      <c r="M304" s="2"/>
      <c r="N304" s="2"/>
      <c r="O304" s="1"/>
      <c r="P304" s="2"/>
      <c r="Q304" s="2"/>
      <c r="R304" s="2"/>
      <c r="S304" s="2"/>
      <c r="T304" s="2"/>
      <c r="U304" s="2"/>
      <c r="V304" s="2"/>
      <c r="W304" s="2"/>
      <c r="X304" s="2"/>
      <c r="Y304" s="2"/>
      <c r="Z304" s="2"/>
      <c r="AA304" s="2"/>
      <c r="AB304" s="2"/>
      <c r="AC304" s="2"/>
    </row>
    <row r="305" spans="1:29" ht="17.399999999999999" x14ac:dyDescent="0.25">
      <c r="A305" s="1"/>
      <c r="B305" s="2"/>
      <c r="C305" s="2"/>
      <c r="D305" s="2"/>
      <c r="E305" s="2"/>
      <c r="F305" s="2"/>
      <c r="G305" s="2"/>
      <c r="H305" s="2"/>
      <c r="I305" s="2"/>
      <c r="J305" s="2"/>
      <c r="K305" s="2"/>
      <c r="L305" s="2"/>
      <c r="M305" s="2"/>
      <c r="N305" s="2"/>
      <c r="O305" s="1"/>
      <c r="P305" s="2"/>
      <c r="Q305" s="2"/>
      <c r="R305" s="2"/>
      <c r="S305" s="2"/>
      <c r="T305" s="2"/>
      <c r="U305" s="2"/>
      <c r="V305" s="2"/>
      <c r="W305" s="2"/>
      <c r="X305" s="2"/>
      <c r="Y305" s="2"/>
      <c r="Z305" s="2"/>
      <c r="AA305" s="2"/>
      <c r="AB305" s="2"/>
      <c r="AC305" s="2"/>
    </row>
    <row r="306" spans="1:29" ht="17.399999999999999" x14ac:dyDescent="0.25">
      <c r="A306" s="1"/>
      <c r="B306" s="2"/>
      <c r="C306" s="2"/>
      <c r="D306" s="2"/>
      <c r="E306" s="2"/>
      <c r="F306" s="2"/>
      <c r="G306" s="2"/>
      <c r="H306" s="2"/>
      <c r="I306" s="2"/>
      <c r="J306" s="2"/>
      <c r="K306" s="2"/>
      <c r="L306" s="2"/>
      <c r="M306" s="2"/>
      <c r="N306" s="2"/>
      <c r="O306" s="1"/>
      <c r="P306" s="2"/>
      <c r="Q306" s="2"/>
      <c r="R306" s="2"/>
      <c r="S306" s="2"/>
      <c r="T306" s="2"/>
      <c r="U306" s="2"/>
      <c r="V306" s="2"/>
      <c r="W306" s="2"/>
      <c r="X306" s="2"/>
      <c r="Y306" s="2"/>
      <c r="Z306" s="2"/>
      <c r="AA306" s="2"/>
      <c r="AB306" s="2"/>
      <c r="AC306" s="2"/>
    </row>
    <row r="307" spans="1:29" ht="17.399999999999999" x14ac:dyDescent="0.25">
      <c r="A307" s="1"/>
      <c r="B307" s="2"/>
      <c r="C307" s="2"/>
      <c r="D307" s="2"/>
      <c r="E307" s="2"/>
      <c r="F307" s="2"/>
      <c r="G307" s="2"/>
      <c r="H307" s="2"/>
      <c r="I307" s="2"/>
      <c r="J307" s="2"/>
      <c r="K307" s="2"/>
      <c r="L307" s="2"/>
      <c r="M307" s="2"/>
      <c r="N307" s="2"/>
      <c r="O307" s="1"/>
      <c r="P307" s="2"/>
      <c r="Q307" s="2"/>
      <c r="R307" s="2"/>
      <c r="S307" s="2"/>
      <c r="T307" s="2"/>
      <c r="U307" s="2"/>
      <c r="V307" s="2"/>
      <c r="W307" s="2"/>
      <c r="X307" s="2"/>
      <c r="Y307" s="2"/>
      <c r="Z307" s="2"/>
      <c r="AA307" s="2"/>
      <c r="AB307" s="2"/>
      <c r="AC307" s="2"/>
    </row>
    <row r="308" spans="1:29" ht="17.399999999999999" x14ac:dyDescent="0.25">
      <c r="A308" s="1"/>
      <c r="B308" s="2"/>
      <c r="C308" s="2"/>
      <c r="D308" s="2"/>
      <c r="E308" s="2"/>
      <c r="F308" s="2"/>
      <c r="G308" s="2"/>
      <c r="H308" s="2"/>
      <c r="I308" s="2"/>
      <c r="J308" s="2"/>
      <c r="K308" s="2"/>
      <c r="L308" s="2"/>
      <c r="M308" s="2"/>
      <c r="N308" s="2"/>
      <c r="O308" s="1"/>
      <c r="P308" s="2"/>
      <c r="Q308" s="2"/>
      <c r="R308" s="2"/>
      <c r="S308" s="2"/>
      <c r="T308" s="2"/>
      <c r="U308" s="2"/>
      <c r="V308" s="2"/>
      <c r="W308" s="2"/>
      <c r="X308" s="2"/>
      <c r="Y308" s="2"/>
      <c r="Z308" s="2"/>
      <c r="AA308" s="2"/>
      <c r="AB308" s="2"/>
      <c r="AC308" s="2"/>
    </row>
    <row r="309" spans="1:29" ht="17.399999999999999" x14ac:dyDescent="0.25">
      <c r="A309" s="1"/>
      <c r="B309" s="2"/>
      <c r="C309" s="2"/>
      <c r="D309" s="2"/>
      <c r="E309" s="2"/>
      <c r="F309" s="2"/>
      <c r="G309" s="2"/>
      <c r="H309" s="2"/>
      <c r="I309" s="2"/>
      <c r="J309" s="2"/>
      <c r="K309" s="2"/>
      <c r="L309" s="2"/>
      <c r="M309" s="2"/>
      <c r="N309" s="2"/>
      <c r="O309" s="1"/>
      <c r="P309" s="2"/>
      <c r="Q309" s="2"/>
      <c r="R309" s="2"/>
      <c r="S309" s="2"/>
      <c r="T309" s="2"/>
      <c r="U309" s="2"/>
      <c r="V309" s="2"/>
      <c r="W309" s="2"/>
      <c r="X309" s="2"/>
      <c r="Y309" s="2"/>
      <c r="Z309" s="2"/>
      <c r="AA309" s="2"/>
      <c r="AB309" s="2"/>
      <c r="AC309" s="2"/>
    </row>
    <row r="310" spans="1:29" ht="17.399999999999999" x14ac:dyDescent="0.25">
      <c r="A310" s="1"/>
      <c r="B310" s="2"/>
      <c r="C310" s="2"/>
      <c r="D310" s="2"/>
      <c r="E310" s="2"/>
      <c r="F310" s="2"/>
      <c r="G310" s="2"/>
      <c r="H310" s="2"/>
      <c r="I310" s="2"/>
      <c r="J310" s="2"/>
      <c r="K310" s="2"/>
      <c r="L310" s="2"/>
      <c r="M310" s="2"/>
      <c r="N310" s="2"/>
      <c r="O310" s="1"/>
      <c r="P310" s="2"/>
      <c r="Q310" s="2"/>
      <c r="R310" s="2"/>
      <c r="S310" s="2"/>
      <c r="T310" s="2"/>
      <c r="U310" s="2"/>
      <c r="V310" s="2"/>
      <c r="W310" s="2"/>
      <c r="X310" s="2"/>
      <c r="Y310" s="2"/>
      <c r="Z310" s="2"/>
      <c r="AA310" s="2"/>
      <c r="AB310" s="2"/>
      <c r="AC310" s="2"/>
    </row>
    <row r="311" spans="1:29" ht="17.399999999999999" x14ac:dyDescent="0.25">
      <c r="A311" s="1"/>
      <c r="B311" s="2"/>
      <c r="C311" s="2"/>
      <c r="D311" s="2"/>
      <c r="E311" s="2"/>
      <c r="F311" s="2"/>
      <c r="G311" s="2"/>
      <c r="H311" s="2"/>
      <c r="I311" s="2"/>
      <c r="J311" s="2"/>
      <c r="K311" s="2"/>
      <c r="L311" s="2"/>
      <c r="M311" s="2"/>
      <c r="N311" s="2"/>
      <c r="O311" s="1"/>
      <c r="P311" s="2"/>
      <c r="Q311" s="2"/>
      <c r="R311" s="2"/>
      <c r="S311" s="2"/>
      <c r="T311" s="2"/>
      <c r="U311" s="2"/>
      <c r="V311" s="2"/>
      <c r="W311" s="2"/>
      <c r="X311" s="2"/>
      <c r="Y311" s="2"/>
      <c r="Z311" s="2"/>
      <c r="AA311" s="2"/>
      <c r="AB311" s="2"/>
      <c r="AC311" s="2"/>
    </row>
    <row r="312" spans="1:29" ht="17.399999999999999" x14ac:dyDescent="0.25">
      <c r="A312" s="1"/>
      <c r="B312" s="2"/>
      <c r="C312" s="2"/>
      <c r="D312" s="2"/>
      <c r="E312" s="2"/>
      <c r="F312" s="2"/>
      <c r="G312" s="2"/>
      <c r="H312" s="2"/>
      <c r="I312" s="2"/>
      <c r="J312" s="2"/>
      <c r="K312" s="2"/>
      <c r="L312" s="2"/>
      <c r="M312" s="2"/>
      <c r="N312" s="2"/>
      <c r="O312" s="1"/>
      <c r="P312" s="2"/>
      <c r="Q312" s="2"/>
      <c r="R312" s="2"/>
      <c r="S312" s="2"/>
      <c r="T312" s="2"/>
      <c r="U312" s="2"/>
      <c r="V312" s="2"/>
      <c r="W312" s="2"/>
      <c r="X312" s="2"/>
      <c r="Y312" s="2"/>
      <c r="Z312" s="2"/>
      <c r="AA312" s="2"/>
      <c r="AB312" s="2"/>
      <c r="AC312" s="2"/>
    </row>
    <row r="313" spans="1:29" ht="17.399999999999999" x14ac:dyDescent="0.25">
      <c r="A313" s="1"/>
      <c r="B313" s="2"/>
      <c r="C313" s="2"/>
      <c r="D313" s="2"/>
      <c r="E313" s="2"/>
      <c r="F313" s="2"/>
      <c r="G313" s="2"/>
      <c r="H313" s="2"/>
      <c r="I313" s="2"/>
      <c r="J313" s="2"/>
      <c r="K313" s="2"/>
      <c r="L313" s="2"/>
      <c r="M313" s="2"/>
      <c r="N313" s="2"/>
      <c r="O313" s="1"/>
      <c r="P313" s="2"/>
      <c r="Q313" s="2"/>
      <c r="R313" s="2"/>
      <c r="S313" s="2"/>
      <c r="T313" s="2"/>
      <c r="U313" s="2"/>
      <c r="V313" s="2"/>
      <c r="W313" s="2"/>
      <c r="X313" s="2"/>
      <c r="Y313" s="2"/>
      <c r="Z313" s="2"/>
      <c r="AA313" s="2"/>
      <c r="AB313" s="2"/>
      <c r="AC313" s="2"/>
    </row>
    <row r="314" spans="1:29" ht="17.399999999999999" x14ac:dyDescent="0.25">
      <c r="A314" s="1"/>
      <c r="B314" s="2"/>
      <c r="C314" s="2"/>
      <c r="D314" s="2"/>
      <c r="E314" s="2"/>
      <c r="F314" s="2"/>
      <c r="G314" s="2"/>
      <c r="H314" s="2"/>
      <c r="I314" s="2"/>
      <c r="J314" s="2"/>
      <c r="K314" s="2"/>
      <c r="L314" s="2"/>
      <c r="M314" s="2"/>
      <c r="N314" s="2"/>
      <c r="O314" s="1"/>
      <c r="P314" s="2"/>
      <c r="Q314" s="2"/>
      <c r="R314" s="2"/>
      <c r="S314" s="2"/>
      <c r="T314" s="2"/>
      <c r="U314" s="2"/>
      <c r="V314" s="2"/>
      <c r="W314" s="2"/>
      <c r="X314" s="2"/>
      <c r="Y314" s="2"/>
      <c r="Z314" s="2"/>
      <c r="AA314" s="2"/>
      <c r="AB314" s="2"/>
      <c r="AC314" s="2"/>
    </row>
    <row r="315" spans="1:29" ht="17.399999999999999" x14ac:dyDescent="0.25">
      <c r="A315" s="1"/>
      <c r="B315" s="2"/>
      <c r="C315" s="2"/>
      <c r="D315" s="2"/>
      <c r="E315" s="2"/>
      <c r="F315" s="2"/>
      <c r="G315" s="2"/>
      <c r="H315" s="2"/>
      <c r="I315" s="2"/>
      <c r="J315" s="2"/>
      <c r="K315" s="2"/>
      <c r="L315" s="2"/>
      <c r="M315" s="2"/>
      <c r="N315" s="2"/>
      <c r="O315" s="1"/>
      <c r="P315" s="2"/>
      <c r="Q315" s="2"/>
      <c r="R315" s="2"/>
      <c r="S315" s="2"/>
      <c r="T315" s="2"/>
      <c r="U315" s="2"/>
      <c r="V315" s="2"/>
      <c r="W315" s="2"/>
      <c r="X315" s="2"/>
      <c r="Y315" s="2"/>
      <c r="Z315" s="2"/>
      <c r="AA315" s="2"/>
      <c r="AB315" s="2"/>
      <c r="AC315" s="2"/>
    </row>
    <row r="316" spans="1:29" ht="17.399999999999999" x14ac:dyDescent="0.25">
      <c r="A316" s="1"/>
      <c r="B316" s="2"/>
      <c r="C316" s="2"/>
      <c r="D316" s="2"/>
      <c r="E316" s="2"/>
      <c r="F316" s="2"/>
      <c r="G316" s="2"/>
      <c r="H316" s="2"/>
      <c r="I316" s="2"/>
      <c r="J316" s="2"/>
      <c r="K316" s="2"/>
      <c r="L316" s="2"/>
      <c r="M316" s="2"/>
      <c r="N316" s="2"/>
      <c r="O316" s="1"/>
      <c r="P316" s="2"/>
      <c r="Q316" s="2"/>
      <c r="R316" s="2"/>
      <c r="S316" s="2"/>
      <c r="T316" s="2"/>
      <c r="U316" s="2"/>
      <c r="V316" s="2"/>
      <c r="W316" s="2"/>
      <c r="X316" s="2"/>
      <c r="Y316" s="2"/>
      <c r="Z316" s="2"/>
      <c r="AA316" s="2"/>
      <c r="AB316" s="2"/>
      <c r="AC316" s="2"/>
    </row>
    <row r="317" spans="1:29" ht="17.399999999999999" x14ac:dyDescent="0.25">
      <c r="A317" s="1"/>
      <c r="B317" s="2"/>
      <c r="C317" s="2"/>
      <c r="D317" s="2"/>
      <c r="E317" s="2"/>
      <c r="F317" s="2"/>
      <c r="G317" s="2"/>
      <c r="H317" s="2"/>
      <c r="I317" s="2"/>
      <c r="J317" s="2"/>
      <c r="K317" s="2"/>
      <c r="L317" s="2"/>
      <c r="M317" s="2"/>
      <c r="N317" s="2"/>
      <c r="O317" s="1"/>
      <c r="P317" s="2"/>
      <c r="Q317" s="2"/>
      <c r="R317" s="2"/>
      <c r="S317" s="2"/>
      <c r="T317" s="2"/>
      <c r="U317" s="2"/>
      <c r="V317" s="2"/>
      <c r="W317" s="2"/>
      <c r="X317" s="2"/>
      <c r="Y317" s="2"/>
      <c r="Z317" s="2"/>
      <c r="AA317" s="2"/>
      <c r="AB317" s="2"/>
      <c r="AC317" s="2"/>
    </row>
    <row r="318" spans="1:29" ht="17.399999999999999" x14ac:dyDescent="0.25">
      <c r="A318" s="1"/>
      <c r="B318" s="2"/>
      <c r="C318" s="2"/>
      <c r="D318" s="2"/>
      <c r="E318" s="2"/>
      <c r="F318" s="2"/>
      <c r="G318" s="2"/>
      <c r="H318" s="2"/>
      <c r="I318" s="2"/>
      <c r="J318" s="2"/>
      <c r="K318" s="2"/>
      <c r="L318" s="2"/>
      <c r="M318" s="2"/>
      <c r="N318" s="2"/>
      <c r="O318" s="1"/>
      <c r="P318" s="2"/>
      <c r="Q318" s="2"/>
      <c r="R318" s="2"/>
      <c r="S318" s="2"/>
      <c r="T318" s="2"/>
      <c r="U318" s="2"/>
      <c r="V318" s="2"/>
      <c r="W318" s="2"/>
      <c r="X318" s="2"/>
      <c r="Y318" s="2"/>
      <c r="Z318" s="2"/>
      <c r="AA318" s="2"/>
      <c r="AB318" s="2"/>
      <c r="AC318" s="2"/>
    </row>
    <row r="319" spans="1:29" ht="17.399999999999999" x14ac:dyDescent="0.25">
      <c r="A319" s="1"/>
      <c r="B319" s="2"/>
      <c r="C319" s="2"/>
      <c r="D319" s="2"/>
      <c r="E319" s="2"/>
      <c r="F319" s="2"/>
      <c r="G319" s="2"/>
      <c r="H319" s="2"/>
      <c r="I319" s="2"/>
      <c r="J319" s="2"/>
      <c r="K319" s="2"/>
      <c r="L319" s="2"/>
      <c r="M319" s="2"/>
      <c r="N319" s="2"/>
      <c r="O319" s="1"/>
      <c r="P319" s="2"/>
      <c r="Q319" s="2"/>
      <c r="R319" s="2"/>
      <c r="S319" s="2"/>
      <c r="T319" s="2"/>
      <c r="U319" s="2"/>
      <c r="V319" s="2"/>
      <c r="W319" s="2"/>
      <c r="X319" s="2"/>
      <c r="Y319" s="2"/>
      <c r="Z319" s="2"/>
      <c r="AA319" s="2"/>
      <c r="AB319" s="2"/>
      <c r="AC319" s="2"/>
    </row>
    <row r="320" spans="1:29" ht="17.399999999999999" x14ac:dyDescent="0.25">
      <c r="A320" s="1"/>
      <c r="B320" s="2"/>
      <c r="C320" s="2"/>
      <c r="D320" s="2"/>
      <c r="E320" s="2"/>
      <c r="F320" s="2"/>
      <c r="G320" s="2"/>
      <c r="H320" s="2"/>
      <c r="I320" s="2"/>
      <c r="J320" s="2"/>
      <c r="K320" s="2"/>
      <c r="L320" s="2"/>
      <c r="M320" s="2"/>
      <c r="N320" s="2"/>
      <c r="O320" s="1"/>
      <c r="P320" s="2"/>
      <c r="Q320" s="2"/>
      <c r="R320" s="2"/>
      <c r="S320" s="2"/>
      <c r="T320" s="2"/>
      <c r="U320" s="2"/>
      <c r="V320" s="2"/>
      <c r="W320" s="2"/>
      <c r="X320" s="2"/>
      <c r="Y320" s="2"/>
      <c r="Z320" s="2"/>
      <c r="AA320" s="2"/>
      <c r="AB320" s="2"/>
      <c r="AC320" s="2"/>
    </row>
    <row r="321" spans="1:29" ht="17.399999999999999" x14ac:dyDescent="0.25">
      <c r="A321" s="1"/>
      <c r="B321" s="2"/>
      <c r="C321" s="2"/>
      <c r="D321" s="2"/>
      <c r="E321" s="2"/>
      <c r="F321" s="2"/>
      <c r="G321" s="2"/>
      <c r="H321" s="2"/>
      <c r="I321" s="2"/>
      <c r="J321" s="2"/>
      <c r="K321" s="2"/>
      <c r="L321" s="2"/>
      <c r="M321" s="2"/>
      <c r="N321" s="2"/>
      <c r="O321" s="1"/>
      <c r="P321" s="2"/>
      <c r="Q321" s="2"/>
      <c r="R321" s="2"/>
      <c r="S321" s="2"/>
      <c r="T321" s="2"/>
      <c r="U321" s="2"/>
      <c r="V321" s="2"/>
      <c r="W321" s="2"/>
      <c r="X321" s="2"/>
      <c r="Y321" s="2"/>
      <c r="Z321" s="2"/>
      <c r="AA321" s="2"/>
      <c r="AB321" s="2"/>
      <c r="AC321" s="2"/>
    </row>
    <row r="322" spans="1:29" ht="17.399999999999999" x14ac:dyDescent="0.25">
      <c r="A322" s="1"/>
      <c r="B322" s="2"/>
      <c r="C322" s="2"/>
      <c r="D322" s="2"/>
      <c r="E322" s="2"/>
      <c r="F322" s="2"/>
      <c r="G322" s="2"/>
      <c r="H322" s="2"/>
      <c r="I322" s="2"/>
      <c r="J322" s="2"/>
      <c r="K322" s="2"/>
      <c r="L322" s="2"/>
      <c r="M322" s="2"/>
      <c r="N322" s="2"/>
      <c r="O322" s="1"/>
      <c r="P322" s="2"/>
      <c r="Q322" s="2"/>
      <c r="R322" s="2"/>
      <c r="S322" s="2"/>
      <c r="T322" s="2"/>
      <c r="U322" s="2"/>
      <c r="V322" s="2"/>
      <c r="W322" s="2"/>
      <c r="X322" s="2"/>
      <c r="Y322" s="2"/>
      <c r="Z322" s="2"/>
      <c r="AA322" s="2"/>
      <c r="AB322" s="2"/>
      <c r="AC322" s="2"/>
    </row>
    <row r="323" spans="1:29" ht="17.399999999999999" x14ac:dyDescent="0.25">
      <c r="A323" s="1"/>
      <c r="B323" s="2"/>
      <c r="C323" s="2"/>
      <c r="D323" s="2"/>
      <c r="E323" s="2"/>
      <c r="F323" s="2"/>
      <c r="G323" s="2"/>
      <c r="H323" s="2"/>
      <c r="I323" s="2"/>
      <c r="J323" s="2"/>
      <c r="K323" s="2"/>
      <c r="L323" s="2"/>
      <c r="M323" s="2"/>
      <c r="N323" s="2"/>
      <c r="O323" s="1"/>
      <c r="P323" s="2"/>
      <c r="Q323" s="2"/>
      <c r="R323" s="2"/>
      <c r="S323" s="2"/>
      <c r="T323" s="2"/>
      <c r="U323" s="2"/>
      <c r="V323" s="2"/>
      <c r="W323" s="2"/>
      <c r="X323" s="2"/>
      <c r="Y323" s="2"/>
      <c r="Z323" s="2"/>
      <c r="AA323" s="2"/>
      <c r="AB323" s="2"/>
      <c r="AC323" s="2"/>
    </row>
    <row r="324" spans="1:29" ht="17.399999999999999" x14ac:dyDescent="0.25">
      <c r="A324" s="1"/>
      <c r="B324" s="2"/>
      <c r="C324" s="2"/>
      <c r="D324" s="2"/>
      <c r="E324" s="2"/>
      <c r="F324" s="2"/>
      <c r="G324" s="2"/>
      <c r="H324" s="2"/>
      <c r="I324" s="2"/>
      <c r="J324" s="2"/>
      <c r="K324" s="2"/>
      <c r="L324" s="2"/>
      <c r="M324" s="2"/>
      <c r="N324" s="2"/>
      <c r="O324" s="1"/>
      <c r="P324" s="2"/>
      <c r="Q324" s="2"/>
      <c r="R324" s="2"/>
      <c r="S324" s="2"/>
      <c r="T324" s="2"/>
      <c r="U324" s="2"/>
      <c r="V324" s="2"/>
      <c r="W324" s="2"/>
      <c r="X324" s="2"/>
      <c r="Y324" s="2"/>
      <c r="Z324" s="2"/>
      <c r="AA324" s="2"/>
      <c r="AB324" s="2"/>
      <c r="AC324" s="2"/>
    </row>
    <row r="325" spans="1:29" ht="17.399999999999999" x14ac:dyDescent="0.25">
      <c r="A325" s="1"/>
      <c r="B325" s="2"/>
      <c r="C325" s="2"/>
      <c r="D325" s="2"/>
      <c r="E325" s="2"/>
      <c r="F325" s="2"/>
      <c r="G325" s="2"/>
      <c r="H325" s="2"/>
      <c r="I325" s="2"/>
      <c r="J325" s="2"/>
      <c r="K325" s="2"/>
      <c r="L325" s="2"/>
      <c r="M325" s="2"/>
      <c r="N325" s="2"/>
      <c r="O325" s="1"/>
      <c r="P325" s="2"/>
      <c r="Q325" s="2"/>
      <c r="R325" s="2"/>
      <c r="S325" s="2"/>
      <c r="T325" s="2"/>
      <c r="U325" s="2"/>
      <c r="V325" s="2"/>
      <c r="W325" s="2"/>
      <c r="X325" s="2"/>
      <c r="Y325" s="2"/>
      <c r="Z325" s="2"/>
      <c r="AA325" s="2"/>
      <c r="AB325" s="2"/>
      <c r="AC325" s="2"/>
    </row>
    <row r="326" spans="1:29" ht="17.399999999999999" x14ac:dyDescent="0.25">
      <c r="A326" s="1"/>
      <c r="B326" s="2"/>
      <c r="C326" s="2"/>
      <c r="D326" s="2"/>
      <c r="E326" s="2"/>
      <c r="F326" s="2"/>
      <c r="G326" s="2"/>
      <c r="H326" s="2"/>
      <c r="I326" s="2"/>
      <c r="J326" s="2"/>
      <c r="K326" s="2"/>
      <c r="L326" s="2"/>
      <c r="M326" s="2"/>
      <c r="N326" s="2"/>
      <c r="O326" s="1"/>
      <c r="P326" s="2"/>
      <c r="Q326" s="2"/>
      <c r="R326" s="2"/>
      <c r="S326" s="2"/>
      <c r="T326" s="2"/>
      <c r="U326" s="2"/>
      <c r="V326" s="2"/>
      <c r="W326" s="2"/>
      <c r="X326" s="2"/>
      <c r="Y326" s="2"/>
      <c r="Z326" s="2"/>
      <c r="AA326" s="2"/>
      <c r="AB326" s="2"/>
      <c r="AC326" s="2"/>
    </row>
    <row r="327" spans="1:29" ht="17.399999999999999" x14ac:dyDescent="0.25">
      <c r="A327" s="1"/>
      <c r="B327" s="2"/>
      <c r="C327" s="2"/>
      <c r="D327" s="2"/>
      <c r="E327" s="2"/>
      <c r="F327" s="2"/>
      <c r="G327" s="2"/>
      <c r="H327" s="2"/>
      <c r="I327" s="2"/>
      <c r="J327" s="2"/>
      <c r="K327" s="2"/>
      <c r="L327" s="2"/>
      <c r="M327" s="2"/>
      <c r="N327" s="2"/>
      <c r="O327" s="1"/>
      <c r="P327" s="2"/>
      <c r="Q327" s="2"/>
      <c r="R327" s="2"/>
      <c r="S327" s="2"/>
      <c r="T327" s="2"/>
      <c r="U327" s="2"/>
      <c r="V327" s="2"/>
      <c r="W327" s="2"/>
      <c r="X327" s="2"/>
      <c r="Y327" s="2"/>
      <c r="Z327" s="2"/>
      <c r="AA327" s="2"/>
      <c r="AB327" s="2"/>
      <c r="AC327" s="2"/>
    </row>
    <row r="328" spans="1:29" ht="17.399999999999999" x14ac:dyDescent="0.25">
      <c r="A328" s="1"/>
      <c r="B328" s="2"/>
      <c r="C328" s="2"/>
      <c r="D328" s="2"/>
      <c r="E328" s="2"/>
      <c r="F328" s="2"/>
      <c r="G328" s="2"/>
      <c r="H328" s="2"/>
      <c r="I328" s="2"/>
      <c r="J328" s="2"/>
      <c r="K328" s="2"/>
      <c r="L328" s="2"/>
      <c r="M328" s="2"/>
      <c r="N328" s="2"/>
      <c r="O328" s="1"/>
      <c r="P328" s="2"/>
      <c r="Q328" s="2"/>
      <c r="R328" s="2"/>
      <c r="S328" s="2"/>
      <c r="T328" s="2"/>
      <c r="U328" s="2"/>
      <c r="V328" s="2"/>
      <c r="W328" s="2"/>
      <c r="X328" s="2"/>
      <c r="Y328" s="2"/>
      <c r="Z328" s="2"/>
      <c r="AA328" s="2"/>
      <c r="AB328" s="2"/>
      <c r="AC328" s="2"/>
    </row>
    <row r="329" spans="1:29" ht="17.399999999999999" x14ac:dyDescent="0.25">
      <c r="A329" s="1"/>
      <c r="B329" s="2"/>
      <c r="C329" s="2"/>
      <c r="D329" s="2"/>
      <c r="E329" s="2"/>
      <c r="F329" s="2"/>
      <c r="G329" s="2"/>
      <c r="H329" s="2"/>
      <c r="I329" s="2"/>
      <c r="J329" s="2"/>
      <c r="K329" s="2"/>
      <c r="L329" s="2"/>
      <c r="M329" s="2"/>
      <c r="N329" s="2"/>
      <c r="O329" s="1"/>
      <c r="P329" s="2"/>
      <c r="Q329" s="2"/>
      <c r="R329" s="2"/>
      <c r="S329" s="2"/>
      <c r="T329" s="2"/>
      <c r="U329" s="2"/>
      <c r="V329" s="2"/>
      <c r="W329" s="2"/>
      <c r="X329" s="2"/>
      <c r="Y329" s="2"/>
      <c r="Z329" s="2"/>
      <c r="AA329" s="2"/>
      <c r="AB329" s="2"/>
      <c r="AC329" s="2"/>
    </row>
    <row r="330" spans="1:29" ht="17.399999999999999" x14ac:dyDescent="0.25">
      <c r="A330" s="1"/>
      <c r="B330" s="2"/>
      <c r="C330" s="2"/>
      <c r="D330" s="2"/>
      <c r="E330" s="2"/>
      <c r="F330" s="2"/>
      <c r="G330" s="2"/>
      <c r="H330" s="2"/>
      <c r="I330" s="2"/>
      <c r="J330" s="2"/>
      <c r="K330" s="2"/>
      <c r="L330" s="2"/>
      <c r="M330" s="2"/>
      <c r="N330" s="2"/>
      <c r="O330" s="1"/>
      <c r="P330" s="2"/>
      <c r="Q330" s="2"/>
      <c r="R330" s="2"/>
      <c r="S330" s="2"/>
      <c r="T330" s="2"/>
      <c r="U330" s="2"/>
      <c r="V330" s="2"/>
      <c r="W330" s="2"/>
      <c r="X330" s="2"/>
      <c r="Y330" s="2"/>
      <c r="Z330" s="2"/>
      <c r="AA330" s="2"/>
      <c r="AB330" s="2"/>
      <c r="AC330" s="2"/>
    </row>
    <row r="331" spans="1:29" ht="17.399999999999999" x14ac:dyDescent="0.25">
      <c r="A331" s="1"/>
      <c r="B331" s="2"/>
      <c r="C331" s="2"/>
      <c r="D331" s="2"/>
      <c r="E331" s="2"/>
      <c r="F331" s="2"/>
      <c r="G331" s="2"/>
      <c r="H331" s="2"/>
      <c r="I331" s="2"/>
      <c r="J331" s="2"/>
      <c r="K331" s="2"/>
      <c r="L331" s="2"/>
      <c r="M331" s="2"/>
      <c r="N331" s="2"/>
      <c r="O331" s="1"/>
      <c r="P331" s="2"/>
      <c r="Q331" s="2"/>
      <c r="R331" s="2"/>
      <c r="S331" s="2"/>
      <c r="T331" s="2"/>
      <c r="U331" s="2"/>
      <c r="V331" s="2"/>
      <c r="W331" s="2"/>
      <c r="X331" s="2"/>
      <c r="Y331" s="2"/>
      <c r="Z331" s="2"/>
      <c r="AA331" s="2"/>
      <c r="AB331" s="2"/>
      <c r="AC331" s="2"/>
    </row>
    <row r="332" spans="1:29" ht="17.399999999999999" x14ac:dyDescent="0.25">
      <c r="A332" s="1"/>
      <c r="B332" s="2"/>
      <c r="C332" s="2"/>
      <c r="D332" s="2"/>
      <c r="E332" s="2"/>
      <c r="F332" s="2"/>
      <c r="G332" s="2"/>
      <c r="H332" s="2"/>
      <c r="I332" s="2"/>
      <c r="J332" s="2"/>
      <c r="K332" s="2"/>
      <c r="L332" s="2"/>
      <c r="M332" s="2"/>
      <c r="N332" s="2"/>
      <c r="O332" s="1"/>
      <c r="P332" s="2"/>
      <c r="Q332" s="2"/>
      <c r="R332" s="2"/>
      <c r="S332" s="2"/>
      <c r="T332" s="2"/>
      <c r="U332" s="2"/>
      <c r="V332" s="2"/>
      <c r="W332" s="2"/>
      <c r="X332" s="2"/>
      <c r="Y332" s="2"/>
      <c r="Z332" s="2"/>
      <c r="AA332" s="2"/>
      <c r="AB332" s="2"/>
      <c r="AC332" s="2"/>
    </row>
    <row r="333" spans="1:29" ht="17.399999999999999" x14ac:dyDescent="0.25">
      <c r="A333" s="1"/>
      <c r="B333" s="2"/>
      <c r="C333" s="2"/>
      <c r="D333" s="2"/>
      <c r="E333" s="2"/>
      <c r="F333" s="2"/>
      <c r="G333" s="2"/>
      <c r="H333" s="2"/>
      <c r="I333" s="2"/>
      <c r="J333" s="2"/>
      <c r="K333" s="2"/>
      <c r="L333" s="2"/>
      <c r="M333" s="2"/>
      <c r="N333" s="2"/>
      <c r="O333" s="1"/>
      <c r="P333" s="2"/>
      <c r="Q333" s="2"/>
      <c r="R333" s="2"/>
      <c r="S333" s="2"/>
      <c r="T333" s="2"/>
      <c r="U333" s="2"/>
      <c r="V333" s="2"/>
      <c r="W333" s="2"/>
      <c r="X333" s="2"/>
      <c r="Y333" s="2"/>
      <c r="Z333" s="2"/>
      <c r="AA333" s="2"/>
      <c r="AB333" s="2"/>
      <c r="AC333" s="2"/>
    </row>
    <row r="334" spans="1:29" ht="17.399999999999999" x14ac:dyDescent="0.25">
      <c r="A334" s="1"/>
      <c r="B334" s="2"/>
      <c r="C334" s="2"/>
      <c r="D334" s="2"/>
      <c r="E334" s="2"/>
      <c r="F334" s="2"/>
      <c r="G334" s="2"/>
      <c r="H334" s="2"/>
      <c r="I334" s="2"/>
      <c r="J334" s="2"/>
      <c r="K334" s="2"/>
      <c r="L334" s="2"/>
      <c r="M334" s="2"/>
      <c r="N334" s="2"/>
      <c r="O334" s="1"/>
      <c r="P334" s="2"/>
      <c r="Q334" s="2"/>
      <c r="R334" s="2"/>
      <c r="S334" s="2"/>
      <c r="T334" s="2"/>
      <c r="U334" s="2"/>
      <c r="V334" s="2"/>
      <c r="W334" s="2"/>
      <c r="X334" s="2"/>
      <c r="Y334" s="2"/>
      <c r="Z334" s="2"/>
      <c r="AA334" s="2"/>
      <c r="AB334" s="2"/>
      <c r="AC334" s="2"/>
    </row>
    <row r="335" spans="1:29" ht="17.399999999999999" x14ac:dyDescent="0.25">
      <c r="A335" s="1"/>
      <c r="B335" s="2"/>
      <c r="C335" s="2"/>
      <c r="D335" s="2"/>
      <c r="E335" s="2"/>
      <c r="F335" s="2"/>
      <c r="G335" s="2"/>
      <c r="H335" s="2"/>
      <c r="I335" s="2"/>
      <c r="J335" s="2"/>
      <c r="K335" s="2"/>
      <c r="L335" s="2"/>
      <c r="M335" s="2"/>
      <c r="N335" s="2"/>
      <c r="O335" s="1"/>
      <c r="P335" s="2"/>
      <c r="Q335" s="2"/>
      <c r="R335" s="2"/>
      <c r="S335" s="2"/>
      <c r="T335" s="2"/>
      <c r="U335" s="2"/>
      <c r="V335" s="2"/>
      <c r="W335" s="2"/>
      <c r="X335" s="2"/>
      <c r="Y335" s="2"/>
      <c r="Z335" s="2"/>
      <c r="AA335" s="2"/>
      <c r="AB335" s="2"/>
      <c r="AC335" s="2"/>
    </row>
    <row r="336" spans="1:29" ht="17.399999999999999" x14ac:dyDescent="0.25">
      <c r="A336" s="1"/>
      <c r="B336" s="2"/>
      <c r="C336" s="2"/>
      <c r="D336" s="2"/>
      <c r="E336" s="2"/>
      <c r="F336" s="2"/>
      <c r="G336" s="2"/>
      <c r="H336" s="2"/>
      <c r="I336" s="2"/>
      <c r="J336" s="2"/>
      <c r="K336" s="2"/>
      <c r="L336" s="2"/>
      <c r="M336" s="2"/>
      <c r="N336" s="2"/>
      <c r="O336" s="1"/>
      <c r="P336" s="2"/>
      <c r="Q336" s="2"/>
      <c r="R336" s="2"/>
      <c r="S336" s="2"/>
      <c r="T336" s="2"/>
      <c r="U336" s="2"/>
      <c r="V336" s="2"/>
      <c r="W336" s="2"/>
      <c r="X336" s="2"/>
      <c r="Y336" s="2"/>
      <c r="Z336" s="2"/>
      <c r="AA336" s="2"/>
      <c r="AB336" s="2"/>
      <c r="AC336" s="2"/>
    </row>
    <row r="337" spans="1:29" ht="17.399999999999999" x14ac:dyDescent="0.25">
      <c r="A337" s="1"/>
      <c r="B337" s="2"/>
      <c r="C337" s="2"/>
      <c r="D337" s="2"/>
      <c r="E337" s="2"/>
      <c r="F337" s="2"/>
      <c r="G337" s="2"/>
      <c r="H337" s="2"/>
      <c r="I337" s="2"/>
      <c r="J337" s="2"/>
      <c r="K337" s="2"/>
      <c r="L337" s="2"/>
      <c r="M337" s="2"/>
      <c r="N337" s="2"/>
      <c r="O337" s="1"/>
      <c r="P337" s="2"/>
      <c r="Q337" s="2"/>
      <c r="R337" s="2"/>
      <c r="S337" s="2"/>
      <c r="T337" s="2"/>
      <c r="U337" s="2"/>
      <c r="V337" s="2"/>
      <c r="W337" s="2"/>
      <c r="X337" s="2"/>
      <c r="Y337" s="2"/>
      <c r="Z337" s="2"/>
      <c r="AA337" s="2"/>
      <c r="AB337" s="2"/>
      <c r="AC337" s="2"/>
    </row>
    <row r="338" spans="1:29" ht="17.399999999999999" x14ac:dyDescent="0.25">
      <c r="A338" s="1"/>
      <c r="B338" s="2"/>
      <c r="C338" s="2"/>
      <c r="D338" s="2"/>
      <c r="E338" s="2"/>
      <c r="F338" s="2"/>
      <c r="G338" s="2"/>
      <c r="H338" s="2"/>
      <c r="I338" s="2"/>
      <c r="J338" s="2"/>
      <c r="K338" s="2"/>
      <c r="L338" s="2"/>
      <c r="M338" s="2"/>
      <c r="N338" s="2"/>
      <c r="O338" s="1"/>
      <c r="P338" s="2"/>
      <c r="Q338" s="2"/>
      <c r="R338" s="2"/>
      <c r="S338" s="2"/>
      <c r="T338" s="2"/>
      <c r="U338" s="2"/>
      <c r="V338" s="2"/>
      <c r="W338" s="2"/>
      <c r="X338" s="2"/>
      <c r="Y338" s="2"/>
      <c r="Z338" s="2"/>
      <c r="AA338" s="2"/>
      <c r="AB338" s="2"/>
      <c r="AC338" s="2"/>
    </row>
    <row r="339" spans="1:29" ht="17.399999999999999" x14ac:dyDescent="0.25">
      <c r="A339" s="1"/>
      <c r="B339" s="2"/>
      <c r="C339" s="2"/>
      <c r="D339" s="2"/>
      <c r="E339" s="2"/>
      <c r="F339" s="2"/>
      <c r="G339" s="2"/>
      <c r="H339" s="2"/>
      <c r="I339" s="2"/>
      <c r="J339" s="2"/>
      <c r="K339" s="2"/>
      <c r="L339" s="2"/>
      <c r="M339" s="2"/>
      <c r="N339" s="2"/>
      <c r="O339" s="1"/>
      <c r="P339" s="2"/>
      <c r="Q339" s="2"/>
      <c r="R339" s="2"/>
      <c r="S339" s="2"/>
      <c r="T339" s="2"/>
      <c r="U339" s="2"/>
      <c r="V339" s="2"/>
      <c r="W339" s="2"/>
      <c r="X339" s="2"/>
      <c r="Y339" s="2"/>
      <c r="Z339" s="2"/>
      <c r="AA339" s="2"/>
      <c r="AB339" s="2"/>
      <c r="AC339" s="2"/>
    </row>
    <row r="340" spans="1:29" ht="17.399999999999999" x14ac:dyDescent="0.25">
      <c r="A340" s="1"/>
      <c r="B340" s="2"/>
      <c r="C340" s="2"/>
      <c r="D340" s="2"/>
      <c r="E340" s="2"/>
      <c r="F340" s="2"/>
      <c r="G340" s="2"/>
      <c r="H340" s="2"/>
      <c r="I340" s="2"/>
      <c r="J340" s="2"/>
      <c r="K340" s="2"/>
      <c r="L340" s="2"/>
      <c r="M340" s="2"/>
      <c r="N340" s="2"/>
      <c r="O340" s="1"/>
      <c r="P340" s="2"/>
      <c r="Q340" s="2"/>
      <c r="R340" s="2"/>
      <c r="S340" s="2"/>
      <c r="T340" s="2"/>
      <c r="U340" s="2"/>
      <c r="V340" s="2"/>
      <c r="W340" s="2"/>
      <c r="X340" s="2"/>
      <c r="Y340" s="2"/>
      <c r="Z340" s="2"/>
      <c r="AA340" s="2"/>
      <c r="AB340" s="2"/>
      <c r="AC340" s="2"/>
    </row>
    <row r="341" spans="1:29" ht="17.399999999999999" x14ac:dyDescent="0.25">
      <c r="A341" s="1"/>
      <c r="B341" s="2"/>
      <c r="C341" s="2"/>
      <c r="D341" s="2"/>
      <c r="E341" s="2"/>
      <c r="F341" s="2"/>
      <c r="G341" s="2"/>
      <c r="H341" s="2"/>
      <c r="I341" s="2"/>
      <c r="J341" s="2"/>
      <c r="K341" s="2"/>
      <c r="L341" s="2"/>
      <c r="M341" s="2"/>
      <c r="N341" s="2"/>
      <c r="O341" s="1"/>
      <c r="P341" s="2"/>
      <c r="Q341" s="2"/>
      <c r="R341" s="2"/>
      <c r="S341" s="2"/>
      <c r="T341" s="2"/>
      <c r="U341" s="2"/>
      <c r="V341" s="2"/>
      <c r="W341" s="2"/>
      <c r="X341" s="2"/>
      <c r="Y341" s="2"/>
      <c r="Z341" s="2"/>
      <c r="AA341" s="2"/>
      <c r="AB341" s="2"/>
      <c r="AC341" s="2"/>
    </row>
    <row r="342" spans="1:29" ht="17.399999999999999" x14ac:dyDescent="0.25">
      <c r="A342" s="1"/>
      <c r="B342" s="2"/>
      <c r="C342" s="2"/>
      <c r="D342" s="2"/>
      <c r="E342" s="2"/>
      <c r="F342" s="2"/>
      <c r="G342" s="2"/>
      <c r="H342" s="2"/>
      <c r="I342" s="2"/>
      <c r="J342" s="2"/>
      <c r="K342" s="2"/>
      <c r="L342" s="2"/>
      <c r="M342" s="2"/>
      <c r="N342" s="2"/>
      <c r="O342" s="1"/>
      <c r="P342" s="2"/>
      <c r="Q342" s="2"/>
      <c r="R342" s="2"/>
      <c r="S342" s="2"/>
      <c r="T342" s="2"/>
      <c r="U342" s="2"/>
      <c r="V342" s="2"/>
      <c r="W342" s="2"/>
      <c r="X342" s="2"/>
      <c r="Y342" s="2"/>
      <c r="Z342" s="2"/>
      <c r="AA342" s="2"/>
      <c r="AB342" s="2"/>
      <c r="AC342" s="2"/>
    </row>
    <row r="343" spans="1:29" ht="17.399999999999999" x14ac:dyDescent="0.25">
      <c r="A343" s="1"/>
      <c r="B343" s="2"/>
      <c r="C343" s="2"/>
      <c r="D343" s="2"/>
      <c r="E343" s="2"/>
      <c r="F343" s="2"/>
      <c r="G343" s="2"/>
      <c r="H343" s="2"/>
      <c r="I343" s="2"/>
      <c r="J343" s="2"/>
      <c r="K343" s="2"/>
      <c r="L343" s="2"/>
      <c r="M343" s="2"/>
      <c r="N343" s="2"/>
      <c r="O343" s="1"/>
      <c r="P343" s="2"/>
      <c r="Q343" s="2"/>
      <c r="R343" s="2"/>
      <c r="S343" s="2"/>
      <c r="T343" s="2"/>
      <c r="U343" s="2"/>
      <c r="V343" s="2"/>
      <c r="W343" s="2"/>
      <c r="X343" s="2"/>
      <c r="Y343" s="2"/>
      <c r="Z343" s="2"/>
      <c r="AA343" s="2"/>
      <c r="AB343" s="2"/>
      <c r="AC343" s="2"/>
    </row>
    <row r="344" spans="1:29" ht="17.399999999999999" x14ac:dyDescent="0.25">
      <c r="A344" s="1"/>
      <c r="B344" s="2"/>
      <c r="C344" s="2"/>
      <c r="D344" s="2"/>
      <c r="E344" s="2"/>
      <c r="F344" s="2"/>
      <c r="G344" s="2"/>
      <c r="H344" s="2"/>
      <c r="I344" s="2"/>
      <c r="J344" s="2"/>
      <c r="K344" s="2"/>
      <c r="L344" s="2"/>
      <c r="M344" s="2"/>
      <c r="N344" s="2"/>
      <c r="O344" s="1"/>
      <c r="P344" s="2"/>
      <c r="Q344" s="2"/>
      <c r="R344" s="2"/>
      <c r="S344" s="2"/>
      <c r="T344" s="2"/>
      <c r="U344" s="2"/>
      <c r="V344" s="2"/>
      <c r="W344" s="2"/>
      <c r="X344" s="2"/>
      <c r="Y344" s="2"/>
      <c r="Z344" s="2"/>
      <c r="AA344" s="2"/>
      <c r="AB344" s="2"/>
      <c r="AC344" s="2"/>
    </row>
    <row r="345" spans="1:29" ht="17.399999999999999" x14ac:dyDescent="0.25">
      <c r="A345" s="1"/>
      <c r="B345" s="2"/>
      <c r="C345" s="2"/>
      <c r="D345" s="2"/>
      <c r="E345" s="2"/>
      <c r="F345" s="2"/>
      <c r="G345" s="2"/>
      <c r="H345" s="2"/>
      <c r="I345" s="2"/>
      <c r="J345" s="2"/>
      <c r="K345" s="2"/>
      <c r="L345" s="2"/>
      <c r="M345" s="2"/>
      <c r="N345" s="2"/>
      <c r="O345" s="1"/>
      <c r="P345" s="2"/>
      <c r="Q345" s="2"/>
      <c r="R345" s="2"/>
      <c r="S345" s="2"/>
      <c r="T345" s="2"/>
      <c r="U345" s="2"/>
      <c r="V345" s="2"/>
      <c r="W345" s="2"/>
      <c r="X345" s="2"/>
      <c r="Y345" s="2"/>
      <c r="Z345" s="2"/>
      <c r="AA345" s="2"/>
      <c r="AB345" s="2"/>
      <c r="AC345" s="2"/>
    </row>
    <row r="346" spans="1:29" ht="17.399999999999999" x14ac:dyDescent="0.25">
      <c r="A346" s="1"/>
      <c r="B346" s="2"/>
      <c r="C346" s="2"/>
      <c r="D346" s="2"/>
      <c r="E346" s="2"/>
      <c r="F346" s="2"/>
      <c r="G346" s="2"/>
      <c r="H346" s="2"/>
      <c r="I346" s="2"/>
      <c r="J346" s="2"/>
      <c r="K346" s="2"/>
      <c r="L346" s="2"/>
      <c r="M346" s="2"/>
      <c r="N346" s="2"/>
      <c r="O346" s="1"/>
      <c r="P346" s="2"/>
      <c r="Q346" s="2"/>
      <c r="R346" s="2"/>
      <c r="S346" s="2"/>
      <c r="T346" s="2"/>
      <c r="U346" s="2"/>
      <c r="V346" s="2"/>
      <c r="W346" s="2"/>
      <c r="X346" s="2"/>
      <c r="Y346" s="2"/>
      <c r="Z346" s="2"/>
      <c r="AA346" s="2"/>
      <c r="AB346" s="2"/>
      <c r="AC346" s="2"/>
    </row>
    <row r="347" spans="1:29" ht="17.399999999999999" x14ac:dyDescent="0.25">
      <c r="A347" s="1"/>
      <c r="B347" s="2"/>
      <c r="C347" s="2"/>
      <c r="D347" s="2"/>
      <c r="E347" s="2"/>
      <c r="F347" s="2"/>
      <c r="G347" s="2"/>
      <c r="H347" s="2"/>
      <c r="I347" s="2"/>
      <c r="J347" s="2"/>
      <c r="K347" s="2"/>
      <c r="L347" s="2"/>
      <c r="M347" s="2"/>
      <c r="N347" s="2"/>
      <c r="O347" s="1"/>
      <c r="P347" s="2"/>
      <c r="Q347" s="2"/>
      <c r="R347" s="2"/>
      <c r="S347" s="2"/>
      <c r="T347" s="2"/>
      <c r="U347" s="2"/>
      <c r="V347" s="2"/>
      <c r="W347" s="2"/>
      <c r="X347" s="2"/>
      <c r="Y347" s="2"/>
      <c r="Z347" s="2"/>
      <c r="AA347" s="2"/>
      <c r="AB347" s="2"/>
      <c r="AC347" s="2"/>
    </row>
    <row r="348" spans="1:29" ht="17.399999999999999" x14ac:dyDescent="0.25">
      <c r="A348" s="1"/>
      <c r="B348" s="2"/>
      <c r="C348" s="2"/>
      <c r="D348" s="2"/>
      <c r="E348" s="2"/>
      <c r="F348" s="2"/>
      <c r="G348" s="2"/>
      <c r="H348" s="2"/>
      <c r="I348" s="2"/>
      <c r="J348" s="2"/>
      <c r="K348" s="2"/>
      <c r="L348" s="2"/>
      <c r="M348" s="2"/>
      <c r="N348" s="2"/>
      <c r="O348" s="1"/>
      <c r="P348" s="2"/>
      <c r="Q348" s="2"/>
      <c r="R348" s="2"/>
      <c r="S348" s="2"/>
      <c r="T348" s="2"/>
      <c r="U348" s="2"/>
      <c r="V348" s="2"/>
      <c r="W348" s="2"/>
      <c r="X348" s="2"/>
      <c r="Y348" s="2"/>
      <c r="Z348" s="2"/>
      <c r="AA348" s="2"/>
      <c r="AB348" s="2"/>
      <c r="AC348" s="2"/>
    </row>
    <row r="349" spans="1:29" ht="17.399999999999999" x14ac:dyDescent="0.25">
      <c r="A349" s="1"/>
      <c r="B349" s="2"/>
      <c r="C349" s="2"/>
      <c r="D349" s="2"/>
      <c r="E349" s="2"/>
      <c r="F349" s="2"/>
      <c r="G349" s="2"/>
      <c r="H349" s="2"/>
      <c r="I349" s="2"/>
      <c r="J349" s="2"/>
      <c r="K349" s="2"/>
      <c r="L349" s="2"/>
      <c r="M349" s="2"/>
      <c r="N349" s="2"/>
      <c r="O349" s="1"/>
      <c r="P349" s="2"/>
      <c r="Q349" s="2"/>
      <c r="R349" s="2"/>
      <c r="S349" s="2"/>
      <c r="T349" s="2"/>
      <c r="U349" s="2"/>
      <c r="V349" s="2"/>
      <c r="W349" s="2"/>
      <c r="X349" s="2"/>
      <c r="Y349" s="2"/>
      <c r="Z349" s="2"/>
      <c r="AA349" s="2"/>
      <c r="AB349" s="2"/>
      <c r="AC349" s="2"/>
    </row>
    <row r="350" spans="1:29" ht="17.399999999999999" x14ac:dyDescent="0.25">
      <c r="A350" s="1"/>
      <c r="B350" s="2"/>
      <c r="C350" s="2"/>
      <c r="D350" s="2"/>
      <c r="E350" s="2"/>
      <c r="F350" s="2"/>
      <c r="G350" s="2"/>
      <c r="H350" s="2"/>
      <c r="I350" s="2"/>
      <c r="J350" s="2"/>
      <c r="K350" s="2"/>
      <c r="L350" s="2"/>
      <c r="M350" s="2"/>
      <c r="N350" s="2"/>
      <c r="O350" s="1"/>
      <c r="P350" s="2"/>
      <c r="Q350" s="2"/>
      <c r="R350" s="2"/>
      <c r="S350" s="2"/>
      <c r="T350" s="2"/>
      <c r="U350" s="2"/>
      <c r="V350" s="2"/>
      <c r="W350" s="2"/>
      <c r="X350" s="2"/>
      <c r="Y350" s="2"/>
      <c r="Z350" s="2"/>
      <c r="AA350" s="2"/>
      <c r="AB350" s="2"/>
      <c r="AC350" s="2"/>
    </row>
    <row r="351" spans="1:29" ht="17.399999999999999" x14ac:dyDescent="0.25">
      <c r="A351" s="1"/>
      <c r="B351" s="2"/>
      <c r="C351" s="2"/>
      <c r="D351" s="2"/>
      <c r="E351" s="2"/>
      <c r="F351" s="2"/>
      <c r="G351" s="2"/>
      <c r="H351" s="2"/>
      <c r="I351" s="2"/>
      <c r="J351" s="2"/>
      <c r="K351" s="2"/>
      <c r="L351" s="2"/>
      <c r="M351" s="2"/>
      <c r="N351" s="2"/>
      <c r="O351" s="1"/>
      <c r="P351" s="2"/>
      <c r="Q351" s="2"/>
      <c r="R351" s="2"/>
      <c r="S351" s="2"/>
      <c r="T351" s="2"/>
      <c r="U351" s="2"/>
      <c r="V351" s="2"/>
      <c r="W351" s="2"/>
      <c r="X351" s="2"/>
      <c r="Y351" s="2"/>
      <c r="Z351" s="2"/>
      <c r="AA351" s="2"/>
      <c r="AB351" s="2"/>
      <c r="AC351" s="2"/>
    </row>
    <row r="352" spans="1:29" ht="17.399999999999999" x14ac:dyDescent="0.25">
      <c r="A352" s="1"/>
      <c r="B352" s="2"/>
      <c r="C352" s="2"/>
      <c r="D352" s="2"/>
      <c r="E352" s="2"/>
      <c r="F352" s="2"/>
      <c r="G352" s="2"/>
      <c r="H352" s="2"/>
      <c r="I352" s="2"/>
      <c r="J352" s="2"/>
      <c r="K352" s="2"/>
      <c r="L352" s="2"/>
      <c r="M352" s="2"/>
      <c r="N352" s="2"/>
      <c r="O352" s="1"/>
      <c r="P352" s="2"/>
      <c r="Q352" s="2"/>
      <c r="R352" s="2"/>
      <c r="S352" s="2"/>
      <c r="T352" s="2"/>
      <c r="U352" s="2"/>
      <c r="V352" s="2"/>
      <c r="W352" s="2"/>
      <c r="X352" s="2"/>
      <c r="Y352" s="2"/>
      <c r="Z352" s="2"/>
      <c r="AA352" s="2"/>
      <c r="AB352" s="2"/>
      <c r="AC352" s="2"/>
    </row>
    <row r="353" spans="1:29" ht="17.399999999999999" x14ac:dyDescent="0.25">
      <c r="A353" s="1"/>
      <c r="B353" s="2"/>
      <c r="C353" s="2"/>
      <c r="D353" s="2"/>
      <c r="E353" s="2"/>
      <c r="F353" s="2"/>
      <c r="G353" s="2"/>
      <c r="H353" s="2"/>
      <c r="I353" s="2"/>
      <c r="J353" s="2"/>
      <c r="K353" s="2"/>
      <c r="L353" s="2"/>
      <c r="M353" s="2"/>
      <c r="N353" s="2"/>
      <c r="O353" s="1"/>
      <c r="P353" s="2"/>
      <c r="Q353" s="2"/>
      <c r="R353" s="2"/>
      <c r="S353" s="2"/>
      <c r="T353" s="2"/>
      <c r="U353" s="2"/>
      <c r="V353" s="2"/>
      <c r="W353" s="2"/>
      <c r="X353" s="2"/>
      <c r="Y353" s="2"/>
      <c r="Z353" s="2"/>
      <c r="AA353" s="2"/>
      <c r="AB353" s="2"/>
      <c r="AC353" s="2"/>
    </row>
    <row r="354" spans="1:29" ht="17.399999999999999" x14ac:dyDescent="0.25">
      <c r="A354" s="1"/>
      <c r="B354" s="2"/>
      <c r="C354" s="2"/>
      <c r="D354" s="2"/>
      <c r="E354" s="2"/>
      <c r="F354" s="2"/>
      <c r="G354" s="2"/>
      <c r="H354" s="2"/>
      <c r="I354" s="2"/>
      <c r="J354" s="2"/>
      <c r="K354" s="2"/>
      <c r="L354" s="2"/>
      <c r="M354" s="2"/>
      <c r="N354" s="2"/>
      <c r="O354" s="1"/>
      <c r="P354" s="2"/>
      <c r="Q354" s="2"/>
      <c r="R354" s="2"/>
      <c r="S354" s="2"/>
      <c r="T354" s="2"/>
      <c r="U354" s="2"/>
      <c r="V354" s="2"/>
      <c r="W354" s="2"/>
      <c r="X354" s="2"/>
      <c r="Y354" s="2"/>
      <c r="Z354" s="2"/>
      <c r="AA354" s="2"/>
      <c r="AB354" s="2"/>
      <c r="AC354" s="2"/>
    </row>
    <row r="355" spans="1:29" ht="17.399999999999999" x14ac:dyDescent="0.25">
      <c r="A355" s="1"/>
      <c r="B355" s="2"/>
      <c r="C355" s="2"/>
      <c r="D355" s="2"/>
      <c r="E355" s="2"/>
      <c r="F355" s="2"/>
      <c r="G355" s="2"/>
      <c r="H355" s="2"/>
      <c r="I355" s="2"/>
      <c r="J355" s="2"/>
      <c r="K355" s="2"/>
      <c r="L355" s="2"/>
      <c r="M355" s="2"/>
      <c r="N355" s="2"/>
      <c r="O355" s="1"/>
      <c r="P355" s="2"/>
      <c r="Q355" s="2"/>
      <c r="R355" s="2"/>
      <c r="S355" s="2"/>
      <c r="T355" s="2"/>
      <c r="U355" s="2"/>
      <c r="V355" s="2"/>
      <c r="W355" s="2"/>
      <c r="X355" s="2"/>
      <c r="Y355" s="2"/>
      <c r="Z355" s="2"/>
      <c r="AA355" s="2"/>
      <c r="AB355" s="2"/>
      <c r="AC355" s="2"/>
    </row>
    <row r="356" spans="1:29" ht="17.399999999999999" x14ac:dyDescent="0.25">
      <c r="A356" s="1"/>
      <c r="B356" s="2"/>
      <c r="C356" s="2"/>
      <c r="D356" s="2"/>
      <c r="E356" s="2"/>
      <c r="F356" s="2"/>
      <c r="G356" s="2"/>
      <c r="H356" s="2"/>
      <c r="I356" s="2"/>
      <c r="J356" s="2"/>
      <c r="K356" s="2"/>
      <c r="L356" s="2"/>
      <c r="M356" s="2"/>
      <c r="N356" s="2"/>
      <c r="O356" s="1"/>
      <c r="P356" s="2"/>
      <c r="Q356" s="2"/>
      <c r="R356" s="2"/>
      <c r="S356" s="2"/>
      <c r="T356" s="2"/>
      <c r="U356" s="2"/>
      <c r="V356" s="2"/>
      <c r="W356" s="2"/>
      <c r="X356" s="2"/>
      <c r="Y356" s="2"/>
      <c r="Z356" s="2"/>
      <c r="AA356" s="2"/>
      <c r="AB356" s="2"/>
      <c r="AC356" s="2"/>
    </row>
    <row r="357" spans="1:29" ht="17.399999999999999" x14ac:dyDescent="0.25">
      <c r="A357" s="1"/>
      <c r="B357" s="2"/>
      <c r="C357" s="2"/>
      <c r="D357" s="2"/>
      <c r="E357" s="2"/>
      <c r="F357" s="2"/>
      <c r="G357" s="2"/>
      <c r="H357" s="2"/>
      <c r="I357" s="2"/>
      <c r="J357" s="2"/>
      <c r="K357" s="2"/>
      <c r="L357" s="2"/>
      <c r="M357" s="2"/>
      <c r="N357" s="2"/>
      <c r="O357" s="1"/>
      <c r="P357" s="2"/>
      <c r="Q357" s="2"/>
      <c r="R357" s="2"/>
      <c r="S357" s="2"/>
      <c r="T357" s="2"/>
      <c r="U357" s="2"/>
      <c r="V357" s="2"/>
      <c r="W357" s="2"/>
      <c r="X357" s="2"/>
      <c r="Y357" s="2"/>
      <c r="Z357" s="2"/>
      <c r="AA357" s="2"/>
      <c r="AB357" s="2"/>
      <c r="AC357" s="2"/>
    </row>
    <row r="358" spans="1:29" ht="17.399999999999999" x14ac:dyDescent="0.25">
      <c r="A358" s="1"/>
      <c r="B358" s="2"/>
      <c r="C358" s="2"/>
      <c r="D358" s="2"/>
      <c r="E358" s="2"/>
      <c r="F358" s="2"/>
      <c r="G358" s="2"/>
      <c r="H358" s="2"/>
      <c r="I358" s="2"/>
      <c r="J358" s="2"/>
      <c r="K358" s="2"/>
      <c r="L358" s="2"/>
      <c r="M358" s="2"/>
      <c r="N358" s="2"/>
      <c r="O358" s="1"/>
      <c r="P358" s="2"/>
      <c r="Q358" s="2"/>
      <c r="R358" s="2"/>
      <c r="S358" s="2"/>
      <c r="T358" s="2"/>
      <c r="U358" s="2"/>
      <c r="V358" s="2"/>
      <c r="W358" s="2"/>
      <c r="X358" s="2"/>
      <c r="Y358" s="2"/>
      <c r="Z358" s="2"/>
      <c r="AA358" s="2"/>
      <c r="AB358" s="2"/>
      <c r="AC358" s="2"/>
    </row>
    <row r="359" spans="1:29" ht="17.399999999999999" x14ac:dyDescent="0.25">
      <c r="A359" s="1"/>
      <c r="B359" s="2"/>
      <c r="C359" s="2"/>
      <c r="D359" s="2"/>
      <c r="E359" s="2"/>
      <c r="F359" s="2"/>
      <c r="G359" s="2"/>
      <c r="H359" s="2"/>
      <c r="I359" s="2"/>
      <c r="J359" s="2"/>
      <c r="K359" s="2"/>
      <c r="L359" s="2"/>
      <c r="M359" s="2"/>
      <c r="N359" s="2"/>
      <c r="O359" s="1"/>
      <c r="P359" s="2"/>
      <c r="Q359" s="2"/>
      <c r="R359" s="2"/>
      <c r="S359" s="2"/>
      <c r="T359" s="2"/>
      <c r="U359" s="2"/>
      <c r="V359" s="2"/>
      <c r="W359" s="2"/>
      <c r="X359" s="2"/>
      <c r="Y359" s="2"/>
      <c r="Z359" s="2"/>
      <c r="AA359" s="2"/>
      <c r="AB359" s="2"/>
      <c r="AC359" s="2"/>
    </row>
    <row r="360" spans="1:29" ht="17.399999999999999" x14ac:dyDescent="0.25">
      <c r="A360" s="1"/>
      <c r="B360" s="2"/>
      <c r="C360" s="2"/>
      <c r="D360" s="2"/>
      <c r="E360" s="2"/>
      <c r="F360" s="2"/>
      <c r="G360" s="2"/>
      <c r="H360" s="2"/>
      <c r="I360" s="2"/>
      <c r="J360" s="2"/>
      <c r="K360" s="2"/>
      <c r="L360" s="2"/>
      <c r="M360" s="2"/>
      <c r="N360" s="2"/>
      <c r="O360" s="1"/>
      <c r="P360" s="2"/>
      <c r="Q360" s="2"/>
      <c r="R360" s="2"/>
      <c r="S360" s="2"/>
      <c r="T360" s="2"/>
      <c r="U360" s="2"/>
      <c r="V360" s="2"/>
      <c r="W360" s="2"/>
      <c r="X360" s="2"/>
      <c r="Y360" s="2"/>
      <c r="Z360" s="2"/>
      <c r="AA360" s="2"/>
      <c r="AB360" s="2"/>
      <c r="AC360" s="2"/>
    </row>
    <row r="361" spans="1:29" ht="17.399999999999999" x14ac:dyDescent="0.25">
      <c r="A361" s="1"/>
      <c r="B361" s="2"/>
      <c r="C361" s="2"/>
      <c r="D361" s="2"/>
      <c r="E361" s="2"/>
      <c r="F361" s="2"/>
      <c r="G361" s="2"/>
      <c r="H361" s="2"/>
      <c r="I361" s="2"/>
      <c r="J361" s="2"/>
      <c r="K361" s="2"/>
      <c r="L361" s="2"/>
      <c r="M361" s="2"/>
      <c r="N361" s="2"/>
      <c r="O361" s="1"/>
      <c r="P361" s="2"/>
      <c r="Q361" s="2"/>
      <c r="R361" s="2"/>
      <c r="S361" s="2"/>
      <c r="T361" s="2"/>
      <c r="U361" s="2"/>
      <c r="V361" s="2"/>
      <c r="W361" s="2"/>
      <c r="X361" s="2"/>
      <c r="Y361" s="2"/>
      <c r="Z361" s="2"/>
      <c r="AA361" s="2"/>
      <c r="AB361" s="2"/>
      <c r="AC361" s="2"/>
    </row>
    <row r="362" spans="1:29" ht="17.399999999999999" x14ac:dyDescent="0.25">
      <c r="A362" s="1"/>
      <c r="B362" s="2"/>
      <c r="C362" s="2"/>
      <c r="D362" s="2"/>
      <c r="E362" s="2"/>
      <c r="F362" s="2"/>
      <c r="G362" s="2"/>
      <c r="H362" s="2"/>
      <c r="I362" s="2"/>
      <c r="J362" s="2"/>
      <c r="K362" s="2"/>
      <c r="L362" s="2"/>
      <c r="M362" s="2"/>
      <c r="N362" s="2"/>
      <c r="O362" s="1"/>
      <c r="P362" s="2"/>
      <c r="Q362" s="2"/>
      <c r="R362" s="2"/>
      <c r="S362" s="2"/>
      <c r="T362" s="2"/>
      <c r="U362" s="2"/>
      <c r="V362" s="2"/>
      <c r="W362" s="2"/>
      <c r="X362" s="2"/>
      <c r="Y362" s="2"/>
      <c r="Z362" s="2"/>
      <c r="AA362" s="2"/>
      <c r="AB362" s="2"/>
      <c r="AC362" s="2"/>
    </row>
    <row r="363" spans="1:29" ht="17.399999999999999" x14ac:dyDescent="0.25">
      <c r="A363" s="1"/>
      <c r="B363" s="2"/>
      <c r="C363" s="2"/>
      <c r="D363" s="2"/>
      <c r="E363" s="2"/>
      <c r="F363" s="2"/>
      <c r="G363" s="2"/>
      <c r="H363" s="2"/>
      <c r="I363" s="2"/>
      <c r="J363" s="2"/>
      <c r="K363" s="2"/>
      <c r="L363" s="2"/>
      <c r="M363" s="2"/>
      <c r="N363" s="2"/>
      <c r="O363" s="1"/>
      <c r="P363" s="2"/>
      <c r="Q363" s="2"/>
      <c r="R363" s="2"/>
      <c r="S363" s="2"/>
      <c r="T363" s="2"/>
      <c r="U363" s="2"/>
      <c r="V363" s="2"/>
      <c r="W363" s="2"/>
      <c r="X363" s="2"/>
      <c r="Y363" s="2"/>
      <c r="Z363" s="2"/>
      <c r="AA363" s="2"/>
      <c r="AB363" s="2"/>
      <c r="AC363" s="2"/>
    </row>
    <row r="364" spans="1:29" ht="17.399999999999999" x14ac:dyDescent="0.25">
      <c r="A364" s="1"/>
      <c r="B364" s="2"/>
      <c r="C364" s="2"/>
      <c r="D364" s="2"/>
      <c r="E364" s="2"/>
      <c r="F364" s="2"/>
      <c r="G364" s="2"/>
      <c r="H364" s="2"/>
      <c r="I364" s="2"/>
      <c r="J364" s="2"/>
      <c r="K364" s="2"/>
      <c r="L364" s="2"/>
      <c r="M364" s="2"/>
      <c r="N364" s="2"/>
      <c r="O364" s="1"/>
      <c r="P364" s="2"/>
      <c r="Q364" s="2"/>
      <c r="R364" s="2"/>
      <c r="S364" s="2"/>
      <c r="T364" s="2"/>
      <c r="U364" s="2"/>
      <c r="V364" s="2"/>
      <c r="W364" s="2"/>
      <c r="X364" s="2"/>
      <c r="Y364" s="2"/>
      <c r="Z364" s="2"/>
      <c r="AA364" s="2"/>
      <c r="AB364" s="2"/>
      <c r="AC364" s="2"/>
    </row>
    <row r="365" spans="1:29" ht="17.399999999999999" x14ac:dyDescent="0.25">
      <c r="A365" s="1"/>
      <c r="B365" s="2"/>
      <c r="C365" s="2"/>
      <c r="D365" s="2"/>
      <c r="E365" s="2"/>
      <c r="F365" s="2"/>
      <c r="G365" s="2"/>
      <c r="H365" s="2"/>
      <c r="I365" s="2"/>
      <c r="J365" s="2"/>
      <c r="K365" s="2"/>
      <c r="L365" s="2"/>
      <c r="M365" s="2"/>
      <c r="N365" s="2"/>
      <c r="O365" s="1"/>
      <c r="P365" s="2"/>
      <c r="Q365" s="2"/>
      <c r="R365" s="2"/>
      <c r="S365" s="2"/>
      <c r="T365" s="2"/>
      <c r="U365" s="2"/>
      <c r="V365" s="2"/>
      <c r="W365" s="2"/>
      <c r="X365" s="2"/>
      <c r="Y365" s="2"/>
      <c r="Z365" s="2"/>
      <c r="AA365" s="2"/>
      <c r="AB365" s="2"/>
      <c r="AC365" s="2"/>
    </row>
    <row r="366" spans="1:29" ht="17.399999999999999" x14ac:dyDescent="0.25">
      <c r="A366" s="1"/>
      <c r="B366" s="2"/>
      <c r="C366" s="2"/>
      <c r="D366" s="2"/>
      <c r="E366" s="2"/>
      <c r="F366" s="2"/>
      <c r="G366" s="2"/>
      <c r="H366" s="2"/>
      <c r="I366" s="2"/>
      <c r="J366" s="2"/>
      <c r="K366" s="2"/>
      <c r="L366" s="2"/>
      <c r="M366" s="2"/>
      <c r="N366" s="2"/>
      <c r="O366" s="1"/>
      <c r="P366" s="2"/>
      <c r="Q366" s="2"/>
      <c r="R366" s="2"/>
      <c r="S366" s="2"/>
      <c r="T366" s="2"/>
      <c r="U366" s="2"/>
      <c r="V366" s="2"/>
      <c r="W366" s="2"/>
      <c r="X366" s="2"/>
      <c r="Y366" s="2"/>
      <c r="Z366" s="2"/>
      <c r="AA366" s="2"/>
      <c r="AB366" s="2"/>
      <c r="AC366" s="2"/>
    </row>
    <row r="367" spans="1:29" ht="17.399999999999999" x14ac:dyDescent="0.25">
      <c r="A367" s="1"/>
      <c r="B367" s="2"/>
      <c r="C367" s="2"/>
      <c r="D367" s="2"/>
      <c r="E367" s="2"/>
      <c r="F367" s="2"/>
      <c r="G367" s="2"/>
      <c r="H367" s="2"/>
      <c r="I367" s="2"/>
      <c r="J367" s="2"/>
      <c r="K367" s="2"/>
      <c r="L367" s="2"/>
      <c r="M367" s="2"/>
      <c r="N367" s="2"/>
      <c r="O367" s="1"/>
      <c r="P367" s="2"/>
      <c r="Q367" s="2"/>
      <c r="R367" s="2"/>
      <c r="S367" s="2"/>
      <c r="T367" s="2"/>
      <c r="U367" s="2"/>
      <c r="V367" s="2"/>
      <c r="W367" s="2"/>
      <c r="X367" s="2"/>
      <c r="Y367" s="2"/>
      <c r="Z367" s="2"/>
      <c r="AA367" s="2"/>
      <c r="AB367" s="2"/>
      <c r="AC367" s="2"/>
    </row>
    <row r="368" spans="1:29" ht="17.399999999999999" x14ac:dyDescent="0.25">
      <c r="A368" s="1"/>
      <c r="B368" s="2"/>
      <c r="C368" s="2"/>
      <c r="D368" s="2"/>
      <c r="E368" s="2"/>
      <c r="F368" s="2"/>
      <c r="G368" s="2"/>
      <c r="H368" s="2"/>
      <c r="I368" s="2"/>
      <c r="J368" s="2"/>
      <c r="K368" s="2"/>
      <c r="L368" s="2"/>
      <c r="M368" s="2"/>
      <c r="N368" s="2"/>
      <c r="O368" s="1"/>
      <c r="P368" s="2"/>
      <c r="Q368" s="2"/>
      <c r="R368" s="2"/>
      <c r="S368" s="2"/>
      <c r="T368" s="2"/>
      <c r="U368" s="2"/>
      <c r="V368" s="2"/>
      <c r="W368" s="2"/>
      <c r="X368" s="2"/>
      <c r="Y368" s="2"/>
      <c r="Z368" s="2"/>
      <c r="AA368" s="2"/>
      <c r="AB368" s="2"/>
      <c r="AC368" s="2"/>
    </row>
    <row r="369" spans="1:29" ht="17.399999999999999" x14ac:dyDescent="0.25">
      <c r="A369" s="1"/>
      <c r="B369" s="2"/>
      <c r="C369" s="2"/>
      <c r="D369" s="2"/>
      <c r="E369" s="2"/>
      <c r="F369" s="2"/>
      <c r="G369" s="2"/>
      <c r="H369" s="2"/>
      <c r="I369" s="2"/>
      <c r="J369" s="2"/>
      <c r="K369" s="2"/>
      <c r="L369" s="2"/>
      <c r="M369" s="2"/>
      <c r="N369" s="2"/>
      <c r="O369" s="1"/>
      <c r="P369" s="2"/>
      <c r="Q369" s="2"/>
      <c r="R369" s="2"/>
      <c r="S369" s="2"/>
      <c r="T369" s="2"/>
      <c r="U369" s="2"/>
      <c r="V369" s="2"/>
      <c r="W369" s="2"/>
      <c r="X369" s="2"/>
      <c r="Y369" s="2"/>
      <c r="Z369" s="2"/>
      <c r="AA369" s="2"/>
      <c r="AB369" s="2"/>
      <c r="AC369" s="2"/>
    </row>
    <row r="370" spans="1:29" ht="17.399999999999999" x14ac:dyDescent="0.25">
      <c r="A370" s="1"/>
      <c r="B370" s="2"/>
      <c r="C370" s="2"/>
      <c r="D370" s="2"/>
      <c r="E370" s="2"/>
      <c r="F370" s="2"/>
      <c r="G370" s="2"/>
      <c r="H370" s="2"/>
      <c r="I370" s="2"/>
      <c r="J370" s="2"/>
      <c r="K370" s="2"/>
      <c r="L370" s="2"/>
      <c r="M370" s="2"/>
      <c r="N370" s="2"/>
      <c r="O370" s="1"/>
      <c r="P370" s="2"/>
      <c r="Q370" s="2"/>
      <c r="R370" s="2"/>
      <c r="S370" s="2"/>
      <c r="T370" s="2"/>
      <c r="U370" s="2"/>
      <c r="V370" s="2"/>
      <c r="W370" s="2"/>
      <c r="X370" s="2"/>
      <c r="Y370" s="2"/>
      <c r="Z370" s="2"/>
      <c r="AA370" s="2"/>
      <c r="AB370" s="2"/>
      <c r="AC370" s="2"/>
    </row>
    <row r="371" spans="1:29" ht="17.399999999999999" x14ac:dyDescent="0.25">
      <c r="A371" s="1"/>
      <c r="B371" s="2"/>
      <c r="C371" s="2"/>
      <c r="D371" s="2"/>
      <c r="E371" s="2"/>
      <c r="F371" s="2"/>
      <c r="G371" s="2"/>
      <c r="H371" s="2"/>
      <c r="I371" s="2"/>
      <c r="J371" s="2"/>
      <c r="K371" s="2"/>
      <c r="L371" s="2"/>
      <c r="M371" s="2"/>
      <c r="N371" s="2"/>
      <c r="O371" s="1"/>
      <c r="P371" s="2"/>
      <c r="Q371" s="2"/>
      <c r="R371" s="2"/>
      <c r="S371" s="2"/>
      <c r="T371" s="2"/>
      <c r="U371" s="2"/>
      <c r="V371" s="2"/>
      <c r="W371" s="2"/>
      <c r="X371" s="2"/>
      <c r="Y371" s="2"/>
      <c r="Z371" s="2"/>
      <c r="AA371" s="2"/>
      <c r="AB371" s="2"/>
      <c r="AC371" s="2"/>
    </row>
    <row r="372" spans="1:29" ht="17.399999999999999" x14ac:dyDescent="0.25">
      <c r="A372" s="1"/>
      <c r="B372" s="2"/>
      <c r="C372" s="2"/>
      <c r="D372" s="2"/>
      <c r="E372" s="2"/>
      <c r="F372" s="2"/>
      <c r="G372" s="2"/>
      <c r="H372" s="2"/>
      <c r="I372" s="2"/>
      <c r="J372" s="2"/>
      <c r="K372" s="2"/>
      <c r="L372" s="2"/>
      <c r="M372" s="2"/>
      <c r="N372" s="2"/>
      <c r="O372" s="1"/>
      <c r="P372" s="2"/>
      <c r="Q372" s="2"/>
      <c r="R372" s="2"/>
      <c r="S372" s="2"/>
      <c r="T372" s="2"/>
      <c r="U372" s="2"/>
      <c r="V372" s="2"/>
      <c r="W372" s="2"/>
      <c r="X372" s="2"/>
      <c r="Y372" s="2"/>
      <c r="Z372" s="2"/>
      <c r="AA372" s="2"/>
      <c r="AB372" s="2"/>
      <c r="AC372" s="2"/>
    </row>
    <row r="373" spans="1:29" ht="17.399999999999999" x14ac:dyDescent="0.25">
      <c r="A373" s="1"/>
      <c r="B373" s="2"/>
      <c r="C373" s="2"/>
      <c r="D373" s="2"/>
      <c r="E373" s="2"/>
      <c r="F373" s="2"/>
      <c r="G373" s="2"/>
      <c r="H373" s="2"/>
      <c r="I373" s="2"/>
      <c r="J373" s="2"/>
      <c r="K373" s="2"/>
      <c r="L373" s="2"/>
      <c r="M373" s="2"/>
      <c r="N373" s="2"/>
      <c r="O373" s="1"/>
      <c r="P373" s="2"/>
      <c r="Q373" s="2"/>
      <c r="R373" s="2"/>
      <c r="S373" s="2"/>
      <c r="T373" s="2"/>
      <c r="U373" s="2"/>
      <c r="V373" s="2"/>
      <c r="W373" s="2"/>
      <c r="X373" s="2"/>
      <c r="Y373" s="2"/>
      <c r="Z373" s="2"/>
      <c r="AA373" s="2"/>
      <c r="AB373" s="2"/>
      <c r="AC373" s="2"/>
    </row>
    <row r="374" spans="1:29" ht="17.399999999999999" x14ac:dyDescent="0.25">
      <c r="A374" s="1"/>
      <c r="B374" s="2"/>
      <c r="C374" s="2"/>
      <c r="D374" s="2"/>
      <c r="E374" s="2"/>
      <c r="F374" s="2"/>
      <c r="G374" s="2"/>
      <c r="H374" s="2"/>
      <c r="I374" s="2"/>
      <c r="J374" s="2"/>
      <c r="K374" s="2"/>
      <c r="L374" s="2"/>
      <c r="M374" s="2"/>
      <c r="N374" s="2"/>
      <c r="O374" s="1"/>
      <c r="P374" s="2"/>
      <c r="Q374" s="2"/>
      <c r="R374" s="2"/>
      <c r="S374" s="2"/>
      <c r="T374" s="2"/>
      <c r="U374" s="2"/>
      <c r="V374" s="2"/>
      <c r="W374" s="2"/>
      <c r="X374" s="2"/>
      <c r="Y374" s="2"/>
      <c r="Z374" s="2"/>
      <c r="AA374" s="2"/>
      <c r="AB374" s="2"/>
      <c r="AC374" s="2"/>
    </row>
    <row r="375" spans="1:29" ht="17.399999999999999" x14ac:dyDescent="0.25">
      <c r="A375" s="1"/>
      <c r="B375" s="2"/>
      <c r="C375" s="2"/>
      <c r="D375" s="2"/>
      <c r="E375" s="2"/>
      <c r="F375" s="2"/>
      <c r="G375" s="2"/>
      <c r="H375" s="2"/>
      <c r="I375" s="2"/>
      <c r="J375" s="2"/>
      <c r="K375" s="2"/>
      <c r="L375" s="2"/>
      <c r="M375" s="2"/>
      <c r="N375" s="2"/>
      <c r="O375" s="1"/>
      <c r="P375" s="2"/>
      <c r="Q375" s="2"/>
      <c r="R375" s="2"/>
      <c r="S375" s="2"/>
      <c r="T375" s="2"/>
      <c r="U375" s="2"/>
      <c r="V375" s="2"/>
      <c r="W375" s="2"/>
      <c r="X375" s="2"/>
      <c r="Y375" s="2"/>
      <c r="Z375" s="2"/>
      <c r="AA375" s="2"/>
      <c r="AB375" s="2"/>
      <c r="AC375" s="2"/>
    </row>
    <row r="376" spans="1:29" ht="17.399999999999999" x14ac:dyDescent="0.25">
      <c r="A376" s="1"/>
      <c r="B376" s="2"/>
      <c r="C376" s="2"/>
      <c r="D376" s="2"/>
      <c r="E376" s="2"/>
      <c r="F376" s="2"/>
      <c r="G376" s="2"/>
      <c r="H376" s="2"/>
      <c r="I376" s="2"/>
      <c r="J376" s="2"/>
      <c r="K376" s="2"/>
      <c r="L376" s="2"/>
      <c r="M376" s="2"/>
      <c r="N376" s="2"/>
      <c r="O376" s="1"/>
      <c r="P376" s="2"/>
      <c r="Q376" s="2"/>
      <c r="R376" s="2"/>
      <c r="S376" s="2"/>
      <c r="T376" s="2"/>
      <c r="U376" s="2"/>
      <c r="V376" s="2"/>
      <c r="W376" s="2"/>
      <c r="X376" s="2"/>
      <c r="Y376" s="2"/>
      <c r="Z376" s="2"/>
      <c r="AA376" s="2"/>
      <c r="AB376" s="2"/>
      <c r="AC376" s="2"/>
    </row>
    <row r="377" spans="1:29" ht="17.399999999999999" x14ac:dyDescent="0.25">
      <c r="A377" s="1"/>
      <c r="B377" s="2"/>
      <c r="C377" s="2"/>
      <c r="D377" s="2"/>
      <c r="E377" s="2"/>
      <c r="F377" s="2"/>
      <c r="G377" s="2"/>
      <c r="H377" s="2"/>
      <c r="I377" s="2"/>
      <c r="J377" s="2"/>
      <c r="K377" s="2"/>
      <c r="L377" s="2"/>
      <c r="M377" s="2"/>
      <c r="N377" s="2"/>
      <c r="O377" s="1"/>
      <c r="P377" s="2"/>
      <c r="Q377" s="2"/>
      <c r="R377" s="2"/>
      <c r="S377" s="2"/>
      <c r="T377" s="2"/>
      <c r="U377" s="2"/>
      <c r="V377" s="2"/>
      <c r="W377" s="2"/>
      <c r="X377" s="2"/>
      <c r="Y377" s="2"/>
      <c r="Z377" s="2"/>
      <c r="AA377" s="2"/>
      <c r="AB377" s="2"/>
      <c r="AC377" s="2"/>
    </row>
    <row r="378" spans="1:29" ht="17.399999999999999" x14ac:dyDescent="0.25">
      <c r="A378" s="1"/>
      <c r="B378" s="2"/>
      <c r="C378" s="2"/>
      <c r="D378" s="2"/>
      <c r="E378" s="2"/>
      <c r="F378" s="2"/>
      <c r="G378" s="2"/>
      <c r="H378" s="2"/>
      <c r="I378" s="2"/>
      <c r="J378" s="2"/>
      <c r="K378" s="2"/>
      <c r="L378" s="2"/>
      <c r="M378" s="2"/>
      <c r="N378" s="2"/>
      <c r="O378" s="1"/>
      <c r="P378" s="2"/>
      <c r="Q378" s="2"/>
      <c r="R378" s="2"/>
      <c r="S378" s="2"/>
      <c r="T378" s="2"/>
      <c r="U378" s="2"/>
      <c r="V378" s="2"/>
      <c r="W378" s="2"/>
      <c r="X378" s="2"/>
      <c r="Y378" s="2"/>
      <c r="Z378" s="2"/>
      <c r="AA378" s="2"/>
      <c r="AB378" s="2"/>
      <c r="AC378" s="2"/>
    </row>
    <row r="379" spans="1:29" ht="17.399999999999999" x14ac:dyDescent="0.25">
      <c r="A379" s="1"/>
      <c r="B379" s="2"/>
      <c r="C379" s="2"/>
      <c r="D379" s="2"/>
      <c r="E379" s="2"/>
      <c r="F379" s="2"/>
      <c r="G379" s="2"/>
      <c r="H379" s="2"/>
      <c r="I379" s="2"/>
      <c r="J379" s="2"/>
      <c r="K379" s="2"/>
      <c r="L379" s="2"/>
      <c r="M379" s="2"/>
      <c r="N379" s="2"/>
      <c r="O379" s="1"/>
      <c r="P379" s="2"/>
      <c r="Q379" s="2"/>
      <c r="R379" s="2"/>
      <c r="S379" s="2"/>
      <c r="T379" s="2"/>
      <c r="U379" s="2"/>
      <c r="V379" s="2"/>
      <c r="W379" s="2"/>
      <c r="X379" s="2"/>
      <c r="Y379" s="2"/>
      <c r="Z379" s="2"/>
      <c r="AA379" s="2"/>
      <c r="AB379" s="2"/>
      <c r="AC379" s="2"/>
    </row>
    <row r="380" spans="1:29" ht="17.399999999999999" x14ac:dyDescent="0.25">
      <c r="A380" s="1"/>
      <c r="B380" s="2"/>
      <c r="C380" s="2"/>
      <c r="D380" s="2"/>
      <c r="E380" s="2"/>
      <c r="F380" s="2"/>
      <c r="G380" s="2"/>
      <c r="H380" s="2"/>
      <c r="I380" s="2"/>
      <c r="J380" s="2"/>
      <c r="K380" s="2"/>
      <c r="L380" s="2"/>
      <c r="M380" s="2"/>
      <c r="N380" s="2"/>
      <c r="O380" s="1"/>
      <c r="P380" s="2"/>
      <c r="Q380" s="2"/>
      <c r="R380" s="2"/>
      <c r="S380" s="2"/>
      <c r="T380" s="2"/>
      <c r="U380" s="2"/>
      <c r="V380" s="2"/>
      <c r="W380" s="2"/>
      <c r="X380" s="2"/>
      <c r="Y380" s="2"/>
      <c r="Z380" s="2"/>
      <c r="AA380" s="2"/>
      <c r="AB380" s="2"/>
      <c r="AC380" s="2"/>
    </row>
    <row r="381" spans="1:29" ht="17.399999999999999" x14ac:dyDescent="0.25">
      <c r="A381" s="1"/>
      <c r="B381" s="2"/>
      <c r="C381" s="2"/>
      <c r="D381" s="2"/>
      <c r="E381" s="2"/>
      <c r="F381" s="2"/>
      <c r="G381" s="2"/>
      <c r="H381" s="2"/>
      <c r="I381" s="2"/>
      <c r="J381" s="2"/>
      <c r="K381" s="2"/>
      <c r="L381" s="2"/>
      <c r="M381" s="2"/>
      <c r="N381" s="2"/>
      <c r="O381" s="1"/>
      <c r="P381" s="2"/>
      <c r="Q381" s="2"/>
      <c r="R381" s="2"/>
      <c r="S381" s="2"/>
      <c r="T381" s="2"/>
      <c r="U381" s="2"/>
      <c r="V381" s="2"/>
      <c r="W381" s="2"/>
      <c r="X381" s="2"/>
      <c r="Y381" s="2"/>
      <c r="Z381" s="2"/>
      <c r="AA381" s="2"/>
      <c r="AB381" s="2"/>
      <c r="AC381" s="2"/>
    </row>
    <row r="382" spans="1:29" ht="17.399999999999999" x14ac:dyDescent="0.25">
      <c r="A382" s="1"/>
      <c r="B382" s="2"/>
      <c r="C382" s="2"/>
      <c r="D382" s="2"/>
      <c r="E382" s="2"/>
      <c r="F382" s="2"/>
      <c r="G382" s="2"/>
      <c r="H382" s="2"/>
      <c r="I382" s="2"/>
      <c r="J382" s="2"/>
      <c r="K382" s="2"/>
      <c r="L382" s="2"/>
      <c r="M382" s="2"/>
      <c r="N382" s="2"/>
      <c r="O382" s="1"/>
      <c r="P382" s="2"/>
      <c r="Q382" s="2"/>
      <c r="R382" s="2"/>
      <c r="S382" s="2"/>
      <c r="T382" s="2"/>
      <c r="U382" s="2"/>
      <c r="V382" s="2"/>
      <c r="W382" s="2"/>
      <c r="X382" s="2"/>
      <c r="Y382" s="2"/>
      <c r="Z382" s="2"/>
      <c r="AA382" s="2"/>
      <c r="AB382" s="2"/>
      <c r="AC382" s="2"/>
    </row>
    <row r="383" spans="1:29" ht="17.399999999999999" x14ac:dyDescent="0.25">
      <c r="A383" s="1"/>
      <c r="B383" s="2"/>
      <c r="C383" s="2"/>
      <c r="D383" s="2"/>
      <c r="E383" s="2"/>
      <c r="F383" s="2"/>
      <c r="G383" s="2"/>
      <c r="H383" s="2"/>
      <c r="I383" s="2"/>
      <c r="J383" s="2"/>
      <c r="K383" s="2"/>
      <c r="L383" s="2"/>
      <c r="M383" s="2"/>
      <c r="N383" s="2"/>
      <c r="O383" s="1"/>
      <c r="P383" s="2"/>
      <c r="Q383" s="2"/>
      <c r="R383" s="2"/>
      <c r="S383" s="2"/>
      <c r="T383" s="2"/>
      <c r="U383" s="2"/>
      <c r="V383" s="2"/>
      <c r="W383" s="2"/>
      <c r="X383" s="2"/>
      <c r="Y383" s="2"/>
      <c r="Z383" s="2"/>
      <c r="AA383" s="2"/>
      <c r="AB383" s="2"/>
      <c r="AC383" s="2"/>
    </row>
    <row r="384" spans="1:29" ht="17.399999999999999" x14ac:dyDescent="0.25">
      <c r="A384" s="1"/>
      <c r="B384" s="2"/>
      <c r="C384" s="2"/>
      <c r="D384" s="2"/>
      <c r="E384" s="2"/>
      <c r="F384" s="2"/>
      <c r="G384" s="2"/>
      <c r="H384" s="2"/>
      <c r="I384" s="2"/>
      <c r="J384" s="2"/>
      <c r="K384" s="2"/>
      <c r="L384" s="2"/>
      <c r="M384" s="2"/>
      <c r="N384" s="2"/>
      <c r="O384" s="1"/>
      <c r="P384" s="2"/>
      <c r="Q384" s="2"/>
      <c r="R384" s="2"/>
      <c r="S384" s="2"/>
      <c r="T384" s="2"/>
      <c r="U384" s="2"/>
      <c r="V384" s="2"/>
      <c r="W384" s="2"/>
      <c r="X384" s="2"/>
      <c r="Y384" s="2"/>
      <c r="Z384" s="2"/>
      <c r="AA384" s="2"/>
      <c r="AB384" s="2"/>
      <c r="AC384" s="2"/>
    </row>
    <row r="385" spans="1:29" ht="17.399999999999999" x14ac:dyDescent="0.25">
      <c r="A385" s="1"/>
      <c r="B385" s="2"/>
      <c r="C385" s="2"/>
      <c r="D385" s="2"/>
      <c r="E385" s="2"/>
      <c r="F385" s="2"/>
      <c r="G385" s="2"/>
      <c r="H385" s="2"/>
      <c r="I385" s="2"/>
      <c r="J385" s="2"/>
      <c r="K385" s="2"/>
      <c r="L385" s="2"/>
      <c r="M385" s="2"/>
      <c r="N385" s="2"/>
      <c r="O385" s="1"/>
      <c r="P385" s="2"/>
      <c r="Q385" s="2"/>
      <c r="R385" s="2"/>
      <c r="S385" s="2"/>
      <c r="T385" s="2"/>
      <c r="U385" s="2"/>
      <c r="V385" s="2"/>
      <c r="W385" s="2"/>
      <c r="X385" s="2"/>
      <c r="Y385" s="2"/>
      <c r="Z385" s="2"/>
      <c r="AA385" s="2"/>
      <c r="AB385" s="2"/>
      <c r="AC385" s="2"/>
    </row>
    <row r="386" spans="1:29" ht="17.399999999999999" x14ac:dyDescent="0.25">
      <c r="A386" s="1"/>
      <c r="B386" s="2"/>
      <c r="C386" s="2"/>
      <c r="D386" s="2"/>
      <c r="E386" s="2"/>
      <c r="F386" s="2"/>
      <c r="G386" s="2"/>
      <c r="H386" s="2"/>
      <c r="I386" s="2"/>
      <c r="J386" s="2"/>
      <c r="K386" s="2"/>
      <c r="L386" s="2"/>
      <c r="M386" s="2"/>
      <c r="N386" s="2"/>
      <c r="O386" s="1"/>
      <c r="P386" s="2"/>
      <c r="Q386" s="2"/>
      <c r="R386" s="2"/>
      <c r="S386" s="2"/>
      <c r="T386" s="2"/>
      <c r="U386" s="2"/>
      <c r="V386" s="2"/>
      <c r="W386" s="2"/>
      <c r="X386" s="2"/>
      <c r="Y386" s="2"/>
      <c r="Z386" s="2"/>
      <c r="AA386" s="2"/>
      <c r="AB386" s="2"/>
      <c r="AC386" s="2"/>
    </row>
    <row r="387" spans="1:29" ht="17.399999999999999" x14ac:dyDescent="0.25">
      <c r="A387" s="1"/>
      <c r="B387" s="2"/>
      <c r="C387" s="2"/>
      <c r="D387" s="2"/>
      <c r="E387" s="2"/>
      <c r="F387" s="2"/>
      <c r="G387" s="2"/>
      <c r="H387" s="2"/>
      <c r="I387" s="2"/>
      <c r="J387" s="2"/>
      <c r="K387" s="2"/>
      <c r="L387" s="2"/>
      <c r="M387" s="2"/>
      <c r="N387" s="2"/>
      <c r="O387" s="1"/>
      <c r="P387" s="2"/>
      <c r="Q387" s="2"/>
      <c r="R387" s="2"/>
      <c r="S387" s="2"/>
      <c r="T387" s="2"/>
      <c r="U387" s="2"/>
      <c r="V387" s="2"/>
      <c r="W387" s="2"/>
      <c r="X387" s="2"/>
      <c r="Y387" s="2"/>
      <c r="Z387" s="2"/>
      <c r="AA387" s="2"/>
      <c r="AB387" s="2"/>
      <c r="AC387" s="2"/>
    </row>
    <row r="388" spans="1:29" ht="17.399999999999999" x14ac:dyDescent="0.25">
      <c r="A388" s="1"/>
      <c r="B388" s="2"/>
      <c r="C388" s="2"/>
      <c r="D388" s="2"/>
      <c r="E388" s="2"/>
      <c r="F388" s="2"/>
      <c r="G388" s="2"/>
      <c r="H388" s="2"/>
      <c r="I388" s="2"/>
      <c r="J388" s="2"/>
      <c r="K388" s="2"/>
      <c r="L388" s="2"/>
      <c r="M388" s="2"/>
      <c r="N388" s="2"/>
      <c r="O388" s="1"/>
      <c r="P388" s="2"/>
      <c r="Q388" s="2"/>
      <c r="R388" s="2"/>
      <c r="S388" s="2"/>
      <c r="T388" s="2"/>
      <c r="U388" s="2"/>
      <c r="V388" s="2"/>
      <c r="W388" s="2"/>
      <c r="X388" s="2"/>
      <c r="Y388" s="2"/>
      <c r="Z388" s="2"/>
      <c r="AA388" s="2"/>
      <c r="AB388" s="2"/>
      <c r="AC388" s="2"/>
    </row>
    <row r="389" spans="1:29" ht="17.399999999999999" x14ac:dyDescent="0.25">
      <c r="A389" s="1"/>
      <c r="B389" s="2"/>
      <c r="C389" s="2"/>
      <c r="D389" s="2"/>
      <c r="E389" s="2"/>
      <c r="F389" s="2"/>
      <c r="G389" s="2"/>
      <c r="H389" s="2"/>
      <c r="I389" s="2"/>
      <c r="J389" s="2"/>
      <c r="K389" s="2"/>
      <c r="L389" s="2"/>
      <c r="M389" s="2"/>
      <c r="N389" s="2"/>
      <c r="O389" s="1"/>
      <c r="P389" s="2"/>
      <c r="Q389" s="2"/>
      <c r="R389" s="2"/>
      <c r="S389" s="2"/>
      <c r="T389" s="2"/>
      <c r="U389" s="2"/>
      <c r="V389" s="2"/>
      <c r="W389" s="2"/>
      <c r="X389" s="2"/>
      <c r="Y389" s="2"/>
      <c r="Z389" s="2"/>
      <c r="AA389" s="2"/>
      <c r="AB389" s="2"/>
      <c r="AC389" s="2"/>
    </row>
    <row r="390" spans="1:29" ht="17.399999999999999" x14ac:dyDescent="0.25">
      <c r="A390" s="1"/>
      <c r="B390" s="2"/>
      <c r="C390" s="2"/>
      <c r="D390" s="2"/>
      <c r="E390" s="2"/>
      <c r="F390" s="2"/>
      <c r="G390" s="2"/>
      <c r="H390" s="2"/>
      <c r="I390" s="2"/>
      <c r="J390" s="2"/>
      <c r="K390" s="2"/>
      <c r="L390" s="2"/>
      <c r="M390" s="2"/>
      <c r="N390" s="2"/>
      <c r="O390" s="1"/>
      <c r="P390" s="2"/>
      <c r="Q390" s="2"/>
      <c r="R390" s="2"/>
      <c r="S390" s="2"/>
      <c r="T390" s="2"/>
      <c r="U390" s="2"/>
      <c r="V390" s="2"/>
      <c r="W390" s="2"/>
      <c r="X390" s="2"/>
      <c r="Y390" s="2"/>
      <c r="Z390" s="2"/>
      <c r="AA390" s="2"/>
      <c r="AB390" s="2"/>
      <c r="AC390" s="2"/>
    </row>
    <row r="391" spans="1:29" ht="17.399999999999999" x14ac:dyDescent="0.25">
      <c r="A391" s="1"/>
      <c r="B391" s="2"/>
      <c r="C391" s="2"/>
      <c r="D391" s="2"/>
      <c r="E391" s="2"/>
      <c r="F391" s="2"/>
      <c r="G391" s="2"/>
      <c r="H391" s="2"/>
      <c r="I391" s="2"/>
      <c r="J391" s="2"/>
      <c r="K391" s="2"/>
      <c r="L391" s="2"/>
      <c r="M391" s="2"/>
      <c r="N391" s="2"/>
      <c r="O391" s="1"/>
      <c r="P391" s="2"/>
      <c r="Q391" s="2"/>
      <c r="R391" s="2"/>
      <c r="S391" s="2"/>
      <c r="T391" s="2"/>
      <c r="U391" s="2"/>
      <c r="V391" s="2"/>
      <c r="W391" s="2"/>
      <c r="X391" s="2"/>
      <c r="Y391" s="2"/>
      <c r="Z391" s="2"/>
      <c r="AA391" s="2"/>
      <c r="AB391" s="2"/>
      <c r="AC391" s="2"/>
    </row>
    <row r="392" spans="1:29" ht="17.399999999999999" x14ac:dyDescent="0.25">
      <c r="A392" s="1"/>
      <c r="B392" s="2"/>
      <c r="C392" s="2"/>
      <c r="D392" s="2"/>
      <c r="E392" s="2"/>
      <c r="F392" s="2"/>
      <c r="G392" s="2"/>
      <c r="H392" s="2"/>
      <c r="I392" s="2"/>
      <c r="J392" s="2"/>
      <c r="K392" s="2"/>
      <c r="L392" s="2"/>
      <c r="M392" s="2"/>
      <c r="N392" s="2"/>
      <c r="O392" s="1"/>
      <c r="P392" s="2"/>
      <c r="Q392" s="2"/>
      <c r="R392" s="2"/>
      <c r="S392" s="2"/>
      <c r="T392" s="2"/>
      <c r="U392" s="2"/>
      <c r="V392" s="2"/>
      <c r="W392" s="2"/>
      <c r="X392" s="2"/>
      <c r="Y392" s="2"/>
      <c r="Z392" s="2"/>
      <c r="AA392" s="2"/>
      <c r="AB392" s="2"/>
      <c r="AC392" s="2"/>
    </row>
    <row r="393" spans="1:29" ht="17.399999999999999" x14ac:dyDescent="0.25">
      <c r="A393" s="1"/>
      <c r="B393" s="2"/>
      <c r="C393" s="2"/>
      <c r="D393" s="2"/>
      <c r="E393" s="2"/>
      <c r="F393" s="2"/>
      <c r="G393" s="2"/>
      <c r="H393" s="2"/>
      <c r="I393" s="2"/>
      <c r="J393" s="2"/>
      <c r="K393" s="2"/>
      <c r="L393" s="2"/>
      <c r="M393" s="2"/>
      <c r="N393" s="2"/>
      <c r="O393" s="1"/>
      <c r="P393" s="2"/>
      <c r="Q393" s="2"/>
      <c r="R393" s="2"/>
      <c r="S393" s="2"/>
      <c r="T393" s="2"/>
      <c r="U393" s="2"/>
      <c r="V393" s="2"/>
      <c r="W393" s="2"/>
      <c r="X393" s="2"/>
      <c r="Y393" s="2"/>
      <c r="Z393" s="2"/>
      <c r="AA393" s="2"/>
      <c r="AB393" s="2"/>
      <c r="AC393" s="2"/>
    </row>
    <row r="394" spans="1:29" ht="17.399999999999999" x14ac:dyDescent="0.25">
      <c r="A394" s="1"/>
      <c r="B394" s="2"/>
      <c r="C394" s="2"/>
      <c r="D394" s="2"/>
      <c r="E394" s="2"/>
      <c r="F394" s="2"/>
      <c r="G394" s="2"/>
      <c r="H394" s="2"/>
      <c r="I394" s="2"/>
      <c r="J394" s="2"/>
      <c r="K394" s="2"/>
      <c r="L394" s="2"/>
      <c r="M394" s="2"/>
      <c r="N394" s="2"/>
      <c r="O394" s="1"/>
      <c r="P394" s="2"/>
      <c r="Q394" s="2"/>
      <c r="R394" s="2"/>
      <c r="S394" s="2"/>
      <c r="T394" s="2"/>
      <c r="U394" s="2"/>
      <c r="V394" s="2"/>
      <c r="W394" s="2"/>
      <c r="X394" s="2"/>
      <c r="Y394" s="2"/>
      <c r="Z394" s="2"/>
      <c r="AA394" s="2"/>
      <c r="AB394" s="2"/>
      <c r="AC394" s="2"/>
    </row>
    <row r="395" spans="1:29" ht="17.399999999999999" x14ac:dyDescent="0.25">
      <c r="A395" s="1"/>
      <c r="B395" s="2"/>
      <c r="C395" s="2"/>
      <c r="D395" s="2"/>
      <c r="E395" s="2"/>
      <c r="F395" s="2"/>
      <c r="G395" s="2"/>
      <c r="H395" s="2"/>
      <c r="I395" s="2"/>
      <c r="J395" s="2"/>
      <c r="K395" s="2"/>
      <c r="L395" s="2"/>
      <c r="M395" s="2"/>
      <c r="N395" s="2"/>
      <c r="O395" s="1"/>
      <c r="P395" s="2"/>
      <c r="Q395" s="2"/>
      <c r="R395" s="2"/>
      <c r="S395" s="2"/>
      <c r="T395" s="2"/>
      <c r="U395" s="2"/>
      <c r="V395" s="2"/>
      <c r="W395" s="2"/>
      <c r="X395" s="2"/>
      <c r="Y395" s="2"/>
      <c r="Z395" s="2"/>
      <c r="AA395" s="2"/>
      <c r="AB395" s="2"/>
      <c r="AC395" s="2"/>
    </row>
    <row r="396" spans="1:29" ht="17.399999999999999" x14ac:dyDescent="0.25">
      <c r="A396" s="1"/>
      <c r="B396" s="2"/>
      <c r="C396" s="2"/>
      <c r="D396" s="2"/>
      <c r="E396" s="2"/>
      <c r="F396" s="2"/>
      <c r="G396" s="2"/>
      <c r="H396" s="2"/>
      <c r="I396" s="2"/>
      <c r="J396" s="2"/>
      <c r="K396" s="2"/>
      <c r="L396" s="2"/>
      <c r="M396" s="2"/>
      <c r="N396" s="2"/>
      <c r="O396" s="1"/>
      <c r="P396" s="2"/>
      <c r="Q396" s="2"/>
      <c r="R396" s="2"/>
      <c r="S396" s="2"/>
      <c r="T396" s="2"/>
      <c r="U396" s="2"/>
      <c r="V396" s="2"/>
      <c r="W396" s="2"/>
      <c r="X396" s="2"/>
      <c r="Y396" s="2"/>
      <c r="Z396" s="2"/>
      <c r="AA396" s="2"/>
      <c r="AB396" s="2"/>
      <c r="AC396" s="2"/>
    </row>
    <row r="397" spans="1:29" ht="17.399999999999999" x14ac:dyDescent="0.25">
      <c r="A397" s="1"/>
      <c r="B397" s="2"/>
      <c r="C397" s="2"/>
      <c r="D397" s="2"/>
      <c r="E397" s="2"/>
      <c r="F397" s="2"/>
      <c r="G397" s="2"/>
      <c r="H397" s="2"/>
      <c r="I397" s="2"/>
      <c r="J397" s="2"/>
      <c r="K397" s="2"/>
      <c r="L397" s="2"/>
      <c r="M397" s="2"/>
      <c r="N397" s="2"/>
      <c r="O397" s="1"/>
      <c r="P397" s="2"/>
      <c r="Q397" s="2"/>
      <c r="R397" s="2"/>
      <c r="S397" s="2"/>
      <c r="T397" s="2"/>
      <c r="U397" s="2"/>
      <c r="V397" s="2"/>
      <c r="W397" s="2"/>
      <c r="X397" s="2"/>
      <c r="Y397" s="2"/>
      <c r="Z397" s="2"/>
      <c r="AA397" s="2"/>
      <c r="AB397" s="2"/>
      <c r="AC397" s="2"/>
    </row>
    <row r="398" spans="1:29" ht="17.399999999999999" x14ac:dyDescent="0.25">
      <c r="A398" s="1"/>
      <c r="B398" s="2"/>
      <c r="C398" s="2"/>
      <c r="D398" s="2"/>
      <c r="E398" s="2"/>
      <c r="F398" s="2"/>
      <c r="G398" s="2"/>
      <c r="H398" s="2"/>
      <c r="I398" s="2"/>
      <c r="J398" s="2"/>
      <c r="K398" s="2"/>
      <c r="L398" s="2"/>
      <c r="M398" s="2"/>
      <c r="N398" s="2"/>
      <c r="O398" s="1"/>
      <c r="P398" s="2"/>
      <c r="Q398" s="2"/>
      <c r="R398" s="2"/>
      <c r="S398" s="2"/>
      <c r="T398" s="2"/>
      <c r="U398" s="2"/>
      <c r="V398" s="2"/>
      <c r="W398" s="2"/>
      <c r="X398" s="2"/>
      <c r="Y398" s="2"/>
      <c r="Z398" s="2"/>
      <c r="AA398" s="2"/>
      <c r="AB398" s="2"/>
      <c r="AC398" s="2"/>
    </row>
    <row r="399" spans="1:29" ht="17.399999999999999" x14ac:dyDescent="0.25">
      <c r="A399" s="1"/>
      <c r="B399" s="2"/>
      <c r="C399" s="2"/>
      <c r="D399" s="2"/>
      <c r="E399" s="2"/>
      <c r="F399" s="2"/>
      <c r="G399" s="2"/>
      <c r="H399" s="2"/>
      <c r="I399" s="2"/>
      <c r="J399" s="2"/>
      <c r="K399" s="2"/>
      <c r="L399" s="2"/>
      <c r="M399" s="2"/>
      <c r="N399" s="2"/>
      <c r="O399" s="1"/>
      <c r="P399" s="2"/>
      <c r="Q399" s="2"/>
      <c r="R399" s="2"/>
      <c r="S399" s="2"/>
      <c r="T399" s="2"/>
      <c r="U399" s="2"/>
      <c r="V399" s="2"/>
      <c r="W399" s="2"/>
      <c r="X399" s="2"/>
      <c r="Y399" s="2"/>
      <c r="Z399" s="2"/>
      <c r="AA399" s="2"/>
      <c r="AB399" s="2"/>
      <c r="AC399" s="2"/>
    </row>
    <row r="400" spans="1:29" ht="17.399999999999999" x14ac:dyDescent="0.25">
      <c r="A400" s="1"/>
      <c r="B400" s="2"/>
      <c r="C400" s="2"/>
      <c r="D400" s="2"/>
      <c r="E400" s="2"/>
      <c r="F400" s="2"/>
      <c r="G400" s="2"/>
      <c r="H400" s="2"/>
      <c r="I400" s="2"/>
      <c r="J400" s="2"/>
      <c r="K400" s="2"/>
      <c r="L400" s="2"/>
      <c r="M400" s="2"/>
      <c r="N400" s="2"/>
      <c r="O400" s="1"/>
      <c r="P400" s="2"/>
      <c r="Q400" s="2"/>
      <c r="R400" s="2"/>
      <c r="S400" s="2"/>
      <c r="T400" s="2"/>
      <c r="U400" s="2"/>
      <c r="V400" s="2"/>
      <c r="W400" s="2"/>
      <c r="X400" s="2"/>
      <c r="Y400" s="2"/>
      <c r="Z400" s="2"/>
      <c r="AA400" s="2"/>
      <c r="AB400" s="2"/>
      <c r="AC400" s="2"/>
    </row>
    <row r="401" spans="1:29" ht="17.399999999999999" x14ac:dyDescent="0.25">
      <c r="A401" s="1"/>
      <c r="B401" s="2"/>
      <c r="C401" s="2"/>
      <c r="D401" s="2"/>
      <c r="E401" s="2"/>
      <c r="F401" s="2"/>
      <c r="G401" s="2"/>
      <c r="H401" s="2"/>
      <c r="I401" s="2"/>
      <c r="J401" s="2"/>
      <c r="K401" s="2"/>
      <c r="L401" s="2"/>
      <c r="M401" s="2"/>
      <c r="N401" s="2"/>
      <c r="O401" s="1"/>
      <c r="P401" s="2"/>
      <c r="Q401" s="2"/>
      <c r="R401" s="2"/>
      <c r="S401" s="2"/>
      <c r="T401" s="2"/>
      <c r="U401" s="2"/>
      <c r="V401" s="2"/>
      <c r="W401" s="2"/>
      <c r="X401" s="2"/>
      <c r="Y401" s="2"/>
      <c r="Z401" s="2"/>
      <c r="AA401" s="2"/>
      <c r="AB401" s="2"/>
      <c r="AC401" s="2"/>
    </row>
    <row r="402" spans="1:29" ht="17.399999999999999" x14ac:dyDescent="0.25">
      <c r="A402" s="1"/>
      <c r="B402" s="2"/>
      <c r="C402" s="2"/>
      <c r="D402" s="2"/>
      <c r="E402" s="2"/>
      <c r="F402" s="2"/>
      <c r="G402" s="2"/>
      <c r="H402" s="2"/>
      <c r="I402" s="2"/>
      <c r="J402" s="2"/>
      <c r="K402" s="2"/>
      <c r="L402" s="2"/>
      <c r="M402" s="2"/>
      <c r="N402" s="2"/>
      <c r="O402" s="1"/>
      <c r="P402" s="2"/>
      <c r="Q402" s="2"/>
      <c r="R402" s="2"/>
      <c r="S402" s="2"/>
      <c r="T402" s="2"/>
      <c r="U402" s="2"/>
      <c r="V402" s="2"/>
      <c r="W402" s="2"/>
      <c r="X402" s="2"/>
      <c r="Y402" s="2"/>
      <c r="Z402" s="2"/>
      <c r="AA402" s="2"/>
      <c r="AB402" s="2"/>
      <c r="AC402" s="2"/>
    </row>
    <row r="403" spans="1:29" ht="17.399999999999999" x14ac:dyDescent="0.25">
      <c r="A403" s="1"/>
      <c r="B403" s="2"/>
      <c r="C403" s="2"/>
      <c r="D403" s="2"/>
      <c r="E403" s="2"/>
      <c r="F403" s="2"/>
      <c r="G403" s="2"/>
      <c r="H403" s="2"/>
      <c r="I403" s="2"/>
      <c r="J403" s="2"/>
      <c r="K403" s="2"/>
      <c r="L403" s="2"/>
      <c r="M403" s="2"/>
      <c r="N403" s="2"/>
      <c r="O403" s="1"/>
      <c r="P403" s="2"/>
      <c r="Q403" s="2"/>
      <c r="R403" s="2"/>
      <c r="S403" s="2"/>
      <c r="T403" s="2"/>
      <c r="U403" s="2"/>
      <c r="V403" s="2"/>
      <c r="W403" s="2"/>
      <c r="X403" s="2"/>
      <c r="Y403" s="2"/>
      <c r="Z403" s="2"/>
      <c r="AA403" s="2"/>
      <c r="AB403" s="2"/>
      <c r="AC403" s="2"/>
    </row>
    <row r="404" spans="1:29" ht="17.399999999999999" x14ac:dyDescent="0.25">
      <c r="A404" s="1"/>
      <c r="B404" s="2"/>
      <c r="C404" s="2"/>
      <c r="D404" s="2"/>
      <c r="E404" s="2"/>
      <c r="F404" s="2"/>
      <c r="G404" s="2"/>
      <c r="H404" s="2"/>
      <c r="I404" s="2"/>
      <c r="J404" s="2"/>
      <c r="K404" s="2"/>
      <c r="L404" s="2"/>
      <c r="M404" s="2"/>
      <c r="N404" s="2"/>
      <c r="O404" s="1"/>
      <c r="P404" s="2"/>
      <c r="Q404" s="2"/>
      <c r="R404" s="2"/>
      <c r="S404" s="2"/>
      <c r="T404" s="2"/>
      <c r="U404" s="2"/>
      <c r="V404" s="2"/>
      <c r="W404" s="2"/>
      <c r="X404" s="2"/>
      <c r="Y404" s="2"/>
      <c r="Z404" s="2"/>
      <c r="AA404" s="2"/>
      <c r="AB404" s="2"/>
      <c r="AC404" s="2"/>
    </row>
    <row r="405" spans="1:29" ht="17.399999999999999" x14ac:dyDescent="0.25">
      <c r="A405" s="1"/>
      <c r="B405" s="2"/>
      <c r="C405" s="2"/>
      <c r="D405" s="2"/>
      <c r="E405" s="2"/>
      <c r="F405" s="2"/>
      <c r="G405" s="2"/>
      <c r="H405" s="2"/>
      <c r="I405" s="2"/>
      <c r="J405" s="2"/>
      <c r="K405" s="2"/>
      <c r="L405" s="2"/>
      <c r="M405" s="2"/>
      <c r="N405" s="2"/>
      <c r="O405" s="1"/>
      <c r="P405" s="2"/>
      <c r="Q405" s="2"/>
      <c r="R405" s="2"/>
      <c r="S405" s="2"/>
      <c r="T405" s="2"/>
      <c r="U405" s="2"/>
      <c r="V405" s="2"/>
      <c r="W405" s="2"/>
      <c r="X405" s="2"/>
      <c r="Y405" s="2"/>
      <c r="Z405" s="2"/>
      <c r="AA405" s="2"/>
      <c r="AB405" s="2"/>
      <c r="AC405" s="2"/>
    </row>
    <row r="406" spans="1:29" ht="17.399999999999999" x14ac:dyDescent="0.25">
      <c r="A406" s="1"/>
      <c r="B406" s="2"/>
      <c r="C406" s="2"/>
      <c r="D406" s="2"/>
      <c r="E406" s="2"/>
      <c r="F406" s="2"/>
      <c r="G406" s="2"/>
      <c r="H406" s="2"/>
      <c r="I406" s="2"/>
      <c r="J406" s="2"/>
      <c r="K406" s="2"/>
      <c r="L406" s="2"/>
      <c r="M406" s="2"/>
      <c r="N406" s="2"/>
      <c r="O406" s="1"/>
      <c r="P406" s="2"/>
      <c r="Q406" s="2"/>
      <c r="R406" s="2"/>
      <c r="S406" s="2"/>
      <c r="T406" s="2"/>
      <c r="U406" s="2"/>
      <c r="V406" s="2"/>
      <c r="W406" s="2"/>
      <c r="X406" s="2"/>
      <c r="Y406" s="2"/>
      <c r="Z406" s="2"/>
      <c r="AA406" s="2"/>
      <c r="AB406" s="2"/>
      <c r="AC406" s="2"/>
    </row>
    <row r="407" spans="1:29" ht="17.399999999999999" x14ac:dyDescent="0.25">
      <c r="A407" s="1"/>
      <c r="B407" s="2"/>
      <c r="C407" s="2"/>
      <c r="D407" s="2"/>
      <c r="E407" s="2"/>
      <c r="F407" s="2"/>
      <c r="G407" s="2"/>
      <c r="H407" s="2"/>
      <c r="I407" s="2"/>
      <c r="J407" s="2"/>
      <c r="K407" s="2"/>
      <c r="L407" s="2"/>
      <c r="M407" s="2"/>
      <c r="N407" s="2"/>
      <c r="O407" s="1"/>
      <c r="P407" s="2"/>
      <c r="Q407" s="2"/>
      <c r="R407" s="2"/>
      <c r="S407" s="2"/>
      <c r="T407" s="2"/>
      <c r="U407" s="2"/>
      <c r="V407" s="2"/>
      <c r="W407" s="2"/>
      <c r="X407" s="2"/>
      <c r="Y407" s="2"/>
      <c r="Z407" s="2"/>
      <c r="AA407" s="2"/>
      <c r="AB407" s="2"/>
      <c r="AC407" s="2"/>
    </row>
    <row r="408" spans="1:29" ht="17.399999999999999" x14ac:dyDescent="0.25">
      <c r="A408" s="1"/>
      <c r="B408" s="2"/>
      <c r="C408" s="2"/>
      <c r="D408" s="2"/>
      <c r="E408" s="2"/>
      <c r="F408" s="2"/>
      <c r="G408" s="2"/>
      <c r="H408" s="2"/>
      <c r="I408" s="2"/>
      <c r="J408" s="2"/>
      <c r="K408" s="2"/>
      <c r="L408" s="2"/>
      <c r="M408" s="2"/>
      <c r="N408" s="2"/>
      <c r="O408" s="1"/>
      <c r="P408" s="2"/>
      <c r="Q408" s="2"/>
      <c r="R408" s="2"/>
      <c r="S408" s="2"/>
      <c r="T408" s="2"/>
      <c r="U408" s="2"/>
      <c r="V408" s="2"/>
      <c r="W408" s="2"/>
      <c r="X408" s="2"/>
      <c r="Y408" s="2"/>
      <c r="Z408" s="2"/>
      <c r="AA408" s="2"/>
      <c r="AB408" s="2"/>
      <c r="AC408" s="2"/>
    </row>
    <row r="409" spans="1:29" ht="17.399999999999999" x14ac:dyDescent="0.25">
      <c r="A409" s="1"/>
      <c r="B409" s="2"/>
      <c r="C409" s="2"/>
      <c r="D409" s="2"/>
      <c r="E409" s="2"/>
      <c r="F409" s="2"/>
      <c r="G409" s="2"/>
      <c r="H409" s="2"/>
      <c r="I409" s="2"/>
      <c r="J409" s="2"/>
      <c r="K409" s="2"/>
      <c r="L409" s="2"/>
      <c r="M409" s="2"/>
      <c r="N409" s="2"/>
      <c r="O409" s="1"/>
      <c r="P409" s="2"/>
      <c r="Q409" s="2"/>
      <c r="R409" s="2"/>
      <c r="S409" s="2"/>
      <c r="T409" s="2"/>
      <c r="U409" s="2"/>
      <c r="V409" s="2"/>
      <c r="W409" s="2"/>
      <c r="X409" s="2"/>
      <c r="Y409" s="2"/>
      <c r="Z409" s="2"/>
      <c r="AA409" s="2"/>
      <c r="AB409" s="2"/>
      <c r="AC409" s="2"/>
    </row>
    <row r="410" spans="1:29" ht="17.399999999999999" x14ac:dyDescent="0.25">
      <c r="A410" s="1"/>
      <c r="B410" s="2"/>
      <c r="C410" s="2"/>
      <c r="D410" s="2"/>
      <c r="E410" s="2"/>
      <c r="F410" s="2"/>
      <c r="G410" s="2"/>
      <c r="H410" s="2"/>
      <c r="I410" s="2"/>
      <c r="J410" s="2"/>
      <c r="K410" s="2"/>
      <c r="L410" s="2"/>
      <c r="M410" s="2"/>
      <c r="N410" s="2"/>
      <c r="O410" s="1"/>
      <c r="P410" s="2"/>
      <c r="Q410" s="2"/>
      <c r="R410" s="2"/>
      <c r="S410" s="2"/>
      <c r="T410" s="2"/>
      <c r="U410" s="2"/>
      <c r="V410" s="2"/>
      <c r="W410" s="2"/>
      <c r="X410" s="2"/>
      <c r="Y410" s="2"/>
      <c r="Z410" s="2"/>
      <c r="AA410" s="2"/>
      <c r="AB410" s="2"/>
      <c r="AC410" s="2"/>
    </row>
    <row r="411" spans="1:29" ht="17.399999999999999" x14ac:dyDescent="0.25">
      <c r="A411" s="1"/>
      <c r="B411" s="2"/>
      <c r="C411" s="2"/>
      <c r="D411" s="2"/>
      <c r="E411" s="2"/>
      <c r="F411" s="2"/>
      <c r="G411" s="2"/>
      <c r="H411" s="2"/>
      <c r="I411" s="2"/>
      <c r="J411" s="2"/>
      <c r="K411" s="2"/>
      <c r="L411" s="2"/>
      <c r="M411" s="2"/>
      <c r="N411" s="2"/>
      <c r="O411" s="1"/>
      <c r="P411" s="2"/>
      <c r="Q411" s="2"/>
      <c r="R411" s="2"/>
      <c r="S411" s="2"/>
      <c r="T411" s="2"/>
      <c r="U411" s="2"/>
      <c r="V411" s="2"/>
      <c r="W411" s="2"/>
      <c r="X411" s="2"/>
      <c r="Y411" s="2"/>
      <c r="Z411" s="2"/>
      <c r="AA411" s="2"/>
      <c r="AB411" s="2"/>
      <c r="AC411" s="2"/>
    </row>
    <row r="412" spans="1:29" ht="17.399999999999999" x14ac:dyDescent="0.25">
      <c r="A412" s="1"/>
      <c r="B412" s="2"/>
      <c r="C412" s="2"/>
      <c r="D412" s="2"/>
      <c r="E412" s="2"/>
      <c r="F412" s="2"/>
      <c r="G412" s="2"/>
      <c r="H412" s="2"/>
      <c r="I412" s="2"/>
      <c r="J412" s="2"/>
      <c r="K412" s="2"/>
      <c r="L412" s="2"/>
      <c r="M412" s="2"/>
      <c r="N412" s="2"/>
      <c r="O412" s="1"/>
      <c r="P412" s="2"/>
      <c r="Q412" s="2"/>
      <c r="R412" s="2"/>
      <c r="S412" s="2"/>
      <c r="T412" s="2"/>
      <c r="U412" s="2"/>
      <c r="V412" s="2"/>
      <c r="W412" s="2"/>
      <c r="X412" s="2"/>
      <c r="Y412" s="2"/>
      <c r="Z412" s="2"/>
      <c r="AA412" s="2"/>
      <c r="AB412" s="2"/>
      <c r="AC412" s="2"/>
    </row>
    <row r="413" spans="1:29" ht="17.399999999999999" x14ac:dyDescent="0.25">
      <c r="A413" s="1"/>
      <c r="B413" s="2"/>
      <c r="C413" s="2"/>
      <c r="D413" s="2"/>
      <c r="E413" s="2"/>
      <c r="F413" s="2"/>
      <c r="G413" s="2"/>
      <c r="H413" s="2"/>
      <c r="I413" s="2"/>
      <c r="J413" s="2"/>
      <c r="K413" s="2"/>
      <c r="L413" s="2"/>
      <c r="M413" s="2"/>
      <c r="N413" s="2"/>
      <c r="O413" s="1"/>
      <c r="P413" s="2"/>
      <c r="Q413" s="2"/>
      <c r="R413" s="2"/>
      <c r="S413" s="2"/>
      <c r="T413" s="2"/>
      <c r="U413" s="2"/>
      <c r="V413" s="2"/>
      <c r="W413" s="2"/>
      <c r="X413" s="2"/>
      <c r="Y413" s="2"/>
      <c r="Z413" s="2"/>
      <c r="AA413" s="2"/>
      <c r="AB413" s="2"/>
      <c r="AC413" s="2"/>
    </row>
    <row r="414" spans="1:29" ht="17.399999999999999" x14ac:dyDescent="0.25">
      <c r="A414" s="1"/>
      <c r="B414" s="2"/>
      <c r="C414" s="2"/>
      <c r="D414" s="2"/>
      <c r="E414" s="2"/>
      <c r="F414" s="2"/>
      <c r="G414" s="2"/>
      <c r="H414" s="2"/>
      <c r="I414" s="2"/>
      <c r="J414" s="2"/>
      <c r="K414" s="2"/>
      <c r="L414" s="2"/>
      <c r="M414" s="2"/>
      <c r="N414" s="2"/>
      <c r="O414" s="1"/>
      <c r="P414" s="2"/>
      <c r="Q414" s="2"/>
      <c r="R414" s="2"/>
      <c r="S414" s="2"/>
      <c r="T414" s="2"/>
      <c r="U414" s="2"/>
      <c r="V414" s="2"/>
      <c r="W414" s="2"/>
      <c r="X414" s="2"/>
      <c r="Y414" s="2"/>
      <c r="Z414" s="2"/>
      <c r="AA414" s="2"/>
      <c r="AB414" s="2"/>
      <c r="AC414" s="2"/>
    </row>
    <row r="415" spans="1:29" ht="17.399999999999999" x14ac:dyDescent="0.25">
      <c r="A415" s="1"/>
      <c r="B415" s="2"/>
      <c r="C415" s="2"/>
      <c r="D415" s="2"/>
      <c r="E415" s="2"/>
      <c r="F415" s="2"/>
      <c r="G415" s="2"/>
      <c r="H415" s="2"/>
      <c r="I415" s="2"/>
      <c r="J415" s="2"/>
      <c r="K415" s="2"/>
      <c r="L415" s="2"/>
      <c r="M415" s="2"/>
      <c r="N415" s="2"/>
      <c r="O415" s="1"/>
      <c r="P415" s="2"/>
      <c r="Q415" s="2"/>
      <c r="R415" s="2"/>
      <c r="S415" s="2"/>
      <c r="T415" s="2"/>
      <c r="U415" s="2"/>
      <c r="V415" s="2"/>
      <c r="W415" s="2"/>
      <c r="X415" s="2"/>
      <c r="Y415" s="2"/>
      <c r="Z415" s="2"/>
      <c r="AA415" s="2"/>
      <c r="AB415" s="2"/>
      <c r="AC415" s="2"/>
    </row>
    <row r="416" spans="1:29" ht="17.399999999999999" x14ac:dyDescent="0.25">
      <c r="A416" s="1"/>
      <c r="B416" s="2"/>
      <c r="C416" s="2"/>
      <c r="D416" s="2"/>
      <c r="E416" s="2"/>
      <c r="F416" s="2"/>
      <c r="G416" s="2"/>
      <c r="H416" s="2"/>
      <c r="I416" s="2"/>
      <c r="J416" s="2"/>
      <c r="K416" s="2"/>
      <c r="L416" s="2"/>
      <c r="M416" s="2"/>
      <c r="N416" s="2"/>
      <c r="O416" s="1"/>
      <c r="P416" s="2"/>
      <c r="Q416" s="2"/>
      <c r="R416" s="2"/>
      <c r="S416" s="2"/>
      <c r="T416" s="2"/>
      <c r="U416" s="2"/>
      <c r="V416" s="2"/>
      <c r="W416" s="2"/>
      <c r="X416" s="2"/>
      <c r="Y416" s="2"/>
      <c r="Z416" s="2"/>
      <c r="AA416" s="2"/>
      <c r="AB416" s="2"/>
      <c r="AC416" s="2"/>
    </row>
    <row r="417" spans="1:29" ht="17.399999999999999" x14ac:dyDescent="0.25">
      <c r="A417" s="1"/>
      <c r="B417" s="2"/>
      <c r="C417" s="2"/>
      <c r="D417" s="2"/>
      <c r="E417" s="2"/>
      <c r="F417" s="2"/>
      <c r="G417" s="2"/>
      <c r="H417" s="2"/>
      <c r="I417" s="2"/>
      <c r="J417" s="2"/>
      <c r="K417" s="2"/>
      <c r="L417" s="2"/>
      <c r="M417" s="2"/>
      <c r="N417" s="2"/>
      <c r="O417" s="1"/>
      <c r="P417" s="2"/>
      <c r="Q417" s="2"/>
      <c r="R417" s="2"/>
      <c r="S417" s="2"/>
      <c r="T417" s="2"/>
      <c r="U417" s="2"/>
      <c r="V417" s="2"/>
      <c r="W417" s="2"/>
      <c r="X417" s="2"/>
      <c r="Y417" s="2"/>
      <c r="Z417" s="2"/>
      <c r="AA417" s="2"/>
      <c r="AB417" s="2"/>
      <c r="AC417" s="2"/>
    </row>
    <row r="418" spans="1:29" ht="17.399999999999999" x14ac:dyDescent="0.25">
      <c r="A418" s="1"/>
      <c r="B418" s="2"/>
      <c r="C418" s="2"/>
      <c r="D418" s="2"/>
      <c r="E418" s="2"/>
      <c r="F418" s="2"/>
      <c r="G418" s="2"/>
      <c r="H418" s="2"/>
      <c r="I418" s="2"/>
      <c r="J418" s="2"/>
      <c r="K418" s="2"/>
      <c r="L418" s="2"/>
      <c r="M418" s="2"/>
      <c r="N418" s="2"/>
      <c r="O418" s="1"/>
      <c r="P418" s="2"/>
      <c r="Q418" s="2"/>
      <c r="R418" s="2"/>
      <c r="S418" s="2"/>
      <c r="T418" s="2"/>
      <c r="U418" s="2"/>
      <c r="V418" s="2"/>
      <c r="W418" s="2"/>
      <c r="X418" s="2"/>
      <c r="Y418" s="2"/>
      <c r="Z418" s="2"/>
      <c r="AA418" s="2"/>
      <c r="AB418" s="2"/>
      <c r="AC418" s="2"/>
    </row>
    <row r="419" spans="1:29" ht="17.399999999999999" x14ac:dyDescent="0.25">
      <c r="A419" s="1"/>
      <c r="B419" s="2"/>
      <c r="C419" s="2"/>
      <c r="D419" s="2"/>
      <c r="E419" s="2"/>
      <c r="F419" s="2"/>
      <c r="G419" s="2"/>
      <c r="H419" s="2"/>
      <c r="I419" s="2"/>
      <c r="J419" s="2"/>
      <c r="K419" s="2"/>
      <c r="L419" s="2"/>
      <c r="M419" s="2"/>
      <c r="N419" s="2"/>
      <c r="O419" s="1"/>
      <c r="P419" s="2"/>
      <c r="Q419" s="2"/>
      <c r="R419" s="2"/>
      <c r="S419" s="2"/>
      <c r="T419" s="2"/>
      <c r="U419" s="2"/>
      <c r="V419" s="2"/>
      <c r="W419" s="2"/>
      <c r="X419" s="2"/>
      <c r="Y419" s="2"/>
      <c r="Z419" s="2"/>
      <c r="AA419" s="2"/>
      <c r="AB419" s="2"/>
      <c r="AC419" s="2"/>
    </row>
    <row r="420" spans="1:29" ht="17.399999999999999" x14ac:dyDescent="0.25">
      <c r="A420" s="1"/>
      <c r="B420" s="2"/>
      <c r="C420" s="2"/>
      <c r="D420" s="2"/>
      <c r="E420" s="2"/>
      <c r="F420" s="2"/>
      <c r="G420" s="2"/>
      <c r="H420" s="2"/>
      <c r="I420" s="2"/>
      <c r="J420" s="2"/>
      <c r="K420" s="2"/>
      <c r="L420" s="2"/>
      <c r="M420" s="2"/>
      <c r="N420" s="2"/>
      <c r="O420" s="1"/>
      <c r="P420" s="2"/>
      <c r="Q420" s="2"/>
      <c r="R420" s="2"/>
      <c r="S420" s="2"/>
      <c r="T420" s="2"/>
      <c r="U420" s="2"/>
      <c r="V420" s="2"/>
      <c r="W420" s="2"/>
      <c r="X420" s="2"/>
      <c r="Y420" s="2"/>
      <c r="Z420" s="2"/>
      <c r="AA420" s="2"/>
      <c r="AB420" s="2"/>
      <c r="AC420" s="2"/>
    </row>
    <row r="421" spans="1:29" ht="17.399999999999999" x14ac:dyDescent="0.25">
      <c r="A421" s="1"/>
      <c r="B421" s="2"/>
      <c r="C421" s="2"/>
      <c r="D421" s="2"/>
      <c r="E421" s="2"/>
      <c r="F421" s="2"/>
      <c r="G421" s="2"/>
      <c r="H421" s="2"/>
      <c r="I421" s="2"/>
      <c r="J421" s="2"/>
      <c r="K421" s="2"/>
      <c r="L421" s="2"/>
      <c r="M421" s="2"/>
      <c r="N421" s="2"/>
      <c r="O421" s="1"/>
      <c r="P421" s="2"/>
      <c r="Q421" s="2"/>
      <c r="R421" s="2"/>
      <c r="S421" s="2"/>
      <c r="T421" s="2"/>
      <c r="U421" s="2"/>
      <c r="V421" s="2"/>
      <c r="W421" s="2"/>
      <c r="X421" s="2"/>
      <c r="Y421" s="2"/>
      <c r="Z421" s="2"/>
      <c r="AA421" s="2"/>
      <c r="AB421" s="2"/>
      <c r="AC421" s="2"/>
    </row>
    <row r="422" spans="1:29" ht="17.399999999999999" x14ac:dyDescent="0.25">
      <c r="A422" s="1"/>
      <c r="B422" s="2"/>
      <c r="C422" s="2"/>
      <c r="D422" s="2"/>
      <c r="E422" s="2"/>
      <c r="F422" s="2"/>
      <c r="G422" s="2"/>
      <c r="H422" s="2"/>
      <c r="I422" s="2"/>
      <c r="J422" s="2"/>
      <c r="K422" s="2"/>
      <c r="L422" s="2"/>
      <c r="M422" s="2"/>
      <c r="N422" s="2"/>
      <c r="O422" s="1"/>
      <c r="P422" s="2"/>
      <c r="Q422" s="2"/>
      <c r="R422" s="2"/>
      <c r="S422" s="2"/>
      <c r="T422" s="2"/>
      <c r="U422" s="2"/>
      <c r="V422" s="2"/>
      <c r="W422" s="2"/>
      <c r="X422" s="2"/>
      <c r="Y422" s="2"/>
      <c r="Z422" s="2"/>
      <c r="AA422" s="2"/>
      <c r="AB422" s="2"/>
      <c r="AC422" s="2"/>
    </row>
    <row r="423" spans="1:29" ht="17.399999999999999" x14ac:dyDescent="0.25">
      <c r="A423" s="1"/>
      <c r="B423" s="2"/>
      <c r="C423" s="2"/>
      <c r="D423" s="2"/>
      <c r="E423" s="2"/>
      <c r="F423" s="2"/>
      <c r="G423" s="2"/>
      <c r="H423" s="2"/>
      <c r="I423" s="2"/>
      <c r="J423" s="2"/>
      <c r="K423" s="2"/>
      <c r="L423" s="2"/>
      <c r="M423" s="2"/>
      <c r="N423" s="2"/>
      <c r="O423" s="1"/>
      <c r="P423" s="2"/>
      <c r="Q423" s="2"/>
      <c r="R423" s="2"/>
      <c r="S423" s="2"/>
      <c r="T423" s="2"/>
      <c r="U423" s="2"/>
      <c r="V423" s="2"/>
      <c r="W423" s="2"/>
      <c r="X423" s="2"/>
      <c r="Y423" s="2"/>
      <c r="Z423" s="2"/>
      <c r="AA423" s="2"/>
      <c r="AB423" s="2"/>
      <c r="AC423" s="2"/>
    </row>
    <row r="424" spans="1:29" ht="17.399999999999999" x14ac:dyDescent="0.25">
      <c r="A424" s="1"/>
      <c r="B424" s="2"/>
      <c r="C424" s="2"/>
      <c r="D424" s="2"/>
      <c r="E424" s="2"/>
      <c r="F424" s="2"/>
      <c r="G424" s="2"/>
      <c r="H424" s="2"/>
      <c r="I424" s="2"/>
      <c r="J424" s="2"/>
      <c r="K424" s="2"/>
      <c r="L424" s="2"/>
      <c r="M424" s="2"/>
      <c r="N424" s="2"/>
      <c r="O424" s="1"/>
      <c r="P424" s="2"/>
      <c r="Q424" s="2"/>
      <c r="R424" s="2"/>
      <c r="S424" s="2"/>
      <c r="T424" s="2"/>
      <c r="U424" s="2"/>
      <c r="V424" s="2"/>
      <c r="W424" s="2"/>
      <c r="X424" s="2"/>
      <c r="Y424" s="2"/>
      <c r="Z424" s="2"/>
      <c r="AA424" s="2"/>
      <c r="AB424" s="2"/>
      <c r="AC424" s="2"/>
    </row>
    <row r="425" spans="1:29" ht="17.399999999999999" x14ac:dyDescent="0.25">
      <c r="A425" s="1"/>
      <c r="B425" s="2"/>
      <c r="C425" s="2"/>
      <c r="D425" s="2"/>
      <c r="E425" s="2"/>
      <c r="F425" s="2"/>
      <c r="G425" s="2"/>
      <c r="H425" s="2"/>
      <c r="I425" s="2"/>
      <c r="J425" s="2"/>
      <c r="K425" s="2"/>
      <c r="L425" s="2"/>
      <c r="M425" s="2"/>
      <c r="N425" s="2"/>
      <c r="O425" s="1"/>
      <c r="P425" s="2"/>
      <c r="Q425" s="2"/>
      <c r="R425" s="2"/>
      <c r="S425" s="2"/>
      <c r="T425" s="2"/>
      <c r="U425" s="2"/>
      <c r="V425" s="2"/>
      <c r="W425" s="2"/>
      <c r="X425" s="2"/>
      <c r="Y425" s="2"/>
      <c r="Z425" s="2"/>
      <c r="AA425" s="2"/>
      <c r="AB425" s="2"/>
      <c r="AC425" s="2"/>
    </row>
    <row r="426" spans="1:29" ht="17.399999999999999" x14ac:dyDescent="0.25">
      <c r="A426" s="1"/>
      <c r="B426" s="2"/>
      <c r="C426" s="2"/>
      <c r="D426" s="2"/>
      <c r="E426" s="2"/>
      <c r="F426" s="2"/>
      <c r="G426" s="2"/>
      <c r="H426" s="2"/>
      <c r="I426" s="2"/>
      <c r="J426" s="2"/>
      <c r="K426" s="2"/>
      <c r="L426" s="2"/>
      <c r="M426" s="2"/>
      <c r="N426" s="2"/>
      <c r="O426" s="1"/>
      <c r="P426" s="2"/>
      <c r="Q426" s="2"/>
      <c r="R426" s="2"/>
      <c r="S426" s="2"/>
      <c r="T426" s="2"/>
      <c r="U426" s="2"/>
      <c r="V426" s="2"/>
      <c r="W426" s="2"/>
      <c r="X426" s="2"/>
      <c r="Y426" s="2"/>
      <c r="Z426" s="2"/>
      <c r="AA426" s="2"/>
      <c r="AB426" s="2"/>
      <c r="AC426" s="2"/>
    </row>
    <row r="427" spans="1:29" ht="17.399999999999999" x14ac:dyDescent="0.25">
      <c r="A427" s="1"/>
      <c r="B427" s="2"/>
      <c r="C427" s="2"/>
      <c r="D427" s="2"/>
      <c r="E427" s="2"/>
      <c r="F427" s="2"/>
      <c r="G427" s="2"/>
      <c r="H427" s="2"/>
      <c r="I427" s="2"/>
      <c r="J427" s="2"/>
      <c r="K427" s="2"/>
      <c r="L427" s="2"/>
      <c r="M427" s="2"/>
      <c r="N427" s="2"/>
      <c r="O427" s="1"/>
      <c r="P427" s="2"/>
      <c r="Q427" s="2"/>
      <c r="R427" s="2"/>
      <c r="S427" s="2"/>
      <c r="T427" s="2"/>
      <c r="U427" s="2"/>
      <c r="V427" s="2"/>
      <c r="W427" s="2"/>
      <c r="X427" s="2"/>
      <c r="Y427" s="2"/>
      <c r="Z427" s="2"/>
      <c r="AA427" s="2"/>
      <c r="AB427" s="2"/>
      <c r="AC427" s="2"/>
    </row>
    <row r="428" spans="1:29" ht="17.399999999999999" x14ac:dyDescent="0.25">
      <c r="A428" s="1"/>
      <c r="B428" s="2"/>
      <c r="C428" s="2"/>
      <c r="D428" s="2"/>
      <c r="E428" s="2"/>
      <c r="F428" s="2"/>
      <c r="G428" s="2"/>
      <c r="H428" s="2"/>
      <c r="I428" s="2"/>
      <c r="J428" s="2"/>
      <c r="K428" s="2"/>
      <c r="L428" s="2"/>
      <c r="M428" s="2"/>
      <c r="N428" s="2"/>
      <c r="O428" s="1"/>
      <c r="P428" s="2"/>
      <c r="Q428" s="2"/>
      <c r="R428" s="2"/>
      <c r="S428" s="2"/>
      <c r="T428" s="2"/>
      <c r="U428" s="2"/>
      <c r="V428" s="2"/>
      <c r="W428" s="2"/>
      <c r="X428" s="2"/>
      <c r="Y428" s="2"/>
      <c r="Z428" s="2"/>
      <c r="AA428" s="2"/>
      <c r="AB428" s="2"/>
      <c r="AC428" s="2"/>
    </row>
    <row r="429" spans="1:29" ht="17.399999999999999" x14ac:dyDescent="0.25">
      <c r="A429" s="1"/>
      <c r="B429" s="2"/>
      <c r="C429" s="2"/>
      <c r="D429" s="2"/>
      <c r="E429" s="2"/>
      <c r="F429" s="2"/>
      <c r="G429" s="2"/>
      <c r="H429" s="2"/>
      <c r="I429" s="2"/>
      <c r="J429" s="2"/>
      <c r="K429" s="2"/>
      <c r="L429" s="2"/>
      <c r="M429" s="2"/>
      <c r="N429" s="2"/>
      <c r="O429" s="1"/>
      <c r="P429" s="2"/>
      <c r="Q429" s="2"/>
      <c r="R429" s="2"/>
      <c r="S429" s="2"/>
      <c r="T429" s="2"/>
      <c r="U429" s="2"/>
      <c r="V429" s="2"/>
      <c r="W429" s="2"/>
      <c r="X429" s="2"/>
      <c r="Y429" s="2"/>
      <c r="Z429" s="2"/>
      <c r="AA429" s="2"/>
      <c r="AB429" s="2"/>
      <c r="AC429" s="2"/>
    </row>
    <row r="430" spans="1:29" ht="17.399999999999999" x14ac:dyDescent="0.25">
      <c r="A430" s="1"/>
      <c r="B430" s="2"/>
      <c r="C430" s="2"/>
      <c r="D430" s="2"/>
      <c r="E430" s="2"/>
      <c r="F430" s="2"/>
      <c r="G430" s="2"/>
      <c r="H430" s="2"/>
      <c r="I430" s="2"/>
      <c r="J430" s="2"/>
      <c r="K430" s="2"/>
      <c r="L430" s="2"/>
      <c r="M430" s="2"/>
      <c r="N430" s="2"/>
      <c r="O430" s="1"/>
      <c r="P430" s="2"/>
      <c r="Q430" s="2"/>
      <c r="R430" s="2"/>
      <c r="S430" s="2"/>
      <c r="T430" s="2"/>
      <c r="U430" s="2"/>
      <c r="V430" s="2"/>
      <c r="W430" s="2"/>
      <c r="X430" s="2"/>
      <c r="Y430" s="2"/>
      <c r="Z430" s="2"/>
      <c r="AA430" s="2"/>
      <c r="AB430" s="2"/>
      <c r="AC430" s="2"/>
    </row>
    <row r="431" spans="1:29" ht="17.399999999999999" x14ac:dyDescent="0.25">
      <c r="A431" s="1"/>
      <c r="B431" s="2"/>
      <c r="C431" s="2"/>
      <c r="D431" s="2"/>
      <c r="E431" s="2"/>
      <c r="F431" s="2"/>
      <c r="G431" s="2"/>
      <c r="H431" s="2"/>
      <c r="I431" s="2"/>
      <c r="J431" s="2"/>
      <c r="K431" s="2"/>
      <c r="L431" s="2"/>
      <c r="M431" s="2"/>
      <c r="N431" s="2"/>
      <c r="O431" s="1"/>
      <c r="P431" s="2"/>
      <c r="Q431" s="2"/>
      <c r="R431" s="2"/>
      <c r="S431" s="2"/>
      <c r="T431" s="2"/>
      <c r="U431" s="2"/>
      <c r="V431" s="2"/>
      <c r="W431" s="2"/>
      <c r="X431" s="2"/>
      <c r="Y431" s="2"/>
      <c r="Z431" s="2"/>
      <c r="AA431" s="2"/>
      <c r="AB431" s="2"/>
      <c r="AC431" s="2"/>
    </row>
    <row r="432" spans="1:29" ht="17.399999999999999" x14ac:dyDescent="0.25">
      <c r="A432" s="1"/>
      <c r="B432" s="2"/>
      <c r="C432" s="2"/>
      <c r="D432" s="2"/>
      <c r="E432" s="2"/>
      <c r="F432" s="2"/>
      <c r="G432" s="2"/>
      <c r="H432" s="2"/>
      <c r="I432" s="2"/>
      <c r="J432" s="2"/>
      <c r="K432" s="2"/>
      <c r="L432" s="2"/>
      <c r="M432" s="2"/>
      <c r="N432" s="2"/>
      <c r="O432" s="1"/>
      <c r="P432" s="2"/>
      <c r="Q432" s="2"/>
      <c r="R432" s="2"/>
      <c r="S432" s="2"/>
      <c r="T432" s="2"/>
      <c r="U432" s="2"/>
      <c r="V432" s="2"/>
      <c r="W432" s="2"/>
      <c r="X432" s="2"/>
      <c r="Y432" s="2"/>
      <c r="Z432" s="2"/>
      <c r="AA432" s="2"/>
      <c r="AB432" s="2"/>
      <c r="AC432" s="2"/>
    </row>
    <row r="433" spans="1:29" ht="17.399999999999999" x14ac:dyDescent="0.25">
      <c r="A433" s="1"/>
      <c r="B433" s="2"/>
      <c r="C433" s="2"/>
      <c r="D433" s="2"/>
      <c r="E433" s="2"/>
      <c r="F433" s="2"/>
      <c r="G433" s="2"/>
      <c r="H433" s="2"/>
      <c r="I433" s="2"/>
      <c r="J433" s="2"/>
      <c r="K433" s="2"/>
      <c r="L433" s="2"/>
      <c r="M433" s="2"/>
      <c r="N433" s="2"/>
      <c r="O433" s="1"/>
      <c r="P433" s="2"/>
      <c r="Q433" s="2"/>
      <c r="R433" s="2"/>
      <c r="S433" s="2"/>
      <c r="T433" s="2"/>
      <c r="U433" s="2"/>
      <c r="V433" s="2"/>
      <c r="W433" s="2"/>
      <c r="X433" s="2"/>
      <c r="Y433" s="2"/>
      <c r="Z433" s="2"/>
      <c r="AA433" s="2"/>
      <c r="AB433" s="2"/>
      <c r="AC433" s="2"/>
    </row>
    <row r="434" spans="1:29" ht="17.399999999999999" x14ac:dyDescent="0.25">
      <c r="A434" s="1"/>
      <c r="B434" s="2"/>
      <c r="C434" s="2"/>
      <c r="D434" s="2"/>
      <c r="E434" s="2"/>
      <c r="F434" s="2"/>
      <c r="G434" s="2"/>
      <c r="H434" s="2"/>
      <c r="I434" s="2"/>
      <c r="J434" s="2"/>
      <c r="K434" s="2"/>
      <c r="L434" s="2"/>
      <c r="M434" s="2"/>
      <c r="N434" s="2"/>
      <c r="O434" s="1"/>
      <c r="P434" s="2"/>
      <c r="Q434" s="2"/>
      <c r="R434" s="2"/>
      <c r="S434" s="2"/>
      <c r="T434" s="2"/>
      <c r="U434" s="2"/>
      <c r="V434" s="2"/>
      <c r="W434" s="2"/>
      <c r="X434" s="2"/>
      <c r="Y434" s="2"/>
      <c r="Z434" s="2"/>
      <c r="AA434" s="2"/>
      <c r="AB434" s="2"/>
      <c r="AC434" s="2"/>
    </row>
    <row r="435" spans="1:29" ht="17.399999999999999" x14ac:dyDescent="0.25">
      <c r="A435" s="1"/>
      <c r="B435" s="2"/>
      <c r="C435" s="2"/>
      <c r="D435" s="2"/>
      <c r="E435" s="2"/>
      <c r="F435" s="2"/>
      <c r="G435" s="2"/>
      <c r="H435" s="2"/>
      <c r="I435" s="2"/>
      <c r="J435" s="2"/>
      <c r="K435" s="2"/>
      <c r="L435" s="2"/>
      <c r="M435" s="2"/>
      <c r="N435" s="2"/>
      <c r="O435" s="1"/>
      <c r="P435" s="2"/>
      <c r="Q435" s="2"/>
      <c r="R435" s="2"/>
      <c r="S435" s="2"/>
      <c r="T435" s="2"/>
      <c r="U435" s="2"/>
      <c r="V435" s="2"/>
      <c r="W435" s="2"/>
      <c r="X435" s="2"/>
      <c r="Y435" s="2"/>
      <c r="Z435" s="2"/>
      <c r="AA435" s="2"/>
      <c r="AB435" s="2"/>
      <c r="AC435" s="2"/>
    </row>
    <row r="436" spans="1:29" ht="17.399999999999999" x14ac:dyDescent="0.25">
      <c r="A436" s="1"/>
      <c r="B436" s="2"/>
      <c r="C436" s="2"/>
      <c r="D436" s="2"/>
      <c r="E436" s="2"/>
      <c r="F436" s="2"/>
      <c r="G436" s="2"/>
      <c r="H436" s="2"/>
      <c r="I436" s="2"/>
      <c r="J436" s="2"/>
      <c r="K436" s="2"/>
      <c r="L436" s="2"/>
      <c r="M436" s="2"/>
      <c r="N436" s="2"/>
      <c r="O436" s="1"/>
      <c r="P436" s="2"/>
      <c r="Q436" s="2"/>
      <c r="R436" s="2"/>
      <c r="S436" s="2"/>
      <c r="T436" s="2"/>
      <c r="U436" s="2"/>
      <c r="V436" s="2"/>
      <c r="W436" s="2"/>
      <c r="X436" s="2"/>
      <c r="Y436" s="2"/>
      <c r="Z436" s="2"/>
      <c r="AA436" s="2"/>
      <c r="AB436" s="2"/>
      <c r="AC436" s="2"/>
    </row>
    <row r="437" spans="1:29" ht="17.399999999999999" x14ac:dyDescent="0.25">
      <c r="A437" s="1"/>
      <c r="B437" s="2"/>
      <c r="C437" s="2"/>
      <c r="D437" s="2"/>
      <c r="E437" s="2"/>
      <c r="F437" s="2"/>
      <c r="G437" s="2"/>
      <c r="H437" s="2"/>
      <c r="I437" s="2"/>
      <c r="J437" s="2"/>
      <c r="K437" s="2"/>
      <c r="L437" s="2"/>
      <c r="M437" s="2"/>
      <c r="N437" s="2"/>
      <c r="O437" s="1"/>
      <c r="P437" s="2"/>
      <c r="Q437" s="2"/>
      <c r="R437" s="2"/>
      <c r="S437" s="2"/>
      <c r="T437" s="2"/>
      <c r="U437" s="2"/>
      <c r="V437" s="2"/>
      <c r="W437" s="2"/>
      <c r="X437" s="2"/>
      <c r="Y437" s="2"/>
      <c r="Z437" s="2"/>
      <c r="AA437" s="2"/>
      <c r="AB437" s="2"/>
      <c r="AC437" s="2"/>
    </row>
    <row r="438" spans="1:29" ht="17.399999999999999" x14ac:dyDescent="0.25">
      <c r="A438" s="1"/>
      <c r="B438" s="2"/>
      <c r="C438" s="2"/>
      <c r="D438" s="2"/>
      <c r="E438" s="2"/>
      <c r="F438" s="2"/>
      <c r="G438" s="2"/>
      <c r="H438" s="2"/>
      <c r="I438" s="2"/>
      <c r="J438" s="2"/>
      <c r="K438" s="2"/>
      <c r="L438" s="2"/>
      <c r="M438" s="2"/>
      <c r="N438" s="2"/>
      <c r="O438" s="1"/>
      <c r="P438" s="2"/>
      <c r="Q438" s="2"/>
      <c r="R438" s="2"/>
      <c r="S438" s="2"/>
      <c r="T438" s="2"/>
      <c r="U438" s="2"/>
      <c r="V438" s="2"/>
      <c r="W438" s="2"/>
      <c r="X438" s="2"/>
      <c r="Y438" s="2"/>
      <c r="Z438" s="2"/>
      <c r="AA438" s="2"/>
      <c r="AB438" s="2"/>
      <c r="AC438" s="2"/>
    </row>
    <row r="439" spans="1:29" ht="17.399999999999999" x14ac:dyDescent="0.25">
      <c r="A439" s="1"/>
      <c r="B439" s="2"/>
      <c r="C439" s="2"/>
      <c r="D439" s="2"/>
      <c r="E439" s="2"/>
      <c r="F439" s="2"/>
      <c r="G439" s="2"/>
      <c r="H439" s="2"/>
      <c r="I439" s="2"/>
      <c r="J439" s="2"/>
      <c r="K439" s="2"/>
      <c r="L439" s="2"/>
      <c r="M439" s="2"/>
      <c r="N439" s="2"/>
      <c r="O439" s="1"/>
      <c r="P439" s="2"/>
      <c r="Q439" s="2"/>
      <c r="R439" s="2"/>
      <c r="S439" s="2"/>
      <c r="T439" s="2"/>
      <c r="U439" s="2"/>
      <c r="V439" s="2"/>
      <c r="W439" s="2"/>
      <c r="X439" s="2"/>
      <c r="Y439" s="2"/>
      <c r="Z439" s="2"/>
      <c r="AA439" s="2"/>
      <c r="AB439" s="2"/>
      <c r="AC439" s="2"/>
    </row>
    <row r="440" spans="1:29" ht="17.399999999999999" x14ac:dyDescent="0.25">
      <c r="A440" s="1"/>
      <c r="B440" s="2"/>
      <c r="C440" s="2"/>
      <c r="D440" s="2"/>
      <c r="E440" s="2"/>
      <c r="F440" s="2"/>
      <c r="G440" s="2"/>
      <c r="H440" s="2"/>
      <c r="I440" s="2"/>
      <c r="J440" s="2"/>
      <c r="K440" s="2"/>
      <c r="L440" s="2"/>
      <c r="M440" s="2"/>
      <c r="N440" s="2"/>
      <c r="O440" s="1"/>
      <c r="P440" s="2"/>
      <c r="Q440" s="2"/>
      <c r="R440" s="2"/>
      <c r="S440" s="2"/>
      <c r="T440" s="2"/>
      <c r="U440" s="2"/>
      <c r="V440" s="2"/>
      <c r="W440" s="2"/>
      <c r="X440" s="2"/>
      <c r="Y440" s="2"/>
      <c r="Z440" s="2"/>
      <c r="AA440" s="2"/>
      <c r="AB440" s="2"/>
      <c r="AC440" s="2"/>
    </row>
    <row r="441" spans="1:29" ht="17.399999999999999" x14ac:dyDescent="0.25">
      <c r="A441" s="1"/>
      <c r="B441" s="2"/>
      <c r="C441" s="2"/>
      <c r="D441" s="2"/>
      <c r="E441" s="2"/>
      <c r="F441" s="2"/>
      <c r="G441" s="2"/>
      <c r="H441" s="2"/>
      <c r="I441" s="2"/>
      <c r="J441" s="2"/>
      <c r="K441" s="2"/>
      <c r="L441" s="2"/>
      <c r="M441" s="2"/>
      <c r="N441" s="2"/>
      <c r="O441" s="1"/>
      <c r="P441" s="2"/>
      <c r="Q441" s="2"/>
      <c r="R441" s="2"/>
      <c r="S441" s="2"/>
      <c r="T441" s="2"/>
      <c r="U441" s="2"/>
      <c r="V441" s="2"/>
      <c r="W441" s="2"/>
      <c r="X441" s="2"/>
      <c r="Y441" s="2"/>
      <c r="Z441" s="2"/>
      <c r="AA441" s="2"/>
      <c r="AB441" s="2"/>
      <c r="AC441" s="2"/>
    </row>
    <row r="442" spans="1:29" ht="17.399999999999999" x14ac:dyDescent="0.25">
      <c r="A442" s="1"/>
      <c r="B442" s="2"/>
      <c r="C442" s="2"/>
      <c r="D442" s="2"/>
      <c r="E442" s="2"/>
      <c r="F442" s="2"/>
      <c r="G442" s="2"/>
      <c r="H442" s="2"/>
      <c r="I442" s="2"/>
      <c r="J442" s="2"/>
      <c r="K442" s="2"/>
      <c r="L442" s="2"/>
      <c r="M442" s="2"/>
      <c r="N442" s="2"/>
      <c r="O442" s="1"/>
      <c r="P442" s="2"/>
      <c r="Q442" s="2"/>
      <c r="R442" s="2"/>
      <c r="S442" s="2"/>
      <c r="T442" s="2"/>
      <c r="U442" s="2"/>
      <c r="V442" s="2"/>
      <c r="W442" s="2"/>
      <c r="X442" s="2"/>
      <c r="Y442" s="2"/>
      <c r="Z442" s="2"/>
      <c r="AA442" s="2"/>
      <c r="AB442" s="2"/>
      <c r="AC442" s="2"/>
    </row>
    <row r="443" spans="1:29" ht="17.399999999999999" x14ac:dyDescent="0.25">
      <c r="A443" s="1"/>
      <c r="B443" s="2"/>
      <c r="C443" s="2"/>
      <c r="D443" s="2"/>
      <c r="E443" s="2"/>
      <c r="F443" s="2"/>
      <c r="G443" s="2"/>
      <c r="H443" s="2"/>
      <c r="I443" s="2"/>
      <c r="J443" s="2"/>
      <c r="K443" s="2"/>
      <c r="L443" s="2"/>
      <c r="M443" s="2"/>
      <c r="N443" s="2"/>
      <c r="O443" s="1"/>
      <c r="P443" s="2"/>
      <c r="Q443" s="2"/>
      <c r="R443" s="2"/>
      <c r="S443" s="2"/>
      <c r="T443" s="2"/>
      <c r="U443" s="2"/>
      <c r="V443" s="2"/>
      <c r="W443" s="2"/>
      <c r="X443" s="2"/>
      <c r="Y443" s="2"/>
      <c r="Z443" s="2"/>
      <c r="AA443" s="2"/>
      <c r="AB443" s="2"/>
      <c r="AC443" s="2"/>
    </row>
    <row r="444" spans="1:29" ht="17.399999999999999" x14ac:dyDescent="0.25">
      <c r="A444" s="1"/>
      <c r="B444" s="2"/>
      <c r="C444" s="2"/>
      <c r="D444" s="2"/>
      <c r="E444" s="2"/>
      <c r="F444" s="2"/>
      <c r="G444" s="2"/>
      <c r="H444" s="2"/>
      <c r="I444" s="2"/>
      <c r="J444" s="2"/>
      <c r="K444" s="2"/>
      <c r="L444" s="2"/>
      <c r="M444" s="2"/>
      <c r="N444" s="2"/>
      <c r="O444" s="1"/>
      <c r="P444" s="2"/>
      <c r="Q444" s="2"/>
      <c r="R444" s="2"/>
      <c r="S444" s="2"/>
      <c r="T444" s="2"/>
      <c r="U444" s="2"/>
      <c r="V444" s="2"/>
      <c r="W444" s="2"/>
      <c r="X444" s="2"/>
      <c r="Y444" s="2"/>
      <c r="Z444" s="2"/>
      <c r="AA444" s="2"/>
      <c r="AB444" s="2"/>
      <c r="AC444" s="2"/>
    </row>
    <row r="445" spans="1:29" ht="17.399999999999999" x14ac:dyDescent="0.25">
      <c r="A445" s="1"/>
      <c r="B445" s="2"/>
      <c r="C445" s="2"/>
      <c r="D445" s="2"/>
      <c r="E445" s="2"/>
      <c r="F445" s="2"/>
      <c r="G445" s="2"/>
      <c r="H445" s="2"/>
      <c r="I445" s="2"/>
      <c r="J445" s="2"/>
      <c r="K445" s="2"/>
      <c r="L445" s="2"/>
      <c r="M445" s="2"/>
      <c r="N445" s="2"/>
      <c r="O445" s="1"/>
      <c r="P445" s="2"/>
      <c r="Q445" s="2"/>
      <c r="R445" s="2"/>
      <c r="S445" s="2"/>
      <c r="T445" s="2"/>
      <c r="U445" s="2"/>
      <c r="V445" s="2"/>
      <c r="W445" s="2"/>
      <c r="X445" s="2"/>
      <c r="Y445" s="2"/>
      <c r="Z445" s="2"/>
      <c r="AA445" s="2"/>
      <c r="AB445" s="2"/>
      <c r="AC445" s="2"/>
    </row>
    <row r="446" spans="1:29" ht="17.399999999999999" x14ac:dyDescent="0.25">
      <c r="A446" s="1"/>
      <c r="B446" s="2"/>
      <c r="C446" s="2"/>
      <c r="D446" s="2"/>
      <c r="E446" s="2"/>
      <c r="F446" s="2"/>
      <c r="G446" s="2"/>
      <c r="H446" s="2"/>
      <c r="I446" s="2"/>
      <c r="J446" s="2"/>
      <c r="K446" s="2"/>
      <c r="L446" s="2"/>
      <c r="M446" s="2"/>
      <c r="N446" s="2"/>
      <c r="O446" s="1"/>
      <c r="P446" s="2"/>
      <c r="Q446" s="2"/>
      <c r="R446" s="2"/>
      <c r="S446" s="2"/>
      <c r="T446" s="2"/>
      <c r="U446" s="2"/>
      <c r="V446" s="2"/>
      <c r="W446" s="2"/>
      <c r="X446" s="2"/>
      <c r="Y446" s="2"/>
      <c r="Z446" s="2"/>
      <c r="AA446" s="2"/>
      <c r="AB446" s="2"/>
      <c r="AC446" s="2"/>
    </row>
    <row r="447" spans="1:29" ht="17.399999999999999" x14ac:dyDescent="0.25">
      <c r="A447" s="1"/>
      <c r="B447" s="2"/>
      <c r="C447" s="2"/>
      <c r="D447" s="2"/>
      <c r="E447" s="2"/>
      <c r="F447" s="2"/>
      <c r="G447" s="2"/>
      <c r="H447" s="2"/>
      <c r="I447" s="2"/>
      <c r="J447" s="2"/>
      <c r="K447" s="2"/>
      <c r="L447" s="2"/>
      <c r="M447" s="2"/>
      <c r="N447" s="2"/>
      <c r="O447" s="1"/>
      <c r="P447" s="2"/>
      <c r="Q447" s="2"/>
      <c r="R447" s="2"/>
      <c r="S447" s="2"/>
      <c r="T447" s="2"/>
      <c r="U447" s="2"/>
      <c r="V447" s="2"/>
      <c r="W447" s="2"/>
      <c r="X447" s="2"/>
      <c r="Y447" s="2"/>
      <c r="Z447" s="2"/>
      <c r="AA447" s="2"/>
      <c r="AB447" s="2"/>
      <c r="AC447" s="2"/>
    </row>
    <row r="448" spans="1:29" ht="17.399999999999999" x14ac:dyDescent="0.25">
      <c r="A448" s="1"/>
      <c r="B448" s="2"/>
      <c r="C448" s="2"/>
      <c r="D448" s="2"/>
      <c r="E448" s="2"/>
      <c r="F448" s="2"/>
      <c r="G448" s="2"/>
      <c r="H448" s="2"/>
      <c r="I448" s="2"/>
      <c r="J448" s="2"/>
      <c r="K448" s="2"/>
      <c r="L448" s="2"/>
      <c r="M448" s="2"/>
      <c r="N448" s="2"/>
      <c r="O448" s="1"/>
      <c r="P448" s="2"/>
      <c r="Q448" s="2"/>
      <c r="R448" s="2"/>
      <c r="S448" s="2"/>
      <c r="T448" s="2"/>
      <c r="U448" s="2"/>
      <c r="V448" s="2"/>
      <c r="W448" s="2"/>
      <c r="X448" s="2"/>
      <c r="Y448" s="2"/>
      <c r="Z448" s="2"/>
      <c r="AA448" s="2"/>
      <c r="AB448" s="2"/>
      <c r="AC448" s="2"/>
    </row>
    <row r="449" spans="1:29" ht="17.399999999999999" x14ac:dyDescent="0.25">
      <c r="A449" s="1"/>
      <c r="B449" s="2"/>
      <c r="C449" s="2"/>
      <c r="D449" s="2"/>
      <c r="E449" s="2"/>
      <c r="F449" s="2"/>
      <c r="G449" s="2"/>
      <c r="H449" s="2"/>
      <c r="I449" s="2"/>
      <c r="J449" s="2"/>
      <c r="K449" s="2"/>
      <c r="L449" s="2"/>
      <c r="M449" s="2"/>
      <c r="N449" s="2"/>
      <c r="O449" s="1"/>
      <c r="P449" s="2"/>
      <c r="Q449" s="2"/>
      <c r="R449" s="2"/>
      <c r="S449" s="2"/>
      <c r="T449" s="2"/>
      <c r="U449" s="2"/>
      <c r="V449" s="2"/>
      <c r="W449" s="2"/>
      <c r="X449" s="2"/>
      <c r="Y449" s="2"/>
      <c r="Z449" s="2"/>
      <c r="AA449" s="2"/>
      <c r="AB449" s="2"/>
      <c r="AC449" s="2"/>
    </row>
    <row r="450" spans="1:29" ht="17.399999999999999" x14ac:dyDescent="0.25">
      <c r="A450" s="1"/>
      <c r="B450" s="2"/>
      <c r="C450" s="2"/>
      <c r="D450" s="2"/>
      <c r="E450" s="2"/>
      <c r="F450" s="2"/>
      <c r="G450" s="2"/>
      <c r="H450" s="2"/>
      <c r="I450" s="2"/>
      <c r="J450" s="2"/>
      <c r="K450" s="2"/>
      <c r="L450" s="2"/>
      <c r="M450" s="2"/>
      <c r="N450" s="2"/>
      <c r="O450" s="1"/>
      <c r="P450" s="2"/>
      <c r="Q450" s="2"/>
      <c r="R450" s="2"/>
      <c r="S450" s="2"/>
      <c r="T450" s="2"/>
      <c r="U450" s="2"/>
      <c r="V450" s="2"/>
      <c r="W450" s="2"/>
      <c r="X450" s="2"/>
      <c r="Y450" s="2"/>
      <c r="Z450" s="2"/>
      <c r="AA450" s="2"/>
      <c r="AB450" s="2"/>
      <c r="AC450" s="2"/>
    </row>
    <row r="451" spans="1:29" ht="17.399999999999999" x14ac:dyDescent="0.25">
      <c r="A451" s="1"/>
      <c r="B451" s="2"/>
      <c r="C451" s="2"/>
      <c r="D451" s="2"/>
      <c r="E451" s="2"/>
      <c r="F451" s="2"/>
      <c r="G451" s="2"/>
      <c r="H451" s="2"/>
      <c r="I451" s="2"/>
      <c r="J451" s="2"/>
      <c r="K451" s="2"/>
      <c r="L451" s="2"/>
      <c r="M451" s="2"/>
      <c r="N451" s="2"/>
      <c r="O451" s="1"/>
      <c r="P451" s="2"/>
      <c r="Q451" s="2"/>
      <c r="R451" s="2"/>
      <c r="S451" s="2"/>
      <c r="T451" s="2"/>
      <c r="U451" s="2"/>
      <c r="V451" s="2"/>
      <c r="W451" s="2"/>
      <c r="X451" s="2"/>
      <c r="Y451" s="2"/>
      <c r="Z451" s="2"/>
      <c r="AA451" s="2"/>
      <c r="AB451" s="2"/>
      <c r="AC451" s="2"/>
    </row>
    <row r="452" spans="1:29" ht="17.399999999999999" x14ac:dyDescent="0.25">
      <c r="A452" s="1"/>
      <c r="B452" s="2"/>
      <c r="C452" s="2"/>
      <c r="D452" s="2"/>
      <c r="E452" s="2"/>
      <c r="F452" s="2"/>
      <c r="G452" s="2"/>
      <c r="H452" s="2"/>
      <c r="I452" s="2"/>
      <c r="J452" s="2"/>
      <c r="K452" s="2"/>
      <c r="L452" s="2"/>
      <c r="M452" s="2"/>
      <c r="N452" s="2"/>
      <c r="O452" s="1"/>
      <c r="P452" s="2"/>
      <c r="Q452" s="2"/>
      <c r="R452" s="2"/>
      <c r="S452" s="2"/>
      <c r="T452" s="2"/>
      <c r="U452" s="2"/>
      <c r="V452" s="2"/>
      <c r="W452" s="2"/>
      <c r="X452" s="2"/>
      <c r="Y452" s="2"/>
      <c r="Z452" s="2"/>
      <c r="AA452" s="2"/>
      <c r="AB452" s="2"/>
      <c r="AC452" s="2"/>
    </row>
    <row r="453" spans="1:29" ht="17.399999999999999" x14ac:dyDescent="0.25">
      <c r="A453" s="1"/>
      <c r="B453" s="2"/>
      <c r="C453" s="2"/>
      <c r="D453" s="2"/>
      <c r="E453" s="2"/>
      <c r="F453" s="2"/>
      <c r="G453" s="2"/>
      <c r="H453" s="2"/>
      <c r="I453" s="2"/>
      <c r="J453" s="2"/>
      <c r="K453" s="2"/>
      <c r="L453" s="2"/>
      <c r="M453" s="2"/>
      <c r="N453" s="2"/>
      <c r="O453" s="1"/>
      <c r="P453" s="2"/>
      <c r="Q453" s="2"/>
      <c r="R453" s="2"/>
      <c r="S453" s="2"/>
      <c r="T453" s="2"/>
      <c r="U453" s="2"/>
      <c r="V453" s="2"/>
      <c r="W453" s="2"/>
      <c r="X453" s="2"/>
      <c r="Y453" s="2"/>
      <c r="Z453" s="2"/>
      <c r="AA453" s="2"/>
      <c r="AB453" s="2"/>
      <c r="AC453" s="2"/>
    </row>
    <row r="454" spans="1:29" ht="17.399999999999999" x14ac:dyDescent="0.25">
      <c r="A454" s="1"/>
      <c r="B454" s="2"/>
      <c r="C454" s="2"/>
      <c r="D454" s="2"/>
      <c r="E454" s="2"/>
      <c r="F454" s="2"/>
      <c r="G454" s="2"/>
      <c r="H454" s="2"/>
      <c r="I454" s="2"/>
      <c r="J454" s="2"/>
      <c r="K454" s="2"/>
      <c r="L454" s="2"/>
      <c r="M454" s="2"/>
      <c r="N454" s="2"/>
      <c r="O454" s="1"/>
      <c r="P454" s="2"/>
      <c r="Q454" s="2"/>
      <c r="R454" s="2"/>
      <c r="S454" s="2"/>
      <c r="T454" s="2"/>
      <c r="U454" s="2"/>
      <c r="V454" s="2"/>
      <c r="W454" s="2"/>
      <c r="X454" s="2"/>
      <c r="Y454" s="2"/>
      <c r="Z454" s="2"/>
      <c r="AA454" s="2"/>
      <c r="AB454" s="2"/>
      <c r="AC454" s="2"/>
    </row>
    <row r="455" spans="1:29" ht="17.399999999999999" x14ac:dyDescent="0.25">
      <c r="A455" s="1"/>
      <c r="B455" s="2"/>
      <c r="C455" s="2"/>
      <c r="D455" s="2"/>
      <c r="E455" s="2"/>
      <c r="F455" s="2"/>
      <c r="G455" s="2"/>
      <c r="H455" s="2"/>
      <c r="I455" s="2"/>
      <c r="J455" s="2"/>
      <c r="K455" s="2"/>
      <c r="L455" s="2"/>
      <c r="M455" s="2"/>
      <c r="N455" s="2"/>
      <c r="O455" s="1"/>
      <c r="P455" s="2"/>
      <c r="Q455" s="2"/>
      <c r="R455" s="2"/>
      <c r="S455" s="2"/>
      <c r="T455" s="2"/>
      <c r="U455" s="2"/>
      <c r="V455" s="2"/>
      <c r="W455" s="2"/>
      <c r="X455" s="2"/>
      <c r="Y455" s="2"/>
      <c r="Z455" s="2"/>
      <c r="AA455" s="2"/>
      <c r="AB455" s="2"/>
      <c r="AC455" s="2"/>
    </row>
    <row r="456" spans="1:29" ht="17.399999999999999" x14ac:dyDescent="0.25">
      <c r="A456" s="1"/>
      <c r="B456" s="2"/>
      <c r="C456" s="2"/>
      <c r="D456" s="2"/>
      <c r="E456" s="2"/>
      <c r="F456" s="2"/>
      <c r="G456" s="2"/>
      <c r="H456" s="2"/>
      <c r="I456" s="2"/>
      <c r="J456" s="2"/>
      <c r="K456" s="2"/>
      <c r="L456" s="2"/>
      <c r="M456" s="2"/>
      <c r="N456" s="2"/>
      <c r="O456" s="1"/>
      <c r="P456" s="2"/>
      <c r="Q456" s="2"/>
      <c r="R456" s="2"/>
      <c r="S456" s="2"/>
      <c r="T456" s="2"/>
      <c r="U456" s="2"/>
      <c r="V456" s="2"/>
      <c r="W456" s="2"/>
      <c r="X456" s="2"/>
      <c r="Y456" s="2"/>
      <c r="Z456" s="2"/>
      <c r="AA456" s="2"/>
      <c r="AB456" s="2"/>
      <c r="AC456" s="2"/>
    </row>
    <row r="457" spans="1:29" ht="17.399999999999999" x14ac:dyDescent="0.25">
      <c r="A457" s="1"/>
      <c r="B457" s="2"/>
      <c r="C457" s="2"/>
      <c r="D457" s="2"/>
      <c r="E457" s="2"/>
      <c r="F457" s="2"/>
      <c r="G457" s="2"/>
      <c r="H457" s="2"/>
      <c r="I457" s="2"/>
      <c r="J457" s="2"/>
      <c r="K457" s="2"/>
      <c r="L457" s="2"/>
      <c r="M457" s="2"/>
      <c r="N457" s="2"/>
      <c r="O457" s="1"/>
      <c r="P457" s="2"/>
      <c r="Q457" s="2"/>
      <c r="R457" s="2"/>
      <c r="S457" s="2"/>
      <c r="T457" s="2"/>
      <c r="U457" s="2"/>
      <c r="V457" s="2"/>
      <c r="W457" s="2"/>
      <c r="X457" s="2"/>
      <c r="Y457" s="2"/>
      <c r="Z457" s="2"/>
      <c r="AA457" s="2"/>
      <c r="AB457" s="2"/>
      <c r="AC457" s="2"/>
    </row>
    <row r="458" spans="1:29" ht="17.399999999999999" x14ac:dyDescent="0.25">
      <c r="A458" s="1"/>
      <c r="B458" s="2"/>
      <c r="C458" s="2"/>
      <c r="D458" s="2"/>
      <c r="E458" s="2"/>
      <c r="F458" s="2"/>
      <c r="G458" s="2"/>
      <c r="H458" s="2"/>
      <c r="I458" s="2"/>
      <c r="J458" s="2"/>
      <c r="K458" s="2"/>
      <c r="L458" s="2"/>
      <c r="M458" s="2"/>
      <c r="N458" s="2"/>
      <c r="O458" s="1"/>
      <c r="P458" s="2"/>
      <c r="Q458" s="2"/>
      <c r="R458" s="2"/>
      <c r="S458" s="2"/>
      <c r="T458" s="2"/>
      <c r="U458" s="2"/>
      <c r="V458" s="2"/>
      <c r="W458" s="2"/>
      <c r="X458" s="2"/>
      <c r="Y458" s="2"/>
      <c r="Z458" s="2"/>
      <c r="AA458" s="2"/>
      <c r="AB458" s="2"/>
      <c r="AC458" s="2"/>
    </row>
    <row r="459" spans="1:29" ht="17.399999999999999" x14ac:dyDescent="0.25">
      <c r="A459" s="1"/>
      <c r="B459" s="2"/>
      <c r="C459" s="2"/>
      <c r="D459" s="2"/>
      <c r="E459" s="2"/>
      <c r="F459" s="2"/>
      <c r="G459" s="2"/>
      <c r="H459" s="2"/>
      <c r="I459" s="2"/>
      <c r="J459" s="2"/>
      <c r="K459" s="2"/>
      <c r="L459" s="2"/>
      <c r="M459" s="2"/>
      <c r="N459" s="2"/>
      <c r="O459" s="1"/>
      <c r="P459" s="2"/>
      <c r="Q459" s="2"/>
      <c r="R459" s="2"/>
      <c r="S459" s="2"/>
      <c r="T459" s="2"/>
      <c r="U459" s="2"/>
      <c r="V459" s="2"/>
      <c r="W459" s="2"/>
      <c r="X459" s="2"/>
      <c r="Y459" s="2"/>
      <c r="Z459" s="2"/>
      <c r="AA459" s="2"/>
      <c r="AB459" s="2"/>
      <c r="AC459" s="2"/>
    </row>
    <row r="460" spans="1:29" ht="17.399999999999999" x14ac:dyDescent="0.25">
      <c r="A460" s="1"/>
      <c r="B460" s="2"/>
      <c r="C460" s="2"/>
      <c r="D460" s="2"/>
      <c r="E460" s="2"/>
      <c r="F460" s="2"/>
      <c r="G460" s="2"/>
      <c r="H460" s="2"/>
      <c r="I460" s="2"/>
      <c r="J460" s="2"/>
      <c r="K460" s="2"/>
      <c r="L460" s="2"/>
      <c r="M460" s="2"/>
      <c r="N460" s="2"/>
      <c r="O460" s="1"/>
      <c r="P460" s="2"/>
      <c r="Q460" s="2"/>
      <c r="R460" s="2"/>
      <c r="S460" s="2"/>
      <c r="T460" s="2"/>
      <c r="U460" s="2"/>
      <c r="V460" s="2"/>
      <c r="W460" s="2"/>
      <c r="X460" s="2"/>
      <c r="Y460" s="2"/>
      <c r="Z460" s="2"/>
      <c r="AA460" s="2"/>
      <c r="AB460" s="2"/>
      <c r="AC460" s="2"/>
    </row>
    <row r="461" spans="1:29" ht="17.399999999999999" x14ac:dyDescent="0.25">
      <c r="A461" s="1"/>
      <c r="B461" s="2"/>
      <c r="C461" s="2"/>
      <c r="D461" s="2"/>
      <c r="E461" s="2"/>
      <c r="F461" s="2"/>
      <c r="G461" s="2"/>
      <c r="H461" s="2"/>
      <c r="I461" s="2"/>
      <c r="J461" s="2"/>
      <c r="K461" s="2"/>
      <c r="L461" s="2"/>
      <c r="M461" s="2"/>
      <c r="N461" s="2"/>
      <c r="O461" s="1"/>
      <c r="P461" s="2"/>
      <c r="Q461" s="2"/>
      <c r="R461" s="2"/>
      <c r="S461" s="2"/>
      <c r="T461" s="2"/>
      <c r="U461" s="2"/>
      <c r="V461" s="2"/>
      <c r="W461" s="2"/>
      <c r="X461" s="2"/>
      <c r="Y461" s="2"/>
      <c r="Z461" s="2"/>
      <c r="AA461" s="2"/>
      <c r="AB461" s="2"/>
      <c r="AC461" s="2"/>
    </row>
    <row r="462" spans="1:29" ht="17.399999999999999" x14ac:dyDescent="0.25">
      <c r="A462" s="1"/>
      <c r="B462" s="2"/>
      <c r="C462" s="2"/>
      <c r="D462" s="2"/>
      <c r="E462" s="2"/>
      <c r="F462" s="2"/>
      <c r="G462" s="2"/>
      <c r="H462" s="2"/>
      <c r="I462" s="2"/>
      <c r="J462" s="2"/>
      <c r="K462" s="2"/>
      <c r="L462" s="2"/>
      <c r="M462" s="2"/>
      <c r="N462" s="2"/>
      <c r="O462" s="1"/>
      <c r="P462" s="2"/>
      <c r="Q462" s="2"/>
      <c r="R462" s="2"/>
      <c r="S462" s="2"/>
      <c r="T462" s="2"/>
      <c r="U462" s="2"/>
      <c r="V462" s="2"/>
      <c r="W462" s="2"/>
      <c r="X462" s="2"/>
      <c r="Y462" s="2"/>
      <c r="Z462" s="2"/>
      <c r="AA462" s="2"/>
      <c r="AB462" s="2"/>
      <c r="AC462" s="2"/>
    </row>
    <row r="463" spans="1:29" ht="17.399999999999999" x14ac:dyDescent="0.25">
      <c r="A463" s="1"/>
      <c r="B463" s="2"/>
      <c r="C463" s="2"/>
      <c r="D463" s="2"/>
      <c r="E463" s="2"/>
      <c r="F463" s="2"/>
      <c r="G463" s="2"/>
      <c r="H463" s="2"/>
      <c r="I463" s="2"/>
      <c r="J463" s="2"/>
      <c r="K463" s="2"/>
      <c r="L463" s="2"/>
      <c r="M463" s="2"/>
      <c r="N463" s="2"/>
      <c r="O463" s="1"/>
      <c r="P463" s="2"/>
      <c r="Q463" s="2"/>
      <c r="R463" s="2"/>
      <c r="S463" s="2"/>
      <c r="T463" s="2"/>
      <c r="U463" s="2"/>
      <c r="V463" s="2"/>
      <c r="W463" s="2"/>
      <c r="X463" s="2"/>
      <c r="Y463" s="2"/>
      <c r="Z463" s="2"/>
      <c r="AA463" s="2"/>
      <c r="AB463" s="2"/>
      <c r="AC463" s="2"/>
    </row>
    <row r="464" spans="1:29" ht="17.399999999999999" x14ac:dyDescent="0.25">
      <c r="A464" s="1"/>
      <c r="B464" s="2"/>
      <c r="C464" s="2"/>
      <c r="D464" s="2"/>
      <c r="E464" s="2"/>
      <c r="F464" s="2"/>
      <c r="G464" s="2"/>
      <c r="H464" s="2"/>
      <c r="I464" s="2"/>
      <c r="J464" s="2"/>
      <c r="K464" s="2"/>
      <c r="L464" s="2"/>
      <c r="M464" s="2"/>
      <c r="N464" s="2"/>
      <c r="O464" s="1"/>
      <c r="P464" s="2"/>
      <c r="Q464" s="2"/>
      <c r="R464" s="2"/>
      <c r="S464" s="2"/>
      <c r="T464" s="2"/>
      <c r="U464" s="2"/>
      <c r="V464" s="2"/>
      <c r="W464" s="2"/>
      <c r="X464" s="2"/>
      <c r="Y464" s="2"/>
      <c r="Z464" s="2"/>
      <c r="AA464" s="2"/>
      <c r="AB464" s="2"/>
      <c r="AC464" s="2"/>
    </row>
    <row r="465" spans="1:29" ht="17.399999999999999" x14ac:dyDescent="0.25">
      <c r="A465" s="1"/>
      <c r="B465" s="2"/>
      <c r="C465" s="2"/>
      <c r="D465" s="2"/>
      <c r="E465" s="2"/>
      <c r="F465" s="2"/>
      <c r="G465" s="2"/>
      <c r="H465" s="2"/>
      <c r="I465" s="2"/>
      <c r="J465" s="2"/>
      <c r="K465" s="2"/>
      <c r="L465" s="2"/>
      <c r="M465" s="2"/>
      <c r="N465" s="2"/>
      <c r="O465" s="1"/>
      <c r="P465" s="2"/>
      <c r="Q465" s="2"/>
      <c r="R465" s="2"/>
      <c r="S465" s="2"/>
      <c r="T465" s="2"/>
      <c r="U465" s="2"/>
      <c r="V465" s="2"/>
      <c r="W465" s="2"/>
      <c r="X465" s="2"/>
      <c r="Y465" s="2"/>
      <c r="Z465" s="2"/>
      <c r="AA465" s="2"/>
      <c r="AB465" s="2"/>
      <c r="AC465" s="2"/>
    </row>
    <row r="466" spans="1:29" ht="17.399999999999999" x14ac:dyDescent="0.25">
      <c r="A466" s="1"/>
      <c r="B466" s="2"/>
      <c r="C466" s="2"/>
      <c r="D466" s="2"/>
      <c r="E466" s="2"/>
      <c r="F466" s="2"/>
      <c r="G466" s="2"/>
      <c r="H466" s="2"/>
      <c r="I466" s="2"/>
      <c r="J466" s="2"/>
      <c r="K466" s="2"/>
      <c r="L466" s="2"/>
      <c r="M466" s="2"/>
      <c r="N466" s="2"/>
      <c r="O466" s="1"/>
      <c r="P466" s="2"/>
      <c r="Q466" s="2"/>
      <c r="R466" s="2"/>
      <c r="S466" s="2"/>
      <c r="T466" s="2"/>
      <c r="U466" s="2"/>
      <c r="V466" s="2"/>
      <c r="W466" s="2"/>
      <c r="X466" s="2"/>
      <c r="Y466" s="2"/>
      <c r="Z466" s="2"/>
      <c r="AA466" s="2"/>
      <c r="AB466" s="2"/>
      <c r="AC466" s="2"/>
    </row>
    <row r="467" spans="1:29" ht="17.399999999999999" x14ac:dyDescent="0.25">
      <c r="A467" s="1"/>
      <c r="B467" s="2"/>
      <c r="C467" s="2"/>
      <c r="D467" s="2"/>
      <c r="E467" s="2"/>
      <c r="F467" s="2"/>
      <c r="G467" s="2"/>
      <c r="H467" s="2"/>
      <c r="I467" s="2"/>
      <c r="J467" s="2"/>
      <c r="K467" s="2"/>
      <c r="L467" s="2"/>
      <c r="M467" s="2"/>
      <c r="N467" s="2"/>
      <c r="O467" s="1"/>
      <c r="P467" s="2"/>
      <c r="Q467" s="2"/>
      <c r="R467" s="2"/>
      <c r="S467" s="2"/>
      <c r="T467" s="2"/>
      <c r="U467" s="2"/>
      <c r="V467" s="2"/>
      <c r="W467" s="2"/>
      <c r="X467" s="2"/>
      <c r="Y467" s="2"/>
      <c r="Z467" s="2"/>
      <c r="AA467" s="2"/>
      <c r="AB467" s="2"/>
      <c r="AC467" s="2"/>
    </row>
    <row r="468" spans="1:29" ht="17.399999999999999" x14ac:dyDescent="0.25">
      <c r="A468" s="1"/>
      <c r="B468" s="2"/>
      <c r="C468" s="2"/>
      <c r="D468" s="2"/>
      <c r="E468" s="2"/>
      <c r="F468" s="2"/>
      <c r="G468" s="2"/>
      <c r="H468" s="2"/>
      <c r="I468" s="2"/>
      <c r="J468" s="2"/>
      <c r="K468" s="2"/>
      <c r="L468" s="2"/>
      <c r="M468" s="2"/>
      <c r="N468" s="2"/>
      <c r="O468" s="1"/>
      <c r="P468" s="2"/>
      <c r="Q468" s="2"/>
      <c r="R468" s="2"/>
      <c r="S468" s="2"/>
      <c r="T468" s="2"/>
      <c r="U468" s="2"/>
      <c r="V468" s="2"/>
      <c r="W468" s="2"/>
      <c r="X468" s="2"/>
      <c r="Y468" s="2"/>
      <c r="Z468" s="2"/>
      <c r="AA468" s="2"/>
      <c r="AB468" s="2"/>
      <c r="AC468" s="2"/>
    </row>
    <row r="469" spans="1:29" ht="17.399999999999999" x14ac:dyDescent="0.25">
      <c r="A469" s="1"/>
      <c r="B469" s="2"/>
      <c r="C469" s="2"/>
      <c r="D469" s="2"/>
      <c r="E469" s="2"/>
      <c r="F469" s="2"/>
      <c r="G469" s="2"/>
      <c r="H469" s="2"/>
      <c r="I469" s="2"/>
      <c r="J469" s="2"/>
      <c r="K469" s="2"/>
      <c r="L469" s="2"/>
      <c r="M469" s="2"/>
      <c r="N469" s="2"/>
      <c r="O469" s="1"/>
      <c r="P469" s="2"/>
      <c r="Q469" s="2"/>
      <c r="R469" s="2"/>
      <c r="S469" s="2"/>
      <c r="T469" s="2"/>
      <c r="U469" s="2"/>
      <c r="V469" s="2"/>
      <c r="W469" s="2"/>
      <c r="X469" s="2"/>
      <c r="Y469" s="2"/>
      <c r="Z469" s="2"/>
      <c r="AA469" s="2"/>
      <c r="AB469" s="2"/>
      <c r="AC469" s="2"/>
    </row>
    <row r="470" spans="1:29" ht="17.399999999999999" x14ac:dyDescent="0.25">
      <c r="A470" s="1"/>
      <c r="B470" s="2"/>
      <c r="C470" s="2"/>
      <c r="D470" s="2"/>
      <c r="E470" s="2"/>
      <c r="F470" s="2"/>
      <c r="G470" s="2"/>
      <c r="H470" s="2"/>
      <c r="I470" s="2"/>
      <c r="J470" s="2"/>
      <c r="K470" s="2"/>
      <c r="L470" s="2"/>
      <c r="M470" s="2"/>
      <c r="N470" s="2"/>
      <c r="O470" s="1"/>
      <c r="P470" s="2"/>
      <c r="Q470" s="2"/>
      <c r="R470" s="2"/>
      <c r="S470" s="2"/>
      <c r="T470" s="2"/>
      <c r="U470" s="2"/>
      <c r="V470" s="2"/>
      <c r="W470" s="2"/>
      <c r="X470" s="2"/>
      <c r="Y470" s="2"/>
      <c r="Z470" s="2"/>
      <c r="AA470" s="2"/>
      <c r="AB470" s="2"/>
      <c r="AC470" s="2"/>
    </row>
    <row r="471" spans="1:29" ht="17.399999999999999" x14ac:dyDescent="0.25">
      <c r="A471" s="1"/>
      <c r="B471" s="2"/>
      <c r="C471" s="2"/>
      <c r="D471" s="2"/>
      <c r="E471" s="2"/>
      <c r="F471" s="2"/>
      <c r="G471" s="2"/>
      <c r="H471" s="2"/>
      <c r="I471" s="2"/>
      <c r="J471" s="2"/>
      <c r="K471" s="2"/>
      <c r="L471" s="2"/>
      <c r="M471" s="2"/>
      <c r="N471" s="2"/>
      <c r="O471" s="1"/>
      <c r="P471" s="2"/>
      <c r="Q471" s="2"/>
      <c r="R471" s="2"/>
      <c r="S471" s="2"/>
      <c r="T471" s="2"/>
      <c r="U471" s="2"/>
      <c r="V471" s="2"/>
      <c r="W471" s="2"/>
      <c r="X471" s="2"/>
      <c r="Y471" s="2"/>
      <c r="Z471" s="2"/>
      <c r="AA471" s="2"/>
      <c r="AB471" s="2"/>
      <c r="AC471" s="2"/>
    </row>
    <row r="472" spans="1:29" ht="17.399999999999999" x14ac:dyDescent="0.25">
      <c r="A472" s="1"/>
      <c r="B472" s="2"/>
      <c r="C472" s="2"/>
      <c r="D472" s="2"/>
      <c r="E472" s="2"/>
      <c r="F472" s="2"/>
      <c r="G472" s="2"/>
      <c r="H472" s="2"/>
      <c r="I472" s="2"/>
      <c r="J472" s="2"/>
      <c r="K472" s="2"/>
      <c r="L472" s="2"/>
      <c r="M472" s="2"/>
      <c r="N472" s="2"/>
      <c r="O472" s="1"/>
      <c r="P472" s="2"/>
      <c r="Q472" s="2"/>
      <c r="R472" s="2"/>
      <c r="S472" s="2"/>
      <c r="T472" s="2"/>
      <c r="U472" s="2"/>
      <c r="V472" s="2"/>
      <c r="W472" s="2"/>
      <c r="X472" s="2"/>
      <c r="Y472" s="2"/>
      <c r="Z472" s="2"/>
      <c r="AA472" s="2"/>
      <c r="AB472" s="2"/>
      <c r="AC472" s="2"/>
    </row>
    <row r="473" spans="1:29" ht="17.399999999999999" x14ac:dyDescent="0.25">
      <c r="A473" s="1"/>
      <c r="B473" s="2"/>
      <c r="C473" s="2"/>
      <c r="D473" s="2"/>
      <c r="E473" s="2"/>
      <c r="F473" s="2"/>
      <c r="G473" s="2"/>
      <c r="H473" s="2"/>
      <c r="I473" s="2"/>
      <c r="J473" s="2"/>
      <c r="K473" s="2"/>
      <c r="L473" s="2"/>
      <c r="M473" s="2"/>
      <c r="N473" s="2"/>
      <c r="O473" s="1"/>
      <c r="P473" s="2"/>
      <c r="Q473" s="2"/>
      <c r="R473" s="2"/>
      <c r="S473" s="2"/>
      <c r="T473" s="2"/>
      <c r="U473" s="2"/>
      <c r="V473" s="2"/>
      <c r="W473" s="2"/>
      <c r="X473" s="2"/>
      <c r="Y473" s="2"/>
      <c r="Z473" s="2"/>
      <c r="AA473" s="2"/>
      <c r="AB473" s="2"/>
      <c r="AC473" s="2"/>
    </row>
    <row r="474" spans="1:29" ht="17.399999999999999" x14ac:dyDescent="0.25">
      <c r="A474" s="1"/>
      <c r="B474" s="2"/>
      <c r="C474" s="2"/>
      <c r="D474" s="2"/>
      <c r="E474" s="2"/>
      <c r="F474" s="2"/>
      <c r="G474" s="2"/>
      <c r="H474" s="2"/>
      <c r="I474" s="2"/>
      <c r="J474" s="2"/>
      <c r="K474" s="2"/>
      <c r="L474" s="2"/>
      <c r="M474" s="2"/>
      <c r="N474" s="2"/>
      <c r="O474" s="1"/>
      <c r="P474" s="2"/>
      <c r="Q474" s="2"/>
      <c r="R474" s="2"/>
      <c r="S474" s="2"/>
      <c r="T474" s="2"/>
      <c r="U474" s="2"/>
      <c r="V474" s="2"/>
      <c r="W474" s="2"/>
      <c r="X474" s="2"/>
      <c r="Y474" s="2"/>
      <c r="Z474" s="2"/>
      <c r="AA474" s="2"/>
      <c r="AB474" s="2"/>
      <c r="AC474" s="2"/>
    </row>
    <row r="475" spans="1:29" ht="17.399999999999999" x14ac:dyDescent="0.25">
      <c r="A475" s="1"/>
      <c r="B475" s="2"/>
      <c r="C475" s="2"/>
      <c r="D475" s="2"/>
      <c r="E475" s="2"/>
      <c r="F475" s="2"/>
      <c r="G475" s="2"/>
      <c r="H475" s="2"/>
      <c r="I475" s="2"/>
      <c r="J475" s="2"/>
      <c r="K475" s="2"/>
      <c r="L475" s="2"/>
      <c r="M475" s="2"/>
      <c r="N475" s="2"/>
      <c r="O475" s="1"/>
      <c r="P475" s="2"/>
      <c r="Q475" s="2"/>
      <c r="R475" s="2"/>
      <c r="S475" s="2"/>
      <c r="T475" s="2"/>
      <c r="U475" s="2"/>
      <c r="V475" s="2"/>
      <c r="W475" s="2"/>
      <c r="X475" s="2"/>
      <c r="Y475" s="2"/>
      <c r="Z475" s="2"/>
      <c r="AA475" s="2"/>
      <c r="AB475" s="2"/>
      <c r="AC475" s="2"/>
    </row>
    <row r="476" spans="1:29" ht="17.399999999999999" x14ac:dyDescent="0.25">
      <c r="A476" s="1"/>
      <c r="B476" s="2"/>
      <c r="C476" s="2"/>
      <c r="D476" s="2"/>
      <c r="E476" s="2"/>
      <c r="F476" s="2"/>
      <c r="G476" s="2"/>
      <c r="H476" s="2"/>
      <c r="I476" s="2"/>
      <c r="J476" s="2"/>
      <c r="K476" s="2"/>
      <c r="L476" s="2"/>
      <c r="M476" s="2"/>
      <c r="N476" s="2"/>
      <c r="O476" s="1"/>
      <c r="P476" s="2"/>
      <c r="Q476" s="2"/>
      <c r="R476" s="2"/>
      <c r="S476" s="2"/>
      <c r="T476" s="2"/>
      <c r="U476" s="2"/>
      <c r="V476" s="2"/>
      <c r="W476" s="2"/>
      <c r="X476" s="2"/>
      <c r="Y476" s="2"/>
      <c r="Z476" s="2"/>
      <c r="AA476" s="2"/>
      <c r="AB476" s="2"/>
      <c r="AC476" s="2"/>
    </row>
    <row r="477" spans="1:29" ht="17.399999999999999" x14ac:dyDescent="0.25">
      <c r="A477" s="1"/>
      <c r="B477" s="2"/>
      <c r="C477" s="2"/>
      <c r="D477" s="2"/>
      <c r="E477" s="2"/>
      <c r="F477" s="2"/>
      <c r="G477" s="2"/>
      <c r="H477" s="2"/>
      <c r="I477" s="2"/>
      <c r="J477" s="2"/>
      <c r="K477" s="2"/>
      <c r="L477" s="2"/>
      <c r="M477" s="2"/>
      <c r="N477" s="2"/>
      <c r="O477" s="1"/>
      <c r="P477" s="2"/>
      <c r="Q477" s="2"/>
      <c r="R477" s="2"/>
      <c r="S477" s="2"/>
      <c r="T477" s="2"/>
      <c r="U477" s="2"/>
      <c r="V477" s="2"/>
      <c r="W477" s="2"/>
      <c r="X477" s="2"/>
      <c r="Y477" s="2"/>
      <c r="Z477" s="2"/>
      <c r="AA477" s="2"/>
      <c r="AB477" s="2"/>
      <c r="AC477" s="2"/>
    </row>
    <row r="478" spans="1:29" ht="17.399999999999999" x14ac:dyDescent="0.25">
      <c r="A478" s="1"/>
      <c r="B478" s="2"/>
      <c r="C478" s="2"/>
      <c r="D478" s="2"/>
      <c r="E478" s="2"/>
      <c r="F478" s="2"/>
      <c r="G478" s="2"/>
      <c r="H478" s="2"/>
      <c r="I478" s="2"/>
      <c r="J478" s="2"/>
      <c r="K478" s="2"/>
      <c r="L478" s="2"/>
      <c r="M478" s="2"/>
      <c r="N478" s="2"/>
      <c r="O478" s="1"/>
      <c r="P478" s="2"/>
      <c r="Q478" s="2"/>
      <c r="R478" s="2"/>
      <c r="S478" s="2"/>
      <c r="T478" s="2"/>
      <c r="U478" s="2"/>
      <c r="V478" s="2"/>
      <c r="W478" s="2"/>
      <c r="X478" s="2"/>
      <c r="Y478" s="2"/>
      <c r="Z478" s="2"/>
      <c r="AA478" s="2"/>
      <c r="AB478" s="2"/>
      <c r="AC478" s="2"/>
    </row>
    <row r="479" spans="1:29" ht="17.399999999999999" x14ac:dyDescent="0.25">
      <c r="A479" s="1"/>
      <c r="B479" s="2"/>
      <c r="C479" s="2"/>
      <c r="D479" s="2"/>
      <c r="E479" s="2"/>
      <c r="F479" s="2"/>
      <c r="G479" s="2"/>
      <c r="H479" s="2"/>
      <c r="I479" s="2"/>
      <c r="J479" s="2"/>
      <c r="K479" s="2"/>
      <c r="L479" s="2"/>
      <c r="M479" s="2"/>
      <c r="N479" s="2"/>
      <c r="O479" s="1"/>
      <c r="P479" s="2"/>
      <c r="Q479" s="2"/>
      <c r="R479" s="2"/>
      <c r="S479" s="2"/>
      <c r="T479" s="2"/>
      <c r="U479" s="2"/>
      <c r="V479" s="2"/>
      <c r="W479" s="2"/>
      <c r="X479" s="2"/>
      <c r="Y479" s="2"/>
      <c r="Z479" s="2"/>
      <c r="AA479" s="2"/>
      <c r="AB479" s="2"/>
      <c r="AC479" s="2"/>
    </row>
    <row r="480" spans="1:29" ht="17.399999999999999" x14ac:dyDescent="0.25">
      <c r="A480" s="1"/>
      <c r="B480" s="2"/>
      <c r="C480" s="2"/>
      <c r="D480" s="2"/>
      <c r="E480" s="2"/>
      <c r="F480" s="2"/>
      <c r="G480" s="2"/>
      <c r="H480" s="2"/>
      <c r="I480" s="2"/>
      <c r="J480" s="2"/>
      <c r="K480" s="2"/>
      <c r="L480" s="2"/>
      <c r="M480" s="2"/>
      <c r="N480" s="2"/>
      <c r="O480" s="1"/>
      <c r="P480" s="2"/>
      <c r="Q480" s="2"/>
      <c r="R480" s="2"/>
      <c r="S480" s="2"/>
      <c r="T480" s="2"/>
      <c r="U480" s="2"/>
      <c r="V480" s="2"/>
      <c r="W480" s="2"/>
      <c r="X480" s="2"/>
      <c r="Y480" s="2"/>
      <c r="Z480" s="2"/>
      <c r="AA480" s="2"/>
      <c r="AB480" s="2"/>
      <c r="AC480" s="2"/>
    </row>
    <row r="481" spans="1:29" ht="17.399999999999999" x14ac:dyDescent="0.25">
      <c r="A481" s="1"/>
      <c r="B481" s="2"/>
      <c r="C481" s="2"/>
      <c r="D481" s="2"/>
      <c r="E481" s="2"/>
      <c r="F481" s="2"/>
      <c r="G481" s="2"/>
      <c r="H481" s="2"/>
      <c r="I481" s="2"/>
      <c r="J481" s="2"/>
      <c r="K481" s="2"/>
      <c r="L481" s="2"/>
      <c r="M481" s="2"/>
      <c r="N481" s="2"/>
      <c r="O481" s="1"/>
      <c r="P481" s="2"/>
      <c r="Q481" s="2"/>
      <c r="R481" s="2"/>
      <c r="S481" s="2"/>
      <c r="T481" s="2"/>
      <c r="U481" s="2"/>
      <c r="V481" s="2"/>
      <c r="W481" s="2"/>
      <c r="X481" s="2"/>
      <c r="Y481" s="2"/>
      <c r="Z481" s="2"/>
      <c r="AA481" s="2"/>
      <c r="AB481" s="2"/>
      <c r="AC481" s="2"/>
    </row>
    <row r="482" spans="1:29" ht="17.399999999999999" x14ac:dyDescent="0.25">
      <c r="A482" s="1"/>
      <c r="B482" s="2"/>
      <c r="C482" s="2"/>
      <c r="D482" s="2"/>
      <c r="E482" s="2"/>
      <c r="F482" s="2"/>
      <c r="G482" s="2"/>
      <c r="H482" s="2"/>
      <c r="I482" s="2"/>
      <c r="J482" s="2"/>
      <c r="K482" s="2"/>
      <c r="L482" s="2"/>
      <c r="M482" s="2"/>
      <c r="N482" s="2"/>
      <c r="O482" s="1"/>
      <c r="P482" s="2"/>
      <c r="Q482" s="2"/>
      <c r="R482" s="2"/>
      <c r="S482" s="2"/>
      <c r="T482" s="2"/>
      <c r="U482" s="2"/>
      <c r="V482" s="2"/>
      <c r="W482" s="2"/>
      <c r="X482" s="2"/>
      <c r="Y482" s="2"/>
      <c r="Z482" s="2"/>
      <c r="AA482" s="2"/>
      <c r="AB482" s="2"/>
      <c r="AC482" s="2"/>
    </row>
    <row r="483" spans="1:29" ht="17.399999999999999" x14ac:dyDescent="0.25">
      <c r="A483" s="1"/>
      <c r="B483" s="2"/>
      <c r="C483" s="2"/>
      <c r="D483" s="2"/>
      <c r="E483" s="2"/>
      <c r="F483" s="2"/>
      <c r="G483" s="2"/>
      <c r="H483" s="2"/>
      <c r="I483" s="2"/>
      <c r="J483" s="2"/>
      <c r="K483" s="2"/>
      <c r="L483" s="2"/>
      <c r="M483" s="2"/>
      <c r="N483" s="2"/>
      <c r="O483" s="1"/>
      <c r="P483" s="2"/>
      <c r="Q483" s="2"/>
      <c r="R483" s="2"/>
      <c r="S483" s="2"/>
      <c r="T483" s="2"/>
      <c r="U483" s="2"/>
      <c r="V483" s="2"/>
      <c r="W483" s="2"/>
      <c r="X483" s="2"/>
      <c r="Y483" s="2"/>
      <c r="Z483" s="2"/>
      <c r="AA483" s="2"/>
      <c r="AB483" s="2"/>
      <c r="AC483" s="2"/>
    </row>
    <row r="484" spans="1:29" ht="17.399999999999999" x14ac:dyDescent="0.25">
      <c r="A484" s="1"/>
      <c r="B484" s="2"/>
      <c r="C484" s="2"/>
      <c r="D484" s="2"/>
      <c r="E484" s="2"/>
      <c r="F484" s="2"/>
      <c r="G484" s="2"/>
      <c r="H484" s="2"/>
      <c r="I484" s="2"/>
      <c r="J484" s="2"/>
      <c r="K484" s="2"/>
      <c r="L484" s="2"/>
      <c r="M484" s="2"/>
      <c r="N484" s="2"/>
      <c r="O484" s="1"/>
      <c r="P484" s="2"/>
      <c r="Q484" s="2"/>
      <c r="R484" s="2"/>
      <c r="S484" s="2"/>
      <c r="T484" s="2"/>
      <c r="U484" s="2"/>
      <c r="V484" s="2"/>
      <c r="W484" s="2"/>
      <c r="X484" s="2"/>
      <c r="Y484" s="2"/>
      <c r="Z484" s="2"/>
      <c r="AA484" s="2"/>
      <c r="AB484" s="2"/>
      <c r="AC484" s="2"/>
    </row>
    <row r="485" spans="1:29" ht="17.399999999999999" x14ac:dyDescent="0.25">
      <c r="A485" s="1"/>
      <c r="B485" s="2"/>
      <c r="C485" s="2"/>
      <c r="D485" s="2"/>
      <c r="E485" s="2"/>
      <c r="F485" s="2"/>
      <c r="G485" s="2"/>
      <c r="H485" s="2"/>
      <c r="I485" s="2"/>
      <c r="J485" s="2"/>
      <c r="K485" s="2"/>
      <c r="L485" s="2"/>
      <c r="M485" s="2"/>
      <c r="N485" s="2"/>
      <c r="O485" s="1"/>
      <c r="P485" s="2"/>
      <c r="Q485" s="2"/>
      <c r="R485" s="2"/>
      <c r="S485" s="2"/>
      <c r="T485" s="2"/>
      <c r="U485" s="2"/>
      <c r="V485" s="2"/>
      <c r="W485" s="2"/>
      <c r="X485" s="2"/>
      <c r="Y485" s="2"/>
      <c r="Z485" s="2"/>
      <c r="AA485" s="2"/>
      <c r="AB485" s="2"/>
      <c r="AC485" s="2"/>
    </row>
    <row r="486" spans="1:29" ht="17.399999999999999" x14ac:dyDescent="0.25">
      <c r="A486" s="1"/>
      <c r="B486" s="2"/>
      <c r="C486" s="2"/>
      <c r="D486" s="2"/>
      <c r="E486" s="2"/>
      <c r="F486" s="2"/>
      <c r="G486" s="2"/>
      <c r="H486" s="2"/>
      <c r="I486" s="2"/>
      <c r="J486" s="2"/>
      <c r="K486" s="2"/>
      <c r="L486" s="2"/>
      <c r="M486" s="2"/>
      <c r="N486" s="2"/>
      <c r="O486" s="1"/>
      <c r="P486" s="2"/>
      <c r="Q486" s="2"/>
      <c r="R486" s="2"/>
      <c r="S486" s="2"/>
      <c r="T486" s="2"/>
      <c r="U486" s="2"/>
      <c r="V486" s="2"/>
      <c r="W486" s="2"/>
      <c r="X486" s="2"/>
      <c r="Y486" s="2"/>
      <c r="Z486" s="2"/>
      <c r="AA486" s="2"/>
      <c r="AB486" s="2"/>
      <c r="AC486" s="2"/>
    </row>
    <row r="487" spans="1:29" ht="17.399999999999999" x14ac:dyDescent="0.25">
      <c r="A487" s="1"/>
      <c r="B487" s="2"/>
      <c r="C487" s="2"/>
      <c r="D487" s="2"/>
      <c r="E487" s="2"/>
      <c r="F487" s="2"/>
      <c r="G487" s="2"/>
      <c r="H487" s="2"/>
      <c r="I487" s="2"/>
      <c r="J487" s="2"/>
      <c r="K487" s="2"/>
      <c r="L487" s="2"/>
      <c r="M487" s="2"/>
      <c r="N487" s="2"/>
      <c r="O487" s="1"/>
      <c r="P487" s="2"/>
      <c r="Q487" s="2"/>
      <c r="R487" s="2"/>
      <c r="S487" s="2"/>
      <c r="T487" s="2"/>
      <c r="U487" s="2"/>
      <c r="V487" s="2"/>
      <c r="W487" s="2"/>
      <c r="X487" s="2"/>
      <c r="Y487" s="2"/>
      <c r="Z487" s="2"/>
      <c r="AA487" s="2"/>
      <c r="AB487" s="2"/>
      <c r="AC487" s="2"/>
    </row>
    <row r="488" spans="1:29" ht="17.399999999999999" x14ac:dyDescent="0.25">
      <c r="A488" s="1"/>
      <c r="B488" s="2"/>
      <c r="C488" s="2"/>
      <c r="D488" s="2"/>
      <c r="E488" s="2"/>
      <c r="F488" s="2"/>
      <c r="G488" s="2"/>
      <c r="H488" s="2"/>
      <c r="I488" s="2"/>
      <c r="J488" s="2"/>
      <c r="K488" s="2"/>
      <c r="L488" s="2"/>
      <c r="M488" s="2"/>
      <c r="N488" s="2"/>
      <c r="O488" s="1"/>
      <c r="P488" s="2"/>
      <c r="Q488" s="2"/>
      <c r="R488" s="2"/>
      <c r="S488" s="2"/>
      <c r="T488" s="2"/>
      <c r="U488" s="2"/>
      <c r="V488" s="2"/>
      <c r="W488" s="2"/>
      <c r="X488" s="2"/>
      <c r="Y488" s="2"/>
      <c r="Z488" s="2"/>
      <c r="AA488" s="2"/>
      <c r="AB488" s="2"/>
      <c r="AC488" s="2"/>
    </row>
    <row r="489" spans="1:29" ht="17.399999999999999" x14ac:dyDescent="0.25">
      <c r="A489" s="1"/>
      <c r="B489" s="2"/>
      <c r="C489" s="2"/>
      <c r="D489" s="2"/>
      <c r="E489" s="2"/>
      <c r="F489" s="2"/>
      <c r="G489" s="2"/>
      <c r="H489" s="2"/>
      <c r="I489" s="2"/>
      <c r="J489" s="2"/>
      <c r="K489" s="2"/>
      <c r="L489" s="2"/>
      <c r="M489" s="2"/>
      <c r="N489" s="2"/>
      <c r="O489" s="1"/>
      <c r="P489" s="2"/>
      <c r="Q489" s="2"/>
      <c r="R489" s="2"/>
      <c r="S489" s="2"/>
      <c r="T489" s="2"/>
      <c r="U489" s="2"/>
      <c r="V489" s="2"/>
      <c r="W489" s="2"/>
      <c r="X489" s="2"/>
      <c r="Y489" s="2"/>
      <c r="Z489" s="2"/>
      <c r="AA489" s="2"/>
      <c r="AB489" s="2"/>
      <c r="AC489" s="2"/>
    </row>
    <row r="490" spans="1:29" ht="17.399999999999999" x14ac:dyDescent="0.25">
      <c r="A490" s="1"/>
      <c r="B490" s="2"/>
      <c r="C490" s="2"/>
      <c r="D490" s="2"/>
      <c r="E490" s="2"/>
      <c r="F490" s="2"/>
      <c r="G490" s="2"/>
      <c r="H490" s="2"/>
      <c r="I490" s="2"/>
      <c r="J490" s="2"/>
      <c r="K490" s="2"/>
      <c r="L490" s="2"/>
      <c r="M490" s="2"/>
      <c r="N490" s="2"/>
      <c r="O490" s="1"/>
      <c r="P490" s="2"/>
      <c r="Q490" s="2"/>
      <c r="R490" s="2"/>
      <c r="S490" s="2"/>
      <c r="T490" s="2"/>
      <c r="U490" s="2"/>
      <c r="V490" s="2"/>
      <c r="W490" s="2"/>
      <c r="X490" s="2"/>
      <c r="Y490" s="2"/>
      <c r="Z490" s="2"/>
      <c r="AA490" s="2"/>
      <c r="AB490" s="2"/>
      <c r="AC490" s="2"/>
    </row>
    <row r="491" spans="1:29" ht="17.399999999999999" x14ac:dyDescent="0.25">
      <c r="A491" s="1"/>
      <c r="B491" s="2"/>
      <c r="C491" s="2"/>
      <c r="D491" s="2"/>
      <c r="E491" s="2"/>
      <c r="F491" s="2"/>
      <c r="G491" s="2"/>
      <c r="H491" s="2"/>
      <c r="I491" s="2"/>
      <c r="J491" s="2"/>
      <c r="K491" s="2"/>
      <c r="L491" s="2"/>
      <c r="M491" s="2"/>
      <c r="N491" s="2"/>
      <c r="O491" s="1"/>
      <c r="P491" s="2"/>
      <c r="Q491" s="2"/>
      <c r="R491" s="2"/>
      <c r="S491" s="2"/>
      <c r="T491" s="2"/>
      <c r="U491" s="2"/>
      <c r="V491" s="2"/>
      <c r="W491" s="2"/>
      <c r="X491" s="2"/>
      <c r="Y491" s="2"/>
      <c r="Z491" s="2"/>
      <c r="AA491" s="2"/>
      <c r="AB491" s="2"/>
      <c r="AC491" s="2"/>
    </row>
    <row r="492" spans="1:29" ht="17.399999999999999" x14ac:dyDescent="0.25">
      <c r="A492" s="1"/>
      <c r="B492" s="2"/>
      <c r="C492" s="2"/>
      <c r="D492" s="2"/>
      <c r="E492" s="2"/>
      <c r="F492" s="2"/>
      <c r="G492" s="2"/>
      <c r="H492" s="2"/>
      <c r="I492" s="2"/>
      <c r="J492" s="2"/>
      <c r="K492" s="2"/>
      <c r="L492" s="2"/>
      <c r="M492" s="2"/>
      <c r="N492" s="2"/>
      <c r="O492" s="1"/>
      <c r="P492" s="2"/>
      <c r="Q492" s="2"/>
      <c r="R492" s="2"/>
      <c r="S492" s="2"/>
      <c r="T492" s="2"/>
      <c r="U492" s="2"/>
      <c r="V492" s="2"/>
      <c r="W492" s="2"/>
      <c r="X492" s="2"/>
      <c r="Y492" s="2"/>
      <c r="Z492" s="2"/>
      <c r="AA492" s="2"/>
      <c r="AB492" s="2"/>
      <c r="AC492" s="2"/>
    </row>
    <row r="493" spans="1:29" ht="17.399999999999999" x14ac:dyDescent="0.25">
      <c r="A493" s="1"/>
      <c r="B493" s="2"/>
      <c r="C493" s="2"/>
      <c r="D493" s="2"/>
      <c r="E493" s="2"/>
      <c r="F493" s="2"/>
      <c r="G493" s="2"/>
      <c r="H493" s="2"/>
      <c r="I493" s="2"/>
      <c r="J493" s="2"/>
      <c r="K493" s="2"/>
      <c r="L493" s="2"/>
      <c r="M493" s="2"/>
      <c r="N493" s="2"/>
      <c r="O493" s="1"/>
      <c r="P493" s="2"/>
      <c r="Q493" s="2"/>
      <c r="R493" s="2"/>
      <c r="S493" s="2"/>
      <c r="T493" s="2"/>
      <c r="U493" s="2"/>
      <c r="V493" s="2"/>
      <c r="W493" s="2"/>
      <c r="X493" s="2"/>
      <c r="Y493" s="2"/>
      <c r="Z493" s="2"/>
      <c r="AA493" s="2"/>
      <c r="AB493" s="2"/>
      <c r="AC493" s="2"/>
    </row>
    <row r="494" spans="1:29" ht="17.399999999999999" x14ac:dyDescent="0.25">
      <c r="A494" s="1"/>
      <c r="B494" s="2"/>
      <c r="C494" s="2"/>
      <c r="D494" s="2"/>
      <c r="E494" s="2"/>
      <c r="F494" s="2"/>
      <c r="G494" s="2"/>
      <c r="H494" s="2"/>
      <c r="I494" s="2"/>
      <c r="J494" s="2"/>
      <c r="K494" s="2"/>
      <c r="L494" s="2"/>
      <c r="M494" s="2"/>
      <c r="N494" s="2"/>
      <c r="O494" s="1"/>
      <c r="P494" s="2"/>
      <c r="Q494" s="2"/>
      <c r="R494" s="2"/>
      <c r="S494" s="2"/>
      <c r="T494" s="2"/>
      <c r="U494" s="2"/>
      <c r="V494" s="2"/>
      <c r="W494" s="2"/>
      <c r="X494" s="2"/>
      <c r="Y494" s="2"/>
      <c r="Z494" s="2"/>
      <c r="AA494" s="2"/>
      <c r="AB494" s="2"/>
      <c r="AC494" s="2"/>
    </row>
    <row r="495" spans="1:29" ht="17.399999999999999" x14ac:dyDescent="0.25">
      <c r="A495" s="1"/>
      <c r="B495" s="2"/>
      <c r="C495" s="2"/>
      <c r="D495" s="2"/>
      <c r="E495" s="2"/>
      <c r="F495" s="2"/>
      <c r="G495" s="2"/>
      <c r="H495" s="2"/>
      <c r="I495" s="2"/>
      <c r="J495" s="2"/>
      <c r="K495" s="2"/>
      <c r="L495" s="2"/>
      <c r="M495" s="2"/>
      <c r="N495" s="2"/>
      <c r="O495" s="1"/>
      <c r="P495" s="2"/>
      <c r="Q495" s="2"/>
      <c r="R495" s="2"/>
      <c r="S495" s="2"/>
      <c r="T495" s="2"/>
      <c r="U495" s="2"/>
      <c r="V495" s="2"/>
      <c r="W495" s="2"/>
      <c r="X495" s="2"/>
      <c r="Y495" s="2"/>
      <c r="Z495" s="2"/>
      <c r="AA495" s="2"/>
      <c r="AB495" s="2"/>
      <c r="AC495" s="2"/>
    </row>
    <row r="496" spans="1:29" ht="17.399999999999999" x14ac:dyDescent="0.25">
      <c r="A496" s="1"/>
      <c r="B496" s="2"/>
      <c r="C496" s="2"/>
      <c r="D496" s="2"/>
      <c r="E496" s="2"/>
      <c r="F496" s="2"/>
      <c r="G496" s="2"/>
      <c r="H496" s="2"/>
      <c r="I496" s="2"/>
      <c r="J496" s="2"/>
      <c r="K496" s="2"/>
      <c r="L496" s="2"/>
      <c r="M496" s="2"/>
      <c r="N496" s="2"/>
      <c r="O496" s="1"/>
      <c r="P496" s="2"/>
      <c r="Q496" s="2"/>
      <c r="R496" s="2"/>
      <c r="S496" s="2"/>
      <c r="T496" s="2"/>
      <c r="U496" s="2"/>
      <c r="V496" s="2"/>
      <c r="W496" s="2"/>
      <c r="X496" s="2"/>
      <c r="Y496" s="2"/>
      <c r="Z496" s="2"/>
      <c r="AA496" s="2"/>
      <c r="AB496" s="2"/>
      <c r="AC496" s="2"/>
    </row>
    <row r="497" spans="1:29" ht="17.399999999999999" x14ac:dyDescent="0.25">
      <c r="A497" s="1"/>
      <c r="B497" s="2"/>
      <c r="C497" s="2"/>
      <c r="D497" s="2"/>
      <c r="E497" s="2"/>
      <c r="F497" s="2"/>
      <c r="G497" s="2"/>
      <c r="H497" s="2"/>
      <c r="I497" s="2"/>
      <c r="J497" s="2"/>
      <c r="K497" s="2"/>
      <c r="L497" s="2"/>
      <c r="M497" s="2"/>
      <c r="N497" s="2"/>
      <c r="O497" s="1"/>
      <c r="P497" s="2"/>
      <c r="Q497" s="2"/>
      <c r="R497" s="2"/>
      <c r="S497" s="2"/>
      <c r="T497" s="2"/>
      <c r="U497" s="2"/>
      <c r="V497" s="2"/>
      <c r="W497" s="2"/>
      <c r="X497" s="2"/>
      <c r="Y497" s="2"/>
      <c r="Z497" s="2"/>
      <c r="AA497" s="2"/>
      <c r="AB497" s="2"/>
      <c r="AC497" s="2"/>
    </row>
    <row r="498" spans="1:29" ht="17.399999999999999" x14ac:dyDescent="0.25">
      <c r="A498" s="1"/>
      <c r="B498" s="2"/>
      <c r="C498" s="2"/>
      <c r="D498" s="2"/>
      <c r="E498" s="2"/>
      <c r="F498" s="2"/>
      <c r="G498" s="2"/>
      <c r="H498" s="2"/>
      <c r="I498" s="2"/>
      <c r="J498" s="2"/>
      <c r="K498" s="2"/>
      <c r="L498" s="2"/>
      <c r="M498" s="2"/>
      <c r="N498" s="2"/>
      <c r="O498" s="1"/>
      <c r="P498" s="2"/>
      <c r="Q498" s="2"/>
      <c r="R498" s="2"/>
      <c r="S498" s="2"/>
      <c r="T498" s="2"/>
      <c r="U498" s="2"/>
      <c r="V498" s="2"/>
      <c r="W498" s="2"/>
      <c r="X498" s="2"/>
      <c r="Y498" s="2"/>
      <c r="Z498" s="2"/>
      <c r="AA498" s="2"/>
      <c r="AB498" s="2"/>
      <c r="AC498" s="2"/>
    </row>
    <row r="499" spans="1:29" ht="17.399999999999999" x14ac:dyDescent="0.25">
      <c r="A499" s="1"/>
      <c r="B499" s="2"/>
      <c r="C499" s="2"/>
      <c r="D499" s="2"/>
      <c r="E499" s="2"/>
      <c r="F499" s="2"/>
      <c r="G499" s="2"/>
      <c r="H499" s="2"/>
      <c r="I499" s="2"/>
      <c r="J499" s="2"/>
      <c r="K499" s="2"/>
      <c r="L499" s="2"/>
      <c r="M499" s="2"/>
      <c r="N499" s="2"/>
      <c r="O499" s="1"/>
      <c r="P499" s="2"/>
      <c r="Q499" s="2"/>
      <c r="R499" s="2"/>
      <c r="S499" s="2"/>
      <c r="T499" s="2"/>
      <c r="U499" s="2"/>
      <c r="V499" s="2"/>
      <c r="W499" s="2"/>
      <c r="X499" s="2"/>
      <c r="Y499" s="2"/>
      <c r="Z499" s="2"/>
      <c r="AA499" s="2"/>
      <c r="AB499" s="2"/>
      <c r="AC499" s="2"/>
    </row>
    <row r="500" spans="1:29" ht="17.399999999999999" x14ac:dyDescent="0.25">
      <c r="A500" s="1"/>
      <c r="B500" s="2"/>
      <c r="C500" s="2"/>
      <c r="D500" s="2"/>
      <c r="E500" s="2"/>
      <c r="F500" s="2"/>
      <c r="G500" s="2"/>
      <c r="H500" s="2"/>
      <c r="I500" s="2"/>
      <c r="J500" s="2"/>
      <c r="K500" s="2"/>
      <c r="L500" s="2"/>
      <c r="M500" s="2"/>
      <c r="N500" s="2"/>
      <c r="O500" s="1"/>
      <c r="P500" s="2"/>
      <c r="Q500" s="2"/>
      <c r="R500" s="2"/>
      <c r="S500" s="2"/>
      <c r="T500" s="2"/>
      <c r="U500" s="2"/>
      <c r="V500" s="2"/>
      <c r="W500" s="2"/>
      <c r="X500" s="2"/>
      <c r="Y500" s="2"/>
      <c r="Z500" s="2"/>
      <c r="AA500" s="2"/>
      <c r="AB500" s="2"/>
      <c r="AC500" s="2"/>
    </row>
    <row r="501" spans="1:29" ht="17.399999999999999" x14ac:dyDescent="0.25">
      <c r="A501" s="1"/>
      <c r="B501" s="2"/>
      <c r="C501" s="2"/>
      <c r="D501" s="2"/>
      <c r="E501" s="2"/>
      <c r="F501" s="2"/>
      <c r="G501" s="2"/>
      <c r="H501" s="2"/>
      <c r="I501" s="2"/>
      <c r="J501" s="2"/>
      <c r="K501" s="2"/>
      <c r="L501" s="2"/>
      <c r="M501" s="2"/>
      <c r="N501" s="2"/>
      <c r="O501" s="1"/>
      <c r="P501" s="2"/>
      <c r="Q501" s="2"/>
      <c r="R501" s="2"/>
      <c r="S501" s="2"/>
      <c r="T501" s="2"/>
      <c r="U501" s="2"/>
      <c r="V501" s="2"/>
      <c r="W501" s="2"/>
      <c r="X501" s="2"/>
      <c r="Y501" s="2"/>
      <c r="Z501" s="2"/>
      <c r="AA501" s="2"/>
      <c r="AB501" s="2"/>
      <c r="AC501" s="2"/>
    </row>
    <row r="502" spans="1:29" ht="17.399999999999999" x14ac:dyDescent="0.25">
      <c r="A502" s="1"/>
      <c r="B502" s="2"/>
      <c r="C502" s="2"/>
      <c r="D502" s="2"/>
      <c r="E502" s="2"/>
      <c r="F502" s="2"/>
      <c r="G502" s="2"/>
      <c r="H502" s="2"/>
      <c r="I502" s="2"/>
      <c r="J502" s="2"/>
      <c r="K502" s="2"/>
      <c r="L502" s="2"/>
      <c r="M502" s="2"/>
      <c r="N502" s="2"/>
      <c r="O502" s="1"/>
      <c r="P502" s="2"/>
      <c r="Q502" s="2"/>
      <c r="R502" s="2"/>
      <c r="S502" s="2"/>
      <c r="T502" s="2"/>
      <c r="U502" s="2"/>
      <c r="V502" s="2"/>
      <c r="W502" s="2"/>
      <c r="X502" s="2"/>
      <c r="Y502" s="2"/>
      <c r="Z502" s="2"/>
      <c r="AA502" s="2"/>
      <c r="AB502" s="2"/>
      <c r="AC502" s="2"/>
    </row>
    <row r="503" spans="1:29" ht="17.399999999999999" x14ac:dyDescent="0.25">
      <c r="A503" s="1"/>
      <c r="B503" s="2"/>
      <c r="C503" s="2"/>
      <c r="D503" s="2"/>
      <c r="E503" s="2"/>
      <c r="F503" s="2"/>
      <c r="G503" s="2"/>
      <c r="H503" s="2"/>
      <c r="I503" s="2"/>
      <c r="J503" s="2"/>
      <c r="K503" s="2"/>
      <c r="L503" s="2"/>
      <c r="M503" s="2"/>
      <c r="N503" s="2"/>
      <c r="O503" s="1"/>
      <c r="P503" s="2"/>
      <c r="Q503" s="2"/>
      <c r="R503" s="2"/>
      <c r="S503" s="2"/>
      <c r="T503" s="2"/>
      <c r="U503" s="2"/>
      <c r="V503" s="2"/>
      <c r="W503" s="2"/>
      <c r="X503" s="2"/>
      <c r="Y503" s="2"/>
      <c r="Z503" s="2"/>
      <c r="AA503" s="2"/>
      <c r="AB503" s="2"/>
      <c r="AC503" s="2"/>
    </row>
    <row r="504" spans="1:29" ht="17.399999999999999" x14ac:dyDescent="0.25">
      <c r="A504" s="1"/>
      <c r="B504" s="2"/>
      <c r="C504" s="2"/>
      <c r="D504" s="2"/>
      <c r="E504" s="2"/>
      <c r="F504" s="2"/>
      <c r="G504" s="2"/>
      <c r="H504" s="2"/>
      <c r="I504" s="2"/>
      <c r="J504" s="2"/>
      <c r="K504" s="2"/>
      <c r="L504" s="2"/>
      <c r="M504" s="2"/>
      <c r="N504" s="2"/>
      <c r="O504" s="1"/>
      <c r="P504" s="2"/>
      <c r="Q504" s="2"/>
      <c r="R504" s="2"/>
      <c r="S504" s="2"/>
      <c r="T504" s="2"/>
      <c r="U504" s="2"/>
      <c r="V504" s="2"/>
      <c r="W504" s="2"/>
      <c r="X504" s="2"/>
      <c r="Y504" s="2"/>
      <c r="Z504" s="2"/>
      <c r="AA504" s="2"/>
      <c r="AB504" s="2"/>
      <c r="AC504" s="2"/>
    </row>
    <row r="505" spans="1:29" ht="17.399999999999999" x14ac:dyDescent="0.25">
      <c r="A505" s="1"/>
      <c r="B505" s="2"/>
      <c r="C505" s="2"/>
      <c r="D505" s="2"/>
      <c r="E505" s="2"/>
      <c r="F505" s="2"/>
      <c r="G505" s="2"/>
      <c r="H505" s="2"/>
      <c r="I505" s="2"/>
      <c r="J505" s="2"/>
      <c r="K505" s="2"/>
      <c r="L505" s="2"/>
      <c r="M505" s="2"/>
      <c r="N505" s="2"/>
      <c r="O505" s="1"/>
      <c r="P505" s="2"/>
      <c r="Q505" s="2"/>
      <c r="R505" s="2"/>
      <c r="S505" s="2"/>
      <c r="T505" s="2"/>
      <c r="U505" s="2"/>
      <c r="V505" s="2"/>
      <c r="W505" s="2"/>
      <c r="X505" s="2"/>
      <c r="Y505" s="2"/>
      <c r="Z505" s="2"/>
      <c r="AA505" s="2"/>
      <c r="AB505" s="2"/>
      <c r="AC505" s="2"/>
    </row>
    <row r="506" spans="1:29" ht="17.399999999999999" x14ac:dyDescent="0.25">
      <c r="A506" s="1"/>
      <c r="B506" s="2"/>
      <c r="C506" s="2"/>
      <c r="D506" s="2"/>
      <c r="E506" s="2"/>
      <c r="F506" s="2"/>
      <c r="G506" s="2"/>
      <c r="H506" s="2"/>
      <c r="I506" s="2"/>
      <c r="J506" s="2"/>
      <c r="K506" s="2"/>
      <c r="L506" s="2"/>
      <c r="M506" s="2"/>
      <c r="N506" s="2"/>
      <c r="O506" s="1"/>
      <c r="P506" s="2"/>
      <c r="Q506" s="2"/>
      <c r="R506" s="2"/>
      <c r="S506" s="2"/>
      <c r="T506" s="2"/>
      <c r="U506" s="2"/>
      <c r="V506" s="2"/>
      <c r="W506" s="2"/>
      <c r="X506" s="2"/>
      <c r="Y506" s="2"/>
      <c r="Z506" s="2"/>
      <c r="AA506" s="2"/>
      <c r="AB506" s="2"/>
      <c r="AC506" s="2"/>
    </row>
    <row r="507" spans="1:29" ht="17.399999999999999" x14ac:dyDescent="0.25">
      <c r="A507" s="1"/>
      <c r="B507" s="2"/>
      <c r="C507" s="2"/>
      <c r="D507" s="2"/>
      <c r="E507" s="2"/>
      <c r="F507" s="2"/>
      <c r="G507" s="2"/>
      <c r="H507" s="2"/>
      <c r="I507" s="2"/>
      <c r="J507" s="2"/>
      <c r="K507" s="2"/>
      <c r="L507" s="2"/>
      <c r="M507" s="2"/>
      <c r="N507" s="2"/>
      <c r="O507" s="1"/>
      <c r="P507" s="2"/>
      <c r="Q507" s="2"/>
      <c r="R507" s="2"/>
      <c r="S507" s="2"/>
      <c r="T507" s="2"/>
      <c r="U507" s="2"/>
      <c r="V507" s="2"/>
      <c r="W507" s="2"/>
      <c r="X507" s="2"/>
      <c r="Y507" s="2"/>
      <c r="Z507" s="2"/>
      <c r="AA507" s="2"/>
      <c r="AB507" s="2"/>
      <c r="AC507" s="2"/>
    </row>
    <row r="508" spans="1:29" ht="17.399999999999999" x14ac:dyDescent="0.25">
      <c r="A508" s="1"/>
      <c r="B508" s="2"/>
      <c r="C508" s="2"/>
      <c r="D508" s="2"/>
      <c r="E508" s="2"/>
      <c r="F508" s="2"/>
      <c r="G508" s="2"/>
      <c r="H508" s="2"/>
      <c r="I508" s="2"/>
      <c r="J508" s="2"/>
      <c r="K508" s="2"/>
      <c r="L508" s="2"/>
      <c r="M508" s="2"/>
      <c r="N508" s="2"/>
      <c r="O508" s="1"/>
      <c r="P508" s="2"/>
      <c r="Q508" s="2"/>
      <c r="R508" s="2"/>
      <c r="S508" s="2"/>
      <c r="T508" s="2"/>
      <c r="U508" s="2"/>
      <c r="V508" s="2"/>
      <c r="W508" s="2"/>
      <c r="X508" s="2"/>
      <c r="Y508" s="2"/>
      <c r="Z508" s="2"/>
      <c r="AA508" s="2"/>
      <c r="AB508" s="2"/>
      <c r="AC508" s="2"/>
    </row>
    <row r="509" spans="1:29" ht="17.399999999999999" x14ac:dyDescent="0.25">
      <c r="A509" s="1"/>
      <c r="B509" s="2"/>
      <c r="C509" s="2"/>
      <c r="D509" s="2"/>
      <c r="E509" s="2"/>
      <c r="F509" s="2"/>
      <c r="G509" s="2"/>
      <c r="H509" s="2"/>
      <c r="I509" s="2"/>
      <c r="J509" s="2"/>
      <c r="K509" s="2"/>
      <c r="L509" s="2"/>
      <c r="M509" s="2"/>
      <c r="N509" s="2"/>
      <c r="O509" s="1"/>
      <c r="P509" s="2"/>
      <c r="Q509" s="2"/>
      <c r="R509" s="2"/>
      <c r="S509" s="2"/>
      <c r="T509" s="2"/>
      <c r="U509" s="2"/>
      <c r="V509" s="2"/>
      <c r="W509" s="2"/>
      <c r="X509" s="2"/>
      <c r="Y509" s="2"/>
      <c r="Z509" s="2"/>
      <c r="AA509" s="2"/>
      <c r="AB509" s="2"/>
      <c r="AC509" s="2"/>
    </row>
    <row r="510" spans="1:29" ht="17.399999999999999" x14ac:dyDescent="0.25">
      <c r="A510" s="1"/>
      <c r="B510" s="2"/>
      <c r="C510" s="2"/>
      <c r="D510" s="2"/>
      <c r="E510" s="2"/>
      <c r="F510" s="2"/>
      <c r="G510" s="2"/>
      <c r="H510" s="2"/>
      <c r="I510" s="2"/>
      <c r="J510" s="2"/>
      <c r="K510" s="2"/>
      <c r="L510" s="2"/>
      <c r="M510" s="2"/>
      <c r="N510" s="2"/>
      <c r="O510" s="1"/>
      <c r="P510" s="2"/>
      <c r="Q510" s="2"/>
      <c r="R510" s="2"/>
      <c r="S510" s="2"/>
      <c r="T510" s="2"/>
      <c r="U510" s="2"/>
      <c r="V510" s="2"/>
      <c r="W510" s="2"/>
      <c r="X510" s="2"/>
      <c r="Y510" s="2"/>
      <c r="Z510" s="2"/>
      <c r="AA510" s="2"/>
      <c r="AB510" s="2"/>
      <c r="AC510" s="2"/>
    </row>
    <row r="511" spans="1:29" ht="17.399999999999999" x14ac:dyDescent="0.25">
      <c r="A511" s="1"/>
      <c r="B511" s="2"/>
      <c r="C511" s="2"/>
      <c r="D511" s="2"/>
      <c r="E511" s="2"/>
      <c r="F511" s="2"/>
      <c r="G511" s="2"/>
      <c r="H511" s="2"/>
      <c r="I511" s="2"/>
      <c r="J511" s="2"/>
      <c r="K511" s="2"/>
      <c r="L511" s="2"/>
      <c r="M511" s="2"/>
      <c r="N511" s="2"/>
      <c r="O511" s="1"/>
      <c r="P511" s="2"/>
      <c r="Q511" s="2"/>
      <c r="R511" s="2"/>
      <c r="S511" s="2"/>
      <c r="T511" s="2"/>
      <c r="U511" s="2"/>
      <c r="V511" s="2"/>
      <c r="W511" s="2"/>
      <c r="X511" s="2"/>
      <c r="Y511" s="2"/>
      <c r="Z511" s="2"/>
      <c r="AA511" s="2"/>
      <c r="AB511" s="2"/>
      <c r="AC511" s="2"/>
    </row>
    <row r="512" spans="1:29" ht="17.399999999999999" x14ac:dyDescent="0.25">
      <c r="A512" s="1"/>
      <c r="B512" s="2"/>
      <c r="C512" s="2"/>
      <c r="D512" s="2"/>
      <c r="E512" s="2"/>
      <c r="F512" s="2"/>
      <c r="G512" s="2"/>
      <c r="H512" s="2"/>
      <c r="I512" s="2"/>
      <c r="J512" s="2"/>
      <c r="K512" s="2"/>
      <c r="L512" s="2"/>
      <c r="M512" s="2"/>
      <c r="N512" s="2"/>
      <c r="O512" s="1"/>
      <c r="P512" s="2"/>
      <c r="Q512" s="2"/>
      <c r="R512" s="2"/>
      <c r="S512" s="2"/>
      <c r="T512" s="2"/>
      <c r="U512" s="2"/>
      <c r="V512" s="2"/>
      <c r="W512" s="2"/>
      <c r="X512" s="2"/>
      <c r="Y512" s="2"/>
      <c r="Z512" s="2"/>
      <c r="AA512" s="2"/>
      <c r="AB512" s="2"/>
      <c r="AC512" s="2"/>
    </row>
    <row r="513" spans="1:29" ht="17.399999999999999" x14ac:dyDescent="0.25">
      <c r="A513" s="1"/>
      <c r="B513" s="2"/>
      <c r="C513" s="2"/>
      <c r="D513" s="2"/>
      <c r="E513" s="2"/>
      <c r="F513" s="2"/>
      <c r="G513" s="2"/>
      <c r="H513" s="2"/>
      <c r="I513" s="2"/>
      <c r="J513" s="2"/>
      <c r="K513" s="2"/>
      <c r="L513" s="2"/>
      <c r="M513" s="2"/>
      <c r="N513" s="2"/>
      <c r="O513" s="1"/>
      <c r="P513" s="2"/>
      <c r="Q513" s="2"/>
      <c r="R513" s="2"/>
      <c r="S513" s="2"/>
      <c r="T513" s="2"/>
      <c r="U513" s="2"/>
      <c r="V513" s="2"/>
      <c r="W513" s="2"/>
      <c r="X513" s="2"/>
      <c r="Y513" s="2"/>
      <c r="Z513" s="2"/>
      <c r="AA513" s="2"/>
      <c r="AB513" s="2"/>
      <c r="AC513" s="2"/>
    </row>
    <row r="514" spans="1:29" ht="17.399999999999999" x14ac:dyDescent="0.25">
      <c r="A514" s="1"/>
      <c r="B514" s="2"/>
      <c r="C514" s="2"/>
      <c r="D514" s="2"/>
      <c r="E514" s="2"/>
      <c r="F514" s="2"/>
      <c r="G514" s="2"/>
      <c r="H514" s="2"/>
      <c r="I514" s="2"/>
      <c r="J514" s="2"/>
      <c r="K514" s="2"/>
      <c r="L514" s="2"/>
      <c r="M514" s="2"/>
      <c r="N514" s="2"/>
      <c r="O514" s="1"/>
      <c r="P514" s="2"/>
      <c r="Q514" s="2"/>
      <c r="R514" s="2"/>
      <c r="S514" s="2"/>
      <c r="T514" s="2"/>
      <c r="U514" s="2"/>
      <c r="V514" s="2"/>
      <c r="W514" s="2"/>
      <c r="X514" s="2"/>
      <c r="Y514" s="2"/>
      <c r="Z514" s="2"/>
      <c r="AA514" s="2"/>
      <c r="AB514" s="2"/>
      <c r="AC514" s="2"/>
    </row>
    <row r="515" spans="1:29" ht="17.399999999999999" x14ac:dyDescent="0.25">
      <c r="A515" s="1"/>
      <c r="B515" s="2"/>
      <c r="C515" s="2"/>
      <c r="D515" s="2"/>
      <c r="E515" s="2"/>
      <c r="F515" s="2"/>
      <c r="G515" s="2"/>
      <c r="H515" s="2"/>
      <c r="I515" s="2"/>
      <c r="J515" s="2"/>
      <c r="K515" s="2"/>
      <c r="L515" s="2"/>
      <c r="M515" s="2"/>
      <c r="N515" s="2"/>
      <c r="O515" s="1"/>
      <c r="P515" s="2"/>
      <c r="Q515" s="2"/>
      <c r="R515" s="2"/>
      <c r="S515" s="2"/>
      <c r="T515" s="2"/>
      <c r="U515" s="2"/>
      <c r="V515" s="2"/>
      <c r="W515" s="2"/>
      <c r="X515" s="2"/>
      <c r="Y515" s="2"/>
      <c r="Z515" s="2"/>
      <c r="AA515" s="2"/>
      <c r="AB515" s="2"/>
      <c r="AC515" s="2"/>
    </row>
    <row r="516" spans="1:29" ht="17.399999999999999" x14ac:dyDescent="0.25">
      <c r="A516" s="1"/>
      <c r="B516" s="2"/>
      <c r="C516" s="2"/>
      <c r="D516" s="2"/>
      <c r="E516" s="2"/>
      <c r="F516" s="2"/>
      <c r="G516" s="2"/>
      <c r="H516" s="2"/>
      <c r="I516" s="2"/>
      <c r="J516" s="2"/>
      <c r="K516" s="2"/>
      <c r="L516" s="2"/>
      <c r="M516" s="2"/>
      <c r="N516" s="2"/>
      <c r="O516" s="1"/>
      <c r="P516" s="2"/>
      <c r="Q516" s="2"/>
      <c r="R516" s="2"/>
      <c r="S516" s="2"/>
      <c r="T516" s="2"/>
      <c r="U516" s="2"/>
      <c r="V516" s="2"/>
      <c r="W516" s="2"/>
      <c r="X516" s="2"/>
      <c r="Y516" s="2"/>
      <c r="Z516" s="2"/>
      <c r="AA516" s="2"/>
      <c r="AB516" s="2"/>
      <c r="AC516" s="2"/>
    </row>
    <row r="517" spans="1:29" ht="17.399999999999999" x14ac:dyDescent="0.25">
      <c r="A517" s="1"/>
      <c r="B517" s="2"/>
      <c r="C517" s="2"/>
      <c r="D517" s="2"/>
      <c r="E517" s="2"/>
      <c r="F517" s="2"/>
      <c r="G517" s="2"/>
      <c r="H517" s="2"/>
      <c r="I517" s="2"/>
      <c r="J517" s="2"/>
      <c r="K517" s="2"/>
      <c r="L517" s="2"/>
      <c r="M517" s="2"/>
      <c r="N517" s="2"/>
      <c r="O517" s="1"/>
      <c r="P517" s="2"/>
      <c r="Q517" s="2"/>
      <c r="R517" s="2"/>
      <c r="S517" s="2"/>
      <c r="T517" s="2"/>
      <c r="U517" s="2"/>
      <c r="V517" s="2"/>
      <c r="W517" s="2"/>
      <c r="X517" s="2"/>
      <c r="Y517" s="2"/>
      <c r="Z517" s="2"/>
      <c r="AA517" s="2"/>
      <c r="AB517" s="2"/>
      <c r="AC517" s="2"/>
    </row>
    <row r="518" spans="1:29" ht="17.399999999999999" x14ac:dyDescent="0.25">
      <c r="A518" s="1"/>
      <c r="B518" s="2"/>
      <c r="C518" s="2"/>
      <c r="D518" s="2"/>
      <c r="E518" s="2"/>
      <c r="F518" s="2"/>
      <c r="G518" s="2"/>
      <c r="H518" s="2"/>
      <c r="I518" s="2"/>
      <c r="J518" s="2"/>
      <c r="K518" s="2"/>
      <c r="L518" s="2"/>
      <c r="M518" s="2"/>
      <c r="N518" s="2"/>
      <c r="O518" s="1"/>
      <c r="P518" s="2"/>
      <c r="Q518" s="2"/>
      <c r="R518" s="2"/>
      <c r="S518" s="2"/>
      <c r="T518" s="2"/>
      <c r="U518" s="2"/>
      <c r="V518" s="2"/>
      <c r="W518" s="2"/>
      <c r="X518" s="2"/>
      <c r="Y518" s="2"/>
      <c r="Z518" s="2"/>
      <c r="AA518" s="2"/>
      <c r="AB518" s="2"/>
      <c r="AC518" s="2"/>
    </row>
    <row r="519" spans="1:29" ht="17.399999999999999" x14ac:dyDescent="0.25">
      <c r="A519" s="1"/>
      <c r="B519" s="2"/>
      <c r="C519" s="2"/>
      <c r="D519" s="2"/>
      <c r="E519" s="2"/>
      <c r="F519" s="2"/>
      <c r="G519" s="2"/>
      <c r="H519" s="2"/>
      <c r="I519" s="2"/>
      <c r="J519" s="2"/>
      <c r="K519" s="2"/>
      <c r="L519" s="2"/>
      <c r="M519" s="2"/>
      <c r="N519" s="2"/>
      <c r="O519" s="1"/>
      <c r="P519" s="2"/>
      <c r="Q519" s="2"/>
      <c r="R519" s="2"/>
      <c r="S519" s="2"/>
      <c r="T519" s="2"/>
      <c r="U519" s="2"/>
      <c r="V519" s="2"/>
      <c r="W519" s="2"/>
      <c r="X519" s="2"/>
      <c r="Y519" s="2"/>
      <c r="Z519" s="2"/>
      <c r="AA519" s="2"/>
      <c r="AB519" s="2"/>
      <c r="AC519" s="2"/>
    </row>
    <row r="520" spans="1:29" ht="17.399999999999999" x14ac:dyDescent="0.25">
      <c r="A520" s="1"/>
      <c r="B520" s="2"/>
      <c r="C520" s="2"/>
      <c r="D520" s="2"/>
      <c r="E520" s="2"/>
      <c r="F520" s="2"/>
      <c r="G520" s="2"/>
      <c r="H520" s="2"/>
      <c r="I520" s="2"/>
      <c r="J520" s="2"/>
      <c r="K520" s="2"/>
      <c r="L520" s="2"/>
      <c r="M520" s="2"/>
      <c r="N520" s="2"/>
      <c r="O520" s="1"/>
      <c r="P520" s="2"/>
      <c r="Q520" s="2"/>
      <c r="R520" s="2"/>
      <c r="S520" s="2"/>
      <c r="T520" s="2"/>
      <c r="U520" s="2"/>
      <c r="V520" s="2"/>
      <c r="W520" s="2"/>
      <c r="X520" s="2"/>
      <c r="Y520" s="2"/>
      <c r="Z520" s="2"/>
      <c r="AA520" s="2"/>
      <c r="AB520" s="2"/>
      <c r="AC520" s="2"/>
    </row>
    <row r="521" spans="1:29" ht="17.399999999999999" x14ac:dyDescent="0.25">
      <c r="A521" s="1"/>
      <c r="B521" s="2"/>
      <c r="C521" s="2"/>
      <c r="D521" s="2"/>
      <c r="E521" s="2"/>
      <c r="F521" s="2"/>
      <c r="G521" s="2"/>
      <c r="H521" s="2"/>
      <c r="I521" s="2"/>
      <c r="J521" s="2"/>
      <c r="K521" s="2"/>
      <c r="L521" s="2"/>
      <c r="M521" s="2"/>
      <c r="N521" s="2"/>
      <c r="O521" s="1"/>
      <c r="P521" s="2"/>
      <c r="Q521" s="2"/>
      <c r="R521" s="2"/>
      <c r="S521" s="2"/>
      <c r="T521" s="2"/>
      <c r="U521" s="2"/>
      <c r="V521" s="2"/>
      <c r="W521" s="2"/>
      <c r="X521" s="2"/>
      <c r="Y521" s="2"/>
      <c r="Z521" s="2"/>
      <c r="AA521" s="2"/>
      <c r="AB521" s="2"/>
      <c r="AC521" s="2"/>
    </row>
    <row r="522" spans="1:29" ht="17.399999999999999" x14ac:dyDescent="0.25">
      <c r="A522" s="1"/>
      <c r="B522" s="2"/>
      <c r="C522" s="2"/>
      <c r="D522" s="2"/>
      <c r="E522" s="2"/>
      <c r="F522" s="2"/>
      <c r="G522" s="2"/>
      <c r="H522" s="2"/>
      <c r="I522" s="2"/>
      <c r="J522" s="2"/>
      <c r="K522" s="2"/>
      <c r="L522" s="2"/>
      <c r="M522" s="2"/>
      <c r="N522" s="2"/>
      <c r="O522" s="1"/>
      <c r="P522" s="2"/>
      <c r="Q522" s="2"/>
      <c r="R522" s="2"/>
      <c r="S522" s="2"/>
      <c r="T522" s="2"/>
      <c r="U522" s="2"/>
      <c r="V522" s="2"/>
      <c r="W522" s="2"/>
      <c r="X522" s="2"/>
      <c r="Y522" s="2"/>
      <c r="Z522" s="2"/>
      <c r="AA522" s="2"/>
      <c r="AB522" s="2"/>
      <c r="AC522" s="2"/>
    </row>
    <row r="523" spans="1:29" ht="17.399999999999999" x14ac:dyDescent="0.25">
      <c r="A523" s="1"/>
      <c r="B523" s="2"/>
      <c r="C523" s="2"/>
      <c r="D523" s="2"/>
      <c r="E523" s="2"/>
      <c r="F523" s="2"/>
      <c r="G523" s="2"/>
      <c r="H523" s="2"/>
      <c r="I523" s="2"/>
      <c r="J523" s="2"/>
      <c r="K523" s="2"/>
      <c r="L523" s="2"/>
      <c r="M523" s="2"/>
      <c r="N523" s="2"/>
      <c r="O523" s="1"/>
      <c r="P523" s="2"/>
      <c r="Q523" s="2"/>
      <c r="R523" s="2"/>
      <c r="S523" s="2"/>
      <c r="T523" s="2"/>
      <c r="U523" s="2"/>
      <c r="V523" s="2"/>
      <c r="W523" s="2"/>
      <c r="X523" s="2"/>
      <c r="Y523" s="2"/>
      <c r="Z523" s="2"/>
      <c r="AA523" s="2"/>
      <c r="AB523" s="2"/>
      <c r="AC523" s="2"/>
    </row>
    <row r="524" spans="1:29" ht="17.399999999999999" x14ac:dyDescent="0.25">
      <c r="A524" s="1"/>
      <c r="B524" s="2"/>
      <c r="C524" s="2"/>
      <c r="D524" s="2"/>
      <c r="E524" s="2"/>
      <c r="F524" s="2"/>
      <c r="G524" s="2"/>
      <c r="H524" s="2"/>
      <c r="I524" s="2"/>
      <c r="J524" s="2"/>
      <c r="K524" s="2"/>
      <c r="L524" s="2"/>
      <c r="M524" s="2"/>
      <c r="N524" s="2"/>
      <c r="O524" s="1"/>
      <c r="P524" s="2"/>
      <c r="Q524" s="2"/>
      <c r="R524" s="2"/>
      <c r="S524" s="2"/>
      <c r="T524" s="2"/>
      <c r="U524" s="2"/>
      <c r="V524" s="2"/>
      <c r="W524" s="2"/>
      <c r="X524" s="2"/>
      <c r="Y524" s="2"/>
      <c r="Z524" s="2"/>
      <c r="AA524" s="2"/>
      <c r="AB524" s="2"/>
      <c r="AC524" s="2"/>
    </row>
    <row r="525" spans="1:29" ht="17.399999999999999" x14ac:dyDescent="0.25">
      <c r="A525" s="1"/>
      <c r="B525" s="2"/>
      <c r="C525" s="2"/>
      <c r="D525" s="2"/>
      <c r="E525" s="2"/>
      <c r="F525" s="2"/>
      <c r="G525" s="2"/>
      <c r="H525" s="2"/>
      <c r="I525" s="2"/>
      <c r="J525" s="2"/>
      <c r="K525" s="2"/>
      <c r="L525" s="2"/>
      <c r="M525" s="2"/>
      <c r="N525" s="2"/>
      <c r="O525" s="1"/>
      <c r="P525" s="2"/>
      <c r="Q525" s="2"/>
      <c r="R525" s="2"/>
      <c r="S525" s="2"/>
      <c r="T525" s="2"/>
      <c r="U525" s="2"/>
      <c r="V525" s="2"/>
      <c r="W525" s="2"/>
      <c r="X525" s="2"/>
      <c r="Y525" s="2"/>
      <c r="Z525" s="2"/>
      <c r="AA525" s="2"/>
      <c r="AB525" s="2"/>
      <c r="AC525" s="2"/>
    </row>
    <row r="526" spans="1:29" ht="17.399999999999999" x14ac:dyDescent="0.25">
      <c r="A526" s="1"/>
      <c r="B526" s="2"/>
      <c r="C526" s="2"/>
      <c r="D526" s="2"/>
      <c r="E526" s="2"/>
      <c r="F526" s="2"/>
      <c r="G526" s="2"/>
      <c r="H526" s="2"/>
      <c r="I526" s="2"/>
      <c r="J526" s="2"/>
      <c r="K526" s="2"/>
      <c r="L526" s="2"/>
      <c r="M526" s="2"/>
      <c r="N526" s="2"/>
      <c r="O526" s="1"/>
      <c r="P526" s="2"/>
      <c r="Q526" s="2"/>
      <c r="R526" s="2"/>
      <c r="S526" s="2"/>
      <c r="T526" s="2"/>
      <c r="U526" s="2"/>
      <c r="V526" s="2"/>
      <c r="W526" s="2"/>
      <c r="X526" s="2"/>
      <c r="Y526" s="2"/>
      <c r="Z526" s="2"/>
      <c r="AA526" s="2"/>
      <c r="AB526" s="2"/>
      <c r="AC526" s="2"/>
    </row>
    <row r="527" spans="1:29" ht="17.399999999999999" x14ac:dyDescent="0.25">
      <c r="A527" s="1"/>
      <c r="B527" s="2"/>
      <c r="C527" s="2"/>
      <c r="D527" s="2"/>
      <c r="E527" s="2"/>
      <c r="F527" s="2"/>
      <c r="G527" s="2"/>
      <c r="H527" s="2"/>
      <c r="I527" s="2"/>
      <c r="J527" s="2"/>
      <c r="K527" s="2"/>
      <c r="L527" s="2"/>
      <c r="M527" s="2"/>
      <c r="N527" s="2"/>
      <c r="O527" s="1"/>
      <c r="P527" s="2"/>
      <c r="Q527" s="2"/>
      <c r="R527" s="2"/>
      <c r="S527" s="2"/>
      <c r="T527" s="2"/>
      <c r="U527" s="2"/>
      <c r="V527" s="2"/>
      <c r="W527" s="2"/>
      <c r="X527" s="2"/>
      <c r="Y527" s="2"/>
      <c r="Z527" s="2"/>
      <c r="AA527" s="2"/>
      <c r="AB527" s="2"/>
      <c r="AC527" s="2"/>
    </row>
    <row r="528" spans="1:29" ht="17.399999999999999" x14ac:dyDescent="0.25">
      <c r="A528" s="1"/>
      <c r="B528" s="2"/>
      <c r="C528" s="2"/>
      <c r="D528" s="2"/>
      <c r="E528" s="2"/>
      <c r="F528" s="2"/>
      <c r="G528" s="2"/>
      <c r="H528" s="2"/>
      <c r="I528" s="2"/>
      <c r="J528" s="2"/>
      <c r="K528" s="2"/>
      <c r="L528" s="2"/>
      <c r="M528" s="2"/>
      <c r="N528" s="2"/>
      <c r="O528" s="1"/>
      <c r="P528" s="2"/>
      <c r="Q528" s="2"/>
      <c r="R528" s="2"/>
      <c r="S528" s="2"/>
      <c r="T528" s="2"/>
      <c r="U528" s="2"/>
      <c r="V528" s="2"/>
      <c r="W528" s="2"/>
      <c r="X528" s="2"/>
      <c r="Y528" s="2"/>
      <c r="Z528" s="2"/>
      <c r="AA528" s="2"/>
      <c r="AB528" s="2"/>
      <c r="AC528" s="2"/>
    </row>
    <row r="529" spans="1:29" ht="17.399999999999999" x14ac:dyDescent="0.25">
      <c r="A529" s="1"/>
      <c r="B529" s="2"/>
      <c r="C529" s="2"/>
      <c r="D529" s="2"/>
      <c r="E529" s="2"/>
      <c r="F529" s="2"/>
      <c r="G529" s="2"/>
      <c r="H529" s="2"/>
      <c r="I529" s="2"/>
      <c r="J529" s="2"/>
      <c r="K529" s="2"/>
      <c r="L529" s="2"/>
      <c r="M529" s="2"/>
      <c r="N529" s="2"/>
      <c r="O529" s="1"/>
      <c r="P529" s="2"/>
      <c r="Q529" s="2"/>
      <c r="R529" s="2"/>
      <c r="S529" s="2"/>
      <c r="T529" s="2"/>
      <c r="U529" s="2"/>
      <c r="V529" s="2"/>
      <c r="W529" s="2"/>
      <c r="X529" s="2"/>
      <c r="Y529" s="2"/>
      <c r="Z529" s="2"/>
      <c r="AA529" s="2"/>
      <c r="AB529" s="2"/>
      <c r="AC529" s="2"/>
    </row>
    <row r="530" spans="1:29" ht="17.399999999999999" x14ac:dyDescent="0.25">
      <c r="A530" s="1"/>
      <c r="B530" s="2"/>
      <c r="C530" s="2"/>
      <c r="D530" s="2"/>
      <c r="E530" s="2"/>
      <c r="F530" s="2"/>
      <c r="G530" s="2"/>
      <c r="H530" s="2"/>
      <c r="I530" s="2"/>
      <c r="J530" s="2"/>
      <c r="K530" s="2"/>
      <c r="L530" s="2"/>
      <c r="M530" s="2"/>
      <c r="N530" s="2"/>
      <c r="O530" s="1"/>
      <c r="P530" s="2"/>
      <c r="Q530" s="2"/>
      <c r="R530" s="2"/>
      <c r="S530" s="2"/>
      <c r="T530" s="2"/>
      <c r="U530" s="2"/>
      <c r="V530" s="2"/>
      <c r="W530" s="2"/>
      <c r="X530" s="2"/>
      <c r="Y530" s="2"/>
      <c r="Z530" s="2"/>
      <c r="AA530" s="2"/>
      <c r="AB530" s="2"/>
      <c r="AC530" s="2"/>
    </row>
    <row r="531" spans="1:29" ht="17.399999999999999" x14ac:dyDescent="0.25">
      <c r="A531" s="1"/>
      <c r="B531" s="2"/>
      <c r="C531" s="2"/>
      <c r="D531" s="2"/>
      <c r="E531" s="2"/>
      <c r="F531" s="2"/>
      <c r="G531" s="2"/>
      <c r="H531" s="2"/>
      <c r="I531" s="2"/>
      <c r="J531" s="2"/>
      <c r="K531" s="2"/>
      <c r="L531" s="2"/>
      <c r="M531" s="2"/>
      <c r="N531" s="2"/>
      <c r="O531" s="1"/>
      <c r="P531" s="2"/>
      <c r="Q531" s="2"/>
      <c r="R531" s="2"/>
      <c r="S531" s="2"/>
      <c r="T531" s="2"/>
      <c r="U531" s="2"/>
      <c r="V531" s="2"/>
      <c r="W531" s="2"/>
      <c r="X531" s="2"/>
      <c r="Y531" s="2"/>
      <c r="Z531" s="2"/>
      <c r="AA531" s="2"/>
      <c r="AB531" s="2"/>
      <c r="AC531" s="2"/>
    </row>
    <row r="532" spans="1:29" ht="17.399999999999999" x14ac:dyDescent="0.25">
      <c r="A532" s="1"/>
      <c r="B532" s="2"/>
      <c r="C532" s="2"/>
      <c r="D532" s="2"/>
      <c r="E532" s="2"/>
      <c r="F532" s="2"/>
      <c r="G532" s="2"/>
      <c r="H532" s="2"/>
      <c r="I532" s="2"/>
      <c r="J532" s="2"/>
      <c r="K532" s="2"/>
      <c r="L532" s="2"/>
      <c r="M532" s="2"/>
      <c r="N532" s="2"/>
      <c r="O532" s="1"/>
      <c r="P532" s="2"/>
      <c r="Q532" s="2"/>
      <c r="R532" s="2"/>
      <c r="S532" s="2"/>
      <c r="T532" s="2"/>
      <c r="U532" s="2"/>
      <c r="V532" s="2"/>
      <c r="W532" s="2"/>
      <c r="X532" s="2"/>
      <c r="Y532" s="2"/>
      <c r="Z532" s="2"/>
      <c r="AA532" s="2"/>
      <c r="AB532" s="2"/>
      <c r="AC532" s="2"/>
    </row>
    <row r="533" spans="1:29" ht="17.399999999999999" x14ac:dyDescent="0.25">
      <c r="A533" s="1"/>
      <c r="B533" s="2"/>
      <c r="C533" s="2"/>
      <c r="D533" s="2"/>
      <c r="E533" s="2"/>
      <c r="F533" s="2"/>
      <c r="G533" s="2"/>
      <c r="H533" s="2"/>
      <c r="I533" s="2"/>
      <c r="J533" s="2"/>
      <c r="K533" s="2"/>
      <c r="L533" s="2"/>
      <c r="M533" s="2"/>
      <c r="N533" s="2"/>
      <c r="O533" s="1"/>
      <c r="P533" s="2"/>
      <c r="Q533" s="2"/>
      <c r="R533" s="2"/>
      <c r="S533" s="2"/>
      <c r="T533" s="2"/>
      <c r="U533" s="2"/>
      <c r="V533" s="2"/>
      <c r="W533" s="2"/>
      <c r="X533" s="2"/>
      <c r="Y533" s="2"/>
      <c r="Z533" s="2"/>
      <c r="AA533" s="2"/>
      <c r="AB533" s="2"/>
      <c r="AC533" s="2"/>
    </row>
    <row r="534" spans="1:29" ht="17.399999999999999" x14ac:dyDescent="0.25">
      <c r="A534" s="1"/>
      <c r="B534" s="2"/>
      <c r="C534" s="2"/>
      <c r="D534" s="2"/>
      <c r="E534" s="2"/>
      <c r="F534" s="2"/>
      <c r="G534" s="2"/>
      <c r="H534" s="2"/>
      <c r="I534" s="2"/>
      <c r="J534" s="2"/>
      <c r="K534" s="2"/>
      <c r="L534" s="2"/>
      <c r="M534" s="2"/>
      <c r="N534" s="2"/>
      <c r="O534" s="1"/>
      <c r="P534" s="2"/>
      <c r="Q534" s="2"/>
      <c r="R534" s="2"/>
      <c r="S534" s="2"/>
      <c r="T534" s="2"/>
      <c r="U534" s="2"/>
      <c r="V534" s="2"/>
      <c r="W534" s="2"/>
      <c r="X534" s="2"/>
      <c r="Y534" s="2"/>
      <c r="Z534" s="2"/>
      <c r="AA534" s="2"/>
      <c r="AB534" s="2"/>
      <c r="AC534" s="2"/>
    </row>
    <row r="535" spans="1:29" ht="17.399999999999999" x14ac:dyDescent="0.25">
      <c r="A535" s="1"/>
      <c r="B535" s="2"/>
      <c r="C535" s="2"/>
      <c r="D535" s="2"/>
      <c r="E535" s="2"/>
      <c r="F535" s="2"/>
      <c r="G535" s="2"/>
      <c r="H535" s="2"/>
      <c r="I535" s="2"/>
      <c r="J535" s="2"/>
      <c r="K535" s="2"/>
      <c r="L535" s="2"/>
      <c r="M535" s="2"/>
      <c r="N535" s="2"/>
      <c r="O535" s="1"/>
      <c r="P535" s="2"/>
      <c r="Q535" s="2"/>
      <c r="R535" s="2"/>
      <c r="S535" s="2"/>
      <c r="T535" s="2"/>
      <c r="U535" s="2"/>
      <c r="V535" s="2"/>
      <c r="W535" s="2"/>
      <c r="X535" s="2"/>
      <c r="Y535" s="2"/>
      <c r="Z535" s="2"/>
      <c r="AA535" s="2"/>
      <c r="AB535" s="2"/>
      <c r="AC535" s="2"/>
    </row>
    <row r="536" spans="1:29" ht="17.399999999999999" x14ac:dyDescent="0.25">
      <c r="A536" s="1"/>
      <c r="B536" s="2"/>
      <c r="C536" s="2"/>
      <c r="D536" s="2"/>
      <c r="E536" s="2"/>
      <c r="F536" s="2"/>
      <c r="G536" s="2"/>
      <c r="H536" s="2"/>
      <c r="I536" s="2"/>
      <c r="J536" s="2"/>
      <c r="K536" s="2"/>
      <c r="L536" s="2"/>
      <c r="M536" s="2"/>
      <c r="N536" s="2"/>
      <c r="O536" s="1"/>
      <c r="P536" s="2"/>
      <c r="Q536" s="2"/>
      <c r="R536" s="2"/>
      <c r="S536" s="2"/>
      <c r="T536" s="2"/>
      <c r="U536" s="2"/>
      <c r="V536" s="2"/>
      <c r="W536" s="2"/>
      <c r="X536" s="2"/>
      <c r="Y536" s="2"/>
      <c r="Z536" s="2"/>
      <c r="AA536" s="2"/>
      <c r="AB536" s="2"/>
      <c r="AC536" s="2"/>
    </row>
    <row r="537" spans="1:29" ht="17.399999999999999" x14ac:dyDescent="0.25">
      <c r="A537" s="1"/>
      <c r="B537" s="2"/>
      <c r="C537" s="2"/>
      <c r="D537" s="2"/>
      <c r="E537" s="2"/>
      <c r="F537" s="2"/>
      <c r="G537" s="2"/>
      <c r="H537" s="2"/>
      <c r="I537" s="2"/>
      <c r="J537" s="2"/>
      <c r="K537" s="2"/>
      <c r="L537" s="2"/>
      <c r="M537" s="2"/>
      <c r="N537" s="2"/>
      <c r="O537" s="1"/>
      <c r="P537" s="2"/>
      <c r="Q537" s="2"/>
      <c r="R537" s="2"/>
      <c r="S537" s="2"/>
      <c r="T537" s="2"/>
      <c r="U537" s="2"/>
      <c r="V537" s="2"/>
      <c r="W537" s="2"/>
      <c r="X537" s="2"/>
      <c r="Y537" s="2"/>
      <c r="Z537" s="2"/>
      <c r="AA537" s="2"/>
      <c r="AB537" s="2"/>
      <c r="AC537" s="2"/>
    </row>
    <row r="538" spans="1:29" ht="17.399999999999999" x14ac:dyDescent="0.25">
      <c r="A538" s="1"/>
      <c r="B538" s="2"/>
      <c r="C538" s="2"/>
      <c r="D538" s="2"/>
      <c r="E538" s="2"/>
      <c r="F538" s="2"/>
      <c r="G538" s="2"/>
      <c r="H538" s="2"/>
      <c r="I538" s="2"/>
      <c r="J538" s="2"/>
      <c r="K538" s="2"/>
      <c r="L538" s="2"/>
      <c r="M538" s="2"/>
      <c r="N538" s="2"/>
      <c r="O538" s="1"/>
      <c r="P538" s="2"/>
      <c r="Q538" s="2"/>
      <c r="R538" s="2"/>
      <c r="S538" s="2"/>
      <c r="T538" s="2"/>
      <c r="U538" s="2"/>
      <c r="V538" s="2"/>
      <c r="W538" s="2"/>
      <c r="X538" s="2"/>
      <c r="Y538" s="2"/>
      <c r="Z538" s="2"/>
      <c r="AA538" s="2"/>
      <c r="AB538" s="2"/>
      <c r="AC538" s="2"/>
    </row>
    <row r="539" spans="1:29" ht="17.399999999999999" x14ac:dyDescent="0.25">
      <c r="A539" s="1"/>
      <c r="B539" s="2"/>
      <c r="C539" s="2"/>
      <c r="D539" s="2"/>
      <c r="E539" s="2"/>
      <c r="F539" s="2"/>
      <c r="G539" s="2"/>
      <c r="H539" s="2"/>
      <c r="I539" s="2"/>
      <c r="J539" s="2"/>
      <c r="K539" s="2"/>
      <c r="L539" s="2"/>
      <c r="M539" s="2"/>
      <c r="N539" s="2"/>
      <c r="O539" s="1"/>
      <c r="P539" s="2"/>
      <c r="Q539" s="2"/>
      <c r="R539" s="2"/>
      <c r="S539" s="2"/>
      <c r="T539" s="2"/>
      <c r="U539" s="2"/>
      <c r="V539" s="2"/>
      <c r="W539" s="2"/>
      <c r="X539" s="2"/>
      <c r="Y539" s="2"/>
      <c r="Z539" s="2"/>
      <c r="AA539" s="2"/>
      <c r="AB539" s="2"/>
      <c r="AC539" s="2"/>
    </row>
    <row r="540" spans="1:29" ht="17.399999999999999" x14ac:dyDescent="0.25">
      <c r="A540" s="1"/>
      <c r="B540" s="2"/>
      <c r="C540" s="2"/>
      <c r="D540" s="2"/>
      <c r="E540" s="2"/>
      <c r="F540" s="2"/>
      <c r="G540" s="2"/>
      <c r="H540" s="2"/>
      <c r="I540" s="2"/>
      <c r="J540" s="2"/>
      <c r="K540" s="2"/>
      <c r="L540" s="2"/>
      <c r="M540" s="2"/>
      <c r="N540" s="2"/>
      <c r="O540" s="1"/>
      <c r="P540" s="2"/>
      <c r="Q540" s="2"/>
      <c r="R540" s="2"/>
      <c r="S540" s="2"/>
      <c r="T540" s="2"/>
      <c r="U540" s="2"/>
      <c r="V540" s="2"/>
      <c r="W540" s="2"/>
      <c r="X540" s="2"/>
      <c r="Y540" s="2"/>
      <c r="Z540" s="2"/>
      <c r="AA540" s="2"/>
      <c r="AB540" s="2"/>
      <c r="AC540" s="2"/>
    </row>
    <row r="541" spans="1:29" ht="17.399999999999999" x14ac:dyDescent="0.25">
      <c r="A541" s="1"/>
      <c r="B541" s="2"/>
      <c r="C541" s="2"/>
      <c r="D541" s="2"/>
      <c r="E541" s="2"/>
      <c r="F541" s="2"/>
      <c r="G541" s="2"/>
      <c r="H541" s="2"/>
      <c r="I541" s="2"/>
      <c r="J541" s="2"/>
      <c r="K541" s="2"/>
      <c r="L541" s="2"/>
      <c r="M541" s="2"/>
      <c r="N541" s="2"/>
      <c r="O541" s="1"/>
      <c r="P541" s="2"/>
      <c r="Q541" s="2"/>
      <c r="R541" s="2"/>
      <c r="S541" s="2"/>
      <c r="T541" s="2"/>
      <c r="U541" s="2"/>
      <c r="V541" s="2"/>
      <c r="W541" s="2"/>
      <c r="X541" s="2"/>
      <c r="Y541" s="2"/>
      <c r="Z541" s="2"/>
      <c r="AA541" s="2"/>
      <c r="AB541" s="2"/>
      <c r="AC541" s="2"/>
    </row>
    <row r="542" spans="1:29" ht="17.399999999999999" x14ac:dyDescent="0.25">
      <c r="A542" s="1"/>
      <c r="B542" s="2"/>
      <c r="C542" s="2"/>
      <c r="D542" s="2"/>
      <c r="E542" s="2"/>
      <c r="F542" s="2"/>
      <c r="G542" s="2"/>
      <c r="H542" s="2"/>
      <c r="I542" s="2"/>
      <c r="J542" s="2"/>
      <c r="K542" s="2"/>
      <c r="L542" s="2"/>
      <c r="M542" s="2"/>
      <c r="N542" s="2"/>
      <c r="O542" s="1"/>
      <c r="P542" s="2"/>
      <c r="Q542" s="2"/>
      <c r="R542" s="2"/>
      <c r="S542" s="2"/>
      <c r="T542" s="2"/>
      <c r="U542" s="2"/>
      <c r="V542" s="2"/>
      <c r="W542" s="2"/>
      <c r="X542" s="2"/>
      <c r="Y542" s="2"/>
      <c r="Z542" s="2"/>
      <c r="AA542" s="2"/>
      <c r="AB542" s="2"/>
      <c r="AC542" s="2"/>
    </row>
    <row r="543" spans="1:29" ht="17.399999999999999" x14ac:dyDescent="0.25">
      <c r="A543" s="1"/>
      <c r="B543" s="2"/>
      <c r="C543" s="2"/>
      <c r="D543" s="2"/>
      <c r="E543" s="2"/>
      <c r="F543" s="2"/>
      <c r="G543" s="2"/>
      <c r="H543" s="2"/>
      <c r="I543" s="2"/>
      <c r="J543" s="2"/>
      <c r="K543" s="2"/>
      <c r="L543" s="2"/>
      <c r="M543" s="2"/>
      <c r="N543" s="2"/>
      <c r="O543" s="1"/>
      <c r="P543" s="2"/>
      <c r="Q543" s="2"/>
      <c r="R543" s="2"/>
      <c r="S543" s="2"/>
      <c r="T543" s="2"/>
      <c r="U543" s="2"/>
      <c r="V543" s="2"/>
      <c r="W543" s="2"/>
      <c r="X543" s="2"/>
      <c r="Y543" s="2"/>
      <c r="Z543" s="2"/>
      <c r="AA543" s="2"/>
      <c r="AB543" s="2"/>
      <c r="AC543" s="2"/>
    </row>
    <row r="544" spans="1:29" ht="17.399999999999999" x14ac:dyDescent="0.25">
      <c r="A544" s="1"/>
      <c r="B544" s="2"/>
      <c r="C544" s="2"/>
      <c r="D544" s="2"/>
      <c r="E544" s="2"/>
      <c r="F544" s="2"/>
      <c r="G544" s="2"/>
      <c r="H544" s="2"/>
      <c r="I544" s="2"/>
      <c r="J544" s="2"/>
      <c r="K544" s="2"/>
      <c r="L544" s="2"/>
      <c r="M544" s="2"/>
      <c r="N544" s="2"/>
      <c r="O544" s="1"/>
      <c r="P544" s="2"/>
      <c r="Q544" s="2"/>
      <c r="R544" s="2"/>
      <c r="S544" s="2"/>
      <c r="T544" s="2"/>
      <c r="U544" s="2"/>
      <c r="V544" s="2"/>
      <c r="W544" s="2"/>
      <c r="X544" s="2"/>
      <c r="Y544" s="2"/>
      <c r="Z544" s="2"/>
      <c r="AA544" s="2"/>
      <c r="AB544" s="2"/>
      <c r="AC544" s="2"/>
    </row>
    <row r="545" spans="1:29" ht="17.399999999999999" x14ac:dyDescent="0.25">
      <c r="A545" s="1"/>
      <c r="B545" s="2"/>
      <c r="C545" s="2"/>
      <c r="D545" s="2"/>
      <c r="E545" s="2"/>
      <c r="F545" s="2"/>
      <c r="G545" s="2"/>
      <c r="H545" s="2"/>
      <c r="I545" s="2"/>
      <c r="J545" s="2"/>
      <c r="K545" s="2"/>
      <c r="L545" s="2"/>
      <c r="M545" s="2"/>
      <c r="N545" s="2"/>
      <c r="O545" s="1"/>
      <c r="P545" s="2"/>
      <c r="Q545" s="2"/>
      <c r="R545" s="2"/>
      <c r="S545" s="2"/>
      <c r="T545" s="2"/>
      <c r="U545" s="2"/>
      <c r="V545" s="2"/>
      <c r="W545" s="2"/>
      <c r="X545" s="2"/>
      <c r="Y545" s="2"/>
      <c r="Z545" s="2"/>
      <c r="AA545" s="2"/>
      <c r="AB545" s="2"/>
      <c r="AC545" s="2"/>
    </row>
    <row r="546" spans="1:29" ht="17.399999999999999" x14ac:dyDescent="0.25">
      <c r="A546" s="1"/>
      <c r="B546" s="2"/>
      <c r="C546" s="2"/>
      <c r="D546" s="2"/>
      <c r="E546" s="2"/>
      <c r="F546" s="2"/>
      <c r="G546" s="2"/>
      <c r="H546" s="2"/>
      <c r="I546" s="2"/>
      <c r="J546" s="2"/>
      <c r="K546" s="2"/>
      <c r="L546" s="2"/>
      <c r="M546" s="2"/>
      <c r="N546" s="2"/>
      <c r="O546" s="1"/>
      <c r="P546" s="2"/>
      <c r="Q546" s="2"/>
      <c r="R546" s="2"/>
      <c r="S546" s="2"/>
      <c r="T546" s="2"/>
      <c r="U546" s="2"/>
      <c r="V546" s="2"/>
      <c r="W546" s="2"/>
      <c r="X546" s="2"/>
      <c r="Y546" s="2"/>
      <c r="Z546" s="2"/>
      <c r="AA546" s="2"/>
      <c r="AB546" s="2"/>
      <c r="AC546" s="2"/>
    </row>
    <row r="547" spans="1:29" ht="17.399999999999999" x14ac:dyDescent="0.25">
      <c r="A547" s="1"/>
      <c r="B547" s="2"/>
      <c r="C547" s="2"/>
      <c r="D547" s="2"/>
      <c r="E547" s="2"/>
      <c r="F547" s="2"/>
      <c r="G547" s="2"/>
      <c r="H547" s="2"/>
      <c r="I547" s="2"/>
      <c r="J547" s="2"/>
      <c r="K547" s="2"/>
      <c r="L547" s="2"/>
      <c r="M547" s="2"/>
      <c r="N547" s="2"/>
      <c r="O547" s="1"/>
      <c r="P547" s="2"/>
      <c r="Q547" s="2"/>
      <c r="R547" s="2"/>
      <c r="S547" s="2"/>
      <c r="T547" s="2"/>
      <c r="U547" s="2"/>
      <c r="V547" s="2"/>
      <c r="W547" s="2"/>
      <c r="X547" s="2"/>
      <c r="Y547" s="2"/>
      <c r="Z547" s="2"/>
      <c r="AA547" s="2"/>
      <c r="AB547" s="2"/>
      <c r="AC547" s="2"/>
    </row>
    <row r="548" spans="1:29" ht="17.399999999999999" x14ac:dyDescent="0.25">
      <c r="A548" s="1"/>
      <c r="B548" s="2"/>
      <c r="C548" s="2"/>
      <c r="D548" s="2"/>
      <c r="E548" s="2"/>
      <c r="F548" s="2"/>
      <c r="G548" s="2"/>
      <c r="H548" s="2"/>
      <c r="I548" s="2"/>
      <c r="J548" s="2"/>
      <c r="K548" s="2"/>
      <c r="L548" s="2"/>
      <c r="M548" s="2"/>
      <c r="N548" s="2"/>
      <c r="O548" s="1"/>
      <c r="P548" s="2"/>
      <c r="Q548" s="2"/>
      <c r="R548" s="2"/>
      <c r="S548" s="2"/>
      <c r="T548" s="2"/>
      <c r="U548" s="2"/>
      <c r="V548" s="2"/>
      <c r="W548" s="2"/>
      <c r="X548" s="2"/>
      <c r="Y548" s="2"/>
      <c r="Z548" s="2"/>
      <c r="AA548" s="2"/>
      <c r="AB548" s="2"/>
      <c r="AC548" s="2"/>
    </row>
    <row r="549" spans="1:29" ht="17.399999999999999" x14ac:dyDescent="0.25">
      <c r="A549" s="1"/>
      <c r="B549" s="2"/>
      <c r="C549" s="2"/>
      <c r="D549" s="2"/>
      <c r="E549" s="2"/>
      <c r="F549" s="2"/>
      <c r="G549" s="2"/>
      <c r="H549" s="2"/>
      <c r="I549" s="2"/>
      <c r="J549" s="2"/>
      <c r="K549" s="2"/>
      <c r="L549" s="2"/>
      <c r="M549" s="2"/>
      <c r="N549" s="2"/>
      <c r="O549" s="1"/>
      <c r="P549" s="2"/>
      <c r="Q549" s="2"/>
      <c r="R549" s="2"/>
      <c r="S549" s="2"/>
      <c r="T549" s="2"/>
      <c r="U549" s="2"/>
      <c r="V549" s="2"/>
      <c r="W549" s="2"/>
      <c r="X549" s="2"/>
      <c r="Y549" s="2"/>
      <c r="Z549" s="2"/>
      <c r="AA549" s="2"/>
      <c r="AB549" s="2"/>
      <c r="AC549" s="2"/>
    </row>
    <row r="550" spans="1:29" ht="17.399999999999999" x14ac:dyDescent="0.25">
      <c r="A550" s="1"/>
      <c r="B550" s="2"/>
      <c r="C550" s="2"/>
      <c r="D550" s="2"/>
      <c r="E550" s="2"/>
      <c r="F550" s="2"/>
      <c r="G550" s="2"/>
      <c r="H550" s="2"/>
      <c r="I550" s="2"/>
      <c r="J550" s="2"/>
      <c r="K550" s="2"/>
      <c r="L550" s="2"/>
      <c r="M550" s="2"/>
      <c r="N550" s="2"/>
      <c r="O550" s="1"/>
      <c r="P550" s="2"/>
      <c r="Q550" s="2"/>
      <c r="R550" s="2"/>
      <c r="S550" s="2"/>
      <c r="T550" s="2"/>
      <c r="U550" s="2"/>
      <c r="V550" s="2"/>
      <c r="W550" s="2"/>
      <c r="X550" s="2"/>
      <c r="Y550" s="2"/>
      <c r="Z550" s="2"/>
      <c r="AA550" s="2"/>
      <c r="AB550" s="2"/>
      <c r="AC550" s="2"/>
    </row>
    <row r="551" spans="1:29" ht="17.399999999999999" x14ac:dyDescent="0.25">
      <c r="A551" s="1"/>
      <c r="B551" s="2"/>
      <c r="C551" s="2"/>
      <c r="D551" s="2"/>
      <c r="E551" s="2"/>
      <c r="F551" s="2"/>
      <c r="G551" s="2"/>
      <c r="H551" s="2"/>
      <c r="I551" s="2"/>
      <c r="J551" s="2"/>
      <c r="K551" s="2"/>
      <c r="L551" s="2"/>
      <c r="M551" s="2"/>
      <c r="N551" s="2"/>
      <c r="O551" s="1"/>
      <c r="P551" s="2"/>
      <c r="Q551" s="2"/>
      <c r="R551" s="2"/>
      <c r="S551" s="2"/>
      <c r="T551" s="2"/>
      <c r="U551" s="2"/>
      <c r="V551" s="2"/>
      <c r="W551" s="2"/>
      <c r="X551" s="2"/>
      <c r="Y551" s="2"/>
      <c r="Z551" s="2"/>
      <c r="AA551" s="2"/>
      <c r="AB551" s="2"/>
      <c r="AC551" s="2"/>
    </row>
    <row r="552" spans="1:29" ht="17.399999999999999" x14ac:dyDescent="0.25">
      <c r="A552" s="1"/>
      <c r="B552" s="2"/>
      <c r="C552" s="2"/>
      <c r="D552" s="2"/>
      <c r="E552" s="2"/>
      <c r="F552" s="2"/>
      <c r="G552" s="2"/>
      <c r="H552" s="2"/>
      <c r="I552" s="2"/>
      <c r="J552" s="2"/>
      <c r="K552" s="2"/>
      <c r="L552" s="2"/>
      <c r="M552" s="2"/>
      <c r="N552" s="2"/>
      <c r="O552" s="1"/>
      <c r="P552" s="2"/>
      <c r="Q552" s="2"/>
      <c r="R552" s="2"/>
      <c r="S552" s="2"/>
      <c r="T552" s="2"/>
      <c r="U552" s="2"/>
      <c r="V552" s="2"/>
      <c r="W552" s="2"/>
      <c r="X552" s="2"/>
      <c r="Y552" s="2"/>
      <c r="Z552" s="2"/>
      <c r="AA552" s="2"/>
      <c r="AB552" s="2"/>
      <c r="AC552" s="2"/>
    </row>
    <row r="553" spans="1:29" ht="17.399999999999999" x14ac:dyDescent="0.25">
      <c r="A553" s="1"/>
      <c r="B553" s="2"/>
      <c r="C553" s="2"/>
      <c r="D553" s="2"/>
      <c r="E553" s="2"/>
      <c r="F553" s="2"/>
      <c r="G553" s="2"/>
      <c r="H553" s="2"/>
      <c r="I553" s="2"/>
      <c r="J553" s="2"/>
      <c r="K553" s="2"/>
      <c r="L553" s="2"/>
      <c r="M553" s="2"/>
      <c r="N553" s="2"/>
      <c r="O553" s="1"/>
      <c r="P553" s="2"/>
      <c r="Q553" s="2"/>
      <c r="R553" s="2"/>
      <c r="S553" s="2"/>
      <c r="T553" s="2"/>
      <c r="U553" s="2"/>
      <c r="V553" s="2"/>
      <c r="W553" s="2"/>
      <c r="X553" s="2"/>
      <c r="Y553" s="2"/>
      <c r="Z553" s="2"/>
      <c r="AA553" s="2"/>
      <c r="AB553" s="2"/>
      <c r="AC553" s="2"/>
    </row>
    <row r="554" spans="1:29" ht="17.399999999999999" x14ac:dyDescent="0.25">
      <c r="A554" s="1"/>
      <c r="B554" s="2"/>
      <c r="C554" s="2"/>
      <c r="D554" s="2"/>
      <c r="E554" s="2"/>
      <c r="F554" s="2"/>
      <c r="G554" s="2"/>
      <c r="H554" s="2"/>
      <c r="I554" s="2"/>
      <c r="J554" s="2"/>
      <c r="K554" s="2"/>
      <c r="L554" s="2"/>
      <c r="M554" s="2"/>
      <c r="N554" s="2"/>
      <c r="O554" s="1"/>
      <c r="P554" s="2"/>
      <c r="Q554" s="2"/>
      <c r="R554" s="2"/>
      <c r="S554" s="2"/>
      <c r="T554" s="2"/>
      <c r="U554" s="2"/>
      <c r="V554" s="2"/>
      <c r="W554" s="2"/>
      <c r="X554" s="2"/>
      <c r="Y554" s="2"/>
      <c r="Z554" s="2"/>
      <c r="AA554" s="2"/>
      <c r="AB554" s="2"/>
      <c r="AC554" s="2"/>
    </row>
    <row r="555" spans="1:29" ht="17.399999999999999" x14ac:dyDescent="0.25">
      <c r="A555" s="1"/>
      <c r="B555" s="2"/>
      <c r="C555" s="2"/>
      <c r="D555" s="2"/>
      <c r="E555" s="2"/>
      <c r="F555" s="2"/>
      <c r="G555" s="2"/>
      <c r="H555" s="2"/>
      <c r="I555" s="2"/>
      <c r="J555" s="2"/>
      <c r="K555" s="2"/>
      <c r="L555" s="2"/>
      <c r="M555" s="2"/>
      <c r="N555" s="2"/>
      <c r="O555" s="1"/>
      <c r="P555" s="2"/>
      <c r="Q555" s="2"/>
      <c r="R555" s="2"/>
      <c r="S555" s="2"/>
      <c r="T555" s="2"/>
      <c r="U555" s="2"/>
      <c r="V555" s="2"/>
      <c r="W555" s="2"/>
      <c r="X555" s="2"/>
      <c r="Y555" s="2"/>
      <c r="Z555" s="2"/>
      <c r="AA555" s="2"/>
      <c r="AB555" s="2"/>
      <c r="AC555" s="2"/>
    </row>
    <row r="556" spans="1:29" ht="17.399999999999999" x14ac:dyDescent="0.25">
      <c r="A556" s="1"/>
      <c r="B556" s="2"/>
      <c r="C556" s="2"/>
      <c r="D556" s="2"/>
      <c r="E556" s="2"/>
      <c r="F556" s="2"/>
      <c r="G556" s="2"/>
      <c r="H556" s="2"/>
      <c r="I556" s="2"/>
      <c r="J556" s="2"/>
      <c r="K556" s="2"/>
      <c r="L556" s="2"/>
      <c r="M556" s="2"/>
      <c r="N556" s="2"/>
      <c r="O556" s="1"/>
      <c r="P556" s="2"/>
      <c r="Q556" s="2"/>
      <c r="R556" s="2"/>
      <c r="S556" s="2"/>
      <c r="T556" s="2"/>
      <c r="U556" s="2"/>
      <c r="V556" s="2"/>
      <c r="W556" s="2"/>
      <c r="X556" s="2"/>
      <c r="Y556" s="2"/>
      <c r="Z556" s="2"/>
      <c r="AA556" s="2"/>
      <c r="AB556" s="2"/>
      <c r="AC556" s="2"/>
    </row>
    <row r="557" spans="1:29" ht="17.399999999999999" x14ac:dyDescent="0.25">
      <c r="A557" s="1"/>
      <c r="B557" s="2"/>
      <c r="C557" s="2"/>
      <c r="D557" s="2"/>
      <c r="E557" s="2"/>
      <c r="F557" s="2"/>
      <c r="G557" s="2"/>
      <c r="H557" s="2"/>
      <c r="I557" s="2"/>
      <c r="J557" s="2"/>
      <c r="K557" s="2"/>
      <c r="L557" s="2"/>
      <c r="M557" s="2"/>
      <c r="N557" s="2"/>
      <c r="O557" s="1"/>
      <c r="P557" s="2"/>
      <c r="Q557" s="2"/>
      <c r="R557" s="2"/>
      <c r="S557" s="2"/>
      <c r="T557" s="2"/>
      <c r="U557" s="2"/>
      <c r="V557" s="2"/>
      <c r="W557" s="2"/>
      <c r="X557" s="2"/>
      <c r="Y557" s="2"/>
      <c r="Z557" s="2"/>
      <c r="AA557" s="2"/>
      <c r="AB557" s="2"/>
      <c r="AC557" s="2"/>
    </row>
    <row r="558" spans="1:29" ht="17.399999999999999" x14ac:dyDescent="0.25">
      <c r="A558" s="1"/>
      <c r="B558" s="2"/>
      <c r="C558" s="2"/>
      <c r="D558" s="2"/>
      <c r="E558" s="2"/>
      <c r="F558" s="2"/>
      <c r="G558" s="2"/>
      <c r="H558" s="2"/>
      <c r="I558" s="2"/>
      <c r="J558" s="2"/>
      <c r="K558" s="2"/>
      <c r="L558" s="2"/>
      <c r="M558" s="2"/>
      <c r="N558" s="2"/>
      <c r="O558" s="1"/>
      <c r="P558" s="2"/>
      <c r="Q558" s="2"/>
      <c r="R558" s="2"/>
      <c r="S558" s="2"/>
      <c r="T558" s="2"/>
      <c r="U558" s="2"/>
      <c r="V558" s="2"/>
      <c r="W558" s="2"/>
      <c r="X558" s="2"/>
      <c r="Y558" s="2"/>
      <c r="Z558" s="2"/>
      <c r="AA558" s="2"/>
      <c r="AB558" s="2"/>
      <c r="AC558" s="2"/>
    </row>
    <row r="559" spans="1:29" ht="17.399999999999999" x14ac:dyDescent="0.25">
      <c r="A559" s="1"/>
      <c r="B559" s="2"/>
      <c r="C559" s="2"/>
      <c r="D559" s="2"/>
      <c r="E559" s="2"/>
      <c r="F559" s="2"/>
      <c r="G559" s="2"/>
      <c r="H559" s="2"/>
      <c r="I559" s="2"/>
      <c r="J559" s="2"/>
      <c r="K559" s="2"/>
      <c r="L559" s="2"/>
      <c r="M559" s="2"/>
      <c r="N559" s="2"/>
      <c r="O559" s="1"/>
      <c r="P559" s="2"/>
      <c r="Q559" s="2"/>
      <c r="R559" s="2"/>
      <c r="S559" s="2"/>
      <c r="T559" s="2"/>
      <c r="U559" s="2"/>
      <c r="V559" s="2"/>
      <c r="W559" s="2"/>
      <c r="X559" s="2"/>
      <c r="Y559" s="2"/>
      <c r="Z559" s="2"/>
      <c r="AA559" s="2"/>
      <c r="AB559" s="2"/>
      <c r="AC559" s="2"/>
    </row>
    <row r="560" spans="1:29" ht="17.399999999999999" x14ac:dyDescent="0.25">
      <c r="A560" s="1"/>
      <c r="B560" s="2"/>
      <c r="C560" s="2"/>
      <c r="D560" s="2"/>
      <c r="E560" s="2"/>
      <c r="F560" s="2"/>
      <c r="G560" s="2"/>
      <c r="H560" s="2"/>
      <c r="I560" s="2"/>
      <c r="J560" s="2"/>
      <c r="K560" s="2"/>
      <c r="L560" s="2"/>
      <c r="M560" s="2"/>
      <c r="N560" s="2"/>
      <c r="O560" s="1"/>
      <c r="P560" s="2"/>
      <c r="Q560" s="2"/>
      <c r="R560" s="2"/>
      <c r="S560" s="2"/>
      <c r="T560" s="2"/>
      <c r="U560" s="2"/>
      <c r="V560" s="2"/>
      <c r="W560" s="2"/>
      <c r="X560" s="2"/>
      <c r="Y560" s="2"/>
      <c r="Z560" s="2"/>
      <c r="AA560" s="2"/>
      <c r="AB560" s="2"/>
      <c r="AC560" s="2"/>
    </row>
    <row r="561" spans="1:29" ht="17.399999999999999" x14ac:dyDescent="0.25">
      <c r="A561" s="1"/>
      <c r="B561" s="2"/>
      <c r="C561" s="2"/>
      <c r="D561" s="2"/>
      <c r="E561" s="2"/>
      <c r="F561" s="2"/>
      <c r="G561" s="2"/>
      <c r="H561" s="2"/>
      <c r="I561" s="2"/>
      <c r="J561" s="2"/>
      <c r="K561" s="2"/>
      <c r="L561" s="2"/>
      <c r="M561" s="2"/>
      <c r="N561" s="2"/>
      <c r="O561" s="1"/>
      <c r="P561" s="2"/>
      <c r="Q561" s="2"/>
      <c r="R561" s="2"/>
      <c r="S561" s="2"/>
      <c r="T561" s="2"/>
      <c r="U561" s="2"/>
      <c r="V561" s="2"/>
      <c r="W561" s="2"/>
      <c r="X561" s="2"/>
      <c r="Y561" s="2"/>
      <c r="Z561" s="2"/>
      <c r="AA561" s="2"/>
      <c r="AB561" s="2"/>
      <c r="AC561" s="2"/>
    </row>
    <row r="562" spans="1:29" ht="17.399999999999999" x14ac:dyDescent="0.25">
      <c r="A562" s="1"/>
      <c r="B562" s="2"/>
      <c r="C562" s="2"/>
      <c r="D562" s="2"/>
      <c r="E562" s="2"/>
      <c r="F562" s="2"/>
      <c r="G562" s="2"/>
      <c r="H562" s="2"/>
      <c r="I562" s="2"/>
      <c r="J562" s="2"/>
      <c r="K562" s="2"/>
      <c r="L562" s="2"/>
      <c r="M562" s="2"/>
      <c r="N562" s="2"/>
      <c r="O562" s="1"/>
      <c r="P562" s="2"/>
      <c r="Q562" s="2"/>
      <c r="R562" s="2"/>
      <c r="S562" s="2"/>
      <c r="T562" s="2"/>
      <c r="U562" s="2"/>
      <c r="V562" s="2"/>
      <c r="W562" s="2"/>
      <c r="X562" s="2"/>
      <c r="Y562" s="2"/>
      <c r="Z562" s="2"/>
      <c r="AA562" s="2"/>
      <c r="AB562" s="2"/>
      <c r="AC562" s="2"/>
    </row>
    <row r="563" spans="1:29" ht="17.399999999999999" x14ac:dyDescent="0.25">
      <c r="A563" s="1"/>
      <c r="B563" s="2"/>
      <c r="C563" s="2"/>
      <c r="D563" s="2"/>
      <c r="E563" s="2"/>
      <c r="F563" s="2"/>
      <c r="G563" s="2"/>
      <c r="H563" s="2"/>
      <c r="I563" s="2"/>
      <c r="J563" s="2"/>
      <c r="K563" s="2"/>
      <c r="L563" s="2"/>
      <c r="M563" s="2"/>
      <c r="N563" s="2"/>
      <c r="O563" s="1"/>
      <c r="P563" s="2"/>
      <c r="Q563" s="2"/>
      <c r="R563" s="2"/>
      <c r="S563" s="2"/>
      <c r="T563" s="2"/>
      <c r="U563" s="2"/>
      <c r="V563" s="2"/>
      <c r="W563" s="2"/>
      <c r="X563" s="2"/>
      <c r="Y563" s="2"/>
      <c r="Z563" s="2"/>
      <c r="AA563" s="2"/>
      <c r="AB563" s="2"/>
      <c r="AC563" s="2"/>
    </row>
    <row r="564" spans="1:29" ht="17.399999999999999" x14ac:dyDescent="0.25">
      <c r="A564" s="1"/>
      <c r="B564" s="2"/>
      <c r="C564" s="2"/>
      <c r="D564" s="2"/>
      <c r="E564" s="2"/>
      <c r="F564" s="2"/>
      <c r="G564" s="2"/>
      <c r="H564" s="2"/>
      <c r="I564" s="2"/>
      <c r="J564" s="2"/>
      <c r="K564" s="2"/>
      <c r="L564" s="2"/>
      <c r="M564" s="2"/>
      <c r="N564" s="2"/>
      <c r="O564" s="1"/>
      <c r="P564" s="2"/>
      <c r="Q564" s="2"/>
      <c r="R564" s="2"/>
      <c r="S564" s="2"/>
      <c r="T564" s="2"/>
      <c r="U564" s="2"/>
      <c r="V564" s="2"/>
      <c r="W564" s="2"/>
      <c r="X564" s="2"/>
      <c r="Y564" s="2"/>
      <c r="Z564" s="2"/>
      <c r="AA564" s="2"/>
      <c r="AB564" s="2"/>
      <c r="AC564" s="2"/>
    </row>
    <row r="565" spans="1:29" ht="17.399999999999999" x14ac:dyDescent="0.25">
      <c r="A565" s="1"/>
      <c r="B565" s="2"/>
      <c r="C565" s="2"/>
      <c r="D565" s="2"/>
      <c r="E565" s="2"/>
      <c r="F565" s="2"/>
      <c r="G565" s="2"/>
      <c r="H565" s="2"/>
      <c r="I565" s="2"/>
      <c r="J565" s="2"/>
      <c r="K565" s="2"/>
      <c r="L565" s="2"/>
      <c r="M565" s="2"/>
      <c r="N565" s="2"/>
      <c r="O565" s="1"/>
      <c r="P565" s="2"/>
      <c r="Q565" s="2"/>
      <c r="R565" s="2"/>
      <c r="S565" s="2"/>
      <c r="T565" s="2"/>
      <c r="U565" s="2"/>
      <c r="V565" s="2"/>
      <c r="W565" s="2"/>
      <c r="X565" s="2"/>
      <c r="Y565" s="2"/>
      <c r="Z565" s="2"/>
      <c r="AA565" s="2"/>
      <c r="AB565" s="2"/>
      <c r="AC565" s="2"/>
    </row>
    <row r="566" spans="1:29" ht="17.399999999999999" x14ac:dyDescent="0.25">
      <c r="A566" s="1"/>
      <c r="B566" s="2"/>
      <c r="C566" s="2"/>
      <c r="D566" s="2"/>
      <c r="E566" s="2"/>
      <c r="F566" s="2"/>
      <c r="G566" s="2"/>
      <c r="H566" s="2"/>
      <c r="I566" s="2"/>
      <c r="J566" s="2"/>
      <c r="K566" s="2"/>
      <c r="L566" s="2"/>
      <c r="M566" s="2"/>
      <c r="N566" s="2"/>
      <c r="O566" s="1"/>
      <c r="P566" s="2"/>
      <c r="Q566" s="2"/>
      <c r="R566" s="2"/>
      <c r="S566" s="2"/>
      <c r="T566" s="2"/>
      <c r="U566" s="2"/>
      <c r="V566" s="2"/>
      <c r="W566" s="2"/>
      <c r="X566" s="2"/>
      <c r="Y566" s="2"/>
      <c r="Z566" s="2"/>
      <c r="AA566" s="2"/>
      <c r="AB566" s="2"/>
      <c r="AC566" s="2"/>
    </row>
    <row r="567" spans="1:29" ht="17.399999999999999" x14ac:dyDescent="0.25">
      <c r="A567" s="1"/>
      <c r="B567" s="2"/>
      <c r="C567" s="2"/>
      <c r="D567" s="2"/>
      <c r="E567" s="2"/>
      <c r="F567" s="2"/>
      <c r="G567" s="2"/>
      <c r="H567" s="2"/>
      <c r="I567" s="2"/>
      <c r="J567" s="2"/>
      <c r="K567" s="2"/>
      <c r="L567" s="2"/>
      <c r="M567" s="2"/>
      <c r="N567" s="2"/>
      <c r="O567" s="1"/>
      <c r="P567" s="2"/>
      <c r="Q567" s="2"/>
      <c r="R567" s="2"/>
      <c r="S567" s="2"/>
      <c r="T567" s="2"/>
      <c r="U567" s="2"/>
      <c r="V567" s="2"/>
      <c r="W567" s="2"/>
      <c r="X567" s="2"/>
      <c r="Y567" s="2"/>
      <c r="Z567" s="2"/>
      <c r="AA567" s="2"/>
      <c r="AB567" s="2"/>
      <c r="AC567" s="2"/>
    </row>
    <row r="568" spans="1:29" ht="17.399999999999999" x14ac:dyDescent="0.25">
      <c r="A568" s="1"/>
      <c r="B568" s="2"/>
      <c r="C568" s="2"/>
      <c r="D568" s="2"/>
      <c r="E568" s="2"/>
      <c r="F568" s="2"/>
      <c r="G568" s="2"/>
      <c r="H568" s="2"/>
      <c r="I568" s="2"/>
      <c r="J568" s="2"/>
      <c r="K568" s="2"/>
      <c r="L568" s="2"/>
      <c r="M568" s="2"/>
      <c r="N568" s="2"/>
      <c r="O568" s="1"/>
      <c r="P568" s="2"/>
      <c r="Q568" s="2"/>
      <c r="R568" s="2"/>
      <c r="S568" s="2"/>
      <c r="T568" s="2"/>
      <c r="U568" s="2"/>
      <c r="V568" s="2"/>
      <c r="W568" s="2"/>
      <c r="X568" s="2"/>
      <c r="Y568" s="2"/>
      <c r="Z568" s="2"/>
      <c r="AA568" s="2"/>
      <c r="AB568" s="2"/>
      <c r="AC568" s="2"/>
    </row>
    <row r="569" spans="1:29" ht="17.399999999999999" x14ac:dyDescent="0.25">
      <c r="A569" s="1"/>
      <c r="B569" s="2"/>
      <c r="C569" s="2"/>
      <c r="D569" s="2"/>
      <c r="E569" s="2"/>
      <c r="F569" s="2"/>
      <c r="G569" s="2"/>
      <c r="H569" s="2"/>
      <c r="I569" s="2"/>
      <c r="J569" s="2"/>
      <c r="K569" s="2"/>
      <c r="L569" s="2"/>
      <c r="M569" s="2"/>
      <c r="N569" s="2"/>
      <c r="O569" s="1"/>
      <c r="P569" s="2"/>
      <c r="Q569" s="2"/>
      <c r="R569" s="2"/>
      <c r="S569" s="2"/>
      <c r="T569" s="2"/>
      <c r="U569" s="2"/>
      <c r="V569" s="2"/>
      <c r="W569" s="2"/>
      <c r="X569" s="2"/>
      <c r="Y569" s="2"/>
      <c r="Z569" s="2"/>
      <c r="AA569" s="2"/>
      <c r="AB569" s="2"/>
      <c r="AC569" s="2"/>
    </row>
    <row r="570" spans="1:29" ht="17.399999999999999" x14ac:dyDescent="0.25">
      <c r="A570" s="1"/>
      <c r="B570" s="2"/>
      <c r="C570" s="2"/>
      <c r="D570" s="2"/>
      <c r="E570" s="2"/>
      <c r="F570" s="2"/>
      <c r="G570" s="2"/>
      <c r="H570" s="2"/>
      <c r="I570" s="2"/>
      <c r="J570" s="2"/>
      <c r="K570" s="2"/>
      <c r="L570" s="2"/>
      <c r="M570" s="2"/>
      <c r="N570" s="2"/>
      <c r="O570" s="1"/>
      <c r="P570" s="2"/>
      <c r="Q570" s="2"/>
      <c r="R570" s="2"/>
      <c r="S570" s="2"/>
      <c r="T570" s="2"/>
      <c r="U570" s="2"/>
      <c r="V570" s="2"/>
      <c r="W570" s="2"/>
      <c r="X570" s="2"/>
      <c r="Y570" s="2"/>
      <c r="Z570" s="2"/>
      <c r="AA570" s="2"/>
      <c r="AB570" s="2"/>
      <c r="AC570" s="2"/>
    </row>
    <row r="571" spans="1:29" ht="17.399999999999999" x14ac:dyDescent="0.25">
      <c r="A571" s="1"/>
      <c r="B571" s="2"/>
      <c r="C571" s="2"/>
      <c r="D571" s="2"/>
      <c r="E571" s="2"/>
      <c r="F571" s="2"/>
      <c r="G571" s="2"/>
      <c r="H571" s="2"/>
      <c r="I571" s="2"/>
      <c r="J571" s="2"/>
      <c r="K571" s="2"/>
      <c r="L571" s="2"/>
      <c r="M571" s="2"/>
      <c r="N571" s="2"/>
      <c r="O571" s="1"/>
      <c r="P571" s="2"/>
      <c r="Q571" s="2"/>
      <c r="R571" s="2"/>
      <c r="S571" s="2"/>
      <c r="T571" s="2"/>
      <c r="U571" s="2"/>
      <c r="V571" s="2"/>
      <c r="W571" s="2"/>
      <c r="X571" s="2"/>
      <c r="Y571" s="2"/>
      <c r="Z571" s="2"/>
      <c r="AA571" s="2"/>
      <c r="AB571" s="2"/>
      <c r="AC571" s="2"/>
    </row>
    <row r="572" spans="1:29" ht="17.399999999999999" x14ac:dyDescent="0.25">
      <c r="A572" s="1"/>
      <c r="B572" s="2"/>
      <c r="C572" s="2"/>
      <c r="D572" s="2"/>
      <c r="E572" s="2"/>
      <c r="F572" s="2"/>
      <c r="G572" s="2"/>
      <c r="H572" s="2"/>
      <c r="I572" s="2"/>
      <c r="J572" s="2"/>
      <c r="K572" s="2"/>
      <c r="L572" s="2"/>
      <c r="M572" s="2"/>
      <c r="N572" s="2"/>
      <c r="O572" s="1"/>
      <c r="P572" s="2"/>
      <c r="Q572" s="2"/>
      <c r="R572" s="2"/>
      <c r="S572" s="2"/>
      <c r="T572" s="2"/>
      <c r="U572" s="2"/>
      <c r="V572" s="2"/>
      <c r="W572" s="2"/>
      <c r="X572" s="2"/>
      <c r="Y572" s="2"/>
      <c r="Z572" s="2"/>
      <c r="AA572" s="2"/>
      <c r="AB572" s="2"/>
      <c r="AC572" s="2"/>
    </row>
    <row r="573" spans="1:29" ht="17.399999999999999" x14ac:dyDescent="0.25">
      <c r="A573" s="1"/>
      <c r="B573" s="2"/>
      <c r="C573" s="2"/>
      <c r="D573" s="2"/>
      <c r="E573" s="2"/>
      <c r="F573" s="2"/>
      <c r="G573" s="2"/>
      <c r="H573" s="2"/>
      <c r="I573" s="2"/>
      <c r="J573" s="2"/>
      <c r="K573" s="2"/>
      <c r="L573" s="2"/>
      <c r="M573" s="2"/>
      <c r="N573" s="2"/>
      <c r="O573" s="1"/>
      <c r="P573" s="2"/>
      <c r="Q573" s="2"/>
      <c r="R573" s="2"/>
      <c r="S573" s="2"/>
      <c r="T573" s="2"/>
      <c r="U573" s="2"/>
      <c r="V573" s="2"/>
      <c r="W573" s="2"/>
      <c r="X573" s="2"/>
      <c r="Y573" s="2"/>
      <c r="Z573" s="2"/>
      <c r="AA573" s="2"/>
      <c r="AB573" s="2"/>
      <c r="AC573" s="2"/>
    </row>
    <row r="574" spans="1:29" ht="17.399999999999999" x14ac:dyDescent="0.25">
      <c r="A574" s="1"/>
      <c r="B574" s="2"/>
      <c r="C574" s="2"/>
      <c r="D574" s="2"/>
      <c r="E574" s="2"/>
      <c r="F574" s="2"/>
      <c r="G574" s="2"/>
      <c r="H574" s="2"/>
      <c r="I574" s="2"/>
      <c r="J574" s="2"/>
      <c r="K574" s="2"/>
      <c r="L574" s="2"/>
      <c r="M574" s="2"/>
      <c r="N574" s="2"/>
      <c r="O574" s="1"/>
      <c r="P574" s="2"/>
      <c r="Q574" s="2"/>
      <c r="R574" s="2"/>
      <c r="S574" s="2"/>
      <c r="T574" s="2"/>
      <c r="U574" s="2"/>
      <c r="V574" s="2"/>
      <c r="W574" s="2"/>
      <c r="X574" s="2"/>
      <c r="Y574" s="2"/>
      <c r="Z574" s="2"/>
      <c r="AA574" s="2"/>
      <c r="AB574" s="2"/>
      <c r="AC574" s="2"/>
    </row>
    <row r="575" spans="1:29" ht="17.399999999999999" x14ac:dyDescent="0.25">
      <c r="A575" s="1"/>
      <c r="B575" s="2"/>
      <c r="C575" s="2"/>
      <c r="D575" s="2"/>
      <c r="E575" s="2"/>
      <c r="F575" s="2"/>
      <c r="G575" s="2"/>
      <c r="H575" s="2"/>
      <c r="I575" s="2"/>
      <c r="J575" s="2"/>
      <c r="K575" s="2"/>
      <c r="L575" s="2"/>
      <c r="M575" s="2"/>
      <c r="N575" s="2"/>
      <c r="O575" s="1"/>
      <c r="P575" s="2"/>
      <c r="Q575" s="2"/>
      <c r="R575" s="2"/>
      <c r="S575" s="2"/>
      <c r="T575" s="2"/>
      <c r="U575" s="2"/>
      <c r="V575" s="2"/>
      <c r="W575" s="2"/>
      <c r="X575" s="2"/>
      <c r="Y575" s="2"/>
      <c r="Z575" s="2"/>
      <c r="AA575" s="2"/>
      <c r="AB575" s="2"/>
      <c r="AC575" s="2"/>
    </row>
    <row r="576" spans="1:29" ht="17.399999999999999" x14ac:dyDescent="0.25">
      <c r="A576" s="1"/>
      <c r="B576" s="2"/>
      <c r="C576" s="2"/>
      <c r="D576" s="2"/>
      <c r="E576" s="2"/>
      <c r="F576" s="2"/>
      <c r="G576" s="2"/>
      <c r="H576" s="2"/>
      <c r="I576" s="2"/>
      <c r="J576" s="2"/>
      <c r="K576" s="2"/>
      <c r="L576" s="2"/>
      <c r="M576" s="2"/>
      <c r="N576" s="2"/>
      <c r="O576" s="1"/>
      <c r="P576" s="2"/>
      <c r="Q576" s="2"/>
      <c r="R576" s="2"/>
      <c r="S576" s="2"/>
      <c r="T576" s="2"/>
      <c r="U576" s="2"/>
      <c r="V576" s="2"/>
      <c r="W576" s="2"/>
      <c r="X576" s="2"/>
      <c r="Y576" s="2"/>
      <c r="Z576" s="2"/>
      <c r="AA576" s="2"/>
      <c r="AB576" s="2"/>
      <c r="AC576" s="2"/>
    </row>
    <row r="577" spans="1:29" ht="17.399999999999999" x14ac:dyDescent="0.25">
      <c r="A577" s="1"/>
      <c r="B577" s="2"/>
      <c r="C577" s="2"/>
      <c r="D577" s="2"/>
      <c r="E577" s="2"/>
      <c r="F577" s="2"/>
      <c r="G577" s="2"/>
      <c r="H577" s="2"/>
      <c r="I577" s="2"/>
      <c r="J577" s="2"/>
      <c r="K577" s="2"/>
      <c r="L577" s="2"/>
      <c r="M577" s="2"/>
      <c r="N577" s="2"/>
      <c r="O577" s="1"/>
      <c r="P577" s="2"/>
      <c r="Q577" s="2"/>
      <c r="R577" s="2"/>
      <c r="S577" s="2"/>
      <c r="T577" s="2"/>
      <c r="U577" s="2"/>
      <c r="V577" s="2"/>
      <c r="W577" s="2"/>
      <c r="X577" s="2"/>
      <c r="Y577" s="2"/>
      <c r="Z577" s="2"/>
      <c r="AA577" s="2"/>
      <c r="AB577" s="2"/>
      <c r="AC577" s="2"/>
    </row>
    <row r="578" spans="1:29" ht="17.399999999999999" x14ac:dyDescent="0.25">
      <c r="A578" s="1"/>
      <c r="B578" s="2"/>
      <c r="C578" s="2"/>
      <c r="D578" s="2"/>
      <c r="E578" s="2"/>
      <c r="F578" s="2"/>
      <c r="G578" s="2"/>
      <c r="H578" s="2"/>
      <c r="I578" s="2"/>
      <c r="J578" s="2"/>
      <c r="K578" s="2"/>
      <c r="L578" s="2"/>
      <c r="M578" s="2"/>
      <c r="N578" s="2"/>
      <c r="O578" s="1"/>
      <c r="P578" s="2"/>
      <c r="Q578" s="2"/>
      <c r="R578" s="2"/>
      <c r="S578" s="2"/>
      <c r="T578" s="2"/>
      <c r="U578" s="2"/>
      <c r="V578" s="2"/>
      <c r="W578" s="2"/>
      <c r="X578" s="2"/>
      <c r="Y578" s="2"/>
      <c r="Z578" s="2"/>
      <c r="AA578" s="2"/>
      <c r="AB578" s="2"/>
      <c r="AC578" s="2"/>
    </row>
    <row r="579" spans="1:29" ht="17.399999999999999" x14ac:dyDescent="0.25">
      <c r="A579" s="1"/>
      <c r="B579" s="2"/>
      <c r="C579" s="2"/>
      <c r="D579" s="2"/>
      <c r="E579" s="2"/>
      <c r="F579" s="2"/>
      <c r="G579" s="2"/>
      <c r="H579" s="2"/>
      <c r="I579" s="2"/>
      <c r="J579" s="2"/>
      <c r="K579" s="2"/>
      <c r="L579" s="2"/>
      <c r="M579" s="2"/>
      <c r="N579" s="2"/>
      <c r="O579" s="1"/>
      <c r="P579" s="2"/>
      <c r="Q579" s="2"/>
      <c r="R579" s="2"/>
      <c r="S579" s="2"/>
      <c r="T579" s="2"/>
      <c r="U579" s="2"/>
      <c r="V579" s="2"/>
      <c r="W579" s="2"/>
      <c r="X579" s="2"/>
      <c r="Y579" s="2"/>
      <c r="Z579" s="2"/>
      <c r="AA579" s="2"/>
      <c r="AB579" s="2"/>
      <c r="AC579" s="2"/>
    </row>
    <row r="580" spans="1:29" ht="17.399999999999999" x14ac:dyDescent="0.25">
      <c r="A580" s="1"/>
      <c r="B580" s="2"/>
      <c r="C580" s="2"/>
      <c r="D580" s="2"/>
      <c r="E580" s="2"/>
      <c r="F580" s="2"/>
      <c r="G580" s="2"/>
      <c r="H580" s="2"/>
      <c r="I580" s="2"/>
      <c r="J580" s="2"/>
      <c r="K580" s="2"/>
      <c r="L580" s="2"/>
      <c r="M580" s="2"/>
      <c r="N580" s="2"/>
      <c r="O580" s="1"/>
      <c r="P580" s="2"/>
      <c r="Q580" s="2"/>
      <c r="R580" s="2"/>
      <c r="S580" s="2"/>
      <c r="T580" s="2"/>
      <c r="U580" s="2"/>
      <c r="V580" s="2"/>
      <c r="W580" s="2"/>
      <c r="X580" s="2"/>
      <c r="Y580" s="2"/>
      <c r="Z580" s="2"/>
      <c r="AA580" s="2"/>
      <c r="AB580" s="2"/>
      <c r="AC580" s="2"/>
    </row>
    <row r="581" spans="1:29" ht="17.399999999999999" x14ac:dyDescent="0.25">
      <c r="A581" s="1"/>
      <c r="B581" s="2"/>
      <c r="C581" s="2"/>
      <c r="D581" s="2"/>
      <c r="E581" s="2"/>
      <c r="F581" s="2"/>
      <c r="G581" s="2"/>
      <c r="H581" s="2"/>
      <c r="I581" s="2"/>
      <c r="J581" s="2"/>
      <c r="K581" s="2"/>
      <c r="L581" s="2"/>
      <c r="M581" s="2"/>
      <c r="N581" s="2"/>
      <c r="O581" s="1"/>
      <c r="P581" s="2"/>
      <c r="Q581" s="2"/>
      <c r="R581" s="2"/>
      <c r="S581" s="2"/>
      <c r="T581" s="2"/>
      <c r="U581" s="2"/>
      <c r="V581" s="2"/>
      <c r="W581" s="2"/>
      <c r="X581" s="2"/>
      <c r="Y581" s="2"/>
      <c r="Z581" s="2"/>
      <c r="AA581" s="2"/>
      <c r="AB581" s="2"/>
      <c r="AC581" s="2"/>
    </row>
    <row r="582" spans="1:29" ht="17.399999999999999" x14ac:dyDescent="0.25">
      <c r="A582" s="1"/>
      <c r="B582" s="2"/>
      <c r="C582" s="2"/>
      <c r="D582" s="2"/>
      <c r="E582" s="2"/>
      <c r="F582" s="2"/>
      <c r="G582" s="2"/>
      <c r="H582" s="2"/>
      <c r="I582" s="2"/>
      <c r="J582" s="2"/>
      <c r="K582" s="2"/>
      <c r="L582" s="2"/>
      <c r="M582" s="2"/>
      <c r="N582" s="2"/>
      <c r="O582" s="1"/>
      <c r="P582" s="2"/>
      <c r="Q582" s="2"/>
      <c r="R582" s="2"/>
      <c r="S582" s="2"/>
      <c r="T582" s="2"/>
      <c r="U582" s="2"/>
      <c r="V582" s="2"/>
      <c r="W582" s="2"/>
      <c r="X582" s="2"/>
      <c r="Y582" s="2"/>
      <c r="Z582" s="2"/>
      <c r="AA582" s="2"/>
      <c r="AB582" s="2"/>
      <c r="AC582" s="2"/>
    </row>
    <row r="583" spans="1:29" ht="17.399999999999999" x14ac:dyDescent="0.25">
      <c r="A583" s="1"/>
      <c r="B583" s="2"/>
      <c r="C583" s="2"/>
      <c r="D583" s="2"/>
      <c r="E583" s="2"/>
      <c r="F583" s="2"/>
      <c r="G583" s="2"/>
      <c r="H583" s="2"/>
      <c r="I583" s="2"/>
      <c r="J583" s="2"/>
      <c r="K583" s="2"/>
      <c r="L583" s="2"/>
      <c r="M583" s="2"/>
      <c r="N583" s="2"/>
      <c r="O583" s="1"/>
      <c r="P583" s="2"/>
      <c r="Q583" s="2"/>
      <c r="R583" s="2"/>
      <c r="S583" s="2"/>
      <c r="T583" s="2"/>
      <c r="U583" s="2"/>
      <c r="V583" s="2"/>
      <c r="W583" s="2"/>
      <c r="X583" s="2"/>
      <c r="Y583" s="2"/>
      <c r="Z583" s="2"/>
      <c r="AA583" s="2"/>
      <c r="AB583" s="2"/>
      <c r="AC583" s="2"/>
    </row>
    <row r="584" spans="1:29" ht="17.399999999999999" x14ac:dyDescent="0.25">
      <c r="A584" s="1"/>
      <c r="B584" s="2"/>
      <c r="C584" s="2"/>
      <c r="D584" s="2"/>
      <c r="E584" s="2"/>
      <c r="F584" s="2"/>
      <c r="G584" s="2"/>
      <c r="H584" s="2"/>
      <c r="I584" s="2"/>
      <c r="J584" s="2"/>
      <c r="K584" s="2"/>
      <c r="L584" s="2"/>
      <c r="M584" s="2"/>
      <c r="N584" s="2"/>
      <c r="O584" s="1"/>
      <c r="P584" s="2"/>
      <c r="Q584" s="2"/>
      <c r="R584" s="2"/>
      <c r="S584" s="2"/>
      <c r="T584" s="2"/>
      <c r="U584" s="2"/>
      <c r="V584" s="2"/>
      <c r="W584" s="2"/>
      <c r="X584" s="2"/>
      <c r="Y584" s="2"/>
      <c r="Z584" s="2"/>
      <c r="AA584" s="2"/>
      <c r="AB584" s="2"/>
      <c r="AC584" s="2"/>
    </row>
    <row r="585" spans="1:29" ht="17.399999999999999" x14ac:dyDescent="0.25">
      <c r="A585" s="1"/>
      <c r="B585" s="2"/>
      <c r="C585" s="2"/>
      <c r="D585" s="2"/>
      <c r="E585" s="2"/>
      <c r="F585" s="2"/>
      <c r="G585" s="2"/>
      <c r="H585" s="2"/>
      <c r="I585" s="2"/>
      <c r="J585" s="2"/>
      <c r="K585" s="2"/>
      <c r="L585" s="2"/>
      <c r="M585" s="2"/>
      <c r="N585" s="2"/>
      <c r="O585" s="1"/>
      <c r="P585" s="2"/>
      <c r="Q585" s="2"/>
      <c r="R585" s="2"/>
      <c r="S585" s="2"/>
      <c r="T585" s="2"/>
      <c r="U585" s="2"/>
      <c r="V585" s="2"/>
      <c r="W585" s="2"/>
      <c r="X585" s="2"/>
      <c r="Y585" s="2"/>
      <c r="Z585" s="2"/>
      <c r="AA585" s="2"/>
      <c r="AB585" s="2"/>
      <c r="AC585" s="2"/>
    </row>
    <row r="586" spans="1:29" ht="17.399999999999999" x14ac:dyDescent="0.25">
      <c r="A586" s="1"/>
      <c r="B586" s="2"/>
      <c r="C586" s="2"/>
      <c r="D586" s="2"/>
      <c r="E586" s="2"/>
      <c r="F586" s="2"/>
      <c r="G586" s="2"/>
      <c r="H586" s="2"/>
      <c r="I586" s="2"/>
      <c r="J586" s="2"/>
      <c r="K586" s="2"/>
      <c r="L586" s="2"/>
      <c r="M586" s="2"/>
      <c r="N586" s="2"/>
      <c r="O586" s="1"/>
      <c r="P586" s="2"/>
      <c r="Q586" s="2"/>
      <c r="R586" s="2"/>
      <c r="S586" s="2"/>
      <c r="T586" s="2"/>
      <c r="U586" s="2"/>
      <c r="V586" s="2"/>
      <c r="W586" s="2"/>
      <c r="X586" s="2"/>
      <c r="Y586" s="2"/>
      <c r="Z586" s="2"/>
      <c r="AA586" s="2"/>
      <c r="AB586" s="2"/>
      <c r="AC586" s="2"/>
    </row>
    <row r="587" spans="1:29" ht="17.399999999999999" x14ac:dyDescent="0.25">
      <c r="A587" s="1"/>
      <c r="B587" s="2"/>
      <c r="C587" s="2"/>
      <c r="D587" s="2"/>
      <c r="E587" s="2"/>
      <c r="F587" s="2"/>
      <c r="G587" s="2"/>
      <c r="H587" s="2"/>
      <c r="I587" s="2"/>
      <c r="J587" s="2"/>
      <c r="K587" s="2"/>
      <c r="L587" s="2"/>
      <c r="M587" s="2"/>
      <c r="N587" s="2"/>
      <c r="O587" s="1"/>
      <c r="P587" s="2"/>
      <c r="Q587" s="2"/>
      <c r="R587" s="2"/>
      <c r="S587" s="2"/>
      <c r="T587" s="2"/>
      <c r="U587" s="2"/>
      <c r="V587" s="2"/>
      <c r="W587" s="2"/>
      <c r="X587" s="2"/>
      <c r="Y587" s="2"/>
      <c r="Z587" s="2"/>
      <c r="AA587" s="2"/>
      <c r="AB587" s="2"/>
      <c r="AC587" s="2"/>
    </row>
    <row r="588" spans="1:29" ht="17.399999999999999" x14ac:dyDescent="0.25">
      <c r="A588" s="1"/>
      <c r="B588" s="2"/>
      <c r="C588" s="2"/>
      <c r="D588" s="2"/>
      <c r="E588" s="2"/>
      <c r="F588" s="2"/>
      <c r="G588" s="2"/>
      <c r="H588" s="2"/>
      <c r="I588" s="2"/>
      <c r="J588" s="2"/>
      <c r="K588" s="2"/>
      <c r="L588" s="2"/>
      <c r="M588" s="2"/>
      <c r="N588" s="2"/>
      <c r="O588" s="1"/>
      <c r="P588" s="2"/>
      <c r="Q588" s="2"/>
      <c r="R588" s="2"/>
      <c r="S588" s="2"/>
      <c r="T588" s="2"/>
      <c r="U588" s="2"/>
      <c r="V588" s="2"/>
      <c r="W588" s="2"/>
      <c r="X588" s="2"/>
      <c r="Y588" s="2"/>
      <c r="Z588" s="2"/>
      <c r="AA588" s="2"/>
      <c r="AB588" s="2"/>
      <c r="AC588" s="2"/>
    </row>
    <row r="589" spans="1:29" ht="17.399999999999999" x14ac:dyDescent="0.25">
      <c r="A589" s="1"/>
      <c r="B589" s="2"/>
      <c r="C589" s="2"/>
      <c r="D589" s="2"/>
      <c r="E589" s="2"/>
      <c r="F589" s="2"/>
      <c r="G589" s="2"/>
      <c r="H589" s="2"/>
      <c r="I589" s="2"/>
      <c r="J589" s="2"/>
      <c r="K589" s="2"/>
      <c r="L589" s="2"/>
      <c r="M589" s="2"/>
      <c r="N589" s="2"/>
      <c r="O589" s="1"/>
      <c r="P589" s="2"/>
      <c r="Q589" s="2"/>
      <c r="R589" s="2"/>
      <c r="S589" s="2"/>
      <c r="T589" s="2"/>
      <c r="U589" s="2"/>
      <c r="V589" s="2"/>
      <c r="W589" s="2"/>
      <c r="X589" s="2"/>
      <c r="Y589" s="2"/>
      <c r="Z589" s="2"/>
      <c r="AA589" s="2"/>
      <c r="AB589" s="2"/>
      <c r="AC589" s="2"/>
    </row>
    <row r="590" spans="1:29" ht="17.399999999999999" x14ac:dyDescent="0.25">
      <c r="A590" s="1"/>
      <c r="B590" s="2"/>
      <c r="C590" s="2"/>
      <c r="D590" s="2"/>
      <c r="E590" s="2"/>
      <c r="F590" s="2"/>
      <c r="G590" s="2"/>
      <c r="H590" s="2"/>
      <c r="I590" s="2"/>
      <c r="J590" s="2"/>
      <c r="K590" s="2"/>
      <c r="L590" s="2"/>
      <c r="M590" s="2"/>
      <c r="N590" s="2"/>
      <c r="O590" s="1"/>
      <c r="P590" s="2"/>
      <c r="Q590" s="2"/>
      <c r="R590" s="2"/>
      <c r="S590" s="2"/>
      <c r="T590" s="2"/>
      <c r="U590" s="2"/>
      <c r="V590" s="2"/>
      <c r="W590" s="2"/>
      <c r="X590" s="2"/>
      <c r="Y590" s="2"/>
      <c r="Z590" s="2"/>
      <c r="AA590" s="2"/>
      <c r="AB590" s="2"/>
      <c r="AC590" s="2"/>
    </row>
    <row r="591" spans="1:29" ht="17.399999999999999" x14ac:dyDescent="0.25">
      <c r="A591" s="1"/>
      <c r="B591" s="2"/>
      <c r="C591" s="2"/>
      <c r="D591" s="2"/>
      <c r="E591" s="2"/>
      <c r="F591" s="2"/>
      <c r="G591" s="2"/>
      <c r="H591" s="2"/>
      <c r="I591" s="2"/>
      <c r="J591" s="2"/>
      <c r="K591" s="2"/>
      <c r="L591" s="2"/>
      <c r="M591" s="2"/>
      <c r="N591" s="2"/>
      <c r="O591" s="1"/>
      <c r="P591" s="2"/>
      <c r="Q591" s="2"/>
      <c r="R591" s="2"/>
      <c r="S591" s="2"/>
      <c r="T591" s="2"/>
      <c r="U591" s="2"/>
      <c r="V591" s="2"/>
      <c r="W591" s="2"/>
      <c r="X591" s="2"/>
      <c r="Y591" s="2"/>
      <c r="Z591" s="2"/>
      <c r="AA591" s="2"/>
      <c r="AB591" s="2"/>
      <c r="AC591" s="2"/>
    </row>
    <row r="592" spans="1:29" ht="17.399999999999999" x14ac:dyDescent="0.25">
      <c r="A592" s="1"/>
      <c r="B592" s="2"/>
      <c r="C592" s="2"/>
      <c r="D592" s="2"/>
      <c r="E592" s="2"/>
      <c r="F592" s="2"/>
      <c r="G592" s="2"/>
      <c r="H592" s="2"/>
      <c r="I592" s="2"/>
      <c r="J592" s="2"/>
      <c r="K592" s="2"/>
      <c r="L592" s="2"/>
      <c r="M592" s="2"/>
      <c r="N592" s="2"/>
      <c r="O592" s="1"/>
      <c r="P592" s="2"/>
      <c r="Q592" s="2"/>
      <c r="R592" s="2"/>
      <c r="S592" s="2"/>
      <c r="T592" s="2"/>
      <c r="U592" s="2"/>
      <c r="V592" s="2"/>
      <c r="W592" s="2"/>
      <c r="X592" s="2"/>
      <c r="Y592" s="2"/>
      <c r="Z592" s="2"/>
      <c r="AA592" s="2"/>
      <c r="AB592" s="2"/>
      <c r="AC592" s="2"/>
    </row>
    <row r="593" spans="1:29" ht="17.399999999999999" x14ac:dyDescent="0.25">
      <c r="A593" s="1"/>
      <c r="B593" s="2"/>
      <c r="C593" s="2"/>
      <c r="D593" s="2"/>
      <c r="E593" s="2"/>
      <c r="F593" s="2"/>
      <c r="G593" s="2"/>
      <c r="H593" s="2"/>
      <c r="I593" s="2"/>
      <c r="J593" s="2"/>
      <c r="K593" s="2"/>
      <c r="L593" s="2"/>
      <c r="M593" s="2"/>
      <c r="N593" s="2"/>
      <c r="O593" s="1"/>
      <c r="P593" s="2"/>
      <c r="Q593" s="2"/>
      <c r="R593" s="2"/>
      <c r="S593" s="2"/>
      <c r="T593" s="2"/>
      <c r="U593" s="2"/>
      <c r="V593" s="2"/>
      <c r="W593" s="2"/>
      <c r="X593" s="2"/>
      <c r="Y593" s="2"/>
      <c r="Z593" s="2"/>
      <c r="AA593" s="2"/>
      <c r="AB593" s="2"/>
      <c r="AC593" s="2"/>
    </row>
    <row r="594" spans="1:29" ht="17.399999999999999" x14ac:dyDescent="0.25">
      <c r="A594" s="1"/>
      <c r="B594" s="2"/>
      <c r="C594" s="2"/>
      <c r="D594" s="2"/>
      <c r="E594" s="2"/>
      <c r="F594" s="2"/>
      <c r="G594" s="2"/>
      <c r="H594" s="2"/>
      <c r="I594" s="2"/>
      <c r="J594" s="2"/>
      <c r="K594" s="2"/>
      <c r="L594" s="2"/>
      <c r="M594" s="2"/>
      <c r="N594" s="2"/>
      <c r="O594" s="1"/>
      <c r="P594" s="2"/>
      <c r="Q594" s="2"/>
      <c r="R594" s="2"/>
      <c r="S594" s="2"/>
      <c r="T594" s="2"/>
      <c r="U594" s="2"/>
      <c r="V594" s="2"/>
      <c r="W594" s="2"/>
      <c r="X594" s="2"/>
      <c r="Y594" s="2"/>
      <c r="Z594" s="2"/>
      <c r="AA594" s="2"/>
      <c r="AB594" s="2"/>
      <c r="AC594" s="2"/>
    </row>
    <row r="595" spans="1:29" ht="17.399999999999999" x14ac:dyDescent="0.25">
      <c r="A595" s="1"/>
      <c r="B595" s="2"/>
      <c r="C595" s="2"/>
      <c r="D595" s="2"/>
      <c r="E595" s="2"/>
      <c r="F595" s="2"/>
      <c r="G595" s="2"/>
      <c r="H595" s="2"/>
      <c r="I595" s="2"/>
      <c r="J595" s="2"/>
      <c r="K595" s="2"/>
      <c r="L595" s="2"/>
      <c r="M595" s="2"/>
      <c r="N595" s="2"/>
      <c r="O595" s="1"/>
      <c r="P595" s="2"/>
      <c r="Q595" s="2"/>
      <c r="R595" s="2"/>
      <c r="S595" s="2"/>
      <c r="T595" s="2"/>
      <c r="U595" s="2"/>
      <c r="V595" s="2"/>
      <c r="W595" s="2"/>
      <c r="X595" s="2"/>
      <c r="Y595" s="2"/>
      <c r="Z595" s="2"/>
      <c r="AA595" s="2"/>
      <c r="AB595" s="2"/>
      <c r="AC595" s="2"/>
    </row>
    <row r="596" spans="1:29" ht="17.399999999999999" x14ac:dyDescent="0.25">
      <c r="A596" s="1"/>
      <c r="B596" s="2"/>
      <c r="C596" s="2"/>
      <c r="D596" s="2"/>
      <c r="E596" s="2"/>
      <c r="F596" s="2"/>
      <c r="G596" s="2"/>
      <c r="H596" s="2"/>
      <c r="I596" s="2"/>
      <c r="J596" s="2"/>
      <c r="K596" s="2"/>
      <c r="L596" s="2"/>
      <c r="M596" s="2"/>
      <c r="N596" s="2"/>
      <c r="O596" s="1"/>
      <c r="P596" s="2"/>
      <c r="Q596" s="2"/>
      <c r="R596" s="2"/>
      <c r="S596" s="2"/>
      <c r="T596" s="2"/>
      <c r="U596" s="2"/>
      <c r="V596" s="2"/>
      <c r="W596" s="2"/>
      <c r="X596" s="2"/>
      <c r="Y596" s="2"/>
      <c r="Z596" s="2"/>
      <c r="AA596" s="2"/>
      <c r="AB596" s="2"/>
      <c r="AC596" s="2"/>
    </row>
    <row r="597" spans="1:29" ht="17.399999999999999" x14ac:dyDescent="0.25">
      <c r="A597" s="1"/>
      <c r="B597" s="2"/>
      <c r="C597" s="2"/>
      <c r="D597" s="2"/>
      <c r="E597" s="2"/>
      <c r="F597" s="2"/>
      <c r="G597" s="2"/>
      <c r="H597" s="2"/>
      <c r="I597" s="2"/>
      <c r="J597" s="2"/>
      <c r="K597" s="2"/>
      <c r="L597" s="2"/>
      <c r="M597" s="2"/>
      <c r="N597" s="2"/>
      <c r="O597" s="1"/>
      <c r="P597" s="2"/>
      <c r="Q597" s="2"/>
      <c r="R597" s="2"/>
      <c r="S597" s="2"/>
      <c r="T597" s="2"/>
      <c r="U597" s="2"/>
      <c r="V597" s="2"/>
      <c r="W597" s="2"/>
      <c r="X597" s="2"/>
      <c r="Y597" s="2"/>
      <c r="Z597" s="2"/>
      <c r="AA597" s="2"/>
      <c r="AB597" s="2"/>
      <c r="AC597" s="2"/>
    </row>
    <row r="598" spans="1:29" ht="17.399999999999999" x14ac:dyDescent="0.25">
      <c r="A598" s="1"/>
      <c r="B598" s="2"/>
      <c r="C598" s="2"/>
      <c r="D598" s="2"/>
      <c r="E598" s="2"/>
      <c r="F598" s="2"/>
      <c r="G598" s="2"/>
      <c r="H598" s="2"/>
      <c r="I598" s="2"/>
      <c r="J598" s="2"/>
      <c r="K598" s="2"/>
      <c r="L598" s="2"/>
      <c r="M598" s="2"/>
      <c r="N598" s="2"/>
      <c r="O598" s="1"/>
      <c r="P598" s="2"/>
      <c r="Q598" s="2"/>
      <c r="R598" s="2"/>
      <c r="S598" s="2"/>
      <c r="T598" s="2"/>
      <c r="U598" s="2"/>
      <c r="V598" s="2"/>
      <c r="W598" s="2"/>
      <c r="X598" s="2"/>
      <c r="Y598" s="2"/>
      <c r="Z598" s="2"/>
      <c r="AA598" s="2"/>
      <c r="AB598" s="2"/>
      <c r="AC598" s="2"/>
    </row>
    <row r="599" spans="1:29" ht="17.399999999999999" x14ac:dyDescent="0.25">
      <c r="A599" s="1"/>
      <c r="B599" s="2"/>
      <c r="C599" s="2"/>
      <c r="D599" s="2"/>
      <c r="E599" s="2"/>
      <c r="F599" s="2"/>
      <c r="G599" s="2"/>
      <c r="H599" s="2"/>
      <c r="I599" s="2"/>
      <c r="J599" s="2"/>
      <c r="K599" s="2"/>
      <c r="L599" s="2"/>
      <c r="M599" s="2"/>
      <c r="N599" s="2"/>
      <c r="O599" s="1"/>
      <c r="P599" s="2"/>
      <c r="Q599" s="2"/>
      <c r="R599" s="2"/>
      <c r="S599" s="2"/>
      <c r="T599" s="2"/>
      <c r="U599" s="2"/>
      <c r="V599" s="2"/>
      <c r="W599" s="2"/>
      <c r="X599" s="2"/>
      <c r="Y599" s="2"/>
      <c r="Z599" s="2"/>
      <c r="AA599" s="2"/>
      <c r="AB599" s="2"/>
      <c r="AC599" s="2"/>
    </row>
    <row r="600" spans="1:29" ht="17.399999999999999" x14ac:dyDescent="0.25">
      <c r="A600" s="1"/>
      <c r="B600" s="2"/>
      <c r="C600" s="2"/>
      <c r="D600" s="2"/>
      <c r="E600" s="2"/>
      <c r="F600" s="2"/>
      <c r="G600" s="2"/>
      <c r="H600" s="2"/>
      <c r="I600" s="2"/>
      <c r="J600" s="2"/>
      <c r="K600" s="2"/>
      <c r="L600" s="2"/>
      <c r="M600" s="2"/>
      <c r="N600" s="2"/>
      <c r="O600" s="1"/>
      <c r="P600" s="2"/>
      <c r="Q600" s="2"/>
      <c r="R600" s="2"/>
      <c r="S600" s="2"/>
      <c r="T600" s="2"/>
      <c r="U600" s="2"/>
      <c r="V600" s="2"/>
      <c r="W600" s="2"/>
      <c r="X600" s="2"/>
      <c r="Y600" s="2"/>
      <c r="Z600" s="2"/>
      <c r="AA600" s="2"/>
      <c r="AB600" s="2"/>
      <c r="AC600" s="2"/>
    </row>
    <row r="601" spans="1:29" ht="17.399999999999999" x14ac:dyDescent="0.25">
      <c r="A601" s="1"/>
      <c r="B601" s="2"/>
      <c r="C601" s="2"/>
      <c r="D601" s="2"/>
      <c r="E601" s="2"/>
      <c r="F601" s="2"/>
      <c r="G601" s="2"/>
      <c r="H601" s="2"/>
      <c r="I601" s="2"/>
      <c r="J601" s="2"/>
      <c r="K601" s="2"/>
      <c r="L601" s="2"/>
      <c r="M601" s="2"/>
      <c r="N601" s="2"/>
      <c r="O601" s="1"/>
      <c r="P601" s="2"/>
      <c r="Q601" s="2"/>
      <c r="R601" s="2"/>
      <c r="S601" s="2"/>
      <c r="T601" s="2"/>
      <c r="U601" s="2"/>
      <c r="V601" s="2"/>
      <c r="W601" s="2"/>
      <c r="X601" s="2"/>
      <c r="Y601" s="2"/>
      <c r="Z601" s="2"/>
      <c r="AA601" s="2"/>
      <c r="AB601" s="2"/>
      <c r="AC601" s="2"/>
    </row>
    <row r="602" spans="1:29" ht="17.399999999999999" x14ac:dyDescent="0.25">
      <c r="A602" s="1"/>
      <c r="B602" s="2"/>
      <c r="C602" s="2"/>
      <c r="D602" s="2"/>
      <c r="E602" s="2"/>
      <c r="F602" s="2"/>
      <c r="G602" s="2"/>
      <c r="H602" s="2"/>
      <c r="I602" s="2"/>
      <c r="J602" s="2"/>
      <c r="K602" s="2"/>
      <c r="L602" s="2"/>
      <c r="M602" s="2"/>
      <c r="N602" s="2"/>
      <c r="O602" s="1"/>
      <c r="P602" s="2"/>
      <c r="Q602" s="2"/>
      <c r="R602" s="2"/>
      <c r="S602" s="2"/>
      <c r="T602" s="2"/>
      <c r="U602" s="2"/>
      <c r="V602" s="2"/>
      <c r="W602" s="2"/>
      <c r="X602" s="2"/>
      <c r="Y602" s="2"/>
      <c r="Z602" s="2"/>
      <c r="AA602" s="2"/>
      <c r="AB602" s="2"/>
      <c r="AC602" s="2"/>
    </row>
    <row r="603" spans="1:29" ht="17.399999999999999" x14ac:dyDescent="0.25">
      <c r="A603" s="1"/>
      <c r="B603" s="2"/>
      <c r="C603" s="2"/>
      <c r="D603" s="2"/>
      <c r="E603" s="2"/>
      <c r="F603" s="2"/>
      <c r="G603" s="2"/>
      <c r="H603" s="2"/>
      <c r="I603" s="2"/>
      <c r="J603" s="2"/>
      <c r="K603" s="2"/>
      <c r="L603" s="2"/>
      <c r="M603" s="2"/>
      <c r="N603" s="2"/>
      <c r="O603" s="1"/>
      <c r="P603" s="2"/>
      <c r="Q603" s="2"/>
      <c r="R603" s="2"/>
      <c r="S603" s="2"/>
      <c r="T603" s="2"/>
      <c r="U603" s="2"/>
      <c r="V603" s="2"/>
      <c r="W603" s="2"/>
      <c r="X603" s="2"/>
      <c r="Y603" s="2"/>
      <c r="Z603" s="2"/>
      <c r="AA603" s="2"/>
      <c r="AB603" s="2"/>
      <c r="AC603" s="2"/>
    </row>
    <row r="604" spans="1:29" ht="17.399999999999999" x14ac:dyDescent="0.25">
      <c r="A604" s="1"/>
      <c r="B604" s="2"/>
      <c r="C604" s="2"/>
      <c r="D604" s="2"/>
      <c r="E604" s="2"/>
      <c r="F604" s="2"/>
      <c r="G604" s="2"/>
      <c r="H604" s="2"/>
      <c r="I604" s="2"/>
      <c r="J604" s="2"/>
      <c r="K604" s="2"/>
      <c r="L604" s="2"/>
      <c r="M604" s="2"/>
      <c r="N604" s="2"/>
      <c r="O604" s="1"/>
      <c r="P604" s="2"/>
      <c r="Q604" s="2"/>
      <c r="R604" s="2"/>
      <c r="S604" s="2"/>
      <c r="T604" s="2"/>
      <c r="U604" s="2"/>
      <c r="V604" s="2"/>
      <c r="W604" s="2"/>
      <c r="X604" s="2"/>
      <c r="Y604" s="2"/>
      <c r="Z604" s="2"/>
      <c r="AA604" s="2"/>
      <c r="AB604" s="2"/>
      <c r="AC604" s="2"/>
    </row>
    <row r="605" spans="1:29" ht="17.399999999999999" x14ac:dyDescent="0.25">
      <c r="A605" s="1"/>
      <c r="B605" s="2"/>
      <c r="C605" s="2"/>
      <c r="D605" s="2"/>
      <c r="E605" s="2"/>
      <c r="F605" s="2"/>
      <c r="G605" s="2"/>
      <c r="H605" s="2"/>
      <c r="I605" s="2"/>
      <c r="J605" s="2"/>
      <c r="K605" s="2"/>
      <c r="L605" s="2"/>
      <c r="M605" s="2"/>
      <c r="N605" s="2"/>
      <c r="O605" s="1"/>
      <c r="P605" s="2"/>
      <c r="Q605" s="2"/>
      <c r="R605" s="2"/>
      <c r="S605" s="2"/>
      <c r="T605" s="2"/>
      <c r="U605" s="2"/>
      <c r="V605" s="2"/>
      <c r="W605" s="2"/>
      <c r="X605" s="2"/>
      <c r="Y605" s="2"/>
      <c r="Z605" s="2"/>
      <c r="AA605" s="2"/>
      <c r="AB605" s="2"/>
      <c r="AC605" s="2"/>
    </row>
    <row r="606" spans="1:29" ht="17.399999999999999" x14ac:dyDescent="0.25">
      <c r="A606" s="1"/>
      <c r="B606" s="2"/>
      <c r="C606" s="2"/>
      <c r="D606" s="2"/>
      <c r="E606" s="2"/>
      <c r="F606" s="2"/>
      <c r="G606" s="2"/>
      <c r="H606" s="2"/>
      <c r="I606" s="2"/>
      <c r="J606" s="2"/>
      <c r="K606" s="2"/>
      <c r="L606" s="2"/>
      <c r="M606" s="2"/>
      <c r="N606" s="2"/>
      <c r="O606" s="1"/>
      <c r="P606" s="2"/>
      <c r="Q606" s="2"/>
      <c r="R606" s="2"/>
      <c r="S606" s="2"/>
      <c r="T606" s="2"/>
      <c r="U606" s="2"/>
      <c r="V606" s="2"/>
      <c r="W606" s="2"/>
      <c r="X606" s="2"/>
      <c r="Y606" s="2"/>
      <c r="Z606" s="2"/>
      <c r="AA606" s="2"/>
      <c r="AB606" s="2"/>
      <c r="AC606" s="2"/>
    </row>
    <row r="607" spans="1:29" ht="17.399999999999999" x14ac:dyDescent="0.25">
      <c r="A607" s="1"/>
      <c r="B607" s="2"/>
      <c r="C607" s="2"/>
      <c r="D607" s="2"/>
      <c r="E607" s="2"/>
      <c r="F607" s="2"/>
      <c r="G607" s="2"/>
      <c r="H607" s="2"/>
      <c r="I607" s="2"/>
      <c r="J607" s="2"/>
      <c r="K607" s="2"/>
      <c r="L607" s="2"/>
      <c r="M607" s="2"/>
      <c r="N607" s="2"/>
      <c r="O607" s="1"/>
      <c r="P607" s="2"/>
      <c r="Q607" s="2"/>
      <c r="R607" s="2"/>
      <c r="S607" s="2"/>
      <c r="T607" s="2"/>
      <c r="U607" s="2"/>
      <c r="V607" s="2"/>
      <c r="W607" s="2"/>
      <c r="X607" s="2"/>
      <c r="Y607" s="2"/>
      <c r="Z607" s="2"/>
      <c r="AA607" s="2"/>
      <c r="AB607" s="2"/>
      <c r="AC607" s="2"/>
    </row>
    <row r="608" spans="1:29" ht="17.399999999999999" x14ac:dyDescent="0.25">
      <c r="A608" s="1"/>
      <c r="B608" s="2"/>
      <c r="C608" s="2"/>
      <c r="D608" s="2"/>
      <c r="E608" s="2"/>
      <c r="F608" s="2"/>
      <c r="G608" s="2"/>
      <c r="H608" s="2"/>
      <c r="I608" s="2"/>
      <c r="J608" s="2"/>
      <c r="K608" s="2"/>
      <c r="L608" s="2"/>
      <c r="M608" s="2"/>
      <c r="N608" s="2"/>
      <c r="O608" s="1"/>
      <c r="P608" s="2"/>
      <c r="Q608" s="2"/>
      <c r="R608" s="2"/>
      <c r="S608" s="2"/>
      <c r="T608" s="2"/>
      <c r="U608" s="2"/>
      <c r="V608" s="2"/>
      <c r="W608" s="2"/>
      <c r="X608" s="2"/>
      <c r="Y608" s="2"/>
      <c r="Z608" s="2"/>
      <c r="AA608" s="2"/>
      <c r="AB608" s="2"/>
      <c r="AC608" s="2"/>
    </row>
    <row r="609" spans="1:29" ht="17.399999999999999" x14ac:dyDescent="0.25">
      <c r="A609" s="1"/>
      <c r="B609" s="2"/>
      <c r="C609" s="2"/>
      <c r="D609" s="2"/>
      <c r="E609" s="2"/>
      <c r="F609" s="2"/>
      <c r="G609" s="2"/>
      <c r="H609" s="2"/>
      <c r="I609" s="2"/>
      <c r="J609" s="2"/>
      <c r="K609" s="2"/>
      <c r="L609" s="2"/>
      <c r="M609" s="2"/>
      <c r="N609" s="2"/>
      <c r="O609" s="1"/>
      <c r="P609" s="2"/>
      <c r="Q609" s="2"/>
      <c r="R609" s="2"/>
      <c r="S609" s="2"/>
      <c r="T609" s="2"/>
      <c r="U609" s="2"/>
      <c r="V609" s="2"/>
      <c r="W609" s="2"/>
      <c r="X609" s="2"/>
      <c r="Y609" s="2"/>
      <c r="Z609" s="2"/>
      <c r="AA609" s="2"/>
      <c r="AB609" s="2"/>
      <c r="AC609" s="2"/>
    </row>
    <row r="610" spans="1:29" ht="17.399999999999999" x14ac:dyDescent="0.25">
      <c r="A610" s="1"/>
      <c r="B610" s="2"/>
      <c r="C610" s="2"/>
      <c r="D610" s="2"/>
      <c r="E610" s="2"/>
      <c r="F610" s="2"/>
      <c r="G610" s="2"/>
      <c r="H610" s="2"/>
      <c r="I610" s="2"/>
      <c r="J610" s="2"/>
      <c r="K610" s="2"/>
      <c r="L610" s="2"/>
      <c r="M610" s="2"/>
      <c r="N610" s="2"/>
      <c r="O610" s="1"/>
      <c r="P610" s="2"/>
      <c r="Q610" s="2"/>
      <c r="R610" s="2"/>
      <c r="S610" s="2"/>
      <c r="T610" s="2"/>
      <c r="U610" s="2"/>
      <c r="V610" s="2"/>
      <c r="W610" s="2"/>
      <c r="X610" s="2"/>
      <c r="Y610" s="2"/>
      <c r="Z610" s="2"/>
      <c r="AA610" s="2"/>
      <c r="AB610" s="2"/>
      <c r="AC610" s="2"/>
    </row>
    <row r="611" spans="1:29" ht="17.399999999999999" x14ac:dyDescent="0.25">
      <c r="A611" s="1"/>
      <c r="B611" s="2"/>
      <c r="C611" s="2"/>
      <c r="D611" s="2"/>
      <c r="E611" s="2"/>
      <c r="F611" s="2"/>
      <c r="G611" s="2"/>
      <c r="H611" s="2"/>
      <c r="I611" s="2"/>
      <c r="J611" s="2"/>
      <c r="K611" s="2"/>
      <c r="L611" s="2"/>
      <c r="M611" s="2"/>
      <c r="N611" s="2"/>
      <c r="O611" s="1"/>
      <c r="P611" s="2"/>
      <c r="Q611" s="2"/>
      <c r="R611" s="2"/>
      <c r="S611" s="2"/>
      <c r="T611" s="2"/>
      <c r="U611" s="2"/>
      <c r="V611" s="2"/>
      <c r="W611" s="2"/>
      <c r="X611" s="2"/>
      <c r="Y611" s="2"/>
      <c r="Z611" s="2"/>
      <c r="AA611" s="2"/>
      <c r="AB611" s="2"/>
      <c r="AC611" s="2"/>
    </row>
    <row r="612" spans="1:29" ht="17.399999999999999" x14ac:dyDescent="0.25">
      <c r="A612" s="1"/>
      <c r="B612" s="2"/>
      <c r="C612" s="2"/>
      <c r="D612" s="2"/>
      <c r="E612" s="2"/>
      <c r="F612" s="2"/>
      <c r="G612" s="2"/>
      <c r="H612" s="2"/>
      <c r="I612" s="2"/>
      <c r="J612" s="2"/>
      <c r="K612" s="2"/>
      <c r="L612" s="2"/>
      <c r="M612" s="2"/>
      <c r="N612" s="2"/>
      <c r="O612" s="1"/>
      <c r="P612" s="2"/>
      <c r="Q612" s="2"/>
      <c r="R612" s="2"/>
      <c r="S612" s="2"/>
      <c r="T612" s="2"/>
      <c r="U612" s="2"/>
      <c r="V612" s="2"/>
      <c r="W612" s="2"/>
      <c r="X612" s="2"/>
      <c r="Y612" s="2"/>
      <c r="Z612" s="2"/>
      <c r="AA612" s="2"/>
      <c r="AB612" s="2"/>
      <c r="AC612" s="2"/>
    </row>
    <row r="613" spans="1:29" ht="17.399999999999999" x14ac:dyDescent="0.25">
      <c r="A613" s="1"/>
      <c r="B613" s="2"/>
      <c r="C613" s="2"/>
      <c r="D613" s="2"/>
      <c r="E613" s="2"/>
      <c r="F613" s="2"/>
      <c r="G613" s="2"/>
      <c r="H613" s="2"/>
      <c r="I613" s="2"/>
      <c r="J613" s="2"/>
      <c r="K613" s="2"/>
      <c r="L613" s="2"/>
      <c r="M613" s="2"/>
      <c r="N613" s="2"/>
      <c r="O613" s="1"/>
      <c r="P613" s="2"/>
      <c r="Q613" s="2"/>
      <c r="R613" s="2"/>
      <c r="S613" s="2"/>
      <c r="T613" s="2"/>
      <c r="U613" s="2"/>
      <c r="V613" s="2"/>
      <c r="W613" s="2"/>
      <c r="X613" s="2"/>
      <c r="Y613" s="2"/>
      <c r="Z613" s="2"/>
      <c r="AA613" s="2"/>
      <c r="AB613" s="2"/>
      <c r="AC613" s="2"/>
    </row>
    <row r="614" spans="1:29" ht="17.399999999999999" x14ac:dyDescent="0.25">
      <c r="A614" s="1"/>
      <c r="B614" s="2"/>
      <c r="C614" s="2"/>
      <c r="D614" s="2"/>
      <c r="E614" s="2"/>
      <c r="F614" s="2"/>
      <c r="G614" s="2"/>
      <c r="H614" s="2"/>
      <c r="I614" s="2"/>
      <c r="J614" s="2"/>
      <c r="K614" s="2"/>
      <c r="L614" s="2"/>
      <c r="M614" s="2"/>
      <c r="N614" s="2"/>
      <c r="O614" s="1"/>
      <c r="P614" s="2"/>
      <c r="Q614" s="2"/>
      <c r="R614" s="2"/>
      <c r="S614" s="2"/>
      <c r="T614" s="2"/>
      <c r="U614" s="2"/>
      <c r="V614" s="2"/>
      <c r="W614" s="2"/>
      <c r="X614" s="2"/>
      <c r="Y614" s="2"/>
      <c r="Z614" s="2"/>
      <c r="AA614" s="2"/>
      <c r="AB614" s="2"/>
      <c r="AC614" s="2"/>
    </row>
    <row r="615" spans="1:29" ht="17.399999999999999" x14ac:dyDescent="0.25">
      <c r="A615" s="1"/>
      <c r="B615" s="2"/>
      <c r="C615" s="2"/>
      <c r="D615" s="2"/>
      <c r="E615" s="2"/>
      <c r="F615" s="2"/>
      <c r="G615" s="2"/>
      <c r="H615" s="2"/>
      <c r="I615" s="2"/>
      <c r="J615" s="2"/>
      <c r="K615" s="2"/>
      <c r="L615" s="2"/>
      <c r="M615" s="2"/>
      <c r="N615" s="2"/>
      <c r="O615" s="1"/>
      <c r="P615" s="2"/>
      <c r="Q615" s="2"/>
      <c r="R615" s="2"/>
      <c r="S615" s="2"/>
      <c r="T615" s="2"/>
      <c r="U615" s="2"/>
      <c r="V615" s="2"/>
      <c r="W615" s="2"/>
      <c r="X615" s="2"/>
      <c r="Y615" s="2"/>
      <c r="Z615" s="2"/>
      <c r="AA615" s="2"/>
      <c r="AB615" s="2"/>
      <c r="AC615" s="2"/>
    </row>
    <row r="616" spans="1:29" ht="17.399999999999999" x14ac:dyDescent="0.25">
      <c r="A616" s="1"/>
      <c r="B616" s="2"/>
      <c r="C616" s="2"/>
      <c r="D616" s="2"/>
      <c r="E616" s="2"/>
      <c r="F616" s="2"/>
      <c r="G616" s="2"/>
      <c r="H616" s="2"/>
      <c r="I616" s="2"/>
      <c r="J616" s="2"/>
      <c r="K616" s="2"/>
      <c r="L616" s="2"/>
      <c r="M616" s="2"/>
      <c r="N616" s="2"/>
      <c r="O616" s="1"/>
      <c r="P616" s="2"/>
      <c r="Q616" s="2"/>
      <c r="R616" s="2"/>
      <c r="S616" s="2"/>
      <c r="T616" s="2"/>
      <c r="U616" s="2"/>
      <c r="V616" s="2"/>
      <c r="W616" s="2"/>
      <c r="X616" s="2"/>
      <c r="Y616" s="2"/>
      <c r="Z616" s="2"/>
      <c r="AA616" s="2"/>
      <c r="AB616" s="2"/>
      <c r="AC616" s="2"/>
    </row>
    <row r="617" spans="1:29" ht="17.399999999999999" x14ac:dyDescent="0.25">
      <c r="A617" s="1"/>
      <c r="B617" s="2"/>
      <c r="C617" s="2"/>
      <c r="D617" s="2"/>
      <c r="E617" s="2"/>
      <c r="F617" s="2"/>
      <c r="G617" s="2"/>
      <c r="H617" s="2"/>
      <c r="I617" s="2"/>
      <c r="J617" s="2"/>
      <c r="K617" s="2"/>
      <c r="L617" s="2"/>
      <c r="M617" s="2"/>
      <c r="N617" s="2"/>
      <c r="O617" s="1"/>
      <c r="P617" s="2"/>
      <c r="Q617" s="2"/>
      <c r="R617" s="2"/>
      <c r="S617" s="2"/>
      <c r="T617" s="2"/>
      <c r="U617" s="2"/>
      <c r="V617" s="2"/>
      <c r="W617" s="2"/>
      <c r="X617" s="2"/>
      <c r="Y617" s="2"/>
      <c r="Z617" s="2"/>
      <c r="AA617" s="2"/>
      <c r="AB617" s="2"/>
      <c r="AC617" s="2"/>
    </row>
    <row r="618" spans="1:29" ht="17.399999999999999" x14ac:dyDescent="0.25">
      <c r="A618" s="1"/>
      <c r="B618" s="2"/>
      <c r="C618" s="2"/>
      <c r="D618" s="2"/>
      <c r="E618" s="2"/>
      <c r="F618" s="2"/>
      <c r="G618" s="2"/>
      <c r="H618" s="2"/>
      <c r="I618" s="2"/>
      <c r="J618" s="2"/>
      <c r="K618" s="2"/>
      <c r="L618" s="2"/>
      <c r="M618" s="2"/>
      <c r="N618" s="2"/>
      <c r="O618" s="1"/>
      <c r="P618" s="2"/>
      <c r="Q618" s="2"/>
      <c r="R618" s="2"/>
      <c r="S618" s="2"/>
      <c r="T618" s="2"/>
      <c r="U618" s="2"/>
      <c r="V618" s="2"/>
      <c r="W618" s="2"/>
      <c r="X618" s="2"/>
      <c r="Y618" s="2"/>
      <c r="Z618" s="2"/>
      <c r="AA618" s="2"/>
      <c r="AB618" s="2"/>
      <c r="AC618" s="2"/>
    </row>
    <row r="619" spans="1:29" ht="17.399999999999999" x14ac:dyDescent="0.25">
      <c r="A619" s="1"/>
      <c r="B619" s="2"/>
      <c r="C619" s="2"/>
      <c r="D619" s="2"/>
      <c r="E619" s="2"/>
      <c r="F619" s="2"/>
      <c r="G619" s="2"/>
      <c r="H619" s="2"/>
      <c r="I619" s="2"/>
      <c r="J619" s="2"/>
      <c r="K619" s="2"/>
      <c r="L619" s="2"/>
      <c r="M619" s="2"/>
      <c r="N619" s="2"/>
      <c r="O619" s="1"/>
      <c r="P619" s="2"/>
      <c r="Q619" s="2"/>
      <c r="R619" s="2"/>
      <c r="S619" s="2"/>
      <c r="T619" s="2"/>
      <c r="U619" s="2"/>
      <c r="V619" s="2"/>
      <c r="W619" s="2"/>
      <c r="X619" s="2"/>
      <c r="Y619" s="2"/>
      <c r="Z619" s="2"/>
      <c r="AA619" s="2"/>
      <c r="AB619" s="2"/>
      <c r="AC619" s="2"/>
    </row>
    <row r="620" spans="1:29" ht="17.399999999999999" x14ac:dyDescent="0.25">
      <c r="A620" s="1"/>
      <c r="B620" s="2"/>
      <c r="C620" s="2"/>
      <c r="D620" s="2"/>
      <c r="E620" s="2"/>
      <c r="F620" s="2"/>
      <c r="G620" s="2"/>
      <c r="H620" s="2"/>
      <c r="I620" s="2"/>
      <c r="J620" s="2"/>
      <c r="K620" s="2"/>
      <c r="L620" s="2"/>
      <c r="M620" s="2"/>
      <c r="N620" s="2"/>
      <c r="O620" s="1"/>
      <c r="P620" s="2"/>
      <c r="Q620" s="2"/>
      <c r="R620" s="2"/>
      <c r="S620" s="2"/>
      <c r="T620" s="2"/>
      <c r="U620" s="2"/>
      <c r="V620" s="2"/>
      <c r="W620" s="2"/>
      <c r="X620" s="2"/>
      <c r="Y620" s="2"/>
      <c r="Z620" s="2"/>
      <c r="AA620" s="2"/>
      <c r="AB620" s="2"/>
      <c r="AC620" s="2"/>
    </row>
    <row r="621" spans="1:29" ht="17.399999999999999" x14ac:dyDescent="0.25">
      <c r="A621" s="1"/>
      <c r="B621" s="2"/>
      <c r="C621" s="2"/>
      <c r="D621" s="2"/>
      <c r="E621" s="2"/>
      <c r="F621" s="2"/>
      <c r="G621" s="2"/>
      <c r="H621" s="2"/>
      <c r="I621" s="2"/>
      <c r="J621" s="2"/>
      <c r="K621" s="2"/>
      <c r="L621" s="2"/>
      <c r="M621" s="2"/>
      <c r="N621" s="2"/>
      <c r="O621" s="1"/>
      <c r="P621" s="2"/>
      <c r="Q621" s="2"/>
      <c r="R621" s="2"/>
      <c r="S621" s="2"/>
      <c r="T621" s="2"/>
      <c r="U621" s="2"/>
      <c r="V621" s="2"/>
      <c r="W621" s="2"/>
      <c r="X621" s="2"/>
      <c r="Y621" s="2"/>
      <c r="Z621" s="2"/>
      <c r="AA621" s="2"/>
      <c r="AB621" s="2"/>
      <c r="AC621" s="2"/>
    </row>
    <row r="622" spans="1:29" ht="17.399999999999999" x14ac:dyDescent="0.25">
      <c r="A622" s="1"/>
      <c r="B622" s="2"/>
      <c r="C622" s="2"/>
      <c r="D622" s="2"/>
      <c r="E622" s="2"/>
      <c r="F622" s="2"/>
      <c r="G622" s="2"/>
      <c r="H622" s="2"/>
      <c r="I622" s="2"/>
      <c r="J622" s="2"/>
      <c r="K622" s="2"/>
      <c r="L622" s="2"/>
      <c r="M622" s="2"/>
      <c r="N622" s="2"/>
      <c r="O622" s="1"/>
      <c r="P622" s="2"/>
      <c r="Q622" s="2"/>
      <c r="R622" s="2"/>
      <c r="S622" s="2"/>
      <c r="T622" s="2"/>
      <c r="U622" s="2"/>
      <c r="V622" s="2"/>
      <c r="W622" s="2"/>
      <c r="X622" s="2"/>
      <c r="Y622" s="2"/>
      <c r="Z622" s="2"/>
      <c r="AA622" s="2"/>
      <c r="AB622" s="2"/>
      <c r="AC622" s="2"/>
    </row>
    <row r="623" spans="1:29" ht="17.399999999999999" x14ac:dyDescent="0.25">
      <c r="A623" s="1"/>
      <c r="B623" s="2"/>
      <c r="C623" s="2"/>
      <c r="D623" s="2"/>
      <c r="E623" s="2"/>
      <c r="F623" s="2"/>
      <c r="G623" s="2"/>
      <c r="H623" s="2"/>
      <c r="I623" s="2"/>
      <c r="J623" s="2"/>
      <c r="K623" s="2"/>
      <c r="L623" s="2"/>
      <c r="M623" s="2"/>
      <c r="N623" s="2"/>
      <c r="O623" s="1"/>
      <c r="P623" s="2"/>
      <c r="Q623" s="2"/>
      <c r="R623" s="2"/>
      <c r="S623" s="2"/>
      <c r="T623" s="2"/>
      <c r="U623" s="2"/>
      <c r="V623" s="2"/>
      <c r="W623" s="2"/>
      <c r="X623" s="2"/>
      <c r="Y623" s="2"/>
      <c r="Z623" s="2"/>
      <c r="AA623" s="2"/>
      <c r="AB623" s="2"/>
      <c r="AC623" s="2"/>
    </row>
    <row r="624" spans="1:29" ht="17.399999999999999" x14ac:dyDescent="0.25">
      <c r="A624" s="1"/>
      <c r="B624" s="2"/>
      <c r="C624" s="2"/>
      <c r="D624" s="2"/>
      <c r="E624" s="2"/>
      <c r="F624" s="2"/>
      <c r="G624" s="2"/>
      <c r="H624" s="2"/>
      <c r="I624" s="2"/>
      <c r="J624" s="2"/>
      <c r="K624" s="2"/>
      <c r="L624" s="2"/>
      <c r="M624" s="2"/>
      <c r="N624" s="2"/>
      <c r="O624" s="1"/>
      <c r="P624" s="2"/>
      <c r="Q624" s="2"/>
      <c r="R624" s="2"/>
      <c r="S624" s="2"/>
      <c r="T624" s="2"/>
      <c r="U624" s="2"/>
      <c r="V624" s="2"/>
      <c r="W624" s="2"/>
      <c r="X624" s="2"/>
      <c r="Y624" s="2"/>
      <c r="Z624" s="2"/>
      <c r="AA624" s="2"/>
      <c r="AB624" s="2"/>
      <c r="AC624" s="2"/>
    </row>
    <row r="625" spans="1:29" ht="17.399999999999999" x14ac:dyDescent="0.25">
      <c r="A625" s="1"/>
      <c r="B625" s="2"/>
      <c r="C625" s="2"/>
      <c r="D625" s="2"/>
      <c r="E625" s="2"/>
      <c r="F625" s="2"/>
      <c r="G625" s="2"/>
      <c r="H625" s="2"/>
      <c r="I625" s="2"/>
      <c r="J625" s="2"/>
      <c r="K625" s="2"/>
      <c r="L625" s="2"/>
      <c r="M625" s="2"/>
      <c r="N625" s="2"/>
      <c r="O625" s="1"/>
      <c r="P625" s="2"/>
      <c r="Q625" s="2"/>
      <c r="R625" s="2"/>
      <c r="S625" s="2"/>
      <c r="T625" s="2"/>
      <c r="U625" s="2"/>
      <c r="V625" s="2"/>
      <c r="W625" s="2"/>
      <c r="X625" s="2"/>
      <c r="Y625" s="2"/>
      <c r="Z625" s="2"/>
      <c r="AA625" s="2"/>
      <c r="AB625" s="2"/>
      <c r="AC625" s="2"/>
    </row>
    <row r="626" spans="1:29" ht="17.399999999999999" x14ac:dyDescent="0.25">
      <c r="A626" s="1"/>
      <c r="B626" s="2"/>
      <c r="C626" s="2"/>
      <c r="D626" s="2"/>
      <c r="E626" s="2"/>
      <c r="F626" s="2"/>
      <c r="G626" s="2"/>
      <c r="H626" s="2"/>
      <c r="I626" s="2"/>
      <c r="J626" s="2"/>
      <c r="K626" s="2"/>
      <c r="L626" s="2"/>
      <c r="M626" s="2"/>
      <c r="N626" s="2"/>
      <c r="O626" s="1"/>
      <c r="P626" s="2"/>
      <c r="Q626" s="2"/>
      <c r="R626" s="2"/>
      <c r="S626" s="2"/>
      <c r="T626" s="2"/>
      <c r="U626" s="2"/>
      <c r="V626" s="2"/>
      <c r="W626" s="2"/>
      <c r="X626" s="2"/>
      <c r="Y626" s="2"/>
      <c r="Z626" s="2"/>
      <c r="AA626" s="2"/>
      <c r="AB626" s="2"/>
      <c r="AC626" s="2"/>
    </row>
    <row r="627" spans="1:29" ht="17.399999999999999" x14ac:dyDescent="0.25">
      <c r="A627" s="1"/>
      <c r="B627" s="2"/>
      <c r="C627" s="2"/>
      <c r="D627" s="2"/>
      <c r="E627" s="2"/>
      <c r="F627" s="2"/>
      <c r="G627" s="2"/>
      <c r="H627" s="2"/>
      <c r="I627" s="2"/>
      <c r="J627" s="2"/>
      <c r="K627" s="2"/>
      <c r="L627" s="2"/>
      <c r="M627" s="2"/>
      <c r="N627" s="2"/>
      <c r="O627" s="1"/>
      <c r="P627" s="2"/>
      <c r="Q627" s="2"/>
      <c r="R627" s="2"/>
      <c r="S627" s="2"/>
      <c r="T627" s="2"/>
      <c r="U627" s="2"/>
      <c r="V627" s="2"/>
      <c r="W627" s="2"/>
      <c r="X627" s="2"/>
      <c r="Y627" s="2"/>
      <c r="Z627" s="2"/>
      <c r="AA627" s="2"/>
      <c r="AB627" s="2"/>
      <c r="AC627" s="2"/>
    </row>
    <row r="628" spans="1:29" ht="17.399999999999999" x14ac:dyDescent="0.25">
      <c r="A628" s="1"/>
      <c r="B628" s="2"/>
      <c r="C628" s="2"/>
      <c r="D628" s="2"/>
      <c r="E628" s="2"/>
      <c r="F628" s="2"/>
      <c r="G628" s="2"/>
      <c r="H628" s="2"/>
      <c r="I628" s="2"/>
      <c r="J628" s="2"/>
      <c r="K628" s="2"/>
      <c r="L628" s="2"/>
      <c r="M628" s="2"/>
      <c r="N628" s="2"/>
      <c r="O628" s="1"/>
      <c r="P628" s="2"/>
      <c r="Q628" s="2"/>
      <c r="R628" s="2"/>
      <c r="S628" s="2"/>
      <c r="T628" s="2"/>
      <c r="U628" s="2"/>
      <c r="V628" s="2"/>
      <c r="W628" s="2"/>
      <c r="X628" s="2"/>
      <c r="Y628" s="2"/>
      <c r="Z628" s="2"/>
      <c r="AA628" s="2"/>
      <c r="AB628" s="2"/>
      <c r="AC628" s="2"/>
    </row>
    <row r="629" spans="1:29" ht="17.399999999999999" x14ac:dyDescent="0.25">
      <c r="A629" s="1"/>
      <c r="B629" s="2"/>
      <c r="C629" s="2"/>
      <c r="D629" s="2"/>
      <c r="E629" s="2"/>
      <c r="F629" s="2"/>
      <c r="G629" s="2"/>
      <c r="H629" s="2"/>
      <c r="I629" s="2"/>
      <c r="J629" s="2"/>
      <c r="K629" s="2"/>
      <c r="L629" s="2"/>
      <c r="M629" s="2"/>
      <c r="N629" s="2"/>
      <c r="O629" s="1"/>
      <c r="P629" s="2"/>
      <c r="Q629" s="2"/>
      <c r="R629" s="2"/>
      <c r="S629" s="2"/>
      <c r="T629" s="2"/>
      <c r="U629" s="2"/>
      <c r="V629" s="2"/>
      <c r="W629" s="2"/>
      <c r="X629" s="2"/>
      <c r="Y629" s="2"/>
      <c r="Z629" s="2"/>
      <c r="AA629" s="2"/>
      <c r="AB629" s="2"/>
      <c r="AC629" s="2"/>
    </row>
    <row r="630" spans="1:29" ht="17.399999999999999" x14ac:dyDescent="0.25">
      <c r="A630" s="1"/>
      <c r="B630" s="2"/>
      <c r="C630" s="2"/>
      <c r="D630" s="2"/>
      <c r="E630" s="2"/>
      <c r="F630" s="2"/>
      <c r="G630" s="2"/>
      <c r="H630" s="2"/>
      <c r="I630" s="2"/>
      <c r="J630" s="2"/>
      <c r="K630" s="2"/>
      <c r="L630" s="2"/>
      <c r="M630" s="2"/>
      <c r="N630" s="2"/>
      <c r="O630" s="1"/>
      <c r="P630" s="2"/>
      <c r="Q630" s="2"/>
      <c r="R630" s="2"/>
      <c r="S630" s="2"/>
      <c r="T630" s="2"/>
      <c r="U630" s="2"/>
      <c r="V630" s="2"/>
      <c r="W630" s="2"/>
      <c r="X630" s="2"/>
      <c r="Y630" s="2"/>
      <c r="Z630" s="2"/>
      <c r="AA630" s="2"/>
      <c r="AB630" s="2"/>
      <c r="AC630" s="2"/>
    </row>
    <row r="631" spans="1:29" ht="17.399999999999999" x14ac:dyDescent="0.25">
      <c r="A631" s="1"/>
      <c r="B631" s="2"/>
      <c r="C631" s="2"/>
      <c r="D631" s="2"/>
      <c r="E631" s="2"/>
      <c r="F631" s="2"/>
      <c r="G631" s="2"/>
      <c r="H631" s="2"/>
      <c r="I631" s="2"/>
      <c r="J631" s="2"/>
      <c r="K631" s="2"/>
      <c r="L631" s="2"/>
      <c r="M631" s="2"/>
      <c r="N631" s="2"/>
      <c r="O631" s="1"/>
      <c r="P631" s="2"/>
      <c r="Q631" s="2"/>
      <c r="R631" s="2"/>
      <c r="S631" s="2"/>
      <c r="T631" s="2"/>
      <c r="U631" s="2"/>
      <c r="V631" s="2"/>
      <c r="W631" s="2"/>
      <c r="X631" s="2"/>
      <c r="Y631" s="2"/>
      <c r="Z631" s="2"/>
      <c r="AA631" s="2"/>
      <c r="AB631" s="2"/>
      <c r="AC631" s="2"/>
    </row>
    <row r="632" spans="1:29" ht="17.399999999999999" x14ac:dyDescent="0.25">
      <c r="A632" s="1"/>
      <c r="B632" s="2"/>
      <c r="C632" s="2"/>
      <c r="D632" s="2"/>
      <c r="E632" s="2"/>
      <c r="F632" s="2"/>
      <c r="G632" s="2"/>
      <c r="H632" s="2"/>
      <c r="I632" s="2"/>
      <c r="J632" s="2"/>
      <c r="K632" s="2"/>
      <c r="L632" s="2"/>
      <c r="M632" s="2"/>
      <c r="N632" s="2"/>
      <c r="O632" s="1"/>
      <c r="P632" s="2"/>
      <c r="Q632" s="2"/>
      <c r="R632" s="2"/>
      <c r="S632" s="2"/>
      <c r="T632" s="2"/>
      <c r="U632" s="2"/>
      <c r="V632" s="2"/>
      <c r="W632" s="2"/>
      <c r="X632" s="2"/>
      <c r="Y632" s="2"/>
      <c r="Z632" s="2"/>
      <c r="AA632" s="2"/>
      <c r="AB632" s="2"/>
      <c r="AC632" s="2"/>
    </row>
    <row r="633" spans="1:29" ht="17.399999999999999" x14ac:dyDescent="0.25">
      <c r="A633" s="1"/>
      <c r="B633" s="2"/>
      <c r="C633" s="2"/>
      <c r="D633" s="2"/>
      <c r="E633" s="2"/>
      <c r="F633" s="2"/>
      <c r="G633" s="2"/>
      <c r="H633" s="2"/>
      <c r="I633" s="2"/>
      <c r="J633" s="2"/>
      <c r="K633" s="2"/>
      <c r="L633" s="2"/>
      <c r="M633" s="2"/>
      <c r="N633" s="2"/>
      <c r="O633" s="1"/>
      <c r="P633" s="2"/>
      <c r="Q633" s="2"/>
      <c r="R633" s="2"/>
      <c r="S633" s="2"/>
      <c r="T633" s="2"/>
      <c r="U633" s="2"/>
      <c r="V633" s="2"/>
      <c r="W633" s="2"/>
      <c r="X633" s="2"/>
      <c r="Y633" s="2"/>
      <c r="Z633" s="2"/>
      <c r="AA633" s="2"/>
      <c r="AB633" s="2"/>
      <c r="AC633" s="2"/>
    </row>
    <row r="634" spans="1:29" ht="17.399999999999999" x14ac:dyDescent="0.25">
      <c r="A634" s="1"/>
      <c r="B634" s="2"/>
      <c r="C634" s="2"/>
      <c r="D634" s="2"/>
      <c r="E634" s="2"/>
      <c r="F634" s="2"/>
      <c r="G634" s="2"/>
      <c r="H634" s="2"/>
      <c r="I634" s="2"/>
      <c r="J634" s="2"/>
      <c r="K634" s="2"/>
      <c r="L634" s="2"/>
      <c r="M634" s="2"/>
      <c r="N634" s="2"/>
      <c r="O634" s="1"/>
      <c r="P634" s="2"/>
      <c r="Q634" s="2"/>
      <c r="R634" s="2"/>
      <c r="S634" s="2"/>
      <c r="T634" s="2"/>
      <c r="U634" s="2"/>
      <c r="V634" s="2"/>
      <c r="W634" s="2"/>
      <c r="X634" s="2"/>
      <c r="Y634" s="2"/>
      <c r="Z634" s="2"/>
      <c r="AA634" s="2"/>
      <c r="AB634" s="2"/>
      <c r="AC634" s="2"/>
    </row>
    <row r="635" spans="1:29" ht="17.399999999999999" x14ac:dyDescent="0.25">
      <c r="A635" s="1"/>
      <c r="B635" s="2"/>
      <c r="C635" s="2"/>
      <c r="D635" s="2"/>
      <c r="E635" s="2"/>
      <c r="F635" s="2"/>
      <c r="G635" s="2"/>
      <c r="H635" s="2"/>
      <c r="I635" s="2"/>
      <c r="J635" s="2"/>
      <c r="K635" s="2"/>
      <c r="L635" s="2"/>
      <c r="M635" s="2"/>
      <c r="N635" s="2"/>
      <c r="O635" s="1"/>
      <c r="P635" s="2"/>
      <c r="Q635" s="2"/>
      <c r="R635" s="2"/>
      <c r="S635" s="2"/>
      <c r="T635" s="2"/>
      <c r="U635" s="2"/>
      <c r="V635" s="2"/>
      <c r="W635" s="2"/>
      <c r="X635" s="2"/>
      <c r="Y635" s="2"/>
      <c r="Z635" s="2"/>
      <c r="AA635" s="2"/>
      <c r="AB635" s="2"/>
      <c r="AC635" s="2"/>
    </row>
    <row r="636" spans="1:29" ht="17.399999999999999" x14ac:dyDescent="0.25">
      <c r="A636" s="1"/>
      <c r="B636" s="2"/>
      <c r="C636" s="2"/>
      <c r="D636" s="2"/>
      <c r="E636" s="2"/>
      <c r="F636" s="2"/>
      <c r="G636" s="2"/>
      <c r="H636" s="2"/>
      <c r="I636" s="2"/>
      <c r="J636" s="2"/>
      <c r="K636" s="2"/>
      <c r="L636" s="2"/>
      <c r="M636" s="2"/>
      <c r="N636" s="2"/>
      <c r="O636" s="1"/>
      <c r="P636" s="2"/>
      <c r="Q636" s="2"/>
      <c r="R636" s="2"/>
      <c r="S636" s="2"/>
      <c r="T636" s="2"/>
      <c r="U636" s="2"/>
      <c r="V636" s="2"/>
      <c r="W636" s="2"/>
      <c r="X636" s="2"/>
      <c r="Y636" s="2"/>
      <c r="Z636" s="2"/>
      <c r="AA636" s="2"/>
      <c r="AB636" s="2"/>
      <c r="AC636" s="2"/>
    </row>
    <row r="637" spans="1:29" ht="17.399999999999999" x14ac:dyDescent="0.25">
      <c r="A637" s="1"/>
      <c r="B637" s="2"/>
      <c r="C637" s="2"/>
      <c r="D637" s="2"/>
      <c r="E637" s="2"/>
      <c r="F637" s="2"/>
      <c r="G637" s="2"/>
      <c r="H637" s="2"/>
      <c r="I637" s="2"/>
      <c r="J637" s="2"/>
      <c r="K637" s="2"/>
      <c r="L637" s="2"/>
      <c r="M637" s="2"/>
      <c r="N637" s="2"/>
      <c r="O637" s="1"/>
      <c r="P637" s="2"/>
      <c r="Q637" s="2"/>
      <c r="R637" s="2"/>
      <c r="S637" s="2"/>
      <c r="T637" s="2"/>
      <c r="U637" s="2"/>
      <c r="V637" s="2"/>
      <c r="W637" s="2"/>
      <c r="X637" s="2"/>
      <c r="Y637" s="2"/>
      <c r="Z637" s="2"/>
      <c r="AA637" s="2"/>
      <c r="AB637" s="2"/>
      <c r="AC637" s="2"/>
    </row>
    <row r="638" spans="1:29" ht="17.399999999999999" x14ac:dyDescent="0.25">
      <c r="A638" s="1"/>
      <c r="B638" s="2"/>
      <c r="C638" s="2"/>
      <c r="D638" s="2"/>
      <c r="E638" s="2"/>
      <c r="F638" s="2"/>
      <c r="G638" s="2"/>
      <c r="H638" s="2"/>
      <c r="I638" s="2"/>
      <c r="J638" s="2"/>
      <c r="K638" s="2"/>
      <c r="L638" s="2"/>
      <c r="M638" s="2"/>
      <c r="N638" s="2"/>
      <c r="O638" s="1"/>
      <c r="P638" s="2"/>
      <c r="Q638" s="2"/>
      <c r="R638" s="2"/>
      <c r="S638" s="2"/>
      <c r="T638" s="2"/>
      <c r="U638" s="2"/>
      <c r="V638" s="2"/>
      <c r="W638" s="2"/>
      <c r="X638" s="2"/>
      <c r="Y638" s="2"/>
      <c r="Z638" s="2"/>
      <c r="AA638" s="2"/>
      <c r="AB638" s="2"/>
      <c r="AC638" s="2"/>
    </row>
    <row r="639" spans="1:29" ht="17.399999999999999" x14ac:dyDescent="0.25">
      <c r="A639" s="1"/>
      <c r="B639" s="2"/>
      <c r="C639" s="2"/>
      <c r="D639" s="2"/>
      <c r="E639" s="2"/>
      <c r="F639" s="2"/>
      <c r="G639" s="2"/>
      <c r="H639" s="2"/>
      <c r="I639" s="2"/>
      <c r="J639" s="2"/>
      <c r="K639" s="2"/>
      <c r="L639" s="2"/>
      <c r="M639" s="2"/>
      <c r="N639" s="2"/>
      <c r="O639" s="1"/>
      <c r="P639" s="2"/>
      <c r="Q639" s="2"/>
      <c r="R639" s="2"/>
      <c r="S639" s="2"/>
      <c r="T639" s="2"/>
      <c r="U639" s="2"/>
      <c r="V639" s="2"/>
      <c r="W639" s="2"/>
      <c r="X639" s="2"/>
      <c r="Y639" s="2"/>
      <c r="Z639" s="2"/>
      <c r="AA639" s="2"/>
      <c r="AB639" s="2"/>
      <c r="AC639" s="2"/>
    </row>
    <row r="640" spans="1:29" ht="17.399999999999999" x14ac:dyDescent="0.25">
      <c r="A640" s="1"/>
      <c r="B640" s="2"/>
      <c r="C640" s="2"/>
      <c r="D640" s="2"/>
      <c r="E640" s="2"/>
      <c r="F640" s="2"/>
      <c r="G640" s="2"/>
      <c r="H640" s="2"/>
      <c r="I640" s="2"/>
      <c r="J640" s="2"/>
      <c r="K640" s="2"/>
      <c r="L640" s="2"/>
      <c r="M640" s="2"/>
      <c r="N640" s="2"/>
      <c r="O640" s="1"/>
      <c r="P640" s="2"/>
      <c r="Q640" s="2"/>
      <c r="R640" s="2"/>
      <c r="S640" s="2"/>
      <c r="T640" s="2"/>
      <c r="U640" s="2"/>
      <c r="V640" s="2"/>
      <c r="W640" s="2"/>
      <c r="X640" s="2"/>
      <c r="Y640" s="2"/>
      <c r="Z640" s="2"/>
      <c r="AA640" s="2"/>
      <c r="AB640" s="2"/>
      <c r="AC640" s="2"/>
    </row>
    <row r="641" spans="1:29" ht="17.399999999999999" x14ac:dyDescent="0.25">
      <c r="A641" s="1"/>
      <c r="B641" s="2"/>
      <c r="C641" s="2"/>
      <c r="D641" s="2"/>
      <c r="E641" s="2"/>
      <c r="F641" s="2"/>
      <c r="G641" s="2"/>
      <c r="H641" s="2"/>
      <c r="I641" s="2"/>
      <c r="J641" s="2"/>
      <c r="K641" s="2"/>
      <c r="L641" s="2"/>
      <c r="M641" s="2"/>
      <c r="N641" s="2"/>
      <c r="O641" s="1"/>
      <c r="P641" s="2"/>
      <c r="Q641" s="2"/>
      <c r="R641" s="2"/>
      <c r="S641" s="2"/>
      <c r="T641" s="2"/>
      <c r="U641" s="2"/>
      <c r="V641" s="2"/>
      <c r="W641" s="2"/>
      <c r="X641" s="2"/>
      <c r="Y641" s="2"/>
      <c r="Z641" s="2"/>
      <c r="AA641" s="2"/>
      <c r="AB641" s="2"/>
      <c r="AC641" s="2"/>
    </row>
    <row r="642" spans="1:29" ht="17.399999999999999" x14ac:dyDescent="0.25">
      <c r="A642" s="1"/>
      <c r="B642" s="2"/>
      <c r="C642" s="2"/>
      <c r="D642" s="2"/>
      <c r="E642" s="2"/>
      <c r="F642" s="2"/>
      <c r="G642" s="2"/>
      <c r="H642" s="2"/>
      <c r="I642" s="2"/>
      <c r="J642" s="2"/>
      <c r="K642" s="2"/>
      <c r="L642" s="2"/>
      <c r="M642" s="2"/>
      <c r="N642" s="2"/>
      <c r="O642" s="1"/>
      <c r="P642" s="2"/>
      <c r="Q642" s="2"/>
      <c r="R642" s="2"/>
      <c r="S642" s="2"/>
      <c r="T642" s="2"/>
      <c r="U642" s="2"/>
      <c r="V642" s="2"/>
      <c r="W642" s="2"/>
      <c r="X642" s="2"/>
      <c r="Y642" s="2"/>
      <c r="Z642" s="2"/>
      <c r="AA642" s="2"/>
      <c r="AB642" s="2"/>
      <c r="AC642" s="2"/>
    </row>
    <row r="643" spans="1:29" ht="17.399999999999999" x14ac:dyDescent="0.25">
      <c r="A643" s="1"/>
      <c r="B643" s="2"/>
      <c r="C643" s="2"/>
      <c r="D643" s="2"/>
      <c r="E643" s="2"/>
      <c r="F643" s="2"/>
      <c r="G643" s="2"/>
      <c r="H643" s="2"/>
      <c r="I643" s="2"/>
      <c r="J643" s="2"/>
      <c r="K643" s="2"/>
      <c r="L643" s="2"/>
      <c r="M643" s="2"/>
      <c r="N643" s="2"/>
      <c r="O643" s="1"/>
      <c r="P643" s="2"/>
      <c r="Q643" s="2"/>
      <c r="R643" s="2"/>
      <c r="S643" s="2"/>
      <c r="T643" s="2"/>
      <c r="U643" s="2"/>
      <c r="V643" s="2"/>
      <c r="W643" s="2"/>
      <c r="X643" s="2"/>
      <c r="Y643" s="2"/>
      <c r="Z643" s="2"/>
      <c r="AA643" s="2"/>
      <c r="AB643" s="2"/>
      <c r="AC643" s="2"/>
    </row>
    <row r="644" spans="1:29" ht="17.399999999999999" x14ac:dyDescent="0.25">
      <c r="A644" s="1"/>
      <c r="B644" s="2"/>
      <c r="C644" s="2"/>
      <c r="D644" s="2"/>
      <c r="E644" s="2"/>
      <c r="F644" s="2"/>
      <c r="G644" s="2"/>
      <c r="H644" s="2"/>
      <c r="I644" s="2"/>
      <c r="J644" s="2"/>
      <c r="K644" s="2"/>
      <c r="L644" s="2"/>
      <c r="M644" s="2"/>
      <c r="N644" s="2"/>
      <c r="O644" s="1"/>
      <c r="P644" s="2"/>
      <c r="Q644" s="2"/>
      <c r="R644" s="2"/>
      <c r="S644" s="2"/>
      <c r="T644" s="2"/>
      <c r="U644" s="2"/>
      <c r="V644" s="2"/>
      <c r="W644" s="2"/>
      <c r="X644" s="2"/>
      <c r="Y644" s="2"/>
      <c r="Z644" s="2"/>
      <c r="AA644" s="2"/>
      <c r="AB644" s="2"/>
      <c r="AC644" s="2"/>
    </row>
    <row r="645" spans="1:29" ht="17.399999999999999" x14ac:dyDescent="0.25">
      <c r="A645" s="1"/>
      <c r="B645" s="2"/>
      <c r="C645" s="2"/>
      <c r="D645" s="2"/>
      <c r="E645" s="2"/>
      <c r="F645" s="2"/>
      <c r="G645" s="2"/>
      <c r="H645" s="2"/>
      <c r="I645" s="2"/>
      <c r="J645" s="2"/>
      <c r="K645" s="2"/>
      <c r="L645" s="2"/>
      <c r="M645" s="2"/>
      <c r="N645" s="2"/>
      <c r="O645" s="1"/>
      <c r="P645" s="2"/>
      <c r="Q645" s="2"/>
      <c r="R645" s="2"/>
      <c r="S645" s="2"/>
      <c r="T645" s="2"/>
      <c r="U645" s="2"/>
      <c r="V645" s="2"/>
      <c r="W645" s="2"/>
      <c r="X645" s="2"/>
      <c r="Y645" s="2"/>
      <c r="Z645" s="2"/>
      <c r="AA645" s="2"/>
      <c r="AB645" s="2"/>
      <c r="AC645" s="2"/>
    </row>
    <row r="646" spans="1:29" ht="17.399999999999999" x14ac:dyDescent="0.25">
      <c r="A646" s="1"/>
      <c r="B646" s="2"/>
      <c r="C646" s="2"/>
      <c r="D646" s="2"/>
      <c r="E646" s="2"/>
      <c r="F646" s="2"/>
      <c r="G646" s="2"/>
      <c r="H646" s="2"/>
      <c r="I646" s="2"/>
      <c r="J646" s="2"/>
      <c r="K646" s="2"/>
      <c r="L646" s="2"/>
      <c r="M646" s="2"/>
      <c r="N646" s="2"/>
      <c r="O646" s="1"/>
      <c r="P646" s="2"/>
      <c r="Q646" s="2"/>
      <c r="R646" s="2"/>
      <c r="S646" s="2"/>
      <c r="T646" s="2"/>
      <c r="U646" s="2"/>
      <c r="V646" s="2"/>
      <c r="W646" s="2"/>
      <c r="X646" s="2"/>
      <c r="Y646" s="2"/>
      <c r="Z646" s="2"/>
      <c r="AA646" s="2"/>
      <c r="AB646" s="2"/>
      <c r="AC646" s="2"/>
    </row>
    <row r="647" spans="1:29" ht="17.399999999999999" x14ac:dyDescent="0.25">
      <c r="A647" s="1"/>
      <c r="B647" s="2"/>
      <c r="C647" s="2"/>
      <c r="D647" s="2"/>
      <c r="E647" s="2"/>
      <c r="F647" s="2"/>
      <c r="G647" s="2"/>
      <c r="H647" s="2"/>
      <c r="I647" s="2"/>
      <c r="J647" s="2"/>
      <c r="K647" s="2"/>
      <c r="L647" s="2"/>
      <c r="M647" s="2"/>
      <c r="N647" s="2"/>
      <c r="O647" s="1"/>
      <c r="P647" s="2"/>
      <c r="Q647" s="2"/>
      <c r="R647" s="2"/>
      <c r="S647" s="2"/>
      <c r="T647" s="2"/>
      <c r="U647" s="2"/>
      <c r="V647" s="2"/>
      <c r="W647" s="2"/>
      <c r="X647" s="2"/>
      <c r="Y647" s="2"/>
      <c r="Z647" s="2"/>
      <c r="AA647" s="2"/>
      <c r="AB647" s="2"/>
      <c r="AC647" s="2"/>
    </row>
    <row r="648" spans="1:29" ht="17.399999999999999" x14ac:dyDescent="0.25">
      <c r="A648" s="1"/>
      <c r="B648" s="2"/>
      <c r="C648" s="2"/>
      <c r="D648" s="2"/>
      <c r="E648" s="2"/>
      <c r="F648" s="2"/>
      <c r="G648" s="2"/>
      <c r="H648" s="2"/>
      <c r="I648" s="2"/>
      <c r="J648" s="2"/>
      <c r="K648" s="2"/>
      <c r="L648" s="2"/>
      <c r="M648" s="2"/>
      <c r="N648" s="2"/>
      <c r="O648" s="1"/>
      <c r="P648" s="2"/>
      <c r="Q648" s="2"/>
      <c r="R648" s="2"/>
      <c r="S648" s="2"/>
      <c r="T648" s="2"/>
      <c r="U648" s="2"/>
      <c r="V648" s="2"/>
      <c r="W648" s="2"/>
      <c r="X648" s="2"/>
      <c r="Y648" s="2"/>
      <c r="Z648" s="2"/>
      <c r="AA648" s="2"/>
      <c r="AB648" s="2"/>
      <c r="AC648" s="2"/>
    </row>
    <row r="649" spans="1:29" ht="17.399999999999999" x14ac:dyDescent="0.25">
      <c r="A649" s="1"/>
      <c r="B649" s="2"/>
      <c r="C649" s="2"/>
      <c r="D649" s="2"/>
      <c r="E649" s="2"/>
      <c r="F649" s="2"/>
      <c r="G649" s="2"/>
      <c r="H649" s="2"/>
      <c r="I649" s="2"/>
      <c r="J649" s="2"/>
      <c r="K649" s="2"/>
      <c r="L649" s="2"/>
      <c r="M649" s="2"/>
      <c r="N649" s="2"/>
      <c r="O649" s="1"/>
      <c r="P649" s="2"/>
      <c r="Q649" s="2"/>
      <c r="R649" s="2"/>
      <c r="S649" s="2"/>
      <c r="T649" s="2"/>
      <c r="U649" s="2"/>
      <c r="V649" s="2"/>
      <c r="W649" s="2"/>
      <c r="X649" s="2"/>
      <c r="Y649" s="2"/>
      <c r="Z649" s="2"/>
      <c r="AA649" s="2"/>
      <c r="AB649" s="2"/>
      <c r="AC649" s="2"/>
    </row>
    <row r="650" spans="1:29" ht="17.399999999999999" x14ac:dyDescent="0.25">
      <c r="A650" s="1"/>
      <c r="B650" s="2"/>
      <c r="C650" s="2"/>
      <c r="D650" s="2"/>
      <c r="E650" s="2"/>
      <c r="F650" s="2"/>
      <c r="G650" s="2"/>
      <c r="H650" s="2"/>
      <c r="I650" s="2"/>
      <c r="J650" s="2"/>
      <c r="K650" s="2"/>
      <c r="L650" s="2"/>
      <c r="M650" s="2"/>
      <c r="N650" s="2"/>
      <c r="O650" s="1"/>
      <c r="P650" s="2"/>
      <c r="Q650" s="2"/>
      <c r="R650" s="2"/>
      <c r="S650" s="2"/>
      <c r="T650" s="2"/>
      <c r="U650" s="2"/>
      <c r="V650" s="2"/>
      <c r="W650" s="2"/>
      <c r="X650" s="2"/>
      <c r="Y650" s="2"/>
      <c r="Z650" s="2"/>
      <c r="AA650" s="2"/>
      <c r="AB650" s="2"/>
      <c r="AC650" s="2"/>
    </row>
    <row r="651" spans="1:29" ht="17.399999999999999" x14ac:dyDescent="0.25">
      <c r="A651" s="1"/>
      <c r="B651" s="2"/>
      <c r="C651" s="2"/>
      <c r="D651" s="2"/>
      <c r="E651" s="2"/>
      <c r="F651" s="2"/>
      <c r="G651" s="2"/>
      <c r="H651" s="2"/>
      <c r="I651" s="2"/>
      <c r="J651" s="2"/>
      <c r="K651" s="2"/>
      <c r="L651" s="2"/>
      <c r="M651" s="2"/>
      <c r="N651" s="2"/>
      <c r="O651" s="1"/>
      <c r="P651" s="2"/>
      <c r="Q651" s="2"/>
      <c r="R651" s="2"/>
      <c r="S651" s="2"/>
      <c r="T651" s="2"/>
      <c r="U651" s="2"/>
      <c r="V651" s="2"/>
      <c r="W651" s="2"/>
      <c r="X651" s="2"/>
      <c r="Y651" s="2"/>
      <c r="Z651" s="2"/>
      <c r="AA651" s="2"/>
      <c r="AB651" s="2"/>
      <c r="AC651" s="2"/>
    </row>
    <row r="652" spans="1:29" ht="17.399999999999999" x14ac:dyDescent="0.25">
      <c r="A652" s="1"/>
      <c r="B652" s="2"/>
      <c r="C652" s="2"/>
      <c r="D652" s="2"/>
      <c r="E652" s="2"/>
      <c r="F652" s="2"/>
      <c r="G652" s="2"/>
      <c r="H652" s="2"/>
      <c r="I652" s="2"/>
      <c r="J652" s="2"/>
      <c r="K652" s="2"/>
      <c r="L652" s="2"/>
      <c r="M652" s="2"/>
      <c r="N652" s="2"/>
      <c r="O652" s="1"/>
      <c r="P652" s="2"/>
      <c r="Q652" s="2"/>
      <c r="R652" s="2"/>
      <c r="S652" s="2"/>
      <c r="T652" s="2"/>
      <c r="U652" s="2"/>
      <c r="V652" s="2"/>
      <c r="W652" s="2"/>
      <c r="X652" s="2"/>
      <c r="Y652" s="2"/>
      <c r="Z652" s="2"/>
      <c r="AA652" s="2"/>
      <c r="AB652" s="2"/>
      <c r="AC652" s="2"/>
    </row>
    <row r="653" spans="1:29" ht="17.399999999999999" x14ac:dyDescent="0.25">
      <c r="A653" s="1"/>
      <c r="B653" s="2"/>
      <c r="C653" s="2"/>
      <c r="D653" s="2"/>
      <c r="E653" s="2"/>
      <c r="F653" s="2"/>
      <c r="G653" s="2"/>
      <c r="H653" s="2"/>
      <c r="I653" s="2"/>
      <c r="J653" s="2"/>
      <c r="K653" s="2"/>
      <c r="L653" s="2"/>
      <c r="M653" s="2"/>
      <c r="N653" s="2"/>
      <c r="O653" s="1"/>
      <c r="P653" s="2"/>
      <c r="Q653" s="2"/>
      <c r="R653" s="2"/>
      <c r="S653" s="2"/>
      <c r="T653" s="2"/>
      <c r="U653" s="2"/>
      <c r="V653" s="2"/>
      <c r="W653" s="2"/>
      <c r="X653" s="2"/>
      <c r="Y653" s="2"/>
      <c r="Z653" s="2"/>
      <c r="AA653" s="2"/>
      <c r="AB653" s="2"/>
      <c r="AC653" s="2"/>
    </row>
    <row r="654" spans="1:29" ht="17.399999999999999" x14ac:dyDescent="0.25">
      <c r="A654" s="1"/>
      <c r="B654" s="2"/>
      <c r="C654" s="2"/>
      <c r="D654" s="2"/>
      <c r="E654" s="2"/>
      <c r="F654" s="2"/>
      <c r="G654" s="2"/>
      <c r="H654" s="2"/>
      <c r="I654" s="2"/>
      <c r="J654" s="2"/>
      <c r="K654" s="2"/>
      <c r="L654" s="2"/>
      <c r="M654" s="2"/>
      <c r="N654" s="2"/>
      <c r="O654" s="1"/>
      <c r="P654" s="2"/>
      <c r="Q654" s="2"/>
      <c r="R654" s="2"/>
      <c r="S654" s="2"/>
      <c r="T654" s="2"/>
      <c r="U654" s="2"/>
      <c r="V654" s="2"/>
      <c r="W654" s="2"/>
      <c r="X654" s="2"/>
      <c r="Y654" s="2"/>
      <c r="Z654" s="2"/>
      <c r="AA654" s="2"/>
      <c r="AB654" s="2"/>
      <c r="AC654" s="2"/>
    </row>
    <row r="655" spans="1:29" ht="17.399999999999999" x14ac:dyDescent="0.25">
      <c r="A655" s="1"/>
      <c r="B655" s="2"/>
      <c r="C655" s="2"/>
      <c r="D655" s="2"/>
      <c r="E655" s="2"/>
      <c r="F655" s="2"/>
      <c r="G655" s="2"/>
      <c r="H655" s="2"/>
      <c r="I655" s="2"/>
      <c r="J655" s="2"/>
      <c r="K655" s="2"/>
      <c r="L655" s="2"/>
      <c r="M655" s="2"/>
      <c r="N655" s="2"/>
      <c r="O655" s="1"/>
      <c r="P655" s="2"/>
      <c r="Q655" s="2"/>
      <c r="R655" s="2"/>
      <c r="S655" s="2"/>
      <c r="T655" s="2"/>
      <c r="U655" s="2"/>
      <c r="V655" s="2"/>
      <c r="W655" s="2"/>
      <c r="X655" s="2"/>
      <c r="Y655" s="2"/>
      <c r="Z655" s="2"/>
      <c r="AA655" s="2"/>
      <c r="AB655" s="2"/>
      <c r="AC655" s="2"/>
    </row>
    <row r="656" spans="1:29" ht="17.399999999999999" x14ac:dyDescent="0.25">
      <c r="A656" s="1"/>
      <c r="B656" s="2"/>
      <c r="C656" s="2"/>
      <c r="D656" s="2"/>
      <c r="E656" s="2"/>
      <c r="F656" s="2"/>
      <c r="G656" s="2"/>
      <c r="H656" s="2"/>
      <c r="I656" s="2"/>
      <c r="J656" s="2"/>
      <c r="K656" s="2"/>
      <c r="L656" s="2"/>
      <c r="M656" s="2"/>
      <c r="N656" s="2"/>
      <c r="O656" s="1"/>
      <c r="P656" s="2"/>
      <c r="Q656" s="2"/>
      <c r="R656" s="2"/>
      <c r="S656" s="2"/>
      <c r="T656" s="2"/>
      <c r="U656" s="2"/>
      <c r="V656" s="2"/>
      <c r="W656" s="2"/>
      <c r="X656" s="2"/>
      <c r="Y656" s="2"/>
      <c r="Z656" s="2"/>
      <c r="AA656" s="2"/>
      <c r="AB656" s="2"/>
      <c r="AC656" s="2"/>
    </row>
    <row r="657" spans="1:29" ht="17.399999999999999" x14ac:dyDescent="0.25">
      <c r="A657" s="1"/>
      <c r="B657" s="2"/>
      <c r="C657" s="2"/>
      <c r="D657" s="2"/>
      <c r="E657" s="2"/>
      <c r="F657" s="2"/>
      <c r="G657" s="2"/>
      <c r="H657" s="2"/>
      <c r="I657" s="2"/>
      <c r="J657" s="2"/>
      <c r="K657" s="2"/>
      <c r="L657" s="2"/>
      <c r="M657" s="2"/>
      <c r="N657" s="2"/>
      <c r="O657" s="1"/>
      <c r="P657" s="2"/>
      <c r="Q657" s="2"/>
      <c r="R657" s="2"/>
      <c r="S657" s="2"/>
      <c r="T657" s="2"/>
      <c r="U657" s="2"/>
      <c r="V657" s="2"/>
      <c r="W657" s="2"/>
      <c r="X657" s="2"/>
      <c r="Y657" s="2"/>
      <c r="Z657" s="2"/>
      <c r="AA657" s="2"/>
      <c r="AB657" s="2"/>
      <c r="AC657" s="2"/>
    </row>
    <row r="658" spans="1:29" ht="17.399999999999999" x14ac:dyDescent="0.25">
      <c r="A658" s="1"/>
      <c r="B658" s="2"/>
      <c r="C658" s="2"/>
      <c r="D658" s="2"/>
      <c r="E658" s="2"/>
      <c r="F658" s="2"/>
      <c r="G658" s="2"/>
      <c r="H658" s="2"/>
      <c r="I658" s="2"/>
      <c r="J658" s="2"/>
      <c r="K658" s="2"/>
      <c r="L658" s="2"/>
      <c r="M658" s="2"/>
      <c r="N658" s="2"/>
      <c r="O658" s="1"/>
      <c r="P658" s="2"/>
      <c r="Q658" s="2"/>
      <c r="R658" s="2"/>
      <c r="S658" s="2"/>
      <c r="T658" s="2"/>
      <c r="U658" s="2"/>
      <c r="V658" s="2"/>
      <c r="W658" s="2"/>
      <c r="X658" s="2"/>
      <c r="Y658" s="2"/>
      <c r="Z658" s="2"/>
      <c r="AA658" s="2"/>
      <c r="AB658" s="2"/>
      <c r="AC658" s="2"/>
    </row>
    <row r="659" spans="1:29" ht="17.399999999999999" x14ac:dyDescent="0.25">
      <c r="A659" s="1"/>
      <c r="B659" s="2"/>
      <c r="C659" s="2"/>
      <c r="D659" s="2"/>
      <c r="E659" s="2"/>
      <c r="F659" s="2"/>
      <c r="G659" s="2"/>
      <c r="H659" s="2"/>
      <c r="I659" s="2"/>
      <c r="J659" s="2"/>
      <c r="K659" s="2"/>
      <c r="L659" s="2"/>
      <c r="M659" s="2"/>
      <c r="N659" s="2"/>
      <c r="O659" s="1"/>
      <c r="P659" s="2"/>
      <c r="Q659" s="2"/>
      <c r="R659" s="2"/>
      <c r="S659" s="2"/>
      <c r="T659" s="2"/>
      <c r="U659" s="2"/>
      <c r="V659" s="2"/>
      <c r="W659" s="2"/>
      <c r="X659" s="2"/>
      <c r="Y659" s="2"/>
      <c r="Z659" s="2"/>
      <c r="AA659" s="2"/>
      <c r="AB659" s="2"/>
      <c r="AC659" s="2"/>
    </row>
    <row r="660" spans="1:29" ht="17.399999999999999" x14ac:dyDescent="0.25">
      <c r="A660" s="1"/>
      <c r="B660" s="2"/>
      <c r="C660" s="2"/>
      <c r="D660" s="2"/>
      <c r="E660" s="2"/>
      <c r="F660" s="2"/>
      <c r="G660" s="2"/>
      <c r="H660" s="2"/>
      <c r="I660" s="2"/>
      <c r="J660" s="2"/>
      <c r="K660" s="2"/>
      <c r="L660" s="2"/>
      <c r="M660" s="2"/>
      <c r="N660" s="2"/>
      <c r="O660" s="1"/>
      <c r="P660" s="2"/>
      <c r="Q660" s="2"/>
      <c r="R660" s="2"/>
      <c r="S660" s="2"/>
      <c r="T660" s="2"/>
      <c r="U660" s="2"/>
      <c r="V660" s="2"/>
      <c r="W660" s="2"/>
      <c r="X660" s="2"/>
      <c r="Y660" s="2"/>
      <c r="Z660" s="2"/>
      <c r="AA660" s="2"/>
      <c r="AB660" s="2"/>
      <c r="AC660" s="2"/>
    </row>
    <row r="661" spans="1:29" ht="17.399999999999999" x14ac:dyDescent="0.25">
      <c r="A661" s="1"/>
      <c r="B661" s="2"/>
      <c r="C661" s="2"/>
      <c r="D661" s="2"/>
      <c r="E661" s="2"/>
      <c r="F661" s="2"/>
      <c r="G661" s="2"/>
      <c r="H661" s="2"/>
      <c r="I661" s="2"/>
      <c r="J661" s="2"/>
      <c r="K661" s="2"/>
      <c r="L661" s="2"/>
      <c r="M661" s="2"/>
      <c r="N661" s="2"/>
      <c r="O661" s="1"/>
      <c r="P661" s="2"/>
      <c r="Q661" s="2"/>
      <c r="R661" s="2"/>
      <c r="S661" s="2"/>
      <c r="T661" s="2"/>
      <c r="U661" s="2"/>
      <c r="V661" s="2"/>
      <c r="W661" s="2"/>
      <c r="X661" s="2"/>
      <c r="Y661" s="2"/>
      <c r="Z661" s="2"/>
      <c r="AA661" s="2"/>
      <c r="AB661" s="2"/>
      <c r="AC661" s="2"/>
    </row>
    <row r="662" spans="1:29" ht="17.399999999999999" x14ac:dyDescent="0.25">
      <c r="A662" s="1"/>
      <c r="B662" s="2"/>
      <c r="C662" s="2"/>
      <c r="D662" s="2"/>
      <c r="E662" s="2"/>
      <c r="F662" s="2"/>
      <c r="G662" s="2"/>
      <c r="H662" s="2"/>
      <c r="I662" s="2"/>
      <c r="J662" s="2"/>
      <c r="K662" s="2"/>
      <c r="L662" s="2"/>
      <c r="M662" s="2"/>
      <c r="N662" s="2"/>
      <c r="O662" s="1"/>
      <c r="P662" s="2"/>
      <c r="Q662" s="2"/>
      <c r="R662" s="2"/>
      <c r="S662" s="2"/>
      <c r="T662" s="2"/>
      <c r="U662" s="2"/>
      <c r="V662" s="2"/>
      <c r="W662" s="2"/>
      <c r="X662" s="2"/>
      <c r="Y662" s="2"/>
      <c r="Z662" s="2"/>
      <c r="AA662" s="2"/>
      <c r="AB662" s="2"/>
      <c r="AC662" s="2"/>
    </row>
    <row r="663" spans="1:29" ht="17.399999999999999" x14ac:dyDescent="0.25">
      <c r="A663" s="1"/>
      <c r="B663" s="2"/>
      <c r="C663" s="2"/>
      <c r="D663" s="2"/>
      <c r="E663" s="2"/>
      <c r="F663" s="2"/>
      <c r="G663" s="2"/>
      <c r="H663" s="2"/>
      <c r="I663" s="2"/>
      <c r="J663" s="2"/>
      <c r="K663" s="2"/>
      <c r="L663" s="2"/>
      <c r="M663" s="2"/>
      <c r="N663" s="2"/>
      <c r="O663" s="1"/>
      <c r="P663" s="2"/>
      <c r="Q663" s="2"/>
      <c r="R663" s="2"/>
      <c r="S663" s="2"/>
      <c r="T663" s="2"/>
      <c r="U663" s="2"/>
      <c r="V663" s="2"/>
      <c r="W663" s="2"/>
      <c r="X663" s="2"/>
      <c r="Y663" s="2"/>
      <c r="Z663" s="2"/>
      <c r="AA663" s="2"/>
      <c r="AB663" s="2"/>
      <c r="AC663" s="2"/>
    </row>
    <row r="664" spans="1:29" ht="17.399999999999999" x14ac:dyDescent="0.25">
      <c r="A664" s="1"/>
      <c r="B664" s="2"/>
      <c r="C664" s="2"/>
      <c r="D664" s="2"/>
      <c r="E664" s="2"/>
      <c r="F664" s="2"/>
      <c r="G664" s="2"/>
      <c r="H664" s="2"/>
      <c r="I664" s="2"/>
      <c r="J664" s="2"/>
      <c r="K664" s="2"/>
      <c r="L664" s="2"/>
      <c r="M664" s="2"/>
      <c r="N664" s="2"/>
      <c r="O664" s="1"/>
      <c r="P664" s="2"/>
      <c r="Q664" s="2"/>
      <c r="R664" s="2"/>
      <c r="S664" s="2"/>
      <c r="T664" s="2"/>
      <c r="U664" s="2"/>
      <c r="V664" s="2"/>
      <c r="W664" s="2"/>
      <c r="X664" s="2"/>
      <c r="Y664" s="2"/>
      <c r="Z664" s="2"/>
      <c r="AA664" s="2"/>
      <c r="AB664" s="2"/>
      <c r="AC664" s="2"/>
    </row>
    <row r="665" spans="1:29" ht="17.399999999999999" x14ac:dyDescent="0.25">
      <c r="A665" s="1"/>
      <c r="B665" s="2"/>
      <c r="C665" s="2"/>
      <c r="D665" s="2"/>
      <c r="E665" s="2"/>
      <c r="F665" s="2"/>
      <c r="G665" s="2"/>
      <c r="H665" s="2"/>
      <c r="I665" s="2"/>
      <c r="J665" s="2"/>
      <c r="K665" s="2"/>
      <c r="L665" s="2"/>
      <c r="M665" s="2"/>
      <c r="N665" s="2"/>
      <c r="O665" s="1"/>
      <c r="P665" s="2"/>
      <c r="Q665" s="2"/>
      <c r="R665" s="2"/>
      <c r="S665" s="2"/>
      <c r="T665" s="2"/>
      <c r="U665" s="2"/>
      <c r="V665" s="2"/>
      <c r="W665" s="2"/>
      <c r="X665" s="2"/>
      <c r="Y665" s="2"/>
      <c r="Z665" s="2"/>
      <c r="AA665" s="2"/>
      <c r="AB665" s="2"/>
      <c r="AC665" s="2"/>
    </row>
    <row r="666" spans="1:29" ht="17.399999999999999" x14ac:dyDescent="0.25">
      <c r="A666" s="1"/>
      <c r="B666" s="2"/>
      <c r="C666" s="2"/>
      <c r="D666" s="2"/>
      <c r="E666" s="2"/>
      <c r="F666" s="2"/>
      <c r="G666" s="2"/>
      <c r="H666" s="2"/>
      <c r="I666" s="2"/>
      <c r="J666" s="2"/>
      <c r="K666" s="2"/>
      <c r="L666" s="2"/>
      <c r="M666" s="2"/>
      <c r="N666" s="2"/>
      <c r="O666" s="1"/>
      <c r="P666" s="2"/>
      <c r="Q666" s="2"/>
      <c r="R666" s="2"/>
      <c r="S666" s="2"/>
      <c r="T666" s="2"/>
      <c r="U666" s="2"/>
      <c r="V666" s="2"/>
      <c r="W666" s="2"/>
      <c r="X666" s="2"/>
      <c r="Y666" s="2"/>
      <c r="Z666" s="2"/>
      <c r="AA666" s="2"/>
      <c r="AB666" s="2"/>
      <c r="AC666" s="2"/>
    </row>
    <row r="667" spans="1:29" ht="17.399999999999999" x14ac:dyDescent="0.25">
      <c r="A667" s="1"/>
      <c r="B667" s="2"/>
      <c r="C667" s="2"/>
      <c r="D667" s="2"/>
      <c r="E667" s="2"/>
      <c r="F667" s="2"/>
      <c r="G667" s="2"/>
      <c r="H667" s="2"/>
      <c r="I667" s="2"/>
      <c r="J667" s="2"/>
      <c r="K667" s="2"/>
      <c r="L667" s="2"/>
      <c r="M667" s="2"/>
      <c r="N667" s="2"/>
      <c r="O667" s="1"/>
      <c r="P667" s="2"/>
      <c r="Q667" s="2"/>
      <c r="R667" s="2"/>
      <c r="S667" s="2"/>
      <c r="T667" s="2"/>
      <c r="U667" s="2"/>
      <c r="V667" s="2"/>
      <c r="W667" s="2"/>
      <c r="X667" s="2"/>
      <c r="Y667" s="2"/>
      <c r="Z667" s="2"/>
      <c r="AA667" s="2"/>
      <c r="AB667" s="2"/>
      <c r="AC667" s="2"/>
    </row>
    <row r="668" spans="1:29" ht="17.399999999999999" x14ac:dyDescent="0.25">
      <c r="A668" s="1"/>
      <c r="B668" s="2"/>
      <c r="C668" s="2"/>
      <c r="D668" s="2"/>
      <c r="E668" s="2"/>
      <c r="F668" s="2"/>
      <c r="G668" s="2"/>
      <c r="H668" s="2"/>
      <c r="I668" s="2"/>
      <c r="J668" s="2"/>
      <c r="K668" s="2"/>
      <c r="L668" s="2"/>
      <c r="M668" s="2"/>
      <c r="N668" s="2"/>
      <c r="O668" s="1"/>
      <c r="P668" s="2"/>
      <c r="Q668" s="2"/>
      <c r="R668" s="2"/>
      <c r="S668" s="2"/>
      <c r="T668" s="2"/>
      <c r="U668" s="2"/>
      <c r="V668" s="2"/>
      <c r="W668" s="2"/>
      <c r="X668" s="2"/>
      <c r="Y668" s="2"/>
      <c r="Z668" s="2"/>
      <c r="AA668" s="2"/>
      <c r="AB668" s="2"/>
      <c r="AC668" s="2"/>
    </row>
    <row r="669" spans="1:29" ht="17.399999999999999" x14ac:dyDescent="0.25">
      <c r="A669" s="1"/>
      <c r="B669" s="2"/>
      <c r="C669" s="2"/>
      <c r="D669" s="2"/>
      <c r="E669" s="2"/>
      <c r="F669" s="2"/>
      <c r="G669" s="2"/>
      <c r="H669" s="2"/>
      <c r="I669" s="2"/>
      <c r="J669" s="2"/>
      <c r="K669" s="2"/>
      <c r="L669" s="2"/>
      <c r="M669" s="2"/>
      <c r="N669" s="2"/>
      <c r="O669" s="1"/>
      <c r="P669" s="2"/>
      <c r="Q669" s="2"/>
      <c r="R669" s="2"/>
      <c r="S669" s="2"/>
      <c r="T669" s="2"/>
      <c r="U669" s="2"/>
      <c r="V669" s="2"/>
      <c r="W669" s="2"/>
      <c r="X669" s="2"/>
      <c r="Y669" s="2"/>
      <c r="Z669" s="2"/>
      <c r="AA669" s="2"/>
      <c r="AB669" s="2"/>
      <c r="AC669" s="2"/>
    </row>
    <row r="670" spans="1:29" ht="17.399999999999999" x14ac:dyDescent="0.25">
      <c r="A670" s="1"/>
      <c r="B670" s="2"/>
      <c r="C670" s="2"/>
      <c r="D670" s="2"/>
      <c r="E670" s="2"/>
      <c r="F670" s="2"/>
      <c r="G670" s="2"/>
      <c r="H670" s="2"/>
      <c r="I670" s="2"/>
      <c r="J670" s="2"/>
      <c r="K670" s="2"/>
      <c r="L670" s="2"/>
      <c r="M670" s="2"/>
      <c r="N670" s="2"/>
      <c r="O670" s="1"/>
      <c r="P670" s="2"/>
      <c r="Q670" s="2"/>
      <c r="R670" s="2"/>
      <c r="S670" s="2"/>
      <c r="T670" s="2"/>
      <c r="U670" s="2"/>
      <c r="V670" s="2"/>
      <c r="W670" s="2"/>
      <c r="X670" s="2"/>
      <c r="Y670" s="2"/>
      <c r="Z670" s="2"/>
      <c r="AA670" s="2"/>
      <c r="AB670" s="2"/>
      <c r="AC670" s="2"/>
    </row>
    <row r="671" spans="1:29" ht="17.399999999999999" x14ac:dyDescent="0.25">
      <c r="A671" s="1"/>
      <c r="B671" s="2"/>
      <c r="C671" s="2"/>
      <c r="D671" s="2"/>
      <c r="E671" s="2"/>
      <c r="F671" s="2"/>
      <c r="G671" s="2"/>
      <c r="H671" s="2"/>
      <c r="I671" s="2"/>
      <c r="J671" s="2"/>
      <c r="K671" s="2"/>
      <c r="L671" s="2"/>
      <c r="M671" s="2"/>
      <c r="N671" s="2"/>
      <c r="O671" s="1"/>
      <c r="P671" s="2"/>
      <c r="Q671" s="2"/>
      <c r="R671" s="2"/>
      <c r="S671" s="2"/>
      <c r="T671" s="2"/>
      <c r="U671" s="2"/>
      <c r="V671" s="2"/>
      <c r="W671" s="2"/>
      <c r="X671" s="2"/>
      <c r="Y671" s="2"/>
      <c r="Z671" s="2"/>
      <c r="AA671" s="2"/>
      <c r="AB671" s="2"/>
      <c r="AC671" s="2"/>
    </row>
    <row r="672" spans="1:29" ht="17.399999999999999" x14ac:dyDescent="0.25">
      <c r="A672" s="1"/>
      <c r="B672" s="2"/>
      <c r="C672" s="2"/>
      <c r="D672" s="2"/>
      <c r="E672" s="2"/>
      <c r="F672" s="2"/>
      <c r="G672" s="2"/>
      <c r="H672" s="2"/>
      <c r="I672" s="2"/>
      <c r="J672" s="2"/>
      <c r="K672" s="2"/>
      <c r="L672" s="2"/>
      <c r="M672" s="2"/>
      <c r="N672" s="2"/>
      <c r="O672" s="1"/>
      <c r="P672" s="2"/>
      <c r="Q672" s="2"/>
      <c r="R672" s="2"/>
      <c r="S672" s="2"/>
      <c r="T672" s="2"/>
      <c r="U672" s="2"/>
      <c r="V672" s="2"/>
      <c r="W672" s="2"/>
      <c r="X672" s="2"/>
      <c r="Y672" s="2"/>
      <c r="Z672" s="2"/>
      <c r="AA672" s="2"/>
      <c r="AB672" s="2"/>
      <c r="AC672" s="2"/>
    </row>
    <row r="673" spans="1:29" ht="17.399999999999999" x14ac:dyDescent="0.25">
      <c r="A673" s="1"/>
      <c r="B673" s="2"/>
      <c r="C673" s="2"/>
      <c r="D673" s="2"/>
      <c r="E673" s="2"/>
      <c r="F673" s="2"/>
      <c r="G673" s="2"/>
      <c r="H673" s="2"/>
      <c r="I673" s="2"/>
      <c r="J673" s="2"/>
      <c r="K673" s="2"/>
      <c r="L673" s="2"/>
      <c r="M673" s="2"/>
      <c r="N673" s="2"/>
      <c r="O673" s="1"/>
      <c r="P673" s="2"/>
      <c r="Q673" s="2"/>
      <c r="R673" s="2"/>
      <c r="S673" s="2"/>
      <c r="T673" s="2"/>
      <c r="U673" s="2"/>
      <c r="V673" s="2"/>
      <c r="W673" s="2"/>
      <c r="X673" s="2"/>
      <c r="Y673" s="2"/>
      <c r="Z673" s="2"/>
      <c r="AA673" s="2"/>
      <c r="AB673" s="2"/>
      <c r="AC673" s="2"/>
    </row>
    <row r="674" spans="1:29" ht="17.399999999999999" x14ac:dyDescent="0.25">
      <c r="A674" s="1"/>
      <c r="B674" s="2"/>
      <c r="C674" s="2"/>
      <c r="D674" s="2"/>
      <c r="E674" s="2"/>
      <c r="F674" s="2"/>
      <c r="G674" s="2"/>
      <c r="H674" s="2"/>
      <c r="I674" s="2"/>
      <c r="J674" s="2"/>
      <c r="K674" s="2"/>
      <c r="L674" s="2"/>
      <c r="M674" s="2"/>
      <c r="N674" s="2"/>
      <c r="O674" s="1"/>
      <c r="P674" s="2"/>
      <c r="Q674" s="2"/>
      <c r="R674" s="2"/>
      <c r="S674" s="2"/>
      <c r="T674" s="2"/>
      <c r="U674" s="2"/>
      <c r="V674" s="2"/>
      <c r="W674" s="2"/>
      <c r="X674" s="2"/>
      <c r="Y674" s="2"/>
      <c r="Z674" s="2"/>
      <c r="AA674" s="2"/>
      <c r="AB674" s="2"/>
      <c r="AC674" s="2"/>
    </row>
    <row r="675" spans="1:29" ht="17.399999999999999" x14ac:dyDescent="0.25">
      <c r="A675" s="1"/>
      <c r="B675" s="2"/>
      <c r="C675" s="2"/>
      <c r="D675" s="2"/>
      <c r="E675" s="2"/>
      <c r="F675" s="2"/>
      <c r="G675" s="2"/>
      <c r="H675" s="2"/>
      <c r="I675" s="2"/>
      <c r="J675" s="2"/>
      <c r="K675" s="2"/>
      <c r="L675" s="2"/>
      <c r="M675" s="2"/>
      <c r="N675" s="2"/>
      <c r="O675" s="1"/>
      <c r="P675" s="2"/>
      <c r="Q675" s="2"/>
      <c r="R675" s="2"/>
      <c r="S675" s="2"/>
      <c r="T675" s="2"/>
      <c r="U675" s="2"/>
      <c r="V675" s="2"/>
      <c r="W675" s="2"/>
      <c r="X675" s="2"/>
      <c r="Y675" s="2"/>
      <c r="Z675" s="2"/>
      <c r="AA675" s="2"/>
      <c r="AB675" s="2"/>
      <c r="AC675" s="2"/>
    </row>
    <row r="676" spans="1:29" ht="17.399999999999999" x14ac:dyDescent="0.25">
      <c r="A676" s="1"/>
      <c r="B676" s="2"/>
      <c r="C676" s="2"/>
      <c r="D676" s="2"/>
      <c r="E676" s="2"/>
      <c r="F676" s="2"/>
      <c r="G676" s="2"/>
      <c r="H676" s="2"/>
      <c r="I676" s="2"/>
      <c r="J676" s="2"/>
      <c r="K676" s="2"/>
      <c r="L676" s="2"/>
      <c r="M676" s="2"/>
      <c r="N676" s="2"/>
      <c r="O676" s="1"/>
      <c r="P676" s="2"/>
      <c r="Q676" s="2"/>
      <c r="R676" s="2"/>
      <c r="S676" s="2"/>
      <c r="T676" s="2"/>
      <c r="U676" s="2"/>
      <c r="V676" s="2"/>
      <c r="W676" s="2"/>
      <c r="X676" s="2"/>
      <c r="Y676" s="2"/>
      <c r="Z676" s="2"/>
      <c r="AA676" s="2"/>
      <c r="AB676" s="2"/>
      <c r="AC676" s="2"/>
    </row>
    <row r="677" spans="1:29" ht="17.399999999999999" x14ac:dyDescent="0.25">
      <c r="A677" s="1"/>
      <c r="B677" s="2"/>
      <c r="C677" s="2"/>
      <c r="D677" s="2"/>
      <c r="E677" s="2"/>
      <c r="F677" s="2"/>
      <c r="G677" s="2"/>
      <c r="H677" s="2"/>
      <c r="I677" s="2"/>
      <c r="J677" s="2"/>
      <c r="K677" s="2"/>
      <c r="L677" s="2"/>
      <c r="M677" s="2"/>
      <c r="N677" s="2"/>
      <c r="O677" s="1"/>
      <c r="P677" s="2"/>
      <c r="Q677" s="2"/>
      <c r="R677" s="2"/>
      <c r="S677" s="2"/>
      <c r="T677" s="2"/>
      <c r="U677" s="2"/>
      <c r="V677" s="2"/>
      <c r="W677" s="2"/>
      <c r="X677" s="2"/>
      <c r="Y677" s="2"/>
      <c r="Z677" s="2"/>
      <c r="AA677" s="2"/>
      <c r="AB677" s="2"/>
      <c r="AC677" s="2"/>
    </row>
    <row r="678" spans="1:29" ht="17.399999999999999" x14ac:dyDescent="0.25">
      <c r="A678" s="1"/>
      <c r="B678" s="2"/>
      <c r="C678" s="2"/>
      <c r="D678" s="2"/>
      <c r="E678" s="2"/>
      <c r="F678" s="2"/>
      <c r="G678" s="2"/>
      <c r="H678" s="2"/>
      <c r="I678" s="2"/>
      <c r="J678" s="2"/>
      <c r="K678" s="2"/>
      <c r="L678" s="2"/>
      <c r="M678" s="2"/>
      <c r="N678" s="2"/>
      <c r="O678" s="1"/>
      <c r="P678" s="2"/>
      <c r="Q678" s="2"/>
      <c r="R678" s="2"/>
      <c r="S678" s="2"/>
      <c r="T678" s="2"/>
      <c r="U678" s="2"/>
      <c r="V678" s="2"/>
      <c r="W678" s="2"/>
      <c r="X678" s="2"/>
      <c r="Y678" s="2"/>
      <c r="Z678" s="2"/>
      <c r="AA678" s="2"/>
      <c r="AB678" s="2"/>
      <c r="AC678" s="2"/>
    </row>
    <row r="679" spans="1:29" ht="17.399999999999999" x14ac:dyDescent="0.25">
      <c r="A679" s="1"/>
      <c r="B679" s="2"/>
      <c r="C679" s="2"/>
      <c r="D679" s="2"/>
      <c r="E679" s="2"/>
      <c r="F679" s="2"/>
      <c r="G679" s="2"/>
      <c r="H679" s="2"/>
      <c r="I679" s="2"/>
      <c r="J679" s="2"/>
      <c r="K679" s="2"/>
      <c r="L679" s="2"/>
      <c r="M679" s="2"/>
      <c r="N679" s="2"/>
      <c r="O679" s="1"/>
      <c r="P679" s="2"/>
      <c r="Q679" s="2"/>
      <c r="R679" s="2"/>
      <c r="S679" s="2"/>
      <c r="T679" s="2"/>
      <c r="U679" s="2"/>
      <c r="V679" s="2"/>
      <c r="W679" s="2"/>
      <c r="X679" s="2"/>
      <c r="Y679" s="2"/>
      <c r="Z679" s="2"/>
      <c r="AA679" s="2"/>
      <c r="AB679" s="2"/>
      <c r="AC679" s="2"/>
    </row>
    <row r="680" spans="1:29" ht="17.399999999999999" x14ac:dyDescent="0.25">
      <c r="A680" s="1"/>
      <c r="B680" s="2"/>
      <c r="C680" s="2"/>
      <c r="D680" s="2"/>
      <c r="E680" s="2"/>
      <c r="F680" s="2"/>
      <c r="G680" s="2"/>
      <c r="H680" s="2"/>
      <c r="I680" s="2"/>
      <c r="J680" s="2"/>
      <c r="K680" s="2"/>
      <c r="L680" s="2"/>
      <c r="M680" s="2"/>
      <c r="N680" s="2"/>
      <c r="O680" s="1"/>
      <c r="P680" s="2"/>
      <c r="Q680" s="2"/>
      <c r="R680" s="2"/>
      <c r="S680" s="2"/>
      <c r="T680" s="2"/>
      <c r="U680" s="2"/>
      <c r="V680" s="2"/>
      <c r="W680" s="2"/>
      <c r="X680" s="2"/>
      <c r="Y680" s="2"/>
      <c r="Z680" s="2"/>
      <c r="AA680" s="2"/>
      <c r="AB680" s="2"/>
      <c r="AC680" s="2"/>
    </row>
    <row r="681" spans="1:29" ht="17.399999999999999" x14ac:dyDescent="0.25">
      <c r="A681" s="1"/>
      <c r="B681" s="2"/>
      <c r="C681" s="2"/>
      <c r="D681" s="2"/>
      <c r="E681" s="2"/>
      <c r="F681" s="2"/>
      <c r="G681" s="2"/>
      <c r="H681" s="2"/>
      <c r="I681" s="2"/>
      <c r="J681" s="2"/>
      <c r="K681" s="2"/>
      <c r="L681" s="2"/>
      <c r="M681" s="2"/>
      <c r="N681" s="2"/>
      <c r="O681" s="1"/>
      <c r="P681" s="2"/>
      <c r="Q681" s="2"/>
      <c r="R681" s="2"/>
      <c r="S681" s="2"/>
      <c r="T681" s="2"/>
      <c r="U681" s="2"/>
      <c r="V681" s="2"/>
      <c r="W681" s="2"/>
      <c r="X681" s="2"/>
      <c r="Y681" s="2"/>
      <c r="Z681" s="2"/>
      <c r="AA681" s="2"/>
      <c r="AB681" s="2"/>
      <c r="AC681" s="2"/>
    </row>
    <row r="682" spans="1:29" ht="17.399999999999999" x14ac:dyDescent="0.25">
      <c r="A682" s="1"/>
      <c r="B682" s="2"/>
      <c r="C682" s="2"/>
      <c r="D682" s="2"/>
      <c r="E682" s="2"/>
      <c r="F682" s="2"/>
      <c r="G682" s="2"/>
      <c r="H682" s="2"/>
      <c r="I682" s="2"/>
      <c r="J682" s="2"/>
      <c r="K682" s="2"/>
      <c r="L682" s="2"/>
      <c r="M682" s="2"/>
      <c r="N682" s="2"/>
      <c r="O682" s="1"/>
      <c r="P682" s="2"/>
      <c r="Q682" s="2"/>
      <c r="R682" s="2"/>
      <c r="S682" s="2"/>
      <c r="T682" s="2"/>
      <c r="U682" s="2"/>
      <c r="V682" s="2"/>
      <c r="W682" s="2"/>
      <c r="X682" s="2"/>
      <c r="Y682" s="2"/>
      <c r="Z682" s="2"/>
      <c r="AA682" s="2"/>
      <c r="AB682" s="2"/>
      <c r="AC682" s="2"/>
    </row>
    <row r="683" spans="1:29" ht="17.399999999999999" x14ac:dyDescent="0.25">
      <c r="A683" s="1"/>
      <c r="B683" s="2"/>
      <c r="C683" s="2"/>
      <c r="D683" s="2"/>
      <c r="E683" s="2"/>
      <c r="F683" s="2"/>
      <c r="G683" s="2"/>
      <c r="H683" s="2"/>
      <c r="I683" s="2"/>
      <c r="J683" s="2"/>
      <c r="K683" s="2"/>
      <c r="L683" s="2"/>
      <c r="M683" s="2"/>
      <c r="N683" s="2"/>
      <c r="O683" s="1"/>
      <c r="P683" s="2"/>
      <c r="Q683" s="2"/>
      <c r="R683" s="2"/>
      <c r="S683" s="2"/>
      <c r="T683" s="2"/>
      <c r="U683" s="2"/>
      <c r="V683" s="2"/>
      <c r="W683" s="2"/>
      <c r="X683" s="2"/>
      <c r="Y683" s="2"/>
      <c r="Z683" s="2"/>
      <c r="AA683" s="2"/>
      <c r="AB683" s="2"/>
      <c r="AC683" s="2"/>
    </row>
    <row r="684" spans="1:29" ht="17.399999999999999" x14ac:dyDescent="0.25">
      <c r="A684" s="1"/>
      <c r="B684" s="2"/>
      <c r="C684" s="2"/>
      <c r="D684" s="2"/>
      <c r="E684" s="2"/>
      <c r="F684" s="2"/>
      <c r="G684" s="2"/>
      <c r="H684" s="2"/>
      <c r="I684" s="2"/>
      <c r="J684" s="2"/>
      <c r="K684" s="2"/>
      <c r="L684" s="2"/>
      <c r="M684" s="2"/>
      <c r="N684" s="2"/>
      <c r="O684" s="1"/>
      <c r="P684" s="2"/>
      <c r="Q684" s="2"/>
      <c r="R684" s="2"/>
      <c r="S684" s="2"/>
      <c r="T684" s="2"/>
      <c r="U684" s="2"/>
      <c r="V684" s="2"/>
      <c r="W684" s="2"/>
      <c r="X684" s="2"/>
      <c r="Y684" s="2"/>
      <c r="Z684" s="2"/>
      <c r="AA684" s="2"/>
      <c r="AB684" s="2"/>
      <c r="AC684" s="2"/>
    </row>
    <row r="685" spans="1:29" ht="17.399999999999999" x14ac:dyDescent="0.25">
      <c r="A685" s="1"/>
      <c r="B685" s="2"/>
      <c r="C685" s="2"/>
      <c r="D685" s="2"/>
      <c r="E685" s="2"/>
      <c r="F685" s="2"/>
      <c r="G685" s="2"/>
      <c r="H685" s="2"/>
      <c r="I685" s="2"/>
      <c r="J685" s="2"/>
      <c r="K685" s="2"/>
      <c r="L685" s="2"/>
      <c r="M685" s="2"/>
      <c r="N685" s="2"/>
      <c r="O685" s="1"/>
      <c r="P685" s="2"/>
      <c r="Q685" s="2"/>
      <c r="R685" s="2"/>
      <c r="S685" s="2"/>
      <c r="T685" s="2"/>
      <c r="U685" s="2"/>
      <c r="V685" s="2"/>
      <c r="W685" s="2"/>
      <c r="X685" s="2"/>
      <c r="Y685" s="2"/>
      <c r="Z685" s="2"/>
      <c r="AA685" s="2"/>
      <c r="AB685" s="2"/>
      <c r="AC685" s="2"/>
    </row>
    <row r="686" spans="1:29" ht="17.399999999999999" x14ac:dyDescent="0.25">
      <c r="A686" s="1"/>
      <c r="B686" s="2"/>
      <c r="C686" s="2"/>
      <c r="D686" s="2"/>
      <c r="E686" s="2"/>
      <c r="F686" s="2"/>
      <c r="G686" s="2"/>
      <c r="H686" s="2"/>
      <c r="I686" s="2"/>
      <c r="J686" s="2"/>
      <c r="K686" s="2"/>
      <c r="L686" s="2"/>
      <c r="M686" s="2"/>
      <c r="N686" s="2"/>
      <c r="O686" s="1"/>
      <c r="P686" s="2"/>
      <c r="Q686" s="2"/>
      <c r="R686" s="2"/>
      <c r="S686" s="2"/>
      <c r="T686" s="2"/>
      <c r="U686" s="2"/>
      <c r="V686" s="2"/>
      <c r="W686" s="2"/>
      <c r="X686" s="2"/>
      <c r="Y686" s="2"/>
      <c r="Z686" s="2"/>
      <c r="AA686" s="2"/>
      <c r="AB686" s="2"/>
      <c r="AC686" s="2"/>
    </row>
    <row r="687" spans="1:29" ht="17.399999999999999" x14ac:dyDescent="0.25">
      <c r="A687" s="1"/>
      <c r="B687" s="2"/>
      <c r="C687" s="2"/>
      <c r="D687" s="2"/>
      <c r="E687" s="2"/>
      <c r="F687" s="2"/>
      <c r="G687" s="2"/>
      <c r="H687" s="2"/>
      <c r="I687" s="2"/>
      <c r="J687" s="2"/>
      <c r="K687" s="2"/>
      <c r="L687" s="2"/>
      <c r="M687" s="2"/>
      <c r="N687" s="2"/>
      <c r="O687" s="1"/>
      <c r="P687" s="2"/>
      <c r="Q687" s="2"/>
      <c r="R687" s="2"/>
      <c r="S687" s="2"/>
      <c r="T687" s="2"/>
      <c r="U687" s="2"/>
      <c r="V687" s="2"/>
      <c r="W687" s="2"/>
      <c r="X687" s="2"/>
      <c r="Y687" s="2"/>
      <c r="Z687" s="2"/>
      <c r="AA687" s="2"/>
      <c r="AB687" s="2"/>
      <c r="AC687" s="2"/>
    </row>
    <row r="688" spans="1:29" ht="17.399999999999999" x14ac:dyDescent="0.25">
      <c r="A688" s="1"/>
      <c r="B688" s="2"/>
      <c r="C688" s="2"/>
      <c r="D688" s="2"/>
      <c r="E688" s="2"/>
      <c r="F688" s="2"/>
      <c r="G688" s="2"/>
      <c r="H688" s="2"/>
      <c r="I688" s="2"/>
      <c r="J688" s="2"/>
      <c r="K688" s="2"/>
      <c r="L688" s="2"/>
      <c r="M688" s="2"/>
      <c r="N688" s="2"/>
      <c r="O688" s="1"/>
      <c r="P688" s="2"/>
      <c r="Q688" s="2"/>
      <c r="R688" s="2"/>
      <c r="S688" s="2"/>
      <c r="T688" s="2"/>
      <c r="U688" s="2"/>
      <c r="V688" s="2"/>
      <c r="W688" s="2"/>
      <c r="X688" s="2"/>
      <c r="Y688" s="2"/>
      <c r="Z688" s="2"/>
      <c r="AA688" s="2"/>
      <c r="AB688" s="2"/>
      <c r="AC688" s="2"/>
    </row>
    <row r="689" spans="1:29" ht="17.399999999999999" x14ac:dyDescent="0.25">
      <c r="A689" s="1"/>
      <c r="B689" s="2"/>
      <c r="C689" s="2"/>
      <c r="D689" s="2"/>
      <c r="E689" s="2"/>
      <c r="F689" s="2"/>
      <c r="G689" s="2"/>
      <c r="H689" s="2"/>
      <c r="I689" s="2"/>
      <c r="J689" s="2"/>
      <c r="K689" s="2"/>
      <c r="L689" s="2"/>
      <c r="M689" s="2"/>
      <c r="N689" s="2"/>
      <c r="O689" s="1"/>
      <c r="P689" s="2"/>
      <c r="Q689" s="2"/>
      <c r="R689" s="2"/>
      <c r="S689" s="2"/>
      <c r="T689" s="2"/>
      <c r="U689" s="2"/>
      <c r="V689" s="2"/>
      <c r="W689" s="2"/>
      <c r="X689" s="2"/>
      <c r="Y689" s="2"/>
      <c r="Z689" s="2"/>
      <c r="AA689" s="2"/>
      <c r="AB689" s="2"/>
      <c r="AC689" s="2"/>
    </row>
    <row r="690" spans="1:29" ht="17.399999999999999" x14ac:dyDescent="0.25">
      <c r="A690" s="1"/>
      <c r="B690" s="2"/>
      <c r="C690" s="2"/>
      <c r="D690" s="2"/>
      <c r="E690" s="2"/>
      <c r="F690" s="2"/>
      <c r="G690" s="2"/>
      <c r="H690" s="2"/>
      <c r="I690" s="2"/>
      <c r="J690" s="2"/>
      <c r="K690" s="2"/>
      <c r="L690" s="2"/>
      <c r="M690" s="2"/>
      <c r="N690" s="2"/>
      <c r="O690" s="1"/>
      <c r="P690" s="2"/>
      <c r="Q690" s="2"/>
      <c r="R690" s="2"/>
      <c r="S690" s="2"/>
      <c r="T690" s="2"/>
      <c r="U690" s="2"/>
      <c r="V690" s="2"/>
      <c r="W690" s="2"/>
      <c r="X690" s="2"/>
      <c r="Y690" s="2"/>
      <c r="Z690" s="2"/>
      <c r="AA690" s="2"/>
      <c r="AB690" s="2"/>
      <c r="AC690" s="2"/>
    </row>
    <row r="691" spans="1:29" ht="17.399999999999999" x14ac:dyDescent="0.25">
      <c r="A691" s="1"/>
      <c r="B691" s="2"/>
      <c r="C691" s="2"/>
      <c r="D691" s="2"/>
      <c r="E691" s="2"/>
      <c r="F691" s="2"/>
      <c r="G691" s="2"/>
      <c r="H691" s="2"/>
      <c r="I691" s="2"/>
      <c r="J691" s="2"/>
      <c r="K691" s="2"/>
      <c r="L691" s="2"/>
      <c r="M691" s="2"/>
      <c r="N691" s="2"/>
      <c r="O691" s="1"/>
      <c r="P691" s="2"/>
      <c r="Q691" s="2"/>
      <c r="R691" s="2"/>
      <c r="S691" s="2"/>
      <c r="T691" s="2"/>
      <c r="U691" s="2"/>
      <c r="V691" s="2"/>
      <c r="W691" s="2"/>
      <c r="X691" s="2"/>
      <c r="Y691" s="2"/>
      <c r="Z691" s="2"/>
      <c r="AA691" s="2"/>
      <c r="AB691" s="2"/>
      <c r="AC691" s="2"/>
    </row>
    <row r="692" spans="1:29" ht="17.399999999999999" x14ac:dyDescent="0.25">
      <c r="A692" s="1"/>
      <c r="B692" s="2"/>
      <c r="C692" s="2"/>
      <c r="D692" s="2"/>
      <c r="E692" s="2"/>
      <c r="F692" s="2"/>
      <c r="G692" s="2"/>
      <c r="H692" s="2"/>
      <c r="I692" s="2"/>
      <c r="J692" s="2"/>
      <c r="K692" s="2"/>
      <c r="L692" s="2"/>
      <c r="M692" s="2"/>
      <c r="N692" s="2"/>
      <c r="O692" s="1"/>
      <c r="P692" s="2"/>
      <c r="Q692" s="2"/>
      <c r="R692" s="2"/>
      <c r="S692" s="2"/>
      <c r="T692" s="2"/>
      <c r="U692" s="2"/>
      <c r="V692" s="2"/>
      <c r="W692" s="2"/>
      <c r="X692" s="2"/>
      <c r="Y692" s="2"/>
      <c r="Z692" s="2"/>
      <c r="AA692" s="2"/>
      <c r="AB692" s="2"/>
      <c r="AC692" s="2"/>
    </row>
    <row r="693" spans="1:29" ht="17.399999999999999" x14ac:dyDescent="0.25">
      <c r="A693" s="1"/>
      <c r="B693" s="2"/>
      <c r="C693" s="2"/>
      <c r="D693" s="2"/>
      <c r="E693" s="2"/>
      <c r="F693" s="2"/>
      <c r="G693" s="2"/>
      <c r="H693" s="2"/>
      <c r="I693" s="2"/>
      <c r="J693" s="2"/>
      <c r="K693" s="2"/>
      <c r="L693" s="2"/>
      <c r="M693" s="2"/>
      <c r="N693" s="2"/>
      <c r="O693" s="1"/>
      <c r="P693" s="2"/>
      <c r="Q693" s="2"/>
      <c r="R693" s="2"/>
      <c r="S693" s="2"/>
      <c r="T693" s="2"/>
      <c r="U693" s="2"/>
      <c r="V693" s="2"/>
      <c r="W693" s="2"/>
      <c r="X693" s="2"/>
      <c r="Y693" s="2"/>
      <c r="Z693" s="2"/>
      <c r="AA693" s="2"/>
      <c r="AB693" s="2"/>
      <c r="AC693" s="2"/>
    </row>
    <row r="694" spans="1:29" ht="17.399999999999999" x14ac:dyDescent="0.25">
      <c r="A694" s="1"/>
      <c r="B694" s="2"/>
      <c r="C694" s="2"/>
      <c r="D694" s="2"/>
      <c r="E694" s="2"/>
      <c r="F694" s="2"/>
      <c r="G694" s="2"/>
      <c r="H694" s="2"/>
      <c r="I694" s="2"/>
      <c r="J694" s="2"/>
      <c r="K694" s="2"/>
      <c r="L694" s="2"/>
      <c r="M694" s="2"/>
      <c r="N694" s="2"/>
      <c r="O694" s="1"/>
      <c r="P694" s="2"/>
      <c r="Q694" s="2"/>
      <c r="R694" s="2"/>
      <c r="S694" s="2"/>
      <c r="T694" s="2"/>
      <c r="U694" s="2"/>
      <c r="V694" s="2"/>
      <c r="W694" s="2"/>
      <c r="X694" s="2"/>
      <c r="Y694" s="2"/>
      <c r="Z694" s="2"/>
      <c r="AA694" s="2"/>
      <c r="AB694" s="2"/>
      <c r="AC694" s="2"/>
    </row>
    <row r="695" spans="1:29" ht="17.399999999999999" x14ac:dyDescent="0.25">
      <c r="A695" s="1"/>
      <c r="B695" s="2"/>
      <c r="C695" s="2"/>
      <c r="D695" s="2"/>
      <c r="E695" s="2"/>
      <c r="F695" s="2"/>
      <c r="G695" s="2"/>
      <c r="H695" s="2"/>
      <c r="I695" s="2"/>
      <c r="J695" s="2"/>
      <c r="K695" s="2"/>
      <c r="L695" s="2"/>
      <c r="M695" s="2"/>
      <c r="N695" s="2"/>
      <c r="O695" s="1"/>
      <c r="P695" s="2"/>
      <c r="Q695" s="2"/>
      <c r="R695" s="2"/>
      <c r="S695" s="2"/>
      <c r="T695" s="2"/>
      <c r="U695" s="2"/>
      <c r="V695" s="2"/>
      <c r="W695" s="2"/>
      <c r="X695" s="2"/>
      <c r="Y695" s="2"/>
      <c r="Z695" s="2"/>
      <c r="AA695" s="2"/>
      <c r="AB695" s="2"/>
      <c r="AC695" s="2"/>
    </row>
    <row r="696" spans="1:29" ht="17.399999999999999" x14ac:dyDescent="0.25">
      <c r="A696" s="1"/>
      <c r="B696" s="2"/>
      <c r="C696" s="2"/>
      <c r="D696" s="2"/>
      <c r="E696" s="2"/>
      <c r="F696" s="2"/>
      <c r="G696" s="2"/>
      <c r="H696" s="2"/>
      <c r="I696" s="2"/>
      <c r="J696" s="2"/>
      <c r="K696" s="2"/>
      <c r="L696" s="2"/>
      <c r="M696" s="2"/>
      <c r="N696" s="2"/>
      <c r="O696" s="1"/>
      <c r="P696" s="2"/>
      <c r="Q696" s="2"/>
      <c r="R696" s="2"/>
      <c r="S696" s="2"/>
      <c r="T696" s="2"/>
      <c r="U696" s="2"/>
      <c r="V696" s="2"/>
      <c r="W696" s="2"/>
      <c r="X696" s="2"/>
      <c r="Y696" s="2"/>
      <c r="Z696" s="2"/>
      <c r="AA696" s="2"/>
      <c r="AB696" s="2"/>
      <c r="AC696" s="2"/>
    </row>
    <row r="697" spans="1:29" ht="17.399999999999999" x14ac:dyDescent="0.25">
      <c r="A697" s="1"/>
      <c r="B697" s="2"/>
      <c r="C697" s="2"/>
      <c r="D697" s="2"/>
      <c r="E697" s="2"/>
      <c r="F697" s="2"/>
      <c r="G697" s="2"/>
      <c r="H697" s="2"/>
      <c r="I697" s="2"/>
      <c r="J697" s="2"/>
      <c r="K697" s="2"/>
      <c r="L697" s="2"/>
      <c r="M697" s="2"/>
      <c r="N697" s="2"/>
      <c r="O697" s="1"/>
      <c r="P697" s="2"/>
      <c r="Q697" s="2"/>
      <c r="R697" s="2"/>
      <c r="S697" s="2"/>
      <c r="T697" s="2"/>
      <c r="U697" s="2"/>
      <c r="V697" s="2"/>
      <c r="W697" s="2"/>
      <c r="X697" s="2"/>
      <c r="Y697" s="2"/>
      <c r="Z697" s="2"/>
      <c r="AA697" s="2"/>
      <c r="AB697" s="2"/>
      <c r="AC697" s="2"/>
    </row>
    <row r="698" spans="1:29" ht="17.399999999999999" x14ac:dyDescent="0.25">
      <c r="A698" s="1"/>
      <c r="B698" s="2"/>
      <c r="C698" s="2"/>
      <c r="D698" s="2"/>
      <c r="E698" s="2"/>
      <c r="F698" s="2"/>
      <c r="G698" s="2"/>
      <c r="H698" s="2"/>
      <c r="I698" s="2"/>
      <c r="J698" s="2"/>
      <c r="K698" s="2"/>
      <c r="L698" s="2"/>
      <c r="M698" s="2"/>
      <c r="N698" s="2"/>
      <c r="O698" s="1"/>
      <c r="P698" s="2"/>
      <c r="Q698" s="2"/>
      <c r="R698" s="2"/>
      <c r="S698" s="2"/>
      <c r="T698" s="2"/>
      <c r="U698" s="2"/>
      <c r="V698" s="2"/>
      <c r="W698" s="2"/>
      <c r="X698" s="2"/>
      <c r="Y698" s="2"/>
      <c r="Z698" s="2"/>
      <c r="AA698" s="2"/>
      <c r="AB698" s="2"/>
      <c r="AC698" s="2"/>
    </row>
    <row r="699" spans="1:29" ht="17.399999999999999" x14ac:dyDescent="0.25">
      <c r="A699" s="1"/>
      <c r="B699" s="2"/>
      <c r="C699" s="2"/>
      <c r="D699" s="2"/>
      <c r="E699" s="2"/>
      <c r="F699" s="2"/>
      <c r="G699" s="2"/>
      <c r="H699" s="2"/>
      <c r="I699" s="2"/>
      <c r="J699" s="2"/>
      <c r="K699" s="2"/>
      <c r="L699" s="2"/>
      <c r="M699" s="2"/>
      <c r="N699" s="2"/>
      <c r="O699" s="1"/>
      <c r="P699" s="2"/>
      <c r="Q699" s="2"/>
      <c r="R699" s="2"/>
      <c r="S699" s="2"/>
      <c r="T699" s="2"/>
      <c r="U699" s="2"/>
      <c r="V699" s="2"/>
      <c r="W699" s="2"/>
      <c r="X699" s="2"/>
      <c r="Y699" s="2"/>
      <c r="Z699" s="2"/>
      <c r="AA699" s="2"/>
      <c r="AB699" s="2"/>
      <c r="AC699" s="2"/>
    </row>
    <row r="700" spans="1:29" ht="17.399999999999999" x14ac:dyDescent="0.25">
      <c r="A700" s="1"/>
      <c r="B700" s="2"/>
      <c r="C700" s="2"/>
      <c r="D700" s="2"/>
      <c r="E700" s="2"/>
      <c r="F700" s="2"/>
      <c r="G700" s="2"/>
      <c r="H700" s="2"/>
      <c r="I700" s="2"/>
      <c r="J700" s="2"/>
      <c r="K700" s="2"/>
      <c r="L700" s="2"/>
      <c r="M700" s="2"/>
      <c r="N700" s="2"/>
      <c r="O700" s="1"/>
      <c r="P700" s="2"/>
      <c r="Q700" s="2"/>
      <c r="R700" s="2"/>
      <c r="S700" s="2"/>
      <c r="T700" s="2"/>
      <c r="U700" s="2"/>
      <c r="V700" s="2"/>
      <c r="W700" s="2"/>
      <c r="X700" s="2"/>
      <c r="Y700" s="2"/>
      <c r="Z700" s="2"/>
      <c r="AA700" s="2"/>
      <c r="AB700" s="2"/>
      <c r="AC700" s="2"/>
    </row>
    <row r="701" spans="1:29" ht="17.399999999999999" x14ac:dyDescent="0.25">
      <c r="A701" s="1"/>
      <c r="B701" s="2"/>
      <c r="C701" s="2"/>
      <c r="D701" s="2"/>
      <c r="E701" s="2"/>
      <c r="F701" s="2"/>
      <c r="G701" s="2"/>
      <c r="H701" s="2"/>
      <c r="I701" s="2"/>
      <c r="J701" s="2"/>
      <c r="K701" s="2"/>
      <c r="L701" s="2"/>
      <c r="M701" s="2"/>
      <c r="N701" s="2"/>
      <c r="O701" s="1"/>
      <c r="P701" s="2"/>
      <c r="Q701" s="2"/>
      <c r="R701" s="2"/>
      <c r="S701" s="2"/>
      <c r="T701" s="2"/>
      <c r="U701" s="2"/>
      <c r="V701" s="2"/>
      <c r="W701" s="2"/>
      <c r="X701" s="2"/>
      <c r="Y701" s="2"/>
      <c r="Z701" s="2"/>
      <c r="AA701" s="2"/>
      <c r="AB701" s="2"/>
      <c r="AC701" s="2"/>
    </row>
    <row r="702" spans="1:29" ht="17.399999999999999" x14ac:dyDescent="0.25">
      <c r="A702" s="1"/>
      <c r="B702" s="2"/>
      <c r="C702" s="2"/>
      <c r="D702" s="2"/>
      <c r="E702" s="2"/>
      <c r="F702" s="2"/>
      <c r="G702" s="2"/>
      <c r="H702" s="2"/>
      <c r="I702" s="2"/>
      <c r="J702" s="2"/>
      <c r="K702" s="2"/>
      <c r="L702" s="2"/>
      <c r="M702" s="2"/>
      <c r="N702" s="2"/>
      <c r="O702" s="1"/>
      <c r="P702" s="2"/>
      <c r="Q702" s="2"/>
      <c r="R702" s="2"/>
      <c r="S702" s="2"/>
      <c r="T702" s="2"/>
      <c r="U702" s="2"/>
      <c r="V702" s="2"/>
      <c r="W702" s="2"/>
      <c r="X702" s="2"/>
      <c r="Y702" s="2"/>
      <c r="Z702" s="2"/>
      <c r="AA702" s="2"/>
      <c r="AB702" s="2"/>
      <c r="AC702" s="2"/>
    </row>
    <row r="703" spans="1:29" ht="17.399999999999999" x14ac:dyDescent="0.25">
      <c r="A703" s="1"/>
      <c r="B703" s="2"/>
      <c r="C703" s="2"/>
      <c r="D703" s="2"/>
      <c r="E703" s="2"/>
      <c r="F703" s="2"/>
      <c r="G703" s="2"/>
      <c r="H703" s="2"/>
      <c r="I703" s="2"/>
      <c r="J703" s="2"/>
      <c r="K703" s="2"/>
      <c r="L703" s="2"/>
      <c r="M703" s="2"/>
      <c r="N703" s="2"/>
      <c r="O703" s="1"/>
      <c r="P703" s="2"/>
      <c r="Q703" s="2"/>
      <c r="R703" s="2"/>
      <c r="S703" s="2"/>
      <c r="T703" s="2"/>
      <c r="U703" s="2"/>
      <c r="V703" s="2"/>
      <c r="W703" s="2"/>
      <c r="X703" s="2"/>
      <c r="Y703" s="2"/>
      <c r="Z703" s="2"/>
      <c r="AA703" s="2"/>
      <c r="AB703" s="2"/>
      <c r="AC703" s="2"/>
    </row>
    <row r="704" spans="1:29" ht="17.399999999999999" x14ac:dyDescent="0.25">
      <c r="A704" s="1"/>
      <c r="B704" s="2"/>
      <c r="C704" s="2"/>
      <c r="D704" s="2"/>
      <c r="E704" s="2"/>
      <c r="F704" s="2"/>
      <c r="G704" s="2"/>
      <c r="H704" s="2"/>
      <c r="I704" s="2"/>
      <c r="J704" s="2"/>
      <c r="K704" s="2"/>
      <c r="L704" s="2"/>
      <c r="M704" s="2"/>
      <c r="N704" s="2"/>
      <c r="O704" s="1"/>
      <c r="P704" s="2"/>
      <c r="Q704" s="2"/>
      <c r="R704" s="2"/>
      <c r="S704" s="2"/>
      <c r="T704" s="2"/>
      <c r="U704" s="2"/>
      <c r="V704" s="2"/>
      <c r="W704" s="2"/>
      <c r="X704" s="2"/>
      <c r="Y704" s="2"/>
      <c r="Z704" s="2"/>
      <c r="AA704" s="2"/>
      <c r="AB704" s="2"/>
      <c r="AC704" s="2"/>
    </row>
    <row r="705" spans="1:29" ht="17.399999999999999" x14ac:dyDescent="0.25">
      <c r="A705" s="1"/>
      <c r="B705" s="2"/>
      <c r="C705" s="2"/>
      <c r="D705" s="2"/>
      <c r="E705" s="2"/>
      <c r="F705" s="2"/>
      <c r="G705" s="2"/>
      <c r="H705" s="2"/>
      <c r="I705" s="2"/>
      <c r="J705" s="2"/>
      <c r="K705" s="2"/>
      <c r="L705" s="2"/>
      <c r="M705" s="2"/>
      <c r="N705" s="2"/>
      <c r="O705" s="1"/>
      <c r="P705" s="2"/>
      <c r="Q705" s="2"/>
      <c r="R705" s="2"/>
      <c r="S705" s="2"/>
      <c r="T705" s="2"/>
      <c r="U705" s="2"/>
      <c r="V705" s="2"/>
      <c r="W705" s="2"/>
      <c r="X705" s="2"/>
      <c r="Y705" s="2"/>
      <c r="Z705" s="2"/>
      <c r="AA705" s="2"/>
      <c r="AB705" s="2"/>
      <c r="AC705" s="2"/>
    </row>
    <row r="706" spans="1:29" ht="17.399999999999999" x14ac:dyDescent="0.25">
      <c r="A706" s="1"/>
      <c r="B706" s="2"/>
      <c r="C706" s="2"/>
      <c r="D706" s="2"/>
      <c r="E706" s="2"/>
      <c r="F706" s="2"/>
      <c r="G706" s="2"/>
      <c r="H706" s="2"/>
      <c r="I706" s="2"/>
      <c r="J706" s="2"/>
      <c r="K706" s="2"/>
      <c r="L706" s="2"/>
      <c r="M706" s="2"/>
      <c r="N706" s="2"/>
      <c r="O706" s="1"/>
      <c r="P706" s="2"/>
      <c r="Q706" s="2"/>
      <c r="R706" s="2"/>
      <c r="S706" s="2"/>
      <c r="T706" s="2"/>
      <c r="U706" s="2"/>
      <c r="V706" s="2"/>
      <c r="W706" s="2"/>
      <c r="X706" s="2"/>
      <c r="Y706" s="2"/>
      <c r="Z706" s="2"/>
      <c r="AA706" s="2"/>
      <c r="AB706" s="2"/>
      <c r="AC706" s="2"/>
    </row>
    <row r="707" spans="1:29" ht="17.399999999999999" x14ac:dyDescent="0.25">
      <c r="A707" s="1"/>
      <c r="B707" s="2"/>
      <c r="C707" s="2"/>
      <c r="D707" s="2"/>
      <c r="E707" s="2"/>
      <c r="F707" s="2"/>
      <c r="G707" s="2"/>
      <c r="H707" s="2"/>
      <c r="I707" s="2"/>
      <c r="J707" s="2"/>
      <c r="K707" s="2"/>
      <c r="L707" s="2"/>
      <c r="M707" s="2"/>
      <c r="N707" s="2"/>
      <c r="O707" s="1"/>
      <c r="P707" s="2"/>
      <c r="Q707" s="2"/>
      <c r="R707" s="2"/>
      <c r="S707" s="2"/>
      <c r="T707" s="2"/>
      <c r="U707" s="2"/>
      <c r="V707" s="2"/>
      <c r="W707" s="2"/>
      <c r="X707" s="2"/>
      <c r="Y707" s="2"/>
      <c r="Z707" s="2"/>
      <c r="AA707" s="2"/>
      <c r="AB707" s="2"/>
      <c r="AC707" s="2"/>
    </row>
    <row r="708" spans="1:29" ht="17.399999999999999" x14ac:dyDescent="0.25">
      <c r="A708" s="1"/>
      <c r="B708" s="2"/>
      <c r="C708" s="2"/>
      <c r="D708" s="2"/>
      <c r="E708" s="2"/>
      <c r="F708" s="2"/>
      <c r="G708" s="2"/>
      <c r="H708" s="2"/>
      <c r="I708" s="2"/>
      <c r="J708" s="2"/>
      <c r="K708" s="2"/>
      <c r="L708" s="2"/>
      <c r="M708" s="2"/>
      <c r="N708" s="2"/>
      <c r="O708" s="1"/>
      <c r="P708" s="2"/>
      <c r="Q708" s="2"/>
      <c r="R708" s="2"/>
      <c r="S708" s="2"/>
      <c r="T708" s="2"/>
      <c r="U708" s="2"/>
      <c r="V708" s="2"/>
      <c r="W708" s="2"/>
      <c r="X708" s="2"/>
      <c r="Y708" s="2"/>
      <c r="Z708" s="2"/>
      <c r="AA708" s="2"/>
      <c r="AB708" s="2"/>
      <c r="AC708" s="2"/>
    </row>
    <row r="709" spans="1:29" ht="17.399999999999999" x14ac:dyDescent="0.25">
      <c r="A709" s="1"/>
      <c r="B709" s="2"/>
      <c r="C709" s="2"/>
      <c r="D709" s="2"/>
      <c r="E709" s="2"/>
      <c r="F709" s="2"/>
      <c r="G709" s="2"/>
      <c r="H709" s="2"/>
      <c r="I709" s="2"/>
      <c r="J709" s="2"/>
      <c r="K709" s="2"/>
      <c r="L709" s="2"/>
      <c r="M709" s="2"/>
      <c r="N709" s="2"/>
      <c r="O709" s="1"/>
      <c r="P709" s="2"/>
      <c r="Q709" s="2"/>
      <c r="R709" s="2"/>
      <c r="S709" s="2"/>
      <c r="T709" s="2"/>
      <c r="U709" s="2"/>
      <c r="V709" s="2"/>
      <c r="W709" s="2"/>
      <c r="X709" s="2"/>
      <c r="Y709" s="2"/>
      <c r="Z709" s="2"/>
      <c r="AA709" s="2"/>
      <c r="AB709" s="2"/>
      <c r="AC709" s="2"/>
    </row>
    <row r="710" spans="1:29" ht="17.399999999999999" x14ac:dyDescent="0.25">
      <c r="A710" s="1"/>
      <c r="B710" s="2"/>
      <c r="C710" s="2"/>
      <c r="D710" s="2"/>
      <c r="E710" s="2"/>
      <c r="F710" s="2"/>
      <c r="G710" s="2"/>
      <c r="H710" s="2"/>
      <c r="I710" s="2"/>
      <c r="J710" s="2"/>
      <c r="K710" s="2"/>
      <c r="L710" s="2"/>
      <c r="M710" s="2"/>
      <c r="N710" s="2"/>
      <c r="O710" s="1"/>
      <c r="P710" s="2"/>
      <c r="Q710" s="2"/>
      <c r="R710" s="2"/>
      <c r="S710" s="2"/>
      <c r="T710" s="2"/>
      <c r="U710" s="2"/>
      <c r="V710" s="2"/>
      <c r="W710" s="2"/>
      <c r="X710" s="2"/>
      <c r="Y710" s="2"/>
      <c r="Z710" s="2"/>
      <c r="AA710" s="2"/>
      <c r="AB710" s="2"/>
      <c r="AC710" s="2"/>
    </row>
    <row r="711" spans="1:29" ht="17.399999999999999" x14ac:dyDescent="0.25">
      <c r="A711" s="1"/>
      <c r="B711" s="2"/>
      <c r="C711" s="2"/>
      <c r="D711" s="2"/>
      <c r="E711" s="2"/>
      <c r="F711" s="2"/>
      <c r="G711" s="2"/>
      <c r="H711" s="2"/>
      <c r="I711" s="2"/>
      <c r="J711" s="2"/>
      <c r="K711" s="2"/>
      <c r="L711" s="2"/>
      <c r="M711" s="2"/>
      <c r="N711" s="2"/>
      <c r="O711" s="1"/>
      <c r="P711" s="2"/>
      <c r="Q711" s="2"/>
      <c r="R711" s="2"/>
      <c r="S711" s="2"/>
      <c r="T711" s="2"/>
      <c r="U711" s="2"/>
      <c r="V711" s="2"/>
      <c r="W711" s="2"/>
      <c r="X711" s="2"/>
      <c r="Y711" s="2"/>
      <c r="Z711" s="2"/>
      <c r="AA711" s="2"/>
      <c r="AB711" s="2"/>
      <c r="AC711" s="2"/>
    </row>
    <row r="712" spans="1:29" ht="17.399999999999999" x14ac:dyDescent="0.25">
      <c r="A712" s="1"/>
      <c r="B712" s="2"/>
      <c r="C712" s="2"/>
      <c r="D712" s="2"/>
      <c r="E712" s="2"/>
      <c r="F712" s="2"/>
      <c r="G712" s="2"/>
      <c r="H712" s="2"/>
      <c r="I712" s="2"/>
      <c r="J712" s="2"/>
      <c r="K712" s="2"/>
      <c r="L712" s="2"/>
      <c r="M712" s="2"/>
      <c r="N712" s="2"/>
      <c r="O712" s="1"/>
      <c r="P712" s="2"/>
      <c r="Q712" s="2"/>
      <c r="R712" s="2"/>
      <c r="S712" s="2"/>
      <c r="T712" s="2"/>
      <c r="U712" s="2"/>
      <c r="V712" s="2"/>
      <c r="W712" s="2"/>
      <c r="X712" s="2"/>
      <c r="Y712" s="2"/>
      <c r="Z712" s="2"/>
      <c r="AA712" s="2"/>
      <c r="AB712" s="2"/>
      <c r="AC712" s="2"/>
    </row>
    <row r="713" spans="1:29" ht="17.399999999999999" x14ac:dyDescent="0.25">
      <c r="A713" s="1"/>
      <c r="B713" s="2"/>
      <c r="C713" s="2"/>
      <c r="D713" s="2"/>
      <c r="E713" s="2"/>
      <c r="F713" s="2"/>
      <c r="G713" s="2"/>
      <c r="H713" s="2"/>
      <c r="I713" s="2"/>
      <c r="J713" s="2"/>
      <c r="K713" s="2"/>
      <c r="L713" s="2"/>
      <c r="M713" s="2"/>
      <c r="N713" s="2"/>
      <c r="O713" s="1"/>
      <c r="P713" s="2"/>
      <c r="Q713" s="2"/>
      <c r="R713" s="2"/>
      <c r="S713" s="2"/>
      <c r="T713" s="2"/>
      <c r="U713" s="2"/>
      <c r="V713" s="2"/>
      <c r="W713" s="2"/>
      <c r="X713" s="2"/>
      <c r="Y713" s="2"/>
      <c r="Z713" s="2"/>
      <c r="AA713" s="2"/>
      <c r="AB713" s="2"/>
      <c r="AC713" s="2"/>
    </row>
    <row r="714" spans="1:29" ht="17.399999999999999" x14ac:dyDescent="0.25">
      <c r="A714" s="1"/>
      <c r="B714" s="2"/>
      <c r="C714" s="2"/>
      <c r="D714" s="2"/>
      <c r="E714" s="2"/>
      <c r="F714" s="2"/>
      <c r="G714" s="2"/>
      <c r="H714" s="2"/>
      <c r="I714" s="2"/>
      <c r="J714" s="2"/>
      <c r="K714" s="2"/>
      <c r="L714" s="2"/>
      <c r="M714" s="2"/>
      <c r="N714" s="2"/>
      <c r="O714" s="1"/>
      <c r="P714" s="2"/>
      <c r="Q714" s="2"/>
      <c r="R714" s="2"/>
      <c r="S714" s="2"/>
      <c r="T714" s="2"/>
      <c r="U714" s="2"/>
      <c r="V714" s="2"/>
      <c r="W714" s="2"/>
      <c r="X714" s="2"/>
      <c r="Y714" s="2"/>
      <c r="Z714" s="2"/>
      <c r="AA714" s="2"/>
      <c r="AB714" s="2"/>
      <c r="AC714" s="2"/>
    </row>
    <row r="715" spans="1:29" ht="17.399999999999999" x14ac:dyDescent="0.25">
      <c r="A715" s="1"/>
      <c r="B715" s="2"/>
      <c r="C715" s="2"/>
      <c r="D715" s="2"/>
      <c r="E715" s="2"/>
      <c r="F715" s="2"/>
      <c r="G715" s="2"/>
      <c r="H715" s="2"/>
      <c r="I715" s="2"/>
      <c r="J715" s="2"/>
      <c r="K715" s="2"/>
      <c r="L715" s="2"/>
      <c r="M715" s="2"/>
      <c r="N715" s="2"/>
      <c r="O715" s="1"/>
      <c r="P715" s="2"/>
      <c r="Q715" s="2"/>
      <c r="R715" s="2"/>
      <c r="S715" s="2"/>
      <c r="T715" s="2"/>
      <c r="U715" s="2"/>
      <c r="V715" s="2"/>
      <c r="W715" s="2"/>
      <c r="X715" s="2"/>
      <c r="Y715" s="2"/>
      <c r="Z715" s="2"/>
      <c r="AA715" s="2"/>
      <c r="AB715" s="2"/>
      <c r="AC715" s="2"/>
    </row>
    <row r="716" spans="1:29" ht="17.399999999999999" x14ac:dyDescent="0.25">
      <c r="A716" s="1"/>
      <c r="B716" s="2"/>
      <c r="C716" s="2"/>
      <c r="D716" s="2"/>
      <c r="E716" s="2"/>
      <c r="F716" s="2"/>
      <c r="G716" s="2"/>
      <c r="H716" s="2"/>
      <c r="I716" s="2"/>
      <c r="J716" s="2"/>
      <c r="K716" s="2"/>
      <c r="L716" s="2"/>
      <c r="M716" s="2"/>
      <c r="N716" s="2"/>
      <c r="O716" s="1"/>
      <c r="P716" s="2"/>
      <c r="Q716" s="2"/>
      <c r="R716" s="2"/>
      <c r="S716" s="2"/>
      <c r="T716" s="2"/>
      <c r="U716" s="2"/>
      <c r="V716" s="2"/>
      <c r="W716" s="2"/>
      <c r="X716" s="2"/>
      <c r="Y716" s="2"/>
      <c r="Z716" s="2"/>
      <c r="AA716" s="2"/>
      <c r="AB716" s="2"/>
      <c r="AC716" s="2"/>
    </row>
    <row r="717" spans="1:29" ht="17.399999999999999" x14ac:dyDescent="0.25">
      <c r="A717" s="1"/>
      <c r="B717" s="2"/>
      <c r="C717" s="2"/>
      <c r="D717" s="2"/>
      <c r="E717" s="2"/>
      <c r="F717" s="2"/>
      <c r="G717" s="2"/>
      <c r="H717" s="2"/>
      <c r="I717" s="2"/>
      <c r="J717" s="2"/>
      <c r="K717" s="2"/>
      <c r="L717" s="2"/>
      <c r="M717" s="2"/>
      <c r="N717" s="2"/>
      <c r="O717" s="1"/>
      <c r="P717" s="2"/>
      <c r="Q717" s="2"/>
      <c r="R717" s="2"/>
      <c r="S717" s="2"/>
      <c r="T717" s="2"/>
      <c r="U717" s="2"/>
      <c r="V717" s="2"/>
      <c r="W717" s="2"/>
      <c r="X717" s="2"/>
      <c r="Y717" s="2"/>
      <c r="Z717" s="2"/>
      <c r="AA717" s="2"/>
      <c r="AB717" s="2"/>
      <c r="AC717" s="2"/>
    </row>
    <row r="718" spans="1:29" ht="17.399999999999999" x14ac:dyDescent="0.25">
      <c r="A718" s="1"/>
      <c r="B718" s="2"/>
      <c r="C718" s="2"/>
      <c r="D718" s="2"/>
      <c r="E718" s="2"/>
      <c r="F718" s="2"/>
      <c r="G718" s="2"/>
      <c r="H718" s="2"/>
      <c r="I718" s="2"/>
      <c r="J718" s="2"/>
      <c r="K718" s="2"/>
      <c r="L718" s="2"/>
      <c r="M718" s="2"/>
      <c r="N718" s="2"/>
      <c r="O718" s="1"/>
      <c r="P718" s="2"/>
      <c r="Q718" s="2"/>
      <c r="R718" s="2"/>
      <c r="S718" s="2"/>
      <c r="T718" s="2"/>
      <c r="U718" s="2"/>
      <c r="V718" s="2"/>
      <c r="W718" s="2"/>
      <c r="X718" s="2"/>
      <c r="Y718" s="2"/>
      <c r="Z718" s="2"/>
      <c r="AA718" s="2"/>
      <c r="AB718" s="2"/>
      <c r="AC718" s="2"/>
    </row>
    <row r="719" spans="1:29" ht="17.399999999999999" x14ac:dyDescent="0.25">
      <c r="A719" s="1"/>
      <c r="B719" s="2"/>
      <c r="C719" s="2"/>
      <c r="D719" s="2"/>
      <c r="E719" s="2"/>
      <c r="F719" s="2"/>
      <c r="G719" s="2"/>
      <c r="H719" s="2"/>
      <c r="I719" s="2"/>
      <c r="J719" s="2"/>
      <c r="K719" s="2"/>
      <c r="L719" s="2"/>
      <c r="M719" s="2"/>
      <c r="N719" s="2"/>
      <c r="O719" s="1"/>
      <c r="P719" s="2"/>
      <c r="Q719" s="2"/>
      <c r="R719" s="2"/>
      <c r="S719" s="2"/>
      <c r="T719" s="2"/>
      <c r="U719" s="2"/>
      <c r="V719" s="2"/>
      <c r="W719" s="2"/>
      <c r="X719" s="2"/>
      <c r="Y719" s="2"/>
      <c r="Z719" s="2"/>
      <c r="AA719" s="2"/>
      <c r="AB719" s="2"/>
      <c r="AC719" s="2"/>
    </row>
    <row r="720" spans="1:29" ht="17.399999999999999" x14ac:dyDescent="0.25">
      <c r="A720" s="1"/>
      <c r="B720" s="2"/>
      <c r="C720" s="2"/>
      <c r="D720" s="2"/>
      <c r="E720" s="2"/>
      <c r="F720" s="2"/>
      <c r="G720" s="2"/>
      <c r="H720" s="2"/>
      <c r="I720" s="2"/>
      <c r="J720" s="2"/>
      <c r="K720" s="2"/>
      <c r="L720" s="2"/>
      <c r="M720" s="2"/>
      <c r="N720" s="2"/>
      <c r="O720" s="1"/>
      <c r="P720" s="2"/>
      <c r="Q720" s="2"/>
      <c r="R720" s="2"/>
      <c r="S720" s="2"/>
      <c r="T720" s="2"/>
      <c r="U720" s="2"/>
      <c r="V720" s="2"/>
      <c r="W720" s="2"/>
      <c r="X720" s="2"/>
      <c r="Y720" s="2"/>
      <c r="Z720" s="2"/>
      <c r="AA720" s="2"/>
      <c r="AB720" s="2"/>
      <c r="AC720" s="2"/>
    </row>
    <row r="721" spans="1:29" ht="17.399999999999999" x14ac:dyDescent="0.25">
      <c r="A721" s="1"/>
      <c r="B721" s="2"/>
      <c r="C721" s="2"/>
      <c r="D721" s="2"/>
      <c r="E721" s="2"/>
      <c r="F721" s="2"/>
      <c r="G721" s="2"/>
      <c r="H721" s="2"/>
      <c r="I721" s="2"/>
      <c r="J721" s="2"/>
      <c r="K721" s="2"/>
      <c r="L721" s="2"/>
      <c r="M721" s="2"/>
      <c r="N721" s="2"/>
      <c r="O721" s="1"/>
      <c r="P721" s="2"/>
      <c r="Q721" s="2"/>
      <c r="R721" s="2"/>
      <c r="S721" s="2"/>
      <c r="T721" s="2"/>
      <c r="U721" s="2"/>
      <c r="V721" s="2"/>
      <c r="W721" s="2"/>
      <c r="X721" s="2"/>
      <c r="Y721" s="2"/>
      <c r="Z721" s="2"/>
      <c r="AA721" s="2"/>
      <c r="AB721" s="2"/>
      <c r="AC721" s="2"/>
    </row>
    <row r="722" spans="1:29" ht="17.399999999999999" x14ac:dyDescent="0.25">
      <c r="A722" s="1"/>
      <c r="B722" s="2"/>
      <c r="C722" s="2"/>
      <c r="D722" s="2"/>
      <c r="E722" s="2"/>
      <c r="F722" s="2"/>
      <c r="G722" s="2"/>
      <c r="H722" s="2"/>
      <c r="I722" s="2"/>
      <c r="J722" s="2"/>
      <c r="K722" s="2"/>
      <c r="L722" s="2"/>
      <c r="M722" s="2"/>
      <c r="N722" s="2"/>
      <c r="O722" s="1"/>
      <c r="P722" s="2"/>
      <c r="Q722" s="2"/>
      <c r="R722" s="2"/>
      <c r="S722" s="2"/>
      <c r="T722" s="2"/>
      <c r="U722" s="2"/>
      <c r="V722" s="2"/>
      <c r="W722" s="2"/>
      <c r="X722" s="2"/>
      <c r="Y722" s="2"/>
      <c r="Z722" s="2"/>
      <c r="AA722" s="2"/>
      <c r="AB722" s="2"/>
      <c r="AC722" s="2"/>
    </row>
    <row r="723" spans="1:29" ht="17.399999999999999" x14ac:dyDescent="0.25">
      <c r="A723" s="1"/>
      <c r="B723" s="2"/>
      <c r="C723" s="2"/>
      <c r="D723" s="2"/>
      <c r="E723" s="2"/>
      <c r="F723" s="2"/>
      <c r="G723" s="2"/>
      <c r="H723" s="2"/>
      <c r="I723" s="2"/>
      <c r="J723" s="2"/>
      <c r="K723" s="2"/>
      <c r="L723" s="2"/>
      <c r="M723" s="2"/>
      <c r="N723" s="2"/>
      <c r="O723" s="1"/>
      <c r="P723" s="2"/>
      <c r="Q723" s="2"/>
      <c r="R723" s="2"/>
      <c r="S723" s="2"/>
      <c r="T723" s="2"/>
      <c r="U723" s="2"/>
      <c r="V723" s="2"/>
      <c r="W723" s="2"/>
      <c r="X723" s="2"/>
      <c r="Y723" s="2"/>
      <c r="Z723" s="2"/>
      <c r="AA723" s="2"/>
      <c r="AB723" s="2"/>
      <c r="AC723" s="2"/>
    </row>
    <row r="724" spans="1:29" ht="17.399999999999999" x14ac:dyDescent="0.25">
      <c r="A724" s="1"/>
      <c r="B724" s="2"/>
      <c r="C724" s="2"/>
      <c r="D724" s="2"/>
      <c r="E724" s="2"/>
      <c r="F724" s="2"/>
      <c r="G724" s="2"/>
      <c r="H724" s="2"/>
      <c r="I724" s="2"/>
      <c r="J724" s="2"/>
      <c r="K724" s="2"/>
      <c r="L724" s="2"/>
      <c r="M724" s="2"/>
      <c r="N724" s="2"/>
      <c r="O724" s="1"/>
      <c r="P724" s="2"/>
      <c r="Q724" s="2"/>
      <c r="R724" s="2"/>
      <c r="S724" s="2"/>
      <c r="T724" s="2"/>
      <c r="U724" s="2"/>
      <c r="V724" s="2"/>
      <c r="W724" s="2"/>
      <c r="X724" s="2"/>
      <c r="Y724" s="2"/>
      <c r="Z724" s="2"/>
      <c r="AA724" s="2"/>
      <c r="AB724" s="2"/>
      <c r="AC724" s="2"/>
    </row>
    <row r="725" spans="1:29" ht="17.399999999999999" x14ac:dyDescent="0.25">
      <c r="A725" s="1"/>
      <c r="B725" s="2"/>
      <c r="C725" s="2"/>
      <c r="D725" s="2"/>
      <c r="E725" s="2"/>
      <c r="F725" s="2"/>
      <c r="G725" s="2"/>
      <c r="H725" s="2"/>
      <c r="I725" s="2"/>
      <c r="J725" s="2"/>
      <c r="K725" s="2"/>
      <c r="L725" s="2"/>
      <c r="M725" s="2"/>
      <c r="N725" s="2"/>
      <c r="O725" s="1"/>
      <c r="P725" s="2"/>
      <c r="Q725" s="2"/>
      <c r="R725" s="2"/>
      <c r="S725" s="2"/>
      <c r="T725" s="2"/>
      <c r="U725" s="2"/>
      <c r="V725" s="2"/>
      <c r="W725" s="2"/>
      <c r="X725" s="2"/>
      <c r="Y725" s="2"/>
      <c r="Z725" s="2"/>
      <c r="AA725" s="2"/>
      <c r="AB725" s="2"/>
      <c r="AC725" s="2"/>
    </row>
    <row r="726" spans="1:29" ht="17.399999999999999" x14ac:dyDescent="0.25">
      <c r="A726" s="1"/>
      <c r="B726" s="2"/>
      <c r="C726" s="2"/>
      <c r="D726" s="2"/>
      <c r="E726" s="2"/>
      <c r="F726" s="2"/>
      <c r="G726" s="2"/>
      <c r="H726" s="2"/>
      <c r="I726" s="2"/>
      <c r="J726" s="2"/>
      <c r="K726" s="2"/>
      <c r="L726" s="2"/>
      <c r="M726" s="2"/>
      <c r="N726" s="2"/>
      <c r="O726" s="1"/>
      <c r="P726" s="2"/>
      <c r="Q726" s="2"/>
      <c r="R726" s="2"/>
      <c r="S726" s="2"/>
      <c r="T726" s="2"/>
      <c r="U726" s="2"/>
      <c r="V726" s="2"/>
      <c r="W726" s="2"/>
      <c r="X726" s="2"/>
      <c r="Y726" s="2"/>
      <c r="Z726" s="2"/>
      <c r="AA726" s="2"/>
      <c r="AB726" s="2"/>
      <c r="AC726" s="2"/>
    </row>
    <row r="727" spans="1:29" ht="17.399999999999999" x14ac:dyDescent="0.25">
      <c r="A727" s="1"/>
      <c r="B727" s="2"/>
      <c r="C727" s="2"/>
      <c r="D727" s="2"/>
      <c r="E727" s="2"/>
      <c r="F727" s="2"/>
      <c r="G727" s="2"/>
      <c r="H727" s="2"/>
      <c r="I727" s="2"/>
      <c r="J727" s="2"/>
      <c r="K727" s="2"/>
      <c r="L727" s="2"/>
      <c r="M727" s="2"/>
      <c r="N727" s="2"/>
      <c r="O727" s="1"/>
      <c r="P727" s="2"/>
      <c r="Q727" s="2"/>
      <c r="R727" s="2"/>
      <c r="S727" s="2"/>
      <c r="T727" s="2"/>
      <c r="U727" s="2"/>
      <c r="V727" s="2"/>
      <c r="W727" s="2"/>
      <c r="X727" s="2"/>
      <c r="Y727" s="2"/>
      <c r="Z727" s="2"/>
      <c r="AA727" s="2"/>
      <c r="AB727" s="2"/>
      <c r="AC727" s="2"/>
    </row>
    <row r="728" spans="1:29" ht="17.399999999999999" x14ac:dyDescent="0.25">
      <c r="A728" s="1"/>
      <c r="B728" s="2"/>
      <c r="C728" s="2"/>
      <c r="D728" s="2"/>
      <c r="E728" s="2"/>
      <c r="F728" s="2"/>
      <c r="G728" s="2"/>
      <c r="H728" s="2"/>
      <c r="I728" s="2"/>
      <c r="J728" s="2"/>
      <c r="K728" s="2"/>
      <c r="L728" s="2"/>
      <c r="M728" s="2"/>
      <c r="N728" s="2"/>
      <c r="O728" s="1"/>
      <c r="P728" s="2"/>
      <c r="Q728" s="2"/>
      <c r="R728" s="2"/>
      <c r="S728" s="2"/>
      <c r="T728" s="2"/>
      <c r="U728" s="2"/>
      <c r="V728" s="2"/>
      <c r="W728" s="2"/>
      <c r="X728" s="2"/>
      <c r="Y728" s="2"/>
      <c r="Z728" s="2"/>
      <c r="AA728" s="2"/>
      <c r="AB728" s="2"/>
      <c r="AC728" s="2"/>
    </row>
    <row r="729" spans="1:29" ht="17.399999999999999" x14ac:dyDescent="0.25">
      <c r="A729" s="1"/>
      <c r="B729" s="2"/>
      <c r="C729" s="2"/>
      <c r="D729" s="2"/>
      <c r="E729" s="2"/>
      <c r="F729" s="2"/>
      <c r="G729" s="2"/>
      <c r="H729" s="2"/>
      <c r="I729" s="2"/>
      <c r="J729" s="2"/>
      <c r="K729" s="2"/>
      <c r="L729" s="2"/>
      <c r="M729" s="2"/>
      <c r="N729" s="2"/>
      <c r="O729" s="1"/>
      <c r="P729" s="2"/>
      <c r="Q729" s="2"/>
      <c r="R729" s="2"/>
      <c r="S729" s="2"/>
      <c r="T729" s="2"/>
      <c r="U729" s="2"/>
      <c r="V729" s="2"/>
      <c r="W729" s="2"/>
      <c r="X729" s="2"/>
      <c r="Y729" s="2"/>
      <c r="Z729" s="2"/>
      <c r="AA729" s="2"/>
      <c r="AB729" s="2"/>
      <c r="AC729" s="2"/>
    </row>
    <row r="730" spans="1:29" ht="17.399999999999999" x14ac:dyDescent="0.25">
      <c r="A730" s="1"/>
      <c r="B730" s="2"/>
      <c r="C730" s="2"/>
      <c r="D730" s="2"/>
      <c r="E730" s="2"/>
      <c r="F730" s="2"/>
      <c r="G730" s="2"/>
      <c r="H730" s="2"/>
      <c r="I730" s="2"/>
      <c r="J730" s="2"/>
      <c r="K730" s="2"/>
      <c r="L730" s="2"/>
      <c r="M730" s="2"/>
      <c r="N730" s="2"/>
      <c r="O730" s="1"/>
      <c r="P730" s="2"/>
      <c r="Q730" s="2"/>
      <c r="R730" s="2"/>
      <c r="S730" s="2"/>
      <c r="T730" s="2"/>
      <c r="U730" s="2"/>
      <c r="V730" s="2"/>
      <c r="W730" s="2"/>
      <c r="X730" s="2"/>
      <c r="Y730" s="2"/>
      <c r="Z730" s="2"/>
      <c r="AA730" s="2"/>
      <c r="AB730" s="2"/>
      <c r="AC730" s="2"/>
    </row>
    <row r="731" spans="1:29" ht="17.399999999999999" x14ac:dyDescent="0.25">
      <c r="A731" s="1"/>
      <c r="B731" s="2"/>
      <c r="C731" s="2"/>
      <c r="D731" s="2"/>
      <c r="E731" s="2"/>
      <c r="F731" s="2"/>
      <c r="G731" s="2"/>
      <c r="H731" s="2"/>
      <c r="I731" s="2"/>
      <c r="J731" s="2"/>
      <c r="K731" s="2"/>
      <c r="L731" s="2"/>
      <c r="M731" s="2"/>
      <c r="N731" s="2"/>
      <c r="O731" s="1"/>
      <c r="P731" s="2"/>
      <c r="Q731" s="2"/>
      <c r="R731" s="2"/>
      <c r="S731" s="2"/>
      <c r="T731" s="2"/>
      <c r="U731" s="2"/>
      <c r="V731" s="2"/>
      <c r="W731" s="2"/>
      <c r="X731" s="2"/>
      <c r="Y731" s="2"/>
      <c r="Z731" s="2"/>
      <c r="AA731" s="2"/>
      <c r="AB731" s="2"/>
      <c r="AC731" s="2"/>
    </row>
    <row r="732" spans="1:29" ht="17.399999999999999" x14ac:dyDescent="0.25">
      <c r="A732" s="1"/>
      <c r="B732" s="2"/>
      <c r="C732" s="2"/>
      <c r="D732" s="2"/>
      <c r="E732" s="2"/>
      <c r="F732" s="2"/>
      <c r="G732" s="2"/>
      <c r="H732" s="2"/>
      <c r="I732" s="2"/>
      <c r="J732" s="2"/>
      <c r="K732" s="2"/>
      <c r="L732" s="2"/>
      <c r="M732" s="2"/>
      <c r="N732" s="2"/>
      <c r="O732" s="1"/>
      <c r="P732" s="2"/>
      <c r="Q732" s="2"/>
      <c r="R732" s="2"/>
      <c r="S732" s="2"/>
      <c r="T732" s="2"/>
      <c r="U732" s="2"/>
      <c r="V732" s="2"/>
      <c r="W732" s="2"/>
      <c r="X732" s="2"/>
      <c r="Y732" s="2"/>
      <c r="Z732" s="2"/>
      <c r="AA732" s="2"/>
      <c r="AB732" s="2"/>
      <c r="AC732" s="2"/>
    </row>
    <row r="733" spans="1:29" ht="17.399999999999999" x14ac:dyDescent="0.25">
      <c r="A733" s="1"/>
      <c r="B733" s="2"/>
      <c r="C733" s="2"/>
      <c r="D733" s="2"/>
      <c r="E733" s="2"/>
      <c r="F733" s="2"/>
      <c r="G733" s="2"/>
      <c r="H733" s="2"/>
      <c r="I733" s="2"/>
      <c r="J733" s="2"/>
      <c r="K733" s="2"/>
      <c r="L733" s="2"/>
      <c r="M733" s="2"/>
      <c r="N733" s="2"/>
      <c r="O733" s="1"/>
      <c r="P733" s="2"/>
      <c r="Q733" s="2"/>
      <c r="R733" s="2"/>
      <c r="S733" s="2"/>
      <c r="T733" s="2"/>
      <c r="U733" s="2"/>
      <c r="V733" s="2"/>
      <c r="W733" s="2"/>
      <c r="X733" s="2"/>
      <c r="Y733" s="2"/>
      <c r="Z733" s="2"/>
      <c r="AA733" s="2"/>
      <c r="AB733" s="2"/>
      <c r="AC733" s="2"/>
    </row>
    <row r="734" spans="1:29" ht="17.399999999999999" x14ac:dyDescent="0.25">
      <c r="A734" s="1"/>
      <c r="B734" s="2"/>
      <c r="C734" s="2"/>
      <c r="D734" s="2"/>
      <c r="E734" s="2"/>
      <c r="F734" s="2"/>
      <c r="G734" s="2"/>
      <c r="H734" s="2"/>
      <c r="I734" s="2"/>
      <c r="J734" s="2"/>
      <c r="K734" s="2"/>
      <c r="L734" s="2"/>
      <c r="M734" s="2"/>
      <c r="N734" s="2"/>
      <c r="O734" s="1"/>
      <c r="P734" s="2"/>
      <c r="Q734" s="2"/>
      <c r="R734" s="2"/>
      <c r="S734" s="2"/>
      <c r="T734" s="2"/>
      <c r="U734" s="2"/>
      <c r="V734" s="2"/>
      <c r="W734" s="2"/>
      <c r="X734" s="2"/>
      <c r="Y734" s="2"/>
      <c r="Z734" s="2"/>
      <c r="AA734" s="2"/>
      <c r="AB734" s="2"/>
      <c r="AC734" s="2"/>
    </row>
    <row r="735" spans="1:29" ht="17.399999999999999" x14ac:dyDescent="0.25">
      <c r="A735" s="1"/>
      <c r="B735" s="2"/>
      <c r="C735" s="2"/>
      <c r="D735" s="2"/>
      <c r="E735" s="2"/>
      <c r="F735" s="2"/>
      <c r="G735" s="2"/>
      <c r="H735" s="2"/>
      <c r="I735" s="2"/>
      <c r="J735" s="2"/>
      <c r="K735" s="2"/>
      <c r="L735" s="2"/>
      <c r="M735" s="2"/>
      <c r="N735" s="2"/>
      <c r="O735" s="1"/>
      <c r="P735" s="2"/>
      <c r="Q735" s="2"/>
      <c r="R735" s="2"/>
      <c r="S735" s="2"/>
      <c r="T735" s="2"/>
      <c r="U735" s="2"/>
      <c r="V735" s="2"/>
      <c r="W735" s="2"/>
      <c r="X735" s="2"/>
      <c r="Y735" s="2"/>
      <c r="Z735" s="2"/>
      <c r="AA735" s="2"/>
      <c r="AB735" s="2"/>
      <c r="AC735" s="2"/>
    </row>
    <row r="736" spans="1:29" ht="17.399999999999999" x14ac:dyDescent="0.25">
      <c r="A736" s="1"/>
      <c r="B736" s="2"/>
      <c r="C736" s="2"/>
      <c r="D736" s="2"/>
      <c r="E736" s="2"/>
      <c r="F736" s="2"/>
      <c r="G736" s="2"/>
      <c r="H736" s="2"/>
      <c r="I736" s="2"/>
      <c r="J736" s="2"/>
      <c r="K736" s="2"/>
      <c r="L736" s="2"/>
      <c r="M736" s="2"/>
      <c r="N736" s="2"/>
      <c r="O736" s="1"/>
      <c r="P736" s="2"/>
      <c r="Q736" s="2"/>
      <c r="R736" s="2"/>
      <c r="S736" s="2"/>
      <c r="T736" s="2"/>
      <c r="U736" s="2"/>
      <c r="V736" s="2"/>
      <c r="W736" s="2"/>
      <c r="X736" s="2"/>
      <c r="Y736" s="2"/>
      <c r="Z736" s="2"/>
      <c r="AA736" s="2"/>
      <c r="AB736" s="2"/>
      <c r="AC736" s="2"/>
    </row>
    <row r="737" spans="1:29" ht="17.399999999999999" x14ac:dyDescent="0.25">
      <c r="A737" s="1"/>
      <c r="B737" s="2"/>
      <c r="C737" s="2"/>
      <c r="D737" s="2"/>
      <c r="E737" s="2"/>
      <c r="F737" s="2"/>
      <c r="G737" s="2"/>
      <c r="H737" s="2"/>
      <c r="I737" s="2"/>
      <c r="J737" s="2"/>
      <c r="K737" s="2"/>
      <c r="L737" s="2"/>
      <c r="M737" s="2"/>
      <c r="N737" s="2"/>
      <c r="O737" s="1"/>
      <c r="P737" s="2"/>
      <c r="Q737" s="2"/>
      <c r="R737" s="2"/>
      <c r="S737" s="2"/>
      <c r="T737" s="2"/>
      <c r="U737" s="2"/>
      <c r="V737" s="2"/>
      <c r="W737" s="2"/>
      <c r="X737" s="2"/>
      <c r="Y737" s="2"/>
      <c r="Z737" s="2"/>
      <c r="AA737" s="2"/>
      <c r="AB737" s="2"/>
      <c r="AC737" s="2"/>
    </row>
    <row r="738" spans="1:29" ht="17.399999999999999" x14ac:dyDescent="0.25">
      <c r="A738" s="1"/>
      <c r="B738" s="2"/>
      <c r="C738" s="2"/>
      <c r="D738" s="2"/>
      <c r="E738" s="2"/>
      <c r="F738" s="2"/>
      <c r="G738" s="2"/>
      <c r="H738" s="2"/>
      <c r="I738" s="2"/>
      <c r="J738" s="2"/>
      <c r="K738" s="2"/>
      <c r="L738" s="2"/>
      <c r="M738" s="2"/>
      <c r="N738" s="2"/>
      <c r="O738" s="1"/>
      <c r="P738" s="2"/>
      <c r="Q738" s="2"/>
      <c r="R738" s="2"/>
      <c r="S738" s="2"/>
      <c r="T738" s="2"/>
      <c r="U738" s="2"/>
      <c r="V738" s="2"/>
      <c r="W738" s="2"/>
      <c r="X738" s="2"/>
      <c r="Y738" s="2"/>
      <c r="Z738" s="2"/>
      <c r="AA738" s="2"/>
      <c r="AB738" s="2"/>
      <c r="AC738" s="2"/>
    </row>
    <row r="739" spans="1:29" ht="17.399999999999999" x14ac:dyDescent="0.25">
      <c r="A739" s="1"/>
      <c r="B739" s="2"/>
      <c r="C739" s="2"/>
      <c r="D739" s="2"/>
      <c r="E739" s="2"/>
      <c r="F739" s="2"/>
      <c r="G739" s="2"/>
      <c r="H739" s="2"/>
      <c r="I739" s="2"/>
      <c r="J739" s="2"/>
      <c r="K739" s="2"/>
      <c r="L739" s="2"/>
      <c r="M739" s="2"/>
      <c r="N739" s="2"/>
      <c r="O739" s="1"/>
      <c r="P739" s="2"/>
      <c r="Q739" s="2"/>
      <c r="R739" s="2"/>
      <c r="S739" s="2"/>
      <c r="T739" s="2"/>
      <c r="U739" s="2"/>
      <c r="V739" s="2"/>
      <c r="W739" s="2"/>
      <c r="X739" s="2"/>
      <c r="Y739" s="2"/>
      <c r="Z739" s="2"/>
      <c r="AA739" s="2"/>
      <c r="AB739" s="2"/>
      <c r="AC739" s="2"/>
    </row>
    <row r="740" spans="1:29" ht="17.399999999999999" x14ac:dyDescent="0.25">
      <c r="A740" s="1"/>
      <c r="B740" s="2"/>
      <c r="C740" s="2"/>
      <c r="D740" s="2"/>
      <c r="E740" s="2"/>
      <c r="F740" s="2"/>
      <c r="G740" s="2"/>
      <c r="H740" s="2"/>
      <c r="I740" s="2"/>
      <c r="J740" s="2"/>
      <c r="K740" s="2"/>
      <c r="L740" s="2"/>
      <c r="M740" s="2"/>
      <c r="N740" s="2"/>
      <c r="O740" s="1"/>
      <c r="P740" s="2"/>
      <c r="Q740" s="2"/>
      <c r="R740" s="2"/>
      <c r="S740" s="2"/>
      <c r="T740" s="2"/>
      <c r="U740" s="2"/>
      <c r="V740" s="2"/>
      <c r="W740" s="2"/>
      <c r="X740" s="2"/>
      <c r="Y740" s="2"/>
      <c r="Z740" s="2"/>
      <c r="AA740" s="2"/>
      <c r="AB740" s="2"/>
      <c r="AC740" s="2"/>
    </row>
    <row r="741" spans="1:29" ht="17.399999999999999" x14ac:dyDescent="0.25">
      <c r="A741" s="1"/>
      <c r="B741" s="2"/>
      <c r="C741" s="2"/>
      <c r="D741" s="2"/>
      <c r="E741" s="2"/>
      <c r="F741" s="2"/>
      <c r="G741" s="2"/>
      <c r="H741" s="2"/>
      <c r="I741" s="2"/>
      <c r="J741" s="2"/>
      <c r="K741" s="2"/>
      <c r="L741" s="2"/>
      <c r="M741" s="2"/>
      <c r="N741" s="2"/>
      <c r="O741" s="1"/>
      <c r="P741" s="2"/>
      <c r="Q741" s="2"/>
      <c r="R741" s="2"/>
      <c r="S741" s="2"/>
      <c r="T741" s="2"/>
      <c r="U741" s="2"/>
      <c r="V741" s="2"/>
      <c r="W741" s="2"/>
      <c r="X741" s="2"/>
      <c r="Y741" s="2"/>
      <c r="Z741" s="2"/>
      <c r="AA741" s="2"/>
      <c r="AB741" s="2"/>
      <c r="AC741" s="2"/>
    </row>
    <row r="742" spans="1:29" ht="17.399999999999999" x14ac:dyDescent="0.25">
      <c r="A742" s="1"/>
      <c r="B742" s="2"/>
      <c r="C742" s="2"/>
      <c r="D742" s="2"/>
      <c r="E742" s="2"/>
      <c r="F742" s="2"/>
      <c r="G742" s="2"/>
      <c r="H742" s="2"/>
      <c r="I742" s="2"/>
      <c r="J742" s="2"/>
      <c r="K742" s="2"/>
      <c r="L742" s="2"/>
      <c r="M742" s="2"/>
      <c r="N742" s="2"/>
      <c r="O742" s="1"/>
      <c r="P742" s="2"/>
      <c r="Q742" s="2"/>
      <c r="R742" s="2"/>
      <c r="S742" s="2"/>
      <c r="T742" s="2"/>
      <c r="U742" s="2"/>
      <c r="V742" s="2"/>
      <c r="W742" s="2"/>
      <c r="X742" s="2"/>
      <c r="Y742" s="2"/>
      <c r="Z742" s="2"/>
      <c r="AA742" s="2"/>
      <c r="AB742" s="2"/>
      <c r="AC742" s="2"/>
    </row>
    <row r="743" spans="1:29" ht="17.399999999999999" x14ac:dyDescent="0.25">
      <c r="A743" s="1"/>
      <c r="B743" s="2"/>
      <c r="C743" s="2"/>
      <c r="D743" s="2"/>
      <c r="E743" s="2"/>
      <c r="F743" s="2"/>
      <c r="G743" s="2"/>
      <c r="H743" s="2"/>
      <c r="I743" s="2"/>
      <c r="J743" s="2"/>
      <c r="K743" s="2"/>
      <c r="L743" s="2"/>
      <c r="M743" s="2"/>
      <c r="N743" s="2"/>
      <c r="O743" s="1"/>
      <c r="P743" s="2"/>
      <c r="Q743" s="2"/>
      <c r="R743" s="2"/>
      <c r="S743" s="2"/>
      <c r="T743" s="2"/>
      <c r="U743" s="2"/>
      <c r="V743" s="2"/>
      <c r="W743" s="2"/>
      <c r="X743" s="2"/>
      <c r="Y743" s="2"/>
      <c r="Z743" s="2"/>
      <c r="AA743" s="2"/>
      <c r="AB743" s="2"/>
      <c r="AC743" s="2"/>
    </row>
    <row r="744" spans="1:29" ht="17.399999999999999" x14ac:dyDescent="0.25">
      <c r="A744" s="1"/>
      <c r="B744" s="2"/>
      <c r="C744" s="2"/>
      <c r="D744" s="2"/>
      <c r="E744" s="2"/>
      <c r="F744" s="2"/>
      <c r="G744" s="2"/>
      <c r="H744" s="2"/>
      <c r="I744" s="2"/>
      <c r="J744" s="2"/>
      <c r="K744" s="2"/>
      <c r="L744" s="2"/>
      <c r="M744" s="2"/>
      <c r="N744" s="2"/>
      <c r="O744" s="1"/>
      <c r="P744" s="2"/>
      <c r="Q744" s="2"/>
      <c r="R744" s="2"/>
      <c r="S744" s="2"/>
      <c r="T744" s="2"/>
      <c r="U744" s="2"/>
      <c r="V744" s="2"/>
      <c r="W744" s="2"/>
      <c r="X744" s="2"/>
      <c r="Y744" s="2"/>
      <c r="Z744" s="2"/>
      <c r="AA744" s="2"/>
      <c r="AB744" s="2"/>
      <c r="AC744" s="2"/>
    </row>
    <row r="745" spans="1:29" ht="17.399999999999999" x14ac:dyDescent="0.25">
      <c r="A745" s="1"/>
      <c r="B745" s="2"/>
      <c r="C745" s="2"/>
      <c r="D745" s="2"/>
      <c r="E745" s="2"/>
      <c r="F745" s="2"/>
      <c r="G745" s="2"/>
      <c r="H745" s="2"/>
      <c r="I745" s="2"/>
      <c r="J745" s="2"/>
      <c r="K745" s="2"/>
      <c r="L745" s="2"/>
      <c r="M745" s="2"/>
      <c r="N745" s="2"/>
      <c r="O745" s="1"/>
      <c r="P745" s="2"/>
      <c r="Q745" s="2"/>
      <c r="R745" s="2"/>
      <c r="S745" s="2"/>
      <c r="T745" s="2"/>
      <c r="U745" s="2"/>
      <c r="V745" s="2"/>
      <c r="W745" s="2"/>
      <c r="X745" s="2"/>
      <c r="Y745" s="2"/>
      <c r="Z745" s="2"/>
      <c r="AA745" s="2"/>
      <c r="AB745" s="2"/>
      <c r="AC745" s="2"/>
    </row>
    <row r="746" spans="1:29" ht="17.399999999999999" x14ac:dyDescent="0.25">
      <c r="A746" s="1"/>
      <c r="B746" s="2"/>
      <c r="C746" s="2"/>
      <c r="D746" s="2"/>
      <c r="E746" s="2"/>
      <c r="F746" s="2"/>
      <c r="G746" s="2"/>
      <c r="H746" s="2"/>
      <c r="I746" s="2"/>
      <c r="J746" s="2"/>
      <c r="K746" s="2"/>
      <c r="L746" s="2"/>
      <c r="M746" s="2"/>
      <c r="N746" s="2"/>
      <c r="O746" s="1"/>
      <c r="P746" s="2"/>
      <c r="Q746" s="2"/>
      <c r="R746" s="2"/>
      <c r="S746" s="2"/>
      <c r="T746" s="2"/>
      <c r="U746" s="2"/>
      <c r="V746" s="2"/>
      <c r="W746" s="2"/>
      <c r="X746" s="2"/>
      <c r="Y746" s="2"/>
      <c r="Z746" s="2"/>
      <c r="AA746" s="2"/>
      <c r="AB746" s="2"/>
      <c r="AC746" s="2"/>
    </row>
    <row r="747" spans="1:29" ht="17.399999999999999" x14ac:dyDescent="0.25">
      <c r="A747" s="1"/>
      <c r="B747" s="2"/>
      <c r="C747" s="2"/>
      <c r="D747" s="2"/>
      <c r="E747" s="2"/>
      <c r="F747" s="2"/>
      <c r="G747" s="2"/>
      <c r="H747" s="2"/>
      <c r="I747" s="2"/>
      <c r="J747" s="2"/>
      <c r="K747" s="2"/>
      <c r="L747" s="2"/>
      <c r="M747" s="2"/>
      <c r="N747" s="2"/>
      <c r="O747" s="1"/>
      <c r="P747" s="2"/>
      <c r="Q747" s="2"/>
      <c r="R747" s="2"/>
      <c r="S747" s="2"/>
      <c r="T747" s="2"/>
      <c r="U747" s="2"/>
      <c r="V747" s="2"/>
      <c r="W747" s="2"/>
      <c r="X747" s="2"/>
      <c r="Y747" s="2"/>
      <c r="Z747" s="2"/>
      <c r="AA747" s="2"/>
      <c r="AB747" s="2"/>
      <c r="AC747" s="2"/>
    </row>
    <row r="748" spans="1:29" ht="17.399999999999999" x14ac:dyDescent="0.25">
      <c r="A748" s="1"/>
      <c r="B748" s="2"/>
      <c r="C748" s="2"/>
      <c r="D748" s="2"/>
      <c r="E748" s="2"/>
      <c r="F748" s="2"/>
      <c r="G748" s="2"/>
      <c r="H748" s="2"/>
      <c r="I748" s="2"/>
      <c r="J748" s="2"/>
      <c r="K748" s="2"/>
      <c r="L748" s="2"/>
      <c r="M748" s="2"/>
      <c r="N748" s="2"/>
      <c r="O748" s="1"/>
      <c r="P748" s="2"/>
      <c r="Q748" s="2"/>
      <c r="R748" s="2"/>
      <c r="S748" s="2"/>
      <c r="T748" s="2"/>
      <c r="U748" s="2"/>
      <c r="V748" s="2"/>
      <c r="W748" s="2"/>
      <c r="X748" s="2"/>
      <c r="Y748" s="2"/>
      <c r="Z748" s="2"/>
      <c r="AA748" s="2"/>
      <c r="AB748" s="2"/>
      <c r="AC748" s="2"/>
    </row>
    <row r="749" spans="1:29" ht="17.399999999999999" x14ac:dyDescent="0.25">
      <c r="A749" s="1"/>
      <c r="B749" s="2"/>
      <c r="C749" s="2"/>
      <c r="D749" s="2"/>
      <c r="E749" s="2"/>
      <c r="F749" s="2"/>
      <c r="G749" s="2"/>
      <c r="H749" s="2"/>
      <c r="I749" s="2"/>
      <c r="J749" s="2"/>
      <c r="K749" s="2"/>
      <c r="L749" s="2"/>
      <c r="M749" s="2"/>
      <c r="N749" s="2"/>
      <c r="O749" s="1"/>
      <c r="P749" s="2"/>
      <c r="Q749" s="2"/>
      <c r="R749" s="2"/>
      <c r="S749" s="2"/>
      <c r="T749" s="2"/>
      <c r="U749" s="2"/>
      <c r="V749" s="2"/>
      <c r="W749" s="2"/>
      <c r="X749" s="2"/>
      <c r="Y749" s="2"/>
      <c r="Z749" s="2"/>
      <c r="AA749" s="2"/>
      <c r="AB749" s="2"/>
      <c r="AC749" s="2"/>
    </row>
    <row r="750" spans="1:29" ht="17.399999999999999" x14ac:dyDescent="0.25">
      <c r="A750" s="1"/>
      <c r="B750" s="2"/>
      <c r="C750" s="2"/>
      <c r="D750" s="2"/>
      <c r="E750" s="2"/>
      <c r="F750" s="2"/>
      <c r="G750" s="2"/>
      <c r="H750" s="2"/>
      <c r="I750" s="2"/>
      <c r="J750" s="2"/>
      <c r="K750" s="2"/>
      <c r="L750" s="2"/>
      <c r="M750" s="2"/>
      <c r="N750" s="2"/>
      <c r="O750" s="1"/>
      <c r="P750" s="2"/>
      <c r="Q750" s="2"/>
      <c r="R750" s="2"/>
      <c r="S750" s="2"/>
      <c r="T750" s="2"/>
      <c r="U750" s="2"/>
      <c r="V750" s="2"/>
      <c r="W750" s="2"/>
      <c r="X750" s="2"/>
      <c r="Y750" s="2"/>
      <c r="Z750" s="2"/>
      <c r="AA750" s="2"/>
      <c r="AB750" s="2"/>
      <c r="AC750" s="2"/>
    </row>
    <row r="751" spans="1:29" ht="17.399999999999999" x14ac:dyDescent="0.25">
      <c r="A751" s="1"/>
      <c r="B751" s="2"/>
      <c r="C751" s="2"/>
      <c r="D751" s="2"/>
      <c r="E751" s="2"/>
      <c r="F751" s="2"/>
      <c r="G751" s="2"/>
      <c r="H751" s="2"/>
      <c r="I751" s="2"/>
      <c r="J751" s="2"/>
      <c r="K751" s="2"/>
      <c r="L751" s="2"/>
      <c r="M751" s="2"/>
      <c r="N751" s="2"/>
      <c r="O751" s="1"/>
      <c r="P751" s="2"/>
      <c r="Q751" s="2"/>
      <c r="R751" s="2"/>
      <c r="S751" s="2"/>
      <c r="T751" s="2"/>
      <c r="U751" s="2"/>
      <c r="V751" s="2"/>
      <c r="W751" s="2"/>
      <c r="X751" s="2"/>
      <c r="Y751" s="2"/>
      <c r="Z751" s="2"/>
      <c r="AA751" s="2"/>
      <c r="AB751" s="2"/>
      <c r="AC751" s="2"/>
    </row>
    <row r="752" spans="1:29" ht="17.399999999999999" x14ac:dyDescent="0.25">
      <c r="A752" s="1"/>
      <c r="B752" s="2"/>
      <c r="C752" s="2"/>
      <c r="D752" s="2"/>
      <c r="E752" s="2"/>
      <c r="F752" s="2"/>
      <c r="G752" s="2"/>
      <c r="H752" s="2"/>
      <c r="I752" s="2"/>
      <c r="J752" s="2"/>
      <c r="K752" s="2"/>
      <c r="L752" s="2"/>
      <c r="M752" s="2"/>
      <c r="N752" s="2"/>
      <c r="O752" s="1"/>
      <c r="P752" s="2"/>
      <c r="Q752" s="2"/>
      <c r="R752" s="2"/>
      <c r="S752" s="2"/>
      <c r="T752" s="2"/>
      <c r="U752" s="2"/>
      <c r="V752" s="2"/>
      <c r="W752" s="2"/>
      <c r="X752" s="2"/>
      <c r="Y752" s="2"/>
      <c r="Z752" s="2"/>
      <c r="AA752" s="2"/>
      <c r="AB752" s="2"/>
      <c r="AC752" s="2"/>
    </row>
    <row r="753" spans="1:29" ht="17.399999999999999" x14ac:dyDescent="0.25">
      <c r="A753" s="1"/>
      <c r="B753" s="2"/>
      <c r="C753" s="2"/>
      <c r="D753" s="2"/>
      <c r="E753" s="2"/>
      <c r="F753" s="2"/>
      <c r="G753" s="2"/>
      <c r="H753" s="2"/>
      <c r="I753" s="2"/>
      <c r="J753" s="2"/>
      <c r="K753" s="2"/>
      <c r="L753" s="2"/>
      <c r="M753" s="2"/>
      <c r="N753" s="2"/>
      <c r="O753" s="1"/>
      <c r="P753" s="2"/>
      <c r="Q753" s="2"/>
      <c r="R753" s="2"/>
      <c r="S753" s="2"/>
      <c r="T753" s="2"/>
      <c r="U753" s="2"/>
      <c r="V753" s="2"/>
      <c r="W753" s="2"/>
      <c r="X753" s="2"/>
      <c r="Y753" s="2"/>
      <c r="Z753" s="2"/>
      <c r="AA753" s="2"/>
      <c r="AB753" s="2"/>
      <c r="AC753" s="2"/>
    </row>
    <row r="754" spans="1:29" ht="17.399999999999999" x14ac:dyDescent="0.25">
      <c r="A754" s="1"/>
      <c r="B754" s="2"/>
      <c r="C754" s="2"/>
      <c r="D754" s="2"/>
      <c r="E754" s="2"/>
      <c r="F754" s="2"/>
      <c r="G754" s="2"/>
      <c r="H754" s="2"/>
      <c r="I754" s="2"/>
      <c r="J754" s="2"/>
      <c r="K754" s="2"/>
      <c r="L754" s="2"/>
      <c r="M754" s="2"/>
      <c r="N754" s="2"/>
      <c r="O754" s="1"/>
      <c r="P754" s="2"/>
      <c r="Q754" s="2"/>
      <c r="R754" s="2"/>
      <c r="S754" s="2"/>
      <c r="T754" s="2"/>
      <c r="U754" s="2"/>
      <c r="V754" s="2"/>
      <c r="W754" s="2"/>
      <c r="X754" s="2"/>
      <c r="Y754" s="2"/>
      <c r="Z754" s="2"/>
      <c r="AA754" s="2"/>
      <c r="AB754" s="2"/>
      <c r="AC754" s="2"/>
    </row>
    <row r="755" spans="1:29" ht="17.399999999999999" x14ac:dyDescent="0.25">
      <c r="A755" s="1"/>
      <c r="B755" s="2"/>
      <c r="C755" s="2"/>
      <c r="D755" s="2"/>
      <c r="E755" s="2"/>
      <c r="F755" s="2"/>
      <c r="G755" s="2"/>
      <c r="H755" s="2"/>
      <c r="I755" s="2"/>
      <c r="J755" s="2"/>
      <c r="K755" s="2"/>
      <c r="L755" s="2"/>
      <c r="M755" s="2"/>
      <c r="N755" s="2"/>
      <c r="O755" s="1"/>
      <c r="P755" s="2"/>
      <c r="Q755" s="2"/>
      <c r="R755" s="2"/>
      <c r="S755" s="2"/>
      <c r="T755" s="2"/>
      <c r="U755" s="2"/>
      <c r="V755" s="2"/>
      <c r="W755" s="2"/>
      <c r="X755" s="2"/>
      <c r="Y755" s="2"/>
      <c r="Z755" s="2"/>
      <c r="AA755" s="2"/>
      <c r="AB755" s="2"/>
      <c r="AC755" s="2"/>
    </row>
    <row r="756" spans="1:29" ht="17.399999999999999" x14ac:dyDescent="0.25">
      <c r="A756" s="1"/>
      <c r="B756" s="2"/>
      <c r="C756" s="2"/>
      <c r="D756" s="2"/>
      <c r="E756" s="2"/>
      <c r="F756" s="2"/>
      <c r="G756" s="2"/>
      <c r="H756" s="2"/>
      <c r="I756" s="2"/>
      <c r="J756" s="2"/>
      <c r="K756" s="2"/>
      <c r="L756" s="2"/>
      <c r="M756" s="2"/>
      <c r="N756" s="2"/>
      <c r="O756" s="1"/>
      <c r="P756" s="2"/>
      <c r="Q756" s="2"/>
      <c r="R756" s="2"/>
      <c r="S756" s="2"/>
      <c r="T756" s="2"/>
      <c r="U756" s="2"/>
      <c r="V756" s="2"/>
      <c r="W756" s="2"/>
      <c r="X756" s="2"/>
      <c r="Y756" s="2"/>
      <c r="Z756" s="2"/>
      <c r="AA756" s="2"/>
      <c r="AB756" s="2"/>
      <c r="AC756" s="2"/>
    </row>
    <row r="757" spans="1:29" ht="17.399999999999999" x14ac:dyDescent="0.25">
      <c r="A757" s="1"/>
      <c r="B757" s="2"/>
      <c r="C757" s="2"/>
      <c r="D757" s="2"/>
      <c r="E757" s="2"/>
      <c r="F757" s="2"/>
      <c r="G757" s="2"/>
      <c r="H757" s="2"/>
      <c r="I757" s="2"/>
      <c r="J757" s="2"/>
      <c r="K757" s="2"/>
      <c r="L757" s="2"/>
      <c r="M757" s="2"/>
      <c r="N757" s="2"/>
      <c r="O757" s="1"/>
      <c r="P757" s="2"/>
      <c r="Q757" s="2"/>
      <c r="R757" s="2"/>
      <c r="S757" s="2"/>
      <c r="T757" s="2"/>
      <c r="U757" s="2"/>
      <c r="V757" s="2"/>
      <c r="W757" s="2"/>
      <c r="X757" s="2"/>
      <c r="Y757" s="2"/>
      <c r="Z757" s="2"/>
      <c r="AA757" s="2"/>
      <c r="AB757" s="2"/>
      <c r="AC757" s="2"/>
    </row>
    <row r="758" spans="1:29" ht="17.399999999999999" x14ac:dyDescent="0.25">
      <c r="A758" s="1"/>
      <c r="B758" s="2"/>
      <c r="C758" s="2"/>
      <c r="D758" s="2"/>
      <c r="E758" s="2"/>
      <c r="F758" s="2"/>
      <c r="G758" s="2"/>
      <c r="H758" s="2"/>
      <c r="I758" s="2"/>
      <c r="J758" s="2"/>
      <c r="K758" s="2"/>
      <c r="L758" s="2"/>
      <c r="M758" s="2"/>
      <c r="N758" s="2"/>
      <c r="O758" s="1"/>
      <c r="P758" s="2"/>
      <c r="Q758" s="2"/>
      <c r="R758" s="2"/>
      <c r="S758" s="2"/>
      <c r="T758" s="2"/>
      <c r="U758" s="2"/>
      <c r="V758" s="2"/>
      <c r="W758" s="2"/>
      <c r="X758" s="2"/>
      <c r="Y758" s="2"/>
      <c r="Z758" s="2"/>
      <c r="AA758" s="2"/>
      <c r="AB758" s="2"/>
      <c r="AC758" s="2"/>
    </row>
    <row r="759" spans="1:29" ht="17.399999999999999" x14ac:dyDescent="0.25">
      <c r="A759" s="1"/>
      <c r="B759" s="2"/>
      <c r="C759" s="2"/>
      <c r="D759" s="2"/>
      <c r="E759" s="2"/>
      <c r="F759" s="2"/>
      <c r="G759" s="2"/>
      <c r="H759" s="2"/>
      <c r="I759" s="2"/>
      <c r="J759" s="2"/>
      <c r="K759" s="2"/>
      <c r="L759" s="2"/>
      <c r="M759" s="2"/>
      <c r="N759" s="2"/>
      <c r="O759" s="1"/>
      <c r="P759" s="2"/>
      <c r="Q759" s="2"/>
      <c r="R759" s="2"/>
      <c r="S759" s="2"/>
      <c r="T759" s="2"/>
      <c r="U759" s="2"/>
      <c r="V759" s="2"/>
      <c r="W759" s="2"/>
      <c r="X759" s="2"/>
      <c r="Y759" s="2"/>
      <c r="Z759" s="2"/>
      <c r="AA759" s="2"/>
      <c r="AB759" s="2"/>
      <c r="AC759" s="2"/>
    </row>
    <row r="760" spans="1:29" ht="17.399999999999999" x14ac:dyDescent="0.25">
      <c r="A760" s="1"/>
      <c r="B760" s="2"/>
      <c r="C760" s="2"/>
      <c r="D760" s="2"/>
      <c r="E760" s="2"/>
      <c r="F760" s="2"/>
      <c r="G760" s="2"/>
      <c r="H760" s="2"/>
      <c r="I760" s="2"/>
      <c r="J760" s="2"/>
      <c r="K760" s="2"/>
      <c r="L760" s="2"/>
      <c r="M760" s="2"/>
      <c r="N760" s="2"/>
      <c r="O760" s="1"/>
      <c r="P760" s="2"/>
      <c r="Q760" s="2"/>
      <c r="R760" s="2"/>
      <c r="S760" s="2"/>
      <c r="T760" s="2"/>
      <c r="U760" s="2"/>
      <c r="V760" s="2"/>
      <c r="W760" s="2"/>
      <c r="X760" s="2"/>
      <c r="Y760" s="2"/>
      <c r="Z760" s="2"/>
      <c r="AA760" s="2"/>
      <c r="AB760" s="2"/>
      <c r="AC760" s="2"/>
    </row>
    <row r="761" spans="1:29" ht="17.399999999999999" x14ac:dyDescent="0.25">
      <c r="A761" s="1"/>
      <c r="B761" s="2"/>
      <c r="C761" s="2"/>
      <c r="D761" s="2"/>
      <c r="E761" s="2"/>
      <c r="F761" s="2"/>
      <c r="G761" s="2"/>
      <c r="H761" s="2"/>
      <c r="I761" s="2"/>
      <c r="J761" s="2"/>
      <c r="K761" s="2"/>
      <c r="L761" s="2"/>
      <c r="M761" s="2"/>
      <c r="N761" s="2"/>
      <c r="O761" s="1"/>
      <c r="P761" s="2"/>
      <c r="Q761" s="2"/>
      <c r="R761" s="2"/>
      <c r="S761" s="2"/>
      <c r="T761" s="2"/>
      <c r="U761" s="2"/>
      <c r="V761" s="2"/>
      <c r="W761" s="2"/>
      <c r="X761" s="2"/>
      <c r="Y761" s="2"/>
      <c r="Z761" s="2"/>
      <c r="AA761" s="2"/>
      <c r="AB761" s="2"/>
      <c r="AC761" s="2"/>
    </row>
    <row r="762" spans="1:29" ht="17.399999999999999" x14ac:dyDescent="0.25">
      <c r="A762" s="1"/>
      <c r="B762" s="2"/>
      <c r="C762" s="2"/>
      <c r="D762" s="2"/>
      <c r="E762" s="2"/>
      <c r="F762" s="2"/>
      <c r="G762" s="2"/>
      <c r="H762" s="2"/>
      <c r="I762" s="2"/>
      <c r="J762" s="2"/>
      <c r="K762" s="2"/>
      <c r="L762" s="2"/>
      <c r="M762" s="2"/>
      <c r="N762" s="2"/>
      <c r="O762" s="1"/>
      <c r="P762" s="2"/>
      <c r="Q762" s="2"/>
      <c r="R762" s="2"/>
      <c r="S762" s="2"/>
      <c r="T762" s="2"/>
      <c r="U762" s="2"/>
      <c r="V762" s="2"/>
      <c r="W762" s="2"/>
      <c r="X762" s="2"/>
      <c r="Y762" s="2"/>
      <c r="Z762" s="2"/>
      <c r="AA762" s="2"/>
      <c r="AB762" s="2"/>
      <c r="AC762" s="2"/>
    </row>
    <row r="763" spans="1:29" ht="17.399999999999999" x14ac:dyDescent="0.25">
      <c r="A763" s="1"/>
      <c r="B763" s="2"/>
      <c r="C763" s="2"/>
      <c r="D763" s="2"/>
      <c r="E763" s="2"/>
      <c r="F763" s="2"/>
      <c r="G763" s="2"/>
      <c r="H763" s="2"/>
      <c r="I763" s="2"/>
      <c r="J763" s="2"/>
      <c r="K763" s="2"/>
      <c r="L763" s="2"/>
      <c r="M763" s="2"/>
      <c r="N763" s="2"/>
      <c r="O763" s="1"/>
      <c r="P763" s="2"/>
      <c r="Q763" s="2"/>
      <c r="R763" s="2"/>
      <c r="S763" s="2"/>
      <c r="T763" s="2"/>
      <c r="U763" s="2"/>
      <c r="V763" s="2"/>
      <c r="W763" s="2"/>
      <c r="X763" s="2"/>
      <c r="Y763" s="2"/>
      <c r="Z763" s="2"/>
      <c r="AA763" s="2"/>
      <c r="AB763" s="2"/>
      <c r="AC763" s="2"/>
    </row>
    <row r="764" spans="1:29" ht="17.399999999999999" x14ac:dyDescent="0.25">
      <c r="A764" s="1"/>
      <c r="B764" s="2"/>
      <c r="C764" s="2"/>
      <c r="D764" s="2"/>
      <c r="E764" s="2"/>
      <c r="F764" s="2"/>
      <c r="G764" s="2"/>
      <c r="H764" s="2"/>
      <c r="I764" s="2"/>
      <c r="J764" s="2"/>
      <c r="K764" s="2"/>
      <c r="L764" s="2"/>
      <c r="M764" s="2"/>
      <c r="N764" s="2"/>
      <c r="O764" s="1"/>
      <c r="P764" s="2"/>
      <c r="Q764" s="2"/>
      <c r="R764" s="2"/>
      <c r="S764" s="2"/>
      <c r="T764" s="2"/>
      <c r="U764" s="2"/>
      <c r="V764" s="2"/>
      <c r="W764" s="2"/>
      <c r="X764" s="2"/>
      <c r="Y764" s="2"/>
      <c r="Z764" s="2"/>
      <c r="AA764" s="2"/>
      <c r="AB764" s="2"/>
      <c r="AC764" s="2"/>
    </row>
    <row r="765" spans="1:29" ht="17.399999999999999" x14ac:dyDescent="0.25">
      <c r="A765" s="1"/>
      <c r="B765" s="2"/>
      <c r="C765" s="2"/>
      <c r="D765" s="2"/>
      <c r="E765" s="2"/>
      <c r="F765" s="2"/>
      <c r="G765" s="2"/>
      <c r="H765" s="2"/>
      <c r="I765" s="2"/>
      <c r="J765" s="2"/>
      <c r="K765" s="2"/>
      <c r="L765" s="2"/>
      <c r="M765" s="2"/>
      <c r="N765" s="2"/>
      <c r="O765" s="1"/>
      <c r="P765" s="2"/>
      <c r="Q765" s="2"/>
      <c r="R765" s="2"/>
      <c r="S765" s="2"/>
      <c r="T765" s="2"/>
      <c r="U765" s="2"/>
      <c r="V765" s="2"/>
      <c r="W765" s="2"/>
      <c r="X765" s="2"/>
      <c r="Y765" s="2"/>
      <c r="Z765" s="2"/>
      <c r="AA765" s="2"/>
      <c r="AB765" s="2"/>
      <c r="AC765" s="2"/>
    </row>
    <row r="766" spans="1:29" ht="17.399999999999999" x14ac:dyDescent="0.25">
      <c r="A766" s="1"/>
      <c r="B766" s="2"/>
      <c r="C766" s="2"/>
      <c r="D766" s="2"/>
      <c r="E766" s="2"/>
      <c r="F766" s="2"/>
      <c r="G766" s="2"/>
      <c r="H766" s="2"/>
      <c r="I766" s="2"/>
      <c r="J766" s="2"/>
      <c r="K766" s="2"/>
      <c r="L766" s="2"/>
      <c r="M766" s="2"/>
      <c r="N766" s="2"/>
      <c r="O766" s="1"/>
      <c r="P766" s="2"/>
      <c r="Q766" s="2"/>
      <c r="R766" s="2"/>
      <c r="S766" s="2"/>
      <c r="T766" s="2"/>
      <c r="U766" s="2"/>
      <c r="V766" s="2"/>
      <c r="W766" s="2"/>
      <c r="X766" s="2"/>
      <c r="Y766" s="2"/>
      <c r="Z766" s="2"/>
      <c r="AA766" s="2"/>
      <c r="AB766" s="2"/>
      <c r="AC766" s="2"/>
    </row>
    <row r="767" spans="1:29" ht="17.399999999999999" x14ac:dyDescent="0.25">
      <c r="A767" s="1"/>
      <c r="B767" s="2"/>
      <c r="C767" s="2"/>
      <c r="D767" s="2"/>
      <c r="E767" s="2"/>
      <c r="F767" s="2"/>
      <c r="G767" s="2"/>
      <c r="H767" s="2"/>
      <c r="I767" s="2"/>
      <c r="J767" s="2"/>
      <c r="K767" s="2"/>
      <c r="L767" s="2"/>
      <c r="M767" s="2"/>
      <c r="N767" s="2"/>
      <c r="O767" s="1"/>
      <c r="P767" s="2"/>
      <c r="Q767" s="2"/>
      <c r="R767" s="2"/>
      <c r="S767" s="2"/>
      <c r="T767" s="2"/>
      <c r="U767" s="2"/>
      <c r="V767" s="2"/>
      <c r="W767" s="2"/>
      <c r="X767" s="2"/>
      <c r="Y767" s="2"/>
      <c r="Z767" s="2"/>
      <c r="AA767" s="2"/>
      <c r="AB767" s="2"/>
      <c r="AC767" s="2"/>
    </row>
    <row r="768" spans="1:29" ht="17.399999999999999" x14ac:dyDescent="0.25">
      <c r="A768" s="1"/>
      <c r="B768" s="2"/>
      <c r="C768" s="2"/>
      <c r="D768" s="2"/>
      <c r="E768" s="2"/>
      <c r="F768" s="2"/>
      <c r="G768" s="2"/>
      <c r="H768" s="2"/>
      <c r="I768" s="2"/>
      <c r="J768" s="2"/>
      <c r="K768" s="2"/>
      <c r="L768" s="2"/>
      <c r="M768" s="2"/>
      <c r="N768" s="2"/>
      <c r="O768" s="1"/>
      <c r="P768" s="2"/>
      <c r="Q768" s="2"/>
      <c r="R768" s="2"/>
      <c r="S768" s="2"/>
      <c r="T768" s="2"/>
      <c r="U768" s="2"/>
      <c r="V768" s="2"/>
      <c r="W768" s="2"/>
      <c r="X768" s="2"/>
      <c r="Y768" s="2"/>
      <c r="Z768" s="2"/>
      <c r="AA768" s="2"/>
      <c r="AB768" s="2"/>
      <c r="AC768" s="2"/>
    </row>
    <row r="769" spans="1:29" ht="17.399999999999999" x14ac:dyDescent="0.25">
      <c r="A769" s="1"/>
      <c r="B769" s="2"/>
      <c r="C769" s="2"/>
      <c r="D769" s="2"/>
      <c r="E769" s="2"/>
      <c r="F769" s="2"/>
      <c r="G769" s="2"/>
      <c r="H769" s="2"/>
      <c r="I769" s="2"/>
      <c r="J769" s="2"/>
      <c r="K769" s="2"/>
      <c r="L769" s="2"/>
      <c r="M769" s="2"/>
      <c r="N769" s="2"/>
      <c r="O769" s="1"/>
      <c r="P769" s="2"/>
      <c r="Q769" s="2"/>
      <c r="R769" s="2"/>
      <c r="S769" s="2"/>
      <c r="T769" s="2"/>
      <c r="U769" s="2"/>
      <c r="V769" s="2"/>
      <c r="W769" s="2"/>
      <c r="X769" s="2"/>
      <c r="Y769" s="2"/>
      <c r="Z769" s="2"/>
      <c r="AA769" s="2"/>
      <c r="AB769" s="2"/>
      <c r="AC769" s="2"/>
    </row>
    <row r="770" spans="1:29" ht="17.399999999999999" x14ac:dyDescent="0.25">
      <c r="A770" s="1"/>
      <c r="B770" s="2"/>
      <c r="C770" s="2"/>
      <c r="D770" s="2"/>
      <c r="E770" s="2"/>
      <c r="F770" s="2"/>
      <c r="G770" s="2"/>
      <c r="H770" s="2"/>
      <c r="I770" s="2"/>
      <c r="J770" s="2"/>
      <c r="K770" s="2"/>
      <c r="L770" s="2"/>
      <c r="M770" s="2"/>
      <c r="N770" s="2"/>
      <c r="O770" s="1"/>
      <c r="P770" s="2"/>
      <c r="Q770" s="2"/>
      <c r="R770" s="2"/>
      <c r="S770" s="2"/>
      <c r="T770" s="2"/>
      <c r="U770" s="2"/>
      <c r="V770" s="2"/>
      <c r="W770" s="2"/>
      <c r="X770" s="2"/>
      <c r="Y770" s="2"/>
      <c r="Z770" s="2"/>
      <c r="AA770" s="2"/>
      <c r="AB770" s="2"/>
      <c r="AC770" s="2"/>
    </row>
    <row r="771" spans="1:29" ht="17.399999999999999" x14ac:dyDescent="0.25">
      <c r="A771" s="1"/>
      <c r="B771" s="2"/>
      <c r="C771" s="2"/>
      <c r="D771" s="2"/>
      <c r="E771" s="2"/>
      <c r="F771" s="2"/>
      <c r="G771" s="2"/>
      <c r="H771" s="2"/>
      <c r="I771" s="2"/>
      <c r="J771" s="2"/>
      <c r="K771" s="2"/>
      <c r="L771" s="2"/>
      <c r="M771" s="2"/>
      <c r="N771" s="2"/>
      <c r="O771" s="1"/>
      <c r="P771" s="2"/>
      <c r="Q771" s="2"/>
      <c r="R771" s="2"/>
      <c r="S771" s="2"/>
      <c r="T771" s="2"/>
      <c r="U771" s="2"/>
      <c r="V771" s="2"/>
      <c r="W771" s="2"/>
      <c r="X771" s="2"/>
      <c r="Y771" s="2"/>
      <c r="Z771" s="2"/>
      <c r="AA771" s="2"/>
      <c r="AB771" s="2"/>
      <c r="AC771" s="2"/>
    </row>
    <row r="772" spans="1:29" ht="17.399999999999999" x14ac:dyDescent="0.25">
      <c r="A772" s="1"/>
      <c r="B772" s="2"/>
      <c r="C772" s="2"/>
      <c r="D772" s="2"/>
      <c r="E772" s="2"/>
      <c r="F772" s="2"/>
      <c r="G772" s="2"/>
      <c r="H772" s="2"/>
      <c r="I772" s="2"/>
      <c r="J772" s="2"/>
      <c r="K772" s="2"/>
      <c r="L772" s="2"/>
      <c r="M772" s="2"/>
      <c r="N772" s="2"/>
      <c r="O772" s="1"/>
      <c r="P772" s="2"/>
      <c r="Q772" s="2"/>
      <c r="R772" s="2"/>
      <c r="S772" s="2"/>
      <c r="T772" s="2"/>
      <c r="U772" s="2"/>
      <c r="V772" s="2"/>
      <c r="W772" s="2"/>
      <c r="X772" s="2"/>
      <c r="Y772" s="2"/>
      <c r="Z772" s="2"/>
      <c r="AA772" s="2"/>
      <c r="AB772" s="2"/>
      <c r="AC772" s="2"/>
    </row>
    <row r="773" spans="1:29" ht="17.399999999999999" x14ac:dyDescent="0.25">
      <c r="A773" s="1"/>
      <c r="B773" s="2"/>
      <c r="C773" s="2"/>
      <c r="D773" s="2"/>
      <c r="E773" s="2"/>
      <c r="F773" s="2"/>
      <c r="G773" s="2"/>
      <c r="H773" s="2"/>
      <c r="I773" s="2"/>
      <c r="J773" s="2"/>
      <c r="K773" s="2"/>
      <c r="L773" s="2"/>
      <c r="M773" s="2"/>
      <c r="N773" s="2"/>
      <c r="O773" s="1"/>
      <c r="P773" s="2"/>
      <c r="Q773" s="2"/>
      <c r="R773" s="2"/>
      <c r="S773" s="2"/>
      <c r="T773" s="2"/>
      <c r="U773" s="2"/>
      <c r="V773" s="2"/>
      <c r="W773" s="2"/>
      <c r="X773" s="2"/>
      <c r="Y773" s="2"/>
      <c r="Z773" s="2"/>
      <c r="AA773" s="2"/>
      <c r="AB773" s="2"/>
      <c r="AC773" s="2"/>
    </row>
    <row r="774" spans="1:29" ht="17.399999999999999" x14ac:dyDescent="0.25">
      <c r="A774" s="1"/>
      <c r="B774" s="2"/>
      <c r="C774" s="2"/>
      <c r="D774" s="2"/>
      <c r="E774" s="2"/>
      <c r="F774" s="2"/>
      <c r="G774" s="2"/>
      <c r="H774" s="2"/>
      <c r="I774" s="2"/>
      <c r="J774" s="2"/>
      <c r="K774" s="2"/>
      <c r="L774" s="2"/>
      <c r="M774" s="2"/>
      <c r="N774" s="2"/>
      <c r="O774" s="1"/>
      <c r="P774" s="2"/>
      <c r="Q774" s="2"/>
      <c r="R774" s="2"/>
      <c r="S774" s="2"/>
      <c r="T774" s="2"/>
      <c r="U774" s="2"/>
      <c r="V774" s="2"/>
      <c r="W774" s="2"/>
      <c r="X774" s="2"/>
      <c r="Y774" s="2"/>
      <c r="Z774" s="2"/>
      <c r="AA774" s="2"/>
      <c r="AB774" s="2"/>
      <c r="AC774" s="2"/>
    </row>
    <row r="775" spans="1:29" ht="17.399999999999999" x14ac:dyDescent="0.25">
      <c r="A775" s="1"/>
      <c r="B775" s="2"/>
      <c r="C775" s="2"/>
      <c r="D775" s="2"/>
      <c r="E775" s="2"/>
      <c r="F775" s="2"/>
      <c r="G775" s="2"/>
      <c r="H775" s="2"/>
      <c r="I775" s="2"/>
      <c r="J775" s="2"/>
      <c r="K775" s="2"/>
      <c r="L775" s="2"/>
      <c r="M775" s="2"/>
      <c r="N775" s="2"/>
      <c r="O775" s="1"/>
      <c r="P775" s="2"/>
      <c r="Q775" s="2"/>
      <c r="R775" s="2"/>
      <c r="S775" s="2"/>
      <c r="T775" s="2"/>
      <c r="U775" s="2"/>
      <c r="V775" s="2"/>
      <c r="W775" s="2"/>
      <c r="X775" s="2"/>
      <c r="Y775" s="2"/>
      <c r="Z775" s="2"/>
      <c r="AA775" s="2"/>
      <c r="AB775" s="2"/>
      <c r="AC775" s="2"/>
    </row>
    <row r="776" spans="1:29" ht="17.399999999999999" x14ac:dyDescent="0.25">
      <c r="A776" s="1"/>
      <c r="B776" s="2"/>
      <c r="C776" s="2"/>
      <c r="D776" s="2"/>
      <c r="E776" s="2"/>
      <c r="F776" s="2"/>
      <c r="G776" s="2"/>
      <c r="H776" s="2"/>
      <c r="I776" s="2"/>
      <c r="J776" s="2"/>
      <c r="K776" s="2"/>
      <c r="L776" s="2"/>
      <c r="M776" s="2"/>
      <c r="N776" s="2"/>
      <c r="O776" s="1"/>
      <c r="P776" s="2"/>
      <c r="Q776" s="2"/>
      <c r="R776" s="2"/>
      <c r="S776" s="2"/>
      <c r="T776" s="2"/>
      <c r="U776" s="2"/>
      <c r="V776" s="2"/>
      <c r="W776" s="2"/>
      <c r="X776" s="2"/>
      <c r="Y776" s="2"/>
      <c r="Z776" s="2"/>
      <c r="AA776" s="2"/>
      <c r="AB776" s="2"/>
      <c r="AC776" s="2"/>
    </row>
    <row r="777" spans="1:29" ht="17.399999999999999" x14ac:dyDescent="0.25">
      <c r="A777" s="1"/>
      <c r="B777" s="2"/>
      <c r="C777" s="2"/>
      <c r="D777" s="2"/>
      <c r="E777" s="2"/>
      <c r="F777" s="2"/>
      <c r="G777" s="2"/>
      <c r="H777" s="2"/>
      <c r="I777" s="2"/>
      <c r="J777" s="2"/>
      <c r="K777" s="2"/>
      <c r="L777" s="2"/>
      <c r="M777" s="2"/>
      <c r="N777" s="2"/>
      <c r="O777" s="1"/>
      <c r="P777" s="2"/>
      <c r="Q777" s="2"/>
      <c r="R777" s="2"/>
      <c r="S777" s="2"/>
      <c r="T777" s="2"/>
      <c r="U777" s="2"/>
      <c r="V777" s="2"/>
      <c r="W777" s="2"/>
      <c r="X777" s="2"/>
      <c r="Y777" s="2"/>
      <c r="Z777" s="2"/>
      <c r="AA777" s="2"/>
      <c r="AB777" s="2"/>
      <c r="AC777" s="2"/>
    </row>
    <row r="778" spans="1:29" ht="17.399999999999999" x14ac:dyDescent="0.25">
      <c r="A778" s="1"/>
      <c r="B778" s="2"/>
      <c r="C778" s="2"/>
      <c r="D778" s="2"/>
      <c r="E778" s="2"/>
      <c r="F778" s="2"/>
      <c r="G778" s="2"/>
      <c r="H778" s="2"/>
      <c r="I778" s="2"/>
      <c r="J778" s="2"/>
      <c r="K778" s="2"/>
      <c r="L778" s="2"/>
      <c r="M778" s="2"/>
      <c r="N778" s="2"/>
      <c r="O778" s="1"/>
      <c r="P778" s="2"/>
      <c r="Q778" s="2"/>
      <c r="R778" s="2"/>
      <c r="S778" s="2"/>
      <c r="T778" s="2"/>
      <c r="U778" s="2"/>
      <c r="V778" s="2"/>
      <c r="W778" s="2"/>
      <c r="X778" s="2"/>
      <c r="Y778" s="2"/>
      <c r="Z778" s="2"/>
      <c r="AA778" s="2"/>
      <c r="AB778" s="2"/>
      <c r="AC778" s="2"/>
    </row>
    <row r="779" spans="1:29" ht="17.399999999999999" x14ac:dyDescent="0.25">
      <c r="A779" s="1"/>
      <c r="B779" s="2"/>
      <c r="C779" s="2"/>
      <c r="D779" s="2"/>
      <c r="E779" s="2"/>
      <c r="F779" s="2"/>
      <c r="G779" s="2"/>
      <c r="H779" s="2"/>
      <c r="I779" s="2"/>
      <c r="J779" s="2"/>
      <c r="K779" s="2"/>
      <c r="L779" s="2"/>
      <c r="M779" s="2"/>
      <c r="N779" s="2"/>
      <c r="O779" s="1"/>
      <c r="P779" s="2"/>
      <c r="Q779" s="2"/>
      <c r="R779" s="2"/>
      <c r="S779" s="2"/>
      <c r="T779" s="2"/>
      <c r="U779" s="2"/>
      <c r="V779" s="2"/>
      <c r="W779" s="2"/>
      <c r="X779" s="2"/>
      <c r="Y779" s="2"/>
      <c r="Z779" s="2"/>
      <c r="AA779" s="2"/>
      <c r="AB779" s="2"/>
      <c r="AC779" s="2"/>
    </row>
    <row r="780" spans="1:29" ht="17.399999999999999" x14ac:dyDescent="0.25">
      <c r="A780" s="1"/>
      <c r="B780" s="2"/>
      <c r="C780" s="2"/>
      <c r="D780" s="2"/>
      <c r="E780" s="2"/>
      <c r="F780" s="2"/>
      <c r="G780" s="2"/>
      <c r="H780" s="2"/>
      <c r="I780" s="2"/>
      <c r="J780" s="2"/>
      <c r="K780" s="2"/>
      <c r="L780" s="2"/>
      <c r="M780" s="2"/>
      <c r="N780" s="2"/>
      <c r="O780" s="1"/>
      <c r="P780" s="2"/>
      <c r="Q780" s="2"/>
      <c r="R780" s="2"/>
      <c r="S780" s="2"/>
      <c r="T780" s="2"/>
      <c r="U780" s="2"/>
      <c r="V780" s="2"/>
      <c r="W780" s="2"/>
      <c r="X780" s="2"/>
      <c r="Y780" s="2"/>
      <c r="Z780" s="2"/>
      <c r="AA780" s="2"/>
      <c r="AB780" s="2"/>
      <c r="AC780" s="2"/>
    </row>
    <row r="781" spans="1:29" ht="17.399999999999999" x14ac:dyDescent="0.25">
      <c r="A781" s="1"/>
      <c r="B781" s="2"/>
      <c r="C781" s="2"/>
      <c r="D781" s="2"/>
      <c r="E781" s="2"/>
      <c r="F781" s="2"/>
      <c r="G781" s="2"/>
      <c r="H781" s="2"/>
      <c r="I781" s="2"/>
      <c r="J781" s="2"/>
      <c r="K781" s="2"/>
      <c r="L781" s="2"/>
      <c r="M781" s="2"/>
      <c r="N781" s="2"/>
      <c r="O781" s="1"/>
      <c r="P781" s="2"/>
      <c r="Q781" s="2"/>
      <c r="R781" s="2"/>
      <c r="S781" s="2"/>
      <c r="T781" s="2"/>
      <c r="U781" s="2"/>
      <c r="V781" s="2"/>
      <c r="W781" s="2"/>
      <c r="X781" s="2"/>
      <c r="Y781" s="2"/>
      <c r="Z781" s="2"/>
      <c r="AA781" s="2"/>
      <c r="AB781" s="2"/>
      <c r="AC781" s="2"/>
    </row>
    <row r="782" spans="1:29" ht="17.399999999999999" x14ac:dyDescent="0.25">
      <c r="A782" s="1"/>
      <c r="B782" s="2"/>
      <c r="C782" s="2"/>
      <c r="D782" s="2"/>
      <c r="E782" s="2"/>
      <c r="F782" s="2"/>
      <c r="G782" s="2"/>
      <c r="H782" s="2"/>
      <c r="I782" s="2"/>
      <c r="J782" s="2"/>
      <c r="K782" s="2"/>
      <c r="L782" s="2"/>
      <c r="M782" s="2"/>
      <c r="N782" s="2"/>
      <c r="O782" s="1"/>
      <c r="P782" s="2"/>
      <c r="Q782" s="2"/>
      <c r="R782" s="2"/>
      <c r="S782" s="2"/>
      <c r="T782" s="2"/>
      <c r="U782" s="2"/>
      <c r="V782" s="2"/>
      <c r="W782" s="2"/>
      <c r="X782" s="2"/>
      <c r="Y782" s="2"/>
      <c r="Z782" s="2"/>
      <c r="AA782" s="2"/>
      <c r="AB782" s="2"/>
      <c r="AC782" s="2"/>
    </row>
    <row r="783" spans="1:29" ht="17.399999999999999" x14ac:dyDescent="0.25">
      <c r="A783" s="1"/>
      <c r="B783" s="2"/>
      <c r="C783" s="2"/>
      <c r="D783" s="2"/>
      <c r="E783" s="2"/>
      <c r="F783" s="2"/>
      <c r="G783" s="2"/>
      <c r="H783" s="2"/>
      <c r="I783" s="2"/>
      <c r="J783" s="2"/>
      <c r="K783" s="2"/>
      <c r="L783" s="2"/>
      <c r="M783" s="2"/>
      <c r="N783" s="2"/>
      <c r="O783" s="1"/>
      <c r="P783" s="2"/>
      <c r="Q783" s="2"/>
      <c r="R783" s="2"/>
      <c r="S783" s="2"/>
      <c r="T783" s="2"/>
      <c r="U783" s="2"/>
      <c r="V783" s="2"/>
      <c r="W783" s="2"/>
      <c r="X783" s="2"/>
      <c r="Y783" s="2"/>
      <c r="Z783" s="2"/>
      <c r="AA783" s="2"/>
      <c r="AB783" s="2"/>
      <c r="AC783" s="2"/>
    </row>
    <row r="784" spans="1:29" ht="17.399999999999999" x14ac:dyDescent="0.25">
      <c r="A784" s="1"/>
      <c r="B784" s="2"/>
      <c r="C784" s="2"/>
      <c r="D784" s="2"/>
      <c r="E784" s="2"/>
      <c r="F784" s="2"/>
      <c r="G784" s="2"/>
      <c r="H784" s="2"/>
      <c r="I784" s="2"/>
      <c r="J784" s="2"/>
      <c r="K784" s="2"/>
      <c r="L784" s="2"/>
      <c r="M784" s="2"/>
      <c r="N784" s="2"/>
      <c r="O784" s="1"/>
      <c r="P784" s="2"/>
      <c r="Q784" s="2"/>
      <c r="R784" s="2"/>
      <c r="S784" s="2"/>
      <c r="T784" s="2"/>
      <c r="U784" s="2"/>
      <c r="V784" s="2"/>
      <c r="W784" s="2"/>
      <c r="X784" s="2"/>
      <c r="Y784" s="2"/>
      <c r="Z784" s="2"/>
      <c r="AA784" s="2"/>
      <c r="AB784" s="2"/>
      <c r="AC784" s="2"/>
    </row>
    <row r="785" spans="1:29" ht="17.399999999999999" x14ac:dyDescent="0.25">
      <c r="A785" s="1"/>
      <c r="B785" s="2"/>
      <c r="C785" s="2"/>
      <c r="D785" s="2"/>
      <c r="E785" s="2"/>
      <c r="F785" s="2"/>
      <c r="G785" s="2"/>
      <c r="H785" s="2"/>
      <c r="I785" s="2"/>
      <c r="J785" s="2"/>
      <c r="K785" s="2"/>
      <c r="L785" s="2"/>
      <c r="M785" s="2"/>
      <c r="N785" s="2"/>
      <c r="O785" s="1"/>
      <c r="P785" s="2"/>
      <c r="Q785" s="2"/>
      <c r="R785" s="2"/>
      <c r="S785" s="2"/>
      <c r="T785" s="2"/>
      <c r="U785" s="2"/>
      <c r="V785" s="2"/>
      <c r="W785" s="2"/>
      <c r="X785" s="2"/>
      <c r="Y785" s="2"/>
      <c r="Z785" s="2"/>
      <c r="AA785" s="2"/>
      <c r="AB785" s="2"/>
      <c r="AC785" s="2"/>
    </row>
    <row r="786" spans="1:29" ht="17.399999999999999" x14ac:dyDescent="0.25">
      <c r="A786" s="1"/>
      <c r="B786" s="2"/>
      <c r="C786" s="2"/>
      <c r="D786" s="2"/>
      <c r="E786" s="2"/>
      <c r="F786" s="2"/>
      <c r="G786" s="2"/>
      <c r="H786" s="2"/>
      <c r="I786" s="2"/>
      <c r="J786" s="2"/>
      <c r="K786" s="2"/>
      <c r="L786" s="2"/>
      <c r="M786" s="2"/>
      <c r="N786" s="2"/>
      <c r="O786" s="1"/>
      <c r="P786" s="2"/>
      <c r="Q786" s="2"/>
      <c r="R786" s="2"/>
      <c r="S786" s="2"/>
      <c r="T786" s="2"/>
      <c r="U786" s="2"/>
      <c r="V786" s="2"/>
      <c r="W786" s="2"/>
      <c r="X786" s="2"/>
      <c r="Y786" s="2"/>
      <c r="Z786" s="2"/>
      <c r="AA786" s="2"/>
      <c r="AB786" s="2"/>
      <c r="AC786" s="2"/>
    </row>
    <row r="787" spans="1:29" ht="17.399999999999999" x14ac:dyDescent="0.25">
      <c r="A787" s="1"/>
      <c r="B787" s="2"/>
      <c r="C787" s="2"/>
      <c r="D787" s="2"/>
      <c r="E787" s="2"/>
      <c r="F787" s="2"/>
      <c r="G787" s="2"/>
      <c r="H787" s="2"/>
      <c r="I787" s="2"/>
      <c r="J787" s="2"/>
      <c r="K787" s="2"/>
      <c r="L787" s="2"/>
      <c r="M787" s="2"/>
      <c r="N787" s="2"/>
      <c r="O787" s="1"/>
      <c r="P787" s="2"/>
      <c r="Q787" s="2"/>
      <c r="R787" s="2"/>
      <c r="S787" s="2"/>
      <c r="T787" s="2"/>
      <c r="U787" s="2"/>
      <c r="V787" s="2"/>
      <c r="W787" s="2"/>
      <c r="X787" s="2"/>
      <c r="Y787" s="2"/>
      <c r="Z787" s="2"/>
      <c r="AA787" s="2"/>
      <c r="AB787" s="2"/>
      <c r="AC787" s="2"/>
    </row>
    <row r="788" spans="1:29" ht="17.399999999999999" x14ac:dyDescent="0.25">
      <c r="A788" s="1"/>
      <c r="B788" s="2"/>
      <c r="C788" s="2"/>
      <c r="D788" s="2"/>
      <c r="E788" s="2"/>
      <c r="F788" s="2"/>
      <c r="G788" s="2"/>
      <c r="H788" s="2"/>
      <c r="I788" s="2"/>
      <c r="J788" s="2"/>
      <c r="K788" s="2"/>
      <c r="L788" s="2"/>
      <c r="M788" s="2"/>
      <c r="N788" s="2"/>
      <c r="O788" s="1"/>
      <c r="P788" s="2"/>
      <c r="Q788" s="2"/>
      <c r="R788" s="2"/>
      <c r="S788" s="2"/>
      <c r="T788" s="2"/>
      <c r="U788" s="2"/>
      <c r="V788" s="2"/>
      <c r="W788" s="2"/>
      <c r="X788" s="2"/>
      <c r="Y788" s="2"/>
      <c r="Z788" s="2"/>
      <c r="AA788" s="2"/>
      <c r="AB788" s="2"/>
      <c r="AC788" s="2"/>
    </row>
    <row r="789" spans="1:29" ht="17.399999999999999" x14ac:dyDescent="0.25">
      <c r="A789" s="1"/>
      <c r="B789" s="2"/>
      <c r="C789" s="2"/>
      <c r="D789" s="2"/>
      <c r="E789" s="2"/>
      <c r="F789" s="2"/>
      <c r="G789" s="2"/>
      <c r="H789" s="2"/>
      <c r="I789" s="2"/>
      <c r="J789" s="2"/>
      <c r="K789" s="2"/>
      <c r="L789" s="2"/>
      <c r="M789" s="2"/>
      <c r="N789" s="2"/>
      <c r="O789" s="1"/>
      <c r="P789" s="2"/>
      <c r="Q789" s="2"/>
      <c r="R789" s="2"/>
      <c r="S789" s="2"/>
      <c r="T789" s="2"/>
      <c r="U789" s="2"/>
      <c r="V789" s="2"/>
      <c r="W789" s="2"/>
      <c r="X789" s="2"/>
      <c r="Y789" s="2"/>
      <c r="Z789" s="2"/>
      <c r="AA789" s="2"/>
      <c r="AB789" s="2"/>
      <c r="AC789" s="2"/>
    </row>
    <row r="790" spans="1:29" ht="17.399999999999999" x14ac:dyDescent="0.25">
      <c r="A790" s="1"/>
      <c r="B790" s="2"/>
      <c r="C790" s="2"/>
      <c r="D790" s="2"/>
      <c r="E790" s="2"/>
      <c r="F790" s="2"/>
      <c r="G790" s="2"/>
      <c r="H790" s="2"/>
      <c r="I790" s="2"/>
      <c r="J790" s="2"/>
      <c r="K790" s="2"/>
      <c r="L790" s="2"/>
      <c r="M790" s="2"/>
      <c r="N790" s="2"/>
      <c r="O790" s="1"/>
      <c r="P790" s="2"/>
      <c r="Q790" s="2"/>
      <c r="R790" s="2"/>
      <c r="S790" s="2"/>
      <c r="T790" s="2"/>
      <c r="U790" s="2"/>
      <c r="V790" s="2"/>
      <c r="W790" s="2"/>
      <c r="X790" s="2"/>
      <c r="Y790" s="2"/>
      <c r="Z790" s="2"/>
      <c r="AA790" s="2"/>
      <c r="AB790" s="2"/>
      <c r="AC790" s="2"/>
    </row>
    <row r="791" spans="1:29" ht="17.399999999999999" x14ac:dyDescent="0.25">
      <c r="A791" s="1"/>
      <c r="B791" s="2"/>
      <c r="C791" s="2"/>
      <c r="D791" s="2"/>
      <c r="E791" s="2"/>
      <c r="F791" s="2"/>
      <c r="G791" s="2"/>
      <c r="H791" s="2"/>
      <c r="I791" s="2"/>
      <c r="J791" s="2"/>
      <c r="K791" s="2"/>
      <c r="L791" s="2"/>
      <c r="M791" s="2"/>
      <c r="N791" s="2"/>
      <c r="O791" s="1"/>
      <c r="P791" s="2"/>
      <c r="Q791" s="2"/>
      <c r="R791" s="2"/>
      <c r="S791" s="2"/>
      <c r="T791" s="2"/>
      <c r="U791" s="2"/>
      <c r="V791" s="2"/>
      <c r="W791" s="2"/>
      <c r="X791" s="2"/>
      <c r="Y791" s="2"/>
      <c r="Z791" s="2"/>
      <c r="AA791" s="2"/>
      <c r="AB791" s="2"/>
      <c r="AC791" s="2"/>
    </row>
    <row r="792" spans="1:29" ht="17.399999999999999" x14ac:dyDescent="0.25">
      <c r="A792" s="1"/>
      <c r="B792" s="2"/>
      <c r="C792" s="2"/>
      <c r="D792" s="2"/>
      <c r="E792" s="2"/>
      <c r="F792" s="2"/>
      <c r="G792" s="2"/>
      <c r="H792" s="2"/>
      <c r="I792" s="2"/>
      <c r="J792" s="2"/>
      <c r="K792" s="2"/>
      <c r="L792" s="2"/>
      <c r="M792" s="2"/>
      <c r="N792" s="2"/>
      <c r="O792" s="1"/>
      <c r="P792" s="2"/>
      <c r="Q792" s="2"/>
      <c r="R792" s="2"/>
      <c r="S792" s="2"/>
      <c r="T792" s="2"/>
      <c r="U792" s="2"/>
      <c r="V792" s="2"/>
      <c r="W792" s="2"/>
      <c r="X792" s="2"/>
      <c r="Y792" s="2"/>
      <c r="Z792" s="2"/>
      <c r="AA792" s="2"/>
      <c r="AB792" s="2"/>
      <c r="AC792" s="2"/>
    </row>
    <row r="793" spans="1:29" ht="17.399999999999999" x14ac:dyDescent="0.25">
      <c r="A793" s="1"/>
      <c r="B793" s="2"/>
      <c r="C793" s="2"/>
      <c r="D793" s="2"/>
      <c r="E793" s="2"/>
      <c r="F793" s="2"/>
      <c r="G793" s="2"/>
      <c r="H793" s="2"/>
      <c r="I793" s="2"/>
      <c r="J793" s="2"/>
      <c r="K793" s="2"/>
      <c r="L793" s="2"/>
      <c r="M793" s="2"/>
      <c r="N793" s="2"/>
      <c r="O793" s="1"/>
      <c r="P793" s="2"/>
      <c r="Q793" s="2"/>
      <c r="R793" s="2"/>
      <c r="S793" s="2"/>
      <c r="T793" s="2"/>
      <c r="U793" s="2"/>
      <c r="V793" s="2"/>
      <c r="W793" s="2"/>
      <c r="X793" s="2"/>
      <c r="Y793" s="2"/>
      <c r="Z793" s="2"/>
      <c r="AA793" s="2"/>
      <c r="AB793" s="2"/>
      <c r="AC793" s="2"/>
    </row>
    <row r="794" spans="1:29" ht="17.399999999999999" x14ac:dyDescent="0.25">
      <c r="A794" s="1"/>
      <c r="B794" s="2"/>
      <c r="C794" s="2"/>
      <c r="D794" s="2"/>
      <c r="E794" s="2"/>
      <c r="F794" s="2"/>
      <c r="G794" s="2"/>
      <c r="H794" s="2"/>
      <c r="I794" s="2"/>
      <c r="J794" s="2"/>
      <c r="K794" s="2"/>
      <c r="L794" s="2"/>
      <c r="M794" s="2"/>
      <c r="N794" s="2"/>
      <c r="O794" s="1"/>
      <c r="P794" s="2"/>
      <c r="Q794" s="2"/>
      <c r="R794" s="2"/>
      <c r="S794" s="2"/>
      <c r="T794" s="2"/>
      <c r="U794" s="2"/>
      <c r="V794" s="2"/>
      <c r="W794" s="2"/>
      <c r="X794" s="2"/>
      <c r="Y794" s="2"/>
      <c r="Z794" s="2"/>
      <c r="AA794" s="2"/>
      <c r="AB794" s="2"/>
      <c r="AC794" s="2"/>
    </row>
    <row r="795" spans="1:29" ht="17.399999999999999" x14ac:dyDescent="0.25">
      <c r="A795" s="1"/>
      <c r="B795" s="2"/>
      <c r="C795" s="2"/>
      <c r="D795" s="2"/>
      <c r="E795" s="2"/>
      <c r="F795" s="2"/>
      <c r="G795" s="2"/>
      <c r="H795" s="2"/>
      <c r="I795" s="2"/>
      <c r="J795" s="2"/>
      <c r="K795" s="2"/>
      <c r="L795" s="2"/>
      <c r="M795" s="2"/>
      <c r="N795" s="2"/>
      <c r="O795" s="1"/>
      <c r="P795" s="2"/>
      <c r="Q795" s="2"/>
      <c r="R795" s="2"/>
      <c r="S795" s="2"/>
      <c r="T795" s="2"/>
      <c r="U795" s="2"/>
      <c r="V795" s="2"/>
      <c r="W795" s="2"/>
      <c r="X795" s="2"/>
      <c r="Y795" s="2"/>
      <c r="Z795" s="2"/>
      <c r="AA795" s="2"/>
      <c r="AB795" s="2"/>
      <c r="AC795" s="2"/>
    </row>
    <row r="796" spans="1:29" ht="17.399999999999999" x14ac:dyDescent="0.25">
      <c r="A796" s="1"/>
      <c r="B796" s="2"/>
      <c r="C796" s="2"/>
      <c r="D796" s="2"/>
      <c r="E796" s="2"/>
      <c r="F796" s="2"/>
      <c r="G796" s="2"/>
      <c r="H796" s="2"/>
      <c r="I796" s="2"/>
      <c r="J796" s="2"/>
      <c r="K796" s="2"/>
      <c r="L796" s="2"/>
      <c r="M796" s="2"/>
      <c r="N796" s="2"/>
      <c r="O796" s="1"/>
      <c r="P796" s="2"/>
      <c r="Q796" s="2"/>
      <c r="R796" s="2"/>
      <c r="S796" s="2"/>
      <c r="T796" s="2"/>
      <c r="U796" s="2"/>
      <c r="V796" s="2"/>
      <c r="W796" s="2"/>
      <c r="X796" s="2"/>
      <c r="Y796" s="2"/>
      <c r="Z796" s="2"/>
      <c r="AA796" s="2"/>
      <c r="AB796" s="2"/>
      <c r="AC796" s="2"/>
    </row>
    <row r="797" spans="1:29" ht="17.399999999999999" x14ac:dyDescent="0.25">
      <c r="A797" s="1"/>
      <c r="B797" s="2"/>
      <c r="C797" s="2"/>
      <c r="D797" s="2"/>
      <c r="E797" s="2"/>
      <c r="F797" s="2"/>
      <c r="G797" s="2"/>
      <c r="H797" s="2"/>
      <c r="I797" s="2"/>
      <c r="J797" s="2"/>
      <c r="K797" s="2"/>
      <c r="L797" s="2"/>
      <c r="M797" s="2"/>
      <c r="N797" s="2"/>
      <c r="O797" s="1"/>
      <c r="P797" s="2"/>
      <c r="Q797" s="2"/>
      <c r="R797" s="2"/>
      <c r="S797" s="2"/>
      <c r="T797" s="2"/>
      <c r="U797" s="2"/>
      <c r="V797" s="2"/>
      <c r="W797" s="2"/>
      <c r="X797" s="2"/>
      <c r="Y797" s="2"/>
      <c r="Z797" s="2"/>
      <c r="AA797" s="2"/>
      <c r="AB797" s="2"/>
      <c r="AC797" s="2"/>
    </row>
    <row r="798" spans="1:29" ht="17.399999999999999" x14ac:dyDescent="0.25">
      <c r="A798" s="1"/>
      <c r="B798" s="2"/>
      <c r="C798" s="2"/>
      <c r="D798" s="2"/>
      <c r="E798" s="2"/>
      <c r="F798" s="2"/>
      <c r="G798" s="2"/>
      <c r="H798" s="2"/>
      <c r="I798" s="2"/>
      <c r="J798" s="2"/>
      <c r="K798" s="2"/>
      <c r="L798" s="2"/>
      <c r="M798" s="2"/>
      <c r="N798" s="2"/>
      <c r="O798" s="1"/>
      <c r="P798" s="2"/>
      <c r="Q798" s="2"/>
      <c r="R798" s="2"/>
      <c r="S798" s="2"/>
      <c r="T798" s="2"/>
      <c r="U798" s="2"/>
      <c r="V798" s="2"/>
      <c r="W798" s="2"/>
      <c r="X798" s="2"/>
      <c r="Y798" s="2"/>
      <c r="Z798" s="2"/>
      <c r="AA798" s="2"/>
      <c r="AB798" s="2"/>
      <c r="AC798" s="2"/>
    </row>
    <row r="799" spans="1:29" ht="17.399999999999999" x14ac:dyDescent="0.25">
      <c r="A799" s="1"/>
      <c r="B799" s="2"/>
      <c r="C799" s="2"/>
      <c r="D799" s="2"/>
      <c r="E799" s="2"/>
      <c r="F799" s="2"/>
      <c r="G799" s="2"/>
      <c r="H799" s="2"/>
      <c r="I799" s="2"/>
      <c r="J799" s="2"/>
      <c r="K799" s="2"/>
      <c r="L799" s="2"/>
      <c r="M799" s="2"/>
      <c r="N799" s="2"/>
      <c r="O799" s="1"/>
      <c r="P799" s="2"/>
      <c r="Q799" s="2"/>
      <c r="R799" s="2"/>
      <c r="S799" s="2"/>
      <c r="T799" s="2"/>
      <c r="U799" s="2"/>
      <c r="V799" s="2"/>
      <c r="W799" s="2"/>
      <c r="X799" s="2"/>
      <c r="Y799" s="2"/>
      <c r="Z799" s="2"/>
      <c r="AA799" s="2"/>
      <c r="AB799" s="2"/>
      <c r="AC799" s="2"/>
    </row>
    <row r="800" spans="1:29" ht="17.399999999999999" x14ac:dyDescent="0.25">
      <c r="A800" s="1"/>
      <c r="B800" s="2"/>
      <c r="C800" s="2"/>
      <c r="D800" s="2"/>
      <c r="E800" s="2"/>
      <c r="F800" s="2"/>
      <c r="G800" s="2"/>
      <c r="H800" s="2"/>
      <c r="I800" s="2"/>
      <c r="J800" s="2"/>
      <c r="K800" s="2"/>
      <c r="L800" s="2"/>
      <c r="M800" s="2"/>
      <c r="N800" s="2"/>
      <c r="O800" s="1"/>
      <c r="P800" s="2"/>
      <c r="Q800" s="2"/>
      <c r="R800" s="2"/>
      <c r="S800" s="2"/>
      <c r="T800" s="2"/>
      <c r="U800" s="2"/>
      <c r="V800" s="2"/>
      <c r="W800" s="2"/>
      <c r="X800" s="2"/>
      <c r="Y800" s="2"/>
      <c r="Z800" s="2"/>
      <c r="AA800" s="2"/>
      <c r="AB800" s="2"/>
      <c r="AC800" s="2"/>
    </row>
    <row r="801" spans="1:29" ht="17.399999999999999" x14ac:dyDescent="0.25">
      <c r="A801" s="1"/>
      <c r="B801" s="2"/>
      <c r="C801" s="2"/>
      <c r="D801" s="2"/>
      <c r="E801" s="2"/>
      <c r="F801" s="2"/>
      <c r="G801" s="2"/>
      <c r="H801" s="2"/>
      <c r="I801" s="2"/>
      <c r="J801" s="2"/>
      <c r="K801" s="2"/>
      <c r="L801" s="2"/>
      <c r="M801" s="2"/>
      <c r="N801" s="2"/>
      <c r="O801" s="1"/>
      <c r="P801" s="2"/>
      <c r="Q801" s="2"/>
      <c r="R801" s="2"/>
      <c r="S801" s="2"/>
      <c r="T801" s="2"/>
      <c r="U801" s="2"/>
      <c r="V801" s="2"/>
      <c r="W801" s="2"/>
      <c r="X801" s="2"/>
      <c r="Y801" s="2"/>
      <c r="Z801" s="2"/>
      <c r="AA801" s="2"/>
      <c r="AB801" s="2"/>
      <c r="AC801" s="2"/>
    </row>
    <row r="802" spans="1:29" ht="17.399999999999999" x14ac:dyDescent="0.25">
      <c r="A802" s="1"/>
      <c r="B802" s="2"/>
      <c r="C802" s="2"/>
      <c r="D802" s="2"/>
      <c r="E802" s="2"/>
      <c r="F802" s="2"/>
      <c r="G802" s="2"/>
      <c r="H802" s="2"/>
      <c r="I802" s="2"/>
      <c r="J802" s="2"/>
      <c r="K802" s="2"/>
      <c r="L802" s="2"/>
      <c r="M802" s="2"/>
      <c r="N802" s="2"/>
      <c r="O802" s="1"/>
      <c r="P802" s="2"/>
      <c r="Q802" s="2"/>
      <c r="R802" s="2"/>
      <c r="S802" s="2"/>
      <c r="T802" s="2"/>
      <c r="U802" s="2"/>
      <c r="V802" s="2"/>
      <c r="W802" s="2"/>
      <c r="X802" s="2"/>
      <c r="Y802" s="2"/>
      <c r="Z802" s="2"/>
      <c r="AA802" s="2"/>
      <c r="AB802" s="2"/>
      <c r="AC802" s="2"/>
    </row>
    <row r="803" spans="1:29" ht="17.399999999999999" x14ac:dyDescent="0.25">
      <c r="A803" s="1"/>
      <c r="B803" s="2"/>
      <c r="C803" s="2"/>
      <c r="D803" s="2"/>
      <c r="E803" s="2"/>
      <c r="F803" s="2"/>
      <c r="G803" s="2"/>
      <c r="H803" s="2"/>
      <c r="I803" s="2"/>
      <c r="J803" s="2"/>
      <c r="K803" s="2"/>
      <c r="L803" s="2"/>
      <c r="M803" s="2"/>
      <c r="N803" s="2"/>
      <c r="O803" s="1"/>
      <c r="P803" s="2"/>
      <c r="Q803" s="2"/>
      <c r="R803" s="2"/>
      <c r="S803" s="2"/>
      <c r="T803" s="2"/>
      <c r="U803" s="2"/>
      <c r="V803" s="2"/>
      <c r="W803" s="2"/>
      <c r="X803" s="2"/>
      <c r="Y803" s="2"/>
      <c r="Z803" s="2"/>
      <c r="AA803" s="2"/>
      <c r="AB803" s="2"/>
      <c r="AC803" s="2"/>
    </row>
    <row r="804" spans="1:29" ht="17.399999999999999" x14ac:dyDescent="0.25">
      <c r="A804" s="1"/>
      <c r="B804" s="2"/>
      <c r="C804" s="2"/>
      <c r="D804" s="2"/>
      <c r="E804" s="2"/>
      <c r="F804" s="2"/>
      <c r="G804" s="2"/>
      <c r="H804" s="2"/>
      <c r="I804" s="2"/>
      <c r="J804" s="2"/>
      <c r="K804" s="2"/>
      <c r="L804" s="2"/>
      <c r="M804" s="2"/>
      <c r="N804" s="2"/>
      <c r="O804" s="1"/>
      <c r="P804" s="2"/>
      <c r="Q804" s="2"/>
      <c r="R804" s="2"/>
      <c r="S804" s="2"/>
      <c r="T804" s="2"/>
      <c r="U804" s="2"/>
      <c r="V804" s="2"/>
      <c r="W804" s="2"/>
      <c r="X804" s="2"/>
      <c r="Y804" s="2"/>
      <c r="Z804" s="2"/>
      <c r="AA804" s="2"/>
      <c r="AB804" s="2"/>
      <c r="AC804" s="2"/>
    </row>
    <row r="805" spans="1:29" ht="17.399999999999999" x14ac:dyDescent="0.25">
      <c r="A805" s="1"/>
      <c r="B805" s="2"/>
      <c r="C805" s="2"/>
      <c r="D805" s="2"/>
      <c r="E805" s="2"/>
      <c r="F805" s="2"/>
      <c r="G805" s="2"/>
      <c r="H805" s="2"/>
      <c r="I805" s="2"/>
      <c r="J805" s="2"/>
      <c r="K805" s="2"/>
      <c r="L805" s="2"/>
      <c r="M805" s="2"/>
      <c r="N805" s="2"/>
      <c r="O805" s="1"/>
      <c r="P805" s="2"/>
      <c r="Q805" s="2"/>
      <c r="R805" s="2"/>
      <c r="S805" s="2"/>
      <c r="T805" s="2"/>
      <c r="U805" s="2"/>
      <c r="V805" s="2"/>
      <c r="W805" s="2"/>
      <c r="X805" s="2"/>
      <c r="Y805" s="2"/>
      <c r="Z805" s="2"/>
      <c r="AA805" s="2"/>
      <c r="AB805" s="2"/>
      <c r="AC805" s="2"/>
    </row>
    <row r="806" spans="1:29" ht="17.399999999999999" x14ac:dyDescent="0.25">
      <c r="A806" s="1"/>
      <c r="B806" s="2"/>
      <c r="C806" s="2"/>
      <c r="D806" s="2"/>
      <c r="E806" s="2"/>
      <c r="F806" s="2"/>
      <c r="G806" s="2"/>
      <c r="H806" s="2"/>
      <c r="I806" s="2"/>
      <c r="J806" s="2"/>
      <c r="K806" s="2"/>
      <c r="L806" s="2"/>
      <c r="M806" s="2"/>
      <c r="N806" s="2"/>
      <c r="O806" s="1"/>
      <c r="P806" s="2"/>
      <c r="Q806" s="2"/>
      <c r="R806" s="2"/>
      <c r="S806" s="2"/>
      <c r="T806" s="2"/>
      <c r="U806" s="2"/>
      <c r="V806" s="2"/>
      <c r="W806" s="2"/>
      <c r="X806" s="2"/>
      <c r="Y806" s="2"/>
      <c r="Z806" s="2"/>
      <c r="AA806" s="2"/>
      <c r="AB806" s="2"/>
      <c r="AC806" s="2"/>
    </row>
    <row r="807" spans="1:29" ht="17.399999999999999" x14ac:dyDescent="0.25">
      <c r="A807" s="1"/>
      <c r="B807" s="2"/>
      <c r="C807" s="2"/>
      <c r="D807" s="2"/>
      <c r="E807" s="2"/>
      <c r="F807" s="2"/>
      <c r="G807" s="2"/>
      <c r="H807" s="2"/>
      <c r="I807" s="2"/>
      <c r="J807" s="2"/>
      <c r="K807" s="2"/>
      <c r="L807" s="2"/>
      <c r="M807" s="2"/>
      <c r="N807" s="2"/>
      <c r="O807" s="1"/>
      <c r="P807" s="2"/>
      <c r="Q807" s="2"/>
      <c r="R807" s="2"/>
      <c r="S807" s="2"/>
      <c r="T807" s="2"/>
      <c r="U807" s="2"/>
      <c r="V807" s="2"/>
      <c r="W807" s="2"/>
      <c r="X807" s="2"/>
      <c r="Y807" s="2"/>
      <c r="Z807" s="2"/>
      <c r="AA807" s="2"/>
      <c r="AB807" s="2"/>
      <c r="AC807" s="2"/>
    </row>
    <row r="808" spans="1:29" ht="17.399999999999999" x14ac:dyDescent="0.25">
      <c r="A808" s="1"/>
      <c r="B808" s="2"/>
      <c r="C808" s="2"/>
      <c r="D808" s="2"/>
      <c r="E808" s="2"/>
      <c r="F808" s="2"/>
      <c r="G808" s="2"/>
      <c r="H808" s="2"/>
      <c r="I808" s="2"/>
      <c r="J808" s="2"/>
      <c r="K808" s="2"/>
      <c r="L808" s="2"/>
      <c r="M808" s="2"/>
      <c r="N808" s="2"/>
      <c r="O808" s="1"/>
      <c r="P808" s="2"/>
      <c r="Q808" s="2"/>
      <c r="R808" s="2"/>
      <c r="S808" s="2"/>
      <c r="T808" s="2"/>
      <c r="U808" s="2"/>
      <c r="V808" s="2"/>
      <c r="W808" s="2"/>
      <c r="X808" s="2"/>
      <c r="Y808" s="2"/>
      <c r="Z808" s="2"/>
      <c r="AA808" s="2"/>
      <c r="AB808" s="2"/>
      <c r="AC808" s="2"/>
    </row>
    <row r="809" spans="1:29" ht="17.399999999999999" x14ac:dyDescent="0.25">
      <c r="A809" s="1"/>
      <c r="B809" s="2"/>
      <c r="C809" s="2"/>
      <c r="D809" s="2"/>
      <c r="E809" s="2"/>
      <c r="F809" s="2"/>
      <c r="G809" s="2"/>
      <c r="H809" s="2"/>
      <c r="I809" s="2"/>
      <c r="J809" s="2"/>
      <c r="K809" s="2"/>
      <c r="L809" s="2"/>
      <c r="M809" s="2"/>
      <c r="N809" s="2"/>
      <c r="O809" s="1"/>
      <c r="P809" s="2"/>
      <c r="Q809" s="2"/>
      <c r="R809" s="2"/>
      <c r="S809" s="2"/>
      <c r="T809" s="2"/>
      <c r="U809" s="2"/>
      <c r="V809" s="2"/>
      <c r="W809" s="2"/>
      <c r="X809" s="2"/>
      <c r="Y809" s="2"/>
      <c r="Z809" s="2"/>
      <c r="AA809" s="2"/>
      <c r="AB809" s="2"/>
      <c r="AC809" s="2"/>
    </row>
    <row r="810" spans="1:29" ht="17.399999999999999" x14ac:dyDescent="0.25">
      <c r="A810" s="1"/>
      <c r="B810" s="2"/>
      <c r="C810" s="2"/>
      <c r="D810" s="2"/>
      <c r="E810" s="2"/>
      <c r="F810" s="2"/>
      <c r="G810" s="2"/>
      <c r="H810" s="2"/>
      <c r="I810" s="2"/>
      <c r="J810" s="2"/>
      <c r="K810" s="2"/>
      <c r="L810" s="2"/>
      <c r="M810" s="2"/>
      <c r="N810" s="2"/>
      <c r="O810" s="1"/>
      <c r="P810" s="2"/>
      <c r="Q810" s="2"/>
      <c r="R810" s="2"/>
      <c r="S810" s="2"/>
      <c r="T810" s="2"/>
      <c r="U810" s="2"/>
      <c r="V810" s="2"/>
      <c r="W810" s="2"/>
      <c r="X810" s="2"/>
      <c r="Y810" s="2"/>
      <c r="Z810" s="2"/>
      <c r="AA810" s="2"/>
      <c r="AB810" s="2"/>
      <c r="AC810" s="2"/>
    </row>
    <row r="811" spans="1:29" ht="17.399999999999999" x14ac:dyDescent="0.25">
      <c r="A811" s="1"/>
      <c r="B811" s="2"/>
      <c r="C811" s="2"/>
      <c r="D811" s="2"/>
      <c r="E811" s="2"/>
      <c r="F811" s="2"/>
      <c r="G811" s="2"/>
      <c r="H811" s="2"/>
      <c r="I811" s="2"/>
      <c r="J811" s="2"/>
      <c r="K811" s="2"/>
      <c r="L811" s="2"/>
      <c r="M811" s="2"/>
      <c r="N811" s="2"/>
      <c r="O811" s="1"/>
      <c r="P811" s="2"/>
      <c r="Q811" s="2"/>
      <c r="R811" s="2"/>
      <c r="S811" s="2"/>
      <c r="T811" s="2"/>
      <c r="U811" s="2"/>
      <c r="V811" s="2"/>
      <c r="W811" s="2"/>
      <c r="X811" s="2"/>
      <c r="Y811" s="2"/>
      <c r="Z811" s="2"/>
      <c r="AA811" s="2"/>
      <c r="AB811" s="2"/>
      <c r="AC811" s="2"/>
    </row>
    <row r="812" spans="1:29" ht="17.399999999999999" x14ac:dyDescent="0.25">
      <c r="A812" s="1"/>
      <c r="B812" s="2"/>
      <c r="C812" s="2"/>
      <c r="D812" s="2"/>
      <c r="E812" s="2"/>
      <c r="F812" s="2"/>
      <c r="G812" s="2"/>
      <c r="H812" s="2"/>
      <c r="I812" s="2"/>
      <c r="J812" s="2"/>
      <c r="K812" s="2"/>
      <c r="L812" s="2"/>
      <c r="M812" s="2"/>
      <c r="N812" s="2"/>
      <c r="O812" s="1"/>
      <c r="P812" s="2"/>
      <c r="Q812" s="2"/>
      <c r="R812" s="2"/>
      <c r="S812" s="2"/>
      <c r="T812" s="2"/>
      <c r="U812" s="2"/>
      <c r="V812" s="2"/>
      <c r="W812" s="2"/>
      <c r="X812" s="2"/>
      <c r="Y812" s="2"/>
      <c r="Z812" s="2"/>
      <c r="AA812" s="2"/>
      <c r="AB812" s="2"/>
      <c r="AC812" s="2"/>
    </row>
    <row r="813" spans="1:29" ht="17.399999999999999" x14ac:dyDescent="0.25">
      <c r="A813" s="1"/>
      <c r="B813" s="2"/>
      <c r="C813" s="2"/>
      <c r="D813" s="2"/>
      <c r="E813" s="2"/>
      <c r="F813" s="2"/>
      <c r="G813" s="2"/>
      <c r="H813" s="2"/>
      <c r="I813" s="2"/>
      <c r="J813" s="2"/>
      <c r="K813" s="2"/>
      <c r="L813" s="2"/>
      <c r="M813" s="2"/>
      <c r="N813" s="2"/>
      <c r="O813" s="1"/>
      <c r="P813" s="2"/>
      <c r="Q813" s="2"/>
      <c r="R813" s="2"/>
      <c r="S813" s="2"/>
      <c r="T813" s="2"/>
      <c r="U813" s="2"/>
      <c r="V813" s="2"/>
      <c r="W813" s="2"/>
      <c r="X813" s="2"/>
      <c r="Y813" s="2"/>
      <c r="Z813" s="2"/>
      <c r="AA813" s="2"/>
      <c r="AB813" s="2"/>
      <c r="AC813" s="2"/>
    </row>
    <row r="814" spans="1:29" ht="17.399999999999999" x14ac:dyDescent="0.25">
      <c r="A814" s="1"/>
      <c r="B814" s="2"/>
      <c r="C814" s="2"/>
      <c r="D814" s="2"/>
      <c r="E814" s="2"/>
      <c r="F814" s="2"/>
      <c r="G814" s="2"/>
      <c r="H814" s="2"/>
      <c r="I814" s="2"/>
      <c r="J814" s="2"/>
      <c r="K814" s="2"/>
      <c r="L814" s="2"/>
      <c r="M814" s="2"/>
      <c r="N814" s="2"/>
      <c r="O814" s="1"/>
      <c r="P814" s="2"/>
      <c r="Q814" s="2"/>
      <c r="R814" s="2"/>
      <c r="S814" s="2"/>
      <c r="T814" s="2"/>
      <c r="U814" s="2"/>
      <c r="V814" s="2"/>
      <c r="W814" s="2"/>
      <c r="X814" s="2"/>
      <c r="Y814" s="2"/>
      <c r="Z814" s="2"/>
      <c r="AA814" s="2"/>
      <c r="AB814" s="2"/>
      <c r="AC814" s="2"/>
    </row>
    <row r="815" spans="1:29" ht="17.399999999999999" x14ac:dyDescent="0.25">
      <c r="A815" s="1"/>
      <c r="B815" s="2"/>
      <c r="C815" s="2"/>
      <c r="D815" s="2"/>
      <c r="E815" s="2"/>
      <c r="F815" s="2"/>
      <c r="G815" s="2"/>
      <c r="H815" s="2"/>
      <c r="I815" s="2"/>
      <c r="J815" s="2"/>
      <c r="K815" s="2"/>
      <c r="L815" s="2"/>
      <c r="M815" s="2"/>
      <c r="N815" s="2"/>
      <c r="O815" s="1"/>
      <c r="P815" s="2"/>
      <c r="Q815" s="2"/>
      <c r="R815" s="2"/>
      <c r="S815" s="2"/>
      <c r="T815" s="2"/>
      <c r="U815" s="2"/>
      <c r="V815" s="2"/>
      <c r="W815" s="2"/>
      <c r="X815" s="2"/>
      <c r="Y815" s="2"/>
      <c r="Z815" s="2"/>
      <c r="AA815" s="2"/>
      <c r="AB815" s="2"/>
      <c r="AC815" s="2"/>
    </row>
    <row r="816" spans="1:29" ht="17.399999999999999" x14ac:dyDescent="0.25">
      <c r="A816" s="1"/>
      <c r="B816" s="2"/>
      <c r="C816" s="2"/>
      <c r="D816" s="2"/>
      <c r="E816" s="2"/>
      <c r="F816" s="2"/>
      <c r="G816" s="2"/>
      <c r="H816" s="2"/>
      <c r="I816" s="2"/>
      <c r="J816" s="2"/>
      <c r="K816" s="2"/>
      <c r="L816" s="2"/>
      <c r="M816" s="2"/>
      <c r="N816" s="2"/>
      <c r="O816" s="1"/>
      <c r="P816" s="2"/>
      <c r="Q816" s="2"/>
      <c r="R816" s="2"/>
      <c r="S816" s="2"/>
      <c r="T816" s="2"/>
      <c r="U816" s="2"/>
      <c r="V816" s="2"/>
      <c r="W816" s="2"/>
      <c r="X816" s="2"/>
      <c r="Y816" s="2"/>
      <c r="Z816" s="2"/>
      <c r="AA816" s="2"/>
      <c r="AB816" s="2"/>
      <c r="AC816" s="2"/>
    </row>
    <row r="817" spans="1:29" ht="17.399999999999999" x14ac:dyDescent="0.25">
      <c r="A817" s="1"/>
      <c r="B817" s="2"/>
      <c r="C817" s="2"/>
      <c r="D817" s="2"/>
      <c r="E817" s="2"/>
      <c r="F817" s="2"/>
      <c r="G817" s="2"/>
      <c r="H817" s="2"/>
      <c r="I817" s="2"/>
      <c r="J817" s="2"/>
      <c r="K817" s="2"/>
      <c r="L817" s="2"/>
      <c r="M817" s="2"/>
      <c r="N817" s="2"/>
      <c r="O817" s="1"/>
      <c r="P817" s="2"/>
      <c r="Q817" s="2"/>
      <c r="R817" s="2"/>
      <c r="S817" s="2"/>
      <c r="T817" s="2"/>
      <c r="U817" s="2"/>
      <c r="V817" s="2"/>
      <c r="W817" s="2"/>
      <c r="X817" s="2"/>
      <c r="Y817" s="2"/>
      <c r="Z817" s="2"/>
      <c r="AA817" s="2"/>
      <c r="AB817" s="2"/>
      <c r="AC817" s="2"/>
    </row>
    <row r="818" spans="1:29" ht="17.399999999999999" x14ac:dyDescent="0.25">
      <c r="A818" s="1"/>
      <c r="B818" s="2"/>
      <c r="C818" s="2"/>
      <c r="D818" s="2"/>
      <c r="E818" s="2"/>
      <c r="F818" s="2"/>
      <c r="G818" s="2"/>
      <c r="H818" s="2"/>
      <c r="I818" s="2"/>
      <c r="J818" s="2"/>
      <c r="K818" s="2"/>
      <c r="L818" s="2"/>
      <c r="M818" s="2"/>
      <c r="N818" s="2"/>
      <c r="O818" s="1"/>
      <c r="P818" s="2"/>
      <c r="Q818" s="2"/>
      <c r="R818" s="2"/>
      <c r="S818" s="2"/>
      <c r="T818" s="2"/>
      <c r="U818" s="2"/>
      <c r="V818" s="2"/>
      <c r="W818" s="2"/>
      <c r="X818" s="2"/>
      <c r="Y818" s="2"/>
      <c r="Z818" s="2"/>
      <c r="AA818" s="2"/>
      <c r="AB818" s="2"/>
      <c r="AC818" s="2"/>
    </row>
    <row r="819" spans="1:29" ht="17.399999999999999" x14ac:dyDescent="0.25">
      <c r="A819" s="1"/>
      <c r="B819" s="2"/>
      <c r="C819" s="2"/>
      <c r="D819" s="2"/>
      <c r="E819" s="2"/>
      <c r="F819" s="2"/>
      <c r="G819" s="2"/>
      <c r="H819" s="2"/>
      <c r="I819" s="2"/>
      <c r="J819" s="2"/>
      <c r="K819" s="2"/>
      <c r="L819" s="2"/>
      <c r="M819" s="2"/>
      <c r="N819" s="2"/>
      <c r="O819" s="1"/>
      <c r="P819" s="2"/>
      <c r="Q819" s="2"/>
      <c r="R819" s="2"/>
      <c r="S819" s="2"/>
      <c r="T819" s="2"/>
      <c r="U819" s="2"/>
      <c r="V819" s="2"/>
      <c r="W819" s="2"/>
      <c r="X819" s="2"/>
      <c r="Y819" s="2"/>
      <c r="Z819" s="2"/>
      <c r="AA819" s="2"/>
      <c r="AB819" s="2"/>
      <c r="AC819" s="2"/>
    </row>
    <row r="820" spans="1:29" ht="17.399999999999999" x14ac:dyDescent="0.25">
      <c r="A820" s="1"/>
      <c r="B820" s="2"/>
      <c r="C820" s="2"/>
      <c r="D820" s="2"/>
      <c r="E820" s="2"/>
      <c r="F820" s="2"/>
      <c r="G820" s="2"/>
      <c r="H820" s="2"/>
      <c r="I820" s="2"/>
      <c r="J820" s="2"/>
      <c r="K820" s="2"/>
      <c r="L820" s="2"/>
      <c r="M820" s="2"/>
      <c r="N820" s="2"/>
      <c r="O820" s="1"/>
      <c r="P820" s="2"/>
      <c r="Q820" s="2"/>
      <c r="R820" s="2"/>
      <c r="S820" s="2"/>
      <c r="T820" s="2"/>
      <c r="U820" s="2"/>
      <c r="V820" s="2"/>
      <c r="W820" s="2"/>
      <c r="X820" s="2"/>
      <c r="Y820" s="2"/>
      <c r="Z820" s="2"/>
      <c r="AA820" s="2"/>
      <c r="AB820" s="2"/>
      <c r="AC820" s="2"/>
    </row>
    <row r="821" spans="1:29" ht="17.399999999999999" x14ac:dyDescent="0.25">
      <c r="A821" s="1"/>
      <c r="B821" s="2"/>
      <c r="C821" s="2"/>
      <c r="D821" s="2"/>
      <c r="E821" s="2"/>
      <c r="F821" s="2"/>
      <c r="G821" s="2"/>
      <c r="H821" s="2"/>
      <c r="I821" s="2"/>
      <c r="J821" s="2"/>
      <c r="K821" s="2"/>
      <c r="L821" s="2"/>
      <c r="M821" s="2"/>
      <c r="N821" s="2"/>
      <c r="O821" s="1"/>
      <c r="P821" s="2"/>
      <c r="Q821" s="2"/>
      <c r="R821" s="2"/>
      <c r="S821" s="2"/>
      <c r="T821" s="2"/>
      <c r="U821" s="2"/>
      <c r="V821" s="2"/>
      <c r="W821" s="2"/>
      <c r="X821" s="2"/>
      <c r="Y821" s="2"/>
      <c r="Z821" s="2"/>
      <c r="AA821" s="2"/>
      <c r="AB821" s="2"/>
      <c r="AC821" s="2"/>
    </row>
    <row r="822" spans="1:29" ht="17.399999999999999" x14ac:dyDescent="0.25">
      <c r="A822" s="1"/>
      <c r="B822" s="2"/>
      <c r="C822" s="2"/>
      <c r="D822" s="2"/>
      <c r="E822" s="2"/>
      <c r="F822" s="2"/>
      <c r="G822" s="2"/>
      <c r="H822" s="2"/>
      <c r="I822" s="2"/>
      <c r="J822" s="2"/>
      <c r="K822" s="2"/>
      <c r="L822" s="2"/>
      <c r="M822" s="2"/>
      <c r="N822" s="2"/>
      <c r="O822" s="1"/>
      <c r="P822" s="2"/>
      <c r="Q822" s="2"/>
      <c r="R822" s="2"/>
      <c r="S822" s="2"/>
      <c r="T822" s="2"/>
      <c r="U822" s="2"/>
      <c r="V822" s="2"/>
      <c r="W822" s="2"/>
      <c r="X822" s="2"/>
      <c r="Y822" s="2"/>
      <c r="Z822" s="2"/>
      <c r="AA822" s="2"/>
      <c r="AB822" s="2"/>
      <c r="AC822" s="2"/>
    </row>
    <row r="823" spans="1:29" ht="17.399999999999999" x14ac:dyDescent="0.25">
      <c r="A823" s="1"/>
      <c r="B823" s="2"/>
      <c r="C823" s="2"/>
      <c r="D823" s="2"/>
      <c r="E823" s="2"/>
      <c r="F823" s="2"/>
      <c r="G823" s="2"/>
      <c r="H823" s="2"/>
      <c r="I823" s="2"/>
      <c r="J823" s="2"/>
      <c r="K823" s="2"/>
      <c r="L823" s="2"/>
      <c r="M823" s="2"/>
      <c r="N823" s="2"/>
      <c r="O823" s="1"/>
      <c r="P823" s="2"/>
      <c r="Q823" s="2"/>
      <c r="R823" s="2"/>
      <c r="S823" s="2"/>
      <c r="T823" s="2"/>
      <c r="U823" s="2"/>
      <c r="V823" s="2"/>
      <c r="W823" s="2"/>
      <c r="X823" s="2"/>
      <c r="Y823" s="2"/>
      <c r="Z823" s="2"/>
      <c r="AA823" s="2"/>
      <c r="AB823" s="2"/>
      <c r="AC823" s="2"/>
    </row>
    <row r="824" spans="1:29" ht="17.399999999999999" x14ac:dyDescent="0.25">
      <c r="A824" s="1"/>
      <c r="B824" s="2"/>
      <c r="C824" s="2"/>
      <c r="D824" s="2"/>
      <c r="E824" s="2"/>
      <c r="F824" s="2"/>
      <c r="G824" s="2"/>
      <c r="H824" s="2"/>
      <c r="I824" s="2"/>
      <c r="J824" s="2"/>
      <c r="K824" s="2"/>
      <c r="L824" s="2"/>
      <c r="M824" s="2"/>
      <c r="N824" s="2"/>
      <c r="O824" s="1"/>
      <c r="P824" s="2"/>
      <c r="Q824" s="2"/>
      <c r="R824" s="2"/>
      <c r="S824" s="2"/>
      <c r="T824" s="2"/>
      <c r="U824" s="2"/>
      <c r="V824" s="2"/>
      <c r="W824" s="2"/>
      <c r="X824" s="2"/>
      <c r="Y824" s="2"/>
      <c r="Z824" s="2"/>
      <c r="AA824" s="2"/>
      <c r="AB824" s="2"/>
      <c r="AC824" s="2"/>
    </row>
    <row r="825" spans="1:29" ht="17.399999999999999" x14ac:dyDescent="0.25">
      <c r="A825" s="1"/>
      <c r="B825" s="2"/>
      <c r="C825" s="2"/>
      <c r="D825" s="2"/>
      <c r="E825" s="2"/>
      <c r="F825" s="2"/>
      <c r="G825" s="2"/>
      <c r="H825" s="2"/>
      <c r="I825" s="2"/>
      <c r="J825" s="2"/>
      <c r="K825" s="2"/>
      <c r="L825" s="2"/>
      <c r="M825" s="2"/>
      <c r="N825" s="2"/>
      <c r="O825" s="1"/>
      <c r="P825" s="2"/>
      <c r="Q825" s="2"/>
      <c r="R825" s="2"/>
      <c r="S825" s="2"/>
      <c r="T825" s="2"/>
      <c r="U825" s="2"/>
      <c r="V825" s="2"/>
      <c r="W825" s="2"/>
      <c r="X825" s="2"/>
      <c r="Y825" s="2"/>
      <c r="Z825" s="2"/>
      <c r="AA825" s="2"/>
      <c r="AB825" s="2"/>
      <c r="AC825" s="2"/>
    </row>
    <row r="826" spans="1:29" ht="17.399999999999999" x14ac:dyDescent="0.25">
      <c r="A826" s="1"/>
      <c r="B826" s="2"/>
      <c r="C826" s="2"/>
      <c r="D826" s="2"/>
      <c r="E826" s="2"/>
      <c r="F826" s="2"/>
      <c r="G826" s="2"/>
      <c r="H826" s="2"/>
      <c r="I826" s="2"/>
      <c r="J826" s="2"/>
      <c r="K826" s="2"/>
      <c r="L826" s="2"/>
      <c r="M826" s="2"/>
      <c r="N826" s="2"/>
      <c r="O826" s="1"/>
      <c r="P826" s="2"/>
      <c r="Q826" s="2"/>
      <c r="R826" s="2"/>
      <c r="S826" s="2"/>
      <c r="T826" s="2"/>
      <c r="U826" s="2"/>
      <c r="V826" s="2"/>
      <c r="W826" s="2"/>
      <c r="X826" s="2"/>
      <c r="Y826" s="2"/>
      <c r="Z826" s="2"/>
      <c r="AA826" s="2"/>
      <c r="AB826" s="2"/>
      <c r="AC826" s="2"/>
    </row>
    <row r="827" spans="1:29" ht="17.399999999999999" x14ac:dyDescent="0.25">
      <c r="A827" s="1"/>
      <c r="B827" s="2"/>
      <c r="C827" s="2"/>
      <c r="D827" s="2"/>
      <c r="E827" s="2"/>
      <c r="F827" s="2"/>
      <c r="G827" s="2"/>
      <c r="H827" s="2"/>
      <c r="I827" s="2"/>
      <c r="J827" s="2"/>
      <c r="K827" s="2"/>
      <c r="L827" s="2"/>
      <c r="M827" s="2"/>
      <c r="N827" s="2"/>
      <c r="O827" s="1"/>
      <c r="P827" s="2"/>
      <c r="Q827" s="2"/>
      <c r="R827" s="2"/>
      <c r="S827" s="2"/>
      <c r="T827" s="2"/>
      <c r="U827" s="2"/>
      <c r="V827" s="2"/>
      <c r="W827" s="2"/>
      <c r="X827" s="2"/>
      <c r="Y827" s="2"/>
      <c r="Z827" s="2"/>
      <c r="AA827" s="2"/>
      <c r="AB827" s="2"/>
      <c r="AC827" s="2"/>
    </row>
    <row r="828" spans="1:29" ht="17.399999999999999" x14ac:dyDescent="0.25">
      <c r="A828" s="1"/>
      <c r="B828" s="2"/>
      <c r="C828" s="2"/>
      <c r="D828" s="2"/>
      <c r="E828" s="2"/>
      <c r="F828" s="2"/>
      <c r="G828" s="2"/>
      <c r="H828" s="2"/>
      <c r="I828" s="2"/>
      <c r="J828" s="2"/>
      <c r="K828" s="2"/>
      <c r="L828" s="2"/>
      <c r="M828" s="2"/>
      <c r="N828" s="2"/>
      <c r="O828" s="1"/>
      <c r="P828" s="2"/>
      <c r="Q828" s="2"/>
      <c r="R828" s="2"/>
      <c r="S828" s="2"/>
      <c r="T828" s="2"/>
      <c r="U828" s="2"/>
      <c r="V828" s="2"/>
      <c r="W828" s="2"/>
      <c r="X828" s="2"/>
      <c r="Y828" s="2"/>
      <c r="Z828" s="2"/>
      <c r="AA828" s="2"/>
      <c r="AB828" s="2"/>
      <c r="AC828" s="2"/>
    </row>
    <row r="829" spans="1:29" ht="17.399999999999999" x14ac:dyDescent="0.25">
      <c r="A829" s="1"/>
      <c r="B829" s="2"/>
      <c r="C829" s="2"/>
      <c r="D829" s="2"/>
      <c r="E829" s="2"/>
      <c r="F829" s="2"/>
      <c r="G829" s="2"/>
      <c r="H829" s="2"/>
      <c r="I829" s="2"/>
      <c r="J829" s="2"/>
      <c r="K829" s="2"/>
      <c r="L829" s="2"/>
      <c r="M829" s="2"/>
      <c r="N829" s="2"/>
      <c r="O829" s="1"/>
      <c r="P829" s="2"/>
      <c r="Q829" s="2"/>
      <c r="R829" s="2"/>
      <c r="S829" s="2"/>
      <c r="T829" s="2"/>
      <c r="U829" s="2"/>
      <c r="V829" s="2"/>
      <c r="W829" s="2"/>
      <c r="X829" s="2"/>
      <c r="Y829" s="2"/>
      <c r="Z829" s="2"/>
      <c r="AA829" s="2"/>
      <c r="AB829" s="2"/>
      <c r="AC829" s="2"/>
    </row>
    <row r="830" spans="1:29" ht="17.399999999999999" x14ac:dyDescent="0.25">
      <c r="A830" s="1"/>
      <c r="B830" s="2"/>
      <c r="C830" s="2"/>
      <c r="D830" s="2"/>
      <c r="E830" s="2"/>
      <c r="F830" s="2"/>
      <c r="G830" s="2"/>
      <c r="H830" s="2"/>
      <c r="I830" s="2"/>
      <c r="J830" s="2"/>
      <c r="K830" s="2"/>
      <c r="L830" s="2"/>
      <c r="M830" s="2"/>
      <c r="N830" s="2"/>
      <c r="O830" s="1"/>
      <c r="P830" s="2"/>
      <c r="Q830" s="2"/>
      <c r="R830" s="2"/>
      <c r="S830" s="2"/>
      <c r="T830" s="2"/>
      <c r="U830" s="2"/>
      <c r="V830" s="2"/>
      <c r="W830" s="2"/>
      <c r="X830" s="2"/>
      <c r="Y830" s="2"/>
      <c r="Z830" s="2"/>
      <c r="AA830" s="2"/>
      <c r="AB830" s="2"/>
      <c r="AC830" s="2"/>
    </row>
    <row r="831" spans="1:29" ht="17.399999999999999" x14ac:dyDescent="0.25">
      <c r="A831" s="1"/>
      <c r="B831" s="2"/>
      <c r="C831" s="2"/>
      <c r="D831" s="2"/>
      <c r="E831" s="2"/>
      <c r="F831" s="2"/>
      <c r="G831" s="2"/>
      <c r="H831" s="2"/>
      <c r="I831" s="2"/>
      <c r="J831" s="2"/>
      <c r="K831" s="2"/>
      <c r="L831" s="2"/>
      <c r="M831" s="2"/>
      <c r="N831" s="2"/>
      <c r="O831" s="1"/>
      <c r="P831" s="2"/>
      <c r="Q831" s="2"/>
      <c r="R831" s="2"/>
      <c r="S831" s="2"/>
      <c r="T831" s="2"/>
      <c r="U831" s="2"/>
      <c r="V831" s="2"/>
      <c r="W831" s="2"/>
      <c r="X831" s="2"/>
      <c r="Y831" s="2"/>
      <c r="Z831" s="2"/>
      <c r="AA831" s="2"/>
      <c r="AB831" s="2"/>
      <c r="AC831" s="2"/>
    </row>
    <row r="832" spans="1:29" ht="17.399999999999999" x14ac:dyDescent="0.25">
      <c r="A832" s="1"/>
      <c r="B832" s="2"/>
      <c r="C832" s="2"/>
      <c r="D832" s="2"/>
      <c r="E832" s="2"/>
      <c r="F832" s="2"/>
      <c r="G832" s="2"/>
      <c r="H832" s="2"/>
      <c r="I832" s="2"/>
      <c r="J832" s="2"/>
      <c r="K832" s="2"/>
      <c r="L832" s="2"/>
      <c r="M832" s="2"/>
      <c r="N832" s="2"/>
      <c r="O832" s="1"/>
      <c r="P832" s="2"/>
      <c r="Q832" s="2"/>
      <c r="R832" s="2"/>
      <c r="S832" s="2"/>
      <c r="T832" s="2"/>
      <c r="U832" s="2"/>
      <c r="V832" s="2"/>
      <c r="W832" s="2"/>
      <c r="X832" s="2"/>
      <c r="Y832" s="2"/>
      <c r="Z832" s="2"/>
      <c r="AA832" s="2"/>
      <c r="AB832" s="2"/>
      <c r="AC832" s="2"/>
    </row>
    <row r="833" spans="1:29" ht="17.399999999999999" x14ac:dyDescent="0.25">
      <c r="A833" s="1"/>
      <c r="B833" s="2"/>
      <c r="C833" s="2"/>
      <c r="D833" s="2"/>
      <c r="E833" s="2"/>
      <c r="F833" s="2"/>
      <c r="G833" s="2"/>
      <c r="H833" s="2"/>
      <c r="I833" s="2"/>
      <c r="J833" s="2"/>
      <c r="K833" s="2"/>
      <c r="L833" s="2"/>
      <c r="M833" s="2"/>
      <c r="N833" s="2"/>
      <c r="O833" s="1"/>
      <c r="P833" s="2"/>
      <c r="Q833" s="2"/>
      <c r="R833" s="2"/>
      <c r="S833" s="2"/>
      <c r="T833" s="2"/>
      <c r="U833" s="2"/>
      <c r="V833" s="2"/>
      <c r="W833" s="2"/>
      <c r="X833" s="2"/>
      <c r="Y833" s="2"/>
      <c r="Z833" s="2"/>
      <c r="AA833" s="2"/>
      <c r="AB833" s="2"/>
      <c r="AC833" s="2"/>
    </row>
    <row r="834" spans="1:29" ht="17.399999999999999" x14ac:dyDescent="0.25">
      <c r="A834" s="1"/>
      <c r="B834" s="2"/>
      <c r="C834" s="2"/>
      <c r="D834" s="2"/>
      <c r="E834" s="2"/>
      <c r="F834" s="2"/>
      <c r="G834" s="2"/>
      <c r="H834" s="2"/>
      <c r="I834" s="2"/>
      <c r="J834" s="2"/>
      <c r="K834" s="2"/>
      <c r="L834" s="2"/>
      <c r="M834" s="2"/>
      <c r="N834" s="2"/>
      <c r="O834" s="1"/>
      <c r="P834" s="2"/>
      <c r="Q834" s="2"/>
      <c r="R834" s="2"/>
      <c r="S834" s="2"/>
      <c r="T834" s="2"/>
      <c r="U834" s="2"/>
      <c r="V834" s="2"/>
      <c r="W834" s="2"/>
      <c r="X834" s="2"/>
      <c r="Y834" s="2"/>
      <c r="Z834" s="2"/>
      <c r="AA834" s="2"/>
      <c r="AB834" s="2"/>
      <c r="AC834" s="2"/>
    </row>
    <row r="835" spans="1:29" ht="17.399999999999999" x14ac:dyDescent="0.25">
      <c r="A835" s="1"/>
      <c r="B835" s="2"/>
      <c r="C835" s="2"/>
      <c r="D835" s="2"/>
      <c r="E835" s="2"/>
      <c r="F835" s="2"/>
      <c r="G835" s="2"/>
      <c r="H835" s="2"/>
      <c r="I835" s="2"/>
      <c r="J835" s="2"/>
      <c r="K835" s="2"/>
      <c r="L835" s="2"/>
      <c r="M835" s="2"/>
      <c r="N835" s="2"/>
      <c r="O835" s="1"/>
      <c r="P835" s="2"/>
      <c r="Q835" s="2"/>
      <c r="R835" s="2"/>
      <c r="S835" s="2"/>
      <c r="T835" s="2"/>
      <c r="U835" s="2"/>
      <c r="V835" s="2"/>
      <c r="W835" s="2"/>
      <c r="X835" s="2"/>
      <c r="Y835" s="2"/>
      <c r="Z835" s="2"/>
      <c r="AA835" s="2"/>
      <c r="AB835" s="2"/>
      <c r="AC835" s="2"/>
    </row>
    <row r="836" spans="1:29" ht="17.399999999999999" x14ac:dyDescent="0.25">
      <c r="A836" s="1"/>
      <c r="B836" s="2"/>
      <c r="C836" s="2"/>
      <c r="D836" s="2"/>
      <c r="E836" s="2"/>
      <c r="F836" s="2"/>
      <c r="G836" s="2"/>
      <c r="H836" s="2"/>
      <c r="I836" s="2"/>
      <c r="J836" s="2"/>
      <c r="K836" s="2"/>
      <c r="L836" s="2"/>
      <c r="M836" s="2"/>
      <c r="N836" s="2"/>
      <c r="O836" s="1"/>
      <c r="P836" s="2"/>
      <c r="Q836" s="2"/>
      <c r="R836" s="2"/>
      <c r="S836" s="2"/>
      <c r="T836" s="2"/>
      <c r="U836" s="2"/>
      <c r="V836" s="2"/>
      <c r="W836" s="2"/>
      <c r="X836" s="2"/>
      <c r="Y836" s="2"/>
      <c r="Z836" s="2"/>
      <c r="AA836" s="2"/>
      <c r="AB836" s="2"/>
      <c r="AC836" s="2"/>
    </row>
    <row r="837" spans="1:29" ht="17.399999999999999" x14ac:dyDescent="0.25">
      <c r="A837" s="1"/>
      <c r="B837" s="2"/>
      <c r="C837" s="2"/>
      <c r="D837" s="2"/>
      <c r="E837" s="2"/>
      <c r="F837" s="2"/>
      <c r="G837" s="2"/>
      <c r="H837" s="2"/>
      <c r="I837" s="2"/>
      <c r="J837" s="2"/>
      <c r="K837" s="2"/>
      <c r="L837" s="2"/>
      <c r="M837" s="2"/>
      <c r="N837" s="2"/>
      <c r="O837" s="1"/>
      <c r="P837" s="2"/>
      <c r="Q837" s="2"/>
      <c r="R837" s="2"/>
      <c r="S837" s="2"/>
      <c r="T837" s="2"/>
      <c r="U837" s="2"/>
      <c r="V837" s="2"/>
      <c r="W837" s="2"/>
      <c r="X837" s="2"/>
      <c r="Y837" s="2"/>
      <c r="Z837" s="2"/>
      <c r="AA837" s="2"/>
      <c r="AB837" s="2"/>
      <c r="AC837" s="2"/>
    </row>
    <row r="838" spans="1:29" ht="17.399999999999999" x14ac:dyDescent="0.25">
      <c r="A838" s="1"/>
      <c r="B838" s="2"/>
      <c r="C838" s="2"/>
      <c r="D838" s="2"/>
      <c r="E838" s="2"/>
      <c r="F838" s="2"/>
      <c r="G838" s="2"/>
      <c r="H838" s="2"/>
      <c r="I838" s="2"/>
      <c r="J838" s="2"/>
      <c r="K838" s="2"/>
      <c r="L838" s="2"/>
      <c r="M838" s="2"/>
      <c r="N838" s="2"/>
      <c r="O838" s="1"/>
      <c r="P838" s="2"/>
      <c r="Q838" s="2"/>
      <c r="R838" s="2"/>
      <c r="S838" s="2"/>
      <c r="T838" s="2"/>
      <c r="U838" s="2"/>
      <c r="V838" s="2"/>
      <c r="W838" s="2"/>
      <c r="X838" s="2"/>
      <c r="Y838" s="2"/>
      <c r="Z838" s="2"/>
      <c r="AA838" s="2"/>
      <c r="AB838" s="2"/>
      <c r="AC838" s="2"/>
    </row>
    <row r="839" spans="1:29" ht="17.399999999999999" x14ac:dyDescent="0.25">
      <c r="A839" s="1"/>
      <c r="B839" s="2"/>
      <c r="C839" s="2"/>
      <c r="D839" s="2"/>
      <c r="E839" s="2"/>
      <c r="F839" s="2"/>
      <c r="G839" s="2"/>
      <c r="H839" s="2"/>
      <c r="I839" s="2"/>
      <c r="J839" s="2"/>
      <c r="K839" s="2"/>
      <c r="L839" s="2"/>
      <c r="M839" s="2"/>
      <c r="N839" s="2"/>
      <c r="O839" s="1"/>
      <c r="P839" s="2"/>
      <c r="Q839" s="2"/>
      <c r="R839" s="2"/>
      <c r="S839" s="2"/>
      <c r="T839" s="2"/>
      <c r="U839" s="2"/>
      <c r="V839" s="2"/>
      <c r="W839" s="2"/>
      <c r="X839" s="2"/>
      <c r="Y839" s="2"/>
      <c r="Z839" s="2"/>
      <c r="AA839" s="2"/>
      <c r="AB839" s="2"/>
      <c r="AC839" s="2"/>
    </row>
    <row r="840" spans="1:29" ht="17.399999999999999" x14ac:dyDescent="0.25">
      <c r="A840" s="1"/>
      <c r="B840" s="2"/>
      <c r="C840" s="2"/>
      <c r="D840" s="2"/>
      <c r="E840" s="2"/>
      <c r="F840" s="2"/>
      <c r="G840" s="2"/>
      <c r="H840" s="2"/>
      <c r="I840" s="2"/>
      <c r="J840" s="2"/>
      <c r="K840" s="2"/>
      <c r="L840" s="2"/>
      <c r="M840" s="2"/>
      <c r="N840" s="2"/>
      <c r="O840" s="1"/>
      <c r="P840" s="2"/>
      <c r="Q840" s="2"/>
      <c r="R840" s="2"/>
      <c r="S840" s="2"/>
      <c r="T840" s="2"/>
      <c r="U840" s="2"/>
      <c r="V840" s="2"/>
      <c r="W840" s="2"/>
      <c r="X840" s="2"/>
      <c r="Y840" s="2"/>
      <c r="Z840" s="2"/>
      <c r="AA840" s="2"/>
      <c r="AB840" s="2"/>
      <c r="AC840" s="2"/>
    </row>
    <row r="841" spans="1:29" ht="17.399999999999999" x14ac:dyDescent="0.25">
      <c r="A841" s="1"/>
      <c r="B841" s="2"/>
      <c r="C841" s="2"/>
      <c r="D841" s="2"/>
      <c r="E841" s="2"/>
      <c r="F841" s="2"/>
      <c r="G841" s="2"/>
      <c r="H841" s="2"/>
      <c r="I841" s="2"/>
      <c r="J841" s="2"/>
      <c r="K841" s="2"/>
      <c r="L841" s="2"/>
      <c r="M841" s="2"/>
      <c r="N841" s="2"/>
      <c r="O841" s="1"/>
      <c r="P841" s="2"/>
      <c r="Q841" s="2"/>
      <c r="R841" s="2"/>
      <c r="S841" s="2"/>
      <c r="T841" s="2"/>
      <c r="U841" s="2"/>
      <c r="V841" s="2"/>
      <c r="W841" s="2"/>
      <c r="X841" s="2"/>
      <c r="Y841" s="2"/>
      <c r="Z841" s="2"/>
      <c r="AA841" s="2"/>
      <c r="AB841" s="2"/>
      <c r="AC841" s="2"/>
    </row>
    <row r="842" spans="1:29" ht="17.399999999999999" x14ac:dyDescent="0.25">
      <c r="A842" s="1"/>
      <c r="B842" s="2"/>
      <c r="C842" s="2"/>
      <c r="D842" s="2"/>
      <c r="E842" s="2"/>
      <c r="F842" s="2"/>
      <c r="G842" s="2"/>
      <c r="H842" s="2"/>
      <c r="I842" s="2"/>
      <c r="J842" s="2"/>
      <c r="K842" s="2"/>
      <c r="L842" s="2"/>
      <c r="M842" s="2"/>
      <c r="N842" s="2"/>
      <c r="O842" s="1"/>
      <c r="P842" s="2"/>
      <c r="Q842" s="2"/>
      <c r="R842" s="2"/>
      <c r="S842" s="2"/>
      <c r="T842" s="2"/>
      <c r="U842" s="2"/>
      <c r="V842" s="2"/>
      <c r="W842" s="2"/>
      <c r="X842" s="2"/>
      <c r="Y842" s="2"/>
      <c r="Z842" s="2"/>
      <c r="AA842" s="2"/>
      <c r="AB842" s="2"/>
      <c r="AC842" s="2"/>
    </row>
    <row r="843" spans="1:29" ht="17.399999999999999" x14ac:dyDescent="0.25">
      <c r="A843" s="1"/>
      <c r="B843" s="2"/>
      <c r="C843" s="2"/>
      <c r="D843" s="2"/>
      <c r="E843" s="2"/>
      <c r="F843" s="2"/>
      <c r="G843" s="2"/>
      <c r="H843" s="2"/>
      <c r="I843" s="2"/>
      <c r="J843" s="2"/>
      <c r="K843" s="2"/>
      <c r="L843" s="2"/>
      <c r="M843" s="2"/>
      <c r="N843" s="2"/>
      <c r="O843" s="1"/>
      <c r="P843" s="2"/>
      <c r="Q843" s="2"/>
      <c r="R843" s="2"/>
      <c r="S843" s="2"/>
      <c r="T843" s="2"/>
      <c r="U843" s="2"/>
      <c r="V843" s="2"/>
      <c r="W843" s="2"/>
      <c r="X843" s="2"/>
      <c r="Y843" s="2"/>
      <c r="Z843" s="2"/>
      <c r="AA843" s="2"/>
      <c r="AB843" s="2"/>
      <c r="AC843" s="2"/>
    </row>
    <row r="844" spans="1:29" ht="17.399999999999999" x14ac:dyDescent="0.25">
      <c r="A844" s="1"/>
      <c r="B844" s="2"/>
      <c r="C844" s="2"/>
      <c r="D844" s="2"/>
      <c r="E844" s="2"/>
      <c r="F844" s="2"/>
      <c r="G844" s="2"/>
      <c r="H844" s="2"/>
      <c r="I844" s="2"/>
      <c r="J844" s="2"/>
      <c r="K844" s="2"/>
      <c r="L844" s="2"/>
      <c r="M844" s="2"/>
      <c r="N844" s="2"/>
      <c r="O844" s="1"/>
      <c r="P844" s="2"/>
      <c r="Q844" s="2"/>
      <c r="R844" s="2"/>
      <c r="S844" s="2"/>
      <c r="T844" s="2"/>
      <c r="U844" s="2"/>
      <c r="V844" s="2"/>
      <c r="W844" s="2"/>
      <c r="X844" s="2"/>
      <c r="Y844" s="2"/>
      <c r="Z844" s="2"/>
      <c r="AA844" s="2"/>
      <c r="AB844" s="2"/>
      <c r="AC844" s="2"/>
    </row>
    <row r="845" spans="1:29" ht="17.399999999999999" x14ac:dyDescent="0.25">
      <c r="A845" s="1"/>
      <c r="B845" s="2"/>
      <c r="C845" s="2"/>
      <c r="D845" s="2"/>
      <c r="E845" s="2"/>
      <c r="F845" s="2"/>
      <c r="G845" s="2"/>
      <c r="H845" s="2"/>
      <c r="I845" s="2"/>
      <c r="J845" s="2"/>
      <c r="K845" s="2"/>
      <c r="L845" s="2"/>
      <c r="M845" s="2"/>
      <c r="N845" s="2"/>
      <c r="O845" s="1"/>
      <c r="P845" s="2"/>
      <c r="Q845" s="2"/>
      <c r="R845" s="2"/>
      <c r="S845" s="2"/>
      <c r="T845" s="2"/>
      <c r="U845" s="2"/>
      <c r="V845" s="2"/>
      <c r="W845" s="2"/>
      <c r="X845" s="2"/>
      <c r="Y845" s="2"/>
      <c r="Z845" s="2"/>
      <c r="AA845" s="2"/>
      <c r="AB845" s="2"/>
      <c r="AC845" s="2"/>
    </row>
    <row r="846" spans="1:29" ht="17.399999999999999" x14ac:dyDescent="0.25">
      <c r="A846" s="1"/>
      <c r="B846" s="2"/>
      <c r="C846" s="2"/>
      <c r="D846" s="2"/>
      <c r="E846" s="2"/>
      <c r="F846" s="2"/>
      <c r="G846" s="2"/>
      <c r="H846" s="2"/>
      <c r="I846" s="2"/>
      <c r="J846" s="2"/>
      <c r="K846" s="2"/>
      <c r="L846" s="2"/>
      <c r="M846" s="2"/>
      <c r="N846" s="2"/>
      <c r="O846" s="1"/>
      <c r="P846" s="2"/>
      <c r="Q846" s="2"/>
      <c r="R846" s="2"/>
      <c r="S846" s="2"/>
      <c r="T846" s="2"/>
      <c r="U846" s="2"/>
      <c r="V846" s="2"/>
      <c r="W846" s="2"/>
      <c r="X846" s="2"/>
      <c r="Y846" s="2"/>
      <c r="Z846" s="2"/>
      <c r="AA846" s="2"/>
      <c r="AB846" s="2"/>
      <c r="AC846" s="2"/>
    </row>
    <row r="847" spans="1:29" ht="17.399999999999999" x14ac:dyDescent="0.25">
      <c r="A847" s="1"/>
      <c r="B847" s="2"/>
      <c r="C847" s="2"/>
      <c r="D847" s="2"/>
      <c r="E847" s="2"/>
      <c r="F847" s="2"/>
      <c r="G847" s="2"/>
      <c r="H847" s="2"/>
      <c r="I847" s="2"/>
      <c r="J847" s="2"/>
      <c r="K847" s="2"/>
      <c r="L847" s="2"/>
      <c r="M847" s="2"/>
      <c r="N847" s="2"/>
      <c r="O847" s="1"/>
      <c r="P847" s="2"/>
      <c r="Q847" s="2"/>
      <c r="R847" s="2"/>
      <c r="S847" s="2"/>
      <c r="T847" s="2"/>
      <c r="U847" s="2"/>
      <c r="V847" s="2"/>
      <c r="W847" s="2"/>
      <c r="X847" s="2"/>
      <c r="Y847" s="2"/>
      <c r="Z847" s="2"/>
      <c r="AA847" s="2"/>
      <c r="AB847" s="2"/>
      <c r="AC847" s="2"/>
    </row>
    <row r="848" spans="1:29" ht="17.399999999999999" x14ac:dyDescent="0.25">
      <c r="A848" s="1"/>
      <c r="B848" s="2"/>
      <c r="C848" s="2"/>
      <c r="D848" s="2"/>
      <c r="E848" s="2"/>
      <c r="F848" s="2"/>
      <c r="G848" s="2"/>
      <c r="H848" s="2"/>
      <c r="I848" s="2"/>
      <c r="J848" s="2"/>
      <c r="K848" s="2"/>
      <c r="L848" s="2"/>
      <c r="M848" s="2"/>
      <c r="N848" s="2"/>
      <c r="O848" s="1"/>
      <c r="P848" s="2"/>
      <c r="Q848" s="2"/>
      <c r="R848" s="2"/>
      <c r="S848" s="2"/>
      <c r="T848" s="2"/>
      <c r="U848" s="2"/>
      <c r="V848" s="2"/>
      <c r="W848" s="2"/>
      <c r="X848" s="2"/>
      <c r="Y848" s="2"/>
      <c r="Z848" s="2"/>
      <c r="AA848" s="2"/>
      <c r="AB848" s="2"/>
      <c r="AC848" s="2"/>
    </row>
    <row r="849" spans="1:29" ht="17.399999999999999" x14ac:dyDescent="0.25">
      <c r="A849" s="1"/>
      <c r="B849" s="2"/>
      <c r="C849" s="2"/>
      <c r="D849" s="2"/>
      <c r="E849" s="2"/>
      <c r="F849" s="2"/>
      <c r="G849" s="2"/>
      <c r="H849" s="2"/>
      <c r="I849" s="2"/>
      <c r="J849" s="2"/>
      <c r="K849" s="2"/>
      <c r="L849" s="2"/>
      <c r="M849" s="2"/>
      <c r="N849" s="2"/>
      <c r="O849" s="1"/>
      <c r="P849" s="2"/>
      <c r="Q849" s="2"/>
      <c r="R849" s="2"/>
      <c r="S849" s="2"/>
      <c r="T849" s="2"/>
      <c r="U849" s="2"/>
      <c r="V849" s="2"/>
      <c r="W849" s="2"/>
      <c r="X849" s="2"/>
      <c r="Y849" s="2"/>
      <c r="Z849" s="2"/>
      <c r="AA849" s="2"/>
      <c r="AB849" s="2"/>
      <c r="AC849" s="2"/>
    </row>
    <row r="850" spans="1:29" ht="17.399999999999999" x14ac:dyDescent="0.25">
      <c r="A850" s="1"/>
      <c r="B850" s="2"/>
      <c r="C850" s="2"/>
      <c r="D850" s="2"/>
      <c r="E850" s="2"/>
      <c r="F850" s="2"/>
      <c r="G850" s="2"/>
      <c r="H850" s="2"/>
      <c r="I850" s="2"/>
      <c r="J850" s="2"/>
      <c r="K850" s="2"/>
      <c r="L850" s="2"/>
      <c r="M850" s="2"/>
      <c r="N850" s="2"/>
      <c r="O850" s="1"/>
      <c r="P850" s="2"/>
      <c r="Q850" s="2"/>
      <c r="R850" s="2"/>
      <c r="S850" s="2"/>
      <c r="T850" s="2"/>
      <c r="U850" s="2"/>
      <c r="V850" s="2"/>
      <c r="W850" s="2"/>
      <c r="X850" s="2"/>
      <c r="Y850" s="2"/>
      <c r="Z850" s="2"/>
      <c r="AA850" s="2"/>
      <c r="AB850" s="2"/>
      <c r="AC850" s="2"/>
    </row>
    <row r="851" spans="1:29" ht="17.399999999999999" x14ac:dyDescent="0.25">
      <c r="A851" s="1"/>
      <c r="B851" s="2"/>
      <c r="C851" s="2"/>
      <c r="D851" s="2"/>
      <c r="E851" s="2"/>
      <c r="F851" s="2"/>
      <c r="G851" s="2"/>
      <c r="H851" s="2"/>
      <c r="I851" s="2"/>
      <c r="J851" s="2"/>
      <c r="K851" s="2"/>
      <c r="L851" s="2"/>
      <c r="M851" s="2"/>
      <c r="N851" s="2"/>
      <c r="O851" s="1"/>
      <c r="P851" s="2"/>
      <c r="Q851" s="2"/>
      <c r="R851" s="2"/>
      <c r="S851" s="2"/>
      <c r="T851" s="2"/>
      <c r="U851" s="2"/>
      <c r="V851" s="2"/>
      <c r="W851" s="2"/>
      <c r="X851" s="2"/>
      <c r="Y851" s="2"/>
      <c r="Z851" s="2"/>
      <c r="AA851" s="2"/>
      <c r="AB851" s="2"/>
      <c r="AC851" s="2"/>
    </row>
    <row r="852" spans="1:29" ht="17.399999999999999" x14ac:dyDescent="0.25">
      <c r="A852" s="1"/>
      <c r="B852" s="2"/>
      <c r="C852" s="2"/>
      <c r="D852" s="2"/>
      <c r="E852" s="2"/>
      <c r="F852" s="2"/>
      <c r="G852" s="2"/>
      <c r="H852" s="2"/>
      <c r="I852" s="2"/>
      <c r="J852" s="2"/>
      <c r="K852" s="2"/>
      <c r="L852" s="2"/>
      <c r="M852" s="2"/>
      <c r="N852" s="2"/>
      <c r="O852" s="1"/>
      <c r="P852" s="2"/>
      <c r="Q852" s="2"/>
      <c r="R852" s="2"/>
      <c r="S852" s="2"/>
      <c r="T852" s="2"/>
      <c r="U852" s="2"/>
      <c r="V852" s="2"/>
      <c r="W852" s="2"/>
      <c r="X852" s="2"/>
      <c r="Y852" s="2"/>
      <c r="Z852" s="2"/>
      <c r="AA852" s="2"/>
      <c r="AB852" s="2"/>
      <c r="AC852" s="2"/>
    </row>
    <row r="853" spans="1:29" ht="17.399999999999999" x14ac:dyDescent="0.25">
      <c r="A853" s="1"/>
      <c r="B853" s="2"/>
      <c r="C853" s="2"/>
      <c r="D853" s="2"/>
      <c r="E853" s="2"/>
      <c r="F853" s="2"/>
      <c r="G853" s="2"/>
      <c r="H853" s="2"/>
      <c r="I853" s="2"/>
      <c r="J853" s="2"/>
      <c r="K853" s="2"/>
      <c r="L853" s="2"/>
      <c r="M853" s="2"/>
      <c r="N853" s="2"/>
      <c r="O853" s="1"/>
      <c r="P853" s="2"/>
      <c r="Q853" s="2"/>
      <c r="R853" s="2"/>
      <c r="S853" s="2"/>
      <c r="T853" s="2"/>
      <c r="U853" s="2"/>
      <c r="V853" s="2"/>
      <c r="W853" s="2"/>
      <c r="X853" s="2"/>
      <c r="Y853" s="2"/>
      <c r="Z853" s="2"/>
      <c r="AA853" s="2"/>
      <c r="AB853" s="2"/>
      <c r="AC853" s="2"/>
    </row>
    <row r="854" spans="1:29" ht="17.399999999999999" x14ac:dyDescent="0.25">
      <c r="A854" s="1"/>
      <c r="B854" s="2"/>
      <c r="C854" s="2"/>
      <c r="D854" s="2"/>
      <c r="E854" s="2"/>
      <c r="F854" s="2"/>
      <c r="G854" s="2"/>
      <c r="H854" s="2"/>
      <c r="I854" s="2"/>
      <c r="J854" s="2"/>
      <c r="K854" s="2"/>
      <c r="L854" s="2"/>
      <c r="M854" s="2"/>
      <c r="N854" s="2"/>
      <c r="O854" s="1"/>
      <c r="P854" s="2"/>
      <c r="Q854" s="2"/>
      <c r="R854" s="2"/>
      <c r="S854" s="2"/>
      <c r="T854" s="2"/>
      <c r="U854" s="2"/>
      <c r="V854" s="2"/>
      <c r="W854" s="2"/>
      <c r="X854" s="2"/>
      <c r="Y854" s="2"/>
      <c r="Z854" s="2"/>
      <c r="AA854" s="2"/>
      <c r="AB854" s="2"/>
      <c r="AC854" s="2"/>
    </row>
    <row r="855" spans="1:29" ht="17.399999999999999" x14ac:dyDescent="0.25">
      <c r="A855" s="1"/>
      <c r="B855" s="2"/>
      <c r="C855" s="2"/>
      <c r="D855" s="2"/>
      <c r="E855" s="2"/>
      <c r="F855" s="2"/>
      <c r="G855" s="2"/>
      <c r="H855" s="2"/>
      <c r="I855" s="2"/>
      <c r="J855" s="2"/>
      <c r="K855" s="2"/>
      <c r="L855" s="2"/>
      <c r="M855" s="2"/>
      <c r="N855" s="2"/>
      <c r="O855" s="1"/>
      <c r="P855" s="2"/>
      <c r="Q855" s="2"/>
      <c r="R855" s="2"/>
      <c r="S855" s="2"/>
      <c r="T855" s="2"/>
      <c r="U855" s="2"/>
      <c r="V855" s="2"/>
      <c r="W855" s="2"/>
      <c r="X855" s="2"/>
      <c r="Y855" s="2"/>
      <c r="Z855" s="2"/>
      <c r="AA855" s="2"/>
      <c r="AB855" s="2"/>
      <c r="AC855" s="2"/>
    </row>
    <row r="856" spans="1:29" ht="17.399999999999999" x14ac:dyDescent="0.25">
      <c r="A856" s="1"/>
      <c r="B856" s="2"/>
      <c r="C856" s="2"/>
      <c r="D856" s="2"/>
      <c r="E856" s="2"/>
      <c r="F856" s="2"/>
      <c r="G856" s="2"/>
      <c r="H856" s="2"/>
      <c r="I856" s="2"/>
      <c r="J856" s="2"/>
      <c r="K856" s="2"/>
      <c r="L856" s="2"/>
      <c r="M856" s="2"/>
      <c r="N856" s="2"/>
      <c r="O856" s="1"/>
      <c r="P856" s="2"/>
      <c r="Q856" s="2"/>
      <c r="R856" s="2"/>
      <c r="S856" s="2"/>
      <c r="T856" s="2"/>
      <c r="U856" s="2"/>
      <c r="V856" s="2"/>
      <c r="W856" s="2"/>
      <c r="X856" s="2"/>
      <c r="Y856" s="2"/>
      <c r="Z856" s="2"/>
      <c r="AA856" s="2"/>
      <c r="AB856" s="2"/>
      <c r="AC856" s="2"/>
    </row>
    <row r="857" spans="1:29" ht="17.399999999999999" x14ac:dyDescent="0.25">
      <c r="A857" s="1"/>
      <c r="B857" s="2"/>
      <c r="C857" s="2"/>
      <c r="D857" s="2"/>
      <c r="E857" s="2"/>
      <c r="F857" s="2"/>
      <c r="G857" s="2"/>
      <c r="H857" s="2"/>
      <c r="I857" s="2"/>
      <c r="J857" s="2"/>
      <c r="K857" s="2"/>
      <c r="L857" s="2"/>
      <c r="M857" s="2"/>
      <c r="N857" s="2"/>
      <c r="O857" s="1"/>
      <c r="P857" s="2"/>
      <c r="Q857" s="2"/>
      <c r="R857" s="2"/>
      <c r="S857" s="2"/>
      <c r="T857" s="2"/>
      <c r="U857" s="2"/>
      <c r="V857" s="2"/>
      <c r="W857" s="2"/>
      <c r="X857" s="2"/>
      <c r="Y857" s="2"/>
      <c r="Z857" s="2"/>
      <c r="AA857" s="2"/>
      <c r="AB857" s="2"/>
      <c r="AC857" s="2"/>
    </row>
    <row r="858" spans="1:29" ht="17.399999999999999" x14ac:dyDescent="0.25">
      <c r="A858" s="1"/>
      <c r="B858" s="2"/>
      <c r="C858" s="2"/>
      <c r="D858" s="2"/>
      <c r="E858" s="2"/>
      <c r="F858" s="2"/>
      <c r="G858" s="2"/>
      <c r="H858" s="2"/>
      <c r="I858" s="2"/>
      <c r="J858" s="2"/>
      <c r="K858" s="2"/>
      <c r="L858" s="2"/>
      <c r="M858" s="2"/>
      <c r="N858" s="2"/>
      <c r="O858" s="1"/>
      <c r="P858" s="2"/>
      <c r="Q858" s="2"/>
      <c r="R858" s="2"/>
      <c r="S858" s="2"/>
      <c r="T858" s="2"/>
      <c r="U858" s="2"/>
      <c r="V858" s="2"/>
      <c r="W858" s="2"/>
      <c r="X858" s="2"/>
      <c r="Y858" s="2"/>
      <c r="Z858" s="2"/>
      <c r="AA858" s="2"/>
      <c r="AB858" s="2"/>
      <c r="AC858" s="2"/>
    </row>
    <row r="859" spans="1:29" ht="17.399999999999999" x14ac:dyDescent="0.25">
      <c r="A859" s="1"/>
      <c r="B859" s="2"/>
      <c r="C859" s="2"/>
      <c r="D859" s="2"/>
      <c r="E859" s="2"/>
      <c r="F859" s="2"/>
      <c r="G859" s="2"/>
      <c r="H859" s="2"/>
      <c r="I859" s="2"/>
      <c r="J859" s="2"/>
      <c r="K859" s="2"/>
      <c r="L859" s="2"/>
      <c r="M859" s="2"/>
      <c r="N859" s="2"/>
      <c r="O859" s="1"/>
      <c r="P859" s="2"/>
      <c r="Q859" s="2"/>
      <c r="R859" s="2"/>
      <c r="S859" s="2"/>
      <c r="T859" s="2"/>
      <c r="U859" s="2"/>
      <c r="V859" s="2"/>
      <c r="W859" s="2"/>
      <c r="X859" s="2"/>
      <c r="Y859" s="2"/>
      <c r="Z859" s="2"/>
      <c r="AA859" s="2"/>
      <c r="AB859" s="2"/>
      <c r="AC859" s="2"/>
    </row>
    <row r="860" spans="1:29" ht="17.399999999999999" x14ac:dyDescent="0.25">
      <c r="A860" s="1"/>
      <c r="B860" s="2"/>
      <c r="C860" s="2"/>
      <c r="D860" s="2"/>
      <c r="E860" s="2"/>
      <c r="F860" s="2"/>
      <c r="G860" s="2"/>
      <c r="H860" s="2"/>
      <c r="I860" s="2"/>
      <c r="J860" s="2"/>
      <c r="K860" s="2"/>
      <c r="L860" s="2"/>
      <c r="M860" s="2"/>
      <c r="N860" s="2"/>
      <c r="O860" s="1"/>
      <c r="P860" s="2"/>
      <c r="Q860" s="2"/>
      <c r="R860" s="2"/>
      <c r="S860" s="2"/>
      <c r="T860" s="2"/>
      <c r="U860" s="2"/>
      <c r="V860" s="2"/>
      <c r="W860" s="2"/>
      <c r="X860" s="2"/>
      <c r="Y860" s="2"/>
      <c r="Z860" s="2"/>
      <c r="AA860" s="2"/>
      <c r="AB860" s="2"/>
      <c r="AC860" s="2"/>
    </row>
    <row r="861" spans="1:29" ht="17.399999999999999" x14ac:dyDescent="0.25">
      <c r="A861" s="1"/>
      <c r="B861" s="2"/>
      <c r="C861" s="2"/>
      <c r="D861" s="2"/>
      <c r="E861" s="2"/>
      <c r="F861" s="2"/>
      <c r="G861" s="2"/>
      <c r="H861" s="2"/>
      <c r="I861" s="2"/>
      <c r="J861" s="2"/>
      <c r="K861" s="2"/>
      <c r="L861" s="2"/>
      <c r="M861" s="2"/>
      <c r="N861" s="2"/>
      <c r="O861" s="1"/>
      <c r="P861" s="2"/>
      <c r="Q861" s="2"/>
      <c r="R861" s="2"/>
      <c r="S861" s="2"/>
      <c r="T861" s="2"/>
      <c r="U861" s="2"/>
      <c r="V861" s="2"/>
      <c r="W861" s="2"/>
      <c r="X861" s="2"/>
      <c r="Y861" s="2"/>
      <c r="Z861" s="2"/>
      <c r="AA861" s="2"/>
      <c r="AB861" s="2"/>
      <c r="AC861" s="2"/>
    </row>
    <row r="862" spans="1:29" ht="17.399999999999999" x14ac:dyDescent="0.25">
      <c r="A862" s="1"/>
      <c r="B862" s="2"/>
      <c r="C862" s="2"/>
      <c r="D862" s="2"/>
      <c r="E862" s="2"/>
      <c r="F862" s="2"/>
      <c r="G862" s="2"/>
      <c r="H862" s="2"/>
      <c r="I862" s="2"/>
      <c r="J862" s="2"/>
      <c r="K862" s="2"/>
      <c r="L862" s="2"/>
      <c r="M862" s="2"/>
      <c r="N862" s="2"/>
      <c r="O862" s="1"/>
      <c r="P862" s="2"/>
      <c r="Q862" s="2"/>
      <c r="R862" s="2"/>
      <c r="S862" s="2"/>
      <c r="T862" s="2"/>
      <c r="U862" s="2"/>
      <c r="V862" s="2"/>
      <c r="W862" s="2"/>
      <c r="X862" s="2"/>
      <c r="Y862" s="2"/>
      <c r="Z862" s="2"/>
      <c r="AA862" s="2"/>
      <c r="AB862" s="2"/>
      <c r="AC862" s="2"/>
    </row>
    <row r="863" spans="1:29" ht="17.399999999999999" x14ac:dyDescent="0.25">
      <c r="A863" s="1"/>
      <c r="B863" s="2"/>
      <c r="C863" s="2"/>
      <c r="D863" s="2"/>
      <c r="E863" s="2"/>
      <c r="F863" s="2"/>
      <c r="G863" s="2"/>
      <c r="H863" s="2"/>
      <c r="I863" s="2"/>
      <c r="J863" s="2"/>
      <c r="K863" s="2"/>
      <c r="L863" s="2"/>
      <c r="M863" s="2"/>
      <c r="N863" s="2"/>
      <c r="O863" s="1"/>
      <c r="P863" s="2"/>
      <c r="Q863" s="2"/>
      <c r="R863" s="2"/>
      <c r="S863" s="2"/>
      <c r="T863" s="2"/>
      <c r="U863" s="2"/>
      <c r="V863" s="2"/>
      <c r="W863" s="2"/>
      <c r="X863" s="2"/>
      <c r="Y863" s="2"/>
      <c r="Z863" s="2"/>
      <c r="AA863" s="2"/>
      <c r="AB863" s="2"/>
      <c r="AC863" s="2"/>
    </row>
    <row r="864" spans="1:29" ht="17.399999999999999" x14ac:dyDescent="0.25">
      <c r="A864" s="1"/>
      <c r="B864" s="2"/>
      <c r="C864" s="2"/>
      <c r="D864" s="2"/>
      <c r="E864" s="2"/>
      <c r="F864" s="2"/>
      <c r="G864" s="2"/>
      <c r="H864" s="2"/>
      <c r="I864" s="2"/>
      <c r="J864" s="2"/>
      <c r="K864" s="2"/>
      <c r="L864" s="2"/>
      <c r="M864" s="2"/>
      <c r="N864" s="2"/>
      <c r="O864" s="1"/>
      <c r="P864" s="2"/>
      <c r="Q864" s="2"/>
      <c r="R864" s="2"/>
      <c r="S864" s="2"/>
      <c r="T864" s="2"/>
      <c r="U864" s="2"/>
      <c r="V864" s="2"/>
      <c r="W864" s="2"/>
      <c r="X864" s="2"/>
      <c r="Y864" s="2"/>
      <c r="Z864" s="2"/>
      <c r="AA864" s="2"/>
      <c r="AB864" s="2"/>
      <c r="AC864" s="2"/>
    </row>
    <row r="865" spans="1:29" ht="17.399999999999999" x14ac:dyDescent="0.25">
      <c r="A865" s="1"/>
      <c r="B865" s="2"/>
      <c r="C865" s="2"/>
      <c r="D865" s="2"/>
      <c r="E865" s="2"/>
      <c r="F865" s="2"/>
      <c r="G865" s="2"/>
      <c r="H865" s="2"/>
      <c r="I865" s="2"/>
      <c r="J865" s="2"/>
      <c r="K865" s="2"/>
      <c r="L865" s="2"/>
      <c r="M865" s="2"/>
      <c r="N865" s="2"/>
      <c r="O865" s="1"/>
      <c r="P865" s="2"/>
      <c r="Q865" s="2"/>
      <c r="R865" s="2"/>
      <c r="S865" s="2"/>
      <c r="T865" s="2"/>
      <c r="U865" s="2"/>
      <c r="V865" s="2"/>
      <c r="W865" s="2"/>
      <c r="X865" s="2"/>
      <c r="Y865" s="2"/>
      <c r="Z865" s="2"/>
      <c r="AA865" s="2"/>
      <c r="AB865" s="2"/>
      <c r="AC865" s="2"/>
    </row>
    <row r="866" spans="1:29" ht="17.399999999999999" x14ac:dyDescent="0.25">
      <c r="A866" s="1"/>
      <c r="B866" s="2"/>
      <c r="C866" s="2"/>
      <c r="D866" s="2"/>
      <c r="E866" s="2"/>
      <c r="F866" s="2"/>
      <c r="G866" s="2"/>
      <c r="H866" s="2"/>
      <c r="I866" s="2"/>
      <c r="J866" s="2"/>
      <c r="K866" s="2"/>
      <c r="L866" s="2"/>
      <c r="M866" s="2"/>
      <c r="N866" s="2"/>
      <c r="O866" s="1"/>
      <c r="P866" s="2"/>
      <c r="Q866" s="2"/>
      <c r="R866" s="2"/>
      <c r="S866" s="2"/>
      <c r="T866" s="2"/>
      <c r="U866" s="2"/>
      <c r="V866" s="2"/>
      <c r="W866" s="2"/>
      <c r="X866" s="2"/>
      <c r="Y866" s="2"/>
      <c r="Z866" s="2"/>
      <c r="AA866" s="2"/>
      <c r="AB866" s="2"/>
      <c r="AC866" s="2"/>
    </row>
    <row r="867" spans="1:29" ht="17.399999999999999" x14ac:dyDescent="0.25">
      <c r="A867" s="1"/>
      <c r="B867" s="2"/>
      <c r="C867" s="2"/>
      <c r="D867" s="2"/>
      <c r="E867" s="2"/>
      <c r="F867" s="2"/>
      <c r="G867" s="2"/>
      <c r="H867" s="2"/>
      <c r="I867" s="2"/>
      <c r="J867" s="2"/>
      <c r="K867" s="2"/>
      <c r="L867" s="2"/>
      <c r="M867" s="2"/>
      <c r="N867" s="2"/>
      <c r="O867" s="1"/>
      <c r="P867" s="2"/>
      <c r="Q867" s="2"/>
      <c r="R867" s="2"/>
      <c r="S867" s="2"/>
      <c r="T867" s="2"/>
      <c r="U867" s="2"/>
      <c r="V867" s="2"/>
      <c r="W867" s="2"/>
      <c r="X867" s="2"/>
      <c r="Y867" s="2"/>
      <c r="Z867" s="2"/>
      <c r="AA867" s="2"/>
      <c r="AB867" s="2"/>
      <c r="AC867" s="2"/>
    </row>
    <row r="868" spans="1:29" ht="17.399999999999999" x14ac:dyDescent="0.25">
      <c r="A868" s="1"/>
      <c r="B868" s="2"/>
      <c r="C868" s="2"/>
      <c r="D868" s="2"/>
      <c r="E868" s="2"/>
      <c r="F868" s="2"/>
      <c r="G868" s="2"/>
      <c r="H868" s="2"/>
      <c r="I868" s="2"/>
      <c r="J868" s="2"/>
      <c r="K868" s="2"/>
      <c r="L868" s="2"/>
      <c r="M868" s="2"/>
      <c r="N868" s="2"/>
      <c r="O868" s="1"/>
      <c r="P868" s="2"/>
      <c r="Q868" s="2"/>
      <c r="R868" s="2"/>
      <c r="S868" s="2"/>
      <c r="T868" s="2"/>
      <c r="U868" s="2"/>
      <c r="V868" s="2"/>
      <c r="W868" s="2"/>
      <c r="X868" s="2"/>
      <c r="Y868" s="2"/>
      <c r="Z868" s="2"/>
      <c r="AA868" s="2"/>
      <c r="AB868" s="2"/>
      <c r="AC868" s="2"/>
    </row>
    <row r="869" spans="1:29" ht="17.399999999999999" x14ac:dyDescent="0.25">
      <c r="A869" s="1"/>
      <c r="B869" s="2"/>
      <c r="C869" s="2"/>
      <c r="D869" s="2"/>
      <c r="E869" s="2"/>
      <c r="F869" s="2"/>
      <c r="G869" s="2"/>
      <c r="H869" s="2"/>
      <c r="I869" s="2"/>
      <c r="J869" s="2"/>
      <c r="K869" s="2"/>
      <c r="L869" s="2"/>
      <c r="M869" s="2"/>
      <c r="N869" s="2"/>
      <c r="O869" s="1"/>
      <c r="P869" s="2"/>
      <c r="Q869" s="2"/>
      <c r="R869" s="2"/>
      <c r="S869" s="2"/>
      <c r="T869" s="2"/>
      <c r="U869" s="2"/>
      <c r="V869" s="2"/>
      <c r="W869" s="2"/>
      <c r="X869" s="2"/>
      <c r="Y869" s="2"/>
      <c r="Z869" s="2"/>
      <c r="AA869" s="2"/>
      <c r="AB869" s="2"/>
      <c r="AC869" s="2"/>
    </row>
    <row r="870" spans="1:29" ht="17.399999999999999" x14ac:dyDescent="0.25">
      <c r="A870" s="1"/>
      <c r="B870" s="2"/>
      <c r="C870" s="2"/>
      <c r="D870" s="2"/>
      <c r="E870" s="2"/>
      <c r="F870" s="2"/>
      <c r="G870" s="2"/>
      <c r="H870" s="2"/>
      <c r="I870" s="2"/>
      <c r="J870" s="2"/>
      <c r="K870" s="2"/>
      <c r="L870" s="2"/>
      <c r="M870" s="2"/>
      <c r="N870" s="2"/>
      <c r="O870" s="1"/>
      <c r="P870" s="2"/>
      <c r="Q870" s="2"/>
      <c r="R870" s="2"/>
      <c r="S870" s="2"/>
      <c r="T870" s="2"/>
      <c r="U870" s="2"/>
      <c r="V870" s="2"/>
      <c r="W870" s="2"/>
      <c r="X870" s="2"/>
      <c r="Y870" s="2"/>
      <c r="Z870" s="2"/>
      <c r="AA870" s="2"/>
      <c r="AB870" s="2"/>
      <c r="AC870" s="2"/>
    </row>
    <row r="871" spans="1:29" ht="17.399999999999999" x14ac:dyDescent="0.25">
      <c r="A871" s="1"/>
      <c r="B871" s="2"/>
      <c r="C871" s="2"/>
      <c r="D871" s="2"/>
      <c r="E871" s="2"/>
      <c r="F871" s="2"/>
      <c r="G871" s="2"/>
      <c r="H871" s="2"/>
      <c r="I871" s="2"/>
      <c r="J871" s="2"/>
      <c r="K871" s="2"/>
      <c r="L871" s="2"/>
      <c r="M871" s="2"/>
      <c r="N871" s="2"/>
      <c r="O871" s="1"/>
      <c r="P871" s="2"/>
      <c r="Q871" s="2"/>
      <c r="R871" s="2"/>
      <c r="S871" s="2"/>
      <c r="T871" s="2"/>
      <c r="U871" s="2"/>
      <c r="V871" s="2"/>
      <c r="W871" s="2"/>
      <c r="X871" s="2"/>
      <c r="Y871" s="2"/>
      <c r="Z871" s="2"/>
      <c r="AA871" s="2"/>
      <c r="AB871" s="2"/>
      <c r="AC871" s="2"/>
    </row>
    <row r="872" spans="1:29" ht="17.399999999999999" x14ac:dyDescent="0.25">
      <c r="A872" s="1"/>
      <c r="B872" s="2"/>
      <c r="C872" s="2"/>
      <c r="D872" s="2"/>
      <c r="E872" s="2"/>
      <c r="F872" s="2"/>
      <c r="G872" s="2"/>
      <c r="H872" s="2"/>
      <c r="I872" s="2"/>
      <c r="J872" s="2"/>
      <c r="K872" s="2"/>
      <c r="L872" s="2"/>
      <c r="M872" s="2"/>
      <c r="N872" s="2"/>
      <c r="O872" s="1"/>
      <c r="P872" s="2"/>
      <c r="Q872" s="2"/>
      <c r="R872" s="2"/>
      <c r="S872" s="2"/>
      <c r="T872" s="2"/>
      <c r="U872" s="2"/>
      <c r="V872" s="2"/>
      <c r="W872" s="2"/>
      <c r="X872" s="2"/>
      <c r="Y872" s="2"/>
      <c r="Z872" s="2"/>
      <c r="AA872" s="2"/>
      <c r="AB872" s="2"/>
      <c r="AC872" s="2"/>
    </row>
    <row r="873" spans="1:29" ht="17.399999999999999" x14ac:dyDescent="0.25">
      <c r="A873" s="1"/>
      <c r="B873" s="2"/>
      <c r="C873" s="2"/>
      <c r="D873" s="2"/>
      <c r="E873" s="2"/>
      <c r="F873" s="2"/>
      <c r="G873" s="2"/>
      <c r="H873" s="2"/>
      <c r="I873" s="2"/>
      <c r="J873" s="2"/>
      <c r="K873" s="2"/>
      <c r="L873" s="2"/>
      <c r="M873" s="2"/>
      <c r="N873" s="2"/>
      <c r="O873" s="1"/>
      <c r="P873" s="2"/>
      <c r="Q873" s="2"/>
      <c r="R873" s="2"/>
      <c r="S873" s="2"/>
      <c r="T873" s="2"/>
      <c r="U873" s="2"/>
      <c r="V873" s="2"/>
      <c r="W873" s="2"/>
      <c r="X873" s="2"/>
      <c r="Y873" s="2"/>
      <c r="Z873" s="2"/>
      <c r="AA873" s="2"/>
      <c r="AB873" s="2"/>
      <c r="AC873" s="2"/>
    </row>
    <row r="874" spans="1:29" ht="17.399999999999999" x14ac:dyDescent="0.25">
      <c r="A874" s="1"/>
      <c r="B874" s="2"/>
      <c r="C874" s="2"/>
      <c r="D874" s="2"/>
      <c r="E874" s="2"/>
      <c r="F874" s="2"/>
      <c r="G874" s="2"/>
      <c r="H874" s="2"/>
      <c r="I874" s="2"/>
      <c r="J874" s="2"/>
      <c r="K874" s="2"/>
      <c r="L874" s="2"/>
      <c r="M874" s="2"/>
      <c r="N874" s="2"/>
      <c r="O874" s="1"/>
      <c r="P874" s="2"/>
      <c r="Q874" s="2"/>
      <c r="R874" s="2"/>
      <c r="S874" s="2"/>
      <c r="T874" s="2"/>
      <c r="U874" s="2"/>
      <c r="V874" s="2"/>
      <c r="W874" s="2"/>
      <c r="X874" s="2"/>
      <c r="Y874" s="2"/>
      <c r="Z874" s="2"/>
      <c r="AA874" s="2"/>
      <c r="AB874" s="2"/>
      <c r="AC874" s="2"/>
    </row>
    <row r="875" spans="1:29" ht="17.399999999999999" x14ac:dyDescent="0.25">
      <c r="A875" s="1"/>
      <c r="B875" s="2"/>
      <c r="C875" s="2"/>
      <c r="D875" s="2"/>
      <c r="E875" s="2"/>
      <c r="F875" s="2"/>
      <c r="G875" s="2"/>
      <c r="H875" s="2"/>
      <c r="I875" s="2"/>
      <c r="J875" s="2"/>
      <c r="K875" s="2"/>
      <c r="L875" s="2"/>
      <c r="M875" s="2"/>
      <c r="N875" s="2"/>
      <c r="O875" s="1"/>
      <c r="P875" s="2"/>
      <c r="Q875" s="2"/>
      <c r="R875" s="2"/>
      <c r="S875" s="2"/>
      <c r="T875" s="2"/>
      <c r="U875" s="2"/>
      <c r="V875" s="2"/>
      <c r="W875" s="2"/>
      <c r="X875" s="2"/>
      <c r="Y875" s="2"/>
      <c r="Z875" s="2"/>
      <c r="AA875" s="2"/>
      <c r="AB875" s="2"/>
      <c r="AC875" s="2"/>
    </row>
    <row r="876" spans="1:29" ht="17.399999999999999" x14ac:dyDescent="0.25">
      <c r="A876" s="1"/>
      <c r="B876" s="2"/>
      <c r="C876" s="2"/>
      <c r="D876" s="2"/>
      <c r="E876" s="2"/>
      <c r="F876" s="2"/>
      <c r="G876" s="2"/>
      <c r="H876" s="2"/>
      <c r="I876" s="2"/>
      <c r="J876" s="2"/>
      <c r="K876" s="2"/>
      <c r="L876" s="2"/>
      <c r="M876" s="2"/>
      <c r="N876" s="2"/>
      <c r="O876" s="1"/>
      <c r="P876" s="2"/>
      <c r="Q876" s="2"/>
      <c r="R876" s="2"/>
      <c r="S876" s="2"/>
      <c r="T876" s="2"/>
      <c r="U876" s="2"/>
      <c r="V876" s="2"/>
      <c r="W876" s="2"/>
      <c r="X876" s="2"/>
      <c r="Y876" s="2"/>
      <c r="Z876" s="2"/>
      <c r="AA876" s="2"/>
      <c r="AB876" s="2"/>
      <c r="AC876" s="2"/>
    </row>
    <row r="877" spans="1:29" ht="17.399999999999999" x14ac:dyDescent="0.25">
      <c r="A877" s="1"/>
      <c r="B877" s="2"/>
      <c r="C877" s="2"/>
      <c r="D877" s="2"/>
      <c r="E877" s="2"/>
      <c r="F877" s="2"/>
      <c r="G877" s="2"/>
      <c r="H877" s="2"/>
      <c r="I877" s="2"/>
      <c r="J877" s="2"/>
      <c r="K877" s="2"/>
      <c r="L877" s="2"/>
      <c r="M877" s="2"/>
      <c r="N877" s="2"/>
      <c r="O877" s="1"/>
      <c r="P877" s="2"/>
      <c r="Q877" s="2"/>
      <c r="R877" s="2"/>
      <c r="S877" s="2"/>
      <c r="T877" s="2"/>
      <c r="U877" s="2"/>
      <c r="V877" s="2"/>
      <c r="W877" s="2"/>
      <c r="X877" s="2"/>
      <c r="Y877" s="2"/>
      <c r="Z877" s="2"/>
      <c r="AA877" s="2"/>
      <c r="AB877" s="2"/>
      <c r="AC877" s="2"/>
    </row>
    <row r="878" spans="1:29" ht="17.399999999999999" x14ac:dyDescent="0.25">
      <c r="A878" s="1"/>
      <c r="B878" s="2"/>
      <c r="C878" s="2"/>
      <c r="D878" s="2"/>
      <c r="E878" s="2"/>
      <c r="F878" s="2"/>
      <c r="G878" s="2"/>
      <c r="H878" s="2"/>
      <c r="I878" s="2"/>
      <c r="J878" s="2"/>
      <c r="K878" s="2"/>
      <c r="L878" s="2"/>
      <c r="M878" s="2"/>
      <c r="N878" s="2"/>
      <c r="O878" s="1"/>
      <c r="P878" s="2"/>
      <c r="Q878" s="2"/>
      <c r="R878" s="2"/>
      <c r="S878" s="2"/>
      <c r="T878" s="2"/>
      <c r="U878" s="2"/>
      <c r="V878" s="2"/>
      <c r="W878" s="2"/>
      <c r="X878" s="2"/>
      <c r="Y878" s="2"/>
      <c r="Z878" s="2"/>
      <c r="AA878" s="2"/>
      <c r="AB878" s="2"/>
      <c r="AC878" s="2"/>
    </row>
    <row r="879" spans="1:29" ht="17.399999999999999" x14ac:dyDescent="0.25">
      <c r="A879" s="1"/>
      <c r="B879" s="2"/>
      <c r="C879" s="2"/>
      <c r="D879" s="2"/>
      <c r="E879" s="2"/>
      <c r="F879" s="2"/>
      <c r="G879" s="2"/>
      <c r="H879" s="2"/>
      <c r="I879" s="2"/>
      <c r="J879" s="2"/>
      <c r="K879" s="2"/>
      <c r="L879" s="2"/>
      <c r="M879" s="2"/>
      <c r="N879" s="2"/>
      <c r="O879" s="1"/>
      <c r="P879" s="2"/>
      <c r="Q879" s="2"/>
      <c r="R879" s="2"/>
      <c r="S879" s="2"/>
      <c r="T879" s="2"/>
      <c r="U879" s="2"/>
      <c r="V879" s="2"/>
      <c r="W879" s="2"/>
      <c r="X879" s="2"/>
      <c r="Y879" s="2"/>
      <c r="Z879" s="2"/>
      <c r="AA879" s="2"/>
      <c r="AB879" s="2"/>
      <c r="AC879" s="2"/>
    </row>
    <row r="880" spans="1:29" ht="17.399999999999999" x14ac:dyDescent="0.25">
      <c r="A880" s="1"/>
      <c r="B880" s="2"/>
      <c r="C880" s="2"/>
      <c r="D880" s="2"/>
      <c r="E880" s="2"/>
      <c r="F880" s="2"/>
      <c r="G880" s="2"/>
      <c r="H880" s="2"/>
      <c r="I880" s="2"/>
      <c r="J880" s="2"/>
      <c r="K880" s="2"/>
      <c r="L880" s="2"/>
      <c r="M880" s="2"/>
      <c r="N880" s="2"/>
      <c r="O880" s="1"/>
      <c r="P880" s="2"/>
      <c r="Q880" s="2"/>
      <c r="R880" s="2"/>
      <c r="S880" s="2"/>
      <c r="T880" s="2"/>
      <c r="U880" s="2"/>
      <c r="V880" s="2"/>
      <c r="W880" s="2"/>
      <c r="X880" s="2"/>
      <c r="Y880" s="2"/>
      <c r="Z880" s="2"/>
      <c r="AA880" s="2"/>
      <c r="AB880" s="2"/>
      <c r="AC880" s="2"/>
    </row>
    <row r="881" spans="1:29" ht="17.399999999999999" x14ac:dyDescent="0.25">
      <c r="A881" s="1"/>
      <c r="B881" s="2"/>
      <c r="C881" s="2"/>
      <c r="D881" s="2"/>
      <c r="E881" s="2"/>
      <c r="F881" s="2"/>
      <c r="G881" s="2"/>
      <c r="H881" s="2"/>
      <c r="I881" s="2"/>
      <c r="J881" s="2"/>
      <c r="K881" s="2"/>
      <c r="L881" s="2"/>
      <c r="M881" s="2"/>
      <c r="N881" s="2"/>
      <c r="O881" s="1"/>
      <c r="P881" s="2"/>
      <c r="Q881" s="2"/>
      <c r="R881" s="2"/>
      <c r="S881" s="2"/>
      <c r="T881" s="2"/>
      <c r="U881" s="2"/>
      <c r="V881" s="2"/>
      <c r="W881" s="2"/>
      <c r="X881" s="2"/>
      <c r="Y881" s="2"/>
      <c r="Z881" s="2"/>
      <c r="AA881" s="2"/>
      <c r="AB881" s="2"/>
      <c r="AC881" s="2"/>
    </row>
    <row r="882" spans="1:29" ht="17.399999999999999" x14ac:dyDescent="0.25">
      <c r="A882" s="1"/>
      <c r="B882" s="2"/>
      <c r="C882" s="2"/>
      <c r="D882" s="2"/>
      <c r="E882" s="2"/>
      <c r="F882" s="2"/>
      <c r="G882" s="2"/>
      <c r="H882" s="2"/>
      <c r="I882" s="2"/>
      <c r="J882" s="2"/>
      <c r="K882" s="2"/>
      <c r="L882" s="2"/>
      <c r="M882" s="2"/>
      <c r="N882" s="2"/>
      <c r="O882" s="1"/>
      <c r="P882" s="2"/>
      <c r="Q882" s="2"/>
      <c r="R882" s="2"/>
      <c r="S882" s="2"/>
      <c r="T882" s="2"/>
      <c r="U882" s="2"/>
      <c r="V882" s="2"/>
      <c r="W882" s="2"/>
      <c r="X882" s="2"/>
      <c r="Y882" s="2"/>
      <c r="Z882" s="2"/>
      <c r="AA882" s="2"/>
      <c r="AB882" s="2"/>
      <c r="AC882" s="2"/>
    </row>
    <row r="883" spans="1:29" ht="17.399999999999999" x14ac:dyDescent="0.25">
      <c r="A883" s="1"/>
      <c r="B883" s="2"/>
      <c r="C883" s="2"/>
      <c r="D883" s="2"/>
      <c r="E883" s="2"/>
      <c r="F883" s="2"/>
      <c r="G883" s="2"/>
      <c r="H883" s="2"/>
      <c r="I883" s="2"/>
      <c r="J883" s="2"/>
      <c r="K883" s="2"/>
      <c r="L883" s="2"/>
      <c r="M883" s="2"/>
      <c r="N883" s="2"/>
      <c r="O883" s="1"/>
      <c r="P883" s="2"/>
      <c r="Q883" s="2"/>
      <c r="R883" s="2"/>
      <c r="S883" s="2"/>
      <c r="T883" s="2"/>
      <c r="U883" s="2"/>
      <c r="V883" s="2"/>
      <c r="W883" s="2"/>
      <c r="X883" s="2"/>
      <c r="Y883" s="2"/>
      <c r="Z883" s="2"/>
      <c r="AA883" s="2"/>
      <c r="AB883" s="2"/>
      <c r="AC883" s="2"/>
    </row>
    <row r="884" spans="1:29" ht="17.399999999999999" x14ac:dyDescent="0.25">
      <c r="A884" s="1"/>
      <c r="B884" s="2"/>
      <c r="C884" s="2"/>
      <c r="D884" s="2"/>
      <c r="E884" s="2"/>
      <c r="F884" s="2"/>
      <c r="G884" s="2"/>
      <c r="H884" s="2"/>
      <c r="I884" s="2"/>
      <c r="J884" s="2"/>
      <c r="K884" s="2"/>
      <c r="L884" s="2"/>
      <c r="M884" s="2"/>
      <c r="N884" s="2"/>
      <c r="O884" s="1"/>
      <c r="P884" s="2"/>
      <c r="Q884" s="2"/>
      <c r="R884" s="2"/>
      <c r="S884" s="2"/>
      <c r="T884" s="2"/>
      <c r="U884" s="2"/>
      <c r="V884" s="2"/>
      <c r="W884" s="2"/>
      <c r="X884" s="2"/>
      <c r="Y884" s="2"/>
      <c r="Z884" s="2"/>
      <c r="AA884" s="2"/>
      <c r="AB884" s="2"/>
      <c r="AC884" s="2"/>
    </row>
    <row r="885" spans="1:29" ht="17.399999999999999" x14ac:dyDescent="0.25">
      <c r="A885" s="1"/>
      <c r="B885" s="2"/>
      <c r="C885" s="2"/>
      <c r="D885" s="2"/>
      <c r="E885" s="2"/>
      <c r="F885" s="2"/>
      <c r="G885" s="2"/>
      <c r="H885" s="2"/>
      <c r="I885" s="2"/>
      <c r="J885" s="2"/>
      <c r="K885" s="2"/>
      <c r="L885" s="2"/>
      <c r="M885" s="2"/>
      <c r="N885" s="2"/>
      <c r="O885" s="1"/>
      <c r="P885" s="2"/>
      <c r="Q885" s="2"/>
      <c r="R885" s="2"/>
      <c r="S885" s="2"/>
      <c r="T885" s="2"/>
      <c r="U885" s="2"/>
      <c r="V885" s="2"/>
      <c r="W885" s="2"/>
      <c r="X885" s="2"/>
      <c r="Y885" s="2"/>
      <c r="Z885" s="2"/>
      <c r="AA885" s="2"/>
      <c r="AB885" s="2"/>
      <c r="AC885" s="2"/>
    </row>
    <row r="886" spans="1:29" ht="17.399999999999999" x14ac:dyDescent="0.25">
      <c r="A886" s="1"/>
      <c r="B886" s="2"/>
      <c r="C886" s="2"/>
      <c r="D886" s="2"/>
      <c r="E886" s="2"/>
      <c r="F886" s="2"/>
      <c r="G886" s="2"/>
      <c r="H886" s="2"/>
      <c r="I886" s="2"/>
      <c r="J886" s="2"/>
      <c r="K886" s="2"/>
      <c r="L886" s="2"/>
      <c r="M886" s="2"/>
      <c r="N886" s="2"/>
      <c r="O886" s="1"/>
      <c r="P886" s="2"/>
      <c r="Q886" s="2"/>
      <c r="R886" s="2"/>
      <c r="S886" s="2"/>
      <c r="T886" s="2"/>
      <c r="U886" s="2"/>
      <c r="V886" s="2"/>
      <c r="W886" s="2"/>
      <c r="X886" s="2"/>
      <c r="Y886" s="2"/>
      <c r="Z886" s="2"/>
      <c r="AA886" s="2"/>
      <c r="AB886" s="2"/>
      <c r="AC886" s="2"/>
    </row>
    <row r="887" spans="1:29" ht="17.399999999999999" x14ac:dyDescent="0.25">
      <c r="A887" s="1"/>
      <c r="B887" s="2"/>
      <c r="C887" s="2"/>
      <c r="D887" s="2"/>
      <c r="E887" s="2"/>
      <c r="F887" s="2"/>
      <c r="G887" s="2"/>
      <c r="H887" s="2"/>
      <c r="I887" s="2"/>
      <c r="J887" s="2"/>
      <c r="K887" s="2"/>
      <c r="L887" s="2"/>
      <c r="M887" s="2"/>
      <c r="N887" s="2"/>
      <c r="O887" s="1"/>
      <c r="P887" s="2"/>
      <c r="Q887" s="2"/>
      <c r="R887" s="2"/>
      <c r="S887" s="2"/>
      <c r="T887" s="2"/>
      <c r="U887" s="2"/>
      <c r="V887" s="2"/>
      <c r="W887" s="2"/>
      <c r="X887" s="2"/>
      <c r="Y887" s="2"/>
      <c r="Z887" s="2"/>
      <c r="AA887" s="2"/>
      <c r="AB887" s="2"/>
      <c r="AC887" s="2"/>
    </row>
    <row r="888" spans="1:29" ht="17.399999999999999" x14ac:dyDescent="0.25">
      <c r="A888" s="1"/>
      <c r="B888" s="2"/>
      <c r="C888" s="2"/>
      <c r="D888" s="2"/>
      <c r="E888" s="2"/>
      <c r="F888" s="2"/>
      <c r="G888" s="2"/>
      <c r="H888" s="2"/>
      <c r="I888" s="2"/>
      <c r="J888" s="2"/>
      <c r="K888" s="2"/>
      <c r="L888" s="2"/>
      <c r="M888" s="2"/>
      <c r="N888" s="2"/>
      <c r="O888" s="1"/>
      <c r="P888" s="2"/>
      <c r="Q888" s="2"/>
      <c r="R888" s="2"/>
      <c r="S888" s="2"/>
      <c r="T888" s="2"/>
      <c r="U888" s="2"/>
      <c r="V888" s="2"/>
      <c r="W888" s="2"/>
      <c r="X888" s="2"/>
      <c r="Y888" s="2"/>
      <c r="Z888" s="2"/>
      <c r="AA888" s="2"/>
      <c r="AB888" s="2"/>
      <c r="AC888" s="2"/>
    </row>
    <row r="889" spans="1:29" ht="17.399999999999999" x14ac:dyDescent="0.25">
      <c r="A889" s="1"/>
      <c r="B889" s="2"/>
      <c r="C889" s="2"/>
      <c r="D889" s="2"/>
      <c r="E889" s="2"/>
      <c r="F889" s="2"/>
      <c r="G889" s="2"/>
      <c r="H889" s="2"/>
      <c r="I889" s="2"/>
      <c r="J889" s="2"/>
      <c r="K889" s="2"/>
      <c r="L889" s="2"/>
      <c r="M889" s="2"/>
      <c r="N889" s="2"/>
      <c r="O889" s="1"/>
      <c r="P889" s="2"/>
      <c r="Q889" s="2"/>
      <c r="R889" s="2"/>
      <c r="S889" s="2"/>
      <c r="T889" s="2"/>
      <c r="U889" s="2"/>
      <c r="V889" s="2"/>
      <c r="W889" s="2"/>
      <c r="X889" s="2"/>
      <c r="Y889" s="2"/>
      <c r="Z889" s="2"/>
      <c r="AA889" s="2"/>
      <c r="AB889" s="2"/>
      <c r="AC889" s="2"/>
    </row>
    <row r="890" spans="1:29" ht="17.399999999999999" x14ac:dyDescent="0.25">
      <c r="A890" s="1"/>
      <c r="B890" s="2"/>
      <c r="C890" s="2"/>
      <c r="D890" s="2"/>
      <c r="E890" s="2"/>
      <c r="F890" s="2"/>
      <c r="G890" s="2"/>
      <c r="H890" s="2"/>
      <c r="I890" s="2"/>
      <c r="J890" s="2"/>
      <c r="K890" s="2"/>
      <c r="L890" s="2"/>
      <c r="M890" s="2"/>
      <c r="N890" s="2"/>
      <c r="O890" s="1"/>
      <c r="P890" s="2"/>
      <c r="Q890" s="2"/>
      <c r="R890" s="2"/>
      <c r="S890" s="2"/>
      <c r="T890" s="2"/>
      <c r="U890" s="2"/>
      <c r="V890" s="2"/>
      <c r="W890" s="2"/>
      <c r="X890" s="2"/>
      <c r="Y890" s="2"/>
      <c r="Z890" s="2"/>
      <c r="AA890" s="2"/>
      <c r="AB890" s="2"/>
      <c r="AC890" s="2"/>
    </row>
    <row r="891" spans="1:29" ht="17.399999999999999" x14ac:dyDescent="0.25">
      <c r="A891" s="1"/>
      <c r="B891" s="2"/>
      <c r="C891" s="2"/>
      <c r="D891" s="2"/>
      <c r="E891" s="2"/>
      <c r="F891" s="2"/>
      <c r="G891" s="2"/>
      <c r="H891" s="2"/>
      <c r="I891" s="2"/>
      <c r="J891" s="2"/>
      <c r="K891" s="2"/>
      <c r="L891" s="2"/>
      <c r="M891" s="2"/>
      <c r="N891" s="2"/>
      <c r="O891" s="1"/>
      <c r="P891" s="2"/>
      <c r="Q891" s="2"/>
      <c r="R891" s="2"/>
      <c r="S891" s="2"/>
      <c r="T891" s="2"/>
      <c r="U891" s="2"/>
      <c r="V891" s="2"/>
      <c r="W891" s="2"/>
      <c r="X891" s="2"/>
      <c r="Y891" s="2"/>
      <c r="Z891" s="2"/>
      <c r="AA891" s="2"/>
      <c r="AB891" s="2"/>
      <c r="AC891" s="2"/>
    </row>
    <row r="892" spans="1:29" ht="17.399999999999999" x14ac:dyDescent="0.25">
      <c r="A892" s="1"/>
      <c r="B892" s="2"/>
      <c r="C892" s="2"/>
      <c r="D892" s="2"/>
      <c r="E892" s="2"/>
      <c r="F892" s="2"/>
      <c r="G892" s="2"/>
      <c r="H892" s="2"/>
      <c r="I892" s="2"/>
      <c r="J892" s="2"/>
      <c r="K892" s="2"/>
      <c r="L892" s="2"/>
      <c r="M892" s="2"/>
      <c r="N892" s="2"/>
      <c r="O892" s="1"/>
      <c r="P892" s="2"/>
      <c r="Q892" s="2"/>
      <c r="R892" s="2"/>
      <c r="S892" s="2"/>
      <c r="T892" s="2"/>
      <c r="U892" s="2"/>
      <c r="V892" s="2"/>
      <c r="W892" s="2"/>
      <c r="X892" s="2"/>
      <c r="Y892" s="2"/>
      <c r="Z892" s="2"/>
      <c r="AA892" s="2"/>
      <c r="AB892" s="2"/>
      <c r="AC892" s="2"/>
    </row>
    <row r="893" spans="1:29" ht="17.399999999999999" x14ac:dyDescent="0.25">
      <c r="A893" s="1"/>
      <c r="B893" s="2"/>
      <c r="C893" s="2"/>
      <c r="D893" s="2"/>
      <c r="E893" s="2"/>
      <c r="F893" s="2"/>
      <c r="G893" s="2"/>
      <c r="H893" s="2"/>
      <c r="I893" s="2"/>
      <c r="J893" s="2"/>
      <c r="K893" s="2"/>
      <c r="L893" s="2"/>
      <c r="M893" s="2"/>
      <c r="N893" s="2"/>
      <c r="O893" s="1"/>
      <c r="P893" s="2"/>
      <c r="Q893" s="2"/>
      <c r="R893" s="2"/>
      <c r="S893" s="2"/>
      <c r="T893" s="2"/>
      <c r="U893" s="2"/>
      <c r="V893" s="2"/>
      <c r="W893" s="2"/>
      <c r="X893" s="2"/>
      <c r="Y893" s="2"/>
      <c r="Z893" s="2"/>
      <c r="AA893" s="2"/>
      <c r="AB893" s="2"/>
      <c r="AC893" s="2"/>
    </row>
    <row r="894" spans="1:29" ht="17.399999999999999" x14ac:dyDescent="0.25">
      <c r="A894" s="1"/>
      <c r="B894" s="2"/>
      <c r="C894" s="2"/>
      <c r="D894" s="2"/>
      <c r="E894" s="2"/>
      <c r="F894" s="2"/>
      <c r="G894" s="2"/>
      <c r="H894" s="2"/>
      <c r="I894" s="2"/>
      <c r="J894" s="2"/>
      <c r="K894" s="2"/>
      <c r="L894" s="2"/>
      <c r="M894" s="2"/>
      <c r="N894" s="2"/>
      <c r="O894" s="1"/>
      <c r="P894" s="2"/>
      <c r="Q894" s="2"/>
      <c r="R894" s="2"/>
      <c r="S894" s="2"/>
      <c r="T894" s="2"/>
      <c r="U894" s="2"/>
      <c r="V894" s="2"/>
      <c r="W894" s="2"/>
      <c r="X894" s="2"/>
      <c r="Y894" s="2"/>
      <c r="Z894" s="2"/>
      <c r="AA894" s="2"/>
      <c r="AB894" s="2"/>
      <c r="AC894" s="2"/>
    </row>
    <row r="895" spans="1:29" ht="17.399999999999999" x14ac:dyDescent="0.25">
      <c r="A895" s="1"/>
      <c r="B895" s="2"/>
      <c r="C895" s="2"/>
      <c r="D895" s="2"/>
      <c r="E895" s="2"/>
      <c r="F895" s="2"/>
      <c r="G895" s="2"/>
      <c r="H895" s="2"/>
      <c r="I895" s="2"/>
      <c r="J895" s="2"/>
      <c r="K895" s="2"/>
      <c r="L895" s="2"/>
      <c r="M895" s="2"/>
      <c r="N895" s="2"/>
      <c r="O895" s="1"/>
      <c r="P895" s="2"/>
      <c r="Q895" s="2"/>
      <c r="R895" s="2"/>
      <c r="S895" s="2"/>
      <c r="T895" s="2"/>
      <c r="U895" s="2"/>
      <c r="V895" s="2"/>
      <c r="W895" s="2"/>
      <c r="X895" s="2"/>
      <c r="Y895" s="2"/>
      <c r="Z895" s="2"/>
      <c r="AA895" s="2"/>
      <c r="AB895" s="2"/>
      <c r="AC895" s="2"/>
    </row>
    <row r="896" spans="1:29" ht="17.399999999999999" x14ac:dyDescent="0.25">
      <c r="A896" s="1"/>
      <c r="B896" s="2"/>
      <c r="C896" s="2"/>
      <c r="D896" s="2"/>
      <c r="E896" s="2"/>
      <c r="F896" s="2"/>
      <c r="G896" s="2"/>
      <c r="H896" s="2"/>
      <c r="I896" s="2"/>
      <c r="J896" s="2"/>
      <c r="K896" s="2"/>
      <c r="L896" s="2"/>
      <c r="M896" s="2"/>
      <c r="N896" s="2"/>
      <c r="O896" s="1"/>
      <c r="P896" s="2"/>
      <c r="Q896" s="2"/>
      <c r="R896" s="2"/>
      <c r="S896" s="2"/>
      <c r="T896" s="2"/>
      <c r="U896" s="2"/>
      <c r="V896" s="2"/>
      <c r="W896" s="2"/>
      <c r="X896" s="2"/>
      <c r="Y896" s="2"/>
      <c r="Z896" s="2"/>
      <c r="AA896" s="2"/>
      <c r="AB896" s="2"/>
      <c r="AC896" s="2"/>
    </row>
    <row r="897" spans="1:29" ht="17.399999999999999" x14ac:dyDescent="0.25">
      <c r="A897" s="1"/>
      <c r="B897" s="2"/>
      <c r="C897" s="2"/>
      <c r="D897" s="2"/>
      <c r="E897" s="2"/>
      <c r="F897" s="2"/>
      <c r="G897" s="2"/>
      <c r="H897" s="2"/>
      <c r="I897" s="2"/>
      <c r="J897" s="2"/>
      <c r="K897" s="2"/>
      <c r="L897" s="2"/>
      <c r="M897" s="2"/>
      <c r="N897" s="2"/>
      <c r="O897" s="1"/>
      <c r="P897" s="2"/>
      <c r="Q897" s="2"/>
      <c r="R897" s="2"/>
      <c r="S897" s="2"/>
      <c r="T897" s="2"/>
      <c r="U897" s="2"/>
      <c r="V897" s="2"/>
      <c r="W897" s="2"/>
      <c r="X897" s="2"/>
      <c r="Y897" s="2"/>
      <c r="Z897" s="2"/>
      <c r="AA897" s="2"/>
      <c r="AB897" s="2"/>
      <c r="AC897" s="2"/>
    </row>
    <row r="898" spans="1:29" ht="17.399999999999999" x14ac:dyDescent="0.25">
      <c r="A898" s="1"/>
      <c r="B898" s="2"/>
      <c r="C898" s="2"/>
      <c r="D898" s="2"/>
      <c r="E898" s="2"/>
      <c r="F898" s="2"/>
      <c r="G898" s="2"/>
      <c r="H898" s="2"/>
      <c r="I898" s="2"/>
      <c r="J898" s="2"/>
      <c r="K898" s="2"/>
      <c r="L898" s="2"/>
      <c r="M898" s="2"/>
      <c r="N898" s="2"/>
      <c r="O898" s="1"/>
      <c r="P898" s="2"/>
      <c r="Q898" s="2"/>
      <c r="R898" s="2"/>
      <c r="S898" s="2"/>
      <c r="T898" s="2"/>
      <c r="U898" s="2"/>
      <c r="V898" s="2"/>
      <c r="W898" s="2"/>
      <c r="X898" s="2"/>
      <c r="Y898" s="2"/>
      <c r="Z898" s="2"/>
      <c r="AA898" s="2"/>
      <c r="AB898" s="2"/>
      <c r="AC898" s="2"/>
    </row>
    <row r="899" spans="1:29" ht="17.399999999999999" x14ac:dyDescent="0.25">
      <c r="A899" s="1"/>
      <c r="B899" s="2"/>
      <c r="C899" s="2"/>
      <c r="D899" s="2"/>
      <c r="E899" s="2"/>
      <c r="F899" s="2"/>
      <c r="G899" s="2"/>
      <c r="H899" s="2"/>
      <c r="I899" s="2"/>
      <c r="J899" s="2"/>
      <c r="K899" s="2"/>
      <c r="L899" s="2"/>
      <c r="M899" s="2"/>
      <c r="N899" s="2"/>
      <c r="O899" s="1"/>
      <c r="P899" s="2"/>
      <c r="Q899" s="2"/>
      <c r="R899" s="2"/>
      <c r="S899" s="2"/>
      <c r="T899" s="2"/>
      <c r="U899" s="2"/>
      <c r="V899" s="2"/>
      <c r="W899" s="2"/>
      <c r="X899" s="2"/>
      <c r="Y899" s="2"/>
      <c r="Z899" s="2"/>
      <c r="AA899" s="2"/>
      <c r="AB899" s="2"/>
      <c r="AC899" s="2"/>
    </row>
    <row r="900" spans="1:29" ht="17.399999999999999" x14ac:dyDescent="0.25">
      <c r="A900" s="1"/>
      <c r="B900" s="2"/>
      <c r="C900" s="2"/>
      <c r="D900" s="2"/>
      <c r="E900" s="2"/>
      <c r="F900" s="2"/>
      <c r="G900" s="2"/>
      <c r="H900" s="2"/>
      <c r="I900" s="2"/>
      <c r="J900" s="2"/>
      <c r="K900" s="2"/>
      <c r="L900" s="2"/>
      <c r="M900" s="2"/>
      <c r="N900" s="2"/>
      <c r="O900" s="1"/>
      <c r="P900" s="2"/>
      <c r="Q900" s="2"/>
      <c r="R900" s="2"/>
      <c r="S900" s="2"/>
      <c r="T900" s="2"/>
      <c r="U900" s="2"/>
      <c r="V900" s="2"/>
      <c r="W900" s="2"/>
      <c r="X900" s="2"/>
      <c r="Y900" s="2"/>
      <c r="Z900" s="2"/>
      <c r="AA900" s="2"/>
      <c r="AB900" s="2"/>
      <c r="AC900" s="2"/>
    </row>
    <row r="901" spans="1:29" ht="17.399999999999999" x14ac:dyDescent="0.25">
      <c r="A901" s="1"/>
      <c r="B901" s="2"/>
      <c r="C901" s="2"/>
      <c r="D901" s="2"/>
      <c r="E901" s="2"/>
      <c r="F901" s="2"/>
      <c r="G901" s="2"/>
      <c r="H901" s="2"/>
      <c r="I901" s="2"/>
      <c r="J901" s="2"/>
      <c r="K901" s="2"/>
      <c r="L901" s="2"/>
      <c r="M901" s="2"/>
      <c r="N901" s="2"/>
      <c r="O901" s="1"/>
      <c r="P901" s="2"/>
      <c r="Q901" s="2"/>
      <c r="R901" s="2"/>
      <c r="S901" s="2"/>
      <c r="T901" s="2"/>
      <c r="U901" s="2"/>
      <c r="V901" s="2"/>
      <c r="W901" s="2"/>
      <c r="X901" s="2"/>
      <c r="Y901" s="2"/>
      <c r="Z901" s="2"/>
      <c r="AA901" s="2"/>
      <c r="AB901" s="2"/>
      <c r="AC901" s="2"/>
    </row>
    <row r="902" spans="1:29" ht="17.399999999999999" x14ac:dyDescent="0.25">
      <c r="A902" s="1"/>
      <c r="B902" s="2"/>
      <c r="C902" s="2"/>
      <c r="D902" s="2"/>
      <c r="E902" s="2"/>
      <c r="F902" s="2"/>
      <c r="G902" s="2"/>
      <c r="H902" s="2"/>
      <c r="I902" s="2"/>
      <c r="J902" s="2"/>
      <c r="K902" s="2"/>
      <c r="L902" s="2"/>
      <c r="M902" s="2"/>
      <c r="N902" s="2"/>
      <c r="O902" s="1"/>
      <c r="P902" s="2"/>
      <c r="Q902" s="2"/>
      <c r="R902" s="2"/>
      <c r="S902" s="2"/>
      <c r="T902" s="2"/>
      <c r="U902" s="2"/>
      <c r="V902" s="2"/>
      <c r="W902" s="2"/>
      <c r="X902" s="2"/>
      <c r="Y902" s="2"/>
      <c r="Z902" s="2"/>
      <c r="AA902" s="2"/>
      <c r="AB902" s="2"/>
      <c r="AC902" s="2"/>
    </row>
    <row r="903" spans="1:29" ht="17.399999999999999" x14ac:dyDescent="0.25">
      <c r="A903" s="1"/>
      <c r="B903" s="2"/>
      <c r="C903" s="2"/>
      <c r="D903" s="2"/>
      <c r="E903" s="2"/>
      <c r="F903" s="2"/>
      <c r="G903" s="2"/>
      <c r="H903" s="2"/>
      <c r="I903" s="2"/>
      <c r="J903" s="2"/>
      <c r="K903" s="2"/>
      <c r="L903" s="2"/>
      <c r="M903" s="2"/>
      <c r="N903" s="2"/>
      <c r="O903" s="1"/>
      <c r="P903" s="2"/>
      <c r="Q903" s="2"/>
      <c r="R903" s="2"/>
      <c r="S903" s="2"/>
      <c r="T903" s="2"/>
      <c r="U903" s="2"/>
      <c r="V903" s="2"/>
      <c r="W903" s="2"/>
      <c r="X903" s="2"/>
      <c r="Y903" s="2"/>
      <c r="Z903" s="2"/>
      <c r="AA903" s="2"/>
      <c r="AB903" s="2"/>
      <c r="AC903" s="2"/>
    </row>
    <row r="904" spans="1:29" ht="17.399999999999999" x14ac:dyDescent="0.25">
      <c r="A904" s="1"/>
      <c r="B904" s="2"/>
      <c r="C904" s="2"/>
      <c r="D904" s="2"/>
      <c r="E904" s="2"/>
      <c r="F904" s="2"/>
      <c r="G904" s="2"/>
      <c r="H904" s="2"/>
      <c r="I904" s="2"/>
      <c r="J904" s="2"/>
      <c r="K904" s="2"/>
      <c r="L904" s="2"/>
      <c r="M904" s="2"/>
      <c r="N904" s="2"/>
      <c r="O904" s="1"/>
      <c r="P904" s="2"/>
      <c r="Q904" s="2"/>
      <c r="R904" s="2"/>
      <c r="S904" s="2"/>
      <c r="T904" s="2"/>
      <c r="U904" s="2"/>
      <c r="V904" s="2"/>
      <c r="W904" s="2"/>
      <c r="X904" s="2"/>
      <c r="Y904" s="2"/>
      <c r="Z904" s="2"/>
      <c r="AA904" s="2"/>
      <c r="AB904" s="2"/>
      <c r="AC904" s="2"/>
    </row>
    <row r="905" spans="1:29" ht="17.399999999999999" x14ac:dyDescent="0.25">
      <c r="A905" s="1"/>
      <c r="B905" s="2"/>
      <c r="C905" s="2"/>
      <c r="D905" s="2"/>
      <c r="E905" s="2"/>
      <c r="F905" s="2"/>
      <c r="G905" s="2"/>
      <c r="H905" s="2"/>
      <c r="I905" s="2"/>
      <c r="J905" s="2"/>
      <c r="K905" s="2"/>
      <c r="L905" s="2"/>
      <c r="M905" s="2"/>
      <c r="N905" s="2"/>
      <c r="O905" s="1"/>
      <c r="P905" s="2"/>
      <c r="Q905" s="2"/>
      <c r="R905" s="2"/>
      <c r="S905" s="2"/>
      <c r="T905" s="2"/>
      <c r="U905" s="2"/>
      <c r="V905" s="2"/>
      <c r="W905" s="2"/>
      <c r="X905" s="2"/>
      <c r="Y905" s="2"/>
      <c r="Z905" s="2"/>
      <c r="AA905" s="2"/>
      <c r="AB905" s="2"/>
      <c r="AC905" s="2"/>
    </row>
    <row r="906" spans="1:29" ht="17.399999999999999" x14ac:dyDescent="0.25">
      <c r="A906" s="1"/>
      <c r="B906" s="2"/>
      <c r="C906" s="2"/>
      <c r="D906" s="2"/>
      <c r="E906" s="2"/>
      <c r="F906" s="2"/>
      <c r="G906" s="2"/>
      <c r="H906" s="2"/>
      <c r="I906" s="2"/>
      <c r="J906" s="2"/>
      <c r="K906" s="2"/>
      <c r="L906" s="2"/>
      <c r="M906" s="2"/>
      <c r="N906" s="2"/>
      <c r="O906" s="1"/>
      <c r="P906" s="2"/>
      <c r="Q906" s="2"/>
      <c r="R906" s="2"/>
      <c r="S906" s="2"/>
      <c r="T906" s="2"/>
      <c r="U906" s="2"/>
      <c r="V906" s="2"/>
      <c r="W906" s="2"/>
      <c r="X906" s="2"/>
      <c r="Y906" s="2"/>
      <c r="Z906" s="2"/>
      <c r="AA906" s="2"/>
      <c r="AB906" s="2"/>
      <c r="AC906" s="2"/>
    </row>
    <row r="907" spans="1:29" ht="17.399999999999999" x14ac:dyDescent="0.25">
      <c r="A907" s="1"/>
      <c r="B907" s="2"/>
      <c r="C907" s="2"/>
      <c r="D907" s="2"/>
      <c r="E907" s="2"/>
      <c r="F907" s="2"/>
      <c r="G907" s="2"/>
      <c r="H907" s="2"/>
      <c r="I907" s="2"/>
      <c r="J907" s="2"/>
      <c r="K907" s="2"/>
      <c r="L907" s="2"/>
      <c r="M907" s="2"/>
      <c r="N907" s="2"/>
      <c r="O907" s="1"/>
      <c r="P907" s="2"/>
      <c r="Q907" s="2"/>
      <c r="R907" s="2"/>
      <c r="S907" s="2"/>
      <c r="T907" s="2"/>
      <c r="U907" s="2"/>
      <c r="V907" s="2"/>
      <c r="W907" s="2"/>
      <c r="X907" s="2"/>
      <c r="Y907" s="2"/>
      <c r="Z907" s="2"/>
      <c r="AA907" s="2"/>
      <c r="AB907" s="2"/>
      <c r="AC907" s="2"/>
    </row>
    <row r="908" spans="1:29" ht="17.399999999999999" x14ac:dyDescent="0.25">
      <c r="A908" s="1"/>
      <c r="B908" s="2"/>
      <c r="C908" s="2"/>
      <c r="D908" s="2"/>
      <c r="E908" s="2"/>
      <c r="F908" s="2"/>
      <c r="G908" s="2"/>
      <c r="H908" s="2"/>
      <c r="I908" s="2"/>
      <c r="J908" s="2"/>
      <c r="K908" s="2"/>
      <c r="L908" s="2"/>
      <c r="M908" s="2"/>
      <c r="N908" s="2"/>
      <c r="O908" s="1"/>
      <c r="P908" s="2"/>
      <c r="Q908" s="2"/>
      <c r="R908" s="2"/>
      <c r="S908" s="2"/>
      <c r="T908" s="2"/>
      <c r="U908" s="2"/>
      <c r="V908" s="2"/>
      <c r="W908" s="2"/>
      <c r="X908" s="2"/>
      <c r="Y908" s="2"/>
      <c r="Z908" s="2"/>
      <c r="AA908" s="2"/>
      <c r="AB908" s="2"/>
      <c r="AC908" s="2"/>
    </row>
    <row r="909" spans="1:29" ht="17.399999999999999" x14ac:dyDescent="0.25">
      <c r="A909" s="1"/>
      <c r="B909" s="2"/>
      <c r="C909" s="2"/>
      <c r="D909" s="2"/>
      <c r="E909" s="2"/>
      <c r="F909" s="2"/>
      <c r="G909" s="2"/>
      <c r="H909" s="2"/>
      <c r="I909" s="2"/>
      <c r="J909" s="2"/>
      <c r="K909" s="2"/>
      <c r="L909" s="2"/>
      <c r="M909" s="2"/>
      <c r="N909" s="2"/>
      <c r="O909" s="1"/>
      <c r="P909" s="2"/>
      <c r="Q909" s="2"/>
      <c r="R909" s="2"/>
      <c r="S909" s="2"/>
      <c r="T909" s="2"/>
      <c r="U909" s="2"/>
      <c r="V909" s="2"/>
      <c r="W909" s="2"/>
      <c r="X909" s="2"/>
      <c r="Y909" s="2"/>
      <c r="Z909" s="2"/>
      <c r="AA909" s="2"/>
      <c r="AB909" s="2"/>
      <c r="AC909" s="2"/>
    </row>
    <row r="910" spans="1:29" ht="17.399999999999999" x14ac:dyDescent="0.25">
      <c r="A910" s="1"/>
      <c r="B910" s="2"/>
      <c r="C910" s="2"/>
      <c r="D910" s="2"/>
      <c r="E910" s="2"/>
      <c r="F910" s="2"/>
      <c r="G910" s="2"/>
      <c r="H910" s="2"/>
      <c r="I910" s="2"/>
      <c r="J910" s="2"/>
      <c r="K910" s="2"/>
      <c r="L910" s="2"/>
      <c r="M910" s="2"/>
      <c r="N910" s="2"/>
      <c r="O910" s="1"/>
      <c r="P910" s="2"/>
      <c r="Q910" s="2"/>
      <c r="R910" s="2"/>
      <c r="S910" s="2"/>
      <c r="T910" s="2"/>
      <c r="U910" s="2"/>
      <c r="V910" s="2"/>
      <c r="W910" s="2"/>
      <c r="X910" s="2"/>
      <c r="Y910" s="2"/>
      <c r="Z910" s="2"/>
      <c r="AA910" s="2"/>
      <c r="AB910" s="2"/>
      <c r="AC910" s="2"/>
    </row>
    <row r="911" spans="1:29" ht="17.399999999999999" x14ac:dyDescent="0.25">
      <c r="A911" s="1"/>
      <c r="B911" s="2"/>
      <c r="C911" s="2"/>
      <c r="D911" s="2"/>
      <c r="E911" s="2"/>
      <c r="F911" s="2"/>
      <c r="G911" s="2"/>
      <c r="H911" s="2"/>
      <c r="I911" s="2"/>
      <c r="J911" s="2"/>
      <c r="K911" s="2"/>
      <c r="L911" s="2"/>
      <c r="M911" s="2"/>
      <c r="N911" s="2"/>
      <c r="O911" s="1"/>
      <c r="P911" s="2"/>
      <c r="Q911" s="2"/>
      <c r="R911" s="2"/>
      <c r="S911" s="2"/>
      <c r="T911" s="2"/>
      <c r="U911" s="2"/>
      <c r="V911" s="2"/>
      <c r="W911" s="2"/>
      <c r="X911" s="2"/>
      <c r="Y911" s="2"/>
      <c r="Z911" s="2"/>
      <c r="AA911" s="2"/>
      <c r="AB911" s="2"/>
      <c r="AC911" s="2"/>
    </row>
    <row r="912" spans="1:29" ht="17.399999999999999" x14ac:dyDescent="0.25">
      <c r="A912" s="1"/>
      <c r="B912" s="2"/>
      <c r="C912" s="2"/>
      <c r="D912" s="2"/>
      <c r="E912" s="2"/>
      <c r="F912" s="2"/>
      <c r="G912" s="2"/>
      <c r="H912" s="2"/>
      <c r="I912" s="2"/>
      <c r="J912" s="2"/>
      <c r="K912" s="2"/>
      <c r="L912" s="2"/>
      <c r="M912" s="2"/>
      <c r="N912" s="2"/>
      <c r="O912" s="1"/>
      <c r="P912" s="2"/>
      <c r="Q912" s="2"/>
      <c r="R912" s="2"/>
      <c r="S912" s="2"/>
      <c r="T912" s="2"/>
      <c r="U912" s="2"/>
      <c r="V912" s="2"/>
      <c r="W912" s="2"/>
      <c r="X912" s="2"/>
      <c r="Y912" s="2"/>
      <c r="Z912" s="2"/>
      <c r="AA912" s="2"/>
      <c r="AB912" s="2"/>
      <c r="AC912" s="2"/>
    </row>
    <row r="913" spans="1:29" ht="17.399999999999999" x14ac:dyDescent="0.25">
      <c r="A913" s="1"/>
      <c r="B913" s="2"/>
      <c r="C913" s="2"/>
      <c r="D913" s="2"/>
      <c r="E913" s="2"/>
      <c r="F913" s="2"/>
      <c r="G913" s="2"/>
      <c r="H913" s="2"/>
      <c r="I913" s="2"/>
      <c r="J913" s="2"/>
      <c r="K913" s="2"/>
      <c r="L913" s="2"/>
      <c r="M913" s="2"/>
      <c r="N913" s="2"/>
      <c r="O913" s="1"/>
      <c r="P913" s="2"/>
      <c r="Q913" s="2"/>
      <c r="R913" s="2"/>
      <c r="S913" s="2"/>
      <c r="T913" s="2"/>
      <c r="U913" s="2"/>
      <c r="V913" s="2"/>
      <c r="W913" s="2"/>
      <c r="X913" s="2"/>
      <c r="Y913" s="2"/>
      <c r="Z913" s="2"/>
      <c r="AA913" s="2"/>
      <c r="AB913" s="2"/>
      <c r="AC913" s="2"/>
    </row>
    <row r="914" spans="1:29" ht="17.399999999999999" x14ac:dyDescent="0.25">
      <c r="A914" s="1"/>
      <c r="B914" s="2"/>
      <c r="C914" s="2"/>
      <c r="D914" s="2"/>
      <c r="E914" s="2"/>
      <c r="F914" s="2"/>
      <c r="G914" s="2"/>
      <c r="H914" s="2"/>
      <c r="I914" s="2"/>
      <c r="J914" s="2"/>
      <c r="K914" s="2"/>
      <c r="L914" s="2"/>
      <c r="M914" s="2"/>
      <c r="N914" s="2"/>
      <c r="O914" s="1"/>
      <c r="P914" s="2"/>
      <c r="Q914" s="2"/>
      <c r="R914" s="2"/>
      <c r="S914" s="2"/>
      <c r="T914" s="2"/>
      <c r="U914" s="2"/>
      <c r="V914" s="2"/>
      <c r="W914" s="2"/>
      <c r="X914" s="2"/>
      <c r="Y914" s="2"/>
      <c r="Z914" s="2"/>
      <c r="AA914" s="2"/>
      <c r="AB914" s="2"/>
      <c r="AC914" s="2"/>
    </row>
    <row r="915" spans="1:29" ht="17.399999999999999" x14ac:dyDescent="0.25">
      <c r="A915" s="1"/>
      <c r="B915" s="2"/>
      <c r="C915" s="2"/>
      <c r="D915" s="2"/>
      <c r="E915" s="2"/>
      <c r="F915" s="2"/>
      <c r="G915" s="2"/>
      <c r="H915" s="2"/>
      <c r="I915" s="2"/>
      <c r="J915" s="2"/>
      <c r="K915" s="2"/>
      <c r="L915" s="2"/>
      <c r="M915" s="2"/>
      <c r="N915" s="2"/>
      <c r="O915" s="1"/>
      <c r="P915" s="2"/>
      <c r="Q915" s="2"/>
      <c r="R915" s="2"/>
      <c r="S915" s="2"/>
      <c r="T915" s="2"/>
      <c r="U915" s="2"/>
      <c r="V915" s="2"/>
      <c r="W915" s="2"/>
      <c r="X915" s="2"/>
      <c r="Y915" s="2"/>
      <c r="Z915" s="2"/>
      <c r="AA915" s="2"/>
      <c r="AB915" s="2"/>
      <c r="AC915" s="2"/>
    </row>
    <row r="916" spans="1:29" ht="17.399999999999999" x14ac:dyDescent="0.25">
      <c r="A916" s="1"/>
      <c r="B916" s="2"/>
      <c r="C916" s="2"/>
      <c r="D916" s="2"/>
      <c r="E916" s="2"/>
      <c r="F916" s="2"/>
      <c r="G916" s="2"/>
      <c r="H916" s="2"/>
      <c r="I916" s="2"/>
      <c r="J916" s="2"/>
      <c r="K916" s="2"/>
      <c r="L916" s="2"/>
      <c r="M916" s="2"/>
      <c r="N916" s="2"/>
      <c r="O916" s="1"/>
      <c r="P916" s="2"/>
      <c r="Q916" s="2"/>
      <c r="R916" s="2"/>
      <c r="S916" s="2"/>
      <c r="T916" s="2"/>
      <c r="U916" s="2"/>
      <c r="V916" s="2"/>
      <c r="W916" s="2"/>
      <c r="X916" s="2"/>
      <c r="Y916" s="2"/>
      <c r="Z916" s="2"/>
      <c r="AA916" s="2"/>
      <c r="AB916" s="2"/>
      <c r="AC916" s="2"/>
    </row>
    <row r="917" spans="1:29" ht="17.399999999999999" x14ac:dyDescent="0.25">
      <c r="A917" s="1"/>
      <c r="B917" s="2"/>
      <c r="C917" s="2"/>
      <c r="D917" s="2"/>
      <c r="E917" s="2"/>
      <c r="F917" s="2"/>
      <c r="G917" s="2"/>
      <c r="H917" s="2"/>
      <c r="I917" s="2"/>
      <c r="J917" s="2"/>
      <c r="K917" s="2"/>
      <c r="L917" s="2"/>
      <c r="M917" s="2"/>
      <c r="N917" s="2"/>
      <c r="O917" s="1"/>
      <c r="P917" s="2"/>
      <c r="Q917" s="2"/>
      <c r="R917" s="2"/>
      <c r="S917" s="2"/>
      <c r="T917" s="2"/>
      <c r="U917" s="2"/>
      <c r="V917" s="2"/>
      <c r="W917" s="2"/>
      <c r="X917" s="2"/>
      <c r="Y917" s="2"/>
      <c r="Z917" s="2"/>
      <c r="AA917" s="2"/>
      <c r="AB917" s="2"/>
      <c r="AC917" s="2"/>
    </row>
    <row r="918" spans="1:29" ht="17.399999999999999" x14ac:dyDescent="0.25">
      <c r="A918" s="1"/>
      <c r="B918" s="2"/>
      <c r="C918" s="2"/>
      <c r="D918" s="2"/>
      <c r="E918" s="2"/>
      <c r="F918" s="2"/>
      <c r="G918" s="2"/>
      <c r="H918" s="2"/>
      <c r="I918" s="2"/>
      <c r="J918" s="2"/>
      <c r="K918" s="2"/>
      <c r="L918" s="2"/>
      <c r="M918" s="2"/>
      <c r="N918" s="2"/>
      <c r="O918" s="1"/>
      <c r="P918" s="2"/>
      <c r="Q918" s="2"/>
      <c r="R918" s="2"/>
      <c r="S918" s="2"/>
      <c r="T918" s="2"/>
      <c r="U918" s="2"/>
      <c r="V918" s="2"/>
      <c r="W918" s="2"/>
      <c r="X918" s="2"/>
      <c r="Y918" s="2"/>
      <c r="Z918" s="2"/>
      <c r="AA918" s="2"/>
      <c r="AB918" s="2"/>
      <c r="AC918" s="2"/>
    </row>
    <row r="919" spans="1:29" ht="17.399999999999999" x14ac:dyDescent="0.25">
      <c r="A919" s="1"/>
      <c r="B919" s="2"/>
      <c r="C919" s="2"/>
      <c r="D919" s="2"/>
      <c r="E919" s="2"/>
      <c r="F919" s="2"/>
      <c r="G919" s="2"/>
      <c r="H919" s="2"/>
      <c r="I919" s="2"/>
      <c r="J919" s="2"/>
      <c r="K919" s="2"/>
      <c r="L919" s="2"/>
      <c r="M919" s="2"/>
      <c r="N919" s="2"/>
      <c r="O919" s="1"/>
      <c r="P919" s="2"/>
      <c r="Q919" s="2"/>
      <c r="R919" s="2"/>
      <c r="S919" s="2"/>
      <c r="T919" s="2"/>
      <c r="U919" s="2"/>
      <c r="V919" s="2"/>
      <c r="W919" s="2"/>
      <c r="X919" s="2"/>
      <c r="Y919" s="2"/>
      <c r="Z919" s="2"/>
      <c r="AA919" s="2"/>
      <c r="AB919" s="2"/>
      <c r="AC919" s="2"/>
    </row>
    <row r="920" spans="1:29" ht="17.399999999999999" x14ac:dyDescent="0.25">
      <c r="A920" s="1"/>
      <c r="B920" s="2"/>
      <c r="C920" s="2"/>
      <c r="D920" s="2"/>
      <c r="E920" s="2"/>
      <c r="F920" s="2"/>
      <c r="G920" s="2"/>
      <c r="H920" s="2"/>
      <c r="I920" s="2"/>
      <c r="J920" s="2"/>
      <c r="K920" s="2"/>
      <c r="L920" s="2"/>
      <c r="M920" s="2"/>
      <c r="N920" s="2"/>
      <c r="O920" s="1"/>
      <c r="P920" s="2"/>
      <c r="Q920" s="2"/>
      <c r="R920" s="2"/>
      <c r="S920" s="2"/>
      <c r="T920" s="2"/>
      <c r="U920" s="2"/>
      <c r="V920" s="2"/>
      <c r="W920" s="2"/>
      <c r="X920" s="2"/>
      <c r="Y920" s="2"/>
      <c r="Z920" s="2"/>
      <c r="AA920" s="2"/>
      <c r="AB920" s="2"/>
      <c r="AC920" s="2"/>
    </row>
    <row r="921" spans="1:29" ht="17.399999999999999" x14ac:dyDescent="0.25">
      <c r="A921" s="1"/>
      <c r="B921" s="2"/>
      <c r="C921" s="2"/>
      <c r="D921" s="2"/>
      <c r="E921" s="2"/>
      <c r="F921" s="2"/>
      <c r="G921" s="2"/>
      <c r="H921" s="2"/>
      <c r="I921" s="2"/>
      <c r="J921" s="2"/>
      <c r="K921" s="2"/>
      <c r="L921" s="2"/>
      <c r="M921" s="2"/>
      <c r="N921" s="2"/>
      <c r="O921" s="1"/>
      <c r="P921" s="2"/>
      <c r="Q921" s="2"/>
      <c r="R921" s="2"/>
      <c r="S921" s="2"/>
      <c r="T921" s="2"/>
      <c r="U921" s="2"/>
      <c r="V921" s="2"/>
      <c r="W921" s="2"/>
      <c r="X921" s="2"/>
      <c r="Y921" s="2"/>
      <c r="Z921" s="2"/>
      <c r="AA921" s="2"/>
      <c r="AB921" s="2"/>
      <c r="AC921" s="2"/>
    </row>
    <row r="922" spans="1:29" ht="17.399999999999999" x14ac:dyDescent="0.25">
      <c r="A922" s="1"/>
      <c r="B922" s="2"/>
      <c r="C922" s="2"/>
      <c r="D922" s="2"/>
      <c r="E922" s="2"/>
      <c r="F922" s="2"/>
      <c r="G922" s="2"/>
      <c r="H922" s="2"/>
      <c r="I922" s="2"/>
      <c r="J922" s="2"/>
      <c r="K922" s="2"/>
      <c r="L922" s="2"/>
      <c r="M922" s="2"/>
      <c r="N922" s="2"/>
      <c r="O922" s="1"/>
      <c r="P922" s="2"/>
      <c r="Q922" s="2"/>
      <c r="R922" s="2"/>
      <c r="S922" s="2"/>
      <c r="T922" s="2"/>
      <c r="U922" s="2"/>
      <c r="V922" s="2"/>
      <c r="W922" s="2"/>
      <c r="X922" s="2"/>
      <c r="Y922" s="2"/>
      <c r="Z922" s="2"/>
      <c r="AA922" s="2"/>
      <c r="AB922" s="2"/>
      <c r="AC922" s="2"/>
    </row>
    <row r="923" spans="1:29" ht="17.399999999999999" x14ac:dyDescent="0.25">
      <c r="A923" s="1"/>
      <c r="B923" s="2"/>
      <c r="C923" s="2"/>
      <c r="D923" s="2"/>
      <c r="E923" s="2"/>
      <c r="F923" s="2"/>
      <c r="G923" s="2"/>
      <c r="H923" s="2"/>
      <c r="I923" s="2"/>
      <c r="J923" s="2"/>
      <c r="K923" s="2"/>
      <c r="L923" s="2"/>
      <c r="M923" s="2"/>
      <c r="N923" s="2"/>
      <c r="O923" s="1"/>
      <c r="P923" s="2"/>
      <c r="Q923" s="2"/>
      <c r="R923" s="2"/>
      <c r="S923" s="2"/>
      <c r="T923" s="2"/>
      <c r="U923" s="2"/>
      <c r="V923" s="2"/>
      <c r="W923" s="2"/>
      <c r="X923" s="2"/>
      <c r="Y923" s="2"/>
      <c r="Z923" s="2"/>
      <c r="AA923" s="2"/>
      <c r="AB923" s="2"/>
      <c r="AC923" s="2"/>
    </row>
    <row r="924" spans="1:29" ht="17.399999999999999" x14ac:dyDescent="0.25">
      <c r="A924" s="1"/>
      <c r="B924" s="2"/>
      <c r="C924" s="2"/>
      <c r="D924" s="2"/>
      <c r="E924" s="2"/>
      <c r="F924" s="2"/>
      <c r="G924" s="2"/>
      <c r="H924" s="2"/>
      <c r="I924" s="2"/>
      <c r="J924" s="2"/>
      <c r="K924" s="2"/>
      <c r="L924" s="2"/>
      <c r="M924" s="2"/>
      <c r="N924" s="2"/>
      <c r="O924" s="1"/>
      <c r="P924" s="2"/>
      <c r="Q924" s="2"/>
      <c r="R924" s="2"/>
      <c r="S924" s="2"/>
      <c r="T924" s="2"/>
      <c r="U924" s="2"/>
      <c r="V924" s="2"/>
      <c r="W924" s="2"/>
      <c r="X924" s="2"/>
      <c r="Y924" s="2"/>
      <c r="Z924" s="2"/>
      <c r="AA924" s="2"/>
      <c r="AB924" s="2"/>
      <c r="AC924" s="2"/>
    </row>
    <row r="925" spans="1:29" ht="17.399999999999999" x14ac:dyDescent="0.25">
      <c r="A925" s="1"/>
      <c r="B925" s="2"/>
      <c r="C925" s="2"/>
      <c r="D925" s="2"/>
      <c r="E925" s="2"/>
      <c r="F925" s="2"/>
      <c r="G925" s="2"/>
      <c r="H925" s="2"/>
      <c r="I925" s="2"/>
      <c r="J925" s="2"/>
      <c r="K925" s="2"/>
      <c r="L925" s="2"/>
      <c r="M925" s="2"/>
      <c r="N925" s="2"/>
      <c r="O925" s="1"/>
      <c r="P925" s="2"/>
      <c r="Q925" s="2"/>
      <c r="R925" s="2"/>
      <c r="S925" s="2"/>
      <c r="T925" s="2"/>
      <c r="U925" s="2"/>
      <c r="V925" s="2"/>
      <c r="W925" s="2"/>
      <c r="X925" s="2"/>
      <c r="Y925" s="2"/>
      <c r="Z925" s="2"/>
      <c r="AA925" s="2"/>
      <c r="AB925" s="2"/>
      <c r="AC925" s="2"/>
    </row>
    <row r="926" spans="1:29" ht="17.399999999999999" x14ac:dyDescent="0.25">
      <c r="A926" s="1"/>
      <c r="B926" s="2"/>
      <c r="C926" s="2"/>
      <c r="D926" s="2"/>
      <c r="E926" s="2"/>
      <c r="F926" s="2"/>
      <c r="G926" s="2"/>
      <c r="H926" s="2"/>
      <c r="I926" s="2"/>
      <c r="J926" s="2"/>
      <c r="K926" s="2"/>
      <c r="L926" s="2"/>
      <c r="M926" s="2"/>
      <c r="N926" s="2"/>
      <c r="O926" s="1"/>
      <c r="P926" s="2"/>
      <c r="Q926" s="2"/>
      <c r="R926" s="2"/>
      <c r="S926" s="2"/>
      <c r="T926" s="2"/>
      <c r="U926" s="2"/>
      <c r="V926" s="2"/>
      <c r="W926" s="2"/>
      <c r="X926" s="2"/>
      <c r="Y926" s="2"/>
      <c r="Z926" s="2"/>
      <c r="AA926" s="2"/>
      <c r="AB926" s="2"/>
      <c r="AC926" s="2"/>
    </row>
    <row r="927" spans="1:29" ht="17.399999999999999" x14ac:dyDescent="0.25">
      <c r="A927" s="1"/>
      <c r="B927" s="2"/>
      <c r="C927" s="2"/>
      <c r="D927" s="2"/>
      <c r="E927" s="2"/>
      <c r="F927" s="2"/>
      <c r="G927" s="2"/>
      <c r="H927" s="2"/>
      <c r="I927" s="2"/>
      <c r="J927" s="2"/>
      <c r="K927" s="2"/>
      <c r="L927" s="2"/>
      <c r="M927" s="2"/>
      <c r="N927" s="2"/>
      <c r="O927" s="1"/>
      <c r="P927" s="2"/>
      <c r="Q927" s="2"/>
      <c r="R927" s="2"/>
      <c r="S927" s="2"/>
      <c r="T927" s="2"/>
      <c r="U927" s="2"/>
      <c r="V927" s="2"/>
      <c r="W927" s="2"/>
      <c r="X927" s="2"/>
      <c r="Y927" s="2"/>
      <c r="Z927" s="2"/>
      <c r="AA927" s="2"/>
      <c r="AB927" s="2"/>
      <c r="AC927" s="2"/>
    </row>
    <row r="928" spans="1:29" ht="17.399999999999999" x14ac:dyDescent="0.25">
      <c r="A928" s="1"/>
      <c r="B928" s="2"/>
      <c r="C928" s="2"/>
      <c r="D928" s="2"/>
      <c r="E928" s="2"/>
      <c r="F928" s="2"/>
      <c r="G928" s="2"/>
      <c r="H928" s="2"/>
      <c r="I928" s="2"/>
      <c r="J928" s="2"/>
      <c r="K928" s="2"/>
      <c r="L928" s="2"/>
      <c r="M928" s="2"/>
      <c r="N928" s="2"/>
      <c r="O928" s="1"/>
      <c r="P928" s="2"/>
      <c r="Q928" s="2"/>
      <c r="R928" s="2"/>
      <c r="S928" s="2"/>
      <c r="T928" s="2"/>
      <c r="U928" s="2"/>
      <c r="V928" s="2"/>
      <c r="W928" s="2"/>
      <c r="X928" s="2"/>
      <c r="Y928" s="2"/>
      <c r="Z928" s="2"/>
      <c r="AA928" s="2"/>
      <c r="AB928" s="2"/>
      <c r="AC928" s="2"/>
    </row>
    <row r="929" spans="1:29" ht="17.399999999999999" x14ac:dyDescent="0.25">
      <c r="A929" s="1"/>
      <c r="B929" s="2"/>
      <c r="C929" s="2"/>
      <c r="D929" s="2"/>
      <c r="E929" s="2"/>
      <c r="F929" s="2"/>
      <c r="G929" s="2"/>
      <c r="H929" s="2"/>
      <c r="I929" s="2"/>
      <c r="J929" s="2"/>
      <c r="K929" s="2"/>
      <c r="L929" s="2"/>
      <c r="M929" s="2"/>
      <c r="N929" s="2"/>
      <c r="O929" s="1"/>
      <c r="P929" s="2"/>
      <c r="Q929" s="2"/>
      <c r="R929" s="2"/>
      <c r="S929" s="2"/>
      <c r="T929" s="2"/>
      <c r="U929" s="2"/>
      <c r="V929" s="2"/>
      <c r="W929" s="2"/>
      <c r="X929" s="2"/>
      <c r="Y929" s="2"/>
      <c r="Z929" s="2"/>
      <c r="AA929" s="2"/>
      <c r="AB929" s="2"/>
      <c r="AC929" s="2"/>
    </row>
    <row r="930" spans="1:29" ht="17.399999999999999" x14ac:dyDescent="0.25">
      <c r="A930" s="1"/>
      <c r="B930" s="2"/>
      <c r="C930" s="2"/>
      <c r="D930" s="2"/>
      <c r="E930" s="2"/>
      <c r="F930" s="2"/>
      <c r="G930" s="2"/>
      <c r="H930" s="2"/>
      <c r="I930" s="2"/>
      <c r="J930" s="2"/>
      <c r="K930" s="2"/>
      <c r="L930" s="2"/>
      <c r="M930" s="2"/>
      <c r="N930" s="2"/>
      <c r="O930" s="1"/>
      <c r="P930" s="2"/>
      <c r="Q930" s="2"/>
      <c r="R930" s="2"/>
      <c r="S930" s="2"/>
      <c r="T930" s="2"/>
      <c r="U930" s="2"/>
      <c r="V930" s="2"/>
      <c r="W930" s="2"/>
      <c r="X930" s="2"/>
      <c r="Y930" s="2"/>
      <c r="Z930" s="2"/>
      <c r="AA930" s="2"/>
      <c r="AB930" s="2"/>
      <c r="AC930" s="2"/>
    </row>
    <row r="931" spans="1:29" ht="17.399999999999999" x14ac:dyDescent="0.25">
      <c r="A931" s="1"/>
      <c r="B931" s="2"/>
      <c r="C931" s="2"/>
      <c r="D931" s="2"/>
      <c r="E931" s="2"/>
      <c r="F931" s="2"/>
      <c r="G931" s="2"/>
      <c r="H931" s="2"/>
      <c r="I931" s="2"/>
      <c r="J931" s="2"/>
      <c r="K931" s="2"/>
      <c r="L931" s="2"/>
      <c r="M931" s="2"/>
      <c r="N931" s="2"/>
      <c r="O931" s="1"/>
      <c r="P931" s="2"/>
      <c r="Q931" s="2"/>
      <c r="R931" s="2"/>
      <c r="S931" s="2"/>
      <c r="T931" s="2"/>
      <c r="U931" s="2"/>
      <c r="V931" s="2"/>
      <c r="W931" s="2"/>
      <c r="X931" s="2"/>
      <c r="Y931" s="2"/>
      <c r="Z931" s="2"/>
      <c r="AA931" s="2"/>
      <c r="AB931" s="2"/>
      <c r="AC931" s="2"/>
    </row>
    <row r="932" spans="1:29" ht="17.399999999999999" x14ac:dyDescent="0.25">
      <c r="A932" s="1"/>
      <c r="B932" s="2"/>
      <c r="C932" s="2"/>
      <c r="D932" s="2"/>
      <c r="E932" s="2"/>
      <c r="F932" s="2"/>
      <c r="G932" s="2"/>
      <c r="H932" s="2"/>
      <c r="I932" s="2"/>
      <c r="J932" s="2"/>
      <c r="K932" s="2"/>
      <c r="L932" s="2"/>
      <c r="M932" s="2"/>
      <c r="N932" s="2"/>
      <c r="O932" s="1"/>
      <c r="P932" s="2"/>
      <c r="Q932" s="2"/>
      <c r="R932" s="2"/>
      <c r="S932" s="2"/>
      <c r="T932" s="2"/>
      <c r="U932" s="2"/>
      <c r="V932" s="2"/>
      <c r="W932" s="2"/>
      <c r="X932" s="2"/>
      <c r="Y932" s="2"/>
      <c r="Z932" s="2"/>
      <c r="AA932" s="2"/>
      <c r="AB932" s="2"/>
      <c r="AC932" s="2"/>
    </row>
    <row r="933" spans="1:29" ht="17.399999999999999" x14ac:dyDescent="0.25">
      <c r="A933" s="1"/>
      <c r="B933" s="2"/>
      <c r="C933" s="2"/>
      <c r="D933" s="2"/>
      <c r="E933" s="2"/>
      <c r="F933" s="2"/>
      <c r="G933" s="2"/>
      <c r="H933" s="2"/>
      <c r="I933" s="2"/>
      <c r="J933" s="2"/>
      <c r="K933" s="2"/>
      <c r="L933" s="2"/>
      <c r="M933" s="2"/>
      <c r="N933" s="2"/>
      <c r="O933" s="1"/>
      <c r="P933" s="2"/>
      <c r="Q933" s="2"/>
      <c r="R933" s="2"/>
      <c r="S933" s="2"/>
      <c r="T933" s="2"/>
      <c r="U933" s="2"/>
      <c r="V933" s="2"/>
      <c r="W933" s="2"/>
      <c r="X933" s="2"/>
      <c r="Y933" s="2"/>
      <c r="Z933" s="2"/>
      <c r="AA933" s="2"/>
      <c r="AB933" s="2"/>
      <c r="AC933" s="2"/>
    </row>
    <row r="934" spans="1:29" ht="17.399999999999999" x14ac:dyDescent="0.25">
      <c r="A934" s="1"/>
      <c r="B934" s="2"/>
      <c r="C934" s="2"/>
      <c r="D934" s="2"/>
      <c r="E934" s="2"/>
      <c r="F934" s="2"/>
      <c r="G934" s="2"/>
      <c r="H934" s="2"/>
      <c r="I934" s="2"/>
      <c r="J934" s="2"/>
      <c r="K934" s="2"/>
      <c r="L934" s="2"/>
      <c r="M934" s="2"/>
      <c r="N934" s="2"/>
      <c r="O934" s="1"/>
      <c r="P934" s="2"/>
      <c r="Q934" s="2"/>
      <c r="R934" s="2"/>
      <c r="S934" s="2"/>
      <c r="T934" s="2"/>
      <c r="U934" s="2"/>
      <c r="V934" s="2"/>
      <c r="W934" s="2"/>
      <c r="X934" s="2"/>
      <c r="Y934" s="2"/>
      <c r="Z934" s="2"/>
      <c r="AA934" s="2"/>
      <c r="AB934" s="2"/>
      <c r="AC934" s="2"/>
    </row>
    <row r="935" spans="1:29" ht="17.399999999999999" x14ac:dyDescent="0.25">
      <c r="A935" s="1"/>
      <c r="B935" s="2"/>
      <c r="C935" s="2"/>
      <c r="D935" s="2"/>
      <c r="E935" s="2"/>
      <c r="F935" s="2"/>
      <c r="G935" s="2"/>
      <c r="H935" s="2"/>
      <c r="I935" s="2"/>
      <c r="J935" s="2"/>
      <c r="K935" s="2"/>
      <c r="L935" s="2"/>
      <c r="M935" s="2"/>
      <c r="N935" s="2"/>
      <c r="O935" s="1"/>
      <c r="P935" s="2"/>
      <c r="Q935" s="2"/>
      <c r="R935" s="2"/>
      <c r="S935" s="2"/>
      <c r="T935" s="2"/>
      <c r="U935" s="2"/>
      <c r="V935" s="2"/>
      <c r="W935" s="2"/>
      <c r="X935" s="2"/>
      <c r="Y935" s="2"/>
      <c r="Z935" s="2"/>
      <c r="AA935" s="2"/>
      <c r="AB935" s="2"/>
      <c r="AC935" s="2"/>
    </row>
    <row r="936" spans="1:29" ht="17.399999999999999" x14ac:dyDescent="0.25">
      <c r="A936" s="1"/>
      <c r="B936" s="2"/>
      <c r="C936" s="2"/>
      <c r="D936" s="2"/>
      <c r="E936" s="2"/>
      <c r="F936" s="2"/>
      <c r="G936" s="2"/>
      <c r="H936" s="2"/>
      <c r="I936" s="2"/>
      <c r="J936" s="2"/>
      <c r="K936" s="2"/>
      <c r="L936" s="2"/>
      <c r="M936" s="2"/>
      <c r="N936" s="2"/>
      <c r="O936" s="1"/>
      <c r="P936" s="2"/>
      <c r="Q936" s="2"/>
      <c r="R936" s="2"/>
      <c r="S936" s="2"/>
      <c r="T936" s="2"/>
      <c r="U936" s="2"/>
      <c r="V936" s="2"/>
      <c r="W936" s="2"/>
      <c r="X936" s="2"/>
      <c r="Y936" s="2"/>
      <c r="Z936" s="2"/>
      <c r="AA936" s="2"/>
      <c r="AB936" s="2"/>
      <c r="AC936" s="2"/>
    </row>
    <row r="937" spans="1:29" ht="17.399999999999999" x14ac:dyDescent="0.25">
      <c r="A937" s="1"/>
      <c r="B937" s="2"/>
      <c r="C937" s="2"/>
      <c r="D937" s="2"/>
      <c r="E937" s="2"/>
      <c r="F937" s="2"/>
      <c r="G937" s="2"/>
      <c r="H937" s="2"/>
      <c r="I937" s="2"/>
      <c r="J937" s="2"/>
      <c r="K937" s="2"/>
      <c r="L937" s="2"/>
      <c r="M937" s="2"/>
      <c r="N937" s="2"/>
      <c r="O937" s="1"/>
      <c r="P937" s="2"/>
      <c r="Q937" s="2"/>
      <c r="R937" s="2"/>
      <c r="S937" s="2"/>
      <c r="T937" s="2"/>
      <c r="U937" s="2"/>
      <c r="V937" s="2"/>
      <c r="W937" s="2"/>
      <c r="X937" s="2"/>
      <c r="Y937" s="2"/>
      <c r="Z937" s="2"/>
      <c r="AA937" s="2"/>
      <c r="AB937" s="2"/>
      <c r="AC937" s="2"/>
    </row>
    <row r="938" spans="1:29" ht="17.399999999999999" x14ac:dyDescent="0.25">
      <c r="A938" s="1"/>
      <c r="B938" s="2"/>
      <c r="C938" s="2"/>
      <c r="D938" s="2"/>
      <c r="E938" s="2"/>
      <c r="F938" s="2"/>
      <c r="G938" s="2"/>
      <c r="H938" s="2"/>
      <c r="I938" s="2"/>
      <c r="J938" s="2"/>
      <c r="K938" s="2"/>
      <c r="L938" s="2"/>
      <c r="M938" s="2"/>
      <c r="N938" s="2"/>
      <c r="O938" s="1"/>
      <c r="P938" s="2"/>
      <c r="Q938" s="2"/>
      <c r="R938" s="2"/>
      <c r="S938" s="2"/>
      <c r="T938" s="2"/>
      <c r="U938" s="2"/>
      <c r="V938" s="2"/>
      <c r="W938" s="2"/>
      <c r="X938" s="2"/>
      <c r="Y938" s="2"/>
      <c r="Z938" s="2"/>
      <c r="AA938" s="2"/>
      <c r="AB938" s="2"/>
      <c r="AC938" s="2"/>
    </row>
    <row r="939" spans="1:29" ht="17.399999999999999" x14ac:dyDescent="0.25">
      <c r="A939" s="1"/>
      <c r="B939" s="2"/>
      <c r="C939" s="2"/>
      <c r="D939" s="2"/>
      <c r="E939" s="2"/>
      <c r="F939" s="2"/>
      <c r="G939" s="2"/>
      <c r="H939" s="2"/>
      <c r="I939" s="2"/>
      <c r="J939" s="2"/>
      <c r="K939" s="2"/>
      <c r="L939" s="2"/>
      <c r="M939" s="2"/>
      <c r="N939" s="2"/>
      <c r="O939" s="1"/>
      <c r="P939" s="2"/>
      <c r="Q939" s="2"/>
      <c r="R939" s="2"/>
      <c r="S939" s="2"/>
      <c r="T939" s="2"/>
      <c r="U939" s="2"/>
      <c r="V939" s="2"/>
      <c r="W939" s="2"/>
      <c r="X939" s="2"/>
      <c r="Y939" s="2"/>
      <c r="Z939" s="2"/>
      <c r="AA939" s="2"/>
      <c r="AB939" s="2"/>
      <c r="AC939" s="2"/>
    </row>
    <row r="940" spans="1:29" ht="17.399999999999999" x14ac:dyDescent="0.25">
      <c r="A940" s="1"/>
      <c r="B940" s="2"/>
      <c r="C940" s="2"/>
      <c r="D940" s="2"/>
      <c r="E940" s="2"/>
      <c r="F940" s="2"/>
      <c r="G940" s="2"/>
      <c r="H940" s="2"/>
      <c r="I940" s="2"/>
      <c r="J940" s="2"/>
      <c r="K940" s="2"/>
      <c r="L940" s="2"/>
      <c r="M940" s="2"/>
      <c r="N940" s="2"/>
      <c r="O940" s="1"/>
      <c r="P940" s="2"/>
      <c r="Q940" s="2"/>
      <c r="R940" s="2"/>
      <c r="S940" s="2"/>
      <c r="T940" s="2"/>
      <c r="U940" s="2"/>
      <c r="V940" s="2"/>
      <c r="W940" s="2"/>
      <c r="X940" s="2"/>
      <c r="Y940" s="2"/>
      <c r="Z940" s="2"/>
      <c r="AA940" s="2"/>
      <c r="AB940" s="2"/>
      <c r="AC940" s="2"/>
    </row>
    <row r="941" spans="1:29" ht="17.399999999999999" x14ac:dyDescent="0.25">
      <c r="A941" s="1"/>
      <c r="B941" s="2"/>
      <c r="C941" s="2"/>
      <c r="D941" s="2"/>
      <c r="E941" s="2"/>
      <c r="F941" s="2"/>
      <c r="G941" s="2"/>
      <c r="H941" s="2"/>
      <c r="I941" s="2"/>
      <c r="J941" s="2"/>
      <c r="K941" s="2"/>
      <c r="L941" s="2"/>
      <c r="M941" s="2"/>
      <c r="N941" s="2"/>
      <c r="O941" s="1"/>
      <c r="P941" s="2"/>
      <c r="Q941" s="2"/>
      <c r="R941" s="2"/>
      <c r="S941" s="2"/>
      <c r="T941" s="2"/>
      <c r="U941" s="2"/>
      <c r="V941" s="2"/>
      <c r="W941" s="2"/>
      <c r="X941" s="2"/>
      <c r="Y941" s="2"/>
      <c r="Z941" s="2"/>
      <c r="AA941" s="2"/>
      <c r="AB941" s="2"/>
      <c r="AC941" s="2"/>
    </row>
    <row r="942" spans="1:29" ht="17.399999999999999" x14ac:dyDescent="0.25">
      <c r="A942" s="1"/>
      <c r="B942" s="2"/>
      <c r="C942" s="2"/>
      <c r="D942" s="2"/>
      <c r="E942" s="2"/>
      <c r="F942" s="2"/>
      <c r="G942" s="2"/>
      <c r="H942" s="2"/>
      <c r="I942" s="2"/>
      <c r="J942" s="2"/>
      <c r="K942" s="2"/>
      <c r="L942" s="2"/>
      <c r="M942" s="2"/>
      <c r="N942" s="2"/>
      <c r="O942" s="1"/>
      <c r="P942" s="2"/>
      <c r="Q942" s="2"/>
      <c r="R942" s="2"/>
      <c r="S942" s="2"/>
      <c r="T942" s="2"/>
      <c r="U942" s="2"/>
      <c r="V942" s="2"/>
      <c r="W942" s="2"/>
      <c r="X942" s="2"/>
      <c r="Y942" s="2"/>
      <c r="Z942" s="2"/>
      <c r="AA942" s="2"/>
      <c r="AB942" s="2"/>
      <c r="AC942" s="2"/>
    </row>
    <row r="943" spans="1:29" ht="17.399999999999999" x14ac:dyDescent="0.25">
      <c r="A943" s="1"/>
      <c r="B943" s="2"/>
      <c r="C943" s="2"/>
      <c r="D943" s="2"/>
      <c r="E943" s="2"/>
      <c r="F943" s="2"/>
      <c r="G943" s="2"/>
      <c r="H943" s="2"/>
      <c r="I943" s="2"/>
      <c r="J943" s="2"/>
      <c r="K943" s="2"/>
      <c r="L943" s="2"/>
      <c r="M943" s="2"/>
      <c r="N943" s="2"/>
      <c r="O943" s="1"/>
      <c r="P943" s="2"/>
      <c r="Q943" s="2"/>
      <c r="R943" s="2"/>
      <c r="S943" s="2"/>
      <c r="T943" s="2"/>
      <c r="U943" s="2"/>
      <c r="V943" s="2"/>
      <c r="W943" s="2"/>
      <c r="X943" s="2"/>
      <c r="Y943" s="2"/>
      <c r="Z943" s="2"/>
      <c r="AA943" s="2"/>
      <c r="AB943" s="2"/>
      <c r="AC943" s="2"/>
    </row>
    <row r="944" spans="1:29" ht="17.399999999999999" x14ac:dyDescent="0.25">
      <c r="A944" s="1"/>
      <c r="B944" s="2"/>
      <c r="C944" s="2"/>
      <c r="D944" s="2"/>
      <c r="E944" s="2"/>
      <c r="F944" s="2"/>
      <c r="G944" s="2"/>
      <c r="H944" s="2"/>
      <c r="I944" s="2"/>
      <c r="J944" s="2"/>
      <c r="K944" s="2"/>
      <c r="L944" s="2"/>
      <c r="M944" s="2"/>
      <c r="N944" s="2"/>
      <c r="O944" s="1"/>
      <c r="P944" s="2"/>
      <c r="Q944" s="2"/>
      <c r="R944" s="2"/>
      <c r="S944" s="2"/>
      <c r="T944" s="2"/>
      <c r="U944" s="2"/>
      <c r="V944" s="2"/>
      <c r="W944" s="2"/>
      <c r="X944" s="2"/>
      <c r="Y944" s="2"/>
      <c r="Z944" s="2"/>
      <c r="AA944" s="2"/>
      <c r="AB944" s="2"/>
      <c r="AC944" s="2"/>
    </row>
    <row r="945" spans="1:29" ht="17.399999999999999" x14ac:dyDescent="0.25">
      <c r="A945" s="1"/>
      <c r="B945" s="2"/>
      <c r="C945" s="2"/>
      <c r="D945" s="2"/>
      <c r="E945" s="2"/>
      <c r="F945" s="2"/>
      <c r="G945" s="2"/>
      <c r="H945" s="2"/>
      <c r="I945" s="2"/>
      <c r="J945" s="2"/>
      <c r="K945" s="2"/>
      <c r="L945" s="2"/>
      <c r="M945" s="2"/>
      <c r="N945" s="2"/>
      <c r="O945" s="1"/>
      <c r="P945" s="2"/>
      <c r="Q945" s="2"/>
      <c r="R945" s="2"/>
      <c r="S945" s="2"/>
      <c r="T945" s="2"/>
      <c r="U945" s="2"/>
      <c r="V945" s="2"/>
      <c r="W945" s="2"/>
      <c r="X945" s="2"/>
      <c r="Y945" s="2"/>
      <c r="Z945" s="2"/>
      <c r="AA945" s="2"/>
      <c r="AB945" s="2"/>
      <c r="AC945" s="2"/>
    </row>
    <row r="946" spans="1:29" ht="17.399999999999999" x14ac:dyDescent="0.25">
      <c r="A946" s="1"/>
      <c r="B946" s="2"/>
      <c r="C946" s="2"/>
      <c r="D946" s="2"/>
      <c r="E946" s="2"/>
      <c r="F946" s="2"/>
      <c r="G946" s="2"/>
      <c r="H946" s="2"/>
      <c r="I946" s="2"/>
      <c r="J946" s="2"/>
      <c r="K946" s="2"/>
      <c r="L946" s="2"/>
      <c r="M946" s="2"/>
      <c r="N946" s="2"/>
      <c r="O946" s="1"/>
      <c r="P946" s="2"/>
      <c r="Q946" s="2"/>
      <c r="R946" s="2"/>
      <c r="S946" s="2"/>
      <c r="T946" s="2"/>
      <c r="U946" s="2"/>
      <c r="V946" s="2"/>
      <c r="W946" s="2"/>
      <c r="X946" s="2"/>
      <c r="Y946" s="2"/>
      <c r="Z946" s="2"/>
      <c r="AA946" s="2"/>
      <c r="AB946" s="2"/>
      <c r="AC946" s="2"/>
    </row>
    <row r="947" spans="1:29" ht="17.399999999999999" x14ac:dyDescent="0.25">
      <c r="A947" s="1"/>
      <c r="B947" s="2"/>
      <c r="C947" s="2"/>
      <c r="D947" s="2"/>
      <c r="E947" s="2"/>
      <c r="F947" s="2"/>
      <c r="G947" s="2"/>
      <c r="H947" s="2"/>
      <c r="I947" s="2"/>
      <c r="J947" s="2"/>
      <c r="K947" s="2"/>
      <c r="L947" s="2"/>
      <c r="M947" s="2"/>
      <c r="N947" s="2"/>
      <c r="O947" s="1"/>
      <c r="P947" s="2"/>
      <c r="Q947" s="2"/>
      <c r="R947" s="2"/>
      <c r="S947" s="2"/>
      <c r="T947" s="2"/>
      <c r="U947" s="2"/>
      <c r="V947" s="2"/>
      <c r="W947" s="2"/>
      <c r="X947" s="2"/>
      <c r="Y947" s="2"/>
      <c r="Z947" s="2"/>
      <c r="AA947" s="2"/>
      <c r="AB947" s="2"/>
      <c r="AC947" s="2"/>
    </row>
    <row r="948" spans="1:29" ht="17.399999999999999" x14ac:dyDescent="0.25">
      <c r="A948" s="1"/>
      <c r="B948" s="2"/>
      <c r="C948" s="2"/>
      <c r="D948" s="2"/>
      <c r="E948" s="2"/>
      <c r="F948" s="2"/>
      <c r="G948" s="2"/>
      <c r="H948" s="2"/>
      <c r="I948" s="2"/>
      <c r="J948" s="2"/>
      <c r="K948" s="2"/>
      <c r="L948" s="2"/>
      <c r="M948" s="2"/>
      <c r="N948" s="2"/>
      <c r="O948" s="1"/>
      <c r="P948" s="2"/>
      <c r="Q948" s="2"/>
      <c r="R948" s="2"/>
      <c r="S948" s="2"/>
      <c r="T948" s="2"/>
      <c r="U948" s="2"/>
      <c r="V948" s="2"/>
      <c r="W948" s="2"/>
      <c r="X948" s="2"/>
      <c r="Y948" s="2"/>
      <c r="Z948" s="2"/>
      <c r="AA948" s="2"/>
      <c r="AB948" s="2"/>
      <c r="AC948" s="2"/>
    </row>
    <row r="949" spans="1:29" ht="17.399999999999999" x14ac:dyDescent="0.25">
      <c r="A949" s="1"/>
      <c r="B949" s="2"/>
      <c r="C949" s="2"/>
      <c r="D949" s="2"/>
      <c r="E949" s="2"/>
      <c r="F949" s="2"/>
      <c r="G949" s="2"/>
      <c r="H949" s="2"/>
      <c r="I949" s="2"/>
      <c r="J949" s="2"/>
      <c r="K949" s="2"/>
      <c r="L949" s="2"/>
      <c r="M949" s="2"/>
      <c r="N949" s="2"/>
      <c r="O949" s="1"/>
      <c r="P949" s="2"/>
      <c r="Q949" s="2"/>
      <c r="R949" s="2"/>
      <c r="S949" s="2"/>
      <c r="T949" s="2"/>
      <c r="U949" s="2"/>
      <c r="V949" s="2"/>
      <c r="W949" s="2"/>
      <c r="X949" s="2"/>
      <c r="Y949" s="2"/>
      <c r="Z949" s="2"/>
      <c r="AA949" s="2"/>
      <c r="AB949" s="2"/>
      <c r="AC949" s="2"/>
    </row>
    <row r="950" spans="1:29" ht="17.399999999999999" x14ac:dyDescent="0.25">
      <c r="A950" s="1"/>
      <c r="B950" s="2"/>
      <c r="C950" s="2"/>
      <c r="D950" s="2"/>
      <c r="E950" s="2"/>
      <c r="F950" s="2"/>
      <c r="G950" s="2"/>
      <c r="H950" s="2"/>
      <c r="I950" s="2"/>
      <c r="J950" s="2"/>
      <c r="K950" s="2"/>
      <c r="L950" s="2"/>
      <c r="M950" s="2"/>
      <c r="N950" s="2"/>
      <c r="O950" s="1"/>
      <c r="P950" s="2"/>
      <c r="Q950" s="2"/>
      <c r="R950" s="2"/>
      <c r="S950" s="2"/>
      <c r="T950" s="2"/>
      <c r="U950" s="2"/>
      <c r="V950" s="2"/>
      <c r="W950" s="2"/>
      <c r="X950" s="2"/>
      <c r="Y950" s="2"/>
      <c r="Z950" s="2"/>
      <c r="AA950" s="2"/>
      <c r="AB950" s="2"/>
      <c r="AC950" s="2"/>
    </row>
    <row r="951" spans="1:29" ht="17.399999999999999" x14ac:dyDescent="0.25">
      <c r="A951" s="1"/>
      <c r="B951" s="2"/>
      <c r="C951" s="2"/>
      <c r="D951" s="2"/>
      <c r="E951" s="2"/>
      <c r="F951" s="2"/>
      <c r="G951" s="2"/>
      <c r="H951" s="2"/>
      <c r="I951" s="2"/>
      <c r="J951" s="2"/>
      <c r="K951" s="2"/>
      <c r="L951" s="2"/>
      <c r="M951" s="2"/>
      <c r="N951" s="2"/>
      <c r="O951" s="1"/>
      <c r="P951" s="2"/>
      <c r="Q951" s="2"/>
      <c r="R951" s="2"/>
      <c r="S951" s="2"/>
      <c r="T951" s="2"/>
      <c r="U951" s="2"/>
      <c r="V951" s="2"/>
      <c r="W951" s="2"/>
      <c r="X951" s="2"/>
      <c r="Y951" s="2"/>
      <c r="Z951" s="2"/>
      <c r="AA951" s="2"/>
      <c r="AB951" s="2"/>
      <c r="AC951" s="2"/>
    </row>
    <row r="952" spans="1:29" ht="17.399999999999999" x14ac:dyDescent="0.25">
      <c r="A952" s="1"/>
      <c r="B952" s="2"/>
      <c r="C952" s="2"/>
      <c r="D952" s="2"/>
      <c r="E952" s="2"/>
      <c r="F952" s="2"/>
      <c r="G952" s="2"/>
      <c r="H952" s="2"/>
      <c r="I952" s="2"/>
      <c r="J952" s="2"/>
      <c r="K952" s="2"/>
      <c r="L952" s="2"/>
      <c r="M952" s="2"/>
      <c r="N952" s="2"/>
      <c r="O952" s="1"/>
      <c r="P952" s="2"/>
      <c r="Q952" s="2"/>
      <c r="R952" s="2"/>
      <c r="S952" s="2"/>
      <c r="T952" s="2"/>
      <c r="U952" s="2"/>
      <c r="V952" s="2"/>
      <c r="W952" s="2"/>
      <c r="X952" s="2"/>
      <c r="Y952" s="2"/>
      <c r="Z952" s="2"/>
      <c r="AA952" s="2"/>
      <c r="AB952" s="2"/>
      <c r="AC952" s="2"/>
    </row>
    <row r="953" spans="1:29" ht="17.399999999999999" x14ac:dyDescent="0.25">
      <c r="A953" s="1"/>
      <c r="B953" s="2"/>
      <c r="C953" s="2"/>
      <c r="D953" s="2"/>
      <c r="E953" s="2"/>
      <c r="F953" s="2"/>
      <c r="G953" s="2"/>
      <c r="H953" s="2"/>
      <c r="I953" s="2"/>
      <c r="J953" s="2"/>
      <c r="K953" s="2"/>
      <c r="L953" s="2"/>
      <c r="M953" s="2"/>
      <c r="N953" s="2"/>
      <c r="O953" s="1"/>
      <c r="P953" s="2"/>
      <c r="Q953" s="2"/>
      <c r="R953" s="2"/>
      <c r="S953" s="2"/>
      <c r="T953" s="2"/>
      <c r="U953" s="2"/>
      <c r="V953" s="2"/>
      <c r="W953" s="2"/>
      <c r="X953" s="2"/>
      <c r="Y953" s="2"/>
      <c r="Z953" s="2"/>
      <c r="AA953" s="2"/>
      <c r="AB953" s="2"/>
      <c r="AC953" s="2"/>
    </row>
    <row r="954" spans="1:29" ht="17.399999999999999" x14ac:dyDescent="0.25">
      <c r="A954" s="1"/>
      <c r="B954" s="2"/>
      <c r="C954" s="2"/>
      <c r="D954" s="2"/>
      <c r="E954" s="2"/>
      <c r="F954" s="2"/>
      <c r="G954" s="2"/>
      <c r="H954" s="2"/>
      <c r="I954" s="2"/>
      <c r="J954" s="2"/>
      <c r="K954" s="2"/>
      <c r="L954" s="2"/>
      <c r="M954" s="2"/>
      <c r="N954" s="2"/>
      <c r="O954" s="1"/>
      <c r="P954" s="2"/>
      <c r="Q954" s="2"/>
      <c r="R954" s="2"/>
      <c r="S954" s="2"/>
      <c r="T954" s="2"/>
      <c r="U954" s="2"/>
      <c r="V954" s="2"/>
      <c r="W954" s="2"/>
      <c r="X954" s="2"/>
      <c r="Y954" s="2"/>
      <c r="Z954" s="2"/>
      <c r="AA954" s="2"/>
      <c r="AB954" s="2"/>
      <c r="AC954" s="2"/>
    </row>
    <row r="955" spans="1:29" ht="17.399999999999999" x14ac:dyDescent="0.25">
      <c r="A955" s="1"/>
      <c r="B955" s="2"/>
      <c r="C955" s="2"/>
      <c r="D955" s="2"/>
      <c r="E955" s="2"/>
      <c r="F955" s="2"/>
      <c r="G955" s="2"/>
      <c r="H955" s="2"/>
      <c r="I955" s="2"/>
      <c r="J955" s="2"/>
      <c r="K955" s="2"/>
      <c r="L955" s="2"/>
      <c r="M955" s="2"/>
      <c r="N955" s="2"/>
      <c r="O955" s="1"/>
      <c r="P955" s="2"/>
      <c r="Q955" s="2"/>
      <c r="R955" s="2"/>
      <c r="S955" s="2"/>
      <c r="T955" s="2"/>
      <c r="U955" s="2"/>
      <c r="V955" s="2"/>
      <c r="W955" s="2"/>
      <c r="X955" s="2"/>
      <c r="Y955" s="2"/>
      <c r="Z955" s="2"/>
      <c r="AA955" s="2"/>
      <c r="AB955" s="2"/>
      <c r="AC955" s="2"/>
    </row>
    <row r="956" spans="1:29" ht="17.399999999999999" x14ac:dyDescent="0.25">
      <c r="A956" s="1"/>
      <c r="B956" s="2"/>
      <c r="C956" s="2"/>
      <c r="D956" s="2"/>
      <c r="E956" s="2"/>
      <c r="F956" s="2"/>
      <c r="G956" s="2"/>
      <c r="H956" s="2"/>
      <c r="I956" s="2"/>
      <c r="J956" s="2"/>
      <c r="K956" s="2"/>
      <c r="L956" s="2"/>
      <c r="M956" s="2"/>
      <c r="N956" s="2"/>
      <c r="O956" s="1"/>
      <c r="P956" s="2"/>
      <c r="Q956" s="2"/>
      <c r="R956" s="2"/>
      <c r="S956" s="2"/>
      <c r="T956" s="2"/>
      <c r="U956" s="2"/>
      <c r="V956" s="2"/>
      <c r="W956" s="2"/>
      <c r="X956" s="2"/>
      <c r="Y956" s="2"/>
      <c r="Z956" s="2"/>
      <c r="AA956" s="2"/>
      <c r="AB956" s="2"/>
      <c r="AC956" s="2"/>
    </row>
    <row r="957" spans="1:29" ht="17.399999999999999" x14ac:dyDescent="0.25">
      <c r="A957" s="1"/>
      <c r="B957" s="2"/>
      <c r="C957" s="2"/>
      <c r="D957" s="2"/>
      <c r="E957" s="2"/>
      <c r="F957" s="2"/>
      <c r="G957" s="2"/>
      <c r="H957" s="2"/>
      <c r="I957" s="2"/>
      <c r="J957" s="2"/>
      <c r="K957" s="2"/>
      <c r="L957" s="2"/>
      <c r="M957" s="2"/>
      <c r="N957" s="2"/>
      <c r="O957" s="1"/>
      <c r="P957" s="2"/>
      <c r="Q957" s="2"/>
      <c r="R957" s="2"/>
      <c r="S957" s="2"/>
      <c r="T957" s="2"/>
      <c r="U957" s="2"/>
      <c r="V957" s="2"/>
      <c r="W957" s="2"/>
      <c r="X957" s="2"/>
      <c r="Y957" s="2"/>
      <c r="Z957" s="2"/>
      <c r="AA957" s="2"/>
      <c r="AB957" s="2"/>
      <c r="AC957" s="2"/>
    </row>
    <row r="958" spans="1:29" ht="17.399999999999999" x14ac:dyDescent="0.25">
      <c r="A958" s="1"/>
      <c r="B958" s="2"/>
      <c r="C958" s="2"/>
      <c r="D958" s="2"/>
      <c r="E958" s="2"/>
      <c r="F958" s="2"/>
      <c r="G958" s="2"/>
      <c r="H958" s="2"/>
      <c r="I958" s="2"/>
      <c r="J958" s="2"/>
      <c r="K958" s="2"/>
      <c r="L958" s="2"/>
      <c r="M958" s="2"/>
      <c r="N958" s="2"/>
      <c r="O958" s="1"/>
      <c r="P958" s="2"/>
      <c r="Q958" s="2"/>
      <c r="R958" s="2"/>
      <c r="S958" s="2"/>
      <c r="T958" s="2"/>
      <c r="U958" s="2"/>
      <c r="V958" s="2"/>
      <c r="W958" s="2"/>
      <c r="X958" s="2"/>
      <c r="Y958" s="2"/>
      <c r="Z958" s="2"/>
      <c r="AA958" s="2"/>
      <c r="AB958" s="2"/>
      <c r="AC958" s="2"/>
    </row>
    <row r="959" spans="1:29" ht="17.399999999999999" x14ac:dyDescent="0.25">
      <c r="A959" s="1"/>
      <c r="B959" s="2"/>
      <c r="C959" s="2"/>
      <c r="D959" s="2"/>
      <c r="E959" s="2"/>
      <c r="F959" s="2"/>
      <c r="G959" s="2"/>
      <c r="H959" s="2"/>
      <c r="I959" s="2"/>
      <c r="J959" s="2"/>
      <c r="K959" s="2"/>
      <c r="L959" s="2"/>
      <c r="M959" s="2"/>
      <c r="N959" s="2"/>
      <c r="O959" s="1"/>
      <c r="P959" s="2"/>
      <c r="Q959" s="2"/>
      <c r="R959" s="2"/>
      <c r="S959" s="2"/>
      <c r="T959" s="2"/>
      <c r="U959" s="2"/>
      <c r="V959" s="2"/>
      <c r="W959" s="2"/>
      <c r="X959" s="2"/>
      <c r="Y959" s="2"/>
      <c r="Z959" s="2"/>
      <c r="AA959" s="2"/>
      <c r="AB959" s="2"/>
      <c r="AC959" s="2"/>
    </row>
    <row r="960" spans="1:29" ht="17.399999999999999" x14ac:dyDescent="0.25">
      <c r="A960" s="1"/>
      <c r="B960" s="2"/>
      <c r="C960" s="2"/>
      <c r="D960" s="2"/>
      <c r="E960" s="2"/>
      <c r="F960" s="2"/>
      <c r="G960" s="2"/>
      <c r="H960" s="2"/>
      <c r="I960" s="2"/>
      <c r="J960" s="2"/>
      <c r="K960" s="2"/>
      <c r="L960" s="2"/>
      <c r="M960" s="2"/>
      <c r="N960" s="2"/>
      <c r="O960" s="1"/>
      <c r="P960" s="2"/>
      <c r="Q960" s="2"/>
      <c r="R960" s="2"/>
      <c r="S960" s="2"/>
      <c r="T960" s="2"/>
      <c r="U960" s="2"/>
      <c r="V960" s="2"/>
      <c r="W960" s="2"/>
      <c r="X960" s="2"/>
      <c r="Y960" s="2"/>
      <c r="Z960" s="2"/>
      <c r="AA960" s="2"/>
      <c r="AB960" s="2"/>
      <c r="AC960" s="2"/>
    </row>
    <row r="961" spans="1:29" ht="17.399999999999999" x14ac:dyDescent="0.25">
      <c r="A961" s="1"/>
      <c r="B961" s="2"/>
      <c r="C961" s="2"/>
      <c r="D961" s="2"/>
      <c r="E961" s="2"/>
      <c r="F961" s="2"/>
      <c r="G961" s="2"/>
      <c r="H961" s="2"/>
      <c r="I961" s="2"/>
      <c r="J961" s="2"/>
      <c r="K961" s="2"/>
      <c r="L961" s="2"/>
      <c r="M961" s="2"/>
      <c r="N961" s="2"/>
      <c r="O961" s="1"/>
      <c r="P961" s="2"/>
      <c r="Q961" s="2"/>
      <c r="R961" s="2"/>
      <c r="S961" s="2"/>
      <c r="T961" s="2"/>
      <c r="U961" s="2"/>
      <c r="V961" s="2"/>
      <c r="W961" s="2"/>
      <c r="X961" s="2"/>
      <c r="Y961" s="2"/>
      <c r="Z961" s="2"/>
      <c r="AA961" s="2"/>
      <c r="AB961" s="2"/>
      <c r="AC961" s="2"/>
    </row>
    <row r="962" spans="1:29" ht="17.399999999999999" x14ac:dyDescent="0.25">
      <c r="A962" s="1"/>
      <c r="B962" s="2"/>
      <c r="C962" s="2"/>
      <c r="D962" s="2"/>
      <c r="E962" s="2"/>
      <c r="F962" s="2"/>
      <c r="G962" s="2"/>
      <c r="H962" s="2"/>
      <c r="I962" s="2"/>
      <c r="J962" s="2"/>
      <c r="K962" s="2"/>
      <c r="L962" s="2"/>
      <c r="M962" s="2"/>
      <c r="N962" s="2"/>
      <c r="O962" s="1"/>
      <c r="P962" s="2"/>
      <c r="Q962" s="2"/>
      <c r="R962" s="2"/>
      <c r="S962" s="2"/>
      <c r="T962" s="2"/>
      <c r="U962" s="2"/>
      <c r="V962" s="2"/>
      <c r="W962" s="2"/>
      <c r="X962" s="2"/>
      <c r="Y962" s="2"/>
      <c r="Z962" s="2"/>
      <c r="AA962" s="2"/>
      <c r="AB962" s="2"/>
      <c r="AC962" s="2"/>
    </row>
    <row r="963" spans="1:29" ht="17.399999999999999" x14ac:dyDescent="0.25">
      <c r="A963" s="1"/>
      <c r="B963" s="2"/>
      <c r="C963" s="2"/>
      <c r="D963" s="2"/>
      <c r="E963" s="2"/>
      <c r="F963" s="2"/>
      <c r="G963" s="2"/>
      <c r="H963" s="2"/>
      <c r="I963" s="2"/>
      <c r="J963" s="2"/>
      <c r="K963" s="2"/>
      <c r="L963" s="2"/>
      <c r="M963" s="2"/>
      <c r="N963" s="2"/>
      <c r="O963" s="1"/>
      <c r="P963" s="2"/>
      <c r="Q963" s="2"/>
      <c r="R963" s="2"/>
      <c r="S963" s="2"/>
      <c r="T963" s="2"/>
      <c r="U963" s="2"/>
      <c r="V963" s="2"/>
      <c r="W963" s="2"/>
      <c r="X963" s="2"/>
      <c r="Y963" s="2"/>
      <c r="Z963" s="2"/>
      <c r="AA963" s="2"/>
      <c r="AB963" s="2"/>
      <c r="AC963" s="2"/>
    </row>
    <row r="964" spans="1:29" ht="17.399999999999999" x14ac:dyDescent="0.25">
      <c r="A964" s="1"/>
      <c r="B964" s="2"/>
      <c r="C964" s="2"/>
      <c r="D964" s="2"/>
      <c r="E964" s="2"/>
      <c r="F964" s="2"/>
      <c r="G964" s="2"/>
      <c r="H964" s="2"/>
      <c r="I964" s="2"/>
      <c r="J964" s="2"/>
      <c r="K964" s="2"/>
      <c r="L964" s="2"/>
      <c r="M964" s="2"/>
      <c r="N964" s="2"/>
      <c r="O964" s="1"/>
      <c r="P964" s="2"/>
      <c r="Q964" s="2"/>
      <c r="R964" s="2"/>
      <c r="S964" s="2"/>
      <c r="T964" s="2"/>
      <c r="U964" s="2"/>
      <c r="V964" s="2"/>
      <c r="W964" s="2"/>
      <c r="X964" s="2"/>
      <c r="Y964" s="2"/>
      <c r="Z964" s="2"/>
      <c r="AA964" s="2"/>
      <c r="AB964" s="2"/>
      <c r="AC964" s="2"/>
    </row>
    <row r="965" spans="1:29" ht="17.399999999999999" x14ac:dyDescent="0.25">
      <c r="A965" s="1"/>
      <c r="B965" s="2"/>
      <c r="C965" s="2"/>
      <c r="D965" s="2"/>
      <c r="E965" s="2"/>
      <c r="F965" s="2"/>
      <c r="G965" s="2"/>
      <c r="H965" s="2"/>
      <c r="I965" s="2"/>
      <c r="J965" s="2"/>
      <c r="K965" s="2"/>
      <c r="L965" s="2"/>
      <c r="M965" s="2"/>
      <c r="N965" s="2"/>
      <c r="O965" s="1"/>
      <c r="P965" s="2"/>
      <c r="Q965" s="2"/>
      <c r="R965" s="2"/>
      <c r="S965" s="2"/>
      <c r="T965" s="2"/>
      <c r="U965" s="2"/>
      <c r="V965" s="2"/>
      <c r="W965" s="2"/>
      <c r="X965" s="2"/>
      <c r="Y965" s="2"/>
      <c r="Z965" s="2"/>
      <c r="AA965" s="2"/>
      <c r="AB965" s="2"/>
      <c r="AC965" s="2"/>
    </row>
    <row r="966" spans="1:29" ht="17.399999999999999" x14ac:dyDescent="0.25">
      <c r="A966" s="1"/>
      <c r="B966" s="2"/>
      <c r="C966" s="2"/>
      <c r="D966" s="2"/>
      <c r="E966" s="2"/>
      <c r="F966" s="2"/>
      <c r="G966" s="2"/>
      <c r="H966" s="2"/>
      <c r="I966" s="2"/>
      <c r="J966" s="2"/>
      <c r="K966" s="2"/>
      <c r="L966" s="2"/>
      <c r="M966" s="2"/>
      <c r="N966" s="2"/>
      <c r="O966" s="1"/>
      <c r="P966" s="2"/>
      <c r="Q966" s="2"/>
      <c r="R966" s="2"/>
      <c r="S966" s="2"/>
      <c r="T966" s="2"/>
      <c r="U966" s="2"/>
      <c r="V966" s="2"/>
      <c r="W966" s="2"/>
      <c r="X966" s="2"/>
      <c r="Y966" s="2"/>
      <c r="Z966" s="2"/>
      <c r="AA966" s="2"/>
      <c r="AB966" s="2"/>
      <c r="AC966" s="2"/>
    </row>
    <row r="967" spans="1:29" ht="17.399999999999999" x14ac:dyDescent="0.25">
      <c r="A967" s="1"/>
      <c r="B967" s="2"/>
      <c r="C967" s="2"/>
      <c r="D967" s="2"/>
      <c r="E967" s="2"/>
      <c r="F967" s="2"/>
      <c r="G967" s="2"/>
      <c r="H967" s="2"/>
      <c r="I967" s="2"/>
      <c r="J967" s="2"/>
      <c r="K967" s="2"/>
      <c r="L967" s="2"/>
      <c r="M967" s="2"/>
      <c r="N967" s="2"/>
      <c r="O967" s="1"/>
      <c r="P967" s="2"/>
      <c r="Q967" s="2"/>
      <c r="R967" s="2"/>
      <c r="S967" s="2"/>
      <c r="T967" s="2"/>
      <c r="U967" s="2"/>
      <c r="V967" s="2"/>
      <c r="W967" s="2"/>
      <c r="X967" s="2"/>
      <c r="Y967" s="2"/>
      <c r="Z967" s="2"/>
      <c r="AA967" s="2"/>
      <c r="AB967" s="2"/>
      <c r="AC967" s="2"/>
    </row>
    <row r="968" spans="1:29" ht="17.399999999999999" x14ac:dyDescent="0.25">
      <c r="A968" s="1"/>
      <c r="B968" s="2"/>
      <c r="C968" s="2"/>
      <c r="D968" s="2"/>
      <c r="E968" s="2"/>
      <c r="F968" s="2"/>
      <c r="G968" s="2"/>
      <c r="H968" s="2"/>
      <c r="I968" s="2"/>
      <c r="J968" s="2"/>
      <c r="K968" s="2"/>
      <c r="L968" s="2"/>
      <c r="M968" s="2"/>
      <c r="N968" s="2"/>
      <c r="O968" s="1"/>
      <c r="P968" s="2"/>
      <c r="Q968" s="2"/>
      <c r="R968" s="2"/>
      <c r="S968" s="2"/>
      <c r="T968" s="2"/>
      <c r="U968" s="2"/>
      <c r="V968" s="2"/>
      <c r="W968" s="2"/>
      <c r="X968" s="2"/>
      <c r="Y968" s="2"/>
      <c r="Z968" s="2"/>
      <c r="AA968" s="2"/>
      <c r="AB968" s="2"/>
      <c r="AC968" s="2"/>
    </row>
    <row r="969" spans="1:29" ht="17.399999999999999" x14ac:dyDescent="0.25">
      <c r="A969" s="1"/>
      <c r="B969" s="2"/>
      <c r="C969" s="2"/>
      <c r="D969" s="2"/>
      <c r="E969" s="2"/>
      <c r="F969" s="2"/>
      <c r="G969" s="2"/>
      <c r="H969" s="2"/>
      <c r="I969" s="2"/>
      <c r="J969" s="2"/>
      <c r="K969" s="2"/>
      <c r="L969" s="2"/>
      <c r="M969" s="2"/>
      <c r="N969" s="2"/>
      <c r="O969" s="1"/>
      <c r="P969" s="2"/>
      <c r="Q969" s="2"/>
      <c r="R969" s="2"/>
      <c r="S969" s="2"/>
      <c r="T969" s="2"/>
      <c r="U969" s="2"/>
      <c r="V969" s="2"/>
      <c r="W969" s="2"/>
      <c r="X969" s="2"/>
      <c r="Y969" s="2"/>
      <c r="Z969" s="2"/>
      <c r="AA969" s="2"/>
      <c r="AB969" s="2"/>
      <c r="AC969" s="2"/>
    </row>
    <row r="970" spans="1:29" ht="17.399999999999999" x14ac:dyDescent="0.25">
      <c r="A970" s="1"/>
      <c r="B970" s="2"/>
      <c r="C970" s="2"/>
      <c r="D970" s="2"/>
      <c r="E970" s="2"/>
      <c r="F970" s="2"/>
      <c r="G970" s="2"/>
      <c r="H970" s="2"/>
      <c r="I970" s="2"/>
      <c r="J970" s="2"/>
      <c r="K970" s="2"/>
      <c r="L970" s="2"/>
      <c r="M970" s="2"/>
      <c r="N970" s="2"/>
      <c r="O970" s="1"/>
      <c r="P970" s="2"/>
      <c r="Q970" s="2"/>
      <c r="R970" s="2"/>
      <c r="S970" s="2"/>
      <c r="T970" s="2"/>
      <c r="U970" s="2"/>
      <c r="V970" s="2"/>
      <c r="W970" s="2"/>
      <c r="X970" s="2"/>
      <c r="Y970" s="2"/>
      <c r="Z970" s="2"/>
      <c r="AA970" s="2"/>
      <c r="AB970" s="2"/>
      <c r="AC970" s="2"/>
    </row>
    <row r="971" spans="1:29" ht="17.399999999999999" x14ac:dyDescent="0.25">
      <c r="A971" s="1"/>
      <c r="B971" s="2"/>
      <c r="C971" s="2"/>
      <c r="D971" s="2"/>
      <c r="E971" s="2"/>
      <c r="F971" s="2"/>
      <c r="G971" s="2"/>
      <c r="H971" s="2"/>
      <c r="I971" s="2"/>
      <c r="J971" s="2"/>
      <c r="K971" s="2"/>
      <c r="L971" s="2"/>
      <c r="M971" s="2"/>
      <c r="N971" s="2"/>
      <c r="O971" s="1"/>
      <c r="P971" s="2"/>
      <c r="Q971" s="2"/>
      <c r="R971" s="2"/>
      <c r="S971" s="2"/>
      <c r="T971" s="2"/>
      <c r="U971" s="2"/>
      <c r="V971" s="2"/>
      <c r="W971" s="2"/>
      <c r="X971" s="2"/>
      <c r="Y971" s="2"/>
      <c r="Z971" s="2"/>
      <c r="AA971" s="2"/>
      <c r="AB971" s="2"/>
      <c r="AC971" s="2"/>
    </row>
    <row r="972" spans="1:29" ht="17.399999999999999" x14ac:dyDescent="0.25">
      <c r="A972" s="1"/>
      <c r="B972" s="2"/>
      <c r="C972" s="2"/>
      <c r="D972" s="2"/>
      <c r="E972" s="2"/>
      <c r="F972" s="2"/>
      <c r="G972" s="2"/>
      <c r="H972" s="2"/>
      <c r="I972" s="2"/>
      <c r="J972" s="2"/>
      <c r="K972" s="2"/>
      <c r="L972" s="2"/>
      <c r="M972" s="2"/>
      <c r="N972" s="2"/>
      <c r="O972" s="1"/>
      <c r="P972" s="2"/>
      <c r="Q972" s="2"/>
      <c r="R972" s="2"/>
      <c r="S972" s="2"/>
      <c r="T972" s="2"/>
      <c r="U972" s="2"/>
      <c r="V972" s="2"/>
      <c r="W972" s="2"/>
      <c r="X972" s="2"/>
      <c r="Y972" s="2"/>
      <c r="Z972" s="2"/>
      <c r="AA972" s="2"/>
      <c r="AB972" s="2"/>
      <c r="AC972" s="2"/>
    </row>
    <row r="973" spans="1:29" ht="17.399999999999999" x14ac:dyDescent="0.25">
      <c r="A973" s="1"/>
      <c r="B973" s="2"/>
      <c r="C973" s="2"/>
      <c r="D973" s="2"/>
      <c r="E973" s="2"/>
      <c r="F973" s="2"/>
      <c r="G973" s="2"/>
      <c r="H973" s="2"/>
      <c r="I973" s="2"/>
      <c r="J973" s="2"/>
      <c r="K973" s="2"/>
      <c r="L973" s="2"/>
      <c r="M973" s="2"/>
      <c r="N973" s="2"/>
      <c r="O973" s="1"/>
      <c r="P973" s="2"/>
      <c r="Q973" s="2"/>
      <c r="R973" s="2"/>
      <c r="S973" s="2"/>
      <c r="T973" s="2"/>
      <c r="U973" s="2"/>
      <c r="V973" s="2"/>
      <c r="W973" s="2"/>
      <c r="X973" s="2"/>
      <c r="Y973" s="2"/>
      <c r="Z973" s="2"/>
      <c r="AA973" s="2"/>
      <c r="AB973" s="2"/>
      <c r="AC973" s="2"/>
    </row>
    <row r="974" spans="1:29" ht="17.399999999999999" x14ac:dyDescent="0.25">
      <c r="A974" s="1"/>
      <c r="B974" s="2"/>
      <c r="C974" s="2"/>
      <c r="D974" s="2"/>
      <c r="E974" s="2"/>
      <c r="F974" s="2"/>
      <c r="G974" s="2"/>
      <c r="H974" s="2"/>
      <c r="I974" s="2"/>
      <c r="J974" s="2"/>
      <c r="K974" s="2"/>
      <c r="L974" s="2"/>
      <c r="M974" s="2"/>
      <c r="N974" s="2"/>
      <c r="O974" s="1"/>
      <c r="P974" s="2"/>
      <c r="Q974" s="2"/>
      <c r="R974" s="2"/>
      <c r="S974" s="2"/>
      <c r="T974" s="2"/>
      <c r="U974" s="2"/>
      <c r="V974" s="2"/>
      <c r="W974" s="2"/>
      <c r="X974" s="2"/>
      <c r="Y974" s="2"/>
      <c r="Z974" s="2"/>
      <c r="AA974" s="2"/>
      <c r="AB974" s="2"/>
      <c r="AC974" s="2"/>
    </row>
    <row r="975" spans="1:29" ht="17.399999999999999" x14ac:dyDescent="0.25">
      <c r="A975" s="1"/>
      <c r="B975" s="2"/>
      <c r="C975" s="2"/>
      <c r="D975" s="2"/>
      <c r="E975" s="2"/>
      <c r="F975" s="2"/>
      <c r="G975" s="2"/>
      <c r="H975" s="2"/>
      <c r="I975" s="2"/>
      <c r="J975" s="2"/>
      <c r="K975" s="2"/>
      <c r="L975" s="2"/>
      <c r="M975" s="2"/>
      <c r="N975" s="2"/>
      <c r="O975" s="1"/>
      <c r="P975" s="2"/>
      <c r="Q975" s="2"/>
      <c r="R975" s="2"/>
      <c r="S975" s="2"/>
      <c r="T975" s="2"/>
      <c r="U975" s="2"/>
      <c r="V975" s="2"/>
      <c r="W975" s="2"/>
      <c r="X975" s="2"/>
      <c r="Y975" s="2"/>
      <c r="Z975" s="2"/>
      <c r="AA975" s="2"/>
      <c r="AB975" s="2"/>
      <c r="AC975" s="2"/>
    </row>
    <row r="976" spans="1:29" ht="17.399999999999999" x14ac:dyDescent="0.25">
      <c r="A976" s="1"/>
      <c r="B976" s="2"/>
      <c r="C976" s="2"/>
      <c r="D976" s="2"/>
      <c r="E976" s="2"/>
      <c r="F976" s="2"/>
      <c r="G976" s="2"/>
      <c r="H976" s="2"/>
      <c r="I976" s="2"/>
      <c r="J976" s="2"/>
      <c r="K976" s="2"/>
      <c r="L976" s="2"/>
      <c r="M976" s="2"/>
      <c r="N976" s="2"/>
      <c r="O976" s="1"/>
      <c r="P976" s="2"/>
      <c r="Q976" s="2"/>
      <c r="R976" s="2"/>
      <c r="S976" s="2"/>
      <c r="T976" s="2"/>
      <c r="U976" s="2"/>
      <c r="V976" s="2"/>
      <c r="W976" s="2"/>
      <c r="X976" s="2"/>
      <c r="Y976" s="2"/>
      <c r="Z976" s="2"/>
      <c r="AA976" s="2"/>
      <c r="AB976" s="2"/>
      <c r="AC976" s="2"/>
    </row>
    <row r="977" spans="1:29" ht="17.399999999999999" x14ac:dyDescent="0.25">
      <c r="A977" s="1"/>
      <c r="B977" s="2"/>
      <c r="C977" s="2"/>
      <c r="D977" s="2"/>
      <c r="E977" s="2"/>
      <c r="F977" s="2"/>
      <c r="G977" s="2"/>
      <c r="H977" s="2"/>
      <c r="I977" s="2"/>
      <c r="J977" s="2"/>
      <c r="K977" s="2"/>
      <c r="L977" s="2"/>
      <c r="M977" s="2"/>
      <c r="N977" s="2"/>
      <c r="O977" s="1"/>
      <c r="P977" s="2"/>
      <c r="Q977" s="2"/>
      <c r="R977" s="2"/>
      <c r="S977" s="2"/>
      <c r="T977" s="2"/>
      <c r="U977" s="2"/>
      <c r="V977" s="2"/>
      <c r="W977" s="2"/>
      <c r="X977" s="2"/>
      <c r="Y977" s="2"/>
      <c r="Z977" s="2"/>
      <c r="AA977" s="2"/>
      <c r="AB977" s="2"/>
      <c r="AC977" s="2"/>
    </row>
    <row r="978" spans="1:29" ht="17.399999999999999" x14ac:dyDescent="0.25">
      <c r="A978" s="1"/>
      <c r="B978" s="2"/>
      <c r="C978" s="2"/>
      <c r="D978" s="2"/>
      <c r="E978" s="2"/>
      <c r="F978" s="2"/>
      <c r="G978" s="2"/>
      <c r="H978" s="2"/>
      <c r="I978" s="2"/>
      <c r="J978" s="2"/>
      <c r="K978" s="2"/>
      <c r="L978" s="2"/>
      <c r="M978" s="2"/>
      <c r="N978" s="2"/>
      <c r="O978" s="1"/>
      <c r="P978" s="2"/>
      <c r="Q978" s="2"/>
      <c r="R978" s="2"/>
      <c r="S978" s="2"/>
      <c r="T978" s="2"/>
      <c r="U978" s="2"/>
      <c r="V978" s="2"/>
      <c r="W978" s="2"/>
      <c r="X978" s="2"/>
      <c r="Y978" s="2"/>
      <c r="Z978" s="2"/>
      <c r="AA978" s="2"/>
      <c r="AB978" s="2"/>
      <c r="AC978" s="2"/>
    </row>
    <row r="979" spans="1:29" ht="17.399999999999999" x14ac:dyDescent="0.25">
      <c r="A979" s="1"/>
      <c r="B979" s="2"/>
      <c r="C979" s="2"/>
      <c r="D979" s="2"/>
      <c r="E979" s="2"/>
      <c r="F979" s="2"/>
      <c r="G979" s="2"/>
      <c r="H979" s="2"/>
      <c r="I979" s="2"/>
      <c r="J979" s="2"/>
      <c r="K979" s="2"/>
      <c r="L979" s="2"/>
      <c r="M979" s="2"/>
      <c r="N979" s="2"/>
      <c r="O979" s="1"/>
      <c r="P979" s="2"/>
      <c r="Q979" s="2"/>
      <c r="R979" s="2"/>
      <c r="S979" s="2"/>
      <c r="T979" s="2"/>
      <c r="U979" s="2"/>
      <c r="V979" s="2"/>
      <c r="W979" s="2"/>
      <c r="X979" s="2"/>
      <c r="Y979" s="2"/>
      <c r="Z979" s="2"/>
      <c r="AA979" s="2"/>
      <c r="AB979" s="2"/>
      <c r="AC979" s="2"/>
    </row>
    <row r="980" spans="1:29" ht="17.399999999999999" x14ac:dyDescent="0.25">
      <c r="A980" s="1"/>
      <c r="B980" s="2"/>
      <c r="C980" s="2"/>
      <c r="D980" s="2"/>
      <c r="E980" s="2"/>
      <c r="F980" s="2"/>
      <c r="G980" s="2"/>
      <c r="H980" s="2"/>
      <c r="I980" s="2"/>
      <c r="J980" s="2"/>
      <c r="K980" s="2"/>
      <c r="L980" s="2"/>
      <c r="M980" s="2"/>
      <c r="N980" s="2"/>
      <c r="O980" s="1"/>
      <c r="P980" s="2"/>
      <c r="Q980" s="2"/>
      <c r="R980" s="2"/>
      <c r="S980" s="2"/>
      <c r="T980" s="2"/>
      <c r="U980" s="2"/>
      <c r="V980" s="2"/>
      <c r="W980" s="2"/>
      <c r="X980" s="2"/>
      <c r="Y980" s="2"/>
      <c r="Z980" s="2"/>
      <c r="AA980" s="2"/>
      <c r="AB980" s="2"/>
      <c r="AC980" s="2"/>
    </row>
    <row r="981" spans="1:29" ht="17.399999999999999" x14ac:dyDescent="0.25">
      <c r="A981" s="1"/>
      <c r="B981" s="2"/>
      <c r="C981" s="2"/>
      <c r="D981" s="2"/>
      <c r="E981" s="2"/>
      <c r="F981" s="2"/>
      <c r="G981" s="2"/>
      <c r="H981" s="2"/>
      <c r="I981" s="2"/>
      <c r="J981" s="2"/>
      <c r="K981" s="2"/>
      <c r="L981" s="2"/>
      <c r="M981" s="2"/>
      <c r="N981" s="2"/>
      <c r="O981" s="1"/>
      <c r="P981" s="2"/>
      <c r="Q981" s="2"/>
      <c r="R981" s="2"/>
      <c r="S981" s="2"/>
      <c r="T981" s="2"/>
      <c r="U981" s="2"/>
      <c r="V981" s="2"/>
      <c r="W981" s="2"/>
      <c r="X981" s="2"/>
      <c r="Y981" s="2"/>
      <c r="Z981" s="2"/>
      <c r="AA981" s="2"/>
      <c r="AB981" s="2"/>
      <c r="AC981" s="2"/>
    </row>
    <row r="982" spans="1:29" ht="17.399999999999999" x14ac:dyDescent="0.25">
      <c r="A982" s="1"/>
      <c r="B982" s="2"/>
      <c r="C982" s="2"/>
      <c r="D982" s="2"/>
      <c r="E982" s="2"/>
      <c r="F982" s="2"/>
      <c r="G982" s="2"/>
      <c r="H982" s="2"/>
      <c r="I982" s="2"/>
      <c r="J982" s="2"/>
      <c r="K982" s="2"/>
      <c r="L982" s="2"/>
      <c r="M982" s="2"/>
      <c r="N982" s="2"/>
      <c r="O982" s="1"/>
      <c r="P982" s="2"/>
      <c r="Q982" s="2"/>
      <c r="R982" s="2"/>
      <c r="S982" s="2"/>
      <c r="T982" s="2"/>
      <c r="U982" s="2"/>
      <c r="V982" s="2"/>
      <c r="W982" s="2"/>
      <c r="X982" s="2"/>
      <c r="Y982" s="2"/>
      <c r="Z982" s="2"/>
      <c r="AA982" s="2"/>
      <c r="AB982" s="2"/>
      <c r="AC982" s="2"/>
    </row>
    <row r="983" spans="1:29" ht="17.399999999999999" x14ac:dyDescent="0.25">
      <c r="A983" s="1"/>
      <c r="B983" s="2"/>
      <c r="C983" s="2"/>
      <c r="D983" s="2"/>
      <c r="E983" s="2"/>
      <c r="F983" s="2"/>
      <c r="G983" s="2"/>
      <c r="H983" s="2"/>
      <c r="I983" s="2"/>
      <c r="J983" s="2"/>
      <c r="K983" s="2"/>
      <c r="L983" s="2"/>
      <c r="M983" s="2"/>
      <c r="N983" s="2"/>
      <c r="O983" s="1"/>
      <c r="P983" s="2"/>
      <c r="Q983" s="2"/>
      <c r="R983" s="2"/>
      <c r="S983" s="2"/>
      <c r="T983" s="2"/>
      <c r="U983" s="2"/>
      <c r="V983" s="2"/>
      <c r="W983" s="2"/>
      <c r="X983" s="2"/>
      <c r="Y983" s="2"/>
      <c r="Z983" s="2"/>
      <c r="AA983" s="2"/>
      <c r="AB983" s="2"/>
      <c r="AC983" s="2"/>
    </row>
    <row r="984" spans="1:29" ht="17.399999999999999" x14ac:dyDescent="0.25">
      <c r="A984" s="1"/>
      <c r="B984" s="2"/>
      <c r="C984" s="2"/>
      <c r="D984" s="2"/>
      <c r="E984" s="2"/>
      <c r="F984" s="2"/>
      <c r="G984" s="2"/>
      <c r="H984" s="2"/>
      <c r="I984" s="2"/>
      <c r="J984" s="2"/>
      <c r="K984" s="2"/>
      <c r="L984" s="2"/>
      <c r="M984" s="2"/>
      <c r="N984" s="2"/>
      <c r="O984" s="1"/>
      <c r="P984" s="2"/>
      <c r="Q984" s="2"/>
      <c r="R984" s="2"/>
      <c r="S984" s="2"/>
      <c r="T984" s="2"/>
      <c r="U984" s="2"/>
      <c r="V984" s="2"/>
      <c r="W984" s="2"/>
      <c r="X984" s="2"/>
      <c r="Y984" s="2"/>
      <c r="Z984" s="2"/>
      <c r="AA984" s="2"/>
      <c r="AB984" s="2"/>
      <c r="AC984" s="2"/>
    </row>
    <row r="985" spans="1:29" ht="17.399999999999999" x14ac:dyDescent="0.25">
      <c r="A985" s="1"/>
      <c r="B985" s="2"/>
      <c r="C985" s="2"/>
      <c r="D985" s="2"/>
      <c r="E985" s="2"/>
      <c r="F985" s="2"/>
      <c r="G985" s="2"/>
      <c r="H985" s="2"/>
      <c r="I985" s="2"/>
      <c r="J985" s="2"/>
      <c r="K985" s="2"/>
      <c r="L985" s="2"/>
      <c r="M985" s="2"/>
      <c r="N985" s="2"/>
      <c r="O985" s="1"/>
      <c r="P985" s="2"/>
      <c r="Q985" s="2"/>
      <c r="R985" s="2"/>
      <c r="S985" s="2"/>
      <c r="T985" s="2"/>
      <c r="U985" s="2"/>
      <c r="V985" s="2"/>
      <c r="W985" s="2"/>
      <c r="X985" s="2"/>
      <c r="Y985" s="2"/>
      <c r="Z985" s="2"/>
      <c r="AA985" s="2"/>
      <c r="AB985" s="2"/>
      <c r="AC985" s="2"/>
    </row>
    <row r="986" spans="1:29" ht="17.399999999999999" x14ac:dyDescent="0.25">
      <c r="A986" s="1"/>
      <c r="B986" s="2"/>
      <c r="C986" s="2"/>
      <c r="D986" s="2"/>
      <c r="E986" s="2"/>
      <c r="F986" s="2"/>
      <c r="G986" s="2"/>
      <c r="H986" s="2"/>
      <c r="I986" s="2"/>
      <c r="J986" s="2"/>
      <c r="K986" s="2"/>
      <c r="L986" s="2"/>
      <c r="M986" s="2"/>
      <c r="N986" s="2"/>
      <c r="O986" s="1"/>
      <c r="P986" s="2"/>
      <c r="Q986" s="2"/>
      <c r="R986" s="2"/>
      <c r="S986" s="2"/>
      <c r="T986" s="2"/>
      <c r="U986" s="2"/>
      <c r="V986" s="2"/>
      <c r="W986" s="2"/>
      <c r="X986" s="2"/>
      <c r="Y986" s="2"/>
      <c r="Z986" s="2"/>
      <c r="AA986" s="2"/>
      <c r="AB986" s="2"/>
      <c r="AC986" s="2"/>
    </row>
    <row r="987" spans="1:29" ht="17.399999999999999" x14ac:dyDescent="0.25">
      <c r="A987" s="1"/>
      <c r="B987" s="2"/>
      <c r="C987" s="2"/>
      <c r="D987" s="2"/>
      <c r="E987" s="2"/>
      <c r="F987" s="2"/>
      <c r="G987" s="2"/>
      <c r="H987" s="2"/>
      <c r="I987" s="2"/>
      <c r="J987" s="2"/>
      <c r="K987" s="2"/>
      <c r="L987" s="2"/>
      <c r="M987" s="2"/>
      <c r="N987" s="2"/>
      <c r="O987" s="1"/>
      <c r="P987" s="2"/>
      <c r="Q987" s="2"/>
      <c r="R987" s="2"/>
      <c r="S987" s="2"/>
      <c r="T987" s="2"/>
      <c r="U987" s="2"/>
      <c r="V987" s="2"/>
      <c r="W987" s="2"/>
      <c r="X987" s="2"/>
      <c r="Y987" s="2"/>
      <c r="Z987" s="2"/>
      <c r="AA987" s="2"/>
      <c r="AB987" s="2"/>
      <c r="AC987" s="2"/>
    </row>
    <row r="988" spans="1:29" ht="17.399999999999999" x14ac:dyDescent="0.25">
      <c r="A988" s="1"/>
      <c r="B988" s="2"/>
      <c r="C988" s="2"/>
      <c r="D988" s="2"/>
      <c r="E988" s="2"/>
      <c r="F988" s="2"/>
      <c r="G988" s="2"/>
      <c r="H988" s="2"/>
      <c r="I988" s="2"/>
      <c r="J988" s="2"/>
      <c r="K988" s="2"/>
      <c r="L988" s="2"/>
      <c r="M988" s="2"/>
      <c r="N988" s="2"/>
      <c r="O988" s="1"/>
      <c r="P988" s="2"/>
      <c r="Q988" s="2"/>
      <c r="R988" s="2"/>
      <c r="S988" s="2"/>
      <c r="T988" s="2"/>
      <c r="U988" s="2"/>
      <c r="V988" s="2"/>
      <c r="W988" s="2"/>
      <c r="X988" s="2"/>
      <c r="Y988" s="2"/>
      <c r="Z988" s="2"/>
      <c r="AA988" s="2"/>
      <c r="AB988" s="2"/>
      <c r="AC988" s="2"/>
    </row>
    <row r="989" spans="1:29" ht="17.399999999999999" x14ac:dyDescent="0.25">
      <c r="A989" s="1"/>
      <c r="B989" s="2"/>
      <c r="C989" s="2"/>
      <c r="D989" s="2"/>
      <c r="E989" s="2"/>
      <c r="F989" s="2"/>
      <c r="G989" s="2"/>
      <c r="H989" s="2"/>
      <c r="I989" s="2"/>
      <c r="J989" s="2"/>
      <c r="K989" s="2"/>
      <c r="L989" s="2"/>
      <c r="M989" s="2"/>
      <c r="N989" s="2"/>
      <c r="O989" s="1"/>
      <c r="P989" s="2"/>
      <c r="Q989" s="2"/>
      <c r="R989" s="2"/>
      <c r="S989" s="2"/>
      <c r="T989" s="2"/>
      <c r="U989" s="2"/>
      <c r="V989" s="2"/>
      <c r="W989" s="2"/>
      <c r="X989" s="2"/>
      <c r="Y989" s="2"/>
      <c r="Z989" s="2"/>
      <c r="AA989" s="2"/>
      <c r="AB989" s="2"/>
      <c r="AC989" s="2"/>
    </row>
    <row r="990" spans="1:29" ht="17.399999999999999" x14ac:dyDescent="0.25">
      <c r="A990" s="1"/>
      <c r="B990" s="2"/>
      <c r="C990" s="2"/>
      <c r="D990" s="2"/>
      <c r="E990" s="2"/>
      <c r="F990" s="2"/>
      <c r="G990" s="2"/>
      <c r="H990" s="2"/>
      <c r="I990" s="2"/>
      <c r="J990" s="2"/>
      <c r="K990" s="2"/>
      <c r="L990" s="2"/>
      <c r="M990" s="2"/>
      <c r="N990" s="2"/>
      <c r="O990" s="1"/>
      <c r="P990" s="2"/>
      <c r="Q990" s="2"/>
      <c r="R990" s="2"/>
      <c r="S990" s="2"/>
      <c r="T990" s="2"/>
      <c r="U990" s="2"/>
      <c r="V990" s="2"/>
      <c r="W990" s="2"/>
      <c r="X990" s="2"/>
      <c r="Y990" s="2"/>
      <c r="Z990" s="2"/>
      <c r="AA990" s="2"/>
      <c r="AB990" s="2"/>
      <c r="AC990" s="2"/>
    </row>
    <row r="991" spans="1:29" ht="17.399999999999999" x14ac:dyDescent="0.25">
      <c r="A991" s="1"/>
      <c r="B991" s="2"/>
      <c r="C991" s="2"/>
      <c r="D991" s="2"/>
      <c r="E991" s="2"/>
      <c r="F991" s="2"/>
      <c r="G991" s="2"/>
      <c r="H991" s="2"/>
      <c r="I991" s="2"/>
      <c r="J991" s="2"/>
      <c r="K991" s="2"/>
      <c r="L991" s="2"/>
      <c r="M991" s="2"/>
      <c r="N991" s="2"/>
      <c r="O991" s="1"/>
      <c r="P991" s="2"/>
      <c r="Q991" s="2"/>
      <c r="R991" s="2"/>
      <c r="S991" s="2"/>
      <c r="T991" s="2"/>
      <c r="U991" s="2"/>
      <c r="V991" s="2"/>
      <c r="W991" s="2"/>
      <c r="X991" s="2"/>
      <c r="Y991" s="2"/>
      <c r="Z991" s="2"/>
      <c r="AA991" s="2"/>
      <c r="AB991" s="2"/>
      <c r="AC991" s="2"/>
    </row>
    <row r="992" spans="1:29" ht="17.399999999999999" x14ac:dyDescent="0.25">
      <c r="A992" s="1"/>
      <c r="B992" s="2"/>
      <c r="C992" s="2"/>
      <c r="D992" s="2"/>
      <c r="E992" s="2"/>
      <c r="F992" s="2"/>
      <c r="G992" s="2"/>
      <c r="H992" s="2"/>
      <c r="I992" s="2"/>
      <c r="J992" s="2"/>
      <c r="K992" s="2"/>
      <c r="L992" s="2"/>
      <c r="M992" s="2"/>
      <c r="N992" s="2"/>
      <c r="O992" s="1"/>
      <c r="P992" s="2"/>
      <c r="Q992" s="2"/>
      <c r="R992" s="2"/>
      <c r="S992" s="2"/>
      <c r="T992" s="2"/>
      <c r="U992" s="2"/>
      <c r="V992" s="2"/>
      <c r="W992" s="2"/>
      <c r="X992" s="2"/>
      <c r="Y992" s="2"/>
      <c r="Z992" s="2"/>
      <c r="AA992" s="2"/>
      <c r="AB992" s="2"/>
      <c r="AC992" s="2"/>
    </row>
    <row r="993" spans="1:29" ht="17.399999999999999" x14ac:dyDescent="0.25">
      <c r="A993" s="1"/>
      <c r="B993" s="2"/>
      <c r="C993" s="2"/>
      <c r="D993" s="2"/>
      <c r="E993" s="2"/>
      <c r="F993" s="2"/>
      <c r="G993" s="2"/>
      <c r="H993" s="2"/>
      <c r="I993" s="2"/>
      <c r="J993" s="2"/>
      <c r="K993" s="2"/>
      <c r="L993" s="2"/>
      <c r="M993" s="2"/>
      <c r="N993" s="2"/>
      <c r="O993" s="1"/>
      <c r="P993" s="2"/>
      <c r="Q993" s="2"/>
      <c r="R993" s="2"/>
      <c r="S993" s="2"/>
      <c r="T993" s="2"/>
      <c r="U993" s="2"/>
      <c r="V993" s="2"/>
      <c r="W993" s="2"/>
      <c r="X993" s="2"/>
      <c r="Y993" s="2"/>
      <c r="Z993" s="2"/>
      <c r="AA993" s="2"/>
      <c r="AB993" s="2"/>
      <c r="AC993" s="2"/>
    </row>
    <row r="994" spans="1:29" ht="17.399999999999999" x14ac:dyDescent="0.25">
      <c r="A994" s="1"/>
      <c r="B994" s="2"/>
      <c r="C994" s="2"/>
      <c r="D994" s="2"/>
      <c r="E994" s="2"/>
      <c r="F994" s="2"/>
      <c r="G994" s="2"/>
      <c r="H994" s="2"/>
      <c r="I994" s="2"/>
      <c r="J994" s="2"/>
      <c r="K994" s="2"/>
      <c r="L994" s="2"/>
      <c r="M994" s="2"/>
      <c r="N994" s="2"/>
      <c r="O994" s="1"/>
      <c r="P994" s="2"/>
      <c r="Q994" s="2"/>
      <c r="R994" s="2"/>
      <c r="S994" s="2"/>
      <c r="T994" s="2"/>
      <c r="U994" s="2"/>
      <c r="V994" s="2"/>
      <c r="W994" s="2"/>
      <c r="X994" s="2"/>
      <c r="Y994" s="2"/>
      <c r="Z994" s="2"/>
      <c r="AA994" s="2"/>
      <c r="AB994" s="2"/>
      <c r="AC994" s="2"/>
    </row>
    <row r="995" spans="1:29" ht="17.399999999999999" x14ac:dyDescent="0.25">
      <c r="A995" s="1"/>
      <c r="B995" s="2"/>
      <c r="C995" s="2"/>
      <c r="D995" s="2"/>
      <c r="E995" s="2"/>
      <c r="F995" s="2"/>
      <c r="G995" s="2"/>
      <c r="H995" s="2"/>
      <c r="I995" s="2"/>
      <c r="J995" s="2"/>
      <c r="K995" s="2"/>
      <c r="L995" s="2"/>
      <c r="M995" s="2"/>
      <c r="N995" s="2"/>
      <c r="O995" s="1"/>
      <c r="P995" s="2"/>
      <c r="Q995" s="2"/>
      <c r="R995" s="2"/>
      <c r="S995" s="2"/>
      <c r="T995" s="2"/>
      <c r="U995" s="2"/>
      <c r="V995" s="2"/>
      <c r="W995" s="2"/>
      <c r="X995" s="2"/>
      <c r="Y995" s="2"/>
      <c r="Z995" s="2"/>
      <c r="AA995" s="2"/>
      <c r="AB995" s="2"/>
      <c r="AC995" s="2"/>
    </row>
    <row r="996" spans="1:29" ht="17.399999999999999" x14ac:dyDescent="0.25">
      <c r="A996" s="1"/>
      <c r="B996" s="2"/>
      <c r="C996" s="2"/>
      <c r="D996" s="2"/>
      <c r="E996" s="2"/>
      <c r="F996" s="2"/>
      <c r="G996" s="2"/>
      <c r="H996" s="2"/>
      <c r="I996" s="2"/>
      <c r="J996" s="2"/>
      <c r="K996" s="2"/>
      <c r="L996" s="2"/>
      <c r="M996" s="2"/>
      <c r="N996" s="2"/>
      <c r="O996" s="1"/>
      <c r="P996" s="2"/>
      <c r="Q996" s="2"/>
      <c r="R996" s="2"/>
      <c r="S996" s="2"/>
      <c r="T996" s="2"/>
      <c r="U996" s="2"/>
      <c r="V996" s="2"/>
      <c r="W996" s="2"/>
      <c r="X996" s="2"/>
      <c r="Y996" s="2"/>
      <c r="Z996" s="2"/>
      <c r="AA996" s="2"/>
      <c r="AB996" s="2"/>
      <c r="AC996" s="2"/>
    </row>
    <row r="997" spans="1:29" ht="17.399999999999999" x14ac:dyDescent="0.25">
      <c r="A997" s="1"/>
      <c r="B997" s="2"/>
      <c r="C997" s="2"/>
      <c r="D997" s="2"/>
      <c r="E997" s="2"/>
      <c r="F997" s="2"/>
      <c r="G997" s="2"/>
      <c r="H997" s="2"/>
      <c r="I997" s="2"/>
      <c r="J997" s="2"/>
      <c r="K997" s="2"/>
      <c r="L997" s="2"/>
      <c r="M997" s="2"/>
      <c r="N997" s="2"/>
      <c r="O997" s="1"/>
      <c r="P997" s="2"/>
      <c r="Q997" s="2"/>
      <c r="R997" s="2"/>
      <c r="S997" s="2"/>
      <c r="T997" s="2"/>
      <c r="U997" s="2"/>
      <c r="V997" s="2"/>
      <c r="W997" s="2"/>
      <c r="X997" s="2"/>
      <c r="Y997" s="2"/>
      <c r="Z997" s="2"/>
      <c r="AA997" s="2"/>
      <c r="AB997" s="2"/>
      <c r="AC997" s="2"/>
    </row>
    <row r="998" spans="1:29" ht="17.399999999999999" x14ac:dyDescent="0.25">
      <c r="A998" s="1"/>
      <c r="B998" s="2"/>
      <c r="C998" s="2"/>
      <c r="D998" s="2"/>
      <c r="E998" s="2"/>
      <c r="F998" s="2"/>
      <c r="G998" s="2"/>
      <c r="H998" s="2"/>
      <c r="I998" s="2"/>
      <c r="J998" s="2"/>
      <c r="K998" s="2"/>
      <c r="L998" s="2"/>
      <c r="M998" s="2"/>
      <c r="N998" s="2"/>
      <c r="O998" s="1"/>
      <c r="P998" s="2"/>
      <c r="Q998" s="2"/>
      <c r="R998" s="2"/>
      <c r="S998" s="2"/>
      <c r="T998" s="2"/>
      <c r="U998" s="2"/>
      <c r="V998" s="2"/>
      <c r="W998" s="2"/>
      <c r="X998" s="2"/>
      <c r="Y998" s="2"/>
      <c r="Z998" s="2"/>
      <c r="AA998" s="2"/>
      <c r="AB998" s="2"/>
      <c r="AC998" s="2"/>
    </row>
    <row r="999" spans="1:29" ht="17.399999999999999" x14ac:dyDescent="0.25">
      <c r="A999" s="1"/>
      <c r="B999" s="2"/>
      <c r="C999" s="2"/>
      <c r="D999" s="2"/>
      <c r="E999" s="2"/>
      <c r="F999" s="2"/>
      <c r="G999" s="2"/>
      <c r="H999" s="2"/>
      <c r="I999" s="2"/>
      <c r="J999" s="2"/>
      <c r="K999" s="2"/>
      <c r="L999" s="2"/>
      <c r="M999" s="2"/>
      <c r="N999" s="2"/>
      <c r="O999" s="1"/>
      <c r="P999" s="2"/>
      <c r="Q999" s="2"/>
      <c r="R999" s="2"/>
      <c r="S999" s="2"/>
      <c r="T999" s="2"/>
      <c r="U999" s="2"/>
      <c r="V999" s="2"/>
      <c r="W999" s="2"/>
      <c r="X999" s="2"/>
      <c r="Y999" s="2"/>
      <c r="Z999" s="2"/>
      <c r="AA999" s="2"/>
      <c r="AB999" s="2"/>
      <c r="AC999" s="2"/>
    </row>
    <row r="1000" spans="1:29" ht="17.399999999999999" x14ac:dyDescent="0.25">
      <c r="A1000" s="1"/>
      <c r="B1000" s="2"/>
      <c r="C1000" s="2"/>
      <c r="D1000" s="2"/>
      <c r="E1000" s="2"/>
      <c r="F1000" s="2"/>
      <c r="G1000" s="2"/>
      <c r="H1000" s="2"/>
      <c r="I1000" s="2"/>
      <c r="J1000" s="2"/>
      <c r="K1000" s="2"/>
      <c r="L1000" s="2"/>
      <c r="M1000" s="2"/>
      <c r="N1000" s="2"/>
      <c r="O1000" s="1"/>
      <c r="P1000" s="2"/>
      <c r="Q1000" s="2"/>
      <c r="R1000" s="2"/>
      <c r="S1000" s="2"/>
      <c r="T1000" s="2"/>
      <c r="U1000" s="2"/>
      <c r="V1000" s="2"/>
      <c r="W1000" s="2"/>
      <c r="X1000" s="2"/>
      <c r="Y1000" s="2"/>
      <c r="Z1000" s="2"/>
      <c r="AA1000" s="2"/>
      <c r="AB1000" s="2"/>
      <c r="AC1000" s="2"/>
    </row>
    <row r="1001" spans="1:29" ht="17.399999999999999" x14ac:dyDescent="0.25">
      <c r="A1001" s="1"/>
      <c r="B1001" s="2"/>
      <c r="C1001" s="2"/>
      <c r="D1001" s="2"/>
      <c r="E1001" s="2"/>
      <c r="F1001" s="2"/>
      <c r="G1001" s="2"/>
      <c r="H1001" s="2"/>
      <c r="I1001" s="2"/>
      <c r="J1001" s="2"/>
      <c r="K1001" s="2"/>
      <c r="L1001" s="2"/>
      <c r="M1001" s="2"/>
      <c r="N1001" s="2"/>
      <c r="O1001" s="1"/>
      <c r="P1001" s="2"/>
      <c r="Q1001" s="2"/>
      <c r="R1001" s="2"/>
      <c r="S1001" s="2"/>
      <c r="T1001" s="2"/>
      <c r="U1001" s="2"/>
      <c r="V1001" s="2"/>
      <c r="W1001" s="2"/>
      <c r="X1001" s="2"/>
      <c r="Y1001" s="2"/>
      <c r="Z1001" s="2"/>
      <c r="AA1001" s="2"/>
      <c r="AB1001" s="2"/>
      <c r="AC1001" s="2"/>
    </row>
    <row r="1002" spans="1:29" ht="17.399999999999999" x14ac:dyDescent="0.25">
      <c r="A1002" s="1"/>
      <c r="B1002" s="2"/>
      <c r="C1002" s="2"/>
      <c r="D1002" s="2"/>
      <c r="E1002" s="2"/>
      <c r="F1002" s="2"/>
      <c r="G1002" s="2"/>
      <c r="H1002" s="2"/>
      <c r="I1002" s="2"/>
      <c r="J1002" s="2"/>
      <c r="K1002" s="2"/>
      <c r="L1002" s="2"/>
      <c r="M1002" s="2"/>
      <c r="N1002" s="2"/>
      <c r="O1002" s="1"/>
      <c r="P1002" s="2"/>
      <c r="Q1002" s="2"/>
      <c r="R1002" s="2"/>
      <c r="S1002" s="2"/>
      <c r="T1002" s="2"/>
      <c r="U1002" s="2"/>
      <c r="V1002" s="2"/>
      <c r="W1002" s="2"/>
      <c r="X1002" s="2"/>
      <c r="Y1002" s="2"/>
      <c r="Z1002" s="2"/>
      <c r="AA1002" s="2"/>
      <c r="AB1002" s="2"/>
      <c r="AC1002" s="2"/>
    </row>
    <row r="1003" spans="1:29" ht="17.399999999999999" x14ac:dyDescent="0.25">
      <c r="A1003" s="1"/>
      <c r="B1003" s="2"/>
      <c r="C1003" s="2"/>
      <c r="D1003" s="2"/>
      <c r="E1003" s="2"/>
      <c r="F1003" s="2"/>
      <c r="G1003" s="2"/>
      <c r="H1003" s="2"/>
      <c r="I1003" s="2"/>
      <c r="J1003" s="2"/>
      <c r="K1003" s="2"/>
      <c r="L1003" s="2"/>
      <c r="M1003" s="2"/>
      <c r="N1003" s="2"/>
      <c r="O1003" s="1"/>
      <c r="P1003" s="2"/>
      <c r="Q1003" s="2"/>
      <c r="R1003" s="2"/>
      <c r="S1003" s="2"/>
      <c r="T1003" s="2"/>
      <c r="U1003" s="2"/>
      <c r="V1003" s="2"/>
      <c r="W1003" s="2"/>
      <c r="X1003" s="2"/>
      <c r="Y1003" s="2"/>
      <c r="Z1003" s="2"/>
      <c r="AA1003" s="2"/>
      <c r="AB1003" s="2"/>
      <c r="AC1003" s="2"/>
    </row>
    <row r="1004" spans="1:29" ht="17.399999999999999" x14ac:dyDescent="0.25">
      <c r="A1004" s="1"/>
      <c r="B1004" s="2"/>
      <c r="C1004" s="2"/>
      <c r="D1004" s="2"/>
      <c r="E1004" s="2"/>
      <c r="F1004" s="2"/>
      <c r="G1004" s="2"/>
      <c r="H1004" s="2"/>
      <c r="I1004" s="2"/>
      <c r="J1004" s="2"/>
      <c r="K1004" s="2"/>
      <c r="L1004" s="2"/>
      <c r="M1004" s="2"/>
      <c r="N1004" s="2"/>
      <c r="O1004" s="1"/>
      <c r="P1004" s="2"/>
      <c r="Q1004" s="2"/>
      <c r="R1004" s="2"/>
      <c r="S1004" s="2"/>
      <c r="T1004" s="2"/>
      <c r="U1004" s="2"/>
      <c r="V1004" s="2"/>
      <c r="W1004" s="2"/>
      <c r="X1004" s="2"/>
      <c r="Y1004" s="2"/>
      <c r="Z1004" s="2"/>
      <c r="AA1004" s="2"/>
      <c r="AB1004" s="2"/>
      <c r="AC1004" s="2"/>
    </row>
  </sheetData>
  <mergeCells count="19">
    <mergeCell ref="B87:N90"/>
    <mergeCell ref="B91:N102"/>
    <mergeCell ref="B53:N55"/>
    <mergeCell ref="B56:N58"/>
    <mergeCell ref="B59:N64"/>
    <mergeCell ref="B65:N68"/>
    <mergeCell ref="B69:N71"/>
    <mergeCell ref="B72:N77"/>
    <mergeCell ref="B78:N78"/>
    <mergeCell ref="B47:N49"/>
    <mergeCell ref="B50:N52"/>
    <mergeCell ref="B79:N79"/>
    <mergeCell ref="B80:N82"/>
    <mergeCell ref="B83:N86"/>
    <mergeCell ref="B2:N12"/>
    <mergeCell ref="B13:N28"/>
    <mergeCell ref="B29:N31"/>
    <mergeCell ref="B32:N43"/>
    <mergeCell ref="B44:N46"/>
  </mergeCells>
  <hyperlinks>
    <hyperlink ref="B59" location="'Full Perk List'!A1" display="All the perks in one of the sheets have disappeared! Help!_x000a_The function that takes them from the Full Perk List won't overwrite any data that you've put in there. If you attempted to correct something, or add a row, that will have added data. All you need to do is erase what you did and that will fix it. Ctrl + Z is your friend. If you don't know what data you've added, you might have a ghost False. Go to the top of the B Column, hold Ctrl, and tap the down arrow until the formula bar says FALSE. Delete the FALSE in the formula bar and it should be fixed. If it isn't, just keep looking until you get them all. TRUEs can also be a problem." xr:uid="{00000000-0004-0000-0000-000000000000}"/>
    <hyperlink ref="B80" location="'Calculation Sheet'!A1" display="I don't like/want to exclude &lt;insert category here&gt; from rolls. How do?_x000a_Go to the Calculation Sheet and untick the box." xr:uid="{00000000-0004-0000-0000-000001000000}"/>
    <hyperlink ref="B83" location="'Full Perk List'!A1" display="How do I add more Perks?_x000a_Go to the Full Perk List and add a new row. Then, put it in your perk. Make sure that it has a unique name and a category! Or, if you're purchasing it immediately, just add it to your purchased perks list. It will complain at you, but you can ignore it for this." xr:uid="{00000000-0004-0000-0000-000002000000}"/>
    <hyperlink ref="B91" location="'Full Perk List'!A1" display="I'm an advanced user. How do I add an entire category?_x000a_Woah Boy. Here's a step-by-step list, along with important things to know:_x000a_1) Make the sheet. Do this by duplicating one of the current ones, it'll copy over all the formulas and make your life easier._x000a_2) Rename it. This too will make things easier. You'll also want to change the name on the sheet, as that is used to grab the perks for the listings._x000a_3) Add your new perks to the Full Perk List. Make sure they all have the new category listed._x000a_4) At the top of the Full Perk List, make a new &quot;Purchased Perks&quot; line. It should be like all the others, except with the number incremented and the category filled with your new one._x000a_5) Go to the Calculation Sheet and Copy/Paste one of the Category names from and in the Right Hand List. You will want to go into the formula and replace the name of that category with your new one. If yours has multiple words, you will need to contain it in 'single apostrophes'. This formula means that if you ever edit the name of the category, this entry will reflect that._x000a_6) Add a new Tickbox next to that cell. You'll want it ticked._x000a_7) In the C column, you want to drag down the formula. This will select the perks from your new category._x000a_8) There is no eighth step! You should be done!" xr:uid="{00000000-0004-0000-0000-000003000000}"/>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outlinePr summaryBelow="0" summaryRight="0"/>
  </sheetPr>
  <dimension ref="A1:XFD1498"/>
  <sheetViews>
    <sheetView topLeftCell="A2" workbookViewId="0"/>
  </sheetViews>
  <sheetFormatPr defaultColWidth="12.6640625" defaultRowHeight="15.75" customHeight="1" x14ac:dyDescent="0.25"/>
  <cols>
    <col min="1" max="1" width="3.21875" customWidth="1"/>
    <col min="2" max="2" width="9.33203125" customWidth="1"/>
    <col min="3" max="3" width="8.44140625" customWidth="1"/>
    <col min="4" max="4" width="25.21875" customWidth="1"/>
    <col min="5" max="5" width="24.77734375" customWidth="1"/>
    <col min="6" max="6" width="14.88671875" customWidth="1"/>
    <col min="7" max="7" width="105.21875" customWidth="1"/>
    <col min="8" max="8" width="3.21875" customWidth="1"/>
    <col min="16384" max="16384" width="0" hidden="1" customWidth="1"/>
  </cols>
  <sheetData>
    <row r="1" spans="1:25 16384:16384" ht="18.75" hidden="1" customHeight="1" x14ac:dyDescent="0.25">
      <c r="A1" s="1"/>
      <c r="B1" s="1"/>
      <c r="C1" s="1"/>
      <c r="D1" s="1"/>
      <c r="E1" s="1"/>
      <c r="F1" s="1"/>
      <c r="G1" s="1"/>
      <c r="H1" s="1"/>
      <c r="I1" s="2"/>
      <c r="J1" s="2"/>
      <c r="K1" s="2"/>
      <c r="L1" s="2"/>
      <c r="M1" s="2"/>
      <c r="N1" s="2"/>
      <c r="O1" s="2"/>
      <c r="P1" s="2"/>
      <c r="Q1" s="2"/>
      <c r="R1" s="2"/>
      <c r="S1" s="2"/>
      <c r="T1" s="2"/>
      <c r="U1" s="2"/>
      <c r="V1" s="2"/>
      <c r="W1" s="2"/>
      <c r="X1" s="2"/>
      <c r="Y1" s="2"/>
      <c r="XFD1">
        <f ca="1">IF('Roll All'!$B$4="Roll!",RAND(),RAND())</f>
        <v>0.58887299803889293</v>
      </c>
    </row>
    <row r="2" spans="1:25 16384:16384" ht="17.399999999999999" x14ac:dyDescent="0.35">
      <c r="A2" s="1"/>
      <c r="B2" s="49" t="s">
        <v>17</v>
      </c>
      <c r="C2" s="50"/>
      <c r="D2" s="50"/>
      <c r="E2" s="50"/>
      <c r="F2" s="50"/>
      <c r="G2" s="50"/>
      <c r="H2" s="6"/>
      <c r="I2" s="2"/>
      <c r="J2" s="2"/>
      <c r="K2" s="2"/>
      <c r="L2" s="2"/>
      <c r="M2" s="2"/>
      <c r="N2" s="2"/>
      <c r="O2" s="2"/>
      <c r="P2" s="2"/>
      <c r="Q2" s="2"/>
      <c r="R2" s="2"/>
      <c r="S2" s="2"/>
      <c r="T2" s="2"/>
      <c r="U2" s="2"/>
      <c r="V2" s="2"/>
      <c r="W2" s="2"/>
      <c r="X2" s="2"/>
      <c r="Y2" s="2"/>
    </row>
    <row r="3" spans="1:25 16384:16384" ht="17.399999999999999" x14ac:dyDescent="0.25">
      <c r="A3" s="1"/>
      <c r="B3" s="42" t="s">
        <v>18</v>
      </c>
      <c r="C3" s="40"/>
      <c r="D3" s="40"/>
      <c r="E3" s="40"/>
      <c r="F3" s="40"/>
      <c r="G3" s="40"/>
      <c r="H3" s="1"/>
      <c r="I3" s="2"/>
      <c r="J3" s="2"/>
      <c r="K3" s="2"/>
      <c r="L3" s="2"/>
      <c r="M3" s="2"/>
      <c r="N3" s="2"/>
      <c r="O3" s="2"/>
      <c r="P3" s="2"/>
      <c r="Q3" s="2"/>
      <c r="R3" s="2"/>
      <c r="S3" s="2"/>
      <c r="T3" s="2"/>
      <c r="U3" s="2"/>
      <c r="V3" s="2"/>
      <c r="W3" s="2"/>
      <c r="X3" s="2"/>
      <c r="Y3" s="2"/>
    </row>
    <row r="4" spans="1:25 16384:16384" ht="17.399999999999999" x14ac:dyDescent="0.25">
      <c r="A4" s="1"/>
      <c r="B4" s="49" t="s">
        <v>19</v>
      </c>
      <c r="C4" s="50"/>
      <c r="D4" s="50"/>
      <c r="E4" s="50"/>
      <c r="F4" s="50"/>
      <c r="G4" s="50"/>
      <c r="H4" s="1"/>
      <c r="I4" s="2"/>
      <c r="J4" s="2"/>
      <c r="K4" s="2"/>
      <c r="L4" s="2"/>
      <c r="M4" s="2"/>
      <c r="N4" s="2"/>
      <c r="O4" s="2"/>
      <c r="P4" s="2"/>
      <c r="Q4" s="2"/>
      <c r="R4" s="2"/>
      <c r="S4" s="2"/>
      <c r="T4" s="2"/>
      <c r="U4" s="2"/>
      <c r="V4" s="2"/>
      <c r="W4" s="2"/>
      <c r="X4" s="2"/>
      <c r="Y4" s="2"/>
    </row>
    <row r="5" spans="1:25 16384:16384" ht="34.799999999999997" x14ac:dyDescent="0.25">
      <c r="A5" s="1"/>
      <c r="B5" s="4"/>
      <c r="C5" s="4" t="s">
        <v>20</v>
      </c>
      <c r="D5" s="4" t="s">
        <v>21</v>
      </c>
      <c r="E5" s="4" t="s">
        <v>22</v>
      </c>
      <c r="F5" s="4" t="s">
        <v>23</v>
      </c>
      <c r="G5" s="4" t="s">
        <v>24</v>
      </c>
      <c r="H5" s="1"/>
      <c r="I5" s="2"/>
      <c r="J5" s="2"/>
      <c r="K5" s="2"/>
      <c r="L5" s="2"/>
      <c r="M5" s="2"/>
      <c r="N5" s="2"/>
      <c r="O5" s="2"/>
      <c r="P5" s="2"/>
      <c r="Q5" s="2"/>
      <c r="R5" s="2"/>
      <c r="S5" s="2"/>
      <c r="T5" s="2"/>
      <c r="U5" s="2"/>
      <c r="V5" s="2"/>
      <c r="W5" s="2"/>
      <c r="X5" s="2"/>
      <c r="Y5" s="2"/>
    </row>
    <row r="6" spans="1:25 16384:16384" ht="328.5" customHeight="1" x14ac:dyDescent="0.25">
      <c r="A6" s="1"/>
      <c r="B6" s="3" t="b">
        <v>0</v>
      </c>
      <c r="C6" s="3" t="str">
        <f ca="1">IFERROR(__xludf.DUMMYFUNCTION("iferror(filter('Full Perk List'!C$3:C1498,'Full Perk List'!$D$3:$D1498=$D6),""Not Rolling"")"),"Not Rolling")</f>
        <v>Not Rolling</v>
      </c>
      <c r="D6" s="3" t="str">
        <f ca="1">IFERROR(__xludf.DUMMYFUNCTION("iferror(filter('Calculation Sheet'!D3:D1498,'Calculation Sheet'!C3:C1498=F6),""Not Rolling"")"),"Not Rolling")</f>
        <v>Not Rolling</v>
      </c>
      <c r="E6" s="3" t="str">
        <f ca="1">IFERROR(__xludf.DUMMYFUNCTION("iferror(filter('Full Perk List'!E3:E1498,'Full Perk List'!$D3:$D1498=$D6),""Not Rolling"")"),"Not Rolling")</f>
        <v>Not Rolling</v>
      </c>
      <c r="F6" s="3" t="str">
        <f ca="1">IFERROR(__xludf.DUMMYFUNCTION("if(B6=true,filter('Calculation Sheet'!C3:C1498,'Calculation Sheet'!B3:B1498=RANDBETWEEN(Min(Filter('Calculation Sheet'!B3:B1498,'Calculation Sheet'!C3:C1498&lt;&gt;"""")), MAX(Filter('Calculation Sheet'!B3:B1498,'Calculation Sheet'!C3:C1498&lt;&gt;"""")))),""Not Roll"&amp;"ing"")"),"Not Rolling")</f>
        <v>Not Rolling</v>
      </c>
      <c r="G6" s="3" t="str">
        <f ca="1">IFERROR(__xludf.DUMMYFUNCTION("iferror(filter('Full Perk List'!G3:G1498,'Full Perk List'!$D3:$D1498=$D6),""Not Rolling"")"),"Not Rolling")</f>
        <v>Not Rolling</v>
      </c>
      <c r="H6" s="1"/>
      <c r="I6" s="2"/>
      <c r="J6" s="2"/>
      <c r="K6" s="2"/>
      <c r="L6" s="2"/>
      <c r="M6" s="2"/>
      <c r="N6" s="2"/>
      <c r="O6" s="2"/>
      <c r="P6" s="2"/>
      <c r="Q6" s="2"/>
      <c r="R6" s="2"/>
      <c r="S6" s="2"/>
      <c r="T6" s="2"/>
      <c r="U6" s="2"/>
      <c r="V6" s="2"/>
      <c r="W6" s="2"/>
      <c r="X6" s="2"/>
      <c r="Y6" s="2"/>
    </row>
    <row r="7" spans="1:25 16384:16384" ht="17.399999999999999" x14ac:dyDescent="0.25">
      <c r="A7" s="1"/>
      <c r="B7" s="51"/>
      <c r="C7" s="49" t="s">
        <v>25</v>
      </c>
      <c r="D7" s="50"/>
      <c r="E7" s="50"/>
      <c r="F7" s="50"/>
      <c r="G7" s="50"/>
      <c r="H7" s="1"/>
      <c r="I7" s="2"/>
      <c r="J7" s="2"/>
      <c r="K7" s="2"/>
      <c r="L7" s="2"/>
      <c r="M7" s="2"/>
      <c r="N7" s="2"/>
      <c r="O7" s="2"/>
      <c r="P7" s="2"/>
      <c r="Q7" s="2"/>
      <c r="R7" s="2"/>
      <c r="S7" s="2"/>
      <c r="T7" s="2"/>
      <c r="U7" s="2"/>
      <c r="V7" s="2"/>
      <c r="W7" s="2"/>
      <c r="X7" s="2"/>
      <c r="Y7" s="2"/>
    </row>
    <row r="8" spans="1:25 16384:16384" ht="17.399999999999999" x14ac:dyDescent="0.25">
      <c r="A8" s="1"/>
      <c r="B8" s="40"/>
      <c r="C8" s="4" t="s">
        <v>26</v>
      </c>
      <c r="D8" s="4" t="s">
        <v>21</v>
      </c>
      <c r="E8" s="4" t="s">
        <v>22</v>
      </c>
      <c r="F8" s="4" t="s">
        <v>23</v>
      </c>
      <c r="G8" s="4" t="s">
        <v>24</v>
      </c>
      <c r="H8" s="1"/>
      <c r="I8" s="2"/>
      <c r="J8" s="2"/>
      <c r="K8" s="2"/>
      <c r="L8" s="2"/>
      <c r="M8" s="2"/>
      <c r="N8" s="2"/>
      <c r="O8" s="2"/>
      <c r="P8" s="2"/>
      <c r="Q8" s="2"/>
      <c r="R8" s="2"/>
      <c r="S8" s="2"/>
      <c r="T8" s="2"/>
      <c r="U8" s="2"/>
      <c r="V8" s="2"/>
      <c r="W8" s="2"/>
      <c r="X8" s="2"/>
      <c r="Y8" s="2"/>
    </row>
    <row r="9" spans="1:25 16384:16384" ht="264.75" customHeight="1" x14ac:dyDescent="0.25">
      <c r="A9" s="1"/>
      <c r="B9" s="40"/>
      <c r="C9" s="3">
        <f ca="1">IFERROR(__xludf.DUMMYFUNCTION("iferror(filter('Full Perk List'!C$3:C1498,'Full Perk List'!$D$3:$D1498=$D9),""No Banked Perk"")"),400)</f>
        <v>400</v>
      </c>
      <c r="D9" s="3" t="s">
        <v>27</v>
      </c>
      <c r="E9" s="3" t="str">
        <f ca="1">IFERROR(__xludf.DUMMYFUNCTION("iferror(filter('Full Perk List'!E$3:E1498,'Full Perk List'!$D$3:$D1498=$D9),""No Banked Perk"")"),"Generic: Virgin")</f>
        <v>Generic: Virgin</v>
      </c>
      <c r="F9" s="3" t="str">
        <f ca="1">IFERROR(__xludf.DUMMYFUNCTION("iferror(filter('Full Perk List'!F$3:F1498,'Full Perk List'!$D$3:$D1498=$D9),""No Banked Perk"")"),"Fertility &amp; Family")</f>
        <v>Fertility &amp; Family</v>
      </c>
      <c r="G9" s="3" t="str">
        <f ca="1">IFERROR(__xludf.DUMMYFUNCTION("iferror(filter('Full Perk List'!G$3:G1498,'Full Perk List'!$D$3:$D1498=$D9),""No Banked Perk"")"),"Why do it more than you have to, right? Intercourse is, primarily, for reproduction, and now you can impregnate anyone able to get pregnant the first time you try. This doesn’t require any male genitalia on your part. Any part of your body will do to deli"&amp;"ver the needed gamete where it needs to go. Hell, you could even use someone else’s gametes if you want to. Finger one girl to orgasm and then use her gametes to impregnate her sister or something. Taking or giving a gamete requires that the target orgasm"&amp;"s.")</f>
        <v>Why do it more than you have to, right? Intercourse is, primarily, for reproduction, and now you can impregnate anyone able to get pregnant the first time you try. This doesn’t require any male genitalia on your part. Any part of your body will do to deliver the needed gamete where it needs to go. Hell, you could even use someone else’s gametes if you want to. Finger one girl to orgasm and then use her gametes to impregnate her sister or something. Taking or giving a gamete requires that the target orgasms.</v>
      </c>
      <c r="H9" s="1"/>
      <c r="I9" s="2"/>
      <c r="J9" s="2"/>
      <c r="K9" s="2"/>
      <c r="L9" s="2"/>
      <c r="M9" s="2"/>
      <c r="N9" s="2"/>
      <c r="O9" s="2"/>
      <c r="P9" s="2"/>
      <c r="Q9" s="2"/>
      <c r="R9" s="2"/>
      <c r="S9" s="2"/>
      <c r="T9" s="2"/>
      <c r="U9" s="2"/>
      <c r="V9" s="2"/>
      <c r="W9" s="2"/>
      <c r="X9" s="2"/>
      <c r="Y9" s="2"/>
    </row>
    <row r="10" spans="1:25 16384:16384" ht="17.399999999999999" x14ac:dyDescent="0.25">
      <c r="A10" s="1"/>
      <c r="B10" s="40"/>
      <c r="C10" s="49" t="s">
        <v>28</v>
      </c>
      <c r="D10" s="50"/>
      <c r="E10" s="50"/>
      <c r="F10" s="50"/>
      <c r="G10" s="50"/>
      <c r="H10" s="1"/>
      <c r="I10" s="2"/>
      <c r="J10" s="2"/>
      <c r="K10" s="2"/>
      <c r="L10" s="2"/>
      <c r="M10" s="2"/>
      <c r="N10" s="2"/>
      <c r="O10" s="2"/>
      <c r="P10" s="2"/>
      <c r="Q10" s="2"/>
      <c r="R10" s="2"/>
      <c r="S10" s="2"/>
      <c r="T10" s="2"/>
      <c r="U10" s="2"/>
      <c r="V10" s="2"/>
      <c r="W10" s="2"/>
      <c r="X10" s="2"/>
      <c r="Y10" s="2"/>
    </row>
    <row r="11" spans="1:25 16384:16384" ht="72" x14ac:dyDescent="0.25">
      <c r="A11" s="1"/>
      <c r="B11" s="40"/>
      <c r="C11" s="7" t="s">
        <v>29</v>
      </c>
      <c r="D11" s="52">
        <v>0</v>
      </c>
      <c r="E11" s="40"/>
      <c r="F11" s="7" t="s">
        <v>30</v>
      </c>
      <c r="G11" s="8">
        <f ca="1">D11-SUM(C13:C1498)</f>
        <v>-4500</v>
      </c>
      <c r="H11" s="1"/>
      <c r="I11" s="2"/>
      <c r="J11" s="2"/>
      <c r="K11" s="2"/>
      <c r="L11" s="2"/>
      <c r="M11" s="2"/>
      <c r="N11" s="2"/>
      <c r="O11" s="2"/>
      <c r="P11" s="2"/>
      <c r="Q11" s="2"/>
      <c r="R11" s="2"/>
      <c r="S11" s="2"/>
      <c r="T11" s="2"/>
      <c r="U11" s="2"/>
      <c r="V11" s="2"/>
      <c r="W11" s="2"/>
      <c r="X11" s="2"/>
      <c r="Y11" s="2"/>
    </row>
    <row r="12" spans="1:25 16384:16384" ht="17.399999999999999" x14ac:dyDescent="0.25">
      <c r="A12" s="1"/>
      <c r="B12" s="40"/>
      <c r="C12" s="9" t="s">
        <v>26</v>
      </c>
      <c r="D12" s="9" t="s">
        <v>21</v>
      </c>
      <c r="E12" s="9" t="s">
        <v>22</v>
      </c>
      <c r="F12" s="9" t="s">
        <v>23</v>
      </c>
      <c r="G12" s="9" t="s">
        <v>24</v>
      </c>
      <c r="H12" s="1"/>
      <c r="I12" s="2"/>
      <c r="J12" s="2"/>
      <c r="K12" s="2"/>
      <c r="L12" s="2"/>
      <c r="M12" s="2"/>
      <c r="N12" s="2"/>
      <c r="O12" s="2"/>
      <c r="P12" s="2"/>
      <c r="Q12" s="2"/>
      <c r="R12" s="2"/>
      <c r="S12" s="2"/>
      <c r="T12" s="2"/>
      <c r="U12" s="2"/>
      <c r="V12" s="2"/>
      <c r="W12" s="2"/>
      <c r="X12" s="2"/>
      <c r="Y12" s="2"/>
    </row>
    <row r="13" spans="1:25 16384:16384" ht="295.8" x14ac:dyDescent="0.25">
      <c r="A13" s="1"/>
      <c r="B13" s="40"/>
      <c r="C13" s="2">
        <f ca="1">IFERROR(__xludf.DUMMYFUNCTION("iferror(filter('Full Perk List'!C$3:C1498,'Full Perk List'!$D$3:$D1498=$D13),"""")"),100)</f>
        <v>100</v>
      </c>
      <c r="D13" s="2" t="s">
        <v>31</v>
      </c>
      <c r="E13" s="2" t="str">
        <f ca="1">IFERROR(__xludf.DUMMYFUNCTION("iferror(filter('Full Perk List'!E$3:E1498,'Full Perk List'!$D$3:$D1498=$D13),"""")"),"Paccsu")</f>
        <v>Paccsu</v>
      </c>
      <c r="F13" s="2" t="str">
        <f ca="1">IFERROR(__xludf.DUMMYFUNCTION("iferror(filter('Full Perk List'!F$3:F1498,'Full Perk List'!$D$3:$D1498=$D13),"""")"),"Body &amp; Beauty")</f>
        <v>Body &amp; Beauty</v>
      </c>
      <c r="G13" s="2" t="str">
        <f ca="1">IFERROR(__xludf.DUMMYFUNCTION("iferror(filter('Full Perk List'!G$3:G1498,'Full Perk List'!$D$3:$D1498=$D13),"""")"),"In the world of adventuring it pays to have some kind of identifying mark or element about oneself in order to better stand out among your peers. Primarily such a thing serves the purpose of making it easier to garner fame around yourself, using whatever "&amp;"about you sticks out the most to drag in the attention. And by taking this perk similar to the adventurer, and later hero, Namu, gathering said attention will be frighteningly easy.
Upon gaining this you can choose and enhance one physical trait that you"&amp;" have such as your chest, ass, or lips with it being the focal attraction point of your body. What this means is that said feature becomes wholly unique compared to others, not necessarily being better, but having its own qualities that people can easily "&amp;"recognise and enjoy. When said trait is on display, like wearing an open helmet if the trait was your eyes or tight leggings if it was your ass, it serves as a booster for the amount of fame and recognition you gain for completing adventures, quests, and "&amp;"other things.
This attraction your selected trait will garner also leads to people using it as a basis for any commemorative art they make or nicknames they come up with when you become famous. This part can be toggled in case you don’t fancy having stat"&amp;"ues made that only show off your ass or being called something like “The Demon Derrière” as you go about your day.")</f>
        <v>In the world of adventuring it pays to have some kind of identifying mark or element about oneself in order to better stand out among your peers. Primarily such a thing serves the purpose of making it easier to garner fame around yourself, using whatever about you sticks out the most to drag in the attention. And by taking this perk similar to the adventurer, and later hero, Namu, gathering said attention will be frighteningly easy.
Upon gaining this you can choose and enhance one physical trait that you have such as your chest, ass, or lips with it being the focal attraction point of your body. What this means is that said feature becomes wholly unique compared to others, not necessarily being better, but having its own qualities that people can easily recognise and enjoy. When said trait is on display, like wearing an open helmet if the trait was your eyes or tight leggings if it was your ass, it serves as a booster for the amount of fame and recognition you gain for completing adventures, quests, and other things.
This attraction your selected trait will garner also leads to people using it as a basis for any commemorative art they make or nicknames they come up with when you become famous. This part can be toggled in case you don’t fancy having statues made that only show off your ass or being called something like “The Demon Derrière” as you go about your day.</v>
      </c>
      <c r="H13" s="1"/>
      <c r="I13" s="2"/>
      <c r="J13" s="2"/>
      <c r="K13" s="2"/>
      <c r="L13" s="2"/>
      <c r="M13" s="2"/>
      <c r="N13" s="2"/>
      <c r="O13" s="2"/>
      <c r="P13" s="2"/>
      <c r="Q13" s="2"/>
      <c r="R13" s="2"/>
      <c r="S13" s="2"/>
      <c r="T13" s="2"/>
      <c r="U13" s="2"/>
      <c r="V13" s="2"/>
      <c r="W13" s="2"/>
      <c r="X13" s="2"/>
      <c r="Y13" s="2"/>
    </row>
    <row r="14" spans="1:25 16384:16384" ht="313.2" x14ac:dyDescent="0.25">
      <c r="A14" s="1"/>
      <c r="B14" s="40"/>
      <c r="C14" s="2">
        <f ca="1">IFERROR(__xludf.DUMMYFUNCTION("iferror(filter('Full Perk List'!C$3:C1498,'Full Perk List'!$D$3:$D1498=$D14),"""")"),100)</f>
        <v>100</v>
      </c>
      <c r="D14" s="2" t="s">
        <v>32</v>
      </c>
      <c r="E14" s="2" t="str">
        <f ca="1">IFERROR(__xludf.DUMMYFUNCTION("iferror(filter('Full Perk List'!E$3:E1498,'Full Perk List'!$D$3:$D1498=$D14),"""")"),"Paccsu")</f>
        <v>Paccsu</v>
      </c>
      <c r="F14" s="2" t="str">
        <f ca="1">IFERROR(__xludf.DUMMYFUNCTION("iferror(filter('Full Perk List'!F$3:F1498,'Full Perk List'!$D$3:$D1498=$D14),"""")"),"Body &amp; Beauty")</f>
        <v>Body &amp; Beauty</v>
      </c>
      <c r="G14" s="2" t="str">
        <f ca="1">IFERROR(__xludf.DUMMYFUNCTION("iferror(filter('Full Perk List'!G$3:G1498,'Full Perk List'!$D$3:$D1498=$D14),"""")"),"While the world of Paccsu is one of extremes in terms of bodily proportions, one group in particular gets the main focus in this sort of thing: the “affectionately” nicknamed 'boobie snakes' of Clan Tiss'i. Even though there exist beings with boobs bigger"&amp;" and more impressive than theirs, people always seem to be enamored by those of Clan Tiss'i, and by taking this perk such a thing will also apply to you.
Regardless of whether you have boobs or pecs, they gain an “aura” around itself which gives grandeur"&amp;" onto those that see them. It also makes them incredibly “comfortable” to touch/lay on and turns them into a strong erogenous zone for you. The impressiveness they impose is to the point that most people will prefer looking at, touching, snuggling, and do"&amp;"ing other such things with your chest then others, even if said others have one bigger and/or more “impressive” than yours. And, so long as your chest is exposed as well, you can get away with being practically naked anywhere with those who would normally"&amp;" disapprove or raise a stink at worst grumbling about it.
As a minor bonus and to confer another trait of Clan Tiss'i you also gain a thick and long prehensile snake-like tongue, if you don’t already have one, as well as expert level skill at various for"&amp;"ms of mouth/tongue play. This includes, but isn’t limited to things like cunnilingus, blowjobs, kissing, licking, etc.")</f>
        <v>While the world of Paccsu is one of extremes in terms of bodily proportions, one group in particular gets the main focus in this sort of thing: the “affectionately” nicknamed 'boobie snakes' of Clan Tiss'i. Even though there exist beings with boobs bigger and more impressive than theirs, people always seem to be enamored by those of Clan Tiss'i, and by taking this perk such a thing will also apply to you.
Regardless of whether you have boobs or pecs, they gain an “aura” around itself which gives grandeur onto those that see them. It also makes them incredibly “comfortable” to touch/lay on and turns them into a strong erogenous zone for you. The impressiveness they impose is to the point that most people will prefer looking at, touching, snuggling, and doing other such things with your chest then others, even if said others have one bigger and/or more “impressive” than yours. And, so long as your chest is exposed as well, you can get away with being practically naked anywhere with those who would normally disapprove or raise a stink at worst grumbling about it.
As a minor bonus and to confer another trait of Clan Tiss'i you also gain a thick and long prehensile snake-like tongue, if you don’t already have one, as well as expert level skill at various forms of mouth/tongue play. This includes, but isn’t limited to things like cunnilingus, blowjobs, kissing, licking, etc.</v>
      </c>
      <c r="H14" s="1"/>
      <c r="I14" s="2"/>
      <c r="J14" s="2"/>
      <c r="K14" s="2"/>
      <c r="L14" s="2"/>
      <c r="M14" s="2"/>
      <c r="N14" s="2"/>
      <c r="O14" s="2"/>
      <c r="P14" s="2"/>
      <c r="Q14" s="2"/>
      <c r="R14" s="2"/>
      <c r="S14" s="2"/>
      <c r="T14" s="2"/>
      <c r="U14" s="2"/>
      <c r="V14" s="2"/>
      <c r="W14" s="2"/>
      <c r="X14" s="2"/>
      <c r="Y14" s="2"/>
    </row>
    <row r="15" spans="1:25 16384:16384" ht="104.4" x14ac:dyDescent="0.25">
      <c r="A15" s="1"/>
      <c r="B15" s="40"/>
      <c r="C15" s="2" t="str">
        <f ca="1">IFERROR(__xludf.DUMMYFUNCTION("iferror(filter('Full Perk List'!C$3:C1498,'Full Perk List'!$D$3:$D1498=$D15),"""")"),"0/50")</f>
        <v>0/50</v>
      </c>
      <c r="D15" s="2" t="s">
        <v>33</v>
      </c>
      <c r="E15" s="2" t="str">
        <f ca="1">IFERROR(__xludf.DUMMYFUNCTION("iferror(filter('Full Perk List'!E$3:E1498,'Full Perk List'!$D$3:$D1498=$D15),"""")"),"Odyssey of Gianna")</f>
        <v>Odyssey of Gianna</v>
      </c>
      <c r="F15" s="2" t="str">
        <f ca="1">IFERROR(__xludf.DUMMYFUNCTION("iferror(filter('Full Perk List'!F$3:F1498,'Full Perk List'!$D$3:$D1498=$D15),"""")"),"Transformation")</f>
        <v>Transformation</v>
      </c>
      <c r="G15" s="2" t="str">
        <f ca="1">IFERROR(__xludf.DUMMYFUNCTION("iferror(filter('Full Perk List'!G$3:G1498,'Full Perk List'!$D$3:$D1498=$D15),"""")"),"You don’t have experience fighting or using magic; you have Experience. Choose one ‘class’, either a standard RPG class, one from this game, or your own creative idea. Just by fighting, overcoming challenges, or resolving conflict, you gain progress towar"&amp;"ds learning the skills and techniques of that class; nothing too powerful, at least with ten years of regular exertion, but over a longer timescale or a more ridiculous training regimen, you might push the limits of what your class is capable of. 
Can Pur"&amp;"chase Multiple Times")</f>
        <v>You don’t have experience fighting or using magic; you have Experience. Choose one ‘class’, either a standard RPG class, one from this game, or your own creative idea. Just by fighting, overcoming challenges, or resolving conflict, you gain progress towards learning the skills and techniques of that class; nothing too powerful, at least with ten years of regular exertion, but over a longer timescale or a more ridiculous training regimen, you might push the limits of what your class is capable of. 
Can Purchase Multiple Times</v>
      </c>
      <c r="H15" s="1"/>
      <c r="I15" s="2"/>
      <c r="J15" s="2"/>
      <c r="K15" s="2"/>
      <c r="L15" s="2"/>
      <c r="M15" s="2"/>
      <c r="N15" s="2"/>
      <c r="O15" s="2"/>
      <c r="P15" s="2"/>
      <c r="Q15" s="2"/>
      <c r="R15" s="2"/>
      <c r="S15" s="2"/>
      <c r="T15" s="2"/>
      <c r="U15" s="2"/>
      <c r="V15" s="2"/>
      <c r="W15" s="2"/>
      <c r="X15" s="2"/>
      <c r="Y15" s="2"/>
    </row>
    <row r="16" spans="1:25 16384:16384" ht="121.8" x14ac:dyDescent="0.25">
      <c r="A16" s="1"/>
      <c r="B16" s="40"/>
      <c r="C16" s="2" t="str">
        <f ca="1">IFERROR(__xludf.DUMMYFUNCTION("iferror(filter('Full Perk List'!C$3:C1498,'Full Perk List'!$D$3:$D1498=$D16),"""")"),"50+")</f>
        <v>50+</v>
      </c>
      <c r="D16" s="2" t="s">
        <v>34</v>
      </c>
      <c r="E16" s="2" t="str">
        <f ca="1">IFERROR(__xludf.DUMMYFUNCTION("iferror(filter('Full Perk List'!E$3:E1498,'Full Perk List'!$D$3:$D1498=$D16),"""")"),"High School DxD")</f>
        <v>High School DxD</v>
      </c>
      <c r="F16" s="2" t="str">
        <f ca="1">IFERROR(__xludf.DUMMYFUNCTION("iferror(filter('Full Perk List'!F$3:F1498,'Full Perk List'!$D$3:$D1498=$D16),"""")"),"Body &amp; Beauty")</f>
        <v>Body &amp; Beauty</v>
      </c>
      <c r="G16" s="2" t="str">
        <f ca="1">IFERROR(__xludf.DUMMYFUNCTION("iferror(filter('Full Perk List'!G$3:G1498,'Full Perk List'!$D$3:$D1498=$D16),"""")"),"Something you will notice right away is that everyone here, even those who are supernatural monsters look...pretty. Handsome, beautiful, badass, sexy, whatever - nobody here is plain to look at. And now, neither are you! You’re likely the most attractive "&amp;"person in your entire class and turn a few heads when you walk down the hall. You can also choose to...ahem, emphasize certain assets of your choosing to look especially bodacious. You receive a free purchase of this, and it can be bought multiple times, "&amp;"though mind that people might stare or gawk a little too much after a certain point.")</f>
        <v>Something you will notice right away is that everyone here, even those who are supernatural monsters look...pretty. Handsome, beautiful, badass, sexy, whatever - nobody here is plain to look at. And now, neither are you! You’re likely the most attractive person in your entire class and turn a few heads when you walk down the hall. You can also choose to...ahem, emphasize certain assets of your choosing to look especially bodacious. You receive a free purchase of this, and it can be bought multiple times, though mind that people might stare or gawk a little too much after a certain point.</v>
      </c>
      <c r="H16" s="1"/>
      <c r="I16" s="2"/>
      <c r="J16" s="2"/>
      <c r="K16" s="2"/>
      <c r="L16" s="2"/>
      <c r="M16" s="2"/>
      <c r="N16" s="2"/>
      <c r="O16" s="2"/>
      <c r="P16" s="2"/>
      <c r="Q16" s="2"/>
      <c r="R16" s="2"/>
      <c r="S16" s="2"/>
      <c r="T16" s="2"/>
      <c r="U16" s="2"/>
      <c r="V16" s="2"/>
      <c r="W16" s="2"/>
      <c r="X16" s="2"/>
      <c r="Y16" s="2"/>
    </row>
    <row r="17" spans="1:25" ht="278.39999999999998" x14ac:dyDescent="0.25">
      <c r="A17" s="1"/>
      <c r="B17" s="40"/>
      <c r="C17" s="2">
        <f ca="1">IFERROR(__xludf.DUMMYFUNCTION("iferror(filter('Full Perk List'!C$3:C1498,'Full Perk List'!$D$3:$D1498=$D17),"""")"),600)</f>
        <v>600</v>
      </c>
      <c r="D17" s="2" t="s">
        <v>35</v>
      </c>
      <c r="E17" s="2" t="str">
        <f ca="1">IFERROR(__xludf.DUMMYFUNCTION("iferror(filter('Full Perk List'!E$3:E1498,'Full Perk List'!$D$3:$D1498=$D17),"""")"),"Fate/Grand Master")</f>
        <v>Fate/Grand Master</v>
      </c>
      <c r="F17" s="2" t="str">
        <f ca="1">IFERROR(__xludf.DUMMYFUNCTION("iferror(filter('Full Perk List'!F$3:F1498,'Full Perk List'!$D$3:$D1498=$D17),"""")"),"Magic")</f>
        <v>Magic</v>
      </c>
      <c r="G17" s="2" t="str">
        <f ca="1">IFERROR(__xludf.DUMMYFUNCTION("iferror(filter('Full Perk List'!G$3:G1498,'Full Perk List'!$D$3:$D1498=$D17),"""")"),"Magi boast about the strength of their magecraft and servants are rightly proud of their noble phantasms but no power in this world is greater or more profound than the power of love. You hold that power deep in your heart: whether you wish to be the invi"&amp;"ncible shield of your senpai or a virgin laser piercing the heart of the ultimate thot you can use the power of love as a substitute for mana or health. 
In any battle where a loved one’s life is on the line you’re able to hit harder, move faster, endure"&amp;" longer, and fight harder than is even physically possible for your body and abilities. There are few limits to the extremes you can reach in physical or magical power through this enhancement but be warned, such power does not come without a price. 
Exc"&amp;"eeding your limits this way effectively redlines your performance, inflicting unavoidable damage to your body proportional to the amount of it that you used. Small amounts used in a desperate battle may only make you pass out and require medical attention"&amp;" once the battle is over, but the power needed for an ordinary servant to deflect an all-powerful noble phantasm or slay a Beast in a single blow would be more than enough to kill that servant outright.")</f>
        <v>Magi boast about the strength of their magecraft and servants are rightly proud of their noble phantasms but no power in this world is greater or more profound than the power of love. You hold that power deep in your heart: whether you wish to be the invincible shield of your senpai or a virgin laser piercing the heart of the ultimate thot you can use the power of love as a substitute for mana or health. 
In any battle where a loved one’s life is on the line you’re able to hit harder, move faster, endure longer, and fight harder than is even physically possible for your body and abilities. There are few limits to the extremes you can reach in physical or magical power through this enhancement but be warned, such power does not come without a price. 
Exceeding your limits this way effectively redlines your performance, inflicting unavoidable damage to your body proportional to the amount of it that you used. Small amounts used in a desperate battle may only make you pass out and require medical attention once the battle is over, but the power needed for an ordinary servant to deflect an all-powerful noble phantasm or slay a Beast in a single blow would be more than enough to kill that servant outright.</v>
      </c>
      <c r="H17" s="1"/>
      <c r="I17" s="2"/>
      <c r="J17" s="2"/>
      <c r="K17" s="2"/>
      <c r="L17" s="2"/>
      <c r="M17" s="2"/>
      <c r="N17" s="2"/>
      <c r="O17" s="2"/>
      <c r="P17" s="2"/>
      <c r="Q17" s="2"/>
      <c r="R17" s="2"/>
      <c r="S17" s="2"/>
      <c r="T17" s="2"/>
      <c r="U17" s="2"/>
      <c r="V17" s="2"/>
      <c r="W17" s="2"/>
      <c r="X17" s="2"/>
      <c r="Y17" s="2"/>
    </row>
    <row r="18" spans="1:25" ht="69.599999999999994" x14ac:dyDescent="0.25">
      <c r="A18" s="1"/>
      <c r="B18" s="40"/>
      <c r="C18" s="2">
        <f ca="1">IFERROR(__xludf.DUMMYFUNCTION("iferror(filter('Full Perk List'!C$3:C1498,'Full Perk List'!$D$3:$D1498=$D18),"""")"),100)</f>
        <v>100</v>
      </c>
      <c r="D18" s="3" t="s">
        <v>36</v>
      </c>
      <c r="E18" s="2" t="str">
        <f ca="1">IFERROR(__xludf.DUMMYFUNCTION("iferror(filter('Full Perk List'!E$3:E1498,'Full Perk List'!$D$3:$D1498=$D18),"""")"),"SUPER FATTY RPG")</f>
        <v>SUPER FATTY RPG</v>
      </c>
      <c r="F18" s="2" t="str">
        <f ca="1">IFERROR(__xludf.DUMMYFUNCTION("iferror(filter('Full Perk List'!F$3:F1498,'Full Perk List'!$D$3:$D1498=$D18),"""")"),"Body &amp; Beauty")</f>
        <v>Body &amp; Beauty</v>
      </c>
      <c r="G18" s="2" t="str">
        <f ca="1">IFERROR(__xludf.DUMMYFUNCTION("iferror(filter('Full Perk List'!G$3:G1498,'Full Perk List'!$D$3:$D1498=$D18),"""")"),"This perk will ensure that you are never uncomfortable at any size, even in a body that might be considered more alive. Your weight will never press down like a boulder on your chest, and your assets will never sag regardless of size. In addition, if your"&amp;" breasts are filled with milk the soreness will be somewhat pleasant as well. Can be shared with others, if you're feeling generous.")</f>
        <v>This perk will ensure that you are never uncomfortable at any size, even in a body that might be considered more alive. Your weight will never press down like a boulder on your chest, and your assets will never sag regardless of size. In addition, if your breasts are filled with milk the soreness will be somewhat pleasant as well. Can be shared with others, if you're feeling generous.</v>
      </c>
      <c r="H18" s="1"/>
      <c r="I18" s="2"/>
      <c r="J18" s="2"/>
      <c r="K18" s="2"/>
      <c r="L18" s="2"/>
      <c r="M18" s="2"/>
      <c r="N18" s="2"/>
      <c r="O18" s="2"/>
      <c r="P18" s="2"/>
      <c r="Q18" s="2"/>
      <c r="R18" s="2"/>
      <c r="S18" s="2"/>
      <c r="T18" s="2"/>
      <c r="U18" s="2"/>
      <c r="V18" s="2"/>
      <c r="W18" s="2"/>
      <c r="X18" s="2"/>
      <c r="Y18" s="2"/>
    </row>
    <row r="19" spans="1:25" ht="174" x14ac:dyDescent="0.25">
      <c r="A19" s="1"/>
      <c r="B19" s="40"/>
      <c r="C19" s="2">
        <f ca="1">IFERROR(__xludf.DUMMYFUNCTION("iferror(filter('Full Perk List'!C$3:C1498,'Full Perk List'!$D$3:$D1498=$D19),"""")"),200)</f>
        <v>200</v>
      </c>
      <c r="D19" s="2" t="s">
        <v>37</v>
      </c>
      <c r="E19" s="2" t="str">
        <f ca="1">IFERROR(__xludf.DUMMYFUNCTION("iferror(filter('Full Perk List'!E$3:E1498,'Full Perk List'!$D$3:$D1498=$D19),"""")"),"Breathless Wild")</f>
        <v>Breathless Wild</v>
      </c>
      <c r="F19" s="2" t="str">
        <f ca="1">IFERROR(__xludf.DUMMYFUNCTION("iferror(filter('Full Perk List'!F$3:F1498,'Full Perk List'!$D$3:$D1498=$D19),"""")"),"Alternate Forms")</f>
        <v>Alternate Forms</v>
      </c>
      <c r="G19" s="2" t="str">
        <f ca="1">IFERROR(__xludf.DUMMYFUNCTION("iferror(filter('Full Perk List'!G$3:G1498,'Full Perk List'!$D$3:$D1498=$D19),"""")"),"The desert-dwelling gerudo have developed a second gender in the past century. Though they still don’t give birth to men, some gerudo are now born as futanari, sporting impressive cocks and muscular bodies. These amazonian hermaphrodites are a highly priv"&amp;"ileged class who are encouraged to spread their seed and impregnate as many women as they please both inside and outside the tribe. Many gerudo keep vast harems of concubines, and some have even returned to the old ways of kidnapping outsiders to keep as "&amp;"slaves and broodmares. But male gerudo aren’t completely impossible: in ancient times a single boy was born every hundred years and was prophesied to become king of the gerudo, though this hasn’t occurred in many millennia. Should you choose to be the nex"&amp;"t exception to the rule you'll be sure to draw a great deal of attention, as the last male gerudo remains rather notorious to say the least.")</f>
        <v>The desert-dwelling gerudo have developed a second gender in the past century. Though they still don’t give birth to men, some gerudo are now born as futanari, sporting impressive cocks and muscular bodies. These amazonian hermaphrodites are a highly privileged class who are encouraged to spread their seed and impregnate as many women as they please both inside and outside the tribe. Many gerudo keep vast harems of concubines, and some have even returned to the old ways of kidnapping outsiders to keep as slaves and broodmares. But male gerudo aren’t completely impossible: in ancient times a single boy was born every hundred years and was prophesied to become king of the gerudo, though this hasn’t occurred in many millennia. Should you choose to be the next exception to the rule you'll be sure to draw a great deal of attention, as the last male gerudo remains rather notorious to say the least.</v>
      </c>
      <c r="H19" s="1"/>
      <c r="I19" s="2"/>
      <c r="J19" s="2"/>
      <c r="K19" s="2"/>
      <c r="L19" s="2"/>
      <c r="M19" s="2"/>
      <c r="N19" s="2"/>
      <c r="O19" s="2"/>
      <c r="P19" s="2"/>
      <c r="Q19" s="2"/>
      <c r="R19" s="2"/>
      <c r="S19" s="2"/>
      <c r="T19" s="2"/>
      <c r="U19" s="2"/>
      <c r="V19" s="2"/>
      <c r="W19" s="2"/>
      <c r="X19" s="2"/>
      <c r="Y19" s="2"/>
    </row>
    <row r="20" spans="1:25" ht="208.8" x14ac:dyDescent="0.25">
      <c r="A20" s="1"/>
      <c r="B20" s="40"/>
      <c r="C20" s="2">
        <f ca="1">IFERROR(__xludf.DUMMYFUNCTION("iferror(filter('Full Perk List'!C$3:C1498,'Full Perk List'!$D$3:$D1498=$D20),"""")"),200)</f>
        <v>200</v>
      </c>
      <c r="D20" s="2" t="s">
        <v>38</v>
      </c>
      <c r="E20" s="2" t="str">
        <f ca="1">IFERROR(__xludf.DUMMYFUNCTION("iferror(filter('Full Perk List'!E$3:E1498,'Full Perk List'!$D$3:$D1498=$D20),"""")"),"Breathless Wild")</f>
        <v>Breathless Wild</v>
      </c>
      <c r="F20" s="2" t="str">
        <f ca="1">IFERROR(__xludf.DUMMYFUNCTION("iferror(filter('Full Perk List'!F$3:F1498,'Full Perk List'!$D$3:$D1498=$D20),"""")"),"Seduction")</f>
        <v>Seduction</v>
      </c>
      <c r="G20" s="2" t="str">
        <f ca="1">IFERROR(__xludf.DUMMYFUNCTION("iferror(filter('Full Perk List'!G$3:G1498,'Full Perk List'!$D$3:$D1498=$D20),"""")"),"Chieftain Urbosa was everything the gerudo ever wanted in their champion: domineering, amazonian, and blessed with a cock that made moblins cry with envy, or at least that’s how she’s remembered. It’s easy to see why such proud warriors would value such t"&amp;"hings but for you it seems everyone finds them appealing. You have what can only be described as big dick energy, an impressive aura of strength and virility which bolsters your charisma, and the bigger and stronger you are (and the bigger your cock is, i"&amp;"f you have one) the more charismatic you become. Whether people find you incredibly attractive or intimidating or both at once, this animal magnetism makes you a natural leader for anybody who’s smaller or less well-endowed than you are, and if there’s an"&amp;"y debate on the matter you can put it to rest by crushing your challengers in any sort of physical competition, reducing them to horny simps like the rest of your minions. Note that you needn’t be huge and well-hung to benefit: an amazonian MILF and a you"&amp;"ng man who’s hung like a bull will both benefit based on their respective strengths, not whichever quality they lack.")</f>
        <v>Chieftain Urbosa was everything the gerudo ever wanted in their champion: domineering, amazonian, and blessed with a cock that made moblins cry with envy, or at least that’s how she’s remembered. It’s easy to see why such proud warriors would value such things but for you it seems everyone finds them appealing. You have what can only be described as big dick energy, an impressive aura of strength and virility which bolsters your charisma, and the bigger and stronger you are (and the bigger your cock is, if you have one) the more charismatic you become. Whether people find you incredibly attractive or intimidating or both at once, this animal magnetism makes you a natural leader for anybody who’s smaller or less well-endowed than you are, and if there’s any debate on the matter you can put it to rest by crushing your challengers in any sort of physical competition, reducing them to horny simps like the rest of your minions. Note that you needn’t be huge and well-hung to benefit: an amazonian MILF and a young man who’s hung like a bull will both benefit based on their respective strengths, not whichever quality they lack.</v>
      </c>
      <c r="H20" s="1"/>
      <c r="I20" s="2"/>
      <c r="J20" s="2"/>
      <c r="K20" s="2"/>
      <c r="L20" s="2"/>
      <c r="M20" s="2"/>
      <c r="N20" s="2"/>
      <c r="O20" s="2"/>
      <c r="P20" s="2"/>
      <c r="Q20" s="2"/>
      <c r="R20" s="2"/>
      <c r="S20" s="2"/>
      <c r="T20" s="2"/>
      <c r="U20" s="2"/>
      <c r="V20" s="2"/>
      <c r="W20" s="2"/>
      <c r="X20" s="2"/>
      <c r="Y20" s="2"/>
    </row>
    <row r="21" spans="1:25" ht="69.599999999999994" x14ac:dyDescent="0.25">
      <c r="A21" s="1"/>
      <c r="B21" s="40"/>
      <c r="C21" s="2">
        <f ca="1">IFERROR(__xludf.DUMMYFUNCTION("iferror(filter('Full Perk List'!C$3:C1498,'Full Perk List'!$D$3:$D1498=$D21),"""")"),600)</f>
        <v>600</v>
      </c>
      <c r="D21" s="2" t="s">
        <v>39</v>
      </c>
      <c r="E21" s="2" t="str">
        <f ca="1">IFERROR(__xludf.DUMMYFUNCTION("iferror(filter('Full Perk List'!E$3:E1498,'Full Perk List'!$D$3:$D1498=$D21),"""")"),"Flexible Survival")</f>
        <v>Flexible Survival</v>
      </c>
      <c r="F21" s="2" t="str">
        <f ca="1">IFERROR(__xludf.DUMMYFUNCTION("iferror(filter('Full Perk List'!F$3:F1498,'Full Perk List'!$D$3:$D1498=$D21),"""")"),"Transformation")</f>
        <v>Transformation</v>
      </c>
      <c r="G21" s="2" t="str">
        <f ca="1">IFERROR(__xludf.DUMMYFUNCTION("iferror(filter('Full Perk List'!G$3:G1498,'Full Perk List'!$D$3:$D1498=$D21),"""")"),"This vial contains all strains of a nanite infection that brought ruin to its world. Unleashing it will cause a partial grey goo scenario targeted solely on biological creatures, with the survivors becoming sexualised hybrids the greater the level of infe"&amp;"ction they have. It is practically impossible to use this to find or develop a cure. Replenishes every ten years if used.")</f>
        <v>This vial contains all strains of a nanite infection that brought ruin to its world. Unleashing it will cause a partial grey goo scenario targeted solely on biological creatures, with the survivors becoming sexualised hybrids the greater the level of infection they have. It is practically impossible to use this to find or develop a cure. Replenishes every ten years if used.</v>
      </c>
      <c r="H21" s="1"/>
      <c r="I21" s="2"/>
      <c r="J21" s="2"/>
      <c r="K21" s="2"/>
      <c r="L21" s="2"/>
      <c r="M21" s="2"/>
      <c r="N21" s="2"/>
      <c r="O21" s="2"/>
      <c r="P21" s="2"/>
      <c r="Q21" s="2"/>
      <c r="R21" s="2"/>
      <c r="S21" s="2"/>
      <c r="T21" s="2"/>
      <c r="U21" s="2"/>
      <c r="V21" s="2"/>
      <c r="W21" s="2"/>
      <c r="X21" s="2"/>
      <c r="Y21" s="2"/>
    </row>
    <row r="22" spans="1:25" ht="121.8" x14ac:dyDescent="0.25">
      <c r="A22" s="1"/>
      <c r="B22" s="40"/>
      <c r="C22" s="2">
        <f ca="1">IFERROR(__xludf.DUMMYFUNCTION("iferror(filter('Full Perk List'!C$3:C1498,'Full Perk List'!$D$3:$D1498=$D22),"""")"),200)</f>
        <v>200</v>
      </c>
      <c r="D22" s="2" t="s">
        <v>40</v>
      </c>
      <c r="E22" s="2" t="str">
        <f ca="1">IFERROR(__xludf.DUMMYFUNCTION("iferror(filter('Full Perk List'!E$3:E1498,'Full Perk List'!$D$3:$D1498=$D22),"""")"),"Sphilia’s Familiar")</f>
        <v>Sphilia’s Familiar</v>
      </c>
      <c r="F22" s="2" t="str">
        <f ca="1">IFERROR(__xludf.DUMMYFUNCTION("iferror(filter('Full Perk List'!F$3:F1498,'Full Perk List'!$D$3:$D1498=$D22),"""")"),"Relationships")</f>
        <v>Relationships</v>
      </c>
      <c r="G22" s="2" t="str">
        <f ca="1">IFERROR(__xludf.DUMMYFUNCTION("iferror(filter('Full Perk List'!G$3:G1498,'Full Perk List'!$D$3:$D1498=$D22),"""")"),"With someone like Godel in town, it's a bit difficult to keep your playthings only yours without extraordinary skills. This won't give you those, but it will help you prevent your lovers cheating on your lame ass. Every time someone you're 'involved with'"&amp;" starts to waver in their devotion to you, a woman will appear nearby and tell you what's happening as well as grant some tips to stop it. Even if you were to ignore the advice and they cheat, she will keep appearing to tell you how to stop it and win you"&amp;"r partner back. Ignoring it will have the woman keep appearing until she finally confirms that your lover isn't yours anymore.")</f>
        <v>With someone like Godel in town, it's a bit difficult to keep your playthings only yours without extraordinary skills. This won't give you those, but it will help you prevent your lovers cheating on your lame ass. Every time someone you're 'involved with' starts to waver in their devotion to you, a woman will appear nearby and tell you what's happening as well as grant some tips to stop it. Even if you were to ignore the advice and they cheat, she will keep appearing to tell you how to stop it and win your partner back. Ignoring it will have the woman keep appearing until she finally confirms that your lover isn't yours anymore.</v>
      </c>
      <c r="H22" s="1"/>
      <c r="I22" s="2"/>
      <c r="J22" s="2"/>
      <c r="K22" s="2"/>
      <c r="L22" s="2"/>
      <c r="M22" s="2"/>
      <c r="N22" s="2"/>
      <c r="O22" s="2"/>
      <c r="P22" s="2"/>
      <c r="Q22" s="2"/>
      <c r="R22" s="2"/>
      <c r="S22" s="2"/>
      <c r="T22" s="2"/>
      <c r="U22" s="2"/>
      <c r="V22" s="2"/>
      <c r="W22" s="2"/>
      <c r="X22" s="2"/>
      <c r="Y22" s="2"/>
    </row>
    <row r="23" spans="1:25" ht="226.2" x14ac:dyDescent="0.25">
      <c r="A23" s="1"/>
      <c r="B23" s="40"/>
      <c r="C23" s="2">
        <f ca="1">IFERROR(__xludf.DUMMYFUNCTION("iferror(filter('Full Perk List'!C$3:C1498,'Full Perk List'!$D$3:$D1498=$D23),"""")"),400)</f>
        <v>400</v>
      </c>
      <c r="D23" s="2" t="s">
        <v>41</v>
      </c>
      <c r="E23" s="2" t="str">
        <f ca="1">IFERROR(__xludf.DUMMYFUNCTION("iferror(filter('Full Perk List'!E$3:E1498,'Full Perk List'!$D$3:$D1498=$D23),"""")"),"Elzikyuchi’s Dickgirls 2")</f>
        <v>Elzikyuchi’s Dickgirls 2</v>
      </c>
      <c r="F23" s="2" t="str">
        <f ca="1">IFERROR(__xludf.DUMMYFUNCTION("iferror(filter('Full Perk List'!F$3:F1498,'Full Perk List'!$D$3:$D1498=$D23),"""")"),"Alternate Forms")</f>
        <v>Alternate Forms</v>
      </c>
      <c r="G23" s="2" t="str">
        <f ca="1">IFERROR(__xludf.DUMMYFUNCTION("iferror(filter('Full Perk List'!G$3:G1498,'Full Perk List'!$D$3:$D1498=$D23),"""")"),"From generic succubi, to creatures embodying specific fetishes, sex demons are possibly the strongest type of monster in this world. They are naturally capable of wielding magic, and their strength only grows as they partake of and are surrounded by lust."&amp;" From body control, to mind control, to subtler charms, to attribute exchange, to illusions, to possession, such demons are capable of doing right about anything that might get someone off, assuming they've fucked enough people to gather the required ener"&amp;"gy. The well of power available to them with enough sex does mean they're also capable of more practical magic, such as giving summoners immortality by having them suck down cum laced with life energy or incredible power by turning them into sexy monsterg"&amp;"irls. Well, relatively practical. In any case, you can count yourself among them. On top of all that, you can if you desire to do so declare yourself a succubus belonging to a specific fetish. In addition to enhancing your abilities within that fetish, yo"&amp;"u can ambiently draw power from it. For a shemale succubus, merely being near someone fantasizing about that sort of thing can be very empowering.")</f>
        <v>From generic succubi, to creatures embodying specific fetishes, sex demons are possibly the strongest type of monster in this world. They are naturally capable of wielding magic, and their strength only grows as they partake of and are surrounded by lust. From body control, to mind control, to subtler charms, to attribute exchange, to illusions, to possession, such demons are capable of doing right about anything that might get someone off, assuming they've fucked enough people to gather the required energy. The well of power available to them with enough sex does mean they're also capable of more practical magic, such as giving summoners immortality by having them suck down cum laced with life energy or incredible power by turning them into sexy monstergirls. Well, relatively practical. In any case, you can count yourself among them. On top of all that, you can if you desire to do so declare yourself a succubus belonging to a specific fetish. In addition to enhancing your abilities within that fetish, you can ambiently draw power from it. For a shemale succubus, merely being near someone fantasizing about that sort of thing can be very empowering.</v>
      </c>
      <c r="H23" s="1"/>
      <c r="I23" s="2"/>
      <c r="J23" s="2"/>
      <c r="K23" s="2"/>
      <c r="L23" s="2"/>
      <c r="M23" s="2"/>
      <c r="N23" s="2"/>
      <c r="O23" s="2"/>
      <c r="P23" s="2"/>
      <c r="Q23" s="2"/>
      <c r="R23" s="2"/>
      <c r="S23" s="2"/>
      <c r="T23" s="2"/>
      <c r="U23" s="2"/>
      <c r="V23" s="2"/>
      <c r="W23" s="2"/>
      <c r="X23" s="2"/>
      <c r="Y23" s="2"/>
    </row>
    <row r="24" spans="1:25" ht="104.4" x14ac:dyDescent="0.25">
      <c r="A24" s="1"/>
      <c r="B24" s="40"/>
      <c r="C24" s="2">
        <f ca="1">IFERROR(__xludf.DUMMYFUNCTION("iferror(filter('Full Perk List'!C$3:C1498,'Full Perk List'!$D$3:$D1498=$D24),"""")"),600)</f>
        <v>600</v>
      </c>
      <c r="D24" s="2" t="s">
        <v>42</v>
      </c>
      <c r="E24" s="2" t="str">
        <f ca="1">IFERROR(__xludf.DUMMYFUNCTION("iferror(filter('Full Perk List'!E$3:E1498,'Full Perk List'!$D$3:$D1498=$D24),"""")"),"Power Play")</f>
        <v>Power Play</v>
      </c>
      <c r="F24" s="2" t="str">
        <f ca="1">IFERROR(__xludf.DUMMYFUNCTION("iferror(filter('Full Perk List'!F$3:F1498,'Full Perk List'!$D$3:$D1498=$D24),"""")"),"Magic")</f>
        <v>Magic</v>
      </c>
      <c r="G24" s="2" t="str">
        <f ca="1">IFERROR(__xludf.DUMMYFUNCTION("iferror(filter('Full Perk List'!G$3:G1498,'Full Perk List'!$D$3:$D1498=$D24),"""")"),"This doesn’t actually give you a dick, nor does it require one—instead, your genitals grow in mystical potency, not only looking better but causing levels of pleasure that humans can’t naturally reach. But you have a good reason to cause such pleasure, be"&amp;"cause for every orgasm your genitals cause someone else, your magical power grows just a little bit greater. It would take ages to get any real progress out of this, although by the end of 10 years, having sex several times a day, you could reasonably exp"&amp;"ect to be as powerful as Sara.")</f>
        <v>This doesn’t actually give you a dick, nor does it require one—instead, your genitals grow in mystical potency, not only looking better but causing levels of pleasure that humans can’t naturally reach. But you have a good reason to cause such pleasure, because for every orgasm your genitals cause someone else, your magical power grows just a little bit greater. It would take ages to get any real progress out of this, although by the end of 10 years, having sex several times a day, you could reasonably expect to be as powerful as Sara.</v>
      </c>
      <c r="H24" s="1"/>
      <c r="I24" s="2"/>
      <c r="J24" s="2"/>
      <c r="K24" s="2"/>
      <c r="L24" s="2"/>
      <c r="M24" s="2"/>
      <c r="N24" s="2"/>
      <c r="O24" s="2"/>
      <c r="P24" s="2"/>
      <c r="Q24" s="2"/>
      <c r="R24" s="2"/>
      <c r="S24" s="2"/>
      <c r="T24" s="2"/>
      <c r="U24" s="2"/>
      <c r="V24" s="2"/>
      <c r="W24" s="2"/>
      <c r="X24" s="2"/>
      <c r="Y24" s="2"/>
    </row>
    <row r="25" spans="1:25" ht="139.19999999999999" x14ac:dyDescent="0.25">
      <c r="A25" s="1"/>
      <c r="B25" s="40"/>
      <c r="C25" s="2">
        <f ca="1">IFERROR(__xludf.DUMMYFUNCTION("iferror(filter('Full Perk List'!C$3:C1498,'Full Perk List'!$D$3:$D1498=$D25),"""")"),400)</f>
        <v>400</v>
      </c>
      <c r="D25" s="2" t="s">
        <v>43</v>
      </c>
      <c r="E25" s="2" t="str">
        <f ca="1">IFERROR(__xludf.DUMMYFUNCTION("iferror(filter('Full Perk List'!E$3:E1498,'Full Perk List'!$D$3:$D1498=$D25),"""")"),"Elzikyuchi’s Dickgirls 2")</f>
        <v>Elzikyuchi’s Dickgirls 2</v>
      </c>
      <c r="F25" s="2" t="str">
        <f ca="1">IFERROR(__xludf.DUMMYFUNCTION("iferror(filter('Full Perk List'!F$3:F1498,'Full Perk List'!$D$3:$D1498=$D25),"""")"),"Body &amp; Beauty")</f>
        <v>Body &amp; Beauty</v>
      </c>
      <c r="G25" s="2" t="str">
        <f ca="1">IFERROR(__xludf.DUMMYFUNCTION("iferror(filter('Full Perk List'!G$3:G1498,'Full Perk List'!$D$3:$D1498=$D25),"""")"),"Maybe you're a remnant of the Cockvore Massacres, maybe you're a certain type of succubus, what matters is that your dick is a predatory organ. Since the specifics vary even within the same species, you can choose the exact mechanics. You could have a dic"&amp;"k that shrinks its victims, melts their body down into hot cum, and reincarnates them as your slaves once you shoot them into a fertile womb. You could have a dick that really is just large enough to swallow people whole and trap them inside where they're"&amp;" forced to churn up bigger and thicker loads for your pleasure while acting as magical batteries. On a more practical level, even a single feeding can keep you sated for days, and will replenish any magical energy you may have based on the strength of the"&amp;" target.")</f>
        <v>Maybe you're a remnant of the Cockvore Massacres, maybe you're a certain type of succubus, what matters is that your dick is a predatory organ. Since the specifics vary even within the same species, you can choose the exact mechanics. You could have a dick that shrinks its victims, melts their body down into hot cum, and reincarnates them as your slaves once you shoot them into a fertile womb. You could have a dick that really is just large enough to swallow people whole and trap them inside where they're forced to churn up bigger and thicker loads for your pleasure while acting as magical batteries. On a more practical level, even a single feeding can keep you sated for days, and will replenish any magical energy you may have based on the strength of the target.</v>
      </c>
      <c r="H25" s="1"/>
      <c r="I25" s="2"/>
      <c r="J25" s="2"/>
      <c r="K25" s="2"/>
      <c r="L25" s="2"/>
      <c r="M25" s="2"/>
      <c r="N25" s="2"/>
      <c r="O25" s="2"/>
      <c r="P25" s="2"/>
      <c r="Q25" s="2"/>
      <c r="R25" s="2"/>
      <c r="S25" s="2"/>
      <c r="T25" s="2"/>
      <c r="U25" s="2"/>
      <c r="V25" s="2"/>
      <c r="W25" s="2"/>
      <c r="X25" s="2"/>
      <c r="Y25" s="2"/>
    </row>
    <row r="26" spans="1:25" ht="87" x14ac:dyDescent="0.25">
      <c r="A26" s="1"/>
      <c r="B26" s="40"/>
      <c r="C26" s="2">
        <f ca="1">IFERROR(__xludf.DUMMYFUNCTION("iferror(filter('Full Perk List'!C$3:C1498,'Full Perk List'!$D$3:$D1498=$D26),"""")"),0)</f>
        <v>0</v>
      </c>
      <c r="D26" s="2" t="s">
        <v>44</v>
      </c>
      <c r="E26" s="2" t="str">
        <f ca="1">IFERROR(__xludf.DUMMYFUNCTION("iferror(filter('Full Perk List'!E$3:E1498,'Full Perk List'!$D$3:$D1498=$D26),"""")"),"It’s a Straight Line Once You Fall in Love!")</f>
        <v>It’s a Straight Line Once You Fall in Love!</v>
      </c>
      <c r="F26" s="2" t="str">
        <f ca="1">IFERROR(__xludf.DUMMYFUNCTION("iferror(filter('Full Perk List'!F$3:F1498,'Full Perk List'!$D$3:$D1498=$D26),"""")"),"Body &amp; Beauty")</f>
        <v>Body &amp; Beauty</v>
      </c>
      <c r="G26" s="2" t="str">
        <f ca="1">IFERROR(__xludf.DUMMYFUNCTION("iferror(filter('Full Perk List'!G$3:G1498,'Full Perk List'!$D$3:$D1498=$D26),"""")"),"Of course we need to at least give you this much! Even if sex wasn’t an already physically demanding activity, this isn’t just about sex—it’s about sex as a sport, and there’s no such thing as an unfit athlete... at least, not one who succeeds, at any rat"&amp;"e. You are quite physically fit—nowhere near peak human, but more along the lines of what you’d expect of a college sports star (although this doesn’t give the athletic skill needed to actually be one).")</f>
        <v>Of course we need to at least give you this much! Even if sex wasn’t an already physically demanding activity, this isn’t just about sex—it’s about sex as a sport, and there’s no such thing as an unfit athlete... at least, not one who succeeds, at any rate. You are quite physically fit—nowhere near peak human, but more along the lines of what you’d expect of a college sports star (although this doesn’t give the athletic skill needed to actually be one).</v>
      </c>
      <c r="H26" s="1"/>
      <c r="I26" s="2"/>
      <c r="J26" s="2"/>
      <c r="K26" s="2"/>
      <c r="L26" s="2"/>
      <c r="M26" s="2"/>
      <c r="N26" s="2"/>
      <c r="O26" s="2"/>
      <c r="P26" s="2"/>
      <c r="Q26" s="2"/>
      <c r="R26" s="2"/>
      <c r="S26" s="2"/>
      <c r="T26" s="2"/>
      <c r="U26" s="2"/>
      <c r="V26" s="2"/>
      <c r="W26" s="2"/>
      <c r="X26" s="2"/>
      <c r="Y26" s="2"/>
    </row>
    <row r="27" spans="1:25" ht="261" x14ac:dyDescent="0.25">
      <c r="A27" s="1"/>
      <c r="B27" s="40"/>
      <c r="C27" s="2">
        <f ca="1">IFERROR(__xludf.DUMMYFUNCTION("iferror(filter('Full Perk List'!C$3:C1498,'Full Perk List'!$D$3:$D1498=$D27),"""")"),400)</f>
        <v>400</v>
      </c>
      <c r="D27" s="2" t="s">
        <v>45</v>
      </c>
      <c r="E27" s="2" t="str">
        <f ca="1">IFERROR(__xludf.DUMMYFUNCTION("iferror(filter('Full Perk List'!E$3:E1498,'Full Perk List'!$D$3:$D1498=$D27),"""")"),"World of Cybersluts")</f>
        <v>World of Cybersluts</v>
      </c>
      <c r="F27" s="2" t="str">
        <f ca="1">IFERROR(__xludf.DUMMYFUNCTION("iferror(filter('Full Perk List'!F$3:F1498,'Full Perk List'!$D$3:$D1498=$D27),"""")"),"Pocket Dimension")</f>
        <v>Pocket Dimension</v>
      </c>
      <c r="G27" s="2" t="str">
        <f ca="1">IFERROR(__xludf.DUMMYFUNCTION("iferror(filter('Full Perk List'!G$3:G1498,'Full Perk List'!$D$3:$D1498=$D27),"""")"),"While you could just build things in your garage, having an actual workplace will get you much further. This here is a serious workshop, stocked with all the top-of-the-line tools and machinery you need to build, repair, and maintain just about any piece "&amp;"of tech. There’s even a small operating theater, specialized for implanting and maintaining cybernetics.
But the real selling point of the workshop is that it can automatically print out and assemble any technology you have the blueprints for, allowing f"&amp;"or easy mass production. By default the blueprints for any other gear or cyberware bought here are already included as well. 
There’s just one small thing you might want to keep in mind. If you try to have the workshop produce something that isn’t alread"&amp;"y sexual in some way, it’ll alter the plans slightly on its own to put some perverted spin on it. For example, those human level androids could come out as sexbots intent on seducing its owners, while power armour might keep its wearer in a constant state"&amp;" of arousal or have sextoys built-in. But as a bonus, along with the finished product it also provides a new set of blueprints for this perverse variation.")</f>
        <v>While you could just build things in your garage, having an actual workplace will get you much further. This here is a serious workshop, stocked with all the top-of-the-line tools and machinery you need to build, repair, and maintain just about any piece of tech. There’s even a small operating theater, specialized for implanting and maintaining cybernetics.
But the real selling point of the workshop is that it can automatically print out and assemble any technology you have the blueprints for, allowing for easy mass production. By default the blueprints for any other gear or cyberware bought here are already included as well. 
There’s just one small thing you might want to keep in mind. If you try to have the workshop produce something that isn’t already sexual in some way, it’ll alter the plans slightly on its own to put some perverted spin on it. For example, those human level androids could come out as sexbots intent on seducing its owners, while power armour might keep its wearer in a constant state of arousal or have sextoys built-in. But as a bonus, along with the finished product it also provides a new set of blueprints for this perverse variation.</v>
      </c>
      <c r="H27" s="1"/>
      <c r="I27" s="2"/>
      <c r="J27" s="2"/>
      <c r="K27" s="2"/>
      <c r="L27" s="2"/>
      <c r="M27" s="2"/>
      <c r="N27" s="2"/>
      <c r="O27" s="2"/>
      <c r="P27" s="2"/>
      <c r="Q27" s="2"/>
      <c r="R27" s="2"/>
      <c r="S27" s="2"/>
      <c r="T27" s="2"/>
      <c r="U27" s="2"/>
      <c r="V27" s="2"/>
      <c r="W27" s="2"/>
      <c r="X27" s="2"/>
      <c r="Y27" s="2"/>
    </row>
    <row r="28" spans="1:25" ht="191.4" x14ac:dyDescent="0.25">
      <c r="A28" s="1"/>
      <c r="B28" s="40"/>
      <c r="C28" s="2">
        <f ca="1">IFERROR(__xludf.DUMMYFUNCTION("iferror(filter('Full Perk List'!C$3:C1498,'Full Perk List'!$D$3:$D1498=$D28),"""")"),600)</f>
        <v>600</v>
      </c>
      <c r="D28" s="2" t="s">
        <v>46</v>
      </c>
      <c r="E28" s="2" t="str">
        <f ca="1">IFERROR(__xludf.DUMMYFUNCTION("iferror(filter('Full Perk List'!E$3:E1498,'Full Perk List'!$D$3:$D1498=$D28),"""")"),"How Not to Summon a Demon Lord")</f>
        <v>How Not to Summon a Demon Lord</v>
      </c>
      <c r="F28" s="2" t="str">
        <f ca="1">IFERROR(__xludf.DUMMYFUNCTION("iferror(filter('Full Perk List'!F$3:F1498,'Full Perk List'!$D$3:$D1498=$D28),"""")"),"Magic")</f>
        <v>Magic</v>
      </c>
      <c r="G28" s="2" t="str">
        <f ca="1">IFERROR(__xludf.DUMMYFUNCTION("iferror(filter('Full Perk List'!G$3:G1498,'Full Perk List'!$D$3:$D1498=$D28),"""")"),"Among the rarest and most powerful arts known to spellcasters is the special ability known as Multiplex Magic, the power to fuse up to three spells together into a single ultra-powerful spell containing the power and qualities of all of its component spel"&amp;"ls. Such power comes at a steep cost: the caster must remain immobile while casting, suffering any damage during casting will cause the spell to misfire, and spells can only be merged once an hour at most. But when a monster the size of a mountain is bear"&amp;"ing down on you you’ll be glad you had this secret technique in your arsenal. You can even take this power one step further than even Diablo has by fusing spells with your party members instead of needing to cast them all yourself, though your allies must"&amp;" obey the same casting limitations that you do. 
And if that's not good enough, imagine what you could do with it in bed!")</f>
        <v>Among the rarest and most powerful arts known to spellcasters is the special ability known as Multiplex Magic, the power to fuse up to three spells together into a single ultra-powerful spell containing the power and qualities of all of its component spells. Such power comes at a steep cost: the caster must remain immobile while casting, suffering any damage during casting will cause the spell to misfire, and spells can only be merged once an hour at most. But when a monster the size of a mountain is bearing down on you you’ll be glad you had this secret technique in your arsenal. You can even take this power one step further than even Diablo has by fusing spells with your party members instead of needing to cast them all yourself, though your allies must obey the same casting limitations that you do. 
And if that's not good enough, imagine what you could do with it in bed!</v>
      </c>
      <c r="H28" s="1"/>
      <c r="I28" s="2"/>
      <c r="J28" s="2"/>
      <c r="K28" s="2"/>
      <c r="L28" s="2"/>
      <c r="M28" s="2"/>
      <c r="N28" s="2"/>
      <c r="O28" s="2"/>
      <c r="P28" s="2"/>
      <c r="Q28" s="2"/>
      <c r="R28" s="2"/>
      <c r="S28" s="2"/>
      <c r="T28" s="2"/>
      <c r="U28" s="2"/>
      <c r="V28" s="2"/>
      <c r="W28" s="2"/>
      <c r="X28" s="2"/>
      <c r="Y28" s="2"/>
    </row>
    <row r="29" spans="1:25" ht="17.399999999999999" x14ac:dyDescent="0.25">
      <c r="A29" s="1"/>
      <c r="B29" s="40"/>
      <c r="C29" s="2" t="str">
        <f ca="1">IFERROR(__xludf.DUMMYFUNCTION("iferror(filter('Full Perk List'!C$3:C1498,'Full Perk List'!$D$3:$D1498=$D29),"""")"),"#REF!")</f>
        <v>#REF!</v>
      </c>
      <c r="D29" s="2"/>
      <c r="E29" s="2" t="str">
        <f ca="1">IFERROR(__xludf.DUMMYFUNCTION("iferror(filter('Full Perk List'!E$3:E1498,'Full Perk List'!$D$3:$D1498=$D29),"""")"),"#REF!")</f>
        <v>#REF!</v>
      </c>
      <c r="F29" s="2" t="str">
        <f ca="1">IFERROR(__xludf.DUMMYFUNCTION("iferror(filter('Full Perk List'!F$3:F1498,'Full Perk List'!$D$3:$D1498=$D29),"""")"),"#REF!")</f>
        <v>#REF!</v>
      </c>
      <c r="G29" s="2" t="str">
        <f ca="1">IFERROR(__xludf.DUMMYFUNCTION("iferror(filter('Full Perk List'!G$3:G1498,'Full Perk List'!$D$3:$D1498=$D29),"""")"),"#REF!")</f>
        <v>#REF!</v>
      </c>
      <c r="H29" s="1"/>
      <c r="I29" s="2"/>
      <c r="J29" s="2"/>
      <c r="K29" s="2"/>
      <c r="L29" s="2"/>
      <c r="M29" s="2"/>
      <c r="N29" s="2"/>
      <c r="O29" s="2"/>
      <c r="P29" s="2"/>
      <c r="Q29" s="2"/>
      <c r="R29" s="2"/>
      <c r="S29" s="2"/>
      <c r="T29" s="2"/>
      <c r="U29" s="2"/>
      <c r="V29" s="2"/>
      <c r="W29" s="2"/>
      <c r="X29" s="2"/>
      <c r="Y29" s="2"/>
    </row>
    <row r="30" spans="1:25" ht="17.399999999999999" x14ac:dyDescent="0.25">
      <c r="A30" s="1"/>
      <c r="B30" s="40"/>
      <c r="C30" s="2" t="str">
        <f ca="1">IFERROR(__xludf.DUMMYFUNCTION("iferror(filter('Full Perk List'!C$3:C1498,'Full Perk List'!$D$3:$D1498=$D30),"""")"),"#REF!")</f>
        <v>#REF!</v>
      </c>
      <c r="D30" s="2"/>
      <c r="E30" s="2" t="str">
        <f ca="1">IFERROR(__xludf.DUMMYFUNCTION("iferror(filter('Full Perk List'!E$3:E1498,'Full Perk List'!$D$3:$D1498=$D30),"""")"),"#REF!")</f>
        <v>#REF!</v>
      </c>
      <c r="F30" s="2" t="str">
        <f ca="1">IFERROR(__xludf.DUMMYFUNCTION("iferror(filter('Full Perk List'!F$3:F1498,'Full Perk List'!$D$3:$D1498=$D30),"""")"),"#REF!")</f>
        <v>#REF!</v>
      </c>
      <c r="G30" s="2" t="str">
        <f ca="1">IFERROR(__xludf.DUMMYFUNCTION("iferror(filter('Full Perk List'!G$3:G1498,'Full Perk List'!$D$3:$D1498=$D30),"""")"),"#REF!")</f>
        <v>#REF!</v>
      </c>
      <c r="H30" s="1"/>
      <c r="I30" s="2"/>
      <c r="J30" s="2"/>
      <c r="K30" s="2"/>
      <c r="L30" s="2"/>
      <c r="M30" s="2"/>
      <c r="N30" s="2"/>
      <c r="O30" s="2"/>
      <c r="P30" s="2"/>
      <c r="Q30" s="2"/>
      <c r="R30" s="2"/>
      <c r="S30" s="2"/>
      <c r="T30" s="2"/>
      <c r="U30" s="2"/>
      <c r="V30" s="2"/>
      <c r="W30" s="2"/>
      <c r="X30" s="2"/>
      <c r="Y30" s="2"/>
    </row>
    <row r="31" spans="1:25" ht="17.399999999999999" x14ac:dyDescent="0.25">
      <c r="A31" s="1"/>
      <c r="B31" s="40"/>
      <c r="C31" s="2" t="str">
        <f ca="1">IFERROR(__xludf.DUMMYFUNCTION("iferror(filter('Full Perk List'!C$3:C1498,'Full Perk List'!$D$3:$D1498=$D31),"""")"),"#REF!")</f>
        <v>#REF!</v>
      </c>
      <c r="D31" s="2"/>
      <c r="E31" s="2" t="str">
        <f ca="1">IFERROR(__xludf.DUMMYFUNCTION("iferror(filter('Full Perk List'!E$3:E1498,'Full Perk List'!$D$3:$D1498=$D31),"""")"),"#REF!")</f>
        <v>#REF!</v>
      </c>
      <c r="F31" s="2" t="str">
        <f ca="1">IFERROR(__xludf.DUMMYFUNCTION("iferror(filter('Full Perk List'!F$3:F1498,'Full Perk List'!$D$3:$D1498=$D31),"""")"),"#REF!")</f>
        <v>#REF!</v>
      </c>
      <c r="G31" s="2" t="str">
        <f ca="1">IFERROR(__xludf.DUMMYFUNCTION("iferror(filter('Full Perk List'!G$3:G1498,'Full Perk List'!$D$3:$D1498=$D31),"""")"),"#REF!")</f>
        <v>#REF!</v>
      </c>
      <c r="H31" s="1"/>
      <c r="I31" s="2"/>
      <c r="J31" s="2"/>
      <c r="K31" s="2"/>
      <c r="L31" s="2"/>
      <c r="M31" s="2"/>
      <c r="N31" s="2"/>
      <c r="O31" s="2"/>
      <c r="P31" s="2"/>
      <c r="Q31" s="2"/>
      <c r="R31" s="2"/>
      <c r="S31" s="2"/>
      <c r="T31" s="2"/>
      <c r="U31" s="2"/>
      <c r="V31" s="2"/>
      <c r="W31" s="2"/>
      <c r="X31" s="2"/>
      <c r="Y31" s="2"/>
    </row>
    <row r="32" spans="1:25" ht="17.399999999999999" x14ac:dyDescent="0.25">
      <c r="A32" s="1"/>
      <c r="B32" s="40"/>
      <c r="C32" s="2" t="str">
        <f ca="1">IFERROR(__xludf.DUMMYFUNCTION("iferror(filter('Full Perk List'!C$3:C1498,'Full Perk List'!$D$3:$D1498=$D32),"""")"),"#REF!")</f>
        <v>#REF!</v>
      </c>
      <c r="D32" s="2"/>
      <c r="E32" s="2" t="str">
        <f ca="1">IFERROR(__xludf.DUMMYFUNCTION("iferror(filter('Full Perk List'!E$3:E1498,'Full Perk List'!$D$3:$D1498=$D32),"""")"),"#REF!")</f>
        <v>#REF!</v>
      </c>
      <c r="F32" s="2" t="str">
        <f ca="1">IFERROR(__xludf.DUMMYFUNCTION("iferror(filter('Full Perk List'!F$3:F1498,'Full Perk List'!$D$3:$D1498=$D32),"""")"),"#REF!")</f>
        <v>#REF!</v>
      </c>
      <c r="G32" s="2" t="str">
        <f ca="1">IFERROR(__xludf.DUMMYFUNCTION("iferror(filter('Full Perk List'!G$3:G1498,'Full Perk List'!$D$3:$D1498=$D32),"""")"),"#REF!")</f>
        <v>#REF!</v>
      </c>
      <c r="H32" s="1"/>
      <c r="I32" s="2"/>
      <c r="J32" s="2"/>
      <c r="K32" s="2"/>
      <c r="L32" s="2"/>
      <c r="M32" s="2"/>
      <c r="N32" s="2"/>
      <c r="O32" s="2"/>
      <c r="P32" s="2"/>
      <c r="Q32" s="2"/>
      <c r="R32" s="2"/>
      <c r="S32" s="2"/>
      <c r="T32" s="2"/>
      <c r="U32" s="2"/>
      <c r="V32" s="2"/>
      <c r="W32" s="2"/>
      <c r="X32" s="2"/>
      <c r="Y32" s="2"/>
    </row>
    <row r="33" spans="1:25" ht="17.399999999999999" x14ac:dyDescent="0.25">
      <c r="A33" s="1"/>
      <c r="B33" s="40"/>
      <c r="C33" s="2" t="str">
        <f ca="1">IFERROR(__xludf.DUMMYFUNCTION("iferror(filter('Full Perk List'!C$3:C1498,'Full Perk List'!$D$3:$D1498=$D33),"""")"),"#REF!")</f>
        <v>#REF!</v>
      </c>
      <c r="D33" s="2"/>
      <c r="E33" s="2" t="str">
        <f ca="1">IFERROR(__xludf.DUMMYFUNCTION("iferror(filter('Full Perk List'!E$3:E1498,'Full Perk List'!$D$3:$D1498=$D33),"""")"),"#REF!")</f>
        <v>#REF!</v>
      </c>
      <c r="F33" s="2" t="str">
        <f ca="1">IFERROR(__xludf.DUMMYFUNCTION("iferror(filter('Full Perk List'!F$3:F1498,'Full Perk List'!$D$3:$D1498=$D33),"""")"),"#REF!")</f>
        <v>#REF!</v>
      </c>
      <c r="G33" s="2" t="str">
        <f ca="1">IFERROR(__xludf.DUMMYFUNCTION("iferror(filter('Full Perk List'!G$3:G1498,'Full Perk List'!$D$3:$D1498=$D33),"""")"),"#REF!")</f>
        <v>#REF!</v>
      </c>
      <c r="H33" s="1"/>
      <c r="I33" s="2"/>
      <c r="J33" s="2"/>
      <c r="K33" s="2"/>
      <c r="L33" s="2"/>
      <c r="M33" s="2"/>
      <c r="N33" s="2"/>
      <c r="O33" s="2"/>
      <c r="P33" s="2"/>
      <c r="Q33" s="2"/>
      <c r="R33" s="2"/>
      <c r="S33" s="2"/>
      <c r="T33" s="2"/>
      <c r="U33" s="2"/>
      <c r="V33" s="2"/>
      <c r="W33" s="2"/>
      <c r="X33" s="2"/>
      <c r="Y33" s="2"/>
    </row>
    <row r="34" spans="1:25" ht="17.399999999999999" x14ac:dyDescent="0.25">
      <c r="A34" s="1"/>
      <c r="B34" s="40"/>
      <c r="C34" s="2" t="str">
        <f ca="1">IFERROR(__xludf.DUMMYFUNCTION("iferror(filter('Full Perk List'!C$3:C1498,'Full Perk List'!$D$3:$D1498=$D34),"""")"),"#REF!")</f>
        <v>#REF!</v>
      </c>
      <c r="D34" s="2"/>
      <c r="E34" s="2" t="str">
        <f ca="1">IFERROR(__xludf.DUMMYFUNCTION("iferror(filter('Full Perk List'!E$3:E1498,'Full Perk List'!$D$3:$D1498=$D34),"""")"),"#REF!")</f>
        <v>#REF!</v>
      </c>
      <c r="F34" s="2" t="str">
        <f ca="1">IFERROR(__xludf.DUMMYFUNCTION("iferror(filter('Full Perk List'!F$3:F1498,'Full Perk List'!$D$3:$D1498=$D34),"""")"),"#REF!")</f>
        <v>#REF!</v>
      </c>
      <c r="G34" s="2" t="str">
        <f ca="1">IFERROR(__xludf.DUMMYFUNCTION("iferror(filter('Full Perk List'!G$3:G1498,'Full Perk List'!$D$3:$D1498=$D34),"""")"),"#REF!")</f>
        <v>#REF!</v>
      </c>
      <c r="H34" s="1"/>
      <c r="I34" s="2"/>
      <c r="J34" s="2"/>
      <c r="K34" s="2"/>
      <c r="L34" s="2"/>
      <c r="M34" s="2"/>
      <c r="N34" s="2"/>
      <c r="O34" s="2"/>
      <c r="P34" s="2"/>
      <c r="Q34" s="2"/>
      <c r="R34" s="2"/>
      <c r="S34" s="2"/>
      <c r="T34" s="2"/>
      <c r="U34" s="2"/>
      <c r="V34" s="2"/>
      <c r="W34" s="2"/>
      <c r="X34" s="2"/>
      <c r="Y34" s="2"/>
    </row>
    <row r="35" spans="1:25" ht="17.399999999999999" x14ac:dyDescent="0.25">
      <c r="A35" s="1"/>
      <c r="B35" s="40"/>
      <c r="C35" s="2" t="str">
        <f ca="1">IFERROR(__xludf.DUMMYFUNCTION("iferror(filter('Full Perk List'!C$3:C1498,'Full Perk List'!$D$3:$D1498=$D35),"""")"),"#REF!")</f>
        <v>#REF!</v>
      </c>
      <c r="D35" s="2"/>
      <c r="E35" s="2" t="str">
        <f ca="1">IFERROR(__xludf.DUMMYFUNCTION("iferror(filter('Full Perk List'!E$3:E1498,'Full Perk List'!$D$3:$D1498=$D35),"""")"),"#REF!")</f>
        <v>#REF!</v>
      </c>
      <c r="F35" s="2" t="str">
        <f ca="1">IFERROR(__xludf.DUMMYFUNCTION("iferror(filter('Full Perk List'!F$3:F1498,'Full Perk List'!$D$3:$D1498=$D35),"""")"),"#REF!")</f>
        <v>#REF!</v>
      </c>
      <c r="G35" s="2" t="str">
        <f ca="1">IFERROR(__xludf.DUMMYFUNCTION("iferror(filter('Full Perk List'!G$3:G1498,'Full Perk List'!$D$3:$D1498=$D35),"""")"),"#REF!")</f>
        <v>#REF!</v>
      </c>
      <c r="H35" s="1"/>
      <c r="I35" s="2"/>
      <c r="J35" s="2"/>
      <c r="K35" s="2"/>
      <c r="L35" s="2"/>
      <c r="M35" s="2"/>
      <c r="N35" s="2"/>
      <c r="O35" s="2"/>
      <c r="P35" s="2"/>
      <c r="Q35" s="2"/>
      <c r="R35" s="2"/>
      <c r="S35" s="2"/>
      <c r="T35" s="2"/>
      <c r="U35" s="2"/>
      <c r="V35" s="2"/>
      <c r="W35" s="2"/>
      <c r="X35" s="2"/>
      <c r="Y35" s="2"/>
    </row>
    <row r="36" spans="1:25" ht="17.399999999999999" x14ac:dyDescent="0.25">
      <c r="A36" s="1"/>
      <c r="B36" s="40"/>
      <c r="C36" s="2" t="str">
        <f ca="1">IFERROR(__xludf.DUMMYFUNCTION("iferror(filter('Full Perk List'!C$3:C1498,'Full Perk List'!$D$3:$D1498=$D36),"""")"),"#REF!")</f>
        <v>#REF!</v>
      </c>
      <c r="D36" s="2"/>
      <c r="E36" s="2" t="str">
        <f ca="1">IFERROR(__xludf.DUMMYFUNCTION("iferror(filter('Full Perk List'!E$3:E1498,'Full Perk List'!$D$3:$D1498=$D36),"""")"),"#REF!")</f>
        <v>#REF!</v>
      </c>
      <c r="F36" s="2" t="str">
        <f ca="1">IFERROR(__xludf.DUMMYFUNCTION("iferror(filter('Full Perk List'!F$3:F1498,'Full Perk List'!$D$3:$D1498=$D36),"""")"),"#REF!")</f>
        <v>#REF!</v>
      </c>
      <c r="G36" s="2" t="str">
        <f ca="1">IFERROR(__xludf.DUMMYFUNCTION("iferror(filter('Full Perk List'!G$3:G1498,'Full Perk List'!$D$3:$D1498=$D36),"""")"),"#REF!")</f>
        <v>#REF!</v>
      </c>
      <c r="H36" s="1"/>
      <c r="I36" s="2"/>
      <c r="J36" s="2"/>
      <c r="K36" s="2"/>
      <c r="L36" s="2"/>
      <c r="M36" s="2"/>
      <c r="N36" s="2"/>
      <c r="O36" s="2"/>
      <c r="P36" s="2"/>
      <c r="Q36" s="2"/>
      <c r="R36" s="2"/>
      <c r="S36" s="2"/>
      <c r="T36" s="2"/>
      <c r="U36" s="2"/>
      <c r="V36" s="2"/>
      <c r="W36" s="2"/>
      <c r="X36" s="2"/>
      <c r="Y36" s="2"/>
    </row>
    <row r="37" spans="1:25" ht="17.399999999999999" x14ac:dyDescent="0.25">
      <c r="A37" s="1"/>
      <c r="B37" s="40"/>
      <c r="C37" s="2" t="str">
        <f ca="1">IFERROR(__xludf.DUMMYFUNCTION("iferror(filter('Full Perk List'!C$3:C1498,'Full Perk List'!$D$3:$D1498=$D37),"""")"),"#REF!")</f>
        <v>#REF!</v>
      </c>
      <c r="D37" s="2"/>
      <c r="E37" s="2" t="str">
        <f ca="1">IFERROR(__xludf.DUMMYFUNCTION("iferror(filter('Full Perk List'!E$3:E1498,'Full Perk List'!$D$3:$D1498=$D37),"""")"),"#REF!")</f>
        <v>#REF!</v>
      </c>
      <c r="F37" s="2" t="str">
        <f ca="1">IFERROR(__xludf.DUMMYFUNCTION("iferror(filter('Full Perk List'!F$3:F1498,'Full Perk List'!$D$3:$D1498=$D37),"""")"),"#REF!")</f>
        <v>#REF!</v>
      </c>
      <c r="G37" s="2" t="str">
        <f ca="1">IFERROR(__xludf.DUMMYFUNCTION("iferror(filter('Full Perk List'!G$3:G1498,'Full Perk List'!$D$3:$D1498=$D37),"""")"),"#REF!")</f>
        <v>#REF!</v>
      </c>
      <c r="H37" s="1"/>
      <c r="I37" s="2"/>
      <c r="J37" s="2"/>
      <c r="K37" s="2"/>
      <c r="L37" s="2"/>
      <c r="M37" s="2"/>
      <c r="N37" s="2"/>
      <c r="O37" s="2"/>
      <c r="P37" s="2"/>
      <c r="Q37" s="2"/>
      <c r="R37" s="2"/>
      <c r="S37" s="2"/>
      <c r="T37" s="2"/>
      <c r="U37" s="2"/>
      <c r="V37" s="2"/>
      <c r="W37" s="2"/>
      <c r="X37" s="2"/>
      <c r="Y37" s="2"/>
    </row>
    <row r="38" spans="1:25" ht="17.399999999999999" x14ac:dyDescent="0.25">
      <c r="A38" s="1"/>
      <c r="B38" s="40"/>
      <c r="C38" s="2" t="str">
        <f ca="1">IFERROR(__xludf.DUMMYFUNCTION("iferror(filter('Full Perk List'!C$3:C1498,'Full Perk List'!$D$3:$D1498=$D38),"""")"),"#REF!")</f>
        <v>#REF!</v>
      </c>
      <c r="D38" s="2"/>
      <c r="E38" s="2" t="str">
        <f ca="1">IFERROR(__xludf.DUMMYFUNCTION("iferror(filter('Full Perk List'!E$3:E1498,'Full Perk List'!$D$3:$D1498=$D38),"""")"),"#REF!")</f>
        <v>#REF!</v>
      </c>
      <c r="F38" s="2" t="str">
        <f ca="1">IFERROR(__xludf.DUMMYFUNCTION("iferror(filter('Full Perk List'!F$3:F1498,'Full Perk List'!$D$3:$D1498=$D38),"""")"),"#REF!")</f>
        <v>#REF!</v>
      </c>
      <c r="G38" s="2" t="str">
        <f ca="1">IFERROR(__xludf.DUMMYFUNCTION("iferror(filter('Full Perk List'!G$3:G1498,'Full Perk List'!$D$3:$D1498=$D38),"""")"),"#REF!")</f>
        <v>#REF!</v>
      </c>
      <c r="H38" s="1"/>
      <c r="I38" s="2"/>
      <c r="J38" s="2"/>
      <c r="K38" s="2"/>
      <c r="L38" s="2"/>
      <c r="M38" s="2"/>
      <c r="N38" s="2"/>
      <c r="O38" s="2"/>
      <c r="P38" s="2"/>
      <c r="Q38" s="2"/>
      <c r="R38" s="2"/>
      <c r="S38" s="2"/>
      <c r="T38" s="2"/>
      <c r="U38" s="2"/>
      <c r="V38" s="2"/>
      <c r="W38" s="2"/>
      <c r="X38" s="2"/>
      <c r="Y38" s="2"/>
    </row>
    <row r="39" spans="1:25" ht="17.399999999999999" x14ac:dyDescent="0.25">
      <c r="A39" s="1"/>
      <c r="B39" s="40"/>
      <c r="C39" s="2" t="str">
        <f ca="1">IFERROR(__xludf.DUMMYFUNCTION("iferror(filter('Full Perk List'!C$3:C1498,'Full Perk List'!$D$3:$D1498=$D39),"""")"),"#REF!")</f>
        <v>#REF!</v>
      </c>
      <c r="D39" s="2"/>
      <c r="E39" s="2" t="str">
        <f ca="1">IFERROR(__xludf.DUMMYFUNCTION("iferror(filter('Full Perk List'!E$3:E1498,'Full Perk List'!$D$3:$D1498=$D39),"""")"),"#REF!")</f>
        <v>#REF!</v>
      </c>
      <c r="F39" s="2" t="str">
        <f ca="1">IFERROR(__xludf.DUMMYFUNCTION("iferror(filter('Full Perk List'!F$3:F1498,'Full Perk List'!$D$3:$D1498=$D39),"""")"),"#REF!")</f>
        <v>#REF!</v>
      </c>
      <c r="G39" s="2" t="str">
        <f ca="1">IFERROR(__xludf.DUMMYFUNCTION("iferror(filter('Full Perk List'!G$3:G1498,'Full Perk List'!$D$3:$D1498=$D39),"""")"),"#REF!")</f>
        <v>#REF!</v>
      </c>
      <c r="H39" s="1"/>
      <c r="I39" s="2"/>
      <c r="J39" s="2"/>
      <c r="K39" s="2"/>
      <c r="L39" s="2"/>
      <c r="M39" s="2"/>
      <c r="N39" s="2"/>
      <c r="O39" s="2"/>
      <c r="P39" s="2"/>
      <c r="Q39" s="2"/>
      <c r="R39" s="2"/>
      <c r="S39" s="2"/>
      <c r="T39" s="2"/>
      <c r="U39" s="2"/>
      <c r="V39" s="2"/>
      <c r="W39" s="2"/>
      <c r="X39" s="2"/>
      <c r="Y39" s="2"/>
    </row>
    <row r="40" spans="1:25" ht="17.399999999999999" x14ac:dyDescent="0.25">
      <c r="A40" s="1"/>
      <c r="B40" s="40"/>
      <c r="C40" s="2" t="str">
        <f ca="1">IFERROR(__xludf.DUMMYFUNCTION("iferror(filter('Full Perk List'!C$3:C1498,'Full Perk List'!$D$3:$D1498=$D40),"""")"),"#REF!")</f>
        <v>#REF!</v>
      </c>
      <c r="D40" s="2"/>
      <c r="E40" s="2" t="str">
        <f ca="1">IFERROR(__xludf.DUMMYFUNCTION("iferror(filter('Full Perk List'!E$3:E1498,'Full Perk List'!$D$3:$D1498=$D40),"""")"),"#REF!")</f>
        <v>#REF!</v>
      </c>
      <c r="F40" s="2" t="str">
        <f ca="1">IFERROR(__xludf.DUMMYFUNCTION("iferror(filter('Full Perk List'!F$3:F1498,'Full Perk List'!$D$3:$D1498=$D40),"""")"),"#REF!")</f>
        <v>#REF!</v>
      </c>
      <c r="G40" s="2" t="str">
        <f ca="1">IFERROR(__xludf.DUMMYFUNCTION("iferror(filter('Full Perk List'!G$3:G1498,'Full Perk List'!$D$3:$D1498=$D40),"""")"),"#REF!")</f>
        <v>#REF!</v>
      </c>
      <c r="H40" s="1"/>
      <c r="I40" s="2"/>
      <c r="J40" s="2"/>
      <c r="K40" s="2"/>
      <c r="L40" s="2"/>
      <c r="M40" s="2"/>
      <c r="N40" s="2"/>
      <c r="O40" s="2"/>
      <c r="P40" s="2"/>
      <c r="Q40" s="2"/>
      <c r="R40" s="2"/>
      <c r="S40" s="2"/>
      <c r="T40" s="2"/>
      <c r="U40" s="2"/>
      <c r="V40" s="2"/>
      <c r="W40" s="2"/>
      <c r="X40" s="2"/>
      <c r="Y40" s="2"/>
    </row>
    <row r="41" spans="1:25" ht="17.399999999999999" x14ac:dyDescent="0.25">
      <c r="A41" s="1"/>
      <c r="B41" s="40"/>
      <c r="C41" s="2" t="str">
        <f ca="1">IFERROR(__xludf.DUMMYFUNCTION("iferror(filter('Full Perk List'!C$3:C1498,'Full Perk List'!$D$3:$D1498=$D41),"""")"),"#REF!")</f>
        <v>#REF!</v>
      </c>
      <c r="D41" s="2"/>
      <c r="E41" s="2" t="str">
        <f ca="1">IFERROR(__xludf.DUMMYFUNCTION("iferror(filter('Full Perk List'!E$3:E1498,'Full Perk List'!$D$3:$D1498=$D41),"""")"),"#REF!")</f>
        <v>#REF!</v>
      </c>
      <c r="F41" s="2" t="str">
        <f ca="1">IFERROR(__xludf.DUMMYFUNCTION("iferror(filter('Full Perk List'!F$3:F1498,'Full Perk List'!$D$3:$D1498=$D41),"""")"),"#REF!")</f>
        <v>#REF!</v>
      </c>
      <c r="G41" s="2" t="str">
        <f ca="1">IFERROR(__xludf.DUMMYFUNCTION("iferror(filter('Full Perk List'!G$3:G1498,'Full Perk List'!$D$3:$D1498=$D41),"""")"),"#REF!")</f>
        <v>#REF!</v>
      </c>
      <c r="H41" s="1"/>
      <c r="I41" s="2"/>
      <c r="J41" s="2"/>
      <c r="K41" s="2"/>
      <c r="L41" s="2"/>
      <c r="M41" s="2"/>
      <c r="N41" s="2"/>
      <c r="O41" s="2"/>
      <c r="P41" s="2"/>
      <c r="Q41" s="2"/>
      <c r="R41" s="2"/>
      <c r="S41" s="2"/>
      <c r="T41" s="2"/>
      <c r="U41" s="2"/>
      <c r="V41" s="2"/>
      <c r="W41" s="2"/>
      <c r="X41" s="2"/>
      <c r="Y41" s="2"/>
    </row>
    <row r="42" spans="1:25" ht="17.399999999999999" x14ac:dyDescent="0.25">
      <c r="A42" s="1"/>
      <c r="B42" s="40"/>
      <c r="C42" s="2" t="str">
        <f ca="1">IFERROR(__xludf.DUMMYFUNCTION("iferror(filter('Full Perk List'!C$3:C1498,'Full Perk List'!$D$3:$D1498=$D42),"""")"),"#REF!")</f>
        <v>#REF!</v>
      </c>
      <c r="D42" s="2"/>
      <c r="E42" s="2" t="str">
        <f ca="1">IFERROR(__xludf.DUMMYFUNCTION("iferror(filter('Full Perk List'!E$3:E1498,'Full Perk List'!$D$3:$D1498=$D42),"""")"),"#REF!")</f>
        <v>#REF!</v>
      </c>
      <c r="F42" s="2" t="str">
        <f ca="1">IFERROR(__xludf.DUMMYFUNCTION("iferror(filter('Full Perk List'!F$3:F1498,'Full Perk List'!$D$3:$D1498=$D42),"""")"),"#REF!")</f>
        <v>#REF!</v>
      </c>
      <c r="G42" s="2" t="str">
        <f ca="1">IFERROR(__xludf.DUMMYFUNCTION("iferror(filter('Full Perk List'!G$3:G1498,'Full Perk List'!$D$3:$D1498=$D42),"""")"),"#REF!")</f>
        <v>#REF!</v>
      </c>
      <c r="H42" s="1"/>
      <c r="I42" s="2"/>
      <c r="J42" s="2"/>
      <c r="K42" s="2"/>
      <c r="L42" s="2"/>
      <c r="M42" s="2"/>
      <c r="N42" s="2"/>
      <c r="O42" s="2"/>
      <c r="P42" s="2"/>
      <c r="Q42" s="2"/>
      <c r="R42" s="2"/>
      <c r="S42" s="2"/>
      <c r="T42" s="2"/>
      <c r="U42" s="2"/>
      <c r="V42" s="2"/>
      <c r="W42" s="2"/>
      <c r="X42" s="2"/>
      <c r="Y42" s="2"/>
    </row>
    <row r="43" spans="1:25" ht="17.399999999999999" x14ac:dyDescent="0.25">
      <c r="A43" s="1"/>
      <c r="B43" s="40"/>
      <c r="C43" s="2" t="str">
        <f ca="1">IFERROR(__xludf.DUMMYFUNCTION("iferror(filter('Full Perk List'!C$3:C1498,'Full Perk List'!$D$3:$D1498=$D43),"""")"),"#REF!")</f>
        <v>#REF!</v>
      </c>
      <c r="D43" s="2"/>
      <c r="E43" s="2" t="str">
        <f ca="1">IFERROR(__xludf.DUMMYFUNCTION("iferror(filter('Full Perk List'!E$3:E1498,'Full Perk List'!$D$3:$D1498=$D43),"""")"),"#REF!")</f>
        <v>#REF!</v>
      </c>
      <c r="F43" s="2" t="str">
        <f ca="1">IFERROR(__xludf.DUMMYFUNCTION("iferror(filter('Full Perk List'!F$3:F1498,'Full Perk List'!$D$3:$D1498=$D43),"""")"),"#REF!")</f>
        <v>#REF!</v>
      </c>
      <c r="G43" s="2" t="str">
        <f ca="1">IFERROR(__xludf.DUMMYFUNCTION("iferror(filter('Full Perk List'!G$3:G1498,'Full Perk List'!$D$3:$D1498=$D43),"""")"),"#REF!")</f>
        <v>#REF!</v>
      </c>
      <c r="H43" s="1"/>
      <c r="I43" s="2"/>
      <c r="J43" s="2"/>
      <c r="K43" s="2"/>
      <c r="L43" s="2"/>
      <c r="M43" s="2"/>
      <c r="N43" s="2"/>
      <c r="O43" s="2"/>
      <c r="P43" s="2"/>
      <c r="Q43" s="2"/>
      <c r="R43" s="2"/>
      <c r="S43" s="2"/>
      <c r="T43" s="2"/>
      <c r="U43" s="2"/>
      <c r="V43" s="2"/>
      <c r="W43" s="2"/>
      <c r="X43" s="2"/>
      <c r="Y43" s="2"/>
    </row>
    <row r="44" spans="1:25" ht="17.399999999999999" x14ac:dyDescent="0.25">
      <c r="A44" s="1"/>
      <c r="B44" s="40"/>
      <c r="C44" s="2" t="str">
        <f ca="1">IFERROR(__xludf.DUMMYFUNCTION("iferror(filter('Full Perk List'!C$3:C1498,'Full Perk List'!$D$3:$D1498=$D44),"""")"),"#REF!")</f>
        <v>#REF!</v>
      </c>
      <c r="D44" s="2"/>
      <c r="E44" s="2" t="str">
        <f ca="1">IFERROR(__xludf.DUMMYFUNCTION("iferror(filter('Full Perk List'!E$3:E1498,'Full Perk List'!$D$3:$D1498=$D44),"""")"),"#REF!")</f>
        <v>#REF!</v>
      </c>
      <c r="F44" s="2" t="str">
        <f ca="1">IFERROR(__xludf.DUMMYFUNCTION("iferror(filter('Full Perk List'!F$3:F1498,'Full Perk List'!$D$3:$D1498=$D44),"""")"),"#REF!")</f>
        <v>#REF!</v>
      </c>
      <c r="G44" s="2" t="str">
        <f ca="1">IFERROR(__xludf.DUMMYFUNCTION("iferror(filter('Full Perk List'!G$3:G1498,'Full Perk List'!$D$3:$D1498=$D44),"""")"),"#REF!")</f>
        <v>#REF!</v>
      </c>
      <c r="H44" s="1"/>
      <c r="I44" s="2"/>
      <c r="J44" s="2"/>
      <c r="K44" s="2"/>
      <c r="L44" s="2"/>
      <c r="M44" s="2"/>
      <c r="N44" s="2"/>
      <c r="O44" s="2"/>
      <c r="P44" s="2"/>
      <c r="Q44" s="2"/>
      <c r="R44" s="2"/>
      <c r="S44" s="2"/>
      <c r="T44" s="2"/>
      <c r="U44" s="2"/>
      <c r="V44" s="2"/>
      <c r="W44" s="2"/>
      <c r="X44" s="2"/>
      <c r="Y44" s="2"/>
    </row>
    <row r="45" spans="1:25" ht="17.399999999999999" x14ac:dyDescent="0.25">
      <c r="A45" s="1"/>
      <c r="B45" s="40"/>
      <c r="C45" s="2" t="str">
        <f ca="1">IFERROR(__xludf.DUMMYFUNCTION("iferror(filter('Full Perk List'!C$3:C1498,'Full Perk List'!$D$3:$D1498=$D45),"""")"),"#REF!")</f>
        <v>#REF!</v>
      </c>
      <c r="D45" s="2"/>
      <c r="E45" s="2" t="str">
        <f ca="1">IFERROR(__xludf.DUMMYFUNCTION("iferror(filter('Full Perk List'!E$3:E1498,'Full Perk List'!$D$3:$D1498=$D45),"""")"),"#REF!")</f>
        <v>#REF!</v>
      </c>
      <c r="F45" s="2" t="str">
        <f ca="1">IFERROR(__xludf.DUMMYFUNCTION("iferror(filter('Full Perk List'!F$3:F1498,'Full Perk List'!$D$3:$D1498=$D45),"""")"),"#REF!")</f>
        <v>#REF!</v>
      </c>
      <c r="G45" s="2" t="str">
        <f ca="1">IFERROR(__xludf.DUMMYFUNCTION("iferror(filter('Full Perk List'!G$3:G1498,'Full Perk List'!$D$3:$D1498=$D45),"""")"),"#REF!")</f>
        <v>#REF!</v>
      </c>
      <c r="H45" s="1"/>
      <c r="I45" s="2"/>
      <c r="J45" s="2"/>
      <c r="K45" s="2"/>
      <c r="L45" s="2"/>
      <c r="M45" s="2"/>
      <c r="N45" s="2"/>
      <c r="O45" s="2"/>
      <c r="P45" s="2"/>
      <c r="Q45" s="2"/>
      <c r="R45" s="2"/>
      <c r="S45" s="2"/>
      <c r="T45" s="2"/>
      <c r="U45" s="2"/>
      <c r="V45" s="2"/>
      <c r="W45" s="2"/>
      <c r="X45" s="2"/>
      <c r="Y45" s="2"/>
    </row>
    <row r="46" spans="1:25" ht="17.399999999999999" x14ac:dyDescent="0.25">
      <c r="A46" s="1"/>
      <c r="B46" s="40"/>
      <c r="C46" s="2" t="str">
        <f ca="1">IFERROR(__xludf.DUMMYFUNCTION("iferror(filter('Full Perk List'!C$3:C1498,'Full Perk List'!$D$3:$D1498=$D46),"""")"),"#REF!")</f>
        <v>#REF!</v>
      </c>
      <c r="D46" s="2"/>
      <c r="E46" s="2" t="str">
        <f ca="1">IFERROR(__xludf.DUMMYFUNCTION("iferror(filter('Full Perk List'!E$3:E1498,'Full Perk List'!$D$3:$D1498=$D46),"""")"),"#REF!")</f>
        <v>#REF!</v>
      </c>
      <c r="F46" s="2" t="str">
        <f ca="1">IFERROR(__xludf.DUMMYFUNCTION("iferror(filter('Full Perk List'!F$3:F1498,'Full Perk List'!$D$3:$D1498=$D46),"""")"),"#REF!")</f>
        <v>#REF!</v>
      </c>
      <c r="G46" s="2" t="str">
        <f ca="1">IFERROR(__xludf.DUMMYFUNCTION("iferror(filter('Full Perk List'!G$3:G1498,'Full Perk List'!$D$3:$D1498=$D46),"""")"),"#REF!")</f>
        <v>#REF!</v>
      </c>
      <c r="H46" s="1"/>
      <c r="I46" s="2"/>
      <c r="J46" s="2"/>
      <c r="K46" s="2"/>
      <c r="L46" s="2"/>
      <c r="M46" s="2"/>
      <c r="N46" s="2"/>
      <c r="O46" s="2"/>
      <c r="P46" s="2"/>
      <c r="Q46" s="2"/>
      <c r="R46" s="2"/>
      <c r="S46" s="2"/>
      <c r="T46" s="2"/>
      <c r="U46" s="2"/>
      <c r="V46" s="2"/>
      <c r="W46" s="2"/>
      <c r="X46" s="2"/>
      <c r="Y46" s="2"/>
    </row>
    <row r="47" spans="1:25" ht="17.399999999999999" x14ac:dyDescent="0.25">
      <c r="A47" s="1"/>
      <c r="B47" s="40"/>
      <c r="C47" s="2" t="str">
        <f ca="1">IFERROR(__xludf.DUMMYFUNCTION("iferror(filter('Full Perk List'!C$3:C1498,'Full Perk List'!$D$3:$D1498=$D47),"""")"),"#REF!")</f>
        <v>#REF!</v>
      </c>
      <c r="D47" s="2"/>
      <c r="E47" s="2" t="str">
        <f ca="1">IFERROR(__xludf.DUMMYFUNCTION("iferror(filter('Full Perk List'!E$3:E1498,'Full Perk List'!$D$3:$D1498=$D47),"""")"),"#REF!")</f>
        <v>#REF!</v>
      </c>
      <c r="F47" s="2" t="str">
        <f ca="1">IFERROR(__xludf.DUMMYFUNCTION("iferror(filter('Full Perk List'!F$3:F1498,'Full Perk List'!$D$3:$D1498=$D47),"""")"),"#REF!")</f>
        <v>#REF!</v>
      </c>
      <c r="G47" s="2" t="str">
        <f ca="1">IFERROR(__xludf.DUMMYFUNCTION("iferror(filter('Full Perk List'!G$3:G1498,'Full Perk List'!$D$3:$D1498=$D47),"""")"),"#REF!")</f>
        <v>#REF!</v>
      </c>
      <c r="H47" s="1"/>
      <c r="I47" s="2"/>
      <c r="J47" s="2"/>
      <c r="K47" s="2"/>
      <c r="L47" s="2"/>
      <c r="M47" s="2"/>
      <c r="N47" s="2"/>
      <c r="O47" s="2"/>
      <c r="P47" s="2"/>
      <c r="Q47" s="2"/>
      <c r="R47" s="2"/>
      <c r="S47" s="2"/>
      <c r="T47" s="2"/>
      <c r="U47" s="2"/>
      <c r="V47" s="2"/>
      <c r="W47" s="2"/>
      <c r="X47" s="2"/>
      <c r="Y47" s="2"/>
    </row>
    <row r="48" spans="1:25" ht="17.399999999999999" x14ac:dyDescent="0.25">
      <c r="A48" s="1"/>
      <c r="B48" s="40"/>
      <c r="C48" s="2" t="str">
        <f ca="1">IFERROR(__xludf.DUMMYFUNCTION("iferror(filter('Full Perk List'!C$3:C1498,'Full Perk List'!$D$3:$D1498=$D48),"""")"),"#REF!")</f>
        <v>#REF!</v>
      </c>
      <c r="D48" s="2"/>
      <c r="E48" s="2" t="str">
        <f ca="1">IFERROR(__xludf.DUMMYFUNCTION("iferror(filter('Full Perk List'!E$3:E1498,'Full Perk List'!$D$3:$D1498=$D48),"""")"),"#REF!")</f>
        <v>#REF!</v>
      </c>
      <c r="F48" s="2" t="str">
        <f ca="1">IFERROR(__xludf.DUMMYFUNCTION("iferror(filter('Full Perk List'!F$3:F1498,'Full Perk List'!$D$3:$D1498=$D48),"""")"),"#REF!")</f>
        <v>#REF!</v>
      </c>
      <c r="G48" s="2" t="str">
        <f ca="1">IFERROR(__xludf.DUMMYFUNCTION("iferror(filter('Full Perk List'!G$3:G1498,'Full Perk List'!$D$3:$D1498=$D48),"""")"),"#REF!")</f>
        <v>#REF!</v>
      </c>
      <c r="H48" s="1"/>
      <c r="I48" s="2"/>
      <c r="J48" s="2"/>
      <c r="K48" s="2"/>
      <c r="L48" s="2"/>
      <c r="M48" s="2"/>
      <c r="N48" s="2"/>
      <c r="O48" s="2"/>
      <c r="P48" s="2"/>
      <c r="Q48" s="2"/>
      <c r="R48" s="2"/>
      <c r="S48" s="2"/>
      <c r="T48" s="2"/>
      <c r="U48" s="2"/>
      <c r="V48" s="2"/>
      <c r="W48" s="2"/>
      <c r="X48" s="2"/>
      <c r="Y48" s="2"/>
    </row>
    <row r="49" spans="1:25" ht="17.399999999999999" x14ac:dyDescent="0.25">
      <c r="A49" s="1"/>
      <c r="B49" s="40"/>
      <c r="C49" s="2" t="str">
        <f ca="1">IFERROR(__xludf.DUMMYFUNCTION("iferror(filter('Full Perk List'!C$3:C1498,'Full Perk List'!$D$3:$D1498=$D49),"""")"),"#REF!")</f>
        <v>#REF!</v>
      </c>
      <c r="D49" s="2"/>
      <c r="E49" s="2" t="str">
        <f ca="1">IFERROR(__xludf.DUMMYFUNCTION("iferror(filter('Full Perk List'!E$3:E1498,'Full Perk List'!$D$3:$D1498=$D49),"""")"),"#REF!")</f>
        <v>#REF!</v>
      </c>
      <c r="F49" s="2" t="str">
        <f ca="1">IFERROR(__xludf.DUMMYFUNCTION("iferror(filter('Full Perk List'!F$3:F1498,'Full Perk List'!$D$3:$D1498=$D49),"""")"),"#REF!")</f>
        <v>#REF!</v>
      </c>
      <c r="G49" s="2" t="str">
        <f ca="1">IFERROR(__xludf.DUMMYFUNCTION("iferror(filter('Full Perk List'!G$3:G1498,'Full Perk List'!$D$3:$D1498=$D49),"""")"),"#REF!")</f>
        <v>#REF!</v>
      </c>
      <c r="H49" s="1"/>
      <c r="I49" s="2"/>
      <c r="J49" s="2"/>
      <c r="K49" s="2"/>
      <c r="L49" s="2"/>
      <c r="M49" s="2"/>
      <c r="N49" s="2"/>
      <c r="O49" s="2"/>
      <c r="P49" s="2"/>
      <c r="Q49" s="2"/>
      <c r="R49" s="2"/>
      <c r="S49" s="2"/>
      <c r="T49" s="2"/>
      <c r="U49" s="2"/>
      <c r="V49" s="2"/>
      <c r="W49" s="2"/>
      <c r="X49" s="2"/>
      <c r="Y49" s="2"/>
    </row>
    <row r="50" spans="1:25" ht="17.399999999999999" x14ac:dyDescent="0.25">
      <c r="A50" s="1"/>
      <c r="B50" s="40"/>
      <c r="C50" s="2" t="str">
        <f ca="1">IFERROR(__xludf.DUMMYFUNCTION("iferror(filter('Full Perk List'!C$3:C1498,'Full Perk List'!$D$3:$D1498=$D50),"""")"),"#REF!")</f>
        <v>#REF!</v>
      </c>
      <c r="D50" s="2"/>
      <c r="E50" s="2" t="str">
        <f ca="1">IFERROR(__xludf.DUMMYFUNCTION("iferror(filter('Full Perk List'!E$3:E1498,'Full Perk List'!$D$3:$D1498=$D50),"""")"),"#REF!")</f>
        <v>#REF!</v>
      </c>
      <c r="F50" s="2" t="str">
        <f ca="1">IFERROR(__xludf.DUMMYFUNCTION("iferror(filter('Full Perk List'!F$3:F1498,'Full Perk List'!$D$3:$D1498=$D50),"""")"),"#REF!")</f>
        <v>#REF!</v>
      </c>
      <c r="G50" s="2" t="str">
        <f ca="1">IFERROR(__xludf.DUMMYFUNCTION("iferror(filter('Full Perk List'!G$3:G1498,'Full Perk List'!$D$3:$D1498=$D50),"""")"),"#REF!")</f>
        <v>#REF!</v>
      </c>
      <c r="H50" s="1"/>
      <c r="I50" s="2"/>
      <c r="J50" s="2"/>
      <c r="K50" s="2"/>
      <c r="L50" s="2"/>
      <c r="M50" s="2"/>
      <c r="N50" s="2"/>
      <c r="O50" s="2"/>
      <c r="P50" s="2"/>
      <c r="Q50" s="2"/>
      <c r="R50" s="2"/>
      <c r="S50" s="2"/>
      <c r="T50" s="2"/>
      <c r="U50" s="2"/>
      <c r="V50" s="2"/>
      <c r="W50" s="2"/>
      <c r="X50" s="2"/>
      <c r="Y50" s="2"/>
    </row>
    <row r="51" spans="1:25" ht="17.399999999999999" x14ac:dyDescent="0.25">
      <c r="A51" s="1"/>
      <c r="B51" s="40"/>
      <c r="C51" s="2" t="str">
        <f ca="1">IFERROR(__xludf.DUMMYFUNCTION("iferror(filter('Full Perk List'!C$3:C1498,'Full Perk List'!$D$3:$D1498=$D51),"""")"),"#REF!")</f>
        <v>#REF!</v>
      </c>
      <c r="D51" s="2"/>
      <c r="E51" s="2" t="str">
        <f ca="1">IFERROR(__xludf.DUMMYFUNCTION("iferror(filter('Full Perk List'!E$3:E1498,'Full Perk List'!$D$3:$D1498=$D51),"""")"),"#REF!")</f>
        <v>#REF!</v>
      </c>
      <c r="F51" s="2" t="str">
        <f ca="1">IFERROR(__xludf.DUMMYFUNCTION("iferror(filter('Full Perk List'!F$3:F1498,'Full Perk List'!$D$3:$D1498=$D51),"""")"),"#REF!")</f>
        <v>#REF!</v>
      </c>
      <c r="G51" s="2" t="str">
        <f ca="1">IFERROR(__xludf.DUMMYFUNCTION("iferror(filter('Full Perk List'!G$3:G1498,'Full Perk List'!$D$3:$D1498=$D51),"""")"),"#REF!")</f>
        <v>#REF!</v>
      </c>
      <c r="H51" s="1"/>
      <c r="I51" s="2"/>
      <c r="J51" s="2"/>
      <c r="K51" s="2"/>
      <c r="L51" s="2"/>
      <c r="M51" s="2"/>
      <c r="N51" s="2"/>
      <c r="O51" s="2"/>
      <c r="P51" s="2"/>
      <c r="Q51" s="2"/>
      <c r="R51" s="2"/>
      <c r="S51" s="2"/>
      <c r="T51" s="2"/>
      <c r="U51" s="2"/>
      <c r="V51" s="2"/>
      <c r="W51" s="2"/>
      <c r="X51" s="2"/>
      <c r="Y51" s="2"/>
    </row>
    <row r="52" spans="1:25" ht="17.399999999999999" x14ac:dyDescent="0.25">
      <c r="A52" s="1"/>
      <c r="B52" s="40"/>
      <c r="C52" s="2" t="str">
        <f ca="1">IFERROR(__xludf.DUMMYFUNCTION("iferror(filter('Full Perk List'!C$3:C1498,'Full Perk List'!$D$3:$D1498=$D52),"""")"),"#REF!")</f>
        <v>#REF!</v>
      </c>
      <c r="D52" s="2"/>
      <c r="E52" s="2" t="str">
        <f ca="1">IFERROR(__xludf.DUMMYFUNCTION("iferror(filter('Full Perk List'!E$3:E1498,'Full Perk List'!$D$3:$D1498=$D52),"""")"),"#REF!")</f>
        <v>#REF!</v>
      </c>
      <c r="F52" s="2" t="str">
        <f ca="1">IFERROR(__xludf.DUMMYFUNCTION("iferror(filter('Full Perk List'!F$3:F1498,'Full Perk List'!$D$3:$D1498=$D52),"""")"),"#REF!")</f>
        <v>#REF!</v>
      </c>
      <c r="G52" s="2" t="str">
        <f ca="1">IFERROR(__xludf.DUMMYFUNCTION("iferror(filter('Full Perk List'!G$3:G1498,'Full Perk List'!$D$3:$D1498=$D52),"""")"),"#REF!")</f>
        <v>#REF!</v>
      </c>
      <c r="H52" s="1"/>
      <c r="I52" s="2"/>
      <c r="J52" s="2"/>
      <c r="K52" s="2"/>
      <c r="L52" s="2"/>
      <c r="M52" s="2"/>
      <c r="N52" s="2"/>
      <c r="O52" s="2"/>
      <c r="P52" s="2"/>
      <c r="Q52" s="2"/>
      <c r="R52" s="2"/>
      <c r="S52" s="2"/>
      <c r="T52" s="2"/>
      <c r="U52" s="2"/>
      <c r="V52" s="2"/>
      <c r="W52" s="2"/>
      <c r="X52" s="2"/>
      <c r="Y52" s="2"/>
    </row>
    <row r="53" spans="1:25" ht="17.399999999999999" x14ac:dyDescent="0.25">
      <c r="A53" s="1"/>
      <c r="B53" s="40"/>
      <c r="C53" s="2" t="str">
        <f ca="1">IFERROR(__xludf.DUMMYFUNCTION("iferror(filter('Full Perk List'!C$3:C1498,'Full Perk List'!$D$3:$D1498=$D53),"""")"),"#REF!")</f>
        <v>#REF!</v>
      </c>
      <c r="D53" s="2"/>
      <c r="E53" s="2" t="str">
        <f ca="1">IFERROR(__xludf.DUMMYFUNCTION("iferror(filter('Full Perk List'!E$3:E1498,'Full Perk List'!$D$3:$D1498=$D53),"""")"),"#REF!")</f>
        <v>#REF!</v>
      </c>
      <c r="F53" s="2" t="str">
        <f ca="1">IFERROR(__xludf.DUMMYFUNCTION("iferror(filter('Full Perk List'!F$3:F1498,'Full Perk List'!$D$3:$D1498=$D53),"""")"),"#REF!")</f>
        <v>#REF!</v>
      </c>
      <c r="G53" s="2" t="str">
        <f ca="1">IFERROR(__xludf.DUMMYFUNCTION("iferror(filter('Full Perk List'!G$3:G1498,'Full Perk List'!$D$3:$D1498=$D53),"""")"),"#REF!")</f>
        <v>#REF!</v>
      </c>
      <c r="H53" s="1"/>
      <c r="I53" s="2"/>
      <c r="J53" s="2"/>
      <c r="K53" s="2"/>
      <c r="L53" s="2"/>
      <c r="M53" s="2"/>
      <c r="N53" s="2"/>
      <c r="O53" s="2"/>
      <c r="P53" s="2"/>
      <c r="Q53" s="2"/>
      <c r="R53" s="2"/>
      <c r="S53" s="2"/>
      <c r="T53" s="2"/>
      <c r="U53" s="2"/>
      <c r="V53" s="2"/>
      <c r="W53" s="2"/>
      <c r="X53" s="2"/>
      <c r="Y53" s="2"/>
    </row>
    <row r="54" spans="1:25" ht="17.399999999999999" x14ac:dyDescent="0.25">
      <c r="A54" s="1"/>
      <c r="B54" s="40"/>
      <c r="C54" s="2" t="str">
        <f ca="1">IFERROR(__xludf.DUMMYFUNCTION("iferror(filter('Full Perk List'!C$3:C1498,'Full Perk List'!$D$3:$D1498=$D54),"""")"),"#REF!")</f>
        <v>#REF!</v>
      </c>
      <c r="D54" s="2"/>
      <c r="E54" s="2" t="str">
        <f ca="1">IFERROR(__xludf.DUMMYFUNCTION("iferror(filter('Full Perk List'!E$3:E1498,'Full Perk List'!$D$3:$D1498=$D54),"""")"),"#REF!")</f>
        <v>#REF!</v>
      </c>
      <c r="F54" s="2" t="str">
        <f ca="1">IFERROR(__xludf.DUMMYFUNCTION("iferror(filter('Full Perk List'!F$3:F1498,'Full Perk List'!$D$3:$D1498=$D54),"""")"),"#REF!")</f>
        <v>#REF!</v>
      </c>
      <c r="G54" s="2" t="str">
        <f ca="1">IFERROR(__xludf.DUMMYFUNCTION("iferror(filter('Full Perk List'!G$3:G1498,'Full Perk List'!$D$3:$D1498=$D54),"""")"),"#REF!")</f>
        <v>#REF!</v>
      </c>
      <c r="H54" s="1"/>
      <c r="I54" s="2"/>
      <c r="J54" s="2"/>
      <c r="K54" s="2"/>
      <c r="L54" s="2"/>
      <c r="M54" s="2"/>
      <c r="N54" s="2"/>
      <c r="O54" s="2"/>
      <c r="P54" s="2"/>
      <c r="Q54" s="2"/>
      <c r="R54" s="2"/>
      <c r="S54" s="2"/>
      <c r="T54" s="2"/>
      <c r="U54" s="2"/>
      <c r="V54" s="2"/>
      <c r="W54" s="2"/>
      <c r="X54" s="2"/>
      <c r="Y54" s="2"/>
    </row>
    <row r="55" spans="1:25" ht="17.399999999999999" x14ac:dyDescent="0.25">
      <c r="A55" s="1"/>
      <c r="B55" s="40"/>
      <c r="C55" s="2" t="str">
        <f ca="1">IFERROR(__xludf.DUMMYFUNCTION("iferror(filter('Full Perk List'!C$3:C1498,'Full Perk List'!$D$3:$D1498=$D55),"""")"),"#REF!")</f>
        <v>#REF!</v>
      </c>
      <c r="D55" s="2"/>
      <c r="E55" s="2" t="str">
        <f ca="1">IFERROR(__xludf.DUMMYFUNCTION("iferror(filter('Full Perk List'!E$3:E1498,'Full Perk List'!$D$3:$D1498=$D55),"""")"),"#REF!")</f>
        <v>#REF!</v>
      </c>
      <c r="F55" s="2" t="str">
        <f ca="1">IFERROR(__xludf.DUMMYFUNCTION("iferror(filter('Full Perk List'!F$3:F1498,'Full Perk List'!$D$3:$D1498=$D55),"""")"),"#REF!")</f>
        <v>#REF!</v>
      </c>
      <c r="G55" s="2" t="str">
        <f ca="1">IFERROR(__xludf.DUMMYFUNCTION("iferror(filter('Full Perk List'!G$3:G1498,'Full Perk List'!$D$3:$D1498=$D55),"""")"),"#REF!")</f>
        <v>#REF!</v>
      </c>
      <c r="H55" s="1"/>
      <c r="I55" s="2"/>
      <c r="J55" s="2"/>
      <c r="K55" s="2"/>
      <c r="L55" s="2"/>
      <c r="M55" s="2"/>
      <c r="N55" s="2"/>
      <c r="O55" s="2"/>
      <c r="P55" s="2"/>
      <c r="Q55" s="2"/>
      <c r="R55" s="2"/>
      <c r="S55" s="2"/>
      <c r="T55" s="2"/>
      <c r="U55" s="2"/>
      <c r="V55" s="2"/>
      <c r="W55" s="2"/>
      <c r="X55" s="2"/>
      <c r="Y55" s="2"/>
    </row>
    <row r="56" spans="1:25" ht="17.399999999999999" x14ac:dyDescent="0.25">
      <c r="A56" s="1"/>
      <c r="B56" s="40"/>
      <c r="C56" s="2" t="str">
        <f ca="1">IFERROR(__xludf.DUMMYFUNCTION("iferror(filter('Full Perk List'!C$3:C1498,'Full Perk List'!$D$3:$D1498=$D56),"""")"),"#REF!")</f>
        <v>#REF!</v>
      </c>
      <c r="D56" s="2"/>
      <c r="E56" s="2" t="str">
        <f ca="1">IFERROR(__xludf.DUMMYFUNCTION("iferror(filter('Full Perk List'!E$3:E1498,'Full Perk List'!$D$3:$D1498=$D56),"""")"),"#REF!")</f>
        <v>#REF!</v>
      </c>
      <c r="F56" s="2" t="str">
        <f ca="1">IFERROR(__xludf.DUMMYFUNCTION("iferror(filter('Full Perk List'!F$3:F1498,'Full Perk List'!$D$3:$D1498=$D56),"""")"),"#REF!")</f>
        <v>#REF!</v>
      </c>
      <c r="G56" s="2" t="str">
        <f ca="1">IFERROR(__xludf.DUMMYFUNCTION("iferror(filter('Full Perk List'!G$3:G1498,'Full Perk List'!$D$3:$D1498=$D56),"""")"),"#REF!")</f>
        <v>#REF!</v>
      </c>
      <c r="H56" s="1"/>
      <c r="I56" s="2"/>
      <c r="J56" s="2"/>
      <c r="K56" s="2"/>
      <c r="L56" s="2"/>
      <c r="M56" s="2"/>
      <c r="N56" s="2"/>
      <c r="O56" s="2"/>
      <c r="P56" s="2"/>
      <c r="Q56" s="2"/>
      <c r="R56" s="2"/>
      <c r="S56" s="2"/>
      <c r="T56" s="2"/>
      <c r="U56" s="2"/>
      <c r="V56" s="2"/>
      <c r="W56" s="2"/>
      <c r="X56" s="2"/>
      <c r="Y56" s="2"/>
    </row>
    <row r="57" spans="1:25" ht="17.399999999999999" x14ac:dyDescent="0.25">
      <c r="A57" s="1"/>
      <c r="B57" s="40"/>
      <c r="C57" s="2" t="str">
        <f ca="1">IFERROR(__xludf.DUMMYFUNCTION("iferror(filter('Full Perk List'!C$3:C1498,'Full Perk List'!$D$3:$D1498=$D57),"""")"),"#REF!")</f>
        <v>#REF!</v>
      </c>
      <c r="D57" s="2"/>
      <c r="E57" s="2" t="str">
        <f ca="1">IFERROR(__xludf.DUMMYFUNCTION("iferror(filter('Full Perk List'!E$3:E1498,'Full Perk List'!$D$3:$D1498=$D57),"""")"),"#REF!")</f>
        <v>#REF!</v>
      </c>
      <c r="F57" s="2" t="str">
        <f ca="1">IFERROR(__xludf.DUMMYFUNCTION("iferror(filter('Full Perk List'!F$3:F1498,'Full Perk List'!$D$3:$D1498=$D57),"""")"),"#REF!")</f>
        <v>#REF!</v>
      </c>
      <c r="G57" s="2" t="str">
        <f ca="1">IFERROR(__xludf.DUMMYFUNCTION("iferror(filter('Full Perk List'!G$3:G1498,'Full Perk List'!$D$3:$D1498=$D57),"""")"),"#REF!")</f>
        <v>#REF!</v>
      </c>
      <c r="H57" s="1"/>
      <c r="I57" s="2"/>
      <c r="J57" s="2"/>
      <c r="K57" s="2"/>
      <c r="L57" s="2"/>
      <c r="M57" s="2"/>
      <c r="N57" s="2"/>
      <c r="O57" s="2"/>
      <c r="P57" s="2"/>
      <c r="Q57" s="2"/>
      <c r="R57" s="2"/>
      <c r="S57" s="2"/>
      <c r="T57" s="2"/>
      <c r="U57" s="2"/>
      <c r="V57" s="2"/>
      <c r="W57" s="2"/>
      <c r="X57" s="2"/>
      <c r="Y57" s="2"/>
    </row>
    <row r="58" spans="1:25" ht="17.399999999999999" x14ac:dyDescent="0.25">
      <c r="A58" s="1"/>
      <c r="B58" s="40"/>
      <c r="C58" s="2" t="str">
        <f ca="1">IFERROR(__xludf.DUMMYFUNCTION("iferror(filter('Full Perk List'!C$3:C1498,'Full Perk List'!$D$3:$D1498=$D58),"""")"),"#REF!")</f>
        <v>#REF!</v>
      </c>
      <c r="D58" s="2"/>
      <c r="E58" s="2" t="str">
        <f ca="1">IFERROR(__xludf.DUMMYFUNCTION("iferror(filter('Full Perk List'!E$3:E1498,'Full Perk List'!$D$3:$D1498=$D58),"""")"),"#REF!")</f>
        <v>#REF!</v>
      </c>
      <c r="F58" s="2" t="str">
        <f ca="1">IFERROR(__xludf.DUMMYFUNCTION("iferror(filter('Full Perk List'!F$3:F1498,'Full Perk List'!$D$3:$D1498=$D58),"""")"),"#REF!")</f>
        <v>#REF!</v>
      </c>
      <c r="G58" s="2" t="str">
        <f ca="1">IFERROR(__xludf.DUMMYFUNCTION("iferror(filter('Full Perk List'!G$3:G1498,'Full Perk List'!$D$3:$D1498=$D58),"""")"),"#REF!")</f>
        <v>#REF!</v>
      </c>
      <c r="H58" s="1"/>
      <c r="I58" s="2"/>
      <c r="J58" s="2"/>
      <c r="K58" s="2"/>
      <c r="L58" s="2"/>
      <c r="M58" s="2"/>
      <c r="N58" s="2"/>
      <c r="O58" s="2"/>
      <c r="P58" s="2"/>
      <c r="Q58" s="2"/>
      <c r="R58" s="2"/>
      <c r="S58" s="2"/>
      <c r="T58" s="2"/>
      <c r="U58" s="2"/>
      <c r="V58" s="2"/>
      <c r="W58" s="2"/>
      <c r="X58" s="2"/>
      <c r="Y58" s="2"/>
    </row>
    <row r="59" spans="1:25" ht="17.399999999999999" x14ac:dyDescent="0.25">
      <c r="A59" s="1"/>
      <c r="B59" s="40"/>
      <c r="C59" s="2" t="str">
        <f ca="1">IFERROR(__xludf.DUMMYFUNCTION("iferror(filter('Full Perk List'!C$3:C1498,'Full Perk List'!$D$3:$D1498=$D59),"""")"),"#REF!")</f>
        <v>#REF!</v>
      </c>
      <c r="D59" s="2"/>
      <c r="E59" s="2" t="str">
        <f ca="1">IFERROR(__xludf.DUMMYFUNCTION("iferror(filter('Full Perk List'!E$3:E1498,'Full Perk List'!$D$3:$D1498=$D59),"""")"),"#REF!")</f>
        <v>#REF!</v>
      </c>
      <c r="F59" s="2" t="str">
        <f ca="1">IFERROR(__xludf.DUMMYFUNCTION("iferror(filter('Full Perk List'!F$3:F1498,'Full Perk List'!$D$3:$D1498=$D59),"""")"),"#REF!")</f>
        <v>#REF!</v>
      </c>
      <c r="G59" s="2" t="str">
        <f ca="1">IFERROR(__xludf.DUMMYFUNCTION("iferror(filter('Full Perk List'!G$3:G1498,'Full Perk List'!$D$3:$D1498=$D59),"""")"),"#REF!")</f>
        <v>#REF!</v>
      </c>
      <c r="H59" s="1"/>
      <c r="I59" s="2"/>
      <c r="J59" s="2"/>
      <c r="K59" s="2"/>
      <c r="L59" s="2"/>
      <c r="M59" s="2"/>
      <c r="N59" s="2"/>
      <c r="O59" s="2"/>
      <c r="P59" s="2"/>
      <c r="Q59" s="2"/>
      <c r="R59" s="2"/>
      <c r="S59" s="2"/>
      <c r="T59" s="2"/>
      <c r="U59" s="2"/>
      <c r="V59" s="2"/>
      <c r="W59" s="2"/>
      <c r="X59" s="2"/>
      <c r="Y59" s="2"/>
    </row>
    <row r="60" spans="1:25" ht="17.399999999999999" x14ac:dyDescent="0.25">
      <c r="A60" s="1"/>
      <c r="B60" s="40"/>
      <c r="C60" s="2" t="str">
        <f ca="1">IFERROR(__xludf.DUMMYFUNCTION("iferror(filter('Full Perk List'!C$3:C1498,'Full Perk List'!$D$3:$D1498=$D60),"""")"),"#REF!")</f>
        <v>#REF!</v>
      </c>
      <c r="D60" s="2"/>
      <c r="E60" s="2" t="str">
        <f ca="1">IFERROR(__xludf.DUMMYFUNCTION("iferror(filter('Full Perk List'!E$3:E1498,'Full Perk List'!$D$3:$D1498=$D60),"""")"),"#REF!")</f>
        <v>#REF!</v>
      </c>
      <c r="F60" s="2" t="str">
        <f ca="1">IFERROR(__xludf.DUMMYFUNCTION("iferror(filter('Full Perk List'!F$3:F1498,'Full Perk List'!$D$3:$D1498=$D60),"""")"),"#REF!")</f>
        <v>#REF!</v>
      </c>
      <c r="G60" s="2" t="str">
        <f ca="1">IFERROR(__xludf.DUMMYFUNCTION("iferror(filter('Full Perk List'!G$3:G1498,'Full Perk List'!$D$3:$D1498=$D60),"""")"),"#REF!")</f>
        <v>#REF!</v>
      </c>
      <c r="H60" s="1"/>
      <c r="I60" s="2"/>
      <c r="J60" s="2"/>
      <c r="K60" s="2"/>
      <c r="L60" s="2"/>
      <c r="M60" s="2"/>
      <c r="N60" s="2"/>
      <c r="O60" s="2"/>
      <c r="P60" s="2"/>
      <c r="Q60" s="2"/>
      <c r="R60" s="2"/>
      <c r="S60" s="2"/>
      <c r="T60" s="2"/>
      <c r="U60" s="2"/>
      <c r="V60" s="2"/>
      <c r="W60" s="2"/>
      <c r="X60" s="2"/>
      <c r="Y60" s="2"/>
    </row>
    <row r="61" spans="1:25" ht="17.399999999999999" x14ac:dyDescent="0.25">
      <c r="A61" s="1"/>
      <c r="B61" s="40"/>
      <c r="C61" s="2" t="str">
        <f ca="1">IFERROR(__xludf.DUMMYFUNCTION("iferror(filter('Full Perk List'!C$3:C1498,'Full Perk List'!$D$3:$D1498=$D61),"""")"),"#REF!")</f>
        <v>#REF!</v>
      </c>
      <c r="D61" s="2"/>
      <c r="E61" s="2" t="str">
        <f ca="1">IFERROR(__xludf.DUMMYFUNCTION("iferror(filter('Full Perk List'!E$3:E1498,'Full Perk List'!$D$3:$D1498=$D61),"""")"),"#REF!")</f>
        <v>#REF!</v>
      </c>
      <c r="F61" s="2" t="str">
        <f ca="1">IFERROR(__xludf.DUMMYFUNCTION("iferror(filter('Full Perk List'!F$3:F1498,'Full Perk List'!$D$3:$D1498=$D61),"""")"),"#REF!")</f>
        <v>#REF!</v>
      </c>
      <c r="G61" s="2" t="str">
        <f ca="1">IFERROR(__xludf.DUMMYFUNCTION("iferror(filter('Full Perk List'!G$3:G1498,'Full Perk List'!$D$3:$D1498=$D61),"""")"),"#REF!")</f>
        <v>#REF!</v>
      </c>
      <c r="H61" s="1"/>
      <c r="I61" s="2"/>
      <c r="J61" s="2"/>
      <c r="K61" s="2"/>
      <c r="L61" s="2"/>
      <c r="M61" s="2"/>
      <c r="N61" s="2"/>
      <c r="O61" s="2"/>
      <c r="P61" s="2"/>
      <c r="Q61" s="2"/>
      <c r="R61" s="2"/>
      <c r="S61" s="2"/>
      <c r="T61" s="2"/>
      <c r="U61" s="2"/>
      <c r="V61" s="2"/>
      <c r="W61" s="2"/>
      <c r="X61" s="2"/>
      <c r="Y61" s="2"/>
    </row>
    <row r="62" spans="1:25" ht="17.399999999999999" x14ac:dyDescent="0.25">
      <c r="A62" s="1"/>
      <c r="B62" s="40"/>
      <c r="C62" s="2" t="str">
        <f ca="1">IFERROR(__xludf.DUMMYFUNCTION("iferror(filter('Full Perk List'!C$3:C1498,'Full Perk List'!$D$3:$D1498=$D62),"""")"),"#REF!")</f>
        <v>#REF!</v>
      </c>
      <c r="D62" s="2"/>
      <c r="E62" s="2" t="str">
        <f ca="1">IFERROR(__xludf.DUMMYFUNCTION("iferror(filter('Full Perk List'!E$3:E1498,'Full Perk List'!$D$3:$D1498=$D62),"""")"),"#REF!")</f>
        <v>#REF!</v>
      </c>
      <c r="F62" s="2" t="str">
        <f ca="1">IFERROR(__xludf.DUMMYFUNCTION("iferror(filter('Full Perk List'!F$3:F1498,'Full Perk List'!$D$3:$D1498=$D62),"""")"),"#REF!")</f>
        <v>#REF!</v>
      </c>
      <c r="G62" s="2" t="str">
        <f ca="1">IFERROR(__xludf.DUMMYFUNCTION("iferror(filter('Full Perk List'!G$3:G1498,'Full Perk List'!$D$3:$D1498=$D62),"""")"),"#REF!")</f>
        <v>#REF!</v>
      </c>
      <c r="H62" s="1"/>
      <c r="I62" s="2"/>
      <c r="J62" s="2"/>
      <c r="K62" s="2"/>
      <c r="L62" s="2"/>
      <c r="M62" s="2"/>
      <c r="N62" s="2"/>
      <c r="O62" s="2"/>
      <c r="P62" s="2"/>
      <c r="Q62" s="2"/>
      <c r="R62" s="2"/>
      <c r="S62" s="2"/>
      <c r="T62" s="2"/>
      <c r="U62" s="2"/>
      <c r="V62" s="2"/>
      <c r="W62" s="2"/>
      <c r="X62" s="2"/>
      <c r="Y62" s="2"/>
    </row>
    <row r="63" spans="1:25" ht="17.399999999999999" x14ac:dyDescent="0.25">
      <c r="A63" s="1"/>
      <c r="B63" s="40"/>
      <c r="C63" s="2" t="str">
        <f ca="1">IFERROR(__xludf.DUMMYFUNCTION("iferror(filter('Full Perk List'!C$3:C1498,'Full Perk List'!$D$3:$D1498=$D63),"""")"),"#REF!")</f>
        <v>#REF!</v>
      </c>
      <c r="D63" s="2"/>
      <c r="E63" s="2" t="str">
        <f ca="1">IFERROR(__xludf.DUMMYFUNCTION("iferror(filter('Full Perk List'!E$3:E1498,'Full Perk List'!$D$3:$D1498=$D63),"""")"),"#REF!")</f>
        <v>#REF!</v>
      </c>
      <c r="F63" s="2" t="str">
        <f ca="1">IFERROR(__xludf.DUMMYFUNCTION("iferror(filter('Full Perk List'!F$3:F1498,'Full Perk List'!$D$3:$D1498=$D63),"""")"),"#REF!")</f>
        <v>#REF!</v>
      </c>
      <c r="G63" s="2" t="str">
        <f ca="1">IFERROR(__xludf.DUMMYFUNCTION("iferror(filter('Full Perk List'!G$3:G1498,'Full Perk List'!$D$3:$D1498=$D63),"""")"),"#REF!")</f>
        <v>#REF!</v>
      </c>
      <c r="H63" s="1"/>
      <c r="I63" s="2"/>
      <c r="J63" s="2"/>
      <c r="K63" s="2"/>
      <c r="L63" s="2"/>
      <c r="M63" s="2"/>
      <c r="N63" s="2"/>
      <c r="O63" s="2"/>
      <c r="P63" s="2"/>
      <c r="Q63" s="2"/>
      <c r="R63" s="2"/>
      <c r="S63" s="2"/>
      <c r="T63" s="2"/>
      <c r="U63" s="2"/>
      <c r="V63" s="2"/>
      <c r="W63" s="2"/>
      <c r="X63" s="2"/>
      <c r="Y63" s="2"/>
    </row>
    <row r="64" spans="1:25" ht="17.399999999999999" x14ac:dyDescent="0.25">
      <c r="A64" s="1"/>
      <c r="B64" s="40"/>
      <c r="C64" s="2" t="str">
        <f ca="1">IFERROR(__xludf.DUMMYFUNCTION("iferror(filter('Full Perk List'!C$3:C1498,'Full Perk List'!$D$3:$D1498=$D64),"""")"),"#REF!")</f>
        <v>#REF!</v>
      </c>
      <c r="D64" s="2"/>
      <c r="E64" s="2" t="str">
        <f ca="1">IFERROR(__xludf.DUMMYFUNCTION("iferror(filter('Full Perk List'!E$3:E1498,'Full Perk List'!$D$3:$D1498=$D64),"""")"),"#REF!")</f>
        <v>#REF!</v>
      </c>
      <c r="F64" s="2" t="str">
        <f ca="1">IFERROR(__xludf.DUMMYFUNCTION("iferror(filter('Full Perk List'!F$3:F1498,'Full Perk List'!$D$3:$D1498=$D64),"""")"),"#REF!")</f>
        <v>#REF!</v>
      </c>
      <c r="G64" s="2" t="str">
        <f ca="1">IFERROR(__xludf.DUMMYFUNCTION("iferror(filter('Full Perk List'!G$3:G1498,'Full Perk List'!$D$3:$D1498=$D64),"""")"),"#REF!")</f>
        <v>#REF!</v>
      </c>
      <c r="H64" s="1"/>
      <c r="I64" s="2"/>
      <c r="J64" s="2"/>
      <c r="K64" s="2"/>
      <c r="L64" s="2"/>
      <c r="M64" s="2"/>
      <c r="N64" s="2"/>
      <c r="O64" s="2"/>
      <c r="P64" s="2"/>
      <c r="Q64" s="2"/>
      <c r="R64" s="2"/>
      <c r="S64" s="2"/>
      <c r="T64" s="2"/>
      <c r="U64" s="2"/>
      <c r="V64" s="2"/>
      <c r="W64" s="2"/>
      <c r="X64" s="2"/>
      <c r="Y64" s="2"/>
    </row>
    <row r="65" spans="1:25" ht="17.399999999999999" x14ac:dyDescent="0.25">
      <c r="A65" s="1"/>
      <c r="B65" s="40"/>
      <c r="C65" s="2" t="str">
        <f ca="1">IFERROR(__xludf.DUMMYFUNCTION("iferror(filter('Full Perk List'!C$3:C1498,'Full Perk List'!$D$3:$D1498=$D65),"""")"),"#REF!")</f>
        <v>#REF!</v>
      </c>
      <c r="D65" s="2"/>
      <c r="E65" s="2" t="str">
        <f ca="1">IFERROR(__xludf.DUMMYFUNCTION("iferror(filter('Full Perk List'!E$3:E1498,'Full Perk List'!$D$3:$D1498=$D65),"""")"),"#REF!")</f>
        <v>#REF!</v>
      </c>
      <c r="F65" s="2" t="str">
        <f ca="1">IFERROR(__xludf.DUMMYFUNCTION("iferror(filter('Full Perk List'!F$3:F1498,'Full Perk List'!$D$3:$D1498=$D65),"""")"),"#REF!")</f>
        <v>#REF!</v>
      </c>
      <c r="G65" s="2" t="str">
        <f ca="1">IFERROR(__xludf.DUMMYFUNCTION("iferror(filter('Full Perk List'!G$3:G1498,'Full Perk List'!$D$3:$D1498=$D65),"""")"),"#REF!")</f>
        <v>#REF!</v>
      </c>
      <c r="H65" s="1"/>
      <c r="I65" s="2"/>
      <c r="J65" s="2"/>
      <c r="K65" s="2"/>
      <c r="L65" s="2"/>
      <c r="M65" s="2"/>
      <c r="N65" s="2"/>
      <c r="O65" s="2"/>
      <c r="P65" s="2"/>
      <c r="Q65" s="2"/>
      <c r="R65" s="2"/>
      <c r="S65" s="2"/>
      <c r="T65" s="2"/>
      <c r="U65" s="2"/>
      <c r="V65" s="2"/>
      <c r="W65" s="2"/>
      <c r="X65" s="2"/>
      <c r="Y65" s="2"/>
    </row>
    <row r="66" spans="1:25" ht="17.399999999999999" x14ac:dyDescent="0.25">
      <c r="A66" s="1"/>
      <c r="B66" s="40"/>
      <c r="C66" s="2" t="str">
        <f ca="1">IFERROR(__xludf.DUMMYFUNCTION("iferror(filter('Full Perk List'!C$3:C1498,'Full Perk List'!$D$3:$D1498=$D66),"""")"),"#REF!")</f>
        <v>#REF!</v>
      </c>
      <c r="D66" s="2"/>
      <c r="E66" s="2" t="str">
        <f ca="1">IFERROR(__xludf.DUMMYFUNCTION("iferror(filter('Full Perk List'!E$3:E1498,'Full Perk List'!$D$3:$D1498=$D66),"""")"),"#REF!")</f>
        <v>#REF!</v>
      </c>
      <c r="F66" s="2" t="str">
        <f ca="1">IFERROR(__xludf.DUMMYFUNCTION("iferror(filter('Full Perk List'!F$3:F1498,'Full Perk List'!$D$3:$D1498=$D66),"""")"),"#REF!")</f>
        <v>#REF!</v>
      </c>
      <c r="G66" s="2" t="str">
        <f ca="1">IFERROR(__xludf.DUMMYFUNCTION("iferror(filter('Full Perk List'!G$3:G1498,'Full Perk List'!$D$3:$D1498=$D66),"""")"),"#REF!")</f>
        <v>#REF!</v>
      </c>
      <c r="H66" s="1"/>
      <c r="I66" s="2"/>
      <c r="J66" s="2"/>
      <c r="K66" s="2"/>
      <c r="L66" s="2"/>
      <c r="M66" s="2"/>
      <c r="N66" s="2"/>
      <c r="O66" s="2"/>
      <c r="P66" s="2"/>
      <c r="Q66" s="2"/>
      <c r="R66" s="2"/>
      <c r="S66" s="2"/>
      <c r="T66" s="2"/>
      <c r="U66" s="2"/>
      <c r="V66" s="2"/>
      <c r="W66" s="2"/>
      <c r="X66" s="2"/>
      <c r="Y66" s="2"/>
    </row>
    <row r="67" spans="1:25" ht="17.399999999999999" x14ac:dyDescent="0.25">
      <c r="A67" s="1"/>
      <c r="B67" s="40"/>
      <c r="C67" s="2" t="str">
        <f ca="1">IFERROR(__xludf.DUMMYFUNCTION("iferror(filter('Full Perk List'!C$3:C1498,'Full Perk List'!$D$3:$D1498=$D67),"""")"),"#REF!")</f>
        <v>#REF!</v>
      </c>
      <c r="D67" s="2"/>
      <c r="E67" s="2" t="str">
        <f ca="1">IFERROR(__xludf.DUMMYFUNCTION("iferror(filter('Full Perk List'!E$3:E1498,'Full Perk List'!$D$3:$D1498=$D67),"""")"),"#REF!")</f>
        <v>#REF!</v>
      </c>
      <c r="F67" s="2" t="str">
        <f ca="1">IFERROR(__xludf.DUMMYFUNCTION("iferror(filter('Full Perk List'!F$3:F1498,'Full Perk List'!$D$3:$D1498=$D67),"""")"),"#REF!")</f>
        <v>#REF!</v>
      </c>
      <c r="G67" s="2" t="str">
        <f ca="1">IFERROR(__xludf.DUMMYFUNCTION("iferror(filter('Full Perk List'!G$3:G1498,'Full Perk List'!$D$3:$D1498=$D67),"""")"),"#REF!")</f>
        <v>#REF!</v>
      </c>
      <c r="H67" s="1"/>
      <c r="I67" s="2"/>
      <c r="J67" s="2"/>
      <c r="K67" s="2"/>
      <c r="L67" s="2"/>
      <c r="M67" s="2"/>
      <c r="N67" s="2"/>
      <c r="O67" s="2"/>
      <c r="P67" s="2"/>
      <c r="Q67" s="2"/>
      <c r="R67" s="2"/>
      <c r="S67" s="2"/>
      <c r="T67" s="2"/>
      <c r="U67" s="2"/>
      <c r="V67" s="2"/>
      <c r="W67" s="2"/>
      <c r="X67" s="2"/>
      <c r="Y67" s="2"/>
    </row>
    <row r="68" spans="1:25" ht="17.399999999999999" x14ac:dyDescent="0.25">
      <c r="A68" s="1"/>
      <c r="B68" s="40"/>
      <c r="C68" s="2" t="str">
        <f ca="1">IFERROR(__xludf.DUMMYFUNCTION("iferror(filter('Full Perk List'!C$3:C1498,'Full Perk List'!$D$3:$D1498=$D68),"""")"),"#REF!")</f>
        <v>#REF!</v>
      </c>
      <c r="D68" s="2"/>
      <c r="E68" s="2" t="str">
        <f ca="1">IFERROR(__xludf.DUMMYFUNCTION("iferror(filter('Full Perk List'!E$3:E1498,'Full Perk List'!$D$3:$D1498=$D68),"""")"),"#REF!")</f>
        <v>#REF!</v>
      </c>
      <c r="F68" s="2" t="str">
        <f ca="1">IFERROR(__xludf.DUMMYFUNCTION("iferror(filter('Full Perk List'!F$3:F1498,'Full Perk List'!$D$3:$D1498=$D68),"""")"),"#REF!")</f>
        <v>#REF!</v>
      </c>
      <c r="G68" s="2" t="str">
        <f ca="1">IFERROR(__xludf.DUMMYFUNCTION("iferror(filter('Full Perk List'!G$3:G1498,'Full Perk List'!$D$3:$D1498=$D68),"""")"),"#REF!")</f>
        <v>#REF!</v>
      </c>
      <c r="H68" s="1"/>
      <c r="I68" s="2"/>
      <c r="J68" s="2"/>
      <c r="K68" s="2"/>
      <c r="L68" s="2"/>
      <c r="M68" s="2"/>
      <c r="N68" s="2"/>
      <c r="O68" s="2"/>
      <c r="P68" s="2"/>
      <c r="Q68" s="2"/>
      <c r="R68" s="2"/>
      <c r="S68" s="2"/>
      <c r="T68" s="2"/>
      <c r="U68" s="2"/>
      <c r="V68" s="2"/>
      <c r="W68" s="2"/>
      <c r="X68" s="2"/>
      <c r="Y68" s="2"/>
    </row>
    <row r="69" spans="1:25" ht="17.399999999999999" x14ac:dyDescent="0.25">
      <c r="A69" s="1"/>
      <c r="B69" s="40"/>
      <c r="C69" s="2" t="str">
        <f ca="1">IFERROR(__xludf.DUMMYFUNCTION("iferror(filter('Full Perk List'!C$3:C1498,'Full Perk List'!$D$3:$D1498=$D69),"""")"),"#REF!")</f>
        <v>#REF!</v>
      </c>
      <c r="D69" s="2"/>
      <c r="E69" s="2" t="str">
        <f ca="1">IFERROR(__xludf.DUMMYFUNCTION("iferror(filter('Full Perk List'!E$3:E1498,'Full Perk List'!$D$3:$D1498=$D69),"""")"),"#REF!")</f>
        <v>#REF!</v>
      </c>
      <c r="F69" s="2" t="str">
        <f ca="1">IFERROR(__xludf.DUMMYFUNCTION("iferror(filter('Full Perk List'!F$3:F1498,'Full Perk List'!$D$3:$D1498=$D69),"""")"),"#REF!")</f>
        <v>#REF!</v>
      </c>
      <c r="G69" s="2" t="str">
        <f ca="1">IFERROR(__xludf.DUMMYFUNCTION("iferror(filter('Full Perk List'!G$3:G1498,'Full Perk List'!$D$3:$D1498=$D69),"""")"),"#REF!")</f>
        <v>#REF!</v>
      </c>
      <c r="H69" s="1"/>
      <c r="I69" s="2"/>
      <c r="J69" s="2"/>
      <c r="K69" s="2"/>
      <c r="L69" s="2"/>
      <c r="M69" s="2"/>
      <c r="N69" s="2"/>
      <c r="O69" s="2"/>
      <c r="P69" s="2"/>
      <c r="Q69" s="2"/>
      <c r="R69" s="2"/>
      <c r="S69" s="2"/>
      <c r="T69" s="2"/>
      <c r="U69" s="2"/>
      <c r="V69" s="2"/>
      <c r="W69" s="2"/>
      <c r="X69" s="2"/>
      <c r="Y69" s="2"/>
    </row>
    <row r="70" spans="1:25" ht="17.399999999999999" x14ac:dyDescent="0.25">
      <c r="A70" s="1"/>
      <c r="B70" s="40"/>
      <c r="C70" s="2" t="str">
        <f ca="1">IFERROR(__xludf.DUMMYFUNCTION("iferror(filter('Full Perk List'!C$3:C1498,'Full Perk List'!$D$3:$D1498=$D70),"""")"),"#REF!")</f>
        <v>#REF!</v>
      </c>
      <c r="D70" s="2"/>
      <c r="E70" s="2" t="str">
        <f ca="1">IFERROR(__xludf.DUMMYFUNCTION("iferror(filter('Full Perk List'!E$3:E1498,'Full Perk List'!$D$3:$D1498=$D70),"""")"),"#REF!")</f>
        <v>#REF!</v>
      </c>
      <c r="F70" s="2" t="str">
        <f ca="1">IFERROR(__xludf.DUMMYFUNCTION("iferror(filter('Full Perk List'!F$3:F1498,'Full Perk List'!$D$3:$D1498=$D70),"""")"),"#REF!")</f>
        <v>#REF!</v>
      </c>
      <c r="G70" s="2" t="str">
        <f ca="1">IFERROR(__xludf.DUMMYFUNCTION("iferror(filter('Full Perk List'!G$3:G1498,'Full Perk List'!$D$3:$D1498=$D70),"""")"),"#REF!")</f>
        <v>#REF!</v>
      </c>
      <c r="H70" s="1"/>
      <c r="I70" s="2"/>
      <c r="J70" s="2"/>
      <c r="K70" s="2"/>
      <c r="L70" s="2"/>
      <c r="M70" s="2"/>
      <c r="N70" s="2"/>
      <c r="O70" s="2"/>
      <c r="P70" s="2"/>
      <c r="Q70" s="2"/>
      <c r="R70" s="2"/>
      <c r="S70" s="2"/>
      <c r="T70" s="2"/>
      <c r="U70" s="2"/>
      <c r="V70" s="2"/>
      <c r="W70" s="2"/>
      <c r="X70" s="2"/>
      <c r="Y70" s="2"/>
    </row>
    <row r="71" spans="1:25" ht="17.399999999999999" x14ac:dyDescent="0.25">
      <c r="A71" s="1"/>
      <c r="B71" s="40"/>
      <c r="C71" s="2" t="str">
        <f ca="1">IFERROR(__xludf.DUMMYFUNCTION("iferror(filter('Full Perk List'!C$3:C1498,'Full Perk List'!$D$3:$D1498=$D71),"""")"),"#REF!")</f>
        <v>#REF!</v>
      </c>
      <c r="D71" s="2"/>
      <c r="E71" s="2" t="str">
        <f ca="1">IFERROR(__xludf.DUMMYFUNCTION("iferror(filter('Full Perk List'!E$3:E1498,'Full Perk List'!$D$3:$D1498=$D71),"""")"),"#REF!")</f>
        <v>#REF!</v>
      </c>
      <c r="F71" s="2" t="str">
        <f ca="1">IFERROR(__xludf.DUMMYFUNCTION("iferror(filter('Full Perk List'!F$3:F1498,'Full Perk List'!$D$3:$D1498=$D71),"""")"),"#REF!")</f>
        <v>#REF!</v>
      </c>
      <c r="G71" s="2" t="str">
        <f ca="1">IFERROR(__xludf.DUMMYFUNCTION("iferror(filter('Full Perk List'!G$3:G1498,'Full Perk List'!$D$3:$D1498=$D71),"""")"),"#REF!")</f>
        <v>#REF!</v>
      </c>
      <c r="H71" s="1"/>
      <c r="I71" s="2"/>
      <c r="J71" s="2"/>
      <c r="K71" s="2"/>
      <c r="L71" s="2"/>
      <c r="M71" s="2"/>
      <c r="N71" s="2"/>
      <c r="O71" s="2"/>
      <c r="P71" s="2"/>
      <c r="Q71" s="2"/>
      <c r="R71" s="2"/>
      <c r="S71" s="2"/>
      <c r="T71" s="2"/>
      <c r="U71" s="2"/>
      <c r="V71" s="2"/>
      <c r="W71" s="2"/>
      <c r="X71" s="2"/>
      <c r="Y71" s="2"/>
    </row>
    <row r="72" spans="1:25" ht="17.399999999999999" x14ac:dyDescent="0.25">
      <c r="A72" s="1"/>
      <c r="B72" s="40"/>
      <c r="C72" s="2" t="str">
        <f ca="1">IFERROR(__xludf.DUMMYFUNCTION("iferror(filter('Full Perk List'!C$3:C1498,'Full Perk List'!$D$3:$D1498=$D72),"""")"),"#REF!")</f>
        <v>#REF!</v>
      </c>
      <c r="D72" s="2"/>
      <c r="E72" s="2" t="str">
        <f ca="1">IFERROR(__xludf.DUMMYFUNCTION("iferror(filter('Full Perk List'!E$3:E1498,'Full Perk List'!$D$3:$D1498=$D72),"""")"),"#REF!")</f>
        <v>#REF!</v>
      </c>
      <c r="F72" s="2" t="str">
        <f ca="1">IFERROR(__xludf.DUMMYFUNCTION("iferror(filter('Full Perk List'!F$3:F1498,'Full Perk List'!$D$3:$D1498=$D72),"""")"),"#REF!")</f>
        <v>#REF!</v>
      </c>
      <c r="G72" s="2" t="str">
        <f ca="1">IFERROR(__xludf.DUMMYFUNCTION("iferror(filter('Full Perk List'!G$3:G1498,'Full Perk List'!$D$3:$D1498=$D72),"""")"),"#REF!")</f>
        <v>#REF!</v>
      </c>
      <c r="H72" s="1"/>
      <c r="I72" s="2"/>
      <c r="J72" s="2"/>
      <c r="K72" s="2"/>
      <c r="L72" s="2"/>
      <c r="M72" s="2"/>
      <c r="N72" s="2"/>
      <c r="O72" s="2"/>
      <c r="P72" s="2"/>
      <c r="Q72" s="2"/>
      <c r="R72" s="2"/>
      <c r="S72" s="2"/>
      <c r="T72" s="2"/>
      <c r="U72" s="2"/>
      <c r="V72" s="2"/>
      <c r="W72" s="2"/>
      <c r="X72" s="2"/>
      <c r="Y72" s="2"/>
    </row>
    <row r="73" spans="1:25" ht="17.399999999999999" x14ac:dyDescent="0.25">
      <c r="A73" s="1"/>
      <c r="B73" s="40"/>
      <c r="C73" s="2" t="str">
        <f ca="1">IFERROR(__xludf.DUMMYFUNCTION("iferror(filter('Full Perk List'!C$3:C1498,'Full Perk List'!$D$3:$D1498=$D73),"""")"),"#REF!")</f>
        <v>#REF!</v>
      </c>
      <c r="D73" s="2"/>
      <c r="E73" s="2" t="str">
        <f ca="1">IFERROR(__xludf.DUMMYFUNCTION("iferror(filter('Full Perk List'!E$3:E1498,'Full Perk List'!$D$3:$D1498=$D73),"""")"),"#REF!")</f>
        <v>#REF!</v>
      </c>
      <c r="F73" s="2" t="str">
        <f ca="1">IFERROR(__xludf.DUMMYFUNCTION("iferror(filter('Full Perk List'!F$3:F1498,'Full Perk List'!$D$3:$D1498=$D73),"""")"),"#REF!")</f>
        <v>#REF!</v>
      </c>
      <c r="G73" s="2" t="str">
        <f ca="1">IFERROR(__xludf.DUMMYFUNCTION("iferror(filter('Full Perk List'!G$3:G1498,'Full Perk List'!$D$3:$D1498=$D73),"""")"),"#REF!")</f>
        <v>#REF!</v>
      </c>
      <c r="H73" s="1"/>
      <c r="I73" s="2"/>
      <c r="J73" s="2"/>
      <c r="K73" s="2"/>
      <c r="L73" s="2"/>
      <c r="M73" s="2"/>
      <c r="N73" s="2"/>
      <c r="O73" s="2"/>
      <c r="P73" s="2"/>
      <c r="Q73" s="2"/>
      <c r="R73" s="2"/>
      <c r="S73" s="2"/>
      <c r="T73" s="2"/>
      <c r="U73" s="2"/>
      <c r="V73" s="2"/>
      <c r="W73" s="2"/>
      <c r="X73" s="2"/>
      <c r="Y73" s="2"/>
    </row>
    <row r="74" spans="1:25" ht="17.399999999999999" x14ac:dyDescent="0.25">
      <c r="A74" s="1"/>
      <c r="B74" s="40"/>
      <c r="C74" s="2" t="str">
        <f ca="1">IFERROR(__xludf.DUMMYFUNCTION("iferror(filter('Full Perk List'!C$3:C1498,'Full Perk List'!$D$3:$D1498=$D74),"""")"),"#REF!")</f>
        <v>#REF!</v>
      </c>
      <c r="D74" s="2"/>
      <c r="E74" s="2" t="str">
        <f ca="1">IFERROR(__xludf.DUMMYFUNCTION("iferror(filter('Full Perk List'!E$3:E1498,'Full Perk List'!$D$3:$D1498=$D74),"""")"),"#REF!")</f>
        <v>#REF!</v>
      </c>
      <c r="F74" s="2" t="str">
        <f ca="1">IFERROR(__xludf.DUMMYFUNCTION("iferror(filter('Full Perk List'!F$3:F1498,'Full Perk List'!$D$3:$D1498=$D74),"""")"),"#REF!")</f>
        <v>#REF!</v>
      </c>
      <c r="G74" s="2" t="str">
        <f ca="1">IFERROR(__xludf.DUMMYFUNCTION("iferror(filter('Full Perk List'!G$3:G1498,'Full Perk List'!$D$3:$D1498=$D74),"""")"),"#REF!")</f>
        <v>#REF!</v>
      </c>
      <c r="H74" s="1"/>
      <c r="I74" s="2"/>
      <c r="J74" s="2"/>
      <c r="K74" s="2"/>
      <c r="L74" s="2"/>
      <c r="M74" s="2"/>
      <c r="N74" s="2"/>
      <c r="O74" s="2"/>
      <c r="P74" s="2"/>
      <c r="Q74" s="2"/>
      <c r="R74" s="2"/>
      <c r="S74" s="2"/>
      <c r="T74" s="2"/>
      <c r="U74" s="2"/>
      <c r="V74" s="2"/>
      <c r="W74" s="2"/>
      <c r="X74" s="2"/>
      <c r="Y74" s="2"/>
    </row>
    <row r="75" spans="1:25" ht="17.399999999999999" x14ac:dyDescent="0.25">
      <c r="A75" s="1"/>
      <c r="B75" s="40"/>
      <c r="C75" s="2" t="str">
        <f ca="1">IFERROR(__xludf.DUMMYFUNCTION("iferror(filter('Full Perk List'!C$3:C1498,'Full Perk List'!$D$3:$D1498=$D75),"""")"),"#REF!")</f>
        <v>#REF!</v>
      </c>
      <c r="D75" s="2"/>
      <c r="E75" s="2" t="str">
        <f ca="1">IFERROR(__xludf.DUMMYFUNCTION("iferror(filter('Full Perk List'!E$3:E1498,'Full Perk List'!$D$3:$D1498=$D75),"""")"),"#REF!")</f>
        <v>#REF!</v>
      </c>
      <c r="F75" s="2" t="str">
        <f ca="1">IFERROR(__xludf.DUMMYFUNCTION("iferror(filter('Full Perk List'!F$3:F1498,'Full Perk List'!$D$3:$D1498=$D75),"""")"),"#REF!")</f>
        <v>#REF!</v>
      </c>
      <c r="G75" s="2" t="str">
        <f ca="1">IFERROR(__xludf.DUMMYFUNCTION("iferror(filter('Full Perk List'!G$3:G1498,'Full Perk List'!$D$3:$D1498=$D75),"""")"),"#REF!")</f>
        <v>#REF!</v>
      </c>
      <c r="H75" s="1"/>
      <c r="I75" s="2"/>
      <c r="J75" s="2"/>
      <c r="K75" s="2"/>
      <c r="L75" s="2"/>
      <c r="M75" s="2"/>
      <c r="N75" s="2"/>
      <c r="O75" s="2"/>
      <c r="P75" s="2"/>
      <c r="Q75" s="2"/>
      <c r="R75" s="2"/>
      <c r="S75" s="2"/>
      <c r="T75" s="2"/>
      <c r="U75" s="2"/>
      <c r="V75" s="2"/>
      <c r="W75" s="2"/>
      <c r="X75" s="2"/>
      <c r="Y75" s="2"/>
    </row>
    <row r="76" spans="1:25" ht="17.399999999999999" x14ac:dyDescent="0.25">
      <c r="A76" s="1"/>
      <c r="B76" s="40"/>
      <c r="C76" s="2" t="str">
        <f ca="1">IFERROR(__xludf.DUMMYFUNCTION("iferror(filter('Full Perk List'!C$3:C1498,'Full Perk List'!$D$3:$D1498=$D76),"""")"),"#REF!")</f>
        <v>#REF!</v>
      </c>
      <c r="D76" s="2"/>
      <c r="E76" s="2" t="str">
        <f ca="1">IFERROR(__xludf.DUMMYFUNCTION("iferror(filter('Full Perk List'!E$3:E1498,'Full Perk List'!$D$3:$D1498=$D76),"""")"),"#REF!")</f>
        <v>#REF!</v>
      </c>
      <c r="F76" s="2" t="str">
        <f ca="1">IFERROR(__xludf.DUMMYFUNCTION("iferror(filter('Full Perk List'!F$3:F1498,'Full Perk List'!$D$3:$D1498=$D76),"""")"),"#REF!")</f>
        <v>#REF!</v>
      </c>
      <c r="G76" s="2" t="str">
        <f ca="1">IFERROR(__xludf.DUMMYFUNCTION("iferror(filter('Full Perk List'!G$3:G1498,'Full Perk List'!$D$3:$D1498=$D76),"""")"),"#REF!")</f>
        <v>#REF!</v>
      </c>
      <c r="H76" s="1"/>
      <c r="I76" s="2"/>
      <c r="J76" s="2"/>
      <c r="K76" s="2"/>
      <c r="L76" s="2"/>
      <c r="M76" s="2"/>
      <c r="N76" s="2"/>
      <c r="O76" s="2"/>
      <c r="P76" s="2"/>
      <c r="Q76" s="2"/>
      <c r="R76" s="2"/>
      <c r="S76" s="2"/>
      <c r="T76" s="2"/>
      <c r="U76" s="2"/>
      <c r="V76" s="2"/>
      <c r="W76" s="2"/>
      <c r="X76" s="2"/>
      <c r="Y76" s="2"/>
    </row>
    <row r="77" spans="1:25" ht="17.399999999999999" x14ac:dyDescent="0.25">
      <c r="A77" s="1"/>
      <c r="B77" s="40"/>
      <c r="C77" s="2" t="str">
        <f ca="1">IFERROR(__xludf.DUMMYFUNCTION("iferror(filter('Full Perk List'!C$3:C1498,'Full Perk List'!$D$3:$D1498=$D77),"""")"),"#REF!")</f>
        <v>#REF!</v>
      </c>
      <c r="D77" s="2"/>
      <c r="E77" s="2" t="str">
        <f ca="1">IFERROR(__xludf.DUMMYFUNCTION("iferror(filter('Full Perk List'!E$3:E1498,'Full Perk List'!$D$3:$D1498=$D77),"""")"),"#REF!")</f>
        <v>#REF!</v>
      </c>
      <c r="F77" s="2" t="str">
        <f ca="1">IFERROR(__xludf.DUMMYFUNCTION("iferror(filter('Full Perk List'!F$3:F1498,'Full Perk List'!$D$3:$D1498=$D77),"""")"),"#REF!")</f>
        <v>#REF!</v>
      </c>
      <c r="G77" s="2" t="str">
        <f ca="1">IFERROR(__xludf.DUMMYFUNCTION("iferror(filter('Full Perk List'!G$3:G1498,'Full Perk List'!$D$3:$D1498=$D77),"""")"),"#REF!")</f>
        <v>#REF!</v>
      </c>
      <c r="H77" s="1"/>
      <c r="I77" s="2"/>
      <c r="J77" s="2"/>
      <c r="K77" s="2"/>
      <c r="L77" s="2"/>
      <c r="M77" s="2"/>
      <c r="N77" s="2"/>
      <c r="O77" s="2"/>
      <c r="P77" s="2"/>
      <c r="Q77" s="2"/>
      <c r="R77" s="2"/>
      <c r="S77" s="2"/>
      <c r="T77" s="2"/>
      <c r="U77" s="2"/>
      <c r="V77" s="2"/>
      <c r="W77" s="2"/>
      <c r="X77" s="2"/>
      <c r="Y77" s="2"/>
    </row>
    <row r="78" spans="1:25" ht="17.399999999999999" x14ac:dyDescent="0.25">
      <c r="A78" s="1"/>
      <c r="B78" s="40"/>
      <c r="C78" s="2" t="str">
        <f ca="1">IFERROR(__xludf.DUMMYFUNCTION("iferror(filter('Full Perk List'!C$3:C1498,'Full Perk List'!$D$3:$D1498=$D78),"""")"),"#REF!")</f>
        <v>#REF!</v>
      </c>
      <c r="D78" s="2"/>
      <c r="E78" s="2" t="str">
        <f ca="1">IFERROR(__xludf.DUMMYFUNCTION("iferror(filter('Full Perk List'!E$3:E1498,'Full Perk List'!$D$3:$D1498=$D78),"""")"),"#REF!")</f>
        <v>#REF!</v>
      </c>
      <c r="F78" s="2" t="str">
        <f ca="1">IFERROR(__xludf.DUMMYFUNCTION("iferror(filter('Full Perk List'!F$3:F1498,'Full Perk List'!$D$3:$D1498=$D78),"""")"),"#REF!")</f>
        <v>#REF!</v>
      </c>
      <c r="G78" s="2" t="str">
        <f ca="1">IFERROR(__xludf.DUMMYFUNCTION("iferror(filter('Full Perk List'!G$3:G1498,'Full Perk List'!$D$3:$D1498=$D78),"""")"),"#REF!")</f>
        <v>#REF!</v>
      </c>
      <c r="H78" s="1"/>
      <c r="I78" s="2"/>
      <c r="J78" s="2"/>
      <c r="K78" s="2"/>
      <c r="L78" s="2"/>
      <c r="M78" s="2"/>
      <c r="N78" s="2"/>
      <c r="O78" s="2"/>
      <c r="P78" s="2"/>
      <c r="Q78" s="2"/>
      <c r="R78" s="2"/>
      <c r="S78" s="2"/>
      <c r="T78" s="2"/>
      <c r="U78" s="2"/>
      <c r="V78" s="2"/>
      <c r="W78" s="2"/>
      <c r="X78" s="2"/>
      <c r="Y78" s="2"/>
    </row>
    <row r="79" spans="1:25" ht="17.399999999999999" x14ac:dyDescent="0.25">
      <c r="A79" s="1"/>
      <c r="B79" s="40"/>
      <c r="C79" s="2" t="str">
        <f ca="1">IFERROR(__xludf.DUMMYFUNCTION("iferror(filter('Full Perk List'!C$3:C1498,'Full Perk List'!$D$3:$D1498=$D79),"""")"),"#REF!")</f>
        <v>#REF!</v>
      </c>
      <c r="D79" s="2"/>
      <c r="E79" s="2" t="str">
        <f ca="1">IFERROR(__xludf.DUMMYFUNCTION("iferror(filter('Full Perk List'!E$3:E1498,'Full Perk List'!$D$3:$D1498=$D79),"""")"),"#REF!")</f>
        <v>#REF!</v>
      </c>
      <c r="F79" s="2" t="str">
        <f ca="1">IFERROR(__xludf.DUMMYFUNCTION("iferror(filter('Full Perk List'!F$3:F1498,'Full Perk List'!$D$3:$D1498=$D79),"""")"),"#REF!")</f>
        <v>#REF!</v>
      </c>
      <c r="G79" s="2" t="str">
        <f ca="1">IFERROR(__xludf.DUMMYFUNCTION("iferror(filter('Full Perk List'!G$3:G1498,'Full Perk List'!$D$3:$D1498=$D79),"""")"),"#REF!")</f>
        <v>#REF!</v>
      </c>
      <c r="H79" s="1"/>
      <c r="I79" s="2"/>
      <c r="J79" s="2"/>
      <c r="K79" s="2"/>
      <c r="L79" s="2"/>
      <c r="M79" s="2"/>
      <c r="N79" s="2"/>
      <c r="O79" s="2"/>
      <c r="P79" s="2"/>
      <c r="Q79" s="2"/>
      <c r="R79" s="2"/>
      <c r="S79" s="2"/>
      <c r="T79" s="2"/>
      <c r="U79" s="2"/>
      <c r="V79" s="2"/>
      <c r="W79" s="2"/>
      <c r="X79" s="2"/>
      <c r="Y79" s="2"/>
    </row>
    <row r="80" spans="1:25" ht="17.399999999999999" x14ac:dyDescent="0.25">
      <c r="A80" s="1"/>
      <c r="B80" s="40"/>
      <c r="C80" s="2" t="str">
        <f ca="1">IFERROR(__xludf.DUMMYFUNCTION("iferror(filter('Full Perk List'!C$3:C1498,'Full Perk List'!$D$3:$D1498=$D80),"""")"),"#REF!")</f>
        <v>#REF!</v>
      </c>
      <c r="D80" s="2"/>
      <c r="E80" s="2" t="str">
        <f ca="1">IFERROR(__xludf.DUMMYFUNCTION("iferror(filter('Full Perk List'!E$3:E1498,'Full Perk List'!$D$3:$D1498=$D80),"""")"),"#REF!")</f>
        <v>#REF!</v>
      </c>
      <c r="F80" s="2" t="str">
        <f ca="1">IFERROR(__xludf.DUMMYFUNCTION("iferror(filter('Full Perk List'!F$3:F1498,'Full Perk List'!$D$3:$D1498=$D80),"""")"),"#REF!")</f>
        <v>#REF!</v>
      </c>
      <c r="G80" s="2" t="str">
        <f ca="1">IFERROR(__xludf.DUMMYFUNCTION("iferror(filter('Full Perk List'!G$3:G1498,'Full Perk List'!$D$3:$D1498=$D80),"""")"),"#REF!")</f>
        <v>#REF!</v>
      </c>
      <c r="H80" s="1"/>
      <c r="I80" s="2"/>
      <c r="J80" s="2"/>
      <c r="K80" s="2"/>
      <c r="L80" s="2"/>
      <c r="M80" s="2"/>
      <c r="N80" s="2"/>
      <c r="O80" s="2"/>
      <c r="P80" s="2"/>
      <c r="Q80" s="2"/>
      <c r="R80" s="2"/>
      <c r="S80" s="2"/>
      <c r="T80" s="2"/>
      <c r="U80" s="2"/>
      <c r="V80" s="2"/>
      <c r="W80" s="2"/>
      <c r="X80" s="2"/>
      <c r="Y80" s="2"/>
    </row>
    <row r="81" spans="1:25" ht="17.399999999999999" x14ac:dyDescent="0.25">
      <c r="A81" s="1"/>
      <c r="B81" s="40"/>
      <c r="C81" s="2" t="str">
        <f ca="1">IFERROR(__xludf.DUMMYFUNCTION("iferror(filter('Full Perk List'!C$3:C1498,'Full Perk List'!$D$3:$D1498=$D81),"""")"),"#REF!")</f>
        <v>#REF!</v>
      </c>
      <c r="D81" s="2"/>
      <c r="E81" s="2" t="str">
        <f ca="1">IFERROR(__xludf.DUMMYFUNCTION("iferror(filter('Full Perk List'!E$3:E1498,'Full Perk List'!$D$3:$D1498=$D81),"""")"),"#REF!")</f>
        <v>#REF!</v>
      </c>
      <c r="F81" s="2" t="str">
        <f ca="1">IFERROR(__xludf.DUMMYFUNCTION("iferror(filter('Full Perk List'!F$3:F1498,'Full Perk List'!$D$3:$D1498=$D81),"""")"),"#REF!")</f>
        <v>#REF!</v>
      </c>
      <c r="G81" s="2" t="str">
        <f ca="1">IFERROR(__xludf.DUMMYFUNCTION("iferror(filter('Full Perk List'!G$3:G1498,'Full Perk List'!$D$3:$D1498=$D81),"""")"),"#REF!")</f>
        <v>#REF!</v>
      </c>
      <c r="H81" s="1"/>
      <c r="I81" s="2"/>
      <c r="J81" s="2"/>
      <c r="K81" s="2"/>
      <c r="L81" s="2"/>
      <c r="M81" s="2"/>
      <c r="N81" s="2"/>
      <c r="O81" s="2"/>
      <c r="P81" s="2"/>
      <c r="Q81" s="2"/>
      <c r="R81" s="2"/>
      <c r="S81" s="2"/>
      <c r="T81" s="2"/>
      <c r="U81" s="2"/>
      <c r="V81" s="2"/>
      <c r="W81" s="2"/>
      <c r="X81" s="2"/>
      <c r="Y81" s="2"/>
    </row>
    <row r="82" spans="1:25" ht="17.399999999999999" x14ac:dyDescent="0.25">
      <c r="A82" s="1"/>
      <c r="B82" s="40"/>
      <c r="C82" s="2" t="str">
        <f ca="1">IFERROR(__xludf.DUMMYFUNCTION("iferror(filter('Full Perk List'!C$3:C1498,'Full Perk List'!$D$3:$D1498=$D82),"""")"),"#REF!")</f>
        <v>#REF!</v>
      </c>
      <c r="D82" s="2"/>
      <c r="E82" s="2" t="str">
        <f ca="1">IFERROR(__xludf.DUMMYFUNCTION("iferror(filter('Full Perk List'!E$3:E1498,'Full Perk List'!$D$3:$D1498=$D82),"""")"),"#REF!")</f>
        <v>#REF!</v>
      </c>
      <c r="F82" s="2" t="str">
        <f ca="1">IFERROR(__xludf.DUMMYFUNCTION("iferror(filter('Full Perk List'!F$3:F1498,'Full Perk List'!$D$3:$D1498=$D82),"""")"),"#REF!")</f>
        <v>#REF!</v>
      </c>
      <c r="G82" s="2" t="str">
        <f ca="1">IFERROR(__xludf.DUMMYFUNCTION("iferror(filter('Full Perk List'!G$3:G1498,'Full Perk List'!$D$3:$D1498=$D82),"""")"),"#REF!")</f>
        <v>#REF!</v>
      </c>
      <c r="H82" s="1"/>
      <c r="I82" s="2"/>
      <c r="J82" s="2"/>
      <c r="K82" s="2"/>
      <c r="L82" s="2"/>
      <c r="M82" s="2"/>
      <c r="N82" s="2"/>
      <c r="O82" s="2"/>
      <c r="P82" s="2"/>
      <c r="Q82" s="2"/>
      <c r="R82" s="2"/>
      <c r="S82" s="2"/>
      <c r="T82" s="2"/>
      <c r="U82" s="2"/>
      <c r="V82" s="2"/>
      <c r="W82" s="2"/>
      <c r="X82" s="2"/>
      <c r="Y82" s="2"/>
    </row>
    <row r="83" spans="1:25" ht="17.399999999999999" x14ac:dyDescent="0.25">
      <c r="A83" s="1"/>
      <c r="B83" s="40"/>
      <c r="C83" s="2" t="str">
        <f ca="1">IFERROR(__xludf.DUMMYFUNCTION("iferror(filter('Full Perk List'!C$3:C1498,'Full Perk List'!$D$3:$D1498=$D83),"""")"),"#REF!")</f>
        <v>#REF!</v>
      </c>
      <c r="D83" s="2"/>
      <c r="E83" s="2" t="str">
        <f ca="1">IFERROR(__xludf.DUMMYFUNCTION("iferror(filter('Full Perk List'!E$3:E1498,'Full Perk List'!$D$3:$D1498=$D83),"""")"),"#REF!")</f>
        <v>#REF!</v>
      </c>
      <c r="F83" s="2" t="str">
        <f ca="1">IFERROR(__xludf.DUMMYFUNCTION("iferror(filter('Full Perk List'!F$3:F1498,'Full Perk List'!$D$3:$D1498=$D83),"""")"),"#REF!")</f>
        <v>#REF!</v>
      </c>
      <c r="G83" s="2" t="str">
        <f ca="1">IFERROR(__xludf.DUMMYFUNCTION("iferror(filter('Full Perk List'!G$3:G1498,'Full Perk List'!$D$3:$D1498=$D83),"""")"),"#REF!")</f>
        <v>#REF!</v>
      </c>
      <c r="H83" s="1"/>
      <c r="I83" s="2"/>
      <c r="J83" s="2"/>
      <c r="K83" s="2"/>
      <c r="L83" s="2"/>
      <c r="M83" s="2"/>
      <c r="N83" s="2"/>
      <c r="O83" s="2"/>
      <c r="P83" s="2"/>
      <c r="Q83" s="2"/>
      <c r="R83" s="2"/>
      <c r="S83" s="2"/>
      <c r="T83" s="2"/>
      <c r="U83" s="2"/>
      <c r="V83" s="2"/>
      <c r="W83" s="2"/>
      <c r="X83" s="2"/>
      <c r="Y83" s="2"/>
    </row>
    <row r="84" spans="1:25" ht="17.399999999999999" x14ac:dyDescent="0.25">
      <c r="A84" s="1"/>
      <c r="B84" s="40"/>
      <c r="C84" s="2" t="str">
        <f ca="1">IFERROR(__xludf.DUMMYFUNCTION("iferror(filter('Full Perk List'!C$3:C1498,'Full Perk List'!$D$3:$D1498=$D84),"""")"),"#REF!")</f>
        <v>#REF!</v>
      </c>
      <c r="D84" s="2"/>
      <c r="E84" s="2" t="str">
        <f ca="1">IFERROR(__xludf.DUMMYFUNCTION("iferror(filter('Full Perk List'!E$3:E1498,'Full Perk List'!$D$3:$D1498=$D84),"""")"),"#REF!")</f>
        <v>#REF!</v>
      </c>
      <c r="F84" s="2" t="str">
        <f ca="1">IFERROR(__xludf.DUMMYFUNCTION("iferror(filter('Full Perk List'!F$3:F1498,'Full Perk List'!$D$3:$D1498=$D84),"""")"),"#REF!")</f>
        <v>#REF!</v>
      </c>
      <c r="G84" s="2" t="str">
        <f ca="1">IFERROR(__xludf.DUMMYFUNCTION("iferror(filter('Full Perk List'!G$3:G1498,'Full Perk List'!$D$3:$D1498=$D84),"""")"),"#REF!")</f>
        <v>#REF!</v>
      </c>
      <c r="H84" s="1"/>
      <c r="I84" s="2"/>
      <c r="J84" s="2"/>
      <c r="K84" s="2"/>
      <c r="L84" s="2"/>
      <c r="M84" s="2"/>
      <c r="N84" s="2"/>
      <c r="O84" s="2"/>
      <c r="P84" s="2"/>
      <c r="Q84" s="2"/>
      <c r="R84" s="2"/>
      <c r="S84" s="2"/>
      <c r="T84" s="2"/>
      <c r="U84" s="2"/>
      <c r="V84" s="2"/>
      <c r="W84" s="2"/>
      <c r="X84" s="2"/>
      <c r="Y84" s="2"/>
    </row>
    <row r="85" spans="1:25" ht="17.399999999999999" x14ac:dyDescent="0.25">
      <c r="A85" s="1"/>
      <c r="B85" s="40"/>
      <c r="C85" s="2" t="str">
        <f ca="1">IFERROR(__xludf.DUMMYFUNCTION("iferror(filter('Full Perk List'!C$3:C1498,'Full Perk List'!$D$3:$D1498=$D85),"""")"),"#REF!")</f>
        <v>#REF!</v>
      </c>
      <c r="D85" s="2"/>
      <c r="E85" s="2" t="str">
        <f ca="1">IFERROR(__xludf.DUMMYFUNCTION("iferror(filter('Full Perk List'!E$3:E1498,'Full Perk List'!$D$3:$D1498=$D85),"""")"),"#REF!")</f>
        <v>#REF!</v>
      </c>
      <c r="F85" s="2" t="str">
        <f ca="1">IFERROR(__xludf.DUMMYFUNCTION("iferror(filter('Full Perk List'!F$3:F1498,'Full Perk List'!$D$3:$D1498=$D85),"""")"),"#REF!")</f>
        <v>#REF!</v>
      </c>
      <c r="G85" s="2" t="str">
        <f ca="1">IFERROR(__xludf.DUMMYFUNCTION("iferror(filter('Full Perk List'!G$3:G1498,'Full Perk List'!$D$3:$D1498=$D85),"""")"),"#REF!")</f>
        <v>#REF!</v>
      </c>
      <c r="H85" s="1"/>
      <c r="I85" s="2"/>
      <c r="J85" s="2"/>
      <c r="K85" s="2"/>
      <c r="L85" s="2"/>
      <c r="M85" s="2"/>
      <c r="N85" s="2"/>
      <c r="O85" s="2"/>
      <c r="P85" s="2"/>
      <c r="Q85" s="2"/>
      <c r="R85" s="2"/>
      <c r="S85" s="2"/>
      <c r="T85" s="2"/>
      <c r="U85" s="2"/>
      <c r="V85" s="2"/>
      <c r="W85" s="2"/>
      <c r="X85" s="2"/>
      <c r="Y85" s="2"/>
    </row>
    <row r="86" spans="1:25" ht="17.399999999999999" x14ac:dyDescent="0.25">
      <c r="A86" s="1"/>
      <c r="B86" s="40"/>
      <c r="C86" s="2" t="str">
        <f ca="1">IFERROR(__xludf.DUMMYFUNCTION("iferror(filter('Full Perk List'!C$3:C1498,'Full Perk List'!$D$3:$D1498=$D86),"""")"),"#REF!")</f>
        <v>#REF!</v>
      </c>
      <c r="D86" s="2"/>
      <c r="E86" s="2" t="str">
        <f ca="1">IFERROR(__xludf.DUMMYFUNCTION("iferror(filter('Full Perk List'!E$3:E1498,'Full Perk List'!$D$3:$D1498=$D86),"""")"),"#REF!")</f>
        <v>#REF!</v>
      </c>
      <c r="F86" s="2" t="str">
        <f ca="1">IFERROR(__xludf.DUMMYFUNCTION("iferror(filter('Full Perk List'!F$3:F1498,'Full Perk List'!$D$3:$D1498=$D86),"""")"),"#REF!")</f>
        <v>#REF!</v>
      </c>
      <c r="G86" s="2" t="str">
        <f ca="1">IFERROR(__xludf.DUMMYFUNCTION("iferror(filter('Full Perk List'!G$3:G1498,'Full Perk List'!$D$3:$D1498=$D86),"""")"),"#REF!")</f>
        <v>#REF!</v>
      </c>
      <c r="H86" s="1"/>
      <c r="I86" s="2"/>
      <c r="J86" s="2"/>
      <c r="K86" s="2"/>
      <c r="L86" s="2"/>
      <c r="M86" s="2"/>
      <c r="N86" s="2"/>
      <c r="O86" s="2"/>
      <c r="P86" s="2"/>
      <c r="Q86" s="2"/>
      <c r="R86" s="2"/>
      <c r="S86" s="2"/>
      <c r="T86" s="2"/>
      <c r="U86" s="2"/>
      <c r="V86" s="2"/>
      <c r="W86" s="2"/>
      <c r="X86" s="2"/>
      <c r="Y86" s="2"/>
    </row>
    <row r="87" spans="1:25" ht="17.399999999999999" x14ac:dyDescent="0.25">
      <c r="A87" s="1"/>
      <c r="B87" s="40"/>
      <c r="C87" s="2" t="str">
        <f ca="1">IFERROR(__xludf.DUMMYFUNCTION("iferror(filter('Full Perk List'!C$3:C1498,'Full Perk List'!$D$3:$D1498=$D87),"""")"),"#REF!")</f>
        <v>#REF!</v>
      </c>
      <c r="D87" s="2"/>
      <c r="E87" s="2" t="str">
        <f ca="1">IFERROR(__xludf.DUMMYFUNCTION("iferror(filter('Full Perk List'!E$3:E1498,'Full Perk List'!$D$3:$D1498=$D87),"""")"),"#REF!")</f>
        <v>#REF!</v>
      </c>
      <c r="F87" s="2" t="str">
        <f ca="1">IFERROR(__xludf.DUMMYFUNCTION("iferror(filter('Full Perk List'!F$3:F1498,'Full Perk List'!$D$3:$D1498=$D87),"""")"),"#REF!")</f>
        <v>#REF!</v>
      </c>
      <c r="G87" s="2" t="str">
        <f ca="1">IFERROR(__xludf.DUMMYFUNCTION("iferror(filter('Full Perk List'!G$3:G1498,'Full Perk List'!$D$3:$D1498=$D87),"""")"),"#REF!")</f>
        <v>#REF!</v>
      </c>
      <c r="H87" s="1"/>
      <c r="I87" s="2"/>
      <c r="J87" s="2"/>
      <c r="K87" s="2"/>
      <c r="L87" s="2"/>
      <c r="M87" s="2"/>
      <c r="N87" s="2"/>
      <c r="O87" s="2"/>
      <c r="P87" s="2"/>
      <c r="Q87" s="2"/>
      <c r="R87" s="2"/>
      <c r="S87" s="2"/>
      <c r="T87" s="2"/>
      <c r="U87" s="2"/>
      <c r="V87" s="2"/>
      <c r="W87" s="2"/>
      <c r="X87" s="2"/>
      <c r="Y87" s="2"/>
    </row>
    <row r="88" spans="1:25" ht="17.399999999999999" x14ac:dyDescent="0.25">
      <c r="A88" s="1"/>
      <c r="B88" s="40"/>
      <c r="C88" s="2" t="str">
        <f ca="1">IFERROR(__xludf.DUMMYFUNCTION("iferror(filter('Full Perk List'!C$3:C1498,'Full Perk List'!$D$3:$D1498=$D88),"""")"),"#REF!")</f>
        <v>#REF!</v>
      </c>
      <c r="D88" s="2"/>
      <c r="E88" s="2" t="str">
        <f ca="1">IFERROR(__xludf.DUMMYFUNCTION("iferror(filter('Full Perk List'!E$3:E1498,'Full Perk List'!$D$3:$D1498=$D88),"""")"),"#REF!")</f>
        <v>#REF!</v>
      </c>
      <c r="F88" s="2" t="str">
        <f ca="1">IFERROR(__xludf.DUMMYFUNCTION("iferror(filter('Full Perk List'!F$3:F1498,'Full Perk List'!$D$3:$D1498=$D88),"""")"),"#REF!")</f>
        <v>#REF!</v>
      </c>
      <c r="G88" s="2" t="str">
        <f ca="1">IFERROR(__xludf.DUMMYFUNCTION("iferror(filter('Full Perk List'!G$3:G1498,'Full Perk List'!$D$3:$D1498=$D88),"""")"),"#REF!")</f>
        <v>#REF!</v>
      </c>
      <c r="H88" s="1"/>
      <c r="I88" s="2"/>
      <c r="J88" s="2"/>
      <c r="K88" s="2"/>
      <c r="L88" s="2"/>
      <c r="M88" s="2"/>
      <c r="N88" s="2"/>
      <c r="O88" s="2"/>
      <c r="P88" s="2"/>
      <c r="Q88" s="2"/>
      <c r="R88" s="2"/>
      <c r="S88" s="2"/>
      <c r="T88" s="2"/>
      <c r="U88" s="2"/>
      <c r="V88" s="2"/>
      <c r="W88" s="2"/>
      <c r="X88" s="2"/>
      <c r="Y88" s="2"/>
    </row>
    <row r="89" spans="1:25" ht="17.399999999999999" x14ac:dyDescent="0.25">
      <c r="A89" s="1"/>
      <c r="B89" s="40"/>
      <c r="C89" s="2" t="str">
        <f ca="1">IFERROR(__xludf.DUMMYFUNCTION("iferror(filter('Full Perk List'!C$3:C1498,'Full Perk List'!$D$3:$D1498=$D89),"""")"),"#REF!")</f>
        <v>#REF!</v>
      </c>
      <c r="D89" s="2"/>
      <c r="E89" s="2" t="str">
        <f ca="1">IFERROR(__xludf.DUMMYFUNCTION("iferror(filter('Full Perk List'!E$3:E1498,'Full Perk List'!$D$3:$D1498=$D89),"""")"),"#REF!")</f>
        <v>#REF!</v>
      </c>
      <c r="F89" s="2" t="str">
        <f ca="1">IFERROR(__xludf.DUMMYFUNCTION("iferror(filter('Full Perk List'!F$3:F1498,'Full Perk List'!$D$3:$D1498=$D89),"""")"),"#REF!")</f>
        <v>#REF!</v>
      </c>
      <c r="G89" s="2" t="str">
        <f ca="1">IFERROR(__xludf.DUMMYFUNCTION("iferror(filter('Full Perk List'!G$3:G1498,'Full Perk List'!$D$3:$D1498=$D89),"""")"),"#REF!")</f>
        <v>#REF!</v>
      </c>
      <c r="H89" s="1"/>
      <c r="I89" s="2"/>
      <c r="J89" s="2"/>
      <c r="K89" s="2"/>
      <c r="L89" s="2"/>
      <c r="M89" s="2"/>
      <c r="N89" s="2"/>
      <c r="O89" s="2"/>
      <c r="P89" s="2"/>
      <c r="Q89" s="2"/>
      <c r="R89" s="2"/>
      <c r="S89" s="2"/>
      <c r="T89" s="2"/>
      <c r="U89" s="2"/>
      <c r="V89" s="2"/>
      <c r="W89" s="2"/>
      <c r="X89" s="2"/>
      <c r="Y89" s="2"/>
    </row>
    <row r="90" spans="1:25" ht="17.399999999999999" x14ac:dyDescent="0.25">
      <c r="A90" s="1"/>
      <c r="B90" s="40"/>
      <c r="C90" s="2" t="str">
        <f ca="1">IFERROR(__xludf.DUMMYFUNCTION("iferror(filter('Full Perk List'!C$3:C1498,'Full Perk List'!$D$3:$D1498=$D90),"""")"),"#REF!")</f>
        <v>#REF!</v>
      </c>
      <c r="D90" s="2"/>
      <c r="E90" s="2" t="str">
        <f ca="1">IFERROR(__xludf.DUMMYFUNCTION("iferror(filter('Full Perk List'!E$3:E1498,'Full Perk List'!$D$3:$D1498=$D90),"""")"),"#REF!")</f>
        <v>#REF!</v>
      </c>
      <c r="F90" s="2" t="str">
        <f ca="1">IFERROR(__xludf.DUMMYFUNCTION("iferror(filter('Full Perk List'!F$3:F1498,'Full Perk List'!$D$3:$D1498=$D90),"""")"),"#REF!")</f>
        <v>#REF!</v>
      </c>
      <c r="G90" s="2" t="str">
        <f ca="1">IFERROR(__xludf.DUMMYFUNCTION("iferror(filter('Full Perk List'!G$3:G1498,'Full Perk List'!$D$3:$D1498=$D90),"""")"),"#REF!")</f>
        <v>#REF!</v>
      </c>
      <c r="H90" s="1"/>
      <c r="I90" s="2"/>
      <c r="J90" s="2"/>
      <c r="K90" s="2"/>
      <c r="L90" s="2"/>
      <c r="M90" s="2"/>
      <c r="N90" s="2"/>
      <c r="O90" s="2"/>
      <c r="P90" s="2"/>
      <c r="Q90" s="2"/>
      <c r="R90" s="2"/>
      <c r="S90" s="2"/>
      <c r="T90" s="2"/>
      <c r="U90" s="2"/>
      <c r="V90" s="2"/>
      <c r="W90" s="2"/>
      <c r="X90" s="2"/>
      <c r="Y90" s="2"/>
    </row>
    <row r="91" spans="1:25" ht="17.399999999999999" x14ac:dyDescent="0.25">
      <c r="A91" s="1"/>
      <c r="B91" s="40"/>
      <c r="C91" s="2" t="str">
        <f ca="1">IFERROR(__xludf.DUMMYFUNCTION("iferror(filter('Full Perk List'!C$3:C1498,'Full Perk List'!$D$3:$D1498=$D91),"""")"),"#REF!")</f>
        <v>#REF!</v>
      </c>
      <c r="D91" s="2"/>
      <c r="E91" s="2" t="str">
        <f ca="1">IFERROR(__xludf.DUMMYFUNCTION("iferror(filter('Full Perk List'!E$3:E1498,'Full Perk List'!$D$3:$D1498=$D91),"""")"),"#REF!")</f>
        <v>#REF!</v>
      </c>
      <c r="F91" s="2" t="str">
        <f ca="1">IFERROR(__xludf.DUMMYFUNCTION("iferror(filter('Full Perk List'!F$3:F1498,'Full Perk List'!$D$3:$D1498=$D91),"""")"),"#REF!")</f>
        <v>#REF!</v>
      </c>
      <c r="G91" s="2" t="str">
        <f ca="1">IFERROR(__xludf.DUMMYFUNCTION("iferror(filter('Full Perk List'!G$3:G1498,'Full Perk List'!$D$3:$D1498=$D91),"""")"),"#REF!")</f>
        <v>#REF!</v>
      </c>
      <c r="H91" s="1"/>
      <c r="I91" s="2"/>
      <c r="J91" s="2"/>
      <c r="K91" s="2"/>
      <c r="L91" s="2"/>
      <c r="M91" s="2"/>
      <c r="N91" s="2"/>
      <c r="O91" s="2"/>
      <c r="P91" s="2"/>
      <c r="Q91" s="2"/>
      <c r="R91" s="2"/>
      <c r="S91" s="2"/>
      <c r="T91" s="2"/>
      <c r="U91" s="2"/>
      <c r="V91" s="2"/>
      <c r="W91" s="2"/>
      <c r="X91" s="2"/>
      <c r="Y91" s="2"/>
    </row>
    <row r="92" spans="1:25" ht="17.399999999999999" x14ac:dyDescent="0.25">
      <c r="A92" s="1"/>
      <c r="B92" s="40"/>
      <c r="C92" s="2" t="str">
        <f ca="1">IFERROR(__xludf.DUMMYFUNCTION("iferror(filter('Full Perk List'!C$3:C1498,'Full Perk List'!$D$3:$D1498=$D92),"""")"),"#REF!")</f>
        <v>#REF!</v>
      </c>
      <c r="D92" s="2"/>
      <c r="E92" s="2" t="str">
        <f ca="1">IFERROR(__xludf.DUMMYFUNCTION("iferror(filter('Full Perk List'!E$3:E1498,'Full Perk List'!$D$3:$D1498=$D92),"""")"),"#REF!")</f>
        <v>#REF!</v>
      </c>
      <c r="F92" s="2" t="str">
        <f ca="1">IFERROR(__xludf.DUMMYFUNCTION("iferror(filter('Full Perk List'!F$3:F1498,'Full Perk List'!$D$3:$D1498=$D92),"""")"),"#REF!")</f>
        <v>#REF!</v>
      </c>
      <c r="G92" s="2" t="str">
        <f ca="1">IFERROR(__xludf.DUMMYFUNCTION("iferror(filter('Full Perk List'!G$3:G1498,'Full Perk List'!$D$3:$D1498=$D92),"""")"),"#REF!")</f>
        <v>#REF!</v>
      </c>
      <c r="H92" s="1"/>
      <c r="I92" s="2"/>
      <c r="J92" s="2"/>
      <c r="K92" s="2"/>
      <c r="L92" s="2"/>
      <c r="M92" s="2"/>
      <c r="N92" s="2"/>
      <c r="O92" s="2"/>
      <c r="P92" s="2"/>
      <c r="Q92" s="2"/>
      <c r="R92" s="2"/>
      <c r="S92" s="2"/>
      <c r="T92" s="2"/>
      <c r="U92" s="2"/>
      <c r="V92" s="2"/>
      <c r="W92" s="2"/>
      <c r="X92" s="2"/>
      <c r="Y92" s="2"/>
    </row>
    <row r="93" spans="1:25" ht="17.399999999999999" x14ac:dyDescent="0.25">
      <c r="A93" s="1"/>
      <c r="B93" s="40"/>
      <c r="C93" s="2" t="str">
        <f ca="1">IFERROR(__xludf.DUMMYFUNCTION("iferror(filter('Full Perk List'!C$3:C1498,'Full Perk List'!$D$3:$D1498=$D93),"""")"),"#REF!")</f>
        <v>#REF!</v>
      </c>
      <c r="D93" s="2"/>
      <c r="E93" s="2" t="str">
        <f ca="1">IFERROR(__xludf.DUMMYFUNCTION("iferror(filter('Full Perk List'!E$3:E1498,'Full Perk List'!$D$3:$D1498=$D93),"""")"),"#REF!")</f>
        <v>#REF!</v>
      </c>
      <c r="F93" s="2" t="str">
        <f ca="1">IFERROR(__xludf.DUMMYFUNCTION("iferror(filter('Full Perk List'!F$3:F1498,'Full Perk List'!$D$3:$D1498=$D93),"""")"),"#REF!")</f>
        <v>#REF!</v>
      </c>
      <c r="G93" s="2" t="str">
        <f ca="1">IFERROR(__xludf.DUMMYFUNCTION("iferror(filter('Full Perk List'!G$3:G1498,'Full Perk List'!$D$3:$D1498=$D93),"""")"),"#REF!")</f>
        <v>#REF!</v>
      </c>
      <c r="H93" s="1"/>
      <c r="I93" s="2"/>
      <c r="J93" s="2"/>
      <c r="K93" s="2"/>
      <c r="L93" s="2"/>
      <c r="M93" s="2"/>
      <c r="N93" s="2"/>
      <c r="O93" s="2"/>
      <c r="P93" s="2"/>
      <c r="Q93" s="2"/>
      <c r="R93" s="2"/>
      <c r="S93" s="2"/>
      <c r="T93" s="2"/>
      <c r="U93" s="2"/>
      <c r="V93" s="2"/>
      <c r="W93" s="2"/>
      <c r="X93" s="2"/>
      <c r="Y93" s="2"/>
    </row>
    <row r="94" spans="1:25" ht="17.399999999999999" x14ac:dyDescent="0.25">
      <c r="A94" s="1"/>
      <c r="B94" s="40"/>
      <c r="C94" s="2" t="str">
        <f ca="1">IFERROR(__xludf.DUMMYFUNCTION("iferror(filter('Full Perk List'!C$3:C1498,'Full Perk List'!$D$3:$D1498=$D94),"""")"),"#REF!")</f>
        <v>#REF!</v>
      </c>
      <c r="D94" s="2"/>
      <c r="E94" s="2" t="str">
        <f ca="1">IFERROR(__xludf.DUMMYFUNCTION("iferror(filter('Full Perk List'!E$3:E1498,'Full Perk List'!$D$3:$D1498=$D94),"""")"),"#REF!")</f>
        <v>#REF!</v>
      </c>
      <c r="F94" s="2" t="str">
        <f ca="1">IFERROR(__xludf.DUMMYFUNCTION("iferror(filter('Full Perk List'!F$3:F1498,'Full Perk List'!$D$3:$D1498=$D94),"""")"),"#REF!")</f>
        <v>#REF!</v>
      </c>
      <c r="G94" s="2" t="str">
        <f ca="1">IFERROR(__xludf.DUMMYFUNCTION("iferror(filter('Full Perk List'!G$3:G1498,'Full Perk List'!$D$3:$D1498=$D94),"""")"),"#REF!")</f>
        <v>#REF!</v>
      </c>
      <c r="H94" s="1"/>
      <c r="I94" s="2"/>
      <c r="J94" s="2"/>
      <c r="K94" s="2"/>
      <c r="L94" s="2"/>
      <c r="M94" s="2"/>
      <c r="N94" s="2"/>
      <c r="O94" s="2"/>
      <c r="P94" s="2"/>
      <c r="Q94" s="2"/>
      <c r="R94" s="2"/>
      <c r="S94" s="2"/>
      <c r="T94" s="2"/>
      <c r="U94" s="2"/>
      <c r="V94" s="2"/>
      <c r="W94" s="2"/>
      <c r="X94" s="2"/>
      <c r="Y94" s="2"/>
    </row>
    <row r="95" spans="1:25" ht="17.399999999999999" x14ac:dyDescent="0.25">
      <c r="A95" s="1"/>
      <c r="B95" s="40"/>
      <c r="C95" s="2" t="str">
        <f ca="1">IFERROR(__xludf.DUMMYFUNCTION("iferror(filter('Full Perk List'!C$3:C1498,'Full Perk List'!$D$3:$D1498=$D95),"""")"),"#REF!")</f>
        <v>#REF!</v>
      </c>
      <c r="D95" s="2"/>
      <c r="E95" s="2" t="str">
        <f ca="1">IFERROR(__xludf.DUMMYFUNCTION("iferror(filter('Full Perk List'!E$3:E1498,'Full Perk List'!$D$3:$D1498=$D95),"""")"),"#REF!")</f>
        <v>#REF!</v>
      </c>
      <c r="F95" s="2" t="str">
        <f ca="1">IFERROR(__xludf.DUMMYFUNCTION("iferror(filter('Full Perk List'!F$3:F1498,'Full Perk List'!$D$3:$D1498=$D95),"""")"),"#REF!")</f>
        <v>#REF!</v>
      </c>
      <c r="G95" s="2" t="str">
        <f ca="1">IFERROR(__xludf.DUMMYFUNCTION("iferror(filter('Full Perk List'!G$3:G1498,'Full Perk List'!$D$3:$D1498=$D95),"""")"),"#REF!")</f>
        <v>#REF!</v>
      </c>
      <c r="H95" s="1"/>
      <c r="I95" s="2"/>
      <c r="J95" s="2"/>
      <c r="K95" s="2"/>
      <c r="L95" s="2"/>
      <c r="M95" s="2"/>
      <c r="N95" s="2"/>
      <c r="O95" s="2"/>
      <c r="P95" s="2"/>
      <c r="Q95" s="2"/>
      <c r="R95" s="2"/>
      <c r="S95" s="2"/>
      <c r="T95" s="2"/>
      <c r="U95" s="2"/>
      <c r="V95" s="2"/>
      <c r="W95" s="2"/>
      <c r="X95" s="2"/>
      <c r="Y95" s="2"/>
    </row>
    <row r="96" spans="1:25" ht="17.399999999999999" x14ac:dyDescent="0.25">
      <c r="A96" s="1"/>
      <c r="B96" s="40"/>
      <c r="C96" s="2" t="str">
        <f ca="1">IFERROR(__xludf.DUMMYFUNCTION("iferror(filter('Full Perk List'!C$3:C1498,'Full Perk List'!$D$3:$D1498=$D96),"""")"),"#REF!")</f>
        <v>#REF!</v>
      </c>
      <c r="D96" s="2"/>
      <c r="E96" s="2" t="str">
        <f ca="1">IFERROR(__xludf.DUMMYFUNCTION("iferror(filter('Full Perk List'!E$3:E1498,'Full Perk List'!$D$3:$D1498=$D96),"""")"),"#REF!")</f>
        <v>#REF!</v>
      </c>
      <c r="F96" s="2" t="str">
        <f ca="1">IFERROR(__xludf.DUMMYFUNCTION("iferror(filter('Full Perk List'!F$3:F1498,'Full Perk List'!$D$3:$D1498=$D96),"""")"),"#REF!")</f>
        <v>#REF!</v>
      </c>
      <c r="G96" s="2" t="str">
        <f ca="1">IFERROR(__xludf.DUMMYFUNCTION("iferror(filter('Full Perk List'!G$3:G1498,'Full Perk List'!$D$3:$D1498=$D96),"""")"),"#REF!")</f>
        <v>#REF!</v>
      </c>
      <c r="H96" s="1"/>
      <c r="I96" s="2"/>
      <c r="J96" s="2"/>
      <c r="K96" s="2"/>
      <c r="L96" s="2"/>
      <c r="M96" s="2"/>
      <c r="N96" s="2"/>
      <c r="O96" s="2"/>
      <c r="P96" s="2"/>
      <c r="Q96" s="2"/>
      <c r="R96" s="2"/>
      <c r="S96" s="2"/>
      <c r="T96" s="2"/>
      <c r="U96" s="2"/>
      <c r="V96" s="2"/>
      <c r="W96" s="2"/>
      <c r="X96" s="2"/>
      <c r="Y96" s="2"/>
    </row>
    <row r="97" spans="1:25" ht="17.399999999999999" x14ac:dyDescent="0.25">
      <c r="A97" s="1"/>
      <c r="B97" s="40"/>
      <c r="C97" s="2" t="str">
        <f ca="1">IFERROR(__xludf.DUMMYFUNCTION("iferror(filter('Full Perk List'!C$3:C1498,'Full Perk List'!$D$3:$D1498=$D97),"""")"),"#REF!")</f>
        <v>#REF!</v>
      </c>
      <c r="D97" s="2"/>
      <c r="E97" s="2" t="str">
        <f ca="1">IFERROR(__xludf.DUMMYFUNCTION("iferror(filter('Full Perk List'!E$3:E1498,'Full Perk List'!$D$3:$D1498=$D97),"""")"),"#REF!")</f>
        <v>#REF!</v>
      </c>
      <c r="F97" s="2" t="str">
        <f ca="1">IFERROR(__xludf.DUMMYFUNCTION("iferror(filter('Full Perk List'!F$3:F1498,'Full Perk List'!$D$3:$D1498=$D97),"""")"),"#REF!")</f>
        <v>#REF!</v>
      </c>
      <c r="G97" s="2" t="str">
        <f ca="1">IFERROR(__xludf.DUMMYFUNCTION("iferror(filter('Full Perk List'!G$3:G1498,'Full Perk List'!$D$3:$D1498=$D97),"""")"),"#REF!")</f>
        <v>#REF!</v>
      </c>
      <c r="H97" s="1"/>
      <c r="I97" s="2"/>
      <c r="J97" s="2"/>
      <c r="K97" s="2"/>
      <c r="L97" s="2"/>
      <c r="M97" s="2"/>
      <c r="N97" s="2"/>
      <c r="O97" s="2"/>
      <c r="P97" s="2"/>
      <c r="Q97" s="2"/>
      <c r="R97" s="2"/>
      <c r="S97" s="2"/>
      <c r="T97" s="2"/>
      <c r="U97" s="2"/>
      <c r="V97" s="2"/>
      <c r="W97" s="2"/>
      <c r="X97" s="2"/>
      <c r="Y97" s="2"/>
    </row>
    <row r="98" spans="1:25" ht="17.399999999999999" x14ac:dyDescent="0.25">
      <c r="A98" s="1"/>
      <c r="B98" s="40"/>
      <c r="C98" s="2" t="str">
        <f ca="1">IFERROR(__xludf.DUMMYFUNCTION("iferror(filter('Full Perk List'!C$3:C1498,'Full Perk List'!$D$3:$D1498=$D98),"""")"),"#REF!")</f>
        <v>#REF!</v>
      </c>
      <c r="D98" s="2"/>
      <c r="E98" s="2" t="str">
        <f ca="1">IFERROR(__xludf.DUMMYFUNCTION("iferror(filter('Full Perk List'!E$3:E1498,'Full Perk List'!$D$3:$D1498=$D98),"""")"),"#REF!")</f>
        <v>#REF!</v>
      </c>
      <c r="F98" s="2" t="str">
        <f ca="1">IFERROR(__xludf.DUMMYFUNCTION("iferror(filter('Full Perk List'!F$3:F1498,'Full Perk List'!$D$3:$D1498=$D98),"""")"),"#REF!")</f>
        <v>#REF!</v>
      </c>
      <c r="G98" s="2" t="str">
        <f ca="1">IFERROR(__xludf.DUMMYFUNCTION("iferror(filter('Full Perk List'!G$3:G1498,'Full Perk List'!$D$3:$D1498=$D98),"""")"),"#REF!")</f>
        <v>#REF!</v>
      </c>
      <c r="H98" s="1"/>
      <c r="I98" s="2"/>
      <c r="J98" s="2"/>
      <c r="K98" s="2"/>
      <c r="L98" s="2"/>
      <c r="M98" s="2"/>
      <c r="N98" s="2"/>
      <c r="O98" s="2"/>
      <c r="P98" s="2"/>
      <c r="Q98" s="2"/>
      <c r="R98" s="2"/>
      <c r="S98" s="2"/>
      <c r="T98" s="2"/>
      <c r="U98" s="2"/>
      <c r="V98" s="2"/>
      <c r="W98" s="2"/>
      <c r="X98" s="2"/>
      <c r="Y98" s="2"/>
    </row>
    <row r="99" spans="1:25" ht="17.399999999999999" x14ac:dyDescent="0.25">
      <c r="A99" s="1"/>
      <c r="B99" s="40"/>
      <c r="C99" s="2" t="str">
        <f ca="1">IFERROR(__xludf.DUMMYFUNCTION("iferror(filter('Full Perk List'!C$3:C1498,'Full Perk List'!$D$3:$D1498=$D99),"""")"),"#REF!")</f>
        <v>#REF!</v>
      </c>
      <c r="D99" s="2"/>
      <c r="E99" s="2" t="str">
        <f ca="1">IFERROR(__xludf.DUMMYFUNCTION("iferror(filter('Full Perk List'!E$3:E1498,'Full Perk List'!$D$3:$D1498=$D99),"""")"),"#REF!")</f>
        <v>#REF!</v>
      </c>
      <c r="F99" s="2" t="str">
        <f ca="1">IFERROR(__xludf.DUMMYFUNCTION("iferror(filter('Full Perk List'!F$3:F1498,'Full Perk List'!$D$3:$D1498=$D99),"""")"),"#REF!")</f>
        <v>#REF!</v>
      </c>
      <c r="G99" s="2" t="str">
        <f ca="1">IFERROR(__xludf.DUMMYFUNCTION("iferror(filter('Full Perk List'!G$3:G1498,'Full Perk List'!$D$3:$D1498=$D99),"""")"),"#REF!")</f>
        <v>#REF!</v>
      </c>
      <c r="H99" s="1"/>
      <c r="I99" s="2"/>
      <c r="J99" s="2"/>
      <c r="K99" s="2"/>
      <c r="L99" s="2"/>
      <c r="M99" s="2"/>
      <c r="N99" s="2"/>
      <c r="O99" s="2"/>
      <c r="P99" s="2"/>
      <c r="Q99" s="2"/>
      <c r="R99" s="2"/>
      <c r="S99" s="2"/>
      <c r="T99" s="2"/>
      <c r="U99" s="2"/>
      <c r="V99" s="2"/>
      <c r="W99" s="2"/>
      <c r="X99" s="2"/>
      <c r="Y99" s="2"/>
    </row>
    <row r="100" spans="1:25" ht="17.399999999999999" x14ac:dyDescent="0.25">
      <c r="A100" s="1"/>
      <c r="B100" s="40"/>
      <c r="C100" s="2" t="str">
        <f ca="1">IFERROR(__xludf.DUMMYFUNCTION("iferror(filter('Full Perk List'!C$3:C1498,'Full Perk List'!$D$3:$D1498=$D100),"""")"),"#REF!")</f>
        <v>#REF!</v>
      </c>
      <c r="D100" s="2"/>
      <c r="E100" s="2" t="str">
        <f ca="1">IFERROR(__xludf.DUMMYFUNCTION("iferror(filter('Full Perk List'!E$3:E1498,'Full Perk List'!$D$3:$D1498=$D100),"""")"),"#REF!")</f>
        <v>#REF!</v>
      </c>
      <c r="F100" s="2" t="str">
        <f ca="1">IFERROR(__xludf.DUMMYFUNCTION("iferror(filter('Full Perk List'!F$3:F1498,'Full Perk List'!$D$3:$D1498=$D100),"""")"),"#REF!")</f>
        <v>#REF!</v>
      </c>
      <c r="G100" s="2" t="str">
        <f ca="1">IFERROR(__xludf.DUMMYFUNCTION("iferror(filter('Full Perk List'!G$3:G1498,'Full Perk List'!$D$3:$D1498=$D100),"""")"),"#REF!")</f>
        <v>#REF!</v>
      </c>
      <c r="H100" s="1"/>
      <c r="I100" s="2"/>
      <c r="J100" s="2"/>
      <c r="K100" s="2"/>
      <c r="L100" s="2"/>
      <c r="M100" s="2"/>
      <c r="N100" s="2"/>
      <c r="O100" s="2"/>
      <c r="P100" s="2"/>
      <c r="Q100" s="2"/>
      <c r="R100" s="2"/>
      <c r="S100" s="2"/>
      <c r="T100" s="2"/>
      <c r="U100" s="2"/>
      <c r="V100" s="2"/>
      <c r="W100" s="2"/>
      <c r="X100" s="2"/>
      <c r="Y100" s="2"/>
    </row>
    <row r="101" spans="1:25" ht="17.399999999999999" x14ac:dyDescent="0.25">
      <c r="A101" s="1"/>
      <c r="B101" s="40"/>
      <c r="C101" s="2" t="str">
        <f ca="1">IFERROR(__xludf.DUMMYFUNCTION("iferror(filter('Full Perk List'!C$3:C1498,'Full Perk List'!$D$3:$D1498=$D101),"""")"),"#REF!")</f>
        <v>#REF!</v>
      </c>
      <c r="D101" s="2"/>
      <c r="E101" s="2" t="str">
        <f ca="1">IFERROR(__xludf.DUMMYFUNCTION("iferror(filter('Full Perk List'!E$3:E1498,'Full Perk List'!$D$3:$D1498=$D101),"""")"),"#REF!")</f>
        <v>#REF!</v>
      </c>
      <c r="F101" s="2" t="str">
        <f ca="1">IFERROR(__xludf.DUMMYFUNCTION("iferror(filter('Full Perk List'!F$3:F1498,'Full Perk List'!$D$3:$D1498=$D101),"""")"),"#REF!")</f>
        <v>#REF!</v>
      </c>
      <c r="G101" s="2" t="str">
        <f ca="1">IFERROR(__xludf.DUMMYFUNCTION("iferror(filter('Full Perk List'!G$3:G1498,'Full Perk List'!$D$3:$D1498=$D101),"""")"),"#REF!")</f>
        <v>#REF!</v>
      </c>
      <c r="H101" s="1"/>
      <c r="I101" s="2"/>
      <c r="J101" s="2"/>
      <c r="K101" s="2"/>
      <c r="L101" s="2"/>
      <c r="M101" s="2"/>
      <c r="N101" s="2"/>
      <c r="O101" s="2"/>
      <c r="P101" s="2"/>
      <c r="Q101" s="2"/>
      <c r="R101" s="2"/>
      <c r="S101" s="2"/>
      <c r="T101" s="2"/>
      <c r="U101" s="2"/>
      <c r="V101" s="2"/>
      <c r="W101" s="2"/>
      <c r="X101" s="2"/>
      <c r="Y101" s="2"/>
    </row>
    <row r="102" spans="1:25" ht="17.399999999999999" x14ac:dyDescent="0.25">
      <c r="A102" s="1"/>
      <c r="B102" s="40"/>
      <c r="C102" s="2" t="str">
        <f ca="1">IFERROR(__xludf.DUMMYFUNCTION("iferror(filter('Full Perk List'!C$3:C1498,'Full Perk List'!$D$3:$D1498=$D102),"""")"),"#REF!")</f>
        <v>#REF!</v>
      </c>
      <c r="D102" s="2"/>
      <c r="E102" s="2" t="str">
        <f ca="1">IFERROR(__xludf.DUMMYFUNCTION("iferror(filter('Full Perk List'!E$3:E1498,'Full Perk List'!$D$3:$D1498=$D102),"""")"),"#REF!")</f>
        <v>#REF!</v>
      </c>
      <c r="F102" s="2" t="str">
        <f ca="1">IFERROR(__xludf.DUMMYFUNCTION("iferror(filter('Full Perk List'!F$3:F1498,'Full Perk List'!$D$3:$D1498=$D102),"""")"),"#REF!")</f>
        <v>#REF!</v>
      </c>
      <c r="G102" s="2" t="str">
        <f ca="1">IFERROR(__xludf.DUMMYFUNCTION("iferror(filter('Full Perk List'!G$3:G1498,'Full Perk List'!$D$3:$D1498=$D102),"""")"),"#REF!")</f>
        <v>#REF!</v>
      </c>
      <c r="H102" s="1"/>
      <c r="I102" s="2"/>
      <c r="J102" s="2"/>
      <c r="K102" s="2"/>
      <c r="L102" s="2"/>
      <c r="M102" s="2"/>
      <c r="N102" s="2"/>
      <c r="O102" s="2"/>
      <c r="P102" s="2"/>
      <c r="Q102" s="2"/>
      <c r="R102" s="2"/>
      <c r="S102" s="2"/>
      <c r="T102" s="2"/>
      <c r="U102" s="2"/>
      <c r="V102" s="2"/>
      <c r="W102" s="2"/>
      <c r="X102" s="2"/>
      <c r="Y102" s="2"/>
    </row>
    <row r="103" spans="1:25" ht="17.399999999999999" x14ac:dyDescent="0.25">
      <c r="A103" s="1"/>
      <c r="B103" s="40"/>
      <c r="C103" s="2" t="str">
        <f ca="1">IFERROR(__xludf.DUMMYFUNCTION("iferror(filter('Full Perk List'!C$3:C1498,'Full Perk List'!$D$3:$D1498=$D103),"""")"),"#REF!")</f>
        <v>#REF!</v>
      </c>
      <c r="D103" s="2"/>
      <c r="E103" s="2" t="str">
        <f ca="1">IFERROR(__xludf.DUMMYFUNCTION("iferror(filter('Full Perk List'!E$3:E1498,'Full Perk List'!$D$3:$D1498=$D103),"""")"),"#REF!")</f>
        <v>#REF!</v>
      </c>
      <c r="F103" s="2" t="str">
        <f ca="1">IFERROR(__xludf.DUMMYFUNCTION("iferror(filter('Full Perk List'!F$3:F1498,'Full Perk List'!$D$3:$D1498=$D103),"""")"),"#REF!")</f>
        <v>#REF!</v>
      </c>
      <c r="G103" s="2" t="str">
        <f ca="1">IFERROR(__xludf.DUMMYFUNCTION("iferror(filter('Full Perk List'!G$3:G1498,'Full Perk List'!$D$3:$D1498=$D103),"""")"),"#REF!")</f>
        <v>#REF!</v>
      </c>
      <c r="H103" s="1"/>
      <c r="I103" s="2"/>
      <c r="J103" s="2"/>
      <c r="K103" s="2"/>
      <c r="L103" s="2"/>
      <c r="M103" s="2"/>
      <c r="N103" s="2"/>
      <c r="O103" s="2"/>
      <c r="P103" s="2"/>
      <c r="Q103" s="2"/>
      <c r="R103" s="2"/>
      <c r="S103" s="2"/>
      <c r="T103" s="2"/>
      <c r="U103" s="2"/>
      <c r="V103" s="2"/>
      <c r="W103" s="2"/>
      <c r="X103" s="2"/>
      <c r="Y103" s="2"/>
    </row>
    <row r="104" spans="1:25" ht="17.399999999999999" x14ac:dyDescent="0.25">
      <c r="A104" s="1"/>
      <c r="B104" s="40"/>
      <c r="C104" s="2" t="str">
        <f ca="1">IFERROR(__xludf.DUMMYFUNCTION("iferror(filter('Full Perk List'!C$3:C1498,'Full Perk List'!$D$3:$D1498=$D104),"""")"),"#REF!")</f>
        <v>#REF!</v>
      </c>
      <c r="D104" s="2"/>
      <c r="E104" s="2" t="str">
        <f ca="1">IFERROR(__xludf.DUMMYFUNCTION("iferror(filter('Full Perk List'!E$3:E1498,'Full Perk List'!$D$3:$D1498=$D104),"""")"),"#REF!")</f>
        <v>#REF!</v>
      </c>
      <c r="F104" s="2" t="str">
        <f ca="1">IFERROR(__xludf.DUMMYFUNCTION("iferror(filter('Full Perk List'!F$3:F1498,'Full Perk List'!$D$3:$D1498=$D104),"""")"),"#REF!")</f>
        <v>#REF!</v>
      </c>
      <c r="G104" s="2" t="str">
        <f ca="1">IFERROR(__xludf.DUMMYFUNCTION("iferror(filter('Full Perk List'!G$3:G1498,'Full Perk List'!$D$3:$D1498=$D104),"""")"),"#REF!")</f>
        <v>#REF!</v>
      </c>
      <c r="H104" s="1"/>
      <c r="I104" s="2"/>
      <c r="J104" s="2"/>
      <c r="K104" s="2"/>
      <c r="L104" s="2"/>
      <c r="M104" s="2"/>
      <c r="N104" s="2"/>
      <c r="O104" s="2"/>
      <c r="P104" s="2"/>
      <c r="Q104" s="2"/>
      <c r="R104" s="2"/>
      <c r="S104" s="2"/>
      <c r="T104" s="2"/>
      <c r="U104" s="2"/>
      <c r="V104" s="2"/>
      <c r="W104" s="2"/>
      <c r="X104" s="2"/>
      <c r="Y104" s="2"/>
    </row>
    <row r="105" spans="1:25" ht="17.399999999999999" x14ac:dyDescent="0.25">
      <c r="A105" s="1"/>
      <c r="B105" s="40"/>
      <c r="C105" s="2" t="str">
        <f ca="1">IFERROR(__xludf.DUMMYFUNCTION("iferror(filter('Full Perk List'!C$3:C1498,'Full Perk List'!$D$3:$D1498=$D105),"""")"),"#REF!")</f>
        <v>#REF!</v>
      </c>
      <c r="D105" s="2"/>
      <c r="E105" s="2" t="str">
        <f ca="1">IFERROR(__xludf.DUMMYFUNCTION("iferror(filter('Full Perk List'!E$3:E1498,'Full Perk List'!$D$3:$D1498=$D105),"""")"),"#REF!")</f>
        <v>#REF!</v>
      </c>
      <c r="F105" s="2" t="str">
        <f ca="1">IFERROR(__xludf.DUMMYFUNCTION("iferror(filter('Full Perk List'!F$3:F1498,'Full Perk List'!$D$3:$D1498=$D105),"""")"),"#REF!")</f>
        <v>#REF!</v>
      </c>
      <c r="G105" s="2" t="str">
        <f ca="1">IFERROR(__xludf.DUMMYFUNCTION("iferror(filter('Full Perk List'!G$3:G1498,'Full Perk List'!$D$3:$D1498=$D105),"""")"),"#REF!")</f>
        <v>#REF!</v>
      </c>
      <c r="H105" s="1"/>
      <c r="I105" s="2"/>
      <c r="J105" s="2"/>
      <c r="K105" s="2"/>
      <c r="L105" s="2"/>
      <c r="M105" s="2"/>
      <c r="N105" s="2"/>
      <c r="O105" s="2"/>
      <c r="P105" s="2"/>
      <c r="Q105" s="2"/>
      <c r="R105" s="2"/>
      <c r="S105" s="2"/>
      <c r="T105" s="2"/>
      <c r="U105" s="2"/>
      <c r="V105" s="2"/>
      <c r="W105" s="2"/>
      <c r="X105" s="2"/>
      <c r="Y105" s="2"/>
    </row>
    <row r="106" spans="1:25" ht="17.399999999999999" x14ac:dyDescent="0.25">
      <c r="A106" s="1"/>
      <c r="B106" s="40"/>
      <c r="C106" s="2" t="str">
        <f ca="1">IFERROR(__xludf.DUMMYFUNCTION("iferror(filter('Full Perk List'!C$3:C1498,'Full Perk List'!$D$3:$D1498=$D106),"""")"),"#REF!")</f>
        <v>#REF!</v>
      </c>
      <c r="D106" s="2"/>
      <c r="E106" s="2" t="str">
        <f ca="1">IFERROR(__xludf.DUMMYFUNCTION("iferror(filter('Full Perk List'!E$3:E1498,'Full Perk List'!$D$3:$D1498=$D106),"""")"),"#REF!")</f>
        <v>#REF!</v>
      </c>
      <c r="F106" s="2" t="str">
        <f ca="1">IFERROR(__xludf.DUMMYFUNCTION("iferror(filter('Full Perk List'!F$3:F1498,'Full Perk List'!$D$3:$D1498=$D106),"""")"),"#REF!")</f>
        <v>#REF!</v>
      </c>
      <c r="G106" s="2" t="str">
        <f ca="1">IFERROR(__xludf.DUMMYFUNCTION("iferror(filter('Full Perk List'!G$3:G1498,'Full Perk List'!$D$3:$D1498=$D106),"""")"),"#REF!")</f>
        <v>#REF!</v>
      </c>
      <c r="H106" s="1"/>
      <c r="I106" s="2"/>
      <c r="J106" s="2"/>
      <c r="K106" s="2"/>
      <c r="L106" s="2"/>
      <c r="M106" s="2"/>
      <c r="N106" s="2"/>
      <c r="O106" s="2"/>
      <c r="P106" s="2"/>
      <c r="Q106" s="2"/>
      <c r="R106" s="2"/>
      <c r="S106" s="2"/>
      <c r="T106" s="2"/>
      <c r="U106" s="2"/>
      <c r="V106" s="2"/>
      <c r="W106" s="2"/>
      <c r="X106" s="2"/>
      <c r="Y106" s="2"/>
    </row>
    <row r="107" spans="1:25" ht="17.399999999999999" x14ac:dyDescent="0.25">
      <c r="A107" s="1"/>
      <c r="B107" s="40"/>
      <c r="C107" s="2" t="str">
        <f ca="1">IFERROR(__xludf.DUMMYFUNCTION("iferror(filter('Full Perk List'!C$3:C1498,'Full Perk List'!$D$3:$D1498=$D107),"""")"),"#REF!")</f>
        <v>#REF!</v>
      </c>
      <c r="D107" s="2"/>
      <c r="E107" s="2" t="str">
        <f ca="1">IFERROR(__xludf.DUMMYFUNCTION("iferror(filter('Full Perk List'!E$3:E1498,'Full Perk List'!$D$3:$D1498=$D107),"""")"),"#REF!")</f>
        <v>#REF!</v>
      </c>
      <c r="F107" s="2" t="str">
        <f ca="1">IFERROR(__xludf.DUMMYFUNCTION("iferror(filter('Full Perk List'!F$3:F1498,'Full Perk List'!$D$3:$D1498=$D107),"""")"),"#REF!")</f>
        <v>#REF!</v>
      </c>
      <c r="G107" s="2" t="str">
        <f ca="1">IFERROR(__xludf.DUMMYFUNCTION("iferror(filter('Full Perk List'!G$3:G1498,'Full Perk List'!$D$3:$D1498=$D107),"""")"),"#REF!")</f>
        <v>#REF!</v>
      </c>
      <c r="H107" s="1"/>
      <c r="I107" s="2"/>
      <c r="J107" s="2"/>
      <c r="K107" s="2"/>
      <c r="L107" s="2"/>
      <c r="M107" s="2"/>
      <c r="N107" s="2"/>
      <c r="O107" s="2"/>
      <c r="P107" s="2"/>
      <c r="Q107" s="2"/>
      <c r="R107" s="2"/>
      <c r="S107" s="2"/>
      <c r="T107" s="2"/>
      <c r="U107" s="2"/>
      <c r="V107" s="2"/>
      <c r="W107" s="2"/>
      <c r="X107" s="2"/>
      <c r="Y107" s="2"/>
    </row>
    <row r="108" spans="1:25" ht="17.399999999999999" x14ac:dyDescent="0.25">
      <c r="A108" s="1"/>
      <c r="B108" s="40"/>
      <c r="C108" s="2" t="str">
        <f ca="1">IFERROR(__xludf.DUMMYFUNCTION("iferror(filter('Full Perk List'!C$3:C1498,'Full Perk List'!$D$3:$D1498=$D108),"""")"),"#REF!")</f>
        <v>#REF!</v>
      </c>
      <c r="D108" s="2"/>
      <c r="E108" s="2" t="str">
        <f ca="1">IFERROR(__xludf.DUMMYFUNCTION("iferror(filter('Full Perk List'!E$3:E1498,'Full Perk List'!$D$3:$D1498=$D108),"""")"),"#REF!")</f>
        <v>#REF!</v>
      </c>
      <c r="F108" s="2" t="str">
        <f ca="1">IFERROR(__xludf.DUMMYFUNCTION("iferror(filter('Full Perk List'!F$3:F1498,'Full Perk List'!$D$3:$D1498=$D108),"""")"),"#REF!")</f>
        <v>#REF!</v>
      </c>
      <c r="G108" s="2" t="str">
        <f ca="1">IFERROR(__xludf.DUMMYFUNCTION("iferror(filter('Full Perk List'!G$3:G1498,'Full Perk List'!$D$3:$D1498=$D108),"""")"),"#REF!")</f>
        <v>#REF!</v>
      </c>
      <c r="H108" s="1"/>
      <c r="I108" s="2"/>
      <c r="J108" s="2"/>
      <c r="K108" s="2"/>
      <c r="L108" s="2"/>
      <c r="M108" s="2"/>
      <c r="N108" s="2"/>
      <c r="O108" s="2"/>
      <c r="P108" s="2"/>
      <c r="Q108" s="2"/>
      <c r="R108" s="2"/>
      <c r="S108" s="2"/>
      <c r="T108" s="2"/>
      <c r="U108" s="2"/>
      <c r="V108" s="2"/>
      <c r="W108" s="2"/>
      <c r="X108" s="2"/>
      <c r="Y108" s="2"/>
    </row>
    <row r="109" spans="1:25" ht="17.399999999999999" x14ac:dyDescent="0.25">
      <c r="A109" s="1"/>
      <c r="B109" s="40"/>
      <c r="C109" s="2" t="str">
        <f ca="1">IFERROR(__xludf.DUMMYFUNCTION("iferror(filter('Full Perk List'!C$3:C1498,'Full Perk List'!$D$3:$D1498=$D109),"""")"),"#REF!")</f>
        <v>#REF!</v>
      </c>
      <c r="D109" s="2"/>
      <c r="E109" s="2" t="str">
        <f ca="1">IFERROR(__xludf.DUMMYFUNCTION("iferror(filter('Full Perk List'!E$3:E1498,'Full Perk List'!$D$3:$D1498=$D109),"""")"),"#REF!")</f>
        <v>#REF!</v>
      </c>
      <c r="F109" s="2" t="str">
        <f ca="1">IFERROR(__xludf.DUMMYFUNCTION("iferror(filter('Full Perk List'!F$3:F1498,'Full Perk List'!$D$3:$D1498=$D109),"""")"),"#REF!")</f>
        <v>#REF!</v>
      </c>
      <c r="G109" s="2" t="str">
        <f ca="1">IFERROR(__xludf.DUMMYFUNCTION("iferror(filter('Full Perk List'!G$3:G1498,'Full Perk List'!$D$3:$D1498=$D109),"""")"),"#REF!")</f>
        <v>#REF!</v>
      </c>
      <c r="H109" s="1"/>
      <c r="I109" s="2"/>
      <c r="J109" s="2"/>
      <c r="K109" s="2"/>
      <c r="L109" s="2"/>
      <c r="M109" s="2"/>
      <c r="N109" s="2"/>
      <c r="O109" s="2"/>
      <c r="P109" s="2"/>
      <c r="Q109" s="2"/>
      <c r="R109" s="2"/>
      <c r="S109" s="2"/>
      <c r="T109" s="2"/>
      <c r="U109" s="2"/>
      <c r="V109" s="2"/>
      <c r="W109" s="2"/>
      <c r="X109" s="2"/>
      <c r="Y109" s="2"/>
    </row>
    <row r="110" spans="1:25" ht="17.399999999999999" x14ac:dyDescent="0.25">
      <c r="A110" s="1"/>
      <c r="B110" s="40"/>
      <c r="C110" s="2" t="str">
        <f ca="1">IFERROR(__xludf.DUMMYFUNCTION("iferror(filter('Full Perk List'!C$3:C1498,'Full Perk List'!$D$3:$D1498=$D110),"""")"),"#REF!")</f>
        <v>#REF!</v>
      </c>
      <c r="D110" s="2"/>
      <c r="E110" s="2" t="str">
        <f ca="1">IFERROR(__xludf.DUMMYFUNCTION("iferror(filter('Full Perk List'!E$3:E1498,'Full Perk List'!$D$3:$D1498=$D110),"""")"),"#REF!")</f>
        <v>#REF!</v>
      </c>
      <c r="F110" s="2" t="str">
        <f ca="1">IFERROR(__xludf.DUMMYFUNCTION("iferror(filter('Full Perk List'!F$3:F1498,'Full Perk List'!$D$3:$D1498=$D110),"""")"),"#REF!")</f>
        <v>#REF!</v>
      </c>
      <c r="G110" s="2" t="str">
        <f ca="1">IFERROR(__xludf.DUMMYFUNCTION("iferror(filter('Full Perk List'!G$3:G1498,'Full Perk List'!$D$3:$D1498=$D110),"""")"),"#REF!")</f>
        <v>#REF!</v>
      </c>
      <c r="H110" s="1"/>
      <c r="I110" s="2"/>
      <c r="J110" s="2"/>
      <c r="K110" s="2"/>
      <c r="L110" s="2"/>
      <c r="M110" s="2"/>
      <c r="N110" s="2"/>
      <c r="O110" s="2"/>
      <c r="P110" s="2"/>
      <c r="Q110" s="2"/>
      <c r="R110" s="2"/>
      <c r="S110" s="2"/>
      <c r="T110" s="2"/>
      <c r="U110" s="2"/>
      <c r="V110" s="2"/>
      <c r="W110" s="2"/>
      <c r="X110" s="2"/>
      <c r="Y110" s="2"/>
    </row>
    <row r="111" spans="1:25" ht="17.399999999999999" x14ac:dyDescent="0.25">
      <c r="A111" s="1"/>
      <c r="B111" s="40"/>
      <c r="C111" s="2" t="str">
        <f ca="1">IFERROR(__xludf.DUMMYFUNCTION("iferror(filter('Full Perk List'!C$3:C1498,'Full Perk List'!$D$3:$D1498=$D111),"""")"),"#REF!")</f>
        <v>#REF!</v>
      </c>
      <c r="D111" s="2"/>
      <c r="E111" s="2" t="str">
        <f ca="1">IFERROR(__xludf.DUMMYFUNCTION("iferror(filter('Full Perk List'!E$3:E1498,'Full Perk List'!$D$3:$D1498=$D111),"""")"),"#REF!")</f>
        <v>#REF!</v>
      </c>
      <c r="F111" s="2" t="str">
        <f ca="1">IFERROR(__xludf.DUMMYFUNCTION("iferror(filter('Full Perk List'!F$3:F1498,'Full Perk List'!$D$3:$D1498=$D111),"""")"),"#REF!")</f>
        <v>#REF!</v>
      </c>
      <c r="G111" s="2" t="str">
        <f ca="1">IFERROR(__xludf.DUMMYFUNCTION("iferror(filter('Full Perk List'!G$3:G1498,'Full Perk List'!$D$3:$D1498=$D111),"""")"),"#REF!")</f>
        <v>#REF!</v>
      </c>
      <c r="H111" s="1"/>
      <c r="I111" s="2"/>
      <c r="J111" s="2"/>
      <c r="K111" s="2"/>
      <c r="L111" s="2"/>
      <c r="M111" s="2"/>
      <c r="N111" s="2"/>
      <c r="O111" s="2"/>
      <c r="P111" s="2"/>
      <c r="Q111" s="2"/>
      <c r="R111" s="2"/>
      <c r="S111" s="2"/>
      <c r="T111" s="2"/>
      <c r="U111" s="2"/>
      <c r="V111" s="2"/>
      <c r="W111" s="2"/>
      <c r="X111" s="2"/>
      <c r="Y111" s="2"/>
    </row>
    <row r="112" spans="1:25" ht="17.399999999999999" x14ac:dyDescent="0.25">
      <c r="A112" s="1"/>
      <c r="B112" s="40"/>
      <c r="C112" s="2" t="str">
        <f ca="1">IFERROR(__xludf.DUMMYFUNCTION("iferror(filter('Full Perk List'!C$3:C1498,'Full Perk List'!$D$3:$D1498=$D112),"""")"),"#REF!")</f>
        <v>#REF!</v>
      </c>
      <c r="D112" s="2"/>
      <c r="E112" s="2" t="str">
        <f ca="1">IFERROR(__xludf.DUMMYFUNCTION("iferror(filter('Full Perk List'!E$3:E1498,'Full Perk List'!$D$3:$D1498=$D112),"""")"),"#REF!")</f>
        <v>#REF!</v>
      </c>
      <c r="F112" s="2" t="str">
        <f ca="1">IFERROR(__xludf.DUMMYFUNCTION("iferror(filter('Full Perk List'!F$3:F1498,'Full Perk List'!$D$3:$D1498=$D112),"""")"),"#REF!")</f>
        <v>#REF!</v>
      </c>
      <c r="G112" s="2" t="str">
        <f ca="1">IFERROR(__xludf.DUMMYFUNCTION("iferror(filter('Full Perk List'!G$3:G1498,'Full Perk List'!$D$3:$D1498=$D112),"""")"),"#REF!")</f>
        <v>#REF!</v>
      </c>
      <c r="H112" s="1"/>
      <c r="I112" s="2"/>
      <c r="J112" s="2"/>
      <c r="K112" s="2"/>
      <c r="L112" s="2"/>
      <c r="M112" s="2"/>
      <c r="N112" s="2"/>
      <c r="O112" s="2"/>
      <c r="P112" s="2"/>
      <c r="Q112" s="2"/>
      <c r="R112" s="2"/>
      <c r="S112" s="2"/>
      <c r="T112" s="2"/>
      <c r="U112" s="2"/>
      <c r="V112" s="2"/>
      <c r="W112" s="2"/>
      <c r="X112" s="2"/>
      <c r="Y112" s="2"/>
    </row>
    <row r="113" spans="1:25" ht="17.399999999999999" x14ac:dyDescent="0.25">
      <c r="A113" s="1"/>
      <c r="B113" s="40"/>
      <c r="C113" s="2" t="str">
        <f ca="1">IFERROR(__xludf.DUMMYFUNCTION("iferror(filter('Full Perk List'!C$3:C1498,'Full Perk List'!$D$3:$D1498=$D113),"""")"),"#REF!")</f>
        <v>#REF!</v>
      </c>
      <c r="D113" s="2"/>
      <c r="E113" s="2" t="str">
        <f ca="1">IFERROR(__xludf.DUMMYFUNCTION("iferror(filter('Full Perk List'!E$3:E1498,'Full Perk List'!$D$3:$D1498=$D113),"""")"),"#REF!")</f>
        <v>#REF!</v>
      </c>
      <c r="F113" s="2" t="str">
        <f ca="1">IFERROR(__xludf.DUMMYFUNCTION("iferror(filter('Full Perk List'!F$3:F1498,'Full Perk List'!$D$3:$D1498=$D113),"""")"),"#REF!")</f>
        <v>#REF!</v>
      </c>
      <c r="G113" s="2" t="str">
        <f ca="1">IFERROR(__xludf.DUMMYFUNCTION("iferror(filter('Full Perk List'!G$3:G1498,'Full Perk List'!$D$3:$D1498=$D113),"""")"),"#REF!")</f>
        <v>#REF!</v>
      </c>
      <c r="H113" s="1"/>
      <c r="I113" s="2"/>
      <c r="J113" s="2"/>
      <c r="K113" s="2"/>
      <c r="L113" s="2"/>
      <c r="M113" s="2"/>
      <c r="N113" s="2"/>
      <c r="O113" s="2"/>
      <c r="P113" s="2"/>
      <c r="Q113" s="2"/>
      <c r="R113" s="2"/>
      <c r="S113" s="2"/>
      <c r="T113" s="2"/>
      <c r="U113" s="2"/>
      <c r="V113" s="2"/>
      <c r="W113" s="2"/>
      <c r="X113" s="2"/>
      <c r="Y113" s="2"/>
    </row>
    <row r="114" spans="1:25" ht="17.399999999999999" x14ac:dyDescent="0.25">
      <c r="A114" s="1"/>
      <c r="B114" s="40"/>
      <c r="C114" s="2" t="str">
        <f ca="1">IFERROR(__xludf.DUMMYFUNCTION("iferror(filter('Full Perk List'!C$3:C1498,'Full Perk List'!$D$3:$D1498=$D114),"""")"),"#REF!")</f>
        <v>#REF!</v>
      </c>
      <c r="D114" s="2"/>
      <c r="E114" s="2" t="str">
        <f ca="1">IFERROR(__xludf.DUMMYFUNCTION("iferror(filter('Full Perk List'!E$3:E1498,'Full Perk List'!$D$3:$D1498=$D114),"""")"),"#REF!")</f>
        <v>#REF!</v>
      </c>
      <c r="F114" s="2" t="str">
        <f ca="1">IFERROR(__xludf.DUMMYFUNCTION("iferror(filter('Full Perk List'!F$3:F1498,'Full Perk List'!$D$3:$D1498=$D114),"""")"),"#REF!")</f>
        <v>#REF!</v>
      </c>
      <c r="G114" s="2" t="str">
        <f ca="1">IFERROR(__xludf.DUMMYFUNCTION("iferror(filter('Full Perk List'!G$3:G1498,'Full Perk List'!$D$3:$D1498=$D114),"""")"),"#REF!")</f>
        <v>#REF!</v>
      </c>
      <c r="H114" s="1"/>
      <c r="I114" s="2"/>
      <c r="J114" s="2"/>
      <c r="K114" s="2"/>
      <c r="L114" s="2"/>
      <c r="M114" s="2"/>
      <c r="N114" s="2"/>
      <c r="O114" s="2"/>
      <c r="P114" s="2"/>
      <c r="Q114" s="2"/>
      <c r="R114" s="2"/>
      <c r="S114" s="2"/>
      <c r="T114" s="2"/>
      <c r="U114" s="2"/>
      <c r="V114" s="2"/>
      <c r="W114" s="2"/>
      <c r="X114" s="2"/>
      <c r="Y114" s="2"/>
    </row>
    <row r="115" spans="1:25" ht="17.399999999999999" x14ac:dyDescent="0.25">
      <c r="A115" s="1"/>
      <c r="B115" s="40"/>
      <c r="C115" s="2" t="str">
        <f ca="1">IFERROR(__xludf.DUMMYFUNCTION("iferror(filter('Full Perk List'!C$3:C1498,'Full Perk List'!$D$3:$D1498=$D115),"""")"),"#REF!")</f>
        <v>#REF!</v>
      </c>
      <c r="D115" s="2"/>
      <c r="E115" s="2" t="str">
        <f ca="1">IFERROR(__xludf.DUMMYFUNCTION("iferror(filter('Full Perk List'!E$3:E1498,'Full Perk List'!$D$3:$D1498=$D115),"""")"),"#REF!")</f>
        <v>#REF!</v>
      </c>
      <c r="F115" s="2" t="str">
        <f ca="1">IFERROR(__xludf.DUMMYFUNCTION("iferror(filter('Full Perk List'!F$3:F1498,'Full Perk List'!$D$3:$D1498=$D115),"""")"),"#REF!")</f>
        <v>#REF!</v>
      </c>
      <c r="G115" s="2" t="str">
        <f ca="1">IFERROR(__xludf.DUMMYFUNCTION("iferror(filter('Full Perk List'!G$3:G1498,'Full Perk List'!$D$3:$D1498=$D115),"""")"),"#REF!")</f>
        <v>#REF!</v>
      </c>
      <c r="H115" s="1"/>
      <c r="I115" s="2"/>
      <c r="J115" s="2"/>
      <c r="K115" s="2"/>
      <c r="L115" s="2"/>
      <c r="M115" s="2"/>
      <c r="N115" s="2"/>
      <c r="O115" s="2"/>
      <c r="P115" s="2"/>
      <c r="Q115" s="2"/>
      <c r="R115" s="2"/>
      <c r="S115" s="2"/>
      <c r="T115" s="2"/>
      <c r="U115" s="2"/>
      <c r="V115" s="2"/>
      <c r="W115" s="2"/>
      <c r="X115" s="2"/>
      <c r="Y115" s="2"/>
    </row>
    <row r="116" spans="1:25" ht="17.399999999999999" x14ac:dyDescent="0.25">
      <c r="A116" s="1"/>
      <c r="B116" s="40"/>
      <c r="C116" s="2" t="str">
        <f ca="1">IFERROR(__xludf.DUMMYFUNCTION("iferror(filter('Full Perk List'!C$3:C1498,'Full Perk List'!$D$3:$D1498=$D116),"""")"),"#REF!")</f>
        <v>#REF!</v>
      </c>
      <c r="D116" s="2"/>
      <c r="E116" s="2" t="str">
        <f ca="1">IFERROR(__xludf.DUMMYFUNCTION("iferror(filter('Full Perk List'!E$3:E1498,'Full Perk List'!$D$3:$D1498=$D116),"""")"),"#REF!")</f>
        <v>#REF!</v>
      </c>
      <c r="F116" s="2" t="str">
        <f ca="1">IFERROR(__xludf.DUMMYFUNCTION("iferror(filter('Full Perk List'!F$3:F1498,'Full Perk List'!$D$3:$D1498=$D116),"""")"),"#REF!")</f>
        <v>#REF!</v>
      </c>
      <c r="G116" s="2" t="str">
        <f ca="1">IFERROR(__xludf.DUMMYFUNCTION("iferror(filter('Full Perk List'!G$3:G1498,'Full Perk List'!$D$3:$D1498=$D116),"""")"),"#REF!")</f>
        <v>#REF!</v>
      </c>
      <c r="H116" s="1"/>
      <c r="I116" s="2"/>
      <c r="J116" s="2"/>
      <c r="K116" s="2"/>
      <c r="L116" s="2"/>
      <c r="M116" s="2"/>
      <c r="N116" s="2"/>
      <c r="O116" s="2"/>
      <c r="P116" s="2"/>
      <c r="Q116" s="2"/>
      <c r="R116" s="2"/>
      <c r="S116" s="2"/>
      <c r="T116" s="2"/>
      <c r="U116" s="2"/>
      <c r="V116" s="2"/>
      <c r="W116" s="2"/>
      <c r="X116" s="2"/>
      <c r="Y116" s="2"/>
    </row>
    <row r="117" spans="1:25" ht="17.399999999999999" x14ac:dyDescent="0.25">
      <c r="A117" s="1"/>
      <c r="B117" s="40"/>
      <c r="C117" s="2" t="str">
        <f ca="1">IFERROR(__xludf.DUMMYFUNCTION("iferror(filter('Full Perk List'!C$3:C1498,'Full Perk List'!$D$3:$D1498=$D117),"""")"),"#REF!")</f>
        <v>#REF!</v>
      </c>
      <c r="D117" s="2"/>
      <c r="E117" s="2" t="str">
        <f ca="1">IFERROR(__xludf.DUMMYFUNCTION("iferror(filter('Full Perk List'!E$3:E1498,'Full Perk List'!$D$3:$D1498=$D117),"""")"),"#REF!")</f>
        <v>#REF!</v>
      </c>
      <c r="F117" s="2" t="str">
        <f ca="1">IFERROR(__xludf.DUMMYFUNCTION("iferror(filter('Full Perk List'!F$3:F1498,'Full Perk List'!$D$3:$D1498=$D117),"""")"),"#REF!")</f>
        <v>#REF!</v>
      </c>
      <c r="G117" s="2" t="str">
        <f ca="1">IFERROR(__xludf.DUMMYFUNCTION("iferror(filter('Full Perk List'!G$3:G1498,'Full Perk List'!$D$3:$D1498=$D117),"""")"),"#REF!")</f>
        <v>#REF!</v>
      </c>
      <c r="H117" s="1"/>
      <c r="I117" s="2"/>
      <c r="J117" s="2"/>
      <c r="K117" s="2"/>
      <c r="L117" s="2"/>
      <c r="M117" s="2"/>
      <c r="N117" s="2"/>
      <c r="O117" s="2"/>
      <c r="P117" s="2"/>
      <c r="Q117" s="2"/>
      <c r="R117" s="2"/>
      <c r="S117" s="2"/>
      <c r="T117" s="2"/>
      <c r="U117" s="2"/>
      <c r="V117" s="2"/>
      <c r="W117" s="2"/>
      <c r="X117" s="2"/>
      <c r="Y117" s="2"/>
    </row>
    <row r="118" spans="1:25" ht="17.399999999999999" x14ac:dyDescent="0.25">
      <c r="A118" s="1"/>
      <c r="B118" s="40"/>
      <c r="C118" s="2" t="str">
        <f ca="1">IFERROR(__xludf.DUMMYFUNCTION("iferror(filter('Full Perk List'!C$3:C1498,'Full Perk List'!$D$3:$D1498=$D118),"""")"),"#REF!")</f>
        <v>#REF!</v>
      </c>
      <c r="D118" s="2"/>
      <c r="E118" s="2" t="str">
        <f ca="1">IFERROR(__xludf.DUMMYFUNCTION("iferror(filter('Full Perk List'!E$3:E1498,'Full Perk List'!$D$3:$D1498=$D118),"""")"),"#REF!")</f>
        <v>#REF!</v>
      </c>
      <c r="F118" s="2" t="str">
        <f ca="1">IFERROR(__xludf.DUMMYFUNCTION("iferror(filter('Full Perk List'!F$3:F1498,'Full Perk List'!$D$3:$D1498=$D118),"""")"),"#REF!")</f>
        <v>#REF!</v>
      </c>
      <c r="G118" s="2" t="str">
        <f ca="1">IFERROR(__xludf.DUMMYFUNCTION("iferror(filter('Full Perk List'!G$3:G1498,'Full Perk List'!$D$3:$D1498=$D118),"""")"),"#REF!")</f>
        <v>#REF!</v>
      </c>
      <c r="H118" s="1"/>
      <c r="I118" s="2"/>
      <c r="J118" s="2"/>
      <c r="K118" s="2"/>
      <c r="L118" s="2"/>
      <c r="M118" s="2"/>
      <c r="N118" s="2"/>
      <c r="O118" s="2"/>
      <c r="P118" s="2"/>
      <c r="Q118" s="2"/>
      <c r="R118" s="2"/>
      <c r="S118" s="2"/>
      <c r="T118" s="2"/>
      <c r="U118" s="2"/>
      <c r="V118" s="2"/>
      <c r="W118" s="2"/>
      <c r="X118" s="2"/>
      <c r="Y118" s="2"/>
    </row>
    <row r="119" spans="1:25" ht="17.399999999999999" x14ac:dyDescent="0.25">
      <c r="A119" s="1"/>
      <c r="B119" s="40"/>
      <c r="C119" s="2" t="str">
        <f ca="1">IFERROR(__xludf.DUMMYFUNCTION("iferror(filter('Full Perk List'!C$3:C1498,'Full Perk List'!$D$3:$D1498=$D119),"""")"),"#REF!")</f>
        <v>#REF!</v>
      </c>
      <c r="D119" s="2"/>
      <c r="E119" s="2" t="str">
        <f ca="1">IFERROR(__xludf.DUMMYFUNCTION("iferror(filter('Full Perk List'!E$3:E1498,'Full Perk List'!$D$3:$D1498=$D119),"""")"),"#REF!")</f>
        <v>#REF!</v>
      </c>
      <c r="F119" s="2" t="str">
        <f ca="1">IFERROR(__xludf.DUMMYFUNCTION("iferror(filter('Full Perk List'!F$3:F1498,'Full Perk List'!$D$3:$D1498=$D119),"""")"),"#REF!")</f>
        <v>#REF!</v>
      </c>
      <c r="G119" s="2" t="str">
        <f ca="1">IFERROR(__xludf.DUMMYFUNCTION("iferror(filter('Full Perk List'!G$3:G1498,'Full Perk List'!$D$3:$D1498=$D119),"""")"),"#REF!")</f>
        <v>#REF!</v>
      </c>
      <c r="H119" s="1"/>
      <c r="I119" s="2"/>
      <c r="J119" s="2"/>
      <c r="K119" s="2"/>
      <c r="L119" s="2"/>
      <c r="M119" s="2"/>
      <c r="N119" s="2"/>
      <c r="O119" s="2"/>
      <c r="P119" s="2"/>
      <c r="Q119" s="2"/>
      <c r="R119" s="2"/>
      <c r="S119" s="2"/>
      <c r="T119" s="2"/>
      <c r="U119" s="2"/>
      <c r="V119" s="2"/>
      <c r="W119" s="2"/>
      <c r="X119" s="2"/>
      <c r="Y119" s="2"/>
    </row>
    <row r="120" spans="1:25" ht="17.399999999999999" x14ac:dyDescent="0.25">
      <c r="A120" s="1"/>
      <c r="B120" s="40"/>
      <c r="C120" s="2" t="str">
        <f ca="1">IFERROR(__xludf.DUMMYFUNCTION("iferror(filter('Full Perk List'!C$3:C1498,'Full Perk List'!$D$3:$D1498=$D120),"""")"),"#REF!")</f>
        <v>#REF!</v>
      </c>
      <c r="D120" s="2"/>
      <c r="E120" s="2" t="str">
        <f ca="1">IFERROR(__xludf.DUMMYFUNCTION("iferror(filter('Full Perk List'!E$3:E1498,'Full Perk List'!$D$3:$D1498=$D120),"""")"),"#REF!")</f>
        <v>#REF!</v>
      </c>
      <c r="F120" s="2" t="str">
        <f ca="1">IFERROR(__xludf.DUMMYFUNCTION("iferror(filter('Full Perk List'!F$3:F1498,'Full Perk List'!$D$3:$D1498=$D120),"""")"),"#REF!")</f>
        <v>#REF!</v>
      </c>
      <c r="G120" s="2" t="str">
        <f ca="1">IFERROR(__xludf.DUMMYFUNCTION("iferror(filter('Full Perk List'!G$3:G1498,'Full Perk List'!$D$3:$D1498=$D120),"""")"),"#REF!")</f>
        <v>#REF!</v>
      </c>
      <c r="H120" s="1"/>
      <c r="I120" s="2"/>
      <c r="J120" s="2"/>
      <c r="K120" s="2"/>
      <c r="L120" s="2"/>
      <c r="M120" s="2"/>
      <c r="N120" s="2"/>
      <c r="O120" s="2"/>
      <c r="P120" s="2"/>
      <c r="Q120" s="2"/>
      <c r="R120" s="2"/>
      <c r="S120" s="2"/>
      <c r="T120" s="2"/>
      <c r="U120" s="2"/>
      <c r="V120" s="2"/>
      <c r="W120" s="2"/>
      <c r="X120" s="2"/>
      <c r="Y120" s="2"/>
    </row>
    <row r="121" spans="1:25" ht="17.399999999999999" x14ac:dyDescent="0.25">
      <c r="A121" s="1"/>
      <c r="B121" s="40"/>
      <c r="C121" s="2" t="str">
        <f ca="1">IFERROR(__xludf.DUMMYFUNCTION("iferror(filter('Full Perk List'!C$3:C1498,'Full Perk List'!$D$3:$D1498=$D121),"""")"),"#REF!")</f>
        <v>#REF!</v>
      </c>
      <c r="D121" s="2"/>
      <c r="E121" s="2" t="str">
        <f ca="1">IFERROR(__xludf.DUMMYFUNCTION("iferror(filter('Full Perk List'!E$3:E1498,'Full Perk List'!$D$3:$D1498=$D121),"""")"),"#REF!")</f>
        <v>#REF!</v>
      </c>
      <c r="F121" s="2" t="str">
        <f ca="1">IFERROR(__xludf.DUMMYFUNCTION("iferror(filter('Full Perk List'!F$3:F1498,'Full Perk List'!$D$3:$D1498=$D121),"""")"),"#REF!")</f>
        <v>#REF!</v>
      </c>
      <c r="G121" s="2" t="str">
        <f ca="1">IFERROR(__xludf.DUMMYFUNCTION("iferror(filter('Full Perk List'!G$3:G1498,'Full Perk List'!$D$3:$D1498=$D121),"""")"),"#REF!")</f>
        <v>#REF!</v>
      </c>
      <c r="H121" s="1"/>
      <c r="I121" s="2"/>
      <c r="J121" s="2"/>
      <c r="K121" s="2"/>
      <c r="L121" s="2"/>
      <c r="M121" s="2"/>
      <c r="N121" s="2"/>
      <c r="O121" s="2"/>
      <c r="P121" s="2"/>
      <c r="Q121" s="2"/>
      <c r="R121" s="2"/>
      <c r="S121" s="2"/>
      <c r="T121" s="2"/>
      <c r="U121" s="2"/>
      <c r="V121" s="2"/>
      <c r="W121" s="2"/>
      <c r="X121" s="2"/>
      <c r="Y121" s="2"/>
    </row>
    <row r="122" spans="1:25" ht="17.399999999999999" x14ac:dyDescent="0.25">
      <c r="A122" s="1"/>
      <c r="B122" s="40"/>
      <c r="C122" s="2" t="str">
        <f ca="1">IFERROR(__xludf.DUMMYFUNCTION("iferror(filter('Full Perk List'!C$3:C1498,'Full Perk List'!$D$3:$D1498=$D122),"""")"),"#REF!")</f>
        <v>#REF!</v>
      </c>
      <c r="D122" s="2"/>
      <c r="E122" s="2" t="str">
        <f ca="1">IFERROR(__xludf.DUMMYFUNCTION("iferror(filter('Full Perk List'!E$3:E1498,'Full Perk List'!$D$3:$D1498=$D122),"""")"),"#REF!")</f>
        <v>#REF!</v>
      </c>
      <c r="F122" s="2" t="str">
        <f ca="1">IFERROR(__xludf.DUMMYFUNCTION("iferror(filter('Full Perk List'!F$3:F1498,'Full Perk List'!$D$3:$D1498=$D122),"""")"),"#REF!")</f>
        <v>#REF!</v>
      </c>
      <c r="G122" s="2" t="str">
        <f ca="1">IFERROR(__xludf.DUMMYFUNCTION("iferror(filter('Full Perk List'!G$3:G1498,'Full Perk List'!$D$3:$D1498=$D122),"""")"),"#REF!")</f>
        <v>#REF!</v>
      </c>
      <c r="H122" s="1"/>
      <c r="I122" s="2"/>
      <c r="J122" s="2"/>
      <c r="K122" s="2"/>
      <c r="L122" s="2"/>
      <c r="M122" s="2"/>
      <c r="N122" s="2"/>
      <c r="O122" s="2"/>
      <c r="P122" s="2"/>
      <c r="Q122" s="2"/>
      <c r="R122" s="2"/>
      <c r="S122" s="2"/>
      <c r="T122" s="2"/>
      <c r="U122" s="2"/>
      <c r="V122" s="2"/>
      <c r="W122" s="2"/>
      <c r="X122" s="2"/>
      <c r="Y122" s="2"/>
    </row>
    <row r="123" spans="1:25" ht="17.399999999999999" x14ac:dyDescent="0.25">
      <c r="A123" s="1"/>
      <c r="B123" s="40"/>
      <c r="C123" s="2" t="str">
        <f ca="1">IFERROR(__xludf.DUMMYFUNCTION("iferror(filter('Full Perk List'!C$3:C1498,'Full Perk List'!$D$3:$D1498=$D123),"""")"),"#REF!")</f>
        <v>#REF!</v>
      </c>
      <c r="D123" s="2"/>
      <c r="E123" s="2" t="str">
        <f ca="1">IFERROR(__xludf.DUMMYFUNCTION("iferror(filter('Full Perk List'!E$3:E1498,'Full Perk List'!$D$3:$D1498=$D123),"""")"),"#REF!")</f>
        <v>#REF!</v>
      </c>
      <c r="F123" s="2" t="str">
        <f ca="1">IFERROR(__xludf.DUMMYFUNCTION("iferror(filter('Full Perk List'!F$3:F1498,'Full Perk List'!$D$3:$D1498=$D123),"""")"),"#REF!")</f>
        <v>#REF!</v>
      </c>
      <c r="G123" s="2" t="str">
        <f ca="1">IFERROR(__xludf.DUMMYFUNCTION("iferror(filter('Full Perk List'!G$3:G1498,'Full Perk List'!$D$3:$D1498=$D123),"""")"),"#REF!")</f>
        <v>#REF!</v>
      </c>
      <c r="H123" s="1"/>
      <c r="I123" s="2"/>
      <c r="J123" s="2"/>
      <c r="K123" s="2"/>
      <c r="L123" s="2"/>
      <c r="M123" s="2"/>
      <c r="N123" s="2"/>
      <c r="O123" s="2"/>
      <c r="P123" s="2"/>
      <c r="Q123" s="2"/>
      <c r="R123" s="2"/>
      <c r="S123" s="2"/>
      <c r="T123" s="2"/>
      <c r="U123" s="2"/>
      <c r="V123" s="2"/>
      <c r="W123" s="2"/>
      <c r="X123" s="2"/>
      <c r="Y123" s="2"/>
    </row>
    <row r="124" spans="1:25" ht="17.399999999999999" x14ac:dyDescent="0.25">
      <c r="A124" s="1"/>
      <c r="B124" s="40"/>
      <c r="C124" s="2" t="str">
        <f ca="1">IFERROR(__xludf.DUMMYFUNCTION("iferror(filter('Full Perk List'!C$3:C1498,'Full Perk List'!$D$3:$D1498=$D124),"""")"),"#REF!")</f>
        <v>#REF!</v>
      </c>
      <c r="D124" s="2"/>
      <c r="E124" s="2" t="str">
        <f ca="1">IFERROR(__xludf.DUMMYFUNCTION("iferror(filter('Full Perk List'!E$3:E1498,'Full Perk List'!$D$3:$D1498=$D124),"""")"),"#REF!")</f>
        <v>#REF!</v>
      </c>
      <c r="F124" s="2" t="str">
        <f ca="1">IFERROR(__xludf.DUMMYFUNCTION("iferror(filter('Full Perk List'!F$3:F1498,'Full Perk List'!$D$3:$D1498=$D124),"""")"),"#REF!")</f>
        <v>#REF!</v>
      </c>
      <c r="G124" s="2" t="str">
        <f ca="1">IFERROR(__xludf.DUMMYFUNCTION("iferror(filter('Full Perk List'!G$3:G1498,'Full Perk List'!$D$3:$D1498=$D124),"""")"),"#REF!")</f>
        <v>#REF!</v>
      </c>
      <c r="H124" s="1"/>
      <c r="I124" s="2"/>
      <c r="J124" s="2"/>
      <c r="K124" s="2"/>
      <c r="L124" s="2"/>
      <c r="M124" s="2"/>
      <c r="N124" s="2"/>
      <c r="O124" s="2"/>
      <c r="P124" s="2"/>
      <c r="Q124" s="2"/>
      <c r="R124" s="2"/>
      <c r="S124" s="2"/>
      <c r="T124" s="2"/>
      <c r="U124" s="2"/>
      <c r="V124" s="2"/>
      <c r="W124" s="2"/>
      <c r="X124" s="2"/>
      <c r="Y124" s="2"/>
    </row>
    <row r="125" spans="1:25" ht="17.399999999999999" x14ac:dyDescent="0.25">
      <c r="A125" s="1"/>
      <c r="B125" s="40"/>
      <c r="C125" s="2" t="str">
        <f ca="1">IFERROR(__xludf.DUMMYFUNCTION("iferror(filter('Full Perk List'!C$3:C1498,'Full Perk List'!$D$3:$D1498=$D125),"""")"),"#REF!")</f>
        <v>#REF!</v>
      </c>
      <c r="D125" s="2"/>
      <c r="E125" s="2" t="str">
        <f ca="1">IFERROR(__xludf.DUMMYFUNCTION("iferror(filter('Full Perk List'!E$3:E1498,'Full Perk List'!$D$3:$D1498=$D125),"""")"),"#REF!")</f>
        <v>#REF!</v>
      </c>
      <c r="F125" s="2" t="str">
        <f ca="1">IFERROR(__xludf.DUMMYFUNCTION("iferror(filter('Full Perk List'!F$3:F1498,'Full Perk List'!$D$3:$D1498=$D125),"""")"),"#REF!")</f>
        <v>#REF!</v>
      </c>
      <c r="G125" s="2" t="str">
        <f ca="1">IFERROR(__xludf.DUMMYFUNCTION("iferror(filter('Full Perk List'!G$3:G1498,'Full Perk List'!$D$3:$D1498=$D125),"""")"),"#REF!")</f>
        <v>#REF!</v>
      </c>
      <c r="H125" s="1"/>
      <c r="I125" s="2"/>
      <c r="J125" s="2"/>
      <c r="K125" s="2"/>
      <c r="L125" s="2"/>
      <c r="M125" s="2"/>
      <c r="N125" s="2"/>
      <c r="O125" s="2"/>
      <c r="P125" s="2"/>
      <c r="Q125" s="2"/>
      <c r="R125" s="2"/>
      <c r="S125" s="2"/>
      <c r="T125" s="2"/>
      <c r="U125" s="2"/>
      <c r="V125" s="2"/>
      <c r="W125" s="2"/>
      <c r="X125" s="2"/>
      <c r="Y125" s="2"/>
    </row>
    <row r="126" spans="1:25" ht="17.399999999999999" x14ac:dyDescent="0.25">
      <c r="A126" s="1"/>
      <c r="B126" s="40"/>
      <c r="C126" s="2" t="str">
        <f ca="1">IFERROR(__xludf.DUMMYFUNCTION("iferror(filter('Full Perk List'!C$3:C1498,'Full Perk List'!$D$3:$D1498=$D126),"""")"),"#REF!")</f>
        <v>#REF!</v>
      </c>
      <c r="D126" s="2"/>
      <c r="E126" s="2" t="str">
        <f ca="1">IFERROR(__xludf.DUMMYFUNCTION("iferror(filter('Full Perk List'!E$3:E1498,'Full Perk List'!$D$3:$D1498=$D126),"""")"),"#REF!")</f>
        <v>#REF!</v>
      </c>
      <c r="F126" s="2" t="str">
        <f ca="1">IFERROR(__xludf.DUMMYFUNCTION("iferror(filter('Full Perk List'!F$3:F1498,'Full Perk List'!$D$3:$D1498=$D126),"""")"),"#REF!")</f>
        <v>#REF!</v>
      </c>
      <c r="G126" s="2" t="str">
        <f ca="1">IFERROR(__xludf.DUMMYFUNCTION("iferror(filter('Full Perk List'!G$3:G1498,'Full Perk List'!$D$3:$D1498=$D126),"""")"),"#REF!")</f>
        <v>#REF!</v>
      </c>
      <c r="H126" s="1"/>
      <c r="I126" s="2"/>
      <c r="J126" s="2"/>
      <c r="K126" s="2"/>
      <c r="L126" s="2"/>
      <c r="M126" s="2"/>
      <c r="N126" s="2"/>
      <c r="O126" s="2"/>
      <c r="P126" s="2"/>
      <c r="Q126" s="2"/>
      <c r="R126" s="2"/>
      <c r="S126" s="2"/>
      <c r="T126" s="2"/>
      <c r="U126" s="2"/>
      <c r="V126" s="2"/>
      <c r="W126" s="2"/>
      <c r="X126" s="2"/>
      <c r="Y126" s="2"/>
    </row>
    <row r="127" spans="1:25" ht="17.399999999999999" x14ac:dyDescent="0.25">
      <c r="A127" s="1"/>
      <c r="B127" s="40"/>
      <c r="C127" s="2" t="str">
        <f ca="1">IFERROR(__xludf.DUMMYFUNCTION("iferror(filter('Full Perk List'!C$3:C1498,'Full Perk List'!$D$3:$D1498=$D127),"""")"),"#REF!")</f>
        <v>#REF!</v>
      </c>
      <c r="D127" s="2"/>
      <c r="E127" s="2" t="str">
        <f ca="1">IFERROR(__xludf.DUMMYFUNCTION("iferror(filter('Full Perk List'!E$3:E1498,'Full Perk List'!$D$3:$D1498=$D127),"""")"),"#REF!")</f>
        <v>#REF!</v>
      </c>
      <c r="F127" s="2" t="str">
        <f ca="1">IFERROR(__xludf.DUMMYFUNCTION("iferror(filter('Full Perk List'!F$3:F1498,'Full Perk List'!$D$3:$D1498=$D127),"""")"),"#REF!")</f>
        <v>#REF!</v>
      </c>
      <c r="G127" s="2" t="str">
        <f ca="1">IFERROR(__xludf.DUMMYFUNCTION("iferror(filter('Full Perk List'!G$3:G1498,'Full Perk List'!$D$3:$D1498=$D127),"""")"),"#REF!")</f>
        <v>#REF!</v>
      </c>
      <c r="H127" s="1"/>
      <c r="I127" s="2"/>
      <c r="J127" s="2"/>
      <c r="K127" s="2"/>
      <c r="L127" s="2"/>
      <c r="M127" s="2"/>
      <c r="N127" s="2"/>
      <c r="O127" s="2"/>
      <c r="P127" s="2"/>
      <c r="Q127" s="2"/>
      <c r="R127" s="2"/>
      <c r="S127" s="2"/>
      <c r="T127" s="2"/>
      <c r="U127" s="2"/>
      <c r="V127" s="2"/>
      <c r="W127" s="2"/>
      <c r="X127" s="2"/>
      <c r="Y127" s="2"/>
    </row>
    <row r="128" spans="1:25" ht="17.399999999999999" x14ac:dyDescent="0.25">
      <c r="A128" s="1"/>
      <c r="B128" s="40"/>
      <c r="C128" s="2" t="str">
        <f ca="1">IFERROR(__xludf.DUMMYFUNCTION("iferror(filter('Full Perk List'!C$3:C1498,'Full Perk List'!$D$3:$D1498=$D128),"""")"),"#REF!")</f>
        <v>#REF!</v>
      </c>
      <c r="D128" s="2"/>
      <c r="E128" s="2" t="str">
        <f ca="1">IFERROR(__xludf.DUMMYFUNCTION("iferror(filter('Full Perk List'!E$3:E1498,'Full Perk List'!$D$3:$D1498=$D128),"""")"),"#REF!")</f>
        <v>#REF!</v>
      </c>
      <c r="F128" s="2" t="str">
        <f ca="1">IFERROR(__xludf.DUMMYFUNCTION("iferror(filter('Full Perk List'!F$3:F1498,'Full Perk List'!$D$3:$D1498=$D128),"""")"),"#REF!")</f>
        <v>#REF!</v>
      </c>
      <c r="G128" s="2" t="str">
        <f ca="1">IFERROR(__xludf.DUMMYFUNCTION("iferror(filter('Full Perk List'!G$3:G1498,'Full Perk List'!$D$3:$D1498=$D128),"""")"),"#REF!")</f>
        <v>#REF!</v>
      </c>
      <c r="H128" s="1"/>
      <c r="I128" s="2"/>
      <c r="J128" s="2"/>
      <c r="K128" s="2"/>
      <c r="L128" s="2"/>
      <c r="M128" s="2"/>
      <c r="N128" s="2"/>
      <c r="O128" s="2"/>
      <c r="P128" s="2"/>
      <c r="Q128" s="2"/>
      <c r="R128" s="2"/>
      <c r="S128" s="2"/>
      <c r="T128" s="2"/>
      <c r="U128" s="2"/>
      <c r="V128" s="2"/>
      <c r="W128" s="2"/>
      <c r="X128" s="2"/>
      <c r="Y128" s="2"/>
    </row>
    <row r="129" spans="1:25" ht="17.399999999999999" x14ac:dyDescent="0.25">
      <c r="A129" s="1"/>
      <c r="B129" s="40"/>
      <c r="C129" s="2" t="str">
        <f ca="1">IFERROR(__xludf.DUMMYFUNCTION("iferror(filter('Full Perk List'!C$3:C1498,'Full Perk List'!$D$3:$D1498=$D129),"""")"),"#REF!")</f>
        <v>#REF!</v>
      </c>
      <c r="D129" s="2"/>
      <c r="E129" s="2" t="str">
        <f ca="1">IFERROR(__xludf.DUMMYFUNCTION("iferror(filter('Full Perk List'!E$3:E1498,'Full Perk List'!$D$3:$D1498=$D129),"""")"),"#REF!")</f>
        <v>#REF!</v>
      </c>
      <c r="F129" s="2" t="str">
        <f ca="1">IFERROR(__xludf.DUMMYFUNCTION("iferror(filter('Full Perk List'!F$3:F1498,'Full Perk List'!$D$3:$D1498=$D129),"""")"),"#REF!")</f>
        <v>#REF!</v>
      </c>
      <c r="G129" s="2" t="str">
        <f ca="1">IFERROR(__xludf.DUMMYFUNCTION("iferror(filter('Full Perk List'!G$3:G1498,'Full Perk List'!$D$3:$D1498=$D129),"""")"),"#REF!")</f>
        <v>#REF!</v>
      </c>
      <c r="H129" s="1"/>
      <c r="I129" s="2"/>
      <c r="J129" s="2"/>
      <c r="K129" s="2"/>
      <c r="L129" s="2"/>
      <c r="M129" s="2"/>
      <c r="N129" s="2"/>
      <c r="O129" s="2"/>
      <c r="P129" s="2"/>
      <c r="Q129" s="2"/>
      <c r="R129" s="2"/>
      <c r="S129" s="2"/>
      <c r="T129" s="2"/>
      <c r="U129" s="2"/>
      <c r="V129" s="2"/>
      <c r="W129" s="2"/>
      <c r="X129" s="2"/>
      <c r="Y129" s="2"/>
    </row>
    <row r="130" spans="1:25" ht="17.399999999999999" x14ac:dyDescent="0.25">
      <c r="A130" s="1"/>
      <c r="B130" s="40"/>
      <c r="C130" s="2" t="str">
        <f ca="1">IFERROR(__xludf.DUMMYFUNCTION("iferror(filter('Full Perk List'!C$3:C1498,'Full Perk List'!$D$3:$D1498=$D130),"""")"),"#REF!")</f>
        <v>#REF!</v>
      </c>
      <c r="D130" s="2"/>
      <c r="E130" s="2" t="str">
        <f ca="1">IFERROR(__xludf.DUMMYFUNCTION("iferror(filter('Full Perk List'!E$3:E1498,'Full Perk List'!$D$3:$D1498=$D130),"""")"),"#REF!")</f>
        <v>#REF!</v>
      </c>
      <c r="F130" s="2" t="str">
        <f ca="1">IFERROR(__xludf.DUMMYFUNCTION("iferror(filter('Full Perk List'!F$3:F1498,'Full Perk List'!$D$3:$D1498=$D130),"""")"),"#REF!")</f>
        <v>#REF!</v>
      </c>
      <c r="G130" s="2" t="str">
        <f ca="1">IFERROR(__xludf.DUMMYFUNCTION("iferror(filter('Full Perk List'!G$3:G1498,'Full Perk List'!$D$3:$D1498=$D130),"""")"),"#REF!")</f>
        <v>#REF!</v>
      </c>
      <c r="H130" s="1"/>
      <c r="I130" s="2"/>
      <c r="J130" s="2"/>
      <c r="K130" s="2"/>
      <c r="L130" s="2"/>
      <c r="M130" s="2"/>
      <c r="N130" s="2"/>
      <c r="O130" s="2"/>
      <c r="P130" s="2"/>
      <c r="Q130" s="2"/>
      <c r="R130" s="2"/>
      <c r="S130" s="2"/>
      <c r="T130" s="2"/>
      <c r="U130" s="2"/>
      <c r="V130" s="2"/>
      <c r="W130" s="2"/>
      <c r="X130" s="2"/>
      <c r="Y130" s="2"/>
    </row>
    <row r="131" spans="1:25" ht="17.399999999999999" x14ac:dyDescent="0.25">
      <c r="A131" s="1"/>
      <c r="B131" s="40"/>
      <c r="C131" s="2" t="str">
        <f ca="1">IFERROR(__xludf.DUMMYFUNCTION("iferror(filter('Full Perk List'!C$3:C1498,'Full Perk List'!$D$3:$D1498=$D131),"""")"),"#REF!")</f>
        <v>#REF!</v>
      </c>
      <c r="D131" s="2"/>
      <c r="E131" s="2" t="str">
        <f ca="1">IFERROR(__xludf.DUMMYFUNCTION("iferror(filter('Full Perk List'!E$3:E1498,'Full Perk List'!$D$3:$D1498=$D131),"""")"),"#REF!")</f>
        <v>#REF!</v>
      </c>
      <c r="F131" s="2" t="str">
        <f ca="1">IFERROR(__xludf.DUMMYFUNCTION("iferror(filter('Full Perk List'!F$3:F1498,'Full Perk List'!$D$3:$D1498=$D131),"""")"),"#REF!")</f>
        <v>#REF!</v>
      </c>
      <c r="G131" s="2" t="str">
        <f ca="1">IFERROR(__xludf.DUMMYFUNCTION("iferror(filter('Full Perk List'!G$3:G1498,'Full Perk List'!$D$3:$D1498=$D131),"""")"),"#REF!")</f>
        <v>#REF!</v>
      </c>
      <c r="H131" s="1"/>
      <c r="I131" s="2"/>
      <c r="J131" s="2"/>
      <c r="K131" s="2"/>
      <c r="L131" s="2"/>
      <c r="M131" s="2"/>
      <c r="N131" s="2"/>
      <c r="O131" s="2"/>
      <c r="P131" s="2"/>
      <c r="Q131" s="2"/>
      <c r="R131" s="2"/>
      <c r="S131" s="2"/>
      <c r="T131" s="2"/>
      <c r="U131" s="2"/>
      <c r="V131" s="2"/>
      <c r="W131" s="2"/>
      <c r="X131" s="2"/>
      <c r="Y131" s="2"/>
    </row>
    <row r="132" spans="1:25" ht="17.399999999999999" x14ac:dyDescent="0.25">
      <c r="A132" s="1"/>
      <c r="B132" s="40"/>
      <c r="C132" s="2" t="str">
        <f ca="1">IFERROR(__xludf.DUMMYFUNCTION("iferror(filter('Full Perk List'!C$3:C1498,'Full Perk List'!$D$3:$D1498=$D132),"""")"),"#REF!")</f>
        <v>#REF!</v>
      </c>
      <c r="D132" s="2"/>
      <c r="E132" s="2" t="str">
        <f ca="1">IFERROR(__xludf.DUMMYFUNCTION("iferror(filter('Full Perk List'!E$3:E1498,'Full Perk List'!$D$3:$D1498=$D132),"""")"),"#REF!")</f>
        <v>#REF!</v>
      </c>
      <c r="F132" s="2" t="str">
        <f ca="1">IFERROR(__xludf.DUMMYFUNCTION("iferror(filter('Full Perk List'!F$3:F1498,'Full Perk List'!$D$3:$D1498=$D132),"""")"),"#REF!")</f>
        <v>#REF!</v>
      </c>
      <c r="G132" s="2" t="str">
        <f ca="1">IFERROR(__xludf.DUMMYFUNCTION("iferror(filter('Full Perk List'!G$3:G1498,'Full Perk List'!$D$3:$D1498=$D132),"""")"),"#REF!")</f>
        <v>#REF!</v>
      </c>
      <c r="H132" s="1"/>
      <c r="I132" s="2"/>
      <c r="J132" s="2"/>
      <c r="K132" s="2"/>
      <c r="L132" s="2"/>
      <c r="M132" s="2"/>
      <c r="N132" s="2"/>
      <c r="O132" s="2"/>
      <c r="P132" s="2"/>
      <c r="Q132" s="2"/>
      <c r="R132" s="2"/>
      <c r="S132" s="2"/>
      <c r="T132" s="2"/>
      <c r="U132" s="2"/>
      <c r="V132" s="2"/>
      <c r="W132" s="2"/>
      <c r="X132" s="2"/>
      <c r="Y132" s="2"/>
    </row>
    <row r="133" spans="1:25" ht="17.399999999999999" x14ac:dyDescent="0.25">
      <c r="A133" s="1"/>
      <c r="B133" s="40"/>
      <c r="C133" s="2" t="str">
        <f ca="1">IFERROR(__xludf.DUMMYFUNCTION("iferror(filter('Full Perk List'!C$3:C1498,'Full Perk List'!$D$3:$D1498=$D133),"""")"),"#REF!")</f>
        <v>#REF!</v>
      </c>
      <c r="D133" s="2"/>
      <c r="E133" s="2" t="str">
        <f ca="1">IFERROR(__xludf.DUMMYFUNCTION("iferror(filter('Full Perk List'!E$3:E1498,'Full Perk List'!$D$3:$D1498=$D133),"""")"),"#REF!")</f>
        <v>#REF!</v>
      </c>
      <c r="F133" s="2" t="str">
        <f ca="1">IFERROR(__xludf.DUMMYFUNCTION("iferror(filter('Full Perk List'!F$3:F1498,'Full Perk List'!$D$3:$D1498=$D133),"""")"),"#REF!")</f>
        <v>#REF!</v>
      </c>
      <c r="G133" s="2" t="str">
        <f ca="1">IFERROR(__xludf.DUMMYFUNCTION("iferror(filter('Full Perk List'!G$3:G1498,'Full Perk List'!$D$3:$D1498=$D133),"""")"),"#REF!")</f>
        <v>#REF!</v>
      </c>
      <c r="H133" s="1"/>
      <c r="I133" s="2"/>
      <c r="J133" s="2"/>
      <c r="K133" s="2"/>
      <c r="L133" s="2"/>
      <c r="M133" s="2"/>
      <c r="N133" s="2"/>
      <c r="O133" s="2"/>
      <c r="P133" s="2"/>
      <c r="Q133" s="2"/>
      <c r="R133" s="2"/>
      <c r="S133" s="2"/>
      <c r="T133" s="2"/>
      <c r="U133" s="2"/>
      <c r="V133" s="2"/>
      <c r="W133" s="2"/>
      <c r="X133" s="2"/>
      <c r="Y133" s="2"/>
    </row>
    <row r="134" spans="1:25" ht="17.399999999999999" x14ac:dyDescent="0.25">
      <c r="A134" s="1"/>
      <c r="B134" s="40"/>
      <c r="C134" s="2" t="str">
        <f ca="1">IFERROR(__xludf.DUMMYFUNCTION("iferror(filter('Full Perk List'!C$3:C1498,'Full Perk List'!$D$3:$D1498=$D134),"""")"),"#REF!")</f>
        <v>#REF!</v>
      </c>
      <c r="D134" s="2"/>
      <c r="E134" s="2" t="str">
        <f ca="1">IFERROR(__xludf.DUMMYFUNCTION("iferror(filter('Full Perk List'!E$3:E1498,'Full Perk List'!$D$3:$D1498=$D134),"""")"),"#REF!")</f>
        <v>#REF!</v>
      </c>
      <c r="F134" s="2" t="str">
        <f ca="1">IFERROR(__xludf.DUMMYFUNCTION("iferror(filter('Full Perk List'!F$3:F1498,'Full Perk List'!$D$3:$D1498=$D134),"""")"),"#REF!")</f>
        <v>#REF!</v>
      </c>
      <c r="G134" s="2" t="str">
        <f ca="1">IFERROR(__xludf.DUMMYFUNCTION("iferror(filter('Full Perk List'!G$3:G1498,'Full Perk List'!$D$3:$D1498=$D134),"""")"),"#REF!")</f>
        <v>#REF!</v>
      </c>
      <c r="H134" s="1"/>
      <c r="I134" s="2"/>
      <c r="J134" s="2"/>
      <c r="K134" s="2"/>
      <c r="L134" s="2"/>
      <c r="M134" s="2"/>
      <c r="N134" s="2"/>
      <c r="O134" s="2"/>
      <c r="P134" s="2"/>
      <c r="Q134" s="2"/>
      <c r="R134" s="2"/>
      <c r="S134" s="2"/>
      <c r="T134" s="2"/>
      <c r="U134" s="2"/>
      <c r="V134" s="2"/>
      <c r="W134" s="2"/>
      <c r="X134" s="2"/>
      <c r="Y134" s="2"/>
    </row>
    <row r="135" spans="1:25" ht="17.399999999999999" x14ac:dyDescent="0.25">
      <c r="A135" s="1"/>
      <c r="B135" s="40"/>
      <c r="C135" s="2" t="str">
        <f ca="1">IFERROR(__xludf.DUMMYFUNCTION("iferror(filter('Full Perk List'!C$3:C1498,'Full Perk List'!$D$3:$D1498=$D135),"""")"),"#REF!")</f>
        <v>#REF!</v>
      </c>
      <c r="D135" s="2"/>
      <c r="E135" s="2" t="str">
        <f ca="1">IFERROR(__xludf.DUMMYFUNCTION("iferror(filter('Full Perk List'!E$3:E1498,'Full Perk List'!$D$3:$D1498=$D135),"""")"),"#REF!")</f>
        <v>#REF!</v>
      </c>
      <c r="F135" s="2" t="str">
        <f ca="1">IFERROR(__xludf.DUMMYFUNCTION("iferror(filter('Full Perk List'!F$3:F1498,'Full Perk List'!$D$3:$D1498=$D135),"""")"),"#REF!")</f>
        <v>#REF!</v>
      </c>
      <c r="G135" s="2" t="str">
        <f ca="1">IFERROR(__xludf.DUMMYFUNCTION("iferror(filter('Full Perk List'!G$3:G1498,'Full Perk List'!$D$3:$D1498=$D135),"""")"),"#REF!")</f>
        <v>#REF!</v>
      </c>
      <c r="H135" s="1"/>
      <c r="I135" s="2"/>
      <c r="J135" s="2"/>
      <c r="K135" s="2"/>
      <c r="L135" s="2"/>
      <c r="M135" s="2"/>
      <c r="N135" s="2"/>
      <c r="O135" s="2"/>
      <c r="P135" s="2"/>
      <c r="Q135" s="2"/>
      <c r="R135" s="2"/>
      <c r="S135" s="2"/>
      <c r="T135" s="2"/>
      <c r="U135" s="2"/>
      <c r="V135" s="2"/>
      <c r="W135" s="2"/>
      <c r="X135" s="2"/>
      <c r="Y135" s="2"/>
    </row>
    <row r="136" spans="1:25" ht="17.399999999999999" x14ac:dyDescent="0.25">
      <c r="A136" s="1"/>
      <c r="B136" s="40"/>
      <c r="C136" s="2" t="str">
        <f ca="1">IFERROR(__xludf.DUMMYFUNCTION("iferror(filter('Full Perk List'!C$3:C1498,'Full Perk List'!$D$3:$D1498=$D136),"""")"),"#REF!")</f>
        <v>#REF!</v>
      </c>
      <c r="D136" s="2"/>
      <c r="E136" s="2" t="str">
        <f ca="1">IFERROR(__xludf.DUMMYFUNCTION("iferror(filter('Full Perk List'!E$3:E1498,'Full Perk List'!$D$3:$D1498=$D136),"""")"),"#REF!")</f>
        <v>#REF!</v>
      </c>
      <c r="F136" s="2" t="str">
        <f ca="1">IFERROR(__xludf.DUMMYFUNCTION("iferror(filter('Full Perk List'!F$3:F1498,'Full Perk List'!$D$3:$D1498=$D136),"""")"),"#REF!")</f>
        <v>#REF!</v>
      </c>
      <c r="G136" s="2" t="str">
        <f ca="1">IFERROR(__xludf.DUMMYFUNCTION("iferror(filter('Full Perk List'!G$3:G1498,'Full Perk List'!$D$3:$D1498=$D136),"""")"),"#REF!")</f>
        <v>#REF!</v>
      </c>
      <c r="H136" s="1"/>
      <c r="I136" s="2"/>
      <c r="J136" s="2"/>
      <c r="K136" s="2"/>
      <c r="L136" s="2"/>
      <c r="M136" s="2"/>
      <c r="N136" s="2"/>
      <c r="O136" s="2"/>
      <c r="P136" s="2"/>
      <c r="Q136" s="2"/>
      <c r="R136" s="2"/>
      <c r="S136" s="2"/>
      <c r="T136" s="2"/>
      <c r="U136" s="2"/>
      <c r="V136" s="2"/>
      <c r="W136" s="2"/>
      <c r="X136" s="2"/>
      <c r="Y136" s="2"/>
    </row>
    <row r="137" spans="1:25" ht="17.399999999999999" x14ac:dyDescent="0.25">
      <c r="A137" s="1"/>
      <c r="B137" s="40"/>
      <c r="C137" s="2" t="str">
        <f ca="1">IFERROR(__xludf.DUMMYFUNCTION("iferror(filter('Full Perk List'!C$3:C1498,'Full Perk List'!$D$3:$D1498=$D137),"""")"),"#REF!")</f>
        <v>#REF!</v>
      </c>
      <c r="D137" s="2"/>
      <c r="E137" s="2" t="str">
        <f ca="1">IFERROR(__xludf.DUMMYFUNCTION("iferror(filter('Full Perk List'!E$3:E1498,'Full Perk List'!$D$3:$D1498=$D137),"""")"),"#REF!")</f>
        <v>#REF!</v>
      </c>
      <c r="F137" s="2" t="str">
        <f ca="1">IFERROR(__xludf.DUMMYFUNCTION("iferror(filter('Full Perk List'!F$3:F1498,'Full Perk List'!$D$3:$D1498=$D137),"""")"),"#REF!")</f>
        <v>#REF!</v>
      </c>
      <c r="G137" s="2" t="str">
        <f ca="1">IFERROR(__xludf.DUMMYFUNCTION("iferror(filter('Full Perk List'!G$3:G1498,'Full Perk List'!$D$3:$D1498=$D137),"""")"),"#REF!")</f>
        <v>#REF!</v>
      </c>
      <c r="H137" s="1"/>
      <c r="I137" s="2"/>
      <c r="J137" s="2"/>
      <c r="K137" s="2"/>
      <c r="L137" s="2"/>
      <c r="M137" s="2"/>
      <c r="N137" s="2"/>
      <c r="O137" s="2"/>
      <c r="P137" s="2"/>
      <c r="Q137" s="2"/>
      <c r="R137" s="2"/>
      <c r="S137" s="2"/>
      <c r="T137" s="2"/>
      <c r="U137" s="2"/>
      <c r="V137" s="2"/>
      <c r="W137" s="2"/>
      <c r="X137" s="2"/>
      <c r="Y137" s="2"/>
    </row>
    <row r="138" spans="1:25" ht="17.399999999999999" x14ac:dyDescent="0.25">
      <c r="A138" s="1"/>
      <c r="B138" s="40"/>
      <c r="C138" s="2" t="str">
        <f ca="1">IFERROR(__xludf.DUMMYFUNCTION("iferror(filter('Full Perk List'!C$3:C1498,'Full Perk List'!$D$3:$D1498=$D138),"""")"),"#REF!")</f>
        <v>#REF!</v>
      </c>
      <c r="D138" s="2"/>
      <c r="E138" s="2" t="str">
        <f ca="1">IFERROR(__xludf.DUMMYFUNCTION("iferror(filter('Full Perk List'!E$3:E1498,'Full Perk List'!$D$3:$D1498=$D138),"""")"),"#REF!")</f>
        <v>#REF!</v>
      </c>
      <c r="F138" s="2" t="str">
        <f ca="1">IFERROR(__xludf.DUMMYFUNCTION("iferror(filter('Full Perk List'!F$3:F1498,'Full Perk List'!$D$3:$D1498=$D138),"""")"),"#REF!")</f>
        <v>#REF!</v>
      </c>
      <c r="G138" s="2" t="str">
        <f ca="1">IFERROR(__xludf.DUMMYFUNCTION("iferror(filter('Full Perk List'!G$3:G1498,'Full Perk List'!$D$3:$D1498=$D138),"""")"),"#REF!")</f>
        <v>#REF!</v>
      </c>
      <c r="H138" s="1"/>
      <c r="I138" s="2"/>
      <c r="J138" s="2"/>
      <c r="K138" s="2"/>
      <c r="L138" s="2"/>
      <c r="M138" s="2"/>
      <c r="N138" s="2"/>
      <c r="O138" s="2"/>
      <c r="P138" s="2"/>
      <c r="Q138" s="2"/>
      <c r="R138" s="2"/>
      <c r="S138" s="2"/>
      <c r="T138" s="2"/>
      <c r="U138" s="2"/>
      <c r="V138" s="2"/>
      <c r="W138" s="2"/>
      <c r="X138" s="2"/>
      <c r="Y138" s="2"/>
    </row>
    <row r="139" spans="1:25" ht="17.399999999999999" x14ac:dyDescent="0.25">
      <c r="A139" s="1"/>
      <c r="B139" s="40"/>
      <c r="C139" s="2" t="str">
        <f ca="1">IFERROR(__xludf.DUMMYFUNCTION("iferror(filter('Full Perk List'!C$3:C1498,'Full Perk List'!$D$3:$D1498=$D139),"""")"),"#REF!")</f>
        <v>#REF!</v>
      </c>
      <c r="D139" s="2"/>
      <c r="E139" s="2" t="str">
        <f ca="1">IFERROR(__xludf.DUMMYFUNCTION("iferror(filter('Full Perk List'!E$3:E1498,'Full Perk List'!$D$3:$D1498=$D139),"""")"),"#REF!")</f>
        <v>#REF!</v>
      </c>
      <c r="F139" s="2" t="str">
        <f ca="1">IFERROR(__xludf.DUMMYFUNCTION("iferror(filter('Full Perk List'!F$3:F1498,'Full Perk List'!$D$3:$D1498=$D139),"""")"),"#REF!")</f>
        <v>#REF!</v>
      </c>
      <c r="G139" s="2" t="str">
        <f ca="1">IFERROR(__xludf.DUMMYFUNCTION("iferror(filter('Full Perk List'!G$3:G1498,'Full Perk List'!$D$3:$D1498=$D139),"""")"),"#REF!")</f>
        <v>#REF!</v>
      </c>
      <c r="H139" s="1"/>
      <c r="I139" s="2"/>
      <c r="J139" s="2"/>
      <c r="K139" s="2"/>
      <c r="L139" s="2"/>
      <c r="M139" s="2"/>
      <c r="N139" s="2"/>
      <c r="O139" s="2"/>
      <c r="P139" s="2"/>
      <c r="Q139" s="2"/>
      <c r="R139" s="2"/>
      <c r="S139" s="2"/>
      <c r="T139" s="2"/>
      <c r="U139" s="2"/>
      <c r="V139" s="2"/>
      <c r="W139" s="2"/>
      <c r="X139" s="2"/>
      <c r="Y139" s="2"/>
    </row>
    <row r="140" spans="1:25" ht="17.399999999999999" x14ac:dyDescent="0.25">
      <c r="A140" s="1"/>
      <c r="B140" s="40"/>
      <c r="C140" s="2" t="str">
        <f ca="1">IFERROR(__xludf.DUMMYFUNCTION("iferror(filter('Full Perk List'!C$3:C1498,'Full Perk List'!$D$3:$D1498=$D140),"""")"),"#REF!")</f>
        <v>#REF!</v>
      </c>
      <c r="D140" s="2"/>
      <c r="E140" s="2" t="str">
        <f ca="1">IFERROR(__xludf.DUMMYFUNCTION("iferror(filter('Full Perk List'!E$3:E1498,'Full Perk List'!$D$3:$D1498=$D140),"""")"),"#REF!")</f>
        <v>#REF!</v>
      </c>
      <c r="F140" s="2" t="str">
        <f ca="1">IFERROR(__xludf.DUMMYFUNCTION("iferror(filter('Full Perk List'!F$3:F1498,'Full Perk List'!$D$3:$D1498=$D140),"""")"),"#REF!")</f>
        <v>#REF!</v>
      </c>
      <c r="G140" s="2" t="str">
        <f ca="1">IFERROR(__xludf.DUMMYFUNCTION("iferror(filter('Full Perk List'!G$3:G1498,'Full Perk List'!$D$3:$D1498=$D140),"""")"),"#REF!")</f>
        <v>#REF!</v>
      </c>
      <c r="H140" s="1"/>
      <c r="I140" s="2"/>
      <c r="J140" s="2"/>
      <c r="K140" s="2"/>
      <c r="L140" s="2"/>
      <c r="M140" s="2"/>
      <c r="N140" s="2"/>
      <c r="O140" s="2"/>
      <c r="P140" s="2"/>
      <c r="Q140" s="2"/>
      <c r="R140" s="2"/>
      <c r="S140" s="2"/>
      <c r="T140" s="2"/>
      <c r="U140" s="2"/>
      <c r="V140" s="2"/>
      <c r="W140" s="2"/>
      <c r="X140" s="2"/>
      <c r="Y140" s="2"/>
    </row>
    <row r="141" spans="1:25" ht="17.399999999999999" x14ac:dyDescent="0.25">
      <c r="A141" s="1"/>
      <c r="B141" s="40"/>
      <c r="C141" s="2" t="str">
        <f ca="1">IFERROR(__xludf.DUMMYFUNCTION("iferror(filter('Full Perk List'!C$3:C1498,'Full Perk List'!$D$3:$D1498=$D141),"""")"),"#REF!")</f>
        <v>#REF!</v>
      </c>
      <c r="D141" s="2"/>
      <c r="E141" s="2" t="str">
        <f ca="1">IFERROR(__xludf.DUMMYFUNCTION("iferror(filter('Full Perk List'!E$3:E1498,'Full Perk List'!$D$3:$D1498=$D141),"""")"),"#REF!")</f>
        <v>#REF!</v>
      </c>
      <c r="F141" s="2" t="str">
        <f ca="1">IFERROR(__xludf.DUMMYFUNCTION("iferror(filter('Full Perk List'!F$3:F1498,'Full Perk List'!$D$3:$D1498=$D141),"""")"),"#REF!")</f>
        <v>#REF!</v>
      </c>
      <c r="G141" s="2" t="str">
        <f ca="1">IFERROR(__xludf.DUMMYFUNCTION("iferror(filter('Full Perk List'!G$3:G1498,'Full Perk List'!$D$3:$D1498=$D141),"""")"),"#REF!")</f>
        <v>#REF!</v>
      </c>
      <c r="H141" s="1"/>
      <c r="I141" s="2"/>
      <c r="J141" s="2"/>
      <c r="K141" s="2"/>
      <c r="L141" s="2"/>
      <c r="M141" s="2"/>
      <c r="N141" s="2"/>
      <c r="O141" s="2"/>
      <c r="P141" s="2"/>
      <c r="Q141" s="2"/>
      <c r="R141" s="2"/>
      <c r="S141" s="2"/>
      <c r="T141" s="2"/>
      <c r="U141" s="2"/>
      <c r="V141" s="2"/>
      <c r="W141" s="2"/>
      <c r="X141" s="2"/>
      <c r="Y141" s="2"/>
    </row>
    <row r="142" spans="1:25" ht="17.399999999999999" x14ac:dyDescent="0.25">
      <c r="A142" s="1"/>
      <c r="B142" s="40"/>
      <c r="C142" s="2" t="str">
        <f ca="1">IFERROR(__xludf.DUMMYFUNCTION("iferror(filter('Full Perk List'!C$3:C1498,'Full Perk List'!$D$3:$D1498=$D142),"""")"),"#REF!")</f>
        <v>#REF!</v>
      </c>
      <c r="D142" s="2"/>
      <c r="E142" s="2" t="str">
        <f ca="1">IFERROR(__xludf.DUMMYFUNCTION("iferror(filter('Full Perk List'!E$3:E1498,'Full Perk List'!$D$3:$D1498=$D142),"""")"),"#REF!")</f>
        <v>#REF!</v>
      </c>
      <c r="F142" s="2" t="str">
        <f ca="1">IFERROR(__xludf.DUMMYFUNCTION("iferror(filter('Full Perk List'!F$3:F1498,'Full Perk List'!$D$3:$D1498=$D142),"""")"),"#REF!")</f>
        <v>#REF!</v>
      </c>
      <c r="G142" s="2" t="str">
        <f ca="1">IFERROR(__xludf.DUMMYFUNCTION("iferror(filter('Full Perk List'!G$3:G1498,'Full Perk List'!$D$3:$D1498=$D142),"""")"),"#REF!")</f>
        <v>#REF!</v>
      </c>
      <c r="H142" s="1"/>
      <c r="I142" s="2"/>
      <c r="J142" s="2"/>
      <c r="K142" s="2"/>
      <c r="L142" s="2"/>
      <c r="M142" s="2"/>
      <c r="N142" s="2"/>
      <c r="O142" s="2"/>
      <c r="P142" s="2"/>
      <c r="Q142" s="2"/>
      <c r="R142" s="2"/>
      <c r="S142" s="2"/>
      <c r="T142" s="2"/>
      <c r="U142" s="2"/>
      <c r="V142" s="2"/>
      <c r="W142" s="2"/>
      <c r="X142" s="2"/>
      <c r="Y142" s="2"/>
    </row>
    <row r="143" spans="1:25" ht="17.399999999999999" x14ac:dyDescent="0.25">
      <c r="A143" s="1"/>
      <c r="B143" s="40"/>
      <c r="C143" s="2" t="str">
        <f ca="1">IFERROR(__xludf.DUMMYFUNCTION("iferror(filter('Full Perk List'!C$3:C1498,'Full Perk List'!$D$3:$D1498=$D143),"""")"),"#REF!")</f>
        <v>#REF!</v>
      </c>
      <c r="D143" s="2"/>
      <c r="E143" s="2" t="str">
        <f ca="1">IFERROR(__xludf.DUMMYFUNCTION("iferror(filter('Full Perk List'!E$3:E1498,'Full Perk List'!$D$3:$D1498=$D143),"""")"),"#REF!")</f>
        <v>#REF!</v>
      </c>
      <c r="F143" s="2" t="str">
        <f ca="1">IFERROR(__xludf.DUMMYFUNCTION("iferror(filter('Full Perk List'!F$3:F1498,'Full Perk List'!$D$3:$D1498=$D143),"""")"),"#REF!")</f>
        <v>#REF!</v>
      </c>
      <c r="G143" s="2" t="str">
        <f ca="1">IFERROR(__xludf.DUMMYFUNCTION("iferror(filter('Full Perk List'!G$3:G1498,'Full Perk List'!$D$3:$D1498=$D143),"""")"),"#REF!")</f>
        <v>#REF!</v>
      </c>
      <c r="H143" s="1"/>
      <c r="I143" s="2"/>
      <c r="J143" s="2"/>
      <c r="K143" s="2"/>
      <c r="L143" s="2"/>
      <c r="M143" s="2"/>
      <c r="N143" s="2"/>
      <c r="O143" s="2"/>
      <c r="P143" s="2"/>
      <c r="Q143" s="2"/>
      <c r="R143" s="2"/>
      <c r="S143" s="2"/>
      <c r="T143" s="2"/>
      <c r="U143" s="2"/>
      <c r="V143" s="2"/>
      <c r="W143" s="2"/>
      <c r="X143" s="2"/>
      <c r="Y143" s="2"/>
    </row>
    <row r="144" spans="1:25" ht="17.399999999999999" x14ac:dyDescent="0.25">
      <c r="A144" s="1"/>
      <c r="B144" s="40"/>
      <c r="C144" s="2" t="str">
        <f ca="1">IFERROR(__xludf.DUMMYFUNCTION("iferror(filter('Full Perk List'!C$3:C1498,'Full Perk List'!$D$3:$D1498=$D144),"""")"),"#REF!")</f>
        <v>#REF!</v>
      </c>
      <c r="D144" s="2"/>
      <c r="E144" s="2" t="str">
        <f ca="1">IFERROR(__xludf.DUMMYFUNCTION("iferror(filter('Full Perk List'!E$3:E1498,'Full Perk List'!$D$3:$D1498=$D144),"""")"),"#REF!")</f>
        <v>#REF!</v>
      </c>
      <c r="F144" s="2" t="str">
        <f ca="1">IFERROR(__xludf.DUMMYFUNCTION("iferror(filter('Full Perk List'!F$3:F1498,'Full Perk List'!$D$3:$D1498=$D144),"""")"),"#REF!")</f>
        <v>#REF!</v>
      </c>
      <c r="G144" s="2" t="str">
        <f ca="1">IFERROR(__xludf.DUMMYFUNCTION("iferror(filter('Full Perk List'!G$3:G1498,'Full Perk List'!$D$3:$D1498=$D144),"""")"),"#REF!")</f>
        <v>#REF!</v>
      </c>
      <c r="H144" s="1"/>
      <c r="I144" s="2"/>
      <c r="J144" s="2"/>
      <c r="K144" s="2"/>
      <c r="L144" s="2"/>
      <c r="M144" s="2"/>
      <c r="N144" s="2"/>
      <c r="O144" s="2"/>
      <c r="P144" s="2"/>
      <c r="Q144" s="2"/>
      <c r="R144" s="2"/>
      <c r="S144" s="2"/>
      <c r="T144" s="2"/>
      <c r="U144" s="2"/>
      <c r="V144" s="2"/>
      <c r="W144" s="2"/>
      <c r="X144" s="2"/>
      <c r="Y144" s="2"/>
    </row>
    <row r="145" spans="1:25" ht="17.399999999999999" x14ac:dyDescent="0.25">
      <c r="A145" s="1"/>
      <c r="B145" s="40"/>
      <c r="C145" s="2" t="str">
        <f ca="1">IFERROR(__xludf.DUMMYFUNCTION("iferror(filter('Full Perk List'!C$3:C1498,'Full Perk List'!$D$3:$D1498=$D145),"""")"),"#REF!")</f>
        <v>#REF!</v>
      </c>
      <c r="D145" s="2"/>
      <c r="E145" s="2" t="str">
        <f ca="1">IFERROR(__xludf.DUMMYFUNCTION("iferror(filter('Full Perk List'!E$3:E1498,'Full Perk List'!$D$3:$D1498=$D145),"""")"),"#REF!")</f>
        <v>#REF!</v>
      </c>
      <c r="F145" s="2" t="str">
        <f ca="1">IFERROR(__xludf.DUMMYFUNCTION("iferror(filter('Full Perk List'!F$3:F1498,'Full Perk List'!$D$3:$D1498=$D145),"""")"),"#REF!")</f>
        <v>#REF!</v>
      </c>
      <c r="G145" s="2" t="str">
        <f ca="1">IFERROR(__xludf.DUMMYFUNCTION("iferror(filter('Full Perk List'!G$3:G1498,'Full Perk List'!$D$3:$D1498=$D145),"""")"),"#REF!")</f>
        <v>#REF!</v>
      </c>
      <c r="H145" s="1"/>
      <c r="I145" s="2"/>
      <c r="J145" s="2"/>
      <c r="K145" s="2"/>
      <c r="L145" s="2"/>
      <c r="M145" s="2"/>
      <c r="N145" s="2"/>
      <c r="O145" s="2"/>
      <c r="P145" s="2"/>
      <c r="Q145" s="2"/>
      <c r="R145" s="2"/>
      <c r="S145" s="2"/>
      <c r="T145" s="2"/>
      <c r="U145" s="2"/>
      <c r="V145" s="2"/>
      <c r="W145" s="2"/>
      <c r="X145" s="2"/>
      <c r="Y145" s="2"/>
    </row>
    <row r="146" spans="1:25" ht="17.399999999999999" x14ac:dyDescent="0.25">
      <c r="A146" s="1"/>
      <c r="B146" s="40"/>
      <c r="C146" s="2" t="str">
        <f ca="1">IFERROR(__xludf.DUMMYFUNCTION("iferror(filter('Full Perk List'!C$3:C1498,'Full Perk List'!$D$3:$D1498=$D146),"""")"),"#REF!")</f>
        <v>#REF!</v>
      </c>
      <c r="D146" s="2"/>
      <c r="E146" s="2" t="str">
        <f ca="1">IFERROR(__xludf.DUMMYFUNCTION("iferror(filter('Full Perk List'!E$3:E1498,'Full Perk List'!$D$3:$D1498=$D146),"""")"),"#REF!")</f>
        <v>#REF!</v>
      </c>
      <c r="F146" s="2" t="str">
        <f ca="1">IFERROR(__xludf.DUMMYFUNCTION("iferror(filter('Full Perk List'!F$3:F1498,'Full Perk List'!$D$3:$D1498=$D146),"""")"),"#REF!")</f>
        <v>#REF!</v>
      </c>
      <c r="G146" s="2" t="str">
        <f ca="1">IFERROR(__xludf.DUMMYFUNCTION("iferror(filter('Full Perk List'!G$3:G1498,'Full Perk List'!$D$3:$D1498=$D146),"""")"),"#REF!")</f>
        <v>#REF!</v>
      </c>
      <c r="H146" s="1"/>
      <c r="I146" s="2"/>
      <c r="J146" s="2"/>
      <c r="K146" s="2"/>
      <c r="L146" s="2"/>
      <c r="M146" s="2"/>
      <c r="N146" s="2"/>
      <c r="O146" s="2"/>
      <c r="P146" s="2"/>
      <c r="Q146" s="2"/>
      <c r="R146" s="2"/>
      <c r="S146" s="2"/>
      <c r="T146" s="2"/>
      <c r="U146" s="2"/>
      <c r="V146" s="2"/>
      <c r="W146" s="2"/>
      <c r="X146" s="2"/>
      <c r="Y146" s="2"/>
    </row>
    <row r="147" spans="1:25" ht="17.399999999999999" x14ac:dyDescent="0.25">
      <c r="A147" s="1"/>
      <c r="B147" s="40"/>
      <c r="C147" s="2" t="str">
        <f ca="1">IFERROR(__xludf.DUMMYFUNCTION("iferror(filter('Full Perk List'!C$3:C1498,'Full Perk List'!$D$3:$D1498=$D147),"""")"),"#REF!")</f>
        <v>#REF!</v>
      </c>
      <c r="D147" s="2"/>
      <c r="E147" s="2" t="str">
        <f ca="1">IFERROR(__xludf.DUMMYFUNCTION("iferror(filter('Full Perk List'!E$3:E1498,'Full Perk List'!$D$3:$D1498=$D147),"""")"),"#REF!")</f>
        <v>#REF!</v>
      </c>
      <c r="F147" s="2" t="str">
        <f ca="1">IFERROR(__xludf.DUMMYFUNCTION("iferror(filter('Full Perk List'!F$3:F1498,'Full Perk List'!$D$3:$D1498=$D147),"""")"),"#REF!")</f>
        <v>#REF!</v>
      </c>
      <c r="G147" s="2" t="str">
        <f ca="1">IFERROR(__xludf.DUMMYFUNCTION("iferror(filter('Full Perk List'!G$3:G1498,'Full Perk List'!$D$3:$D1498=$D147),"""")"),"#REF!")</f>
        <v>#REF!</v>
      </c>
      <c r="H147" s="1"/>
      <c r="I147" s="2"/>
      <c r="J147" s="2"/>
      <c r="K147" s="2"/>
      <c r="L147" s="2"/>
      <c r="M147" s="2"/>
      <c r="N147" s="2"/>
      <c r="O147" s="2"/>
      <c r="P147" s="2"/>
      <c r="Q147" s="2"/>
      <c r="R147" s="2"/>
      <c r="S147" s="2"/>
      <c r="T147" s="2"/>
      <c r="U147" s="2"/>
      <c r="V147" s="2"/>
      <c r="W147" s="2"/>
      <c r="X147" s="2"/>
      <c r="Y147" s="2"/>
    </row>
    <row r="148" spans="1:25" ht="17.399999999999999" x14ac:dyDescent="0.25">
      <c r="A148" s="1"/>
      <c r="B148" s="40"/>
      <c r="C148" s="2" t="str">
        <f ca="1">IFERROR(__xludf.DUMMYFUNCTION("iferror(filter('Full Perk List'!C$3:C1498,'Full Perk List'!$D$3:$D1498=$D148),"""")"),"#REF!")</f>
        <v>#REF!</v>
      </c>
      <c r="D148" s="2"/>
      <c r="E148" s="2" t="str">
        <f ca="1">IFERROR(__xludf.DUMMYFUNCTION("iferror(filter('Full Perk List'!E$3:E1498,'Full Perk List'!$D$3:$D1498=$D148),"""")"),"#REF!")</f>
        <v>#REF!</v>
      </c>
      <c r="F148" s="2" t="str">
        <f ca="1">IFERROR(__xludf.DUMMYFUNCTION("iferror(filter('Full Perk List'!F$3:F1498,'Full Perk List'!$D$3:$D1498=$D148),"""")"),"#REF!")</f>
        <v>#REF!</v>
      </c>
      <c r="G148" s="2" t="str">
        <f ca="1">IFERROR(__xludf.DUMMYFUNCTION("iferror(filter('Full Perk List'!G$3:G1498,'Full Perk List'!$D$3:$D1498=$D148),"""")"),"#REF!")</f>
        <v>#REF!</v>
      </c>
      <c r="H148" s="1"/>
      <c r="I148" s="2"/>
      <c r="J148" s="2"/>
      <c r="K148" s="2"/>
      <c r="L148" s="2"/>
      <c r="M148" s="2"/>
      <c r="N148" s="2"/>
      <c r="O148" s="2"/>
      <c r="P148" s="2"/>
      <c r="Q148" s="2"/>
      <c r="R148" s="2"/>
      <c r="S148" s="2"/>
      <c r="T148" s="2"/>
      <c r="U148" s="2"/>
      <c r="V148" s="2"/>
      <c r="W148" s="2"/>
      <c r="X148" s="2"/>
      <c r="Y148" s="2"/>
    </row>
    <row r="149" spans="1:25" ht="17.399999999999999" x14ac:dyDescent="0.25">
      <c r="A149" s="1"/>
      <c r="B149" s="40"/>
      <c r="C149" s="2" t="str">
        <f ca="1">IFERROR(__xludf.DUMMYFUNCTION("iferror(filter('Full Perk List'!C$3:C1498,'Full Perk List'!$D$3:$D1498=$D149),"""")"),"#REF!")</f>
        <v>#REF!</v>
      </c>
      <c r="D149" s="2"/>
      <c r="E149" s="2" t="str">
        <f ca="1">IFERROR(__xludf.DUMMYFUNCTION("iferror(filter('Full Perk List'!E$3:E1498,'Full Perk List'!$D$3:$D1498=$D149),"""")"),"#REF!")</f>
        <v>#REF!</v>
      </c>
      <c r="F149" s="2" t="str">
        <f ca="1">IFERROR(__xludf.DUMMYFUNCTION("iferror(filter('Full Perk List'!F$3:F1498,'Full Perk List'!$D$3:$D1498=$D149),"""")"),"#REF!")</f>
        <v>#REF!</v>
      </c>
      <c r="G149" s="2" t="str">
        <f ca="1">IFERROR(__xludf.DUMMYFUNCTION("iferror(filter('Full Perk List'!G$3:G1498,'Full Perk List'!$D$3:$D1498=$D149),"""")"),"#REF!")</f>
        <v>#REF!</v>
      </c>
      <c r="H149" s="1"/>
      <c r="I149" s="2"/>
      <c r="J149" s="2"/>
      <c r="K149" s="2"/>
      <c r="L149" s="2"/>
      <c r="M149" s="2"/>
      <c r="N149" s="2"/>
      <c r="O149" s="2"/>
      <c r="P149" s="2"/>
      <c r="Q149" s="2"/>
      <c r="R149" s="2"/>
      <c r="S149" s="2"/>
      <c r="T149" s="2"/>
      <c r="U149" s="2"/>
      <c r="V149" s="2"/>
      <c r="W149" s="2"/>
      <c r="X149" s="2"/>
      <c r="Y149" s="2"/>
    </row>
    <row r="150" spans="1:25" ht="17.399999999999999" x14ac:dyDescent="0.25">
      <c r="A150" s="1"/>
      <c r="B150" s="40"/>
      <c r="C150" s="2" t="str">
        <f ca="1">IFERROR(__xludf.DUMMYFUNCTION("iferror(filter('Full Perk List'!C$3:C1498,'Full Perk List'!$D$3:$D1498=$D150),"""")"),"#REF!")</f>
        <v>#REF!</v>
      </c>
      <c r="D150" s="2"/>
      <c r="E150" s="2" t="str">
        <f ca="1">IFERROR(__xludf.DUMMYFUNCTION("iferror(filter('Full Perk List'!E$3:E1498,'Full Perk List'!$D$3:$D1498=$D150),"""")"),"#REF!")</f>
        <v>#REF!</v>
      </c>
      <c r="F150" s="2" t="str">
        <f ca="1">IFERROR(__xludf.DUMMYFUNCTION("iferror(filter('Full Perk List'!F$3:F1498,'Full Perk List'!$D$3:$D1498=$D150),"""")"),"#REF!")</f>
        <v>#REF!</v>
      </c>
      <c r="G150" s="2" t="str">
        <f ca="1">IFERROR(__xludf.DUMMYFUNCTION("iferror(filter('Full Perk List'!G$3:G1498,'Full Perk List'!$D$3:$D1498=$D150),"""")"),"#REF!")</f>
        <v>#REF!</v>
      </c>
      <c r="H150" s="1"/>
      <c r="I150" s="2"/>
      <c r="J150" s="2"/>
      <c r="K150" s="2"/>
      <c r="L150" s="2"/>
      <c r="M150" s="2"/>
      <c r="N150" s="2"/>
      <c r="O150" s="2"/>
      <c r="P150" s="2"/>
      <c r="Q150" s="2"/>
      <c r="R150" s="2"/>
      <c r="S150" s="2"/>
      <c r="T150" s="2"/>
      <c r="U150" s="2"/>
      <c r="V150" s="2"/>
      <c r="W150" s="2"/>
      <c r="X150" s="2"/>
      <c r="Y150" s="2"/>
    </row>
    <row r="151" spans="1:25" ht="17.399999999999999" x14ac:dyDescent="0.25">
      <c r="A151" s="1"/>
      <c r="B151" s="40"/>
      <c r="C151" s="2" t="str">
        <f ca="1">IFERROR(__xludf.DUMMYFUNCTION("iferror(filter('Full Perk List'!C$3:C1498,'Full Perk List'!$D$3:$D1498=$D151),"""")"),"#REF!")</f>
        <v>#REF!</v>
      </c>
      <c r="D151" s="2"/>
      <c r="E151" s="2" t="str">
        <f ca="1">IFERROR(__xludf.DUMMYFUNCTION("iferror(filter('Full Perk List'!E$3:E1498,'Full Perk List'!$D$3:$D1498=$D151),"""")"),"#REF!")</f>
        <v>#REF!</v>
      </c>
      <c r="F151" s="2" t="str">
        <f ca="1">IFERROR(__xludf.DUMMYFUNCTION("iferror(filter('Full Perk List'!F$3:F1498,'Full Perk List'!$D$3:$D1498=$D151),"""")"),"#REF!")</f>
        <v>#REF!</v>
      </c>
      <c r="G151" s="2" t="str">
        <f ca="1">IFERROR(__xludf.DUMMYFUNCTION("iferror(filter('Full Perk List'!G$3:G1498,'Full Perk List'!$D$3:$D1498=$D151),"""")"),"#REF!")</f>
        <v>#REF!</v>
      </c>
      <c r="H151" s="1"/>
      <c r="I151" s="2"/>
      <c r="J151" s="2"/>
      <c r="K151" s="2"/>
      <c r="L151" s="2"/>
      <c r="M151" s="2"/>
      <c r="N151" s="2"/>
      <c r="O151" s="2"/>
      <c r="P151" s="2"/>
      <c r="Q151" s="2"/>
      <c r="R151" s="2"/>
      <c r="S151" s="2"/>
      <c r="T151" s="2"/>
      <c r="U151" s="2"/>
      <c r="V151" s="2"/>
      <c r="W151" s="2"/>
      <c r="X151" s="2"/>
      <c r="Y151" s="2"/>
    </row>
    <row r="152" spans="1:25" ht="17.399999999999999" x14ac:dyDescent="0.25">
      <c r="A152" s="1"/>
      <c r="B152" s="40"/>
      <c r="C152" s="2" t="str">
        <f ca="1">IFERROR(__xludf.DUMMYFUNCTION("iferror(filter('Full Perk List'!C$3:C1498,'Full Perk List'!$D$3:$D1498=$D152),"""")"),"#REF!")</f>
        <v>#REF!</v>
      </c>
      <c r="D152" s="2"/>
      <c r="E152" s="2" t="str">
        <f ca="1">IFERROR(__xludf.DUMMYFUNCTION("iferror(filter('Full Perk List'!E$3:E1498,'Full Perk List'!$D$3:$D1498=$D152),"""")"),"#REF!")</f>
        <v>#REF!</v>
      </c>
      <c r="F152" s="2" t="str">
        <f ca="1">IFERROR(__xludf.DUMMYFUNCTION("iferror(filter('Full Perk List'!F$3:F1498,'Full Perk List'!$D$3:$D1498=$D152),"""")"),"#REF!")</f>
        <v>#REF!</v>
      </c>
      <c r="G152" s="2" t="str">
        <f ca="1">IFERROR(__xludf.DUMMYFUNCTION("iferror(filter('Full Perk List'!G$3:G1498,'Full Perk List'!$D$3:$D1498=$D152),"""")"),"#REF!")</f>
        <v>#REF!</v>
      </c>
      <c r="H152" s="1"/>
      <c r="I152" s="2"/>
      <c r="J152" s="2"/>
      <c r="K152" s="2"/>
      <c r="L152" s="2"/>
      <c r="M152" s="2"/>
      <c r="N152" s="2"/>
      <c r="O152" s="2"/>
      <c r="P152" s="2"/>
      <c r="Q152" s="2"/>
      <c r="R152" s="2"/>
      <c r="S152" s="2"/>
      <c r="T152" s="2"/>
      <c r="U152" s="2"/>
      <c r="V152" s="2"/>
      <c r="W152" s="2"/>
      <c r="X152" s="2"/>
      <c r="Y152" s="2"/>
    </row>
    <row r="153" spans="1:25" ht="17.399999999999999" x14ac:dyDescent="0.25">
      <c r="A153" s="1"/>
      <c r="B153" s="40"/>
      <c r="C153" s="2" t="str">
        <f ca="1">IFERROR(__xludf.DUMMYFUNCTION("iferror(filter('Full Perk List'!C$3:C1498,'Full Perk List'!$D$3:$D1498=$D153),"""")"),"#REF!")</f>
        <v>#REF!</v>
      </c>
      <c r="D153" s="2"/>
      <c r="E153" s="2" t="str">
        <f ca="1">IFERROR(__xludf.DUMMYFUNCTION("iferror(filter('Full Perk List'!E$3:E1498,'Full Perk List'!$D$3:$D1498=$D153),"""")"),"#REF!")</f>
        <v>#REF!</v>
      </c>
      <c r="F153" s="2" t="str">
        <f ca="1">IFERROR(__xludf.DUMMYFUNCTION("iferror(filter('Full Perk List'!F$3:F1498,'Full Perk List'!$D$3:$D1498=$D153),"""")"),"#REF!")</f>
        <v>#REF!</v>
      </c>
      <c r="G153" s="2" t="str">
        <f ca="1">IFERROR(__xludf.DUMMYFUNCTION("iferror(filter('Full Perk List'!G$3:G1498,'Full Perk List'!$D$3:$D1498=$D153),"""")"),"#REF!")</f>
        <v>#REF!</v>
      </c>
      <c r="H153" s="1"/>
      <c r="I153" s="2"/>
      <c r="J153" s="2"/>
      <c r="K153" s="2"/>
      <c r="L153" s="2"/>
      <c r="M153" s="2"/>
      <c r="N153" s="2"/>
      <c r="O153" s="2"/>
      <c r="P153" s="2"/>
      <c r="Q153" s="2"/>
      <c r="R153" s="2"/>
      <c r="S153" s="2"/>
      <c r="T153" s="2"/>
      <c r="U153" s="2"/>
      <c r="V153" s="2"/>
      <c r="W153" s="2"/>
      <c r="X153" s="2"/>
      <c r="Y153" s="2"/>
    </row>
    <row r="154" spans="1:25" ht="17.399999999999999" x14ac:dyDescent="0.25">
      <c r="A154" s="1"/>
      <c r="B154" s="40"/>
      <c r="C154" s="2" t="str">
        <f ca="1">IFERROR(__xludf.DUMMYFUNCTION("iferror(filter('Full Perk List'!C$3:C1498,'Full Perk List'!$D$3:$D1498=$D154),"""")"),"#REF!")</f>
        <v>#REF!</v>
      </c>
      <c r="D154" s="2"/>
      <c r="E154" s="2" t="str">
        <f ca="1">IFERROR(__xludf.DUMMYFUNCTION("iferror(filter('Full Perk List'!E$3:E1498,'Full Perk List'!$D$3:$D1498=$D154),"""")"),"#REF!")</f>
        <v>#REF!</v>
      </c>
      <c r="F154" s="2" t="str">
        <f ca="1">IFERROR(__xludf.DUMMYFUNCTION("iferror(filter('Full Perk List'!F$3:F1498,'Full Perk List'!$D$3:$D1498=$D154),"""")"),"#REF!")</f>
        <v>#REF!</v>
      </c>
      <c r="G154" s="2" t="str">
        <f ca="1">IFERROR(__xludf.DUMMYFUNCTION("iferror(filter('Full Perk List'!G$3:G1498,'Full Perk List'!$D$3:$D1498=$D154),"""")"),"#REF!")</f>
        <v>#REF!</v>
      </c>
      <c r="H154" s="1"/>
      <c r="I154" s="2"/>
      <c r="J154" s="2"/>
      <c r="K154" s="2"/>
      <c r="L154" s="2"/>
      <c r="M154" s="2"/>
      <c r="N154" s="2"/>
      <c r="O154" s="2"/>
      <c r="P154" s="2"/>
      <c r="Q154" s="2"/>
      <c r="R154" s="2"/>
      <c r="S154" s="2"/>
      <c r="T154" s="2"/>
      <c r="U154" s="2"/>
      <c r="V154" s="2"/>
      <c r="W154" s="2"/>
      <c r="X154" s="2"/>
      <c r="Y154" s="2"/>
    </row>
    <row r="155" spans="1:25" ht="17.399999999999999" x14ac:dyDescent="0.25">
      <c r="A155" s="1"/>
      <c r="B155" s="40"/>
      <c r="C155" s="2" t="str">
        <f ca="1">IFERROR(__xludf.DUMMYFUNCTION("iferror(filter('Full Perk List'!C$3:C1498,'Full Perk List'!$D$3:$D1498=$D155),"""")"),"#REF!")</f>
        <v>#REF!</v>
      </c>
      <c r="D155" s="2"/>
      <c r="E155" s="2" t="str">
        <f ca="1">IFERROR(__xludf.DUMMYFUNCTION("iferror(filter('Full Perk List'!E$3:E1498,'Full Perk List'!$D$3:$D1498=$D155),"""")"),"#REF!")</f>
        <v>#REF!</v>
      </c>
      <c r="F155" s="2" t="str">
        <f ca="1">IFERROR(__xludf.DUMMYFUNCTION("iferror(filter('Full Perk List'!F$3:F1498,'Full Perk List'!$D$3:$D1498=$D155),"""")"),"#REF!")</f>
        <v>#REF!</v>
      </c>
      <c r="G155" s="2" t="str">
        <f ca="1">IFERROR(__xludf.DUMMYFUNCTION("iferror(filter('Full Perk List'!G$3:G1498,'Full Perk List'!$D$3:$D1498=$D155),"""")"),"#REF!")</f>
        <v>#REF!</v>
      </c>
      <c r="H155" s="1"/>
      <c r="I155" s="2"/>
      <c r="J155" s="2"/>
      <c r="K155" s="2"/>
      <c r="L155" s="2"/>
      <c r="M155" s="2"/>
      <c r="N155" s="2"/>
      <c r="O155" s="2"/>
      <c r="P155" s="2"/>
      <c r="Q155" s="2"/>
      <c r="R155" s="2"/>
      <c r="S155" s="2"/>
      <c r="T155" s="2"/>
      <c r="U155" s="2"/>
      <c r="V155" s="2"/>
      <c r="W155" s="2"/>
      <c r="X155" s="2"/>
      <c r="Y155" s="2"/>
    </row>
    <row r="156" spans="1:25" ht="17.399999999999999" x14ac:dyDescent="0.25">
      <c r="A156" s="1"/>
      <c r="B156" s="40"/>
      <c r="C156" s="2" t="str">
        <f ca="1">IFERROR(__xludf.DUMMYFUNCTION("iferror(filter('Full Perk List'!C$3:C1498,'Full Perk List'!$D$3:$D1498=$D156),"""")"),"#REF!")</f>
        <v>#REF!</v>
      </c>
      <c r="D156" s="2"/>
      <c r="E156" s="2" t="str">
        <f ca="1">IFERROR(__xludf.DUMMYFUNCTION("iferror(filter('Full Perk List'!E$3:E1498,'Full Perk List'!$D$3:$D1498=$D156),"""")"),"#REF!")</f>
        <v>#REF!</v>
      </c>
      <c r="F156" s="2" t="str">
        <f ca="1">IFERROR(__xludf.DUMMYFUNCTION("iferror(filter('Full Perk List'!F$3:F1498,'Full Perk List'!$D$3:$D1498=$D156),"""")"),"#REF!")</f>
        <v>#REF!</v>
      </c>
      <c r="G156" s="2" t="str">
        <f ca="1">IFERROR(__xludf.DUMMYFUNCTION("iferror(filter('Full Perk List'!G$3:G1498,'Full Perk List'!$D$3:$D1498=$D156),"""")"),"#REF!")</f>
        <v>#REF!</v>
      </c>
      <c r="H156" s="1"/>
      <c r="I156" s="2"/>
      <c r="J156" s="2"/>
      <c r="K156" s="2"/>
      <c r="L156" s="2"/>
      <c r="M156" s="2"/>
      <c r="N156" s="2"/>
      <c r="O156" s="2"/>
      <c r="P156" s="2"/>
      <c r="Q156" s="2"/>
      <c r="R156" s="2"/>
      <c r="S156" s="2"/>
      <c r="T156" s="2"/>
      <c r="U156" s="2"/>
      <c r="V156" s="2"/>
      <c r="W156" s="2"/>
      <c r="X156" s="2"/>
      <c r="Y156" s="2"/>
    </row>
    <row r="157" spans="1:25" ht="17.399999999999999" x14ac:dyDescent="0.25">
      <c r="A157" s="1"/>
      <c r="B157" s="40"/>
      <c r="C157" s="2" t="str">
        <f ca="1">IFERROR(__xludf.DUMMYFUNCTION("iferror(filter('Full Perk List'!C$3:C1498,'Full Perk List'!$D$3:$D1498=$D157),"""")"),"#REF!")</f>
        <v>#REF!</v>
      </c>
      <c r="D157" s="2"/>
      <c r="E157" s="2" t="str">
        <f ca="1">IFERROR(__xludf.DUMMYFUNCTION("iferror(filter('Full Perk List'!E$3:E1498,'Full Perk List'!$D$3:$D1498=$D157),"""")"),"#REF!")</f>
        <v>#REF!</v>
      </c>
      <c r="F157" s="2" t="str">
        <f ca="1">IFERROR(__xludf.DUMMYFUNCTION("iferror(filter('Full Perk List'!F$3:F1498,'Full Perk List'!$D$3:$D1498=$D157),"""")"),"#REF!")</f>
        <v>#REF!</v>
      </c>
      <c r="G157" s="2" t="str">
        <f ca="1">IFERROR(__xludf.DUMMYFUNCTION("iferror(filter('Full Perk List'!G$3:G1498,'Full Perk List'!$D$3:$D1498=$D157),"""")"),"#REF!")</f>
        <v>#REF!</v>
      </c>
      <c r="H157" s="1"/>
      <c r="I157" s="2"/>
      <c r="J157" s="2"/>
      <c r="K157" s="2"/>
      <c r="L157" s="2"/>
      <c r="M157" s="2"/>
      <c r="N157" s="2"/>
      <c r="O157" s="2"/>
      <c r="P157" s="2"/>
      <c r="Q157" s="2"/>
      <c r="R157" s="2"/>
      <c r="S157" s="2"/>
      <c r="T157" s="2"/>
      <c r="U157" s="2"/>
      <c r="V157" s="2"/>
      <c r="W157" s="2"/>
      <c r="X157" s="2"/>
      <c r="Y157" s="2"/>
    </row>
    <row r="158" spans="1:25" ht="17.399999999999999" x14ac:dyDescent="0.25">
      <c r="A158" s="1"/>
      <c r="B158" s="40"/>
      <c r="C158" s="2" t="str">
        <f ca="1">IFERROR(__xludf.DUMMYFUNCTION("iferror(filter('Full Perk List'!C$3:C1498,'Full Perk List'!$D$3:$D1498=$D158),"""")"),"#REF!")</f>
        <v>#REF!</v>
      </c>
      <c r="D158" s="2"/>
      <c r="E158" s="2" t="str">
        <f ca="1">IFERROR(__xludf.DUMMYFUNCTION("iferror(filter('Full Perk List'!E$3:E1498,'Full Perk List'!$D$3:$D1498=$D158),"""")"),"#REF!")</f>
        <v>#REF!</v>
      </c>
      <c r="F158" s="2" t="str">
        <f ca="1">IFERROR(__xludf.DUMMYFUNCTION("iferror(filter('Full Perk List'!F$3:F1498,'Full Perk List'!$D$3:$D1498=$D158),"""")"),"#REF!")</f>
        <v>#REF!</v>
      </c>
      <c r="G158" s="2" t="str">
        <f ca="1">IFERROR(__xludf.DUMMYFUNCTION("iferror(filter('Full Perk List'!G$3:G1498,'Full Perk List'!$D$3:$D1498=$D158),"""")"),"#REF!")</f>
        <v>#REF!</v>
      </c>
      <c r="H158" s="1"/>
      <c r="I158" s="2"/>
      <c r="J158" s="2"/>
      <c r="K158" s="2"/>
      <c r="L158" s="2"/>
      <c r="M158" s="2"/>
      <c r="N158" s="2"/>
      <c r="O158" s="2"/>
      <c r="P158" s="2"/>
      <c r="Q158" s="2"/>
      <c r="R158" s="2"/>
      <c r="S158" s="2"/>
      <c r="T158" s="2"/>
      <c r="U158" s="2"/>
      <c r="V158" s="2"/>
      <c r="W158" s="2"/>
      <c r="X158" s="2"/>
      <c r="Y158" s="2"/>
    </row>
    <row r="159" spans="1:25" ht="17.399999999999999" x14ac:dyDescent="0.25">
      <c r="A159" s="1"/>
      <c r="B159" s="40"/>
      <c r="C159" s="2" t="str">
        <f ca="1">IFERROR(__xludf.DUMMYFUNCTION("iferror(filter('Full Perk List'!C$3:C1498,'Full Perk List'!$D$3:$D1498=$D159),"""")"),"#REF!")</f>
        <v>#REF!</v>
      </c>
      <c r="D159" s="2"/>
      <c r="E159" s="2" t="str">
        <f ca="1">IFERROR(__xludf.DUMMYFUNCTION("iferror(filter('Full Perk List'!E$3:E1498,'Full Perk List'!$D$3:$D1498=$D159),"""")"),"#REF!")</f>
        <v>#REF!</v>
      </c>
      <c r="F159" s="2" t="str">
        <f ca="1">IFERROR(__xludf.DUMMYFUNCTION("iferror(filter('Full Perk List'!F$3:F1498,'Full Perk List'!$D$3:$D1498=$D159),"""")"),"#REF!")</f>
        <v>#REF!</v>
      </c>
      <c r="G159" s="2" t="str">
        <f ca="1">IFERROR(__xludf.DUMMYFUNCTION("iferror(filter('Full Perk List'!G$3:G1498,'Full Perk List'!$D$3:$D1498=$D159),"""")"),"#REF!")</f>
        <v>#REF!</v>
      </c>
      <c r="H159" s="1"/>
      <c r="I159" s="2"/>
      <c r="J159" s="2"/>
      <c r="K159" s="2"/>
      <c r="L159" s="2"/>
      <c r="M159" s="2"/>
      <c r="N159" s="2"/>
      <c r="O159" s="2"/>
      <c r="P159" s="2"/>
      <c r="Q159" s="2"/>
      <c r="R159" s="2"/>
      <c r="S159" s="2"/>
      <c r="T159" s="2"/>
      <c r="U159" s="2"/>
      <c r="V159" s="2"/>
      <c r="W159" s="2"/>
      <c r="X159" s="2"/>
      <c r="Y159" s="2"/>
    </row>
    <row r="160" spans="1:25" ht="17.399999999999999" x14ac:dyDescent="0.25">
      <c r="A160" s="1"/>
      <c r="B160" s="40"/>
      <c r="C160" s="2" t="str">
        <f ca="1">IFERROR(__xludf.DUMMYFUNCTION("iferror(filter('Full Perk List'!C$3:C1498,'Full Perk List'!$D$3:$D1498=$D160),"""")"),"#REF!")</f>
        <v>#REF!</v>
      </c>
      <c r="D160" s="2"/>
      <c r="E160" s="2" t="str">
        <f ca="1">IFERROR(__xludf.DUMMYFUNCTION("iferror(filter('Full Perk List'!E$3:E1498,'Full Perk List'!$D$3:$D1498=$D160),"""")"),"#REF!")</f>
        <v>#REF!</v>
      </c>
      <c r="F160" s="2" t="str">
        <f ca="1">IFERROR(__xludf.DUMMYFUNCTION("iferror(filter('Full Perk List'!F$3:F1498,'Full Perk List'!$D$3:$D1498=$D160),"""")"),"#REF!")</f>
        <v>#REF!</v>
      </c>
      <c r="G160" s="2" t="str">
        <f ca="1">IFERROR(__xludf.DUMMYFUNCTION("iferror(filter('Full Perk List'!G$3:G1498,'Full Perk List'!$D$3:$D1498=$D160),"""")"),"#REF!")</f>
        <v>#REF!</v>
      </c>
      <c r="H160" s="1"/>
      <c r="I160" s="2"/>
      <c r="J160" s="2"/>
      <c r="K160" s="2"/>
      <c r="L160" s="2"/>
      <c r="M160" s="2"/>
      <c r="N160" s="2"/>
      <c r="O160" s="2"/>
      <c r="P160" s="2"/>
      <c r="Q160" s="2"/>
      <c r="R160" s="2"/>
      <c r="S160" s="2"/>
      <c r="T160" s="2"/>
      <c r="U160" s="2"/>
      <c r="V160" s="2"/>
      <c r="W160" s="2"/>
      <c r="X160" s="2"/>
      <c r="Y160" s="2"/>
    </row>
    <row r="161" spans="1:25" ht="17.399999999999999" x14ac:dyDescent="0.25">
      <c r="A161" s="1"/>
      <c r="B161" s="40"/>
      <c r="C161" s="2" t="str">
        <f ca="1">IFERROR(__xludf.DUMMYFUNCTION("iferror(filter('Full Perk List'!C$3:C1498,'Full Perk List'!$D$3:$D1498=$D161),"""")"),"#REF!")</f>
        <v>#REF!</v>
      </c>
      <c r="D161" s="2"/>
      <c r="E161" s="2" t="str">
        <f ca="1">IFERROR(__xludf.DUMMYFUNCTION("iferror(filter('Full Perk List'!E$3:E1498,'Full Perk List'!$D$3:$D1498=$D161),"""")"),"#REF!")</f>
        <v>#REF!</v>
      </c>
      <c r="F161" s="2" t="str">
        <f ca="1">IFERROR(__xludf.DUMMYFUNCTION("iferror(filter('Full Perk List'!F$3:F1498,'Full Perk List'!$D$3:$D1498=$D161),"""")"),"#REF!")</f>
        <v>#REF!</v>
      </c>
      <c r="G161" s="2" t="str">
        <f ca="1">IFERROR(__xludf.DUMMYFUNCTION("iferror(filter('Full Perk List'!G$3:G1498,'Full Perk List'!$D$3:$D1498=$D161),"""")"),"#REF!")</f>
        <v>#REF!</v>
      </c>
      <c r="H161" s="1"/>
      <c r="I161" s="2"/>
      <c r="J161" s="2"/>
      <c r="K161" s="2"/>
      <c r="L161" s="2"/>
      <c r="M161" s="2"/>
      <c r="N161" s="2"/>
      <c r="O161" s="2"/>
      <c r="P161" s="2"/>
      <c r="Q161" s="2"/>
      <c r="R161" s="2"/>
      <c r="S161" s="2"/>
      <c r="T161" s="2"/>
      <c r="U161" s="2"/>
      <c r="V161" s="2"/>
      <c r="W161" s="2"/>
      <c r="X161" s="2"/>
      <c r="Y161" s="2"/>
    </row>
    <row r="162" spans="1:25" ht="17.399999999999999" x14ac:dyDescent="0.25">
      <c r="A162" s="1"/>
      <c r="B162" s="40"/>
      <c r="C162" s="2" t="str">
        <f ca="1">IFERROR(__xludf.DUMMYFUNCTION("iferror(filter('Full Perk List'!C$3:C1498,'Full Perk List'!$D$3:$D1498=$D162),"""")"),"#REF!")</f>
        <v>#REF!</v>
      </c>
      <c r="D162" s="2"/>
      <c r="E162" s="2" t="str">
        <f ca="1">IFERROR(__xludf.DUMMYFUNCTION("iferror(filter('Full Perk List'!E$3:E1498,'Full Perk List'!$D$3:$D1498=$D162),"""")"),"#REF!")</f>
        <v>#REF!</v>
      </c>
      <c r="F162" s="2" t="str">
        <f ca="1">IFERROR(__xludf.DUMMYFUNCTION("iferror(filter('Full Perk List'!F$3:F1498,'Full Perk List'!$D$3:$D1498=$D162),"""")"),"#REF!")</f>
        <v>#REF!</v>
      </c>
      <c r="G162" s="2" t="str">
        <f ca="1">IFERROR(__xludf.DUMMYFUNCTION("iferror(filter('Full Perk List'!G$3:G1498,'Full Perk List'!$D$3:$D1498=$D162),"""")"),"#REF!")</f>
        <v>#REF!</v>
      </c>
      <c r="H162" s="1"/>
      <c r="I162" s="2"/>
      <c r="J162" s="2"/>
      <c r="K162" s="2"/>
      <c r="L162" s="2"/>
      <c r="M162" s="2"/>
      <c r="N162" s="2"/>
      <c r="O162" s="2"/>
      <c r="P162" s="2"/>
      <c r="Q162" s="2"/>
      <c r="R162" s="2"/>
      <c r="S162" s="2"/>
      <c r="T162" s="2"/>
      <c r="U162" s="2"/>
      <c r="V162" s="2"/>
      <c r="W162" s="2"/>
      <c r="X162" s="2"/>
      <c r="Y162" s="2"/>
    </row>
    <row r="163" spans="1:25" ht="17.399999999999999" x14ac:dyDescent="0.25">
      <c r="A163" s="1"/>
      <c r="B163" s="40"/>
      <c r="C163" s="2" t="str">
        <f ca="1">IFERROR(__xludf.DUMMYFUNCTION("iferror(filter('Full Perk List'!C$3:C1498,'Full Perk List'!$D$3:$D1498=$D163),"""")"),"#REF!")</f>
        <v>#REF!</v>
      </c>
      <c r="D163" s="2"/>
      <c r="E163" s="2" t="str">
        <f ca="1">IFERROR(__xludf.DUMMYFUNCTION("iferror(filter('Full Perk List'!E$3:E1498,'Full Perk List'!$D$3:$D1498=$D163),"""")"),"#REF!")</f>
        <v>#REF!</v>
      </c>
      <c r="F163" s="2" t="str">
        <f ca="1">IFERROR(__xludf.DUMMYFUNCTION("iferror(filter('Full Perk List'!F$3:F1498,'Full Perk List'!$D$3:$D1498=$D163),"""")"),"#REF!")</f>
        <v>#REF!</v>
      </c>
      <c r="G163" s="2" t="str">
        <f ca="1">IFERROR(__xludf.DUMMYFUNCTION("iferror(filter('Full Perk List'!G$3:G1498,'Full Perk List'!$D$3:$D1498=$D163),"""")"),"#REF!")</f>
        <v>#REF!</v>
      </c>
      <c r="H163" s="1"/>
      <c r="I163" s="2"/>
      <c r="J163" s="2"/>
      <c r="K163" s="2"/>
      <c r="L163" s="2"/>
      <c r="M163" s="2"/>
      <c r="N163" s="2"/>
      <c r="O163" s="2"/>
      <c r="P163" s="2"/>
      <c r="Q163" s="2"/>
      <c r="R163" s="2"/>
      <c r="S163" s="2"/>
      <c r="T163" s="2"/>
      <c r="U163" s="2"/>
      <c r="V163" s="2"/>
      <c r="W163" s="2"/>
      <c r="X163" s="2"/>
      <c r="Y163" s="2"/>
    </row>
    <row r="164" spans="1:25" ht="17.399999999999999" x14ac:dyDescent="0.25">
      <c r="A164" s="1"/>
      <c r="B164" s="40"/>
      <c r="C164" s="2" t="str">
        <f ca="1">IFERROR(__xludf.DUMMYFUNCTION("iferror(filter('Full Perk List'!C$3:C1498,'Full Perk List'!$D$3:$D1498=$D164),"""")"),"#REF!")</f>
        <v>#REF!</v>
      </c>
      <c r="D164" s="2"/>
      <c r="E164" s="2" t="str">
        <f ca="1">IFERROR(__xludf.DUMMYFUNCTION("iferror(filter('Full Perk List'!E$3:E1498,'Full Perk List'!$D$3:$D1498=$D164),"""")"),"#REF!")</f>
        <v>#REF!</v>
      </c>
      <c r="F164" s="2" t="str">
        <f ca="1">IFERROR(__xludf.DUMMYFUNCTION("iferror(filter('Full Perk List'!F$3:F1498,'Full Perk List'!$D$3:$D1498=$D164),"""")"),"#REF!")</f>
        <v>#REF!</v>
      </c>
      <c r="G164" s="2" t="str">
        <f ca="1">IFERROR(__xludf.DUMMYFUNCTION("iferror(filter('Full Perk List'!G$3:G1498,'Full Perk List'!$D$3:$D1498=$D164),"""")"),"#REF!")</f>
        <v>#REF!</v>
      </c>
      <c r="H164" s="1"/>
      <c r="I164" s="2"/>
      <c r="J164" s="2"/>
      <c r="K164" s="2"/>
      <c r="L164" s="2"/>
      <c r="M164" s="2"/>
      <c r="N164" s="2"/>
      <c r="O164" s="2"/>
      <c r="P164" s="2"/>
      <c r="Q164" s="2"/>
      <c r="R164" s="2"/>
      <c r="S164" s="2"/>
      <c r="T164" s="2"/>
      <c r="U164" s="2"/>
      <c r="V164" s="2"/>
      <c r="W164" s="2"/>
      <c r="X164" s="2"/>
      <c r="Y164" s="2"/>
    </row>
    <row r="165" spans="1:25" ht="17.399999999999999" x14ac:dyDescent="0.25">
      <c r="A165" s="1"/>
      <c r="B165" s="40"/>
      <c r="C165" s="2" t="str">
        <f ca="1">IFERROR(__xludf.DUMMYFUNCTION("iferror(filter('Full Perk List'!C$3:C1498,'Full Perk List'!$D$3:$D1498=$D165),"""")"),"#REF!")</f>
        <v>#REF!</v>
      </c>
      <c r="D165" s="2"/>
      <c r="E165" s="2" t="str">
        <f ca="1">IFERROR(__xludf.DUMMYFUNCTION("iferror(filter('Full Perk List'!E$3:E1498,'Full Perk List'!$D$3:$D1498=$D165),"""")"),"#REF!")</f>
        <v>#REF!</v>
      </c>
      <c r="F165" s="2" t="str">
        <f ca="1">IFERROR(__xludf.DUMMYFUNCTION("iferror(filter('Full Perk List'!F$3:F1498,'Full Perk List'!$D$3:$D1498=$D165),"""")"),"#REF!")</f>
        <v>#REF!</v>
      </c>
      <c r="G165" s="2" t="str">
        <f ca="1">IFERROR(__xludf.DUMMYFUNCTION("iferror(filter('Full Perk List'!G$3:G1498,'Full Perk List'!$D$3:$D1498=$D165),"""")"),"#REF!")</f>
        <v>#REF!</v>
      </c>
      <c r="H165" s="1"/>
      <c r="I165" s="2"/>
      <c r="J165" s="2"/>
      <c r="K165" s="2"/>
      <c r="L165" s="2"/>
      <c r="M165" s="2"/>
      <c r="N165" s="2"/>
      <c r="O165" s="2"/>
      <c r="P165" s="2"/>
      <c r="Q165" s="2"/>
      <c r="R165" s="2"/>
      <c r="S165" s="2"/>
      <c r="T165" s="2"/>
      <c r="U165" s="2"/>
      <c r="V165" s="2"/>
      <c r="W165" s="2"/>
      <c r="X165" s="2"/>
      <c r="Y165" s="2"/>
    </row>
    <row r="166" spans="1:25" ht="17.399999999999999" x14ac:dyDescent="0.25">
      <c r="A166" s="1"/>
      <c r="B166" s="40"/>
      <c r="C166" s="2" t="str">
        <f ca="1">IFERROR(__xludf.DUMMYFUNCTION("iferror(filter('Full Perk List'!C$3:C1498,'Full Perk List'!$D$3:$D1498=$D166),"""")"),"#REF!")</f>
        <v>#REF!</v>
      </c>
      <c r="D166" s="2"/>
      <c r="E166" s="2" t="str">
        <f ca="1">IFERROR(__xludf.DUMMYFUNCTION("iferror(filter('Full Perk List'!E$3:E1498,'Full Perk List'!$D$3:$D1498=$D166),"""")"),"#REF!")</f>
        <v>#REF!</v>
      </c>
      <c r="F166" s="2" t="str">
        <f ca="1">IFERROR(__xludf.DUMMYFUNCTION("iferror(filter('Full Perk List'!F$3:F1498,'Full Perk List'!$D$3:$D1498=$D166),"""")"),"#REF!")</f>
        <v>#REF!</v>
      </c>
      <c r="G166" s="2" t="str">
        <f ca="1">IFERROR(__xludf.DUMMYFUNCTION("iferror(filter('Full Perk List'!G$3:G1498,'Full Perk List'!$D$3:$D1498=$D166),"""")"),"#REF!")</f>
        <v>#REF!</v>
      </c>
      <c r="H166" s="1"/>
      <c r="I166" s="2"/>
      <c r="J166" s="2"/>
      <c r="K166" s="2"/>
      <c r="L166" s="2"/>
      <c r="M166" s="2"/>
      <c r="N166" s="2"/>
      <c r="O166" s="2"/>
      <c r="P166" s="2"/>
      <c r="Q166" s="2"/>
      <c r="R166" s="2"/>
      <c r="S166" s="2"/>
      <c r="T166" s="2"/>
      <c r="U166" s="2"/>
      <c r="V166" s="2"/>
      <c r="W166" s="2"/>
      <c r="X166" s="2"/>
      <c r="Y166" s="2"/>
    </row>
    <row r="167" spans="1:25" ht="17.399999999999999" x14ac:dyDescent="0.25">
      <c r="A167" s="1"/>
      <c r="B167" s="40"/>
      <c r="C167" s="2" t="str">
        <f ca="1">IFERROR(__xludf.DUMMYFUNCTION("iferror(filter('Full Perk List'!C$3:C1498,'Full Perk List'!$D$3:$D1498=$D167),"""")"),"#REF!")</f>
        <v>#REF!</v>
      </c>
      <c r="D167" s="2"/>
      <c r="E167" s="2" t="str">
        <f ca="1">IFERROR(__xludf.DUMMYFUNCTION("iferror(filter('Full Perk List'!E$3:E1498,'Full Perk List'!$D$3:$D1498=$D167),"""")"),"#REF!")</f>
        <v>#REF!</v>
      </c>
      <c r="F167" s="2" t="str">
        <f ca="1">IFERROR(__xludf.DUMMYFUNCTION("iferror(filter('Full Perk List'!F$3:F1498,'Full Perk List'!$D$3:$D1498=$D167),"""")"),"#REF!")</f>
        <v>#REF!</v>
      </c>
      <c r="G167" s="2" t="str">
        <f ca="1">IFERROR(__xludf.DUMMYFUNCTION("iferror(filter('Full Perk List'!G$3:G1498,'Full Perk List'!$D$3:$D1498=$D167),"""")"),"#REF!")</f>
        <v>#REF!</v>
      </c>
      <c r="H167" s="1"/>
      <c r="I167" s="2"/>
      <c r="J167" s="2"/>
      <c r="K167" s="2"/>
      <c r="L167" s="2"/>
      <c r="M167" s="2"/>
      <c r="N167" s="2"/>
      <c r="O167" s="2"/>
      <c r="P167" s="2"/>
      <c r="Q167" s="2"/>
      <c r="R167" s="2"/>
      <c r="S167" s="2"/>
      <c r="T167" s="2"/>
      <c r="U167" s="2"/>
      <c r="V167" s="2"/>
      <c r="W167" s="2"/>
      <c r="X167" s="2"/>
      <c r="Y167" s="2"/>
    </row>
    <row r="168" spans="1:25" ht="17.399999999999999" x14ac:dyDescent="0.25">
      <c r="A168" s="1"/>
      <c r="B168" s="40"/>
      <c r="C168" s="2" t="str">
        <f ca="1">IFERROR(__xludf.DUMMYFUNCTION("iferror(filter('Full Perk List'!C$3:C1498,'Full Perk List'!$D$3:$D1498=$D168),"""")"),"#REF!")</f>
        <v>#REF!</v>
      </c>
      <c r="D168" s="2"/>
      <c r="E168" s="2" t="str">
        <f ca="1">IFERROR(__xludf.DUMMYFUNCTION("iferror(filter('Full Perk List'!E$3:E1498,'Full Perk List'!$D$3:$D1498=$D168),"""")"),"#REF!")</f>
        <v>#REF!</v>
      </c>
      <c r="F168" s="2" t="str">
        <f ca="1">IFERROR(__xludf.DUMMYFUNCTION("iferror(filter('Full Perk List'!F$3:F1498,'Full Perk List'!$D$3:$D1498=$D168),"""")"),"#REF!")</f>
        <v>#REF!</v>
      </c>
      <c r="G168" s="2" t="str">
        <f ca="1">IFERROR(__xludf.DUMMYFUNCTION("iferror(filter('Full Perk List'!G$3:G1498,'Full Perk List'!$D$3:$D1498=$D168),"""")"),"#REF!")</f>
        <v>#REF!</v>
      </c>
      <c r="H168" s="1"/>
      <c r="I168" s="2"/>
      <c r="J168" s="2"/>
      <c r="K168" s="2"/>
      <c r="L168" s="2"/>
      <c r="M168" s="2"/>
      <c r="N168" s="2"/>
      <c r="O168" s="2"/>
      <c r="P168" s="2"/>
      <c r="Q168" s="2"/>
      <c r="R168" s="2"/>
      <c r="S168" s="2"/>
      <c r="T168" s="2"/>
      <c r="U168" s="2"/>
      <c r="V168" s="2"/>
      <c r="W168" s="2"/>
      <c r="X168" s="2"/>
      <c r="Y168" s="2"/>
    </row>
    <row r="169" spans="1:25" ht="17.399999999999999" x14ac:dyDescent="0.25">
      <c r="A169" s="1"/>
      <c r="B169" s="40"/>
      <c r="C169" s="2" t="str">
        <f ca="1">IFERROR(__xludf.DUMMYFUNCTION("iferror(filter('Full Perk List'!C$3:C1498,'Full Perk List'!$D$3:$D1498=$D169),"""")"),"#REF!")</f>
        <v>#REF!</v>
      </c>
      <c r="D169" s="2"/>
      <c r="E169" s="2" t="str">
        <f ca="1">IFERROR(__xludf.DUMMYFUNCTION("iferror(filter('Full Perk List'!E$3:E1498,'Full Perk List'!$D$3:$D1498=$D169),"""")"),"#REF!")</f>
        <v>#REF!</v>
      </c>
      <c r="F169" s="2" t="str">
        <f ca="1">IFERROR(__xludf.DUMMYFUNCTION("iferror(filter('Full Perk List'!F$3:F1498,'Full Perk List'!$D$3:$D1498=$D169),"""")"),"#REF!")</f>
        <v>#REF!</v>
      </c>
      <c r="G169" s="2" t="str">
        <f ca="1">IFERROR(__xludf.DUMMYFUNCTION("iferror(filter('Full Perk List'!G$3:G1498,'Full Perk List'!$D$3:$D1498=$D169),"""")"),"#REF!")</f>
        <v>#REF!</v>
      </c>
      <c r="H169" s="1"/>
      <c r="I169" s="2"/>
      <c r="J169" s="2"/>
      <c r="K169" s="2"/>
      <c r="L169" s="2"/>
      <c r="M169" s="2"/>
      <c r="N169" s="2"/>
      <c r="O169" s="2"/>
      <c r="P169" s="2"/>
      <c r="Q169" s="2"/>
      <c r="R169" s="2"/>
      <c r="S169" s="2"/>
      <c r="T169" s="2"/>
      <c r="U169" s="2"/>
      <c r="V169" s="2"/>
      <c r="W169" s="2"/>
      <c r="X169" s="2"/>
      <c r="Y169" s="2"/>
    </row>
    <row r="170" spans="1:25" ht="17.399999999999999" x14ac:dyDescent="0.25">
      <c r="A170" s="1"/>
      <c r="B170" s="40"/>
      <c r="C170" s="2" t="str">
        <f ca="1">IFERROR(__xludf.DUMMYFUNCTION("iferror(filter('Full Perk List'!C$3:C1498,'Full Perk List'!$D$3:$D1498=$D170),"""")"),"#REF!")</f>
        <v>#REF!</v>
      </c>
      <c r="D170" s="2"/>
      <c r="E170" s="2" t="str">
        <f ca="1">IFERROR(__xludf.DUMMYFUNCTION("iferror(filter('Full Perk List'!E$3:E1498,'Full Perk List'!$D$3:$D1498=$D170),"""")"),"#REF!")</f>
        <v>#REF!</v>
      </c>
      <c r="F170" s="2" t="str">
        <f ca="1">IFERROR(__xludf.DUMMYFUNCTION("iferror(filter('Full Perk List'!F$3:F1498,'Full Perk List'!$D$3:$D1498=$D170),"""")"),"#REF!")</f>
        <v>#REF!</v>
      </c>
      <c r="G170" s="2" t="str">
        <f ca="1">IFERROR(__xludf.DUMMYFUNCTION("iferror(filter('Full Perk List'!G$3:G1498,'Full Perk List'!$D$3:$D1498=$D170),"""")"),"#REF!")</f>
        <v>#REF!</v>
      </c>
      <c r="H170" s="1"/>
      <c r="I170" s="2"/>
      <c r="J170" s="2"/>
      <c r="K170" s="2"/>
      <c r="L170" s="2"/>
      <c r="M170" s="2"/>
      <c r="N170" s="2"/>
      <c r="O170" s="2"/>
      <c r="P170" s="2"/>
      <c r="Q170" s="2"/>
      <c r="R170" s="2"/>
      <c r="S170" s="2"/>
      <c r="T170" s="2"/>
      <c r="U170" s="2"/>
      <c r="V170" s="2"/>
      <c r="W170" s="2"/>
      <c r="X170" s="2"/>
      <c r="Y170" s="2"/>
    </row>
    <row r="171" spans="1:25" ht="17.399999999999999" x14ac:dyDescent="0.25">
      <c r="A171" s="1"/>
      <c r="B171" s="40"/>
      <c r="C171" s="2" t="str">
        <f ca="1">IFERROR(__xludf.DUMMYFUNCTION("iferror(filter('Full Perk List'!C$3:C1498,'Full Perk List'!$D$3:$D1498=$D171),"""")"),"#REF!")</f>
        <v>#REF!</v>
      </c>
      <c r="D171" s="2"/>
      <c r="E171" s="2" t="str">
        <f ca="1">IFERROR(__xludf.DUMMYFUNCTION("iferror(filter('Full Perk List'!E$3:E1498,'Full Perk List'!$D$3:$D1498=$D171),"""")"),"#REF!")</f>
        <v>#REF!</v>
      </c>
      <c r="F171" s="2" t="str">
        <f ca="1">IFERROR(__xludf.DUMMYFUNCTION("iferror(filter('Full Perk List'!F$3:F1498,'Full Perk List'!$D$3:$D1498=$D171),"""")"),"#REF!")</f>
        <v>#REF!</v>
      </c>
      <c r="G171" s="2" t="str">
        <f ca="1">IFERROR(__xludf.DUMMYFUNCTION("iferror(filter('Full Perk List'!G$3:G1498,'Full Perk List'!$D$3:$D1498=$D171),"""")"),"#REF!")</f>
        <v>#REF!</v>
      </c>
      <c r="H171" s="1"/>
      <c r="I171" s="2"/>
      <c r="J171" s="2"/>
      <c r="K171" s="2"/>
      <c r="L171" s="2"/>
      <c r="M171" s="2"/>
      <c r="N171" s="2"/>
      <c r="O171" s="2"/>
      <c r="P171" s="2"/>
      <c r="Q171" s="2"/>
      <c r="R171" s="2"/>
      <c r="S171" s="2"/>
      <c r="T171" s="2"/>
      <c r="U171" s="2"/>
      <c r="V171" s="2"/>
      <c r="W171" s="2"/>
      <c r="X171" s="2"/>
      <c r="Y171" s="2"/>
    </row>
    <row r="172" spans="1:25" ht="17.399999999999999" x14ac:dyDescent="0.25">
      <c r="A172" s="1"/>
      <c r="B172" s="40"/>
      <c r="C172" s="2" t="str">
        <f ca="1">IFERROR(__xludf.DUMMYFUNCTION("iferror(filter('Full Perk List'!C$3:C1498,'Full Perk List'!$D$3:$D1498=$D172),"""")"),"#REF!")</f>
        <v>#REF!</v>
      </c>
      <c r="D172" s="2"/>
      <c r="E172" s="2" t="str">
        <f ca="1">IFERROR(__xludf.DUMMYFUNCTION("iferror(filter('Full Perk List'!E$3:E1498,'Full Perk List'!$D$3:$D1498=$D172),"""")"),"#REF!")</f>
        <v>#REF!</v>
      </c>
      <c r="F172" s="2" t="str">
        <f ca="1">IFERROR(__xludf.DUMMYFUNCTION("iferror(filter('Full Perk List'!F$3:F1498,'Full Perk List'!$D$3:$D1498=$D172),"""")"),"#REF!")</f>
        <v>#REF!</v>
      </c>
      <c r="G172" s="2" t="str">
        <f ca="1">IFERROR(__xludf.DUMMYFUNCTION("iferror(filter('Full Perk List'!G$3:G1498,'Full Perk List'!$D$3:$D1498=$D172),"""")"),"#REF!")</f>
        <v>#REF!</v>
      </c>
      <c r="H172" s="1"/>
      <c r="I172" s="2"/>
      <c r="J172" s="2"/>
      <c r="K172" s="2"/>
      <c r="L172" s="2"/>
      <c r="M172" s="2"/>
      <c r="N172" s="2"/>
      <c r="O172" s="2"/>
      <c r="P172" s="2"/>
      <c r="Q172" s="2"/>
      <c r="R172" s="2"/>
      <c r="S172" s="2"/>
      <c r="T172" s="2"/>
      <c r="U172" s="2"/>
      <c r="V172" s="2"/>
      <c r="W172" s="2"/>
      <c r="X172" s="2"/>
      <c r="Y172" s="2"/>
    </row>
    <row r="173" spans="1:25" ht="17.399999999999999" x14ac:dyDescent="0.25">
      <c r="A173" s="1"/>
      <c r="B173" s="40"/>
      <c r="C173" s="2" t="str">
        <f ca="1">IFERROR(__xludf.DUMMYFUNCTION("iferror(filter('Full Perk List'!C$3:C1498,'Full Perk List'!$D$3:$D1498=$D173),"""")"),"#REF!")</f>
        <v>#REF!</v>
      </c>
      <c r="D173" s="2"/>
      <c r="E173" s="2" t="str">
        <f ca="1">IFERROR(__xludf.DUMMYFUNCTION("iferror(filter('Full Perk List'!E$3:E1498,'Full Perk List'!$D$3:$D1498=$D173),"""")"),"#REF!")</f>
        <v>#REF!</v>
      </c>
      <c r="F173" s="2" t="str">
        <f ca="1">IFERROR(__xludf.DUMMYFUNCTION("iferror(filter('Full Perk List'!F$3:F1498,'Full Perk List'!$D$3:$D1498=$D173),"""")"),"#REF!")</f>
        <v>#REF!</v>
      </c>
      <c r="G173" s="2" t="str">
        <f ca="1">IFERROR(__xludf.DUMMYFUNCTION("iferror(filter('Full Perk List'!G$3:G1498,'Full Perk List'!$D$3:$D1498=$D173),"""")"),"#REF!")</f>
        <v>#REF!</v>
      </c>
      <c r="H173" s="1"/>
      <c r="I173" s="2"/>
      <c r="J173" s="2"/>
      <c r="K173" s="2"/>
      <c r="L173" s="2"/>
      <c r="M173" s="2"/>
      <c r="N173" s="2"/>
      <c r="O173" s="2"/>
      <c r="P173" s="2"/>
      <c r="Q173" s="2"/>
      <c r="R173" s="2"/>
      <c r="S173" s="2"/>
      <c r="T173" s="2"/>
      <c r="U173" s="2"/>
      <c r="V173" s="2"/>
      <c r="W173" s="2"/>
      <c r="X173" s="2"/>
      <c r="Y173" s="2"/>
    </row>
    <row r="174" spans="1:25" ht="17.399999999999999" x14ac:dyDescent="0.25">
      <c r="A174" s="1"/>
      <c r="B174" s="40"/>
      <c r="C174" s="2" t="str">
        <f ca="1">IFERROR(__xludf.DUMMYFUNCTION("iferror(filter('Full Perk List'!C$3:C1498,'Full Perk List'!$D$3:$D1498=$D174),"""")"),"#REF!")</f>
        <v>#REF!</v>
      </c>
      <c r="D174" s="2"/>
      <c r="E174" s="2" t="str">
        <f ca="1">IFERROR(__xludf.DUMMYFUNCTION("iferror(filter('Full Perk List'!E$3:E1498,'Full Perk List'!$D$3:$D1498=$D174),"""")"),"#REF!")</f>
        <v>#REF!</v>
      </c>
      <c r="F174" s="2" t="str">
        <f ca="1">IFERROR(__xludf.DUMMYFUNCTION("iferror(filter('Full Perk List'!F$3:F1498,'Full Perk List'!$D$3:$D1498=$D174),"""")"),"#REF!")</f>
        <v>#REF!</v>
      </c>
      <c r="G174" s="2" t="str">
        <f ca="1">IFERROR(__xludf.DUMMYFUNCTION("iferror(filter('Full Perk List'!G$3:G1498,'Full Perk List'!$D$3:$D1498=$D174),"""")"),"#REF!")</f>
        <v>#REF!</v>
      </c>
      <c r="H174" s="1"/>
      <c r="I174" s="2"/>
      <c r="J174" s="2"/>
      <c r="K174" s="2"/>
      <c r="L174" s="2"/>
      <c r="M174" s="2"/>
      <c r="N174" s="2"/>
      <c r="O174" s="2"/>
      <c r="P174" s="2"/>
      <c r="Q174" s="2"/>
      <c r="R174" s="2"/>
      <c r="S174" s="2"/>
      <c r="T174" s="2"/>
      <c r="U174" s="2"/>
      <c r="V174" s="2"/>
      <c r="W174" s="2"/>
      <c r="X174" s="2"/>
      <c r="Y174" s="2"/>
    </row>
    <row r="175" spans="1:25" ht="17.399999999999999" x14ac:dyDescent="0.25">
      <c r="A175" s="1"/>
      <c r="B175" s="40"/>
      <c r="C175" s="2" t="str">
        <f ca="1">IFERROR(__xludf.DUMMYFUNCTION("iferror(filter('Full Perk List'!C$3:C1498,'Full Perk List'!$D$3:$D1498=$D175),"""")"),"#REF!")</f>
        <v>#REF!</v>
      </c>
      <c r="D175" s="2"/>
      <c r="E175" s="2" t="str">
        <f ca="1">IFERROR(__xludf.DUMMYFUNCTION("iferror(filter('Full Perk List'!E$3:E1498,'Full Perk List'!$D$3:$D1498=$D175),"""")"),"#REF!")</f>
        <v>#REF!</v>
      </c>
      <c r="F175" s="2" t="str">
        <f ca="1">IFERROR(__xludf.DUMMYFUNCTION("iferror(filter('Full Perk List'!F$3:F1498,'Full Perk List'!$D$3:$D1498=$D175),"""")"),"#REF!")</f>
        <v>#REF!</v>
      </c>
      <c r="G175" s="2" t="str">
        <f ca="1">IFERROR(__xludf.DUMMYFUNCTION("iferror(filter('Full Perk List'!G$3:G1498,'Full Perk List'!$D$3:$D1498=$D175),"""")"),"#REF!")</f>
        <v>#REF!</v>
      </c>
      <c r="H175" s="1"/>
      <c r="I175" s="2"/>
      <c r="J175" s="2"/>
      <c r="K175" s="2"/>
      <c r="L175" s="2"/>
      <c r="M175" s="2"/>
      <c r="N175" s="2"/>
      <c r="O175" s="2"/>
      <c r="P175" s="2"/>
      <c r="Q175" s="2"/>
      <c r="R175" s="2"/>
      <c r="S175" s="2"/>
      <c r="T175" s="2"/>
      <c r="U175" s="2"/>
      <c r="V175" s="2"/>
      <c r="W175" s="2"/>
      <c r="X175" s="2"/>
      <c r="Y175" s="2"/>
    </row>
    <row r="176" spans="1:25" ht="17.399999999999999" x14ac:dyDescent="0.25">
      <c r="A176" s="1"/>
      <c r="B176" s="40"/>
      <c r="C176" s="2" t="str">
        <f ca="1">IFERROR(__xludf.DUMMYFUNCTION("iferror(filter('Full Perk List'!C$3:C1498,'Full Perk List'!$D$3:$D1498=$D176),"""")"),"#REF!")</f>
        <v>#REF!</v>
      </c>
      <c r="D176" s="2"/>
      <c r="E176" s="2" t="str">
        <f ca="1">IFERROR(__xludf.DUMMYFUNCTION("iferror(filter('Full Perk List'!E$3:E1498,'Full Perk List'!$D$3:$D1498=$D176),"""")"),"#REF!")</f>
        <v>#REF!</v>
      </c>
      <c r="F176" s="2" t="str">
        <f ca="1">IFERROR(__xludf.DUMMYFUNCTION("iferror(filter('Full Perk List'!F$3:F1498,'Full Perk List'!$D$3:$D1498=$D176),"""")"),"#REF!")</f>
        <v>#REF!</v>
      </c>
      <c r="G176" s="2" t="str">
        <f ca="1">IFERROR(__xludf.DUMMYFUNCTION("iferror(filter('Full Perk List'!G$3:G1498,'Full Perk List'!$D$3:$D1498=$D176),"""")"),"#REF!")</f>
        <v>#REF!</v>
      </c>
      <c r="H176" s="1"/>
      <c r="I176" s="2"/>
      <c r="J176" s="2"/>
      <c r="K176" s="2"/>
      <c r="L176" s="2"/>
      <c r="M176" s="2"/>
      <c r="N176" s="2"/>
      <c r="O176" s="2"/>
      <c r="P176" s="2"/>
      <c r="Q176" s="2"/>
      <c r="R176" s="2"/>
      <c r="S176" s="2"/>
      <c r="T176" s="2"/>
      <c r="U176" s="2"/>
      <c r="V176" s="2"/>
      <c r="W176" s="2"/>
      <c r="X176" s="2"/>
      <c r="Y176" s="2"/>
    </row>
    <row r="177" spans="1:25" ht="17.399999999999999" x14ac:dyDescent="0.25">
      <c r="A177" s="1"/>
      <c r="B177" s="40"/>
      <c r="C177" s="2" t="str">
        <f ca="1">IFERROR(__xludf.DUMMYFUNCTION("iferror(filter('Full Perk List'!C$3:C1498,'Full Perk List'!$D$3:$D1498=$D177),"""")"),"#REF!")</f>
        <v>#REF!</v>
      </c>
      <c r="D177" s="2"/>
      <c r="E177" s="2" t="str">
        <f ca="1">IFERROR(__xludf.DUMMYFUNCTION("iferror(filter('Full Perk List'!E$3:E1498,'Full Perk List'!$D$3:$D1498=$D177),"""")"),"#REF!")</f>
        <v>#REF!</v>
      </c>
      <c r="F177" s="2" t="str">
        <f ca="1">IFERROR(__xludf.DUMMYFUNCTION("iferror(filter('Full Perk List'!F$3:F1498,'Full Perk List'!$D$3:$D1498=$D177),"""")"),"#REF!")</f>
        <v>#REF!</v>
      </c>
      <c r="G177" s="2" t="str">
        <f ca="1">IFERROR(__xludf.DUMMYFUNCTION("iferror(filter('Full Perk List'!G$3:G1498,'Full Perk List'!$D$3:$D1498=$D177),"""")"),"#REF!")</f>
        <v>#REF!</v>
      </c>
      <c r="H177" s="1"/>
      <c r="I177" s="2"/>
      <c r="J177" s="2"/>
      <c r="K177" s="2"/>
      <c r="L177" s="2"/>
      <c r="M177" s="2"/>
      <c r="N177" s="2"/>
      <c r="O177" s="2"/>
      <c r="P177" s="2"/>
      <c r="Q177" s="2"/>
      <c r="R177" s="2"/>
      <c r="S177" s="2"/>
      <c r="T177" s="2"/>
      <c r="U177" s="2"/>
      <c r="V177" s="2"/>
      <c r="W177" s="2"/>
      <c r="X177" s="2"/>
      <c r="Y177" s="2"/>
    </row>
    <row r="178" spans="1:25" ht="17.399999999999999" x14ac:dyDescent="0.25">
      <c r="A178" s="1"/>
      <c r="B178" s="40"/>
      <c r="C178" s="2" t="str">
        <f ca="1">IFERROR(__xludf.DUMMYFUNCTION("iferror(filter('Full Perk List'!C$3:C1498,'Full Perk List'!$D$3:$D1498=$D178),"""")"),"#REF!")</f>
        <v>#REF!</v>
      </c>
      <c r="D178" s="2"/>
      <c r="E178" s="2" t="str">
        <f ca="1">IFERROR(__xludf.DUMMYFUNCTION("iferror(filter('Full Perk List'!E$3:E1498,'Full Perk List'!$D$3:$D1498=$D178),"""")"),"#REF!")</f>
        <v>#REF!</v>
      </c>
      <c r="F178" s="2" t="str">
        <f ca="1">IFERROR(__xludf.DUMMYFUNCTION("iferror(filter('Full Perk List'!F$3:F1498,'Full Perk List'!$D$3:$D1498=$D178),"""")"),"#REF!")</f>
        <v>#REF!</v>
      </c>
      <c r="G178" s="2" t="str">
        <f ca="1">IFERROR(__xludf.DUMMYFUNCTION("iferror(filter('Full Perk List'!G$3:G1498,'Full Perk List'!$D$3:$D1498=$D178),"""")"),"#REF!")</f>
        <v>#REF!</v>
      </c>
      <c r="H178" s="1"/>
      <c r="I178" s="2"/>
      <c r="J178" s="2"/>
      <c r="K178" s="2"/>
      <c r="L178" s="2"/>
      <c r="M178" s="2"/>
      <c r="N178" s="2"/>
      <c r="O178" s="2"/>
      <c r="P178" s="2"/>
      <c r="Q178" s="2"/>
      <c r="R178" s="2"/>
      <c r="S178" s="2"/>
      <c r="T178" s="2"/>
      <c r="U178" s="2"/>
      <c r="V178" s="2"/>
      <c r="W178" s="2"/>
      <c r="X178" s="2"/>
      <c r="Y178" s="2"/>
    </row>
    <row r="179" spans="1:25" ht="17.399999999999999" x14ac:dyDescent="0.25">
      <c r="A179" s="1"/>
      <c r="B179" s="40"/>
      <c r="C179" s="2" t="str">
        <f ca="1">IFERROR(__xludf.DUMMYFUNCTION("iferror(filter('Full Perk List'!C$3:C1498,'Full Perk List'!$D$3:$D1498=$D179),"""")"),"#REF!")</f>
        <v>#REF!</v>
      </c>
      <c r="D179" s="2"/>
      <c r="E179" s="2" t="str">
        <f ca="1">IFERROR(__xludf.DUMMYFUNCTION("iferror(filter('Full Perk List'!E$3:E1498,'Full Perk List'!$D$3:$D1498=$D179),"""")"),"#REF!")</f>
        <v>#REF!</v>
      </c>
      <c r="F179" s="2" t="str">
        <f ca="1">IFERROR(__xludf.DUMMYFUNCTION("iferror(filter('Full Perk List'!F$3:F1498,'Full Perk List'!$D$3:$D1498=$D179),"""")"),"#REF!")</f>
        <v>#REF!</v>
      </c>
      <c r="G179" s="2" t="str">
        <f ca="1">IFERROR(__xludf.DUMMYFUNCTION("iferror(filter('Full Perk List'!G$3:G1498,'Full Perk List'!$D$3:$D1498=$D179),"""")"),"#REF!")</f>
        <v>#REF!</v>
      </c>
      <c r="H179" s="1"/>
      <c r="I179" s="2"/>
      <c r="J179" s="2"/>
      <c r="K179" s="2"/>
      <c r="L179" s="2"/>
      <c r="M179" s="2"/>
      <c r="N179" s="2"/>
      <c r="O179" s="2"/>
      <c r="P179" s="2"/>
      <c r="Q179" s="2"/>
      <c r="R179" s="2"/>
      <c r="S179" s="2"/>
      <c r="T179" s="2"/>
      <c r="U179" s="2"/>
      <c r="V179" s="2"/>
      <c r="W179" s="2"/>
      <c r="X179" s="2"/>
      <c r="Y179" s="2"/>
    </row>
    <row r="180" spans="1:25" ht="17.399999999999999" x14ac:dyDescent="0.25">
      <c r="A180" s="1"/>
      <c r="B180" s="40"/>
      <c r="C180" s="2" t="str">
        <f ca="1">IFERROR(__xludf.DUMMYFUNCTION("iferror(filter('Full Perk List'!C$3:C1498,'Full Perk List'!$D$3:$D1498=$D180),"""")"),"#REF!")</f>
        <v>#REF!</v>
      </c>
      <c r="D180" s="2"/>
      <c r="E180" s="2" t="str">
        <f ca="1">IFERROR(__xludf.DUMMYFUNCTION("iferror(filter('Full Perk List'!E$3:E1498,'Full Perk List'!$D$3:$D1498=$D180),"""")"),"#REF!")</f>
        <v>#REF!</v>
      </c>
      <c r="F180" s="2" t="str">
        <f ca="1">IFERROR(__xludf.DUMMYFUNCTION("iferror(filter('Full Perk List'!F$3:F1498,'Full Perk List'!$D$3:$D1498=$D180),"""")"),"#REF!")</f>
        <v>#REF!</v>
      </c>
      <c r="G180" s="2" t="str">
        <f ca="1">IFERROR(__xludf.DUMMYFUNCTION("iferror(filter('Full Perk List'!G$3:G1498,'Full Perk List'!$D$3:$D1498=$D180),"""")"),"#REF!")</f>
        <v>#REF!</v>
      </c>
      <c r="H180" s="1"/>
      <c r="I180" s="2"/>
      <c r="J180" s="2"/>
      <c r="K180" s="2"/>
      <c r="L180" s="2"/>
      <c r="M180" s="2"/>
      <c r="N180" s="2"/>
      <c r="O180" s="2"/>
      <c r="P180" s="2"/>
      <c r="Q180" s="2"/>
      <c r="R180" s="2"/>
      <c r="S180" s="2"/>
      <c r="T180" s="2"/>
      <c r="U180" s="2"/>
      <c r="V180" s="2"/>
      <c r="W180" s="2"/>
      <c r="X180" s="2"/>
      <c r="Y180" s="2"/>
    </row>
    <row r="181" spans="1:25" ht="17.399999999999999" x14ac:dyDescent="0.25">
      <c r="A181" s="1"/>
      <c r="B181" s="40"/>
      <c r="C181" s="2" t="str">
        <f ca="1">IFERROR(__xludf.DUMMYFUNCTION("iferror(filter('Full Perk List'!C$3:C1498,'Full Perk List'!$D$3:$D1498=$D181),"""")"),"#REF!")</f>
        <v>#REF!</v>
      </c>
      <c r="D181" s="2"/>
      <c r="E181" s="2" t="str">
        <f ca="1">IFERROR(__xludf.DUMMYFUNCTION("iferror(filter('Full Perk List'!E$3:E1498,'Full Perk List'!$D$3:$D1498=$D181),"""")"),"#REF!")</f>
        <v>#REF!</v>
      </c>
      <c r="F181" s="2" t="str">
        <f ca="1">IFERROR(__xludf.DUMMYFUNCTION("iferror(filter('Full Perk List'!F$3:F1498,'Full Perk List'!$D$3:$D1498=$D181),"""")"),"#REF!")</f>
        <v>#REF!</v>
      </c>
      <c r="G181" s="2" t="str">
        <f ca="1">IFERROR(__xludf.DUMMYFUNCTION("iferror(filter('Full Perk List'!G$3:G1498,'Full Perk List'!$D$3:$D1498=$D181),"""")"),"#REF!")</f>
        <v>#REF!</v>
      </c>
      <c r="H181" s="1"/>
      <c r="I181" s="2"/>
      <c r="J181" s="2"/>
      <c r="K181" s="2"/>
      <c r="L181" s="2"/>
      <c r="M181" s="2"/>
      <c r="N181" s="2"/>
      <c r="O181" s="2"/>
      <c r="P181" s="2"/>
      <c r="Q181" s="2"/>
      <c r="R181" s="2"/>
      <c r="S181" s="2"/>
      <c r="T181" s="2"/>
      <c r="U181" s="2"/>
      <c r="V181" s="2"/>
      <c r="W181" s="2"/>
      <c r="X181" s="2"/>
      <c r="Y181" s="2"/>
    </row>
    <row r="182" spans="1:25" ht="17.399999999999999" x14ac:dyDescent="0.25">
      <c r="A182" s="1"/>
      <c r="B182" s="40"/>
      <c r="C182" s="2" t="str">
        <f ca="1">IFERROR(__xludf.DUMMYFUNCTION("iferror(filter('Full Perk List'!C$3:C1498,'Full Perk List'!$D$3:$D1498=$D182),"""")"),"#REF!")</f>
        <v>#REF!</v>
      </c>
      <c r="D182" s="2"/>
      <c r="E182" s="2" t="str">
        <f ca="1">IFERROR(__xludf.DUMMYFUNCTION("iferror(filter('Full Perk List'!E$3:E1498,'Full Perk List'!$D$3:$D1498=$D182),"""")"),"#REF!")</f>
        <v>#REF!</v>
      </c>
      <c r="F182" s="2" t="str">
        <f ca="1">IFERROR(__xludf.DUMMYFUNCTION("iferror(filter('Full Perk List'!F$3:F1498,'Full Perk List'!$D$3:$D1498=$D182),"""")"),"#REF!")</f>
        <v>#REF!</v>
      </c>
      <c r="G182" s="2" t="str">
        <f ca="1">IFERROR(__xludf.DUMMYFUNCTION("iferror(filter('Full Perk List'!G$3:G1498,'Full Perk List'!$D$3:$D1498=$D182),"""")"),"#REF!")</f>
        <v>#REF!</v>
      </c>
      <c r="H182" s="1"/>
      <c r="I182" s="2"/>
      <c r="J182" s="2"/>
      <c r="K182" s="2"/>
      <c r="L182" s="2"/>
      <c r="M182" s="2"/>
      <c r="N182" s="2"/>
      <c r="O182" s="2"/>
      <c r="P182" s="2"/>
      <c r="Q182" s="2"/>
      <c r="R182" s="2"/>
      <c r="S182" s="2"/>
      <c r="T182" s="2"/>
      <c r="U182" s="2"/>
      <c r="V182" s="2"/>
      <c r="W182" s="2"/>
      <c r="X182" s="2"/>
      <c r="Y182" s="2"/>
    </row>
    <row r="183" spans="1:25" ht="17.399999999999999" x14ac:dyDescent="0.25">
      <c r="A183" s="1"/>
      <c r="B183" s="40"/>
      <c r="C183" s="2" t="str">
        <f ca="1">IFERROR(__xludf.DUMMYFUNCTION("iferror(filter('Full Perk List'!C$3:C1498,'Full Perk List'!$D$3:$D1498=$D183),"""")"),"#REF!")</f>
        <v>#REF!</v>
      </c>
      <c r="D183" s="2"/>
      <c r="E183" s="2" t="str">
        <f ca="1">IFERROR(__xludf.DUMMYFUNCTION("iferror(filter('Full Perk List'!E$3:E1498,'Full Perk List'!$D$3:$D1498=$D183),"""")"),"#REF!")</f>
        <v>#REF!</v>
      </c>
      <c r="F183" s="2" t="str">
        <f ca="1">IFERROR(__xludf.DUMMYFUNCTION("iferror(filter('Full Perk List'!F$3:F1498,'Full Perk List'!$D$3:$D1498=$D183),"""")"),"#REF!")</f>
        <v>#REF!</v>
      </c>
      <c r="G183" s="2" t="str">
        <f ca="1">IFERROR(__xludf.DUMMYFUNCTION("iferror(filter('Full Perk List'!G$3:G1498,'Full Perk List'!$D$3:$D1498=$D183),"""")"),"#REF!")</f>
        <v>#REF!</v>
      </c>
      <c r="H183" s="1"/>
      <c r="I183" s="2"/>
      <c r="J183" s="2"/>
      <c r="K183" s="2"/>
      <c r="L183" s="2"/>
      <c r="M183" s="2"/>
      <c r="N183" s="2"/>
      <c r="O183" s="2"/>
      <c r="P183" s="2"/>
      <c r="Q183" s="2"/>
      <c r="R183" s="2"/>
      <c r="S183" s="2"/>
      <c r="T183" s="2"/>
      <c r="U183" s="2"/>
      <c r="V183" s="2"/>
      <c r="W183" s="2"/>
      <c r="X183" s="2"/>
      <c r="Y183" s="2"/>
    </row>
    <row r="184" spans="1:25" ht="17.399999999999999" x14ac:dyDescent="0.25">
      <c r="A184" s="1"/>
      <c r="B184" s="40"/>
      <c r="C184" s="2" t="str">
        <f ca="1">IFERROR(__xludf.DUMMYFUNCTION("iferror(filter('Full Perk List'!C$3:C1498,'Full Perk List'!$D$3:$D1498=$D184),"""")"),"#REF!")</f>
        <v>#REF!</v>
      </c>
      <c r="D184" s="2"/>
      <c r="E184" s="2" t="str">
        <f ca="1">IFERROR(__xludf.DUMMYFUNCTION("iferror(filter('Full Perk List'!E$3:E1498,'Full Perk List'!$D$3:$D1498=$D184),"""")"),"#REF!")</f>
        <v>#REF!</v>
      </c>
      <c r="F184" s="2" t="str">
        <f ca="1">IFERROR(__xludf.DUMMYFUNCTION("iferror(filter('Full Perk List'!F$3:F1498,'Full Perk List'!$D$3:$D1498=$D184),"""")"),"#REF!")</f>
        <v>#REF!</v>
      </c>
      <c r="G184" s="2" t="str">
        <f ca="1">IFERROR(__xludf.DUMMYFUNCTION("iferror(filter('Full Perk List'!G$3:G1498,'Full Perk List'!$D$3:$D1498=$D184),"""")"),"#REF!")</f>
        <v>#REF!</v>
      </c>
      <c r="H184" s="1"/>
      <c r="I184" s="2"/>
      <c r="J184" s="2"/>
      <c r="K184" s="2"/>
      <c r="L184" s="2"/>
      <c r="M184" s="2"/>
      <c r="N184" s="2"/>
      <c r="O184" s="2"/>
      <c r="P184" s="2"/>
      <c r="Q184" s="2"/>
      <c r="R184" s="2"/>
      <c r="S184" s="2"/>
      <c r="T184" s="2"/>
      <c r="U184" s="2"/>
      <c r="V184" s="2"/>
      <c r="W184" s="2"/>
      <c r="X184" s="2"/>
      <c r="Y184" s="2"/>
    </row>
    <row r="185" spans="1:25" ht="17.399999999999999" x14ac:dyDescent="0.25">
      <c r="A185" s="1"/>
      <c r="B185" s="40"/>
      <c r="C185" s="2" t="str">
        <f ca="1">IFERROR(__xludf.DUMMYFUNCTION("iferror(filter('Full Perk List'!C$3:C1498,'Full Perk List'!$D$3:$D1498=$D185),"""")"),"#REF!")</f>
        <v>#REF!</v>
      </c>
      <c r="D185" s="2"/>
      <c r="E185" s="2" t="str">
        <f ca="1">IFERROR(__xludf.DUMMYFUNCTION("iferror(filter('Full Perk List'!E$3:E1498,'Full Perk List'!$D$3:$D1498=$D185),"""")"),"#REF!")</f>
        <v>#REF!</v>
      </c>
      <c r="F185" s="2" t="str">
        <f ca="1">IFERROR(__xludf.DUMMYFUNCTION("iferror(filter('Full Perk List'!F$3:F1498,'Full Perk List'!$D$3:$D1498=$D185),"""")"),"#REF!")</f>
        <v>#REF!</v>
      </c>
      <c r="G185" s="2" t="str">
        <f ca="1">IFERROR(__xludf.DUMMYFUNCTION("iferror(filter('Full Perk List'!G$3:G1498,'Full Perk List'!$D$3:$D1498=$D185),"""")"),"#REF!")</f>
        <v>#REF!</v>
      </c>
      <c r="H185" s="1"/>
      <c r="I185" s="2"/>
      <c r="J185" s="2"/>
      <c r="K185" s="2"/>
      <c r="L185" s="2"/>
      <c r="M185" s="2"/>
      <c r="N185" s="2"/>
      <c r="O185" s="2"/>
      <c r="P185" s="2"/>
      <c r="Q185" s="2"/>
      <c r="R185" s="2"/>
      <c r="S185" s="2"/>
      <c r="T185" s="2"/>
      <c r="U185" s="2"/>
      <c r="V185" s="2"/>
      <c r="W185" s="2"/>
      <c r="X185" s="2"/>
      <c r="Y185" s="2"/>
    </row>
    <row r="186" spans="1:25" ht="17.399999999999999" x14ac:dyDescent="0.25">
      <c r="A186" s="1"/>
      <c r="B186" s="40"/>
      <c r="C186" s="2" t="str">
        <f ca="1">IFERROR(__xludf.DUMMYFUNCTION("iferror(filter('Full Perk List'!C$3:C1498,'Full Perk List'!$D$3:$D1498=$D186),"""")"),"#REF!")</f>
        <v>#REF!</v>
      </c>
      <c r="D186" s="2"/>
      <c r="E186" s="2" t="str">
        <f ca="1">IFERROR(__xludf.DUMMYFUNCTION("iferror(filter('Full Perk List'!E$3:E1498,'Full Perk List'!$D$3:$D1498=$D186),"""")"),"#REF!")</f>
        <v>#REF!</v>
      </c>
      <c r="F186" s="2" t="str">
        <f ca="1">IFERROR(__xludf.DUMMYFUNCTION("iferror(filter('Full Perk List'!F$3:F1498,'Full Perk List'!$D$3:$D1498=$D186),"""")"),"#REF!")</f>
        <v>#REF!</v>
      </c>
      <c r="G186" s="2" t="str">
        <f ca="1">IFERROR(__xludf.DUMMYFUNCTION("iferror(filter('Full Perk List'!G$3:G1498,'Full Perk List'!$D$3:$D1498=$D186),"""")"),"#REF!")</f>
        <v>#REF!</v>
      </c>
      <c r="H186" s="1"/>
      <c r="I186" s="2"/>
      <c r="J186" s="2"/>
      <c r="K186" s="2"/>
      <c r="L186" s="2"/>
      <c r="M186" s="2"/>
      <c r="N186" s="2"/>
      <c r="O186" s="2"/>
      <c r="P186" s="2"/>
      <c r="Q186" s="2"/>
      <c r="R186" s="2"/>
      <c r="S186" s="2"/>
      <c r="T186" s="2"/>
      <c r="U186" s="2"/>
      <c r="V186" s="2"/>
      <c r="W186" s="2"/>
      <c r="X186" s="2"/>
      <c r="Y186" s="2"/>
    </row>
    <row r="187" spans="1:25" ht="17.399999999999999" x14ac:dyDescent="0.25">
      <c r="A187" s="1"/>
      <c r="B187" s="40"/>
      <c r="C187" s="2" t="str">
        <f ca="1">IFERROR(__xludf.DUMMYFUNCTION("iferror(filter('Full Perk List'!C$3:C1498,'Full Perk List'!$D$3:$D1498=$D187),"""")"),"#REF!")</f>
        <v>#REF!</v>
      </c>
      <c r="D187" s="2"/>
      <c r="E187" s="2" t="str">
        <f ca="1">IFERROR(__xludf.DUMMYFUNCTION("iferror(filter('Full Perk List'!E$3:E1498,'Full Perk List'!$D$3:$D1498=$D187),"""")"),"#REF!")</f>
        <v>#REF!</v>
      </c>
      <c r="F187" s="2" t="str">
        <f ca="1">IFERROR(__xludf.DUMMYFUNCTION("iferror(filter('Full Perk List'!F$3:F1498,'Full Perk List'!$D$3:$D1498=$D187),"""")"),"#REF!")</f>
        <v>#REF!</v>
      </c>
      <c r="G187" s="2" t="str">
        <f ca="1">IFERROR(__xludf.DUMMYFUNCTION("iferror(filter('Full Perk List'!G$3:G1498,'Full Perk List'!$D$3:$D1498=$D187),"""")"),"#REF!")</f>
        <v>#REF!</v>
      </c>
      <c r="H187" s="1"/>
      <c r="I187" s="2"/>
      <c r="J187" s="2"/>
      <c r="K187" s="2"/>
      <c r="L187" s="2"/>
      <c r="M187" s="2"/>
      <c r="N187" s="2"/>
      <c r="O187" s="2"/>
      <c r="P187" s="2"/>
      <c r="Q187" s="2"/>
      <c r="R187" s="2"/>
      <c r="S187" s="2"/>
      <c r="T187" s="2"/>
      <c r="U187" s="2"/>
      <c r="V187" s="2"/>
      <c r="W187" s="2"/>
      <c r="X187" s="2"/>
      <c r="Y187" s="2"/>
    </row>
    <row r="188" spans="1:25" ht="17.399999999999999" x14ac:dyDescent="0.25">
      <c r="A188" s="1"/>
      <c r="B188" s="40"/>
      <c r="C188" s="2" t="str">
        <f ca="1">IFERROR(__xludf.DUMMYFUNCTION("iferror(filter('Full Perk List'!C$3:C1498,'Full Perk List'!$D$3:$D1498=$D188),"""")"),"#REF!")</f>
        <v>#REF!</v>
      </c>
      <c r="D188" s="2"/>
      <c r="E188" s="2" t="str">
        <f ca="1">IFERROR(__xludf.DUMMYFUNCTION("iferror(filter('Full Perk List'!E$3:E1498,'Full Perk List'!$D$3:$D1498=$D188),"""")"),"#REF!")</f>
        <v>#REF!</v>
      </c>
      <c r="F188" s="2" t="str">
        <f ca="1">IFERROR(__xludf.DUMMYFUNCTION("iferror(filter('Full Perk List'!F$3:F1498,'Full Perk List'!$D$3:$D1498=$D188),"""")"),"#REF!")</f>
        <v>#REF!</v>
      </c>
      <c r="G188" s="2" t="str">
        <f ca="1">IFERROR(__xludf.DUMMYFUNCTION("iferror(filter('Full Perk List'!G$3:G1498,'Full Perk List'!$D$3:$D1498=$D188),"""")"),"#REF!")</f>
        <v>#REF!</v>
      </c>
      <c r="H188" s="1"/>
      <c r="I188" s="2"/>
      <c r="J188" s="2"/>
      <c r="K188" s="2"/>
      <c r="L188" s="2"/>
      <c r="M188" s="2"/>
      <c r="N188" s="2"/>
      <c r="O188" s="2"/>
      <c r="P188" s="2"/>
      <c r="Q188" s="2"/>
      <c r="R188" s="2"/>
      <c r="S188" s="2"/>
      <c r="T188" s="2"/>
      <c r="U188" s="2"/>
      <c r="V188" s="2"/>
      <c r="W188" s="2"/>
      <c r="X188" s="2"/>
      <c r="Y188" s="2"/>
    </row>
    <row r="189" spans="1:25" ht="17.399999999999999" x14ac:dyDescent="0.25">
      <c r="A189" s="1"/>
      <c r="B189" s="40"/>
      <c r="C189" s="2" t="str">
        <f ca="1">IFERROR(__xludf.DUMMYFUNCTION("iferror(filter('Full Perk List'!C$3:C1498,'Full Perk List'!$D$3:$D1498=$D189),"""")"),"#REF!")</f>
        <v>#REF!</v>
      </c>
      <c r="D189" s="2"/>
      <c r="E189" s="2" t="str">
        <f ca="1">IFERROR(__xludf.DUMMYFUNCTION("iferror(filter('Full Perk List'!E$3:E1498,'Full Perk List'!$D$3:$D1498=$D189),"""")"),"#REF!")</f>
        <v>#REF!</v>
      </c>
      <c r="F189" s="2" t="str">
        <f ca="1">IFERROR(__xludf.DUMMYFUNCTION("iferror(filter('Full Perk List'!F$3:F1498,'Full Perk List'!$D$3:$D1498=$D189),"""")"),"#REF!")</f>
        <v>#REF!</v>
      </c>
      <c r="G189" s="2" t="str">
        <f ca="1">IFERROR(__xludf.DUMMYFUNCTION("iferror(filter('Full Perk List'!G$3:G1498,'Full Perk List'!$D$3:$D1498=$D189),"""")"),"#REF!")</f>
        <v>#REF!</v>
      </c>
      <c r="H189" s="1"/>
      <c r="I189" s="2"/>
      <c r="J189" s="2"/>
      <c r="K189" s="2"/>
      <c r="L189" s="2"/>
      <c r="M189" s="2"/>
      <c r="N189" s="2"/>
      <c r="O189" s="2"/>
      <c r="P189" s="2"/>
      <c r="Q189" s="2"/>
      <c r="R189" s="2"/>
      <c r="S189" s="2"/>
      <c r="T189" s="2"/>
      <c r="U189" s="2"/>
      <c r="V189" s="2"/>
      <c r="W189" s="2"/>
      <c r="X189" s="2"/>
      <c r="Y189" s="2"/>
    </row>
    <row r="190" spans="1:25" ht="17.399999999999999" x14ac:dyDescent="0.25">
      <c r="A190" s="1"/>
      <c r="B190" s="40"/>
      <c r="C190" s="2" t="str">
        <f ca="1">IFERROR(__xludf.DUMMYFUNCTION("iferror(filter('Full Perk List'!C$3:C1498,'Full Perk List'!$D$3:$D1498=$D190),"""")"),"#REF!")</f>
        <v>#REF!</v>
      </c>
      <c r="D190" s="2"/>
      <c r="E190" s="2" t="str">
        <f ca="1">IFERROR(__xludf.DUMMYFUNCTION("iferror(filter('Full Perk List'!E$3:E1498,'Full Perk List'!$D$3:$D1498=$D190),"""")"),"#REF!")</f>
        <v>#REF!</v>
      </c>
      <c r="F190" s="2" t="str">
        <f ca="1">IFERROR(__xludf.DUMMYFUNCTION("iferror(filter('Full Perk List'!F$3:F1498,'Full Perk List'!$D$3:$D1498=$D190),"""")"),"#REF!")</f>
        <v>#REF!</v>
      </c>
      <c r="G190" s="2" t="str">
        <f ca="1">IFERROR(__xludf.DUMMYFUNCTION("iferror(filter('Full Perk List'!G$3:G1498,'Full Perk List'!$D$3:$D1498=$D190),"""")"),"#REF!")</f>
        <v>#REF!</v>
      </c>
      <c r="H190" s="1"/>
      <c r="I190" s="2"/>
      <c r="J190" s="2"/>
      <c r="K190" s="2"/>
      <c r="L190" s="2"/>
      <c r="M190" s="2"/>
      <c r="N190" s="2"/>
      <c r="O190" s="2"/>
      <c r="P190" s="2"/>
      <c r="Q190" s="2"/>
      <c r="R190" s="2"/>
      <c r="S190" s="2"/>
      <c r="T190" s="2"/>
      <c r="U190" s="2"/>
      <c r="V190" s="2"/>
      <c r="W190" s="2"/>
      <c r="X190" s="2"/>
      <c r="Y190" s="2"/>
    </row>
    <row r="191" spans="1:25" ht="17.399999999999999" x14ac:dyDescent="0.25">
      <c r="A191" s="1"/>
      <c r="B191" s="40"/>
      <c r="C191" s="2" t="str">
        <f ca="1">IFERROR(__xludf.DUMMYFUNCTION("iferror(filter('Full Perk List'!C$3:C1498,'Full Perk List'!$D$3:$D1498=$D191),"""")"),"#REF!")</f>
        <v>#REF!</v>
      </c>
      <c r="D191" s="2"/>
      <c r="E191" s="2" t="str">
        <f ca="1">IFERROR(__xludf.DUMMYFUNCTION("iferror(filter('Full Perk List'!E$3:E1498,'Full Perk List'!$D$3:$D1498=$D191),"""")"),"#REF!")</f>
        <v>#REF!</v>
      </c>
      <c r="F191" s="2" t="str">
        <f ca="1">IFERROR(__xludf.DUMMYFUNCTION("iferror(filter('Full Perk List'!F$3:F1498,'Full Perk List'!$D$3:$D1498=$D191),"""")"),"#REF!")</f>
        <v>#REF!</v>
      </c>
      <c r="G191" s="2" t="str">
        <f ca="1">IFERROR(__xludf.DUMMYFUNCTION("iferror(filter('Full Perk List'!G$3:G1498,'Full Perk List'!$D$3:$D1498=$D191),"""")"),"#REF!")</f>
        <v>#REF!</v>
      </c>
      <c r="H191" s="1"/>
      <c r="I191" s="2"/>
      <c r="J191" s="2"/>
      <c r="K191" s="2"/>
      <c r="L191" s="2"/>
      <c r="M191" s="2"/>
      <c r="N191" s="2"/>
      <c r="O191" s="2"/>
      <c r="P191" s="2"/>
      <c r="Q191" s="2"/>
      <c r="R191" s="2"/>
      <c r="S191" s="2"/>
      <c r="T191" s="2"/>
      <c r="U191" s="2"/>
      <c r="V191" s="2"/>
      <c r="W191" s="2"/>
      <c r="X191" s="2"/>
      <c r="Y191" s="2"/>
    </row>
    <row r="192" spans="1:25" ht="17.399999999999999" x14ac:dyDescent="0.25">
      <c r="A192" s="1"/>
      <c r="B192" s="40"/>
      <c r="C192" s="2" t="str">
        <f ca="1">IFERROR(__xludf.DUMMYFUNCTION("iferror(filter('Full Perk List'!C$3:C1498,'Full Perk List'!$D$3:$D1498=$D192),"""")"),"#REF!")</f>
        <v>#REF!</v>
      </c>
      <c r="D192" s="2"/>
      <c r="E192" s="2" t="str">
        <f ca="1">IFERROR(__xludf.DUMMYFUNCTION("iferror(filter('Full Perk List'!E$3:E1498,'Full Perk List'!$D$3:$D1498=$D192),"""")"),"#REF!")</f>
        <v>#REF!</v>
      </c>
      <c r="F192" s="2" t="str">
        <f ca="1">IFERROR(__xludf.DUMMYFUNCTION("iferror(filter('Full Perk List'!F$3:F1498,'Full Perk List'!$D$3:$D1498=$D192),"""")"),"#REF!")</f>
        <v>#REF!</v>
      </c>
      <c r="G192" s="2" t="str">
        <f ca="1">IFERROR(__xludf.DUMMYFUNCTION("iferror(filter('Full Perk List'!G$3:G1498,'Full Perk List'!$D$3:$D1498=$D192),"""")"),"#REF!")</f>
        <v>#REF!</v>
      </c>
      <c r="H192" s="1"/>
      <c r="I192" s="2"/>
      <c r="J192" s="2"/>
      <c r="K192" s="2"/>
      <c r="L192" s="2"/>
      <c r="M192" s="2"/>
      <c r="N192" s="2"/>
      <c r="O192" s="2"/>
      <c r="P192" s="2"/>
      <c r="Q192" s="2"/>
      <c r="R192" s="2"/>
      <c r="S192" s="2"/>
      <c r="T192" s="2"/>
      <c r="U192" s="2"/>
      <c r="V192" s="2"/>
      <c r="W192" s="2"/>
      <c r="X192" s="2"/>
      <c r="Y192" s="2"/>
    </row>
    <row r="193" spans="1:25" ht="17.399999999999999" x14ac:dyDescent="0.25">
      <c r="A193" s="1"/>
      <c r="B193" s="40"/>
      <c r="C193" s="2" t="str">
        <f ca="1">IFERROR(__xludf.DUMMYFUNCTION("iferror(filter('Full Perk List'!C$3:C1498,'Full Perk List'!$D$3:$D1498=$D193),"""")"),"#REF!")</f>
        <v>#REF!</v>
      </c>
      <c r="D193" s="2"/>
      <c r="E193" s="2" t="str">
        <f ca="1">IFERROR(__xludf.DUMMYFUNCTION("iferror(filter('Full Perk List'!E$3:E1498,'Full Perk List'!$D$3:$D1498=$D193),"""")"),"#REF!")</f>
        <v>#REF!</v>
      </c>
      <c r="F193" s="2" t="str">
        <f ca="1">IFERROR(__xludf.DUMMYFUNCTION("iferror(filter('Full Perk List'!F$3:F1498,'Full Perk List'!$D$3:$D1498=$D193),"""")"),"#REF!")</f>
        <v>#REF!</v>
      </c>
      <c r="G193" s="2" t="str">
        <f ca="1">IFERROR(__xludf.DUMMYFUNCTION("iferror(filter('Full Perk List'!G$3:G1498,'Full Perk List'!$D$3:$D1498=$D193),"""")"),"#REF!")</f>
        <v>#REF!</v>
      </c>
      <c r="H193" s="1"/>
      <c r="I193" s="2"/>
      <c r="J193" s="2"/>
      <c r="K193" s="2"/>
      <c r="L193" s="2"/>
      <c r="M193" s="2"/>
      <c r="N193" s="2"/>
      <c r="O193" s="2"/>
      <c r="P193" s="2"/>
      <c r="Q193" s="2"/>
      <c r="R193" s="2"/>
      <c r="S193" s="2"/>
      <c r="T193" s="2"/>
      <c r="U193" s="2"/>
      <c r="V193" s="2"/>
      <c r="W193" s="2"/>
      <c r="X193" s="2"/>
      <c r="Y193" s="2"/>
    </row>
    <row r="194" spans="1:25" ht="17.399999999999999" x14ac:dyDescent="0.25">
      <c r="A194" s="1"/>
      <c r="B194" s="40"/>
      <c r="C194" s="2" t="str">
        <f ca="1">IFERROR(__xludf.DUMMYFUNCTION("iferror(filter('Full Perk List'!C$3:C1498,'Full Perk List'!$D$3:$D1498=$D194),"""")"),"#REF!")</f>
        <v>#REF!</v>
      </c>
      <c r="D194" s="2"/>
      <c r="E194" s="2" t="str">
        <f ca="1">IFERROR(__xludf.DUMMYFUNCTION("iferror(filter('Full Perk List'!E$3:E1498,'Full Perk List'!$D$3:$D1498=$D194),"""")"),"#REF!")</f>
        <v>#REF!</v>
      </c>
      <c r="F194" s="2" t="str">
        <f ca="1">IFERROR(__xludf.DUMMYFUNCTION("iferror(filter('Full Perk List'!F$3:F1498,'Full Perk List'!$D$3:$D1498=$D194),"""")"),"#REF!")</f>
        <v>#REF!</v>
      </c>
      <c r="G194" s="2" t="str">
        <f ca="1">IFERROR(__xludf.DUMMYFUNCTION("iferror(filter('Full Perk List'!G$3:G1498,'Full Perk List'!$D$3:$D1498=$D194),"""")"),"#REF!")</f>
        <v>#REF!</v>
      </c>
      <c r="H194" s="1"/>
      <c r="I194" s="2"/>
      <c r="J194" s="2"/>
      <c r="K194" s="2"/>
      <c r="L194" s="2"/>
      <c r="M194" s="2"/>
      <c r="N194" s="2"/>
      <c r="O194" s="2"/>
      <c r="P194" s="2"/>
      <c r="Q194" s="2"/>
      <c r="R194" s="2"/>
      <c r="S194" s="2"/>
      <c r="T194" s="2"/>
      <c r="U194" s="2"/>
      <c r="V194" s="2"/>
      <c r="W194" s="2"/>
      <c r="X194" s="2"/>
      <c r="Y194" s="2"/>
    </row>
    <row r="195" spans="1:25" ht="17.399999999999999" x14ac:dyDescent="0.25">
      <c r="A195" s="1"/>
      <c r="B195" s="40"/>
      <c r="C195" s="2" t="str">
        <f ca="1">IFERROR(__xludf.DUMMYFUNCTION("iferror(filter('Full Perk List'!C$3:C1498,'Full Perk List'!$D$3:$D1498=$D195),"""")"),"#REF!")</f>
        <v>#REF!</v>
      </c>
      <c r="D195" s="2"/>
      <c r="E195" s="2" t="str">
        <f ca="1">IFERROR(__xludf.DUMMYFUNCTION("iferror(filter('Full Perk List'!E$3:E1498,'Full Perk List'!$D$3:$D1498=$D195),"""")"),"#REF!")</f>
        <v>#REF!</v>
      </c>
      <c r="F195" s="2" t="str">
        <f ca="1">IFERROR(__xludf.DUMMYFUNCTION("iferror(filter('Full Perk List'!F$3:F1498,'Full Perk List'!$D$3:$D1498=$D195),"""")"),"#REF!")</f>
        <v>#REF!</v>
      </c>
      <c r="G195" s="2" t="str">
        <f ca="1">IFERROR(__xludf.DUMMYFUNCTION("iferror(filter('Full Perk List'!G$3:G1498,'Full Perk List'!$D$3:$D1498=$D195),"""")"),"#REF!")</f>
        <v>#REF!</v>
      </c>
      <c r="H195" s="1"/>
      <c r="I195" s="2"/>
      <c r="J195" s="2"/>
      <c r="K195" s="2"/>
      <c r="L195" s="2"/>
      <c r="M195" s="2"/>
      <c r="N195" s="2"/>
      <c r="O195" s="2"/>
      <c r="P195" s="2"/>
      <c r="Q195" s="2"/>
      <c r="R195" s="2"/>
      <c r="S195" s="2"/>
      <c r="T195" s="2"/>
      <c r="U195" s="2"/>
      <c r="V195" s="2"/>
      <c r="W195" s="2"/>
      <c r="X195" s="2"/>
      <c r="Y195" s="2"/>
    </row>
    <row r="196" spans="1:25" ht="17.399999999999999" x14ac:dyDescent="0.25">
      <c r="A196" s="1"/>
      <c r="B196" s="40"/>
      <c r="C196" s="2" t="str">
        <f ca="1">IFERROR(__xludf.DUMMYFUNCTION("iferror(filter('Full Perk List'!C$3:C1498,'Full Perk List'!$D$3:$D1498=$D196),"""")"),"#REF!")</f>
        <v>#REF!</v>
      </c>
      <c r="D196" s="2"/>
      <c r="E196" s="2" t="str">
        <f ca="1">IFERROR(__xludf.DUMMYFUNCTION("iferror(filter('Full Perk List'!E$3:E1498,'Full Perk List'!$D$3:$D1498=$D196),"""")"),"#REF!")</f>
        <v>#REF!</v>
      </c>
      <c r="F196" s="2" t="str">
        <f ca="1">IFERROR(__xludf.DUMMYFUNCTION("iferror(filter('Full Perk List'!F$3:F1498,'Full Perk List'!$D$3:$D1498=$D196),"""")"),"#REF!")</f>
        <v>#REF!</v>
      </c>
      <c r="G196" s="2" t="str">
        <f ca="1">IFERROR(__xludf.DUMMYFUNCTION("iferror(filter('Full Perk List'!G$3:G1498,'Full Perk List'!$D$3:$D1498=$D196),"""")"),"#REF!")</f>
        <v>#REF!</v>
      </c>
      <c r="H196" s="1"/>
      <c r="I196" s="2"/>
      <c r="J196" s="2"/>
      <c r="K196" s="2"/>
      <c r="L196" s="2"/>
      <c r="M196" s="2"/>
      <c r="N196" s="2"/>
      <c r="O196" s="2"/>
      <c r="P196" s="2"/>
      <c r="Q196" s="2"/>
      <c r="R196" s="2"/>
      <c r="S196" s="2"/>
      <c r="T196" s="2"/>
      <c r="U196" s="2"/>
      <c r="V196" s="2"/>
      <c r="W196" s="2"/>
      <c r="X196" s="2"/>
      <c r="Y196" s="2"/>
    </row>
    <row r="197" spans="1:25" ht="17.399999999999999" x14ac:dyDescent="0.25">
      <c r="A197" s="1"/>
      <c r="B197" s="40"/>
      <c r="C197" s="2" t="str">
        <f ca="1">IFERROR(__xludf.DUMMYFUNCTION("iferror(filter('Full Perk List'!C$3:C1498,'Full Perk List'!$D$3:$D1498=$D197),"""")"),"#REF!")</f>
        <v>#REF!</v>
      </c>
      <c r="D197" s="2"/>
      <c r="E197" s="2" t="str">
        <f ca="1">IFERROR(__xludf.DUMMYFUNCTION("iferror(filter('Full Perk List'!E$3:E1498,'Full Perk List'!$D$3:$D1498=$D197),"""")"),"#REF!")</f>
        <v>#REF!</v>
      </c>
      <c r="F197" s="2" t="str">
        <f ca="1">IFERROR(__xludf.DUMMYFUNCTION("iferror(filter('Full Perk List'!F$3:F1498,'Full Perk List'!$D$3:$D1498=$D197),"""")"),"#REF!")</f>
        <v>#REF!</v>
      </c>
      <c r="G197" s="2" t="str">
        <f ca="1">IFERROR(__xludf.DUMMYFUNCTION("iferror(filter('Full Perk List'!G$3:G1498,'Full Perk List'!$D$3:$D1498=$D197),"""")"),"#REF!")</f>
        <v>#REF!</v>
      </c>
      <c r="H197" s="1"/>
      <c r="I197" s="2"/>
      <c r="J197" s="2"/>
      <c r="K197" s="2"/>
      <c r="L197" s="2"/>
      <c r="M197" s="2"/>
      <c r="N197" s="2"/>
      <c r="O197" s="2"/>
      <c r="P197" s="2"/>
      <c r="Q197" s="2"/>
      <c r="R197" s="2"/>
      <c r="S197" s="2"/>
      <c r="T197" s="2"/>
      <c r="U197" s="2"/>
      <c r="V197" s="2"/>
      <c r="W197" s="2"/>
      <c r="X197" s="2"/>
      <c r="Y197" s="2"/>
    </row>
    <row r="198" spans="1:25" ht="17.399999999999999" x14ac:dyDescent="0.25">
      <c r="A198" s="1"/>
      <c r="B198" s="40"/>
      <c r="C198" s="2" t="str">
        <f ca="1">IFERROR(__xludf.DUMMYFUNCTION("iferror(filter('Full Perk List'!C$3:C1498,'Full Perk List'!$D$3:$D1498=$D198),"""")"),"#REF!")</f>
        <v>#REF!</v>
      </c>
      <c r="D198" s="2"/>
      <c r="E198" s="2" t="str">
        <f ca="1">IFERROR(__xludf.DUMMYFUNCTION("iferror(filter('Full Perk List'!E$3:E1498,'Full Perk List'!$D$3:$D1498=$D198),"""")"),"#REF!")</f>
        <v>#REF!</v>
      </c>
      <c r="F198" s="2" t="str">
        <f ca="1">IFERROR(__xludf.DUMMYFUNCTION("iferror(filter('Full Perk List'!F$3:F1498,'Full Perk List'!$D$3:$D1498=$D198),"""")"),"#REF!")</f>
        <v>#REF!</v>
      </c>
      <c r="G198" s="2" t="str">
        <f ca="1">IFERROR(__xludf.DUMMYFUNCTION("iferror(filter('Full Perk List'!G$3:G1498,'Full Perk List'!$D$3:$D1498=$D198),"""")"),"#REF!")</f>
        <v>#REF!</v>
      </c>
      <c r="H198" s="1"/>
      <c r="I198" s="2"/>
      <c r="J198" s="2"/>
      <c r="K198" s="2"/>
      <c r="L198" s="2"/>
      <c r="M198" s="2"/>
      <c r="N198" s="2"/>
      <c r="O198" s="2"/>
      <c r="P198" s="2"/>
      <c r="Q198" s="2"/>
      <c r="R198" s="2"/>
      <c r="S198" s="2"/>
      <c r="T198" s="2"/>
      <c r="U198" s="2"/>
      <c r="V198" s="2"/>
      <c r="W198" s="2"/>
      <c r="X198" s="2"/>
      <c r="Y198" s="2"/>
    </row>
    <row r="199" spans="1:25" ht="17.399999999999999" x14ac:dyDescent="0.25">
      <c r="A199" s="1"/>
      <c r="B199" s="40"/>
      <c r="C199" s="2" t="str">
        <f ca="1">IFERROR(__xludf.DUMMYFUNCTION("iferror(filter('Full Perk List'!C$3:C1498,'Full Perk List'!$D$3:$D1498=$D199),"""")"),"#REF!")</f>
        <v>#REF!</v>
      </c>
      <c r="D199" s="2"/>
      <c r="E199" s="2" t="str">
        <f ca="1">IFERROR(__xludf.DUMMYFUNCTION("iferror(filter('Full Perk List'!E$3:E1498,'Full Perk List'!$D$3:$D1498=$D199),"""")"),"#REF!")</f>
        <v>#REF!</v>
      </c>
      <c r="F199" s="2" t="str">
        <f ca="1">IFERROR(__xludf.DUMMYFUNCTION("iferror(filter('Full Perk List'!F$3:F1498,'Full Perk List'!$D$3:$D1498=$D199),"""")"),"#REF!")</f>
        <v>#REF!</v>
      </c>
      <c r="G199" s="2" t="str">
        <f ca="1">IFERROR(__xludf.DUMMYFUNCTION("iferror(filter('Full Perk List'!G$3:G1498,'Full Perk List'!$D$3:$D1498=$D199),"""")"),"#REF!")</f>
        <v>#REF!</v>
      </c>
      <c r="H199" s="1"/>
      <c r="I199" s="2"/>
      <c r="J199" s="2"/>
      <c r="K199" s="2"/>
      <c r="L199" s="2"/>
      <c r="M199" s="2"/>
      <c r="N199" s="2"/>
      <c r="O199" s="2"/>
      <c r="P199" s="2"/>
      <c r="Q199" s="2"/>
      <c r="R199" s="2"/>
      <c r="S199" s="2"/>
      <c r="T199" s="2"/>
      <c r="U199" s="2"/>
      <c r="V199" s="2"/>
      <c r="W199" s="2"/>
      <c r="X199" s="2"/>
      <c r="Y199" s="2"/>
    </row>
    <row r="200" spans="1:25" ht="17.399999999999999" x14ac:dyDescent="0.25">
      <c r="A200" s="1"/>
      <c r="B200" s="40"/>
      <c r="C200" s="2" t="str">
        <f ca="1">IFERROR(__xludf.DUMMYFUNCTION("iferror(filter('Full Perk List'!C$3:C1498,'Full Perk List'!$D$3:$D1498=$D200),"""")"),"#REF!")</f>
        <v>#REF!</v>
      </c>
      <c r="D200" s="2"/>
      <c r="E200" s="2" t="str">
        <f ca="1">IFERROR(__xludf.DUMMYFUNCTION("iferror(filter('Full Perk List'!E$3:E1498,'Full Perk List'!$D$3:$D1498=$D200),"""")"),"#REF!")</f>
        <v>#REF!</v>
      </c>
      <c r="F200" s="2" t="str">
        <f ca="1">IFERROR(__xludf.DUMMYFUNCTION("iferror(filter('Full Perk List'!F$3:F1498,'Full Perk List'!$D$3:$D1498=$D200),"""")"),"#REF!")</f>
        <v>#REF!</v>
      </c>
      <c r="G200" s="2" t="str">
        <f ca="1">IFERROR(__xludf.DUMMYFUNCTION("iferror(filter('Full Perk List'!G$3:G1498,'Full Perk List'!$D$3:$D1498=$D200),"""")"),"#REF!")</f>
        <v>#REF!</v>
      </c>
      <c r="H200" s="1"/>
      <c r="I200" s="2"/>
      <c r="J200" s="2"/>
      <c r="K200" s="2"/>
      <c r="L200" s="2"/>
      <c r="M200" s="2"/>
      <c r="N200" s="2"/>
      <c r="O200" s="2"/>
      <c r="P200" s="2"/>
      <c r="Q200" s="2"/>
      <c r="R200" s="2"/>
      <c r="S200" s="2"/>
      <c r="T200" s="2"/>
      <c r="U200" s="2"/>
      <c r="V200" s="2"/>
      <c r="W200" s="2"/>
      <c r="X200" s="2"/>
      <c r="Y200" s="2"/>
    </row>
    <row r="201" spans="1:25" ht="17.399999999999999" x14ac:dyDescent="0.25">
      <c r="A201" s="1"/>
      <c r="B201" s="40"/>
      <c r="C201" s="2" t="str">
        <f ca="1">IFERROR(__xludf.DUMMYFUNCTION("iferror(filter('Full Perk List'!C$3:C1498,'Full Perk List'!$D$3:$D1498=$D201),"""")"),"#REF!")</f>
        <v>#REF!</v>
      </c>
      <c r="D201" s="2"/>
      <c r="E201" s="2" t="str">
        <f ca="1">IFERROR(__xludf.DUMMYFUNCTION("iferror(filter('Full Perk List'!E$3:E1498,'Full Perk List'!$D$3:$D1498=$D201),"""")"),"#REF!")</f>
        <v>#REF!</v>
      </c>
      <c r="F201" s="2" t="str">
        <f ca="1">IFERROR(__xludf.DUMMYFUNCTION("iferror(filter('Full Perk List'!F$3:F1498,'Full Perk List'!$D$3:$D1498=$D201),"""")"),"#REF!")</f>
        <v>#REF!</v>
      </c>
      <c r="G201" s="2" t="str">
        <f ca="1">IFERROR(__xludf.DUMMYFUNCTION("iferror(filter('Full Perk List'!G$3:G1498,'Full Perk List'!$D$3:$D1498=$D201),"""")"),"#REF!")</f>
        <v>#REF!</v>
      </c>
      <c r="H201" s="1"/>
      <c r="I201" s="2"/>
      <c r="J201" s="2"/>
      <c r="K201" s="2"/>
      <c r="L201" s="2"/>
      <c r="M201" s="2"/>
      <c r="N201" s="2"/>
      <c r="O201" s="2"/>
      <c r="P201" s="2"/>
      <c r="Q201" s="2"/>
      <c r="R201" s="2"/>
      <c r="S201" s="2"/>
      <c r="T201" s="2"/>
      <c r="U201" s="2"/>
      <c r="V201" s="2"/>
      <c r="W201" s="2"/>
      <c r="X201" s="2"/>
      <c r="Y201" s="2"/>
    </row>
    <row r="202" spans="1:25" ht="17.399999999999999" x14ac:dyDescent="0.25">
      <c r="A202" s="1"/>
      <c r="B202" s="40"/>
      <c r="C202" s="2" t="str">
        <f ca="1">IFERROR(__xludf.DUMMYFUNCTION("iferror(filter('Full Perk List'!C$3:C1498,'Full Perk List'!$D$3:$D1498=$D202),"""")"),"#REF!")</f>
        <v>#REF!</v>
      </c>
      <c r="D202" s="2"/>
      <c r="E202" s="2" t="str">
        <f ca="1">IFERROR(__xludf.DUMMYFUNCTION("iferror(filter('Full Perk List'!E$3:E1498,'Full Perk List'!$D$3:$D1498=$D202),"""")"),"#REF!")</f>
        <v>#REF!</v>
      </c>
      <c r="F202" s="2" t="str">
        <f ca="1">IFERROR(__xludf.DUMMYFUNCTION("iferror(filter('Full Perk List'!F$3:F1498,'Full Perk List'!$D$3:$D1498=$D202),"""")"),"#REF!")</f>
        <v>#REF!</v>
      </c>
      <c r="G202" s="2" t="str">
        <f ca="1">IFERROR(__xludf.DUMMYFUNCTION("iferror(filter('Full Perk List'!G$3:G1498,'Full Perk List'!$D$3:$D1498=$D202),"""")"),"#REF!")</f>
        <v>#REF!</v>
      </c>
      <c r="H202" s="1"/>
      <c r="I202" s="2"/>
      <c r="J202" s="2"/>
      <c r="K202" s="2"/>
      <c r="L202" s="2"/>
      <c r="M202" s="2"/>
      <c r="N202" s="2"/>
      <c r="O202" s="2"/>
      <c r="P202" s="2"/>
      <c r="Q202" s="2"/>
      <c r="R202" s="2"/>
      <c r="S202" s="2"/>
      <c r="T202" s="2"/>
      <c r="U202" s="2"/>
      <c r="V202" s="2"/>
      <c r="W202" s="2"/>
      <c r="X202" s="2"/>
      <c r="Y202" s="2"/>
    </row>
    <row r="203" spans="1:25" ht="17.399999999999999" x14ac:dyDescent="0.25">
      <c r="A203" s="1"/>
      <c r="B203" s="40"/>
      <c r="C203" s="2" t="str">
        <f ca="1">IFERROR(__xludf.DUMMYFUNCTION("iferror(filter('Full Perk List'!C$3:C1498,'Full Perk List'!$D$3:$D1498=$D203),"""")"),"#REF!")</f>
        <v>#REF!</v>
      </c>
      <c r="D203" s="2"/>
      <c r="E203" s="2" t="str">
        <f ca="1">IFERROR(__xludf.DUMMYFUNCTION("iferror(filter('Full Perk List'!E$3:E1498,'Full Perk List'!$D$3:$D1498=$D203),"""")"),"#REF!")</f>
        <v>#REF!</v>
      </c>
      <c r="F203" s="2" t="str">
        <f ca="1">IFERROR(__xludf.DUMMYFUNCTION("iferror(filter('Full Perk List'!F$3:F1498,'Full Perk List'!$D$3:$D1498=$D203),"""")"),"#REF!")</f>
        <v>#REF!</v>
      </c>
      <c r="G203" s="2" t="str">
        <f ca="1">IFERROR(__xludf.DUMMYFUNCTION("iferror(filter('Full Perk List'!G$3:G1498,'Full Perk List'!$D$3:$D1498=$D203),"""")"),"#REF!")</f>
        <v>#REF!</v>
      </c>
      <c r="H203" s="1"/>
      <c r="I203" s="2"/>
      <c r="J203" s="2"/>
      <c r="K203" s="2"/>
      <c r="L203" s="2"/>
      <c r="M203" s="2"/>
      <c r="N203" s="2"/>
      <c r="O203" s="2"/>
      <c r="P203" s="2"/>
      <c r="Q203" s="2"/>
      <c r="R203" s="2"/>
      <c r="S203" s="2"/>
      <c r="T203" s="2"/>
      <c r="U203" s="2"/>
      <c r="V203" s="2"/>
      <c r="W203" s="2"/>
      <c r="X203" s="2"/>
      <c r="Y203" s="2"/>
    </row>
    <row r="204" spans="1:25" ht="17.399999999999999" x14ac:dyDescent="0.25">
      <c r="A204" s="1"/>
      <c r="B204" s="40"/>
      <c r="C204" s="2" t="str">
        <f ca="1">IFERROR(__xludf.DUMMYFUNCTION("iferror(filter('Full Perk List'!C$3:C1498,'Full Perk List'!$D$3:$D1498=$D204),"""")"),"#REF!")</f>
        <v>#REF!</v>
      </c>
      <c r="D204" s="2"/>
      <c r="E204" s="2" t="str">
        <f ca="1">IFERROR(__xludf.DUMMYFUNCTION("iferror(filter('Full Perk List'!E$3:E1498,'Full Perk List'!$D$3:$D1498=$D204),"""")"),"#REF!")</f>
        <v>#REF!</v>
      </c>
      <c r="F204" s="2" t="str">
        <f ca="1">IFERROR(__xludf.DUMMYFUNCTION("iferror(filter('Full Perk List'!F$3:F1498,'Full Perk List'!$D$3:$D1498=$D204),"""")"),"#REF!")</f>
        <v>#REF!</v>
      </c>
      <c r="G204" s="2" t="str">
        <f ca="1">IFERROR(__xludf.DUMMYFUNCTION("iferror(filter('Full Perk List'!G$3:G1498,'Full Perk List'!$D$3:$D1498=$D204),"""")"),"#REF!")</f>
        <v>#REF!</v>
      </c>
      <c r="H204" s="1"/>
      <c r="I204" s="2"/>
      <c r="J204" s="2"/>
      <c r="K204" s="2"/>
      <c r="L204" s="2"/>
      <c r="M204" s="2"/>
      <c r="N204" s="2"/>
      <c r="O204" s="2"/>
      <c r="P204" s="2"/>
      <c r="Q204" s="2"/>
      <c r="R204" s="2"/>
      <c r="S204" s="2"/>
      <c r="T204" s="2"/>
      <c r="U204" s="2"/>
      <c r="V204" s="2"/>
      <c r="W204" s="2"/>
      <c r="X204" s="2"/>
      <c r="Y204" s="2"/>
    </row>
    <row r="205" spans="1:25" ht="17.399999999999999" x14ac:dyDescent="0.25">
      <c r="A205" s="1"/>
      <c r="B205" s="40"/>
      <c r="C205" s="2" t="str">
        <f ca="1">IFERROR(__xludf.DUMMYFUNCTION("iferror(filter('Full Perk List'!C$3:C1498,'Full Perk List'!$D$3:$D1498=$D205),"""")"),"#REF!")</f>
        <v>#REF!</v>
      </c>
      <c r="D205" s="2"/>
      <c r="E205" s="2" t="str">
        <f ca="1">IFERROR(__xludf.DUMMYFUNCTION("iferror(filter('Full Perk List'!E$3:E1498,'Full Perk List'!$D$3:$D1498=$D205),"""")"),"#REF!")</f>
        <v>#REF!</v>
      </c>
      <c r="F205" s="2" t="str">
        <f ca="1">IFERROR(__xludf.DUMMYFUNCTION("iferror(filter('Full Perk List'!F$3:F1498,'Full Perk List'!$D$3:$D1498=$D205),"""")"),"#REF!")</f>
        <v>#REF!</v>
      </c>
      <c r="G205" s="2" t="str">
        <f ca="1">IFERROR(__xludf.DUMMYFUNCTION("iferror(filter('Full Perk List'!G$3:G1498,'Full Perk List'!$D$3:$D1498=$D205),"""")"),"#REF!")</f>
        <v>#REF!</v>
      </c>
      <c r="H205" s="1"/>
      <c r="I205" s="2"/>
      <c r="J205" s="2"/>
      <c r="K205" s="2"/>
      <c r="L205" s="2"/>
      <c r="M205" s="2"/>
      <c r="N205" s="2"/>
      <c r="O205" s="2"/>
      <c r="P205" s="2"/>
      <c r="Q205" s="2"/>
      <c r="R205" s="2"/>
      <c r="S205" s="2"/>
      <c r="T205" s="2"/>
      <c r="U205" s="2"/>
      <c r="V205" s="2"/>
      <c r="W205" s="2"/>
      <c r="X205" s="2"/>
      <c r="Y205" s="2"/>
    </row>
    <row r="206" spans="1:25" ht="17.399999999999999" x14ac:dyDescent="0.25">
      <c r="A206" s="1"/>
      <c r="B206" s="40"/>
      <c r="C206" s="2" t="str">
        <f ca="1">IFERROR(__xludf.DUMMYFUNCTION("iferror(filter('Full Perk List'!C$3:C1498,'Full Perk List'!$D$3:$D1498=$D206),"""")"),"#REF!")</f>
        <v>#REF!</v>
      </c>
      <c r="D206" s="2"/>
      <c r="E206" s="2" t="str">
        <f ca="1">IFERROR(__xludf.DUMMYFUNCTION("iferror(filter('Full Perk List'!E$3:E1498,'Full Perk List'!$D$3:$D1498=$D206),"""")"),"#REF!")</f>
        <v>#REF!</v>
      </c>
      <c r="F206" s="2" t="str">
        <f ca="1">IFERROR(__xludf.DUMMYFUNCTION("iferror(filter('Full Perk List'!F$3:F1498,'Full Perk List'!$D$3:$D1498=$D206),"""")"),"#REF!")</f>
        <v>#REF!</v>
      </c>
      <c r="G206" s="2" t="str">
        <f ca="1">IFERROR(__xludf.DUMMYFUNCTION("iferror(filter('Full Perk List'!G$3:G1498,'Full Perk List'!$D$3:$D1498=$D206),"""")"),"#REF!")</f>
        <v>#REF!</v>
      </c>
      <c r="H206" s="1"/>
      <c r="I206" s="2"/>
      <c r="J206" s="2"/>
      <c r="K206" s="2"/>
      <c r="L206" s="2"/>
      <c r="M206" s="2"/>
      <c r="N206" s="2"/>
      <c r="O206" s="2"/>
      <c r="P206" s="2"/>
      <c r="Q206" s="2"/>
      <c r="R206" s="2"/>
      <c r="S206" s="2"/>
      <c r="T206" s="2"/>
      <c r="U206" s="2"/>
      <c r="V206" s="2"/>
      <c r="W206" s="2"/>
      <c r="X206" s="2"/>
      <c r="Y206" s="2"/>
    </row>
    <row r="207" spans="1:25" ht="17.399999999999999" x14ac:dyDescent="0.25">
      <c r="A207" s="1"/>
      <c r="B207" s="40"/>
      <c r="C207" s="2" t="str">
        <f ca="1">IFERROR(__xludf.DUMMYFUNCTION("iferror(filter('Full Perk List'!C$3:C1498,'Full Perk List'!$D$3:$D1498=$D207),"""")"),"#REF!")</f>
        <v>#REF!</v>
      </c>
      <c r="D207" s="2"/>
      <c r="E207" s="2" t="str">
        <f ca="1">IFERROR(__xludf.DUMMYFUNCTION("iferror(filter('Full Perk List'!E$3:E1498,'Full Perk List'!$D$3:$D1498=$D207),"""")"),"#REF!")</f>
        <v>#REF!</v>
      </c>
      <c r="F207" s="2" t="str">
        <f ca="1">IFERROR(__xludf.DUMMYFUNCTION("iferror(filter('Full Perk List'!F$3:F1498,'Full Perk List'!$D$3:$D1498=$D207),"""")"),"#REF!")</f>
        <v>#REF!</v>
      </c>
      <c r="G207" s="2" t="str">
        <f ca="1">IFERROR(__xludf.DUMMYFUNCTION("iferror(filter('Full Perk List'!G$3:G1498,'Full Perk List'!$D$3:$D1498=$D207),"""")"),"#REF!")</f>
        <v>#REF!</v>
      </c>
      <c r="H207" s="1"/>
      <c r="I207" s="2"/>
      <c r="J207" s="2"/>
      <c r="K207" s="2"/>
      <c r="L207" s="2"/>
      <c r="M207" s="2"/>
      <c r="N207" s="2"/>
      <c r="O207" s="2"/>
      <c r="P207" s="2"/>
      <c r="Q207" s="2"/>
      <c r="R207" s="2"/>
      <c r="S207" s="2"/>
      <c r="T207" s="2"/>
      <c r="U207" s="2"/>
      <c r="V207" s="2"/>
      <c r="W207" s="2"/>
      <c r="X207" s="2"/>
      <c r="Y207" s="2"/>
    </row>
    <row r="208" spans="1:25" ht="17.399999999999999" x14ac:dyDescent="0.25">
      <c r="A208" s="1"/>
      <c r="B208" s="40"/>
      <c r="C208" s="2" t="str">
        <f ca="1">IFERROR(__xludf.DUMMYFUNCTION("iferror(filter('Full Perk List'!C$3:C1498,'Full Perk List'!$D$3:$D1498=$D208),"""")"),"#REF!")</f>
        <v>#REF!</v>
      </c>
      <c r="D208" s="2"/>
      <c r="E208" s="2" t="str">
        <f ca="1">IFERROR(__xludf.DUMMYFUNCTION("iferror(filter('Full Perk List'!E$3:E1498,'Full Perk List'!$D$3:$D1498=$D208),"""")"),"#REF!")</f>
        <v>#REF!</v>
      </c>
      <c r="F208" s="2" t="str">
        <f ca="1">IFERROR(__xludf.DUMMYFUNCTION("iferror(filter('Full Perk List'!F$3:F1498,'Full Perk List'!$D$3:$D1498=$D208),"""")"),"#REF!")</f>
        <v>#REF!</v>
      </c>
      <c r="G208" s="2" t="str">
        <f ca="1">IFERROR(__xludf.DUMMYFUNCTION("iferror(filter('Full Perk List'!G$3:G1498,'Full Perk List'!$D$3:$D1498=$D208),"""")"),"#REF!")</f>
        <v>#REF!</v>
      </c>
      <c r="H208" s="1"/>
      <c r="I208" s="2"/>
      <c r="J208" s="2"/>
      <c r="K208" s="2"/>
      <c r="L208" s="2"/>
      <c r="M208" s="2"/>
      <c r="N208" s="2"/>
      <c r="O208" s="2"/>
      <c r="P208" s="2"/>
      <c r="Q208" s="2"/>
      <c r="R208" s="2"/>
      <c r="S208" s="2"/>
      <c r="T208" s="2"/>
      <c r="U208" s="2"/>
      <c r="V208" s="2"/>
      <c r="W208" s="2"/>
      <c r="X208" s="2"/>
      <c r="Y208" s="2"/>
    </row>
    <row r="209" spans="1:25" ht="17.399999999999999" x14ac:dyDescent="0.25">
      <c r="A209" s="1"/>
      <c r="B209" s="40"/>
      <c r="C209" s="2" t="str">
        <f ca="1">IFERROR(__xludf.DUMMYFUNCTION("iferror(filter('Full Perk List'!C$3:C1498,'Full Perk List'!$D$3:$D1498=$D209),"""")"),"#REF!")</f>
        <v>#REF!</v>
      </c>
      <c r="D209" s="2"/>
      <c r="E209" s="2" t="str">
        <f ca="1">IFERROR(__xludf.DUMMYFUNCTION("iferror(filter('Full Perk List'!E$3:E1498,'Full Perk List'!$D$3:$D1498=$D209),"""")"),"#REF!")</f>
        <v>#REF!</v>
      </c>
      <c r="F209" s="2" t="str">
        <f ca="1">IFERROR(__xludf.DUMMYFUNCTION("iferror(filter('Full Perk List'!F$3:F1498,'Full Perk List'!$D$3:$D1498=$D209),"""")"),"#REF!")</f>
        <v>#REF!</v>
      </c>
      <c r="G209" s="2" t="str">
        <f ca="1">IFERROR(__xludf.DUMMYFUNCTION("iferror(filter('Full Perk List'!G$3:G1498,'Full Perk List'!$D$3:$D1498=$D209),"""")"),"#REF!")</f>
        <v>#REF!</v>
      </c>
      <c r="H209" s="1"/>
      <c r="I209" s="2"/>
      <c r="J209" s="2"/>
      <c r="K209" s="2"/>
      <c r="L209" s="2"/>
      <c r="M209" s="2"/>
      <c r="N209" s="2"/>
      <c r="O209" s="2"/>
      <c r="P209" s="2"/>
      <c r="Q209" s="2"/>
      <c r="R209" s="2"/>
      <c r="S209" s="2"/>
      <c r="T209" s="2"/>
      <c r="U209" s="2"/>
      <c r="V209" s="2"/>
      <c r="W209" s="2"/>
      <c r="X209" s="2"/>
      <c r="Y209" s="2"/>
    </row>
    <row r="210" spans="1:25" ht="17.399999999999999" x14ac:dyDescent="0.25">
      <c r="A210" s="1"/>
      <c r="B210" s="40"/>
      <c r="C210" s="2" t="str">
        <f ca="1">IFERROR(__xludf.DUMMYFUNCTION("iferror(filter('Full Perk List'!C$3:C1498,'Full Perk List'!$D$3:$D1498=$D210),"""")"),"#REF!")</f>
        <v>#REF!</v>
      </c>
      <c r="D210" s="2"/>
      <c r="E210" s="2" t="str">
        <f ca="1">IFERROR(__xludf.DUMMYFUNCTION("iferror(filter('Full Perk List'!E$3:E1498,'Full Perk List'!$D$3:$D1498=$D210),"""")"),"#REF!")</f>
        <v>#REF!</v>
      </c>
      <c r="F210" s="2" t="str">
        <f ca="1">IFERROR(__xludf.DUMMYFUNCTION("iferror(filter('Full Perk List'!F$3:F1498,'Full Perk List'!$D$3:$D1498=$D210),"""")"),"#REF!")</f>
        <v>#REF!</v>
      </c>
      <c r="G210" s="2" t="str">
        <f ca="1">IFERROR(__xludf.DUMMYFUNCTION("iferror(filter('Full Perk List'!G$3:G1498,'Full Perk List'!$D$3:$D1498=$D210),"""")"),"#REF!")</f>
        <v>#REF!</v>
      </c>
      <c r="H210" s="1"/>
      <c r="I210" s="2"/>
      <c r="J210" s="2"/>
      <c r="K210" s="2"/>
      <c r="L210" s="2"/>
      <c r="M210" s="2"/>
      <c r="N210" s="2"/>
      <c r="O210" s="2"/>
      <c r="P210" s="2"/>
      <c r="Q210" s="2"/>
      <c r="R210" s="2"/>
      <c r="S210" s="2"/>
      <c r="T210" s="2"/>
      <c r="U210" s="2"/>
      <c r="V210" s="2"/>
      <c r="W210" s="2"/>
      <c r="X210" s="2"/>
      <c r="Y210" s="2"/>
    </row>
    <row r="211" spans="1:25" ht="17.399999999999999" x14ac:dyDescent="0.25">
      <c r="A211" s="1"/>
      <c r="B211" s="40"/>
      <c r="C211" s="2" t="str">
        <f ca="1">IFERROR(__xludf.DUMMYFUNCTION("iferror(filter('Full Perk List'!C$3:C1498,'Full Perk List'!$D$3:$D1498=$D211),"""")"),"#REF!")</f>
        <v>#REF!</v>
      </c>
      <c r="D211" s="2"/>
      <c r="E211" s="2" t="str">
        <f ca="1">IFERROR(__xludf.DUMMYFUNCTION("iferror(filter('Full Perk List'!E$3:E1498,'Full Perk List'!$D$3:$D1498=$D211),"""")"),"#REF!")</f>
        <v>#REF!</v>
      </c>
      <c r="F211" s="2" t="str">
        <f ca="1">IFERROR(__xludf.DUMMYFUNCTION("iferror(filter('Full Perk List'!F$3:F1498,'Full Perk List'!$D$3:$D1498=$D211),"""")"),"#REF!")</f>
        <v>#REF!</v>
      </c>
      <c r="G211" s="2" t="str">
        <f ca="1">IFERROR(__xludf.DUMMYFUNCTION("iferror(filter('Full Perk List'!G$3:G1498,'Full Perk List'!$D$3:$D1498=$D211),"""")"),"#REF!")</f>
        <v>#REF!</v>
      </c>
      <c r="H211" s="1"/>
      <c r="I211" s="2"/>
      <c r="J211" s="2"/>
      <c r="K211" s="2"/>
      <c r="L211" s="2"/>
      <c r="M211" s="2"/>
      <c r="N211" s="2"/>
      <c r="O211" s="2"/>
      <c r="P211" s="2"/>
      <c r="Q211" s="2"/>
      <c r="R211" s="2"/>
      <c r="S211" s="2"/>
      <c r="T211" s="2"/>
      <c r="U211" s="2"/>
      <c r="V211" s="2"/>
      <c r="W211" s="2"/>
      <c r="X211" s="2"/>
      <c r="Y211" s="2"/>
    </row>
    <row r="212" spans="1:25" ht="17.399999999999999" x14ac:dyDescent="0.25">
      <c r="A212" s="1"/>
      <c r="B212" s="40"/>
      <c r="C212" s="2" t="str">
        <f ca="1">IFERROR(__xludf.DUMMYFUNCTION("iferror(filter('Full Perk List'!C$3:C1498,'Full Perk List'!$D$3:$D1498=$D212),"""")"),"#REF!")</f>
        <v>#REF!</v>
      </c>
      <c r="D212" s="2"/>
      <c r="E212" s="2" t="str">
        <f ca="1">IFERROR(__xludf.DUMMYFUNCTION("iferror(filter('Full Perk List'!E$3:E1498,'Full Perk List'!$D$3:$D1498=$D212),"""")"),"#REF!")</f>
        <v>#REF!</v>
      </c>
      <c r="F212" s="2" t="str">
        <f ca="1">IFERROR(__xludf.DUMMYFUNCTION("iferror(filter('Full Perk List'!F$3:F1498,'Full Perk List'!$D$3:$D1498=$D212),"""")"),"#REF!")</f>
        <v>#REF!</v>
      </c>
      <c r="G212" s="2" t="str">
        <f ca="1">IFERROR(__xludf.DUMMYFUNCTION("iferror(filter('Full Perk List'!G$3:G1498,'Full Perk List'!$D$3:$D1498=$D212),"""")"),"#REF!")</f>
        <v>#REF!</v>
      </c>
      <c r="H212" s="1"/>
      <c r="I212" s="2"/>
      <c r="J212" s="2"/>
      <c r="K212" s="2"/>
      <c r="L212" s="2"/>
      <c r="M212" s="2"/>
      <c r="N212" s="2"/>
      <c r="O212" s="2"/>
      <c r="P212" s="2"/>
      <c r="Q212" s="2"/>
      <c r="R212" s="2"/>
      <c r="S212" s="2"/>
      <c r="T212" s="2"/>
      <c r="U212" s="2"/>
      <c r="V212" s="2"/>
      <c r="W212" s="2"/>
      <c r="X212" s="2"/>
      <c r="Y212" s="2"/>
    </row>
    <row r="213" spans="1:25" ht="17.399999999999999" x14ac:dyDescent="0.25">
      <c r="A213" s="1"/>
      <c r="B213" s="40"/>
      <c r="C213" s="2" t="str">
        <f ca="1">IFERROR(__xludf.DUMMYFUNCTION("iferror(filter('Full Perk List'!C$3:C1498,'Full Perk List'!$D$3:$D1498=$D213),"""")"),"#REF!")</f>
        <v>#REF!</v>
      </c>
      <c r="D213" s="2"/>
      <c r="E213" s="2" t="str">
        <f ca="1">IFERROR(__xludf.DUMMYFUNCTION("iferror(filter('Full Perk List'!E$3:E1498,'Full Perk List'!$D$3:$D1498=$D213),"""")"),"#REF!")</f>
        <v>#REF!</v>
      </c>
      <c r="F213" s="2" t="str">
        <f ca="1">IFERROR(__xludf.DUMMYFUNCTION("iferror(filter('Full Perk List'!F$3:F1498,'Full Perk List'!$D$3:$D1498=$D213),"""")"),"#REF!")</f>
        <v>#REF!</v>
      </c>
      <c r="G213" s="2" t="str">
        <f ca="1">IFERROR(__xludf.DUMMYFUNCTION("iferror(filter('Full Perk List'!G$3:G1498,'Full Perk List'!$D$3:$D1498=$D213),"""")"),"#REF!")</f>
        <v>#REF!</v>
      </c>
      <c r="H213" s="1"/>
      <c r="I213" s="2"/>
      <c r="J213" s="2"/>
      <c r="K213" s="2"/>
      <c r="L213" s="2"/>
      <c r="M213" s="2"/>
      <c r="N213" s="2"/>
      <c r="O213" s="2"/>
      <c r="P213" s="2"/>
      <c r="Q213" s="2"/>
      <c r="R213" s="2"/>
      <c r="S213" s="2"/>
      <c r="T213" s="2"/>
      <c r="U213" s="2"/>
      <c r="V213" s="2"/>
      <c r="W213" s="2"/>
      <c r="X213" s="2"/>
      <c r="Y213" s="2"/>
    </row>
    <row r="214" spans="1:25" ht="17.399999999999999" x14ac:dyDescent="0.25">
      <c r="A214" s="1"/>
      <c r="B214" s="40"/>
      <c r="C214" s="2" t="str">
        <f ca="1">IFERROR(__xludf.DUMMYFUNCTION("iferror(filter('Full Perk List'!C$3:C1498,'Full Perk List'!$D$3:$D1498=$D214),"""")"),"#REF!")</f>
        <v>#REF!</v>
      </c>
      <c r="D214" s="2"/>
      <c r="E214" s="2" t="str">
        <f ca="1">IFERROR(__xludf.DUMMYFUNCTION("iferror(filter('Full Perk List'!E$3:E1498,'Full Perk List'!$D$3:$D1498=$D214),"""")"),"#REF!")</f>
        <v>#REF!</v>
      </c>
      <c r="F214" s="2" t="str">
        <f ca="1">IFERROR(__xludf.DUMMYFUNCTION("iferror(filter('Full Perk List'!F$3:F1498,'Full Perk List'!$D$3:$D1498=$D214),"""")"),"#REF!")</f>
        <v>#REF!</v>
      </c>
      <c r="G214" s="2" t="str">
        <f ca="1">IFERROR(__xludf.DUMMYFUNCTION("iferror(filter('Full Perk List'!G$3:G1498,'Full Perk List'!$D$3:$D1498=$D214),"""")"),"#REF!")</f>
        <v>#REF!</v>
      </c>
      <c r="H214" s="1"/>
      <c r="I214" s="2"/>
      <c r="J214" s="2"/>
      <c r="K214" s="2"/>
      <c r="L214" s="2"/>
      <c r="M214" s="2"/>
      <c r="N214" s="2"/>
      <c r="O214" s="2"/>
      <c r="P214" s="2"/>
      <c r="Q214" s="2"/>
      <c r="R214" s="2"/>
      <c r="S214" s="2"/>
      <c r="T214" s="2"/>
      <c r="U214" s="2"/>
      <c r="V214" s="2"/>
      <c r="W214" s="2"/>
      <c r="X214" s="2"/>
      <c r="Y214" s="2"/>
    </row>
    <row r="215" spans="1:25" ht="17.399999999999999" x14ac:dyDescent="0.25">
      <c r="A215" s="1"/>
      <c r="B215" s="40"/>
      <c r="C215" s="2" t="str">
        <f ca="1">IFERROR(__xludf.DUMMYFUNCTION("iferror(filter('Full Perk List'!C$3:C1498,'Full Perk List'!$D$3:$D1498=$D215),"""")"),"#REF!")</f>
        <v>#REF!</v>
      </c>
      <c r="D215" s="2"/>
      <c r="E215" s="2" t="str">
        <f ca="1">IFERROR(__xludf.DUMMYFUNCTION("iferror(filter('Full Perk List'!E$3:E1498,'Full Perk List'!$D$3:$D1498=$D215),"""")"),"#REF!")</f>
        <v>#REF!</v>
      </c>
      <c r="F215" s="2" t="str">
        <f ca="1">IFERROR(__xludf.DUMMYFUNCTION("iferror(filter('Full Perk List'!F$3:F1498,'Full Perk List'!$D$3:$D1498=$D215),"""")"),"#REF!")</f>
        <v>#REF!</v>
      </c>
      <c r="G215" s="2" t="str">
        <f ca="1">IFERROR(__xludf.DUMMYFUNCTION("iferror(filter('Full Perk List'!G$3:G1498,'Full Perk List'!$D$3:$D1498=$D215),"""")"),"#REF!")</f>
        <v>#REF!</v>
      </c>
      <c r="H215" s="1"/>
      <c r="I215" s="2"/>
      <c r="J215" s="2"/>
      <c r="K215" s="2"/>
      <c r="L215" s="2"/>
      <c r="M215" s="2"/>
      <c r="N215" s="2"/>
      <c r="O215" s="2"/>
      <c r="P215" s="2"/>
      <c r="Q215" s="2"/>
      <c r="R215" s="2"/>
      <c r="S215" s="2"/>
      <c r="T215" s="2"/>
      <c r="U215" s="2"/>
      <c r="V215" s="2"/>
      <c r="W215" s="2"/>
      <c r="X215" s="2"/>
      <c r="Y215" s="2"/>
    </row>
    <row r="216" spans="1:25" ht="17.399999999999999" x14ac:dyDescent="0.25">
      <c r="A216" s="1"/>
      <c r="B216" s="40"/>
      <c r="C216" s="2" t="str">
        <f ca="1">IFERROR(__xludf.DUMMYFUNCTION("iferror(filter('Full Perk List'!C$3:C1498,'Full Perk List'!$D$3:$D1498=$D216),"""")"),"#REF!")</f>
        <v>#REF!</v>
      </c>
      <c r="D216" s="2"/>
      <c r="E216" s="2" t="str">
        <f ca="1">IFERROR(__xludf.DUMMYFUNCTION("iferror(filter('Full Perk List'!E$3:E1498,'Full Perk List'!$D$3:$D1498=$D216),"""")"),"#REF!")</f>
        <v>#REF!</v>
      </c>
      <c r="F216" s="2" t="str">
        <f ca="1">IFERROR(__xludf.DUMMYFUNCTION("iferror(filter('Full Perk List'!F$3:F1498,'Full Perk List'!$D$3:$D1498=$D216),"""")"),"#REF!")</f>
        <v>#REF!</v>
      </c>
      <c r="G216" s="2" t="str">
        <f ca="1">IFERROR(__xludf.DUMMYFUNCTION("iferror(filter('Full Perk List'!G$3:G1498,'Full Perk List'!$D$3:$D1498=$D216),"""")"),"#REF!")</f>
        <v>#REF!</v>
      </c>
      <c r="H216" s="1"/>
      <c r="I216" s="2"/>
      <c r="J216" s="2"/>
      <c r="K216" s="2"/>
      <c r="L216" s="2"/>
      <c r="M216" s="2"/>
      <c r="N216" s="2"/>
      <c r="O216" s="2"/>
      <c r="P216" s="2"/>
      <c r="Q216" s="2"/>
      <c r="R216" s="2"/>
      <c r="S216" s="2"/>
      <c r="T216" s="2"/>
      <c r="U216" s="2"/>
      <c r="V216" s="2"/>
      <c r="W216" s="2"/>
      <c r="X216" s="2"/>
      <c r="Y216" s="2"/>
    </row>
    <row r="217" spans="1:25" ht="17.399999999999999" x14ac:dyDescent="0.25">
      <c r="A217" s="1"/>
      <c r="B217" s="40"/>
      <c r="C217" s="2" t="str">
        <f ca="1">IFERROR(__xludf.DUMMYFUNCTION("iferror(filter('Full Perk List'!C$3:C1498,'Full Perk List'!$D$3:$D1498=$D217),"""")"),"#REF!")</f>
        <v>#REF!</v>
      </c>
      <c r="D217" s="2"/>
      <c r="E217" s="2" t="str">
        <f ca="1">IFERROR(__xludf.DUMMYFUNCTION("iferror(filter('Full Perk List'!E$3:E1498,'Full Perk List'!$D$3:$D1498=$D217),"""")"),"#REF!")</f>
        <v>#REF!</v>
      </c>
      <c r="F217" s="2" t="str">
        <f ca="1">IFERROR(__xludf.DUMMYFUNCTION("iferror(filter('Full Perk List'!F$3:F1498,'Full Perk List'!$D$3:$D1498=$D217),"""")"),"#REF!")</f>
        <v>#REF!</v>
      </c>
      <c r="G217" s="2" t="str">
        <f ca="1">IFERROR(__xludf.DUMMYFUNCTION("iferror(filter('Full Perk List'!G$3:G1498,'Full Perk List'!$D$3:$D1498=$D217),"""")"),"#REF!")</f>
        <v>#REF!</v>
      </c>
      <c r="H217" s="1"/>
      <c r="I217" s="2"/>
      <c r="J217" s="2"/>
      <c r="K217" s="2"/>
      <c r="L217" s="2"/>
      <c r="M217" s="2"/>
      <c r="N217" s="2"/>
      <c r="O217" s="2"/>
      <c r="P217" s="2"/>
      <c r="Q217" s="2"/>
      <c r="R217" s="2"/>
      <c r="S217" s="2"/>
      <c r="T217" s="2"/>
      <c r="U217" s="2"/>
      <c r="V217" s="2"/>
      <c r="W217" s="2"/>
      <c r="X217" s="2"/>
      <c r="Y217" s="2"/>
    </row>
    <row r="218" spans="1:25" ht="17.399999999999999" x14ac:dyDescent="0.25">
      <c r="A218" s="1"/>
      <c r="B218" s="40"/>
      <c r="C218" s="2" t="str">
        <f ca="1">IFERROR(__xludf.DUMMYFUNCTION("iferror(filter('Full Perk List'!C$3:C1498,'Full Perk List'!$D$3:$D1498=$D218),"""")"),"#REF!")</f>
        <v>#REF!</v>
      </c>
      <c r="D218" s="2"/>
      <c r="E218" s="2" t="str">
        <f ca="1">IFERROR(__xludf.DUMMYFUNCTION("iferror(filter('Full Perk List'!E$3:E1498,'Full Perk List'!$D$3:$D1498=$D218),"""")"),"#REF!")</f>
        <v>#REF!</v>
      </c>
      <c r="F218" s="2" t="str">
        <f ca="1">IFERROR(__xludf.DUMMYFUNCTION("iferror(filter('Full Perk List'!F$3:F1498,'Full Perk List'!$D$3:$D1498=$D218),"""")"),"#REF!")</f>
        <v>#REF!</v>
      </c>
      <c r="G218" s="2" t="str">
        <f ca="1">IFERROR(__xludf.DUMMYFUNCTION("iferror(filter('Full Perk List'!G$3:G1498,'Full Perk List'!$D$3:$D1498=$D218),"""")"),"#REF!")</f>
        <v>#REF!</v>
      </c>
      <c r="H218" s="1"/>
      <c r="I218" s="2"/>
      <c r="J218" s="2"/>
      <c r="K218" s="2"/>
      <c r="L218" s="2"/>
      <c r="M218" s="2"/>
      <c r="N218" s="2"/>
      <c r="O218" s="2"/>
      <c r="P218" s="2"/>
      <c r="Q218" s="2"/>
      <c r="R218" s="2"/>
      <c r="S218" s="2"/>
      <c r="T218" s="2"/>
      <c r="U218" s="2"/>
      <c r="V218" s="2"/>
      <c r="W218" s="2"/>
      <c r="X218" s="2"/>
      <c r="Y218" s="2"/>
    </row>
    <row r="219" spans="1:25" ht="17.399999999999999" x14ac:dyDescent="0.25">
      <c r="A219" s="1"/>
      <c r="B219" s="40"/>
      <c r="C219" s="2" t="str">
        <f ca="1">IFERROR(__xludf.DUMMYFUNCTION("iferror(filter('Full Perk List'!C$3:C1498,'Full Perk List'!$D$3:$D1498=$D219),"""")"),"#REF!")</f>
        <v>#REF!</v>
      </c>
      <c r="D219" s="2"/>
      <c r="E219" s="2" t="str">
        <f ca="1">IFERROR(__xludf.DUMMYFUNCTION("iferror(filter('Full Perk List'!E$3:E1498,'Full Perk List'!$D$3:$D1498=$D219),"""")"),"#REF!")</f>
        <v>#REF!</v>
      </c>
      <c r="F219" s="2" t="str">
        <f ca="1">IFERROR(__xludf.DUMMYFUNCTION("iferror(filter('Full Perk List'!F$3:F1498,'Full Perk List'!$D$3:$D1498=$D219),"""")"),"#REF!")</f>
        <v>#REF!</v>
      </c>
      <c r="G219" s="2" t="str">
        <f ca="1">IFERROR(__xludf.DUMMYFUNCTION("iferror(filter('Full Perk List'!G$3:G1498,'Full Perk List'!$D$3:$D1498=$D219),"""")"),"#REF!")</f>
        <v>#REF!</v>
      </c>
      <c r="H219" s="1"/>
      <c r="I219" s="2"/>
      <c r="J219" s="2"/>
      <c r="K219" s="2"/>
      <c r="L219" s="2"/>
      <c r="M219" s="2"/>
      <c r="N219" s="2"/>
      <c r="O219" s="2"/>
      <c r="P219" s="2"/>
      <c r="Q219" s="2"/>
      <c r="R219" s="2"/>
      <c r="S219" s="2"/>
      <c r="T219" s="2"/>
      <c r="U219" s="2"/>
      <c r="V219" s="2"/>
      <c r="W219" s="2"/>
      <c r="X219" s="2"/>
      <c r="Y219" s="2"/>
    </row>
    <row r="220" spans="1:25" ht="17.399999999999999" x14ac:dyDescent="0.25">
      <c r="A220" s="1"/>
      <c r="B220" s="40"/>
      <c r="C220" s="2" t="str">
        <f ca="1">IFERROR(__xludf.DUMMYFUNCTION("iferror(filter('Full Perk List'!C$3:C1498,'Full Perk List'!$D$3:$D1498=$D220),"""")"),"#REF!")</f>
        <v>#REF!</v>
      </c>
      <c r="D220" s="2"/>
      <c r="E220" s="2" t="str">
        <f ca="1">IFERROR(__xludf.DUMMYFUNCTION("iferror(filter('Full Perk List'!E$3:E1498,'Full Perk List'!$D$3:$D1498=$D220),"""")"),"#REF!")</f>
        <v>#REF!</v>
      </c>
      <c r="F220" s="2" t="str">
        <f ca="1">IFERROR(__xludf.DUMMYFUNCTION("iferror(filter('Full Perk List'!F$3:F1498,'Full Perk List'!$D$3:$D1498=$D220),"""")"),"#REF!")</f>
        <v>#REF!</v>
      </c>
      <c r="G220" s="2" t="str">
        <f ca="1">IFERROR(__xludf.DUMMYFUNCTION("iferror(filter('Full Perk List'!G$3:G1498,'Full Perk List'!$D$3:$D1498=$D220),"""")"),"#REF!")</f>
        <v>#REF!</v>
      </c>
      <c r="H220" s="1"/>
      <c r="I220" s="2"/>
      <c r="J220" s="2"/>
      <c r="K220" s="2"/>
      <c r="L220" s="2"/>
      <c r="M220" s="2"/>
      <c r="N220" s="2"/>
      <c r="O220" s="2"/>
      <c r="P220" s="2"/>
      <c r="Q220" s="2"/>
      <c r="R220" s="2"/>
      <c r="S220" s="2"/>
      <c r="T220" s="2"/>
      <c r="U220" s="2"/>
      <c r="V220" s="2"/>
      <c r="W220" s="2"/>
      <c r="X220" s="2"/>
      <c r="Y220" s="2"/>
    </row>
    <row r="221" spans="1:25" ht="17.399999999999999" x14ac:dyDescent="0.25">
      <c r="A221" s="1"/>
      <c r="B221" s="40"/>
      <c r="C221" s="2" t="str">
        <f ca="1">IFERROR(__xludf.DUMMYFUNCTION("iferror(filter('Full Perk List'!C$3:C1498,'Full Perk List'!$D$3:$D1498=$D221),"""")"),"#REF!")</f>
        <v>#REF!</v>
      </c>
      <c r="D221" s="2"/>
      <c r="E221" s="2" t="str">
        <f ca="1">IFERROR(__xludf.DUMMYFUNCTION("iferror(filter('Full Perk List'!E$3:E1498,'Full Perk List'!$D$3:$D1498=$D221),"""")"),"#REF!")</f>
        <v>#REF!</v>
      </c>
      <c r="F221" s="2" t="str">
        <f ca="1">IFERROR(__xludf.DUMMYFUNCTION("iferror(filter('Full Perk List'!F$3:F1498,'Full Perk List'!$D$3:$D1498=$D221),"""")"),"#REF!")</f>
        <v>#REF!</v>
      </c>
      <c r="G221" s="2" t="str">
        <f ca="1">IFERROR(__xludf.DUMMYFUNCTION("iferror(filter('Full Perk List'!G$3:G1498,'Full Perk List'!$D$3:$D1498=$D221),"""")"),"#REF!")</f>
        <v>#REF!</v>
      </c>
      <c r="H221" s="1"/>
      <c r="I221" s="2"/>
      <c r="J221" s="2"/>
      <c r="K221" s="2"/>
      <c r="L221" s="2"/>
      <c r="M221" s="2"/>
      <c r="N221" s="2"/>
      <c r="O221" s="2"/>
      <c r="P221" s="2"/>
      <c r="Q221" s="2"/>
      <c r="R221" s="2"/>
      <c r="S221" s="2"/>
      <c r="T221" s="2"/>
      <c r="U221" s="2"/>
      <c r="V221" s="2"/>
      <c r="W221" s="2"/>
      <c r="X221" s="2"/>
      <c r="Y221" s="2"/>
    </row>
    <row r="222" spans="1:25" ht="17.399999999999999" x14ac:dyDescent="0.25">
      <c r="A222" s="1"/>
      <c r="B222" s="40"/>
      <c r="C222" s="2" t="str">
        <f ca="1">IFERROR(__xludf.DUMMYFUNCTION("iferror(filter('Full Perk List'!C$3:C1498,'Full Perk List'!$D$3:$D1498=$D222),"""")"),"#REF!")</f>
        <v>#REF!</v>
      </c>
      <c r="D222" s="2"/>
      <c r="E222" s="2" t="str">
        <f ca="1">IFERROR(__xludf.DUMMYFUNCTION("iferror(filter('Full Perk List'!E$3:E1498,'Full Perk List'!$D$3:$D1498=$D222),"""")"),"#REF!")</f>
        <v>#REF!</v>
      </c>
      <c r="F222" s="2" t="str">
        <f ca="1">IFERROR(__xludf.DUMMYFUNCTION("iferror(filter('Full Perk List'!F$3:F1498,'Full Perk List'!$D$3:$D1498=$D222),"""")"),"#REF!")</f>
        <v>#REF!</v>
      </c>
      <c r="G222" s="2" t="str">
        <f ca="1">IFERROR(__xludf.DUMMYFUNCTION("iferror(filter('Full Perk List'!G$3:G1498,'Full Perk List'!$D$3:$D1498=$D222),"""")"),"#REF!")</f>
        <v>#REF!</v>
      </c>
      <c r="H222" s="1"/>
      <c r="I222" s="2"/>
      <c r="J222" s="2"/>
      <c r="K222" s="2"/>
      <c r="L222" s="2"/>
      <c r="M222" s="2"/>
      <c r="N222" s="2"/>
      <c r="O222" s="2"/>
      <c r="P222" s="2"/>
      <c r="Q222" s="2"/>
      <c r="R222" s="2"/>
      <c r="S222" s="2"/>
      <c r="T222" s="2"/>
      <c r="U222" s="2"/>
      <c r="V222" s="2"/>
      <c r="W222" s="2"/>
      <c r="X222" s="2"/>
      <c r="Y222" s="2"/>
    </row>
    <row r="223" spans="1:25" ht="17.399999999999999" x14ac:dyDescent="0.25">
      <c r="A223" s="1"/>
      <c r="B223" s="40"/>
      <c r="C223" s="2" t="str">
        <f ca="1">IFERROR(__xludf.DUMMYFUNCTION("iferror(filter('Full Perk List'!C$3:C1498,'Full Perk List'!$D$3:$D1498=$D223),"""")"),"#REF!")</f>
        <v>#REF!</v>
      </c>
      <c r="D223" s="2"/>
      <c r="E223" s="2" t="str">
        <f ca="1">IFERROR(__xludf.DUMMYFUNCTION("iferror(filter('Full Perk List'!E$3:E1498,'Full Perk List'!$D$3:$D1498=$D223),"""")"),"#REF!")</f>
        <v>#REF!</v>
      </c>
      <c r="F223" s="2" t="str">
        <f ca="1">IFERROR(__xludf.DUMMYFUNCTION("iferror(filter('Full Perk List'!F$3:F1498,'Full Perk List'!$D$3:$D1498=$D223),"""")"),"#REF!")</f>
        <v>#REF!</v>
      </c>
      <c r="G223" s="2" t="str">
        <f ca="1">IFERROR(__xludf.DUMMYFUNCTION("iferror(filter('Full Perk List'!G$3:G1498,'Full Perk List'!$D$3:$D1498=$D223),"""")"),"#REF!")</f>
        <v>#REF!</v>
      </c>
      <c r="H223" s="1"/>
      <c r="I223" s="2"/>
      <c r="J223" s="2"/>
      <c r="K223" s="2"/>
      <c r="L223" s="2"/>
      <c r="M223" s="2"/>
      <c r="N223" s="2"/>
      <c r="O223" s="2"/>
      <c r="P223" s="2"/>
      <c r="Q223" s="2"/>
      <c r="R223" s="2"/>
      <c r="S223" s="2"/>
      <c r="T223" s="2"/>
      <c r="U223" s="2"/>
      <c r="V223" s="2"/>
      <c r="W223" s="2"/>
      <c r="X223" s="2"/>
      <c r="Y223" s="2"/>
    </row>
    <row r="224" spans="1:25" ht="17.399999999999999" x14ac:dyDescent="0.25">
      <c r="A224" s="1"/>
      <c r="B224" s="40"/>
      <c r="C224" s="2" t="str">
        <f ca="1">IFERROR(__xludf.DUMMYFUNCTION("iferror(filter('Full Perk List'!C$3:C1498,'Full Perk List'!$D$3:$D1498=$D224),"""")"),"#REF!")</f>
        <v>#REF!</v>
      </c>
      <c r="D224" s="2"/>
      <c r="E224" s="2" t="str">
        <f ca="1">IFERROR(__xludf.DUMMYFUNCTION("iferror(filter('Full Perk List'!E$3:E1498,'Full Perk List'!$D$3:$D1498=$D224),"""")"),"#REF!")</f>
        <v>#REF!</v>
      </c>
      <c r="F224" s="2" t="str">
        <f ca="1">IFERROR(__xludf.DUMMYFUNCTION("iferror(filter('Full Perk List'!F$3:F1498,'Full Perk List'!$D$3:$D1498=$D224),"""")"),"#REF!")</f>
        <v>#REF!</v>
      </c>
      <c r="G224" s="2" t="str">
        <f ca="1">IFERROR(__xludf.DUMMYFUNCTION("iferror(filter('Full Perk List'!G$3:G1498,'Full Perk List'!$D$3:$D1498=$D224),"""")"),"#REF!")</f>
        <v>#REF!</v>
      </c>
      <c r="H224" s="1"/>
      <c r="I224" s="2"/>
      <c r="J224" s="2"/>
      <c r="K224" s="2"/>
      <c r="L224" s="2"/>
      <c r="M224" s="2"/>
      <c r="N224" s="2"/>
      <c r="O224" s="2"/>
      <c r="P224" s="2"/>
      <c r="Q224" s="2"/>
      <c r="R224" s="2"/>
      <c r="S224" s="2"/>
      <c r="T224" s="2"/>
      <c r="U224" s="2"/>
      <c r="V224" s="2"/>
      <c r="W224" s="2"/>
      <c r="X224" s="2"/>
      <c r="Y224" s="2"/>
    </row>
    <row r="225" spans="1:25" ht="17.399999999999999" x14ac:dyDescent="0.25">
      <c r="A225" s="1"/>
      <c r="B225" s="40"/>
      <c r="C225" s="2" t="str">
        <f ca="1">IFERROR(__xludf.DUMMYFUNCTION("iferror(filter('Full Perk List'!C$3:C1498,'Full Perk List'!$D$3:$D1498=$D225),"""")"),"#REF!")</f>
        <v>#REF!</v>
      </c>
      <c r="D225" s="2"/>
      <c r="E225" s="2" t="str">
        <f ca="1">IFERROR(__xludf.DUMMYFUNCTION("iferror(filter('Full Perk List'!E$3:E1498,'Full Perk List'!$D$3:$D1498=$D225),"""")"),"#REF!")</f>
        <v>#REF!</v>
      </c>
      <c r="F225" s="2" t="str">
        <f ca="1">IFERROR(__xludf.DUMMYFUNCTION("iferror(filter('Full Perk List'!F$3:F1498,'Full Perk List'!$D$3:$D1498=$D225),"""")"),"#REF!")</f>
        <v>#REF!</v>
      </c>
      <c r="G225" s="2" t="str">
        <f ca="1">IFERROR(__xludf.DUMMYFUNCTION("iferror(filter('Full Perk List'!G$3:G1498,'Full Perk List'!$D$3:$D1498=$D225),"""")"),"#REF!")</f>
        <v>#REF!</v>
      </c>
      <c r="H225" s="1"/>
      <c r="I225" s="2"/>
      <c r="J225" s="2"/>
      <c r="K225" s="2"/>
      <c r="L225" s="2"/>
      <c r="M225" s="2"/>
      <c r="N225" s="2"/>
      <c r="O225" s="2"/>
      <c r="P225" s="2"/>
      <c r="Q225" s="2"/>
      <c r="R225" s="2"/>
      <c r="S225" s="2"/>
      <c r="T225" s="2"/>
      <c r="U225" s="2"/>
      <c r="V225" s="2"/>
      <c r="W225" s="2"/>
      <c r="X225" s="2"/>
      <c r="Y225" s="2"/>
    </row>
    <row r="226" spans="1:25" ht="17.399999999999999" x14ac:dyDescent="0.25">
      <c r="A226" s="1"/>
      <c r="B226" s="40"/>
      <c r="C226" s="2" t="str">
        <f ca="1">IFERROR(__xludf.DUMMYFUNCTION("iferror(filter('Full Perk List'!C$3:C1498,'Full Perk List'!$D$3:$D1498=$D226),"""")"),"#REF!")</f>
        <v>#REF!</v>
      </c>
      <c r="D226" s="2"/>
      <c r="E226" s="2" t="str">
        <f ca="1">IFERROR(__xludf.DUMMYFUNCTION("iferror(filter('Full Perk List'!E$3:E1498,'Full Perk List'!$D$3:$D1498=$D226),"""")"),"#REF!")</f>
        <v>#REF!</v>
      </c>
      <c r="F226" s="2" t="str">
        <f ca="1">IFERROR(__xludf.DUMMYFUNCTION("iferror(filter('Full Perk List'!F$3:F1498,'Full Perk List'!$D$3:$D1498=$D226),"""")"),"#REF!")</f>
        <v>#REF!</v>
      </c>
      <c r="G226" s="2" t="str">
        <f ca="1">IFERROR(__xludf.DUMMYFUNCTION("iferror(filter('Full Perk List'!G$3:G1498,'Full Perk List'!$D$3:$D1498=$D226),"""")"),"#REF!")</f>
        <v>#REF!</v>
      </c>
      <c r="H226" s="1"/>
      <c r="I226" s="2"/>
      <c r="J226" s="2"/>
      <c r="K226" s="2"/>
      <c r="L226" s="2"/>
      <c r="M226" s="2"/>
      <c r="N226" s="2"/>
      <c r="O226" s="2"/>
      <c r="P226" s="2"/>
      <c r="Q226" s="2"/>
      <c r="R226" s="2"/>
      <c r="S226" s="2"/>
      <c r="T226" s="2"/>
      <c r="U226" s="2"/>
      <c r="V226" s="2"/>
      <c r="W226" s="2"/>
      <c r="X226" s="2"/>
      <c r="Y226" s="2"/>
    </row>
    <row r="227" spans="1:25" ht="17.399999999999999" x14ac:dyDescent="0.25">
      <c r="A227" s="1"/>
      <c r="B227" s="40"/>
      <c r="C227" s="2" t="str">
        <f ca="1">IFERROR(__xludf.DUMMYFUNCTION("iferror(filter('Full Perk List'!C$3:C1498,'Full Perk List'!$D$3:$D1498=$D227),"""")"),"#REF!")</f>
        <v>#REF!</v>
      </c>
      <c r="D227" s="2"/>
      <c r="E227" s="2" t="str">
        <f ca="1">IFERROR(__xludf.DUMMYFUNCTION("iferror(filter('Full Perk List'!E$3:E1498,'Full Perk List'!$D$3:$D1498=$D227),"""")"),"#REF!")</f>
        <v>#REF!</v>
      </c>
      <c r="F227" s="2" t="str">
        <f ca="1">IFERROR(__xludf.DUMMYFUNCTION("iferror(filter('Full Perk List'!F$3:F1498,'Full Perk List'!$D$3:$D1498=$D227),"""")"),"#REF!")</f>
        <v>#REF!</v>
      </c>
      <c r="G227" s="2" t="str">
        <f ca="1">IFERROR(__xludf.DUMMYFUNCTION("iferror(filter('Full Perk List'!G$3:G1498,'Full Perk List'!$D$3:$D1498=$D227),"""")"),"#REF!")</f>
        <v>#REF!</v>
      </c>
      <c r="H227" s="1"/>
      <c r="I227" s="2"/>
      <c r="J227" s="2"/>
      <c r="K227" s="2"/>
      <c r="L227" s="2"/>
      <c r="M227" s="2"/>
      <c r="N227" s="2"/>
      <c r="O227" s="2"/>
      <c r="P227" s="2"/>
      <c r="Q227" s="2"/>
      <c r="R227" s="2"/>
      <c r="S227" s="2"/>
      <c r="T227" s="2"/>
      <c r="U227" s="2"/>
      <c r="V227" s="2"/>
      <c r="W227" s="2"/>
      <c r="X227" s="2"/>
      <c r="Y227" s="2"/>
    </row>
    <row r="228" spans="1:25" ht="17.399999999999999" x14ac:dyDescent="0.25">
      <c r="A228" s="1"/>
      <c r="B228" s="40"/>
      <c r="C228" s="2" t="str">
        <f ca="1">IFERROR(__xludf.DUMMYFUNCTION("iferror(filter('Full Perk List'!C$3:C1498,'Full Perk List'!$D$3:$D1498=$D228),"""")"),"#REF!")</f>
        <v>#REF!</v>
      </c>
      <c r="D228" s="2"/>
      <c r="E228" s="2" t="str">
        <f ca="1">IFERROR(__xludf.DUMMYFUNCTION("iferror(filter('Full Perk List'!E$3:E1498,'Full Perk List'!$D$3:$D1498=$D228),"""")"),"#REF!")</f>
        <v>#REF!</v>
      </c>
      <c r="F228" s="2" t="str">
        <f ca="1">IFERROR(__xludf.DUMMYFUNCTION("iferror(filter('Full Perk List'!F$3:F1498,'Full Perk List'!$D$3:$D1498=$D228),"""")"),"#REF!")</f>
        <v>#REF!</v>
      </c>
      <c r="G228" s="2" t="str">
        <f ca="1">IFERROR(__xludf.DUMMYFUNCTION("iferror(filter('Full Perk List'!G$3:G1498,'Full Perk List'!$D$3:$D1498=$D228),"""")"),"#REF!")</f>
        <v>#REF!</v>
      </c>
      <c r="H228" s="1"/>
      <c r="I228" s="2"/>
      <c r="J228" s="2"/>
      <c r="K228" s="2"/>
      <c r="L228" s="2"/>
      <c r="M228" s="2"/>
      <c r="N228" s="2"/>
      <c r="O228" s="2"/>
      <c r="P228" s="2"/>
      <c r="Q228" s="2"/>
      <c r="R228" s="2"/>
      <c r="S228" s="2"/>
      <c r="T228" s="2"/>
      <c r="U228" s="2"/>
      <c r="V228" s="2"/>
      <c r="W228" s="2"/>
      <c r="X228" s="2"/>
      <c r="Y228" s="2"/>
    </row>
    <row r="229" spans="1:25" ht="17.399999999999999" x14ac:dyDescent="0.25">
      <c r="A229" s="1"/>
      <c r="B229" s="40"/>
      <c r="C229" s="2" t="str">
        <f ca="1">IFERROR(__xludf.DUMMYFUNCTION("iferror(filter('Full Perk List'!C$3:C1498,'Full Perk List'!$D$3:$D1498=$D229),"""")"),"#REF!")</f>
        <v>#REF!</v>
      </c>
      <c r="D229" s="2"/>
      <c r="E229" s="2" t="str">
        <f ca="1">IFERROR(__xludf.DUMMYFUNCTION("iferror(filter('Full Perk List'!E$3:E1498,'Full Perk List'!$D$3:$D1498=$D229),"""")"),"#REF!")</f>
        <v>#REF!</v>
      </c>
      <c r="F229" s="2" t="str">
        <f ca="1">IFERROR(__xludf.DUMMYFUNCTION("iferror(filter('Full Perk List'!F$3:F1498,'Full Perk List'!$D$3:$D1498=$D229),"""")"),"#REF!")</f>
        <v>#REF!</v>
      </c>
      <c r="G229" s="2" t="str">
        <f ca="1">IFERROR(__xludf.DUMMYFUNCTION("iferror(filter('Full Perk List'!G$3:G1498,'Full Perk List'!$D$3:$D1498=$D229),"""")"),"#REF!")</f>
        <v>#REF!</v>
      </c>
      <c r="H229" s="1"/>
      <c r="I229" s="2"/>
      <c r="J229" s="2"/>
      <c r="K229" s="2"/>
      <c r="L229" s="2"/>
      <c r="M229" s="2"/>
      <c r="N229" s="2"/>
      <c r="O229" s="2"/>
      <c r="P229" s="2"/>
      <c r="Q229" s="2"/>
      <c r="R229" s="2"/>
      <c r="S229" s="2"/>
      <c r="T229" s="2"/>
      <c r="U229" s="2"/>
      <c r="V229" s="2"/>
      <c r="W229" s="2"/>
      <c r="X229" s="2"/>
      <c r="Y229" s="2"/>
    </row>
    <row r="230" spans="1:25" ht="17.399999999999999" x14ac:dyDescent="0.25">
      <c r="A230" s="1"/>
      <c r="B230" s="40"/>
      <c r="C230" s="2" t="str">
        <f ca="1">IFERROR(__xludf.DUMMYFUNCTION("iferror(filter('Full Perk List'!C$3:C1498,'Full Perk List'!$D$3:$D1498=$D230),"""")"),"#REF!")</f>
        <v>#REF!</v>
      </c>
      <c r="D230" s="2"/>
      <c r="E230" s="2" t="str">
        <f ca="1">IFERROR(__xludf.DUMMYFUNCTION("iferror(filter('Full Perk List'!E$3:E1498,'Full Perk List'!$D$3:$D1498=$D230),"""")"),"#REF!")</f>
        <v>#REF!</v>
      </c>
      <c r="F230" s="2" t="str">
        <f ca="1">IFERROR(__xludf.DUMMYFUNCTION("iferror(filter('Full Perk List'!F$3:F1498,'Full Perk List'!$D$3:$D1498=$D230),"""")"),"#REF!")</f>
        <v>#REF!</v>
      </c>
      <c r="G230" s="2" t="str">
        <f ca="1">IFERROR(__xludf.DUMMYFUNCTION("iferror(filter('Full Perk List'!G$3:G1498,'Full Perk List'!$D$3:$D1498=$D230),"""")"),"#REF!")</f>
        <v>#REF!</v>
      </c>
      <c r="H230" s="1"/>
      <c r="I230" s="2"/>
      <c r="J230" s="2"/>
      <c r="K230" s="2"/>
      <c r="L230" s="2"/>
      <c r="M230" s="2"/>
      <c r="N230" s="2"/>
      <c r="O230" s="2"/>
      <c r="P230" s="2"/>
      <c r="Q230" s="2"/>
      <c r="R230" s="2"/>
      <c r="S230" s="2"/>
      <c r="T230" s="2"/>
      <c r="U230" s="2"/>
      <c r="V230" s="2"/>
      <c r="W230" s="2"/>
      <c r="X230" s="2"/>
      <c r="Y230" s="2"/>
    </row>
    <row r="231" spans="1:25" ht="17.399999999999999" x14ac:dyDescent="0.25">
      <c r="A231" s="1"/>
      <c r="B231" s="40"/>
      <c r="C231" s="2" t="str">
        <f ca="1">IFERROR(__xludf.DUMMYFUNCTION("iferror(filter('Full Perk List'!C$3:C1498,'Full Perk List'!$D$3:$D1498=$D231),"""")"),"#REF!")</f>
        <v>#REF!</v>
      </c>
      <c r="D231" s="2"/>
      <c r="E231" s="2" t="str">
        <f ca="1">IFERROR(__xludf.DUMMYFUNCTION("iferror(filter('Full Perk List'!E$3:E1498,'Full Perk List'!$D$3:$D1498=$D231),"""")"),"#REF!")</f>
        <v>#REF!</v>
      </c>
      <c r="F231" s="2" t="str">
        <f ca="1">IFERROR(__xludf.DUMMYFUNCTION("iferror(filter('Full Perk List'!F$3:F1498,'Full Perk List'!$D$3:$D1498=$D231),"""")"),"#REF!")</f>
        <v>#REF!</v>
      </c>
      <c r="G231" s="2" t="str">
        <f ca="1">IFERROR(__xludf.DUMMYFUNCTION("iferror(filter('Full Perk List'!G$3:G1498,'Full Perk List'!$D$3:$D1498=$D231),"""")"),"#REF!")</f>
        <v>#REF!</v>
      </c>
      <c r="H231" s="1"/>
      <c r="I231" s="2"/>
      <c r="J231" s="2"/>
      <c r="K231" s="2"/>
      <c r="L231" s="2"/>
      <c r="M231" s="2"/>
      <c r="N231" s="2"/>
      <c r="O231" s="2"/>
      <c r="P231" s="2"/>
      <c r="Q231" s="2"/>
      <c r="R231" s="2"/>
      <c r="S231" s="2"/>
      <c r="T231" s="2"/>
      <c r="U231" s="2"/>
      <c r="V231" s="2"/>
      <c r="W231" s="2"/>
      <c r="X231" s="2"/>
      <c r="Y231" s="2"/>
    </row>
    <row r="232" spans="1:25" ht="17.399999999999999" x14ac:dyDescent="0.25">
      <c r="A232" s="1"/>
      <c r="B232" s="40"/>
      <c r="C232" s="2" t="str">
        <f ca="1">IFERROR(__xludf.DUMMYFUNCTION("iferror(filter('Full Perk List'!C$3:C1498,'Full Perk List'!$D$3:$D1498=$D232),"""")"),"#REF!")</f>
        <v>#REF!</v>
      </c>
      <c r="D232" s="2"/>
      <c r="E232" s="2" t="str">
        <f ca="1">IFERROR(__xludf.DUMMYFUNCTION("iferror(filter('Full Perk List'!E$3:E1498,'Full Perk List'!$D$3:$D1498=$D232),"""")"),"#REF!")</f>
        <v>#REF!</v>
      </c>
      <c r="F232" s="2" t="str">
        <f ca="1">IFERROR(__xludf.DUMMYFUNCTION("iferror(filter('Full Perk List'!F$3:F1498,'Full Perk List'!$D$3:$D1498=$D232),"""")"),"#REF!")</f>
        <v>#REF!</v>
      </c>
      <c r="G232" s="2" t="str">
        <f ca="1">IFERROR(__xludf.DUMMYFUNCTION("iferror(filter('Full Perk List'!G$3:G1498,'Full Perk List'!$D$3:$D1498=$D232),"""")"),"#REF!")</f>
        <v>#REF!</v>
      </c>
      <c r="H232" s="1"/>
      <c r="I232" s="2"/>
      <c r="J232" s="2"/>
      <c r="K232" s="2"/>
      <c r="L232" s="2"/>
      <c r="M232" s="2"/>
      <c r="N232" s="2"/>
      <c r="O232" s="2"/>
      <c r="P232" s="2"/>
      <c r="Q232" s="2"/>
      <c r="R232" s="2"/>
      <c r="S232" s="2"/>
      <c r="T232" s="2"/>
      <c r="U232" s="2"/>
      <c r="V232" s="2"/>
      <c r="W232" s="2"/>
      <c r="X232" s="2"/>
      <c r="Y232" s="2"/>
    </row>
    <row r="233" spans="1:25" ht="17.399999999999999" x14ac:dyDescent="0.25">
      <c r="A233" s="1"/>
      <c r="B233" s="40"/>
      <c r="C233" s="2" t="str">
        <f ca="1">IFERROR(__xludf.DUMMYFUNCTION("iferror(filter('Full Perk List'!C$3:C1498,'Full Perk List'!$D$3:$D1498=$D233),"""")"),"#REF!")</f>
        <v>#REF!</v>
      </c>
      <c r="D233" s="2"/>
      <c r="E233" s="2" t="str">
        <f ca="1">IFERROR(__xludf.DUMMYFUNCTION("iferror(filter('Full Perk List'!E$3:E1498,'Full Perk List'!$D$3:$D1498=$D233),"""")"),"#REF!")</f>
        <v>#REF!</v>
      </c>
      <c r="F233" s="2" t="str">
        <f ca="1">IFERROR(__xludf.DUMMYFUNCTION("iferror(filter('Full Perk List'!F$3:F1498,'Full Perk List'!$D$3:$D1498=$D233),"""")"),"#REF!")</f>
        <v>#REF!</v>
      </c>
      <c r="G233" s="2" t="str">
        <f ca="1">IFERROR(__xludf.DUMMYFUNCTION("iferror(filter('Full Perk List'!G$3:G1498,'Full Perk List'!$D$3:$D1498=$D233),"""")"),"#REF!")</f>
        <v>#REF!</v>
      </c>
      <c r="H233" s="1"/>
      <c r="I233" s="2"/>
      <c r="J233" s="2"/>
      <c r="K233" s="2"/>
      <c r="L233" s="2"/>
      <c r="M233" s="2"/>
      <c r="N233" s="2"/>
      <c r="O233" s="2"/>
      <c r="P233" s="2"/>
      <c r="Q233" s="2"/>
      <c r="R233" s="2"/>
      <c r="S233" s="2"/>
      <c r="T233" s="2"/>
      <c r="U233" s="2"/>
      <c r="V233" s="2"/>
      <c r="W233" s="2"/>
      <c r="X233" s="2"/>
      <c r="Y233" s="2"/>
    </row>
    <row r="234" spans="1:25" ht="17.399999999999999" x14ac:dyDescent="0.25">
      <c r="A234" s="1"/>
      <c r="B234" s="40"/>
      <c r="C234" s="2" t="str">
        <f ca="1">IFERROR(__xludf.DUMMYFUNCTION("iferror(filter('Full Perk List'!C$3:C1498,'Full Perk List'!$D$3:$D1498=$D234),"""")"),"#REF!")</f>
        <v>#REF!</v>
      </c>
      <c r="D234" s="2"/>
      <c r="E234" s="2" t="str">
        <f ca="1">IFERROR(__xludf.DUMMYFUNCTION("iferror(filter('Full Perk List'!E$3:E1498,'Full Perk List'!$D$3:$D1498=$D234),"""")"),"#REF!")</f>
        <v>#REF!</v>
      </c>
      <c r="F234" s="2" t="str">
        <f ca="1">IFERROR(__xludf.DUMMYFUNCTION("iferror(filter('Full Perk List'!F$3:F1498,'Full Perk List'!$D$3:$D1498=$D234),"""")"),"#REF!")</f>
        <v>#REF!</v>
      </c>
      <c r="G234" s="2" t="str">
        <f ca="1">IFERROR(__xludf.DUMMYFUNCTION("iferror(filter('Full Perk List'!G$3:G1498,'Full Perk List'!$D$3:$D1498=$D234),"""")"),"#REF!")</f>
        <v>#REF!</v>
      </c>
      <c r="H234" s="1"/>
      <c r="I234" s="2"/>
      <c r="J234" s="2"/>
      <c r="K234" s="2"/>
      <c r="L234" s="2"/>
      <c r="M234" s="2"/>
      <c r="N234" s="2"/>
      <c r="O234" s="2"/>
      <c r="P234" s="2"/>
      <c r="Q234" s="2"/>
      <c r="R234" s="2"/>
      <c r="S234" s="2"/>
      <c r="T234" s="2"/>
      <c r="U234" s="2"/>
      <c r="V234" s="2"/>
      <c r="W234" s="2"/>
      <c r="X234" s="2"/>
      <c r="Y234" s="2"/>
    </row>
    <row r="235" spans="1:25" ht="17.399999999999999" x14ac:dyDescent="0.25">
      <c r="A235" s="1"/>
      <c r="B235" s="40"/>
      <c r="C235" s="2" t="str">
        <f ca="1">IFERROR(__xludf.DUMMYFUNCTION("iferror(filter('Full Perk List'!C$3:C1498,'Full Perk List'!$D$3:$D1498=$D235),"""")"),"#REF!")</f>
        <v>#REF!</v>
      </c>
      <c r="D235" s="2"/>
      <c r="E235" s="2" t="str">
        <f ca="1">IFERROR(__xludf.DUMMYFUNCTION("iferror(filter('Full Perk List'!E$3:E1498,'Full Perk List'!$D$3:$D1498=$D235),"""")"),"#REF!")</f>
        <v>#REF!</v>
      </c>
      <c r="F235" s="2" t="str">
        <f ca="1">IFERROR(__xludf.DUMMYFUNCTION("iferror(filter('Full Perk List'!F$3:F1498,'Full Perk List'!$D$3:$D1498=$D235),"""")"),"#REF!")</f>
        <v>#REF!</v>
      </c>
      <c r="G235" s="2" t="str">
        <f ca="1">IFERROR(__xludf.DUMMYFUNCTION("iferror(filter('Full Perk List'!G$3:G1498,'Full Perk List'!$D$3:$D1498=$D235),"""")"),"#REF!")</f>
        <v>#REF!</v>
      </c>
      <c r="H235" s="1"/>
      <c r="I235" s="2"/>
      <c r="J235" s="2"/>
      <c r="K235" s="2"/>
      <c r="L235" s="2"/>
      <c r="M235" s="2"/>
      <c r="N235" s="2"/>
      <c r="O235" s="2"/>
      <c r="P235" s="2"/>
      <c r="Q235" s="2"/>
      <c r="R235" s="2"/>
      <c r="S235" s="2"/>
      <c r="T235" s="2"/>
      <c r="U235" s="2"/>
      <c r="V235" s="2"/>
      <c r="W235" s="2"/>
      <c r="X235" s="2"/>
      <c r="Y235" s="2"/>
    </row>
    <row r="236" spans="1:25" ht="17.399999999999999" x14ac:dyDescent="0.25">
      <c r="A236" s="1"/>
      <c r="B236" s="40"/>
      <c r="C236" s="2" t="str">
        <f ca="1">IFERROR(__xludf.DUMMYFUNCTION("iferror(filter('Full Perk List'!C$3:C1498,'Full Perk List'!$D$3:$D1498=$D236),"""")"),"#REF!")</f>
        <v>#REF!</v>
      </c>
      <c r="D236" s="2"/>
      <c r="E236" s="2" t="str">
        <f ca="1">IFERROR(__xludf.DUMMYFUNCTION("iferror(filter('Full Perk List'!E$3:E1498,'Full Perk List'!$D$3:$D1498=$D236),"""")"),"#REF!")</f>
        <v>#REF!</v>
      </c>
      <c r="F236" s="2" t="str">
        <f ca="1">IFERROR(__xludf.DUMMYFUNCTION("iferror(filter('Full Perk List'!F$3:F1498,'Full Perk List'!$D$3:$D1498=$D236),"""")"),"#REF!")</f>
        <v>#REF!</v>
      </c>
      <c r="G236" s="2" t="str">
        <f ca="1">IFERROR(__xludf.DUMMYFUNCTION("iferror(filter('Full Perk List'!G$3:G1498,'Full Perk List'!$D$3:$D1498=$D236),"""")"),"#REF!")</f>
        <v>#REF!</v>
      </c>
      <c r="H236" s="1"/>
      <c r="I236" s="2"/>
      <c r="J236" s="2"/>
      <c r="K236" s="2"/>
      <c r="L236" s="2"/>
      <c r="M236" s="2"/>
      <c r="N236" s="2"/>
      <c r="O236" s="2"/>
      <c r="P236" s="2"/>
      <c r="Q236" s="2"/>
      <c r="R236" s="2"/>
      <c r="S236" s="2"/>
      <c r="T236" s="2"/>
      <c r="U236" s="2"/>
      <c r="V236" s="2"/>
      <c r="W236" s="2"/>
      <c r="X236" s="2"/>
      <c r="Y236" s="2"/>
    </row>
    <row r="237" spans="1:25" ht="17.399999999999999" x14ac:dyDescent="0.25">
      <c r="A237" s="1"/>
      <c r="B237" s="40"/>
      <c r="C237" s="2" t="str">
        <f ca="1">IFERROR(__xludf.DUMMYFUNCTION("iferror(filter('Full Perk List'!C$3:C1498,'Full Perk List'!$D$3:$D1498=$D237),"""")"),"#REF!")</f>
        <v>#REF!</v>
      </c>
      <c r="D237" s="2"/>
      <c r="E237" s="2" t="str">
        <f ca="1">IFERROR(__xludf.DUMMYFUNCTION("iferror(filter('Full Perk List'!E$3:E1498,'Full Perk List'!$D$3:$D1498=$D237),"""")"),"#REF!")</f>
        <v>#REF!</v>
      </c>
      <c r="F237" s="2" t="str">
        <f ca="1">IFERROR(__xludf.DUMMYFUNCTION("iferror(filter('Full Perk List'!F$3:F1498,'Full Perk List'!$D$3:$D1498=$D237),"""")"),"#REF!")</f>
        <v>#REF!</v>
      </c>
      <c r="G237" s="2" t="str">
        <f ca="1">IFERROR(__xludf.DUMMYFUNCTION("iferror(filter('Full Perk List'!G$3:G1498,'Full Perk List'!$D$3:$D1498=$D237),"""")"),"#REF!")</f>
        <v>#REF!</v>
      </c>
      <c r="H237" s="1"/>
      <c r="I237" s="2"/>
      <c r="J237" s="2"/>
      <c r="K237" s="2"/>
      <c r="L237" s="2"/>
      <c r="M237" s="2"/>
      <c r="N237" s="2"/>
      <c r="O237" s="2"/>
      <c r="P237" s="2"/>
      <c r="Q237" s="2"/>
      <c r="R237" s="2"/>
      <c r="S237" s="2"/>
      <c r="T237" s="2"/>
      <c r="U237" s="2"/>
      <c r="V237" s="2"/>
      <c r="W237" s="2"/>
      <c r="X237" s="2"/>
      <c r="Y237" s="2"/>
    </row>
    <row r="238" spans="1:25" ht="17.399999999999999" x14ac:dyDescent="0.25">
      <c r="A238" s="1"/>
      <c r="B238" s="40"/>
      <c r="C238" s="2" t="str">
        <f ca="1">IFERROR(__xludf.DUMMYFUNCTION("iferror(filter('Full Perk List'!C$3:C1498,'Full Perk List'!$D$3:$D1498=$D238),"""")"),"#REF!")</f>
        <v>#REF!</v>
      </c>
      <c r="D238" s="2"/>
      <c r="E238" s="2" t="str">
        <f ca="1">IFERROR(__xludf.DUMMYFUNCTION("iferror(filter('Full Perk List'!E$3:E1498,'Full Perk List'!$D$3:$D1498=$D238),"""")"),"#REF!")</f>
        <v>#REF!</v>
      </c>
      <c r="F238" s="2" t="str">
        <f ca="1">IFERROR(__xludf.DUMMYFUNCTION("iferror(filter('Full Perk List'!F$3:F1498,'Full Perk List'!$D$3:$D1498=$D238),"""")"),"#REF!")</f>
        <v>#REF!</v>
      </c>
      <c r="G238" s="2" t="str">
        <f ca="1">IFERROR(__xludf.DUMMYFUNCTION("iferror(filter('Full Perk List'!G$3:G1498,'Full Perk List'!$D$3:$D1498=$D238),"""")"),"#REF!")</f>
        <v>#REF!</v>
      </c>
      <c r="H238" s="1"/>
      <c r="I238" s="2"/>
      <c r="J238" s="2"/>
      <c r="K238" s="2"/>
      <c r="L238" s="2"/>
      <c r="M238" s="2"/>
      <c r="N238" s="2"/>
      <c r="O238" s="2"/>
      <c r="P238" s="2"/>
      <c r="Q238" s="2"/>
      <c r="R238" s="2"/>
      <c r="S238" s="2"/>
      <c r="T238" s="2"/>
      <c r="U238" s="2"/>
      <c r="V238" s="2"/>
      <c r="W238" s="2"/>
      <c r="X238" s="2"/>
      <c r="Y238" s="2"/>
    </row>
    <row r="239" spans="1:25" ht="17.399999999999999" x14ac:dyDescent="0.25">
      <c r="A239" s="1"/>
      <c r="B239" s="40"/>
      <c r="C239" s="2" t="str">
        <f ca="1">IFERROR(__xludf.DUMMYFUNCTION("iferror(filter('Full Perk List'!C$3:C1498,'Full Perk List'!$D$3:$D1498=$D239),"""")"),"#REF!")</f>
        <v>#REF!</v>
      </c>
      <c r="D239" s="2"/>
      <c r="E239" s="2" t="str">
        <f ca="1">IFERROR(__xludf.DUMMYFUNCTION("iferror(filter('Full Perk List'!E$3:E1498,'Full Perk List'!$D$3:$D1498=$D239),"""")"),"#REF!")</f>
        <v>#REF!</v>
      </c>
      <c r="F239" s="2" t="str">
        <f ca="1">IFERROR(__xludf.DUMMYFUNCTION("iferror(filter('Full Perk List'!F$3:F1498,'Full Perk List'!$D$3:$D1498=$D239),"""")"),"#REF!")</f>
        <v>#REF!</v>
      </c>
      <c r="G239" s="2" t="str">
        <f ca="1">IFERROR(__xludf.DUMMYFUNCTION("iferror(filter('Full Perk List'!G$3:G1498,'Full Perk List'!$D$3:$D1498=$D239),"""")"),"#REF!")</f>
        <v>#REF!</v>
      </c>
      <c r="H239" s="1"/>
      <c r="I239" s="2"/>
      <c r="J239" s="2"/>
      <c r="K239" s="2"/>
      <c r="L239" s="2"/>
      <c r="M239" s="2"/>
      <c r="N239" s="2"/>
      <c r="O239" s="2"/>
      <c r="P239" s="2"/>
      <c r="Q239" s="2"/>
      <c r="R239" s="2"/>
      <c r="S239" s="2"/>
      <c r="T239" s="2"/>
      <c r="U239" s="2"/>
      <c r="V239" s="2"/>
      <c r="W239" s="2"/>
      <c r="X239" s="2"/>
      <c r="Y239" s="2"/>
    </row>
    <row r="240" spans="1:25" ht="17.399999999999999" x14ac:dyDescent="0.25">
      <c r="A240" s="1"/>
      <c r="B240" s="40"/>
      <c r="C240" s="2" t="str">
        <f ca="1">IFERROR(__xludf.DUMMYFUNCTION("iferror(filter('Full Perk List'!C$3:C1498,'Full Perk List'!$D$3:$D1498=$D240),"""")"),"#REF!")</f>
        <v>#REF!</v>
      </c>
      <c r="D240" s="2"/>
      <c r="E240" s="2" t="str">
        <f ca="1">IFERROR(__xludf.DUMMYFUNCTION("iferror(filter('Full Perk List'!E$3:E1498,'Full Perk List'!$D$3:$D1498=$D240),"""")"),"#REF!")</f>
        <v>#REF!</v>
      </c>
      <c r="F240" s="2" t="str">
        <f ca="1">IFERROR(__xludf.DUMMYFUNCTION("iferror(filter('Full Perk List'!F$3:F1498,'Full Perk List'!$D$3:$D1498=$D240),"""")"),"#REF!")</f>
        <v>#REF!</v>
      </c>
      <c r="G240" s="2" t="str">
        <f ca="1">IFERROR(__xludf.DUMMYFUNCTION("iferror(filter('Full Perk List'!G$3:G1498,'Full Perk List'!$D$3:$D1498=$D240),"""")"),"#REF!")</f>
        <v>#REF!</v>
      </c>
      <c r="H240" s="1"/>
      <c r="I240" s="2"/>
      <c r="J240" s="2"/>
      <c r="K240" s="2"/>
      <c r="L240" s="2"/>
      <c r="M240" s="2"/>
      <c r="N240" s="2"/>
      <c r="O240" s="2"/>
      <c r="P240" s="2"/>
      <c r="Q240" s="2"/>
      <c r="R240" s="2"/>
      <c r="S240" s="2"/>
      <c r="T240" s="2"/>
      <c r="U240" s="2"/>
      <c r="V240" s="2"/>
      <c r="W240" s="2"/>
      <c r="X240" s="2"/>
      <c r="Y240" s="2"/>
    </row>
    <row r="241" spans="1:25" ht="17.399999999999999" x14ac:dyDescent="0.25">
      <c r="A241" s="1"/>
      <c r="B241" s="40"/>
      <c r="C241" s="2" t="str">
        <f ca="1">IFERROR(__xludf.DUMMYFUNCTION("iferror(filter('Full Perk List'!C$3:C1498,'Full Perk List'!$D$3:$D1498=$D241),"""")"),"#REF!")</f>
        <v>#REF!</v>
      </c>
      <c r="D241" s="2"/>
      <c r="E241" s="2" t="str">
        <f ca="1">IFERROR(__xludf.DUMMYFUNCTION("iferror(filter('Full Perk List'!E$3:E1498,'Full Perk List'!$D$3:$D1498=$D241),"""")"),"#REF!")</f>
        <v>#REF!</v>
      </c>
      <c r="F241" s="2" t="str">
        <f ca="1">IFERROR(__xludf.DUMMYFUNCTION("iferror(filter('Full Perk List'!F$3:F1498,'Full Perk List'!$D$3:$D1498=$D241),"""")"),"#REF!")</f>
        <v>#REF!</v>
      </c>
      <c r="G241" s="2" t="str">
        <f ca="1">IFERROR(__xludf.DUMMYFUNCTION("iferror(filter('Full Perk List'!G$3:G1498,'Full Perk List'!$D$3:$D1498=$D241),"""")"),"#REF!")</f>
        <v>#REF!</v>
      </c>
      <c r="H241" s="1"/>
      <c r="I241" s="2"/>
      <c r="J241" s="2"/>
      <c r="K241" s="2"/>
      <c r="L241" s="2"/>
      <c r="M241" s="2"/>
      <c r="N241" s="2"/>
      <c r="O241" s="2"/>
      <c r="P241" s="2"/>
      <c r="Q241" s="2"/>
      <c r="R241" s="2"/>
      <c r="S241" s="2"/>
      <c r="T241" s="2"/>
      <c r="U241" s="2"/>
      <c r="V241" s="2"/>
      <c r="W241" s="2"/>
      <c r="X241" s="2"/>
      <c r="Y241" s="2"/>
    </row>
    <row r="242" spans="1:25" ht="17.399999999999999" x14ac:dyDescent="0.25">
      <c r="A242" s="1"/>
      <c r="B242" s="40"/>
      <c r="C242" s="2" t="str">
        <f ca="1">IFERROR(__xludf.DUMMYFUNCTION("iferror(filter('Full Perk List'!C$3:C1498,'Full Perk List'!$D$3:$D1498=$D242),"""")"),"#REF!")</f>
        <v>#REF!</v>
      </c>
      <c r="D242" s="2"/>
      <c r="E242" s="2" t="str">
        <f ca="1">IFERROR(__xludf.DUMMYFUNCTION("iferror(filter('Full Perk List'!E$3:E1498,'Full Perk List'!$D$3:$D1498=$D242),"""")"),"#REF!")</f>
        <v>#REF!</v>
      </c>
      <c r="F242" s="2" t="str">
        <f ca="1">IFERROR(__xludf.DUMMYFUNCTION("iferror(filter('Full Perk List'!F$3:F1498,'Full Perk List'!$D$3:$D1498=$D242),"""")"),"#REF!")</f>
        <v>#REF!</v>
      </c>
      <c r="G242" s="2" t="str">
        <f ca="1">IFERROR(__xludf.DUMMYFUNCTION("iferror(filter('Full Perk List'!G$3:G1498,'Full Perk List'!$D$3:$D1498=$D242),"""")"),"#REF!")</f>
        <v>#REF!</v>
      </c>
      <c r="H242" s="1"/>
      <c r="I242" s="2"/>
      <c r="J242" s="2"/>
      <c r="K242" s="2"/>
      <c r="L242" s="2"/>
      <c r="M242" s="2"/>
      <c r="N242" s="2"/>
      <c r="O242" s="2"/>
      <c r="P242" s="2"/>
      <c r="Q242" s="2"/>
      <c r="R242" s="2"/>
      <c r="S242" s="2"/>
      <c r="T242" s="2"/>
      <c r="U242" s="2"/>
      <c r="V242" s="2"/>
      <c r="W242" s="2"/>
      <c r="X242" s="2"/>
      <c r="Y242" s="2"/>
    </row>
    <row r="243" spans="1:25" ht="17.399999999999999" x14ac:dyDescent="0.25">
      <c r="A243" s="1"/>
      <c r="B243" s="40"/>
      <c r="C243" s="2" t="str">
        <f ca="1">IFERROR(__xludf.DUMMYFUNCTION("iferror(filter('Full Perk List'!C$3:C1498,'Full Perk List'!$D$3:$D1498=$D243),"""")"),"#REF!")</f>
        <v>#REF!</v>
      </c>
      <c r="D243" s="2"/>
      <c r="E243" s="2" t="str">
        <f ca="1">IFERROR(__xludf.DUMMYFUNCTION("iferror(filter('Full Perk List'!E$3:E1498,'Full Perk List'!$D$3:$D1498=$D243),"""")"),"#REF!")</f>
        <v>#REF!</v>
      </c>
      <c r="F243" s="2" t="str">
        <f ca="1">IFERROR(__xludf.DUMMYFUNCTION("iferror(filter('Full Perk List'!F$3:F1498,'Full Perk List'!$D$3:$D1498=$D243),"""")"),"#REF!")</f>
        <v>#REF!</v>
      </c>
      <c r="G243" s="2" t="str">
        <f ca="1">IFERROR(__xludf.DUMMYFUNCTION("iferror(filter('Full Perk List'!G$3:G1498,'Full Perk List'!$D$3:$D1498=$D243),"""")"),"#REF!")</f>
        <v>#REF!</v>
      </c>
      <c r="H243" s="1"/>
      <c r="I243" s="2"/>
      <c r="J243" s="2"/>
      <c r="K243" s="2"/>
      <c r="L243" s="2"/>
      <c r="M243" s="2"/>
      <c r="N243" s="2"/>
      <c r="O243" s="2"/>
      <c r="P243" s="2"/>
      <c r="Q243" s="2"/>
      <c r="R243" s="2"/>
      <c r="S243" s="2"/>
      <c r="T243" s="2"/>
      <c r="U243" s="2"/>
      <c r="V243" s="2"/>
      <c r="W243" s="2"/>
      <c r="X243" s="2"/>
      <c r="Y243" s="2"/>
    </row>
    <row r="244" spans="1:25" ht="17.399999999999999" x14ac:dyDescent="0.25">
      <c r="A244" s="1"/>
      <c r="B244" s="40"/>
      <c r="C244" s="2" t="str">
        <f ca="1">IFERROR(__xludf.DUMMYFUNCTION("iferror(filter('Full Perk List'!C$3:C1498,'Full Perk List'!$D$3:$D1498=$D244),"""")"),"#REF!")</f>
        <v>#REF!</v>
      </c>
      <c r="D244" s="2"/>
      <c r="E244" s="2" t="str">
        <f ca="1">IFERROR(__xludf.DUMMYFUNCTION("iferror(filter('Full Perk List'!E$3:E1498,'Full Perk List'!$D$3:$D1498=$D244),"""")"),"#REF!")</f>
        <v>#REF!</v>
      </c>
      <c r="F244" s="2" t="str">
        <f ca="1">IFERROR(__xludf.DUMMYFUNCTION("iferror(filter('Full Perk List'!F$3:F1498,'Full Perk List'!$D$3:$D1498=$D244),"""")"),"#REF!")</f>
        <v>#REF!</v>
      </c>
      <c r="G244" s="2" t="str">
        <f ca="1">IFERROR(__xludf.DUMMYFUNCTION("iferror(filter('Full Perk List'!G$3:G1498,'Full Perk List'!$D$3:$D1498=$D244),"""")"),"#REF!")</f>
        <v>#REF!</v>
      </c>
      <c r="H244" s="1"/>
      <c r="I244" s="2"/>
      <c r="J244" s="2"/>
      <c r="K244" s="2"/>
      <c r="L244" s="2"/>
      <c r="M244" s="2"/>
      <c r="N244" s="2"/>
      <c r="O244" s="2"/>
      <c r="P244" s="2"/>
      <c r="Q244" s="2"/>
      <c r="R244" s="2"/>
      <c r="S244" s="2"/>
      <c r="T244" s="2"/>
      <c r="U244" s="2"/>
      <c r="V244" s="2"/>
      <c r="W244" s="2"/>
      <c r="X244" s="2"/>
      <c r="Y244" s="2"/>
    </row>
    <row r="245" spans="1:25" ht="17.399999999999999" x14ac:dyDescent="0.25">
      <c r="A245" s="1"/>
      <c r="B245" s="40"/>
      <c r="C245" s="2" t="str">
        <f ca="1">IFERROR(__xludf.DUMMYFUNCTION("iferror(filter('Full Perk List'!C$3:C1498,'Full Perk List'!$D$3:$D1498=$D245),"""")"),"#REF!")</f>
        <v>#REF!</v>
      </c>
      <c r="D245" s="2"/>
      <c r="E245" s="2" t="str">
        <f ca="1">IFERROR(__xludf.DUMMYFUNCTION("iferror(filter('Full Perk List'!E$3:E1498,'Full Perk List'!$D$3:$D1498=$D245),"""")"),"#REF!")</f>
        <v>#REF!</v>
      </c>
      <c r="F245" s="2" t="str">
        <f ca="1">IFERROR(__xludf.DUMMYFUNCTION("iferror(filter('Full Perk List'!F$3:F1498,'Full Perk List'!$D$3:$D1498=$D245),"""")"),"#REF!")</f>
        <v>#REF!</v>
      </c>
      <c r="G245" s="2" t="str">
        <f ca="1">IFERROR(__xludf.DUMMYFUNCTION("iferror(filter('Full Perk List'!G$3:G1498,'Full Perk List'!$D$3:$D1498=$D245),"""")"),"#REF!")</f>
        <v>#REF!</v>
      </c>
      <c r="H245" s="1"/>
      <c r="I245" s="2"/>
      <c r="J245" s="2"/>
      <c r="K245" s="2"/>
      <c r="L245" s="2"/>
      <c r="M245" s="2"/>
      <c r="N245" s="2"/>
      <c r="O245" s="2"/>
      <c r="P245" s="2"/>
      <c r="Q245" s="2"/>
      <c r="R245" s="2"/>
      <c r="S245" s="2"/>
      <c r="T245" s="2"/>
      <c r="U245" s="2"/>
      <c r="V245" s="2"/>
      <c r="W245" s="2"/>
      <c r="X245" s="2"/>
      <c r="Y245" s="2"/>
    </row>
    <row r="246" spans="1:25" ht="17.399999999999999" x14ac:dyDescent="0.25">
      <c r="A246" s="1"/>
      <c r="B246" s="40"/>
      <c r="C246" s="2" t="str">
        <f ca="1">IFERROR(__xludf.DUMMYFUNCTION("iferror(filter('Full Perk List'!C$3:C1498,'Full Perk List'!$D$3:$D1498=$D246),"""")"),"#REF!")</f>
        <v>#REF!</v>
      </c>
      <c r="D246" s="2"/>
      <c r="E246" s="2" t="str">
        <f ca="1">IFERROR(__xludf.DUMMYFUNCTION("iferror(filter('Full Perk List'!E$3:E1498,'Full Perk List'!$D$3:$D1498=$D246),"""")"),"#REF!")</f>
        <v>#REF!</v>
      </c>
      <c r="F246" s="2" t="str">
        <f ca="1">IFERROR(__xludf.DUMMYFUNCTION("iferror(filter('Full Perk List'!F$3:F1498,'Full Perk List'!$D$3:$D1498=$D246),"""")"),"#REF!")</f>
        <v>#REF!</v>
      </c>
      <c r="G246" s="2" t="str">
        <f ca="1">IFERROR(__xludf.DUMMYFUNCTION("iferror(filter('Full Perk List'!G$3:G1498,'Full Perk List'!$D$3:$D1498=$D246),"""")"),"#REF!")</f>
        <v>#REF!</v>
      </c>
      <c r="H246" s="1"/>
      <c r="I246" s="2"/>
      <c r="J246" s="2"/>
      <c r="K246" s="2"/>
      <c r="L246" s="2"/>
      <c r="M246" s="2"/>
      <c r="N246" s="2"/>
      <c r="O246" s="2"/>
      <c r="P246" s="2"/>
      <c r="Q246" s="2"/>
      <c r="R246" s="2"/>
      <c r="S246" s="2"/>
      <c r="T246" s="2"/>
      <c r="U246" s="2"/>
      <c r="V246" s="2"/>
      <c r="W246" s="2"/>
      <c r="X246" s="2"/>
      <c r="Y246" s="2"/>
    </row>
    <row r="247" spans="1:25" ht="17.399999999999999" x14ac:dyDescent="0.25">
      <c r="A247" s="1"/>
      <c r="B247" s="40"/>
      <c r="C247" s="2" t="str">
        <f ca="1">IFERROR(__xludf.DUMMYFUNCTION("iferror(filter('Full Perk List'!C$3:C1498,'Full Perk List'!$D$3:$D1498=$D247),"""")"),"#REF!")</f>
        <v>#REF!</v>
      </c>
      <c r="D247" s="2"/>
      <c r="E247" s="2" t="str">
        <f ca="1">IFERROR(__xludf.DUMMYFUNCTION("iferror(filter('Full Perk List'!E$3:E1498,'Full Perk List'!$D$3:$D1498=$D247),"""")"),"#REF!")</f>
        <v>#REF!</v>
      </c>
      <c r="F247" s="2" t="str">
        <f ca="1">IFERROR(__xludf.DUMMYFUNCTION("iferror(filter('Full Perk List'!F$3:F1498,'Full Perk List'!$D$3:$D1498=$D247),"""")"),"#REF!")</f>
        <v>#REF!</v>
      </c>
      <c r="G247" s="2" t="str">
        <f ca="1">IFERROR(__xludf.DUMMYFUNCTION("iferror(filter('Full Perk List'!G$3:G1498,'Full Perk List'!$D$3:$D1498=$D247),"""")"),"#REF!")</f>
        <v>#REF!</v>
      </c>
      <c r="H247" s="1"/>
      <c r="I247" s="2"/>
      <c r="J247" s="2"/>
      <c r="K247" s="2"/>
      <c r="L247" s="2"/>
      <c r="M247" s="2"/>
      <c r="N247" s="2"/>
      <c r="O247" s="2"/>
      <c r="P247" s="2"/>
      <c r="Q247" s="2"/>
      <c r="R247" s="2"/>
      <c r="S247" s="2"/>
      <c r="T247" s="2"/>
      <c r="U247" s="2"/>
      <c r="V247" s="2"/>
      <c r="W247" s="2"/>
      <c r="X247" s="2"/>
      <c r="Y247" s="2"/>
    </row>
    <row r="248" spans="1:25" ht="17.399999999999999" x14ac:dyDescent="0.25">
      <c r="A248" s="1"/>
      <c r="B248" s="40"/>
      <c r="C248" s="2" t="str">
        <f ca="1">IFERROR(__xludf.DUMMYFUNCTION("iferror(filter('Full Perk List'!C$3:C1498,'Full Perk List'!$D$3:$D1498=$D248),"""")"),"#REF!")</f>
        <v>#REF!</v>
      </c>
      <c r="D248" s="2"/>
      <c r="E248" s="2" t="str">
        <f ca="1">IFERROR(__xludf.DUMMYFUNCTION("iferror(filter('Full Perk List'!E$3:E1498,'Full Perk List'!$D$3:$D1498=$D248),"""")"),"#REF!")</f>
        <v>#REF!</v>
      </c>
      <c r="F248" s="2" t="str">
        <f ca="1">IFERROR(__xludf.DUMMYFUNCTION("iferror(filter('Full Perk List'!F$3:F1498,'Full Perk List'!$D$3:$D1498=$D248),"""")"),"#REF!")</f>
        <v>#REF!</v>
      </c>
      <c r="G248" s="2" t="str">
        <f ca="1">IFERROR(__xludf.DUMMYFUNCTION("iferror(filter('Full Perk List'!G$3:G1498,'Full Perk List'!$D$3:$D1498=$D248),"""")"),"#REF!")</f>
        <v>#REF!</v>
      </c>
      <c r="H248" s="1"/>
      <c r="I248" s="2"/>
      <c r="J248" s="2"/>
      <c r="K248" s="2"/>
      <c r="L248" s="2"/>
      <c r="M248" s="2"/>
      <c r="N248" s="2"/>
      <c r="O248" s="2"/>
      <c r="P248" s="2"/>
      <c r="Q248" s="2"/>
      <c r="R248" s="2"/>
      <c r="S248" s="2"/>
      <c r="T248" s="2"/>
      <c r="U248" s="2"/>
      <c r="V248" s="2"/>
      <c r="W248" s="2"/>
      <c r="X248" s="2"/>
      <c r="Y248" s="2"/>
    </row>
    <row r="249" spans="1:25" ht="17.399999999999999" x14ac:dyDescent="0.25">
      <c r="A249" s="1"/>
      <c r="B249" s="40"/>
      <c r="C249" s="2" t="str">
        <f ca="1">IFERROR(__xludf.DUMMYFUNCTION("iferror(filter('Full Perk List'!C$3:C1498,'Full Perk List'!$D$3:$D1498=$D249),"""")"),"#REF!")</f>
        <v>#REF!</v>
      </c>
      <c r="D249" s="2"/>
      <c r="E249" s="2" t="str">
        <f ca="1">IFERROR(__xludf.DUMMYFUNCTION("iferror(filter('Full Perk List'!E$3:E1498,'Full Perk List'!$D$3:$D1498=$D249),"""")"),"#REF!")</f>
        <v>#REF!</v>
      </c>
      <c r="F249" s="2" t="str">
        <f ca="1">IFERROR(__xludf.DUMMYFUNCTION("iferror(filter('Full Perk List'!F$3:F1498,'Full Perk List'!$D$3:$D1498=$D249),"""")"),"#REF!")</f>
        <v>#REF!</v>
      </c>
      <c r="G249" s="2" t="str">
        <f ca="1">IFERROR(__xludf.DUMMYFUNCTION("iferror(filter('Full Perk List'!G$3:G1498,'Full Perk List'!$D$3:$D1498=$D249),"""")"),"#REF!")</f>
        <v>#REF!</v>
      </c>
      <c r="H249" s="1"/>
      <c r="I249" s="2"/>
      <c r="J249" s="2"/>
      <c r="K249" s="2"/>
      <c r="L249" s="2"/>
      <c r="M249" s="2"/>
      <c r="N249" s="2"/>
      <c r="O249" s="2"/>
      <c r="P249" s="2"/>
      <c r="Q249" s="2"/>
      <c r="R249" s="2"/>
      <c r="S249" s="2"/>
      <c r="T249" s="2"/>
      <c r="U249" s="2"/>
      <c r="V249" s="2"/>
      <c r="W249" s="2"/>
      <c r="X249" s="2"/>
      <c r="Y249" s="2"/>
    </row>
    <row r="250" spans="1:25" ht="17.399999999999999" x14ac:dyDescent="0.25">
      <c r="A250" s="1"/>
      <c r="B250" s="40"/>
      <c r="C250" s="2" t="str">
        <f ca="1">IFERROR(__xludf.DUMMYFUNCTION("iferror(filter('Full Perk List'!C$3:C1498,'Full Perk List'!$D$3:$D1498=$D250),"""")"),"#REF!")</f>
        <v>#REF!</v>
      </c>
      <c r="D250" s="2"/>
      <c r="E250" s="2" t="str">
        <f ca="1">IFERROR(__xludf.DUMMYFUNCTION("iferror(filter('Full Perk List'!E$3:E1498,'Full Perk List'!$D$3:$D1498=$D250),"""")"),"#REF!")</f>
        <v>#REF!</v>
      </c>
      <c r="F250" s="2" t="str">
        <f ca="1">IFERROR(__xludf.DUMMYFUNCTION("iferror(filter('Full Perk List'!F$3:F1498,'Full Perk List'!$D$3:$D1498=$D250),"""")"),"#REF!")</f>
        <v>#REF!</v>
      </c>
      <c r="G250" s="2" t="str">
        <f ca="1">IFERROR(__xludf.DUMMYFUNCTION("iferror(filter('Full Perk List'!G$3:G1498,'Full Perk List'!$D$3:$D1498=$D250),"""")"),"#REF!")</f>
        <v>#REF!</v>
      </c>
      <c r="H250" s="1"/>
      <c r="I250" s="2"/>
      <c r="J250" s="2"/>
      <c r="K250" s="2"/>
      <c r="L250" s="2"/>
      <c r="M250" s="2"/>
      <c r="N250" s="2"/>
      <c r="O250" s="2"/>
      <c r="P250" s="2"/>
      <c r="Q250" s="2"/>
      <c r="R250" s="2"/>
      <c r="S250" s="2"/>
      <c r="T250" s="2"/>
      <c r="U250" s="2"/>
      <c r="V250" s="2"/>
      <c r="W250" s="2"/>
      <c r="X250" s="2"/>
      <c r="Y250" s="2"/>
    </row>
    <row r="251" spans="1:25" ht="17.399999999999999" x14ac:dyDescent="0.25">
      <c r="A251" s="1"/>
      <c r="B251" s="40"/>
      <c r="C251" s="2" t="str">
        <f ca="1">IFERROR(__xludf.DUMMYFUNCTION("iferror(filter('Full Perk List'!C$3:C1498,'Full Perk List'!$D$3:$D1498=$D251),"""")"),"#REF!")</f>
        <v>#REF!</v>
      </c>
      <c r="D251" s="2"/>
      <c r="E251" s="2" t="str">
        <f ca="1">IFERROR(__xludf.DUMMYFUNCTION("iferror(filter('Full Perk List'!E$3:E1498,'Full Perk List'!$D$3:$D1498=$D251),"""")"),"#REF!")</f>
        <v>#REF!</v>
      </c>
      <c r="F251" s="2" t="str">
        <f ca="1">IFERROR(__xludf.DUMMYFUNCTION("iferror(filter('Full Perk List'!F$3:F1498,'Full Perk List'!$D$3:$D1498=$D251),"""")"),"#REF!")</f>
        <v>#REF!</v>
      </c>
      <c r="G251" s="2" t="str">
        <f ca="1">IFERROR(__xludf.DUMMYFUNCTION("iferror(filter('Full Perk List'!G$3:G1498,'Full Perk List'!$D$3:$D1498=$D251),"""")"),"#REF!")</f>
        <v>#REF!</v>
      </c>
      <c r="H251" s="1"/>
      <c r="I251" s="2"/>
      <c r="J251" s="2"/>
      <c r="K251" s="2"/>
      <c r="L251" s="2"/>
      <c r="M251" s="2"/>
      <c r="N251" s="2"/>
      <c r="O251" s="2"/>
      <c r="P251" s="2"/>
      <c r="Q251" s="2"/>
      <c r="R251" s="2"/>
      <c r="S251" s="2"/>
      <c r="T251" s="2"/>
      <c r="U251" s="2"/>
      <c r="V251" s="2"/>
      <c r="W251" s="2"/>
      <c r="X251" s="2"/>
      <c r="Y251" s="2"/>
    </row>
    <row r="252" spans="1:25" ht="17.399999999999999" x14ac:dyDescent="0.25">
      <c r="A252" s="1"/>
      <c r="B252" s="40"/>
      <c r="C252" s="2" t="str">
        <f ca="1">IFERROR(__xludf.DUMMYFUNCTION("iferror(filter('Full Perk List'!C$3:C1498,'Full Perk List'!$D$3:$D1498=$D252),"""")"),"#REF!")</f>
        <v>#REF!</v>
      </c>
      <c r="D252" s="2"/>
      <c r="E252" s="2" t="str">
        <f ca="1">IFERROR(__xludf.DUMMYFUNCTION("iferror(filter('Full Perk List'!E$3:E1498,'Full Perk List'!$D$3:$D1498=$D252),"""")"),"#REF!")</f>
        <v>#REF!</v>
      </c>
      <c r="F252" s="2" t="str">
        <f ca="1">IFERROR(__xludf.DUMMYFUNCTION("iferror(filter('Full Perk List'!F$3:F1498,'Full Perk List'!$D$3:$D1498=$D252),"""")"),"#REF!")</f>
        <v>#REF!</v>
      </c>
      <c r="G252" s="2" t="str">
        <f ca="1">IFERROR(__xludf.DUMMYFUNCTION("iferror(filter('Full Perk List'!G$3:G1498,'Full Perk List'!$D$3:$D1498=$D252),"""")"),"#REF!")</f>
        <v>#REF!</v>
      </c>
      <c r="H252" s="1"/>
      <c r="I252" s="2"/>
      <c r="J252" s="2"/>
      <c r="K252" s="2"/>
      <c r="L252" s="2"/>
      <c r="M252" s="2"/>
      <c r="N252" s="2"/>
      <c r="O252" s="2"/>
      <c r="P252" s="2"/>
      <c r="Q252" s="2"/>
      <c r="R252" s="2"/>
      <c r="S252" s="2"/>
      <c r="T252" s="2"/>
      <c r="U252" s="2"/>
      <c r="V252" s="2"/>
      <c r="W252" s="2"/>
      <c r="X252" s="2"/>
      <c r="Y252" s="2"/>
    </row>
    <row r="253" spans="1:25" ht="17.399999999999999" x14ac:dyDescent="0.25">
      <c r="A253" s="1"/>
      <c r="B253" s="40"/>
      <c r="C253" s="2" t="str">
        <f ca="1">IFERROR(__xludf.DUMMYFUNCTION("iferror(filter('Full Perk List'!C$3:C1498,'Full Perk List'!$D$3:$D1498=$D253),"""")"),"#REF!")</f>
        <v>#REF!</v>
      </c>
      <c r="D253" s="2"/>
      <c r="E253" s="2" t="str">
        <f ca="1">IFERROR(__xludf.DUMMYFUNCTION("iferror(filter('Full Perk List'!E$3:E1498,'Full Perk List'!$D$3:$D1498=$D253),"""")"),"#REF!")</f>
        <v>#REF!</v>
      </c>
      <c r="F253" s="2" t="str">
        <f ca="1">IFERROR(__xludf.DUMMYFUNCTION("iferror(filter('Full Perk List'!F$3:F1498,'Full Perk List'!$D$3:$D1498=$D253),"""")"),"#REF!")</f>
        <v>#REF!</v>
      </c>
      <c r="G253" s="2" t="str">
        <f ca="1">IFERROR(__xludf.DUMMYFUNCTION("iferror(filter('Full Perk List'!G$3:G1498,'Full Perk List'!$D$3:$D1498=$D253),"""")"),"#REF!")</f>
        <v>#REF!</v>
      </c>
      <c r="H253" s="1"/>
      <c r="I253" s="2"/>
      <c r="J253" s="2"/>
      <c r="K253" s="2"/>
      <c r="L253" s="2"/>
      <c r="M253" s="2"/>
      <c r="N253" s="2"/>
      <c r="O253" s="2"/>
      <c r="P253" s="2"/>
      <c r="Q253" s="2"/>
      <c r="R253" s="2"/>
      <c r="S253" s="2"/>
      <c r="T253" s="2"/>
      <c r="U253" s="2"/>
      <c r="V253" s="2"/>
      <c r="W253" s="2"/>
      <c r="X253" s="2"/>
      <c r="Y253" s="2"/>
    </row>
    <row r="254" spans="1:25" ht="17.399999999999999" x14ac:dyDescent="0.25">
      <c r="A254" s="1"/>
      <c r="B254" s="40"/>
      <c r="C254" s="2" t="str">
        <f ca="1">IFERROR(__xludf.DUMMYFUNCTION("iferror(filter('Full Perk List'!C$3:C1498,'Full Perk List'!$D$3:$D1498=$D254),"""")"),"#REF!")</f>
        <v>#REF!</v>
      </c>
      <c r="D254" s="2"/>
      <c r="E254" s="2" t="str">
        <f ca="1">IFERROR(__xludf.DUMMYFUNCTION("iferror(filter('Full Perk List'!E$3:E1498,'Full Perk List'!$D$3:$D1498=$D254),"""")"),"#REF!")</f>
        <v>#REF!</v>
      </c>
      <c r="F254" s="2" t="str">
        <f ca="1">IFERROR(__xludf.DUMMYFUNCTION("iferror(filter('Full Perk List'!F$3:F1498,'Full Perk List'!$D$3:$D1498=$D254),"""")"),"#REF!")</f>
        <v>#REF!</v>
      </c>
      <c r="G254" s="2" t="str">
        <f ca="1">IFERROR(__xludf.DUMMYFUNCTION("iferror(filter('Full Perk List'!G$3:G1498,'Full Perk List'!$D$3:$D1498=$D254),"""")"),"#REF!")</f>
        <v>#REF!</v>
      </c>
      <c r="H254" s="1"/>
      <c r="I254" s="2"/>
      <c r="J254" s="2"/>
      <c r="K254" s="2"/>
      <c r="L254" s="2"/>
      <c r="M254" s="2"/>
      <c r="N254" s="2"/>
      <c r="O254" s="2"/>
      <c r="P254" s="2"/>
      <c r="Q254" s="2"/>
      <c r="R254" s="2"/>
      <c r="S254" s="2"/>
      <c r="T254" s="2"/>
      <c r="U254" s="2"/>
      <c r="V254" s="2"/>
      <c r="W254" s="2"/>
      <c r="X254" s="2"/>
      <c r="Y254" s="2"/>
    </row>
    <row r="255" spans="1:25" ht="17.399999999999999" x14ac:dyDescent="0.25">
      <c r="A255" s="1"/>
      <c r="B255" s="40"/>
      <c r="C255" s="2" t="str">
        <f ca="1">IFERROR(__xludf.DUMMYFUNCTION("iferror(filter('Full Perk List'!C$3:C1498,'Full Perk List'!$D$3:$D1498=$D255),"""")"),"#REF!")</f>
        <v>#REF!</v>
      </c>
      <c r="D255" s="2"/>
      <c r="E255" s="2" t="str">
        <f ca="1">IFERROR(__xludf.DUMMYFUNCTION("iferror(filter('Full Perk List'!E$3:E1498,'Full Perk List'!$D$3:$D1498=$D255),"""")"),"#REF!")</f>
        <v>#REF!</v>
      </c>
      <c r="F255" s="2" t="str">
        <f ca="1">IFERROR(__xludf.DUMMYFUNCTION("iferror(filter('Full Perk List'!F$3:F1498,'Full Perk List'!$D$3:$D1498=$D255),"""")"),"#REF!")</f>
        <v>#REF!</v>
      </c>
      <c r="G255" s="2" t="str">
        <f ca="1">IFERROR(__xludf.DUMMYFUNCTION("iferror(filter('Full Perk List'!G$3:G1498,'Full Perk List'!$D$3:$D1498=$D255),"""")"),"#REF!")</f>
        <v>#REF!</v>
      </c>
      <c r="H255" s="1"/>
      <c r="I255" s="2"/>
      <c r="J255" s="2"/>
      <c r="K255" s="2"/>
      <c r="L255" s="2"/>
      <c r="M255" s="2"/>
      <c r="N255" s="2"/>
      <c r="O255" s="2"/>
      <c r="P255" s="2"/>
      <c r="Q255" s="2"/>
      <c r="R255" s="2"/>
      <c r="S255" s="2"/>
      <c r="T255" s="2"/>
      <c r="U255" s="2"/>
      <c r="V255" s="2"/>
      <c r="W255" s="2"/>
      <c r="X255" s="2"/>
      <c r="Y255" s="2"/>
    </row>
    <row r="256" spans="1:25" ht="17.399999999999999" x14ac:dyDescent="0.25">
      <c r="A256" s="1"/>
      <c r="B256" s="40"/>
      <c r="C256" s="2" t="str">
        <f ca="1">IFERROR(__xludf.DUMMYFUNCTION("iferror(filter('Full Perk List'!C$3:C1498,'Full Perk List'!$D$3:$D1498=$D256),"""")"),"#REF!")</f>
        <v>#REF!</v>
      </c>
      <c r="D256" s="2"/>
      <c r="E256" s="2" t="str">
        <f ca="1">IFERROR(__xludf.DUMMYFUNCTION("iferror(filter('Full Perk List'!E$3:E1498,'Full Perk List'!$D$3:$D1498=$D256),"""")"),"#REF!")</f>
        <v>#REF!</v>
      </c>
      <c r="F256" s="2" t="str">
        <f ca="1">IFERROR(__xludf.DUMMYFUNCTION("iferror(filter('Full Perk List'!F$3:F1498,'Full Perk List'!$D$3:$D1498=$D256),"""")"),"#REF!")</f>
        <v>#REF!</v>
      </c>
      <c r="G256" s="2" t="str">
        <f ca="1">IFERROR(__xludf.DUMMYFUNCTION("iferror(filter('Full Perk List'!G$3:G1498,'Full Perk List'!$D$3:$D1498=$D256),"""")"),"#REF!")</f>
        <v>#REF!</v>
      </c>
      <c r="H256" s="1"/>
      <c r="I256" s="2"/>
      <c r="J256" s="2"/>
      <c r="K256" s="2"/>
      <c r="L256" s="2"/>
      <c r="M256" s="2"/>
      <c r="N256" s="2"/>
      <c r="O256" s="2"/>
      <c r="P256" s="2"/>
      <c r="Q256" s="2"/>
      <c r="R256" s="2"/>
      <c r="S256" s="2"/>
      <c r="T256" s="2"/>
      <c r="U256" s="2"/>
      <c r="V256" s="2"/>
      <c r="W256" s="2"/>
      <c r="X256" s="2"/>
      <c r="Y256" s="2"/>
    </row>
    <row r="257" spans="1:25" ht="17.399999999999999" x14ac:dyDescent="0.25">
      <c r="A257" s="1"/>
      <c r="B257" s="40"/>
      <c r="C257" s="2" t="str">
        <f ca="1">IFERROR(__xludf.DUMMYFUNCTION("iferror(filter('Full Perk List'!C$3:C1498,'Full Perk List'!$D$3:$D1498=$D257),"""")"),"#REF!")</f>
        <v>#REF!</v>
      </c>
      <c r="D257" s="2"/>
      <c r="E257" s="2" t="str">
        <f ca="1">IFERROR(__xludf.DUMMYFUNCTION("iferror(filter('Full Perk List'!E$3:E1498,'Full Perk List'!$D$3:$D1498=$D257),"""")"),"#REF!")</f>
        <v>#REF!</v>
      </c>
      <c r="F257" s="2" t="str">
        <f ca="1">IFERROR(__xludf.DUMMYFUNCTION("iferror(filter('Full Perk List'!F$3:F1498,'Full Perk List'!$D$3:$D1498=$D257),"""")"),"#REF!")</f>
        <v>#REF!</v>
      </c>
      <c r="G257" s="2" t="str">
        <f ca="1">IFERROR(__xludf.DUMMYFUNCTION("iferror(filter('Full Perk List'!G$3:G1498,'Full Perk List'!$D$3:$D1498=$D257),"""")"),"#REF!")</f>
        <v>#REF!</v>
      </c>
      <c r="H257" s="1"/>
      <c r="I257" s="2"/>
      <c r="J257" s="2"/>
      <c r="K257" s="2"/>
      <c r="L257" s="2"/>
      <c r="M257" s="2"/>
      <c r="N257" s="2"/>
      <c r="O257" s="2"/>
      <c r="P257" s="2"/>
      <c r="Q257" s="2"/>
      <c r="R257" s="2"/>
      <c r="S257" s="2"/>
      <c r="T257" s="2"/>
      <c r="U257" s="2"/>
      <c r="V257" s="2"/>
      <c r="W257" s="2"/>
      <c r="X257" s="2"/>
      <c r="Y257" s="2"/>
    </row>
    <row r="258" spans="1:25" ht="17.399999999999999" x14ac:dyDescent="0.25">
      <c r="A258" s="1"/>
      <c r="B258" s="40"/>
      <c r="C258" s="2" t="str">
        <f ca="1">IFERROR(__xludf.DUMMYFUNCTION("iferror(filter('Full Perk List'!C$3:C1498,'Full Perk List'!$D$3:$D1498=$D258),"""")"),"#REF!")</f>
        <v>#REF!</v>
      </c>
      <c r="D258" s="2"/>
      <c r="E258" s="2" t="str">
        <f ca="1">IFERROR(__xludf.DUMMYFUNCTION("iferror(filter('Full Perk List'!E$3:E1498,'Full Perk List'!$D$3:$D1498=$D258),"""")"),"#REF!")</f>
        <v>#REF!</v>
      </c>
      <c r="F258" s="2" t="str">
        <f ca="1">IFERROR(__xludf.DUMMYFUNCTION("iferror(filter('Full Perk List'!F$3:F1498,'Full Perk List'!$D$3:$D1498=$D258),"""")"),"#REF!")</f>
        <v>#REF!</v>
      </c>
      <c r="G258" s="2" t="str">
        <f ca="1">IFERROR(__xludf.DUMMYFUNCTION("iferror(filter('Full Perk List'!G$3:G1498,'Full Perk List'!$D$3:$D1498=$D258),"""")"),"#REF!")</f>
        <v>#REF!</v>
      </c>
      <c r="H258" s="1"/>
      <c r="I258" s="2"/>
      <c r="J258" s="2"/>
      <c r="K258" s="2"/>
      <c r="L258" s="2"/>
      <c r="M258" s="2"/>
      <c r="N258" s="2"/>
      <c r="O258" s="2"/>
      <c r="P258" s="2"/>
      <c r="Q258" s="2"/>
      <c r="R258" s="2"/>
      <c r="S258" s="2"/>
      <c r="T258" s="2"/>
      <c r="U258" s="2"/>
      <c r="V258" s="2"/>
      <c r="W258" s="2"/>
      <c r="X258" s="2"/>
      <c r="Y258" s="2"/>
    </row>
    <row r="259" spans="1:25" ht="17.399999999999999" x14ac:dyDescent="0.25">
      <c r="A259" s="1"/>
      <c r="B259" s="40"/>
      <c r="C259" s="2" t="str">
        <f ca="1">IFERROR(__xludf.DUMMYFUNCTION("iferror(filter('Full Perk List'!C$3:C1498,'Full Perk List'!$D$3:$D1498=$D259),"""")"),"#REF!")</f>
        <v>#REF!</v>
      </c>
      <c r="D259" s="2"/>
      <c r="E259" s="2" t="str">
        <f ca="1">IFERROR(__xludf.DUMMYFUNCTION("iferror(filter('Full Perk List'!E$3:E1498,'Full Perk List'!$D$3:$D1498=$D259),"""")"),"#REF!")</f>
        <v>#REF!</v>
      </c>
      <c r="F259" s="2" t="str">
        <f ca="1">IFERROR(__xludf.DUMMYFUNCTION("iferror(filter('Full Perk List'!F$3:F1498,'Full Perk List'!$D$3:$D1498=$D259),"""")"),"#REF!")</f>
        <v>#REF!</v>
      </c>
      <c r="G259" s="2" t="str">
        <f ca="1">IFERROR(__xludf.DUMMYFUNCTION("iferror(filter('Full Perk List'!G$3:G1498,'Full Perk List'!$D$3:$D1498=$D259),"""")"),"#REF!")</f>
        <v>#REF!</v>
      </c>
      <c r="H259" s="1"/>
      <c r="I259" s="2"/>
      <c r="J259" s="2"/>
      <c r="K259" s="2"/>
      <c r="L259" s="2"/>
      <c r="M259" s="2"/>
      <c r="N259" s="2"/>
      <c r="O259" s="2"/>
      <c r="P259" s="2"/>
      <c r="Q259" s="2"/>
      <c r="R259" s="2"/>
      <c r="S259" s="2"/>
      <c r="T259" s="2"/>
      <c r="U259" s="2"/>
      <c r="V259" s="2"/>
      <c r="W259" s="2"/>
      <c r="X259" s="2"/>
      <c r="Y259" s="2"/>
    </row>
    <row r="260" spans="1:25" ht="17.399999999999999" x14ac:dyDescent="0.25">
      <c r="A260" s="1"/>
      <c r="B260" s="40"/>
      <c r="C260" s="2" t="str">
        <f ca="1">IFERROR(__xludf.DUMMYFUNCTION("iferror(filter('Full Perk List'!C$3:C1498,'Full Perk List'!$D$3:$D1498=$D260),"""")"),"#REF!")</f>
        <v>#REF!</v>
      </c>
      <c r="D260" s="2"/>
      <c r="E260" s="2" t="str">
        <f ca="1">IFERROR(__xludf.DUMMYFUNCTION("iferror(filter('Full Perk List'!E$3:E1498,'Full Perk List'!$D$3:$D1498=$D260),"""")"),"#REF!")</f>
        <v>#REF!</v>
      </c>
      <c r="F260" s="2" t="str">
        <f ca="1">IFERROR(__xludf.DUMMYFUNCTION("iferror(filter('Full Perk List'!F$3:F1498,'Full Perk List'!$D$3:$D1498=$D260),"""")"),"#REF!")</f>
        <v>#REF!</v>
      </c>
      <c r="G260" s="2" t="str">
        <f ca="1">IFERROR(__xludf.DUMMYFUNCTION("iferror(filter('Full Perk List'!G$3:G1498,'Full Perk List'!$D$3:$D1498=$D260),"""")"),"#REF!")</f>
        <v>#REF!</v>
      </c>
      <c r="H260" s="1"/>
      <c r="I260" s="2"/>
      <c r="J260" s="2"/>
      <c r="K260" s="2"/>
      <c r="L260" s="2"/>
      <c r="M260" s="2"/>
      <c r="N260" s="2"/>
      <c r="O260" s="2"/>
      <c r="P260" s="2"/>
      <c r="Q260" s="2"/>
      <c r="R260" s="2"/>
      <c r="S260" s="2"/>
      <c r="T260" s="2"/>
      <c r="U260" s="2"/>
      <c r="V260" s="2"/>
      <c r="W260" s="2"/>
      <c r="X260" s="2"/>
      <c r="Y260" s="2"/>
    </row>
    <row r="261" spans="1:25" ht="17.399999999999999" x14ac:dyDescent="0.25">
      <c r="A261" s="1"/>
      <c r="B261" s="40"/>
      <c r="C261" s="2" t="str">
        <f ca="1">IFERROR(__xludf.DUMMYFUNCTION("iferror(filter('Full Perk List'!C$3:C1498,'Full Perk List'!$D$3:$D1498=$D261),"""")"),"#REF!")</f>
        <v>#REF!</v>
      </c>
      <c r="D261" s="2"/>
      <c r="E261" s="2" t="str">
        <f ca="1">IFERROR(__xludf.DUMMYFUNCTION("iferror(filter('Full Perk List'!E$3:E1498,'Full Perk List'!$D$3:$D1498=$D261),"""")"),"#REF!")</f>
        <v>#REF!</v>
      </c>
      <c r="F261" s="2" t="str">
        <f ca="1">IFERROR(__xludf.DUMMYFUNCTION("iferror(filter('Full Perk List'!F$3:F1498,'Full Perk List'!$D$3:$D1498=$D261),"""")"),"#REF!")</f>
        <v>#REF!</v>
      </c>
      <c r="G261" s="2" t="str">
        <f ca="1">IFERROR(__xludf.DUMMYFUNCTION("iferror(filter('Full Perk List'!G$3:G1498,'Full Perk List'!$D$3:$D1498=$D261),"""")"),"#REF!")</f>
        <v>#REF!</v>
      </c>
      <c r="H261" s="1"/>
      <c r="I261" s="2"/>
      <c r="J261" s="2"/>
      <c r="K261" s="2"/>
      <c r="L261" s="2"/>
      <c r="M261" s="2"/>
      <c r="N261" s="2"/>
      <c r="O261" s="2"/>
      <c r="P261" s="2"/>
      <c r="Q261" s="2"/>
      <c r="R261" s="2"/>
      <c r="S261" s="2"/>
      <c r="T261" s="2"/>
      <c r="U261" s="2"/>
      <c r="V261" s="2"/>
      <c r="W261" s="2"/>
      <c r="X261" s="2"/>
      <c r="Y261" s="2"/>
    </row>
    <row r="262" spans="1:25" ht="17.399999999999999" x14ac:dyDescent="0.25">
      <c r="A262" s="1"/>
      <c r="B262" s="40"/>
      <c r="C262" s="2" t="str">
        <f ca="1">IFERROR(__xludf.DUMMYFUNCTION("iferror(filter('Full Perk List'!C$3:C1498,'Full Perk List'!$D$3:$D1498=$D262),"""")"),"#REF!")</f>
        <v>#REF!</v>
      </c>
      <c r="D262" s="2"/>
      <c r="E262" s="2" t="str">
        <f ca="1">IFERROR(__xludf.DUMMYFUNCTION("iferror(filter('Full Perk List'!E$3:E1498,'Full Perk List'!$D$3:$D1498=$D262),"""")"),"#REF!")</f>
        <v>#REF!</v>
      </c>
      <c r="F262" s="2" t="str">
        <f ca="1">IFERROR(__xludf.DUMMYFUNCTION("iferror(filter('Full Perk List'!F$3:F1498,'Full Perk List'!$D$3:$D1498=$D262),"""")"),"#REF!")</f>
        <v>#REF!</v>
      </c>
      <c r="G262" s="2" t="str">
        <f ca="1">IFERROR(__xludf.DUMMYFUNCTION("iferror(filter('Full Perk List'!G$3:G1498,'Full Perk List'!$D$3:$D1498=$D262),"""")"),"#REF!")</f>
        <v>#REF!</v>
      </c>
      <c r="H262" s="1"/>
      <c r="I262" s="2"/>
      <c r="J262" s="2"/>
      <c r="K262" s="2"/>
      <c r="L262" s="2"/>
      <c r="M262" s="2"/>
      <c r="N262" s="2"/>
      <c r="O262" s="2"/>
      <c r="P262" s="2"/>
      <c r="Q262" s="2"/>
      <c r="R262" s="2"/>
      <c r="S262" s="2"/>
      <c r="T262" s="2"/>
      <c r="U262" s="2"/>
      <c r="V262" s="2"/>
      <c r="W262" s="2"/>
      <c r="X262" s="2"/>
      <c r="Y262" s="2"/>
    </row>
    <row r="263" spans="1:25" ht="17.399999999999999" x14ac:dyDescent="0.25">
      <c r="A263" s="1"/>
      <c r="B263" s="40"/>
      <c r="C263" s="2" t="str">
        <f ca="1">IFERROR(__xludf.DUMMYFUNCTION("iferror(filter('Full Perk List'!C$3:C1498,'Full Perk List'!$D$3:$D1498=$D263),"""")"),"#REF!")</f>
        <v>#REF!</v>
      </c>
      <c r="D263" s="2"/>
      <c r="E263" s="2" t="str">
        <f ca="1">IFERROR(__xludf.DUMMYFUNCTION("iferror(filter('Full Perk List'!E$3:E1498,'Full Perk List'!$D$3:$D1498=$D263),"""")"),"#REF!")</f>
        <v>#REF!</v>
      </c>
      <c r="F263" s="2" t="str">
        <f ca="1">IFERROR(__xludf.DUMMYFUNCTION("iferror(filter('Full Perk List'!F$3:F1498,'Full Perk List'!$D$3:$D1498=$D263),"""")"),"#REF!")</f>
        <v>#REF!</v>
      </c>
      <c r="G263" s="2" t="str">
        <f ca="1">IFERROR(__xludf.DUMMYFUNCTION("iferror(filter('Full Perk List'!G$3:G1498,'Full Perk List'!$D$3:$D1498=$D263),"""")"),"#REF!")</f>
        <v>#REF!</v>
      </c>
      <c r="H263" s="1"/>
      <c r="I263" s="2"/>
      <c r="J263" s="2"/>
      <c r="K263" s="2"/>
      <c r="L263" s="2"/>
      <c r="M263" s="2"/>
      <c r="N263" s="2"/>
      <c r="O263" s="2"/>
      <c r="P263" s="2"/>
      <c r="Q263" s="2"/>
      <c r="R263" s="2"/>
      <c r="S263" s="2"/>
      <c r="T263" s="2"/>
      <c r="U263" s="2"/>
      <c r="V263" s="2"/>
      <c r="W263" s="2"/>
      <c r="X263" s="2"/>
      <c r="Y263" s="2"/>
    </row>
    <row r="264" spans="1:25" ht="17.399999999999999" x14ac:dyDescent="0.25">
      <c r="A264" s="1"/>
      <c r="B264" s="40"/>
      <c r="C264" s="2" t="str">
        <f ca="1">IFERROR(__xludf.DUMMYFUNCTION("iferror(filter('Full Perk List'!C$3:C1498,'Full Perk List'!$D$3:$D1498=$D264),"""")"),"#REF!")</f>
        <v>#REF!</v>
      </c>
      <c r="D264" s="2"/>
      <c r="E264" s="2" t="str">
        <f ca="1">IFERROR(__xludf.DUMMYFUNCTION("iferror(filter('Full Perk List'!E$3:E1498,'Full Perk List'!$D$3:$D1498=$D264),"""")"),"#REF!")</f>
        <v>#REF!</v>
      </c>
      <c r="F264" s="2" t="str">
        <f ca="1">IFERROR(__xludf.DUMMYFUNCTION("iferror(filter('Full Perk List'!F$3:F1498,'Full Perk List'!$D$3:$D1498=$D264),"""")"),"#REF!")</f>
        <v>#REF!</v>
      </c>
      <c r="G264" s="2" t="str">
        <f ca="1">IFERROR(__xludf.DUMMYFUNCTION("iferror(filter('Full Perk List'!G$3:G1498,'Full Perk List'!$D$3:$D1498=$D264),"""")"),"#REF!")</f>
        <v>#REF!</v>
      </c>
      <c r="H264" s="1"/>
      <c r="I264" s="2"/>
      <c r="J264" s="2"/>
      <c r="K264" s="2"/>
      <c r="L264" s="2"/>
      <c r="M264" s="2"/>
      <c r="N264" s="2"/>
      <c r="O264" s="2"/>
      <c r="P264" s="2"/>
      <c r="Q264" s="2"/>
      <c r="R264" s="2"/>
      <c r="S264" s="2"/>
      <c r="T264" s="2"/>
      <c r="U264" s="2"/>
      <c r="V264" s="2"/>
      <c r="W264" s="2"/>
      <c r="X264" s="2"/>
      <c r="Y264" s="2"/>
    </row>
    <row r="265" spans="1:25" ht="17.399999999999999" x14ac:dyDescent="0.25">
      <c r="A265" s="1"/>
      <c r="B265" s="40"/>
      <c r="C265" s="2" t="str">
        <f ca="1">IFERROR(__xludf.DUMMYFUNCTION("iferror(filter('Full Perk List'!C$3:C1498,'Full Perk List'!$D$3:$D1498=$D265),"""")"),"#REF!")</f>
        <v>#REF!</v>
      </c>
      <c r="D265" s="2"/>
      <c r="E265" s="2" t="str">
        <f ca="1">IFERROR(__xludf.DUMMYFUNCTION("iferror(filter('Full Perk List'!E$3:E1498,'Full Perk List'!$D$3:$D1498=$D265),"""")"),"#REF!")</f>
        <v>#REF!</v>
      </c>
      <c r="F265" s="2" t="str">
        <f ca="1">IFERROR(__xludf.DUMMYFUNCTION("iferror(filter('Full Perk List'!F$3:F1498,'Full Perk List'!$D$3:$D1498=$D265),"""")"),"#REF!")</f>
        <v>#REF!</v>
      </c>
      <c r="G265" s="2" t="str">
        <f ca="1">IFERROR(__xludf.DUMMYFUNCTION("iferror(filter('Full Perk List'!G$3:G1498,'Full Perk List'!$D$3:$D1498=$D265),"""")"),"#REF!")</f>
        <v>#REF!</v>
      </c>
      <c r="H265" s="1"/>
      <c r="I265" s="2"/>
      <c r="J265" s="2"/>
      <c r="K265" s="2"/>
      <c r="L265" s="2"/>
      <c r="M265" s="2"/>
      <c r="N265" s="2"/>
      <c r="O265" s="2"/>
      <c r="P265" s="2"/>
      <c r="Q265" s="2"/>
      <c r="R265" s="2"/>
      <c r="S265" s="2"/>
      <c r="T265" s="2"/>
      <c r="U265" s="2"/>
      <c r="V265" s="2"/>
      <c r="W265" s="2"/>
      <c r="X265" s="2"/>
      <c r="Y265" s="2"/>
    </row>
    <row r="266" spans="1:25" ht="17.399999999999999" x14ac:dyDescent="0.25">
      <c r="A266" s="1"/>
      <c r="B266" s="40"/>
      <c r="C266" s="2" t="str">
        <f ca="1">IFERROR(__xludf.DUMMYFUNCTION("iferror(filter('Full Perk List'!C$3:C1498,'Full Perk List'!$D$3:$D1498=$D266),"""")"),"#REF!")</f>
        <v>#REF!</v>
      </c>
      <c r="D266" s="2"/>
      <c r="E266" s="2" t="str">
        <f ca="1">IFERROR(__xludf.DUMMYFUNCTION("iferror(filter('Full Perk List'!E$3:E1498,'Full Perk List'!$D$3:$D1498=$D266),"""")"),"#REF!")</f>
        <v>#REF!</v>
      </c>
      <c r="F266" s="2" t="str">
        <f ca="1">IFERROR(__xludf.DUMMYFUNCTION("iferror(filter('Full Perk List'!F$3:F1498,'Full Perk List'!$D$3:$D1498=$D266),"""")"),"#REF!")</f>
        <v>#REF!</v>
      </c>
      <c r="G266" s="2" t="str">
        <f ca="1">IFERROR(__xludf.DUMMYFUNCTION("iferror(filter('Full Perk List'!G$3:G1498,'Full Perk List'!$D$3:$D1498=$D266),"""")"),"#REF!")</f>
        <v>#REF!</v>
      </c>
      <c r="H266" s="1"/>
      <c r="I266" s="2"/>
      <c r="J266" s="2"/>
      <c r="K266" s="2"/>
      <c r="L266" s="2"/>
      <c r="M266" s="2"/>
      <c r="N266" s="2"/>
      <c r="O266" s="2"/>
      <c r="P266" s="2"/>
      <c r="Q266" s="2"/>
      <c r="R266" s="2"/>
      <c r="S266" s="2"/>
      <c r="T266" s="2"/>
      <c r="U266" s="2"/>
      <c r="V266" s="2"/>
      <c r="W266" s="2"/>
      <c r="X266" s="2"/>
      <c r="Y266" s="2"/>
    </row>
    <row r="267" spans="1:25" ht="17.399999999999999" x14ac:dyDescent="0.25">
      <c r="A267" s="1"/>
      <c r="B267" s="40"/>
      <c r="C267" s="2" t="str">
        <f ca="1">IFERROR(__xludf.DUMMYFUNCTION("iferror(filter('Full Perk List'!C$3:C1498,'Full Perk List'!$D$3:$D1498=$D267),"""")"),"#REF!")</f>
        <v>#REF!</v>
      </c>
      <c r="D267" s="2"/>
      <c r="E267" s="2" t="str">
        <f ca="1">IFERROR(__xludf.DUMMYFUNCTION("iferror(filter('Full Perk List'!E$3:E1498,'Full Perk List'!$D$3:$D1498=$D267),"""")"),"#REF!")</f>
        <v>#REF!</v>
      </c>
      <c r="F267" s="2" t="str">
        <f ca="1">IFERROR(__xludf.DUMMYFUNCTION("iferror(filter('Full Perk List'!F$3:F1498,'Full Perk List'!$D$3:$D1498=$D267),"""")"),"#REF!")</f>
        <v>#REF!</v>
      </c>
      <c r="G267" s="2" t="str">
        <f ca="1">IFERROR(__xludf.DUMMYFUNCTION("iferror(filter('Full Perk List'!G$3:G1498,'Full Perk List'!$D$3:$D1498=$D267),"""")"),"#REF!")</f>
        <v>#REF!</v>
      </c>
      <c r="H267" s="1"/>
      <c r="I267" s="2"/>
      <c r="J267" s="2"/>
      <c r="K267" s="2"/>
      <c r="L267" s="2"/>
      <c r="M267" s="2"/>
      <c r="N267" s="2"/>
      <c r="O267" s="2"/>
      <c r="P267" s="2"/>
      <c r="Q267" s="2"/>
      <c r="R267" s="2"/>
      <c r="S267" s="2"/>
      <c r="T267" s="2"/>
      <c r="U267" s="2"/>
      <c r="V267" s="2"/>
      <c r="W267" s="2"/>
      <c r="X267" s="2"/>
      <c r="Y267" s="2"/>
    </row>
    <row r="268" spans="1:25" ht="17.399999999999999" x14ac:dyDescent="0.25">
      <c r="A268" s="1"/>
      <c r="B268" s="40"/>
      <c r="C268" s="2" t="str">
        <f ca="1">IFERROR(__xludf.DUMMYFUNCTION("iferror(filter('Full Perk List'!C$3:C1498,'Full Perk List'!$D$3:$D1498=$D268),"""")"),"#REF!")</f>
        <v>#REF!</v>
      </c>
      <c r="D268" s="2"/>
      <c r="E268" s="2" t="str">
        <f ca="1">IFERROR(__xludf.DUMMYFUNCTION("iferror(filter('Full Perk List'!E$3:E1498,'Full Perk List'!$D$3:$D1498=$D268),"""")"),"#REF!")</f>
        <v>#REF!</v>
      </c>
      <c r="F268" s="2" t="str">
        <f ca="1">IFERROR(__xludf.DUMMYFUNCTION("iferror(filter('Full Perk List'!F$3:F1498,'Full Perk List'!$D$3:$D1498=$D268),"""")"),"#REF!")</f>
        <v>#REF!</v>
      </c>
      <c r="G268" s="2" t="str">
        <f ca="1">IFERROR(__xludf.DUMMYFUNCTION("iferror(filter('Full Perk List'!G$3:G1498,'Full Perk List'!$D$3:$D1498=$D268),"""")"),"#REF!")</f>
        <v>#REF!</v>
      </c>
      <c r="H268" s="1"/>
      <c r="I268" s="2"/>
      <c r="J268" s="2"/>
      <c r="K268" s="2"/>
      <c r="L268" s="2"/>
      <c r="M268" s="2"/>
      <c r="N268" s="2"/>
      <c r="O268" s="2"/>
      <c r="P268" s="2"/>
      <c r="Q268" s="2"/>
      <c r="R268" s="2"/>
      <c r="S268" s="2"/>
      <c r="T268" s="2"/>
      <c r="U268" s="2"/>
      <c r="V268" s="2"/>
      <c r="W268" s="2"/>
      <c r="X268" s="2"/>
      <c r="Y268" s="2"/>
    </row>
    <row r="269" spans="1:25" ht="17.399999999999999" x14ac:dyDescent="0.25">
      <c r="A269" s="1"/>
      <c r="B269" s="40"/>
      <c r="C269" s="2" t="str">
        <f ca="1">IFERROR(__xludf.DUMMYFUNCTION("iferror(filter('Full Perk List'!C$3:C1498,'Full Perk List'!$D$3:$D1498=$D269),"""")"),"#REF!")</f>
        <v>#REF!</v>
      </c>
      <c r="D269" s="2"/>
      <c r="E269" s="2" t="str">
        <f ca="1">IFERROR(__xludf.DUMMYFUNCTION("iferror(filter('Full Perk List'!E$3:E1498,'Full Perk List'!$D$3:$D1498=$D269),"""")"),"#REF!")</f>
        <v>#REF!</v>
      </c>
      <c r="F269" s="2" t="str">
        <f ca="1">IFERROR(__xludf.DUMMYFUNCTION("iferror(filter('Full Perk List'!F$3:F1498,'Full Perk List'!$D$3:$D1498=$D269),"""")"),"#REF!")</f>
        <v>#REF!</v>
      </c>
      <c r="G269" s="2" t="str">
        <f ca="1">IFERROR(__xludf.DUMMYFUNCTION("iferror(filter('Full Perk List'!G$3:G1498,'Full Perk List'!$D$3:$D1498=$D269),"""")"),"#REF!")</f>
        <v>#REF!</v>
      </c>
      <c r="H269" s="1"/>
      <c r="I269" s="2"/>
      <c r="J269" s="2"/>
      <c r="K269" s="2"/>
      <c r="L269" s="2"/>
      <c r="M269" s="2"/>
      <c r="N269" s="2"/>
      <c r="O269" s="2"/>
      <c r="P269" s="2"/>
      <c r="Q269" s="2"/>
      <c r="R269" s="2"/>
      <c r="S269" s="2"/>
      <c r="T269" s="2"/>
      <c r="U269" s="2"/>
      <c r="V269" s="2"/>
      <c r="W269" s="2"/>
      <c r="X269" s="2"/>
      <c r="Y269" s="2"/>
    </row>
    <row r="270" spans="1:25" ht="17.399999999999999" x14ac:dyDescent="0.25">
      <c r="A270" s="1"/>
      <c r="B270" s="40"/>
      <c r="C270" s="2" t="str">
        <f ca="1">IFERROR(__xludf.DUMMYFUNCTION("iferror(filter('Full Perk List'!C$3:C1498,'Full Perk List'!$D$3:$D1498=$D270),"""")"),"#REF!")</f>
        <v>#REF!</v>
      </c>
      <c r="D270" s="2"/>
      <c r="E270" s="2" t="str">
        <f ca="1">IFERROR(__xludf.DUMMYFUNCTION("iferror(filter('Full Perk List'!E$3:E1498,'Full Perk List'!$D$3:$D1498=$D270),"""")"),"#REF!")</f>
        <v>#REF!</v>
      </c>
      <c r="F270" s="2" t="str">
        <f ca="1">IFERROR(__xludf.DUMMYFUNCTION("iferror(filter('Full Perk List'!F$3:F1498,'Full Perk List'!$D$3:$D1498=$D270),"""")"),"#REF!")</f>
        <v>#REF!</v>
      </c>
      <c r="G270" s="2" t="str">
        <f ca="1">IFERROR(__xludf.DUMMYFUNCTION("iferror(filter('Full Perk List'!G$3:G1498,'Full Perk List'!$D$3:$D1498=$D270),"""")"),"#REF!")</f>
        <v>#REF!</v>
      </c>
      <c r="H270" s="1"/>
      <c r="I270" s="2"/>
      <c r="J270" s="2"/>
      <c r="K270" s="2"/>
      <c r="L270" s="2"/>
      <c r="M270" s="2"/>
      <c r="N270" s="2"/>
      <c r="O270" s="2"/>
      <c r="P270" s="2"/>
      <c r="Q270" s="2"/>
      <c r="R270" s="2"/>
      <c r="S270" s="2"/>
      <c r="T270" s="2"/>
      <c r="U270" s="2"/>
      <c r="V270" s="2"/>
      <c r="W270" s="2"/>
      <c r="X270" s="2"/>
      <c r="Y270" s="2"/>
    </row>
    <row r="271" spans="1:25" ht="17.399999999999999" x14ac:dyDescent="0.25">
      <c r="A271" s="1"/>
      <c r="B271" s="40"/>
      <c r="C271" s="2" t="str">
        <f ca="1">IFERROR(__xludf.DUMMYFUNCTION("iferror(filter('Full Perk List'!C$3:C1498,'Full Perk List'!$D$3:$D1498=$D271),"""")"),"#REF!")</f>
        <v>#REF!</v>
      </c>
      <c r="D271" s="2"/>
      <c r="E271" s="2" t="str">
        <f ca="1">IFERROR(__xludf.DUMMYFUNCTION("iferror(filter('Full Perk List'!E$3:E1498,'Full Perk List'!$D$3:$D1498=$D271),"""")"),"#REF!")</f>
        <v>#REF!</v>
      </c>
      <c r="F271" s="2" t="str">
        <f ca="1">IFERROR(__xludf.DUMMYFUNCTION("iferror(filter('Full Perk List'!F$3:F1498,'Full Perk List'!$D$3:$D1498=$D271),"""")"),"#REF!")</f>
        <v>#REF!</v>
      </c>
      <c r="G271" s="2" t="str">
        <f ca="1">IFERROR(__xludf.DUMMYFUNCTION("iferror(filter('Full Perk List'!G$3:G1498,'Full Perk List'!$D$3:$D1498=$D271),"""")"),"#REF!")</f>
        <v>#REF!</v>
      </c>
      <c r="H271" s="1"/>
      <c r="I271" s="2"/>
      <c r="J271" s="2"/>
      <c r="K271" s="2"/>
      <c r="L271" s="2"/>
      <c r="M271" s="2"/>
      <c r="N271" s="2"/>
      <c r="O271" s="2"/>
      <c r="P271" s="2"/>
      <c r="Q271" s="2"/>
      <c r="R271" s="2"/>
      <c r="S271" s="2"/>
      <c r="T271" s="2"/>
      <c r="U271" s="2"/>
      <c r="V271" s="2"/>
      <c r="W271" s="2"/>
      <c r="X271" s="2"/>
      <c r="Y271" s="2"/>
    </row>
    <row r="272" spans="1:25" ht="17.399999999999999" x14ac:dyDescent="0.25">
      <c r="A272" s="1"/>
      <c r="B272" s="40"/>
      <c r="C272" s="2" t="str">
        <f ca="1">IFERROR(__xludf.DUMMYFUNCTION("iferror(filter('Full Perk List'!C$3:C1498,'Full Perk List'!$D$3:$D1498=$D272),"""")"),"#REF!")</f>
        <v>#REF!</v>
      </c>
      <c r="D272" s="2"/>
      <c r="E272" s="2" t="str">
        <f ca="1">IFERROR(__xludf.DUMMYFUNCTION("iferror(filter('Full Perk List'!E$3:E1498,'Full Perk List'!$D$3:$D1498=$D272),"""")"),"#REF!")</f>
        <v>#REF!</v>
      </c>
      <c r="F272" s="2" t="str">
        <f ca="1">IFERROR(__xludf.DUMMYFUNCTION("iferror(filter('Full Perk List'!F$3:F1498,'Full Perk List'!$D$3:$D1498=$D272),"""")"),"#REF!")</f>
        <v>#REF!</v>
      </c>
      <c r="G272" s="2" t="str">
        <f ca="1">IFERROR(__xludf.DUMMYFUNCTION("iferror(filter('Full Perk List'!G$3:G1498,'Full Perk List'!$D$3:$D1498=$D272),"""")"),"#REF!")</f>
        <v>#REF!</v>
      </c>
      <c r="H272" s="1"/>
      <c r="I272" s="2"/>
      <c r="J272" s="2"/>
      <c r="K272" s="2"/>
      <c r="L272" s="2"/>
      <c r="M272" s="2"/>
      <c r="N272" s="2"/>
      <c r="O272" s="2"/>
      <c r="P272" s="2"/>
      <c r="Q272" s="2"/>
      <c r="R272" s="2"/>
      <c r="S272" s="2"/>
      <c r="T272" s="2"/>
      <c r="U272" s="2"/>
      <c r="V272" s="2"/>
      <c r="W272" s="2"/>
      <c r="X272" s="2"/>
      <c r="Y272" s="2"/>
    </row>
    <row r="273" spans="1:25" ht="17.399999999999999" x14ac:dyDescent="0.25">
      <c r="A273" s="1"/>
      <c r="B273" s="40"/>
      <c r="C273" s="2" t="str">
        <f ca="1">IFERROR(__xludf.DUMMYFUNCTION("iferror(filter('Full Perk List'!C$3:C1498,'Full Perk List'!$D$3:$D1498=$D273),"""")"),"#REF!")</f>
        <v>#REF!</v>
      </c>
      <c r="D273" s="2"/>
      <c r="E273" s="2" t="str">
        <f ca="1">IFERROR(__xludf.DUMMYFUNCTION("iferror(filter('Full Perk List'!E$3:E1498,'Full Perk List'!$D$3:$D1498=$D273),"""")"),"#REF!")</f>
        <v>#REF!</v>
      </c>
      <c r="F273" s="2" t="str">
        <f ca="1">IFERROR(__xludf.DUMMYFUNCTION("iferror(filter('Full Perk List'!F$3:F1498,'Full Perk List'!$D$3:$D1498=$D273),"""")"),"#REF!")</f>
        <v>#REF!</v>
      </c>
      <c r="G273" s="2" t="str">
        <f ca="1">IFERROR(__xludf.DUMMYFUNCTION("iferror(filter('Full Perk List'!G$3:G1498,'Full Perk List'!$D$3:$D1498=$D273),"""")"),"#REF!")</f>
        <v>#REF!</v>
      </c>
      <c r="H273" s="1"/>
      <c r="I273" s="2"/>
      <c r="J273" s="2"/>
      <c r="K273" s="2"/>
      <c r="L273" s="2"/>
      <c r="M273" s="2"/>
      <c r="N273" s="2"/>
      <c r="O273" s="2"/>
      <c r="P273" s="2"/>
      <c r="Q273" s="2"/>
      <c r="R273" s="2"/>
      <c r="S273" s="2"/>
      <c r="T273" s="2"/>
      <c r="U273" s="2"/>
      <c r="V273" s="2"/>
      <c r="W273" s="2"/>
      <c r="X273" s="2"/>
      <c r="Y273" s="2"/>
    </row>
    <row r="274" spans="1:25" ht="17.399999999999999" x14ac:dyDescent="0.25">
      <c r="A274" s="1"/>
      <c r="B274" s="40"/>
      <c r="C274" s="2" t="str">
        <f ca="1">IFERROR(__xludf.DUMMYFUNCTION("iferror(filter('Full Perk List'!C$3:C1498,'Full Perk List'!$D$3:$D1498=$D274),"""")"),"#REF!")</f>
        <v>#REF!</v>
      </c>
      <c r="D274" s="2"/>
      <c r="E274" s="2" t="str">
        <f ca="1">IFERROR(__xludf.DUMMYFUNCTION("iferror(filter('Full Perk List'!E$3:E1498,'Full Perk List'!$D$3:$D1498=$D274),"""")"),"#REF!")</f>
        <v>#REF!</v>
      </c>
      <c r="F274" s="2" t="str">
        <f ca="1">IFERROR(__xludf.DUMMYFUNCTION("iferror(filter('Full Perk List'!F$3:F1498,'Full Perk List'!$D$3:$D1498=$D274),"""")"),"#REF!")</f>
        <v>#REF!</v>
      </c>
      <c r="G274" s="2" t="str">
        <f ca="1">IFERROR(__xludf.DUMMYFUNCTION("iferror(filter('Full Perk List'!G$3:G1498,'Full Perk List'!$D$3:$D1498=$D274),"""")"),"#REF!")</f>
        <v>#REF!</v>
      </c>
      <c r="H274" s="1"/>
      <c r="I274" s="2"/>
      <c r="J274" s="2"/>
      <c r="K274" s="2"/>
      <c r="L274" s="2"/>
      <c r="M274" s="2"/>
      <c r="N274" s="2"/>
      <c r="O274" s="2"/>
      <c r="P274" s="2"/>
      <c r="Q274" s="2"/>
      <c r="R274" s="2"/>
      <c r="S274" s="2"/>
      <c r="T274" s="2"/>
      <c r="U274" s="2"/>
      <c r="V274" s="2"/>
      <c r="W274" s="2"/>
      <c r="X274" s="2"/>
      <c r="Y274" s="2"/>
    </row>
    <row r="275" spans="1:25" ht="17.399999999999999" x14ac:dyDescent="0.25">
      <c r="A275" s="1"/>
      <c r="B275" s="40"/>
      <c r="C275" s="2" t="str">
        <f ca="1">IFERROR(__xludf.DUMMYFUNCTION("iferror(filter('Full Perk List'!C$3:C1498,'Full Perk List'!$D$3:$D1498=$D275),"""")"),"#REF!")</f>
        <v>#REF!</v>
      </c>
      <c r="D275" s="2"/>
      <c r="E275" s="2" t="str">
        <f ca="1">IFERROR(__xludf.DUMMYFUNCTION("iferror(filter('Full Perk List'!E$3:E1498,'Full Perk List'!$D$3:$D1498=$D275),"""")"),"#REF!")</f>
        <v>#REF!</v>
      </c>
      <c r="F275" s="2" t="str">
        <f ca="1">IFERROR(__xludf.DUMMYFUNCTION("iferror(filter('Full Perk List'!F$3:F1498,'Full Perk List'!$D$3:$D1498=$D275),"""")"),"#REF!")</f>
        <v>#REF!</v>
      </c>
      <c r="G275" s="2" t="str">
        <f ca="1">IFERROR(__xludf.DUMMYFUNCTION("iferror(filter('Full Perk List'!G$3:G1498,'Full Perk List'!$D$3:$D1498=$D275),"""")"),"#REF!")</f>
        <v>#REF!</v>
      </c>
      <c r="H275" s="1"/>
      <c r="I275" s="2"/>
      <c r="J275" s="2"/>
      <c r="K275" s="2"/>
      <c r="L275" s="2"/>
      <c r="M275" s="2"/>
      <c r="N275" s="2"/>
      <c r="O275" s="2"/>
      <c r="P275" s="2"/>
      <c r="Q275" s="2"/>
      <c r="R275" s="2"/>
      <c r="S275" s="2"/>
      <c r="T275" s="2"/>
      <c r="U275" s="2"/>
      <c r="V275" s="2"/>
      <c r="W275" s="2"/>
      <c r="X275" s="2"/>
      <c r="Y275" s="2"/>
    </row>
    <row r="276" spans="1:25" ht="17.399999999999999" x14ac:dyDescent="0.25">
      <c r="A276" s="1"/>
      <c r="B276" s="40"/>
      <c r="C276" s="2" t="str">
        <f ca="1">IFERROR(__xludf.DUMMYFUNCTION("iferror(filter('Full Perk List'!C$3:C1498,'Full Perk List'!$D$3:$D1498=$D276),"""")"),"#REF!")</f>
        <v>#REF!</v>
      </c>
      <c r="D276" s="2"/>
      <c r="E276" s="2" t="str">
        <f ca="1">IFERROR(__xludf.DUMMYFUNCTION("iferror(filter('Full Perk List'!E$3:E1498,'Full Perk List'!$D$3:$D1498=$D276),"""")"),"#REF!")</f>
        <v>#REF!</v>
      </c>
      <c r="F276" s="2" t="str">
        <f ca="1">IFERROR(__xludf.DUMMYFUNCTION("iferror(filter('Full Perk List'!F$3:F1498,'Full Perk List'!$D$3:$D1498=$D276),"""")"),"#REF!")</f>
        <v>#REF!</v>
      </c>
      <c r="G276" s="2" t="str">
        <f ca="1">IFERROR(__xludf.DUMMYFUNCTION("iferror(filter('Full Perk List'!G$3:G1498,'Full Perk List'!$D$3:$D1498=$D276),"""")"),"#REF!")</f>
        <v>#REF!</v>
      </c>
      <c r="H276" s="1"/>
      <c r="I276" s="2"/>
      <c r="J276" s="2"/>
      <c r="K276" s="2"/>
      <c r="L276" s="2"/>
      <c r="M276" s="2"/>
      <c r="N276" s="2"/>
      <c r="O276" s="2"/>
      <c r="P276" s="2"/>
      <c r="Q276" s="2"/>
      <c r="R276" s="2"/>
      <c r="S276" s="2"/>
      <c r="T276" s="2"/>
      <c r="U276" s="2"/>
      <c r="V276" s="2"/>
      <c r="W276" s="2"/>
      <c r="X276" s="2"/>
      <c r="Y276" s="2"/>
    </row>
    <row r="277" spans="1:25" ht="17.399999999999999" x14ac:dyDescent="0.25">
      <c r="A277" s="1"/>
      <c r="B277" s="40"/>
      <c r="C277" s="2" t="str">
        <f ca="1">IFERROR(__xludf.DUMMYFUNCTION("iferror(filter('Full Perk List'!C$3:C1498,'Full Perk List'!$D$3:$D1498=$D277),"""")"),"#REF!")</f>
        <v>#REF!</v>
      </c>
      <c r="D277" s="2"/>
      <c r="E277" s="2" t="str">
        <f ca="1">IFERROR(__xludf.DUMMYFUNCTION("iferror(filter('Full Perk List'!E$3:E1498,'Full Perk List'!$D$3:$D1498=$D277),"""")"),"#REF!")</f>
        <v>#REF!</v>
      </c>
      <c r="F277" s="2" t="str">
        <f ca="1">IFERROR(__xludf.DUMMYFUNCTION("iferror(filter('Full Perk List'!F$3:F1498,'Full Perk List'!$D$3:$D1498=$D277),"""")"),"#REF!")</f>
        <v>#REF!</v>
      </c>
      <c r="G277" s="2" t="str">
        <f ca="1">IFERROR(__xludf.DUMMYFUNCTION("iferror(filter('Full Perk List'!G$3:G1498,'Full Perk List'!$D$3:$D1498=$D277),"""")"),"#REF!")</f>
        <v>#REF!</v>
      </c>
      <c r="H277" s="1"/>
      <c r="I277" s="2"/>
      <c r="J277" s="2"/>
      <c r="K277" s="2"/>
      <c r="L277" s="2"/>
      <c r="M277" s="2"/>
      <c r="N277" s="2"/>
      <c r="O277" s="2"/>
      <c r="P277" s="2"/>
      <c r="Q277" s="2"/>
      <c r="R277" s="2"/>
      <c r="S277" s="2"/>
      <c r="T277" s="2"/>
      <c r="U277" s="2"/>
      <c r="V277" s="2"/>
      <c r="W277" s="2"/>
      <c r="X277" s="2"/>
      <c r="Y277" s="2"/>
    </row>
    <row r="278" spans="1:25" ht="17.399999999999999" x14ac:dyDescent="0.25">
      <c r="A278" s="1"/>
      <c r="B278" s="40"/>
      <c r="C278" s="2" t="str">
        <f ca="1">IFERROR(__xludf.DUMMYFUNCTION("iferror(filter('Full Perk List'!C$3:C1498,'Full Perk List'!$D$3:$D1498=$D278),"""")"),"#REF!")</f>
        <v>#REF!</v>
      </c>
      <c r="D278" s="2"/>
      <c r="E278" s="2" t="str">
        <f ca="1">IFERROR(__xludf.DUMMYFUNCTION("iferror(filter('Full Perk List'!E$3:E1498,'Full Perk List'!$D$3:$D1498=$D278),"""")"),"#REF!")</f>
        <v>#REF!</v>
      </c>
      <c r="F278" s="2" t="str">
        <f ca="1">IFERROR(__xludf.DUMMYFUNCTION("iferror(filter('Full Perk List'!F$3:F1498,'Full Perk List'!$D$3:$D1498=$D278),"""")"),"#REF!")</f>
        <v>#REF!</v>
      </c>
      <c r="G278" s="2" t="str">
        <f ca="1">IFERROR(__xludf.DUMMYFUNCTION("iferror(filter('Full Perk List'!G$3:G1498,'Full Perk List'!$D$3:$D1498=$D278),"""")"),"#REF!")</f>
        <v>#REF!</v>
      </c>
      <c r="H278" s="1"/>
      <c r="I278" s="2"/>
      <c r="J278" s="2"/>
      <c r="K278" s="2"/>
      <c r="L278" s="2"/>
      <c r="M278" s="2"/>
      <c r="N278" s="2"/>
      <c r="O278" s="2"/>
      <c r="P278" s="2"/>
      <c r="Q278" s="2"/>
      <c r="R278" s="2"/>
      <c r="S278" s="2"/>
      <c r="T278" s="2"/>
      <c r="U278" s="2"/>
      <c r="V278" s="2"/>
      <c r="W278" s="2"/>
      <c r="X278" s="2"/>
      <c r="Y278" s="2"/>
    </row>
    <row r="279" spans="1:25" ht="17.399999999999999" x14ac:dyDescent="0.25">
      <c r="A279" s="1"/>
      <c r="B279" s="40"/>
      <c r="C279" s="2" t="str">
        <f ca="1">IFERROR(__xludf.DUMMYFUNCTION("iferror(filter('Full Perk List'!C$3:C1498,'Full Perk List'!$D$3:$D1498=$D279),"""")"),"#REF!")</f>
        <v>#REF!</v>
      </c>
      <c r="D279" s="2"/>
      <c r="E279" s="2" t="str">
        <f ca="1">IFERROR(__xludf.DUMMYFUNCTION("iferror(filter('Full Perk List'!E$3:E1498,'Full Perk List'!$D$3:$D1498=$D279),"""")"),"#REF!")</f>
        <v>#REF!</v>
      </c>
      <c r="F279" s="2" t="str">
        <f ca="1">IFERROR(__xludf.DUMMYFUNCTION("iferror(filter('Full Perk List'!F$3:F1498,'Full Perk List'!$D$3:$D1498=$D279),"""")"),"#REF!")</f>
        <v>#REF!</v>
      </c>
      <c r="G279" s="2" t="str">
        <f ca="1">IFERROR(__xludf.DUMMYFUNCTION("iferror(filter('Full Perk List'!G$3:G1498,'Full Perk List'!$D$3:$D1498=$D279),"""")"),"#REF!")</f>
        <v>#REF!</v>
      </c>
      <c r="H279" s="1"/>
      <c r="I279" s="2"/>
      <c r="J279" s="2"/>
      <c r="K279" s="2"/>
      <c r="L279" s="2"/>
      <c r="M279" s="2"/>
      <c r="N279" s="2"/>
      <c r="O279" s="2"/>
      <c r="P279" s="2"/>
      <c r="Q279" s="2"/>
      <c r="R279" s="2"/>
      <c r="S279" s="2"/>
      <c r="T279" s="2"/>
      <c r="U279" s="2"/>
      <c r="V279" s="2"/>
      <c r="W279" s="2"/>
      <c r="X279" s="2"/>
      <c r="Y279" s="2"/>
    </row>
    <row r="280" spans="1:25" ht="17.399999999999999" x14ac:dyDescent="0.25">
      <c r="A280" s="1"/>
      <c r="B280" s="40"/>
      <c r="C280" s="2" t="str">
        <f ca="1">IFERROR(__xludf.DUMMYFUNCTION("iferror(filter('Full Perk List'!C$3:C1498,'Full Perk List'!$D$3:$D1498=$D280),"""")"),"#REF!")</f>
        <v>#REF!</v>
      </c>
      <c r="D280" s="2"/>
      <c r="E280" s="2" t="str">
        <f ca="1">IFERROR(__xludf.DUMMYFUNCTION("iferror(filter('Full Perk List'!E$3:E1498,'Full Perk List'!$D$3:$D1498=$D280),"""")"),"#REF!")</f>
        <v>#REF!</v>
      </c>
      <c r="F280" s="2" t="str">
        <f ca="1">IFERROR(__xludf.DUMMYFUNCTION("iferror(filter('Full Perk List'!F$3:F1498,'Full Perk List'!$D$3:$D1498=$D280),"""")"),"#REF!")</f>
        <v>#REF!</v>
      </c>
      <c r="G280" s="2" t="str">
        <f ca="1">IFERROR(__xludf.DUMMYFUNCTION("iferror(filter('Full Perk List'!G$3:G1498,'Full Perk List'!$D$3:$D1498=$D280),"""")"),"#REF!")</f>
        <v>#REF!</v>
      </c>
      <c r="H280" s="1"/>
      <c r="I280" s="2"/>
      <c r="J280" s="2"/>
      <c r="K280" s="2"/>
      <c r="L280" s="2"/>
      <c r="M280" s="2"/>
      <c r="N280" s="2"/>
      <c r="O280" s="2"/>
      <c r="P280" s="2"/>
      <c r="Q280" s="2"/>
      <c r="R280" s="2"/>
      <c r="S280" s="2"/>
      <c r="T280" s="2"/>
      <c r="U280" s="2"/>
      <c r="V280" s="2"/>
      <c r="W280" s="2"/>
      <c r="X280" s="2"/>
      <c r="Y280" s="2"/>
    </row>
    <row r="281" spans="1:25" ht="17.399999999999999" x14ac:dyDescent="0.25">
      <c r="A281" s="1"/>
      <c r="B281" s="40"/>
      <c r="C281" s="2" t="str">
        <f ca="1">IFERROR(__xludf.DUMMYFUNCTION("iferror(filter('Full Perk List'!C$3:C1498,'Full Perk List'!$D$3:$D1498=$D281),"""")"),"#REF!")</f>
        <v>#REF!</v>
      </c>
      <c r="D281" s="2"/>
      <c r="E281" s="2" t="str">
        <f ca="1">IFERROR(__xludf.DUMMYFUNCTION("iferror(filter('Full Perk List'!E$3:E1498,'Full Perk List'!$D$3:$D1498=$D281),"""")"),"#REF!")</f>
        <v>#REF!</v>
      </c>
      <c r="F281" s="2" t="str">
        <f ca="1">IFERROR(__xludf.DUMMYFUNCTION("iferror(filter('Full Perk List'!F$3:F1498,'Full Perk List'!$D$3:$D1498=$D281),"""")"),"#REF!")</f>
        <v>#REF!</v>
      </c>
      <c r="G281" s="2" t="str">
        <f ca="1">IFERROR(__xludf.DUMMYFUNCTION("iferror(filter('Full Perk List'!G$3:G1498,'Full Perk List'!$D$3:$D1498=$D281),"""")"),"#REF!")</f>
        <v>#REF!</v>
      </c>
      <c r="H281" s="1"/>
      <c r="I281" s="2"/>
      <c r="J281" s="2"/>
      <c r="K281" s="2"/>
      <c r="L281" s="2"/>
      <c r="M281" s="2"/>
      <c r="N281" s="2"/>
      <c r="O281" s="2"/>
      <c r="P281" s="2"/>
      <c r="Q281" s="2"/>
      <c r="R281" s="2"/>
      <c r="S281" s="2"/>
      <c r="T281" s="2"/>
      <c r="U281" s="2"/>
      <c r="V281" s="2"/>
      <c r="W281" s="2"/>
      <c r="X281" s="2"/>
      <c r="Y281" s="2"/>
    </row>
    <row r="282" spans="1:25" ht="17.399999999999999" x14ac:dyDescent="0.25">
      <c r="A282" s="1"/>
      <c r="B282" s="40"/>
      <c r="C282" s="2" t="str">
        <f ca="1">IFERROR(__xludf.DUMMYFUNCTION("iferror(filter('Full Perk List'!C$3:C1498,'Full Perk List'!$D$3:$D1498=$D282),"""")"),"#REF!")</f>
        <v>#REF!</v>
      </c>
      <c r="D282" s="2"/>
      <c r="E282" s="2" t="str">
        <f ca="1">IFERROR(__xludf.DUMMYFUNCTION("iferror(filter('Full Perk List'!E$3:E1498,'Full Perk List'!$D$3:$D1498=$D282),"""")"),"#REF!")</f>
        <v>#REF!</v>
      </c>
      <c r="F282" s="2" t="str">
        <f ca="1">IFERROR(__xludf.DUMMYFUNCTION("iferror(filter('Full Perk List'!F$3:F1498,'Full Perk List'!$D$3:$D1498=$D282),"""")"),"#REF!")</f>
        <v>#REF!</v>
      </c>
      <c r="G282" s="2" t="str">
        <f ca="1">IFERROR(__xludf.DUMMYFUNCTION("iferror(filter('Full Perk List'!G$3:G1498,'Full Perk List'!$D$3:$D1498=$D282),"""")"),"#REF!")</f>
        <v>#REF!</v>
      </c>
      <c r="H282" s="1"/>
      <c r="I282" s="2"/>
      <c r="J282" s="2"/>
      <c r="K282" s="2"/>
      <c r="L282" s="2"/>
      <c r="M282" s="2"/>
      <c r="N282" s="2"/>
      <c r="O282" s="2"/>
      <c r="P282" s="2"/>
      <c r="Q282" s="2"/>
      <c r="R282" s="2"/>
      <c r="S282" s="2"/>
      <c r="T282" s="2"/>
      <c r="U282" s="2"/>
      <c r="V282" s="2"/>
      <c r="W282" s="2"/>
      <c r="X282" s="2"/>
      <c r="Y282" s="2"/>
    </row>
    <row r="283" spans="1:25" ht="17.399999999999999" x14ac:dyDescent="0.25">
      <c r="A283" s="1"/>
      <c r="B283" s="40"/>
      <c r="C283" s="2" t="str">
        <f ca="1">IFERROR(__xludf.DUMMYFUNCTION("iferror(filter('Full Perk List'!C$3:C1498,'Full Perk List'!$D$3:$D1498=$D283),"""")"),"#REF!")</f>
        <v>#REF!</v>
      </c>
      <c r="D283" s="2"/>
      <c r="E283" s="2" t="str">
        <f ca="1">IFERROR(__xludf.DUMMYFUNCTION("iferror(filter('Full Perk List'!E$3:E1498,'Full Perk List'!$D$3:$D1498=$D283),"""")"),"#REF!")</f>
        <v>#REF!</v>
      </c>
      <c r="F283" s="2" t="str">
        <f ca="1">IFERROR(__xludf.DUMMYFUNCTION("iferror(filter('Full Perk List'!F$3:F1498,'Full Perk List'!$D$3:$D1498=$D283),"""")"),"#REF!")</f>
        <v>#REF!</v>
      </c>
      <c r="G283" s="2" t="str">
        <f ca="1">IFERROR(__xludf.DUMMYFUNCTION("iferror(filter('Full Perk List'!G$3:G1498,'Full Perk List'!$D$3:$D1498=$D283),"""")"),"#REF!")</f>
        <v>#REF!</v>
      </c>
      <c r="H283" s="1"/>
      <c r="I283" s="2"/>
      <c r="J283" s="2"/>
      <c r="K283" s="2"/>
      <c r="L283" s="2"/>
      <c r="M283" s="2"/>
      <c r="N283" s="2"/>
      <c r="O283" s="2"/>
      <c r="P283" s="2"/>
      <c r="Q283" s="2"/>
      <c r="R283" s="2"/>
      <c r="S283" s="2"/>
      <c r="T283" s="2"/>
      <c r="U283" s="2"/>
      <c r="V283" s="2"/>
      <c r="W283" s="2"/>
      <c r="X283" s="2"/>
      <c r="Y283" s="2"/>
    </row>
    <row r="284" spans="1:25" ht="17.399999999999999" x14ac:dyDescent="0.25">
      <c r="A284" s="1"/>
      <c r="B284" s="40"/>
      <c r="C284" s="2" t="str">
        <f ca="1">IFERROR(__xludf.DUMMYFUNCTION("iferror(filter('Full Perk List'!C$3:C1498,'Full Perk List'!$D$3:$D1498=$D284),"""")"),"#REF!")</f>
        <v>#REF!</v>
      </c>
      <c r="D284" s="2"/>
      <c r="E284" s="2" t="str">
        <f ca="1">IFERROR(__xludf.DUMMYFUNCTION("iferror(filter('Full Perk List'!E$3:E1498,'Full Perk List'!$D$3:$D1498=$D284),"""")"),"#REF!")</f>
        <v>#REF!</v>
      </c>
      <c r="F284" s="2" t="str">
        <f ca="1">IFERROR(__xludf.DUMMYFUNCTION("iferror(filter('Full Perk List'!F$3:F1498,'Full Perk List'!$D$3:$D1498=$D284),"""")"),"#REF!")</f>
        <v>#REF!</v>
      </c>
      <c r="G284" s="2" t="str">
        <f ca="1">IFERROR(__xludf.DUMMYFUNCTION("iferror(filter('Full Perk List'!G$3:G1498,'Full Perk List'!$D$3:$D1498=$D284),"""")"),"#REF!")</f>
        <v>#REF!</v>
      </c>
      <c r="H284" s="1"/>
      <c r="I284" s="2"/>
      <c r="J284" s="2"/>
      <c r="K284" s="2"/>
      <c r="L284" s="2"/>
      <c r="M284" s="2"/>
      <c r="N284" s="2"/>
      <c r="O284" s="2"/>
      <c r="P284" s="2"/>
      <c r="Q284" s="2"/>
      <c r="R284" s="2"/>
      <c r="S284" s="2"/>
      <c r="T284" s="2"/>
      <c r="U284" s="2"/>
      <c r="V284" s="2"/>
      <c r="W284" s="2"/>
      <c r="X284" s="2"/>
      <c r="Y284" s="2"/>
    </row>
    <row r="285" spans="1:25" ht="17.399999999999999" x14ac:dyDescent="0.25">
      <c r="A285" s="1"/>
      <c r="B285" s="40"/>
      <c r="C285" s="2" t="str">
        <f ca="1">IFERROR(__xludf.DUMMYFUNCTION("iferror(filter('Full Perk List'!C$3:C1498,'Full Perk List'!$D$3:$D1498=$D285),"""")"),"#REF!")</f>
        <v>#REF!</v>
      </c>
      <c r="D285" s="2"/>
      <c r="E285" s="2" t="str">
        <f ca="1">IFERROR(__xludf.DUMMYFUNCTION("iferror(filter('Full Perk List'!E$3:E1498,'Full Perk List'!$D$3:$D1498=$D285),"""")"),"#REF!")</f>
        <v>#REF!</v>
      </c>
      <c r="F285" s="2" t="str">
        <f ca="1">IFERROR(__xludf.DUMMYFUNCTION("iferror(filter('Full Perk List'!F$3:F1498,'Full Perk List'!$D$3:$D1498=$D285),"""")"),"#REF!")</f>
        <v>#REF!</v>
      </c>
      <c r="G285" s="2" t="str">
        <f ca="1">IFERROR(__xludf.DUMMYFUNCTION("iferror(filter('Full Perk List'!G$3:G1498,'Full Perk List'!$D$3:$D1498=$D285),"""")"),"#REF!")</f>
        <v>#REF!</v>
      </c>
      <c r="H285" s="1"/>
      <c r="I285" s="2"/>
      <c r="J285" s="2"/>
      <c r="K285" s="2"/>
      <c r="L285" s="2"/>
      <c r="M285" s="2"/>
      <c r="N285" s="2"/>
      <c r="O285" s="2"/>
      <c r="P285" s="2"/>
      <c r="Q285" s="2"/>
      <c r="R285" s="2"/>
      <c r="S285" s="2"/>
      <c r="T285" s="2"/>
      <c r="U285" s="2"/>
      <c r="V285" s="2"/>
      <c r="W285" s="2"/>
      <c r="X285" s="2"/>
      <c r="Y285" s="2"/>
    </row>
    <row r="286" spans="1:25" ht="17.399999999999999" x14ac:dyDescent="0.25">
      <c r="A286" s="1"/>
      <c r="B286" s="40"/>
      <c r="C286" s="2" t="str">
        <f ca="1">IFERROR(__xludf.DUMMYFUNCTION("iferror(filter('Full Perk List'!C$3:C1498,'Full Perk List'!$D$3:$D1498=$D286),"""")"),"#REF!")</f>
        <v>#REF!</v>
      </c>
      <c r="D286" s="2"/>
      <c r="E286" s="2" t="str">
        <f ca="1">IFERROR(__xludf.DUMMYFUNCTION("iferror(filter('Full Perk List'!E$3:E1498,'Full Perk List'!$D$3:$D1498=$D286),"""")"),"#REF!")</f>
        <v>#REF!</v>
      </c>
      <c r="F286" s="2" t="str">
        <f ca="1">IFERROR(__xludf.DUMMYFUNCTION("iferror(filter('Full Perk List'!F$3:F1498,'Full Perk List'!$D$3:$D1498=$D286),"""")"),"#REF!")</f>
        <v>#REF!</v>
      </c>
      <c r="G286" s="2" t="str">
        <f ca="1">IFERROR(__xludf.DUMMYFUNCTION("iferror(filter('Full Perk List'!G$3:G1498,'Full Perk List'!$D$3:$D1498=$D286),"""")"),"#REF!")</f>
        <v>#REF!</v>
      </c>
      <c r="H286" s="1"/>
      <c r="I286" s="2"/>
      <c r="J286" s="2"/>
      <c r="K286" s="2"/>
      <c r="L286" s="2"/>
      <c r="M286" s="2"/>
      <c r="N286" s="2"/>
      <c r="O286" s="2"/>
      <c r="P286" s="2"/>
      <c r="Q286" s="2"/>
      <c r="R286" s="2"/>
      <c r="S286" s="2"/>
      <c r="T286" s="2"/>
      <c r="U286" s="2"/>
      <c r="V286" s="2"/>
      <c r="W286" s="2"/>
      <c r="X286" s="2"/>
      <c r="Y286" s="2"/>
    </row>
    <row r="287" spans="1:25" ht="17.399999999999999" x14ac:dyDescent="0.25">
      <c r="A287" s="1"/>
      <c r="B287" s="40"/>
      <c r="C287" s="2" t="str">
        <f ca="1">IFERROR(__xludf.DUMMYFUNCTION("iferror(filter('Full Perk List'!C$3:C1498,'Full Perk List'!$D$3:$D1498=$D287),"""")"),"#REF!")</f>
        <v>#REF!</v>
      </c>
      <c r="D287" s="2"/>
      <c r="E287" s="2" t="str">
        <f ca="1">IFERROR(__xludf.DUMMYFUNCTION("iferror(filter('Full Perk List'!E$3:E1498,'Full Perk List'!$D$3:$D1498=$D287),"""")"),"#REF!")</f>
        <v>#REF!</v>
      </c>
      <c r="F287" s="2" t="str">
        <f ca="1">IFERROR(__xludf.DUMMYFUNCTION("iferror(filter('Full Perk List'!F$3:F1498,'Full Perk List'!$D$3:$D1498=$D287),"""")"),"#REF!")</f>
        <v>#REF!</v>
      </c>
      <c r="G287" s="2" t="str">
        <f ca="1">IFERROR(__xludf.DUMMYFUNCTION("iferror(filter('Full Perk List'!G$3:G1498,'Full Perk List'!$D$3:$D1498=$D287),"""")"),"#REF!")</f>
        <v>#REF!</v>
      </c>
      <c r="H287" s="1"/>
      <c r="I287" s="2"/>
      <c r="J287" s="2"/>
      <c r="K287" s="2"/>
      <c r="L287" s="2"/>
      <c r="M287" s="2"/>
      <c r="N287" s="2"/>
      <c r="O287" s="2"/>
      <c r="P287" s="2"/>
      <c r="Q287" s="2"/>
      <c r="R287" s="2"/>
      <c r="S287" s="2"/>
      <c r="T287" s="2"/>
      <c r="U287" s="2"/>
      <c r="V287" s="2"/>
      <c r="W287" s="2"/>
      <c r="X287" s="2"/>
      <c r="Y287" s="2"/>
    </row>
    <row r="288" spans="1:25" ht="17.399999999999999" x14ac:dyDescent="0.25">
      <c r="A288" s="1"/>
      <c r="B288" s="40"/>
      <c r="C288" s="2" t="str">
        <f ca="1">IFERROR(__xludf.DUMMYFUNCTION("iferror(filter('Full Perk List'!C$3:C1498,'Full Perk List'!$D$3:$D1498=$D288),"""")"),"#REF!")</f>
        <v>#REF!</v>
      </c>
      <c r="D288" s="2"/>
      <c r="E288" s="2" t="str">
        <f ca="1">IFERROR(__xludf.DUMMYFUNCTION("iferror(filter('Full Perk List'!E$3:E1498,'Full Perk List'!$D$3:$D1498=$D288),"""")"),"#REF!")</f>
        <v>#REF!</v>
      </c>
      <c r="F288" s="2" t="str">
        <f ca="1">IFERROR(__xludf.DUMMYFUNCTION("iferror(filter('Full Perk List'!F$3:F1498,'Full Perk List'!$D$3:$D1498=$D288),"""")"),"#REF!")</f>
        <v>#REF!</v>
      </c>
      <c r="G288" s="2" t="str">
        <f ca="1">IFERROR(__xludf.DUMMYFUNCTION("iferror(filter('Full Perk List'!G$3:G1498,'Full Perk List'!$D$3:$D1498=$D288),"""")"),"#REF!")</f>
        <v>#REF!</v>
      </c>
      <c r="H288" s="1"/>
      <c r="I288" s="2"/>
      <c r="J288" s="2"/>
      <c r="K288" s="2"/>
      <c r="L288" s="2"/>
      <c r="M288" s="2"/>
      <c r="N288" s="2"/>
      <c r="O288" s="2"/>
      <c r="P288" s="2"/>
      <c r="Q288" s="2"/>
      <c r="R288" s="2"/>
      <c r="S288" s="2"/>
      <c r="T288" s="2"/>
      <c r="U288" s="2"/>
      <c r="V288" s="2"/>
      <c r="W288" s="2"/>
      <c r="X288" s="2"/>
      <c r="Y288" s="2"/>
    </row>
    <row r="289" spans="1:25" ht="17.399999999999999" x14ac:dyDescent="0.25">
      <c r="A289" s="1"/>
      <c r="B289" s="40"/>
      <c r="C289" s="2" t="str">
        <f ca="1">IFERROR(__xludf.DUMMYFUNCTION("iferror(filter('Full Perk List'!C$3:C1498,'Full Perk List'!$D$3:$D1498=$D289),"""")"),"#REF!")</f>
        <v>#REF!</v>
      </c>
      <c r="D289" s="2"/>
      <c r="E289" s="2" t="str">
        <f ca="1">IFERROR(__xludf.DUMMYFUNCTION("iferror(filter('Full Perk List'!E$3:E1498,'Full Perk List'!$D$3:$D1498=$D289),"""")"),"#REF!")</f>
        <v>#REF!</v>
      </c>
      <c r="F289" s="2" t="str">
        <f ca="1">IFERROR(__xludf.DUMMYFUNCTION("iferror(filter('Full Perk List'!F$3:F1498,'Full Perk List'!$D$3:$D1498=$D289),"""")"),"#REF!")</f>
        <v>#REF!</v>
      </c>
      <c r="G289" s="2" t="str">
        <f ca="1">IFERROR(__xludf.DUMMYFUNCTION("iferror(filter('Full Perk List'!G$3:G1498,'Full Perk List'!$D$3:$D1498=$D289),"""")"),"#REF!")</f>
        <v>#REF!</v>
      </c>
      <c r="H289" s="1"/>
      <c r="I289" s="2"/>
      <c r="J289" s="2"/>
      <c r="K289" s="2"/>
      <c r="L289" s="2"/>
      <c r="M289" s="2"/>
      <c r="N289" s="2"/>
      <c r="O289" s="2"/>
      <c r="P289" s="2"/>
      <c r="Q289" s="2"/>
      <c r="R289" s="2"/>
      <c r="S289" s="2"/>
      <c r="T289" s="2"/>
      <c r="U289" s="2"/>
      <c r="V289" s="2"/>
      <c r="W289" s="2"/>
      <c r="X289" s="2"/>
      <c r="Y289" s="2"/>
    </row>
    <row r="290" spans="1:25" ht="17.399999999999999" x14ac:dyDescent="0.25">
      <c r="A290" s="1"/>
      <c r="B290" s="40"/>
      <c r="C290" s="2" t="str">
        <f ca="1">IFERROR(__xludf.DUMMYFUNCTION("iferror(filter('Full Perk List'!C$3:C1498,'Full Perk List'!$D$3:$D1498=$D290),"""")"),"#REF!")</f>
        <v>#REF!</v>
      </c>
      <c r="D290" s="2"/>
      <c r="E290" s="2" t="str">
        <f ca="1">IFERROR(__xludf.DUMMYFUNCTION("iferror(filter('Full Perk List'!E$3:E1498,'Full Perk List'!$D$3:$D1498=$D290),"""")"),"#REF!")</f>
        <v>#REF!</v>
      </c>
      <c r="F290" s="2" t="str">
        <f ca="1">IFERROR(__xludf.DUMMYFUNCTION("iferror(filter('Full Perk List'!F$3:F1498,'Full Perk List'!$D$3:$D1498=$D290),"""")"),"#REF!")</f>
        <v>#REF!</v>
      </c>
      <c r="G290" s="2" t="str">
        <f ca="1">IFERROR(__xludf.DUMMYFUNCTION("iferror(filter('Full Perk List'!G$3:G1498,'Full Perk List'!$D$3:$D1498=$D290),"""")"),"#REF!")</f>
        <v>#REF!</v>
      </c>
      <c r="H290" s="1"/>
      <c r="I290" s="2"/>
      <c r="J290" s="2"/>
      <c r="K290" s="2"/>
      <c r="L290" s="2"/>
      <c r="M290" s="2"/>
      <c r="N290" s="2"/>
      <c r="O290" s="2"/>
      <c r="P290" s="2"/>
      <c r="Q290" s="2"/>
      <c r="R290" s="2"/>
      <c r="S290" s="2"/>
      <c r="T290" s="2"/>
      <c r="U290" s="2"/>
      <c r="V290" s="2"/>
      <c r="W290" s="2"/>
      <c r="X290" s="2"/>
      <c r="Y290" s="2"/>
    </row>
    <row r="291" spans="1:25" ht="17.399999999999999" x14ac:dyDescent="0.25">
      <c r="A291" s="1"/>
      <c r="B291" s="40"/>
      <c r="C291" s="2" t="str">
        <f ca="1">IFERROR(__xludf.DUMMYFUNCTION("iferror(filter('Full Perk List'!C$3:C1498,'Full Perk List'!$D$3:$D1498=$D291),"""")"),"#REF!")</f>
        <v>#REF!</v>
      </c>
      <c r="D291" s="2"/>
      <c r="E291" s="2" t="str">
        <f ca="1">IFERROR(__xludf.DUMMYFUNCTION("iferror(filter('Full Perk List'!E$3:E1498,'Full Perk List'!$D$3:$D1498=$D291),"""")"),"#REF!")</f>
        <v>#REF!</v>
      </c>
      <c r="F291" s="2" t="str">
        <f ca="1">IFERROR(__xludf.DUMMYFUNCTION("iferror(filter('Full Perk List'!F$3:F1498,'Full Perk List'!$D$3:$D1498=$D291),"""")"),"#REF!")</f>
        <v>#REF!</v>
      </c>
      <c r="G291" s="2" t="str">
        <f ca="1">IFERROR(__xludf.DUMMYFUNCTION("iferror(filter('Full Perk List'!G$3:G1498,'Full Perk List'!$D$3:$D1498=$D291),"""")"),"#REF!")</f>
        <v>#REF!</v>
      </c>
      <c r="H291" s="1"/>
      <c r="I291" s="2"/>
      <c r="J291" s="2"/>
      <c r="K291" s="2"/>
      <c r="L291" s="2"/>
      <c r="M291" s="2"/>
      <c r="N291" s="2"/>
      <c r="O291" s="2"/>
      <c r="P291" s="2"/>
      <c r="Q291" s="2"/>
      <c r="R291" s="2"/>
      <c r="S291" s="2"/>
      <c r="T291" s="2"/>
      <c r="U291" s="2"/>
      <c r="V291" s="2"/>
      <c r="W291" s="2"/>
      <c r="X291" s="2"/>
      <c r="Y291" s="2"/>
    </row>
    <row r="292" spans="1:25" ht="17.399999999999999" x14ac:dyDescent="0.25">
      <c r="A292" s="1"/>
      <c r="B292" s="40"/>
      <c r="C292" s="2" t="str">
        <f ca="1">IFERROR(__xludf.DUMMYFUNCTION("iferror(filter('Full Perk List'!C$3:C1498,'Full Perk List'!$D$3:$D1498=$D292),"""")"),"#REF!")</f>
        <v>#REF!</v>
      </c>
      <c r="D292" s="2"/>
      <c r="E292" s="2" t="str">
        <f ca="1">IFERROR(__xludf.DUMMYFUNCTION("iferror(filter('Full Perk List'!E$3:E1498,'Full Perk List'!$D$3:$D1498=$D292),"""")"),"#REF!")</f>
        <v>#REF!</v>
      </c>
      <c r="F292" s="2" t="str">
        <f ca="1">IFERROR(__xludf.DUMMYFUNCTION("iferror(filter('Full Perk List'!F$3:F1498,'Full Perk List'!$D$3:$D1498=$D292),"""")"),"#REF!")</f>
        <v>#REF!</v>
      </c>
      <c r="G292" s="2" t="str">
        <f ca="1">IFERROR(__xludf.DUMMYFUNCTION("iferror(filter('Full Perk List'!G$3:G1498,'Full Perk List'!$D$3:$D1498=$D292),"""")"),"#REF!")</f>
        <v>#REF!</v>
      </c>
      <c r="H292" s="1"/>
      <c r="I292" s="2"/>
      <c r="J292" s="2"/>
      <c r="K292" s="2"/>
      <c r="L292" s="2"/>
      <c r="M292" s="2"/>
      <c r="N292" s="2"/>
      <c r="O292" s="2"/>
      <c r="P292" s="2"/>
      <c r="Q292" s="2"/>
      <c r="R292" s="2"/>
      <c r="S292" s="2"/>
      <c r="T292" s="2"/>
      <c r="U292" s="2"/>
      <c r="V292" s="2"/>
      <c r="W292" s="2"/>
      <c r="X292" s="2"/>
      <c r="Y292" s="2"/>
    </row>
    <row r="293" spans="1:25" ht="17.399999999999999" x14ac:dyDescent="0.25">
      <c r="A293" s="1"/>
      <c r="B293" s="40"/>
      <c r="C293" s="2" t="str">
        <f ca="1">IFERROR(__xludf.DUMMYFUNCTION("iferror(filter('Full Perk List'!C$3:C1498,'Full Perk List'!$D$3:$D1498=$D293),"""")"),"#REF!")</f>
        <v>#REF!</v>
      </c>
      <c r="D293" s="2"/>
      <c r="E293" s="2" t="str">
        <f ca="1">IFERROR(__xludf.DUMMYFUNCTION("iferror(filter('Full Perk List'!E$3:E1498,'Full Perk List'!$D$3:$D1498=$D293),"""")"),"#REF!")</f>
        <v>#REF!</v>
      </c>
      <c r="F293" s="2" t="str">
        <f ca="1">IFERROR(__xludf.DUMMYFUNCTION("iferror(filter('Full Perk List'!F$3:F1498,'Full Perk List'!$D$3:$D1498=$D293),"""")"),"#REF!")</f>
        <v>#REF!</v>
      </c>
      <c r="G293" s="2" t="str">
        <f ca="1">IFERROR(__xludf.DUMMYFUNCTION("iferror(filter('Full Perk List'!G$3:G1498,'Full Perk List'!$D$3:$D1498=$D293),"""")"),"#REF!")</f>
        <v>#REF!</v>
      </c>
      <c r="H293" s="1"/>
      <c r="I293" s="2"/>
      <c r="J293" s="2"/>
      <c r="K293" s="2"/>
      <c r="L293" s="2"/>
      <c r="M293" s="2"/>
      <c r="N293" s="2"/>
      <c r="O293" s="2"/>
      <c r="P293" s="2"/>
      <c r="Q293" s="2"/>
      <c r="R293" s="2"/>
      <c r="S293" s="2"/>
      <c r="T293" s="2"/>
      <c r="U293" s="2"/>
      <c r="V293" s="2"/>
      <c r="W293" s="2"/>
      <c r="X293" s="2"/>
      <c r="Y293" s="2"/>
    </row>
    <row r="294" spans="1:25" ht="17.399999999999999" x14ac:dyDescent="0.25">
      <c r="A294" s="1"/>
      <c r="B294" s="40"/>
      <c r="C294" s="2" t="str">
        <f ca="1">IFERROR(__xludf.DUMMYFUNCTION("iferror(filter('Full Perk List'!C$3:C1498,'Full Perk List'!$D$3:$D1498=$D294),"""")"),"#REF!")</f>
        <v>#REF!</v>
      </c>
      <c r="D294" s="2"/>
      <c r="E294" s="2" t="str">
        <f ca="1">IFERROR(__xludf.DUMMYFUNCTION("iferror(filter('Full Perk List'!E$3:E1498,'Full Perk List'!$D$3:$D1498=$D294),"""")"),"#REF!")</f>
        <v>#REF!</v>
      </c>
      <c r="F294" s="2" t="str">
        <f ca="1">IFERROR(__xludf.DUMMYFUNCTION("iferror(filter('Full Perk List'!F$3:F1498,'Full Perk List'!$D$3:$D1498=$D294),"""")"),"#REF!")</f>
        <v>#REF!</v>
      </c>
      <c r="G294" s="2" t="str">
        <f ca="1">IFERROR(__xludf.DUMMYFUNCTION("iferror(filter('Full Perk List'!G$3:G1498,'Full Perk List'!$D$3:$D1498=$D294),"""")"),"#REF!")</f>
        <v>#REF!</v>
      </c>
      <c r="H294" s="1"/>
      <c r="I294" s="2"/>
      <c r="J294" s="2"/>
      <c r="K294" s="2"/>
      <c r="L294" s="2"/>
      <c r="M294" s="2"/>
      <c r="N294" s="2"/>
      <c r="O294" s="2"/>
      <c r="P294" s="2"/>
      <c r="Q294" s="2"/>
      <c r="R294" s="2"/>
      <c r="S294" s="2"/>
      <c r="T294" s="2"/>
      <c r="U294" s="2"/>
      <c r="V294" s="2"/>
      <c r="W294" s="2"/>
      <c r="X294" s="2"/>
      <c r="Y294" s="2"/>
    </row>
    <row r="295" spans="1:25" ht="17.399999999999999" x14ac:dyDescent="0.25">
      <c r="A295" s="1"/>
      <c r="B295" s="40"/>
      <c r="C295" s="2" t="str">
        <f ca="1">IFERROR(__xludf.DUMMYFUNCTION("iferror(filter('Full Perk List'!C$3:C1498,'Full Perk List'!$D$3:$D1498=$D295),"""")"),"#REF!")</f>
        <v>#REF!</v>
      </c>
      <c r="D295" s="2"/>
      <c r="E295" s="2" t="str">
        <f ca="1">IFERROR(__xludf.DUMMYFUNCTION("iferror(filter('Full Perk List'!E$3:E1498,'Full Perk List'!$D$3:$D1498=$D295),"""")"),"#REF!")</f>
        <v>#REF!</v>
      </c>
      <c r="F295" s="2" t="str">
        <f ca="1">IFERROR(__xludf.DUMMYFUNCTION("iferror(filter('Full Perk List'!F$3:F1498,'Full Perk List'!$D$3:$D1498=$D295),"""")"),"#REF!")</f>
        <v>#REF!</v>
      </c>
      <c r="G295" s="2" t="str">
        <f ca="1">IFERROR(__xludf.DUMMYFUNCTION("iferror(filter('Full Perk List'!G$3:G1498,'Full Perk List'!$D$3:$D1498=$D295),"""")"),"#REF!")</f>
        <v>#REF!</v>
      </c>
      <c r="H295" s="1"/>
      <c r="I295" s="2"/>
      <c r="J295" s="2"/>
      <c r="K295" s="2"/>
      <c r="L295" s="2"/>
      <c r="M295" s="2"/>
      <c r="N295" s="2"/>
      <c r="O295" s="2"/>
      <c r="P295" s="2"/>
      <c r="Q295" s="2"/>
      <c r="R295" s="2"/>
      <c r="S295" s="2"/>
      <c r="T295" s="2"/>
      <c r="U295" s="2"/>
      <c r="V295" s="2"/>
      <c r="W295" s="2"/>
      <c r="X295" s="2"/>
      <c r="Y295" s="2"/>
    </row>
    <row r="296" spans="1:25" ht="17.399999999999999" x14ac:dyDescent="0.25">
      <c r="A296" s="1"/>
      <c r="B296" s="40"/>
      <c r="C296" s="2" t="str">
        <f ca="1">IFERROR(__xludf.DUMMYFUNCTION("iferror(filter('Full Perk List'!C$3:C1498,'Full Perk List'!$D$3:$D1498=$D296),"""")"),"#REF!")</f>
        <v>#REF!</v>
      </c>
      <c r="D296" s="2"/>
      <c r="E296" s="2" t="str">
        <f ca="1">IFERROR(__xludf.DUMMYFUNCTION("iferror(filter('Full Perk List'!E$3:E1498,'Full Perk List'!$D$3:$D1498=$D296),"""")"),"#REF!")</f>
        <v>#REF!</v>
      </c>
      <c r="F296" s="2" t="str">
        <f ca="1">IFERROR(__xludf.DUMMYFUNCTION("iferror(filter('Full Perk List'!F$3:F1498,'Full Perk List'!$D$3:$D1498=$D296),"""")"),"#REF!")</f>
        <v>#REF!</v>
      </c>
      <c r="G296" s="2" t="str">
        <f ca="1">IFERROR(__xludf.DUMMYFUNCTION("iferror(filter('Full Perk List'!G$3:G1498,'Full Perk List'!$D$3:$D1498=$D296),"""")"),"#REF!")</f>
        <v>#REF!</v>
      </c>
      <c r="H296" s="1"/>
      <c r="I296" s="2"/>
      <c r="J296" s="2"/>
      <c r="K296" s="2"/>
      <c r="L296" s="2"/>
      <c r="M296" s="2"/>
      <c r="N296" s="2"/>
      <c r="O296" s="2"/>
      <c r="P296" s="2"/>
      <c r="Q296" s="2"/>
      <c r="R296" s="2"/>
      <c r="S296" s="2"/>
      <c r="T296" s="2"/>
      <c r="U296" s="2"/>
      <c r="V296" s="2"/>
      <c r="W296" s="2"/>
      <c r="X296" s="2"/>
      <c r="Y296" s="2"/>
    </row>
    <row r="297" spans="1:25" ht="17.399999999999999" x14ac:dyDescent="0.25">
      <c r="A297" s="1"/>
      <c r="B297" s="40"/>
      <c r="C297" s="2" t="str">
        <f ca="1">IFERROR(__xludf.DUMMYFUNCTION("iferror(filter('Full Perk List'!C$3:C1498,'Full Perk List'!$D$3:$D1498=$D297),"""")"),"#REF!")</f>
        <v>#REF!</v>
      </c>
      <c r="D297" s="2"/>
      <c r="E297" s="2" t="str">
        <f ca="1">IFERROR(__xludf.DUMMYFUNCTION("iferror(filter('Full Perk List'!E$3:E1498,'Full Perk List'!$D$3:$D1498=$D297),"""")"),"#REF!")</f>
        <v>#REF!</v>
      </c>
      <c r="F297" s="2" t="str">
        <f ca="1">IFERROR(__xludf.DUMMYFUNCTION("iferror(filter('Full Perk List'!F$3:F1498,'Full Perk List'!$D$3:$D1498=$D297),"""")"),"#REF!")</f>
        <v>#REF!</v>
      </c>
      <c r="G297" s="2" t="str">
        <f ca="1">IFERROR(__xludf.DUMMYFUNCTION("iferror(filter('Full Perk List'!G$3:G1498,'Full Perk List'!$D$3:$D1498=$D297),"""")"),"#REF!")</f>
        <v>#REF!</v>
      </c>
      <c r="H297" s="1"/>
      <c r="I297" s="2"/>
      <c r="J297" s="2"/>
      <c r="K297" s="2"/>
      <c r="L297" s="2"/>
      <c r="M297" s="2"/>
      <c r="N297" s="2"/>
      <c r="O297" s="2"/>
      <c r="P297" s="2"/>
      <c r="Q297" s="2"/>
      <c r="R297" s="2"/>
      <c r="S297" s="2"/>
      <c r="T297" s="2"/>
      <c r="U297" s="2"/>
      <c r="V297" s="2"/>
      <c r="W297" s="2"/>
      <c r="X297" s="2"/>
      <c r="Y297" s="2"/>
    </row>
    <row r="298" spans="1:25" ht="17.399999999999999" x14ac:dyDescent="0.25">
      <c r="A298" s="1"/>
      <c r="B298" s="40"/>
      <c r="C298" s="2" t="str">
        <f ca="1">IFERROR(__xludf.DUMMYFUNCTION("iferror(filter('Full Perk List'!C$3:C1498,'Full Perk List'!$D$3:$D1498=$D298),"""")"),"#REF!")</f>
        <v>#REF!</v>
      </c>
      <c r="D298" s="2"/>
      <c r="E298" s="2" t="str">
        <f ca="1">IFERROR(__xludf.DUMMYFUNCTION("iferror(filter('Full Perk List'!E$3:E1498,'Full Perk List'!$D$3:$D1498=$D298),"""")"),"#REF!")</f>
        <v>#REF!</v>
      </c>
      <c r="F298" s="2" t="str">
        <f ca="1">IFERROR(__xludf.DUMMYFUNCTION("iferror(filter('Full Perk List'!F$3:F1498,'Full Perk List'!$D$3:$D1498=$D298),"""")"),"#REF!")</f>
        <v>#REF!</v>
      </c>
      <c r="G298" s="2" t="str">
        <f ca="1">IFERROR(__xludf.DUMMYFUNCTION("iferror(filter('Full Perk List'!G$3:G1498,'Full Perk List'!$D$3:$D1498=$D298),"""")"),"#REF!")</f>
        <v>#REF!</v>
      </c>
      <c r="H298" s="1"/>
      <c r="I298" s="2"/>
      <c r="J298" s="2"/>
      <c r="K298" s="2"/>
      <c r="L298" s="2"/>
      <c r="M298" s="2"/>
      <c r="N298" s="2"/>
      <c r="O298" s="2"/>
      <c r="P298" s="2"/>
      <c r="Q298" s="2"/>
      <c r="R298" s="2"/>
      <c r="S298" s="2"/>
      <c r="T298" s="2"/>
      <c r="U298" s="2"/>
      <c r="V298" s="2"/>
      <c r="W298" s="2"/>
      <c r="X298" s="2"/>
      <c r="Y298" s="2"/>
    </row>
    <row r="299" spans="1:25" ht="17.399999999999999" x14ac:dyDescent="0.25">
      <c r="A299" s="1"/>
      <c r="B299" s="40"/>
      <c r="C299" s="2" t="str">
        <f ca="1">IFERROR(__xludf.DUMMYFUNCTION("iferror(filter('Full Perk List'!C$3:C1498,'Full Perk List'!$D$3:$D1498=$D299),"""")"),"#REF!")</f>
        <v>#REF!</v>
      </c>
      <c r="D299" s="2"/>
      <c r="E299" s="2" t="str">
        <f ca="1">IFERROR(__xludf.DUMMYFUNCTION("iferror(filter('Full Perk List'!E$3:E1498,'Full Perk List'!$D$3:$D1498=$D299),"""")"),"#REF!")</f>
        <v>#REF!</v>
      </c>
      <c r="F299" s="2" t="str">
        <f ca="1">IFERROR(__xludf.DUMMYFUNCTION("iferror(filter('Full Perk List'!F$3:F1498,'Full Perk List'!$D$3:$D1498=$D299),"""")"),"#REF!")</f>
        <v>#REF!</v>
      </c>
      <c r="G299" s="2" t="str">
        <f ca="1">IFERROR(__xludf.DUMMYFUNCTION("iferror(filter('Full Perk List'!G$3:G1498,'Full Perk List'!$D$3:$D1498=$D299),"""")"),"#REF!")</f>
        <v>#REF!</v>
      </c>
      <c r="H299" s="1"/>
      <c r="I299" s="2"/>
      <c r="J299" s="2"/>
      <c r="K299" s="2"/>
      <c r="L299" s="2"/>
      <c r="M299" s="2"/>
      <c r="N299" s="2"/>
      <c r="O299" s="2"/>
      <c r="P299" s="2"/>
      <c r="Q299" s="2"/>
      <c r="R299" s="2"/>
      <c r="S299" s="2"/>
      <c r="T299" s="2"/>
      <c r="U299" s="2"/>
      <c r="V299" s="2"/>
      <c r="W299" s="2"/>
      <c r="X299" s="2"/>
      <c r="Y299" s="2"/>
    </row>
    <row r="300" spans="1:25" ht="17.399999999999999" x14ac:dyDescent="0.25">
      <c r="A300" s="1"/>
      <c r="B300" s="40"/>
      <c r="C300" s="2" t="str">
        <f ca="1">IFERROR(__xludf.DUMMYFUNCTION("iferror(filter('Full Perk List'!C$3:C1498,'Full Perk List'!$D$3:$D1498=$D300),"""")"),"#REF!")</f>
        <v>#REF!</v>
      </c>
      <c r="D300" s="2"/>
      <c r="E300" s="2" t="str">
        <f ca="1">IFERROR(__xludf.DUMMYFUNCTION("iferror(filter('Full Perk List'!E$3:E1498,'Full Perk List'!$D$3:$D1498=$D300),"""")"),"#REF!")</f>
        <v>#REF!</v>
      </c>
      <c r="F300" s="2" t="str">
        <f ca="1">IFERROR(__xludf.DUMMYFUNCTION("iferror(filter('Full Perk List'!F$3:F1498,'Full Perk List'!$D$3:$D1498=$D300),"""")"),"#REF!")</f>
        <v>#REF!</v>
      </c>
      <c r="G300" s="2" t="str">
        <f ca="1">IFERROR(__xludf.DUMMYFUNCTION("iferror(filter('Full Perk List'!G$3:G1498,'Full Perk List'!$D$3:$D1498=$D300),"""")"),"#REF!")</f>
        <v>#REF!</v>
      </c>
      <c r="H300" s="1"/>
      <c r="I300" s="2"/>
      <c r="J300" s="2"/>
      <c r="K300" s="2"/>
      <c r="L300" s="2"/>
      <c r="M300" s="2"/>
      <c r="N300" s="2"/>
      <c r="O300" s="2"/>
      <c r="P300" s="2"/>
      <c r="Q300" s="2"/>
      <c r="R300" s="2"/>
      <c r="S300" s="2"/>
      <c r="T300" s="2"/>
      <c r="U300" s="2"/>
      <c r="V300" s="2"/>
      <c r="W300" s="2"/>
      <c r="X300" s="2"/>
      <c r="Y300" s="2"/>
    </row>
    <row r="301" spans="1:25" ht="17.399999999999999" x14ac:dyDescent="0.25">
      <c r="A301" s="1"/>
      <c r="B301" s="40"/>
      <c r="C301" s="2" t="str">
        <f ca="1">IFERROR(__xludf.DUMMYFUNCTION("iferror(filter('Full Perk List'!C$3:C1498,'Full Perk List'!$D$3:$D1498=$D301),"""")"),"#REF!")</f>
        <v>#REF!</v>
      </c>
      <c r="D301" s="2"/>
      <c r="E301" s="2" t="str">
        <f ca="1">IFERROR(__xludf.DUMMYFUNCTION("iferror(filter('Full Perk List'!E$3:E1498,'Full Perk List'!$D$3:$D1498=$D301),"""")"),"#REF!")</f>
        <v>#REF!</v>
      </c>
      <c r="F301" s="2" t="str">
        <f ca="1">IFERROR(__xludf.DUMMYFUNCTION("iferror(filter('Full Perk List'!F$3:F1498,'Full Perk List'!$D$3:$D1498=$D301),"""")"),"#REF!")</f>
        <v>#REF!</v>
      </c>
      <c r="G301" s="2" t="str">
        <f ca="1">IFERROR(__xludf.DUMMYFUNCTION("iferror(filter('Full Perk List'!G$3:G1498,'Full Perk List'!$D$3:$D1498=$D301),"""")"),"#REF!")</f>
        <v>#REF!</v>
      </c>
      <c r="H301" s="1"/>
      <c r="I301" s="2"/>
      <c r="J301" s="2"/>
      <c r="K301" s="2"/>
      <c r="L301" s="2"/>
      <c r="M301" s="2"/>
      <c r="N301" s="2"/>
      <c r="O301" s="2"/>
      <c r="P301" s="2"/>
      <c r="Q301" s="2"/>
      <c r="R301" s="2"/>
      <c r="S301" s="2"/>
      <c r="T301" s="2"/>
      <c r="U301" s="2"/>
      <c r="V301" s="2"/>
      <c r="W301" s="2"/>
      <c r="X301" s="2"/>
      <c r="Y301" s="2"/>
    </row>
    <row r="302" spans="1:25" ht="17.399999999999999" x14ac:dyDescent="0.25">
      <c r="A302" s="1"/>
      <c r="B302" s="40"/>
      <c r="C302" s="2" t="str">
        <f ca="1">IFERROR(__xludf.DUMMYFUNCTION("iferror(filter('Full Perk List'!C$3:C1498,'Full Perk List'!$D$3:$D1498=$D302),"""")"),"#REF!")</f>
        <v>#REF!</v>
      </c>
      <c r="D302" s="2"/>
      <c r="E302" s="2" t="str">
        <f ca="1">IFERROR(__xludf.DUMMYFUNCTION("iferror(filter('Full Perk List'!E$3:E1498,'Full Perk List'!$D$3:$D1498=$D302),"""")"),"#REF!")</f>
        <v>#REF!</v>
      </c>
      <c r="F302" s="2" t="str">
        <f ca="1">IFERROR(__xludf.DUMMYFUNCTION("iferror(filter('Full Perk List'!F$3:F1498,'Full Perk List'!$D$3:$D1498=$D302),"""")"),"#REF!")</f>
        <v>#REF!</v>
      </c>
      <c r="G302" s="2" t="str">
        <f ca="1">IFERROR(__xludf.DUMMYFUNCTION("iferror(filter('Full Perk List'!G$3:G1498,'Full Perk List'!$D$3:$D1498=$D302),"""")"),"#REF!")</f>
        <v>#REF!</v>
      </c>
      <c r="H302" s="1"/>
      <c r="I302" s="2"/>
      <c r="J302" s="2"/>
      <c r="K302" s="2"/>
      <c r="L302" s="2"/>
      <c r="M302" s="2"/>
      <c r="N302" s="2"/>
      <c r="O302" s="2"/>
      <c r="P302" s="2"/>
      <c r="Q302" s="2"/>
      <c r="R302" s="2"/>
      <c r="S302" s="2"/>
      <c r="T302" s="2"/>
      <c r="U302" s="2"/>
      <c r="V302" s="2"/>
      <c r="W302" s="2"/>
      <c r="X302" s="2"/>
      <c r="Y302" s="2"/>
    </row>
    <row r="303" spans="1:25" ht="17.399999999999999" x14ac:dyDescent="0.25">
      <c r="A303" s="1"/>
      <c r="B303" s="40"/>
      <c r="C303" s="2" t="str">
        <f ca="1">IFERROR(__xludf.DUMMYFUNCTION("iferror(filter('Full Perk List'!C$3:C1498,'Full Perk List'!$D$3:$D1498=$D303),"""")"),"#REF!")</f>
        <v>#REF!</v>
      </c>
      <c r="D303" s="2"/>
      <c r="E303" s="2" t="str">
        <f ca="1">IFERROR(__xludf.DUMMYFUNCTION("iferror(filter('Full Perk List'!E$3:E1498,'Full Perk List'!$D$3:$D1498=$D303),"""")"),"#REF!")</f>
        <v>#REF!</v>
      </c>
      <c r="F303" s="2" t="str">
        <f ca="1">IFERROR(__xludf.DUMMYFUNCTION("iferror(filter('Full Perk List'!F$3:F1498,'Full Perk List'!$D$3:$D1498=$D303),"""")"),"#REF!")</f>
        <v>#REF!</v>
      </c>
      <c r="G303" s="2" t="str">
        <f ca="1">IFERROR(__xludf.DUMMYFUNCTION("iferror(filter('Full Perk List'!G$3:G1498,'Full Perk List'!$D$3:$D1498=$D303),"""")"),"#REF!")</f>
        <v>#REF!</v>
      </c>
      <c r="H303" s="1"/>
      <c r="I303" s="2"/>
      <c r="J303" s="2"/>
      <c r="K303" s="2"/>
      <c r="L303" s="2"/>
      <c r="M303" s="2"/>
      <c r="N303" s="2"/>
      <c r="O303" s="2"/>
      <c r="P303" s="2"/>
      <c r="Q303" s="2"/>
      <c r="R303" s="2"/>
      <c r="S303" s="2"/>
      <c r="T303" s="2"/>
      <c r="U303" s="2"/>
      <c r="V303" s="2"/>
      <c r="W303" s="2"/>
      <c r="X303" s="2"/>
      <c r="Y303" s="2"/>
    </row>
    <row r="304" spans="1:25" ht="17.399999999999999" x14ac:dyDescent="0.25">
      <c r="A304" s="1"/>
      <c r="B304" s="40"/>
      <c r="C304" s="2" t="str">
        <f ca="1">IFERROR(__xludf.DUMMYFUNCTION("iferror(filter('Full Perk List'!C$3:C1498,'Full Perk List'!$D$3:$D1498=$D304),"""")"),"#REF!")</f>
        <v>#REF!</v>
      </c>
      <c r="D304" s="2"/>
      <c r="E304" s="2" t="str">
        <f ca="1">IFERROR(__xludf.DUMMYFUNCTION("iferror(filter('Full Perk List'!E$3:E1498,'Full Perk List'!$D$3:$D1498=$D304),"""")"),"#REF!")</f>
        <v>#REF!</v>
      </c>
      <c r="F304" s="2" t="str">
        <f ca="1">IFERROR(__xludf.DUMMYFUNCTION("iferror(filter('Full Perk List'!F$3:F1498,'Full Perk List'!$D$3:$D1498=$D304),"""")"),"#REF!")</f>
        <v>#REF!</v>
      </c>
      <c r="G304" s="2" t="str">
        <f ca="1">IFERROR(__xludf.DUMMYFUNCTION("iferror(filter('Full Perk List'!G$3:G1498,'Full Perk List'!$D$3:$D1498=$D304),"""")"),"#REF!")</f>
        <v>#REF!</v>
      </c>
      <c r="H304" s="1"/>
      <c r="I304" s="2"/>
      <c r="J304" s="2"/>
      <c r="K304" s="2"/>
      <c r="L304" s="2"/>
      <c r="M304" s="2"/>
      <c r="N304" s="2"/>
      <c r="O304" s="2"/>
      <c r="P304" s="2"/>
      <c r="Q304" s="2"/>
      <c r="R304" s="2"/>
      <c r="S304" s="2"/>
      <c r="T304" s="2"/>
      <c r="U304" s="2"/>
      <c r="V304" s="2"/>
      <c r="W304" s="2"/>
      <c r="X304" s="2"/>
      <c r="Y304" s="2"/>
    </row>
    <row r="305" spans="1:25" ht="17.399999999999999" x14ac:dyDescent="0.25">
      <c r="A305" s="1"/>
      <c r="B305" s="40"/>
      <c r="C305" s="2" t="str">
        <f ca="1">IFERROR(__xludf.DUMMYFUNCTION("iferror(filter('Full Perk List'!C$3:C1498,'Full Perk List'!$D$3:$D1498=$D305),"""")"),"#REF!")</f>
        <v>#REF!</v>
      </c>
      <c r="D305" s="2"/>
      <c r="E305" s="2" t="str">
        <f ca="1">IFERROR(__xludf.DUMMYFUNCTION("iferror(filter('Full Perk List'!E$3:E1498,'Full Perk List'!$D$3:$D1498=$D305),"""")"),"#REF!")</f>
        <v>#REF!</v>
      </c>
      <c r="F305" s="2" t="str">
        <f ca="1">IFERROR(__xludf.DUMMYFUNCTION("iferror(filter('Full Perk List'!F$3:F1498,'Full Perk List'!$D$3:$D1498=$D305),"""")"),"#REF!")</f>
        <v>#REF!</v>
      </c>
      <c r="G305" s="2" t="str">
        <f ca="1">IFERROR(__xludf.DUMMYFUNCTION("iferror(filter('Full Perk List'!G$3:G1498,'Full Perk List'!$D$3:$D1498=$D305),"""")"),"#REF!")</f>
        <v>#REF!</v>
      </c>
      <c r="H305" s="1"/>
      <c r="I305" s="2"/>
      <c r="J305" s="2"/>
      <c r="K305" s="2"/>
      <c r="L305" s="2"/>
      <c r="M305" s="2"/>
      <c r="N305" s="2"/>
      <c r="O305" s="2"/>
      <c r="P305" s="2"/>
      <c r="Q305" s="2"/>
      <c r="R305" s="2"/>
      <c r="S305" s="2"/>
      <c r="T305" s="2"/>
      <c r="U305" s="2"/>
      <c r="V305" s="2"/>
      <c r="W305" s="2"/>
      <c r="X305" s="2"/>
      <c r="Y305" s="2"/>
    </row>
    <row r="306" spans="1:25" ht="17.399999999999999" x14ac:dyDescent="0.25">
      <c r="A306" s="1"/>
      <c r="B306" s="40"/>
      <c r="C306" s="2" t="str">
        <f ca="1">IFERROR(__xludf.DUMMYFUNCTION("iferror(filter('Full Perk List'!C$3:C1498,'Full Perk List'!$D$3:$D1498=$D306),"""")"),"#REF!")</f>
        <v>#REF!</v>
      </c>
      <c r="D306" s="2"/>
      <c r="E306" s="2" t="str">
        <f ca="1">IFERROR(__xludf.DUMMYFUNCTION("iferror(filter('Full Perk List'!E$3:E1498,'Full Perk List'!$D$3:$D1498=$D306),"""")"),"#REF!")</f>
        <v>#REF!</v>
      </c>
      <c r="F306" s="2" t="str">
        <f ca="1">IFERROR(__xludf.DUMMYFUNCTION("iferror(filter('Full Perk List'!F$3:F1498,'Full Perk List'!$D$3:$D1498=$D306),"""")"),"#REF!")</f>
        <v>#REF!</v>
      </c>
      <c r="G306" s="2" t="str">
        <f ca="1">IFERROR(__xludf.DUMMYFUNCTION("iferror(filter('Full Perk List'!G$3:G1498,'Full Perk List'!$D$3:$D1498=$D306),"""")"),"#REF!")</f>
        <v>#REF!</v>
      </c>
      <c r="H306" s="1"/>
      <c r="I306" s="2"/>
      <c r="J306" s="2"/>
      <c r="K306" s="2"/>
      <c r="L306" s="2"/>
      <c r="M306" s="2"/>
      <c r="N306" s="2"/>
      <c r="O306" s="2"/>
      <c r="P306" s="2"/>
      <c r="Q306" s="2"/>
      <c r="R306" s="2"/>
      <c r="S306" s="2"/>
      <c r="T306" s="2"/>
      <c r="U306" s="2"/>
      <c r="V306" s="2"/>
      <c r="W306" s="2"/>
      <c r="X306" s="2"/>
      <c r="Y306" s="2"/>
    </row>
    <row r="307" spans="1:25" ht="17.399999999999999" x14ac:dyDescent="0.25">
      <c r="A307" s="1"/>
      <c r="B307" s="40"/>
      <c r="C307" s="2" t="str">
        <f ca="1">IFERROR(__xludf.DUMMYFUNCTION("iferror(filter('Full Perk List'!C$3:C1498,'Full Perk List'!$D$3:$D1498=$D307),"""")"),"#REF!")</f>
        <v>#REF!</v>
      </c>
      <c r="D307" s="2"/>
      <c r="E307" s="2" t="str">
        <f ca="1">IFERROR(__xludf.DUMMYFUNCTION("iferror(filter('Full Perk List'!E$3:E1498,'Full Perk List'!$D$3:$D1498=$D307),"""")"),"#REF!")</f>
        <v>#REF!</v>
      </c>
      <c r="F307" s="2" t="str">
        <f ca="1">IFERROR(__xludf.DUMMYFUNCTION("iferror(filter('Full Perk List'!F$3:F1498,'Full Perk List'!$D$3:$D1498=$D307),"""")"),"#REF!")</f>
        <v>#REF!</v>
      </c>
      <c r="G307" s="2" t="str">
        <f ca="1">IFERROR(__xludf.DUMMYFUNCTION("iferror(filter('Full Perk List'!G$3:G1498,'Full Perk List'!$D$3:$D1498=$D307),"""")"),"#REF!")</f>
        <v>#REF!</v>
      </c>
      <c r="H307" s="1"/>
      <c r="I307" s="2"/>
      <c r="J307" s="2"/>
      <c r="K307" s="2"/>
      <c r="L307" s="2"/>
      <c r="M307" s="2"/>
      <c r="N307" s="2"/>
      <c r="O307" s="2"/>
      <c r="P307" s="2"/>
      <c r="Q307" s="2"/>
      <c r="R307" s="2"/>
      <c r="S307" s="2"/>
      <c r="T307" s="2"/>
      <c r="U307" s="2"/>
      <c r="V307" s="2"/>
      <c r="W307" s="2"/>
      <c r="X307" s="2"/>
      <c r="Y307" s="2"/>
    </row>
    <row r="308" spans="1:25" ht="17.399999999999999" x14ac:dyDescent="0.25">
      <c r="A308" s="1"/>
      <c r="B308" s="40"/>
      <c r="C308" s="2" t="str">
        <f ca="1">IFERROR(__xludf.DUMMYFUNCTION("iferror(filter('Full Perk List'!C$3:C1498,'Full Perk List'!$D$3:$D1498=$D308),"""")"),"#REF!")</f>
        <v>#REF!</v>
      </c>
      <c r="D308" s="2"/>
      <c r="E308" s="2" t="str">
        <f ca="1">IFERROR(__xludf.DUMMYFUNCTION("iferror(filter('Full Perk List'!E$3:E1498,'Full Perk List'!$D$3:$D1498=$D308),"""")"),"#REF!")</f>
        <v>#REF!</v>
      </c>
      <c r="F308" s="2" t="str">
        <f ca="1">IFERROR(__xludf.DUMMYFUNCTION("iferror(filter('Full Perk List'!F$3:F1498,'Full Perk List'!$D$3:$D1498=$D308),"""")"),"#REF!")</f>
        <v>#REF!</v>
      </c>
      <c r="G308" s="2" t="str">
        <f ca="1">IFERROR(__xludf.DUMMYFUNCTION("iferror(filter('Full Perk List'!G$3:G1498,'Full Perk List'!$D$3:$D1498=$D308),"""")"),"#REF!")</f>
        <v>#REF!</v>
      </c>
      <c r="H308" s="1"/>
      <c r="I308" s="2"/>
      <c r="J308" s="2"/>
      <c r="K308" s="2"/>
      <c r="L308" s="2"/>
      <c r="M308" s="2"/>
      <c r="N308" s="2"/>
      <c r="O308" s="2"/>
      <c r="P308" s="2"/>
      <c r="Q308" s="2"/>
      <c r="R308" s="2"/>
      <c r="S308" s="2"/>
      <c r="T308" s="2"/>
      <c r="U308" s="2"/>
      <c r="V308" s="2"/>
      <c r="W308" s="2"/>
      <c r="X308" s="2"/>
      <c r="Y308" s="2"/>
    </row>
    <row r="309" spans="1:25" ht="17.399999999999999" x14ac:dyDescent="0.25">
      <c r="A309" s="1"/>
      <c r="B309" s="40"/>
      <c r="C309" s="2" t="str">
        <f ca="1">IFERROR(__xludf.DUMMYFUNCTION("iferror(filter('Full Perk List'!C$3:C1498,'Full Perk List'!$D$3:$D1498=$D309),"""")"),"#REF!")</f>
        <v>#REF!</v>
      </c>
      <c r="D309" s="2"/>
      <c r="E309" s="2" t="str">
        <f ca="1">IFERROR(__xludf.DUMMYFUNCTION("iferror(filter('Full Perk List'!E$3:E1498,'Full Perk List'!$D$3:$D1498=$D309),"""")"),"#REF!")</f>
        <v>#REF!</v>
      </c>
      <c r="F309" s="2" t="str">
        <f ca="1">IFERROR(__xludf.DUMMYFUNCTION("iferror(filter('Full Perk List'!F$3:F1498,'Full Perk List'!$D$3:$D1498=$D309),"""")"),"#REF!")</f>
        <v>#REF!</v>
      </c>
      <c r="G309" s="2" t="str">
        <f ca="1">IFERROR(__xludf.DUMMYFUNCTION("iferror(filter('Full Perk List'!G$3:G1498,'Full Perk List'!$D$3:$D1498=$D309),"""")"),"#REF!")</f>
        <v>#REF!</v>
      </c>
      <c r="H309" s="1"/>
      <c r="I309" s="2"/>
      <c r="J309" s="2"/>
      <c r="K309" s="2"/>
      <c r="L309" s="2"/>
      <c r="M309" s="2"/>
      <c r="N309" s="2"/>
      <c r="O309" s="2"/>
      <c r="P309" s="2"/>
      <c r="Q309" s="2"/>
      <c r="R309" s="2"/>
      <c r="S309" s="2"/>
      <c r="T309" s="2"/>
      <c r="U309" s="2"/>
      <c r="V309" s="2"/>
      <c r="W309" s="2"/>
      <c r="X309" s="2"/>
      <c r="Y309" s="2"/>
    </row>
    <row r="310" spans="1:25" ht="17.399999999999999" x14ac:dyDescent="0.25">
      <c r="A310" s="1"/>
      <c r="B310" s="40"/>
      <c r="C310" s="2" t="str">
        <f ca="1">IFERROR(__xludf.DUMMYFUNCTION("iferror(filter('Full Perk List'!C$3:C1498,'Full Perk List'!$D$3:$D1498=$D310),"""")"),"#REF!")</f>
        <v>#REF!</v>
      </c>
      <c r="D310" s="2"/>
      <c r="E310" s="2" t="str">
        <f ca="1">IFERROR(__xludf.DUMMYFUNCTION("iferror(filter('Full Perk List'!E$3:E1498,'Full Perk List'!$D$3:$D1498=$D310),"""")"),"#REF!")</f>
        <v>#REF!</v>
      </c>
      <c r="F310" s="2" t="str">
        <f ca="1">IFERROR(__xludf.DUMMYFUNCTION("iferror(filter('Full Perk List'!F$3:F1498,'Full Perk List'!$D$3:$D1498=$D310),"""")"),"#REF!")</f>
        <v>#REF!</v>
      </c>
      <c r="G310" s="2" t="str">
        <f ca="1">IFERROR(__xludf.DUMMYFUNCTION("iferror(filter('Full Perk List'!G$3:G1498,'Full Perk List'!$D$3:$D1498=$D310),"""")"),"#REF!")</f>
        <v>#REF!</v>
      </c>
      <c r="H310" s="1"/>
      <c r="I310" s="2"/>
      <c r="J310" s="2"/>
      <c r="K310" s="2"/>
      <c r="L310" s="2"/>
      <c r="M310" s="2"/>
      <c r="N310" s="2"/>
      <c r="O310" s="2"/>
      <c r="P310" s="2"/>
      <c r="Q310" s="2"/>
      <c r="R310" s="2"/>
      <c r="S310" s="2"/>
      <c r="T310" s="2"/>
      <c r="U310" s="2"/>
      <c r="V310" s="2"/>
      <c r="W310" s="2"/>
      <c r="X310" s="2"/>
      <c r="Y310" s="2"/>
    </row>
    <row r="311" spans="1:25" ht="17.399999999999999" x14ac:dyDescent="0.25">
      <c r="A311" s="1"/>
      <c r="B311" s="40"/>
      <c r="C311" s="2" t="str">
        <f ca="1">IFERROR(__xludf.DUMMYFUNCTION("iferror(filter('Full Perk List'!C$3:C1498,'Full Perk List'!$D$3:$D1498=$D311),"""")"),"#REF!")</f>
        <v>#REF!</v>
      </c>
      <c r="D311" s="2"/>
      <c r="E311" s="2" t="str">
        <f ca="1">IFERROR(__xludf.DUMMYFUNCTION("iferror(filter('Full Perk List'!E$3:E1498,'Full Perk List'!$D$3:$D1498=$D311),"""")"),"#REF!")</f>
        <v>#REF!</v>
      </c>
      <c r="F311" s="2" t="str">
        <f ca="1">IFERROR(__xludf.DUMMYFUNCTION("iferror(filter('Full Perk List'!F$3:F1498,'Full Perk List'!$D$3:$D1498=$D311),"""")"),"#REF!")</f>
        <v>#REF!</v>
      </c>
      <c r="G311" s="2" t="str">
        <f ca="1">IFERROR(__xludf.DUMMYFUNCTION("iferror(filter('Full Perk List'!G$3:G1498,'Full Perk List'!$D$3:$D1498=$D311),"""")"),"#REF!")</f>
        <v>#REF!</v>
      </c>
      <c r="H311" s="1"/>
      <c r="I311" s="2"/>
      <c r="J311" s="2"/>
      <c r="K311" s="2"/>
      <c r="L311" s="2"/>
      <c r="M311" s="2"/>
      <c r="N311" s="2"/>
      <c r="O311" s="2"/>
      <c r="P311" s="2"/>
      <c r="Q311" s="2"/>
      <c r="R311" s="2"/>
      <c r="S311" s="2"/>
      <c r="T311" s="2"/>
      <c r="U311" s="2"/>
      <c r="V311" s="2"/>
      <c r="W311" s="2"/>
      <c r="X311" s="2"/>
      <c r="Y311" s="2"/>
    </row>
    <row r="312" spans="1:25" ht="17.399999999999999" x14ac:dyDescent="0.25">
      <c r="A312" s="1"/>
      <c r="B312" s="40"/>
      <c r="C312" s="2" t="str">
        <f ca="1">IFERROR(__xludf.DUMMYFUNCTION("iferror(filter('Full Perk List'!C$3:C1498,'Full Perk List'!$D$3:$D1498=$D312),"""")"),"#REF!")</f>
        <v>#REF!</v>
      </c>
      <c r="D312" s="2"/>
      <c r="E312" s="2" t="str">
        <f ca="1">IFERROR(__xludf.DUMMYFUNCTION("iferror(filter('Full Perk List'!E$3:E1498,'Full Perk List'!$D$3:$D1498=$D312),"""")"),"#REF!")</f>
        <v>#REF!</v>
      </c>
      <c r="F312" s="2" t="str">
        <f ca="1">IFERROR(__xludf.DUMMYFUNCTION("iferror(filter('Full Perk List'!F$3:F1498,'Full Perk List'!$D$3:$D1498=$D312),"""")"),"#REF!")</f>
        <v>#REF!</v>
      </c>
      <c r="G312" s="2" t="str">
        <f ca="1">IFERROR(__xludf.DUMMYFUNCTION("iferror(filter('Full Perk List'!G$3:G1498,'Full Perk List'!$D$3:$D1498=$D312),"""")"),"#REF!")</f>
        <v>#REF!</v>
      </c>
      <c r="H312" s="1"/>
      <c r="I312" s="2"/>
      <c r="J312" s="2"/>
      <c r="K312" s="2"/>
      <c r="L312" s="2"/>
      <c r="M312" s="2"/>
      <c r="N312" s="2"/>
      <c r="O312" s="2"/>
      <c r="P312" s="2"/>
      <c r="Q312" s="2"/>
      <c r="R312" s="2"/>
      <c r="S312" s="2"/>
      <c r="T312" s="2"/>
      <c r="U312" s="2"/>
      <c r="V312" s="2"/>
      <c r="W312" s="2"/>
      <c r="X312" s="2"/>
      <c r="Y312" s="2"/>
    </row>
    <row r="313" spans="1:25" ht="17.399999999999999" x14ac:dyDescent="0.25">
      <c r="A313" s="1"/>
      <c r="B313" s="40"/>
      <c r="C313" s="2" t="str">
        <f ca="1">IFERROR(__xludf.DUMMYFUNCTION("iferror(filter('Full Perk List'!C$3:C1498,'Full Perk List'!$D$3:$D1498=$D313),"""")"),"#REF!")</f>
        <v>#REF!</v>
      </c>
      <c r="D313" s="2"/>
      <c r="E313" s="2" t="str">
        <f ca="1">IFERROR(__xludf.DUMMYFUNCTION("iferror(filter('Full Perk List'!E$3:E1498,'Full Perk List'!$D$3:$D1498=$D313),"""")"),"#REF!")</f>
        <v>#REF!</v>
      </c>
      <c r="F313" s="2" t="str">
        <f ca="1">IFERROR(__xludf.DUMMYFUNCTION("iferror(filter('Full Perk List'!F$3:F1498,'Full Perk List'!$D$3:$D1498=$D313),"""")"),"#REF!")</f>
        <v>#REF!</v>
      </c>
      <c r="G313" s="2" t="str">
        <f ca="1">IFERROR(__xludf.DUMMYFUNCTION("iferror(filter('Full Perk List'!G$3:G1498,'Full Perk List'!$D$3:$D1498=$D313),"""")"),"#REF!")</f>
        <v>#REF!</v>
      </c>
      <c r="H313" s="1"/>
      <c r="I313" s="2"/>
      <c r="J313" s="2"/>
      <c r="K313" s="2"/>
      <c r="L313" s="2"/>
      <c r="M313" s="2"/>
      <c r="N313" s="2"/>
      <c r="O313" s="2"/>
      <c r="P313" s="2"/>
      <c r="Q313" s="2"/>
      <c r="R313" s="2"/>
      <c r="S313" s="2"/>
      <c r="T313" s="2"/>
      <c r="U313" s="2"/>
      <c r="V313" s="2"/>
      <c r="W313" s="2"/>
      <c r="X313" s="2"/>
      <c r="Y313" s="2"/>
    </row>
    <row r="314" spans="1:25" ht="17.399999999999999" x14ac:dyDescent="0.25">
      <c r="A314" s="1"/>
      <c r="B314" s="40"/>
      <c r="C314" s="2" t="str">
        <f ca="1">IFERROR(__xludf.DUMMYFUNCTION("iferror(filter('Full Perk List'!C$3:C1498,'Full Perk List'!$D$3:$D1498=$D314),"""")"),"#REF!")</f>
        <v>#REF!</v>
      </c>
      <c r="D314" s="2"/>
      <c r="E314" s="2" t="str">
        <f ca="1">IFERROR(__xludf.DUMMYFUNCTION("iferror(filter('Full Perk List'!E$3:E1498,'Full Perk List'!$D$3:$D1498=$D314),"""")"),"#REF!")</f>
        <v>#REF!</v>
      </c>
      <c r="F314" s="2" t="str">
        <f ca="1">IFERROR(__xludf.DUMMYFUNCTION("iferror(filter('Full Perk List'!F$3:F1498,'Full Perk List'!$D$3:$D1498=$D314),"""")"),"#REF!")</f>
        <v>#REF!</v>
      </c>
      <c r="G314" s="2" t="str">
        <f ca="1">IFERROR(__xludf.DUMMYFUNCTION("iferror(filter('Full Perk List'!G$3:G1498,'Full Perk List'!$D$3:$D1498=$D314),"""")"),"#REF!")</f>
        <v>#REF!</v>
      </c>
      <c r="H314" s="1"/>
      <c r="I314" s="2"/>
      <c r="J314" s="2"/>
      <c r="K314" s="2"/>
      <c r="L314" s="2"/>
      <c r="M314" s="2"/>
      <c r="N314" s="2"/>
      <c r="O314" s="2"/>
      <c r="P314" s="2"/>
      <c r="Q314" s="2"/>
      <c r="R314" s="2"/>
      <c r="S314" s="2"/>
      <c r="T314" s="2"/>
      <c r="U314" s="2"/>
      <c r="V314" s="2"/>
      <c r="W314" s="2"/>
      <c r="X314" s="2"/>
      <c r="Y314" s="2"/>
    </row>
    <row r="315" spans="1:25" ht="17.399999999999999" x14ac:dyDescent="0.25">
      <c r="A315" s="1"/>
      <c r="B315" s="40"/>
      <c r="C315" s="2" t="str">
        <f ca="1">IFERROR(__xludf.DUMMYFUNCTION("iferror(filter('Full Perk List'!C$3:C1498,'Full Perk List'!$D$3:$D1498=$D315),"""")"),"#REF!")</f>
        <v>#REF!</v>
      </c>
      <c r="D315" s="2"/>
      <c r="E315" s="2" t="str">
        <f ca="1">IFERROR(__xludf.DUMMYFUNCTION("iferror(filter('Full Perk List'!E$3:E1498,'Full Perk List'!$D$3:$D1498=$D315),"""")"),"#REF!")</f>
        <v>#REF!</v>
      </c>
      <c r="F315" s="2" t="str">
        <f ca="1">IFERROR(__xludf.DUMMYFUNCTION("iferror(filter('Full Perk List'!F$3:F1498,'Full Perk List'!$D$3:$D1498=$D315),"""")"),"#REF!")</f>
        <v>#REF!</v>
      </c>
      <c r="G315" s="2" t="str">
        <f ca="1">IFERROR(__xludf.DUMMYFUNCTION("iferror(filter('Full Perk List'!G$3:G1498,'Full Perk List'!$D$3:$D1498=$D315),"""")"),"#REF!")</f>
        <v>#REF!</v>
      </c>
      <c r="H315" s="1"/>
      <c r="I315" s="2"/>
      <c r="J315" s="2"/>
      <c r="K315" s="2"/>
      <c r="L315" s="2"/>
      <c r="M315" s="2"/>
      <c r="N315" s="2"/>
      <c r="O315" s="2"/>
      <c r="P315" s="2"/>
      <c r="Q315" s="2"/>
      <c r="R315" s="2"/>
      <c r="S315" s="2"/>
      <c r="T315" s="2"/>
      <c r="U315" s="2"/>
      <c r="V315" s="2"/>
      <c r="W315" s="2"/>
      <c r="X315" s="2"/>
      <c r="Y315" s="2"/>
    </row>
    <row r="316" spans="1:25" ht="17.399999999999999" x14ac:dyDescent="0.25">
      <c r="A316" s="1"/>
      <c r="B316" s="40"/>
      <c r="C316" s="2" t="str">
        <f ca="1">IFERROR(__xludf.DUMMYFUNCTION("iferror(filter('Full Perk List'!C$3:C1498,'Full Perk List'!$D$3:$D1498=$D316),"""")"),"#REF!")</f>
        <v>#REF!</v>
      </c>
      <c r="D316" s="2"/>
      <c r="E316" s="2" t="str">
        <f ca="1">IFERROR(__xludf.DUMMYFUNCTION("iferror(filter('Full Perk List'!E$3:E1498,'Full Perk List'!$D$3:$D1498=$D316),"""")"),"#REF!")</f>
        <v>#REF!</v>
      </c>
      <c r="F316" s="2" t="str">
        <f ca="1">IFERROR(__xludf.DUMMYFUNCTION("iferror(filter('Full Perk List'!F$3:F1498,'Full Perk List'!$D$3:$D1498=$D316),"""")"),"#REF!")</f>
        <v>#REF!</v>
      </c>
      <c r="G316" s="2" t="str">
        <f ca="1">IFERROR(__xludf.DUMMYFUNCTION("iferror(filter('Full Perk List'!G$3:G1498,'Full Perk List'!$D$3:$D1498=$D316),"""")"),"#REF!")</f>
        <v>#REF!</v>
      </c>
      <c r="H316" s="1"/>
      <c r="I316" s="2"/>
      <c r="J316" s="2"/>
      <c r="K316" s="2"/>
      <c r="L316" s="2"/>
      <c r="M316" s="2"/>
      <c r="N316" s="2"/>
      <c r="O316" s="2"/>
      <c r="P316" s="2"/>
      <c r="Q316" s="2"/>
      <c r="R316" s="2"/>
      <c r="S316" s="2"/>
      <c r="T316" s="2"/>
      <c r="U316" s="2"/>
      <c r="V316" s="2"/>
      <c r="W316" s="2"/>
      <c r="X316" s="2"/>
      <c r="Y316" s="2"/>
    </row>
    <row r="317" spans="1:25" ht="17.399999999999999" x14ac:dyDescent="0.25">
      <c r="A317" s="1"/>
      <c r="B317" s="40"/>
      <c r="C317" s="2" t="str">
        <f ca="1">IFERROR(__xludf.DUMMYFUNCTION("iferror(filter('Full Perk List'!C$3:C1498,'Full Perk List'!$D$3:$D1498=$D317),"""")"),"#REF!")</f>
        <v>#REF!</v>
      </c>
      <c r="D317" s="2"/>
      <c r="E317" s="2" t="str">
        <f ca="1">IFERROR(__xludf.DUMMYFUNCTION("iferror(filter('Full Perk List'!E$3:E1498,'Full Perk List'!$D$3:$D1498=$D317),"""")"),"#REF!")</f>
        <v>#REF!</v>
      </c>
      <c r="F317" s="2" t="str">
        <f ca="1">IFERROR(__xludf.DUMMYFUNCTION("iferror(filter('Full Perk List'!F$3:F1498,'Full Perk List'!$D$3:$D1498=$D317),"""")"),"#REF!")</f>
        <v>#REF!</v>
      </c>
      <c r="G317" s="2" t="str">
        <f ca="1">IFERROR(__xludf.DUMMYFUNCTION("iferror(filter('Full Perk List'!G$3:G1498,'Full Perk List'!$D$3:$D1498=$D317),"""")"),"#REF!")</f>
        <v>#REF!</v>
      </c>
      <c r="H317" s="1"/>
      <c r="I317" s="2"/>
      <c r="J317" s="2"/>
      <c r="K317" s="2"/>
      <c r="L317" s="2"/>
      <c r="M317" s="2"/>
      <c r="N317" s="2"/>
      <c r="O317" s="2"/>
      <c r="P317" s="2"/>
      <c r="Q317" s="2"/>
      <c r="R317" s="2"/>
      <c r="S317" s="2"/>
      <c r="T317" s="2"/>
      <c r="U317" s="2"/>
      <c r="V317" s="2"/>
      <c r="W317" s="2"/>
      <c r="X317" s="2"/>
      <c r="Y317" s="2"/>
    </row>
    <row r="318" spans="1:25" ht="17.399999999999999" x14ac:dyDescent="0.25">
      <c r="A318" s="1"/>
      <c r="B318" s="40"/>
      <c r="C318" s="2" t="str">
        <f ca="1">IFERROR(__xludf.DUMMYFUNCTION("iferror(filter('Full Perk List'!C$3:C1498,'Full Perk List'!$D$3:$D1498=$D318),"""")"),"#REF!")</f>
        <v>#REF!</v>
      </c>
      <c r="D318" s="2"/>
      <c r="E318" s="2" t="str">
        <f ca="1">IFERROR(__xludf.DUMMYFUNCTION("iferror(filter('Full Perk List'!E$3:E1498,'Full Perk List'!$D$3:$D1498=$D318),"""")"),"#REF!")</f>
        <v>#REF!</v>
      </c>
      <c r="F318" s="2" t="str">
        <f ca="1">IFERROR(__xludf.DUMMYFUNCTION("iferror(filter('Full Perk List'!F$3:F1498,'Full Perk List'!$D$3:$D1498=$D318),"""")"),"#REF!")</f>
        <v>#REF!</v>
      </c>
      <c r="G318" s="2" t="str">
        <f ca="1">IFERROR(__xludf.DUMMYFUNCTION("iferror(filter('Full Perk List'!G$3:G1498,'Full Perk List'!$D$3:$D1498=$D318),"""")"),"#REF!")</f>
        <v>#REF!</v>
      </c>
      <c r="H318" s="1"/>
      <c r="I318" s="2"/>
      <c r="J318" s="2"/>
      <c r="K318" s="2"/>
      <c r="L318" s="2"/>
      <c r="M318" s="2"/>
      <c r="N318" s="2"/>
      <c r="O318" s="2"/>
      <c r="P318" s="2"/>
      <c r="Q318" s="2"/>
      <c r="R318" s="2"/>
      <c r="S318" s="2"/>
      <c r="T318" s="2"/>
      <c r="U318" s="2"/>
      <c r="V318" s="2"/>
      <c r="W318" s="2"/>
      <c r="X318" s="2"/>
      <c r="Y318" s="2"/>
    </row>
    <row r="319" spans="1:25" ht="17.399999999999999" x14ac:dyDescent="0.25">
      <c r="A319" s="1"/>
      <c r="B319" s="40"/>
      <c r="C319" s="2" t="str">
        <f ca="1">IFERROR(__xludf.DUMMYFUNCTION("iferror(filter('Full Perk List'!C$3:C1498,'Full Perk List'!$D$3:$D1498=$D319),"""")"),"#REF!")</f>
        <v>#REF!</v>
      </c>
      <c r="D319" s="2"/>
      <c r="E319" s="2" t="str">
        <f ca="1">IFERROR(__xludf.DUMMYFUNCTION("iferror(filter('Full Perk List'!E$3:E1498,'Full Perk List'!$D$3:$D1498=$D319),"""")"),"#REF!")</f>
        <v>#REF!</v>
      </c>
      <c r="F319" s="2" t="str">
        <f ca="1">IFERROR(__xludf.DUMMYFUNCTION("iferror(filter('Full Perk List'!F$3:F1498,'Full Perk List'!$D$3:$D1498=$D319),"""")"),"#REF!")</f>
        <v>#REF!</v>
      </c>
      <c r="G319" s="2" t="str">
        <f ca="1">IFERROR(__xludf.DUMMYFUNCTION("iferror(filter('Full Perk List'!G$3:G1498,'Full Perk List'!$D$3:$D1498=$D319),"""")"),"#REF!")</f>
        <v>#REF!</v>
      </c>
      <c r="H319" s="1"/>
      <c r="I319" s="2"/>
      <c r="J319" s="2"/>
      <c r="K319" s="2"/>
      <c r="L319" s="2"/>
      <c r="M319" s="2"/>
      <c r="N319" s="2"/>
      <c r="O319" s="2"/>
      <c r="P319" s="2"/>
      <c r="Q319" s="2"/>
      <c r="R319" s="2"/>
      <c r="S319" s="2"/>
      <c r="T319" s="2"/>
      <c r="U319" s="2"/>
      <c r="V319" s="2"/>
      <c r="W319" s="2"/>
      <c r="X319" s="2"/>
      <c r="Y319" s="2"/>
    </row>
    <row r="320" spans="1:25" ht="17.399999999999999" x14ac:dyDescent="0.25">
      <c r="A320" s="1"/>
      <c r="B320" s="40"/>
      <c r="C320" s="2" t="str">
        <f ca="1">IFERROR(__xludf.DUMMYFUNCTION("iferror(filter('Full Perk List'!C$3:C1498,'Full Perk List'!$D$3:$D1498=$D320),"""")"),"#REF!")</f>
        <v>#REF!</v>
      </c>
      <c r="D320" s="2"/>
      <c r="E320" s="2" t="str">
        <f ca="1">IFERROR(__xludf.DUMMYFUNCTION("iferror(filter('Full Perk List'!E$3:E1498,'Full Perk List'!$D$3:$D1498=$D320),"""")"),"#REF!")</f>
        <v>#REF!</v>
      </c>
      <c r="F320" s="2" t="str">
        <f ca="1">IFERROR(__xludf.DUMMYFUNCTION("iferror(filter('Full Perk List'!F$3:F1498,'Full Perk List'!$D$3:$D1498=$D320),"""")"),"#REF!")</f>
        <v>#REF!</v>
      </c>
      <c r="G320" s="2" t="str">
        <f ca="1">IFERROR(__xludf.DUMMYFUNCTION("iferror(filter('Full Perk List'!G$3:G1498,'Full Perk List'!$D$3:$D1498=$D320),"""")"),"#REF!")</f>
        <v>#REF!</v>
      </c>
      <c r="H320" s="1"/>
      <c r="I320" s="2"/>
      <c r="J320" s="2"/>
      <c r="K320" s="2"/>
      <c r="L320" s="2"/>
      <c r="M320" s="2"/>
      <c r="N320" s="2"/>
      <c r="O320" s="2"/>
      <c r="P320" s="2"/>
      <c r="Q320" s="2"/>
      <c r="R320" s="2"/>
      <c r="S320" s="2"/>
      <c r="T320" s="2"/>
      <c r="U320" s="2"/>
      <c r="V320" s="2"/>
      <c r="W320" s="2"/>
      <c r="X320" s="2"/>
      <c r="Y320" s="2"/>
    </row>
    <row r="321" spans="1:25" ht="17.399999999999999" x14ac:dyDescent="0.25">
      <c r="A321" s="1"/>
      <c r="B321" s="40"/>
      <c r="C321" s="2" t="str">
        <f ca="1">IFERROR(__xludf.DUMMYFUNCTION("iferror(filter('Full Perk List'!C$3:C1498,'Full Perk List'!$D$3:$D1498=$D321),"""")"),"#REF!")</f>
        <v>#REF!</v>
      </c>
      <c r="D321" s="2"/>
      <c r="E321" s="2" t="str">
        <f ca="1">IFERROR(__xludf.DUMMYFUNCTION("iferror(filter('Full Perk List'!E$3:E1498,'Full Perk List'!$D$3:$D1498=$D321),"""")"),"#REF!")</f>
        <v>#REF!</v>
      </c>
      <c r="F321" s="2" t="str">
        <f ca="1">IFERROR(__xludf.DUMMYFUNCTION("iferror(filter('Full Perk List'!F$3:F1498,'Full Perk List'!$D$3:$D1498=$D321),"""")"),"#REF!")</f>
        <v>#REF!</v>
      </c>
      <c r="G321" s="2" t="str">
        <f ca="1">IFERROR(__xludf.DUMMYFUNCTION("iferror(filter('Full Perk List'!G$3:G1498,'Full Perk List'!$D$3:$D1498=$D321),"""")"),"#REF!")</f>
        <v>#REF!</v>
      </c>
      <c r="H321" s="1"/>
      <c r="I321" s="2"/>
      <c r="J321" s="2"/>
      <c r="K321" s="2"/>
      <c r="L321" s="2"/>
      <c r="M321" s="2"/>
      <c r="N321" s="2"/>
      <c r="O321" s="2"/>
      <c r="P321" s="2"/>
      <c r="Q321" s="2"/>
      <c r="R321" s="2"/>
      <c r="S321" s="2"/>
      <c r="T321" s="2"/>
      <c r="U321" s="2"/>
      <c r="V321" s="2"/>
      <c r="W321" s="2"/>
      <c r="X321" s="2"/>
      <c r="Y321" s="2"/>
    </row>
    <row r="322" spans="1:25" ht="17.399999999999999" x14ac:dyDescent="0.25">
      <c r="A322" s="1"/>
      <c r="B322" s="40"/>
      <c r="C322" s="2" t="str">
        <f ca="1">IFERROR(__xludf.DUMMYFUNCTION("iferror(filter('Full Perk List'!C$3:C1498,'Full Perk List'!$D$3:$D1498=$D322),"""")"),"#REF!")</f>
        <v>#REF!</v>
      </c>
      <c r="D322" s="2"/>
      <c r="E322" s="2" t="str">
        <f ca="1">IFERROR(__xludf.DUMMYFUNCTION("iferror(filter('Full Perk List'!E$3:E1498,'Full Perk List'!$D$3:$D1498=$D322),"""")"),"#REF!")</f>
        <v>#REF!</v>
      </c>
      <c r="F322" s="2" t="str">
        <f ca="1">IFERROR(__xludf.DUMMYFUNCTION("iferror(filter('Full Perk List'!F$3:F1498,'Full Perk List'!$D$3:$D1498=$D322),"""")"),"#REF!")</f>
        <v>#REF!</v>
      </c>
      <c r="G322" s="2" t="str">
        <f ca="1">IFERROR(__xludf.DUMMYFUNCTION("iferror(filter('Full Perk List'!G$3:G1498,'Full Perk List'!$D$3:$D1498=$D322),"""")"),"#REF!")</f>
        <v>#REF!</v>
      </c>
      <c r="H322" s="1"/>
      <c r="I322" s="2"/>
      <c r="J322" s="2"/>
      <c r="K322" s="2"/>
      <c r="L322" s="2"/>
      <c r="M322" s="2"/>
      <c r="N322" s="2"/>
      <c r="O322" s="2"/>
      <c r="P322" s="2"/>
      <c r="Q322" s="2"/>
      <c r="R322" s="2"/>
      <c r="S322" s="2"/>
      <c r="T322" s="2"/>
      <c r="U322" s="2"/>
      <c r="V322" s="2"/>
      <c r="W322" s="2"/>
      <c r="X322" s="2"/>
      <c r="Y322" s="2"/>
    </row>
    <row r="323" spans="1:25" ht="17.399999999999999" x14ac:dyDescent="0.25">
      <c r="A323" s="1"/>
      <c r="B323" s="40"/>
      <c r="C323" s="2" t="str">
        <f ca="1">IFERROR(__xludf.DUMMYFUNCTION("iferror(filter('Full Perk List'!C$3:C1498,'Full Perk List'!$D$3:$D1498=$D323),"""")"),"#REF!")</f>
        <v>#REF!</v>
      </c>
      <c r="D323" s="2"/>
      <c r="E323" s="2" t="str">
        <f ca="1">IFERROR(__xludf.DUMMYFUNCTION("iferror(filter('Full Perk List'!E$3:E1498,'Full Perk List'!$D$3:$D1498=$D323),"""")"),"#REF!")</f>
        <v>#REF!</v>
      </c>
      <c r="F323" s="2" t="str">
        <f ca="1">IFERROR(__xludf.DUMMYFUNCTION("iferror(filter('Full Perk List'!F$3:F1498,'Full Perk List'!$D$3:$D1498=$D323),"""")"),"#REF!")</f>
        <v>#REF!</v>
      </c>
      <c r="G323" s="2" t="str">
        <f ca="1">IFERROR(__xludf.DUMMYFUNCTION("iferror(filter('Full Perk List'!G$3:G1498,'Full Perk List'!$D$3:$D1498=$D323),"""")"),"#REF!")</f>
        <v>#REF!</v>
      </c>
      <c r="H323" s="1"/>
      <c r="I323" s="2"/>
      <c r="J323" s="2"/>
      <c r="K323" s="2"/>
      <c r="L323" s="2"/>
      <c r="M323" s="2"/>
      <c r="N323" s="2"/>
      <c r="O323" s="2"/>
      <c r="P323" s="2"/>
      <c r="Q323" s="2"/>
      <c r="R323" s="2"/>
      <c r="S323" s="2"/>
      <c r="T323" s="2"/>
      <c r="U323" s="2"/>
      <c r="V323" s="2"/>
      <c r="W323" s="2"/>
      <c r="X323" s="2"/>
      <c r="Y323" s="2"/>
    </row>
    <row r="324" spans="1:25" ht="17.399999999999999" x14ac:dyDescent="0.25">
      <c r="A324" s="1"/>
      <c r="B324" s="40"/>
      <c r="C324" s="2" t="str">
        <f ca="1">IFERROR(__xludf.DUMMYFUNCTION("iferror(filter('Full Perk List'!C$3:C1498,'Full Perk List'!$D$3:$D1498=$D324),"""")"),"#REF!")</f>
        <v>#REF!</v>
      </c>
      <c r="D324" s="2"/>
      <c r="E324" s="2" t="str">
        <f ca="1">IFERROR(__xludf.DUMMYFUNCTION("iferror(filter('Full Perk List'!E$3:E1498,'Full Perk List'!$D$3:$D1498=$D324),"""")"),"#REF!")</f>
        <v>#REF!</v>
      </c>
      <c r="F324" s="2" t="str">
        <f ca="1">IFERROR(__xludf.DUMMYFUNCTION("iferror(filter('Full Perk List'!F$3:F1498,'Full Perk List'!$D$3:$D1498=$D324),"""")"),"#REF!")</f>
        <v>#REF!</v>
      </c>
      <c r="G324" s="2" t="str">
        <f ca="1">IFERROR(__xludf.DUMMYFUNCTION("iferror(filter('Full Perk List'!G$3:G1498,'Full Perk List'!$D$3:$D1498=$D324),"""")"),"#REF!")</f>
        <v>#REF!</v>
      </c>
      <c r="H324" s="1"/>
      <c r="I324" s="2"/>
      <c r="J324" s="2"/>
      <c r="K324" s="2"/>
      <c r="L324" s="2"/>
      <c r="M324" s="2"/>
      <c r="N324" s="2"/>
      <c r="O324" s="2"/>
      <c r="P324" s="2"/>
      <c r="Q324" s="2"/>
      <c r="R324" s="2"/>
      <c r="S324" s="2"/>
      <c r="T324" s="2"/>
      <c r="U324" s="2"/>
      <c r="V324" s="2"/>
      <c r="W324" s="2"/>
      <c r="X324" s="2"/>
      <c r="Y324" s="2"/>
    </row>
    <row r="325" spans="1:25" ht="17.399999999999999" x14ac:dyDescent="0.25">
      <c r="A325" s="1"/>
      <c r="B325" s="40"/>
      <c r="C325" s="2" t="str">
        <f ca="1">IFERROR(__xludf.DUMMYFUNCTION("iferror(filter('Full Perk List'!C$3:C1498,'Full Perk List'!$D$3:$D1498=$D325),"""")"),"#REF!")</f>
        <v>#REF!</v>
      </c>
      <c r="D325" s="2"/>
      <c r="E325" s="2" t="str">
        <f ca="1">IFERROR(__xludf.DUMMYFUNCTION("iferror(filter('Full Perk List'!E$3:E1498,'Full Perk List'!$D$3:$D1498=$D325),"""")"),"#REF!")</f>
        <v>#REF!</v>
      </c>
      <c r="F325" s="2" t="str">
        <f ca="1">IFERROR(__xludf.DUMMYFUNCTION("iferror(filter('Full Perk List'!F$3:F1498,'Full Perk List'!$D$3:$D1498=$D325),"""")"),"#REF!")</f>
        <v>#REF!</v>
      </c>
      <c r="G325" s="2" t="str">
        <f ca="1">IFERROR(__xludf.DUMMYFUNCTION("iferror(filter('Full Perk List'!G$3:G1498,'Full Perk List'!$D$3:$D1498=$D325),"""")"),"#REF!")</f>
        <v>#REF!</v>
      </c>
      <c r="H325" s="1"/>
      <c r="I325" s="2"/>
      <c r="J325" s="2"/>
      <c r="K325" s="2"/>
      <c r="L325" s="2"/>
      <c r="M325" s="2"/>
      <c r="N325" s="2"/>
      <c r="O325" s="2"/>
      <c r="P325" s="2"/>
      <c r="Q325" s="2"/>
      <c r="R325" s="2"/>
      <c r="S325" s="2"/>
      <c r="T325" s="2"/>
      <c r="U325" s="2"/>
      <c r="V325" s="2"/>
      <c r="W325" s="2"/>
      <c r="X325" s="2"/>
      <c r="Y325" s="2"/>
    </row>
    <row r="326" spans="1:25" ht="17.399999999999999" x14ac:dyDescent="0.25">
      <c r="A326" s="1"/>
      <c r="B326" s="40"/>
      <c r="C326" s="2" t="str">
        <f ca="1">IFERROR(__xludf.DUMMYFUNCTION("iferror(filter('Full Perk List'!C$3:C1498,'Full Perk List'!$D$3:$D1498=$D326),"""")"),"#REF!")</f>
        <v>#REF!</v>
      </c>
      <c r="D326" s="2"/>
      <c r="E326" s="2" t="str">
        <f ca="1">IFERROR(__xludf.DUMMYFUNCTION("iferror(filter('Full Perk List'!E$3:E1498,'Full Perk List'!$D$3:$D1498=$D326),"""")"),"#REF!")</f>
        <v>#REF!</v>
      </c>
      <c r="F326" s="2" t="str">
        <f ca="1">IFERROR(__xludf.DUMMYFUNCTION("iferror(filter('Full Perk List'!F$3:F1498,'Full Perk List'!$D$3:$D1498=$D326),"""")"),"#REF!")</f>
        <v>#REF!</v>
      </c>
      <c r="G326" s="2" t="str">
        <f ca="1">IFERROR(__xludf.DUMMYFUNCTION("iferror(filter('Full Perk List'!G$3:G1498,'Full Perk List'!$D$3:$D1498=$D326),"""")"),"#REF!")</f>
        <v>#REF!</v>
      </c>
      <c r="H326" s="1"/>
      <c r="I326" s="2"/>
      <c r="J326" s="2"/>
      <c r="K326" s="2"/>
      <c r="L326" s="2"/>
      <c r="M326" s="2"/>
      <c r="N326" s="2"/>
      <c r="O326" s="2"/>
      <c r="P326" s="2"/>
      <c r="Q326" s="2"/>
      <c r="R326" s="2"/>
      <c r="S326" s="2"/>
      <c r="T326" s="2"/>
      <c r="U326" s="2"/>
      <c r="V326" s="2"/>
      <c r="W326" s="2"/>
      <c r="X326" s="2"/>
      <c r="Y326" s="2"/>
    </row>
    <row r="327" spans="1:25" ht="17.399999999999999" x14ac:dyDescent="0.25">
      <c r="A327" s="1"/>
      <c r="B327" s="40"/>
      <c r="C327" s="2" t="str">
        <f ca="1">IFERROR(__xludf.DUMMYFUNCTION("iferror(filter('Full Perk List'!C$3:C1498,'Full Perk List'!$D$3:$D1498=$D327),"""")"),"#REF!")</f>
        <v>#REF!</v>
      </c>
      <c r="D327" s="2"/>
      <c r="E327" s="2" t="str">
        <f ca="1">IFERROR(__xludf.DUMMYFUNCTION("iferror(filter('Full Perk List'!E$3:E1498,'Full Perk List'!$D$3:$D1498=$D327),"""")"),"#REF!")</f>
        <v>#REF!</v>
      </c>
      <c r="F327" s="2" t="str">
        <f ca="1">IFERROR(__xludf.DUMMYFUNCTION("iferror(filter('Full Perk List'!F$3:F1498,'Full Perk List'!$D$3:$D1498=$D327),"""")"),"#REF!")</f>
        <v>#REF!</v>
      </c>
      <c r="G327" s="2" t="str">
        <f ca="1">IFERROR(__xludf.DUMMYFUNCTION("iferror(filter('Full Perk List'!G$3:G1498,'Full Perk List'!$D$3:$D1498=$D327),"""")"),"#REF!")</f>
        <v>#REF!</v>
      </c>
      <c r="H327" s="1"/>
      <c r="I327" s="2"/>
      <c r="J327" s="2"/>
      <c r="K327" s="2"/>
      <c r="L327" s="2"/>
      <c r="M327" s="2"/>
      <c r="N327" s="2"/>
      <c r="O327" s="2"/>
      <c r="P327" s="2"/>
      <c r="Q327" s="2"/>
      <c r="R327" s="2"/>
      <c r="S327" s="2"/>
      <c r="T327" s="2"/>
      <c r="U327" s="2"/>
      <c r="V327" s="2"/>
      <c r="W327" s="2"/>
      <c r="X327" s="2"/>
      <c r="Y327" s="2"/>
    </row>
    <row r="328" spans="1:25" ht="17.399999999999999" x14ac:dyDescent="0.25">
      <c r="A328" s="1"/>
      <c r="B328" s="40"/>
      <c r="C328" s="2" t="str">
        <f ca="1">IFERROR(__xludf.DUMMYFUNCTION("iferror(filter('Full Perk List'!C$3:C1498,'Full Perk List'!$D$3:$D1498=$D328),"""")"),"#REF!")</f>
        <v>#REF!</v>
      </c>
      <c r="D328" s="2"/>
      <c r="E328" s="2" t="str">
        <f ca="1">IFERROR(__xludf.DUMMYFUNCTION("iferror(filter('Full Perk List'!E$3:E1498,'Full Perk List'!$D$3:$D1498=$D328),"""")"),"#REF!")</f>
        <v>#REF!</v>
      </c>
      <c r="F328" s="2" t="str">
        <f ca="1">IFERROR(__xludf.DUMMYFUNCTION("iferror(filter('Full Perk List'!F$3:F1498,'Full Perk List'!$D$3:$D1498=$D328),"""")"),"#REF!")</f>
        <v>#REF!</v>
      </c>
      <c r="G328" s="2" t="str">
        <f ca="1">IFERROR(__xludf.DUMMYFUNCTION("iferror(filter('Full Perk List'!G$3:G1498,'Full Perk List'!$D$3:$D1498=$D328),"""")"),"#REF!")</f>
        <v>#REF!</v>
      </c>
      <c r="H328" s="1"/>
      <c r="I328" s="2"/>
      <c r="J328" s="2"/>
      <c r="K328" s="2"/>
      <c r="L328" s="2"/>
      <c r="M328" s="2"/>
      <c r="N328" s="2"/>
      <c r="O328" s="2"/>
      <c r="P328" s="2"/>
      <c r="Q328" s="2"/>
      <c r="R328" s="2"/>
      <c r="S328" s="2"/>
      <c r="T328" s="2"/>
      <c r="U328" s="2"/>
      <c r="V328" s="2"/>
      <c r="W328" s="2"/>
      <c r="X328" s="2"/>
      <c r="Y328" s="2"/>
    </row>
    <row r="329" spans="1:25" ht="17.399999999999999" x14ac:dyDescent="0.25">
      <c r="A329" s="1"/>
      <c r="B329" s="40"/>
      <c r="C329" s="2" t="str">
        <f ca="1">IFERROR(__xludf.DUMMYFUNCTION("iferror(filter('Full Perk List'!C$3:C1498,'Full Perk List'!$D$3:$D1498=$D329),"""")"),"#REF!")</f>
        <v>#REF!</v>
      </c>
      <c r="D329" s="2"/>
      <c r="E329" s="2" t="str">
        <f ca="1">IFERROR(__xludf.DUMMYFUNCTION("iferror(filter('Full Perk List'!E$3:E1498,'Full Perk List'!$D$3:$D1498=$D329),"""")"),"#REF!")</f>
        <v>#REF!</v>
      </c>
      <c r="F329" s="2" t="str">
        <f ca="1">IFERROR(__xludf.DUMMYFUNCTION("iferror(filter('Full Perk List'!F$3:F1498,'Full Perk List'!$D$3:$D1498=$D329),"""")"),"#REF!")</f>
        <v>#REF!</v>
      </c>
      <c r="G329" s="2" t="str">
        <f ca="1">IFERROR(__xludf.DUMMYFUNCTION("iferror(filter('Full Perk List'!G$3:G1498,'Full Perk List'!$D$3:$D1498=$D329),"""")"),"#REF!")</f>
        <v>#REF!</v>
      </c>
      <c r="H329" s="1"/>
      <c r="I329" s="2"/>
      <c r="J329" s="2"/>
      <c r="K329" s="2"/>
      <c r="L329" s="2"/>
      <c r="M329" s="2"/>
      <c r="N329" s="2"/>
      <c r="O329" s="2"/>
      <c r="P329" s="2"/>
      <c r="Q329" s="2"/>
      <c r="R329" s="2"/>
      <c r="S329" s="2"/>
      <c r="T329" s="2"/>
      <c r="U329" s="2"/>
      <c r="V329" s="2"/>
      <c r="W329" s="2"/>
      <c r="X329" s="2"/>
      <c r="Y329" s="2"/>
    </row>
    <row r="330" spans="1:25" ht="17.399999999999999" x14ac:dyDescent="0.25">
      <c r="A330" s="1"/>
      <c r="B330" s="40"/>
      <c r="C330" s="2" t="str">
        <f ca="1">IFERROR(__xludf.DUMMYFUNCTION("iferror(filter('Full Perk List'!C$3:C1498,'Full Perk List'!$D$3:$D1498=$D330),"""")"),"#REF!")</f>
        <v>#REF!</v>
      </c>
      <c r="D330" s="2"/>
      <c r="E330" s="2" t="str">
        <f ca="1">IFERROR(__xludf.DUMMYFUNCTION("iferror(filter('Full Perk List'!E$3:E1498,'Full Perk List'!$D$3:$D1498=$D330),"""")"),"#REF!")</f>
        <v>#REF!</v>
      </c>
      <c r="F330" s="2" t="str">
        <f ca="1">IFERROR(__xludf.DUMMYFUNCTION("iferror(filter('Full Perk List'!F$3:F1498,'Full Perk List'!$D$3:$D1498=$D330),"""")"),"#REF!")</f>
        <v>#REF!</v>
      </c>
      <c r="G330" s="2" t="str">
        <f ca="1">IFERROR(__xludf.DUMMYFUNCTION("iferror(filter('Full Perk List'!G$3:G1498,'Full Perk List'!$D$3:$D1498=$D330),"""")"),"#REF!")</f>
        <v>#REF!</v>
      </c>
      <c r="H330" s="1"/>
      <c r="I330" s="2"/>
      <c r="J330" s="2"/>
      <c r="K330" s="2"/>
      <c r="L330" s="2"/>
      <c r="M330" s="2"/>
      <c r="N330" s="2"/>
      <c r="O330" s="2"/>
      <c r="P330" s="2"/>
      <c r="Q330" s="2"/>
      <c r="R330" s="2"/>
      <c r="S330" s="2"/>
      <c r="T330" s="2"/>
      <c r="U330" s="2"/>
      <c r="V330" s="2"/>
      <c r="W330" s="2"/>
      <c r="X330" s="2"/>
      <c r="Y330" s="2"/>
    </row>
    <row r="331" spans="1:25" ht="17.399999999999999" x14ac:dyDescent="0.25">
      <c r="A331" s="1"/>
      <c r="B331" s="40"/>
      <c r="C331" s="2" t="str">
        <f ca="1">IFERROR(__xludf.DUMMYFUNCTION("iferror(filter('Full Perk List'!C$3:C1498,'Full Perk List'!$D$3:$D1498=$D331),"""")"),"#REF!")</f>
        <v>#REF!</v>
      </c>
      <c r="D331" s="2"/>
      <c r="E331" s="2" t="str">
        <f ca="1">IFERROR(__xludf.DUMMYFUNCTION("iferror(filter('Full Perk List'!E$3:E1498,'Full Perk List'!$D$3:$D1498=$D331),"""")"),"#REF!")</f>
        <v>#REF!</v>
      </c>
      <c r="F331" s="2" t="str">
        <f ca="1">IFERROR(__xludf.DUMMYFUNCTION("iferror(filter('Full Perk List'!F$3:F1498,'Full Perk List'!$D$3:$D1498=$D331),"""")"),"#REF!")</f>
        <v>#REF!</v>
      </c>
      <c r="G331" s="2" t="str">
        <f ca="1">IFERROR(__xludf.DUMMYFUNCTION("iferror(filter('Full Perk List'!G$3:G1498,'Full Perk List'!$D$3:$D1498=$D331),"""")"),"#REF!")</f>
        <v>#REF!</v>
      </c>
      <c r="H331" s="1"/>
      <c r="I331" s="2"/>
      <c r="J331" s="2"/>
      <c r="K331" s="2"/>
      <c r="L331" s="2"/>
      <c r="M331" s="2"/>
      <c r="N331" s="2"/>
      <c r="O331" s="2"/>
      <c r="P331" s="2"/>
      <c r="Q331" s="2"/>
      <c r="R331" s="2"/>
      <c r="S331" s="2"/>
      <c r="T331" s="2"/>
      <c r="U331" s="2"/>
      <c r="V331" s="2"/>
      <c r="W331" s="2"/>
      <c r="X331" s="2"/>
      <c r="Y331" s="2"/>
    </row>
    <row r="332" spans="1:25" ht="17.399999999999999" x14ac:dyDescent="0.25">
      <c r="A332" s="1"/>
      <c r="B332" s="40"/>
      <c r="C332" s="2" t="str">
        <f ca="1">IFERROR(__xludf.DUMMYFUNCTION("iferror(filter('Full Perk List'!C$3:C1498,'Full Perk List'!$D$3:$D1498=$D332),"""")"),"#REF!")</f>
        <v>#REF!</v>
      </c>
      <c r="D332" s="2"/>
      <c r="E332" s="2" t="str">
        <f ca="1">IFERROR(__xludf.DUMMYFUNCTION("iferror(filter('Full Perk List'!E$3:E1498,'Full Perk List'!$D$3:$D1498=$D332),"""")"),"#REF!")</f>
        <v>#REF!</v>
      </c>
      <c r="F332" s="2" t="str">
        <f ca="1">IFERROR(__xludf.DUMMYFUNCTION("iferror(filter('Full Perk List'!F$3:F1498,'Full Perk List'!$D$3:$D1498=$D332),"""")"),"#REF!")</f>
        <v>#REF!</v>
      </c>
      <c r="G332" s="2" t="str">
        <f ca="1">IFERROR(__xludf.DUMMYFUNCTION("iferror(filter('Full Perk List'!G$3:G1498,'Full Perk List'!$D$3:$D1498=$D332),"""")"),"#REF!")</f>
        <v>#REF!</v>
      </c>
      <c r="H332" s="1"/>
      <c r="I332" s="2"/>
      <c r="J332" s="2"/>
      <c r="K332" s="2"/>
      <c r="L332" s="2"/>
      <c r="M332" s="2"/>
      <c r="N332" s="2"/>
      <c r="O332" s="2"/>
      <c r="P332" s="2"/>
      <c r="Q332" s="2"/>
      <c r="R332" s="2"/>
      <c r="S332" s="2"/>
      <c r="T332" s="2"/>
      <c r="U332" s="2"/>
      <c r="V332" s="2"/>
      <c r="W332" s="2"/>
      <c r="X332" s="2"/>
      <c r="Y332" s="2"/>
    </row>
    <row r="333" spans="1:25" ht="17.399999999999999" x14ac:dyDescent="0.25">
      <c r="A333" s="1"/>
      <c r="B333" s="40"/>
      <c r="C333" s="2" t="str">
        <f ca="1">IFERROR(__xludf.DUMMYFUNCTION("iferror(filter('Full Perk List'!C$3:C1498,'Full Perk List'!$D$3:$D1498=$D333),"""")"),"#REF!")</f>
        <v>#REF!</v>
      </c>
      <c r="D333" s="2"/>
      <c r="E333" s="2" t="str">
        <f ca="1">IFERROR(__xludf.DUMMYFUNCTION("iferror(filter('Full Perk List'!E$3:E1498,'Full Perk List'!$D$3:$D1498=$D333),"""")"),"#REF!")</f>
        <v>#REF!</v>
      </c>
      <c r="F333" s="2" t="str">
        <f ca="1">IFERROR(__xludf.DUMMYFUNCTION("iferror(filter('Full Perk List'!F$3:F1498,'Full Perk List'!$D$3:$D1498=$D333),"""")"),"#REF!")</f>
        <v>#REF!</v>
      </c>
      <c r="G333" s="2" t="str">
        <f ca="1">IFERROR(__xludf.DUMMYFUNCTION("iferror(filter('Full Perk List'!G$3:G1498,'Full Perk List'!$D$3:$D1498=$D333),"""")"),"#REF!")</f>
        <v>#REF!</v>
      </c>
      <c r="H333" s="1"/>
      <c r="I333" s="2"/>
      <c r="J333" s="2"/>
      <c r="K333" s="2"/>
      <c r="L333" s="2"/>
      <c r="M333" s="2"/>
      <c r="N333" s="2"/>
      <c r="O333" s="2"/>
      <c r="P333" s="2"/>
      <c r="Q333" s="2"/>
      <c r="R333" s="2"/>
      <c r="S333" s="2"/>
      <c r="T333" s="2"/>
      <c r="U333" s="2"/>
      <c r="V333" s="2"/>
      <c r="W333" s="2"/>
      <c r="X333" s="2"/>
      <c r="Y333" s="2"/>
    </row>
    <row r="334" spans="1:25" ht="17.399999999999999" x14ac:dyDescent="0.25">
      <c r="A334" s="1"/>
      <c r="B334" s="40"/>
      <c r="C334" s="2" t="str">
        <f ca="1">IFERROR(__xludf.DUMMYFUNCTION("iferror(filter('Full Perk List'!C$3:C1498,'Full Perk List'!$D$3:$D1498=$D334),"""")"),"#REF!")</f>
        <v>#REF!</v>
      </c>
      <c r="D334" s="2"/>
      <c r="E334" s="2" t="str">
        <f ca="1">IFERROR(__xludf.DUMMYFUNCTION("iferror(filter('Full Perk List'!E$3:E1498,'Full Perk List'!$D$3:$D1498=$D334),"""")"),"#REF!")</f>
        <v>#REF!</v>
      </c>
      <c r="F334" s="2" t="str">
        <f ca="1">IFERROR(__xludf.DUMMYFUNCTION("iferror(filter('Full Perk List'!F$3:F1498,'Full Perk List'!$D$3:$D1498=$D334),"""")"),"#REF!")</f>
        <v>#REF!</v>
      </c>
      <c r="G334" s="2" t="str">
        <f ca="1">IFERROR(__xludf.DUMMYFUNCTION("iferror(filter('Full Perk List'!G$3:G1498,'Full Perk List'!$D$3:$D1498=$D334),"""")"),"#REF!")</f>
        <v>#REF!</v>
      </c>
      <c r="H334" s="1"/>
      <c r="I334" s="2"/>
      <c r="J334" s="2"/>
      <c r="K334" s="2"/>
      <c r="L334" s="2"/>
      <c r="M334" s="2"/>
      <c r="N334" s="2"/>
      <c r="O334" s="2"/>
      <c r="P334" s="2"/>
      <c r="Q334" s="2"/>
      <c r="R334" s="2"/>
      <c r="S334" s="2"/>
      <c r="T334" s="2"/>
      <c r="U334" s="2"/>
      <c r="V334" s="2"/>
      <c r="W334" s="2"/>
      <c r="X334" s="2"/>
      <c r="Y334" s="2"/>
    </row>
    <row r="335" spans="1:25" ht="17.399999999999999" x14ac:dyDescent="0.25">
      <c r="A335" s="1"/>
      <c r="B335" s="40"/>
      <c r="C335" s="2" t="str">
        <f ca="1">IFERROR(__xludf.DUMMYFUNCTION("iferror(filter('Full Perk List'!C$3:C1498,'Full Perk List'!$D$3:$D1498=$D335),"""")"),"#REF!")</f>
        <v>#REF!</v>
      </c>
      <c r="D335" s="2"/>
      <c r="E335" s="2" t="str">
        <f ca="1">IFERROR(__xludf.DUMMYFUNCTION("iferror(filter('Full Perk List'!E$3:E1498,'Full Perk List'!$D$3:$D1498=$D335),"""")"),"#REF!")</f>
        <v>#REF!</v>
      </c>
      <c r="F335" s="2" t="str">
        <f ca="1">IFERROR(__xludf.DUMMYFUNCTION("iferror(filter('Full Perk List'!F$3:F1498,'Full Perk List'!$D$3:$D1498=$D335),"""")"),"#REF!")</f>
        <v>#REF!</v>
      </c>
      <c r="G335" s="2" t="str">
        <f ca="1">IFERROR(__xludf.DUMMYFUNCTION("iferror(filter('Full Perk List'!G$3:G1498,'Full Perk List'!$D$3:$D1498=$D335),"""")"),"#REF!")</f>
        <v>#REF!</v>
      </c>
      <c r="H335" s="1"/>
      <c r="I335" s="2"/>
      <c r="J335" s="2"/>
      <c r="K335" s="2"/>
      <c r="L335" s="2"/>
      <c r="M335" s="2"/>
      <c r="N335" s="2"/>
      <c r="O335" s="2"/>
      <c r="P335" s="2"/>
      <c r="Q335" s="2"/>
      <c r="R335" s="2"/>
      <c r="S335" s="2"/>
      <c r="T335" s="2"/>
      <c r="U335" s="2"/>
      <c r="V335" s="2"/>
      <c r="W335" s="2"/>
      <c r="X335" s="2"/>
      <c r="Y335" s="2"/>
    </row>
    <row r="336" spans="1:25" ht="17.399999999999999" x14ac:dyDescent="0.25">
      <c r="A336" s="1"/>
      <c r="B336" s="40"/>
      <c r="C336" s="2" t="str">
        <f ca="1">IFERROR(__xludf.DUMMYFUNCTION("iferror(filter('Full Perk List'!C$3:C1498,'Full Perk List'!$D$3:$D1498=$D336),"""")"),"#REF!")</f>
        <v>#REF!</v>
      </c>
      <c r="D336" s="2"/>
      <c r="E336" s="2" t="str">
        <f ca="1">IFERROR(__xludf.DUMMYFUNCTION("iferror(filter('Full Perk List'!E$3:E1498,'Full Perk List'!$D$3:$D1498=$D336),"""")"),"#REF!")</f>
        <v>#REF!</v>
      </c>
      <c r="F336" s="2" t="str">
        <f ca="1">IFERROR(__xludf.DUMMYFUNCTION("iferror(filter('Full Perk List'!F$3:F1498,'Full Perk List'!$D$3:$D1498=$D336),"""")"),"#REF!")</f>
        <v>#REF!</v>
      </c>
      <c r="G336" s="2" t="str">
        <f ca="1">IFERROR(__xludf.DUMMYFUNCTION("iferror(filter('Full Perk List'!G$3:G1498,'Full Perk List'!$D$3:$D1498=$D336),"""")"),"#REF!")</f>
        <v>#REF!</v>
      </c>
      <c r="H336" s="1"/>
      <c r="I336" s="2"/>
      <c r="J336" s="2"/>
      <c r="K336" s="2"/>
      <c r="L336" s="2"/>
      <c r="M336" s="2"/>
      <c r="N336" s="2"/>
      <c r="O336" s="2"/>
      <c r="P336" s="2"/>
      <c r="Q336" s="2"/>
      <c r="R336" s="2"/>
      <c r="S336" s="2"/>
      <c r="T336" s="2"/>
      <c r="U336" s="2"/>
      <c r="V336" s="2"/>
      <c r="W336" s="2"/>
      <c r="X336" s="2"/>
      <c r="Y336" s="2"/>
    </row>
    <row r="337" spans="1:25" ht="17.399999999999999" x14ac:dyDescent="0.25">
      <c r="A337" s="1"/>
      <c r="B337" s="40"/>
      <c r="C337" s="2" t="str">
        <f ca="1">IFERROR(__xludf.DUMMYFUNCTION("iferror(filter('Full Perk List'!C$3:C1498,'Full Perk List'!$D$3:$D1498=$D337),"""")"),"#REF!")</f>
        <v>#REF!</v>
      </c>
      <c r="D337" s="2"/>
      <c r="E337" s="2" t="str">
        <f ca="1">IFERROR(__xludf.DUMMYFUNCTION("iferror(filter('Full Perk List'!E$3:E1498,'Full Perk List'!$D$3:$D1498=$D337),"""")"),"#REF!")</f>
        <v>#REF!</v>
      </c>
      <c r="F337" s="2" t="str">
        <f ca="1">IFERROR(__xludf.DUMMYFUNCTION("iferror(filter('Full Perk List'!F$3:F1498,'Full Perk List'!$D$3:$D1498=$D337),"""")"),"#REF!")</f>
        <v>#REF!</v>
      </c>
      <c r="G337" s="2" t="str">
        <f ca="1">IFERROR(__xludf.DUMMYFUNCTION("iferror(filter('Full Perk List'!G$3:G1498,'Full Perk List'!$D$3:$D1498=$D337),"""")"),"#REF!")</f>
        <v>#REF!</v>
      </c>
      <c r="H337" s="1"/>
      <c r="I337" s="2"/>
      <c r="J337" s="2"/>
      <c r="K337" s="2"/>
      <c r="L337" s="2"/>
      <c r="M337" s="2"/>
      <c r="N337" s="2"/>
      <c r="O337" s="2"/>
      <c r="P337" s="2"/>
      <c r="Q337" s="2"/>
      <c r="R337" s="2"/>
      <c r="S337" s="2"/>
      <c r="T337" s="2"/>
      <c r="U337" s="2"/>
      <c r="V337" s="2"/>
      <c r="W337" s="2"/>
      <c r="X337" s="2"/>
      <c r="Y337" s="2"/>
    </row>
    <row r="338" spans="1:25" ht="17.399999999999999" x14ac:dyDescent="0.25">
      <c r="A338" s="1"/>
      <c r="B338" s="40"/>
      <c r="C338" s="2" t="str">
        <f ca="1">IFERROR(__xludf.DUMMYFUNCTION("iferror(filter('Full Perk List'!C$3:C1498,'Full Perk List'!$D$3:$D1498=$D338),"""")"),"#REF!")</f>
        <v>#REF!</v>
      </c>
      <c r="D338" s="2"/>
      <c r="E338" s="2" t="str">
        <f ca="1">IFERROR(__xludf.DUMMYFUNCTION("iferror(filter('Full Perk List'!E$3:E1498,'Full Perk List'!$D$3:$D1498=$D338),"""")"),"#REF!")</f>
        <v>#REF!</v>
      </c>
      <c r="F338" s="2" t="str">
        <f ca="1">IFERROR(__xludf.DUMMYFUNCTION("iferror(filter('Full Perk List'!F$3:F1498,'Full Perk List'!$D$3:$D1498=$D338),"""")"),"#REF!")</f>
        <v>#REF!</v>
      </c>
      <c r="G338" s="2" t="str">
        <f ca="1">IFERROR(__xludf.DUMMYFUNCTION("iferror(filter('Full Perk List'!G$3:G1498,'Full Perk List'!$D$3:$D1498=$D338),"""")"),"#REF!")</f>
        <v>#REF!</v>
      </c>
      <c r="H338" s="1"/>
      <c r="I338" s="2"/>
      <c r="J338" s="2"/>
      <c r="K338" s="2"/>
      <c r="L338" s="2"/>
      <c r="M338" s="2"/>
      <c r="N338" s="2"/>
      <c r="O338" s="2"/>
      <c r="P338" s="2"/>
      <c r="Q338" s="2"/>
      <c r="R338" s="2"/>
      <c r="S338" s="2"/>
      <c r="T338" s="2"/>
      <c r="U338" s="2"/>
      <c r="V338" s="2"/>
      <c r="W338" s="2"/>
      <c r="X338" s="2"/>
      <c r="Y338" s="2"/>
    </row>
    <row r="339" spans="1:25" ht="17.399999999999999" x14ac:dyDescent="0.25">
      <c r="A339" s="1"/>
      <c r="B339" s="40"/>
      <c r="C339" s="2" t="str">
        <f ca="1">IFERROR(__xludf.DUMMYFUNCTION("iferror(filter('Full Perk List'!C$3:C1498,'Full Perk List'!$D$3:$D1498=$D339),"""")"),"#REF!")</f>
        <v>#REF!</v>
      </c>
      <c r="D339" s="2"/>
      <c r="E339" s="2" t="str">
        <f ca="1">IFERROR(__xludf.DUMMYFUNCTION("iferror(filter('Full Perk List'!E$3:E1498,'Full Perk List'!$D$3:$D1498=$D339),"""")"),"#REF!")</f>
        <v>#REF!</v>
      </c>
      <c r="F339" s="2" t="str">
        <f ca="1">IFERROR(__xludf.DUMMYFUNCTION("iferror(filter('Full Perk List'!F$3:F1498,'Full Perk List'!$D$3:$D1498=$D339),"""")"),"#REF!")</f>
        <v>#REF!</v>
      </c>
      <c r="G339" s="2" t="str">
        <f ca="1">IFERROR(__xludf.DUMMYFUNCTION("iferror(filter('Full Perk List'!G$3:G1498,'Full Perk List'!$D$3:$D1498=$D339),"""")"),"#REF!")</f>
        <v>#REF!</v>
      </c>
      <c r="H339" s="1"/>
      <c r="I339" s="2"/>
      <c r="J339" s="2"/>
      <c r="K339" s="2"/>
      <c r="L339" s="2"/>
      <c r="M339" s="2"/>
      <c r="N339" s="2"/>
      <c r="O339" s="2"/>
      <c r="P339" s="2"/>
      <c r="Q339" s="2"/>
      <c r="R339" s="2"/>
      <c r="S339" s="2"/>
      <c r="T339" s="2"/>
      <c r="U339" s="2"/>
      <c r="V339" s="2"/>
      <c r="W339" s="2"/>
      <c r="X339" s="2"/>
      <c r="Y339" s="2"/>
    </row>
    <row r="340" spans="1:25" ht="17.399999999999999" x14ac:dyDescent="0.25">
      <c r="A340" s="1"/>
      <c r="B340" s="40"/>
      <c r="C340" s="2" t="str">
        <f ca="1">IFERROR(__xludf.DUMMYFUNCTION("iferror(filter('Full Perk List'!C$3:C1498,'Full Perk List'!$D$3:$D1498=$D340),"""")"),"#REF!")</f>
        <v>#REF!</v>
      </c>
      <c r="D340" s="2"/>
      <c r="E340" s="2" t="str">
        <f ca="1">IFERROR(__xludf.DUMMYFUNCTION("iferror(filter('Full Perk List'!E$3:E1498,'Full Perk List'!$D$3:$D1498=$D340),"""")"),"#REF!")</f>
        <v>#REF!</v>
      </c>
      <c r="F340" s="2" t="str">
        <f ca="1">IFERROR(__xludf.DUMMYFUNCTION("iferror(filter('Full Perk List'!F$3:F1498,'Full Perk List'!$D$3:$D1498=$D340),"""")"),"#REF!")</f>
        <v>#REF!</v>
      </c>
      <c r="G340" s="2" t="str">
        <f ca="1">IFERROR(__xludf.DUMMYFUNCTION("iferror(filter('Full Perk List'!G$3:G1498,'Full Perk List'!$D$3:$D1498=$D340),"""")"),"#REF!")</f>
        <v>#REF!</v>
      </c>
      <c r="H340" s="1"/>
      <c r="I340" s="2"/>
      <c r="J340" s="2"/>
      <c r="K340" s="2"/>
      <c r="L340" s="2"/>
      <c r="M340" s="2"/>
      <c r="N340" s="2"/>
      <c r="O340" s="2"/>
      <c r="P340" s="2"/>
      <c r="Q340" s="2"/>
      <c r="R340" s="2"/>
      <c r="S340" s="2"/>
      <c r="T340" s="2"/>
      <c r="U340" s="2"/>
      <c r="V340" s="2"/>
      <c r="W340" s="2"/>
      <c r="X340" s="2"/>
      <c r="Y340" s="2"/>
    </row>
    <row r="341" spans="1:25" ht="17.399999999999999" x14ac:dyDescent="0.25">
      <c r="A341" s="1"/>
      <c r="B341" s="40"/>
      <c r="C341" s="2" t="str">
        <f ca="1">IFERROR(__xludf.DUMMYFUNCTION("iferror(filter('Full Perk List'!C$3:C1498,'Full Perk List'!$D$3:$D1498=$D341),"""")"),"#REF!")</f>
        <v>#REF!</v>
      </c>
      <c r="D341" s="2"/>
      <c r="E341" s="2" t="str">
        <f ca="1">IFERROR(__xludf.DUMMYFUNCTION("iferror(filter('Full Perk List'!E$3:E1498,'Full Perk List'!$D$3:$D1498=$D341),"""")"),"#REF!")</f>
        <v>#REF!</v>
      </c>
      <c r="F341" s="2" t="str">
        <f ca="1">IFERROR(__xludf.DUMMYFUNCTION("iferror(filter('Full Perk List'!F$3:F1498,'Full Perk List'!$D$3:$D1498=$D341),"""")"),"#REF!")</f>
        <v>#REF!</v>
      </c>
      <c r="G341" s="2" t="str">
        <f ca="1">IFERROR(__xludf.DUMMYFUNCTION("iferror(filter('Full Perk List'!G$3:G1498,'Full Perk List'!$D$3:$D1498=$D341),"""")"),"#REF!")</f>
        <v>#REF!</v>
      </c>
      <c r="H341" s="1"/>
      <c r="I341" s="2"/>
      <c r="J341" s="2"/>
      <c r="K341" s="2"/>
      <c r="L341" s="2"/>
      <c r="M341" s="2"/>
      <c r="N341" s="2"/>
      <c r="O341" s="2"/>
      <c r="P341" s="2"/>
      <c r="Q341" s="2"/>
      <c r="R341" s="2"/>
      <c r="S341" s="2"/>
      <c r="T341" s="2"/>
      <c r="U341" s="2"/>
      <c r="V341" s="2"/>
      <c r="W341" s="2"/>
      <c r="X341" s="2"/>
      <c r="Y341" s="2"/>
    </row>
    <row r="342" spans="1:25" ht="17.399999999999999" x14ac:dyDescent="0.25">
      <c r="A342" s="1"/>
      <c r="B342" s="40"/>
      <c r="C342" s="2" t="str">
        <f ca="1">IFERROR(__xludf.DUMMYFUNCTION("iferror(filter('Full Perk List'!C$3:C1498,'Full Perk List'!$D$3:$D1498=$D342),"""")"),"#REF!")</f>
        <v>#REF!</v>
      </c>
      <c r="D342" s="2"/>
      <c r="E342" s="2" t="str">
        <f ca="1">IFERROR(__xludf.DUMMYFUNCTION("iferror(filter('Full Perk List'!E$3:E1498,'Full Perk List'!$D$3:$D1498=$D342),"""")"),"#REF!")</f>
        <v>#REF!</v>
      </c>
      <c r="F342" s="2" t="str">
        <f ca="1">IFERROR(__xludf.DUMMYFUNCTION("iferror(filter('Full Perk List'!F$3:F1498,'Full Perk List'!$D$3:$D1498=$D342),"""")"),"#REF!")</f>
        <v>#REF!</v>
      </c>
      <c r="G342" s="2" t="str">
        <f ca="1">IFERROR(__xludf.DUMMYFUNCTION("iferror(filter('Full Perk List'!G$3:G1498,'Full Perk List'!$D$3:$D1498=$D342),"""")"),"#REF!")</f>
        <v>#REF!</v>
      </c>
      <c r="H342" s="1"/>
      <c r="I342" s="2"/>
      <c r="J342" s="2"/>
      <c r="K342" s="2"/>
      <c r="L342" s="2"/>
      <c r="M342" s="2"/>
      <c r="N342" s="2"/>
      <c r="O342" s="2"/>
      <c r="P342" s="2"/>
      <c r="Q342" s="2"/>
      <c r="R342" s="2"/>
      <c r="S342" s="2"/>
      <c r="T342" s="2"/>
      <c r="U342" s="2"/>
      <c r="V342" s="2"/>
      <c r="W342" s="2"/>
      <c r="X342" s="2"/>
      <c r="Y342" s="2"/>
    </row>
    <row r="343" spans="1:25" ht="17.399999999999999" x14ac:dyDescent="0.25">
      <c r="A343" s="1"/>
      <c r="B343" s="40"/>
      <c r="C343" s="2" t="str">
        <f ca="1">IFERROR(__xludf.DUMMYFUNCTION("iferror(filter('Full Perk List'!C$3:C1498,'Full Perk List'!$D$3:$D1498=$D343),"""")"),"#REF!")</f>
        <v>#REF!</v>
      </c>
      <c r="D343" s="2"/>
      <c r="E343" s="2" t="str">
        <f ca="1">IFERROR(__xludf.DUMMYFUNCTION("iferror(filter('Full Perk List'!E$3:E1498,'Full Perk List'!$D$3:$D1498=$D343),"""")"),"#REF!")</f>
        <v>#REF!</v>
      </c>
      <c r="F343" s="2" t="str">
        <f ca="1">IFERROR(__xludf.DUMMYFUNCTION("iferror(filter('Full Perk List'!F$3:F1498,'Full Perk List'!$D$3:$D1498=$D343),"""")"),"#REF!")</f>
        <v>#REF!</v>
      </c>
      <c r="G343" s="2" t="str">
        <f ca="1">IFERROR(__xludf.DUMMYFUNCTION("iferror(filter('Full Perk List'!G$3:G1498,'Full Perk List'!$D$3:$D1498=$D343),"""")"),"#REF!")</f>
        <v>#REF!</v>
      </c>
      <c r="H343" s="1"/>
      <c r="I343" s="2"/>
      <c r="J343" s="2"/>
      <c r="K343" s="2"/>
      <c r="L343" s="2"/>
      <c r="M343" s="2"/>
      <c r="N343" s="2"/>
      <c r="O343" s="2"/>
      <c r="P343" s="2"/>
      <c r="Q343" s="2"/>
      <c r="R343" s="2"/>
      <c r="S343" s="2"/>
      <c r="T343" s="2"/>
      <c r="U343" s="2"/>
      <c r="V343" s="2"/>
      <c r="W343" s="2"/>
      <c r="X343" s="2"/>
      <c r="Y343" s="2"/>
    </row>
    <row r="344" spans="1:25" ht="17.399999999999999" x14ac:dyDescent="0.25">
      <c r="A344" s="1"/>
      <c r="B344" s="40"/>
      <c r="C344" s="2" t="str">
        <f ca="1">IFERROR(__xludf.DUMMYFUNCTION("iferror(filter('Full Perk List'!C$3:C1498,'Full Perk List'!$D$3:$D1498=$D344),"""")"),"#REF!")</f>
        <v>#REF!</v>
      </c>
      <c r="D344" s="2"/>
      <c r="E344" s="2" t="str">
        <f ca="1">IFERROR(__xludf.DUMMYFUNCTION("iferror(filter('Full Perk List'!E$3:E1498,'Full Perk List'!$D$3:$D1498=$D344),"""")"),"#REF!")</f>
        <v>#REF!</v>
      </c>
      <c r="F344" s="2" t="str">
        <f ca="1">IFERROR(__xludf.DUMMYFUNCTION("iferror(filter('Full Perk List'!F$3:F1498,'Full Perk List'!$D$3:$D1498=$D344),"""")"),"#REF!")</f>
        <v>#REF!</v>
      </c>
      <c r="G344" s="2" t="str">
        <f ca="1">IFERROR(__xludf.DUMMYFUNCTION("iferror(filter('Full Perk List'!G$3:G1498,'Full Perk List'!$D$3:$D1498=$D344),"""")"),"#REF!")</f>
        <v>#REF!</v>
      </c>
      <c r="H344" s="1"/>
      <c r="I344" s="2"/>
      <c r="J344" s="2"/>
      <c r="K344" s="2"/>
      <c r="L344" s="2"/>
      <c r="M344" s="2"/>
      <c r="N344" s="2"/>
      <c r="O344" s="2"/>
      <c r="P344" s="2"/>
      <c r="Q344" s="2"/>
      <c r="R344" s="2"/>
      <c r="S344" s="2"/>
      <c r="T344" s="2"/>
      <c r="U344" s="2"/>
      <c r="V344" s="2"/>
      <c r="W344" s="2"/>
      <c r="X344" s="2"/>
      <c r="Y344" s="2"/>
    </row>
    <row r="345" spans="1:25" ht="17.399999999999999" x14ac:dyDescent="0.25">
      <c r="A345" s="1"/>
      <c r="B345" s="40"/>
      <c r="C345" s="2" t="str">
        <f ca="1">IFERROR(__xludf.DUMMYFUNCTION("iferror(filter('Full Perk List'!C$3:C1498,'Full Perk List'!$D$3:$D1498=$D345),"""")"),"#REF!")</f>
        <v>#REF!</v>
      </c>
      <c r="D345" s="2"/>
      <c r="E345" s="2" t="str">
        <f ca="1">IFERROR(__xludf.DUMMYFUNCTION("iferror(filter('Full Perk List'!E$3:E1498,'Full Perk List'!$D$3:$D1498=$D345),"""")"),"#REF!")</f>
        <v>#REF!</v>
      </c>
      <c r="F345" s="2" t="str">
        <f ca="1">IFERROR(__xludf.DUMMYFUNCTION("iferror(filter('Full Perk List'!F$3:F1498,'Full Perk List'!$D$3:$D1498=$D345),"""")"),"#REF!")</f>
        <v>#REF!</v>
      </c>
      <c r="G345" s="2" t="str">
        <f ca="1">IFERROR(__xludf.DUMMYFUNCTION("iferror(filter('Full Perk List'!G$3:G1498,'Full Perk List'!$D$3:$D1498=$D345),"""")"),"#REF!")</f>
        <v>#REF!</v>
      </c>
      <c r="H345" s="1"/>
      <c r="I345" s="2"/>
      <c r="J345" s="2"/>
      <c r="K345" s="2"/>
      <c r="L345" s="2"/>
      <c r="M345" s="2"/>
      <c r="N345" s="2"/>
      <c r="O345" s="2"/>
      <c r="P345" s="2"/>
      <c r="Q345" s="2"/>
      <c r="R345" s="2"/>
      <c r="S345" s="2"/>
      <c r="T345" s="2"/>
      <c r="U345" s="2"/>
      <c r="V345" s="2"/>
      <c r="W345" s="2"/>
      <c r="X345" s="2"/>
      <c r="Y345" s="2"/>
    </row>
    <row r="346" spans="1:25" ht="17.399999999999999" x14ac:dyDescent="0.25">
      <c r="A346" s="1"/>
      <c r="B346" s="40"/>
      <c r="C346" s="2" t="str">
        <f ca="1">IFERROR(__xludf.DUMMYFUNCTION("iferror(filter('Full Perk List'!C$3:C1498,'Full Perk List'!$D$3:$D1498=$D346),"""")"),"#REF!")</f>
        <v>#REF!</v>
      </c>
      <c r="D346" s="2"/>
      <c r="E346" s="2" t="str">
        <f ca="1">IFERROR(__xludf.DUMMYFUNCTION("iferror(filter('Full Perk List'!E$3:E1498,'Full Perk List'!$D$3:$D1498=$D346),"""")"),"#REF!")</f>
        <v>#REF!</v>
      </c>
      <c r="F346" s="2" t="str">
        <f ca="1">IFERROR(__xludf.DUMMYFUNCTION("iferror(filter('Full Perk List'!F$3:F1498,'Full Perk List'!$D$3:$D1498=$D346),"""")"),"#REF!")</f>
        <v>#REF!</v>
      </c>
      <c r="G346" s="2" t="str">
        <f ca="1">IFERROR(__xludf.DUMMYFUNCTION("iferror(filter('Full Perk List'!G$3:G1498,'Full Perk List'!$D$3:$D1498=$D346),"""")"),"#REF!")</f>
        <v>#REF!</v>
      </c>
      <c r="H346" s="1"/>
      <c r="I346" s="2"/>
      <c r="J346" s="2"/>
      <c r="K346" s="2"/>
      <c r="L346" s="2"/>
      <c r="M346" s="2"/>
      <c r="N346" s="2"/>
      <c r="O346" s="2"/>
      <c r="P346" s="2"/>
      <c r="Q346" s="2"/>
      <c r="R346" s="2"/>
      <c r="S346" s="2"/>
      <c r="T346" s="2"/>
      <c r="U346" s="2"/>
      <c r="V346" s="2"/>
      <c r="W346" s="2"/>
      <c r="X346" s="2"/>
      <c r="Y346" s="2"/>
    </row>
    <row r="347" spans="1:25" ht="17.399999999999999" x14ac:dyDescent="0.25">
      <c r="A347" s="1"/>
      <c r="B347" s="40"/>
      <c r="C347" s="2" t="str">
        <f ca="1">IFERROR(__xludf.DUMMYFUNCTION("iferror(filter('Full Perk List'!C$3:C1498,'Full Perk List'!$D$3:$D1498=$D347),"""")"),"#REF!")</f>
        <v>#REF!</v>
      </c>
      <c r="D347" s="2"/>
      <c r="E347" s="2" t="str">
        <f ca="1">IFERROR(__xludf.DUMMYFUNCTION("iferror(filter('Full Perk List'!E$3:E1498,'Full Perk List'!$D$3:$D1498=$D347),"""")"),"#REF!")</f>
        <v>#REF!</v>
      </c>
      <c r="F347" s="2" t="str">
        <f ca="1">IFERROR(__xludf.DUMMYFUNCTION("iferror(filter('Full Perk List'!F$3:F1498,'Full Perk List'!$D$3:$D1498=$D347),"""")"),"#REF!")</f>
        <v>#REF!</v>
      </c>
      <c r="G347" s="2" t="str">
        <f ca="1">IFERROR(__xludf.DUMMYFUNCTION("iferror(filter('Full Perk List'!G$3:G1498,'Full Perk List'!$D$3:$D1498=$D347),"""")"),"#REF!")</f>
        <v>#REF!</v>
      </c>
      <c r="H347" s="1"/>
      <c r="I347" s="2"/>
      <c r="J347" s="2"/>
      <c r="K347" s="2"/>
      <c r="L347" s="2"/>
      <c r="M347" s="2"/>
      <c r="N347" s="2"/>
      <c r="O347" s="2"/>
      <c r="P347" s="2"/>
      <c r="Q347" s="2"/>
      <c r="R347" s="2"/>
      <c r="S347" s="2"/>
      <c r="T347" s="2"/>
      <c r="U347" s="2"/>
      <c r="V347" s="2"/>
      <c r="W347" s="2"/>
      <c r="X347" s="2"/>
      <c r="Y347" s="2"/>
    </row>
    <row r="348" spans="1:25" ht="17.399999999999999" x14ac:dyDescent="0.25">
      <c r="A348" s="1"/>
      <c r="B348" s="40"/>
      <c r="C348" s="2" t="str">
        <f ca="1">IFERROR(__xludf.DUMMYFUNCTION("iferror(filter('Full Perk List'!C$3:C1498,'Full Perk List'!$D$3:$D1498=$D348),"""")"),"#REF!")</f>
        <v>#REF!</v>
      </c>
      <c r="D348" s="2"/>
      <c r="E348" s="2" t="str">
        <f ca="1">IFERROR(__xludf.DUMMYFUNCTION("iferror(filter('Full Perk List'!E$3:E1498,'Full Perk List'!$D$3:$D1498=$D348),"""")"),"#REF!")</f>
        <v>#REF!</v>
      </c>
      <c r="F348" s="2" t="str">
        <f ca="1">IFERROR(__xludf.DUMMYFUNCTION("iferror(filter('Full Perk List'!F$3:F1498,'Full Perk List'!$D$3:$D1498=$D348),"""")"),"#REF!")</f>
        <v>#REF!</v>
      </c>
      <c r="G348" s="2" t="str">
        <f ca="1">IFERROR(__xludf.DUMMYFUNCTION("iferror(filter('Full Perk List'!G$3:G1498,'Full Perk List'!$D$3:$D1498=$D348),"""")"),"#REF!")</f>
        <v>#REF!</v>
      </c>
      <c r="H348" s="1"/>
      <c r="I348" s="2"/>
      <c r="J348" s="2"/>
      <c r="K348" s="2"/>
      <c r="L348" s="2"/>
      <c r="M348" s="2"/>
      <c r="N348" s="2"/>
      <c r="O348" s="2"/>
      <c r="P348" s="2"/>
      <c r="Q348" s="2"/>
      <c r="R348" s="2"/>
      <c r="S348" s="2"/>
      <c r="T348" s="2"/>
      <c r="U348" s="2"/>
      <c r="V348" s="2"/>
      <c r="W348" s="2"/>
      <c r="X348" s="2"/>
      <c r="Y348" s="2"/>
    </row>
    <row r="349" spans="1:25" ht="17.399999999999999" x14ac:dyDescent="0.25">
      <c r="A349" s="1"/>
      <c r="B349" s="40"/>
      <c r="C349" s="2" t="str">
        <f ca="1">IFERROR(__xludf.DUMMYFUNCTION("iferror(filter('Full Perk List'!C$3:C1498,'Full Perk List'!$D$3:$D1498=$D349),"""")"),"#REF!")</f>
        <v>#REF!</v>
      </c>
      <c r="D349" s="2"/>
      <c r="E349" s="2" t="str">
        <f ca="1">IFERROR(__xludf.DUMMYFUNCTION("iferror(filter('Full Perk List'!E$3:E1498,'Full Perk List'!$D$3:$D1498=$D349),"""")"),"#REF!")</f>
        <v>#REF!</v>
      </c>
      <c r="F349" s="2" t="str">
        <f ca="1">IFERROR(__xludf.DUMMYFUNCTION("iferror(filter('Full Perk List'!F$3:F1498,'Full Perk List'!$D$3:$D1498=$D349),"""")"),"#REF!")</f>
        <v>#REF!</v>
      </c>
      <c r="G349" s="2" t="str">
        <f ca="1">IFERROR(__xludf.DUMMYFUNCTION("iferror(filter('Full Perk List'!G$3:G1498,'Full Perk List'!$D$3:$D1498=$D349),"""")"),"#REF!")</f>
        <v>#REF!</v>
      </c>
      <c r="H349" s="1"/>
      <c r="I349" s="2"/>
      <c r="J349" s="2"/>
      <c r="K349" s="2"/>
      <c r="L349" s="2"/>
      <c r="M349" s="2"/>
      <c r="N349" s="2"/>
      <c r="O349" s="2"/>
      <c r="P349" s="2"/>
      <c r="Q349" s="2"/>
      <c r="R349" s="2"/>
      <c r="S349" s="2"/>
      <c r="T349" s="2"/>
      <c r="U349" s="2"/>
      <c r="V349" s="2"/>
      <c r="W349" s="2"/>
      <c r="X349" s="2"/>
      <c r="Y349" s="2"/>
    </row>
    <row r="350" spans="1:25" ht="17.399999999999999" x14ac:dyDescent="0.25">
      <c r="A350" s="1"/>
      <c r="B350" s="40"/>
      <c r="C350" s="2" t="str">
        <f ca="1">IFERROR(__xludf.DUMMYFUNCTION("iferror(filter('Full Perk List'!C$3:C1498,'Full Perk List'!$D$3:$D1498=$D350),"""")"),"#REF!")</f>
        <v>#REF!</v>
      </c>
      <c r="D350" s="2"/>
      <c r="E350" s="2" t="str">
        <f ca="1">IFERROR(__xludf.DUMMYFUNCTION("iferror(filter('Full Perk List'!E$3:E1498,'Full Perk List'!$D$3:$D1498=$D350),"""")"),"#REF!")</f>
        <v>#REF!</v>
      </c>
      <c r="F350" s="2" t="str">
        <f ca="1">IFERROR(__xludf.DUMMYFUNCTION("iferror(filter('Full Perk List'!F$3:F1498,'Full Perk List'!$D$3:$D1498=$D350),"""")"),"#REF!")</f>
        <v>#REF!</v>
      </c>
      <c r="G350" s="2" t="str">
        <f ca="1">IFERROR(__xludf.DUMMYFUNCTION("iferror(filter('Full Perk List'!G$3:G1498,'Full Perk List'!$D$3:$D1498=$D350),"""")"),"#REF!")</f>
        <v>#REF!</v>
      </c>
      <c r="H350" s="1"/>
      <c r="I350" s="2"/>
      <c r="J350" s="2"/>
      <c r="K350" s="2"/>
      <c r="L350" s="2"/>
      <c r="M350" s="2"/>
      <c r="N350" s="2"/>
      <c r="O350" s="2"/>
      <c r="P350" s="2"/>
      <c r="Q350" s="2"/>
      <c r="R350" s="2"/>
      <c r="S350" s="2"/>
      <c r="T350" s="2"/>
      <c r="U350" s="2"/>
      <c r="V350" s="2"/>
      <c r="W350" s="2"/>
      <c r="X350" s="2"/>
      <c r="Y350" s="2"/>
    </row>
    <row r="351" spans="1:25" ht="17.399999999999999" x14ac:dyDescent="0.25">
      <c r="A351" s="1"/>
      <c r="B351" s="40"/>
      <c r="C351" s="2" t="str">
        <f ca="1">IFERROR(__xludf.DUMMYFUNCTION("iferror(filter('Full Perk List'!C$3:C1498,'Full Perk List'!$D$3:$D1498=$D351),"""")"),"#REF!")</f>
        <v>#REF!</v>
      </c>
      <c r="D351" s="2"/>
      <c r="E351" s="2" t="str">
        <f ca="1">IFERROR(__xludf.DUMMYFUNCTION("iferror(filter('Full Perk List'!E$3:E1498,'Full Perk List'!$D$3:$D1498=$D351),"""")"),"#REF!")</f>
        <v>#REF!</v>
      </c>
      <c r="F351" s="2" t="str">
        <f ca="1">IFERROR(__xludf.DUMMYFUNCTION("iferror(filter('Full Perk List'!F$3:F1498,'Full Perk List'!$D$3:$D1498=$D351),"""")"),"#REF!")</f>
        <v>#REF!</v>
      </c>
      <c r="G351" s="2" t="str">
        <f ca="1">IFERROR(__xludf.DUMMYFUNCTION("iferror(filter('Full Perk List'!G$3:G1498,'Full Perk List'!$D$3:$D1498=$D351),"""")"),"#REF!")</f>
        <v>#REF!</v>
      </c>
      <c r="H351" s="1"/>
      <c r="I351" s="2"/>
      <c r="J351" s="2"/>
      <c r="K351" s="2"/>
      <c r="L351" s="2"/>
      <c r="M351" s="2"/>
      <c r="N351" s="2"/>
      <c r="O351" s="2"/>
      <c r="P351" s="2"/>
      <c r="Q351" s="2"/>
      <c r="R351" s="2"/>
      <c r="S351" s="2"/>
      <c r="T351" s="2"/>
      <c r="U351" s="2"/>
      <c r="V351" s="2"/>
      <c r="W351" s="2"/>
      <c r="X351" s="2"/>
      <c r="Y351" s="2"/>
    </row>
    <row r="352" spans="1:25" ht="17.399999999999999" x14ac:dyDescent="0.25">
      <c r="A352" s="1"/>
      <c r="B352" s="40"/>
      <c r="C352" s="2" t="str">
        <f ca="1">IFERROR(__xludf.DUMMYFUNCTION("iferror(filter('Full Perk List'!C$3:C1498,'Full Perk List'!$D$3:$D1498=$D352),"""")"),"#REF!")</f>
        <v>#REF!</v>
      </c>
      <c r="D352" s="2"/>
      <c r="E352" s="2" t="str">
        <f ca="1">IFERROR(__xludf.DUMMYFUNCTION("iferror(filter('Full Perk List'!E$3:E1498,'Full Perk List'!$D$3:$D1498=$D352),"""")"),"#REF!")</f>
        <v>#REF!</v>
      </c>
      <c r="F352" s="2" t="str">
        <f ca="1">IFERROR(__xludf.DUMMYFUNCTION("iferror(filter('Full Perk List'!F$3:F1498,'Full Perk List'!$D$3:$D1498=$D352),"""")"),"#REF!")</f>
        <v>#REF!</v>
      </c>
      <c r="G352" s="2" t="str">
        <f ca="1">IFERROR(__xludf.DUMMYFUNCTION("iferror(filter('Full Perk List'!G$3:G1498,'Full Perk List'!$D$3:$D1498=$D352),"""")"),"#REF!")</f>
        <v>#REF!</v>
      </c>
      <c r="H352" s="1"/>
      <c r="I352" s="2"/>
      <c r="J352" s="2"/>
      <c r="K352" s="2"/>
      <c r="L352" s="2"/>
      <c r="M352" s="2"/>
      <c r="N352" s="2"/>
      <c r="O352" s="2"/>
      <c r="P352" s="2"/>
      <c r="Q352" s="2"/>
      <c r="R352" s="2"/>
      <c r="S352" s="2"/>
      <c r="T352" s="2"/>
      <c r="U352" s="2"/>
      <c r="V352" s="2"/>
      <c r="W352" s="2"/>
      <c r="X352" s="2"/>
      <c r="Y352" s="2"/>
    </row>
    <row r="353" spans="1:25" ht="17.399999999999999" x14ac:dyDescent="0.25">
      <c r="A353" s="1"/>
      <c r="B353" s="40"/>
      <c r="C353" s="2" t="str">
        <f ca="1">IFERROR(__xludf.DUMMYFUNCTION("iferror(filter('Full Perk List'!C$3:C1498,'Full Perk List'!$D$3:$D1498=$D353),"""")"),"#REF!")</f>
        <v>#REF!</v>
      </c>
      <c r="D353" s="2"/>
      <c r="E353" s="2" t="str">
        <f ca="1">IFERROR(__xludf.DUMMYFUNCTION("iferror(filter('Full Perk List'!E$3:E1498,'Full Perk List'!$D$3:$D1498=$D353),"""")"),"#REF!")</f>
        <v>#REF!</v>
      </c>
      <c r="F353" s="2" t="str">
        <f ca="1">IFERROR(__xludf.DUMMYFUNCTION("iferror(filter('Full Perk List'!F$3:F1498,'Full Perk List'!$D$3:$D1498=$D353),"""")"),"#REF!")</f>
        <v>#REF!</v>
      </c>
      <c r="G353" s="2" t="str">
        <f ca="1">IFERROR(__xludf.DUMMYFUNCTION("iferror(filter('Full Perk List'!G$3:G1498,'Full Perk List'!$D$3:$D1498=$D353),"""")"),"#REF!")</f>
        <v>#REF!</v>
      </c>
      <c r="H353" s="1"/>
      <c r="I353" s="2"/>
      <c r="J353" s="2"/>
      <c r="K353" s="2"/>
      <c r="L353" s="2"/>
      <c r="M353" s="2"/>
      <c r="N353" s="2"/>
      <c r="O353" s="2"/>
      <c r="P353" s="2"/>
      <c r="Q353" s="2"/>
      <c r="R353" s="2"/>
      <c r="S353" s="2"/>
      <c r="T353" s="2"/>
      <c r="U353" s="2"/>
      <c r="V353" s="2"/>
      <c r="W353" s="2"/>
      <c r="X353" s="2"/>
      <c r="Y353" s="2"/>
    </row>
    <row r="354" spans="1:25" ht="17.399999999999999" x14ac:dyDescent="0.25">
      <c r="A354" s="1"/>
      <c r="B354" s="40"/>
      <c r="C354" s="2" t="str">
        <f ca="1">IFERROR(__xludf.DUMMYFUNCTION("iferror(filter('Full Perk List'!C$3:C1498,'Full Perk List'!$D$3:$D1498=$D354),"""")"),"#REF!")</f>
        <v>#REF!</v>
      </c>
      <c r="D354" s="2"/>
      <c r="E354" s="2" t="str">
        <f ca="1">IFERROR(__xludf.DUMMYFUNCTION("iferror(filter('Full Perk List'!E$3:E1498,'Full Perk List'!$D$3:$D1498=$D354),"""")"),"#REF!")</f>
        <v>#REF!</v>
      </c>
      <c r="F354" s="2" t="str">
        <f ca="1">IFERROR(__xludf.DUMMYFUNCTION("iferror(filter('Full Perk List'!F$3:F1498,'Full Perk List'!$D$3:$D1498=$D354),"""")"),"#REF!")</f>
        <v>#REF!</v>
      </c>
      <c r="G354" s="2" t="str">
        <f ca="1">IFERROR(__xludf.DUMMYFUNCTION("iferror(filter('Full Perk List'!G$3:G1498,'Full Perk List'!$D$3:$D1498=$D354),"""")"),"#REF!")</f>
        <v>#REF!</v>
      </c>
      <c r="H354" s="1"/>
      <c r="I354" s="2"/>
      <c r="J354" s="2"/>
      <c r="K354" s="2"/>
      <c r="L354" s="2"/>
      <c r="M354" s="2"/>
      <c r="N354" s="2"/>
      <c r="O354" s="2"/>
      <c r="P354" s="2"/>
      <c r="Q354" s="2"/>
      <c r="R354" s="2"/>
      <c r="S354" s="2"/>
      <c r="T354" s="2"/>
      <c r="U354" s="2"/>
      <c r="V354" s="2"/>
      <c r="W354" s="2"/>
      <c r="X354" s="2"/>
      <c r="Y354" s="2"/>
    </row>
    <row r="355" spans="1:25" ht="17.399999999999999" x14ac:dyDescent="0.25">
      <c r="A355" s="1"/>
      <c r="B355" s="40"/>
      <c r="C355" s="2" t="str">
        <f ca="1">IFERROR(__xludf.DUMMYFUNCTION("iferror(filter('Full Perk List'!C$3:C1498,'Full Perk List'!$D$3:$D1498=$D355),"""")"),"#REF!")</f>
        <v>#REF!</v>
      </c>
      <c r="D355" s="2"/>
      <c r="E355" s="2" t="str">
        <f ca="1">IFERROR(__xludf.DUMMYFUNCTION("iferror(filter('Full Perk List'!E$3:E1498,'Full Perk List'!$D$3:$D1498=$D355),"""")"),"#REF!")</f>
        <v>#REF!</v>
      </c>
      <c r="F355" s="2" t="str">
        <f ca="1">IFERROR(__xludf.DUMMYFUNCTION("iferror(filter('Full Perk List'!F$3:F1498,'Full Perk List'!$D$3:$D1498=$D355),"""")"),"#REF!")</f>
        <v>#REF!</v>
      </c>
      <c r="G355" s="2" t="str">
        <f ca="1">IFERROR(__xludf.DUMMYFUNCTION("iferror(filter('Full Perk List'!G$3:G1498,'Full Perk List'!$D$3:$D1498=$D355),"""")"),"#REF!")</f>
        <v>#REF!</v>
      </c>
      <c r="H355" s="1"/>
      <c r="I355" s="2"/>
      <c r="J355" s="2"/>
      <c r="K355" s="2"/>
      <c r="L355" s="2"/>
      <c r="M355" s="2"/>
      <c r="N355" s="2"/>
      <c r="O355" s="2"/>
      <c r="P355" s="2"/>
      <c r="Q355" s="2"/>
      <c r="R355" s="2"/>
      <c r="S355" s="2"/>
      <c r="T355" s="2"/>
      <c r="U355" s="2"/>
      <c r="V355" s="2"/>
      <c r="W355" s="2"/>
      <c r="X355" s="2"/>
      <c r="Y355" s="2"/>
    </row>
    <row r="356" spans="1:25" ht="17.399999999999999" x14ac:dyDescent="0.25">
      <c r="A356" s="1"/>
      <c r="B356" s="40"/>
      <c r="C356" s="2" t="str">
        <f ca="1">IFERROR(__xludf.DUMMYFUNCTION("iferror(filter('Full Perk List'!C$3:C1498,'Full Perk List'!$D$3:$D1498=$D356),"""")"),"#REF!")</f>
        <v>#REF!</v>
      </c>
      <c r="D356" s="2"/>
      <c r="E356" s="2" t="str">
        <f ca="1">IFERROR(__xludf.DUMMYFUNCTION("iferror(filter('Full Perk List'!E$3:E1498,'Full Perk List'!$D$3:$D1498=$D356),"""")"),"#REF!")</f>
        <v>#REF!</v>
      </c>
      <c r="F356" s="2" t="str">
        <f ca="1">IFERROR(__xludf.DUMMYFUNCTION("iferror(filter('Full Perk List'!F$3:F1498,'Full Perk List'!$D$3:$D1498=$D356),"""")"),"#REF!")</f>
        <v>#REF!</v>
      </c>
      <c r="G356" s="2" t="str">
        <f ca="1">IFERROR(__xludf.DUMMYFUNCTION("iferror(filter('Full Perk List'!G$3:G1498,'Full Perk List'!$D$3:$D1498=$D356),"""")"),"#REF!")</f>
        <v>#REF!</v>
      </c>
      <c r="H356" s="1"/>
      <c r="I356" s="2"/>
      <c r="J356" s="2"/>
      <c r="K356" s="2"/>
      <c r="L356" s="2"/>
      <c r="M356" s="2"/>
      <c r="N356" s="2"/>
      <c r="O356" s="2"/>
      <c r="P356" s="2"/>
      <c r="Q356" s="2"/>
      <c r="R356" s="2"/>
      <c r="S356" s="2"/>
      <c r="T356" s="2"/>
      <c r="U356" s="2"/>
      <c r="V356" s="2"/>
      <c r="W356" s="2"/>
      <c r="X356" s="2"/>
      <c r="Y356" s="2"/>
    </row>
    <row r="357" spans="1:25" ht="17.399999999999999" x14ac:dyDescent="0.25">
      <c r="A357" s="1"/>
      <c r="B357" s="40"/>
      <c r="C357" s="2" t="str">
        <f ca="1">IFERROR(__xludf.DUMMYFUNCTION("iferror(filter('Full Perk List'!C$3:C1498,'Full Perk List'!$D$3:$D1498=$D357),"""")"),"#REF!")</f>
        <v>#REF!</v>
      </c>
      <c r="D357" s="2"/>
      <c r="E357" s="2" t="str">
        <f ca="1">IFERROR(__xludf.DUMMYFUNCTION("iferror(filter('Full Perk List'!E$3:E1498,'Full Perk List'!$D$3:$D1498=$D357),"""")"),"#REF!")</f>
        <v>#REF!</v>
      </c>
      <c r="F357" s="2" t="str">
        <f ca="1">IFERROR(__xludf.DUMMYFUNCTION("iferror(filter('Full Perk List'!F$3:F1498,'Full Perk List'!$D$3:$D1498=$D357),"""")"),"#REF!")</f>
        <v>#REF!</v>
      </c>
      <c r="G357" s="2" t="str">
        <f ca="1">IFERROR(__xludf.DUMMYFUNCTION("iferror(filter('Full Perk List'!G$3:G1498,'Full Perk List'!$D$3:$D1498=$D357),"""")"),"#REF!")</f>
        <v>#REF!</v>
      </c>
      <c r="H357" s="1"/>
      <c r="I357" s="2"/>
      <c r="J357" s="2"/>
      <c r="K357" s="2"/>
      <c r="L357" s="2"/>
      <c r="M357" s="2"/>
      <c r="N357" s="2"/>
      <c r="O357" s="2"/>
      <c r="P357" s="2"/>
      <c r="Q357" s="2"/>
      <c r="R357" s="2"/>
      <c r="S357" s="2"/>
      <c r="T357" s="2"/>
      <c r="U357" s="2"/>
      <c r="V357" s="2"/>
      <c r="W357" s="2"/>
      <c r="X357" s="2"/>
      <c r="Y357" s="2"/>
    </row>
    <row r="358" spans="1:25" ht="17.399999999999999" x14ac:dyDescent="0.25">
      <c r="A358" s="1"/>
      <c r="B358" s="40"/>
      <c r="C358" s="2" t="str">
        <f ca="1">IFERROR(__xludf.DUMMYFUNCTION("iferror(filter('Full Perk List'!C$3:C1498,'Full Perk List'!$D$3:$D1498=$D358),"""")"),"#REF!")</f>
        <v>#REF!</v>
      </c>
      <c r="D358" s="2"/>
      <c r="E358" s="2" t="str">
        <f ca="1">IFERROR(__xludf.DUMMYFUNCTION("iferror(filter('Full Perk List'!E$3:E1498,'Full Perk List'!$D$3:$D1498=$D358),"""")"),"#REF!")</f>
        <v>#REF!</v>
      </c>
      <c r="F358" s="2" t="str">
        <f ca="1">IFERROR(__xludf.DUMMYFUNCTION("iferror(filter('Full Perk List'!F$3:F1498,'Full Perk List'!$D$3:$D1498=$D358),"""")"),"#REF!")</f>
        <v>#REF!</v>
      </c>
      <c r="G358" s="2" t="str">
        <f ca="1">IFERROR(__xludf.DUMMYFUNCTION("iferror(filter('Full Perk List'!G$3:G1498,'Full Perk List'!$D$3:$D1498=$D358),"""")"),"#REF!")</f>
        <v>#REF!</v>
      </c>
      <c r="H358" s="1"/>
      <c r="I358" s="2"/>
      <c r="J358" s="2"/>
      <c r="K358" s="2"/>
      <c r="L358" s="2"/>
      <c r="M358" s="2"/>
      <c r="N358" s="2"/>
      <c r="O358" s="2"/>
      <c r="P358" s="2"/>
      <c r="Q358" s="2"/>
      <c r="R358" s="2"/>
      <c r="S358" s="2"/>
      <c r="T358" s="2"/>
      <c r="U358" s="2"/>
      <c r="V358" s="2"/>
      <c r="W358" s="2"/>
      <c r="X358" s="2"/>
      <c r="Y358" s="2"/>
    </row>
    <row r="359" spans="1:25" ht="17.399999999999999" x14ac:dyDescent="0.25">
      <c r="A359" s="1"/>
      <c r="B359" s="40"/>
      <c r="C359" s="2" t="str">
        <f ca="1">IFERROR(__xludf.DUMMYFUNCTION("iferror(filter('Full Perk List'!C$3:C1498,'Full Perk List'!$D$3:$D1498=$D359),"""")"),"#REF!")</f>
        <v>#REF!</v>
      </c>
      <c r="D359" s="2"/>
      <c r="E359" s="2" t="str">
        <f ca="1">IFERROR(__xludf.DUMMYFUNCTION("iferror(filter('Full Perk List'!E$3:E1498,'Full Perk List'!$D$3:$D1498=$D359),"""")"),"#REF!")</f>
        <v>#REF!</v>
      </c>
      <c r="F359" s="2" t="str">
        <f ca="1">IFERROR(__xludf.DUMMYFUNCTION("iferror(filter('Full Perk List'!F$3:F1498,'Full Perk List'!$D$3:$D1498=$D359),"""")"),"#REF!")</f>
        <v>#REF!</v>
      </c>
      <c r="G359" s="2" t="str">
        <f ca="1">IFERROR(__xludf.DUMMYFUNCTION("iferror(filter('Full Perk List'!G$3:G1498,'Full Perk List'!$D$3:$D1498=$D359),"""")"),"#REF!")</f>
        <v>#REF!</v>
      </c>
      <c r="H359" s="1"/>
      <c r="I359" s="2"/>
      <c r="J359" s="2"/>
      <c r="K359" s="2"/>
      <c r="L359" s="2"/>
      <c r="M359" s="2"/>
      <c r="N359" s="2"/>
      <c r="O359" s="2"/>
      <c r="P359" s="2"/>
      <c r="Q359" s="2"/>
      <c r="R359" s="2"/>
      <c r="S359" s="2"/>
      <c r="T359" s="2"/>
      <c r="U359" s="2"/>
      <c r="V359" s="2"/>
      <c r="W359" s="2"/>
      <c r="X359" s="2"/>
      <c r="Y359" s="2"/>
    </row>
    <row r="360" spans="1:25" ht="17.399999999999999" x14ac:dyDescent="0.25">
      <c r="A360" s="1"/>
      <c r="B360" s="40"/>
      <c r="C360" s="2" t="str">
        <f ca="1">IFERROR(__xludf.DUMMYFUNCTION("iferror(filter('Full Perk List'!C$3:C1498,'Full Perk List'!$D$3:$D1498=$D360),"""")"),"#REF!")</f>
        <v>#REF!</v>
      </c>
      <c r="D360" s="2"/>
      <c r="E360" s="2" t="str">
        <f ca="1">IFERROR(__xludf.DUMMYFUNCTION("iferror(filter('Full Perk List'!E$3:E1498,'Full Perk List'!$D$3:$D1498=$D360),"""")"),"#REF!")</f>
        <v>#REF!</v>
      </c>
      <c r="F360" s="2" t="str">
        <f ca="1">IFERROR(__xludf.DUMMYFUNCTION("iferror(filter('Full Perk List'!F$3:F1498,'Full Perk List'!$D$3:$D1498=$D360),"""")"),"#REF!")</f>
        <v>#REF!</v>
      </c>
      <c r="G360" s="2" t="str">
        <f ca="1">IFERROR(__xludf.DUMMYFUNCTION("iferror(filter('Full Perk List'!G$3:G1498,'Full Perk List'!$D$3:$D1498=$D360),"""")"),"#REF!")</f>
        <v>#REF!</v>
      </c>
      <c r="H360" s="1"/>
      <c r="I360" s="2"/>
      <c r="J360" s="2"/>
      <c r="K360" s="2"/>
      <c r="L360" s="2"/>
      <c r="M360" s="2"/>
      <c r="N360" s="2"/>
      <c r="O360" s="2"/>
      <c r="P360" s="2"/>
      <c r="Q360" s="2"/>
      <c r="R360" s="2"/>
      <c r="S360" s="2"/>
      <c r="T360" s="2"/>
      <c r="U360" s="2"/>
      <c r="V360" s="2"/>
      <c r="W360" s="2"/>
      <c r="X360" s="2"/>
      <c r="Y360" s="2"/>
    </row>
    <row r="361" spans="1:25" ht="17.399999999999999" x14ac:dyDescent="0.25">
      <c r="A361" s="1"/>
      <c r="B361" s="40"/>
      <c r="C361" s="2" t="str">
        <f ca="1">IFERROR(__xludf.DUMMYFUNCTION("iferror(filter('Full Perk List'!C$3:C1498,'Full Perk List'!$D$3:$D1498=$D361),"""")"),"#REF!")</f>
        <v>#REF!</v>
      </c>
      <c r="D361" s="2"/>
      <c r="E361" s="2" t="str">
        <f ca="1">IFERROR(__xludf.DUMMYFUNCTION("iferror(filter('Full Perk List'!E$3:E1498,'Full Perk List'!$D$3:$D1498=$D361),"""")"),"#REF!")</f>
        <v>#REF!</v>
      </c>
      <c r="F361" s="2" t="str">
        <f ca="1">IFERROR(__xludf.DUMMYFUNCTION("iferror(filter('Full Perk List'!F$3:F1498,'Full Perk List'!$D$3:$D1498=$D361),"""")"),"#REF!")</f>
        <v>#REF!</v>
      </c>
      <c r="G361" s="2" t="str">
        <f ca="1">IFERROR(__xludf.DUMMYFUNCTION("iferror(filter('Full Perk List'!G$3:G1498,'Full Perk List'!$D$3:$D1498=$D361),"""")"),"#REF!")</f>
        <v>#REF!</v>
      </c>
      <c r="H361" s="1"/>
      <c r="I361" s="2"/>
      <c r="J361" s="2"/>
      <c r="K361" s="2"/>
      <c r="L361" s="2"/>
      <c r="M361" s="2"/>
      <c r="N361" s="2"/>
      <c r="O361" s="2"/>
      <c r="P361" s="2"/>
      <c r="Q361" s="2"/>
      <c r="R361" s="2"/>
      <c r="S361" s="2"/>
      <c r="T361" s="2"/>
      <c r="U361" s="2"/>
      <c r="V361" s="2"/>
      <c r="W361" s="2"/>
      <c r="X361" s="2"/>
      <c r="Y361" s="2"/>
    </row>
    <row r="362" spans="1:25" ht="17.399999999999999" x14ac:dyDescent="0.25">
      <c r="A362" s="1"/>
      <c r="B362" s="40"/>
      <c r="C362" s="2" t="str">
        <f ca="1">IFERROR(__xludf.DUMMYFUNCTION("iferror(filter('Full Perk List'!C$3:C1498,'Full Perk List'!$D$3:$D1498=$D362),"""")"),"#REF!")</f>
        <v>#REF!</v>
      </c>
      <c r="D362" s="2"/>
      <c r="E362" s="2" t="str">
        <f ca="1">IFERROR(__xludf.DUMMYFUNCTION("iferror(filter('Full Perk List'!E$3:E1498,'Full Perk List'!$D$3:$D1498=$D362),"""")"),"#REF!")</f>
        <v>#REF!</v>
      </c>
      <c r="F362" s="2" t="str">
        <f ca="1">IFERROR(__xludf.DUMMYFUNCTION("iferror(filter('Full Perk List'!F$3:F1498,'Full Perk List'!$D$3:$D1498=$D362),"""")"),"#REF!")</f>
        <v>#REF!</v>
      </c>
      <c r="G362" s="2" t="str">
        <f ca="1">IFERROR(__xludf.DUMMYFUNCTION("iferror(filter('Full Perk List'!G$3:G1498,'Full Perk List'!$D$3:$D1498=$D362),"""")"),"#REF!")</f>
        <v>#REF!</v>
      </c>
      <c r="H362" s="1"/>
      <c r="I362" s="2"/>
      <c r="J362" s="2"/>
      <c r="K362" s="2"/>
      <c r="L362" s="2"/>
      <c r="M362" s="2"/>
      <c r="N362" s="2"/>
      <c r="O362" s="2"/>
      <c r="P362" s="2"/>
      <c r="Q362" s="2"/>
      <c r="R362" s="2"/>
      <c r="S362" s="2"/>
      <c r="T362" s="2"/>
      <c r="U362" s="2"/>
      <c r="V362" s="2"/>
      <c r="W362" s="2"/>
      <c r="X362" s="2"/>
      <c r="Y362" s="2"/>
    </row>
    <row r="363" spans="1:25" ht="17.399999999999999" x14ac:dyDescent="0.25">
      <c r="A363" s="1"/>
      <c r="B363" s="40"/>
      <c r="C363" s="2" t="str">
        <f ca="1">IFERROR(__xludf.DUMMYFUNCTION("iferror(filter('Full Perk List'!C$3:C1498,'Full Perk List'!$D$3:$D1498=$D363),"""")"),"#REF!")</f>
        <v>#REF!</v>
      </c>
      <c r="D363" s="2"/>
      <c r="E363" s="2" t="str">
        <f ca="1">IFERROR(__xludf.DUMMYFUNCTION("iferror(filter('Full Perk List'!E$3:E1498,'Full Perk List'!$D$3:$D1498=$D363),"""")"),"#REF!")</f>
        <v>#REF!</v>
      </c>
      <c r="F363" s="2" t="str">
        <f ca="1">IFERROR(__xludf.DUMMYFUNCTION("iferror(filter('Full Perk List'!F$3:F1498,'Full Perk List'!$D$3:$D1498=$D363),"""")"),"#REF!")</f>
        <v>#REF!</v>
      </c>
      <c r="G363" s="2" t="str">
        <f ca="1">IFERROR(__xludf.DUMMYFUNCTION("iferror(filter('Full Perk List'!G$3:G1498,'Full Perk List'!$D$3:$D1498=$D363),"""")"),"#REF!")</f>
        <v>#REF!</v>
      </c>
      <c r="H363" s="1"/>
      <c r="I363" s="2"/>
      <c r="J363" s="2"/>
      <c r="K363" s="2"/>
      <c r="L363" s="2"/>
      <c r="M363" s="2"/>
      <c r="N363" s="2"/>
      <c r="O363" s="2"/>
      <c r="P363" s="2"/>
      <c r="Q363" s="2"/>
      <c r="R363" s="2"/>
      <c r="S363" s="2"/>
      <c r="T363" s="2"/>
      <c r="U363" s="2"/>
      <c r="V363" s="2"/>
      <c r="W363" s="2"/>
      <c r="X363" s="2"/>
      <c r="Y363" s="2"/>
    </row>
    <row r="364" spans="1:25" ht="17.399999999999999" x14ac:dyDescent="0.25">
      <c r="A364" s="1"/>
      <c r="B364" s="40"/>
      <c r="C364" s="2" t="str">
        <f ca="1">IFERROR(__xludf.DUMMYFUNCTION("iferror(filter('Full Perk List'!C$3:C1498,'Full Perk List'!$D$3:$D1498=$D364),"""")"),"#REF!")</f>
        <v>#REF!</v>
      </c>
      <c r="D364" s="2"/>
      <c r="E364" s="2" t="str">
        <f ca="1">IFERROR(__xludf.DUMMYFUNCTION("iferror(filter('Full Perk List'!E$3:E1498,'Full Perk List'!$D$3:$D1498=$D364),"""")"),"#REF!")</f>
        <v>#REF!</v>
      </c>
      <c r="F364" s="2" t="str">
        <f ca="1">IFERROR(__xludf.DUMMYFUNCTION("iferror(filter('Full Perk List'!F$3:F1498,'Full Perk List'!$D$3:$D1498=$D364),"""")"),"#REF!")</f>
        <v>#REF!</v>
      </c>
      <c r="G364" s="2" t="str">
        <f ca="1">IFERROR(__xludf.DUMMYFUNCTION("iferror(filter('Full Perk List'!G$3:G1498,'Full Perk List'!$D$3:$D1498=$D364),"""")"),"#REF!")</f>
        <v>#REF!</v>
      </c>
      <c r="H364" s="1"/>
      <c r="I364" s="2"/>
      <c r="J364" s="2"/>
      <c r="K364" s="2"/>
      <c r="L364" s="2"/>
      <c r="M364" s="2"/>
      <c r="N364" s="2"/>
      <c r="O364" s="2"/>
      <c r="P364" s="2"/>
      <c r="Q364" s="2"/>
      <c r="R364" s="2"/>
      <c r="S364" s="2"/>
      <c r="T364" s="2"/>
      <c r="U364" s="2"/>
      <c r="V364" s="2"/>
      <c r="W364" s="2"/>
      <c r="X364" s="2"/>
      <c r="Y364" s="2"/>
    </row>
    <row r="365" spans="1:25" ht="17.399999999999999" x14ac:dyDescent="0.25">
      <c r="A365" s="1"/>
      <c r="B365" s="40"/>
      <c r="C365" s="2" t="str">
        <f ca="1">IFERROR(__xludf.DUMMYFUNCTION("iferror(filter('Full Perk List'!C$3:C1498,'Full Perk List'!$D$3:$D1498=$D365),"""")"),"#REF!")</f>
        <v>#REF!</v>
      </c>
      <c r="D365" s="2"/>
      <c r="E365" s="2" t="str">
        <f ca="1">IFERROR(__xludf.DUMMYFUNCTION("iferror(filter('Full Perk List'!E$3:E1498,'Full Perk List'!$D$3:$D1498=$D365),"""")"),"#REF!")</f>
        <v>#REF!</v>
      </c>
      <c r="F365" s="2" t="str">
        <f ca="1">IFERROR(__xludf.DUMMYFUNCTION("iferror(filter('Full Perk List'!F$3:F1498,'Full Perk List'!$D$3:$D1498=$D365),"""")"),"#REF!")</f>
        <v>#REF!</v>
      </c>
      <c r="G365" s="2" t="str">
        <f ca="1">IFERROR(__xludf.DUMMYFUNCTION("iferror(filter('Full Perk List'!G$3:G1498,'Full Perk List'!$D$3:$D1498=$D365),"""")"),"#REF!")</f>
        <v>#REF!</v>
      </c>
      <c r="H365" s="1"/>
      <c r="I365" s="2"/>
      <c r="J365" s="2"/>
      <c r="K365" s="2"/>
      <c r="L365" s="2"/>
      <c r="M365" s="2"/>
      <c r="N365" s="2"/>
      <c r="O365" s="2"/>
      <c r="P365" s="2"/>
      <c r="Q365" s="2"/>
      <c r="R365" s="2"/>
      <c r="S365" s="2"/>
      <c r="T365" s="2"/>
      <c r="U365" s="2"/>
      <c r="V365" s="2"/>
      <c r="W365" s="2"/>
      <c r="X365" s="2"/>
      <c r="Y365" s="2"/>
    </row>
    <row r="366" spans="1:25" ht="17.399999999999999" x14ac:dyDescent="0.25">
      <c r="A366" s="1"/>
      <c r="B366" s="40"/>
      <c r="C366" s="2" t="str">
        <f ca="1">IFERROR(__xludf.DUMMYFUNCTION("iferror(filter('Full Perk List'!C$3:C1498,'Full Perk List'!$D$3:$D1498=$D366),"""")"),"#REF!")</f>
        <v>#REF!</v>
      </c>
      <c r="D366" s="2"/>
      <c r="E366" s="2" t="str">
        <f ca="1">IFERROR(__xludf.DUMMYFUNCTION("iferror(filter('Full Perk List'!E$3:E1498,'Full Perk List'!$D$3:$D1498=$D366),"""")"),"#REF!")</f>
        <v>#REF!</v>
      </c>
      <c r="F366" s="2" t="str">
        <f ca="1">IFERROR(__xludf.DUMMYFUNCTION("iferror(filter('Full Perk List'!F$3:F1498,'Full Perk List'!$D$3:$D1498=$D366),"""")"),"#REF!")</f>
        <v>#REF!</v>
      </c>
      <c r="G366" s="2" t="str">
        <f ca="1">IFERROR(__xludf.DUMMYFUNCTION("iferror(filter('Full Perk List'!G$3:G1498,'Full Perk List'!$D$3:$D1498=$D366),"""")"),"#REF!")</f>
        <v>#REF!</v>
      </c>
      <c r="H366" s="1"/>
      <c r="I366" s="2"/>
      <c r="J366" s="2"/>
      <c r="K366" s="2"/>
      <c r="L366" s="2"/>
      <c r="M366" s="2"/>
      <c r="N366" s="2"/>
      <c r="O366" s="2"/>
      <c r="P366" s="2"/>
      <c r="Q366" s="2"/>
      <c r="R366" s="2"/>
      <c r="S366" s="2"/>
      <c r="T366" s="2"/>
      <c r="U366" s="2"/>
      <c r="V366" s="2"/>
      <c r="W366" s="2"/>
      <c r="X366" s="2"/>
      <c r="Y366" s="2"/>
    </row>
    <row r="367" spans="1:25" ht="17.399999999999999" x14ac:dyDescent="0.25">
      <c r="A367" s="1"/>
      <c r="B367" s="40"/>
      <c r="C367" s="2" t="str">
        <f ca="1">IFERROR(__xludf.DUMMYFUNCTION("iferror(filter('Full Perk List'!C$3:C1498,'Full Perk List'!$D$3:$D1498=$D367),"""")"),"#REF!")</f>
        <v>#REF!</v>
      </c>
      <c r="D367" s="2"/>
      <c r="E367" s="2" t="str">
        <f ca="1">IFERROR(__xludf.DUMMYFUNCTION("iferror(filter('Full Perk List'!E$3:E1498,'Full Perk List'!$D$3:$D1498=$D367),"""")"),"#REF!")</f>
        <v>#REF!</v>
      </c>
      <c r="F367" s="2" t="str">
        <f ca="1">IFERROR(__xludf.DUMMYFUNCTION("iferror(filter('Full Perk List'!F$3:F1498,'Full Perk List'!$D$3:$D1498=$D367),"""")"),"#REF!")</f>
        <v>#REF!</v>
      </c>
      <c r="G367" s="2" t="str">
        <f ca="1">IFERROR(__xludf.DUMMYFUNCTION("iferror(filter('Full Perk List'!G$3:G1498,'Full Perk List'!$D$3:$D1498=$D367),"""")"),"#REF!")</f>
        <v>#REF!</v>
      </c>
      <c r="H367" s="1"/>
      <c r="I367" s="2"/>
      <c r="J367" s="2"/>
      <c r="K367" s="2"/>
      <c r="L367" s="2"/>
      <c r="M367" s="2"/>
      <c r="N367" s="2"/>
      <c r="O367" s="2"/>
      <c r="P367" s="2"/>
      <c r="Q367" s="2"/>
      <c r="R367" s="2"/>
      <c r="S367" s="2"/>
      <c r="T367" s="2"/>
      <c r="U367" s="2"/>
      <c r="V367" s="2"/>
      <c r="W367" s="2"/>
      <c r="X367" s="2"/>
      <c r="Y367" s="2"/>
    </row>
    <row r="368" spans="1:25" ht="17.399999999999999" x14ac:dyDescent="0.25">
      <c r="A368" s="1"/>
      <c r="B368" s="40"/>
      <c r="C368" s="2" t="str">
        <f ca="1">IFERROR(__xludf.DUMMYFUNCTION("iferror(filter('Full Perk List'!C$3:C1498,'Full Perk List'!$D$3:$D1498=$D368),"""")"),"#REF!")</f>
        <v>#REF!</v>
      </c>
      <c r="D368" s="2"/>
      <c r="E368" s="2" t="str">
        <f ca="1">IFERROR(__xludf.DUMMYFUNCTION("iferror(filter('Full Perk List'!E$3:E1498,'Full Perk List'!$D$3:$D1498=$D368),"""")"),"#REF!")</f>
        <v>#REF!</v>
      </c>
      <c r="F368" s="2" t="str">
        <f ca="1">IFERROR(__xludf.DUMMYFUNCTION("iferror(filter('Full Perk List'!F$3:F1498,'Full Perk List'!$D$3:$D1498=$D368),"""")"),"#REF!")</f>
        <v>#REF!</v>
      </c>
      <c r="G368" s="2" t="str">
        <f ca="1">IFERROR(__xludf.DUMMYFUNCTION("iferror(filter('Full Perk List'!G$3:G1498,'Full Perk List'!$D$3:$D1498=$D368),"""")"),"#REF!")</f>
        <v>#REF!</v>
      </c>
      <c r="H368" s="1"/>
      <c r="I368" s="2"/>
      <c r="J368" s="2"/>
      <c r="K368" s="2"/>
      <c r="L368" s="2"/>
      <c r="M368" s="2"/>
      <c r="N368" s="2"/>
      <c r="O368" s="2"/>
      <c r="P368" s="2"/>
      <c r="Q368" s="2"/>
      <c r="R368" s="2"/>
      <c r="S368" s="2"/>
      <c r="T368" s="2"/>
      <c r="U368" s="2"/>
      <c r="V368" s="2"/>
      <c r="W368" s="2"/>
      <c r="X368" s="2"/>
      <c r="Y368" s="2"/>
    </row>
    <row r="369" spans="1:25" ht="17.399999999999999" x14ac:dyDescent="0.25">
      <c r="A369" s="1"/>
      <c r="B369" s="40"/>
      <c r="C369" s="2" t="str">
        <f ca="1">IFERROR(__xludf.DUMMYFUNCTION("iferror(filter('Full Perk List'!C$3:C1498,'Full Perk List'!$D$3:$D1498=$D369),"""")"),"#REF!")</f>
        <v>#REF!</v>
      </c>
      <c r="D369" s="2"/>
      <c r="E369" s="2" t="str">
        <f ca="1">IFERROR(__xludf.DUMMYFUNCTION("iferror(filter('Full Perk List'!E$3:E1498,'Full Perk List'!$D$3:$D1498=$D369),"""")"),"#REF!")</f>
        <v>#REF!</v>
      </c>
      <c r="F369" s="2" t="str">
        <f ca="1">IFERROR(__xludf.DUMMYFUNCTION("iferror(filter('Full Perk List'!F$3:F1498,'Full Perk List'!$D$3:$D1498=$D369),"""")"),"#REF!")</f>
        <v>#REF!</v>
      </c>
      <c r="G369" s="2" t="str">
        <f ca="1">IFERROR(__xludf.DUMMYFUNCTION("iferror(filter('Full Perk List'!G$3:G1498,'Full Perk List'!$D$3:$D1498=$D369),"""")"),"#REF!")</f>
        <v>#REF!</v>
      </c>
      <c r="H369" s="1"/>
      <c r="I369" s="2"/>
      <c r="J369" s="2"/>
      <c r="K369" s="2"/>
      <c r="L369" s="2"/>
      <c r="M369" s="2"/>
      <c r="N369" s="2"/>
      <c r="O369" s="2"/>
      <c r="P369" s="2"/>
      <c r="Q369" s="2"/>
      <c r="R369" s="2"/>
      <c r="S369" s="2"/>
      <c r="T369" s="2"/>
      <c r="U369" s="2"/>
      <c r="V369" s="2"/>
      <c r="W369" s="2"/>
      <c r="X369" s="2"/>
      <c r="Y369" s="2"/>
    </row>
    <row r="370" spans="1:25" ht="17.399999999999999" x14ac:dyDescent="0.25">
      <c r="A370" s="1"/>
      <c r="B370" s="40"/>
      <c r="C370" s="2" t="str">
        <f ca="1">IFERROR(__xludf.DUMMYFUNCTION("iferror(filter('Full Perk List'!C$3:C1498,'Full Perk List'!$D$3:$D1498=$D370),"""")"),"#REF!")</f>
        <v>#REF!</v>
      </c>
      <c r="D370" s="2"/>
      <c r="E370" s="2" t="str">
        <f ca="1">IFERROR(__xludf.DUMMYFUNCTION("iferror(filter('Full Perk List'!E$3:E1498,'Full Perk List'!$D$3:$D1498=$D370),"""")"),"#REF!")</f>
        <v>#REF!</v>
      </c>
      <c r="F370" s="2" t="str">
        <f ca="1">IFERROR(__xludf.DUMMYFUNCTION("iferror(filter('Full Perk List'!F$3:F1498,'Full Perk List'!$D$3:$D1498=$D370),"""")"),"#REF!")</f>
        <v>#REF!</v>
      </c>
      <c r="G370" s="2" t="str">
        <f ca="1">IFERROR(__xludf.DUMMYFUNCTION("iferror(filter('Full Perk List'!G$3:G1498,'Full Perk List'!$D$3:$D1498=$D370),"""")"),"#REF!")</f>
        <v>#REF!</v>
      </c>
      <c r="H370" s="1"/>
      <c r="I370" s="2"/>
      <c r="J370" s="2"/>
      <c r="K370" s="2"/>
      <c r="L370" s="2"/>
      <c r="M370" s="2"/>
      <c r="N370" s="2"/>
      <c r="O370" s="2"/>
      <c r="P370" s="2"/>
      <c r="Q370" s="2"/>
      <c r="R370" s="2"/>
      <c r="S370" s="2"/>
      <c r="T370" s="2"/>
      <c r="U370" s="2"/>
      <c r="V370" s="2"/>
      <c r="W370" s="2"/>
      <c r="X370" s="2"/>
      <c r="Y370" s="2"/>
    </row>
    <row r="371" spans="1:25" ht="17.399999999999999" x14ac:dyDescent="0.25">
      <c r="A371" s="1"/>
      <c r="B371" s="40"/>
      <c r="C371" s="2" t="str">
        <f ca="1">IFERROR(__xludf.DUMMYFUNCTION("iferror(filter('Full Perk List'!C$3:C1498,'Full Perk List'!$D$3:$D1498=$D371),"""")"),"#REF!")</f>
        <v>#REF!</v>
      </c>
      <c r="D371" s="2"/>
      <c r="E371" s="2" t="str">
        <f ca="1">IFERROR(__xludf.DUMMYFUNCTION("iferror(filter('Full Perk List'!E$3:E1498,'Full Perk List'!$D$3:$D1498=$D371),"""")"),"#REF!")</f>
        <v>#REF!</v>
      </c>
      <c r="F371" s="2" t="str">
        <f ca="1">IFERROR(__xludf.DUMMYFUNCTION("iferror(filter('Full Perk List'!F$3:F1498,'Full Perk List'!$D$3:$D1498=$D371),"""")"),"#REF!")</f>
        <v>#REF!</v>
      </c>
      <c r="G371" s="2" t="str">
        <f ca="1">IFERROR(__xludf.DUMMYFUNCTION("iferror(filter('Full Perk List'!G$3:G1498,'Full Perk List'!$D$3:$D1498=$D371),"""")"),"#REF!")</f>
        <v>#REF!</v>
      </c>
      <c r="H371" s="1"/>
      <c r="I371" s="2"/>
      <c r="J371" s="2"/>
      <c r="K371" s="2"/>
      <c r="L371" s="2"/>
      <c r="M371" s="2"/>
      <c r="N371" s="2"/>
      <c r="O371" s="2"/>
      <c r="P371" s="2"/>
      <c r="Q371" s="2"/>
      <c r="R371" s="2"/>
      <c r="S371" s="2"/>
      <c r="T371" s="2"/>
      <c r="U371" s="2"/>
      <c r="V371" s="2"/>
      <c r="W371" s="2"/>
      <c r="X371" s="2"/>
      <c r="Y371" s="2"/>
    </row>
    <row r="372" spans="1:25" ht="17.399999999999999" x14ac:dyDescent="0.25">
      <c r="A372" s="1"/>
      <c r="B372" s="40"/>
      <c r="C372" s="2" t="str">
        <f ca="1">IFERROR(__xludf.DUMMYFUNCTION("iferror(filter('Full Perk List'!C$3:C1498,'Full Perk List'!$D$3:$D1498=$D372),"""")"),"#REF!")</f>
        <v>#REF!</v>
      </c>
      <c r="D372" s="2"/>
      <c r="E372" s="2" t="str">
        <f ca="1">IFERROR(__xludf.DUMMYFUNCTION("iferror(filter('Full Perk List'!E$3:E1498,'Full Perk List'!$D$3:$D1498=$D372),"""")"),"#REF!")</f>
        <v>#REF!</v>
      </c>
      <c r="F372" s="2" t="str">
        <f ca="1">IFERROR(__xludf.DUMMYFUNCTION("iferror(filter('Full Perk List'!F$3:F1498,'Full Perk List'!$D$3:$D1498=$D372),"""")"),"#REF!")</f>
        <v>#REF!</v>
      </c>
      <c r="G372" s="2" t="str">
        <f ca="1">IFERROR(__xludf.DUMMYFUNCTION("iferror(filter('Full Perk List'!G$3:G1498,'Full Perk List'!$D$3:$D1498=$D372),"""")"),"#REF!")</f>
        <v>#REF!</v>
      </c>
      <c r="H372" s="1"/>
      <c r="I372" s="2"/>
      <c r="J372" s="2"/>
      <c r="K372" s="2"/>
      <c r="L372" s="2"/>
      <c r="M372" s="2"/>
      <c r="N372" s="2"/>
      <c r="O372" s="2"/>
      <c r="P372" s="2"/>
      <c r="Q372" s="2"/>
      <c r="R372" s="2"/>
      <c r="S372" s="2"/>
      <c r="T372" s="2"/>
      <c r="U372" s="2"/>
      <c r="V372" s="2"/>
      <c r="W372" s="2"/>
      <c r="X372" s="2"/>
      <c r="Y372" s="2"/>
    </row>
    <row r="373" spans="1:25" ht="17.399999999999999" x14ac:dyDescent="0.25">
      <c r="A373" s="1"/>
      <c r="B373" s="40"/>
      <c r="C373" s="2" t="str">
        <f ca="1">IFERROR(__xludf.DUMMYFUNCTION("iferror(filter('Full Perk List'!C$3:C1498,'Full Perk List'!$D$3:$D1498=$D373),"""")"),"#REF!")</f>
        <v>#REF!</v>
      </c>
      <c r="D373" s="2"/>
      <c r="E373" s="2" t="str">
        <f ca="1">IFERROR(__xludf.DUMMYFUNCTION("iferror(filter('Full Perk List'!E$3:E1498,'Full Perk List'!$D$3:$D1498=$D373),"""")"),"#REF!")</f>
        <v>#REF!</v>
      </c>
      <c r="F373" s="2" t="str">
        <f ca="1">IFERROR(__xludf.DUMMYFUNCTION("iferror(filter('Full Perk List'!F$3:F1498,'Full Perk List'!$D$3:$D1498=$D373),"""")"),"#REF!")</f>
        <v>#REF!</v>
      </c>
      <c r="G373" s="2" t="str">
        <f ca="1">IFERROR(__xludf.DUMMYFUNCTION("iferror(filter('Full Perk List'!G$3:G1498,'Full Perk List'!$D$3:$D1498=$D373),"""")"),"#REF!")</f>
        <v>#REF!</v>
      </c>
      <c r="H373" s="1"/>
      <c r="I373" s="2"/>
      <c r="J373" s="2"/>
      <c r="K373" s="2"/>
      <c r="L373" s="2"/>
      <c r="M373" s="2"/>
      <c r="N373" s="2"/>
      <c r="O373" s="2"/>
      <c r="P373" s="2"/>
      <c r="Q373" s="2"/>
      <c r="R373" s="2"/>
      <c r="S373" s="2"/>
      <c r="T373" s="2"/>
      <c r="U373" s="2"/>
      <c r="V373" s="2"/>
      <c r="W373" s="2"/>
      <c r="X373" s="2"/>
      <c r="Y373" s="2"/>
    </row>
    <row r="374" spans="1:25" ht="17.399999999999999" x14ac:dyDescent="0.25">
      <c r="A374" s="1"/>
      <c r="B374" s="40"/>
      <c r="C374" s="2" t="str">
        <f ca="1">IFERROR(__xludf.DUMMYFUNCTION("iferror(filter('Full Perk List'!C$3:C1498,'Full Perk List'!$D$3:$D1498=$D374),"""")"),"#REF!")</f>
        <v>#REF!</v>
      </c>
      <c r="D374" s="2"/>
      <c r="E374" s="2" t="str">
        <f ca="1">IFERROR(__xludf.DUMMYFUNCTION("iferror(filter('Full Perk List'!E$3:E1498,'Full Perk List'!$D$3:$D1498=$D374),"""")"),"#REF!")</f>
        <v>#REF!</v>
      </c>
      <c r="F374" s="2" t="str">
        <f ca="1">IFERROR(__xludf.DUMMYFUNCTION("iferror(filter('Full Perk List'!F$3:F1498,'Full Perk List'!$D$3:$D1498=$D374),"""")"),"#REF!")</f>
        <v>#REF!</v>
      </c>
      <c r="G374" s="2" t="str">
        <f ca="1">IFERROR(__xludf.DUMMYFUNCTION("iferror(filter('Full Perk List'!G$3:G1498,'Full Perk List'!$D$3:$D1498=$D374),"""")"),"#REF!")</f>
        <v>#REF!</v>
      </c>
      <c r="H374" s="1"/>
      <c r="I374" s="2"/>
      <c r="J374" s="2"/>
      <c r="K374" s="2"/>
      <c r="L374" s="2"/>
      <c r="M374" s="2"/>
      <c r="N374" s="2"/>
      <c r="O374" s="2"/>
      <c r="P374" s="2"/>
      <c r="Q374" s="2"/>
      <c r="R374" s="2"/>
      <c r="S374" s="2"/>
      <c r="T374" s="2"/>
      <c r="U374" s="2"/>
      <c r="V374" s="2"/>
      <c r="W374" s="2"/>
      <c r="X374" s="2"/>
      <c r="Y374" s="2"/>
    </row>
    <row r="375" spans="1:25" ht="17.399999999999999" x14ac:dyDescent="0.25">
      <c r="A375" s="1"/>
      <c r="B375" s="40"/>
      <c r="C375" s="2" t="str">
        <f ca="1">IFERROR(__xludf.DUMMYFUNCTION("iferror(filter('Full Perk List'!C$3:C1498,'Full Perk List'!$D$3:$D1498=$D375),"""")"),"#REF!")</f>
        <v>#REF!</v>
      </c>
      <c r="D375" s="2"/>
      <c r="E375" s="2" t="str">
        <f ca="1">IFERROR(__xludf.DUMMYFUNCTION("iferror(filter('Full Perk List'!E$3:E1498,'Full Perk List'!$D$3:$D1498=$D375),"""")"),"#REF!")</f>
        <v>#REF!</v>
      </c>
      <c r="F375" s="2" t="str">
        <f ca="1">IFERROR(__xludf.DUMMYFUNCTION("iferror(filter('Full Perk List'!F$3:F1498,'Full Perk List'!$D$3:$D1498=$D375),"""")"),"#REF!")</f>
        <v>#REF!</v>
      </c>
      <c r="G375" s="2" t="str">
        <f ca="1">IFERROR(__xludf.DUMMYFUNCTION("iferror(filter('Full Perk List'!G$3:G1498,'Full Perk List'!$D$3:$D1498=$D375),"""")"),"#REF!")</f>
        <v>#REF!</v>
      </c>
      <c r="H375" s="1"/>
      <c r="I375" s="2"/>
      <c r="J375" s="2"/>
      <c r="K375" s="2"/>
      <c r="L375" s="2"/>
      <c r="M375" s="2"/>
      <c r="N375" s="2"/>
      <c r="O375" s="2"/>
      <c r="P375" s="2"/>
      <c r="Q375" s="2"/>
      <c r="R375" s="2"/>
      <c r="S375" s="2"/>
      <c r="T375" s="2"/>
      <c r="U375" s="2"/>
      <c r="V375" s="2"/>
      <c r="W375" s="2"/>
      <c r="X375" s="2"/>
      <c r="Y375" s="2"/>
    </row>
    <row r="376" spans="1:25" ht="17.399999999999999" x14ac:dyDescent="0.25">
      <c r="A376" s="1"/>
      <c r="B376" s="40"/>
      <c r="C376" s="2" t="str">
        <f ca="1">IFERROR(__xludf.DUMMYFUNCTION("iferror(filter('Full Perk List'!C$3:C1498,'Full Perk List'!$D$3:$D1498=$D376),"""")"),"#REF!")</f>
        <v>#REF!</v>
      </c>
      <c r="D376" s="2"/>
      <c r="E376" s="2" t="str">
        <f ca="1">IFERROR(__xludf.DUMMYFUNCTION("iferror(filter('Full Perk List'!E$3:E1498,'Full Perk List'!$D$3:$D1498=$D376),"""")"),"#REF!")</f>
        <v>#REF!</v>
      </c>
      <c r="F376" s="2" t="str">
        <f ca="1">IFERROR(__xludf.DUMMYFUNCTION("iferror(filter('Full Perk List'!F$3:F1498,'Full Perk List'!$D$3:$D1498=$D376),"""")"),"#REF!")</f>
        <v>#REF!</v>
      </c>
      <c r="G376" s="2" t="str">
        <f ca="1">IFERROR(__xludf.DUMMYFUNCTION("iferror(filter('Full Perk List'!G$3:G1498,'Full Perk List'!$D$3:$D1498=$D376),"""")"),"#REF!")</f>
        <v>#REF!</v>
      </c>
      <c r="H376" s="1"/>
      <c r="I376" s="2"/>
      <c r="J376" s="2"/>
      <c r="K376" s="2"/>
      <c r="L376" s="2"/>
      <c r="M376" s="2"/>
      <c r="N376" s="2"/>
      <c r="O376" s="2"/>
      <c r="P376" s="2"/>
      <c r="Q376" s="2"/>
      <c r="R376" s="2"/>
      <c r="S376" s="2"/>
      <c r="T376" s="2"/>
      <c r="U376" s="2"/>
      <c r="V376" s="2"/>
      <c r="W376" s="2"/>
      <c r="X376" s="2"/>
      <c r="Y376" s="2"/>
    </row>
    <row r="377" spans="1:25" ht="17.399999999999999" x14ac:dyDescent="0.25">
      <c r="A377" s="1"/>
      <c r="B377" s="40"/>
      <c r="C377" s="2" t="str">
        <f ca="1">IFERROR(__xludf.DUMMYFUNCTION("iferror(filter('Full Perk List'!C$3:C1498,'Full Perk List'!$D$3:$D1498=$D377),"""")"),"#REF!")</f>
        <v>#REF!</v>
      </c>
      <c r="D377" s="2"/>
      <c r="E377" s="2" t="str">
        <f ca="1">IFERROR(__xludf.DUMMYFUNCTION("iferror(filter('Full Perk List'!E$3:E1498,'Full Perk List'!$D$3:$D1498=$D377),"""")"),"#REF!")</f>
        <v>#REF!</v>
      </c>
      <c r="F377" s="2" t="str">
        <f ca="1">IFERROR(__xludf.DUMMYFUNCTION("iferror(filter('Full Perk List'!F$3:F1498,'Full Perk List'!$D$3:$D1498=$D377),"""")"),"#REF!")</f>
        <v>#REF!</v>
      </c>
      <c r="G377" s="2" t="str">
        <f ca="1">IFERROR(__xludf.DUMMYFUNCTION("iferror(filter('Full Perk List'!G$3:G1498,'Full Perk List'!$D$3:$D1498=$D377),"""")"),"#REF!")</f>
        <v>#REF!</v>
      </c>
      <c r="H377" s="1"/>
      <c r="I377" s="2"/>
      <c r="J377" s="2"/>
      <c r="K377" s="2"/>
      <c r="L377" s="2"/>
      <c r="M377" s="2"/>
      <c r="N377" s="2"/>
      <c r="O377" s="2"/>
      <c r="P377" s="2"/>
      <c r="Q377" s="2"/>
      <c r="R377" s="2"/>
      <c r="S377" s="2"/>
      <c r="T377" s="2"/>
      <c r="U377" s="2"/>
      <c r="V377" s="2"/>
      <c r="W377" s="2"/>
      <c r="X377" s="2"/>
      <c r="Y377" s="2"/>
    </row>
    <row r="378" spans="1:25" ht="17.399999999999999" x14ac:dyDescent="0.25">
      <c r="A378" s="1"/>
      <c r="B378" s="40"/>
      <c r="C378" s="2" t="str">
        <f ca="1">IFERROR(__xludf.DUMMYFUNCTION("iferror(filter('Full Perk List'!C$3:C1498,'Full Perk List'!$D$3:$D1498=$D378),"""")"),"#REF!")</f>
        <v>#REF!</v>
      </c>
      <c r="D378" s="2"/>
      <c r="E378" s="2" t="str">
        <f ca="1">IFERROR(__xludf.DUMMYFUNCTION("iferror(filter('Full Perk List'!E$3:E1498,'Full Perk List'!$D$3:$D1498=$D378),"""")"),"#REF!")</f>
        <v>#REF!</v>
      </c>
      <c r="F378" s="2" t="str">
        <f ca="1">IFERROR(__xludf.DUMMYFUNCTION("iferror(filter('Full Perk List'!F$3:F1498,'Full Perk List'!$D$3:$D1498=$D378),"""")"),"#REF!")</f>
        <v>#REF!</v>
      </c>
      <c r="G378" s="2" t="str">
        <f ca="1">IFERROR(__xludf.DUMMYFUNCTION("iferror(filter('Full Perk List'!G$3:G1498,'Full Perk List'!$D$3:$D1498=$D378),"""")"),"#REF!")</f>
        <v>#REF!</v>
      </c>
      <c r="H378" s="1"/>
      <c r="I378" s="2"/>
      <c r="J378" s="2"/>
      <c r="K378" s="2"/>
      <c r="L378" s="2"/>
      <c r="M378" s="2"/>
      <c r="N378" s="2"/>
      <c r="O378" s="2"/>
      <c r="P378" s="2"/>
      <c r="Q378" s="2"/>
      <c r="R378" s="2"/>
      <c r="S378" s="2"/>
      <c r="T378" s="2"/>
      <c r="U378" s="2"/>
      <c r="V378" s="2"/>
      <c r="W378" s="2"/>
      <c r="X378" s="2"/>
      <c r="Y378" s="2"/>
    </row>
    <row r="379" spans="1:25" ht="17.399999999999999" x14ac:dyDescent="0.25">
      <c r="A379" s="1"/>
      <c r="B379" s="40"/>
      <c r="C379" s="2" t="str">
        <f ca="1">IFERROR(__xludf.DUMMYFUNCTION("iferror(filter('Full Perk List'!C$3:C1498,'Full Perk List'!$D$3:$D1498=$D379),"""")"),"#REF!")</f>
        <v>#REF!</v>
      </c>
      <c r="D379" s="2"/>
      <c r="E379" s="2" t="str">
        <f ca="1">IFERROR(__xludf.DUMMYFUNCTION("iferror(filter('Full Perk List'!E$3:E1498,'Full Perk List'!$D$3:$D1498=$D379),"""")"),"#REF!")</f>
        <v>#REF!</v>
      </c>
      <c r="F379" s="2" t="str">
        <f ca="1">IFERROR(__xludf.DUMMYFUNCTION("iferror(filter('Full Perk List'!F$3:F1498,'Full Perk List'!$D$3:$D1498=$D379),"""")"),"#REF!")</f>
        <v>#REF!</v>
      </c>
      <c r="G379" s="2" t="str">
        <f ca="1">IFERROR(__xludf.DUMMYFUNCTION("iferror(filter('Full Perk List'!G$3:G1498,'Full Perk List'!$D$3:$D1498=$D379),"""")"),"#REF!")</f>
        <v>#REF!</v>
      </c>
      <c r="H379" s="1"/>
      <c r="I379" s="2"/>
      <c r="J379" s="2"/>
      <c r="K379" s="2"/>
      <c r="L379" s="2"/>
      <c r="M379" s="2"/>
      <c r="N379" s="2"/>
      <c r="O379" s="2"/>
      <c r="P379" s="2"/>
      <c r="Q379" s="2"/>
      <c r="R379" s="2"/>
      <c r="S379" s="2"/>
      <c r="T379" s="2"/>
      <c r="U379" s="2"/>
      <c r="V379" s="2"/>
      <c r="W379" s="2"/>
      <c r="X379" s="2"/>
      <c r="Y379" s="2"/>
    </row>
    <row r="380" spans="1:25" ht="17.399999999999999" x14ac:dyDescent="0.25">
      <c r="A380" s="1"/>
      <c r="B380" s="40"/>
      <c r="C380" s="2" t="str">
        <f ca="1">IFERROR(__xludf.DUMMYFUNCTION("iferror(filter('Full Perk List'!C$3:C1498,'Full Perk List'!$D$3:$D1498=$D380),"""")"),"#REF!")</f>
        <v>#REF!</v>
      </c>
      <c r="D380" s="2"/>
      <c r="E380" s="2" t="str">
        <f ca="1">IFERROR(__xludf.DUMMYFUNCTION("iferror(filter('Full Perk List'!E$3:E1498,'Full Perk List'!$D$3:$D1498=$D380),"""")"),"#REF!")</f>
        <v>#REF!</v>
      </c>
      <c r="F380" s="2" t="str">
        <f ca="1">IFERROR(__xludf.DUMMYFUNCTION("iferror(filter('Full Perk List'!F$3:F1498,'Full Perk List'!$D$3:$D1498=$D380),"""")"),"#REF!")</f>
        <v>#REF!</v>
      </c>
      <c r="G380" s="2" t="str">
        <f ca="1">IFERROR(__xludf.DUMMYFUNCTION("iferror(filter('Full Perk List'!G$3:G1498,'Full Perk List'!$D$3:$D1498=$D380),"""")"),"#REF!")</f>
        <v>#REF!</v>
      </c>
      <c r="H380" s="1"/>
      <c r="I380" s="2"/>
      <c r="J380" s="2"/>
      <c r="K380" s="2"/>
      <c r="L380" s="2"/>
      <c r="M380" s="2"/>
      <c r="N380" s="2"/>
      <c r="O380" s="2"/>
      <c r="P380" s="2"/>
      <c r="Q380" s="2"/>
      <c r="R380" s="2"/>
      <c r="S380" s="2"/>
      <c r="T380" s="2"/>
      <c r="U380" s="2"/>
      <c r="V380" s="2"/>
      <c r="W380" s="2"/>
      <c r="X380" s="2"/>
      <c r="Y380" s="2"/>
    </row>
    <row r="381" spans="1:25" ht="17.399999999999999" x14ac:dyDescent="0.25">
      <c r="A381" s="1"/>
      <c r="B381" s="40"/>
      <c r="C381" s="2" t="str">
        <f ca="1">IFERROR(__xludf.DUMMYFUNCTION("iferror(filter('Full Perk List'!C$3:C1498,'Full Perk List'!$D$3:$D1498=$D381),"""")"),"#REF!")</f>
        <v>#REF!</v>
      </c>
      <c r="D381" s="2"/>
      <c r="E381" s="2" t="str">
        <f ca="1">IFERROR(__xludf.DUMMYFUNCTION("iferror(filter('Full Perk List'!E$3:E1498,'Full Perk List'!$D$3:$D1498=$D381),"""")"),"#REF!")</f>
        <v>#REF!</v>
      </c>
      <c r="F381" s="2" t="str">
        <f ca="1">IFERROR(__xludf.DUMMYFUNCTION("iferror(filter('Full Perk List'!F$3:F1498,'Full Perk List'!$D$3:$D1498=$D381),"""")"),"#REF!")</f>
        <v>#REF!</v>
      </c>
      <c r="G381" s="2" t="str">
        <f ca="1">IFERROR(__xludf.DUMMYFUNCTION("iferror(filter('Full Perk List'!G$3:G1498,'Full Perk List'!$D$3:$D1498=$D381),"""")"),"#REF!")</f>
        <v>#REF!</v>
      </c>
      <c r="H381" s="1"/>
      <c r="I381" s="2"/>
      <c r="J381" s="2"/>
      <c r="K381" s="2"/>
      <c r="L381" s="2"/>
      <c r="M381" s="2"/>
      <c r="N381" s="2"/>
      <c r="O381" s="2"/>
      <c r="P381" s="2"/>
      <c r="Q381" s="2"/>
      <c r="R381" s="2"/>
      <c r="S381" s="2"/>
      <c r="T381" s="2"/>
      <c r="U381" s="2"/>
      <c r="V381" s="2"/>
      <c r="W381" s="2"/>
      <c r="X381" s="2"/>
      <c r="Y381" s="2"/>
    </row>
    <row r="382" spans="1:25" ht="17.399999999999999" x14ac:dyDescent="0.25">
      <c r="A382" s="1"/>
      <c r="B382" s="40"/>
      <c r="C382" s="2" t="str">
        <f ca="1">IFERROR(__xludf.DUMMYFUNCTION("iferror(filter('Full Perk List'!C$3:C1498,'Full Perk List'!$D$3:$D1498=$D382),"""")"),"#REF!")</f>
        <v>#REF!</v>
      </c>
      <c r="D382" s="2"/>
      <c r="E382" s="2" t="str">
        <f ca="1">IFERROR(__xludf.DUMMYFUNCTION("iferror(filter('Full Perk List'!E$3:E1498,'Full Perk List'!$D$3:$D1498=$D382),"""")"),"#REF!")</f>
        <v>#REF!</v>
      </c>
      <c r="F382" s="2" t="str">
        <f ca="1">IFERROR(__xludf.DUMMYFUNCTION("iferror(filter('Full Perk List'!F$3:F1498,'Full Perk List'!$D$3:$D1498=$D382),"""")"),"#REF!")</f>
        <v>#REF!</v>
      </c>
      <c r="G382" s="2" t="str">
        <f ca="1">IFERROR(__xludf.DUMMYFUNCTION("iferror(filter('Full Perk List'!G$3:G1498,'Full Perk List'!$D$3:$D1498=$D382),"""")"),"#REF!")</f>
        <v>#REF!</v>
      </c>
      <c r="H382" s="1"/>
      <c r="I382" s="2"/>
      <c r="J382" s="2"/>
      <c r="K382" s="2"/>
      <c r="L382" s="2"/>
      <c r="M382" s="2"/>
      <c r="N382" s="2"/>
      <c r="O382" s="2"/>
      <c r="P382" s="2"/>
      <c r="Q382" s="2"/>
      <c r="R382" s="2"/>
      <c r="S382" s="2"/>
      <c r="T382" s="2"/>
      <c r="U382" s="2"/>
      <c r="V382" s="2"/>
      <c r="W382" s="2"/>
      <c r="X382" s="2"/>
      <c r="Y382" s="2"/>
    </row>
    <row r="383" spans="1:25" ht="17.399999999999999" x14ac:dyDescent="0.25">
      <c r="A383" s="1"/>
      <c r="B383" s="40"/>
      <c r="C383" s="2" t="str">
        <f ca="1">IFERROR(__xludf.DUMMYFUNCTION("iferror(filter('Full Perk List'!C$3:C1498,'Full Perk List'!$D$3:$D1498=$D383),"""")"),"#REF!")</f>
        <v>#REF!</v>
      </c>
      <c r="D383" s="2"/>
      <c r="E383" s="2" t="str">
        <f ca="1">IFERROR(__xludf.DUMMYFUNCTION("iferror(filter('Full Perk List'!E$3:E1498,'Full Perk List'!$D$3:$D1498=$D383),"""")"),"#REF!")</f>
        <v>#REF!</v>
      </c>
      <c r="F383" s="2" t="str">
        <f ca="1">IFERROR(__xludf.DUMMYFUNCTION("iferror(filter('Full Perk List'!F$3:F1498,'Full Perk List'!$D$3:$D1498=$D383),"""")"),"#REF!")</f>
        <v>#REF!</v>
      </c>
      <c r="G383" s="2" t="str">
        <f ca="1">IFERROR(__xludf.DUMMYFUNCTION("iferror(filter('Full Perk List'!G$3:G1498,'Full Perk List'!$D$3:$D1498=$D383),"""")"),"#REF!")</f>
        <v>#REF!</v>
      </c>
      <c r="H383" s="1"/>
      <c r="I383" s="2"/>
      <c r="J383" s="2"/>
      <c r="K383" s="2"/>
      <c r="L383" s="2"/>
      <c r="M383" s="2"/>
      <c r="N383" s="2"/>
      <c r="O383" s="2"/>
      <c r="P383" s="2"/>
      <c r="Q383" s="2"/>
      <c r="R383" s="2"/>
      <c r="S383" s="2"/>
      <c r="T383" s="2"/>
      <c r="U383" s="2"/>
      <c r="V383" s="2"/>
      <c r="W383" s="2"/>
      <c r="X383" s="2"/>
      <c r="Y383" s="2"/>
    </row>
    <row r="384" spans="1:25" ht="17.399999999999999" x14ac:dyDescent="0.25">
      <c r="A384" s="1"/>
      <c r="B384" s="40"/>
      <c r="C384" s="2" t="str">
        <f ca="1">IFERROR(__xludf.DUMMYFUNCTION("iferror(filter('Full Perk List'!C$3:C1498,'Full Perk List'!$D$3:$D1498=$D384),"""")"),"#REF!")</f>
        <v>#REF!</v>
      </c>
      <c r="D384" s="2"/>
      <c r="E384" s="2" t="str">
        <f ca="1">IFERROR(__xludf.DUMMYFUNCTION("iferror(filter('Full Perk List'!E$3:E1498,'Full Perk List'!$D$3:$D1498=$D384),"""")"),"#REF!")</f>
        <v>#REF!</v>
      </c>
      <c r="F384" s="2" t="str">
        <f ca="1">IFERROR(__xludf.DUMMYFUNCTION("iferror(filter('Full Perk List'!F$3:F1498,'Full Perk List'!$D$3:$D1498=$D384),"""")"),"#REF!")</f>
        <v>#REF!</v>
      </c>
      <c r="G384" s="2" t="str">
        <f ca="1">IFERROR(__xludf.DUMMYFUNCTION("iferror(filter('Full Perk List'!G$3:G1498,'Full Perk List'!$D$3:$D1498=$D384),"""")"),"#REF!")</f>
        <v>#REF!</v>
      </c>
      <c r="H384" s="1"/>
      <c r="I384" s="2"/>
      <c r="J384" s="2"/>
      <c r="K384" s="2"/>
      <c r="L384" s="2"/>
      <c r="M384" s="2"/>
      <c r="N384" s="2"/>
      <c r="O384" s="2"/>
      <c r="P384" s="2"/>
      <c r="Q384" s="2"/>
      <c r="R384" s="2"/>
      <c r="S384" s="2"/>
      <c r="T384" s="2"/>
      <c r="U384" s="2"/>
      <c r="V384" s="2"/>
      <c r="W384" s="2"/>
      <c r="X384" s="2"/>
      <c r="Y384" s="2"/>
    </row>
    <row r="385" spans="1:25" ht="17.399999999999999" x14ac:dyDescent="0.25">
      <c r="A385" s="1"/>
      <c r="B385" s="40"/>
      <c r="C385" s="2" t="str">
        <f ca="1">IFERROR(__xludf.DUMMYFUNCTION("iferror(filter('Full Perk List'!C$3:C1498,'Full Perk List'!$D$3:$D1498=$D385),"""")"),"#REF!")</f>
        <v>#REF!</v>
      </c>
      <c r="D385" s="2"/>
      <c r="E385" s="2" t="str">
        <f ca="1">IFERROR(__xludf.DUMMYFUNCTION("iferror(filter('Full Perk List'!E$3:E1498,'Full Perk List'!$D$3:$D1498=$D385),"""")"),"#REF!")</f>
        <v>#REF!</v>
      </c>
      <c r="F385" s="2" t="str">
        <f ca="1">IFERROR(__xludf.DUMMYFUNCTION("iferror(filter('Full Perk List'!F$3:F1498,'Full Perk List'!$D$3:$D1498=$D385),"""")"),"#REF!")</f>
        <v>#REF!</v>
      </c>
      <c r="G385" s="2" t="str">
        <f ca="1">IFERROR(__xludf.DUMMYFUNCTION("iferror(filter('Full Perk List'!G$3:G1498,'Full Perk List'!$D$3:$D1498=$D385),"""")"),"#REF!")</f>
        <v>#REF!</v>
      </c>
      <c r="H385" s="1"/>
      <c r="I385" s="2"/>
      <c r="J385" s="2"/>
      <c r="K385" s="2"/>
      <c r="L385" s="2"/>
      <c r="M385" s="2"/>
      <c r="N385" s="2"/>
      <c r="O385" s="2"/>
      <c r="P385" s="2"/>
      <c r="Q385" s="2"/>
      <c r="R385" s="2"/>
      <c r="S385" s="2"/>
      <c r="T385" s="2"/>
      <c r="U385" s="2"/>
      <c r="V385" s="2"/>
      <c r="W385" s="2"/>
      <c r="X385" s="2"/>
      <c r="Y385" s="2"/>
    </row>
    <row r="386" spans="1:25" ht="17.399999999999999" x14ac:dyDescent="0.25">
      <c r="A386" s="1"/>
      <c r="B386" s="40"/>
      <c r="C386" s="2" t="str">
        <f ca="1">IFERROR(__xludf.DUMMYFUNCTION("iferror(filter('Full Perk List'!C$3:C1498,'Full Perk List'!$D$3:$D1498=$D386),"""")"),"#REF!")</f>
        <v>#REF!</v>
      </c>
      <c r="D386" s="2"/>
      <c r="E386" s="2" t="str">
        <f ca="1">IFERROR(__xludf.DUMMYFUNCTION("iferror(filter('Full Perk List'!E$3:E1498,'Full Perk List'!$D$3:$D1498=$D386),"""")"),"#REF!")</f>
        <v>#REF!</v>
      </c>
      <c r="F386" s="2" t="str">
        <f ca="1">IFERROR(__xludf.DUMMYFUNCTION("iferror(filter('Full Perk List'!F$3:F1498,'Full Perk List'!$D$3:$D1498=$D386),"""")"),"#REF!")</f>
        <v>#REF!</v>
      </c>
      <c r="G386" s="2" t="str">
        <f ca="1">IFERROR(__xludf.DUMMYFUNCTION("iferror(filter('Full Perk List'!G$3:G1498,'Full Perk List'!$D$3:$D1498=$D386),"""")"),"#REF!")</f>
        <v>#REF!</v>
      </c>
      <c r="H386" s="1"/>
      <c r="I386" s="2"/>
      <c r="J386" s="2"/>
      <c r="K386" s="2"/>
      <c r="L386" s="2"/>
      <c r="M386" s="2"/>
      <c r="N386" s="2"/>
      <c r="O386" s="2"/>
      <c r="P386" s="2"/>
      <c r="Q386" s="2"/>
      <c r="R386" s="2"/>
      <c r="S386" s="2"/>
      <c r="T386" s="2"/>
      <c r="U386" s="2"/>
      <c r="V386" s="2"/>
      <c r="W386" s="2"/>
      <c r="X386" s="2"/>
      <c r="Y386" s="2"/>
    </row>
    <row r="387" spans="1:25" ht="17.399999999999999" x14ac:dyDescent="0.25">
      <c r="A387" s="1"/>
      <c r="B387" s="40"/>
      <c r="C387" s="2" t="str">
        <f ca="1">IFERROR(__xludf.DUMMYFUNCTION("iferror(filter('Full Perk List'!C$3:C1498,'Full Perk List'!$D$3:$D1498=$D387),"""")"),"#REF!")</f>
        <v>#REF!</v>
      </c>
      <c r="D387" s="2"/>
      <c r="E387" s="2" t="str">
        <f ca="1">IFERROR(__xludf.DUMMYFUNCTION("iferror(filter('Full Perk List'!E$3:E1498,'Full Perk List'!$D$3:$D1498=$D387),"""")"),"#REF!")</f>
        <v>#REF!</v>
      </c>
      <c r="F387" s="2" t="str">
        <f ca="1">IFERROR(__xludf.DUMMYFUNCTION("iferror(filter('Full Perk List'!F$3:F1498,'Full Perk List'!$D$3:$D1498=$D387),"""")"),"#REF!")</f>
        <v>#REF!</v>
      </c>
      <c r="G387" s="2" t="str">
        <f ca="1">IFERROR(__xludf.DUMMYFUNCTION("iferror(filter('Full Perk List'!G$3:G1498,'Full Perk List'!$D$3:$D1498=$D387),"""")"),"#REF!")</f>
        <v>#REF!</v>
      </c>
      <c r="H387" s="1"/>
      <c r="I387" s="2"/>
      <c r="J387" s="2"/>
      <c r="K387" s="2"/>
      <c r="L387" s="2"/>
      <c r="M387" s="2"/>
      <c r="N387" s="2"/>
      <c r="O387" s="2"/>
      <c r="P387" s="2"/>
      <c r="Q387" s="2"/>
      <c r="R387" s="2"/>
      <c r="S387" s="2"/>
      <c r="T387" s="2"/>
      <c r="U387" s="2"/>
      <c r="V387" s="2"/>
      <c r="W387" s="2"/>
      <c r="X387" s="2"/>
      <c r="Y387" s="2"/>
    </row>
    <row r="388" spans="1:25" ht="17.399999999999999" x14ac:dyDescent="0.25">
      <c r="A388" s="1"/>
      <c r="B388" s="40"/>
      <c r="C388" s="2" t="str">
        <f ca="1">IFERROR(__xludf.DUMMYFUNCTION("iferror(filter('Full Perk List'!C$3:C1498,'Full Perk List'!$D$3:$D1498=$D388),"""")"),"#REF!")</f>
        <v>#REF!</v>
      </c>
      <c r="D388" s="2"/>
      <c r="E388" s="2" t="str">
        <f ca="1">IFERROR(__xludf.DUMMYFUNCTION("iferror(filter('Full Perk List'!E$3:E1498,'Full Perk List'!$D$3:$D1498=$D388),"""")"),"#REF!")</f>
        <v>#REF!</v>
      </c>
      <c r="F388" s="2" t="str">
        <f ca="1">IFERROR(__xludf.DUMMYFUNCTION("iferror(filter('Full Perk List'!F$3:F1498,'Full Perk List'!$D$3:$D1498=$D388),"""")"),"#REF!")</f>
        <v>#REF!</v>
      </c>
      <c r="G388" s="2" t="str">
        <f ca="1">IFERROR(__xludf.DUMMYFUNCTION("iferror(filter('Full Perk List'!G$3:G1498,'Full Perk List'!$D$3:$D1498=$D388),"""")"),"#REF!")</f>
        <v>#REF!</v>
      </c>
      <c r="H388" s="1"/>
      <c r="I388" s="2"/>
      <c r="J388" s="2"/>
      <c r="K388" s="2"/>
      <c r="L388" s="2"/>
      <c r="M388" s="2"/>
      <c r="N388" s="2"/>
      <c r="O388" s="2"/>
      <c r="P388" s="2"/>
      <c r="Q388" s="2"/>
      <c r="R388" s="2"/>
      <c r="S388" s="2"/>
      <c r="T388" s="2"/>
      <c r="U388" s="2"/>
      <c r="V388" s="2"/>
      <c r="W388" s="2"/>
      <c r="X388" s="2"/>
      <c r="Y388" s="2"/>
    </row>
    <row r="389" spans="1:25" ht="17.399999999999999" x14ac:dyDescent="0.25">
      <c r="A389" s="1"/>
      <c r="B389" s="40"/>
      <c r="C389" s="2" t="str">
        <f ca="1">IFERROR(__xludf.DUMMYFUNCTION("iferror(filter('Full Perk List'!C$3:C1498,'Full Perk List'!$D$3:$D1498=$D389),"""")"),"#REF!")</f>
        <v>#REF!</v>
      </c>
      <c r="D389" s="2"/>
      <c r="E389" s="2" t="str">
        <f ca="1">IFERROR(__xludf.DUMMYFUNCTION("iferror(filter('Full Perk List'!E$3:E1498,'Full Perk List'!$D$3:$D1498=$D389),"""")"),"#REF!")</f>
        <v>#REF!</v>
      </c>
      <c r="F389" s="2" t="str">
        <f ca="1">IFERROR(__xludf.DUMMYFUNCTION("iferror(filter('Full Perk List'!F$3:F1498,'Full Perk List'!$D$3:$D1498=$D389),"""")"),"#REF!")</f>
        <v>#REF!</v>
      </c>
      <c r="G389" s="2" t="str">
        <f ca="1">IFERROR(__xludf.DUMMYFUNCTION("iferror(filter('Full Perk List'!G$3:G1498,'Full Perk List'!$D$3:$D1498=$D389),"""")"),"#REF!")</f>
        <v>#REF!</v>
      </c>
      <c r="H389" s="1"/>
      <c r="I389" s="2"/>
      <c r="J389" s="2"/>
      <c r="K389" s="2"/>
      <c r="L389" s="2"/>
      <c r="M389" s="2"/>
      <c r="N389" s="2"/>
      <c r="O389" s="2"/>
      <c r="P389" s="2"/>
      <c r="Q389" s="2"/>
      <c r="R389" s="2"/>
      <c r="S389" s="2"/>
      <c r="T389" s="2"/>
      <c r="U389" s="2"/>
      <c r="V389" s="2"/>
      <c r="W389" s="2"/>
      <c r="X389" s="2"/>
      <c r="Y389" s="2"/>
    </row>
    <row r="390" spans="1:25" ht="17.399999999999999" x14ac:dyDescent="0.25">
      <c r="A390" s="1"/>
      <c r="B390" s="40"/>
      <c r="C390" s="2" t="str">
        <f ca="1">IFERROR(__xludf.DUMMYFUNCTION("iferror(filter('Full Perk List'!C$3:C1498,'Full Perk List'!$D$3:$D1498=$D390),"""")"),"#REF!")</f>
        <v>#REF!</v>
      </c>
      <c r="D390" s="2"/>
      <c r="E390" s="2" t="str">
        <f ca="1">IFERROR(__xludf.DUMMYFUNCTION("iferror(filter('Full Perk List'!E$3:E1498,'Full Perk List'!$D$3:$D1498=$D390),"""")"),"#REF!")</f>
        <v>#REF!</v>
      </c>
      <c r="F390" s="2" t="str">
        <f ca="1">IFERROR(__xludf.DUMMYFUNCTION("iferror(filter('Full Perk List'!F$3:F1498,'Full Perk List'!$D$3:$D1498=$D390),"""")"),"#REF!")</f>
        <v>#REF!</v>
      </c>
      <c r="G390" s="2" t="str">
        <f ca="1">IFERROR(__xludf.DUMMYFUNCTION("iferror(filter('Full Perk List'!G$3:G1498,'Full Perk List'!$D$3:$D1498=$D390),"""")"),"#REF!")</f>
        <v>#REF!</v>
      </c>
      <c r="H390" s="1"/>
      <c r="I390" s="2"/>
      <c r="J390" s="2"/>
      <c r="K390" s="2"/>
      <c r="L390" s="2"/>
      <c r="M390" s="2"/>
      <c r="N390" s="2"/>
      <c r="O390" s="2"/>
      <c r="P390" s="2"/>
      <c r="Q390" s="2"/>
      <c r="R390" s="2"/>
      <c r="S390" s="2"/>
      <c r="T390" s="2"/>
      <c r="U390" s="2"/>
      <c r="V390" s="2"/>
      <c r="W390" s="2"/>
      <c r="X390" s="2"/>
      <c r="Y390" s="2"/>
    </row>
    <row r="391" spans="1:25" ht="17.399999999999999" x14ac:dyDescent="0.25">
      <c r="A391" s="1"/>
      <c r="B391" s="40"/>
      <c r="C391" s="2" t="str">
        <f ca="1">IFERROR(__xludf.DUMMYFUNCTION("iferror(filter('Full Perk List'!C$3:C1498,'Full Perk List'!$D$3:$D1498=$D391),"""")"),"#REF!")</f>
        <v>#REF!</v>
      </c>
      <c r="D391" s="2"/>
      <c r="E391" s="2" t="str">
        <f ca="1">IFERROR(__xludf.DUMMYFUNCTION("iferror(filter('Full Perk List'!E$3:E1498,'Full Perk List'!$D$3:$D1498=$D391),"""")"),"#REF!")</f>
        <v>#REF!</v>
      </c>
      <c r="F391" s="2" t="str">
        <f ca="1">IFERROR(__xludf.DUMMYFUNCTION("iferror(filter('Full Perk List'!F$3:F1498,'Full Perk List'!$D$3:$D1498=$D391),"""")"),"#REF!")</f>
        <v>#REF!</v>
      </c>
      <c r="G391" s="2" t="str">
        <f ca="1">IFERROR(__xludf.DUMMYFUNCTION("iferror(filter('Full Perk List'!G$3:G1498,'Full Perk List'!$D$3:$D1498=$D391),"""")"),"#REF!")</f>
        <v>#REF!</v>
      </c>
      <c r="H391" s="1"/>
      <c r="I391" s="2"/>
      <c r="J391" s="2"/>
      <c r="K391" s="2"/>
      <c r="L391" s="2"/>
      <c r="M391" s="2"/>
      <c r="N391" s="2"/>
      <c r="O391" s="2"/>
      <c r="P391" s="2"/>
      <c r="Q391" s="2"/>
      <c r="R391" s="2"/>
      <c r="S391" s="2"/>
      <c r="T391" s="2"/>
      <c r="U391" s="2"/>
      <c r="V391" s="2"/>
      <c r="W391" s="2"/>
      <c r="X391" s="2"/>
      <c r="Y391" s="2"/>
    </row>
    <row r="392" spans="1:25" ht="17.399999999999999" x14ac:dyDescent="0.25">
      <c r="A392" s="1"/>
      <c r="B392" s="40"/>
      <c r="C392" s="2" t="str">
        <f ca="1">IFERROR(__xludf.DUMMYFUNCTION("iferror(filter('Full Perk List'!C$3:C1498,'Full Perk List'!$D$3:$D1498=$D392),"""")"),"#REF!")</f>
        <v>#REF!</v>
      </c>
      <c r="D392" s="2"/>
      <c r="E392" s="2" t="str">
        <f ca="1">IFERROR(__xludf.DUMMYFUNCTION("iferror(filter('Full Perk List'!E$3:E1498,'Full Perk List'!$D$3:$D1498=$D392),"""")"),"#REF!")</f>
        <v>#REF!</v>
      </c>
      <c r="F392" s="2" t="str">
        <f ca="1">IFERROR(__xludf.DUMMYFUNCTION("iferror(filter('Full Perk List'!F$3:F1498,'Full Perk List'!$D$3:$D1498=$D392),"""")"),"#REF!")</f>
        <v>#REF!</v>
      </c>
      <c r="G392" s="2" t="str">
        <f ca="1">IFERROR(__xludf.DUMMYFUNCTION("iferror(filter('Full Perk List'!G$3:G1498,'Full Perk List'!$D$3:$D1498=$D392),"""")"),"#REF!")</f>
        <v>#REF!</v>
      </c>
      <c r="H392" s="1"/>
      <c r="I392" s="2"/>
      <c r="J392" s="2"/>
      <c r="K392" s="2"/>
      <c r="L392" s="2"/>
      <c r="M392" s="2"/>
      <c r="N392" s="2"/>
      <c r="O392" s="2"/>
      <c r="P392" s="2"/>
      <c r="Q392" s="2"/>
      <c r="R392" s="2"/>
      <c r="S392" s="2"/>
      <c r="T392" s="2"/>
      <c r="U392" s="2"/>
      <c r="V392" s="2"/>
      <c r="W392" s="2"/>
      <c r="X392" s="2"/>
      <c r="Y392" s="2"/>
    </row>
    <row r="393" spans="1:25" ht="17.399999999999999" x14ac:dyDescent="0.25">
      <c r="A393" s="1"/>
      <c r="B393" s="40"/>
      <c r="C393" s="2" t="str">
        <f ca="1">IFERROR(__xludf.DUMMYFUNCTION("iferror(filter('Full Perk List'!C$3:C1498,'Full Perk List'!$D$3:$D1498=$D393),"""")"),"#REF!")</f>
        <v>#REF!</v>
      </c>
      <c r="D393" s="2"/>
      <c r="E393" s="2" t="str">
        <f ca="1">IFERROR(__xludf.DUMMYFUNCTION("iferror(filter('Full Perk List'!E$3:E1498,'Full Perk List'!$D$3:$D1498=$D393),"""")"),"#REF!")</f>
        <v>#REF!</v>
      </c>
      <c r="F393" s="2" t="str">
        <f ca="1">IFERROR(__xludf.DUMMYFUNCTION("iferror(filter('Full Perk List'!F$3:F1498,'Full Perk List'!$D$3:$D1498=$D393),"""")"),"#REF!")</f>
        <v>#REF!</v>
      </c>
      <c r="G393" s="2" t="str">
        <f ca="1">IFERROR(__xludf.DUMMYFUNCTION("iferror(filter('Full Perk List'!G$3:G1498,'Full Perk List'!$D$3:$D1498=$D393),"""")"),"#REF!")</f>
        <v>#REF!</v>
      </c>
      <c r="H393" s="1"/>
      <c r="I393" s="2"/>
      <c r="J393" s="2"/>
      <c r="K393" s="2"/>
      <c r="L393" s="2"/>
      <c r="M393" s="2"/>
      <c r="N393" s="2"/>
      <c r="O393" s="2"/>
      <c r="P393" s="2"/>
      <c r="Q393" s="2"/>
      <c r="R393" s="2"/>
      <c r="S393" s="2"/>
      <c r="T393" s="2"/>
      <c r="U393" s="2"/>
      <c r="V393" s="2"/>
      <c r="W393" s="2"/>
      <c r="X393" s="2"/>
      <c r="Y393" s="2"/>
    </row>
    <row r="394" spans="1:25" ht="17.399999999999999" x14ac:dyDescent="0.25">
      <c r="A394" s="1"/>
      <c r="B394" s="40"/>
      <c r="C394" s="2" t="str">
        <f ca="1">IFERROR(__xludf.DUMMYFUNCTION("iferror(filter('Full Perk List'!C$3:C1498,'Full Perk List'!$D$3:$D1498=$D394),"""")"),"#REF!")</f>
        <v>#REF!</v>
      </c>
      <c r="D394" s="2"/>
      <c r="E394" s="2" t="str">
        <f ca="1">IFERROR(__xludf.DUMMYFUNCTION("iferror(filter('Full Perk List'!E$3:E1498,'Full Perk List'!$D$3:$D1498=$D394),"""")"),"#REF!")</f>
        <v>#REF!</v>
      </c>
      <c r="F394" s="2" t="str">
        <f ca="1">IFERROR(__xludf.DUMMYFUNCTION("iferror(filter('Full Perk List'!F$3:F1498,'Full Perk List'!$D$3:$D1498=$D394),"""")"),"#REF!")</f>
        <v>#REF!</v>
      </c>
      <c r="G394" s="2" t="str">
        <f ca="1">IFERROR(__xludf.DUMMYFUNCTION("iferror(filter('Full Perk List'!G$3:G1498,'Full Perk List'!$D$3:$D1498=$D394),"""")"),"#REF!")</f>
        <v>#REF!</v>
      </c>
      <c r="H394" s="1"/>
      <c r="I394" s="2"/>
      <c r="J394" s="2"/>
      <c r="K394" s="2"/>
      <c r="L394" s="2"/>
      <c r="M394" s="2"/>
      <c r="N394" s="2"/>
      <c r="O394" s="2"/>
      <c r="P394" s="2"/>
      <c r="Q394" s="2"/>
      <c r="R394" s="2"/>
      <c r="S394" s="2"/>
      <c r="T394" s="2"/>
      <c r="U394" s="2"/>
      <c r="V394" s="2"/>
      <c r="W394" s="2"/>
      <c r="X394" s="2"/>
      <c r="Y394" s="2"/>
    </row>
    <row r="395" spans="1:25" ht="17.399999999999999" x14ac:dyDescent="0.25">
      <c r="A395" s="1"/>
      <c r="B395" s="40"/>
      <c r="C395" s="2" t="str">
        <f ca="1">IFERROR(__xludf.DUMMYFUNCTION("iferror(filter('Full Perk List'!C$3:C1498,'Full Perk List'!$D$3:$D1498=$D395),"""")"),"#REF!")</f>
        <v>#REF!</v>
      </c>
      <c r="D395" s="2"/>
      <c r="E395" s="2" t="str">
        <f ca="1">IFERROR(__xludf.DUMMYFUNCTION("iferror(filter('Full Perk List'!E$3:E1498,'Full Perk List'!$D$3:$D1498=$D395),"""")"),"#REF!")</f>
        <v>#REF!</v>
      </c>
      <c r="F395" s="2" t="str">
        <f ca="1">IFERROR(__xludf.DUMMYFUNCTION("iferror(filter('Full Perk List'!F$3:F1498,'Full Perk List'!$D$3:$D1498=$D395),"""")"),"#REF!")</f>
        <v>#REF!</v>
      </c>
      <c r="G395" s="2" t="str">
        <f ca="1">IFERROR(__xludf.DUMMYFUNCTION("iferror(filter('Full Perk List'!G$3:G1498,'Full Perk List'!$D$3:$D1498=$D395),"""")"),"#REF!")</f>
        <v>#REF!</v>
      </c>
      <c r="H395" s="1"/>
      <c r="I395" s="2"/>
      <c r="J395" s="2"/>
      <c r="K395" s="2"/>
      <c r="L395" s="2"/>
      <c r="M395" s="2"/>
      <c r="N395" s="2"/>
      <c r="O395" s="2"/>
      <c r="P395" s="2"/>
      <c r="Q395" s="2"/>
      <c r="R395" s="2"/>
      <c r="S395" s="2"/>
      <c r="T395" s="2"/>
      <c r="U395" s="2"/>
      <c r="V395" s="2"/>
      <c r="W395" s="2"/>
      <c r="X395" s="2"/>
      <c r="Y395" s="2"/>
    </row>
    <row r="396" spans="1:25" ht="17.399999999999999" x14ac:dyDescent="0.25">
      <c r="A396" s="1"/>
      <c r="B396" s="40"/>
      <c r="C396" s="2" t="str">
        <f ca="1">IFERROR(__xludf.DUMMYFUNCTION("iferror(filter('Full Perk List'!C$3:C1498,'Full Perk List'!$D$3:$D1498=$D396),"""")"),"#REF!")</f>
        <v>#REF!</v>
      </c>
      <c r="D396" s="2"/>
      <c r="E396" s="2" t="str">
        <f ca="1">IFERROR(__xludf.DUMMYFUNCTION("iferror(filter('Full Perk List'!E$3:E1498,'Full Perk List'!$D$3:$D1498=$D396),"""")"),"#REF!")</f>
        <v>#REF!</v>
      </c>
      <c r="F396" s="2" t="str">
        <f ca="1">IFERROR(__xludf.DUMMYFUNCTION("iferror(filter('Full Perk List'!F$3:F1498,'Full Perk List'!$D$3:$D1498=$D396),"""")"),"#REF!")</f>
        <v>#REF!</v>
      </c>
      <c r="G396" s="2" t="str">
        <f ca="1">IFERROR(__xludf.DUMMYFUNCTION("iferror(filter('Full Perk List'!G$3:G1498,'Full Perk List'!$D$3:$D1498=$D396),"""")"),"#REF!")</f>
        <v>#REF!</v>
      </c>
      <c r="H396" s="1"/>
      <c r="I396" s="2"/>
      <c r="J396" s="2"/>
      <c r="K396" s="2"/>
      <c r="L396" s="2"/>
      <c r="M396" s="2"/>
      <c r="N396" s="2"/>
      <c r="O396" s="2"/>
      <c r="P396" s="2"/>
      <c r="Q396" s="2"/>
      <c r="R396" s="2"/>
      <c r="S396" s="2"/>
      <c r="T396" s="2"/>
      <c r="U396" s="2"/>
      <c r="V396" s="2"/>
      <c r="W396" s="2"/>
      <c r="X396" s="2"/>
      <c r="Y396" s="2"/>
    </row>
    <row r="397" spans="1:25" ht="17.399999999999999" x14ac:dyDescent="0.25">
      <c r="A397" s="1"/>
      <c r="B397" s="40"/>
      <c r="C397" s="2" t="str">
        <f ca="1">IFERROR(__xludf.DUMMYFUNCTION("iferror(filter('Full Perk List'!C$3:C1498,'Full Perk List'!$D$3:$D1498=$D397),"""")"),"#REF!")</f>
        <v>#REF!</v>
      </c>
      <c r="D397" s="2"/>
      <c r="E397" s="2" t="str">
        <f ca="1">IFERROR(__xludf.DUMMYFUNCTION("iferror(filter('Full Perk List'!E$3:E1498,'Full Perk List'!$D$3:$D1498=$D397),"""")"),"#REF!")</f>
        <v>#REF!</v>
      </c>
      <c r="F397" s="2" t="str">
        <f ca="1">IFERROR(__xludf.DUMMYFUNCTION("iferror(filter('Full Perk List'!F$3:F1498,'Full Perk List'!$D$3:$D1498=$D397),"""")"),"#REF!")</f>
        <v>#REF!</v>
      </c>
      <c r="G397" s="2" t="str">
        <f ca="1">IFERROR(__xludf.DUMMYFUNCTION("iferror(filter('Full Perk List'!G$3:G1498,'Full Perk List'!$D$3:$D1498=$D397),"""")"),"#REF!")</f>
        <v>#REF!</v>
      </c>
      <c r="H397" s="1"/>
      <c r="I397" s="2"/>
      <c r="J397" s="2"/>
      <c r="K397" s="2"/>
      <c r="L397" s="2"/>
      <c r="M397" s="2"/>
      <c r="N397" s="2"/>
      <c r="O397" s="2"/>
      <c r="P397" s="2"/>
      <c r="Q397" s="2"/>
      <c r="R397" s="2"/>
      <c r="S397" s="2"/>
      <c r="T397" s="2"/>
      <c r="U397" s="2"/>
      <c r="V397" s="2"/>
      <c r="W397" s="2"/>
      <c r="X397" s="2"/>
      <c r="Y397" s="2"/>
    </row>
    <row r="398" spans="1:25" ht="17.399999999999999" x14ac:dyDescent="0.25">
      <c r="A398" s="1"/>
      <c r="B398" s="40"/>
      <c r="C398" s="2" t="str">
        <f ca="1">IFERROR(__xludf.DUMMYFUNCTION("iferror(filter('Full Perk List'!C$3:C1498,'Full Perk List'!$D$3:$D1498=$D398),"""")"),"#REF!")</f>
        <v>#REF!</v>
      </c>
      <c r="D398" s="2"/>
      <c r="E398" s="2" t="str">
        <f ca="1">IFERROR(__xludf.DUMMYFUNCTION("iferror(filter('Full Perk List'!E$3:E1498,'Full Perk List'!$D$3:$D1498=$D398),"""")"),"#REF!")</f>
        <v>#REF!</v>
      </c>
      <c r="F398" s="2" t="str">
        <f ca="1">IFERROR(__xludf.DUMMYFUNCTION("iferror(filter('Full Perk List'!F$3:F1498,'Full Perk List'!$D$3:$D1498=$D398),"""")"),"#REF!")</f>
        <v>#REF!</v>
      </c>
      <c r="G398" s="2" t="str">
        <f ca="1">IFERROR(__xludf.DUMMYFUNCTION("iferror(filter('Full Perk List'!G$3:G1498,'Full Perk List'!$D$3:$D1498=$D398),"""")"),"#REF!")</f>
        <v>#REF!</v>
      </c>
      <c r="H398" s="1"/>
      <c r="I398" s="2"/>
      <c r="J398" s="2"/>
      <c r="K398" s="2"/>
      <c r="L398" s="2"/>
      <c r="M398" s="2"/>
      <c r="N398" s="2"/>
      <c r="O398" s="2"/>
      <c r="P398" s="2"/>
      <c r="Q398" s="2"/>
      <c r="R398" s="2"/>
      <c r="S398" s="2"/>
      <c r="T398" s="2"/>
      <c r="U398" s="2"/>
      <c r="V398" s="2"/>
      <c r="W398" s="2"/>
      <c r="X398" s="2"/>
      <c r="Y398" s="2"/>
    </row>
    <row r="399" spans="1:25" ht="17.399999999999999" x14ac:dyDescent="0.25">
      <c r="A399" s="1"/>
      <c r="B399" s="40"/>
      <c r="C399" s="2" t="str">
        <f ca="1">IFERROR(__xludf.DUMMYFUNCTION("iferror(filter('Full Perk List'!C$3:C1498,'Full Perk List'!$D$3:$D1498=$D399),"""")"),"#REF!")</f>
        <v>#REF!</v>
      </c>
      <c r="D399" s="2"/>
      <c r="E399" s="2" t="str">
        <f ca="1">IFERROR(__xludf.DUMMYFUNCTION("iferror(filter('Full Perk List'!E$3:E1498,'Full Perk List'!$D$3:$D1498=$D399),"""")"),"#REF!")</f>
        <v>#REF!</v>
      </c>
      <c r="F399" s="2" t="str">
        <f ca="1">IFERROR(__xludf.DUMMYFUNCTION("iferror(filter('Full Perk List'!F$3:F1498,'Full Perk List'!$D$3:$D1498=$D399),"""")"),"#REF!")</f>
        <v>#REF!</v>
      </c>
      <c r="G399" s="2" t="str">
        <f ca="1">IFERROR(__xludf.DUMMYFUNCTION("iferror(filter('Full Perk List'!G$3:G1498,'Full Perk List'!$D$3:$D1498=$D399),"""")"),"#REF!")</f>
        <v>#REF!</v>
      </c>
      <c r="H399" s="1"/>
      <c r="I399" s="2"/>
      <c r="J399" s="2"/>
      <c r="K399" s="2"/>
      <c r="L399" s="2"/>
      <c r="M399" s="2"/>
      <c r="N399" s="2"/>
      <c r="O399" s="2"/>
      <c r="P399" s="2"/>
      <c r="Q399" s="2"/>
      <c r="R399" s="2"/>
      <c r="S399" s="2"/>
      <c r="T399" s="2"/>
      <c r="U399" s="2"/>
      <c r="V399" s="2"/>
      <c r="W399" s="2"/>
      <c r="X399" s="2"/>
      <c r="Y399" s="2"/>
    </row>
    <row r="400" spans="1:25" ht="17.399999999999999" x14ac:dyDescent="0.25">
      <c r="A400" s="1"/>
      <c r="B400" s="40"/>
      <c r="C400" s="2" t="str">
        <f ca="1">IFERROR(__xludf.DUMMYFUNCTION("iferror(filter('Full Perk List'!C$3:C1498,'Full Perk List'!$D$3:$D1498=$D400),"""")"),"#REF!")</f>
        <v>#REF!</v>
      </c>
      <c r="D400" s="2"/>
      <c r="E400" s="2" t="str">
        <f ca="1">IFERROR(__xludf.DUMMYFUNCTION("iferror(filter('Full Perk List'!E$3:E1498,'Full Perk List'!$D$3:$D1498=$D400),"""")"),"#REF!")</f>
        <v>#REF!</v>
      </c>
      <c r="F400" s="2" t="str">
        <f ca="1">IFERROR(__xludf.DUMMYFUNCTION("iferror(filter('Full Perk List'!F$3:F1498,'Full Perk List'!$D$3:$D1498=$D400),"""")"),"#REF!")</f>
        <v>#REF!</v>
      </c>
      <c r="G400" s="2" t="str">
        <f ca="1">IFERROR(__xludf.DUMMYFUNCTION("iferror(filter('Full Perk List'!G$3:G1498,'Full Perk List'!$D$3:$D1498=$D400),"""")"),"#REF!")</f>
        <v>#REF!</v>
      </c>
      <c r="H400" s="1"/>
      <c r="I400" s="2"/>
      <c r="J400" s="2"/>
      <c r="K400" s="2"/>
      <c r="L400" s="2"/>
      <c r="M400" s="2"/>
      <c r="N400" s="2"/>
      <c r="O400" s="2"/>
      <c r="P400" s="2"/>
      <c r="Q400" s="2"/>
      <c r="R400" s="2"/>
      <c r="S400" s="2"/>
      <c r="T400" s="2"/>
      <c r="U400" s="2"/>
      <c r="V400" s="2"/>
      <c r="W400" s="2"/>
      <c r="X400" s="2"/>
      <c r="Y400" s="2"/>
    </row>
    <row r="401" spans="1:25" ht="17.399999999999999" x14ac:dyDescent="0.25">
      <c r="A401" s="1"/>
      <c r="B401" s="40"/>
      <c r="C401" s="2" t="str">
        <f ca="1">IFERROR(__xludf.DUMMYFUNCTION("iferror(filter('Full Perk List'!C$3:C1498,'Full Perk List'!$D$3:$D1498=$D401),"""")"),"#REF!")</f>
        <v>#REF!</v>
      </c>
      <c r="D401" s="2"/>
      <c r="E401" s="2" t="str">
        <f ca="1">IFERROR(__xludf.DUMMYFUNCTION("iferror(filter('Full Perk List'!E$3:E1498,'Full Perk List'!$D$3:$D1498=$D401),"""")"),"#REF!")</f>
        <v>#REF!</v>
      </c>
      <c r="F401" s="2" t="str">
        <f ca="1">IFERROR(__xludf.DUMMYFUNCTION("iferror(filter('Full Perk List'!F$3:F1498,'Full Perk List'!$D$3:$D1498=$D401),"""")"),"#REF!")</f>
        <v>#REF!</v>
      </c>
      <c r="G401" s="2" t="str">
        <f ca="1">IFERROR(__xludf.DUMMYFUNCTION("iferror(filter('Full Perk List'!G$3:G1498,'Full Perk List'!$D$3:$D1498=$D401),"""")"),"#REF!")</f>
        <v>#REF!</v>
      </c>
      <c r="H401" s="1"/>
      <c r="I401" s="2"/>
      <c r="J401" s="2"/>
      <c r="K401" s="2"/>
      <c r="L401" s="2"/>
      <c r="M401" s="2"/>
      <c r="N401" s="2"/>
      <c r="O401" s="2"/>
      <c r="P401" s="2"/>
      <c r="Q401" s="2"/>
      <c r="R401" s="2"/>
      <c r="S401" s="2"/>
      <c r="T401" s="2"/>
      <c r="U401" s="2"/>
      <c r="V401" s="2"/>
      <c r="W401" s="2"/>
      <c r="X401" s="2"/>
      <c r="Y401" s="2"/>
    </row>
    <row r="402" spans="1:25" ht="17.399999999999999" x14ac:dyDescent="0.25">
      <c r="A402" s="1"/>
      <c r="B402" s="40"/>
      <c r="C402" s="2" t="str">
        <f ca="1">IFERROR(__xludf.DUMMYFUNCTION("iferror(filter('Full Perk List'!C$3:C1498,'Full Perk List'!$D$3:$D1498=$D402),"""")"),"#REF!")</f>
        <v>#REF!</v>
      </c>
      <c r="D402" s="2"/>
      <c r="E402" s="2" t="str">
        <f ca="1">IFERROR(__xludf.DUMMYFUNCTION("iferror(filter('Full Perk List'!E$3:E1498,'Full Perk List'!$D$3:$D1498=$D402),"""")"),"#REF!")</f>
        <v>#REF!</v>
      </c>
      <c r="F402" s="2" t="str">
        <f ca="1">IFERROR(__xludf.DUMMYFUNCTION("iferror(filter('Full Perk List'!F$3:F1498,'Full Perk List'!$D$3:$D1498=$D402),"""")"),"#REF!")</f>
        <v>#REF!</v>
      </c>
      <c r="G402" s="2" t="str">
        <f ca="1">IFERROR(__xludf.DUMMYFUNCTION("iferror(filter('Full Perk List'!G$3:G1498,'Full Perk List'!$D$3:$D1498=$D402),"""")"),"#REF!")</f>
        <v>#REF!</v>
      </c>
      <c r="H402" s="1"/>
      <c r="I402" s="2"/>
      <c r="J402" s="2"/>
      <c r="K402" s="2"/>
      <c r="L402" s="2"/>
      <c r="M402" s="2"/>
      <c r="N402" s="2"/>
      <c r="O402" s="2"/>
      <c r="P402" s="2"/>
      <c r="Q402" s="2"/>
      <c r="R402" s="2"/>
      <c r="S402" s="2"/>
      <c r="T402" s="2"/>
      <c r="U402" s="2"/>
      <c r="V402" s="2"/>
      <c r="W402" s="2"/>
      <c r="X402" s="2"/>
      <c r="Y402" s="2"/>
    </row>
    <row r="403" spans="1:25" ht="17.399999999999999" x14ac:dyDescent="0.25">
      <c r="A403" s="1"/>
      <c r="B403" s="40"/>
      <c r="C403" s="2" t="str">
        <f ca="1">IFERROR(__xludf.DUMMYFUNCTION("iferror(filter('Full Perk List'!C$3:C1498,'Full Perk List'!$D$3:$D1498=$D403),"""")"),"#REF!")</f>
        <v>#REF!</v>
      </c>
      <c r="D403" s="2"/>
      <c r="E403" s="2" t="str">
        <f ca="1">IFERROR(__xludf.DUMMYFUNCTION("iferror(filter('Full Perk List'!E$3:E1498,'Full Perk List'!$D$3:$D1498=$D403),"""")"),"#REF!")</f>
        <v>#REF!</v>
      </c>
      <c r="F403" s="2" t="str">
        <f ca="1">IFERROR(__xludf.DUMMYFUNCTION("iferror(filter('Full Perk List'!F$3:F1498,'Full Perk List'!$D$3:$D1498=$D403),"""")"),"#REF!")</f>
        <v>#REF!</v>
      </c>
      <c r="G403" s="2" t="str">
        <f ca="1">IFERROR(__xludf.DUMMYFUNCTION("iferror(filter('Full Perk List'!G$3:G1498,'Full Perk List'!$D$3:$D1498=$D403),"""")"),"#REF!")</f>
        <v>#REF!</v>
      </c>
      <c r="H403" s="1"/>
      <c r="I403" s="2"/>
      <c r="J403" s="2"/>
      <c r="K403" s="2"/>
      <c r="L403" s="2"/>
      <c r="M403" s="2"/>
      <c r="N403" s="2"/>
      <c r="O403" s="2"/>
      <c r="P403" s="2"/>
      <c r="Q403" s="2"/>
      <c r="R403" s="2"/>
      <c r="S403" s="2"/>
      <c r="T403" s="2"/>
      <c r="U403" s="2"/>
      <c r="V403" s="2"/>
      <c r="W403" s="2"/>
      <c r="X403" s="2"/>
      <c r="Y403" s="2"/>
    </row>
    <row r="404" spans="1:25" ht="17.399999999999999" x14ac:dyDescent="0.25">
      <c r="A404" s="1"/>
      <c r="B404" s="40"/>
      <c r="C404" s="2" t="str">
        <f ca="1">IFERROR(__xludf.DUMMYFUNCTION("iferror(filter('Full Perk List'!C$3:C1498,'Full Perk List'!$D$3:$D1498=$D404),"""")"),"#REF!")</f>
        <v>#REF!</v>
      </c>
      <c r="D404" s="2"/>
      <c r="E404" s="2" t="str">
        <f ca="1">IFERROR(__xludf.DUMMYFUNCTION("iferror(filter('Full Perk List'!E$3:E1498,'Full Perk List'!$D$3:$D1498=$D404),"""")"),"#REF!")</f>
        <v>#REF!</v>
      </c>
      <c r="F404" s="2" t="str">
        <f ca="1">IFERROR(__xludf.DUMMYFUNCTION("iferror(filter('Full Perk List'!F$3:F1498,'Full Perk List'!$D$3:$D1498=$D404),"""")"),"#REF!")</f>
        <v>#REF!</v>
      </c>
      <c r="G404" s="2" t="str">
        <f ca="1">IFERROR(__xludf.DUMMYFUNCTION("iferror(filter('Full Perk List'!G$3:G1498,'Full Perk List'!$D$3:$D1498=$D404),"""")"),"#REF!")</f>
        <v>#REF!</v>
      </c>
      <c r="H404" s="1"/>
      <c r="I404" s="2"/>
      <c r="J404" s="2"/>
      <c r="K404" s="2"/>
      <c r="L404" s="2"/>
      <c r="M404" s="2"/>
      <c r="N404" s="2"/>
      <c r="O404" s="2"/>
      <c r="P404" s="2"/>
      <c r="Q404" s="2"/>
      <c r="R404" s="2"/>
      <c r="S404" s="2"/>
      <c r="T404" s="2"/>
      <c r="U404" s="2"/>
      <c r="V404" s="2"/>
      <c r="W404" s="2"/>
      <c r="X404" s="2"/>
      <c r="Y404" s="2"/>
    </row>
    <row r="405" spans="1:25" ht="17.399999999999999" x14ac:dyDescent="0.25">
      <c r="A405" s="1"/>
      <c r="B405" s="40"/>
      <c r="C405" s="2" t="str">
        <f ca="1">IFERROR(__xludf.DUMMYFUNCTION("iferror(filter('Full Perk List'!C$3:C1498,'Full Perk List'!$D$3:$D1498=$D405),"""")"),"#REF!")</f>
        <v>#REF!</v>
      </c>
      <c r="D405" s="2"/>
      <c r="E405" s="2" t="str">
        <f ca="1">IFERROR(__xludf.DUMMYFUNCTION("iferror(filter('Full Perk List'!E$3:E1498,'Full Perk List'!$D$3:$D1498=$D405),"""")"),"#REF!")</f>
        <v>#REF!</v>
      </c>
      <c r="F405" s="2" t="str">
        <f ca="1">IFERROR(__xludf.DUMMYFUNCTION("iferror(filter('Full Perk List'!F$3:F1498,'Full Perk List'!$D$3:$D1498=$D405),"""")"),"#REF!")</f>
        <v>#REF!</v>
      </c>
      <c r="G405" s="2" t="str">
        <f ca="1">IFERROR(__xludf.DUMMYFUNCTION("iferror(filter('Full Perk List'!G$3:G1498,'Full Perk List'!$D$3:$D1498=$D405),"""")"),"#REF!")</f>
        <v>#REF!</v>
      </c>
      <c r="H405" s="1"/>
      <c r="I405" s="2"/>
      <c r="J405" s="2"/>
      <c r="K405" s="2"/>
      <c r="L405" s="2"/>
      <c r="M405" s="2"/>
      <c r="N405" s="2"/>
      <c r="O405" s="2"/>
      <c r="P405" s="2"/>
      <c r="Q405" s="2"/>
      <c r="R405" s="2"/>
      <c r="S405" s="2"/>
      <c r="T405" s="2"/>
      <c r="U405" s="2"/>
      <c r="V405" s="2"/>
      <c r="W405" s="2"/>
      <c r="X405" s="2"/>
      <c r="Y405" s="2"/>
    </row>
    <row r="406" spans="1:25" ht="17.399999999999999" x14ac:dyDescent="0.25">
      <c r="A406" s="1"/>
      <c r="B406" s="40"/>
      <c r="C406" s="2" t="str">
        <f ca="1">IFERROR(__xludf.DUMMYFUNCTION("iferror(filter('Full Perk List'!C$3:C1498,'Full Perk List'!$D$3:$D1498=$D406),"""")"),"#REF!")</f>
        <v>#REF!</v>
      </c>
      <c r="D406" s="2"/>
      <c r="E406" s="2" t="str">
        <f ca="1">IFERROR(__xludf.DUMMYFUNCTION("iferror(filter('Full Perk List'!E$3:E1498,'Full Perk List'!$D$3:$D1498=$D406),"""")"),"#REF!")</f>
        <v>#REF!</v>
      </c>
      <c r="F406" s="2" t="str">
        <f ca="1">IFERROR(__xludf.DUMMYFUNCTION("iferror(filter('Full Perk List'!F$3:F1498,'Full Perk List'!$D$3:$D1498=$D406),"""")"),"#REF!")</f>
        <v>#REF!</v>
      </c>
      <c r="G406" s="2" t="str">
        <f ca="1">IFERROR(__xludf.DUMMYFUNCTION("iferror(filter('Full Perk List'!G$3:G1498,'Full Perk List'!$D$3:$D1498=$D406),"""")"),"#REF!")</f>
        <v>#REF!</v>
      </c>
      <c r="H406" s="1"/>
      <c r="I406" s="2"/>
      <c r="J406" s="2"/>
      <c r="K406" s="2"/>
      <c r="L406" s="2"/>
      <c r="M406" s="2"/>
      <c r="N406" s="2"/>
      <c r="O406" s="2"/>
      <c r="P406" s="2"/>
      <c r="Q406" s="2"/>
      <c r="R406" s="2"/>
      <c r="S406" s="2"/>
      <c r="T406" s="2"/>
      <c r="U406" s="2"/>
      <c r="V406" s="2"/>
      <c r="W406" s="2"/>
      <c r="X406" s="2"/>
      <c r="Y406" s="2"/>
    </row>
    <row r="407" spans="1:25" ht="17.399999999999999" x14ac:dyDescent="0.25">
      <c r="A407" s="1"/>
      <c r="B407" s="40"/>
      <c r="C407" s="2" t="str">
        <f ca="1">IFERROR(__xludf.DUMMYFUNCTION("iferror(filter('Full Perk List'!C$3:C1498,'Full Perk List'!$D$3:$D1498=$D407),"""")"),"#REF!")</f>
        <v>#REF!</v>
      </c>
      <c r="D407" s="2"/>
      <c r="E407" s="2" t="str">
        <f ca="1">IFERROR(__xludf.DUMMYFUNCTION("iferror(filter('Full Perk List'!E$3:E1498,'Full Perk List'!$D$3:$D1498=$D407),"""")"),"#REF!")</f>
        <v>#REF!</v>
      </c>
      <c r="F407" s="2" t="str">
        <f ca="1">IFERROR(__xludf.DUMMYFUNCTION("iferror(filter('Full Perk List'!F$3:F1498,'Full Perk List'!$D$3:$D1498=$D407),"""")"),"#REF!")</f>
        <v>#REF!</v>
      </c>
      <c r="G407" s="2" t="str">
        <f ca="1">IFERROR(__xludf.DUMMYFUNCTION("iferror(filter('Full Perk List'!G$3:G1498,'Full Perk List'!$D$3:$D1498=$D407),"""")"),"#REF!")</f>
        <v>#REF!</v>
      </c>
      <c r="H407" s="1"/>
      <c r="I407" s="2"/>
      <c r="J407" s="2"/>
      <c r="K407" s="2"/>
      <c r="L407" s="2"/>
      <c r="M407" s="2"/>
      <c r="N407" s="2"/>
      <c r="O407" s="2"/>
      <c r="P407" s="2"/>
      <c r="Q407" s="2"/>
      <c r="R407" s="2"/>
      <c r="S407" s="2"/>
      <c r="T407" s="2"/>
      <c r="U407" s="2"/>
      <c r="V407" s="2"/>
      <c r="W407" s="2"/>
      <c r="X407" s="2"/>
      <c r="Y407" s="2"/>
    </row>
    <row r="408" spans="1:25" ht="17.399999999999999" x14ac:dyDescent="0.25">
      <c r="A408" s="1"/>
      <c r="B408" s="40"/>
      <c r="C408" s="2" t="str">
        <f ca="1">IFERROR(__xludf.DUMMYFUNCTION("iferror(filter('Full Perk List'!C$3:C1498,'Full Perk List'!$D$3:$D1498=$D408),"""")"),"#REF!")</f>
        <v>#REF!</v>
      </c>
      <c r="D408" s="2"/>
      <c r="E408" s="2" t="str">
        <f ca="1">IFERROR(__xludf.DUMMYFUNCTION("iferror(filter('Full Perk List'!E$3:E1498,'Full Perk List'!$D$3:$D1498=$D408),"""")"),"#REF!")</f>
        <v>#REF!</v>
      </c>
      <c r="F408" s="2" t="str">
        <f ca="1">IFERROR(__xludf.DUMMYFUNCTION("iferror(filter('Full Perk List'!F$3:F1498,'Full Perk List'!$D$3:$D1498=$D408),"""")"),"#REF!")</f>
        <v>#REF!</v>
      </c>
      <c r="G408" s="2" t="str">
        <f ca="1">IFERROR(__xludf.DUMMYFUNCTION("iferror(filter('Full Perk List'!G$3:G1498,'Full Perk List'!$D$3:$D1498=$D408),"""")"),"#REF!")</f>
        <v>#REF!</v>
      </c>
      <c r="H408" s="1"/>
      <c r="I408" s="2"/>
      <c r="J408" s="2"/>
      <c r="K408" s="2"/>
      <c r="L408" s="2"/>
      <c r="M408" s="2"/>
      <c r="N408" s="2"/>
      <c r="O408" s="2"/>
      <c r="P408" s="2"/>
      <c r="Q408" s="2"/>
      <c r="R408" s="2"/>
      <c r="S408" s="2"/>
      <c r="T408" s="2"/>
      <c r="U408" s="2"/>
      <c r="V408" s="2"/>
      <c r="W408" s="2"/>
      <c r="X408" s="2"/>
      <c r="Y408" s="2"/>
    </row>
    <row r="409" spans="1:25" ht="17.399999999999999" x14ac:dyDescent="0.25">
      <c r="A409" s="1"/>
      <c r="B409" s="40"/>
      <c r="C409" s="2" t="str">
        <f ca="1">IFERROR(__xludf.DUMMYFUNCTION("iferror(filter('Full Perk List'!C$3:C1498,'Full Perk List'!$D$3:$D1498=$D409),"""")"),"#REF!")</f>
        <v>#REF!</v>
      </c>
      <c r="D409" s="2"/>
      <c r="E409" s="2" t="str">
        <f ca="1">IFERROR(__xludf.DUMMYFUNCTION("iferror(filter('Full Perk List'!E$3:E1498,'Full Perk List'!$D$3:$D1498=$D409),"""")"),"#REF!")</f>
        <v>#REF!</v>
      </c>
      <c r="F409" s="2" t="str">
        <f ca="1">IFERROR(__xludf.DUMMYFUNCTION("iferror(filter('Full Perk List'!F$3:F1498,'Full Perk List'!$D$3:$D1498=$D409),"""")"),"#REF!")</f>
        <v>#REF!</v>
      </c>
      <c r="G409" s="2" t="str">
        <f ca="1">IFERROR(__xludf.DUMMYFUNCTION("iferror(filter('Full Perk List'!G$3:G1498,'Full Perk List'!$D$3:$D1498=$D409),"""")"),"#REF!")</f>
        <v>#REF!</v>
      </c>
      <c r="H409" s="1"/>
      <c r="I409" s="2"/>
      <c r="J409" s="2"/>
      <c r="K409" s="2"/>
      <c r="L409" s="2"/>
      <c r="M409" s="2"/>
      <c r="N409" s="2"/>
      <c r="O409" s="2"/>
      <c r="P409" s="2"/>
      <c r="Q409" s="2"/>
      <c r="R409" s="2"/>
      <c r="S409" s="2"/>
      <c r="T409" s="2"/>
      <c r="U409" s="2"/>
      <c r="V409" s="2"/>
      <c r="W409" s="2"/>
      <c r="X409" s="2"/>
      <c r="Y409" s="2"/>
    </row>
    <row r="410" spans="1:25" ht="17.399999999999999" x14ac:dyDescent="0.25">
      <c r="A410" s="1"/>
      <c r="B410" s="40"/>
      <c r="C410" s="2" t="str">
        <f ca="1">IFERROR(__xludf.DUMMYFUNCTION("iferror(filter('Full Perk List'!C$3:C1498,'Full Perk List'!$D$3:$D1498=$D410),"""")"),"#REF!")</f>
        <v>#REF!</v>
      </c>
      <c r="D410" s="2"/>
      <c r="E410" s="2" t="str">
        <f ca="1">IFERROR(__xludf.DUMMYFUNCTION("iferror(filter('Full Perk List'!E$3:E1498,'Full Perk List'!$D$3:$D1498=$D410),"""")"),"#REF!")</f>
        <v>#REF!</v>
      </c>
      <c r="F410" s="2" t="str">
        <f ca="1">IFERROR(__xludf.DUMMYFUNCTION("iferror(filter('Full Perk List'!F$3:F1498,'Full Perk List'!$D$3:$D1498=$D410),"""")"),"#REF!")</f>
        <v>#REF!</v>
      </c>
      <c r="G410" s="2" t="str">
        <f ca="1">IFERROR(__xludf.DUMMYFUNCTION("iferror(filter('Full Perk List'!G$3:G1498,'Full Perk List'!$D$3:$D1498=$D410),"""")"),"#REF!")</f>
        <v>#REF!</v>
      </c>
      <c r="H410" s="1"/>
      <c r="I410" s="2"/>
      <c r="J410" s="2"/>
      <c r="K410" s="2"/>
      <c r="L410" s="2"/>
      <c r="M410" s="2"/>
      <c r="N410" s="2"/>
      <c r="O410" s="2"/>
      <c r="P410" s="2"/>
      <c r="Q410" s="2"/>
      <c r="R410" s="2"/>
      <c r="S410" s="2"/>
      <c r="T410" s="2"/>
      <c r="U410" s="2"/>
      <c r="V410" s="2"/>
      <c r="W410" s="2"/>
      <c r="X410" s="2"/>
      <c r="Y410" s="2"/>
    </row>
    <row r="411" spans="1:25" ht="17.399999999999999" x14ac:dyDescent="0.25">
      <c r="A411" s="1"/>
      <c r="B411" s="40"/>
      <c r="C411" s="2" t="str">
        <f ca="1">IFERROR(__xludf.DUMMYFUNCTION("iferror(filter('Full Perk List'!C$3:C1498,'Full Perk List'!$D$3:$D1498=$D411),"""")"),"#REF!")</f>
        <v>#REF!</v>
      </c>
      <c r="D411" s="2"/>
      <c r="E411" s="2" t="str">
        <f ca="1">IFERROR(__xludf.DUMMYFUNCTION("iferror(filter('Full Perk List'!E$3:E1498,'Full Perk List'!$D$3:$D1498=$D411),"""")"),"#REF!")</f>
        <v>#REF!</v>
      </c>
      <c r="F411" s="2" t="str">
        <f ca="1">IFERROR(__xludf.DUMMYFUNCTION("iferror(filter('Full Perk List'!F$3:F1498,'Full Perk List'!$D$3:$D1498=$D411),"""")"),"#REF!")</f>
        <v>#REF!</v>
      </c>
      <c r="G411" s="2" t="str">
        <f ca="1">IFERROR(__xludf.DUMMYFUNCTION("iferror(filter('Full Perk List'!G$3:G1498,'Full Perk List'!$D$3:$D1498=$D411),"""")"),"#REF!")</f>
        <v>#REF!</v>
      </c>
      <c r="H411" s="1"/>
      <c r="I411" s="2"/>
      <c r="J411" s="2"/>
      <c r="K411" s="2"/>
      <c r="L411" s="2"/>
      <c r="M411" s="2"/>
      <c r="N411" s="2"/>
      <c r="O411" s="2"/>
      <c r="P411" s="2"/>
      <c r="Q411" s="2"/>
      <c r="R411" s="2"/>
      <c r="S411" s="2"/>
      <c r="T411" s="2"/>
      <c r="U411" s="2"/>
      <c r="V411" s="2"/>
      <c r="W411" s="2"/>
      <c r="X411" s="2"/>
      <c r="Y411" s="2"/>
    </row>
    <row r="412" spans="1:25" ht="17.399999999999999" x14ac:dyDescent="0.25">
      <c r="A412" s="1"/>
      <c r="B412" s="40"/>
      <c r="C412" s="2" t="str">
        <f ca="1">IFERROR(__xludf.DUMMYFUNCTION("iferror(filter('Full Perk List'!C$3:C1498,'Full Perk List'!$D$3:$D1498=$D412),"""")"),"#REF!")</f>
        <v>#REF!</v>
      </c>
      <c r="D412" s="2"/>
      <c r="E412" s="2" t="str">
        <f ca="1">IFERROR(__xludf.DUMMYFUNCTION("iferror(filter('Full Perk List'!E$3:E1498,'Full Perk List'!$D$3:$D1498=$D412),"""")"),"#REF!")</f>
        <v>#REF!</v>
      </c>
      <c r="F412" s="2" t="str">
        <f ca="1">IFERROR(__xludf.DUMMYFUNCTION("iferror(filter('Full Perk List'!F$3:F1498,'Full Perk List'!$D$3:$D1498=$D412),"""")"),"#REF!")</f>
        <v>#REF!</v>
      </c>
      <c r="G412" s="2" t="str">
        <f ca="1">IFERROR(__xludf.DUMMYFUNCTION("iferror(filter('Full Perk List'!G$3:G1498,'Full Perk List'!$D$3:$D1498=$D412),"""")"),"#REF!")</f>
        <v>#REF!</v>
      </c>
      <c r="H412" s="1"/>
      <c r="I412" s="2"/>
      <c r="J412" s="2"/>
      <c r="K412" s="2"/>
      <c r="L412" s="2"/>
      <c r="M412" s="2"/>
      <c r="N412" s="2"/>
      <c r="O412" s="2"/>
      <c r="P412" s="2"/>
      <c r="Q412" s="2"/>
      <c r="R412" s="2"/>
      <c r="S412" s="2"/>
      <c r="T412" s="2"/>
      <c r="U412" s="2"/>
      <c r="V412" s="2"/>
      <c r="W412" s="2"/>
      <c r="X412" s="2"/>
      <c r="Y412" s="2"/>
    </row>
    <row r="413" spans="1:25" ht="17.399999999999999" x14ac:dyDescent="0.25">
      <c r="A413" s="1"/>
      <c r="B413" s="40"/>
      <c r="C413" s="2" t="str">
        <f ca="1">IFERROR(__xludf.DUMMYFUNCTION("iferror(filter('Full Perk List'!C$3:C1498,'Full Perk List'!$D$3:$D1498=$D413),"""")"),"#REF!")</f>
        <v>#REF!</v>
      </c>
      <c r="D413" s="2"/>
      <c r="E413" s="2" t="str">
        <f ca="1">IFERROR(__xludf.DUMMYFUNCTION("iferror(filter('Full Perk List'!E$3:E1498,'Full Perk List'!$D$3:$D1498=$D413),"""")"),"#REF!")</f>
        <v>#REF!</v>
      </c>
      <c r="F413" s="2" t="str">
        <f ca="1">IFERROR(__xludf.DUMMYFUNCTION("iferror(filter('Full Perk List'!F$3:F1498,'Full Perk List'!$D$3:$D1498=$D413),"""")"),"#REF!")</f>
        <v>#REF!</v>
      </c>
      <c r="G413" s="2" t="str">
        <f ca="1">IFERROR(__xludf.DUMMYFUNCTION("iferror(filter('Full Perk List'!G$3:G1498,'Full Perk List'!$D$3:$D1498=$D413),"""")"),"#REF!")</f>
        <v>#REF!</v>
      </c>
      <c r="H413" s="1"/>
      <c r="I413" s="2"/>
      <c r="J413" s="2"/>
      <c r="K413" s="2"/>
      <c r="L413" s="2"/>
      <c r="M413" s="2"/>
      <c r="N413" s="2"/>
      <c r="O413" s="2"/>
      <c r="P413" s="2"/>
      <c r="Q413" s="2"/>
      <c r="R413" s="2"/>
      <c r="S413" s="2"/>
      <c r="T413" s="2"/>
      <c r="U413" s="2"/>
      <c r="V413" s="2"/>
      <c r="W413" s="2"/>
      <c r="X413" s="2"/>
      <c r="Y413" s="2"/>
    </row>
    <row r="414" spans="1:25" ht="17.399999999999999" x14ac:dyDescent="0.25">
      <c r="A414" s="1"/>
      <c r="B414" s="40"/>
      <c r="C414" s="2" t="str">
        <f ca="1">IFERROR(__xludf.DUMMYFUNCTION("iferror(filter('Full Perk List'!C$3:C1498,'Full Perk List'!$D$3:$D1498=$D414),"""")"),"#REF!")</f>
        <v>#REF!</v>
      </c>
      <c r="D414" s="2"/>
      <c r="E414" s="2" t="str">
        <f ca="1">IFERROR(__xludf.DUMMYFUNCTION("iferror(filter('Full Perk List'!E$3:E1498,'Full Perk List'!$D$3:$D1498=$D414),"""")"),"#REF!")</f>
        <v>#REF!</v>
      </c>
      <c r="F414" s="2" t="str">
        <f ca="1">IFERROR(__xludf.DUMMYFUNCTION("iferror(filter('Full Perk List'!F$3:F1498,'Full Perk List'!$D$3:$D1498=$D414),"""")"),"#REF!")</f>
        <v>#REF!</v>
      </c>
      <c r="G414" s="2" t="str">
        <f ca="1">IFERROR(__xludf.DUMMYFUNCTION("iferror(filter('Full Perk List'!G$3:G1498,'Full Perk List'!$D$3:$D1498=$D414),"""")"),"#REF!")</f>
        <v>#REF!</v>
      </c>
      <c r="H414" s="1"/>
      <c r="I414" s="2"/>
      <c r="J414" s="2"/>
      <c r="K414" s="2"/>
      <c r="L414" s="2"/>
      <c r="M414" s="2"/>
      <c r="N414" s="2"/>
      <c r="O414" s="2"/>
      <c r="P414" s="2"/>
      <c r="Q414" s="2"/>
      <c r="R414" s="2"/>
      <c r="S414" s="2"/>
      <c r="T414" s="2"/>
      <c r="U414" s="2"/>
      <c r="V414" s="2"/>
      <c r="W414" s="2"/>
      <c r="X414" s="2"/>
      <c r="Y414" s="2"/>
    </row>
    <row r="415" spans="1:25" ht="17.399999999999999" x14ac:dyDescent="0.25">
      <c r="A415" s="1"/>
      <c r="B415" s="40"/>
      <c r="C415" s="2" t="str">
        <f ca="1">IFERROR(__xludf.DUMMYFUNCTION("iferror(filter('Full Perk List'!C$3:C1498,'Full Perk List'!$D$3:$D1498=$D415),"""")"),"#REF!")</f>
        <v>#REF!</v>
      </c>
      <c r="D415" s="2"/>
      <c r="E415" s="2" t="str">
        <f ca="1">IFERROR(__xludf.DUMMYFUNCTION("iferror(filter('Full Perk List'!E$3:E1498,'Full Perk List'!$D$3:$D1498=$D415),"""")"),"#REF!")</f>
        <v>#REF!</v>
      </c>
      <c r="F415" s="2" t="str">
        <f ca="1">IFERROR(__xludf.DUMMYFUNCTION("iferror(filter('Full Perk List'!F$3:F1498,'Full Perk List'!$D$3:$D1498=$D415),"""")"),"#REF!")</f>
        <v>#REF!</v>
      </c>
      <c r="G415" s="2" t="str">
        <f ca="1">IFERROR(__xludf.DUMMYFUNCTION("iferror(filter('Full Perk List'!G$3:G1498,'Full Perk List'!$D$3:$D1498=$D415),"""")"),"#REF!")</f>
        <v>#REF!</v>
      </c>
      <c r="H415" s="1"/>
      <c r="I415" s="2"/>
      <c r="J415" s="2"/>
      <c r="K415" s="2"/>
      <c r="L415" s="2"/>
      <c r="M415" s="2"/>
      <c r="N415" s="2"/>
      <c r="O415" s="2"/>
      <c r="P415" s="2"/>
      <c r="Q415" s="2"/>
      <c r="R415" s="2"/>
      <c r="S415" s="2"/>
      <c r="T415" s="2"/>
      <c r="U415" s="2"/>
      <c r="V415" s="2"/>
      <c r="W415" s="2"/>
      <c r="X415" s="2"/>
      <c r="Y415" s="2"/>
    </row>
    <row r="416" spans="1:25" ht="17.399999999999999" x14ac:dyDescent="0.25">
      <c r="A416" s="1"/>
      <c r="B416" s="40"/>
      <c r="C416" s="2" t="str">
        <f ca="1">IFERROR(__xludf.DUMMYFUNCTION("iferror(filter('Full Perk List'!C$3:C1498,'Full Perk List'!$D$3:$D1498=$D416),"""")"),"#REF!")</f>
        <v>#REF!</v>
      </c>
      <c r="D416" s="2"/>
      <c r="E416" s="2" t="str">
        <f ca="1">IFERROR(__xludf.DUMMYFUNCTION("iferror(filter('Full Perk List'!E$3:E1498,'Full Perk List'!$D$3:$D1498=$D416),"""")"),"#REF!")</f>
        <v>#REF!</v>
      </c>
      <c r="F416" s="2" t="str">
        <f ca="1">IFERROR(__xludf.DUMMYFUNCTION("iferror(filter('Full Perk List'!F$3:F1498,'Full Perk List'!$D$3:$D1498=$D416),"""")"),"#REF!")</f>
        <v>#REF!</v>
      </c>
      <c r="G416" s="2" t="str">
        <f ca="1">IFERROR(__xludf.DUMMYFUNCTION("iferror(filter('Full Perk List'!G$3:G1498,'Full Perk List'!$D$3:$D1498=$D416),"""")"),"#REF!")</f>
        <v>#REF!</v>
      </c>
      <c r="H416" s="1"/>
      <c r="I416" s="2"/>
      <c r="J416" s="2"/>
      <c r="K416" s="2"/>
      <c r="L416" s="2"/>
      <c r="M416" s="2"/>
      <c r="N416" s="2"/>
      <c r="O416" s="2"/>
      <c r="P416" s="2"/>
      <c r="Q416" s="2"/>
      <c r="R416" s="2"/>
      <c r="S416" s="2"/>
      <c r="T416" s="2"/>
      <c r="U416" s="2"/>
      <c r="V416" s="2"/>
      <c r="W416" s="2"/>
      <c r="X416" s="2"/>
      <c r="Y416" s="2"/>
    </row>
    <row r="417" spans="1:25" ht="17.399999999999999" x14ac:dyDescent="0.25">
      <c r="A417" s="1"/>
      <c r="B417" s="40"/>
      <c r="C417" s="2" t="str">
        <f ca="1">IFERROR(__xludf.DUMMYFUNCTION("iferror(filter('Full Perk List'!C$3:C1498,'Full Perk List'!$D$3:$D1498=$D417),"""")"),"#REF!")</f>
        <v>#REF!</v>
      </c>
      <c r="D417" s="2"/>
      <c r="E417" s="2" t="str">
        <f ca="1">IFERROR(__xludf.DUMMYFUNCTION("iferror(filter('Full Perk List'!E$3:E1498,'Full Perk List'!$D$3:$D1498=$D417),"""")"),"#REF!")</f>
        <v>#REF!</v>
      </c>
      <c r="F417" s="2" t="str">
        <f ca="1">IFERROR(__xludf.DUMMYFUNCTION("iferror(filter('Full Perk List'!F$3:F1498,'Full Perk List'!$D$3:$D1498=$D417),"""")"),"#REF!")</f>
        <v>#REF!</v>
      </c>
      <c r="G417" s="2" t="str">
        <f ca="1">IFERROR(__xludf.DUMMYFUNCTION("iferror(filter('Full Perk List'!G$3:G1498,'Full Perk List'!$D$3:$D1498=$D417),"""")"),"#REF!")</f>
        <v>#REF!</v>
      </c>
      <c r="H417" s="1"/>
      <c r="I417" s="2"/>
      <c r="J417" s="2"/>
      <c r="K417" s="2"/>
      <c r="L417" s="2"/>
      <c r="M417" s="2"/>
      <c r="N417" s="2"/>
      <c r="O417" s="2"/>
      <c r="P417" s="2"/>
      <c r="Q417" s="2"/>
      <c r="R417" s="2"/>
      <c r="S417" s="2"/>
      <c r="T417" s="2"/>
      <c r="U417" s="2"/>
      <c r="V417" s="2"/>
      <c r="W417" s="2"/>
      <c r="X417" s="2"/>
      <c r="Y417" s="2"/>
    </row>
    <row r="418" spans="1:25" ht="17.399999999999999" x14ac:dyDescent="0.25">
      <c r="A418" s="1"/>
      <c r="B418" s="40"/>
      <c r="C418" s="2" t="str">
        <f ca="1">IFERROR(__xludf.DUMMYFUNCTION("iferror(filter('Full Perk List'!C$3:C1498,'Full Perk List'!$D$3:$D1498=$D418),"""")"),"#REF!")</f>
        <v>#REF!</v>
      </c>
      <c r="D418" s="2"/>
      <c r="E418" s="2" t="str">
        <f ca="1">IFERROR(__xludf.DUMMYFUNCTION("iferror(filter('Full Perk List'!E$3:E1498,'Full Perk List'!$D$3:$D1498=$D418),"""")"),"#REF!")</f>
        <v>#REF!</v>
      </c>
      <c r="F418" s="2" t="str">
        <f ca="1">IFERROR(__xludf.DUMMYFUNCTION("iferror(filter('Full Perk List'!F$3:F1498,'Full Perk List'!$D$3:$D1498=$D418),"""")"),"#REF!")</f>
        <v>#REF!</v>
      </c>
      <c r="G418" s="2" t="str">
        <f ca="1">IFERROR(__xludf.DUMMYFUNCTION("iferror(filter('Full Perk List'!G$3:G1498,'Full Perk List'!$D$3:$D1498=$D418),"""")"),"#REF!")</f>
        <v>#REF!</v>
      </c>
      <c r="H418" s="1"/>
      <c r="I418" s="2"/>
      <c r="J418" s="2"/>
      <c r="K418" s="2"/>
      <c r="L418" s="2"/>
      <c r="M418" s="2"/>
      <c r="N418" s="2"/>
      <c r="O418" s="2"/>
      <c r="P418" s="2"/>
      <c r="Q418" s="2"/>
      <c r="R418" s="2"/>
      <c r="S418" s="2"/>
      <c r="T418" s="2"/>
      <c r="U418" s="2"/>
      <c r="V418" s="2"/>
      <c r="W418" s="2"/>
      <c r="X418" s="2"/>
      <c r="Y418" s="2"/>
    </row>
    <row r="419" spans="1:25" ht="17.399999999999999" x14ac:dyDescent="0.25">
      <c r="A419" s="1"/>
      <c r="B419" s="40"/>
      <c r="C419" s="2" t="str">
        <f ca="1">IFERROR(__xludf.DUMMYFUNCTION("iferror(filter('Full Perk List'!C$3:C1498,'Full Perk List'!$D$3:$D1498=$D419),"""")"),"#REF!")</f>
        <v>#REF!</v>
      </c>
      <c r="D419" s="2"/>
      <c r="E419" s="2" t="str">
        <f ca="1">IFERROR(__xludf.DUMMYFUNCTION("iferror(filter('Full Perk List'!E$3:E1498,'Full Perk List'!$D$3:$D1498=$D419),"""")"),"#REF!")</f>
        <v>#REF!</v>
      </c>
      <c r="F419" s="2" t="str">
        <f ca="1">IFERROR(__xludf.DUMMYFUNCTION("iferror(filter('Full Perk List'!F$3:F1498,'Full Perk List'!$D$3:$D1498=$D419),"""")"),"#REF!")</f>
        <v>#REF!</v>
      </c>
      <c r="G419" s="2" t="str">
        <f ca="1">IFERROR(__xludf.DUMMYFUNCTION("iferror(filter('Full Perk List'!G$3:G1498,'Full Perk List'!$D$3:$D1498=$D419),"""")"),"#REF!")</f>
        <v>#REF!</v>
      </c>
      <c r="H419" s="1"/>
      <c r="I419" s="2"/>
      <c r="J419" s="2"/>
      <c r="K419" s="2"/>
      <c r="L419" s="2"/>
      <c r="M419" s="2"/>
      <c r="N419" s="2"/>
      <c r="O419" s="2"/>
      <c r="P419" s="2"/>
      <c r="Q419" s="2"/>
      <c r="R419" s="2"/>
      <c r="S419" s="2"/>
      <c r="T419" s="2"/>
      <c r="U419" s="2"/>
      <c r="V419" s="2"/>
      <c r="W419" s="2"/>
      <c r="X419" s="2"/>
      <c r="Y419" s="2"/>
    </row>
    <row r="420" spans="1:25" ht="17.399999999999999" x14ac:dyDescent="0.25">
      <c r="A420" s="1"/>
      <c r="B420" s="40"/>
      <c r="C420" s="2" t="str">
        <f ca="1">IFERROR(__xludf.DUMMYFUNCTION("iferror(filter('Full Perk List'!C$3:C1498,'Full Perk List'!$D$3:$D1498=$D420),"""")"),"#REF!")</f>
        <v>#REF!</v>
      </c>
      <c r="D420" s="2"/>
      <c r="E420" s="2" t="str">
        <f ca="1">IFERROR(__xludf.DUMMYFUNCTION("iferror(filter('Full Perk List'!E$3:E1498,'Full Perk List'!$D$3:$D1498=$D420),"""")"),"#REF!")</f>
        <v>#REF!</v>
      </c>
      <c r="F420" s="2" t="str">
        <f ca="1">IFERROR(__xludf.DUMMYFUNCTION("iferror(filter('Full Perk List'!F$3:F1498,'Full Perk List'!$D$3:$D1498=$D420),"""")"),"#REF!")</f>
        <v>#REF!</v>
      </c>
      <c r="G420" s="2" t="str">
        <f ca="1">IFERROR(__xludf.DUMMYFUNCTION("iferror(filter('Full Perk List'!G$3:G1498,'Full Perk List'!$D$3:$D1498=$D420),"""")"),"#REF!")</f>
        <v>#REF!</v>
      </c>
      <c r="H420" s="1"/>
      <c r="I420" s="2"/>
      <c r="J420" s="2"/>
      <c r="K420" s="2"/>
      <c r="L420" s="2"/>
      <c r="M420" s="2"/>
      <c r="N420" s="2"/>
      <c r="O420" s="2"/>
      <c r="P420" s="2"/>
      <c r="Q420" s="2"/>
      <c r="R420" s="2"/>
      <c r="S420" s="2"/>
      <c r="T420" s="2"/>
      <c r="U420" s="2"/>
      <c r="V420" s="2"/>
      <c r="W420" s="2"/>
      <c r="X420" s="2"/>
      <c r="Y420" s="2"/>
    </row>
    <row r="421" spans="1:25" ht="17.399999999999999" x14ac:dyDescent="0.25">
      <c r="A421" s="1"/>
      <c r="B421" s="40"/>
      <c r="C421" s="2" t="str">
        <f ca="1">IFERROR(__xludf.DUMMYFUNCTION("iferror(filter('Full Perk List'!C$3:C1498,'Full Perk List'!$D$3:$D1498=$D421),"""")"),"#REF!")</f>
        <v>#REF!</v>
      </c>
      <c r="D421" s="2"/>
      <c r="E421" s="2" t="str">
        <f ca="1">IFERROR(__xludf.DUMMYFUNCTION("iferror(filter('Full Perk List'!E$3:E1498,'Full Perk List'!$D$3:$D1498=$D421),"""")"),"#REF!")</f>
        <v>#REF!</v>
      </c>
      <c r="F421" s="2" t="str">
        <f ca="1">IFERROR(__xludf.DUMMYFUNCTION("iferror(filter('Full Perk List'!F$3:F1498,'Full Perk List'!$D$3:$D1498=$D421),"""")"),"#REF!")</f>
        <v>#REF!</v>
      </c>
      <c r="G421" s="2" t="str">
        <f ca="1">IFERROR(__xludf.DUMMYFUNCTION("iferror(filter('Full Perk List'!G$3:G1498,'Full Perk List'!$D$3:$D1498=$D421),"""")"),"#REF!")</f>
        <v>#REF!</v>
      </c>
      <c r="H421" s="1"/>
      <c r="I421" s="2"/>
      <c r="J421" s="2"/>
      <c r="K421" s="2"/>
      <c r="L421" s="2"/>
      <c r="M421" s="2"/>
      <c r="N421" s="2"/>
      <c r="O421" s="2"/>
      <c r="P421" s="2"/>
      <c r="Q421" s="2"/>
      <c r="R421" s="2"/>
      <c r="S421" s="2"/>
      <c r="T421" s="2"/>
      <c r="U421" s="2"/>
      <c r="V421" s="2"/>
      <c r="W421" s="2"/>
      <c r="X421" s="2"/>
      <c r="Y421" s="2"/>
    </row>
    <row r="422" spans="1:25" ht="17.399999999999999" x14ac:dyDescent="0.25">
      <c r="A422" s="1"/>
      <c r="B422" s="40"/>
      <c r="C422" s="2" t="str">
        <f ca="1">IFERROR(__xludf.DUMMYFUNCTION("iferror(filter('Full Perk List'!C$3:C1498,'Full Perk List'!$D$3:$D1498=$D422),"""")"),"#REF!")</f>
        <v>#REF!</v>
      </c>
      <c r="D422" s="2"/>
      <c r="E422" s="2" t="str">
        <f ca="1">IFERROR(__xludf.DUMMYFUNCTION("iferror(filter('Full Perk List'!E$3:E1498,'Full Perk List'!$D$3:$D1498=$D422),"""")"),"#REF!")</f>
        <v>#REF!</v>
      </c>
      <c r="F422" s="2" t="str">
        <f ca="1">IFERROR(__xludf.DUMMYFUNCTION("iferror(filter('Full Perk List'!F$3:F1498,'Full Perk List'!$D$3:$D1498=$D422),"""")"),"#REF!")</f>
        <v>#REF!</v>
      </c>
      <c r="G422" s="2" t="str">
        <f ca="1">IFERROR(__xludf.DUMMYFUNCTION("iferror(filter('Full Perk List'!G$3:G1498,'Full Perk List'!$D$3:$D1498=$D422),"""")"),"#REF!")</f>
        <v>#REF!</v>
      </c>
      <c r="H422" s="1"/>
      <c r="I422" s="2"/>
      <c r="J422" s="2"/>
      <c r="K422" s="2"/>
      <c r="L422" s="2"/>
      <c r="M422" s="2"/>
      <c r="N422" s="2"/>
      <c r="O422" s="2"/>
      <c r="P422" s="2"/>
      <c r="Q422" s="2"/>
      <c r="R422" s="2"/>
      <c r="S422" s="2"/>
      <c r="T422" s="2"/>
      <c r="U422" s="2"/>
      <c r="V422" s="2"/>
      <c r="W422" s="2"/>
      <c r="X422" s="2"/>
      <c r="Y422" s="2"/>
    </row>
    <row r="423" spans="1:25" ht="17.399999999999999" x14ac:dyDescent="0.25">
      <c r="A423" s="1"/>
      <c r="B423" s="40"/>
      <c r="C423" s="2" t="str">
        <f ca="1">IFERROR(__xludf.DUMMYFUNCTION("iferror(filter('Full Perk List'!C$3:C1498,'Full Perk List'!$D$3:$D1498=$D423),"""")"),"#REF!")</f>
        <v>#REF!</v>
      </c>
      <c r="D423" s="2"/>
      <c r="E423" s="2" t="str">
        <f ca="1">IFERROR(__xludf.DUMMYFUNCTION("iferror(filter('Full Perk List'!E$3:E1498,'Full Perk List'!$D$3:$D1498=$D423),"""")"),"#REF!")</f>
        <v>#REF!</v>
      </c>
      <c r="F423" s="2" t="str">
        <f ca="1">IFERROR(__xludf.DUMMYFUNCTION("iferror(filter('Full Perk List'!F$3:F1498,'Full Perk List'!$D$3:$D1498=$D423),"""")"),"#REF!")</f>
        <v>#REF!</v>
      </c>
      <c r="G423" s="2" t="str">
        <f ca="1">IFERROR(__xludf.DUMMYFUNCTION("iferror(filter('Full Perk List'!G$3:G1498,'Full Perk List'!$D$3:$D1498=$D423),"""")"),"#REF!")</f>
        <v>#REF!</v>
      </c>
      <c r="H423" s="1"/>
      <c r="I423" s="2"/>
      <c r="J423" s="2"/>
      <c r="K423" s="2"/>
      <c r="L423" s="2"/>
      <c r="M423" s="2"/>
      <c r="N423" s="2"/>
      <c r="O423" s="2"/>
      <c r="P423" s="2"/>
      <c r="Q423" s="2"/>
      <c r="R423" s="2"/>
      <c r="S423" s="2"/>
      <c r="T423" s="2"/>
      <c r="U423" s="2"/>
      <c r="V423" s="2"/>
      <c r="W423" s="2"/>
      <c r="X423" s="2"/>
      <c r="Y423" s="2"/>
    </row>
    <row r="424" spans="1:25" ht="17.399999999999999" x14ac:dyDescent="0.25">
      <c r="A424" s="1"/>
      <c r="B424" s="40"/>
      <c r="C424" s="2" t="str">
        <f ca="1">IFERROR(__xludf.DUMMYFUNCTION("iferror(filter('Full Perk List'!C$3:C1498,'Full Perk List'!$D$3:$D1498=$D424),"""")"),"#REF!")</f>
        <v>#REF!</v>
      </c>
      <c r="D424" s="2"/>
      <c r="E424" s="2" t="str">
        <f ca="1">IFERROR(__xludf.DUMMYFUNCTION("iferror(filter('Full Perk List'!E$3:E1498,'Full Perk List'!$D$3:$D1498=$D424),"""")"),"#REF!")</f>
        <v>#REF!</v>
      </c>
      <c r="F424" s="2" t="str">
        <f ca="1">IFERROR(__xludf.DUMMYFUNCTION("iferror(filter('Full Perk List'!F$3:F1498,'Full Perk List'!$D$3:$D1498=$D424),"""")"),"#REF!")</f>
        <v>#REF!</v>
      </c>
      <c r="G424" s="2" t="str">
        <f ca="1">IFERROR(__xludf.DUMMYFUNCTION("iferror(filter('Full Perk List'!G$3:G1498,'Full Perk List'!$D$3:$D1498=$D424),"""")"),"#REF!")</f>
        <v>#REF!</v>
      </c>
      <c r="H424" s="1"/>
      <c r="I424" s="2"/>
      <c r="J424" s="2"/>
      <c r="K424" s="2"/>
      <c r="L424" s="2"/>
      <c r="M424" s="2"/>
      <c r="N424" s="2"/>
      <c r="O424" s="2"/>
      <c r="P424" s="2"/>
      <c r="Q424" s="2"/>
      <c r="R424" s="2"/>
      <c r="S424" s="2"/>
      <c r="T424" s="2"/>
      <c r="U424" s="2"/>
      <c r="V424" s="2"/>
      <c r="W424" s="2"/>
      <c r="X424" s="2"/>
      <c r="Y424" s="2"/>
    </row>
    <row r="425" spans="1:25" ht="17.399999999999999" x14ac:dyDescent="0.25">
      <c r="A425" s="1"/>
      <c r="B425" s="40"/>
      <c r="C425" s="2" t="str">
        <f ca="1">IFERROR(__xludf.DUMMYFUNCTION("iferror(filter('Full Perk List'!C$3:C1498,'Full Perk List'!$D$3:$D1498=$D425),"""")"),"#REF!")</f>
        <v>#REF!</v>
      </c>
      <c r="D425" s="2"/>
      <c r="E425" s="2" t="str">
        <f ca="1">IFERROR(__xludf.DUMMYFUNCTION("iferror(filter('Full Perk List'!E$3:E1498,'Full Perk List'!$D$3:$D1498=$D425),"""")"),"#REF!")</f>
        <v>#REF!</v>
      </c>
      <c r="F425" s="2" t="str">
        <f ca="1">IFERROR(__xludf.DUMMYFUNCTION("iferror(filter('Full Perk List'!F$3:F1498,'Full Perk List'!$D$3:$D1498=$D425),"""")"),"#REF!")</f>
        <v>#REF!</v>
      </c>
      <c r="G425" s="2" t="str">
        <f ca="1">IFERROR(__xludf.DUMMYFUNCTION("iferror(filter('Full Perk List'!G$3:G1498,'Full Perk List'!$D$3:$D1498=$D425),"""")"),"#REF!")</f>
        <v>#REF!</v>
      </c>
      <c r="H425" s="1"/>
      <c r="I425" s="2"/>
      <c r="J425" s="2"/>
      <c r="K425" s="2"/>
      <c r="L425" s="2"/>
      <c r="M425" s="2"/>
      <c r="N425" s="2"/>
      <c r="O425" s="2"/>
      <c r="P425" s="2"/>
      <c r="Q425" s="2"/>
      <c r="R425" s="2"/>
      <c r="S425" s="2"/>
      <c r="T425" s="2"/>
      <c r="U425" s="2"/>
      <c r="V425" s="2"/>
      <c r="W425" s="2"/>
      <c r="X425" s="2"/>
      <c r="Y425" s="2"/>
    </row>
    <row r="426" spans="1:25" ht="17.399999999999999" x14ac:dyDescent="0.25">
      <c r="A426" s="1"/>
      <c r="B426" s="40"/>
      <c r="C426" s="2" t="str">
        <f ca="1">IFERROR(__xludf.DUMMYFUNCTION("iferror(filter('Full Perk List'!C$3:C1498,'Full Perk List'!$D$3:$D1498=$D426),"""")"),"#REF!")</f>
        <v>#REF!</v>
      </c>
      <c r="D426" s="2"/>
      <c r="E426" s="2" t="str">
        <f ca="1">IFERROR(__xludf.DUMMYFUNCTION("iferror(filter('Full Perk List'!E$3:E1498,'Full Perk List'!$D$3:$D1498=$D426),"""")"),"#REF!")</f>
        <v>#REF!</v>
      </c>
      <c r="F426" s="2" t="str">
        <f ca="1">IFERROR(__xludf.DUMMYFUNCTION("iferror(filter('Full Perk List'!F$3:F1498,'Full Perk List'!$D$3:$D1498=$D426),"""")"),"#REF!")</f>
        <v>#REF!</v>
      </c>
      <c r="G426" s="2" t="str">
        <f ca="1">IFERROR(__xludf.DUMMYFUNCTION("iferror(filter('Full Perk List'!G$3:G1498,'Full Perk List'!$D$3:$D1498=$D426),"""")"),"#REF!")</f>
        <v>#REF!</v>
      </c>
      <c r="H426" s="1"/>
      <c r="I426" s="2"/>
      <c r="J426" s="2"/>
      <c r="K426" s="2"/>
      <c r="L426" s="2"/>
      <c r="M426" s="2"/>
      <c r="N426" s="2"/>
      <c r="O426" s="2"/>
      <c r="P426" s="2"/>
      <c r="Q426" s="2"/>
      <c r="R426" s="2"/>
      <c r="S426" s="2"/>
      <c r="T426" s="2"/>
      <c r="U426" s="2"/>
      <c r="V426" s="2"/>
      <c r="W426" s="2"/>
      <c r="X426" s="2"/>
      <c r="Y426" s="2"/>
    </row>
    <row r="427" spans="1:25" ht="17.399999999999999" x14ac:dyDescent="0.25">
      <c r="A427" s="1"/>
      <c r="B427" s="40"/>
      <c r="C427" s="2" t="str">
        <f ca="1">IFERROR(__xludf.DUMMYFUNCTION("iferror(filter('Full Perk List'!C$3:C1498,'Full Perk List'!$D$3:$D1498=$D427),"""")"),"#REF!")</f>
        <v>#REF!</v>
      </c>
      <c r="D427" s="2"/>
      <c r="E427" s="2" t="str">
        <f ca="1">IFERROR(__xludf.DUMMYFUNCTION("iferror(filter('Full Perk List'!E$3:E1498,'Full Perk List'!$D$3:$D1498=$D427),"""")"),"#REF!")</f>
        <v>#REF!</v>
      </c>
      <c r="F427" s="2" t="str">
        <f ca="1">IFERROR(__xludf.DUMMYFUNCTION("iferror(filter('Full Perk List'!F$3:F1498,'Full Perk List'!$D$3:$D1498=$D427),"""")"),"#REF!")</f>
        <v>#REF!</v>
      </c>
      <c r="G427" s="2" t="str">
        <f ca="1">IFERROR(__xludf.DUMMYFUNCTION("iferror(filter('Full Perk List'!G$3:G1498,'Full Perk List'!$D$3:$D1498=$D427),"""")"),"#REF!")</f>
        <v>#REF!</v>
      </c>
      <c r="H427" s="1"/>
      <c r="I427" s="2"/>
      <c r="J427" s="2"/>
      <c r="K427" s="2"/>
      <c r="L427" s="2"/>
      <c r="M427" s="2"/>
      <c r="N427" s="2"/>
      <c r="O427" s="2"/>
      <c r="P427" s="2"/>
      <c r="Q427" s="2"/>
      <c r="R427" s="2"/>
      <c r="S427" s="2"/>
      <c r="T427" s="2"/>
      <c r="U427" s="2"/>
      <c r="V427" s="2"/>
      <c r="W427" s="2"/>
      <c r="X427" s="2"/>
      <c r="Y427" s="2"/>
    </row>
    <row r="428" spans="1:25" ht="17.399999999999999" x14ac:dyDescent="0.25">
      <c r="A428" s="1"/>
      <c r="B428" s="40"/>
      <c r="C428" s="2" t="str">
        <f ca="1">IFERROR(__xludf.DUMMYFUNCTION("iferror(filter('Full Perk List'!C$3:C1498,'Full Perk List'!$D$3:$D1498=$D428),"""")"),"#REF!")</f>
        <v>#REF!</v>
      </c>
      <c r="D428" s="2"/>
      <c r="E428" s="2" t="str">
        <f ca="1">IFERROR(__xludf.DUMMYFUNCTION("iferror(filter('Full Perk List'!E$3:E1498,'Full Perk List'!$D$3:$D1498=$D428),"""")"),"#REF!")</f>
        <v>#REF!</v>
      </c>
      <c r="F428" s="2" t="str">
        <f ca="1">IFERROR(__xludf.DUMMYFUNCTION("iferror(filter('Full Perk List'!F$3:F1498,'Full Perk List'!$D$3:$D1498=$D428),"""")"),"#REF!")</f>
        <v>#REF!</v>
      </c>
      <c r="G428" s="2" t="str">
        <f ca="1">IFERROR(__xludf.DUMMYFUNCTION("iferror(filter('Full Perk List'!G$3:G1498,'Full Perk List'!$D$3:$D1498=$D428),"""")"),"#REF!")</f>
        <v>#REF!</v>
      </c>
      <c r="H428" s="1"/>
      <c r="I428" s="2"/>
      <c r="J428" s="2"/>
      <c r="K428" s="2"/>
      <c r="L428" s="2"/>
      <c r="M428" s="2"/>
      <c r="N428" s="2"/>
      <c r="O428" s="2"/>
      <c r="P428" s="2"/>
      <c r="Q428" s="2"/>
      <c r="R428" s="2"/>
      <c r="S428" s="2"/>
      <c r="T428" s="2"/>
      <c r="U428" s="2"/>
      <c r="V428" s="2"/>
      <c r="W428" s="2"/>
      <c r="X428" s="2"/>
      <c r="Y428" s="2"/>
    </row>
    <row r="429" spans="1:25" ht="17.399999999999999" x14ac:dyDescent="0.25">
      <c r="A429" s="1"/>
      <c r="B429" s="40"/>
      <c r="C429" s="2" t="str">
        <f ca="1">IFERROR(__xludf.DUMMYFUNCTION("iferror(filter('Full Perk List'!C$3:C1498,'Full Perk List'!$D$3:$D1498=$D429),"""")"),"#REF!")</f>
        <v>#REF!</v>
      </c>
      <c r="D429" s="2"/>
      <c r="E429" s="2" t="str">
        <f ca="1">IFERROR(__xludf.DUMMYFUNCTION("iferror(filter('Full Perk List'!E$3:E1498,'Full Perk List'!$D$3:$D1498=$D429),"""")"),"#REF!")</f>
        <v>#REF!</v>
      </c>
      <c r="F429" s="2" t="str">
        <f ca="1">IFERROR(__xludf.DUMMYFUNCTION("iferror(filter('Full Perk List'!F$3:F1498,'Full Perk List'!$D$3:$D1498=$D429),"""")"),"#REF!")</f>
        <v>#REF!</v>
      </c>
      <c r="G429" s="2" t="str">
        <f ca="1">IFERROR(__xludf.DUMMYFUNCTION("iferror(filter('Full Perk List'!G$3:G1498,'Full Perk List'!$D$3:$D1498=$D429),"""")"),"#REF!")</f>
        <v>#REF!</v>
      </c>
      <c r="H429" s="1"/>
      <c r="I429" s="2"/>
      <c r="J429" s="2"/>
      <c r="K429" s="2"/>
      <c r="L429" s="2"/>
      <c r="M429" s="2"/>
      <c r="N429" s="2"/>
      <c r="O429" s="2"/>
      <c r="P429" s="2"/>
      <c r="Q429" s="2"/>
      <c r="R429" s="2"/>
      <c r="S429" s="2"/>
      <c r="T429" s="2"/>
      <c r="U429" s="2"/>
      <c r="V429" s="2"/>
      <c r="W429" s="2"/>
      <c r="X429" s="2"/>
      <c r="Y429" s="2"/>
    </row>
    <row r="430" spans="1:25" ht="17.399999999999999" x14ac:dyDescent="0.25">
      <c r="A430" s="1"/>
      <c r="B430" s="40"/>
      <c r="C430" s="2" t="str">
        <f ca="1">IFERROR(__xludf.DUMMYFUNCTION("iferror(filter('Full Perk List'!C$3:C1498,'Full Perk List'!$D$3:$D1498=$D430),"""")"),"#REF!")</f>
        <v>#REF!</v>
      </c>
      <c r="D430" s="2"/>
      <c r="E430" s="2" t="str">
        <f ca="1">IFERROR(__xludf.DUMMYFUNCTION("iferror(filter('Full Perk List'!E$3:E1498,'Full Perk List'!$D$3:$D1498=$D430),"""")"),"#REF!")</f>
        <v>#REF!</v>
      </c>
      <c r="F430" s="2" t="str">
        <f ca="1">IFERROR(__xludf.DUMMYFUNCTION("iferror(filter('Full Perk List'!F$3:F1498,'Full Perk List'!$D$3:$D1498=$D430),"""")"),"#REF!")</f>
        <v>#REF!</v>
      </c>
      <c r="G430" s="2" t="str">
        <f ca="1">IFERROR(__xludf.DUMMYFUNCTION("iferror(filter('Full Perk List'!G$3:G1498,'Full Perk List'!$D$3:$D1498=$D430),"""")"),"#REF!")</f>
        <v>#REF!</v>
      </c>
      <c r="H430" s="1"/>
      <c r="I430" s="2"/>
      <c r="J430" s="2"/>
      <c r="K430" s="2"/>
      <c r="L430" s="2"/>
      <c r="M430" s="2"/>
      <c r="N430" s="2"/>
      <c r="O430" s="2"/>
      <c r="P430" s="2"/>
      <c r="Q430" s="2"/>
      <c r="R430" s="2"/>
      <c r="S430" s="2"/>
      <c r="T430" s="2"/>
      <c r="U430" s="2"/>
      <c r="V430" s="2"/>
      <c r="W430" s="2"/>
      <c r="X430" s="2"/>
      <c r="Y430" s="2"/>
    </row>
    <row r="431" spans="1:25" ht="17.399999999999999" x14ac:dyDescent="0.25">
      <c r="A431" s="1"/>
      <c r="B431" s="40"/>
      <c r="C431" s="2" t="str">
        <f ca="1">IFERROR(__xludf.DUMMYFUNCTION("iferror(filter('Full Perk List'!C$3:C1498,'Full Perk List'!$D$3:$D1498=$D431),"""")"),"#REF!")</f>
        <v>#REF!</v>
      </c>
      <c r="D431" s="2"/>
      <c r="E431" s="2" t="str">
        <f ca="1">IFERROR(__xludf.DUMMYFUNCTION("iferror(filter('Full Perk List'!E$3:E1498,'Full Perk List'!$D$3:$D1498=$D431),"""")"),"#REF!")</f>
        <v>#REF!</v>
      </c>
      <c r="F431" s="2" t="str">
        <f ca="1">IFERROR(__xludf.DUMMYFUNCTION("iferror(filter('Full Perk List'!F$3:F1498,'Full Perk List'!$D$3:$D1498=$D431),"""")"),"#REF!")</f>
        <v>#REF!</v>
      </c>
      <c r="G431" s="2" t="str">
        <f ca="1">IFERROR(__xludf.DUMMYFUNCTION("iferror(filter('Full Perk List'!G$3:G1498,'Full Perk List'!$D$3:$D1498=$D431),"""")"),"#REF!")</f>
        <v>#REF!</v>
      </c>
      <c r="H431" s="1"/>
      <c r="I431" s="2"/>
      <c r="J431" s="2"/>
      <c r="K431" s="2"/>
      <c r="L431" s="2"/>
      <c r="M431" s="2"/>
      <c r="N431" s="2"/>
      <c r="O431" s="2"/>
      <c r="P431" s="2"/>
      <c r="Q431" s="2"/>
      <c r="R431" s="2"/>
      <c r="S431" s="2"/>
      <c r="T431" s="2"/>
      <c r="U431" s="2"/>
      <c r="V431" s="2"/>
      <c r="W431" s="2"/>
      <c r="X431" s="2"/>
      <c r="Y431" s="2"/>
    </row>
    <row r="432" spans="1:25" ht="17.399999999999999" x14ac:dyDescent="0.25">
      <c r="A432" s="1"/>
      <c r="B432" s="40"/>
      <c r="C432" s="2" t="str">
        <f ca="1">IFERROR(__xludf.DUMMYFUNCTION("iferror(filter('Full Perk List'!C$3:C1498,'Full Perk List'!$D$3:$D1498=$D432),"""")"),"#REF!")</f>
        <v>#REF!</v>
      </c>
      <c r="D432" s="2"/>
      <c r="E432" s="2" t="str">
        <f ca="1">IFERROR(__xludf.DUMMYFUNCTION("iferror(filter('Full Perk List'!E$3:E1498,'Full Perk List'!$D$3:$D1498=$D432),"""")"),"#REF!")</f>
        <v>#REF!</v>
      </c>
      <c r="F432" s="2" t="str">
        <f ca="1">IFERROR(__xludf.DUMMYFUNCTION("iferror(filter('Full Perk List'!F$3:F1498,'Full Perk List'!$D$3:$D1498=$D432),"""")"),"#REF!")</f>
        <v>#REF!</v>
      </c>
      <c r="G432" s="2" t="str">
        <f ca="1">IFERROR(__xludf.DUMMYFUNCTION("iferror(filter('Full Perk List'!G$3:G1498,'Full Perk List'!$D$3:$D1498=$D432),"""")"),"#REF!")</f>
        <v>#REF!</v>
      </c>
      <c r="H432" s="1"/>
      <c r="I432" s="2"/>
      <c r="J432" s="2"/>
      <c r="K432" s="2"/>
      <c r="L432" s="2"/>
      <c r="M432" s="2"/>
      <c r="N432" s="2"/>
      <c r="O432" s="2"/>
      <c r="P432" s="2"/>
      <c r="Q432" s="2"/>
      <c r="R432" s="2"/>
      <c r="S432" s="2"/>
      <c r="T432" s="2"/>
      <c r="U432" s="2"/>
      <c r="V432" s="2"/>
      <c r="W432" s="2"/>
      <c r="X432" s="2"/>
      <c r="Y432" s="2"/>
    </row>
    <row r="433" spans="1:25" ht="17.399999999999999" x14ac:dyDescent="0.25">
      <c r="A433" s="1"/>
      <c r="B433" s="40"/>
      <c r="C433" s="2" t="str">
        <f ca="1">IFERROR(__xludf.DUMMYFUNCTION("iferror(filter('Full Perk List'!C$3:C1498,'Full Perk List'!$D$3:$D1498=$D433),"""")"),"#REF!")</f>
        <v>#REF!</v>
      </c>
      <c r="D433" s="2"/>
      <c r="E433" s="2" t="str">
        <f ca="1">IFERROR(__xludf.DUMMYFUNCTION("iferror(filter('Full Perk List'!E$3:E1498,'Full Perk List'!$D$3:$D1498=$D433),"""")"),"#REF!")</f>
        <v>#REF!</v>
      </c>
      <c r="F433" s="2" t="str">
        <f ca="1">IFERROR(__xludf.DUMMYFUNCTION("iferror(filter('Full Perk List'!F$3:F1498,'Full Perk List'!$D$3:$D1498=$D433),"""")"),"#REF!")</f>
        <v>#REF!</v>
      </c>
      <c r="G433" s="2" t="str">
        <f ca="1">IFERROR(__xludf.DUMMYFUNCTION("iferror(filter('Full Perk List'!G$3:G1498,'Full Perk List'!$D$3:$D1498=$D433),"""")"),"#REF!")</f>
        <v>#REF!</v>
      </c>
      <c r="H433" s="1"/>
      <c r="I433" s="2"/>
      <c r="J433" s="2"/>
      <c r="K433" s="2"/>
      <c r="L433" s="2"/>
      <c r="M433" s="2"/>
      <c r="N433" s="2"/>
      <c r="O433" s="2"/>
      <c r="P433" s="2"/>
      <c r="Q433" s="2"/>
      <c r="R433" s="2"/>
      <c r="S433" s="2"/>
      <c r="T433" s="2"/>
      <c r="U433" s="2"/>
      <c r="V433" s="2"/>
      <c r="W433" s="2"/>
      <c r="X433" s="2"/>
      <c r="Y433" s="2"/>
    </row>
    <row r="434" spans="1:25" ht="17.399999999999999" x14ac:dyDescent="0.25">
      <c r="A434" s="1"/>
      <c r="B434" s="40"/>
      <c r="C434" s="2" t="str">
        <f ca="1">IFERROR(__xludf.DUMMYFUNCTION("iferror(filter('Full Perk List'!C$3:C1498,'Full Perk List'!$D$3:$D1498=$D434),"""")"),"#REF!")</f>
        <v>#REF!</v>
      </c>
      <c r="D434" s="2"/>
      <c r="E434" s="2" t="str">
        <f ca="1">IFERROR(__xludf.DUMMYFUNCTION("iferror(filter('Full Perk List'!E$3:E1498,'Full Perk List'!$D$3:$D1498=$D434),"""")"),"#REF!")</f>
        <v>#REF!</v>
      </c>
      <c r="F434" s="2" t="str">
        <f ca="1">IFERROR(__xludf.DUMMYFUNCTION("iferror(filter('Full Perk List'!F$3:F1498,'Full Perk List'!$D$3:$D1498=$D434),"""")"),"#REF!")</f>
        <v>#REF!</v>
      </c>
      <c r="G434" s="2" t="str">
        <f ca="1">IFERROR(__xludf.DUMMYFUNCTION("iferror(filter('Full Perk List'!G$3:G1498,'Full Perk List'!$D$3:$D1498=$D434),"""")"),"#REF!")</f>
        <v>#REF!</v>
      </c>
      <c r="H434" s="1"/>
      <c r="I434" s="2"/>
      <c r="J434" s="2"/>
      <c r="K434" s="2"/>
      <c r="L434" s="2"/>
      <c r="M434" s="2"/>
      <c r="N434" s="2"/>
      <c r="O434" s="2"/>
      <c r="P434" s="2"/>
      <c r="Q434" s="2"/>
      <c r="R434" s="2"/>
      <c r="S434" s="2"/>
      <c r="T434" s="2"/>
      <c r="U434" s="2"/>
      <c r="V434" s="2"/>
      <c r="W434" s="2"/>
      <c r="X434" s="2"/>
      <c r="Y434" s="2"/>
    </row>
    <row r="435" spans="1:25" ht="17.399999999999999" x14ac:dyDescent="0.25">
      <c r="A435" s="1"/>
      <c r="B435" s="40"/>
      <c r="C435" s="2" t="str">
        <f ca="1">IFERROR(__xludf.DUMMYFUNCTION("iferror(filter('Full Perk List'!C$3:C1498,'Full Perk List'!$D$3:$D1498=$D435),"""")"),"#REF!")</f>
        <v>#REF!</v>
      </c>
      <c r="D435" s="2"/>
      <c r="E435" s="2" t="str">
        <f ca="1">IFERROR(__xludf.DUMMYFUNCTION("iferror(filter('Full Perk List'!E$3:E1498,'Full Perk List'!$D$3:$D1498=$D435),"""")"),"#REF!")</f>
        <v>#REF!</v>
      </c>
      <c r="F435" s="2" t="str">
        <f ca="1">IFERROR(__xludf.DUMMYFUNCTION("iferror(filter('Full Perk List'!F$3:F1498,'Full Perk List'!$D$3:$D1498=$D435),"""")"),"#REF!")</f>
        <v>#REF!</v>
      </c>
      <c r="G435" s="2" t="str">
        <f ca="1">IFERROR(__xludf.DUMMYFUNCTION("iferror(filter('Full Perk List'!G$3:G1498,'Full Perk List'!$D$3:$D1498=$D435),"""")"),"#REF!")</f>
        <v>#REF!</v>
      </c>
      <c r="H435" s="1"/>
      <c r="I435" s="2"/>
      <c r="J435" s="2"/>
      <c r="K435" s="2"/>
      <c r="L435" s="2"/>
      <c r="M435" s="2"/>
      <c r="N435" s="2"/>
      <c r="O435" s="2"/>
      <c r="P435" s="2"/>
      <c r="Q435" s="2"/>
      <c r="R435" s="2"/>
      <c r="S435" s="2"/>
      <c r="T435" s="2"/>
      <c r="U435" s="2"/>
      <c r="V435" s="2"/>
      <c r="W435" s="2"/>
      <c r="X435" s="2"/>
      <c r="Y435" s="2"/>
    </row>
    <row r="436" spans="1:25" ht="17.399999999999999" x14ac:dyDescent="0.25">
      <c r="A436" s="1"/>
      <c r="B436" s="40"/>
      <c r="C436" s="2" t="str">
        <f ca="1">IFERROR(__xludf.DUMMYFUNCTION("iferror(filter('Full Perk List'!C$3:C1498,'Full Perk List'!$D$3:$D1498=$D436),"""")"),"#REF!")</f>
        <v>#REF!</v>
      </c>
      <c r="D436" s="2"/>
      <c r="E436" s="2" t="str">
        <f ca="1">IFERROR(__xludf.DUMMYFUNCTION("iferror(filter('Full Perk List'!E$3:E1498,'Full Perk List'!$D$3:$D1498=$D436),"""")"),"#REF!")</f>
        <v>#REF!</v>
      </c>
      <c r="F436" s="2" t="str">
        <f ca="1">IFERROR(__xludf.DUMMYFUNCTION("iferror(filter('Full Perk List'!F$3:F1498,'Full Perk List'!$D$3:$D1498=$D436),"""")"),"#REF!")</f>
        <v>#REF!</v>
      </c>
      <c r="G436" s="2" t="str">
        <f ca="1">IFERROR(__xludf.DUMMYFUNCTION("iferror(filter('Full Perk List'!G$3:G1498,'Full Perk List'!$D$3:$D1498=$D436),"""")"),"#REF!")</f>
        <v>#REF!</v>
      </c>
      <c r="H436" s="1"/>
      <c r="I436" s="2"/>
      <c r="J436" s="2"/>
      <c r="K436" s="2"/>
      <c r="L436" s="2"/>
      <c r="M436" s="2"/>
      <c r="N436" s="2"/>
      <c r="O436" s="2"/>
      <c r="P436" s="2"/>
      <c r="Q436" s="2"/>
      <c r="R436" s="2"/>
      <c r="S436" s="2"/>
      <c r="T436" s="2"/>
      <c r="U436" s="2"/>
      <c r="V436" s="2"/>
      <c r="W436" s="2"/>
      <c r="X436" s="2"/>
      <c r="Y436" s="2"/>
    </row>
    <row r="437" spans="1:25" ht="17.399999999999999" x14ac:dyDescent="0.25">
      <c r="A437" s="1"/>
      <c r="B437" s="40"/>
      <c r="C437" s="2" t="str">
        <f ca="1">IFERROR(__xludf.DUMMYFUNCTION("iferror(filter('Full Perk List'!C$3:C1498,'Full Perk List'!$D$3:$D1498=$D437),"""")"),"#REF!")</f>
        <v>#REF!</v>
      </c>
      <c r="D437" s="2"/>
      <c r="E437" s="2" t="str">
        <f ca="1">IFERROR(__xludf.DUMMYFUNCTION("iferror(filter('Full Perk List'!E$3:E1498,'Full Perk List'!$D$3:$D1498=$D437),"""")"),"#REF!")</f>
        <v>#REF!</v>
      </c>
      <c r="F437" s="2" t="str">
        <f ca="1">IFERROR(__xludf.DUMMYFUNCTION("iferror(filter('Full Perk List'!F$3:F1498,'Full Perk List'!$D$3:$D1498=$D437),"""")"),"#REF!")</f>
        <v>#REF!</v>
      </c>
      <c r="G437" s="2" t="str">
        <f ca="1">IFERROR(__xludf.DUMMYFUNCTION("iferror(filter('Full Perk List'!G$3:G1498,'Full Perk List'!$D$3:$D1498=$D437),"""")"),"#REF!")</f>
        <v>#REF!</v>
      </c>
      <c r="H437" s="1"/>
      <c r="I437" s="2"/>
      <c r="J437" s="2"/>
      <c r="K437" s="2"/>
      <c r="L437" s="2"/>
      <c r="M437" s="2"/>
      <c r="N437" s="2"/>
      <c r="O437" s="2"/>
      <c r="P437" s="2"/>
      <c r="Q437" s="2"/>
      <c r="R437" s="2"/>
      <c r="S437" s="2"/>
      <c r="T437" s="2"/>
      <c r="U437" s="2"/>
      <c r="V437" s="2"/>
      <c r="W437" s="2"/>
      <c r="X437" s="2"/>
      <c r="Y437" s="2"/>
    </row>
    <row r="438" spans="1:25" ht="17.399999999999999" x14ac:dyDescent="0.25">
      <c r="A438" s="1"/>
      <c r="B438" s="40"/>
      <c r="C438" s="2" t="str">
        <f ca="1">IFERROR(__xludf.DUMMYFUNCTION("iferror(filter('Full Perk List'!C$3:C1498,'Full Perk List'!$D$3:$D1498=$D438),"""")"),"#REF!")</f>
        <v>#REF!</v>
      </c>
      <c r="D438" s="2"/>
      <c r="E438" s="2" t="str">
        <f ca="1">IFERROR(__xludf.DUMMYFUNCTION("iferror(filter('Full Perk List'!E$3:E1498,'Full Perk List'!$D$3:$D1498=$D438),"""")"),"#REF!")</f>
        <v>#REF!</v>
      </c>
      <c r="F438" s="2" t="str">
        <f ca="1">IFERROR(__xludf.DUMMYFUNCTION("iferror(filter('Full Perk List'!F$3:F1498,'Full Perk List'!$D$3:$D1498=$D438),"""")"),"#REF!")</f>
        <v>#REF!</v>
      </c>
      <c r="G438" s="2" t="str">
        <f ca="1">IFERROR(__xludf.DUMMYFUNCTION("iferror(filter('Full Perk List'!G$3:G1498,'Full Perk List'!$D$3:$D1498=$D438),"""")"),"#REF!")</f>
        <v>#REF!</v>
      </c>
      <c r="H438" s="1"/>
      <c r="I438" s="2"/>
      <c r="J438" s="2"/>
      <c r="K438" s="2"/>
      <c r="L438" s="2"/>
      <c r="M438" s="2"/>
      <c r="N438" s="2"/>
      <c r="O438" s="2"/>
      <c r="P438" s="2"/>
      <c r="Q438" s="2"/>
      <c r="R438" s="2"/>
      <c r="S438" s="2"/>
      <c r="T438" s="2"/>
      <c r="U438" s="2"/>
      <c r="V438" s="2"/>
      <c r="W438" s="2"/>
      <c r="X438" s="2"/>
      <c r="Y438" s="2"/>
    </row>
    <row r="439" spans="1:25" ht="17.399999999999999" x14ac:dyDescent="0.25">
      <c r="A439" s="1"/>
      <c r="B439" s="40"/>
      <c r="C439" s="2" t="str">
        <f ca="1">IFERROR(__xludf.DUMMYFUNCTION("iferror(filter('Full Perk List'!C$3:C1498,'Full Perk List'!$D$3:$D1498=$D439),"""")"),"#REF!")</f>
        <v>#REF!</v>
      </c>
      <c r="D439" s="2"/>
      <c r="E439" s="2" t="str">
        <f ca="1">IFERROR(__xludf.DUMMYFUNCTION("iferror(filter('Full Perk List'!E$3:E1498,'Full Perk List'!$D$3:$D1498=$D439),"""")"),"#REF!")</f>
        <v>#REF!</v>
      </c>
      <c r="F439" s="2" t="str">
        <f ca="1">IFERROR(__xludf.DUMMYFUNCTION("iferror(filter('Full Perk List'!F$3:F1498,'Full Perk List'!$D$3:$D1498=$D439),"""")"),"#REF!")</f>
        <v>#REF!</v>
      </c>
      <c r="G439" s="2" t="str">
        <f ca="1">IFERROR(__xludf.DUMMYFUNCTION("iferror(filter('Full Perk List'!G$3:G1498,'Full Perk List'!$D$3:$D1498=$D439),"""")"),"#REF!")</f>
        <v>#REF!</v>
      </c>
      <c r="H439" s="1"/>
      <c r="I439" s="2"/>
      <c r="J439" s="2"/>
      <c r="K439" s="2"/>
      <c r="L439" s="2"/>
      <c r="M439" s="2"/>
      <c r="N439" s="2"/>
      <c r="O439" s="2"/>
      <c r="P439" s="2"/>
      <c r="Q439" s="2"/>
      <c r="R439" s="2"/>
      <c r="S439" s="2"/>
      <c r="T439" s="2"/>
      <c r="U439" s="2"/>
      <c r="V439" s="2"/>
      <c r="W439" s="2"/>
      <c r="X439" s="2"/>
      <c r="Y439" s="2"/>
    </row>
    <row r="440" spans="1:25" ht="17.399999999999999" x14ac:dyDescent="0.25">
      <c r="A440" s="1"/>
      <c r="B440" s="40"/>
      <c r="C440" s="2" t="str">
        <f ca="1">IFERROR(__xludf.DUMMYFUNCTION("iferror(filter('Full Perk List'!C$3:C1498,'Full Perk List'!$D$3:$D1498=$D440),"""")"),"#REF!")</f>
        <v>#REF!</v>
      </c>
      <c r="D440" s="2"/>
      <c r="E440" s="2" t="str">
        <f ca="1">IFERROR(__xludf.DUMMYFUNCTION("iferror(filter('Full Perk List'!E$3:E1498,'Full Perk List'!$D$3:$D1498=$D440),"""")"),"#REF!")</f>
        <v>#REF!</v>
      </c>
      <c r="F440" s="2" t="str">
        <f ca="1">IFERROR(__xludf.DUMMYFUNCTION("iferror(filter('Full Perk List'!F$3:F1498,'Full Perk List'!$D$3:$D1498=$D440),"""")"),"#REF!")</f>
        <v>#REF!</v>
      </c>
      <c r="G440" s="2" t="str">
        <f ca="1">IFERROR(__xludf.DUMMYFUNCTION("iferror(filter('Full Perk List'!G$3:G1498,'Full Perk List'!$D$3:$D1498=$D440),"""")"),"#REF!")</f>
        <v>#REF!</v>
      </c>
      <c r="H440" s="1"/>
      <c r="I440" s="2"/>
      <c r="J440" s="2"/>
      <c r="K440" s="2"/>
      <c r="L440" s="2"/>
      <c r="M440" s="2"/>
      <c r="N440" s="2"/>
      <c r="O440" s="2"/>
      <c r="P440" s="2"/>
      <c r="Q440" s="2"/>
      <c r="R440" s="2"/>
      <c r="S440" s="2"/>
      <c r="T440" s="2"/>
      <c r="U440" s="2"/>
      <c r="V440" s="2"/>
      <c r="W440" s="2"/>
      <c r="X440" s="2"/>
      <c r="Y440" s="2"/>
    </row>
    <row r="441" spans="1:25" ht="17.399999999999999" x14ac:dyDescent="0.25">
      <c r="A441" s="1"/>
      <c r="B441" s="40"/>
      <c r="C441" s="2" t="str">
        <f ca="1">IFERROR(__xludf.DUMMYFUNCTION("iferror(filter('Full Perk List'!C$3:C1498,'Full Perk List'!$D$3:$D1498=$D441),"""")"),"#REF!")</f>
        <v>#REF!</v>
      </c>
      <c r="D441" s="2"/>
      <c r="E441" s="2" t="str">
        <f ca="1">IFERROR(__xludf.DUMMYFUNCTION("iferror(filter('Full Perk List'!E$3:E1498,'Full Perk List'!$D$3:$D1498=$D441),"""")"),"#REF!")</f>
        <v>#REF!</v>
      </c>
      <c r="F441" s="2" t="str">
        <f ca="1">IFERROR(__xludf.DUMMYFUNCTION("iferror(filter('Full Perk List'!F$3:F1498,'Full Perk List'!$D$3:$D1498=$D441),"""")"),"#REF!")</f>
        <v>#REF!</v>
      </c>
      <c r="G441" s="2" t="str">
        <f ca="1">IFERROR(__xludf.DUMMYFUNCTION("iferror(filter('Full Perk List'!G$3:G1498,'Full Perk List'!$D$3:$D1498=$D441),"""")"),"#REF!")</f>
        <v>#REF!</v>
      </c>
      <c r="H441" s="1"/>
      <c r="I441" s="2"/>
      <c r="J441" s="2"/>
      <c r="K441" s="2"/>
      <c r="L441" s="2"/>
      <c r="M441" s="2"/>
      <c r="N441" s="2"/>
      <c r="O441" s="2"/>
      <c r="P441" s="2"/>
      <c r="Q441" s="2"/>
      <c r="R441" s="2"/>
      <c r="S441" s="2"/>
      <c r="T441" s="2"/>
      <c r="U441" s="2"/>
      <c r="V441" s="2"/>
      <c r="W441" s="2"/>
      <c r="X441" s="2"/>
      <c r="Y441" s="2"/>
    </row>
    <row r="442" spans="1:25" ht="17.399999999999999" x14ac:dyDescent="0.25">
      <c r="A442" s="1"/>
      <c r="B442" s="40"/>
      <c r="C442" s="2" t="str">
        <f ca="1">IFERROR(__xludf.DUMMYFUNCTION("iferror(filter('Full Perk List'!C$3:C1498,'Full Perk List'!$D$3:$D1498=$D442),"""")"),"#REF!")</f>
        <v>#REF!</v>
      </c>
      <c r="D442" s="2"/>
      <c r="E442" s="2" t="str">
        <f ca="1">IFERROR(__xludf.DUMMYFUNCTION("iferror(filter('Full Perk List'!E$3:E1498,'Full Perk List'!$D$3:$D1498=$D442),"""")"),"#REF!")</f>
        <v>#REF!</v>
      </c>
      <c r="F442" s="2" t="str">
        <f ca="1">IFERROR(__xludf.DUMMYFUNCTION("iferror(filter('Full Perk List'!F$3:F1498,'Full Perk List'!$D$3:$D1498=$D442),"""")"),"#REF!")</f>
        <v>#REF!</v>
      </c>
      <c r="G442" s="2" t="str">
        <f ca="1">IFERROR(__xludf.DUMMYFUNCTION("iferror(filter('Full Perk List'!G$3:G1498,'Full Perk List'!$D$3:$D1498=$D442),"""")"),"#REF!")</f>
        <v>#REF!</v>
      </c>
      <c r="H442" s="1"/>
      <c r="I442" s="2"/>
      <c r="J442" s="2"/>
      <c r="K442" s="2"/>
      <c r="L442" s="2"/>
      <c r="M442" s="2"/>
      <c r="N442" s="2"/>
      <c r="O442" s="2"/>
      <c r="P442" s="2"/>
      <c r="Q442" s="2"/>
      <c r="R442" s="2"/>
      <c r="S442" s="2"/>
      <c r="T442" s="2"/>
      <c r="U442" s="2"/>
      <c r="V442" s="2"/>
      <c r="W442" s="2"/>
      <c r="X442" s="2"/>
      <c r="Y442" s="2"/>
    </row>
    <row r="443" spans="1:25" ht="17.399999999999999" x14ac:dyDescent="0.25">
      <c r="A443" s="1"/>
      <c r="B443" s="40"/>
      <c r="C443" s="2" t="str">
        <f ca="1">IFERROR(__xludf.DUMMYFUNCTION("iferror(filter('Full Perk List'!C$3:C1498,'Full Perk List'!$D$3:$D1498=$D443),"""")"),"#REF!")</f>
        <v>#REF!</v>
      </c>
      <c r="D443" s="2"/>
      <c r="E443" s="2" t="str">
        <f ca="1">IFERROR(__xludf.DUMMYFUNCTION("iferror(filter('Full Perk List'!E$3:E1498,'Full Perk List'!$D$3:$D1498=$D443),"""")"),"#REF!")</f>
        <v>#REF!</v>
      </c>
      <c r="F443" s="2" t="str">
        <f ca="1">IFERROR(__xludf.DUMMYFUNCTION("iferror(filter('Full Perk List'!F$3:F1498,'Full Perk List'!$D$3:$D1498=$D443),"""")"),"#REF!")</f>
        <v>#REF!</v>
      </c>
      <c r="G443" s="2" t="str">
        <f ca="1">IFERROR(__xludf.DUMMYFUNCTION("iferror(filter('Full Perk List'!G$3:G1498,'Full Perk List'!$D$3:$D1498=$D443),"""")"),"#REF!")</f>
        <v>#REF!</v>
      </c>
      <c r="H443" s="1"/>
      <c r="I443" s="2"/>
      <c r="J443" s="2"/>
      <c r="K443" s="2"/>
      <c r="L443" s="2"/>
      <c r="M443" s="2"/>
      <c r="N443" s="2"/>
      <c r="O443" s="2"/>
      <c r="P443" s="2"/>
      <c r="Q443" s="2"/>
      <c r="R443" s="2"/>
      <c r="S443" s="2"/>
      <c r="T443" s="2"/>
      <c r="U443" s="2"/>
      <c r="V443" s="2"/>
      <c r="W443" s="2"/>
      <c r="X443" s="2"/>
      <c r="Y443" s="2"/>
    </row>
    <row r="444" spans="1:25" ht="17.399999999999999" x14ac:dyDescent="0.25">
      <c r="A444" s="1"/>
      <c r="B444" s="40"/>
      <c r="C444" s="2" t="str">
        <f ca="1">IFERROR(__xludf.DUMMYFUNCTION("iferror(filter('Full Perk List'!C$3:C1498,'Full Perk List'!$D$3:$D1498=$D444),"""")"),"#REF!")</f>
        <v>#REF!</v>
      </c>
      <c r="D444" s="2"/>
      <c r="E444" s="2" t="str">
        <f ca="1">IFERROR(__xludf.DUMMYFUNCTION("iferror(filter('Full Perk List'!E$3:E1498,'Full Perk List'!$D$3:$D1498=$D444),"""")"),"#REF!")</f>
        <v>#REF!</v>
      </c>
      <c r="F444" s="2" t="str">
        <f ca="1">IFERROR(__xludf.DUMMYFUNCTION("iferror(filter('Full Perk List'!F$3:F1498,'Full Perk List'!$D$3:$D1498=$D444),"""")"),"#REF!")</f>
        <v>#REF!</v>
      </c>
      <c r="G444" s="2" t="str">
        <f ca="1">IFERROR(__xludf.DUMMYFUNCTION("iferror(filter('Full Perk List'!G$3:G1498,'Full Perk List'!$D$3:$D1498=$D444),"""")"),"#REF!")</f>
        <v>#REF!</v>
      </c>
      <c r="H444" s="1"/>
      <c r="I444" s="2"/>
      <c r="J444" s="2"/>
      <c r="K444" s="2"/>
      <c r="L444" s="2"/>
      <c r="M444" s="2"/>
      <c r="N444" s="2"/>
      <c r="O444" s="2"/>
      <c r="P444" s="2"/>
      <c r="Q444" s="2"/>
      <c r="R444" s="2"/>
      <c r="S444" s="2"/>
      <c r="T444" s="2"/>
      <c r="U444" s="2"/>
      <c r="V444" s="2"/>
      <c r="W444" s="2"/>
      <c r="X444" s="2"/>
      <c r="Y444" s="2"/>
    </row>
    <row r="445" spans="1:25" ht="17.399999999999999" x14ac:dyDescent="0.25">
      <c r="A445" s="1"/>
      <c r="B445" s="40"/>
      <c r="C445" s="2" t="str">
        <f ca="1">IFERROR(__xludf.DUMMYFUNCTION("iferror(filter('Full Perk List'!C$3:C1498,'Full Perk List'!$D$3:$D1498=$D445),"""")"),"#REF!")</f>
        <v>#REF!</v>
      </c>
      <c r="D445" s="2"/>
      <c r="E445" s="2" t="str">
        <f ca="1">IFERROR(__xludf.DUMMYFUNCTION("iferror(filter('Full Perk List'!E$3:E1498,'Full Perk List'!$D$3:$D1498=$D445),"""")"),"#REF!")</f>
        <v>#REF!</v>
      </c>
      <c r="F445" s="2" t="str">
        <f ca="1">IFERROR(__xludf.DUMMYFUNCTION("iferror(filter('Full Perk List'!F$3:F1498,'Full Perk List'!$D$3:$D1498=$D445),"""")"),"#REF!")</f>
        <v>#REF!</v>
      </c>
      <c r="G445" s="2" t="str">
        <f ca="1">IFERROR(__xludf.DUMMYFUNCTION("iferror(filter('Full Perk List'!G$3:G1498,'Full Perk List'!$D$3:$D1498=$D445),"""")"),"#REF!")</f>
        <v>#REF!</v>
      </c>
      <c r="H445" s="1"/>
      <c r="I445" s="2"/>
      <c r="J445" s="2"/>
      <c r="K445" s="2"/>
      <c r="L445" s="2"/>
      <c r="M445" s="2"/>
      <c r="N445" s="2"/>
      <c r="O445" s="2"/>
      <c r="P445" s="2"/>
      <c r="Q445" s="2"/>
      <c r="R445" s="2"/>
      <c r="S445" s="2"/>
      <c r="T445" s="2"/>
      <c r="U445" s="2"/>
      <c r="V445" s="2"/>
      <c r="W445" s="2"/>
      <c r="X445" s="2"/>
      <c r="Y445" s="2"/>
    </row>
    <row r="446" spans="1:25" ht="17.399999999999999" x14ac:dyDescent="0.25">
      <c r="A446" s="1"/>
      <c r="B446" s="40"/>
      <c r="C446" s="2" t="str">
        <f ca="1">IFERROR(__xludf.DUMMYFUNCTION("iferror(filter('Full Perk List'!C$3:C1498,'Full Perk List'!$D$3:$D1498=$D446),"""")"),"#REF!")</f>
        <v>#REF!</v>
      </c>
      <c r="D446" s="2"/>
      <c r="E446" s="2" t="str">
        <f ca="1">IFERROR(__xludf.DUMMYFUNCTION("iferror(filter('Full Perk List'!E$3:E1498,'Full Perk List'!$D$3:$D1498=$D446),"""")"),"#REF!")</f>
        <v>#REF!</v>
      </c>
      <c r="F446" s="2" t="str">
        <f ca="1">IFERROR(__xludf.DUMMYFUNCTION("iferror(filter('Full Perk List'!F$3:F1498,'Full Perk List'!$D$3:$D1498=$D446),"""")"),"#REF!")</f>
        <v>#REF!</v>
      </c>
      <c r="G446" s="2" t="str">
        <f ca="1">IFERROR(__xludf.DUMMYFUNCTION("iferror(filter('Full Perk List'!G$3:G1498,'Full Perk List'!$D$3:$D1498=$D446),"""")"),"#REF!")</f>
        <v>#REF!</v>
      </c>
      <c r="H446" s="1"/>
      <c r="I446" s="2"/>
      <c r="J446" s="2"/>
      <c r="K446" s="2"/>
      <c r="L446" s="2"/>
      <c r="M446" s="2"/>
      <c r="N446" s="2"/>
      <c r="O446" s="2"/>
      <c r="P446" s="2"/>
      <c r="Q446" s="2"/>
      <c r="R446" s="2"/>
      <c r="S446" s="2"/>
      <c r="T446" s="2"/>
      <c r="U446" s="2"/>
      <c r="V446" s="2"/>
      <c r="W446" s="2"/>
      <c r="X446" s="2"/>
      <c r="Y446" s="2"/>
    </row>
    <row r="447" spans="1:25" ht="17.399999999999999" x14ac:dyDescent="0.25">
      <c r="A447" s="1"/>
      <c r="B447" s="40"/>
      <c r="C447" s="2" t="str">
        <f ca="1">IFERROR(__xludf.DUMMYFUNCTION("iferror(filter('Full Perk List'!C$3:C1498,'Full Perk List'!$D$3:$D1498=$D447),"""")"),"#REF!")</f>
        <v>#REF!</v>
      </c>
      <c r="D447" s="2"/>
      <c r="E447" s="2" t="str">
        <f ca="1">IFERROR(__xludf.DUMMYFUNCTION("iferror(filter('Full Perk List'!E$3:E1498,'Full Perk List'!$D$3:$D1498=$D447),"""")"),"#REF!")</f>
        <v>#REF!</v>
      </c>
      <c r="F447" s="2" t="str">
        <f ca="1">IFERROR(__xludf.DUMMYFUNCTION("iferror(filter('Full Perk List'!F$3:F1498,'Full Perk List'!$D$3:$D1498=$D447),"""")"),"#REF!")</f>
        <v>#REF!</v>
      </c>
      <c r="G447" s="2" t="str">
        <f ca="1">IFERROR(__xludf.DUMMYFUNCTION("iferror(filter('Full Perk List'!G$3:G1498,'Full Perk List'!$D$3:$D1498=$D447),"""")"),"#REF!")</f>
        <v>#REF!</v>
      </c>
      <c r="H447" s="1"/>
      <c r="I447" s="2"/>
      <c r="J447" s="2"/>
      <c r="K447" s="2"/>
      <c r="L447" s="2"/>
      <c r="M447" s="2"/>
      <c r="N447" s="2"/>
      <c r="O447" s="2"/>
      <c r="P447" s="2"/>
      <c r="Q447" s="2"/>
      <c r="R447" s="2"/>
      <c r="S447" s="2"/>
      <c r="T447" s="2"/>
      <c r="U447" s="2"/>
      <c r="V447" s="2"/>
      <c r="W447" s="2"/>
      <c r="X447" s="2"/>
      <c r="Y447" s="2"/>
    </row>
    <row r="448" spans="1:25" ht="17.399999999999999" x14ac:dyDescent="0.25">
      <c r="A448" s="1"/>
      <c r="B448" s="40"/>
      <c r="C448" s="2" t="str">
        <f ca="1">IFERROR(__xludf.DUMMYFUNCTION("iferror(filter('Full Perk List'!C$3:C1498,'Full Perk List'!$D$3:$D1498=$D448),"""")"),"#REF!")</f>
        <v>#REF!</v>
      </c>
      <c r="D448" s="2"/>
      <c r="E448" s="2" t="str">
        <f ca="1">IFERROR(__xludf.DUMMYFUNCTION("iferror(filter('Full Perk List'!E$3:E1498,'Full Perk List'!$D$3:$D1498=$D448),"""")"),"#REF!")</f>
        <v>#REF!</v>
      </c>
      <c r="F448" s="2" t="str">
        <f ca="1">IFERROR(__xludf.DUMMYFUNCTION("iferror(filter('Full Perk List'!F$3:F1498,'Full Perk List'!$D$3:$D1498=$D448),"""")"),"#REF!")</f>
        <v>#REF!</v>
      </c>
      <c r="G448" s="2" t="str">
        <f ca="1">IFERROR(__xludf.DUMMYFUNCTION("iferror(filter('Full Perk List'!G$3:G1498,'Full Perk List'!$D$3:$D1498=$D448),"""")"),"#REF!")</f>
        <v>#REF!</v>
      </c>
      <c r="H448" s="1"/>
      <c r="I448" s="2"/>
      <c r="J448" s="2"/>
      <c r="K448" s="2"/>
      <c r="L448" s="2"/>
      <c r="M448" s="2"/>
      <c r="N448" s="2"/>
      <c r="O448" s="2"/>
      <c r="P448" s="2"/>
      <c r="Q448" s="2"/>
      <c r="R448" s="2"/>
      <c r="S448" s="2"/>
      <c r="T448" s="2"/>
      <c r="U448" s="2"/>
      <c r="V448" s="2"/>
      <c r="W448" s="2"/>
      <c r="X448" s="2"/>
      <c r="Y448" s="2"/>
    </row>
    <row r="449" spans="1:25" ht="17.399999999999999" x14ac:dyDescent="0.25">
      <c r="A449" s="1"/>
      <c r="B449" s="40"/>
      <c r="C449" s="2" t="str">
        <f ca="1">IFERROR(__xludf.DUMMYFUNCTION("iferror(filter('Full Perk List'!C$3:C1498,'Full Perk List'!$D$3:$D1498=$D449),"""")"),"#REF!")</f>
        <v>#REF!</v>
      </c>
      <c r="D449" s="2"/>
      <c r="E449" s="2" t="str">
        <f ca="1">IFERROR(__xludf.DUMMYFUNCTION("iferror(filter('Full Perk List'!E$3:E1498,'Full Perk List'!$D$3:$D1498=$D449),"""")"),"#REF!")</f>
        <v>#REF!</v>
      </c>
      <c r="F449" s="2" t="str">
        <f ca="1">IFERROR(__xludf.DUMMYFUNCTION("iferror(filter('Full Perk List'!F$3:F1498,'Full Perk List'!$D$3:$D1498=$D449),"""")"),"#REF!")</f>
        <v>#REF!</v>
      </c>
      <c r="G449" s="2" t="str">
        <f ca="1">IFERROR(__xludf.DUMMYFUNCTION("iferror(filter('Full Perk List'!G$3:G1498,'Full Perk List'!$D$3:$D1498=$D449),"""")"),"#REF!")</f>
        <v>#REF!</v>
      </c>
      <c r="H449" s="1"/>
      <c r="I449" s="2"/>
      <c r="J449" s="2"/>
      <c r="K449" s="2"/>
      <c r="L449" s="2"/>
      <c r="M449" s="2"/>
      <c r="N449" s="2"/>
      <c r="O449" s="2"/>
      <c r="P449" s="2"/>
      <c r="Q449" s="2"/>
      <c r="R449" s="2"/>
      <c r="S449" s="2"/>
      <c r="T449" s="2"/>
      <c r="U449" s="2"/>
      <c r="V449" s="2"/>
      <c r="W449" s="2"/>
      <c r="X449" s="2"/>
      <c r="Y449" s="2"/>
    </row>
    <row r="450" spans="1:25" ht="17.399999999999999" x14ac:dyDescent="0.25">
      <c r="A450" s="1"/>
      <c r="B450" s="40"/>
      <c r="C450" s="2" t="str">
        <f ca="1">IFERROR(__xludf.DUMMYFUNCTION("iferror(filter('Full Perk List'!C$3:C1498,'Full Perk List'!$D$3:$D1498=$D450),"""")"),"#REF!")</f>
        <v>#REF!</v>
      </c>
      <c r="D450" s="2"/>
      <c r="E450" s="2" t="str">
        <f ca="1">IFERROR(__xludf.DUMMYFUNCTION("iferror(filter('Full Perk List'!E$3:E1498,'Full Perk List'!$D$3:$D1498=$D450),"""")"),"#REF!")</f>
        <v>#REF!</v>
      </c>
      <c r="F450" s="2" t="str">
        <f ca="1">IFERROR(__xludf.DUMMYFUNCTION("iferror(filter('Full Perk List'!F$3:F1498,'Full Perk List'!$D$3:$D1498=$D450),"""")"),"#REF!")</f>
        <v>#REF!</v>
      </c>
      <c r="G450" s="2" t="str">
        <f ca="1">IFERROR(__xludf.DUMMYFUNCTION("iferror(filter('Full Perk List'!G$3:G1498,'Full Perk List'!$D$3:$D1498=$D450),"""")"),"#REF!")</f>
        <v>#REF!</v>
      </c>
      <c r="H450" s="1"/>
      <c r="I450" s="2"/>
      <c r="J450" s="2"/>
      <c r="K450" s="2"/>
      <c r="L450" s="2"/>
      <c r="M450" s="2"/>
      <c r="N450" s="2"/>
      <c r="O450" s="2"/>
      <c r="P450" s="2"/>
      <c r="Q450" s="2"/>
      <c r="R450" s="2"/>
      <c r="S450" s="2"/>
      <c r="T450" s="2"/>
      <c r="U450" s="2"/>
      <c r="V450" s="2"/>
      <c r="W450" s="2"/>
      <c r="X450" s="2"/>
      <c r="Y450" s="2"/>
    </row>
    <row r="451" spans="1:25" ht="17.399999999999999" x14ac:dyDescent="0.25">
      <c r="A451" s="1"/>
      <c r="B451" s="40"/>
      <c r="C451" s="2" t="str">
        <f ca="1">IFERROR(__xludf.DUMMYFUNCTION("iferror(filter('Full Perk List'!C$3:C1498,'Full Perk List'!$D$3:$D1498=$D451),"""")"),"#REF!")</f>
        <v>#REF!</v>
      </c>
      <c r="D451" s="2"/>
      <c r="E451" s="2" t="str">
        <f ca="1">IFERROR(__xludf.DUMMYFUNCTION("iferror(filter('Full Perk List'!E$3:E1498,'Full Perk List'!$D$3:$D1498=$D451),"""")"),"#REF!")</f>
        <v>#REF!</v>
      </c>
      <c r="F451" s="2" t="str">
        <f ca="1">IFERROR(__xludf.DUMMYFUNCTION("iferror(filter('Full Perk List'!F$3:F1498,'Full Perk List'!$D$3:$D1498=$D451),"""")"),"#REF!")</f>
        <v>#REF!</v>
      </c>
      <c r="G451" s="2" t="str">
        <f ca="1">IFERROR(__xludf.DUMMYFUNCTION("iferror(filter('Full Perk List'!G$3:G1498,'Full Perk List'!$D$3:$D1498=$D451),"""")"),"#REF!")</f>
        <v>#REF!</v>
      </c>
      <c r="H451" s="1"/>
      <c r="I451" s="2"/>
      <c r="J451" s="2"/>
      <c r="K451" s="2"/>
      <c r="L451" s="2"/>
      <c r="M451" s="2"/>
      <c r="N451" s="2"/>
      <c r="O451" s="2"/>
      <c r="P451" s="2"/>
      <c r="Q451" s="2"/>
      <c r="R451" s="2"/>
      <c r="S451" s="2"/>
      <c r="T451" s="2"/>
      <c r="U451" s="2"/>
      <c r="V451" s="2"/>
      <c r="W451" s="2"/>
      <c r="X451" s="2"/>
      <c r="Y451" s="2"/>
    </row>
    <row r="452" spans="1:25" ht="17.399999999999999" x14ac:dyDescent="0.25">
      <c r="A452" s="1"/>
      <c r="B452" s="40"/>
      <c r="C452" s="2" t="str">
        <f ca="1">IFERROR(__xludf.DUMMYFUNCTION("iferror(filter('Full Perk List'!C$3:C1498,'Full Perk List'!$D$3:$D1498=$D452),"""")"),"#REF!")</f>
        <v>#REF!</v>
      </c>
      <c r="D452" s="2"/>
      <c r="E452" s="2" t="str">
        <f ca="1">IFERROR(__xludf.DUMMYFUNCTION("iferror(filter('Full Perk List'!E$3:E1498,'Full Perk List'!$D$3:$D1498=$D452),"""")"),"#REF!")</f>
        <v>#REF!</v>
      </c>
      <c r="F452" s="2" t="str">
        <f ca="1">IFERROR(__xludf.DUMMYFUNCTION("iferror(filter('Full Perk List'!F$3:F1498,'Full Perk List'!$D$3:$D1498=$D452),"""")"),"#REF!")</f>
        <v>#REF!</v>
      </c>
      <c r="G452" s="2" t="str">
        <f ca="1">IFERROR(__xludf.DUMMYFUNCTION("iferror(filter('Full Perk List'!G$3:G1498,'Full Perk List'!$D$3:$D1498=$D452),"""")"),"#REF!")</f>
        <v>#REF!</v>
      </c>
      <c r="H452" s="1"/>
      <c r="I452" s="2"/>
      <c r="J452" s="2"/>
      <c r="K452" s="2"/>
      <c r="L452" s="2"/>
      <c r="M452" s="2"/>
      <c r="N452" s="2"/>
      <c r="O452" s="2"/>
      <c r="P452" s="2"/>
      <c r="Q452" s="2"/>
      <c r="R452" s="2"/>
      <c r="S452" s="2"/>
      <c r="T452" s="2"/>
      <c r="U452" s="2"/>
      <c r="V452" s="2"/>
      <c r="W452" s="2"/>
      <c r="X452" s="2"/>
      <c r="Y452" s="2"/>
    </row>
    <row r="453" spans="1:25" ht="17.399999999999999" x14ac:dyDescent="0.25">
      <c r="A453" s="1"/>
      <c r="B453" s="40"/>
      <c r="C453" s="2" t="str">
        <f ca="1">IFERROR(__xludf.DUMMYFUNCTION("iferror(filter('Full Perk List'!C$3:C1498,'Full Perk List'!$D$3:$D1498=$D453),"""")"),"#REF!")</f>
        <v>#REF!</v>
      </c>
      <c r="D453" s="2"/>
      <c r="E453" s="2" t="str">
        <f ca="1">IFERROR(__xludf.DUMMYFUNCTION("iferror(filter('Full Perk List'!E$3:E1498,'Full Perk List'!$D$3:$D1498=$D453),"""")"),"#REF!")</f>
        <v>#REF!</v>
      </c>
      <c r="F453" s="2" t="str">
        <f ca="1">IFERROR(__xludf.DUMMYFUNCTION("iferror(filter('Full Perk List'!F$3:F1498,'Full Perk List'!$D$3:$D1498=$D453),"""")"),"#REF!")</f>
        <v>#REF!</v>
      </c>
      <c r="G453" s="2" t="str">
        <f ca="1">IFERROR(__xludf.DUMMYFUNCTION("iferror(filter('Full Perk List'!G$3:G1498,'Full Perk List'!$D$3:$D1498=$D453),"""")"),"#REF!")</f>
        <v>#REF!</v>
      </c>
      <c r="H453" s="1"/>
      <c r="I453" s="2"/>
      <c r="J453" s="2"/>
      <c r="K453" s="2"/>
      <c r="L453" s="2"/>
      <c r="M453" s="2"/>
      <c r="N453" s="2"/>
      <c r="O453" s="2"/>
      <c r="P453" s="2"/>
      <c r="Q453" s="2"/>
      <c r="R453" s="2"/>
      <c r="S453" s="2"/>
      <c r="T453" s="2"/>
      <c r="U453" s="2"/>
      <c r="V453" s="2"/>
      <c r="W453" s="2"/>
      <c r="X453" s="2"/>
      <c r="Y453" s="2"/>
    </row>
    <row r="454" spans="1:25" ht="17.399999999999999" x14ac:dyDescent="0.25">
      <c r="A454" s="1"/>
      <c r="B454" s="40"/>
      <c r="C454" s="2" t="str">
        <f ca="1">IFERROR(__xludf.DUMMYFUNCTION("iferror(filter('Full Perk List'!C$3:C1498,'Full Perk List'!$D$3:$D1498=$D454),"""")"),"#REF!")</f>
        <v>#REF!</v>
      </c>
      <c r="D454" s="2"/>
      <c r="E454" s="2" t="str">
        <f ca="1">IFERROR(__xludf.DUMMYFUNCTION("iferror(filter('Full Perk List'!E$3:E1498,'Full Perk List'!$D$3:$D1498=$D454),"""")"),"#REF!")</f>
        <v>#REF!</v>
      </c>
      <c r="F454" s="2" t="str">
        <f ca="1">IFERROR(__xludf.DUMMYFUNCTION("iferror(filter('Full Perk List'!F$3:F1498,'Full Perk List'!$D$3:$D1498=$D454),"""")"),"#REF!")</f>
        <v>#REF!</v>
      </c>
      <c r="G454" s="2" t="str">
        <f ca="1">IFERROR(__xludf.DUMMYFUNCTION("iferror(filter('Full Perk List'!G$3:G1498,'Full Perk List'!$D$3:$D1498=$D454),"""")"),"#REF!")</f>
        <v>#REF!</v>
      </c>
      <c r="H454" s="1"/>
      <c r="I454" s="2"/>
      <c r="J454" s="2"/>
      <c r="K454" s="2"/>
      <c r="L454" s="2"/>
      <c r="M454" s="2"/>
      <c r="N454" s="2"/>
      <c r="O454" s="2"/>
      <c r="P454" s="2"/>
      <c r="Q454" s="2"/>
      <c r="R454" s="2"/>
      <c r="S454" s="2"/>
      <c r="T454" s="2"/>
      <c r="U454" s="2"/>
      <c r="V454" s="2"/>
      <c r="W454" s="2"/>
      <c r="X454" s="2"/>
      <c r="Y454" s="2"/>
    </row>
    <row r="455" spans="1:25" ht="17.399999999999999" x14ac:dyDescent="0.25">
      <c r="A455" s="1"/>
      <c r="B455" s="40"/>
      <c r="C455" s="2" t="str">
        <f ca="1">IFERROR(__xludf.DUMMYFUNCTION("iferror(filter('Full Perk List'!C$3:C1498,'Full Perk List'!$D$3:$D1498=$D455),"""")"),"#REF!")</f>
        <v>#REF!</v>
      </c>
      <c r="D455" s="2"/>
      <c r="E455" s="2" t="str">
        <f ca="1">IFERROR(__xludf.DUMMYFUNCTION("iferror(filter('Full Perk List'!E$3:E1498,'Full Perk List'!$D$3:$D1498=$D455),"""")"),"#REF!")</f>
        <v>#REF!</v>
      </c>
      <c r="F455" s="2" t="str">
        <f ca="1">IFERROR(__xludf.DUMMYFUNCTION("iferror(filter('Full Perk List'!F$3:F1498,'Full Perk List'!$D$3:$D1498=$D455),"""")"),"#REF!")</f>
        <v>#REF!</v>
      </c>
      <c r="G455" s="2" t="str">
        <f ca="1">IFERROR(__xludf.DUMMYFUNCTION("iferror(filter('Full Perk List'!G$3:G1498,'Full Perk List'!$D$3:$D1498=$D455),"""")"),"#REF!")</f>
        <v>#REF!</v>
      </c>
      <c r="H455" s="1"/>
      <c r="I455" s="2"/>
      <c r="J455" s="2"/>
      <c r="K455" s="2"/>
      <c r="L455" s="2"/>
      <c r="M455" s="2"/>
      <c r="N455" s="2"/>
      <c r="O455" s="2"/>
      <c r="P455" s="2"/>
      <c r="Q455" s="2"/>
      <c r="R455" s="2"/>
      <c r="S455" s="2"/>
      <c r="T455" s="2"/>
      <c r="U455" s="2"/>
      <c r="V455" s="2"/>
      <c r="W455" s="2"/>
      <c r="X455" s="2"/>
      <c r="Y455" s="2"/>
    </row>
    <row r="456" spans="1:25" ht="17.399999999999999" x14ac:dyDescent="0.25">
      <c r="A456" s="1"/>
      <c r="B456" s="40"/>
      <c r="C456" s="2" t="str">
        <f ca="1">IFERROR(__xludf.DUMMYFUNCTION("iferror(filter('Full Perk List'!C$3:C1498,'Full Perk List'!$D$3:$D1498=$D456),"""")"),"#REF!")</f>
        <v>#REF!</v>
      </c>
      <c r="D456" s="2"/>
      <c r="E456" s="2" t="str">
        <f ca="1">IFERROR(__xludf.DUMMYFUNCTION("iferror(filter('Full Perk List'!E$3:E1498,'Full Perk List'!$D$3:$D1498=$D456),"""")"),"#REF!")</f>
        <v>#REF!</v>
      </c>
      <c r="F456" s="2" t="str">
        <f ca="1">IFERROR(__xludf.DUMMYFUNCTION("iferror(filter('Full Perk List'!F$3:F1498,'Full Perk List'!$D$3:$D1498=$D456),"""")"),"#REF!")</f>
        <v>#REF!</v>
      </c>
      <c r="G456" s="2" t="str">
        <f ca="1">IFERROR(__xludf.DUMMYFUNCTION("iferror(filter('Full Perk List'!G$3:G1498,'Full Perk List'!$D$3:$D1498=$D456),"""")"),"#REF!")</f>
        <v>#REF!</v>
      </c>
      <c r="H456" s="1"/>
      <c r="I456" s="2"/>
      <c r="J456" s="2"/>
      <c r="K456" s="2"/>
      <c r="L456" s="2"/>
      <c r="M456" s="2"/>
      <c r="N456" s="2"/>
      <c r="O456" s="2"/>
      <c r="P456" s="2"/>
      <c r="Q456" s="2"/>
      <c r="R456" s="2"/>
      <c r="S456" s="2"/>
      <c r="T456" s="2"/>
      <c r="U456" s="2"/>
      <c r="V456" s="2"/>
      <c r="W456" s="2"/>
      <c r="X456" s="2"/>
      <c r="Y456" s="2"/>
    </row>
    <row r="457" spans="1:25" ht="17.399999999999999" x14ac:dyDescent="0.25">
      <c r="A457" s="1"/>
      <c r="B457" s="40"/>
      <c r="C457" s="2" t="str">
        <f ca="1">IFERROR(__xludf.DUMMYFUNCTION("iferror(filter('Full Perk List'!C$3:C1498,'Full Perk List'!$D$3:$D1498=$D457),"""")"),"#REF!")</f>
        <v>#REF!</v>
      </c>
      <c r="D457" s="2"/>
      <c r="E457" s="2" t="str">
        <f ca="1">IFERROR(__xludf.DUMMYFUNCTION("iferror(filter('Full Perk List'!E$3:E1498,'Full Perk List'!$D$3:$D1498=$D457),"""")"),"#REF!")</f>
        <v>#REF!</v>
      </c>
      <c r="F457" s="2" t="str">
        <f ca="1">IFERROR(__xludf.DUMMYFUNCTION("iferror(filter('Full Perk List'!F$3:F1498,'Full Perk List'!$D$3:$D1498=$D457),"""")"),"#REF!")</f>
        <v>#REF!</v>
      </c>
      <c r="G457" s="2" t="str">
        <f ca="1">IFERROR(__xludf.DUMMYFUNCTION("iferror(filter('Full Perk List'!G$3:G1498,'Full Perk List'!$D$3:$D1498=$D457),"""")"),"#REF!")</f>
        <v>#REF!</v>
      </c>
      <c r="H457" s="1"/>
      <c r="I457" s="2"/>
      <c r="J457" s="2"/>
      <c r="K457" s="2"/>
      <c r="L457" s="2"/>
      <c r="M457" s="2"/>
      <c r="N457" s="2"/>
      <c r="O457" s="2"/>
      <c r="P457" s="2"/>
      <c r="Q457" s="2"/>
      <c r="R457" s="2"/>
      <c r="S457" s="2"/>
      <c r="T457" s="2"/>
      <c r="U457" s="2"/>
      <c r="V457" s="2"/>
      <c r="W457" s="2"/>
      <c r="X457" s="2"/>
      <c r="Y457" s="2"/>
    </row>
    <row r="458" spans="1:25" ht="17.399999999999999" x14ac:dyDescent="0.25">
      <c r="A458" s="1"/>
      <c r="B458" s="40"/>
      <c r="C458" s="2" t="str">
        <f ca="1">IFERROR(__xludf.DUMMYFUNCTION("iferror(filter('Full Perk List'!C$3:C1498,'Full Perk List'!$D$3:$D1498=$D458),"""")"),"#REF!")</f>
        <v>#REF!</v>
      </c>
      <c r="D458" s="2"/>
      <c r="E458" s="2" t="str">
        <f ca="1">IFERROR(__xludf.DUMMYFUNCTION("iferror(filter('Full Perk List'!E$3:E1498,'Full Perk List'!$D$3:$D1498=$D458),"""")"),"#REF!")</f>
        <v>#REF!</v>
      </c>
      <c r="F458" s="2" t="str">
        <f ca="1">IFERROR(__xludf.DUMMYFUNCTION("iferror(filter('Full Perk List'!F$3:F1498,'Full Perk List'!$D$3:$D1498=$D458),"""")"),"#REF!")</f>
        <v>#REF!</v>
      </c>
      <c r="G458" s="2" t="str">
        <f ca="1">IFERROR(__xludf.DUMMYFUNCTION("iferror(filter('Full Perk List'!G$3:G1498,'Full Perk List'!$D$3:$D1498=$D458),"""")"),"#REF!")</f>
        <v>#REF!</v>
      </c>
      <c r="H458" s="1"/>
      <c r="I458" s="2"/>
      <c r="J458" s="2"/>
      <c r="K458" s="2"/>
      <c r="L458" s="2"/>
      <c r="M458" s="2"/>
      <c r="N458" s="2"/>
      <c r="O458" s="2"/>
      <c r="P458" s="2"/>
      <c r="Q458" s="2"/>
      <c r="R458" s="2"/>
      <c r="S458" s="2"/>
      <c r="T458" s="2"/>
      <c r="U458" s="2"/>
      <c r="V458" s="2"/>
      <c r="W458" s="2"/>
      <c r="X458" s="2"/>
      <c r="Y458" s="2"/>
    </row>
    <row r="459" spans="1:25" ht="17.399999999999999" x14ac:dyDescent="0.25">
      <c r="A459" s="1"/>
      <c r="B459" s="40"/>
      <c r="C459" s="2" t="str">
        <f ca="1">IFERROR(__xludf.DUMMYFUNCTION("iferror(filter('Full Perk List'!C$3:C1498,'Full Perk List'!$D$3:$D1498=$D459),"""")"),"#REF!")</f>
        <v>#REF!</v>
      </c>
      <c r="D459" s="2"/>
      <c r="E459" s="2" t="str">
        <f ca="1">IFERROR(__xludf.DUMMYFUNCTION("iferror(filter('Full Perk List'!E$3:E1498,'Full Perk List'!$D$3:$D1498=$D459),"""")"),"#REF!")</f>
        <v>#REF!</v>
      </c>
      <c r="F459" s="2" t="str">
        <f ca="1">IFERROR(__xludf.DUMMYFUNCTION("iferror(filter('Full Perk List'!F$3:F1498,'Full Perk List'!$D$3:$D1498=$D459),"""")"),"#REF!")</f>
        <v>#REF!</v>
      </c>
      <c r="G459" s="2" t="str">
        <f ca="1">IFERROR(__xludf.DUMMYFUNCTION("iferror(filter('Full Perk List'!G$3:G1498,'Full Perk List'!$D$3:$D1498=$D459),"""")"),"#REF!")</f>
        <v>#REF!</v>
      </c>
      <c r="H459" s="1"/>
      <c r="I459" s="2"/>
      <c r="J459" s="2"/>
      <c r="K459" s="2"/>
      <c r="L459" s="2"/>
      <c r="M459" s="2"/>
      <c r="N459" s="2"/>
      <c r="O459" s="2"/>
      <c r="P459" s="2"/>
      <c r="Q459" s="2"/>
      <c r="R459" s="2"/>
      <c r="S459" s="2"/>
      <c r="T459" s="2"/>
      <c r="U459" s="2"/>
      <c r="V459" s="2"/>
      <c r="W459" s="2"/>
      <c r="X459" s="2"/>
      <c r="Y459" s="2"/>
    </row>
    <row r="460" spans="1:25" ht="17.399999999999999" x14ac:dyDescent="0.25">
      <c r="A460" s="1"/>
      <c r="B460" s="40"/>
      <c r="C460" s="2" t="str">
        <f ca="1">IFERROR(__xludf.DUMMYFUNCTION("iferror(filter('Full Perk List'!C$3:C1498,'Full Perk List'!$D$3:$D1498=$D460),"""")"),"#REF!")</f>
        <v>#REF!</v>
      </c>
      <c r="D460" s="2"/>
      <c r="E460" s="2" t="str">
        <f ca="1">IFERROR(__xludf.DUMMYFUNCTION("iferror(filter('Full Perk List'!E$3:E1498,'Full Perk List'!$D$3:$D1498=$D460),"""")"),"#REF!")</f>
        <v>#REF!</v>
      </c>
      <c r="F460" s="2" t="str">
        <f ca="1">IFERROR(__xludf.DUMMYFUNCTION("iferror(filter('Full Perk List'!F$3:F1498,'Full Perk List'!$D$3:$D1498=$D460),"""")"),"#REF!")</f>
        <v>#REF!</v>
      </c>
      <c r="G460" s="2" t="str">
        <f ca="1">IFERROR(__xludf.DUMMYFUNCTION("iferror(filter('Full Perk List'!G$3:G1498,'Full Perk List'!$D$3:$D1498=$D460),"""")"),"#REF!")</f>
        <v>#REF!</v>
      </c>
      <c r="H460" s="1"/>
      <c r="I460" s="2"/>
      <c r="J460" s="2"/>
      <c r="K460" s="2"/>
      <c r="L460" s="2"/>
      <c r="M460" s="2"/>
      <c r="N460" s="2"/>
      <c r="O460" s="2"/>
      <c r="P460" s="2"/>
      <c r="Q460" s="2"/>
      <c r="R460" s="2"/>
      <c r="S460" s="2"/>
      <c r="T460" s="2"/>
      <c r="U460" s="2"/>
      <c r="V460" s="2"/>
      <c r="W460" s="2"/>
      <c r="X460" s="2"/>
      <c r="Y460" s="2"/>
    </row>
    <row r="461" spans="1:25" ht="17.399999999999999" x14ac:dyDescent="0.25">
      <c r="A461" s="1"/>
      <c r="B461" s="40"/>
      <c r="C461" s="2" t="str">
        <f ca="1">IFERROR(__xludf.DUMMYFUNCTION("iferror(filter('Full Perk List'!C$3:C1498,'Full Perk List'!$D$3:$D1498=$D461),"""")"),"#REF!")</f>
        <v>#REF!</v>
      </c>
      <c r="D461" s="2"/>
      <c r="E461" s="2" t="str">
        <f ca="1">IFERROR(__xludf.DUMMYFUNCTION("iferror(filter('Full Perk List'!E$3:E1498,'Full Perk List'!$D$3:$D1498=$D461),"""")"),"#REF!")</f>
        <v>#REF!</v>
      </c>
      <c r="F461" s="2" t="str">
        <f ca="1">IFERROR(__xludf.DUMMYFUNCTION("iferror(filter('Full Perk List'!F$3:F1498,'Full Perk List'!$D$3:$D1498=$D461),"""")"),"#REF!")</f>
        <v>#REF!</v>
      </c>
      <c r="G461" s="2" t="str">
        <f ca="1">IFERROR(__xludf.DUMMYFUNCTION("iferror(filter('Full Perk List'!G$3:G1498,'Full Perk List'!$D$3:$D1498=$D461),"""")"),"#REF!")</f>
        <v>#REF!</v>
      </c>
      <c r="H461" s="1"/>
      <c r="I461" s="2"/>
      <c r="J461" s="2"/>
      <c r="K461" s="2"/>
      <c r="L461" s="2"/>
      <c r="M461" s="2"/>
      <c r="N461" s="2"/>
      <c r="O461" s="2"/>
      <c r="P461" s="2"/>
      <c r="Q461" s="2"/>
      <c r="R461" s="2"/>
      <c r="S461" s="2"/>
      <c r="T461" s="2"/>
      <c r="U461" s="2"/>
      <c r="V461" s="2"/>
      <c r="W461" s="2"/>
      <c r="X461" s="2"/>
      <c r="Y461" s="2"/>
    </row>
    <row r="462" spans="1:25" ht="17.399999999999999" x14ac:dyDescent="0.25">
      <c r="A462" s="1"/>
      <c r="B462" s="40"/>
      <c r="C462" s="2" t="str">
        <f ca="1">IFERROR(__xludf.DUMMYFUNCTION("iferror(filter('Full Perk List'!C$3:C1498,'Full Perk List'!$D$3:$D1498=$D462),"""")"),"#REF!")</f>
        <v>#REF!</v>
      </c>
      <c r="D462" s="2"/>
      <c r="E462" s="2" t="str">
        <f ca="1">IFERROR(__xludf.DUMMYFUNCTION("iferror(filter('Full Perk List'!E$3:E1498,'Full Perk List'!$D$3:$D1498=$D462),"""")"),"#REF!")</f>
        <v>#REF!</v>
      </c>
      <c r="F462" s="2" t="str">
        <f ca="1">IFERROR(__xludf.DUMMYFUNCTION("iferror(filter('Full Perk List'!F$3:F1498,'Full Perk List'!$D$3:$D1498=$D462),"""")"),"#REF!")</f>
        <v>#REF!</v>
      </c>
      <c r="G462" s="2" t="str">
        <f ca="1">IFERROR(__xludf.DUMMYFUNCTION("iferror(filter('Full Perk List'!G$3:G1498,'Full Perk List'!$D$3:$D1498=$D462),"""")"),"#REF!")</f>
        <v>#REF!</v>
      </c>
      <c r="H462" s="1"/>
      <c r="I462" s="2"/>
      <c r="J462" s="2"/>
      <c r="K462" s="2"/>
      <c r="L462" s="2"/>
      <c r="M462" s="2"/>
      <c r="N462" s="2"/>
      <c r="O462" s="2"/>
      <c r="P462" s="2"/>
      <c r="Q462" s="2"/>
      <c r="R462" s="2"/>
      <c r="S462" s="2"/>
      <c r="T462" s="2"/>
      <c r="U462" s="2"/>
      <c r="V462" s="2"/>
      <c r="W462" s="2"/>
      <c r="X462" s="2"/>
      <c r="Y462" s="2"/>
    </row>
    <row r="463" spans="1:25" ht="17.399999999999999" x14ac:dyDescent="0.25">
      <c r="A463" s="1"/>
      <c r="B463" s="40"/>
      <c r="C463" s="2" t="str">
        <f ca="1">IFERROR(__xludf.DUMMYFUNCTION("iferror(filter('Full Perk List'!C$3:C1498,'Full Perk List'!$D$3:$D1498=$D463),"""")"),"#REF!")</f>
        <v>#REF!</v>
      </c>
      <c r="D463" s="2"/>
      <c r="E463" s="2" t="str">
        <f ca="1">IFERROR(__xludf.DUMMYFUNCTION("iferror(filter('Full Perk List'!E$3:E1498,'Full Perk List'!$D$3:$D1498=$D463),"""")"),"#REF!")</f>
        <v>#REF!</v>
      </c>
      <c r="F463" s="2" t="str">
        <f ca="1">IFERROR(__xludf.DUMMYFUNCTION("iferror(filter('Full Perk List'!F$3:F1498,'Full Perk List'!$D$3:$D1498=$D463),"""")"),"#REF!")</f>
        <v>#REF!</v>
      </c>
      <c r="G463" s="2" t="str">
        <f ca="1">IFERROR(__xludf.DUMMYFUNCTION("iferror(filter('Full Perk List'!G$3:G1498,'Full Perk List'!$D$3:$D1498=$D463),"""")"),"#REF!")</f>
        <v>#REF!</v>
      </c>
      <c r="H463" s="1"/>
      <c r="I463" s="2"/>
      <c r="J463" s="2"/>
      <c r="K463" s="2"/>
      <c r="L463" s="2"/>
      <c r="M463" s="2"/>
      <c r="N463" s="2"/>
      <c r="O463" s="2"/>
      <c r="P463" s="2"/>
      <c r="Q463" s="2"/>
      <c r="R463" s="2"/>
      <c r="S463" s="2"/>
      <c r="T463" s="2"/>
      <c r="U463" s="2"/>
      <c r="V463" s="2"/>
      <c r="W463" s="2"/>
      <c r="X463" s="2"/>
      <c r="Y463" s="2"/>
    </row>
    <row r="464" spans="1:25" ht="17.399999999999999" x14ac:dyDescent="0.25">
      <c r="A464" s="1"/>
      <c r="B464" s="40"/>
      <c r="C464" s="2" t="str">
        <f ca="1">IFERROR(__xludf.DUMMYFUNCTION("iferror(filter('Full Perk List'!C$3:C1498,'Full Perk List'!$D$3:$D1498=$D464),"""")"),"#REF!")</f>
        <v>#REF!</v>
      </c>
      <c r="D464" s="2"/>
      <c r="E464" s="2" t="str">
        <f ca="1">IFERROR(__xludf.DUMMYFUNCTION("iferror(filter('Full Perk List'!E$3:E1498,'Full Perk List'!$D$3:$D1498=$D464),"""")"),"#REF!")</f>
        <v>#REF!</v>
      </c>
      <c r="F464" s="2" t="str">
        <f ca="1">IFERROR(__xludf.DUMMYFUNCTION("iferror(filter('Full Perk List'!F$3:F1498,'Full Perk List'!$D$3:$D1498=$D464),"""")"),"#REF!")</f>
        <v>#REF!</v>
      </c>
      <c r="G464" s="2" t="str">
        <f ca="1">IFERROR(__xludf.DUMMYFUNCTION("iferror(filter('Full Perk List'!G$3:G1498,'Full Perk List'!$D$3:$D1498=$D464),"""")"),"#REF!")</f>
        <v>#REF!</v>
      </c>
      <c r="H464" s="1"/>
      <c r="I464" s="2"/>
      <c r="J464" s="2"/>
      <c r="K464" s="2"/>
      <c r="L464" s="2"/>
      <c r="M464" s="2"/>
      <c r="N464" s="2"/>
      <c r="O464" s="2"/>
      <c r="P464" s="2"/>
      <c r="Q464" s="2"/>
      <c r="R464" s="2"/>
      <c r="S464" s="2"/>
      <c r="T464" s="2"/>
      <c r="U464" s="2"/>
      <c r="V464" s="2"/>
      <c r="W464" s="2"/>
      <c r="X464" s="2"/>
      <c r="Y464" s="2"/>
    </row>
    <row r="465" spans="1:25" ht="17.399999999999999" x14ac:dyDescent="0.25">
      <c r="A465" s="1"/>
      <c r="B465" s="40"/>
      <c r="C465" s="2" t="str">
        <f ca="1">IFERROR(__xludf.DUMMYFUNCTION("iferror(filter('Full Perk List'!C$3:C1498,'Full Perk List'!$D$3:$D1498=$D465),"""")"),"#REF!")</f>
        <v>#REF!</v>
      </c>
      <c r="D465" s="2"/>
      <c r="E465" s="2" t="str">
        <f ca="1">IFERROR(__xludf.DUMMYFUNCTION("iferror(filter('Full Perk List'!E$3:E1498,'Full Perk List'!$D$3:$D1498=$D465),"""")"),"#REF!")</f>
        <v>#REF!</v>
      </c>
      <c r="F465" s="2" t="str">
        <f ca="1">IFERROR(__xludf.DUMMYFUNCTION("iferror(filter('Full Perk List'!F$3:F1498,'Full Perk List'!$D$3:$D1498=$D465),"""")"),"#REF!")</f>
        <v>#REF!</v>
      </c>
      <c r="G465" s="2" t="str">
        <f ca="1">IFERROR(__xludf.DUMMYFUNCTION("iferror(filter('Full Perk List'!G$3:G1498,'Full Perk List'!$D$3:$D1498=$D465),"""")"),"#REF!")</f>
        <v>#REF!</v>
      </c>
      <c r="H465" s="1"/>
      <c r="I465" s="2"/>
      <c r="J465" s="2"/>
      <c r="K465" s="2"/>
      <c r="L465" s="2"/>
      <c r="M465" s="2"/>
      <c r="N465" s="2"/>
      <c r="O465" s="2"/>
      <c r="P465" s="2"/>
      <c r="Q465" s="2"/>
      <c r="R465" s="2"/>
      <c r="S465" s="2"/>
      <c r="T465" s="2"/>
      <c r="U465" s="2"/>
      <c r="V465" s="2"/>
      <c r="W465" s="2"/>
      <c r="X465" s="2"/>
      <c r="Y465" s="2"/>
    </row>
    <row r="466" spans="1:25" ht="17.399999999999999" x14ac:dyDescent="0.25">
      <c r="A466" s="1"/>
      <c r="B466" s="40"/>
      <c r="C466" s="2" t="str">
        <f ca="1">IFERROR(__xludf.DUMMYFUNCTION("iferror(filter('Full Perk List'!C$3:C1498,'Full Perk List'!$D$3:$D1498=$D466),"""")"),"#REF!")</f>
        <v>#REF!</v>
      </c>
      <c r="D466" s="2"/>
      <c r="E466" s="2" t="str">
        <f ca="1">IFERROR(__xludf.DUMMYFUNCTION("iferror(filter('Full Perk List'!E$3:E1498,'Full Perk List'!$D$3:$D1498=$D466),"""")"),"#REF!")</f>
        <v>#REF!</v>
      </c>
      <c r="F466" s="2" t="str">
        <f ca="1">IFERROR(__xludf.DUMMYFUNCTION("iferror(filter('Full Perk List'!F$3:F1498,'Full Perk List'!$D$3:$D1498=$D466),"""")"),"#REF!")</f>
        <v>#REF!</v>
      </c>
      <c r="G466" s="2" t="str">
        <f ca="1">IFERROR(__xludf.DUMMYFUNCTION("iferror(filter('Full Perk List'!G$3:G1498,'Full Perk List'!$D$3:$D1498=$D466),"""")"),"#REF!")</f>
        <v>#REF!</v>
      </c>
      <c r="H466" s="1"/>
      <c r="I466" s="2"/>
      <c r="J466" s="2"/>
      <c r="K466" s="2"/>
      <c r="L466" s="2"/>
      <c r="M466" s="2"/>
      <c r="N466" s="2"/>
      <c r="O466" s="2"/>
      <c r="P466" s="2"/>
      <c r="Q466" s="2"/>
      <c r="R466" s="2"/>
      <c r="S466" s="2"/>
      <c r="T466" s="2"/>
      <c r="U466" s="2"/>
      <c r="V466" s="2"/>
      <c r="W466" s="2"/>
      <c r="X466" s="2"/>
      <c r="Y466" s="2"/>
    </row>
    <row r="467" spans="1:25" ht="17.399999999999999" x14ac:dyDescent="0.25">
      <c r="A467" s="1"/>
      <c r="B467" s="40"/>
      <c r="C467" s="2" t="str">
        <f ca="1">IFERROR(__xludf.DUMMYFUNCTION("iferror(filter('Full Perk List'!C$3:C1498,'Full Perk List'!$D$3:$D1498=$D467),"""")"),"#REF!")</f>
        <v>#REF!</v>
      </c>
      <c r="D467" s="2"/>
      <c r="E467" s="2" t="str">
        <f ca="1">IFERROR(__xludf.DUMMYFUNCTION("iferror(filter('Full Perk List'!E$3:E1498,'Full Perk List'!$D$3:$D1498=$D467),"""")"),"#REF!")</f>
        <v>#REF!</v>
      </c>
      <c r="F467" s="2" t="str">
        <f ca="1">IFERROR(__xludf.DUMMYFUNCTION("iferror(filter('Full Perk List'!F$3:F1498,'Full Perk List'!$D$3:$D1498=$D467),"""")"),"#REF!")</f>
        <v>#REF!</v>
      </c>
      <c r="G467" s="2" t="str">
        <f ca="1">IFERROR(__xludf.DUMMYFUNCTION("iferror(filter('Full Perk List'!G$3:G1498,'Full Perk List'!$D$3:$D1498=$D467),"""")"),"#REF!")</f>
        <v>#REF!</v>
      </c>
      <c r="H467" s="1"/>
      <c r="I467" s="2"/>
      <c r="J467" s="2"/>
      <c r="K467" s="2"/>
      <c r="L467" s="2"/>
      <c r="M467" s="2"/>
      <c r="N467" s="2"/>
      <c r="O467" s="2"/>
      <c r="P467" s="2"/>
      <c r="Q467" s="2"/>
      <c r="R467" s="2"/>
      <c r="S467" s="2"/>
      <c r="T467" s="2"/>
      <c r="U467" s="2"/>
      <c r="V467" s="2"/>
      <c r="W467" s="2"/>
      <c r="X467" s="2"/>
      <c r="Y467" s="2"/>
    </row>
    <row r="468" spans="1:25" ht="17.399999999999999" x14ac:dyDescent="0.25">
      <c r="A468" s="1"/>
      <c r="B468" s="40"/>
      <c r="C468" s="2" t="str">
        <f ca="1">IFERROR(__xludf.DUMMYFUNCTION("iferror(filter('Full Perk List'!C$3:C1498,'Full Perk List'!$D$3:$D1498=$D468),"""")"),"#REF!")</f>
        <v>#REF!</v>
      </c>
      <c r="D468" s="2"/>
      <c r="E468" s="2" t="str">
        <f ca="1">IFERROR(__xludf.DUMMYFUNCTION("iferror(filter('Full Perk List'!E$3:E1498,'Full Perk List'!$D$3:$D1498=$D468),"""")"),"#REF!")</f>
        <v>#REF!</v>
      </c>
      <c r="F468" s="2" t="str">
        <f ca="1">IFERROR(__xludf.DUMMYFUNCTION("iferror(filter('Full Perk List'!F$3:F1498,'Full Perk List'!$D$3:$D1498=$D468),"""")"),"#REF!")</f>
        <v>#REF!</v>
      </c>
      <c r="G468" s="2" t="str">
        <f ca="1">IFERROR(__xludf.DUMMYFUNCTION("iferror(filter('Full Perk List'!G$3:G1498,'Full Perk List'!$D$3:$D1498=$D468),"""")"),"#REF!")</f>
        <v>#REF!</v>
      </c>
      <c r="H468" s="1"/>
      <c r="I468" s="2"/>
      <c r="J468" s="2"/>
      <c r="K468" s="2"/>
      <c r="L468" s="2"/>
      <c r="M468" s="2"/>
      <c r="N468" s="2"/>
      <c r="O468" s="2"/>
      <c r="P468" s="2"/>
      <c r="Q468" s="2"/>
      <c r="R468" s="2"/>
      <c r="S468" s="2"/>
      <c r="T468" s="2"/>
      <c r="U468" s="2"/>
      <c r="V468" s="2"/>
      <c r="W468" s="2"/>
      <c r="X468" s="2"/>
      <c r="Y468" s="2"/>
    </row>
    <row r="469" spans="1:25" ht="17.399999999999999" x14ac:dyDescent="0.25">
      <c r="A469" s="1"/>
      <c r="B469" s="40"/>
      <c r="C469" s="2" t="str">
        <f ca="1">IFERROR(__xludf.DUMMYFUNCTION("iferror(filter('Full Perk List'!C$3:C1498,'Full Perk List'!$D$3:$D1498=$D469),"""")"),"#REF!")</f>
        <v>#REF!</v>
      </c>
      <c r="D469" s="2"/>
      <c r="E469" s="2" t="str">
        <f ca="1">IFERROR(__xludf.DUMMYFUNCTION("iferror(filter('Full Perk List'!E$3:E1498,'Full Perk List'!$D$3:$D1498=$D469),"""")"),"#REF!")</f>
        <v>#REF!</v>
      </c>
      <c r="F469" s="2" t="str">
        <f ca="1">IFERROR(__xludf.DUMMYFUNCTION("iferror(filter('Full Perk List'!F$3:F1498,'Full Perk List'!$D$3:$D1498=$D469),"""")"),"#REF!")</f>
        <v>#REF!</v>
      </c>
      <c r="G469" s="2" t="str">
        <f ca="1">IFERROR(__xludf.DUMMYFUNCTION("iferror(filter('Full Perk List'!G$3:G1498,'Full Perk List'!$D$3:$D1498=$D469),"""")"),"#REF!")</f>
        <v>#REF!</v>
      </c>
      <c r="H469" s="1"/>
      <c r="I469" s="2"/>
      <c r="J469" s="2"/>
      <c r="K469" s="2"/>
      <c r="L469" s="2"/>
      <c r="M469" s="2"/>
      <c r="N469" s="2"/>
      <c r="O469" s="2"/>
      <c r="P469" s="2"/>
      <c r="Q469" s="2"/>
      <c r="R469" s="2"/>
      <c r="S469" s="2"/>
      <c r="T469" s="2"/>
      <c r="U469" s="2"/>
      <c r="V469" s="2"/>
      <c r="W469" s="2"/>
      <c r="X469" s="2"/>
      <c r="Y469" s="2"/>
    </row>
    <row r="470" spans="1:25" ht="17.399999999999999" x14ac:dyDescent="0.25">
      <c r="A470" s="1"/>
      <c r="B470" s="40"/>
      <c r="C470" s="2" t="str">
        <f ca="1">IFERROR(__xludf.DUMMYFUNCTION("iferror(filter('Full Perk List'!C$3:C1498,'Full Perk List'!$D$3:$D1498=$D470),"""")"),"#REF!")</f>
        <v>#REF!</v>
      </c>
      <c r="D470" s="2"/>
      <c r="E470" s="2" t="str">
        <f ca="1">IFERROR(__xludf.DUMMYFUNCTION("iferror(filter('Full Perk List'!E$3:E1498,'Full Perk List'!$D$3:$D1498=$D470),"""")"),"#REF!")</f>
        <v>#REF!</v>
      </c>
      <c r="F470" s="2" t="str">
        <f ca="1">IFERROR(__xludf.DUMMYFUNCTION("iferror(filter('Full Perk List'!F$3:F1498,'Full Perk List'!$D$3:$D1498=$D470),"""")"),"#REF!")</f>
        <v>#REF!</v>
      </c>
      <c r="G470" s="2" t="str">
        <f ca="1">IFERROR(__xludf.DUMMYFUNCTION("iferror(filter('Full Perk List'!G$3:G1498,'Full Perk List'!$D$3:$D1498=$D470),"""")"),"#REF!")</f>
        <v>#REF!</v>
      </c>
      <c r="H470" s="1"/>
      <c r="I470" s="2"/>
      <c r="J470" s="2"/>
      <c r="K470" s="2"/>
      <c r="L470" s="2"/>
      <c r="M470" s="2"/>
      <c r="N470" s="2"/>
      <c r="O470" s="2"/>
      <c r="P470" s="2"/>
      <c r="Q470" s="2"/>
      <c r="R470" s="2"/>
      <c r="S470" s="2"/>
      <c r="T470" s="2"/>
      <c r="U470" s="2"/>
      <c r="V470" s="2"/>
      <c r="W470" s="2"/>
      <c r="X470" s="2"/>
      <c r="Y470" s="2"/>
    </row>
    <row r="471" spans="1:25" ht="17.399999999999999" x14ac:dyDescent="0.25">
      <c r="A471" s="1"/>
      <c r="B471" s="40"/>
      <c r="C471" s="2" t="str">
        <f ca="1">IFERROR(__xludf.DUMMYFUNCTION("iferror(filter('Full Perk List'!C$3:C1498,'Full Perk List'!$D$3:$D1498=$D471),"""")"),"#REF!")</f>
        <v>#REF!</v>
      </c>
      <c r="D471" s="2"/>
      <c r="E471" s="2" t="str">
        <f ca="1">IFERROR(__xludf.DUMMYFUNCTION("iferror(filter('Full Perk List'!E$3:E1498,'Full Perk List'!$D$3:$D1498=$D471),"""")"),"#REF!")</f>
        <v>#REF!</v>
      </c>
      <c r="F471" s="2" t="str">
        <f ca="1">IFERROR(__xludf.DUMMYFUNCTION("iferror(filter('Full Perk List'!F$3:F1498,'Full Perk List'!$D$3:$D1498=$D471),"""")"),"#REF!")</f>
        <v>#REF!</v>
      </c>
      <c r="G471" s="2" t="str">
        <f ca="1">IFERROR(__xludf.DUMMYFUNCTION("iferror(filter('Full Perk List'!G$3:G1498,'Full Perk List'!$D$3:$D1498=$D471),"""")"),"#REF!")</f>
        <v>#REF!</v>
      </c>
      <c r="H471" s="1"/>
      <c r="I471" s="2"/>
      <c r="J471" s="2"/>
      <c r="K471" s="2"/>
      <c r="L471" s="2"/>
      <c r="M471" s="2"/>
      <c r="N471" s="2"/>
      <c r="O471" s="2"/>
      <c r="P471" s="2"/>
      <c r="Q471" s="2"/>
      <c r="R471" s="2"/>
      <c r="S471" s="2"/>
      <c r="T471" s="2"/>
      <c r="U471" s="2"/>
      <c r="V471" s="2"/>
      <c r="W471" s="2"/>
      <c r="X471" s="2"/>
      <c r="Y471" s="2"/>
    </row>
    <row r="472" spans="1:25" ht="17.399999999999999" x14ac:dyDescent="0.25">
      <c r="A472" s="1"/>
      <c r="B472" s="40"/>
      <c r="C472" s="2" t="str">
        <f ca="1">IFERROR(__xludf.DUMMYFUNCTION("iferror(filter('Full Perk List'!C$3:C1498,'Full Perk List'!$D$3:$D1498=$D472),"""")"),"#REF!")</f>
        <v>#REF!</v>
      </c>
      <c r="D472" s="2"/>
      <c r="E472" s="2" t="str">
        <f ca="1">IFERROR(__xludf.DUMMYFUNCTION("iferror(filter('Full Perk List'!E$3:E1498,'Full Perk List'!$D$3:$D1498=$D472),"""")"),"#REF!")</f>
        <v>#REF!</v>
      </c>
      <c r="F472" s="2" t="str">
        <f ca="1">IFERROR(__xludf.DUMMYFUNCTION("iferror(filter('Full Perk List'!F$3:F1498,'Full Perk List'!$D$3:$D1498=$D472),"""")"),"#REF!")</f>
        <v>#REF!</v>
      </c>
      <c r="G472" s="2" t="str">
        <f ca="1">IFERROR(__xludf.DUMMYFUNCTION("iferror(filter('Full Perk List'!G$3:G1498,'Full Perk List'!$D$3:$D1498=$D472),"""")"),"#REF!")</f>
        <v>#REF!</v>
      </c>
      <c r="H472" s="1"/>
      <c r="I472" s="2"/>
      <c r="J472" s="2"/>
      <c r="K472" s="2"/>
      <c r="L472" s="2"/>
      <c r="M472" s="2"/>
      <c r="N472" s="2"/>
      <c r="O472" s="2"/>
      <c r="P472" s="2"/>
      <c r="Q472" s="2"/>
      <c r="R472" s="2"/>
      <c r="S472" s="2"/>
      <c r="T472" s="2"/>
      <c r="U472" s="2"/>
      <c r="V472" s="2"/>
      <c r="W472" s="2"/>
      <c r="X472" s="2"/>
      <c r="Y472" s="2"/>
    </row>
    <row r="473" spans="1:25" ht="17.399999999999999" x14ac:dyDescent="0.25">
      <c r="A473" s="1"/>
      <c r="B473" s="40"/>
      <c r="C473" s="2" t="str">
        <f ca="1">IFERROR(__xludf.DUMMYFUNCTION("iferror(filter('Full Perk List'!C$3:C1498,'Full Perk List'!$D$3:$D1498=$D473),"""")"),"#REF!")</f>
        <v>#REF!</v>
      </c>
      <c r="D473" s="2"/>
      <c r="E473" s="2" t="str">
        <f ca="1">IFERROR(__xludf.DUMMYFUNCTION("iferror(filter('Full Perk List'!E$3:E1498,'Full Perk List'!$D$3:$D1498=$D473),"""")"),"#REF!")</f>
        <v>#REF!</v>
      </c>
      <c r="F473" s="2" t="str">
        <f ca="1">IFERROR(__xludf.DUMMYFUNCTION("iferror(filter('Full Perk List'!F$3:F1498,'Full Perk List'!$D$3:$D1498=$D473),"""")"),"#REF!")</f>
        <v>#REF!</v>
      </c>
      <c r="G473" s="2" t="str">
        <f ca="1">IFERROR(__xludf.DUMMYFUNCTION("iferror(filter('Full Perk List'!G$3:G1498,'Full Perk List'!$D$3:$D1498=$D473),"""")"),"#REF!")</f>
        <v>#REF!</v>
      </c>
      <c r="H473" s="1"/>
      <c r="I473" s="2"/>
      <c r="J473" s="2"/>
      <c r="K473" s="2"/>
      <c r="L473" s="2"/>
      <c r="M473" s="2"/>
      <c r="N473" s="2"/>
      <c r="O473" s="2"/>
      <c r="P473" s="2"/>
      <c r="Q473" s="2"/>
      <c r="R473" s="2"/>
      <c r="S473" s="2"/>
      <c r="T473" s="2"/>
      <c r="U473" s="2"/>
      <c r="V473" s="2"/>
      <c r="W473" s="2"/>
      <c r="X473" s="2"/>
      <c r="Y473" s="2"/>
    </row>
    <row r="474" spans="1:25" ht="17.399999999999999" x14ac:dyDescent="0.25">
      <c r="A474" s="1"/>
      <c r="B474" s="40"/>
      <c r="C474" s="2" t="str">
        <f ca="1">IFERROR(__xludf.DUMMYFUNCTION("iferror(filter('Full Perk List'!C$3:C1498,'Full Perk List'!$D$3:$D1498=$D474),"""")"),"#REF!")</f>
        <v>#REF!</v>
      </c>
      <c r="D474" s="2"/>
      <c r="E474" s="2" t="str">
        <f ca="1">IFERROR(__xludf.DUMMYFUNCTION("iferror(filter('Full Perk List'!E$3:E1498,'Full Perk List'!$D$3:$D1498=$D474),"""")"),"#REF!")</f>
        <v>#REF!</v>
      </c>
      <c r="F474" s="2" t="str">
        <f ca="1">IFERROR(__xludf.DUMMYFUNCTION("iferror(filter('Full Perk List'!F$3:F1498,'Full Perk List'!$D$3:$D1498=$D474),"""")"),"#REF!")</f>
        <v>#REF!</v>
      </c>
      <c r="G474" s="2" t="str">
        <f ca="1">IFERROR(__xludf.DUMMYFUNCTION("iferror(filter('Full Perk List'!G$3:G1498,'Full Perk List'!$D$3:$D1498=$D474),"""")"),"#REF!")</f>
        <v>#REF!</v>
      </c>
      <c r="H474" s="1"/>
      <c r="I474" s="2"/>
      <c r="J474" s="2"/>
      <c r="K474" s="2"/>
      <c r="L474" s="2"/>
      <c r="M474" s="2"/>
      <c r="N474" s="2"/>
      <c r="O474" s="2"/>
      <c r="P474" s="2"/>
      <c r="Q474" s="2"/>
      <c r="R474" s="2"/>
      <c r="S474" s="2"/>
      <c r="T474" s="2"/>
      <c r="U474" s="2"/>
      <c r="V474" s="2"/>
      <c r="W474" s="2"/>
      <c r="X474" s="2"/>
      <c r="Y474" s="2"/>
    </row>
    <row r="475" spans="1:25" ht="17.399999999999999" x14ac:dyDescent="0.25">
      <c r="A475" s="1"/>
      <c r="B475" s="40"/>
      <c r="C475" s="2" t="str">
        <f ca="1">IFERROR(__xludf.DUMMYFUNCTION("iferror(filter('Full Perk List'!C$3:C1498,'Full Perk List'!$D$3:$D1498=$D475),"""")"),"#REF!")</f>
        <v>#REF!</v>
      </c>
      <c r="D475" s="2"/>
      <c r="E475" s="2" t="str">
        <f ca="1">IFERROR(__xludf.DUMMYFUNCTION("iferror(filter('Full Perk List'!E$3:E1498,'Full Perk List'!$D$3:$D1498=$D475),"""")"),"#REF!")</f>
        <v>#REF!</v>
      </c>
      <c r="F475" s="2" t="str">
        <f ca="1">IFERROR(__xludf.DUMMYFUNCTION("iferror(filter('Full Perk List'!F$3:F1498,'Full Perk List'!$D$3:$D1498=$D475),"""")"),"#REF!")</f>
        <v>#REF!</v>
      </c>
      <c r="G475" s="2" t="str">
        <f ca="1">IFERROR(__xludf.DUMMYFUNCTION("iferror(filter('Full Perk List'!G$3:G1498,'Full Perk List'!$D$3:$D1498=$D475),"""")"),"#REF!")</f>
        <v>#REF!</v>
      </c>
      <c r="H475" s="1"/>
      <c r="I475" s="2"/>
      <c r="J475" s="2"/>
      <c r="K475" s="2"/>
      <c r="L475" s="2"/>
      <c r="M475" s="2"/>
      <c r="N475" s="2"/>
      <c r="O475" s="2"/>
      <c r="P475" s="2"/>
      <c r="Q475" s="2"/>
      <c r="R475" s="2"/>
      <c r="S475" s="2"/>
      <c r="T475" s="2"/>
      <c r="U475" s="2"/>
      <c r="V475" s="2"/>
      <c r="W475" s="2"/>
      <c r="X475" s="2"/>
      <c r="Y475" s="2"/>
    </row>
    <row r="476" spans="1:25" ht="17.399999999999999" x14ac:dyDescent="0.25">
      <c r="A476" s="1"/>
      <c r="B476" s="40"/>
      <c r="C476" s="2" t="str">
        <f ca="1">IFERROR(__xludf.DUMMYFUNCTION("iferror(filter('Full Perk List'!C$3:C1498,'Full Perk List'!$D$3:$D1498=$D476),"""")"),"#REF!")</f>
        <v>#REF!</v>
      </c>
      <c r="D476" s="2"/>
      <c r="E476" s="2" t="str">
        <f ca="1">IFERROR(__xludf.DUMMYFUNCTION("iferror(filter('Full Perk List'!E$3:E1498,'Full Perk List'!$D$3:$D1498=$D476),"""")"),"#REF!")</f>
        <v>#REF!</v>
      </c>
      <c r="F476" s="2" t="str">
        <f ca="1">IFERROR(__xludf.DUMMYFUNCTION("iferror(filter('Full Perk List'!F$3:F1498,'Full Perk List'!$D$3:$D1498=$D476),"""")"),"#REF!")</f>
        <v>#REF!</v>
      </c>
      <c r="G476" s="2" t="str">
        <f ca="1">IFERROR(__xludf.DUMMYFUNCTION("iferror(filter('Full Perk List'!G$3:G1498,'Full Perk List'!$D$3:$D1498=$D476),"""")"),"#REF!")</f>
        <v>#REF!</v>
      </c>
      <c r="H476" s="1"/>
      <c r="I476" s="2"/>
      <c r="J476" s="2"/>
      <c r="K476" s="2"/>
      <c r="L476" s="2"/>
      <c r="M476" s="2"/>
      <c r="N476" s="2"/>
      <c r="O476" s="2"/>
      <c r="P476" s="2"/>
      <c r="Q476" s="2"/>
      <c r="R476" s="2"/>
      <c r="S476" s="2"/>
      <c r="T476" s="2"/>
      <c r="U476" s="2"/>
      <c r="V476" s="2"/>
      <c r="W476" s="2"/>
      <c r="X476" s="2"/>
      <c r="Y476" s="2"/>
    </row>
    <row r="477" spans="1:25" ht="17.399999999999999" x14ac:dyDescent="0.25">
      <c r="A477" s="1"/>
      <c r="B477" s="40"/>
      <c r="C477" s="2" t="str">
        <f ca="1">IFERROR(__xludf.DUMMYFUNCTION("iferror(filter('Full Perk List'!C$3:C1498,'Full Perk List'!$D$3:$D1498=$D477),"""")"),"#REF!")</f>
        <v>#REF!</v>
      </c>
      <c r="D477" s="2"/>
      <c r="E477" s="2" t="str">
        <f ca="1">IFERROR(__xludf.DUMMYFUNCTION("iferror(filter('Full Perk List'!E$3:E1498,'Full Perk List'!$D$3:$D1498=$D477),"""")"),"#REF!")</f>
        <v>#REF!</v>
      </c>
      <c r="F477" s="2" t="str">
        <f ca="1">IFERROR(__xludf.DUMMYFUNCTION("iferror(filter('Full Perk List'!F$3:F1498,'Full Perk List'!$D$3:$D1498=$D477),"""")"),"#REF!")</f>
        <v>#REF!</v>
      </c>
      <c r="G477" s="2" t="str">
        <f ca="1">IFERROR(__xludf.DUMMYFUNCTION("iferror(filter('Full Perk List'!G$3:G1498,'Full Perk List'!$D$3:$D1498=$D477),"""")"),"#REF!")</f>
        <v>#REF!</v>
      </c>
      <c r="H477" s="1"/>
      <c r="I477" s="2"/>
      <c r="J477" s="2"/>
      <c r="K477" s="2"/>
      <c r="L477" s="2"/>
      <c r="M477" s="2"/>
      <c r="N477" s="2"/>
      <c r="O477" s="2"/>
      <c r="P477" s="2"/>
      <c r="Q477" s="2"/>
      <c r="R477" s="2"/>
      <c r="S477" s="2"/>
      <c r="T477" s="2"/>
      <c r="U477" s="2"/>
      <c r="V477" s="2"/>
      <c r="W477" s="2"/>
      <c r="X477" s="2"/>
      <c r="Y477" s="2"/>
    </row>
    <row r="478" spans="1:25" ht="17.399999999999999" x14ac:dyDescent="0.25">
      <c r="A478" s="1"/>
      <c r="B478" s="40"/>
      <c r="C478" s="2" t="str">
        <f ca="1">IFERROR(__xludf.DUMMYFUNCTION("iferror(filter('Full Perk List'!C$3:C1498,'Full Perk List'!$D$3:$D1498=$D478),"""")"),"#REF!")</f>
        <v>#REF!</v>
      </c>
      <c r="D478" s="2"/>
      <c r="E478" s="2" t="str">
        <f ca="1">IFERROR(__xludf.DUMMYFUNCTION("iferror(filter('Full Perk List'!E$3:E1498,'Full Perk List'!$D$3:$D1498=$D478),"""")"),"#REF!")</f>
        <v>#REF!</v>
      </c>
      <c r="F478" s="2" t="str">
        <f ca="1">IFERROR(__xludf.DUMMYFUNCTION("iferror(filter('Full Perk List'!F$3:F1498,'Full Perk List'!$D$3:$D1498=$D478),"""")"),"#REF!")</f>
        <v>#REF!</v>
      </c>
      <c r="G478" s="2" t="str">
        <f ca="1">IFERROR(__xludf.DUMMYFUNCTION("iferror(filter('Full Perk List'!G$3:G1498,'Full Perk List'!$D$3:$D1498=$D478),"""")"),"#REF!")</f>
        <v>#REF!</v>
      </c>
      <c r="H478" s="1"/>
      <c r="I478" s="2"/>
      <c r="J478" s="2"/>
      <c r="K478" s="2"/>
      <c r="L478" s="2"/>
      <c r="M478" s="2"/>
      <c r="N478" s="2"/>
      <c r="O478" s="2"/>
      <c r="P478" s="2"/>
      <c r="Q478" s="2"/>
      <c r="R478" s="2"/>
      <c r="S478" s="2"/>
      <c r="T478" s="2"/>
      <c r="U478" s="2"/>
      <c r="V478" s="2"/>
      <c r="W478" s="2"/>
      <c r="X478" s="2"/>
      <c r="Y478" s="2"/>
    </row>
    <row r="479" spans="1:25" ht="17.399999999999999" x14ac:dyDescent="0.25">
      <c r="A479" s="1"/>
      <c r="B479" s="40"/>
      <c r="C479" s="2" t="str">
        <f ca="1">IFERROR(__xludf.DUMMYFUNCTION("iferror(filter('Full Perk List'!C$3:C1498,'Full Perk List'!$D$3:$D1498=$D479),"""")"),"#REF!")</f>
        <v>#REF!</v>
      </c>
      <c r="D479" s="2"/>
      <c r="E479" s="2" t="str">
        <f ca="1">IFERROR(__xludf.DUMMYFUNCTION("iferror(filter('Full Perk List'!E$3:E1498,'Full Perk List'!$D$3:$D1498=$D479),"""")"),"#REF!")</f>
        <v>#REF!</v>
      </c>
      <c r="F479" s="2" t="str">
        <f ca="1">IFERROR(__xludf.DUMMYFUNCTION("iferror(filter('Full Perk List'!F$3:F1498,'Full Perk List'!$D$3:$D1498=$D479),"""")"),"#REF!")</f>
        <v>#REF!</v>
      </c>
      <c r="G479" s="2" t="str">
        <f ca="1">IFERROR(__xludf.DUMMYFUNCTION("iferror(filter('Full Perk List'!G$3:G1498,'Full Perk List'!$D$3:$D1498=$D479),"""")"),"#REF!")</f>
        <v>#REF!</v>
      </c>
      <c r="H479" s="1"/>
      <c r="I479" s="2"/>
      <c r="J479" s="2"/>
      <c r="K479" s="2"/>
      <c r="L479" s="2"/>
      <c r="M479" s="2"/>
      <c r="N479" s="2"/>
      <c r="O479" s="2"/>
      <c r="P479" s="2"/>
      <c r="Q479" s="2"/>
      <c r="R479" s="2"/>
      <c r="S479" s="2"/>
      <c r="T479" s="2"/>
      <c r="U479" s="2"/>
      <c r="V479" s="2"/>
      <c r="W479" s="2"/>
      <c r="X479" s="2"/>
      <c r="Y479" s="2"/>
    </row>
    <row r="480" spans="1:25" ht="17.399999999999999" x14ac:dyDescent="0.25">
      <c r="A480" s="1"/>
      <c r="B480" s="40"/>
      <c r="C480" s="2" t="str">
        <f ca="1">IFERROR(__xludf.DUMMYFUNCTION("iferror(filter('Full Perk List'!C$3:C1498,'Full Perk List'!$D$3:$D1498=$D480),"""")"),"#REF!")</f>
        <v>#REF!</v>
      </c>
      <c r="D480" s="2"/>
      <c r="E480" s="2" t="str">
        <f ca="1">IFERROR(__xludf.DUMMYFUNCTION("iferror(filter('Full Perk List'!E$3:E1498,'Full Perk List'!$D$3:$D1498=$D480),"""")"),"#REF!")</f>
        <v>#REF!</v>
      </c>
      <c r="F480" s="2" t="str">
        <f ca="1">IFERROR(__xludf.DUMMYFUNCTION("iferror(filter('Full Perk List'!F$3:F1498,'Full Perk List'!$D$3:$D1498=$D480),"""")"),"#REF!")</f>
        <v>#REF!</v>
      </c>
      <c r="G480" s="2" t="str">
        <f ca="1">IFERROR(__xludf.DUMMYFUNCTION("iferror(filter('Full Perk List'!G$3:G1498,'Full Perk List'!$D$3:$D1498=$D480),"""")"),"#REF!")</f>
        <v>#REF!</v>
      </c>
      <c r="H480" s="1"/>
      <c r="I480" s="2"/>
      <c r="J480" s="2"/>
      <c r="K480" s="2"/>
      <c r="L480" s="2"/>
      <c r="M480" s="2"/>
      <c r="N480" s="2"/>
      <c r="O480" s="2"/>
      <c r="P480" s="2"/>
      <c r="Q480" s="2"/>
      <c r="R480" s="2"/>
      <c r="S480" s="2"/>
      <c r="T480" s="2"/>
      <c r="U480" s="2"/>
      <c r="V480" s="2"/>
      <c r="W480" s="2"/>
      <c r="X480" s="2"/>
      <c r="Y480" s="2"/>
    </row>
    <row r="481" spans="1:25" ht="17.399999999999999" x14ac:dyDescent="0.25">
      <c r="A481" s="1"/>
      <c r="B481" s="40"/>
      <c r="C481" s="2" t="str">
        <f ca="1">IFERROR(__xludf.DUMMYFUNCTION("iferror(filter('Full Perk List'!C$3:C1498,'Full Perk List'!$D$3:$D1498=$D481),"""")"),"#REF!")</f>
        <v>#REF!</v>
      </c>
      <c r="D481" s="2"/>
      <c r="E481" s="2" t="str">
        <f ca="1">IFERROR(__xludf.DUMMYFUNCTION("iferror(filter('Full Perk List'!E$3:E1498,'Full Perk List'!$D$3:$D1498=$D481),"""")"),"#REF!")</f>
        <v>#REF!</v>
      </c>
      <c r="F481" s="2" t="str">
        <f ca="1">IFERROR(__xludf.DUMMYFUNCTION("iferror(filter('Full Perk List'!F$3:F1498,'Full Perk List'!$D$3:$D1498=$D481),"""")"),"#REF!")</f>
        <v>#REF!</v>
      </c>
      <c r="G481" s="2" t="str">
        <f ca="1">IFERROR(__xludf.DUMMYFUNCTION("iferror(filter('Full Perk List'!G$3:G1498,'Full Perk List'!$D$3:$D1498=$D481),"""")"),"#REF!")</f>
        <v>#REF!</v>
      </c>
      <c r="H481" s="1"/>
      <c r="I481" s="2"/>
      <c r="J481" s="2"/>
      <c r="K481" s="2"/>
      <c r="L481" s="2"/>
      <c r="M481" s="2"/>
      <c r="N481" s="2"/>
      <c r="O481" s="2"/>
      <c r="P481" s="2"/>
      <c r="Q481" s="2"/>
      <c r="R481" s="2"/>
      <c r="S481" s="2"/>
      <c r="T481" s="2"/>
      <c r="U481" s="2"/>
      <c r="V481" s="2"/>
      <c r="W481" s="2"/>
      <c r="X481" s="2"/>
      <c r="Y481" s="2"/>
    </row>
    <row r="482" spans="1:25" ht="17.399999999999999" x14ac:dyDescent="0.25">
      <c r="A482" s="1"/>
      <c r="B482" s="40"/>
      <c r="C482" s="2" t="str">
        <f ca="1">IFERROR(__xludf.DUMMYFUNCTION("iferror(filter('Full Perk List'!C$3:C1498,'Full Perk List'!$D$3:$D1498=$D482),"""")"),"#REF!")</f>
        <v>#REF!</v>
      </c>
      <c r="D482" s="2"/>
      <c r="E482" s="2" t="str">
        <f ca="1">IFERROR(__xludf.DUMMYFUNCTION("iferror(filter('Full Perk List'!E$3:E1498,'Full Perk List'!$D$3:$D1498=$D482),"""")"),"#REF!")</f>
        <v>#REF!</v>
      </c>
      <c r="F482" s="2" t="str">
        <f ca="1">IFERROR(__xludf.DUMMYFUNCTION("iferror(filter('Full Perk List'!F$3:F1498,'Full Perk List'!$D$3:$D1498=$D482),"""")"),"#REF!")</f>
        <v>#REF!</v>
      </c>
      <c r="G482" s="2" t="str">
        <f ca="1">IFERROR(__xludf.DUMMYFUNCTION("iferror(filter('Full Perk List'!G$3:G1498,'Full Perk List'!$D$3:$D1498=$D482),"""")"),"#REF!")</f>
        <v>#REF!</v>
      </c>
      <c r="H482" s="1"/>
      <c r="I482" s="2"/>
      <c r="J482" s="2"/>
      <c r="K482" s="2"/>
      <c r="L482" s="2"/>
      <c r="M482" s="2"/>
      <c r="N482" s="2"/>
      <c r="O482" s="2"/>
      <c r="P482" s="2"/>
      <c r="Q482" s="2"/>
      <c r="R482" s="2"/>
      <c r="S482" s="2"/>
      <c r="T482" s="2"/>
      <c r="U482" s="2"/>
      <c r="V482" s="2"/>
      <c r="W482" s="2"/>
      <c r="X482" s="2"/>
      <c r="Y482" s="2"/>
    </row>
    <row r="483" spans="1:25" ht="17.399999999999999" x14ac:dyDescent="0.25">
      <c r="A483" s="1"/>
      <c r="B483" s="40"/>
      <c r="C483" s="2" t="str">
        <f ca="1">IFERROR(__xludf.DUMMYFUNCTION("iferror(filter('Full Perk List'!C$3:C1498,'Full Perk List'!$D$3:$D1498=$D483),"""")"),"#REF!")</f>
        <v>#REF!</v>
      </c>
      <c r="D483" s="2"/>
      <c r="E483" s="2" t="str">
        <f ca="1">IFERROR(__xludf.DUMMYFUNCTION("iferror(filter('Full Perk List'!E$3:E1498,'Full Perk List'!$D$3:$D1498=$D483),"""")"),"#REF!")</f>
        <v>#REF!</v>
      </c>
      <c r="F483" s="2" t="str">
        <f ca="1">IFERROR(__xludf.DUMMYFUNCTION("iferror(filter('Full Perk List'!F$3:F1498,'Full Perk List'!$D$3:$D1498=$D483),"""")"),"#REF!")</f>
        <v>#REF!</v>
      </c>
      <c r="G483" s="2" t="str">
        <f ca="1">IFERROR(__xludf.DUMMYFUNCTION("iferror(filter('Full Perk List'!G$3:G1498,'Full Perk List'!$D$3:$D1498=$D483),"""")"),"#REF!")</f>
        <v>#REF!</v>
      </c>
      <c r="H483" s="1"/>
      <c r="I483" s="2"/>
      <c r="J483" s="2"/>
      <c r="K483" s="2"/>
      <c r="L483" s="2"/>
      <c r="M483" s="2"/>
      <c r="N483" s="2"/>
      <c r="O483" s="2"/>
      <c r="P483" s="2"/>
      <c r="Q483" s="2"/>
      <c r="R483" s="2"/>
      <c r="S483" s="2"/>
      <c r="T483" s="2"/>
      <c r="U483" s="2"/>
      <c r="V483" s="2"/>
      <c r="W483" s="2"/>
      <c r="X483" s="2"/>
      <c r="Y483" s="2"/>
    </row>
    <row r="484" spans="1:25" ht="17.399999999999999" x14ac:dyDescent="0.25">
      <c r="A484" s="1"/>
      <c r="B484" s="40"/>
      <c r="C484" s="2" t="str">
        <f ca="1">IFERROR(__xludf.DUMMYFUNCTION("iferror(filter('Full Perk List'!C$3:C1498,'Full Perk List'!$D$3:$D1498=$D484),"""")"),"#REF!")</f>
        <v>#REF!</v>
      </c>
      <c r="D484" s="2"/>
      <c r="E484" s="2" t="str">
        <f ca="1">IFERROR(__xludf.DUMMYFUNCTION("iferror(filter('Full Perk List'!E$3:E1498,'Full Perk List'!$D$3:$D1498=$D484),"""")"),"#REF!")</f>
        <v>#REF!</v>
      </c>
      <c r="F484" s="2" t="str">
        <f ca="1">IFERROR(__xludf.DUMMYFUNCTION("iferror(filter('Full Perk List'!F$3:F1498,'Full Perk List'!$D$3:$D1498=$D484),"""")"),"#REF!")</f>
        <v>#REF!</v>
      </c>
      <c r="G484" s="2" t="str">
        <f ca="1">IFERROR(__xludf.DUMMYFUNCTION("iferror(filter('Full Perk List'!G$3:G1498,'Full Perk List'!$D$3:$D1498=$D484),"""")"),"#REF!")</f>
        <v>#REF!</v>
      </c>
      <c r="H484" s="1"/>
      <c r="I484" s="2"/>
      <c r="J484" s="2"/>
      <c r="K484" s="2"/>
      <c r="L484" s="2"/>
      <c r="M484" s="2"/>
      <c r="N484" s="2"/>
      <c r="O484" s="2"/>
      <c r="P484" s="2"/>
      <c r="Q484" s="2"/>
      <c r="R484" s="2"/>
      <c r="S484" s="2"/>
      <c r="T484" s="2"/>
      <c r="U484" s="2"/>
      <c r="V484" s="2"/>
      <c r="W484" s="2"/>
      <c r="X484" s="2"/>
      <c r="Y484" s="2"/>
    </row>
    <row r="485" spans="1:25" ht="17.399999999999999" x14ac:dyDescent="0.25">
      <c r="A485" s="1"/>
      <c r="B485" s="40"/>
      <c r="C485" s="2" t="str">
        <f ca="1">IFERROR(__xludf.DUMMYFUNCTION("iferror(filter('Full Perk List'!C$3:C1498,'Full Perk List'!$D$3:$D1498=$D485),"""")"),"#REF!")</f>
        <v>#REF!</v>
      </c>
      <c r="D485" s="2"/>
      <c r="E485" s="2" t="str">
        <f ca="1">IFERROR(__xludf.DUMMYFUNCTION("iferror(filter('Full Perk List'!E$3:E1498,'Full Perk List'!$D$3:$D1498=$D485),"""")"),"#REF!")</f>
        <v>#REF!</v>
      </c>
      <c r="F485" s="2" t="str">
        <f ca="1">IFERROR(__xludf.DUMMYFUNCTION("iferror(filter('Full Perk List'!F$3:F1498,'Full Perk List'!$D$3:$D1498=$D485),"""")"),"#REF!")</f>
        <v>#REF!</v>
      </c>
      <c r="G485" s="2" t="str">
        <f ca="1">IFERROR(__xludf.DUMMYFUNCTION("iferror(filter('Full Perk List'!G$3:G1498,'Full Perk List'!$D$3:$D1498=$D485),"""")"),"#REF!")</f>
        <v>#REF!</v>
      </c>
      <c r="H485" s="1"/>
      <c r="I485" s="2"/>
      <c r="J485" s="2"/>
      <c r="K485" s="2"/>
      <c r="L485" s="2"/>
      <c r="M485" s="2"/>
      <c r="N485" s="2"/>
      <c r="O485" s="2"/>
      <c r="P485" s="2"/>
      <c r="Q485" s="2"/>
      <c r="R485" s="2"/>
      <c r="S485" s="2"/>
      <c r="T485" s="2"/>
      <c r="U485" s="2"/>
      <c r="V485" s="2"/>
      <c r="W485" s="2"/>
      <c r="X485" s="2"/>
      <c r="Y485" s="2"/>
    </row>
    <row r="486" spans="1:25" ht="17.399999999999999" x14ac:dyDescent="0.25">
      <c r="A486" s="1"/>
      <c r="B486" s="40"/>
      <c r="C486" s="2" t="str">
        <f ca="1">IFERROR(__xludf.DUMMYFUNCTION("iferror(filter('Full Perk List'!C$3:C1498,'Full Perk List'!$D$3:$D1498=$D486),"""")"),"#REF!")</f>
        <v>#REF!</v>
      </c>
      <c r="D486" s="2"/>
      <c r="E486" s="2" t="str">
        <f ca="1">IFERROR(__xludf.DUMMYFUNCTION("iferror(filter('Full Perk List'!E$3:E1498,'Full Perk List'!$D$3:$D1498=$D486),"""")"),"#REF!")</f>
        <v>#REF!</v>
      </c>
      <c r="F486" s="2" t="str">
        <f ca="1">IFERROR(__xludf.DUMMYFUNCTION("iferror(filter('Full Perk List'!F$3:F1498,'Full Perk List'!$D$3:$D1498=$D486),"""")"),"#REF!")</f>
        <v>#REF!</v>
      </c>
      <c r="G486" s="2" t="str">
        <f ca="1">IFERROR(__xludf.DUMMYFUNCTION("iferror(filter('Full Perk List'!G$3:G1498,'Full Perk List'!$D$3:$D1498=$D486),"""")"),"#REF!")</f>
        <v>#REF!</v>
      </c>
      <c r="H486" s="1"/>
      <c r="I486" s="2"/>
      <c r="J486" s="2"/>
      <c r="K486" s="2"/>
      <c r="L486" s="2"/>
      <c r="M486" s="2"/>
      <c r="N486" s="2"/>
      <c r="O486" s="2"/>
      <c r="P486" s="2"/>
      <c r="Q486" s="2"/>
      <c r="R486" s="2"/>
      <c r="S486" s="2"/>
      <c r="T486" s="2"/>
      <c r="U486" s="2"/>
      <c r="V486" s="2"/>
      <c r="W486" s="2"/>
      <c r="X486" s="2"/>
      <c r="Y486" s="2"/>
    </row>
    <row r="487" spans="1:25" ht="17.399999999999999" x14ac:dyDescent="0.25">
      <c r="A487" s="1"/>
      <c r="B487" s="40"/>
      <c r="C487" s="2" t="str">
        <f ca="1">IFERROR(__xludf.DUMMYFUNCTION("iferror(filter('Full Perk List'!C$3:C1498,'Full Perk List'!$D$3:$D1498=$D487),"""")"),"#REF!")</f>
        <v>#REF!</v>
      </c>
      <c r="D487" s="2"/>
      <c r="E487" s="2" t="str">
        <f ca="1">IFERROR(__xludf.DUMMYFUNCTION("iferror(filter('Full Perk List'!E$3:E1498,'Full Perk List'!$D$3:$D1498=$D487),"""")"),"#REF!")</f>
        <v>#REF!</v>
      </c>
      <c r="F487" s="2" t="str">
        <f ca="1">IFERROR(__xludf.DUMMYFUNCTION("iferror(filter('Full Perk List'!F$3:F1498,'Full Perk List'!$D$3:$D1498=$D487),"""")"),"#REF!")</f>
        <v>#REF!</v>
      </c>
      <c r="G487" s="2" t="str">
        <f ca="1">IFERROR(__xludf.DUMMYFUNCTION("iferror(filter('Full Perk List'!G$3:G1498,'Full Perk List'!$D$3:$D1498=$D487),"""")"),"#REF!")</f>
        <v>#REF!</v>
      </c>
      <c r="H487" s="1"/>
      <c r="I487" s="2"/>
      <c r="J487" s="2"/>
      <c r="K487" s="2"/>
      <c r="L487" s="2"/>
      <c r="M487" s="2"/>
      <c r="N487" s="2"/>
      <c r="O487" s="2"/>
      <c r="P487" s="2"/>
      <c r="Q487" s="2"/>
      <c r="R487" s="2"/>
      <c r="S487" s="2"/>
      <c r="T487" s="2"/>
      <c r="U487" s="2"/>
      <c r="V487" s="2"/>
      <c r="W487" s="2"/>
      <c r="X487" s="2"/>
      <c r="Y487" s="2"/>
    </row>
    <row r="488" spans="1:25" ht="17.399999999999999" x14ac:dyDescent="0.25">
      <c r="A488" s="1"/>
      <c r="B488" s="40"/>
      <c r="C488" s="2" t="str">
        <f ca="1">IFERROR(__xludf.DUMMYFUNCTION("iferror(filter('Full Perk List'!C$3:C1498,'Full Perk List'!$D$3:$D1498=$D488),"""")"),"#REF!")</f>
        <v>#REF!</v>
      </c>
      <c r="D488" s="2"/>
      <c r="E488" s="2" t="str">
        <f ca="1">IFERROR(__xludf.DUMMYFUNCTION("iferror(filter('Full Perk List'!E$3:E1498,'Full Perk List'!$D$3:$D1498=$D488),"""")"),"#REF!")</f>
        <v>#REF!</v>
      </c>
      <c r="F488" s="2" t="str">
        <f ca="1">IFERROR(__xludf.DUMMYFUNCTION("iferror(filter('Full Perk List'!F$3:F1498,'Full Perk List'!$D$3:$D1498=$D488),"""")"),"#REF!")</f>
        <v>#REF!</v>
      </c>
      <c r="G488" s="2" t="str">
        <f ca="1">IFERROR(__xludf.DUMMYFUNCTION("iferror(filter('Full Perk List'!G$3:G1498,'Full Perk List'!$D$3:$D1498=$D488),"""")"),"#REF!")</f>
        <v>#REF!</v>
      </c>
      <c r="H488" s="1"/>
      <c r="I488" s="2"/>
      <c r="J488" s="2"/>
      <c r="K488" s="2"/>
      <c r="L488" s="2"/>
      <c r="M488" s="2"/>
      <c r="N488" s="2"/>
      <c r="O488" s="2"/>
      <c r="P488" s="2"/>
      <c r="Q488" s="2"/>
      <c r="R488" s="2"/>
      <c r="S488" s="2"/>
      <c r="T488" s="2"/>
      <c r="U488" s="2"/>
      <c r="V488" s="2"/>
      <c r="W488" s="2"/>
      <c r="X488" s="2"/>
      <c r="Y488" s="2"/>
    </row>
    <row r="489" spans="1:25" ht="17.399999999999999" x14ac:dyDescent="0.25">
      <c r="A489" s="1"/>
      <c r="B489" s="40"/>
      <c r="C489" s="2" t="str">
        <f ca="1">IFERROR(__xludf.DUMMYFUNCTION("iferror(filter('Full Perk List'!C$3:C1498,'Full Perk List'!$D$3:$D1498=$D489),"""")"),"#REF!")</f>
        <v>#REF!</v>
      </c>
      <c r="D489" s="2"/>
      <c r="E489" s="2" t="str">
        <f ca="1">IFERROR(__xludf.DUMMYFUNCTION("iferror(filter('Full Perk List'!E$3:E1498,'Full Perk List'!$D$3:$D1498=$D489),"""")"),"#REF!")</f>
        <v>#REF!</v>
      </c>
      <c r="F489" s="2" t="str">
        <f ca="1">IFERROR(__xludf.DUMMYFUNCTION("iferror(filter('Full Perk List'!F$3:F1498,'Full Perk List'!$D$3:$D1498=$D489),"""")"),"#REF!")</f>
        <v>#REF!</v>
      </c>
      <c r="G489" s="2" t="str">
        <f ca="1">IFERROR(__xludf.DUMMYFUNCTION("iferror(filter('Full Perk List'!G$3:G1498,'Full Perk List'!$D$3:$D1498=$D489),"""")"),"#REF!")</f>
        <v>#REF!</v>
      </c>
      <c r="H489" s="1"/>
      <c r="I489" s="2"/>
      <c r="J489" s="2"/>
      <c r="K489" s="2"/>
      <c r="L489" s="2"/>
      <c r="M489" s="2"/>
      <c r="N489" s="2"/>
      <c r="O489" s="2"/>
      <c r="P489" s="2"/>
      <c r="Q489" s="2"/>
      <c r="R489" s="2"/>
      <c r="S489" s="2"/>
      <c r="T489" s="2"/>
      <c r="U489" s="2"/>
      <c r="V489" s="2"/>
      <c r="W489" s="2"/>
      <c r="X489" s="2"/>
      <c r="Y489" s="2"/>
    </row>
    <row r="490" spans="1:25" ht="17.399999999999999" x14ac:dyDescent="0.25">
      <c r="A490" s="1"/>
      <c r="B490" s="40"/>
      <c r="C490" s="2" t="str">
        <f ca="1">IFERROR(__xludf.DUMMYFUNCTION("iferror(filter('Full Perk List'!C$3:C1498,'Full Perk List'!$D$3:$D1498=$D490),"""")"),"#REF!")</f>
        <v>#REF!</v>
      </c>
      <c r="D490" s="2"/>
      <c r="E490" s="2" t="str">
        <f ca="1">IFERROR(__xludf.DUMMYFUNCTION("iferror(filter('Full Perk List'!E$3:E1498,'Full Perk List'!$D$3:$D1498=$D490),"""")"),"#REF!")</f>
        <v>#REF!</v>
      </c>
      <c r="F490" s="2" t="str">
        <f ca="1">IFERROR(__xludf.DUMMYFUNCTION("iferror(filter('Full Perk List'!F$3:F1498,'Full Perk List'!$D$3:$D1498=$D490),"""")"),"#REF!")</f>
        <v>#REF!</v>
      </c>
      <c r="G490" s="2" t="str">
        <f ca="1">IFERROR(__xludf.DUMMYFUNCTION("iferror(filter('Full Perk List'!G$3:G1498,'Full Perk List'!$D$3:$D1498=$D490),"""")"),"#REF!")</f>
        <v>#REF!</v>
      </c>
      <c r="H490" s="1"/>
      <c r="I490" s="2"/>
      <c r="J490" s="2"/>
      <c r="K490" s="2"/>
      <c r="L490" s="2"/>
      <c r="M490" s="2"/>
      <c r="N490" s="2"/>
      <c r="O490" s="2"/>
      <c r="P490" s="2"/>
      <c r="Q490" s="2"/>
      <c r="R490" s="2"/>
      <c r="S490" s="2"/>
      <c r="T490" s="2"/>
      <c r="U490" s="2"/>
      <c r="V490" s="2"/>
      <c r="W490" s="2"/>
      <c r="X490" s="2"/>
      <c r="Y490" s="2"/>
    </row>
    <row r="491" spans="1:25" ht="17.399999999999999" x14ac:dyDescent="0.25">
      <c r="A491" s="1"/>
      <c r="B491" s="40"/>
      <c r="C491" s="2" t="str">
        <f ca="1">IFERROR(__xludf.DUMMYFUNCTION("iferror(filter('Full Perk List'!C$3:C1498,'Full Perk List'!$D$3:$D1498=$D491),"""")"),"#REF!")</f>
        <v>#REF!</v>
      </c>
      <c r="D491" s="2"/>
      <c r="E491" s="2" t="str">
        <f ca="1">IFERROR(__xludf.DUMMYFUNCTION("iferror(filter('Full Perk List'!E$3:E1498,'Full Perk List'!$D$3:$D1498=$D491),"""")"),"#REF!")</f>
        <v>#REF!</v>
      </c>
      <c r="F491" s="2" t="str">
        <f ca="1">IFERROR(__xludf.DUMMYFUNCTION("iferror(filter('Full Perk List'!F$3:F1498,'Full Perk List'!$D$3:$D1498=$D491),"""")"),"#REF!")</f>
        <v>#REF!</v>
      </c>
      <c r="G491" s="2" t="str">
        <f ca="1">IFERROR(__xludf.DUMMYFUNCTION("iferror(filter('Full Perk List'!G$3:G1498,'Full Perk List'!$D$3:$D1498=$D491),"""")"),"#REF!")</f>
        <v>#REF!</v>
      </c>
      <c r="H491" s="1"/>
      <c r="I491" s="2"/>
      <c r="J491" s="2"/>
      <c r="K491" s="2"/>
      <c r="L491" s="2"/>
      <c r="M491" s="2"/>
      <c r="N491" s="2"/>
      <c r="O491" s="2"/>
      <c r="P491" s="2"/>
      <c r="Q491" s="2"/>
      <c r="R491" s="2"/>
      <c r="S491" s="2"/>
      <c r="T491" s="2"/>
      <c r="U491" s="2"/>
      <c r="V491" s="2"/>
      <c r="W491" s="2"/>
      <c r="X491" s="2"/>
      <c r="Y491" s="2"/>
    </row>
    <row r="492" spans="1:25" ht="17.399999999999999" x14ac:dyDescent="0.25">
      <c r="A492" s="1"/>
      <c r="B492" s="40"/>
      <c r="C492" s="2" t="str">
        <f ca="1">IFERROR(__xludf.DUMMYFUNCTION("iferror(filter('Full Perk List'!C$3:C1498,'Full Perk List'!$D$3:$D1498=$D492),"""")"),"#REF!")</f>
        <v>#REF!</v>
      </c>
      <c r="D492" s="2"/>
      <c r="E492" s="2" t="str">
        <f ca="1">IFERROR(__xludf.DUMMYFUNCTION("iferror(filter('Full Perk List'!E$3:E1498,'Full Perk List'!$D$3:$D1498=$D492),"""")"),"#REF!")</f>
        <v>#REF!</v>
      </c>
      <c r="F492" s="2" t="str">
        <f ca="1">IFERROR(__xludf.DUMMYFUNCTION("iferror(filter('Full Perk List'!F$3:F1498,'Full Perk List'!$D$3:$D1498=$D492),"""")"),"#REF!")</f>
        <v>#REF!</v>
      </c>
      <c r="G492" s="2" t="str">
        <f ca="1">IFERROR(__xludf.DUMMYFUNCTION("iferror(filter('Full Perk List'!G$3:G1498,'Full Perk List'!$D$3:$D1498=$D492),"""")"),"#REF!")</f>
        <v>#REF!</v>
      </c>
      <c r="H492" s="1"/>
      <c r="I492" s="2"/>
      <c r="J492" s="2"/>
      <c r="K492" s="2"/>
      <c r="L492" s="2"/>
      <c r="M492" s="2"/>
      <c r="N492" s="2"/>
      <c r="O492" s="2"/>
      <c r="P492" s="2"/>
      <c r="Q492" s="2"/>
      <c r="R492" s="2"/>
      <c r="S492" s="2"/>
      <c r="T492" s="2"/>
      <c r="U492" s="2"/>
      <c r="V492" s="2"/>
      <c r="W492" s="2"/>
      <c r="X492" s="2"/>
      <c r="Y492" s="2"/>
    </row>
    <row r="493" spans="1:25" ht="17.399999999999999" x14ac:dyDescent="0.25">
      <c r="A493" s="1"/>
      <c r="B493" s="40"/>
      <c r="C493" s="2" t="str">
        <f ca="1">IFERROR(__xludf.DUMMYFUNCTION("iferror(filter('Full Perk List'!C$3:C1498,'Full Perk List'!$D$3:$D1498=$D493),"""")"),"#REF!")</f>
        <v>#REF!</v>
      </c>
      <c r="D493" s="2"/>
      <c r="E493" s="2" t="str">
        <f ca="1">IFERROR(__xludf.DUMMYFUNCTION("iferror(filter('Full Perk List'!E$3:E1498,'Full Perk List'!$D$3:$D1498=$D493),"""")"),"#REF!")</f>
        <v>#REF!</v>
      </c>
      <c r="F493" s="2" t="str">
        <f ca="1">IFERROR(__xludf.DUMMYFUNCTION("iferror(filter('Full Perk List'!F$3:F1498,'Full Perk List'!$D$3:$D1498=$D493),"""")"),"#REF!")</f>
        <v>#REF!</v>
      </c>
      <c r="G493" s="2" t="str">
        <f ca="1">IFERROR(__xludf.DUMMYFUNCTION("iferror(filter('Full Perk List'!G$3:G1498,'Full Perk List'!$D$3:$D1498=$D493),"""")"),"#REF!")</f>
        <v>#REF!</v>
      </c>
      <c r="H493" s="1"/>
      <c r="I493" s="2"/>
      <c r="J493" s="2"/>
      <c r="K493" s="2"/>
      <c r="L493" s="2"/>
      <c r="M493" s="2"/>
      <c r="N493" s="2"/>
      <c r="O493" s="2"/>
      <c r="P493" s="2"/>
      <c r="Q493" s="2"/>
      <c r="R493" s="2"/>
      <c r="S493" s="2"/>
      <c r="T493" s="2"/>
      <c r="U493" s="2"/>
      <c r="V493" s="2"/>
      <c r="W493" s="2"/>
      <c r="X493" s="2"/>
      <c r="Y493" s="2"/>
    </row>
    <row r="494" spans="1:25" ht="17.399999999999999" x14ac:dyDescent="0.25">
      <c r="A494" s="1"/>
      <c r="B494" s="40"/>
      <c r="C494" s="2" t="str">
        <f ca="1">IFERROR(__xludf.DUMMYFUNCTION("iferror(filter('Full Perk List'!C$3:C1498,'Full Perk List'!$D$3:$D1498=$D494),"""")"),"#REF!")</f>
        <v>#REF!</v>
      </c>
      <c r="D494" s="2"/>
      <c r="E494" s="2" t="str">
        <f ca="1">IFERROR(__xludf.DUMMYFUNCTION("iferror(filter('Full Perk List'!E$3:E1498,'Full Perk List'!$D$3:$D1498=$D494),"""")"),"#REF!")</f>
        <v>#REF!</v>
      </c>
      <c r="F494" s="2" t="str">
        <f ca="1">IFERROR(__xludf.DUMMYFUNCTION("iferror(filter('Full Perk List'!F$3:F1498,'Full Perk List'!$D$3:$D1498=$D494),"""")"),"#REF!")</f>
        <v>#REF!</v>
      </c>
      <c r="G494" s="2" t="str">
        <f ca="1">IFERROR(__xludf.DUMMYFUNCTION("iferror(filter('Full Perk List'!G$3:G1498,'Full Perk List'!$D$3:$D1498=$D494),"""")"),"#REF!")</f>
        <v>#REF!</v>
      </c>
      <c r="H494" s="1"/>
      <c r="I494" s="2"/>
      <c r="J494" s="2"/>
      <c r="K494" s="2"/>
      <c r="L494" s="2"/>
      <c r="M494" s="2"/>
      <c r="N494" s="2"/>
      <c r="O494" s="2"/>
      <c r="P494" s="2"/>
      <c r="Q494" s="2"/>
      <c r="R494" s="2"/>
      <c r="S494" s="2"/>
      <c r="T494" s="2"/>
      <c r="U494" s="2"/>
      <c r="V494" s="2"/>
      <c r="W494" s="2"/>
      <c r="X494" s="2"/>
      <c r="Y494" s="2"/>
    </row>
    <row r="495" spans="1:25" ht="17.399999999999999" x14ac:dyDescent="0.25">
      <c r="A495" s="1"/>
      <c r="B495" s="40"/>
      <c r="C495" s="2" t="str">
        <f ca="1">IFERROR(__xludf.DUMMYFUNCTION("iferror(filter('Full Perk List'!C$3:C1498,'Full Perk List'!$D$3:$D1498=$D495),"""")"),"#REF!")</f>
        <v>#REF!</v>
      </c>
      <c r="D495" s="2"/>
      <c r="E495" s="2" t="str">
        <f ca="1">IFERROR(__xludf.DUMMYFUNCTION("iferror(filter('Full Perk List'!E$3:E1498,'Full Perk List'!$D$3:$D1498=$D495),"""")"),"#REF!")</f>
        <v>#REF!</v>
      </c>
      <c r="F495" s="2" t="str">
        <f ca="1">IFERROR(__xludf.DUMMYFUNCTION("iferror(filter('Full Perk List'!F$3:F1498,'Full Perk List'!$D$3:$D1498=$D495),"""")"),"#REF!")</f>
        <v>#REF!</v>
      </c>
      <c r="G495" s="2" t="str">
        <f ca="1">IFERROR(__xludf.DUMMYFUNCTION("iferror(filter('Full Perk List'!G$3:G1498,'Full Perk List'!$D$3:$D1498=$D495),"""")"),"#REF!")</f>
        <v>#REF!</v>
      </c>
      <c r="H495" s="1"/>
      <c r="I495" s="2"/>
      <c r="J495" s="2"/>
      <c r="K495" s="2"/>
      <c r="L495" s="2"/>
      <c r="M495" s="2"/>
      <c r="N495" s="2"/>
      <c r="O495" s="2"/>
      <c r="P495" s="2"/>
      <c r="Q495" s="2"/>
      <c r="R495" s="2"/>
      <c r="S495" s="2"/>
      <c r="T495" s="2"/>
      <c r="U495" s="2"/>
      <c r="V495" s="2"/>
      <c r="W495" s="2"/>
      <c r="X495" s="2"/>
      <c r="Y495" s="2"/>
    </row>
    <row r="496" spans="1:25" ht="17.399999999999999" x14ac:dyDescent="0.25">
      <c r="A496" s="1"/>
      <c r="B496" s="40"/>
      <c r="C496" s="2" t="str">
        <f ca="1">IFERROR(__xludf.DUMMYFUNCTION("iferror(filter('Full Perk List'!C$3:C1498,'Full Perk List'!$D$3:$D1498=$D496),"""")"),"#REF!")</f>
        <v>#REF!</v>
      </c>
      <c r="D496" s="2"/>
      <c r="E496" s="2" t="str">
        <f ca="1">IFERROR(__xludf.DUMMYFUNCTION("iferror(filter('Full Perk List'!E$3:E1498,'Full Perk List'!$D$3:$D1498=$D496),"""")"),"#REF!")</f>
        <v>#REF!</v>
      </c>
      <c r="F496" s="2" t="str">
        <f ca="1">IFERROR(__xludf.DUMMYFUNCTION("iferror(filter('Full Perk List'!F$3:F1498,'Full Perk List'!$D$3:$D1498=$D496),"""")"),"#REF!")</f>
        <v>#REF!</v>
      </c>
      <c r="G496" s="2" t="str">
        <f ca="1">IFERROR(__xludf.DUMMYFUNCTION("iferror(filter('Full Perk List'!G$3:G1498,'Full Perk List'!$D$3:$D1498=$D496),"""")"),"#REF!")</f>
        <v>#REF!</v>
      </c>
      <c r="H496" s="1"/>
      <c r="I496" s="2"/>
      <c r="J496" s="2"/>
      <c r="K496" s="2"/>
      <c r="L496" s="2"/>
      <c r="M496" s="2"/>
      <c r="N496" s="2"/>
      <c r="O496" s="2"/>
      <c r="P496" s="2"/>
      <c r="Q496" s="2"/>
      <c r="R496" s="2"/>
      <c r="S496" s="2"/>
      <c r="T496" s="2"/>
      <c r="U496" s="2"/>
      <c r="V496" s="2"/>
      <c r="W496" s="2"/>
      <c r="X496" s="2"/>
      <c r="Y496" s="2"/>
    </row>
    <row r="497" spans="1:25" ht="17.399999999999999" x14ac:dyDescent="0.25">
      <c r="A497" s="1"/>
      <c r="B497" s="40"/>
      <c r="C497" s="2" t="str">
        <f ca="1">IFERROR(__xludf.DUMMYFUNCTION("iferror(filter('Full Perk List'!C$3:C1498,'Full Perk List'!$D$3:$D1498=$D497),"""")"),"#REF!")</f>
        <v>#REF!</v>
      </c>
      <c r="D497" s="2"/>
      <c r="E497" s="2" t="str">
        <f ca="1">IFERROR(__xludf.DUMMYFUNCTION("iferror(filter('Full Perk List'!E$3:E1498,'Full Perk List'!$D$3:$D1498=$D497),"""")"),"#REF!")</f>
        <v>#REF!</v>
      </c>
      <c r="F497" s="2" t="str">
        <f ca="1">IFERROR(__xludf.DUMMYFUNCTION("iferror(filter('Full Perk List'!F$3:F1498,'Full Perk List'!$D$3:$D1498=$D497),"""")"),"#REF!")</f>
        <v>#REF!</v>
      </c>
      <c r="G497" s="2" t="str">
        <f ca="1">IFERROR(__xludf.DUMMYFUNCTION("iferror(filter('Full Perk List'!G$3:G1498,'Full Perk List'!$D$3:$D1498=$D497),"""")"),"#REF!")</f>
        <v>#REF!</v>
      </c>
      <c r="H497" s="1"/>
      <c r="I497" s="2"/>
      <c r="J497" s="2"/>
      <c r="K497" s="2"/>
      <c r="L497" s="2"/>
      <c r="M497" s="2"/>
      <c r="N497" s="2"/>
      <c r="O497" s="2"/>
      <c r="P497" s="2"/>
      <c r="Q497" s="2"/>
      <c r="R497" s="2"/>
      <c r="S497" s="2"/>
      <c r="T497" s="2"/>
      <c r="U497" s="2"/>
      <c r="V497" s="2"/>
      <c r="W497" s="2"/>
      <c r="X497" s="2"/>
      <c r="Y497" s="2"/>
    </row>
    <row r="498" spans="1:25" ht="17.399999999999999" x14ac:dyDescent="0.25">
      <c r="A498" s="1"/>
      <c r="B498" s="40"/>
      <c r="C498" s="2" t="str">
        <f ca="1">IFERROR(__xludf.DUMMYFUNCTION("iferror(filter('Full Perk List'!C$3:C1498,'Full Perk List'!$D$3:$D1498=$D498),"""")"),"#REF!")</f>
        <v>#REF!</v>
      </c>
      <c r="D498" s="2"/>
      <c r="E498" s="2" t="str">
        <f ca="1">IFERROR(__xludf.DUMMYFUNCTION("iferror(filter('Full Perk List'!E$3:E1498,'Full Perk List'!$D$3:$D1498=$D498),"""")"),"#REF!")</f>
        <v>#REF!</v>
      </c>
      <c r="F498" s="2" t="str">
        <f ca="1">IFERROR(__xludf.DUMMYFUNCTION("iferror(filter('Full Perk List'!F$3:F1498,'Full Perk List'!$D$3:$D1498=$D498),"""")"),"#REF!")</f>
        <v>#REF!</v>
      </c>
      <c r="G498" s="2" t="str">
        <f ca="1">IFERROR(__xludf.DUMMYFUNCTION("iferror(filter('Full Perk List'!G$3:G1498,'Full Perk List'!$D$3:$D1498=$D498),"""")"),"#REF!")</f>
        <v>#REF!</v>
      </c>
      <c r="H498" s="1"/>
      <c r="I498" s="2"/>
      <c r="J498" s="2"/>
      <c r="K498" s="2"/>
      <c r="L498" s="2"/>
      <c r="M498" s="2"/>
      <c r="N498" s="2"/>
      <c r="O498" s="2"/>
      <c r="P498" s="2"/>
      <c r="Q498" s="2"/>
      <c r="R498" s="2"/>
      <c r="S498" s="2"/>
      <c r="T498" s="2"/>
      <c r="U498" s="2"/>
      <c r="V498" s="2"/>
      <c r="W498" s="2"/>
      <c r="X498" s="2"/>
      <c r="Y498" s="2"/>
    </row>
    <row r="499" spans="1:25" ht="17.399999999999999" x14ac:dyDescent="0.25">
      <c r="A499" s="1"/>
      <c r="B499" s="40"/>
      <c r="C499" s="2" t="str">
        <f ca="1">IFERROR(__xludf.DUMMYFUNCTION("iferror(filter('Full Perk List'!C$3:C1498,'Full Perk List'!$D$3:$D1498=$D499),"""")"),"#REF!")</f>
        <v>#REF!</v>
      </c>
      <c r="D499" s="2"/>
      <c r="E499" s="2" t="str">
        <f ca="1">IFERROR(__xludf.DUMMYFUNCTION("iferror(filter('Full Perk List'!E$3:E1498,'Full Perk List'!$D$3:$D1498=$D499),"""")"),"#REF!")</f>
        <v>#REF!</v>
      </c>
      <c r="F499" s="2" t="str">
        <f ca="1">IFERROR(__xludf.DUMMYFUNCTION("iferror(filter('Full Perk List'!F$3:F1498,'Full Perk List'!$D$3:$D1498=$D499),"""")"),"#REF!")</f>
        <v>#REF!</v>
      </c>
      <c r="G499" s="2" t="str">
        <f ca="1">IFERROR(__xludf.DUMMYFUNCTION("iferror(filter('Full Perk List'!G$3:G1498,'Full Perk List'!$D$3:$D1498=$D499),"""")"),"#REF!")</f>
        <v>#REF!</v>
      </c>
      <c r="H499" s="1"/>
      <c r="I499" s="2"/>
      <c r="J499" s="2"/>
      <c r="K499" s="2"/>
      <c r="L499" s="2"/>
      <c r="M499" s="2"/>
      <c r="N499" s="2"/>
      <c r="O499" s="2"/>
      <c r="P499" s="2"/>
      <c r="Q499" s="2"/>
      <c r="R499" s="2"/>
      <c r="S499" s="2"/>
      <c r="T499" s="2"/>
      <c r="U499" s="2"/>
      <c r="V499" s="2"/>
      <c r="W499" s="2"/>
      <c r="X499" s="2"/>
      <c r="Y499" s="2"/>
    </row>
    <row r="500" spans="1:25" ht="17.399999999999999" x14ac:dyDescent="0.25">
      <c r="A500" s="1"/>
      <c r="B500" s="40"/>
      <c r="C500" s="2" t="str">
        <f ca="1">IFERROR(__xludf.DUMMYFUNCTION("iferror(filter('Full Perk List'!C$3:C1498,'Full Perk List'!$D$3:$D1498=$D500),"""")"),"#REF!")</f>
        <v>#REF!</v>
      </c>
      <c r="D500" s="2"/>
      <c r="E500" s="2" t="str">
        <f ca="1">IFERROR(__xludf.DUMMYFUNCTION("iferror(filter('Full Perk List'!E$3:E1498,'Full Perk List'!$D$3:$D1498=$D500),"""")"),"#REF!")</f>
        <v>#REF!</v>
      </c>
      <c r="F500" s="2" t="str">
        <f ca="1">IFERROR(__xludf.DUMMYFUNCTION("iferror(filter('Full Perk List'!F$3:F1498,'Full Perk List'!$D$3:$D1498=$D500),"""")"),"#REF!")</f>
        <v>#REF!</v>
      </c>
      <c r="G500" s="2" t="str">
        <f ca="1">IFERROR(__xludf.DUMMYFUNCTION("iferror(filter('Full Perk List'!G$3:G1498,'Full Perk List'!$D$3:$D1498=$D500),"""")"),"#REF!")</f>
        <v>#REF!</v>
      </c>
      <c r="H500" s="1"/>
      <c r="I500" s="2"/>
      <c r="J500" s="2"/>
      <c r="K500" s="2"/>
      <c r="L500" s="2"/>
      <c r="M500" s="2"/>
      <c r="N500" s="2"/>
      <c r="O500" s="2"/>
      <c r="P500" s="2"/>
      <c r="Q500" s="2"/>
      <c r="R500" s="2"/>
      <c r="S500" s="2"/>
      <c r="T500" s="2"/>
      <c r="U500" s="2"/>
      <c r="V500" s="2"/>
      <c r="W500" s="2"/>
      <c r="X500" s="2"/>
      <c r="Y500" s="2"/>
    </row>
    <row r="501" spans="1:25" ht="17.399999999999999" x14ac:dyDescent="0.25">
      <c r="A501" s="1"/>
      <c r="B501" s="40"/>
      <c r="C501" s="2" t="str">
        <f ca="1">IFERROR(__xludf.DUMMYFUNCTION("iferror(filter('Full Perk List'!C$3:C1498,'Full Perk List'!$D$3:$D1498=$D501),"""")"),"#REF!")</f>
        <v>#REF!</v>
      </c>
      <c r="D501" s="2"/>
      <c r="E501" s="2" t="str">
        <f ca="1">IFERROR(__xludf.DUMMYFUNCTION("iferror(filter('Full Perk List'!E$3:E1498,'Full Perk List'!$D$3:$D1498=$D501),"""")"),"#REF!")</f>
        <v>#REF!</v>
      </c>
      <c r="F501" s="2" t="str">
        <f ca="1">IFERROR(__xludf.DUMMYFUNCTION("iferror(filter('Full Perk List'!F$3:F1498,'Full Perk List'!$D$3:$D1498=$D501),"""")"),"#REF!")</f>
        <v>#REF!</v>
      </c>
      <c r="G501" s="2" t="str">
        <f ca="1">IFERROR(__xludf.DUMMYFUNCTION("iferror(filter('Full Perk List'!G$3:G1498,'Full Perk List'!$D$3:$D1498=$D501),"""")"),"#REF!")</f>
        <v>#REF!</v>
      </c>
      <c r="H501" s="1"/>
      <c r="I501" s="2"/>
      <c r="J501" s="2"/>
      <c r="K501" s="2"/>
      <c r="L501" s="2"/>
      <c r="M501" s="2"/>
      <c r="N501" s="2"/>
      <c r="O501" s="2"/>
      <c r="P501" s="2"/>
      <c r="Q501" s="2"/>
      <c r="R501" s="2"/>
      <c r="S501" s="2"/>
      <c r="T501" s="2"/>
      <c r="U501" s="2"/>
      <c r="V501" s="2"/>
      <c r="W501" s="2"/>
      <c r="X501" s="2"/>
      <c r="Y501" s="2"/>
    </row>
    <row r="502" spans="1:25" ht="17.399999999999999" x14ac:dyDescent="0.25">
      <c r="A502" s="1"/>
      <c r="B502" s="40"/>
      <c r="C502" s="2" t="str">
        <f ca="1">IFERROR(__xludf.DUMMYFUNCTION("iferror(filter('Full Perk List'!C$3:C1498,'Full Perk List'!$D$3:$D1498=$D502),"""")"),"#REF!")</f>
        <v>#REF!</v>
      </c>
      <c r="D502" s="2"/>
      <c r="E502" s="2" t="str">
        <f ca="1">IFERROR(__xludf.DUMMYFUNCTION("iferror(filter('Full Perk List'!E$3:E1498,'Full Perk List'!$D$3:$D1498=$D502),"""")"),"#REF!")</f>
        <v>#REF!</v>
      </c>
      <c r="F502" s="2" t="str">
        <f ca="1">IFERROR(__xludf.DUMMYFUNCTION("iferror(filter('Full Perk List'!F$3:F1498,'Full Perk List'!$D$3:$D1498=$D502),"""")"),"#REF!")</f>
        <v>#REF!</v>
      </c>
      <c r="G502" s="2" t="str">
        <f ca="1">IFERROR(__xludf.DUMMYFUNCTION("iferror(filter('Full Perk List'!G$3:G1498,'Full Perk List'!$D$3:$D1498=$D502),"""")"),"#REF!")</f>
        <v>#REF!</v>
      </c>
      <c r="H502" s="1"/>
      <c r="I502" s="2"/>
      <c r="J502" s="2"/>
      <c r="K502" s="2"/>
      <c r="L502" s="2"/>
      <c r="M502" s="2"/>
      <c r="N502" s="2"/>
      <c r="O502" s="2"/>
      <c r="P502" s="2"/>
      <c r="Q502" s="2"/>
      <c r="R502" s="2"/>
      <c r="S502" s="2"/>
      <c r="T502" s="2"/>
      <c r="U502" s="2"/>
      <c r="V502" s="2"/>
      <c r="W502" s="2"/>
      <c r="X502" s="2"/>
      <c r="Y502" s="2"/>
    </row>
    <row r="503" spans="1:25" ht="17.399999999999999" x14ac:dyDescent="0.25">
      <c r="A503" s="1"/>
      <c r="B503" s="40"/>
      <c r="C503" s="2" t="str">
        <f ca="1">IFERROR(__xludf.DUMMYFUNCTION("iferror(filter('Full Perk List'!C$3:C1498,'Full Perk List'!$D$3:$D1498=$D503),"""")"),"#REF!")</f>
        <v>#REF!</v>
      </c>
      <c r="D503" s="2"/>
      <c r="E503" s="2" t="str">
        <f ca="1">IFERROR(__xludf.DUMMYFUNCTION("iferror(filter('Full Perk List'!E$3:E1498,'Full Perk List'!$D$3:$D1498=$D503),"""")"),"#REF!")</f>
        <v>#REF!</v>
      </c>
      <c r="F503" s="2" t="str">
        <f ca="1">IFERROR(__xludf.DUMMYFUNCTION("iferror(filter('Full Perk List'!F$3:F1498,'Full Perk List'!$D$3:$D1498=$D503),"""")"),"#REF!")</f>
        <v>#REF!</v>
      </c>
      <c r="G503" s="2" t="str">
        <f ca="1">IFERROR(__xludf.DUMMYFUNCTION("iferror(filter('Full Perk List'!G$3:G1498,'Full Perk List'!$D$3:$D1498=$D503),"""")"),"#REF!")</f>
        <v>#REF!</v>
      </c>
      <c r="H503" s="1"/>
      <c r="I503" s="2"/>
      <c r="J503" s="2"/>
      <c r="K503" s="2"/>
      <c r="L503" s="2"/>
      <c r="M503" s="2"/>
      <c r="N503" s="2"/>
      <c r="O503" s="2"/>
      <c r="P503" s="2"/>
      <c r="Q503" s="2"/>
      <c r="R503" s="2"/>
      <c r="S503" s="2"/>
      <c r="T503" s="2"/>
      <c r="U503" s="2"/>
      <c r="V503" s="2"/>
      <c r="W503" s="2"/>
      <c r="X503" s="2"/>
      <c r="Y503" s="2"/>
    </row>
    <row r="504" spans="1:25" ht="17.399999999999999" x14ac:dyDescent="0.25">
      <c r="A504" s="1"/>
      <c r="B504" s="40"/>
      <c r="C504" s="2" t="str">
        <f ca="1">IFERROR(__xludf.DUMMYFUNCTION("iferror(filter('Full Perk List'!C$3:C1498,'Full Perk List'!$D$3:$D1498=$D504),"""")"),"#REF!")</f>
        <v>#REF!</v>
      </c>
      <c r="D504" s="2"/>
      <c r="E504" s="2" t="str">
        <f ca="1">IFERROR(__xludf.DUMMYFUNCTION("iferror(filter('Full Perk List'!E$3:E1498,'Full Perk List'!$D$3:$D1498=$D504),"""")"),"#REF!")</f>
        <v>#REF!</v>
      </c>
      <c r="F504" s="2" t="str">
        <f ca="1">IFERROR(__xludf.DUMMYFUNCTION("iferror(filter('Full Perk List'!F$3:F1498,'Full Perk List'!$D$3:$D1498=$D504),"""")"),"#REF!")</f>
        <v>#REF!</v>
      </c>
      <c r="G504" s="2" t="str">
        <f ca="1">IFERROR(__xludf.DUMMYFUNCTION("iferror(filter('Full Perk List'!G$3:G1498,'Full Perk List'!$D$3:$D1498=$D504),"""")"),"#REF!")</f>
        <v>#REF!</v>
      </c>
      <c r="H504" s="1"/>
      <c r="I504" s="2"/>
      <c r="J504" s="2"/>
      <c r="K504" s="2"/>
      <c r="L504" s="2"/>
      <c r="M504" s="2"/>
      <c r="N504" s="2"/>
      <c r="O504" s="2"/>
      <c r="P504" s="2"/>
      <c r="Q504" s="2"/>
      <c r="R504" s="2"/>
      <c r="S504" s="2"/>
      <c r="T504" s="2"/>
      <c r="U504" s="2"/>
      <c r="V504" s="2"/>
      <c r="W504" s="2"/>
      <c r="X504" s="2"/>
      <c r="Y504" s="2"/>
    </row>
    <row r="505" spans="1:25" ht="17.399999999999999" x14ac:dyDescent="0.25">
      <c r="A505" s="1"/>
      <c r="B505" s="40"/>
      <c r="C505" s="2" t="str">
        <f ca="1">IFERROR(__xludf.DUMMYFUNCTION("iferror(filter('Full Perk List'!C$3:C1498,'Full Perk List'!$D$3:$D1498=$D505),"""")"),"#REF!")</f>
        <v>#REF!</v>
      </c>
      <c r="D505" s="2"/>
      <c r="E505" s="2" t="str">
        <f ca="1">IFERROR(__xludf.DUMMYFUNCTION("iferror(filter('Full Perk List'!E$3:E1498,'Full Perk List'!$D$3:$D1498=$D505),"""")"),"#REF!")</f>
        <v>#REF!</v>
      </c>
      <c r="F505" s="2" t="str">
        <f ca="1">IFERROR(__xludf.DUMMYFUNCTION("iferror(filter('Full Perk List'!F$3:F1498,'Full Perk List'!$D$3:$D1498=$D505),"""")"),"#REF!")</f>
        <v>#REF!</v>
      </c>
      <c r="G505" s="2" t="str">
        <f ca="1">IFERROR(__xludf.DUMMYFUNCTION("iferror(filter('Full Perk List'!G$3:G1498,'Full Perk List'!$D$3:$D1498=$D505),"""")"),"#REF!")</f>
        <v>#REF!</v>
      </c>
      <c r="H505" s="1"/>
      <c r="I505" s="2"/>
      <c r="J505" s="2"/>
      <c r="K505" s="2"/>
      <c r="L505" s="2"/>
      <c r="M505" s="2"/>
      <c r="N505" s="2"/>
      <c r="O505" s="2"/>
      <c r="P505" s="2"/>
      <c r="Q505" s="2"/>
      <c r="R505" s="2"/>
      <c r="S505" s="2"/>
      <c r="T505" s="2"/>
      <c r="U505" s="2"/>
      <c r="V505" s="2"/>
      <c r="W505" s="2"/>
      <c r="X505" s="2"/>
      <c r="Y505" s="2"/>
    </row>
    <row r="506" spans="1:25" ht="17.399999999999999" x14ac:dyDescent="0.25">
      <c r="A506" s="1"/>
      <c r="B506" s="40"/>
      <c r="C506" s="2" t="str">
        <f ca="1">IFERROR(__xludf.DUMMYFUNCTION("iferror(filter('Full Perk List'!C$3:C1498,'Full Perk List'!$D$3:$D1498=$D506),"""")"),"#REF!")</f>
        <v>#REF!</v>
      </c>
      <c r="D506" s="2"/>
      <c r="E506" s="2" t="str">
        <f ca="1">IFERROR(__xludf.DUMMYFUNCTION("iferror(filter('Full Perk List'!E$3:E1498,'Full Perk List'!$D$3:$D1498=$D506),"""")"),"#REF!")</f>
        <v>#REF!</v>
      </c>
      <c r="F506" s="2" t="str">
        <f ca="1">IFERROR(__xludf.DUMMYFUNCTION("iferror(filter('Full Perk List'!F$3:F1498,'Full Perk List'!$D$3:$D1498=$D506),"""")"),"#REF!")</f>
        <v>#REF!</v>
      </c>
      <c r="G506" s="2" t="str">
        <f ca="1">IFERROR(__xludf.DUMMYFUNCTION("iferror(filter('Full Perk List'!G$3:G1498,'Full Perk List'!$D$3:$D1498=$D506),"""")"),"#REF!")</f>
        <v>#REF!</v>
      </c>
      <c r="H506" s="1"/>
      <c r="I506" s="2"/>
      <c r="J506" s="2"/>
      <c r="K506" s="2"/>
      <c r="L506" s="2"/>
      <c r="M506" s="2"/>
      <c r="N506" s="2"/>
      <c r="O506" s="2"/>
      <c r="P506" s="2"/>
      <c r="Q506" s="2"/>
      <c r="R506" s="2"/>
      <c r="S506" s="2"/>
      <c r="T506" s="2"/>
      <c r="U506" s="2"/>
      <c r="V506" s="2"/>
      <c r="W506" s="2"/>
      <c r="X506" s="2"/>
      <c r="Y506" s="2"/>
    </row>
    <row r="507" spans="1:25" ht="17.399999999999999" x14ac:dyDescent="0.25">
      <c r="A507" s="1"/>
      <c r="B507" s="40"/>
      <c r="C507" s="2" t="str">
        <f ca="1">IFERROR(__xludf.DUMMYFUNCTION("iferror(filter('Full Perk List'!C$3:C1498,'Full Perk List'!$D$3:$D1498=$D507),"""")"),"#REF!")</f>
        <v>#REF!</v>
      </c>
      <c r="D507" s="2"/>
      <c r="E507" s="2" t="str">
        <f ca="1">IFERROR(__xludf.DUMMYFUNCTION("iferror(filter('Full Perk List'!E$3:E1498,'Full Perk List'!$D$3:$D1498=$D507),"""")"),"#REF!")</f>
        <v>#REF!</v>
      </c>
      <c r="F507" s="2" t="str">
        <f ca="1">IFERROR(__xludf.DUMMYFUNCTION("iferror(filter('Full Perk List'!F$3:F1498,'Full Perk List'!$D$3:$D1498=$D507),"""")"),"#REF!")</f>
        <v>#REF!</v>
      </c>
      <c r="G507" s="2" t="str">
        <f ca="1">IFERROR(__xludf.DUMMYFUNCTION("iferror(filter('Full Perk List'!G$3:G1498,'Full Perk List'!$D$3:$D1498=$D507),"""")"),"#REF!")</f>
        <v>#REF!</v>
      </c>
      <c r="H507" s="1"/>
      <c r="I507" s="2"/>
      <c r="J507" s="2"/>
      <c r="K507" s="2"/>
      <c r="L507" s="2"/>
      <c r="M507" s="2"/>
      <c r="N507" s="2"/>
      <c r="O507" s="2"/>
      <c r="P507" s="2"/>
      <c r="Q507" s="2"/>
      <c r="R507" s="2"/>
      <c r="S507" s="2"/>
      <c r="T507" s="2"/>
      <c r="U507" s="2"/>
      <c r="V507" s="2"/>
      <c r="W507" s="2"/>
      <c r="X507" s="2"/>
      <c r="Y507" s="2"/>
    </row>
    <row r="508" spans="1:25" ht="17.399999999999999" x14ac:dyDescent="0.25">
      <c r="A508" s="1"/>
      <c r="B508" s="40"/>
      <c r="C508" s="2" t="str">
        <f ca="1">IFERROR(__xludf.DUMMYFUNCTION("iferror(filter('Full Perk List'!C$3:C1498,'Full Perk List'!$D$3:$D1498=$D508),"""")"),"#REF!")</f>
        <v>#REF!</v>
      </c>
      <c r="D508" s="2"/>
      <c r="E508" s="2" t="str">
        <f ca="1">IFERROR(__xludf.DUMMYFUNCTION("iferror(filter('Full Perk List'!E$3:E1498,'Full Perk List'!$D$3:$D1498=$D508),"""")"),"#REF!")</f>
        <v>#REF!</v>
      </c>
      <c r="F508" s="2" t="str">
        <f ca="1">IFERROR(__xludf.DUMMYFUNCTION("iferror(filter('Full Perk List'!F$3:F1498,'Full Perk List'!$D$3:$D1498=$D508),"""")"),"#REF!")</f>
        <v>#REF!</v>
      </c>
      <c r="G508" s="2" t="str">
        <f ca="1">IFERROR(__xludf.DUMMYFUNCTION("iferror(filter('Full Perk List'!G$3:G1498,'Full Perk List'!$D$3:$D1498=$D508),"""")"),"#REF!")</f>
        <v>#REF!</v>
      </c>
      <c r="H508" s="1"/>
      <c r="I508" s="2"/>
      <c r="J508" s="2"/>
      <c r="K508" s="2"/>
      <c r="L508" s="2"/>
      <c r="M508" s="2"/>
      <c r="N508" s="2"/>
      <c r="O508" s="2"/>
      <c r="P508" s="2"/>
      <c r="Q508" s="2"/>
      <c r="R508" s="2"/>
      <c r="S508" s="2"/>
      <c r="T508" s="2"/>
      <c r="U508" s="2"/>
      <c r="V508" s="2"/>
      <c r="W508" s="2"/>
      <c r="X508" s="2"/>
      <c r="Y508" s="2"/>
    </row>
    <row r="509" spans="1:25" ht="17.399999999999999" x14ac:dyDescent="0.25">
      <c r="A509" s="1"/>
      <c r="B509" s="40"/>
      <c r="C509" s="2" t="str">
        <f ca="1">IFERROR(__xludf.DUMMYFUNCTION("iferror(filter('Full Perk List'!C$3:C1498,'Full Perk List'!$D$3:$D1498=$D509),"""")"),"#REF!")</f>
        <v>#REF!</v>
      </c>
      <c r="D509" s="2"/>
      <c r="E509" s="2" t="str">
        <f ca="1">IFERROR(__xludf.DUMMYFUNCTION("iferror(filter('Full Perk List'!E$3:E1498,'Full Perk List'!$D$3:$D1498=$D509),"""")"),"#REF!")</f>
        <v>#REF!</v>
      </c>
      <c r="F509" s="2" t="str">
        <f ca="1">IFERROR(__xludf.DUMMYFUNCTION("iferror(filter('Full Perk List'!F$3:F1498,'Full Perk List'!$D$3:$D1498=$D509),"""")"),"#REF!")</f>
        <v>#REF!</v>
      </c>
      <c r="G509" s="2" t="str">
        <f ca="1">IFERROR(__xludf.DUMMYFUNCTION("iferror(filter('Full Perk List'!G$3:G1498,'Full Perk List'!$D$3:$D1498=$D509),"""")"),"#REF!")</f>
        <v>#REF!</v>
      </c>
      <c r="H509" s="1"/>
      <c r="I509" s="2"/>
      <c r="J509" s="2"/>
      <c r="K509" s="2"/>
      <c r="L509" s="2"/>
      <c r="M509" s="2"/>
      <c r="N509" s="2"/>
      <c r="O509" s="2"/>
      <c r="P509" s="2"/>
      <c r="Q509" s="2"/>
      <c r="R509" s="2"/>
      <c r="S509" s="2"/>
      <c r="T509" s="2"/>
      <c r="U509" s="2"/>
      <c r="V509" s="2"/>
      <c r="W509" s="2"/>
      <c r="X509" s="2"/>
      <c r="Y509" s="2"/>
    </row>
    <row r="510" spans="1:25" ht="17.399999999999999" x14ac:dyDescent="0.25">
      <c r="A510" s="1"/>
      <c r="B510" s="40"/>
      <c r="C510" s="2" t="str">
        <f ca="1">IFERROR(__xludf.DUMMYFUNCTION("iferror(filter('Full Perk List'!C$3:C1498,'Full Perk List'!$D$3:$D1498=$D510),"""")"),"#REF!")</f>
        <v>#REF!</v>
      </c>
      <c r="D510" s="2"/>
      <c r="E510" s="2" t="str">
        <f ca="1">IFERROR(__xludf.DUMMYFUNCTION("iferror(filter('Full Perk List'!E$3:E1498,'Full Perk List'!$D$3:$D1498=$D510),"""")"),"#REF!")</f>
        <v>#REF!</v>
      </c>
      <c r="F510" s="2" t="str">
        <f ca="1">IFERROR(__xludf.DUMMYFUNCTION("iferror(filter('Full Perk List'!F$3:F1498,'Full Perk List'!$D$3:$D1498=$D510),"""")"),"#REF!")</f>
        <v>#REF!</v>
      </c>
      <c r="G510" s="2" t="str">
        <f ca="1">IFERROR(__xludf.DUMMYFUNCTION("iferror(filter('Full Perk List'!G$3:G1498,'Full Perk List'!$D$3:$D1498=$D510),"""")"),"#REF!")</f>
        <v>#REF!</v>
      </c>
      <c r="H510" s="1"/>
      <c r="I510" s="2"/>
      <c r="J510" s="2"/>
      <c r="K510" s="2"/>
      <c r="L510" s="2"/>
      <c r="M510" s="2"/>
      <c r="N510" s="2"/>
      <c r="O510" s="2"/>
      <c r="P510" s="2"/>
      <c r="Q510" s="2"/>
      <c r="R510" s="2"/>
      <c r="S510" s="2"/>
      <c r="T510" s="2"/>
      <c r="U510" s="2"/>
      <c r="V510" s="2"/>
      <c r="W510" s="2"/>
      <c r="X510" s="2"/>
      <c r="Y510" s="2"/>
    </row>
    <row r="511" spans="1:25" ht="17.399999999999999" x14ac:dyDescent="0.25">
      <c r="A511" s="1"/>
      <c r="B511" s="40"/>
      <c r="C511" s="2" t="str">
        <f ca="1">IFERROR(__xludf.DUMMYFUNCTION("iferror(filter('Full Perk List'!C$3:C1498,'Full Perk List'!$D$3:$D1498=$D511),"""")"),"#REF!")</f>
        <v>#REF!</v>
      </c>
      <c r="D511" s="2"/>
      <c r="E511" s="2" t="str">
        <f ca="1">IFERROR(__xludf.DUMMYFUNCTION("iferror(filter('Full Perk List'!E$3:E1498,'Full Perk List'!$D$3:$D1498=$D511),"""")"),"#REF!")</f>
        <v>#REF!</v>
      </c>
      <c r="F511" s="2" t="str">
        <f ca="1">IFERROR(__xludf.DUMMYFUNCTION("iferror(filter('Full Perk List'!F$3:F1498,'Full Perk List'!$D$3:$D1498=$D511),"""")"),"#REF!")</f>
        <v>#REF!</v>
      </c>
      <c r="G511" s="2" t="str">
        <f ca="1">IFERROR(__xludf.DUMMYFUNCTION("iferror(filter('Full Perk List'!G$3:G1498,'Full Perk List'!$D$3:$D1498=$D511),"""")"),"#REF!")</f>
        <v>#REF!</v>
      </c>
      <c r="H511" s="1"/>
      <c r="I511" s="2"/>
      <c r="J511" s="2"/>
      <c r="K511" s="2"/>
      <c r="L511" s="2"/>
      <c r="M511" s="2"/>
      <c r="N511" s="2"/>
      <c r="O511" s="2"/>
      <c r="P511" s="2"/>
      <c r="Q511" s="2"/>
      <c r="R511" s="2"/>
      <c r="S511" s="2"/>
      <c r="T511" s="2"/>
      <c r="U511" s="2"/>
      <c r="V511" s="2"/>
      <c r="W511" s="2"/>
      <c r="X511" s="2"/>
      <c r="Y511" s="2"/>
    </row>
    <row r="512" spans="1:25" ht="17.399999999999999" x14ac:dyDescent="0.25">
      <c r="A512" s="1"/>
      <c r="B512" s="40"/>
      <c r="C512" s="2" t="str">
        <f ca="1">IFERROR(__xludf.DUMMYFUNCTION("iferror(filter('Full Perk List'!C$3:C1498,'Full Perk List'!$D$3:$D1498=$D512),"""")"),"#REF!")</f>
        <v>#REF!</v>
      </c>
      <c r="D512" s="2"/>
      <c r="E512" s="2" t="str">
        <f ca="1">IFERROR(__xludf.DUMMYFUNCTION("iferror(filter('Full Perk List'!E$3:E1498,'Full Perk List'!$D$3:$D1498=$D512),"""")"),"#REF!")</f>
        <v>#REF!</v>
      </c>
      <c r="F512" s="2" t="str">
        <f ca="1">IFERROR(__xludf.DUMMYFUNCTION("iferror(filter('Full Perk List'!F$3:F1498,'Full Perk List'!$D$3:$D1498=$D512),"""")"),"#REF!")</f>
        <v>#REF!</v>
      </c>
      <c r="G512" s="2" t="str">
        <f ca="1">IFERROR(__xludf.DUMMYFUNCTION("iferror(filter('Full Perk List'!G$3:G1498,'Full Perk List'!$D$3:$D1498=$D512),"""")"),"#REF!")</f>
        <v>#REF!</v>
      </c>
      <c r="H512" s="1"/>
      <c r="I512" s="2"/>
      <c r="J512" s="2"/>
      <c r="K512" s="2"/>
      <c r="L512" s="2"/>
      <c r="M512" s="2"/>
      <c r="N512" s="2"/>
      <c r="O512" s="2"/>
      <c r="P512" s="2"/>
      <c r="Q512" s="2"/>
      <c r="R512" s="2"/>
      <c r="S512" s="2"/>
      <c r="T512" s="2"/>
      <c r="U512" s="2"/>
      <c r="V512" s="2"/>
      <c r="W512" s="2"/>
      <c r="X512" s="2"/>
      <c r="Y512" s="2"/>
    </row>
    <row r="513" spans="1:25" ht="17.399999999999999" x14ac:dyDescent="0.25">
      <c r="A513" s="1"/>
      <c r="B513" s="40"/>
      <c r="C513" s="2" t="str">
        <f ca="1">IFERROR(__xludf.DUMMYFUNCTION("iferror(filter('Full Perk List'!C$3:C1498,'Full Perk List'!$D$3:$D1498=$D513),"""")"),"#REF!")</f>
        <v>#REF!</v>
      </c>
      <c r="D513" s="2"/>
      <c r="E513" s="2" t="str">
        <f ca="1">IFERROR(__xludf.DUMMYFUNCTION("iferror(filter('Full Perk List'!E$3:E1498,'Full Perk List'!$D$3:$D1498=$D513),"""")"),"#REF!")</f>
        <v>#REF!</v>
      </c>
      <c r="F513" s="2" t="str">
        <f ca="1">IFERROR(__xludf.DUMMYFUNCTION("iferror(filter('Full Perk List'!F$3:F1498,'Full Perk List'!$D$3:$D1498=$D513),"""")"),"#REF!")</f>
        <v>#REF!</v>
      </c>
      <c r="G513" s="2" t="str">
        <f ca="1">IFERROR(__xludf.DUMMYFUNCTION("iferror(filter('Full Perk List'!G$3:G1498,'Full Perk List'!$D$3:$D1498=$D513),"""")"),"#REF!")</f>
        <v>#REF!</v>
      </c>
      <c r="H513" s="1"/>
      <c r="I513" s="2"/>
      <c r="J513" s="2"/>
      <c r="K513" s="2"/>
      <c r="L513" s="2"/>
      <c r="M513" s="2"/>
      <c r="N513" s="2"/>
      <c r="O513" s="2"/>
      <c r="P513" s="2"/>
      <c r="Q513" s="2"/>
      <c r="R513" s="2"/>
      <c r="S513" s="2"/>
      <c r="T513" s="2"/>
      <c r="U513" s="2"/>
      <c r="V513" s="2"/>
      <c r="W513" s="2"/>
      <c r="X513" s="2"/>
      <c r="Y513" s="2"/>
    </row>
    <row r="514" spans="1:25" ht="17.399999999999999" x14ac:dyDescent="0.25">
      <c r="A514" s="1"/>
      <c r="B514" s="40"/>
      <c r="C514" s="2" t="str">
        <f ca="1">IFERROR(__xludf.DUMMYFUNCTION("iferror(filter('Full Perk List'!C$3:C1498,'Full Perk List'!$D$3:$D1498=$D514),"""")"),"#REF!")</f>
        <v>#REF!</v>
      </c>
      <c r="D514" s="2"/>
      <c r="E514" s="2" t="str">
        <f ca="1">IFERROR(__xludf.DUMMYFUNCTION("iferror(filter('Full Perk List'!E$3:E1498,'Full Perk List'!$D$3:$D1498=$D514),"""")"),"#REF!")</f>
        <v>#REF!</v>
      </c>
      <c r="F514" s="2" t="str">
        <f ca="1">IFERROR(__xludf.DUMMYFUNCTION("iferror(filter('Full Perk List'!F$3:F1498,'Full Perk List'!$D$3:$D1498=$D514),"""")"),"#REF!")</f>
        <v>#REF!</v>
      </c>
      <c r="G514" s="2" t="str">
        <f ca="1">IFERROR(__xludf.DUMMYFUNCTION("iferror(filter('Full Perk List'!G$3:G1498,'Full Perk List'!$D$3:$D1498=$D514),"""")"),"#REF!")</f>
        <v>#REF!</v>
      </c>
      <c r="H514" s="1"/>
      <c r="I514" s="2"/>
      <c r="J514" s="2"/>
      <c r="K514" s="2"/>
      <c r="L514" s="2"/>
      <c r="M514" s="2"/>
      <c r="N514" s="2"/>
      <c r="O514" s="2"/>
      <c r="P514" s="2"/>
      <c r="Q514" s="2"/>
      <c r="R514" s="2"/>
      <c r="S514" s="2"/>
      <c r="T514" s="2"/>
      <c r="U514" s="2"/>
      <c r="V514" s="2"/>
      <c r="W514" s="2"/>
      <c r="X514" s="2"/>
      <c r="Y514" s="2"/>
    </row>
    <row r="515" spans="1:25" ht="17.399999999999999" x14ac:dyDescent="0.25">
      <c r="A515" s="1"/>
      <c r="B515" s="40"/>
      <c r="C515" s="2" t="str">
        <f ca="1">IFERROR(__xludf.DUMMYFUNCTION("iferror(filter('Full Perk List'!C$3:C1498,'Full Perk List'!$D$3:$D1498=$D515),"""")"),"#REF!")</f>
        <v>#REF!</v>
      </c>
      <c r="D515" s="2"/>
      <c r="E515" s="2" t="str">
        <f ca="1">IFERROR(__xludf.DUMMYFUNCTION("iferror(filter('Full Perk List'!E$3:E1498,'Full Perk List'!$D$3:$D1498=$D515),"""")"),"#REF!")</f>
        <v>#REF!</v>
      </c>
      <c r="F515" s="2" t="str">
        <f ca="1">IFERROR(__xludf.DUMMYFUNCTION("iferror(filter('Full Perk List'!F$3:F1498,'Full Perk List'!$D$3:$D1498=$D515),"""")"),"#REF!")</f>
        <v>#REF!</v>
      </c>
      <c r="G515" s="2" t="str">
        <f ca="1">IFERROR(__xludf.DUMMYFUNCTION("iferror(filter('Full Perk List'!G$3:G1498,'Full Perk List'!$D$3:$D1498=$D515),"""")"),"#REF!")</f>
        <v>#REF!</v>
      </c>
      <c r="H515" s="1"/>
      <c r="I515" s="2"/>
      <c r="J515" s="2"/>
      <c r="K515" s="2"/>
      <c r="L515" s="2"/>
      <c r="M515" s="2"/>
      <c r="N515" s="2"/>
      <c r="O515" s="2"/>
      <c r="P515" s="2"/>
      <c r="Q515" s="2"/>
      <c r="R515" s="2"/>
      <c r="S515" s="2"/>
      <c r="T515" s="2"/>
      <c r="U515" s="2"/>
      <c r="V515" s="2"/>
      <c r="W515" s="2"/>
      <c r="X515" s="2"/>
      <c r="Y515" s="2"/>
    </row>
    <row r="516" spans="1:25" ht="17.399999999999999" x14ac:dyDescent="0.25">
      <c r="A516" s="1"/>
      <c r="B516" s="40"/>
      <c r="C516" s="2" t="str">
        <f ca="1">IFERROR(__xludf.DUMMYFUNCTION("iferror(filter('Full Perk List'!C$3:C1498,'Full Perk List'!$D$3:$D1498=$D516),"""")"),"#REF!")</f>
        <v>#REF!</v>
      </c>
      <c r="D516" s="2"/>
      <c r="E516" s="2" t="str">
        <f ca="1">IFERROR(__xludf.DUMMYFUNCTION("iferror(filter('Full Perk List'!E$3:E1498,'Full Perk List'!$D$3:$D1498=$D516),"""")"),"#REF!")</f>
        <v>#REF!</v>
      </c>
      <c r="F516" s="2" t="str">
        <f ca="1">IFERROR(__xludf.DUMMYFUNCTION("iferror(filter('Full Perk List'!F$3:F1498,'Full Perk List'!$D$3:$D1498=$D516),"""")"),"#REF!")</f>
        <v>#REF!</v>
      </c>
      <c r="G516" s="2" t="str">
        <f ca="1">IFERROR(__xludf.DUMMYFUNCTION("iferror(filter('Full Perk List'!G$3:G1498,'Full Perk List'!$D$3:$D1498=$D516),"""")"),"#REF!")</f>
        <v>#REF!</v>
      </c>
      <c r="H516" s="1"/>
      <c r="I516" s="2"/>
      <c r="J516" s="2"/>
      <c r="K516" s="2"/>
      <c r="L516" s="2"/>
      <c r="M516" s="2"/>
      <c r="N516" s="2"/>
      <c r="O516" s="2"/>
      <c r="P516" s="2"/>
      <c r="Q516" s="2"/>
      <c r="R516" s="2"/>
      <c r="S516" s="2"/>
      <c r="T516" s="2"/>
      <c r="U516" s="2"/>
      <c r="V516" s="2"/>
      <c r="W516" s="2"/>
      <c r="X516" s="2"/>
      <c r="Y516" s="2"/>
    </row>
    <row r="517" spans="1:25" ht="17.399999999999999" x14ac:dyDescent="0.25">
      <c r="A517" s="1"/>
      <c r="B517" s="40"/>
      <c r="C517" s="2" t="str">
        <f ca="1">IFERROR(__xludf.DUMMYFUNCTION("iferror(filter('Full Perk List'!C$3:C1498,'Full Perk List'!$D$3:$D1498=$D517),"""")"),"#REF!")</f>
        <v>#REF!</v>
      </c>
      <c r="D517" s="2"/>
      <c r="E517" s="2" t="str">
        <f ca="1">IFERROR(__xludf.DUMMYFUNCTION("iferror(filter('Full Perk List'!E$3:E1498,'Full Perk List'!$D$3:$D1498=$D517),"""")"),"#REF!")</f>
        <v>#REF!</v>
      </c>
      <c r="F517" s="2" t="str">
        <f ca="1">IFERROR(__xludf.DUMMYFUNCTION("iferror(filter('Full Perk List'!F$3:F1498,'Full Perk List'!$D$3:$D1498=$D517),"""")"),"#REF!")</f>
        <v>#REF!</v>
      </c>
      <c r="G517" s="2" t="str">
        <f ca="1">IFERROR(__xludf.DUMMYFUNCTION("iferror(filter('Full Perk List'!G$3:G1498,'Full Perk List'!$D$3:$D1498=$D517),"""")"),"#REF!")</f>
        <v>#REF!</v>
      </c>
      <c r="H517" s="1"/>
      <c r="I517" s="2"/>
      <c r="J517" s="2"/>
      <c r="K517" s="2"/>
      <c r="L517" s="2"/>
      <c r="M517" s="2"/>
      <c r="N517" s="2"/>
      <c r="O517" s="2"/>
      <c r="P517" s="2"/>
      <c r="Q517" s="2"/>
      <c r="R517" s="2"/>
      <c r="S517" s="2"/>
      <c r="T517" s="2"/>
      <c r="U517" s="2"/>
      <c r="V517" s="2"/>
      <c r="W517" s="2"/>
      <c r="X517" s="2"/>
      <c r="Y517" s="2"/>
    </row>
    <row r="518" spans="1:25" ht="17.399999999999999" x14ac:dyDescent="0.25">
      <c r="A518" s="1"/>
      <c r="B518" s="40"/>
      <c r="C518" s="2" t="str">
        <f ca="1">IFERROR(__xludf.DUMMYFUNCTION("iferror(filter('Full Perk List'!C$3:C1498,'Full Perk List'!$D$3:$D1498=$D518),"""")"),"#REF!")</f>
        <v>#REF!</v>
      </c>
      <c r="D518" s="2"/>
      <c r="E518" s="2" t="str">
        <f ca="1">IFERROR(__xludf.DUMMYFUNCTION("iferror(filter('Full Perk List'!E$3:E1498,'Full Perk List'!$D$3:$D1498=$D518),"""")"),"#REF!")</f>
        <v>#REF!</v>
      </c>
      <c r="F518" s="2" t="str">
        <f ca="1">IFERROR(__xludf.DUMMYFUNCTION("iferror(filter('Full Perk List'!F$3:F1498,'Full Perk List'!$D$3:$D1498=$D518),"""")"),"#REF!")</f>
        <v>#REF!</v>
      </c>
      <c r="G518" s="2" t="str">
        <f ca="1">IFERROR(__xludf.DUMMYFUNCTION("iferror(filter('Full Perk List'!G$3:G1498,'Full Perk List'!$D$3:$D1498=$D518),"""")"),"#REF!")</f>
        <v>#REF!</v>
      </c>
      <c r="H518" s="1"/>
      <c r="I518" s="2"/>
      <c r="J518" s="2"/>
      <c r="K518" s="2"/>
      <c r="L518" s="2"/>
      <c r="M518" s="2"/>
      <c r="N518" s="2"/>
      <c r="O518" s="2"/>
      <c r="P518" s="2"/>
      <c r="Q518" s="2"/>
      <c r="R518" s="2"/>
      <c r="S518" s="2"/>
      <c r="T518" s="2"/>
      <c r="U518" s="2"/>
      <c r="V518" s="2"/>
      <c r="W518" s="2"/>
      <c r="X518" s="2"/>
      <c r="Y518" s="2"/>
    </row>
    <row r="519" spans="1:25" ht="17.399999999999999" x14ac:dyDescent="0.25">
      <c r="A519" s="1"/>
      <c r="B519" s="40"/>
      <c r="C519" s="2" t="str">
        <f ca="1">IFERROR(__xludf.DUMMYFUNCTION("iferror(filter('Full Perk List'!C$3:C1498,'Full Perk List'!$D$3:$D1498=$D519),"""")"),"#REF!")</f>
        <v>#REF!</v>
      </c>
      <c r="D519" s="2"/>
      <c r="E519" s="2" t="str">
        <f ca="1">IFERROR(__xludf.DUMMYFUNCTION("iferror(filter('Full Perk List'!E$3:E1498,'Full Perk List'!$D$3:$D1498=$D519),"""")"),"#REF!")</f>
        <v>#REF!</v>
      </c>
      <c r="F519" s="2" t="str">
        <f ca="1">IFERROR(__xludf.DUMMYFUNCTION("iferror(filter('Full Perk List'!F$3:F1498,'Full Perk List'!$D$3:$D1498=$D519),"""")"),"#REF!")</f>
        <v>#REF!</v>
      </c>
      <c r="G519" s="2" t="str">
        <f ca="1">IFERROR(__xludf.DUMMYFUNCTION("iferror(filter('Full Perk List'!G$3:G1498,'Full Perk List'!$D$3:$D1498=$D519),"""")"),"#REF!")</f>
        <v>#REF!</v>
      </c>
      <c r="H519" s="1"/>
      <c r="I519" s="2"/>
      <c r="J519" s="2"/>
      <c r="K519" s="2"/>
      <c r="L519" s="2"/>
      <c r="M519" s="2"/>
      <c r="N519" s="2"/>
      <c r="O519" s="2"/>
      <c r="P519" s="2"/>
      <c r="Q519" s="2"/>
      <c r="R519" s="2"/>
      <c r="S519" s="2"/>
      <c r="T519" s="2"/>
      <c r="U519" s="2"/>
      <c r="V519" s="2"/>
      <c r="W519" s="2"/>
      <c r="X519" s="2"/>
      <c r="Y519" s="2"/>
    </row>
    <row r="520" spans="1:25" ht="17.399999999999999" x14ac:dyDescent="0.25">
      <c r="A520" s="1"/>
      <c r="B520" s="40"/>
      <c r="C520" s="2" t="str">
        <f ca="1">IFERROR(__xludf.DUMMYFUNCTION("iferror(filter('Full Perk List'!C$3:C1498,'Full Perk List'!$D$3:$D1498=$D520),"""")"),"#REF!")</f>
        <v>#REF!</v>
      </c>
      <c r="D520" s="2"/>
      <c r="E520" s="2" t="str">
        <f ca="1">IFERROR(__xludf.DUMMYFUNCTION("iferror(filter('Full Perk List'!E$3:E1498,'Full Perk List'!$D$3:$D1498=$D520),"""")"),"#REF!")</f>
        <v>#REF!</v>
      </c>
      <c r="F520" s="2" t="str">
        <f ca="1">IFERROR(__xludf.DUMMYFUNCTION("iferror(filter('Full Perk List'!F$3:F1498,'Full Perk List'!$D$3:$D1498=$D520),"""")"),"#REF!")</f>
        <v>#REF!</v>
      </c>
      <c r="G520" s="2" t="str">
        <f ca="1">IFERROR(__xludf.DUMMYFUNCTION("iferror(filter('Full Perk List'!G$3:G1498,'Full Perk List'!$D$3:$D1498=$D520),"""")"),"#REF!")</f>
        <v>#REF!</v>
      </c>
      <c r="H520" s="1"/>
      <c r="I520" s="2"/>
      <c r="J520" s="2"/>
      <c r="K520" s="2"/>
      <c r="L520" s="2"/>
      <c r="M520" s="2"/>
      <c r="N520" s="2"/>
      <c r="O520" s="2"/>
      <c r="P520" s="2"/>
      <c r="Q520" s="2"/>
      <c r="R520" s="2"/>
      <c r="S520" s="2"/>
      <c r="T520" s="2"/>
      <c r="U520" s="2"/>
      <c r="V520" s="2"/>
      <c r="W520" s="2"/>
      <c r="X520" s="2"/>
      <c r="Y520" s="2"/>
    </row>
    <row r="521" spans="1:25" ht="17.399999999999999" x14ac:dyDescent="0.25">
      <c r="A521" s="1"/>
      <c r="B521" s="40"/>
      <c r="C521" s="2" t="str">
        <f ca="1">IFERROR(__xludf.DUMMYFUNCTION("iferror(filter('Full Perk List'!C$3:C1498,'Full Perk List'!$D$3:$D1498=$D521),"""")"),"#REF!")</f>
        <v>#REF!</v>
      </c>
      <c r="D521" s="2"/>
      <c r="E521" s="2" t="str">
        <f ca="1">IFERROR(__xludf.DUMMYFUNCTION("iferror(filter('Full Perk List'!E$3:E1498,'Full Perk List'!$D$3:$D1498=$D521),"""")"),"#REF!")</f>
        <v>#REF!</v>
      </c>
      <c r="F521" s="2" t="str">
        <f ca="1">IFERROR(__xludf.DUMMYFUNCTION("iferror(filter('Full Perk List'!F$3:F1498,'Full Perk List'!$D$3:$D1498=$D521),"""")"),"#REF!")</f>
        <v>#REF!</v>
      </c>
      <c r="G521" s="2" t="str">
        <f ca="1">IFERROR(__xludf.DUMMYFUNCTION("iferror(filter('Full Perk List'!G$3:G1498,'Full Perk List'!$D$3:$D1498=$D521),"""")"),"#REF!")</f>
        <v>#REF!</v>
      </c>
      <c r="H521" s="1"/>
      <c r="I521" s="2"/>
      <c r="J521" s="2"/>
      <c r="K521" s="2"/>
      <c r="L521" s="2"/>
      <c r="M521" s="2"/>
      <c r="N521" s="2"/>
      <c r="O521" s="2"/>
      <c r="P521" s="2"/>
      <c r="Q521" s="2"/>
      <c r="R521" s="2"/>
      <c r="S521" s="2"/>
      <c r="T521" s="2"/>
      <c r="U521" s="2"/>
      <c r="V521" s="2"/>
      <c r="W521" s="2"/>
      <c r="X521" s="2"/>
      <c r="Y521" s="2"/>
    </row>
    <row r="522" spans="1:25" ht="17.399999999999999" x14ac:dyDescent="0.25">
      <c r="A522" s="1"/>
      <c r="B522" s="40"/>
      <c r="C522" s="2" t="str">
        <f ca="1">IFERROR(__xludf.DUMMYFUNCTION("iferror(filter('Full Perk List'!C$3:C1498,'Full Perk List'!$D$3:$D1498=$D522),"""")"),"#REF!")</f>
        <v>#REF!</v>
      </c>
      <c r="D522" s="2"/>
      <c r="E522" s="2" t="str">
        <f ca="1">IFERROR(__xludf.DUMMYFUNCTION("iferror(filter('Full Perk List'!E$3:E1498,'Full Perk List'!$D$3:$D1498=$D522),"""")"),"#REF!")</f>
        <v>#REF!</v>
      </c>
      <c r="F522" s="2" t="str">
        <f ca="1">IFERROR(__xludf.DUMMYFUNCTION("iferror(filter('Full Perk List'!F$3:F1498,'Full Perk List'!$D$3:$D1498=$D522),"""")"),"#REF!")</f>
        <v>#REF!</v>
      </c>
      <c r="G522" s="2" t="str">
        <f ca="1">IFERROR(__xludf.DUMMYFUNCTION("iferror(filter('Full Perk List'!G$3:G1498,'Full Perk List'!$D$3:$D1498=$D522),"""")"),"#REF!")</f>
        <v>#REF!</v>
      </c>
      <c r="H522" s="1"/>
      <c r="I522" s="2"/>
      <c r="J522" s="2"/>
      <c r="K522" s="2"/>
      <c r="L522" s="2"/>
      <c r="M522" s="2"/>
      <c r="N522" s="2"/>
      <c r="O522" s="2"/>
      <c r="P522" s="2"/>
      <c r="Q522" s="2"/>
      <c r="R522" s="2"/>
      <c r="S522" s="2"/>
      <c r="T522" s="2"/>
      <c r="U522" s="2"/>
      <c r="V522" s="2"/>
      <c r="W522" s="2"/>
      <c r="X522" s="2"/>
      <c r="Y522" s="2"/>
    </row>
    <row r="523" spans="1:25" ht="17.399999999999999" x14ac:dyDescent="0.25">
      <c r="A523" s="1"/>
      <c r="B523" s="40"/>
      <c r="C523" s="2" t="str">
        <f ca="1">IFERROR(__xludf.DUMMYFUNCTION("iferror(filter('Full Perk List'!C$3:C1498,'Full Perk List'!$D$3:$D1498=$D523),"""")"),"#REF!")</f>
        <v>#REF!</v>
      </c>
      <c r="D523" s="2"/>
      <c r="E523" s="2" t="str">
        <f ca="1">IFERROR(__xludf.DUMMYFUNCTION("iferror(filter('Full Perk List'!E$3:E1498,'Full Perk List'!$D$3:$D1498=$D523),"""")"),"#REF!")</f>
        <v>#REF!</v>
      </c>
      <c r="F523" s="2" t="str">
        <f ca="1">IFERROR(__xludf.DUMMYFUNCTION("iferror(filter('Full Perk List'!F$3:F1498,'Full Perk List'!$D$3:$D1498=$D523),"""")"),"#REF!")</f>
        <v>#REF!</v>
      </c>
      <c r="G523" s="2" t="str">
        <f ca="1">IFERROR(__xludf.DUMMYFUNCTION("iferror(filter('Full Perk List'!G$3:G1498,'Full Perk List'!$D$3:$D1498=$D523),"""")"),"#REF!")</f>
        <v>#REF!</v>
      </c>
      <c r="H523" s="1"/>
      <c r="I523" s="2"/>
      <c r="J523" s="2"/>
      <c r="K523" s="2"/>
      <c r="L523" s="2"/>
      <c r="M523" s="2"/>
      <c r="N523" s="2"/>
      <c r="O523" s="2"/>
      <c r="P523" s="2"/>
      <c r="Q523" s="2"/>
      <c r="R523" s="2"/>
      <c r="S523" s="2"/>
      <c r="T523" s="2"/>
      <c r="U523" s="2"/>
      <c r="V523" s="2"/>
      <c r="W523" s="2"/>
      <c r="X523" s="2"/>
      <c r="Y523" s="2"/>
    </row>
    <row r="524" spans="1:25" ht="17.399999999999999" x14ac:dyDescent="0.25">
      <c r="A524" s="1"/>
      <c r="B524" s="40"/>
      <c r="C524" s="2" t="str">
        <f ca="1">IFERROR(__xludf.DUMMYFUNCTION("iferror(filter('Full Perk List'!C$3:C1498,'Full Perk List'!$D$3:$D1498=$D524),"""")"),"#REF!")</f>
        <v>#REF!</v>
      </c>
      <c r="D524" s="2"/>
      <c r="E524" s="2" t="str">
        <f ca="1">IFERROR(__xludf.DUMMYFUNCTION("iferror(filter('Full Perk List'!E$3:E1498,'Full Perk List'!$D$3:$D1498=$D524),"""")"),"#REF!")</f>
        <v>#REF!</v>
      </c>
      <c r="F524" s="2" t="str">
        <f ca="1">IFERROR(__xludf.DUMMYFUNCTION("iferror(filter('Full Perk List'!F$3:F1498,'Full Perk List'!$D$3:$D1498=$D524),"""")"),"#REF!")</f>
        <v>#REF!</v>
      </c>
      <c r="G524" s="2" t="str">
        <f ca="1">IFERROR(__xludf.DUMMYFUNCTION("iferror(filter('Full Perk List'!G$3:G1498,'Full Perk List'!$D$3:$D1498=$D524),"""")"),"#REF!")</f>
        <v>#REF!</v>
      </c>
      <c r="H524" s="1"/>
      <c r="I524" s="2"/>
      <c r="J524" s="2"/>
      <c r="K524" s="2"/>
      <c r="L524" s="2"/>
      <c r="M524" s="2"/>
      <c r="N524" s="2"/>
      <c r="O524" s="2"/>
      <c r="P524" s="2"/>
      <c r="Q524" s="2"/>
      <c r="R524" s="2"/>
      <c r="S524" s="2"/>
      <c r="T524" s="2"/>
      <c r="U524" s="2"/>
      <c r="V524" s="2"/>
      <c r="W524" s="2"/>
      <c r="X524" s="2"/>
      <c r="Y524" s="2"/>
    </row>
    <row r="525" spans="1:25" ht="17.399999999999999" x14ac:dyDescent="0.25">
      <c r="A525" s="1"/>
      <c r="B525" s="40"/>
      <c r="C525" s="2" t="str">
        <f ca="1">IFERROR(__xludf.DUMMYFUNCTION("iferror(filter('Full Perk List'!C$3:C1498,'Full Perk List'!$D$3:$D1498=$D525),"""")"),"#REF!")</f>
        <v>#REF!</v>
      </c>
      <c r="D525" s="2"/>
      <c r="E525" s="2" t="str">
        <f ca="1">IFERROR(__xludf.DUMMYFUNCTION("iferror(filter('Full Perk List'!E$3:E1498,'Full Perk List'!$D$3:$D1498=$D525),"""")"),"#REF!")</f>
        <v>#REF!</v>
      </c>
      <c r="F525" s="2" t="str">
        <f ca="1">IFERROR(__xludf.DUMMYFUNCTION("iferror(filter('Full Perk List'!F$3:F1498,'Full Perk List'!$D$3:$D1498=$D525),"""")"),"#REF!")</f>
        <v>#REF!</v>
      </c>
      <c r="G525" s="2" t="str">
        <f ca="1">IFERROR(__xludf.DUMMYFUNCTION("iferror(filter('Full Perk List'!G$3:G1498,'Full Perk List'!$D$3:$D1498=$D525),"""")"),"#REF!")</f>
        <v>#REF!</v>
      </c>
      <c r="H525" s="1"/>
      <c r="I525" s="2"/>
      <c r="J525" s="2"/>
      <c r="K525" s="2"/>
      <c r="L525" s="2"/>
      <c r="M525" s="2"/>
      <c r="N525" s="2"/>
      <c r="O525" s="2"/>
      <c r="P525" s="2"/>
      <c r="Q525" s="2"/>
      <c r="R525" s="2"/>
      <c r="S525" s="2"/>
      <c r="T525" s="2"/>
      <c r="U525" s="2"/>
      <c r="V525" s="2"/>
      <c r="W525" s="2"/>
      <c r="X525" s="2"/>
      <c r="Y525" s="2"/>
    </row>
    <row r="526" spans="1:25" ht="17.399999999999999" x14ac:dyDescent="0.25">
      <c r="A526" s="1"/>
      <c r="B526" s="40"/>
      <c r="C526" s="2" t="str">
        <f ca="1">IFERROR(__xludf.DUMMYFUNCTION("iferror(filter('Full Perk List'!C$3:C1498,'Full Perk List'!$D$3:$D1498=$D526),"""")"),"#REF!")</f>
        <v>#REF!</v>
      </c>
      <c r="D526" s="2"/>
      <c r="E526" s="2" t="str">
        <f ca="1">IFERROR(__xludf.DUMMYFUNCTION("iferror(filter('Full Perk List'!E$3:E1498,'Full Perk List'!$D$3:$D1498=$D526),"""")"),"#REF!")</f>
        <v>#REF!</v>
      </c>
      <c r="F526" s="2" t="str">
        <f ca="1">IFERROR(__xludf.DUMMYFUNCTION("iferror(filter('Full Perk List'!F$3:F1498,'Full Perk List'!$D$3:$D1498=$D526),"""")"),"#REF!")</f>
        <v>#REF!</v>
      </c>
      <c r="G526" s="2" t="str">
        <f ca="1">IFERROR(__xludf.DUMMYFUNCTION("iferror(filter('Full Perk List'!G$3:G1498,'Full Perk List'!$D$3:$D1498=$D526),"""")"),"#REF!")</f>
        <v>#REF!</v>
      </c>
      <c r="H526" s="1"/>
      <c r="I526" s="2"/>
      <c r="J526" s="2"/>
      <c r="K526" s="2"/>
      <c r="L526" s="2"/>
      <c r="M526" s="2"/>
      <c r="N526" s="2"/>
      <c r="O526" s="2"/>
      <c r="P526" s="2"/>
      <c r="Q526" s="2"/>
      <c r="R526" s="2"/>
      <c r="S526" s="2"/>
      <c r="T526" s="2"/>
      <c r="U526" s="2"/>
      <c r="V526" s="2"/>
      <c r="W526" s="2"/>
      <c r="X526" s="2"/>
      <c r="Y526" s="2"/>
    </row>
    <row r="527" spans="1:25" ht="17.399999999999999" x14ac:dyDescent="0.25">
      <c r="A527" s="1"/>
      <c r="B527" s="40"/>
      <c r="C527" s="2" t="str">
        <f ca="1">IFERROR(__xludf.DUMMYFUNCTION("iferror(filter('Full Perk List'!C$3:C1498,'Full Perk List'!$D$3:$D1498=$D527),"""")"),"#REF!")</f>
        <v>#REF!</v>
      </c>
      <c r="D527" s="2"/>
      <c r="E527" s="2" t="str">
        <f ca="1">IFERROR(__xludf.DUMMYFUNCTION("iferror(filter('Full Perk List'!E$3:E1498,'Full Perk List'!$D$3:$D1498=$D527),"""")"),"#REF!")</f>
        <v>#REF!</v>
      </c>
      <c r="F527" s="2" t="str">
        <f ca="1">IFERROR(__xludf.DUMMYFUNCTION("iferror(filter('Full Perk List'!F$3:F1498,'Full Perk List'!$D$3:$D1498=$D527),"""")"),"#REF!")</f>
        <v>#REF!</v>
      </c>
      <c r="G527" s="2" t="str">
        <f ca="1">IFERROR(__xludf.DUMMYFUNCTION("iferror(filter('Full Perk List'!G$3:G1498,'Full Perk List'!$D$3:$D1498=$D527),"""")"),"#REF!")</f>
        <v>#REF!</v>
      </c>
      <c r="H527" s="1"/>
      <c r="I527" s="2"/>
      <c r="J527" s="2"/>
      <c r="K527" s="2"/>
      <c r="L527" s="2"/>
      <c r="M527" s="2"/>
      <c r="N527" s="2"/>
      <c r="O527" s="2"/>
      <c r="P527" s="2"/>
      <c r="Q527" s="2"/>
      <c r="R527" s="2"/>
      <c r="S527" s="2"/>
      <c r="T527" s="2"/>
      <c r="U527" s="2"/>
      <c r="V527" s="2"/>
      <c r="W527" s="2"/>
      <c r="X527" s="2"/>
      <c r="Y527" s="2"/>
    </row>
    <row r="528" spans="1:25" ht="17.399999999999999" x14ac:dyDescent="0.25">
      <c r="A528" s="1"/>
      <c r="B528" s="40"/>
      <c r="C528" s="2" t="str">
        <f ca="1">IFERROR(__xludf.DUMMYFUNCTION("iferror(filter('Full Perk List'!C$3:C1498,'Full Perk List'!$D$3:$D1498=$D528),"""")"),"#REF!")</f>
        <v>#REF!</v>
      </c>
      <c r="D528" s="2"/>
      <c r="E528" s="2" t="str">
        <f ca="1">IFERROR(__xludf.DUMMYFUNCTION("iferror(filter('Full Perk List'!E$3:E1498,'Full Perk List'!$D$3:$D1498=$D528),"""")"),"#REF!")</f>
        <v>#REF!</v>
      </c>
      <c r="F528" s="2" t="str">
        <f ca="1">IFERROR(__xludf.DUMMYFUNCTION("iferror(filter('Full Perk List'!F$3:F1498,'Full Perk List'!$D$3:$D1498=$D528),"""")"),"#REF!")</f>
        <v>#REF!</v>
      </c>
      <c r="G528" s="2" t="str">
        <f ca="1">IFERROR(__xludf.DUMMYFUNCTION("iferror(filter('Full Perk List'!G$3:G1498,'Full Perk List'!$D$3:$D1498=$D528),"""")"),"#REF!")</f>
        <v>#REF!</v>
      </c>
      <c r="H528" s="1"/>
      <c r="I528" s="2"/>
      <c r="J528" s="2"/>
      <c r="K528" s="2"/>
      <c r="L528" s="2"/>
      <c r="M528" s="2"/>
      <c r="N528" s="2"/>
      <c r="O528" s="2"/>
      <c r="P528" s="2"/>
      <c r="Q528" s="2"/>
      <c r="R528" s="2"/>
      <c r="S528" s="2"/>
      <c r="T528" s="2"/>
      <c r="U528" s="2"/>
      <c r="V528" s="2"/>
      <c r="W528" s="2"/>
      <c r="X528" s="2"/>
      <c r="Y528" s="2"/>
    </row>
    <row r="529" spans="1:25" ht="17.399999999999999" x14ac:dyDescent="0.25">
      <c r="A529" s="1"/>
      <c r="B529" s="40"/>
      <c r="C529" s="2" t="str">
        <f ca="1">IFERROR(__xludf.DUMMYFUNCTION("iferror(filter('Full Perk List'!C$3:C1498,'Full Perk List'!$D$3:$D1498=$D529),"""")"),"#REF!")</f>
        <v>#REF!</v>
      </c>
      <c r="D529" s="2"/>
      <c r="E529" s="2" t="str">
        <f ca="1">IFERROR(__xludf.DUMMYFUNCTION("iferror(filter('Full Perk List'!E$3:E1498,'Full Perk List'!$D$3:$D1498=$D529),"""")"),"#REF!")</f>
        <v>#REF!</v>
      </c>
      <c r="F529" s="2" t="str">
        <f ca="1">IFERROR(__xludf.DUMMYFUNCTION("iferror(filter('Full Perk List'!F$3:F1498,'Full Perk List'!$D$3:$D1498=$D529),"""")"),"#REF!")</f>
        <v>#REF!</v>
      </c>
      <c r="G529" s="2" t="str">
        <f ca="1">IFERROR(__xludf.DUMMYFUNCTION("iferror(filter('Full Perk List'!G$3:G1498,'Full Perk List'!$D$3:$D1498=$D529),"""")"),"#REF!")</f>
        <v>#REF!</v>
      </c>
      <c r="H529" s="1"/>
      <c r="I529" s="2"/>
      <c r="J529" s="2"/>
      <c r="K529" s="2"/>
      <c r="L529" s="2"/>
      <c r="M529" s="2"/>
      <c r="N529" s="2"/>
      <c r="O529" s="2"/>
      <c r="P529" s="2"/>
      <c r="Q529" s="2"/>
      <c r="R529" s="2"/>
      <c r="S529" s="2"/>
      <c r="T529" s="2"/>
      <c r="U529" s="2"/>
      <c r="V529" s="2"/>
      <c r="W529" s="2"/>
      <c r="X529" s="2"/>
      <c r="Y529" s="2"/>
    </row>
    <row r="530" spans="1:25" ht="17.399999999999999" x14ac:dyDescent="0.25">
      <c r="A530" s="1"/>
      <c r="B530" s="40"/>
      <c r="C530" s="2" t="str">
        <f ca="1">IFERROR(__xludf.DUMMYFUNCTION("iferror(filter('Full Perk List'!C$3:C1498,'Full Perk List'!$D$3:$D1498=$D530),"""")"),"#REF!")</f>
        <v>#REF!</v>
      </c>
      <c r="D530" s="2"/>
      <c r="E530" s="2" t="str">
        <f ca="1">IFERROR(__xludf.DUMMYFUNCTION("iferror(filter('Full Perk List'!E$3:E1498,'Full Perk List'!$D$3:$D1498=$D530),"""")"),"#REF!")</f>
        <v>#REF!</v>
      </c>
      <c r="F530" s="2" t="str">
        <f ca="1">IFERROR(__xludf.DUMMYFUNCTION("iferror(filter('Full Perk List'!F$3:F1498,'Full Perk List'!$D$3:$D1498=$D530),"""")"),"#REF!")</f>
        <v>#REF!</v>
      </c>
      <c r="G530" s="2" t="str">
        <f ca="1">IFERROR(__xludf.DUMMYFUNCTION("iferror(filter('Full Perk List'!G$3:G1498,'Full Perk List'!$D$3:$D1498=$D530),"""")"),"#REF!")</f>
        <v>#REF!</v>
      </c>
      <c r="H530" s="1"/>
      <c r="I530" s="2"/>
      <c r="J530" s="2"/>
      <c r="K530" s="2"/>
      <c r="L530" s="2"/>
      <c r="M530" s="2"/>
      <c r="N530" s="2"/>
      <c r="O530" s="2"/>
      <c r="P530" s="2"/>
      <c r="Q530" s="2"/>
      <c r="R530" s="2"/>
      <c r="S530" s="2"/>
      <c r="T530" s="2"/>
      <c r="U530" s="2"/>
      <c r="V530" s="2"/>
      <c r="W530" s="2"/>
      <c r="X530" s="2"/>
      <c r="Y530" s="2"/>
    </row>
    <row r="531" spans="1:25" ht="17.399999999999999" x14ac:dyDescent="0.25">
      <c r="A531" s="1"/>
      <c r="B531" s="40"/>
      <c r="C531" s="2" t="str">
        <f ca="1">IFERROR(__xludf.DUMMYFUNCTION("iferror(filter('Full Perk List'!C$3:C1498,'Full Perk List'!$D$3:$D1498=$D531),"""")"),"#REF!")</f>
        <v>#REF!</v>
      </c>
      <c r="D531" s="2"/>
      <c r="E531" s="2" t="str">
        <f ca="1">IFERROR(__xludf.DUMMYFUNCTION("iferror(filter('Full Perk List'!E$3:E1498,'Full Perk List'!$D$3:$D1498=$D531),"""")"),"#REF!")</f>
        <v>#REF!</v>
      </c>
      <c r="F531" s="2" t="str">
        <f ca="1">IFERROR(__xludf.DUMMYFUNCTION("iferror(filter('Full Perk List'!F$3:F1498,'Full Perk List'!$D$3:$D1498=$D531),"""")"),"#REF!")</f>
        <v>#REF!</v>
      </c>
      <c r="G531" s="2" t="str">
        <f ca="1">IFERROR(__xludf.DUMMYFUNCTION("iferror(filter('Full Perk List'!G$3:G1498,'Full Perk List'!$D$3:$D1498=$D531),"""")"),"#REF!")</f>
        <v>#REF!</v>
      </c>
      <c r="H531" s="1"/>
      <c r="I531" s="2"/>
      <c r="J531" s="2"/>
      <c r="K531" s="2"/>
      <c r="L531" s="2"/>
      <c r="M531" s="2"/>
      <c r="N531" s="2"/>
      <c r="O531" s="2"/>
      <c r="P531" s="2"/>
      <c r="Q531" s="2"/>
      <c r="R531" s="2"/>
      <c r="S531" s="2"/>
      <c r="T531" s="2"/>
      <c r="U531" s="2"/>
      <c r="V531" s="2"/>
      <c r="W531" s="2"/>
      <c r="X531" s="2"/>
      <c r="Y531" s="2"/>
    </row>
    <row r="532" spans="1:25" ht="17.399999999999999" x14ac:dyDescent="0.25">
      <c r="A532" s="1"/>
      <c r="B532" s="40"/>
      <c r="C532" s="2" t="str">
        <f ca="1">IFERROR(__xludf.DUMMYFUNCTION("iferror(filter('Full Perk List'!C$3:C1498,'Full Perk List'!$D$3:$D1498=$D532),"""")"),"#REF!")</f>
        <v>#REF!</v>
      </c>
      <c r="D532" s="2"/>
      <c r="E532" s="2" t="str">
        <f ca="1">IFERROR(__xludf.DUMMYFUNCTION("iferror(filter('Full Perk List'!E$3:E1498,'Full Perk List'!$D$3:$D1498=$D532),"""")"),"#REF!")</f>
        <v>#REF!</v>
      </c>
      <c r="F532" s="2" t="str">
        <f ca="1">IFERROR(__xludf.DUMMYFUNCTION("iferror(filter('Full Perk List'!F$3:F1498,'Full Perk List'!$D$3:$D1498=$D532),"""")"),"#REF!")</f>
        <v>#REF!</v>
      </c>
      <c r="G532" s="2" t="str">
        <f ca="1">IFERROR(__xludf.DUMMYFUNCTION("iferror(filter('Full Perk List'!G$3:G1498,'Full Perk List'!$D$3:$D1498=$D532),"""")"),"#REF!")</f>
        <v>#REF!</v>
      </c>
      <c r="H532" s="1"/>
      <c r="I532" s="2"/>
      <c r="J532" s="2"/>
      <c r="K532" s="2"/>
      <c r="L532" s="2"/>
      <c r="M532" s="2"/>
      <c r="N532" s="2"/>
      <c r="O532" s="2"/>
      <c r="P532" s="2"/>
      <c r="Q532" s="2"/>
      <c r="R532" s="2"/>
      <c r="S532" s="2"/>
      <c r="T532" s="2"/>
      <c r="U532" s="2"/>
      <c r="V532" s="2"/>
      <c r="W532" s="2"/>
      <c r="X532" s="2"/>
      <c r="Y532" s="2"/>
    </row>
    <row r="533" spans="1:25" ht="17.399999999999999" x14ac:dyDescent="0.25">
      <c r="A533" s="1"/>
      <c r="B533" s="40"/>
      <c r="C533" s="2" t="str">
        <f ca="1">IFERROR(__xludf.DUMMYFUNCTION("iferror(filter('Full Perk List'!C$3:C1498,'Full Perk List'!$D$3:$D1498=$D533),"""")"),"#REF!")</f>
        <v>#REF!</v>
      </c>
      <c r="D533" s="2"/>
      <c r="E533" s="2" t="str">
        <f ca="1">IFERROR(__xludf.DUMMYFUNCTION("iferror(filter('Full Perk List'!E$3:E1498,'Full Perk List'!$D$3:$D1498=$D533),"""")"),"#REF!")</f>
        <v>#REF!</v>
      </c>
      <c r="F533" s="2" t="str">
        <f ca="1">IFERROR(__xludf.DUMMYFUNCTION("iferror(filter('Full Perk List'!F$3:F1498,'Full Perk List'!$D$3:$D1498=$D533),"""")"),"#REF!")</f>
        <v>#REF!</v>
      </c>
      <c r="G533" s="2" t="str">
        <f ca="1">IFERROR(__xludf.DUMMYFUNCTION("iferror(filter('Full Perk List'!G$3:G1498,'Full Perk List'!$D$3:$D1498=$D533),"""")"),"#REF!")</f>
        <v>#REF!</v>
      </c>
      <c r="H533" s="1"/>
      <c r="I533" s="2"/>
      <c r="J533" s="2"/>
      <c r="K533" s="2"/>
      <c r="L533" s="2"/>
      <c r="M533" s="2"/>
      <c r="N533" s="2"/>
      <c r="O533" s="2"/>
      <c r="P533" s="2"/>
      <c r="Q533" s="2"/>
      <c r="R533" s="2"/>
      <c r="S533" s="2"/>
      <c r="T533" s="2"/>
      <c r="U533" s="2"/>
      <c r="V533" s="2"/>
      <c r="W533" s="2"/>
      <c r="X533" s="2"/>
      <c r="Y533" s="2"/>
    </row>
    <row r="534" spans="1:25" ht="17.399999999999999" x14ac:dyDescent="0.25">
      <c r="A534" s="1"/>
      <c r="B534" s="40"/>
      <c r="C534" s="2" t="str">
        <f ca="1">IFERROR(__xludf.DUMMYFUNCTION("iferror(filter('Full Perk List'!C$3:C1498,'Full Perk List'!$D$3:$D1498=$D534),"""")"),"#REF!")</f>
        <v>#REF!</v>
      </c>
      <c r="D534" s="2"/>
      <c r="E534" s="2" t="str">
        <f ca="1">IFERROR(__xludf.DUMMYFUNCTION("iferror(filter('Full Perk List'!E$3:E1498,'Full Perk List'!$D$3:$D1498=$D534),"""")"),"#REF!")</f>
        <v>#REF!</v>
      </c>
      <c r="F534" s="2" t="str">
        <f ca="1">IFERROR(__xludf.DUMMYFUNCTION("iferror(filter('Full Perk List'!F$3:F1498,'Full Perk List'!$D$3:$D1498=$D534),"""")"),"#REF!")</f>
        <v>#REF!</v>
      </c>
      <c r="G534" s="2" t="str">
        <f ca="1">IFERROR(__xludf.DUMMYFUNCTION("iferror(filter('Full Perk List'!G$3:G1498,'Full Perk List'!$D$3:$D1498=$D534),"""")"),"#REF!")</f>
        <v>#REF!</v>
      </c>
      <c r="H534" s="1"/>
      <c r="I534" s="2"/>
      <c r="J534" s="2"/>
      <c r="K534" s="2"/>
      <c r="L534" s="2"/>
      <c r="M534" s="2"/>
      <c r="N534" s="2"/>
      <c r="O534" s="2"/>
      <c r="P534" s="2"/>
      <c r="Q534" s="2"/>
      <c r="R534" s="2"/>
      <c r="S534" s="2"/>
      <c r="T534" s="2"/>
      <c r="U534" s="2"/>
      <c r="V534" s="2"/>
      <c r="W534" s="2"/>
      <c r="X534" s="2"/>
      <c r="Y534" s="2"/>
    </row>
    <row r="535" spans="1:25" ht="17.399999999999999" x14ac:dyDescent="0.25">
      <c r="A535" s="1"/>
      <c r="B535" s="40"/>
      <c r="C535" s="2" t="str">
        <f ca="1">IFERROR(__xludf.DUMMYFUNCTION("iferror(filter('Full Perk List'!C$3:C1498,'Full Perk List'!$D$3:$D1498=$D535),"""")"),"#REF!")</f>
        <v>#REF!</v>
      </c>
      <c r="D535" s="2"/>
      <c r="E535" s="2" t="str">
        <f ca="1">IFERROR(__xludf.DUMMYFUNCTION("iferror(filter('Full Perk List'!E$3:E1498,'Full Perk List'!$D$3:$D1498=$D535),"""")"),"#REF!")</f>
        <v>#REF!</v>
      </c>
      <c r="F535" s="2" t="str">
        <f ca="1">IFERROR(__xludf.DUMMYFUNCTION("iferror(filter('Full Perk List'!F$3:F1498,'Full Perk List'!$D$3:$D1498=$D535),"""")"),"#REF!")</f>
        <v>#REF!</v>
      </c>
      <c r="G535" s="2" t="str">
        <f ca="1">IFERROR(__xludf.DUMMYFUNCTION("iferror(filter('Full Perk List'!G$3:G1498,'Full Perk List'!$D$3:$D1498=$D535),"""")"),"#REF!")</f>
        <v>#REF!</v>
      </c>
      <c r="H535" s="1"/>
      <c r="I535" s="2"/>
      <c r="J535" s="2"/>
      <c r="K535" s="2"/>
      <c r="L535" s="2"/>
      <c r="M535" s="2"/>
      <c r="N535" s="2"/>
      <c r="O535" s="2"/>
      <c r="P535" s="2"/>
      <c r="Q535" s="2"/>
      <c r="R535" s="2"/>
      <c r="S535" s="2"/>
      <c r="T535" s="2"/>
      <c r="U535" s="2"/>
      <c r="V535" s="2"/>
      <c r="W535" s="2"/>
      <c r="X535" s="2"/>
      <c r="Y535" s="2"/>
    </row>
    <row r="536" spans="1:25" ht="17.399999999999999" x14ac:dyDescent="0.25">
      <c r="A536" s="1"/>
      <c r="B536" s="40"/>
      <c r="C536" s="2" t="str">
        <f ca="1">IFERROR(__xludf.DUMMYFUNCTION("iferror(filter('Full Perk List'!C$3:C1498,'Full Perk List'!$D$3:$D1498=$D536),"""")"),"#REF!")</f>
        <v>#REF!</v>
      </c>
      <c r="D536" s="2"/>
      <c r="E536" s="2" t="str">
        <f ca="1">IFERROR(__xludf.DUMMYFUNCTION("iferror(filter('Full Perk List'!E$3:E1498,'Full Perk List'!$D$3:$D1498=$D536),"""")"),"#REF!")</f>
        <v>#REF!</v>
      </c>
      <c r="F536" s="2" t="str">
        <f ca="1">IFERROR(__xludf.DUMMYFUNCTION("iferror(filter('Full Perk List'!F$3:F1498,'Full Perk List'!$D$3:$D1498=$D536),"""")"),"#REF!")</f>
        <v>#REF!</v>
      </c>
      <c r="G536" s="2" t="str">
        <f ca="1">IFERROR(__xludf.DUMMYFUNCTION("iferror(filter('Full Perk List'!G$3:G1498,'Full Perk List'!$D$3:$D1498=$D536),"""")"),"#REF!")</f>
        <v>#REF!</v>
      </c>
      <c r="H536" s="1"/>
      <c r="I536" s="2"/>
      <c r="J536" s="2"/>
      <c r="K536" s="2"/>
      <c r="L536" s="2"/>
      <c r="M536" s="2"/>
      <c r="N536" s="2"/>
      <c r="O536" s="2"/>
      <c r="P536" s="2"/>
      <c r="Q536" s="2"/>
      <c r="R536" s="2"/>
      <c r="S536" s="2"/>
      <c r="T536" s="2"/>
      <c r="U536" s="2"/>
      <c r="V536" s="2"/>
      <c r="W536" s="2"/>
      <c r="X536" s="2"/>
      <c r="Y536" s="2"/>
    </row>
    <row r="537" spans="1:25" ht="17.399999999999999" x14ac:dyDescent="0.25">
      <c r="A537" s="1"/>
      <c r="B537" s="40"/>
      <c r="C537" s="2" t="str">
        <f ca="1">IFERROR(__xludf.DUMMYFUNCTION("iferror(filter('Full Perk List'!C$3:C1498,'Full Perk List'!$D$3:$D1498=$D537),"""")"),"#REF!")</f>
        <v>#REF!</v>
      </c>
      <c r="D537" s="2"/>
      <c r="E537" s="2" t="str">
        <f ca="1">IFERROR(__xludf.DUMMYFUNCTION("iferror(filter('Full Perk List'!E$3:E1498,'Full Perk List'!$D$3:$D1498=$D537),"""")"),"#REF!")</f>
        <v>#REF!</v>
      </c>
      <c r="F537" s="2" t="str">
        <f ca="1">IFERROR(__xludf.DUMMYFUNCTION("iferror(filter('Full Perk List'!F$3:F1498,'Full Perk List'!$D$3:$D1498=$D537),"""")"),"#REF!")</f>
        <v>#REF!</v>
      </c>
      <c r="G537" s="2" t="str">
        <f ca="1">IFERROR(__xludf.DUMMYFUNCTION("iferror(filter('Full Perk List'!G$3:G1498,'Full Perk List'!$D$3:$D1498=$D537),"""")"),"#REF!")</f>
        <v>#REF!</v>
      </c>
      <c r="H537" s="1"/>
      <c r="I537" s="2"/>
      <c r="J537" s="2"/>
      <c r="K537" s="2"/>
      <c r="L537" s="2"/>
      <c r="M537" s="2"/>
      <c r="N537" s="2"/>
      <c r="O537" s="2"/>
      <c r="P537" s="2"/>
      <c r="Q537" s="2"/>
      <c r="R537" s="2"/>
      <c r="S537" s="2"/>
      <c r="T537" s="2"/>
      <c r="U537" s="2"/>
      <c r="V537" s="2"/>
      <c r="W537" s="2"/>
      <c r="X537" s="2"/>
      <c r="Y537" s="2"/>
    </row>
    <row r="538" spans="1:25" ht="17.399999999999999" x14ac:dyDescent="0.25">
      <c r="A538" s="1"/>
      <c r="B538" s="40"/>
      <c r="C538" s="2" t="str">
        <f ca="1">IFERROR(__xludf.DUMMYFUNCTION("iferror(filter('Full Perk List'!C$3:C1498,'Full Perk List'!$D$3:$D1498=$D538),"""")"),"#REF!")</f>
        <v>#REF!</v>
      </c>
      <c r="D538" s="2"/>
      <c r="E538" s="2" t="str">
        <f ca="1">IFERROR(__xludf.DUMMYFUNCTION("iferror(filter('Full Perk List'!E$3:E1498,'Full Perk List'!$D$3:$D1498=$D538),"""")"),"#REF!")</f>
        <v>#REF!</v>
      </c>
      <c r="F538" s="2" t="str">
        <f ca="1">IFERROR(__xludf.DUMMYFUNCTION("iferror(filter('Full Perk List'!F$3:F1498,'Full Perk List'!$D$3:$D1498=$D538),"""")"),"#REF!")</f>
        <v>#REF!</v>
      </c>
      <c r="G538" s="2" t="str">
        <f ca="1">IFERROR(__xludf.DUMMYFUNCTION("iferror(filter('Full Perk List'!G$3:G1498,'Full Perk List'!$D$3:$D1498=$D538),"""")"),"#REF!")</f>
        <v>#REF!</v>
      </c>
      <c r="H538" s="1"/>
      <c r="I538" s="2"/>
      <c r="J538" s="2"/>
      <c r="K538" s="2"/>
      <c r="L538" s="2"/>
      <c r="M538" s="2"/>
      <c r="N538" s="2"/>
      <c r="O538" s="2"/>
      <c r="P538" s="2"/>
      <c r="Q538" s="2"/>
      <c r="R538" s="2"/>
      <c r="S538" s="2"/>
      <c r="T538" s="2"/>
      <c r="U538" s="2"/>
      <c r="V538" s="2"/>
      <c r="W538" s="2"/>
      <c r="X538" s="2"/>
      <c r="Y538" s="2"/>
    </row>
    <row r="539" spans="1:25" ht="17.399999999999999" x14ac:dyDescent="0.25">
      <c r="A539" s="1"/>
      <c r="B539" s="40"/>
      <c r="C539" s="2" t="str">
        <f ca="1">IFERROR(__xludf.DUMMYFUNCTION("iferror(filter('Full Perk List'!C$3:C1498,'Full Perk List'!$D$3:$D1498=$D539),"""")"),"#REF!")</f>
        <v>#REF!</v>
      </c>
      <c r="D539" s="2"/>
      <c r="E539" s="2" t="str">
        <f ca="1">IFERROR(__xludf.DUMMYFUNCTION("iferror(filter('Full Perk List'!E$3:E1498,'Full Perk List'!$D$3:$D1498=$D539),"""")"),"#REF!")</f>
        <v>#REF!</v>
      </c>
      <c r="F539" s="2" t="str">
        <f ca="1">IFERROR(__xludf.DUMMYFUNCTION("iferror(filter('Full Perk List'!F$3:F1498,'Full Perk List'!$D$3:$D1498=$D539),"""")"),"#REF!")</f>
        <v>#REF!</v>
      </c>
      <c r="G539" s="2" t="str">
        <f ca="1">IFERROR(__xludf.DUMMYFUNCTION("iferror(filter('Full Perk List'!G$3:G1498,'Full Perk List'!$D$3:$D1498=$D539),"""")"),"#REF!")</f>
        <v>#REF!</v>
      </c>
      <c r="H539" s="1"/>
      <c r="I539" s="2"/>
      <c r="J539" s="2"/>
      <c r="K539" s="2"/>
      <c r="L539" s="2"/>
      <c r="M539" s="2"/>
      <c r="N539" s="2"/>
      <c r="O539" s="2"/>
      <c r="P539" s="2"/>
      <c r="Q539" s="2"/>
      <c r="R539" s="2"/>
      <c r="S539" s="2"/>
      <c r="T539" s="2"/>
      <c r="U539" s="2"/>
      <c r="V539" s="2"/>
      <c r="W539" s="2"/>
      <c r="X539" s="2"/>
      <c r="Y539" s="2"/>
    </row>
    <row r="540" spans="1:25" ht="17.399999999999999" x14ac:dyDescent="0.25">
      <c r="A540" s="1"/>
      <c r="B540" s="40"/>
      <c r="C540" s="2" t="str">
        <f ca="1">IFERROR(__xludf.DUMMYFUNCTION("iferror(filter('Full Perk List'!C$3:C1498,'Full Perk List'!$D$3:$D1498=$D540),"""")"),"#REF!")</f>
        <v>#REF!</v>
      </c>
      <c r="D540" s="2"/>
      <c r="E540" s="2" t="str">
        <f ca="1">IFERROR(__xludf.DUMMYFUNCTION("iferror(filter('Full Perk List'!E$3:E1498,'Full Perk List'!$D$3:$D1498=$D540),"""")"),"#REF!")</f>
        <v>#REF!</v>
      </c>
      <c r="F540" s="2" t="str">
        <f ca="1">IFERROR(__xludf.DUMMYFUNCTION("iferror(filter('Full Perk List'!F$3:F1498,'Full Perk List'!$D$3:$D1498=$D540),"""")"),"#REF!")</f>
        <v>#REF!</v>
      </c>
      <c r="G540" s="2" t="str">
        <f ca="1">IFERROR(__xludf.DUMMYFUNCTION("iferror(filter('Full Perk List'!G$3:G1498,'Full Perk List'!$D$3:$D1498=$D540),"""")"),"#REF!")</f>
        <v>#REF!</v>
      </c>
      <c r="H540" s="1"/>
      <c r="I540" s="2"/>
      <c r="J540" s="2"/>
      <c r="K540" s="2"/>
      <c r="L540" s="2"/>
      <c r="M540" s="2"/>
      <c r="N540" s="2"/>
      <c r="O540" s="2"/>
      <c r="P540" s="2"/>
      <c r="Q540" s="2"/>
      <c r="R540" s="2"/>
      <c r="S540" s="2"/>
      <c r="T540" s="2"/>
      <c r="U540" s="2"/>
      <c r="V540" s="2"/>
      <c r="W540" s="2"/>
      <c r="X540" s="2"/>
      <c r="Y540" s="2"/>
    </row>
    <row r="541" spans="1:25" ht="17.399999999999999" x14ac:dyDescent="0.25">
      <c r="A541" s="1"/>
      <c r="B541" s="40"/>
      <c r="C541" s="2" t="str">
        <f ca="1">IFERROR(__xludf.DUMMYFUNCTION("iferror(filter('Full Perk List'!C$3:C1498,'Full Perk List'!$D$3:$D1498=$D541),"""")"),"#REF!")</f>
        <v>#REF!</v>
      </c>
      <c r="D541" s="2"/>
      <c r="E541" s="2" t="str">
        <f ca="1">IFERROR(__xludf.DUMMYFUNCTION("iferror(filter('Full Perk List'!E$3:E1498,'Full Perk List'!$D$3:$D1498=$D541),"""")"),"#REF!")</f>
        <v>#REF!</v>
      </c>
      <c r="F541" s="2" t="str">
        <f ca="1">IFERROR(__xludf.DUMMYFUNCTION("iferror(filter('Full Perk List'!F$3:F1498,'Full Perk List'!$D$3:$D1498=$D541),"""")"),"#REF!")</f>
        <v>#REF!</v>
      </c>
      <c r="G541" s="2" t="str">
        <f ca="1">IFERROR(__xludf.DUMMYFUNCTION("iferror(filter('Full Perk List'!G$3:G1498,'Full Perk List'!$D$3:$D1498=$D541),"""")"),"#REF!")</f>
        <v>#REF!</v>
      </c>
      <c r="H541" s="1"/>
      <c r="I541" s="2"/>
      <c r="J541" s="2"/>
      <c r="K541" s="2"/>
      <c r="L541" s="2"/>
      <c r="M541" s="2"/>
      <c r="N541" s="2"/>
      <c r="O541" s="2"/>
      <c r="P541" s="2"/>
      <c r="Q541" s="2"/>
      <c r="R541" s="2"/>
      <c r="S541" s="2"/>
      <c r="T541" s="2"/>
      <c r="U541" s="2"/>
      <c r="V541" s="2"/>
      <c r="W541" s="2"/>
      <c r="X541" s="2"/>
      <c r="Y541" s="2"/>
    </row>
    <row r="542" spans="1:25" ht="17.399999999999999" x14ac:dyDescent="0.25">
      <c r="A542" s="1"/>
      <c r="B542" s="40"/>
      <c r="C542" s="2" t="str">
        <f ca="1">IFERROR(__xludf.DUMMYFUNCTION("iferror(filter('Full Perk List'!C$3:C1498,'Full Perk List'!$D$3:$D1498=$D542),"""")"),"#REF!")</f>
        <v>#REF!</v>
      </c>
      <c r="D542" s="2"/>
      <c r="E542" s="2" t="str">
        <f ca="1">IFERROR(__xludf.DUMMYFUNCTION("iferror(filter('Full Perk List'!E$3:E1498,'Full Perk List'!$D$3:$D1498=$D542),"""")"),"#REF!")</f>
        <v>#REF!</v>
      </c>
      <c r="F542" s="2" t="str">
        <f ca="1">IFERROR(__xludf.DUMMYFUNCTION("iferror(filter('Full Perk List'!F$3:F1498,'Full Perk List'!$D$3:$D1498=$D542),"""")"),"#REF!")</f>
        <v>#REF!</v>
      </c>
      <c r="G542" s="2" t="str">
        <f ca="1">IFERROR(__xludf.DUMMYFUNCTION("iferror(filter('Full Perk List'!G$3:G1498,'Full Perk List'!$D$3:$D1498=$D542),"""")"),"#REF!")</f>
        <v>#REF!</v>
      </c>
      <c r="H542" s="1"/>
      <c r="I542" s="2"/>
      <c r="J542" s="2"/>
      <c r="K542" s="2"/>
      <c r="L542" s="2"/>
      <c r="M542" s="2"/>
      <c r="N542" s="2"/>
      <c r="O542" s="2"/>
      <c r="P542" s="2"/>
      <c r="Q542" s="2"/>
      <c r="R542" s="2"/>
      <c r="S542" s="2"/>
      <c r="T542" s="2"/>
      <c r="U542" s="2"/>
      <c r="V542" s="2"/>
      <c r="W542" s="2"/>
      <c r="X542" s="2"/>
      <c r="Y542" s="2"/>
    </row>
    <row r="543" spans="1:25" ht="17.399999999999999" x14ac:dyDescent="0.25">
      <c r="A543" s="1"/>
      <c r="B543" s="40"/>
      <c r="C543" s="2" t="str">
        <f ca="1">IFERROR(__xludf.DUMMYFUNCTION("iferror(filter('Full Perk List'!C$3:C1498,'Full Perk List'!$D$3:$D1498=$D543),"""")"),"#REF!")</f>
        <v>#REF!</v>
      </c>
      <c r="D543" s="2"/>
      <c r="E543" s="2" t="str">
        <f ca="1">IFERROR(__xludf.DUMMYFUNCTION("iferror(filter('Full Perk List'!E$3:E1498,'Full Perk List'!$D$3:$D1498=$D543),"""")"),"#REF!")</f>
        <v>#REF!</v>
      </c>
      <c r="F543" s="2" t="str">
        <f ca="1">IFERROR(__xludf.DUMMYFUNCTION("iferror(filter('Full Perk List'!F$3:F1498,'Full Perk List'!$D$3:$D1498=$D543),"""")"),"#REF!")</f>
        <v>#REF!</v>
      </c>
      <c r="G543" s="2" t="str">
        <f ca="1">IFERROR(__xludf.DUMMYFUNCTION("iferror(filter('Full Perk List'!G$3:G1498,'Full Perk List'!$D$3:$D1498=$D543),"""")"),"#REF!")</f>
        <v>#REF!</v>
      </c>
      <c r="H543" s="1"/>
      <c r="I543" s="2"/>
      <c r="J543" s="2"/>
      <c r="K543" s="2"/>
      <c r="L543" s="2"/>
      <c r="M543" s="2"/>
      <c r="N543" s="2"/>
      <c r="O543" s="2"/>
      <c r="P543" s="2"/>
      <c r="Q543" s="2"/>
      <c r="R543" s="2"/>
      <c r="S543" s="2"/>
      <c r="T543" s="2"/>
      <c r="U543" s="2"/>
      <c r="V543" s="2"/>
      <c r="W543" s="2"/>
      <c r="X543" s="2"/>
      <c r="Y543" s="2"/>
    </row>
    <row r="544" spans="1:25" ht="17.399999999999999" x14ac:dyDescent="0.25">
      <c r="A544" s="1"/>
      <c r="B544" s="40"/>
      <c r="C544" s="2" t="str">
        <f ca="1">IFERROR(__xludf.DUMMYFUNCTION("iferror(filter('Full Perk List'!C$3:C1498,'Full Perk List'!$D$3:$D1498=$D544),"""")"),"#REF!")</f>
        <v>#REF!</v>
      </c>
      <c r="D544" s="2"/>
      <c r="E544" s="2" t="str">
        <f ca="1">IFERROR(__xludf.DUMMYFUNCTION("iferror(filter('Full Perk List'!E$3:E1498,'Full Perk List'!$D$3:$D1498=$D544),"""")"),"#REF!")</f>
        <v>#REF!</v>
      </c>
      <c r="F544" s="2" t="str">
        <f ca="1">IFERROR(__xludf.DUMMYFUNCTION("iferror(filter('Full Perk List'!F$3:F1498,'Full Perk List'!$D$3:$D1498=$D544),"""")"),"#REF!")</f>
        <v>#REF!</v>
      </c>
      <c r="G544" s="2" t="str">
        <f ca="1">IFERROR(__xludf.DUMMYFUNCTION("iferror(filter('Full Perk List'!G$3:G1498,'Full Perk List'!$D$3:$D1498=$D544),"""")"),"#REF!")</f>
        <v>#REF!</v>
      </c>
      <c r="H544" s="1"/>
      <c r="I544" s="2"/>
      <c r="J544" s="2"/>
      <c r="K544" s="2"/>
      <c r="L544" s="2"/>
      <c r="M544" s="2"/>
      <c r="N544" s="2"/>
      <c r="O544" s="2"/>
      <c r="P544" s="2"/>
      <c r="Q544" s="2"/>
      <c r="R544" s="2"/>
      <c r="S544" s="2"/>
      <c r="T544" s="2"/>
      <c r="U544" s="2"/>
      <c r="V544" s="2"/>
      <c r="W544" s="2"/>
      <c r="X544" s="2"/>
      <c r="Y544" s="2"/>
    </row>
    <row r="545" spans="1:25" ht="17.399999999999999" x14ac:dyDescent="0.25">
      <c r="A545" s="1"/>
      <c r="B545" s="40"/>
      <c r="C545" s="2" t="str">
        <f ca="1">IFERROR(__xludf.DUMMYFUNCTION("iferror(filter('Full Perk List'!C$3:C1498,'Full Perk List'!$D$3:$D1498=$D545),"""")"),"#REF!")</f>
        <v>#REF!</v>
      </c>
      <c r="D545" s="2"/>
      <c r="E545" s="2" t="str">
        <f ca="1">IFERROR(__xludf.DUMMYFUNCTION("iferror(filter('Full Perk List'!E$3:E1498,'Full Perk List'!$D$3:$D1498=$D545),"""")"),"#REF!")</f>
        <v>#REF!</v>
      </c>
      <c r="F545" s="2" t="str">
        <f ca="1">IFERROR(__xludf.DUMMYFUNCTION("iferror(filter('Full Perk List'!F$3:F1498,'Full Perk List'!$D$3:$D1498=$D545),"""")"),"#REF!")</f>
        <v>#REF!</v>
      </c>
      <c r="G545" s="2" t="str">
        <f ca="1">IFERROR(__xludf.DUMMYFUNCTION("iferror(filter('Full Perk List'!G$3:G1498,'Full Perk List'!$D$3:$D1498=$D545),"""")"),"#REF!")</f>
        <v>#REF!</v>
      </c>
      <c r="H545" s="1"/>
      <c r="I545" s="2"/>
      <c r="J545" s="2"/>
      <c r="K545" s="2"/>
      <c r="L545" s="2"/>
      <c r="M545" s="2"/>
      <c r="N545" s="2"/>
      <c r="O545" s="2"/>
      <c r="P545" s="2"/>
      <c r="Q545" s="2"/>
      <c r="R545" s="2"/>
      <c r="S545" s="2"/>
      <c r="T545" s="2"/>
      <c r="U545" s="2"/>
      <c r="V545" s="2"/>
      <c r="W545" s="2"/>
      <c r="X545" s="2"/>
      <c r="Y545" s="2"/>
    </row>
    <row r="546" spans="1:25" ht="17.399999999999999" x14ac:dyDescent="0.25">
      <c r="A546" s="1"/>
      <c r="B546" s="40"/>
      <c r="C546" s="2" t="str">
        <f ca="1">IFERROR(__xludf.DUMMYFUNCTION("iferror(filter('Full Perk List'!C$3:C1498,'Full Perk List'!$D$3:$D1498=$D546),"""")"),"#REF!")</f>
        <v>#REF!</v>
      </c>
      <c r="D546" s="2"/>
      <c r="E546" s="2" t="str">
        <f ca="1">IFERROR(__xludf.DUMMYFUNCTION("iferror(filter('Full Perk List'!E$3:E1498,'Full Perk List'!$D$3:$D1498=$D546),"""")"),"#REF!")</f>
        <v>#REF!</v>
      </c>
      <c r="F546" s="2" t="str">
        <f ca="1">IFERROR(__xludf.DUMMYFUNCTION("iferror(filter('Full Perk List'!F$3:F1498,'Full Perk List'!$D$3:$D1498=$D546),"""")"),"#REF!")</f>
        <v>#REF!</v>
      </c>
      <c r="G546" s="2" t="str">
        <f ca="1">IFERROR(__xludf.DUMMYFUNCTION("iferror(filter('Full Perk List'!G$3:G1498,'Full Perk List'!$D$3:$D1498=$D546),"""")"),"#REF!")</f>
        <v>#REF!</v>
      </c>
      <c r="H546" s="1"/>
      <c r="I546" s="2"/>
      <c r="J546" s="2"/>
      <c r="K546" s="2"/>
      <c r="L546" s="2"/>
      <c r="M546" s="2"/>
      <c r="N546" s="2"/>
      <c r="O546" s="2"/>
      <c r="P546" s="2"/>
      <c r="Q546" s="2"/>
      <c r="R546" s="2"/>
      <c r="S546" s="2"/>
      <c r="T546" s="2"/>
      <c r="U546" s="2"/>
      <c r="V546" s="2"/>
      <c r="W546" s="2"/>
      <c r="X546" s="2"/>
      <c r="Y546" s="2"/>
    </row>
    <row r="547" spans="1:25" ht="17.399999999999999" x14ac:dyDescent="0.25">
      <c r="A547" s="1"/>
      <c r="B547" s="40"/>
      <c r="C547" s="2" t="str">
        <f ca="1">IFERROR(__xludf.DUMMYFUNCTION("iferror(filter('Full Perk List'!C$3:C1498,'Full Perk List'!$D$3:$D1498=$D547),"""")"),"#REF!")</f>
        <v>#REF!</v>
      </c>
      <c r="D547" s="2"/>
      <c r="E547" s="2" t="str">
        <f ca="1">IFERROR(__xludf.DUMMYFUNCTION("iferror(filter('Full Perk List'!E$3:E1498,'Full Perk List'!$D$3:$D1498=$D547),"""")"),"#REF!")</f>
        <v>#REF!</v>
      </c>
      <c r="F547" s="2" t="str">
        <f ca="1">IFERROR(__xludf.DUMMYFUNCTION("iferror(filter('Full Perk List'!F$3:F1498,'Full Perk List'!$D$3:$D1498=$D547),"""")"),"#REF!")</f>
        <v>#REF!</v>
      </c>
      <c r="G547" s="2" t="str">
        <f ca="1">IFERROR(__xludf.DUMMYFUNCTION("iferror(filter('Full Perk List'!G$3:G1498,'Full Perk List'!$D$3:$D1498=$D547),"""")"),"#REF!")</f>
        <v>#REF!</v>
      </c>
      <c r="H547" s="1"/>
      <c r="I547" s="2"/>
      <c r="J547" s="2"/>
      <c r="K547" s="2"/>
      <c r="L547" s="2"/>
      <c r="M547" s="2"/>
      <c r="N547" s="2"/>
      <c r="O547" s="2"/>
      <c r="P547" s="2"/>
      <c r="Q547" s="2"/>
      <c r="R547" s="2"/>
      <c r="S547" s="2"/>
      <c r="T547" s="2"/>
      <c r="U547" s="2"/>
      <c r="V547" s="2"/>
      <c r="W547" s="2"/>
      <c r="X547" s="2"/>
      <c r="Y547" s="2"/>
    </row>
    <row r="548" spans="1:25" ht="17.399999999999999" x14ac:dyDescent="0.25">
      <c r="A548" s="1"/>
      <c r="B548" s="40"/>
      <c r="C548" s="2" t="str">
        <f ca="1">IFERROR(__xludf.DUMMYFUNCTION("iferror(filter('Full Perk List'!C$3:C1498,'Full Perk List'!$D$3:$D1498=$D548),"""")"),"#REF!")</f>
        <v>#REF!</v>
      </c>
      <c r="D548" s="2"/>
      <c r="E548" s="2" t="str">
        <f ca="1">IFERROR(__xludf.DUMMYFUNCTION("iferror(filter('Full Perk List'!E$3:E1498,'Full Perk List'!$D$3:$D1498=$D548),"""")"),"#REF!")</f>
        <v>#REF!</v>
      </c>
      <c r="F548" s="2" t="str">
        <f ca="1">IFERROR(__xludf.DUMMYFUNCTION("iferror(filter('Full Perk List'!F$3:F1498,'Full Perk List'!$D$3:$D1498=$D548),"""")"),"#REF!")</f>
        <v>#REF!</v>
      </c>
      <c r="G548" s="2" t="str">
        <f ca="1">IFERROR(__xludf.DUMMYFUNCTION("iferror(filter('Full Perk List'!G$3:G1498,'Full Perk List'!$D$3:$D1498=$D548),"""")"),"#REF!")</f>
        <v>#REF!</v>
      </c>
      <c r="H548" s="1"/>
      <c r="I548" s="2"/>
      <c r="J548" s="2"/>
      <c r="K548" s="2"/>
      <c r="L548" s="2"/>
      <c r="M548" s="2"/>
      <c r="N548" s="2"/>
      <c r="O548" s="2"/>
      <c r="P548" s="2"/>
      <c r="Q548" s="2"/>
      <c r="R548" s="2"/>
      <c r="S548" s="2"/>
      <c r="T548" s="2"/>
      <c r="U548" s="2"/>
      <c r="V548" s="2"/>
      <c r="W548" s="2"/>
      <c r="X548" s="2"/>
      <c r="Y548" s="2"/>
    </row>
    <row r="549" spans="1:25" ht="17.399999999999999" x14ac:dyDescent="0.25">
      <c r="A549" s="1"/>
      <c r="B549" s="40"/>
      <c r="C549" s="2" t="str">
        <f ca="1">IFERROR(__xludf.DUMMYFUNCTION("iferror(filter('Full Perk List'!C$3:C1498,'Full Perk List'!$D$3:$D1498=$D549),"""")"),"#REF!")</f>
        <v>#REF!</v>
      </c>
      <c r="D549" s="2"/>
      <c r="E549" s="2" t="str">
        <f ca="1">IFERROR(__xludf.DUMMYFUNCTION("iferror(filter('Full Perk List'!E$3:E1498,'Full Perk List'!$D$3:$D1498=$D549),"""")"),"#REF!")</f>
        <v>#REF!</v>
      </c>
      <c r="F549" s="2" t="str">
        <f ca="1">IFERROR(__xludf.DUMMYFUNCTION("iferror(filter('Full Perk List'!F$3:F1498,'Full Perk List'!$D$3:$D1498=$D549),"""")"),"#REF!")</f>
        <v>#REF!</v>
      </c>
      <c r="G549" s="2" t="str">
        <f ca="1">IFERROR(__xludf.DUMMYFUNCTION("iferror(filter('Full Perk List'!G$3:G1498,'Full Perk List'!$D$3:$D1498=$D549),"""")"),"#REF!")</f>
        <v>#REF!</v>
      </c>
      <c r="H549" s="1"/>
      <c r="I549" s="2"/>
      <c r="J549" s="2"/>
      <c r="K549" s="2"/>
      <c r="L549" s="2"/>
      <c r="M549" s="2"/>
      <c r="N549" s="2"/>
      <c r="O549" s="2"/>
      <c r="P549" s="2"/>
      <c r="Q549" s="2"/>
      <c r="R549" s="2"/>
      <c r="S549" s="2"/>
      <c r="T549" s="2"/>
      <c r="U549" s="2"/>
      <c r="V549" s="2"/>
      <c r="W549" s="2"/>
      <c r="X549" s="2"/>
      <c r="Y549" s="2"/>
    </row>
    <row r="550" spans="1:25" ht="17.399999999999999" x14ac:dyDescent="0.25">
      <c r="A550" s="1"/>
      <c r="B550" s="40"/>
      <c r="C550" s="2" t="str">
        <f ca="1">IFERROR(__xludf.DUMMYFUNCTION("iferror(filter('Full Perk List'!C$3:C1498,'Full Perk List'!$D$3:$D1498=$D550),"""")"),"#REF!")</f>
        <v>#REF!</v>
      </c>
      <c r="D550" s="2"/>
      <c r="E550" s="2" t="str">
        <f ca="1">IFERROR(__xludf.DUMMYFUNCTION("iferror(filter('Full Perk List'!E$3:E1498,'Full Perk List'!$D$3:$D1498=$D550),"""")"),"#REF!")</f>
        <v>#REF!</v>
      </c>
      <c r="F550" s="2" t="str">
        <f ca="1">IFERROR(__xludf.DUMMYFUNCTION("iferror(filter('Full Perk List'!F$3:F1498,'Full Perk List'!$D$3:$D1498=$D550),"""")"),"#REF!")</f>
        <v>#REF!</v>
      </c>
      <c r="G550" s="2" t="str">
        <f ca="1">IFERROR(__xludf.DUMMYFUNCTION("iferror(filter('Full Perk List'!G$3:G1498,'Full Perk List'!$D$3:$D1498=$D550),"""")"),"#REF!")</f>
        <v>#REF!</v>
      </c>
      <c r="H550" s="1"/>
      <c r="I550" s="2"/>
      <c r="J550" s="2"/>
      <c r="K550" s="2"/>
      <c r="L550" s="2"/>
      <c r="M550" s="2"/>
      <c r="N550" s="2"/>
      <c r="O550" s="2"/>
      <c r="P550" s="2"/>
      <c r="Q550" s="2"/>
      <c r="R550" s="2"/>
      <c r="S550" s="2"/>
      <c r="T550" s="2"/>
      <c r="U550" s="2"/>
      <c r="V550" s="2"/>
      <c r="W550" s="2"/>
      <c r="X550" s="2"/>
      <c r="Y550" s="2"/>
    </row>
    <row r="551" spans="1:25" ht="17.399999999999999" x14ac:dyDescent="0.25">
      <c r="A551" s="1"/>
      <c r="B551" s="40"/>
      <c r="C551" s="2" t="str">
        <f ca="1">IFERROR(__xludf.DUMMYFUNCTION("iferror(filter('Full Perk List'!C$3:C1498,'Full Perk List'!$D$3:$D1498=$D551),"""")"),"#REF!")</f>
        <v>#REF!</v>
      </c>
      <c r="D551" s="2"/>
      <c r="E551" s="2" t="str">
        <f ca="1">IFERROR(__xludf.DUMMYFUNCTION("iferror(filter('Full Perk List'!E$3:E1498,'Full Perk List'!$D$3:$D1498=$D551),"""")"),"#REF!")</f>
        <v>#REF!</v>
      </c>
      <c r="F551" s="2" t="str">
        <f ca="1">IFERROR(__xludf.DUMMYFUNCTION("iferror(filter('Full Perk List'!F$3:F1498,'Full Perk List'!$D$3:$D1498=$D551),"""")"),"#REF!")</f>
        <v>#REF!</v>
      </c>
      <c r="G551" s="2" t="str">
        <f ca="1">IFERROR(__xludf.DUMMYFUNCTION("iferror(filter('Full Perk List'!G$3:G1498,'Full Perk List'!$D$3:$D1498=$D551),"""")"),"#REF!")</f>
        <v>#REF!</v>
      </c>
      <c r="H551" s="1"/>
      <c r="I551" s="2"/>
      <c r="J551" s="2"/>
      <c r="K551" s="2"/>
      <c r="L551" s="2"/>
      <c r="M551" s="2"/>
      <c r="N551" s="2"/>
      <c r="O551" s="2"/>
      <c r="P551" s="2"/>
      <c r="Q551" s="2"/>
      <c r="R551" s="2"/>
      <c r="S551" s="2"/>
      <c r="T551" s="2"/>
      <c r="U551" s="2"/>
      <c r="V551" s="2"/>
      <c r="W551" s="2"/>
      <c r="X551" s="2"/>
      <c r="Y551" s="2"/>
    </row>
    <row r="552" spans="1:25" ht="17.399999999999999" x14ac:dyDescent="0.25">
      <c r="A552" s="1"/>
      <c r="B552" s="40"/>
      <c r="C552" s="2" t="str">
        <f ca="1">IFERROR(__xludf.DUMMYFUNCTION("iferror(filter('Full Perk List'!C$3:C1498,'Full Perk List'!$D$3:$D1498=$D552),"""")"),"#REF!")</f>
        <v>#REF!</v>
      </c>
      <c r="D552" s="2"/>
      <c r="E552" s="2" t="str">
        <f ca="1">IFERROR(__xludf.DUMMYFUNCTION("iferror(filter('Full Perk List'!E$3:E1498,'Full Perk List'!$D$3:$D1498=$D552),"""")"),"#REF!")</f>
        <v>#REF!</v>
      </c>
      <c r="F552" s="2" t="str">
        <f ca="1">IFERROR(__xludf.DUMMYFUNCTION("iferror(filter('Full Perk List'!F$3:F1498,'Full Perk List'!$D$3:$D1498=$D552),"""")"),"#REF!")</f>
        <v>#REF!</v>
      </c>
      <c r="G552" s="2" t="str">
        <f ca="1">IFERROR(__xludf.DUMMYFUNCTION("iferror(filter('Full Perk List'!G$3:G1498,'Full Perk List'!$D$3:$D1498=$D552),"""")"),"#REF!")</f>
        <v>#REF!</v>
      </c>
      <c r="H552" s="1"/>
      <c r="I552" s="2"/>
      <c r="J552" s="2"/>
      <c r="K552" s="2"/>
      <c r="L552" s="2"/>
      <c r="M552" s="2"/>
      <c r="N552" s="2"/>
      <c r="O552" s="2"/>
      <c r="P552" s="2"/>
      <c r="Q552" s="2"/>
      <c r="R552" s="2"/>
      <c r="S552" s="2"/>
      <c r="T552" s="2"/>
      <c r="U552" s="2"/>
      <c r="V552" s="2"/>
      <c r="W552" s="2"/>
      <c r="X552" s="2"/>
      <c r="Y552" s="2"/>
    </row>
    <row r="553" spans="1:25" ht="17.399999999999999" x14ac:dyDescent="0.25">
      <c r="A553" s="1"/>
      <c r="B553" s="40"/>
      <c r="C553" s="2" t="str">
        <f ca="1">IFERROR(__xludf.DUMMYFUNCTION("iferror(filter('Full Perk List'!C$3:C1498,'Full Perk List'!$D$3:$D1498=$D553),"""")"),"#REF!")</f>
        <v>#REF!</v>
      </c>
      <c r="D553" s="2"/>
      <c r="E553" s="2" t="str">
        <f ca="1">IFERROR(__xludf.DUMMYFUNCTION("iferror(filter('Full Perk List'!E$3:E1498,'Full Perk List'!$D$3:$D1498=$D553),"""")"),"#REF!")</f>
        <v>#REF!</v>
      </c>
      <c r="F553" s="2" t="str">
        <f ca="1">IFERROR(__xludf.DUMMYFUNCTION("iferror(filter('Full Perk List'!F$3:F1498,'Full Perk List'!$D$3:$D1498=$D553),"""")"),"#REF!")</f>
        <v>#REF!</v>
      </c>
      <c r="G553" s="2" t="str">
        <f ca="1">IFERROR(__xludf.DUMMYFUNCTION("iferror(filter('Full Perk List'!G$3:G1498,'Full Perk List'!$D$3:$D1498=$D553),"""")"),"#REF!")</f>
        <v>#REF!</v>
      </c>
      <c r="H553" s="1"/>
      <c r="I553" s="2"/>
      <c r="J553" s="2"/>
      <c r="K553" s="2"/>
      <c r="L553" s="2"/>
      <c r="M553" s="2"/>
      <c r="N553" s="2"/>
      <c r="O553" s="2"/>
      <c r="P553" s="2"/>
      <c r="Q553" s="2"/>
      <c r="R553" s="2"/>
      <c r="S553" s="2"/>
      <c r="T553" s="2"/>
      <c r="U553" s="2"/>
      <c r="V553" s="2"/>
      <c r="W553" s="2"/>
      <c r="X553" s="2"/>
      <c r="Y553" s="2"/>
    </row>
    <row r="554" spans="1:25" ht="17.399999999999999" x14ac:dyDescent="0.25">
      <c r="A554" s="1"/>
      <c r="B554" s="40"/>
      <c r="C554" s="2" t="str">
        <f ca="1">IFERROR(__xludf.DUMMYFUNCTION("iferror(filter('Full Perk List'!C$3:C1498,'Full Perk List'!$D$3:$D1498=$D554),"""")"),"#REF!")</f>
        <v>#REF!</v>
      </c>
      <c r="D554" s="2"/>
      <c r="E554" s="2" t="str">
        <f ca="1">IFERROR(__xludf.DUMMYFUNCTION("iferror(filter('Full Perk List'!E$3:E1498,'Full Perk List'!$D$3:$D1498=$D554),"""")"),"#REF!")</f>
        <v>#REF!</v>
      </c>
      <c r="F554" s="2" t="str">
        <f ca="1">IFERROR(__xludf.DUMMYFUNCTION("iferror(filter('Full Perk List'!F$3:F1498,'Full Perk List'!$D$3:$D1498=$D554),"""")"),"#REF!")</f>
        <v>#REF!</v>
      </c>
      <c r="G554" s="2" t="str">
        <f ca="1">IFERROR(__xludf.DUMMYFUNCTION("iferror(filter('Full Perk List'!G$3:G1498,'Full Perk List'!$D$3:$D1498=$D554),"""")"),"#REF!")</f>
        <v>#REF!</v>
      </c>
      <c r="H554" s="1"/>
      <c r="I554" s="2"/>
      <c r="J554" s="2"/>
      <c r="K554" s="2"/>
      <c r="L554" s="2"/>
      <c r="M554" s="2"/>
      <c r="N554" s="2"/>
      <c r="O554" s="2"/>
      <c r="P554" s="2"/>
      <c r="Q554" s="2"/>
      <c r="R554" s="2"/>
      <c r="S554" s="2"/>
      <c r="T554" s="2"/>
      <c r="U554" s="2"/>
      <c r="V554" s="2"/>
      <c r="W554" s="2"/>
      <c r="X554" s="2"/>
      <c r="Y554" s="2"/>
    </row>
    <row r="555" spans="1:25" ht="17.399999999999999" x14ac:dyDescent="0.25">
      <c r="A555" s="1"/>
      <c r="B555" s="40"/>
      <c r="C555" s="2" t="str">
        <f ca="1">IFERROR(__xludf.DUMMYFUNCTION("iferror(filter('Full Perk List'!C$3:C1498,'Full Perk List'!$D$3:$D1498=$D555),"""")"),"#REF!")</f>
        <v>#REF!</v>
      </c>
      <c r="D555" s="2"/>
      <c r="E555" s="2" t="str">
        <f ca="1">IFERROR(__xludf.DUMMYFUNCTION("iferror(filter('Full Perk List'!E$3:E1498,'Full Perk List'!$D$3:$D1498=$D555),"""")"),"#REF!")</f>
        <v>#REF!</v>
      </c>
      <c r="F555" s="2" t="str">
        <f ca="1">IFERROR(__xludf.DUMMYFUNCTION("iferror(filter('Full Perk List'!F$3:F1498,'Full Perk List'!$D$3:$D1498=$D555),"""")"),"#REF!")</f>
        <v>#REF!</v>
      </c>
      <c r="G555" s="2" t="str">
        <f ca="1">IFERROR(__xludf.DUMMYFUNCTION("iferror(filter('Full Perk List'!G$3:G1498,'Full Perk List'!$D$3:$D1498=$D555),"""")"),"#REF!")</f>
        <v>#REF!</v>
      </c>
      <c r="H555" s="1"/>
      <c r="I555" s="2"/>
      <c r="J555" s="2"/>
      <c r="K555" s="2"/>
      <c r="L555" s="2"/>
      <c r="M555" s="2"/>
      <c r="N555" s="2"/>
      <c r="O555" s="2"/>
      <c r="P555" s="2"/>
      <c r="Q555" s="2"/>
      <c r="R555" s="2"/>
      <c r="S555" s="2"/>
      <c r="T555" s="2"/>
      <c r="U555" s="2"/>
      <c r="V555" s="2"/>
      <c r="W555" s="2"/>
      <c r="X555" s="2"/>
      <c r="Y555" s="2"/>
    </row>
    <row r="556" spans="1:25" ht="17.399999999999999" x14ac:dyDescent="0.25">
      <c r="A556" s="1"/>
      <c r="B556" s="40"/>
      <c r="C556" s="2" t="str">
        <f ca="1">IFERROR(__xludf.DUMMYFUNCTION("iferror(filter('Full Perk List'!C$3:C1498,'Full Perk List'!$D$3:$D1498=$D556),"""")"),"#REF!")</f>
        <v>#REF!</v>
      </c>
      <c r="D556" s="2"/>
      <c r="E556" s="2" t="str">
        <f ca="1">IFERROR(__xludf.DUMMYFUNCTION("iferror(filter('Full Perk List'!E$3:E1498,'Full Perk List'!$D$3:$D1498=$D556),"""")"),"#REF!")</f>
        <v>#REF!</v>
      </c>
      <c r="F556" s="2" t="str">
        <f ca="1">IFERROR(__xludf.DUMMYFUNCTION("iferror(filter('Full Perk List'!F$3:F1498,'Full Perk List'!$D$3:$D1498=$D556),"""")"),"#REF!")</f>
        <v>#REF!</v>
      </c>
      <c r="G556" s="2" t="str">
        <f ca="1">IFERROR(__xludf.DUMMYFUNCTION("iferror(filter('Full Perk List'!G$3:G1498,'Full Perk List'!$D$3:$D1498=$D556),"""")"),"#REF!")</f>
        <v>#REF!</v>
      </c>
      <c r="H556" s="1"/>
      <c r="I556" s="2"/>
      <c r="J556" s="2"/>
      <c r="K556" s="2"/>
      <c r="L556" s="2"/>
      <c r="M556" s="2"/>
      <c r="N556" s="2"/>
      <c r="O556" s="2"/>
      <c r="P556" s="2"/>
      <c r="Q556" s="2"/>
      <c r="R556" s="2"/>
      <c r="S556" s="2"/>
      <c r="T556" s="2"/>
      <c r="U556" s="2"/>
      <c r="V556" s="2"/>
      <c r="W556" s="2"/>
      <c r="X556" s="2"/>
      <c r="Y556" s="2"/>
    </row>
    <row r="557" spans="1:25" ht="17.399999999999999" x14ac:dyDescent="0.25">
      <c r="A557" s="1"/>
      <c r="B557" s="40"/>
      <c r="C557" s="2" t="str">
        <f ca="1">IFERROR(__xludf.DUMMYFUNCTION("iferror(filter('Full Perk List'!C$3:C1498,'Full Perk List'!$D$3:$D1498=$D557),"""")"),"#REF!")</f>
        <v>#REF!</v>
      </c>
      <c r="D557" s="2"/>
      <c r="E557" s="2" t="str">
        <f ca="1">IFERROR(__xludf.DUMMYFUNCTION("iferror(filter('Full Perk List'!E$3:E1498,'Full Perk List'!$D$3:$D1498=$D557),"""")"),"#REF!")</f>
        <v>#REF!</v>
      </c>
      <c r="F557" s="2" t="str">
        <f ca="1">IFERROR(__xludf.DUMMYFUNCTION("iferror(filter('Full Perk List'!F$3:F1498,'Full Perk List'!$D$3:$D1498=$D557),"""")"),"#REF!")</f>
        <v>#REF!</v>
      </c>
      <c r="G557" s="2" t="str">
        <f ca="1">IFERROR(__xludf.DUMMYFUNCTION("iferror(filter('Full Perk List'!G$3:G1498,'Full Perk List'!$D$3:$D1498=$D557),"""")"),"#REF!")</f>
        <v>#REF!</v>
      </c>
      <c r="H557" s="1"/>
      <c r="I557" s="2"/>
      <c r="J557" s="2"/>
      <c r="K557" s="2"/>
      <c r="L557" s="2"/>
      <c r="M557" s="2"/>
      <c r="N557" s="2"/>
      <c r="O557" s="2"/>
      <c r="P557" s="2"/>
      <c r="Q557" s="2"/>
      <c r="R557" s="2"/>
      <c r="S557" s="2"/>
      <c r="T557" s="2"/>
      <c r="U557" s="2"/>
      <c r="V557" s="2"/>
      <c r="W557" s="2"/>
      <c r="X557" s="2"/>
      <c r="Y557" s="2"/>
    </row>
    <row r="558" spans="1:25" ht="17.399999999999999" x14ac:dyDescent="0.25">
      <c r="A558" s="1"/>
      <c r="B558" s="40"/>
      <c r="C558" s="2" t="str">
        <f ca="1">IFERROR(__xludf.DUMMYFUNCTION("iferror(filter('Full Perk List'!C$3:C1498,'Full Perk List'!$D$3:$D1498=$D558),"""")"),"#REF!")</f>
        <v>#REF!</v>
      </c>
      <c r="D558" s="2"/>
      <c r="E558" s="2" t="str">
        <f ca="1">IFERROR(__xludf.DUMMYFUNCTION("iferror(filter('Full Perk List'!E$3:E1498,'Full Perk List'!$D$3:$D1498=$D558),"""")"),"#REF!")</f>
        <v>#REF!</v>
      </c>
      <c r="F558" s="2" t="str">
        <f ca="1">IFERROR(__xludf.DUMMYFUNCTION("iferror(filter('Full Perk List'!F$3:F1498,'Full Perk List'!$D$3:$D1498=$D558),"""")"),"#REF!")</f>
        <v>#REF!</v>
      </c>
      <c r="G558" s="2" t="str">
        <f ca="1">IFERROR(__xludf.DUMMYFUNCTION("iferror(filter('Full Perk List'!G$3:G1498,'Full Perk List'!$D$3:$D1498=$D558),"""")"),"#REF!")</f>
        <v>#REF!</v>
      </c>
      <c r="H558" s="1"/>
      <c r="I558" s="2"/>
      <c r="J558" s="2"/>
      <c r="K558" s="2"/>
      <c r="L558" s="2"/>
      <c r="M558" s="2"/>
      <c r="N558" s="2"/>
      <c r="O558" s="2"/>
      <c r="P558" s="2"/>
      <c r="Q558" s="2"/>
      <c r="R558" s="2"/>
      <c r="S558" s="2"/>
      <c r="T558" s="2"/>
      <c r="U558" s="2"/>
      <c r="V558" s="2"/>
      <c r="W558" s="2"/>
      <c r="X558" s="2"/>
      <c r="Y558" s="2"/>
    </row>
    <row r="559" spans="1:25" ht="17.399999999999999" x14ac:dyDescent="0.25">
      <c r="A559" s="1"/>
      <c r="B559" s="40"/>
      <c r="C559" s="2" t="str">
        <f ca="1">IFERROR(__xludf.DUMMYFUNCTION("iferror(filter('Full Perk List'!C$3:C1498,'Full Perk List'!$D$3:$D1498=$D559),"""")"),"#REF!")</f>
        <v>#REF!</v>
      </c>
      <c r="D559" s="2"/>
      <c r="E559" s="2" t="str">
        <f ca="1">IFERROR(__xludf.DUMMYFUNCTION("iferror(filter('Full Perk List'!E$3:E1498,'Full Perk List'!$D$3:$D1498=$D559),"""")"),"#REF!")</f>
        <v>#REF!</v>
      </c>
      <c r="F559" s="2" t="str">
        <f ca="1">IFERROR(__xludf.DUMMYFUNCTION("iferror(filter('Full Perk List'!F$3:F1498,'Full Perk List'!$D$3:$D1498=$D559),"""")"),"#REF!")</f>
        <v>#REF!</v>
      </c>
      <c r="G559" s="2" t="str">
        <f ca="1">IFERROR(__xludf.DUMMYFUNCTION("iferror(filter('Full Perk List'!G$3:G1498,'Full Perk List'!$D$3:$D1498=$D559),"""")"),"#REF!")</f>
        <v>#REF!</v>
      </c>
      <c r="H559" s="1"/>
      <c r="I559" s="2"/>
      <c r="J559" s="2"/>
      <c r="K559" s="2"/>
      <c r="L559" s="2"/>
      <c r="M559" s="2"/>
      <c r="N559" s="2"/>
      <c r="O559" s="2"/>
      <c r="P559" s="2"/>
      <c r="Q559" s="2"/>
      <c r="R559" s="2"/>
      <c r="S559" s="2"/>
      <c r="T559" s="2"/>
      <c r="U559" s="2"/>
      <c r="V559" s="2"/>
      <c r="W559" s="2"/>
      <c r="X559" s="2"/>
      <c r="Y559" s="2"/>
    </row>
    <row r="560" spans="1:25" ht="17.399999999999999" x14ac:dyDescent="0.25">
      <c r="A560" s="1"/>
      <c r="B560" s="40"/>
      <c r="C560" s="2" t="str">
        <f ca="1">IFERROR(__xludf.DUMMYFUNCTION("iferror(filter('Full Perk List'!C$3:C1498,'Full Perk List'!$D$3:$D1498=$D560),"""")"),"#REF!")</f>
        <v>#REF!</v>
      </c>
      <c r="D560" s="2"/>
      <c r="E560" s="2" t="str">
        <f ca="1">IFERROR(__xludf.DUMMYFUNCTION("iferror(filter('Full Perk List'!E$3:E1498,'Full Perk List'!$D$3:$D1498=$D560),"""")"),"#REF!")</f>
        <v>#REF!</v>
      </c>
      <c r="F560" s="2" t="str">
        <f ca="1">IFERROR(__xludf.DUMMYFUNCTION("iferror(filter('Full Perk List'!F$3:F1498,'Full Perk List'!$D$3:$D1498=$D560),"""")"),"#REF!")</f>
        <v>#REF!</v>
      </c>
      <c r="G560" s="2" t="str">
        <f ca="1">IFERROR(__xludf.DUMMYFUNCTION("iferror(filter('Full Perk List'!G$3:G1498,'Full Perk List'!$D$3:$D1498=$D560),"""")"),"#REF!")</f>
        <v>#REF!</v>
      </c>
      <c r="H560" s="1"/>
      <c r="I560" s="2"/>
      <c r="J560" s="2"/>
      <c r="K560" s="2"/>
      <c r="L560" s="2"/>
      <c r="M560" s="2"/>
      <c r="N560" s="2"/>
      <c r="O560" s="2"/>
      <c r="P560" s="2"/>
      <c r="Q560" s="2"/>
      <c r="R560" s="2"/>
      <c r="S560" s="2"/>
      <c r="T560" s="2"/>
      <c r="U560" s="2"/>
      <c r="V560" s="2"/>
      <c r="W560" s="2"/>
      <c r="X560" s="2"/>
      <c r="Y560" s="2"/>
    </row>
    <row r="561" spans="1:25" ht="17.399999999999999" x14ac:dyDescent="0.25">
      <c r="A561" s="1"/>
      <c r="B561" s="40"/>
      <c r="C561" s="2" t="str">
        <f ca="1">IFERROR(__xludf.DUMMYFUNCTION("iferror(filter('Full Perk List'!C$3:C1498,'Full Perk List'!$D$3:$D1498=$D561),"""")"),"#REF!")</f>
        <v>#REF!</v>
      </c>
      <c r="D561" s="2"/>
      <c r="E561" s="2" t="str">
        <f ca="1">IFERROR(__xludf.DUMMYFUNCTION("iferror(filter('Full Perk List'!E$3:E1498,'Full Perk List'!$D$3:$D1498=$D561),"""")"),"#REF!")</f>
        <v>#REF!</v>
      </c>
      <c r="F561" s="2" t="str">
        <f ca="1">IFERROR(__xludf.DUMMYFUNCTION("iferror(filter('Full Perk List'!F$3:F1498,'Full Perk List'!$D$3:$D1498=$D561),"""")"),"#REF!")</f>
        <v>#REF!</v>
      </c>
      <c r="G561" s="2" t="str">
        <f ca="1">IFERROR(__xludf.DUMMYFUNCTION("iferror(filter('Full Perk List'!G$3:G1498,'Full Perk List'!$D$3:$D1498=$D561),"""")"),"#REF!")</f>
        <v>#REF!</v>
      </c>
      <c r="H561" s="1"/>
      <c r="I561" s="2"/>
      <c r="J561" s="2"/>
      <c r="K561" s="2"/>
      <c r="L561" s="2"/>
      <c r="M561" s="2"/>
      <c r="N561" s="2"/>
      <c r="O561" s="2"/>
      <c r="P561" s="2"/>
      <c r="Q561" s="2"/>
      <c r="R561" s="2"/>
      <c r="S561" s="2"/>
      <c r="T561" s="2"/>
      <c r="U561" s="2"/>
      <c r="V561" s="2"/>
      <c r="W561" s="2"/>
      <c r="X561" s="2"/>
      <c r="Y561" s="2"/>
    </row>
    <row r="562" spans="1:25" ht="17.399999999999999" x14ac:dyDescent="0.25">
      <c r="A562" s="1"/>
      <c r="B562" s="40"/>
      <c r="C562" s="2" t="str">
        <f ca="1">IFERROR(__xludf.DUMMYFUNCTION("iferror(filter('Full Perk List'!C$3:C1498,'Full Perk List'!$D$3:$D1498=$D562),"""")"),"#REF!")</f>
        <v>#REF!</v>
      </c>
      <c r="D562" s="2"/>
      <c r="E562" s="2" t="str">
        <f ca="1">IFERROR(__xludf.DUMMYFUNCTION("iferror(filter('Full Perk List'!E$3:E1498,'Full Perk List'!$D$3:$D1498=$D562),"""")"),"#REF!")</f>
        <v>#REF!</v>
      </c>
      <c r="F562" s="2" t="str">
        <f ca="1">IFERROR(__xludf.DUMMYFUNCTION("iferror(filter('Full Perk List'!F$3:F1498,'Full Perk List'!$D$3:$D1498=$D562),"""")"),"#REF!")</f>
        <v>#REF!</v>
      </c>
      <c r="G562" s="2" t="str">
        <f ca="1">IFERROR(__xludf.DUMMYFUNCTION("iferror(filter('Full Perk List'!G$3:G1498,'Full Perk List'!$D$3:$D1498=$D562),"""")"),"#REF!")</f>
        <v>#REF!</v>
      </c>
      <c r="H562" s="1"/>
      <c r="I562" s="2"/>
      <c r="J562" s="2"/>
      <c r="K562" s="2"/>
      <c r="L562" s="2"/>
      <c r="M562" s="2"/>
      <c r="N562" s="2"/>
      <c r="O562" s="2"/>
      <c r="P562" s="2"/>
      <c r="Q562" s="2"/>
      <c r="R562" s="2"/>
      <c r="S562" s="2"/>
      <c r="T562" s="2"/>
      <c r="U562" s="2"/>
      <c r="V562" s="2"/>
      <c r="W562" s="2"/>
      <c r="X562" s="2"/>
      <c r="Y562" s="2"/>
    </row>
    <row r="563" spans="1:25" ht="17.399999999999999" x14ac:dyDescent="0.25">
      <c r="A563" s="1"/>
      <c r="B563" s="40"/>
      <c r="C563" s="2" t="str">
        <f ca="1">IFERROR(__xludf.DUMMYFUNCTION("iferror(filter('Full Perk List'!C$3:C1498,'Full Perk List'!$D$3:$D1498=$D563),"""")"),"#REF!")</f>
        <v>#REF!</v>
      </c>
      <c r="D563" s="2"/>
      <c r="E563" s="2" t="str">
        <f ca="1">IFERROR(__xludf.DUMMYFUNCTION("iferror(filter('Full Perk List'!E$3:E1498,'Full Perk List'!$D$3:$D1498=$D563),"""")"),"#REF!")</f>
        <v>#REF!</v>
      </c>
      <c r="F563" s="2" t="str">
        <f ca="1">IFERROR(__xludf.DUMMYFUNCTION("iferror(filter('Full Perk List'!F$3:F1498,'Full Perk List'!$D$3:$D1498=$D563),"""")"),"#REF!")</f>
        <v>#REF!</v>
      </c>
      <c r="G563" s="2" t="str">
        <f ca="1">IFERROR(__xludf.DUMMYFUNCTION("iferror(filter('Full Perk List'!G$3:G1498,'Full Perk List'!$D$3:$D1498=$D563),"""")"),"#REF!")</f>
        <v>#REF!</v>
      </c>
      <c r="H563" s="1"/>
      <c r="I563" s="2"/>
      <c r="J563" s="2"/>
      <c r="K563" s="2"/>
      <c r="L563" s="2"/>
      <c r="M563" s="2"/>
      <c r="N563" s="2"/>
      <c r="O563" s="2"/>
      <c r="P563" s="2"/>
      <c r="Q563" s="2"/>
      <c r="R563" s="2"/>
      <c r="S563" s="2"/>
      <c r="T563" s="2"/>
      <c r="U563" s="2"/>
      <c r="V563" s="2"/>
      <c r="W563" s="2"/>
      <c r="X563" s="2"/>
      <c r="Y563" s="2"/>
    </row>
    <row r="564" spans="1:25" ht="17.399999999999999" x14ac:dyDescent="0.25">
      <c r="A564" s="1"/>
      <c r="B564" s="40"/>
      <c r="C564" s="2" t="str">
        <f ca="1">IFERROR(__xludf.DUMMYFUNCTION("iferror(filter('Full Perk List'!C$3:C1498,'Full Perk List'!$D$3:$D1498=$D564),"""")"),"#REF!")</f>
        <v>#REF!</v>
      </c>
      <c r="D564" s="2"/>
      <c r="E564" s="2" t="str">
        <f ca="1">IFERROR(__xludf.DUMMYFUNCTION("iferror(filter('Full Perk List'!E$3:E1498,'Full Perk List'!$D$3:$D1498=$D564),"""")"),"#REF!")</f>
        <v>#REF!</v>
      </c>
      <c r="F564" s="2" t="str">
        <f ca="1">IFERROR(__xludf.DUMMYFUNCTION("iferror(filter('Full Perk List'!F$3:F1498,'Full Perk List'!$D$3:$D1498=$D564),"""")"),"#REF!")</f>
        <v>#REF!</v>
      </c>
      <c r="G564" s="2" t="str">
        <f ca="1">IFERROR(__xludf.DUMMYFUNCTION("iferror(filter('Full Perk List'!G$3:G1498,'Full Perk List'!$D$3:$D1498=$D564),"""")"),"#REF!")</f>
        <v>#REF!</v>
      </c>
      <c r="H564" s="1"/>
      <c r="I564" s="2"/>
      <c r="J564" s="2"/>
      <c r="K564" s="2"/>
      <c r="L564" s="2"/>
      <c r="M564" s="2"/>
      <c r="N564" s="2"/>
      <c r="O564" s="2"/>
      <c r="P564" s="2"/>
      <c r="Q564" s="2"/>
      <c r="R564" s="2"/>
      <c r="S564" s="2"/>
      <c r="T564" s="2"/>
      <c r="U564" s="2"/>
      <c r="V564" s="2"/>
      <c r="W564" s="2"/>
      <c r="X564" s="2"/>
      <c r="Y564" s="2"/>
    </row>
    <row r="565" spans="1:25" ht="17.399999999999999" x14ac:dyDescent="0.25">
      <c r="A565" s="1"/>
      <c r="B565" s="40"/>
      <c r="C565" s="2" t="str">
        <f ca="1">IFERROR(__xludf.DUMMYFUNCTION("iferror(filter('Full Perk List'!C$3:C1498,'Full Perk List'!$D$3:$D1498=$D565),"""")"),"#REF!")</f>
        <v>#REF!</v>
      </c>
      <c r="D565" s="2"/>
      <c r="E565" s="2" t="str">
        <f ca="1">IFERROR(__xludf.DUMMYFUNCTION("iferror(filter('Full Perk List'!E$3:E1498,'Full Perk List'!$D$3:$D1498=$D565),"""")"),"#REF!")</f>
        <v>#REF!</v>
      </c>
      <c r="F565" s="2" t="str">
        <f ca="1">IFERROR(__xludf.DUMMYFUNCTION("iferror(filter('Full Perk List'!F$3:F1498,'Full Perk List'!$D$3:$D1498=$D565),"""")"),"#REF!")</f>
        <v>#REF!</v>
      </c>
      <c r="G565" s="2" t="str">
        <f ca="1">IFERROR(__xludf.DUMMYFUNCTION("iferror(filter('Full Perk List'!G$3:G1498,'Full Perk List'!$D$3:$D1498=$D565),"""")"),"#REF!")</f>
        <v>#REF!</v>
      </c>
      <c r="H565" s="1"/>
      <c r="I565" s="2"/>
      <c r="J565" s="2"/>
      <c r="K565" s="2"/>
      <c r="L565" s="2"/>
      <c r="M565" s="2"/>
      <c r="N565" s="2"/>
      <c r="O565" s="2"/>
      <c r="P565" s="2"/>
      <c r="Q565" s="2"/>
      <c r="R565" s="2"/>
      <c r="S565" s="2"/>
      <c r="T565" s="2"/>
      <c r="U565" s="2"/>
      <c r="V565" s="2"/>
      <c r="W565" s="2"/>
      <c r="X565" s="2"/>
      <c r="Y565" s="2"/>
    </row>
    <row r="566" spans="1:25" ht="17.399999999999999" x14ac:dyDescent="0.25">
      <c r="A566" s="1"/>
      <c r="B566" s="40"/>
      <c r="C566" s="2" t="str">
        <f ca="1">IFERROR(__xludf.DUMMYFUNCTION("iferror(filter('Full Perk List'!C$3:C1498,'Full Perk List'!$D$3:$D1498=$D566),"""")"),"#REF!")</f>
        <v>#REF!</v>
      </c>
      <c r="D566" s="2"/>
      <c r="E566" s="2" t="str">
        <f ca="1">IFERROR(__xludf.DUMMYFUNCTION("iferror(filter('Full Perk List'!E$3:E1498,'Full Perk List'!$D$3:$D1498=$D566),"""")"),"#REF!")</f>
        <v>#REF!</v>
      </c>
      <c r="F566" s="2" t="str">
        <f ca="1">IFERROR(__xludf.DUMMYFUNCTION("iferror(filter('Full Perk List'!F$3:F1498,'Full Perk List'!$D$3:$D1498=$D566),"""")"),"#REF!")</f>
        <v>#REF!</v>
      </c>
      <c r="G566" s="2" t="str">
        <f ca="1">IFERROR(__xludf.DUMMYFUNCTION("iferror(filter('Full Perk List'!G$3:G1498,'Full Perk List'!$D$3:$D1498=$D566),"""")"),"#REF!")</f>
        <v>#REF!</v>
      </c>
      <c r="H566" s="1"/>
      <c r="I566" s="2"/>
      <c r="J566" s="2"/>
      <c r="K566" s="2"/>
      <c r="L566" s="2"/>
      <c r="M566" s="2"/>
      <c r="N566" s="2"/>
      <c r="O566" s="2"/>
      <c r="P566" s="2"/>
      <c r="Q566" s="2"/>
      <c r="R566" s="2"/>
      <c r="S566" s="2"/>
      <c r="T566" s="2"/>
      <c r="U566" s="2"/>
      <c r="V566" s="2"/>
      <c r="W566" s="2"/>
      <c r="X566" s="2"/>
      <c r="Y566" s="2"/>
    </row>
    <row r="567" spans="1:25" ht="17.399999999999999" x14ac:dyDescent="0.25">
      <c r="A567" s="1"/>
      <c r="B567" s="40"/>
      <c r="C567" s="2" t="str">
        <f ca="1">IFERROR(__xludf.DUMMYFUNCTION("iferror(filter('Full Perk List'!C$3:C1498,'Full Perk List'!$D$3:$D1498=$D567),"""")"),"#REF!")</f>
        <v>#REF!</v>
      </c>
      <c r="D567" s="2"/>
      <c r="E567" s="2" t="str">
        <f ca="1">IFERROR(__xludf.DUMMYFUNCTION("iferror(filter('Full Perk List'!E$3:E1498,'Full Perk List'!$D$3:$D1498=$D567),"""")"),"#REF!")</f>
        <v>#REF!</v>
      </c>
      <c r="F567" s="2" t="str">
        <f ca="1">IFERROR(__xludf.DUMMYFUNCTION("iferror(filter('Full Perk List'!F$3:F1498,'Full Perk List'!$D$3:$D1498=$D567),"""")"),"#REF!")</f>
        <v>#REF!</v>
      </c>
      <c r="G567" s="2" t="str">
        <f ca="1">IFERROR(__xludf.DUMMYFUNCTION("iferror(filter('Full Perk List'!G$3:G1498,'Full Perk List'!$D$3:$D1498=$D567),"""")"),"#REF!")</f>
        <v>#REF!</v>
      </c>
      <c r="H567" s="1"/>
      <c r="I567" s="2"/>
      <c r="J567" s="2"/>
      <c r="K567" s="2"/>
      <c r="L567" s="2"/>
      <c r="M567" s="2"/>
      <c r="N567" s="2"/>
      <c r="O567" s="2"/>
      <c r="P567" s="2"/>
      <c r="Q567" s="2"/>
      <c r="R567" s="2"/>
      <c r="S567" s="2"/>
      <c r="T567" s="2"/>
      <c r="U567" s="2"/>
      <c r="V567" s="2"/>
      <c r="W567" s="2"/>
      <c r="X567" s="2"/>
      <c r="Y567" s="2"/>
    </row>
    <row r="568" spans="1:25" ht="17.399999999999999" x14ac:dyDescent="0.25">
      <c r="A568" s="1"/>
      <c r="B568" s="40"/>
      <c r="C568" s="2" t="str">
        <f ca="1">IFERROR(__xludf.DUMMYFUNCTION("iferror(filter('Full Perk List'!C$3:C1498,'Full Perk List'!$D$3:$D1498=$D568),"""")"),"#REF!")</f>
        <v>#REF!</v>
      </c>
      <c r="D568" s="2"/>
      <c r="E568" s="2" t="str">
        <f ca="1">IFERROR(__xludf.DUMMYFUNCTION("iferror(filter('Full Perk List'!E$3:E1498,'Full Perk List'!$D$3:$D1498=$D568),"""")"),"#REF!")</f>
        <v>#REF!</v>
      </c>
      <c r="F568" s="2" t="str">
        <f ca="1">IFERROR(__xludf.DUMMYFUNCTION("iferror(filter('Full Perk List'!F$3:F1498,'Full Perk List'!$D$3:$D1498=$D568),"""")"),"#REF!")</f>
        <v>#REF!</v>
      </c>
      <c r="G568" s="2" t="str">
        <f ca="1">IFERROR(__xludf.DUMMYFUNCTION("iferror(filter('Full Perk List'!G$3:G1498,'Full Perk List'!$D$3:$D1498=$D568),"""")"),"#REF!")</f>
        <v>#REF!</v>
      </c>
      <c r="H568" s="1"/>
      <c r="I568" s="2"/>
      <c r="J568" s="2"/>
      <c r="K568" s="2"/>
      <c r="L568" s="2"/>
      <c r="M568" s="2"/>
      <c r="N568" s="2"/>
      <c r="O568" s="2"/>
      <c r="P568" s="2"/>
      <c r="Q568" s="2"/>
      <c r="R568" s="2"/>
      <c r="S568" s="2"/>
      <c r="T568" s="2"/>
      <c r="U568" s="2"/>
      <c r="V568" s="2"/>
      <c r="W568" s="2"/>
      <c r="X568" s="2"/>
      <c r="Y568" s="2"/>
    </row>
    <row r="569" spans="1:25" ht="17.399999999999999" x14ac:dyDescent="0.25">
      <c r="A569" s="1"/>
      <c r="B569" s="40"/>
      <c r="C569" s="2" t="str">
        <f ca="1">IFERROR(__xludf.DUMMYFUNCTION("iferror(filter('Full Perk List'!C$3:C1498,'Full Perk List'!$D$3:$D1498=$D569),"""")"),"#REF!")</f>
        <v>#REF!</v>
      </c>
      <c r="D569" s="2"/>
      <c r="E569" s="2" t="str">
        <f ca="1">IFERROR(__xludf.DUMMYFUNCTION("iferror(filter('Full Perk List'!E$3:E1498,'Full Perk List'!$D$3:$D1498=$D569),"""")"),"#REF!")</f>
        <v>#REF!</v>
      </c>
      <c r="F569" s="2" t="str">
        <f ca="1">IFERROR(__xludf.DUMMYFUNCTION("iferror(filter('Full Perk List'!F$3:F1498,'Full Perk List'!$D$3:$D1498=$D569),"""")"),"#REF!")</f>
        <v>#REF!</v>
      </c>
      <c r="G569" s="2" t="str">
        <f ca="1">IFERROR(__xludf.DUMMYFUNCTION("iferror(filter('Full Perk List'!G$3:G1498,'Full Perk List'!$D$3:$D1498=$D569),"""")"),"#REF!")</f>
        <v>#REF!</v>
      </c>
      <c r="H569" s="1"/>
      <c r="I569" s="2"/>
      <c r="J569" s="2"/>
      <c r="K569" s="2"/>
      <c r="L569" s="2"/>
      <c r="M569" s="2"/>
      <c r="N569" s="2"/>
      <c r="O569" s="2"/>
      <c r="P569" s="2"/>
      <c r="Q569" s="2"/>
      <c r="R569" s="2"/>
      <c r="S569" s="2"/>
      <c r="T569" s="2"/>
      <c r="U569" s="2"/>
      <c r="V569" s="2"/>
      <c r="W569" s="2"/>
      <c r="X569" s="2"/>
      <c r="Y569" s="2"/>
    </row>
    <row r="570" spans="1:25" ht="17.399999999999999" x14ac:dyDescent="0.25">
      <c r="A570" s="1"/>
      <c r="B570" s="40"/>
      <c r="C570" s="2" t="str">
        <f ca="1">IFERROR(__xludf.DUMMYFUNCTION("iferror(filter('Full Perk List'!C$3:C1498,'Full Perk List'!$D$3:$D1498=$D570),"""")"),"#REF!")</f>
        <v>#REF!</v>
      </c>
      <c r="D570" s="2"/>
      <c r="E570" s="2" t="str">
        <f ca="1">IFERROR(__xludf.DUMMYFUNCTION("iferror(filter('Full Perk List'!E$3:E1498,'Full Perk List'!$D$3:$D1498=$D570),"""")"),"#REF!")</f>
        <v>#REF!</v>
      </c>
      <c r="F570" s="2" t="str">
        <f ca="1">IFERROR(__xludf.DUMMYFUNCTION("iferror(filter('Full Perk List'!F$3:F1498,'Full Perk List'!$D$3:$D1498=$D570),"""")"),"#REF!")</f>
        <v>#REF!</v>
      </c>
      <c r="G570" s="2" t="str">
        <f ca="1">IFERROR(__xludf.DUMMYFUNCTION("iferror(filter('Full Perk List'!G$3:G1498,'Full Perk List'!$D$3:$D1498=$D570),"""")"),"#REF!")</f>
        <v>#REF!</v>
      </c>
      <c r="H570" s="1"/>
      <c r="I570" s="2"/>
      <c r="J570" s="2"/>
      <c r="K570" s="2"/>
      <c r="L570" s="2"/>
      <c r="M570" s="2"/>
      <c r="N570" s="2"/>
      <c r="O570" s="2"/>
      <c r="P570" s="2"/>
      <c r="Q570" s="2"/>
      <c r="R570" s="2"/>
      <c r="S570" s="2"/>
      <c r="T570" s="2"/>
      <c r="U570" s="2"/>
      <c r="V570" s="2"/>
      <c r="W570" s="2"/>
      <c r="X570" s="2"/>
      <c r="Y570" s="2"/>
    </row>
    <row r="571" spans="1:25" ht="17.399999999999999" x14ac:dyDescent="0.25">
      <c r="A571" s="1"/>
      <c r="B571" s="40"/>
      <c r="C571" s="2" t="str">
        <f ca="1">IFERROR(__xludf.DUMMYFUNCTION("iferror(filter('Full Perk List'!C$3:C1498,'Full Perk List'!$D$3:$D1498=$D571),"""")"),"#REF!")</f>
        <v>#REF!</v>
      </c>
      <c r="D571" s="2"/>
      <c r="E571" s="2" t="str">
        <f ca="1">IFERROR(__xludf.DUMMYFUNCTION("iferror(filter('Full Perk List'!E$3:E1498,'Full Perk List'!$D$3:$D1498=$D571),"""")"),"#REF!")</f>
        <v>#REF!</v>
      </c>
      <c r="F571" s="2" t="str">
        <f ca="1">IFERROR(__xludf.DUMMYFUNCTION("iferror(filter('Full Perk List'!F$3:F1498,'Full Perk List'!$D$3:$D1498=$D571),"""")"),"#REF!")</f>
        <v>#REF!</v>
      </c>
      <c r="G571" s="2" t="str">
        <f ca="1">IFERROR(__xludf.DUMMYFUNCTION("iferror(filter('Full Perk List'!G$3:G1498,'Full Perk List'!$D$3:$D1498=$D571),"""")"),"#REF!")</f>
        <v>#REF!</v>
      </c>
      <c r="H571" s="1"/>
      <c r="I571" s="2"/>
      <c r="J571" s="2"/>
      <c r="K571" s="2"/>
      <c r="L571" s="2"/>
      <c r="M571" s="2"/>
      <c r="N571" s="2"/>
      <c r="O571" s="2"/>
      <c r="P571" s="2"/>
      <c r="Q571" s="2"/>
      <c r="R571" s="2"/>
      <c r="S571" s="2"/>
      <c r="T571" s="2"/>
      <c r="U571" s="2"/>
      <c r="V571" s="2"/>
      <c r="W571" s="2"/>
      <c r="X571" s="2"/>
      <c r="Y571" s="2"/>
    </row>
    <row r="572" spans="1:25" ht="17.399999999999999" x14ac:dyDescent="0.25">
      <c r="A572" s="1"/>
      <c r="B572" s="40"/>
      <c r="C572" s="2" t="str">
        <f ca="1">IFERROR(__xludf.DUMMYFUNCTION("iferror(filter('Full Perk List'!C$3:C1498,'Full Perk List'!$D$3:$D1498=$D572),"""")"),"#REF!")</f>
        <v>#REF!</v>
      </c>
      <c r="D572" s="2"/>
      <c r="E572" s="2" t="str">
        <f ca="1">IFERROR(__xludf.DUMMYFUNCTION("iferror(filter('Full Perk List'!E$3:E1498,'Full Perk List'!$D$3:$D1498=$D572),"""")"),"#REF!")</f>
        <v>#REF!</v>
      </c>
      <c r="F572" s="2" t="str">
        <f ca="1">IFERROR(__xludf.DUMMYFUNCTION("iferror(filter('Full Perk List'!F$3:F1498,'Full Perk List'!$D$3:$D1498=$D572),"""")"),"#REF!")</f>
        <v>#REF!</v>
      </c>
      <c r="G572" s="2" t="str">
        <f ca="1">IFERROR(__xludf.DUMMYFUNCTION("iferror(filter('Full Perk List'!G$3:G1498,'Full Perk List'!$D$3:$D1498=$D572),"""")"),"#REF!")</f>
        <v>#REF!</v>
      </c>
      <c r="H572" s="1"/>
      <c r="I572" s="2"/>
      <c r="J572" s="2"/>
      <c r="K572" s="2"/>
      <c r="L572" s="2"/>
      <c r="M572" s="2"/>
      <c r="N572" s="2"/>
      <c r="O572" s="2"/>
      <c r="P572" s="2"/>
      <c r="Q572" s="2"/>
      <c r="R572" s="2"/>
      <c r="S572" s="2"/>
      <c r="T572" s="2"/>
      <c r="U572" s="2"/>
      <c r="V572" s="2"/>
      <c r="W572" s="2"/>
      <c r="X572" s="2"/>
      <c r="Y572" s="2"/>
    </row>
    <row r="573" spans="1:25" ht="17.399999999999999" x14ac:dyDescent="0.25">
      <c r="A573" s="1"/>
      <c r="B573" s="40"/>
      <c r="C573" s="2" t="str">
        <f ca="1">IFERROR(__xludf.DUMMYFUNCTION("iferror(filter('Full Perk List'!C$3:C1498,'Full Perk List'!$D$3:$D1498=$D573),"""")"),"#REF!")</f>
        <v>#REF!</v>
      </c>
      <c r="D573" s="2"/>
      <c r="E573" s="2" t="str">
        <f ca="1">IFERROR(__xludf.DUMMYFUNCTION("iferror(filter('Full Perk List'!E$3:E1498,'Full Perk List'!$D$3:$D1498=$D573),"""")"),"#REF!")</f>
        <v>#REF!</v>
      </c>
      <c r="F573" s="2" t="str">
        <f ca="1">IFERROR(__xludf.DUMMYFUNCTION("iferror(filter('Full Perk List'!F$3:F1498,'Full Perk List'!$D$3:$D1498=$D573),"""")"),"#REF!")</f>
        <v>#REF!</v>
      </c>
      <c r="G573" s="2" t="str">
        <f ca="1">IFERROR(__xludf.DUMMYFUNCTION("iferror(filter('Full Perk List'!G$3:G1498,'Full Perk List'!$D$3:$D1498=$D573),"""")"),"#REF!")</f>
        <v>#REF!</v>
      </c>
      <c r="H573" s="1"/>
      <c r="I573" s="2"/>
      <c r="J573" s="2"/>
      <c r="K573" s="2"/>
      <c r="L573" s="2"/>
      <c r="M573" s="2"/>
      <c r="N573" s="2"/>
      <c r="O573" s="2"/>
      <c r="P573" s="2"/>
      <c r="Q573" s="2"/>
      <c r="R573" s="2"/>
      <c r="S573" s="2"/>
      <c r="T573" s="2"/>
      <c r="U573" s="2"/>
      <c r="V573" s="2"/>
      <c r="W573" s="2"/>
      <c r="X573" s="2"/>
      <c r="Y573" s="2"/>
    </row>
    <row r="574" spans="1:25" ht="17.399999999999999" x14ac:dyDescent="0.25">
      <c r="A574" s="1"/>
      <c r="B574" s="40"/>
      <c r="C574" s="2" t="str">
        <f ca="1">IFERROR(__xludf.DUMMYFUNCTION("iferror(filter('Full Perk List'!C$3:C1498,'Full Perk List'!$D$3:$D1498=$D574),"""")"),"#REF!")</f>
        <v>#REF!</v>
      </c>
      <c r="D574" s="2"/>
      <c r="E574" s="2" t="str">
        <f ca="1">IFERROR(__xludf.DUMMYFUNCTION("iferror(filter('Full Perk List'!E$3:E1498,'Full Perk List'!$D$3:$D1498=$D574),"""")"),"#REF!")</f>
        <v>#REF!</v>
      </c>
      <c r="F574" s="2" t="str">
        <f ca="1">IFERROR(__xludf.DUMMYFUNCTION("iferror(filter('Full Perk List'!F$3:F1498,'Full Perk List'!$D$3:$D1498=$D574),"""")"),"#REF!")</f>
        <v>#REF!</v>
      </c>
      <c r="G574" s="2" t="str">
        <f ca="1">IFERROR(__xludf.DUMMYFUNCTION("iferror(filter('Full Perk List'!G$3:G1498,'Full Perk List'!$D$3:$D1498=$D574),"""")"),"#REF!")</f>
        <v>#REF!</v>
      </c>
      <c r="H574" s="1"/>
      <c r="I574" s="2"/>
      <c r="J574" s="2"/>
      <c r="K574" s="2"/>
      <c r="L574" s="2"/>
      <c r="M574" s="2"/>
      <c r="N574" s="2"/>
      <c r="O574" s="2"/>
      <c r="P574" s="2"/>
      <c r="Q574" s="2"/>
      <c r="R574" s="2"/>
      <c r="S574" s="2"/>
      <c r="T574" s="2"/>
      <c r="U574" s="2"/>
      <c r="V574" s="2"/>
      <c r="W574" s="2"/>
      <c r="X574" s="2"/>
      <c r="Y574" s="2"/>
    </row>
    <row r="575" spans="1:25" ht="17.399999999999999" x14ac:dyDescent="0.25">
      <c r="A575" s="1"/>
      <c r="B575" s="40"/>
      <c r="C575" s="2" t="str">
        <f ca="1">IFERROR(__xludf.DUMMYFUNCTION("iferror(filter('Full Perk List'!C$3:C1498,'Full Perk List'!$D$3:$D1498=$D575),"""")"),"#REF!")</f>
        <v>#REF!</v>
      </c>
      <c r="D575" s="2"/>
      <c r="E575" s="2" t="str">
        <f ca="1">IFERROR(__xludf.DUMMYFUNCTION("iferror(filter('Full Perk List'!E$3:E1498,'Full Perk List'!$D$3:$D1498=$D575),"""")"),"#REF!")</f>
        <v>#REF!</v>
      </c>
      <c r="F575" s="2" t="str">
        <f ca="1">IFERROR(__xludf.DUMMYFUNCTION("iferror(filter('Full Perk List'!F$3:F1498,'Full Perk List'!$D$3:$D1498=$D575),"""")"),"#REF!")</f>
        <v>#REF!</v>
      </c>
      <c r="G575" s="2" t="str">
        <f ca="1">IFERROR(__xludf.DUMMYFUNCTION("iferror(filter('Full Perk List'!G$3:G1498,'Full Perk List'!$D$3:$D1498=$D575),"""")"),"#REF!")</f>
        <v>#REF!</v>
      </c>
      <c r="H575" s="1"/>
      <c r="I575" s="2"/>
      <c r="J575" s="2"/>
      <c r="K575" s="2"/>
      <c r="L575" s="2"/>
      <c r="M575" s="2"/>
      <c r="N575" s="2"/>
      <c r="O575" s="2"/>
      <c r="P575" s="2"/>
      <c r="Q575" s="2"/>
      <c r="R575" s="2"/>
      <c r="S575" s="2"/>
      <c r="T575" s="2"/>
      <c r="U575" s="2"/>
      <c r="V575" s="2"/>
      <c r="W575" s="2"/>
      <c r="X575" s="2"/>
      <c r="Y575" s="2"/>
    </row>
    <row r="576" spans="1:25" ht="17.399999999999999" x14ac:dyDescent="0.25">
      <c r="A576" s="1"/>
      <c r="B576" s="40"/>
      <c r="C576" s="2" t="str">
        <f ca="1">IFERROR(__xludf.DUMMYFUNCTION("iferror(filter('Full Perk List'!C$3:C1498,'Full Perk List'!$D$3:$D1498=$D576),"""")"),"#REF!")</f>
        <v>#REF!</v>
      </c>
      <c r="D576" s="2"/>
      <c r="E576" s="2" t="str">
        <f ca="1">IFERROR(__xludf.DUMMYFUNCTION("iferror(filter('Full Perk List'!E$3:E1498,'Full Perk List'!$D$3:$D1498=$D576),"""")"),"#REF!")</f>
        <v>#REF!</v>
      </c>
      <c r="F576" s="2" t="str">
        <f ca="1">IFERROR(__xludf.DUMMYFUNCTION("iferror(filter('Full Perk List'!F$3:F1498,'Full Perk List'!$D$3:$D1498=$D576),"""")"),"#REF!")</f>
        <v>#REF!</v>
      </c>
      <c r="G576" s="2" t="str">
        <f ca="1">IFERROR(__xludf.DUMMYFUNCTION("iferror(filter('Full Perk List'!G$3:G1498,'Full Perk List'!$D$3:$D1498=$D576),"""")"),"#REF!")</f>
        <v>#REF!</v>
      </c>
      <c r="H576" s="1"/>
      <c r="I576" s="2"/>
      <c r="J576" s="2"/>
      <c r="K576" s="2"/>
      <c r="L576" s="2"/>
      <c r="M576" s="2"/>
      <c r="N576" s="2"/>
      <c r="O576" s="2"/>
      <c r="P576" s="2"/>
      <c r="Q576" s="2"/>
      <c r="R576" s="2"/>
      <c r="S576" s="2"/>
      <c r="T576" s="2"/>
      <c r="U576" s="2"/>
      <c r="V576" s="2"/>
      <c r="W576" s="2"/>
      <c r="X576" s="2"/>
      <c r="Y576" s="2"/>
    </row>
    <row r="577" spans="1:25" ht="17.399999999999999" x14ac:dyDescent="0.25">
      <c r="A577" s="1"/>
      <c r="B577" s="40"/>
      <c r="C577" s="2" t="str">
        <f ca="1">IFERROR(__xludf.DUMMYFUNCTION("iferror(filter('Full Perk List'!C$3:C1498,'Full Perk List'!$D$3:$D1498=$D577),"""")"),"#REF!")</f>
        <v>#REF!</v>
      </c>
      <c r="D577" s="2"/>
      <c r="E577" s="2" t="str">
        <f ca="1">IFERROR(__xludf.DUMMYFUNCTION("iferror(filter('Full Perk List'!E$3:E1498,'Full Perk List'!$D$3:$D1498=$D577),"""")"),"#REF!")</f>
        <v>#REF!</v>
      </c>
      <c r="F577" s="2" t="str">
        <f ca="1">IFERROR(__xludf.DUMMYFUNCTION("iferror(filter('Full Perk List'!F$3:F1498,'Full Perk List'!$D$3:$D1498=$D577),"""")"),"#REF!")</f>
        <v>#REF!</v>
      </c>
      <c r="G577" s="2" t="str">
        <f ca="1">IFERROR(__xludf.DUMMYFUNCTION("iferror(filter('Full Perk List'!G$3:G1498,'Full Perk List'!$D$3:$D1498=$D577),"""")"),"#REF!")</f>
        <v>#REF!</v>
      </c>
      <c r="H577" s="1"/>
      <c r="I577" s="2"/>
      <c r="J577" s="2"/>
      <c r="K577" s="2"/>
      <c r="L577" s="2"/>
      <c r="M577" s="2"/>
      <c r="N577" s="2"/>
      <c r="O577" s="2"/>
      <c r="P577" s="2"/>
      <c r="Q577" s="2"/>
      <c r="R577" s="2"/>
      <c r="S577" s="2"/>
      <c r="T577" s="2"/>
      <c r="U577" s="2"/>
      <c r="V577" s="2"/>
      <c r="W577" s="2"/>
      <c r="X577" s="2"/>
      <c r="Y577" s="2"/>
    </row>
    <row r="578" spans="1:25" ht="17.399999999999999" x14ac:dyDescent="0.25">
      <c r="A578" s="1"/>
      <c r="B578" s="40"/>
      <c r="C578" s="2" t="str">
        <f ca="1">IFERROR(__xludf.DUMMYFUNCTION("iferror(filter('Full Perk List'!C$3:C1498,'Full Perk List'!$D$3:$D1498=$D578),"""")"),"#REF!")</f>
        <v>#REF!</v>
      </c>
      <c r="D578" s="2"/>
      <c r="E578" s="2" t="str">
        <f ca="1">IFERROR(__xludf.DUMMYFUNCTION("iferror(filter('Full Perk List'!E$3:E1498,'Full Perk List'!$D$3:$D1498=$D578),"""")"),"#REF!")</f>
        <v>#REF!</v>
      </c>
      <c r="F578" s="2" t="str">
        <f ca="1">IFERROR(__xludf.DUMMYFUNCTION("iferror(filter('Full Perk List'!F$3:F1498,'Full Perk List'!$D$3:$D1498=$D578),"""")"),"#REF!")</f>
        <v>#REF!</v>
      </c>
      <c r="G578" s="2" t="str">
        <f ca="1">IFERROR(__xludf.DUMMYFUNCTION("iferror(filter('Full Perk List'!G$3:G1498,'Full Perk List'!$D$3:$D1498=$D578),"""")"),"#REF!")</f>
        <v>#REF!</v>
      </c>
      <c r="H578" s="1"/>
      <c r="I578" s="2"/>
      <c r="J578" s="2"/>
      <c r="K578" s="2"/>
      <c r="L578" s="2"/>
      <c r="M578" s="2"/>
      <c r="N578" s="2"/>
      <c r="O578" s="2"/>
      <c r="P578" s="2"/>
      <c r="Q578" s="2"/>
      <c r="R578" s="2"/>
      <c r="S578" s="2"/>
      <c r="T578" s="2"/>
      <c r="U578" s="2"/>
      <c r="V578" s="2"/>
      <c r="W578" s="2"/>
      <c r="X578" s="2"/>
      <c r="Y578" s="2"/>
    </row>
    <row r="579" spans="1:25" ht="17.399999999999999" x14ac:dyDescent="0.25">
      <c r="A579" s="1"/>
      <c r="B579" s="40"/>
      <c r="C579" s="2" t="str">
        <f ca="1">IFERROR(__xludf.DUMMYFUNCTION("iferror(filter('Full Perk List'!C$3:C1498,'Full Perk List'!$D$3:$D1498=$D579),"""")"),"#REF!")</f>
        <v>#REF!</v>
      </c>
      <c r="D579" s="2"/>
      <c r="E579" s="2" t="str">
        <f ca="1">IFERROR(__xludf.DUMMYFUNCTION("iferror(filter('Full Perk List'!E$3:E1498,'Full Perk List'!$D$3:$D1498=$D579),"""")"),"#REF!")</f>
        <v>#REF!</v>
      </c>
      <c r="F579" s="2" t="str">
        <f ca="1">IFERROR(__xludf.DUMMYFUNCTION("iferror(filter('Full Perk List'!F$3:F1498,'Full Perk List'!$D$3:$D1498=$D579),"""")"),"#REF!")</f>
        <v>#REF!</v>
      </c>
      <c r="G579" s="2" t="str">
        <f ca="1">IFERROR(__xludf.DUMMYFUNCTION("iferror(filter('Full Perk List'!G$3:G1498,'Full Perk List'!$D$3:$D1498=$D579),"""")"),"#REF!")</f>
        <v>#REF!</v>
      </c>
      <c r="H579" s="1"/>
      <c r="I579" s="2"/>
      <c r="J579" s="2"/>
      <c r="K579" s="2"/>
      <c r="L579" s="2"/>
      <c r="M579" s="2"/>
      <c r="N579" s="2"/>
      <c r="O579" s="2"/>
      <c r="P579" s="2"/>
      <c r="Q579" s="2"/>
      <c r="R579" s="2"/>
      <c r="S579" s="2"/>
      <c r="T579" s="2"/>
      <c r="U579" s="2"/>
      <c r="V579" s="2"/>
      <c r="W579" s="2"/>
      <c r="X579" s="2"/>
      <c r="Y579" s="2"/>
    </row>
    <row r="580" spans="1:25" ht="17.399999999999999" x14ac:dyDescent="0.25">
      <c r="A580" s="1"/>
      <c r="B580" s="40"/>
      <c r="C580" s="2" t="str">
        <f ca="1">IFERROR(__xludf.DUMMYFUNCTION("iferror(filter('Full Perk List'!C$3:C1498,'Full Perk List'!$D$3:$D1498=$D580),"""")"),"#REF!")</f>
        <v>#REF!</v>
      </c>
      <c r="D580" s="2"/>
      <c r="E580" s="2" t="str">
        <f ca="1">IFERROR(__xludf.DUMMYFUNCTION("iferror(filter('Full Perk List'!E$3:E1498,'Full Perk List'!$D$3:$D1498=$D580),"""")"),"#REF!")</f>
        <v>#REF!</v>
      </c>
      <c r="F580" s="2" t="str">
        <f ca="1">IFERROR(__xludf.DUMMYFUNCTION("iferror(filter('Full Perk List'!F$3:F1498,'Full Perk List'!$D$3:$D1498=$D580),"""")"),"#REF!")</f>
        <v>#REF!</v>
      </c>
      <c r="G580" s="2" t="str">
        <f ca="1">IFERROR(__xludf.DUMMYFUNCTION("iferror(filter('Full Perk List'!G$3:G1498,'Full Perk List'!$D$3:$D1498=$D580),"""")"),"#REF!")</f>
        <v>#REF!</v>
      </c>
      <c r="H580" s="1"/>
      <c r="I580" s="2"/>
      <c r="J580" s="2"/>
      <c r="K580" s="2"/>
      <c r="L580" s="2"/>
      <c r="M580" s="2"/>
      <c r="N580" s="2"/>
      <c r="O580" s="2"/>
      <c r="P580" s="2"/>
      <c r="Q580" s="2"/>
      <c r="R580" s="2"/>
      <c r="S580" s="2"/>
      <c r="T580" s="2"/>
      <c r="U580" s="2"/>
      <c r="V580" s="2"/>
      <c r="W580" s="2"/>
      <c r="X580" s="2"/>
      <c r="Y580" s="2"/>
    </row>
    <row r="581" spans="1:25" ht="17.399999999999999" x14ac:dyDescent="0.25">
      <c r="A581" s="1"/>
      <c r="B581" s="40"/>
      <c r="C581" s="2" t="str">
        <f ca="1">IFERROR(__xludf.DUMMYFUNCTION("iferror(filter('Full Perk List'!C$3:C1498,'Full Perk List'!$D$3:$D1498=$D581),"""")"),"#REF!")</f>
        <v>#REF!</v>
      </c>
      <c r="D581" s="2"/>
      <c r="E581" s="2" t="str">
        <f ca="1">IFERROR(__xludf.DUMMYFUNCTION("iferror(filter('Full Perk List'!E$3:E1498,'Full Perk List'!$D$3:$D1498=$D581),"""")"),"#REF!")</f>
        <v>#REF!</v>
      </c>
      <c r="F581" s="2" t="str">
        <f ca="1">IFERROR(__xludf.DUMMYFUNCTION("iferror(filter('Full Perk List'!F$3:F1498,'Full Perk List'!$D$3:$D1498=$D581),"""")"),"#REF!")</f>
        <v>#REF!</v>
      </c>
      <c r="G581" s="2" t="str">
        <f ca="1">IFERROR(__xludf.DUMMYFUNCTION("iferror(filter('Full Perk List'!G$3:G1498,'Full Perk List'!$D$3:$D1498=$D581),"""")"),"#REF!")</f>
        <v>#REF!</v>
      </c>
      <c r="H581" s="1"/>
      <c r="I581" s="2"/>
      <c r="J581" s="2"/>
      <c r="K581" s="2"/>
      <c r="L581" s="2"/>
      <c r="M581" s="2"/>
      <c r="N581" s="2"/>
      <c r="O581" s="2"/>
      <c r="P581" s="2"/>
      <c r="Q581" s="2"/>
      <c r="R581" s="2"/>
      <c r="S581" s="2"/>
      <c r="T581" s="2"/>
      <c r="U581" s="2"/>
      <c r="V581" s="2"/>
      <c r="W581" s="2"/>
      <c r="X581" s="2"/>
      <c r="Y581" s="2"/>
    </row>
    <row r="582" spans="1:25" ht="17.399999999999999" x14ac:dyDescent="0.25">
      <c r="A582" s="1"/>
      <c r="B582" s="40"/>
      <c r="C582" s="2" t="str">
        <f ca="1">IFERROR(__xludf.DUMMYFUNCTION("iferror(filter('Full Perk List'!C$3:C1498,'Full Perk List'!$D$3:$D1498=$D582),"""")"),"#REF!")</f>
        <v>#REF!</v>
      </c>
      <c r="D582" s="2"/>
      <c r="E582" s="2" t="str">
        <f ca="1">IFERROR(__xludf.DUMMYFUNCTION("iferror(filter('Full Perk List'!E$3:E1498,'Full Perk List'!$D$3:$D1498=$D582),"""")"),"#REF!")</f>
        <v>#REF!</v>
      </c>
      <c r="F582" s="2" t="str">
        <f ca="1">IFERROR(__xludf.DUMMYFUNCTION("iferror(filter('Full Perk List'!F$3:F1498,'Full Perk List'!$D$3:$D1498=$D582),"""")"),"#REF!")</f>
        <v>#REF!</v>
      </c>
      <c r="G582" s="2" t="str">
        <f ca="1">IFERROR(__xludf.DUMMYFUNCTION("iferror(filter('Full Perk List'!G$3:G1498,'Full Perk List'!$D$3:$D1498=$D582),"""")"),"#REF!")</f>
        <v>#REF!</v>
      </c>
      <c r="H582" s="1"/>
      <c r="I582" s="2"/>
      <c r="J582" s="2"/>
      <c r="K582" s="2"/>
      <c r="L582" s="2"/>
      <c r="M582" s="2"/>
      <c r="N582" s="2"/>
      <c r="O582" s="2"/>
      <c r="P582" s="2"/>
      <c r="Q582" s="2"/>
      <c r="R582" s="2"/>
      <c r="S582" s="2"/>
      <c r="T582" s="2"/>
      <c r="U582" s="2"/>
      <c r="V582" s="2"/>
      <c r="W582" s="2"/>
      <c r="X582" s="2"/>
      <c r="Y582" s="2"/>
    </row>
    <row r="583" spans="1:25" ht="17.399999999999999" x14ac:dyDescent="0.25">
      <c r="A583" s="1"/>
      <c r="B583" s="40"/>
      <c r="C583" s="2" t="str">
        <f ca="1">IFERROR(__xludf.DUMMYFUNCTION("iferror(filter('Full Perk List'!C$3:C1498,'Full Perk List'!$D$3:$D1498=$D583),"""")"),"#REF!")</f>
        <v>#REF!</v>
      </c>
      <c r="D583" s="2"/>
      <c r="E583" s="2" t="str">
        <f ca="1">IFERROR(__xludf.DUMMYFUNCTION("iferror(filter('Full Perk List'!E$3:E1498,'Full Perk List'!$D$3:$D1498=$D583),"""")"),"#REF!")</f>
        <v>#REF!</v>
      </c>
      <c r="F583" s="2" t="str">
        <f ca="1">IFERROR(__xludf.DUMMYFUNCTION("iferror(filter('Full Perk List'!F$3:F1498,'Full Perk List'!$D$3:$D1498=$D583),"""")"),"#REF!")</f>
        <v>#REF!</v>
      </c>
      <c r="G583" s="2" t="str">
        <f ca="1">IFERROR(__xludf.DUMMYFUNCTION("iferror(filter('Full Perk List'!G$3:G1498,'Full Perk List'!$D$3:$D1498=$D583),"""")"),"#REF!")</f>
        <v>#REF!</v>
      </c>
      <c r="H583" s="1"/>
      <c r="I583" s="2"/>
      <c r="J583" s="2"/>
      <c r="K583" s="2"/>
      <c r="L583" s="2"/>
      <c r="M583" s="2"/>
      <c r="N583" s="2"/>
      <c r="O583" s="2"/>
      <c r="P583" s="2"/>
      <c r="Q583" s="2"/>
      <c r="R583" s="2"/>
      <c r="S583" s="2"/>
      <c r="T583" s="2"/>
      <c r="U583" s="2"/>
      <c r="V583" s="2"/>
      <c r="W583" s="2"/>
      <c r="X583" s="2"/>
      <c r="Y583" s="2"/>
    </row>
    <row r="584" spans="1:25" ht="17.399999999999999" x14ac:dyDescent="0.25">
      <c r="A584" s="1"/>
      <c r="B584" s="40"/>
      <c r="C584" s="2" t="str">
        <f ca="1">IFERROR(__xludf.DUMMYFUNCTION("iferror(filter('Full Perk List'!C$3:C1498,'Full Perk List'!$D$3:$D1498=$D584),"""")"),"#REF!")</f>
        <v>#REF!</v>
      </c>
      <c r="D584" s="2"/>
      <c r="E584" s="2" t="str">
        <f ca="1">IFERROR(__xludf.DUMMYFUNCTION("iferror(filter('Full Perk List'!E$3:E1498,'Full Perk List'!$D$3:$D1498=$D584),"""")"),"#REF!")</f>
        <v>#REF!</v>
      </c>
      <c r="F584" s="2" t="str">
        <f ca="1">IFERROR(__xludf.DUMMYFUNCTION("iferror(filter('Full Perk List'!F$3:F1498,'Full Perk List'!$D$3:$D1498=$D584),"""")"),"#REF!")</f>
        <v>#REF!</v>
      </c>
      <c r="G584" s="2" t="str">
        <f ca="1">IFERROR(__xludf.DUMMYFUNCTION("iferror(filter('Full Perk List'!G$3:G1498,'Full Perk List'!$D$3:$D1498=$D584),"""")"),"#REF!")</f>
        <v>#REF!</v>
      </c>
      <c r="H584" s="1"/>
      <c r="I584" s="2"/>
      <c r="J584" s="2"/>
      <c r="K584" s="2"/>
      <c r="L584" s="2"/>
      <c r="M584" s="2"/>
      <c r="N584" s="2"/>
      <c r="O584" s="2"/>
      <c r="P584" s="2"/>
      <c r="Q584" s="2"/>
      <c r="R584" s="2"/>
      <c r="S584" s="2"/>
      <c r="T584" s="2"/>
      <c r="U584" s="2"/>
      <c r="V584" s="2"/>
      <c r="W584" s="2"/>
      <c r="X584" s="2"/>
      <c r="Y584" s="2"/>
    </row>
    <row r="585" spans="1:25" ht="17.399999999999999" x14ac:dyDescent="0.25">
      <c r="A585" s="1"/>
      <c r="B585" s="40"/>
      <c r="C585" s="2" t="str">
        <f ca="1">IFERROR(__xludf.DUMMYFUNCTION("iferror(filter('Full Perk List'!C$3:C1498,'Full Perk List'!$D$3:$D1498=$D585),"""")"),"#REF!")</f>
        <v>#REF!</v>
      </c>
      <c r="D585" s="2"/>
      <c r="E585" s="2" t="str">
        <f ca="1">IFERROR(__xludf.DUMMYFUNCTION("iferror(filter('Full Perk List'!E$3:E1498,'Full Perk List'!$D$3:$D1498=$D585),"""")"),"#REF!")</f>
        <v>#REF!</v>
      </c>
      <c r="F585" s="2" t="str">
        <f ca="1">IFERROR(__xludf.DUMMYFUNCTION("iferror(filter('Full Perk List'!F$3:F1498,'Full Perk List'!$D$3:$D1498=$D585),"""")"),"#REF!")</f>
        <v>#REF!</v>
      </c>
      <c r="G585" s="2" t="str">
        <f ca="1">IFERROR(__xludf.DUMMYFUNCTION("iferror(filter('Full Perk List'!G$3:G1498,'Full Perk List'!$D$3:$D1498=$D585),"""")"),"#REF!")</f>
        <v>#REF!</v>
      </c>
      <c r="H585" s="1"/>
      <c r="I585" s="2"/>
      <c r="J585" s="2"/>
      <c r="K585" s="2"/>
      <c r="L585" s="2"/>
      <c r="M585" s="2"/>
      <c r="N585" s="2"/>
      <c r="O585" s="2"/>
      <c r="P585" s="2"/>
      <c r="Q585" s="2"/>
      <c r="R585" s="2"/>
      <c r="S585" s="2"/>
      <c r="T585" s="2"/>
      <c r="U585" s="2"/>
      <c r="V585" s="2"/>
      <c r="W585" s="2"/>
      <c r="X585" s="2"/>
      <c r="Y585" s="2"/>
    </row>
    <row r="586" spans="1:25" ht="17.399999999999999" x14ac:dyDescent="0.25">
      <c r="A586" s="1"/>
      <c r="B586" s="40"/>
      <c r="C586" s="2" t="str">
        <f ca="1">IFERROR(__xludf.DUMMYFUNCTION("iferror(filter('Full Perk List'!C$3:C1498,'Full Perk List'!$D$3:$D1498=$D586),"""")"),"#REF!")</f>
        <v>#REF!</v>
      </c>
      <c r="D586" s="2"/>
      <c r="E586" s="2" t="str">
        <f ca="1">IFERROR(__xludf.DUMMYFUNCTION("iferror(filter('Full Perk List'!E$3:E1498,'Full Perk List'!$D$3:$D1498=$D586),"""")"),"#REF!")</f>
        <v>#REF!</v>
      </c>
      <c r="F586" s="2" t="str">
        <f ca="1">IFERROR(__xludf.DUMMYFUNCTION("iferror(filter('Full Perk List'!F$3:F1498,'Full Perk List'!$D$3:$D1498=$D586),"""")"),"#REF!")</f>
        <v>#REF!</v>
      </c>
      <c r="G586" s="2" t="str">
        <f ca="1">IFERROR(__xludf.DUMMYFUNCTION("iferror(filter('Full Perk List'!G$3:G1498,'Full Perk List'!$D$3:$D1498=$D586),"""")"),"#REF!")</f>
        <v>#REF!</v>
      </c>
      <c r="H586" s="1"/>
      <c r="I586" s="2"/>
      <c r="J586" s="2"/>
      <c r="K586" s="2"/>
      <c r="L586" s="2"/>
      <c r="M586" s="2"/>
      <c r="N586" s="2"/>
      <c r="O586" s="2"/>
      <c r="P586" s="2"/>
      <c r="Q586" s="2"/>
      <c r="R586" s="2"/>
      <c r="S586" s="2"/>
      <c r="T586" s="2"/>
      <c r="U586" s="2"/>
      <c r="V586" s="2"/>
      <c r="W586" s="2"/>
      <c r="X586" s="2"/>
      <c r="Y586" s="2"/>
    </row>
    <row r="587" spans="1:25" ht="17.399999999999999" x14ac:dyDescent="0.25">
      <c r="A587" s="1"/>
      <c r="B587" s="40"/>
      <c r="C587" s="2" t="str">
        <f ca="1">IFERROR(__xludf.DUMMYFUNCTION("iferror(filter('Full Perk List'!C$3:C1498,'Full Perk List'!$D$3:$D1498=$D587),"""")"),"#REF!")</f>
        <v>#REF!</v>
      </c>
      <c r="D587" s="2"/>
      <c r="E587" s="2" t="str">
        <f ca="1">IFERROR(__xludf.DUMMYFUNCTION("iferror(filter('Full Perk List'!E$3:E1498,'Full Perk List'!$D$3:$D1498=$D587),"""")"),"#REF!")</f>
        <v>#REF!</v>
      </c>
      <c r="F587" s="2" t="str">
        <f ca="1">IFERROR(__xludf.DUMMYFUNCTION("iferror(filter('Full Perk List'!F$3:F1498,'Full Perk List'!$D$3:$D1498=$D587),"""")"),"#REF!")</f>
        <v>#REF!</v>
      </c>
      <c r="G587" s="2" t="str">
        <f ca="1">IFERROR(__xludf.DUMMYFUNCTION("iferror(filter('Full Perk List'!G$3:G1498,'Full Perk List'!$D$3:$D1498=$D587),"""")"),"#REF!")</f>
        <v>#REF!</v>
      </c>
      <c r="H587" s="1"/>
      <c r="I587" s="2"/>
      <c r="J587" s="2"/>
      <c r="K587" s="2"/>
      <c r="L587" s="2"/>
      <c r="M587" s="2"/>
      <c r="N587" s="2"/>
      <c r="O587" s="2"/>
      <c r="P587" s="2"/>
      <c r="Q587" s="2"/>
      <c r="R587" s="2"/>
      <c r="S587" s="2"/>
      <c r="T587" s="2"/>
      <c r="U587" s="2"/>
      <c r="V587" s="2"/>
      <c r="W587" s="2"/>
      <c r="X587" s="2"/>
      <c r="Y587" s="2"/>
    </row>
    <row r="588" spans="1:25" ht="17.399999999999999" x14ac:dyDescent="0.25">
      <c r="A588" s="1"/>
      <c r="B588" s="40"/>
      <c r="C588" s="2" t="str">
        <f ca="1">IFERROR(__xludf.DUMMYFUNCTION("iferror(filter('Full Perk List'!C$3:C1498,'Full Perk List'!$D$3:$D1498=$D588),"""")"),"#REF!")</f>
        <v>#REF!</v>
      </c>
      <c r="D588" s="2"/>
      <c r="E588" s="2" t="str">
        <f ca="1">IFERROR(__xludf.DUMMYFUNCTION("iferror(filter('Full Perk List'!E$3:E1498,'Full Perk List'!$D$3:$D1498=$D588),"""")"),"#REF!")</f>
        <v>#REF!</v>
      </c>
      <c r="F588" s="2" t="str">
        <f ca="1">IFERROR(__xludf.DUMMYFUNCTION("iferror(filter('Full Perk List'!F$3:F1498,'Full Perk List'!$D$3:$D1498=$D588),"""")"),"#REF!")</f>
        <v>#REF!</v>
      </c>
      <c r="G588" s="2" t="str">
        <f ca="1">IFERROR(__xludf.DUMMYFUNCTION("iferror(filter('Full Perk List'!G$3:G1498,'Full Perk List'!$D$3:$D1498=$D588),"""")"),"#REF!")</f>
        <v>#REF!</v>
      </c>
      <c r="H588" s="1"/>
      <c r="I588" s="2"/>
      <c r="J588" s="2"/>
      <c r="K588" s="2"/>
      <c r="L588" s="2"/>
      <c r="M588" s="2"/>
      <c r="N588" s="2"/>
      <c r="O588" s="2"/>
      <c r="P588" s="2"/>
      <c r="Q588" s="2"/>
      <c r="R588" s="2"/>
      <c r="S588" s="2"/>
      <c r="T588" s="2"/>
      <c r="U588" s="2"/>
      <c r="V588" s="2"/>
      <c r="W588" s="2"/>
      <c r="X588" s="2"/>
      <c r="Y588" s="2"/>
    </row>
    <row r="589" spans="1:25" ht="17.399999999999999" x14ac:dyDescent="0.25">
      <c r="A589" s="1"/>
      <c r="B589" s="40"/>
      <c r="C589" s="2" t="str">
        <f ca="1">IFERROR(__xludf.DUMMYFUNCTION("iferror(filter('Full Perk List'!C$3:C1498,'Full Perk List'!$D$3:$D1498=$D589),"""")"),"#REF!")</f>
        <v>#REF!</v>
      </c>
      <c r="D589" s="2"/>
      <c r="E589" s="2" t="str">
        <f ca="1">IFERROR(__xludf.DUMMYFUNCTION("iferror(filter('Full Perk List'!E$3:E1498,'Full Perk List'!$D$3:$D1498=$D589),"""")"),"#REF!")</f>
        <v>#REF!</v>
      </c>
      <c r="F589" s="2" t="str">
        <f ca="1">IFERROR(__xludf.DUMMYFUNCTION("iferror(filter('Full Perk List'!F$3:F1498,'Full Perk List'!$D$3:$D1498=$D589),"""")"),"#REF!")</f>
        <v>#REF!</v>
      </c>
      <c r="G589" s="2" t="str">
        <f ca="1">IFERROR(__xludf.DUMMYFUNCTION("iferror(filter('Full Perk List'!G$3:G1498,'Full Perk List'!$D$3:$D1498=$D589),"""")"),"#REF!")</f>
        <v>#REF!</v>
      </c>
      <c r="H589" s="1"/>
      <c r="I589" s="2"/>
      <c r="J589" s="2"/>
      <c r="K589" s="2"/>
      <c r="L589" s="2"/>
      <c r="M589" s="2"/>
      <c r="N589" s="2"/>
      <c r="O589" s="2"/>
      <c r="P589" s="2"/>
      <c r="Q589" s="2"/>
      <c r="R589" s="2"/>
      <c r="S589" s="2"/>
      <c r="T589" s="2"/>
      <c r="U589" s="2"/>
      <c r="V589" s="2"/>
      <c r="W589" s="2"/>
      <c r="X589" s="2"/>
      <c r="Y589" s="2"/>
    </row>
    <row r="590" spans="1:25" ht="17.399999999999999" x14ac:dyDescent="0.25">
      <c r="A590" s="1"/>
      <c r="B590" s="40"/>
      <c r="C590" s="2" t="str">
        <f ca="1">IFERROR(__xludf.DUMMYFUNCTION("iferror(filter('Full Perk List'!C$3:C1498,'Full Perk List'!$D$3:$D1498=$D590),"""")"),"#REF!")</f>
        <v>#REF!</v>
      </c>
      <c r="D590" s="2"/>
      <c r="E590" s="2" t="str">
        <f ca="1">IFERROR(__xludf.DUMMYFUNCTION("iferror(filter('Full Perk List'!E$3:E1498,'Full Perk List'!$D$3:$D1498=$D590),"""")"),"#REF!")</f>
        <v>#REF!</v>
      </c>
      <c r="F590" s="2" t="str">
        <f ca="1">IFERROR(__xludf.DUMMYFUNCTION("iferror(filter('Full Perk List'!F$3:F1498,'Full Perk List'!$D$3:$D1498=$D590),"""")"),"#REF!")</f>
        <v>#REF!</v>
      </c>
      <c r="G590" s="2" t="str">
        <f ca="1">IFERROR(__xludf.DUMMYFUNCTION("iferror(filter('Full Perk List'!G$3:G1498,'Full Perk List'!$D$3:$D1498=$D590),"""")"),"#REF!")</f>
        <v>#REF!</v>
      </c>
      <c r="H590" s="1"/>
      <c r="I590" s="2"/>
      <c r="J590" s="2"/>
      <c r="K590" s="2"/>
      <c r="L590" s="2"/>
      <c r="M590" s="2"/>
      <c r="N590" s="2"/>
      <c r="O590" s="2"/>
      <c r="P590" s="2"/>
      <c r="Q590" s="2"/>
      <c r="R590" s="2"/>
      <c r="S590" s="2"/>
      <c r="T590" s="2"/>
      <c r="U590" s="2"/>
      <c r="V590" s="2"/>
      <c r="W590" s="2"/>
      <c r="X590" s="2"/>
      <c r="Y590" s="2"/>
    </row>
    <row r="591" spans="1:25" ht="17.399999999999999" x14ac:dyDescent="0.25">
      <c r="A591" s="1"/>
      <c r="B591" s="40"/>
      <c r="C591" s="2" t="str">
        <f ca="1">IFERROR(__xludf.DUMMYFUNCTION("iferror(filter('Full Perk List'!C$3:C1498,'Full Perk List'!$D$3:$D1498=$D591),"""")"),"#REF!")</f>
        <v>#REF!</v>
      </c>
      <c r="D591" s="2"/>
      <c r="E591" s="2" t="str">
        <f ca="1">IFERROR(__xludf.DUMMYFUNCTION("iferror(filter('Full Perk List'!E$3:E1498,'Full Perk List'!$D$3:$D1498=$D591),"""")"),"#REF!")</f>
        <v>#REF!</v>
      </c>
      <c r="F591" s="2" t="str">
        <f ca="1">IFERROR(__xludf.DUMMYFUNCTION("iferror(filter('Full Perk List'!F$3:F1498,'Full Perk List'!$D$3:$D1498=$D591),"""")"),"#REF!")</f>
        <v>#REF!</v>
      </c>
      <c r="G591" s="2" t="str">
        <f ca="1">IFERROR(__xludf.DUMMYFUNCTION("iferror(filter('Full Perk List'!G$3:G1498,'Full Perk List'!$D$3:$D1498=$D591),"""")"),"#REF!")</f>
        <v>#REF!</v>
      </c>
      <c r="H591" s="1"/>
      <c r="I591" s="2"/>
      <c r="J591" s="2"/>
      <c r="K591" s="2"/>
      <c r="L591" s="2"/>
      <c r="M591" s="2"/>
      <c r="N591" s="2"/>
      <c r="O591" s="2"/>
      <c r="P591" s="2"/>
      <c r="Q591" s="2"/>
      <c r="R591" s="2"/>
      <c r="S591" s="2"/>
      <c r="T591" s="2"/>
      <c r="U591" s="2"/>
      <c r="V591" s="2"/>
      <c r="W591" s="2"/>
      <c r="X591" s="2"/>
      <c r="Y591" s="2"/>
    </row>
    <row r="592" spans="1:25" ht="17.399999999999999" x14ac:dyDescent="0.25">
      <c r="A592" s="1"/>
      <c r="B592" s="40"/>
      <c r="C592" s="2" t="str">
        <f ca="1">IFERROR(__xludf.DUMMYFUNCTION("iferror(filter('Full Perk List'!C$3:C1498,'Full Perk List'!$D$3:$D1498=$D592),"""")"),"#REF!")</f>
        <v>#REF!</v>
      </c>
      <c r="D592" s="2"/>
      <c r="E592" s="2" t="str">
        <f ca="1">IFERROR(__xludf.DUMMYFUNCTION("iferror(filter('Full Perk List'!E$3:E1498,'Full Perk List'!$D$3:$D1498=$D592),"""")"),"#REF!")</f>
        <v>#REF!</v>
      </c>
      <c r="F592" s="2" t="str">
        <f ca="1">IFERROR(__xludf.DUMMYFUNCTION("iferror(filter('Full Perk List'!F$3:F1498,'Full Perk List'!$D$3:$D1498=$D592),"""")"),"#REF!")</f>
        <v>#REF!</v>
      </c>
      <c r="G592" s="2" t="str">
        <f ca="1">IFERROR(__xludf.DUMMYFUNCTION("iferror(filter('Full Perk List'!G$3:G1498,'Full Perk List'!$D$3:$D1498=$D592),"""")"),"#REF!")</f>
        <v>#REF!</v>
      </c>
      <c r="H592" s="1"/>
      <c r="I592" s="2"/>
      <c r="J592" s="2"/>
      <c r="K592" s="2"/>
      <c r="L592" s="2"/>
      <c r="M592" s="2"/>
      <c r="N592" s="2"/>
      <c r="O592" s="2"/>
      <c r="P592" s="2"/>
      <c r="Q592" s="2"/>
      <c r="R592" s="2"/>
      <c r="S592" s="2"/>
      <c r="T592" s="2"/>
      <c r="U592" s="2"/>
      <c r="V592" s="2"/>
      <c r="W592" s="2"/>
      <c r="X592" s="2"/>
      <c r="Y592" s="2"/>
    </row>
    <row r="593" spans="1:25" ht="17.399999999999999" x14ac:dyDescent="0.25">
      <c r="A593" s="1"/>
      <c r="B593" s="40"/>
      <c r="C593" s="2" t="str">
        <f ca="1">IFERROR(__xludf.DUMMYFUNCTION("iferror(filter('Full Perk List'!C$3:C1498,'Full Perk List'!$D$3:$D1498=$D593),"""")"),"#REF!")</f>
        <v>#REF!</v>
      </c>
      <c r="D593" s="2"/>
      <c r="E593" s="2" t="str">
        <f ca="1">IFERROR(__xludf.DUMMYFUNCTION("iferror(filter('Full Perk List'!E$3:E1498,'Full Perk List'!$D$3:$D1498=$D593),"""")"),"#REF!")</f>
        <v>#REF!</v>
      </c>
      <c r="F593" s="2" t="str">
        <f ca="1">IFERROR(__xludf.DUMMYFUNCTION("iferror(filter('Full Perk List'!F$3:F1498,'Full Perk List'!$D$3:$D1498=$D593),"""")"),"#REF!")</f>
        <v>#REF!</v>
      </c>
      <c r="G593" s="2" t="str">
        <f ca="1">IFERROR(__xludf.DUMMYFUNCTION("iferror(filter('Full Perk List'!G$3:G1498,'Full Perk List'!$D$3:$D1498=$D593),"""")"),"#REF!")</f>
        <v>#REF!</v>
      </c>
      <c r="H593" s="1"/>
      <c r="I593" s="2"/>
      <c r="J593" s="2"/>
      <c r="K593" s="2"/>
      <c r="L593" s="2"/>
      <c r="M593" s="2"/>
      <c r="N593" s="2"/>
      <c r="O593" s="2"/>
      <c r="P593" s="2"/>
      <c r="Q593" s="2"/>
      <c r="R593" s="2"/>
      <c r="S593" s="2"/>
      <c r="T593" s="2"/>
      <c r="U593" s="2"/>
      <c r="V593" s="2"/>
      <c r="W593" s="2"/>
      <c r="X593" s="2"/>
      <c r="Y593" s="2"/>
    </row>
    <row r="594" spans="1:25" ht="17.399999999999999" x14ac:dyDescent="0.25">
      <c r="A594" s="1"/>
      <c r="B594" s="40"/>
      <c r="C594" s="2" t="str">
        <f ca="1">IFERROR(__xludf.DUMMYFUNCTION("iferror(filter('Full Perk List'!C$3:C1498,'Full Perk List'!$D$3:$D1498=$D594),"""")"),"#REF!")</f>
        <v>#REF!</v>
      </c>
      <c r="D594" s="2"/>
      <c r="E594" s="2" t="str">
        <f ca="1">IFERROR(__xludf.DUMMYFUNCTION("iferror(filter('Full Perk List'!E$3:E1498,'Full Perk List'!$D$3:$D1498=$D594),"""")"),"#REF!")</f>
        <v>#REF!</v>
      </c>
      <c r="F594" s="2" t="str">
        <f ca="1">IFERROR(__xludf.DUMMYFUNCTION("iferror(filter('Full Perk List'!F$3:F1498,'Full Perk List'!$D$3:$D1498=$D594),"""")"),"#REF!")</f>
        <v>#REF!</v>
      </c>
      <c r="G594" s="2" t="str">
        <f ca="1">IFERROR(__xludf.DUMMYFUNCTION("iferror(filter('Full Perk List'!G$3:G1498,'Full Perk List'!$D$3:$D1498=$D594),"""")"),"#REF!")</f>
        <v>#REF!</v>
      </c>
      <c r="H594" s="1"/>
      <c r="I594" s="2"/>
      <c r="J594" s="2"/>
      <c r="K594" s="2"/>
      <c r="L594" s="2"/>
      <c r="M594" s="2"/>
      <c r="N594" s="2"/>
      <c r="O594" s="2"/>
      <c r="P594" s="2"/>
      <c r="Q594" s="2"/>
      <c r="R594" s="2"/>
      <c r="S594" s="2"/>
      <c r="T594" s="2"/>
      <c r="U594" s="2"/>
      <c r="V594" s="2"/>
      <c r="W594" s="2"/>
      <c r="X594" s="2"/>
      <c r="Y594" s="2"/>
    </row>
    <row r="595" spans="1:25" ht="17.399999999999999" x14ac:dyDescent="0.25">
      <c r="A595" s="1"/>
      <c r="B595" s="40"/>
      <c r="C595" s="2" t="str">
        <f ca="1">IFERROR(__xludf.DUMMYFUNCTION("iferror(filter('Full Perk List'!C$3:C1498,'Full Perk List'!$D$3:$D1498=$D595),"""")"),"#REF!")</f>
        <v>#REF!</v>
      </c>
      <c r="D595" s="2"/>
      <c r="E595" s="2" t="str">
        <f ca="1">IFERROR(__xludf.DUMMYFUNCTION("iferror(filter('Full Perk List'!E$3:E1498,'Full Perk List'!$D$3:$D1498=$D595),"""")"),"#REF!")</f>
        <v>#REF!</v>
      </c>
      <c r="F595" s="2" t="str">
        <f ca="1">IFERROR(__xludf.DUMMYFUNCTION("iferror(filter('Full Perk List'!F$3:F1498,'Full Perk List'!$D$3:$D1498=$D595),"""")"),"#REF!")</f>
        <v>#REF!</v>
      </c>
      <c r="G595" s="2" t="str">
        <f ca="1">IFERROR(__xludf.DUMMYFUNCTION("iferror(filter('Full Perk List'!G$3:G1498,'Full Perk List'!$D$3:$D1498=$D595),"""")"),"#REF!")</f>
        <v>#REF!</v>
      </c>
      <c r="H595" s="1"/>
      <c r="I595" s="2"/>
      <c r="J595" s="2"/>
      <c r="K595" s="2"/>
      <c r="L595" s="2"/>
      <c r="M595" s="2"/>
      <c r="N595" s="2"/>
      <c r="O595" s="2"/>
      <c r="P595" s="2"/>
      <c r="Q595" s="2"/>
      <c r="R595" s="2"/>
      <c r="S595" s="2"/>
      <c r="T595" s="2"/>
      <c r="U595" s="2"/>
      <c r="V595" s="2"/>
      <c r="W595" s="2"/>
      <c r="X595" s="2"/>
      <c r="Y595" s="2"/>
    </row>
    <row r="596" spans="1:25" ht="17.399999999999999" x14ac:dyDescent="0.25">
      <c r="A596" s="1"/>
      <c r="B596" s="40"/>
      <c r="C596" s="2" t="str">
        <f ca="1">IFERROR(__xludf.DUMMYFUNCTION("iferror(filter('Full Perk List'!C$3:C1498,'Full Perk List'!$D$3:$D1498=$D596),"""")"),"#REF!")</f>
        <v>#REF!</v>
      </c>
      <c r="D596" s="2"/>
      <c r="E596" s="2" t="str">
        <f ca="1">IFERROR(__xludf.DUMMYFUNCTION("iferror(filter('Full Perk List'!E$3:E1498,'Full Perk List'!$D$3:$D1498=$D596),"""")"),"#REF!")</f>
        <v>#REF!</v>
      </c>
      <c r="F596" s="2" t="str">
        <f ca="1">IFERROR(__xludf.DUMMYFUNCTION("iferror(filter('Full Perk List'!F$3:F1498,'Full Perk List'!$D$3:$D1498=$D596),"""")"),"#REF!")</f>
        <v>#REF!</v>
      </c>
      <c r="G596" s="2" t="str">
        <f ca="1">IFERROR(__xludf.DUMMYFUNCTION("iferror(filter('Full Perk List'!G$3:G1498,'Full Perk List'!$D$3:$D1498=$D596),"""")"),"#REF!")</f>
        <v>#REF!</v>
      </c>
      <c r="H596" s="1"/>
      <c r="I596" s="2"/>
      <c r="J596" s="2"/>
      <c r="K596" s="2"/>
      <c r="L596" s="2"/>
      <c r="M596" s="2"/>
      <c r="N596" s="2"/>
      <c r="O596" s="2"/>
      <c r="P596" s="2"/>
      <c r="Q596" s="2"/>
      <c r="R596" s="2"/>
      <c r="S596" s="2"/>
      <c r="T596" s="2"/>
      <c r="U596" s="2"/>
      <c r="V596" s="2"/>
      <c r="W596" s="2"/>
      <c r="X596" s="2"/>
      <c r="Y596" s="2"/>
    </row>
    <row r="597" spans="1:25" ht="17.399999999999999" x14ac:dyDescent="0.25">
      <c r="A597" s="1"/>
      <c r="B597" s="40"/>
      <c r="C597" s="2" t="str">
        <f ca="1">IFERROR(__xludf.DUMMYFUNCTION("iferror(filter('Full Perk List'!C$3:C1498,'Full Perk List'!$D$3:$D1498=$D597),"""")"),"#REF!")</f>
        <v>#REF!</v>
      </c>
      <c r="D597" s="2"/>
      <c r="E597" s="2" t="str">
        <f ca="1">IFERROR(__xludf.DUMMYFUNCTION("iferror(filter('Full Perk List'!E$3:E1498,'Full Perk List'!$D$3:$D1498=$D597),"""")"),"#REF!")</f>
        <v>#REF!</v>
      </c>
      <c r="F597" s="2" t="str">
        <f ca="1">IFERROR(__xludf.DUMMYFUNCTION("iferror(filter('Full Perk List'!F$3:F1498,'Full Perk List'!$D$3:$D1498=$D597),"""")"),"#REF!")</f>
        <v>#REF!</v>
      </c>
      <c r="G597" s="2" t="str">
        <f ca="1">IFERROR(__xludf.DUMMYFUNCTION("iferror(filter('Full Perk List'!G$3:G1498,'Full Perk List'!$D$3:$D1498=$D597),"""")"),"#REF!")</f>
        <v>#REF!</v>
      </c>
      <c r="H597" s="1"/>
      <c r="I597" s="2"/>
      <c r="J597" s="2"/>
      <c r="K597" s="2"/>
      <c r="L597" s="2"/>
      <c r="M597" s="2"/>
      <c r="N597" s="2"/>
      <c r="O597" s="2"/>
      <c r="P597" s="2"/>
      <c r="Q597" s="2"/>
      <c r="R597" s="2"/>
      <c r="S597" s="2"/>
      <c r="T597" s="2"/>
      <c r="U597" s="2"/>
      <c r="V597" s="2"/>
      <c r="W597" s="2"/>
      <c r="X597" s="2"/>
      <c r="Y597" s="2"/>
    </row>
    <row r="598" spans="1:25" ht="17.399999999999999" x14ac:dyDescent="0.25">
      <c r="A598" s="1"/>
      <c r="B598" s="40"/>
      <c r="C598" s="2" t="str">
        <f ca="1">IFERROR(__xludf.DUMMYFUNCTION("iferror(filter('Full Perk List'!C$3:C1498,'Full Perk List'!$D$3:$D1498=$D598),"""")"),"#REF!")</f>
        <v>#REF!</v>
      </c>
      <c r="D598" s="2"/>
      <c r="E598" s="2" t="str">
        <f ca="1">IFERROR(__xludf.DUMMYFUNCTION("iferror(filter('Full Perk List'!E$3:E1498,'Full Perk List'!$D$3:$D1498=$D598),"""")"),"#REF!")</f>
        <v>#REF!</v>
      </c>
      <c r="F598" s="2" t="str">
        <f ca="1">IFERROR(__xludf.DUMMYFUNCTION("iferror(filter('Full Perk List'!F$3:F1498,'Full Perk List'!$D$3:$D1498=$D598),"""")"),"#REF!")</f>
        <v>#REF!</v>
      </c>
      <c r="G598" s="2" t="str">
        <f ca="1">IFERROR(__xludf.DUMMYFUNCTION("iferror(filter('Full Perk List'!G$3:G1498,'Full Perk List'!$D$3:$D1498=$D598),"""")"),"#REF!")</f>
        <v>#REF!</v>
      </c>
      <c r="H598" s="1"/>
      <c r="I598" s="2"/>
      <c r="J598" s="2"/>
      <c r="K598" s="2"/>
      <c r="L598" s="2"/>
      <c r="M598" s="2"/>
      <c r="N598" s="2"/>
      <c r="O598" s="2"/>
      <c r="P598" s="2"/>
      <c r="Q598" s="2"/>
      <c r="R598" s="2"/>
      <c r="S598" s="2"/>
      <c r="T598" s="2"/>
      <c r="U598" s="2"/>
      <c r="V598" s="2"/>
      <c r="W598" s="2"/>
      <c r="X598" s="2"/>
      <c r="Y598" s="2"/>
    </row>
    <row r="599" spans="1:25" ht="17.399999999999999" x14ac:dyDescent="0.25">
      <c r="A599" s="1"/>
      <c r="B599" s="40"/>
      <c r="C599" s="2" t="str">
        <f ca="1">IFERROR(__xludf.DUMMYFUNCTION("iferror(filter('Full Perk List'!C$3:C1498,'Full Perk List'!$D$3:$D1498=$D599),"""")"),"#REF!")</f>
        <v>#REF!</v>
      </c>
      <c r="D599" s="2"/>
      <c r="E599" s="2" t="str">
        <f ca="1">IFERROR(__xludf.DUMMYFUNCTION("iferror(filter('Full Perk List'!E$3:E1498,'Full Perk List'!$D$3:$D1498=$D599),"""")"),"#REF!")</f>
        <v>#REF!</v>
      </c>
      <c r="F599" s="2" t="str">
        <f ca="1">IFERROR(__xludf.DUMMYFUNCTION("iferror(filter('Full Perk List'!F$3:F1498,'Full Perk List'!$D$3:$D1498=$D599),"""")"),"#REF!")</f>
        <v>#REF!</v>
      </c>
      <c r="G599" s="2" t="str">
        <f ca="1">IFERROR(__xludf.DUMMYFUNCTION("iferror(filter('Full Perk List'!G$3:G1498,'Full Perk List'!$D$3:$D1498=$D599),"""")"),"#REF!")</f>
        <v>#REF!</v>
      </c>
      <c r="H599" s="1"/>
      <c r="I599" s="2"/>
      <c r="J599" s="2"/>
      <c r="K599" s="2"/>
      <c r="L599" s="2"/>
      <c r="M599" s="2"/>
      <c r="N599" s="2"/>
      <c r="O599" s="2"/>
      <c r="P599" s="2"/>
      <c r="Q599" s="2"/>
      <c r="R599" s="2"/>
      <c r="S599" s="2"/>
      <c r="T599" s="2"/>
      <c r="U599" s="2"/>
      <c r="V599" s="2"/>
      <c r="W599" s="2"/>
      <c r="X599" s="2"/>
      <c r="Y599" s="2"/>
    </row>
    <row r="600" spans="1:25" ht="17.399999999999999" x14ac:dyDescent="0.25">
      <c r="A600" s="1"/>
      <c r="B600" s="40"/>
      <c r="C600" s="2" t="str">
        <f ca="1">IFERROR(__xludf.DUMMYFUNCTION("iferror(filter('Full Perk List'!C$3:C1498,'Full Perk List'!$D$3:$D1498=$D600),"""")"),"#REF!")</f>
        <v>#REF!</v>
      </c>
      <c r="D600" s="2"/>
      <c r="E600" s="2" t="str">
        <f ca="1">IFERROR(__xludf.DUMMYFUNCTION("iferror(filter('Full Perk List'!E$3:E1498,'Full Perk List'!$D$3:$D1498=$D600),"""")"),"#REF!")</f>
        <v>#REF!</v>
      </c>
      <c r="F600" s="2" t="str">
        <f ca="1">IFERROR(__xludf.DUMMYFUNCTION("iferror(filter('Full Perk List'!F$3:F1498,'Full Perk List'!$D$3:$D1498=$D600),"""")"),"#REF!")</f>
        <v>#REF!</v>
      </c>
      <c r="G600" s="2" t="str">
        <f ca="1">IFERROR(__xludf.DUMMYFUNCTION("iferror(filter('Full Perk List'!G$3:G1498,'Full Perk List'!$D$3:$D1498=$D600),"""")"),"#REF!")</f>
        <v>#REF!</v>
      </c>
      <c r="H600" s="1"/>
      <c r="I600" s="2"/>
      <c r="J600" s="2"/>
      <c r="K600" s="2"/>
      <c r="L600" s="2"/>
      <c r="M600" s="2"/>
      <c r="N600" s="2"/>
      <c r="O600" s="2"/>
      <c r="P600" s="2"/>
      <c r="Q600" s="2"/>
      <c r="R600" s="2"/>
      <c r="S600" s="2"/>
      <c r="T600" s="2"/>
      <c r="U600" s="2"/>
      <c r="V600" s="2"/>
      <c r="W600" s="2"/>
      <c r="X600" s="2"/>
      <c r="Y600" s="2"/>
    </row>
    <row r="601" spans="1:25" ht="17.399999999999999" x14ac:dyDescent="0.25">
      <c r="A601" s="1"/>
      <c r="B601" s="40"/>
      <c r="C601" s="2" t="str">
        <f ca="1">IFERROR(__xludf.DUMMYFUNCTION("iferror(filter('Full Perk List'!C$3:C1498,'Full Perk List'!$D$3:$D1498=$D601),"""")"),"#REF!")</f>
        <v>#REF!</v>
      </c>
      <c r="D601" s="2"/>
      <c r="E601" s="2" t="str">
        <f ca="1">IFERROR(__xludf.DUMMYFUNCTION("iferror(filter('Full Perk List'!E$3:E1498,'Full Perk List'!$D$3:$D1498=$D601),"""")"),"#REF!")</f>
        <v>#REF!</v>
      </c>
      <c r="F601" s="2" t="str">
        <f ca="1">IFERROR(__xludf.DUMMYFUNCTION("iferror(filter('Full Perk List'!F$3:F1498,'Full Perk List'!$D$3:$D1498=$D601),"""")"),"#REF!")</f>
        <v>#REF!</v>
      </c>
      <c r="G601" s="2" t="str">
        <f ca="1">IFERROR(__xludf.DUMMYFUNCTION("iferror(filter('Full Perk List'!G$3:G1498,'Full Perk List'!$D$3:$D1498=$D601),"""")"),"#REF!")</f>
        <v>#REF!</v>
      </c>
      <c r="H601" s="1"/>
      <c r="I601" s="2"/>
      <c r="J601" s="2"/>
      <c r="K601" s="2"/>
      <c r="L601" s="2"/>
      <c r="M601" s="2"/>
      <c r="N601" s="2"/>
      <c r="O601" s="2"/>
      <c r="P601" s="2"/>
      <c r="Q601" s="2"/>
      <c r="R601" s="2"/>
      <c r="S601" s="2"/>
      <c r="T601" s="2"/>
      <c r="U601" s="2"/>
      <c r="V601" s="2"/>
      <c r="W601" s="2"/>
      <c r="X601" s="2"/>
      <c r="Y601" s="2"/>
    </row>
    <row r="602" spans="1:25" ht="17.399999999999999" x14ac:dyDescent="0.25">
      <c r="A602" s="1"/>
      <c r="B602" s="40"/>
      <c r="C602" s="2" t="str">
        <f ca="1">IFERROR(__xludf.DUMMYFUNCTION("iferror(filter('Full Perk List'!C$3:C1498,'Full Perk List'!$D$3:$D1498=$D602),"""")"),"#REF!")</f>
        <v>#REF!</v>
      </c>
      <c r="D602" s="2"/>
      <c r="E602" s="2" t="str">
        <f ca="1">IFERROR(__xludf.DUMMYFUNCTION("iferror(filter('Full Perk List'!E$3:E1498,'Full Perk List'!$D$3:$D1498=$D602),"""")"),"#REF!")</f>
        <v>#REF!</v>
      </c>
      <c r="F602" s="2" t="str">
        <f ca="1">IFERROR(__xludf.DUMMYFUNCTION("iferror(filter('Full Perk List'!F$3:F1498,'Full Perk List'!$D$3:$D1498=$D602),"""")"),"#REF!")</f>
        <v>#REF!</v>
      </c>
      <c r="G602" s="2" t="str">
        <f ca="1">IFERROR(__xludf.DUMMYFUNCTION("iferror(filter('Full Perk List'!G$3:G1498,'Full Perk List'!$D$3:$D1498=$D602),"""")"),"#REF!")</f>
        <v>#REF!</v>
      </c>
      <c r="H602" s="1"/>
      <c r="I602" s="2"/>
      <c r="J602" s="2"/>
      <c r="K602" s="2"/>
      <c r="L602" s="2"/>
      <c r="M602" s="2"/>
      <c r="N602" s="2"/>
      <c r="O602" s="2"/>
      <c r="P602" s="2"/>
      <c r="Q602" s="2"/>
      <c r="R602" s="2"/>
      <c r="S602" s="2"/>
      <c r="T602" s="2"/>
      <c r="U602" s="2"/>
      <c r="V602" s="2"/>
      <c r="W602" s="2"/>
      <c r="X602" s="2"/>
      <c r="Y602" s="2"/>
    </row>
    <row r="603" spans="1:25" ht="17.399999999999999" x14ac:dyDescent="0.25">
      <c r="A603" s="1"/>
      <c r="B603" s="40"/>
      <c r="C603" s="2" t="str">
        <f ca="1">IFERROR(__xludf.DUMMYFUNCTION("iferror(filter('Full Perk List'!C$3:C1498,'Full Perk List'!$D$3:$D1498=$D603),"""")"),"#REF!")</f>
        <v>#REF!</v>
      </c>
      <c r="D603" s="2"/>
      <c r="E603" s="2" t="str">
        <f ca="1">IFERROR(__xludf.DUMMYFUNCTION("iferror(filter('Full Perk List'!E$3:E1498,'Full Perk List'!$D$3:$D1498=$D603),"""")"),"#REF!")</f>
        <v>#REF!</v>
      </c>
      <c r="F603" s="2" t="str">
        <f ca="1">IFERROR(__xludf.DUMMYFUNCTION("iferror(filter('Full Perk List'!F$3:F1498,'Full Perk List'!$D$3:$D1498=$D603),"""")"),"#REF!")</f>
        <v>#REF!</v>
      </c>
      <c r="G603" s="2" t="str">
        <f ca="1">IFERROR(__xludf.DUMMYFUNCTION("iferror(filter('Full Perk List'!G$3:G1498,'Full Perk List'!$D$3:$D1498=$D603),"""")"),"#REF!")</f>
        <v>#REF!</v>
      </c>
      <c r="H603" s="1"/>
      <c r="I603" s="2"/>
      <c r="J603" s="2"/>
      <c r="K603" s="2"/>
      <c r="L603" s="2"/>
      <c r="M603" s="2"/>
      <c r="N603" s="2"/>
      <c r="O603" s="2"/>
      <c r="P603" s="2"/>
      <c r="Q603" s="2"/>
      <c r="R603" s="2"/>
      <c r="S603" s="2"/>
      <c r="T603" s="2"/>
      <c r="U603" s="2"/>
      <c r="V603" s="2"/>
      <c r="W603" s="2"/>
      <c r="X603" s="2"/>
      <c r="Y603" s="2"/>
    </row>
    <row r="604" spans="1:25" ht="17.399999999999999" x14ac:dyDescent="0.25">
      <c r="A604" s="1"/>
      <c r="B604" s="40"/>
      <c r="C604" s="2" t="str">
        <f ca="1">IFERROR(__xludf.DUMMYFUNCTION("iferror(filter('Full Perk List'!C$3:C1498,'Full Perk List'!$D$3:$D1498=$D604),"""")"),"#REF!")</f>
        <v>#REF!</v>
      </c>
      <c r="D604" s="2"/>
      <c r="E604" s="2" t="str">
        <f ca="1">IFERROR(__xludf.DUMMYFUNCTION("iferror(filter('Full Perk List'!E$3:E1498,'Full Perk List'!$D$3:$D1498=$D604),"""")"),"#REF!")</f>
        <v>#REF!</v>
      </c>
      <c r="F604" s="2" t="str">
        <f ca="1">IFERROR(__xludf.DUMMYFUNCTION("iferror(filter('Full Perk List'!F$3:F1498,'Full Perk List'!$D$3:$D1498=$D604),"""")"),"#REF!")</f>
        <v>#REF!</v>
      </c>
      <c r="G604" s="2" t="str">
        <f ca="1">IFERROR(__xludf.DUMMYFUNCTION("iferror(filter('Full Perk List'!G$3:G1498,'Full Perk List'!$D$3:$D1498=$D604),"""")"),"#REF!")</f>
        <v>#REF!</v>
      </c>
      <c r="H604" s="1"/>
      <c r="I604" s="2"/>
      <c r="J604" s="2"/>
      <c r="K604" s="2"/>
      <c r="L604" s="2"/>
      <c r="M604" s="2"/>
      <c r="N604" s="2"/>
      <c r="O604" s="2"/>
      <c r="P604" s="2"/>
      <c r="Q604" s="2"/>
      <c r="R604" s="2"/>
      <c r="S604" s="2"/>
      <c r="T604" s="2"/>
      <c r="U604" s="2"/>
      <c r="V604" s="2"/>
      <c r="W604" s="2"/>
      <c r="X604" s="2"/>
      <c r="Y604" s="2"/>
    </row>
    <row r="605" spans="1:25" ht="17.399999999999999" x14ac:dyDescent="0.25">
      <c r="A605" s="1"/>
      <c r="B605" s="40"/>
      <c r="C605" s="2" t="str">
        <f ca="1">IFERROR(__xludf.DUMMYFUNCTION("iferror(filter('Full Perk List'!C$3:C1498,'Full Perk List'!$D$3:$D1498=$D605),"""")"),"#REF!")</f>
        <v>#REF!</v>
      </c>
      <c r="D605" s="2"/>
      <c r="E605" s="2" t="str">
        <f ca="1">IFERROR(__xludf.DUMMYFUNCTION("iferror(filter('Full Perk List'!E$3:E1498,'Full Perk List'!$D$3:$D1498=$D605),"""")"),"#REF!")</f>
        <v>#REF!</v>
      </c>
      <c r="F605" s="2" t="str">
        <f ca="1">IFERROR(__xludf.DUMMYFUNCTION("iferror(filter('Full Perk List'!F$3:F1498,'Full Perk List'!$D$3:$D1498=$D605),"""")"),"#REF!")</f>
        <v>#REF!</v>
      </c>
      <c r="G605" s="2" t="str">
        <f ca="1">IFERROR(__xludf.DUMMYFUNCTION("iferror(filter('Full Perk List'!G$3:G1498,'Full Perk List'!$D$3:$D1498=$D605),"""")"),"#REF!")</f>
        <v>#REF!</v>
      </c>
      <c r="H605" s="1"/>
      <c r="I605" s="2"/>
      <c r="J605" s="2"/>
      <c r="K605" s="2"/>
      <c r="L605" s="2"/>
      <c r="M605" s="2"/>
      <c r="N605" s="2"/>
      <c r="O605" s="2"/>
      <c r="P605" s="2"/>
      <c r="Q605" s="2"/>
      <c r="R605" s="2"/>
      <c r="S605" s="2"/>
      <c r="T605" s="2"/>
      <c r="U605" s="2"/>
      <c r="V605" s="2"/>
      <c r="W605" s="2"/>
      <c r="X605" s="2"/>
      <c r="Y605" s="2"/>
    </row>
    <row r="606" spans="1:25" ht="17.399999999999999" x14ac:dyDescent="0.25">
      <c r="A606" s="1"/>
      <c r="B606" s="40"/>
      <c r="C606" s="2" t="str">
        <f ca="1">IFERROR(__xludf.DUMMYFUNCTION("iferror(filter('Full Perk List'!C$3:C1498,'Full Perk List'!$D$3:$D1498=$D606),"""")"),"#REF!")</f>
        <v>#REF!</v>
      </c>
      <c r="D606" s="2"/>
      <c r="E606" s="2" t="str">
        <f ca="1">IFERROR(__xludf.DUMMYFUNCTION("iferror(filter('Full Perk List'!E$3:E1498,'Full Perk List'!$D$3:$D1498=$D606),"""")"),"#REF!")</f>
        <v>#REF!</v>
      </c>
      <c r="F606" s="2" t="str">
        <f ca="1">IFERROR(__xludf.DUMMYFUNCTION("iferror(filter('Full Perk List'!F$3:F1498,'Full Perk List'!$D$3:$D1498=$D606),"""")"),"#REF!")</f>
        <v>#REF!</v>
      </c>
      <c r="G606" s="2" t="str">
        <f ca="1">IFERROR(__xludf.DUMMYFUNCTION("iferror(filter('Full Perk List'!G$3:G1498,'Full Perk List'!$D$3:$D1498=$D606),"""")"),"#REF!")</f>
        <v>#REF!</v>
      </c>
      <c r="H606" s="1"/>
      <c r="I606" s="2"/>
      <c r="J606" s="2"/>
      <c r="K606" s="2"/>
      <c r="L606" s="2"/>
      <c r="M606" s="2"/>
      <c r="N606" s="2"/>
      <c r="O606" s="2"/>
      <c r="P606" s="2"/>
      <c r="Q606" s="2"/>
      <c r="R606" s="2"/>
      <c r="S606" s="2"/>
      <c r="T606" s="2"/>
      <c r="U606" s="2"/>
      <c r="V606" s="2"/>
      <c r="W606" s="2"/>
      <c r="X606" s="2"/>
      <c r="Y606" s="2"/>
    </row>
    <row r="607" spans="1:25" ht="17.399999999999999" x14ac:dyDescent="0.25">
      <c r="A607" s="1"/>
      <c r="B607" s="40"/>
      <c r="C607" s="2" t="str">
        <f ca="1">IFERROR(__xludf.DUMMYFUNCTION("iferror(filter('Full Perk List'!C$3:C1498,'Full Perk List'!$D$3:$D1498=$D607),"""")"),"#REF!")</f>
        <v>#REF!</v>
      </c>
      <c r="D607" s="2"/>
      <c r="E607" s="2" t="str">
        <f ca="1">IFERROR(__xludf.DUMMYFUNCTION("iferror(filter('Full Perk List'!E$3:E1498,'Full Perk List'!$D$3:$D1498=$D607),"""")"),"#REF!")</f>
        <v>#REF!</v>
      </c>
      <c r="F607" s="2" t="str">
        <f ca="1">IFERROR(__xludf.DUMMYFUNCTION("iferror(filter('Full Perk List'!F$3:F1498,'Full Perk List'!$D$3:$D1498=$D607),"""")"),"#REF!")</f>
        <v>#REF!</v>
      </c>
      <c r="G607" s="2" t="str">
        <f ca="1">IFERROR(__xludf.DUMMYFUNCTION("iferror(filter('Full Perk List'!G$3:G1498,'Full Perk List'!$D$3:$D1498=$D607),"""")"),"#REF!")</f>
        <v>#REF!</v>
      </c>
      <c r="H607" s="1"/>
      <c r="I607" s="2"/>
      <c r="J607" s="2"/>
      <c r="K607" s="2"/>
      <c r="L607" s="2"/>
      <c r="M607" s="2"/>
      <c r="N607" s="2"/>
      <c r="O607" s="2"/>
      <c r="P607" s="2"/>
      <c r="Q607" s="2"/>
      <c r="R607" s="2"/>
      <c r="S607" s="2"/>
      <c r="T607" s="2"/>
      <c r="U607" s="2"/>
      <c r="V607" s="2"/>
      <c r="W607" s="2"/>
      <c r="X607" s="2"/>
      <c r="Y607" s="2"/>
    </row>
    <row r="608" spans="1:25" ht="17.399999999999999" x14ac:dyDescent="0.25">
      <c r="A608" s="1"/>
      <c r="B608" s="40"/>
      <c r="C608" s="2" t="str">
        <f ca="1">IFERROR(__xludf.DUMMYFUNCTION("iferror(filter('Full Perk List'!C$3:C1498,'Full Perk List'!$D$3:$D1498=$D608),"""")"),"#REF!")</f>
        <v>#REF!</v>
      </c>
      <c r="D608" s="2"/>
      <c r="E608" s="2" t="str">
        <f ca="1">IFERROR(__xludf.DUMMYFUNCTION("iferror(filter('Full Perk List'!E$3:E1498,'Full Perk List'!$D$3:$D1498=$D608),"""")"),"#REF!")</f>
        <v>#REF!</v>
      </c>
      <c r="F608" s="2" t="str">
        <f ca="1">IFERROR(__xludf.DUMMYFUNCTION("iferror(filter('Full Perk List'!F$3:F1498,'Full Perk List'!$D$3:$D1498=$D608),"""")"),"#REF!")</f>
        <v>#REF!</v>
      </c>
      <c r="G608" s="2" t="str">
        <f ca="1">IFERROR(__xludf.DUMMYFUNCTION("iferror(filter('Full Perk List'!G$3:G1498,'Full Perk List'!$D$3:$D1498=$D608),"""")"),"#REF!")</f>
        <v>#REF!</v>
      </c>
      <c r="H608" s="1"/>
      <c r="I608" s="2"/>
      <c r="J608" s="2"/>
      <c r="K608" s="2"/>
      <c r="L608" s="2"/>
      <c r="M608" s="2"/>
      <c r="N608" s="2"/>
      <c r="O608" s="2"/>
      <c r="P608" s="2"/>
      <c r="Q608" s="2"/>
      <c r="R608" s="2"/>
      <c r="S608" s="2"/>
      <c r="T608" s="2"/>
      <c r="U608" s="2"/>
      <c r="V608" s="2"/>
      <c r="W608" s="2"/>
      <c r="X608" s="2"/>
      <c r="Y608" s="2"/>
    </row>
    <row r="609" spans="1:25" ht="17.399999999999999" x14ac:dyDescent="0.25">
      <c r="A609" s="1"/>
      <c r="B609" s="40"/>
      <c r="C609" s="2" t="str">
        <f ca="1">IFERROR(__xludf.DUMMYFUNCTION("iferror(filter('Full Perk List'!C$3:C1498,'Full Perk List'!$D$3:$D1498=$D609),"""")"),"#REF!")</f>
        <v>#REF!</v>
      </c>
      <c r="D609" s="2"/>
      <c r="E609" s="2" t="str">
        <f ca="1">IFERROR(__xludf.DUMMYFUNCTION("iferror(filter('Full Perk List'!E$3:E1498,'Full Perk List'!$D$3:$D1498=$D609),"""")"),"#REF!")</f>
        <v>#REF!</v>
      </c>
      <c r="F609" s="2" t="str">
        <f ca="1">IFERROR(__xludf.DUMMYFUNCTION("iferror(filter('Full Perk List'!F$3:F1498,'Full Perk List'!$D$3:$D1498=$D609),"""")"),"#REF!")</f>
        <v>#REF!</v>
      </c>
      <c r="G609" s="2" t="str">
        <f ca="1">IFERROR(__xludf.DUMMYFUNCTION("iferror(filter('Full Perk List'!G$3:G1498,'Full Perk List'!$D$3:$D1498=$D609),"""")"),"#REF!")</f>
        <v>#REF!</v>
      </c>
      <c r="H609" s="1"/>
      <c r="I609" s="2"/>
      <c r="J609" s="2"/>
      <c r="K609" s="2"/>
      <c r="L609" s="2"/>
      <c r="M609" s="2"/>
      <c r="N609" s="2"/>
      <c r="O609" s="2"/>
      <c r="P609" s="2"/>
      <c r="Q609" s="2"/>
      <c r="R609" s="2"/>
      <c r="S609" s="2"/>
      <c r="T609" s="2"/>
      <c r="U609" s="2"/>
      <c r="V609" s="2"/>
      <c r="W609" s="2"/>
      <c r="X609" s="2"/>
      <c r="Y609" s="2"/>
    </row>
    <row r="610" spans="1:25" ht="17.399999999999999" x14ac:dyDescent="0.25">
      <c r="A610" s="1"/>
      <c r="B610" s="40"/>
      <c r="C610" s="2" t="str">
        <f ca="1">IFERROR(__xludf.DUMMYFUNCTION("iferror(filter('Full Perk List'!C$3:C1498,'Full Perk List'!$D$3:$D1498=$D610),"""")"),"#REF!")</f>
        <v>#REF!</v>
      </c>
      <c r="D610" s="2"/>
      <c r="E610" s="2" t="str">
        <f ca="1">IFERROR(__xludf.DUMMYFUNCTION("iferror(filter('Full Perk List'!E$3:E1498,'Full Perk List'!$D$3:$D1498=$D610),"""")"),"#REF!")</f>
        <v>#REF!</v>
      </c>
      <c r="F610" s="2" t="str">
        <f ca="1">IFERROR(__xludf.DUMMYFUNCTION("iferror(filter('Full Perk List'!F$3:F1498,'Full Perk List'!$D$3:$D1498=$D610),"""")"),"#REF!")</f>
        <v>#REF!</v>
      </c>
      <c r="G610" s="2" t="str">
        <f ca="1">IFERROR(__xludf.DUMMYFUNCTION("iferror(filter('Full Perk List'!G$3:G1498,'Full Perk List'!$D$3:$D1498=$D610),"""")"),"#REF!")</f>
        <v>#REF!</v>
      </c>
      <c r="H610" s="1"/>
      <c r="I610" s="2"/>
      <c r="J610" s="2"/>
      <c r="K610" s="2"/>
      <c r="L610" s="2"/>
      <c r="M610" s="2"/>
      <c r="N610" s="2"/>
      <c r="O610" s="2"/>
      <c r="P610" s="2"/>
      <c r="Q610" s="2"/>
      <c r="R610" s="2"/>
      <c r="S610" s="2"/>
      <c r="T610" s="2"/>
      <c r="U610" s="2"/>
      <c r="V610" s="2"/>
      <c r="W610" s="2"/>
      <c r="X610" s="2"/>
      <c r="Y610" s="2"/>
    </row>
    <row r="611" spans="1:25" ht="17.399999999999999" x14ac:dyDescent="0.25">
      <c r="A611" s="1"/>
      <c r="B611" s="40"/>
      <c r="C611" s="2" t="str">
        <f ca="1">IFERROR(__xludf.DUMMYFUNCTION("iferror(filter('Full Perk List'!C$3:C1498,'Full Perk List'!$D$3:$D1498=$D611),"""")"),"#REF!")</f>
        <v>#REF!</v>
      </c>
      <c r="D611" s="2"/>
      <c r="E611" s="2" t="str">
        <f ca="1">IFERROR(__xludf.DUMMYFUNCTION("iferror(filter('Full Perk List'!E$3:E1498,'Full Perk List'!$D$3:$D1498=$D611),"""")"),"#REF!")</f>
        <v>#REF!</v>
      </c>
      <c r="F611" s="2" t="str">
        <f ca="1">IFERROR(__xludf.DUMMYFUNCTION("iferror(filter('Full Perk List'!F$3:F1498,'Full Perk List'!$D$3:$D1498=$D611),"""")"),"#REF!")</f>
        <v>#REF!</v>
      </c>
      <c r="G611" s="2" t="str">
        <f ca="1">IFERROR(__xludf.DUMMYFUNCTION("iferror(filter('Full Perk List'!G$3:G1498,'Full Perk List'!$D$3:$D1498=$D611),"""")"),"#REF!")</f>
        <v>#REF!</v>
      </c>
      <c r="H611" s="1"/>
      <c r="I611" s="2"/>
      <c r="J611" s="2"/>
      <c r="K611" s="2"/>
      <c r="L611" s="2"/>
      <c r="M611" s="2"/>
      <c r="N611" s="2"/>
      <c r="O611" s="2"/>
      <c r="P611" s="2"/>
      <c r="Q611" s="2"/>
      <c r="R611" s="2"/>
      <c r="S611" s="2"/>
      <c r="T611" s="2"/>
      <c r="U611" s="2"/>
      <c r="V611" s="2"/>
      <c r="W611" s="2"/>
      <c r="X611" s="2"/>
      <c r="Y611" s="2"/>
    </row>
    <row r="612" spans="1:25" ht="17.399999999999999" x14ac:dyDescent="0.25">
      <c r="A612" s="1"/>
      <c r="B612" s="40"/>
      <c r="C612" s="2" t="str">
        <f ca="1">IFERROR(__xludf.DUMMYFUNCTION("iferror(filter('Full Perk List'!C$3:C1498,'Full Perk List'!$D$3:$D1498=$D612),"""")"),"#REF!")</f>
        <v>#REF!</v>
      </c>
      <c r="D612" s="2"/>
      <c r="E612" s="2" t="str">
        <f ca="1">IFERROR(__xludf.DUMMYFUNCTION("iferror(filter('Full Perk List'!E$3:E1498,'Full Perk List'!$D$3:$D1498=$D612),"""")"),"#REF!")</f>
        <v>#REF!</v>
      </c>
      <c r="F612" s="2" t="str">
        <f ca="1">IFERROR(__xludf.DUMMYFUNCTION("iferror(filter('Full Perk List'!F$3:F1498,'Full Perk List'!$D$3:$D1498=$D612),"""")"),"#REF!")</f>
        <v>#REF!</v>
      </c>
      <c r="G612" s="2" t="str">
        <f ca="1">IFERROR(__xludf.DUMMYFUNCTION("iferror(filter('Full Perk List'!G$3:G1498,'Full Perk List'!$D$3:$D1498=$D612),"""")"),"#REF!")</f>
        <v>#REF!</v>
      </c>
      <c r="H612" s="1"/>
      <c r="I612" s="2"/>
      <c r="J612" s="2"/>
      <c r="K612" s="2"/>
      <c r="L612" s="2"/>
      <c r="M612" s="2"/>
      <c r="N612" s="2"/>
      <c r="O612" s="2"/>
      <c r="P612" s="2"/>
      <c r="Q612" s="2"/>
      <c r="R612" s="2"/>
      <c r="S612" s="2"/>
      <c r="T612" s="2"/>
      <c r="U612" s="2"/>
      <c r="V612" s="2"/>
      <c r="W612" s="2"/>
      <c r="X612" s="2"/>
      <c r="Y612" s="2"/>
    </row>
    <row r="613" spans="1:25" ht="17.399999999999999" x14ac:dyDescent="0.25">
      <c r="A613" s="1"/>
      <c r="B613" s="40"/>
      <c r="C613" s="2" t="str">
        <f ca="1">IFERROR(__xludf.DUMMYFUNCTION("iferror(filter('Full Perk List'!C$3:C1498,'Full Perk List'!$D$3:$D1498=$D613),"""")"),"#REF!")</f>
        <v>#REF!</v>
      </c>
      <c r="D613" s="2"/>
      <c r="E613" s="2" t="str">
        <f ca="1">IFERROR(__xludf.DUMMYFUNCTION("iferror(filter('Full Perk List'!E$3:E1498,'Full Perk List'!$D$3:$D1498=$D613),"""")"),"#REF!")</f>
        <v>#REF!</v>
      </c>
      <c r="F613" s="2" t="str">
        <f ca="1">IFERROR(__xludf.DUMMYFUNCTION("iferror(filter('Full Perk List'!F$3:F1498,'Full Perk List'!$D$3:$D1498=$D613),"""")"),"#REF!")</f>
        <v>#REF!</v>
      </c>
      <c r="G613" s="2" t="str">
        <f ca="1">IFERROR(__xludf.DUMMYFUNCTION("iferror(filter('Full Perk List'!G$3:G1498,'Full Perk List'!$D$3:$D1498=$D613),"""")"),"#REF!")</f>
        <v>#REF!</v>
      </c>
      <c r="H613" s="1"/>
      <c r="I613" s="2"/>
      <c r="J613" s="2"/>
      <c r="K613" s="2"/>
      <c r="L613" s="2"/>
      <c r="M613" s="2"/>
      <c r="N613" s="2"/>
      <c r="O613" s="2"/>
      <c r="P613" s="2"/>
      <c r="Q613" s="2"/>
      <c r="R613" s="2"/>
      <c r="S613" s="2"/>
      <c r="T613" s="2"/>
      <c r="U613" s="2"/>
      <c r="V613" s="2"/>
      <c r="W613" s="2"/>
      <c r="X613" s="2"/>
      <c r="Y613" s="2"/>
    </row>
    <row r="614" spans="1:25" ht="17.399999999999999" x14ac:dyDescent="0.25">
      <c r="A614" s="1"/>
      <c r="B614" s="40"/>
      <c r="C614" s="2" t="str">
        <f ca="1">IFERROR(__xludf.DUMMYFUNCTION("iferror(filter('Full Perk List'!C$3:C1498,'Full Perk List'!$D$3:$D1498=$D614),"""")"),"#REF!")</f>
        <v>#REF!</v>
      </c>
      <c r="D614" s="2"/>
      <c r="E614" s="2" t="str">
        <f ca="1">IFERROR(__xludf.DUMMYFUNCTION("iferror(filter('Full Perk List'!E$3:E1498,'Full Perk List'!$D$3:$D1498=$D614),"""")"),"#REF!")</f>
        <v>#REF!</v>
      </c>
      <c r="F614" s="2" t="str">
        <f ca="1">IFERROR(__xludf.DUMMYFUNCTION("iferror(filter('Full Perk List'!F$3:F1498,'Full Perk List'!$D$3:$D1498=$D614),"""")"),"#REF!")</f>
        <v>#REF!</v>
      </c>
      <c r="G614" s="2" t="str">
        <f ca="1">IFERROR(__xludf.DUMMYFUNCTION("iferror(filter('Full Perk List'!G$3:G1498,'Full Perk List'!$D$3:$D1498=$D614),"""")"),"#REF!")</f>
        <v>#REF!</v>
      </c>
      <c r="H614" s="1"/>
      <c r="I614" s="2"/>
      <c r="J614" s="2"/>
      <c r="K614" s="2"/>
      <c r="L614" s="2"/>
      <c r="M614" s="2"/>
      <c r="N614" s="2"/>
      <c r="O614" s="2"/>
      <c r="P614" s="2"/>
      <c r="Q614" s="2"/>
      <c r="R614" s="2"/>
      <c r="S614" s="2"/>
      <c r="T614" s="2"/>
      <c r="U614" s="2"/>
      <c r="V614" s="2"/>
      <c r="W614" s="2"/>
      <c r="X614" s="2"/>
      <c r="Y614" s="2"/>
    </row>
    <row r="615" spans="1:25" ht="17.399999999999999" x14ac:dyDescent="0.25">
      <c r="A615" s="1"/>
      <c r="B615" s="40"/>
      <c r="C615" s="2" t="str">
        <f ca="1">IFERROR(__xludf.DUMMYFUNCTION("iferror(filter('Full Perk List'!C$3:C1498,'Full Perk List'!$D$3:$D1498=$D615),"""")"),"#REF!")</f>
        <v>#REF!</v>
      </c>
      <c r="D615" s="2"/>
      <c r="E615" s="2" t="str">
        <f ca="1">IFERROR(__xludf.DUMMYFUNCTION("iferror(filter('Full Perk List'!E$3:E1498,'Full Perk List'!$D$3:$D1498=$D615),"""")"),"#REF!")</f>
        <v>#REF!</v>
      </c>
      <c r="F615" s="2" t="str">
        <f ca="1">IFERROR(__xludf.DUMMYFUNCTION("iferror(filter('Full Perk List'!F$3:F1498,'Full Perk List'!$D$3:$D1498=$D615),"""")"),"#REF!")</f>
        <v>#REF!</v>
      </c>
      <c r="G615" s="2" t="str">
        <f ca="1">IFERROR(__xludf.DUMMYFUNCTION("iferror(filter('Full Perk List'!G$3:G1498,'Full Perk List'!$D$3:$D1498=$D615),"""")"),"#REF!")</f>
        <v>#REF!</v>
      </c>
      <c r="H615" s="1"/>
      <c r="I615" s="2"/>
      <c r="J615" s="2"/>
      <c r="K615" s="2"/>
      <c r="L615" s="2"/>
      <c r="M615" s="2"/>
      <c r="N615" s="2"/>
      <c r="O615" s="2"/>
      <c r="P615" s="2"/>
      <c r="Q615" s="2"/>
      <c r="R615" s="2"/>
      <c r="S615" s="2"/>
      <c r="T615" s="2"/>
      <c r="U615" s="2"/>
      <c r="V615" s="2"/>
      <c r="W615" s="2"/>
      <c r="X615" s="2"/>
      <c r="Y615" s="2"/>
    </row>
    <row r="616" spans="1:25" ht="17.399999999999999" x14ac:dyDescent="0.25">
      <c r="A616" s="1"/>
      <c r="B616" s="40"/>
      <c r="C616" s="2" t="str">
        <f ca="1">IFERROR(__xludf.DUMMYFUNCTION("iferror(filter('Full Perk List'!C$3:C1498,'Full Perk List'!$D$3:$D1498=$D616),"""")"),"#REF!")</f>
        <v>#REF!</v>
      </c>
      <c r="D616" s="2"/>
      <c r="E616" s="2" t="str">
        <f ca="1">IFERROR(__xludf.DUMMYFUNCTION("iferror(filter('Full Perk List'!E$3:E1498,'Full Perk List'!$D$3:$D1498=$D616),"""")"),"#REF!")</f>
        <v>#REF!</v>
      </c>
      <c r="F616" s="2" t="str">
        <f ca="1">IFERROR(__xludf.DUMMYFUNCTION("iferror(filter('Full Perk List'!F$3:F1498,'Full Perk List'!$D$3:$D1498=$D616),"""")"),"#REF!")</f>
        <v>#REF!</v>
      </c>
      <c r="G616" s="2" t="str">
        <f ca="1">IFERROR(__xludf.DUMMYFUNCTION("iferror(filter('Full Perk List'!G$3:G1498,'Full Perk List'!$D$3:$D1498=$D616),"""")"),"#REF!")</f>
        <v>#REF!</v>
      </c>
      <c r="H616" s="1"/>
      <c r="I616" s="2"/>
      <c r="J616" s="2"/>
      <c r="K616" s="2"/>
      <c r="L616" s="2"/>
      <c r="M616" s="2"/>
      <c r="N616" s="2"/>
      <c r="O616" s="2"/>
      <c r="P616" s="2"/>
      <c r="Q616" s="2"/>
      <c r="R616" s="2"/>
      <c r="S616" s="2"/>
      <c r="T616" s="2"/>
      <c r="U616" s="2"/>
      <c r="V616" s="2"/>
      <c r="W616" s="2"/>
      <c r="X616" s="2"/>
      <c r="Y616" s="2"/>
    </row>
    <row r="617" spans="1:25" ht="17.399999999999999" x14ac:dyDescent="0.25">
      <c r="A617" s="1"/>
      <c r="B617" s="40"/>
      <c r="C617" s="2" t="str">
        <f ca="1">IFERROR(__xludf.DUMMYFUNCTION("iferror(filter('Full Perk List'!C$3:C1498,'Full Perk List'!$D$3:$D1498=$D617),"""")"),"#REF!")</f>
        <v>#REF!</v>
      </c>
      <c r="D617" s="2"/>
      <c r="E617" s="2" t="str">
        <f ca="1">IFERROR(__xludf.DUMMYFUNCTION("iferror(filter('Full Perk List'!E$3:E1498,'Full Perk List'!$D$3:$D1498=$D617),"""")"),"#REF!")</f>
        <v>#REF!</v>
      </c>
      <c r="F617" s="2" t="str">
        <f ca="1">IFERROR(__xludf.DUMMYFUNCTION("iferror(filter('Full Perk List'!F$3:F1498,'Full Perk List'!$D$3:$D1498=$D617),"""")"),"#REF!")</f>
        <v>#REF!</v>
      </c>
      <c r="G617" s="2" t="str">
        <f ca="1">IFERROR(__xludf.DUMMYFUNCTION("iferror(filter('Full Perk List'!G$3:G1498,'Full Perk List'!$D$3:$D1498=$D617),"""")"),"#REF!")</f>
        <v>#REF!</v>
      </c>
      <c r="H617" s="1"/>
      <c r="I617" s="2"/>
      <c r="J617" s="2"/>
      <c r="K617" s="2"/>
      <c r="L617" s="2"/>
      <c r="M617" s="2"/>
      <c r="N617" s="2"/>
      <c r="O617" s="2"/>
      <c r="P617" s="2"/>
      <c r="Q617" s="2"/>
      <c r="R617" s="2"/>
      <c r="S617" s="2"/>
      <c r="T617" s="2"/>
      <c r="U617" s="2"/>
      <c r="V617" s="2"/>
      <c r="W617" s="2"/>
      <c r="X617" s="2"/>
      <c r="Y617" s="2"/>
    </row>
    <row r="618" spans="1:25" ht="17.399999999999999" x14ac:dyDescent="0.25">
      <c r="A618" s="1"/>
      <c r="B618" s="40"/>
      <c r="C618" s="2" t="str">
        <f ca="1">IFERROR(__xludf.DUMMYFUNCTION("iferror(filter('Full Perk List'!C$3:C1498,'Full Perk List'!$D$3:$D1498=$D618),"""")"),"#REF!")</f>
        <v>#REF!</v>
      </c>
      <c r="D618" s="2"/>
      <c r="E618" s="2" t="str">
        <f ca="1">IFERROR(__xludf.DUMMYFUNCTION("iferror(filter('Full Perk List'!E$3:E1498,'Full Perk List'!$D$3:$D1498=$D618),"""")"),"#REF!")</f>
        <v>#REF!</v>
      </c>
      <c r="F618" s="2" t="str">
        <f ca="1">IFERROR(__xludf.DUMMYFUNCTION("iferror(filter('Full Perk List'!F$3:F1498,'Full Perk List'!$D$3:$D1498=$D618),"""")"),"#REF!")</f>
        <v>#REF!</v>
      </c>
      <c r="G618" s="2" t="str">
        <f ca="1">IFERROR(__xludf.DUMMYFUNCTION("iferror(filter('Full Perk List'!G$3:G1498,'Full Perk List'!$D$3:$D1498=$D618),"""")"),"#REF!")</f>
        <v>#REF!</v>
      </c>
      <c r="H618" s="1"/>
      <c r="I618" s="2"/>
      <c r="J618" s="2"/>
      <c r="K618" s="2"/>
      <c r="L618" s="2"/>
      <c r="M618" s="2"/>
      <c r="N618" s="2"/>
      <c r="O618" s="2"/>
      <c r="P618" s="2"/>
      <c r="Q618" s="2"/>
      <c r="R618" s="2"/>
      <c r="S618" s="2"/>
      <c r="T618" s="2"/>
      <c r="U618" s="2"/>
      <c r="V618" s="2"/>
      <c r="W618" s="2"/>
      <c r="X618" s="2"/>
      <c r="Y618" s="2"/>
    </row>
    <row r="619" spans="1:25" ht="17.399999999999999" x14ac:dyDescent="0.25">
      <c r="A619" s="1"/>
      <c r="B619" s="40"/>
      <c r="C619" s="2" t="str">
        <f ca="1">IFERROR(__xludf.DUMMYFUNCTION("iferror(filter('Full Perk List'!C$3:C1498,'Full Perk List'!$D$3:$D1498=$D619),"""")"),"#REF!")</f>
        <v>#REF!</v>
      </c>
      <c r="D619" s="2"/>
      <c r="E619" s="2" t="str">
        <f ca="1">IFERROR(__xludf.DUMMYFUNCTION("iferror(filter('Full Perk List'!E$3:E1498,'Full Perk List'!$D$3:$D1498=$D619),"""")"),"#REF!")</f>
        <v>#REF!</v>
      </c>
      <c r="F619" s="2" t="str">
        <f ca="1">IFERROR(__xludf.DUMMYFUNCTION("iferror(filter('Full Perk List'!F$3:F1498,'Full Perk List'!$D$3:$D1498=$D619),"""")"),"#REF!")</f>
        <v>#REF!</v>
      </c>
      <c r="G619" s="2" t="str">
        <f ca="1">IFERROR(__xludf.DUMMYFUNCTION("iferror(filter('Full Perk List'!G$3:G1498,'Full Perk List'!$D$3:$D1498=$D619),"""")"),"#REF!")</f>
        <v>#REF!</v>
      </c>
      <c r="H619" s="1"/>
      <c r="I619" s="2"/>
      <c r="J619" s="2"/>
      <c r="K619" s="2"/>
      <c r="L619" s="2"/>
      <c r="M619" s="2"/>
      <c r="N619" s="2"/>
      <c r="O619" s="2"/>
      <c r="P619" s="2"/>
      <c r="Q619" s="2"/>
      <c r="R619" s="2"/>
      <c r="S619" s="2"/>
      <c r="T619" s="2"/>
      <c r="U619" s="2"/>
      <c r="V619" s="2"/>
      <c r="W619" s="2"/>
      <c r="X619" s="2"/>
      <c r="Y619" s="2"/>
    </row>
    <row r="620" spans="1:25" ht="17.399999999999999" x14ac:dyDescent="0.25">
      <c r="A620" s="1"/>
      <c r="B620" s="40"/>
      <c r="C620" s="2" t="str">
        <f ca="1">IFERROR(__xludf.DUMMYFUNCTION("iferror(filter('Full Perk List'!C$3:C1498,'Full Perk List'!$D$3:$D1498=$D620),"""")"),"#REF!")</f>
        <v>#REF!</v>
      </c>
      <c r="D620" s="2"/>
      <c r="E620" s="2" t="str">
        <f ca="1">IFERROR(__xludf.DUMMYFUNCTION("iferror(filter('Full Perk List'!E$3:E1498,'Full Perk List'!$D$3:$D1498=$D620),"""")"),"#REF!")</f>
        <v>#REF!</v>
      </c>
      <c r="F620" s="2" t="str">
        <f ca="1">IFERROR(__xludf.DUMMYFUNCTION("iferror(filter('Full Perk List'!F$3:F1498,'Full Perk List'!$D$3:$D1498=$D620),"""")"),"#REF!")</f>
        <v>#REF!</v>
      </c>
      <c r="G620" s="2" t="str">
        <f ca="1">IFERROR(__xludf.DUMMYFUNCTION("iferror(filter('Full Perk List'!G$3:G1498,'Full Perk List'!$D$3:$D1498=$D620),"""")"),"#REF!")</f>
        <v>#REF!</v>
      </c>
      <c r="H620" s="1"/>
      <c r="I620" s="2"/>
      <c r="J620" s="2"/>
      <c r="K620" s="2"/>
      <c r="L620" s="2"/>
      <c r="M620" s="2"/>
      <c r="N620" s="2"/>
      <c r="O620" s="2"/>
      <c r="P620" s="2"/>
      <c r="Q620" s="2"/>
      <c r="R620" s="2"/>
      <c r="S620" s="2"/>
      <c r="T620" s="2"/>
      <c r="U620" s="2"/>
      <c r="V620" s="2"/>
      <c r="W620" s="2"/>
      <c r="X620" s="2"/>
      <c r="Y620" s="2"/>
    </row>
    <row r="621" spans="1:25" ht="17.399999999999999" x14ac:dyDescent="0.25">
      <c r="A621" s="1"/>
      <c r="B621" s="40"/>
      <c r="C621" s="2" t="str">
        <f ca="1">IFERROR(__xludf.DUMMYFUNCTION("iferror(filter('Full Perk List'!C$3:C1498,'Full Perk List'!$D$3:$D1498=$D621),"""")"),"#REF!")</f>
        <v>#REF!</v>
      </c>
      <c r="D621" s="2"/>
      <c r="E621" s="2" t="str">
        <f ca="1">IFERROR(__xludf.DUMMYFUNCTION("iferror(filter('Full Perk List'!E$3:E1498,'Full Perk List'!$D$3:$D1498=$D621),"""")"),"#REF!")</f>
        <v>#REF!</v>
      </c>
      <c r="F621" s="2" t="str">
        <f ca="1">IFERROR(__xludf.DUMMYFUNCTION("iferror(filter('Full Perk List'!F$3:F1498,'Full Perk List'!$D$3:$D1498=$D621),"""")"),"#REF!")</f>
        <v>#REF!</v>
      </c>
      <c r="G621" s="2" t="str">
        <f ca="1">IFERROR(__xludf.DUMMYFUNCTION("iferror(filter('Full Perk List'!G$3:G1498,'Full Perk List'!$D$3:$D1498=$D621),"""")"),"#REF!")</f>
        <v>#REF!</v>
      </c>
      <c r="H621" s="1"/>
      <c r="I621" s="2"/>
      <c r="J621" s="2"/>
      <c r="K621" s="2"/>
      <c r="L621" s="2"/>
      <c r="M621" s="2"/>
      <c r="N621" s="2"/>
      <c r="O621" s="2"/>
      <c r="P621" s="2"/>
      <c r="Q621" s="2"/>
      <c r="R621" s="2"/>
      <c r="S621" s="2"/>
      <c r="T621" s="2"/>
      <c r="U621" s="2"/>
      <c r="V621" s="2"/>
      <c r="W621" s="2"/>
      <c r="X621" s="2"/>
      <c r="Y621" s="2"/>
    </row>
    <row r="622" spans="1:25" ht="17.399999999999999" x14ac:dyDescent="0.25">
      <c r="A622" s="1"/>
      <c r="B622" s="40"/>
      <c r="C622" s="2" t="str">
        <f ca="1">IFERROR(__xludf.DUMMYFUNCTION("iferror(filter('Full Perk List'!C$3:C1498,'Full Perk List'!$D$3:$D1498=$D622),"""")"),"#REF!")</f>
        <v>#REF!</v>
      </c>
      <c r="D622" s="2"/>
      <c r="E622" s="2" t="str">
        <f ca="1">IFERROR(__xludf.DUMMYFUNCTION("iferror(filter('Full Perk List'!E$3:E1498,'Full Perk List'!$D$3:$D1498=$D622),"""")"),"#REF!")</f>
        <v>#REF!</v>
      </c>
      <c r="F622" s="2" t="str">
        <f ca="1">IFERROR(__xludf.DUMMYFUNCTION("iferror(filter('Full Perk List'!F$3:F1498,'Full Perk List'!$D$3:$D1498=$D622),"""")"),"#REF!")</f>
        <v>#REF!</v>
      </c>
      <c r="G622" s="2" t="str">
        <f ca="1">IFERROR(__xludf.DUMMYFUNCTION("iferror(filter('Full Perk List'!G$3:G1498,'Full Perk List'!$D$3:$D1498=$D622),"""")"),"#REF!")</f>
        <v>#REF!</v>
      </c>
      <c r="H622" s="1"/>
      <c r="I622" s="2"/>
      <c r="J622" s="2"/>
      <c r="K622" s="2"/>
      <c r="L622" s="2"/>
      <c r="M622" s="2"/>
      <c r="N622" s="2"/>
      <c r="O622" s="2"/>
      <c r="P622" s="2"/>
      <c r="Q622" s="2"/>
      <c r="R622" s="2"/>
      <c r="S622" s="2"/>
      <c r="T622" s="2"/>
      <c r="U622" s="2"/>
      <c r="V622" s="2"/>
      <c r="W622" s="2"/>
      <c r="X622" s="2"/>
      <c r="Y622" s="2"/>
    </row>
    <row r="623" spans="1:25" ht="17.399999999999999" x14ac:dyDescent="0.25">
      <c r="A623" s="1"/>
      <c r="B623" s="40"/>
      <c r="C623" s="2" t="str">
        <f ca="1">IFERROR(__xludf.DUMMYFUNCTION("iferror(filter('Full Perk List'!C$3:C1498,'Full Perk List'!$D$3:$D1498=$D623),"""")"),"#REF!")</f>
        <v>#REF!</v>
      </c>
      <c r="D623" s="2"/>
      <c r="E623" s="2" t="str">
        <f ca="1">IFERROR(__xludf.DUMMYFUNCTION("iferror(filter('Full Perk List'!E$3:E1498,'Full Perk List'!$D$3:$D1498=$D623),"""")"),"#REF!")</f>
        <v>#REF!</v>
      </c>
      <c r="F623" s="2" t="str">
        <f ca="1">IFERROR(__xludf.DUMMYFUNCTION("iferror(filter('Full Perk List'!F$3:F1498,'Full Perk List'!$D$3:$D1498=$D623),"""")"),"#REF!")</f>
        <v>#REF!</v>
      </c>
      <c r="G623" s="2" t="str">
        <f ca="1">IFERROR(__xludf.DUMMYFUNCTION("iferror(filter('Full Perk List'!G$3:G1498,'Full Perk List'!$D$3:$D1498=$D623),"""")"),"#REF!")</f>
        <v>#REF!</v>
      </c>
      <c r="H623" s="1"/>
      <c r="I623" s="2"/>
      <c r="J623" s="2"/>
      <c r="K623" s="2"/>
      <c r="L623" s="2"/>
      <c r="M623" s="2"/>
      <c r="N623" s="2"/>
      <c r="O623" s="2"/>
      <c r="P623" s="2"/>
      <c r="Q623" s="2"/>
      <c r="R623" s="2"/>
      <c r="S623" s="2"/>
      <c r="T623" s="2"/>
      <c r="U623" s="2"/>
      <c r="V623" s="2"/>
      <c r="W623" s="2"/>
      <c r="X623" s="2"/>
      <c r="Y623" s="2"/>
    </row>
    <row r="624" spans="1:25" ht="17.399999999999999" x14ac:dyDescent="0.25">
      <c r="A624" s="1"/>
      <c r="B624" s="40"/>
      <c r="C624" s="2" t="str">
        <f ca="1">IFERROR(__xludf.DUMMYFUNCTION("iferror(filter('Full Perk List'!C$3:C1498,'Full Perk List'!$D$3:$D1498=$D624),"""")"),"#REF!")</f>
        <v>#REF!</v>
      </c>
      <c r="D624" s="2"/>
      <c r="E624" s="2" t="str">
        <f ca="1">IFERROR(__xludf.DUMMYFUNCTION("iferror(filter('Full Perk List'!E$3:E1498,'Full Perk List'!$D$3:$D1498=$D624),"""")"),"#REF!")</f>
        <v>#REF!</v>
      </c>
      <c r="F624" s="2" t="str">
        <f ca="1">IFERROR(__xludf.DUMMYFUNCTION("iferror(filter('Full Perk List'!F$3:F1498,'Full Perk List'!$D$3:$D1498=$D624),"""")"),"#REF!")</f>
        <v>#REF!</v>
      </c>
      <c r="G624" s="2" t="str">
        <f ca="1">IFERROR(__xludf.DUMMYFUNCTION("iferror(filter('Full Perk List'!G$3:G1498,'Full Perk List'!$D$3:$D1498=$D624),"""")"),"#REF!")</f>
        <v>#REF!</v>
      </c>
      <c r="H624" s="1"/>
      <c r="I624" s="2"/>
      <c r="J624" s="2"/>
      <c r="K624" s="2"/>
      <c r="L624" s="2"/>
      <c r="M624" s="2"/>
      <c r="N624" s="2"/>
      <c r="O624" s="2"/>
      <c r="P624" s="2"/>
      <c r="Q624" s="2"/>
      <c r="R624" s="2"/>
      <c r="S624" s="2"/>
      <c r="T624" s="2"/>
      <c r="U624" s="2"/>
      <c r="V624" s="2"/>
      <c r="W624" s="2"/>
      <c r="X624" s="2"/>
      <c r="Y624" s="2"/>
    </row>
    <row r="625" spans="1:25" ht="17.399999999999999" x14ac:dyDescent="0.25">
      <c r="A625" s="1"/>
      <c r="B625" s="40"/>
      <c r="C625" s="2" t="str">
        <f ca="1">IFERROR(__xludf.DUMMYFUNCTION("iferror(filter('Full Perk List'!C$3:C1498,'Full Perk List'!$D$3:$D1498=$D625),"""")"),"#REF!")</f>
        <v>#REF!</v>
      </c>
      <c r="D625" s="2"/>
      <c r="E625" s="2" t="str">
        <f ca="1">IFERROR(__xludf.DUMMYFUNCTION("iferror(filter('Full Perk List'!E$3:E1498,'Full Perk List'!$D$3:$D1498=$D625),"""")"),"#REF!")</f>
        <v>#REF!</v>
      </c>
      <c r="F625" s="2" t="str">
        <f ca="1">IFERROR(__xludf.DUMMYFUNCTION("iferror(filter('Full Perk List'!F$3:F1498,'Full Perk List'!$D$3:$D1498=$D625),"""")"),"#REF!")</f>
        <v>#REF!</v>
      </c>
      <c r="G625" s="2" t="str">
        <f ca="1">IFERROR(__xludf.DUMMYFUNCTION("iferror(filter('Full Perk List'!G$3:G1498,'Full Perk List'!$D$3:$D1498=$D625),"""")"),"#REF!")</f>
        <v>#REF!</v>
      </c>
      <c r="H625" s="1"/>
      <c r="I625" s="2"/>
      <c r="J625" s="2"/>
      <c r="K625" s="2"/>
      <c r="L625" s="2"/>
      <c r="M625" s="2"/>
      <c r="N625" s="2"/>
      <c r="O625" s="2"/>
      <c r="P625" s="2"/>
      <c r="Q625" s="2"/>
      <c r="R625" s="2"/>
      <c r="S625" s="2"/>
      <c r="T625" s="2"/>
      <c r="U625" s="2"/>
      <c r="V625" s="2"/>
      <c r="W625" s="2"/>
      <c r="X625" s="2"/>
      <c r="Y625" s="2"/>
    </row>
    <row r="626" spans="1:25" ht="17.399999999999999" x14ac:dyDescent="0.25">
      <c r="A626" s="1"/>
      <c r="B626" s="40"/>
      <c r="C626" s="2" t="str">
        <f ca="1">IFERROR(__xludf.DUMMYFUNCTION("iferror(filter('Full Perk List'!C$3:C1498,'Full Perk List'!$D$3:$D1498=$D626),"""")"),"#REF!")</f>
        <v>#REF!</v>
      </c>
      <c r="D626" s="2"/>
      <c r="E626" s="2" t="str">
        <f ca="1">IFERROR(__xludf.DUMMYFUNCTION("iferror(filter('Full Perk List'!E$3:E1498,'Full Perk List'!$D$3:$D1498=$D626),"""")"),"#REF!")</f>
        <v>#REF!</v>
      </c>
      <c r="F626" s="2" t="str">
        <f ca="1">IFERROR(__xludf.DUMMYFUNCTION("iferror(filter('Full Perk List'!F$3:F1498,'Full Perk List'!$D$3:$D1498=$D626),"""")"),"#REF!")</f>
        <v>#REF!</v>
      </c>
      <c r="G626" s="2" t="str">
        <f ca="1">IFERROR(__xludf.DUMMYFUNCTION("iferror(filter('Full Perk List'!G$3:G1498,'Full Perk List'!$D$3:$D1498=$D626),"""")"),"#REF!")</f>
        <v>#REF!</v>
      </c>
      <c r="H626" s="1"/>
      <c r="I626" s="2"/>
      <c r="J626" s="2"/>
      <c r="K626" s="2"/>
      <c r="L626" s="2"/>
      <c r="M626" s="2"/>
      <c r="N626" s="2"/>
      <c r="O626" s="2"/>
      <c r="P626" s="2"/>
      <c r="Q626" s="2"/>
      <c r="R626" s="2"/>
      <c r="S626" s="2"/>
      <c r="T626" s="2"/>
      <c r="U626" s="2"/>
      <c r="V626" s="2"/>
      <c r="W626" s="2"/>
      <c r="X626" s="2"/>
      <c r="Y626" s="2"/>
    </row>
    <row r="627" spans="1:25" ht="17.399999999999999" x14ac:dyDescent="0.25">
      <c r="A627" s="1"/>
      <c r="B627" s="40"/>
      <c r="C627" s="2" t="str">
        <f ca="1">IFERROR(__xludf.DUMMYFUNCTION("iferror(filter('Full Perk List'!C$3:C1498,'Full Perk List'!$D$3:$D1498=$D627),"""")"),"#REF!")</f>
        <v>#REF!</v>
      </c>
      <c r="D627" s="2"/>
      <c r="E627" s="2" t="str">
        <f ca="1">IFERROR(__xludf.DUMMYFUNCTION("iferror(filter('Full Perk List'!E$3:E1498,'Full Perk List'!$D$3:$D1498=$D627),"""")"),"#REF!")</f>
        <v>#REF!</v>
      </c>
      <c r="F627" s="2" t="str">
        <f ca="1">IFERROR(__xludf.DUMMYFUNCTION("iferror(filter('Full Perk List'!F$3:F1498,'Full Perk List'!$D$3:$D1498=$D627),"""")"),"#REF!")</f>
        <v>#REF!</v>
      </c>
      <c r="G627" s="2" t="str">
        <f ca="1">IFERROR(__xludf.DUMMYFUNCTION("iferror(filter('Full Perk List'!G$3:G1498,'Full Perk List'!$D$3:$D1498=$D627),"""")"),"#REF!")</f>
        <v>#REF!</v>
      </c>
      <c r="H627" s="1"/>
      <c r="I627" s="2"/>
      <c r="J627" s="2"/>
      <c r="K627" s="2"/>
      <c r="L627" s="2"/>
      <c r="M627" s="2"/>
      <c r="N627" s="2"/>
      <c r="O627" s="2"/>
      <c r="P627" s="2"/>
      <c r="Q627" s="2"/>
      <c r="R627" s="2"/>
      <c r="S627" s="2"/>
      <c r="T627" s="2"/>
      <c r="U627" s="2"/>
      <c r="V627" s="2"/>
      <c r="W627" s="2"/>
      <c r="X627" s="2"/>
      <c r="Y627" s="2"/>
    </row>
    <row r="628" spans="1:25" ht="17.399999999999999" x14ac:dyDescent="0.25">
      <c r="A628" s="1"/>
      <c r="B628" s="40"/>
      <c r="C628" s="2" t="str">
        <f ca="1">IFERROR(__xludf.DUMMYFUNCTION("iferror(filter('Full Perk List'!C$3:C1498,'Full Perk List'!$D$3:$D1498=$D628),"""")"),"#REF!")</f>
        <v>#REF!</v>
      </c>
      <c r="D628" s="2"/>
      <c r="E628" s="2" t="str">
        <f ca="1">IFERROR(__xludf.DUMMYFUNCTION("iferror(filter('Full Perk List'!E$3:E1498,'Full Perk List'!$D$3:$D1498=$D628),"""")"),"#REF!")</f>
        <v>#REF!</v>
      </c>
      <c r="F628" s="2" t="str">
        <f ca="1">IFERROR(__xludf.DUMMYFUNCTION("iferror(filter('Full Perk List'!F$3:F1498,'Full Perk List'!$D$3:$D1498=$D628),"""")"),"#REF!")</f>
        <v>#REF!</v>
      </c>
      <c r="G628" s="2" t="str">
        <f ca="1">IFERROR(__xludf.DUMMYFUNCTION("iferror(filter('Full Perk List'!G$3:G1498,'Full Perk List'!$D$3:$D1498=$D628),"""")"),"#REF!")</f>
        <v>#REF!</v>
      </c>
      <c r="H628" s="1"/>
      <c r="I628" s="2"/>
      <c r="J628" s="2"/>
      <c r="K628" s="2"/>
      <c r="L628" s="2"/>
      <c r="M628" s="2"/>
      <c r="N628" s="2"/>
      <c r="O628" s="2"/>
      <c r="P628" s="2"/>
      <c r="Q628" s="2"/>
      <c r="R628" s="2"/>
      <c r="S628" s="2"/>
      <c r="T628" s="2"/>
      <c r="U628" s="2"/>
      <c r="V628" s="2"/>
      <c r="W628" s="2"/>
      <c r="X628" s="2"/>
      <c r="Y628" s="2"/>
    </row>
    <row r="629" spans="1:25" ht="17.399999999999999" x14ac:dyDescent="0.25">
      <c r="A629" s="1"/>
      <c r="B629" s="40"/>
      <c r="C629" s="2" t="str">
        <f ca="1">IFERROR(__xludf.DUMMYFUNCTION("iferror(filter('Full Perk List'!C$3:C1498,'Full Perk List'!$D$3:$D1498=$D629),"""")"),"#REF!")</f>
        <v>#REF!</v>
      </c>
      <c r="D629" s="2"/>
      <c r="E629" s="2" t="str">
        <f ca="1">IFERROR(__xludf.DUMMYFUNCTION("iferror(filter('Full Perk List'!E$3:E1498,'Full Perk List'!$D$3:$D1498=$D629),"""")"),"#REF!")</f>
        <v>#REF!</v>
      </c>
      <c r="F629" s="2" t="str">
        <f ca="1">IFERROR(__xludf.DUMMYFUNCTION("iferror(filter('Full Perk List'!F$3:F1498,'Full Perk List'!$D$3:$D1498=$D629),"""")"),"#REF!")</f>
        <v>#REF!</v>
      </c>
      <c r="G629" s="2" t="str">
        <f ca="1">IFERROR(__xludf.DUMMYFUNCTION("iferror(filter('Full Perk List'!G$3:G1498,'Full Perk List'!$D$3:$D1498=$D629),"""")"),"#REF!")</f>
        <v>#REF!</v>
      </c>
      <c r="H629" s="1"/>
      <c r="I629" s="2"/>
      <c r="J629" s="2"/>
      <c r="K629" s="2"/>
      <c r="L629" s="2"/>
      <c r="M629" s="2"/>
      <c r="N629" s="2"/>
      <c r="O629" s="2"/>
      <c r="P629" s="2"/>
      <c r="Q629" s="2"/>
      <c r="R629" s="2"/>
      <c r="S629" s="2"/>
      <c r="T629" s="2"/>
      <c r="U629" s="2"/>
      <c r="V629" s="2"/>
      <c r="W629" s="2"/>
      <c r="X629" s="2"/>
      <c r="Y629" s="2"/>
    </row>
    <row r="630" spans="1:25" ht="17.399999999999999" x14ac:dyDescent="0.25">
      <c r="A630" s="1"/>
      <c r="B630" s="40"/>
      <c r="C630" s="2" t="str">
        <f ca="1">IFERROR(__xludf.DUMMYFUNCTION("iferror(filter('Full Perk List'!C$3:C1498,'Full Perk List'!$D$3:$D1498=$D630),"""")"),"#REF!")</f>
        <v>#REF!</v>
      </c>
      <c r="D630" s="2"/>
      <c r="E630" s="2" t="str">
        <f ca="1">IFERROR(__xludf.DUMMYFUNCTION("iferror(filter('Full Perk List'!E$3:E1498,'Full Perk List'!$D$3:$D1498=$D630),"""")"),"#REF!")</f>
        <v>#REF!</v>
      </c>
      <c r="F630" s="2" t="str">
        <f ca="1">IFERROR(__xludf.DUMMYFUNCTION("iferror(filter('Full Perk List'!F$3:F1498,'Full Perk List'!$D$3:$D1498=$D630),"""")"),"#REF!")</f>
        <v>#REF!</v>
      </c>
      <c r="G630" s="2" t="str">
        <f ca="1">IFERROR(__xludf.DUMMYFUNCTION("iferror(filter('Full Perk List'!G$3:G1498,'Full Perk List'!$D$3:$D1498=$D630),"""")"),"#REF!")</f>
        <v>#REF!</v>
      </c>
      <c r="H630" s="1"/>
      <c r="I630" s="2"/>
      <c r="J630" s="2"/>
      <c r="K630" s="2"/>
      <c r="L630" s="2"/>
      <c r="M630" s="2"/>
      <c r="N630" s="2"/>
      <c r="O630" s="2"/>
      <c r="P630" s="2"/>
      <c r="Q630" s="2"/>
      <c r="R630" s="2"/>
      <c r="S630" s="2"/>
      <c r="T630" s="2"/>
      <c r="U630" s="2"/>
      <c r="V630" s="2"/>
      <c r="W630" s="2"/>
      <c r="X630" s="2"/>
      <c r="Y630" s="2"/>
    </row>
    <row r="631" spans="1:25" ht="17.399999999999999" x14ac:dyDescent="0.25">
      <c r="A631" s="1"/>
      <c r="B631" s="40"/>
      <c r="C631" s="2" t="str">
        <f ca="1">IFERROR(__xludf.DUMMYFUNCTION("iferror(filter('Full Perk List'!C$3:C1498,'Full Perk List'!$D$3:$D1498=$D631),"""")"),"#REF!")</f>
        <v>#REF!</v>
      </c>
      <c r="D631" s="2"/>
      <c r="E631" s="2" t="str">
        <f ca="1">IFERROR(__xludf.DUMMYFUNCTION("iferror(filter('Full Perk List'!E$3:E1498,'Full Perk List'!$D$3:$D1498=$D631),"""")"),"#REF!")</f>
        <v>#REF!</v>
      </c>
      <c r="F631" s="2" t="str">
        <f ca="1">IFERROR(__xludf.DUMMYFUNCTION("iferror(filter('Full Perk List'!F$3:F1498,'Full Perk List'!$D$3:$D1498=$D631),"""")"),"#REF!")</f>
        <v>#REF!</v>
      </c>
      <c r="G631" s="2" t="str">
        <f ca="1">IFERROR(__xludf.DUMMYFUNCTION("iferror(filter('Full Perk List'!G$3:G1498,'Full Perk List'!$D$3:$D1498=$D631),"""")"),"#REF!")</f>
        <v>#REF!</v>
      </c>
      <c r="H631" s="1"/>
      <c r="I631" s="2"/>
      <c r="J631" s="2"/>
      <c r="K631" s="2"/>
      <c r="L631" s="2"/>
      <c r="M631" s="2"/>
      <c r="N631" s="2"/>
      <c r="O631" s="2"/>
      <c r="P631" s="2"/>
      <c r="Q631" s="2"/>
      <c r="R631" s="2"/>
      <c r="S631" s="2"/>
      <c r="T631" s="2"/>
      <c r="U631" s="2"/>
      <c r="V631" s="2"/>
      <c r="W631" s="2"/>
      <c r="X631" s="2"/>
      <c r="Y631" s="2"/>
    </row>
    <row r="632" spans="1:25" ht="17.399999999999999" x14ac:dyDescent="0.25">
      <c r="A632" s="1"/>
      <c r="B632" s="40"/>
      <c r="C632" s="2" t="str">
        <f ca="1">IFERROR(__xludf.DUMMYFUNCTION("iferror(filter('Full Perk List'!C$3:C1498,'Full Perk List'!$D$3:$D1498=$D632),"""")"),"#REF!")</f>
        <v>#REF!</v>
      </c>
      <c r="D632" s="2"/>
      <c r="E632" s="2" t="str">
        <f ca="1">IFERROR(__xludf.DUMMYFUNCTION("iferror(filter('Full Perk List'!E$3:E1498,'Full Perk List'!$D$3:$D1498=$D632),"""")"),"#REF!")</f>
        <v>#REF!</v>
      </c>
      <c r="F632" s="2" t="str">
        <f ca="1">IFERROR(__xludf.DUMMYFUNCTION("iferror(filter('Full Perk List'!F$3:F1498,'Full Perk List'!$D$3:$D1498=$D632),"""")"),"#REF!")</f>
        <v>#REF!</v>
      </c>
      <c r="G632" s="2" t="str">
        <f ca="1">IFERROR(__xludf.DUMMYFUNCTION("iferror(filter('Full Perk List'!G$3:G1498,'Full Perk List'!$D$3:$D1498=$D632),"""")"),"#REF!")</f>
        <v>#REF!</v>
      </c>
      <c r="H632" s="1"/>
      <c r="I632" s="2"/>
      <c r="J632" s="2"/>
      <c r="K632" s="2"/>
      <c r="L632" s="2"/>
      <c r="M632" s="2"/>
      <c r="N632" s="2"/>
      <c r="O632" s="2"/>
      <c r="P632" s="2"/>
      <c r="Q632" s="2"/>
      <c r="R632" s="2"/>
      <c r="S632" s="2"/>
      <c r="T632" s="2"/>
      <c r="U632" s="2"/>
      <c r="V632" s="2"/>
      <c r="W632" s="2"/>
      <c r="X632" s="2"/>
      <c r="Y632" s="2"/>
    </row>
    <row r="633" spans="1:25" ht="17.399999999999999" x14ac:dyDescent="0.25">
      <c r="A633" s="1"/>
      <c r="B633" s="40"/>
      <c r="C633" s="2" t="str">
        <f ca="1">IFERROR(__xludf.DUMMYFUNCTION("iferror(filter('Full Perk List'!C$3:C1498,'Full Perk List'!$D$3:$D1498=$D633),"""")"),"#REF!")</f>
        <v>#REF!</v>
      </c>
      <c r="D633" s="2"/>
      <c r="E633" s="2" t="str">
        <f ca="1">IFERROR(__xludf.DUMMYFUNCTION("iferror(filter('Full Perk List'!E$3:E1498,'Full Perk List'!$D$3:$D1498=$D633),"""")"),"#REF!")</f>
        <v>#REF!</v>
      </c>
      <c r="F633" s="2" t="str">
        <f ca="1">IFERROR(__xludf.DUMMYFUNCTION("iferror(filter('Full Perk List'!F$3:F1498,'Full Perk List'!$D$3:$D1498=$D633),"""")"),"#REF!")</f>
        <v>#REF!</v>
      </c>
      <c r="G633" s="2" t="str">
        <f ca="1">IFERROR(__xludf.DUMMYFUNCTION("iferror(filter('Full Perk List'!G$3:G1498,'Full Perk List'!$D$3:$D1498=$D633),"""")"),"#REF!")</f>
        <v>#REF!</v>
      </c>
      <c r="H633" s="1"/>
      <c r="I633" s="2"/>
      <c r="J633" s="2"/>
      <c r="K633" s="2"/>
      <c r="L633" s="2"/>
      <c r="M633" s="2"/>
      <c r="N633" s="2"/>
      <c r="O633" s="2"/>
      <c r="P633" s="2"/>
      <c r="Q633" s="2"/>
      <c r="R633" s="2"/>
      <c r="S633" s="2"/>
      <c r="T633" s="2"/>
      <c r="U633" s="2"/>
      <c r="V633" s="2"/>
      <c r="W633" s="2"/>
      <c r="X633" s="2"/>
      <c r="Y633" s="2"/>
    </row>
    <row r="634" spans="1:25" ht="17.399999999999999" x14ac:dyDescent="0.25">
      <c r="A634" s="1"/>
      <c r="B634" s="40"/>
      <c r="C634" s="2" t="str">
        <f ca="1">IFERROR(__xludf.DUMMYFUNCTION("iferror(filter('Full Perk List'!C$3:C1498,'Full Perk List'!$D$3:$D1498=$D634),"""")"),"#REF!")</f>
        <v>#REF!</v>
      </c>
      <c r="D634" s="2"/>
      <c r="E634" s="2" t="str">
        <f ca="1">IFERROR(__xludf.DUMMYFUNCTION("iferror(filter('Full Perk List'!E$3:E1498,'Full Perk List'!$D$3:$D1498=$D634),"""")"),"#REF!")</f>
        <v>#REF!</v>
      </c>
      <c r="F634" s="2" t="str">
        <f ca="1">IFERROR(__xludf.DUMMYFUNCTION("iferror(filter('Full Perk List'!F$3:F1498,'Full Perk List'!$D$3:$D1498=$D634),"""")"),"#REF!")</f>
        <v>#REF!</v>
      </c>
      <c r="G634" s="2" t="str">
        <f ca="1">IFERROR(__xludf.DUMMYFUNCTION("iferror(filter('Full Perk List'!G$3:G1498,'Full Perk List'!$D$3:$D1498=$D634),"""")"),"#REF!")</f>
        <v>#REF!</v>
      </c>
      <c r="H634" s="1"/>
      <c r="I634" s="2"/>
      <c r="J634" s="2"/>
      <c r="K634" s="2"/>
      <c r="L634" s="2"/>
      <c r="M634" s="2"/>
      <c r="N634" s="2"/>
      <c r="O634" s="2"/>
      <c r="P634" s="2"/>
      <c r="Q634" s="2"/>
      <c r="R634" s="2"/>
      <c r="S634" s="2"/>
      <c r="T634" s="2"/>
      <c r="U634" s="2"/>
      <c r="V634" s="2"/>
      <c r="W634" s="2"/>
      <c r="X634" s="2"/>
      <c r="Y634" s="2"/>
    </row>
    <row r="635" spans="1:25" ht="17.399999999999999" x14ac:dyDescent="0.25">
      <c r="A635" s="1"/>
      <c r="B635" s="40"/>
      <c r="C635" s="2" t="str">
        <f ca="1">IFERROR(__xludf.DUMMYFUNCTION("iferror(filter('Full Perk List'!C$3:C1498,'Full Perk List'!$D$3:$D1498=$D635),"""")"),"#REF!")</f>
        <v>#REF!</v>
      </c>
      <c r="D635" s="2"/>
      <c r="E635" s="2" t="str">
        <f ca="1">IFERROR(__xludf.DUMMYFUNCTION("iferror(filter('Full Perk List'!E$3:E1498,'Full Perk List'!$D$3:$D1498=$D635),"""")"),"#REF!")</f>
        <v>#REF!</v>
      </c>
      <c r="F635" s="2" t="str">
        <f ca="1">IFERROR(__xludf.DUMMYFUNCTION("iferror(filter('Full Perk List'!F$3:F1498,'Full Perk List'!$D$3:$D1498=$D635),"""")"),"#REF!")</f>
        <v>#REF!</v>
      </c>
      <c r="G635" s="2" t="str">
        <f ca="1">IFERROR(__xludf.DUMMYFUNCTION("iferror(filter('Full Perk List'!G$3:G1498,'Full Perk List'!$D$3:$D1498=$D635),"""")"),"#REF!")</f>
        <v>#REF!</v>
      </c>
      <c r="H635" s="1"/>
      <c r="I635" s="2"/>
      <c r="J635" s="2"/>
      <c r="K635" s="2"/>
      <c r="L635" s="2"/>
      <c r="M635" s="2"/>
      <c r="N635" s="2"/>
      <c r="O635" s="2"/>
      <c r="P635" s="2"/>
      <c r="Q635" s="2"/>
      <c r="R635" s="2"/>
      <c r="S635" s="2"/>
      <c r="T635" s="2"/>
      <c r="U635" s="2"/>
      <c r="V635" s="2"/>
      <c r="W635" s="2"/>
      <c r="X635" s="2"/>
      <c r="Y635" s="2"/>
    </row>
    <row r="636" spans="1:25" ht="17.399999999999999" x14ac:dyDescent="0.25">
      <c r="A636" s="1"/>
      <c r="B636" s="40"/>
      <c r="C636" s="2" t="str">
        <f ca="1">IFERROR(__xludf.DUMMYFUNCTION("iferror(filter('Full Perk List'!C$3:C1498,'Full Perk List'!$D$3:$D1498=$D636),"""")"),"#REF!")</f>
        <v>#REF!</v>
      </c>
      <c r="D636" s="2"/>
      <c r="E636" s="2" t="str">
        <f ca="1">IFERROR(__xludf.DUMMYFUNCTION("iferror(filter('Full Perk List'!E$3:E1498,'Full Perk List'!$D$3:$D1498=$D636),"""")"),"#REF!")</f>
        <v>#REF!</v>
      </c>
      <c r="F636" s="2" t="str">
        <f ca="1">IFERROR(__xludf.DUMMYFUNCTION("iferror(filter('Full Perk List'!F$3:F1498,'Full Perk List'!$D$3:$D1498=$D636),"""")"),"#REF!")</f>
        <v>#REF!</v>
      </c>
      <c r="G636" s="2" t="str">
        <f ca="1">IFERROR(__xludf.DUMMYFUNCTION("iferror(filter('Full Perk List'!G$3:G1498,'Full Perk List'!$D$3:$D1498=$D636),"""")"),"#REF!")</f>
        <v>#REF!</v>
      </c>
      <c r="H636" s="1"/>
      <c r="I636" s="2"/>
      <c r="J636" s="2"/>
      <c r="K636" s="2"/>
      <c r="L636" s="2"/>
      <c r="M636" s="2"/>
      <c r="N636" s="2"/>
      <c r="O636" s="2"/>
      <c r="P636" s="2"/>
      <c r="Q636" s="2"/>
      <c r="R636" s="2"/>
      <c r="S636" s="2"/>
      <c r="T636" s="2"/>
      <c r="U636" s="2"/>
      <c r="V636" s="2"/>
      <c r="W636" s="2"/>
      <c r="X636" s="2"/>
      <c r="Y636" s="2"/>
    </row>
    <row r="637" spans="1:25" ht="17.399999999999999" x14ac:dyDescent="0.25">
      <c r="A637" s="1"/>
      <c r="B637" s="40"/>
      <c r="C637" s="2" t="str">
        <f ca="1">IFERROR(__xludf.DUMMYFUNCTION("iferror(filter('Full Perk List'!C$3:C1498,'Full Perk List'!$D$3:$D1498=$D637),"""")"),"#REF!")</f>
        <v>#REF!</v>
      </c>
      <c r="D637" s="2"/>
      <c r="E637" s="2" t="str">
        <f ca="1">IFERROR(__xludf.DUMMYFUNCTION("iferror(filter('Full Perk List'!E$3:E1498,'Full Perk List'!$D$3:$D1498=$D637),"""")"),"#REF!")</f>
        <v>#REF!</v>
      </c>
      <c r="F637" s="2" t="str">
        <f ca="1">IFERROR(__xludf.DUMMYFUNCTION("iferror(filter('Full Perk List'!F$3:F1498,'Full Perk List'!$D$3:$D1498=$D637),"""")"),"#REF!")</f>
        <v>#REF!</v>
      </c>
      <c r="G637" s="2" t="str">
        <f ca="1">IFERROR(__xludf.DUMMYFUNCTION("iferror(filter('Full Perk List'!G$3:G1498,'Full Perk List'!$D$3:$D1498=$D637),"""")"),"#REF!")</f>
        <v>#REF!</v>
      </c>
      <c r="H637" s="1"/>
      <c r="I637" s="2"/>
      <c r="J637" s="2"/>
      <c r="K637" s="2"/>
      <c r="L637" s="2"/>
      <c r="M637" s="2"/>
      <c r="N637" s="2"/>
      <c r="O637" s="2"/>
      <c r="P637" s="2"/>
      <c r="Q637" s="2"/>
      <c r="R637" s="2"/>
      <c r="S637" s="2"/>
      <c r="T637" s="2"/>
      <c r="U637" s="2"/>
      <c r="V637" s="2"/>
      <c r="W637" s="2"/>
      <c r="X637" s="2"/>
      <c r="Y637" s="2"/>
    </row>
    <row r="638" spans="1:25" ht="17.399999999999999" x14ac:dyDescent="0.25">
      <c r="A638" s="1"/>
      <c r="B638" s="40"/>
      <c r="C638" s="2" t="str">
        <f ca="1">IFERROR(__xludf.DUMMYFUNCTION("iferror(filter('Full Perk List'!C$3:C1498,'Full Perk List'!$D$3:$D1498=$D638),"""")"),"#REF!")</f>
        <v>#REF!</v>
      </c>
      <c r="D638" s="2"/>
      <c r="E638" s="2" t="str">
        <f ca="1">IFERROR(__xludf.DUMMYFUNCTION("iferror(filter('Full Perk List'!E$3:E1498,'Full Perk List'!$D$3:$D1498=$D638),"""")"),"#REF!")</f>
        <v>#REF!</v>
      </c>
      <c r="F638" s="2" t="str">
        <f ca="1">IFERROR(__xludf.DUMMYFUNCTION("iferror(filter('Full Perk List'!F$3:F1498,'Full Perk List'!$D$3:$D1498=$D638),"""")"),"#REF!")</f>
        <v>#REF!</v>
      </c>
      <c r="G638" s="2" t="str">
        <f ca="1">IFERROR(__xludf.DUMMYFUNCTION("iferror(filter('Full Perk List'!G$3:G1498,'Full Perk List'!$D$3:$D1498=$D638),"""")"),"#REF!")</f>
        <v>#REF!</v>
      </c>
      <c r="H638" s="1"/>
      <c r="I638" s="2"/>
      <c r="J638" s="2"/>
      <c r="K638" s="2"/>
      <c r="L638" s="2"/>
      <c r="M638" s="2"/>
      <c r="N638" s="2"/>
      <c r="O638" s="2"/>
      <c r="P638" s="2"/>
      <c r="Q638" s="2"/>
      <c r="R638" s="2"/>
      <c r="S638" s="2"/>
      <c r="T638" s="2"/>
      <c r="U638" s="2"/>
      <c r="V638" s="2"/>
      <c r="W638" s="2"/>
      <c r="X638" s="2"/>
      <c r="Y638" s="2"/>
    </row>
    <row r="639" spans="1:25" ht="17.399999999999999" x14ac:dyDescent="0.25">
      <c r="A639" s="1"/>
      <c r="B639" s="40"/>
      <c r="C639" s="2" t="str">
        <f ca="1">IFERROR(__xludf.DUMMYFUNCTION("iferror(filter('Full Perk List'!C$3:C1498,'Full Perk List'!$D$3:$D1498=$D639),"""")"),"#REF!")</f>
        <v>#REF!</v>
      </c>
      <c r="D639" s="2"/>
      <c r="E639" s="2" t="str">
        <f ca="1">IFERROR(__xludf.DUMMYFUNCTION("iferror(filter('Full Perk List'!E$3:E1498,'Full Perk List'!$D$3:$D1498=$D639),"""")"),"#REF!")</f>
        <v>#REF!</v>
      </c>
      <c r="F639" s="2" t="str">
        <f ca="1">IFERROR(__xludf.DUMMYFUNCTION("iferror(filter('Full Perk List'!F$3:F1498,'Full Perk List'!$D$3:$D1498=$D639),"""")"),"#REF!")</f>
        <v>#REF!</v>
      </c>
      <c r="G639" s="2" t="str">
        <f ca="1">IFERROR(__xludf.DUMMYFUNCTION("iferror(filter('Full Perk List'!G$3:G1498,'Full Perk List'!$D$3:$D1498=$D639),"""")"),"#REF!")</f>
        <v>#REF!</v>
      </c>
      <c r="H639" s="1"/>
      <c r="I639" s="2"/>
      <c r="J639" s="2"/>
      <c r="K639" s="2"/>
      <c r="L639" s="2"/>
      <c r="M639" s="2"/>
      <c r="N639" s="2"/>
      <c r="O639" s="2"/>
      <c r="P639" s="2"/>
      <c r="Q639" s="2"/>
      <c r="R639" s="2"/>
      <c r="S639" s="2"/>
      <c r="T639" s="2"/>
      <c r="U639" s="2"/>
      <c r="V639" s="2"/>
      <c r="W639" s="2"/>
      <c r="X639" s="2"/>
      <c r="Y639" s="2"/>
    </row>
    <row r="640" spans="1:25" ht="17.399999999999999" x14ac:dyDescent="0.25">
      <c r="A640" s="1"/>
      <c r="B640" s="40"/>
      <c r="C640" s="2" t="str">
        <f ca="1">IFERROR(__xludf.DUMMYFUNCTION("iferror(filter('Full Perk List'!C$3:C1498,'Full Perk List'!$D$3:$D1498=$D640),"""")"),"#REF!")</f>
        <v>#REF!</v>
      </c>
      <c r="D640" s="2"/>
      <c r="E640" s="2" t="str">
        <f ca="1">IFERROR(__xludf.DUMMYFUNCTION("iferror(filter('Full Perk List'!E$3:E1498,'Full Perk List'!$D$3:$D1498=$D640),"""")"),"#REF!")</f>
        <v>#REF!</v>
      </c>
      <c r="F640" s="2" t="str">
        <f ca="1">IFERROR(__xludf.DUMMYFUNCTION("iferror(filter('Full Perk List'!F$3:F1498,'Full Perk List'!$D$3:$D1498=$D640),"""")"),"#REF!")</f>
        <v>#REF!</v>
      </c>
      <c r="G640" s="2" t="str">
        <f ca="1">IFERROR(__xludf.DUMMYFUNCTION("iferror(filter('Full Perk List'!G$3:G1498,'Full Perk List'!$D$3:$D1498=$D640),"""")"),"#REF!")</f>
        <v>#REF!</v>
      </c>
      <c r="H640" s="1"/>
      <c r="I640" s="2"/>
      <c r="J640" s="2"/>
      <c r="K640" s="2"/>
      <c r="L640" s="2"/>
      <c r="M640" s="2"/>
      <c r="N640" s="2"/>
      <c r="O640" s="2"/>
      <c r="P640" s="2"/>
      <c r="Q640" s="2"/>
      <c r="R640" s="2"/>
      <c r="S640" s="2"/>
      <c r="T640" s="2"/>
      <c r="U640" s="2"/>
      <c r="V640" s="2"/>
      <c r="W640" s="2"/>
      <c r="X640" s="2"/>
      <c r="Y640" s="2"/>
    </row>
    <row r="641" spans="1:25" ht="17.399999999999999" x14ac:dyDescent="0.25">
      <c r="A641" s="1"/>
      <c r="B641" s="40"/>
      <c r="C641" s="2" t="str">
        <f ca="1">IFERROR(__xludf.DUMMYFUNCTION("iferror(filter('Full Perk List'!C$3:C1498,'Full Perk List'!$D$3:$D1498=$D641),"""")"),"#REF!")</f>
        <v>#REF!</v>
      </c>
      <c r="D641" s="2"/>
      <c r="E641" s="2" t="str">
        <f ca="1">IFERROR(__xludf.DUMMYFUNCTION("iferror(filter('Full Perk List'!E$3:E1498,'Full Perk List'!$D$3:$D1498=$D641),"""")"),"#REF!")</f>
        <v>#REF!</v>
      </c>
      <c r="F641" s="2" t="str">
        <f ca="1">IFERROR(__xludf.DUMMYFUNCTION("iferror(filter('Full Perk List'!F$3:F1498,'Full Perk List'!$D$3:$D1498=$D641),"""")"),"#REF!")</f>
        <v>#REF!</v>
      </c>
      <c r="G641" s="2" t="str">
        <f ca="1">IFERROR(__xludf.DUMMYFUNCTION("iferror(filter('Full Perk List'!G$3:G1498,'Full Perk List'!$D$3:$D1498=$D641),"""")"),"#REF!")</f>
        <v>#REF!</v>
      </c>
      <c r="H641" s="1"/>
      <c r="I641" s="2"/>
      <c r="J641" s="2"/>
      <c r="K641" s="2"/>
      <c r="L641" s="2"/>
      <c r="M641" s="2"/>
      <c r="N641" s="2"/>
      <c r="O641" s="2"/>
      <c r="P641" s="2"/>
      <c r="Q641" s="2"/>
      <c r="R641" s="2"/>
      <c r="S641" s="2"/>
      <c r="T641" s="2"/>
      <c r="U641" s="2"/>
      <c r="V641" s="2"/>
      <c r="W641" s="2"/>
      <c r="X641" s="2"/>
      <c r="Y641" s="2"/>
    </row>
    <row r="642" spans="1:25" ht="17.399999999999999" x14ac:dyDescent="0.25">
      <c r="A642" s="1"/>
      <c r="B642" s="40"/>
      <c r="C642" s="2" t="str">
        <f ca="1">IFERROR(__xludf.DUMMYFUNCTION("iferror(filter('Full Perk List'!C$3:C1498,'Full Perk List'!$D$3:$D1498=$D642),"""")"),"#REF!")</f>
        <v>#REF!</v>
      </c>
      <c r="D642" s="2"/>
      <c r="E642" s="2" t="str">
        <f ca="1">IFERROR(__xludf.DUMMYFUNCTION("iferror(filter('Full Perk List'!E$3:E1498,'Full Perk List'!$D$3:$D1498=$D642),"""")"),"#REF!")</f>
        <v>#REF!</v>
      </c>
      <c r="F642" s="2" t="str">
        <f ca="1">IFERROR(__xludf.DUMMYFUNCTION("iferror(filter('Full Perk List'!F$3:F1498,'Full Perk List'!$D$3:$D1498=$D642),"""")"),"#REF!")</f>
        <v>#REF!</v>
      </c>
      <c r="G642" s="2" t="str">
        <f ca="1">IFERROR(__xludf.DUMMYFUNCTION("iferror(filter('Full Perk List'!G$3:G1498,'Full Perk List'!$D$3:$D1498=$D642),"""")"),"#REF!")</f>
        <v>#REF!</v>
      </c>
      <c r="H642" s="1"/>
      <c r="I642" s="2"/>
      <c r="J642" s="2"/>
      <c r="K642" s="2"/>
      <c r="L642" s="2"/>
      <c r="M642" s="2"/>
      <c r="N642" s="2"/>
      <c r="O642" s="2"/>
      <c r="P642" s="2"/>
      <c r="Q642" s="2"/>
      <c r="R642" s="2"/>
      <c r="S642" s="2"/>
      <c r="T642" s="2"/>
      <c r="U642" s="2"/>
      <c r="V642" s="2"/>
      <c r="W642" s="2"/>
      <c r="X642" s="2"/>
      <c r="Y642" s="2"/>
    </row>
    <row r="643" spans="1:25" ht="17.399999999999999" x14ac:dyDescent="0.25">
      <c r="A643" s="1"/>
      <c r="B643" s="40"/>
      <c r="C643" s="2" t="str">
        <f ca="1">IFERROR(__xludf.DUMMYFUNCTION("iferror(filter('Full Perk List'!C$3:C1498,'Full Perk List'!$D$3:$D1498=$D643),"""")"),"#REF!")</f>
        <v>#REF!</v>
      </c>
      <c r="D643" s="2"/>
      <c r="E643" s="2" t="str">
        <f ca="1">IFERROR(__xludf.DUMMYFUNCTION("iferror(filter('Full Perk List'!E$3:E1498,'Full Perk List'!$D$3:$D1498=$D643),"""")"),"#REF!")</f>
        <v>#REF!</v>
      </c>
      <c r="F643" s="2" t="str">
        <f ca="1">IFERROR(__xludf.DUMMYFUNCTION("iferror(filter('Full Perk List'!F$3:F1498,'Full Perk List'!$D$3:$D1498=$D643),"""")"),"#REF!")</f>
        <v>#REF!</v>
      </c>
      <c r="G643" s="2" t="str">
        <f ca="1">IFERROR(__xludf.DUMMYFUNCTION("iferror(filter('Full Perk List'!G$3:G1498,'Full Perk List'!$D$3:$D1498=$D643),"""")"),"#REF!")</f>
        <v>#REF!</v>
      </c>
      <c r="H643" s="1"/>
      <c r="I643" s="2"/>
      <c r="J643" s="2"/>
      <c r="K643" s="2"/>
      <c r="L643" s="2"/>
      <c r="M643" s="2"/>
      <c r="N643" s="2"/>
      <c r="O643" s="2"/>
      <c r="P643" s="2"/>
      <c r="Q643" s="2"/>
      <c r="R643" s="2"/>
      <c r="S643" s="2"/>
      <c r="T643" s="2"/>
      <c r="U643" s="2"/>
      <c r="V643" s="2"/>
      <c r="W643" s="2"/>
      <c r="X643" s="2"/>
      <c r="Y643" s="2"/>
    </row>
    <row r="644" spans="1:25" ht="17.399999999999999" x14ac:dyDescent="0.25">
      <c r="A644" s="1"/>
      <c r="B644" s="40"/>
      <c r="C644" s="2" t="str">
        <f ca="1">IFERROR(__xludf.DUMMYFUNCTION("iferror(filter('Full Perk List'!C$3:C1498,'Full Perk List'!$D$3:$D1498=$D644),"""")"),"#REF!")</f>
        <v>#REF!</v>
      </c>
      <c r="D644" s="2"/>
      <c r="E644" s="2" t="str">
        <f ca="1">IFERROR(__xludf.DUMMYFUNCTION("iferror(filter('Full Perk List'!E$3:E1498,'Full Perk List'!$D$3:$D1498=$D644),"""")"),"#REF!")</f>
        <v>#REF!</v>
      </c>
      <c r="F644" s="2" t="str">
        <f ca="1">IFERROR(__xludf.DUMMYFUNCTION("iferror(filter('Full Perk List'!F$3:F1498,'Full Perk List'!$D$3:$D1498=$D644),"""")"),"#REF!")</f>
        <v>#REF!</v>
      </c>
      <c r="G644" s="2" t="str">
        <f ca="1">IFERROR(__xludf.DUMMYFUNCTION("iferror(filter('Full Perk List'!G$3:G1498,'Full Perk List'!$D$3:$D1498=$D644),"""")"),"#REF!")</f>
        <v>#REF!</v>
      </c>
      <c r="H644" s="1"/>
      <c r="I644" s="2"/>
      <c r="J644" s="2"/>
      <c r="K644" s="2"/>
      <c r="L644" s="2"/>
      <c r="M644" s="2"/>
      <c r="N644" s="2"/>
      <c r="O644" s="2"/>
      <c r="P644" s="2"/>
      <c r="Q644" s="2"/>
      <c r="R644" s="2"/>
      <c r="S644" s="2"/>
      <c r="T644" s="2"/>
      <c r="U644" s="2"/>
      <c r="V644" s="2"/>
      <c r="W644" s="2"/>
      <c r="X644" s="2"/>
      <c r="Y644" s="2"/>
    </row>
    <row r="645" spans="1:25" ht="17.399999999999999" x14ac:dyDescent="0.25">
      <c r="A645" s="1"/>
      <c r="B645" s="40"/>
      <c r="C645" s="2" t="str">
        <f ca="1">IFERROR(__xludf.DUMMYFUNCTION("iferror(filter('Full Perk List'!C$3:C1498,'Full Perk List'!$D$3:$D1498=$D645),"""")"),"#REF!")</f>
        <v>#REF!</v>
      </c>
      <c r="D645" s="2"/>
      <c r="E645" s="2" t="str">
        <f ca="1">IFERROR(__xludf.DUMMYFUNCTION("iferror(filter('Full Perk List'!E$3:E1498,'Full Perk List'!$D$3:$D1498=$D645),"""")"),"#REF!")</f>
        <v>#REF!</v>
      </c>
      <c r="F645" s="2" t="str">
        <f ca="1">IFERROR(__xludf.DUMMYFUNCTION("iferror(filter('Full Perk List'!F$3:F1498,'Full Perk List'!$D$3:$D1498=$D645),"""")"),"#REF!")</f>
        <v>#REF!</v>
      </c>
      <c r="G645" s="2" t="str">
        <f ca="1">IFERROR(__xludf.DUMMYFUNCTION("iferror(filter('Full Perk List'!G$3:G1498,'Full Perk List'!$D$3:$D1498=$D645),"""")"),"#REF!")</f>
        <v>#REF!</v>
      </c>
      <c r="H645" s="1"/>
      <c r="I645" s="2"/>
      <c r="J645" s="2"/>
      <c r="K645" s="2"/>
      <c r="L645" s="2"/>
      <c r="M645" s="2"/>
      <c r="N645" s="2"/>
      <c r="O645" s="2"/>
      <c r="P645" s="2"/>
      <c r="Q645" s="2"/>
      <c r="R645" s="2"/>
      <c r="S645" s="2"/>
      <c r="T645" s="2"/>
      <c r="U645" s="2"/>
      <c r="V645" s="2"/>
      <c r="W645" s="2"/>
      <c r="X645" s="2"/>
      <c r="Y645" s="2"/>
    </row>
    <row r="646" spans="1:25" ht="17.399999999999999" x14ac:dyDescent="0.25">
      <c r="A646" s="1"/>
      <c r="B646" s="40"/>
      <c r="C646" s="2" t="str">
        <f ca="1">IFERROR(__xludf.DUMMYFUNCTION("iferror(filter('Full Perk List'!C$3:C1498,'Full Perk List'!$D$3:$D1498=$D646),"""")"),"#REF!")</f>
        <v>#REF!</v>
      </c>
      <c r="D646" s="2"/>
      <c r="E646" s="2" t="str">
        <f ca="1">IFERROR(__xludf.DUMMYFUNCTION("iferror(filter('Full Perk List'!E$3:E1498,'Full Perk List'!$D$3:$D1498=$D646),"""")"),"#REF!")</f>
        <v>#REF!</v>
      </c>
      <c r="F646" s="2" t="str">
        <f ca="1">IFERROR(__xludf.DUMMYFUNCTION("iferror(filter('Full Perk List'!F$3:F1498,'Full Perk List'!$D$3:$D1498=$D646),"""")"),"#REF!")</f>
        <v>#REF!</v>
      </c>
      <c r="G646" s="2" t="str">
        <f ca="1">IFERROR(__xludf.DUMMYFUNCTION("iferror(filter('Full Perk List'!G$3:G1498,'Full Perk List'!$D$3:$D1498=$D646),"""")"),"#REF!")</f>
        <v>#REF!</v>
      </c>
      <c r="H646" s="1"/>
      <c r="I646" s="2"/>
      <c r="J646" s="2"/>
      <c r="K646" s="2"/>
      <c r="L646" s="2"/>
      <c r="M646" s="2"/>
      <c r="N646" s="2"/>
      <c r="O646" s="2"/>
      <c r="P646" s="2"/>
      <c r="Q646" s="2"/>
      <c r="R646" s="2"/>
      <c r="S646" s="2"/>
      <c r="T646" s="2"/>
      <c r="U646" s="2"/>
      <c r="V646" s="2"/>
      <c r="W646" s="2"/>
      <c r="X646" s="2"/>
      <c r="Y646" s="2"/>
    </row>
    <row r="647" spans="1:25" ht="17.399999999999999" x14ac:dyDescent="0.25">
      <c r="A647" s="1"/>
      <c r="B647" s="40"/>
      <c r="C647" s="2" t="str">
        <f ca="1">IFERROR(__xludf.DUMMYFUNCTION("iferror(filter('Full Perk List'!C$3:C1498,'Full Perk List'!$D$3:$D1498=$D647),"""")"),"#REF!")</f>
        <v>#REF!</v>
      </c>
      <c r="D647" s="2"/>
      <c r="E647" s="2" t="str">
        <f ca="1">IFERROR(__xludf.DUMMYFUNCTION("iferror(filter('Full Perk List'!E$3:E1498,'Full Perk List'!$D$3:$D1498=$D647),"""")"),"#REF!")</f>
        <v>#REF!</v>
      </c>
      <c r="F647" s="2" t="str">
        <f ca="1">IFERROR(__xludf.DUMMYFUNCTION("iferror(filter('Full Perk List'!F$3:F1498,'Full Perk List'!$D$3:$D1498=$D647),"""")"),"#REF!")</f>
        <v>#REF!</v>
      </c>
      <c r="G647" s="2" t="str">
        <f ca="1">IFERROR(__xludf.DUMMYFUNCTION("iferror(filter('Full Perk List'!G$3:G1498,'Full Perk List'!$D$3:$D1498=$D647),"""")"),"#REF!")</f>
        <v>#REF!</v>
      </c>
      <c r="H647" s="1"/>
      <c r="I647" s="2"/>
      <c r="J647" s="2"/>
      <c r="K647" s="2"/>
      <c r="L647" s="2"/>
      <c r="M647" s="2"/>
      <c r="N647" s="2"/>
      <c r="O647" s="2"/>
      <c r="P647" s="2"/>
      <c r="Q647" s="2"/>
      <c r="R647" s="2"/>
      <c r="S647" s="2"/>
      <c r="T647" s="2"/>
      <c r="U647" s="2"/>
      <c r="V647" s="2"/>
      <c r="W647" s="2"/>
      <c r="X647" s="2"/>
      <c r="Y647" s="2"/>
    </row>
    <row r="648" spans="1:25" ht="17.399999999999999" x14ac:dyDescent="0.25">
      <c r="A648" s="1"/>
      <c r="B648" s="40"/>
      <c r="C648" s="2" t="str">
        <f ca="1">IFERROR(__xludf.DUMMYFUNCTION("iferror(filter('Full Perk List'!C$3:C1498,'Full Perk List'!$D$3:$D1498=$D648),"""")"),"#REF!")</f>
        <v>#REF!</v>
      </c>
      <c r="D648" s="2"/>
      <c r="E648" s="2" t="str">
        <f ca="1">IFERROR(__xludf.DUMMYFUNCTION("iferror(filter('Full Perk List'!E$3:E1498,'Full Perk List'!$D$3:$D1498=$D648),"""")"),"#REF!")</f>
        <v>#REF!</v>
      </c>
      <c r="F648" s="2" t="str">
        <f ca="1">IFERROR(__xludf.DUMMYFUNCTION("iferror(filter('Full Perk List'!F$3:F1498,'Full Perk List'!$D$3:$D1498=$D648),"""")"),"#REF!")</f>
        <v>#REF!</v>
      </c>
      <c r="G648" s="2" t="str">
        <f ca="1">IFERROR(__xludf.DUMMYFUNCTION("iferror(filter('Full Perk List'!G$3:G1498,'Full Perk List'!$D$3:$D1498=$D648),"""")"),"#REF!")</f>
        <v>#REF!</v>
      </c>
      <c r="H648" s="1"/>
      <c r="I648" s="2"/>
      <c r="J648" s="2"/>
      <c r="K648" s="2"/>
      <c r="L648" s="2"/>
      <c r="M648" s="2"/>
      <c r="N648" s="2"/>
      <c r="O648" s="2"/>
      <c r="P648" s="2"/>
      <c r="Q648" s="2"/>
      <c r="R648" s="2"/>
      <c r="S648" s="2"/>
      <c r="T648" s="2"/>
      <c r="U648" s="2"/>
      <c r="V648" s="2"/>
      <c r="W648" s="2"/>
      <c r="X648" s="2"/>
      <c r="Y648" s="2"/>
    </row>
    <row r="649" spans="1:25" ht="17.399999999999999" x14ac:dyDescent="0.25">
      <c r="A649" s="1"/>
      <c r="B649" s="40"/>
      <c r="C649" s="2" t="str">
        <f ca="1">IFERROR(__xludf.DUMMYFUNCTION("iferror(filter('Full Perk List'!C$3:C1498,'Full Perk List'!$D$3:$D1498=$D649),"""")"),"#REF!")</f>
        <v>#REF!</v>
      </c>
      <c r="D649" s="2"/>
      <c r="E649" s="2" t="str">
        <f ca="1">IFERROR(__xludf.DUMMYFUNCTION("iferror(filter('Full Perk List'!E$3:E1498,'Full Perk List'!$D$3:$D1498=$D649),"""")"),"#REF!")</f>
        <v>#REF!</v>
      </c>
      <c r="F649" s="2" t="str">
        <f ca="1">IFERROR(__xludf.DUMMYFUNCTION("iferror(filter('Full Perk List'!F$3:F1498,'Full Perk List'!$D$3:$D1498=$D649),"""")"),"#REF!")</f>
        <v>#REF!</v>
      </c>
      <c r="G649" s="2" t="str">
        <f ca="1">IFERROR(__xludf.DUMMYFUNCTION("iferror(filter('Full Perk List'!G$3:G1498,'Full Perk List'!$D$3:$D1498=$D649),"""")"),"#REF!")</f>
        <v>#REF!</v>
      </c>
      <c r="H649" s="1"/>
      <c r="I649" s="2"/>
      <c r="J649" s="2"/>
      <c r="K649" s="2"/>
      <c r="L649" s="2"/>
      <c r="M649" s="2"/>
      <c r="N649" s="2"/>
      <c r="O649" s="2"/>
      <c r="P649" s="2"/>
      <c r="Q649" s="2"/>
      <c r="R649" s="2"/>
      <c r="S649" s="2"/>
      <c r="T649" s="2"/>
      <c r="U649" s="2"/>
      <c r="V649" s="2"/>
      <c r="W649" s="2"/>
      <c r="X649" s="2"/>
      <c r="Y649" s="2"/>
    </row>
    <row r="650" spans="1:25" ht="17.399999999999999" x14ac:dyDescent="0.25">
      <c r="A650" s="1"/>
      <c r="B650" s="40"/>
      <c r="C650" s="2" t="str">
        <f ca="1">IFERROR(__xludf.DUMMYFUNCTION("iferror(filter('Full Perk List'!C$3:C1498,'Full Perk List'!$D$3:$D1498=$D650),"""")"),"#REF!")</f>
        <v>#REF!</v>
      </c>
      <c r="D650" s="2"/>
      <c r="E650" s="2" t="str">
        <f ca="1">IFERROR(__xludf.DUMMYFUNCTION("iferror(filter('Full Perk List'!E$3:E1498,'Full Perk List'!$D$3:$D1498=$D650),"""")"),"#REF!")</f>
        <v>#REF!</v>
      </c>
      <c r="F650" s="2" t="str">
        <f ca="1">IFERROR(__xludf.DUMMYFUNCTION("iferror(filter('Full Perk List'!F$3:F1498,'Full Perk List'!$D$3:$D1498=$D650),"""")"),"#REF!")</f>
        <v>#REF!</v>
      </c>
      <c r="G650" s="2" t="str">
        <f ca="1">IFERROR(__xludf.DUMMYFUNCTION("iferror(filter('Full Perk List'!G$3:G1498,'Full Perk List'!$D$3:$D1498=$D650),"""")"),"#REF!")</f>
        <v>#REF!</v>
      </c>
      <c r="H650" s="1"/>
      <c r="I650" s="2"/>
      <c r="J650" s="2"/>
      <c r="K650" s="2"/>
      <c r="L650" s="2"/>
      <c r="M650" s="2"/>
      <c r="N650" s="2"/>
      <c r="O650" s="2"/>
      <c r="P650" s="2"/>
      <c r="Q650" s="2"/>
      <c r="R650" s="2"/>
      <c r="S650" s="2"/>
      <c r="T650" s="2"/>
      <c r="U650" s="2"/>
      <c r="V650" s="2"/>
      <c r="W650" s="2"/>
      <c r="X650" s="2"/>
      <c r="Y650" s="2"/>
    </row>
    <row r="651" spans="1:25" ht="17.399999999999999" x14ac:dyDescent="0.25">
      <c r="A651" s="1"/>
      <c r="B651" s="40"/>
      <c r="C651" s="2" t="str">
        <f ca="1">IFERROR(__xludf.DUMMYFUNCTION("iferror(filter('Full Perk List'!C$3:C1498,'Full Perk List'!$D$3:$D1498=$D651),"""")"),"#REF!")</f>
        <v>#REF!</v>
      </c>
      <c r="D651" s="2"/>
      <c r="E651" s="2" t="str">
        <f ca="1">IFERROR(__xludf.DUMMYFUNCTION("iferror(filter('Full Perk List'!E$3:E1498,'Full Perk List'!$D$3:$D1498=$D651),"""")"),"#REF!")</f>
        <v>#REF!</v>
      </c>
      <c r="F651" s="2" t="str">
        <f ca="1">IFERROR(__xludf.DUMMYFUNCTION("iferror(filter('Full Perk List'!F$3:F1498,'Full Perk List'!$D$3:$D1498=$D651),"""")"),"#REF!")</f>
        <v>#REF!</v>
      </c>
      <c r="G651" s="2" t="str">
        <f ca="1">IFERROR(__xludf.DUMMYFUNCTION("iferror(filter('Full Perk List'!G$3:G1498,'Full Perk List'!$D$3:$D1498=$D651),"""")"),"#REF!")</f>
        <v>#REF!</v>
      </c>
      <c r="H651" s="1"/>
      <c r="I651" s="2"/>
      <c r="J651" s="2"/>
      <c r="K651" s="2"/>
      <c r="L651" s="2"/>
      <c r="M651" s="2"/>
      <c r="N651" s="2"/>
      <c r="O651" s="2"/>
      <c r="P651" s="2"/>
      <c r="Q651" s="2"/>
      <c r="R651" s="2"/>
      <c r="S651" s="2"/>
      <c r="T651" s="2"/>
      <c r="U651" s="2"/>
      <c r="V651" s="2"/>
      <c r="W651" s="2"/>
      <c r="X651" s="2"/>
      <c r="Y651" s="2"/>
    </row>
    <row r="652" spans="1:25" ht="17.399999999999999" x14ac:dyDescent="0.25">
      <c r="A652" s="1"/>
      <c r="B652" s="40"/>
      <c r="C652" s="2" t="str">
        <f ca="1">IFERROR(__xludf.DUMMYFUNCTION("iferror(filter('Full Perk List'!C$3:C1498,'Full Perk List'!$D$3:$D1498=$D652),"""")"),"#REF!")</f>
        <v>#REF!</v>
      </c>
      <c r="D652" s="2"/>
      <c r="E652" s="2" t="str">
        <f ca="1">IFERROR(__xludf.DUMMYFUNCTION("iferror(filter('Full Perk List'!E$3:E1498,'Full Perk List'!$D$3:$D1498=$D652),"""")"),"#REF!")</f>
        <v>#REF!</v>
      </c>
      <c r="F652" s="2" t="str">
        <f ca="1">IFERROR(__xludf.DUMMYFUNCTION("iferror(filter('Full Perk List'!F$3:F1498,'Full Perk List'!$D$3:$D1498=$D652),"""")"),"#REF!")</f>
        <v>#REF!</v>
      </c>
      <c r="G652" s="2" t="str">
        <f ca="1">IFERROR(__xludf.DUMMYFUNCTION("iferror(filter('Full Perk List'!G$3:G1498,'Full Perk List'!$D$3:$D1498=$D652),"""")"),"#REF!")</f>
        <v>#REF!</v>
      </c>
      <c r="H652" s="1"/>
      <c r="I652" s="2"/>
      <c r="J652" s="2"/>
      <c r="K652" s="2"/>
      <c r="L652" s="2"/>
      <c r="M652" s="2"/>
      <c r="N652" s="2"/>
      <c r="O652" s="2"/>
      <c r="P652" s="2"/>
      <c r="Q652" s="2"/>
      <c r="R652" s="2"/>
      <c r="S652" s="2"/>
      <c r="T652" s="2"/>
      <c r="U652" s="2"/>
      <c r="V652" s="2"/>
      <c r="W652" s="2"/>
      <c r="X652" s="2"/>
      <c r="Y652" s="2"/>
    </row>
    <row r="653" spans="1:25" ht="17.399999999999999" x14ac:dyDescent="0.25">
      <c r="A653" s="1"/>
      <c r="B653" s="40"/>
      <c r="C653" s="2" t="str">
        <f ca="1">IFERROR(__xludf.DUMMYFUNCTION("iferror(filter('Full Perk List'!C$3:C1498,'Full Perk List'!$D$3:$D1498=$D653),"""")"),"#REF!")</f>
        <v>#REF!</v>
      </c>
      <c r="D653" s="2"/>
      <c r="E653" s="2" t="str">
        <f ca="1">IFERROR(__xludf.DUMMYFUNCTION("iferror(filter('Full Perk List'!E$3:E1498,'Full Perk List'!$D$3:$D1498=$D653),"""")"),"#REF!")</f>
        <v>#REF!</v>
      </c>
      <c r="F653" s="2" t="str">
        <f ca="1">IFERROR(__xludf.DUMMYFUNCTION("iferror(filter('Full Perk List'!F$3:F1498,'Full Perk List'!$D$3:$D1498=$D653),"""")"),"#REF!")</f>
        <v>#REF!</v>
      </c>
      <c r="G653" s="2" t="str">
        <f ca="1">IFERROR(__xludf.DUMMYFUNCTION("iferror(filter('Full Perk List'!G$3:G1498,'Full Perk List'!$D$3:$D1498=$D653),"""")"),"#REF!")</f>
        <v>#REF!</v>
      </c>
      <c r="H653" s="1"/>
      <c r="I653" s="2"/>
      <c r="J653" s="2"/>
      <c r="K653" s="2"/>
      <c r="L653" s="2"/>
      <c r="M653" s="2"/>
      <c r="N653" s="2"/>
      <c r="O653" s="2"/>
      <c r="P653" s="2"/>
      <c r="Q653" s="2"/>
      <c r="R653" s="2"/>
      <c r="S653" s="2"/>
      <c r="T653" s="2"/>
      <c r="U653" s="2"/>
      <c r="V653" s="2"/>
      <c r="W653" s="2"/>
      <c r="X653" s="2"/>
      <c r="Y653" s="2"/>
    </row>
    <row r="654" spans="1:25" ht="17.399999999999999" x14ac:dyDescent="0.25">
      <c r="A654" s="1"/>
      <c r="B654" s="40"/>
      <c r="C654" s="2" t="str">
        <f ca="1">IFERROR(__xludf.DUMMYFUNCTION("iferror(filter('Full Perk List'!C$3:C1498,'Full Perk List'!$D$3:$D1498=$D654),"""")"),"#REF!")</f>
        <v>#REF!</v>
      </c>
      <c r="D654" s="2"/>
      <c r="E654" s="2" t="str">
        <f ca="1">IFERROR(__xludf.DUMMYFUNCTION("iferror(filter('Full Perk List'!E$3:E1498,'Full Perk List'!$D$3:$D1498=$D654),"""")"),"#REF!")</f>
        <v>#REF!</v>
      </c>
      <c r="F654" s="2" t="str">
        <f ca="1">IFERROR(__xludf.DUMMYFUNCTION("iferror(filter('Full Perk List'!F$3:F1498,'Full Perk List'!$D$3:$D1498=$D654),"""")"),"#REF!")</f>
        <v>#REF!</v>
      </c>
      <c r="G654" s="2" t="str">
        <f ca="1">IFERROR(__xludf.DUMMYFUNCTION("iferror(filter('Full Perk List'!G$3:G1498,'Full Perk List'!$D$3:$D1498=$D654),"""")"),"#REF!")</f>
        <v>#REF!</v>
      </c>
      <c r="H654" s="1"/>
      <c r="I654" s="2"/>
      <c r="J654" s="2"/>
      <c r="K654" s="2"/>
      <c r="L654" s="2"/>
      <c r="M654" s="2"/>
      <c r="N654" s="2"/>
      <c r="O654" s="2"/>
      <c r="P654" s="2"/>
      <c r="Q654" s="2"/>
      <c r="R654" s="2"/>
      <c r="S654" s="2"/>
      <c r="T654" s="2"/>
      <c r="U654" s="2"/>
      <c r="V654" s="2"/>
      <c r="W654" s="2"/>
      <c r="X654" s="2"/>
      <c r="Y654" s="2"/>
    </row>
    <row r="655" spans="1:25" ht="17.399999999999999" x14ac:dyDescent="0.25">
      <c r="A655" s="1"/>
      <c r="B655" s="40"/>
      <c r="C655" s="2" t="str">
        <f ca="1">IFERROR(__xludf.DUMMYFUNCTION("iferror(filter('Full Perk List'!C$3:C1498,'Full Perk List'!$D$3:$D1498=$D655),"""")"),"#REF!")</f>
        <v>#REF!</v>
      </c>
      <c r="D655" s="2"/>
      <c r="E655" s="2" t="str">
        <f ca="1">IFERROR(__xludf.DUMMYFUNCTION("iferror(filter('Full Perk List'!E$3:E1498,'Full Perk List'!$D$3:$D1498=$D655),"""")"),"#REF!")</f>
        <v>#REF!</v>
      </c>
      <c r="F655" s="2" t="str">
        <f ca="1">IFERROR(__xludf.DUMMYFUNCTION("iferror(filter('Full Perk List'!F$3:F1498,'Full Perk List'!$D$3:$D1498=$D655),"""")"),"#REF!")</f>
        <v>#REF!</v>
      </c>
      <c r="G655" s="2" t="str">
        <f ca="1">IFERROR(__xludf.DUMMYFUNCTION("iferror(filter('Full Perk List'!G$3:G1498,'Full Perk List'!$D$3:$D1498=$D655),"""")"),"#REF!")</f>
        <v>#REF!</v>
      </c>
      <c r="H655" s="1"/>
      <c r="I655" s="2"/>
      <c r="J655" s="2"/>
      <c r="K655" s="2"/>
      <c r="L655" s="2"/>
      <c r="M655" s="2"/>
      <c r="N655" s="2"/>
      <c r="O655" s="2"/>
      <c r="P655" s="2"/>
      <c r="Q655" s="2"/>
      <c r="R655" s="2"/>
      <c r="S655" s="2"/>
      <c r="T655" s="2"/>
      <c r="U655" s="2"/>
      <c r="V655" s="2"/>
      <c r="W655" s="2"/>
      <c r="X655" s="2"/>
      <c r="Y655" s="2"/>
    </row>
    <row r="656" spans="1:25" ht="17.399999999999999" x14ac:dyDescent="0.25">
      <c r="A656" s="1"/>
      <c r="B656" s="40"/>
      <c r="C656" s="2" t="str">
        <f ca="1">IFERROR(__xludf.DUMMYFUNCTION("iferror(filter('Full Perk List'!C$3:C1498,'Full Perk List'!$D$3:$D1498=$D656),"""")"),"#REF!")</f>
        <v>#REF!</v>
      </c>
      <c r="D656" s="2"/>
      <c r="E656" s="2" t="str">
        <f ca="1">IFERROR(__xludf.DUMMYFUNCTION("iferror(filter('Full Perk List'!E$3:E1498,'Full Perk List'!$D$3:$D1498=$D656),"""")"),"#REF!")</f>
        <v>#REF!</v>
      </c>
      <c r="F656" s="2" t="str">
        <f ca="1">IFERROR(__xludf.DUMMYFUNCTION("iferror(filter('Full Perk List'!F$3:F1498,'Full Perk List'!$D$3:$D1498=$D656),"""")"),"#REF!")</f>
        <v>#REF!</v>
      </c>
      <c r="G656" s="2" t="str">
        <f ca="1">IFERROR(__xludf.DUMMYFUNCTION("iferror(filter('Full Perk List'!G$3:G1498,'Full Perk List'!$D$3:$D1498=$D656),"""")"),"#REF!")</f>
        <v>#REF!</v>
      </c>
      <c r="H656" s="1"/>
      <c r="I656" s="2"/>
      <c r="J656" s="2"/>
      <c r="K656" s="2"/>
      <c r="L656" s="2"/>
      <c r="M656" s="2"/>
      <c r="N656" s="2"/>
      <c r="O656" s="2"/>
      <c r="P656" s="2"/>
      <c r="Q656" s="2"/>
      <c r="R656" s="2"/>
      <c r="S656" s="2"/>
      <c r="T656" s="2"/>
      <c r="U656" s="2"/>
      <c r="V656" s="2"/>
      <c r="W656" s="2"/>
      <c r="X656" s="2"/>
      <c r="Y656" s="2"/>
    </row>
    <row r="657" spans="1:25" ht="17.399999999999999" x14ac:dyDescent="0.25">
      <c r="A657" s="1"/>
      <c r="B657" s="40"/>
      <c r="C657" s="2" t="str">
        <f ca="1">IFERROR(__xludf.DUMMYFUNCTION("iferror(filter('Full Perk List'!C$3:C1498,'Full Perk List'!$D$3:$D1498=$D657),"""")"),"#REF!")</f>
        <v>#REF!</v>
      </c>
      <c r="D657" s="2"/>
      <c r="E657" s="2" t="str">
        <f ca="1">IFERROR(__xludf.DUMMYFUNCTION("iferror(filter('Full Perk List'!E$3:E1498,'Full Perk List'!$D$3:$D1498=$D657),"""")"),"#REF!")</f>
        <v>#REF!</v>
      </c>
      <c r="F657" s="2" t="str">
        <f ca="1">IFERROR(__xludf.DUMMYFUNCTION("iferror(filter('Full Perk List'!F$3:F1498,'Full Perk List'!$D$3:$D1498=$D657),"""")"),"#REF!")</f>
        <v>#REF!</v>
      </c>
      <c r="G657" s="2" t="str">
        <f ca="1">IFERROR(__xludf.DUMMYFUNCTION("iferror(filter('Full Perk List'!G$3:G1498,'Full Perk List'!$D$3:$D1498=$D657),"""")"),"#REF!")</f>
        <v>#REF!</v>
      </c>
      <c r="H657" s="1"/>
      <c r="I657" s="2"/>
      <c r="J657" s="2"/>
      <c r="K657" s="2"/>
      <c r="L657" s="2"/>
      <c r="M657" s="2"/>
      <c r="N657" s="2"/>
      <c r="O657" s="2"/>
      <c r="P657" s="2"/>
      <c r="Q657" s="2"/>
      <c r="R657" s="2"/>
      <c r="S657" s="2"/>
      <c r="T657" s="2"/>
      <c r="U657" s="2"/>
      <c r="V657" s="2"/>
      <c r="W657" s="2"/>
      <c r="X657" s="2"/>
      <c r="Y657" s="2"/>
    </row>
    <row r="658" spans="1:25" ht="17.399999999999999" x14ac:dyDescent="0.25">
      <c r="A658" s="1"/>
      <c r="B658" s="40"/>
      <c r="C658" s="2" t="str">
        <f ca="1">IFERROR(__xludf.DUMMYFUNCTION("iferror(filter('Full Perk List'!C$3:C1498,'Full Perk List'!$D$3:$D1498=$D658),"""")"),"#REF!")</f>
        <v>#REF!</v>
      </c>
      <c r="D658" s="2"/>
      <c r="E658" s="2" t="str">
        <f ca="1">IFERROR(__xludf.DUMMYFUNCTION("iferror(filter('Full Perk List'!E$3:E1498,'Full Perk List'!$D$3:$D1498=$D658),"""")"),"#REF!")</f>
        <v>#REF!</v>
      </c>
      <c r="F658" s="2" t="str">
        <f ca="1">IFERROR(__xludf.DUMMYFUNCTION("iferror(filter('Full Perk List'!F$3:F1498,'Full Perk List'!$D$3:$D1498=$D658),"""")"),"#REF!")</f>
        <v>#REF!</v>
      </c>
      <c r="G658" s="2" t="str">
        <f ca="1">IFERROR(__xludf.DUMMYFUNCTION("iferror(filter('Full Perk List'!G$3:G1498,'Full Perk List'!$D$3:$D1498=$D658),"""")"),"#REF!")</f>
        <v>#REF!</v>
      </c>
      <c r="H658" s="1"/>
      <c r="I658" s="2"/>
      <c r="J658" s="2"/>
      <c r="K658" s="2"/>
      <c r="L658" s="2"/>
      <c r="M658" s="2"/>
      <c r="N658" s="2"/>
      <c r="O658" s="2"/>
      <c r="P658" s="2"/>
      <c r="Q658" s="2"/>
      <c r="R658" s="2"/>
      <c r="S658" s="2"/>
      <c r="T658" s="2"/>
      <c r="U658" s="2"/>
      <c r="V658" s="2"/>
      <c r="W658" s="2"/>
      <c r="X658" s="2"/>
      <c r="Y658" s="2"/>
    </row>
    <row r="659" spans="1:25" ht="17.399999999999999" x14ac:dyDescent="0.25">
      <c r="A659" s="1"/>
      <c r="B659" s="40"/>
      <c r="C659" s="2" t="str">
        <f ca="1">IFERROR(__xludf.DUMMYFUNCTION("iferror(filter('Full Perk List'!C$3:C1498,'Full Perk List'!$D$3:$D1498=$D659),"""")"),"#REF!")</f>
        <v>#REF!</v>
      </c>
      <c r="D659" s="2"/>
      <c r="E659" s="2" t="str">
        <f ca="1">IFERROR(__xludf.DUMMYFUNCTION("iferror(filter('Full Perk List'!E$3:E1498,'Full Perk List'!$D$3:$D1498=$D659),"""")"),"#REF!")</f>
        <v>#REF!</v>
      </c>
      <c r="F659" s="2" t="str">
        <f ca="1">IFERROR(__xludf.DUMMYFUNCTION("iferror(filter('Full Perk List'!F$3:F1498,'Full Perk List'!$D$3:$D1498=$D659),"""")"),"#REF!")</f>
        <v>#REF!</v>
      </c>
      <c r="G659" s="2" t="str">
        <f ca="1">IFERROR(__xludf.DUMMYFUNCTION("iferror(filter('Full Perk List'!G$3:G1498,'Full Perk List'!$D$3:$D1498=$D659),"""")"),"#REF!")</f>
        <v>#REF!</v>
      </c>
      <c r="H659" s="1"/>
      <c r="I659" s="2"/>
      <c r="J659" s="2"/>
      <c r="K659" s="2"/>
      <c r="L659" s="2"/>
      <c r="M659" s="2"/>
      <c r="N659" s="2"/>
      <c r="O659" s="2"/>
      <c r="P659" s="2"/>
      <c r="Q659" s="2"/>
      <c r="R659" s="2"/>
      <c r="S659" s="2"/>
      <c r="T659" s="2"/>
      <c r="U659" s="2"/>
      <c r="V659" s="2"/>
      <c r="W659" s="2"/>
      <c r="X659" s="2"/>
      <c r="Y659" s="2"/>
    </row>
    <row r="660" spans="1:25" ht="17.399999999999999" x14ac:dyDescent="0.25">
      <c r="A660" s="1"/>
      <c r="B660" s="40"/>
      <c r="C660" s="2" t="str">
        <f ca="1">IFERROR(__xludf.DUMMYFUNCTION("iferror(filter('Full Perk List'!C$3:C1498,'Full Perk List'!$D$3:$D1498=$D660),"""")"),"#REF!")</f>
        <v>#REF!</v>
      </c>
      <c r="D660" s="2"/>
      <c r="E660" s="2" t="str">
        <f ca="1">IFERROR(__xludf.DUMMYFUNCTION("iferror(filter('Full Perk List'!E$3:E1498,'Full Perk List'!$D$3:$D1498=$D660),"""")"),"#REF!")</f>
        <v>#REF!</v>
      </c>
      <c r="F660" s="2" t="str">
        <f ca="1">IFERROR(__xludf.DUMMYFUNCTION("iferror(filter('Full Perk List'!F$3:F1498,'Full Perk List'!$D$3:$D1498=$D660),"""")"),"#REF!")</f>
        <v>#REF!</v>
      </c>
      <c r="G660" s="2" t="str">
        <f ca="1">IFERROR(__xludf.DUMMYFUNCTION("iferror(filter('Full Perk List'!G$3:G1498,'Full Perk List'!$D$3:$D1498=$D660),"""")"),"#REF!")</f>
        <v>#REF!</v>
      </c>
      <c r="H660" s="1"/>
      <c r="I660" s="2"/>
      <c r="J660" s="2"/>
      <c r="K660" s="2"/>
      <c r="L660" s="2"/>
      <c r="M660" s="2"/>
      <c r="N660" s="2"/>
      <c r="O660" s="2"/>
      <c r="P660" s="2"/>
      <c r="Q660" s="2"/>
      <c r="R660" s="2"/>
      <c r="S660" s="2"/>
      <c r="T660" s="2"/>
      <c r="U660" s="2"/>
      <c r="V660" s="2"/>
      <c r="W660" s="2"/>
      <c r="X660" s="2"/>
      <c r="Y660" s="2"/>
    </row>
    <row r="661" spans="1:25" ht="17.399999999999999" x14ac:dyDescent="0.25">
      <c r="A661" s="1"/>
      <c r="B661" s="40"/>
      <c r="C661" s="2" t="str">
        <f ca="1">IFERROR(__xludf.DUMMYFUNCTION("iferror(filter('Full Perk List'!C$3:C1498,'Full Perk List'!$D$3:$D1498=$D661),"""")"),"#REF!")</f>
        <v>#REF!</v>
      </c>
      <c r="D661" s="2"/>
      <c r="E661" s="2" t="str">
        <f ca="1">IFERROR(__xludf.DUMMYFUNCTION("iferror(filter('Full Perk List'!E$3:E1498,'Full Perk List'!$D$3:$D1498=$D661),"""")"),"#REF!")</f>
        <v>#REF!</v>
      </c>
      <c r="F661" s="2" t="str">
        <f ca="1">IFERROR(__xludf.DUMMYFUNCTION("iferror(filter('Full Perk List'!F$3:F1498,'Full Perk List'!$D$3:$D1498=$D661),"""")"),"#REF!")</f>
        <v>#REF!</v>
      </c>
      <c r="G661" s="2" t="str">
        <f ca="1">IFERROR(__xludf.DUMMYFUNCTION("iferror(filter('Full Perk List'!G$3:G1498,'Full Perk List'!$D$3:$D1498=$D661),"""")"),"#REF!")</f>
        <v>#REF!</v>
      </c>
      <c r="H661" s="1"/>
      <c r="I661" s="2"/>
      <c r="J661" s="2"/>
      <c r="K661" s="2"/>
      <c r="L661" s="2"/>
      <c r="M661" s="2"/>
      <c r="N661" s="2"/>
      <c r="O661" s="2"/>
      <c r="P661" s="2"/>
      <c r="Q661" s="2"/>
      <c r="R661" s="2"/>
      <c r="S661" s="2"/>
      <c r="T661" s="2"/>
      <c r="U661" s="2"/>
      <c r="V661" s="2"/>
      <c r="W661" s="2"/>
      <c r="X661" s="2"/>
      <c r="Y661" s="2"/>
    </row>
    <row r="662" spans="1:25" ht="17.399999999999999" x14ac:dyDescent="0.25">
      <c r="A662" s="1"/>
      <c r="B662" s="40"/>
      <c r="C662" s="2" t="str">
        <f ca="1">IFERROR(__xludf.DUMMYFUNCTION("iferror(filter('Full Perk List'!C$3:C1498,'Full Perk List'!$D$3:$D1498=$D662),"""")"),"#REF!")</f>
        <v>#REF!</v>
      </c>
      <c r="D662" s="2"/>
      <c r="E662" s="2" t="str">
        <f ca="1">IFERROR(__xludf.DUMMYFUNCTION("iferror(filter('Full Perk List'!E$3:E1498,'Full Perk List'!$D$3:$D1498=$D662),"""")"),"#REF!")</f>
        <v>#REF!</v>
      </c>
      <c r="F662" s="2" t="str">
        <f ca="1">IFERROR(__xludf.DUMMYFUNCTION("iferror(filter('Full Perk List'!F$3:F1498,'Full Perk List'!$D$3:$D1498=$D662),"""")"),"#REF!")</f>
        <v>#REF!</v>
      </c>
      <c r="G662" s="2" t="str">
        <f ca="1">IFERROR(__xludf.DUMMYFUNCTION("iferror(filter('Full Perk List'!G$3:G1498,'Full Perk List'!$D$3:$D1498=$D662),"""")"),"#REF!")</f>
        <v>#REF!</v>
      </c>
      <c r="H662" s="1"/>
      <c r="I662" s="2"/>
      <c r="J662" s="2"/>
      <c r="K662" s="2"/>
      <c r="L662" s="2"/>
      <c r="M662" s="2"/>
      <c r="N662" s="2"/>
      <c r="O662" s="2"/>
      <c r="P662" s="2"/>
      <c r="Q662" s="2"/>
      <c r="R662" s="2"/>
      <c r="S662" s="2"/>
      <c r="T662" s="2"/>
      <c r="U662" s="2"/>
      <c r="V662" s="2"/>
      <c r="W662" s="2"/>
      <c r="X662" s="2"/>
      <c r="Y662" s="2"/>
    </row>
    <row r="663" spans="1:25" ht="17.399999999999999" x14ac:dyDescent="0.25">
      <c r="A663" s="1"/>
      <c r="B663" s="40"/>
      <c r="C663" s="2" t="str">
        <f ca="1">IFERROR(__xludf.DUMMYFUNCTION("iferror(filter('Full Perk List'!C$3:C1498,'Full Perk List'!$D$3:$D1498=$D663),"""")"),"#REF!")</f>
        <v>#REF!</v>
      </c>
      <c r="D663" s="2"/>
      <c r="E663" s="2" t="str">
        <f ca="1">IFERROR(__xludf.DUMMYFUNCTION("iferror(filter('Full Perk List'!E$3:E1498,'Full Perk List'!$D$3:$D1498=$D663),"""")"),"#REF!")</f>
        <v>#REF!</v>
      </c>
      <c r="F663" s="2" t="str">
        <f ca="1">IFERROR(__xludf.DUMMYFUNCTION("iferror(filter('Full Perk List'!F$3:F1498,'Full Perk List'!$D$3:$D1498=$D663),"""")"),"#REF!")</f>
        <v>#REF!</v>
      </c>
      <c r="G663" s="2" t="str">
        <f ca="1">IFERROR(__xludf.DUMMYFUNCTION("iferror(filter('Full Perk List'!G$3:G1498,'Full Perk List'!$D$3:$D1498=$D663),"""")"),"#REF!")</f>
        <v>#REF!</v>
      </c>
      <c r="H663" s="1"/>
      <c r="I663" s="2"/>
      <c r="J663" s="2"/>
      <c r="K663" s="2"/>
      <c r="L663" s="2"/>
      <c r="M663" s="2"/>
      <c r="N663" s="2"/>
      <c r="O663" s="2"/>
      <c r="P663" s="2"/>
      <c r="Q663" s="2"/>
      <c r="R663" s="2"/>
      <c r="S663" s="2"/>
      <c r="T663" s="2"/>
      <c r="U663" s="2"/>
      <c r="V663" s="2"/>
      <c r="W663" s="2"/>
      <c r="X663" s="2"/>
      <c r="Y663" s="2"/>
    </row>
    <row r="664" spans="1:25" ht="17.399999999999999" x14ac:dyDescent="0.25">
      <c r="A664" s="1"/>
      <c r="B664" s="40"/>
      <c r="C664" s="2" t="str">
        <f ca="1">IFERROR(__xludf.DUMMYFUNCTION("iferror(filter('Full Perk List'!C$3:C1498,'Full Perk List'!$D$3:$D1498=$D664),"""")"),"#REF!")</f>
        <v>#REF!</v>
      </c>
      <c r="D664" s="2"/>
      <c r="E664" s="2" t="str">
        <f ca="1">IFERROR(__xludf.DUMMYFUNCTION("iferror(filter('Full Perk List'!E$3:E1498,'Full Perk List'!$D$3:$D1498=$D664),"""")"),"#REF!")</f>
        <v>#REF!</v>
      </c>
      <c r="F664" s="2" t="str">
        <f ca="1">IFERROR(__xludf.DUMMYFUNCTION("iferror(filter('Full Perk List'!F$3:F1498,'Full Perk List'!$D$3:$D1498=$D664),"""")"),"#REF!")</f>
        <v>#REF!</v>
      </c>
      <c r="G664" s="2" t="str">
        <f ca="1">IFERROR(__xludf.DUMMYFUNCTION("iferror(filter('Full Perk List'!G$3:G1498,'Full Perk List'!$D$3:$D1498=$D664),"""")"),"#REF!")</f>
        <v>#REF!</v>
      </c>
      <c r="H664" s="1"/>
      <c r="I664" s="2"/>
      <c r="J664" s="2"/>
      <c r="K664" s="2"/>
      <c r="L664" s="2"/>
      <c r="M664" s="2"/>
      <c r="N664" s="2"/>
      <c r="O664" s="2"/>
      <c r="P664" s="2"/>
      <c r="Q664" s="2"/>
      <c r="R664" s="2"/>
      <c r="S664" s="2"/>
      <c r="T664" s="2"/>
      <c r="U664" s="2"/>
      <c r="V664" s="2"/>
      <c r="W664" s="2"/>
      <c r="X664" s="2"/>
      <c r="Y664" s="2"/>
    </row>
    <row r="665" spans="1:25" ht="17.399999999999999" x14ac:dyDescent="0.25">
      <c r="A665" s="1"/>
      <c r="B665" s="40"/>
      <c r="C665" s="2" t="str">
        <f ca="1">IFERROR(__xludf.DUMMYFUNCTION("iferror(filter('Full Perk List'!C$3:C1498,'Full Perk List'!$D$3:$D1498=$D665),"""")"),"#REF!")</f>
        <v>#REF!</v>
      </c>
      <c r="D665" s="2"/>
      <c r="E665" s="2" t="str">
        <f ca="1">IFERROR(__xludf.DUMMYFUNCTION("iferror(filter('Full Perk List'!E$3:E1498,'Full Perk List'!$D$3:$D1498=$D665),"""")"),"#REF!")</f>
        <v>#REF!</v>
      </c>
      <c r="F665" s="2" t="str">
        <f ca="1">IFERROR(__xludf.DUMMYFUNCTION("iferror(filter('Full Perk List'!F$3:F1498,'Full Perk List'!$D$3:$D1498=$D665),"""")"),"#REF!")</f>
        <v>#REF!</v>
      </c>
      <c r="G665" s="2" t="str">
        <f ca="1">IFERROR(__xludf.DUMMYFUNCTION("iferror(filter('Full Perk List'!G$3:G1498,'Full Perk List'!$D$3:$D1498=$D665),"""")"),"#REF!")</f>
        <v>#REF!</v>
      </c>
      <c r="H665" s="1"/>
      <c r="I665" s="2"/>
      <c r="J665" s="2"/>
      <c r="K665" s="2"/>
      <c r="L665" s="2"/>
      <c r="M665" s="2"/>
      <c r="N665" s="2"/>
      <c r="O665" s="2"/>
      <c r="P665" s="2"/>
      <c r="Q665" s="2"/>
      <c r="R665" s="2"/>
      <c r="S665" s="2"/>
      <c r="T665" s="2"/>
      <c r="U665" s="2"/>
      <c r="V665" s="2"/>
      <c r="W665" s="2"/>
      <c r="X665" s="2"/>
      <c r="Y665" s="2"/>
    </row>
    <row r="666" spans="1:25" ht="17.399999999999999" x14ac:dyDescent="0.25">
      <c r="A666" s="1"/>
      <c r="B666" s="40"/>
      <c r="C666" s="2" t="str">
        <f ca="1">IFERROR(__xludf.DUMMYFUNCTION("iferror(filter('Full Perk List'!C$3:C1498,'Full Perk List'!$D$3:$D1498=$D666),"""")"),"#REF!")</f>
        <v>#REF!</v>
      </c>
      <c r="D666" s="2"/>
      <c r="E666" s="2" t="str">
        <f ca="1">IFERROR(__xludf.DUMMYFUNCTION("iferror(filter('Full Perk List'!E$3:E1498,'Full Perk List'!$D$3:$D1498=$D666),"""")"),"#REF!")</f>
        <v>#REF!</v>
      </c>
      <c r="F666" s="2" t="str">
        <f ca="1">IFERROR(__xludf.DUMMYFUNCTION("iferror(filter('Full Perk List'!F$3:F1498,'Full Perk List'!$D$3:$D1498=$D666),"""")"),"#REF!")</f>
        <v>#REF!</v>
      </c>
      <c r="G666" s="2" t="str">
        <f ca="1">IFERROR(__xludf.DUMMYFUNCTION("iferror(filter('Full Perk List'!G$3:G1498,'Full Perk List'!$D$3:$D1498=$D666),"""")"),"#REF!")</f>
        <v>#REF!</v>
      </c>
      <c r="H666" s="1"/>
      <c r="I666" s="2"/>
      <c r="J666" s="2"/>
      <c r="K666" s="2"/>
      <c r="L666" s="2"/>
      <c r="M666" s="2"/>
      <c r="N666" s="2"/>
      <c r="O666" s="2"/>
      <c r="P666" s="2"/>
      <c r="Q666" s="2"/>
      <c r="R666" s="2"/>
      <c r="S666" s="2"/>
      <c r="T666" s="2"/>
      <c r="U666" s="2"/>
      <c r="V666" s="2"/>
      <c r="W666" s="2"/>
      <c r="X666" s="2"/>
      <c r="Y666" s="2"/>
    </row>
    <row r="667" spans="1:25" ht="17.399999999999999" x14ac:dyDescent="0.25">
      <c r="A667" s="1"/>
      <c r="B667" s="40"/>
      <c r="C667" s="2" t="str">
        <f ca="1">IFERROR(__xludf.DUMMYFUNCTION("iferror(filter('Full Perk List'!C$3:C1498,'Full Perk List'!$D$3:$D1498=$D667),"""")"),"#REF!")</f>
        <v>#REF!</v>
      </c>
      <c r="D667" s="2"/>
      <c r="E667" s="2" t="str">
        <f ca="1">IFERROR(__xludf.DUMMYFUNCTION("iferror(filter('Full Perk List'!E$3:E1498,'Full Perk List'!$D$3:$D1498=$D667),"""")"),"#REF!")</f>
        <v>#REF!</v>
      </c>
      <c r="F667" s="2" t="str">
        <f ca="1">IFERROR(__xludf.DUMMYFUNCTION("iferror(filter('Full Perk List'!F$3:F1498,'Full Perk List'!$D$3:$D1498=$D667),"""")"),"#REF!")</f>
        <v>#REF!</v>
      </c>
      <c r="G667" s="2" t="str">
        <f ca="1">IFERROR(__xludf.DUMMYFUNCTION("iferror(filter('Full Perk List'!G$3:G1498,'Full Perk List'!$D$3:$D1498=$D667),"""")"),"#REF!")</f>
        <v>#REF!</v>
      </c>
      <c r="H667" s="1"/>
      <c r="I667" s="2"/>
      <c r="J667" s="2"/>
      <c r="K667" s="2"/>
      <c r="L667" s="2"/>
      <c r="M667" s="2"/>
      <c r="N667" s="2"/>
      <c r="O667" s="2"/>
      <c r="P667" s="2"/>
      <c r="Q667" s="2"/>
      <c r="R667" s="2"/>
      <c r="S667" s="2"/>
      <c r="T667" s="2"/>
      <c r="U667" s="2"/>
      <c r="V667" s="2"/>
      <c r="W667" s="2"/>
      <c r="X667" s="2"/>
      <c r="Y667" s="2"/>
    </row>
    <row r="668" spans="1:25" ht="17.399999999999999" x14ac:dyDescent="0.25">
      <c r="A668" s="1"/>
      <c r="B668" s="40"/>
      <c r="C668" s="2" t="str">
        <f ca="1">IFERROR(__xludf.DUMMYFUNCTION("iferror(filter('Full Perk List'!C$3:C1498,'Full Perk List'!$D$3:$D1498=$D668),"""")"),"#REF!")</f>
        <v>#REF!</v>
      </c>
      <c r="D668" s="2"/>
      <c r="E668" s="2" t="str">
        <f ca="1">IFERROR(__xludf.DUMMYFUNCTION("iferror(filter('Full Perk List'!E$3:E1498,'Full Perk List'!$D$3:$D1498=$D668),"""")"),"#REF!")</f>
        <v>#REF!</v>
      </c>
      <c r="F668" s="2" t="str">
        <f ca="1">IFERROR(__xludf.DUMMYFUNCTION("iferror(filter('Full Perk List'!F$3:F1498,'Full Perk List'!$D$3:$D1498=$D668),"""")"),"#REF!")</f>
        <v>#REF!</v>
      </c>
      <c r="G668" s="2" t="str">
        <f ca="1">IFERROR(__xludf.DUMMYFUNCTION("iferror(filter('Full Perk List'!G$3:G1498,'Full Perk List'!$D$3:$D1498=$D668),"""")"),"#REF!")</f>
        <v>#REF!</v>
      </c>
      <c r="H668" s="1"/>
      <c r="I668" s="2"/>
      <c r="J668" s="2"/>
      <c r="K668" s="2"/>
      <c r="L668" s="2"/>
      <c r="M668" s="2"/>
      <c r="N668" s="2"/>
      <c r="O668" s="2"/>
      <c r="P668" s="2"/>
      <c r="Q668" s="2"/>
      <c r="R668" s="2"/>
      <c r="S668" s="2"/>
      <c r="T668" s="2"/>
      <c r="U668" s="2"/>
      <c r="V668" s="2"/>
      <c r="W668" s="2"/>
      <c r="X668" s="2"/>
      <c r="Y668" s="2"/>
    </row>
    <row r="669" spans="1:25" ht="17.399999999999999" x14ac:dyDescent="0.25">
      <c r="A669" s="1"/>
      <c r="B669" s="40"/>
      <c r="C669" s="2" t="str">
        <f ca="1">IFERROR(__xludf.DUMMYFUNCTION("iferror(filter('Full Perk List'!C$3:C1498,'Full Perk List'!$D$3:$D1498=$D669),"""")"),"#REF!")</f>
        <v>#REF!</v>
      </c>
      <c r="D669" s="2"/>
      <c r="E669" s="2" t="str">
        <f ca="1">IFERROR(__xludf.DUMMYFUNCTION("iferror(filter('Full Perk List'!E$3:E1498,'Full Perk List'!$D$3:$D1498=$D669),"""")"),"#REF!")</f>
        <v>#REF!</v>
      </c>
      <c r="F669" s="2" t="str">
        <f ca="1">IFERROR(__xludf.DUMMYFUNCTION("iferror(filter('Full Perk List'!F$3:F1498,'Full Perk List'!$D$3:$D1498=$D669),"""")"),"#REF!")</f>
        <v>#REF!</v>
      </c>
      <c r="G669" s="2" t="str">
        <f ca="1">IFERROR(__xludf.DUMMYFUNCTION("iferror(filter('Full Perk List'!G$3:G1498,'Full Perk List'!$D$3:$D1498=$D669),"""")"),"#REF!")</f>
        <v>#REF!</v>
      </c>
      <c r="H669" s="1"/>
      <c r="I669" s="2"/>
      <c r="J669" s="2"/>
      <c r="K669" s="2"/>
      <c r="L669" s="2"/>
      <c r="M669" s="2"/>
      <c r="N669" s="2"/>
      <c r="O669" s="2"/>
      <c r="P669" s="2"/>
      <c r="Q669" s="2"/>
      <c r="R669" s="2"/>
      <c r="S669" s="2"/>
      <c r="T669" s="2"/>
      <c r="U669" s="2"/>
      <c r="V669" s="2"/>
      <c r="W669" s="2"/>
      <c r="X669" s="2"/>
      <c r="Y669" s="2"/>
    </row>
    <row r="670" spans="1:25" ht="17.399999999999999" x14ac:dyDescent="0.25">
      <c r="A670" s="1"/>
      <c r="B670" s="40"/>
      <c r="C670" s="2" t="str">
        <f ca="1">IFERROR(__xludf.DUMMYFUNCTION("iferror(filter('Full Perk List'!C$3:C1498,'Full Perk List'!$D$3:$D1498=$D670),"""")"),"#REF!")</f>
        <v>#REF!</v>
      </c>
      <c r="D670" s="2"/>
      <c r="E670" s="2" t="str">
        <f ca="1">IFERROR(__xludf.DUMMYFUNCTION("iferror(filter('Full Perk List'!E$3:E1498,'Full Perk List'!$D$3:$D1498=$D670),"""")"),"#REF!")</f>
        <v>#REF!</v>
      </c>
      <c r="F670" s="2" t="str">
        <f ca="1">IFERROR(__xludf.DUMMYFUNCTION("iferror(filter('Full Perk List'!F$3:F1498,'Full Perk List'!$D$3:$D1498=$D670),"""")"),"#REF!")</f>
        <v>#REF!</v>
      </c>
      <c r="G670" s="2" t="str">
        <f ca="1">IFERROR(__xludf.DUMMYFUNCTION("iferror(filter('Full Perk List'!G$3:G1498,'Full Perk List'!$D$3:$D1498=$D670),"""")"),"#REF!")</f>
        <v>#REF!</v>
      </c>
      <c r="H670" s="1"/>
      <c r="I670" s="2"/>
      <c r="J670" s="2"/>
      <c r="K670" s="2"/>
      <c r="L670" s="2"/>
      <c r="M670" s="2"/>
      <c r="N670" s="2"/>
      <c r="O670" s="2"/>
      <c r="P670" s="2"/>
      <c r="Q670" s="2"/>
      <c r="R670" s="2"/>
      <c r="S670" s="2"/>
      <c r="T670" s="2"/>
      <c r="U670" s="2"/>
      <c r="V670" s="2"/>
      <c r="W670" s="2"/>
      <c r="X670" s="2"/>
      <c r="Y670" s="2"/>
    </row>
    <row r="671" spans="1:25" ht="17.399999999999999" x14ac:dyDescent="0.25">
      <c r="A671" s="1"/>
      <c r="B671" s="40"/>
      <c r="C671" s="2" t="str">
        <f ca="1">IFERROR(__xludf.DUMMYFUNCTION("iferror(filter('Full Perk List'!C$3:C1498,'Full Perk List'!$D$3:$D1498=$D671),"""")"),"#REF!")</f>
        <v>#REF!</v>
      </c>
      <c r="D671" s="2"/>
      <c r="E671" s="2" t="str">
        <f ca="1">IFERROR(__xludf.DUMMYFUNCTION("iferror(filter('Full Perk List'!E$3:E1498,'Full Perk List'!$D$3:$D1498=$D671),"""")"),"#REF!")</f>
        <v>#REF!</v>
      </c>
      <c r="F671" s="2" t="str">
        <f ca="1">IFERROR(__xludf.DUMMYFUNCTION("iferror(filter('Full Perk List'!F$3:F1498,'Full Perk List'!$D$3:$D1498=$D671),"""")"),"#REF!")</f>
        <v>#REF!</v>
      </c>
      <c r="G671" s="2" t="str">
        <f ca="1">IFERROR(__xludf.DUMMYFUNCTION("iferror(filter('Full Perk List'!G$3:G1498,'Full Perk List'!$D$3:$D1498=$D671),"""")"),"#REF!")</f>
        <v>#REF!</v>
      </c>
      <c r="H671" s="1"/>
      <c r="I671" s="2"/>
      <c r="J671" s="2"/>
      <c r="K671" s="2"/>
      <c r="L671" s="2"/>
      <c r="M671" s="2"/>
      <c r="N671" s="2"/>
      <c r="O671" s="2"/>
      <c r="P671" s="2"/>
      <c r="Q671" s="2"/>
      <c r="R671" s="2"/>
      <c r="S671" s="2"/>
      <c r="T671" s="2"/>
      <c r="U671" s="2"/>
      <c r="V671" s="2"/>
      <c r="W671" s="2"/>
      <c r="X671" s="2"/>
      <c r="Y671" s="2"/>
    </row>
    <row r="672" spans="1:25" ht="17.399999999999999" x14ac:dyDescent="0.25">
      <c r="A672" s="1"/>
      <c r="B672" s="40"/>
      <c r="C672" s="2" t="str">
        <f ca="1">IFERROR(__xludf.DUMMYFUNCTION("iferror(filter('Full Perk List'!C$3:C1498,'Full Perk List'!$D$3:$D1498=$D672),"""")"),"#REF!")</f>
        <v>#REF!</v>
      </c>
      <c r="D672" s="2"/>
      <c r="E672" s="2" t="str">
        <f ca="1">IFERROR(__xludf.DUMMYFUNCTION("iferror(filter('Full Perk List'!E$3:E1498,'Full Perk List'!$D$3:$D1498=$D672),"""")"),"#REF!")</f>
        <v>#REF!</v>
      </c>
      <c r="F672" s="2" t="str">
        <f ca="1">IFERROR(__xludf.DUMMYFUNCTION("iferror(filter('Full Perk List'!F$3:F1498,'Full Perk List'!$D$3:$D1498=$D672),"""")"),"#REF!")</f>
        <v>#REF!</v>
      </c>
      <c r="G672" s="2" t="str">
        <f ca="1">IFERROR(__xludf.DUMMYFUNCTION("iferror(filter('Full Perk List'!G$3:G1498,'Full Perk List'!$D$3:$D1498=$D672),"""")"),"#REF!")</f>
        <v>#REF!</v>
      </c>
      <c r="H672" s="1"/>
      <c r="I672" s="2"/>
      <c r="J672" s="2"/>
      <c r="K672" s="2"/>
      <c r="L672" s="2"/>
      <c r="M672" s="2"/>
      <c r="N672" s="2"/>
      <c r="O672" s="2"/>
      <c r="P672" s="2"/>
      <c r="Q672" s="2"/>
      <c r="R672" s="2"/>
      <c r="S672" s="2"/>
      <c r="T672" s="2"/>
      <c r="U672" s="2"/>
      <c r="V672" s="2"/>
      <c r="W672" s="2"/>
      <c r="X672" s="2"/>
      <c r="Y672" s="2"/>
    </row>
    <row r="673" spans="1:25" ht="17.399999999999999" x14ac:dyDescent="0.25">
      <c r="A673" s="1"/>
      <c r="B673" s="40"/>
      <c r="C673" s="2" t="str">
        <f ca="1">IFERROR(__xludf.DUMMYFUNCTION("iferror(filter('Full Perk List'!C$3:C1498,'Full Perk List'!$D$3:$D1498=$D673),"""")"),"#REF!")</f>
        <v>#REF!</v>
      </c>
      <c r="D673" s="2"/>
      <c r="E673" s="2" t="str">
        <f ca="1">IFERROR(__xludf.DUMMYFUNCTION("iferror(filter('Full Perk List'!E$3:E1498,'Full Perk List'!$D$3:$D1498=$D673),"""")"),"#REF!")</f>
        <v>#REF!</v>
      </c>
      <c r="F673" s="2" t="str">
        <f ca="1">IFERROR(__xludf.DUMMYFUNCTION("iferror(filter('Full Perk List'!F$3:F1498,'Full Perk List'!$D$3:$D1498=$D673),"""")"),"#REF!")</f>
        <v>#REF!</v>
      </c>
      <c r="G673" s="2" t="str">
        <f ca="1">IFERROR(__xludf.DUMMYFUNCTION("iferror(filter('Full Perk List'!G$3:G1498,'Full Perk List'!$D$3:$D1498=$D673),"""")"),"#REF!")</f>
        <v>#REF!</v>
      </c>
      <c r="H673" s="1"/>
      <c r="I673" s="2"/>
      <c r="J673" s="2"/>
      <c r="K673" s="2"/>
      <c r="L673" s="2"/>
      <c r="M673" s="2"/>
      <c r="N673" s="2"/>
      <c r="O673" s="2"/>
      <c r="P673" s="2"/>
      <c r="Q673" s="2"/>
      <c r="R673" s="2"/>
      <c r="S673" s="2"/>
      <c r="T673" s="2"/>
      <c r="U673" s="2"/>
      <c r="V673" s="2"/>
      <c r="W673" s="2"/>
      <c r="X673" s="2"/>
      <c r="Y673" s="2"/>
    </row>
    <row r="674" spans="1:25" ht="17.399999999999999" x14ac:dyDescent="0.25">
      <c r="A674" s="1"/>
      <c r="B674" s="40"/>
      <c r="C674" s="2" t="str">
        <f ca="1">IFERROR(__xludf.DUMMYFUNCTION("iferror(filter('Full Perk List'!C$3:C1498,'Full Perk List'!$D$3:$D1498=$D674),"""")"),"#REF!")</f>
        <v>#REF!</v>
      </c>
      <c r="D674" s="2"/>
      <c r="E674" s="2" t="str">
        <f ca="1">IFERROR(__xludf.DUMMYFUNCTION("iferror(filter('Full Perk List'!E$3:E1498,'Full Perk List'!$D$3:$D1498=$D674),"""")"),"#REF!")</f>
        <v>#REF!</v>
      </c>
      <c r="F674" s="2" t="str">
        <f ca="1">IFERROR(__xludf.DUMMYFUNCTION("iferror(filter('Full Perk List'!F$3:F1498,'Full Perk List'!$D$3:$D1498=$D674),"""")"),"#REF!")</f>
        <v>#REF!</v>
      </c>
      <c r="G674" s="2" t="str">
        <f ca="1">IFERROR(__xludf.DUMMYFUNCTION("iferror(filter('Full Perk List'!G$3:G1498,'Full Perk List'!$D$3:$D1498=$D674),"""")"),"#REF!")</f>
        <v>#REF!</v>
      </c>
      <c r="H674" s="1"/>
      <c r="I674" s="2"/>
      <c r="J674" s="2"/>
      <c r="K674" s="2"/>
      <c r="L674" s="2"/>
      <c r="M674" s="2"/>
      <c r="N674" s="2"/>
      <c r="O674" s="2"/>
      <c r="P674" s="2"/>
      <c r="Q674" s="2"/>
      <c r="R674" s="2"/>
      <c r="S674" s="2"/>
      <c r="T674" s="2"/>
      <c r="U674" s="2"/>
      <c r="V674" s="2"/>
      <c r="W674" s="2"/>
      <c r="X674" s="2"/>
      <c r="Y674" s="2"/>
    </row>
    <row r="675" spans="1:25" ht="17.399999999999999" x14ac:dyDescent="0.25">
      <c r="A675" s="1"/>
      <c r="B675" s="40"/>
      <c r="C675" s="2" t="str">
        <f ca="1">IFERROR(__xludf.DUMMYFUNCTION("iferror(filter('Full Perk List'!C$3:C1498,'Full Perk List'!$D$3:$D1498=$D675),"""")"),"#REF!")</f>
        <v>#REF!</v>
      </c>
      <c r="D675" s="2"/>
      <c r="E675" s="2" t="str">
        <f ca="1">IFERROR(__xludf.DUMMYFUNCTION("iferror(filter('Full Perk List'!E$3:E1498,'Full Perk List'!$D$3:$D1498=$D675),"""")"),"#REF!")</f>
        <v>#REF!</v>
      </c>
      <c r="F675" s="2" t="str">
        <f ca="1">IFERROR(__xludf.DUMMYFUNCTION("iferror(filter('Full Perk List'!F$3:F1498,'Full Perk List'!$D$3:$D1498=$D675),"""")"),"#REF!")</f>
        <v>#REF!</v>
      </c>
      <c r="G675" s="2" t="str">
        <f ca="1">IFERROR(__xludf.DUMMYFUNCTION("iferror(filter('Full Perk List'!G$3:G1498,'Full Perk List'!$D$3:$D1498=$D675),"""")"),"#REF!")</f>
        <v>#REF!</v>
      </c>
      <c r="H675" s="1"/>
      <c r="I675" s="2"/>
      <c r="J675" s="2"/>
      <c r="K675" s="2"/>
      <c r="L675" s="2"/>
      <c r="M675" s="2"/>
      <c r="N675" s="2"/>
      <c r="O675" s="2"/>
      <c r="P675" s="2"/>
      <c r="Q675" s="2"/>
      <c r="R675" s="2"/>
      <c r="S675" s="2"/>
      <c r="T675" s="2"/>
      <c r="U675" s="2"/>
      <c r="V675" s="2"/>
      <c r="W675" s="2"/>
      <c r="X675" s="2"/>
      <c r="Y675" s="2"/>
    </row>
    <row r="676" spans="1:25" ht="17.399999999999999" x14ac:dyDescent="0.25">
      <c r="A676" s="1"/>
      <c r="B676" s="40"/>
      <c r="C676" s="2" t="str">
        <f ca="1">IFERROR(__xludf.DUMMYFUNCTION("iferror(filter('Full Perk List'!C$3:C1498,'Full Perk List'!$D$3:$D1498=$D676),"""")"),"#REF!")</f>
        <v>#REF!</v>
      </c>
      <c r="D676" s="2"/>
      <c r="E676" s="2" t="str">
        <f ca="1">IFERROR(__xludf.DUMMYFUNCTION("iferror(filter('Full Perk List'!E$3:E1498,'Full Perk List'!$D$3:$D1498=$D676),"""")"),"#REF!")</f>
        <v>#REF!</v>
      </c>
      <c r="F676" s="2" t="str">
        <f ca="1">IFERROR(__xludf.DUMMYFUNCTION("iferror(filter('Full Perk List'!F$3:F1498,'Full Perk List'!$D$3:$D1498=$D676),"""")"),"#REF!")</f>
        <v>#REF!</v>
      </c>
      <c r="G676" s="2" t="str">
        <f ca="1">IFERROR(__xludf.DUMMYFUNCTION("iferror(filter('Full Perk List'!G$3:G1498,'Full Perk List'!$D$3:$D1498=$D676),"""")"),"#REF!")</f>
        <v>#REF!</v>
      </c>
      <c r="H676" s="1"/>
      <c r="I676" s="2"/>
      <c r="J676" s="2"/>
      <c r="K676" s="2"/>
      <c r="L676" s="2"/>
      <c r="M676" s="2"/>
      <c r="N676" s="2"/>
      <c r="O676" s="2"/>
      <c r="P676" s="2"/>
      <c r="Q676" s="2"/>
      <c r="R676" s="2"/>
      <c r="S676" s="2"/>
      <c r="T676" s="2"/>
      <c r="U676" s="2"/>
      <c r="V676" s="2"/>
      <c r="W676" s="2"/>
      <c r="X676" s="2"/>
      <c r="Y676" s="2"/>
    </row>
    <row r="677" spans="1:25" ht="17.399999999999999" x14ac:dyDescent="0.25">
      <c r="A677" s="1"/>
      <c r="B677" s="40"/>
      <c r="C677" s="2" t="str">
        <f ca="1">IFERROR(__xludf.DUMMYFUNCTION("iferror(filter('Full Perk List'!C$3:C1498,'Full Perk List'!$D$3:$D1498=$D677),"""")"),"#REF!")</f>
        <v>#REF!</v>
      </c>
      <c r="D677" s="2"/>
      <c r="E677" s="2" t="str">
        <f ca="1">IFERROR(__xludf.DUMMYFUNCTION("iferror(filter('Full Perk List'!E$3:E1498,'Full Perk List'!$D$3:$D1498=$D677),"""")"),"#REF!")</f>
        <v>#REF!</v>
      </c>
      <c r="F677" s="2" t="str">
        <f ca="1">IFERROR(__xludf.DUMMYFUNCTION("iferror(filter('Full Perk List'!F$3:F1498,'Full Perk List'!$D$3:$D1498=$D677),"""")"),"#REF!")</f>
        <v>#REF!</v>
      </c>
      <c r="G677" s="2" t="str">
        <f ca="1">IFERROR(__xludf.DUMMYFUNCTION("iferror(filter('Full Perk List'!G$3:G1498,'Full Perk List'!$D$3:$D1498=$D677),"""")"),"#REF!")</f>
        <v>#REF!</v>
      </c>
      <c r="H677" s="1"/>
      <c r="I677" s="2"/>
      <c r="J677" s="2"/>
      <c r="K677" s="2"/>
      <c r="L677" s="2"/>
      <c r="M677" s="2"/>
      <c r="N677" s="2"/>
      <c r="O677" s="2"/>
      <c r="P677" s="2"/>
      <c r="Q677" s="2"/>
      <c r="R677" s="2"/>
      <c r="S677" s="2"/>
      <c r="T677" s="2"/>
      <c r="U677" s="2"/>
      <c r="V677" s="2"/>
      <c r="W677" s="2"/>
      <c r="X677" s="2"/>
      <c r="Y677" s="2"/>
    </row>
    <row r="678" spans="1:25" ht="17.399999999999999" x14ac:dyDescent="0.25">
      <c r="A678" s="1"/>
      <c r="B678" s="40"/>
      <c r="C678" s="2" t="str">
        <f ca="1">IFERROR(__xludf.DUMMYFUNCTION("iferror(filter('Full Perk List'!C$3:C1498,'Full Perk List'!$D$3:$D1498=$D678),"""")"),"#REF!")</f>
        <v>#REF!</v>
      </c>
      <c r="D678" s="2"/>
      <c r="E678" s="2" t="str">
        <f ca="1">IFERROR(__xludf.DUMMYFUNCTION("iferror(filter('Full Perk List'!E$3:E1498,'Full Perk List'!$D$3:$D1498=$D678),"""")"),"#REF!")</f>
        <v>#REF!</v>
      </c>
      <c r="F678" s="2" t="str">
        <f ca="1">IFERROR(__xludf.DUMMYFUNCTION("iferror(filter('Full Perk List'!F$3:F1498,'Full Perk List'!$D$3:$D1498=$D678),"""")"),"#REF!")</f>
        <v>#REF!</v>
      </c>
      <c r="G678" s="2" t="str">
        <f ca="1">IFERROR(__xludf.DUMMYFUNCTION("iferror(filter('Full Perk List'!G$3:G1498,'Full Perk List'!$D$3:$D1498=$D678),"""")"),"#REF!")</f>
        <v>#REF!</v>
      </c>
      <c r="H678" s="1"/>
      <c r="I678" s="2"/>
      <c r="J678" s="2"/>
      <c r="K678" s="2"/>
      <c r="L678" s="2"/>
      <c r="M678" s="2"/>
      <c r="N678" s="2"/>
      <c r="O678" s="2"/>
      <c r="P678" s="2"/>
      <c r="Q678" s="2"/>
      <c r="R678" s="2"/>
      <c r="S678" s="2"/>
      <c r="T678" s="2"/>
      <c r="U678" s="2"/>
      <c r="V678" s="2"/>
      <c r="W678" s="2"/>
      <c r="X678" s="2"/>
      <c r="Y678" s="2"/>
    </row>
    <row r="679" spans="1:25" ht="17.399999999999999" x14ac:dyDescent="0.25">
      <c r="A679" s="1"/>
      <c r="B679" s="40"/>
      <c r="C679" s="2" t="str">
        <f ca="1">IFERROR(__xludf.DUMMYFUNCTION("iferror(filter('Full Perk List'!C$3:C1498,'Full Perk List'!$D$3:$D1498=$D679),"""")"),"#REF!")</f>
        <v>#REF!</v>
      </c>
      <c r="D679" s="2"/>
      <c r="E679" s="2" t="str">
        <f ca="1">IFERROR(__xludf.DUMMYFUNCTION("iferror(filter('Full Perk List'!E$3:E1498,'Full Perk List'!$D$3:$D1498=$D679),"""")"),"#REF!")</f>
        <v>#REF!</v>
      </c>
      <c r="F679" s="2" t="str">
        <f ca="1">IFERROR(__xludf.DUMMYFUNCTION("iferror(filter('Full Perk List'!F$3:F1498,'Full Perk List'!$D$3:$D1498=$D679),"""")"),"#REF!")</f>
        <v>#REF!</v>
      </c>
      <c r="G679" s="2" t="str">
        <f ca="1">IFERROR(__xludf.DUMMYFUNCTION("iferror(filter('Full Perk List'!G$3:G1498,'Full Perk List'!$D$3:$D1498=$D679),"""")"),"#REF!")</f>
        <v>#REF!</v>
      </c>
      <c r="H679" s="1"/>
      <c r="I679" s="2"/>
      <c r="J679" s="2"/>
      <c r="K679" s="2"/>
      <c r="L679" s="2"/>
      <c r="M679" s="2"/>
      <c r="N679" s="2"/>
      <c r="O679" s="2"/>
      <c r="P679" s="2"/>
      <c r="Q679" s="2"/>
      <c r="R679" s="2"/>
      <c r="S679" s="2"/>
      <c r="T679" s="2"/>
      <c r="U679" s="2"/>
      <c r="V679" s="2"/>
      <c r="W679" s="2"/>
      <c r="X679" s="2"/>
      <c r="Y679" s="2"/>
    </row>
    <row r="680" spans="1:25" ht="17.399999999999999" x14ac:dyDescent="0.25">
      <c r="A680" s="1"/>
      <c r="B680" s="40"/>
      <c r="C680" s="2" t="str">
        <f ca="1">IFERROR(__xludf.DUMMYFUNCTION("iferror(filter('Full Perk List'!C$3:C1498,'Full Perk List'!$D$3:$D1498=$D680),"""")"),"#REF!")</f>
        <v>#REF!</v>
      </c>
      <c r="D680" s="2"/>
      <c r="E680" s="2" t="str">
        <f ca="1">IFERROR(__xludf.DUMMYFUNCTION("iferror(filter('Full Perk List'!E$3:E1498,'Full Perk List'!$D$3:$D1498=$D680),"""")"),"#REF!")</f>
        <v>#REF!</v>
      </c>
      <c r="F680" s="2" t="str">
        <f ca="1">IFERROR(__xludf.DUMMYFUNCTION("iferror(filter('Full Perk List'!F$3:F1498,'Full Perk List'!$D$3:$D1498=$D680),"""")"),"#REF!")</f>
        <v>#REF!</v>
      </c>
      <c r="G680" s="2" t="str">
        <f ca="1">IFERROR(__xludf.DUMMYFUNCTION("iferror(filter('Full Perk List'!G$3:G1498,'Full Perk List'!$D$3:$D1498=$D680),"""")"),"#REF!")</f>
        <v>#REF!</v>
      </c>
      <c r="H680" s="1"/>
      <c r="I680" s="2"/>
      <c r="J680" s="2"/>
      <c r="K680" s="2"/>
      <c r="L680" s="2"/>
      <c r="M680" s="2"/>
      <c r="N680" s="2"/>
      <c r="O680" s="2"/>
      <c r="P680" s="2"/>
      <c r="Q680" s="2"/>
      <c r="R680" s="2"/>
      <c r="S680" s="2"/>
      <c r="T680" s="2"/>
      <c r="U680" s="2"/>
      <c r="V680" s="2"/>
      <c r="W680" s="2"/>
      <c r="X680" s="2"/>
      <c r="Y680" s="2"/>
    </row>
    <row r="681" spans="1:25" ht="17.399999999999999" x14ac:dyDescent="0.25">
      <c r="A681" s="1"/>
      <c r="B681" s="40"/>
      <c r="C681" s="2" t="str">
        <f ca="1">IFERROR(__xludf.DUMMYFUNCTION("iferror(filter('Full Perk List'!C$3:C1498,'Full Perk List'!$D$3:$D1498=$D681),"""")"),"#REF!")</f>
        <v>#REF!</v>
      </c>
      <c r="D681" s="2"/>
      <c r="E681" s="2" t="str">
        <f ca="1">IFERROR(__xludf.DUMMYFUNCTION("iferror(filter('Full Perk List'!E$3:E1498,'Full Perk List'!$D$3:$D1498=$D681),"""")"),"#REF!")</f>
        <v>#REF!</v>
      </c>
      <c r="F681" s="2" t="str">
        <f ca="1">IFERROR(__xludf.DUMMYFUNCTION("iferror(filter('Full Perk List'!F$3:F1498,'Full Perk List'!$D$3:$D1498=$D681),"""")"),"#REF!")</f>
        <v>#REF!</v>
      </c>
      <c r="G681" s="2" t="str">
        <f ca="1">IFERROR(__xludf.DUMMYFUNCTION("iferror(filter('Full Perk List'!G$3:G1498,'Full Perk List'!$D$3:$D1498=$D681),"""")"),"#REF!")</f>
        <v>#REF!</v>
      </c>
      <c r="H681" s="1"/>
      <c r="I681" s="2"/>
      <c r="J681" s="2"/>
      <c r="K681" s="2"/>
      <c r="L681" s="2"/>
      <c r="M681" s="2"/>
      <c r="N681" s="2"/>
      <c r="O681" s="2"/>
      <c r="P681" s="2"/>
      <c r="Q681" s="2"/>
      <c r="R681" s="2"/>
      <c r="S681" s="2"/>
      <c r="T681" s="2"/>
      <c r="U681" s="2"/>
      <c r="V681" s="2"/>
      <c r="W681" s="2"/>
      <c r="X681" s="2"/>
      <c r="Y681" s="2"/>
    </row>
    <row r="682" spans="1:25" ht="17.399999999999999" x14ac:dyDescent="0.25">
      <c r="A682" s="1"/>
      <c r="B682" s="40"/>
      <c r="C682" s="2" t="str">
        <f ca="1">IFERROR(__xludf.DUMMYFUNCTION("iferror(filter('Full Perk List'!C$3:C1498,'Full Perk List'!$D$3:$D1498=$D682),"""")"),"#REF!")</f>
        <v>#REF!</v>
      </c>
      <c r="D682" s="2"/>
      <c r="E682" s="2" t="str">
        <f ca="1">IFERROR(__xludf.DUMMYFUNCTION("iferror(filter('Full Perk List'!E$3:E1498,'Full Perk List'!$D$3:$D1498=$D682),"""")"),"#REF!")</f>
        <v>#REF!</v>
      </c>
      <c r="F682" s="2" t="str">
        <f ca="1">IFERROR(__xludf.DUMMYFUNCTION("iferror(filter('Full Perk List'!F$3:F1498,'Full Perk List'!$D$3:$D1498=$D682),"""")"),"#REF!")</f>
        <v>#REF!</v>
      </c>
      <c r="G682" s="2" t="str">
        <f ca="1">IFERROR(__xludf.DUMMYFUNCTION("iferror(filter('Full Perk List'!G$3:G1498,'Full Perk List'!$D$3:$D1498=$D682),"""")"),"#REF!")</f>
        <v>#REF!</v>
      </c>
      <c r="H682" s="1"/>
      <c r="I682" s="2"/>
      <c r="J682" s="2"/>
      <c r="K682" s="2"/>
      <c r="L682" s="2"/>
      <c r="M682" s="2"/>
      <c r="N682" s="2"/>
      <c r="O682" s="2"/>
      <c r="P682" s="2"/>
      <c r="Q682" s="2"/>
      <c r="R682" s="2"/>
      <c r="S682" s="2"/>
      <c r="T682" s="2"/>
      <c r="U682" s="2"/>
      <c r="V682" s="2"/>
      <c r="W682" s="2"/>
      <c r="X682" s="2"/>
      <c r="Y682" s="2"/>
    </row>
    <row r="683" spans="1:25" ht="17.399999999999999" x14ac:dyDescent="0.25">
      <c r="A683" s="1"/>
      <c r="B683" s="40"/>
      <c r="C683" s="2" t="str">
        <f ca="1">IFERROR(__xludf.DUMMYFUNCTION("iferror(filter('Full Perk List'!C$3:C1498,'Full Perk List'!$D$3:$D1498=$D683),"""")"),"#REF!")</f>
        <v>#REF!</v>
      </c>
      <c r="D683" s="2"/>
      <c r="E683" s="2" t="str">
        <f ca="1">IFERROR(__xludf.DUMMYFUNCTION("iferror(filter('Full Perk List'!E$3:E1498,'Full Perk List'!$D$3:$D1498=$D683),"""")"),"#REF!")</f>
        <v>#REF!</v>
      </c>
      <c r="F683" s="2" t="str">
        <f ca="1">IFERROR(__xludf.DUMMYFUNCTION("iferror(filter('Full Perk List'!F$3:F1498,'Full Perk List'!$D$3:$D1498=$D683),"""")"),"#REF!")</f>
        <v>#REF!</v>
      </c>
      <c r="G683" s="2" t="str">
        <f ca="1">IFERROR(__xludf.DUMMYFUNCTION("iferror(filter('Full Perk List'!G$3:G1498,'Full Perk List'!$D$3:$D1498=$D683),"""")"),"#REF!")</f>
        <v>#REF!</v>
      </c>
      <c r="H683" s="1"/>
      <c r="I683" s="2"/>
      <c r="J683" s="2"/>
      <c r="K683" s="2"/>
      <c r="L683" s="2"/>
      <c r="M683" s="2"/>
      <c r="N683" s="2"/>
      <c r="O683" s="2"/>
      <c r="P683" s="2"/>
      <c r="Q683" s="2"/>
      <c r="R683" s="2"/>
      <c r="S683" s="2"/>
      <c r="T683" s="2"/>
      <c r="U683" s="2"/>
      <c r="V683" s="2"/>
      <c r="W683" s="2"/>
      <c r="X683" s="2"/>
      <c r="Y683" s="2"/>
    </row>
    <row r="684" spans="1:25" ht="17.399999999999999" x14ac:dyDescent="0.25">
      <c r="A684" s="1"/>
      <c r="B684" s="40"/>
      <c r="C684" s="2" t="str">
        <f ca="1">IFERROR(__xludf.DUMMYFUNCTION("iferror(filter('Full Perk List'!C$3:C1498,'Full Perk List'!$D$3:$D1498=$D684),"""")"),"#REF!")</f>
        <v>#REF!</v>
      </c>
      <c r="D684" s="2"/>
      <c r="E684" s="2" t="str">
        <f ca="1">IFERROR(__xludf.DUMMYFUNCTION("iferror(filter('Full Perk List'!E$3:E1498,'Full Perk List'!$D$3:$D1498=$D684),"""")"),"#REF!")</f>
        <v>#REF!</v>
      </c>
      <c r="F684" s="2" t="str">
        <f ca="1">IFERROR(__xludf.DUMMYFUNCTION("iferror(filter('Full Perk List'!F$3:F1498,'Full Perk List'!$D$3:$D1498=$D684),"""")"),"#REF!")</f>
        <v>#REF!</v>
      </c>
      <c r="G684" s="2" t="str">
        <f ca="1">IFERROR(__xludf.DUMMYFUNCTION("iferror(filter('Full Perk List'!G$3:G1498,'Full Perk List'!$D$3:$D1498=$D684),"""")"),"#REF!")</f>
        <v>#REF!</v>
      </c>
      <c r="H684" s="1"/>
      <c r="I684" s="2"/>
      <c r="J684" s="2"/>
      <c r="K684" s="2"/>
      <c r="L684" s="2"/>
      <c r="M684" s="2"/>
      <c r="N684" s="2"/>
      <c r="O684" s="2"/>
      <c r="P684" s="2"/>
      <c r="Q684" s="2"/>
      <c r="R684" s="2"/>
      <c r="S684" s="2"/>
      <c r="T684" s="2"/>
      <c r="U684" s="2"/>
      <c r="V684" s="2"/>
      <c r="W684" s="2"/>
      <c r="X684" s="2"/>
      <c r="Y684" s="2"/>
    </row>
    <row r="685" spans="1:25" ht="17.399999999999999" x14ac:dyDescent="0.25">
      <c r="A685" s="1"/>
      <c r="B685" s="40"/>
      <c r="C685" s="2" t="str">
        <f ca="1">IFERROR(__xludf.DUMMYFUNCTION("iferror(filter('Full Perk List'!C$3:C1498,'Full Perk List'!$D$3:$D1498=$D685),"""")"),"#REF!")</f>
        <v>#REF!</v>
      </c>
      <c r="D685" s="2"/>
      <c r="E685" s="2" t="str">
        <f ca="1">IFERROR(__xludf.DUMMYFUNCTION("iferror(filter('Full Perk List'!E$3:E1498,'Full Perk List'!$D$3:$D1498=$D685),"""")"),"#REF!")</f>
        <v>#REF!</v>
      </c>
      <c r="F685" s="2" t="str">
        <f ca="1">IFERROR(__xludf.DUMMYFUNCTION("iferror(filter('Full Perk List'!F$3:F1498,'Full Perk List'!$D$3:$D1498=$D685),"""")"),"#REF!")</f>
        <v>#REF!</v>
      </c>
      <c r="G685" s="2" t="str">
        <f ca="1">IFERROR(__xludf.DUMMYFUNCTION("iferror(filter('Full Perk List'!G$3:G1498,'Full Perk List'!$D$3:$D1498=$D685),"""")"),"#REF!")</f>
        <v>#REF!</v>
      </c>
      <c r="H685" s="1"/>
      <c r="I685" s="2"/>
      <c r="J685" s="2"/>
      <c r="K685" s="2"/>
      <c r="L685" s="2"/>
      <c r="M685" s="2"/>
      <c r="N685" s="2"/>
      <c r="O685" s="2"/>
      <c r="P685" s="2"/>
      <c r="Q685" s="2"/>
      <c r="R685" s="2"/>
      <c r="S685" s="2"/>
      <c r="T685" s="2"/>
      <c r="U685" s="2"/>
      <c r="V685" s="2"/>
      <c r="W685" s="2"/>
      <c r="X685" s="2"/>
      <c r="Y685" s="2"/>
    </row>
    <row r="686" spans="1:25" ht="17.399999999999999" x14ac:dyDescent="0.25">
      <c r="A686" s="1"/>
      <c r="B686" s="40"/>
      <c r="C686" s="2" t="str">
        <f ca="1">IFERROR(__xludf.DUMMYFUNCTION("iferror(filter('Full Perk List'!C$3:C1498,'Full Perk List'!$D$3:$D1498=$D686),"""")"),"#REF!")</f>
        <v>#REF!</v>
      </c>
      <c r="D686" s="2"/>
      <c r="E686" s="2" t="str">
        <f ca="1">IFERROR(__xludf.DUMMYFUNCTION("iferror(filter('Full Perk List'!E$3:E1498,'Full Perk List'!$D$3:$D1498=$D686),"""")"),"#REF!")</f>
        <v>#REF!</v>
      </c>
      <c r="F686" s="2" t="str">
        <f ca="1">IFERROR(__xludf.DUMMYFUNCTION("iferror(filter('Full Perk List'!F$3:F1498,'Full Perk List'!$D$3:$D1498=$D686),"""")"),"#REF!")</f>
        <v>#REF!</v>
      </c>
      <c r="G686" s="2" t="str">
        <f ca="1">IFERROR(__xludf.DUMMYFUNCTION("iferror(filter('Full Perk List'!G$3:G1498,'Full Perk List'!$D$3:$D1498=$D686),"""")"),"#REF!")</f>
        <v>#REF!</v>
      </c>
      <c r="H686" s="1"/>
      <c r="I686" s="2"/>
      <c r="J686" s="2"/>
      <c r="K686" s="2"/>
      <c r="L686" s="2"/>
      <c r="M686" s="2"/>
      <c r="N686" s="2"/>
      <c r="O686" s="2"/>
      <c r="P686" s="2"/>
      <c r="Q686" s="2"/>
      <c r="R686" s="2"/>
      <c r="S686" s="2"/>
      <c r="T686" s="2"/>
      <c r="U686" s="2"/>
      <c r="V686" s="2"/>
      <c r="W686" s="2"/>
      <c r="X686" s="2"/>
      <c r="Y686" s="2"/>
    </row>
    <row r="687" spans="1:25" ht="17.399999999999999" x14ac:dyDescent="0.25">
      <c r="A687" s="1"/>
      <c r="B687" s="40"/>
      <c r="C687" s="2" t="str">
        <f ca="1">IFERROR(__xludf.DUMMYFUNCTION("iferror(filter('Full Perk List'!C$3:C1498,'Full Perk List'!$D$3:$D1498=$D687),"""")"),"#REF!")</f>
        <v>#REF!</v>
      </c>
      <c r="D687" s="2"/>
      <c r="E687" s="2" t="str">
        <f ca="1">IFERROR(__xludf.DUMMYFUNCTION("iferror(filter('Full Perk List'!E$3:E1498,'Full Perk List'!$D$3:$D1498=$D687),"""")"),"#REF!")</f>
        <v>#REF!</v>
      </c>
      <c r="F687" s="2" t="str">
        <f ca="1">IFERROR(__xludf.DUMMYFUNCTION("iferror(filter('Full Perk List'!F$3:F1498,'Full Perk List'!$D$3:$D1498=$D687),"""")"),"#REF!")</f>
        <v>#REF!</v>
      </c>
      <c r="G687" s="2" t="str">
        <f ca="1">IFERROR(__xludf.DUMMYFUNCTION("iferror(filter('Full Perk List'!G$3:G1498,'Full Perk List'!$D$3:$D1498=$D687),"""")"),"#REF!")</f>
        <v>#REF!</v>
      </c>
      <c r="H687" s="1"/>
      <c r="I687" s="2"/>
      <c r="J687" s="2"/>
      <c r="K687" s="2"/>
      <c r="L687" s="2"/>
      <c r="M687" s="2"/>
      <c r="N687" s="2"/>
      <c r="O687" s="2"/>
      <c r="P687" s="2"/>
      <c r="Q687" s="2"/>
      <c r="R687" s="2"/>
      <c r="S687" s="2"/>
      <c r="T687" s="2"/>
      <c r="U687" s="2"/>
      <c r="V687" s="2"/>
      <c r="W687" s="2"/>
      <c r="X687" s="2"/>
      <c r="Y687" s="2"/>
    </row>
    <row r="688" spans="1:25" ht="17.399999999999999" x14ac:dyDescent="0.25">
      <c r="A688" s="1"/>
      <c r="B688" s="40"/>
      <c r="C688" s="2" t="str">
        <f ca="1">IFERROR(__xludf.DUMMYFUNCTION("iferror(filter('Full Perk List'!C$3:C1498,'Full Perk List'!$D$3:$D1498=$D688),"""")"),"#REF!")</f>
        <v>#REF!</v>
      </c>
      <c r="D688" s="2"/>
      <c r="E688" s="2" t="str">
        <f ca="1">IFERROR(__xludf.DUMMYFUNCTION("iferror(filter('Full Perk List'!E$3:E1498,'Full Perk List'!$D$3:$D1498=$D688),"""")"),"#REF!")</f>
        <v>#REF!</v>
      </c>
      <c r="F688" s="2" t="str">
        <f ca="1">IFERROR(__xludf.DUMMYFUNCTION("iferror(filter('Full Perk List'!F$3:F1498,'Full Perk List'!$D$3:$D1498=$D688),"""")"),"#REF!")</f>
        <v>#REF!</v>
      </c>
      <c r="G688" s="2" t="str">
        <f ca="1">IFERROR(__xludf.DUMMYFUNCTION("iferror(filter('Full Perk List'!G$3:G1498,'Full Perk List'!$D$3:$D1498=$D688),"""")"),"#REF!")</f>
        <v>#REF!</v>
      </c>
      <c r="H688" s="1"/>
      <c r="I688" s="2"/>
      <c r="J688" s="2"/>
      <c r="K688" s="2"/>
      <c r="L688" s="2"/>
      <c r="M688" s="2"/>
      <c r="N688" s="2"/>
      <c r="O688" s="2"/>
      <c r="P688" s="2"/>
      <c r="Q688" s="2"/>
      <c r="R688" s="2"/>
      <c r="S688" s="2"/>
      <c r="T688" s="2"/>
      <c r="U688" s="2"/>
      <c r="V688" s="2"/>
      <c r="W688" s="2"/>
      <c r="X688" s="2"/>
      <c r="Y688" s="2"/>
    </row>
    <row r="689" spans="1:25" ht="17.399999999999999" x14ac:dyDescent="0.25">
      <c r="A689" s="1"/>
      <c r="B689" s="40"/>
      <c r="C689" s="2" t="str">
        <f ca="1">IFERROR(__xludf.DUMMYFUNCTION("iferror(filter('Full Perk List'!C$3:C1498,'Full Perk List'!$D$3:$D1498=$D689),"""")"),"#REF!")</f>
        <v>#REF!</v>
      </c>
      <c r="D689" s="2"/>
      <c r="E689" s="2" t="str">
        <f ca="1">IFERROR(__xludf.DUMMYFUNCTION("iferror(filter('Full Perk List'!E$3:E1498,'Full Perk List'!$D$3:$D1498=$D689),"""")"),"#REF!")</f>
        <v>#REF!</v>
      </c>
      <c r="F689" s="2" t="str">
        <f ca="1">IFERROR(__xludf.DUMMYFUNCTION("iferror(filter('Full Perk List'!F$3:F1498,'Full Perk List'!$D$3:$D1498=$D689),"""")"),"#REF!")</f>
        <v>#REF!</v>
      </c>
      <c r="G689" s="2" t="str">
        <f ca="1">IFERROR(__xludf.DUMMYFUNCTION("iferror(filter('Full Perk List'!G$3:G1498,'Full Perk List'!$D$3:$D1498=$D689),"""")"),"#REF!")</f>
        <v>#REF!</v>
      </c>
      <c r="H689" s="1"/>
      <c r="I689" s="2"/>
      <c r="J689" s="2"/>
      <c r="K689" s="2"/>
      <c r="L689" s="2"/>
      <c r="M689" s="2"/>
      <c r="N689" s="2"/>
      <c r="O689" s="2"/>
      <c r="P689" s="2"/>
      <c r="Q689" s="2"/>
      <c r="R689" s="2"/>
      <c r="S689" s="2"/>
      <c r="T689" s="2"/>
      <c r="U689" s="2"/>
      <c r="V689" s="2"/>
      <c r="W689" s="2"/>
      <c r="X689" s="2"/>
      <c r="Y689" s="2"/>
    </row>
    <row r="690" spans="1:25" ht="17.399999999999999" x14ac:dyDescent="0.25">
      <c r="A690" s="1"/>
      <c r="B690" s="40"/>
      <c r="C690" s="2" t="str">
        <f ca="1">IFERROR(__xludf.DUMMYFUNCTION("iferror(filter('Full Perk List'!C$3:C1498,'Full Perk List'!$D$3:$D1498=$D690),"""")"),"#REF!")</f>
        <v>#REF!</v>
      </c>
      <c r="D690" s="2"/>
      <c r="E690" s="2" t="str">
        <f ca="1">IFERROR(__xludf.DUMMYFUNCTION("iferror(filter('Full Perk List'!E$3:E1498,'Full Perk List'!$D$3:$D1498=$D690),"""")"),"#REF!")</f>
        <v>#REF!</v>
      </c>
      <c r="F690" s="2" t="str">
        <f ca="1">IFERROR(__xludf.DUMMYFUNCTION("iferror(filter('Full Perk List'!F$3:F1498,'Full Perk List'!$D$3:$D1498=$D690),"""")"),"#REF!")</f>
        <v>#REF!</v>
      </c>
      <c r="G690" s="2" t="str">
        <f ca="1">IFERROR(__xludf.DUMMYFUNCTION("iferror(filter('Full Perk List'!G$3:G1498,'Full Perk List'!$D$3:$D1498=$D690),"""")"),"#REF!")</f>
        <v>#REF!</v>
      </c>
      <c r="H690" s="1"/>
      <c r="I690" s="2"/>
      <c r="J690" s="2"/>
      <c r="K690" s="2"/>
      <c r="L690" s="2"/>
      <c r="M690" s="2"/>
      <c r="N690" s="2"/>
      <c r="O690" s="2"/>
      <c r="P690" s="2"/>
      <c r="Q690" s="2"/>
      <c r="R690" s="2"/>
      <c r="S690" s="2"/>
      <c r="T690" s="2"/>
      <c r="U690" s="2"/>
      <c r="V690" s="2"/>
      <c r="W690" s="2"/>
      <c r="X690" s="2"/>
      <c r="Y690" s="2"/>
    </row>
    <row r="691" spans="1:25" ht="17.399999999999999" x14ac:dyDescent="0.25">
      <c r="A691" s="1"/>
      <c r="B691" s="40"/>
      <c r="C691" s="2" t="str">
        <f ca="1">IFERROR(__xludf.DUMMYFUNCTION("iferror(filter('Full Perk List'!C$3:C1498,'Full Perk List'!$D$3:$D1498=$D691),"""")"),"#REF!")</f>
        <v>#REF!</v>
      </c>
      <c r="D691" s="2"/>
      <c r="E691" s="2" t="str">
        <f ca="1">IFERROR(__xludf.DUMMYFUNCTION("iferror(filter('Full Perk List'!E$3:E1498,'Full Perk List'!$D$3:$D1498=$D691),"""")"),"#REF!")</f>
        <v>#REF!</v>
      </c>
      <c r="F691" s="2" t="str">
        <f ca="1">IFERROR(__xludf.DUMMYFUNCTION("iferror(filter('Full Perk List'!F$3:F1498,'Full Perk List'!$D$3:$D1498=$D691),"""")"),"#REF!")</f>
        <v>#REF!</v>
      </c>
      <c r="G691" s="2" t="str">
        <f ca="1">IFERROR(__xludf.DUMMYFUNCTION("iferror(filter('Full Perk List'!G$3:G1498,'Full Perk List'!$D$3:$D1498=$D691),"""")"),"#REF!")</f>
        <v>#REF!</v>
      </c>
      <c r="H691" s="1"/>
      <c r="I691" s="2"/>
      <c r="J691" s="2"/>
      <c r="K691" s="2"/>
      <c r="L691" s="2"/>
      <c r="M691" s="2"/>
      <c r="N691" s="2"/>
      <c r="O691" s="2"/>
      <c r="P691" s="2"/>
      <c r="Q691" s="2"/>
      <c r="R691" s="2"/>
      <c r="S691" s="2"/>
      <c r="T691" s="2"/>
      <c r="U691" s="2"/>
      <c r="V691" s="2"/>
      <c r="W691" s="2"/>
      <c r="X691" s="2"/>
      <c r="Y691" s="2"/>
    </row>
    <row r="692" spans="1:25" ht="17.399999999999999" x14ac:dyDescent="0.25">
      <c r="A692" s="1"/>
      <c r="B692" s="40"/>
      <c r="C692" s="2" t="str">
        <f ca="1">IFERROR(__xludf.DUMMYFUNCTION("iferror(filter('Full Perk List'!C$3:C1498,'Full Perk List'!$D$3:$D1498=$D692),"""")"),"#REF!")</f>
        <v>#REF!</v>
      </c>
      <c r="D692" s="2"/>
      <c r="E692" s="2" t="str">
        <f ca="1">IFERROR(__xludf.DUMMYFUNCTION("iferror(filter('Full Perk List'!E$3:E1498,'Full Perk List'!$D$3:$D1498=$D692),"""")"),"#REF!")</f>
        <v>#REF!</v>
      </c>
      <c r="F692" s="2" t="str">
        <f ca="1">IFERROR(__xludf.DUMMYFUNCTION("iferror(filter('Full Perk List'!F$3:F1498,'Full Perk List'!$D$3:$D1498=$D692),"""")"),"#REF!")</f>
        <v>#REF!</v>
      </c>
      <c r="G692" s="2" t="str">
        <f ca="1">IFERROR(__xludf.DUMMYFUNCTION("iferror(filter('Full Perk List'!G$3:G1498,'Full Perk List'!$D$3:$D1498=$D692),"""")"),"#REF!")</f>
        <v>#REF!</v>
      </c>
      <c r="H692" s="1"/>
      <c r="I692" s="2"/>
      <c r="J692" s="2"/>
      <c r="K692" s="2"/>
      <c r="L692" s="2"/>
      <c r="M692" s="2"/>
      <c r="N692" s="2"/>
      <c r="O692" s="2"/>
      <c r="P692" s="2"/>
      <c r="Q692" s="2"/>
      <c r="R692" s="2"/>
      <c r="S692" s="2"/>
      <c r="T692" s="2"/>
      <c r="U692" s="2"/>
      <c r="V692" s="2"/>
      <c r="W692" s="2"/>
      <c r="X692" s="2"/>
      <c r="Y692" s="2"/>
    </row>
    <row r="693" spans="1:25" ht="17.399999999999999" x14ac:dyDescent="0.25">
      <c r="A693" s="1"/>
      <c r="B693" s="40"/>
      <c r="C693" s="2" t="str">
        <f ca="1">IFERROR(__xludf.DUMMYFUNCTION("iferror(filter('Full Perk List'!C$3:C1498,'Full Perk List'!$D$3:$D1498=$D693),"""")"),"#REF!")</f>
        <v>#REF!</v>
      </c>
      <c r="D693" s="2"/>
      <c r="E693" s="2" t="str">
        <f ca="1">IFERROR(__xludf.DUMMYFUNCTION("iferror(filter('Full Perk List'!E$3:E1498,'Full Perk List'!$D$3:$D1498=$D693),"""")"),"#REF!")</f>
        <v>#REF!</v>
      </c>
      <c r="F693" s="2" t="str">
        <f ca="1">IFERROR(__xludf.DUMMYFUNCTION("iferror(filter('Full Perk List'!F$3:F1498,'Full Perk List'!$D$3:$D1498=$D693),"""")"),"#REF!")</f>
        <v>#REF!</v>
      </c>
      <c r="G693" s="2" t="str">
        <f ca="1">IFERROR(__xludf.DUMMYFUNCTION("iferror(filter('Full Perk List'!G$3:G1498,'Full Perk List'!$D$3:$D1498=$D693),"""")"),"#REF!")</f>
        <v>#REF!</v>
      </c>
      <c r="H693" s="1"/>
      <c r="I693" s="2"/>
      <c r="J693" s="2"/>
      <c r="K693" s="2"/>
      <c r="L693" s="2"/>
      <c r="M693" s="2"/>
      <c r="N693" s="2"/>
      <c r="O693" s="2"/>
      <c r="P693" s="2"/>
      <c r="Q693" s="2"/>
      <c r="R693" s="2"/>
      <c r="S693" s="2"/>
      <c r="T693" s="2"/>
      <c r="U693" s="2"/>
      <c r="V693" s="2"/>
      <c r="W693" s="2"/>
      <c r="X693" s="2"/>
      <c r="Y693" s="2"/>
    </row>
    <row r="694" spans="1:25" ht="17.399999999999999" x14ac:dyDescent="0.25">
      <c r="A694" s="1"/>
      <c r="B694" s="40"/>
      <c r="C694" s="2" t="str">
        <f ca="1">IFERROR(__xludf.DUMMYFUNCTION("iferror(filter('Full Perk List'!C$3:C1498,'Full Perk List'!$D$3:$D1498=$D694),"""")"),"#REF!")</f>
        <v>#REF!</v>
      </c>
      <c r="D694" s="2"/>
      <c r="E694" s="2" t="str">
        <f ca="1">IFERROR(__xludf.DUMMYFUNCTION("iferror(filter('Full Perk List'!E$3:E1498,'Full Perk List'!$D$3:$D1498=$D694),"""")"),"#REF!")</f>
        <v>#REF!</v>
      </c>
      <c r="F694" s="2" t="str">
        <f ca="1">IFERROR(__xludf.DUMMYFUNCTION("iferror(filter('Full Perk List'!F$3:F1498,'Full Perk List'!$D$3:$D1498=$D694),"""")"),"#REF!")</f>
        <v>#REF!</v>
      </c>
      <c r="G694" s="2" t="str">
        <f ca="1">IFERROR(__xludf.DUMMYFUNCTION("iferror(filter('Full Perk List'!G$3:G1498,'Full Perk List'!$D$3:$D1498=$D694),"""")"),"#REF!")</f>
        <v>#REF!</v>
      </c>
      <c r="H694" s="1"/>
      <c r="I694" s="2"/>
      <c r="J694" s="2"/>
      <c r="K694" s="2"/>
      <c r="L694" s="2"/>
      <c r="M694" s="2"/>
      <c r="N694" s="2"/>
      <c r="O694" s="2"/>
      <c r="P694" s="2"/>
      <c r="Q694" s="2"/>
      <c r="R694" s="2"/>
      <c r="S694" s="2"/>
      <c r="T694" s="2"/>
      <c r="U694" s="2"/>
      <c r="V694" s="2"/>
      <c r="W694" s="2"/>
      <c r="X694" s="2"/>
      <c r="Y694" s="2"/>
    </row>
    <row r="695" spans="1:25" ht="17.399999999999999" x14ac:dyDescent="0.25">
      <c r="A695" s="1"/>
      <c r="B695" s="40"/>
      <c r="C695" s="2" t="str">
        <f ca="1">IFERROR(__xludf.DUMMYFUNCTION("iferror(filter('Full Perk List'!C$3:C1498,'Full Perk List'!$D$3:$D1498=$D695),"""")"),"#REF!")</f>
        <v>#REF!</v>
      </c>
      <c r="D695" s="2"/>
      <c r="E695" s="2" t="str">
        <f ca="1">IFERROR(__xludf.DUMMYFUNCTION("iferror(filter('Full Perk List'!E$3:E1498,'Full Perk List'!$D$3:$D1498=$D695),"""")"),"#REF!")</f>
        <v>#REF!</v>
      </c>
      <c r="F695" s="2" t="str">
        <f ca="1">IFERROR(__xludf.DUMMYFUNCTION("iferror(filter('Full Perk List'!F$3:F1498,'Full Perk List'!$D$3:$D1498=$D695),"""")"),"#REF!")</f>
        <v>#REF!</v>
      </c>
      <c r="G695" s="2" t="str">
        <f ca="1">IFERROR(__xludf.DUMMYFUNCTION("iferror(filter('Full Perk List'!G$3:G1498,'Full Perk List'!$D$3:$D1498=$D695),"""")"),"#REF!")</f>
        <v>#REF!</v>
      </c>
      <c r="H695" s="1"/>
      <c r="I695" s="2"/>
      <c r="J695" s="2"/>
      <c r="K695" s="2"/>
      <c r="L695" s="2"/>
      <c r="M695" s="2"/>
      <c r="N695" s="2"/>
      <c r="O695" s="2"/>
      <c r="P695" s="2"/>
      <c r="Q695" s="2"/>
      <c r="R695" s="2"/>
      <c r="S695" s="2"/>
      <c r="T695" s="2"/>
      <c r="U695" s="2"/>
      <c r="V695" s="2"/>
      <c r="W695" s="2"/>
      <c r="X695" s="2"/>
      <c r="Y695" s="2"/>
    </row>
    <row r="696" spans="1:25" ht="17.399999999999999" x14ac:dyDescent="0.25">
      <c r="A696" s="1"/>
      <c r="B696" s="40"/>
      <c r="C696" s="2" t="str">
        <f ca="1">IFERROR(__xludf.DUMMYFUNCTION("iferror(filter('Full Perk List'!C$3:C1498,'Full Perk List'!$D$3:$D1498=$D696),"""")"),"#REF!")</f>
        <v>#REF!</v>
      </c>
      <c r="D696" s="2"/>
      <c r="E696" s="2" t="str">
        <f ca="1">IFERROR(__xludf.DUMMYFUNCTION("iferror(filter('Full Perk List'!E$3:E1498,'Full Perk List'!$D$3:$D1498=$D696),"""")"),"#REF!")</f>
        <v>#REF!</v>
      </c>
      <c r="F696" s="2" t="str">
        <f ca="1">IFERROR(__xludf.DUMMYFUNCTION("iferror(filter('Full Perk List'!F$3:F1498,'Full Perk List'!$D$3:$D1498=$D696),"""")"),"#REF!")</f>
        <v>#REF!</v>
      </c>
      <c r="G696" s="2" t="str">
        <f ca="1">IFERROR(__xludf.DUMMYFUNCTION("iferror(filter('Full Perk List'!G$3:G1498,'Full Perk List'!$D$3:$D1498=$D696),"""")"),"#REF!")</f>
        <v>#REF!</v>
      </c>
      <c r="H696" s="1"/>
      <c r="I696" s="2"/>
      <c r="J696" s="2"/>
      <c r="K696" s="2"/>
      <c r="L696" s="2"/>
      <c r="M696" s="2"/>
      <c r="N696" s="2"/>
      <c r="O696" s="2"/>
      <c r="P696" s="2"/>
      <c r="Q696" s="2"/>
      <c r="R696" s="2"/>
      <c r="S696" s="2"/>
      <c r="T696" s="2"/>
      <c r="U696" s="2"/>
      <c r="V696" s="2"/>
      <c r="W696" s="2"/>
      <c r="X696" s="2"/>
      <c r="Y696" s="2"/>
    </row>
    <row r="697" spans="1:25" ht="17.399999999999999" x14ac:dyDescent="0.25">
      <c r="A697" s="1"/>
      <c r="B697" s="40"/>
      <c r="C697" s="2" t="str">
        <f ca="1">IFERROR(__xludf.DUMMYFUNCTION("iferror(filter('Full Perk List'!C$3:C1498,'Full Perk List'!$D$3:$D1498=$D697),"""")"),"#REF!")</f>
        <v>#REF!</v>
      </c>
      <c r="D697" s="2"/>
      <c r="E697" s="2" t="str">
        <f ca="1">IFERROR(__xludf.DUMMYFUNCTION("iferror(filter('Full Perk List'!E$3:E1498,'Full Perk List'!$D$3:$D1498=$D697),"""")"),"#REF!")</f>
        <v>#REF!</v>
      </c>
      <c r="F697" s="2" t="str">
        <f ca="1">IFERROR(__xludf.DUMMYFUNCTION("iferror(filter('Full Perk List'!F$3:F1498,'Full Perk List'!$D$3:$D1498=$D697),"""")"),"#REF!")</f>
        <v>#REF!</v>
      </c>
      <c r="G697" s="2" t="str">
        <f ca="1">IFERROR(__xludf.DUMMYFUNCTION("iferror(filter('Full Perk List'!G$3:G1498,'Full Perk List'!$D$3:$D1498=$D697),"""")"),"#REF!")</f>
        <v>#REF!</v>
      </c>
      <c r="H697" s="1"/>
      <c r="I697" s="2"/>
      <c r="J697" s="2"/>
      <c r="K697" s="2"/>
      <c r="L697" s="2"/>
      <c r="M697" s="2"/>
      <c r="N697" s="2"/>
      <c r="O697" s="2"/>
      <c r="P697" s="2"/>
      <c r="Q697" s="2"/>
      <c r="R697" s="2"/>
      <c r="S697" s="2"/>
      <c r="T697" s="2"/>
      <c r="U697" s="2"/>
      <c r="V697" s="2"/>
      <c r="W697" s="2"/>
      <c r="X697" s="2"/>
      <c r="Y697" s="2"/>
    </row>
    <row r="698" spans="1:25" ht="17.399999999999999" x14ac:dyDescent="0.25">
      <c r="A698" s="1"/>
      <c r="B698" s="40"/>
      <c r="C698" s="2" t="str">
        <f ca="1">IFERROR(__xludf.DUMMYFUNCTION("iferror(filter('Full Perk List'!C$3:C1498,'Full Perk List'!$D$3:$D1498=$D698),"""")"),"#REF!")</f>
        <v>#REF!</v>
      </c>
      <c r="D698" s="2"/>
      <c r="E698" s="2" t="str">
        <f ca="1">IFERROR(__xludf.DUMMYFUNCTION("iferror(filter('Full Perk List'!E$3:E1498,'Full Perk List'!$D$3:$D1498=$D698),"""")"),"#REF!")</f>
        <v>#REF!</v>
      </c>
      <c r="F698" s="2" t="str">
        <f ca="1">IFERROR(__xludf.DUMMYFUNCTION("iferror(filter('Full Perk List'!F$3:F1498,'Full Perk List'!$D$3:$D1498=$D698),"""")"),"#REF!")</f>
        <v>#REF!</v>
      </c>
      <c r="G698" s="2" t="str">
        <f ca="1">IFERROR(__xludf.DUMMYFUNCTION("iferror(filter('Full Perk List'!G$3:G1498,'Full Perk List'!$D$3:$D1498=$D698),"""")"),"#REF!")</f>
        <v>#REF!</v>
      </c>
      <c r="H698" s="1"/>
      <c r="I698" s="2"/>
      <c r="J698" s="2"/>
      <c r="K698" s="2"/>
      <c r="L698" s="2"/>
      <c r="M698" s="2"/>
      <c r="N698" s="2"/>
      <c r="O698" s="2"/>
      <c r="P698" s="2"/>
      <c r="Q698" s="2"/>
      <c r="R698" s="2"/>
      <c r="S698" s="2"/>
      <c r="T698" s="2"/>
      <c r="U698" s="2"/>
      <c r="V698" s="2"/>
      <c r="W698" s="2"/>
      <c r="X698" s="2"/>
      <c r="Y698" s="2"/>
    </row>
    <row r="699" spans="1:25" ht="17.399999999999999" x14ac:dyDescent="0.25">
      <c r="A699" s="1"/>
      <c r="B699" s="40"/>
      <c r="C699" s="2" t="str">
        <f ca="1">IFERROR(__xludf.DUMMYFUNCTION("iferror(filter('Full Perk List'!C$3:C1498,'Full Perk List'!$D$3:$D1498=$D699),"""")"),"#REF!")</f>
        <v>#REF!</v>
      </c>
      <c r="D699" s="2"/>
      <c r="E699" s="2" t="str">
        <f ca="1">IFERROR(__xludf.DUMMYFUNCTION("iferror(filter('Full Perk List'!E$3:E1498,'Full Perk List'!$D$3:$D1498=$D699),"""")"),"#REF!")</f>
        <v>#REF!</v>
      </c>
      <c r="F699" s="2" t="str">
        <f ca="1">IFERROR(__xludf.DUMMYFUNCTION("iferror(filter('Full Perk List'!F$3:F1498,'Full Perk List'!$D$3:$D1498=$D699),"""")"),"#REF!")</f>
        <v>#REF!</v>
      </c>
      <c r="G699" s="2" t="str">
        <f ca="1">IFERROR(__xludf.DUMMYFUNCTION("iferror(filter('Full Perk List'!G$3:G1498,'Full Perk List'!$D$3:$D1498=$D699),"""")"),"#REF!")</f>
        <v>#REF!</v>
      </c>
      <c r="H699" s="1"/>
      <c r="I699" s="2"/>
      <c r="J699" s="2"/>
      <c r="K699" s="2"/>
      <c r="L699" s="2"/>
      <c r="M699" s="2"/>
      <c r="N699" s="2"/>
      <c r="O699" s="2"/>
      <c r="P699" s="2"/>
      <c r="Q699" s="2"/>
      <c r="R699" s="2"/>
      <c r="S699" s="2"/>
      <c r="T699" s="2"/>
      <c r="U699" s="2"/>
      <c r="V699" s="2"/>
      <c r="W699" s="2"/>
      <c r="X699" s="2"/>
      <c r="Y699" s="2"/>
    </row>
    <row r="700" spans="1:25" ht="17.399999999999999" x14ac:dyDescent="0.25">
      <c r="A700" s="1"/>
      <c r="B700" s="40"/>
      <c r="C700" s="2" t="str">
        <f ca="1">IFERROR(__xludf.DUMMYFUNCTION("iferror(filter('Full Perk List'!C$3:C1498,'Full Perk List'!$D$3:$D1498=$D700),"""")"),"#REF!")</f>
        <v>#REF!</v>
      </c>
      <c r="D700" s="2"/>
      <c r="E700" s="2" t="str">
        <f ca="1">IFERROR(__xludf.DUMMYFUNCTION("iferror(filter('Full Perk List'!E$3:E1498,'Full Perk List'!$D$3:$D1498=$D700),"""")"),"#REF!")</f>
        <v>#REF!</v>
      </c>
      <c r="F700" s="2" t="str">
        <f ca="1">IFERROR(__xludf.DUMMYFUNCTION("iferror(filter('Full Perk List'!F$3:F1498,'Full Perk List'!$D$3:$D1498=$D700),"""")"),"#REF!")</f>
        <v>#REF!</v>
      </c>
      <c r="G700" s="2" t="str">
        <f ca="1">IFERROR(__xludf.DUMMYFUNCTION("iferror(filter('Full Perk List'!G$3:G1498,'Full Perk List'!$D$3:$D1498=$D700),"""")"),"#REF!")</f>
        <v>#REF!</v>
      </c>
      <c r="H700" s="1"/>
      <c r="I700" s="2"/>
      <c r="J700" s="2"/>
      <c r="K700" s="2"/>
      <c r="L700" s="2"/>
      <c r="M700" s="2"/>
      <c r="N700" s="2"/>
      <c r="O700" s="2"/>
      <c r="P700" s="2"/>
      <c r="Q700" s="2"/>
      <c r="R700" s="2"/>
      <c r="S700" s="2"/>
      <c r="T700" s="2"/>
      <c r="U700" s="2"/>
      <c r="V700" s="2"/>
      <c r="W700" s="2"/>
      <c r="X700" s="2"/>
      <c r="Y700" s="2"/>
    </row>
    <row r="701" spans="1:25" ht="17.399999999999999" x14ac:dyDescent="0.25">
      <c r="A701" s="1"/>
      <c r="B701" s="40"/>
      <c r="C701" s="2" t="str">
        <f ca="1">IFERROR(__xludf.DUMMYFUNCTION("iferror(filter('Full Perk List'!C$3:C1498,'Full Perk List'!$D$3:$D1498=$D701),"""")"),"#REF!")</f>
        <v>#REF!</v>
      </c>
      <c r="D701" s="2"/>
      <c r="E701" s="2" t="str">
        <f ca="1">IFERROR(__xludf.DUMMYFUNCTION("iferror(filter('Full Perk List'!E$3:E1498,'Full Perk List'!$D$3:$D1498=$D701),"""")"),"#REF!")</f>
        <v>#REF!</v>
      </c>
      <c r="F701" s="2" t="str">
        <f ca="1">IFERROR(__xludf.DUMMYFUNCTION("iferror(filter('Full Perk List'!F$3:F1498,'Full Perk List'!$D$3:$D1498=$D701),"""")"),"#REF!")</f>
        <v>#REF!</v>
      </c>
      <c r="G701" s="2" t="str">
        <f ca="1">IFERROR(__xludf.DUMMYFUNCTION("iferror(filter('Full Perk List'!G$3:G1498,'Full Perk List'!$D$3:$D1498=$D701),"""")"),"#REF!")</f>
        <v>#REF!</v>
      </c>
      <c r="H701" s="1"/>
      <c r="I701" s="2"/>
      <c r="J701" s="2"/>
      <c r="K701" s="2"/>
      <c r="L701" s="2"/>
      <c r="M701" s="2"/>
      <c r="N701" s="2"/>
      <c r="O701" s="2"/>
      <c r="P701" s="2"/>
      <c r="Q701" s="2"/>
      <c r="R701" s="2"/>
      <c r="S701" s="2"/>
      <c r="T701" s="2"/>
      <c r="U701" s="2"/>
      <c r="V701" s="2"/>
      <c r="W701" s="2"/>
      <c r="X701" s="2"/>
      <c r="Y701" s="2"/>
    </row>
    <row r="702" spans="1:25" ht="17.399999999999999" x14ac:dyDescent="0.25">
      <c r="A702" s="1"/>
      <c r="B702" s="40"/>
      <c r="C702" s="2" t="str">
        <f ca="1">IFERROR(__xludf.DUMMYFUNCTION("iferror(filter('Full Perk List'!C$3:C1498,'Full Perk List'!$D$3:$D1498=$D702),"""")"),"#REF!")</f>
        <v>#REF!</v>
      </c>
      <c r="D702" s="2"/>
      <c r="E702" s="2" t="str">
        <f ca="1">IFERROR(__xludf.DUMMYFUNCTION("iferror(filter('Full Perk List'!E$3:E1498,'Full Perk List'!$D$3:$D1498=$D702),"""")"),"#REF!")</f>
        <v>#REF!</v>
      </c>
      <c r="F702" s="2" t="str">
        <f ca="1">IFERROR(__xludf.DUMMYFUNCTION("iferror(filter('Full Perk List'!F$3:F1498,'Full Perk List'!$D$3:$D1498=$D702),"""")"),"#REF!")</f>
        <v>#REF!</v>
      </c>
      <c r="G702" s="2" t="str">
        <f ca="1">IFERROR(__xludf.DUMMYFUNCTION("iferror(filter('Full Perk List'!G$3:G1498,'Full Perk List'!$D$3:$D1498=$D702),"""")"),"#REF!")</f>
        <v>#REF!</v>
      </c>
      <c r="H702" s="1"/>
      <c r="I702" s="2"/>
      <c r="J702" s="2"/>
      <c r="K702" s="2"/>
      <c r="L702" s="2"/>
      <c r="M702" s="2"/>
      <c r="N702" s="2"/>
      <c r="O702" s="2"/>
      <c r="P702" s="2"/>
      <c r="Q702" s="2"/>
      <c r="R702" s="2"/>
      <c r="S702" s="2"/>
      <c r="T702" s="2"/>
      <c r="U702" s="2"/>
      <c r="V702" s="2"/>
      <c r="W702" s="2"/>
      <c r="X702" s="2"/>
      <c r="Y702" s="2"/>
    </row>
    <row r="703" spans="1:25" ht="17.399999999999999" x14ac:dyDescent="0.25">
      <c r="A703" s="1"/>
      <c r="B703" s="40"/>
      <c r="C703" s="2" t="str">
        <f ca="1">IFERROR(__xludf.DUMMYFUNCTION("iferror(filter('Full Perk List'!C$3:C1498,'Full Perk List'!$D$3:$D1498=$D703),"""")"),"#REF!")</f>
        <v>#REF!</v>
      </c>
      <c r="D703" s="2"/>
      <c r="E703" s="2" t="str">
        <f ca="1">IFERROR(__xludf.DUMMYFUNCTION("iferror(filter('Full Perk List'!E$3:E1498,'Full Perk List'!$D$3:$D1498=$D703),"""")"),"#REF!")</f>
        <v>#REF!</v>
      </c>
      <c r="F703" s="2" t="str">
        <f ca="1">IFERROR(__xludf.DUMMYFUNCTION("iferror(filter('Full Perk List'!F$3:F1498,'Full Perk List'!$D$3:$D1498=$D703),"""")"),"#REF!")</f>
        <v>#REF!</v>
      </c>
      <c r="G703" s="2" t="str">
        <f ca="1">IFERROR(__xludf.DUMMYFUNCTION("iferror(filter('Full Perk List'!G$3:G1498,'Full Perk List'!$D$3:$D1498=$D703),"""")"),"#REF!")</f>
        <v>#REF!</v>
      </c>
      <c r="H703" s="1"/>
      <c r="I703" s="2"/>
      <c r="J703" s="2"/>
      <c r="K703" s="2"/>
      <c r="L703" s="2"/>
      <c r="M703" s="2"/>
      <c r="N703" s="2"/>
      <c r="O703" s="2"/>
      <c r="P703" s="2"/>
      <c r="Q703" s="2"/>
      <c r="R703" s="2"/>
      <c r="S703" s="2"/>
      <c r="T703" s="2"/>
      <c r="U703" s="2"/>
      <c r="V703" s="2"/>
      <c r="W703" s="2"/>
      <c r="X703" s="2"/>
      <c r="Y703" s="2"/>
    </row>
    <row r="704" spans="1:25" ht="17.399999999999999" x14ac:dyDescent="0.25">
      <c r="A704" s="1"/>
      <c r="B704" s="40"/>
      <c r="C704" s="2" t="str">
        <f ca="1">IFERROR(__xludf.DUMMYFUNCTION("iferror(filter('Full Perk List'!C$3:C1498,'Full Perk List'!$D$3:$D1498=$D704),"""")"),"#REF!")</f>
        <v>#REF!</v>
      </c>
      <c r="D704" s="2"/>
      <c r="E704" s="2" t="str">
        <f ca="1">IFERROR(__xludf.DUMMYFUNCTION("iferror(filter('Full Perk List'!E$3:E1498,'Full Perk List'!$D$3:$D1498=$D704),"""")"),"#REF!")</f>
        <v>#REF!</v>
      </c>
      <c r="F704" s="2" t="str">
        <f ca="1">IFERROR(__xludf.DUMMYFUNCTION("iferror(filter('Full Perk List'!F$3:F1498,'Full Perk List'!$D$3:$D1498=$D704),"""")"),"#REF!")</f>
        <v>#REF!</v>
      </c>
      <c r="G704" s="2" t="str">
        <f ca="1">IFERROR(__xludf.DUMMYFUNCTION("iferror(filter('Full Perk List'!G$3:G1498,'Full Perk List'!$D$3:$D1498=$D704),"""")"),"#REF!")</f>
        <v>#REF!</v>
      </c>
      <c r="H704" s="1"/>
      <c r="I704" s="2"/>
      <c r="J704" s="2"/>
      <c r="K704" s="2"/>
      <c r="L704" s="2"/>
      <c r="M704" s="2"/>
      <c r="N704" s="2"/>
      <c r="O704" s="2"/>
      <c r="P704" s="2"/>
      <c r="Q704" s="2"/>
      <c r="R704" s="2"/>
      <c r="S704" s="2"/>
      <c r="T704" s="2"/>
      <c r="U704" s="2"/>
      <c r="V704" s="2"/>
      <c r="W704" s="2"/>
      <c r="X704" s="2"/>
      <c r="Y704" s="2"/>
    </row>
    <row r="705" spans="1:25" ht="17.399999999999999" x14ac:dyDescent="0.25">
      <c r="A705" s="1"/>
      <c r="B705" s="40"/>
      <c r="C705" s="2" t="str">
        <f ca="1">IFERROR(__xludf.DUMMYFUNCTION("iferror(filter('Full Perk List'!C$3:C1498,'Full Perk List'!$D$3:$D1498=$D705),"""")"),"#REF!")</f>
        <v>#REF!</v>
      </c>
      <c r="D705" s="2"/>
      <c r="E705" s="2" t="str">
        <f ca="1">IFERROR(__xludf.DUMMYFUNCTION("iferror(filter('Full Perk List'!E$3:E1498,'Full Perk List'!$D$3:$D1498=$D705),"""")"),"#REF!")</f>
        <v>#REF!</v>
      </c>
      <c r="F705" s="2" t="str">
        <f ca="1">IFERROR(__xludf.DUMMYFUNCTION("iferror(filter('Full Perk List'!F$3:F1498,'Full Perk List'!$D$3:$D1498=$D705),"""")"),"#REF!")</f>
        <v>#REF!</v>
      </c>
      <c r="G705" s="2" t="str">
        <f ca="1">IFERROR(__xludf.DUMMYFUNCTION("iferror(filter('Full Perk List'!G$3:G1498,'Full Perk List'!$D$3:$D1498=$D705),"""")"),"#REF!")</f>
        <v>#REF!</v>
      </c>
      <c r="H705" s="1"/>
      <c r="I705" s="2"/>
      <c r="J705" s="2"/>
      <c r="K705" s="2"/>
      <c r="L705" s="2"/>
      <c r="M705" s="2"/>
      <c r="N705" s="2"/>
      <c r="O705" s="2"/>
      <c r="P705" s="2"/>
      <c r="Q705" s="2"/>
      <c r="R705" s="2"/>
      <c r="S705" s="2"/>
      <c r="T705" s="2"/>
      <c r="U705" s="2"/>
      <c r="V705" s="2"/>
      <c r="W705" s="2"/>
      <c r="X705" s="2"/>
      <c r="Y705" s="2"/>
    </row>
    <row r="706" spans="1:25" ht="17.399999999999999" x14ac:dyDescent="0.25">
      <c r="A706" s="1"/>
      <c r="B706" s="40"/>
      <c r="C706" s="2" t="str">
        <f ca="1">IFERROR(__xludf.DUMMYFUNCTION("iferror(filter('Full Perk List'!C$3:C1498,'Full Perk List'!$D$3:$D1498=$D706),"""")"),"#REF!")</f>
        <v>#REF!</v>
      </c>
      <c r="D706" s="2"/>
      <c r="E706" s="2" t="str">
        <f ca="1">IFERROR(__xludf.DUMMYFUNCTION("iferror(filter('Full Perk List'!E$3:E1498,'Full Perk List'!$D$3:$D1498=$D706),"""")"),"#REF!")</f>
        <v>#REF!</v>
      </c>
      <c r="F706" s="2" t="str">
        <f ca="1">IFERROR(__xludf.DUMMYFUNCTION("iferror(filter('Full Perk List'!F$3:F1498,'Full Perk List'!$D$3:$D1498=$D706),"""")"),"#REF!")</f>
        <v>#REF!</v>
      </c>
      <c r="G706" s="2" t="str">
        <f ca="1">IFERROR(__xludf.DUMMYFUNCTION("iferror(filter('Full Perk List'!G$3:G1498,'Full Perk List'!$D$3:$D1498=$D706),"""")"),"#REF!")</f>
        <v>#REF!</v>
      </c>
      <c r="H706" s="1"/>
      <c r="I706" s="2"/>
      <c r="J706" s="2"/>
      <c r="K706" s="2"/>
      <c r="L706" s="2"/>
      <c r="M706" s="2"/>
      <c r="N706" s="2"/>
      <c r="O706" s="2"/>
      <c r="P706" s="2"/>
      <c r="Q706" s="2"/>
      <c r="R706" s="2"/>
      <c r="S706" s="2"/>
      <c r="T706" s="2"/>
      <c r="U706" s="2"/>
      <c r="V706" s="2"/>
      <c r="W706" s="2"/>
      <c r="X706" s="2"/>
      <c r="Y706" s="2"/>
    </row>
    <row r="707" spans="1:25" ht="17.399999999999999" x14ac:dyDescent="0.25">
      <c r="A707" s="1"/>
      <c r="B707" s="40"/>
      <c r="C707" s="2" t="str">
        <f ca="1">IFERROR(__xludf.DUMMYFUNCTION("iferror(filter('Full Perk List'!C$3:C1498,'Full Perk List'!$D$3:$D1498=$D707),"""")"),"#REF!")</f>
        <v>#REF!</v>
      </c>
      <c r="D707" s="2"/>
      <c r="E707" s="2" t="str">
        <f ca="1">IFERROR(__xludf.DUMMYFUNCTION("iferror(filter('Full Perk List'!E$3:E1498,'Full Perk List'!$D$3:$D1498=$D707),"""")"),"#REF!")</f>
        <v>#REF!</v>
      </c>
      <c r="F707" s="2" t="str">
        <f ca="1">IFERROR(__xludf.DUMMYFUNCTION("iferror(filter('Full Perk List'!F$3:F1498,'Full Perk List'!$D$3:$D1498=$D707),"""")"),"#REF!")</f>
        <v>#REF!</v>
      </c>
      <c r="G707" s="2" t="str">
        <f ca="1">IFERROR(__xludf.DUMMYFUNCTION("iferror(filter('Full Perk List'!G$3:G1498,'Full Perk List'!$D$3:$D1498=$D707),"""")"),"#REF!")</f>
        <v>#REF!</v>
      </c>
      <c r="H707" s="1"/>
      <c r="I707" s="2"/>
      <c r="J707" s="2"/>
      <c r="K707" s="2"/>
      <c r="L707" s="2"/>
      <c r="M707" s="2"/>
      <c r="N707" s="2"/>
      <c r="O707" s="2"/>
      <c r="P707" s="2"/>
      <c r="Q707" s="2"/>
      <c r="R707" s="2"/>
      <c r="S707" s="2"/>
      <c r="T707" s="2"/>
      <c r="U707" s="2"/>
      <c r="V707" s="2"/>
      <c r="W707" s="2"/>
      <c r="X707" s="2"/>
      <c r="Y707" s="2"/>
    </row>
    <row r="708" spans="1:25" ht="17.399999999999999" x14ac:dyDescent="0.25">
      <c r="A708" s="1"/>
      <c r="B708" s="40"/>
      <c r="C708" s="2" t="str">
        <f ca="1">IFERROR(__xludf.DUMMYFUNCTION("iferror(filter('Full Perk List'!C$3:C1498,'Full Perk List'!$D$3:$D1498=$D708),"""")"),"#REF!")</f>
        <v>#REF!</v>
      </c>
      <c r="D708" s="2"/>
      <c r="E708" s="2" t="str">
        <f ca="1">IFERROR(__xludf.DUMMYFUNCTION("iferror(filter('Full Perk List'!E$3:E1498,'Full Perk List'!$D$3:$D1498=$D708),"""")"),"#REF!")</f>
        <v>#REF!</v>
      </c>
      <c r="F708" s="2" t="str">
        <f ca="1">IFERROR(__xludf.DUMMYFUNCTION("iferror(filter('Full Perk List'!F$3:F1498,'Full Perk List'!$D$3:$D1498=$D708),"""")"),"#REF!")</f>
        <v>#REF!</v>
      </c>
      <c r="G708" s="2" t="str">
        <f ca="1">IFERROR(__xludf.DUMMYFUNCTION("iferror(filter('Full Perk List'!G$3:G1498,'Full Perk List'!$D$3:$D1498=$D708),"""")"),"#REF!")</f>
        <v>#REF!</v>
      </c>
      <c r="H708" s="1"/>
      <c r="I708" s="2"/>
      <c r="J708" s="2"/>
      <c r="K708" s="2"/>
      <c r="L708" s="2"/>
      <c r="M708" s="2"/>
      <c r="N708" s="2"/>
      <c r="O708" s="2"/>
      <c r="P708" s="2"/>
      <c r="Q708" s="2"/>
      <c r="R708" s="2"/>
      <c r="S708" s="2"/>
      <c r="T708" s="2"/>
      <c r="U708" s="2"/>
      <c r="V708" s="2"/>
      <c r="W708" s="2"/>
      <c r="X708" s="2"/>
      <c r="Y708" s="2"/>
    </row>
    <row r="709" spans="1:25" ht="17.399999999999999" x14ac:dyDescent="0.25">
      <c r="A709" s="1"/>
      <c r="B709" s="40"/>
      <c r="C709" s="2" t="str">
        <f ca="1">IFERROR(__xludf.DUMMYFUNCTION("iferror(filter('Full Perk List'!C$3:C1498,'Full Perk List'!$D$3:$D1498=$D709),"""")"),"#REF!")</f>
        <v>#REF!</v>
      </c>
      <c r="D709" s="2"/>
      <c r="E709" s="2" t="str">
        <f ca="1">IFERROR(__xludf.DUMMYFUNCTION("iferror(filter('Full Perk List'!E$3:E1498,'Full Perk List'!$D$3:$D1498=$D709),"""")"),"#REF!")</f>
        <v>#REF!</v>
      </c>
      <c r="F709" s="2" t="str">
        <f ca="1">IFERROR(__xludf.DUMMYFUNCTION("iferror(filter('Full Perk List'!F$3:F1498,'Full Perk List'!$D$3:$D1498=$D709),"""")"),"#REF!")</f>
        <v>#REF!</v>
      </c>
      <c r="G709" s="2" t="str">
        <f ca="1">IFERROR(__xludf.DUMMYFUNCTION("iferror(filter('Full Perk List'!G$3:G1498,'Full Perk List'!$D$3:$D1498=$D709),"""")"),"#REF!")</f>
        <v>#REF!</v>
      </c>
      <c r="H709" s="1"/>
      <c r="I709" s="2"/>
      <c r="J709" s="2"/>
      <c r="K709" s="2"/>
      <c r="L709" s="2"/>
      <c r="M709" s="2"/>
      <c r="N709" s="2"/>
      <c r="O709" s="2"/>
      <c r="P709" s="2"/>
      <c r="Q709" s="2"/>
      <c r="R709" s="2"/>
      <c r="S709" s="2"/>
      <c r="T709" s="2"/>
      <c r="U709" s="2"/>
      <c r="V709" s="2"/>
      <c r="W709" s="2"/>
      <c r="X709" s="2"/>
      <c r="Y709" s="2"/>
    </row>
    <row r="710" spans="1:25" ht="17.399999999999999" x14ac:dyDescent="0.25">
      <c r="A710" s="1"/>
      <c r="B710" s="40"/>
      <c r="C710" s="2" t="str">
        <f ca="1">IFERROR(__xludf.DUMMYFUNCTION("iferror(filter('Full Perk List'!C$3:C1498,'Full Perk List'!$D$3:$D1498=$D710),"""")"),"#REF!")</f>
        <v>#REF!</v>
      </c>
      <c r="D710" s="2"/>
      <c r="E710" s="2" t="str">
        <f ca="1">IFERROR(__xludf.DUMMYFUNCTION("iferror(filter('Full Perk List'!E$3:E1498,'Full Perk List'!$D$3:$D1498=$D710),"""")"),"#REF!")</f>
        <v>#REF!</v>
      </c>
      <c r="F710" s="2" t="str">
        <f ca="1">IFERROR(__xludf.DUMMYFUNCTION("iferror(filter('Full Perk List'!F$3:F1498,'Full Perk List'!$D$3:$D1498=$D710),"""")"),"#REF!")</f>
        <v>#REF!</v>
      </c>
      <c r="G710" s="2" t="str">
        <f ca="1">IFERROR(__xludf.DUMMYFUNCTION("iferror(filter('Full Perk List'!G$3:G1498,'Full Perk List'!$D$3:$D1498=$D710),"""")"),"#REF!")</f>
        <v>#REF!</v>
      </c>
      <c r="H710" s="1"/>
      <c r="I710" s="2"/>
      <c r="J710" s="2"/>
      <c r="K710" s="2"/>
      <c r="L710" s="2"/>
      <c r="M710" s="2"/>
      <c r="N710" s="2"/>
      <c r="O710" s="2"/>
      <c r="P710" s="2"/>
      <c r="Q710" s="2"/>
      <c r="R710" s="2"/>
      <c r="S710" s="2"/>
      <c r="T710" s="2"/>
      <c r="U710" s="2"/>
      <c r="V710" s="2"/>
      <c r="W710" s="2"/>
      <c r="X710" s="2"/>
      <c r="Y710" s="2"/>
    </row>
    <row r="711" spans="1:25" ht="17.399999999999999" x14ac:dyDescent="0.25">
      <c r="A711" s="1"/>
      <c r="B711" s="40"/>
      <c r="C711" s="2" t="str">
        <f ca="1">IFERROR(__xludf.DUMMYFUNCTION("iferror(filter('Full Perk List'!C$3:C1498,'Full Perk List'!$D$3:$D1498=$D711),"""")"),"#REF!")</f>
        <v>#REF!</v>
      </c>
      <c r="D711" s="2"/>
      <c r="E711" s="2" t="str">
        <f ca="1">IFERROR(__xludf.DUMMYFUNCTION("iferror(filter('Full Perk List'!E$3:E1498,'Full Perk List'!$D$3:$D1498=$D711),"""")"),"#REF!")</f>
        <v>#REF!</v>
      </c>
      <c r="F711" s="2" t="str">
        <f ca="1">IFERROR(__xludf.DUMMYFUNCTION("iferror(filter('Full Perk List'!F$3:F1498,'Full Perk List'!$D$3:$D1498=$D711),"""")"),"#REF!")</f>
        <v>#REF!</v>
      </c>
      <c r="G711" s="2" t="str">
        <f ca="1">IFERROR(__xludf.DUMMYFUNCTION("iferror(filter('Full Perk List'!G$3:G1498,'Full Perk List'!$D$3:$D1498=$D711),"""")"),"#REF!")</f>
        <v>#REF!</v>
      </c>
      <c r="H711" s="1"/>
      <c r="I711" s="2"/>
      <c r="J711" s="2"/>
      <c r="K711" s="2"/>
      <c r="L711" s="2"/>
      <c r="M711" s="2"/>
      <c r="N711" s="2"/>
      <c r="O711" s="2"/>
      <c r="P711" s="2"/>
      <c r="Q711" s="2"/>
      <c r="R711" s="2"/>
      <c r="S711" s="2"/>
      <c r="T711" s="2"/>
      <c r="U711" s="2"/>
      <c r="V711" s="2"/>
      <c r="W711" s="2"/>
      <c r="X711" s="2"/>
      <c r="Y711" s="2"/>
    </row>
    <row r="712" spans="1:25" ht="17.399999999999999" x14ac:dyDescent="0.25">
      <c r="A712" s="1"/>
      <c r="B712" s="40"/>
      <c r="C712" s="2" t="str">
        <f ca="1">IFERROR(__xludf.DUMMYFUNCTION("iferror(filter('Full Perk List'!C$3:C1498,'Full Perk List'!$D$3:$D1498=$D712),"""")"),"#REF!")</f>
        <v>#REF!</v>
      </c>
      <c r="D712" s="2"/>
      <c r="E712" s="2" t="str">
        <f ca="1">IFERROR(__xludf.DUMMYFUNCTION("iferror(filter('Full Perk List'!E$3:E1498,'Full Perk List'!$D$3:$D1498=$D712),"""")"),"#REF!")</f>
        <v>#REF!</v>
      </c>
      <c r="F712" s="2" t="str">
        <f ca="1">IFERROR(__xludf.DUMMYFUNCTION("iferror(filter('Full Perk List'!F$3:F1498,'Full Perk List'!$D$3:$D1498=$D712),"""")"),"#REF!")</f>
        <v>#REF!</v>
      </c>
      <c r="G712" s="2" t="str">
        <f ca="1">IFERROR(__xludf.DUMMYFUNCTION("iferror(filter('Full Perk List'!G$3:G1498,'Full Perk List'!$D$3:$D1498=$D712),"""")"),"#REF!")</f>
        <v>#REF!</v>
      </c>
      <c r="H712" s="1"/>
      <c r="I712" s="2"/>
      <c r="J712" s="2"/>
      <c r="K712" s="2"/>
      <c r="L712" s="2"/>
      <c r="M712" s="2"/>
      <c r="N712" s="2"/>
      <c r="O712" s="2"/>
      <c r="P712" s="2"/>
      <c r="Q712" s="2"/>
      <c r="R712" s="2"/>
      <c r="S712" s="2"/>
      <c r="T712" s="2"/>
      <c r="U712" s="2"/>
      <c r="V712" s="2"/>
      <c r="W712" s="2"/>
      <c r="X712" s="2"/>
      <c r="Y712" s="2"/>
    </row>
    <row r="713" spans="1:25" ht="17.399999999999999" x14ac:dyDescent="0.25">
      <c r="A713" s="1"/>
      <c r="B713" s="40"/>
      <c r="C713" s="2" t="str">
        <f ca="1">IFERROR(__xludf.DUMMYFUNCTION("iferror(filter('Full Perk List'!C$3:C1498,'Full Perk List'!$D$3:$D1498=$D713),"""")"),"#REF!")</f>
        <v>#REF!</v>
      </c>
      <c r="D713" s="2"/>
      <c r="E713" s="2" t="str">
        <f ca="1">IFERROR(__xludf.DUMMYFUNCTION("iferror(filter('Full Perk List'!E$3:E1498,'Full Perk List'!$D$3:$D1498=$D713),"""")"),"#REF!")</f>
        <v>#REF!</v>
      </c>
      <c r="F713" s="2" t="str">
        <f ca="1">IFERROR(__xludf.DUMMYFUNCTION("iferror(filter('Full Perk List'!F$3:F1498,'Full Perk List'!$D$3:$D1498=$D713),"""")"),"#REF!")</f>
        <v>#REF!</v>
      </c>
      <c r="G713" s="2" t="str">
        <f ca="1">IFERROR(__xludf.DUMMYFUNCTION("iferror(filter('Full Perk List'!G$3:G1498,'Full Perk List'!$D$3:$D1498=$D713),"""")"),"#REF!")</f>
        <v>#REF!</v>
      </c>
      <c r="H713" s="1"/>
      <c r="I713" s="2"/>
      <c r="J713" s="2"/>
      <c r="K713" s="2"/>
      <c r="L713" s="2"/>
      <c r="M713" s="2"/>
      <c r="N713" s="2"/>
      <c r="O713" s="2"/>
      <c r="P713" s="2"/>
      <c r="Q713" s="2"/>
      <c r="R713" s="2"/>
      <c r="S713" s="2"/>
      <c r="T713" s="2"/>
      <c r="U713" s="2"/>
      <c r="V713" s="2"/>
      <c r="W713" s="2"/>
      <c r="X713" s="2"/>
      <c r="Y713" s="2"/>
    </row>
    <row r="714" spans="1:25" ht="17.399999999999999" x14ac:dyDescent="0.25">
      <c r="A714" s="1"/>
      <c r="B714" s="40"/>
      <c r="C714" s="2" t="str">
        <f ca="1">IFERROR(__xludf.DUMMYFUNCTION("iferror(filter('Full Perk List'!C$3:C1498,'Full Perk List'!$D$3:$D1498=$D714),"""")"),"#REF!")</f>
        <v>#REF!</v>
      </c>
      <c r="D714" s="2"/>
      <c r="E714" s="2" t="str">
        <f ca="1">IFERROR(__xludf.DUMMYFUNCTION("iferror(filter('Full Perk List'!E$3:E1498,'Full Perk List'!$D$3:$D1498=$D714),"""")"),"#REF!")</f>
        <v>#REF!</v>
      </c>
      <c r="F714" s="2" t="str">
        <f ca="1">IFERROR(__xludf.DUMMYFUNCTION("iferror(filter('Full Perk List'!F$3:F1498,'Full Perk List'!$D$3:$D1498=$D714),"""")"),"#REF!")</f>
        <v>#REF!</v>
      </c>
      <c r="G714" s="2" t="str">
        <f ca="1">IFERROR(__xludf.DUMMYFUNCTION("iferror(filter('Full Perk List'!G$3:G1498,'Full Perk List'!$D$3:$D1498=$D714),"""")"),"#REF!")</f>
        <v>#REF!</v>
      </c>
      <c r="H714" s="1"/>
      <c r="I714" s="2"/>
      <c r="J714" s="2"/>
      <c r="K714" s="2"/>
      <c r="L714" s="2"/>
      <c r="M714" s="2"/>
      <c r="N714" s="2"/>
      <c r="O714" s="2"/>
      <c r="P714" s="2"/>
      <c r="Q714" s="2"/>
      <c r="R714" s="2"/>
      <c r="S714" s="2"/>
      <c r="T714" s="2"/>
      <c r="U714" s="2"/>
      <c r="V714" s="2"/>
      <c r="W714" s="2"/>
      <c r="X714" s="2"/>
      <c r="Y714" s="2"/>
    </row>
    <row r="715" spans="1:25" ht="17.399999999999999" x14ac:dyDescent="0.25">
      <c r="A715" s="1"/>
      <c r="B715" s="40"/>
      <c r="C715" s="2" t="str">
        <f ca="1">IFERROR(__xludf.DUMMYFUNCTION("iferror(filter('Full Perk List'!C$3:C1498,'Full Perk List'!$D$3:$D1498=$D715),"""")"),"#REF!")</f>
        <v>#REF!</v>
      </c>
      <c r="D715" s="2"/>
      <c r="E715" s="2" t="str">
        <f ca="1">IFERROR(__xludf.DUMMYFUNCTION("iferror(filter('Full Perk List'!E$3:E1498,'Full Perk List'!$D$3:$D1498=$D715),"""")"),"#REF!")</f>
        <v>#REF!</v>
      </c>
      <c r="F715" s="2" t="str">
        <f ca="1">IFERROR(__xludf.DUMMYFUNCTION("iferror(filter('Full Perk List'!F$3:F1498,'Full Perk List'!$D$3:$D1498=$D715),"""")"),"#REF!")</f>
        <v>#REF!</v>
      </c>
      <c r="G715" s="2" t="str">
        <f ca="1">IFERROR(__xludf.DUMMYFUNCTION("iferror(filter('Full Perk List'!G$3:G1498,'Full Perk List'!$D$3:$D1498=$D715),"""")"),"#REF!")</f>
        <v>#REF!</v>
      </c>
      <c r="H715" s="1"/>
      <c r="I715" s="2"/>
      <c r="J715" s="2"/>
      <c r="K715" s="2"/>
      <c r="L715" s="2"/>
      <c r="M715" s="2"/>
      <c r="N715" s="2"/>
      <c r="O715" s="2"/>
      <c r="P715" s="2"/>
      <c r="Q715" s="2"/>
      <c r="R715" s="2"/>
      <c r="S715" s="2"/>
      <c r="T715" s="2"/>
      <c r="U715" s="2"/>
      <c r="V715" s="2"/>
      <c r="W715" s="2"/>
      <c r="X715" s="2"/>
      <c r="Y715" s="2"/>
    </row>
    <row r="716" spans="1:25" ht="17.399999999999999" x14ac:dyDescent="0.25">
      <c r="A716" s="1"/>
      <c r="B716" s="40"/>
      <c r="C716" s="2" t="str">
        <f ca="1">IFERROR(__xludf.DUMMYFUNCTION("iferror(filter('Full Perk List'!C$3:C1498,'Full Perk List'!$D$3:$D1498=$D716),"""")"),"#REF!")</f>
        <v>#REF!</v>
      </c>
      <c r="D716" s="2"/>
      <c r="E716" s="2" t="str">
        <f ca="1">IFERROR(__xludf.DUMMYFUNCTION("iferror(filter('Full Perk List'!E$3:E1498,'Full Perk List'!$D$3:$D1498=$D716),"""")"),"#REF!")</f>
        <v>#REF!</v>
      </c>
      <c r="F716" s="2" t="str">
        <f ca="1">IFERROR(__xludf.DUMMYFUNCTION("iferror(filter('Full Perk List'!F$3:F1498,'Full Perk List'!$D$3:$D1498=$D716),"""")"),"#REF!")</f>
        <v>#REF!</v>
      </c>
      <c r="G716" s="2" t="str">
        <f ca="1">IFERROR(__xludf.DUMMYFUNCTION("iferror(filter('Full Perk List'!G$3:G1498,'Full Perk List'!$D$3:$D1498=$D716),"""")"),"#REF!")</f>
        <v>#REF!</v>
      </c>
      <c r="H716" s="1"/>
      <c r="I716" s="2"/>
      <c r="J716" s="2"/>
      <c r="K716" s="2"/>
      <c r="L716" s="2"/>
      <c r="M716" s="2"/>
      <c r="N716" s="2"/>
      <c r="O716" s="2"/>
      <c r="P716" s="2"/>
      <c r="Q716" s="2"/>
      <c r="R716" s="2"/>
      <c r="S716" s="2"/>
      <c r="T716" s="2"/>
      <c r="U716" s="2"/>
      <c r="V716" s="2"/>
      <c r="W716" s="2"/>
      <c r="X716" s="2"/>
      <c r="Y716" s="2"/>
    </row>
    <row r="717" spans="1:25" ht="17.399999999999999" x14ac:dyDescent="0.25">
      <c r="A717" s="1"/>
      <c r="B717" s="40"/>
      <c r="C717" s="2" t="str">
        <f ca="1">IFERROR(__xludf.DUMMYFUNCTION("iferror(filter('Full Perk List'!C$3:C1498,'Full Perk List'!$D$3:$D1498=$D717),"""")"),"#REF!")</f>
        <v>#REF!</v>
      </c>
      <c r="D717" s="2"/>
      <c r="E717" s="2" t="str">
        <f ca="1">IFERROR(__xludf.DUMMYFUNCTION("iferror(filter('Full Perk List'!E$3:E1498,'Full Perk List'!$D$3:$D1498=$D717),"""")"),"#REF!")</f>
        <v>#REF!</v>
      </c>
      <c r="F717" s="2" t="str">
        <f ca="1">IFERROR(__xludf.DUMMYFUNCTION("iferror(filter('Full Perk List'!F$3:F1498,'Full Perk List'!$D$3:$D1498=$D717),"""")"),"#REF!")</f>
        <v>#REF!</v>
      </c>
      <c r="G717" s="2" t="str">
        <f ca="1">IFERROR(__xludf.DUMMYFUNCTION("iferror(filter('Full Perk List'!G$3:G1498,'Full Perk List'!$D$3:$D1498=$D717),"""")"),"#REF!")</f>
        <v>#REF!</v>
      </c>
      <c r="H717" s="1"/>
      <c r="I717" s="2"/>
      <c r="J717" s="2"/>
      <c r="K717" s="2"/>
      <c r="L717" s="2"/>
      <c r="M717" s="2"/>
      <c r="N717" s="2"/>
      <c r="O717" s="2"/>
      <c r="P717" s="2"/>
      <c r="Q717" s="2"/>
      <c r="R717" s="2"/>
      <c r="S717" s="2"/>
      <c r="T717" s="2"/>
      <c r="U717" s="2"/>
      <c r="V717" s="2"/>
      <c r="W717" s="2"/>
      <c r="X717" s="2"/>
      <c r="Y717" s="2"/>
    </row>
    <row r="718" spans="1:25" ht="17.399999999999999" x14ac:dyDescent="0.25">
      <c r="A718" s="1"/>
      <c r="B718" s="40"/>
      <c r="C718" s="2" t="str">
        <f ca="1">IFERROR(__xludf.DUMMYFUNCTION("iferror(filter('Full Perk List'!C$3:C1498,'Full Perk List'!$D$3:$D1498=$D718),"""")"),"#REF!")</f>
        <v>#REF!</v>
      </c>
      <c r="D718" s="2"/>
      <c r="E718" s="2" t="str">
        <f ca="1">IFERROR(__xludf.DUMMYFUNCTION("iferror(filter('Full Perk List'!E$3:E1498,'Full Perk List'!$D$3:$D1498=$D718),"""")"),"#REF!")</f>
        <v>#REF!</v>
      </c>
      <c r="F718" s="2" t="str">
        <f ca="1">IFERROR(__xludf.DUMMYFUNCTION("iferror(filter('Full Perk List'!F$3:F1498,'Full Perk List'!$D$3:$D1498=$D718),"""")"),"#REF!")</f>
        <v>#REF!</v>
      </c>
      <c r="G718" s="2" t="str">
        <f ca="1">IFERROR(__xludf.DUMMYFUNCTION("iferror(filter('Full Perk List'!G$3:G1498,'Full Perk List'!$D$3:$D1498=$D718),"""")"),"#REF!")</f>
        <v>#REF!</v>
      </c>
      <c r="H718" s="1"/>
      <c r="I718" s="2"/>
      <c r="J718" s="2"/>
      <c r="K718" s="2"/>
      <c r="L718" s="2"/>
      <c r="M718" s="2"/>
      <c r="N718" s="2"/>
      <c r="O718" s="2"/>
      <c r="P718" s="2"/>
      <c r="Q718" s="2"/>
      <c r="R718" s="2"/>
      <c r="S718" s="2"/>
      <c r="T718" s="2"/>
      <c r="U718" s="2"/>
      <c r="V718" s="2"/>
      <c r="W718" s="2"/>
      <c r="X718" s="2"/>
      <c r="Y718" s="2"/>
    </row>
    <row r="719" spans="1:25" ht="17.399999999999999" x14ac:dyDescent="0.25">
      <c r="A719" s="1"/>
      <c r="B719" s="40"/>
      <c r="C719" s="2" t="str">
        <f ca="1">IFERROR(__xludf.DUMMYFUNCTION("iferror(filter('Full Perk List'!C$3:C1498,'Full Perk List'!$D$3:$D1498=$D719),"""")"),"#REF!")</f>
        <v>#REF!</v>
      </c>
      <c r="D719" s="2"/>
      <c r="E719" s="2" t="str">
        <f ca="1">IFERROR(__xludf.DUMMYFUNCTION("iferror(filter('Full Perk List'!E$3:E1498,'Full Perk List'!$D$3:$D1498=$D719),"""")"),"#REF!")</f>
        <v>#REF!</v>
      </c>
      <c r="F719" s="2" t="str">
        <f ca="1">IFERROR(__xludf.DUMMYFUNCTION("iferror(filter('Full Perk List'!F$3:F1498,'Full Perk List'!$D$3:$D1498=$D719),"""")"),"#REF!")</f>
        <v>#REF!</v>
      </c>
      <c r="G719" s="2" t="str">
        <f ca="1">IFERROR(__xludf.DUMMYFUNCTION("iferror(filter('Full Perk List'!G$3:G1498,'Full Perk List'!$D$3:$D1498=$D719),"""")"),"#REF!")</f>
        <v>#REF!</v>
      </c>
      <c r="H719" s="1"/>
      <c r="I719" s="2"/>
      <c r="J719" s="2"/>
      <c r="K719" s="2"/>
      <c r="L719" s="2"/>
      <c r="M719" s="2"/>
      <c r="N719" s="2"/>
      <c r="O719" s="2"/>
      <c r="P719" s="2"/>
      <c r="Q719" s="2"/>
      <c r="R719" s="2"/>
      <c r="S719" s="2"/>
      <c r="T719" s="2"/>
      <c r="U719" s="2"/>
      <c r="V719" s="2"/>
      <c r="W719" s="2"/>
      <c r="X719" s="2"/>
      <c r="Y719" s="2"/>
    </row>
    <row r="720" spans="1:25" ht="17.399999999999999" x14ac:dyDescent="0.25">
      <c r="A720" s="1"/>
      <c r="B720" s="40"/>
      <c r="C720" s="2" t="str">
        <f ca="1">IFERROR(__xludf.DUMMYFUNCTION("iferror(filter('Full Perk List'!C$3:C1498,'Full Perk List'!$D$3:$D1498=$D720),"""")"),"#REF!")</f>
        <v>#REF!</v>
      </c>
      <c r="D720" s="2"/>
      <c r="E720" s="2" t="str">
        <f ca="1">IFERROR(__xludf.DUMMYFUNCTION("iferror(filter('Full Perk List'!E$3:E1498,'Full Perk List'!$D$3:$D1498=$D720),"""")"),"#REF!")</f>
        <v>#REF!</v>
      </c>
      <c r="F720" s="2" t="str">
        <f ca="1">IFERROR(__xludf.DUMMYFUNCTION("iferror(filter('Full Perk List'!F$3:F1498,'Full Perk List'!$D$3:$D1498=$D720),"""")"),"#REF!")</f>
        <v>#REF!</v>
      </c>
      <c r="G720" s="2" t="str">
        <f ca="1">IFERROR(__xludf.DUMMYFUNCTION("iferror(filter('Full Perk List'!G$3:G1498,'Full Perk List'!$D$3:$D1498=$D720),"""")"),"#REF!")</f>
        <v>#REF!</v>
      </c>
      <c r="H720" s="1"/>
      <c r="I720" s="2"/>
      <c r="J720" s="2"/>
      <c r="K720" s="2"/>
      <c r="L720" s="2"/>
      <c r="M720" s="2"/>
      <c r="N720" s="2"/>
      <c r="O720" s="2"/>
      <c r="P720" s="2"/>
      <c r="Q720" s="2"/>
      <c r="R720" s="2"/>
      <c r="S720" s="2"/>
      <c r="T720" s="2"/>
      <c r="U720" s="2"/>
      <c r="V720" s="2"/>
      <c r="W720" s="2"/>
      <c r="X720" s="2"/>
      <c r="Y720" s="2"/>
    </row>
    <row r="721" spans="1:25" ht="17.399999999999999" x14ac:dyDescent="0.25">
      <c r="A721" s="1"/>
      <c r="B721" s="40"/>
      <c r="C721" s="2" t="str">
        <f ca="1">IFERROR(__xludf.DUMMYFUNCTION("iferror(filter('Full Perk List'!C$3:C1498,'Full Perk List'!$D$3:$D1498=$D721),"""")"),"#REF!")</f>
        <v>#REF!</v>
      </c>
      <c r="D721" s="2"/>
      <c r="E721" s="2" t="str">
        <f ca="1">IFERROR(__xludf.DUMMYFUNCTION("iferror(filter('Full Perk List'!E$3:E1498,'Full Perk List'!$D$3:$D1498=$D721),"""")"),"#REF!")</f>
        <v>#REF!</v>
      </c>
      <c r="F721" s="2" t="str">
        <f ca="1">IFERROR(__xludf.DUMMYFUNCTION("iferror(filter('Full Perk List'!F$3:F1498,'Full Perk List'!$D$3:$D1498=$D721),"""")"),"#REF!")</f>
        <v>#REF!</v>
      </c>
      <c r="G721" s="2" t="str">
        <f ca="1">IFERROR(__xludf.DUMMYFUNCTION("iferror(filter('Full Perk List'!G$3:G1498,'Full Perk List'!$D$3:$D1498=$D721),"""")"),"#REF!")</f>
        <v>#REF!</v>
      </c>
      <c r="H721" s="1"/>
      <c r="I721" s="2"/>
      <c r="J721" s="2"/>
      <c r="K721" s="2"/>
      <c r="L721" s="2"/>
      <c r="M721" s="2"/>
      <c r="N721" s="2"/>
      <c r="O721" s="2"/>
      <c r="P721" s="2"/>
      <c r="Q721" s="2"/>
      <c r="R721" s="2"/>
      <c r="S721" s="2"/>
      <c r="T721" s="2"/>
      <c r="U721" s="2"/>
      <c r="V721" s="2"/>
      <c r="W721" s="2"/>
      <c r="X721" s="2"/>
      <c r="Y721" s="2"/>
    </row>
    <row r="722" spans="1:25" ht="17.399999999999999" x14ac:dyDescent="0.25">
      <c r="A722" s="1"/>
      <c r="B722" s="40"/>
      <c r="C722" s="2" t="str">
        <f ca="1">IFERROR(__xludf.DUMMYFUNCTION("iferror(filter('Full Perk List'!C$3:C1498,'Full Perk List'!$D$3:$D1498=$D722),"""")"),"#REF!")</f>
        <v>#REF!</v>
      </c>
      <c r="D722" s="2"/>
      <c r="E722" s="2" t="str">
        <f ca="1">IFERROR(__xludf.DUMMYFUNCTION("iferror(filter('Full Perk List'!E$3:E1498,'Full Perk List'!$D$3:$D1498=$D722),"""")"),"#REF!")</f>
        <v>#REF!</v>
      </c>
      <c r="F722" s="2" t="str">
        <f ca="1">IFERROR(__xludf.DUMMYFUNCTION("iferror(filter('Full Perk List'!F$3:F1498,'Full Perk List'!$D$3:$D1498=$D722),"""")"),"#REF!")</f>
        <v>#REF!</v>
      </c>
      <c r="G722" s="2" t="str">
        <f ca="1">IFERROR(__xludf.DUMMYFUNCTION("iferror(filter('Full Perk List'!G$3:G1498,'Full Perk List'!$D$3:$D1498=$D722),"""")"),"#REF!")</f>
        <v>#REF!</v>
      </c>
      <c r="H722" s="1"/>
      <c r="I722" s="2"/>
      <c r="J722" s="2"/>
      <c r="K722" s="2"/>
      <c r="L722" s="2"/>
      <c r="M722" s="2"/>
      <c r="N722" s="2"/>
      <c r="O722" s="2"/>
      <c r="P722" s="2"/>
      <c r="Q722" s="2"/>
      <c r="R722" s="2"/>
      <c r="S722" s="2"/>
      <c r="T722" s="2"/>
      <c r="U722" s="2"/>
      <c r="V722" s="2"/>
      <c r="W722" s="2"/>
      <c r="X722" s="2"/>
      <c r="Y722" s="2"/>
    </row>
    <row r="723" spans="1:25" ht="17.399999999999999" x14ac:dyDescent="0.25">
      <c r="A723" s="1"/>
      <c r="B723" s="40"/>
      <c r="C723" s="2" t="str">
        <f ca="1">IFERROR(__xludf.DUMMYFUNCTION("iferror(filter('Full Perk List'!C$3:C1498,'Full Perk List'!$D$3:$D1498=$D723),"""")"),"#REF!")</f>
        <v>#REF!</v>
      </c>
      <c r="D723" s="2"/>
      <c r="E723" s="2" t="str">
        <f ca="1">IFERROR(__xludf.DUMMYFUNCTION("iferror(filter('Full Perk List'!E$3:E1498,'Full Perk List'!$D$3:$D1498=$D723),"""")"),"#REF!")</f>
        <v>#REF!</v>
      </c>
      <c r="F723" s="2" t="str">
        <f ca="1">IFERROR(__xludf.DUMMYFUNCTION("iferror(filter('Full Perk List'!F$3:F1498,'Full Perk List'!$D$3:$D1498=$D723),"""")"),"#REF!")</f>
        <v>#REF!</v>
      </c>
      <c r="G723" s="2" t="str">
        <f ca="1">IFERROR(__xludf.DUMMYFUNCTION("iferror(filter('Full Perk List'!G$3:G1498,'Full Perk List'!$D$3:$D1498=$D723),"""")"),"#REF!")</f>
        <v>#REF!</v>
      </c>
      <c r="H723" s="1"/>
      <c r="I723" s="2"/>
      <c r="J723" s="2"/>
      <c r="K723" s="2"/>
      <c r="L723" s="2"/>
      <c r="M723" s="2"/>
      <c r="N723" s="2"/>
      <c r="O723" s="2"/>
      <c r="P723" s="2"/>
      <c r="Q723" s="2"/>
      <c r="R723" s="2"/>
      <c r="S723" s="2"/>
      <c r="T723" s="2"/>
      <c r="U723" s="2"/>
      <c r="V723" s="2"/>
      <c r="W723" s="2"/>
      <c r="X723" s="2"/>
      <c r="Y723" s="2"/>
    </row>
    <row r="724" spans="1:25" ht="17.399999999999999" x14ac:dyDescent="0.25">
      <c r="A724" s="1"/>
      <c r="B724" s="40"/>
      <c r="C724" s="2" t="str">
        <f ca="1">IFERROR(__xludf.DUMMYFUNCTION("iferror(filter('Full Perk List'!C$3:C1498,'Full Perk List'!$D$3:$D1498=$D724),"""")"),"#REF!")</f>
        <v>#REF!</v>
      </c>
      <c r="D724" s="2"/>
      <c r="E724" s="2" t="str">
        <f ca="1">IFERROR(__xludf.DUMMYFUNCTION("iferror(filter('Full Perk List'!E$3:E1498,'Full Perk List'!$D$3:$D1498=$D724),"""")"),"#REF!")</f>
        <v>#REF!</v>
      </c>
      <c r="F724" s="2" t="str">
        <f ca="1">IFERROR(__xludf.DUMMYFUNCTION("iferror(filter('Full Perk List'!F$3:F1498,'Full Perk List'!$D$3:$D1498=$D724),"""")"),"#REF!")</f>
        <v>#REF!</v>
      </c>
      <c r="G724" s="2" t="str">
        <f ca="1">IFERROR(__xludf.DUMMYFUNCTION("iferror(filter('Full Perk List'!G$3:G1498,'Full Perk List'!$D$3:$D1498=$D724),"""")"),"#REF!")</f>
        <v>#REF!</v>
      </c>
      <c r="H724" s="1"/>
      <c r="I724" s="2"/>
      <c r="J724" s="2"/>
      <c r="K724" s="2"/>
      <c r="L724" s="2"/>
      <c r="M724" s="2"/>
      <c r="N724" s="2"/>
      <c r="O724" s="2"/>
      <c r="P724" s="2"/>
      <c r="Q724" s="2"/>
      <c r="R724" s="2"/>
      <c r="S724" s="2"/>
      <c r="T724" s="2"/>
      <c r="U724" s="2"/>
      <c r="V724" s="2"/>
      <c r="W724" s="2"/>
      <c r="X724" s="2"/>
      <c r="Y724" s="2"/>
    </row>
    <row r="725" spans="1:25" ht="17.399999999999999" x14ac:dyDescent="0.25">
      <c r="A725" s="1"/>
      <c r="B725" s="40"/>
      <c r="C725" s="2" t="str">
        <f ca="1">IFERROR(__xludf.DUMMYFUNCTION("iferror(filter('Full Perk List'!C$3:C1498,'Full Perk List'!$D$3:$D1498=$D725),"""")"),"#REF!")</f>
        <v>#REF!</v>
      </c>
      <c r="D725" s="2"/>
      <c r="E725" s="2" t="str">
        <f ca="1">IFERROR(__xludf.DUMMYFUNCTION("iferror(filter('Full Perk List'!E$3:E1498,'Full Perk List'!$D$3:$D1498=$D725),"""")"),"#REF!")</f>
        <v>#REF!</v>
      </c>
      <c r="F725" s="2" t="str">
        <f ca="1">IFERROR(__xludf.DUMMYFUNCTION("iferror(filter('Full Perk List'!F$3:F1498,'Full Perk List'!$D$3:$D1498=$D725),"""")"),"#REF!")</f>
        <v>#REF!</v>
      </c>
      <c r="G725" s="2" t="str">
        <f ca="1">IFERROR(__xludf.DUMMYFUNCTION("iferror(filter('Full Perk List'!G$3:G1498,'Full Perk List'!$D$3:$D1498=$D725),"""")"),"#REF!")</f>
        <v>#REF!</v>
      </c>
      <c r="H725" s="1"/>
      <c r="I725" s="2"/>
      <c r="J725" s="2"/>
      <c r="K725" s="2"/>
      <c r="L725" s="2"/>
      <c r="M725" s="2"/>
      <c r="N725" s="2"/>
      <c r="O725" s="2"/>
      <c r="P725" s="2"/>
      <c r="Q725" s="2"/>
      <c r="R725" s="2"/>
      <c r="S725" s="2"/>
      <c r="T725" s="2"/>
      <c r="U725" s="2"/>
      <c r="V725" s="2"/>
      <c r="W725" s="2"/>
      <c r="X725" s="2"/>
      <c r="Y725" s="2"/>
    </row>
    <row r="726" spans="1:25" ht="17.399999999999999" x14ac:dyDescent="0.25">
      <c r="A726" s="1"/>
      <c r="B726" s="40"/>
      <c r="C726" s="2" t="str">
        <f ca="1">IFERROR(__xludf.DUMMYFUNCTION("iferror(filter('Full Perk List'!C$3:C1498,'Full Perk List'!$D$3:$D1498=$D726),"""")"),"#REF!")</f>
        <v>#REF!</v>
      </c>
      <c r="D726" s="2"/>
      <c r="E726" s="2" t="str">
        <f ca="1">IFERROR(__xludf.DUMMYFUNCTION("iferror(filter('Full Perk List'!E$3:E1498,'Full Perk List'!$D$3:$D1498=$D726),"""")"),"#REF!")</f>
        <v>#REF!</v>
      </c>
      <c r="F726" s="2" t="str">
        <f ca="1">IFERROR(__xludf.DUMMYFUNCTION("iferror(filter('Full Perk List'!F$3:F1498,'Full Perk List'!$D$3:$D1498=$D726),"""")"),"#REF!")</f>
        <v>#REF!</v>
      </c>
      <c r="G726" s="2" t="str">
        <f ca="1">IFERROR(__xludf.DUMMYFUNCTION("iferror(filter('Full Perk List'!G$3:G1498,'Full Perk List'!$D$3:$D1498=$D726),"""")"),"#REF!")</f>
        <v>#REF!</v>
      </c>
      <c r="H726" s="1"/>
      <c r="I726" s="2"/>
      <c r="J726" s="2"/>
      <c r="K726" s="2"/>
      <c r="L726" s="2"/>
      <c r="M726" s="2"/>
      <c r="N726" s="2"/>
      <c r="O726" s="2"/>
      <c r="P726" s="2"/>
      <c r="Q726" s="2"/>
      <c r="R726" s="2"/>
      <c r="S726" s="2"/>
      <c r="T726" s="2"/>
      <c r="U726" s="2"/>
      <c r="V726" s="2"/>
      <c r="W726" s="2"/>
      <c r="X726" s="2"/>
      <c r="Y726" s="2"/>
    </row>
    <row r="727" spans="1:25" ht="17.399999999999999" x14ac:dyDescent="0.25">
      <c r="A727" s="1"/>
      <c r="B727" s="40"/>
      <c r="C727" s="2" t="str">
        <f ca="1">IFERROR(__xludf.DUMMYFUNCTION("iferror(filter('Full Perk List'!C$3:C1498,'Full Perk List'!$D$3:$D1498=$D727),"""")"),"#REF!")</f>
        <v>#REF!</v>
      </c>
      <c r="D727" s="2"/>
      <c r="E727" s="2" t="str">
        <f ca="1">IFERROR(__xludf.DUMMYFUNCTION("iferror(filter('Full Perk List'!E$3:E1498,'Full Perk List'!$D$3:$D1498=$D727),"""")"),"#REF!")</f>
        <v>#REF!</v>
      </c>
      <c r="F727" s="2" t="str">
        <f ca="1">IFERROR(__xludf.DUMMYFUNCTION("iferror(filter('Full Perk List'!F$3:F1498,'Full Perk List'!$D$3:$D1498=$D727),"""")"),"#REF!")</f>
        <v>#REF!</v>
      </c>
      <c r="G727" s="2" t="str">
        <f ca="1">IFERROR(__xludf.DUMMYFUNCTION("iferror(filter('Full Perk List'!G$3:G1498,'Full Perk List'!$D$3:$D1498=$D727),"""")"),"#REF!")</f>
        <v>#REF!</v>
      </c>
      <c r="H727" s="1"/>
      <c r="I727" s="2"/>
      <c r="J727" s="2"/>
      <c r="K727" s="2"/>
      <c r="L727" s="2"/>
      <c r="M727" s="2"/>
      <c r="N727" s="2"/>
      <c r="O727" s="2"/>
      <c r="P727" s="2"/>
      <c r="Q727" s="2"/>
      <c r="R727" s="2"/>
      <c r="S727" s="2"/>
      <c r="T727" s="2"/>
      <c r="U727" s="2"/>
      <c r="V727" s="2"/>
      <c r="W727" s="2"/>
      <c r="X727" s="2"/>
      <c r="Y727" s="2"/>
    </row>
    <row r="728" spans="1:25" ht="17.399999999999999" x14ac:dyDescent="0.25">
      <c r="A728" s="1"/>
      <c r="B728" s="40"/>
      <c r="C728" s="2" t="str">
        <f ca="1">IFERROR(__xludf.DUMMYFUNCTION("iferror(filter('Full Perk List'!C$3:C1498,'Full Perk List'!$D$3:$D1498=$D728),"""")"),"#REF!")</f>
        <v>#REF!</v>
      </c>
      <c r="D728" s="2"/>
      <c r="E728" s="2" t="str">
        <f ca="1">IFERROR(__xludf.DUMMYFUNCTION("iferror(filter('Full Perk List'!E$3:E1498,'Full Perk List'!$D$3:$D1498=$D728),"""")"),"#REF!")</f>
        <v>#REF!</v>
      </c>
      <c r="F728" s="2" t="str">
        <f ca="1">IFERROR(__xludf.DUMMYFUNCTION("iferror(filter('Full Perk List'!F$3:F1498,'Full Perk List'!$D$3:$D1498=$D728),"""")"),"#REF!")</f>
        <v>#REF!</v>
      </c>
      <c r="G728" s="2" t="str">
        <f ca="1">IFERROR(__xludf.DUMMYFUNCTION("iferror(filter('Full Perk List'!G$3:G1498,'Full Perk List'!$D$3:$D1498=$D728),"""")"),"#REF!")</f>
        <v>#REF!</v>
      </c>
      <c r="H728" s="1"/>
      <c r="I728" s="2"/>
      <c r="J728" s="2"/>
      <c r="K728" s="2"/>
      <c r="L728" s="2"/>
      <c r="M728" s="2"/>
      <c r="N728" s="2"/>
      <c r="O728" s="2"/>
      <c r="P728" s="2"/>
      <c r="Q728" s="2"/>
      <c r="R728" s="2"/>
      <c r="S728" s="2"/>
      <c r="T728" s="2"/>
      <c r="U728" s="2"/>
      <c r="V728" s="2"/>
      <c r="W728" s="2"/>
      <c r="X728" s="2"/>
      <c r="Y728" s="2"/>
    </row>
    <row r="729" spans="1:25" ht="17.399999999999999" x14ac:dyDescent="0.25">
      <c r="A729" s="1"/>
      <c r="B729" s="40"/>
      <c r="C729" s="2" t="str">
        <f ca="1">IFERROR(__xludf.DUMMYFUNCTION("iferror(filter('Full Perk List'!C$3:C1498,'Full Perk List'!$D$3:$D1498=$D729),"""")"),"#REF!")</f>
        <v>#REF!</v>
      </c>
      <c r="D729" s="2"/>
      <c r="E729" s="2" t="str">
        <f ca="1">IFERROR(__xludf.DUMMYFUNCTION("iferror(filter('Full Perk List'!E$3:E1498,'Full Perk List'!$D$3:$D1498=$D729),"""")"),"#REF!")</f>
        <v>#REF!</v>
      </c>
      <c r="F729" s="2" t="str">
        <f ca="1">IFERROR(__xludf.DUMMYFUNCTION("iferror(filter('Full Perk List'!F$3:F1498,'Full Perk List'!$D$3:$D1498=$D729),"""")"),"#REF!")</f>
        <v>#REF!</v>
      </c>
      <c r="G729" s="2" t="str">
        <f ca="1">IFERROR(__xludf.DUMMYFUNCTION("iferror(filter('Full Perk List'!G$3:G1498,'Full Perk List'!$D$3:$D1498=$D729),"""")"),"#REF!")</f>
        <v>#REF!</v>
      </c>
      <c r="H729" s="1"/>
      <c r="I729" s="2"/>
      <c r="J729" s="2"/>
      <c r="K729" s="2"/>
      <c r="L729" s="2"/>
      <c r="M729" s="2"/>
      <c r="N729" s="2"/>
      <c r="O729" s="2"/>
      <c r="P729" s="2"/>
      <c r="Q729" s="2"/>
      <c r="R729" s="2"/>
      <c r="S729" s="2"/>
      <c r="T729" s="2"/>
      <c r="U729" s="2"/>
      <c r="V729" s="2"/>
      <c r="W729" s="2"/>
      <c r="X729" s="2"/>
      <c r="Y729" s="2"/>
    </row>
    <row r="730" spans="1:25" ht="17.399999999999999" x14ac:dyDescent="0.25">
      <c r="A730" s="1"/>
      <c r="B730" s="40"/>
      <c r="C730" s="2" t="str">
        <f ca="1">IFERROR(__xludf.DUMMYFUNCTION("iferror(filter('Full Perk List'!C$3:C1498,'Full Perk List'!$D$3:$D1498=$D730),"""")"),"#REF!")</f>
        <v>#REF!</v>
      </c>
      <c r="D730" s="2"/>
      <c r="E730" s="2" t="str">
        <f ca="1">IFERROR(__xludf.DUMMYFUNCTION("iferror(filter('Full Perk List'!E$3:E1498,'Full Perk List'!$D$3:$D1498=$D730),"""")"),"#REF!")</f>
        <v>#REF!</v>
      </c>
      <c r="F730" s="2" t="str">
        <f ca="1">IFERROR(__xludf.DUMMYFUNCTION("iferror(filter('Full Perk List'!F$3:F1498,'Full Perk List'!$D$3:$D1498=$D730),"""")"),"#REF!")</f>
        <v>#REF!</v>
      </c>
      <c r="G730" s="2" t="str">
        <f ca="1">IFERROR(__xludf.DUMMYFUNCTION("iferror(filter('Full Perk List'!G$3:G1498,'Full Perk List'!$D$3:$D1498=$D730),"""")"),"#REF!")</f>
        <v>#REF!</v>
      </c>
      <c r="H730" s="1"/>
      <c r="I730" s="2"/>
      <c r="J730" s="2"/>
      <c r="K730" s="2"/>
      <c r="L730" s="2"/>
      <c r="M730" s="2"/>
      <c r="N730" s="2"/>
      <c r="O730" s="2"/>
      <c r="P730" s="2"/>
      <c r="Q730" s="2"/>
      <c r="R730" s="2"/>
      <c r="S730" s="2"/>
      <c r="T730" s="2"/>
      <c r="U730" s="2"/>
      <c r="V730" s="2"/>
      <c r="W730" s="2"/>
      <c r="X730" s="2"/>
      <c r="Y730" s="2"/>
    </row>
    <row r="731" spans="1:25" ht="17.399999999999999" x14ac:dyDescent="0.25">
      <c r="A731" s="1"/>
      <c r="B731" s="40"/>
      <c r="C731" s="2" t="str">
        <f ca="1">IFERROR(__xludf.DUMMYFUNCTION("iferror(filter('Full Perk List'!C$3:C1498,'Full Perk List'!$D$3:$D1498=$D731),"""")"),"#REF!")</f>
        <v>#REF!</v>
      </c>
      <c r="D731" s="2"/>
      <c r="E731" s="2" t="str">
        <f ca="1">IFERROR(__xludf.DUMMYFUNCTION("iferror(filter('Full Perk List'!E$3:E1498,'Full Perk List'!$D$3:$D1498=$D731),"""")"),"#REF!")</f>
        <v>#REF!</v>
      </c>
      <c r="F731" s="2" t="str">
        <f ca="1">IFERROR(__xludf.DUMMYFUNCTION("iferror(filter('Full Perk List'!F$3:F1498,'Full Perk List'!$D$3:$D1498=$D731),"""")"),"#REF!")</f>
        <v>#REF!</v>
      </c>
      <c r="G731" s="2" t="str">
        <f ca="1">IFERROR(__xludf.DUMMYFUNCTION("iferror(filter('Full Perk List'!G$3:G1498,'Full Perk List'!$D$3:$D1498=$D731),"""")"),"#REF!")</f>
        <v>#REF!</v>
      </c>
      <c r="H731" s="1"/>
      <c r="I731" s="2"/>
      <c r="J731" s="2"/>
      <c r="K731" s="2"/>
      <c r="L731" s="2"/>
      <c r="M731" s="2"/>
      <c r="N731" s="2"/>
      <c r="O731" s="2"/>
      <c r="P731" s="2"/>
      <c r="Q731" s="2"/>
      <c r="R731" s="2"/>
      <c r="S731" s="2"/>
      <c r="T731" s="2"/>
      <c r="U731" s="2"/>
      <c r="V731" s="2"/>
      <c r="W731" s="2"/>
      <c r="X731" s="2"/>
      <c r="Y731" s="2"/>
    </row>
    <row r="732" spans="1:25" ht="17.399999999999999" x14ac:dyDescent="0.25">
      <c r="A732" s="1"/>
      <c r="B732" s="40"/>
      <c r="C732" s="2" t="str">
        <f ca="1">IFERROR(__xludf.DUMMYFUNCTION("iferror(filter('Full Perk List'!C$3:C1498,'Full Perk List'!$D$3:$D1498=$D732),"""")"),"#REF!")</f>
        <v>#REF!</v>
      </c>
      <c r="D732" s="2"/>
      <c r="E732" s="2" t="str">
        <f ca="1">IFERROR(__xludf.DUMMYFUNCTION("iferror(filter('Full Perk List'!E$3:E1498,'Full Perk List'!$D$3:$D1498=$D732),"""")"),"#REF!")</f>
        <v>#REF!</v>
      </c>
      <c r="F732" s="2" t="str">
        <f ca="1">IFERROR(__xludf.DUMMYFUNCTION("iferror(filter('Full Perk List'!F$3:F1498,'Full Perk List'!$D$3:$D1498=$D732),"""")"),"#REF!")</f>
        <v>#REF!</v>
      </c>
      <c r="G732" s="2" t="str">
        <f ca="1">IFERROR(__xludf.DUMMYFUNCTION("iferror(filter('Full Perk List'!G$3:G1498,'Full Perk List'!$D$3:$D1498=$D732),"""")"),"#REF!")</f>
        <v>#REF!</v>
      </c>
      <c r="H732" s="1"/>
      <c r="I732" s="2"/>
      <c r="J732" s="2"/>
      <c r="K732" s="2"/>
      <c r="L732" s="2"/>
      <c r="M732" s="2"/>
      <c r="N732" s="2"/>
      <c r="O732" s="2"/>
      <c r="P732" s="2"/>
      <c r="Q732" s="2"/>
      <c r="R732" s="2"/>
      <c r="S732" s="2"/>
      <c r="T732" s="2"/>
      <c r="U732" s="2"/>
      <c r="V732" s="2"/>
      <c r="W732" s="2"/>
      <c r="X732" s="2"/>
      <c r="Y732" s="2"/>
    </row>
    <row r="733" spans="1:25" ht="17.399999999999999" x14ac:dyDescent="0.25">
      <c r="A733" s="1"/>
      <c r="B733" s="40"/>
      <c r="C733" s="2" t="str">
        <f ca="1">IFERROR(__xludf.DUMMYFUNCTION("iferror(filter('Full Perk List'!C$3:C1498,'Full Perk List'!$D$3:$D1498=$D733),"""")"),"#REF!")</f>
        <v>#REF!</v>
      </c>
      <c r="D733" s="2"/>
      <c r="E733" s="2" t="str">
        <f ca="1">IFERROR(__xludf.DUMMYFUNCTION("iferror(filter('Full Perk List'!E$3:E1498,'Full Perk List'!$D$3:$D1498=$D733),"""")"),"#REF!")</f>
        <v>#REF!</v>
      </c>
      <c r="F733" s="2" t="str">
        <f ca="1">IFERROR(__xludf.DUMMYFUNCTION("iferror(filter('Full Perk List'!F$3:F1498,'Full Perk List'!$D$3:$D1498=$D733),"""")"),"#REF!")</f>
        <v>#REF!</v>
      </c>
      <c r="G733" s="2" t="str">
        <f ca="1">IFERROR(__xludf.DUMMYFUNCTION("iferror(filter('Full Perk List'!G$3:G1498,'Full Perk List'!$D$3:$D1498=$D733),"""")"),"#REF!")</f>
        <v>#REF!</v>
      </c>
      <c r="H733" s="1"/>
      <c r="I733" s="2"/>
      <c r="J733" s="2"/>
      <c r="K733" s="2"/>
      <c r="L733" s="2"/>
      <c r="M733" s="2"/>
      <c r="N733" s="2"/>
      <c r="O733" s="2"/>
      <c r="P733" s="2"/>
      <c r="Q733" s="2"/>
      <c r="R733" s="2"/>
      <c r="S733" s="2"/>
      <c r="T733" s="2"/>
      <c r="U733" s="2"/>
      <c r="V733" s="2"/>
      <c r="W733" s="2"/>
      <c r="X733" s="2"/>
      <c r="Y733" s="2"/>
    </row>
    <row r="734" spans="1:25" ht="17.399999999999999" x14ac:dyDescent="0.25">
      <c r="A734" s="1"/>
      <c r="B734" s="40"/>
      <c r="C734" s="2" t="str">
        <f ca="1">IFERROR(__xludf.DUMMYFUNCTION("iferror(filter('Full Perk List'!C$3:C1498,'Full Perk List'!$D$3:$D1498=$D734),"""")"),"#REF!")</f>
        <v>#REF!</v>
      </c>
      <c r="D734" s="2"/>
      <c r="E734" s="2" t="str">
        <f ca="1">IFERROR(__xludf.DUMMYFUNCTION("iferror(filter('Full Perk List'!E$3:E1498,'Full Perk List'!$D$3:$D1498=$D734),"""")"),"#REF!")</f>
        <v>#REF!</v>
      </c>
      <c r="F734" s="2" t="str">
        <f ca="1">IFERROR(__xludf.DUMMYFUNCTION("iferror(filter('Full Perk List'!F$3:F1498,'Full Perk List'!$D$3:$D1498=$D734),"""")"),"#REF!")</f>
        <v>#REF!</v>
      </c>
      <c r="G734" s="2" t="str">
        <f ca="1">IFERROR(__xludf.DUMMYFUNCTION("iferror(filter('Full Perk List'!G$3:G1498,'Full Perk List'!$D$3:$D1498=$D734),"""")"),"#REF!")</f>
        <v>#REF!</v>
      </c>
      <c r="H734" s="1"/>
      <c r="I734" s="2"/>
      <c r="J734" s="2"/>
      <c r="K734" s="2"/>
      <c r="L734" s="2"/>
      <c r="M734" s="2"/>
      <c r="N734" s="2"/>
      <c r="O734" s="2"/>
      <c r="P734" s="2"/>
      <c r="Q734" s="2"/>
      <c r="R734" s="2"/>
      <c r="S734" s="2"/>
      <c r="T734" s="2"/>
      <c r="U734" s="2"/>
      <c r="V734" s="2"/>
      <c r="W734" s="2"/>
      <c r="X734" s="2"/>
      <c r="Y734" s="2"/>
    </row>
    <row r="735" spans="1:25" ht="17.399999999999999" x14ac:dyDescent="0.25">
      <c r="A735" s="1"/>
      <c r="B735" s="40"/>
      <c r="C735" s="2" t="str">
        <f ca="1">IFERROR(__xludf.DUMMYFUNCTION("iferror(filter('Full Perk List'!C$3:C1498,'Full Perk List'!$D$3:$D1498=$D735),"""")"),"#REF!")</f>
        <v>#REF!</v>
      </c>
      <c r="D735" s="2"/>
      <c r="E735" s="2" t="str">
        <f ca="1">IFERROR(__xludf.DUMMYFUNCTION("iferror(filter('Full Perk List'!E$3:E1498,'Full Perk List'!$D$3:$D1498=$D735),"""")"),"#REF!")</f>
        <v>#REF!</v>
      </c>
      <c r="F735" s="2" t="str">
        <f ca="1">IFERROR(__xludf.DUMMYFUNCTION("iferror(filter('Full Perk List'!F$3:F1498,'Full Perk List'!$D$3:$D1498=$D735),"""")"),"#REF!")</f>
        <v>#REF!</v>
      </c>
      <c r="G735" s="2" t="str">
        <f ca="1">IFERROR(__xludf.DUMMYFUNCTION("iferror(filter('Full Perk List'!G$3:G1498,'Full Perk List'!$D$3:$D1498=$D735),"""")"),"#REF!")</f>
        <v>#REF!</v>
      </c>
      <c r="H735" s="1"/>
      <c r="I735" s="2"/>
      <c r="J735" s="2"/>
      <c r="K735" s="2"/>
      <c r="L735" s="2"/>
      <c r="M735" s="2"/>
      <c r="N735" s="2"/>
      <c r="O735" s="2"/>
      <c r="P735" s="2"/>
      <c r="Q735" s="2"/>
      <c r="R735" s="2"/>
      <c r="S735" s="2"/>
      <c r="T735" s="2"/>
      <c r="U735" s="2"/>
      <c r="V735" s="2"/>
      <c r="W735" s="2"/>
      <c r="X735" s="2"/>
      <c r="Y735" s="2"/>
    </row>
    <row r="736" spans="1:25" ht="17.399999999999999" x14ac:dyDescent="0.25">
      <c r="A736" s="1"/>
      <c r="B736" s="40"/>
      <c r="C736" s="2" t="str">
        <f ca="1">IFERROR(__xludf.DUMMYFUNCTION("iferror(filter('Full Perk List'!C$3:C1498,'Full Perk List'!$D$3:$D1498=$D736),"""")"),"#REF!")</f>
        <v>#REF!</v>
      </c>
      <c r="D736" s="2"/>
      <c r="E736" s="2" t="str">
        <f ca="1">IFERROR(__xludf.DUMMYFUNCTION("iferror(filter('Full Perk List'!E$3:E1498,'Full Perk List'!$D$3:$D1498=$D736),"""")"),"#REF!")</f>
        <v>#REF!</v>
      </c>
      <c r="F736" s="2" t="str">
        <f ca="1">IFERROR(__xludf.DUMMYFUNCTION("iferror(filter('Full Perk List'!F$3:F1498,'Full Perk List'!$D$3:$D1498=$D736),"""")"),"#REF!")</f>
        <v>#REF!</v>
      </c>
      <c r="G736" s="2" t="str">
        <f ca="1">IFERROR(__xludf.DUMMYFUNCTION("iferror(filter('Full Perk List'!G$3:G1498,'Full Perk List'!$D$3:$D1498=$D736),"""")"),"#REF!")</f>
        <v>#REF!</v>
      </c>
      <c r="H736" s="1"/>
      <c r="I736" s="2"/>
      <c r="J736" s="2"/>
      <c r="K736" s="2"/>
      <c r="L736" s="2"/>
      <c r="M736" s="2"/>
      <c r="N736" s="2"/>
      <c r="O736" s="2"/>
      <c r="P736" s="2"/>
      <c r="Q736" s="2"/>
      <c r="R736" s="2"/>
      <c r="S736" s="2"/>
      <c r="T736" s="2"/>
      <c r="U736" s="2"/>
      <c r="V736" s="2"/>
      <c r="W736" s="2"/>
      <c r="X736" s="2"/>
      <c r="Y736" s="2"/>
    </row>
    <row r="737" spans="1:25" ht="17.399999999999999" x14ac:dyDescent="0.25">
      <c r="A737" s="1"/>
      <c r="B737" s="40"/>
      <c r="C737" s="2" t="str">
        <f ca="1">IFERROR(__xludf.DUMMYFUNCTION("iferror(filter('Full Perk List'!C$3:C1498,'Full Perk List'!$D$3:$D1498=$D737),"""")"),"#REF!")</f>
        <v>#REF!</v>
      </c>
      <c r="D737" s="2"/>
      <c r="E737" s="2" t="str">
        <f ca="1">IFERROR(__xludf.DUMMYFUNCTION("iferror(filter('Full Perk List'!E$3:E1498,'Full Perk List'!$D$3:$D1498=$D737),"""")"),"#REF!")</f>
        <v>#REF!</v>
      </c>
      <c r="F737" s="2" t="str">
        <f ca="1">IFERROR(__xludf.DUMMYFUNCTION("iferror(filter('Full Perk List'!F$3:F1498,'Full Perk List'!$D$3:$D1498=$D737),"""")"),"#REF!")</f>
        <v>#REF!</v>
      </c>
      <c r="G737" s="2" t="str">
        <f ca="1">IFERROR(__xludf.DUMMYFUNCTION("iferror(filter('Full Perk List'!G$3:G1498,'Full Perk List'!$D$3:$D1498=$D737),"""")"),"#REF!")</f>
        <v>#REF!</v>
      </c>
      <c r="H737" s="1"/>
      <c r="I737" s="2"/>
      <c r="J737" s="2"/>
      <c r="K737" s="2"/>
      <c r="L737" s="2"/>
      <c r="M737" s="2"/>
      <c r="N737" s="2"/>
      <c r="O737" s="2"/>
      <c r="P737" s="2"/>
      <c r="Q737" s="2"/>
      <c r="R737" s="2"/>
      <c r="S737" s="2"/>
      <c r="T737" s="2"/>
      <c r="U737" s="2"/>
      <c r="V737" s="2"/>
      <c r="W737" s="2"/>
      <c r="X737" s="2"/>
      <c r="Y737" s="2"/>
    </row>
    <row r="738" spans="1:25" ht="17.399999999999999" x14ac:dyDescent="0.25">
      <c r="A738" s="1"/>
      <c r="B738" s="40"/>
      <c r="C738" s="2" t="str">
        <f ca="1">IFERROR(__xludf.DUMMYFUNCTION("iferror(filter('Full Perk List'!C$3:C1498,'Full Perk List'!$D$3:$D1498=$D738),"""")"),"#REF!")</f>
        <v>#REF!</v>
      </c>
      <c r="D738" s="2"/>
      <c r="E738" s="2" t="str">
        <f ca="1">IFERROR(__xludf.DUMMYFUNCTION("iferror(filter('Full Perk List'!E$3:E1498,'Full Perk List'!$D$3:$D1498=$D738),"""")"),"#REF!")</f>
        <v>#REF!</v>
      </c>
      <c r="F738" s="2" t="str">
        <f ca="1">IFERROR(__xludf.DUMMYFUNCTION("iferror(filter('Full Perk List'!F$3:F1498,'Full Perk List'!$D$3:$D1498=$D738),"""")"),"#REF!")</f>
        <v>#REF!</v>
      </c>
      <c r="G738" s="2" t="str">
        <f ca="1">IFERROR(__xludf.DUMMYFUNCTION("iferror(filter('Full Perk List'!G$3:G1498,'Full Perk List'!$D$3:$D1498=$D738),"""")"),"#REF!")</f>
        <v>#REF!</v>
      </c>
      <c r="H738" s="1"/>
      <c r="I738" s="2"/>
      <c r="J738" s="2"/>
      <c r="K738" s="2"/>
      <c r="L738" s="2"/>
      <c r="M738" s="2"/>
      <c r="N738" s="2"/>
      <c r="O738" s="2"/>
      <c r="P738" s="2"/>
      <c r="Q738" s="2"/>
      <c r="R738" s="2"/>
      <c r="S738" s="2"/>
      <c r="T738" s="2"/>
      <c r="U738" s="2"/>
      <c r="V738" s="2"/>
      <c r="W738" s="2"/>
      <c r="X738" s="2"/>
      <c r="Y738" s="2"/>
    </row>
    <row r="739" spans="1:25" ht="17.399999999999999" x14ac:dyDescent="0.25">
      <c r="A739" s="1"/>
      <c r="B739" s="40"/>
      <c r="C739" s="2" t="str">
        <f ca="1">IFERROR(__xludf.DUMMYFUNCTION("iferror(filter('Full Perk List'!C$3:C1498,'Full Perk List'!$D$3:$D1498=$D739),"""")"),"#REF!")</f>
        <v>#REF!</v>
      </c>
      <c r="D739" s="2"/>
      <c r="E739" s="2" t="str">
        <f ca="1">IFERROR(__xludf.DUMMYFUNCTION("iferror(filter('Full Perk List'!E$3:E1498,'Full Perk List'!$D$3:$D1498=$D739),"""")"),"#REF!")</f>
        <v>#REF!</v>
      </c>
      <c r="F739" s="2" t="str">
        <f ca="1">IFERROR(__xludf.DUMMYFUNCTION("iferror(filter('Full Perk List'!F$3:F1498,'Full Perk List'!$D$3:$D1498=$D739),"""")"),"#REF!")</f>
        <v>#REF!</v>
      </c>
      <c r="G739" s="2" t="str">
        <f ca="1">IFERROR(__xludf.DUMMYFUNCTION("iferror(filter('Full Perk List'!G$3:G1498,'Full Perk List'!$D$3:$D1498=$D739),"""")"),"#REF!")</f>
        <v>#REF!</v>
      </c>
      <c r="H739" s="1"/>
      <c r="I739" s="2"/>
      <c r="J739" s="2"/>
      <c r="K739" s="2"/>
      <c r="L739" s="2"/>
      <c r="M739" s="2"/>
      <c r="N739" s="2"/>
      <c r="O739" s="2"/>
      <c r="P739" s="2"/>
      <c r="Q739" s="2"/>
      <c r="R739" s="2"/>
      <c r="S739" s="2"/>
      <c r="T739" s="2"/>
      <c r="U739" s="2"/>
      <c r="V739" s="2"/>
      <c r="W739" s="2"/>
      <c r="X739" s="2"/>
      <c r="Y739" s="2"/>
    </row>
    <row r="740" spans="1:25" ht="17.399999999999999" x14ac:dyDescent="0.25">
      <c r="A740" s="1"/>
      <c r="B740" s="40"/>
      <c r="C740" s="2" t="str">
        <f ca="1">IFERROR(__xludf.DUMMYFUNCTION("iferror(filter('Full Perk List'!C$3:C1498,'Full Perk List'!$D$3:$D1498=$D740),"""")"),"#REF!")</f>
        <v>#REF!</v>
      </c>
      <c r="D740" s="2"/>
      <c r="E740" s="2" t="str">
        <f ca="1">IFERROR(__xludf.DUMMYFUNCTION("iferror(filter('Full Perk List'!E$3:E1498,'Full Perk List'!$D$3:$D1498=$D740),"""")"),"#REF!")</f>
        <v>#REF!</v>
      </c>
      <c r="F740" s="2" t="str">
        <f ca="1">IFERROR(__xludf.DUMMYFUNCTION("iferror(filter('Full Perk List'!F$3:F1498,'Full Perk List'!$D$3:$D1498=$D740),"""")"),"#REF!")</f>
        <v>#REF!</v>
      </c>
      <c r="G740" s="2" t="str">
        <f ca="1">IFERROR(__xludf.DUMMYFUNCTION("iferror(filter('Full Perk List'!G$3:G1498,'Full Perk List'!$D$3:$D1498=$D740),"""")"),"#REF!")</f>
        <v>#REF!</v>
      </c>
      <c r="H740" s="1"/>
      <c r="I740" s="2"/>
      <c r="J740" s="2"/>
      <c r="K740" s="2"/>
      <c r="L740" s="2"/>
      <c r="M740" s="2"/>
      <c r="N740" s="2"/>
      <c r="O740" s="2"/>
      <c r="P740" s="2"/>
      <c r="Q740" s="2"/>
      <c r="R740" s="2"/>
      <c r="S740" s="2"/>
      <c r="T740" s="2"/>
      <c r="U740" s="2"/>
      <c r="V740" s="2"/>
      <c r="W740" s="2"/>
      <c r="X740" s="2"/>
      <c r="Y740" s="2"/>
    </row>
    <row r="741" spans="1:25" ht="17.399999999999999" x14ac:dyDescent="0.25">
      <c r="A741" s="1"/>
      <c r="B741" s="40"/>
      <c r="C741" s="2" t="str">
        <f ca="1">IFERROR(__xludf.DUMMYFUNCTION("iferror(filter('Full Perk List'!C$3:C1498,'Full Perk List'!$D$3:$D1498=$D741),"""")"),"#REF!")</f>
        <v>#REF!</v>
      </c>
      <c r="D741" s="2"/>
      <c r="E741" s="2" t="str">
        <f ca="1">IFERROR(__xludf.DUMMYFUNCTION("iferror(filter('Full Perk List'!E$3:E1498,'Full Perk List'!$D$3:$D1498=$D741),"""")"),"#REF!")</f>
        <v>#REF!</v>
      </c>
      <c r="F741" s="2" t="str">
        <f ca="1">IFERROR(__xludf.DUMMYFUNCTION("iferror(filter('Full Perk List'!F$3:F1498,'Full Perk List'!$D$3:$D1498=$D741),"""")"),"#REF!")</f>
        <v>#REF!</v>
      </c>
      <c r="G741" s="2" t="str">
        <f ca="1">IFERROR(__xludf.DUMMYFUNCTION("iferror(filter('Full Perk List'!G$3:G1498,'Full Perk List'!$D$3:$D1498=$D741),"""")"),"#REF!")</f>
        <v>#REF!</v>
      </c>
      <c r="H741" s="1"/>
      <c r="I741" s="2"/>
      <c r="J741" s="2"/>
      <c r="K741" s="2"/>
      <c r="L741" s="2"/>
      <c r="M741" s="2"/>
      <c r="N741" s="2"/>
      <c r="O741" s="2"/>
      <c r="P741" s="2"/>
      <c r="Q741" s="2"/>
      <c r="R741" s="2"/>
      <c r="S741" s="2"/>
      <c r="T741" s="2"/>
      <c r="U741" s="2"/>
      <c r="V741" s="2"/>
      <c r="W741" s="2"/>
      <c r="X741" s="2"/>
      <c r="Y741" s="2"/>
    </row>
    <row r="742" spans="1:25" ht="17.399999999999999" x14ac:dyDescent="0.25">
      <c r="A742" s="1"/>
      <c r="B742" s="40"/>
      <c r="C742" s="2" t="str">
        <f ca="1">IFERROR(__xludf.DUMMYFUNCTION("iferror(filter('Full Perk List'!C$3:C1498,'Full Perk List'!$D$3:$D1498=$D742),"""")"),"#REF!")</f>
        <v>#REF!</v>
      </c>
      <c r="D742" s="2"/>
      <c r="E742" s="2" t="str">
        <f ca="1">IFERROR(__xludf.DUMMYFUNCTION("iferror(filter('Full Perk List'!E$3:E1498,'Full Perk List'!$D$3:$D1498=$D742),"""")"),"#REF!")</f>
        <v>#REF!</v>
      </c>
      <c r="F742" s="2" t="str">
        <f ca="1">IFERROR(__xludf.DUMMYFUNCTION("iferror(filter('Full Perk List'!F$3:F1498,'Full Perk List'!$D$3:$D1498=$D742),"""")"),"#REF!")</f>
        <v>#REF!</v>
      </c>
      <c r="G742" s="2" t="str">
        <f ca="1">IFERROR(__xludf.DUMMYFUNCTION("iferror(filter('Full Perk List'!G$3:G1498,'Full Perk List'!$D$3:$D1498=$D742),"""")"),"#REF!")</f>
        <v>#REF!</v>
      </c>
      <c r="H742" s="1"/>
      <c r="I742" s="2"/>
      <c r="J742" s="2"/>
      <c r="K742" s="2"/>
      <c r="L742" s="2"/>
      <c r="M742" s="2"/>
      <c r="N742" s="2"/>
      <c r="O742" s="2"/>
      <c r="P742" s="2"/>
      <c r="Q742" s="2"/>
      <c r="R742" s="2"/>
      <c r="S742" s="2"/>
      <c r="T742" s="2"/>
      <c r="U742" s="2"/>
      <c r="V742" s="2"/>
      <c r="W742" s="2"/>
      <c r="X742" s="2"/>
      <c r="Y742" s="2"/>
    </row>
    <row r="743" spans="1:25" ht="17.399999999999999" x14ac:dyDescent="0.25">
      <c r="A743" s="1"/>
      <c r="B743" s="40"/>
      <c r="C743" s="2" t="str">
        <f ca="1">IFERROR(__xludf.DUMMYFUNCTION("iferror(filter('Full Perk List'!C$3:C1498,'Full Perk List'!$D$3:$D1498=$D743),"""")"),"#REF!")</f>
        <v>#REF!</v>
      </c>
      <c r="D743" s="2"/>
      <c r="E743" s="2" t="str">
        <f ca="1">IFERROR(__xludf.DUMMYFUNCTION("iferror(filter('Full Perk List'!E$3:E1498,'Full Perk List'!$D$3:$D1498=$D743),"""")"),"#REF!")</f>
        <v>#REF!</v>
      </c>
      <c r="F743" s="2" t="str">
        <f ca="1">IFERROR(__xludf.DUMMYFUNCTION("iferror(filter('Full Perk List'!F$3:F1498,'Full Perk List'!$D$3:$D1498=$D743),"""")"),"#REF!")</f>
        <v>#REF!</v>
      </c>
      <c r="G743" s="2" t="str">
        <f ca="1">IFERROR(__xludf.DUMMYFUNCTION("iferror(filter('Full Perk List'!G$3:G1498,'Full Perk List'!$D$3:$D1498=$D743),"""")"),"#REF!")</f>
        <v>#REF!</v>
      </c>
      <c r="H743" s="1"/>
      <c r="I743" s="2"/>
      <c r="J743" s="2"/>
      <c r="K743" s="2"/>
      <c r="L743" s="2"/>
      <c r="M743" s="2"/>
      <c r="N743" s="2"/>
      <c r="O743" s="2"/>
      <c r="P743" s="2"/>
      <c r="Q743" s="2"/>
      <c r="R743" s="2"/>
      <c r="S743" s="2"/>
      <c r="T743" s="2"/>
      <c r="U743" s="2"/>
      <c r="V743" s="2"/>
      <c r="W743" s="2"/>
      <c r="X743" s="2"/>
      <c r="Y743" s="2"/>
    </row>
    <row r="744" spans="1:25" ht="17.399999999999999" x14ac:dyDescent="0.25">
      <c r="A744" s="1"/>
      <c r="B744" s="40"/>
      <c r="C744" s="2" t="str">
        <f ca="1">IFERROR(__xludf.DUMMYFUNCTION("iferror(filter('Full Perk List'!C$3:C1498,'Full Perk List'!$D$3:$D1498=$D744),"""")"),"#REF!")</f>
        <v>#REF!</v>
      </c>
      <c r="D744" s="2"/>
      <c r="E744" s="2" t="str">
        <f ca="1">IFERROR(__xludf.DUMMYFUNCTION("iferror(filter('Full Perk List'!E$3:E1498,'Full Perk List'!$D$3:$D1498=$D744),"""")"),"#REF!")</f>
        <v>#REF!</v>
      </c>
      <c r="F744" s="2" t="str">
        <f ca="1">IFERROR(__xludf.DUMMYFUNCTION("iferror(filter('Full Perk List'!F$3:F1498,'Full Perk List'!$D$3:$D1498=$D744),"""")"),"#REF!")</f>
        <v>#REF!</v>
      </c>
      <c r="G744" s="2" t="str">
        <f ca="1">IFERROR(__xludf.DUMMYFUNCTION("iferror(filter('Full Perk List'!G$3:G1498,'Full Perk List'!$D$3:$D1498=$D744),"""")"),"#REF!")</f>
        <v>#REF!</v>
      </c>
      <c r="H744" s="1"/>
      <c r="I744" s="2"/>
      <c r="J744" s="2"/>
      <c r="K744" s="2"/>
      <c r="L744" s="2"/>
      <c r="M744" s="2"/>
      <c r="N744" s="2"/>
      <c r="O744" s="2"/>
      <c r="P744" s="2"/>
      <c r="Q744" s="2"/>
      <c r="R744" s="2"/>
      <c r="S744" s="2"/>
      <c r="T744" s="2"/>
      <c r="U744" s="2"/>
      <c r="V744" s="2"/>
      <c r="W744" s="2"/>
      <c r="X744" s="2"/>
      <c r="Y744" s="2"/>
    </row>
    <row r="745" spans="1:25" ht="17.399999999999999" x14ac:dyDescent="0.25">
      <c r="A745" s="1"/>
      <c r="B745" s="40"/>
      <c r="C745" s="2" t="str">
        <f ca="1">IFERROR(__xludf.DUMMYFUNCTION("iferror(filter('Full Perk List'!C$3:C1498,'Full Perk List'!$D$3:$D1498=$D745),"""")"),"#REF!")</f>
        <v>#REF!</v>
      </c>
      <c r="D745" s="2"/>
      <c r="E745" s="2" t="str">
        <f ca="1">IFERROR(__xludf.DUMMYFUNCTION("iferror(filter('Full Perk List'!E$3:E1498,'Full Perk List'!$D$3:$D1498=$D745),"""")"),"#REF!")</f>
        <v>#REF!</v>
      </c>
      <c r="F745" s="2" t="str">
        <f ca="1">IFERROR(__xludf.DUMMYFUNCTION("iferror(filter('Full Perk List'!F$3:F1498,'Full Perk List'!$D$3:$D1498=$D745),"""")"),"#REF!")</f>
        <v>#REF!</v>
      </c>
      <c r="G745" s="2" t="str">
        <f ca="1">IFERROR(__xludf.DUMMYFUNCTION("iferror(filter('Full Perk List'!G$3:G1498,'Full Perk List'!$D$3:$D1498=$D745),"""")"),"#REF!")</f>
        <v>#REF!</v>
      </c>
      <c r="H745" s="1"/>
      <c r="I745" s="2"/>
      <c r="J745" s="2"/>
      <c r="K745" s="2"/>
      <c r="L745" s="2"/>
      <c r="M745" s="2"/>
      <c r="N745" s="2"/>
      <c r="O745" s="2"/>
      <c r="P745" s="2"/>
      <c r="Q745" s="2"/>
      <c r="R745" s="2"/>
      <c r="S745" s="2"/>
      <c r="T745" s="2"/>
      <c r="U745" s="2"/>
      <c r="V745" s="2"/>
      <c r="W745" s="2"/>
      <c r="X745" s="2"/>
      <c r="Y745" s="2"/>
    </row>
    <row r="746" spans="1:25" ht="17.399999999999999" x14ac:dyDescent="0.25">
      <c r="A746" s="1"/>
      <c r="B746" s="40"/>
      <c r="C746" s="2" t="str">
        <f ca="1">IFERROR(__xludf.DUMMYFUNCTION("iferror(filter('Full Perk List'!C$3:C1498,'Full Perk List'!$D$3:$D1498=$D746),"""")"),"#REF!")</f>
        <v>#REF!</v>
      </c>
      <c r="D746" s="2"/>
      <c r="E746" s="2" t="str">
        <f ca="1">IFERROR(__xludf.DUMMYFUNCTION("iferror(filter('Full Perk List'!E$3:E1498,'Full Perk List'!$D$3:$D1498=$D746),"""")"),"#REF!")</f>
        <v>#REF!</v>
      </c>
      <c r="F746" s="2" t="str">
        <f ca="1">IFERROR(__xludf.DUMMYFUNCTION("iferror(filter('Full Perk List'!F$3:F1498,'Full Perk List'!$D$3:$D1498=$D746),"""")"),"#REF!")</f>
        <v>#REF!</v>
      </c>
      <c r="G746" s="2" t="str">
        <f ca="1">IFERROR(__xludf.DUMMYFUNCTION("iferror(filter('Full Perk List'!G$3:G1498,'Full Perk List'!$D$3:$D1498=$D746),"""")"),"#REF!")</f>
        <v>#REF!</v>
      </c>
      <c r="H746" s="1"/>
      <c r="I746" s="2"/>
      <c r="J746" s="2"/>
      <c r="K746" s="2"/>
      <c r="L746" s="2"/>
      <c r="M746" s="2"/>
      <c r="N746" s="2"/>
      <c r="O746" s="2"/>
      <c r="P746" s="2"/>
      <c r="Q746" s="2"/>
      <c r="R746" s="2"/>
      <c r="S746" s="2"/>
      <c r="T746" s="2"/>
      <c r="U746" s="2"/>
      <c r="V746" s="2"/>
      <c r="W746" s="2"/>
      <c r="X746" s="2"/>
      <c r="Y746" s="2"/>
    </row>
    <row r="747" spans="1:25" ht="17.399999999999999" x14ac:dyDescent="0.25">
      <c r="A747" s="1"/>
      <c r="B747" s="40"/>
      <c r="C747" s="2" t="str">
        <f ca="1">IFERROR(__xludf.DUMMYFUNCTION("iferror(filter('Full Perk List'!C$3:C1498,'Full Perk List'!$D$3:$D1498=$D747),"""")"),"#REF!")</f>
        <v>#REF!</v>
      </c>
      <c r="D747" s="2"/>
      <c r="E747" s="2" t="str">
        <f ca="1">IFERROR(__xludf.DUMMYFUNCTION("iferror(filter('Full Perk List'!E$3:E1498,'Full Perk List'!$D$3:$D1498=$D747),"""")"),"#REF!")</f>
        <v>#REF!</v>
      </c>
      <c r="F747" s="2" t="str">
        <f ca="1">IFERROR(__xludf.DUMMYFUNCTION("iferror(filter('Full Perk List'!F$3:F1498,'Full Perk List'!$D$3:$D1498=$D747),"""")"),"#REF!")</f>
        <v>#REF!</v>
      </c>
      <c r="G747" s="2" t="str">
        <f ca="1">IFERROR(__xludf.DUMMYFUNCTION("iferror(filter('Full Perk List'!G$3:G1498,'Full Perk List'!$D$3:$D1498=$D747),"""")"),"#REF!")</f>
        <v>#REF!</v>
      </c>
      <c r="H747" s="1"/>
      <c r="I747" s="2"/>
      <c r="J747" s="2"/>
      <c r="K747" s="2"/>
      <c r="L747" s="2"/>
      <c r="M747" s="2"/>
      <c r="N747" s="2"/>
      <c r="O747" s="2"/>
      <c r="P747" s="2"/>
      <c r="Q747" s="2"/>
      <c r="R747" s="2"/>
      <c r="S747" s="2"/>
      <c r="T747" s="2"/>
      <c r="U747" s="2"/>
      <c r="V747" s="2"/>
      <c r="W747" s="2"/>
      <c r="X747" s="2"/>
      <c r="Y747" s="2"/>
    </row>
    <row r="748" spans="1:25" ht="17.399999999999999" x14ac:dyDescent="0.25">
      <c r="A748" s="1"/>
      <c r="B748" s="40"/>
      <c r="C748" s="2" t="str">
        <f ca="1">IFERROR(__xludf.DUMMYFUNCTION("iferror(filter('Full Perk List'!C$3:C1498,'Full Perk List'!$D$3:$D1498=$D748),"""")"),"#REF!")</f>
        <v>#REF!</v>
      </c>
      <c r="D748" s="2"/>
      <c r="E748" s="2" t="str">
        <f ca="1">IFERROR(__xludf.DUMMYFUNCTION("iferror(filter('Full Perk List'!E$3:E1498,'Full Perk List'!$D$3:$D1498=$D748),"""")"),"#REF!")</f>
        <v>#REF!</v>
      </c>
      <c r="F748" s="2" t="str">
        <f ca="1">IFERROR(__xludf.DUMMYFUNCTION("iferror(filter('Full Perk List'!F$3:F1498,'Full Perk List'!$D$3:$D1498=$D748),"""")"),"#REF!")</f>
        <v>#REF!</v>
      </c>
      <c r="G748" s="2" t="str">
        <f ca="1">IFERROR(__xludf.DUMMYFUNCTION("iferror(filter('Full Perk List'!G$3:G1498,'Full Perk List'!$D$3:$D1498=$D748),"""")"),"#REF!")</f>
        <v>#REF!</v>
      </c>
      <c r="H748" s="1"/>
      <c r="I748" s="2"/>
      <c r="J748" s="2"/>
      <c r="K748" s="2"/>
      <c r="L748" s="2"/>
      <c r="M748" s="2"/>
      <c r="N748" s="2"/>
      <c r="O748" s="2"/>
      <c r="P748" s="2"/>
      <c r="Q748" s="2"/>
      <c r="R748" s="2"/>
      <c r="S748" s="2"/>
      <c r="T748" s="2"/>
      <c r="U748" s="2"/>
      <c r="V748" s="2"/>
      <c r="W748" s="2"/>
      <c r="X748" s="2"/>
      <c r="Y748" s="2"/>
    </row>
    <row r="749" spans="1:25" ht="17.399999999999999" x14ac:dyDescent="0.25">
      <c r="A749" s="1"/>
      <c r="B749" s="40"/>
      <c r="C749" s="2" t="str">
        <f ca="1">IFERROR(__xludf.DUMMYFUNCTION("iferror(filter('Full Perk List'!C$3:C1498,'Full Perk List'!$D$3:$D1498=$D749),"""")"),"#REF!")</f>
        <v>#REF!</v>
      </c>
      <c r="D749" s="2"/>
      <c r="E749" s="2" t="str">
        <f ca="1">IFERROR(__xludf.DUMMYFUNCTION("iferror(filter('Full Perk List'!E$3:E1498,'Full Perk List'!$D$3:$D1498=$D749),"""")"),"#REF!")</f>
        <v>#REF!</v>
      </c>
      <c r="F749" s="2" t="str">
        <f ca="1">IFERROR(__xludf.DUMMYFUNCTION("iferror(filter('Full Perk List'!F$3:F1498,'Full Perk List'!$D$3:$D1498=$D749),"""")"),"#REF!")</f>
        <v>#REF!</v>
      </c>
      <c r="G749" s="2" t="str">
        <f ca="1">IFERROR(__xludf.DUMMYFUNCTION("iferror(filter('Full Perk List'!G$3:G1498,'Full Perk List'!$D$3:$D1498=$D749),"""")"),"#REF!")</f>
        <v>#REF!</v>
      </c>
      <c r="H749" s="1"/>
      <c r="I749" s="2"/>
      <c r="J749" s="2"/>
      <c r="K749" s="2"/>
      <c r="L749" s="2"/>
      <c r="M749" s="2"/>
      <c r="N749" s="2"/>
      <c r="O749" s="2"/>
      <c r="P749" s="2"/>
      <c r="Q749" s="2"/>
      <c r="R749" s="2"/>
      <c r="S749" s="2"/>
      <c r="T749" s="2"/>
      <c r="U749" s="2"/>
      <c r="V749" s="2"/>
      <c r="W749" s="2"/>
      <c r="X749" s="2"/>
      <c r="Y749" s="2"/>
    </row>
    <row r="750" spans="1:25" ht="17.399999999999999" x14ac:dyDescent="0.25">
      <c r="A750" s="1"/>
      <c r="B750" s="40"/>
      <c r="C750" s="2" t="str">
        <f ca="1">IFERROR(__xludf.DUMMYFUNCTION("iferror(filter('Full Perk List'!C$3:C1498,'Full Perk List'!$D$3:$D1498=$D750),"""")"),"#REF!")</f>
        <v>#REF!</v>
      </c>
      <c r="D750" s="2"/>
      <c r="E750" s="2" t="str">
        <f ca="1">IFERROR(__xludf.DUMMYFUNCTION("iferror(filter('Full Perk List'!E$3:E1498,'Full Perk List'!$D$3:$D1498=$D750),"""")"),"#REF!")</f>
        <v>#REF!</v>
      </c>
      <c r="F750" s="2" t="str">
        <f ca="1">IFERROR(__xludf.DUMMYFUNCTION("iferror(filter('Full Perk List'!F$3:F1498,'Full Perk List'!$D$3:$D1498=$D750),"""")"),"#REF!")</f>
        <v>#REF!</v>
      </c>
      <c r="G750" s="2" t="str">
        <f ca="1">IFERROR(__xludf.DUMMYFUNCTION("iferror(filter('Full Perk List'!G$3:G1498,'Full Perk List'!$D$3:$D1498=$D750),"""")"),"#REF!")</f>
        <v>#REF!</v>
      </c>
      <c r="H750" s="1"/>
      <c r="I750" s="2"/>
      <c r="J750" s="2"/>
      <c r="K750" s="2"/>
      <c r="L750" s="2"/>
      <c r="M750" s="2"/>
      <c r="N750" s="2"/>
      <c r="O750" s="2"/>
      <c r="P750" s="2"/>
      <c r="Q750" s="2"/>
      <c r="R750" s="2"/>
      <c r="S750" s="2"/>
      <c r="T750" s="2"/>
      <c r="U750" s="2"/>
      <c r="V750" s="2"/>
      <c r="W750" s="2"/>
      <c r="X750" s="2"/>
      <c r="Y750" s="2"/>
    </row>
    <row r="751" spans="1:25" ht="17.399999999999999" x14ac:dyDescent="0.25">
      <c r="A751" s="1"/>
      <c r="B751" s="40"/>
      <c r="C751" s="2" t="str">
        <f ca="1">IFERROR(__xludf.DUMMYFUNCTION("iferror(filter('Full Perk List'!C$3:C1498,'Full Perk List'!$D$3:$D1498=$D751),"""")"),"#REF!")</f>
        <v>#REF!</v>
      </c>
      <c r="D751" s="2"/>
      <c r="E751" s="2" t="str">
        <f ca="1">IFERROR(__xludf.DUMMYFUNCTION("iferror(filter('Full Perk List'!E$3:E1498,'Full Perk List'!$D$3:$D1498=$D751),"""")"),"#REF!")</f>
        <v>#REF!</v>
      </c>
      <c r="F751" s="2" t="str">
        <f ca="1">IFERROR(__xludf.DUMMYFUNCTION("iferror(filter('Full Perk List'!F$3:F1498,'Full Perk List'!$D$3:$D1498=$D751),"""")"),"#REF!")</f>
        <v>#REF!</v>
      </c>
      <c r="G751" s="2" t="str">
        <f ca="1">IFERROR(__xludf.DUMMYFUNCTION("iferror(filter('Full Perk List'!G$3:G1498,'Full Perk List'!$D$3:$D1498=$D751),"""")"),"#REF!")</f>
        <v>#REF!</v>
      </c>
      <c r="H751" s="1"/>
      <c r="I751" s="2"/>
      <c r="J751" s="2"/>
      <c r="K751" s="2"/>
      <c r="L751" s="2"/>
      <c r="M751" s="2"/>
      <c r="N751" s="2"/>
      <c r="O751" s="2"/>
      <c r="P751" s="2"/>
      <c r="Q751" s="2"/>
      <c r="R751" s="2"/>
      <c r="S751" s="2"/>
      <c r="T751" s="2"/>
      <c r="U751" s="2"/>
      <c r="V751" s="2"/>
      <c r="W751" s="2"/>
      <c r="X751" s="2"/>
      <c r="Y751" s="2"/>
    </row>
    <row r="752" spans="1:25" ht="17.399999999999999" x14ac:dyDescent="0.25">
      <c r="A752" s="1"/>
      <c r="B752" s="40"/>
      <c r="C752" s="2" t="str">
        <f ca="1">IFERROR(__xludf.DUMMYFUNCTION("iferror(filter('Full Perk List'!C$3:C1498,'Full Perk List'!$D$3:$D1498=$D752),"""")"),"#REF!")</f>
        <v>#REF!</v>
      </c>
      <c r="D752" s="2"/>
      <c r="E752" s="2" t="str">
        <f ca="1">IFERROR(__xludf.DUMMYFUNCTION("iferror(filter('Full Perk List'!E$3:E1498,'Full Perk List'!$D$3:$D1498=$D752),"""")"),"#REF!")</f>
        <v>#REF!</v>
      </c>
      <c r="F752" s="2" t="str">
        <f ca="1">IFERROR(__xludf.DUMMYFUNCTION("iferror(filter('Full Perk List'!F$3:F1498,'Full Perk List'!$D$3:$D1498=$D752),"""")"),"#REF!")</f>
        <v>#REF!</v>
      </c>
      <c r="G752" s="2" t="str">
        <f ca="1">IFERROR(__xludf.DUMMYFUNCTION("iferror(filter('Full Perk List'!G$3:G1498,'Full Perk List'!$D$3:$D1498=$D752),"""")"),"#REF!")</f>
        <v>#REF!</v>
      </c>
      <c r="H752" s="1"/>
      <c r="I752" s="2"/>
      <c r="J752" s="2"/>
      <c r="K752" s="2"/>
      <c r="L752" s="2"/>
      <c r="M752" s="2"/>
      <c r="N752" s="2"/>
      <c r="O752" s="2"/>
      <c r="P752" s="2"/>
      <c r="Q752" s="2"/>
      <c r="R752" s="2"/>
      <c r="S752" s="2"/>
      <c r="T752" s="2"/>
      <c r="U752" s="2"/>
      <c r="V752" s="2"/>
      <c r="W752" s="2"/>
      <c r="X752" s="2"/>
      <c r="Y752" s="2"/>
    </row>
    <row r="753" spans="1:25" ht="17.399999999999999" x14ac:dyDescent="0.25">
      <c r="A753" s="1"/>
      <c r="B753" s="40"/>
      <c r="C753" s="2" t="str">
        <f ca="1">IFERROR(__xludf.DUMMYFUNCTION("iferror(filter('Full Perk List'!C$3:C1498,'Full Perk List'!$D$3:$D1498=$D753),"""")"),"#REF!")</f>
        <v>#REF!</v>
      </c>
      <c r="D753" s="2"/>
      <c r="E753" s="2" t="str">
        <f ca="1">IFERROR(__xludf.DUMMYFUNCTION("iferror(filter('Full Perk List'!E$3:E1498,'Full Perk List'!$D$3:$D1498=$D753),"""")"),"#REF!")</f>
        <v>#REF!</v>
      </c>
      <c r="F753" s="2" t="str">
        <f ca="1">IFERROR(__xludf.DUMMYFUNCTION("iferror(filter('Full Perk List'!F$3:F1498,'Full Perk List'!$D$3:$D1498=$D753),"""")"),"#REF!")</f>
        <v>#REF!</v>
      </c>
      <c r="G753" s="2" t="str">
        <f ca="1">IFERROR(__xludf.DUMMYFUNCTION("iferror(filter('Full Perk List'!G$3:G1498,'Full Perk List'!$D$3:$D1498=$D753),"""")"),"#REF!")</f>
        <v>#REF!</v>
      </c>
      <c r="H753" s="1"/>
      <c r="I753" s="2"/>
      <c r="J753" s="2"/>
      <c r="K753" s="2"/>
      <c r="L753" s="2"/>
      <c r="M753" s="2"/>
      <c r="N753" s="2"/>
      <c r="O753" s="2"/>
      <c r="P753" s="2"/>
      <c r="Q753" s="2"/>
      <c r="R753" s="2"/>
      <c r="S753" s="2"/>
      <c r="T753" s="2"/>
      <c r="U753" s="2"/>
      <c r="V753" s="2"/>
      <c r="W753" s="2"/>
      <c r="X753" s="2"/>
      <c r="Y753" s="2"/>
    </row>
    <row r="754" spans="1:25" ht="17.399999999999999" x14ac:dyDescent="0.25">
      <c r="A754" s="1"/>
      <c r="B754" s="40"/>
      <c r="C754" s="2" t="str">
        <f ca="1">IFERROR(__xludf.DUMMYFUNCTION("iferror(filter('Full Perk List'!C$3:C1498,'Full Perk List'!$D$3:$D1498=$D754),"""")"),"#REF!")</f>
        <v>#REF!</v>
      </c>
      <c r="D754" s="2"/>
      <c r="E754" s="2" t="str">
        <f ca="1">IFERROR(__xludf.DUMMYFUNCTION("iferror(filter('Full Perk List'!E$3:E1498,'Full Perk List'!$D$3:$D1498=$D754),"""")"),"#REF!")</f>
        <v>#REF!</v>
      </c>
      <c r="F754" s="2" t="str">
        <f ca="1">IFERROR(__xludf.DUMMYFUNCTION("iferror(filter('Full Perk List'!F$3:F1498,'Full Perk List'!$D$3:$D1498=$D754),"""")"),"#REF!")</f>
        <v>#REF!</v>
      </c>
      <c r="G754" s="2" t="str">
        <f ca="1">IFERROR(__xludf.DUMMYFUNCTION("iferror(filter('Full Perk List'!G$3:G1498,'Full Perk List'!$D$3:$D1498=$D754),"""")"),"#REF!")</f>
        <v>#REF!</v>
      </c>
      <c r="H754" s="1"/>
      <c r="I754" s="2"/>
      <c r="J754" s="2"/>
      <c r="K754" s="2"/>
      <c r="L754" s="2"/>
      <c r="M754" s="2"/>
      <c r="N754" s="2"/>
      <c r="O754" s="2"/>
      <c r="P754" s="2"/>
      <c r="Q754" s="2"/>
      <c r="R754" s="2"/>
      <c r="S754" s="2"/>
      <c r="T754" s="2"/>
      <c r="U754" s="2"/>
      <c r="V754" s="2"/>
      <c r="W754" s="2"/>
      <c r="X754" s="2"/>
      <c r="Y754" s="2"/>
    </row>
    <row r="755" spans="1:25" ht="17.399999999999999" x14ac:dyDescent="0.25">
      <c r="A755" s="1"/>
      <c r="B755" s="40"/>
      <c r="C755" s="2" t="str">
        <f ca="1">IFERROR(__xludf.DUMMYFUNCTION("iferror(filter('Full Perk List'!C$3:C1498,'Full Perk List'!$D$3:$D1498=$D755),"""")"),"#REF!")</f>
        <v>#REF!</v>
      </c>
      <c r="D755" s="2"/>
      <c r="E755" s="2" t="str">
        <f ca="1">IFERROR(__xludf.DUMMYFUNCTION("iferror(filter('Full Perk List'!E$3:E1498,'Full Perk List'!$D$3:$D1498=$D755),"""")"),"#REF!")</f>
        <v>#REF!</v>
      </c>
      <c r="F755" s="2" t="str">
        <f ca="1">IFERROR(__xludf.DUMMYFUNCTION("iferror(filter('Full Perk List'!F$3:F1498,'Full Perk List'!$D$3:$D1498=$D755),"""")"),"#REF!")</f>
        <v>#REF!</v>
      </c>
      <c r="G755" s="2" t="str">
        <f ca="1">IFERROR(__xludf.DUMMYFUNCTION("iferror(filter('Full Perk List'!G$3:G1498,'Full Perk List'!$D$3:$D1498=$D755),"""")"),"#REF!")</f>
        <v>#REF!</v>
      </c>
      <c r="H755" s="1"/>
      <c r="I755" s="2"/>
      <c r="J755" s="2"/>
      <c r="K755" s="2"/>
      <c r="L755" s="2"/>
      <c r="M755" s="2"/>
      <c r="N755" s="2"/>
      <c r="O755" s="2"/>
      <c r="P755" s="2"/>
      <c r="Q755" s="2"/>
      <c r="R755" s="2"/>
      <c r="S755" s="2"/>
      <c r="T755" s="2"/>
      <c r="U755" s="2"/>
      <c r="V755" s="2"/>
      <c r="W755" s="2"/>
      <c r="X755" s="2"/>
      <c r="Y755" s="2"/>
    </row>
    <row r="756" spans="1:25" ht="17.399999999999999" x14ac:dyDescent="0.25">
      <c r="A756" s="1"/>
      <c r="B756" s="40"/>
      <c r="C756" s="2" t="str">
        <f ca="1">IFERROR(__xludf.DUMMYFUNCTION("iferror(filter('Full Perk List'!C$3:C1498,'Full Perk List'!$D$3:$D1498=$D756),"""")"),"#REF!")</f>
        <v>#REF!</v>
      </c>
      <c r="D756" s="2"/>
      <c r="E756" s="2" t="str">
        <f ca="1">IFERROR(__xludf.DUMMYFUNCTION("iferror(filter('Full Perk List'!E$3:E1498,'Full Perk List'!$D$3:$D1498=$D756),"""")"),"#REF!")</f>
        <v>#REF!</v>
      </c>
      <c r="F756" s="2" t="str">
        <f ca="1">IFERROR(__xludf.DUMMYFUNCTION("iferror(filter('Full Perk List'!F$3:F1498,'Full Perk List'!$D$3:$D1498=$D756),"""")"),"#REF!")</f>
        <v>#REF!</v>
      </c>
      <c r="G756" s="2" t="str">
        <f ca="1">IFERROR(__xludf.DUMMYFUNCTION("iferror(filter('Full Perk List'!G$3:G1498,'Full Perk List'!$D$3:$D1498=$D756),"""")"),"#REF!")</f>
        <v>#REF!</v>
      </c>
      <c r="H756" s="1"/>
      <c r="I756" s="2"/>
      <c r="J756" s="2"/>
      <c r="K756" s="2"/>
      <c r="L756" s="2"/>
      <c r="M756" s="2"/>
      <c r="N756" s="2"/>
      <c r="O756" s="2"/>
      <c r="P756" s="2"/>
      <c r="Q756" s="2"/>
      <c r="R756" s="2"/>
      <c r="S756" s="2"/>
      <c r="T756" s="2"/>
      <c r="U756" s="2"/>
      <c r="V756" s="2"/>
      <c r="W756" s="2"/>
      <c r="X756" s="2"/>
      <c r="Y756" s="2"/>
    </row>
    <row r="757" spans="1:25" ht="17.399999999999999" x14ac:dyDescent="0.25">
      <c r="A757" s="1"/>
      <c r="B757" s="40"/>
      <c r="C757" s="2" t="str">
        <f ca="1">IFERROR(__xludf.DUMMYFUNCTION("iferror(filter('Full Perk List'!C$3:C1498,'Full Perk List'!$D$3:$D1498=$D757),"""")"),"#REF!")</f>
        <v>#REF!</v>
      </c>
      <c r="D757" s="2"/>
      <c r="E757" s="2" t="str">
        <f ca="1">IFERROR(__xludf.DUMMYFUNCTION("iferror(filter('Full Perk List'!E$3:E1498,'Full Perk List'!$D$3:$D1498=$D757),"""")"),"#REF!")</f>
        <v>#REF!</v>
      </c>
      <c r="F757" s="2" t="str">
        <f ca="1">IFERROR(__xludf.DUMMYFUNCTION("iferror(filter('Full Perk List'!F$3:F1498,'Full Perk List'!$D$3:$D1498=$D757),"""")"),"#REF!")</f>
        <v>#REF!</v>
      </c>
      <c r="G757" s="2" t="str">
        <f ca="1">IFERROR(__xludf.DUMMYFUNCTION("iferror(filter('Full Perk List'!G$3:G1498,'Full Perk List'!$D$3:$D1498=$D757),"""")"),"#REF!")</f>
        <v>#REF!</v>
      </c>
      <c r="H757" s="1"/>
      <c r="I757" s="2"/>
      <c r="J757" s="2"/>
      <c r="K757" s="2"/>
      <c r="L757" s="2"/>
      <c r="M757" s="2"/>
      <c r="N757" s="2"/>
      <c r="O757" s="2"/>
      <c r="P757" s="2"/>
      <c r="Q757" s="2"/>
      <c r="R757" s="2"/>
      <c r="S757" s="2"/>
      <c r="T757" s="2"/>
      <c r="U757" s="2"/>
      <c r="V757" s="2"/>
      <c r="W757" s="2"/>
      <c r="X757" s="2"/>
      <c r="Y757" s="2"/>
    </row>
    <row r="758" spans="1:25" ht="17.399999999999999" x14ac:dyDescent="0.25">
      <c r="A758" s="1"/>
      <c r="B758" s="40"/>
      <c r="C758" s="2" t="str">
        <f ca="1">IFERROR(__xludf.DUMMYFUNCTION("iferror(filter('Full Perk List'!C$3:C1498,'Full Perk List'!$D$3:$D1498=$D758),"""")"),"#REF!")</f>
        <v>#REF!</v>
      </c>
      <c r="D758" s="2"/>
      <c r="E758" s="2" t="str">
        <f ca="1">IFERROR(__xludf.DUMMYFUNCTION("iferror(filter('Full Perk List'!E$3:E1498,'Full Perk List'!$D$3:$D1498=$D758),"""")"),"#REF!")</f>
        <v>#REF!</v>
      </c>
      <c r="F758" s="2" t="str">
        <f ca="1">IFERROR(__xludf.DUMMYFUNCTION("iferror(filter('Full Perk List'!F$3:F1498,'Full Perk List'!$D$3:$D1498=$D758),"""")"),"#REF!")</f>
        <v>#REF!</v>
      </c>
      <c r="G758" s="2" t="str">
        <f ca="1">IFERROR(__xludf.DUMMYFUNCTION("iferror(filter('Full Perk List'!G$3:G1498,'Full Perk List'!$D$3:$D1498=$D758),"""")"),"#REF!")</f>
        <v>#REF!</v>
      </c>
      <c r="H758" s="1"/>
      <c r="I758" s="2"/>
      <c r="J758" s="2"/>
      <c r="K758" s="2"/>
      <c r="L758" s="2"/>
      <c r="M758" s="2"/>
      <c r="N758" s="2"/>
      <c r="O758" s="2"/>
      <c r="P758" s="2"/>
      <c r="Q758" s="2"/>
      <c r="R758" s="2"/>
      <c r="S758" s="2"/>
      <c r="T758" s="2"/>
      <c r="U758" s="2"/>
      <c r="V758" s="2"/>
      <c r="W758" s="2"/>
      <c r="X758" s="2"/>
      <c r="Y758" s="2"/>
    </row>
    <row r="759" spans="1:25" ht="17.399999999999999" x14ac:dyDescent="0.25">
      <c r="A759" s="1"/>
      <c r="B759" s="40"/>
      <c r="C759" s="2" t="str">
        <f ca="1">IFERROR(__xludf.DUMMYFUNCTION("iferror(filter('Full Perk List'!C$3:C1498,'Full Perk List'!$D$3:$D1498=$D759),"""")"),"#REF!")</f>
        <v>#REF!</v>
      </c>
      <c r="D759" s="2"/>
      <c r="E759" s="2" t="str">
        <f ca="1">IFERROR(__xludf.DUMMYFUNCTION("iferror(filter('Full Perk List'!E$3:E1498,'Full Perk List'!$D$3:$D1498=$D759),"""")"),"#REF!")</f>
        <v>#REF!</v>
      </c>
      <c r="F759" s="2" t="str">
        <f ca="1">IFERROR(__xludf.DUMMYFUNCTION("iferror(filter('Full Perk List'!F$3:F1498,'Full Perk List'!$D$3:$D1498=$D759),"""")"),"#REF!")</f>
        <v>#REF!</v>
      </c>
      <c r="G759" s="2" t="str">
        <f ca="1">IFERROR(__xludf.DUMMYFUNCTION("iferror(filter('Full Perk List'!G$3:G1498,'Full Perk List'!$D$3:$D1498=$D759),"""")"),"#REF!")</f>
        <v>#REF!</v>
      </c>
      <c r="H759" s="1"/>
      <c r="I759" s="2"/>
      <c r="J759" s="2"/>
      <c r="K759" s="2"/>
      <c r="L759" s="2"/>
      <c r="M759" s="2"/>
      <c r="N759" s="2"/>
      <c r="O759" s="2"/>
      <c r="P759" s="2"/>
      <c r="Q759" s="2"/>
      <c r="R759" s="2"/>
      <c r="S759" s="2"/>
      <c r="T759" s="2"/>
      <c r="U759" s="2"/>
      <c r="V759" s="2"/>
      <c r="W759" s="2"/>
      <c r="X759" s="2"/>
      <c r="Y759" s="2"/>
    </row>
    <row r="760" spans="1:25" ht="17.399999999999999" x14ac:dyDescent="0.25">
      <c r="A760" s="1"/>
      <c r="B760" s="40"/>
      <c r="C760" s="2" t="str">
        <f ca="1">IFERROR(__xludf.DUMMYFUNCTION("iferror(filter('Full Perk List'!C$3:C1498,'Full Perk List'!$D$3:$D1498=$D760),"""")"),"#REF!")</f>
        <v>#REF!</v>
      </c>
      <c r="D760" s="2"/>
      <c r="E760" s="2" t="str">
        <f ca="1">IFERROR(__xludf.DUMMYFUNCTION("iferror(filter('Full Perk List'!E$3:E1498,'Full Perk List'!$D$3:$D1498=$D760),"""")"),"#REF!")</f>
        <v>#REF!</v>
      </c>
      <c r="F760" s="2" t="str">
        <f ca="1">IFERROR(__xludf.DUMMYFUNCTION("iferror(filter('Full Perk List'!F$3:F1498,'Full Perk List'!$D$3:$D1498=$D760),"""")"),"#REF!")</f>
        <v>#REF!</v>
      </c>
      <c r="G760" s="2" t="str">
        <f ca="1">IFERROR(__xludf.DUMMYFUNCTION("iferror(filter('Full Perk List'!G$3:G1498,'Full Perk List'!$D$3:$D1498=$D760),"""")"),"#REF!")</f>
        <v>#REF!</v>
      </c>
      <c r="H760" s="1"/>
      <c r="I760" s="2"/>
      <c r="J760" s="2"/>
      <c r="K760" s="2"/>
      <c r="L760" s="2"/>
      <c r="M760" s="2"/>
      <c r="N760" s="2"/>
      <c r="O760" s="2"/>
      <c r="P760" s="2"/>
      <c r="Q760" s="2"/>
      <c r="R760" s="2"/>
      <c r="S760" s="2"/>
      <c r="T760" s="2"/>
      <c r="U760" s="2"/>
      <c r="V760" s="2"/>
      <c r="W760" s="2"/>
      <c r="X760" s="2"/>
      <c r="Y760" s="2"/>
    </row>
    <row r="761" spans="1:25" ht="17.399999999999999" x14ac:dyDescent="0.25">
      <c r="A761" s="1"/>
      <c r="B761" s="40"/>
      <c r="C761" s="2" t="str">
        <f ca="1">IFERROR(__xludf.DUMMYFUNCTION("iferror(filter('Full Perk List'!C$3:C1498,'Full Perk List'!$D$3:$D1498=$D761),"""")"),"#REF!")</f>
        <v>#REF!</v>
      </c>
      <c r="D761" s="2"/>
      <c r="E761" s="2" t="str">
        <f ca="1">IFERROR(__xludf.DUMMYFUNCTION("iferror(filter('Full Perk List'!E$3:E1498,'Full Perk List'!$D$3:$D1498=$D761),"""")"),"#REF!")</f>
        <v>#REF!</v>
      </c>
      <c r="F761" s="2" t="str">
        <f ca="1">IFERROR(__xludf.DUMMYFUNCTION("iferror(filter('Full Perk List'!F$3:F1498,'Full Perk List'!$D$3:$D1498=$D761),"""")"),"#REF!")</f>
        <v>#REF!</v>
      </c>
      <c r="G761" s="2" t="str">
        <f ca="1">IFERROR(__xludf.DUMMYFUNCTION("iferror(filter('Full Perk List'!G$3:G1498,'Full Perk List'!$D$3:$D1498=$D761),"""")"),"#REF!")</f>
        <v>#REF!</v>
      </c>
      <c r="H761" s="1"/>
      <c r="I761" s="2"/>
      <c r="J761" s="2"/>
      <c r="K761" s="2"/>
      <c r="L761" s="2"/>
      <c r="M761" s="2"/>
      <c r="N761" s="2"/>
      <c r="O761" s="2"/>
      <c r="P761" s="2"/>
      <c r="Q761" s="2"/>
      <c r="R761" s="2"/>
      <c r="S761" s="2"/>
      <c r="T761" s="2"/>
      <c r="U761" s="2"/>
      <c r="V761" s="2"/>
      <c r="W761" s="2"/>
      <c r="X761" s="2"/>
      <c r="Y761" s="2"/>
    </row>
    <row r="762" spans="1:25" ht="17.399999999999999" x14ac:dyDescent="0.25">
      <c r="A762" s="1"/>
      <c r="B762" s="40"/>
      <c r="C762" s="2" t="str">
        <f ca="1">IFERROR(__xludf.DUMMYFUNCTION("iferror(filter('Full Perk List'!C$3:C1498,'Full Perk List'!$D$3:$D1498=$D762),"""")"),"#REF!")</f>
        <v>#REF!</v>
      </c>
      <c r="D762" s="2"/>
      <c r="E762" s="2" t="str">
        <f ca="1">IFERROR(__xludf.DUMMYFUNCTION("iferror(filter('Full Perk List'!E$3:E1498,'Full Perk List'!$D$3:$D1498=$D762),"""")"),"#REF!")</f>
        <v>#REF!</v>
      </c>
      <c r="F762" s="2" t="str">
        <f ca="1">IFERROR(__xludf.DUMMYFUNCTION("iferror(filter('Full Perk List'!F$3:F1498,'Full Perk List'!$D$3:$D1498=$D762),"""")"),"#REF!")</f>
        <v>#REF!</v>
      </c>
      <c r="G762" s="2" t="str">
        <f ca="1">IFERROR(__xludf.DUMMYFUNCTION("iferror(filter('Full Perk List'!G$3:G1498,'Full Perk List'!$D$3:$D1498=$D762),"""")"),"#REF!")</f>
        <v>#REF!</v>
      </c>
      <c r="H762" s="1"/>
      <c r="I762" s="2"/>
      <c r="J762" s="2"/>
      <c r="K762" s="2"/>
      <c r="L762" s="2"/>
      <c r="M762" s="2"/>
      <c r="N762" s="2"/>
      <c r="O762" s="2"/>
      <c r="P762" s="2"/>
      <c r="Q762" s="2"/>
      <c r="R762" s="2"/>
      <c r="S762" s="2"/>
      <c r="T762" s="2"/>
      <c r="U762" s="2"/>
      <c r="V762" s="2"/>
      <c r="W762" s="2"/>
      <c r="X762" s="2"/>
      <c r="Y762" s="2"/>
    </row>
    <row r="763" spans="1:25" ht="17.399999999999999" x14ac:dyDescent="0.25">
      <c r="A763" s="1"/>
      <c r="B763" s="40"/>
      <c r="C763" s="2" t="str">
        <f ca="1">IFERROR(__xludf.DUMMYFUNCTION("iferror(filter('Full Perk List'!C$3:C1498,'Full Perk List'!$D$3:$D1498=$D763),"""")"),"#REF!")</f>
        <v>#REF!</v>
      </c>
      <c r="D763" s="2"/>
      <c r="E763" s="2" t="str">
        <f ca="1">IFERROR(__xludf.DUMMYFUNCTION("iferror(filter('Full Perk List'!E$3:E1498,'Full Perk List'!$D$3:$D1498=$D763),"""")"),"#REF!")</f>
        <v>#REF!</v>
      </c>
      <c r="F763" s="2" t="str">
        <f ca="1">IFERROR(__xludf.DUMMYFUNCTION("iferror(filter('Full Perk List'!F$3:F1498,'Full Perk List'!$D$3:$D1498=$D763),"""")"),"#REF!")</f>
        <v>#REF!</v>
      </c>
      <c r="G763" s="2" t="str">
        <f ca="1">IFERROR(__xludf.DUMMYFUNCTION("iferror(filter('Full Perk List'!G$3:G1498,'Full Perk List'!$D$3:$D1498=$D763),"""")"),"#REF!")</f>
        <v>#REF!</v>
      </c>
      <c r="H763" s="1"/>
      <c r="I763" s="2"/>
      <c r="J763" s="2"/>
      <c r="K763" s="2"/>
      <c r="L763" s="2"/>
      <c r="M763" s="2"/>
      <c r="N763" s="2"/>
      <c r="O763" s="2"/>
      <c r="P763" s="2"/>
      <c r="Q763" s="2"/>
      <c r="R763" s="2"/>
      <c r="S763" s="2"/>
      <c r="T763" s="2"/>
      <c r="U763" s="2"/>
      <c r="V763" s="2"/>
      <c r="W763" s="2"/>
      <c r="X763" s="2"/>
      <c r="Y763" s="2"/>
    </row>
    <row r="764" spans="1:25" ht="17.399999999999999" x14ac:dyDescent="0.25">
      <c r="A764" s="1"/>
      <c r="B764" s="40"/>
      <c r="C764" s="2" t="str">
        <f ca="1">IFERROR(__xludf.DUMMYFUNCTION("iferror(filter('Full Perk List'!C$3:C1498,'Full Perk List'!$D$3:$D1498=$D764),"""")"),"#REF!")</f>
        <v>#REF!</v>
      </c>
      <c r="D764" s="2"/>
      <c r="E764" s="2" t="str">
        <f ca="1">IFERROR(__xludf.DUMMYFUNCTION("iferror(filter('Full Perk List'!E$3:E1498,'Full Perk List'!$D$3:$D1498=$D764),"""")"),"#REF!")</f>
        <v>#REF!</v>
      </c>
      <c r="F764" s="2" t="str">
        <f ca="1">IFERROR(__xludf.DUMMYFUNCTION("iferror(filter('Full Perk List'!F$3:F1498,'Full Perk List'!$D$3:$D1498=$D764),"""")"),"#REF!")</f>
        <v>#REF!</v>
      </c>
      <c r="G764" s="2" t="str">
        <f ca="1">IFERROR(__xludf.DUMMYFUNCTION("iferror(filter('Full Perk List'!G$3:G1498,'Full Perk List'!$D$3:$D1498=$D764),"""")"),"#REF!")</f>
        <v>#REF!</v>
      </c>
      <c r="H764" s="1"/>
      <c r="I764" s="2"/>
      <c r="J764" s="2"/>
      <c r="K764" s="2"/>
      <c r="L764" s="2"/>
      <c r="M764" s="2"/>
      <c r="N764" s="2"/>
      <c r="O764" s="2"/>
      <c r="P764" s="2"/>
      <c r="Q764" s="2"/>
      <c r="R764" s="2"/>
      <c r="S764" s="2"/>
      <c r="T764" s="2"/>
      <c r="U764" s="2"/>
      <c r="V764" s="2"/>
      <c r="W764" s="2"/>
      <c r="X764" s="2"/>
      <c r="Y764" s="2"/>
    </row>
    <row r="765" spans="1:25" ht="17.399999999999999" x14ac:dyDescent="0.25">
      <c r="A765" s="1"/>
      <c r="B765" s="40"/>
      <c r="C765" s="2" t="str">
        <f ca="1">IFERROR(__xludf.DUMMYFUNCTION("iferror(filter('Full Perk List'!C$3:C1498,'Full Perk List'!$D$3:$D1498=$D765),"""")"),"#REF!")</f>
        <v>#REF!</v>
      </c>
      <c r="D765" s="2"/>
      <c r="E765" s="2" t="str">
        <f ca="1">IFERROR(__xludf.DUMMYFUNCTION("iferror(filter('Full Perk List'!E$3:E1498,'Full Perk List'!$D$3:$D1498=$D765),"""")"),"#REF!")</f>
        <v>#REF!</v>
      </c>
      <c r="F765" s="2" t="str">
        <f ca="1">IFERROR(__xludf.DUMMYFUNCTION("iferror(filter('Full Perk List'!F$3:F1498,'Full Perk List'!$D$3:$D1498=$D765),"""")"),"#REF!")</f>
        <v>#REF!</v>
      </c>
      <c r="G765" s="2" t="str">
        <f ca="1">IFERROR(__xludf.DUMMYFUNCTION("iferror(filter('Full Perk List'!G$3:G1498,'Full Perk List'!$D$3:$D1498=$D765),"""")"),"#REF!")</f>
        <v>#REF!</v>
      </c>
      <c r="H765" s="1"/>
      <c r="I765" s="2"/>
      <c r="J765" s="2"/>
      <c r="K765" s="2"/>
      <c r="L765" s="2"/>
      <c r="M765" s="2"/>
      <c r="N765" s="2"/>
      <c r="O765" s="2"/>
      <c r="P765" s="2"/>
      <c r="Q765" s="2"/>
      <c r="R765" s="2"/>
      <c r="S765" s="2"/>
      <c r="T765" s="2"/>
      <c r="U765" s="2"/>
      <c r="V765" s="2"/>
      <c r="W765" s="2"/>
      <c r="X765" s="2"/>
      <c r="Y765" s="2"/>
    </row>
    <row r="766" spans="1:25" ht="17.399999999999999" x14ac:dyDescent="0.25">
      <c r="A766" s="1"/>
      <c r="B766" s="40"/>
      <c r="C766" s="2" t="str">
        <f ca="1">IFERROR(__xludf.DUMMYFUNCTION("iferror(filter('Full Perk List'!C$3:C1498,'Full Perk List'!$D$3:$D1498=$D766),"""")"),"#REF!")</f>
        <v>#REF!</v>
      </c>
      <c r="D766" s="2"/>
      <c r="E766" s="2" t="str">
        <f ca="1">IFERROR(__xludf.DUMMYFUNCTION("iferror(filter('Full Perk List'!E$3:E1498,'Full Perk List'!$D$3:$D1498=$D766),"""")"),"#REF!")</f>
        <v>#REF!</v>
      </c>
      <c r="F766" s="2" t="str">
        <f ca="1">IFERROR(__xludf.DUMMYFUNCTION("iferror(filter('Full Perk List'!F$3:F1498,'Full Perk List'!$D$3:$D1498=$D766),"""")"),"#REF!")</f>
        <v>#REF!</v>
      </c>
      <c r="G766" s="2" t="str">
        <f ca="1">IFERROR(__xludf.DUMMYFUNCTION("iferror(filter('Full Perk List'!G$3:G1498,'Full Perk List'!$D$3:$D1498=$D766),"""")"),"#REF!")</f>
        <v>#REF!</v>
      </c>
      <c r="H766" s="1"/>
      <c r="I766" s="2"/>
      <c r="J766" s="2"/>
      <c r="K766" s="2"/>
      <c r="L766" s="2"/>
      <c r="M766" s="2"/>
      <c r="N766" s="2"/>
      <c r="O766" s="2"/>
      <c r="P766" s="2"/>
      <c r="Q766" s="2"/>
      <c r="R766" s="2"/>
      <c r="S766" s="2"/>
      <c r="T766" s="2"/>
      <c r="U766" s="2"/>
      <c r="V766" s="2"/>
      <c r="W766" s="2"/>
      <c r="X766" s="2"/>
      <c r="Y766" s="2"/>
    </row>
    <row r="767" spans="1:25" ht="17.399999999999999" x14ac:dyDescent="0.25">
      <c r="A767" s="1"/>
      <c r="B767" s="40"/>
      <c r="C767" s="2" t="str">
        <f ca="1">IFERROR(__xludf.DUMMYFUNCTION("iferror(filter('Full Perk List'!C$3:C1498,'Full Perk List'!$D$3:$D1498=$D767),"""")"),"#REF!")</f>
        <v>#REF!</v>
      </c>
      <c r="D767" s="2"/>
      <c r="E767" s="2" t="str">
        <f ca="1">IFERROR(__xludf.DUMMYFUNCTION("iferror(filter('Full Perk List'!E$3:E1498,'Full Perk List'!$D$3:$D1498=$D767),"""")"),"#REF!")</f>
        <v>#REF!</v>
      </c>
      <c r="F767" s="2" t="str">
        <f ca="1">IFERROR(__xludf.DUMMYFUNCTION("iferror(filter('Full Perk List'!F$3:F1498,'Full Perk List'!$D$3:$D1498=$D767),"""")"),"#REF!")</f>
        <v>#REF!</v>
      </c>
      <c r="G767" s="2" t="str">
        <f ca="1">IFERROR(__xludf.DUMMYFUNCTION("iferror(filter('Full Perk List'!G$3:G1498,'Full Perk List'!$D$3:$D1498=$D767),"""")"),"#REF!")</f>
        <v>#REF!</v>
      </c>
      <c r="H767" s="1"/>
      <c r="I767" s="2"/>
      <c r="J767" s="2"/>
      <c r="K767" s="2"/>
      <c r="L767" s="2"/>
      <c r="M767" s="2"/>
      <c r="N767" s="2"/>
      <c r="O767" s="2"/>
      <c r="P767" s="2"/>
      <c r="Q767" s="2"/>
      <c r="R767" s="2"/>
      <c r="S767" s="2"/>
      <c r="T767" s="2"/>
      <c r="U767" s="2"/>
      <c r="V767" s="2"/>
      <c r="W767" s="2"/>
      <c r="X767" s="2"/>
      <c r="Y767" s="2"/>
    </row>
    <row r="768" spans="1:25" ht="17.399999999999999" x14ac:dyDescent="0.25">
      <c r="A768" s="1"/>
      <c r="B768" s="40"/>
      <c r="C768" s="2" t="str">
        <f ca="1">IFERROR(__xludf.DUMMYFUNCTION("iferror(filter('Full Perk List'!C$3:C1498,'Full Perk List'!$D$3:$D1498=$D768),"""")"),"#REF!")</f>
        <v>#REF!</v>
      </c>
      <c r="D768" s="2"/>
      <c r="E768" s="2" t="str">
        <f ca="1">IFERROR(__xludf.DUMMYFUNCTION("iferror(filter('Full Perk List'!E$3:E1498,'Full Perk List'!$D$3:$D1498=$D768),"""")"),"#REF!")</f>
        <v>#REF!</v>
      </c>
      <c r="F768" s="2" t="str">
        <f ca="1">IFERROR(__xludf.DUMMYFUNCTION("iferror(filter('Full Perk List'!F$3:F1498,'Full Perk List'!$D$3:$D1498=$D768),"""")"),"#REF!")</f>
        <v>#REF!</v>
      </c>
      <c r="G768" s="2" t="str">
        <f ca="1">IFERROR(__xludf.DUMMYFUNCTION("iferror(filter('Full Perk List'!G$3:G1498,'Full Perk List'!$D$3:$D1498=$D768),"""")"),"#REF!")</f>
        <v>#REF!</v>
      </c>
      <c r="H768" s="1"/>
      <c r="I768" s="2"/>
      <c r="J768" s="2"/>
      <c r="K768" s="2"/>
      <c r="L768" s="2"/>
      <c r="M768" s="2"/>
      <c r="N768" s="2"/>
      <c r="O768" s="2"/>
      <c r="P768" s="2"/>
      <c r="Q768" s="2"/>
      <c r="R768" s="2"/>
      <c r="S768" s="2"/>
      <c r="T768" s="2"/>
      <c r="U768" s="2"/>
      <c r="V768" s="2"/>
      <c r="W768" s="2"/>
      <c r="X768" s="2"/>
      <c r="Y768" s="2"/>
    </row>
    <row r="769" spans="1:25" ht="17.399999999999999" x14ac:dyDescent="0.25">
      <c r="A769" s="1"/>
      <c r="B769" s="40"/>
      <c r="C769" s="2" t="str">
        <f ca="1">IFERROR(__xludf.DUMMYFUNCTION("iferror(filter('Full Perk List'!C$3:C1498,'Full Perk List'!$D$3:$D1498=$D769),"""")"),"#REF!")</f>
        <v>#REF!</v>
      </c>
      <c r="D769" s="2"/>
      <c r="E769" s="2" t="str">
        <f ca="1">IFERROR(__xludf.DUMMYFUNCTION("iferror(filter('Full Perk List'!E$3:E1498,'Full Perk List'!$D$3:$D1498=$D769),"""")"),"#REF!")</f>
        <v>#REF!</v>
      </c>
      <c r="F769" s="2" t="str">
        <f ca="1">IFERROR(__xludf.DUMMYFUNCTION("iferror(filter('Full Perk List'!F$3:F1498,'Full Perk List'!$D$3:$D1498=$D769),"""")"),"#REF!")</f>
        <v>#REF!</v>
      </c>
      <c r="G769" s="2" t="str">
        <f ca="1">IFERROR(__xludf.DUMMYFUNCTION("iferror(filter('Full Perk List'!G$3:G1498,'Full Perk List'!$D$3:$D1498=$D769),"""")"),"#REF!")</f>
        <v>#REF!</v>
      </c>
      <c r="H769" s="1"/>
      <c r="I769" s="2"/>
      <c r="J769" s="2"/>
      <c r="K769" s="2"/>
      <c r="L769" s="2"/>
      <c r="M769" s="2"/>
      <c r="N769" s="2"/>
      <c r="O769" s="2"/>
      <c r="P769" s="2"/>
      <c r="Q769" s="2"/>
      <c r="R769" s="2"/>
      <c r="S769" s="2"/>
      <c r="T769" s="2"/>
      <c r="U769" s="2"/>
      <c r="V769" s="2"/>
      <c r="W769" s="2"/>
      <c r="X769" s="2"/>
      <c r="Y769" s="2"/>
    </row>
    <row r="770" spans="1:25" ht="17.399999999999999" x14ac:dyDescent="0.25">
      <c r="A770" s="1"/>
      <c r="B770" s="40"/>
      <c r="C770" s="2" t="str">
        <f ca="1">IFERROR(__xludf.DUMMYFUNCTION("iferror(filter('Full Perk List'!C$3:C1498,'Full Perk List'!$D$3:$D1498=$D770),"""")"),"#REF!")</f>
        <v>#REF!</v>
      </c>
      <c r="D770" s="2"/>
      <c r="E770" s="2" t="str">
        <f ca="1">IFERROR(__xludf.DUMMYFUNCTION("iferror(filter('Full Perk List'!E$3:E1498,'Full Perk List'!$D$3:$D1498=$D770),"""")"),"#REF!")</f>
        <v>#REF!</v>
      </c>
      <c r="F770" s="2" t="str">
        <f ca="1">IFERROR(__xludf.DUMMYFUNCTION("iferror(filter('Full Perk List'!F$3:F1498,'Full Perk List'!$D$3:$D1498=$D770),"""")"),"#REF!")</f>
        <v>#REF!</v>
      </c>
      <c r="G770" s="2" t="str">
        <f ca="1">IFERROR(__xludf.DUMMYFUNCTION("iferror(filter('Full Perk List'!G$3:G1498,'Full Perk List'!$D$3:$D1498=$D770),"""")"),"#REF!")</f>
        <v>#REF!</v>
      </c>
      <c r="H770" s="1"/>
      <c r="I770" s="2"/>
      <c r="J770" s="2"/>
      <c r="K770" s="2"/>
      <c r="L770" s="2"/>
      <c r="M770" s="2"/>
      <c r="N770" s="2"/>
      <c r="O770" s="2"/>
      <c r="P770" s="2"/>
      <c r="Q770" s="2"/>
      <c r="R770" s="2"/>
      <c r="S770" s="2"/>
      <c r="T770" s="2"/>
      <c r="U770" s="2"/>
      <c r="V770" s="2"/>
      <c r="W770" s="2"/>
      <c r="X770" s="2"/>
      <c r="Y770" s="2"/>
    </row>
    <row r="771" spans="1:25" ht="17.399999999999999" x14ac:dyDescent="0.25">
      <c r="A771" s="1"/>
      <c r="B771" s="40"/>
      <c r="C771" s="2" t="str">
        <f ca="1">IFERROR(__xludf.DUMMYFUNCTION("iferror(filter('Full Perk List'!C$3:C1498,'Full Perk List'!$D$3:$D1498=$D771),"""")"),"#REF!")</f>
        <v>#REF!</v>
      </c>
      <c r="D771" s="2"/>
      <c r="E771" s="2" t="str">
        <f ca="1">IFERROR(__xludf.DUMMYFUNCTION("iferror(filter('Full Perk List'!E$3:E1498,'Full Perk List'!$D$3:$D1498=$D771),"""")"),"#REF!")</f>
        <v>#REF!</v>
      </c>
      <c r="F771" s="2" t="str">
        <f ca="1">IFERROR(__xludf.DUMMYFUNCTION("iferror(filter('Full Perk List'!F$3:F1498,'Full Perk List'!$D$3:$D1498=$D771),"""")"),"#REF!")</f>
        <v>#REF!</v>
      </c>
      <c r="G771" s="2" t="str">
        <f ca="1">IFERROR(__xludf.DUMMYFUNCTION("iferror(filter('Full Perk List'!G$3:G1498,'Full Perk List'!$D$3:$D1498=$D771),"""")"),"#REF!")</f>
        <v>#REF!</v>
      </c>
      <c r="H771" s="1"/>
      <c r="I771" s="2"/>
      <c r="J771" s="2"/>
      <c r="K771" s="2"/>
      <c r="L771" s="2"/>
      <c r="M771" s="2"/>
      <c r="N771" s="2"/>
      <c r="O771" s="2"/>
      <c r="P771" s="2"/>
      <c r="Q771" s="2"/>
      <c r="R771" s="2"/>
      <c r="S771" s="2"/>
      <c r="T771" s="2"/>
      <c r="U771" s="2"/>
      <c r="V771" s="2"/>
      <c r="W771" s="2"/>
      <c r="X771" s="2"/>
      <c r="Y771" s="2"/>
    </row>
    <row r="772" spans="1:25" ht="17.399999999999999" x14ac:dyDescent="0.25">
      <c r="A772" s="1"/>
      <c r="B772" s="40"/>
      <c r="C772" s="2" t="str">
        <f ca="1">IFERROR(__xludf.DUMMYFUNCTION("iferror(filter('Full Perk List'!C$3:C1498,'Full Perk List'!$D$3:$D1498=$D772),"""")"),"#REF!")</f>
        <v>#REF!</v>
      </c>
      <c r="D772" s="2"/>
      <c r="E772" s="2" t="str">
        <f ca="1">IFERROR(__xludf.DUMMYFUNCTION("iferror(filter('Full Perk List'!E$3:E1498,'Full Perk List'!$D$3:$D1498=$D772),"""")"),"#REF!")</f>
        <v>#REF!</v>
      </c>
      <c r="F772" s="2" t="str">
        <f ca="1">IFERROR(__xludf.DUMMYFUNCTION("iferror(filter('Full Perk List'!F$3:F1498,'Full Perk List'!$D$3:$D1498=$D772),"""")"),"#REF!")</f>
        <v>#REF!</v>
      </c>
      <c r="G772" s="2" t="str">
        <f ca="1">IFERROR(__xludf.DUMMYFUNCTION("iferror(filter('Full Perk List'!G$3:G1498,'Full Perk List'!$D$3:$D1498=$D772),"""")"),"#REF!")</f>
        <v>#REF!</v>
      </c>
      <c r="H772" s="1"/>
      <c r="I772" s="2"/>
      <c r="J772" s="2"/>
      <c r="K772" s="2"/>
      <c r="L772" s="2"/>
      <c r="M772" s="2"/>
      <c r="N772" s="2"/>
      <c r="O772" s="2"/>
      <c r="P772" s="2"/>
      <c r="Q772" s="2"/>
      <c r="R772" s="2"/>
      <c r="S772" s="2"/>
      <c r="T772" s="2"/>
      <c r="U772" s="2"/>
      <c r="V772" s="2"/>
      <c r="W772" s="2"/>
      <c r="X772" s="2"/>
      <c r="Y772" s="2"/>
    </row>
    <row r="773" spans="1:25" ht="17.399999999999999" x14ac:dyDescent="0.25">
      <c r="A773" s="1"/>
      <c r="B773" s="40"/>
      <c r="C773" s="2" t="str">
        <f ca="1">IFERROR(__xludf.DUMMYFUNCTION("iferror(filter('Full Perk List'!C$3:C1498,'Full Perk List'!$D$3:$D1498=$D773),"""")"),"#REF!")</f>
        <v>#REF!</v>
      </c>
      <c r="D773" s="2"/>
      <c r="E773" s="2" t="str">
        <f ca="1">IFERROR(__xludf.DUMMYFUNCTION("iferror(filter('Full Perk List'!E$3:E1498,'Full Perk List'!$D$3:$D1498=$D773),"""")"),"#REF!")</f>
        <v>#REF!</v>
      </c>
      <c r="F773" s="2" t="str">
        <f ca="1">IFERROR(__xludf.DUMMYFUNCTION("iferror(filter('Full Perk List'!F$3:F1498,'Full Perk List'!$D$3:$D1498=$D773),"""")"),"#REF!")</f>
        <v>#REF!</v>
      </c>
      <c r="G773" s="2" t="str">
        <f ca="1">IFERROR(__xludf.DUMMYFUNCTION("iferror(filter('Full Perk List'!G$3:G1498,'Full Perk List'!$D$3:$D1498=$D773),"""")"),"#REF!")</f>
        <v>#REF!</v>
      </c>
      <c r="H773" s="1"/>
      <c r="I773" s="2"/>
      <c r="J773" s="2"/>
      <c r="K773" s="2"/>
      <c r="L773" s="2"/>
      <c r="M773" s="2"/>
      <c r="N773" s="2"/>
      <c r="O773" s="2"/>
      <c r="P773" s="2"/>
      <c r="Q773" s="2"/>
      <c r="R773" s="2"/>
      <c r="S773" s="2"/>
      <c r="T773" s="2"/>
      <c r="U773" s="2"/>
      <c r="V773" s="2"/>
      <c r="W773" s="2"/>
      <c r="X773" s="2"/>
      <c r="Y773" s="2"/>
    </row>
    <row r="774" spans="1:25" ht="17.399999999999999" x14ac:dyDescent="0.25">
      <c r="A774" s="1"/>
      <c r="B774" s="40"/>
      <c r="C774" s="2" t="str">
        <f ca="1">IFERROR(__xludf.DUMMYFUNCTION("iferror(filter('Full Perk List'!C$3:C1498,'Full Perk List'!$D$3:$D1498=$D774),"""")"),"#REF!")</f>
        <v>#REF!</v>
      </c>
      <c r="D774" s="2"/>
      <c r="E774" s="2" t="str">
        <f ca="1">IFERROR(__xludf.DUMMYFUNCTION("iferror(filter('Full Perk List'!E$3:E1498,'Full Perk List'!$D$3:$D1498=$D774),"""")"),"#REF!")</f>
        <v>#REF!</v>
      </c>
      <c r="F774" s="2" t="str">
        <f ca="1">IFERROR(__xludf.DUMMYFUNCTION("iferror(filter('Full Perk List'!F$3:F1498,'Full Perk List'!$D$3:$D1498=$D774),"""")"),"#REF!")</f>
        <v>#REF!</v>
      </c>
      <c r="G774" s="2" t="str">
        <f ca="1">IFERROR(__xludf.DUMMYFUNCTION("iferror(filter('Full Perk List'!G$3:G1498,'Full Perk List'!$D$3:$D1498=$D774),"""")"),"#REF!")</f>
        <v>#REF!</v>
      </c>
      <c r="H774" s="1"/>
      <c r="I774" s="2"/>
      <c r="J774" s="2"/>
      <c r="K774" s="2"/>
      <c r="L774" s="2"/>
      <c r="M774" s="2"/>
      <c r="N774" s="2"/>
      <c r="O774" s="2"/>
      <c r="P774" s="2"/>
      <c r="Q774" s="2"/>
      <c r="R774" s="2"/>
      <c r="S774" s="2"/>
      <c r="T774" s="2"/>
      <c r="U774" s="2"/>
      <c r="V774" s="2"/>
      <c r="W774" s="2"/>
      <c r="X774" s="2"/>
      <c r="Y774" s="2"/>
    </row>
    <row r="775" spans="1:25" ht="17.399999999999999" x14ac:dyDescent="0.25">
      <c r="A775" s="1"/>
      <c r="B775" s="40"/>
      <c r="C775" s="2" t="str">
        <f ca="1">IFERROR(__xludf.DUMMYFUNCTION("iferror(filter('Full Perk List'!C$3:C1498,'Full Perk List'!$D$3:$D1498=$D775),"""")"),"#REF!")</f>
        <v>#REF!</v>
      </c>
      <c r="D775" s="2"/>
      <c r="E775" s="2" t="str">
        <f ca="1">IFERROR(__xludf.DUMMYFUNCTION("iferror(filter('Full Perk List'!E$3:E1498,'Full Perk List'!$D$3:$D1498=$D775),"""")"),"#REF!")</f>
        <v>#REF!</v>
      </c>
      <c r="F775" s="2" t="str">
        <f ca="1">IFERROR(__xludf.DUMMYFUNCTION("iferror(filter('Full Perk List'!F$3:F1498,'Full Perk List'!$D$3:$D1498=$D775),"""")"),"#REF!")</f>
        <v>#REF!</v>
      </c>
      <c r="G775" s="2" t="str">
        <f ca="1">IFERROR(__xludf.DUMMYFUNCTION("iferror(filter('Full Perk List'!G$3:G1498,'Full Perk List'!$D$3:$D1498=$D775),"""")"),"#REF!")</f>
        <v>#REF!</v>
      </c>
      <c r="H775" s="1"/>
      <c r="I775" s="2"/>
      <c r="J775" s="2"/>
      <c r="K775" s="2"/>
      <c r="L775" s="2"/>
      <c r="M775" s="2"/>
      <c r="N775" s="2"/>
      <c r="O775" s="2"/>
      <c r="P775" s="2"/>
      <c r="Q775" s="2"/>
      <c r="R775" s="2"/>
      <c r="S775" s="2"/>
      <c r="T775" s="2"/>
      <c r="U775" s="2"/>
      <c r="V775" s="2"/>
      <c r="W775" s="2"/>
      <c r="X775" s="2"/>
      <c r="Y775" s="2"/>
    </row>
    <row r="776" spans="1:25" ht="17.399999999999999" x14ac:dyDescent="0.25">
      <c r="A776" s="1"/>
      <c r="B776" s="40"/>
      <c r="C776" s="2" t="str">
        <f ca="1">IFERROR(__xludf.DUMMYFUNCTION("iferror(filter('Full Perk List'!C$3:C1498,'Full Perk List'!$D$3:$D1498=$D776),"""")"),"#REF!")</f>
        <v>#REF!</v>
      </c>
      <c r="D776" s="2"/>
      <c r="E776" s="2" t="str">
        <f ca="1">IFERROR(__xludf.DUMMYFUNCTION("iferror(filter('Full Perk List'!E$3:E1498,'Full Perk List'!$D$3:$D1498=$D776),"""")"),"#REF!")</f>
        <v>#REF!</v>
      </c>
      <c r="F776" s="2" t="str">
        <f ca="1">IFERROR(__xludf.DUMMYFUNCTION("iferror(filter('Full Perk List'!F$3:F1498,'Full Perk List'!$D$3:$D1498=$D776),"""")"),"#REF!")</f>
        <v>#REF!</v>
      </c>
      <c r="G776" s="2" t="str">
        <f ca="1">IFERROR(__xludf.DUMMYFUNCTION("iferror(filter('Full Perk List'!G$3:G1498,'Full Perk List'!$D$3:$D1498=$D776),"""")"),"#REF!")</f>
        <v>#REF!</v>
      </c>
      <c r="H776" s="1"/>
      <c r="I776" s="2"/>
      <c r="J776" s="2"/>
      <c r="K776" s="2"/>
      <c r="L776" s="2"/>
      <c r="M776" s="2"/>
      <c r="N776" s="2"/>
      <c r="O776" s="2"/>
      <c r="P776" s="2"/>
      <c r="Q776" s="2"/>
      <c r="R776" s="2"/>
      <c r="S776" s="2"/>
      <c r="T776" s="2"/>
      <c r="U776" s="2"/>
      <c r="V776" s="2"/>
      <c r="W776" s="2"/>
      <c r="X776" s="2"/>
      <c r="Y776" s="2"/>
    </row>
    <row r="777" spans="1:25" ht="17.399999999999999" x14ac:dyDescent="0.25">
      <c r="A777" s="1"/>
      <c r="B777" s="40"/>
      <c r="C777" s="2" t="str">
        <f ca="1">IFERROR(__xludf.DUMMYFUNCTION("iferror(filter('Full Perk List'!C$3:C1498,'Full Perk List'!$D$3:$D1498=$D777),"""")"),"#REF!")</f>
        <v>#REF!</v>
      </c>
      <c r="D777" s="2"/>
      <c r="E777" s="2" t="str">
        <f ca="1">IFERROR(__xludf.DUMMYFUNCTION("iferror(filter('Full Perk List'!E$3:E1498,'Full Perk List'!$D$3:$D1498=$D777),"""")"),"#REF!")</f>
        <v>#REF!</v>
      </c>
      <c r="F777" s="2" t="str">
        <f ca="1">IFERROR(__xludf.DUMMYFUNCTION("iferror(filter('Full Perk List'!F$3:F1498,'Full Perk List'!$D$3:$D1498=$D777),"""")"),"#REF!")</f>
        <v>#REF!</v>
      </c>
      <c r="G777" s="2" t="str">
        <f ca="1">IFERROR(__xludf.DUMMYFUNCTION("iferror(filter('Full Perk List'!G$3:G1498,'Full Perk List'!$D$3:$D1498=$D777),"""")"),"#REF!")</f>
        <v>#REF!</v>
      </c>
      <c r="H777" s="1"/>
      <c r="I777" s="2"/>
      <c r="J777" s="2"/>
      <c r="K777" s="2"/>
      <c r="L777" s="2"/>
      <c r="M777" s="2"/>
      <c r="N777" s="2"/>
      <c r="O777" s="2"/>
      <c r="P777" s="2"/>
      <c r="Q777" s="2"/>
      <c r="R777" s="2"/>
      <c r="S777" s="2"/>
      <c r="T777" s="2"/>
      <c r="U777" s="2"/>
      <c r="V777" s="2"/>
      <c r="W777" s="2"/>
      <c r="X777" s="2"/>
      <c r="Y777" s="2"/>
    </row>
    <row r="778" spans="1:25" ht="17.399999999999999" x14ac:dyDescent="0.25">
      <c r="A778" s="1"/>
      <c r="B778" s="40"/>
      <c r="C778" s="2" t="str">
        <f ca="1">IFERROR(__xludf.DUMMYFUNCTION("iferror(filter('Full Perk List'!C$3:C1498,'Full Perk List'!$D$3:$D1498=$D778),"""")"),"#REF!")</f>
        <v>#REF!</v>
      </c>
      <c r="D778" s="2"/>
      <c r="E778" s="2" t="str">
        <f ca="1">IFERROR(__xludf.DUMMYFUNCTION("iferror(filter('Full Perk List'!E$3:E1498,'Full Perk List'!$D$3:$D1498=$D778),"""")"),"#REF!")</f>
        <v>#REF!</v>
      </c>
      <c r="F778" s="2" t="str">
        <f ca="1">IFERROR(__xludf.DUMMYFUNCTION("iferror(filter('Full Perk List'!F$3:F1498,'Full Perk List'!$D$3:$D1498=$D778),"""")"),"#REF!")</f>
        <v>#REF!</v>
      </c>
      <c r="G778" s="2" t="str">
        <f ca="1">IFERROR(__xludf.DUMMYFUNCTION("iferror(filter('Full Perk List'!G$3:G1498,'Full Perk List'!$D$3:$D1498=$D778),"""")"),"#REF!")</f>
        <v>#REF!</v>
      </c>
      <c r="H778" s="1"/>
      <c r="I778" s="2"/>
      <c r="J778" s="2"/>
      <c r="K778" s="2"/>
      <c r="L778" s="2"/>
      <c r="M778" s="2"/>
      <c r="N778" s="2"/>
      <c r="O778" s="2"/>
      <c r="P778" s="2"/>
      <c r="Q778" s="2"/>
      <c r="R778" s="2"/>
      <c r="S778" s="2"/>
      <c r="T778" s="2"/>
      <c r="U778" s="2"/>
      <c r="V778" s="2"/>
      <c r="W778" s="2"/>
      <c r="X778" s="2"/>
      <c r="Y778" s="2"/>
    </row>
    <row r="779" spans="1:25" ht="17.399999999999999" x14ac:dyDescent="0.25">
      <c r="A779" s="1"/>
      <c r="B779" s="40"/>
      <c r="C779" s="2" t="str">
        <f ca="1">IFERROR(__xludf.DUMMYFUNCTION("iferror(filter('Full Perk List'!C$3:C1498,'Full Perk List'!$D$3:$D1498=$D779),"""")"),"#REF!")</f>
        <v>#REF!</v>
      </c>
      <c r="D779" s="2"/>
      <c r="E779" s="2" t="str">
        <f ca="1">IFERROR(__xludf.DUMMYFUNCTION("iferror(filter('Full Perk List'!E$3:E1498,'Full Perk List'!$D$3:$D1498=$D779),"""")"),"#REF!")</f>
        <v>#REF!</v>
      </c>
      <c r="F779" s="2" t="str">
        <f ca="1">IFERROR(__xludf.DUMMYFUNCTION("iferror(filter('Full Perk List'!F$3:F1498,'Full Perk List'!$D$3:$D1498=$D779),"""")"),"#REF!")</f>
        <v>#REF!</v>
      </c>
      <c r="G779" s="2" t="str">
        <f ca="1">IFERROR(__xludf.DUMMYFUNCTION("iferror(filter('Full Perk List'!G$3:G1498,'Full Perk List'!$D$3:$D1498=$D779),"""")"),"#REF!")</f>
        <v>#REF!</v>
      </c>
      <c r="H779" s="1"/>
      <c r="I779" s="2"/>
      <c r="J779" s="2"/>
      <c r="K779" s="2"/>
      <c r="L779" s="2"/>
      <c r="M779" s="2"/>
      <c r="N779" s="2"/>
      <c r="O779" s="2"/>
      <c r="P779" s="2"/>
      <c r="Q779" s="2"/>
      <c r="R779" s="2"/>
      <c r="S779" s="2"/>
      <c r="T779" s="2"/>
      <c r="U779" s="2"/>
      <c r="V779" s="2"/>
      <c r="W779" s="2"/>
      <c r="X779" s="2"/>
      <c r="Y779" s="2"/>
    </row>
    <row r="780" spans="1:25" ht="17.399999999999999" x14ac:dyDescent="0.25">
      <c r="A780" s="1"/>
      <c r="B780" s="40"/>
      <c r="C780" s="2" t="str">
        <f ca="1">IFERROR(__xludf.DUMMYFUNCTION("iferror(filter('Full Perk List'!C$3:C1498,'Full Perk List'!$D$3:$D1498=$D780),"""")"),"#REF!")</f>
        <v>#REF!</v>
      </c>
      <c r="D780" s="2"/>
      <c r="E780" s="2" t="str">
        <f ca="1">IFERROR(__xludf.DUMMYFUNCTION("iferror(filter('Full Perk List'!E$3:E1498,'Full Perk List'!$D$3:$D1498=$D780),"""")"),"#REF!")</f>
        <v>#REF!</v>
      </c>
      <c r="F780" s="2" t="str">
        <f ca="1">IFERROR(__xludf.DUMMYFUNCTION("iferror(filter('Full Perk List'!F$3:F1498,'Full Perk List'!$D$3:$D1498=$D780),"""")"),"#REF!")</f>
        <v>#REF!</v>
      </c>
      <c r="G780" s="2" t="str">
        <f ca="1">IFERROR(__xludf.DUMMYFUNCTION("iferror(filter('Full Perk List'!G$3:G1498,'Full Perk List'!$D$3:$D1498=$D780),"""")"),"#REF!")</f>
        <v>#REF!</v>
      </c>
      <c r="H780" s="1"/>
      <c r="I780" s="2"/>
      <c r="J780" s="2"/>
      <c r="K780" s="2"/>
      <c r="L780" s="2"/>
      <c r="M780" s="2"/>
      <c r="N780" s="2"/>
      <c r="O780" s="2"/>
      <c r="P780" s="2"/>
      <c r="Q780" s="2"/>
      <c r="R780" s="2"/>
      <c r="S780" s="2"/>
      <c r="T780" s="2"/>
      <c r="U780" s="2"/>
      <c r="V780" s="2"/>
      <c r="W780" s="2"/>
      <c r="X780" s="2"/>
      <c r="Y780" s="2"/>
    </row>
    <row r="781" spans="1:25" ht="17.399999999999999" x14ac:dyDescent="0.25">
      <c r="A781" s="1"/>
      <c r="B781" s="40"/>
      <c r="C781" s="2" t="str">
        <f ca="1">IFERROR(__xludf.DUMMYFUNCTION("iferror(filter('Full Perk List'!C$3:C1498,'Full Perk List'!$D$3:$D1498=$D781),"""")"),"#REF!")</f>
        <v>#REF!</v>
      </c>
      <c r="D781" s="2"/>
      <c r="E781" s="2" t="str">
        <f ca="1">IFERROR(__xludf.DUMMYFUNCTION("iferror(filter('Full Perk List'!E$3:E1498,'Full Perk List'!$D$3:$D1498=$D781),"""")"),"#REF!")</f>
        <v>#REF!</v>
      </c>
      <c r="F781" s="2" t="str">
        <f ca="1">IFERROR(__xludf.DUMMYFUNCTION("iferror(filter('Full Perk List'!F$3:F1498,'Full Perk List'!$D$3:$D1498=$D781),"""")"),"#REF!")</f>
        <v>#REF!</v>
      </c>
      <c r="G781" s="2" t="str">
        <f ca="1">IFERROR(__xludf.DUMMYFUNCTION("iferror(filter('Full Perk List'!G$3:G1498,'Full Perk List'!$D$3:$D1498=$D781),"""")"),"#REF!")</f>
        <v>#REF!</v>
      </c>
      <c r="H781" s="1"/>
      <c r="I781" s="2"/>
      <c r="J781" s="2"/>
      <c r="K781" s="2"/>
      <c r="L781" s="2"/>
      <c r="M781" s="2"/>
      <c r="N781" s="2"/>
      <c r="O781" s="2"/>
      <c r="P781" s="2"/>
      <c r="Q781" s="2"/>
      <c r="R781" s="2"/>
      <c r="S781" s="2"/>
      <c r="T781" s="2"/>
      <c r="U781" s="2"/>
      <c r="V781" s="2"/>
      <c r="W781" s="2"/>
      <c r="X781" s="2"/>
      <c r="Y781" s="2"/>
    </row>
    <row r="782" spans="1:25" ht="17.399999999999999" x14ac:dyDescent="0.25">
      <c r="A782" s="1"/>
      <c r="B782" s="40"/>
      <c r="C782" s="2" t="str">
        <f ca="1">IFERROR(__xludf.DUMMYFUNCTION("iferror(filter('Full Perk List'!C$3:C1498,'Full Perk List'!$D$3:$D1498=$D782),"""")"),"#REF!")</f>
        <v>#REF!</v>
      </c>
      <c r="D782" s="2"/>
      <c r="E782" s="2" t="str">
        <f ca="1">IFERROR(__xludf.DUMMYFUNCTION("iferror(filter('Full Perk List'!E$3:E1498,'Full Perk List'!$D$3:$D1498=$D782),"""")"),"#REF!")</f>
        <v>#REF!</v>
      </c>
      <c r="F782" s="2" t="str">
        <f ca="1">IFERROR(__xludf.DUMMYFUNCTION("iferror(filter('Full Perk List'!F$3:F1498,'Full Perk List'!$D$3:$D1498=$D782),"""")"),"#REF!")</f>
        <v>#REF!</v>
      </c>
      <c r="G782" s="2" t="str">
        <f ca="1">IFERROR(__xludf.DUMMYFUNCTION("iferror(filter('Full Perk List'!G$3:G1498,'Full Perk List'!$D$3:$D1498=$D782),"""")"),"#REF!")</f>
        <v>#REF!</v>
      </c>
      <c r="H782" s="1"/>
      <c r="I782" s="2"/>
      <c r="J782" s="2"/>
      <c r="K782" s="2"/>
      <c r="L782" s="2"/>
      <c r="M782" s="2"/>
      <c r="N782" s="2"/>
      <c r="O782" s="2"/>
      <c r="P782" s="2"/>
      <c r="Q782" s="2"/>
      <c r="R782" s="2"/>
      <c r="S782" s="2"/>
      <c r="T782" s="2"/>
      <c r="U782" s="2"/>
      <c r="V782" s="2"/>
      <c r="W782" s="2"/>
      <c r="X782" s="2"/>
      <c r="Y782" s="2"/>
    </row>
    <row r="783" spans="1:25" ht="17.399999999999999" x14ac:dyDescent="0.25">
      <c r="A783" s="1"/>
      <c r="B783" s="40"/>
      <c r="C783" s="2" t="str">
        <f ca="1">IFERROR(__xludf.DUMMYFUNCTION("iferror(filter('Full Perk List'!C$3:C1498,'Full Perk List'!$D$3:$D1498=$D783),"""")"),"#REF!")</f>
        <v>#REF!</v>
      </c>
      <c r="D783" s="2"/>
      <c r="E783" s="2" t="str">
        <f ca="1">IFERROR(__xludf.DUMMYFUNCTION("iferror(filter('Full Perk List'!E$3:E1498,'Full Perk List'!$D$3:$D1498=$D783),"""")"),"#REF!")</f>
        <v>#REF!</v>
      </c>
      <c r="F783" s="2" t="str">
        <f ca="1">IFERROR(__xludf.DUMMYFUNCTION("iferror(filter('Full Perk List'!F$3:F1498,'Full Perk List'!$D$3:$D1498=$D783),"""")"),"#REF!")</f>
        <v>#REF!</v>
      </c>
      <c r="G783" s="2" t="str">
        <f ca="1">IFERROR(__xludf.DUMMYFUNCTION("iferror(filter('Full Perk List'!G$3:G1498,'Full Perk List'!$D$3:$D1498=$D783),"""")"),"#REF!")</f>
        <v>#REF!</v>
      </c>
      <c r="H783" s="1"/>
      <c r="I783" s="2"/>
      <c r="J783" s="2"/>
      <c r="K783" s="2"/>
      <c r="L783" s="2"/>
      <c r="M783" s="2"/>
      <c r="N783" s="2"/>
      <c r="O783" s="2"/>
      <c r="P783" s="2"/>
      <c r="Q783" s="2"/>
      <c r="R783" s="2"/>
      <c r="S783" s="2"/>
      <c r="T783" s="2"/>
      <c r="U783" s="2"/>
      <c r="V783" s="2"/>
      <c r="W783" s="2"/>
      <c r="X783" s="2"/>
      <c r="Y783" s="2"/>
    </row>
    <row r="784" spans="1:25" ht="17.399999999999999" x14ac:dyDescent="0.25">
      <c r="A784" s="1"/>
      <c r="B784" s="40"/>
      <c r="C784" s="2" t="str">
        <f ca="1">IFERROR(__xludf.DUMMYFUNCTION("iferror(filter('Full Perk List'!C$3:C1498,'Full Perk List'!$D$3:$D1498=$D784),"""")"),"#REF!")</f>
        <v>#REF!</v>
      </c>
      <c r="D784" s="2"/>
      <c r="E784" s="2" t="str">
        <f ca="1">IFERROR(__xludf.DUMMYFUNCTION("iferror(filter('Full Perk List'!E$3:E1498,'Full Perk List'!$D$3:$D1498=$D784),"""")"),"#REF!")</f>
        <v>#REF!</v>
      </c>
      <c r="F784" s="2" t="str">
        <f ca="1">IFERROR(__xludf.DUMMYFUNCTION("iferror(filter('Full Perk List'!F$3:F1498,'Full Perk List'!$D$3:$D1498=$D784),"""")"),"#REF!")</f>
        <v>#REF!</v>
      </c>
      <c r="G784" s="2" t="str">
        <f ca="1">IFERROR(__xludf.DUMMYFUNCTION("iferror(filter('Full Perk List'!G$3:G1498,'Full Perk List'!$D$3:$D1498=$D784),"""")"),"#REF!")</f>
        <v>#REF!</v>
      </c>
      <c r="H784" s="1"/>
      <c r="I784" s="2"/>
      <c r="J784" s="2"/>
      <c r="K784" s="2"/>
      <c r="L784" s="2"/>
      <c r="M784" s="2"/>
      <c r="N784" s="2"/>
      <c r="O784" s="2"/>
      <c r="P784" s="2"/>
      <c r="Q784" s="2"/>
      <c r="R784" s="2"/>
      <c r="S784" s="2"/>
      <c r="T784" s="2"/>
      <c r="U784" s="2"/>
      <c r="V784" s="2"/>
      <c r="W784" s="2"/>
      <c r="X784" s="2"/>
      <c r="Y784" s="2"/>
    </row>
    <row r="785" spans="1:25" ht="17.399999999999999" x14ac:dyDescent="0.25">
      <c r="A785" s="1"/>
      <c r="B785" s="40"/>
      <c r="C785" s="2" t="str">
        <f ca="1">IFERROR(__xludf.DUMMYFUNCTION("iferror(filter('Full Perk List'!C$3:C1498,'Full Perk List'!$D$3:$D1498=$D785),"""")"),"#REF!")</f>
        <v>#REF!</v>
      </c>
      <c r="D785" s="2"/>
      <c r="E785" s="2" t="str">
        <f ca="1">IFERROR(__xludf.DUMMYFUNCTION("iferror(filter('Full Perk List'!E$3:E1498,'Full Perk List'!$D$3:$D1498=$D785),"""")"),"#REF!")</f>
        <v>#REF!</v>
      </c>
      <c r="F785" s="2" t="str">
        <f ca="1">IFERROR(__xludf.DUMMYFUNCTION("iferror(filter('Full Perk List'!F$3:F1498,'Full Perk List'!$D$3:$D1498=$D785),"""")"),"#REF!")</f>
        <v>#REF!</v>
      </c>
      <c r="G785" s="2" t="str">
        <f ca="1">IFERROR(__xludf.DUMMYFUNCTION("iferror(filter('Full Perk List'!G$3:G1498,'Full Perk List'!$D$3:$D1498=$D785),"""")"),"#REF!")</f>
        <v>#REF!</v>
      </c>
      <c r="H785" s="1"/>
      <c r="I785" s="2"/>
      <c r="J785" s="2"/>
      <c r="K785" s="2"/>
      <c r="L785" s="2"/>
      <c r="M785" s="2"/>
      <c r="N785" s="2"/>
      <c r="O785" s="2"/>
      <c r="P785" s="2"/>
      <c r="Q785" s="2"/>
      <c r="R785" s="2"/>
      <c r="S785" s="2"/>
      <c r="T785" s="2"/>
      <c r="U785" s="2"/>
      <c r="V785" s="2"/>
      <c r="W785" s="2"/>
      <c r="X785" s="2"/>
      <c r="Y785" s="2"/>
    </row>
    <row r="786" spans="1:25" ht="17.399999999999999" x14ac:dyDescent="0.25">
      <c r="A786" s="1"/>
      <c r="B786" s="40"/>
      <c r="C786" s="2" t="str">
        <f ca="1">IFERROR(__xludf.DUMMYFUNCTION("iferror(filter('Full Perk List'!C$3:C1498,'Full Perk List'!$D$3:$D1498=$D786),"""")"),"#REF!")</f>
        <v>#REF!</v>
      </c>
      <c r="D786" s="2"/>
      <c r="E786" s="2" t="str">
        <f ca="1">IFERROR(__xludf.DUMMYFUNCTION("iferror(filter('Full Perk List'!E$3:E1498,'Full Perk List'!$D$3:$D1498=$D786),"""")"),"#REF!")</f>
        <v>#REF!</v>
      </c>
      <c r="F786" s="2" t="str">
        <f ca="1">IFERROR(__xludf.DUMMYFUNCTION("iferror(filter('Full Perk List'!F$3:F1498,'Full Perk List'!$D$3:$D1498=$D786),"""")"),"#REF!")</f>
        <v>#REF!</v>
      </c>
      <c r="G786" s="2" t="str">
        <f ca="1">IFERROR(__xludf.DUMMYFUNCTION("iferror(filter('Full Perk List'!G$3:G1498,'Full Perk List'!$D$3:$D1498=$D786),"""")"),"#REF!")</f>
        <v>#REF!</v>
      </c>
      <c r="H786" s="1"/>
      <c r="I786" s="2"/>
      <c r="J786" s="2"/>
      <c r="K786" s="2"/>
      <c r="L786" s="2"/>
      <c r="M786" s="2"/>
      <c r="N786" s="2"/>
      <c r="O786" s="2"/>
      <c r="P786" s="2"/>
      <c r="Q786" s="2"/>
      <c r="R786" s="2"/>
      <c r="S786" s="2"/>
      <c r="T786" s="2"/>
      <c r="U786" s="2"/>
      <c r="V786" s="2"/>
      <c r="W786" s="2"/>
      <c r="X786" s="2"/>
      <c r="Y786" s="2"/>
    </row>
    <row r="787" spans="1:25" ht="17.399999999999999" x14ac:dyDescent="0.25">
      <c r="A787" s="1"/>
      <c r="B787" s="40"/>
      <c r="C787" s="2" t="str">
        <f ca="1">IFERROR(__xludf.DUMMYFUNCTION("iferror(filter('Full Perk List'!C$3:C1498,'Full Perk List'!$D$3:$D1498=$D787),"""")"),"#REF!")</f>
        <v>#REF!</v>
      </c>
      <c r="D787" s="2"/>
      <c r="E787" s="2" t="str">
        <f ca="1">IFERROR(__xludf.DUMMYFUNCTION("iferror(filter('Full Perk List'!E$3:E1498,'Full Perk List'!$D$3:$D1498=$D787),"""")"),"#REF!")</f>
        <v>#REF!</v>
      </c>
      <c r="F787" s="2" t="str">
        <f ca="1">IFERROR(__xludf.DUMMYFUNCTION("iferror(filter('Full Perk List'!F$3:F1498,'Full Perk List'!$D$3:$D1498=$D787),"""")"),"#REF!")</f>
        <v>#REF!</v>
      </c>
      <c r="G787" s="2" t="str">
        <f ca="1">IFERROR(__xludf.DUMMYFUNCTION("iferror(filter('Full Perk List'!G$3:G1498,'Full Perk List'!$D$3:$D1498=$D787),"""")"),"#REF!")</f>
        <v>#REF!</v>
      </c>
      <c r="H787" s="1"/>
      <c r="I787" s="2"/>
      <c r="J787" s="2"/>
      <c r="K787" s="2"/>
      <c r="L787" s="2"/>
      <c r="M787" s="2"/>
      <c r="N787" s="2"/>
      <c r="O787" s="2"/>
      <c r="P787" s="2"/>
      <c r="Q787" s="2"/>
      <c r="R787" s="2"/>
      <c r="S787" s="2"/>
      <c r="T787" s="2"/>
      <c r="U787" s="2"/>
      <c r="V787" s="2"/>
      <c r="W787" s="2"/>
      <c r="X787" s="2"/>
      <c r="Y787" s="2"/>
    </row>
    <row r="788" spans="1:25" ht="17.399999999999999" x14ac:dyDescent="0.25">
      <c r="A788" s="1"/>
      <c r="B788" s="40"/>
      <c r="C788" s="2" t="str">
        <f ca="1">IFERROR(__xludf.DUMMYFUNCTION("iferror(filter('Full Perk List'!C$3:C1498,'Full Perk List'!$D$3:$D1498=$D788),"""")"),"#REF!")</f>
        <v>#REF!</v>
      </c>
      <c r="D788" s="2"/>
      <c r="E788" s="2" t="str">
        <f ca="1">IFERROR(__xludf.DUMMYFUNCTION("iferror(filter('Full Perk List'!E$3:E1498,'Full Perk List'!$D$3:$D1498=$D788),"""")"),"#REF!")</f>
        <v>#REF!</v>
      </c>
      <c r="F788" s="2" t="str">
        <f ca="1">IFERROR(__xludf.DUMMYFUNCTION("iferror(filter('Full Perk List'!F$3:F1498,'Full Perk List'!$D$3:$D1498=$D788),"""")"),"#REF!")</f>
        <v>#REF!</v>
      </c>
      <c r="G788" s="2" t="str">
        <f ca="1">IFERROR(__xludf.DUMMYFUNCTION("iferror(filter('Full Perk List'!G$3:G1498,'Full Perk List'!$D$3:$D1498=$D788),"""")"),"#REF!")</f>
        <v>#REF!</v>
      </c>
      <c r="H788" s="1"/>
      <c r="I788" s="2"/>
      <c r="J788" s="2"/>
      <c r="K788" s="2"/>
      <c r="L788" s="2"/>
      <c r="M788" s="2"/>
      <c r="N788" s="2"/>
      <c r="O788" s="2"/>
      <c r="P788" s="2"/>
      <c r="Q788" s="2"/>
      <c r="R788" s="2"/>
      <c r="S788" s="2"/>
      <c r="T788" s="2"/>
      <c r="U788" s="2"/>
      <c r="V788" s="2"/>
      <c r="W788" s="2"/>
      <c r="X788" s="2"/>
      <c r="Y788" s="2"/>
    </row>
    <row r="789" spans="1:25" ht="17.399999999999999" x14ac:dyDescent="0.25">
      <c r="A789" s="1"/>
      <c r="B789" s="40"/>
      <c r="C789" s="2" t="str">
        <f ca="1">IFERROR(__xludf.DUMMYFUNCTION("iferror(filter('Full Perk List'!C$3:C1498,'Full Perk List'!$D$3:$D1498=$D789),"""")"),"#REF!")</f>
        <v>#REF!</v>
      </c>
      <c r="D789" s="2"/>
      <c r="E789" s="2" t="str">
        <f ca="1">IFERROR(__xludf.DUMMYFUNCTION("iferror(filter('Full Perk List'!E$3:E1498,'Full Perk List'!$D$3:$D1498=$D789),"""")"),"#REF!")</f>
        <v>#REF!</v>
      </c>
      <c r="F789" s="2" t="str">
        <f ca="1">IFERROR(__xludf.DUMMYFUNCTION("iferror(filter('Full Perk List'!F$3:F1498,'Full Perk List'!$D$3:$D1498=$D789),"""")"),"#REF!")</f>
        <v>#REF!</v>
      </c>
      <c r="G789" s="2" t="str">
        <f ca="1">IFERROR(__xludf.DUMMYFUNCTION("iferror(filter('Full Perk List'!G$3:G1498,'Full Perk List'!$D$3:$D1498=$D789),"""")"),"#REF!")</f>
        <v>#REF!</v>
      </c>
      <c r="H789" s="1"/>
      <c r="I789" s="2"/>
      <c r="J789" s="2"/>
      <c r="K789" s="2"/>
      <c r="L789" s="2"/>
      <c r="M789" s="2"/>
      <c r="N789" s="2"/>
      <c r="O789" s="2"/>
      <c r="P789" s="2"/>
      <c r="Q789" s="2"/>
      <c r="R789" s="2"/>
      <c r="S789" s="2"/>
      <c r="T789" s="2"/>
      <c r="U789" s="2"/>
      <c r="V789" s="2"/>
      <c r="W789" s="2"/>
      <c r="X789" s="2"/>
      <c r="Y789" s="2"/>
    </row>
    <row r="790" spans="1:25" ht="17.399999999999999" x14ac:dyDescent="0.25">
      <c r="A790" s="1"/>
      <c r="B790" s="40"/>
      <c r="C790" s="2" t="str">
        <f ca="1">IFERROR(__xludf.DUMMYFUNCTION("iferror(filter('Full Perk List'!C$3:C1498,'Full Perk List'!$D$3:$D1498=$D790),"""")"),"#REF!")</f>
        <v>#REF!</v>
      </c>
      <c r="D790" s="2"/>
      <c r="E790" s="2" t="str">
        <f ca="1">IFERROR(__xludf.DUMMYFUNCTION("iferror(filter('Full Perk List'!E$3:E1498,'Full Perk List'!$D$3:$D1498=$D790),"""")"),"#REF!")</f>
        <v>#REF!</v>
      </c>
      <c r="F790" s="2" t="str">
        <f ca="1">IFERROR(__xludf.DUMMYFUNCTION("iferror(filter('Full Perk List'!F$3:F1498,'Full Perk List'!$D$3:$D1498=$D790),"""")"),"#REF!")</f>
        <v>#REF!</v>
      </c>
      <c r="G790" s="2" t="str">
        <f ca="1">IFERROR(__xludf.DUMMYFUNCTION("iferror(filter('Full Perk List'!G$3:G1498,'Full Perk List'!$D$3:$D1498=$D790),"""")"),"#REF!")</f>
        <v>#REF!</v>
      </c>
      <c r="H790" s="1"/>
      <c r="I790" s="2"/>
      <c r="J790" s="2"/>
      <c r="K790" s="2"/>
      <c r="L790" s="2"/>
      <c r="M790" s="2"/>
      <c r="N790" s="2"/>
      <c r="O790" s="2"/>
      <c r="P790" s="2"/>
      <c r="Q790" s="2"/>
      <c r="R790" s="2"/>
      <c r="S790" s="2"/>
      <c r="T790" s="2"/>
      <c r="U790" s="2"/>
      <c r="V790" s="2"/>
      <c r="W790" s="2"/>
      <c r="X790" s="2"/>
      <c r="Y790" s="2"/>
    </row>
    <row r="791" spans="1:25" ht="17.399999999999999" x14ac:dyDescent="0.25">
      <c r="A791" s="1"/>
      <c r="B791" s="40"/>
      <c r="C791" s="2" t="str">
        <f ca="1">IFERROR(__xludf.DUMMYFUNCTION("iferror(filter('Full Perk List'!C$3:C1498,'Full Perk List'!$D$3:$D1498=$D791),"""")"),"#REF!")</f>
        <v>#REF!</v>
      </c>
      <c r="D791" s="2"/>
      <c r="E791" s="2" t="str">
        <f ca="1">IFERROR(__xludf.DUMMYFUNCTION("iferror(filter('Full Perk List'!E$3:E1498,'Full Perk List'!$D$3:$D1498=$D791),"""")"),"#REF!")</f>
        <v>#REF!</v>
      </c>
      <c r="F791" s="2" t="str">
        <f ca="1">IFERROR(__xludf.DUMMYFUNCTION("iferror(filter('Full Perk List'!F$3:F1498,'Full Perk List'!$D$3:$D1498=$D791),"""")"),"#REF!")</f>
        <v>#REF!</v>
      </c>
      <c r="G791" s="2" t="str">
        <f ca="1">IFERROR(__xludf.DUMMYFUNCTION("iferror(filter('Full Perk List'!G$3:G1498,'Full Perk List'!$D$3:$D1498=$D791),"""")"),"#REF!")</f>
        <v>#REF!</v>
      </c>
      <c r="H791" s="1"/>
      <c r="I791" s="2"/>
      <c r="J791" s="2"/>
      <c r="K791" s="2"/>
      <c r="L791" s="2"/>
      <c r="M791" s="2"/>
      <c r="N791" s="2"/>
      <c r="O791" s="2"/>
      <c r="P791" s="2"/>
      <c r="Q791" s="2"/>
      <c r="R791" s="2"/>
      <c r="S791" s="2"/>
      <c r="T791" s="2"/>
      <c r="U791" s="2"/>
      <c r="V791" s="2"/>
      <c r="W791" s="2"/>
      <c r="X791" s="2"/>
      <c r="Y791" s="2"/>
    </row>
    <row r="792" spans="1:25" ht="17.399999999999999" x14ac:dyDescent="0.25">
      <c r="A792" s="1"/>
      <c r="B792" s="40"/>
      <c r="C792" s="2" t="str">
        <f ca="1">IFERROR(__xludf.DUMMYFUNCTION("iferror(filter('Full Perk List'!C$3:C1498,'Full Perk List'!$D$3:$D1498=$D792),"""")"),"#REF!")</f>
        <v>#REF!</v>
      </c>
      <c r="D792" s="2"/>
      <c r="E792" s="2" t="str">
        <f ca="1">IFERROR(__xludf.DUMMYFUNCTION("iferror(filter('Full Perk List'!E$3:E1498,'Full Perk List'!$D$3:$D1498=$D792),"""")"),"#REF!")</f>
        <v>#REF!</v>
      </c>
      <c r="F792" s="2" t="str">
        <f ca="1">IFERROR(__xludf.DUMMYFUNCTION("iferror(filter('Full Perk List'!F$3:F1498,'Full Perk List'!$D$3:$D1498=$D792),"""")"),"#REF!")</f>
        <v>#REF!</v>
      </c>
      <c r="G792" s="2" t="str">
        <f ca="1">IFERROR(__xludf.DUMMYFUNCTION("iferror(filter('Full Perk List'!G$3:G1498,'Full Perk List'!$D$3:$D1498=$D792),"""")"),"#REF!")</f>
        <v>#REF!</v>
      </c>
      <c r="H792" s="1"/>
      <c r="I792" s="2"/>
      <c r="J792" s="2"/>
      <c r="K792" s="2"/>
      <c r="L792" s="2"/>
      <c r="M792" s="2"/>
      <c r="N792" s="2"/>
      <c r="O792" s="2"/>
      <c r="P792" s="2"/>
      <c r="Q792" s="2"/>
      <c r="R792" s="2"/>
      <c r="S792" s="2"/>
      <c r="T792" s="2"/>
      <c r="U792" s="2"/>
      <c r="V792" s="2"/>
      <c r="W792" s="2"/>
      <c r="X792" s="2"/>
      <c r="Y792" s="2"/>
    </row>
    <row r="793" spans="1:25" ht="17.399999999999999" x14ac:dyDescent="0.25">
      <c r="A793" s="1"/>
      <c r="B793" s="40"/>
      <c r="C793" s="2" t="str">
        <f ca="1">IFERROR(__xludf.DUMMYFUNCTION("iferror(filter('Full Perk List'!C$3:C1498,'Full Perk List'!$D$3:$D1498=$D793),"""")"),"#REF!")</f>
        <v>#REF!</v>
      </c>
      <c r="D793" s="2"/>
      <c r="E793" s="2" t="str">
        <f ca="1">IFERROR(__xludf.DUMMYFUNCTION("iferror(filter('Full Perk List'!E$3:E1498,'Full Perk List'!$D$3:$D1498=$D793),"""")"),"#REF!")</f>
        <v>#REF!</v>
      </c>
      <c r="F793" s="2" t="str">
        <f ca="1">IFERROR(__xludf.DUMMYFUNCTION("iferror(filter('Full Perk List'!F$3:F1498,'Full Perk List'!$D$3:$D1498=$D793),"""")"),"#REF!")</f>
        <v>#REF!</v>
      </c>
      <c r="G793" s="2" t="str">
        <f ca="1">IFERROR(__xludf.DUMMYFUNCTION("iferror(filter('Full Perk List'!G$3:G1498,'Full Perk List'!$D$3:$D1498=$D793),"""")"),"#REF!")</f>
        <v>#REF!</v>
      </c>
      <c r="H793" s="1"/>
      <c r="I793" s="2"/>
      <c r="J793" s="2"/>
      <c r="K793" s="2"/>
      <c r="L793" s="2"/>
      <c r="M793" s="2"/>
      <c r="N793" s="2"/>
      <c r="O793" s="2"/>
      <c r="P793" s="2"/>
      <c r="Q793" s="2"/>
      <c r="R793" s="2"/>
      <c r="S793" s="2"/>
      <c r="T793" s="2"/>
      <c r="U793" s="2"/>
      <c r="V793" s="2"/>
      <c r="W793" s="2"/>
      <c r="X793" s="2"/>
      <c r="Y793" s="2"/>
    </row>
    <row r="794" spans="1:25" ht="17.399999999999999" x14ac:dyDescent="0.25">
      <c r="A794" s="1"/>
      <c r="B794" s="40"/>
      <c r="C794" s="2" t="str">
        <f ca="1">IFERROR(__xludf.DUMMYFUNCTION("iferror(filter('Full Perk List'!C$3:C1498,'Full Perk List'!$D$3:$D1498=$D794),"""")"),"#REF!")</f>
        <v>#REF!</v>
      </c>
      <c r="D794" s="2"/>
      <c r="E794" s="2" t="str">
        <f ca="1">IFERROR(__xludf.DUMMYFUNCTION("iferror(filter('Full Perk List'!E$3:E1498,'Full Perk List'!$D$3:$D1498=$D794),"""")"),"#REF!")</f>
        <v>#REF!</v>
      </c>
      <c r="F794" s="2" t="str">
        <f ca="1">IFERROR(__xludf.DUMMYFUNCTION("iferror(filter('Full Perk List'!F$3:F1498,'Full Perk List'!$D$3:$D1498=$D794),"""")"),"#REF!")</f>
        <v>#REF!</v>
      </c>
      <c r="G794" s="2" t="str">
        <f ca="1">IFERROR(__xludf.DUMMYFUNCTION("iferror(filter('Full Perk List'!G$3:G1498,'Full Perk List'!$D$3:$D1498=$D794),"""")"),"#REF!")</f>
        <v>#REF!</v>
      </c>
      <c r="H794" s="1"/>
      <c r="I794" s="2"/>
      <c r="J794" s="2"/>
      <c r="K794" s="2"/>
      <c r="L794" s="2"/>
      <c r="M794" s="2"/>
      <c r="N794" s="2"/>
      <c r="O794" s="2"/>
      <c r="P794" s="2"/>
      <c r="Q794" s="2"/>
      <c r="R794" s="2"/>
      <c r="S794" s="2"/>
      <c r="T794" s="2"/>
      <c r="U794" s="2"/>
      <c r="V794" s="2"/>
      <c r="W794" s="2"/>
      <c r="X794" s="2"/>
      <c r="Y794" s="2"/>
    </row>
    <row r="795" spans="1:25" ht="17.399999999999999" x14ac:dyDescent="0.25">
      <c r="A795" s="1"/>
      <c r="B795" s="40"/>
      <c r="C795" s="2" t="str">
        <f ca="1">IFERROR(__xludf.DUMMYFUNCTION("iferror(filter('Full Perk List'!C$3:C1498,'Full Perk List'!$D$3:$D1498=$D795),"""")"),"#REF!")</f>
        <v>#REF!</v>
      </c>
      <c r="D795" s="2"/>
      <c r="E795" s="2" t="str">
        <f ca="1">IFERROR(__xludf.DUMMYFUNCTION("iferror(filter('Full Perk List'!E$3:E1498,'Full Perk List'!$D$3:$D1498=$D795),"""")"),"#REF!")</f>
        <v>#REF!</v>
      </c>
      <c r="F795" s="2" t="str">
        <f ca="1">IFERROR(__xludf.DUMMYFUNCTION("iferror(filter('Full Perk List'!F$3:F1498,'Full Perk List'!$D$3:$D1498=$D795),"""")"),"#REF!")</f>
        <v>#REF!</v>
      </c>
      <c r="G795" s="2" t="str">
        <f ca="1">IFERROR(__xludf.DUMMYFUNCTION("iferror(filter('Full Perk List'!G$3:G1498,'Full Perk List'!$D$3:$D1498=$D795),"""")"),"#REF!")</f>
        <v>#REF!</v>
      </c>
      <c r="H795" s="1"/>
      <c r="I795" s="2"/>
      <c r="J795" s="2"/>
      <c r="K795" s="2"/>
      <c r="L795" s="2"/>
      <c r="M795" s="2"/>
      <c r="N795" s="2"/>
      <c r="O795" s="2"/>
      <c r="P795" s="2"/>
      <c r="Q795" s="2"/>
      <c r="R795" s="2"/>
      <c r="S795" s="2"/>
      <c r="T795" s="2"/>
      <c r="U795" s="2"/>
      <c r="V795" s="2"/>
      <c r="W795" s="2"/>
      <c r="X795" s="2"/>
      <c r="Y795" s="2"/>
    </row>
    <row r="796" spans="1:25" ht="17.399999999999999" x14ac:dyDescent="0.25">
      <c r="A796" s="1"/>
      <c r="B796" s="40"/>
      <c r="C796" s="2" t="str">
        <f ca="1">IFERROR(__xludf.DUMMYFUNCTION("iferror(filter('Full Perk List'!C$3:C1498,'Full Perk List'!$D$3:$D1498=$D796),"""")"),"#REF!")</f>
        <v>#REF!</v>
      </c>
      <c r="D796" s="2"/>
      <c r="E796" s="2" t="str">
        <f ca="1">IFERROR(__xludf.DUMMYFUNCTION("iferror(filter('Full Perk List'!E$3:E1498,'Full Perk List'!$D$3:$D1498=$D796),"""")"),"#REF!")</f>
        <v>#REF!</v>
      </c>
      <c r="F796" s="2" t="str">
        <f ca="1">IFERROR(__xludf.DUMMYFUNCTION("iferror(filter('Full Perk List'!F$3:F1498,'Full Perk List'!$D$3:$D1498=$D796),"""")"),"#REF!")</f>
        <v>#REF!</v>
      </c>
      <c r="G796" s="2" t="str">
        <f ca="1">IFERROR(__xludf.DUMMYFUNCTION("iferror(filter('Full Perk List'!G$3:G1498,'Full Perk List'!$D$3:$D1498=$D796),"""")"),"#REF!")</f>
        <v>#REF!</v>
      </c>
      <c r="H796" s="1"/>
      <c r="I796" s="2"/>
      <c r="J796" s="2"/>
      <c r="K796" s="2"/>
      <c r="L796" s="2"/>
      <c r="M796" s="2"/>
      <c r="N796" s="2"/>
      <c r="O796" s="2"/>
      <c r="P796" s="2"/>
      <c r="Q796" s="2"/>
      <c r="R796" s="2"/>
      <c r="S796" s="2"/>
      <c r="T796" s="2"/>
      <c r="U796" s="2"/>
      <c r="V796" s="2"/>
      <c r="W796" s="2"/>
      <c r="X796" s="2"/>
      <c r="Y796" s="2"/>
    </row>
    <row r="797" spans="1:25" ht="17.399999999999999" x14ac:dyDescent="0.25">
      <c r="A797" s="1"/>
      <c r="B797" s="40"/>
      <c r="C797" s="2" t="str">
        <f ca="1">IFERROR(__xludf.DUMMYFUNCTION("iferror(filter('Full Perk List'!C$3:C1498,'Full Perk List'!$D$3:$D1498=$D797),"""")"),"#REF!")</f>
        <v>#REF!</v>
      </c>
      <c r="D797" s="2"/>
      <c r="E797" s="2" t="str">
        <f ca="1">IFERROR(__xludf.DUMMYFUNCTION("iferror(filter('Full Perk List'!E$3:E1498,'Full Perk List'!$D$3:$D1498=$D797),"""")"),"#REF!")</f>
        <v>#REF!</v>
      </c>
      <c r="F797" s="2" t="str">
        <f ca="1">IFERROR(__xludf.DUMMYFUNCTION("iferror(filter('Full Perk List'!F$3:F1498,'Full Perk List'!$D$3:$D1498=$D797),"""")"),"#REF!")</f>
        <v>#REF!</v>
      </c>
      <c r="G797" s="2" t="str">
        <f ca="1">IFERROR(__xludf.DUMMYFUNCTION("iferror(filter('Full Perk List'!G$3:G1498,'Full Perk List'!$D$3:$D1498=$D797),"""")"),"#REF!")</f>
        <v>#REF!</v>
      </c>
      <c r="H797" s="1"/>
      <c r="I797" s="2"/>
      <c r="J797" s="2"/>
      <c r="K797" s="2"/>
      <c r="L797" s="2"/>
      <c r="M797" s="2"/>
      <c r="N797" s="2"/>
      <c r="O797" s="2"/>
      <c r="P797" s="2"/>
      <c r="Q797" s="2"/>
      <c r="R797" s="2"/>
      <c r="S797" s="2"/>
      <c r="T797" s="2"/>
      <c r="U797" s="2"/>
      <c r="V797" s="2"/>
      <c r="W797" s="2"/>
      <c r="X797" s="2"/>
      <c r="Y797" s="2"/>
    </row>
    <row r="798" spans="1:25" ht="17.399999999999999" x14ac:dyDescent="0.25">
      <c r="A798" s="1"/>
      <c r="B798" s="40"/>
      <c r="C798" s="2" t="str">
        <f ca="1">IFERROR(__xludf.DUMMYFUNCTION("iferror(filter('Full Perk List'!C$3:C1498,'Full Perk List'!$D$3:$D1498=$D798),"""")"),"#REF!")</f>
        <v>#REF!</v>
      </c>
      <c r="D798" s="2"/>
      <c r="E798" s="2" t="str">
        <f ca="1">IFERROR(__xludf.DUMMYFUNCTION("iferror(filter('Full Perk List'!E$3:E1498,'Full Perk List'!$D$3:$D1498=$D798),"""")"),"#REF!")</f>
        <v>#REF!</v>
      </c>
      <c r="F798" s="2" t="str">
        <f ca="1">IFERROR(__xludf.DUMMYFUNCTION("iferror(filter('Full Perk List'!F$3:F1498,'Full Perk List'!$D$3:$D1498=$D798),"""")"),"#REF!")</f>
        <v>#REF!</v>
      </c>
      <c r="G798" s="2" t="str">
        <f ca="1">IFERROR(__xludf.DUMMYFUNCTION("iferror(filter('Full Perk List'!G$3:G1498,'Full Perk List'!$D$3:$D1498=$D798),"""")"),"#REF!")</f>
        <v>#REF!</v>
      </c>
      <c r="H798" s="1"/>
      <c r="I798" s="2"/>
      <c r="J798" s="2"/>
      <c r="K798" s="2"/>
      <c r="L798" s="2"/>
      <c r="M798" s="2"/>
      <c r="N798" s="2"/>
      <c r="O798" s="2"/>
      <c r="P798" s="2"/>
      <c r="Q798" s="2"/>
      <c r="R798" s="2"/>
      <c r="S798" s="2"/>
      <c r="T798" s="2"/>
      <c r="U798" s="2"/>
      <c r="V798" s="2"/>
      <c r="W798" s="2"/>
      <c r="X798" s="2"/>
      <c r="Y798" s="2"/>
    </row>
    <row r="799" spans="1:25" ht="17.399999999999999" x14ac:dyDescent="0.25">
      <c r="A799" s="1"/>
      <c r="B799" s="40"/>
      <c r="C799" s="2" t="str">
        <f ca="1">IFERROR(__xludf.DUMMYFUNCTION("iferror(filter('Full Perk List'!C$3:C1498,'Full Perk List'!$D$3:$D1498=$D799),"""")"),"#REF!")</f>
        <v>#REF!</v>
      </c>
      <c r="D799" s="2"/>
      <c r="E799" s="2" t="str">
        <f ca="1">IFERROR(__xludf.DUMMYFUNCTION("iferror(filter('Full Perk List'!E$3:E1498,'Full Perk List'!$D$3:$D1498=$D799),"""")"),"#REF!")</f>
        <v>#REF!</v>
      </c>
      <c r="F799" s="2" t="str">
        <f ca="1">IFERROR(__xludf.DUMMYFUNCTION("iferror(filter('Full Perk List'!F$3:F1498,'Full Perk List'!$D$3:$D1498=$D799),"""")"),"#REF!")</f>
        <v>#REF!</v>
      </c>
      <c r="G799" s="2" t="str">
        <f ca="1">IFERROR(__xludf.DUMMYFUNCTION("iferror(filter('Full Perk List'!G$3:G1498,'Full Perk List'!$D$3:$D1498=$D799),"""")"),"#REF!")</f>
        <v>#REF!</v>
      </c>
      <c r="H799" s="1"/>
      <c r="I799" s="2"/>
      <c r="J799" s="2"/>
      <c r="K799" s="2"/>
      <c r="L799" s="2"/>
      <c r="M799" s="2"/>
      <c r="N799" s="2"/>
      <c r="O799" s="2"/>
      <c r="P799" s="2"/>
      <c r="Q799" s="2"/>
      <c r="R799" s="2"/>
      <c r="S799" s="2"/>
      <c r="T799" s="2"/>
      <c r="U799" s="2"/>
      <c r="V799" s="2"/>
      <c r="W799" s="2"/>
      <c r="X799" s="2"/>
      <c r="Y799" s="2"/>
    </row>
    <row r="800" spans="1:25" ht="17.399999999999999" x14ac:dyDescent="0.25">
      <c r="A800" s="1"/>
      <c r="B800" s="40"/>
      <c r="C800" s="2" t="str">
        <f ca="1">IFERROR(__xludf.DUMMYFUNCTION("iferror(filter('Full Perk List'!C$3:C1498,'Full Perk List'!$D$3:$D1498=$D800),"""")"),"#REF!")</f>
        <v>#REF!</v>
      </c>
      <c r="D800" s="2"/>
      <c r="E800" s="2" t="str">
        <f ca="1">IFERROR(__xludf.DUMMYFUNCTION("iferror(filter('Full Perk List'!E$3:E1498,'Full Perk List'!$D$3:$D1498=$D800),"""")"),"#REF!")</f>
        <v>#REF!</v>
      </c>
      <c r="F800" s="2" t="str">
        <f ca="1">IFERROR(__xludf.DUMMYFUNCTION("iferror(filter('Full Perk List'!F$3:F1498,'Full Perk List'!$D$3:$D1498=$D800),"""")"),"#REF!")</f>
        <v>#REF!</v>
      </c>
      <c r="G800" s="2" t="str">
        <f ca="1">IFERROR(__xludf.DUMMYFUNCTION("iferror(filter('Full Perk List'!G$3:G1498,'Full Perk List'!$D$3:$D1498=$D800),"""")"),"#REF!")</f>
        <v>#REF!</v>
      </c>
      <c r="H800" s="1"/>
      <c r="I800" s="2"/>
      <c r="J800" s="2"/>
      <c r="K800" s="2"/>
      <c r="L800" s="2"/>
      <c r="M800" s="2"/>
      <c r="N800" s="2"/>
      <c r="O800" s="2"/>
      <c r="P800" s="2"/>
      <c r="Q800" s="2"/>
      <c r="R800" s="2"/>
      <c r="S800" s="2"/>
      <c r="T800" s="2"/>
      <c r="U800" s="2"/>
      <c r="V800" s="2"/>
      <c r="W800" s="2"/>
      <c r="X800" s="2"/>
      <c r="Y800" s="2"/>
    </row>
    <row r="801" spans="1:25" ht="17.399999999999999" x14ac:dyDescent="0.25">
      <c r="A801" s="1"/>
      <c r="B801" s="40"/>
      <c r="C801" s="2" t="str">
        <f ca="1">IFERROR(__xludf.DUMMYFUNCTION("iferror(filter('Full Perk List'!C$3:C1498,'Full Perk List'!$D$3:$D1498=$D801),"""")"),"#REF!")</f>
        <v>#REF!</v>
      </c>
      <c r="D801" s="2"/>
      <c r="E801" s="2" t="str">
        <f ca="1">IFERROR(__xludf.DUMMYFUNCTION("iferror(filter('Full Perk List'!E$3:E1498,'Full Perk List'!$D$3:$D1498=$D801),"""")"),"#REF!")</f>
        <v>#REF!</v>
      </c>
      <c r="F801" s="2" t="str">
        <f ca="1">IFERROR(__xludf.DUMMYFUNCTION("iferror(filter('Full Perk List'!F$3:F1498,'Full Perk List'!$D$3:$D1498=$D801),"""")"),"#REF!")</f>
        <v>#REF!</v>
      </c>
      <c r="G801" s="2" t="str">
        <f ca="1">IFERROR(__xludf.DUMMYFUNCTION("iferror(filter('Full Perk List'!G$3:G1498,'Full Perk List'!$D$3:$D1498=$D801),"""")"),"#REF!")</f>
        <v>#REF!</v>
      </c>
      <c r="H801" s="1"/>
      <c r="I801" s="2"/>
      <c r="J801" s="2"/>
      <c r="K801" s="2"/>
      <c r="L801" s="2"/>
      <c r="M801" s="2"/>
      <c r="N801" s="2"/>
      <c r="O801" s="2"/>
      <c r="P801" s="2"/>
      <c r="Q801" s="2"/>
      <c r="R801" s="2"/>
      <c r="S801" s="2"/>
      <c r="T801" s="2"/>
      <c r="U801" s="2"/>
      <c r="V801" s="2"/>
      <c r="W801" s="2"/>
      <c r="X801" s="2"/>
      <c r="Y801" s="2"/>
    </row>
    <row r="802" spans="1:25" ht="17.399999999999999" x14ac:dyDescent="0.25">
      <c r="A802" s="1"/>
      <c r="B802" s="40"/>
      <c r="C802" s="2" t="str">
        <f ca="1">IFERROR(__xludf.DUMMYFUNCTION("iferror(filter('Full Perk List'!C$3:C1498,'Full Perk List'!$D$3:$D1498=$D802),"""")"),"#REF!")</f>
        <v>#REF!</v>
      </c>
      <c r="D802" s="2"/>
      <c r="E802" s="2" t="str">
        <f ca="1">IFERROR(__xludf.DUMMYFUNCTION("iferror(filter('Full Perk List'!E$3:E1498,'Full Perk List'!$D$3:$D1498=$D802),"""")"),"#REF!")</f>
        <v>#REF!</v>
      </c>
      <c r="F802" s="2" t="str">
        <f ca="1">IFERROR(__xludf.DUMMYFUNCTION("iferror(filter('Full Perk List'!F$3:F1498,'Full Perk List'!$D$3:$D1498=$D802),"""")"),"#REF!")</f>
        <v>#REF!</v>
      </c>
      <c r="G802" s="2" t="str">
        <f ca="1">IFERROR(__xludf.DUMMYFUNCTION("iferror(filter('Full Perk List'!G$3:G1498,'Full Perk List'!$D$3:$D1498=$D802),"""")"),"#REF!")</f>
        <v>#REF!</v>
      </c>
      <c r="H802" s="1"/>
      <c r="I802" s="2"/>
      <c r="J802" s="2"/>
      <c r="K802" s="2"/>
      <c r="L802" s="2"/>
      <c r="M802" s="2"/>
      <c r="N802" s="2"/>
      <c r="O802" s="2"/>
      <c r="P802" s="2"/>
      <c r="Q802" s="2"/>
      <c r="R802" s="2"/>
      <c r="S802" s="2"/>
      <c r="T802" s="2"/>
      <c r="U802" s="2"/>
      <c r="V802" s="2"/>
      <c r="W802" s="2"/>
      <c r="X802" s="2"/>
      <c r="Y802" s="2"/>
    </row>
    <row r="803" spans="1:25" ht="17.399999999999999" x14ac:dyDescent="0.25">
      <c r="A803" s="1"/>
      <c r="B803" s="40"/>
      <c r="C803" s="2" t="str">
        <f ca="1">IFERROR(__xludf.DUMMYFUNCTION("iferror(filter('Full Perk List'!C$3:C1498,'Full Perk List'!$D$3:$D1498=$D803),"""")"),"#REF!")</f>
        <v>#REF!</v>
      </c>
      <c r="D803" s="2"/>
      <c r="E803" s="2" t="str">
        <f ca="1">IFERROR(__xludf.DUMMYFUNCTION("iferror(filter('Full Perk List'!E$3:E1498,'Full Perk List'!$D$3:$D1498=$D803),"""")"),"#REF!")</f>
        <v>#REF!</v>
      </c>
      <c r="F803" s="2" t="str">
        <f ca="1">IFERROR(__xludf.DUMMYFUNCTION("iferror(filter('Full Perk List'!F$3:F1498,'Full Perk List'!$D$3:$D1498=$D803),"""")"),"#REF!")</f>
        <v>#REF!</v>
      </c>
      <c r="G803" s="2" t="str">
        <f ca="1">IFERROR(__xludf.DUMMYFUNCTION("iferror(filter('Full Perk List'!G$3:G1498,'Full Perk List'!$D$3:$D1498=$D803),"""")"),"#REF!")</f>
        <v>#REF!</v>
      </c>
      <c r="H803" s="1"/>
      <c r="I803" s="2"/>
      <c r="J803" s="2"/>
      <c r="K803" s="2"/>
      <c r="L803" s="2"/>
      <c r="M803" s="2"/>
      <c r="N803" s="2"/>
      <c r="O803" s="2"/>
      <c r="P803" s="2"/>
      <c r="Q803" s="2"/>
      <c r="R803" s="2"/>
      <c r="S803" s="2"/>
      <c r="T803" s="2"/>
      <c r="U803" s="2"/>
      <c r="V803" s="2"/>
      <c r="W803" s="2"/>
      <c r="X803" s="2"/>
      <c r="Y803" s="2"/>
    </row>
    <row r="804" spans="1:25" ht="17.399999999999999" x14ac:dyDescent="0.25">
      <c r="A804" s="1"/>
      <c r="B804" s="40"/>
      <c r="C804" s="2" t="str">
        <f ca="1">IFERROR(__xludf.DUMMYFUNCTION("iferror(filter('Full Perk List'!C$3:C1498,'Full Perk List'!$D$3:$D1498=$D804),"""")"),"#REF!")</f>
        <v>#REF!</v>
      </c>
      <c r="D804" s="2"/>
      <c r="E804" s="2" t="str">
        <f ca="1">IFERROR(__xludf.DUMMYFUNCTION("iferror(filter('Full Perk List'!E$3:E1498,'Full Perk List'!$D$3:$D1498=$D804),"""")"),"#REF!")</f>
        <v>#REF!</v>
      </c>
      <c r="F804" s="2" t="str">
        <f ca="1">IFERROR(__xludf.DUMMYFUNCTION("iferror(filter('Full Perk List'!F$3:F1498,'Full Perk List'!$D$3:$D1498=$D804),"""")"),"#REF!")</f>
        <v>#REF!</v>
      </c>
      <c r="G804" s="2" t="str">
        <f ca="1">IFERROR(__xludf.DUMMYFUNCTION("iferror(filter('Full Perk List'!G$3:G1498,'Full Perk List'!$D$3:$D1498=$D804),"""")"),"#REF!")</f>
        <v>#REF!</v>
      </c>
      <c r="H804" s="1"/>
      <c r="I804" s="2"/>
      <c r="J804" s="2"/>
      <c r="K804" s="2"/>
      <c r="L804" s="2"/>
      <c r="M804" s="2"/>
      <c r="N804" s="2"/>
      <c r="O804" s="2"/>
      <c r="P804" s="2"/>
      <c r="Q804" s="2"/>
      <c r="R804" s="2"/>
      <c r="S804" s="2"/>
      <c r="T804" s="2"/>
      <c r="U804" s="2"/>
      <c r="V804" s="2"/>
      <c r="W804" s="2"/>
      <c r="X804" s="2"/>
      <c r="Y804" s="2"/>
    </row>
    <row r="805" spans="1:25" ht="17.399999999999999" x14ac:dyDescent="0.25">
      <c r="A805" s="1"/>
      <c r="B805" s="40"/>
      <c r="C805" s="2" t="str">
        <f ca="1">IFERROR(__xludf.DUMMYFUNCTION("iferror(filter('Full Perk List'!C$3:C1498,'Full Perk List'!$D$3:$D1498=$D805),"""")"),"#REF!")</f>
        <v>#REF!</v>
      </c>
      <c r="D805" s="2"/>
      <c r="E805" s="2" t="str">
        <f ca="1">IFERROR(__xludf.DUMMYFUNCTION("iferror(filter('Full Perk List'!E$3:E1498,'Full Perk List'!$D$3:$D1498=$D805),"""")"),"#REF!")</f>
        <v>#REF!</v>
      </c>
      <c r="F805" s="2" t="str">
        <f ca="1">IFERROR(__xludf.DUMMYFUNCTION("iferror(filter('Full Perk List'!F$3:F1498,'Full Perk List'!$D$3:$D1498=$D805),"""")"),"#REF!")</f>
        <v>#REF!</v>
      </c>
      <c r="G805" s="2" t="str">
        <f ca="1">IFERROR(__xludf.DUMMYFUNCTION("iferror(filter('Full Perk List'!G$3:G1498,'Full Perk List'!$D$3:$D1498=$D805),"""")"),"#REF!")</f>
        <v>#REF!</v>
      </c>
      <c r="H805" s="1"/>
      <c r="I805" s="2"/>
      <c r="J805" s="2"/>
      <c r="K805" s="2"/>
      <c r="L805" s="2"/>
      <c r="M805" s="2"/>
      <c r="N805" s="2"/>
      <c r="O805" s="2"/>
      <c r="P805" s="2"/>
      <c r="Q805" s="2"/>
      <c r="R805" s="2"/>
      <c r="S805" s="2"/>
      <c r="T805" s="2"/>
      <c r="U805" s="2"/>
      <c r="V805" s="2"/>
      <c r="W805" s="2"/>
      <c r="X805" s="2"/>
      <c r="Y805" s="2"/>
    </row>
    <row r="806" spans="1:25" ht="17.399999999999999" x14ac:dyDescent="0.25">
      <c r="A806" s="1"/>
      <c r="B806" s="40"/>
      <c r="C806" s="2" t="str">
        <f ca="1">IFERROR(__xludf.DUMMYFUNCTION("iferror(filter('Full Perk List'!C$3:C1498,'Full Perk List'!$D$3:$D1498=$D806),"""")"),"#REF!")</f>
        <v>#REF!</v>
      </c>
      <c r="D806" s="2"/>
      <c r="E806" s="2" t="str">
        <f ca="1">IFERROR(__xludf.DUMMYFUNCTION("iferror(filter('Full Perk List'!E$3:E1498,'Full Perk List'!$D$3:$D1498=$D806),"""")"),"#REF!")</f>
        <v>#REF!</v>
      </c>
      <c r="F806" s="2" t="str">
        <f ca="1">IFERROR(__xludf.DUMMYFUNCTION("iferror(filter('Full Perk List'!F$3:F1498,'Full Perk List'!$D$3:$D1498=$D806),"""")"),"#REF!")</f>
        <v>#REF!</v>
      </c>
      <c r="G806" s="2" t="str">
        <f ca="1">IFERROR(__xludf.DUMMYFUNCTION("iferror(filter('Full Perk List'!G$3:G1498,'Full Perk List'!$D$3:$D1498=$D806),"""")"),"#REF!")</f>
        <v>#REF!</v>
      </c>
      <c r="H806" s="1"/>
      <c r="I806" s="2"/>
      <c r="J806" s="2"/>
      <c r="K806" s="2"/>
      <c r="L806" s="2"/>
      <c r="M806" s="2"/>
      <c r="N806" s="2"/>
      <c r="O806" s="2"/>
      <c r="P806" s="2"/>
      <c r="Q806" s="2"/>
      <c r="R806" s="2"/>
      <c r="S806" s="2"/>
      <c r="T806" s="2"/>
      <c r="U806" s="2"/>
      <c r="V806" s="2"/>
      <c r="W806" s="2"/>
      <c r="X806" s="2"/>
      <c r="Y806" s="2"/>
    </row>
    <row r="807" spans="1:25" ht="17.399999999999999" x14ac:dyDescent="0.25">
      <c r="A807" s="1"/>
      <c r="B807" s="40"/>
      <c r="C807" s="2" t="str">
        <f ca="1">IFERROR(__xludf.DUMMYFUNCTION("iferror(filter('Full Perk List'!C$3:C1498,'Full Perk List'!$D$3:$D1498=$D807),"""")"),"#REF!")</f>
        <v>#REF!</v>
      </c>
      <c r="D807" s="2"/>
      <c r="E807" s="2" t="str">
        <f ca="1">IFERROR(__xludf.DUMMYFUNCTION("iferror(filter('Full Perk List'!E$3:E1498,'Full Perk List'!$D$3:$D1498=$D807),"""")"),"#REF!")</f>
        <v>#REF!</v>
      </c>
      <c r="F807" s="2" t="str">
        <f ca="1">IFERROR(__xludf.DUMMYFUNCTION("iferror(filter('Full Perk List'!F$3:F1498,'Full Perk List'!$D$3:$D1498=$D807),"""")"),"#REF!")</f>
        <v>#REF!</v>
      </c>
      <c r="G807" s="2" t="str">
        <f ca="1">IFERROR(__xludf.DUMMYFUNCTION("iferror(filter('Full Perk List'!G$3:G1498,'Full Perk List'!$D$3:$D1498=$D807),"""")"),"#REF!")</f>
        <v>#REF!</v>
      </c>
      <c r="H807" s="1"/>
      <c r="I807" s="2"/>
      <c r="J807" s="2"/>
      <c r="K807" s="2"/>
      <c r="L807" s="2"/>
      <c r="M807" s="2"/>
      <c r="N807" s="2"/>
      <c r="O807" s="2"/>
      <c r="P807" s="2"/>
      <c r="Q807" s="2"/>
      <c r="R807" s="2"/>
      <c r="S807" s="2"/>
      <c r="T807" s="2"/>
      <c r="U807" s="2"/>
      <c r="V807" s="2"/>
      <c r="W807" s="2"/>
      <c r="X807" s="2"/>
      <c r="Y807" s="2"/>
    </row>
    <row r="808" spans="1:25" ht="17.399999999999999" x14ac:dyDescent="0.25">
      <c r="A808" s="1"/>
      <c r="B808" s="40"/>
      <c r="C808" s="2" t="str">
        <f ca="1">IFERROR(__xludf.DUMMYFUNCTION("iferror(filter('Full Perk List'!C$3:C1498,'Full Perk List'!$D$3:$D1498=$D808),"""")"),"#REF!")</f>
        <v>#REF!</v>
      </c>
      <c r="D808" s="2"/>
      <c r="E808" s="2" t="str">
        <f ca="1">IFERROR(__xludf.DUMMYFUNCTION("iferror(filter('Full Perk List'!E$3:E1498,'Full Perk List'!$D$3:$D1498=$D808),"""")"),"#REF!")</f>
        <v>#REF!</v>
      </c>
      <c r="F808" s="2" t="str">
        <f ca="1">IFERROR(__xludf.DUMMYFUNCTION("iferror(filter('Full Perk List'!F$3:F1498,'Full Perk List'!$D$3:$D1498=$D808),"""")"),"#REF!")</f>
        <v>#REF!</v>
      </c>
      <c r="G808" s="2" t="str">
        <f ca="1">IFERROR(__xludf.DUMMYFUNCTION("iferror(filter('Full Perk List'!G$3:G1498,'Full Perk List'!$D$3:$D1498=$D808),"""")"),"#REF!")</f>
        <v>#REF!</v>
      </c>
      <c r="H808" s="1"/>
      <c r="I808" s="2"/>
      <c r="J808" s="2"/>
      <c r="K808" s="2"/>
      <c r="L808" s="2"/>
      <c r="M808" s="2"/>
      <c r="N808" s="2"/>
      <c r="O808" s="2"/>
      <c r="P808" s="2"/>
      <c r="Q808" s="2"/>
      <c r="R808" s="2"/>
      <c r="S808" s="2"/>
      <c r="T808" s="2"/>
      <c r="U808" s="2"/>
      <c r="V808" s="2"/>
      <c r="W808" s="2"/>
      <c r="X808" s="2"/>
      <c r="Y808" s="2"/>
    </row>
    <row r="809" spans="1:25" ht="17.399999999999999" x14ac:dyDescent="0.25">
      <c r="A809" s="1"/>
      <c r="B809" s="40"/>
      <c r="C809" s="2" t="str">
        <f ca="1">IFERROR(__xludf.DUMMYFUNCTION("iferror(filter('Full Perk List'!C$3:C1498,'Full Perk List'!$D$3:$D1498=$D809),"""")"),"#REF!")</f>
        <v>#REF!</v>
      </c>
      <c r="D809" s="2"/>
      <c r="E809" s="2" t="str">
        <f ca="1">IFERROR(__xludf.DUMMYFUNCTION("iferror(filter('Full Perk List'!E$3:E1498,'Full Perk List'!$D$3:$D1498=$D809),"""")"),"#REF!")</f>
        <v>#REF!</v>
      </c>
      <c r="F809" s="2" t="str">
        <f ca="1">IFERROR(__xludf.DUMMYFUNCTION("iferror(filter('Full Perk List'!F$3:F1498,'Full Perk List'!$D$3:$D1498=$D809),"""")"),"#REF!")</f>
        <v>#REF!</v>
      </c>
      <c r="G809" s="2" t="str">
        <f ca="1">IFERROR(__xludf.DUMMYFUNCTION("iferror(filter('Full Perk List'!G$3:G1498,'Full Perk List'!$D$3:$D1498=$D809),"""")"),"#REF!")</f>
        <v>#REF!</v>
      </c>
      <c r="H809" s="1"/>
      <c r="I809" s="2"/>
      <c r="J809" s="2"/>
      <c r="K809" s="2"/>
      <c r="L809" s="2"/>
      <c r="M809" s="2"/>
      <c r="N809" s="2"/>
      <c r="O809" s="2"/>
      <c r="P809" s="2"/>
      <c r="Q809" s="2"/>
      <c r="R809" s="2"/>
      <c r="S809" s="2"/>
      <c r="T809" s="2"/>
      <c r="U809" s="2"/>
      <c r="V809" s="2"/>
      <c r="W809" s="2"/>
      <c r="X809" s="2"/>
      <c r="Y809" s="2"/>
    </row>
    <row r="810" spans="1:25" ht="17.399999999999999" x14ac:dyDescent="0.25">
      <c r="A810" s="1"/>
      <c r="B810" s="40"/>
      <c r="C810" s="2" t="str">
        <f ca="1">IFERROR(__xludf.DUMMYFUNCTION("iferror(filter('Full Perk List'!C$3:C1498,'Full Perk List'!$D$3:$D1498=$D810),"""")"),"#REF!")</f>
        <v>#REF!</v>
      </c>
      <c r="D810" s="2"/>
      <c r="E810" s="2" t="str">
        <f ca="1">IFERROR(__xludf.DUMMYFUNCTION("iferror(filter('Full Perk List'!E$3:E1498,'Full Perk List'!$D$3:$D1498=$D810),"""")"),"#REF!")</f>
        <v>#REF!</v>
      </c>
      <c r="F810" s="2" t="str">
        <f ca="1">IFERROR(__xludf.DUMMYFUNCTION("iferror(filter('Full Perk List'!F$3:F1498,'Full Perk List'!$D$3:$D1498=$D810),"""")"),"#REF!")</f>
        <v>#REF!</v>
      </c>
      <c r="G810" s="2" t="str">
        <f ca="1">IFERROR(__xludf.DUMMYFUNCTION("iferror(filter('Full Perk List'!G$3:G1498,'Full Perk List'!$D$3:$D1498=$D810),"""")"),"#REF!")</f>
        <v>#REF!</v>
      </c>
      <c r="H810" s="1"/>
      <c r="I810" s="2"/>
      <c r="J810" s="2"/>
      <c r="K810" s="2"/>
      <c r="L810" s="2"/>
      <c r="M810" s="2"/>
      <c r="N810" s="2"/>
      <c r="O810" s="2"/>
      <c r="P810" s="2"/>
      <c r="Q810" s="2"/>
      <c r="R810" s="2"/>
      <c r="S810" s="2"/>
      <c r="T810" s="2"/>
      <c r="U810" s="2"/>
      <c r="V810" s="2"/>
      <c r="W810" s="2"/>
      <c r="X810" s="2"/>
      <c r="Y810" s="2"/>
    </row>
    <row r="811" spans="1:25" ht="17.399999999999999" x14ac:dyDescent="0.25">
      <c r="A811" s="1"/>
      <c r="B811" s="40"/>
      <c r="C811" s="2" t="str">
        <f ca="1">IFERROR(__xludf.DUMMYFUNCTION("iferror(filter('Full Perk List'!C$3:C1498,'Full Perk List'!$D$3:$D1498=$D811),"""")"),"#REF!")</f>
        <v>#REF!</v>
      </c>
      <c r="D811" s="2"/>
      <c r="E811" s="2" t="str">
        <f ca="1">IFERROR(__xludf.DUMMYFUNCTION("iferror(filter('Full Perk List'!E$3:E1498,'Full Perk List'!$D$3:$D1498=$D811),"""")"),"#REF!")</f>
        <v>#REF!</v>
      </c>
      <c r="F811" s="2" t="str">
        <f ca="1">IFERROR(__xludf.DUMMYFUNCTION("iferror(filter('Full Perk List'!F$3:F1498,'Full Perk List'!$D$3:$D1498=$D811),"""")"),"#REF!")</f>
        <v>#REF!</v>
      </c>
      <c r="G811" s="2" t="str">
        <f ca="1">IFERROR(__xludf.DUMMYFUNCTION("iferror(filter('Full Perk List'!G$3:G1498,'Full Perk List'!$D$3:$D1498=$D811),"""")"),"#REF!")</f>
        <v>#REF!</v>
      </c>
      <c r="H811" s="1"/>
      <c r="I811" s="2"/>
      <c r="J811" s="2"/>
      <c r="K811" s="2"/>
      <c r="L811" s="2"/>
      <c r="M811" s="2"/>
      <c r="N811" s="2"/>
      <c r="O811" s="2"/>
      <c r="P811" s="2"/>
      <c r="Q811" s="2"/>
      <c r="R811" s="2"/>
      <c r="S811" s="2"/>
      <c r="T811" s="2"/>
      <c r="U811" s="2"/>
      <c r="V811" s="2"/>
      <c r="W811" s="2"/>
      <c r="X811" s="2"/>
      <c r="Y811" s="2"/>
    </row>
    <row r="812" spans="1:25" ht="17.399999999999999" x14ac:dyDescent="0.25">
      <c r="A812" s="1"/>
      <c r="B812" s="40"/>
      <c r="C812" s="2" t="str">
        <f ca="1">IFERROR(__xludf.DUMMYFUNCTION("iferror(filter('Full Perk List'!C$3:C1498,'Full Perk List'!$D$3:$D1498=$D812),"""")"),"#REF!")</f>
        <v>#REF!</v>
      </c>
      <c r="D812" s="2"/>
      <c r="E812" s="2" t="str">
        <f ca="1">IFERROR(__xludf.DUMMYFUNCTION("iferror(filter('Full Perk List'!E$3:E1498,'Full Perk List'!$D$3:$D1498=$D812),"""")"),"#REF!")</f>
        <v>#REF!</v>
      </c>
      <c r="F812" s="2" t="str">
        <f ca="1">IFERROR(__xludf.DUMMYFUNCTION("iferror(filter('Full Perk List'!F$3:F1498,'Full Perk List'!$D$3:$D1498=$D812),"""")"),"#REF!")</f>
        <v>#REF!</v>
      </c>
      <c r="G812" s="2" t="str">
        <f ca="1">IFERROR(__xludf.DUMMYFUNCTION("iferror(filter('Full Perk List'!G$3:G1498,'Full Perk List'!$D$3:$D1498=$D812),"""")"),"#REF!")</f>
        <v>#REF!</v>
      </c>
      <c r="H812" s="1"/>
      <c r="I812" s="2"/>
      <c r="J812" s="2"/>
      <c r="K812" s="2"/>
      <c r="L812" s="2"/>
      <c r="M812" s="2"/>
      <c r="N812" s="2"/>
      <c r="O812" s="2"/>
      <c r="P812" s="2"/>
      <c r="Q812" s="2"/>
      <c r="R812" s="2"/>
      <c r="S812" s="2"/>
      <c r="T812" s="2"/>
      <c r="U812" s="2"/>
      <c r="V812" s="2"/>
      <c r="W812" s="2"/>
      <c r="X812" s="2"/>
      <c r="Y812" s="2"/>
    </row>
    <row r="813" spans="1:25" ht="17.399999999999999" x14ac:dyDescent="0.25">
      <c r="A813" s="1"/>
      <c r="B813" s="40"/>
      <c r="C813" s="2" t="str">
        <f ca="1">IFERROR(__xludf.DUMMYFUNCTION("iferror(filter('Full Perk List'!C$3:C1498,'Full Perk List'!$D$3:$D1498=$D813),"""")"),"#REF!")</f>
        <v>#REF!</v>
      </c>
      <c r="D813" s="2"/>
      <c r="E813" s="2" t="str">
        <f ca="1">IFERROR(__xludf.DUMMYFUNCTION("iferror(filter('Full Perk List'!E$3:E1498,'Full Perk List'!$D$3:$D1498=$D813),"""")"),"#REF!")</f>
        <v>#REF!</v>
      </c>
      <c r="F813" s="2" t="str">
        <f ca="1">IFERROR(__xludf.DUMMYFUNCTION("iferror(filter('Full Perk List'!F$3:F1498,'Full Perk List'!$D$3:$D1498=$D813),"""")"),"#REF!")</f>
        <v>#REF!</v>
      </c>
      <c r="G813" s="2" t="str">
        <f ca="1">IFERROR(__xludf.DUMMYFUNCTION("iferror(filter('Full Perk List'!G$3:G1498,'Full Perk List'!$D$3:$D1498=$D813),"""")"),"#REF!")</f>
        <v>#REF!</v>
      </c>
      <c r="H813" s="1"/>
      <c r="I813" s="2"/>
      <c r="J813" s="2"/>
      <c r="K813" s="2"/>
      <c r="L813" s="2"/>
      <c r="M813" s="2"/>
      <c r="N813" s="2"/>
      <c r="O813" s="2"/>
      <c r="P813" s="2"/>
      <c r="Q813" s="2"/>
      <c r="R813" s="2"/>
      <c r="S813" s="2"/>
      <c r="T813" s="2"/>
      <c r="U813" s="2"/>
      <c r="V813" s="2"/>
      <c r="W813" s="2"/>
      <c r="X813" s="2"/>
      <c r="Y813" s="2"/>
    </row>
    <row r="814" spans="1:25" ht="17.399999999999999" x14ac:dyDescent="0.25">
      <c r="A814" s="1"/>
      <c r="B814" s="40"/>
      <c r="C814" s="2" t="str">
        <f ca="1">IFERROR(__xludf.DUMMYFUNCTION("iferror(filter('Full Perk List'!C$3:C1498,'Full Perk List'!$D$3:$D1498=$D814),"""")"),"#REF!")</f>
        <v>#REF!</v>
      </c>
      <c r="D814" s="2"/>
      <c r="E814" s="2" t="str">
        <f ca="1">IFERROR(__xludf.DUMMYFUNCTION("iferror(filter('Full Perk List'!E$3:E1498,'Full Perk List'!$D$3:$D1498=$D814),"""")"),"#REF!")</f>
        <v>#REF!</v>
      </c>
      <c r="F814" s="2" t="str">
        <f ca="1">IFERROR(__xludf.DUMMYFUNCTION("iferror(filter('Full Perk List'!F$3:F1498,'Full Perk List'!$D$3:$D1498=$D814),"""")"),"#REF!")</f>
        <v>#REF!</v>
      </c>
      <c r="G814" s="2" t="str">
        <f ca="1">IFERROR(__xludf.DUMMYFUNCTION("iferror(filter('Full Perk List'!G$3:G1498,'Full Perk List'!$D$3:$D1498=$D814),"""")"),"#REF!")</f>
        <v>#REF!</v>
      </c>
      <c r="H814" s="1"/>
      <c r="I814" s="2"/>
      <c r="J814" s="2"/>
      <c r="K814" s="2"/>
      <c r="L814" s="2"/>
      <c r="M814" s="2"/>
      <c r="N814" s="2"/>
      <c r="O814" s="2"/>
      <c r="P814" s="2"/>
      <c r="Q814" s="2"/>
      <c r="R814" s="2"/>
      <c r="S814" s="2"/>
      <c r="T814" s="2"/>
      <c r="U814" s="2"/>
      <c r="V814" s="2"/>
      <c r="W814" s="2"/>
      <c r="X814" s="2"/>
      <c r="Y814" s="2"/>
    </row>
    <row r="815" spans="1:25" ht="17.399999999999999" x14ac:dyDescent="0.25">
      <c r="A815" s="1"/>
      <c r="B815" s="40"/>
      <c r="C815" s="2" t="str">
        <f ca="1">IFERROR(__xludf.DUMMYFUNCTION("iferror(filter('Full Perk List'!C$3:C1498,'Full Perk List'!$D$3:$D1498=$D815),"""")"),"#REF!")</f>
        <v>#REF!</v>
      </c>
      <c r="D815" s="2"/>
      <c r="E815" s="2" t="str">
        <f ca="1">IFERROR(__xludf.DUMMYFUNCTION("iferror(filter('Full Perk List'!E$3:E1498,'Full Perk List'!$D$3:$D1498=$D815),"""")"),"#REF!")</f>
        <v>#REF!</v>
      </c>
      <c r="F815" s="2" t="str">
        <f ca="1">IFERROR(__xludf.DUMMYFUNCTION("iferror(filter('Full Perk List'!F$3:F1498,'Full Perk List'!$D$3:$D1498=$D815),"""")"),"#REF!")</f>
        <v>#REF!</v>
      </c>
      <c r="G815" s="2" t="str">
        <f ca="1">IFERROR(__xludf.DUMMYFUNCTION("iferror(filter('Full Perk List'!G$3:G1498,'Full Perk List'!$D$3:$D1498=$D815),"""")"),"#REF!")</f>
        <v>#REF!</v>
      </c>
      <c r="H815" s="1"/>
      <c r="I815" s="2"/>
      <c r="J815" s="2"/>
      <c r="K815" s="2"/>
      <c r="L815" s="2"/>
      <c r="M815" s="2"/>
      <c r="N815" s="2"/>
      <c r="O815" s="2"/>
      <c r="P815" s="2"/>
      <c r="Q815" s="2"/>
      <c r="R815" s="2"/>
      <c r="S815" s="2"/>
      <c r="T815" s="2"/>
      <c r="U815" s="2"/>
      <c r="V815" s="2"/>
      <c r="W815" s="2"/>
      <c r="X815" s="2"/>
      <c r="Y815" s="2"/>
    </row>
    <row r="816" spans="1:25" ht="17.399999999999999" x14ac:dyDescent="0.25">
      <c r="A816" s="1"/>
      <c r="B816" s="40"/>
      <c r="C816" s="2" t="str">
        <f ca="1">IFERROR(__xludf.DUMMYFUNCTION("iferror(filter('Full Perk List'!C$3:C1498,'Full Perk List'!$D$3:$D1498=$D816),"""")"),"#REF!")</f>
        <v>#REF!</v>
      </c>
      <c r="D816" s="2"/>
      <c r="E816" s="2" t="str">
        <f ca="1">IFERROR(__xludf.DUMMYFUNCTION("iferror(filter('Full Perk List'!E$3:E1498,'Full Perk List'!$D$3:$D1498=$D816),"""")"),"#REF!")</f>
        <v>#REF!</v>
      </c>
      <c r="F816" s="2" t="str">
        <f ca="1">IFERROR(__xludf.DUMMYFUNCTION("iferror(filter('Full Perk List'!F$3:F1498,'Full Perk List'!$D$3:$D1498=$D816),"""")"),"#REF!")</f>
        <v>#REF!</v>
      </c>
      <c r="G816" s="2" t="str">
        <f ca="1">IFERROR(__xludf.DUMMYFUNCTION("iferror(filter('Full Perk List'!G$3:G1498,'Full Perk List'!$D$3:$D1498=$D816),"""")"),"#REF!")</f>
        <v>#REF!</v>
      </c>
      <c r="H816" s="1"/>
      <c r="I816" s="2"/>
      <c r="J816" s="2"/>
      <c r="K816" s="2"/>
      <c r="L816" s="2"/>
      <c r="M816" s="2"/>
      <c r="N816" s="2"/>
      <c r="O816" s="2"/>
      <c r="P816" s="2"/>
      <c r="Q816" s="2"/>
      <c r="R816" s="2"/>
      <c r="S816" s="2"/>
      <c r="T816" s="2"/>
      <c r="U816" s="2"/>
      <c r="V816" s="2"/>
      <c r="W816" s="2"/>
      <c r="X816" s="2"/>
      <c r="Y816" s="2"/>
    </row>
    <row r="817" spans="1:25" ht="17.399999999999999" x14ac:dyDescent="0.25">
      <c r="A817" s="1"/>
      <c r="B817" s="40"/>
      <c r="C817" s="2" t="str">
        <f ca="1">IFERROR(__xludf.DUMMYFUNCTION("iferror(filter('Full Perk List'!C$3:C1498,'Full Perk List'!$D$3:$D1498=$D817),"""")"),"#REF!")</f>
        <v>#REF!</v>
      </c>
      <c r="D817" s="2"/>
      <c r="E817" s="2" t="str">
        <f ca="1">IFERROR(__xludf.DUMMYFUNCTION("iferror(filter('Full Perk List'!E$3:E1498,'Full Perk List'!$D$3:$D1498=$D817),"""")"),"#REF!")</f>
        <v>#REF!</v>
      </c>
      <c r="F817" s="2" t="str">
        <f ca="1">IFERROR(__xludf.DUMMYFUNCTION("iferror(filter('Full Perk List'!F$3:F1498,'Full Perk List'!$D$3:$D1498=$D817),"""")"),"#REF!")</f>
        <v>#REF!</v>
      </c>
      <c r="G817" s="2" t="str">
        <f ca="1">IFERROR(__xludf.DUMMYFUNCTION("iferror(filter('Full Perk List'!G$3:G1498,'Full Perk List'!$D$3:$D1498=$D817),"""")"),"#REF!")</f>
        <v>#REF!</v>
      </c>
      <c r="H817" s="1"/>
      <c r="I817" s="2"/>
      <c r="J817" s="2"/>
      <c r="K817" s="2"/>
      <c r="L817" s="2"/>
      <c r="M817" s="2"/>
      <c r="N817" s="2"/>
      <c r="O817" s="2"/>
      <c r="P817" s="2"/>
      <c r="Q817" s="2"/>
      <c r="R817" s="2"/>
      <c r="S817" s="2"/>
      <c r="T817" s="2"/>
      <c r="U817" s="2"/>
      <c r="V817" s="2"/>
      <c r="W817" s="2"/>
      <c r="X817" s="2"/>
      <c r="Y817" s="2"/>
    </row>
    <row r="818" spans="1:25" ht="17.399999999999999" x14ac:dyDescent="0.25">
      <c r="A818" s="1"/>
      <c r="B818" s="40"/>
      <c r="C818" s="2" t="str">
        <f ca="1">IFERROR(__xludf.DUMMYFUNCTION("iferror(filter('Full Perk List'!C$3:C1498,'Full Perk List'!$D$3:$D1498=$D818),"""")"),"#REF!")</f>
        <v>#REF!</v>
      </c>
      <c r="D818" s="2"/>
      <c r="E818" s="2" t="str">
        <f ca="1">IFERROR(__xludf.DUMMYFUNCTION("iferror(filter('Full Perk List'!E$3:E1498,'Full Perk List'!$D$3:$D1498=$D818),"""")"),"#REF!")</f>
        <v>#REF!</v>
      </c>
      <c r="F818" s="2" t="str">
        <f ca="1">IFERROR(__xludf.DUMMYFUNCTION("iferror(filter('Full Perk List'!F$3:F1498,'Full Perk List'!$D$3:$D1498=$D818),"""")"),"#REF!")</f>
        <v>#REF!</v>
      </c>
      <c r="G818" s="2" t="str">
        <f ca="1">IFERROR(__xludf.DUMMYFUNCTION("iferror(filter('Full Perk List'!G$3:G1498,'Full Perk List'!$D$3:$D1498=$D818),"""")"),"#REF!")</f>
        <v>#REF!</v>
      </c>
      <c r="H818" s="1"/>
      <c r="I818" s="2"/>
      <c r="J818" s="2"/>
      <c r="K818" s="2"/>
      <c r="L818" s="2"/>
      <c r="M818" s="2"/>
      <c r="N818" s="2"/>
      <c r="O818" s="2"/>
      <c r="P818" s="2"/>
      <c r="Q818" s="2"/>
      <c r="R818" s="2"/>
      <c r="S818" s="2"/>
      <c r="T818" s="2"/>
      <c r="U818" s="2"/>
      <c r="V818" s="2"/>
      <c r="W818" s="2"/>
      <c r="X818" s="2"/>
      <c r="Y818" s="2"/>
    </row>
    <row r="819" spans="1:25" ht="17.399999999999999" x14ac:dyDescent="0.25">
      <c r="A819" s="1"/>
      <c r="B819" s="40"/>
      <c r="C819" s="2" t="str">
        <f ca="1">IFERROR(__xludf.DUMMYFUNCTION("iferror(filter('Full Perk List'!C$3:C1498,'Full Perk List'!$D$3:$D1498=$D819),"""")"),"#REF!")</f>
        <v>#REF!</v>
      </c>
      <c r="D819" s="2"/>
      <c r="E819" s="2" t="str">
        <f ca="1">IFERROR(__xludf.DUMMYFUNCTION("iferror(filter('Full Perk List'!E$3:E1498,'Full Perk List'!$D$3:$D1498=$D819),"""")"),"#REF!")</f>
        <v>#REF!</v>
      </c>
      <c r="F819" s="2" t="str">
        <f ca="1">IFERROR(__xludf.DUMMYFUNCTION("iferror(filter('Full Perk List'!F$3:F1498,'Full Perk List'!$D$3:$D1498=$D819),"""")"),"#REF!")</f>
        <v>#REF!</v>
      </c>
      <c r="G819" s="2" t="str">
        <f ca="1">IFERROR(__xludf.DUMMYFUNCTION("iferror(filter('Full Perk List'!G$3:G1498,'Full Perk List'!$D$3:$D1498=$D819),"""")"),"#REF!")</f>
        <v>#REF!</v>
      </c>
      <c r="H819" s="1"/>
      <c r="I819" s="2"/>
      <c r="J819" s="2"/>
      <c r="K819" s="2"/>
      <c r="L819" s="2"/>
      <c r="M819" s="2"/>
      <c r="N819" s="2"/>
      <c r="O819" s="2"/>
      <c r="P819" s="2"/>
      <c r="Q819" s="2"/>
      <c r="R819" s="2"/>
      <c r="S819" s="2"/>
      <c r="T819" s="2"/>
      <c r="U819" s="2"/>
      <c r="V819" s="2"/>
      <c r="W819" s="2"/>
      <c r="X819" s="2"/>
      <c r="Y819" s="2"/>
    </row>
    <row r="820" spans="1:25" ht="17.399999999999999" x14ac:dyDescent="0.25">
      <c r="A820" s="1"/>
      <c r="B820" s="40"/>
      <c r="C820" s="2" t="str">
        <f ca="1">IFERROR(__xludf.DUMMYFUNCTION("iferror(filter('Full Perk List'!C$3:C1498,'Full Perk List'!$D$3:$D1498=$D820),"""")"),"#REF!")</f>
        <v>#REF!</v>
      </c>
      <c r="D820" s="2"/>
      <c r="E820" s="2" t="str">
        <f ca="1">IFERROR(__xludf.DUMMYFUNCTION("iferror(filter('Full Perk List'!E$3:E1498,'Full Perk List'!$D$3:$D1498=$D820),"""")"),"#REF!")</f>
        <v>#REF!</v>
      </c>
      <c r="F820" s="2" t="str">
        <f ca="1">IFERROR(__xludf.DUMMYFUNCTION("iferror(filter('Full Perk List'!F$3:F1498,'Full Perk List'!$D$3:$D1498=$D820),"""")"),"#REF!")</f>
        <v>#REF!</v>
      </c>
      <c r="G820" s="2" t="str">
        <f ca="1">IFERROR(__xludf.DUMMYFUNCTION("iferror(filter('Full Perk List'!G$3:G1498,'Full Perk List'!$D$3:$D1498=$D820),"""")"),"#REF!")</f>
        <v>#REF!</v>
      </c>
      <c r="H820" s="1"/>
      <c r="I820" s="2"/>
      <c r="J820" s="2"/>
      <c r="K820" s="2"/>
      <c r="L820" s="2"/>
      <c r="M820" s="2"/>
      <c r="N820" s="2"/>
      <c r="O820" s="2"/>
      <c r="P820" s="2"/>
      <c r="Q820" s="2"/>
      <c r="R820" s="2"/>
      <c r="S820" s="2"/>
      <c r="T820" s="2"/>
      <c r="U820" s="2"/>
      <c r="V820" s="2"/>
      <c r="W820" s="2"/>
      <c r="X820" s="2"/>
      <c r="Y820" s="2"/>
    </row>
    <row r="821" spans="1:25" ht="17.399999999999999" x14ac:dyDescent="0.25">
      <c r="A821" s="1"/>
      <c r="B821" s="40"/>
      <c r="C821" s="2" t="str">
        <f ca="1">IFERROR(__xludf.DUMMYFUNCTION("iferror(filter('Full Perk List'!C$3:C1498,'Full Perk List'!$D$3:$D1498=$D821),"""")"),"#REF!")</f>
        <v>#REF!</v>
      </c>
      <c r="D821" s="2"/>
      <c r="E821" s="2" t="str">
        <f ca="1">IFERROR(__xludf.DUMMYFUNCTION("iferror(filter('Full Perk List'!E$3:E1498,'Full Perk List'!$D$3:$D1498=$D821),"""")"),"#REF!")</f>
        <v>#REF!</v>
      </c>
      <c r="F821" s="2" t="str">
        <f ca="1">IFERROR(__xludf.DUMMYFUNCTION("iferror(filter('Full Perk List'!F$3:F1498,'Full Perk List'!$D$3:$D1498=$D821),"""")"),"#REF!")</f>
        <v>#REF!</v>
      </c>
      <c r="G821" s="2" t="str">
        <f ca="1">IFERROR(__xludf.DUMMYFUNCTION("iferror(filter('Full Perk List'!G$3:G1498,'Full Perk List'!$D$3:$D1498=$D821),"""")"),"#REF!")</f>
        <v>#REF!</v>
      </c>
      <c r="H821" s="1"/>
      <c r="I821" s="2"/>
      <c r="J821" s="2"/>
      <c r="K821" s="2"/>
      <c r="L821" s="2"/>
      <c r="M821" s="2"/>
      <c r="N821" s="2"/>
      <c r="O821" s="2"/>
      <c r="P821" s="2"/>
      <c r="Q821" s="2"/>
      <c r="R821" s="2"/>
      <c r="S821" s="2"/>
      <c r="T821" s="2"/>
      <c r="U821" s="2"/>
      <c r="V821" s="2"/>
      <c r="W821" s="2"/>
      <c r="X821" s="2"/>
      <c r="Y821" s="2"/>
    </row>
    <row r="822" spans="1:25" ht="17.399999999999999" x14ac:dyDescent="0.25">
      <c r="A822" s="1"/>
      <c r="B822" s="40"/>
      <c r="C822" s="2" t="str">
        <f ca="1">IFERROR(__xludf.DUMMYFUNCTION("iferror(filter('Full Perk List'!C$3:C1498,'Full Perk List'!$D$3:$D1498=$D822),"""")"),"#REF!")</f>
        <v>#REF!</v>
      </c>
      <c r="D822" s="2"/>
      <c r="E822" s="2" t="str">
        <f ca="1">IFERROR(__xludf.DUMMYFUNCTION("iferror(filter('Full Perk List'!E$3:E1498,'Full Perk List'!$D$3:$D1498=$D822),"""")"),"#REF!")</f>
        <v>#REF!</v>
      </c>
      <c r="F822" s="2" t="str">
        <f ca="1">IFERROR(__xludf.DUMMYFUNCTION("iferror(filter('Full Perk List'!F$3:F1498,'Full Perk List'!$D$3:$D1498=$D822),"""")"),"#REF!")</f>
        <v>#REF!</v>
      </c>
      <c r="G822" s="2" t="str">
        <f ca="1">IFERROR(__xludf.DUMMYFUNCTION("iferror(filter('Full Perk List'!G$3:G1498,'Full Perk List'!$D$3:$D1498=$D822),"""")"),"#REF!")</f>
        <v>#REF!</v>
      </c>
      <c r="H822" s="1"/>
      <c r="I822" s="2"/>
      <c r="J822" s="2"/>
      <c r="K822" s="2"/>
      <c r="L822" s="2"/>
      <c r="M822" s="2"/>
      <c r="N822" s="2"/>
      <c r="O822" s="2"/>
      <c r="P822" s="2"/>
      <c r="Q822" s="2"/>
      <c r="R822" s="2"/>
      <c r="S822" s="2"/>
      <c r="T822" s="2"/>
      <c r="U822" s="2"/>
      <c r="V822" s="2"/>
      <c r="W822" s="2"/>
      <c r="X822" s="2"/>
      <c r="Y822" s="2"/>
    </row>
    <row r="823" spans="1:25" ht="17.399999999999999" x14ac:dyDescent="0.25">
      <c r="A823" s="1"/>
      <c r="B823" s="40"/>
      <c r="C823" s="2" t="str">
        <f ca="1">IFERROR(__xludf.DUMMYFUNCTION("iferror(filter('Full Perk List'!C$3:C1498,'Full Perk List'!$D$3:$D1498=$D823),"""")"),"#REF!")</f>
        <v>#REF!</v>
      </c>
      <c r="D823" s="2"/>
      <c r="E823" s="2" t="str">
        <f ca="1">IFERROR(__xludf.DUMMYFUNCTION("iferror(filter('Full Perk List'!E$3:E1498,'Full Perk List'!$D$3:$D1498=$D823),"""")"),"#REF!")</f>
        <v>#REF!</v>
      </c>
      <c r="F823" s="2" t="str">
        <f ca="1">IFERROR(__xludf.DUMMYFUNCTION("iferror(filter('Full Perk List'!F$3:F1498,'Full Perk List'!$D$3:$D1498=$D823),"""")"),"#REF!")</f>
        <v>#REF!</v>
      </c>
      <c r="G823" s="2" t="str">
        <f ca="1">IFERROR(__xludf.DUMMYFUNCTION("iferror(filter('Full Perk List'!G$3:G1498,'Full Perk List'!$D$3:$D1498=$D823),"""")"),"#REF!")</f>
        <v>#REF!</v>
      </c>
      <c r="H823" s="1"/>
      <c r="I823" s="2"/>
      <c r="J823" s="2"/>
      <c r="K823" s="2"/>
      <c r="L823" s="2"/>
      <c r="M823" s="2"/>
      <c r="N823" s="2"/>
      <c r="O823" s="2"/>
      <c r="P823" s="2"/>
      <c r="Q823" s="2"/>
      <c r="R823" s="2"/>
      <c r="S823" s="2"/>
      <c r="T823" s="2"/>
      <c r="U823" s="2"/>
      <c r="V823" s="2"/>
      <c r="W823" s="2"/>
      <c r="X823" s="2"/>
      <c r="Y823" s="2"/>
    </row>
    <row r="824" spans="1:25" ht="17.399999999999999" x14ac:dyDescent="0.25">
      <c r="A824" s="1"/>
      <c r="B824" s="40"/>
      <c r="C824" s="2" t="str">
        <f ca="1">IFERROR(__xludf.DUMMYFUNCTION("iferror(filter('Full Perk List'!C$3:C1498,'Full Perk List'!$D$3:$D1498=$D824),"""")"),"#REF!")</f>
        <v>#REF!</v>
      </c>
      <c r="D824" s="2"/>
      <c r="E824" s="2" t="str">
        <f ca="1">IFERROR(__xludf.DUMMYFUNCTION("iferror(filter('Full Perk List'!E$3:E1498,'Full Perk List'!$D$3:$D1498=$D824),"""")"),"#REF!")</f>
        <v>#REF!</v>
      </c>
      <c r="F824" s="2" t="str">
        <f ca="1">IFERROR(__xludf.DUMMYFUNCTION("iferror(filter('Full Perk List'!F$3:F1498,'Full Perk List'!$D$3:$D1498=$D824),"""")"),"#REF!")</f>
        <v>#REF!</v>
      </c>
      <c r="G824" s="2" t="str">
        <f ca="1">IFERROR(__xludf.DUMMYFUNCTION("iferror(filter('Full Perk List'!G$3:G1498,'Full Perk List'!$D$3:$D1498=$D824),"""")"),"#REF!")</f>
        <v>#REF!</v>
      </c>
      <c r="H824" s="1"/>
      <c r="I824" s="2"/>
      <c r="J824" s="2"/>
      <c r="K824" s="2"/>
      <c r="L824" s="2"/>
      <c r="M824" s="2"/>
      <c r="N824" s="2"/>
      <c r="O824" s="2"/>
      <c r="P824" s="2"/>
      <c r="Q824" s="2"/>
      <c r="R824" s="2"/>
      <c r="S824" s="2"/>
      <c r="T824" s="2"/>
      <c r="U824" s="2"/>
      <c r="V824" s="2"/>
      <c r="W824" s="2"/>
      <c r="X824" s="2"/>
      <c r="Y824" s="2"/>
    </row>
    <row r="825" spans="1:25" ht="17.399999999999999" x14ac:dyDescent="0.25">
      <c r="A825" s="1"/>
      <c r="B825" s="40"/>
      <c r="C825" s="2" t="str">
        <f ca="1">IFERROR(__xludf.DUMMYFUNCTION("iferror(filter('Full Perk List'!C$3:C1498,'Full Perk List'!$D$3:$D1498=$D825),"""")"),"#REF!")</f>
        <v>#REF!</v>
      </c>
      <c r="D825" s="2"/>
      <c r="E825" s="2" t="str">
        <f ca="1">IFERROR(__xludf.DUMMYFUNCTION("iferror(filter('Full Perk List'!E$3:E1498,'Full Perk List'!$D$3:$D1498=$D825),"""")"),"#REF!")</f>
        <v>#REF!</v>
      </c>
      <c r="F825" s="2" t="str">
        <f ca="1">IFERROR(__xludf.DUMMYFUNCTION("iferror(filter('Full Perk List'!F$3:F1498,'Full Perk List'!$D$3:$D1498=$D825),"""")"),"#REF!")</f>
        <v>#REF!</v>
      </c>
      <c r="G825" s="2" t="str">
        <f ca="1">IFERROR(__xludf.DUMMYFUNCTION("iferror(filter('Full Perk List'!G$3:G1498,'Full Perk List'!$D$3:$D1498=$D825),"""")"),"#REF!")</f>
        <v>#REF!</v>
      </c>
      <c r="H825" s="1"/>
      <c r="I825" s="2"/>
      <c r="J825" s="2"/>
      <c r="K825" s="2"/>
      <c r="L825" s="2"/>
      <c r="M825" s="2"/>
      <c r="N825" s="2"/>
      <c r="O825" s="2"/>
      <c r="P825" s="2"/>
      <c r="Q825" s="2"/>
      <c r="R825" s="2"/>
      <c r="S825" s="2"/>
      <c r="T825" s="2"/>
      <c r="U825" s="2"/>
      <c r="V825" s="2"/>
      <c r="W825" s="2"/>
      <c r="X825" s="2"/>
      <c r="Y825" s="2"/>
    </row>
    <row r="826" spans="1:25" ht="17.399999999999999" x14ac:dyDescent="0.25">
      <c r="A826" s="1"/>
      <c r="B826" s="40"/>
      <c r="C826" s="2" t="str">
        <f ca="1">IFERROR(__xludf.DUMMYFUNCTION("iferror(filter('Full Perk List'!C$3:C1498,'Full Perk List'!$D$3:$D1498=$D826),"""")"),"#REF!")</f>
        <v>#REF!</v>
      </c>
      <c r="D826" s="2"/>
      <c r="E826" s="2" t="str">
        <f ca="1">IFERROR(__xludf.DUMMYFUNCTION("iferror(filter('Full Perk List'!E$3:E1498,'Full Perk List'!$D$3:$D1498=$D826),"""")"),"#REF!")</f>
        <v>#REF!</v>
      </c>
      <c r="F826" s="2" t="str">
        <f ca="1">IFERROR(__xludf.DUMMYFUNCTION("iferror(filter('Full Perk List'!F$3:F1498,'Full Perk List'!$D$3:$D1498=$D826),"""")"),"#REF!")</f>
        <v>#REF!</v>
      </c>
      <c r="G826" s="2" t="str">
        <f ca="1">IFERROR(__xludf.DUMMYFUNCTION("iferror(filter('Full Perk List'!G$3:G1498,'Full Perk List'!$D$3:$D1498=$D826),"""")"),"#REF!")</f>
        <v>#REF!</v>
      </c>
      <c r="H826" s="1"/>
      <c r="I826" s="2"/>
      <c r="J826" s="2"/>
      <c r="K826" s="2"/>
      <c r="L826" s="2"/>
      <c r="M826" s="2"/>
      <c r="N826" s="2"/>
      <c r="O826" s="2"/>
      <c r="P826" s="2"/>
      <c r="Q826" s="2"/>
      <c r="R826" s="2"/>
      <c r="S826" s="2"/>
      <c r="T826" s="2"/>
      <c r="U826" s="2"/>
      <c r="V826" s="2"/>
      <c r="W826" s="2"/>
      <c r="X826" s="2"/>
      <c r="Y826" s="2"/>
    </row>
    <row r="827" spans="1:25" ht="17.399999999999999" x14ac:dyDescent="0.25">
      <c r="A827" s="1"/>
      <c r="B827" s="40"/>
      <c r="C827" s="2" t="str">
        <f ca="1">IFERROR(__xludf.DUMMYFUNCTION("iferror(filter('Full Perk List'!C$3:C1498,'Full Perk List'!$D$3:$D1498=$D827),"""")"),"#REF!")</f>
        <v>#REF!</v>
      </c>
      <c r="D827" s="2"/>
      <c r="E827" s="2" t="str">
        <f ca="1">IFERROR(__xludf.DUMMYFUNCTION("iferror(filter('Full Perk List'!E$3:E1498,'Full Perk List'!$D$3:$D1498=$D827),"""")"),"#REF!")</f>
        <v>#REF!</v>
      </c>
      <c r="F827" s="2" t="str">
        <f ca="1">IFERROR(__xludf.DUMMYFUNCTION("iferror(filter('Full Perk List'!F$3:F1498,'Full Perk List'!$D$3:$D1498=$D827),"""")"),"#REF!")</f>
        <v>#REF!</v>
      </c>
      <c r="G827" s="2" t="str">
        <f ca="1">IFERROR(__xludf.DUMMYFUNCTION("iferror(filter('Full Perk List'!G$3:G1498,'Full Perk List'!$D$3:$D1498=$D827),"""")"),"#REF!")</f>
        <v>#REF!</v>
      </c>
      <c r="H827" s="1"/>
      <c r="I827" s="2"/>
      <c r="J827" s="2"/>
      <c r="K827" s="2"/>
      <c r="L827" s="2"/>
      <c r="M827" s="2"/>
      <c r="N827" s="2"/>
      <c r="O827" s="2"/>
      <c r="P827" s="2"/>
      <c r="Q827" s="2"/>
      <c r="R827" s="2"/>
      <c r="S827" s="2"/>
      <c r="T827" s="2"/>
      <c r="U827" s="2"/>
      <c r="V827" s="2"/>
      <c r="W827" s="2"/>
      <c r="X827" s="2"/>
      <c r="Y827" s="2"/>
    </row>
    <row r="828" spans="1:25" ht="17.399999999999999" x14ac:dyDescent="0.25">
      <c r="A828" s="1"/>
      <c r="B828" s="40"/>
      <c r="C828" s="2" t="str">
        <f ca="1">IFERROR(__xludf.DUMMYFUNCTION("iferror(filter('Full Perk List'!C$3:C1498,'Full Perk List'!$D$3:$D1498=$D828),"""")"),"#REF!")</f>
        <v>#REF!</v>
      </c>
      <c r="D828" s="2"/>
      <c r="E828" s="2" t="str">
        <f ca="1">IFERROR(__xludf.DUMMYFUNCTION("iferror(filter('Full Perk List'!E$3:E1498,'Full Perk List'!$D$3:$D1498=$D828),"""")"),"#REF!")</f>
        <v>#REF!</v>
      </c>
      <c r="F828" s="2" t="str">
        <f ca="1">IFERROR(__xludf.DUMMYFUNCTION("iferror(filter('Full Perk List'!F$3:F1498,'Full Perk List'!$D$3:$D1498=$D828),"""")"),"#REF!")</f>
        <v>#REF!</v>
      </c>
      <c r="G828" s="2" t="str">
        <f ca="1">IFERROR(__xludf.DUMMYFUNCTION("iferror(filter('Full Perk List'!G$3:G1498,'Full Perk List'!$D$3:$D1498=$D828),"""")"),"#REF!")</f>
        <v>#REF!</v>
      </c>
      <c r="H828" s="1"/>
      <c r="I828" s="2"/>
      <c r="J828" s="2"/>
      <c r="K828" s="2"/>
      <c r="L828" s="2"/>
      <c r="M828" s="2"/>
      <c r="N828" s="2"/>
      <c r="O828" s="2"/>
      <c r="P828" s="2"/>
      <c r="Q828" s="2"/>
      <c r="R828" s="2"/>
      <c r="S828" s="2"/>
      <c r="T828" s="2"/>
      <c r="U828" s="2"/>
      <c r="V828" s="2"/>
      <c r="W828" s="2"/>
      <c r="X828" s="2"/>
      <c r="Y828" s="2"/>
    </row>
    <row r="829" spans="1:25" ht="17.399999999999999" x14ac:dyDescent="0.25">
      <c r="A829" s="1"/>
      <c r="B829" s="40"/>
      <c r="C829" s="2" t="str">
        <f ca="1">IFERROR(__xludf.DUMMYFUNCTION("iferror(filter('Full Perk List'!C$3:C1498,'Full Perk List'!$D$3:$D1498=$D829),"""")"),"#REF!")</f>
        <v>#REF!</v>
      </c>
      <c r="D829" s="2"/>
      <c r="E829" s="2" t="str">
        <f ca="1">IFERROR(__xludf.DUMMYFUNCTION("iferror(filter('Full Perk List'!E$3:E1498,'Full Perk List'!$D$3:$D1498=$D829),"""")"),"#REF!")</f>
        <v>#REF!</v>
      </c>
      <c r="F829" s="2" t="str">
        <f ca="1">IFERROR(__xludf.DUMMYFUNCTION("iferror(filter('Full Perk List'!F$3:F1498,'Full Perk List'!$D$3:$D1498=$D829),"""")"),"#REF!")</f>
        <v>#REF!</v>
      </c>
      <c r="G829" s="2" t="str">
        <f ca="1">IFERROR(__xludf.DUMMYFUNCTION("iferror(filter('Full Perk List'!G$3:G1498,'Full Perk List'!$D$3:$D1498=$D829),"""")"),"#REF!")</f>
        <v>#REF!</v>
      </c>
      <c r="H829" s="1"/>
      <c r="I829" s="2"/>
      <c r="J829" s="2"/>
      <c r="K829" s="2"/>
      <c r="L829" s="2"/>
      <c r="M829" s="2"/>
      <c r="N829" s="2"/>
      <c r="O829" s="2"/>
      <c r="P829" s="2"/>
      <c r="Q829" s="2"/>
      <c r="R829" s="2"/>
      <c r="S829" s="2"/>
      <c r="T829" s="2"/>
      <c r="U829" s="2"/>
      <c r="V829" s="2"/>
      <c r="W829" s="2"/>
      <c r="X829" s="2"/>
      <c r="Y829" s="2"/>
    </row>
    <row r="830" spans="1:25" ht="17.399999999999999" x14ac:dyDescent="0.25">
      <c r="A830" s="1"/>
      <c r="B830" s="40"/>
      <c r="C830" s="2" t="str">
        <f ca="1">IFERROR(__xludf.DUMMYFUNCTION("iferror(filter('Full Perk List'!C$3:C1498,'Full Perk List'!$D$3:$D1498=$D830),"""")"),"#REF!")</f>
        <v>#REF!</v>
      </c>
      <c r="D830" s="2"/>
      <c r="E830" s="2" t="str">
        <f ca="1">IFERROR(__xludf.DUMMYFUNCTION("iferror(filter('Full Perk List'!E$3:E1498,'Full Perk List'!$D$3:$D1498=$D830),"""")"),"#REF!")</f>
        <v>#REF!</v>
      </c>
      <c r="F830" s="2" t="str">
        <f ca="1">IFERROR(__xludf.DUMMYFUNCTION("iferror(filter('Full Perk List'!F$3:F1498,'Full Perk List'!$D$3:$D1498=$D830),"""")"),"#REF!")</f>
        <v>#REF!</v>
      </c>
      <c r="G830" s="2" t="str">
        <f ca="1">IFERROR(__xludf.DUMMYFUNCTION("iferror(filter('Full Perk List'!G$3:G1498,'Full Perk List'!$D$3:$D1498=$D830),"""")"),"#REF!")</f>
        <v>#REF!</v>
      </c>
      <c r="H830" s="1"/>
      <c r="I830" s="2"/>
      <c r="J830" s="2"/>
      <c r="K830" s="2"/>
      <c r="L830" s="2"/>
      <c r="M830" s="2"/>
      <c r="N830" s="2"/>
      <c r="O830" s="2"/>
      <c r="P830" s="2"/>
      <c r="Q830" s="2"/>
      <c r="R830" s="2"/>
      <c r="S830" s="2"/>
      <c r="T830" s="2"/>
      <c r="U830" s="2"/>
      <c r="V830" s="2"/>
      <c r="W830" s="2"/>
      <c r="X830" s="2"/>
      <c r="Y830" s="2"/>
    </row>
    <row r="831" spans="1:25" ht="17.399999999999999" x14ac:dyDescent="0.25">
      <c r="A831" s="1"/>
      <c r="B831" s="40"/>
      <c r="C831" s="2" t="str">
        <f ca="1">IFERROR(__xludf.DUMMYFUNCTION("iferror(filter('Full Perk List'!C$3:C1498,'Full Perk List'!$D$3:$D1498=$D831),"""")"),"#REF!")</f>
        <v>#REF!</v>
      </c>
      <c r="D831" s="2"/>
      <c r="E831" s="2" t="str">
        <f ca="1">IFERROR(__xludf.DUMMYFUNCTION("iferror(filter('Full Perk List'!E$3:E1498,'Full Perk List'!$D$3:$D1498=$D831),"""")"),"#REF!")</f>
        <v>#REF!</v>
      </c>
      <c r="F831" s="2" t="str">
        <f ca="1">IFERROR(__xludf.DUMMYFUNCTION("iferror(filter('Full Perk List'!F$3:F1498,'Full Perk List'!$D$3:$D1498=$D831),"""")"),"#REF!")</f>
        <v>#REF!</v>
      </c>
      <c r="G831" s="2" t="str">
        <f ca="1">IFERROR(__xludf.DUMMYFUNCTION("iferror(filter('Full Perk List'!G$3:G1498,'Full Perk List'!$D$3:$D1498=$D831),"""")"),"#REF!")</f>
        <v>#REF!</v>
      </c>
      <c r="H831" s="1"/>
      <c r="I831" s="2"/>
      <c r="J831" s="2"/>
      <c r="K831" s="2"/>
      <c r="L831" s="2"/>
      <c r="M831" s="2"/>
      <c r="N831" s="2"/>
      <c r="O831" s="2"/>
      <c r="P831" s="2"/>
      <c r="Q831" s="2"/>
      <c r="R831" s="2"/>
      <c r="S831" s="2"/>
      <c r="T831" s="2"/>
      <c r="U831" s="2"/>
      <c r="V831" s="2"/>
      <c r="W831" s="2"/>
      <c r="X831" s="2"/>
      <c r="Y831" s="2"/>
    </row>
    <row r="832" spans="1:25" ht="17.399999999999999" x14ac:dyDescent="0.25">
      <c r="A832" s="1"/>
      <c r="B832" s="40"/>
      <c r="C832" s="2" t="str">
        <f ca="1">IFERROR(__xludf.DUMMYFUNCTION("iferror(filter('Full Perk List'!C$3:C1498,'Full Perk List'!$D$3:$D1498=$D832),"""")"),"#REF!")</f>
        <v>#REF!</v>
      </c>
      <c r="D832" s="2"/>
      <c r="E832" s="2" t="str">
        <f ca="1">IFERROR(__xludf.DUMMYFUNCTION("iferror(filter('Full Perk List'!E$3:E1498,'Full Perk List'!$D$3:$D1498=$D832),"""")"),"#REF!")</f>
        <v>#REF!</v>
      </c>
      <c r="F832" s="2" t="str">
        <f ca="1">IFERROR(__xludf.DUMMYFUNCTION("iferror(filter('Full Perk List'!F$3:F1498,'Full Perk List'!$D$3:$D1498=$D832),"""")"),"#REF!")</f>
        <v>#REF!</v>
      </c>
      <c r="G832" s="2" t="str">
        <f ca="1">IFERROR(__xludf.DUMMYFUNCTION("iferror(filter('Full Perk List'!G$3:G1498,'Full Perk List'!$D$3:$D1498=$D832),"""")"),"#REF!")</f>
        <v>#REF!</v>
      </c>
      <c r="H832" s="1"/>
      <c r="I832" s="2"/>
      <c r="J832" s="2"/>
      <c r="K832" s="2"/>
      <c r="L832" s="2"/>
      <c r="M832" s="2"/>
      <c r="N832" s="2"/>
      <c r="O832" s="2"/>
      <c r="P832" s="2"/>
      <c r="Q832" s="2"/>
      <c r="R832" s="2"/>
      <c r="S832" s="2"/>
      <c r="T832" s="2"/>
      <c r="U832" s="2"/>
      <c r="V832" s="2"/>
      <c r="W832" s="2"/>
      <c r="X832" s="2"/>
      <c r="Y832" s="2"/>
    </row>
    <row r="833" spans="1:25" ht="17.399999999999999" x14ac:dyDescent="0.25">
      <c r="A833" s="1"/>
      <c r="B833" s="40"/>
      <c r="C833" s="2" t="str">
        <f ca="1">IFERROR(__xludf.DUMMYFUNCTION("iferror(filter('Full Perk List'!C$3:C1498,'Full Perk List'!$D$3:$D1498=$D833),"""")"),"#REF!")</f>
        <v>#REF!</v>
      </c>
      <c r="D833" s="2"/>
      <c r="E833" s="2" t="str">
        <f ca="1">IFERROR(__xludf.DUMMYFUNCTION("iferror(filter('Full Perk List'!E$3:E1498,'Full Perk List'!$D$3:$D1498=$D833),"""")"),"#REF!")</f>
        <v>#REF!</v>
      </c>
      <c r="F833" s="2" t="str">
        <f ca="1">IFERROR(__xludf.DUMMYFUNCTION("iferror(filter('Full Perk List'!F$3:F1498,'Full Perk List'!$D$3:$D1498=$D833),"""")"),"#REF!")</f>
        <v>#REF!</v>
      </c>
      <c r="G833" s="2" t="str">
        <f ca="1">IFERROR(__xludf.DUMMYFUNCTION("iferror(filter('Full Perk List'!G$3:G1498,'Full Perk List'!$D$3:$D1498=$D833),"""")"),"#REF!")</f>
        <v>#REF!</v>
      </c>
      <c r="H833" s="1"/>
      <c r="I833" s="2"/>
      <c r="J833" s="2"/>
      <c r="K833" s="2"/>
      <c r="L833" s="2"/>
      <c r="M833" s="2"/>
      <c r="N833" s="2"/>
      <c r="O833" s="2"/>
      <c r="P833" s="2"/>
      <c r="Q833" s="2"/>
      <c r="R833" s="2"/>
      <c r="S833" s="2"/>
      <c r="T833" s="2"/>
      <c r="U833" s="2"/>
      <c r="V833" s="2"/>
      <c r="W833" s="2"/>
      <c r="X833" s="2"/>
      <c r="Y833" s="2"/>
    </row>
    <row r="834" spans="1:25" ht="17.399999999999999" x14ac:dyDescent="0.25">
      <c r="A834" s="1"/>
      <c r="B834" s="40"/>
      <c r="C834" s="2" t="str">
        <f ca="1">IFERROR(__xludf.DUMMYFUNCTION("iferror(filter('Full Perk List'!C$3:C1498,'Full Perk List'!$D$3:$D1498=$D834),"""")"),"#REF!")</f>
        <v>#REF!</v>
      </c>
      <c r="D834" s="2"/>
      <c r="E834" s="2" t="str">
        <f ca="1">IFERROR(__xludf.DUMMYFUNCTION("iferror(filter('Full Perk List'!E$3:E1498,'Full Perk List'!$D$3:$D1498=$D834),"""")"),"#REF!")</f>
        <v>#REF!</v>
      </c>
      <c r="F834" s="2" t="str">
        <f ca="1">IFERROR(__xludf.DUMMYFUNCTION("iferror(filter('Full Perk List'!F$3:F1498,'Full Perk List'!$D$3:$D1498=$D834),"""")"),"#REF!")</f>
        <v>#REF!</v>
      </c>
      <c r="G834" s="2" t="str">
        <f ca="1">IFERROR(__xludf.DUMMYFUNCTION("iferror(filter('Full Perk List'!G$3:G1498,'Full Perk List'!$D$3:$D1498=$D834),"""")"),"#REF!")</f>
        <v>#REF!</v>
      </c>
      <c r="H834" s="1"/>
      <c r="I834" s="2"/>
      <c r="J834" s="2"/>
      <c r="K834" s="2"/>
      <c r="L834" s="2"/>
      <c r="M834" s="2"/>
      <c r="N834" s="2"/>
      <c r="O834" s="2"/>
      <c r="P834" s="2"/>
      <c r="Q834" s="2"/>
      <c r="R834" s="2"/>
      <c r="S834" s="2"/>
      <c r="T834" s="2"/>
      <c r="U834" s="2"/>
      <c r="V834" s="2"/>
      <c r="W834" s="2"/>
      <c r="X834" s="2"/>
      <c r="Y834" s="2"/>
    </row>
    <row r="835" spans="1:25" ht="17.399999999999999" x14ac:dyDescent="0.25">
      <c r="A835" s="1"/>
      <c r="B835" s="40"/>
      <c r="C835" s="2" t="str">
        <f ca="1">IFERROR(__xludf.DUMMYFUNCTION("iferror(filter('Full Perk List'!C$3:C1498,'Full Perk List'!$D$3:$D1498=$D835),"""")"),"#REF!")</f>
        <v>#REF!</v>
      </c>
      <c r="D835" s="2"/>
      <c r="E835" s="2" t="str">
        <f ca="1">IFERROR(__xludf.DUMMYFUNCTION("iferror(filter('Full Perk List'!E$3:E1498,'Full Perk List'!$D$3:$D1498=$D835),"""")"),"#REF!")</f>
        <v>#REF!</v>
      </c>
      <c r="F835" s="2" t="str">
        <f ca="1">IFERROR(__xludf.DUMMYFUNCTION("iferror(filter('Full Perk List'!F$3:F1498,'Full Perk List'!$D$3:$D1498=$D835),"""")"),"#REF!")</f>
        <v>#REF!</v>
      </c>
      <c r="G835" s="2" t="str">
        <f ca="1">IFERROR(__xludf.DUMMYFUNCTION("iferror(filter('Full Perk List'!G$3:G1498,'Full Perk List'!$D$3:$D1498=$D835),"""")"),"#REF!")</f>
        <v>#REF!</v>
      </c>
      <c r="H835" s="1"/>
      <c r="I835" s="2"/>
      <c r="J835" s="2"/>
      <c r="K835" s="2"/>
      <c r="L835" s="2"/>
      <c r="M835" s="2"/>
      <c r="N835" s="2"/>
      <c r="O835" s="2"/>
      <c r="P835" s="2"/>
      <c r="Q835" s="2"/>
      <c r="R835" s="2"/>
      <c r="S835" s="2"/>
      <c r="T835" s="2"/>
      <c r="U835" s="2"/>
      <c r="V835" s="2"/>
      <c r="W835" s="2"/>
      <c r="X835" s="2"/>
      <c r="Y835" s="2"/>
    </row>
    <row r="836" spans="1:25" ht="17.399999999999999" x14ac:dyDescent="0.25">
      <c r="A836" s="1"/>
      <c r="B836" s="40"/>
      <c r="C836" s="2" t="str">
        <f ca="1">IFERROR(__xludf.DUMMYFUNCTION("iferror(filter('Full Perk List'!C$3:C1498,'Full Perk List'!$D$3:$D1498=$D836),"""")"),"#REF!")</f>
        <v>#REF!</v>
      </c>
      <c r="D836" s="2"/>
      <c r="E836" s="2" t="str">
        <f ca="1">IFERROR(__xludf.DUMMYFUNCTION("iferror(filter('Full Perk List'!E$3:E1498,'Full Perk List'!$D$3:$D1498=$D836),"""")"),"#REF!")</f>
        <v>#REF!</v>
      </c>
      <c r="F836" s="2" t="str">
        <f ca="1">IFERROR(__xludf.DUMMYFUNCTION("iferror(filter('Full Perk List'!F$3:F1498,'Full Perk List'!$D$3:$D1498=$D836),"""")"),"#REF!")</f>
        <v>#REF!</v>
      </c>
      <c r="G836" s="2" t="str">
        <f ca="1">IFERROR(__xludf.DUMMYFUNCTION("iferror(filter('Full Perk List'!G$3:G1498,'Full Perk List'!$D$3:$D1498=$D836),"""")"),"#REF!")</f>
        <v>#REF!</v>
      </c>
      <c r="H836" s="1"/>
      <c r="I836" s="2"/>
      <c r="J836" s="2"/>
      <c r="K836" s="2"/>
      <c r="L836" s="2"/>
      <c r="M836" s="2"/>
      <c r="N836" s="2"/>
      <c r="O836" s="2"/>
      <c r="P836" s="2"/>
      <c r="Q836" s="2"/>
      <c r="R836" s="2"/>
      <c r="S836" s="2"/>
      <c r="T836" s="2"/>
      <c r="U836" s="2"/>
      <c r="V836" s="2"/>
      <c r="W836" s="2"/>
      <c r="X836" s="2"/>
      <c r="Y836" s="2"/>
    </row>
    <row r="837" spans="1:25" ht="17.399999999999999" x14ac:dyDescent="0.25">
      <c r="A837" s="1"/>
      <c r="B837" s="40"/>
      <c r="C837" s="2" t="str">
        <f ca="1">IFERROR(__xludf.DUMMYFUNCTION("iferror(filter('Full Perk List'!C$3:C1498,'Full Perk List'!$D$3:$D1498=$D837),"""")"),"#REF!")</f>
        <v>#REF!</v>
      </c>
      <c r="D837" s="2"/>
      <c r="E837" s="2" t="str">
        <f ca="1">IFERROR(__xludf.DUMMYFUNCTION("iferror(filter('Full Perk List'!E$3:E1498,'Full Perk List'!$D$3:$D1498=$D837),"""")"),"#REF!")</f>
        <v>#REF!</v>
      </c>
      <c r="F837" s="2" t="str">
        <f ca="1">IFERROR(__xludf.DUMMYFUNCTION("iferror(filter('Full Perk List'!F$3:F1498,'Full Perk List'!$D$3:$D1498=$D837),"""")"),"#REF!")</f>
        <v>#REF!</v>
      </c>
      <c r="G837" s="2" t="str">
        <f ca="1">IFERROR(__xludf.DUMMYFUNCTION("iferror(filter('Full Perk List'!G$3:G1498,'Full Perk List'!$D$3:$D1498=$D837),"""")"),"#REF!")</f>
        <v>#REF!</v>
      </c>
      <c r="H837" s="1"/>
      <c r="I837" s="2"/>
      <c r="J837" s="2"/>
      <c r="K837" s="2"/>
      <c r="L837" s="2"/>
      <c r="M837" s="2"/>
      <c r="N837" s="2"/>
      <c r="O837" s="2"/>
      <c r="P837" s="2"/>
      <c r="Q837" s="2"/>
      <c r="R837" s="2"/>
      <c r="S837" s="2"/>
      <c r="T837" s="2"/>
      <c r="U837" s="2"/>
      <c r="V837" s="2"/>
      <c r="W837" s="2"/>
      <c r="X837" s="2"/>
      <c r="Y837" s="2"/>
    </row>
    <row r="838" spans="1:25" ht="17.399999999999999" x14ac:dyDescent="0.25">
      <c r="A838" s="1"/>
      <c r="B838" s="40"/>
      <c r="C838" s="2" t="str">
        <f ca="1">IFERROR(__xludf.DUMMYFUNCTION("iferror(filter('Full Perk List'!C$3:C1498,'Full Perk List'!$D$3:$D1498=$D838),"""")"),"#REF!")</f>
        <v>#REF!</v>
      </c>
      <c r="D838" s="2"/>
      <c r="E838" s="2" t="str">
        <f ca="1">IFERROR(__xludf.DUMMYFUNCTION("iferror(filter('Full Perk List'!E$3:E1498,'Full Perk List'!$D$3:$D1498=$D838),"""")"),"#REF!")</f>
        <v>#REF!</v>
      </c>
      <c r="F838" s="2" t="str">
        <f ca="1">IFERROR(__xludf.DUMMYFUNCTION("iferror(filter('Full Perk List'!F$3:F1498,'Full Perk List'!$D$3:$D1498=$D838),"""")"),"#REF!")</f>
        <v>#REF!</v>
      </c>
      <c r="G838" s="2" t="str">
        <f ca="1">IFERROR(__xludf.DUMMYFUNCTION("iferror(filter('Full Perk List'!G$3:G1498,'Full Perk List'!$D$3:$D1498=$D838),"""")"),"#REF!")</f>
        <v>#REF!</v>
      </c>
      <c r="H838" s="1"/>
      <c r="I838" s="2"/>
      <c r="J838" s="2"/>
      <c r="K838" s="2"/>
      <c r="L838" s="2"/>
      <c r="M838" s="2"/>
      <c r="N838" s="2"/>
      <c r="O838" s="2"/>
      <c r="P838" s="2"/>
      <c r="Q838" s="2"/>
      <c r="R838" s="2"/>
      <c r="S838" s="2"/>
      <c r="T838" s="2"/>
      <c r="U838" s="2"/>
      <c r="V838" s="2"/>
      <c r="W838" s="2"/>
      <c r="X838" s="2"/>
      <c r="Y838" s="2"/>
    </row>
    <row r="839" spans="1:25" ht="17.399999999999999" x14ac:dyDescent="0.25">
      <c r="A839" s="1"/>
      <c r="B839" s="40"/>
      <c r="C839" s="2" t="str">
        <f ca="1">IFERROR(__xludf.DUMMYFUNCTION("iferror(filter('Full Perk List'!C$3:C1498,'Full Perk List'!$D$3:$D1498=$D839),"""")"),"#REF!")</f>
        <v>#REF!</v>
      </c>
      <c r="D839" s="2"/>
      <c r="E839" s="2" t="str">
        <f ca="1">IFERROR(__xludf.DUMMYFUNCTION("iferror(filter('Full Perk List'!E$3:E1498,'Full Perk List'!$D$3:$D1498=$D839),"""")"),"#REF!")</f>
        <v>#REF!</v>
      </c>
      <c r="F839" s="2" t="str">
        <f ca="1">IFERROR(__xludf.DUMMYFUNCTION("iferror(filter('Full Perk List'!F$3:F1498,'Full Perk List'!$D$3:$D1498=$D839),"""")"),"#REF!")</f>
        <v>#REF!</v>
      </c>
      <c r="G839" s="2" t="str">
        <f ca="1">IFERROR(__xludf.DUMMYFUNCTION("iferror(filter('Full Perk List'!G$3:G1498,'Full Perk List'!$D$3:$D1498=$D839),"""")"),"#REF!")</f>
        <v>#REF!</v>
      </c>
      <c r="H839" s="1"/>
      <c r="I839" s="2"/>
      <c r="J839" s="2"/>
      <c r="K839" s="2"/>
      <c r="L839" s="2"/>
      <c r="M839" s="2"/>
      <c r="N839" s="2"/>
      <c r="O839" s="2"/>
      <c r="P839" s="2"/>
      <c r="Q839" s="2"/>
      <c r="R839" s="2"/>
      <c r="S839" s="2"/>
      <c r="T839" s="2"/>
      <c r="U839" s="2"/>
      <c r="V839" s="2"/>
      <c r="W839" s="2"/>
      <c r="X839" s="2"/>
      <c r="Y839" s="2"/>
    </row>
    <row r="840" spans="1:25" ht="17.399999999999999" x14ac:dyDescent="0.25">
      <c r="A840" s="1"/>
      <c r="B840" s="40"/>
      <c r="C840" s="2" t="str">
        <f ca="1">IFERROR(__xludf.DUMMYFUNCTION("iferror(filter('Full Perk List'!C$3:C1498,'Full Perk List'!$D$3:$D1498=$D840),"""")"),"#REF!")</f>
        <v>#REF!</v>
      </c>
      <c r="D840" s="2"/>
      <c r="E840" s="2" t="str">
        <f ca="1">IFERROR(__xludf.DUMMYFUNCTION("iferror(filter('Full Perk List'!E$3:E1498,'Full Perk List'!$D$3:$D1498=$D840),"""")"),"#REF!")</f>
        <v>#REF!</v>
      </c>
      <c r="F840" s="2" t="str">
        <f ca="1">IFERROR(__xludf.DUMMYFUNCTION("iferror(filter('Full Perk List'!F$3:F1498,'Full Perk List'!$D$3:$D1498=$D840),"""")"),"#REF!")</f>
        <v>#REF!</v>
      </c>
      <c r="G840" s="2" t="str">
        <f ca="1">IFERROR(__xludf.DUMMYFUNCTION("iferror(filter('Full Perk List'!G$3:G1498,'Full Perk List'!$D$3:$D1498=$D840),"""")"),"#REF!")</f>
        <v>#REF!</v>
      </c>
      <c r="H840" s="1"/>
      <c r="I840" s="2"/>
      <c r="J840" s="2"/>
      <c r="K840" s="2"/>
      <c r="L840" s="2"/>
      <c r="M840" s="2"/>
      <c r="N840" s="2"/>
      <c r="O840" s="2"/>
      <c r="P840" s="2"/>
      <c r="Q840" s="2"/>
      <c r="R840" s="2"/>
      <c r="S840" s="2"/>
      <c r="T840" s="2"/>
      <c r="U840" s="2"/>
      <c r="V840" s="2"/>
      <c r="W840" s="2"/>
      <c r="X840" s="2"/>
      <c r="Y840" s="2"/>
    </row>
    <row r="841" spans="1:25" ht="17.399999999999999" x14ac:dyDescent="0.25">
      <c r="A841" s="1"/>
      <c r="B841" s="40"/>
      <c r="C841" s="2" t="str">
        <f ca="1">IFERROR(__xludf.DUMMYFUNCTION("iferror(filter('Full Perk List'!C$3:C1498,'Full Perk List'!$D$3:$D1498=$D841),"""")"),"#REF!")</f>
        <v>#REF!</v>
      </c>
      <c r="D841" s="2"/>
      <c r="E841" s="2" t="str">
        <f ca="1">IFERROR(__xludf.DUMMYFUNCTION("iferror(filter('Full Perk List'!E$3:E1498,'Full Perk List'!$D$3:$D1498=$D841),"""")"),"#REF!")</f>
        <v>#REF!</v>
      </c>
      <c r="F841" s="2" t="str">
        <f ca="1">IFERROR(__xludf.DUMMYFUNCTION("iferror(filter('Full Perk List'!F$3:F1498,'Full Perk List'!$D$3:$D1498=$D841),"""")"),"#REF!")</f>
        <v>#REF!</v>
      </c>
      <c r="G841" s="2" t="str">
        <f ca="1">IFERROR(__xludf.DUMMYFUNCTION("iferror(filter('Full Perk List'!G$3:G1498,'Full Perk List'!$D$3:$D1498=$D841),"""")"),"#REF!")</f>
        <v>#REF!</v>
      </c>
      <c r="H841" s="1"/>
      <c r="I841" s="2"/>
      <c r="J841" s="2"/>
      <c r="K841" s="2"/>
      <c r="L841" s="2"/>
      <c r="M841" s="2"/>
      <c r="N841" s="2"/>
      <c r="O841" s="2"/>
      <c r="P841" s="2"/>
      <c r="Q841" s="2"/>
      <c r="R841" s="2"/>
      <c r="S841" s="2"/>
      <c r="T841" s="2"/>
      <c r="U841" s="2"/>
      <c r="V841" s="2"/>
      <c r="W841" s="2"/>
      <c r="X841" s="2"/>
      <c r="Y841" s="2"/>
    </row>
    <row r="842" spans="1:25" ht="17.399999999999999" x14ac:dyDescent="0.25">
      <c r="A842" s="1"/>
      <c r="B842" s="40"/>
      <c r="C842" s="2" t="str">
        <f ca="1">IFERROR(__xludf.DUMMYFUNCTION("iferror(filter('Full Perk List'!C$3:C1498,'Full Perk List'!$D$3:$D1498=$D842),"""")"),"#REF!")</f>
        <v>#REF!</v>
      </c>
      <c r="D842" s="2"/>
      <c r="E842" s="2" t="str">
        <f ca="1">IFERROR(__xludf.DUMMYFUNCTION("iferror(filter('Full Perk List'!E$3:E1498,'Full Perk List'!$D$3:$D1498=$D842),"""")"),"#REF!")</f>
        <v>#REF!</v>
      </c>
      <c r="F842" s="2" t="str">
        <f ca="1">IFERROR(__xludf.DUMMYFUNCTION("iferror(filter('Full Perk List'!F$3:F1498,'Full Perk List'!$D$3:$D1498=$D842),"""")"),"#REF!")</f>
        <v>#REF!</v>
      </c>
      <c r="G842" s="2" t="str">
        <f ca="1">IFERROR(__xludf.DUMMYFUNCTION("iferror(filter('Full Perk List'!G$3:G1498,'Full Perk List'!$D$3:$D1498=$D842),"""")"),"#REF!")</f>
        <v>#REF!</v>
      </c>
      <c r="H842" s="1"/>
      <c r="I842" s="2"/>
      <c r="J842" s="2"/>
      <c r="K842" s="2"/>
      <c r="L842" s="2"/>
      <c r="M842" s="2"/>
      <c r="N842" s="2"/>
      <c r="O842" s="2"/>
      <c r="P842" s="2"/>
      <c r="Q842" s="2"/>
      <c r="R842" s="2"/>
      <c r="S842" s="2"/>
      <c r="T842" s="2"/>
      <c r="U842" s="2"/>
      <c r="V842" s="2"/>
      <c r="W842" s="2"/>
      <c r="X842" s="2"/>
      <c r="Y842" s="2"/>
    </row>
    <row r="843" spans="1:25" ht="17.399999999999999" x14ac:dyDescent="0.25">
      <c r="A843" s="1"/>
      <c r="B843" s="40"/>
      <c r="C843" s="2" t="str">
        <f ca="1">IFERROR(__xludf.DUMMYFUNCTION("iferror(filter('Full Perk List'!C$3:C1498,'Full Perk List'!$D$3:$D1498=$D843),"""")"),"#REF!")</f>
        <v>#REF!</v>
      </c>
      <c r="D843" s="2"/>
      <c r="E843" s="2" t="str">
        <f ca="1">IFERROR(__xludf.DUMMYFUNCTION("iferror(filter('Full Perk List'!E$3:E1498,'Full Perk List'!$D$3:$D1498=$D843),"""")"),"#REF!")</f>
        <v>#REF!</v>
      </c>
      <c r="F843" s="2" t="str">
        <f ca="1">IFERROR(__xludf.DUMMYFUNCTION("iferror(filter('Full Perk List'!F$3:F1498,'Full Perk List'!$D$3:$D1498=$D843),"""")"),"#REF!")</f>
        <v>#REF!</v>
      </c>
      <c r="G843" s="2" t="str">
        <f ca="1">IFERROR(__xludf.DUMMYFUNCTION("iferror(filter('Full Perk List'!G$3:G1498,'Full Perk List'!$D$3:$D1498=$D843),"""")"),"#REF!")</f>
        <v>#REF!</v>
      </c>
      <c r="H843" s="1"/>
      <c r="I843" s="2"/>
      <c r="J843" s="2"/>
      <c r="K843" s="2"/>
      <c r="L843" s="2"/>
      <c r="M843" s="2"/>
      <c r="N843" s="2"/>
      <c r="O843" s="2"/>
      <c r="P843" s="2"/>
      <c r="Q843" s="2"/>
      <c r="R843" s="2"/>
      <c r="S843" s="2"/>
      <c r="T843" s="2"/>
      <c r="U843" s="2"/>
      <c r="V843" s="2"/>
      <c r="W843" s="2"/>
      <c r="X843" s="2"/>
      <c r="Y843" s="2"/>
    </row>
    <row r="844" spans="1:25" ht="17.399999999999999" x14ac:dyDescent="0.25">
      <c r="A844" s="1"/>
      <c r="B844" s="40"/>
      <c r="C844" s="2" t="str">
        <f ca="1">IFERROR(__xludf.DUMMYFUNCTION("iferror(filter('Full Perk List'!C$3:C1498,'Full Perk List'!$D$3:$D1498=$D844),"""")"),"#REF!")</f>
        <v>#REF!</v>
      </c>
      <c r="D844" s="2"/>
      <c r="E844" s="2" t="str">
        <f ca="1">IFERROR(__xludf.DUMMYFUNCTION("iferror(filter('Full Perk List'!E$3:E1498,'Full Perk List'!$D$3:$D1498=$D844),"""")"),"#REF!")</f>
        <v>#REF!</v>
      </c>
      <c r="F844" s="2" t="str">
        <f ca="1">IFERROR(__xludf.DUMMYFUNCTION("iferror(filter('Full Perk List'!F$3:F1498,'Full Perk List'!$D$3:$D1498=$D844),"""")"),"#REF!")</f>
        <v>#REF!</v>
      </c>
      <c r="G844" s="2" t="str">
        <f ca="1">IFERROR(__xludf.DUMMYFUNCTION("iferror(filter('Full Perk List'!G$3:G1498,'Full Perk List'!$D$3:$D1498=$D844),"""")"),"#REF!")</f>
        <v>#REF!</v>
      </c>
      <c r="H844" s="1"/>
      <c r="I844" s="2"/>
      <c r="J844" s="2"/>
      <c r="K844" s="2"/>
      <c r="L844" s="2"/>
      <c r="M844" s="2"/>
      <c r="N844" s="2"/>
      <c r="O844" s="2"/>
      <c r="P844" s="2"/>
      <c r="Q844" s="2"/>
      <c r="R844" s="2"/>
      <c r="S844" s="2"/>
      <c r="T844" s="2"/>
      <c r="U844" s="2"/>
      <c r="V844" s="2"/>
      <c r="W844" s="2"/>
      <c r="X844" s="2"/>
      <c r="Y844" s="2"/>
    </row>
    <row r="845" spans="1:25" ht="17.399999999999999" x14ac:dyDescent="0.25">
      <c r="A845" s="1"/>
      <c r="B845" s="40"/>
      <c r="C845" s="2" t="str">
        <f ca="1">IFERROR(__xludf.DUMMYFUNCTION("iferror(filter('Full Perk List'!C$3:C1498,'Full Perk List'!$D$3:$D1498=$D845),"""")"),"#REF!")</f>
        <v>#REF!</v>
      </c>
      <c r="D845" s="2"/>
      <c r="E845" s="2" t="str">
        <f ca="1">IFERROR(__xludf.DUMMYFUNCTION("iferror(filter('Full Perk List'!E$3:E1498,'Full Perk List'!$D$3:$D1498=$D845),"""")"),"#REF!")</f>
        <v>#REF!</v>
      </c>
      <c r="F845" s="2" t="str">
        <f ca="1">IFERROR(__xludf.DUMMYFUNCTION("iferror(filter('Full Perk List'!F$3:F1498,'Full Perk List'!$D$3:$D1498=$D845),"""")"),"#REF!")</f>
        <v>#REF!</v>
      </c>
      <c r="G845" s="2" t="str">
        <f ca="1">IFERROR(__xludf.DUMMYFUNCTION("iferror(filter('Full Perk List'!G$3:G1498,'Full Perk List'!$D$3:$D1498=$D845),"""")"),"#REF!")</f>
        <v>#REF!</v>
      </c>
      <c r="H845" s="1"/>
      <c r="I845" s="2"/>
      <c r="J845" s="2"/>
      <c r="K845" s="2"/>
      <c r="L845" s="2"/>
      <c r="M845" s="2"/>
      <c r="N845" s="2"/>
      <c r="O845" s="2"/>
      <c r="P845" s="2"/>
      <c r="Q845" s="2"/>
      <c r="R845" s="2"/>
      <c r="S845" s="2"/>
      <c r="T845" s="2"/>
      <c r="U845" s="2"/>
      <c r="V845" s="2"/>
      <c r="W845" s="2"/>
      <c r="X845" s="2"/>
      <c r="Y845" s="2"/>
    </row>
    <row r="846" spans="1:25" ht="17.399999999999999" x14ac:dyDescent="0.25">
      <c r="A846" s="1"/>
      <c r="B846" s="40"/>
      <c r="C846" s="2" t="str">
        <f ca="1">IFERROR(__xludf.DUMMYFUNCTION("iferror(filter('Full Perk List'!C$3:C1498,'Full Perk List'!$D$3:$D1498=$D846),"""")"),"#REF!")</f>
        <v>#REF!</v>
      </c>
      <c r="D846" s="2"/>
      <c r="E846" s="2" t="str">
        <f ca="1">IFERROR(__xludf.DUMMYFUNCTION("iferror(filter('Full Perk List'!E$3:E1498,'Full Perk List'!$D$3:$D1498=$D846),"""")"),"#REF!")</f>
        <v>#REF!</v>
      </c>
      <c r="F846" s="2" t="str">
        <f ca="1">IFERROR(__xludf.DUMMYFUNCTION("iferror(filter('Full Perk List'!F$3:F1498,'Full Perk List'!$D$3:$D1498=$D846),"""")"),"#REF!")</f>
        <v>#REF!</v>
      </c>
      <c r="G846" s="2" t="str">
        <f ca="1">IFERROR(__xludf.DUMMYFUNCTION("iferror(filter('Full Perk List'!G$3:G1498,'Full Perk List'!$D$3:$D1498=$D846),"""")"),"#REF!")</f>
        <v>#REF!</v>
      </c>
      <c r="H846" s="1"/>
      <c r="I846" s="2"/>
      <c r="J846" s="2"/>
      <c r="K846" s="2"/>
      <c r="L846" s="2"/>
      <c r="M846" s="2"/>
      <c r="N846" s="2"/>
      <c r="O846" s="2"/>
      <c r="P846" s="2"/>
      <c r="Q846" s="2"/>
      <c r="R846" s="2"/>
      <c r="S846" s="2"/>
      <c r="T846" s="2"/>
      <c r="U846" s="2"/>
      <c r="V846" s="2"/>
      <c r="W846" s="2"/>
      <c r="X846" s="2"/>
      <c r="Y846" s="2"/>
    </row>
    <row r="847" spans="1:25" ht="17.399999999999999" x14ac:dyDescent="0.25">
      <c r="A847" s="1"/>
      <c r="B847" s="40"/>
      <c r="C847" s="2" t="str">
        <f ca="1">IFERROR(__xludf.DUMMYFUNCTION("iferror(filter('Full Perk List'!C$3:C1498,'Full Perk List'!$D$3:$D1498=$D847),"""")"),"#REF!")</f>
        <v>#REF!</v>
      </c>
      <c r="D847" s="2"/>
      <c r="E847" s="2" t="str">
        <f ca="1">IFERROR(__xludf.DUMMYFUNCTION("iferror(filter('Full Perk List'!E$3:E1498,'Full Perk List'!$D$3:$D1498=$D847),"""")"),"#REF!")</f>
        <v>#REF!</v>
      </c>
      <c r="F847" s="2" t="str">
        <f ca="1">IFERROR(__xludf.DUMMYFUNCTION("iferror(filter('Full Perk List'!F$3:F1498,'Full Perk List'!$D$3:$D1498=$D847),"""")"),"#REF!")</f>
        <v>#REF!</v>
      </c>
      <c r="G847" s="2" t="str">
        <f ca="1">IFERROR(__xludf.DUMMYFUNCTION("iferror(filter('Full Perk List'!G$3:G1498,'Full Perk List'!$D$3:$D1498=$D847),"""")"),"#REF!")</f>
        <v>#REF!</v>
      </c>
      <c r="H847" s="1"/>
      <c r="I847" s="2"/>
      <c r="J847" s="2"/>
      <c r="K847" s="2"/>
      <c r="L847" s="2"/>
      <c r="M847" s="2"/>
      <c r="N847" s="2"/>
      <c r="O847" s="2"/>
      <c r="P847" s="2"/>
      <c r="Q847" s="2"/>
      <c r="R847" s="2"/>
      <c r="S847" s="2"/>
      <c r="T847" s="2"/>
      <c r="U847" s="2"/>
      <c r="V847" s="2"/>
      <c r="W847" s="2"/>
      <c r="X847" s="2"/>
      <c r="Y847" s="2"/>
    </row>
    <row r="848" spans="1:25" ht="17.399999999999999" x14ac:dyDescent="0.25">
      <c r="A848" s="1"/>
      <c r="B848" s="40"/>
      <c r="C848" s="2" t="str">
        <f ca="1">IFERROR(__xludf.DUMMYFUNCTION("iferror(filter('Full Perk List'!C$3:C1498,'Full Perk List'!$D$3:$D1498=$D848),"""")"),"#REF!")</f>
        <v>#REF!</v>
      </c>
      <c r="D848" s="2"/>
      <c r="E848" s="2" t="str">
        <f ca="1">IFERROR(__xludf.DUMMYFUNCTION("iferror(filter('Full Perk List'!E$3:E1498,'Full Perk List'!$D$3:$D1498=$D848),"""")"),"#REF!")</f>
        <v>#REF!</v>
      </c>
      <c r="F848" s="2" t="str">
        <f ca="1">IFERROR(__xludf.DUMMYFUNCTION("iferror(filter('Full Perk List'!F$3:F1498,'Full Perk List'!$D$3:$D1498=$D848),"""")"),"#REF!")</f>
        <v>#REF!</v>
      </c>
      <c r="G848" s="2" t="str">
        <f ca="1">IFERROR(__xludf.DUMMYFUNCTION("iferror(filter('Full Perk List'!G$3:G1498,'Full Perk List'!$D$3:$D1498=$D848),"""")"),"#REF!")</f>
        <v>#REF!</v>
      </c>
      <c r="H848" s="1"/>
      <c r="I848" s="2"/>
      <c r="J848" s="2"/>
      <c r="K848" s="2"/>
      <c r="L848" s="2"/>
      <c r="M848" s="2"/>
      <c r="N848" s="2"/>
      <c r="O848" s="2"/>
      <c r="P848" s="2"/>
      <c r="Q848" s="2"/>
      <c r="R848" s="2"/>
      <c r="S848" s="2"/>
      <c r="T848" s="2"/>
      <c r="U848" s="2"/>
      <c r="V848" s="2"/>
      <c r="W848" s="2"/>
      <c r="X848" s="2"/>
      <c r="Y848" s="2"/>
    </row>
    <row r="849" spans="1:25" ht="17.399999999999999" x14ac:dyDescent="0.25">
      <c r="A849" s="1"/>
      <c r="B849" s="40"/>
      <c r="C849" s="2" t="str">
        <f ca="1">IFERROR(__xludf.DUMMYFUNCTION("iferror(filter('Full Perk List'!C$3:C1498,'Full Perk List'!$D$3:$D1498=$D849),"""")"),"#REF!")</f>
        <v>#REF!</v>
      </c>
      <c r="D849" s="2"/>
      <c r="E849" s="2" t="str">
        <f ca="1">IFERROR(__xludf.DUMMYFUNCTION("iferror(filter('Full Perk List'!E$3:E1498,'Full Perk List'!$D$3:$D1498=$D849),"""")"),"#REF!")</f>
        <v>#REF!</v>
      </c>
      <c r="F849" s="2" t="str">
        <f ca="1">IFERROR(__xludf.DUMMYFUNCTION("iferror(filter('Full Perk List'!F$3:F1498,'Full Perk List'!$D$3:$D1498=$D849),"""")"),"#REF!")</f>
        <v>#REF!</v>
      </c>
      <c r="G849" s="2" t="str">
        <f ca="1">IFERROR(__xludf.DUMMYFUNCTION("iferror(filter('Full Perk List'!G$3:G1498,'Full Perk List'!$D$3:$D1498=$D849),"""")"),"#REF!")</f>
        <v>#REF!</v>
      </c>
      <c r="H849" s="1"/>
      <c r="I849" s="2"/>
      <c r="J849" s="2"/>
      <c r="K849" s="2"/>
      <c r="L849" s="2"/>
      <c r="M849" s="2"/>
      <c r="N849" s="2"/>
      <c r="O849" s="2"/>
      <c r="P849" s="2"/>
      <c r="Q849" s="2"/>
      <c r="R849" s="2"/>
      <c r="S849" s="2"/>
      <c r="T849" s="2"/>
      <c r="U849" s="2"/>
      <c r="V849" s="2"/>
      <c r="W849" s="2"/>
      <c r="X849" s="2"/>
      <c r="Y849" s="2"/>
    </row>
    <row r="850" spans="1:25" ht="17.399999999999999" x14ac:dyDescent="0.25">
      <c r="A850" s="1"/>
      <c r="B850" s="40"/>
      <c r="C850" s="2" t="str">
        <f ca="1">IFERROR(__xludf.DUMMYFUNCTION("iferror(filter('Full Perk List'!C$3:C1498,'Full Perk List'!$D$3:$D1498=$D850),"""")"),"#REF!")</f>
        <v>#REF!</v>
      </c>
      <c r="D850" s="2"/>
      <c r="E850" s="2" t="str">
        <f ca="1">IFERROR(__xludf.DUMMYFUNCTION("iferror(filter('Full Perk List'!E$3:E1498,'Full Perk List'!$D$3:$D1498=$D850),"""")"),"#REF!")</f>
        <v>#REF!</v>
      </c>
      <c r="F850" s="2" t="str">
        <f ca="1">IFERROR(__xludf.DUMMYFUNCTION("iferror(filter('Full Perk List'!F$3:F1498,'Full Perk List'!$D$3:$D1498=$D850),"""")"),"#REF!")</f>
        <v>#REF!</v>
      </c>
      <c r="G850" s="2" t="str">
        <f ca="1">IFERROR(__xludf.DUMMYFUNCTION("iferror(filter('Full Perk List'!G$3:G1498,'Full Perk List'!$D$3:$D1498=$D850),"""")"),"#REF!")</f>
        <v>#REF!</v>
      </c>
      <c r="H850" s="1"/>
      <c r="I850" s="2"/>
      <c r="J850" s="2"/>
      <c r="K850" s="2"/>
      <c r="L850" s="2"/>
      <c r="M850" s="2"/>
      <c r="N850" s="2"/>
      <c r="O850" s="2"/>
      <c r="P850" s="2"/>
      <c r="Q850" s="2"/>
      <c r="R850" s="2"/>
      <c r="S850" s="2"/>
      <c r="T850" s="2"/>
      <c r="U850" s="2"/>
      <c r="V850" s="2"/>
      <c r="W850" s="2"/>
      <c r="X850" s="2"/>
      <c r="Y850" s="2"/>
    </row>
    <row r="851" spans="1:25" ht="17.399999999999999" x14ac:dyDescent="0.25">
      <c r="A851" s="1"/>
      <c r="B851" s="40"/>
      <c r="C851" s="2" t="str">
        <f ca="1">IFERROR(__xludf.DUMMYFUNCTION("iferror(filter('Full Perk List'!C$3:C1498,'Full Perk List'!$D$3:$D1498=$D851),"""")"),"#REF!")</f>
        <v>#REF!</v>
      </c>
      <c r="D851" s="2"/>
      <c r="E851" s="2" t="str">
        <f ca="1">IFERROR(__xludf.DUMMYFUNCTION("iferror(filter('Full Perk List'!E$3:E1498,'Full Perk List'!$D$3:$D1498=$D851),"""")"),"#REF!")</f>
        <v>#REF!</v>
      </c>
      <c r="F851" s="2" t="str">
        <f ca="1">IFERROR(__xludf.DUMMYFUNCTION("iferror(filter('Full Perk List'!F$3:F1498,'Full Perk List'!$D$3:$D1498=$D851),"""")"),"#REF!")</f>
        <v>#REF!</v>
      </c>
      <c r="G851" s="2" t="str">
        <f ca="1">IFERROR(__xludf.DUMMYFUNCTION("iferror(filter('Full Perk List'!G$3:G1498,'Full Perk List'!$D$3:$D1498=$D851),"""")"),"#REF!")</f>
        <v>#REF!</v>
      </c>
      <c r="H851" s="1"/>
      <c r="I851" s="2"/>
      <c r="J851" s="2"/>
      <c r="K851" s="2"/>
      <c r="L851" s="2"/>
      <c r="M851" s="2"/>
      <c r="N851" s="2"/>
      <c r="O851" s="2"/>
      <c r="P851" s="2"/>
      <c r="Q851" s="2"/>
      <c r="R851" s="2"/>
      <c r="S851" s="2"/>
      <c r="T851" s="2"/>
      <c r="U851" s="2"/>
      <c r="V851" s="2"/>
      <c r="W851" s="2"/>
      <c r="X851" s="2"/>
      <c r="Y851" s="2"/>
    </row>
    <row r="852" spans="1:25" ht="17.399999999999999" x14ac:dyDescent="0.25">
      <c r="A852" s="1"/>
      <c r="B852" s="40"/>
      <c r="C852" s="2" t="str">
        <f ca="1">IFERROR(__xludf.DUMMYFUNCTION("iferror(filter('Full Perk List'!C$3:C1498,'Full Perk List'!$D$3:$D1498=$D852),"""")"),"#REF!")</f>
        <v>#REF!</v>
      </c>
      <c r="D852" s="2"/>
      <c r="E852" s="2" t="str">
        <f ca="1">IFERROR(__xludf.DUMMYFUNCTION("iferror(filter('Full Perk List'!E$3:E1498,'Full Perk List'!$D$3:$D1498=$D852),"""")"),"#REF!")</f>
        <v>#REF!</v>
      </c>
      <c r="F852" s="2" t="str">
        <f ca="1">IFERROR(__xludf.DUMMYFUNCTION("iferror(filter('Full Perk List'!F$3:F1498,'Full Perk List'!$D$3:$D1498=$D852),"""")"),"#REF!")</f>
        <v>#REF!</v>
      </c>
      <c r="G852" s="2" t="str">
        <f ca="1">IFERROR(__xludf.DUMMYFUNCTION("iferror(filter('Full Perk List'!G$3:G1498,'Full Perk List'!$D$3:$D1498=$D852),"""")"),"#REF!")</f>
        <v>#REF!</v>
      </c>
      <c r="H852" s="1"/>
      <c r="I852" s="2"/>
      <c r="J852" s="2"/>
      <c r="K852" s="2"/>
      <c r="L852" s="2"/>
      <c r="M852" s="2"/>
      <c r="N852" s="2"/>
      <c r="O852" s="2"/>
      <c r="P852" s="2"/>
      <c r="Q852" s="2"/>
      <c r="R852" s="2"/>
      <c r="S852" s="2"/>
      <c r="T852" s="2"/>
      <c r="U852" s="2"/>
      <c r="V852" s="2"/>
      <c r="W852" s="2"/>
      <c r="X852" s="2"/>
      <c r="Y852" s="2"/>
    </row>
    <row r="853" spans="1:25" ht="17.399999999999999" x14ac:dyDescent="0.25">
      <c r="A853" s="1"/>
      <c r="B853" s="40"/>
      <c r="C853" s="2" t="str">
        <f ca="1">IFERROR(__xludf.DUMMYFUNCTION("iferror(filter('Full Perk List'!C$3:C1498,'Full Perk List'!$D$3:$D1498=$D853),"""")"),"#REF!")</f>
        <v>#REF!</v>
      </c>
      <c r="D853" s="2"/>
      <c r="E853" s="2" t="str">
        <f ca="1">IFERROR(__xludf.DUMMYFUNCTION("iferror(filter('Full Perk List'!E$3:E1498,'Full Perk List'!$D$3:$D1498=$D853),"""")"),"#REF!")</f>
        <v>#REF!</v>
      </c>
      <c r="F853" s="2" t="str">
        <f ca="1">IFERROR(__xludf.DUMMYFUNCTION("iferror(filter('Full Perk List'!F$3:F1498,'Full Perk List'!$D$3:$D1498=$D853),"""")"),"#REF!")</f>
        <v>#REF!</v>
      </c>
      <c r="G853" s="2" t="str">
        <f ca="1">IFERROR(__xludf.DUMMYFUNCTION("iferror(filter('Full Perk List'!G$3:G1498,'Full Perk List'!$D$3:$D1498=$D853),"""")"),"#REF!")</f>
        <v>#REF!</v>
      </c>
      <c r="H853" s="1"/>
      <c r="I853" s="2"/>
      <c r="J853" s="2"/>
      <c r="K853" s="2"/>
      <c r="L853" s="2"/>
      <c r="M853" s="2"/>
      <c r="N853" s="2"/>
      <c r="O853" s="2"/>
      <c r="P853" s="2"/>
      <c r="Q853" s="2"/>
      <c r="R853" s="2"/>
      <c r="S853" s="2"/>
      <c r="T853" s="2"/>
      <c r="U853" s="2"/>
      <c r="V853" s="2"/>
      <c r="W853" s="2"/>
      <c r="X853" s="2"/>
      <c r="Y853" s="2"/>
    </row>
    <row r="854" spans="1:25" ht="17.399999999999999" x14ac:dyDescent="0.25">
      <c r="A854" s="1"/>
      <c r="B854" s="40"/>
      <c r="C854" s="2" t="str">
        <f ca="1">IFERROR(__xludf.DUMMYFUNCTION("iferror(filter('Full Perk List'!C$3:C1498,'Full Perk List'!$D$3:$D1498=$D854),"""")"),"#REF!")</f>
        <v>#REF!</v>
      </c>
      <c r="D854" s="2"/>
      <c r="E854" s="2" t="str">
        <f ca="1">IFERROR(__xludf.DUMMYFUNCTION("iferror(filter('Full Perk List'!E$3:E1498,'Full Perk List'!$D$3:$D1498=$D854),"""")"),"#REF!")</f>
        <v>#REF!</v>
      </c>
      <c r="F854" s="2" t="str">
        <f ca="1">IFERROR(__xludf.DUMMYFUNCTION("iferror(filter('Full Perk List'!F$3:F1498,'Full Perk List'!$D$3:$D1498=$D854),"""")"),"#REF!")</f>
        <v>#REF!</v>
      </c>
      <c r="G854" s="2" t="str">
        <f ca="1">IFERROR(__xludf.DUMMYFUNCTION("iferror(filter('Full Perk List'!G$3:G1498,'Full Perk List'!$D$3:$D1498=$D854),"""")"),"#REF!")</f>
        <v>#REF!</v>
      </c>
      <c r="H854" s="1"/>
      <c r="I854" s="2"/>
      <c r="J854" s="2"/>
      <c r="K854" s="2"/>
      <c r="L854" s="2"/>
      <c r="M854" s="2"/>
      <c r="N854" s="2"/>
      <c r="O854" s="2"/>
      <c r="P854" s="2"/>
      <c r="Q854" s="2"/>
      <c r="R854" s="2"/>
      <c r="S854" s="2"/>
      <c r="T854" s="2"/>
      <c r="U854" s="2"/>
      <c r="V854" s="2"/>
      <c r="W854" s="2"/>
      <c r="X854" s="2"/>
      <c r="Y854" s="2"/>
    </row>
    <row r="855" spans="1:25" ht="17.399999999999999" x14ac:dyDescent="0.25">
      <c r="A855" s="1"/>
      <c r="B855" s="40"/>
      <c r="C855" s="2" t="str">
        <f ca="1">IFERROR(__xludf.DUMMYFUNCTION("iferror(filter('Full Perk List'!C$3:C1498,'Full Perk List'!$D$3:$D1498=$D855),"""")"),"#REF!")</f>
        <v>#REF!</v>
      </c>
      <c r="D855" s="2"/>
      <c r="E855" s="2" t="str">
        <f ca="1">IFERROR(__xludf.DUMMYFUNCTION("iferror(filter('Full Perk List'!E$3:E1498,'Full Perk List'!$D$3:$D1498=$D855),"""")"),"#REF!")</f>
        <v>#REF!</v>
      </c>
      <c r="F855" s="2" t="str">
        <f ca="1">IFERROR(__xludf.DUMMYFUNCTION("iferror(filter('Full Perk List'!F$3:F1498,'Full Perk List'!$D$3:$D1498=$D855),"""")"),"#REF!")</f>
        <v>#REF!</v>
      </c>
      <c r="G855" s="2" t="str">
        <f ca="1">IFERROR(__xludf.DUMMYFUNCTION("iferror(filter('Full Perk List'!G$3:G1498,'Full Perk List'!$D$3:$D1498=$D855),"""")"),"#REF!")</f>
        <v>#REF!</v>
      </c>
      <c r="H855" s="1"/>
      <c r="I855" s="2"/>
      <c r="J855" s="2"/>
      <c r="K855" s="2"/>
      <c r="L855" s="2"/>
      <c r="M855" s="2"/>
      <c r="N855" s="2"/>
      <c r="O855" s="2"/>
      <c r="P855" s="2"/>
      <c r="Q855" s="2"/>
      <c r="R855" s="2"/>
      <c r="S855" s="2"/>
      <c r="T855" s="2"/>
      <c r="U855" s="2"/>
      <c r="V855" s="2"/>
      <c r="W855" s="2"/>
      <c r="X855" s="2"/>
      <c r="Y855" s="2"/>
    </row>
    <row r="856" spans="1:25" ht="17.399999999999999" x14ac:dyDescent="0.25">
      <c r="A856" s="1"/>
      <c r="B856" s="40"/>
      <c r="C856" s="2" t="str">
        <f ca="1">IFERROR(__xludf.DUMMYFUNCTION("iferror(filter('Full Perk List'!C$3:C1498,'Full Perk List'!$D$3:$D1498=$D856),"""")"),"#REF!")</f>
        <v>#REF!</v>
      </c>
      <c r="D856" s="2"/>
      <c r="E856" s="2" t="str">
        <f ca="1">IFERROR(__xludf.DUMMYFUNCTION("iferror(filter('Full Perk List'!E$3:E1498,'Full Perk List'!$D$3:$D1498=$D856),"""")"),"#REF!")</f>
        <v>#REF!</v>
      </c>
      <c r="F856" s="2" t="str">
        <f ca="1">IFERROR(__xludf.DUMMYFUNCTION("iferror(filter('Full Perk List'!F$3:F1498,'Full Perk List'!$D$3:$D1498=$D856),"""")"),"#REF!")</f>
        <v>#REF!</v>
      </c>
      <c r="G856" s="2" t="str">
        <f ca="1">IFERROR(__xludf.DUMMYFUNCTION("iferror(filter('Full Perk List'!G$3:G1498,'Full Perk List'!$D$3:$D1498=$D856),"""")"),"#REF!")</f>
        <v>#REF!</v>
      </c>
      <c r="H856" s="1"/>
      <c r="I856" s="2"/>
      <c r="J856" s="2"/>
      <c r="K856" s="2"/>
      <c r="L856" s="2"/>
      <c r="M856" s="2"/>
      <c r="N856" s="2"/>
      <c r="O856" s="2"/>
      <c r="P856" s="2"/>
      <c r="Q856" s="2"/>
      <c r="R856" s="2"/>
      <c r="S856" s="2"/>
      <c r="T856" s="2"/>
      <c r="U856" s="2"/>
      <c r="V856" s="2"/>
      <c r="W856" s="2"/>
      <c r="X856" s="2"/>
      <c r="Y856" s="2"/>
    </row>
    <row r="857" spans="1:25" ht="17.399999999999999" x14ac:dyDescent="0.25">
      <c r="A857" s="1"/>
      <c r="B857" s="40"/>
      <c r="C857" s="2" t="str">
        <f ca="1">IFERROR(__xludf.DUMMYFUNCTION("iferror(filter('Full Perk List'!C$3:C1498,'Full Perk List'!$D$3:$D1498=$D857),"""")"),"#REF!")</f>
        <v>#REF!</v>
      </c>
      <c r="D857" s="2"/>
      <c r="E857" s="2" t="str">
        <f ca="1">IFERROR(__xludf.DUMMYFUNCTION("iferror(filter('Full Perk List'!E$3:E1498,'Full Perk List'!$D$3:$D1498=$D857),"""")"),"#REF!")</f>
        <v>#REF!</v>
      </c>
      <c r="F857" s="2" t="str">
        <f ca="1">IFERROR(__xludf.DUMMYFUNCTION("iferror(filter('Full Perk List'!F$3:F1498,'Full Perk List'!$D$3:$D1498=$D857),"""")"),"#REF!")</f>
        <v>#REF!</v>
      </c>
      <c r="G857" s="2" t="str">
        <f ca="1">IFERROR(__xludf.DUMMYFUNCTION("iferror(filter('Full Perk List'!G$3:G1498,'Full Perk List'!$D$3:$D1498=$D857),"""")"),"#REF!")</f>
        <v>#REF!</v>
      </c>
      <c r="H857" s="1"/>
      <c r="I857" s="2"/>
      <c r="J857" s="2"/>
      <c r="K857" s="2"/>
      <c r="L857" s="2"/>
      <c r="M857" s="2"/>
      <c r="N857" s="2"/>
      <c r="O857" s="2"/>
      <c r="P857" s="2"/>
      <c r="Q857" s="2"/>
      <c r="R857" s="2"/>
      <c r="S857" s="2"/>
      <c r="T857" s="2"/>
      <c r="U857" s="2"/>
      <c r="V857" s="2"/>
      <c r="W857" s="2"/>
      <c r="X857" s="2"/>
      <c r="Y857" s="2"/>
    </row>
    <row r="858" spans="1:25" ht="17.399999999999999" x14ac:dyDescent="0.25">
      <c r="A858" s="1"/>
      <c r="B858" s="40"/>
      <c r="C858" s="2" t="str">
        <f ca="1">IFERROR(__xludf.DUMMYFUNCTION("iferror(filter('Full Perk List'!C$3:C1498,'Full Perk List'!$D$3:$D1498=$D858),"""")"),"#REF!")</f>
        <v>#REF!</v>
      </c>
      <c r="D858" s="2"/>
      <c r="E858" s="2" t="str">
        <f ca="1">IFERROR(__xludf.DUMMYFUNCTION("iferror(filter('Full Perk List'!E$3:E1498,'Full Perk List'!$D$3:$D1498=$D858),"""")"),"#REF!")</f>
        <v>#REF!</v>
      </c>
      <c r="F858" s="2" t="str">
        <f ca="1">IFERROR(__xludf.DUMMYFUNCTION("iferror(filter('Full Perk List'!F$3:F1498,'Full Perk List'!$D$3:$D1498=$D858),"""")"),"#REF!")</f>
        <v>#REF!</v>
      </c>
      <c r="G858" s="2" t="str">
        <f ca="1">IFERROR(__xludf.DUMMYFUNCTION("iferror(filter('Full Perk List'!G$3:G1498,'Full Perk List'!$D$3:$D1498=$D858),"""")"),"#REF!")</f>
        <v>#REF!</v>
      </c>
      <c r="H858" s="1"/>
      <c r="I858" s="2"/>
      <c r="J858" s="2"/>
      <c r="K858" s="2"/>
      <c r="L858" s="2"/>
      <c r="M858" s="2"/>
      <c r="N858" s="2"/>
      <c r="O858" s="2"/>
      <c r="P858" s="2"/>
      <c r="Q858" s="2"/>
      <c r="R858" s="2"/>
      <c r="S858" s="2"/>
      <c r="T858" s="2"/>
      <c r="U858" s="2"/>
      <c r="V858" s="2"/>
      <c r="W858" s="2"/>
      <c r="X858" s="2"/>
      <c r="Y858" s="2"/>
    </row>
    <row r="859" spans="1:25" ht="17.399999999999999" x14ac:dyDescent="0.25">
      <c r="A859" s="1"/>
      <c r="B859" s="40"/>
      <c r="C859" s="2" t="str">
        <f ca="1">IFERROR(__xludf.DUMMYFUNCTION("iferror(filter('Full Perk List'!C$3:C1498,'Full Perk List'!$D$3:$D1498=$D859),"""")"),"#REF!")</f>
        <v>#REF!</v>
      </c>
      <c r="D859" s="2"/>
      <c r="E859" s="2" t="str">
        <f ca="1">IFERROR(__xludf.DUMMYFUNCTION("iferror(filter('Full Perk List'!E$3:E1498,'Full Perk List'!$D$3:$D1498=$D859),"""")"),"#REF!")</f>
        <v>#REF!</v>
      </c>
      <c r="F859" s="2" t="str">
        <f ca="1">IFERROR(__xludf.DUMMYFUNCTION("iferror(filter('Full Perk List'!F$3:F1498,'Full Perk List'!$D$3:$D1498=$D859),"""")"),"#REF!")</f>
        <v>#REF!</v>
      </c>
      <c r="G859" s="2" t="str">
        <f ca="1">IFERROR(__xludf.DUMMYFUNCTION("iferror(filter('Full Perk List'!G$3:G1498,'Full Perk List'!$D$3:$D1498=$D859),"""")"),"#REF!")</f>
        <v>#REF!</v>
      </c>
      <c r="H859" s="1"/>
      <c r="I859" s="2"/>
      <c r="J859" s="2"/>
      <c r="K859" s="2"/>
      <c r="L859" s="2"/>
      <c r="M859" s="2"/>
      <c r="N859" s="2"/>
      <c r="O859" s="2"/>
      <c r="P859" s="2"/>
      <c r="Q859" s="2"/>
      <c r="R859" s="2"/>
      <c r="S859" s="2"/>
      <c r="T859" s="2"/>
      <c r="U859" s="2"/>
      <c r="V859" s="2"/>
      <c r="W859" s="2"/>
      <c r="X859" s="2"/>
      <c r="Y859" s="2"/>
    </row>
    <row r="860" spans="1:25" ht="17.399999999999999" x14ac:dyDescent="0.25">
      <c r="A860" s="1"/>
      <c r="B860" s="40"/>
      <c r="C860" s="2" t="str">
        <f ca="1">IFERROR(__xludf.DUMMYFUNCTION("iferror(filter('Full Perk List'!C$3:C1498,'Full Perk List'!$D$3:$D1498=$D860),"""")"),"#REF!")</f>
        <v>#REF!</v>
      </c>
      <c r="D860" s="2"/>
      <c r="E860" s="2" t="str">
        <f ca="1">IFERROR(__xludf.DUMMYFUNCTION("iferror(filter('Full Perk List'!E$3:E1498,'Full Perk List'!$D$3:$D1498=$D860),"""")"),"#REF!")</f>
        <v>#REF!</v>
      </c>
      <c r="F860" s="2" t="str">
        <f ca="1">IFERROR(__xludf.DUMMYFUNCTION("iferror(filter('Full Perk List'!F$3:F1498,'Full Perk List'!$D$3:$D1498=$D860),"""")"),"#REF!")</f>
        <v>#REF!</v>
      </c>
      <c r="G860" s="2" t="str">
        <f ca="1">IFERROR(__xludf.DUMMYFUNCTION("iferror(filter('Full Perk List'!G$3:G1498,'Full Perk List'!$D$3:$D1498=$D860),"""")"),"#REF!")</f>
        <v>#REF!</v>
      </c>
      <c r="H860" s="1"/>
      <c r="I860" s="2"/>
      <c r="J860" s="2"/>
      <c r="K860" s="2"/>
      <c r="L860" s="2"/>
      <c r="M860" s="2"/>
      <c r="N860" s="2"/>
      <c r="O860" s="2"/>
      <c r="P860" s="2"/>
      <c r="Q860" s="2"/>
      <c r="R860" s="2"/>
      <c r="S860" s="2"/>
      <c r="T860" s="2"/>
      <c r="U860" s="2"/>
      <c r="V860" s="2"/>
      <c r="W860" s="2"/>
      <c r="X860" s="2"/>
      <c r="Y860" s="2"/>
    </row>
    <row r="861" spans="1:25" ht="17.399999999999999" x14ac:dyDescent="0.25">
      <c r="A861" s="1"/>
      <c r="B861" s="40"/>
      <c r="C861" s="2" t="str">
        <f ca="1">IFERROR(__xludf.DUMMYFUNCTION("iferror(filter('Full Perk List'!C$3:C1498,'Full Perk List'!$D$3:$D1498=$D861),"""")"),"#REF!")</f>
        <v>#REF!</v>
      </c>
      <c r="D861" s="2"/>
      <c r="E861" s="2" t="str">
        <f ca="1">IFERROR(__xludf.DUMMYFUNCTION("iferror(filter('Full Perk List'!E$3:E1498,'Full Perk List'!$D$3:$D1498=$D861),"""")"),"#REF!")</f>
        <v>#REF!</v>
      </c>
      <c r="F861" s="2" t="str">
        <f ca="1">IFERROR(__xludf.DUMMYFUNCTION("iferror(filter('Full Perk List'!F$3:F1498,'Full Perk List'!$D$3:$D1498=$D861),"""")"),"#REF!")</f>
        <v>#REF!</v>
      </c>
      <c r="G861" s="2" t="str">
        <f ca="1">IFERROR(__xludf.DUMMYFUNCTION("iferror(filter('Full Perk List'!G$3:G1498,'Full Perk List'!$D$3:$D1498=$D861),"""")"),"#REF!")</f>
        <v>#REF!</v>
      </c>
      <c r="H861" s="1"/>
      <c r="I861" s="2"/>
      <c r="J861" s="2"/>
      <c r="K861" s="2"/>
      <c r="L861" s="2"/>
      <c r="M861" s="2"/>
      <c r="N861" s="2"/>
      <c r="O861" s="2"/>
      <c r="P861" s="2"/>
      <c r="Q861" s="2"/>
      <c r="R861" s="2"/>
      <c r="S861" s="2"/>
      <c r="T861" s="2"/>
      <c r="U861" s="2"/>
      <c r="V861" s="2"/>
      <c r="W861" s="2"/>
      <c r="X861" s="2"/>
      <c r="Y861" s="2"/>
    </row>
    <row r="862" spans="1:25" ht="17.399999999999999" x14ac:dyDescent="0.25">
      <c r="A862" s="1"/>
      <c r="B862" s="40"/>
      <c r="C862" s="2" t="str">
        <f ca="1">IFERROR(__xludf.DUMMYFUNCTION("iferror(filter('Full Perk List'!C$3:C1498,'Full Perk List'!$D$3:$D1498=$D862),"""")"),"#REF!")</f>
        <v>#REF!</v>
      </c>
      <c r="D862" s="2"/>
      <c r="E862" s="2" t="str">
        <f ca="1">IFERROR(__xludf.DUMMYFUNCTION("iferror(filter('Full Perk List'!E$3:E1498,'Full Perk List'!$D$3:$D1498=$D862),"""")"),"#REF!")</f>
        <v>#REF!</v>
      </c>
      <c r="F862" s="2" t="str">
        <f ca="1">IFERROR(__xludf.DUMMYFUNCTION("iferror(filter('Full Perk List'!F$3:F1498,'Full Perk List'!$D$3:$D1498=$D862),"""")"),"#REF!")</f>
        <v>#REF!</v>
      </c>
      <c r="G862" s="2" t="str">
        <f ca="1">IFERROR(__xludf.DUMMYFUNCTION("iferror(filter('Full Perk List'!G$3:G1498,'Full Perk List'!$D$3:$D1498=$D862),"""")"),"#REF!")</f>
        <v>#REF!</v>
      </c>
      <c r="H862" s="1"/>
      <c r="I862" s="2"/>
      <c r="J862" s="2"/>
      <c r="K862" s="2"/>
      <c r="L862" s="2"/>
      <c r="M862" s="2"/>
      <c r="N862" s="2"/>
      <c r="O862" s="2"/>
      <c r="P862" s="2"/>
      <c r="Q862" s="2"/>
      <c r="R862" s="2"/>
      <c r="S862" s="2"/>
      <c r="T862" s="2"/>
      <c r="U862" s="2"/>
      <c r="V862" s="2"/>
      <c r="W862" s="2"/>
      <c r="X862" s="2"/>
      <c r="Y862" s="2"/>
    </row>
    <row r="863" spans="1:25" ht="17.399999999999999" x14ac:dyDescent="0.25">
      <c r="A863" s="1"/>
      <c r="B863" s="40"/>
      <c r="C863" s="2" t="str">
        <f ca="1">IFERROR(__xludf.DUMMYFUNCTION("iferror(filter('Full Perk List'!C$3:C1498,'Full Perk List'!$D$3:$D1498=$D863),"""")"),"#REF!")</f>
        <v>#REF!</v>
      </c>
      <c r="D863" s="2"/>
      <c r="E863" s="2" t="str">
        <f ca="1">IFERROR(__xludf.DUMMYFUNCTION("iferror(filter('Full Perk List'!E$3:E1498,'Full Perk List'!$D$3:$D1498=$D863),"""")"),"#REF!")</f>
        <v>#REF!</v>
      </c>
      <c r="F863" s="2" t="str">
        <f ca="1">IFERROR(__xludf.DUMMYFUNCTION("iferror(filter('Full Perk List'!F$3:F1498,'Full Perk List'!$D$3:$D1498=$D863),"""")"),"#REF!")</f>
        <v>#REF!</v>
      </c>
      <c r="G863" s="2" t="str">
        <f ca="1">IFERROR(__xludf.DUMMYFUNCTION("iferror(filter('Full Perk List'!G$3:G1498,'Full Perk List'!$D$3:$D1498=$D863),"""")"),"#REF!")</f>
        <v>#REF!</v>
      </c>
      <c r="H863" s="1"/>
      <c r="I863" s="2"/>
      <c r="J863" s="2"/>
      <c r="K863" s="2"/>
      <c r="L863" s="2"/>
      <c r="M863" s="2"/>
      <c r="N863" s="2"/>
      <c r="O863" s="2"/>
      <c r="P863" s="2"/>
      <c r="Q863" s="2"/>
      <c r="R863" s="2"/>
      <c r="S863" s="2"/>
      <c r="T863" s="2"/>
      <c r="U863" s="2"/>
      <c r="V863" s="2"/>
      <c r="W863" s="2"/>
      <c r="X863" s="2"/>
      <c r="Y863" s="2"/>
    </row>
    <row r="864" spans="1:25" ht="17.399999999999999" x14ac:dyDescent="0.25">
      <c r="A864" s="1"/>
      <c r="B864" s="40"/>
      <c r="C864" s="2" t="str">
        <f ca="1">IFERROR(__xludf.DUMMYFUNCTION("iferror(filter('Full Perk List'!C$3:C1498,'Full Perk List'!$D$3:$D1498=$D864),"""")"),"#REF!")</f>
        <v>#REF!</v>
      </c>
      <c r="D864" s="2"/>
      <c r="E864" s="2" t="str">
        <f ca="1">IFERROR(__xludf.DUMMYFUNCTION("iferror(filter('Full Perk List'!E$3:E1498,'Full Perk List'!$D$3:$D1498=$D864),"""")"),"#REF!")</f>
        <v>#REF!</v>
      </c>
      <c r="F864" s="2" t="str">
        <f ca="1">IFERROR(__xludf.DUMMYFUNCTION("iferror(filter('Full Perk List'!F$3:F1498,'Full Perk List'!$D$3:$D1498=$D864),"""")"),"#REF!")</f>
        <v>#REF!</v>
      </c>
      <c r="G864" s="2" t="str">
        <f ca="1">IFERROR(__xludf.DUMMYFUNCTION("iferror(filter('Full Perk List'!G$3:G1498,'Full Perk List'!$D$3:$D1498=$D864),"""")"),"#REF!")</f>
        <v>#REF!</v>
      </c>
      <c r="H864" s="1"/>
      <c r="I864" s="2"/>
      <c r="J864" s="2"/>
      <c r="K864" s="2"/>
      <c r="L864" s="2"/>
      <c r="M864" s="2"/>
      <c r="N864" s="2"/>
      <c r="O864" s="2"/>
      <c r="P864" s="2"/>
      <c r="Q864" s="2"/>
      <c r="R864" s="2"/>
      <c r="S864" s="2"/>
      <c r="T864" s="2"/>
      <c r="U864" s="2"/>
      <c r="V864" s="2"/>
      <c r="W864" s="2"/>
      <c r="X864" s="2"/>
      <c r="Y864" s="2"/>
    </row>
    <row r="865" spans="1:25" ht="17.399999999999999" x14ac:dyDescent="0.25">
      <c r="A865" s="1"/>
      <c r="B865" s="40"/>
      <c r="C865" s="2" t="str">
        <f ca="1">IFERROR(__xludf.DUMMYFUNCTION("iferror(filter('Full Perk List'!C$3:C1498,'Full Perk List'!$D$3:$D1498=$D865),"""")"),"#REF!")</f>
        <v>#REF!</v>
      </c>
      <c r="D865" s="2"/>
      <c r="E865" s="2" t="str">
        <f ca="1">IFERROR(__xludf.DUMMYFUNCTION("iferror(filter('Full Perk List'!E$3:E1498,'Full Perk List'!$D$3:$D1498=$D865),"""")"),"#REF!")</f>
        <v>#REF!</v>
      </c>
      <c r="F865" s="2" t="str">
        <f ca="1">IFERROR(__xludf.DUMMYFUNCTION("iferror(filter('Full Perk List'!F$3:F1498,'Full Perk List'!$D$3:$D1498=$D865),"""")"),"#REF!")</f>
        <v>#REF!</v>
      </c>
      <c r="G865" s="2" t="str">
        <f ca="1">IFERROR(__xludf.DUMMYFUNCTION("iferror(filter('Full Perk List'!G$3:G1498,'Full Perk List'!$D$3:$D1498=$D865),"""")"),"#REF!")</f>
        <v>#REF!</v>
      </c>
      <c r="H865" s="1"/>
      <c r="I865" s="2"/>
      <c r="J865" s="2"/>
      <c r="K865" s="2"/>
      <c r="L865" s="2"/>
      <c r="M865" s="2"/>
      <c r="N865" s="2"/>
      <c r="O865" s="2"/>
      <c r="P865" s="2"/>
      <c r="Q865" s="2"/>
      <c r="R865" s="2"/>
      <c r="S865" s="2"/>
      <c r="T865" s="2"/>
      <c r="U865" s="2"/>
      <c r="V865" s="2"/>
      <c r="W865" s="2"/>
      <c r="X865" s="2"/>
      <c r="Y865" s="2"/>
    </row>
    <row r="866" spans="1:25" ht="17.399999999999999" x14ac:dyDescent="0.25">
      <c r="A866" s="1"/>
      <c r="B866" s="40"/>
      <c r="C866" s="2" t="str">
        <f ca="1">IFERROR(__xludf.DUMMYFUNCTION("iferror(filter('Full Perk List'!C$3:C1498,'Full Perk List'!$D$3:$D1498=$D866),"""")"),"#REF!")</f>
        <v>#REF!</v>
      </c>
      <c r="D866" s="2"/>
      <c r="E866" s="2" t="str">
        <f ca="1">IFERROR(__xludf.DUMMYFUNCTION("iferror(filter('Full Perk List'!E$3:E1498,'Full Perk List'!$D$3:$D1498=$D866),"""")"),"#REF!")</f>
        <v>#REF!</v>
      </c>
      <c r="F866" s="2" t="str">
        <f ca="1">IFERROR(__xludf.DUMMYFUNCTION("iferror(filter('Full Perk List'!F$3:F1498,'Full Perk List'!$D$3:$D1498=$D866),"""")"),"#REF!")</f>
        <v>#REF!</v>
      </c>
      <c r="G866" s="2" t="str">
        <f ca="1">IFERROR(__xludf.DUMMYFUNCTION("iferror(filter('Full Perk List'!G$3:G1498,'Full Perk List'!$D$3:$D1498=$D866),"""")"),"#REF!")</f>
        <v>#REF!</v>
      </c>
      <c r="H866" s="1"/>
      <c r="I866" s="2"/>
      <c r="J866" s="2"/>
      <c r="K866" s="2"/>
      <c r="L866" s="2"/>
      <c r="M866" s="2"/>
      <c r="N866" s="2"/>
      <c r="O866" s="2"/>
      <c r="P866" s="2"/>
      <c r="Q866" s="2"/>
      <c r="R866" s="2"/>
      <c r="S866" s="2"/>
      <c r="T866" s="2"/>
      <c r="U866" s="2"/>
      <c r="V866" s="2"/>
      <c r="W866" s="2"/>
      <c r="X866" s="2"/>
      <c r="Y866" s="2"/>
    </row>
    <row r="867" spans="1:25" ht="17.399999999999999" x14ac:dyDescent="0.25">
      <c r="A867" s="1"/>
      <c r="B867" s="40"/>
      <c r="C867" s="2" t="str">
        <f ca="1">IFERROR(__xludf.DUMMYFUNCTION("iferror(filter('Full Perk List'!C$3:C1498,'Full Perk List'!$D$3:$D1498=$D867),"""")"),"#REF!")</f>
        <v>#REF!</v>
      </c>
      <c r="D867" s="2"/>
      <c r="E867" s="2" t="str">
        <f ca="1">IFERROR(__xludf.DUMMYFUNCTION("iferror(filter('Full Perk List'!E$3:E1498,'Full Perk List'!$D$3:$D1498=$D867),"""")"),"#REF!")</f>
        <v>#REF!</v>
      </c>
      <c r="F867" s="2" t="str">
        <f ca="1">IFERROR(__xludf.DUMMYFUNCTION("iferror(filter('Full Perk List'!F$3:F1498,'Full Perk List'!$D$3:$D1498=$D867),"""")"),"#REF!")</f>
        <v>#REF!</v>
      </c>
      <c r="G867" s="2" t="str">
        <f ca="1">IFERROR(__xludf.DUMMYFUNCTION("iferror(filter('Full Perk List'!G$3:G1498,'Full Perk List'!$D$3:$D1498=$D867),"""")"),"#REF!")</f>
        <v>#REF!</v>
      </c>
      <c r="H867" s="1"/>
      <c r="I867" s="2"/>
      <c r="J867" s="2"/>
      <c r="K867" s="2"/>
      <c r="L867" s="2"/>
      <c r="M867" s="2"/>
      <c r="N867" s="2"/>
      <c r="O867" s="2"/>
      <c r="P867" s="2"/>
      <c r="Q867" s="2"/>
      <c r="R867" s="2"/>
      <c r="S867" s="2"/>
      <c r="T867" s="2"/>
      <c r="U867" s="2"/>
      <c r="V867" s="2"/>
      <c r="W867" s="2"/>
      <c r="X867" s="2"/>
      <c r="Y867" s="2"/>
    </row>
    <row r="868" spans="1:25" ht="17.399999999999999" x14ac:dyDescent="0.25">
      <c r="A868" s="1"/>
      <c r="B868" s="40"/>
      <c r="C868" s="2" t="str">
        <f ca="1">IFERROR(__xludf.DUMMYFUNCTION("iferror(filter('Full Perk List'!C$3:C1498,'Full Perk List'!$D$3:$D1498=$D868),"""")"),"#REF!")</f>
        <v>#REF!</v>
      </c>
      <c r="D868" s="2"/>
      <c r="E868" s="2" t="str">
        <f ca="1">IFERROR(__xludf.DUMMYFUNCTION("iferror(filter('Full Perk List'!E$3:E1498,'Full Perk List'!$D$3:$D1498=$D868),"""")"),"#REF!")</f>
        <v>#REF!</v>
      </c>
      <c r="F868" s="2" t="str">
        <f ca="1">IFERROR(__xludf.DUMMYFUNCTION("iferror(filter('Full Perk List'!F$3:F1498,'Full Perk List'!$D$3:$D1498=$D868),"""")"),"#REF!")</f>
        <v>#REF!</v>
      </c>
      <c r="G868" s="2" t="str">
        <f ca="1">IFERROR(__xludf.DUMMYFUNCTION("iferror(filter('Full Perk List'!G$3:G1498,'Full Perk List'!$D$3:$D1498=$D868),"""")"),"#REF!")</f>
        <v>#REF!</v>
      </c>
      <c r="H868" s="1"/>
      <c r="I868" s="2"/>
      <c r="J868" s="2"/>
      <c r="K868" s="2"/>
      <c r="L868" s="2"/>
      <c r="M868" s="2"/>
      <c r="N868" s="2"/>
      <c r="O868" s="2"/>
      <c r="P868" s="2"/>
      <c r="Q868" s="2"/>
      <c r="R868" s="2"/>
      <c r="S868" s="2"/>
      <c r="T868" s="2"/>
      <c r="U868" s="2"/>
      <c r="V868" s="2"/>
      <c r="W868" s="2"/>
      <c r="X868" s="2"/>
      <c r="Y868" s="2"/>
    </row>
    <row r="869" spans="1:25" ht="17.399999999999999" x14ac:dyDescent="0.25">
      <c r="A869" s="1"/>
      <c r="B869" s="40"/>
      <c r="C869" s="2" t="str">
        <f ca="1">IFERROR(__xludf.DUMMYFUNCTION("iferror(filter('Full Perk List'!C$3:C1498,'Full Perk List'!$D$3:$D1498=$D869),"""")"),"#REF!")</f>
        <v>#REF!</v>
      </c>
      <c r="D869" s="2"/>
      <c r="E869" s="2" t="str">
        <f ca="1">IFERROR(__xludf.DUMMYFUNCTION("iferror(filter('Full Perk List'!E$3:E1498,'Full Perk List'!$D$3:$D1498=$D869),"""")"),"#REF!")</f>
        <v>#REF!</v>
      </c>
      <c r="F869" s="2" t="str">
        <f ca="1">IFERROR(__xludf.DUMMYFUNCTION("iferror(filter('Full Perk List'!F$3:F1498,'Full Perk List'!$D$3:$D1498=$D869),"""")"),"#REF!")</f>
        <v>#REF!</v>
      </c>
      <c r="G869" s="2" t="str">
        <f ca="1">IFERROR(__xludf.DUMMYFUNCTION("iferror(filter('Full Perk List'!G$3:G1498,'Full Perk List'!$D$3:$D1498=$D869),"""")"),"#REF!")</f>
        <v>#REF!</v>
      </c>
      <c r="H869" s="1"/>
      <c r="I869" s="2"/>
      <c r="J869" s="2"/>
      <c r="K869" s="2"/>
      <c r="L869" s="2"/>
      <c r="M869" s="2"/>
      <c r="N869" s="2"/>
      <c r="O869" s="2"/>
      <c r="P869" s="2"/>
      <c r="Q869" s="2"/>
      <c r="R869" s="2"/>
      <c r="S869" s="2"/>
      <c r="T869" s="2"/>
      <c r="U869" s="2"/>
      <c r="V869" s="2"/>
      <c r="W869" s="2"/>
      <c r="X869" s="2"/>
      <c r="Y869" s="2"/>
    </row>
    <row r="870" spans="1:25" ht="17.399999999999999" x14ac:dyDescent="0.25">
      <c r="A870" s="1"/>
      <c r="B870" s="40"/>
      <c r="C870" s="2" t="str">
        <f ca="1">IFERROR(__xludf.DUMMYFUNCTION("iferror(filter('Full Perk List'!C$3:C1498,'Full Perk List'!$D$3:$D1498=$D870),"""")"),"#REF!")</f>
        <v>#REF!</v>
      </c>
      <c r="D870" s="2"/>
      <c r="E870" s="2" t="str">
        <f ca="1">IFERROR(__xludf.DUMMYFUNCTION("iferror(filter('Full Perk List'!E$3:E1498,'Full Perk List'!$D$3:$D1498=$D870),"""")"),"#REF!")</f>
        <v>#REF!</v>
      </c>
      <c r="F870" s="2" t="str">
        <f ca="1">IFERROR(__xludf.DUMMYFUNCTION("iferror(filter('Full Perk List'!F$3:F1498,'Full Perk List'!$D$3:$D1498=$D870),"""")"),"#REF!")</f>
        <v>#REF!</v>
      </c>
      <c r="G870" s="2" t="str">
        <f ca="1">IFERROR(__xludf.DUMMYFUNCTION("iferror(filter('Full Perk List'!G$3:G1498,'Full Perk List'!$D$3:$D1498=$D870),"""")"),"#REF!")</f>
        <v>#REF!</v>
      </c>
      <c r="H870" s="1"/>
      <c r="I870" s="2"/>
      <c r="J870" s="2"/>
      <c r="K870" s="2"/>
      <c r="L870" s="2"/>
      <c r="M870" s="2"/>
      <c r="N870" s="2"/>
      <c r="O870" s="2"/>
      <c r="P870" s="2"/>
      <c r="Q870" s="2"/>
      <c r="R870" s="2"/>
      <c r="S870" s="2"/>
      <c r="T870" s="2"/>
      <c r="U870" s="2"/>
      <c r="V870" s="2"/>
      <c r="W870" s="2"/>
      <c r="X870" s="2"/>
      <c r="Y870" s="2"/>
    </row>
    <row r="871" spans="1:25" ht="17.399999999999999" x14ac:dyDescent="0.25">
      <c r="A871" s="1"/>
      <c r="B871" s="40"/>
      <c r="C871" s="2" t="str">
        <f ca="1">IFERROR(__xludf.DUMMYFUNCTION("iferror(filter('Full Perk List'!C$3:C1498,'Full Perk List'!$D$3:$D1498=$D871),"""")"),"#REF!")</f>
        <v>#REF!</v>
      </c>
      <c r="D871" s="2"/>
      <c r="E871" s="2" t="str">
        <f ca="1">IFERROR(__xludf.DUMMYFUNCTION("iferror(filter('Full Perk List'!E$3:E1498,'Full Perk List'!$D$3:$D1498=$D871),"""")"),"#REF!")</f>
        <v>#REF!</v>
      </c>
      <c r="F871" s="2" t="str">
        <f ca="1">IFERROR(__xludf.DUMMYFUNCTION("iferror(filter('Full Perk List'!F$3:F1498,'Full Perk List'!$D$3:$D1498=$D871),"""")"),"#REF!")</f>
        <v>#REF!</v>
      </c>
      <c r="G871" s="2" t="str">
        <f ca="1">IFERROR(__xludf.DUMMYFUNCTION("iferror(filter('Full Perk List'!G$3:G1498,'Full Perk List'!$D$3:$D1498=$D871),"""")"),"#REF!")</f>
        <v>#REF!</v>
      </c>
      <c r="H871" s="1"/>
      <c r="I871" s="2"/>
      <c r="J871" s="2"/>
      <c r="K871" s="2"/>
      <c r="L871" s="2"/>
      <c r="M871" s="2"/>
      <c r="N871" s="2"/>
      <c r="O871" s="2"/>
      <c r="P871" s="2"/>
      <c r="Q871" s="2"/>
      <c r="R871" s="2"/>
      <c r="S871" s="2"/>
      <c r="T871" s="2"/>
      <c r="U871" s="2"/>
      <c r="V871" s="2"/>
      <c r="W871" s="2"/>
      <c r="X871" s="2"/>
      <c r="Y871" s="2"/>
    </row>
    <row r="872" spans="1:25" ht="17.399999999999999" x14ac:dyDescent="0.25">
      <c r="A872" s="1"/>
      <c r="B872" s="40"/>
      <c r="C872" s="2" t="str">
        <f ca="1">IFERROR(__xludf.DUMMYFUNCTION("iferror(filter('Full Perk List'!C$3:C1498,'Full Perk List'!$D$3:$D1498=$D872),"""")"),"#REF!")</f>
        <v>#REF!</v>
      </c>
      <c r="D872" s="2"/>
      <c r="E872" s="2" t="str">
        <f ca="1">IFERROR(__xludf.DUMMYFUNCTION("iferror(filter('Full Perk List'!E$3:E1498,'Full Perk List'!$D$3:$D1498=$D872),"""")"),"#REF!")</f>
        <v>#REF!</v>
      </c>
      <c r="F872" s="2" t="str">
        <f ca="1">IFERROR(__xludf.DUMMYFUNCTION("iferror(filter('Full Perk List'!F$3:F1498,'Full Perk List'!$D$3:$D1498=$D872),"""")"),"#REF!")</f>
        <v>#REF!</v>
      </c>
      <c r="G872" s="2" t="str">
        <f ca="1">IFERROR(__xludf.DUMMYFUNCTION("iferror(filter('Full Perk List'!G$3:G1498,'Full Perk List'!$D$3:$D1498=$D872),"""")"),"#REF!")</f>
        <v>#REF!</v>
      </c>
      <c r="H872" s="1"/>
      <c r="I872" s="2"/>
      <c r="J872" s="2"/>
      <c r="K872" s="2"/>
      <c r="L872" s="2"/>
      <c r="M872" s="2"/>
      <c r="N872" s="2"/>
      <c r="O872" s="2"/>
      <c r="P872" s="2"/>
      <c r="Q872" s="2"/>
      <c r="R872" s="2"/>
      <c r="S872" s="2"/>
      <c r="T872" s="2"/>
      <c r="U872" s="2"/>
      <c r="V872" s="2"/>
      <c r="W872" s="2"/>
      <c r="X872" s="2"/>
      <c r="Y872" s="2"/>
    </row>
    <row r="873" spans="1:25" ht="17.399999999999999" x14ac:dyDescent="0.25">
      <c r="A873" s="1"/>
      <c r="B873" s="40"/>
      <c r="C873" s="2" t="str">
        <f ca="1">IFERROR(__xludf.DUMMYFUNCTION("iferror(filter('Full Perk List'!C$3:C1498,'Full Perk List'!$D$3:$D1498=$D873),"""")"),"#REF!")</f>
        <v>#REF!</v>
      </c>
      <c r="D873" s="2"/>
      <c r="E873" s="2" t="str">
        <f ca="1">IFERROR(__xludf.DUMMYFUNCTION("iferror(filter('Full Perk List'!E$3:E1498,'Full Perk List'!$D$3:$D1498=$D873),"""")"),"#REF!")</f>
        <v>#REF!</v>
      </c>
      <c r="F873" s="2" t="str">
        <f ca="1">IFERROR(__xludf.DUMMYFUNCTION("iferror(filter('Full Perk List'!F$3:F1498,'Full Perk List'!$D$3:$D1498=$D873),"""")"),"#REF!")</f>
        <v>#REF!</v>
      </c>
      <c r="G873" s="2" t="str">
        <f ca="1">IFERROR(__xludf.DUMMYFUNCTION("iferror(filter('Full Perk List'!G$3:G1498,'Full Perk List'!$D$3:$D1498=$D873),"""")"),"#REF!")</f>
        <v>#REF!</v>
      </c>
      <c r="H873" s="1"/>
      <c r="I873" s="2"/>
      <c r="J873" s="2"/>
      <c r="K873" s="2"/>
      <c r="L873" s="2"/>
      <c r="M873" s="2"/>
      <c r="N873" s="2"/>
      <c r="O873" s="2"/>
      <c r="P873" s="2"/>
      <c r="Q873" s="2"/>
      <c r="R873" s="2"/>
      <c r="S873" s="2"/>
      <c r="T873" s="2"/>
      <c r="U873" s="2"/>
      <c r="V873" s="2"/>
      <c r="W873" s="2"/>
      <c r="X873" s="2"/>
      <c r="Y873" s="2"/>
    </row>
    <row r="874" spans="1:25" ht="17.399999999999999" x14ac:dyDescent="0.25">
      <c r="A874" s="1"/>
      <c r="B874" s="40"/>
      <c r="C874" s="2" t="str">
        <f ca="1">IFERROR(__xludf.DUMMYFUNCTION("iferror(filter('Full Perk List'!C$3:C1498,'Full Perk List'!$D$3:$D1498=$D874),"""")"),"#REF!")</f>
        <v>#REF!</v>
      </c>
      <c r="D874" s="2"/>
      <c r="E874" s="2" t="str">
        <f ca="1">IFERROR(__xludf.DUMMYFUNCTION("iferror(filter('Full Perk List'!E$3:E1498,'Full Perk List'!$D$3:$D1498=$D874),"""")"),"#REF!")</f>
        <v>#REF!</v>
      </c>
      <c r="F874" s="2" t="str">
        <f ca="1">IFERROR(__xludf.DUMMYFUNCTION("iferror(filter('Full Perk List'!F$3:F1498,'Full Perk List'!$D$3:$D1498=$D874),"""")"),"#REF!")</f>
        <v>#REF!</v>
      </c>
      <c r="G874" s="2" t="str">
        <f ca="1">IFERROR(__xludf.DUMMYFUNCTION("iferror(filter('Full Perk List'!G$3:G1498,'Full Perk List'!$D$3:$D1498=$D874),"""")"),"#REF!")</f>
        <v>#REF!</v>
      </c>
      <c r="H874" s="1"/>
      <c r="I874" s="2"/>
      <c r="J874" s="2"/>
      <c r="K874" s="2"/>
      <c r="L874" s="2"/>
      <c r="M874" s="2"/>
      <c r="N874" s="2"/>
      <c r="O874" s="2"/>
      <c r="P874" s="2"/>
      <c r="Q874" s="2"/>
      <c r="R874" s="2"/>
      <c r="S874" s="2"/>
      <c r="T874" s="2"/>
      <c r="U874" s="2"/>
      <c r="V874" s="2"/>
      <c r="W874" s="2"/>
      <c r="X874" s="2"/>
      <c r="Y874" s="2"/>
    </row>
    <row r="875" spans="1:25" ht="17.399999999999999" x14ac:dyDescent="0.25">
      <c r="A875" s="1"/>
      <c r="B875" s="40"/>
      <c r="C875" s="2" t="str">
        <f ca="1">IFERROR(__xludf.DUMMYFUNCTION("iferror(filter('Full Perk List'!C$3:C1498,'Full Perk List'!$D$3:$D1498=$D875),"""")"),"#REF!")</f>
        <v>#REF!</v>
      </c>
      <c r="D875" s="2"/>
      <c r="E875" s="2" t="str">
        <f ca="1">IFERROR(__xludf.DUMMYFUNCTION("iferror(filter('Full Perk List'!E$3:E1498,'Full Perk List'!$D$3:$D1498=$D875),"""")"),"#REF!")</f>
        <v>#REF!</v>
      </c>
      <c r="F875" s="2" t="str">
        <f ca="1">IFERROR(__xludf.DUMMYFUNCTION("iferror(filter('Full Perk List'!F$3:F1498,'Full Perk List'!$D$3:$D1498=$D875),"""")"),"#REF!")</f>
        <v>#REF!</v>
      </c>
      <c r="G875" s="2" t="str">
        <f ca="1">IFERROR(__xludf.DUMMYFUNCTION("iferror(filter('Full Perk List'!G$3:G1498,'Full Perk List'!$D$3:$D1498=$D875),"""")"),"#REF!")</f>
        <v>#REF!</v>
      </c>
      <c r="H875" s="1"/>
      <c r="I875" s="2"/>
      <c r="J875" s="2"/>
      <c r="K875" s="2"/>
      <c r="L875" s="2"/>
      <c r="M875" s="2"/>
      <c r="N875" s="2"/>
      <c r="O875" s="2"/>
      <c r="P875" s="2"/>
      <c r="Q875" s="2"/>
      <c r="R875" s="2"/>
      <c r="S875" s="2"/>
      <c r="T875" s="2"/>
      <c r="U875" s="2"/>
      <c r="V875" s="2"/>
      <c r="W875" s="2"/>
      <c r="X875" s="2"/>
      <c r="Y875" s="2"/>
    </row>
    <row r="876" spans="1:25" ht="17.399999999999999" x14ac:dyDescent="0.25">
      <c r="A876" s="1"/>
      <c r="B876" s="40"/>
      <c r="C876" s="2" t="str">
        <f ca="1">IFERROR(__xludf.DUMMYFUNCTION("iferror(filter('Full Perk List'!C$3:C1498,'Full Perk List'!$D$3:$D1498=$D876),"""")"),"#REF!")</f>
        <v>#REF!</v>
      </c>
      <c r="D876" s="2"/>
      <c r="E876" s="2" t="str">
        <f ca="1">IFERROR(__xludf.DUMMYFUNCTION("iferror(filter('Full Perk List'!E$3:E1498,'Full Perk List'!$D$3:$D1498=$D876),"""")"),"#REF!")</f>
        <v>#REF!</v>
      </c>
      <c r="F876" s="2" t="str">
        <f ca="1">IFERROR(__xludf.DUMMYFUNCTION("iferror(filter('Full Perk List'!F$3:F1498,'Full Perk List'!$D$3:$D1498=$D876),"""")"),"#REF!")</f>
        <v>#REF!</v>
      </c>
      <c r="G876" s="2" t="str">
        <f ca="1">IFERROR(__xludf.DUMMYFUNCTION("iferror(filter('Full Perk List'!G$3:G1498,'Full Perk List'!$D$3:$D1498=$D876),"""")"),"#REF!")</f>
        <v>#REF!</v>
      </c>
      <c r="H876" s="1"/>
      <c r="I876" s="2"/>
      <c r="J876" s="2"/>
      <c r="K876" s="2"/>
      <c r="L876" s="2"/>
      <c r="M876" s="2"/>
      <c r="N876" s="2"/>
      <c r="O876" s="2"/>
      <c r="P876" s="2"/>
      <c r="Q876" s="2"/>
      <c r="R876" s="2"/>
      <c r="S876" s="2"/>
      <c r="T876" s="2"/>
      <c r="U876" s="2"/>
      <c r="V876" s="2"/>
      <c r="W876" s="2"/>
      <c r="X876" s="2"/>
      <c r="Y876" s="2"/>
    </row>
    <row r="877" spans="1:25" ht="17.399999999999999" x14ac:dyDescent="0.25">
      <c r="A877" s="1"/>
      <c r="B877" s="40"/>
      <c r="C877" s="2" t="str">
        <f ca="1">IFERROR(__xludf.DUMMYFUNCTION("iferror(filter('Full Perk List'!C$3:C1498,'Full Perk List'!$D$3:$D1498=$D877),"""")"),"#REF!")</f>
        <v>#REF!</v>
      </c>
      <c r="D877" s="2"/>
      <c r="E877" s="2" t="str">
        <f ca="1">IFERROR(__xludf.DUMMYFUNCTION("iferror(filter('Full Perk List'!E$3:E1498,'Full Perk List'!$D$3:$D1498=$D877),"""")"),"#REF!")</f>
        <v>#REF!</v>
      </c>
      <c r="F877" s="2" t="str">
        <f ca="1">IFERROR(__xludf.DUMMYFUNCTION("iferror(filter('Full Perk List'!F$3:F1498,'Full Perk List'!$D$3:$D1498=$D877),"""")"),"#REF!")</f>
        <v>#REF!</v>
      </c>
      <c r="G877" s="2" t="str">
        <f ca="1">IFERROR(__xludf.DUMMYFUNCTION("iferror(filter('Full Perk List'!G$3:G1498,'Full Perk List'!$D$3:$D1498=$D877),"""")"),"#REF!")</f>
        <v>#REF!</v>
      </c>
      <c r="H877" s="1"/>
      <c r="I877" s="2"/>
      <c r="J877" s="2"/>
      <c r="K877" s="2"/>
      <c r="L877" s="2"/>
      <c r="M877" s="2"/>
      <c r="N877" s="2"/>
      <c r="O877" s="2"/>
      <c r="P877" s="2"/>
      <c r="Q877" s="2"/>
      <c r="R877" s="2"/>
      <c r="S877" s="2"/>
      <c r="T877" s="2"/>
      <c r="U877" s="2"/>
      <c r="V877" s="2"/>
      <c r="W877" s="2"/>
      <c r="X877" s="2"/>
      <c r="Y877" s="2"/>
    </row>
    <row r="878" spans="1:25" ht="17.399999999999999" x14ac:dyDescent="0.25">
      <c r="A878" s="1"/>
      <c r="B878" s="40"/>
      <c r="C878" s="2" t="str">
        <f ca="1">IFERROR(__xludf.DUMMYFUNCTION("iferror(filter('Full Perk List'!C$3:C1498,'Full Perk List'!$D$3:$D1498=$D878),"""")"),"#REF!")</f>
        <v>#REF!</v>
      </c>
      <c r="D878" s="2"/>
      <c r="E878" s="2" t="str">
        <f ca="1">IFERROR(__xludf.DUMMYFUNCTION("iferror(filter('Full Perk List'!E$3:E1498,'Full Perk List'!$D$3:$D1498=$D878),"""")"),"#REF!")</f>
        <v>#REF!</v>
      </c>
      <c r="F878" s="2" t="str">
        <f ca="1">IFERROR(__xludf.DUMMYFUNCTION("iferror(filter('Full Perk List'!F$3:F1498,'Full Perk List'!$D$3:$D1498=$D878),"""")"),"#REF!")</f>
        <v>#REF!</v>
      </c>
      <c r="G878" s="2" t="str">
        <f ca="1">IFERROR(__xludf.DUMMYFUNCTION("iferror(filter('Full Perk List'!G$3:G1498,'Full Perk List'!$D$3:$D1498=$D878),"""")"),"#REF!")</f>
        <v>#REF!</v>
      </c>
      <c r="H878" s="1"/>
      <c r="I878" s="2"/>
      <c r="J878" s="2"/>
      <c r="K878" s="2"/>
      <c r="L878" s="2"/>
      <c r="M878" s="2"/>
      <c r="N878" s="2"/>
      <c r="O878" s="2"/>
      <c r="P878" s="2"/>
      <c r="Q878" s="2"/>
      <c r="R878" s="2"/>
      <c r="S878" s="2"/>
      <c r="T878" s="2"/>
      <c r="U878" s="2"/>
      <c r="V878" s="2"/>
      <c r="W878" s="2"/>
      <c r="X878" s="2"/>
      <c r="Y878" s="2"/>
    </row>
    <row r="879" spans="1:25" ht="17.399999999999999" x14ac:dyDescent="0.25">
      <c r="A879" s="1"/>
      <c r="B879" s="40"/>
      <c r="C879" s="2" t="str">
        <f ca="1">IFERROR(__xludf.DUMMYFUNCTION("iferror(filter('Full Perk List'!C$3:C1498,'Full Perk List'!$D$3:$D1498=$D879),"""")"),"#REF!")</f>
        <v>#REF!</v>
      </c>
      <c r="D879" s="2"/>
      <c r="E879" s="2" t="str">
        <f ca="1">IFERROR(__xludf.DUMMYFUNCTION("iferror(filter('Full Perk List'!E$3:E1498,'Full Perk List'!$D$3:$D1498=$D879),"""")"),"#REF!")</f>
        <v>#REF!</v>
      </c>
      <c r="F879" s="2" t="str">
        <f ca="1">IFERROR(__xludf.DUMMYFUNCTION("iferror(filter('Full Perk List'!F$3:F1498,'Full Perk List'!$D$3:$D1498=$D879),"""")"),"#REF!")</f>
        <v>#REF!</v>
      </c>
      <c r="G879" s="2" t="str">
        <f ca="1">IFERROR(__xludf.DUMMYFUNCTION("iferror(filter('Full Perk List'!G$3:G1498,'Full Perk List'!$D$3:$D1498=$D879),"""")"),"#REF!")</f>
        <v>#REF!</v>
      </c>
      <c r="H879" s="1"/>
      <c r="I879" s="2"/>
      <c r="J879" s="2"/>
      <c r="K879" s="2"/>
      <c r="L879" s="2"/>
      <c r="M879" s="2"/>
      <c r="N879" s="2"/>
      <c r="O879" s="2"/>
      <c r="P879" s="2"/>
      <c r="Q879" s="2"/>
      <c r="R879" s="2"/>
      <c r="S879" s="2"/>
      <c r="T879" s="2"/>
      <c r="U879" s="2"/>
      <c r="V879" s="2"/>
      <c r="W879" s="2"/>
      <c r="X879" s="2"/>
      <c r="Y879" s="2"/>
    </row>
    <row r="880" spans="1:25" ht="17.399999999999999" x14ac:dyDescent="0.25">
      <c r="A880" s="1"/>
      <c r="B880" s="40"/>
      <c r="C880" s="2" t="str">
        <f ca="1">IFERROR(__xludf.DUMMYFUNCTION("iferror(filter('Full Perk List'!C$3:C1498,'Full Perk List'!$D$3:$D1498=$D880),"""")"),"#REF!")</f>
        <v>#REF!</v>
      </c>
      <c r="D880" s="2"/>
      <c r="E880" s="2" t="str">
        <f ca="1">IFERROR(__xludf.DUMMYFUNCTION("iferror(filter('Full Perk List'!E$3:E1498,'Full Perk List'!$D$3:$D1498=$D880),"""")"),"#REF!")</f>
        <v>#REF!</v>
      </c>
      <c r="F880" s="2" t="str">
        <f ca="1">IFERROR(__xludf.DUMMYFUNCTION("iferror(filter('Full Perk List'!F$3:F1498,'Full Perk List'!$D$3:$D1498=$D880),"""")"),"#REF!")</f>
        <v>#REF!</v>
      </c>
      <c r="G880" s="2" t="str">
        <f ca="1">IFERROR(__xludf.DUMMYFUNCTION("iferror(filter('Full Perk List'!G$3:G1498,'Full Perk List'!$D$3:$D1498=$D880),"""")"),"#REF!")</f>
        <v>#REF!</v>
      </c>
      <c r="H880" s="1"/>
      <c r="I880" s="2"/>
      <c r="J880" s="2"/>
      <c r="K880" s="2"/>
      <c r="L880" s="2"/>
      <c r="M880" s="2"/>
      <c r="N880" s="2"/>
      <c r="O880" s="2"/>
      <c r="P880" s="2"/>
      <c r="Q880" s="2"/>
      <c r="R880" s="2"/>
      <c r="S880" s="2"/>
      <c r="T880" s="2"/>
      <c r="U880" s="2"/>
      <c r="V880" s="2"/>
      <c r="W880" s="2"/>
      <c r="X880" s="2"/>
      <c r="Y880" s="2"/>
    </row>
    <row r="881" spans="1:25" ht="17.399999999999999" x14ac:dyDescent="0.25">
      <c r="A881" s="1"/>
      <c r="B881" s="40"/>
      <c r="C881" s="2" t="str">
        <f ca="1">IFERROR(__xludf.DUMMYFUNCTION("iferror(filter('Full Perk List'!C$3:C1498,'Full Perk List'!$D$3:$D1498=$D881),"""")"),"#REF!")</f>
        <v>#REF!</v>
      </c>
      <c r="D881" s="2"/>
      <c r="E881" s="2" t="str">
        <f ca="1">IFERROR(__xludf.DUMMYFUNCTION("iferror(filter('Full Perk List'!E$3:E1498,'Full Perk List'!$D$3:$D1498=$D881),"""")"),"#REF!")</f>
        <v>#REF!</v>
      </c>
      <c r="F881" s="2" t="str">
        <f ca="1">IFERROR(__xludf.DUMMYFUNCTION("iferror(filter('Full Perk List'!F$3:F1498,'Full Perk List'!$D$3:$D1498=$D881),"""")"),"#REF!")</f>
        <v>#REF!</v>
      </c>
      <c r="G881" s="2" t="str">
        <f ca="1">IFERROR(__xludf.DUMMYFUNCTION("iferror(filter('Full Perk List'!G$3:G1498,'Full Perk List'!$D$3:$D1498=$D881),"""")"),"#REF!")</f>
        <v>#REF!</v>
      </c>
      <c r="H881" s="1"/>
      <c r="I881" s="2"/>
      <c r="J881" s="2"/>
      <c r="K881" s="2"/>
      <c r="L881" s="2"/>
      <c r="M881" s="2"/>
      <c r="N881" s="2"/>
      <c r="O881" s="2"/>
      <c r="P881" s="2"/>
      <c r="Q881" s="2"/>
      <c r="R881" s="2"/>
      <c r="S881" s="2"/>
      <c r="T881" s="2"/>
      <c r="U881" s="2"/>
      <c r="V881" s="2"/>
      <c r="W881" s="2"/>
      <c r="X881" s="2"/>
      <c r="Y881" s="2"/>
    </row>
    <row r="882" spans="1:25" ht="17.399999999999999" x14ac:dyDescent="0.25">
      <c r="A882" s="1"/>
      <c r="B882" s="40"/>
      <c r="C882" s="2" t="str">
        <f ca="1">IFERROR(__xludf.DUMMYFUNCTION("iferror(filter('Full Perk List'!C$3:C1498,'Full Perk List'!$D$3:$D1498=$D882),"""")"),"#REF!")</f>
        <v>#REF!</v>
      </c>
      <c r="D882" s="2"/>
      <c r="E882" s="2" t="str">
        <f ca="1">IFERROR(__xludf.DUMMYFUNCTION("iferror(filter('Full Perk List'!E$3:E1498,'Full Perk List'!$D$3:$D1498=$D882),"""")"),"#REF!")</f>
        <v>#REF!</v>
      </c>
      <c r="F882" s="2" t="str">
        <f ca="1">IFERROR(__xludf.DUMMYFUNCTION("iferror(filter('Full Perk List'!F$3:F1498,'Full Perk List'!$D$3:$D1498=$D882),"""")"),"#REF!")</f>
        <v>#REF!</v>
      </c>
      <c r="G882" s="2" t="str">
        <f ca="1">IFERROR(__xludf.DUMMYFUNCTION("iferror(filter('Full Perk List'!G$3:G1498,'Full Perk List'!$D$3:$D1498=$D882),"""")"),"#REF!")</f>
        <v>#REF!</v>
      </c>
      <c r="H882" s="1"/>
      <c r="I882" s="2"/>
      <c r="J882" s="2"/>
      <c r="K882" s="2"/>
      <c r="L882" s="2"/>
      <c r="M882" s="2"/>
      <c r="N882" s="2"/>
      <c r="O882" s="2"/>
      <c r="P882" s="2"/>
      <c r="Q882" s="2"/>
      <c r="R882" s="2"/>
      <c r="S882" s="2"/>
      <c r="T882" s="2"/>
      <c r="U882" s="2"/>
      <c r="V882" s="2"/>
      <c r="W882" s="2"/>
      <c r="X882" s="2"/>
      <c r="Y882" s="2"/>
    </row>
    <row r="883" spans="1:25" ht="17.399999999999999" x14ac:dyDescent="0.25">
      <c r="A883" s="1"/>
      <c r="B883" s="40"/>
      <c r="C883" s="2" t="str">
        <f ca="1">IFERROR(__xludf.DUMMYFUNCTION("iferror(filter('Full Perk List'!C$3:C1498,'Full Perk List'!$D$3:$D1498=$D883),"""")"),"#REF!")</f>
        <v>#REF!</v>
      </c>
      <c r="D883" s="2"/>
      <c r="E883" s="2" t="str">
        <f ca="1">IFERROR(__xludf.DUMMYFUNCTION("iferror(filter('Full Perk List'!E$3:E1498,'Full Perk List'!$D$3:$D1498=$D883),"""")"),"#REF!")</f>
        <v>#REF!</v>
      </c>
      <c r="F883" s="2" t="str">
        <f ca="1">IFERROR(__xludf.DUMMYFUNCTION("iferror(filter('Full Perk List'!F$3:F1498,'Full Perk List'!$D$3:$D1498=$D883),"""")"),"#REF!")</f>
        <v>#REF!</v>
      </c>
      <c r="G883" s="2" t="str">
        <f ca="1">IFERROR(__xludf.DUMMYFUNCTION("iferror(filter('Full Perk List'!G$3:G1498,'Full Perk List'!$D$3:$D1498=$D883),"""")"),"#REF!")</f>
        <v>#REF!</v>
      </c>
      <c r="H883" s="1"/>
      <c r="I883" s="2"/>
      <c r="J883" s="2"/>
      <c r="K883" s="2"/>
      <c r="L883" s="2"/>
      <c r="M883" s="2"/>
      <c r="N883" s="2"/>
      <c r="O883" s="2"/>
      <c r="P883" s="2"/>
      <c r="Q883" s="2"/>
      <c r="R883" s="2"/>
      <c r="S883" s="2"/>
      <c r="T883" s="2"/>
      <c r="U883" s="2"/>
      <c r="V883" s="2"/>
      <c r="W883" s="2"/>
      <c r="X883" s="2"/>
      <c r="Y883" s="2"/>
    </row>
    <row r="884" spans="1:25" ht="17.399999999999999" x14ac:dyDescent="0.25">
      <c r="A884" s="1"/>
      <c r="B884" s="40"/>
      <c r="C884" s="2" t="str">
        <f ca="1">IFERROR(__xludf.DUMMYFUNCTION("iferror(filter('Full Perk List'!C$3:C1498,'Full Perk List'!$D$3:$D1498=$D884),"""")"),"#REF!")</f>
        <v>#REF!</v>
      </c>
      <c r="D884" s="2"/>
      <c r="E884" s="2" t="str">
        <f ca="1">IFERROR(__xludf.DUMMYFUNCTION("iferror(filter('Full Perk List'!E$3:E1498,'Full Perk List'!$D$3:$D1498=$D884),"""")"),"#REF!")</f>
        <v>#REF!</v>
      </c>
      <c r="F884" s="2" t="str">
        <f ca="1">IFERROR(__xludf.DUMMYFUNCTION("iferror(filter('Full Perk List'!F$3:F1498,'Full Perk List'!$D$3:$D1498=$D884),"""")"),"#REF!")</f>
        <v>#REF!</v>
      </c>
      <c r="G884" s="2" t="str">
        <f ca="1">IFERROR(__xludf.DUMMYFUNCTION("iferror(filter('Full Perk List'!G$3:G1498,'Full Perk List'!$D$3:$D1498=$D884),"""")"),"#REF!")</f>
        <v>#REF!</v>
      </c>
      <c r="H884" s="1"/>
      <c r="I884" s="2"/>
      <c r="J884" s="2"/>
      <c r="K884" s="2"/>
      <c r="L884" s="2"/>
      <c r="M884" s="2"/>
      <c r="N884" s="2"/>
      <c r="O884" s="2"/>
      <c r="P884" s="2"/>
      <c r="Q884" s="2"/>
      <c r="R884" s="2"/>
      <c r="S884" s="2"/>
      <c r="T884" s="2"/>
      <c r="U884" s="2"/>
      <c r="V884" s="2"/>
      <c r="W884" s="2"/>
      <c r="X884" s="2"/>
      <c r="Y884" s="2"/>
    </row>
    <row r="885" spans="1:25" ht="17.399999999999999" x14ac:dyDescent="0.25">
      <c r="A885" s="1"/>
      <c r="B885" s="40"/>
      <c r="C885" s="2" t="str">
        <f ca="1">IFERROR(__xludf.DUMMYFUNCTION("iferror(filter('Full Perk List'!C$3:C1498,'Full Perk List'!$D$3:$D1498=$D885),"""")"),"#REF!")</f>
        <v>#REF!</v>
      </c>
      <c r="D885" s="2"/>
      <c r="E885" s="2" t="str">
        <f ca="1">IFERROR(__xludf.DUMMYFUNCTION("iferror(filter('Full Perk List'!E$3:E1498,'Full Perk List'!$D$3:$D1498=$D885),"""")"),"#REF!")</f>
        <v>#REF!</v>
      </c>
      <c r="F885" s="2" t="str">
        <f ca="1">IFERROR(__xludf.DUMMYFUNCTION("iferror(filter('Full Perk List'!F$3:F1498,'Full Perk List'!$D$3:$D1498=$D885),"""")"),"#REF!")</f>
        <v>#REF!</v>
      </c>
      <c r="G885" s="2" t="str">
        <f ca="1">IFERROR(__xludf.DUMMYFUNCTION("iferror(filter('Full Perk List'!G$3:G1498,'Full Perk List'!$D$3:$D1498=$D885),"""")"),"#REF!")</f>
        <v>#REF!</v>
      </c>
      <c r="H885" s="1"/>
      <c r="I885" s="2"/>
      <c r="J885" s="2"/>
      <c r="K885" s="2"/>
      <c r="L885" s="2"/>
      <c r="M885" s="2"/>
      <c r="N885" s="2"/>
      <c r="O885" s="2"/>
      <c r="P885" s="2"/>
      <c r="Q885" s="2"/>
      <c r="R885" s="2"/>
      <c r="S885" s="2"/>
      <c r="T885" s="2"/>
      <c r="U885" s="2"/>
      <c r="V885" s="2"/>
      <c r="W885" s="2"/>
      <c r="X885" s="2"/>
      <c r="Y885" s="2"/>
    </row>
    <row r="886" spans="1:25" ht="17.399999999999999" x14ac:dyDescent="0.25">
      <c r="A886" s="1"/>
      <c r="B886" s="40"/>
      <c r="C886" s="2" t="str">
        <f ca="1">IFERROR(__xludf.DUMMYFUNCTION("iferror(filter('Full Perk List'!C$3:C1498,'Full Perk List'!$D$3:$D1498=$D886),"""")"),"#REF!")</f>
        <v>#REF!</v>
      </c>
      <c r="D886" s="2"/>
      <c r="E886" s="2" t="str">
        <f ca="1">IFERROR(__xludf.DUMMYFUNCTION("iferror(filter('Full Perk List'!E$3:E1498,'Full Perk List'!$D$3:$D1498=$D886),"""")"),"#REF!")</f>
        <v>#REF!</v>
      </c>
      <c r="F886" s="2" t="str">
        <f ca="1">IFERROR(__xludf.DUMMYFUNCTION("iferror(filter('Full Perk List'!F$3:F1498,'Full Perk List'!$D$3:$D1498=$D886),"""")"),"#REF!")</f>
        <v>#REF!</v>
      </c>
      <c r="G886" s="2" t="str">
        <f ca="1">IFERROR(__xludf.DUMMYFUNCTION("iferror(filter('Full Perk List'!G$3:G1498,'Full Perk List'!$D$3:$D1498=$D886),"""")"),"#REF!")</f>
        <v>#REF!</v>
      </c>
      <c r="H886" s="1"/>
      <c r="I886" s="2"/>
      <c r="J886" s="2"/>
      <c r="K886" s="2"/>
      <c r="L886" s="2"/>
      <c r="M886" s="2"/>
      <c r="N886" s="2"/>
      <c r="O886" s="2"/>
      <c r="P886" s="2"/>
      <c r="Q886" s="2"/>
      <c r="R886" s="2"/>
      <c r="S886" s="2"/>
      <c r="T886" s="2"/>
      <c r="U886" s="2"/>
      <c r="V886" s="2"/>
      <c r="W886" s="2"/>
      <c r="X886" s="2"/>
      <c r="Y886" s="2"/>
    </row>
    <row r="887" spans="1:25" ht="17.399999999999999" x14ac:dyDescent="0.25">
      <c r="A887" s="1"/>
      <c r="B887" s="40"/>
      <c r="C887" s="2" t="str">
        <f ca="1">IFERROR(__xludf.DUMMYFUNCTION("iferror(filter('Full Perk List'!C$3:C1498,'Full Perk List'!$D$3:$D1498=$D887),"""")"),"#REF!")</f>
        <v>#REF!</v>
      </c>
      <c r="D887" s="2"/>
      <c r="E887" s="2" t="str">
        <f ca="1">IFERROR(__xludf.DUMMYFUNCTION("iferror(filter('Full Perk List'!E$3:E1498,'Full Perk List'!$D$3:$D1498=$D887),"""")"),"#REF!")</f>
        <v>#REF!</v>
      </c>
      <c r="F887" s="2" t="str">
        <f ca="1">IFERROR(__xludf.DUMMYFUNCTION("iferror(filter('Full Perk List'!F$3:F1498,'Full Perk List'!$D$3:$D1498=$D887),"""")"),"#REF!")</f>
        <v>#REF!</v>
      </c>
      <c r="G887" s="2" t="str">
        <f ca="1">IFERROR(__xludf.DUMMYFUNCTION("iferror(filter('Full Perk List'!G$3:G1498,'Full Perk List'!$D$3:$D1498=$D887),"""")"),"#REF!")</f>
        <v>#REF!</v>
      </c>
      <c r="H887" s="1"/>
      <c r="I887" s="2"/>
      <c r="J887" s="2"/>
      <c r="K887" s="2"/>
      <c r="L887" s="2"/>
      <c r="M887" s="2"/>
      <c r="N887" s="2"/>
      <c r="O887" s="2"/>
      <c r="P887" s="2"/>
      <c r="Q887" s="2"/>
      <c r="R887" s="2"/>
      <c r="S887" s="2"/>
      <c r="T887" s="2"/>
      <c r="U887" s="2"/>
      <c r="V887" s="2"/>
      <c r="W887" s="2"/>
      <c r="X887" s="2"/>
      <c r="Y887" s="2"/>
    </row>
    <row r="888" spans="1:25" ht="17.399999999999999" x14ac:dyDescent="0.25">
      <c r="A888" s="1"/>
      <c r="B888" s="40"/>
      <c r="C888" s="2" t="str">
        <f ca="1">IFERROR(__xludf.DUMMYFUNCTION("iferror(filter('Full Perk List'!C$3:C1498,'Full Perk List'!$D$3:$D1498=$D888),"""")"),"#REF!")</f>
        <v>#REF!</v>
      </c>
      <c r="D888" s="2"/>
      <c r="E888" s="2" t="str">
        <f ca="1">IFERROR(__xludf.DUMMYFUNCTION("iferror(filter('Full Perk List'!E$3:E1498,'Full Perk List'!$D$3:$D1498=$D888),"""")"),"#REF!")</f>
        <v>#REF!</v>
      </c>
      <c r="F888" s="2" t="str">
        <f ca="1">IFERROR(__xludf.DUMMYFUNCTION("iferror(filter('Full Perk List'!F$3:F1498,'Full Perk List'!$D$3:$D1498=$D888),"""")"),"#REF!")</f>
        <v>#REF!</v>
      </c>
      <c r="G888" s="2" t="str">
        <f ca="1">IFERROR(__xludf.DUMMYFUNCTION("iferror(filter('Full Perk List'!G$3:G1498,'Full Perk List'!$D$3:$D1498=$D888),"""")"),"#REF!")</f>
        <v>#REF!</v>
      </c>
      <c r="H888" s="1"/>
      <c r="I888" s="2"/>
      <c r="J888" s="2"/>
      <c r="K888" s="2"/>
      <c r="L888" s="2"/>
      <c r="M888" s="2"/>
      <c r="N888" s="2"/>
      <c r="O888" s="2"/>
      <c r="P888" s="2"/>
      <c r="Q888" s="2"/>
      <c r="R888" s="2"/>
      <c r="S888" s="2"/>
      <c r="T888" s="2"/>
      <c r="U888" s="2"/>
      <c r="V888" s="2"/>
      <c r="W888" s="2"/>
      <c r="X888" s="2"/>
      <c r="Y888" s="2"/>
    </row>
    <row r="889" spans="1:25" ht="17.399999999999999" x14ac:dyDescent="0.25">
      <c r="A889" s="1"/>
      <c r="B889" s="40"/>
      <c r="C889" s="2" t="str">
        <f ca="1">IFERROR(__xludf.DUMMYFUNCTION("iferror(filter('Full Perk List'!C$3:C1498,'Full Perk List'!$D$3:$D1498=$D889),"""")"),"#REF!")</f>
        <v>#REF!</v>
      </c>
      <c r="D889" s="2"/>
      <c r="E889" s="2" t="str">
        <f ca="1">IFERROR(__xludf.DUMMYFUNCTION("iferror(filter('Full Perk List'!E$3:E1498,'Full Perk List'!$D$3:$D1498=$D889),"""")"),"#REF!")</f>
        <v>#REF!</v>
      </c>
      <c r="F889" s="2" t="str">
        <f ca="1">IFERROR(__xludf.DUMMYFUNCTION("iferror(filter('Full Perk List'!F$3:F1498,'Full Perk List'!$D$3:$D1498=$D889),"""")"),"#REF!")</f>
        <v>#REF!</v>
      </c>
      <c r="G889" s="2" t="str">
        <f ca="1">IFERROR(__xludf.DUMMYFUNCTION("iferror(filter('Full Perk List'!G$3:G1498,'Full Perk List'!$D$3:$D1498=$D889),"""")"),"#REF!")</f>
        <v>#REF!</v>
      </c>
      <c r="H889" s="1"/>
      <c r="I889" s="2"/>
      <c r="J889" s="2"/>
      <c r="K889" s="2"/>
      <c r="L889" s="2"/>
      <c r="M889" s="2"/>
      <c r="N889" s="2"/>
      <c r="O889" s="2"/>
      <c r="P889" s="2"/>
      <c r="Q889" s="2"/>
      <c r="R889" s="2"/>
      <c r="S889" s="2"/>
      <c r="T889" s="2"/>
      <c r="U889" s="2"/>
      <c r="V889" s="2"/>
      <c r="W889" s="2"/>
      <c r="X889" s="2"/>
      <c r="Y889" s="2"/>
    </row>
    <row r="890" spans="1:25" ht="17.399999999999999" x14ac:dyDescent="0.25">
      <c r="A890" s="1"/>
      <c r="B890" s="40"/>
      <c r="C890" s="2" t="str">
        <f ca="1">IFERROR(__xludf.DUMMYFUNCTION("iferror(filter('Full Perk List'!C$3:C1498,'Full Perk List'!$D$3:$D1498=$D890),"""")"),"#REF!")</f>
        <v>#REF!</v>
      </c>
      <c r="D890" s="2"/>
      <c r="E890" s="2" t="str">
        <f ca="1">IFERROR(__xludf.DUMMYFUNCTION("iferror(filter('Full Perk List'!E$3:E1498,'Full Perk List'!$D$3:$D1498=$D890),"""")"),"#REF!")</f>
        <v>#REF!</v>
      </c>
      <c r="F890" s="2" t="str">
        <f ca="1">IFERROR(__xludf.DUMMYFUNCTION("iferror(filter('Full Perk List'!F$3:F1498,'Full Perk List'!$D$3:$D1498=$D890),"""")"),"#REF!")</f>
        <v>#REF!</v>
      </c>
      <c r="G890" s="2" t="str">
        <f ca="1">IFERROR(__xludf.DUMMYFUNCTION("iferror(filter('Full Perk List'!G$3:G1498,'Full Perk List'!$D$3:$D1498=$D890),"""")"),"#REF!")</f>
        <v>#REF!</v>
      </c>
      <c r="H890" s="1"/>
      <c r="I890" s="2"/>
      <c r="J890" s="2"/>
      <c r="K890" s="2"/>
      <c r="L890" s="2"/>
      <c r="M890" s="2"/>
      <c r="N890" s="2"/>
      <c r="O890" s="2"/>
      <c r="P890" s="2"/>
      <c r="Q890" s="2"/>
      <c r="R890" s="2"/>
      <c r="S890" s="2"/>
      <c r="T890" s="2"/>
      <c r="U890" s="2"/>
      <c r="V890" s="2"/>
      <c r="W890" s="2"/>
      <c r="X890" s="2"/>
      <c r="Y890" s="2"/>
    </row>
    <row r="891" spans="1:25" ht="17.399999999999999" x14ac:dyDescent="0.25">
      <c r="A891" s="1"/>
      <c r="B891" s="40"/>
      <c r="C891" s="2" t="str">
        <f ca="1">IFERROR(__xludf.DUMMYFUNCTION("iferror(filter('Full Perk List'!C$3:C1498,'Full Perk List'!$D$3:$D1498=$D891),"""")"),"#REF!")</f>
        <v>#REF!</v>
      </c>
      <c r="D891" s="2"/>
      <c r="E891" s="2" t="str">
        <f ca="1">IFERROR(__xludf.DUMMYFUNCTION("iferror(filter('Full Perk List'!E$3:E1498,'Full Perk List'!$D$3:$D1498=$D891),"""")"),"#REF!")</f>
        <v>#REF!</v>
      </c>
      <c r="F891" s="2" t="str">
        <f ca="1">IFERROR(__xludf.DUMMYFUNCTION("iferror(filter('Full Perk List'!F$3:F1498,'Full Perk List'!$D$3:$D1498=$D891),"""")"),"#REF!")</f>
        <v>#REF!</v>
      </c>
      <c r="G891" s="2" t="str">
        <f ca="1">IFERROR(__xludf.DUMMYFUNCTION("iferror(filter('Full Perk List'!G$3:G1498,'Full Perk List'!$D$3:$D1498=$D891),"""")"),"#REF!")</f>
        <v>#REF!</v>
      </c>
      <c r="H891" s="1"/>
      <c r="I891" s="2"/>
      <c r="J891" s="2"/>
      <c r="K891" s="2"/>
      <c r="L891" s="2"/>
      <c r="M891" s="2"/>
      <c r="N891" s="2"/>
      <c r="O891" s="2"/>
      <c r="P891" s="2"/>
      <c r="Q891" s="2"/>
      <c r="R891" s="2"/>
      <c r="S891" s="2"/>
      <c r="T891" s="2"/>
      <c r="U891" s="2"/>
      <c r="V891" s="2"/>
      <c r="W891" s="2"/>
      <c r="X891" s="2"/>
      <c r="Y891" s="2"/>
    </row>
    <row r="892" spans="1:25" ht="17.399999999999999" x14ac:dyDescent="0.25">
      <c r="A892" s="1"/>
      <c r="B892" s="40"/>
      <c r="C892" s="2" t="str">
        <f ca="1">IFERROR(__xludf.DUMMYFUNCTION("iferror(filter('Full Perk List'!C$3:C1498,'Full Perk List'!$D$3:$D1498=$D892),"""")"),"#REF!")</f>
        <v>#REF!</v>
      </c>
      <c r="D892" s="2"/>
      <c r="E892" s="2" t="str">
        <f ca="1">IFERROR(__xludf.DUMMYFUNCTION("iferror(filter('Full Perk List'!E$3:E1498,'Full Perk List'!$D$3:$D1498=$D892),"""")"),"#REF!")</f>
        <v>#REF!</v>
      </c>
      <c r="F892" s="2" t="str">
        <f ca="1">IFERROR(__xludf.DUMMYFUNCTION("iferror(filter('Full Perk List'!F$3:F1498,'Full Perk List'!$D$3:$D1498=$D892),"""")"),"#REF!")</f>
        <v>#REF!</v>
      </c>
      <c r="G892" s="2" t="str">
        <f ca="1">IFERROR(__xludf.DUMMYFUNCTION("iferror(filter('Full Perk List'!G$3:G1498,'Full Perk List'!$D$3:$D1498=$D892),"""")"),"#REF!")</f>
        <v>#REF!</v>
      </c>
      <c r="H892" s="1"/>
      <c r="I892" s="2"/>
      <c r="J892" s="2"/>
      <c r="K892" s="2"/>
      <c r="L892" s="2"/>
      <c r="M892" s="2"/>
      <c r="N892" s="2"/>
      <c r="O892" s="2"/>
      <c r="P892" s="2"/>
      <c r="Q892" s="2"/>
      <c r="R892" s="2"/>
      <c r="S892" s="2"/>
      <c r="T892" s="2"/>
      <c r="U892" s="2"/>
      <c r="V892" s="2"/>
      <c r="W892" s="2"/>
      <c r="X892" s="2"/>
      <c r="Y892" s="2"/>
    </row>
    <row r="893" spans="1:25" ht="17.399999999999999" x14ac:dyDescent="0.25">
      <c r="A893" s="1"/>
      <c r="B893" s="40"/>
      <c r="C893" s="2" t="str">
        <f ca="1">IFERROR(__xludf.DUMMYFUNCTION("iferror(filter('Full Perk List'!C$3:C1498,'Full Perk List'!$D$3:$D1498=$D893),"""")"),"#REF!")</f>
        <v>#REF!</v>
      </c>
      <c r="D893" s="2"/>
      <c r="E893" s="2" t="str">
        <f ca="1">IFERROR(__xludf.DUMMYFUNCTION("iferror(filter('Full Perk List'!E$3:E1498,'Full Perk List'!$D$3:$D1498=$D893),"""")"),"#REF!")</f>
        <v>#REF!</v>
      </c>
      <c r="F893" s="2" t="str">
        <f ca="1">IFERROR(__xludf.DUMMYFUNCTION("iferror(filter('Full Perk List'!F$3:F1498,'Full Perk List'!$D$3:$D1498=$D893),"""")"),"#REF!")</f>
        <v>#REF!</v>
      </c>
      <c r="G893" s="2" t="str">
        <f ca="1">IFERROR(__xludf.DUMMYFUNCTION("iferror(filter('Full Perk List'!G$3:G1498,'Full Perk List'!$D$3:$D1498=$D893),"""")"),"#REF!")</f>
        <v>#REF!</v>
      </c>
      <c r="H893" s="1"/>
      <c r="I893" s="2"/>
      <c r="J893" s="2"/>
      <c r="K893" s="2"/>
      <c r="L893" s="2"/>
      <c r="M893" s="2"/>
      <c r="N893" s="2"/>
      <c r="O893" s="2"/>
      <c r="P893" s="2"/>
      <c r="Q893" s="2"/>
      <c r="R893" s="2"/>
      <c r="S893" s="2"/>
      <c r="T893" s="2"/>
      <c r="U893" s="2"/>
      <c r="V893" s="2"/>
      <c r="W893" s="2"/>
      <c r="X893" s="2"/>
      <c r="Y893" s="2"/>
    </row>
    <row r="894" spans="1:25" ht="17.399999999999999" x14ac:dyDescent="0.25">
      <c r="A894" s="1"/>
      <c r="B894" s="40"/>
      <c r="C894" s="2" t="str">
        <f ca="1">IFERROR(__xludf.DUMMYFUNCTION("iferror(filter('Full Perk List'!C$3:C1498,'Full Perk List'!$D$3:$D1498=$D894),"""")"),"#REF!")</f>
        <v>#REF!</v>
      </c>
      <c r="D894" s="2"/>
      <c r="E894" s="2" t="str">
        <f ca="1">IFERROR(__xludf.DUMMYFUNCTION("iferror(filter('Full Perk List'!E$3:E1498,'Full Perk List'!$D$3:$D1498=$D894),"""")"),"#REF!")</f>
        <v>#REF!</v>
      </c>
      <c r="F894" s="2" t="str">
        <f ca="1">IFERROR(__xludf.DUMMYFUNCTION("iferror(filter('Full Perk List'!F$3:F1498,'Full Perk List'!$D$3:$D1498=$D894),"""")"),"#REF!")</f>
        <v>#REF!</v>
      </c>
      <c r="G894" s="2" t="str">
        <f ca="1">IFERROR(__xludf.DUMMYFUNCTION("iferror(filter('Full Perk List'!G$3:G1498,'Full Perk List'!$D$3:$D1498=$D894),"""")"),"#REF!")</f>
        <v>#REF!</v>
      </c>
      <c r="H894" s="1"/>
      <c r="I894" s="2"/>
      <c r="J894" s="2"/>
      <c r="K894" s="2"/>
      <c r="L894" s="2"/>
      <c r="M894" s="2"/>
      <c r="N894" s="2"/>
      <c r="O894" s="2"/>
      <c r="P894" s="2"/>
      <c r="Q894" s="2"/>
      <c r="R894" s="2"/>
      <c r="S894" s="2"/>
      <c r="T894" s="2"/>
      <c r="U894" s="2"/>
      <c r="V894" s="2"/>
      <c r="W894" s="2"/>
      <c r="X894" s="2"/>
      <c r="Y894" s="2"/>
    </row>
    <row r="895" spans="1:25" ht="17.399999999999999" x14ac:dyDescent="0.25">
      <c r="A895" s="1"/>
      <c r="B895" s="40"/>
      <c r="C895" s="2" t="str">
        <f ca="1">IFERROR(__xludf.DUMMYFUNCTION("iferror(filter('Full Perk List'!C$3:C1498,'Full Perk List'!$D$3:$D1498=$D895),"""")"),"#REF!")</f>
        <v>#REF!</v>
      </c>
      <c r="D895" s="2"/>
      <c r="E895" s="2" t="str">
        <f ca="1">IFERROR(__xludf.DUMMYFUNCTION("iferror(filter('Full Perk List'!E$3:E1498,'Full Perk List'!$D$3:$D1498=$D895),"""")"),"#REF!")</f>
        <v>#REF!</v>
      </c>
      <c r="F895" s="2" t="str">
        <f ca="1">IFERROR(__xludf.DUMMYFUNCTION("iferror(filter('Full Perk List'!F$3:F1498,'Full Perk List'!$D$3:$D1498=$D895),"""")"),"#REF!")</f>
        <v>#REF!</v>
      </c>
      <c r="G895" s="2" t="str">
        <f ca="1">IFERROR(__xludf.DUMMYFUNCTION("iferror(filter('Full Perk List'!G$3:G1498,'Full Perk List'!$D$3:$D1498=$D895),"""")"),"#REF!")</f>
        <v>#REF!</v>
      </c>
      <c r="H895" s="1"/>
      <c r="I895" s="2"/>
      <c r="J895" s="2"/>
      <c r="K895" s="2"/>
      <c r="L895" s="2"/>
      <c r="M895" s="2"/>
      <c r="N895" s="2"/>
      <c r="O895" s="2"/>
      <c r="P895" s="2"/>
      <c r="Q895" s="2"/>
      <c r="R895" s="2"/>
      <c r="S895" s="2"/>
      <c r="T895" s="2"/>
      <c r="U895" s="2"/>
      <c r="V895" s="2"/>
      <c r="W895" s="2"/>
      <c r="X895" s="2"/>
      <c r="Y895" s="2"/>
    </row>
    <row r="896" spans="1:25" ht="17.399999999999999" x14ac:dyDescent="0.25">
      <c r="A896" s="1"/>
      <c r="B896" s="40"/>
      <c r="C896" s="2" t="str">
        <f ca="1">IFERROR(__xludf.DUMMYFUNCTION("iferror(filter('Full Perk List'!C$3:C1498,'Full Perk List'!$D$3:$D1498=$D896),"""")"),"#REF!")</f>
        <v>#REF!</v>
      </c>
      <c r="D896" s="2"/>
      <c r="E896" s="2" t="str">
        <f ca="1">IFERROR(__xludf.DUMMYFUNCTION("iferror(filter('Full Perk List'!E$3:E1498,'Full Perk List'!$D$3:$D1498=$D896),"""")"),"#REF!")</f>
        <v>#REF!</v>
      </c>
      <c r="F896" s="2" t="str">
        <f ca="1">IFERROR(__xludf.DUMMYFUNCTION("iferror(filter('Full Perk List'!F$3:F1498,'Full Perk List'!$D$3:$D1498=$D896),"""")"),"#REF!")</f>
        <v>#REF!</v>
      </c>
      <c r="G896" s="2" t="str">
        <f ca="1">IFERROR(__xludf.DUMMYFUNCTION("iferror(filter('Full Perk List'!G$3:G1498,'Full Perk List'!$D$3:$D1498=$D896),"""")"),"#REF!")</f>
        <v>#REF!</v>
      </c>
      <c r="H896" s="1"/>
      <c r="I896" s="2"/>
      <c r="J896" s="2"/>
      <c r="K896" s="2"/>
      <c r="L896" s="2"/>
      <c r="M896" s="2"/>
      <c r="N896" s="2"/>
      <c r="O896" s="2"/>
      <c r="P896" s="2"/>
      <c r="Q896" s="2"/>
      <c r="R896" s="2"/>
      <c r="S896" s="2"/>
      <c r="T896" s="2"/>
      <c r="U896" s="2"/>
      <c r="V896" s="2"/>
      <c r="W896" s="2"/>
      <c r="X896" s="2"/>
      <c r="Y896" s="2"/>
    </row>
    <row r="897" spans="1:25" ht="17.399999999999999" x14ac:dyDescent="0.25">
      <c r="A897" s="1"/>
      <c r="B897" s="40"/>
      <c r="C897" s="2" t="str">
        <f ca="1">IFERROR(__xludf.DUMMYFUNCTION("iferror(filter('Full Perk List'!C$3:C1498,'Full Perk List'!$D$3:$D1498=$D897),"""")"),"#REF!")</f>
        <v>#REF!</v>
      </c>
      <c r="D897" s="2"/>
      <c r="E897" s="2" t="str">
        <f ca="1">IFERROR(__xludf.DUMMYFUNCTION("iferror(filter('Full Perk List'!E$3:E1498,'Full Perk List'!$D$3:$D1498=$D897),"""")"),"#REF!")</f>
        <v>#REF!</v>
      </c>
      <c r="F897" s="2" t="str">
        <f ca="1">IFERROR(__xludf.DUMMYFUNCTION("iferror(filter('Full Perk List'!F$3:F1498,'Full Perk List'!$D$3:$D1498=$D897),"""")"),"#REF!")</f>
        <v>#REF!</v>
      </c>
      <c r="G897" s="2" t="str">
        <f ca="1">IFERROR(__xludf.DUMMYFUNCTION("iferror(filter('Full Perk List'!G$3:G1498,'Full Perk List'!$D$3:$D1498=$D897),"""")"),"#REF!")</f>
        <v>#REF!</v>
      </c>
      <c r="H897" s="1"/>
      <c r="I897" s="2"/>
      <c r="J897" s="2"/>
      <c r="K897" s="2"/>
      <c r="L897" s="2"/>
      <c r="M897" s="2"/>
      <c r="N897" s="2"/>
      <c r="O897" s="2"/>
      <c r="P897" s="2"/>
      <c r="Q897" s="2"/>
      <c r="R897" s="2"/>
      <c r="S897" s="2"/>
      <c r="T897" s="2"/>
      <c r="U897" s="2"/>
      <c r="V897" s="2"/>
      <c r="W897" s="2"/>
      <c r="X897" s="2"/>
      <c r="Y897" s="2"/>
    </row>
    <row r="898" spans="1:25" ht="17.399999999999999" x14ac:dyDescent="0.25">
      <c r="A898" s="1"/>
      <c r="B898" s="40"/>
      <c r="C898" s="2" t="str">
        <f ca="1">IFERROR(__xludf.DUMMYFUNCTION("iferror(filter('Full Perk List'!C$3:C1498,'Full Perk List'!$D$3:$D1498=$D898),"""")"),"#REF!")</f>
        <v>#REF!</v>
      </c>
      <c r="D898" s="2"/>
      <c r="E898" s="2" t="str">
        <f ca="1">IFERROR(__xludf.DUMMYFUNCTION("iferror(filter('Full Perk List'!E$3:E1498,'Full Perk List'!$D$3:$D1498=$D898),"""")"),"#REF!")</f>
        <v>#REF!</v>
      </c>
      <c r="F898" s="2" t="str">
        <f ca="1">IFERROR(__xludf.DUMMYFUNCTION("iferror(filter('Full Perk List'!F$3:F1498,'Full Perk List'!$D$3:$D1498=$D898),"""")"),"#REF!")</f>
        <v>#REF!</v>
      </c>
      <c r="G898" s="2" t="str">
        <f ca="1">IFERROR(__xludf.DUMMYFUNCTION("iferror(filter('Full Perk List'!G$3:G1498,'Full Perk List'!$D$3:$D1498=$D898),"""")"),"#REF!")</f>
        <v>#REF!</v>
      </c>
      <c r="H898" s="1"/>
      <c r="I898" s="2"/>
      <c r="J898" s="2"/>
      <c r="K898" s="2"/>
      <c r="L898" s="2"/>
      <c r="M898" s="2"/>
      <c r="N898" s="2"/>
      <c r="O898" s="2"/>
      <c r="P898" s="2"/>
      <c r="Q898" s="2"/>
      <c r="R898" s="2"/>
      <c r="S898" s="2"/>
      <c r="T898" s="2"/>
      <c r="U898" s="2"/>
      <c r="V898" s="2"/>
      <c r="W898" s="2"/>
      <c r="X898" s="2"/>
      <c r="Y898" s="2"/>
    </row>
    <row r="899" spans="1:25" ht="17.399999999999999" x14ac:dyDescent="0.25">
      <c r="A899" s="1"/>
      <c r="B899" s="40"/>
      <c r="C899" s="2" t="str">
        <f ca="1">IFERROR(__xludf.DUMMYFUNCTION("iferror(filter('Full Perk List'!C$3:C1498,'Full Perk List'!$D$3:$D1498=$D899),"""")"),"#REF!")</f>
        <v>#REF!</v>
      </c>
      <c r="D899" s="2"/>
      <c r="E899" s="2" t="str">
        <f ca="1">IFERROR(__xludf.DUMMYFUNCTION("iferror(filter('Full Perk List'!E$3:E1498,'Full Perk List'!$D$3:$D1498=$D899),"""")"),"#REF!")</f>
        <v>#REF!</v>
      </c>
      <c r="F899" s="2" t="str">
        <f ca="1">IFERROR(__xludf.DUMMYFUNCTION("iferror(filter('Full Perk List'!F$3:F1498,'Full Perk List'!$D$3:$D1498=$D899),"""")"),"#REF!")</f>
        <v>#REF!</v>
      </c>
      <c r="G899" s="2" t="str">
        <f ca="1">IFERROR(__xludf.DUMMYFUNCTION("iferror(filter('Full Perk List'!G$3:G1498,'Full Perk List'!$D$3:$D1498=$D899),"""")"),"#REF!")</f>
        <v>#REF!</v>
      </c>
      <c r="H899" s="1"/>
      <c r="I899" s="2"/>
      <c r="J899" s="2"/>
      <c r="K899" s="2"/>
      <c r="L899" s="2"/>
      <c r="M899" s="2"/>
      <c r="N899" s="2"/>
      <c r="O899" s="2"/>
      <c r="P899" s="2"/>
      <c r="Q899" s="2"/>
      <c r="R899" s="2"/>
      <c r="S899" s="2"/>
      <c r="T899" s="2"/>
      <c r="U899" s="2"/>
      <c r="V899" s="2"/>
      <c r="W899" s="2"/>
      <c r="X899" s="2"/>
      <c r="Y899" s="2"/>
    </row>
    <row r="900" spans="1:25" ht="17.399999999999999" x14ac:dyDescent="0.25">
      <c r="A900" s="1"/>
      <c r="B900" s="40"/>
      <c r="C900" s="2" t="str">
        <f ca="1">IFERROR(__xludf.DUMMYFUNCTION("iferror(filter('Full Perk List'!C$3:C1498,'Full Perk List'!$D$3:$D1498=$D900),"""")"),"#REF!")</f>
        <v>#REF!</v>
      </c>
      <c r="D900" s="2"/>
      <c r="E900" s="2" t="str">
        <f ca="1">IFERROR(__xludf.DUMMYFUNCTION("iferror(filter('Full Perk List'!E$3:E1498,'Full Perk List'!$D$3:$D1498=$D900),"""")"),"#REF!")</f>
        <v>#REF!</v>
      </c>
      <c r="F900" s="2" t="str">
        <f ca="1">IFERROR(__xludf.DUMMYFUNCTION("iferror(filter('Full Perk List'!F$3:F1498,'Full Perk List'!$D$3:$D1498=$D900),"""")"),"#REF!")</f>
        <v>#REF!</v>
      </c>
      <c r="G900" s="2" t="str">
        <f ca="1">IFERROR(__xludf.DUMMYFUNCTION("iferror(filter('Full Perk List'!G$3:G1498,'Full Perk List'!$D$3:$D1498=$D900),"""")"),"#REF!")</f>
        <v>#REF!</v>
      </c>
      <c r="H900" s="1"/>
      <c r="I900" s="2"/>
      <c r="J900" s="2"/>
      <c r="K900" s="2"/>
      <c r="L900" s="2"/>
      <c r="M900" s="2"/>
      <c r="N900" s="2"/>
      <c r="O900" s="2"/>
      <c r="P900" s="2"/>
      <c r="Q900" s="2"/>
      <c r="R900" s="2"/>
      <c r="S900" s="2"/>
      <c r="T900" s="2"/>
      <c r="U900" s="2"/>
      <c r="V900" s="2"/>
      <c r="W900" s="2"/>
      <c r="X900" s="2"/>
      <c r="Y900" s="2"/>
    </row>
    <row r="901" spans="1:25" ht="17.399999999999999" x14ac:dyDescent="0.25">
      <c r="A901" s="1"/>
      <c r="B901" s="40"/>
      <c r="C901" s="2" t="str">
        <f ca="1">IFERROR(__xludf.DUMMYFUNCTION("iferror(filter('Full Perk List'!C$3:C1498,'Full Perk List'!$D$3:$D1498=$D901),"""")"),"#REF!")</f>
        <v>#REF!</v>
      </c>
      <c r="D901" s="2"/>
      <c r="E901" s="2" t="str">
        <f ca="1">IFERROR(__xludf.DUMMYFUNCTION("iferror(filter('Full Perk List'!E$3:E1498,'Full Perk List'!$D$3:$D1498=$D901),"""")"),"#REF!")</f>
        <v>#REF!</v>
      </c>
      <c r="F901" s="2" t="str">
        <f ca="1">IFERROR(__xludf.DUMMYFUNCTION("iferror(filter('Full Perk List'!F$3:F1498,'Full Perk List'!$D$3:$D1498=$D901),"""")"),"#REF!")</f>
        <v>#REF!</v>
      </c>
      <c r="G901" s="2" t="str">
        <f ca="1">IFERROR(__xludf.DUMMYFUNCTION("iferror(filter('Full Perk List'!G$3:G1498,'Full Perk List'!$D$3:$D1498=$D901),"""")"),"#REF!")</f>
        <v>#REF!</v>
      </c>
      <c r="H901" s="1"/>
      <c r="I901" s="2"/>
      <c r="J901" s="2"/>
      <c r="K901" s="2"/>
      <c r="L901" s="2"/>
      <c r="M901" s="2"/>
      <c r="N901" s="2"/>
      <c r="O901" s="2"/>
      <c r="P901" s="2"/>
      <c r="Q901" s="2"/>
      <c r="R901" s="2"/>
      <c r="S901" s="2"/>
      <c r="T901" s="2"/>
      <c r="U901" s="2"/>
      <c r="V901" s="2"/>
      <c r="W901" s="2"/>
      <c r="X901" s="2"/>
      <c r="Y901" s="2"/>
    </row>
    <row r="902" spans="1:25" ht="17.399999999999999" x14ac:dyDescent="0.25">
      <c r="A902" s="1"/>
      <c r="B902" s="40"/>
      <c r="C902" s="2" t="str">
        <f ca="1">IFERROR(__xludf.DUMMYFUNCTION("iferror(filter('Full Perk List'!C$3:C1498,'Full Perk List'!$D$3:$D1498=$D902),"""")"),"#REF!")</f>
        <v>#REF!</v>
      </c>
      <c r="D902" s="2"/>
      <c r="E902" s="2" t="str">
        <f ca="1">IFERROR(__xludf.DUMMYFUNCTION("iferror(filter('Full Perk List'!E$3:E1498,'Full Perk List'!$D$3:$D1498=$D902),"""")"),"#REF!")</f>
        <v>#REF!</v>
      </c>
      <c r="F902" s="2" t="str">
        <f ca="1">IFERROR(__xludf.DUMMYFUNCTION("iferror(filter('Full Perk List'!F$3:F1498,'Full Perk List'!$D$3:$D1498=$D902),"""")"),"#REF!")</f>
        <v>#REF!</v>
      </c>
      <c r="G902" s="2" t="str">
        <f ca="1">IFERROR(__xludf.DUMMYFUNCTION("iferror(filter('Full Perk List'!G$3:G1498,'Full Perk List'!$D$3:$D1498=$D902),"""")"),"#REF!")</f>
        <v>#REF!</v>
      </c>
      <c r="H902" s="1"/>
      <c r="I902" s="2"/>
      <c r="J902" s="2"/>
      <c r="K902" s="2"/>
      <c r="L902" s="2"/>
      <c r="M902" s="2"/>
      <c r="N902" s="2"/>
      <c r="O902" s="2"/>
      <c r="P902" s="2"/>
      <c r="Q902" s="2"/>
      <c r="R902" s="2"/>
      <c r="S902" s="2"/>
      <c r="T902" s="2"/>
      <c r="U902" s="2"/>
      <c r="V902" s="2"/>
      <c r="W902" s="2"/>
      <c r="X902" s="2"/>
      <c r="Y902" s="2"/>
    </row>
    <row r="903" spans="1:25" ht="17.399999999999999" x14ac:dyDescent="0.25">
      <c r="A903" s="1"/>
      <c r="B903" s="40"/>
      <c r="C903" s="2" t="str">
        <f ca="1">IFERROR(__xludf.DUMMYFUNCTION("iferror(filter('Full Perk List'!C$3:C1498,'Full Perk List'!$D$3:$D1498=$D903),"""")"),"#REF!")</f>
        <v>#REF!</v>
      </c>
      <c r="D903" s="2"/>
      <c r="E903" s="2" t="str">
        <f ca="1">IFERROR(__xludf.DUMMYFUNCTION("iferror(filter('Full Perk List'!E$3:E1498,'Full Perk List'!$D$3:$D1498=$D903),"""")"),"#REF!")</f>
        <v>#REF!</v>
      </c>
      <c r="F903" s="2" t="str">
        <f ca="1">IFERROR(__xludf.DUMMYFUNCTION("iferror(filter('Full Perk List'!F$3:F1498,'Full Perk List'!$D$3:$D1498=$D903),"""")"),"#REF!")</f>
        <v>#REF!</v>
      </c>
      <c r="G903" s="2" t="str">
        <f ca="1">IFERROR(__xludf.DUMMYFUNCTION("iferror(filter('Full Perk List'!G$3:G1498,'Full Perk List'!$D$3:$D1498=$D903),"""")"),"#REF!")</f>
        <v>#REF!</v>
      </c>
      <c r="H903" s="1"/>
      <c r="I903" s="2"/>
      <c r="J903" s="2"/>
      <c r="K903" s="2"/>
      <c r="L903" s="2"/>
      <c r="M903" s="2"/>
      <c r="N903" s="2"/>
      <c r="O903" s="2"/>
      <c r="P903" s="2"/>
      <c r="Q903" s="2"/>
      <c r="R903" s="2"/>
      <c r="S903" s="2"/>
      <c r="T903" s="2"/>
      <c r="U903" s="2"/>
      <c r="V903" s="2"/>
      <c r="W903" s="2"/>
      <c r="X903" s="2"/>
      <c r="Y903" s="2"/>
    </row>
    <row r="904" spans="1:25" ht="17.399999999999999" x14ac:dyDescent="0.25">
      <c r="A904" s="1"/>
      <c r="B904" s="40"/>
      <c r="C904" s="2" t="str">
        <f ca="1">IFERROR(__xludf.DUMMYFUNCTION("iferror(filter('Full Perk List'!C$3:C1498,'Full Perk List'!$D$3:$D1498=$D904),"""")"),"#REF!")</f>
        <v>#REF!</v>
      </c>
      <c r="D904" s="2"/>
      <c r="E904" s="2" t="str">
        <f ca="1">IFERROR(__xludf.DUMMYFUNCTION("iferror(filter('Full Perk List'!E$3:E1498,'Full Perk List'!$D$3:$D1498=$D904),"""")"),"#REF!")</f>
        <v>#REF!</v>
      </c>
      <c r="F904" s="2" t="str">
        <f ca="1">IFERROR(__xludf.DUMMYFUNCTION("iferror(filter('Full Perk List'!F$3:F1498,'Full Perk List'!$D$3:$D1498=$D904),"""")"),"#REF!")</f>
        <v>#REF!</v>
      </c>
      <c r="G904" s="2" t="str">
        <f ca="1">IFERROR(__xludf.DUMMYFUNCTION("iferror(filter('Full Perk List'!G$3:G1498,'Full Perk List'!$D$3:$D1498=$D904),"""")"),"#REF!")</f>
        <v>#REF!</v>
      </c>
      <c r="H904" s="1"/>
      <c r="I904" s="2"/>
      <c r="J904" s="2"/>
      <c r="K904" s="2"/>
      <c r="L904" s="2"/>
      <c r="M904" s="2"/>
      <c r="N904" s="2"/>
      <c r="O904" s="2"/>
      <c r="P904" s="2"/>
      <c r="Q904" s="2"/>
      <c r="R904" s="2"/>
      <c r="S904" s="2"/>
      <c r="T904" s="2"/>
      <c r="U904" s="2"/>
      <c r="V904" s="2"/>
      <c r="W904" s="2"/>
      <c r="X904" s="2"/>
      <c r="Y904" s="2"/>
    </row>
    <row r="905" spans="1:25" ht="17.399999999999999" x14ac:dyDescent="0.25">
      <c r="A905" s="1"/>
      <c r="B905" s="40"/>
      <c r="C905" s="2" t="str">
        <f ca="1">IFERROR(__xludf.DUMMYFUNCTION("iferror(filter('Full Perk List'!C$3:C1498,'Full Perk List'!$D$3:$D1498=$D905),"""")"),"#REF!")</f>
        <v>#REF!</v>
      </c>
      <c r="D905" s="2"/>
      <c r="E905" s="2" t="str">
        <f ca="1">IFERROR(__xludf.DUMMYFUNCTION("iferror(filter('Full Perk List'!E$3:E1498,'Full Perk List'!$D$3:$D1498=$D905),"""")"),"#REF!")</f>
        <v>#REF!</v>
      </c>
      <c r="F905" s="2" t="str">
        <f ca="1">IFERROR(__xludf.DUMMYFUNCTION("iferror(filter('Full Perk List'!F$3:F1498,'Full Perk List'!$D$3:$D1498=$D905),"""")"),"#REF!")</f>
        <v>#REF!</v>
      </c>
      <c r="G905" s="2" t="str">
        <f ca="1">IFERROR(__xludf.DUMMYFUNCTION("iferror(filter('Full Perk List'!G$3:G1498,'Full Perk List'!$D$3:$D1498=$D905),"""")"),"#REF!")</f>
        <v>#REF!</v>
      </c>
      <c r="H905" s="1"/>
      <c r="I905" s="2"/>
      <c r="J905" s="2"/>
      <c r="K905" s="2"/>
      <c r="L905" s="2"/>
      <c r="M905" s="2"/>
      <c r="N905" s="2"/>
      <c r="O905" s="2"/>
      <c r="P905" s="2"/>
      <c r="Q905" s="2"/>
      <c r="R905" s="2"/>
      <c r="S905" s="2"/>
      <c r="T905" s="2"/>
      <c r="U905" s="2"/>
      <c r="V905" s="2"/>
      <c r="W905" s="2"/>
      <c r="X905" s="2"/>
      <c r="Y905" s="2"/>
    </row>
    <row r="906" spans="1:25" ht="17.399999999999999" x14ac:dyDescent="0.25">
      <c r="A906" s="1"/>
      <c r="B906" s="40"/>
      <c r="C906" s="2" t="str">
        <f ca="1">IFERROR(__xludf.DUMMYFUNCTION("iferror(filter('Full Perk List'!C$3:C1498,'Full Perk List'!$D$3:$D1498=$D906),"""")"),"#REF!")</f>
        <v>#REF!</v>
      </c>
      <c r="D906" s="2"/>
      <c r="E906" s="2" t="str">
        <f ca="1">IFERROR(__xludf.DUMMYFUNCTION("iferror(filter('Full Perk List'!E$3:E1498,'Full Perk List'!$D$3:$D1498=$D906),"""")"),"#REF!")</f>
        <v>#REF!</v>
      </c>
      <c r="F906" s="2" t="str">
        <f ca="1">IFERROR(__xludf.DUMMYFUNCTION("iferror(filter('Full Perk List'!F$3:F1498,'Full Perk List'!$D$3:$D1498=$D906),"""")"),"#REF!")</f>
        <v>#REF!</v>
      </c>
      <c r="G906" s="2" t="str">
        <f ca="1">IFERROR(__xludf.DUMMYFUNCTION("iferror(filter('Full Perk List'!G$3:G1498,'Full Perk List'!$D$3:$D1498=$D906),"""")"),"#REF!")</f>
        <v>#REF!</v>
      </c>
      <c r="H906" s="1"/>
      <c r="I906" s="2"/>
      <c r="J906" s="2"/>
      <c r="K906" s="2"/>
      <c r="L906" s="2"/>
      <c r="M906" s="2"/>
      <c r="N906" s="2"/>
      <c r="O906" s="2"/>
      <c r="P906" s="2"/>
      <c r="Q906" s="2"/>
      <c r="R906" s="2"/>
      <c r="S906" s="2"/>
      <c r="T906" s="2"/>
      <c r="U906" s="2"/>
      <c r="V906" s="2"/>
      <c r="W906" s="2"/>
      <c r="X906" s="2"/>
      <c r="Y906" s="2"/>
    </row>
    <row r="907" spans="1:25" ht="17.399999999999999" x14ac:dyDescent="0.25">
      <c r="A907" s="1"/>
      <c r="B907" s="40"/>
      <c r="C907" s="2" t="str">
        <f ca="1">IFERROR(__xludf.DUMMYFUNCTION("iferror(filter('Full Perk List'!C$3:C1498,'Full Perk List'!$D$3:$D1498=$D907),"""")"),"#REF!")</f>
        <v>#REF!</v>
      </c>
      <c r="D907" s="2"/>
      <c r="E907" s="2" t="str">
        <f ca="1">IFERROR(__xludf.DUMMYFUNCTION("iferror(filter('Full Perk List'!E$3:E1498,'Full Perk List'!$D$3:$D1498=$D907),"""")"),"#REF!")</f>
        <v>#REF!</v>
      </c>
      <c r="F907" s="2" t="str">
        <f ca="1">IFERROR(__xludf.DUMMYFUNCTION("iferror(filter('Full Perk List'!F$3:F1498,'Full Perk List'!$D$3:$D1498=$D907),"""")"),"#REF!")</f>
        <v>#REF!</v>
      </c>
      <c r="G907" s="2" t="str">
        <f ca="1">IFERROR(__xludf.DUMMYFUNCTION("iferror(filter('Full Perk List'!G$3:G1498,'Full Perk List'!$D$3:$D1498=$D907),"""")"),"#REF!")</f>
        <v>#REF!</v>
      </c>
      <c r="H907" s="1"/>
      <c r="I907" s="2"/>
      <c r="J907" s="2"/>
      <c r="K907" s="2"/>
      <c r="L907" s="2"/>
      <c r="M907" s="2"/>
      <c r="N907" s="2"/>
      <c r="O907" s="2"/>
      <c r="P907" s="2"/>
      <c r="Q907" s="2"/>
      <c r="R907" s="2"/>
      <c r="S907" s="2"/>
      <c r="T907" s="2"/>
      <c r="U907" s="2"/>
      <c r="V907" s="2"/>
      <c r="W907" s="2"/>
      <c r="X907" s="2"/>
      <c r="Y907" s="2"/>
    </row>
    <row r="908" spans="1:25" ht="17.399999999999999" x14ac:dyDescent="0.25">
      <c r="A908" s="1"/>
      <c r="B908" s="40"/>
      <c r="C908" s="2" t="str">
        <f ca="1">IFERROR(__xludf.DUMMYFUNCTION("iferror(filter('Full Perk List'!C$3:C1498,'Full Perk List'!$D$3:$D1498=$D908),"""")"),"#REF!")</f>
        <v>#REF!</v>
      </c>
      <c r="D908" s="2"/>
      <c r="E908" s="2" t="str">
        <f ca="1">IFERROR(__xludf.DUMMYFUNCTION("iferror(filter('Full Perk List'!E$3:E1498,'Full Perk List'!$D$3:$D1498=$D908),"""")"),"#REF!")</f>
        <v>#REF!</v>
      </c>
      <c r="F908" s="2" t="str">
        <f ca="1">IFERROR(__xludf.DUMMYFUNCTION("iferror(filter('Full Perk List'!F$3:F1498,'Full Perk List'!$D$3:$D1498=$D908),"""")"),"#REF!")</f>
        <v>#REF!</v>
      </c>
      <c r="G908" s="2" t="str">
        <f ca="1">IFERROR(__xludf.DUMMYFUNCTION("iferror(filter('Full Perk List'!G$3:G1498,'Full Perk List'!$D$3:$D1498=$D908),"""")"),"#REF!")</f>
        <v>#REF!</v>
      </c>
      <c r="H908" s="1"/>
      <c r="I908" s="2"/>
      <c r="J908" s="2"/>
      <c r="K908" s="2"/>
      <c r="L908" s="2"/>
      <c r="M908" s="2"/>
      <c r="N908" s="2"/>
      <c r="O908" s="2"/>
      <c r="P908" s="2"/>
      <c r="Q908" s="2"/>
      <c r="R908" s="2"/>
      <c r="S908" s="2"/>
      <c r="T908" s="2"/>
      <c r="U908" s="2"/>
      <c r="V908" s="2"/>
      <c r="W908" s="2"/>
      <c r="X908" s="2"/>
      <c r="Y908" s="2"/>
    </row>
    <row r="909" spans="1:25" ht="17.399999999999999" x14ac:dyDescent="0.25">
      <c r="A909" s="1"/>
      <c r="B909" s="40"/>
      <c r="C909" s="2" t="str">
        <f ca="1">IFERROR(__xludf.DUMMYFUNCTION("iferror(filter('Full Perk List'!C$3:C1498,'Full Perk List'!$D$3:$D1498=$D909),"""")"),"#REF!")</f>
        <v>#REF!</v>
      </c>
      <c r="D909" s="2"/>
      <c r="E909" s="2" t="str">
        <f ca="1">IFERROR(__xludf.DUMMYFUNCTION("iferror(filter('Full Perk List'!E$3:E1498,'Full Perk List'!$D$3:$D1498=$D909),"""")"),"#REF!")</f>
        <v>#REF!</v>
      </c>
      <c r="F909" s="2" t="str">
        <f ca="1">IFERROR(__xludf.DUMMYFUNCTION("iferror(filter('Full Perk List'!F$3:F1498,'Full Perk List'!$D$3:$D1498=$D909),"""")"),"#REF!")</f>
        <v>#REF!</v>
      </c>
      <c r="G909" s="2" t="str">
        <f ca="1">IFERROR(__xludf.DUMMYFUNCTION("iferror(filter('Full Perk List'!G$3:G1498,'Full Perk List'!$D$3:$D1498=$D909),"""")"),"#REF!")</f>
        <v>#REF!</v>
      </c>
      <c r="H909" s="1"/>
      <c r="I909" s="2"/>
      <c r="J909" s="2"/>
      <c r="K909" s="2"/>
      <c r="L909" s="2"/>
      <c r="M909" s="2"/>
      <c r="N909" s="2"/>
      <c r="O909" s="2"/>
      <c r="P909" s="2"/>
      <c r="Q909" s="2"/>
      <c r="R909" s="2"/>
      <c r="S909" s="2"/>
      <c r="T909" s="2"/>
      <c r="U909" s="2"/>
      <c r="V909" s="2"/>
      <c r="W909" s="2"/>
      <c r="X909" s="2"/>
      <c r="Y909" s="2"/>
    </row>
    <row r="910" spans="1:25" ht="17.399999999999999" x14ac:dyDescent="0.25">
      <c r="A910" s="1"/>
      <c r="B910" s="40"/>
      <c r="C910" s="2" t="str">
        <f ca="1">IFERROR(__xludf.DUMMYFUNCTION("iferror(filter('Full Perk List'!C$3:C1498,'Full Perk List'!$D$3:$D1498=$D910),"""")"),"#REF!")</f>
        <v>#REF!</v>
      </c>
      <c r="D910" s="2"/>
      <c r="E910" s="2" t="str">
        <f ca="1">IFERROR(__xludf.DUMMYFUNCTION("iferror(filter('Full Perk List'!E$3:E1498,'Full Perk List'!$D$3:$D1498=$D910),"""")"),"#REF!")</f>
        <v>#REF!</v>
      </c>
      <c r="F910" s="2" t="str">
        <f ca="1">IFERROR(__xludf.DUMMYFUNCTION("iferror(filter('Full Perk List'!F$3:F1498,'Full Perk List'!$D$3:$D1498=$D910),"""")"),"#REF!")</f>
        <v>#REF!</v>
      </c>
      <c r="G910" s="2" t="str">
        <f ca="1">IFERROR(__xludf.DUMMYFUNCTION("iferror(filter('Full Perk List'!G$3:G1498,'Full Perk List'!$D$3:$D1498=$D910),"""")"),"#REF!")</f>
        <v>#REF!</v>
      </c>
      <c r="H910" s="1"/>
      <c r="I910" s="2"/>
      <c r="J910" s="2"/>
      <c r="K910" s="2"/>
      <c r="L910" s="2"/>
      <c r="M910" s="2"/>
      <c r="N910" s="2"/>
      <c r="O910" s="2"/>
      <c r="P910" s="2"/>
      <c r="Q910" s="2"/>
      <c r="R910" s="2"/>
      <c r="S910" s="2"/>
      <c r="T910" s="2"/>
      <c r="U910" s="2"/>
      <c r="V910" s="2"/>
      <c r="W910" s="2"/>
      <c r="X910" s="2"/>
      <c r="Y910" s="2"/>
    </row>
    <row r="911" spans="1:25" ht="17.399999999999999" x14ac:dyDescent="0.25">
      <c r="A911" s="1"/>
      <c r="B911" s="40"/>
      <c r="C911" s="2" t="str">
        <f ca="1">IFERROR(__xludf.DUMMYFUNCTION("iferror(filter('Full Perk List'!C$3:C1498,'Full Perk List'!$D$3:$D1498=$D911),"""")"),"#REF!")</f>
        <v>#REF!</v>
      </c>
      <c r="D911" s="2"/>
      <c r="E911" s="2" t="str">
        <f ca="1">IFERROR(__xludf.DUMMYFUNCTION("iferror(filter('Full Perk List'!E$3:E1498,'Full Perk List'!$D$3:$D1498=$D911),"""")"),"#REF!")</f>
        <v>#REF!</v>
      </c>
      <c r="F911" s="2" t="str">
        <f ca="1">IFERROR(__xludf.DUMMYFUNCTION("iferror(filter('Full Perk List'!F$3:F1498,'Full Perk List'!$D$3:$D1498=$D911),"""")"),"#REF!")</f>
        <v>#REF!</v>
      </c>
      <c r="G911" s="2" t="str">
        <f ca="1">IFERROR(__xludf.DUMMYFUNCTION("iferror(filter('Full Perk List'!G$3:G1498,'Full Perk List'!$D$3:$D1498=$D911),"""")"),"#REF!")</f>
        <v>#REF!</v>
      </c>
      <c r="H911" s="1"/>
      <c r="I911" s="2"/>
      <c r="J911" s="2"/>
      <c r="K911" s="2"/>
      <c r="L911" s="2"/>
      <c r="M911" s="2"/>
      <c r="N911" s="2"/>
      <c r="O911" s="2"/>
      <c r="P911" s="2"/>
      <c r="Q911" s="2"/>
      <c r="R911" s="2"/>
      <c r="S911" s="2"/>
      <c r="T911" s="2"/>
      <c r="U911" s="2"/>
      <c r="V911" s="2"/>
      <c r="W911" s="2"/>
      <c r="X911" s="2"/>
      <c r="Y911" s="2"/>
    </row>
    <row r="912" spans="1:25" ht="17.399999999999999" x14ac:dyDescent="0.25">
      <c r="A912" s="1"/>
      <c r="B912" s="40"/>
      <c r="C912" s="2" t="str">
        <f ca="1">IFERROR(__xludf.DUMMYFUNCTION("iferror(filter('Full Perk List'!C$3:C1498,'Full Perk List'!$D$3:$D1498=$D912),"""")"),"#REF!")</f>
        <v>#REF!</v>
      </c>
      <c r="D912" s="2"/>
      <c r="E912" s="2" t="str">
        <f ca="1">IFERROR(__xludf.DUMMYFUNCTION("iferror(filter('Full Perk List'!E$3:E1498,'Full Perk List'!$D$3:$D1498=$D912),"""")"),"#REF!")</f>
        <v>#REF!</v>
      </c>
      <c r="F912" s="2" t="str">
        <f ca="1">IFERROR(__xludf.DUMMYFUNCTION("iferror(filter('Full Perk List'!F$3:F1498,'Full Perk List'!$D$3:$D1498=$D912),"""")"),"#REF!")</f>
        <v>#REF!</v>
      </c>
      <c r="G912" s="2" t="str">
        <f ca="1">IFERROR(__xludf.DUMMYFUNCTION("iferror(filter('Full Perk List'!G$3:G1498,'Full Perk List'!$D$3:$D1498=$D912),"""")"),"#REF!")</f>
        <v>#REF!</v>
      </c>
      <c r="H912" s="1"/>
      <c r="I912" s="2"/>
      <c r="J912" s="2"/>
      <c r="K912" s="2"/>
      <c r="L912" s="2"/>
      <c r="M912" s="2"/>
      <c r="N912" s="2"/>
      <c r="O912" s="2"/>
      <c r="P912" s="2"/>
      <c r="Q912" s="2"/>
      <c r="R912" s="2"/>
      <c r="S912" s="2"/>
      <c r="T912" s="2"/>
      <c r="U912" s="2"/>
      <c r="V912" s="2"/>
      <c r="W912" s="2"/>
      <c r="X912" s="2"/>
      <c r="Y912" s="2"/>
    </row>
    <row r="913" spans="1:25" ht="17.399999999999999" x14ac:dyDescent="0.25">
      <c r="A913" s="1"/>
      <c r="B913" s="40"/>
      <c r="C913" s="2" t="str">
        <f ca="1">IFERROR(__xludf.DUMMYFUNCTION("iferror(filter('Full Perk List'!C$3:C1498,'Full Perk List'!$D$3:$D1498=$D913),"""")"),"#REF!")</f>
        <v>#REF!</v>
      </c>
      <c r="D913" s="2"/>
      <c r="E913" s="2" t="str">
        <f ca="1">IFERROR(__xludf.DUMMYFUNCTION("iferror(filter('Full Perk List'!E$3:E1498,'Full Perk List'!$D$3:$D1498=$D913),"""")"),"#REF!")</f>
        <v>#REF!</v>
      </c>
      <c r="F913" s="2" t="str">
        <f ca="1">IFERROR(__xludf.DUMMYFUNCTION("iferror(filter('Full Perk List'!F$3:F1498,'Full Perk List'!$D$3:$D1498=$D913),"""")"),"#REF!")</f>
        <v>#REF!</v>
      </c>
      <c r="G913" s="2" t="str">
        <f ca="1">IFERROR(__xludf.DUMMYFUNCTION("iferror(filter('Full Perk List'!G$3:G1498,'Full Perk List'!$D$3:$D1498=$D913),"""")"),"#REF!")</f>
        <v>#REF!</v>
      </c>
      <c r="H913" s="1"/>
      <c r="I913" s="2"/>
      <c r="J913" s="2"/>
      <c r="K913" s="2"/>
      <c r="L913" s="2"/>
      <c r="M913" s="2"/>
      <c r="N913" s="2"/>
      <c r="O913" s="2"/>
      <c r="P913" s="2"/>
      <c r="Q913" s="2"/>
      <c r="R913" s="2"/>
      <c r="S913" s="2"/>
      <c r="T913" s="2"/>
      <c r="U913" s="2"/>
      <c r="V913" s="2"/>
      <c r="W913" s="2"/>
      <c r="X913" s="2"/>
      <c r="Y913" s="2"/>
    </row>
    <row r="914" spans="1:25" ht="17.399999999999999" x14ac:dyDescent="0.25">
      <c r="A914" s="1"/>
      <c r="B914" s="40"/>
      <c r="C914" s="2" t="str">
        <f ca="1">IFERROR(__xludf.DUMMYFUNCTION("iferror(filter('Full Perk List'!C$3:C1498,'Full Perk List'!$D$3:$D1498=$D914),"""")"),"#REF!")</f>
        <v>#REF!</v>
      </c>
      <c r="D914" s="2"/>
      <c r="E914" s="2" t="str">
        <f ca="1">IFERROR(__xludf.DUMMYFUNCTION("iferror(filter('Full Perk List'!E$3:E1498,'Full Perk List'!$D$3:$D1498=$D914),"""")"),"#REF!")</f>
        <v>#REF!</v>
      </c>
      <c r="F914" s="2" t="str">
        <f ca="1">IFERROR(__xludf.DUMMYFUNCTION("iferror(filter('Full Perk List'!F$3:F1498,'Full Perk List'!$D$3:$D1498=$D914),"""")"),"#REF!")</f>
        <v>#REF!</v>
      </c>
      <c r="G914" s="2" t="str">
        <f ca="1">IFERROR(__xludf.DUMMYFUNCTION("iferror(filter('Full Perk List'!G$3:G1498,'Full Perk List'!$D$3:$D1498=$D914),"""")"),"#REF!")</f>
        <v>#REF!</v>
      </c>
      <c r="H914" s="1"/>
      <c r="I914" s="2"/>
      <c r="J914" s="2"/>
      <c r="K914" s="2"/>
      <c r="L914" s="2"/>
      <c r="M914" s="2"/>
      <c r="N914" s="2"/>
      <c r="O914" s="2"/>
      <c r="P914" s="2"/>
      <c r="Q914" s="2"/>
      <c r="R914" s="2"/>
      <c r="S914" s="2"/>
      <c r="T914" s="2"/>
      <c r="U914" s="2"/>
      <c r="V914" s="2"/>
      <c r="W914" s="2"/>
      <c r="X914" s="2"/>
      <c r="Y914" s="2"/>
    </row>
    <row r="915" spans="1:25" ht="17.399999999999999" x14ac:dyDescent="0.25">
      <c r="A915" s="1"/>
      <c r="B915" s="40"/>
      <c r="C915" s="2" t="str">
        <f ca="1">IFERROR(__xludf.DUMMYFUNCTION("iferror(filter('Full Perk List'!C$3:C1498,'Full Perk List'!$D$3:$D1498=$D915),"""")"),"#REF!")</f>
        <v>#REF!</v>
      </c>
      <c r="D915" s="2"/>
      <c r="E915" s="2" t="str">
        <f ca="1">IFERROR(__xludf.DUMMYFUNCTION("iferror(filter('Full Perk List'!E$3:E1498,'Full Perk List'!$D$3:$D1498=$D915),"""")"),"#REF!")</f>
        <v>#REF!</v>
      </c>
      <c r="F915" s="2" t="str">
        <f ca="1">IFERROR(__xludf.DUMMYFUNCTION("iferror(filter('Full Perk List'!F$3:F1498,'Full Perk List'!$D$3:$D1498=$D915),"""")"),"#REF!")</f>
        <v>#REF!</v>
      </c>
      <c r="G915" s="2" t="str">
        <f ca="1">IFERROR(__xludf.DUMMYFUNCTION("iferror(filter('Full Perk List'!G$3:G1498,'Full Perk List'!$D$3:$D1498=$D915),"""")"),"#REF!")</f>
        <v>#REF!</v>
      </c>
      <c r="H915" s="1"/>
      <c r="I915" s="2"/>
      <c r="J915" s="2"/>
      <c r="K915" s="2"/>
      <c r="L915" s="2"/>
      <c r="M915" s="2"/>
      <c r="N915" s="2"/>
      <c r="O915" s="2"/>
      <c r="P915" s="2"/>
      <c r="Q915" s="2"/>
      <c r="R915" s="2"/>
      <c r="S915" s="2"/>
      <c r="T915" s="2"/>
      <c r="U915" s="2"/>
      <c r="V915" s="2"/>
      <c r="W915" s="2"/>
      <c r="X915" s="2"/>
      <c r="Y915" s="2"/>
    </row>
    <row r="916" spans="1:25" ht="17.399999999999999" x14ac:dyDescent="0.25">
      <c r="A916" s="1"/>
      <c r="B916" s="40"/>
      <c r="C916" s="2" t="str">
        <f ca="1">IFERROR(__xludf.DUMMYFUNCTION("iferror(filter('Full Perk List'!C$3:C1498,'Full Perk List'!$D$3:$D1498=$D916),"""")"),"#REF!")</f>
        <v>#REF!</v>
      </c>
      <c r="D916" s="2"/>
      <c r="E916" s="2" t="str">
        <f ca="1">IFERROR(__xludf.DUMMYFUNCTION("iferror(filter('Full Perk List'!E$3:E1498,'Full Perk List'!$D$3:$D1498=$D916),"""")"),"#REF!")</f>
        <v>#REF!</v>
      </c>
      <c r="F916" s="2" t="str">
        <f ca="1">IFERROR(__xludf.DUMMYFUNCTION("iferror(filter('Full Perk List'!F$3:F1498,'Full Perk List'!$D$3:$D1498=$D916),"""")"),"#REF!")</f>
        <v>#REF!</v>
      </c>
      <c r="G916" s="2" t="str">
        <f ca="1">IFERROR(__xludf.DUMMYFUNCTION("iferror(filter('Full Perk List'!G$3:G1498,'Full Perk List'!$D$3:$D1498=$D916),"""")"),"#REF!")</f>
        <v>#REF!</v>
      </c>
      <c r="H916" s="1"/>
      <c r="I916" s="2"/>
      <c r="J916" s="2"/>
      <c r="K916" s="2"/>
      <c r="L916" s="2"/>
      <c r="M916" s="2"/>
      <c r="N916" s="2"/>
      <c r="O916" s="2"/>
      <c r="P916" s="2"/>
      <c r="Q916" s="2"/>
      <c r="R916" s="2"/>
      <c r="S916" s="2"/>
      <c r="T916" s="2"/>
      <c r="U916" s="2"/>
      <c r="V916" s="2"/>
      <c r="W916" s="2"/>
      <c r="X916" s="2"/>
      <c r="Y916" s="2"/>
    </row>
    <row r="917" spans="1:25" ht="17.399999999999999" x14ac:dyDescent="0.25">
      <c r="A917" s="1"/>
      <c r="B917" s="40"/>
      <c r="C917" s="2" t="str">
        <f ca="1">IFERROR(__xludf.DUMMYFUNCTION("iferror(filter('Full Perk List'!C$3:C1498,'Full Perk List'!$D$3:$D1498=$D917),"""")"),"#REF!")</f>
        <v>#REF!</v>
      </c>
      <c r="D917" s="2"/>
      <c r="E917" s="2" t="str">
        <f ca="1">IFERROR(__xludf.DUMMYFUNCTION("iferror(filter('Full Perk List'!E$3:E1498,'Full Perk List'!$D$3:$D1498=$D917),"""")"),"#REF!")</f>
        <v>#REF!</v>
      </c>
      <c r="F917" s="2" t="str">
        <f ca="1">IFERROR(__xludf.DUMMYFUNCTION("iferror(filter('Full Perk List'!F$3:F1498,'Full Perk List'!$D$3:$D1498=$D917),"""")"),"#REF!")</f>
        <v>#REF!</v>
      </c>
      <c r="G917" s="2" t="str">
        <f ca="1">IFERROR(__xludf.DUMMYFUNCTION("iferror(filter('Full Perk List'!G$3:G1498,'Full Perk List'!$D$3:$D1498=$D917),"""")"),"#REF!")</f>
        <v>#REF!</v>
      </c>
      <c r="H917" s="1"/>
      <c r="I917" s="2"/>
      <c r="J917" s="2"/>
      <c r="K917" s="2"/>
      <c r="L917" s="2"/>
      <c r="M917" s="2"/>
      <c r="N917" s="2"/>
      <c r="O917" s="2"/>
      <c r="P917" s="2"/>
      <c r="Q917" s="2"/>
      <c r="R917" s="2"/>
      <c r="S917" s="2"/>
      <c r="T917" s="2"/>
      <c r="U917" s="2"/>
      <c r="V917" s="2"/>
      <c r="W917" s="2"/>
      <c r="X917" s="2"/>
      <c r="Y917" s="2"/>
    </row>
    <row r="918" spans="1:25" ht="17.399999999999999" x14ac:dyDescent="0.25">
      <c r="A918" s="1"/>
      <c r="B918" s="40"/>
      <c r="C918" s="2" t="str">
        <f ca="1">IFERROR(__xludf.DUMMYFUNCTION("iferror(filter('Full Perk List'!C$3:C1498,'Full Perk List'!$D$3:$D1498=$D918),"""")"),"#REF!")</f>
        <v>#REF!</v>
      </c>
      <c r="D918" s="2"/>
      <c r="E918" s="2" t="str">
        <f ca="1">IFERROR(__xludf.DUMMYFUNCTION("iferror(filter('Full Perk List'!E$3:E1498,'Full Perk List'!$D$3:$D1498=$D918),"""")"),"#REF!")</f>
        <v>#REF!</v>
      </c>
      <c r="F918" s="2" t="str">
        <f ca="1">IFERROR(__xludf.DUMMYFUNCTION("iferror(filter('Full Perk List'!F$3:F1498,'Full Perk List'!$D$3:$D1498=$D918),"""")"),"#REF!")</f>
        <v>#REF!</v>
      </c>
      <c r="G918" s="2" t="str">
        <f ca="1">IFERROR(__xludf.DUMMYFUNCTION("iferror(filter('Full Perk List'!G$3:G1498,'Full Perk List'!$D$3:$D1498=$D918),"""")"),"#REF!")</f>
        <v>#REF!</v>
      </c>
      <c r="H918" s="1"/>
      <c r="I918" s="2"/>
      <c r="J918" s="2"/>
      <c r="K918" s="2"/>
      <c r="L918" s="2"/>
      <c r="M918" s="2"/>
      <c r="N918" s="2"/>
      <c r="O918" s="2"/>
      <c r="P918" s="2"/>
      <c r="Q918" s="2"/>
      <c r="R918" s="2"/>
      <c r="S918" s="2"/>
      <c r="T918" s="2"/>
      <c r="U918" s="2"/>
      <c r="V918" s="2"/>
      <c r="W918" s="2"/>
      <c r="X918" s="2"/>
      <c r="Y918" s="2"/>
    </row>
    <row r="919" spans="1:25" ht="17.399999999999999" x14ac:dyDescent="0.25">
      <c r="A919" s="1"/>
      <c r="B919" s="40"/>
      <c r="C919" s="2" t="str">
        <f ca="1">IFERROR(__xludf.DUMMYFUNCTION("iferror(filter('Full Perk List'!C$3:C1498,'Full Perk List'!$D$3:$D1498=$D919),"""")"),"#REF!")</f>
        <v>#REF!</v>
      </c>
      <c r="D919" s="2"/>
      <c r="E919" s="2" t="str">
        <f ca="1">IFERROR(__xludf.DUMMYFUNCTION("iferror(filter('Full Perk List'!E$3:E1498,'Full Perk List'!$D$3:$D1498=$D919),"""")"),"#REF!")</f>
        <v>#REF!</v>
      </c>
      <c r="F919" s="2" t="str">
        <f ca="1">IFERROR(__xludf.DUMMYFUNCTION("iferror(filter('Full Perk List'!F$3:F1498,'Full Perk List'!$D$3:$D1498=$D919),"""")"),"#REF!")</f>
        <v>#REF!</v>
      </c>
      <c r="G919" s="2" t="str">
        <f ca="1">IFERROR(__xludf.DUMMYFUNCTION("iferror(filter('Full Perk List'!G$3:G1498,'Full Perk List'!$D$3:$D1498=$D919),"""")"),"#REF!")</f>
        <v>#REF!</v>
      </c>
      <c r="H919" s="1"/>
      <c r="I919" s="2"/>
      <c r="J919" s="2"/>
      <c r="K919" s="2"/>
      <c r="L919" s="2"/>
      <c r="M919" s="2"/>
      <c r="N919" s="2"/>
      <c r="O919" s="2"/>
      <c r="P919" s="2"/>
      <c r="Q919" s="2"/>
      <c r="R919" s="2"/>
      <c r="S919" s="2"/>
      <c r="T919" s="2"/>
      <c r="U919" s="2"/>
      <c r="V919" s="2"/>
      <c r="W919" s="2"/>
      <c r="X919" s="2"/>
      <c r="Y919" s="2"/>
    </row>
    <row r="920" spans="1:25" ht="17.399999999999999" x14ac:dyDescent="0.25">
      <c r="A920" s="1"/>
      <c r="B920" s="40"/>
      <c r="C920" s="2" t="str">
        <f ca="1">IFERROR(__xludf.DUMMYFUNCTION("iferror(filter('Full Perk List'!C$3:C1498,'Full Perk List'!$D$3:$D1498=$D920),"""")"),"#REF!")</f>
        <v>#REF!</v>
      </c>
      <c r="D920" s="2"/>
      <c r="E920" s="2" t="str">
        <f ca="1">IFERROR(__xludf.DUMMYFUNCTION("iferror(filter('Full Perk List'!E$3:E1498,'Full Perk List'!$D$3:$D1498=$D920),"""")"),"#REF!")</f>
        <v>#REF!</v>
      </c>
      <c r="F920" s="2" t="str">
        <f ca="1">IFERROR(__xludf.DUMMYFUNCTION("iferror(filter('Full Perk List'!F$3:F1498,'Full Perk List'!$D$3:$D1498=$D920),"""")"),"#REF!")</f>
        <v>#REF!</v>
      </c>
      <c r="G920" s="2" t="str">
        <f ca="1">IFERROR(__xludf.DUMMYFUNCTION("iferror(filter('Full Perk List'!G$3:G1498,'Full Perk List'!$D$3:$D1498=$D920),"""")"),"#REF!")</f>
        <v>#REF!</v>
      </c>
      <c r="H920" s="1"/>
      <c r="I920" s="2"/>
      <c r="J920" s="2"/>
      <c r="K920" s="2"/>
      <c r="L920" s="2"/>
      <c r="M920" s="2"/>
      <c r="N920" s="2"/>
      <c r="O920" s="2"/>
      <c r="P920" s="2"/>
      <c r="Q920" s="2"/>
      <c r="R920" s="2"/>
      <c r="S920" s="2"/>
      <c r="T920" s="2"/>
      <c r="U920" s="2"/>
      <c r="V920" s="2"/>
      <c r="W920" s="2"/>
      <c r="X920" s="2"/>
      <c r="Y920" s="2"/>
    </row>
    <row r="921" spans="1:25" ht="17.399999999999999" x14ac:dyDescent="0.25">
      <c r="A921" s="1"/>
      <c r="B921" s="40"/>
      <c r="C921" s="2" t="str">
        <f ca="1">IFERROR(__xludf.DUMMYFUNCTION("iferror(filter('Full Perk List'!C$3:C1498,'Full Perk List'!$D$3:$D1498=$D921),"""")"),"#REF!")</f>
        <v>#REF!</v>
      </c>
      <c r="D921" s="2"/>
      <c r="E921" s="2" t="str">
        <f ca="1">IFERROR(__xludf.DUMMYFUNCTION("iferror(filter('Full Perk List'!E$3:E1498,'Full Perk List'!$D$3:$D1498=$D921),"""")"),"#REF!")</f>
        <v>#REF!</v>
      </c>
      <c r="F921" s="2" t="str">
        <f ca="1">IFERROR(__xludf.DUMMYFUNCTION("iferror(filter('Full Perk List'!F$3:F1498,'Full Perk List'!$D$3:$D1498=$D921),"""")"),"#REF!")</f>
        <v>#REF!</v>
      </c>
      <c r="G921" s="2" t="str">
        <f ca="1">IFERROR(__xludf.DUMMYFUNCTION("iferror(filter('Full Perk List'!G$3:G1498,'Full Perk List'!$D$3:$D1498=$D921),"""")"),"#REF!")</f>
        <v>#REF!</v>
      </c>
      <c r="H921" s="1"/>
      <c r="I921" s="2"/>
      <c r="J921" s="2"/>
      <c r="K921" s="2"/>
      <c r="L921" s="2"/>
      <c r="M921" s="2"/>
      <c r="N921" s="2"/>
      <c r="O921" s="2"/>
      <c r="P921" s="2"/>
      <c r="Q921" s="2"/>
      <c r="R921" s="2"/>
      <c r="S921" s="2"/>
      <c r="T921" s="2"/>
      <c r="U921" s="2"/>
      <c r="V921" s="2"/>
      <c r="W921" s="2"/>
      <c r="X921" s="2"/>
      <c r="Y921" s="2"/>
    </row>
    <row r="922" spans="1:25" ht="17.399999999999999" x14ac:dyDescent="0.25">
      <c r="A922" s="1"/>
      <c r="B922" s="40"/>
      <c r="C922" s="2" t="str">
        <f ca="1">IFERROR(__xludf.DUMMYFUNCTION("iferror(filter('Full Perk List'!C$3:C1498,'Full Perk List'!$D$3:$D1498=$D922),"""")"),"#REF!")</f>
        <v>#REF!</v>
      </c>
      <c r="D922" s="2"/>
      <c r="E922" s="2" t="str">
        <f ca="1">IFERROR(__xludf.DUMMYFUNCTION("iferror(filter('Full Perk List'!E$3:E1498,'Full Perk List'!$D$3:$D1498=$D922),"""")"),"#REF!")</f>
        <v>#REF!</v>
      </c>
      <c r="F922" s="2" t="str">
        <f ca="1">IFERROR(__xludf.DUMMYFUNCTION("iferror(filter('Full Perk List'!F$3:F1498,'Full Perk List'!$D$3:$D1498=$D922),"""")"),"#REF!")</f>
        <v>#REF!</v>
      </c>
      <c r="G922" s="2" t="str">
        <f ca="1">IFERROR(__xludf.DUMMYFUNCTION("iferror(filter('Full Perk List'!G$3:G1498,'Full Perk List'!$D$3:$D1498=$D922),"""")"),"#REF!")</f>
        <v>#REF!</v>
      </c>
      <c r="H922" s="1"/>
      <c r="I922" s="2"/>
      <c r="J922" s="2"/>
      <c r="K922" s="2"/>
      <c r="L922" s="2"/>
      <c r="M922" s="2"/>
      <c r="N922" s="2"/>
      <c r="O922" s="2"/>
      <c r="P922" s="2"/>
      <c r="Q922" s="2"/>
      <c r="R922" s="2"/>
      <c r="S922" s="2"/>
      <c r="T922" s="2"/>
      <c r="U922" s="2"/>
      <c r="V922" s="2"/>
      <c r="W922" s="2"/>
      <c r="X922" s="2"/>
      <c r="Y922" s="2"/>
    </row>
    <row r="923" spans="1:25" ht="17.399999999999999" x14ac:dyDescent="0.25">
      <c r="A923" s="1"/>
      <c r="B923" s="40"/>
      <c r="C923" s="2" t="str">
        <f ca="1">IFERROR(__xludf.DUMMYFUNCTION("iferror(filter('Full Perk List'!C$3:C1498,'Full Perk List'!$D$3:$D1498=$D923),"""")"),"#REF!")</f>
        <v>#REF!</v>
      </c>
      <c r="D923" s="2"/>
      <c r="E923" s="2" t="str">
        <f ca="1">IFERROR(__xludf.DUMMYFUNCTION("iferror(filter('Full Perk List'!E$3:E1498,'Full Perk List'!$D$3:$D1498=$D923),"""")"),"#REF!")</f>
        <v>#REF!</v>
      </c>
      <c r="F923" s="2" t="str">
        <f ca="1">IFERROR(__xludf.DUMMYFUNCTION("iferror(filter('Full Perk List'!F$3:F1498,'Full Perk List'!$D$3:$D1498=$D923),"""")"),"#REF!")</f>
        <v>#REF!</v>
      </c>
      <c r="G923" s="2" t="str">
        <f ca="1">IFERROR(__xludf.DUMMYFUNCTION("iferror(filter('Full Perk List'!G$3:G1498,'Full Perk List'!$D$3:$D1498=$D923),"""")"),"#REF!")</f>
        <v>#REF!</v>
      </c>
      <c r="H923" s="1"/>
      <c r="I923" s="2"/>
      <c r="J923" s="2"/>
      <c r="K923" s="2"/>
      <c r="L923" s="2"/>
      <c r="M923" s="2"/>
      <c r="N923" s="2"/>
      <c r="O923" s="2"/>
      <c r="P923" s="2"/>
      <c r="Q923" s="2"/>
      <c r="R923" s="2"/>
      <c r="S923" s="2"/>
      <c r="T923" s="2"/>
      <c r="U923" s="2"/>
      <c r="V923" s="2"/>
      <c r="W923" s="2"/>
      <c r="X923" s="2"/>
      <c r="Y923" s="2"/>
    </row>
    <row r="924" spans="1:25" ht="17.399999999999999" x14ac:dyDescent="0.25">
      <c r="A924" s="1"/>
      <c r="B924" s="40"/>
      <c r="C924" s="2" t="str">
        <f ca="1">IFERROR(__xludf.DUMMYFUNCTION("iferror(filter('Full Perk List'!C$3:C1498,'Full Perk List'!$D$3:$D1498=$D924),"""")"),"#REF!")</f>
        <v>#REF!</v>
      </c>
      <c r="D924" s="2"/>
      <c r="E924" s="2" t="str">
        <f ca="1">IFERROR(__xludf.DUMMYFUNCTION("iferror(filter('Full Perk List'!E$3:E1498,'Full Perk List'!$D$3:$D1498=$D924),"""")"),"#REF!")</f>
        <v>#REF!</v>
      </c>
      <c r="F924" s="2" t="str">
        <f ca="1">IFERROR(__xludf.DUMMYFUNCTION("iferror(filter('Full Perk List'!F$3:F1498,'Full Perk List'!$D$3:$D1498=$D924),"""")"),"#REF!")</f>
        <v>#REF!</v>
      </c>
      <c r="G924" s="2" t="str">
        <f ca="1">IFERROR(__xludf.DUMMYFUNCTION("iferror(filter('Full Perk List'!G$3:G1498,'Full Perk List'!$D$3:$D1498=$D924),"""")"),"#REF!")</f>
        <v>#REF!</v>
      </c>
      <c r="H924" s="1"/>
      <c r="I924" s="2"/>
      <c r="J924" s="2"/>
      <c r="K924" s="2"/>
      <c r="L924" s="2"/>
      <c r="M924" s="2"/>
      <c r="N924" s="2"/>
      <c r="O924" s="2"/>
      <c r="P924" s="2"/>
      <c r="Q924" s="2"/>
      <c r="R924" s="2"/>
      <c r="S924" s="2"/>
      <c r="T924" s="2"/>
      <c r="U924" s="2"/>
      <c r="V924" s="2"/>
      <c r="W924" s="2"/>
      <c r="X924" s="2"/>
      <c r="Y924" s="2"/>
    </row>
    <row r="925" spans="1:25" ht="17.399999999999999" x14ac:dyDescent="0.25">
      <c r="A925" s="1"/>
      <c r="B925" s="40"/>
      <c r="C925" s="2" t="str">
        <f ca="1">IFERROR(__xludf.DUMMYFUNCTION("iferror(filter('Full Perk List'!C$3:C1498,'Full Perk List'!$D$3:$D1498=$D925),"""")"),"#REF!")</f>
        <v>#REF!</v>
      </c>
      <c r="D925" s="2"/>
      <c r="E925" s="2" t="str">
        <f ca="1">IFERROR(__xludf.DUMMYFUNCTION("iferror(filter('Full Perk List'!E$3:E1498,'Full Perk List'!$D$3:$D1498=$D925),"""")"),"#REF!")</f>
        <v>#REF!</v>
      </c>
      <c r="F925" s="2" t="str">
        <f ca="1">IFERROR(__xludf.DUMMYFUNCTION("iferror(filter('Full Perk List'!F$3:F1498,'Full Perk List'!$D$3:$D1498=$D925),"""")"),"#REF!")</f>
        <v>#REF!</v>
      </c>
      <c r="G925" s="2" t="str">
        <f ca="1">IFERROR(__xludf.DUMMYFUNCTION("iferror(filter('Full Perk List'!G$3:G1498,'Full Perk List'!$D$3:$D1498=$D925),"""")"),"#REF!")</f>
        <v>#REF!</v>
      </c>
      <c r="H925" s="1"/>
      <c r="I925" s="2"/>
      <c r="J925" s="2"/>
      <c r="K925" s="2"/>
      <c r="L925" s="2"/>
      <c r="M925" s="2"/>
      <c r="N925" s="2"/>
      <c r="O925" s="2"/>
      <c r="P925" s="2"/>
      <c r="Q925" s="2"/>
      <c r="R925" s="2"/>
      <c r="S925" s="2"/>
      <c r="T925" s="2"/>
      <c r="U925" s="2"/>
      <c r="V925" s="2"/>
      <c r="W925" s="2"/>
      <c r="X925" s="2"/>
      <c r="Y925" s="2"/>
    </row>
    <row r="926" spans="1:25" ht="17.399999999999999" x14ac:dyDescent="0.25">
      <c r="A926" s="1"/>
      <c r="B926" s="40"/>
      <c r="C926" s="2" t="str">
        <f ca="1">IFERROR(__xludf.DUMMYFUNCTION("iferror(filter('Full Perk List'!C$3:C1498,'Full Perk List'!$D$3:$D1498=$D926),"""")"),"#REF!")</f>
        <v>#REF!</v>
      </c>
      <c r="D926" s="2"/>
      <c r="E926" s="2" t="str">
        <f ca="1">IFERROR(__xludf.DUMMYFUNCTION("iferror(filter('Full Perk List'!E$3:E1498,'Full Perk List'!$D$3:$D1498=$D926),"""")"),"#REF!")</f>
        <v>#REF!</v>
      </c>
      <c r="F926" s="2" t="str">
        <f ca="1">IFERROR(__xludf.DUMMYFUNCTION("iferror(filter('Full Perk List'!F$3:F1498,'Full Perk List'!$D$3:$D1498=$D926),"""")"),"#REF!")</f>
        <v>#REF!</v>
      </c>
      <c r="G926" s="2" t="str">
        <f ca="1">IFERROR(__xludf.DUMMYFUNCTION("iferror(filter('Full Perk List'!G$3:G1498,'Full Perk List'!$D$3:$D1498=$D926),"""")"),"#REF!")</f>
        <v>#REF!</v>
      </c>
      <c r="H926" s="1"/>
      <c r="I926" s="2"/>
      <c r="J926" s="2"/>
      <c r="K926" s="2"/>
      <c r="L926" s="2"/>
      <c r="M926" s="2"/>
      <c r="N926" s="2"/>
      <c r="O926" s="2"/>
      <c r="P926" s="2"/>
      <c r="Q926" s="2"/>
      <c r="R926" s="2"/>
      <c r="S926" s="2"/>
      <c r="T926" s="2"/>
      <c r="U926" s="2"/>
      <c r="V926" s="2"/>
      <c r="W926" s="2"/>
      <c r="X926" s="2"/>
      <c r="Y926" s="2"/>
    </row>
    <row r="927" spans="1:25" ht="17.399999999999999" x14ac:dyDescent="0.25">
      <c r="A927" s="1"/>
      <c r="B927" s="40"/>
      <c r="C927" s="2" t="str">
        <f ca="1">IFERROR(__xludf.DUMMYFUNCTION("iferror(filter('Full Perk List'!C$3:C1498,'Full Perk List'!$D$3:$D1498=$D927),"""")"),"#REF!")</f>
        <v>#REF!</v>
      </c>
      <c r="D927" s="2"/>
      <c r="E927" s="2" t="str">
        <f ca="1">IFERROR(__xludf.DUMMYFUNCTION("iferror(filter('Full Perk List'!E$3:E1498,'Full Perk List'!$D$3:$D1498=$D927),"""")"),"#REF!")</f>
        <v>#REF!</v>
      </c>
      <c r="F927" s="2" t="str">
        <f ca="1">IFERROR(__xludf.DUMMYFUNCTION("iferror(filter('Full Perk List'!F$3:F1498,'Full Perk List'!$D$3:$D1498=$D927),"""")"),"#REF!")</f>
        <v>#REF!</v>
      </c>
      <c r="G927" s="2" t="str">
        <f ca="1">IFERROR(__xludf.DUMMYFUNCTION("iferror(filter('Full Perk List'!G$3:G1498,'Full Perk List'!$D$3:$D1498=$D927),"""")"),"#REF!")</f>
        <v>#REF!</v>
      </c>
      <c r="H927" s="1"/>
      <c r="I927" s="2"/>
      <c r="J927" s="2"/>
      <c r="K927" s="2"/>
      <c r="L927" s="2"/>
      <c r="M927" s="2"/>
      <c r="N927" s="2"/>
      <c r="O927" s="2"/>
      <c r="P927" s="2"/>
      <c r="Q927" s="2"/>
      <c r="R927" s="2"/>
      <c r="S927" s="2"/>
      <c r="T927" s="2"/>
      <c r="U927" s="2"/>
      <c r="V927" s="2"/>
      <c r="W927" s="2"/>
      <c r="X927" s="2"/>
      <c r="Y927" s="2"/>
    </row>
    <row r="928" spans="1:25" ht="17.399999999999999" x14ac:dyDescent="0.25">
      <c r="A928" s="1"/>
      <c r="B928" s="40"/>
      <c r="C928" s="2" t="str">
        <f ca="1">IFERROR(__xludf.DUMMYFUNCTION("iferror(filter('Full Perk List'!C$3:C1498,'Full Perk List'!$D$3:$D1498=$D928),"""")"),"#REF!")</f>
        <v>#REF!</v>
      </c>
      <c r="D928" s="2"/>
      <c r="E928" s="2" t="str">
        <f ca="1">IFERROR(__xludf.DUMMYFUNCTION("iferror(filter('Full Perk List'!E$3:E1498,'Full Perk List'!$D$3:$D1498=$D928),"""")"),"#REF!")</f>
        <v>#REF!</v>
      </c>
      <c r="F928" s="2" t="str">
        <f ca="1">IFERROR(__xludf.DUMMYFUNCTION("iferror(filter('Full Perk List'!F$3:F1498,'Full Perk List'!$D$3:$D1498=$D928),"""")"),"#REF!")</f>
        <v>#REF!</v>
      </c>
      <c r="G928" s="2" t="str">
        <f ca="1">IFERROR(__xludf.DUMMYFUNCTION("iferror(filter('Full Perk List'!G$3:G1498,'Full Perk List'!$D$3:$D1498=$D928),"""")"),"#REF!")</f>
        <v>#REF!</v>
      </c>
      <c r="H928" s="1"/>
      <c r="I928" s="2"/>
      <c r="J928" s="2"/>
      <c r="K928" s="2"/>
      <c r="L928" s="2"/>
      <c r="M928" s="2"/>
      <c r="N928" s="2"/>
      <c r="O928" s="2"/>
      <c r="P928" s="2"/>
      <c r="Q928" s="2"/>
      <c r="R928" s="2"/>
      <c r="S928" s="2"/>
      <c r="T928" s="2"/>
      <c r="U928" s="2"/>
      <c r="V928" s="2"/>
      <c r="W928" s="2"/>
      <c r="X928" s="2"/>
      <c r="Y928" s="2"/>
    </row>
    <row r="929" spans="1:25" ht="17.399999999999999" x14ac:dyDescent="0.25">
      <c r="A929" s="1"/>
      <c r="B929" s="40"/>
      <c r="C929" s="2" t="str">
        <f ca="1">IFERROR(__xludf.DUMMYFUNCTION("iferror(filter('Full Perk List'!C$3:C1498,'Full Perk List'!$D$3:$D1498=$D929),"""")"),"#REF!")</f>
        <v>#REF!</v>
      </c>
      <c r="D929" s="2"/>
      <c r="E929" s="2" t="str">
        <f ca="1">IFERROR(__xludf.DUMMYFUNCTION("iferror(filter('Full Perk List'!E$3:E1498,'Full Perk List'!$D$3:$D1498=$D929),"""")"),"#REF!")</f>
        <v>#REF!</v>
      </c>
      <c r="F929" s="2" t="str">
        <f ca="1">IFERROR(__xludf.DUMMYFUNCTION("iferror(filter('Full Perk List'!F$3:F1498,'Full Perk List'!$D$3:$D1498=$D929),"""")"),"#REF!")</f>
        <v>#REF!</v>
      </c>
      <c r="G929" s="2" t="str">
        <f ca="1">IFERROR(__xludf.DUMMYFUNCTION("iferror(filter('Full Perk List'!G$3:G1498,'Full Perk List'!$D$3:$D1498=$D929),"""")"),"#REF!")</f>
        <v>#REF!</v>
      </c>
      <c r="H929" s="1"/>
      <c r="I929" s="2"/>
      <c r="J929" s="2"/>
      <c r="K929" s="2"/>
      <c r="L929" s="2"/>
      <c r="M929" s="2"/>
      <c r="N929" s="2"/>
      <c r="O929" s="2"/>
      <c r="P929" s="2"/>
      <c r="Q929" s="2"/>
      <c r="R929" s="2"/>
      <c r="S929" s="2"/>
      <c r="T929" s="2"/>
      <c r="U929" s="2"/>
      <c r="V929" s="2"/>
      <c r="W929" s="2"/>
      <c r="X929" s="2"/>
      <c r="Y929" s="2"/>
    </row>
    <row r="930" spans="1:25" ht="17.399999999999999" x14ac:dyDescent="0.25">
      <c r="A930" s="1"/>
      <c r="B930" s="40"/>
      <c r="C930" s="2" t="str">
        <f ca="1">IFERROR(__xludf.DUMMYFUNCTION("iferror(filter('Full Perk List'!C$3:C1498,'Full Perk List'!$D$3:$D1498=$D930),"""")"),"#REF!")</f>
        <v>#REF!</v>
      </c>
      <c r="D930" s="2"/>
      <c r="E930" s="2" t="str">
        <f ca="1">IFERROR(__xludf.DUMMYFUNCTION("iferror(filter('Full Perk List'!E$3:E1498,'Full Perk List'!$D$3:$D1498=$D930),"""")"),"#REF!")</f>
        <v>#REF!</v>
      </c>
      <c r="F930" s="2" t="str">
        <f ca="1">IFERROR(__xludf.DUMMYFUNCTION("iferror(filter('Full Perk List'!F$3:F1498,'Full Perk List'!$D$3:$D1498=$D930),"""")"),"#REF!")</f>
        <v>#REF!</v>
      </c>
      <c r="G930" s="2" t="str">
        <f ca="1">IFERROR(__xludf.DUMMYFUNCTION("iferror(filter('Full Perk List'!G$3:G1498,'Full Perk List'!$D$3:$D1498=$D930),"""")"),"#REF!")</f>
        <v>#REF!</v>
      </c>
      <c r="H930" s="1"/>
      <c r="I930" s="2"/>
      <c r="J930" s="2"/>
      <c r="K930" s="2"/>
      <c r="L930" s="2"/>
      <c r="M930" s="2"/>
      <c r="N930" s="2"/>
      <c r="O930" s="2"/>
      <c r="P930" s="2"/>
      <c r="Q930" s="2"/>
      <c r="R930" s="2"/>
      <c r="S930" s="2"/>
      <c r="T930" s="2"/>
      <c r="U930" s="2"/>
      <c r="V930" s="2"/>
      <c r="W930" s="2"/>
      <c r="X930" s="2"/>
      <c r="Y930" s="2"/>
    </row>
    <row r="931" spans="1:25" ht="17.399999999999999" x14ac:dyDescent="0.25">
      <c r="A931" s="1"/>
      <c r="B931" s="40"/>
      <c r="C931" s="2" t="str">
        <f ca="1">IFERROR(__xludf.DUMMYFUNCTION("iferror(filter('Full Perk List'!C$3:C1498,'Full Perk List'!$D$3:$D1498=$D931),"""")"),"#REF!")</f>
        <v>#REF!</v>
      </c>
      <c r="D931" s="2"/>
      <c r="E931" s="2" t="str">
        <f ca="1">IFERROR(__xludf.DUMMYFUNCTION("iferror(filter('Full Perk List'!E$3:E1498,'Full Perk List'!$D$3:$D1498=$D931),"""")"),"#REF!")</f>
        <v>#REF!</v>
      </c>
      <c r="F931" s="2" t="str">
        <f ca="1">IFERROR(__xludf.DUMMYFUNCTION("iferror(filter('Full Perk List'!F$3:F1498,'Full Perk List'!$D$3:$D1498=$D931),"""")"),"#REF!")</f>
        <v>#REF!</v>
      </c>
      <c r="G931" s="2" t="str">
        <f ca="1">IFERROR(__xludf.DUMMYFUNCTION("iferror(filter('Full Perk List'!G$3:G1498,'Full Perk List'!$D$3:$D1498=$D931),"""")"),"#REF!")</f>
        <v>#REF!</v>
      </c>
      <c r="H931" s="1"/>
      <c r="I931" s="2"/>
      <c r="J931" s="2"/>
      <c r="K931" s="2"/>
      <c r="L931" s="2"/>
      <c r="M931" s="2"/>
      <c r="N931" s="2"/>
      <c r="O931" s="2"/>
      <c r="P931" s="2"/>
      <c r="Q931" s="2"/>
      <c r="R931" s="2"/>
      <c r="S931" s="2"/>
      <c r="T931" s="2"/>
      <c r="U931" s="2"/>
      <c r="V931" s="2"/>
      <c r="W931" s="2"/>
      <c r="X931" s="2"/>
      <c r="Y931" s="2"/>
    </row>
    <row r="932" spans="1:25" ht="17.399999999999999" x14ac:dyDescent="0.25">
      <c r="A932" s="1"/>
      <c r="B932" s="40"/>
      <c r="C932" s="2" t="str">
        <f ca="1">IFERROR(__xludf.DUMMYFUNCTION("iferror(filter('Full Perk List'!C$3:C1498,'Full Perk List'!$D$3:$D1498=$D932),"""")"),"#REF!")</f>
        <v>#REF!</v>
      </c>
      <c r="D932" s="2"/>
      <c r="E932" s="2" t="str">
        <f ca="1">IFERROR(__xludf.DUMMYFUNCTION("iferror(filter('Full Perk List'!E$3:E1498,'Full Perk List'!$D$3:$D1498=$D932),"""")"),"#REF!")</f>
        <v>#REF!</v>
      </c>
      <c r="F932" s="2" t="str">
        <f ca="1">IFERROR(__xludf.DUMMYFUNCTION("iferror(filter('Full Perk List'!F$3:F1498,'Full Perk List'!$D$3:$D1498=$D932),"""")"),"#REF!")</f>
        <v>#REF!</v>
      </c>
      <c r="G932" s="2" t="str">
        <f ca="1">IFERROR(__xludf.DUMMYFUNCTION("iferror(filter('Full Perk List'!G$3:G1498,'Full Perk List'!$D$3:$D1498=$D932),"""")"),"#REF!")</f>
        <v>#REF!</v>
      </c>
      <c r="H932" s="1"/>
      <c r="I932" s="2"/>
      <c r="J932" s="2"/>
      <c r="K932" s="2"/>
      <c r="L932" s="2"/>
      <c r="M932" s="2"/>
      <c r="N932" s="2"/>
      <c r="O932" s="2"/>
      <c r="P932" s="2"/>
      <c r="Q932" s="2"/>
      <c r="R932" s="2"/>
      <c r="S932" s="2"/>
      <c r="T932" s="2"/>
      <c r="U932" s="2"/>
      <c r="V932" s="2"/>
      <c r="W932" s="2"/>
      <c r="X932" s="2"/>
      <c r="Y932" s="2"/>
    </row>
    <row r="933" spans="1:25" ht="17.399999999999999" x14ac:dyDescent="0.25">
      <c r="A933" s="1"/>
      <c r="B933" s="40"/>
      <c r="C933" s="2" t="str">
        <f ca="1">IFERROR(__xludf.DUMMYFUNCTION("iferror(filter('Full Perk List'!C$3:C1498,'Full Perk List'!$D$3:$D1498=$D933),"""")"),"#REF!")</f>
        <v>#REF!</v>
      </c>
      <c r="D933" s="2"/>
      <c r="E933" s="2" t="str">
        <f ca="1">IFERROR(__xludf.DUMMYFUNCTION("iferror(filter('Full Perk List'!E$3:E1498,'Full Perk List'!$D$3:$D1498=$D933),"""")"),"#REF!")</f>
        <v>#REF!</v>
      </c>
      <c r="F933" s="2" t="str">
        <f ca="1">IFERROR(__xludf.DUMMYFUNCTION("iferror(filter('Full Perk List'!F$3:F1498,'Full Perk List'!$D$3:$D1498=$D933),"""")"),"#REF!")</f>
        <v>#REF!</v>
      </c>
      <c r="G933" s="2" t="str">
        <f ca="1">IFERROR(__xludf.DUMMYFUNCTION("iferror(filter('Full Perk List'!G$3:G1498,'Full Perk List'!$D$3:$D1498=$D933),"""")"),"#REF!")</f>
        <v>#REF!</v>
      </c>
      <c r="H933" s="1"/>
      <c r="I933" s="2"/>
      <c r="J933" s="2"/>
      <c r="K933" s="2"/>
      <c r="L933" s="2"/>
      <c r="M933" s="2"/>
      <c r="N933" s="2"/>
      <c r="O933" s="2"/>
      <c r="P933" s="2"/>
      <c r="Q933" s="2"/>
      <c r="R933" s="2"/>
      <c r="S933" s="2"/>
      <c r="T933" s="2"/>
      <c r="U933" s="2"/>
      <c r="V933" s="2"/>
      <c r="W933" s="2"/>
      <c r="X933" s="2"/>
      <c r="Y933" s="2"/>
    </row>
    <row r="934" spans="1:25" ht="17.399999999999999" x14ac:dyDescent="0.25">
      <c r="A934" s="1"/>
      <c r="B934" s="40"/>
      <c r="C934" s="2" t="str">
        <f ca="1">IFERROR(__xludf.DUMMYFUNCTION("iferror(filter('Full Perk List'!C$3:C1498,'Full Perk List'!$D$3:$D1498=$D934),"""")"),"#REF!")</f>
        <v>#REF!</v>
      </c>
      <c r="D934" s="2"/>
      <c r="E934" s="2" t="str">
        <f ca="1">IFERROR(__xludf.DUMMYFUNCTION("iferror(filter('Full Perk List'!E$3:E1498,'Full Perk List'!$D$3:$D1498=$D934),"""")"),"#REF!")</f>
        <v>#REF!</v>
      </c>
      <c r="F934" s="2" t="str">
        <f ca="1">IFERROR(__xludf.DUMMYFUNCTION("iferror(filter('Full Perk List'!F$3:F1498,'Full Perk List'!$D$3:$D1498=$D934),"""")"),"#REF!")</f>
        <v>#REF!</v>
      </c>
      <c r="G934" s="2" t="str">
        <f ca="1">IFERROR(__xludf.DUMMYFUNCTION("iferror(filter('Full Perk List'!G$3:G1498,'Full Perk List'!$D$3:$D1498=$D934),"""")"),"#REF!")</f>
        <v>#REF!</v>
      </c>
      <c r="H934" s="1"/>
      <c r="I934" s="2"/>
      <c r="J934" s="2"/>
      <c r="K934" s="2"/>
      <c r="L934" s="2"/>
      <c r="M934" s="2"/>
      <c r="N934" s="2"/>
      <c r="O934" s="2"/>
      <c r="P934" s="2"/>
      <c r="Q934" s="2"/>
      <c r="R934" s="2"/>
      <c r="S934" s="2"/>
      <c r="T934" s="2"/>
      <c r="U934" s="2"/>
      <c r="V934" s="2"/>
      <c r="W934" s="2"/>
      <c r="X934" s="2"/>
      <c r="Y934" s="2"/>
    </row>
    <row r="935" spans="1:25" ht="17.399999999999999" x14ac:dyDescent="0.25">
      <c r="A935" s="1"/>
      <c r="B935" s="40"/>
      <c r="C935" s="2" t="str">
        <f ca="1">IFERROR(__xludf.DUMMYFUNCTION("iferror(filter('Full Perk List'!C$3:C1498,'Full Perk List'!$D$3:$D1498=$D935),"""")"),"#REF!")</f>
        <v>#REF!</v>
      </c>
      <c r="D935" s="2"/>
      <c r="E935" s="2" t="str">
        <f ca="1">IFERROR(__xludf.DUMMYFUNCTION("iferror(filter('Full Perk List'!E$3:E1498,'Full Perk List'!$D$3:$D1498=$D935),"""")"),"#REF!")</f>
        <v>#REF!</v>
      </c>
      <c r="F935" s="2" t="str">
        <f ca="1">IFERROR(__xludf.DUMMYFUNCTION("iferror(filter('Full Perk List'!F$3:F1498,'Full Perk List'!$D$3:$D1498=$D935),"""")"),"#REF!")</f>
        <v>#REF!</v>
      </c>
      <c r="G935" s="2" t="str">
        <f ca="1">IFERROR(__xludf.DUMMYFUNCTION("iferror(filter('Full Perk List'!G$3:G1498,'Full Perk List'!$D$3:$D1498=$D935),"""")"),"#REF!")</f>
        <v>#REF!</v>
      </c>
      <c r="H935" s="1"/>
      <c r="I935" s="2"/>
      <c r="J935" s="2"/>
      <c r="K935" s="2"/>
      <c r="L935" s="2"/>
      <c r="M935" s="2"/>
      <c r="N935" s="2"/>
      <c r="O935" s="2"/>
      <c r="P935" s="2"/>
      <c r="Q935" s="2"/>
      <c r="R935" s="2"/>
      <c r="S935" s="2"/>
      <c r="T935" s="2"/>
      <c r="U935" s="2"/>
      <c r="V935" s="2"/>
      <c r="W935" s="2"/>
      <c r="X935" s="2"/>
      <c r="Y935" s="2"/>
    </row>
    <row r="936" spans="1:25" ht="17.399999999999999" x14ac:dyDescent="0.25">
      <c r="A936" s="1"/>
      <c r="B936" s="40"/>
      <c r="C936" s="2" t="str">
        <f ca="1">IFERROR(__xludf.DUMMYFUNCTION("iferror(filter('Full Perk List'!C$3:C1498,'Full Perk List'!$D$3:$D1498=$D936),"""")"),"#REF!")</f>
        <v>#REF!</v>
      </c>
      <c r="D936" s="2"/>
      <c r="E936" s="2" t="str">
        <f ca="1">IFERROR(__xludf.DUMMYFUNCTION("iferror(filter('Full Perk List'!E$3:E1498,'Full Perk List'!$D$3:$D1498=$D936),"""")"),"#REF!")</f>
        <v>#REF!</v>
      </c>
      <c r="F936" s="2" t="str">
        <f ca="1">IFERROR(__xludf.DUMMYFUNCTION("iferror(filter('Full Perk List'!F$3:F1498,'Full Perk List'!$D$3:$D1498=$D936),"""")"),"#REF!")</f>
        <v>#REF!</v>
      </c>
      <c r="G936" s="2" t="str">
        <f ca="1">IFERROR(__xludf.DUMMYFUNCTION("iferror(filter('Full Perk List'!G$3:G1498,'Full Perk List'!$D$3:$D1498=$D936),"""")"),"#REF!")</f>
        <v>#REF!</v>
      </c>
      <c r="H936" s="1"/>
      <c r="I936" s="2"/>
      <c r="J936" s="2"/>
      <c r="K936" s="2"/>
      <c r="L936" s="2"/>
      <c r="M936" s="2"/>
      <c r="N936" s="2"/>
      <c r="O936" s="2"/>
      <c r="P936" s="2"/>
      <c r="Q936" s="2"/>
      <c r="R936" s="2"/>
      <c r="S936" s="2"/>
      <c r="T936" s="2"/>
      <c r="U936" s="2"/>
      <c r="V936" s="2"/>
      <c r="W936" s="2"/>
      <c r="X936" s="2"/>
      <c r="Y936" s="2"/>
    </row>
    <row r="937" spans="1:25" ht="17.399999999999999" x14ac:dyDescent="0.25">
      <c r="A937" s="1"/>
      <c r="B937" s="40"/>
      <c r="C937" s="2" t="str">
        <f ca="1">IFERROR(__xludf.DUMMYFUNCTION("iferror(filter('Full Perk List'!C$3:C1498,'Full Perk List'!$D$3:$D1498=$D937),"""")"),"#REF!")</f>
        <v>#REF!</v>
      </c>
      <c r="D937" s="2"/>
      <c r="E937" s="2" t="str">
        <f ca="1">IFERROR(__xludf.DUMMYFUNCTION("iferror(filter('Full Perk List'!E$3:E1498,'Full Perk List'!$D$3:$D1498=$D937),"""")"),"#REF!")</f>
        <v>#REF!</v>
      </c>
      <c r="F937" s="2" t="str">
        <f ca="1">IFERROR(__xludf.DUMMYFUNCTION("iferror(filter('Full Perk List'!F$3:F1498,'Full Perk List'!$D$3:$D1498=$D937),"""")"),"#REF!")</f>
        <v>#REF!</v>
      </c>
      <c r="G937" s="2" t="str">
        <f ca="1">IFERROR(__xludf.DUMMYFUNCTION("iferror(filter('Full Perk List'!G$3:G1498,'Full Perk List'!$D$3:$D1498=$D937),"""")"),"#REF!")</f>
        <v>#REF!</v>
      </c>
      <c r="H937" s="1"/>
      <c r="I937" s="2"/>
      <c r="J937" s="2"/>
      <c r="K937" s="2"/>
      <c r="L937" s="2"/>
      <c r="M937" s="2"/>
      <c r="N937" s="2"/>
      <c r="O937" s="2"/>
      <c r="P937" s="2"/>
      <c r="Q937" s="2"/>
      <c r="R937" s="2"/>
      <c r="S937" s="2"/>
      <c r="T937" s="2"/>
      <c r="U937" s="2"/>
      <c r="V937" s="2"/>
      <c r="W937" s="2"/>
      <c r="X937" s="2"/>
      <c r="Y937" s="2"/>
    </row>
    <row r="938" spans="1:25" ht="17.399999999999999" x14ac:dyDescent="0.25">
      <c r="A938" s="1"/>
      <c r="B938" s="40"/>
      <c r="C938" s="2" t="str">
        <f ca="1">IFERROR(__xludf.DUMMYFUNCTION("iferror(filter('Full Perk List'!C$3:C1498,'Full Perk List'!$D$3:$D1498=$D938),"""")"),"#REF!")</f>
        <v>#REF!</v>
      </c>
      <c r="D938" s="2"/>
      <c r="E938" s="2" t="str">
        <f ca="1">IFERROR(__xludf.DUMMYFUNCTION("iferror(filter('Full Perk List'!E$3:E1498,'Full Perk List'!$D$3:$D1498=$D938),"""")"),"#REF!")</f>
        <v>#REF!</v>
      </c>
      <c r="F938" s="2" t="str">
        <f ca="1">IFERROR(__xludf.DUMMYFUNCTION("iferror(filter('Full Perk List'!F$3:F1498,'Full Perk List'!$D$3:$D1498=$D938),"""")"),"#REF!")</f>
        <v>#REF!</v>
      </c>
      <c r="G938" s="2" t="str">
        <f ca="1">IFERROR(__xludf.DUMMYFUNCTION("iferror(filter('Full Perk List'!G$3:G1498,'Full Perk List'!$D$3:$D1498=$D938),"""")"),"#REF!")</f>
        <v>#REF!</v>
      </c>
      <c r="H938" s="1"/>
      <c r="I938" s="2"/>
      <c r="J938" s="2"/>
      <c r="K938" s="2"/>
      <c r="L938" s="2"/>
      <c r="M938" s="2"/>
      <c r="N938" s="2"/>
      <c r="O938" s="2"/>
      <c r="P938" s="2"/>
      <c r="Q938" s="2"/>
      <c r="R938" s="2"/>
      <c r="S938" s="2"/>
      <c r="T938" s="2"/>
      <c r="U938" s="2"/>
      <c r="V938" s="2"/>
      <c r="W938" s="2"/>
      <c r="X938" s="2"/>
      <c r="Y938" s="2"/>
    </row>
    <row r="939" spans="1:25" ht="17.399999999999999" x14ac:dyDescent="0.25">
      <c r="A939" s="1"/>
      <c r="B939" s="40"/>
      <c r="C939" s="2" t="str">
        <f ca="1">IFERROR(__xludf.DUMMYFUNCTION("iferror(filter('Full Perk List'!C$3:C1498,'Full Perk List'!$D$3:$D1498=$D939),"""")"),"#REF!")</f>
        <v>#REF!</v>
      </c>
      <c r="D939" s="2"/>
      <c r="E939" s="2" t="str">
        <f ca="1">IFERROR(__xludf.DUMMYFUNCTION("iferror(filter('Full Perk List'!E$3:E1498,'Full Perk List'!$D$3:$D1498=$D939),"""")"),"#REF!")</f>
        <v>#REF!</v>
      </c>
      <c r="F939" s="2" t="str">
        <f ca="1">IFERROR(__xludf.DUMMYFUNCTION("iferror(filter('Full Perk List'!F$3:F1498,'Full Perk List'!$D$3:$D1498=$D939),"""")"),"#REF!")</f>
        <v>#REF!</v>
      </c>
      <c r="G939" s="2" t="str">
        <f ca="1">IFERROR(__xludf.DUMMYFUNCTION("iferror(filter('Full Perk List'!G$3:G1498,'Full Perk List'!$D$3:$D1498=$D939),"""")"),"#REF!")</f>
        <v>#REF!</v>
      </c>
      <c r="H939" s="1"/>
      <c r="I939" s="2"/>
      <c r="J939" s="2"/>
      <c r="K939" s="2"/>
      <c r="L939" s="2"/>
      <c r="M939" s="2"/>
      <c r="N939" s="2"/>
      <c r="O939" s="2"/>
      <c r="P939" s="2"/>
      <c r="Q939" s="2"/>
      <c r="R939" s="2"/>
      <c r="S939" s="2"/>
      <c r="T939" s="2"/>
      <c r="U939" s="2"/>
      <c r="V939" s="2"/>
      <c r="W939" s="2"/>
      <c r="X939" s="2"/>
      <c r="Y939" s="2"/>
    </row>
    <row r="940" spans="1:25" ht="17.399999999999999" x14ac:dyDescent="0.25">
      <c r="A940" s="1"/>
      <c r="B940" s="40"/>
      <c r="C940" s="2" t="str">
        <f ca="1">IFERROR(__xludf.DUMMYFUNCTION("iferror(filter('Full Perk List'!C$3:C1498,'Full Perk List'!$D$3:$D1498=$D940),"""")"),"#REF!")</f>
        <v>#REF!</v>
      </c>
      <c r="D940" s="2"/>
      <c r="E940" s="2" t="str">
        <f ca="1">IFERROR(__xludf.DUMMYFUNCTION("iferror(filter('Full Perk List'!E$3:E1498,'Full Perk List'!$D$3:$D1498=$D940),"""")"),"#REF!")</f>
        <v>#REF!</v>
      </c>
      <c r="F940" s="2" t="str">
        <f ca="1">IFERROR(__xludf.DUMMYFUNCTION("iferror(filter('Full Perk List'!F$3:F1498,'Full Perk List'!$D$3:$D1498=$D940),"""")"),"#REF!")</f>
        <v>#REF!</v>
      </c>
      <c r="G940" s="2" t="str">
        <f ca="1">IFERROR(__xludf.DUMMYFUNCTION("iferror(filter('Full Perk List'!G$3:G1498,'Full Perk List'!$D$3:$D1498=$D940),"""")"),"#REF!")</f>
        <v>#REF!</v>
      </c>
      <c r="H940" s="1"/>
      <c r="I940" s="2"/>
      <c r="J940" s="2"/>
      <c r="K940" s="2"/>
      <c r="L940" s="2"/>
      <c r="M940" s="2"/>
      <c r="N940" s="2"/>
      <c r="O940" s="2"/>
      <c r="P940" s="2"/>
      <c r="Q940" s="2"/>
      <c r="R940" s="2"/>
      <c r="S940" s="2"/>
      <c r="T940" s="2"/>
      <c r="U940" s="2"/>
      <c r="V940" s="2"/>
      <c r="W940" s="2"/>
      <c r="X940" s="2"/>
      <c r="Y940" s="2"/>
    </row>
    <row r="941" spans="1:25" ht="17.399999999999999" x14ac:dyDescent="0.25">
      <c r="A941" s="1"/>
      <c r="B941" s="40"/>
      <c r="C941" s="2" t="str">
        <f ca="1">IFERROR(__xludf.DUMMYFUNCTION("iferror(filter('Full Perk List'!C$3:C1498,'Full Perk List'!$D$3:$D1498=$D941),"""")"),"#REF!")</f>
        <v>#REF!</v>
      </c>
      <c r="D941" s="2"/>
      <c r="E941" s="2" t="str">
        <f ca="1">IFERROR(__xludf.DUMMYFUNCTION("iferror(filter('Full Perk List'!E$3:E1498,'Full Perk List'!$D$3:$D1498=$D941),"""")"),"#REF!")</f>
        <v>#REF!</v>
      </c>
      <c r="F941" s="2" t="str">
        <f ca="1">IFERROR(__xludf.DUMMYFUNCTION("iferror(filter('Full Perk List'!F$3:F1498,'Full Perk List'!$D$3:$D1498=$D941),"""")"),"#REF!")</f>
        <v>#REF!</v>
      </c>
      <c r="G941" s="2" t="str">
        <f ca="1">IFERROR(__xludf.DUMMYFUNCTION("iferror(filter('Full Perk List'!G$3:G1498,'Full Perk List'!$D$3:$D1498=$D941),"""")"),"#REF!")</f>
        <v>#REF!</v>
      </c>
      <c r="H941" s="1"/>
      <c r="I941" s="2"/>
      <c r="J941" s="2"/>
      <c r="K941" s="2"/>
      <c r="L941" s="2"/>
      <c r="M941" s="2"/>
      <c r="N941" s="2"/>
      <c r="O941" s="2"/>
      <c r="P941" s="2"/>
      <c r="Q941" s="2"/>
      <c r="R941" s="2"/>
      <c r="S941" s="2"/>
      <c r="T941" s="2"/>
      <c r="U941" s="2"/>
      <c r="V941" s="2"/>
      <c r="W941" s="2"/>
      <c r="X941" s="2"/>
      <c r="Y941" s="2"/>
    </row>
    <row r="942" spans="1:25" ht="17.399999999999999" x14ac:dyDescent="0.25">
      <c r="A942" s="1"/>
      <c r="B942" s="40"/>
      <c r="C942" s="2" t="str">
        <f ca="1">IFERROR(__xludf.DUMMYFUNCTION("iferror(filter('Full Perk List'!C$3:C1498,'Full Perk List'!$D$3:$D1498=$D942),"""")"),"#REF!")</f>
        <v>#REF!</v>
      </c>
      <c r="D942" s="2"/>
      <c r="E942" s="2" t="str">
        <f ca="1">IFERROR(__xludf.DUMMYFUNCTION("iferror(filter('Full Perk List'!E$3:E1498,'Full Perk List'!$D$3:$D1498=$D942),"""")"),"#REF!")</f>
        <v>#REF!</v>
      </c>
      <c r="F942" s="2" t="str">
        <f ca="1">IFERROR(__xludf.DUMMYFUNCTION("iferror(filter('Full Perk List'!F$3:F1498,'Full Perk List'!$D$3:$D1498=$D942),"""")"),"#REF!")</f>
        <v>#REF!</v>
      </c>
      <c r="G942" s="2" t="str">
        <f ca="1">IFERROR(__xludf.DUMMYFUNCTION("iferror(filter('Full Perk List'!G$3:G1498,'Full Perk List'!$D$3:$D1498=$D942),"""")"),"#REF!")</f>
        <v>#REF!</v>
      </c>
      <c r="H942" s="1"/>
      <c r="I942" s="2"/>
      <c r="J942" s="2"/>
      <c r="K942" s="2"/>
      <c r="L942" s="2"/>
      <c r="M942" s="2"/>
      <c r="N942" s="2"/>
      <c r="O942" s="2"/>
      <c r="P942" s="2"/>
      <c r="Q942" s="2"/>
      <c r="R942" s="2"/>
      <c r="S942" s="2"/>
      <c r="T942" s="2"/>
      <c r="U942" s="2"/>
      <c r="V942" s="2"/>
      <c r="W942" s="2"/>
      <c r="X942" s="2"/>
      <c r="Y942" s="2"/>
    </row>
    <row r="943" spans="1:25" ht="17.399999999999999" x14ac:dyDescent="0.25">
      <c r="A943" s="1"/>
      <c r="B943" s="40"/>
      <c r="C943" s="2" t="str">
        <f ca="1">IFERROR(__xludf.DUMMYFUNCTION("iferror(filter('Full Perk List'!C$3:C1498,'Full Perk List'!$D$3:$D1498=$D943),"""")"),"#REF!")</f>
        <v>#REF!</v>
      </c>
      <c r="D943" s="2"/>
      <c r="E943" s="2" t="str">
        <f ca="1">IFERROR(__xludf.DUMMYFUNCTION("iferror(filter('Full Perk List'!E$3:E1498,'Full Perk List'!$D$3:$D1498=$D943),"""")"),"#REF!")</f>
        <v>#REF!</v>
      </c>
      <c r="F943" s="2" t="str">
        <f ca="1">IFERROR(__xludf.DUMMYFUNCTION("iferror(filter('Full Perk List'!F$3:F1498,'Full Perk List'!$D$3:$D1498=$D943),"""")"),"#REF!")</f>
        <v>#REF!</v>
      </c>
      <c r="G943" s="2" t="str">
        <f ca="1">IFERROR(__xludf.DUMMYFUNCTION("iferror(filter('Full Perk List'!G$3:G1498,'Full Perk List'!$D$3:$D1498=$D943),"""")"),"#REF!")</f>
        <v>#REF!</v>
      </c>
      <c r="H943" s="1"/>
      <c r="I943" s="2"/>
      <c r="J943" s="2"/>
      <c r="K943" s="2"/>
      <c r="L943" s="2"/>
      <c r="M943" s="2"/>
      <c r="N943" s="2"/>
      <c r="O943" s="2"/>
      <c r="P943" s="2"/>
      <c r="Q943" s="2"/>
      <c r="R943" s="2"/>
      <c r="S943" s="2"/>
      <c r="T943" s="2"/>
      <c r="U943" s="2"/>
      <c r="V943" s="2"/>
      <c r="W943" s="2"/>
      <c r="X943" s="2"/>
      <c r="Y943" s="2"/>
    </row>
    <row r="944" spans="1:25" ht="17.399999999999999" x14ac:dyDescent="0.25">
      <c r="A944" s="1"/>
      <c r="B944" s="40"/>
      <c r="C944" s="2" t="str">
        <f ca="1">IFERROR(__xludf.DUMMYFUNCTION("iferror(filter('Full Perk List'!C$3:C1498,'Full Perk List'!$D$3:$D1498=$D944),"""")"),"#REF!")</f>
        <v>#REF!</v>
      </c>
      <c r="D944" s="2"/>
      <c r="E944" s="2" t="str">
        <f ca="1">IFERROR(__xludf.DUMMYFUNCTION("iferror(filter('Full Perk List'!E$3:E1498,'Full Perk List'!$D$3:$D1498=$D944),"""")"),"#REF!")</f>
        <v>#REF!</v>
      </c>
      <c r="F944" s="2" t="str">
        <f ca="1">IFERROR(__xludf.DUMMYFUNCTION("iferror(filter('Full Perk List'!F$3:F1498,'Full Perk List'!$D$3:$D1498=$D944),"""")"),"#REF!")</f>
        <v>#REF!</v>
      </c>
      <c r="G944" s="2" t="str">
        <f ca="1">IFERROR(__xludf.DUMMYFUNCTION("iferror(filter('Full Perk List'!G$3:G1498,'Full Perk List'!$D$3:$D1498=$D944),"""")"),"#REF!")</f>
        <v>#REF!</v>
      </c>
      <c r="H944" s="1"/>
      <c r="I944" s="2"/>
      <c r="J944" s="2"/>
      <c r="K944" s="2"/>
      <c r="L944" s="2"/>
      <c r="M944" s="2"/>
      <c r="N944" s="2"/>
      <c r="O944" s="2"/>
      <c r="P944" s="2"/>
      <c r="Q944" s="2"/>
      <c r="R944" s="2"/>
      <c r="S944" s="2"/>
      <c r="T944" s="2"/>
      <c r="U944" s="2"/>
      <c r="V944" s="2"/>
      <c r="W944" s="2"/>
      <c r="X944" s="2"/>
      <c r="Y944" s="2"/>
    </row>
    <row r="945" spans="1:25" ht="17.399999999999999" x14ac:dyDescent="0.25">
      <c r="A945" s="1"/>
      <c r="B945" s="40"/>
      <c r="C945" s="2" t="str">
        <f ca="1">IFERROR(__xludf.DUMMYFUNCTION("iferror(filter('Full Perk List'!C$3:C1498,'Full Perk List'!$D$3:$D1498=$D945),"""")"),"#REF!")</f>
        <v>#REF!</v>
      </c>
      <c r="D945" s="2"/>
      <c r="E945" s="2" t="str">
        <f ca="1">IFERROR(__xludf.DUMMYFUNCTION("iferror(filter('Full Perk List'!E$3:E1498,'Full Perk List'!$D$3:$D1498=$D945),"""")"),"#REF!")</f>
        <v>#REF!</v>
      </c>
      <c r="F945" s="2" t="str">
        <f ca="1">IFERROR(__xludf.DUMMYFUNCTION("iferror(filter('Full Perk List'!F$3:F1498,'Full Perk List'!$D$3:$D1498=$D945),"""")"),"#REF!")</f>
        <v>#REF!</v>
      </c>
      <c r="G945" s="2" t="str">
        <f ca="1">IFERROR(__xludf.DUMMYFUNCTION("iferror(filter('Full Perk List'!G$3:G1498,'Full Perk List'!$D$3:$D1498=$D945),"""")"),"#REF!")</f>
        <v>#REF!</v>
      </c>
      <c r="H945" s="1"/>
      <c r="I945" s="2"/>
      <c r="J945" s="2"/>
      <c r="K945" s="2"/>
      <c r="L945" s="2"/>
      <c r="M945" s="2"/>
      <c r="N945" s="2"/>
      <c r="O945" s="2"/>
      <c r="P945" s="2"/>
      <c r="Q945" s="2"/>
      <c r="R945" s="2"/>
      <c r="S945" s="2"/>
      <c r="T945" s="2"/>
      <c r="U945" s="2"/>
      <c r="V945" s="2"/>
      <c r="W945" s="2"/>
      <c r="X945" s="2"/>
      <c r="Y945" s="2"/>
    </row>
    <row r="946" spans="1:25" ht="17.399999999999999" x14ac:dyDescent="0.25">
      <c r="A946" s="1"/>
      <c r="B946" s="40"/>
      <c r="C946" s="2" t="str">
        <f ca="1">IFERROR(__xludf.DUMMYFUNCTION("iferror(filter('Full Perk List'!C$3:C1498,'Full Perk List'!$D$3:$D1498=$D946),"""")"),"#REF!")</f>
        <v>#REF!</v>
      </c>
      <c r="D946" s="2"/>
      <c r="E946" s="2" t="str">
        <f ca="1">IFERROR(__xludf.DUMMYFUNCTION("iferror(filter('Full Perk List'!E$3:E1498,'Full Perk List'!$D$3:$D1498=$D946),"""")"),"#REF!")</f>
        <v>#REF!</v>
      </c>
      <c r="F946" s="2" t="str">
        <f ca="1">IFERROR(__xludf.DUMMYFUNCTION("iferror(filter('Full Perk List'!F$3:F1498,'Full Perk List'!$D$3:$D1498=$D946),"""")"),"#REF!")</f>
        <v>#REF!</v>
      </c>
      <c r="G946" s="2" t="str">
        <f ca="1">IFERROR(__xludf.DUMMYFUNCTION("iferror(filter('Full Perk List'!G$3:G1498,'Full Perk List'!$D$3:$D1498=$D946),"""")"),"#REF!")</f>
        <v>#REF!</v>
      </c>
      <c r="H946" s="1"/>
      <c r="I946" s="2"/>
      <c r="J946" s="2"/>
      <c r="K946" s="2"/>
      <c r="L946" s="2"/>
      <c r="M946" s="2"/>
      <c r="N946" s="2"/>
      <c r="O946" s="2"/>
      <c r="P946" s="2"/>
      <c r="Q946" s="2"/>
      <c r="R946" s="2"/>
      <c r="S946" s="2"/>
      <c r="T946" s="2"/>
      <c r="U946" s="2"/>
      <c r="V946" s="2"/>
      <c r="W946" s="2"/>
      <c r="X946" s="2"/>
      <c r="Y946" s="2"/>
    </row>
    <row r="947" spans="1:25" ht="17.399999999999999" x14ac:dyDescent="0.25">
      <c r="A947" s="1"/>
      <c r="B947" s="40"/>
      <c r="C947" s="2" t="str">
        <f ca="1">IFERROR(__xludf.DUMMYFUNCTION("iferror(filter('Full Perk List'!C$3:C1498,'Full Perk List'!$D$3:$D1498=$D947),"""")"),"#REF!")</f>
        <v>#REF!</v>
      </c>
      <c r="D947" s="2"/>
      <c r="E947" s="2" t="str">
        <f ca="1">IFERROR(__xludf.DUMMYFUNCTION("iferror(filter('Full Perk List'!E$3:E1498,'Full Perk List'!$D$3:$D1498=$D947),"""")"),"#REF!")</f>
        <v>#REF!</v>
      </c>
      <c r="F947" s="2" t="str">
        <f ca="1">IFERROR(__xludf.DUMMYFUNCTION("iferror(filter('Full Perk List'!F$3:F1498,'Full Perk List'!$D$3:$D1498=$D947),"""")"),"#REF!")</f>
        <v>#REF!</v>
      </c>
      <c r="G947" s="2" t="str">
        <f ca="1">IFERROR(__xludf.DUMMYFUNCTION("iferror(filter('Full Perk List'!G$3:G1498,'Full Perk List'!$D$3:$D1498=$D947),"""")"),"#REF!")</f>
        <v>#REF!</v>
      </c>
      <c r="H947" s="1"/>
      <c r="I947" s="2"/>
      <c r="J947" s="2"/>
      <c r="K947" s="2"/>
      <c r="L947" s="2"/>
      <c r="M947" s="2"/>
      <c r="N947" s="2"/>
      <c r="O947" s="2"/>
      <c r="P947" s="2"/>
      <c r="Q947" s="2"/>
      <c r="R947" s="2"/>
      <c r="S947" s="2"/>
      <c r="T947" s="2"/>
      <c r="U947" s="2"/>
      <c r="V947" s="2"/>
      <c r="W947" s="2"/>
      <c r="X947" s="2"/>
      <c r="Y947" s="2"/>
    </row>
    <row r="948" spans="1:25" ht="17.399999999999999" x14ac:dyDescent="0.25">
      <c r="A948" s="1"/>
      <c r="B948" s="40"/>
      <c r="C948" s="2" t="str">
        <f ca="1">IFERROR(__xludf.DUMMYFUNCTION("iferror(filter('Full Perk List'!C$3:C1498,'Full Perk List'!$D$3:$D1498=$D948),"""")"),"#REF!")</f>
        <v>#REF!</v>
      </c>
      <c r="D948" s="2"/>
      <c r="E948" s="2" t="str">
        <f ca="1">IFERROR(__xludf.DUMMYFUNCTION("iferror(filter('Full Perk List'!E$3:E1498,'Full Perk List'!$D$3:$D1498=$D948),"""")"),"#REF!")</f>
        <v>#REF!</v>
      </c>
      <c r="F948" s="2" t="str">
        <f ca="1">IFERROR(__xludf.DUMMYFUNCTION("iferror(filter('Full Perk List'!F$3:F1498,'Full Perk List'!$D$3:$D1498=$D948),"""")"),"#REF!")</f>
        <v>#REF!</v>
      </c>
      <c r="G948" s="2" t="str">
        <f ca="1">IFERROR(__xludf.DUMMYFUNCTION("iferror(filter('Full Perk List'!G$3:G1498,'Full Perk List'!$D$3:$D1498=$D948),"""")"),"#REF!")</f>
        <v>#REF!</v>
      </c>
      <c r="H948" s="1"/>
      <c r="I948" s="2"/>
      <c r="J948" s="2"/>
      <c r="K948" s="2"/>
      <c r="L948" s="2"/>
      <c r="M948" s="2"/>
      <c r="N948" s="2"/>
      <c r="O948" s="2"/>
      <c r="P948" s="2"/>
      <c r="Q948" s="2"/>
      <c r="R948" s="2"/>
      <c r="S948" s="2"/>
      <c r="T948" s="2"/>
      <c r="U948" s="2"/>
      <c r="V948" s="2"/>
      <c r="W948" s="2"/>
      <c r="X948" s="2"/>
      <c r="Y948" s="2"/>
    </row>
    <row r="949" spans="1:25" ht="17.399999999999999" x14ac:dyDescent="0.25">
      <c r="A949" s="1"/>
      <c r="B949" s="40"/>
      <c r="C949" s="2" t="str">
        <f ca="1">IFERROR(__xludf.DUMMYFUNCTION("iferror(filter('Full Perk List'!C$3:C1498,'Full Perk List'!$D$3:$D1498=$D949),"""")"),"#REF!")</f>
        <v>#REF!</v>
      </c>
      <c r="D949" s="2"/>
      <c r="E949" s="2" t="str">
        <f ca="1">IFERROR(__xludf.DUMMYFUNCTION("iferror(filter('Full Perk List'!E$3:E1498,'Full Perk List'!$D$3:$D1498=$D949),"""")"),"#REF!")</f>
        <v>#REF!</v>
      </c>
      <c r="F949" s="2" t="str">
        <f ca="1">IFERROR(__xludf.DUMMYFUNCTION("iferror(filter('Full Perk List'!F$3:F1498,'Full Perk List'!$D$3:$D1498=$D949),"""")"),"#REF!")</f>
        <v>#REF!</v>
      </c>
      <c r="G949" s="2" t="str">
        <f ca="1">IFERROR(__xludf.DUMMYFUNCTION("iferror(filter('Full Perk List'!G$3:G1498,'Full Perk List'!$D$3:$D1498=$D949),"""")"),"#REF!")</f>
        <v>#REF!</v>
      </c>
      <c r="H949" s="1"/>
      <c r="I949" s="2"/>
      <c r="J949" s="2"/>
      <c r="K949" s="2"/>
      <c r="L949" s="2"/>
      <c r="M949" s="2"/>
      <c r="N949" s="2"/>
      <c r="O949" s="2"/>
      <c r="P949" s="2"/>
      <c r="Q949" s="2"/>
      <c r="R949" s="2"/>
      <c r="S949" s="2"/>
      <c r="T949" s="2"/>
      <c r="U949" s="2"/>
      <c r="V949" s="2"/>
      <c r="W949" s="2"/>
      <c r="X949" s="2"/>
      <c r="Y949" s="2"/>
    </row>
    <row r="950" spans="1:25" ht="17.399999999999999" x14ac:dyDescent="0.25">
      <c r="A950" s="1"/>
      <c r="B950" s="40"/>
      <c r="C950" s="2" t="str">
        <f ca="1">IFERROR(__xludf.DUMMYFUNCTION("iferror(filter('Full Perk List'!C$3:C1498,'Full Perk List'!$D$3:$D1498=$D950),"""")"),"#REF!")</f>
        <v>#REF!</v>
      </c>
      <c r="D950" s="2"/>
      <c r="E950" s="2" t="str">
        <f ca="1">IFERROR(__xludf.DUMMYFUNCTION("iferror(filter('Full Perk List'!E$3:E1498,'Full Perk List'!$D$3:$D1498=$D950),"""")"),"#REF!")</f>
        <v>#REF!</v>
      </c>
      <c r="F950" s="2" t="str">
        <f ca="1">IFERROR(__xludf.DUMMYFUNCTION("iferror(filter('Full Perk List'!F$3:F1498,'Full Perk List'!$D$3:$D1498=$D950),"""")"),"#REF!")</f>
        <v>#REF!</v>
      </c>
      <c r="G950" s="2" t="str">
        <f ca="1">IFERROR(__xludf.DUMMYFUNCTION("iferror(filter('Full Perk List'!G$3:G1498,'Full Perk List'!$D$3:$D1498=$D950),"""")"),"#REF!")</f>
        <v>#REF!</v>
      </c>
      <c r="H950" s="1"/>
      <c r="I950" s="2"/>
      <c r="J950" s="2"/>
      <c r="K950" s="2"/>
      <c r="L950" s="2"/>
      <c r="M950" s="2"/>
      <c r="N950" s="2"/>
      <c r="O950" s="2"/>
      <c r="P950" s="2"/>
      <c r="Q950" s="2"/>
      <c r="R950" s="2"/>
      <c r="S950" s="2"/>
      <c r="T950" s="2"/>
      <c r="U950" s="2"/>
      <c r="V950" s="2"/>
      <c r="W950" s="2"/>
      <c r="X950" s="2"/>
      <c r="Y950" s="2"/>
    </row>
    <row r="951" spans="1:25" ht="17.399999999999999" x14ac:dyDescent="0.25">
      <c r="A951" s="1"/>
      <c r="B951" s="40"/>
      <c r="C951" s="2" t="str">
        <f ca="1">IFERROR(__xludf.DUMMYFUNCTION("iferror(filter('Full Perk List'!C$3:C1498,'Full Perk List'!$D$3:$D1498=$D951),"""")"),"#REF!")</f>
        <v>#REF!</v>
      </c>
      <c r="D951" s="2"/>
      <c r="E951" s="2" t="str">
        <f ca="1">IFERROR(__xludf.DUMMYFUNCTION("iferror(filter('Full Perk List'!E$3:E1498,'Full Perk List'!$D$3:$D1498=$D951),"""")"),"#REF!")</f>
        <v>#REF!</v>
      </c>
      <c r="F951" s="2" t="str">
        <f ca="1">IFERROR(__xludf.DUMMYFUNCTION("iferror(filter('Full Perk List'!F$3:F1498,'Full Perk List'!$D$3:$D1498=$D951),"""")"),"#REF!")</f>
        <v>#REF!</v>
      </c>
      <c r="G951" s="2" t="str">
        <f ca="1">IFERROR(__xludf.DUMMYFUNCTION("iferror(filter('Full Perk List'!G$3:G1498,'Full Perk List'!$D$3:$D1498=$D951),"""")"),"#REF!")</f>
        <v>#REF!</v>
      </c>
      <c r="H951" s="1"/>
      <c r="I951" s="2"/>
      <c r="J951" s="2"/>
      <c r="K951" s="2"/>
      <c r="L951" s="2"/>
      <c r="M951" s="2"/>
      <c r="N951" s="2"/>
      <c r="O951" s="2"/>
      <c r="P951" s="2"/>
      <c r="Q951" s="2"/>
      <c r="R951" s="2"/>
      <c r="S951" s="2"/>
      <c r="T951" s="2"/>
      <c r="U951" s="2"/>
      <c r="V951" s="2"/>
      <c r="W951" s="2"/>
      <c r="X951" s="2"/>
      <c r="Y951" s="2"/>
    </row>
    <row r="952" spans="1:25" ht="17.399999999999999" x14ac:dyDescent="0.25">
      <c r="A952" s="1"/>
      <c r="B952" s="40"/>
      <c r="C952" s="2" t="str">
        <f ca="1">IFERROR(__xludf.DUMMYFUNCTION("iferror(filter('Full Perk List'!C$3:C1498,'Full Perk List'!$D$3:$D1498=$D952),"""")"),"#REF!")</f>
        <v>#REF!</v>
      </c>
      <c r="D952" s="2"/>
      <c r="E952" s="2" t="str">
        <f ca="1">IFERROR(__xludf.DUMMYFUNCTION("iferror(filter('Full Perk List'!E$3:E1498,'Full Perk List'!$D$3:$D1498=$D952),"""")"),"#REF!")</f>
        <v>#REF!</v>
      </c>
      <c r="F952" s="2" t="str">
        <f ca="1">IFERROR(__xludf.DUMMYFUNCTION("iferror(filter('Full Perk List'!F$3:F1498,'Full Perk List'!$D$3:$D1498=$D952),"""")"),"#REF!")</f>
        <v>#REF!</v>
      </c>
      <c r="G952" s="2" t="str">
        <f ca="1">IFERROR(__xludf.DUMMYFUNCTION("iferror(filter('Full Perk List'!G$3:G1498,'Full Perk List'!$D$3:$D1498=$D952),"""")"),"#REF!")</f>
        <v>#REF!</v>
      </c>
      <c r="H952" s="1"/>
      <c r="I952" s="2"/>
      <c r="J952" s="2"/>
      <c r="K952" s="2"/>
      <c r="L952" s="2"/>
      <c r="M952" s="2"/>
      <c r="N952" s="2"/>
      <c r="O952" s="2"/>
      <c r="P952" s="2"/>
      <c r="Q952" s="2"/>
      <c r="R952" s="2"/>
      <c r="S952" s="2"/>
      <c r="T952" s="2"/>
      <c r="U952" s="2"/>
      <c r="V952" s="2"/>
      <c r="W952" s="2"/>
      <c r="X952" s="2"/>
      <c r="Y952" s="2"/>
    </row>
    <row r="953" spans="1:25" ht="17.399999999999999" x14ac:dyDescent="0.25">
      <c r="A953" s="1"/>
      <c r="B953" s="40"/>
      <c r="C953" s="2" t="str">
        <f ca="1">IFERROR(__xludf.DUMMYFUNCTION("iferror(filter('Full Perk List'!C$3:C1498,'Full Perk List'!$D$3:$D1498=$D953),"""")"),"#REF!")</f>
        <v>#REF!</v>
      </c>
      <c r="D953" s="2"/>
      <c r="E953" s="2" t="str">
        <f ca="1">IFERROR(__xludf.DUMMYFUNCTION("iferror(filter('Full Perk List'!E$3:E1498,'Full Perk List'!$D$3:$D1498=$D953),"""")"),"#REF!")</f>
        <v>#REF!</v>
      </c>
      <c r="F953" s="2" t="str">
        <f ca="1">IFERROR(__xludf.DUMMYFUNCTION("iferror(filter('Full Perk List'!F$3:F1498,'Full Perk List'!$D$3:$D1498=$D953),"""")"),"#REF!")</f>
        <v>#REF!</v>
      </c>
      <c r="G953" s="2" t="str">
        <f ca="1">IFERROR(__xludf.DUMMYFUNCTION("iferror(filter('Full Perk List'!G$3:G1498,'Full Perk List'!$D$3:$D1498=$D953),"""")"),"#REF!")</f>
        <v>#REF!</v>
      </c>
      <c r="H953" s="1"/>
      <c r="I953" s="2"/>
      <c r="J953" s="2"/>
      <c r="K953" s="2"/>
      <c r="L953" s="2"/>
      <c r="M953" s="2"/>
      <c r="N953" s="2"/>
      <c r="O953" s="2"/>
      <c r="P953" s="2"/>
      <c r="Q953" s="2"/>
      <c r="R953" s="2"/>
      <c r="S953" s="2"/>
      <c r="T953" s="2"/>
      <c r="U953" s="2"/>
      <c r="V953" s="2"/>
      <c r="W953" s="2"/>
      <c r="X953" s="2"/>
      <c r="Y953" s="2"/>
    </row>
    <row r="954" spans="1:25" ht="17.399999999999999" x14ac:dyDescent="0.25">
      <c r="A954" s="1"/>
      <c r="B954" s="40"/>
      <c r="C954" s="2" t="str">
        <f ca="1">IFERROR(__xludf.DUMMYFUNCTION("iferror(filter('Full Perk List'!C$3:C1498,'Full Perk List'!$D$3:$D1498=$D954),"""")"),"#REF!")</f>
        <v>#REF!</v>
      </c>
      <c r="D954" s="2"/>
      <c r="E954" s="2" t="str">
        <f ca="1">IFERROR(__xludf.DUMMYFUNCTION("iferror(filter('Full Perk List'!E$3:E1498,'Full Perk List'!$D$3:$D1498=$D954),"""")"),"#REF!")</f>
        <v>#REF!</v>
      </c>
      <c r="F954" s="2" t="str">
        <f ca="1">IFERROR(__xludf.DUMMYFUNCTION("iferror(filter('Full Perk List'!F$3:F1498,'Full Perk List'!$D$3:$D1498=$D954),"""")"),"#REF!")</f>
        <v>#REF!</v>
      </c>
      <c r="G954" s="2" t="str">
        <f ca="1">IFERROR(__xludf.DUMMYFUNCTION("iferror(filter('Full Perk List'!G$3:G1498,'Full Perk List'!$D$3:$D1498=$D954),"""")"),"#REF!")</f>
        <v>#REF!</v>
      </c>
      <c r="H954" s="1"/>
      <c r="I954" s="2"/>
      <c r="J954" s="2"/>
      <c r="K954" s="2"/>
      <c r="L954" s="2"/>
      <c r="M954" s="2"/>
      <c r="N954" s="2"/>
      <c r="O954" s="2"/>
      <c r="P954" s="2"/>
      <c r="Q954" s="2"/>
      <c r="R954" s="2"/>
      <c r="S954" s="2"/>
      <c r="T954" s="2"/>
      <c r="U954" s="2"/>
      <c r="V954" s="2"/>
      <c r="W954" s="2"/>
      <c r="X954" s="2"/>
      <c r="Y954" s="2"/>
    </row>
    <row r="955" spans="1:25" ht="17.399999999999999" x14ac:dyDescent="0.25">
      <c r="A955" s="1"/>
      <c r="B955" s="40"/>
      <c r="C955" s="2" t="str">
        <f ca="1">IFERROR(__xludf.DUMMYFUNCTION("iferror(filter('Full Perk List'!C$3:C1498,'Full Perk List'!$D$3:$D1498=$D955),"""")"),"#REF!")</f>
        <v>#REF!</v>
      </c>
      <c r="D955" s="2"/>
      <c r="E955" s="2" t="str">
        <f ca="1">IFERROR(__xludf.DUMMYFUNCTION("iferror(filter('Full Perk List'!E$3:E1498,'Full Perk List'!$D$3:$D1498=$D955),"""")"),"#REF!")</f>
        <v>#REF!</v>
      </c>
      <c r="F955" s="2" t="str">
        <f ca="1">IFERROR(__xludf.DUMMYFUNCTION("iferror(filter('Full Perk List'!F$3:F1498,'Full Perk List'!$D$3:$D1498=$D955),"""")"),"#REF!")</f>
        <v>#REF!</v>
      </c>
      <c r="G955" s="2" t="str">
        <f ca="1">IFERROR(__xludf.DUMMYFUNCTION("iferror(filter('Full Perk List'!G$3:G1498,'Full Perk List'!$D$3:$D1498=$D955),"""")"),"#REF!")</f>
        <v>#REF!</v>
      </c>
      <c r="H955" s="1"/>
      <c r="I955" s="2"/>
      <c r="J955" s="2"/>
      <c r="K955" s="2"/>
      <c r="L955" s="2"/>
      <c r="M955" s="2"/>
      <c r="N955" s="2"/>
      <c r="O955" s="2"/>
      <c r="P955" s="2"/>
      <c r="Q955" s="2"/>
      <c r="R955" s="2"/>
      <c r="S955" s="2"/>
      <c r="T955" s="2"/>
      <c r="U955" s="2"/>
      <c r="V955" s="2"/>
      <c r="W955" s="2"/>
      <c r="X955" s="2"/>
      <c r="Y955" s="2"/>
    </row>
    <row r="956" spans="1:25" ht="17.399999999999999" x14ac:dyDescent="0.25">
      <c r="A956" s="1"/>
      <c r="B956" s="40"/>
      <c r="C956" s="2" t="str">
        <f ca="1">IFERROR(__xludf.DUMMYFUNCTION("iferror(filter('Full Perk List'!C$3:C1498,'Full Perk List'!$D$3:$D1498=$D956),"""")"),"#REF!")</f>
        <v>#REF!</v>
      </c>
      <c r="D956" s="2"/>
      <c r="E956" s="2" t="str">
        <f ca="1">IFERROR(__xludf.DUMMYFUNCTION("iferror(filter('Full Perk List'!E$3:E1498,'Full Perk List'!$D$3:$D1498=$D956),"""")"),"#REF!")</f>
        <v>#REF!</v>
      </c>
      <c r="F956" s="2" t="str">
        <f ca="1">IFERROR(__xludf.DUMMYFUNCTION("iferror(filter('Full Perk List'!F$3:F1498,'Full Perk List'!$D$3:$D1498=$D956),"""")"),"#REF!")</f>
        <v>#REF!</v>
      </c>
      <c r="G956" s="2" t="str">
        <f ca="1">IFERROR(__xludf.DUMMYFUNCTION("iferror(filter('Full Perk List'!G$3:G1498,'Full Perk List'!$D$3:$D1498=$D956),"""")"),"#REF!")</f>
        <v>#REF!</v>
      </c>
      <c r="H956" s="1"/>
      <c r="I956" s="2"/>
      <c r="J956" s="2"/>
      <c r="K956" s="2"/>
      <c r="L956" s="2"/>
      <c r="M956" s="2"/>
      <c r="N956" s="2"/>
      <c r="O956" s="2"/>
      <c r="P956" s="2"/>
      <c r="Q956" s="2"/>
      <c r="R956" s="2"/>
      <c r="S956" s="2"/>
      <c r="T956" s="2"/>
      <c r="U956" s="2"/>
      <c r="V956" s="2"/>
      <c r="W956" s="2"/>
      <c r="X956" s="2"/>
      <c r="Y956" s="2"/>
    </row>
    <row r="957" spans="1:25" ht="17.399999999999999" x14ac:dyDescent="0.25">
      <c r="A957" s="1"/>
      <c r="B957" s="40"/>
      <c r="C957" s="2" t="str">
        <f ca="1">IFERROR(__xludf.DUMMYFUNCTION("iferror(filter('Full Perk List'!C$3:C1498,'Full Perk List'!$D$3:$D1498=$D957),"""")"),"#REF!")</f>
        <v>#REF!</v>
      </c>
      <c r="D957" s="2"/>
      <c r="E957" s="2" t="str">
        <f ca="1">IFERROR(__xludf.DUMMYFUNCTION("iferror(filter('Full Perk List'!E$3:E1498,'Full Perk List'!$D$3:$D1498=$D957),"""")"),"#REF!")</f>
        <v>#REF!</v>
      </c>
      <c r="F957" s="2" t="str">
        <f ca="1">IFERROR(__xludf.DUMMYFUNCTION("iferror(filter('Full Perk List'!F$3:F1498,'Full Perk List'!$D$3:$D1498=$D957),"""")"),"#REF!")</f>
        <v>#REF!</v>
      </c>
      <c r="G957" s="2" t="str">
        <f ca="1">IFERROR(__xludf.DUMMYFUNCTION("iferror(filter('Full Perk List'!G$3:G1498,'Full Perk List'!$D$3:$D1498=$D957),"""")"),"#REF!")</f>
        <v>#REF!</v>
      </c>
      <c r="H957" s="1"/>
      <c r="I957" s="2"/>
      <c r="J957" s="2"/>
      <c r="K957" s="2"/>
      <c r="L957" s="2"/>
      <c r="M957" s="2"/>
      <c r="N957" s="2"/>
      <c r="O957" s="2"/>
      <c r="P957" s="2"/>
      <c r="Q957" s="2"/>
      <c r="R957" s="2"/>
      <c r="S957" s="2"/>
      <c r="T957" s="2"/>
      <c r="U957" s="2"/>
      <c r="V957" s="2"/>
      <c r="W957" s="2"/>
      <c r="X957" s="2"/>
      <c r="Y957" s="2"/>
    </row>
    <row r="958" spans="1:25" ht="17.399999999999999" x14ac:dyDescent="0.25">
      <c r="A958" s="1"/>
      <c r="B958" s="40"/>
      <c r="C958" s="2" t="str">
        <f ca="1">IFERROR(__xludf.DUMMYFUNCTION("iferror(filter('Full Perk List'!C$3:C1498,'Full Perk List'!$D$3:$D1498=$D958),"""")"),"#REF!")</f>
        <v>#REF!</v>
      </c>
      <c r="D958" s="2"/>
      <c r="E958" s="2" t="str">
        <f ca="1">IFERROR(__xludf.DUMMYFUNCTION("iferror(filter('Full Perk List'!E$3:E1498,'Full Perk List'!$D$3:$D1498=$D958),"""")"),"#REF!")</f>
        <v>#REF!</v>
      </c>
      <c r="F958" s="2" t="str">
        <f ca="1">IFERROR(__xludf.DUMMYFUNCTION("iferror(filter('Full Perk List'!F$3:F1498,'Full Perk List'!$D$3:$D1498=$D958),"""")"),"#REF!")</f>
        <v>#REF!</v>
      </c>
      <c r="G958" s="2" t="str">
        <f ca="1">IFERROR(__xludf.DUMMYFUNCTION("iferror(filter('Full Perk List'!G$3:G1498,'Full Perk List'!$D$3:$D1498=$D958),"""")"),"#REF!")</f>
        <v>#REF!</v>
      </c>
      <c r="H958" s="1"/>
      <c r="I958" s="2"/>
      <c r="J958" s="2"/>
      <c r="K958" s="2"/>
      <c r="L958" s="2"/>
      <c r="M958" s="2"/>
      <c r="N958" s="2"/>
      <c r="O958" s="2"/>
      <c r="P958" s="2"/>
      <c r="Q958" s="2"/>
      <c r="R958" s="2"/>
      <c r="S958" s="2"/>
      <c r="T958" s="2"/>
      <c r="U958" s="2"/>
      <c r="V958" s="2"/>
      <c r="W958" s="2"/>
      <c r="X958" s="2"/>
      <c r="Y958" s="2"/>
    </row>
    <row r="959" spans="1:25" ht="17.399999999999999" x14ac:dyDescent="0.25">
      <c r="A959" s="1"/>
      <c r="B959" s="40"/>
      <c r="C959" s="2" t="str">
        <f ca="1">IFERROR(__xludf.DUMMYFUNCTION("iferror(filter('Full Perk List'!C$3:C1498,'Full Perk List'!$D$3:$D1498=$D959),"""")"),"#REF!")</f>
        <v>#REF!</v>
      </c>
      <c r="D959" s="2"/>
      <c r="E959" s="2" t="str">
        <f ca="1">IFERROR(__xludf.DUMMYFUNCTION("iferror(filter('Full Perk List'!E$3:E1498,'Full Perk List'!$D$3:$D1498=$D959),"""")"),"#REF!")</f>
        <v>#REF!</v>
      </c>
      <c r="F959" s="2" t="str">
        <f ca="1">IFERROR(__xludf.DUMMYFUNCTION("iferror(filter('Full Perk List'!F$3:F1498,'Full Perk List'!$D$3:$D1498=$D959),"""")"),"#REF!")</f>
        <v>#REF!</v>
      </c>
      <c r="G959" s="2" t="str">
        <f ca="1">IFERROR(__xludf.DUMMYFUNCTION("iferror(filter('Full Perk List'!G$3:G1498,'Full Perk List'!$D$3:$D1498=$D959),"""")"),"#REF!")</f>
        <v>#REF!</v>
      </c>
      <c r="H959" s="1"/>
      <c r="I959" s="2"/>
      <c r="J959" s="2"/>
      <c r="K959" s="2"/>
      <c r="L959" s="2"/>
      <c r="M959" s="2"/>
      <c r="N959" s="2"/>
      <c r="O959" s="2"/>
      <c r="P959" s="2"/>
      <c r="Q959" s="2"/>
      <c r="R959" s="2"/>
      <c r="S959" s="2"/>
      <c r="T959" s="2"/>
      <c r="U959" s="2"/>
      <c r="V959" s="2"/>
      <c r="W959" s="2"/>
      <c r="X959" s="2"/>
      <c r="Y959" s="2"/>
    </row>
    <row r="960" spans="1:25" ht="17.399999999999999" x14ac:dyDescent="0.25">
      <c r="A960" s="1"/>
      <c r="B960" s="40"/>
      <c r="C960" s="2" t="str">
        <f ca="1">IFERROR(__xludf.DUMMYFUNCTION("iferror(filter('Full Perk List'!C$3:C1498,'Full Perk List'!$D$3:$D1498=$D960),"""")"),"#REF!")</f>
        <v>#REF!</v>
      </c>
      <c r="D960" s="2"/>
      <c r="E960" s="2" t="str">
        <f ca="1">IFERROR(__xludf.DUMMYFUNCTION("iferror(filter('Full Perk List'!E$3:E1498,'Full Perk List'!$D$3:$D1498=$D960),"""")"),"#REF!")</f>
        <v>#REF!</v>
      </c>
      <c r="F960" s="2" t="str">
        <f ca="1">IFERROR(__xludf.DUMMYFUNCTION("iferror(filter('Full Perk List'!F$3:F1498,'Full Perk List'!$D$3:$D1498=$D960),"""")"),"#REF!")</f>
        <v>#REF!</v>
      </c>
      <c r="G960" s="2" t="str">
        <f ca="1">IFERROR(__xludf.DUMMYFUNCTION("iferror(filter('Full Perk List'!G$3:G1498,'Full Perk List'!$D$3:$D1498=$D960),"""")"),"#REF!")</f>
        <v>#REF!</v>
      </c>
      <c r="H960" s="1"/>
      <c r="I960" s="2"/>
      <c r="J960" s="2"/>
      <c r="K960" s="2"/>
      <c r="L960" s="2"/>
      <c r="M960" s="2"/>
      <c r="N960" s="2"/>
      <c r="O960" s="2"/>
      <c r="P960" s="2"/>
      <c r="Q960" s="2"/>
      <c r="R960" s="2"/>
      <c r="S960" s="2"/>
      <c r="T960" s="2"/>
      <c r="U960" s="2"/>
      <c r="V960" s="2"/>
      <c r="W960" s="2"/>
      <c r="X960" s="2"/>
      <c r="Y960" s="2"/>
    </row>
    <row r="961" spans="1:25" ht="17.399999999999999" x14ac:dyDescent="0.25">
      <c r="A961" s="1"/>
      <c r="B961" s="40"/>
      <c r="C961" s="2" t="str">
        <f ca="1">IFERROR(__xludf.DUMMYFUNCTION("iferror(filter('Full Perk List'!C$3:C1498,'Full Perk List'!$D$3:$D1498=$D961),"""")"),"#REF!")</f>
        <v>#REF!</v>
      </c>
      <c r="D961" s="2"/>
      <c r="E961" s="2" t="str">
        <f ca="1">IFERROR(__xludf.DUMMYFUNCTION("iferror(filter('Full Perk List'!E$3:E1498,'Full Perk List'!$D$3:$D1498=$D961),"""")"),"#REF!")</f>
        <v>#REF!</v>
      </c>
      <c r="F961" s="2" t="str">
        <f ca="1">IFERROR(__xludf.DUMMYFUNCTION("iferror(filter('Full Perk List'!F$3:F1498,'Full Perk List'!$D$3:$D1498=$D961),"""")"),"#REF!")</f>
        <v>#REF!</v>
      </c>
      <c r="G961" s="2" t="str">
        <f ca="1">IFERROR(__xludf.DUMMYFUNCTION("iferror(filter('Full Perk List'!G$3:G1498,'Full Perk List'!$D$3:$D1498=$D961),"""")"),"#REF!")</f>
        <v>#REF!</v>
      </c>
      <c r="H961" s="1"/>
      <c r="I961" s="2"/>
      <c r="J961" s="2"/>
      <c r="K961" s="2"/>
      <c r="L961" s="2"/>
      <c r="M961" s="2"/>
      <c r="N961" s="2"/>
      <c r="O961" s="2"/>
      <c r="P961" s="2"/>
      <c r="Q961" s="2"/>
      <c r="R961" s="2"/>
      <c r="S961" s="2"/>
      <c r="T961" s="2"/>
      <c r="U961" s="2"/>
      <c r="V961" s="2"/>
      <c r="W961" s="2"/>
      <c r="X961" s="2"/>
      <c r="Y961" s="2"/>
    </row>
    <row r="962" spans="1:25" ht="17.399999999999999" x14ac:dyDescent="0.25">
      <c r="A962" s="1"/>
      <c r="B962" s="40"/>
      <c r="C962" s="2" t="str">
        <f ca="1">IFERROR(__xludf.DUMMYFUNCTION("iferror(filter('Full Perk List'!C$3:C1498,'Full Perk List'!$D$3:$D1498=$D962),"""")"),"#REF!")</f>
        <v>#REF!</v>
      </c>
      <c r="D962" s="2"/>
      <c r="E962" s="2" t="str">
        <f ca="1">IFERROR(__xludf.DUMMYFUNCTION("iferror(filter('Full Perk List'!E$3:E1498,'Full Perk List'!$D$3:$D1498=$D962),"""")"),"#REF!")</f>
        <v>#REF!</v>
      </c>
      <c r="F962" s="2" t="str">
        <f ca="1">IFERROR(__xludf.DUMMYFUNCTION("iferror(filter('Full Perk List'!F$3:F1498,'Full Perk List'!$D$3:$D1498=$D962),"""")"),"#REF!")</f>
        <v>#REF!</v>
      </c>
      <c r="G962" s="2" t="str">
        <f ca="1">IFERROR(__xludf.DUMMYFUNCTION("iferror(filter('Full Perk List'!G$3:G1498,'Full Perk List'!$D$3:$D1498=$D962),"""")"),"#REF!")</f>
        <v>#REF!</v>
      </c>
      <c r="H962" s="1"/>
      <c r="I962" s="2"/>
      <c r="J962" s="2"/>
      <c r="K962" s="2"/>
      <c r="L962" s="2"/>
      <c r="M962" s="2"/>
      <c r="N962" s="2"/>
      <c r="O962" s="2"/>
      <c r="P962" s="2"/>
      <c r="Q962" s="2"/>
      <c r="R962" s="2"/>
      <c r="S962" s="2"/>
      <c r="T962" s="2"/>
      <c r="U962" s="2"/>
      <c r="V962" s="2"/>
      <c r="W962" s="2"/>
      <c r="X962" s="2"/>
      <c r="Y962" s="2"/>
    </row>
    <row r="963" spans="1:25" ht="17.399999999999999" x14ac:dyDescent="0.25">
      <c r="A963" s="1"/>
      <c r="B963" s="40"/>
      <c r="C963" s="2" t="str">
        <f ca="1">IFERROR(__xludf.DUMMYFUNCTION("iferror(filter('Full Perk List'!C$3:C1498,'Full Perk List'!$D$3:$D1498=$D963),"""")"),"#REF!")</f>
        <v>#REF!</v>
      </c>
      <c r="D963" s="2"/>
      <c r="E963" s="2" t="str">
        <f ca="1">IFERROR(__xludf.DUMMYFUNCTION("iferror(filter('Full Perk List'!E$3:E1498,'Full Perk List'!$D$3:$D1498=$D963),"""")"),"#REF!")</f>
        <v>#REF!</v>
      </c>
      <c r="F963" s="2" t="str">
        <f ca="1">IFERROR(__xludf.DUMMYFUNCTION("iferror(filter('Full Perk List'!F$3:F1498,'Full Perk List'!$D$3:$D1498=$D963),"""")"),"#REF!")</f>
        <v>#REF!</v>
      </c>
      <c r="G963" s="2" t="str">
        <f ca="1">IFERROR(__xludf.DUMMYFUNCTION("iferror(filter('Full Perk List'!G$3:G1498,'Full Perk List'!$D$3:$D1498=$D963),"""")"),"#REF!")</f>
        <v>#REF!</v>
      </c>
      <c r="H963" s="1"/>
      <c r="I963" s="2"/>
      <c r="J963" s="2"/>
      <c r="K963" s="2"/>
      <c r="L963" s="2"/>
      <c r="M963" s="2"/>
      <c r="N963" s="2"/>
      <c r="O963" s="2"/>
      <c r="P963" s="2"/>
      <c r="Q963" s="2"/>
      <c r="R963" s="2"/>
      <c r="S963" s="2"/>
      <c r="T963" s="2"/>
      <c r="U963" s="2"/>
      <c r="V963" s="2"/>
      <c r="W963" s="2"/>
      <c r="X963" s="2"/>
      <c r="Y963" s="2"/>
    </row>
    <row r="964" spans="1:25" ht="17.399999999999999" x14ac:dyDescent="0.25">
      <c r="A964" s="1"/>
      <c r="B964" s="40"/>
      <c r="C964" s="2" t="str">
        <f ca="1">IFERROR(__xludf.DUMMYFUNCTION("iferror(filter('Full Perk List'!C$3:C1498,'Full Perk List'!$D$3:$D1498=$D964),"""")"),"#REF!")</f>
        <v>#REF!</v>
      </c>
      <c r="D964" s="2"/>
      <c r="E964" s="2" t="str">
        <f ca="1">IFERROR(__xludf.DUMMYFUNCTION("iferror(filter('Full Perk List'!E$3:E1498,'Full Perk List'!$D$3:$D1498=$D964),"""")"),"#REF!")</f>
        <v>#REF!</v>
      </c>
      <c r="F964" s="2" t="str">
        <f ca="1">IFERROR(__xludf.DUMMYFUNCTION("iferror(filter('Full Perk List'!F$3:F1498,'Full Perk List'!$D$3:$D1498=$D964),"""")"),"#REF!")</f>
        <v>#REF!</v>
      </c>
      <c r="G964" s="2" t="str">
        <f ca="1">IFERROR(__xludf.DUMMYFUNCTION("iferror(filter('Full Perk List'!G$3:G1498,'Full Perk List'!$D$3:$D1498=$D964),"""")"),"#REF!")</f>
        <v>#REF!</v>
      </c>
      <c r="H964" s="1"/>
      <c r="I964" s="2"/>
      <c r="J964" s="2"/>
      <c r="K964" s="2"/>
      <c r="L964" s="2"/>
      <c r="M964" s="2"/>
      <c r="N964" s="2"/>
      <c r="O964" s="2"/>
      <c r="P964" s="2"/>
      <c r="Q964" s="2"/>
      <c r="R964" s="2"/>
      <c r="S964" s="2"/>
      <c r="T964" s="2"/>
      <c r="U964" s="2"/>
      <c r="V964" s="2"/>
      <c r="W964" s="2"/>
      <c r="X964" s="2"/>
      <c r="Y964" s="2"/>
    </row>
    <row r="965" spans="1:25" ht="17.399999999999999" x14ac:dyDescent="0.25">
      <c r="A965" s="1"/>
      <c r="B965" s="40"/>
      <c r="C965" s="2" t="str">
        <f ca="1">IFERROR(__xludf.DUMMYFUNCTION("iferror(filter('Full Perk List'!C$3:C1498,'Full Perk List'!$D$3:$D1498=$D965),"""")"),"#REF!")</f>
        <v>#REF!</v>
      </c>
      <c r="D965" s="2"/>
      <c r="E965" s="2" t="str">
        <f ca="1">IFERROR(__xludf.DUMMYFUNCTION("iferror(filter('Full Perk List'!E$3:E1498,'Full Perk List'!$D$3:$D1498=$D965),"""")"),"#REF!")</f>
        <v>#REF!</v>
      </c>
      <c r="F965" s="2" t="str">
        <f ca="1">IFERROR(__xludf.DUMMYFUNCTION("iferror(filter('Full Perk List'!F$3:F1498,'Full Perk List'!$D$3:$D1498=$D965),"""")"),"#REF!")</f>
        <v>#REF!</v>
      </c>
      <c r="G965" s="2" t="str">
        <f ca="1">IFERROR(__xludf.DUMMYFUNCTION("iferror(filter('Full Perk List'!G$3:G1498,'Full Perk List'!$D$3:$D1498=$D965),"""")"),"#REF!")</f>
        <v>#REF!</v>
      </c>
      <c r="H965" s="1"/>
      <c r="I965" s="2"/>
      <c r="J965" s="2"/>
      <c r="K965" s="2"/>
      <c r="L965" s="2"/>
      <c r="M965" s="2"/>
      <c r="N965" s="2"/>
      <c r="O965" s="2"/>
      <c r="P965" s="2"/>
      <c r="Q965" s="2"/>
      <c r="R965" s="2"/>
      <c r="S965" s="2"/>
      <c r="T965" s="2"/>
      <c r="U965" s="2"/>
      <c r="V965" s="2"/>
      <c r="W965" s="2"/>
      <c r="X965" s="2"/>
      <c r="Y965" s="2"/>
    </row>
    <row r="966" spans="1:25" ht="17.399999999999999" x14ac:dyDescent="0.25">
      <c r="A966" s="1"/>
      <c r="B966" s="40"/>
      <c r="C966" s="2" t="str">
        <f ca="1">IFERROR(__xludf.DUMMYFUNCTION("iferror(filter('Full Perk List'!C$3:C1498,'Full Perk List'!$D$3:$D1498=$D966),"""")"),"#REF!")</f>
        <v>#REF!</v>
      </c>
      <c r="D966" s="2"/>
      <c r="E966" s="2" t="str">
        <f ca="1">IFERROR(__xludf.DUMMYFUNCTION("iferror(filter('Full Perk List'!E$3:E1498,'Full Perk List'!$D$3:$D1498=$D966),"""")"),"#REF!")</f>
        <v>#REF!</v>
      </c>
      <c r="F966" s="2" t="str">
        <f ca="1">IFERROR(__xludf.DUMMYFUNCTION("iferror(filter('Full Perk List'!F$3:F1498,'Full Perk List'!$D$3:$D1498=$D966),"""")"),"#REF!")</f>
        <v>#REF!</v>
      </c>
      <c r="G966" s="2" t="str">
        <f ca="1">IFERROR(__xludf.DUMMYFUNCTION("iferror(filter('Full Perk List'!G$3:G1498,'Full Perk List'!$D$3:$D1498=$D966),"""")"),"#REF!")</f>
        <v>#REF!</v>
      </c>
      <c r="H966" s="1"/>
      <c r="I966" s="2"/>
      <c r="J966" s="2"/>
      <c r="K966" s="2"/>
      <c r="L966" s="2"/>
      <c r="M966" s="2"/>
      <c r="N966" s="2"/>
      <c r="O966" s="2"/>
      <c r="P966" s="2"/>
      <c r="Q966" s="2"/>
      <c r="R966" s="2"/>
      <c r="S966" s="2"/>
      <c r="T966" s="2"/>
      <c r="U966" s="2"/>
      <c r="V966" s="2"/>
      <c r="W966" s="2"/>
      <c r="X966" s="2"/>
      <c r="Y966" s="2"/>
    </row>
    <row r="967" spans="1:25" ht="17.399999999999999" x14ac:dyDescent="0.25">
      <c r="A967" s="1"/>
      <c r="B967" s="40"/>
      <c r="C967" s="2" t="str">
        <f ca="1">IFERROR(__xludf.DUMMYFUNCTION("iferror(filter('Full Perk List'!C$3:C1498,'Full Perk List'!$D$3:$D1498=$D967),"""")"),"#REF!")</f>
        <v>#REF!</v>
      </c>
      <c r="D967" s="2"/>
      <c r="E967" s="2" t="str">
        <f ca="1">IFERROR(__xludf.DUMMYFUNCTION("iferror(filter('Full Perk List'!E$3:E1498,'Full Perk List'!$D$3:$D1498=$D967),"""")"),"#REF!")</f>
        <v>#REF!</v>
      </c>
      <c r="F967" s="2" t="str">
        <f ca="1">IFERROR(__xludf.DUMMYFUNCTION("iferror(filter('Full Perk List'!F$3:F1498,'Full Perk List'!$D$3:$D1498=$D967),"""")"),"#REF!")</f>
        <v>#REF!</v>
      </c>
      <c r="G967" s="2" t="str">
        <f ca="1">IFERROR(__xludf.DUMMYFUNCTION("iferror(filter('Full Perk List'!G$3:G1498,'Full Perk List'!$D$3:$D1498=$D967),"""")"),"#REF!")</f>
        <v>#REF!</v>
      </c>
      <c r="H967" s="1"/>
      <c r="I967" s="2"/>
      <c r="J967" s="2"/>
      <c r="K967" s="2"/>
      <c r="L967" s="2"/>
      <c r="M967" s="2"/>
      <c r="N967" s="2"/>
      <c r="O967" s="2"/>
      <c r="P967" s="2"/>
      <c r="Q967" s="2"/>
      <c r="R967" s="2"/>
      <c r="S967" s="2"/>
      <c r="T967" s="2"/>
      <c r="U967" s="2"/>
      <c r="V967" s="2"/>
      <c r="W967" s="2"/>
      <c r="X967" s="2"/>
      <c r="Y967" s="2"/>
    </row>
    <row r="968" spans="1:25" ht="17.399999999999999" x14ac:dyDescent="0.25">
      <c r="A968" s="1"/>
      <c r="B968" s="40"/>
      <c r="C968" s="2" t="str">
        <f ca="1">IFERROR(__xludf.DUMMYFUNCTION("iferror(filter('Full Perk List'!C$3:C1498,'Full Perk List'!$D$3:$D1498=$D968),"""")"),"#REF!")</f>
        <v>#REF!</v>
      </c>
      <c r="D968" s="2"/>
      <c r="E968" s="2" t="str">
        <f ca="1">IFERROR(__xludf.DUMMYFUNCTION("iferror(filter('Full Perk List'!E$3:E1498,'Full Perk List'!$D$3:$D1498=$D968),"""")"),"#REF!")</f>
        <v>#REF!</v>
      </c>
      <c r="F968" s="2" t="str">
        <f ca="1">IFERROR(__xludf.DUMMYFUNCTION("iferror(filter('Full Perk List'!F$3:F1498,'Full Perk List'!$D$3:$D1498=$D968),"""")"),"#REF!")</f>
        <v>#REF!</v>
      </c>
      <c r="G968" s="2" t="str">
        <f ca="1">IFERROR(__xludf.DUMMYFUNCTION("iferror(filter('Full Perk List'!G$3:G1498,'Full Perk List'!$D$3:$D1498=$D968),"""")"),"#REF!")</f>
        <v>#REF!</v>
      </c>
      <c r="H968" s="1"/>
      <c r="I968" s="2"/>
      <c r="J968" s="2"/>
      <c r="K968" s="2"/>
      <c r="L968" s="2"/>
      <c r="M968" s="2"/>
      <c r="N968" s="2"/>
      <c r="O968" s="2"/>
      <c r="P968" s="2"/>
      <c r="Q968" s="2"/>
      <c r="R968" s="2"/>
      <c r="S968" s="2"/>
      <c r="T968" s="2"/>
      <c r="U968" s="2"/>
      <c r="V968" s="2"/>
      <c r="W968" s="2"/>
      <c r="X968" s="2"/>
      <c r="Y968" s="2"/>
    </row>
    <row r="969" spans="1:25" ht="17.399999999999999" x14ac:dyDescent="0.25">
      <c r="A969" s="1"/>
      <c r="B969" s="40"/>
      <c r="C969" s="2" t="str">
        <f ca="1">IFERROR(__xludf.DUMMYFUNCTION("iferror(filter('Full Perk List'!C$3:C1498,'Full Perk List'!$D$3:$D1498=$D969),"""")"),"#REF!")</f>
        <v>#REF!</v>
      </c>
      <c r="D969" s="2"/>
      <c r="E969" s="2" t="str">
        <f ca="1">IFERROR(__xludf.DUMMYFUNCTION("iferror(filter('Full Perk List'!E$3:E1498,'Full Perk List'!$D$3:$D1498=$D969),"""")"),"#REF!")</f>
        <v>#REF!</v>
      </c>
      <c r="F969" s="2" t="str">
        <f ca="1">IFERROR(__xludf.DUMMYFUNCTION("iferror(filter('Full Perk List'!F$3:F1498,'Full Perk List'!$D$3:$D1498=$D969),"""")"),"#REF!")</f>
        <v>#REF!</v>
      </c>
      <c r="G969" s="2" t="str">
        <f ca="1">IFERROR(__xludf.DUMMYFUNCTION("iferror(filter('Full Perk List'!G$3:G1498,'Full Perk List'!$D$3:$D1498=$D969),"""")"),"#REF!")</f>
        <v>#REF!</v>
      </c>
      <c r="H969" s="1"/>
      <c r="I969" s="2"/>
      <c r="J969" s="2"/>
      <c r="K969" s="2"/>
      <c r="L969" s="2"/>
      <c r="M969" s="2"/>
      <c r="N969" s="2"/>
      <c r="O969" s="2"/>
      <c r="P969" s="2"/>
      <c r="Q969" s="2"/>
      <c r="R969" s="2"/>
      <c r="S969" s="2"/>
      <c r="T969" s="2"/>
      <c r="U969" s="2"/>
      <c r="V969" s="2"/>
      <c r="W969" s="2"/>
      <c r="X969" s="2"/>
      <c r="Y969" s="2"/>
    </row>
    <row r="970" spans="1:25" ht="17.399999999999999" x14ac:dyDescent="0.25">
      <c r="A970" s="1"/>
      <c r="B970" s="40"/>
      <c r="C970" s="2" t="str">
        <f ca="1">IFERROR(__xludf.DUMMYFUNCTION("iferror(filter('Full Perk List'!C$3:C1498,'Full Perk List'!$D$3:$D1498=$D970),"""")"),"#REF!")</f>
        <v>#REF!</v>
      </c>
      <c r="D970" s="2"/>
      <c r="E970" s="2" t="str">
        <f ca="1">IFERROR(__xludf.DUMMYFUNCTION("iferror(filter('Full Perk List'!E$3:E1498,'Full Perk List'!$D$3:$D1498=$D970),"""")"),"#REF!")</f>
        <v>#REF!</v>
      </c>
      <c r="F970" s="2" t="str">
        <f ca="1">IFERROR(__xludf.DUMMYFUNCTION("iferror(filter('Full Perk List'!F$3:F1498,'Full Perk List'!$D$3:$D1498=$D970),"""")"),"#REF!")</f>
        <v>#REF!</v>
      </c>
      <c r="G970" s="2" t="str">
        <f ca="1">IFERROR(__xludf.DUMMYFUNCTION("iferror(filter('Full Perk List'!G$3:G1498,'Full Perk List'!$D$3:$D1498=$D970),"""")"),"#REF!")</f>
        <v>#REF!</v>
      </c>
      <c r="H970" s="1"/>
      <c r="I970" s="2"/>
      <c r="J970" s="2"/>
      <c r="K970" s="2"/>
      <c r="L970" s="2"/>
      <c r="M970" s="2"/>
      <c r="N970" s="2"/>
      <c r="O970" s="2"/>
      <c r="P970" s="2"/>
      <c r="Q970" s="2"/>
      <c r="R970" s="2"/>
      <c r="S970" s="2"/>
      <c r="T970" s="2"/>
      <c r="U970" s="2"/>
      <c r="V970" s="2"/>
      <c r="W970" s="2"/>
      <c r="X970" s="2"/>
      <c r="Y970" s="2"/>
    </row>
    <row r="971" spans="1:25" ht="17.399999999999999" x14ac:dyDescent="0.25">
      <c r="A971" s="1"/>
      <c r="B971" s="40"/>
      <c r="C971" s="2" t="str">
        <f ca="1">IFERROR(__xludf.DUMMYFUNCTION("iferror(filter('Full Perk List'!C$3:C1498,'Full Perk List'!$D$3:$D1498=$D971),"""")"),"#REF!")</f>
        <v>#REF!</v>
      </c>
      <c r="D971" s="2"/>
      <c r="E971" s="2" t="str">
        <f ca="1">IFERROR(__xludf.DUMMYFUNCTION("iferror(filter('Full Perk List'!E$3:E1498,'Full Perk List'!$D$3:$D1498=$D971),"""")"),"#REF!")</f>
        <v>#REF!</v>
      </c>
      <c r="F971" s="2" t="str">
        <f ca="1">IFERROR(__xludf.DUMMYFUNCTION("iferror(filter('Full Perk List'!F$3:F1498,'Full Perk List'!$D$3:$D1498=$D971),"""")"),"#REF!")</f>
        <v>#REF!</v>
      </c>
      <c r="G971" s="2" t="str">
        <f ca="1">IFERROR(__xludf.DUMMYFUNCTION("iferror(filter('Full Perk List'!G$3:G1498,'Full Perk List'!$D$3:$D1498=$D971),"""")"),"#REF!")</f>
        <v>#REF!</v>
      </c>
      <c r="H971" s="1"/>
      <c r="I971" s="2"/>
      <c r="J971" s="2"/>
      <c r="K971" s="2"/>
      <c r="L971" s="2"/>
      <c r="M971" s="2"/>
      <c r="N971" s="2"/>
      <c r="O971" s="2"/>
      <c r="P971" s="2"/>
      <c r="Q971" s="2"/>
      <c r="R971" s="2"/>
      <c r="S971" s="2"/>
      <c r="T971" s="2"/>
      <c r="U971" s="2"/>
      <c r="V971" s="2"/>
      <c r="W971" s="2"/>
      <c r="X971" s="2"/>
      <c r="Y971" s="2"/>
    </row>
    <row r="972" spans="1:25" ht="17.399999999999999" x14ac:dyDescent="0.25">
      <c r="A972" s="1"/>
      <c r="B972" s="40"/>
      <c r="C972" s="2" t="str">
        <f ca="1">IFERROR(__xludf.DUMMYFUNCTION("iferror(filter('Full Perk List'!C$3:C1498,'Full Perk List'!$D$3:$D1498=$D972),"""")"),"#REF!")</f>
        <v>#REF!</v>
      </c>
      <c r="D972" s="2"/>
      <c r="E972" s="2" t="str">
        <f ca="1">IFERROR(__xludf.DUMMYFUNCTION("iferror(filter('Full Perk List'!E$3:E1498,'Full Perk List'!$D$3:$D1498=$D972),"""")"),"#REF!")</f>
        <v>#REF!</v>
      </c>
      <c r="F972" s="2" t="str">
        <f ca="1">IFERROR(__xludf.DUMMYFUNCTION("iferror(filter('Full Perk List'!F$3:F1498,'Full Perk List'!$D$3:$D1498=$D972),"""")"),"#REF!")</f>
        <v>#REF!</v>
      </c>
      <c r="G972" s="2" t="str">
        <f ca="1">IFERROR(__xludf.DUMMYFUNCTION("iferror(filter('Full Perk List'!G$3:G1498,'Full Perk List'!$D$3:$D1498=$D972),"""")"),"#REF!")</f>
        <v>#REF!</v>
      </c>
      <c r="H972" s="1"/>
      <c r="I972" s="2"/>
      <c r="J972" s="2"/>
      <c r="K972" s="2"/>
      <c r="L972" s="2"/>
      <c r="M972" s="2"/>
      <c r="N972" s="2"/>
      <c r="O972" s="2"/>
      <c r="P972" s="2"/>
      <c r="Q972" s="2"/>
      <c r="R972" s="2"/>
      <c r="S972" s="2"/>
      <c r="T972" s="2"/>
      <c r="U972" s="2"/>
      <c r="V972" s="2"/>
      <c r="W972" s="2"/>
      <c r="X972" s="2"/>
      <c r="Y972" s="2"/>
    </row>
    <row r="973" spans="1:25" ht="17.399999999999999" x14ac:dyDescent="0.25">
      <c r="A973" s="1"/>
      <c r="B973" s="40"/>
      <c r="C973" s="2" t="str">
        <f ca="1">IFERROR(__xludf.DUMMYFUNCTION("iferror(filter('Full Perk List'!C$3:C1498,'Full Perk List'!$D$3:$D1498=$D973),"""")"),"#REF!")</f>
        <v>#REF!</v>
      </c>
      <c r="D973" s="2"/>
      <c r="E973" s="2" t="str">
        <f ca="1">IFERROR(__xludf.DUMMYFUNCTION("iferror(filter('Full Perk List'!E$3:E1498,'Full Perk List'!$D$3:$D1498=$D973),"""")"),"#REF!")</f>
        <v>#REF!</v>
      </c>
      <c r="F973" s="2" t="str">
        <f ca="1">IFERROR(__xludf.DUMMYFUNCTION("iferror(filter('Full Perk List'!F$3:F1498,'Full Perk List'!$D$3:$D1498=$D973),"""")"),"#REF!")</f>
        <v>#REF!</v>
      </c>
      <c r="G973" s="2" t="str">
        <f ca="1">IFERROR(__xludf.DUMMYFUNCTION("iferror(filter('Full Perk List'!G$3:G1498,'Full Perk List'!$D$3:$D1498=$D973),"""")"),"#REF!")</f>
        <v>#REF!</v>
      </c>
      <c r="H973" s="1"/>
      <c r="I973" s="2"/>
      <c r="J973" s="2"/>
      <c r="K973" s="2"/>
      <c r="L973" s="2"/>
      <c r="M973" s="2"/>
      <c r="N973" s="2"/>
      <c r="O973" s="2"/>
      <c r="P973" s="2"/>
      <c r="Q973" s="2"/>
      <c r="R973" s="2"/>
      <c r="S973" s="2"/>
      <c r="T973" s="2"/>
      <c r="U973" s="2"/>
      <c r="V973" s="2"/>
      <c r="W973" s="2"/>
      <c r="X973" s="2"/>
      <c r="Y973" s="2"/>
    </row>
    <row r="974" spans="1:25" ht="17.399999999999999" x14ac:dyDescent="0.25">
      <c r="A974" s="1"/>
      <c r="B974" s="40"/>
      <c r="C974" s="2" t="str">
        <f ca="1">IFERROR(__xludf.DUMMYFUNCTION("iferror(filter('Full Perk List'!C$3:C1498,'Full Perk List'!$D$3:$D1498=$D974),"""")"),"#REF!")</f>
        <v>#REF!</v>
      </c>
      <c r="D974" s="2"/>
      <c r="E974" s="2" t="str">
        <f ca="1">IFERROR(__xludf.DUMMYFUNCTION("iferror(filter('Full Perk List'!E$3:E1498,'Full Perk List'!$D$3:$D1498=$D974),"""")"),"#REF!")</f>
        <v>#REF!</v>
      </c>
      <c r="F974" s="2" t="str">
        <f ca="1">IFERROR(__xludf.DUMMYFUNCTION("iferror(filter('Full Perk List'!F$3:F1498,'Full Perk List'!$D$3:$D1498=$D974),"""")"),"#REF!")</f>
        <v>#REF!</v>
      </c>
      <c r="G974" s="2" t="str">
        <f ca="1">IFERROR(__xludf.DUMMYFUNCTION("iferror(filter('Full Perk List'!G$3:G1498,'Full Perk List'!$D$3:$D1498=$D974),"""")"),"#REF!")</f>
        <v>#REF!</v>
      </c>
      <c r="H974" s="1"/>
      <c r="I974" s="2"/>
      <c r="J974" s="2"/>
      <c r="K974" s="2"/>
      <c r="L974" s="2"/>
      <c r="M974" s="2"/>
      <c r="N974" s="2"/>
      <c r="O974" s="2"/>
      <c r="P974" s="2"/>
      <c r="Q974" s="2"/>
      <c r="R974" s="2"/>
      <c r="S974" s="2"/>
      <c r="T974" s="2"/>
      <c r="U974" s="2"/>
      <c r="V974" s="2"/>
      <c r="W974" s="2"/>
      <c r="X974" s="2"/>
      <c r="Y974" s="2"/>
    </row>
    <row r="975" spans="1:25" ht="17.399999999999999" x14ac:dyDescent="0.25">
      <c r="A975" s="1"/>
      <c r="B975" s="40"/>
      <c r="C975" s="2" t="str">
        <f ca="1">IFERROR(__xludf.DUMMYFUNCTION("iferror(filter('Full Perk List'!C$3:C1498,'Full Perk List'!$D$3:$D1498=$D975),"""")"),"#REF!")</f>
        <v>#REF!</v>
      </c>
      <c r="D975" s="2"/>
      <c r="E975" s="2" t="str">
        <f ca="1">IFERROR(__xludf.DUMMYFUNCTION("iferror(filter('Full Perk List'!E$3:E1498,'Full Perk List'!$D$3:$D1498=$D975),"""")"),"#REF!")</f>
        <v>#REF!</v>
      </c>
      <c r="F975" s="2" t="str">
        <f ca="1">IFERROR(__xludf.DUMMYFUNCTION("iferror(filter('Full Perk List'!F$3:F1498,'Full Perk List'!$D$3:$D1498=$D975),"""")"),"#REF!")</f>
        <v>#REF!</v>
      </c>
      <c r="G975" s="2" t="str">
        <f ca="1">IFERROR(__xludf.DUMMYFUNCTION("iferror(filter('Full Perk List'!G$3:G1498,'Full Perk List'!$D$3:$D1498=$D975),"""")"),"#REF!")</f>
        <v>#REF!</v>
      </c>
      <c r="H975" s="1"/>
      <c r="I975" s="2"/>
      <c r="J975" s="2"/>
      <c r="K975" s="2"/>
      <c r="L975" s="2"/>
      <c r="M975" s="2"/>
      <c r="N975" s="2"/>
      <c r="O975" s="2"/>
      <c r="P975" s="2"/>
      <c r="Q975" s="2"/>
      <c r="R975" s="2"/>
      <c r="S975" s="2"/>
      <c r="T975" s="2"/>
      <c r="U975" s="2"/>
      <c r="V975" s="2"/>
      <c r="W975" s="2"/>
      <c r="X975" s="2"/>
      <c r="Y975" s="2"/>
    </row>
    <row r="976" spans="1:25" ht="17.399999999999999" x14ac:dyDescent="0.25">
      <c r="A976" s="1"/>
      <c r="B976" s="40"/>
      <c r="C976" s="2" t="str">
        <f ca="1">IFERROR(__xludf.DUMMYFUNCTION("iferror(filter('Full Perk List'!C$3:C1498,'Full Perk List'!$D$3:$D1498=$D976),"""")"),"#REF!")</f>
        <v>#REF!</v>
      </c>
      <c r="D976" s="2"/>
      <c r="E976" s="2" t="str">
        <f ca="1">IFERROR(__xludf.DUMMYFUNCTION("iferror(filter('Full Perk List'!E$3:E1498,'Full Perk List'!$D$3:$D1498=$D976),"""")"),"#REF!")</f>
        <v>#REF!</v>
      </c>
      <c r="F976" s="2" t="str">
        <f ca="1">IFERROR(__xludf.DUMMYFUNCTION("iferror(filter('Full Perk List'!F$3:F1498,'Full Perk List'!$D$3:$D1498=$D976),"""")"),"#REF!")</f>
        <v>#REF!</v>
      </c>
      <c r="G976" s="2" t="str">
        <f ca="1">IFERROR(__xludf.DUMMYFUNCTION("iferror(filter('Full Perk List'!G$3:G1498,'Full Perk List'!$D$3:$D1498=$D976),"""")"),"#REF!")</f>
        <v>#REF!</v>
      </c>
      <c r="H976" s="1"/>
      <c r="I976" s="2"/>
      <c r="J976" s="2"/>
      <c r="K976" s="2"/>
      <c r="L976" s="2"/>
      <c r="M976" s="2"/>
      <c r="N976" s="2"/>
      <c r="O976" s="2"/>
      <c r="P976" s="2"/>
      <c r="Q976" s="2"/>
      <c r="R976" s="2"/>
      <c r="S976" s="2"/>
      <c r="T976" s="2"/>
      <c r="U976" s="2"/>
      <c r="V976" s="2"/>
      <c r="W976" s="2"/>
      <c r="X976" s="2"/>
      <c r="Y976" s="2"/>
    </row>
    <row r="977" spans="1:25" ht="17.399999999999999" x14ac:dyDescent="0.25">
      <c r="A977" s="1"/>
      <c r="B977" s="40"/>
      <c r="C977" s="2" t="str">
        <f ca="1">IFERROR(__xludf.DUMMYFUNCTION("iferror(filter('Full Perk List'!C$3:C1498,'Full Perk List'!$D$3:$D1498=$D977),"""")"),"#REF!")</f>
        <v>#REF!</v>
      </c>
      <c r="D977" s="2"/>
      <c r="E977" s="2" t="str">
        <f ca="1">IFERROR(__xludf.DUMMYFUNCTION("iferror(filter('Full Perk List'!E$3:E1498,'Full Perk List'!$D$3:$D1498=$D977),"""")"),"#REF!")</f>
        <v>#REF!</v>
      </c>
      <c r="F977" s="2" t="str">
        <f ca="1">IFERROR(__xludf.DUMMYFUNCTION("iferror(filter('Full Perk List'!F$3:F1498,'Full Perk List'!$D$3:$D1498=$D977),"""")"),"#REF!")</f>
        <v>#REF!</v>
      </c>
      <c r="G977" s="2" t="str">
        <f ca="1">IFERROR(__xludf.DUMMYFUNCTION("iferror(filter('Full Perk List'!G$3:G1498,'Full Perk List'!$D$3:$D1498=$D977),"""")"),"#REF!")</f>
        <v>#REF!</v>
      </c>
      <c r="H977" s="1"/>
      <c r="I977" s="2"/>
      <c r="J977" s="2"/>
      <c r="K977" s="2"/>
      <c r="L977" s="2"/>
      <c r="M977" s="2"/>
      <c r="N977" s="2"/>
      <c r="O977" s="2"/>
      <c r="P977" s="2"/>
      <c r="Q977" s="2"/>
      <c r="R977" s="2"/>
      <c r="S977" s="2"/>
      <c r="T977" s="2"/>
      <c r="U977" s="2"/>
      <c r="V977" s="2"/>
      <c r="W977" s="2"/>
      <c r="X977" s="2"/>
      <c r="Y977" s="2"/>
    </row>
    <row r="978" spans="1:25" ht="17.399999999999999" x14ac:dyDescent="0.25">
      <c r="A978" s="1"/>
      <c r="B978" s="40"/>
      <c r="C978" s="2" t="str">
        <f ca="1">IFERROR(__xludf.DUMMYFUNCTION("iferror(filter('Full Perk List'!C$3:C1498,'Full Perk List'!$D$3:$D1498=$D978),"""")"),"#REF!")</f>
        <v>#REF!</v>
      </c>
      <c r="D978" s="2"/>
      <c r="E978" s="2" t="str">
        <f ca="1">IFERROR(__xludf.DUMMYFUNCTION("iferror(filter('Full Perk List'!E$3:E1498,'Full Perk List'!$D$3:$D1498=$D978),"""")"),"#REF!")</f>
        <v>#REF!</v>
      </c>
      <c r="F978" s="2" t="str">
        <f ca="1">IFERROR(__xludf.DUMMYFUNCTION("iferror(filter('Full Perk List'!F$3:F1498,'Full Perk List'!$D$3:$D1498=$D978),"""")"),"#REF!")</f>
        <v>#REF!</v>
      </c>
      <c r="G978" s="2" t="str">
        <f ca="1">IFERROR(__xludf.DUMMYFUNCTION("iferror(filter('Full Perk List'!G$3:G1498,'Full Perk List'!$D$3:$D1498=$D978),"""")"),"#REF!")</f>
        <v>#REF!</v>
      </c>
      <c r="H978" s="1"/>
      <c r="I978" s="2"/>
      <c r="J978" s="2"/>
      <c r="K978" s="2"/>
      <c r="L978" s="2"/>
      <c r="M978" s="2"/>
      <c r="N978" s="2"/>
      <c r="O978" s="2"/>
      <c r="P978" s="2"/>
      <c r="Q978" s="2"/>
      <c r="R978" s="2"/>
      <c r="S978" s="2"/>
      <c r="T978" s="2"/>
      <c r="U978" s="2"/>
      <c r="V978" s="2"/>
      <c r="W978" s="2"/>
      <c r="X978" s="2"/>
      <c r="Y978" s="2"/>
    </row>
    <row r="979" spans="1:25" ht="17.399999999999999" x14ac:dyDescent="0.25">
      <c r="A979" s="1"/>
      <c r="B979" s="40"/>
      <c r="C979" s="2" t="str">
        <f ca="1">IFERROR(__xludf.DUMMYFUNCTION("iferror(filter('Full Perk List'!C$3:C1498,'Full Perk List'!$D$3:$D1498=$D979),"""")"),"#REF!")</f>
        <v>#REF!</v>
      </c>
      <c r="D979" s="2"/>
      <c r="E979" s="2" t="str">
        <f ca="1">IFERROR(__xludf.DUMMYFUNCTION("iferror(filter('Full Perk List'!E$3:E1498,'Full Perk List'!$D$3:$D1498=$D979),"""")"),"#REF!")</f>
        <v>#REF!</v>
      </c>
      <c r="F979" s="2" t="str">
        <f ca="1">IFERROR(__xludf.DUMMYFUNCTION("iferror(filter('Full Perk List'!F$3:F1498,'Full Perk List'!$D$3:$D1498=$D979),"""")"),"#REF!")</f>
        <v>#REF!</v>
      </c>
      <c r="G979" s="2" t="str">
        <f ca="1">IFERROR(__xludf.DUMMYFUNCTION("iferror(filter('Full Perk List'!G$3:G1498,'Full Perk List'!$D$3:$D1498=$D979),"""")"),"#REF!")</f>
        <v>#REF!</v>
      </c>
      <c r="H979" s="1"/>
      <c r="I979" s="2"/>
      <c r="J979" s="2"/>
      <c r="K979" s="2"/>
      <c r="L979" s="2"/>
      <c r="M979" s="2"/>
      <c r="N979" s="2"/>
      <c r="O979" s="2"/>
      <c r="P979" s="2"/>
      <c r="Q979" s="2"/>
      <c r="R979" s="2"/>
      <c r="S979" s="2"/>
      <c r="T979" s="2"/>
      <c r="U979" s="2"/>
      <c r="V979" s="2"/>
      <c r="W979" s="2"/>
      <c r="X979" s="2"/>
      <c r="Y979" s="2"/>
    </row>
    <row r="980" spans="1:25" ht="17.399999999999999" x14ac:dyDescent="0.25">
      <c r="A980" s="1"/>
      <c r="B980" s="40"/>
      <c r="C980" s="2" t="str">
        <f ca="1">IFERROR(__xludf.DUMMYFUNCTION("iferror(filter('Full Perk List'!C$3:C1498,'Full Perk List'!$D$3:$D1498=$D980),"""")"),"#REF!")</f>
        <v>#REF!</v>
      </c>
      <c r="D980" s="2"/>
      <c r="E980" s="2" t="str">
        <f ca="1">IFERROR(__xludf.DUMMYFUNCTION("iferror(filter('Full Perk List'!E$3:E1498,'Full Perk List'!$D$3:$D1498=$D980),"""")"),"#REF!")</f>
        <v>#REF!</v>
      </c>
      <c r="F980" s="2" t="str">
        <f ca="1">IFERROR(__xludf.DUMMYFUNCTION("iferror(filter('Full Perk List'!F$3:F1498,'Full Perk List'!$D$3:$D1498=$D980),"""")"),"#REF!")</f>
        <v>#REF!</v>
      </c>
      <c r="G980" s="2" t="str">
        <f ca="1">IFERROR(__xludf.DUMMYFUNCTION("iferror(filter('Full Perk List'!G$3:G1498,'Full Perk List'!$D$3:$D1498=$D980),"""")"),"#REF!")</f>
        <v>#REF!</v>
      </c>
      <c r="H980" s="1"/>
      <c r="I980" s="2"/>
      <c r="J980" s="2"/>
      <c r="K980" s="2"/>
      <c r="L980" s="2"/>
      <c r="M980" s="2"/>
      <c r="N980" s="2"/>
      <c r="O980" s="2"/>
      <c r="P980" s="2"/>
      <c r="Q980" s="2"/>
      <c r="R980" s="2"/>
      <c r="S980" s="2"/>
      <c r="T980" s="2"/>
      <c r="U980" s="2"/>
      <c r="V980" s="2"/>
      <c r="W980" s="2"/>
      <c r="X980" s="2"/>
      <c r="Y980" s="2"/>
    </row>
    <row r="981" spans="1:25" ht="17.399999999999999" x14ac:dyDescent="0.25">
      <c r="A981" s="1"/>
      <c r="B981" s="40"/>
      <c r="C981" s="2" t="str">
        <f ca="1">IFERROR(__xludf.DUMMYFUNCTION("iferror(filter('Full Perk List'!C$3:C1498,'Full Perk List'!$D$3:$D1498=$D981),"""")"),"#REF!")</f>
        <v>#REF!</v>
      </c>
      <c r="D981" s="2"/>
      <c r="E981" s="2" t="str">
        <f ca="1">IFERROR(__xludf.DUMMYFUNCTION("iferror(filter('Full Perk List'!E$3:E1498,'Full Perk List'!$D$3:$D1498=$D981),"""")"),"#REF!")</f>
        <v>#REF!</v>
      </c>
      <c r="F981" s="2" t="str">
        <f ca="1">IFERROR(__xludf.DUMMYFUNCTION("iferror(filter('Full Perk List'!F$3:F1498,'Full Perk List'!$D$3:$D1498=$D981),"""")"),"#REF!")</f>
        <v>#REF!</v>
      </c>
      <c r="G981" s="2" t="str">
        <f ca="1">IFERROR(__xludf.DUMMYFUNCTION("iferror(filter('Full Perk List'!G$3:G1498,'Full Perk List'!$D$3:$D1498=$D981),"""")"),"#REF!")</f>
        <v>#REF!</v>
      </c>
      <c r="H981" s="1"/>
      <c r="I981" s="2"/>
      <c r="J981" s="2"/>
      <c r="K981" s="2"/>
      <c r="L981" s="2"/>
      <c r="M981" s="2"/>
      <c r="N981" s="2"/>
      <c r="O981" s="2"/>
      <c r="P981" s="2"/>
      <c r="Q981" s="2"/>
      <c r="R981" s="2"/>
      <c r="S981" s="2"/>
      <c r="T981" s="2"/>
      <c r="U981" s="2"/>
      <c r="V981" s="2"/>
      <c r="W981" s="2"/>
      <c r="X981" s="2"/>
      <c r="Y981" s="2"/>
    </row>
    <row r="982" spans="1:25" ht="17.399999999999999" x14ac:dyDescent="0.25">
      <c r="A982" s="1"/>
      <c r="B982" s="40"/>
      <c r="C982" s="2" t="str">
        <f ca="1">IFERROR(__xludf.DUMMYFUNCTION("iferror(filter('Full Perk List'!C$3:C1498,'Full Perk List'!$D$3:$D1498=$D982),"""")"),"#REF!")</f>
        <v>#REF!</v>
      </c>
      <c r="D982" s="2"/>
      <c r="E982" s="2" t="str">
        <f ca="1">IFERROR(__xludf.DUMMYFUNCTION("iferror(filter('Full Perk List'!E$3:E1498,'Full Perk List'!$D$3:$D1498=$D982),"""")"),"#REF!")</f>
        <v>#REF!</v>
      </c>
      <c r="F982" s="2" t="str">
        <f ca="1">IFERROR(__xludf.DUMMYFUNCTION("iferror(filter('Full Perk List'!F$3:F1498,'Full Perk List'!$D$3:$D1498=$D982),"""")"),"#REF!")</f>
        <v>#REF!</v>
      </c>
      <c r="G982" s="2" t="str">
        <f ca="1">IFERROR(__xludf.DUMMYFUNCTION("iferror(filter('Full Perk List'!G$3:G1498,'Full Perk List'!$D$3:$D1498=$D982),"""")"),"#REF!")</f>
        <v>#REF!</v>
      </c>
      <c r="H982" s="1"/>
      <c r="I982" s="2"/>
      <c r="J982" s="2"/>
      <c r="K982" s="2"/>
      <c r="L982" s="2"/>
      <c r="M982" s="2"/>
      <c r="N982" s="2"/>
      <c r="O982" s="2"/>
      <c r="P982" s="2"/>
      <c r="Q982" s="2"/>
      <c r="R982" s="2"/>
      <c r="S982" s="2"/>
      <c r="T982" s="2"/>
      <c r="U982" s="2"/>
      <c r="V982" s="2"/>
      <c r="W982" s="2"/>
      <c r="X982" s="2"/>
      <c r="Y982" s="2"/>
    </row>
    <row r="983" spans="1:25" ht="17.399999999999999" x14ac:dyDescent="0.25">
      <c r="A983" s="1"/>
      <c r="B983" s="40"/>
      <c r="C983" s="2" t="str">
        <f ca="1">IFERROR(__xludf.DUMMYFUNCTION("iferror(filter('Full Perk List'!C$3:C1498,'Full Perk List'!$D$3:$D1498=$D983),"""")"),"#REF!")</f>
        <v>#REF!</v>
      </c>
      <c r="D983" s="2"/>
      <c r="E983" s="2" t="str">
        <f ca="1">IFERROR(__xludf.DUMMYFUNCTION("iferror(filter('Full Perk List'!E$3:E1498,'Full Perk List'!$D$3:$D1498=$D983),"""")"),"#REF!")</f>
        <v>#REF!</v>
      </c>
      <c r="F983" s="2" t="str">
        <f ca="1">IFERROR(__xludf.DUMMYFUNCTION("iferror(filter('Full Perk List'!F$3:F1498,'Full Perk List'!$D$3:$D1498=$D983),"""")"),"#REF!")</f>
        <v>#REF!</v>
      </c>
      <c r="G983" s="2" t="str">
        <f ca="1">IFERROR(__xludf.DUMMYFUNCTION("iferror(filter('Full Perk List'!G$3:G1498,'Full Perk List'!$D$3:$D1498=$D983),"""")"),"#REF!")</f>
        <v>#REF!</v>
      </c>
      <c r="H983" s="1"/>
      <c r="I983" s="2"/>
      <c r="J983" s="2"/>
      <c r="K983" s="2"/>
      <c r="L983" s="2"/>
      <c r="M983" s="2"/>
      <c r="N983" s="2"/>
      <c r="O983" s="2"/>
      <c r="P983" s="2"/>
      <c r="Q983" s="2"/>
      <c r="R983" s="2"/>
      <c r="S983" s="2"/>
      <c r="T983" s="2"/>
      <c r="U983" s="2"/>
      <c r="V983" s="2"/>
      <c r="W983" s="2"/>
      <c r="X983" s="2"/>
      <c r="Y983" s="2"/>
    </row>
    <row r="984" spans="1:25" ht="17.399999999999999" x14ac:dyDescent="0.25">
      <c r="A984" s="1"/>
      <c r="B984" s="40"/>
      <c r="C984" s="2" t="str">
        <f ca="1">IFERROR(__xludf.DUMMYFUNCTION("iferror(filter('Full Perk List'!C$3:C1498,'Full Perk List'!$D$3:$D1498=$D984),"""")"),"#REF!")</f>
        <v>#REF!</v>
      </c>
      <c r="D984" s="2"/>
      <c r="E984" s="2" t="str">
        <f ca="1">IFERROR(__xludf.DUMMYFUNCTION("iferror(filter('Full Perk List'!E$3:E1498,'Full Perk List'!$D$3:$D1498=$D984),"""")"),"#REF!")</f>
        <v>#REF!</v>
      </c>
      <c r="F984" s="2" t="str">
        <f ca="1">IFERROR(__xludf.DUMMYFUNCTION("iferror(filter('Full Perk List'!F$3:F1498,'Full Perk List'!$D$3:$D1498=$D984),"""")"),"#REF!")</f>
        <v>#REF!</v>
      </c>
      <c r="G984" s="2" t="str">
        <f ca="1">IFERROR(__xludf.DUMMYFUNCTION("iferror(filter('Full Perk List'!G$3:G1498,'Full Perk List'!$D$3:$D1498=$D984),"""")"),"#REF!")</f>
        <v>#REF!</v>
      </c>
      <c r="H984" s="1"/>
      <c r="I984" s="2"/>
      <c r="J984" s="2"/>
      <c r="K984" s="2"/>
      <c r="L984" s="2"/>
      <c r="M984" s="2"/>
      <c r="N984" s="2"/>
      <c r="O984" s="2"/>
      <c r="P984" s="2"/>
      <c r="Q984" s="2"/>
      <c r="R984" s="2"/>
      <c r="S984" s="2"/>
      <c r="T984" s="2"/>
      <c r="U984" s="2"/>
      <c r="V984" s="2"/>
      <c r="W984" s="2"/>
      <c r="X984" s="2"/>
      <c r="Y984" s="2"/>
    </row>
    <row r="985" spans="1:25" ht="17.399999999999999" x14ac:dyDescent="0.25">
      <c r="A985" s="1"/>
      <c r="B985" s="40"/>
      <c r="C985" s="2" t="str">
        <f ca="1">IFERROR(__xludf.DUMMYFUNCTION("iferror(filter('Full Perk List'!C$3:C1498,'Full Perk List'!$D$3:$D1498=$D985),"""")"),"#REF!")</f>
        <v>#REF!</v>
      </c>
      <c r="D985" s="2"/>
      <c r="E985" s="2" t="str">
        <f ca="1">IFERROR(__xludf.DUMMYFUNCTION("iferror(filter('Full Perk List'!E$3:E1498,'Full Perk List'!$D$3:$D1498=$D985),"""")"),"#REF!")</f>
        <v>#REF!</v>
      </c>
      <c r="F985" s="2" t="str">
        <f ca="1">IFERROR(__xludf.DUMMYFUNCTION("iferror(filter('Full Perk List'!F$3:F1498,'Full Perk List'!$D$3:$D1498=$D985),"""")"),"#REF!")</f>
        <v>#REF!</v>
      </c>
      <c r="G985" s="2" t="str">
        <f ca="1">IFERROR(__xludf.DUMMYFUNCTION("iferror(filter('Full Perk List'!G$3:G1498,'Full Perk List'!$D$3:$D1498=$D985),"""")"),"#REF!")</f>
        <v>#REF!</v>
      </c>
      <c r="H985" s="1"/>
      <c r="I985" s="2"/>
      <c r="J985" s="2"/>
      <c r="K985" s="2"/>
      <c r="L985" s="2"/>
      <c r="M985" s="2"/>
      <c r="N985" s="2"/>
      <c r="O985" s="2"/>
      <c r="P985" s="2"/>
      <c r="Q985" s="2"/>
      <c r="R985" s="2"/>
      <c r="S985" s="2"/>
      <c r="T985" s="2"/>
      <c r="U985" s="2"/>
      <c r="V985" s="2"/>
      <c r="W985" s="2"/>
      <c r="X985" s="2"/>
      <c r="Y985" s="2"/>
    </row>
    <row r="986" spans="1:25" ht="17.399999999999999" x14ac:dyDescent="0.25">
      <c r="A986" s="1"/>
      <c r="B986" s="40"/>
      <c r="C986" s="2" t="str">
        <f ca="1">IFERROR(__xludf.DUMMYFUNCTION("iferror(filter('Full Perk List'!C$3:C1498,'Full Perk List'!$D$3:$D1498=$D986),"""")"),"#REF!")</f>
        <v>#REF!</v>
      </c>
      <c r="D986" s="2"/>
      <c r="E986" s="2" t="str">
        <f ca="1">IFERROR(__xludf.DUMMYFUNCTION("iferror(filter('Full Perk List'!E$3:E1498,'Full Perk List'!$D$3:$D1498=$D986),"""")"),"#REF!")</f>
        <v>#REF!</v>
      </c>
      <c r="F986" s="2" t="str">
        <f ca="1">IFERROR(__xludf.DUMMYFUNCTION("iferror(filter('Full Perk List'!F$3:F1498,'Full Perk List'!$D$3:$D1498=$D986),"""")"),"#REF!")</f>
        <v>#REF!</v>
      </c>
      <c r="G986" s="2" t="str">
        <f ca="1">IFERROR(__xludf.DUMMYFUNCTION("iferror(filter('Full Perk List'!G$3:G1498,'Full Perk List'!$D$3:$D1498=$D986),"""")"),"#REF!")</f>
        <v>#REF!</v>
      </c>
      <c r="H986" s="1"/>
      <c r="I986" s="2"/>
      <c r="J986" s="2"/>
      <c r="K986" s="2"/>
      <c r="L986" s="2"/>
      <c r="M986" s="2"/>
      <c r="N986" s="2"/>
      <c r="O986" s="2"/>
      <c r="P986" s="2"/>
      <c r="Q986" s="2"/>
      <c r="R986" s="2"/>
      <c r="S986" s="2"/>
      <c r="T986" s="2"/>
      <c r="U986" s="2"/>
      <c r="V986" s="2"/>
      <c r="W986" s="2"/>
      <c r="X986" s="2"/>
      <c r="Y986" s="2"/>
    </row>
    <row r="987" spans="1:25" ht="17.399999999999999" x14ac:dyDescent="0.25">
      <c r="A987" s="1"/>
      <c r="B987" s="40"/>
      <c r="C987" s="2" t="str">
        <f ca="1">IFERROR(__xludf.DUMMYFUNCTION("iferror(filter('Full Perk List'!C$3:C1498,'Full Perk List'!$D$3:$D1498=$D987),"""")"),"#REF!")</f>
        <v>#REF!</v>
      </c>
      <c r="D987" s="2"/>
      <c r="E987" s="2" t="str">
        <f ca="1">IFERROR(__xludf.DUMMYFUNCTION("iferror(filter('Full Perk List'!E$3:E1498,'Full Perk List'!$D$3:$D1498=$D987),"""")"),"#REF!")</f>
        <v>#REF!</v>
      </c>
      <c r="F987" s="2" t="str">
        <f ca="1">IFERROR(__xludf.DUMMYFUNCTION("iferror(filter('Full Perk List'!F$3:F1498,'Full Perk List'!$D$3:$D1498=$D987),"""")"),"#REF!")</f>
        <v>#REF!</v>
      </c>
      <c r="G987" s="2" t="str">
        <f ca="1">IFERROR(__xludf.DUMMYFUNCTION("iferror(filter('Full Perk List'!G$3:G1498,'Full Perk List'!$D$3:$D1498=$D987),"""")"),"#REF!")</f>
        <v>#REF!</v>
      </c>
      <c r="H987" s="1"/>
      <c r="I987" s="2"/>
      <c r="J987" s="2"/>
      <c r="K987" s="2"/>
      <c r="L987" s="2"/>
      <c r="M987" s="2"/>
      <c r="N987" s="2"/>
      <c r="O987" s="2"/>
      <c r="P987" s="2"/>
      <c r="Q987" s="2"/>
      <c r="R987" s="2"/>
      <c r="S987" s="2"/>
      <c r="T987" s="2"/>
      <c r="U987" s="2"/>
      <c r="V987" s="2"/>
      <c r="W987" s="2"/>
      <c r="X987" s="2"/>
      <c r="Y987" s="2"/>
    </row>
    <row r="988" spans="1:25" ht="17.399999999999999" x14ac:dyDescent="0.25">
      <c r="A988" s="1"/>
      <c r="B988" s="40"/>
      <c r="C988" s="2" t="str">
        <f ca="1">IFERROR(__xludf.DUMMYFUNCTION("iferror(filter('Full Perk List'!C$3:C1498,'Full Perk List'!$D$3:$D1498=$D988),"""")"),"#REF!")</f>
        <v>#REF!</v>
      </c>
      <c r="D988" s="2"/>
      <c r="E988" s="2" t="str">
        <f ca="1">IFERROR(__xludf.DUMMYFUNCTION("iferror(filter('Full Perk List'!E$3:E1498,'Full Perk List'!$D$3:$D1498=$D988),"""")"),"#REF!")</f>
        <v>#REF!</v>
      </c>
      <c r="F988" s="2" t="str">
        <f ca="1">IFERROR(__xludf.DUMMYFUNCTION("iferror(filter('Full Perk List'!F$3:F1498,'Full Perk List'!$D$3:$D1498=$D988),"""")"),"#REF!")</f>
        <v>#REF!</v>
      </c>
      <c r="G988" s="2" t="str">
        <f ca="1">IFERROR(__xludf.DUMMYFUNCTION("iferror(filter('Full Perk List'!G$3:G1498,'Full Perk List'!$D$3:$D1498=$D988),"""")"),"#REF!")</f>
        <v>#REF!</v>
      </c>
      <c r="H988" s="1"/>
      <c r="I988" s="2"/>
      <c r="J988" s="2"/>
      <c r="K988" s="2"/>
      <c r="L988" s="2"/>
      <c r="M988" s="2"/>
      <c r="N988" s="2"/>
      <c r="O988" s="2"/>
      <c r="P988" s="2"/>
      <c r="Q988" s="2"/>
      <c r="R988" s="2"/>
      <c r="S988" s="2"/>
      <c r="T988" s="2"/>
      <c r="U988" s="2"/>
      <c r="V988" s="2"/>
      <c r="W988" s="2"/>
      <c r="X988" s="2"/>
      <c r="Y988" s="2"/>
    </row>
    <row r="989" spans="1:25" ht="17.399999999999999" x14ac:dyDescent="0.25">
      <c r="A989" s="1"/>
      <c r="B989" s="40"/>
      <c r="C989" s="2" t="str">
        <f ca="1">IFERROR(__xludf.DUMMYFUNCTION("iferror(filter('Full Perk List'!C$3:C1498,'Full Perk List'!$D$3:$D1498=$D989),"""")"),"#REF!")</f>
        <v>#REF!</v>
      </c>
      <c r="D989" s="2"/>
      <c r="E989" s="2" t="str">
        <f ca="1">IFERROR(__xludf.DUMMYFUNCTION("iferror(filter('Full Perk List'!E$3:E1498,'Full Perk List'!$D$3:$D1498=$D989),"""")"),"#REF!")</f>
        <v>#REF!</v>
      </c>
      <c r="F989" s="2" t="str">
        <f ca="1">IFERROR(__xludf.DUMMYFUNCTION("iferror(filter('Full Perk List'!F$3:F1498,'Full Perk List'!$D$3:$D1498=$D989),"""")"),"#REF!")</f>
        <v>#REF!</v>
      </c>
      <c r="G989" s="2" t="str">
        <f ca="1">IFERROR(__xludf.DUMMYFUNCTION("iferror(filter('Full Perk List'!G$3:G1498,'Full Perk List'!$D$3:$D1498=$D989),"""")"),"#REF!")</f>
        <v>#REF!</v>
      </c>
      <c r="H989" s="1"/>
      <c r="I989" s="2"/>
      <c r="J989" s="2"/>
      <c r="K989" s="2"/>
      <c r="L989" s="2"/>
      <c r="M989" s="2"/>
      <c r="N989" s="2"/>
      <c r="O989" s="2"/>
      <c r="P989" s="2"/>
      <c r="Q989" s="2"/>
      <c r="R989" s="2"/>
      <c r="S989" s="2"/>
      <c r="T989" s="2"/>
      <c r="U989" s="2"/>
      <c r="V989" s="2"/>
      <c r="W989" s="2"/>
      <c r="X989" s="2"/>
      <c r="Y989" s="2"/>
    </row>
    <row r="990" spans="1:25" ht="17.399999999999999" x14ac:dyDescent="0.25">
      <c r="A990" s="1"/>
      <c r="B990" s="40"/>
      <c r="C990" s="2" t="str">
        <f ca="1">IFERROR(__xludf.DUMMYFUNCTION("iferror(filter('Full Perk List'!C$3:C1498,'Full Perk List'!$D$3:$D1498=$D990),"""")"),"#REF!")</f>
        <v>#REF!</v>
      </c>
      <c r="D990" s="2"/>
      <c r="E990" s="2" t="str">
        <f ca="1">IFERROR(__xludf.DUMMYFUNCTION("iferror(filter('Full Perk List'!E$3:E1498,'Full Perk List'!$D$3:$D1498=$D990),"""")"),"#REF!")</f>
        <v>#REF!</v>
      </c>
      <c r="F990" s="2" t="str">
        <f ca="1">IFERROR(__xludf.DUMMYFUNCTION("iferror(filter('Full Perk List'!F$3:F1498,'Full Perk List'!$D$3:$D1498=$D990),"""")"),"#REF!")</f>
        <v>#REF!</v>
      </c>
      <c r="G990" s="2" t="str">
        <f ca="1">IFERROR(__xludf.DUMMYFUNCTION("iferror(filter('Full Perk List'!G$3:G1498,'Full Perk List'!$D$3:$D1498=$D990),"""")"),"#REF!")</f>
        <v>#REF!</v>
      </c>
      <c r="H990" s="1"/>
      <c r="I990" s="2"/>
      <c r="J990" s="2"/>
      <c r="K990" s="2"/>
      <c r="L990" s="2"/>
      <c r="M990" s="2"/>
      <c r="N990" s="2"/>
      <c r="O990" s="2"/>
      <c r="P990" s="2"/>
      <c r="Q990" s="2"/>
      <c r="R990" s="2"/>
      <c r="S990" s="2"/>
      <c r="T990" s="2"/>
      <c r="U990" s="2"/>
      <c r="V990" s="2"/>
      <c r="W990" s="2"/>
      <c r="X990" s="2"/>
      <c r="Y990" s="2"/>
    </row>
    <row r="991" spans="1:25" ht="17.399999999999999" x14ac:dyDescent="0.25">
      <c r="A991" s="1"/>
      <c r="B991" s="40"/>
      <c r="C991" s="2" t="str">
        <f ca="1">IFERROR(__xludf.DUMMYFUNCTION("iferror(filter('Full Perk List'!C$3:C1498,'Full Perk List'!$D$3:$D1498=$D991),"""")"),"#REF!")</f>
        <v>#REF!</v>
      </c>
      <c r="D991" s="2"/>
      <c r="E991" s="2" t="str">
        <f ca="1">IFERROR(__xludf.DUMMYFUNCTION("iferror(filter('Full Perk List'!E$3:E1498,'Full Perk List'!$D$3:$D1498=$D991),"""")"),"#REF!")</f>
        <v>#REF!</v>
      </c>
      <c r="F991" s="2" t="str">
        <f ca="1">IFERROR(__xludf.DUMMYFUNCTION("iferror(filter('Full Perk List'!F$3:F1498,'Full Perk List'!$D$3:$D1498=$D991),"""")"),"#REF!")</f>
        <v>#REF!</v>
      </c>
      <c r="G991" s="2" t="str">
        <f ca="1">IFERROR(__xludf.DUMMYFUNCTION("iferror(filter('Full Perk List'!G$3:G1498,'Full Perk List'!$D$3:$D1498=$D991),"""")"),"#REF!")</f>
        <v>#REF!</v>
      </c>
      <c r="H991" s="1"/>
      <c r="I991" s="2"/>
      <c r="J991" s="2"/>
      <c r="K991" s="2"/>
      <c r="L991" s="2"/>
      <c r="M991" s="2"/>
      <c r="N991" s="2"/>
      <c r="O991" s="2"/>
      <c r="P991" s="2"/>
      <c r="Q991" s="2"/>
      <c r="R991" s="2"/>
      <c r="S991" s="2"/>
      <c r="T991" s="2"/>
      <c r="U991" s="2"/>
      <c r="V991" s="2"/>
      <c r="W991" s="2"/>
      <c r="X991" s="2"/>
      <c r="Y991" s="2"/>
    </row>
    <row r="992" spans="1:25" ht="17.399999999999999" x14ac:dyDescent="0.25">
      <c r="A992" s="1"/>
      <c r="B992" s="40"/>
      <c r="C992" s="2" t="str">
        <f ca="1">IFERROR(__xludf.DUMMYFUNCTION("iferror(filter('Full Perk List'!C$3:C1498,'Full Perk List'!$D$3:$D1498=$D992),"""")"),"#REF!")</f>
        <v>#REF!</v>
      </c>
      <c r="D992" s="2"/>
      <c r="E992" s="2" t="str">
        <f ca="1">IFERROR(__xludf.DUMMYFUNCTION("iferror(filter('Full Perk List'!E$3:E1498,'Full Perk List'!$D$3:$D1498=$D992),"""")"),"#REF!")</f>
        <v>#REF!</v>
      </c>
      <c r="F992" s="2" t="str">
        <f ca="1">IFERROR(__xludf.DUMMYFUNCTION("iferror(filter('Full Perk List'!F$3:F1498,'Full Perk List'!$D$3:$D1498=$D992),"""")"),"#REF!")</f>
        <v>#REF!</v>
      </c>
      <c r="G992" s="2" t="str">
        <f ca="1">IFERROR(__xludf.DUMMYFUNCTION("iferror(filter('Full Perk List'!G$3:G1498,'Full Perk List'!$D$3:$D1498=$D992),"""")"),"#REF!")</f>
        <v>#REF!</v>
      </c>
      <c r="H992" s="1"/>
      <c r="I992" s="2"/>
      <c r="J992" s="2"/>
      <c r="K992" s="2"/>
      <c r="L992" s="2"/>
      <c r="M992" s="2"/>
      <c r="N992" s="2"/>
      <c r="O992" s="2"/>
      <c r="P992" s="2"/>
      <c r="Q992" s="2"/>
      <c r="R992" s="2"/>
      <c r="S992" s="2"/>
      <c r="T992" s="2"/>
      <c r="U992" s="2"/>
      <c r="V992" s="2"/>
      <c r="W992" s="2"/>
      <c r="X992" s="2"/>
      <c r="Y992" s="2"/>
    </row>
    <row r="993" spans="1:25" ht="17.399999999999999" x14ac:dyDescent="0.25">
      <c r="A993" s="1"/>
      <c r="B993" s="40"/>
      <c r="C993" s="2" t="str">
        <f ca="1">IFERROR(__xludf.DUMMYFUNCTION("iferror(filter('Full Perk List'!C$3:C1498,'Full Perk List'!$D$3:$D1498=$D993),"""")"),"#REF!")</f>
        <v>#REF!</v>
      </c>
      <c r="D993" s="2"/>
      <c r="E993" s="2" t="str">
        <f ca="1">IFERROR(__xludf.DUMMYFUNCTION("iferror(filter('Full Perk List'!E$3:E1498,'Full Perk List'!$D$3:$D1498=$D993),"""")"),"#REF!")</f>
        <v>#REF!</v>
      </c>
      <c r="F993" s="2" t="str">
        <f ca="1">IFERROR(__xludf.DUMMYFUNCTION("iferror(filter('Full Perk List'!F$3:F1498,'Full Perk List'!$D$3:$D1498=$D993),"""")"),"#REF!")</f>
        <v>#REF!</v>
      </c>
      <c r="G993" s="2" t="str">
        <f ca="1">IFERROR(__xludf.DUMMYFUNCTION("iferror(filter('Full Perk List'!G$3:G1498,'Full Perk List'!$D$3:$D1498=$D993),"""")"),"#REF!")</f>
        <v>#REF!</v>
      </c>
      <c r="H993" s="1"/>
      <c r="I993" s="2"/>
      <c r="J993" s="2"/>
      <c r="K993" s="2"/>
      <c r="L993" s="2"/>
      <c r="M993" s="2"/>
      <c r="N993" s="2"/>
      <c r="O993" s="2"/>
      <c r="P993" s="2"/>
      <c r="Q993" s="2"/>
      <c r="R993" s="2"/>
      <c r="S993" s="2"/>
      <c r="T993" s="2"/>
      <c r="U993" s="2"/>
      <c r="V993" s="2"/>
      <c r="W993" s="2"/>
      <c r="X993" s="2"/>
      <c r="Y993" s="2"/>
    </row>
    <row r="994" spans="1:25" ht="17.399999999999999" x14ac:dyDescent="0.25">
      <c r="A994" s="1"/>
      <c r="B994" s="40"/>
      <c r="C994" s="2" t="str">
        <f ca="1">IFERROR(__xludf.DUMMYFUNCTION("iferror(filter('Full Perk List'!C$3:C1498,'Full Perk List'!$D$3:$D1498=$D994),"""")"),"#REF!")</f>
        <v>#REF!</v>
      </c>
      <c r="D994" s="2"/>
      <c r="E994" s="2" t="str">
        <f ca="1">IFERROR(__xludf.DUMMYFUNCTION("iferror(filter('Full Perk List'!E$3:E1498,'Full Perk List'!$D$3:$D1498=$D994),"""")"),"#REF!")</f>
        <v>#REF!</v>
      </c>
      <c r="F994" s="2" t="str">
        <f ca="1">IFERROR(__xludf.DUMMYFUNCTION("iferror(filter('Full Perk List'!F$3:F1498,'Full Perk List'!$D$3:$D1498=$D994),"""")"),"#REF!")</f>
        <v>#REF!</v>
      </c>
      <c r="G994" s="2" t="str">
        <f ca="1">IFERROR(__xludf.DUMMYFUNCTION("iferror(filter('Full Perk List'!G$3:G1498,'Full Perk List'!$D$3:$D1498=$D994),"""")"),"#REF!")</f>
        <v>#REF!</v>
      </c>
      <c r="H994" s="1"/>
      <c r="I994" s="2"/>
      <c r="J994" s="2"/>
      <c r="K994" s="2"/>
      <c r="L994" s="2"/>
      <c r="M994" s="2"/>
      <c r="N994" s="2"/>
      <c r="O994" s="2"/>
      <c r="P994" s="2"/>
      <c r="Q994" s="2"/>
      <c r="R994" s="2"/>
      <c r="S994" s="2"/>
      <c r="T994" s="2"/>
      <c r="U994" s="2"/>
      <c r="V994" s="2"/>
      <c r="W994" s="2"/>
      <c r="X994" s="2"/>
      <c r="Y994" s="2"/>
    </row>
    <row r="995" spans="1:25" ht="17.399999999999999" x14ac:dyDescent="0.25">
      <c r="A995" s="1"/>
      <c r="B995" s="40"/>
      <c r="C995" s="2" t="str">
        <f ca="1">IFERROR(__xludf.DUMMYFUNCTION("iferror(filter('Full Perk List'!C$3:C1498,'Full Perk List'!$D$3:$D1498=$D995),"""")"),"#REF!")</f>
        <v>#REF!</v>
      </c>
      <c r="D995" s="2"/>
      <c r="E995" s="2" t="str">
        <f ca="1">IFERROR(__xludf.DUMMYFUNCTION("iferror(filter('Full Perk List'!E$3:E1498,'Full Perk List'!$D$3:$D1498=$D995),"""")"),"#REF!")</f>
        <v>#REF!</v>
      </c>
      <c r="F995" s="2" t="str">
        <f ca="1">IFERROR(__xludf.DUMMYFUNCTION("iferror(filter('Full Perk List'!F$3:F1498,'Full Perk List'!$D$3:$D1498=$D995),"""")"),"#REF!")</f>
        <v>#REF!</v>
      </c>
      <c r="G995" s="2" t="str">
        <f ca="1">IFERROR(__xludf.DUMMYFUNCTION("iferror(filter('Full Perk List'!G$3:G1498,'Full Perk List'!$D$3:$D1498=$D995),"""")"),"#REF!")</f>
        <v>#REF!</v>
      </c>
      <c r="H995" s="1"/>
      <c r="I995" s="2"/>
      <c r="J995" s="2"/>
      <c r="K995" s="2"/>
      <c r="L995" s="2"/>
      <c r="M995" s="2"/>
      <c r="N995" s="2"/>
      <c r="O995" s="2"/>
      <c r="P995" s="2"/>
      <c r="Q995" s="2"/>
      <c r="R995" s="2"/>
      <c r="S995" s="2"/>
      <c r="T995" s="2"/>
      <c r="U995" s="2"/>
      <c r="V995" s="2"/>
      <c r="W995" s="2"/>
      <c r="X995" s="2"/>
      <c r="Y995" s="2"/>
    </row>
    <row r="996" spans="1:25" ht="17.399999999999999" x14ac:dyDescent="0.25">
      <c r="A996" s="1"/>
      <c r="B996" s="40"/>
      <c r="C996" s="2" t="str">
        <f ca="1">IFERROR(__xludf.DUMMYFUNCTION("iferror(filter('Full Perk List'!C$3:C1498,'Full Perk List'!$D$3:$D1498=$D996),"""")"),"#REF!")</f>
        <v>#REF!</v>
      </c>
      <c r="D996" s="2"/>
      <c r="E996" s="2" t="str">
        <f ca="1">IFERROR(__xludf.DUMMYFUNCTION("iferror(filter('Full Perk List'!E$3:E1498,'Full Perk List'!$D$3:$D1498=$D996),"""")"),"#REF!")</f>
        <v>#REF!</v>
      </c>
      <c r="F996" s="2" t="str">
        <f ca="1">IFERROR(__xludf.DUMMYFUNCTION("iferror(filter('Full Perk List'!F$3:F1498,'Full Perk List'!$D$3:$D1498=$D996),"""")"),"#REF!")</f>
        <v>#REF!</v>
      </c>
      <c r="G996" s="2" t="str">
        <f ca="1">IFERROR(__xludf.DUMMYFUNCTION("iferror(filter('Full Perk List'!G$3:G1498,'Full Perk List'!$D$3:$D1498=$D996),"""")"),"#REF!")</f>
        <v>#REF!</v>
      </c>
      <c r="H996" s="1"/>
      <c r="I996" s="2"/>
      <c r="J996" s="2"/>
      <c r="K996" s="2"/>
      <c r="L996" s="2"/>
      <c r="M996" s="2"/>
      <c r="N996" s="2"/>
      <c r="O996" s="2"/>
      <c r="P996" s="2"/>
      <c r="Q996" s="2"/>
      <c r="R996" s="2"/>
      <c r="S996" s="2"/>
      <c r="T996" s="2"/>
      <c r="U996" s="2"/>
      <c r="V996" s="2"/>
      <c r="W996" s="2"/>
      <c r="X996" s="2"/>
      <c r="Y996" s="2"/>
    </row>
    <row r="997" spans="1:25" ht="17.399999999999999" x14ac:dyDescent="0.25">
      <c r="A997" s="1"/>
      <c r="B997" s="40"/>
      <c r="C997" s="2" t="str">
        <f ca="1">IFERROR(__xludf.DUMMYFUNCTION("iferror(filter('Full Perk List'!C$3:C1498,'Full Perk List'!$D$3:$D1498=$D997),"""")"),"")</f>
        <v/>
      </c>
      <c r="D997" s="2"/>
      <c r="E997" s="2" t="str">
        <f ca="1">IFERROR(__xludf.DUMMYFUNCTION("iferror(filter('Full Perk List'!E$3:E1498,'Full Perk List'!$D$3:$D1498=$D997),"""")"),"")</f>
        <v/>
      </c>
      <c r="F997" s="2" t="str">
        <f ca="1">IFERROR(__xludf.DUMMYFUNCTION("iferror(filter('Full Perk List'!F$3:F1498,'Full Perk List'!$D$3:$D1498=$D997),"""")"),"")</f>
        <v/>
      </c>
      <c r="G997" s="2" t="str">
        <f ca="1">IFERROR(__xludf.DUMMYFUNCTION("iferror(filter('Full Perk List'!G$3:G1498,'Full Perk List'!$D$3:$D1498=$D997),"""")"),"")</f>
        <v/>
      </c>
      <c r="H997" s="1"/>
      <c r="I997" s="2"/>
      <c r="J997" s="2"/>
      <c r="K997" s="2"/>
      <c r="L997" s="2"/>
      <c r="M997" s="2"/>
      <c r="N997" s="2"/>
      <c r="O997" s="2"/>
      <c r="P997" s="2"/>
      <c r="Q997" s="2"/>
      <c r="R997" s="2"/>
      <c r="S997" s="2"/>
      <c r="T997" s="2"/>
      <c r="U997" s="2"/>
      <c r="V997" s="2"/>
      <c r="W997" s="2"/>
      <c r="X997" s="2"/>
      <c r="Y997" s="2"/>
    </row>
    <row r="998" spans="1:25" ht="17.399999999999999" x14ac:dyDescent="0.25">
      <c r="A998" s="1"/>
      <c r="B998" s="10"/>
      <c r="C998" s="2"/>
      <c r="D998" s="2"/>
      <c r="E998" s="2"/>
      <c r="F998" s="2"/>
      <c r="G998" s="2"/>
      <c r="H998" s="1"/>
      <c r="I998" s="2"/>
      <c r="J998" s="2"/>
      <c r="K998" s="2"/>
      <c r="L998" s="2"/>
      <c r="M998" s="2"/>
      <c r="N998" s="2"/>
      <c r="O998" s="2"/>
      <c r="P998" s="2"/>
      <c r="Q998" s="2"/>
      <c r="R998" s="2"/>
      <c r="S998" s="2"/>
      <c r="T998" s="2"/>
      <c r="U998" s="2"/>
      <c r="V998" s="2"/>
      <c r="W998" s="2"/>
      <c r="X998" s="2"/>
      <c r="Y998" s="2"/>
    </row>
    <row r="999" spans="1:25" ht="17.399999999999999" x14ac:dyDescent="0.25">
      <c r="A999" s="1"/>
      <c r="B999" s="10"/>
      <c r="C999" s="2"/>
      <c r="D999" s="2"/>
      <c r="E999" s="2"/>
      <c r="F999" s="2"/>
      <c r="G999" s="2"/>
      <c r="H999" s="1"/>
      <c r="I999" s="2"/>
      <c r="J999" s="2"/>
      <c r="K999" s="2"/>
      <c r="L999" s="2"/>
      <c r="M999" s="2"/>
      <c r="N999" s="2"/>
      <c r="O999" s="2"/>
      <c r="P999" s="2"/>
      <c r="Q999" s="2"/>
      <c r="R999" s="2"/>
      <c r="S999" s="2"/>
      <c r="T999" s="2"/>
      <c r="U999" s="2"/>
      <c r="V999" s="2"/>
      <c r="W999" s="2"/>
      <c r="X999" s="2"/>
      <c r="Y999" s="2"/>
    </row>
    <row r="1000" spans="1:25" ht="17.399999999999999" x14ac:dyDescent="0.25">
      <c r="A1000" s="1"/>
      <c r="B1000" s="10"/>
      <c r="C1000" s="2"/>
      <c r="D1000" s="2"/>
      <c r="E1000" s="2"/>
      <c r="F1000" s="2"/>
      <c r="G1000" s="2"/>
      <c r="H1000" s="1"/>
      <c r="I1000" s="2"/>
      <c r="J1000" s="2"/>
      <c r="K1000" s="2"/>
      <c r="L1000" s="2"/>
      <c r="M1000" s="2"/>
      <c r="N1000" s="2"/>
      <c r="O1000" s="2"/>
      <c r="P1000" s="2"/>
      <c r="Q1000" s="2"/>
      <c r="R1000" s="2"/>
      <c r="S1000" s="2"/>
      <c r="T1000" s="2"/>
      <c r="U1000" s="2"/>
      <c r="V1000" s="2"/>
      <c r="W1000" s="2"/>
      <c r="X1000" s="2"/>
      <c r="Y1000" s="2"/>
    </row>
    <row r="1001" spans="1:25" ht="17.399999999999999" x14ac:dyDescent="0.25">
      <c r="A1001" s="1"/>
      <c r="B1001" s="10"/>
      <c r="C1001" s="2"/>
      <c r="D1001" s="2"/>
      <c r="E1001" s="2"/>
      <c r="F1001" s="2"/>
      <c r="G1001" s="2"/>
      <c r="H1001" s="1"/>
      <c r="I1001" s="2"/>
      <c r="J1001" s="2"/>
      <c r="K1001" s="2"/>
      <c r="L1001" s="2"/>
      <c r="M1001" s="2"/>
      <c r="N1001" s="2"/>
      <c r="O1001" s="2"/>
      <c r="P1001" s="2"/>
      <c r="Q1001" s="2"/>
      <c r="R1001" s="2"/>
      <c r="S1001" s="2"/>
      <c r="T1001" s="2"/>
      <c r="U1001" s="2"/>
      <c r="V1001" s="2"/>
      <c r="W1001" s="2"/>
      <c r="X1001" s="2"/>
      <c r="Y1001" s="2"/>
    </row>
    <row r="1002" spans="1:25" ht="17.399999999999999" x14ac:dyDescent="0.25">
      <c r="A1002" s="1"/>
      <c r="B1002" s="10"/>
      <c r="C1002" s="2"/>
      <c r="D1002" s="2"/>
      <c r="E1002" s="2"/>
      <c r="F1002" s="2"/>
      <c r="G1002" s="2"/>
      <c r="H1002" s="1"/>
      <c r="I1002" s="2"/>
      <c r="J1002" s="2"/>
      <c r="K1002" s="2"/>
      <c r="L1002" s="2"/>
      <c r="M1002" s="2"/>
      <c r="N1002" s="2"/>
      <c r="O1002" s="2"/>
      <c r="P1002" s="2"/>
      <c r="Q1002" s="2"/>
      <c r="R1002" s="2"/>
      <c r="S1002" s="2"/>
      <c r="T1002" s="2"/>
      <c r="U1002" s="2"/>
      <c r="V1002" s="2"/>
      <c r="W1002" s="2"/>
      <c r="X1002" s="2"/>
      <c r="Y1002" s="2"/>
    </row>
    <row r="1003" spans="1:25" ht="17.399999999999999" x14ac:dyDescent="0.25">
      <c r="A1003" s="1"/>
      <c r="B1003" s="10"/>
      <c r="C1003" s="2"/>
      <c r="D1003" s="2"/>
      <c r="E1003" s="2"/>
      <c r="F1003" s="2"/>
      <c r="G1003" s="2"/>
      <c r="H1003" s="1"/>
      <c r="I1003" s="2"/>
      <c r="J1003" s="2"/>
      <c r="K1003" s="2"/>
      <c r="L1003" s="2"/>
      <c r="M1003" s="2"/>
      <c r="N1003" s="2"/>
      <c r="O1003" s="2"/>
      <c r="P1003" s="2"/>
      <c r="Q1003" s="2"/>
      <c r="R1003" s="2"/>
      <c r="S1003" s="2"/>
      <c r="T1003" s="2"/>
      <c r="U1003" s="2"/>
      <c r="V1003" s="2"/>
      <c r="W1003" s="2"/>
      <c r="X1003" s="2"/>
      <c r="Y1003" s="2"/>
    </row>
    <row r="1004" spans="1:25" ht="17.399999999999999" x14ac:dyDescent="0.25">
      <c r="A1004" s="1"/>
      <c r="B1004" s="10"/>
      <c r="C1004" s="2"/>
      <c r="D1004" s="2"/>
      <c r="E1004" s="2"/>
      <c r="F1004" s="2"/>
      <c r="G1004" s="2"/>
      <c r="H1004" s="1"/>
      <c r="I1004" s="2"/>
      <c r="J1004" s="2"/>
      <c r="K1004" s="2"/>
      <c r="L1004" s="2"/>
      <c r="M1004" s="2"/>
      <c r="N1004" s="2"/>
      <c r="O1004" s="2"/>
      <c r="P1004" s="2"/>
      <c r="Q1004" s="2"/>
      <c r="R1004" s="2"/>
      <c r="S1004" s="2"/>
      <c r="T1004" s="2"/>
      <c r="U1004" s="2"/>
      <c r="V1004" s="2"/>
      <c r="W1004" s="2"/>
      <c r="X1004" s="2"/>
      <c r="Y1004" s="2"/>
    </row>
    <row r="1005" spans="1:25" ht="17.399999999999999" x14ac:dyDescent="0.25">
      <c r="A1005" s="1"/>
      <c r="B1005" s="10"/>
      <c r="C1005" s="2"/>
      <c r="D1005" s="2"/>
      <c r="E1005" s="2"/>
      <c r="F1005" s="2"/>
      <c r="G1005" s="2"/>
      <c r="H1005" s="1"/>
      <c r="I1005" s="2"/>
      <c r="J1005" s="2"/>
      <c r="K1005" s="2"/>
      <c r="L1005" s="2"/>
      <c r="M1005" s="2"/>
      <c r="N1005" s="2"/>
      <c r="O1005" s="2"/>
      <c r="P1005" s="2"/>
      <c r="Q1005" s="2"/>
      <c r="R1005" s="2"/>
      <c r="S1005" s="2"/>
      <c r="T1005" s="2"/>
      <c r="U1005" s="2"/>
      <c r="V1005" s="2"/>
      <c r="W1005" s="2"/>
      <c r="X1005" s="2"/>
      <c r="Y1005" s="2"/>
    </row>
    <row r="1006" spans="1:25" ht="17.399999999999999" x14ac:dyDescent="0.25">
      <c r="A1006" s="1"/>
      <c r="B1006" s="10"/>
      <c r="C1006" s="2"/>
      <c r="D1006" s="2"/>
      <c r="E1006" s="2"/>
      <c r="F1006" s="2"/>
      <c r="G1006" s="2"/>
      <c r="H1006" s="1"/>
      <c r="I1006" s="2"/>
      <c r="J1006" s="2"/>
      <c r="K1006" s="2"/>
      <c r="L1006" s="2"/>
      <c r="M1006" s="2"/>
      <c r="N1006" s="2"/>
      <c r="O1006" s="2"/>
      <c r="P1006" s="2"/>
      <c r="Q1006" s="2"/>
      <c r="R1006" s="2"/>
      <c r="S1006" s="2"/>
      <c r="T1006" s="2"/>
      <c r="U1006" s="2"/>
      <c r="V1006" s="2"/>
      <c r="W1006" s="2"/>
      <c r="X1006" s="2"/>
      <c r="Y1006" s="2"/>
    </row>
    <row r="1007" spans="1:25" ht="17.399999999999999" x14ac:dyDescent="0.25">
      <c r="A1007" s="1"/>
      <c r="B1007" s="10"/>
      <c r="C1007" s="2"/>
      <c r="D1007" s="2"/>
      <c r="E1007" s="2"/>
      <c r="F1007" s="2"/>
      <c r="G1007" s="2"/>
      <c r="H1007" s="1"/>
      <c r="I1007" s="2"/>
      <c r="J1007" s="2"/>
      <c r="K1007" s="2"/>
      <c r="L1007" s="2"/>
      <c r="M1007" s="2"/>
      <c r="N1007" s="2"/>
      <c r="O1007" s="2"/>
      <c r="P1007" s="2"/>
      <c r="Q1007" s="2"/>
      <c r="R1007" s="2"/>
      <c r="S1007" s="2"/>
      <c r="T1007" s="2"/>
      <c r="U1007" s="2"/>
      <c r="V1007" s="2"/>
      <c r="W1007" s="2"/>
      <c r="X1007" s="2"/>
      <c r="Y1007" s="2"/>
    </row>
    <row r="1008" spans="1:25" ht="17.399999999999999" x14ac:dyDescent="0.25">
      <c r="A1008" s="1"/>
      <c r="B1008" s="10"/>
      <c r="C1008" s="2"/>
      <c r="D1008" s="2"/>
      <c r="E1008" s="2"/>
      <c r="F1008" s="2"/>
      <c r="G1008" s="2"/>
      <c r="H1008" s="1"/>
      <c r="I1008" s="2"/>
      <c r="J1008" s="2"/>
      <c r="K1008" s="2"/>
      <c r="L1008" s="2"/>
      <c r="M1008" s="2"/>
      <c r="N1008" s="2"/>
      <c r="O1008" s="2"/>
      <c r="P1008" s="2"/>
      <c r="Q1008" s="2"/>
      <c r="R1008" s="2"/>
      <c r="S1008" s="2"/>
      <c r="T1008" s="2"/>
      <c r="U1008" s="2"/>
      <c r="V1008" s="2"/>
      <c r="W1008" s="2"/>
      <c r="X1008" s="2"/>
      <c r="Y1008" s="2"/>
    </row>
    <row r="1009" spans="1:25" ht="17.399999999999999" x14ac:dyDescent="0.25">
      <c r="A1009" s="1"/>
      <c r="B1009" s="10"/>
      <c r="C1009" s="2"/>
      <c r="D1009" s="2"/>
      <c r="E1009" s="2"/>
      <c r="F1009" s="2"/>
      <c r="G1009" s="2"/>
      <c r="H1009" s="1"/>
      <c r="I1009" s="2"/>
      <c r="J1009" s="2"/>
      <c r="K1009" s="2"/>
      <c r="L1009" s="2"/>
      <c r="M1009" s="2"/>
      <c r="N1009" s="2"/>
      <c r="O1009" s="2"/>
      <c r="P1009" s="2"/>
      <c r="Q1009" s="2"/>
      <c r="R1009" s="2"/>
      <c r="S1009" s="2"/>
      <c r="T1009" s="2"/>
      <c r="U1009" s="2"/>
      <c r="V1009" s="2"/>
      <c r="W1009" s="2"/>
      <c r="X1009" s="2"/>
      <c r="Y1009" s="2"/>
    </row>
    <row r="1010" spans="1:25" ht="17.399999999999999" x14ac:dyDescent="0.25">
      <c r="A1010" s="1"/>
      <c r="B1010" s="10"/>
      <c r="C1010" s="2"/>
      <c r="D1010" s="2"/>
      <c r="E1010" s="2"/>
      <c r="F1010" s="2"/>
      <c r="G1010" s="2"/>
      <c r="H1010" s="1"/>
      <c r="I1010" s="2"/>
      <c r="J1010" s="2"/>
      <c r="K1010" s="2"/>
      <c r="L1010" s="2"/>
      <c r="M1010" s="2"/>
      <c r="N1010" s="2"/>
      <c r="O1010" s="2"/>
      <c r="P1010" s="2"/>
      <c r="Q1010" s="2"/>
      <c r="R1010" s="2"/>
      <c r="S1010" s="2"/>
      <c r="T1010" s="2"/>
      <c r="U1010" s="2"/>
      <c r="V1010" s="2"/>
      <c r="W1010" s="2"/>
      <c r="X1010" s="2"/>
      <c r="Y1010" s="2"/>
    </row>
    <row r="1011" spans="1:25" ht="17.399999999999999" x14ac:dyDescent="0.25">
      <c r="A1011" s="1"/>
      <c r="B1011" s="10"/>
      <c r="C1011" s="2"/>
      <c r="D1011" s="2"/>
      <c r="E1011" s="2"/>
      <c r="F1011" s="2"/>
      <c r="G1011" s="2"/>
      <c r="H1011" s="1"/>
      <c r="I1011" s="2"/>
      <c r="J1011" s="2"/>
      <c r="K1011" s="2"/>
      <c r="L1011" s="2"/>
      <c r="M1011" s="2"/>
      <c r="N1011" s="2"/>
      <c r="O1011" s="2"/>
      <c r="P1011" s="2"/>
      <c r="Q1011" s="2"/>
      <c r="R1011" s="2"/>
      <c r="S1011" s="2"/>
      <c r="T1011" s="2"/>
      <c r="U1011" s="2"/>
      <c r="V1011" s="2"/>
      <c r="W1011" s="2"/>
      <c r="X1011" s="2"/>
      <c r="Y1011" s="2"/>
    </row>
    <row r="1012" spans="1:25" ht="17.399999999999999" x14ac:dyDescent="0.25">
      <c r="A1012" s="1"/>
      <c r="B1012" s="10"/>
      <c r="C1012" s="2"/>
      <c r="D1012" s="2"/>
      <c r="E1012" s="2"/>
      <c r="F1012" s="2"/>
      <c r="G1012" s="2"/>
      <c r="H1012" s="1"/>
      <c r="I1012" s="2"/>
      <c r="J1012" s="2"/>
      <c r="K1012" s="2"/>
      <c r="L1012" s="2"/>
      <c r="M1012" s="2"/>
      <c r="N1012" s="2"/>
      <c r="O1012" s="2"/>
      <c r="P1012" s="2"/>
      <c r="Q1012" s="2"/>
      <c r="R1012" s="2"/>
      <c r="S1012" s="2"/>
      <c r="T1012" s="2"/>
      <c r="U1012" s="2"/>
      <c r="V1012" s="2"/>
      <c r="W1012" s="2"/>
      <c r="X1012" s="2"/>
      <c r="Y1012" s="2"/>
    </row>
    <row r="1013" spans="1:25" ht="17.399999999999999" x14ac:dyDescent="0.25">
      <c r="A1013" s="1"/>
      <c r="B1013" s="10"/>
      <c r="C1013" s="2"/>
      <c r="D1013" s="2"/>
      <c r="E1013" s="2"/>
      <c r="F1013" s="2"/>
      <c r="G1013" s="2"/>
      <c r="H1013" s="1"/>
      <c r="I1013" s="2"/>
      <c r="J1013" s="2"/>
      <c r="K1013" s="2"/>
      <c r="L1013" s="2"/>
      <c r="M1013" s="2"/>
      <c r="N1013" s="2"/>
      <c r="O1013" s="2"/>
      <c r="P1013" s="2"/>
      <c r="Q1013" s="2"/>
      <c r="R1013" s="2"/>
      <c r="S1013" s="2"/>
      <c r="T1013" s="2"/>
      <c r="U1013" s="2"/>
      <c r="V1013" s="2"/>
      <c r="W1013" s="2"/>
      <c r="X1013" s="2"/>
      <c r="Y1013" s="2"/>
    </row>
    <row r="1014" spans="1:25" ht="17.399999999999999" x14ac:dyDescent="0.25">
      <c r="A1014" s="1"/>
      <c r="B1014" s="10"/>
      <c r="C1014" s="2"/>
      <c r="D1014" s="2"/>
      <c r="E1014" s="2"/>
      <c r="F1014" s="2"/>
      <c r="G1014" s="2"/>
      <c r="H1014" s="1"/>
      <c r="I1014" s="2"/>
      <c r="J1014" s="2"/>
      <c r="K1014" s="2"/>
      <c r="L1014" s="2"/>
      <c r="M1014" s="2"/>
      <c r="N1014" s="2"/>
      <c r="O1014" s="2"/>
      <c r="P1014" s="2"/>
      <c r="Q1014" s="2"/>
      <c r="R1014" s="2"/>
      <c r="S1014" s="2"/>
      <c r="T1014" s="2"/>
      <c r="U1014" s="2"/>
      <c r="V1014" s="2"/>
      <c r="W1014" s="2"/>
      <c r="X1014" s="2"/>
      <c r="Y1014" s="2"/>
    </row>
    <row r="1015" spans="1:25" ht="17.399999999999999" x14ac:dyDescent="0.25">
      <c r="A1015" s="1"/>
      <c r="B1015" s="10"/>
      <c r="C1015" s="2"/>
      <c r="D1015" s="2"/>
      <c r="E1015" s="2"/>
      <c r="F1015" s="2"/>
      <c r="G1015" s="2"/>
      <c r="H1015" s="1"/>
      <c r="I1015" s="2"/>
      <c r="J1015" s="2"/>
      <c r="K1015" s="2"/>
      <c r="L1015" s="2"/>
      <c r="M1015" s="2"/>
      <c r="N1015" s="2"/>
      <c r="O1015" s="2"/>
      <c r="P1015" s="2"/>
      <c r="Q1015" s="2"/>
      <c r="R1015" s="2"/>
      <c r="S1015" s="2"/>
      <c r="T1015" s="2"/>
      <c r="U1015" s="2"/>
      <c r="V1015" s="2"/>
      <c r="W1015" s="2"/>
      <c r="X1015" s="2"/>
      <c r="Y1015" s="2"/>
    </row>
    <row r="1016" spans="1:25" ht="17.399999999999999" x14ac:dyDescent="0.25">
      <c r="A1016" s="1"/>
      <c r="B1016" s="10"/>
      <c r="C1016" s="2"/>
      <c r="D1016" s="2"/>
      <c r="E1016" s="2"/>
      <c r="F1016" s="2"/>
      <c r="G1016" s="2"/>
      <c r="H1016" s="1"/>
      <c r="I1016" s="2"/>
      <c r="J1016" s="2"/>
      <c r="K1016" s="2"/>
      <c r="L1016" s="2"/>
      <c r="M1016" s="2"/>
      <c r="N1016" s="2"/>
      <c r="O1016" s="2"/>
      <c r="P1016" s="2"/>
      <c r="Q1016" s="2"/>
      <c r="R1016" s="2"/>
      <c r="S1016" s="2"/>
      <c r="T1016" s="2"/>
      <c r="U1016" s="2"/>
      <c r="V1016" s="2"/>
      <c r="W1016" s="2"/>
      <c r="X1016" s="2"/>
      <c r="Y1016" s="2"/>
    </row>
    <row r="1017" spans="1:25" ht="17.399999999999999" x14ac:dyDescent="0.25">
      <c r="A1017" s="1"/>
      <c r="B1017" s="10"/>
      <c r="C1017" s="2"/>
      <c r="D1017" s="2"/>
      <c r="E1017" s="2"/>
      <c r="F1017" s="2"/>
      <c r="G1017" s="2"/>
      <c r="H1017" s="1"/>
      <c r="I1017" s="2"/>
      <c r="J1017" s="2"/>
      <c r="K1017" s="2"/>
      <c r="L1017" s="2"/>
      <c r="M1017" s="2"/>
      <c r="N1017" s="2"/>
      <c r="O1017" s="2"/>
      <c r="P1017" s="2"/>
      <c r="Q1017" s="2"/>
      <c r="R1017" s="2"/>
      <c r="S1017" s="2"/>
      <c r="T1017" s="2"/>
      <c r="U1017" s="2"/>
      <c r="V1017" s="2"/>
      <c r="W1017" s="2"/>
      <c r="X1017" s="2"/>
      <c r="Y1017" s="2"/>
    </row>
    <row r="1018" spans="1:25" ht="17.399999999999999" x14ac:dyDescent="0.25">
      <c r="A1018" s="1"/>
      <c r="B1018" s="10"/>
      <c r="C1018" s="2"/>
      <c r="D1018" s="2"/>
      <c r="E1018" s="2"/>
      <c r="F1018" s="2"/>
      <c r="G1018" s="2"/>
      <c r="H1018" s="1"/>
      <c r="I1018" s="2"/>
      <c r="J1018" s="2"/>
      <c r="K1018" s="2"/>
      <c r="L1018" s="2"/>
      <c r="M1018" s="2"/>
      <c r="N1018" s="2"/>
      <c r="O1018" s="2"/>
      <c r="P1018" s="2"/>
      <c r="Q1018" s="2"/>
      <c r="R1018" s="2"/>
      <c r="S1018" s="2"/>
      <c r="T1018" s="2"/>
      <c r="U1018" s="2"/>
      <c r="V1018" s="2"/>
      <c r="W1018" s="2"/>
      <c r="X1018" s="2"/>
      <c r="Y1018" s="2"/>
    </row>
    <row r="1019" spans="1:25" ht="17.399999999999999" x14ac:dyDescent="0.25">
      <c r="A1019" s="1"/>
      <c r="B1019" s="10"/>
      <c r="C1019" s="2"/>
      <c r="D1019" s="2"/>
      <c r="E1019" s="2"/>
      <c r="F1019" s="2"/>
      <c r="G1019" s="2"/>
      <c r="H1019" s="1"/>
      <c r="I1019" s="2"/>
      <c r="J1019" s="2"/>
      <c r="K1019" s="2"/>
      <c r="L1019" s="2"/>
      <c r="M1019" s="2"/>
      <c r="N1019" s="2"/>
      <c r="O1019" s="2"/>
      <c r="P1019" s="2"/>
      <c r="Q1019" s="2"/>
      <c r="R1019" s="2"/>
      <c r="S1019" s="2"/>
      <c r="T1019" s="2"/>
      <c r="U1019" s="2"/>
      <c r="V1019" s="2"/>
      <c r="W1019" s="2"/>
      <c r="X1019" s="2"/>
      <c r="Y1019" s="2"/>
    </row>
    <row r="1020" spans="1:25" ht="17.399999999999999" x14ac:dyDescent="0.25">
      <c r="A1020" s="1"/>
      <c r="B1020" s="10"/>
      <c r="C1020" s="2"/>
      <c r="D1020" s="2"/>
      <c r="E1020" s="2"/>
      <c r="F1020" s="2"/>
      <c r="G1020" s="2"/>
      <c r="H1020" s="1"/>
      <c r="I1020" s="2"/>
      <c r="J1020" s="2"/>
      <c r="K1020" s="2"/>
      <c r="L1020" s="2"/>
      <c r="M1020" s="2"/>
      <c r="N1020" s="2"/>
      <c r="O1020" s="2"/>
      <c r="P1020" s="2"/>
      <c r="Q1020" s="2"/>
      <c r="R1020" s="2"/>
      <c r="S1020" s="2"/>
      <c r="T1020" s="2"/>
      <c r="U1020" s="2"/>
      <c r="V1020" s="2"/>
      <c r="W1020" s="2"/>
      <c r="X1020" s="2"/>
      <c r="Y1020" s="2"/>
    </row>
    <row r="1021" spans="1:25" ht="17.399999999999999" x14ac:dyDescent="0.25">
      <c r="A1021" s="1"/>
      <c r="B1021" s="10"/>
      <c r="C1021" s="2"/>
      <c r="D1021" s="2"/>
      <c r="E1021" s="2"/>
      <c r="F1021" s="2"/>
      <c r="G1021" s="2"/>
      <c r="H1021" s="1"/>
      <c r="I1021" s="2"/>
      <c r="J1021" s="2"/>
      <c r="K1021" s="2"/>
      <c r="L1021" s="2"/>
      <c r="M1021" s="2"/>
      <c r="N1021" s="2"/>
      <c r="O1021" s="2"/>
      <c r="P1021" s="2"/>
      <c r="Q1021" s="2"/>
      <c r="R1021" s="2"/>
      <c r="S1021" s="2"/>
      <c r="T1021" s="2"/>
      <c r="U1021" s="2"/>
      <c r="V1021" s="2"/>
      <c r="W1021" s="2"/>
      <c r="X1021" s="2"/>
      <c r="Y1021" s="2"/>
    </row>
    <row r="1022" spans="1:25" ht="17.399999999999999" x14ac:dyDescent="0.25">
      <c r="A1022" s="1"/>
      <c r="B1022" s="10"/>
      <c r="C1022" s="2"/>
      <c r="D1022" s="2"/>
      <c r="E1022" s="2"/>
      <c r="F1022" s="2"/>
      <c r="G1022" s="2"/>
      <c r="H1022" s="1"/>
      <c r="I1022" s="2"/>
      <c r="J1022" s="2"/>
      <c r="K1022" s="2"/>
      <c r="L1022" s="2"/>
      <c r="M1022" s="2"/>
      <c r="N1022" s="2"/>
      <c r="O1022" s="2"/>
      <c r="P1022" s="2"/>
      <c r="Q1022" s="2"/>
      <c r="R1022" s="2"/>
      <c r="S1022" s="2"/>
      <c r="T1022" s="2"/>
      <c r="U1022" s="2"/>
      <c r="V1022" s="2"/>
      <c r="W1022" s="2"/>
      <c r="X1022" s="2"/>
      <c r="Y1022" s="2"/>
    </row>
    <row r="1023" spans="1:25" ht="17.399999999999999" x14ac:dyDescent="0.25">
      <c r="A1023" s="1"/>
      <c r="B1023" s="10"/>
      <c r="C1023" s="2"/>
      <c r="D1023" s="2"/>
      <c r="E1023" s="2"/>
      <c r="F1023" s="2"/>
      <c r="G1023" s="2"/>
      <c r="H1023" s="1"/>
      <c r="I1023" s="2"/>
      <c r="J1023" s="2"/>
      <c r="K1023" s="2"/>
      <c r="L1023" s="2"/>
      <c r="M1023" s="2"/>
      <c r="N1023" s="2"/>
      <c r="O1023" s="2"/>
      <c r="P1023" s="2"/>
      <c r="Q1023" s="2"/>
      <c r="R1023" s="2"/>
      <c r="S1023" s="2"/>
      <c r="T1023" s="2"/>
      <c r="U1023" s="2"/>
      <c r="V1023" s="2"/>
      <c r="W1023" s="2"/>
      <c r="X1023" s="2"/>
      <c r="Y1023" s="2"/>
    </row>
    <row r="1024" spans="1:25" ht="17.399999999999999" x14ac:dyDescent="0.25">
      <c r="A1024" s="1"/>
      <c r="B1024" s="10"/>
      <c r="C1024" s="2"/>
      <c r="D1024" s="2"/>
      <c r="E1024" s="2"/>
      <c r="F1024" s="2"/>
      <c r="G1024" s="2"/>
      <c r="H1024" s="1"/>
      <c r="I1024" s="2"/>
      <c r="J1024" s="2"/>
      <c r="K1024" s="2"/>
      <c r="L1024" s="2"/>
      <c r="M1024" s="2"/>
      <c r="N1024" s="2"/>
      <c r="O1024" s="2"/>
      <c r="P1024" s="2"/>
      <c r="Q1024" s="2"/>
      <c r="R1024" s="2"/>
      <c r="S1024" s="2"/>
      <c r="T1024" s="2"/>
      <c r="U1024" s="2"/>
      <c r="V1024" s="2"/>
      <c r="W1024" s="2"/>
      <c r="X1024" s="2"/>
      <c r="Y1024" s="2"/>
    </row>
    <row r="1025" spans="1:25" ht="17.399999999999999" x14ac:dyDescent="0.25">
      <c r="A1025" s="1"/>
      <c r="B1025" s="10"/>
      <c r="C1025" s="2"/>
      <c r="D1025" s="2"/>
      <c r="E1025" s="2"/>
      <c r="F1025" s="2"/>
      <c r="G1025" s="2"/>
      <c r="H1025" s="1"/>
      <c r="I1025" s="2"/>
      <c r="J1025" s="2"/>
      <c r="K1025" s="2"/>
      <c r="L1025" s="2"/>
      <c r="M1025" s="2"/>
      <c r="N1025" s="2"/>
      <c r="O1025" s="2"/>
      <c r="P1025" s="2"/>
      <c r="Q1025" s="2"/>
      <c r="R1025" s="2"/>
      <c r="S1025" s="2"/>
      <c r="T1025" s="2"/>
      <c r="U1025" s="2"/>
      <c r="V1025" s="2"/>
      <c r="W1025" s="2"/>
      <c r="X1025" s="2"/>
      <c r="Y1025" s="2"/>
    </row>
    <row r="1026" spans="1:25" ht="17.399999999999999" x14ac:dyDescent="0.25">
      <c r="A1026" s="1"/>
      <c r="B1026" s="10"/>
      <c r="C1026" s="2"/>
      <c r="D1026" s="2"/>
      <c r="E1026" s="2"/>
      <c r="F1026" s="2"/>
      <c r="G1026" s="2"/>
      <c r="H1026" s="1"/>
      <c r="I1026" s="2"/>
      <c r="J1026" s="2"/>
      <c r="K1026" s="2"/>
      <c r="L1026" s="2"/>
      <c r="M1026" s="2"/>
      <c r="N1026" s="2"/>
      <c r="O1026" s="2"/>
      <c r="P1026" s="2"/>
      <c r="Q1026" s="2"/>
      <c r="R1026" s="2"/>
      <c r="S1026" s="2"/>
      <c r="T1026" s="2"/>
      <c r="U1026" s="2"/>
      <c r="V1026" s="2"/>
      <c r="W1026" s="2"/>
      <c r="X1026" s="2"/>
      <c r="Y1026" s="2"/>
    </row>
    <row r="1027" spans="1:25" ht="17.399999999999999" x14ac:dyDescent="0.25">
      <c r="A1027" s="1"/>
      <c r="B1027" s="10"/>
      <c r="C1027" s="2"/>
      <c r="D1027" s="2"/>
      <c r="E1027" s="2"/>
      <c r="F1027" s="2"/>
      <c r="G1027" s="2"/>
      <c r="H1027" s="1"/>
      <c r="I1027" s="2"/>
      <c r="J1027" s="2"/>
      <c r="K1027" s="2"/>
      <c r="L1027" s="2"/>
      <c r="M1027" s="2"/>
      <c r="N1027" s="2"/>
      <c r="O1027" s="2"/>
      <c r="P1027" s="2"/>
      <c r="Q1027" s="2"/>
      <c r="R1027" s="2"/>
      <c r="S1027" s="2"/>
      <c r="T1027" s="2"/>
      <c r="U1027" s="2"/>
      <c r="V1027" s="2"/>
      <c r="W1027" s="2"/>
      <c r="X1027" s="2"/>
      <c r="Y1027" s="2"/>
    </row>
    <row r="1028" spans="1:25" ht="17.399999999999999" x14ac:dyDescent="0.25">
      <c r="A1028" s="1"/>
      <c r="B1028" s="10"/>
      <c r="C1028" s="2"/>
      <c r="D1028" s="2"/>
      <c r="E1028" s="2"/>
      <c r="F1028" s="2"/>
      <c r="G1028" s="2"/>
      <c r="H1028" s="1"/>
      <c r="I1028" s="2"/>
      <c r="J1028" s="2"/>
      <c r="K1028" s="2"/>
      <c r="L1028" s="2"/>
      <c r="M1028" s="2"/>
      <c r="N1028" s="2"/>
      <c r="O1028" s="2"/>
      <c r="P1028" s="2"/>
      <c r="Q1028" s="2"/>
      <c r="R1028" s="2"/>
      <c r="S1028" s="2"/>
      <c r="T1028" s="2"/>
      <c r="U1028" s="2"/>
      <c r="V1028" s="2"/>
      <c r="W1028" s="2"/>
      <c r="X1028" s="2"/>
      <c r="Y1028" s="2"/>
    </row>
    <row r="1029" spans="1:25" ht="17.399999999999999" x14ac:dyDescent="0.25">
      <c r="A1029" s="1"/>
      <c r="B1029" s="10"/>
      <c r="C1029" s="2"/>
      <c r="D1029" s="2"/>
      <c r="E1029" s="2"/>
      <c r="F1029" s="2"/>
      <c r="G1029" s="2"/>
      <c r="H1029" s="1"/>
      <c r="I1029" s="2"/>
      <c r="J1029" s="2"/>
      <c r="K1029" s="2"/>
      <c r="L1029" s="2"/>
      <c r="M1029" s="2"/>
      <c r="N1029" s="2"/>
      <c r="O1029" s="2"/>
      <c r="P1029" s="2"/>
      <c r="Q1029" s="2"/>
      <c r="R1029" s="2"/>
      <c r="S1029" s="2"/>
      <c r="T1029" s="2"/>
      <c r="U1029" s="2"/>
      <c r="V1029" s="2"/>
      <c r="W1029" s="2"/>
      <c r="X1029" s="2"/>
      <c r="Y1029" s="2"/>
    </row>
    <row r="1030" spans="1:25" ht="17.399999999999999" x14ac:dyDescent="0.25">
      <c r="A1030" s="1"/>
      <c r="B1030" s="10"/>
      <c r="C1030" s="2"/>
      <c r="D1030" s="2"/>
      <c r="E1030" s="2"/>
      <c r="F1030" s="2"/>
      <c r="G1030" s="2"/>
      <c r="H1030" s="1"/>
      <c r="I1030" s="2"/>
      <c r="J1030" s="2"/>
      <c r="K1030" s="2"/>
      <c r="L1030" s="2"/>
      <c r="M1030" s="2"/>
      <c r="N1030" s="2"/>
      <c r="O1030" s="2"/>
      <c r="P1030" s="2"/>
      <c r="Q1030" s="2"/>
      <c r="R1030" s="2"/>
      <c r="S1030" s="2"/>
      <c r="T1030" s="2"/>
      <c r="U1030" s="2"/>
      <c r="V1030" s="2"/>
      <c r="W1030" s="2"/>
      <c r="X1030" s="2"/>
      <c r="Y1030" s="2"/>
    </row>
    <row r="1031" spans="1:25" ht="17.399999999999999" x14ac:dyDescent="0.25">
      <c r="A1031" s="1"/>
      <c r="B1031" s="10"/>
      <c r="C1031" s="2"/>
      <c r="D1031" s="2"/>
      <c r="E1031" s="2"/>
      <c r="F1031" s="2"/>
      <c r="G1031" s="2"/>
      <c r="H1031" s="1"/>
      <c r="I1031" s="2"/>
      <c r="J1031" s="2"/>
      <c r="K1031" s="2"/>
      <c r="L1031" s="2"/>
      <c r="M1031" s="2"/>
      <c r="N1031" s="2"/>
      <c r="O1031" s="2"/>
      <c r="P1031" s="2"/>
      <c r="Q1031" s="2"/>
      <c r="R1031" s="2"/>
      <c r="S1031" s="2"/>
      <c r="T1031" s="2"/>
      <c r="U1031" s="2"/>
      <c r="V1031" s="2"/>
      <c r="W1031" s="2"/>
      <c r="X1031" s="2"/>
      <c r="Y1031" s="2"/>
    </row>
    <row r="1032" spans="1:25" ht="17.399999999999999" x14ac:dyDescent="0.25">
      <c r="A1032" s="1"/>
      <c r="B1032" s="10"/>
      <c r="C1032" s="2"/>
      <c r="D1032" s="2"/>
      <c r="E1032" s="2"/>
      <c r="F1032" s="2"/>
      <c r="G1032" s="2"/>
      <c r="H1032" s="1"/>
      <c r="I1032" s="2"/>
      <c r="J1032" s="2"/>
      <c r="K1032" s="2"/>
      <c r="L1032" s="2"/>
      <c r="M1032" s="2"/>
      <c r="N1032" s="2"/>
      <c r="O1032" s="2"/>
      <c r="P1032" s="2"/>
      <c r="Q1032" s="2"/>
      <c r="R1032" s="2"/>
      <c r="S1032" s="2"/>
      <c r="T1032" s="2"/>
      <c r="U1032" s="2"/>
      <c r="V1032" s="2"/>
      <c r="W1032" s="2"/>
      <c r="X1032" s="2"/>
      <c r="Y1032" s="2"/>
    </row>
    <row r="1033" spans="1:25" ht="17.399999999999999" x14ac:dyDescent="0.25">
      <c r="A1033" s="1"/>
      <c r="B1033" s="10"/>
      <c r="C1033" s="2"/>
      <c r="D1033" s="2"/>
      <c r="E1033" s="2"/>
      <c r="F1033" s="2"/>
      <c r="G1033" s="2"/>
      <c r="H1033" s="1"/>
      <c r="I1033" s="2"/>
      <c r="J1033" s="2"/>
      <c r="K1033" s="2"/>
      <c r="L1033" s="2"/>
      <c r="M1033" s="2"/>
      <c r="N1033" s="2"/>
      <c r="O1033" s="2"/>
      <c r="P1033" s="2"/>
      <c r="Q1033" s="2"/>
      <c r="R1033" s="2"/>
      <c r="S1033" s="2"/>
      <c r="T1033" s="2"/>
      <c r="U1033" s="2"/>
      <c r="V1033" s="2"/>
      <c r="W1033" s="2"/>
      <c r="X1033" s="2"/>
      <c r="Y1033" s="2"/>
    </row>
    <row r="1034" spans="1:25" ht="17.399999999999999" x14ac:dyDescent="0.25">
      <c r="A1034" s="1"/>
      <c r="B1034" s="10"/>
      <c r="C1034" s="2"/>
      <c r="D1034" s="2"/>
      <c r="E1034" s="2"/>
      <c r="F1034" s="2"/>
      <c r="G1034" s="2"/>
      <c r="H1034" s="1"/>
      <c r="I1034" s="2"/>
      <c r="J1034" s="2"/>
      <c r="K1034" s="2"/>
      <c r="L1034" s="2"/>
      <c r="M1034" s="2"/>
      <c r="N1034" s="2"/>
      <c r="O1034" s="2"/>
      <c r="P1034" s="2"/>
      <c r="Q1034" s="2"/>
      <c r="R1034" s="2"/>
      <c r="S1034" s="2"/>
      <c r="T1034" s="2"/>
      <c r="U1034" s="2"/>
      <c r="V1034" s="2"/>
      <c r="W1034" s="2"/>
      <c r="X1034" s="2"/>
      <c r="Y1034" s="2"/>
    </row>
    <row r="1035" spans="1:25" ht="17.399999999999999" x14ac:dyDescent="0.25">
      <c r="A1035" s="1"/>
      <c r="B1035" s="10"/>
      <c r="C1035" s="2"/>
      <c r="D1035" s="2"/>
      <c r="E1035" s="2"/>
      <c r="F1035" s="2"/>
      <c r="G1035" s="2"/>
      <c r="H1035" s="1"/>
      <c r="I1035" s="2"/>
      <c r="J1035" s="2"/>
      <c r="K1035" s="2"/>
      <c r="L1035" s="2"/>
      <c r="M1035" s="2"/>
      <c r="N1035" s="2"/>
      <c r="O1035" s="2"/>
      <c r="P1035" s="2"/>
      <c r="Q1035" s="2"/>
      <c r="R1035" s="2"/>
      <c r="S1035" s="2"/>
      <c r="T1035" s="2"/>
      <c r="U1035" s="2"/>
      <c r="V1035" s="2"/>
      <c r="W1035" s="2"/>
      <c r="X1035" s="2"/>
      <c r="Y1035" s="2"/>
    </row>
    <row r="1036" spans="1:25" ht="17.399999999999999" x14ac:dyDescent="0.25">
      <c r="A1036" s="1"/>
      <c r="B1036" s="10"/>
      <c r="C1036" s="2"/>
      <c r="D1036" s="2"/>
      <c r="E1036" s="2"/>
      <c r="F1036" s="2"/>
      <c r="G1036" s="2"/>
      <c r="H1036" s="1"/>
      <c r="I1036" s="2"/>
      <c r="J1036" s="2"/>
      <c r="K1036" s="2"/>
      <c r="L1036" s="2"/>
      <c r="M1036" s="2"/>
      <c r="N1036" s="2"/>
      <c r="O1036" s="2"/>
      <c r="P1036" s="2"/>
      <c r="Q1036" s="2"/>
      <c r="R1036" s="2"/>
      <c r="S1036" s="2"/>
      <c r="T1036" s="2"/>
      <c r="U1036" s="2"/>
      <c r="V1036" s="2"/>
      <c r="W1036" s="2"/>
      <c r="X1036" s="2"/>
      <c r="Y1036" s="2"/>
    </row>
    <row r="1037" spans="1:25" ht="17.399999999999999" x14ac:dyDescent="0.25">
      <c r="A1037" s="1"/>
      <c r="B1037" s="10"/>
      <c r="C1037" s="2"/>
      <c r="D1037" s="2"/>
      <c r="E1037" s="2"/>
      <c r="F1037" s="2"/>
      <c r="G1037" s="2"/>
      <c r="H1037" s="1"/>
      <c r="I1037" s="2"/>
      <c r="J1037" s="2"/>
      <c r="K1037" s="2"/>
      <c r="L1037" s="2"/>
      <c r="M1037" s="2"/>
      <c r="N1037" s="2"/>
      <c r="O1037" s="2"/>
      <c r="P1037" s="2"/>
      <c r="Q1037" s="2"/>
      <c r="R1037" s="2"/>
      <c r="S1037" s="2"/>
      <c r="T1037" s="2"/>
      <c r="U1037" s="2"/>
      <c r="V1037" s="2"/>
      <c r="W1037" s="2"/>
      <c r="X1037" s="2"/>
      <c r="Y1037" s="2"/>
    </row>
    <row r="1038" spans="1:25" ht="17.399999999999999" x14ac:dyDescent="0.25">
      <c r="A1038" s="1"/>
      <c r="B1038" s="10"/>
      <c r="C1038" s="2"/>
      <c r="D1038" s="2"/>
      <c r="E1038" s="2"/>
      <c r="F1038" s="2"/>
      <c r="G1038" s="2"/>
      <c r="H1038" s="1"/>
      <c r="I1038" s="2"/>
      <c r="J1038" s="2"/>
      <c r="K1038" s="2"/>
      <c r="L1038" s="2"/>
      <c r="M1038" s="2"/>
      <c r="N1038" s="2"/>
      <c r="O1038" s="2"/>
      <c r="P1038" s="2"/>
      <c r="Q1038" s="2"/>
      <c r="R1038" s="2"/>
      <c r="S1038" s="2"/>
      <c r="T1038" s="2"/>
      <c r="U1038" s="2"/>
      <c r="V1038" s="2"/>
      <c r="W1038" s="2"/>
      <c r="X1038" s="2"/>
      <c r="Y1038" s="2"/>
    </row>
    <row r="1039" spans="1:25" ht="17.399999999999999" x14ac:dyDescent="0.25">
      <c r="A1039" s="1"/>
      <c r="B1039" s="10"/>
      <c r="C1039" s="2"/>
      <c r="D1039" s="2"/>
      <c r="E1039" s="2"/>
      <c r="F1039" s="2"/>
      <c r="G1039" s="2"/>
      <c r="H1039" s="1"/>
      <c r="I1039" s="2"/>
      <c r="J1039" s="2"/>
      <c r="K1039" s="2"/>
      <c r="L1039" s="2"/>
      <c r="M1039" s="2"/>
      <c r="N1039" s="2"/>
      <c r="O1039" s="2"/>
      <c r="P1039" s="2"/>
      <c r="Q1039" s="2"/>
      <c r="R1039" s="2"/>
      <c r="S1039" s="2"/>
      <c r="T1039" s="2"/>
      <c r="U1039" s="2"/>
      <c r="V1039" s="2"/>
      <c r="W1039" s="2"/>
      <c r="X1039" s="2"/>
      <c r="Y1039" s="2"/>
    </row>
    <row r="1040" spans="1:25" ht="17.399999999999999" x14ac:dyDescent="0.25">
      <c r="A1040" s="1"/>
      <c r="B1040" s="10"/>
      <c r="C1040" s="2"/>
      <c r="D1040" s="2"/>
      <c r="E1040" s="2"/>
      <c r="F1040" s="2"/>
      <c r="G1040" s="2"/>
      <c r="H1040" s="1"/>
      <c r="I1040" s="2"/>
      <c r="J1040" s="2"/>
      <c r="K1040" s="2"/>
      <c r="L1040" s="2"/>
      <c r="M1040" s="2"/>
      <c r="N1040" s="2"/>
      <c r="O1040" s="2"/>
      <c r="P1040" s="2"/>
      <c r="Q1040" s="2"/>
      <c r="R1040" s="2"/>
      <c r="S1040" s="2"/>
      <c r="T1040" s="2"/>
      <c r="U1040" s="2"/>
      <c r="V1040" s="2"/>
      <c r="W1040" s="2"/>
      <c r="X1040" s="2"/>
      <c r="Y1040" s="2"/>
    </row>
    <row r="1041" spans="1:25" ht="17.399999999999999" x14ac:dyDescent="0.25">
      <c r="A1041" s="1"/>
      <c r="B1041" s="10"/>
      <c r="C1041" s="2"/>
      <c r="D1041" s="2"/>
      <c r="E1041" s="2"/>
      <c r="F1041" s="2"/>
      <c r="G1041" s="2"/>
      <c r="H1041" s="1"/>
      <c r="I1041" s="2"/>
      <c r="J1041" s="2"/>
      <c r="K1041" s="2"/>
      <c r="L1041" s="2"/>
      <c r="M1041" s="2"/>
      <c r="N1041" s="2"/>
      <c r="O1041" s="2"/>
      <c r="P1041" s="2"/>
      <c r="Q1041" s="2"/>
      <c r="R1041" s="2"/>
      <c r="S1041" s="2"/>
      <c r="T1041" s="2"/>
      <c r="U1041" s="2"/>
      <c r="V1041" s="2"/>
      <c r="W1041" s="2"/>
      <c r="X1041" s="2"/>
      <c r="Y1041" s="2"/>
    </row>
    <row r="1042" spans="1:25" ht="17.399999999999999" x14ac:dyDescent="0.25">
      <c r="A1042" s="1"/>
      <c r="B1042" s="10"/>
      <c r="C1042" s="2"/>
      <c r="D1042" s="2"/>
      <c r="E1042" s="2"/>
      <c r="F1042" s="2"/>
      <c r="G1042" s="2"/>
      <c r="H1042" s="1"/>
      <c r="I1042" s="2"/>
      <c r="J1042" s="2"/>
      <c r="K1042" s="2"/>
      <c r="L1042" s="2"/>
      <c r="M1042" s="2"/>
      <c r="N1042" s="2"/>
      <c r="O1042" s="2"/>
      <c r="P1042" s="2"/>
      <c r="Q1042" s="2"/>
      <c r="R1042" s="2"/>
      <c r="S1042" s="2"/>
      <c r="T1042" s="2"/>
      <c r="U1042" s="2"/>
      <c r="V1042" s="2"/>
      <c r="W1042" s="2"/>
      <c r="X1042" s="2"/>
      <c r="Y1042" s="2"/>
    </row>
    <row r="1043" spans="1:25" ht="17.399999999999999" x14ac:dyDescent="0.25">
      <c r="A1043" s="1"/>
      <c r="B1043" s="10"/>
      <c r="C1043" s="2"/>
      <c r="D1043" s="2"/>
      <c r="E1043" s="2"/>
      <c r="F1043" s="2"/>
      <c r="G1043" s="2"/>
      <c r="H1043" s="1"/>
      <c r="I1043" s="2"/>
      <c r="J1043" s="2"/>
      <c r="K1043" s="2"/>
      <c r="L1043" s="2"/>
      <c r="M1043" s="2"/>
      <c r="N1043" s="2"/>
      <c r="O1043" s="2"/>
      <c r="P1043" s="2"/>
      <c r="Q1043" s="2"/>
      <c r="R1043" s="2"/>
      <c r="S1043" s="2"/>
      <c r="T1043" s="2"/>
      <c r="U1043" s="2"/>
      <c r="V1043" s="2"/>
      <c r="W1043" s="2"/>
      <c r="X1043" s="2"/>
      <c r="Y1043" s="2"/>
    </row>
    <row r="1044" spans="1:25" ht="17.399999999999999" x14ac:dyDescent="0.25">
      <c r="A1044" s="1"/>
      <c r="B1044" s="10"/>
      <c r="C1044" s="2"/>
      <c r="D1044" s="2"/>
      <c r="E1044" s="2"/>
      <c r="F1044" s="2"/>
      <c r="G1044" s="2"/>
      <c r="H1044" s="1"/>
      <c r="I1044" s="2"/>
      <c r="J1044" s="2"/>
      <c r="K1044" s="2"/>
      <c r="L1044" s="2"/>
      <c r="M1044" s="2"/>
      <c r="N1044" s="2"/>
      <c r="O1044" s="2"/>
      <c r="P1044" s="2"/>
      <c r="Q1044" s="2"/>
      <c r="R1044" s="2"/>
      <c r="S1044" s="2"/>
      <c r="T1044" s="2"/>
      <c r="U1044" s="2"/>
      <c r="V1044" s="2"/>
      <c r="W1044" s="2"/>
      <c r="X1044" s="2"/>
      <c r="Y1044" s="2"/>
    </row>
    <row r="1045" spans="1:25" ht="17.399999999999999" x14ac:dyDescent="0.25">
      <c r="A1045" s="1"/>
      <c r="B1045" s="10"/>
      <c r="C1045" s="2"/>
      <c r="D1045" s="2"/>
      <c r="E1045" s="2"/>
      <c r="F1045" s="2"/>
      <c r="G1045" s="2"/>
      <c r="H1045" s="1"/>
      <c r="I1045" s="2"/>
      <c r="J1045" s="2"/>
      <c r="K1045" s="2"/>
      <c r="L1045" s="2"/>
      <c r="M1045" s="2"/>
      <c r="N1045" s="2"/>
      <c r="O1045" s="2"/>
      <c r="P1045" s="2"/>
      <c r="Q1045" s="2"/>
      <c r="R1045" s="2"/>
      <c r="S1045" s="2"/>
      <c r="T1045" s="2"/>
      <c r="U1045" s="2"/>
      <c r="V1045" s="2"/>
      <c r="W1045" s="2"/>
      <c r="X1045" s="2"/>
      <c r="Y1045" s="2"/>
    </row>
    <row r="1046" spans="1:25" ht="17.399999999999999" x14ac:dyDescent="0.25">
      <c r="A1046" s="1"/>
      <c r="B1046" s="10"/>
      <c r="C1046" s="2"/>
      <c r="D1046" s="2"/>
      <c r="E1046" s="2"/>
      <c r="F1046" s="2"/>
      <c r="G1046" s="2"/>
      <c r="H1046" s="1"/>
      <c r="I1046" s="2"/>
      <c r="J1046" s="2"/>
      <c r="K1046" s="2"/>
      <c r="L1046" s="2"/>
      <c r="M1046" s="2"/>
      <c r="N1046" s="2"/>
      <c r="O1046" s="2"/>
      <c r="P1046" s="2"/>
      <c r="Q1046" s="2"/>
      <c r="R1046" s="2"/>
      <c r="S1046" s="2"/>
      <c r="T1046" s="2"/>
      <c r="U1046" s="2"/>
      <c r="V1046" s="2"/>
      <c r="W1046" s="2"/>
      <c r="X1046" s="2"/>
      <c r="Y1046" s="2"/>
    </row>
    <row r="1047" spans="1:25" ht="17.399999999999999" x14ac:dyDescent="0.25">
      <c r="A1047" s="1"/>
      <c r="B1047" s="10"/>
      <c r="C1047" s="2"/>
      <c r="D1047" s="2"/>
      <c r="E1047" s="2"/>
      <c r="F1047" s="2"/>
      <c r="G1047" s="2"/>
      <c r="H1047" s="1"/>
      <c r="I1047" s="2"/>
      <c r="J1047" s="2"/>
      <c r="K1047" s="2"/>
      <c r="L1047" s="2"/>
      <c r="M1047" s="2"/>
      <c r="N1047" s="2"/>
      <c r="O1047" s="2"/>
      <c r="P1047" s="2"/>
      <c r="Q1047" s="2"/>
      <c r="R1047" s="2"/>
      <c r="S1047" s="2"/>
      <c r="T1047" s="2"/>
      <c r="U1047" s="2"/>
      <c r="V1047" s="2"/>
      <c r="W1047" s="2"/>
      <c r="X1047" s="2"/>
      <c r="Y1047" s="2"/>
    </row>
    <row r="1048" spans="1:25" ht="17.399999999999999" x14ac:dyDescent="0.25">
      <c r="A1048" s="1"/>
      <c r="B1048" s="10"/>
      <c r="C1048" s="2"/>
      <c r="D1048" s="2"/>
      <c r="E1048" s="2"/>
      <c r="F1048" s="2"/>
      <c r="G1048" s="2"/>
      <c r="H1048" s="1"/>
      <c r="I1048" s="2"/>
      <c r="J1048" s="2"/>
      <c r="K1048" s="2"/>
      <c r="L1048" s="2"/>
      <c r="M1048" s="2"/>
      <c r="N1048" s="2"/>
      <c r="O1048" s="2"/>
      <c r="P1048" s="2"/>
      <c r="Q1048" s="2"/>
      <c r="R1048" s="2"/>
      <c r="S1048" s="2"/>
      <c r="T1048" s="2"/>
      <c r="U1048" s="2"/>
      <c r="V1048" s="2"/>
      <c r="W1048" s="2"/>
      <c r="X1048" s="2"/>
      <c r="Y1048" s="2"/>
    </row>
    <row r="1049" spans="1:25" ht="17.399999999999999" x14ac:dyDescent="0.25">
      <c r="A1049" s="1"/>
      <c r="B1049" s="10"/>
      <c r="C1049" s="2"/>
      <c r="D1049" s="2"/>
      <c r="E1049" s="2"/>
      <c r="F1049" s="2"/>
      <c r="G1049" s="2"/>
      <c r="H1049" s="1"/>
      <c r="I1049" s="2"/>
      <c r="J1049" s="2"/>
      <c r="K1049" s="2"/>
      <c r="L1049" s="2"/>
      <c r="M1049" s="2"/>
      <c r="N1049" s="2"/>
      <c r="O1049" s="2"/>
      <c r="P1049" s="2"/>
      <c r="Q1049" s="2"/>
      <c r="R1049" s="2"/>
      <c r="S1049" s="2"/>
      <c r="T1049" s="2"/>
      <c r="U1049" s="2"/>
      <c r="V1049" s="2"/>
      <c r="W1049" s="2"/>
      <c r="X1049" s="2"/>
      <c r="Y1049" s="2"/>
    </row>
    <row r="1050" spans="1:25" ht="17.399999999999999" x14ac:dyDescent="0.25">
      <c r="A1050" s="1"/>
      <c r="B1050" s="10"/>
      <c r="C1050" s="2"/>
      <c r="D1050" s="2"/>
      <c r="E1050" s="2"/>
      <c r="F1050" s="2"/>
      <c r="G1050" s="2"/>
      <c r="H1050" s="1"/>
      <c r="I1050" s="2"/>
      <c r="J1050" s="2"/>
      <c r="K1050" s="2"/>
      <c r="L1050" s="2"/>
      <c r="M1050" s="2"/>
      <c r="N1050" s="2"/>
      <c r="O1050" s="2"/>
      <c r="P1050" s="2"/>
      <c r="Q1050" s="2"/>
      <c r="R1050" s="2"/>
      <c r="S1050" s="2"/>
      <c r="T1050" s="2"/>
      <c r="U1050" s="2"/>
      <c r="V1050" s="2"/>
      <c r="W1050" s="2"/>
      <c r="X1050" s="2"/>
      <c r="Y1050" s="2"/>
    </row>
    <row r="1051" spans="1:25" ht="17.399999999999999" x14ac:dyDescent="0.25">
      <c r="A1051" s="1"/>
      <c r="B1051" s="10"/>
      <c r="C1051" s="2"/>
      <c r="D1051" s="2"/>
      <c r="E1051" s="2"/>
      <c r="F1051" s="2"/>
      <c r="G1051" s="2"/>
      <c r="H1051" s="1"/>
      <c r="I1051" s="2"/>
      <c r="J1051" s="2"/>
      <c r="K1051" s="2"/>
      <c r="L1051" s="2"/>
      <c r="M1051" s="2"/>
      <c r="N1051" s="2"/>
      <c r="O1051" s="2"/>
      <c r="P1051" s="2"/>
      <c r="Q1051" s="2"/>
      <c r="R1051" s="2"/>
      <c r="S1051" s="2"/>
      <c r="T1051" s="2"/>
      <c r="U1051" s="2"/>
      <c r="V1051" s="2"/>
      <c r="W1051" s="2"/>
      <c r="X1051" s="2"/>
      <c r="Y1051" s="2"/>
    </row>
    <row r="1052" spans="1:25" ht="17.399999999999999" x14ac:dyDescent="0.25">
      <c r="A1052" s="1"/>
      <c r="B1052" s="10"/>
      <c r="C1052" s="2"/>
      <c r="D1052" s="2"/>
      <c r="E1052" s="2"/>
      <c r="F1052" s="2"/>
      <c r="G1052" s="2"/>
      <c r="H1052" s="1"/>
      <c r="I1052" s="2"/>
      <c r="J1052" s="2"/>
      <c r="K1052" s="2"/>
      <c r="L1052" s="2"/>
      <c r="M1052" s="2"/>
      <c r="N1052" s="2"/>
      <c r="O1052" s="2"/>
      <c r="P1052" s="2"/>
      <c r="Q1052" s="2"/>
      <c r="R1052" s="2"/>
      <c r="S1052" s="2"/>
      <c r="T1052" s="2"/>
      <c r="U1052" s="2"/>
      <c r="V1052" s="2"/>
      <c r="W1052" s="2"/>
      <c r="X1052" s="2"/>
      <c r="Y1052" s="2"/>
    </row>
    <row r="1053" spans="1:25" ht="17.399999999999999" x14ac:dyDescent="0.25">
      <c r="A1053" s="1"/>
      <c r="B1053" s="10"/>
      <c r="C1053" s="2"/>
      <c r="D1053" s="2"/>
      <c r="E1053" s="2"/>
      <c r="F1053" s="2"/>
      <c r="G1053" s="2"/>
      <c r="H1053" s="1"/>
      <c r="I1053" s="2"/>
      <c r="J1053" s="2"/>
      <c r="K1053" s="2"/>
      <c r="L1053" s="2"/>
      <c r="M1053" s="2"/>
      <c r="N1053" s="2"/>
      <c r="O1053" s="2"/>
      <c r="P1053" s="2"/>
      <c r="Q1053" s="2"/>
      <c r="R1053" s="2"/>
      <c r="S1053" s="2"/>
      <c r="T1053" s="2"/>
      <c r="U1053" s="2"/>
      <c r="V1053" s="2"/>
      <c r="W1053" s="2"/>
      <c r="X1053" s="2"/>
      <c r="Y1053" s="2"/>
    </row>
    <row r="1054" spans="1:25" ht="17.399999999999999" x14ac:dyDescent="0.25">
      <c r="A1054" s="1"/>
      <c r="B1054" s="10"/>
      <c r="C1054" s="2"/>
      <c r="D1054" s="2"/>
      <c r="E1054" s="2"/>
      <c r="F1054" s="2"/>
      <c r="G1054" s="2"/>
      <c r="H1054" s="1"/>
      <c r="I1054" s="2"/>
      <c r="J1054" s="2"/>
      <c r="K1054" s="2"/>
      <c r="L1054" s="2"/>
      <c r="M1054" s="2"/>
      <c r="N1054" s="2"/>
      <c r="O1054" s="2"/>
      <c r="P1054" s="2"/>
      <c r="Q1054" s="2"/>
      <c r="R1054" s="2"/>
      <c r="S1054" s="2"/>
      <c r="T1054" s="2"/>
      <c r="U1054" s="2"/>
      <c r="V1054" s="2"/>
      <c r="W1054" s="2"/>
      <c r="X1054" s="2"/>
      <c r="Y1054" s="2"/>
    </row>
    <row r="1055" spans="1:25" ht="17.399999999999999" x14ac:dyDescent="0.25">
      <c r="A1055" s="1"/>
      <c r="B1055" s="10"/>
      <c r="C1055" s="2"/>
      <c r="D1055" s="2"/>
      <c r="E1055" s="2"/>
      <c r="F1055" s="2"/>
      <c r="G1055" s="2"/>
      <c r="H1055" s="1"/>
      <c r="I1055" s="2"/>
      <c r="J1055" s="2"/>
      <c r="K1055" s="2"/>
      <c r="L1055" s="2"/>
      <c r="M1055" s="2"/>
      <c r="N1055" s="2"/>
      <c r="O1055" s="2"/>
      <c r="P1055" s="2"/>
      <c r="Q1055" s="2"/>
      <c r="R1055" s="2"/>
      <c r="S1055" s="2"/>
      <c r="T1055" s="2"/>
      <c r="U1055" s="2"/>
      <c r="V1055" s="2"/>
      <c r="W1055" s="2"/>
      <c r="X1055" s="2"/>
      <c r="Y1055" s="2"/>
    </row>
    <row r="1056" spans="1:25" ht="17.399999999999999" x14ac:dyDescent="0.25">
      <c r="A1056" s="1"/>
      <c r="B1056" s="10"/>
      <c r="C1056" s="2"/>
      <c r="D1056" s="2"/>
      <c r="E1056" s="2"/>
      <c r="F1056" s="2"/>
      <c r="G1056" s="2"/>
      <c r="H1056" s="1"/>
      <c r="I1056" s="2"/>
      <c r="J1056" s="2"/>
      <c r="K1056" s="2"/>
      <c r="L1056" s="2"/>
      <c r="M1056" s="2"/>
      <c r="N1056" s="2"/>
      <c r="O1056" s="2"/>
      <c r="P1056" s="2"/>
      <c r="Q1056" s="2"/>
      <c r="R1056" s="2"/>
      <c r="S1056" s="2"/>
      <c r="T1056" s="2"/>
      <c r="U1056" s="2"/>
      <c r="V1056" s="2"/>
      <c r="W1056" s="2"/>
      <c r="X1056" s="2"/>
      <c r="Y1056" s="2"/>
    </row>
    <row r="1057" spans="1:25" ht="17.399999999999999" x14ac:dyDescent="0.25">
      <c r="A1057" s="1"/>
      <c r="B1057" s="10"/>
      <c r="C1057" s="2"/>
      <c r="D1057" s="2"/>
      <c r="E1057" s="2"/>
      <c r="F1057" s="2"/>
      <c r="G1057" s="2"/>
      <c r="H1057" s="1"/>
      <c r="I1057" s="2"/>
      <c r="J1057" s="2"/>
      <c r="K1057" s="2"/>
      <c r="L1057" s="2"/>
      <c r="M1057" s="2"/>
      <c r="N1057" s="2"/>
      <c r="O1057" s="2"/>
      <c r="P1057" s="2"/>
      <c r="Q1057" s="2"/>
      <c r="R1057" s="2"/>
      <c r="S1057" s="2"/>
      <c r="T1057" s="2"/>
      <c r="U1057" s="2"/>
      <c r="V1057" s="2"/>
      <c r="W1057" s="2"/>
      <c r="X1057" s="2"/>
      <c r="Y1057" s="2"/>
    </row>
    <row r="1058" spans="1:25" ht="17.399999999999999" x14ac:dyDescent="0.25">
      <c r="A1058" s="1"/>
      <c r="B1058" s="10"/>
      <c r="C1058" s="2"/>
      <c r="D1058" s="2"/>
      <c r="E1058" s="2"/>
      <c r="F1058" s="2"/>
      <c r="G1058" s="2"/>
      <c r="H1058" s="1"/>
      <c r="I1058" s="2"/>
      <c r="J1058" s="2"/>
      <c r="K1058" s="2"/>
      <c r="L1058" s="2"/>
      <c r="M1058" s="2"/>
      <c r="N1058" s="2"/>
      <c r="O1058" s="2"/>
      <c r="P1058" s="2"/>
      <c r="Q1058" s="2"/>
      <c r="R1058" s="2"/>
      <c r="S1058" s="2"/>
      <c r="T1058" s="2"/>
      <c r="U1058" s="2"/>
      <c r="V1058" s="2"/>
      <c r="W1058" s="2"/>
      <c r="X1058" s="2"/>
      <c r="Y1058" s="2"/>
    </row>
    <row r="1059" spans="1:25" ht="17.399999999999999" x14ac:dyDescent="0.25">
      <c r="A1059" s="1"/>
      <c r="B1059" s="10"/>
      <c r="C1059" s="2"/>
      <c r="D1059" s="2"/>
      <c r="E1059" s="2"/>
      <c r="F1059" s="2"/>
      <c r="G1059" s="2"/>
      <c r="H1059" s="1"/>
      <c r="I1059" s="2"/>
      <c r="J1059" s="2"/>
      <c r="K1059" s="2"/>
      <c r="L1059" s="2"/>
      <c r="M1059" s="2"/>
      <c r="N1059" s="2"/>
      <c r="O1059" s="2"/>
      <c r="P1059" s="2"/>
      <c r="Q1059" s="2"/>
      <c r="R1059" s="2"/>
      <c r="S1059" s="2"/>
      <c r="T1059" s="2"/>
      <c r="U1059" s="2"/>
      <c r="V1059" s="2"/>
      <c r="W1059" s="2"/>
      <c r="X1059" s="2"/>
      <c r="Y1059" s="2"/>
    </row>
    <row r="1060" spans="1:25" ht="17.399999999999999" x14ac:dyDescent="0.25">
      <c r="A1060" s="1"/>
      <c r="B1060" s="10"/>
      <c r="C1060" s="2"/>
      <c r="D1060" s="2"/>
      <c r="E1060" s="2"/>
      <c r="F1060" s="2"/>
      <c r="G1060" s="2"/>
      <c r="H1060" s="1"/>
      <c r="I1060" s="2"/>
      <c r="J1060" s="2"/>
      <c r="K1060" s="2"/>
      <c r="L1060" s="2"/>
      <c r="M1060" s="2"/>
      <c r="N1060" s="2"/>
      <c r="O1060" s="2"/>
      <c r="P1060" s="2"/>
      <c r="Q1060" s="2"/>
      <c r="R1060" s="2"/>
      <c r="S1060" s="2"/>
      <c r="T1060" s="2"/>
      <c r="U1060" s="2"/>
      <c r="V1060" s="2"/>
      <c r="W1060" s="2"/>
      <c r="X1060" s="2"/>
      <c r="Y1060" s="2"/>
    </row>
    <row r="1061" spans="1:25" ht="17.399999999999999" x14ac:dyDescent="0.25">
      <c r="A1061" s="1"/>
      <c r="B1061" s="10"/>
      <c r="C1061" s="2"/>
      <c r="D1061" s="2"/>
      <c r="E1061" s="2"/>
      <c r="F1061" s="2"/>
      <c r="G1061" s="2"/>
      <c r="H1061" s="1"/>
      <c r="I1061" s="2"/>
      <c r="J1061" s="2"/>
      <c r="K1061" s="2"/>
      <c r="L1061" s="2"/>
      <c r="M1061" s="2"/>
      <c r="N1061" s="2"/>
      <c r="O1061" s="2"/>
      <c r="P1061" s="2"/>
      <c r="Q1061" s="2"/>
      <c r="R1061" s="2"/>
      <c r="S1061" s="2"/>
      <c r="T1061" s="2"/>
      <c r="U1061" s="2"/>
      <c r="V1061" s="2"/>
      <c r="W1061" s="2"/>
      <c r="X1061" s="2"/>
      <c r="Y1061" s="2"/>
    </row>
    <row r="1062" spans="1:25" ht="17.399999999999999" x14ac:dyDescent="0.25">
      <c r="A1062" s="1"/>
      <c r="B1062" s="10"/>
      <c r="C1062" s="2"/>
      <c r="D1062" s="2"/>
      <c r="E1062" s="2"/>
      <c r="F1062" s="2"/>
      <c r="G1062" s="2"/>
      <c r="H1062" s="1"/>
      <c r="I1062" s="2"/>
      <c r="J1062" s="2"/>
      <c r="K1062" s="2"/>
      <c r="L1062" s="2"/>
      <c r="M1062" s="2"/>
      <c r="N1062" s="2"/>
      <c r="O1062" s="2"/>
      <c r="P1062" s="2"/>
      <c r="Q1062" s="2"/>
      <c r="R1062" s="2"/>
      <c r="S1062" s="2"/>
      <c r="T1062" s="2"/>
      <c r="U1062" s="2"/>
      <c r="V1062" s="2"/>
      <c r="W1062" s="2"/>
      <c r="X1062" s="2"/>
      <c r="Y1062" s="2"/>
    </row>
    <row r="1063" spans="1:25" ht="17.399999999999999" x14ac:dyDescent="0.25">
      <c r="A1063" s="1"/>
      <c r="B1063" s="10"/>
      <c r="C1063" s="2"/>
      <c r="D1063" s="2"/>
      <c r="E1063" s="2"/>
      <c r="F1063" s="2"/>
      <c r="G1063" s="2"/>
      <c r="H1063" s="1"/>
      <c r="I1063" s="2"/>
      <c r="J1063" s="2"/>
      <c r="K1063" s="2"/>
      <c r="L1063" s="2"/>
      <c r="M1063" s="2"/>
      <c r="N1063" s="2"/>
      <c r="O1063" s="2"/>
      <c r="P1063" s="2"/>
      <c r="Q1063" s="2"/>
      <c r="R1063" s="2"/>
      <c r="S1063" s="2"/>
      <c r="T1063" s="2"/>
      <c r="U1063" s="2"/>
      <c r="V1063" s="2"/>
      <c r="W1063" s="2"/>
      <c r="X1063" s="2"/>
      <c r="Y1063" s="2"/>
    </row>
    <row r="1064" spans="1:25" ht="17.399999999999999" x14ac:dyDescent="0.25">
      <c r="A1064" s="1"/>
      <c r="B1064" s="10"/>
      <c r="C1064" s="2"/>
      <c r="D1064" s="2"/>
      <c r="E1064" s="2"/>
      <c r="F1064" s="2"/>
      <c r="G1064" s="2"/>
      <c r="H1064" s="1"/>
      <c r="I1064" s="2"/>
      <c r="J1064" s="2"/>
      <c r="K1064" s="2"/>
      <c r="L1064" s="2"/>
      <c r="M1064" s="2"/>
      <c r="N1064" s="2"/>
      <c r="O1064" s="2"/>
      <c r="P1064" s="2"/>
      <c r="Q1064" s="2"/>
      <c r="R1064" s="2"/>
      <c r="S1064" s="2"/>
      <c r="T1064" s="2"/>
      <c r="U1064" s="2"/>
      <c r="V1064" s="2"/>
      <c r="W1064" s="2"/>
      <c r="X1064" s="2"/>
      <c r="Y1064" s="2"/>
    </row>
    <row r="1065" spans="1:25" ht="17.399999999999999" x14ac:dyDescent="0.25">
      <c r="A1065" s="1"/>
      <c r="B1065" s="10"/>
      <c r="C1065" s="2"/>
      <c r="D1065" s="2"/>
      <c r="E1065" s="2"/>
      <c r="F1065" s="2"/>
      <c r="G1065" s="2"/>
      <c r="H1065" s="1"/>
      <c r="I1065" s="2"/>
      <c r="J1065" s="2"/>
      <c r="K1065" s="2"/>
      <c r="L1065" s="2"/>
      <c r="M1065" s="2"/>
      <c r="N1065" s="2"/>
      <c r="O1065" s="2"/>
      <c r="P1065" s="2"/>
      <c r="Q1065" s="2"/>
      <c r="R1065" s="2"/>
      <c r="S1065" s="2"/>
      <c r="T1065" s="2"/>
      <c r="U1065" s="2"/>
      <c r="V1065" s="2"/>
      <c r="W1065" s="2"/>
      <c r="X1065" s="2"/>
      <c r="Y1065" s="2"/>
    </row>
    <row r="1066" spans="1:25" ht="17.399999999999999" x14ac:dyDescent="0.25">
      <c r="A1066" s="1"/>
      <c r="B1066" s="10"/>
      <c r="C1066" s="2"/>
      <c r="D1066" s="2"/>
      <c r="E1066" s="2"/>
      <c r="F1066" s="2"/>
      <c r="G1066" s="2"/>
      <c r="H1066" s="1"/>
      <c r="I1066" s="2"/>
      <c r="J1066" s="2"/>
      <c r="K1066" s="2"/>
      <c r="L1066" s="2"/>
      <c r="M1066" s="2"/>
      <c r="N1066" s="2"/>
      <c r="O1066" s="2"/>
      <c r="P1066" s="2"/>
      <c r="Q1066" s="2"/>
      <c r="R1066" s="2"/>
      <c r="S1066" s="2"/>
      <c r="T1066" s="2"/>
      <c r="U1066" s="2"/>
      <c r="V1066" s="2"/>
      <c r="W1066" s="2"/>
      <c r="X1066" s="2"/>
      <c r="Y1066" s="2"/>
    </row>
    <row r="1067" spans="1:25" ht="17.399999999999999" x14ac:dyDescent="0.25">
      <c r="A1067" s="1"/>
      <c r="B1067" s="10"/>
      <c r="C1067" s="2"/>
      <c r="D1067" s="2"/>
      <c r="E1067" s="2"/>
      <c r="F1067" s="2"/>
      <c r="G1067" s="2"/>
      <c r="H1067" s="1"/>
      <c r="I1067" s="2"/>
      <c r="J1067" s="2"/>
      <c r="K1067" s="2"/>
      <c r="L1067" s="2"/>
      <c r="M1067" s="2"/>
      <c r="N1067" s="2"/>
      <c r="O1067" s="2"/>
      <c r="P1067" s="2"/>
      <c r="Q1067" s="2"/>
      <c r="R1067" s="2"/>
      <c r="S1067" s="2"/>
      <c r="T1067" s="2"/>
      <c r="U1067" s="2"/>
      <c r="V1067" s="2"/>
      <c r="W1067" s="2"/>
      <c r="X1067" s="2"/>
      <c r="Y1067" s="2"/>
    </row>
    <row r="1068" spans="1:25" ht="17.399999999999999" x14ac:dyDescent="0.25">
      <c r="A1068" s="1"/>
      <c r="B1068" s="10"/>
      <c r="C1068" s="2"/>
      <c r="D1068" s="2"/>
      <c r="E1068" s="2"/>
      <c r="F1068" s="2"/>
      <c r="G1068" s="2"/>
      <c r="H1068" s="1"/>
      <c r="I1068" s="2"/>
      <c r="J1068" s="2"/>
      <c r="K1068" s="2"/>
      <c r="L1068" s="2"/>
      <c r="M1068" s="2"/>
      <c r="N1068" s="2"/>
      <c r="O1068" s="2"/>
      <c r="P1068" s="2"/>
      <c r="Q1068" s="2"/>
      <c r="R1068" s="2"/>
      <c r="S1068" s="2"/>
      <c r="T1068" s="2"/>
      <c r="U1068" s="2"/>
      <c r="V1068" s="2"/>
      <c r="W1068" s="2"/>
      <c r="X1068" s="2"/>
      <c r="Y1068" s="2"/>
    </row>
    <row r="1069" spans="1:25" ht="17.399999999999999" x14ac:dyDescent="0.25">
      <c r="A1069" s="1"/>
      <c r="B1069" s="10"/>
      <c r="C1069" s="2"/>
      <c r="D1069" s="2"/>
      <c r="E1069" s="2"/>
      <c r="F1069" s="2"/>
      <c r="G1069" s="2"/>
      <c r="H1069" s="1"/>
      <c r="I1069" s="2"/>
      <c r="J1069" s="2"/>
      <c r="K1069" s="2"/>
      <c r="L1069" s="2"/>
      <c r="M1069" s="2"/>
      <c r="N1069" s="2"/>
      <c r="O1069" s="2"/>
      <c r="P1069" s="2"/>
      <c r="Q1069" s="2"/>
      <c r="R1069" s="2"/>
      <c r="S1069" s="2"/>
      <c r="T1069" s="2"/>
      <c r="U1069" s="2"/>
      <c r="V1069" s="2"/>
      <c r="W1069" s="2"/>
      <c r="X1069" s="2"/>
      <c r="Y1069" s="2"/>
    </row>
    <row r="1070" spans="1:25" ht="17.399999999999999" x14ac:dyDescent="0.25">
      <c r="A1070" s="1"/>
      <c r="B1070" s="10"/>
      <c r="C1070" s="2"/>
      <c r="D1070" s="2"/>
      <c r="E1070" s="2"/>
      <c r="F1070" s="2"/>
      <c r="G1070" s="2"/>
      <c r="H1070" s="1"/>
      <c r="I1070" s="2"/>
      <c r="J1070" s="2"/>
      <c r="K1070" s="2"/>
      <c r="L1070" s="2"/>
      <c r="M1070" s="2"/>
      <c r="N1070" s="2"/>
      <c r="O1070" s="2"/>
      <c r="P1070" s="2"/>
      <c r="Q1070" s="2"/>
      <c r="R1070" s="2"/>
      <c r="S1070" s="2"/>
      <c r="T1070" s="2"/>
      <c r="U1070" s="2"/>
      <c r="V1070" s="2"/>
      <c r="W1070" s="2"/>
      <c r="X1070" s="2"/>
      <c r="Y1070" s="2"/>
    </row>
    <row r="1071" spans="1:25" ht="17.399999999999999" x14ac:dyDescent="0.25">
      <c r="A1071" s="1"/>
      <c r="B1071" s="10"/>
      <c r="C1071" s="2"/>
      <c r="D1071" s="2"/>
      <c r="E1071" s="2"/>
      <c r="F1071" s="2"/>
      <c r="G1071" s="2"/>
      <c r="H1071" s="1"/>
      <c r="I1071" s="2"/>
      <c r="J1071" s="2"/>
      <c r="K1071" s="2"/>
      <c r="L1071" s="2"/>
      <c r="M1071" s="2"/>
      <c r="N1071" s="2"/>
      <c r="O1071" s="2"/>
      <c r="P1071" s="2"/>
      <c r="Q1071" s="2"/>
      <c r="R1071" s="2"/>
      <c r="S1071" s="2"/>
      <c r="T1071" s="2"/>
      <c r="U1071" s="2"/>
      <c r="V1071" s="2"/>
      <c r="W1071" s="2"/>
      <c r="X1071" s="2"/>
      <c r="Y1071" s="2"/>
    </row>
    <row r="1072" spans="1:25" ht="17.399999999999999" x14ac:dyDescent="0.25">
      <c r="A1072" s="1"/>
      <c r="B1072" s="10"/>
      <c r="C1072" s="2"/>
      <c r="D1072" s="2"/>
      <c r="E1072" s="2"/>
      <c r="F1072" s="2"/>
      <c r="G1072" s="2"/>
      <c r="H1072" s="1"/>
      <c r="I1072" s="2"/>
      <c r="J1072" s="2"/>
      <c r="K1072" s="2"/>
      <c r="L1072" s="2"/>
      <c r="M1072" s="2"/>
      <c r="N1072" s="2"/>
      <c r="O1072" s="2"/>
      <c r="P1072" s="2"/>
      <c r="Q1072" s="2"/>
      <c r="R1072" s="2"/>
      <c r="S1072" s="2"/>
      <c r="T1072" s="2"/>
      <c r="U1072" s="2"/>
      <c r="V1072" s="2"/>
      <c r="W1072" s="2"/>
      <c r="X1072" s="2"/>
      <c r="Y1072" s="2"/>
    </row>
    <row r="1073" spans="1:25" ht="17.399999999999999" x14ac:dyDescent="0.25">
      <c r="A1073" s="1"/>
      <c r="B1073" s="10"/>
      <c r="C1073" s="2"/>
      <c r="D1073" s="2"/>
      <c r="E1073" s="2"/>
      <c r="F1073" s="2"/>
      <c r="G1073" s="2"/>
      <c r="H1073" s="1"/>
      <c r="I1073" s="2"/>
      <c r="J1073" s="2"/>
      <c r="K1073" s="2"/>
      <c r="L1073" s="2"/>
      <c r="M1073" s="2"/>
      <c r="N1073" s="2"/>
      <c r="O1073" s="2"/>
      <c r="P1073" s="2"/>
      <c r="Q1073" s="2"/>
      <c r="R1073" s="2"/>
      <c r="S1073" s="2"/>
      <c r="T1073" s="2"/>
      <c r="U1073" s="2"/>
      <c r="V1073" s="2"/>
      <c r="W1073" s="2"/>
      <c r="X1073" s="2"/>
      <c r="Y1073" s="2"/>
    </row>
    <row r="1074" spans="1:25" ht="17.399999999999999" x14ac:dyDescent="0.25">
      <c r="A1074" s="1"/>
      <c r="B1074" s="10"/>
      <c r="C1074" s="2"/>
      <c r="D1074" s="2"/>
      <c r="E1074" s="2"/>
      <c r="F1074" s="2"/>
      <c r="G1074" s="2"/>
      <c r="H1074" s="1"/>
      <c r="I1074" s="2"/>
      <c r="J1074" s="2"/>
      <c r="K1074" s="2"/>
      <c r="L1074" s="2"/>
      <c r="M1074" s="2"/>
      <c r="N1074" s="2"/>
      <c r="O1074" s="2"/>
      <c r="P1074" s="2"/>
      <c r="Q1074" s="2"/>
      <c r="R1074" s="2"/>
      <c r="S1074" s="2"/>
      <c r="T1074" s="2"/>
      <c r="U1074" s="2"/>
      <c r="V1074" s="2"/>
      <c r="W1074" s="2"/>
      <c r="X1074" s="2"/>
      <c r="Y1074" s="2"/>
    </row>
    <row r="1075" spans="1:25" ht="17.399999999999999" x14ac:dyDescent="0.25">
      <c r="A1075" s="1"/>
      <c r="B1075" s="10"/>
      <c r="C1075" s="2"/>
      <c r="D1075" s="2"/>
      <c r="E1075" s="2"/>
      <c r="F1075" s="2"/>
      <c r="G1075" s="2"/>
      <c r="H1075" s="1"/>
      <c r="I1075" s="2"/>
      <c r="J1075" s="2"/>
      <c r="K1075" s="2"/>
      <c r="L1075" s="2"/>
      <c r="M1075" s="2"/>
      <c r="N1075" s="2"/>
      <c r="O1075" s="2"/>
      <c r="P1075" s="2"/>
      <c r="Q1075" s="2"/>
      <c r="R1075" s="2"/>
      <c r="S1075" s="2"/>
      <c r="T1075" s="2"/>
      <c r="U1075" s="2"/>
      <c r="V1075" s="2"/>
      <c r="W1075" s="2"/>
      <c r="X1075" s="2"/>
      <c r="Y1075" s="2"/>
    </row>
    <row r="1076" spans="1:25" ht="17.399999999999999" x14ac:dyDescent="0.25">
      <c r="A1076" s="1"/>
      <c r="B1076" s="10"/>
      <c r="C1076" s="2"/>
      <c r="D1076" s="2"/>
      <c r="E1076" s="2"/>
      <c r="F1076" s="2"/>
      <c r="G1076" s="2"/>
      <c r="H1076" s="1"/>
      <c r="I1076" s="2"/>
      <c r="J1076" s="2"/>
      <c r="K1076" s="2"/>
      <c r="L1076" s="2"/>
      <c r="M1076" s="2"/>
      <c r="N1076" s="2"/>
      <c r="O1076" s="2"/>
      <c r="P1076" s="2"/>
      <c r="Q1076" s="2"/>
      <c r="R1076" s="2"/>
      <c r="S1076" s="2"/>
      <c r="T1076" s="2"/>
      <c r="U1076" s="2"/>
      <c r="V1076" s="2"/>
      <c r="W1076" s="2"/>
      <c r="X1076" s="2"/>
      <c r="Y1076" s="2"/>
    </row>
    <row r="1077" spans="1:25" ht="17.399999999999999" x14ac:dyDescent="0.25">
      <c r="A1077" s="1"/>
      <c r="B1077" s="10"/>
      <c r="C1077" s="2"/>
      <c r="D1077" s="2"/>
      <c r="E1077" s="2"/>
      <c r="F1077" s="2"/>
      <c r="G1077" s="2"/>
      <c r="H1077" s="1"/>
      <c r="I1077" s="2"/>
      <c r="J1077" s="2"/>
      <c r="K1077" s="2"/>
      <c r="L1077" s="2"/>
      <c r="M1077" s="2"/>
      <c r="N1077" s="2"/>
      <c r="O1077" s="2"/>
      <c r="P1077" s="2"/>
      <c r="Q1077" s="2"/>
      <c r="R1077" s="2"/>
      <c r="S1077" s="2"/>
      <c r="T1077" s="2"/>
      <c r="U1077" s="2"/>
      <c r="V1077" s="2"/>
      <c r="W1077" s="2"/>
      <c r="X1077" s="2"/>
      <c r="Y1077" s="2"/>
    </row>
    <row r="1078" spans="1:25" ht="17.399999999999999" x14ac:dyDescent="0.25">
      <c r="A1078" s="1"/>
      <c r="B1078" s="10"/>
      <c r="C1078" s="2"/>
      <c r="D1078" s="2"/>
      <c r="E1078" s="2"/>
      <c r="F1078" s="2"/>
      <c r="G1078" s="2"/>
      <c r="H1078" s="1"/>
      <c r="I1078" s="2"/>
      <c r="J1078" s="2"/>
      <c r="K1078" s="2"/>
      <c r="L1078" s="2"/>
      <c r="M1078" s="2"/>
      <c r="N1078" s="2"/>
      <c r="O1078" s="2"/>
      <c r="P1078" s="2"/>
      <c r="Q1078" s="2"/>
      <c r="R1078" s="2"/>
      <c r="S1078" s="2"/>
      <c r="T1078" s="2"/>
      <c r="U1078" s="2"/>
      <c r="V1078" s="2"/>
      <c r="W1078" s="2"/>
      <c r="X1078" s="2"/>
      <c r="Y1078" s="2"/>
    </row>
    <row r="1079" spans="1:25" ht="17.399999999999999" x14ac:dyDescent="0.25">
      <c r="A1079" s="1"/>
      <c r="B1079" s="10"/>
      <c r="C1079" s="2"/>
      <c r="D1079" s="2"/>
      <c r="E1079" s="2"/>
      <c r="F1079" s="2"/>
      <c r="G1079" s="2"/>
      <c r="H1079" s="1"/>
      <c r="I1079" s="2"/>
      <c r="J1079" s="2"/>
      <c r="K1079" s="2"/>
      <c r="L1079" s="2"/>
      <c r="M1079" s="2"/>
      <c r="N1079" s="2"/>
      <c r="O1079" s="2"/>
      <c r="P1079" s="2"/>
      <c r="Q1079" s="2"/>
      <c r="R1079" s="2"/>
      <c r="S1079" s="2"/>
      <c r="T1079" s="2"/>
      <c r="U1079" s="2"/>
      <c r="V1079" s="2"/>
      <c r="W1079" s="2"/>
      <c r="X1079" s="2"/>
      <c r="Y1079" s="2"/>
    </row>
    <row r="1080" spans="1:25" ht="17.399999999999999" x14ac:dyDescent="0.25">
      <c r="A1080" s="1"/>
      <c r="B1080" s="10"/>
      <c r="C1080" s="2"/>
      <c r="D1080" s="2"/>
      <c r="E1080" s="2"/>
      <c r="F1080" s="2"/>
      <c r="G1080" s="2"/>
      <c r="H1080" s="1"/>
      <c r="I1080" s="2"/>
      <c r="J1080" s="2"/>
      <c r="K1080" s="2"/>
      <c r="L1080" s="2"/>
      <c r="M1080" s="2"/>
      <c r="N1080" s="2"/>
      <c r="O1080" s="2"/>
      <c r="P1080" s="2"/>
      <c r="Q1080" s="2"/>
      <c r="R1080" s="2"/>
      <c r="S1080" s="2"/>
      <c r="T1080" s="2"/>
      <c r="U1080" s="2"/>
      <c r="V1080" s="2"/>
      <c r="W1080" s="2"/>
      <c r="X1080" s="2"/>
      <c r="Y1080" s="2"/>
    </row>
    <row r="1081" spans="1:25" ht="17.399999999999999" x14ac:dyDescent="0.25">
      <c r="A1081" s="1"/>
      <c r="B1081" s="10"/>
      <c r="C1081" s="2"/>
      <c r="D1081" s="2"/>
      <c r="E1081" s="2"/>
      <c r="F1081" s="2"/>
      <c r="G1081" s="2"/>
      <c r="H1081" s="1"/>
      <c r="I1081" s="2"/>
      <c r="J1081" s="2"/>
      <c r="K1081" s="2"/>
      <c r="L1081" s="2"/>
      <c r="M1081" s="2"/>
      <c r="N1081" s="2"/>
      <c r="O1081" s="2"/>
      <c r="P1081" s="2"/>
      <c r="Q1081" s="2"/>
      <c r="R1081" s="2"/>
      <c r="S1081" s="2"/>
      <c r="T1081" s="2"/>
      <c r="U1081" s="2"/>
      <c r="V1081" s="2"/>
      <c r="W1081" s="2"/>
      <c r="X1081" s="2"/>
      <c r="Y1081" s="2"/>
    </row>
    <row r="1082" spans="1:25" ht="17.399999999999999" x14ac:dyDescent="0.25">
      <c r="A1082" s="1"/>
      <c r="B1082" s="10"/>
      <c r="C1082" s="2"/>
      <c r="D1082" s="2"/>
      <c r="E1082" s="2"/>
      <c r="F1082" s="2"/>
      <c r="G1082" s="2"/>
      <c r="H1082" s="1"/>
      <c r="I1082" s="2"/>
      <c r="J1082" s="2"/>
      <c r="K1082" s="2"/>
      <c r="L1082" s="2"/>
      <c r="M1082" s="2"/>
      <c r="N1082" s="2"/>
      <c r="O1082" s="2"/>
      <c r="P1082" s="2"/>
      <c r="Q1082" s="2"/>
      <c r="R1082" s="2"/>
      <c r="S1082" s="2"/>
      <c r="T1082" s="2"/>
      <c r="U1082" s="2"/>
      <c r="V1082" s="2"/>
      <c r="W1082" s="2"/>
      <c r="X1082" s="2"/>
      <c r="Y1082" s="2"/>
    </row>
    <row r="1083" spans="1:25" ht="17.399999999999999" x14ac:dyDescent="0.25">
      <c r="A1083" s="1"/>
      <c r="B1083" s="10"/>
      <c r="C1083" s="2"/>
      <c r="D1083" s="2"/>
      <c r="E1083" s="2"/>
      <c r="F1083" s="2"/>
      <c r="G1083" s="2"/>
      <c r="H1083" s="1"/>
      <c r="I1083" s="2"/>
      <c r="J1083" s="2"/>
      <c r="K1083" s="2"/>
      <c r="L1083" s="2"/>
      <c r="M1083" s="2"/>
      <c r="N1083" s="2"/>
      <c r="O1083" s="2"/>
      <c r="P1083" s="2"/>
      <c r="Q1083" s="2"/>
      <c r="R1083" s="2"/>
      <c r="S1083" s="2"/>
      <c r="T1083" s="2"/>
      <c r="U1083" s="2"/>
      <c r="V1083" s="2"/>
      <c r="W1083" s="2"/>
      <c r="X1083" s="2"/>
      <c r="Y1083" s="2"/>
    </row>
    <row r="1084" spans="1:25" ht="17.399999999999999" x14ac:dyDescent="0.25">
      <c r="A1084" s="1"/>
      <c r="B1084" s="10"/>
      <c r="C1084" s="2"/>
      <c r="D1084" s="2"/>
      <c r="E1084" s="2"/>
      <c r="F1084" s="2"/>
      <c r="G1084" s="2"/>
      <c r="H1084" s="1"/>
      <c r="I1084" s="2"/>
      <c r="J1084" s="2"/>
      <c r="K1084" s="2"/>
      <c r="L1084" s="2"/>
      <c r="M1084" s="2"/>
      <c r="N1084" s="2"/>
      <c r="O1084" s="2"/>
      <c r="P1084" s="2"/>
      <c r="Q1084" s="2"/>
      <c r="R1084" s="2"/>
      <c r="S1084" s="2"/>
      <c r="T1084" s="2"/>
      <c r="U1084" s="2"/>
      <c r="V1084" s="2"/>
      <c r="W1084" s="2"/>
      <c r="X1084" s="2"/>
      <c r="Y1084" s="2"/>
    </row>
    <row r="1085" spans="1:25" ht="17.399999999999999" x14ac:dyDescent="0.25">
      <c r="A1085" s="1"/>
      <c r="B1085" s="10"/>
      <c r="C1085" s="2"/>
      <c r="D1085" s="2"/>
      <c r="E1085" s="2"/>
      <c r="F1085" s="2"/>
      <c r="G1085" s="2"/>
      <c r="H1085" s="1"/>
      <c r="I1085" s="2"/>
      <c r="J1085" s="2"/>
      <c r="K1085" s="2"/>
      <c r="L1085" s="2"/>
      <c r="M1085" s="2"/>
      <c r="N1085" s="2"/>
      <c r="O1085" s="2"/>
      <c r="P1085" s="2"/>
      <c r="Q1085" s="2"/>
      <c r="R1085" s="2"/>
      <c r="S1085" s="2"/>
      <c r="T1085" s="2"/>
      <c r="U1085" s="2"/>
      <c r="V1085" s="2"/>
      <c r="W1085" s="2"/>
      <c r="X1085" s="2"/>
      <c r="Y1085" s="2"/>
    </row>
    <row r="1086" spans="1:25" ht="17.399999999999999" x14ac:dyDescent="0.25">
      <c r="A1086" s="1"/>
      <c r="B1086" s="10"/>
      <c r="C1086" s="2"/>
      <c r="D1086" s="2"/>
      <c r="E1086" s="2"/>
      <c r="F1086" s="2"/>
      <c r="G1086" s="2"/>
      <c r="H1086" s="1"/>
      <c r="I1086" s="2"/>
      <c r="J1086" s="2"/>
      <c r="K1086" s="2"/>
      <c r="L1086" s="2"/>
      <c r="M1086" s="2"/>
      <c r="N1086" s="2"/>
      <c r="O1086" s="2"/>
      <c r="P1086" s="2"/>
      <c r="Q1086" s="2"/>
      <c r="R1086" s="2"/>
      <c r="S1086" s="2"/>
      <c r="T1086" s="2"/>
      <c r="U1086" s="2"/>
      <c r="V1086" s="2"/>
      <c r="W1086" s="2"/>
      <c r="X1086" s="2"/>
      <c r="Y1086" s="2"/>
    </row>
    <row r="1087" spans="1:25" ht="17.399999999999999" x14ac:dyDescent="0.25">
      <c r="A1087" s="1"/>
      <c r="B1087" s="10"/>
      <c r="C1087" s="2"/>
      <c r="D1087" s="2"/>
      <c r="E1087" s="2"/>
      <c r="F1087" s="2"/>
      <c r="G1087" s="2"/>
      <c r="H1087" s="1"/>
      <c r="I1087" s="2"/>
      <c r="J1087" s="2"/>
      <c r="K1087" s="2"/>
      <c r="L1087" s="2"/>
      <c r="M1087" s="2"/>
      <c r="N1087" s="2"/>
      <c r="O1087" s="2"/>
      <c r="P1087" s="2"/>
      <c r="Q1087" s="2"/>
      <c r="R1087" s="2"/>
      <c r="S1087" s="2"/>
      <c r="T1087" s="2"/>
      <c r="U1087" s="2"/>
      <c r="V1087" s="2"/>
      <c r="W1087" s="2"/>
      <c r="X1087" s="2"/>
      <c r="Y1087" s="2"/>
    </row>
    <row r="1088" spans="1:25" ht="17.399999999999999" x14ac:dyDescent="0.25">
      <c r="A1088" s="1"/>
      <c r="B1088" s="10"/>
      <c r="C1088" s="2"/>
      <c r="D1088" s="2"/>
      <c r="E1088" s="2"/>
      <c r="F1088" s="2"/>
      <c r="G1088" s="2"/>
      <c r="H1088" s="1"/>
      <c r="I1088" s="2"/>
      <c r="J1088" s="2"/>
      <c r="K1088" s="2"/>
      <c r="L1088" s="2"/>
      <c r="M1088" s="2"/>
      <c r="N1088" s="2"/>
      <c r="O1088" s="2"/>
      <c r="P1088" s="2"/>
      <c r="Q1088" s="2"/>
      <c r="R1088" s="2"/>
      <c r="S1088" s="2"/>
      <c r="T1088" s="2"/>
      <c r="U1088" s="2"/>
      <c r="V1088" s="2"/>
      <c r="W1088" s="2"/>
      <c r="X1088" s="2"/>
      <c r="Y1088" s="2"/>
    </row>
    <row r="1089" spans="1:25" ht="17.399999999999999" x14ac:dyDescent="0.25">
      <c r="A1089" s="1"/>
      <c r="B1089" s="10"/>
      <c r="C1089" s="2"/>
      <c r="D1089" s="2"/>
      <c r="E1089" s="2"/>
      <c r="F1089" s="2"/>
      <c r="G1089" s="2"/>
      <c r="H1089" s="1"/>
      <c r="I1089" s="2"/>
      <c r="J1089" s="2"/>
      <c r="K1089" s="2"/>
      <c r="L1089" s="2"/>
      <c r="M1089" s="2"/>
      <c r="N1089" s="2"/>
      <c r="O1089" s="2"/>
      <c r="P1089" s="2"/>
      <c r="Q1089" s="2"/>
      <c r="R1089" s="2"/>
      <c r="S1089" s="2"/>
      <c r="T1089" s="2"/>
      <c r="U1089" s="2"/>
      <c r="V1089" s="2"/>
      <c r="W1089" s="2"/>
      <c r="X1089" s="2"/>
      <c r="Y1089" s="2"/>
    </row>
    <row r="1090" spans="1:25" ht="17.399999999999999" x14ac:dyDescent="0.25">
      <c r="A1090" s="1"/>
      <c r="B1090" s="10"/>
      <c r="C1090" s="2"/>
      <c r="D1090" s="2"/>
      <c r="E1090" s="2"/>
      <c r="F1090" s="2"/>
      <c r="G1090" s="2"/>
      <c r="H1090" s="1"/>
      <c r="I1090" s="2"/>
      <c r="J1090" s="2"/>
      <c r="K1090" s="2"/>
      <c r="L1090" s="2"/>
      <c r="M1090" s="2"/>
      <c r="N1090" s="2"/>
      <c r="O1090" s="2"/>
      <c r="P1090" s="2"/>
      <c r="Q1090" s="2"/>
      <c r="R1090" s="2"/>
      <c r="S1090" s="2"/>
      <c r="T1090" s="2"/>
      <c r="U1090" s="2"/>
      <c r="V1090" s="2"/>
      <c r="W1090" s="2"/>
      <c r="X1090" s="2"/>
      <c r="Y1090" s="2"/>
    </row>
    <row r="1091" spans="1:25" ht="17.399999999999999" x14ac:dyDescent="0.25">
      <c r="A1091" s="1"/>
      <c r="B1091" s="10"/>
      <c r="C1091" s="2"/>
      <c r="D1091" s="2"/>
      <c r="E1091" s="2"/>
      <c r="F1091" s="2"/>
      <c r="G1091" s="2"/>
      <c r="H1091" s="1"/>
      <c r="I1091" s="2"/>
      <c r="J1091" s="2"/>
      <c r="K1091" s="2"/>
      <c r="L1091" s="2"/>
      <c r="M1091" s="2"/>
      <c r="N1091" s="2"/>
      <c r="O1091" s="2"/>
      <c r="P1091" s="2"/>
      <c r="Q1091" s="2"/>
      <c r="R1091" s="2"/>
      <c r="S1091" s="2"/>
      <c r="T1091" s="2"/>
      <c r="U1091" s="2"/>
      <c r="V1091" s="2"/>
      <c r="W1091" s="2"/>
      <c r="X1091" s="2"/>
      <c r="Y1091" s="2"/>
    </row>
    <row r="1092" spans="1:25" ht="17.399999999999999" x14ac:dyDescent="0.25">
      <c r="A1092" s="1"/>
      <c r="B1092" s="10"/>
      <c r="C1092" s="2"/>
      <c r="D1092" s="2"/>
      <c r="E1092" s="2"/>
      <c r="F1092" s="2"/>
      <c r="G1092" s="2"/>
      <c r="H1092" s="1"/>
      <c r="I1092" s="2"/>
      <c r="J1092" s="2"/>
      <c r="K1092" s="2"/>
      <c r="L1092" s="2"/>
      <c r="M1092" s="2"/>
      <c r="N1092" s="2"/>
      <c r="O1092" s="2"/>
      <c r="P1092" s="2"/>
      <c r="Q1092" s="2"/>
      <c r="R1092" s="2"/>
      <c r="S1092" s="2"/>
      <c r="T1092" s="2"/>
      <c r="U1092" s="2"/>
      <c r="V1092" s="2"/>
      <c r="W1092" s="2"/>
      <c r="X1092" s="2"/>
      <c r="Y1092" s="2"/>
    </row>
    <row r="1093" spans="1:25" ht="17.399999999999999" x14ac:dyDescent="0.25">
      <c r="A1093" s="1"/>
      <c r="B1093" s="10"/>
      <c r="C1093" s="2"/>
      <c r="D1093" s="2"/>
      <c r="E1093" s="2"/>
      <c r="F1093" s="2"/>
      <c r="G1093" s="2"/>
      <c r="H1093" s="1"/>
      <c r="I1093" s="2"/>
      <c r="J1093" s="2"/>
      <c r="K1093" s="2"/>
      <c r="L1093" s="2"/>
      <c r="M1093" s="2"/>
      <c r="N1093" s="2"/>
      <c r="O1093" s="2"/>
      <c r="P1093" s="2"/>
      <c r="Q1093" s="2"/>
      <c r="R1093" s="2"/>
      <c r="S1093" s="2"/>
      <c r="T1093" s="2"/>
      <c r="U1093" s="2"/>
      <c r="V1093" s="2"/>
      <c r="W1093" s="2"/>
      <c r="X1093" s="2"/>
      <c r="Y1093" s="2"/>
    </row>
    <row r="1094" spans="1:25" ht="17.399999999999999" x14ac:dyDescent="0.25">
      <c r="A1094" s="1"/>
      <c r="B1094" s="10"/>
      <c r="C1094" s="2"/>
      <c r="D1094" s="2"/>
      <c r="E1094" s="2"/>
      <c r="F1094" s="2"/>
      <c r="G1094" s="2"/>
      <c r="H1094" s="1"/>
      <c r="I1094" s="2"/>
      <c r="J1094" s="2"/>
      <c r="K1094" s="2"/>
      <c r="L1094" s="2"/>
      <c r="M1094" s="2"/>
      <c r="N1094" s="2"/>
      <c r="O1094" s="2"/>
      <c r="P1094" s="2"/>
      <c r="Q1094" s="2"/>
      <c r="R1094" s="2"/>
      <c r="S1094" s="2"/>
      <c r="T1094" s="2"/>
      <c r="U1094" s="2"/>
      <c r="V1094" s="2"/>
      <c r="W1094" s="2"/>
      <c r="X1094" s="2"/>
      <c r="Y1094" s="2"/>
    </row>
    <row r="1095" spans="1:25" ht="17.399999999999999" x14ac:dyDescent="0.25">
      <c r="A1095" s="1"/>
      <c r="B1095" s="10"/>
      <c r="C1095" s="2"/>
      <c r="D1095" s="2"/>
      <c r="E1095" s="2"/>
      <c r="F1095" s="2"/>
      <c r="G1095" s="2"/>
      <c r="H1095" s="1"/>
      <c r="I1095" s="2"/>
      <c r="J1095" s="2"/>
      <c r="K1095" s="2"/>
      <c r="L1095" s="2"/>
      <c r="M1095" s="2"/>
      <c r="N1095" s="2"/>
      <c r="O1095" s="2"/>
      <c r="P1095" s="2"/>
      <c r="Q1095" s="2"/>
      <c r="R1095" s="2"/>
      <c r="S1095" s="2"/>
      <c r="T1095" s="2"/>
      <c r="U1095" s="2"/>
      <c r="V1095" s="2"/>
      <c r="W1095" s="2"/>
      <c r="X1095" s="2"/>
      <c r="Y1095" s="2"/>
    </row>
    <row r="1096" spans="1:25" ht="17.399999999999999" x14ac:dyDescent="0.25">
      <c r="A1096" s="1"/>
      <c r="B1096" s="10"/>
      <c r="C1096" s="2"/>
      <c r="D1096" s="2"/>
      <c r="E1096" s="2"/>
      <c r="F1096" s="2"/>
      <c r="G1096" s="2"/>
      <c r="H1096" s="1"/>
      <c r="I1096" s="2"/>
      <c r="J1096" s="2"/>
      <c r="K1096" s="2"/>
      <c r="L1096" s="2"/>
      <c r="M1096" s="2"/>
      <c r="N1096" s="2"/>
      <c r="O1096" s="2"/>
      <c r="P1096" s="2"/>
      <c r="Q1096" s="2"/>
      <c r="R1096" s="2"/>
      <c r="S1096" s="2"/>
      <c r="T1096" s="2"/>
      <c r="U1096" s="2"/>
      <c r="V1096" s="2"/>
      <c r="W1096" s="2"/>
      <c r="X1096" s="2"/>
      <c r="Y1096" s="2"/>
    </row>
    <row r="1097" spans="1:25" ht="17.399999999999999" x14ac:dyDescent="0.25">
      <c r="A1097" s="1"/>
      <c r="B1097" s="10"/>
      <c r="C1097" s="2"/>
      <c r="D1097" s="2"/>
      <c r="E1097" s="2"/>
      <c r="F1097" s="2"/>
      <c r="G1097" s="2"/>
      <c r="H1097" s="1"/>
      <c r="I1097" s="2"/>
      <c r="J1097" s="2"/>
      <c r="K1097" s="2"/>
      <c r="L1097" s="2"/>
      <c r="M1097" s="2"/>
      <c r="N1097" s="2"/>
      <c r="O1097" s="2"/>
      <c r="P1097" s="2"/>
      <c r="Q1097" s="2"/>
      <c r="R1097" s="2"/>
      <c r="S1097" s="2"/>
      <c r="T1097" s="2"/>
      <c r="U1097" s="2"/>
      <c r="V1097" s="2"/>
      <c r="W1097" s="2"/>
      <c r="X1097" s="2"/>
      <c r="Y1097" s="2"/>
    </row>
    <row r="1098" spans="1:25" ht="17.399999999999999" x14ac:dyDescent="0.25">
      <c r="A1098" s="1"/>
      <c r="B1098" s="10"/>
      <c r="C1098" s="2"/>
      <c r="D1098" s="2"/>
      <c r="E1098" s="2"/>
      <c r="F1098" s="2"/>
      <c r="G1098" s="2"/>
      <c r="H1098" s="1"/>
      <c r="I1098" s="2"/>
      <c r="J1098" s="2"/>
      <c r="K1098" s="2"/>
      <c r="L1098" s="2"/>
      <c r="M1098" s="2"/>
      <c r="N1098" s="2"/>
      <c r="O1098" s="2"/>
      <c r="P1098" s="2"/>
      <c r="Q1098" s="2"/>
      <c r="R1098" s="2"/>
      <c r="S1098" s="2"/>
      <c r="T1098" s="2"/>
      <c r="U1098" s="2"/>
      <c r="V1098" s="2"/>
      <c r="W1098" s="2"/>
      <c r="X1098" s="2"/>
      <c r="Y1098" s="2"/>
    </row>
    <row r="1099" spans="1:25" ht="17.399999999999999" x14ac:dyDescent="0.25">
      <c r="A1099" s="1"/>
      <c r="B1099" s="10"/>
      <c r="C1099" s="2"/>
      <c r="D1099" s="2"/>
      <c r="E1099" s="2"/>
      <c r="F1099" s="2"/>
      <c r="G1099" s="2"/>
      <c r="H1099" s="1"/>
      <c r="I1099" s="2"/>
      <c r="J1099" s="2"/>
      <c r="K1099" s="2"/>
      <c r="L1099" s="2"/>
      <c r="M1099" s="2"/>
      <c r="N1099" s="2"/>
      <c r="O1099" s="2"/>
      <c r="P1099" s="2"/>
      <c r="Q1099" s="2"/>
      <c r="R1099" s="2"/>
      <c r="S1099" s="2"/>
      <c r="T1099" s="2"/>
      <c r="U1099" s="2"/>
      <c r="V1099" s="2"/>
      <c r="W1099" s="2"/>
      <c r="X1099" s="2"/>
      <c r="Y1099" s="2"/>
    </row>
    <row r="1100" spans="1:25" ht="17.399999999999999" x14ac:dyDescent="0.25">
      <c r="A1100" s="1"/>
      <c r="B1100" s="10"/>
      <c r="C1100" s="2"/>
      <c r="D1100" s="2"/>
      <c r="E1100" s="2"/>
      <c r="F1100" s="2"/>
      <c r="G1100" s="2"/>
      <c r="H1100" s="1"/>
      <c r="I1100" s="2"/>
      <c r="J1100" s="2"/>
      <c r="K1100" s="2"/>
      <c r="L1100" s="2"/>
      <c r="M1100" s="2"/>
      <c r="N1100" s="2"/>
      <c r="O1100" s="2"/>
      <c r="P1100" s="2"/>
      <c r="Q1100" s="2"/>
      <c r="R1100" s="2"/>
      <c r="S1100" s="2"/>
      <c r="T1100" s="2"/>
      <c r="U1100" s="2"/>
      <c r="V1100" s="2"/>
      <c r="W1100" s="2"/>
      <c r="X1100" s="2"/>
      <c r="Y1100" s="2"/>
    </row>
    <row r="1101" spans="1:25" ht="17.399999999999999" x14ac:dyDescent="0.25">
      <c r="A1101" s="1"/>
      <c r="B1101" s="10"/>
      <c r="C1101" s="2"/>
      <c r="D1101" s="2"/>
      <c r="E1101" s="2"/>
      <c r="F1101" s="2"/>
      <c r="G1101" s="2"/>
      <c r="H1101" s="1"/>
      <c r="I1101" s="2"/>
      <c r="J1101" s="2"/>
      <c r="K1101" s="2"/>
      <c r="L1101" s="2"/>
      <c r="M1101" s="2"/>
      <c r="N1101" s="2"/>
      <c r="O1101" s="2"/>
      <c r="P1101" s="2"/>
      <c r="Q1101" s="2"/>
      <c r="R1101" s="2"/>
      <c r="S1101" s="2"/>
      <c r="T1101" s="2"/>
      <c r="U1101" s="2"/>
      <c r="V1101" s="2"/>
      <c r="W1101" s="2"/>
      <c r="X1101" s="2"/>
      <c r="Y1101" s="2"/>
    </row>
    <row r="1102" spans="1:25" ht="17.399999999999999" x14ac:dyDescent="0.25">
      <c r="A1102" s="1"/>
      <c r="B1102" s="10"/>
      <c r="C1102" s="2"/>
      <c r="D1102" s="2"/>
      <c r="E1102" s="2"/>
      <c r="F1102" s="2"/>
      <c r="G1102" s="2"/>
      <c r="H1102" s="1"/>
      <c r="I1102" s="2"/>
      <c r="J1102" s="2"/>
      <c r="K1102" s="2"/>
      <c r="L1102" s="2"/>
      <c r="M1102" s="2"/>
      <c r="N1102" s="2"/>
      <c r="O1102" s="2"/>
      <c r="P1102" s="2"/>
      <c r="Q1102" s="2"/>
      <c r="R1102" s="2"/>
      <c r="S1102" s="2"/>
      <c r="T1102" s="2"/>
      <c r="U1102" s="2"/>
      <c r="V1102" s="2"/>
      <c r="W1102" s="2"/>
      <c r="X1102" s="2"/>
      <c r="Y1102" s="2"/>
    </row>
    <row r="1103" spans="1:25" ht="17.399999999999999" x14ac:dyDescent="0.25">
      <c r="A1103" s="1"/>
      <c r="B1103" s="10"/>
      <c r="C1103" s="2"/>
      <c r="D1103" s="2"/>
      <c r="E1103" s="2"/>
      <c r="F1103" s="2"/>
      <c r="G1103" s="2"/>
      <c r="H1103" s="1"/>
      <c r="I1103" s="2"/>
      <c r="J1103" s="2"/>
      <c r="K1103" s="2"/>
      <c r="L1103" s="2"/>
      <c r="M1103" s="2"/>
      <c r="N1103" s="2"/>
      <c r="O1103" s="2"/>
      <c r="P1103" s="2"/>
      <c r="Q1103" s="2"/>
      <c r="R1103" s="2"/>
      <c r="S1103" s="2"/>
      <c r="T1103" s="2"/>
      <c r="U1103" s="2"/>
      <c r="V1103" s="2"/>
      <c r="W1103" s="2"/>
      <c r="X1103" s="2"/>
      <c r="Y1103" s="2"/>
    </row>
    <row r="1104" spans="1:25" ht="17.399999999999999" x14ac:dyDescent="0.25">
      <c r="A1104" s="1"/>
      <c r="B1104" s="10"/>
      <c r="C1104" s="2"/>
      <c r="D1104" s="2"/>
      <c r="E1104" s="2"/>
      <c r="F1104" s="2"/>
      <c r="G1104" s="2"/>
      <c r="H1104" s="1"/>
      <c r="I1104" s="2"/>
      <c r="J1104" s="2"/>
      <c r="K1104" s="2"/>
      <c r="L1104" s="2"/>
      <c r="M1104" s="2"/>
      <c r="N1104" s="2"/>
      <c r="O1104" s="2"/>
      <c r="P1104" s="2"/>
      <c r="Q1104" s="2"/>
      <c r="R1104" s="2"/>
      <c r="S1104" s="2"/>
      <c r="T1104" s="2"/>
      <c r="U1104" s="2"/>
      <c r="V1104" s="2"/>
      <c r="W1104" s="2"/>
      <c r="X1104" s="2"/>
      <c r="Y1104" s="2"/>
    </row>
    <row r="1105" spans="1:25" ht="17.399999999999999" x14ac:dyDescent="0.25">
      <c r="A1105" s="1"/>
      <c r="B1105" s="10"/>
      <c r="C1105" s="2"/>
      <c r="D1105" s="2"/>
      <c r="E1105" s="2"/>
      <c r="F1105" s="2"/>
      <c r="G1105" s="2"/>
      <c r="H1105" s="1"/>
      <c r="I1105" s="2"/>
      <c r="J1105" s="2"/>
      <c r="K1105" s="2"/>
      <c r="L1105" s="2"/>
      <c r="M1105" s="2"/>
      <c r="N1105" s="2"/>
      <c r="O1105" s="2"/>
      <c r="P1105" s="2"/>
      <c r="Q1105" s="2"/>
      <c r="R1105" s="2"/>
      <c r="S1105" s="2"/>
      <c r="T1105" s="2"/>
      <c r="U1105" s="2"/>
      <c r="V1105" s="2"/>
      <c r="W1105" s="2"/>
      <c r="X1105" s="2"/>
      <c r="Y1105" s="2"/>
    </row>
    <row r="1106" spans="1:25" ht="17.399999999999999" x14ac:dyDescent="0.25">
      <c r="A1106" s="1"/>
      <c r="B1106" s="10"/>
      <c r="C1106" s="2"/>
      <c r="D1106" s="2"/>
      <c r="E1106" s="2"/>
      <c r="F1106" s="2"/>
      <c r="G1106" s="2"/>
      <c r="H1106" s="1"/>
      <c r="I1106" s="2"/>
      <c r="J1106" s="2"/>
      <c r="K1106" s="2"/>
      <c r="L1106" s="2"/>
      <c r="M1106" s="2"/>
      <c r="N1106" s="2"/>
      <c r="O1106" s="2"/>
      <c r="P1106" s="2"/>
      <c r="Q1106" s="2"/>
      <c r="R1106" s="2"/>
      <c r="S1106" s="2"/>
      <c r="T1106" s="2"/>
      <c r="U1106" s="2"/>
      <c r="V1106" s="2"/>
      <c r="W1106" s="2"/>
      <c r="X1106" s="2"/>
      <c r="Y1106" s="2"/>
    </row>
    <row r="1107" spans="1:25" ht="17.399999999999999" x14ac:dyDescent="0.25">
      <c r="A1107" s="1"/>
      <c r="B1107" s="10"/>
      <c r="C1107" s="2"/>
      <c r="D1107" s="2"/>
      <c r="E1107" s="2"/>
      <c r="F1107" s="2"/>
      <c r="G1107" s="2"/>
      <c r="H1107" s="1"/>
      <c r="I1107" s="2"/>
      <c r="J1107" s="2"/>
      <c r="K1107" s="2"/>
      <c r="L1107" s="2"/>
      <c r="M1107" s="2"/>
      <c r="N1107" s="2"/>
      <c r="O1107" s="2"/>
      <c r="P1107" s="2"/>
      <c r="Q1107" s="2"/>
      <c r="R1107" s="2"/>
      <c r="S1107" s="2"/>
      <c r="T1107" s="2"/>
      <c r="U1107" s="2"/>
      <c r="V1107" s="2"/>
      <c r="W1107" s="2"/>
      <c r="X1107" s="2"/>
      <c r="Y1107" s="2"/>
    </row>
    <row r="1108" spans="1:25" ht="17.399999999999999" x14ac:dyDescent="0.25">
      <c r="A1108" s="1"/>
      <c r="B1108" s="10"/>
      <c r="C1108" s="2"/>
      <c r="D1108" s="2"/>
      <c r="E1108" s="2"/>
      <c r="F1108" s="2"/>
      <c r="G1108" s="2"/>
      <c r="H1108" s="1"/>
      <c r="I1108" s="2"/>
      <c r="J1108" s="2"/>
      <c r="K1108" s="2"/>
      <c r="L1108" s="2"/>
      <c r="M1108" s="2"/>
      <c r="N1108" s="2"/>
      <c r="O1108" s="2"/>
      <c r="P1108" s="2"/>
      <c r="Q1108" s="2"/>
      <c r="R1108" s="2"/>
      <c r="S1108" s="2"/>
      <c r="T1108" s="2"/>
      <c r="U1108" s="2"/>
      <c r="V1108" s="2"/>
      <c r="W1108" s="2"/>
      <c r="X1108" s="2"/>
      <c r="Y1108" s="2"/>
    </row>
    <row r="1109" spans="1:25" ht="17.399999999999999" x14ac:dyDescent="0.25">
      <c r="A1109" s="1"/>
      <c r="B1109" s="10"/>
      <c r="C1109" s="2"/>
      <c r="D1109" s="2"/>
      <c r="E1109" s="2"/>
      <c r="F1109" s="2"/>
      <c r="G1109" s="2"/>
      <c r="H1109" s="1"/>
      <c r="I1109" s="2"/>
      <c r="J1109" s="2"/>
      <c r="K1109" s="2"/>
      <c r="L1109" s="2"/>
      <c r="M1109" s="2"/>
      <c r="N1109" s="2"/>
      <c r="O1109" s="2"/>
      <c r="P1109" s="2"/>
      <c r="Q1109" s="2"/>
      <c r="R1109" s="2"/>
      <c r="S1109" s="2"/>
      <c r="T1109" s="2"/>
      <c r="U1109" s="2"/>
      <c r="V1109" s="2"/>
      <c r="W1109" s="2"/>
      <c r="X1109" s="2"/>
      <c r="Y1109" s="2"/>
    </row>
    <row r="1110" spans="1:25" ht="17.399999999999999" x14ac:dyDescent="0.25">
      <c r="A1110" s="1"/>
      <c r="B1110" s="10"/>
      <c r="C1110" s="2"/>
      <c r="D1110" s="2"/>
      <c r="E1110" s="2"/>
      <c r="F1110" s="2"/>
      <c r="G1110" s="2"/>
      <c r="H1110" s="1"/>
      <c r="I1110" s="2"/>
      <c r="J1110" s="2"/>
      <c r="K1110" s="2"/>
      <c r="L1110" s="2"/>
      <c r="M1110" s="2"/>
      <c r="N1110" s="2"/>
      <c r="O1110" s="2"/>
      <c r="P1110" s="2"/>
      <c r="Q1110" s="2"/>
      <c r="R1110" s="2"/>
      <c r="S1110" s="2"/>
      <c r="T1110" s="2"/>
      <c r="U1110" s="2"/>
      <c r="V1110" s="2"/>
      <c r="W1110" s="2"/>
      <c r="X1110" s="2"/>
      <c r="Y1110" s="2"/>
    </row>
    <row r="1111" spans="1:25" ht="17.399999999999999" x14ac:dyDescent="0.25">
      <c r="A1111" s="1"/>
      <c r="B1111" s="10"/>
      <c r="C1111" s="2"/>
      <c r="D1111" s="2"/>
      <c r="E1111" s="2"/>
      <c r="F1111" s="2"/>
      <c r="G1111" s="2"/>
      <c r="H1111" s="1"/>
      <c r="I1111" s="2"/>
      <c r="J1111" s="2"/>
      <c r="K1111" s="2"/>
      <c r="L1111" s="2"/>
      <c r="M1111" s="2"/>
      <c r="N1111" s="2"/>
      <c r="O1111" s="2"/>
      <c r="P1111" s="2"/>
      <c r="Q1111" s="2"/>
      <c r="R1111" s="2"/>
      <c r="S1111" s="2"/>
      <c r="T1111" s="2"/>
      <c r="U1111" s="2"/>
      <c r="V1111" s="2"/>
      <c r="W1111" s="2"/>
      <c r="X1111" s="2"/>
      <c r="Y1111" s="2"/>
    </row>
    <row r="1112" spans="1:25" ht="17.399999999999999" x14ac:dyDescent="0.25">
      <c r="A1112" s="1"/>
      <c r="B1112" s="10"/>
      <c r="C1112" s="2"/>
      <c r="D1112" s="2"/>
      <c r="E1112" s="2"/>
      <c r="F1112" s="2"/>
      <c r="G1112" s="2"/>
      <c r="H1112" s="1"/>
      <c r="I1112" s="2"/>
      <c r="J1112" s="2"/>
      <c r="K1112" s="2"/>
      <c r="L1112" s="2"/>
      <c r="M1112" s="2"/>
      <c r="N1112" s="2"/>
      <c r="O1112" s="2"/>
      <c r="P1112" s="2"/>
      <c r="Q1112" s="2"/>
      <c r="R1112" s="2"/>
      <c r="S1112" s="2"/>
      <c r="T1112" s="2"/>
      <c r="U1112" s="2"/>
      <c r="V1112" s="2"/>
      <c r="W1112" s="2"/>
      <c r="X1112" s="2"/>
      <c r="Y1112" s="2"/>
    </row>
    <row r="1113" spans="1:25" ht="17.399999999999999" x14ac:dyDescent="0.25">
      <c r="A1113" s="1"/>
      <c r="B1113" s="10"/>
      <c r="C1113" s="2"/>
      <c r="D1113" s="2"/>
      <c r="E1113" s="2"/>
      <c r="F1113" s="2"/>
      <c r="G1113" s="2"/>
      <c r="H1113" s="1"/>
      <c r="I1113" s="2"/>
      <c r="J1113" s="2"/>
      <c r="K1113" s="2"/>
      <c r="L1113" s="2"/>
      <c r="M1113" s="2"/>
      <c r="N1113" s="2"/>
      <c r="O1113" s="2"/>
      <c r="P1113" s="2"/>
      <c r="Q1113" s="2"/>
      <c r="R1113" s="2"/>
      <c r="S1113" s="2"/>
      <c r="T1113" s="2"/>
      <c r="U1113" s="2"/>
      <c r="V1113" s="2"/>
      <c r="W1113" s="2"/>
      <c r="X1113" s="2"/>
      <c r="Y1113" s="2"/>
    </row>
    <row r="1114" spans="1:25" ht="17.399999999999999" x14ac:dyDescent="0.25">
      <c r="A1114" s="1"/>
      <c r="B1114" s="10"/>
      <c r="C1114" s="2"/>
      <c r="D1114" s="2"/>
      <c r="E1114" s="2"/>
      <c r="F1114" s="2"/>
      <c r="G1114" s="2"/>
      <c r="H1114" s="1"/>
      <c r="I1114" s="2"/>
      <c r="J1114" s="2"/>
      <c r="K1114" s="2"/>
      <c r="L1114" s="2"/>
      <c r="M1114" s="2"/>
      <c r="N1114" s="2"/>
      <c r="O1114" s="2"/>
      <c r="P1114" s="2"/>
      <c r="Q1114" s="2"/>
      <c r="R1114" s="2"/>
      <c r="S1114" s="2"/>
      <c r="T1114" s="2"/>
      <c r="U1114" s="2"/>
      <c r="V1114" s="2"/>
      <c r="W1114" s="2"/>
      <c r="X1114" s="2"/>
      <c r="Y1114" s="2"/>
    </row>
    <row r="1115" spans="1:25" ht="17.399999999999999" x14ac:dyDescent="0.25">
      <c r="A1115" s="1"/>
      <c r="B1115" s="10"/>
      <c r="C1115" s="2"/>
      <c r="D1115" s="2"/>
      <c r="E1115" s="2"/>
      <c r="F1115" s="2"/>
      <c r="G1115" s="2"/>
      <c r="H1115" s="1"/>
      <c r="I1115" s="2"/>
      <c r="J1115" s="2"/>
      <c r="K1115" s="2"/>
      <c r="L1115" s="2"/>
      <c r="M1115" s="2"/>
      <c r="N1115" s="2"/>
      <c r="O1115" s="2"/>
      <c r="P1115" s="2"/>
      <c r="Q1115" s="2"/>
      <c r="R1115" s="2"/>
      <c r="S1115" s="2"/>
      <c r="T1115" s="2"/>
      <c r="U1115" s="2"/>
      <c r="V1115" s="2"/>
      <c r="W1115" s="2"/>
      <c r="X1115" s="2"/>
      <c r="Y1115" s="2"/>
    </row>
    <row r="1116" spans="1:25" ht="17.399999999999999" x14ac:dyDescent="0.25">
      <c r="A1116" s="1"/>
      <c r="B1116" s="10"/>
      <c r="C1116" s="2"/>
      <c r="D1116" s="2"/>
      <c r="E1116" s="2"/>
      <c r="F1116" s="2"/>
      <c r="G1116" s="2"/>
      <c r="H1116" s="1"/>
      <c r="I1116" s="2"/>
      <c r="J1116" s="2"/>
      <c r="K1116" s="2"/>
      <c r="L1116" s="2"/>
      <c r="M1116" s="2"/>
      <c r="N1116" s="2"/>
      <c r="O1116" s="2"/>
      <c r="P1116" s="2"/>
      <c r="Q1116" s="2"/>
      <c r="R1116" s="2"/>
      <c r="S1116" s="2"/>
      <c r="T1116" s="2"/>
      <c r="U1116" s="2"/>
      <c r="V1116" s="2"/>
      <c r="W1116" s="2"/>
      <c r="X1116" s="2"/>
      <c r="Y1116" s="2"/>
    </row>
    <row r="1117" spans="1:25" ht="17.399999999999999" x14ac:dyDescent="0.25">
      <c r="A1117" s="1"/>
      <c r="B1117" s="10"/>
      <c r="C1117" s="2"/>
      <c r="D1117" s="2"/>
      <c r="E1117" s="2"/>
      <c r="F1117" s="2"/>
      <c r="G1117" s="2"/>
      <c r="H1117" s="1"/>
      <c r="I1117" s="2"/>
      <c r="J1117" s="2"/>
      <c r="K1117" s="2"/>
      <c r="L1117" s="2"/>
      <c r="M1117" s="2"/>
      <c r="N1117" s="2"/>
      <c r="O1117" s="2"/>
      <c r="P1117" s="2"/>
      <c r="Q1117" s="2"/>
      <c r="R1117" s="2"/>
      <c r="S1117" s="2"/>
      <c r="T1117" s="2"/>
      <c r="U1117" s="2"/>
      <c r="V1117" s="2"/>
      <c r="W1117" s="2"/>
      <c r="X1117" s="2"/>
      <c r="Y1117" s="2"/>
    </row>
    <row r="1118" spans="1:25" ht="17.399999999999999" x14ac:dyDescent="0.25">
      <c r="A1118" s="1"/>
      <c r="B1118" s="10"/>
      <c r="C1118" s="2"/>
      <c r="D1118" s="2"/>
      <c r="E1118" s="2"/>
      <c r="F1118" s="2"/>
      <c r="G1118" s="2"/>
      <c r="H1118" s="1"/>
      <c r="I1118" s="2"/>
      <c r="J1118" s="2"/>
      <c r="K1118" s="2"/>
      <c r="L1118" s="2"/>
      <c r="M1118" s="2"/>
      <c r="N1118" s="2"/>
      <c r="O1118" s="2"/>
      <c r="P1118" s="2"/>
      <c r="Q1118" s="2"/>
      <c r="R1118" s="2"/>
      <c r="S1118" s="2"/>
      <c r="T1118" s="2"/>
      <c r="U1118" s="2"/>
      <c r="V1118" s="2"/>
      <c r="W1118" s="2"/>
      <c r="X1118" s="2"/>
      <c r="Y1118" s="2"/>
    </row>
    <row r="1119" spans="1:25" ht="17.399999999999999" x14ac:dyDescent="0.25">
      <c r="A1119" s="1"/>
      <c r="B1119" s="10"/>
      <c r="C1119" s="2"/>
      <c r="D1119" s="2"/>
      <c r="E1119" s="2"/>
      <c r="F1119" s="2"/>
      <c r="G1119" s="2"/>
      <c r="H1119" s="1"/>
      <c r="I1119" s="2"/>
      <c r="J1119" s="2"/>
      <c r="K1119" s="2"/>
      <c r="L1119" s="2"/>
      <c r="M1119" s="2"/>
      <c r="N1119" s="2"/>
      <c r="O1119" s="2"/>
      <c r="P1119" s="2"/>
      <c r="Q1119" s="2"/>
      <c r="R1119" s="2"/>
      <c r="S1119" s="2"/>
      <c r="T1119" s="2"/>
      <c r="U1119" s="2"/>
      <c r="V1119" s="2"/>
      <c r="W1119" s="2"/>
      <c r="X1119" s="2"/>
      <c r="Y1119" s="2"/>
    </row>
    <row r="1120" spans="1:25" ht="17.399999999999999" x14ac:dyDescent="0.25">
      <c r="A1120" s="1"/>
      <c r="B1120" s="10"/>
      <c r="C1120" s="2"/>
      <c r="D1120" s="2"/>
      <c r="E1120" s="2"/>
      <c r="F1120" s="2"/>
      <c r="G1120" s="2"/>
      <c r="H1120" s="1"/>
      <c r="I1120" s="2"/>
      <c r="J1120" s="2"/>
      <c r="K1120" s="2"/>
      <c r="L1120" s="2"/>
      <c r="M1120" s="2"/>
      <c r="N1120" s="2"/>
      <c r="O1120" s="2"/>
      <c r="P1120" s="2"/>
      <c r="Q1120" s="2"/>
      <c r="R1120" s="2"/>
      <c r="S1120" s="2"/>
      <c r="T1120" s="2"/>
      <c r="U1120" s="2"/>
      <c r="V1120" s="2"/>
      <c r="W1120" s="2"/>
      <c r="X1120" s="2"/>
      <c r="Y1120" s="2"/>
    </row>
    <row r="1121" spans="1:25" ht="17.399999999999999" x14ac:dyDescent="0.25">
      <c r="A1121" s="1"/>
      <c r="B1121" s="10"/>
      <c r="C1121" s="2"/>
      <c r="D1121" s="2"/>
      <c r="E1121" s="2"/>
      <c r="F1121" s="2"/>
      <c r="G1121" s="2"/>
      <c r="H1121" s="1"/>
      <c r="I1121" s="2"/>
      <c r="J1121" s="2"/>
      <c r="K1121" s="2"/>
      <c r="L1121" s="2"/>
      <c r="M1121" s="2"/>
      <c r="N1121" s="2"/>
      <c r="O1121" s="2"/>
      <c r="P1121" s="2"/>
      <c r="Q1121" s="2"/>
      <c r="R1121" s="2"/>
      <c r="S1121" s="2"/>
      <c r="T1121" s="2"/>
      <c r="U1121" s="2"/>
      <c r="V1121" s="2"/>
      <c r="W1121" s="2"/>
      <c r="X1121" s="2"/>
      <c r="Y1121" s="2"/>
    </row>
    <row r="1122" spans="1:25" ht="17.399999999999999" x14ac:dyDescent="0.25">
      <c r="A1122" s="1"/>
      <c r="B1122" s="10"/>
      <c r="C1122" s="2"/>
      <c r="D1122" s="2"/>
      <c r="E1122" s="2"/>
      <c r="F1122" s="2"/>
      <c r="G1122" s="2"/>
      <c r="H1122" s="1"/>
      <c r="I1122" s="2"/>
      <c r="J1122" s="2"/>
      <c r="K1122" s="2"/>
      <c r="L1122" s="2"/>
      <c r="M1122" s="2"/>
      <c r="N1122" s="2"/>
      <c r="O1122" s="2"/>
      <c r="P1122" s="2"/>
      <c r="Q1122" s="2"/>
      <c r="R1122" s="2"/>
      <c r="S1122" s="2"/>
      <c r="T1122" s="2"/>
      <c r="U1122" s="2"/>
      <c r="V1122" s="2"/>
      <c r="W1122" s="2"/>
      <c r="X1122" s="2"/>
      <c r="Y1122" s="2"/>
    </row>
    <row r="1123" spans="1:25" ht="17.399999999999999" x14ac:dyDescent="0.25">
      <c r="A1123" s="1"/>
      <c r="B1123" s="10"/>
      <c r="C1123" s="2"/>
      <c r="D1123" s="2"/>
      <c r="E1123" s="2"/>
      <c r="F1123" s="2"/>
      <c r="G1123" s="2"/>
      <c r="H1123" s="1"/>
      <c r="I1123" s="2"/>
      <c r="J1123" s="2"/>
      <c r="K1123" s="2"/>
      <c r="L1123" s="2"/>
      <c r="M1123" s="2"/>
      <c r="N1123" s="2"/>
      <c r="O1123" s="2"/>
      <c r="P1123" s="2"/>
      <c r="Q1123" s="2"/>
      <c r="R1123" s="2"/>
      <c r="S1123" s="2"/>
      <c r="T1123" s="2"/>
      <c r="U1123" s="2"/>
      <c r="V1123" s="2"/>
      <c r="W1123" s="2"/>
      <c r="X1123" s="2"/>
      <c r="Y1123" s="2"/>
    </row>
    <row r="1124" spans="1:25" ht="17.399999999999999" x14ac:dyDescent="0.25">
      <c r="A1124" s="1"/>
      <c r="B1124" s="10"/>
      <c r="C1124" s="2"/>
      <c r="D1124" s="2"/>
      <c r="E1124" s="2"/>
      <c r="F1124" s="2"/>
      <c r="G1124" s="2"/>
      <c r="H1124" s="1"/>
      <c r="I1124" s="2"/>
      <c r="J1124" s="2"/>
      <c r="K1124" s="2"/>
      <c r="L1124" s="2"/>
      <c r="M1124" s="2"/>
      <c r="N1124" s="2"/>
      <c r="O1124" s="2"/>
      <c r="P1124" s="2"/>
      <c r="Q1124" s="2"/>
      <c r="R1124" s="2"/>
      <c r="S1124" s="2"/>
      <c r="T1124" s="2"/>
      <c r="U1124" s="2"/>
      <c r="V1124" s="2"/>
      <c r="W1124" s="2"/>
      <c r="X1124" s="2"/>
      <c r="Y1124" s="2"/>
    </row>
    <row r="1125" spans="1:25" ht="17.399999999999999" x14ac:dyDescent="0.25">
      <c r="A1125" s="1"/>
      <c r="B1125" s="10"/>
      <c r="C1125" s="2"/>
      <c r="D1125" s="2"/>
      <c r="E1125" s="2"/>
      <c r="F1125" s="2"/>
      <c r="G1125" s="2"/>
      <c r="H1125" s="1"/>
      <c r="I1125" s="2"/>
      <c r="J1125" s="2"/>
      <c r="K1125" s="2"/>
      <c r="L1125" s="2"/>
      <c r="M1125" s="2"/>
      <c r="N1125" s="2"/>
      <c r="O1125" s="2"/>
      <c r="P1125" s="2"/>
      <c r="Q1125" s="2"/>
      <c r="R1125" s="2"/>
      <c r="S1125" s="2"/>
      <c r="T1125" s="2"/>
      <c r="U1125" s="2"/>
      <c r="V1125" s="2"/>
      <c r="W1125" s="2"/>
      <c r="X1125" s="2"/>
      <c r="Y1125" s="2"/>
    </row>
    <row r="1126" spans="1:25" ht="17.399999999999999" x14ac:dyDescent="0.25">
      <c r="A1126" s="1"/>
      <c r="B1126" s="10"/>
      <c r="C1126" s="2"/>
      <c r="D1126" s="2"/>
      <c r="E1126" s="2"/>
      <c r="F1126" s="2"/>
      <c r="G1126" s="2"/>
      <c r="H1126" s="1"/>
      <c r="I1126" s="2"/>
      <c r="J1126" s="2"/>
      <c r="K1126" s="2"/>
      <c r="L1126" s="2"/>
      <c r="M1126" s="2"/>
      <c r="N1126" s="2"/>
      <c r="O1126" s="2"/>
      <c r="P1126" s="2"/>
      <c r="Q1126" s="2"/>
      <c r="R1126" s="2"/>
      <c r="S1126" s="2"/>
      <c r="T1126" s="2"/>
      <c r="U1126" s="2"/>
      <c r="V1126" s="2"/>
      <c r="W1126" s="2"/>
      <c r="X1126" s="2"/>
      <c r="Y1126" s="2"/>
    </row>
    <row r="1127" spans="1:25" ht="17.399999999999999" x14ac:dyDescent="0.25">
      <c r="A1127" s="1"/>
      <c r="B1127" s="10"/>
      <c r="C1127" s="2"/>
      <c r="D1127" s="2"/>
      <c r="E1127" s="2"/>
      <c r="F1127" s="2"/>
      <c r="G1127" s="2"/>
      <c r="H1127" s="1"/>
      <c r="I1127" s="2"/>
      <c r="J1127" s="2"/>
      <c r="K1127" s="2"/>
      <c r="L1127" s="2"/>
      <c r="M1127" s="2"/>
      <c r="N1127" s="2"/>
      <c r="O1127" s="2"/>
      <c r="P1127" s="2"/>
      <c r="Q1127" s="2"/>
      <c r="R1127" s="2"/>
      <c r="S1127" s="2"/>
      <c r="T1127" s="2"/>
      <c r="U1127" s="2"/>
      <c r="V1127" s="2"/>
      <c r="W1127" s="2"/>
      <c r="X1127" s="2"/>
      <c r="Y1127" s="2"/>
    </row>
    <row r="1128" spans="1:25" ht="17.399999999999999" x14ac:dyDescent="0.25">
      <c r="A1128" s="1"/>
      <c r="B1128" s="10"/>
      <c r="C1128" s="2"/>
      <c r="D1128" s="2"/>
      <c r="E1128" s="2"/>
      <c r="F1128" s="2"/>
      <c r="G1128" s="2"/>
      <c r="H1128" s="1"/>
      <c r="I1128" s="2"/>
      <c r="J1128" s="2"/>
      <c r="K1128" s="2"/>
      <c r="L1128" s="2"/>
      <c r="M1128" s="2"/>
      <c r="N1128" s="2"/>
      <c r="O1128" s="2"/>
      <c r="P1128" s="2"/>
      <c r="Q1128" s="2"/>
      <c r="R1128" s="2"/>
      <c r="S1128" s="2"/>
      <c r="T1128" s="2"/>
      <c r="U1128" s="2"/>
      <c r="V1128" s="2"/>
      <c r="W1128" s="2"/>
      <c r="X1128" s="2"/>
      <c r="Y1128" s="2"/>
    </row>
    <row r="1129" spans="1:25" ht="17.399999999999999" x14ac:dyDescent="0.25">
      <c r="A1129" s="1"/>
      <c r="B1129" s="10"/>
      <c r="C1129" s="2"/>
      <c r="D1129" s="2"/>
      <c r="E1129" s="2"/>
      <c r="F1129" s="2"/>
      <c r="G1129" s="2"/>
      <c r="H1129" s="1"/>
      <c r="I1129" s="2"/>
      <c r="J1129" s="2"/>
      <c r="K1129" s="2"/>
      <c r="L1129" s="2"/>
      <c r="M1129" s="2"/>
      <c r="N1129" s="2"/>
      <c r="O1129" s="2"/>
      <c r="P1129" s="2"/>
      <c r="Q1129" s="2"/>
      <c r="R1129" s="2"/>
      <c r="S1129" s="2"/>
      <c r="T1129" s="2"/>
      <c r="U1129" s="2"/>
      <c r="V1129" s="2"/>
      <c r="W1129" s="2"/>
      <c r="X1129" s="2"/>
      <c r="Y1129" s="2"/>
    </row>
    <row r="1130" spans="1:25" ht="17.399999999999999" x14ac:dyDescent="0.25">
      <c r="A1130" s="1"/>
      <c r="B1130" s="10"/>
      <c r="C1130" s="2"/>
      <c r="D1130" s="2"/>
      <c r="E1130" s="2"/>
      <c r="F1130" s="2"/>
      <c r="G1130" s="2"/>
      <c r="H1130" s="1"/>
      <c r="I1130" s="2"/>
      <c r="J1130" s="2"/>
      <c r="K1130" s="2"/>
      <c r="L1130" s="2"/>
      <c r="M1130" s="2"/>
      <c r="N1130" s="2"/>
      <c r="O1130" s="2"/>
      <c r="P1130" s="2"/>
      <c r="Q1130" s="2"/>
      <c r="R1130" s="2"/>
      <c r="S1130" s="2"/>
      <c r="T1130" s="2"/>
      <c r="U1130" s="2"/>
      <c r="V1130" s="2"/>
      <c r="W1130" s="2"/>
      <c r="X1130" s="2"/>
      <c r="Y1130" s="2"/>
    </row>
    <row r="1131" spans="1:25" ht="17.399999999999999" x14ac:dyDescent="0.25">
      <c r="A1131" s="1"/>
      <c r="B1131" s="10"/>
      <c r="C1131" s="2"/>
      <c r="D1131" s="2"/>
      <c r="E1131" s="2"/>
      <c r="F1131" s="2"/>
      <c r="G1131" s="2"/>
      <c r="H1131" s="1"/>
      <c r="I1131" s="2"/>
      <c r="J1131" s="2"/>
      <c r="K1131" s="2"/>
      <c r="L1131" s="2"/>
      <c r="M1131" s="2"/>
      <c r="N1131" s="2"/>
      <c r="O1131" s="2"/>
      <c r="P1131" s="2"/>
      <c r="Q1131" s="2"/>
      <c r="R1131" s="2"/>
      <c r="S1131" s="2"/>
      <c r="T1131" s="2"/>
      <c r="U1131" s="2"/>
      <c r="V1131" s="2"/>
      <c r="W1131" s="2"/>
      <c r="X1131" s="2"/>
      <c r="Y1131" s="2"/>
    </row>
    <row r="1132" spans="1:25" ht="17.399999999999999" x14ac:dyDescent="0.25">
      <c r="A1132" s="1"/>
      <c r="B1132" s="10"/>
      <c r="C1132" s="2"/>
      <c r="D1132" s="2"/>
      <c r="E1132" s="2"/>
      <c r="F1132" s="2"/>
      <c r="G1132" s="2"/>
      <c r="H1132" s="1"/>
      <c r="I1132" s="2"/>
      <c r="J1132" s="2"/>
      <c r="K1132" s="2"/>
      <c r="L1132" s="2"/>
      <c r="M1132" s="2"/>
      <c r="N1132" s="2"/>
      <c r="O1132" s="2"/>
      <c r="P1132" s="2"/>
      <c r="Q1132" s="2"/>
      <c r="R1132" s="2"/>
      <c r="S1132" s="2"/>
      <c r="T1132" s="2"/>
      <c r="U1132" s="2"/>
      <c r="V1132" s="2"/>
      <c r="W1132" s="2"/>
      <c r="X1132" s="2"/>
      <c r="Y1132" s="2"/>
    </row>
    <row r="1133" spans="1:25" ht="17.399999999999999" x14ac:dyDescent="0.25">
      <c r="A1133" s="1"/>
      <c r="B1133" s="10"/>
      <c r="C1133" s="2"/>
      <c r="D1133" s="2"/>
      <c r="E1133" s="2"/>
      <c r="F1133" s="2"/>
      <c r="G1133" s="2"/>
      <c r="H1133" s="1"/>
      <c r="I1133" s="2"/>
      <c r="J1133" s="2"/>
      <c r="K1133" s="2"/>
      <c r="L1133" s="2"/>
      <c r="M1133" s="2"/>
      <c r="N1133" s="2"/>
      <c r="O1133" s="2"/>
      <c r="P1133" s="2"/>
      <c r="Q1133" s="2"/>
      <c r="R1133" s="2"/>
      <c r="S1133" s="2"/>
      <c r="T1133" s="2"/>
      <c r="U1133" s="2"/>
      <c r="V1133" s="2"/>
      <c r="W1133" s="2"/>
      <c r="X1133" s="2"/>
      <c r="Y1133" s="2"/>
    </row>
    <row r="1134" spans="1:25" ht="17.399999999999999" x14ac:dyDescent="0.25">
      <c r="A1134" s="1"/>
      <c r="B1134" s="10"/>
      <c r="C1134" s="2"/>
      <c r="D1134" s="2"/>
      <c r="E1134" s="2"/>
      <c r="F1134" s="2"/>
      <c r="G1134" s="2"/>
      <c r="H1134" s="1"/>
      <c r="I1134" s="2"/>
      <c r="J1134" s="2"/>
      <c r="K1134" s="2"/>
      <c r="L1134" s="2"/>
      <c r="M1134" s="2"/>
      <c r="N1134" s="2"/>
      <c r="O1134" s="2"/>
      <c r="P1134" s="2"/>
      <c r="Q1134" s="2"/>
      <c r="R1134" s="2"/>
      <c r="S1134" s="2"/>
      <c r="T1134" s="2"/>
      <c r="U1134" s="2"/>
      <c r="V1134" s="2"/>
      <c r="W1134" s="2"/>
      <c r="X1134" s="2"/>
      <c r="Y1134" s="2"/>
    </row>
    <row r="1135" spans="1:25" ht="17.399999999999999" x14ac:dyDescent="0.25">
      <c r="A1135" s="1"/>
      <c r="B1135" s="10"/>
      <c r="C1135" s="2"/>
      <c r="D1135" s="2"/>
      <c r="E1135" s="2"/>
      <c r="F1135" s="2"/>
      <c r="G1135" s="2"/>
      <c r="H1135" s="1"/>
      <c r="I1135" s="2"/>
      <c r="J1135" s="2"/>
      <c r="K1135" s="2"/>
      <c r="L1135" s="2"/>
      <c r="M1135" s="2"/>
      <c r="N1135" s="2"/>
      <c r="O1135" s="2"/>
      <c r="P1135" s="2"/>
      <c r="Q1135" s="2"/>
      <c r="R1135" s="2"/>
      <c r="S1135" s="2"/>
      <c r="T1135" s="2"/>
      <c r="U1135" s="2"/>
      <c r="V1135" s="2"/>
      <c r="W1135" s="2"/>
      <c r="X1135" s="2"/>
      <c r="Y1135" s="2"/>
    </row>
    <row r="1136" spans="1:25" ht="17.399999999999999" x14ac:dyDescent="0.25">
      <c r="A1136" s="1"/>
      <c r="B1136" s="10"/>
      <c r="C1136" s="2"/>
      <c r="D1136" s="2"/>
      <c r="E1136" s="2"/>
      <c r="F1136" s="2"/>
      <c r="G1136" s="2"/>
      <c r="H1136" s="1"/>
      <c r="I1136" s="2"/>
      <c r="J1136" s="2"/>
      <c r="K1136" s="2"/>
      <c r="L1136" s="2"/>
      <c r="M1136" s="2"/>
      <c r="N1136" s="2"/>
      <c r="O1136" s="2"/>
      <c r="P1136" s="2"/>
      <c r="Q1136" s="2"/>
      <c r="R1136" s="2"/>
      <c r="S1136" s="2"/>
      <c r="T1136" s="2"/>
      <c r="U1136" s="2"/>
      <c r="V1136" s="2"/>
      <c r="W1136" s="2"/>
      <c r="X1136" s="2"/>
      <c r="Y1136" s="2"/>
    </row>
    <row r="1137" spans="1:25" ht="17.399999999999999" x14ac:dyDescent="0.25">
      <c r="A1137" s="1"/>
      <c r="B1137" s="10"/>
      <c r="C1137" s="2"/>
      <c r="D1137" s="2"/>
      <c r="E1137" s="2"/>
      <c r="F1137" s="2"/>
      <c r="G1137" s="2"/>
      <c r="H1137" s="1"/>
      <c r="I1137" s="2"/>
      <c r="J1137" s="2"/>
      <c r="K1137" s="2"/>
      <c r="L1137" s="2"/>
      <c r="M1137" s="2"/>
      <c r="N1137" s="2"/>
      <c r="O1137" s="2"/>
      <c r="P1137" s="2"/>
      <c r="Q1137" s="2"/>
      <c r="R1137" s="2"/>
      <c r="S1137" s="2"/>
      <c r="T1137" s="2"/>
      <c r="U1137" s="2"/>
      <c r="V1137" s="2"/>
      <c r="W1137" s="2"/>
      <c r="X1137" s="2"/>
      <c r="Y1137" s="2"/>
    </row>
    <row r="1138" spans="1:25" ht="17.399999999999999" x14ac:dyDescent="0.25">
      <c r="A1138" s="1"/>
      <c r="B1138" s="10"/>
      <c r="C1138" s="2"/>
      <c r="D1138" s="2"/>
      <c r="E1138" s="2"/>
      <c r="F1138" s="2"/>
      <c r="G1138" s="2"/>
      <c r="H1138" s="1"/>
      <c r="I1138" s="2"/>
      <c r="J1138" s="2"/>
      <c r="K1138" s="2"/>
      <c r="L1138" s="2"/>
      <c r="M1138" s="2"/>
      <c r="N1138" s="2"/>
      <c r="O1138" s="2"/>
      <c r="P1138" s="2"/>
      <c r="Q1138" s="2"/>
      <c r="R1138" s="2"/>
      <c r="S1138" s="2"/>
      <c r="T1138" s="2"/>
      <c r="U1138" s="2"/>
      <c r="V1138" s="2"/>
      <c r="W1138" s="2"/>
      <c r="X1138" s="2"/>
      <c r="Y1138" s="2"/>
    </row>
    <row r="1139" spans="1:25" ht="17.399999999999999" x14ac:dyDescent="0.25">
      <c r="A1139" s="1"/>
      <c r="B1139" s="10"/>
      <c r="C1139" s="2"/>
      <c r="D1139" s="2"/>
      <c r="E1139" s="2"/>
      <c r="F1139" s="2"/>
      <c r="G1139" s="2"/>
      <c r="H1139" s="1"/>
      <c r="I1139" s="2"/>
      <c r="J1139" s="2"/>
      <c r="K1139" s="2"/>
      <c r="L1139" s="2"/>
      <c r="M1139" s="2"/>
      <c r="N1139" s="2"/>
      <c r="O1139" s="2"/>
      <c r="P1139" s="2"/>
      <c r="Q1139" s="2"/>
      <c r="R1139" s="2"/>
      <c r="S1139" s="2"/>
      <c r="T1139" s="2"/>
      <c r="U1139" s="2"/>
      <c r="V1139" s="2"/>
      <c r="W1139" s="2"/>
      <c r="X1139" s="2"/>
      <c r="Y1139" s="2"/>
    </row>
    <row r="1140" spans="1:25" ht="17.399999999999999" x14ac:dyDescent="0.25">
      <c r="A1140" s="1"/>
      <c r="B1140" s="10"/>
      <c r="C1140" s="2"/>
      <c r="D1140" s="2"/>
      <c r="E1140" s="2"/>
      <c r="F1140" s="2"/>
      <c r="G1140" s="2"/>
      <c r="H1140" s="1"/>
      <c r="I1140" s="2"/>
      <c r="J1140" s="2"/>
      <c r="K1140" s="2"/>
      <c r="L1140" s="2"/>
      <c r="M1140" s="2"/>
      <c r="N1140" s="2"/>
      <c r="O1140" s="2"/>
      <c r="P1140" s="2"/>
      <c r="Q1140" s="2"/>
      <c r="R1140" s="2"/>
      <c r="S1140" s="2"/>
      <c r="T1140" s="2"/>
      <c r="U1140" s="2"/>
      <c r="V1140" s="2"/>
      <c r="W1140" s="2"/>
      <c r="X1140" s="2"/>
      <c r="Y1140" s="2"/>
    </row>
    <row r="1141" spans="1:25" ht="17.399999999999999" x14ac:dyDescent="0.25">
      <c r="A1141" s="1"/>
      <c r="B1141" s="10"/>
      <c r="C1141" s="2"/>
      <c r="D1141" s="2"/>
      <c r="E1141" s="2"/>
      <c r="F1141" s="2"/>
      <c r="G1141" s="2"/>
      <c r="H1141" s="1"/>
      <c r="I1141" s="2"/>
      <c r="J1141" s="2"/>
      <c r="K1141" s="2"/>
      <c r="L1141" s="2"/>
      <c r="M1141" s="2"/>
      <c r="N1141" s="2"/>
      <c r="O1141" s="2"/>
      <c r="P1141" s="2"/>
      <c r="Q1141" s="2"/>
      <c r="R1141" s="2"/>
      <c r="S1141" s="2"/>
      <c r="T1141" s="2"/>
      <c r="U1141" s="2"/>
      <c r="V1141" s="2"/>
      <c r="W1141" s="2"/>
      <c r="X1141" s="2"/>
      <c r="Y1141" s="2"/>
    </row>
    <row r="1142" spans="1:25" ht="17.399999999999999" x14ac:dyDescent="0.25">
      <c r="A1142" s="1"/>
      <c r="B1142" s="10"/>
      <c r="C1142" s="2"/>
      <c r="D1142" s="2"/>
      <c r="E1142" s="2"/>
      <c r="F1142" s="2"/>
      <c r="G1142" s="2"/>
      <c r="H1142" s="1"/>
      <c r="I1142" s="2"/>
      <c r="J1142" s="2"/>
      <c r="K1142" s="2"/>
      <c r="L1142" s="2"/>
      <c r="M1142" s="2"/>
      <c r="N1142" s="2"/>
      <c r="O1142" s="2"/>
      <c r="P1142" s="2"/>
      <c r="Q1142" s="2"/>
      <c r="R1142" s="2"/>
      <c r="S1142" s="2"/>
      <c r="T1142" s="2"/>
      <c r="U1142" s="2"/>
      <c r="V1142" s="2"/>
      <c r="W1142" s="2"/>
      <c r="X1142" s="2"/>
      <c r="Y1142" s="2"/>
    </row>
    <row r="1143" spans="1:25" ht="17.399999999999999" x14ac:dyDescent="0.25">
      <c r="A1143" s="1"/>
      <c r="B1143" s="10"/>
      <c r="C1143" s="2"/>
      <c r="D1143" s="2"/>
      <c r="E1143" s="2"/>
      <c r="F1143" s="2"/>
      <c r="G1143" s="2"/>
      <c r="H1143" s="1"/>
      <c r="I1143" s="2"/>
      <c r="J1143" s="2"/>
      <c r="K1143" s="2"/>
      <c r="L1143" s="2"/>
      <c r="M1143" s="2"/>
      <c r="N1143" s="2"/>
      <c r="O1143" s="2"/>
      <c r="P1143" s="2"/>
      <c r="Q1143" s="2"/>
      <c r="R1143" s="2"/>
      <c r="S1143" s="2"/>
      <c r="T1143" s="2"/>
      <c r="U1143" s="2"/>
      <c r="V1143" s="2"/>
      <c r="W1143" s="2"/>
      <c r="X1143" s="2"/>
      <c r="Y1143" s="2"/>
    </row>
    <row r="1144" spans="1:25" ht="17.399999999999999" x14ac:dyDescent="0.25">
      <c r="A1144" s="1"/>
      <c r="B1144" s="10"/>
      <c r="C1144" s="2"/>
      <c r="D1144" s="2"/>
      <c r="E1144" s="2"/>
      <c r="F1144" s="2"/>
      <c r="G1144" s="2"/>
      <c r="H1144" s="1"/>
      <c r="I1144" s="2"/>
      <c r="J1144" s="2"/>
      <c r="K1144" s="2"/>
      <c r="L1144" s="2"/>
      <c r="M1144" s="2"/>
      <c r="N1144" s="2"/>
      <c r="O1144" s="2"/>
      <c r="P1144" s="2"/>
      <c r="Q1144" s="2"/>
      <c r="R1144" s="2"/>
      <c r="S1144" s="2"/>
      <c r="T1144" s="2"/>
      <c r="U1144" s="2"/>
      <c r="V1144" s="2"/>
      <c r="W1144" s="2"/>
      <c r="X1144" s="2"/>
      <c r="Y1144" s="2"/>
    </row>
    <row r="1145" spans="1:25" ht="17.399999999999999" x14ac:dyDescent="0.25">
      <c r="A1145" s="1"/>
      <c r="B1145" s="10"/>
      <c r="C1145" s="2"/>
      <c r="D1145" s="2"/>
      <c r="E1145" s="2"/>
      <c r="F1145" s="2"/>
      <c r="G1145" s="2"/>
      <c r="H1145" s="1"/>
      <c r="I1145" s="2"/>
      <c r="J1145" s="2"/>
      <c r="K1145" s="2"/>
      <c r="L1145" s="2"/>
      <c r="M1145" s="2"/>
      <c r="N1145" s="2"/>
      <c r="O1145" s="2"/>
      <c r="P1145" s="2"/>
      <c r="Q1145" s="2"/>
      <c r="R1145" s="2"/>
      <c r="S1145" s="2"/>
      <c r="T1145" s="2"/>
      <c r="U1145" s="2"/>
      <c r="V1145" s="2"/>
      <c r="W1145" s="2"/>
      <c r="X1145" s="2"/>
      <c r="Y1145" s="2"/>
    </row>
    <row r="1146" spans="1:25" ht="17.399999999999999" x14ac:dyDescent="0.25">
      <c r="A1146" s="1"/>
      <c r="B1146" s="10"/>
      <c r="C1146" s="2"/>
      <c r="D1146" s="2"/>
      <c r="E1146" s="2"/>
      <c r="F1146" s="2"/>
      <c r="G1146" s="2"/>
      <c r="H1146" s="1"/>
      <c r="I1146" s="2"/>
      <c r="J1146" s="2"/>
      <c r="K1146" s="2"/>
      <c r="L1146" s="2"/>
      <c r="M1146" s="2"/>
      <c r="N1146" s="2"/>
      <c r="O1146" s="2"/>
      <c r="P1146" s="2"/>
      <c r="Q1146" s="2"/>
      <c r="R1146" s="2"/>
      <c r="S1146" s="2"/>
      <c r="T1146" s="2"/>
      <c r="U1146" s="2"/>
      <c r="V1146" s="2"/>
      <c r="W1146" s="2"/>
      <c r="X1146" s="2"/>
      <c r="Y1146" s="2"/>
    </row>
    <row r="1147" spans="1:25" ht="17.399999999999999" x14ac:dyDescent="0.25">
      <c r="A1147" s="1"/>
      <c r="B1147" s="10"/>
      <c r="C1147" s="2"/>
      <c r="D1147" s="2"/>
      <c r="E1147" s="2"/>
      <c r="F1147" s="2"/>
      <c r="G1147" s="2"/>
      <c r="H1147" s="1"/>
      <c r="I1147" s="2"/>
      <c r="J1147" s="2"/>
      <c r="K1147" s="2"/>
      <c r="L1147" s="2"/>
      <c r="M1147" s="2"/>
      <c r="N1147" s="2"/>
      <c r="O1147" s="2"/>
      <c r="P1147" s="2"/>
      <c r="Q1147" s="2"/>
      <c r="R1147" s="2"/>
      <c r="S1147" s="2"/>
      <c r="T1147" s="2"/>
      <c r="U1147" s="2"/>
      <c r="V1147" s="2"/>
      <c r="W1147" s="2"/>
      <c r="X1147" s="2"/>
      <c r="Y1147" s="2"/>
    </row>
    <row r="1148" spans="1:25" ht="17.399999999999999" x14ac:dyDescent="0.25">
      <c r="A1148" s="1"/>
      <c r="B1148" s="10"/>
      <c r="C1148" s="2"/>
      <c r="D1148" s="2"/>
      <c r="E1148" s="2"/>
      <c r="F1148" s="2"/>
      <c r="G1148" s="2"/>
      <c r="H1148" s="1"/>
      <c r="I1148" s="2"/>
      <c r="J1148" s="2"/>
      <c r="K1148" s="2"/>
      <c r="L1148" s="2"/>
      <c r="M1148" s="2"/>
      <c r="N1148" s="2"/>
      <c r="O1148" s="2"/>
      <c r="P1148" s="2"/>
      <c r="Q1148" s="2"/>
      <c r="R1148" s="2"/>
      <c r="S1148" s="2"/>
      <c r="T1148" s="2"/>
      <c r="U1148" s="2"/>
      <c r="V1148" s="2"/>
      <c r="W1148" s="2"/>
      <c r="X1148" s="2"/>
      <c r="Y1148" s="2"/>
    </row>
    <row r="1149" spans="1:25" ht="17.399999999999999" x14ac:dyDescent="0.25">
      <c r="A1149" s="1"/>
      <c r="B1149" s="10"/>
      <c r="C1149" s="2"/>
      <c r="D1149" s="2"/>
      <c r="E1149" s="2"/>
      <c r="F1149" s="2"/>
      <c r="G1149" s="2"/>
      <c r="H1149" s="1"/>
      <c r="I1149" s="2"/>
      <c r="J1149" s="2"/>
      <c r="K1149" s="2"/>
      <c r="L1149" s="2"/>
      <c r="M1149" s="2"/>
      <c r="N1149" s="2"/>
      <c r="O1149" s="2"/>
      <c r="P1149" s="2"/>
      <c r="Q1149" s="2"/>
      <c r="R1149" s="2"/>
      <c r="S1149" s="2"/>
      <c r="T1149" s="2"/>
      <c r="U1149" s="2"/>
      <c r="V1149" s="2"/>
      <c r="W1149" s="2"/>
      <c r="X1149" s="2"/>
      <c r="Y1149" s="2"/>
    </row>
    <row r="1150" spans="1:25" ht="17.399999999999999" x14ac:dyDescent="0.25">
      <c r="A1150" s="1"/>
      <c r="B1150" s="10"/>
      <c r="C1150" s="2"/>
      <c r="D1150" s="2"/>
      <c r="E1150" s="2"/>
      <c r="F1150" s="2"/>
      <c r="G1150" s="2"/>
      <c r="H1150" s="1"/>
      <c r="I1150" s="2"/>
      <c r="J1150" s="2"/>
      <c r="K1150" s="2"/>
      <c r="L1150" s="2"/>
      <c r="M1150" s="2"/>
      <c r="N1150" s="2"/>
      <c r="O1150" s="2"/>
      <c r="P1150" s="2"/>
      <c r="Q1150" s="2"/>
      <c r="R1150" s="2"/>
      <c r="S1150" s="2"/>
      <c r="T1150" s="2"/>
      <c r="U1150" s="2"/>
      <c r="V1150" s="2"/>
      <c r="W1150" s="2"/>
      <c r="X1150" s="2"/>
      <c r="Y1150" s="2"/>
    </row>
    <row r="1151" spans="1:25" ht="17.399999999999999" x14ac:dyDescent="0.25">
      <c r="A1151" s="1"/>
      <c r="B1151" s="10"/>
      <c r="C1151" s="2"/>
      <c r="D1151" s="2"/>
      <c r="E1151" s="2"/>
      <c r="F1151" s="2"/>
      <c r="G1151" s="2"/>
      <c r="H1151" s="1"/>
      <c r="I1151" s="2"/>
      <c r="J1151" s="2"/>
      <c r="K1151" s="2"/>
      <c r="L1151" s="2"/>
      <c r="M1151" s="2"/>
      <c r="N1151" s="2"/>
      <c r="O1151" s="2"/>
      <c r="P1151" s="2"/>
      <c r="Q1151" s="2"/>
      <c r="R1151" s="2"/>
      <c r="S1151" s="2"/>
      <c r="T1151" s="2"/>
      <c r="U1151" s="2"/>
      <c r="V1151" s="2"/>
      <c r="W1151" s="2"/>
      <c r="X1151" s="2"/>
      <c r="Y1151" s="2"/>
    </row>
    <row r="1152" spans="1:25" ht="17.399999999999999" x14ac:dyDescent="0.25">
      <c r="A1152" s="1"/>
      <c r="B1152" s="10"/>
      <c r="C1152" s="2"/>
      <c r="D1152" s="2"/>
      <c r="E1152" s="2"/>
      <c r="F1152" s="2"/>
      <c r="G1152" s="2"/>
      <c r="H1152" s="1"/>
      <c r="I1152" s="2"/>
      <c r="J1152" s="2"/>
      <c r="K1152" s="2"/>
      <c r="L1152" s="2"/>
      <c r="M1152" s="2"/>
      <c r="N1152" s="2"/>
      <c r="O1152" s="2"/>
      <c r="P1152" s="2"/>
      <c r="Q1152" s="2"/>
      <c r="R1152" s="2"/>
      <c r="S1152" s="2"/>
      <c r="T1152" s="2"/>
      <c r="U1152" s="2"/>
      <c r="V1152" s="2"/>
      <c r="W1152" s="2"/>
      <c r="X1152" s="2"/>
      <c r="Y1152" s="2"/>
    </row>
    <row r="1153" spans="1:25" ht="17.399999999999999" x14ac:dyDescent="0.25">
      <c r="A1153" s="1"/>
      <c r="B1153" s="10"/>
      <c r="C1153" s="2"/>
      <c r="D1153" s="2"/>
      <c r="E1153" s="2"/>
      <c r="F1153" s="2"/>
      <c r="G1153" s="2"/>
      <c r="H1153" s="1"/>
      <c r="I1153" s="2"/>
      <c r="J1153" s="2"/>
      <c r="K1153" s="2"/>
      <c r="L1153" s="2"/>
      <c r="M1153" s="2"/>
      <c r="N1153" s="2"/>
      <c r="O1153" s="2"/>
      <c r="P1153" s="2"/>
      <c r="Q1153" s="2"/>
      <c r="R1153" s="2"/>
      <c r="S1153" s="2"/>
      <c r="T1153" s="2"/>
      <c r="U1153" s="2"/>
      <c r="V1153" s="2"/>
      <c r="W1153" s="2"/>
      <c r="X1153" s="2"/>
      <c r="Y1153" s="2"/>
    </row>
    <row r="1154" spans="1:25" ht="17.399999999999999" x14ac:dyDescent="0.25">
      <c r="A1154" s="1"/>
      <c r="B1154" s="10"/>
      <c r="C1154" s="2"/>
      <c r="D1154" s="2"/>
      <c r="E1154" s="2"/>
      <c r="F1154" s="2"/>
      <c r="G1154" s="2"/>
      <c r="H1154" s="1"/>
      <c r="I1154" s="2"/>
      <c r="J1154" s="2"/>
      <c r="K1154" s="2"/>
      <c r="L1154" s="2"/>
      <c r="M1154" s="2"/>
      <c r="N1154" s="2"/>
      <c r="O1154" s="2"/>
      <c r="P1154" s="2"/>
      <c r="Q1154" s="2"/>
      <c r="R1154" s="2"/>
      <c r="S1154" s="2"/>
      <c r="T1154" s="2"/>
      <c r="U1154" s="2"/>
      <c r="V1154" s="2"/>
      <c r="W1154" s="2"/>
      <c r="X1154" s="2"/>
      <c r="Y1154" s="2"/>
    </row>
    <row r="1155" spans="1:25" ht="17.399999999999999" x14ac:dyDescent="0.25">
      <c r="A1155" s="1"/>
      <c r="B1155" s="10"/>
      <c r="C1155" s="2"/>
      <c r="D1155" s="2"/>
      <c r="E1155" s="2"/>
      <c r="F1155" s="2"/>
      <c r="G1155" s="2"/>
      <c r="H1155" s="1"/>
      <c r="I1155" s="2"/>
      <c r="J1155" s="2"/>
      <c r="K1155" s="2"/>
      <c r="L1155" s="2"/>
      <c r="M1155" s="2"/>
      <c r="N1155" s="2"/>
      <c r="O1155" s="2"/>
      <c r="P1155" s="2"/>
      <c r="Q1155" s="2"/>
      <c r="R1155" s="2"/>
      <c r="S1155" s="2"/>
      <c r="T1155" s="2"/>
      <c r="U1155" s="2"/>
      <c r="V1155" s="2"/>
      <c r="W1155" s="2"/>
      <c r="X1155" s="2"/>
      <c r="Y1155" s="2"/>
    </row>
    <row r="1156" spans="1:25" ht="17.399999999999999" x14ac:dyDescent="0.25">
      <c r="A1156" s="1"/>
      <c r="B1156" s="10"/>
      <c r="C1156" s="2"/>
      <c r="D1156" s="2"/>
      <c r="E1156" s="2"/>
      <c r="F1156" s="2"/>
      <c r="G1156" s="2"/>
      <c r="H1156" s="1"/>
      <c r="I1156" s="2"/>
      <c r="J1156" s="2"/>
      <c r="K1156" s="2"/>
      <c r="L1156" s="2"/>
      <c r="M1156" s="2"/>
      <c r="N1156" s="2"/>
      <c r="O1156" s="2"/>
      <c r="P1156" s="2"/>
      <c r="Q1156" s="2"/>
      <c r="R1156" s="2"/>
      <c r="S1156" s="2"/>
      <c r="T1156" s="2"/>
      <c r="U1156" s="2"/>
      <c r="V1156" s="2"/>
      <c r="W1156" s="2"/>
      <c r="X1156" s="2"/>
      <c r="Y1156" s="2"/>
    </row>
    <row r="1157" spans="1:25" ht="17.399999999999999" x14ac:dyDescent="0.25">
      <c r="A1157" s="1"/>
      <c r="B1157" s="10"/>
      <c r="C1157" s="2"/>
      <c r="D1157" s="2"/>
      <c r="E1157" s="2"/>
      <c r="F1157" s="2"/>
      <c r="G1157" s="2"/>
      <c r="H1157" s="1"/>
      <c r="I1157" s="2"/>
      <c r="J1157" s="2"/>
      <c r="K1157" s="2"/>
      <c r="L1157" s="2"/>
      <c r="M1157" s="2"/>
      <c r="N1157" s="2"/>
      <c r="O1157" s="2"/>
      <c r="P1157" s="2"/>
      <c r="Q1157" s="2"/>
      <c r="R1157" s="2"/>
      <c r="S1157" s="2"/>
      <c r="T1157" s="2"/>
      <c r="U1157" s="2"/>
      <c r="V1157" s="2"/>
      <c r="W1157" s="2"/>
      <c r="X1157" s="2"/>
      <c r="Y1157" s="2"/>
    </row>
    <row r="1158" spans="1:25" ht="17.399999999999999" x14ac:dyDescent="0.25">
      <c r="A1158" s="1"/>
      <c r="B1158" s="10"/>
      <c r="C1158" s="2"/>
      <c r="D1158" s="2"/>
      <c r="E1158" s="2"/>
      <c r="F1158" s="2"/>
      <c r="G1158" s="2"/>
      <c r="H1158" s="1"/>
      <c r="I1158" s="2"/>
      <c r="J1158" s="2"/>
      <c r="K1158" s="2"/>
      <c r="L1158" s="2"/>
      <c r="M1158" s="2"/>
      <c r="N1158" s="2"/>
      <c r="O1158" s="2"/>
      <c r="P1158" s="2"/>
      <c r="Q1158" s="2"/>
      <c r="R1158" s="2"/>
      <c r="S1158" s="2"/>
      <c r="T1158" s="2"/>
      <c r="U1158" s="2"/>
      <c r="V1158" s="2"/>
      <c r="W1158" s="2"/>
      <c r="X1158" s="2"/>
      <c r="Y1158" s="2"/>
    </row>
    <row r="1159" spans="1:25" ht="17.399999999999999" x14ac:dyDescent="0.25">
      <c r="A1159" s="1"/>
      <c r="B1159" s="10"/>
      <c r="C1159" s="2"/>
      <c r="D1159" s="2"/>
      <c r="E1159" s="2"/>
      <c r="F1159" s="2"/>
      <c r="G1159" s="2"/>
      <c r="H1159" s="1"/>
      <c r="I1159" s="2"/>
      <c r="J1159" s="2"/>
      <c r="K1159" s="2"/>
      <c r="L1159" s="2"/>
      <c r="M1159" s="2"/>
      <c r="N1159" s="2"/>
      <c r="O1159" s="2"/>
      <c r="P1159" s="2"/>
      <c r="Q1159" s="2"/>
      <c r="R1159" s="2"/>
      <c r="S1159" s="2"/>
      <c r="T1159" s="2"/>
      <c r="U1159" s="2"/>
      <c r="V1159" s="2"/>
      <c r="W1159" s="2"/>
      <c r="X1159" s="2"/>
      <c r="Y1159" s="2"/>
    </row>
    <row r="1160" spans="1:25" ht="17.399999999999999" x14ac:dyDescent="0.25">
      <c r="A1160" s="1"/>
      <c r="B1160" s="10"/>
      <c r="C1160" s="2"/>
      <c r="D1160" s="2"/>
      <c r="E1160" s="2"/>
      <c r="F1160" s="2"/>
      <c r="G1160" s="2"/>
      <c r="H1160" s="1"/>
      <c r="I1160" s="2"/>
      <c r="J1160" s="2"/>
      <c r="K1160" s="2"/>
      <c r="L1160" s="2"/>
      <c r="M1160" s="2"/>
      <c r="N1160" s="2"/>
      <c r="O1160" s="2"/>
      <c r="P1160" s="2"/>
      <c r="Q1160" s="2"/>
      <c r="R1160" s="2"/>
      <c r="S1160" s="2"/>
      <c r="T1160" s="2"/>
      <c r="U1160" s="2"/>
      <c r="V1160" s="2"/>
      <c r="W1160" s="2"/>
      <c r="X1160" s="2"/>
      <c r="Y1160" s="2"/>
    </row>
    <row r="1161" spans="1:25" ht="17.399999999999999" x14ac:dyDescent="0.25">
      <c r="A1161" s="1"/>
      <c r="B1161" s="10"/>
      <c r="C1161" s="2"/>
      <c r="D1161" s="2"/>
      <c r="E1161" s="2"/>
      <c r="F1161" s="2"/>
      <c r="G1161" s="2"/>
      <c r="H1161" s="1"/>
      <c r="I1161" s="2"/>
      <c r="J1161" s="2"/>
      <c r="K1161" s="2"/>
      <c r="L1161" s="2"/>
      <c r="M1161" s="2"/>
      <c r="N1161" s="2"/>
      <c r="O1161" s="2"/>
      <c r="P1161" s="2"/>
      <c r="Q1161" s="2"/>
      <c r="R1161" s="2"/>
      <c r="S1161" s="2"/>
      <c r="T1161" s="2"/>
      <c r="U1161" s="2"/>
      <c r="V1161" s="2"/>
      <c r="W1161" s="2"/>
      <c r="X1161" s="2"/>
      <c r="Y1161" s="2"/>
    </row>
    <row r="1162" spans="1:25" ht="17.399999999999999" x14ac:dyDescent="0.25">
      <c r="A1162" s="1"/>
      <c r="B1162" s="10"/>
      <c r="C1162" s="2"/>
      <c r="D1162" s="2"/>
      <c r="E1162" s="2"/>
      <c r="F1162" s="2"/>
      <c r="G1162" s="2"/>
      <c r="H1162" s="1"/>
      <c r="I1162" s="2"/>
      <c r="J1162" s="2"/>
      <c r="K1162" s="2"/>
      <c r="L1162" s="2"/>
      <c r="M1162" s="2"/>
      <c r="N1162" s="2"/>
      <c r="O1162" s="2"/>
      <c r="P1162" s="2"/>
      <c r="Q1162" s="2"/>
      <c r="R1162" s="2"/>
      <c r="S1162" s="2"/>
      <c r="T1162" s="2"/>
      <c r="U1162" s="2"/>
      <c r="V1162" s="2"/>
      <c r="W1162" s="2"/>
      <c r="X1162" s="2"/>
      <c r="Y1162" s="2"/>
    </row>
    <row r="1163" spans="1:25" ht="17.399999999999999" x14ac:dyDescent="0.25">
      <c r="A1163" s="1"/>
      <c r="B1163" s="10"/>
      <c r="C1163" s="2"/>
      <c r="D1163" s="2"/>
      <c r="E1163" s="2"/>
      <c r="F1163" s="2"/>
      <c r="G1163" s="2"/>
      <c r="H1163" s="1"/>
      <c r="I1163" s="2"/>
      <c r="J1163" s="2"/>
      <c r="K1163" s="2"/>
      <c r="L1163" s="2"/>
      <c r="M1163" s="2"/>
      <c r="N1163" s="2"/>
      <c r="O1163" s="2"/>
      <c r="P1163" s="2"/>
      <c r="Q1163" s="2"/>
      <c r="R1163" s="2"/>
      <c r="S1163" s="2"/>
      <c r="T1163" s="2"/>
      <c r="U1163" s="2"/>
      <c r="V1163" s="2"/>
      <c r="W1163" s="2"/>
      <c r="X1163" s="2"/>
      <c r="Y1163" s="2"/>
    </row>
    <row r="1164" spans="1:25" ht="17.399999999999999" x14ac:dyDescent="0.25">
      <c r="A1164" s="1"/>
      <c r="B1164" s="10"/>
      <c r="C1164" s="2"/>
      <c r="D1164" s="2"/>
      <c r="E1164" s="2"/>
      <c r="F1164" s="2"/>
      <c r="G1164" s="2"/>
      <c r="H1164" s="1"/>
      <c r="I1164" s="2"/>
      <c r="J1164" s="2"/>
      <c r="K1164" s="2"/>
      <c r="L1164" s="2"/>
      <c r="M1164" s="2"/>
      <c r="N1164" s="2"/>
      <c r="O1164" s="2"/>
      <c r="P1164" s="2"/>
      <c r="Q1164" s="2"/>
      <c r="R1164" s="2"/>
      <c r="S1164" s="2"/>
      <c r="T1164" s="2"/>
      <c r="U1164" s="2"/>
      <c r="V1164" s="2"/>
      <c r="W1164" s="2"/>
      <c r="X1164" s="2"/>
      <c r="Y1164" s="2"/>
    </row>
    <row r="1165" spans="1:25" ht="17.399999999999999" x14ac:dyDescent="0.25">
      <c r="A1165" s="1"/>
      <c r="B1165" s="10"/>
      <c r="C1165" s="2"/>
      <c r="D1165" s="2"/>
      <c r="E1165" s="2"/>
      <c r="F1165" s="2"/>
      <c r="G1165" s="2"/>
      <c r="H1165" s="1"/>
      <c r="I1165" s="2"/>
      <c r="J1165" s="2"/>
      <c r="K1165" s="2"/>
      <c r="L1165" s="2"/>
      <c r="M1165" s="2"/>
      <c r="N1165" s="2"/>
      <c r="O1165" s="2"/>
      <c r="P1165" s="2"/>
      <c r="Q1165" s="2"/>
      <c r="R1165" s="2"/>
      <c r="S1165" s="2"/>
      <c r="T1165" s="2"/>
      <c r="U1165" s="2"/>
      <c r="V1165" s="2"/>
      <c r="W1165" s="2"/>
      <c r="X1165" s="2"/>
      <c r="Y1165" s="2"/>
    </row>
    <row r="1166" spans="1:25" ht="17.399999999999999" x14ac:dyDescent="0.25">
      <c r="A1166" s="1"/>
      <c r="B1166" s="10"/>
      <c r="C1166" s="2"/>
      <c r="D1166" s="2"/>
      <c r="E1166" s="2"/>
      <c r="F1166" s="2"/>
      <c r="G1166" s="2"/>
      <c r="H1166" s="1"/>
      <c r="I1166" s="2"/>
      <c r="J1166" s="2"/>
      <c r="K1166" s="2"/>
      <c r="L1166" s="2"/>
      <c r="M1166" s="2"/>
      <c r="N1166" s="2"/>
      <c r="O1166" s="2"/>
      <c r="P1166" s="2"/>
      <c r="Q1166" s="2"/>
      <c r="R1166" s="2"/>
      <c r="S1166" s="2"/>
      <c r="T1166" s="2"/>
      <c r="U1166" s="2"/>
      <c r="V1166" s="2"/>
      <c r="W1166" s="2"/>
      <c r="X1166" s="2"/>
      <c r="Y1166" s="2"/>
    </row>
    <row r="1167" spans="1:25" ht="17.399999999999999" x14ac:dyDescent="0.25">
      <c r="A1167" s="1"/>
      <c r="B1167" s="10"/>
      <c r="C1167" s="2"/>
      <c r="D1167" s="2"/>
      <c r="E1167" s="2"/>
      <c r="F1167" s="2"/>
      <c r="G1167" s="2"/>
      <c r="H1167" s="1"/>
      <c r="I1167" s="2"/>
      <c r="J1167" s="2"/>
      <c r="K1167" s="2"/>
      <c r="L1167" s="2"/>
      <c r="M1167" s="2"/>
      <c r="N1167" s="2"/>
      <c r="O1167" s="2"/>
      <c r="P1167" s="2"/>
      <c r="Q1167" s="2"/>
      <c r="R1167" s="2"/>
      <c r="S1167" s="2"/>
      <c r="T1167" s="2"/>
      <c r="U1167" s="2"/>
      <c r="V1167" s="2"/>
      <c r="W1167" s="2"/>
      <c r="X1167" s="2"/>
      <c r="Y1167" s="2"/>
    </row>
    <row r="1168" spans="1:25" ht="17.399999999999999" x14ac:dyDescent="0.25">
      <c r="A1168" s="1"/>
      <c r="B1168" s="10"/>
      <c r="C1168" s="2"/>
      <c r="D1168" s="2"/>
      <c r="E1168" s="2"/>
      <c r="F1168" s="2"/>
      <c r="G1168" s="2"/>
      <c r="H1168" s="1"/>
      <c r="I1168" s="2"/>
      <c r="J1168" s="2"/>
      <c r="K1168" s="2"/>
      <c r="L1168" s="2"/>
      <c r="M1168" s="2"/>
      <c r="N1168" s="2"/>
      <c r="O1168" s="2"/>
      <c r="P1168" s="2"/>
      <c r="Q1168" s="2"/>
      <c r="R1168" s="2"/>
      <c r="S1168" s="2"/>
      <c r="T1168" s="2"/>
      <c r="U1168" s="2"/>
      <c r="V1168" s="2"/>
      <c r="W1168" s="2"/>
      <c r="X1168" s="2"/>
      <c r="Y1168" s="2"/>
    </row>
    <row r="1169" spans="1:25" ht="17.399999999999999" x14ac:dyDescent="0.25">
      <c r="A1169" s="1"/>
      <c r="B1169" s="10"/>
      <c r="C1169" s="2"/>
      <c r="D1169" s="2"/>
      <c r="E1169" s="2"/>
      <c r="F1169" s="2"/>
      <c r="G1169" s="2"/>
      <c r="H1169" s="1"/>
      <c r="I1169" s="2"/>
      <c r="J1169" s="2"/>
      <c r="K1169" s="2"/>
      <c r="L1169" s="2"/>
      <c r="M1169" s="2"/>
      <c r="N1169" s="2"/>
      <c r="O1169" s="2"/>
      <c r="P1169" s="2"/>
      <c r="Q1169" s="2"/>
      <c r="R1169" s="2"/>
      <c r="S1169" s="2"/>
      <c r="T1169" s="2"/>
      <c r="U1169" s="2"/>
      <c r="V1169" s="2"/>
      <c r="W1169" s="2"/>
      <c r="X1169" s="2"/>
      <c r="Y1169" s="2"/>
    </row>
    <row r="1170" spans="1:25" ht="17.399999999999999" x14ac:dyDescent="0.25">
      <c r="A1170" s="1"/>
      <c r="B1170" s="10"/>
      <c r="C1170" s="2"/>
      <c r="D1170" s="2"/>
      <c r="E1170" s="2"/>
      <c r="F1170" s="2"/>
      <c r="G1170" s="2"/>
      <c r="H1170" s="1"/>
      <c r="I1170" s="2"/>
      <c r="J1170" s="2"/>
      <c r="K1170" s="2"/>
      <c r="L1170" s="2"/>
      <c r="M1170" s="2"/>
      <c r="N1170" s="2"/>
      <c r="O1170" s="2"/>
      <c r="P1170" s="2"/>
      <c r="Q1170" s="2"/>
      <c r="R1170" s="2"/>
      <c r="S1170" s="2"/>
      <c r="T1170" s="2"/>
      <c r="U1170" s="2"/>
      <c r="V1170" s="2"/>
      <c r="W1170" s="2"/>
      <c r="X1170" s="2"/>
      <c r="Y1170" s="2"/>
    </row>
    <row r="1171" spans="1:25" ht="17.399999999999999" x14ac:dyDescent="0.25">
      <c r="A1171" s="1"/>
      <c r="B1171" s="10"/>
      <c r="C1171" s="2"/>
      <c r="D1171" s="2"/>
      <c r="E1171" s="2"/>
      <c r="F1171" s="2"/>
      <c r="G1171" s="2"/>
      <c r="H1171" s="1"/>
      <c r="I1171" s="2"/>
      <c r="J1171" s="2"/>
      <c r="K1171" s="2"/>
      <c r="L1171" s="2"/>
      <c r="M1171" s="2"/>
      <c r="N1171" s="2"/>
      <c r="O1171" s="2"/>
      <c r="P1171" s="2"/>
      <c r="Q1171" s="2"/>
      <c r="R1171" s="2"/>
      <c r="S1171" s="2"/>
      <c r="T1171" s="2"/>
      <c r="U1171" s="2"/>
      <c r="V1171" s="2"/>
      <c r="W1171" s="2"/>
      <c r="X1171" s="2"/>
      <c r="Y1171" s="2"/>
    </row>
    <row r="1172" spans="1:25" ht="17.399999999999999" x14ac:dyDescent="0.25">
      <c r="A1172" s="1"/>
      <c r="B1172" s="10"/>
      <c r="C1172" s="2"/>
      <c r="D1172" s="2"/>
      <c r="E1172" s="2"/>
      <c r="F1172" s="2"/>
      <c r="G1172" s="2"/>
      <c r="H1172" s="1"/>
      <c r="I1172" s="2"/>
      <c r="J1172" s="2"/>
      <c r="K1172" s="2"/>
      <c r="L1172" s="2"/>
      <c r="M1172" s="2"/>
      <c r="N1172" s="2"/>
      <c r="O1172" s="2"/>
      <c r="P1172" s="2"/>
      <c r="Q1172" s="2"/>
      <c r="R1172" s="2"/>
      <c r="S1172" s="2"/>
      <c r="T1172" s="2"/>
      <c r="U1172" s="2"/>
      <c r="V1172" s="2"/>
      <c r="W1172" s="2"/>
      <c r="X1172" s="2"/>
      <c r="Y1172" s="2"/>
    </row>
    <row r="1173" spans="1:25" ht="17.399999999999999" x14ac:dyDescent="0.25">
      <c r="A1173" s="1"/>
      <c r="B1173" s="10"/>
      <c r="C1173" s="2"/>
      <c r="D1173" s="2"/>
      <c r="E1173" s="2"/>
      <c r="F1173" s="2"/>
      <c r="G1173" s="2"/>
      <c r="H1173" s="1"/>
      <c r="I1173" s="2"/>
      <c r="J1173" s="2"/>
      <c r="K1173" s="2"/>
      <c r="L1173" s="2"/>
      <c r="M1173" s="2"/>
      <c r="N1173" s="2"/>
      <c r="O1173" s="2"/>
      <c r="P1173" s="2"/>
      <c r="Q1173" s="2"/>
      <c r="R1173" s="2"/>
      <c r="S1173" s="2"/>
      <c r="T1173" s="2"/>
      <c r="U1173" s="2"/>
      <c r="V1173" s="2"/>
      <c r="W1173" s="2"/>
      <c r="X1173" s="2"/>
      <c r="Y1173" s="2"/>
    </row>
    <row r="1174" spans="1:25" ht="17.399999999999999" x14ac:dyDescent="0.25">
      <c r="A1174" s="1"/>
      <c r="B1174" s="10"/>
      <c r="C1174" s="2"/>
      <c r="D1174" s="2"/>
      <c r="E1174" s="2"/>
      <c r="F1174" s="2"/>
      <c r="G1174" s="2"/>
      <c r="H1174" s="1"/>
      <c r="I1174" s="2"/>
      <c r="J1174" s="2"/>
      <c r="K1174" s="2"/>
      <c r="L1174" s="2"/>
      <c r="M1174" s="2"/>
      <c r="N1174" s="2"/>
      <c r="O1174" s="2"/>
      <c r="P1174" s="2"/>
      <c r="Q1174" s="2"/>
      <c r="R1174" s="2"/>
      <c r="S1174" s="2"/>
      <c r="T1174" s="2"/>
      <c r="U1174" s="2"/>
      <c r="V1174" s="2"/>
      <c r="W1174" s="2"/>
      <c r="X1174" s="2"/>
      <c r="Y1174" s="2"/>
    </row>
    <row r="1175" spans="1:25" ht="17.399999999999999" x14ac:dyDescent="0.25">
      <c r="A1175" s="1"/>
      <c r="B1175" s="10"/>
      <c r="C1175" s="2"/>
      <c r="D1175" s="2"/>
      <c r="E1175" s="2"/>
      <c r="F1175" s="2"/>
      <c r="G1175" s="2"/>
      <c r="H1175" s="1"/>
      <c r="I1175" s="2"/>
      <c r="J1175" s="2"/>
      <c r="K1175" s="2"/>
      <c r="L1175" s="2"/>
      <c r="M1175" s="2"/>
      <c r="N1175" s="2"/>
      <c r="O1175" s="2"/>
      <c r="P1175" s="2"/>
      <c r="Q1175" s="2"/>
      <c r="R1175" s="2"/>
      <c r="S1175" s="2"/>
      <c r="T1175" s="2"/>
      <c r="U1175" s="2"/>
      <c r="V1175" s="2"/>
      <c r="W1175" s="2"/>
      <c r="X1175" s="2"/>
      <c r="Y1175" s="2"/>
    </row>
    <row r="1176" spans="1:25" ht="17.399999999999999" x14ac:dyDescent="0.25">
      <c r="A1176" s="1"/>
      <c r="B1176" s="10"/>
      <c r="C1176" s="2"/>
      <c r="D1176" s="2"/>
      <c r="E1176" s="2"/>
      <c r="F1176" s="2"/>
      <c r="G1176" s="2"/>
      <c r="H1176" s="1"/>
      <c r="I1176" s="2"/>
      <c r="J1176" s="2"/>
      <c r="K1176" s="2"/>
      <c r="L1176" s="2"/>
      <c r="M1176" s="2"/>
      <c r="N1176" s="2"/>
      <c r="O1176" s="2"/>
      <c r="P1176" s="2"/>
      <c r="Q1176" s="2"/>
      <c r="R1176" s="2"/>
      <c r="S1176" s="2"/>
      <c r="T1176" s="2"/>
      <c r="U1176" s="2"/>
      <c r="V1176" s="2"/>
      <c r="W1176" s="2"/>
      <c r="X1176" s="2"/>
      <c r="Y1176" s="2"/>
    </row>
    <row r="1177" spans="1:25" ht="17.399999999999999" x14ac:dyDescent="0.25">
      <c r="A1177" s="1"/>
      <c r="B1177" s="10"/>
      <c r="C1177" s="2"/>
      <c r="D1177" s="2"/>
      <c r="E1177" s="2"/>
      <c r="F1177" s="2"/>
      <c r="G1177" s="2"/>
      <c r="H1177" s="1"/>
      <c r="I1177" s="2"/>
      <c r="J1177" s="2"/>
      <c r="K1177" s="2"/>
      <c r="L1177" s="2"/>
      <c r="M1177" s="2"/>
      <c r="N1177" s="2"/>
      <c r="O1177" s="2"/>
      <c r="P1177" s="2"/>
      <c r="Q1177" s="2"/>
      <c r="R1177" s="2"/>
      <c r="S1177" s="2"/>
      <c r="T1177" s="2"/>
      <c r="U1177" s="2"/>
      <c r="V1177" s="2"/>
      <c r="W1177" s="2"/>
      <c r="X1177" s="2"/>
      <c r="Y1177" s="2"/>
    </row>
    <row r="1178" spans="1:25" ht="17.399999999999999" x14ac:dyDescent="0.25">
      <c r="A1178" s="1"/>
      <c r="B1178" s="10"/>
      <c r="C1178" s="2"/>
      <c r="D1178" s="2"/>
      <c r="E1178" s="2"/>
      <c r="F1178" s="2"/>
      <c r="G1178" s="2"/>
      <c r="H1178" s="1"/>
      <c r="I1178" s="2"/>
      <c r="J1178" s="2"/>
      <c r="K1178" s="2"/>
      <c r="L1178" s="2"/>
      <c r="M1178" s="2"/>
      <c r="N1178" s="2"/>
      <c r="O1178" s="2"/>
      <c r="P1178" s="2"/>
      <c r="Q1178" s="2"/>
      <c r="R1178" s="2"/>
      <c r="S1178" s="2"/>
      <c r="T1178" s="2"/>
      <c r="U1178" s="2"/>
      <c r="V1178" s="2"/>
      <c r="W1178" s="2"/>
      <c r="X1178" s="2"/>
      <c r="Y1178" s="2"/>
    </row>
    <row r="1179" spans="1:25" ht="17.399999999999999" x14ac:dyDescent="0.25">
      <c r="A1179" s="1"/>
      <c r="B1179" s="10"/>
      <c r="C1179" s="2"/>
      <c r="D1179" s="2"/>
      <c r="E1179" s="2"/>
      <c r="F1179" s="2"/>
      <c r="G1179" s="2"/>
      <c r="H1179" s="1"/>
      <c r="I1179" s="2"/>
      <c r="J1179" s="2"/>
      <c r="K1179" s="2"/>
      <c r="L1179" s="2"/>
      <c r="M1179" s="2"/>
      <c r="N1179" s="2"/>
      <c r="O1179" s="2"/>
      <c r="P1179" s="2"/>
      <c r="Q1179" s="2"/>
      <c r="R1179" s="2"/>
      <c r="S1179" s="2"/>
      <c r="T1179" s="2"/>
      <c r="U1179" s="2"/>
      <c r="V1179" s="2"/>
      <c r="W1179" s="2"/>
      <c r="X1179" s="2"/>
      <c r="Y1179" s="2"/>
    </row>
    <row r="1180" spans="1:25" ht="17.399999999999999" x14ac:dyDescent="0.25">
      <c r="A1180" s="1"/>
      <c r="B1180" s="10"/>
      <c r="C1180" s="2"/>
      <c r="D1180" s="2"/>
      <c r="E1180" s="2"/>
      <c r="F1180" s="2"/>
      <c r="G1180" s="2"/>
      <c r="H1180" s="1"/>
      <c r="I1180" s="2"/>
      <c r="J1180" s="2"/>
      <c r="K1180" s="2"/>
      <c r="L1180" s="2"/>
      <c r="M1180" s="2"/>
      <c r="N1180" s="2"/>
      <c r="O1180" s="2"/>
      <c r="P1180" s="2"/>
      <c r="Q1180" s="2"/>
      <c r="R1180" s="2"/>
      <c r="S1180" s="2"/>
      <c r="T1180" s="2"/>
      <c r="U1180" s="2"/>
      <c r="V1180" s="2"/>
      <c r="W1180" s="2"/>
      <c r="X1180" s="2"/>
      <c r="Y1180" s="2"/>
    </row>
    <row r="1181" spans="1:25" ht="17.399999999999999" x14ac:dyDescent="0.25">
      <c r="A1181" s="1"/>
      <c r="B1181" s="10"/>
      <c r="C1181" s="2"/>
      <c r="D1181" s="2"/>
      <c r="E1181" s="2"/>
      <c r="F1181" s="2"/>
      <c r="G1181" s="2"/>
      <c r="H1181" s="1"/>
      <c r="I1181" s="2"/>
      <c r="J1181" s="2"/>
      <c r="K1181" s="2"/>
      <c r="L1181" s="2"/>
      <c r="M1181" s="2"/>
      <c r="N1181" s="2"/>
      <c r="O1181" s="2"/>
      <c r="P1181" s="2"/>
      <c r="Q1181" s="2"/>
      <c r="R1181" s="2"/>
      <c r="S1181" s="2"/>
      <c r="T1181" s="2"/>
      <c r="U1181" s="2"/>
      <c r="V1181" s="2"/>
      <c r="W1181" s="2"/>
      <c r="X1181" s="2"/>
      <c r="Y1181" s="2"/>
    </row>
    <row r="1182" spans="1:25" ht="17.399999999999999" x14ac:dyDescent="0.25">
      <c r="A1182" s="1"/>
      <c r="B1182" s="10"/>
      <c r="C1182" s="2"/>
      <c r="D1182" s="2"/>
      <c r="E1182" s="2"/>
      <c r="F1182" s="2"/>
      <c r="G1182" s="2"/>
      <c r="H1182" s="1"/>
      <c r="I1182" s="2"/>
      <c r="J1182" s="2"/>
      <c r="K1182" s="2"/>
      <c r="L1182" s="2"/>
      <c r="M1182" s="2"/>
      <c r="N1182" s="2"/>
      <c r="O1182" s="2"/>
      <c r="P1182" s="2"/>
      <c r="Q1182" s="2"/>
      <c r="R1182" s="2"/>
      <c r="S1182" s="2"/>
      <c r="T1182" s="2"/>
      <c r="U1182" s="2"/>
      <c r="V1182" s="2"/>
      <c r="W1182" s="2"/>
      <c r="X1182" s="2"/>
      <c r="Y1182" s="2"/>
    </row>
    <row r="1183" spans="1:25" ht="17.399999999999999" x14ac:dyDescent="0.25">
      <c r="A1183" s="1"/>
      <c r="B1183" s="10"/>
      <c r="C1183" s="2"/>
      <c r="D1183" s="2"/>
      <c r="E1183" s="2"/>
      <c r="F1183" s="2"/>
      <c r="G1183" s="2"/>
      <c r="H1183" s="1"/>
      <c r="I1183" s="2"/>
      <c r="J1183" s="2"/>
      <c r="K1183" s="2"/>
      <c r="L1183" s="2"/>
      <c r="M1183" s="2"/>
      <c r="N1183" s="2"/>
      <c r="O1183" s="2"/>
      <c r="P1183" s="2"/>
      <c r="Q1183" s="2"/>
      <c r="R1183" s="2"/>
      <c r="S1183" s="2"/>
      <c r="T1183" s="2"/>
      <c r="U1183" s="2"/>
      <c r="V1183" s="2"/>
      <c r="W1183" s="2"/>
      <c r="X1183" s="2"/>
      <c r="Y1183" s="2"/>
    </row>
    <row r="1184" spans="1:25" ht="17.399999999999999" x14ac:dyDescent="0.25">
      <c r="A1184" s="1"/>
      <c r="B1184" s="10"/>
      <c r="C1184" s="2"/>
      <c r="D1184" s="2"/>
      <c r="E1184" s="2"/>
      <c r="F1184" s="2"/>
      <c r="G1184" s="2"/>
      <c r="H1184" s="1"/>
      <c r="I1184" s="2"/>
      <c r="J1184" s="2"/>
      <c r="K1184" s="2"/>
      <c r="L1184" s="2"/>
      <c r="M1184" s="2"/>
      <c r="N1184" s="2"/>
      <c r="O1184" s="2"/>
      <c r="P1184" s="2"/>
      <c r="Q1184" s="2"/>
      <c r="R1184" s="2"/>
      <c r="S1184" s="2"/>
      <c r="T1184" s="2"/>
      <c r="U1184" s="2"/>
      <c r="V1184" s="2"/>
      <c r="W1184" s="2"/>
      <c r="X1184" s="2"/>
      <c r="Y1184" s="2"/>
    </row>
    <row r="1185" spans="1:25" ht="17.399999999999999" x14ac:dyDescent="0.25">
      <c r="A1185" s="1"/>
      <c r="B1185" s="10"/>
      <c r="C1185" s="2"/>
      <c r="D1185" s="2"/>
      <c r="E1185" s="2"/>
      <c r="F1185" s="2"/>
      <c r="G1185" s="2"/>
      <c r="H1185" s="1"/>
      <c r="I1185" s="2"/>
      <c r="J1185" s="2"/>
      <c r="K1185" s="2"/>
      <c r="L1185" s="2"/>
      <c r="M1185" s="2"/>
      <c r="N1185" s="2"/>
      <c r="O1185" s="2"/>
      <c r="P1185" s="2"/>
      <c r="Q1185" s="2"/>
      <c r="R1185" s="2"/>
      <c r="S1185" s="2"/>
      <c r="T1185" s="2"/>
      <c r="U1185" s="2"/>
      <c r="V1185" s="2"/>
      <c r="W1185" s="2"/>
      <c r="X1185" s="2"/>
      <c r="Y1185" s="2"/>
    </row>
    <row r="1186" spans="1:25" ht="17.399999999999999" x14ac:dyDescent="0.25">
      <c r="A1186" s="1"/>
      <c r="B1186" s="10"/>
      <c r="C1186" s="2"/>
      <c r="D1186" s="2"/>
      <c r="E1186" s="2"/>
      <c r="F1186" s="2"/>
      <c r="G1186" s="2"/>
      <c r="H1186" s="1"/>
      <c r="I1186" s="2"/>
      <c r="J1186" s="2"/>
      <c r="K1186" s="2"/>
      <c r="L1186" s="2"/>
      <c r="M1186" s="2"/>
      <c r="N1186" s="2"/>
      <c r="O1186" s="2"/>
      <c r="P1186" s="2"/>
      <c r="Q1186" s="2"/>
      <c r="R1186" s="2"/>
      <c r="S1186" s="2"/>
      <c r="T1186" s="2"/>
      <c r="U1186" s="2"/>
      <c r="V1186" s="2"/>
      <c r="W1186" s="2"/>
      <c r="X1186" s="2"/>
      <c r="Y1186" s="2"/>
    </row>
    <row r="1187" spans="1:25" ht="17.399999999999999" x14ac:dyDescent="0.25">
      <c r="A1187" s="1"/>
      <c r="B1187" s="10"/>
      <c r="C1187" s="2"/>
      <c r="D1187" s="2"/>
      <c r="E1187" s="2"/>
      <c r="F1187" s="2"/>
      <c r="G1187" s="2"/>
      <c r="H1187" s="1"/>
      <c r="I1187" s="2"/>
      <c r="J1187" s="2"/>
      <c r="K1187" s="2"/>
      <c r="L1187" s="2"/>
      <c r="M1187" s="2"/>
      <c r="N1187" s="2"/>
      <c r="O1187" s="2"/>
      <c r="P1187" s="2"/>
      <c r="Q1187" s="2"/>
      <c r="R1187" s="2"/>
      <c r="S1187" s="2"/>
      <c r="T1187" s="2"/>
      <c r="U1187" s="2"/>
      <c r="V1187" s="2"/>
      <c r="W1187" s="2"/>
      <c r="X1187" s="2"/>
      <c r="Y1187" s="2"/>
    </row>
    <row r="1188" spans="1:25" ht="17.399999999999999" x14ac:dyDescent="0.25">
      <c r="A1188" s="1"/>
      <c r="B1188" s="10"/>
      <c r="C1188" s="2"/>
      <c r="D1188" s="2"/>
      <c r="E1188" s="2"/>
      <c r="F1188" s="2"/>
      <c r="G1188" s="2"/>
      <c r="H1188" s="1"/>
      <c r="I1188" s="2"/>
      <c r="J1188" s="2"/>
      <c r="K1188" s="2"/>
      <c r="L1188" s="2"/>
      <c r="M1188" s="2"/>
      <c r="N1188" s="2"/>
      <c r="O1188" s="2"/>
      <c r="P1188" s="2"/>
      <c r="Q1188" s="2"/>
      <c r="R1188" s="2"/>
      <c r="S1188" s="2"/>
      <c r="T1188" s="2"/>
      <c r="U1188" s="2"/>
      <c r="V1188" s="2"/>
      <c r="W1188" s="2"/>
      <c r="X1188" s="2"/>
      <c r="Y1188" s="2"/>
    </row>
    <row r="1189" spans="1:25" ht="17.399999999999999" x14ac:dyDescent="0.25">
      <c r="A1189" s="1"/>
      <c r="B1189" s="10"/>
      <c r="C1189" s="2"/>
      <c r="D1189" s="2"/>
      <c r="E1189" s="2"/>
      <c r="F1189" s="2"/>
      <c r="G1189" s="2"/>
      <c r="H1189" s="1"/>
      <c r="I1189" s="2"/>
      <c r="J1189" s="2"/>
      <c r="K1189" s="2"/>
      <c r="L1189" s="2"/>
      <c r="M1189" s="2"/>
      <c r="N1189" s="2"/>
      <c r="O1189" s="2"/>
      <c r="P1189" s="2"/>
      <c r="Q1189" s="2"/>
      <c r="R1189" s="2"/>
      <c r="S1189" s="2"/>
      <c r="T1189" s="2"/>
      <c r="U1189" s="2"/>
      <c r="V1189" s="2"/>
      <c r="W1189" s="2"/>
      <c r="X1189" s="2"/>
      <c r="Y1189" s="2"/>
    </row>
    <row r="1190" spans="1:25" ht="17.399999999999999" x14ac:dyDescent="0.25">
      <c r="A1190" s="1"/>
      <c r="B1190" s="10"/>
      <c r="C1190" s="2"/>
      <c r="D1190" s="2"/>
      <c r="E1190" s="2"/>
      <c r="F1190" s="2"/>
      <c r="G1190" s="2"/>
      <c r="H1190" s="1"/>
      <c r="I1190" s="2"/>
      <c r="J1190" s="2"/>
      <c r="K1190" s="2"/>
      <c r="L1190" s="2"/>
      <c r="M1190" s="2"/>
      <c r="N1190" s="2"/>
      <c r="O1190" s="2"/>
      <c r="P1190" s="2"/>
      <c r="Q1190" s="2"/>
      <c r="R1190" s="2"/>
      <c r="S1190" s="2"/>
      <c r="T1190" s="2"/>
      <c r="U1190" s="2"/>
      <c r="V1190" s="2"/>
      <c r="W1190" s="2"/>
      <c r="X1190" s="2"/>
      <c r="Y1190" s="2"/>
    </row>
    <row r="1191" spans="1:25" ht="17.399999999999999" x14ac:dyDescent="0.25">
      <c r="A1191" s="1"/>
      <c r="B1191" s="10"/>
      <c r="C1191" s="2"/>
      <c r="D1191" s="2"/>
      <c r="E1191" s="2"/>
      <c r="F1191" s="2"/>
      <c r="G1191" s="2"/>
      <c r="H1191" s="1"/>
      <c r="I1191" s="2"/>
      <c r="J1191" s="2"/>
      <c r="K1191" s="2"/>
      <c r="L1191" s="2"/>
      <c r="M1191" s="2"/>
      <c r="N1191" s="2"/>
      <c r="O1191" s="2"/>
      <c r="P1191" s="2"/>
      <c r="Q1191" s="2"/>
      <c r="R1191" s="2"/>
      <c r="S1191" s="2"/>
      <c r="T1191" s="2"/>
      <c r="U1191" s="2"/>
      <c r="V1191" s="2"/>
      <c r="W1191" s="2"/>
      <c r="X1191" s="2"/>
      <c r="Y1191" s="2"/>
    </row>
    <row r="1192" spans="1:25" ht="17.399999999999999" x14ac:dyDescent="0.25">
      <c r="A1192" s="1"/>
      <c r="B1192" s="10"/>
      <c r="C1192" s="2"/>
      <c r="D1192" s="2"/>
      <c r="E1192" s="2"/>
      <c r="F1192" s="2"/>
      <c r="G1192" s="2"/>
      <c r="H1192" s="1"/>
      <c r="I1192" s="2"/>
      <c r="J1192" s="2"/>
      <c r="K1192" s="2"/>
      <c r="L1192" s="2"/>
      <c r="M1192" s="2"/>
      <c r="N1192" s="2"/>
      <c r="O1192" s="2"/>
      <c r="P1192" s="2"/>
      <c r="Q1192" s="2"/>
      <c r="R1192" s="2"/>
      <c r="S1192" s="2"/>
      <c r="T1192" s="2"/>
      <c r="U1192" s="2"/>
      <c r="V1192" s="2"/>
      <c r="W1192" s="2"/>
      <c r="X1192" s="2"/>
      <c r="Y1192" s="2"/>
    </row>
    <row r="1193" spans="1:25" ht="17.399999999999999" x14ac:dyDescent="0.25">
      <c r="A1193" s="1"/>
      <c r="B1193" s="10"/>
      <c r="C1193" s="2"/>
      <c r="D1193" s="2"/>
      <c r="E1193" s="2"/>
      <c r="F1193" s="2"/>
      <c r="G1193" s="2"/>
      <c r="H1193" s="1"/>
      <c r="I1193" s="2"/>
      <c r="J1193" s="2"/>
      <c r="K1193" s="2"/>
      <c r="L1193" s="2"/>
      <c r="M1193" s="2"/>
      <c r="N1193" s="2"/>
      <c r="O1193" s="2"/>
      <c r="P1193" s="2"/>
      <c r="Q1193" s="2"/>
      <c r="R1193" s="2"/>
      <c r="S1193" s="2"/>
      <c r="T1193" s="2"/>
      <c r="U1193" s="2"/>
      <c r="V1193" s="2"/>
      <c r="W1193" s="2"/>
      <c r="X1193" s="2"/>
      <c r="Y1193" s="2"/>
    </row>
    <row r="1194" spans="1:25" ht="17.399999999999999" x14ac:dyDescent="0.25">
      <c r="A1194" s="1"/>
      <c r="B1194" s="10"/>
      <c r="C1194" s="2"/>
      <c r="D1194" s="2"/>
      <c r="E1194" s="2"/>
      <c r="F1194" s="2"/>
      <c r="G1194" s="2"/>
      <c r="H1194" s="1"/>
      <c r="I1194" s="2"/>
      <c r="J1194" s="2"/>
      <c r="K1194" s="2"/>
      <c r="L1194" s="2"/>
      <c r="M1194" s="2"/>
      <c r="N1194" s="2"/>
      <c r="O1194" s="2"/>
      <c r="P1194" s="2"/>
      <c r="Q1194" s="2"/>
      <c r="R1194" s="2"/>
      <c r="S1194" s="2"/>
      <c r="T1194" s="2"/>
      <c r="U1194" s="2"/>
      <c r="V1194" s="2"/>
      <c r="W1194" s="2"/>
      <c r="X1194" s="2"/>
      <c r="Y1194" s="2"/>
    </row>
    <row r="1195" spans="1:25" ht="17.399999999999999" x14ac:dyDescent="0.25">
      <c r="A1195" s="1"/>
      <c r="B1195" s="10"/>
      <c r="C1195" s="2"/>
      <c r="D1195" s="2"/>
      <c r="E1195" s="2"/>
      <c r="F1195" s="2"/>
      <c r="G1195" s="2"/>
      <c r="H1195" s="1"/>
      <c r="I1195" s="2"/>
      <c r="J1195" s="2"/>
      <c r="K1195" s="2"/>
      <c r="L1195" s="2"/>
      <c r="M1195" s="2"/>
      <c r="N1195" s="2"/>
      <c r="O1195" s="2"/>
      <c r="P1195" s="2"/>
      <c r="Q1195" s="2"/>
      <c r="R1195" s="2"/>
      <c r="S1195" s="2"/>
      <c r="T1195" s="2"/>
      <c r="U1195" s="2"/>
      <c r="V1195" s="2"/>
      <c r="W1195" s="2"/>
      <c r="X1195" s="2"/>
      <c r="Y1195" s="2"/>
    </row>
    <row r="1196" spans="1:25" ht="17.399999999999999" x14ac:dyDescent="0.25">
      <c r="A1196" s="1"/>
      <c r="B1196" s="10"/>
      <c r="C1196" s="2"/>
      <c r="D1196" s="2"/>
      <c r="E1196" s="2"/>
      <c r="F1196" s="2"/>
      <c r="G1196" s="2"/>
      <c r="H1196" s="1"/>
      <c r="I1196" s="2"/>
      <c r="J1196" s="2"/>
      <c r="K1196" s="2"/>
      <c r="L1196" s="2"/>
      <c r="M1196" s="2"/>
      <c r="N1196" s="2"/>
      <c r="O1196" s="2"/>
      <c r="P1196" s="2"/>
      <c r="Q1196" s="2"/>
      <c r="R1196" s="2"/>
      <c r="S1196" s="2"/>
      <c r="T1196" s="2"/>
      <c r="U1196" s="2"/>
      <c r="V1196" s="2"/>
      <c r="W1196" s="2"/>
      <c r="X1196" s="2"/>
      <c r="Y1196" s="2"/>
    </row>
    <row r="1197" spans="1:25" ht="17.399999999999999" x14ac:dyDescent="0.25">
      <c r="A1197" s="1"/>
      <c r="B1197" s="10"/>
      <c r="C1197" s="2"/>
      <c r="D1197" s="2"/>
      <c r="E1197" s="2"/>
      <c r="F1197" s="2"/>
      <c r="G1197" s="2"/>
      <c r="H1197" s="1"/>
      <c r="I1197" s="2"/>
      <c r="J1197" s="2"/>
      <c r="K1197" s="2"/>
      <c r="L1197" s="2"/>
      <c r="M1197" s="2"/>
      <c r="N1197" s="2"/>
      <c r="O1197" s="2"/>
      <c r="P1197" s="2"/>
      <c r="Q1197" s="2"/>
      <c r="R1197" s="2"/>
      <c r="S1197" s="2"/>
      <c r="T1197" s="2"/>
      <c r="U1197" s="2"/>
      <c r="V1197" s="2"/>
      <c r="W1197" s="2"/>
      <c r="X1197" s="2"/>
      <c r="Y1197" s="2"/>
    </row>
    <row r="1198" spans="1:25" ht="17.399999999999999" x14ac:dyDescent="0.25">
      <c r="A1198" s="1"/>
      <c r="B1198" s="10"/>
      <c r="C1198" s="2"/>
      <c r="D1198" s="2"/>
      <c r="E1198" s="2"/>
      <c r="F1198" s="2"/>
      <c r="G1198" s="2"/>
      <c r="H1198" s="1"/>
      <c r="I1198" s="2"/>
      <c r="J1198" s="2"/>
      <c r="K1198" s="2"/>
      <c r="L1198" s="2"/>
      <c r="M1198" s="2"/>
      <c r="N1198" s="2"/>
      <c r="O1198" s="2"/>
      <c r="P1198" s="2"/>
      <c r="Q1198" s="2"/>
      <c r="R1198" s="2"/>
      <c r="S1198" s="2"/>
      <c r="T1198" s="2"/>
      <c r="U1198" s="2"/>
      <c r="V1198" s="2"/>
      <c r="W1198" s="2"/>
      <c r="X1198" s="2"/>
      <c r="Y1198" s="2"/>
    </row>
    <row r="1199" spans="1:25" ht="17.399999999999999" x14ac:dyDescent="0.25">
      <c r="A1199" s="1"/>
      <c r="B1199" s="10"/>
      <c r="C1199" s="2"/>
      <c r="D1199" s="2"/>
      <c r="E1199" s="2"/>
      <c r="F1199" s="2"/>
      <c r="G1199" s="2"/>
      <c r="H1199" s="1"/>
      <c r="I1199" s="2"/>
      <c r="J1199" s="2"/>
      <c r="K1199" s="2"/>
      <c r="L1199" s="2"/>
      <c r="M1199" s="2"/>
      <c r="N1199" s="2"/>
      <c r="O1199" s="2"/>
      <c r="P1199" s="2"/>
      <c r="Q1199" s="2"/>
      <c r="R1199" s="2"/>
      <c r="S1199" s="2"/>
      <c r="T1199" s="2"/>
      <c r="U1199" s="2"/>
      <c r="V1199" s="2"/>
      <c r="W1199" s="2"/>
      <c r="X1199" s="2"/>
      <c r="Y1199" s="2"/>
    </row>
    <row r="1200" spans="1:25" ht="17.399999999999999" x14ac:dyDescent="0.25">
      <c r="A1200" s="1"/>
      <c r="B1200" s="10"/>
      <c r="C1200" s="2"/>
      <c r="D1200" s="2"/>
      <c r="E1200" s="2"/>
      <c r="F1200" s="2"/>
      <c r="G1200" s="2"/>
      <c r="H1200" s="1"/>
      <c r="I1200" s="2"/>
      <c r="J1200" s="2"/>
      <c r="K1200" s="2"/>
      <c r="L1200" s="2"/>
      <c r="M1200" s="2"/>
      <c r="N1200" s="2"/>
      <c r="O1200" s="2"/>
      <c r="P1200" s="2"/>
      <c r="Q1200" s="2"/>
      <c r="R1200" s="2"/>
      <c r="S1200" s="2"/>
      <c r="T1200" s="2"/>
      <c r="U1200" s="2"/>
      <c r="V1200" s="2"/>
      <c r="W1200" s="2"/>
      <c r="X1200" s="2"/>
      <c r="Y1200" s="2"/>
    </row>
    <row r="1201" spans="1:25" ht="17.399999999999999" x14ac:dyDescent="0.25">
      <c r="A1201" s="1"/>
      <c r="B1201" s="10"/>
      <c r="C1201" s="2"/>
      <c r="D1201" s="2"/>
      <c r="E1201" s="2"/>
      <c r="F1201" s="2"/>
      <c r="G1201" s="2"/>
      <c r="H1201" s="1"/>
      <c r="I1201" s="2"/>
      <c r="J1201" s="2"/>
      <c r="K1201" s="2"/>
      <c r="L1201" s="2"/>
      <c r="M1201" s="2"/>
      <c r="N1201" s="2"/>
      <c r="O1201" s="2"/>
      <c r="P1201" s="2"/>
      <c r="Q1201" s="2"/>
      <c r="R1201" s="2"/>
      <c r="S1201" s="2"/>
      <c r="T1201" s="2"/>
      <c r="U1201" s="2"/>
      <c r="V1201" s="2"/>
      <c r="W1201" s="2"/>
      <c r="X1201" s="2"/>
      <c r="Y1201" s="2"/>
    </row>
    <row r="1202" spans="1:25" ht="17.399999999999999" x14ac:dyDescent="0.25">
      <c r="A1202" s="1"/>
      <c r="B1202" s="10"/>
      <c r="C1202" s="2"/>
      <c r="D1202" s="2"/>
      <c r="E1202" s="2"/>
      <c r="F1202" s="2"/>
      <c r="G1202" s="2"/>
      <c r="H1202" s="1"/>
      <c r="I1202" s="2"/>
      <c r="J1202" s="2"/>
      <c r="K1202" s="2"/>
      <c r="L1202" s="2"/>
      <c r="M1202" s="2"/>
      <c r="N1202" s="2"/>
      <c r="O1202" s="2"/>
      <c r="P1202" s="2"/>
      <c r="Q1202" s="2"/>
      <c r="R1202" s="2"/>
      <c r="S1202" s="2"/>
      <c r="T1202" s="2"/>
      <c r="U1202" s="2"/>
      <c r="V1202" s="2"/>
      <c r="W1202" s="2"/>
      <c r="X1202" s="2"/>
      <c r="Y1202" s="2"/>
    </row>
    <row r="1203" spans="1:25" ht="17.399999999999999" x14ac:dyDescent="0.25">
      <c r="A1203" s="1"/>
      <c r="B1203" s="10"/>
      <c r="C1203" s="2"/>
      <c r="D1203" s="2"/>
      <c r="E1203" s="2"/>
      <c r="F1203" s="2"/>
      <c r="G1203" s="2"/>
      <c r="H1203" s="1"/>
      <c r="I1203" s="2"/>
      <c r="J1203" s="2"/>
      <c r="K1203" s="2"/>
      <c r="L1203" s="2"/>
      <c r="M1203" s="2"/>
      <c r="N1203" s="2"/>
      <c r="O1203" s="2"/>
      <c r="P1203" s="2"/>
      <c r="Q1203" s="2"/>
      <c r="R1203" s="2"/>
      <c r="S1203" s="2"/>
      <c r="T1203" s="2"/>
      <c r="U1203" s="2"/>
      <c r="V1203" s="2"/>
      <c r="W1203" s="2"/>
      <c r="X1203" s="2"/>
      <c r="Y1203" s="2"/>
    </row>
    <row r="1204" spans="1:25" ht="17.399999999999999" x14ac:dyDescent="0.25">
      <c r="A1204" s="1"/>
      <c r="B1204" s="10"/>
      <c r="C1204" s="2"/>
      <c r="D1204" s="2"/>
      <c r="E1204" s="2"/>
      <c r="F1204" s="2"/>
      <c r="G1204" s="2"/>
      <c r="H1204" s="1"/>
      <c r="I1204" s="2"/>
      <c r="J1204" s="2"/>
      <c r="K1204" s="2"/>
      <c r="L1204" s="2"/>
      <c r="M1204" s="2"/>
      <c r="N1204" s="2"/>
      <c r="O1204" s="2"/>
      <c r="P1204" s="2"/>
      <c r="Q1204" s="2"/>
      <c r="R1204" s="2"/>
      <c r="S1204" s="2"/>
      <c r="T1204" s="2"/>
      <c r="U1204" s="2"/>
      <c r="V1204" s="2"/>
      <c r="W1204" s="2"/>
      <c r="X1204" s="2"/>
      <c r="Y1204" s="2"/>
    </row>
    <row r="1205" spans="1:25" ht="17.399999999999999" x14ac:dyDescent="0.25">
      <c r="A1205" s="1"/>
      <c r="B1205" s="10"/>
      <c r="C1205" s="2"/>
      <c r="D1205" s="2"/>
      <c r="E1205" s="2"/>
      <c r="F1205" s="2"/>
      <c r="G1205" s="2"/>
      <c r="H1205" s="1"/>
      <c r="I1205" s="2"/>
      <c r="J1205" s="2"/>
      <c r="K1205" s="2"/>
      <c r="L1205" s="2"/>
      <c r="M1205" s="2"/>
      <c r="N1205" s="2"/>
      <c r="O1205" s="2"/>
      <c r="P1205" s="2"/>
      <c r="Q1205" s="2"/>
      <c r="R1205" s="2"/>
      <c r="S1205" s="2"/>
      <c r="T1205" s="2"/>
      <c r="U1205" s="2"/>
      <c r="V1205" s="2"/>
      <c r="W1205" s="2"/>
      <c r="X1205" s="2"/>
      <c r="Y1205" s="2"/>
    </row>
    <row r="1206" spans="1:25" ht="17.399999999999999" x14ac:dyDescent="0.25">
      <c r="A1206" s="1"/>
      <c r="B1206" s="10"/>
      <c r="C1206" s="2"/>
      <c r="D1206" s="2"/>
      <c r="E1206" s="2"/>
      <c r="F1206" s="2"/>
      <c r="G1206" s="2"/>
      <c r="H1206" s="1"/>
      <c r="I1206" s="2"/>
      <c r="J1206" s="2"/>
      <c r="K1206" s="2"/>
      <c r="L1206" s="2"/>
      <c r="M1206" s="2"/>
      <c r="N1206" s="2"/>
      <c r="O1206" s="2"/>
      <c r="P1206" s="2"/>
      <c r="Q1206" s="2"/>
      <c r="R1206" s="2"/>
      <c r="S1206" s="2"/>
      <c r="T1206" s="2"/>
      <c r="U1206" s="2"/>
      <c r="V1206" s="2"/>
      <c r="W1206" s="2"/>
      <c r="X1206" s="2"/>
      <c r="Y1206" s="2"/>
    </row>
    <row r="1207" spans="1:25" ht="17.399999999999999" x14ac:dyDescent="0.25">
      <c r="A1207" s="1"/>
      <c r="B1207" s="10"/>
      <c r="C1207" s="2"/>
      <c r="D1207" s="2"/>
      <c r="E1207" s="2"/>
      <c r="F1207" s="2"/>
      <c r="G1207" s="2"/>
      <c r="H1207" s="1"/>
      <c r="I1207" s="2"/>
      <c r="J1207" s="2"/>
      <c r="K1207" s="2"/>
      <c r="L1207" s="2"/>
      <c r="M1207" s="2"/>
      <c r="N1207" s="2"/>
      <c r="O1207" s="2"/>
      <c r="P1207" s="2"/>
      <c r="Q1207" s="2"/>
      <c r="R1207" s="2"/>
      <c r="S1207" s="2"/>
      <c r="T1207" s="2"/>
      <c r="U1207" s="2"/>
      <c r="V1207" s="2"/>
      <c r="W1207" s="2"/>
      <c r="X1207" s="2"/>
      <c r="Y1207" s="2"/>
    </row>
    <row r="1208" spans="1:25" ht="17.399999999999999" x14ac:dyDescent="0.25">
      <c r="A1208" s="1"/>
      <c r="B1208" s="10"/>
      <c r="C1208" s="2"/>
      <c r="D1208" s="2"/>
      <c r="E1208" s="2"/>
      <c r="F1208" s="2"/>
      <c r="G1208" s="2"/>
      <c r="H1208" s="1"/>
      <c r="I1208" s="2"/>
      <c r="J1208" s="2"/>
      <c r="K1208" s="2"/>
      <c r="L1208" s="2"/>
      <c r="M1208" s="2"/>
      <c r="N1208" s="2"/>
      <c r="O1208" s="2"/>
      <c r="P1208" s="2"/>
      <c r="Q1208" s="2"/>
      <c r="R1208" s="2"/>
      <c r="S1208" s="2"/>
      <c r="T1208" s="2"/>
      <c r="U1208" s="2"/>
      <c r="V1208" s="2"/>
      <c r="W1208" s="2"/>
      <c r="X1208" s="2"/>
      <c r="Y1208" s="2"/>
    </row>
    <row r="1209" spans="1:25" ht="17.399999999999999" x14ac:dyDescent="0.25">
      <c r="A1209" s="1"/>
      <c r="B1209" s="10"/>
      <c r="C1209" s="2"/>
      <c r="D1209" s="2"/>
      <c r="E1209" s="2"/>
      <c r="F1209" s="2"/>
      <c r="G1209" s="2"/>
      <c r="H1209" s="1"/>
      <c r="I1209" s="2"/>
      <c r="J1209" s="2"/>
      <c r="K1209" s="2"/>
      <c r="L1209" s="2"/>
      <c r="M1209" s="2"/>
      <c r="N1209" s="2"/>
      <c r="O1209" s="2"/>
      <c r="P1209" s="2"/>
      <c r="Q1209" s="2"/>
      <c r="R1209" s="2"/>
      <c r="S1209" s="2"/>
      <c r="T1209" s="2"/>
      <c r="U1209" s="2"/>
      <c r="V1209" s="2"/>
      <c r="W1209" s="2"/>
      <c r="X1209" s="2"/>
      <c r="Y1209" s="2"/>
    </row>
    <row r="1210" spans="1:25" ht="17.399999999999999" x14ac:dyDescent="0.25">
      <c r="A1210" s="1"/>
      <c r="B1210" s="10"/>
      <c r="C1210" s="2"/>
      <c r="D1210" s="2"/>
      <c r="E1210" s="2"/>
      <c r="F1210" s="2"/>
      <c r="G1210" s="2"/>
      <c r="H1210" s="1"/>
      <c r="I1210" s="2"/>
      <c r="J1210" s="2"/>
      <c r="K1210" s="2"/>
      <c r="L1210" s="2"/>
      <c r="M1210" s="2"/>
      <c r="N1210" s="2"/>
      <c r="O1210" s="2"/>
      <c r="P1210" s="2"/>
      <c r="Q1210" s="2"/>
      <c r="R1210" s="2"/>
      <c r="S1210" s="2"/>
      <c r="T1210" s="2"/>
      <c r="U1210" s="2"/>
      <c r="V1210" s="2"/>
      <c r="W1210" s="2"/>
      <c r="X1210" s="2"/>
      <c r="Y1210" s="2"/>
    </row>
    <row r="1211" spans="1:25" ht="17.399999999999999" x14ac:dyDescent="0.25">
      <c r="A1211" s="1"/>
      <c r="B1211" s="10"/>
      <c r="C1211" s="2"/>
      <c r="D1211" s="2"/>
      <c r="E1211" s="2"/>
      <c r="F1211" s="2"/>
      <c r="G1211" s="2"/>
      <c r="H1211" s="1"/>
      <c r="I1211" s="2"/>
      <c r="J1211" s="2"/>
      <c r="K1211" s="2"/>
      <c r="L1211" s="2"/>
      <c r="M1211" s="2"/>
      <c r="N1211" s="2"/>
      <c r="O1211" s="2"/>
      <c r="P1211" s="2"/>
      <c r="Q1211" s="2"/>
      <c r="R1211" s="2"/>
      <c r="S1211" s="2"/>
      <c r="T1211" s="2"/>
      <c r="U1211" s="2"/>
      <c r="V1211" s="2"/>
      <c r="W1211" s="2"/>
      <c r="X1211" s="2"/>
      <c r="Y1211" s="2"/>
    </row>
    <row r="1212" spans="1:25" ht="17.399999999999999" x14ac:dyDescent="0.25">
      <c r="A1212" s="1"/>
      <c r="B1212" s="10"/>
      <c r="C1212" s="2"/>
      <c r="D1212" s="2"/>
      <c r="E1212" s="2"/>
      <c r="F1212" s="2"/>
      <c r="G1212" s="2"/>
      <c r="H1212" s="1"/>
      <c r="I1212" s="2"/>
      <c r="J1212" s="2"/>
      <c r="K1212" s="2"/>
      <c r="L1212" s="2"/>
      <c r="M1212" s="2"/>
      <c r="N1212" s="2"/>
      <c r="O1212" s="2"/>
      <c r="P1212" s="2"/>
      <c r="Q1212" s="2"/>
      <c r="R1212" s="2"/>
      <c r="S1212" s="2"/>
      <c r="T1212" s="2"/>
      <c r="U1212" s="2"/>
      <c r="V1212" s="2"/>
      <c r="W1212" s="2"/>
      <c r="X1212" s="2"/>
      <c r="Y1212" s="2"/>
    </row>
    <row r="1213" spans="1:25" ht="17.399999999999999" x14ac:dyDescent="0.25">
      <c r="A1213" s="1"/>
      <c r="B1213" s="10"/>
      <c r="C1213" s="2"/>
      <c r="D1213" s="2"/>
      <c r="E1213" s="2"/>
      <c r="F1213" s="2"/>
      <c r="G1213" s="2"/>
      <c r="H1213" s="1"/>
      <c r="I1213" s="2"/>
      <c r="J1213" s="2"/>
      <c r="K1213" s="2"/>
      <c r="L1213" s="2"/>
      <c r="M1213" s="2"/>
      <c r="N1213" s="2"/>
      <c r="O1213" s="2"/>
      <c r="P1213" s="2"/>
      <c r="Q1213" s="2"/>
      <c r="R1213" s="2"/>
      <c r="S1213" s="2"/>
      <c r="T1213" s="2"/>
      <c r="U1213" s="2"/>
      <c r="V1213" s="2"/>
      <c r="W1213" s="2"/>
      <c r="X1213" s="2"/>
      <c r="Y1213" s="2"/>
    </row>
    <row r="1214" spans="1:25" ht="17.399999999999999" x14ac:dyDescent="0.25">
      <c r="A1214" s="1"/>
      <c r="B1214" s="10"/>
      <c r="C1214" s="2"/>
      <c r="D1214" s="2"/>
      <c r="E1214" s="2"/>
      <c r="F1214" s="2"/>
      <c r="G1214" s="2"/>
      <c r="H1214" s="1"/>
      <c r="I1214" s="2"/>
      <c r="J1214" s="2"/>
      <c r="K1214" s="2"/>
      <c r="L1214" s="2"/>
      <c r="M1214" s="2"/>
      <c r="N1214" s="2"/>
      <c r="O1214" s="2"/>
      <c r="P1214" s="2"/>
      <c r="Q1214" s="2"/>
      <c r="R1214" s="2"/>
      <c r="S1214" s="2"/>
      <c r="T1214" s="2"/>
      <c r="U1214" s="2"/>
      <c r="V1214" s="2"/>
      <c r="W1214" s="2"/>
      <c r="X1214" s="2"/>
      <c r="Y1214" s="2"/>
    </row>
    <row r="1215" spans="1:25" ht="17.399999999999999" x14ac:dyDescent="0.25">
      <c r="A1215" s="1"/>
      <c r="B1215" s="10"/>
      <c r="C1215" s="2"/>
      <c r="D1215" s="2"/>
      <c r="E1215" s="2"/>
      <c r="F1215" s="2"/>
      <c r="G1215" s="2"/>
      <c r="H1215" s="1"/>
      <c r="I1215" s="2"/>
      <c r="J1215" s="2"/>
      <c r="K1215" s="2"/>
      <c r="L1215" s="2"/>
      <c r="M1215" s="2"/>
      <c r="N1215" s="2"/>
      <c r="O1215" s="2"/>
      <c r="P1215" s="2"/>
      <c r="Q1215" s="2"/>
      <c r="R1215" s="2"/>
      <c r="S1215" s="2"/>
      <c r="T1215" s="2"/>
      <c r="U1215" s="2"/>
      <c r="V1215" s="2"/>
      <c r="W1215" s="2"/>
      <c r="X1215" s="2"/>
      <c r="Y1215" s="2"/>
    </row>
    <row r="1216" spans="1:25" ht="17.399999999999999" x14ac:dyDescent="0.25">
      <c r="A1216" s="1"/>
      <c r="B1216" s="10"/>
      <c r="C1216" s="2"/>
      <c r="D1216" s="2"/>
      <c r="E1216" s="2"/>
      <c r="F1216" s="2"/>
      <c r="G1216" s="2"/>
      <c r="H1216" s="1"/>
      <c r="I1216" s="2"/>
      <c r="J1216" s="2"/>
      <c r="K1216" s="2"/>
      <c r="L1216" s="2"/>
      <c r="M1216" s="2"/>
      <c r="N1216" s="2"/>
      <c r="O1216" s="2"/>
      <c r="P1216" s="2"/>
      <c r="Q1216" s="2"/>
      <c r="R1216" s="2"/>
      <c r="S1216" s="2"/>
      <c r="T1216" s="2"/>
      <c r="U1216" s="2"/>
      <c r="V1216" s="2"/>
      <c r="W1216" s="2"/>
      <c r="X1216" s="2"/>
      <c r="Y1216" s="2"/>
    </row>
    <row r="1217" spans="1:25" ht="17.399999999999999" x14ac:dyDescent="0.25">
      <c r="A1217" s="1"/>
      <c r="B1217" s="10"/>
      <c r="C1217" s="2"/>
      <c r="D1217" s="2"/>
      <c r="E1217" s="2"/>
      <c r="F1217" s="2"/>
      <c r="G1217" s="2"/>
      <c r="H1217" s="1"/>
      <c r="I1217" s="2"/>
      <c r="J1217" s="2"/>
      <c r="K1217" s="2"/>
      <c r="L1217" s="2"/>
      <c r="M1217" s="2"/>
      <c r="N1217" s="2"/>
      <c r="O1217" s="2"/>
      <c r="P1217" s="2"/>
      <c r="Q1217" s="2"/>
      <c r="R1217" s="2"/>
      <c r="S1217" s="2"/>
      <c r="T1217" s="2"/>
      <c r="U1217" s="2"/>
      <c r="V1217" s="2"/>
      <c r="W1217" s="2"/>
      <c r="X1217" s="2"/>
      <c r="Y1217" s="2"/>
    </row>
    <row r="1218" spans="1:25" ht="17.399999999999999" x14ac:dyDescent="0.25">
      <c r="A1218" s="1"/>
      <c r="B1218" s="10"/>
      <c r="C1218" s="2"/>
      <c r="D1218" s="2"/>
      <c r="E1218" s="2"/>
      <c r="F1218" s="2"/>
      <c r="G1218" s="2"/>
      <c r="H1218" s="1"/>
      <c r="I1218" s="2"/>
      <c r="J1218" s="2"/>
      <c r="K1218" s="2"/>
      <c r="L1218" s="2"/>
      <c r="M1218" s="2"/>
      <c r="N1218" s="2"/>
      <c r="O1218" s="2"/>
      <c r="P1218" s="2"/>
      <c r="Q1218" s="2"/>
      <c r="R1218" s="2"/>
      <c r="S1218" s="2"/>
      <c r="T1218" s="2"/>
      <c r="U1218" s="2"/>
      <c r="V1218" s="2"/>
      <c r="W1218" s="2"/>
      <c r="X1218" s="2"/>
      <c r="Y1218" s="2"/>
    </row>
    <row r="1219" spans="1:25" ht="17.399999999999999" x14ac:dyDescent="0.25">
      <c r="A1219" s="1"/>
      <c r="B1219" s="10"/>
      <c r="C1219" s="2"/>
      <c r="D1219" s="2"/>
      <c r="E1219" s="2"/>
      <c r="F1219" s="2"/>
      <c r="G1219" s="2"/>
      <c r="H1219" s="1"/>
      <c r="I1219" s="2"/>
      <c r="J1219" s="2"/>
      <c r="K1219" s="2"/>
      <c r="L1219" s="2"/>
      <c r="M1219" s="2"/>
      <c r="N1219" s="2"/>
      <c r="O1219" s="2"/>
      <c r="P1219" s="2"/>
      <c r="Q1219" s="2"/>
      <c r="R1219" s="2"/>
      <c r="S1219" s="2"/>
      <c r="T1219" s="2"/>
      <c r="U1219" s="2"/>
      <c r="V1219" s="2"/>
      <c r="W1219" s="2"/>
      <c r="X1219" s="2"/>
      <c r="Y1219" s="2"/>
    </row>
    <row r="1220" spans="1:25" ht="17.399999999999999" x14ac:dyDescent="0.25">
      <c r="A1220" s="1"/>
      <c r="B1220" s="10"/>
      <c r="C1220" s="2"/>
      <c r="D1220" s="2"/>
      <c r="E1220" s="2"/>
      <c r="F1220" s="2"/>
      <c r="G1220" s="2"/>
      <c r="H1220" s="1"/>
      <c r="I1220" s="2"/>
      <c r="J1220" s="2"/>
      <c r="K1220" s="2"/>
      <c r="L1220" s="2"/>
      <c r="M1220" s="2"/>
      <c r="N1220" s="2"/>
      <c r="O1220" s="2"/>
      <c r="P1220" s="2"/>
      <c r="Q1220" s="2"/>
      <c r="R1220" s="2"/>
      <c r="S1220" s="2"/>
      <c r="T1220" s="2"/>
      <c r="U1220" s="2"/>
      <c r="V1220" s="2"/>
      <c r="W1220" s="2"/>
      <c r="X1220" s="2"/>
      <c r="Y1220" s="2"/>
    </row>
    <row r="1221" spans="1:25" ht="17.399999999999999" x14ac:dyDescent="0.25">
      <c r="A1221" s="1"/>
      <c r="B1221" s="10"/>
      <c r="C1221" s="2"/>
      <c r="D1221" s="2"/>
      <c r="E1221" s="2"/>
      <c r="F1221" s="2"/>
      <c r="G1221" s="2"/>
      <c r="H1221" s="1"/>
      <c r="I1221" s="2"/>
      <c r="J1221" s="2"/>
      <c r="K1221" s="2"/>
      <c r="L1221" s="2"/>
      <c r="M1221" s="2"/>
      <c r="N1221" s="2"/>
      <c r="O1221" s="2"/>
      <c r="P1221" s="2"/>
      <c r="Q1221" s="2"/>
      <c r="R1221" s="2"/>
      <c r="S1221" s="2"/>
      <c r="T1221" s="2"/>
      <c r="U1221" s="2"/>
      <c r="V1221" s="2"/>
      <c r="W1221" s="2"/>
      <c r="X1221" s="2"/>
      <c r="Y1221" s="2"/>
    </row>
    <row r="1222" spans="1:25" ht="17.399999999999999" x14ac:dyDescent="0.25">
      <c r="A1222" s="1"/>
      <c r="B1222" s="10"/>
      <c r="C1222" s="2"/>
      <c r="D1222" s="2"/>
      <c r="E1222" s="2"/>
      <c r="F1222" s="2"/>
      <c r="G1222" s="2"/>
      <c r="H1222" s="1"/>
      <c r="I1222" s="2"/>
      <c r="J1222" s="2"/>
      <c r="K1222" s="2"/>
      <c r="L1222" s="2"/>
      <c r="M1222" s="2"/>
      <c r="N1222" s="2"/>
      <c r="O1222" s="2"/>
      <c r="P1222" s="2"/>
      <c r="Q1222" s="2"/>
      <c r="R1222" s="2"/>
      <c r="S1222" s="2"/>
      <c r="T1222" s="2"/>
      <c r="U1222" s="2"/>
      <c r="V1222" s="2"/>
      <c r="W1222" s="2"/>
      <c r="X1222" s="2"/>
      <c r="Y1222" s="2"/>
    </row>
    <row r="1223" spans="1:25" ht="17.399999999999999" x14ac:dyDescent="0.25">
      <c r="A1223" s="1"/>
      <c r="B1223" s="10"/>
      <c r="C1223" s="2"/>
      <c r="D1223" s="2"/>
      <c r="E1223" s="2"/>
      <c r="F1223" s="2"/>
      <c r="G1223" s="2"/>
      <c r="H1223" s="1"/>
      <c r="I1223" s="2"/>
      <c r="J1223" s="2"/>
      <c r="K1223" s="2"/>
      <c r="L1223" s="2"/>
      <c r="M1223" s="2"/>
      <c r="N1223" s="2"/>
      <c r="O1223" s="2"/>
      <c r="P1223" s="2"/>
      <c r="Q1223" s="2"/>
      <c r="R1223" s="2"/>
      <c r="S1223" s="2"/>
      <c r="T1223" s="2"/>
      <c r="U1223" s="2"/>
      <c r="V1223" s="2"/>
      <c r="W1223" s="2"/>
      <c r="X1223" s="2"/>
      <c r="Y1223" s="2"/>
    </row>
    <row r="1224" spans="1:25" ht="17.399999999999999" x14ac:dyDescent="0.25">
      <c r="A1224" s="1"/>
      <c r="B1224" s="10"/>
      <c r="C1224" s="2"/>
      <c r="D1224" s="2"/>
      <c r="E1224" s="2"/>
      <c r="F1224" s="2"/>
      <c r="G1224" s="2"/>
      <c r="H1224" s="1"/>
      <c r="I1224" s="2"/>
      <c r="J1224" s="2"/>
      <c r="K1224" s="2"/>
      <c r="L1224" s="2"/>
      <c r="M1224" s="2"/>
      <c r="N1224" s="2"/>
      <c r="O1224" s="2"/>
      <c r="P1224" s="2"/>
      <c r="Q1224" s="2"/>
      <c r="R1224" s="2"/>
      <c r="S1224" s="2"/>
      <c r="T1224" s="2"/>
      <c r="U1224" s="2"/>
      <c r="V1224" s="2"/>
      <c r="W1224" s="2"/>
      <c r="X1224" s="2"/>
      <c r="Y1224" s="2"/>
    </row>
    <row r="1225" spans="1:25" ht="17.399999999999999" x14ac:dyDescent="0.25">
      <c r="A1225" s="1"/>
      <c r="B1225" s="10"/>
      <c r="C1225" s="2"/>
      <c r="D1225" s="2"/>
      <c r="E1225" s="2"/>
      <c r="F1225" s="2"/>
      <c r="G1225" s="2"/>
      <c r="H1225" s="1"/>
      <c r="I1225" s="2"/>
      <c r="J1225" s="2"/>
      <c r="K1225" s="2"/>
      <c r="L1225" s="2"/>
      <c r="M1225" s="2"/>
      <c r="N1225" s="2"/>
      <c r="O1225" s="2"/>
      <c r="P1225" s="2"/>
      <c r="Q1225" s="2"/>
      <c r="R1225" s="2"/>
      <c r="S1225" s="2"/>
      <c r="T1225" s="2"/>
      <c r="U1225" s="2"/>
      <c r="V1225" s="2"/>
      <c r="W1225" s="2"/>
      <c r="X1225" s="2"/>
      <c r="Y1225" s="2"/>
    </row>
    <row r="1226" spans="1:25" ht="17.399999999999999" x14ac:dyDescent="0.25">
      <c r="A1226" s="1"/>
      <c r="B1226" s="10"/>
      <c r="C1226" s="2"/>
      <c r="D1226" s="2"/>
      <c r="E1226" s="2"/>
      <c r="F1226" s="2"/>
      <c r="G1226" s="2"/>
      <c r="H1226" s="1"/>
      <c r="I1226" s="2"/>
      <c r="J1226" s="2"/>
      <c r="K1226" s="2"/>
      <c r="L1226" s="2"/>
      <c r="M1226" s="2"/>
      <c r="N1226" s="2"/>
      <c r="O1226" s="2"/>
      <c r="P1226" s="2"/>
      <c r="Q1226" s="2"/>
      <c r="R1226" s="2"/>
      <c r="S1226" s="2"/>
      <c r="T1226" s="2"/>
      <c r="U1226" s="2"/>
      <c r="V1226" s="2"/>
      <c r="W1226" s="2"/>
      <c r="X1226" s="2"/>
      <c r="Y1226" s="2"/>
    </row>
    <row r="1227" spans="1:25" ht="17.399999999999999" x14ac:dyDescent="0.25">
      <c r="A1227" s="1"/>
      <c r="B1227" s="10"/>
      <c r="C1227" s="2"/>
      <c r="D1227" s="2"/>
      <c r="E1227" s="2"/>
      <c r="F1227" s="2"/>
      <c r="G1227" s="2"/>
      <c r="H1227" s="1"/>
      <c r="I1227" s="2"/>
      <c r="J1227" s="2"/>
      <c r="K1227" s="2"/>
      <c r="L1227" s="2"/>
      <c r="M1227" s="2"/>
      <c r="N1227" s="2"/>
      <c r="O1227" s="2"/>
      <c r="P1227" s="2"/>
      <c r="Q1227" s="2"/>
      <c r="R1227" s="2"/>
      <c r="S1227" s="2"/>
      <c r="T1227" s="2"/>
      <c r="U1227" s="2"/>
      <c r="V1227" s="2"/>
      <c r="W1227" s="2"/>
      <c r="X1227" s="2"/>
      <c r="Y1227" s="2"/>
    </row>
    <row r="1228" spans="1:25" ht="17.399999999999999" x14ac:dyDescent="0.25">
      <c r="A1228" s="1"/>
      <c r="B1228" s="10"/>
      <c r="C1228" s="2"/>
      <c r="D1228" s="2"/>
      <c r="E1228" s="2"/>
      <c r="F1228" s="2"/>
      <c r="G1228" s="2"/>
      <c r="H1228" s="1"/>
      <c r="I1228" s="2"/>
      <c r="J1228" s="2"/>
      <c r="K1228" s="2"/>
      <c r="L1228" s="2"/>
      <c r="M1228" s="2"/>
      <c r="N1228" s="2"/>
      <c r="O1228" s="2"/>
      <c r="P1228" s="2"/>
      <c r="Q1228" s="2"/>
      <c r="R1228" s="2"/>
      <c r="S1228" s="2"/>
      <c r="T1228" s="2"/>
      <c r="U1228" s="2"/>
      <c r="V1228" s="2"/>
      <c r="W1228" s="2"/>
      <c r="X1228" s="2"/>
      <c r="Y1228" s="2"/>
    </row>
    <row r="1229" spans="1:25" ht="17.399999999999999" x14ac:dyDescent="0.25">
      <c r="A1229" s="1"/>
      <c r="B1229" s="10"/>
      <c r="C1229" s="2"/>
      <c r="D1229" s="2"/>
      <c r="E1229" s="2"/>
      <c r="F1229" s="2"/>
      <c r="G1229" s="2"/>
      <c r="H1229" s="1"/>
      <c r="I1229" s="2"/>
      <c r="J1229" s="2"/>
      <c r="K1229" s="2"/>
      <c r="L1229" s="2"/>
      <c r="M1229" s="2"/>
      <c r="N1229" s="2"/>
      <c r="O1229" s="2"/>
      <c r="P1229" s="2"/>
      <c r="Q1229" s="2"/>
      <c r="R1229" s="2"/>
      <c r="S1229" s="2"/>
      <c r="T1229" s="2"/>
      <c r="U1229" s="2"/>
      <c r="V1229" s="2"/>
      <c r="W1229" s="2"/>
      <c r="X1229" s="2"/>
      <c r="Y1229" s="2"/>
    </row>
    <row r="1230" spans="1:25" ht="17.399999999999999" x14ac:dyDescent="0.25">
      <c r="A1230" s="1"/>
      <c r="B1230" s="10"/>
      <c r="C1230" s="2"/>
      <c r="D1230" s="2"/>
      <c r="E1230" s="2"/>
      <c r="F1230" s="2"/>
      <c r="G1230" s="2"/>
      <c r="H1230" s="1"/>
      <c r="I1230" s="2"/>
      <c r="J1230" s="2"/>
      <c r="K1230" s="2"/>
      <c r="L1230" s="2"/>
      <c r="M1230" s="2"/>
      <c r="N1230" s="2"/>
      <c r="O1230" s="2"/>
      <c r="P1230" s="2"/>
      <c r="Q1230" s="2"/>
      <c r="R1230" s="2"/>
      <c r="S1230" s="2"/>
      <c r="T1230" s="2"/>
      <c r="U1230" s="2"/>
      <c r="V1230" s="2"/>
      <c r="W1230" s="2"/>
      <c r="X1230" s="2"/>
      <c r="Y1230" s="2"/>
    </row>
    <row r="1231" spans="1:25" ht="17.399999999999999" x14ac:dyDescent="0.25">
      <c r="A1231" s="1"/>
      <c r="B1231" s="10"/>
      <c r="C1231" s="2"/>
      <c r="D1231" s="2"/>
      <c r="E1231" s="2"/>
      <c r="F1231" s="2"/>
      <c r="G1231" s="2"/>
      <c r="H1231" s="1"/>
      <c r="I1231" s="2"/>
      <c r="J1231" s="2"/>
      <c r="K1231" s="2"/>
      <c r="L1231" s="2"/>
      <c r="M1231" s="2"/>
      <c r="N1231" s="2"/>
      <c r="O1231" s="2"/>
      <c r="P1231" s="2"/>
      <c r="Q1231" s="2"/>
      <c r="R1231" s="2"/>
      <c r="S1231" s="2"/>
      <c r="T1231" s="2"/>
      <c r="U1231" s="2"/>
      <c r="V1231" s="2"/>
      <c r="W1231" s="2"/>
      <c r="X1231" s="2"/>
      <c r="Y1231" s="2"/>
    </row>
    <row r="1232" spans="1:25" ht="17.399999999999999" x14ac:dyDescent="0.25">
      <c r="A1232" s="1"/>
      <c r="B1232" s="10"/>
      <c r="C1232" s="2"/>
      <c r="D1232" s="2"/>
      <c r="E1232" s="2"/>
      <c r="F1232" s="2"/>
      <c r="G1232" s="2"/>
      <c r="H1232" s="1"/>
      <c r="I1232" s="2"/>
      <c r="J1232" s="2"/>
      <c r="K1232" s="2"/>
      <c r="L1232" s="2"/>
      <c r="M1232" s="2"/>
      <c r="N1232" s="2"/>
      <c r="O1232" s="2"/>
      <c r="P1232" s="2"/>
      <c r="Q1232" s="2"/>
      <c r="R1232" s="2"/>
      <c r="S1232" s="2"/>
      <c r="T1232" s="2"/>
      <c r="U1232" s="2"/>
      <c r="V1232" s="2"/>
      <c r="W1232" s="2"/>
      <c r="X1232" s="2"/>
      <c r="Y1232" s="2"/>
    </row>
    <row r="1233" spans="1:25" ht="17.399999999999999" x14ac:dyDescent="0.25">
      <c r="A1233" s="1"/>
      <c r="B1233" s="10"/>
      <c r="C1233" s="2"/>
      <c r="D1233" s="2"/>
      <c r="E1233" s="2"/>
      <c r="F1233" s="2"/>
      <c r="G1233" s="2"/>
      <c r="H1233" s="1"/>
      <c r="I1233" s="2"/>
      <c r="J1233" s="2"/>
      <c r="K1233" s="2"/>
      <c r="L1233" s="2"/>
      <c r="M1233" s="2"/>
      <c r="N1233" s="2"/>
      <c r="O1233" s="2"/>
      <c r="P1233" s="2"/>
      <c r="Q1233" s="2"/>
      <c r="R1233" s="2"/>
      <c r="S1233" s="2"/>
      <c r="T1233" s="2"/>
      <c r="U1233" s="2"/>
      <c r="V1233" s="2"/>
      <c r="W1233" s="2"/>
      <c r="X1233" s="2"/>
      <c r="Y1233" s="2"/>
    </row>
    <row r="1234" spans="1:25" ht="17.399999999999999" x14ac:dyDescent="0.25">
      <c r="A1234" s="1"/>
      <c r="B1234" s="10"/>
      <c r="C1234" s="2"/>
      <c r="D1234" s="2"/>
      <c r="E1234" s="2"/>
      <c r="F1234" s="2"/>
      <c r="G1234" s="2"/>
      <c r="H1234" s="1"/>
      <c r="I1234" s="2"/>
      <c r="J1234" s="2"/>
      <c r="K1234" s="2"/>
      <c r="L1234" s="2"/>
      <c r="M1234" s="2"/>
      <c r="N1234" s="2"/>
      <c r="O1234" s="2"/>
      <c r="P1234" s="2"/>
      <c r="Q1234" s="2"/>
      <c r="R1234" s="2"/>
      <c r="S1234" s="2"/>
      <c r="T1234" s="2"/>
      <c r="U1234" s="2"/>
      <c r="V1234" s="2"/>
      <c r="W1234" s="2"/>
      <c r="X1234" s="2"/>
      <c r="Y1234" s="2"/>
    </row>
    <row r="1235" spans="1:25" ht="17.399999999999999" x14ac:dyDescent="0.25">
      <c r="A1235" s="1"/>
      <c r="B1235" s="10"/>
      <c r="C1235" s="2"/>
      <c r="D1235" s="2"/>
      <c r="E1235" s="2"/>
      <c r="F1235" s="2"/>
      <c r="G1235" s="2"/>
      <c r="H1235" s="1"/>
      <c r="I1235" s="2"/>
      <c r="J1235" s="2"/>
      <c r="K1235" s="2"/>
      <c r="L1235" s="2"/>
      <c r="M1235" s="2"/>
      <c r="N1235" s="2"/>
      <c r="O1235" s="2"/>
      <c r="P1235" s="2"/>
      <c r="Q1235" s="2"/>
      <c r="R1235" s="2"/>
      <c r="S1235" s="2"/>
      <c r="T1235" s="2"/>
      <c r="U1235" s="2"/>
      <c r="V1235" s="2"/>
      <c r="W1235" s="2"/>
      <c r="X1235" s="2"/>
      <c r="Y1235" s="2"/>
    </row>
    <row r="1236" spans="1:25" ht="17.399999999999999" x14ac:dyDescent="0.25">
      <c r="A1236" s="1"/>
      <c r="B1236" s="10"/>
      <c r="C1236" s="2"/>
      <c r="D1236" s="2"/>
      <c r="E1236" s="2"/>
      <c r="F1236" s="2"/>
      <c r="G1236" s="2"/>
      <c r="H1236" s="1"/>
      <c r="I1236" s="2"/>
      <c r="J1236" s="2"/>
      <c r="K1236" s="2"/>
      <c r="L1236" s="2"/>
      <c r="M1236" s="2"/>
      <c r="N1236" s="2"/>
      <c r="O1236" s="2"/>
      <c r="P1236" s="2"/>
      <c r="Q1236" s="2"/>
      <c r="R1236" s="2"/>
      <c r="S1236" s="2"/>
      <c r="T1236" s="2"/>
      <c r="U1236" s="2"/>
      <c r="V1236" s="2"/>
      <c r="W1236" s="2"/>
      <c r="X1236" s="2"/>
      <c r="Y1236" s="2"/>
    </row>
    <row r="1237" spans="1:25" ht="17.399999999999999" x14ac:dyDescent="0.25">
      <c r="A1237" s="1"/>
      <c r="B1237" s="10"/>
      <c r="C1237" s="2"/>
      <c r="D1237" s="2"/>
      <c r="E1237" s="2"/>
      <c r="F1237" s="2"/>
      <c r="G1237" s="2"/>
      <c r="H1237" s="1"/>
      <c r="I1237" s="2"/>
      <c r="J1237" s="2"/>
      <c r="K1237" s="2"/>
      <c r="L1237" s="2"/>
      <c r="M1237" s="2"/>
      <c r="N1237" s="2"/>
      <c r="O1237" s="2"/>
      <c r="P1237" s="2"/>
      <c r="Q1237" s="2"/>
      <c r="R1237" s="2"/>
      <c r="S1237" s="2"/>
      <c r="T1237" s="2"/>
      <c r="U1237" s="2"/>
      <c r="V1237" s="2"/>
      <c r="W1237" s="2"/>
      <c r="X1237" s="2"/>
      <c r="Y1237" s="2"/>
    </row>
    <row r="1238" spans="1:25" ht="17.399999999999999" x14ac:dyDescent="0.25">
      <c r="A1238" s="1"/>
      <c r="B1238" s="10"/>
      <c r="C1238" s="2"/>
      <c r="D1238" s="2"/>
      <c r="E1238" s="2"/>
      <c r="F1238" s="2"/>
      <c r="G1238" s="2"/>
      <c r="H1238" s="1"/>
      <c r="I1238" s="2"/>
      <c r="J1238" s="2"/>
      <c r="K1238" s="2"/>
      <c r="L1238" s="2"/>
      <c r="M1238" s="2"/>
      <c r="N1238" s="2"/>
      <c r="O1238" s="2"/>
      <c r="P1238" s="2"/>
      <c r="Q1238" s="2"/>
      <c r="R1238" s="2"/>
      <c r="S1238" s="2"/>
      <c r="T1238" s="2"/>
      <c r="U1238" s="2"/>
      <c r="V1238" s="2"/>
      <c r="W1238" s="2"/>
      <c r="X1238" s="2"/>
      <c r="Y1238" s="2"/>
    </row>
    <row r="1239" spans="1:25" ht="17.399999999999999" x14ac:dyDescent="0.25">
      <c r="A1239" s="1"/>
      <c r="B1239" s="10"/>
      <c r="C1239" s="2"/>
      <c r="D1239" s="2"/>
      <c r="E1239" s="2"/>
      <c r="F1239" s="2"/>
      <c r="G1239" s="2"/>
      <c r="H1239" s="1"/>
      <c r="I1239" s="2"/>
      <c r="J1239" s="2"/>
      <c r="K1239" s="2"/>
      <c r="L1239" s="2"/>
      <c r="M1239" s="2"/>
      <c r="N1239" s="2"/>
      <c r="O1239" s="2"/>
      <c r="P1239" s="2"/>
      <c r="Q1239" s="2"/>
      <c r="R1239" s="2"/>
      <c r="S1239" s="2"/>
      <c r="T1239" s="2"/>
      <c r="U1239" s="2"/>
      <c r="V1239" s="2"/>
      <c r="W1239" s="2"/>
      <c r="X1239" s="2"/>
      <c r="Y1239" s="2"/>
    </row>
    <row r="1240" spans="1:25" ht="17.399999999999999" x14ac:dyDescent="0.25">
      <c r="A1240" s="1"/>
      <c r="B1240" s="10"/>
      <c r="C1240" s="2"/>
      <c r="D1240" s="2"/>
      <c r="E1240" s="2"/>
      <c r="F1240" s="2"/>
      <c r="G1240" s="2"/>
      <c r="H1240" s="1"/>
      <c r="I1240" s="2"/>
      <c r="J1240" s="2"/>
      <c r="K1240" s="2"/>
      <c r="L1240" s="2"/>
      <c r="M1240" s="2"/>
      <c r="N1240" s="2"/>
      <c r="O1240" s="2"/>
      <c r="P1240" s="2"/>
      <c r="Q1240" s="2"/>
      <c r="R1240" s="2"/>
      <c r="S1240" s="2"/>
      <c r="T1240" s="2"/>
      <c r="U1240" s="2"/>
      <c r="V1240" s="2"/>
      <c r="W1240" s="2"/>
      <c r="X1240" s="2"/>
      <c r="Y1240" s="2"/>
    </row>
    <row r="1241" spans="1:25" ht="17.399999999999999" x14ac:dyDescent="0.25">
      <c r="A1241" s="1"/>
      <c r="B1241" s="10"/>
      <c r="C1241" s="2"/>
      <c r="D1241" s="2"/>
      <c r="E1241" s="2"/>
      <c r="F1241" s="2"/>
      <c r="G1241" s="2"/>
      <c r="H1241" s="1"/>
      <c r="I1241" s="2"/>
      <c r="J1241" s="2"/>
      <c r="K1241" s="2"/>
      <c r="L1241" s="2"/>
      <c r="M1241" s="2"/>
      <c r="N1241" s="2"/>
      <c r="O1241" s="2"/>
      <c r="P1241" s="2"/>
      <c r="Q1241" s="2"/>
      <c r="R1241" s="2"/>
      <c r="S1241" s="2"/>
      <c r="T1241" s="2"/>
      <c r="U1241" s="2"/>
      <c r="V1241" s="2"/>
      <c r="W1241" s="2"/>
      <c r="X1241" s="2"/>
      <c r="Y1241" s="2"/>
    </row>
    <row r="1242" spans="1:25" ht="17.399999999999999" x14ac:dyDescent="0.25">
      <c r="A1242" s="1"/>
      <c r="B1242" s="10"/>
      <c r="C1242" s="2"/>
      <c r="D1242" s="2"/>
      <c r="E1242" s="2"/>
      <c r="F1242" s="2"/>
      <c r="G1242" s="2"/>
      <c r="H1242" s="1"/>
      <c r="I1242" s="2"/>
      <c r="J1242" s="2"/>
      <c r="K1242" s="2"/>
      <c r="L1242" s="2"/>
      <c r="M1242" s="2"/>
      <c r="N1242" s="2"/>
      <c r="O1242" s="2"/>
      <c r="P1242" s="2"/>
      <c r="Q1242" s="2"/>
      <c r="R1242" s="2"/>
      <c r="S1242" s="2"/>
      <c r="T1242" s="2"/>
      <c r="U1242" s="2"/>
      <c r="V1242" s="2"/>
      <c r="W1242" s="2"/>
      <c r="X1242" s="2"/>
      <c r="Y1242" s="2"/>
    </row>
    <row r="1243" spans="1:25" ht="17.399999999999999" x14ac:dyDescent="0.25">
      <c r="A1243" s="1"/>
      <c r="B1243" s="10"/>
      <c r="C1243" s="2"/>
      <c r="D1243" s="2"/>
      <c r="E1243" s="2"/>
      <c r="F1243" s="2"/>
      <c r="G1243" s="2"/>
      <c r="H1243" s="1"/>
      <c r="I1243" s="2"/>
      <c r="J1243" s="2"/>
      <c r="K1243" s="2"/>
      <c r="L1243" s="2"/>
      <c r="M1243" s="2"/>
      <c r="N1243" s="2"/>
      <c r="O1243" s="2"/>
      <c r="P1243" s="2"/>
      <c r="Q1243" s="2"/>
      <c r="R1243" s="2"/>
      <c r="S1243" s="2"/>
      <c r="T1243" s="2"/>
      <c r="U1243" s="2"/>
      <c r="V1243" s="2"/>
      <c r="W1243" s="2"/>
      <c r="X1243" s="2"/>
      <c r="Y1243" s="2"/>
    </row>
    <row r="1244" spans="1:25" ht="17.399999999999999" x14ac:dyDescent="0.25">
      <c r="A1244" s="1"/>
      <c r="B1244" s="10"/>
      <c r="C1244" s="2"/>
      <c r="D1244" s="2"/>
      <c r="E1244" s="2"/>
      <c r="F1244" s="2"/>
      <c r="G1244" s="2"/>
      <c r="H1244" s="1"/>
      <c r="I1244" s="2"/>
      <c r="J1244" s="2"/>
      <c r="K1244" s="2"/>
      <c r="L1244" s="2"/>
      <c r="M1244" s="2"/>
      <c r="N1244" s="2"/>
      <c r="O1244" s="2"/>
      <c r="P1244" s="2"/>
      <c r="Q1244" s="2"/>
      <c r="R1244" s="2"/>
      <c r="S1244" s="2"/>
      <c r="T1244" s="2"/>
      <c r="U1244" s="2"/>
      <c r="V1244" s="2"/>
      <c r="W1244" s="2"/>
      <c r="X1244" s="2"/>
      <c r="Y1244" s="2"/>
    </row>
    <row r="1245" spans="1:25" ht="17.399999999999999" x14ac:dyDescent="0.25">
      <c r="A1245" s="1"/>
      <c r="B1245" s="10"/>
      <c r="C1245" s="2"/>
      <c r="D1245" s="2"/>
      <c r="E1245" s="2"/>
      <c r="F1245" s="2"/>
      <c r="G1245" s="2"/>
      <c r="H1245" s="1"/>
      <c r="I1245" s="2"/>
      <c r="J1245" s="2"/>
      <c r="K1245" s="2"/>
      <c r="L1245" s="2"/>
      <c r="M1245" s="2"/>
      <c r="N1245" s="2"/>
      <c r="O1245" s="2"/>
      <c r="P1245" s="2"/>
      <c r="Q1245" s="2"/>
      <c r="R1245" s="2"/>
      <c r="S1245" s="2"/>
      <c r="T1245" s="2"/>
      <c r="U1245" s="2"/>
      <c r="V1245" s="2"/>
      <c r="W1245" s="2"/>
      <c r="X1245" s="2"/>
      <c r="Y1245" s="2"/>
    </row>
    <row r="1246" spans="1:25" ht="17.399999999999999" x14ac:dyDescent="0.25">
      <c r="A1246" s="1"/>
      <c r="B1246" s="10"/>
      <c r="C1246" s="2"/>
      <c r="D1246" s="2"/>
      <c r="E1246" s="2"/>
      <c r="F1246" s="2"/>
      <c r="G1246" s="2"/>
      <c r="H1246" s="1"/>
      <c r="I1246" s="2"/>
      <c r="J1246" s="2"/>
      <c r="K1246" s="2"/>
      <c r="L1246" s="2"/>
      <c r="M1246" s="2"/>
      <c r="N1246" s="2"/>
      <c r="O1246" s="2"/>
      <c r="P1246" s="2"/>
      <c r="Q1246" s="2"/>
      <c r="R1246" s="2"/>
      <c r="S1246" s="2"/>
      <c r="T1246" s="2"/>
      <c r="U1246" s="2"/>
      <c r="V1246" s="2"/>
      <c r="W1246" s="2"/>
      <c r="X1246" s="2"/>
      <c r="Y1246" s="2"/>
    </row>
    <row r="1247" spans="1:25" ht="17.399999999999999" x14ac:dyDescent="0.25">
      <c r="A1247" s="1"/>
      <c r="B1247" s="10"/>
      <c r="C1247" s="2"/>
      <c r="D1247" s="2"/>
      <c r="E1247" s="2"/>
      <c r="F1247" s="2"/>
      <c r="G1247" s="2"/>
      <c r="H1247" s="1"/>
      <c r="I1247" s="2"/>
      <c r="J1247" s="2"/>
      <c r="K1247" s="2"/>
      <c r="L1247" s="2"/>
      <c r="M1247" s="2"/>
      <c r="N1247" s="2"/>
      <c r="O1247" s="2"/>
      <c r="P1247" s="2"/>
      <c r="Q1247" s="2"/>
      <c r="R1247" s="2"/>
      <c r="S1247" s="2"/>
      <c r="T1247" s="2"/>
      <c r="U1247" s="2"/>
      <c r="V1247" s="2"/>
      <c r="W1247" s="2"/>
      <c r="X1247" s="2"/>
      <c r="Y1247" s="2"/>
    </row>
    <row r="1248" spans="1:25" ht="17.399999999999999" x14ac:dyDescent="0.25">
      <c r="A1248" s="1"/>
      <c r="B1248" s="10"/>
      <c r="C1248" s="2"/>
      <c r="D1248" s="2"/>
      <c r="E1248" s="2"/>
      <c r="F1248" s="2"/>
      <c r="G1248" s="2"/>
      <c r="H1248" s="1"/>
      <c r="I1248" s="2"/>
      <c r="J1248" s="2"/>
      <c r="K1248" s="2"/>
      <c r="L1248" s="2"/>
      <c r="M1248" s="2"/>
      <c r="N1248" s="2"/>
      <c r="O1248" s="2"/>
      <c r="P1248" s="2"/>
      <c r="Q1248" s="2"/>
      <c r="R1248" s="2"/>
      <c r="S1248" s="2"/>
      <c r="T1248" s="2"/>
      <c r="U1248" s="2"/>
      <c r="V1248" s="2"/>
      <c r="W1248" s="2"/>
      <c r="X1248" s="2"/>
      <c r="Y1248" s="2"/>
    </row>
    <row r="1249" spans="1:25" ht="17.399999999999999" x14ac:dyDescent="0.25">
      <c r="A1249" s="1"/>
      <c r="B1249" s="10"/>
      <c r="C1249" s="2"/>
      <c r="D1249" s="2"/>
      <c r="E1249" s="2"/>
      <c r="F1249" s="2"/>
      <c r="G1249" s="2"/>
      <c r="H1249" s="1"/>
      <c r="I1249" s="2"/>
      <c r="J1249" s="2"/>
      <c r="K1249" s="2"/>
      <c r="L1249" s="2"/>
      <c r="M1249" s="2"/>
      <c r="N1249" s="2"/>
      <c r="O1249" s="2"/>
      <c r="P1249" s="2"/>
      <c r="Q1249" s="2"/>
      <c r="R1249" s="2"/>
      <c r="S1249" s="2"/>
      <c r="T1249" s="2"/>
      <c r="U1249" s="2"/>
      <c r="V1249" s="2"/>
      <c r="W1249" s="2"/>
      <c r="X1249" s="2"/>
      <c r="Y1249" s="2"/>
    </row>
    <row r="1250" spans="1:25" ht="17.399999999999999" x14ac:dyDescent="0.25">
      <c r="A1250" s="1"/>
      <c r="B1250" s="10"/>
      <c r="C1250" s="2"/>
      <c r="D1250" s="2"/>
      <c r="E1250" s="2"/>
      <c r="F1250" s="2"/>
      <c r="G1250" s="2"/>
      <c r="H1250" s="1"/>
      <c r="I1250" s="2"/>
      <c r="J1250" s="2"/>
      <c r="K1250" s="2"/>
      <c r="L1250" s="2"/>
      <c r="M1250" s="2"/>
      <c r="N1250" s="2"/>
      <c r="O1250" s="2"/>
      <c r="P1250" s="2"/>
      <c r="Q1250" s="2"/>
      <c r="R1250" s="2"/>
      <c r="S1250" s="2"/>
      <c r="T1250" s="2"/>
      <c r="U1250" s="2"/>
      <c r="V1250" s="2"/>
      <c r="W1250" s="2"/>
      <c r="X1250" s="2"/>
      <c r="Y1250" s="2"/>
    </row>
    <row r="1251" spans="1:25" ht="17.399999999999999" x14ac:dyDescent="0.25">
      <c r="A1251" s="1"/>
      <c r="B1251" s="10"/>
      <c r="C1251" s="2"/>
      <c r="D1251" s="2"/>
      <c r="E1251" s="2"/>
      <c r="F1251" s="2"/>
      <c r="G1251" s="2"/>
      <c r="H1251" s="1"/>
      <c r="I1251" s="2"/>
      <c r="J1251" s="2"/>
      <c r="K1251" s="2"/>
      <c r="L1251" s="2"/>
      <c r="M1251" s="2"/>
      <c r="N1251" s="2"/>
      <c r="O1251" s="2"/>
      <c r="P1251" s="2"/>
      <c r="Q1251" s="2"/>
      <c r="R1251" s="2"/>
      <c r="S1251" s="2"/>
      <c r="T1251" s="2"/>
      <c r="U1251" s="2"/>
      <c r="V1251" s="2"/>
      <c r="W1251" s="2"/>
      <c r="X1251" s="2"/>
      <c r="Y1251" s="2"/>
    </row>
    <row r="1252" spans="1:25" ht="17.399999999999999" x14ac:dyDescent="0.25">
      <c r="A1252" s="1"/>
      <c r="B1252" s="10"/>
      <c r="C1252" s="2"/>
      <c r="D1252" s="2"/>
      <c r="E1252" s="2"/>
      <c r="F1252" s="2"/>
      <c r="G1252" s="2"/>
      <c r="H1252" s="1"/>
      <c r="I1252" s="2"/>
      <c r="J1252" s="2"/>
      <c r="K1252" s="2"/>
      <c r="L1252" s="2"/>
      <c r="M1252" s="2"/>
      <c r="N1252" s="2"/>
      <c r="O1252" s="2"/>
      <c r="P1252" s="2"/>
      <c r="Q1252" s="2"/>
      <c r="R1252" s="2"/>
      <c r="S1252" s="2"/>
      <c r="T1252" s="2"/>
      <c r="U1252" s="2"/>
      <c r="V1252" s="2"/>
      <c r="W1252" s="2"/>
      <c r="X1252" s="2"/>
      <c r="Y1252" s="2"/>
    </row>
    <row r="1253" spans="1:25" ht="17.399999999999999" x14ac:dyDescent="0.25">
      <c r="A1253" s="1"/>
      <c r="B1253" s="10"/>
      <c r="C1253" s="2"/>
      <c r="D1253" s="2"/>
      <c r="E1253" s="2"/>
      <c r="F1253" s="2"/>
      <c r="G1253" s="2"/>
      <c r="H1253" s="1"/>
      <c r="I1253" s="2"/>
      <c r="J1253" s="2"/>
      <c r="K1253" s="2"/>
      <c r="L1253" s="2"/>
      <c r="M1253" s="2"/>
      <c r="N1253" s="2"/>
      <c r="O1253" s="2"/>
      <c r="P1253" s="2"/>
      <c r="Q1253" s="2"/>
      <c r="R1253" s="2"/>
      <c r="S1253" s="2"/>
      <c r="T1253" s="2"/>
      <c r="U1253" s="2"/>
      <c r="V1253" s="2"/>
      <c r="W1253" s="2"/>
      <c r="X1253" s="2"/>
      <c r="Y1253" s="2"/>
    </row>
    <row r="1254" spans="1:25" ht="17.399999999999999" x14ac:dyDescent="0.25">
      <c r="A1254" s="1"/>
      <c r="B1254" s="10"/>
      <c r="C1254" s="2"/>
      <c r="D1254" s="2"/>
      <c r="E1254" s="2"/>
      <c r="F1254" s="2"/>
      <c r="G1254" s="2"/>
      <c r="H1254" s="1"/>
      <c r="I1254" s="2"/>
      <c r="J1254" s="2"/>
      <c r="K1254" s="2"/>
      <c r="L1254" s="2"/>
      <c r="M1254" s="2"/>
      <c r="N1254" s="2"/>
      <c r="O1254" s="2"/>
      <c r="P1254" s="2"/>
      <c r="Q1254" s="2"/>
      <c r="R1254" s="2"/>
      <c r="S1254" s="2"/>
      <c r="T1254" s="2"/>
      <c r="U1254" s="2"/>
      <c r="V1254" s="2"/>
      <c r="W1254" s="2"/>
      <c r="X1254" s="2"/>
      <c r="Y1254" s="2"/>
    </row>
    <row r="1255" spans="1:25" ht="17.399999999999999" x14ac:dyDescent="0.25">
      <c r="A1255" s="1"/>
      <c r="B1255" s="10"/>
      <c r="C1255" s="2"/>
      <c r="D1255" s="2"/>
      <c r="E1255" s="2"/>
      <c r="F1255" s="2"/>
      <c r="G1255" s="2"/>
      <c r="H1255" s="1"/>
      <c r="I1255" s="2"/>
      <c r="J1255" s="2"/>
      <c r="K1255" s="2"/>
      <c r="L1255" s="2"/>
      <c r="M1255" s="2"/>
      <c r="N1255" s="2"/>
      <c r="O1255" s="2"/>
      <c r="P1255" s="2"/>
      <c r="Q1255" s="2"/>
      <c r="R1255" s="2"/>
      <c r="S1255" s="2"/>
      <c r="T1255" s="2"/>
      <c r="U1255" s="2"/>
      <c r="V1255" s="2"/>
      <c r="W1255" s="2"/>
      <c r="X1255" s="2"/>
      <c r="Y1255" s="2"/>
    </row>
    <row r="1256" spans="1:25" ht="17.399999999999999" x14ac:dyDescent="0.25">
      <c r="A1256" s="1"/>
      <c r="B1256" s="10"/>
      <c r="C1256" s="2"/>
      <c r="D1256" s="2"/>
      <c r="E1256" s="2"/>
      <c r="F1256" s="2"/>
      <c r="G1256" s="2"/>
      <c r="H1256" s="1"/>
      <c r="I1256" s="2"/>
      <c r="J1256" s="2"/>
      <c r="K1256" s="2"/>
      <c r="L1256" s="2"/>
      <c r="M1256" s="2"/>
      <c r="N1256" s="2"/>
      <c r="O1256" s="2"/>
      <c r="P1256" s="2"/>
      <c r="Q1256" s="2"/>
      <c r="R1256" s="2"/>
      <c r="S1256" s="2"/>
      <c r="T1256" s="2"/>
      <c r="U1256" s="2"/>
      <c r="V1256" s="2"/>
      <c r="W1256" s="2"/>
      <c r="X1256" s="2"/>
      <c r="Y1256" s="2"/>
    </row>
    <row r="1257" spans="1:25" ht="17.399999999999999" x14ac:dyDescent="0.25">
      <c r="A1257" s="1"/>
      <c r="B1257" s="10"/>
      <c r="C1257" s="2"/>
      <c r="D1257" s="2"/>
      <c r="E1257" s="2"/>
      <c r="F1257" s="2"/>
      <c r="G1257" s="2"/>
      <c r="H1257" s="1"/>
      <c r="I1257" s="2"/>
      <c r="J1257" s="2"/>
      <c r="K1257" s="2"/>
      <c r="L1257" s="2"/>
      <c r="M1257" s="2"/>
      <c r="N1257" s="2"/>
      <c r="O1257" s="2"/>
      <c r="P1257" s="2"/>
      <c r="Q1257" s="2"/>
      <c r="R1257" s="2"/>
      <c r="S1257" s="2"/>
      <c r="T1257" s="2"/>
      <c r="U1257" s="2"/>
      <c r="V1257" s="2"/>
      <c r="W1257" s="2"/>
      <c r="X1257" s="2"/>
      <c r="Y1257" s="2"/>
    </row>
    <row r="1258" spans="1:25" ht="17.399999999999999" x14ac:dyDescent="0.25">
      <c r="A1258" s="1"/>
      <c r="B1258" s="10"/>
      <c r="C1258" s="2"/>
      <c r="D1258" s="2"/>
      <c r="E1258" s="2"/>
      <c r="F1258" s="2"/>
      <c r="G1258" s="2"/>
      <c r="H1258" s="1"/>
      <c r="I1258" s="2"/>
      <c r="J1258" s="2"/>
      <c r="K1258" s="2"/>
      <c r="L1258" s="2"/>
      <c r="M1258" s="2"/>
      <c r="N1258" s="2"/>
      <c r="O1258" s="2"/>
      <c r="P1258" s="2"/>
      <c r="Q1258" s="2"/>
      <c r="R1258" s="2"/>
      <c r="S1258" s="2"/>
      <c r="T1258" s="2"/>
      <c r="U1258" s="2"/>
      <c r="V1258" s="2"/>
      <c r="W1258" s="2"/>
      <c r="X1258" s="2"/>
      <c r="Y1258" s="2"/>
    </row>
    <row r="1259" spans="1:25" ht="17.399999999999999" x14ac:dyDescent="0.25">
      <c r="A1259" s="1"/>
      <c r="B1259" s="10"/>
      <c r="C1259" s="2"/>
      <c r="D1259" s="2"/>
      <c r="E1259" s="2"/>
      <c r="F1259" s="2"/>
      <c r="G1259" s="2"/>
      <c r="H1259" s="1"/>
      <c r="I1259" s="2"/>
      <c r="J1259" s="2"/>
      <c r="K1259" s="2"/>
      <c r="L1259" s="2"/>
      <c r="M1259" s="2"/>
      <c r="N1259" s="2"/>
      <c r="O1259" s="2"/>
      <c r="P1259" s="2"/>
      <c r="Q1259" s="2"/>
      <c r="R1259" s="2"/>
      <c r="S1259" s="2"/>
      <c r="T1259" s="2"/>
      <c r="U1259" s="2"/>
      <c r="V1259" s="2"/>
      <c r="W1259" s="2"/>
      <c r="X1259" s="2"/>
      <c r="Y1259" s="2"/>
    </row>
    <row r="1260" spans="1:25" ht="17.399999999999999" x14ac:dyDescent="0.25">
      <c r="A1260" s="1"/>
      <c r="B1260" s="10"/>
      <c r="C1260" s="2"/>
      <c r="D1260" s="2"/>
      <c r="E1260" s="2"/>
      <c r="F1260" s="2"/>
      <c r="G1260" s="2"/>
      <c r="H1260" s="1"/>
      <c r="I1260" s="2"/>
      <c r="J1260" s="2"/>
      <c r="K1260" s="2"/>
      <c r="L1260" s="2"/>
      <c r="M1260" s="2"/>
      <c r="N1260" s="2"/>
      <c r="O1260" s="2"/>
      <c r="P1260" s="2"/>
      <c r="Q1260" s="2"/>
      <c r="R1260" s="2"/>
      <c r="S1260" s="2"/>
      <c r="T1260" s="2"/>
      <c r="U1260" s="2"/>
      <c r="V1260" s="2"/>
      <c r="W1260" s="2"/>
      <c r="X1260" s="2"/>
      <c r="Y1260" s="2"/>
    </row>
    <row r="1261" spans="1:25" ht="17.399999999999999" x14ac:dyDescent="0.25">
      <c r="A1261" s="1"/>
      <c r="B1261" s="10"/>
      <c r="C1261" s="2"/>
      <c r="D1261" s="2"/>
      <c r="E1261" s="2"/>
      <c r="F1261" s="2"/>
      <c r="G1261" s="2"/>
      <c r="H1261" s="1"/>
      <c r="I1261" s="2"/>
      <c r="J1261" s="2"/>
      <c r="K1261" s="2"/>
      <c r="L1261" s="2"/>
      <c r="M1261" s="2"/>
      <c r="N1261" s="2"/>
      <c r="O1261" s="2"/>
      <c r="P1261" s="2"/>
      <c r="Q1261" s="2"/>
      <c r="R1261" s="2"/>
      <c r="S1261" s="2"/>
      <c r="T1261" s="2"/>
      <c r="U1261" s="2"/>
      <c r="V1261" s="2"/>
      <c r="W1261" s="2"/>
      <c r="X1261" s="2"/>
      <c r="Y1261" s="2"/>
    </row>
    <row r="1262" spans="1:25" ht="17.399999999999999" x14ac:dyDescent="0.25">
      <c r="A1262" s="1"/>
      <c r="B1262" s="10"/>
      <c r="C1262" s="2"/>
      <c r="D1262" s="2"/>
      <c r="E1262" s="2"/>
      <c r="F1262" s="2"/>
      <c r="G1262" s="2"/>
      <c r="H1262" s="1"/>
      <c r="I1262" s="2"/>
      <c r="J1262" s="2"/>
      <c r="K1262" s="2"/>
      <c r="L1262" s="2"/>
      <c r="M1262" s="2"/>
      <c r="N1262" s="2"/>
      <c r="O1262" s="2"/>
      <c r="P1262" s="2"/>
      <c r="Q1262" s="2"/>
      <c r="R1262" s="2"/>
      <c r="S1262" s="2"/>
      <c r="T1262" s="2"/>
      <c r="U1262" s="2"/>
      <c r="V1262" s="2"/>
      <c r="W1262" s="2"/>
      <c r="X1262" s="2"/>
      <c r="Y1262" s="2"/>
    </row>
    <row r="1263" spans="1:25" ht="17.399999999999999" x14ac:dyDescent="0.25">
      <c r="A1263" s="1"/>
      <c r="B1263" s="10"/>
      <c r="C1263" s="2"/>
      <c r="D1263" s="2"/>
      <c r="E1263" s="2"/>
      <c r="F1263" s="2"/>
      <c r="G1263" s="2"/>
      <c r="H1263" s="1"/>
      <c r="I1263" s="2"/>
      <c r="J1263" s="2"/>
      <c r="K1263" s="2"/>
      <c r="L1263" s="2"/>
      <c r="M1263" s="2"/>
      <c r="N1263" s="2"/>
      <c r="O1263" s="2"/>
      <c r="P1263" s="2"/>
      <c r="Q1263" s="2"/>
      <c r="R1263" s="2"/>
      <c r="S1263" s="2"/>
      <c r="T1263" s="2"/>
      <c r="U1263" s="2"/>
      <c r="V1263" s="2"/>
      <c r="W1263" s="2"/>
      <c r="X1263" s="2"/>
      <c r="Y1263" s="2"/>
    </row>
    <row r="1264" spans="1:25" ht="17.399999999999999" x14ac:dyDescent="0.25">
      <c r="A1264" s="1"/>
      <c r="B1264" s="10"/>
      <c r="C1264" s="2"/>
      <c r="D1264" s="2"/>
      <c r="E1264" s="2"/>
      <c r="F1264" s="2"/>
      <c r="G1264" s="2"/>
      <c r="H1264" s="1"/>
      <c r="I1264" s="2"/>
      <c r="J1264" s="2"/>
      <c r="K1264" s="2"/>
      <c r="L1264" s="2"/>
      <c r="M1264" s="2"/>
      <c r="N1264" s="2"/>
      <c r="O1264" s="2"/>
      <c r="P1264" s="2"/>
      <c r="Q1264" s="2"/>
      <c r="R1264" s="2"/>
      <c r="S1264" s="2"/>
      <c r="T1264" s="2"/>
      <c r="U1264" s="2"/>
      <c r="V1264" s="2"/>
      <c r="W1264" s="2"/>
      <c r="X1264" s="2"/>
      <c r="Y1264" s="2"/>
    </row>
    <row r="1265" spans="1:25" ht="17.399999999999999" x14ac:dyDescent="0.25">
      <c r="A1265" s="1"/>
      <c r="B1265" s="10"/>
      <c r="C1265" s="2"/>
      <c r="D1265" s="2"/>
      <c r="E1265" s="2"/>
      <c r="F1265" s="2"/>
      <c r="G1265" s="2"/>
      <c r="H1265" s="1"/>
      <c r="I1265" s="2"/>
      <c r="J1265" s="2"/>
      <c r="K1265" s="2"/>
      <c r="L1265" s="2"/>
      <c r="M1265" s="2"/>
      <c r="N1265" s="2"/>
      <c r="O1265" s="2"/>
      <c r="P1265" s="2"/>
      <c r="Q1265" s="2"/>
      <c r="R1265" s="2"/>
      <c r="S1265" s="2"/>
      <c r="T1265" s="2"/>
      <c r="U1265" s="2"/>
      <c r="V1265" s="2"/>
      <c r="W1265" s="2"/>
      <c r="X1265" s="2"/>
      <c r="Y1265" s="2"/>
    </row>
    <row r="1266" spans="1:25" ht="17.399999999999999" x14ac:dyDescent="0.25">
      <c r="A1266" s="1"/>
      <c r="B1266" s="10"/>
      <c r="C1266" s="2"/>
      <c r="D1266" s="2"/>
      <c r="E1266" s="2"/>
      <c r="F1266" s="2"/>
      <c r="G1266" s="2"/>
      <c r="H1266" s="1"/>
      <c r="I1266" s="2"/>
      <c r="J1266" s="2"/>
      <c r="K1266" s="2"/>
      <c r="L1266" s="2"/>
      <c r="M1266" s="2"/>
      <c r="N1266" s="2"/>
      <c r="O1266" s="2"/>
      <c r="P1266" s="2"/>
      <c r="Q1266" s="2"/>
      <c r="R1266" s="2"/>
      <c r="S1266" s="2"/>
      <c r="T1266" s="2"/>
      <c r="U1266" s="2"/>
      <c r="V1266" s="2"/>
      <c r="W1266" s="2"/>
      <c r="X1266" s="2"/>
      <c r="Y1266" s="2"/>
    </row>
    <row r="1267" spans="1:25" ht="17.399999999999999" x14ac:dyDescent="0.25">
      <c r="A1267" s="1"/>
      <c r="B1267" s="10"/>
      <c r="C1267" s="2"/>
      <c r="D1267" s="2"/>
      <c r="E1267" s="2"/>
      <c r="F1267" s="2"/>
      <c r="G1267" s="2"/>
      <c r="H1267" s="1"/>
      <c r="I1267" s="2"/>
      <c r="J1267" s="2"/>
      <c r="K1267" s="2"/>
      <c r="L1267" s="2"/>
      <c r="M1267" s="2"/>
      <c r="N1267" s="2"/>
      <c r="O1267" s="2"/>
      <c r="P1267" s="2"/>
      <c r="Q1267" s="2"/>
      <c r="R1267" s="2"/>
      <c r="S1267" s="2"/>
      <c r="T1267" s="2"/>
      <c r="U1267" s="2"/>
      <c r="V1267" s="2"/>
      <c r="W1267" s="2"/>
      <c r="X1267" s="2"/>
      <c r="Y1267" s="2"/>
    </row>
    <row r="1268" spans="1:25" ht="17.399999999999999" x14ac:dyDescent="0.25">
      <c r="A1268" s="1"/>
      <c r="B1268" s="10"/>
      <c r="C1268" s="2"/>
      <c r="D1268" s="2"/>
      <c r="E1268" s="2"/>
      <c r="F1268" s="2"/>
      <c r="G1268" s="2"/>
      <c r="H1268" s="1"/>
      <c r="I1268" s="2"/>
      <c r="J1268" s="2"/>
      <c r="K1268" s="2"/>
      <c r="L1268" s="2"/>
      <c r="M1268" s="2"/>
      <c r="N1268" s="2"/>
      <c r="O1268" s="2"/>
      <c r="P1268" s="2"/>
      <c r="Q1268" s="2"/>
      <c r="R1268" s="2"/>
      <c r="S1268" s="2"/>
      <c r="T1268" s="2"/>
      <c r="U1268" s="2"/>
      <c r="V1268" s="2"/>
      <c r="W1268" s="2"/>
      <c r="X1268" s="2"/>
      <c r="Y1268" s="2"/>
    </row>
    <row r="1269" spans="1:25" ht="17.399999999999999" x14ac:dyDescent="0.25">
      <c r="A1269" s="1"/>
      <c r="B1269" s="10"/>
      <c r="C1269" s="2"/>
      <c r="D1269" s="2"/>
      <c r="E1269" s="2"/>
      <c r="F1269" s="2"/>
      <c r="G1269" s="2"/>
      <c r="H1269" s="1"/>
      <c r="I1269" s="2"/>
      <c r="J1269" s="2"/>
      <c r="K1269" s="2"/>
      <c r="L1269" s="2"/>
      <c r="M1269" s="2"/>
      <c r="N1269" s="2"/>
      <c r="O1269" s="2"/>
      <c r="P1269" s="2"/>
      <c r="Q1269" s="2"/>
      <c r="R1269" s="2"/>
      <c r="S1269" s="2"/>
      <c r="T1269" s="2"/>
      <c r="U1269" s="2"/>
      <c r="V1269" s="2"/>
      <c r="W1269" s="2"/>
      <c r="X1269" s="2"/>
      <c r="Y1269" s="2"/>
    </row>
    <row r="1270" spans="1:25" ht="17.399999999999999" x14ac:dyDescent="0.25">
      <c r="A1270" s="1"/>
      <c r="B1270" s="10"/>
      <c r="C1270" s="2"/>
      <c r="D1270" s="2"/>
      <c r="E1270" s="2"/>
      <c r="F1270" s="2"/>
      <c r="G1270" s="2"/>
      <c r="H1270" s="1"/>
      <c r="I1270" s="2"/>
      <c r="J1270" s="2"/>
      <c r="K1270" s="2"/>
      <c r="L1270" s="2"/>
      <c r="M1270" s="2"/>
      <c r="N1270" s="2"/>
      <c r="O1270" s="2"/>
      <c r="P1270" s="2"/>
      <c r="Q1270" s="2"/>
      <c r="R1270" s="2"/>
      <c r="S1270" s="2"/>
      <c r="T1270" s="2"/>
      <c r="U1270" s="2"/>
      <c r="V1270" s="2"/>
      <c r="W1270" s="2"/>
      <c r="X1270" s="2"/>
      <c r="Y1270" s="2"/>
    </row>
    <row r="1271" spans="1:25" ht="17.399999999999999" x14ac:dyDescent="0.25">
      <c r="A1271" s="1"/>
      <c r="B1271" s="10"/>
      <c r="C1271" s="2"/>
      <c r="D1271" s="2"/>
      <c r="E1271" s="2"/>
      <c r="F1271" s="2"/>
      <c r="G1271" s="2"/>
      <c r="H1271" s="1"/>
      <c r="I1271" s="2"/>
      <c r="J1271" s="2"/>
      <c r="K1271" s="2"/>
      <c r="L1271" s="2"/>
      <c r="M1271" s="2"/>
      <c r="N1271" s="2"/>
      <c r="O1271" s="2"/>
      <c r="P1271" s="2"/>
      <c r="Q1271" s="2"/>
      <c r="R1271" s="2"/>
      <c r="S1271" s="2"/>
      <c r="T1271" s="2"/>
      <c r="U1271" s="2"/>
      <c r="V1271" s="2"/>
      <c r="W1271" s="2"/>
      <c r="X1271" s="2"/>
      <c r="Y1271" s="2"/>
    </row>
    <row r="1272" spans="1:25" ht="17.399999999999999" x14ac:dyDescent="0.25">
      <c r="A1272" s="1"/>
      <c r="B1272" s="10"/>
      <c r="C1272" s="2"/>
      <c r="D1272" s="2"/>
      <c r="E1272" s="2"/>
      <c r="F1272" s="2"/>
      <c r="G1272" s="2"/>
      <c r="H1272" s="1"/>
      <c r="I1272" s="2"/>
      <c r="J1272" s="2"/>
      <c r="K1272" s="2"/>
      <c r="L1272" s="2"/>
      <c r="M1272" s="2"/>
      <c r="N1272" s="2"/>
      <c r="O1272" s="2"/>
      <c r="P1272" s="2"/>
      <c r="Q1272" s="2"/>
      <c r="R1272" s="2"/>
      <c r="S1272" s="2"/>
      <c r="T1272" s="2"/>
      <c r="U1272" s="2"/>
      <c r="V1272" s="2"/>
      <c r="W1272" s="2"/>
      <c r="X1272" s="2"/>
      <c r="Y1272" s="2"/>
    </row>
    <row r="1273" spans="1:25" ht="17.399999999999999" x14ac:dyDescent="0.25">
      <c r="A1273" s="1"/>
      <c r="B1273" s="10"/>
      <c r="C1273" s="2"/>
      <c r="D1273" s="2"/>
      <c r="E1273" s="2"/>
      <c r="F1273" s="2"/>
      <c r="G1273" s="2"/>
      <c r="H1273" s="1"/>
      <c r="I1273" s="2"/>
      <c r="J1273" s="2"/>
      <c r="K1273" s="2"/>
      <c r="L1273" s="2"/>
      <c r="M1273" s="2"/>
      <c r="N1273" s="2"/>
      <c r="O1273" s="2"/>
      <c r="P1273" s="2"/>
      <c r="Q1273" s="2"/>
      <c r="R1273" s="2"/>
      <c r="S1273" s="2"/>
      <c r="T1273" s="2"/>
      <c r="U1273" s="2"/>
      <c r="V1273" s="2"/>
      <c r="W1273" s="2"/>
      <c r="X1273" s="2"/>
      <c r="Y1273" s="2"/>
    </row>
    <row r="1274" spans="1:25" ht="17.399999999999999" x14ac:dyDescent="0.25">
      <c r="A1274" s="1"/>
      <c r="B1274" s="10"/>
      <c r="C1274" s="2"/>
      <c r="D1274" s="2"/>
      <c r="E1274" s="2"/>
      <c r="F1274" s="2"/>
      <c r="G1274" s="2"/>
      <c r="H1274" s="1"/>
      <c r="I1274" s="2"/>
      <c r="J1274" s="2"/>
      <c r="K1274" s="2"/>
      <c r="L1274" s="2"/>
      <c r="M1274" s="2"/>
      <c r="N1274" s="2"/>
      <c r="O1274" s="2"/>
      <c r="P1274" s="2"/>
      <c r="Q1274" s="2"/>
      <c r="R1274" s="2"/>
      <c r="S1274" s="2"/>
      <c r="T1274" s="2"/>
      <c r="U1274" s="2"/>
      <c r="V1274" s="2"/>
      <c r="W1274" s="2"/>
      <c r="X1274" s="2"/>
      <c r="Y1274" s="2"/>
    </row>
    <row r="1275" spans="1:25" ht="17.399999999999999" x14ac:dyDescent="0.25">
      <c r="A1275" s="1"/>
      <c r="B1275" s="10"/>
      <c r="C1275" s="2"/>
      <c r="D1275" s="2"/>
      <c r="E1275" s="2"/>
      <c r="F1275" s="2"/>
      <c r="G1275" s="2"/>
      <c r="H1275" s="1"/>
      <c r="I1275" s="2"/>
      <c r="J1275" s="2"/>
      <c r="K1275" s="2"/>
      <c r="L1275" s="2"/>
      <c r="M1275" s="2"/>
      <c r="N1275" s="2"/>
      <c r="O1275" s="2"/>
      <c r="P1275" s="2"/>
      <c r="Q1275" s="2"/>
      <c r="R1275" s="2"/>
      <c r="S1275" s="2"/>
      <c r="T1275" s="2"/>
      <c r="U1275" s="2"/>
      <c r="V1275" s="2"/>
      <c r="W1275" s="2"/>
      <c r="X1275" s="2"/>
      <c r="Y1275" s="2"/>
    </row>
    <row r="1276" spans="1:25" ht="17.399999999999999" x14ac:dyDescent="0.25">
      <c r="A1276" s="1"/>
      <c r="B1276" s="10"/>
      <c r="C1276" s="2"/>
      <c r="D1276" s="2"/>
      <c r="E1276" s="2"/>
      <c r="F1276" s="2"/>
      <c r="G1276" s="2"/>
      <c r="H1276" s="1"/>
      <c r="I1276" s="2"/>
      <c r="J1276" s="2"/>
      <c r="K1276" s="2"/>
      <c r="L1276" s="2"/>
      <c r="M1276" s="2"/>
      <c r="N1276" s="2"/>
      <c r="O1276" s="2"/>
      <c r="P1276" s="2"/>
      <c r="Q1276" s="2"/>
      <c r="R1276" s="2"/>
      <c r="S1276" s="2"/>
      <c r="T1276" s="2"/>
      <c r="U1276" s="2"/>
      <c r="V1276" s="2"/>
      <c r="W1276" s="2"/>
      <c r="X1276" s="2"/>
      <c r="Y1276" s="2"/>
    </row>
    <row r="1277" spans="1:25" ht="17.399999999999999" x14ac:dyDescent="0.25">
      <c r="A1277" s="1"/>
      <c r="B1277" s="10"/>
      <c r="C1277" s="2"/>
      <c r="D1277" s="2"/>
      <c r="E1277" s="2"/>
      <c r="F1277" s="2"/>
      <c r="G1277" s="2"/>
      <c r="H1277" s="1"/>
      <c r="I1277" s="2"/>
      <c r="J1277" s="2"/>
      <c r="K1277" s="2"/>
      <c r="L1277" s="2"/>
      <c r="M1277" s="2"/>
      <c r="N1277" s="2"/>
      <c r="O1277" s="2"/>
      <c r="P1277" s="2"/>
      <c r="Q1277" s="2"/>
      <c r="R1277" s="2"/>
      <c r="S1277" s="2"/>
      <c r="T1277" s="2"/>
      <c r="U1277" s="2"/>
      <c r="V1277" s="2"/>
      <c r="W1277" s="2"/>
      <c r="X1277" s="2"/>
      <c r="Y1277" s="2"/>
    </row>
    <row r="1278" spans="1:25" ht="17.399999999999999" x14ac:dyDescent="0.25">
      <c r="A1278" s="1"/>
      <c r="B1278" s="10"/>
      <c r="C1278" s="2"/>
      <c r="D1278" s="2"/>
      <c r="E1278" s="2"/>
      <c r="F1278" s="2"/>
      <c r="G1278" s="2"/>
      <c r="H1278" s="1"/>
      <c r="I1278" s="2"/>
      <c r="J1278" s="2"/>
      <c r="K1278" s="2"/>
      <c r="L1278" s="2"/>
      <c r="M1278" s="2"/>
      <c r="N1278" s="2"/>
      <c r="O1278" s="2"/>
      <c r="P1278" s="2"/>
      <c r="Q1278" s="2"/>
      <c r="R1278" s="2"/>
      <c r="S1278" s="2"/>
      <c r="T1278" s="2"/>
      <c r="U1278" s="2"/>
      <c r="V1278" s="2"/>
      <c r="W1278" s="2"/>
      <c r="X1278" s="2"/>
      <c r="Y1278" s="2"/>
    </row>
    <row r="1279" spans="1:25" ht="17.399999999999999" x14ac:dyDescent="0.25">
      <c r="A1279" s="1"/>
      <c r="B1279" s="10"/>
      <c r="C1279" s="2"/>
      <c r="D1279" s="2"/>
      <c r="E1279" s="2"/>
      <c r="F1279" s="2"/>
      <c r="G1279" s="2"/>
      <c r="H1279" s="1"/>
      <c r="I1279" s="2"/>
      <c r="J1279" s="2"/>
      <c r="K1279" s="2"/>
      <c r="L1279" s="2"/>
      <c r="M1279" s="2"/>
      <c r="N1279" s="2"/>
      <c r="O1279" s="2"/>
      <c r="P1279" s="2"/>
      <c r="Q1279" s="2"/>
      <c r="R1279" s="2"/>
      <c r="S1279" s="2"/>
      <c r="T1279" s="2"/>
      <c r="U1279" s="2"/>
      <c r="V1279" s="2"/>
      <c r="W1279" s="2"/>
      <c r="X1279" s="2"/>
      <c r="Y1279" s="2"/>
    </row>
    <row r="1280" spans="1:25" ht="17.399999999999999" x14ac:dyDescent="0.25">
      <c r="A1280" s="1"/>
      <c r="B1280" s="10"/>
      <c r="C1280" s="2"/>
      <c r="D1280" s="2"/>
      <c r="E1280" s="2"/>
      <c r="F1280" s="2"/>
      <c r="G1280" s="2"/>
      <c r="H1280" s="1"/>
      <c r="I1280" s="2"/>
      <c r="J1280" s="2"/>
      <c r="K1280" s="2"/>
      <c r="L1280" s="2"/>
      <c r="M1280" s="2"/>
      <c r="N1280" s="2"/>
      <c r="O1280" s="2"/>
      <c r="P1280" s="2"/>
      <c r="Q1280" s="2"/>
      <c r="R1280" s="2"/>
      <c r="S1280" s="2"/>
      <c r="T1280" s="2"/>
      <c r="U1280" s="2"/>
      <c r="V1280" s="2"/>
      <c r="W1280" s="2"/>
      <c r="X1280" s="2"/>
      <c r="Y1280" s="2"/>
    </row>
    <row r="1281" spans="1:25" ht="17.399999999999999" x14ac:dyDescent="0.25">
      <c r="A1281" s="1"/>
      <c r="B1281" s="10"/>
      <c r="C1281" s="2"/>
      <c r="D1281" s="2"/>
      <c r="E1281" s="2"/>
      <c r="F1281" s="2"/>
      <c r="G1281" s="2"/>
      <c r="H1281" s="1"/>
      <c r="I1281" s="2"/>
      <c r="J1281" s="2"/>
      <c r="K1281" s="2"/>
      <c r="L1281" s="2"/>
      <c r="M1281" s="2"/>
      <c r="N1281" s="2"/>
      <c r="O1281" s="2"/>
      <c r="P1281" s="2"/>
      <c r="Q1281" s="2"/>
      <c r="R1281" s="2"/>
      <c r="S1281" s="2"/>
      <c r="T1281" s="2"/>
      <c r="U1281" s="2"/>
      <c r="V1281" s="2"/>
      <c r="W1281" s="2"/>
      <c r="X1281" s="2"/>
      <c r="Y1281" s="2"/>
    </row>
    <row r="1282" spans="1:25" ht="17.399999999999999" x14ac:dyDescent="0.25">
      <c r="A1282" s="1"/>
      <c r="B1282" s="10"/>
      <c r="C1282" s="2"/>
      <c r="D1282" s="2"/>
      <c r="E1282" s="2"/>
      <c r="F1282" s="2"/>
      <c r="G1282" s="2"/>
      <c r="H1282" s="1"/>
      <c r="I1282" s="2"/>
      <c r="J1282" s="2"/>
      <c r="K1282" s="2"/>
      <c r="L1282" s="2"/>
      <c r="M1282" s="2"/>
      <c r="N1282" s="2"/>
      <c r="O1282" s="2"/>
      <c r="P1282" s="2"/>
      <c r="Q1282" s="2"/>
      <c r="R1282" s="2"/>
      <c r="S1282" s="2"/>
      <c r="T1282" s="2"/>
      <c r="U1282" s="2"/>
      <c r="V1282" s="2"/>
      <c r="W1282" s="2"/>
      <c r="X1282" s="2"/>
      <c r="Y1282" s="2"/>
    </row>
    <row r="1283" spans="1:25" ht="17.399999999999999" x14ac:dyDescent="0.25">
      <c r="A1283" s="1"/>
      <c r="B1283" s="10"/>
      <c r="C1283" s="2"/>
      <c r="D1283" s="2"/>
      <c r="E1283" s="2"/>
      <c r="F1283" s="2"/>
      <c r="G1283" s="2"/>
      <c r="H1283" s="1"/>
      <c r="I1283" s="2"/>
      <c r="J1283" s="2"/>
      <c r="K1283" s="2"/>
      <c r="L1283" s="2"/>
      <c r="M1283" s="2"/>
      <c r="N1283" s="2"/>
      <c r="O1283" s="2"/>
      <c r="P1283" s="2"/>
      <c r="Q1283" s="2"/>
      <c r="R1283" s="2"/>
      <c r="S1283" s="2"/>
      <c r="T1283" s="2"/>
      <c r="U1283" s="2"/>
      <c r="V1283" s="2"/>
      <c r="W1283" s="2"/>
      <c r="X1283" s="2"/>
      <c r="Y1283" s="2"/>
    </row>
    <row r="1284" spans="1:25" ht="17.399999999999999" x14ac:dyDescent="0.25">
      <c r="A1284" s="1"/>
      <c r="B1284" s="10"/>
      <c r="C1284" s="2"/>
      <c r="D1284" s="2"/>
      <c r="E1284" s="2"/>
      <c r="F1284" s="2"/>
      <c r="G1284" s="2"/>
      <c r="H1284" s="1"/>
      <c r="I1284" s="2"/>
      <c r="J1284" s="2"/>
      <c r="K1284" s="2"/>
      <c r="L1284" s="2"/>
      <c r="M1284" s="2"/>
      <c r="N1284" s="2"/>
      <c r="O1284" s="2"/>
      <c r="P1284" s="2"/>
      <c r="Q1284" s="2"/>
      <c r="R1284" s="2"/>
      <c r="S1284" s="2"/>
      <c r="T1284" s="2"/>
      <c r="U1284" s="2"/>
      <c r="V1284" s="2"/>
      <c r="W1284" s="2"/>
      <c r="X1284" s="2"/>
      <c r="Y1284" s="2"/>
    </row>
    <row r="1285" spans="1:25" ht="17.399999999999999" x14ac:dyDescent="0.25">
      <c r="A1285" s="1"/>
      <c r="B1285" s="10"/>
      <c r="C1285" s="2"/>
      <c r="D1285" s="2"/>
      <c r="E1285" s="2"/>
      <c r="F1285" s="2"/>
      <c r="G1285" s="2"/>
      <c r="H1285" s="1"/>
      <c r="I1285" s="2"/>
      <c r="J1285" s="2"/>
      <c r="K1285" s="2"/>
      <c r="L1285" s="2"/>
      <c r="M1285" s="2"/>
      <c r="N1285" s="2"/>
      <c r="O1285" s="2"/>
      <c r="P1285" s="2"/>
      <c r="Q1285" s="2"/>
      <c r="R1285" s="2"/>
      <c r="S1285" s="2"/>
      <c r="T1285" s="2"/>
      <c r="U1285" s="2"/>
      <c r="V1285" s="2"/>
      <c r="W1285" s="2"/>
      <c r="X1285" s="2"/>
      <c r="Y1285" s="2"/>
    </row>
    <row r="1286" spans="1:25" ht="17.399999999999999" x14ac:dyDescent="0.25">
      <c r="A1286" s="1"/>
      <c r="B1286" s="10"/>
      <c r="C1286" s="2"/>
      <c r="D1286" s="2"/>
      <c r="E1286" s="2"/>
      <c r="F1286" s="2"/>
      <c r="G1286" s="2"/>
      <c r="H1286" s="1"/>
      <c r="I1286" s="2"/>
      <c r="J1286" s="2"/>
      <c r="K1286" s="2"/>
      <c r="L1286" s="2"/>
      <c r="M1286" s="2"/>
      <c r="N1286" s="2"/>
      <c r="O1286" s="2"/>
      <c r="P1286" s="2"/>
      <c r="Q1286" s="2"/>
      <c r="R1286" s="2"/>
      <c r="S1286" s="2"/>
      <c r="T1286" s="2"/>
      <c r="U1286" s="2"/>
      <c r="V1286" s="2"/>
      <c r="W1286" s="2"/>
      <c r="X1286" s="2"/>
      <c r="Y1286" s="2"/>
    </row>
    <row r="1287" spans="1:25" ht="17.399999999999999" x14ac:dyDescent="0.25">
      <c r="A1287" s="1"/>
      <c r="B1287" s="10"/>
      <c r="C1287" s="2"/>
      <c r="D1287" s="2"/>
      <c r="E1287" s="2"/>
      <c r="F1287" s="2"/>
      <c r="G1287" s="2"/>
      <c r="H1287" s="1"/>
      <c r="I1287" s="2"/>
      <c r="J1287" s="2"/>
      <c r="K1287" s="2"/>
      <c r="L1287" s="2"/>
      <c r="M1287" s="2"/>
      <c r="N1287" s="2"/>
      <c r="O1287" s="2"/>
      <c r="P1287" s="2"/>
      <c r="Q1287" s="2"/>
      <c r="R1287" s="2"/>
      <c r="S1287" s="2"/>
      <c r="T1287" s="2"/>
      <c r="U1287" s="2"/>
      <c r="V1287" s="2"/>
      <c r="W1287" s="2"/>
      <c r="X1287" s="2"/>
      <c r="Y1287" s="2"/>
    </row>
    <row r="1288" spans="1:25" ht="17.399999999999999" x14ac:dyDescent="0.25">
      <c r="A1288" s="1"/>
      <c r="B1288" s="10"/>
      <c r="C1288" s="2"/>
      <c r="D1288" s="2"/>
      <c r="E1288" s="2"/>
      <c r="F1288" s="2"/>
      <c r="G1288" s="2"/>
      <c r="H1288" s="1"/>
      <c r="I1288" s="2"/>
      <c r="J1288" s="2"/>
      <c r="K1288" s="2"/>
      <c r="L1288" s="2"/>
      <c r="M1288" s="2"/>
      <c r="N1288" s="2"/>
      <c r="O1288" s="2"/>
      <c r="P1288" s="2"/>
      <c r="Q1288" s="2"/>
      <c r="R1288" s="2"/>
      <c r="S1288" s="2"/>
      <c r="T1288" s="2"/>
      <c r="U1288" s="2"/>
      <c r="V1288" s="2"/>
      <c r="W1288" s="2"/>
      <c r="X1288" s="2"/>
      <c r="Y1288" s="2"/>
    </row>
    <row r="1289" spans="1:25" ht="17.399999999999999" x14ac:dyDescent="0.25">
      <c r="A1289" s="1"/>
      <c r="B1289" s="10"/>
      <c r="C1289" s="2"/>
      <c r="D1289" s="2"/>
      <c r="E1289" s="2"/>
      <c r="F1289" s="2"/>
      <c r="G1289" s="2"/>
      <c r="H1289" s="1"/>
      <c r="I1289" s="2"/>
      <c r="J1289" s="2"/>
      <c r="K1289" s="2"/>
      <c r="L1289" s="2"/>
      <c r="M1289" s="2"/>
      <c r="N1289" s="2"/>
      <c r="O1289" s="2"/>
      <c r="P1289" s="2"/>
      <c r="Q1289" s="2"/>
      <c r="R1289" s="2"/>
      <c r="S1289" s="2"/>
      <c r="T1289" s="2"/>
      <c r="U1289" s="2"/>
      <c r="V1289" s="2"/>
      <c r="W1289" s="2"/>
      <c r="X1289" s="2"/>
      <c r="Y1289" s="2"/>
    </row>
    <row r="1290" spans="1:25" ht="17.399999999999999" x14ac:dyDescent="0.25">
      <c r="A1290" s="1"/>
      <c r="B1290" s="10"/>
      <c r="C1290" s="2"/>
      <c r="D1290" s="2"/>
      <c r="E1290" s="2"/>
      <c r="F1290" s="2"/>
      <c r="G1290" s="2"/>
      <c r="H1290" s="1"/>
      <c r="I1290" s="2"/>
      <c r="J1290" s="2"/>
      <c r="K1290" s="2"/>
      <c r="L1290" s="2"/>
      <c r="M1290" s="2"/>
      <c r="N1290" s="2"/>
      <c r="O1290" s="2"/>
      <c r="P1290" s="2"/>
      <c r="Q1290" s="2"/>
      <c r="R1290" s="2"/>
      <c r="S1290" s="2"/>
      <c r="T1290" s="2"/>
      <c r="U1290" s="2"/>
      <c r="V1290" s="2"/>
      <c r="W1290" s="2"/>
      <c r="X1290" s="2"/>
      <c r="Y1290" s="2"/>
    </row>
    <row r="1291" spans="1:25" ht="17.399999999999999" x14ac:dyDescent="0.25">
      <c r="A1291" s="1"/>
      <c r="B1291" s="10"/>
      <c r="C1291" s="2"/>
      <c r="D1291" s="2"/>
      <c r="E1291" s="2"/>
      <c r="F1291" s="2"/>
      <c r="G1291" s="2"/>
      <c r="H1291" s="1"/>
      <c r="I1291" s="2"/>
      <c r="J1291" s="2"/>
      <c r="K1291" s="2"/>
      <c r="L1291" s="2"/>
      <c r="M1291" s="2"/>
      <c r="N1291" s="2"/>
      <c r="O1291" s="2"/>
      <c r="P1291" s="2"/>
      <c r="Q1291" s="2"/>
      <c r="R1291" s="2"/>
      <c r="S1291" s="2"/>
      <c r="T1291" s="2"/>
      <c r="U1291" s="2"/>
      <c r="V1291" s="2"/>
      <c r="W1291" s="2"/>
      <c r="X1291" s="2"/>
      <c r="Y1291" s="2"/>
    </row>
    <row r="1292" spans="1:25" ht="17.399999999999999" x14ac:dyDescent="0.25">
      <c r="A1292" s="1"/>
      <c r="B1292" s="10"/>
      <c r="C1292" s="2"/>
      <c r="D1292" s="2"/>
      <c r="E1292" s="2"/>
      <c r="F1292" s="2"/>
      <c r="G1292" s="2"/>
      <c r="H1292" s="1"/>
      <c r="I1292" s="2"/>
      <c r="J1292" s="2"/>
      <c r="K1292" s="2"/>
      <c r="L1292" s="2"/>
      <c r="M1292" s="2"/>
      <c r="N1292" s="2"/>
      <c r="O1292" s="2"/>
      <c r="P1292" s="2"/>
      <c r="Q1292" s="2"/>
      <c r="R1292" s="2"/>
      <c r="S1292" s="2"/>
      <c r="T1292" s="2"/>
      <c r="U1292" s="2"/>
      <c r="V1292" s="2"/>
      <c r="W1292" s="2"/>
      <c r="X1292" s="2"/>
      <c r="Y1292" s="2"/>
    </row>
    <row r="1293" spans="1:25" ht="17.399999999999999" x14ac:dyDescent="0.25">
      <c r="A1293" s="1"/>
      <c r="B1293" s="10"/>
      <c r="C1293" s="2"/>
      <c r="D1293" s="2"/>
      <c r="E1293" s="2"/>
      <c r="F1293" s="2"/>
      <c r="G1293" s="2"/>
      <c r="H1293" s="1"/>
      <c r="I1293" s="2"/>
      <c r="J1293" s="2"/>
      <c r="K1293" s="2"/>
      <c r="L1293" s="2"/>
      <c r="M1293" s="2"/>
      <c r="N1293" s="2"/>
      <c r="O1293" s="2"/>
      <c r="P1293" s="2"/>
      <c r="Q1293" s="2"/>
      <c r="R1293" s="2"/>
      <c r="S1293" s="2"/>
      <c r="T1293" s="2"/>
      <c r="U1293" s="2"/>
      <c r="V1293" s="2"/>
      <c r="W1293" s="2"/>
      <c r="X1293" s="2"/>
      <c r="Y1293" s="2"/>
    </row>
    <row r="1294" spans="1:25" ht="17.399999999999999" x14ac:dyDescent="0.25">
      <c r="A1294" s="1"/>
      <c r="B1294" s="10"/>
      <c r="C1294" s="2"/>
      <c r="D1294" s="2"/>
      <c r="E1294" s="2"/>
      <c r="F1294" s="2"/>
      <c r="G1294" s="2"/>
      <c r="H1294" s="1"/>
      <c r="I1294" s="2"/>
      <c r="J1294" s="2"/>
      <c r="K1294" s="2"/>
      <c r="L1294" s="2"/>
      <c r="M1294" s="2"/>
      <c r="N1294" s="2"/>
      <c r="O1294" s="2"/>
      <c r="P1294" s="2"/>
      <c r="Q1294" s="2"/>
      <c r="R1294" s="2"/>
      <c r="S1294" s="2"/>
      <c r="T1294" s="2"/>
      <c r="U1294" s="2"/>
      <c r="V1294" s="2"/>
      <c r="W1294" s="2"/>
      <c r="X1294" s="2"/>
      <c r="Y1294" s="2"/>
    </row>
    <row r="1295" spans="1:25" ht="17.399999999999999" x14ac:dyDescent="0.25">
      <c r="A1295" s="1"/>
      <c r="B1295" s="10"/>
      <c r="C1295" s="2"/>
      <c r="D1295" s="2"/>
      <c r="E1295" s="2"/>
      <c r="F1295" s="2"/>
      <c r="G1295" s="2"/>
      <c r="H1295" s="1"/>
      <c r="I1295" s="2"/>
      <c r="J1295" s="2"/>
      <c r="K1295" s="2"/>
      <c r="L1295" s="2"/>
      <c r="M1295" s="2"/>
      <c r="N1295" s="2"/>
      <c r="O1295" s="2"/>
      <c r="P1295" s="2"/>
      <c r="Q1295" s="2"/>
      <c r="R1295" s="2"/>
      <c r="S1295" s="2"/>
      <c r="T1295" s="2"/>
      <c r="U1295" s="2"/>
      <c r="V1295" s="2"/>
      <c r="W1295" s="2"/>
      <c r="X1295" s="2"/>
      <c r="Y1295" s="2"/>
    </row>
    <row r="1296" spans="1:25" ht="17.399999999999999" x14ac:dyDescent="0.25">
      <c r="A1296" s="1"/>
      <c r="B1296" s="10"/>
      <c r="C1296" s="2"/>
      <c r="D1296" s="2"/>
      <c r="E1296" s="2"/>
      <c r="F1296" s="2"/>
      <c r="G1296" s="2"/>
      <c r="H1296" s="1"/>
      <c r="I1296" s="2"/>
      <c r="J1296" s="2"/>
      <c r="K1296" s="2"/>
      <c r="L1296" s="2"/>
      <c r="M1296" s="2"/>
      <c r="N1296" s="2"/>
      <c r="O1296" s="2"/>
      <c r="P1296" s="2"/>
      <c r="Q1296" s="2"/>
      <c r="R1296" s="2"/>
      <c r="S1296" s="2"/>
      <c r="T1296" s="2"/>
      <c r="U1296" s="2"/>
      <c r="V1296" s="2"/>
      <c r="W1296" s="2"/>
      <c r="X1296" s="2"/>
      <c r="Y1296" s="2"/>
    </row>
    <row r="1297" spans="1:25" ht="17.399999999999999" x14ac:dyDescent="0.25">
      <c r="A1297" s="1"/>
      <c r="B1297" s="10"/>
      <c r="C1297" s="2"/>
      <c r="D1297" s="2"/>
      <c r="E1297" s="2"/>
      <c r="F1297" s="2"/>
      <c r="G1297" s="2"/>
      <c r="H1297" s="1"/>
      <c r="I1297" s="2"/>
      <c r="J1297" s="2"/>
      <c r="K1297" s="2"/>
      <c r="L1297" s="2"/>
      <c r="M1297" s="2"/>
      <c r="N1297" s="2"/>
      <c r="O1297" s="2"/>
      <c r="P1297" s="2"/>
      <c r="Q1297" s="2"/>
      <c r="R1297" s="2"/>
      <c r="S1297" s="2"/>
      <c r="T1297" s="2"/>
      <c r="U1297" s="2"/>
      <c r="V1297" s="2"/>
      <c r="W1297" s="2"/>
      <c r="X1297" s="2"/>
      <c r="Y1297" s="2"/>
    </row>
    <row r="1298" spans="1:25" ht="17.399999999999999" x14ac:dyDescent="0.25">
      <c r="A1298" s="1"/>
      <c r="B1298" s="10"/>
      <c r="C1298" s="2"/>
      <c r="D1298" s="2"/>
      <c r="E1298" s="2"/>
      <c r="F1298" s="2"/>
      <c r="G1298" s="2"/>
      <c r="H1298" s="1"/>
      <c r="I1298" s="2"/>
      <c r="J1298" s="2"/>
      <c r="K1298" s="2"/>
      <c r="L1298" s="2"/>
      <c r="M1298" s="2"/>
      <c r="N1298" s="2"/>
      <c r="O1298" s="2"/>
      <c r="P1298" s="2"/>
      <c r="Q1298" s="2"/>
      <c r="R1298" s="2"/>
      <c r="S1298" s="2"/>
      <c r="T1298" s="2"/>
      <c r="U1298" s="2"/>
      <c r="V1298" s="2"/>
      <c r="W1298" s="2"/>
      <c r="X1298" s="2"/>
      <c r="Y1298" s="2"/>
    </row>
    <row r="1299" spans="1:25" ht="17.399999999999999" x14ac:dyDescent="0.25">
      <c r="A1299" s="1"/>
      <c r="B1299" s="10"/>
      <c r="C1299" s="2"/>
      <c r="D1299" s="2"/>
      <c r="E1299" s="2"/>
      <c r="F1299" s="2"/>
      <c r="G1299" s="2"/>
      <c r="H1299" s="1"/>
      <c r="I1299" s="2"/>
      <c r="J1299" s="2"/>
      <c r="K1299" s="2"/>
      <c r="L1299" s="2"/>
      <c r="M1299" s="2"/>
      <c r="N1299" s="2"/>
      <c r="O1299" s="2"/>
      <c r="P1299" s="2"/>
      <c r="Q1299" s="2"/>
      <c r="R1299" s="2"/>
      <c r="S1299" s="2"/>
      <c r="T1299" s="2"/>
      <c r="U1299" s="2"/>
      <c r="V1299" s="2"/>
      <c r="W1299" s="2"/>
      <c r="X1299" s="2"/>
      <c r="Y1299" s="2"/>
    </row>
    <row r="1300" spans="1:25" ht="17.399999999999999" x14ac:dyDescent="0.25">
      <c r="A1300" s="1"/>
      <c r="B1300" s="10"/>
      <c r="C1300" s="2"/>
      <c r="D1300" s="2"/>
      <c r="E1300" s="2"/>
      <c r="F1300" s="2"/>
      <c r="G1300" s="2"/>
      <c r="H1300" s="1"/>
      <c r="I1300" s="2"/>
      <c r="J1300" s="2"/>
      <c r="K1300" s="2"/>
      <c r="L1300" s="2"/>
      <c r="M1300" s="2"/>
      <c r="N1300" s="2"/>
      <c r="O1300" s="2"/>
      <c r="P1300" s="2"/>
      <c r="Q1300" s="2"/>
      <c r="R1300" s="2"/>
      <c r="S1300" s="2"/>
      <c r="T1300" s="2"/>
      <c r="U1300" s="2"/>
      <c r="V1300" s="2"/>
      <c r="W1300" s="2"/>
      <c r="X1300" s="2"/>
      <c r="Y1300" s="2"/>
    </row>
    <row r="1301" spans="1:25" ht="17.399999999999999" x14ac:dyDescent="0.25">
      <c r="A1301" s="1"/>
      <c r="B1301" s="10"/>
      <c r="C1301" s="2"/>
      <c r="D1301" s="2"/>
      <c r="E1301" s="2"/>
      <c r="F1301" s="2"/>
      <c r="G1301" s="2"/>
      <c r="H1301" s="1"/>
      <c r="I1301" s="2"/>
      <c r="J1301" s="2"/>
      <c r="K1301" s="2"/>
      <c r="L1301" s="2"/>
      <c r="M1301" s="2"/>
      <c r="N1301" s="2"/>
      <c r="O1301" s="2"/>
      <c r="P1301" s="2"/>
      <c r="Q1301" s="2"/>
      <c r="R1301" s="2"/>
      <c r="S1301" s="2"/>
      <c r="T1301" s="2"/>
      <c r="U1301" s="2"/>
      <c r="V1301" s="2"/>
      <c r="W1301" s="2"/>
      <c r="X1301" s="2"/>
      <c r="Y1301" s="2"/>
    </row>
    <row r="1302" spans="1:25" ht="17.399999999999999" x14ac:dyDescent="0.25">
      <c r="A1302" s="1"/>
      <c r="B1302" s="10"/>
      <c r="C1302" s="2"/>
      <c r="D1302" s="2"/>
      <c r="E1302" s="2"/>
      <c r="F1302" s="2"/>
      <c r="G1302" s="2"/>
      <c r="H1302" s="1"/>
      <c r="I1302" s="2"/>
      <c r="J1302" s="2"/>
      <c r="K1302" s="2"/>
      <c r="L1302" s="2"/>
      <c r="M1302" s="2"/>
      <c r="N1302" s="2"/>
      <c r="O1302" s="2"/>
      <c r="P1302" s="2"/>
      <c r="Q1302" s="2"/>
      <c r="R1302" s="2"/>
      <c r="S1302" s="2"/>
      <c r="T1302" s="2"/>
      <c r="U1302" s="2"/>
      <c r="V1302" s="2"/>
      <c r="W1302" s="2"/>
      <c r="X1302" s="2"/>
      <c r="Y1302" s="2"/>
    </row>
    <row r="1303" spans="1:25" ht="17.399999999999999" x14ac:dyDescent="0.25">
      <c r="A1303" s="1"/>
      <c r="B1303" s="10"/>
      <c r="C1303" s="2"/>
      <c r="D1303" s="2"/>
      <c r="E1303" s="2"/>
      <c r="F1303" s="2"/>
      <c r="G1303" s="2"/>
      <c r="H1303" s="1"/>
      <c r="I1303" s="2"/>
      <c r="J1303" s="2"/>
      <c r="K1303" s="2"/>
      <c r="L1303" s="2"/>
      <c r="M1303" s="2"/>
      <c r="N1303" s="2"/>
      <c r="O1303" s="2"/>
      <c r="P1303" s="2"/>
      <c r="Q1303" s="2"/>
      <c r="R1303" s="2"/>
      <c r="S1303" s="2"/>
      <c r="T1303" s="2"/>
      <c r="U1303" s="2"/>
      <c r="V1303" s="2"/>
      <c r="W1303" s="2"/>
      <c r="X1303" s="2"/>
      <c r="Y1303" s="2"/>
    </row>
    <row r="1304" spans="1:25" ht="17.399999999999999" x14ac:dyDescent="0.25">
      <c r="A1304" s="1"/>
      <c r="B1304" s="10"/>
      <c r="C1304" s="2"/>
      <c r="D1304" s="2"/>
      <c r="E1304" s="2"/>
      <c r="F1304" s="2"/>
      <c r="G1304" s="2"/>
      <c r="H1304" s="1"/>
      <c r="I1304" s="2"/>
      <c r="J1304" s="2"/>
      <c r="K1304" s="2"/>
      <c r="L1304" s="2"/>
      <c r="M1304" s="2"/>
      <c r="N1304" s="2"/>
      <c r="O1304" s="2"/>
      <c r="P1304" s="2"/>
      <c r="Q1304" s="2"/>
      <c r="R1304" s="2"/>
      <c r="S1304" s="2"/>
      <c r="T1304" s="2"/>
      <c r="U1304" s="2"/>
      <c r="V1304" s="2"/>
      <c r="W1304" s="2"/>
      <c r="X1304" s="2"/>
      <c r="Y1304" s="2"/>
    </row>
    <row r="1305" spans="1:25" ht="17.399999999999999" x14ac:dyDescent="0.25">
      <c r="A1305" s="1"/>
      <c r="B1305" s="10"/>
      <c r="C1305" s="2"/>
      <c r="D1305" s="2"/>
      <c r="E1305" s="2"/>
      <c r="F1305" s="2"/>
      <c r="G1305" s="2"/>
      <c r="H1305" s="1"/>
      <c r="I1305" s="2"/>
      <c r="J1305" s="2"/>
      <c r="K1305" s="2"/>
      <c r="L1305" s="2"/>
      <c r="M1305" s="2"/>
      <c r="N1305" s="2"/>
      <c r="O1305" s="2"/>
      <c r="P1305" s="2"/>
      <c r="Q1305" s="2"/>
      <c r="R1305" s="2"/>
      <c r="S1305" s="2"/>
      <c r="T1305" s="2"/>
      <c r="U1305" s="2"/>
      <c r="V1305" s="2"/>
      <c r="W1305" s="2"/>
      <c r="X1305" s="2"/>
      <c r="Y1305" s="2"/>
    </row>
    <row r="1306" spans="1:25" ht="17.399999999999999" x14ac:dyDescent="0.25">
      <c r="A1306" s="1"/>
      <c r="B1306" s="10"/>
      <c r="C1306" s="2"/>
      <c r="D1306" s="2"/>
      <c r="E1306" s="2"/>
      <c r="F1306" s="2"/>
      <c r="G1306" s="2"/>
      <c r="H1306" s="1"/>
      <c r="I1306" s="2"/>
      <c r="J1306" s="2"/>
      <c r="K1306" s="2"/>
      <c r="L1306" s="2"/>
      <c r="M1306" s="2"/>
      <c r="N1306" s="2"/>
      <c r="O1306" s="2"/>
      <c r="P1306" s="2"/>
      <c r="Q1306" s="2"/>
      <c r="R1306" s="2"/>
      <c r="S1306" s="2"/>
      <c r="T1306" s="2"/>
      <c r="U1306" s="2"/>
      <c r="V1306" s="2"/>
      <c r="W1306" s="2"/>
      <c r="X1306" s="2"/>
      <c r="Y1306" s="2"/>
    </row>
    <row r="1307" spans="1:25" ht="17.399999999999999" x14ac:dyDescent="0.25">
      <c r="A1307" s="1"/>
      <c r="B1307" s="10"/>
      <c r="C1307" s="2"/>
      <c r="D1307" s="2"/>
      <c r="E1307" s="2"/>
      <c r="F1307" s="2"/>
      <c r="G1307" s="2"/>
      <c r="H1307" s="1"/>
      <c r="I1307" s="2"/>
      <c r="J1307" s="2"/>
      <c r="K1307" s="2"/>
      <c r="L1307" s="2"/>
      <c r="M1307" s="2"/>
      <c r="N1307" s="2"/>
      <c r="O1307" s="2"/>
      <c r="P1307" s="2"/>
      <c r="Q1307" s="2"/>
      <c r="R1307" s="2"/>
      <c r="S1307" s="2"/>
      <c r="T1307" s="2"/>
      <c r="U1307" s="2"/>
      <c r="V1307" s="2"/>
      <c r="W1307" s="2"/>
      <c r="X1307" s="2"/>
      <c r="Y1307" s="2"/>
    </row>
    <row r="1308" spans="1:25" ht="17.399999999999999" x14ac:dyDescent="0.25">
      <c r="A1308" s="1"/>
      <c r="B1308" s="10"/>
      <c r="C1308" s="2"/>
      <c r="D1308" s="2"/>
      <c r="E1308" s="2"/>
      <c r="F1308" s="2"/>
      <c r="G1308" s="2"/>
      <c r="H1308" s="1"/>
      <c r="I1308" s="2"/>
      <c r="J1308" s="2"/>
      <c r="K1308" s="2"/>
      <c r="L1308" s="2"/>
      <c r="M1308" s="2"/>
      <c r="N1308" s="2"/>
      <c r="O1308" s="2"/>
      <c r="P1308" s="2"/>
      <c r="Q1308" s="2"/>
      <c r="R1308" s="2"/>
      <c r="S1308" s="2"/>
      <c r="T1308" s="2"/>
      <c r="U1308" s="2"/>
      <c r="V1308" s="2"/>
      <c r="W1308" s="2"/>
      <c r="X1308" s="2"/>
      <c r="Y1308" s="2"/>
    </row>
    <row r="1309" spans="1:25" ht="17.399999999999999" x14ac:dyDescent="0.25">
      <c r="A1309" s="1"/>
      <c r="B1309" s="10"/>
      <c r="C1309" s="2"/>
      <c r="D1309" s="2"/>
      <c r="E1309" s="2"/>
      <c r="F1309" s="2"/>
      <c r="G1309" s="2"/>
      <c r="H1309" s="1"/>
      <c r="I1309" s="2"/>
      <c r="J1309" s="2"/>
      <c r="K1309" s="2"/>
      <c r="L1309" s="2"/>
      <c r="M1309" s="2"/>
      <c r="N1309" s="2"/>
      <c r="O1309" s="2"/>
      <c r="P1309" s="2"/>
      <c r="Q1309" s="2"/>
      <c r="R1309" s="2"/>
      <c r="S1309" s="2"/>
      <c r="T1309" s="2"/>
      <c r="U1309" s="2"/>
      <c r="V1309" s="2"/>
      <c r="W1309" s="2"/>
      <c r="X1309" s="2"/>
      <c r="Y1309" s="2"/>
    </row>
    <row r="1310" spans="1:25" ht="17.399999999999999" x14ac:dyDescent="0.25">
      <c r="A1310" s="1"/>
      <c r="B1310" s="10"/>
      <c r="C1310" s="2"/>
      <c r="D1310" s="2"/>
      <c r="E1310" s="2"/>
      <c r="F1310" s="2"/>
      <c r="G1310" s="2"/>
      <c r="H1310" s="1"/>
      <c r="I1310" s="2"/>
      <c r="J1310" s="2"/>
      <c r="K1310" s="2"/>
      <c r="L1310" s="2"/>
      <c r="M1310" s="2"/>
      <c r="N1310" s="2"/>
      <c r="O1310" s="2"/>
      <c r="P1310" s="2"/>
      <c r="Q1310" s="2"/>
      <c r="R1310" s="2"/>
      <c r="S1310" s="2"/>
      <c r="T1310" s="2"/>
      <c r="U1310" s="2"/>
      <c r="V1310" s="2"/>
      <c r="W1310" s="2"/>
      <c r="X1310" s="2"/>
      <c r="Y1310" s="2"/>
    </row>
    <row r="1311" spans="1:25" ht="17.399999999999999" x14ac:dyDescent="0.25">
      <c r="A1311" s="1"/>
      <c r="B1311" s="10"/>
      <c r="C1311" s="2"/>
      <c r="D1311" s="2"/>
      <c r="E1311" s="2"/>
      <c r="F1311" s="2"/>
      <c r="G1311" s="2"/>
      <c r="H1311" s="1"/>
      <c r="I1311" s="2"/>
      <c r="J1311" s="2"/>
      <c r="K1311" s="2"/>
      <c r="L1311" s="2"/>
      <c r="M1311" s="2"/>
      <c r="N1311" s="2"/>
      <c r="O1311" s="2"/>
      <c r="P1311" s="2"/>
      <c r="Q1311" s="2"/>
      <c r="R1311" s="2"/>
      <c r="S1311" s="2"/>
      <c r="T1311" s="2"/>
      <c r="U1311" s="2"/>
      <c r="V1311" s="2"/>
      <c r="W1311" s="2"/>
      <c r="X1311" s="2"/>
      <c r="Y1311" s="2"/>
    </row>
    <row r="1312" spans="1:25" ht="17.399999999999999" x14ac:dyDescent="0.25">
      <c r="A1312" s="1"/>
      <c r="B1312" s="10"/>
      <c r="C1312" s="2"/>
      <c r="D1312" s="2"/>
      <c r="E1312" s="2"/>
      <c r="F1312" s="2"/>
      <c r="G1312" s="2"/>
      <c r="H1312" s="1"/>
      <c r="I1312" s="2"/>
      <c r="J1312" s="2"/>
      <c r="K1312" s="2"/>
      <c r="L1312" s="2"/>
      <c r="M1312" s="2"/>
      <c r="N1312" s="2"/>
      <c r="O1312" s="2"/>
      <c r="P1312" s="2"/>
      <c r="Q1312" s="2"/>
      <c r="R1312" s="2"/>
      <c r="S1312" s="2"/>
      <c r="T1312" s="2"/>
      <c r="U1312" s="2"/>
      <c r="V1312" s="2"/>
      <c r="W1312" s="2"/>
      <c r="X1312" s="2"/>
      <c r="Y1312" s="2"/>
    </row>
    <row r="1313" spans="1:25" ht="17.399999999999999" x14ac:dyDescent="0.25">
      <c r="A1313" s="1"/>
      <c r="B1313" s="10"/>
      <c r="C1313" s="2"/>
      <c r="D1313" s="2"/>
      <c r="E1313" s="2"/>
      <c r="F1313" s="2"/>
      <c r="G1313" s="2"/>
      <c r="H1313" s="1"/>
      <c r="I1313" s="2"/>
      <c r="J1313" s="2"/>
      <c r="K1313" s="2"/>
      <c r="L1313" s="2"/>
      <c r="M1313" s="2"/>
      <c r="N1313" s="2"/>
      <c r="O1313" s="2"/>
      <c r="P1313" s="2"/>
      <c r="Q1313" s="2"/>
      <c r="R1313" s="2"/>
      <c r="S1313" s="2"/>
      <c r="T1313" s="2"/>
      <c r="U1313" s="2"/>
      <c r="V1313" s="2"/>
      <c r="W1313" s="2"/>
      <c r="X1313" s="2"/>
      <c r="Y1313" s="2"/>
    </row>
    <row r="1314" spans="1:25" ht="17.399999999999999" x14ac:dyDescent="0.25">
      <c r="A1314" s="1"/>
      <c r="B1314" s="10"/>
      <c r="C1314" s="2"/>
      <c r="D1314" s="2"/>
      <c r="E1314" s="2"/>
      <c r="F1314" s="2"/>
      <c r="G1314" s="2"/>
      <c r="H1314" s="1"/>
      <c r="I1314" s="2"/>
      <c r="J1314" s="2"/>
      <c r="K1314" s="2"/>
      <c r="L1314" s="2"/>
      <c r="M1314" s="2"/>
      <c r="N1314" s="2"/>
      <c r="O1314" s="2"/>
      <c r="P1314" s="2"/>
      <c r="Q1314" s="2"/>
      <c r="R1314" s="2"/>
      <c r="S1314" s="2"/>
      <c r="T1314" s="2"/>
      <c r="U1314" s="2"/>
      <c r="V1314" s="2"/>
      <c r="W1314" s="2"/>
      <c r="X1314" s="2"/>
      <c r="Y1314" s="2"/>
    </row>
    <row r="1315" spans="1:25" ht="17.399999999999999" x14ac:dyDescent="0.25">
      <c r="A1315" s="1"/>
      <c r="B1315" s="10"/>
      <c r="C1315" s="2"/>
      <c r="D1315" s="2"/>
      <c r="E1315" s="2"/>
      <c r="F1315" s="2"/>
      <c r="G1315" s="2"/>
      <c r="H1315" s="1"/>
      <c r="I1315" s="2"/>
      <c r="J1315" s="2"/>
      <c r="K1315" s="2"/>
      <c r="L1315" s="2"/>
      <c r="M1315" s="2"/>
      <c r="N1315" s="2"/>
      <c r="O1315" s="2"/>
      <c r="P1315" s="2"/>
      <c r="Q1315" s="2"/>
      <c r="R1315" s="2"/>
      <c r="S1315" s="2"/>
      <c r="T1315" s="2"/>
      <c r="U1315" s="2"/>
      <c r="V1315" s="2"/>
      <c r="W1315" s="2"/>
      <c r="X1315" s="2"/>
      <c r="Y1315" s="2"/>
    </row>
    <row r="1316" spans="1:25" ht="17.399999999999999" x14ac:dyDescent="0.25">
      <c r="A1316" s="1"/>
      <c r="B1316" s="10"/>
      <c r="C1316" s="2"/>
      <c r="D1316" s="2"/>
      <c r="E1316" s="2"/>
      <c r="F1316" s="2"/>
      <c r="G1316" s="2"/>
      <c r="H1316" s="1"/>
      <c r="I1316" s="2"/>
      <c r="J1316" s="2"/>
      <c r="K1316" s="2"/>
      <c r="L1316" s="2"/>
      <c r="M1316" s="2"/>
      <c r="N1316" s="2"/>
      <c r="O1316" s="2"/>
      <c r="P1316" s="2"/>
      <c r="Q1316" s="2"/>
      <c r="R1316" s="2"/>
      <c r="S1316" s="2"/>
      <c r="T1316" s="2"/>
      <c r="U1316" s="2"/>
      <c r="V1316" s="2"/>
      <c r="W1316" s="2"/>
      <c r="X1316" s="2"/>
      <c r="Y1316" s="2"/>
    </row>
    <row r="1317" spans="1:25" ht="17.399999999999999" x14ac:dyDescent="0.25">
      <c r="A1317" s="1"/>
      <c r="B1317" s="10"/>
      <c r="C1317" s="2"/>
      <c r="D1317" s="2"/>
      <c r="E1317" s="2"/>
      <c r="F1317" s="2"/>
      <c r="G1317" s="2"/>
      <c r="H1317" s="1"/>
      <c r="I1317" s="2"/>
      <c r="J1317" s="2"/>
      <c r="K1317" s="2"/>
      <c r="L1317" s="2"/>
      <c r="M1317" s="2"/>
      <c r="N1317" s="2"/>
      <c r="O1317" s="2"/>
      <c r="P1317" s="2"/>
      <c r="Q1317" s="2"/>
      <c r="R1317" s="2"/>
      <c r="S1317" s="2"/>
      <c r="T1317" s="2"/>
      <c r="U1317" s="2"/>
      <c r="V1317" s="2"/>
      <c r="W1317" s="2"/>
      <c r="X1317" s="2"/>
      <c r="Y1317" s="2"/>
    </row>
    <row r="1318" spans="1:25" ht="17.399999999999999" x14ac:dyDescent="0.25">
      <c r="A1318" s="1"/>
      <c r="B1318" s="10"/>
      <c r="C1318" s="2"/>
      <c r="D1318" s="2"/>
      <c r="E1318" s="2"/>
      <c r="F1318" s="2"/>
      <c r="G1318" s="2"/>
      <c r="H1318" s="1"/>
      <c r="I1318" s="2"/>
      <c r="J1318" s="2"/>
      <c r="K1318" s="2"/>
      <c r="L1318" s="2"/>
      <c r="M1318" s="2"/>
      <c r="N1318" s="2"/>
      <c r="O1318" s="2"/>
      <c r="P1318" s="2"/>
      <c r="Q1318" s="2"/>
      <c r="R1318" s="2"/>
      <c r="S1318" s="2"/>
      <c r="T1318" s="2"/>
      <c r="U1318" s="2"/>
      <c r="V1318" s="2"/>
      <c r="W1318" s="2"/>
      <c r="X1318" s="2"/>
      <c r="Y1318" s="2"/>
    </row>
    <row r="1319" spans="1:25" ht="17.399999999999999" x14ac:dyDescent="0.25">
      <c r="A1319" s="1"/>
      <c r="B1319" s="10"/>
      <c r="C1319" s="2"/>
      <c r="D1319" s="2"/>
      <c r="E1319" s="2"/>
      <c r="F1319" s="2"/>
      <c r="G1319" s="2"/>
      <c r="H1319" s="1"/>
      <c r="I1319" s="2"/>
      <c r="J1319" s="2"/>
      <c r="K1319" s="2"/>
      <c r="L1319" s="2"/>
      <c r="M1319" s="2"/>
      <c r="N1319" s="2"/>
      <c r="O1319" s="2"/>
      <c r="P1319" s="2"/>
      <c r="Q1319" s="2"/>
      <c r="R1319" s="2"/>
      <c r="S1319" s="2"/>
      <c r="T1319" s="2"/>
      <c r="U1319" s="2"/>
      <c r="V1319" s="2"/>
      <c r="W1319" s="2"/>
      <c r="X1319" s="2"/>
      <c r="Y1319" s="2"/>
    </row>
    <row r="1320" spans="1:25" ht="17.399999999999999" x14ac:dyDescent="0.25">
      <c r="A1320" s="1"/>
      <c r="B1320" s="10"/>
      <c r="C1320" s="2"/>
      <c r="D1320" s="2"/>
      <c r="E1320" s="2"/>
      <c r="F1320" s="2"/>
      <c r="G1320" s="2"/>
      <c r="H1320" s="1"/>
      <c r="I1320" s="2"/>
      <c r="J1320" s="2"/>
      <c r="K1320" s="2"/>
      <c r="L1320" s="2"/>
      <c r="M1320" s="2"/>
      <c r="N1320" s="2"/>
      <c r="O1320" s="2"/>
      <c r="P1320" s="2"/>
      <c r="Q1320" s="2"/>
      <c r="R1320" s="2"/>
      <c r="S1320" s="2"/>
      <c r="T1320" s="2"/>
      <c r="U1320" s="2"/>
      <c r="V1320" s="2"/>
      <c r="W1320" s="2"/>
      <c r="X1320" s="2"/>
      <c r="Y1320" s="2"/>
    </row>
    <row r="1321" spans="1:25" ht="17.399999999999999" x14ac:dyDescent="0.25">
      <c r="A1321" s="1"/>
      <c r="B1321" s="10"/>
      <c r="C1321" s="2"/>
      <c r="D1321" s="2"/>
      <c r="E1321" s="2"/>
      <c r="F1321" s="2"/>
      <c r="G1321" s="2"/>
      <c r="H1321" s="1"/>
      <c r="I1321" s="2"/>
      <c r="J1321" s="2"/>
      <c r="K1321" s="2"/>
      <c r="L1321" s="2"/>
      <c r="M1321" s="2"/>
      <c r="N1321" s="2"/>
      <c r="O1321" s="2"/>
      <c r="P1321" s="2"/>
      <c r="Q1321" s="2"/>
      <c r="R1321" s="2"/>
      <c r="S1321" s="2"/>
      <c r="T1321" s="2"/>
      <c r="U1321" s="2"/>
      <c r="V1321" s="2"/>
      <c r="W1321" s="2"/>
      <c r="X1321" s="2"/>
      <c r="Y1321" s="2"/>
    </row>
    <row r="1322" spans="1:25" ht="17.399999999999999" x14ac:dyDescent="0.25">
      <c r="A1322" s="1"/>
      <c r="B1322" s="10"/>
      <c r="C1322" s="2"/>
      <c r="D1322" s="2"/>
      <c r="E1322" s="2"/>
      <c r="F1322" s="2"/>
      <c r="G1322" s="2"/>
      <c r="H1322" s="1"/>
      <c r="I1322" s="2"/>
      <c r="J1322" s="2"/>
      <c r="K1322" s="2"/>
      <c r="L1322" s="2"/>
      <c r="M1322" s="2"/>
      <c r="N1322" s="2"/>
      <c r="O1322" s="2"/>
      <c r="P1322" s="2"/>
      <c r="Q1322" s="2"/>
      <c r="R1322" s="2"/>
      <c r="S1322" s="2"/>
      <c r="T1322" s="2"/>
      <c r="U1322" s="2"/>
      <c r="V1322" s="2"/>
      <c r="W1322" s="2"/>
      <c r="X1322" s="2"/>
      <c r="Y1322" s="2"/>
    </row>
    <row r="1323" spans="1:25" ht="17.399999999999999" x14ac:dyDescent="0.25">
      <c r="A1323" s="1"/>
      <c r="B1323" s="10"/>
      <c r="C1323" s="2"/>
      <c r="D1323" s="2"/>
      <c r="E1323" s="2"/>
      <c r="F1323" s="2"/>
      <c r="G1323" s="2"/>
      <c r="H1323" s="1"/>
      <c r="I1323" s="2"/>
      <c r="J1323" s="2"/>
      <c r="K1323" s="2"/>
      <c r="L1323" s="2"/>
      <c r="M1323" s="2"/>
      <c r="N1323" s="2"/>
      <c r="O1323" s="2"/>
      <c r="P1323" s="2"/>
      <c r="Q1323" s="2"/>
      <c r="R1323" s="2"/>
      <c r="S1323" s="2"/>
      <c r="T1323" s="2"/>
      <c r="U1323" s="2"/>
      <c r="V1323" s="2"/>
      <c r="W1323" s="2"/>
      <c r="X1323" s="2"/>
      <c r="Y1323" s="2"/>
    </row>
    <row r="1324" spans="1:25" ht="17.399999999999999" x14ac:dyDescent="0.25">
      <c r="A1324" s="1"/>
      <c r="B1324" s="10"/>
      <c r="C1324" s="2"/>
      <c r="D1324" s="2"/>
      <c r="E1324" s="2"/>
      <c r="F1324" s="2"/>
      <c r="G1324" s="2"/>
      <c r="H1324" s="1"/>
      <c r="I1324" s="2"/>
      <c r="J1324" s="2"/>
      <c r="K1324" s="2"/>
      <c r="L1324" s="2"/>
      <c r="M1324" s="2"/>
      <c r="N1324" s="2"/>
      <c r="O1324" s="2"/>
      <c r="P1324" s="2"/>
      <c r="Q1324" s="2"/>
      <c r="R1324" s="2"/>
      <c r="S1324" s="2"/>
      <c r="T1324" s="2"/>
      <c r="U1324" s="2"/>
      <c r="V1324" s="2"/>
      <c r="W1324" s="2"/>
      <c r="X1324" s="2"/>
      <c r="Y1324" s="2"/>
    </row>
    <row r="1325" spans="1:25" ht="17.399999999999999" x14ac:dyDescent="0.25">
      <c r="A1325" s="1"/>
      <c r="B1325" s="10"/>
      <c r="C1325" s="2"/>
      <c r="D1325" s="2"/>
      <c r="E1325" s="2"/>
      <c r="F1325" s="2"/>
      <c r="G1325" s="2"/>
      <c r="H1325" s="1"/>
      <c r="I1325" s="2"/>
      <c r="J1325" s="2"/>
      <c r="K1325" s="2"/>
      <c r="L1325" s="2"/>
      <c r="M1325" s="2"/>
      <c r="N1325" s="2"/>
      <c r="O1325" s="2"/>
      <c r="P1325" s="2"/>
      <c r="Q1325" s="2"/>
      <c r="R1325" s="2"/>
      <c r="S1325" s="2"/>
      <c r="T1325" s="2"/>
      <c r="U1325" s="2"/>
      <c r="V1325" s="2"/>
      <c r="W1325" s="2"/>
      <c r="X1325" s="2"/>
      <c r="Y1325" s="2"/>
    </row>
    <row r="1326" spans="1:25" ht="17.399999999999999" x14ac:dyDescent="0.25">
      <c r="A1326" s="1"/>
      <c r="B1326" s="10"/>
      <c r="C1326" s="2"/>
      <c r="D1326" s="2"/>
      <c r="E1326" s="2"/>
      <c r="F1326" s="2"/>
      <c r="G1326" s="2"/>
      <c r="H1326" s="1"/>
      <c r="I1326" s="2"/>
      <c r="J1326" s="2"/>
      <c r="K1326" s="2"/>
      <c r="L1326" s="2"/>
      <c r="M1326" s="2"/>
      <c r="N1326" s="2"/>
      <c r="O1326" s="2"/>
      <c r="P1326" s="2"/>
      <c r="Q1326" s="2"/>
      <c r="R1326" s="2"/>
      <c r="S1326" s="2"/>
      <c r="T1326" s="2"/>
      <c r="U1326" s="2"/>
      <c r="V1326" s="2"/>
      <c r="W1326" s="2"/>
      <c r="X1326" s="2"/>
      <c r="Y1326" s="2"/>
    </row>
    <row r="1327" spans="1:25" ht="17.399999999999999" x14ac:dyDescent="0.25">
      <c r="A1327" s="1"/>
      <c r="B1327" s="10"/>
      <c r="C1327" s="2"/>
      <c r="D1327" s="2"/>
      <c r="E1327" s="2"/>
      <c r="F1327" s="2"/>
      <c r="G1327" s="2"/>
      <c r="H1327" s="1"/>
      <c r="I1327" s="2"/>
      <c r="J1327" s="2"/>
      <c r="K1327" s="2"/>
      <c r="L1327" s="2"/>
      <c r="M1327" s="2"/>
      <c r="N1327" s="2"/>
      <c r="O1327" s="2"/>
      <c r="P1327" s="2"/>
      <c r="Q1327" s="2"/>
      <c r="R1327" s="2"/>
      <c r="S1327" s="2"/>
      <c r="T1327" s="2"/>
      <c r="U1327" s="2"/>
      <c r="V1327" s="2"/>
      <c r="W1327" s="2"/>
      <c r="X1327" s="2"/>
      <c r="Y1327" s="2"/>
    </row>
    <row r="1328" spans="1:25" ht="17.399999999999999" x14ac:dyDescent="0.25">
      <c r="A1328" s="1"/>
      <c r="B1328" s="10"/>
      <c r="C1328" s="2"/>
      <c r="D1328" s="2"/>
      <c r="E1328" s="2"/>
      <c r="F1328" s="2"/>
      <c r="G1328" s="2"/>
      <c r="H1328" s="1"/>
      <c r="I1328" s="2"/>
      <c r="J1328" s="2"/>
      <c r="K1328" s="2"/>
      <c r="L1328" s="2"/>
      <c r="M1328" s="2"/>
      <c r="N1328" s="2"/>
      <c r="O1328" s="2"/>
      <c r="P1328" s="2"/>
      <c r="Q1328" s="2"/>
      <c r="R1328" s="2"/>
      <c r="S1328" s="2"/>
      <c r="T1328" s="2"/>
      <c r="U1328" s="2"/>
      <c r="V1328" s="2"/>
      <c r="W1328" s="2"/>
      <c r="X1328" s="2"/>
      <c r="Y1328" s="2"/>
    </row>
    <row r="1329" spans="1:25" ht="17.399999999999999" x14ac:dyDescent="0.25">
      <c r="A1329" s="1"/>
      <c r="B1329" s="10"/>
      <c r="C1329" s="2"/>
      <c r="D1329" s="2"/>
      <c r="E1329" s="2"/>
      <c r="F1329" s="2"/>
      <c r="G1329" s="2"/>
      <c r="H1329" s="1"/>
      <c r="I1329" s="2"/>
      <c r="J1329" s="2"/>
      <c r="K1329" s="2"/>
      <c r="L1329" s="2"/>
      <c r="M1329" s="2"/>
      <c r="N1329" s="2"/>
      <c r="O1329" s="2"/>
      <c r="P1329" s="2"/>
      <c r="Q1329" s="2"/>
      <c r="R1329" s="2"/>
      <c r="S1329" s="2"/>
      <c r="T1329" s="2"/>
      <c r="U1329" s="2"/>
      <c r="V1329" s="2"/>
      <c r="W1329" s="2"/>
      <c r="X1329" s="2"/>
      <c r="Y1329" s="2"/>
    </row>
    <row r="1330" spans="1:25" ht="17.399999999999999" x14ac:dyDescent="0.25">
      <c r="A1330" s="1"/>
      <c r="B1330" s="10"/>
      <c r="C1330" s="2"/>
      <c r="D1330" s="2"/>
      <c r="E1330" s="2"/>
      <c r="F1330" s="2"/>
      <c r="G1330" s="2"/>
      <c r="H1330" s="1"/>
      <c r="I1330" s="2"/>
      <c r="J1330" s="2"/>
      <c r="K1330" s="2"/>
      <c r="L1330" s="2"/>
      <c r="M1330" s="2"/>
      <c r="N1330" s="2"/>
      <c r="O1330" s="2"/>
      <c r="P1330" s="2"/>
      <c r="Q1330" s="2"/>
      <c r="R1330" s="2"/>
      <c r="S1330" s="2"/>
      <c r="T1330" s="2"/>
      <c r="U1330" s="2"/>
      <c r="V1330" s="2"/>
      <c r="W1330" s="2"/>
      <c r="X1330" s="2"/>
      <c r="Y1330" s="2"/>
    </row>
    <row r="1331" spans="1:25" ht="17.399999999999999" x14ac:dyDescent="0.25">
      <c r="A1331" s="1"/>
      <c r="B1331" s="10"/>
      <c r="C1331" s="2"/>
      <c r="D1331" s="2"/>
      <c r="E1331" s="2"/>
      <c r="F1331" s="2"/>
      <c r="G1331" s="2"/>
      <c r="H1331" s="1"/>
      <c r="I1331" s="2"/>
      <c r="J1331" s="2"/>
      <c r="K1331" s="2"/>
      <c r="L1331" s="2"/>
      <c r="M1331" s="2"/>
      <c r="N1331" s="2"/>
      <c r="O1331" s="2"/>
      <c r="P1331" s="2"/>
      <c r="Q1331" s="2"/>
      <c r="R1331" s="2"/>
      <c r="S1331" s="2"/>
      <c r="T1331" s="2"/>
      <c r="U1331" s="2"/>
      <c r="V1331" s="2"/>
      <c r="W1331" s="2"/>
      <c r="X1331" s="2"/>
      <c r="Y1331" s="2"/>
    </row>
    <row r="1332" spans="1:25" ht="17.399999999999999" x14ac:dyDescent="0.25">
      <c r="A1332" s="1"/>
      <c r="B1332" s="10"/>
      <c r="C1332" s="2"/>
      <c r="D1332" s="2"/>
      <c r="E1332" s="2"/>
      <c r="F1332" s="2"/>
      <c r="G1332" s="2"/>
      <c r="H1332" s="1"/>
      <c r="I1332" s="2"/>
      <c r="J1332" s="2"/>
      <c r="K1332" s="2"/>
      <c r="L1332" s="2"/>
      <c r="M1332" s="2"/>
      <c r="N1332" s="2"/>
      <c r="O1332" s="2"/>
      <c r="P1332" s="2"/>
      <c r="Q1332" s="2"/>
      <c r="R1332" s="2"/>
      <c r="S1332" s="2"/>
      <c r="T1332" s="2"/>
      <c r="U1332" s="2"/>
      <c r="V1332" s="2"/>
      <c r="W1332" s="2"/>
      <c r="X1332" s="2"/>
      <c r="Y1332" s="2"/>
    </row>
    <row r="1333" spans="1:25" ht="17.399999999999999" x14ac:dyDescent="0.25">
      <c r="A1333" s="1"/>
      <c r="B1333" s="10"/>
      <c r="C1333" s="2"/>
      <c r="D1333" s="2"/>
      <c r="E1333" s="2"/>
      <c r="F1333" s="2"/>
      <c r="G1333" s="2"/>
      <c r="H1333" s="1"/>
      <c r="I1333" s="2"/>
      <c r="J1333" s="2"/>
      <c r="K1333" s="2"/>
      <c r="L1333" s="2"/>
      <c r="M1333" s="2"/>
      <c r="N1333" s="2"/>
      <c r="O1333" s="2"/>
      <c r="P1333" s="2"/>
      <c r="Q1333" s="2"/>
      <c r="R1333" s="2"/>
      <c r="S1333" s="2"/>
      <c r="T1333" s="2"/>
      <c r="U1333" s="2"/>
      <c r="V1333" s="2"/>
      <c r="W1333" s="2"/>
      <c r="X1333" s="2"/>
      <c r="Y1333" s="2"/>
    </row>
    <row r="1334" spans="1:25" ht="17.399999999999999" x14ac:dyDescent="0.25">
      <c r="A1334" s="1"/>
      <c r="B1334" s="10"/>
      <c r="C1334" s="2"/>
      <c r="D1334" s="2"/>
      <c r="E1334" s="2"/>
      <c r="F1334" s="2"/>
      <c r="G1334" s="2"/>
      <c r="H1334" s="1"/>
      <c r="I1334" s="2"/>
      <c r="J1334" s="2"/>
      <c r="K1334" s="2"/>
      <c r="L1334" s="2"/>
      <c r="M1334" s="2"/>
      <c r="N1334" s="2"/>
      <c r="O1334" s="2"/>
      <c r="P1334" s="2"/>
      <c r="Q1334" s="2"/>
      <c r="R1334" s="2"/>
      <c r="S1334" s="2"/>
      <c r="T1334" s="2"/>
      <c r="U1334" s="2"/>
      <c r="V1334" s="2"/>
      <c r="W1334" s="2"/>
      <c r="X1334" s="2"/>
      <c r="Y1334" s="2"/>
    </row>
    <row r="1335" spans="1:25" ht="17.399999999999999" x14ac:dyDescent="0.25">
      <c r="A1335" s="1"/>
      <c r="B1335" s="10"/>
      <c r="C1335" s="2"/>
      <c r="D1335" s="2"/>
      <c r="E1335" s="2"/>
      <c r="F1335" s="2"/>
      <c r="G1335" s="2"/>
      <c r="H1335" s="1"/>
      <c r="I1335" s="2"/>
      <c r="J1335" s="2"/>
      <c r="K1335" s="2"/>
      <c r="L1335" s="2"/>
      <c r="M1335" s="2"/>
      <c r="N1335" s="2"/>
      <c r="O1335" s="2"/>
      <c r="P1335" s="2"/>
      <c r="Q1335" s="2"/>
      <c r="R1335" s="2"/>
      <c r="S1335" s="2"/>
      <c r="T1335" s="2"/>
      <c r="U1335" s="2"/>
      <c r="V1335" s="2"/>
      <c r="W1335" s="2"/>
      <c r="X1335" s="2"/>
      <c r="Y1335" s="2"/>
    </row>
    <row r="1336" spans="1:25" ht="17.399999999999999" x14ac:dyDescent="0.25">
      <c r="A1336" s="1"/>
      <c r="B1336" s="10"/>
      <c r="C1336" s="2"/>
      <c r="D1336" s="2"/>
      <c r="E1336" s="2"/>
      <c r="F1336" s="2"/>
      <c r="G1336" s="2"/>
      <c r="H1336" s="1"/>
      <c r="I1336" s="2"/>
      <c r="J1336" s="2"/>
      <c r="K1336" s="2"/>
      <c r="L1336" s="2"/>
      <c r="M1336" s="2"/>
      <c r="N1336" s="2"/>
      <c r="O1336" s="2"/>
      <c r="P1336" s="2"/>
      <c r="Q1336" s="2"/>
      <c r="R1336" s="2"/>
      <c r="S1336" s="2"/>
      <c r="T1336" s="2"/>
      <c r="U1336" s="2"/>
      <c r="V1336" s="2"/>
      <c r="W1336" s="2"/>
      <c r="X1336" s="2"/>
      <c r="Y1336" s="2"/>
    </row>
    <row r="1337" spans="1:25" ht="17.399999999999999" x14ac:dyDescent="0.25">
      <c r="A1337" s="1"/>
      <c r="B1337" s="10"/>
      <c r="C1337" s="2"/>
      <c r="D1337" s="2"/>
      <c r="E1337" s="2"/>
      <c r="F1337" s="2"/>
      <c r="G1337" s="2"/>
      <c r="H1337" s="1"/>
      <c r="I1337" s="2"/>
      <c r="J1337" s="2"/>
      <c r="K1337" s="2"/>
      <c r="L1337" s="2"/>
      <c r="M1337" s="2"/>
      <c r="N1337" s="2"/>
      <c r="O1337" s="2"/>
      <c r="P1337" s="2"/>
      <c r="Q1337" s="2"/>
      <c r="R1337" s="2"/>
      <c r="S1337" s="2"/>
      <c r="T1337" s="2"/>
      <c r="U1337" s="2"/>
      <c r="V1337" s="2"/>
      <c r="W1337" s="2"/>
      <c r="X1337" s="2"/>
      <c r="Y1337" s="2"/>
    </row>
    <row r="1338" spans="1:25" ht="17.399999999999999" x14ac:dyDescent="0.25">
      <c r="A1338" s="1"/>
      <c r="B1338" s="10"/>
      <c r="C1338" s="2"/>
      <c r="D1338" s="2"/>
      <c r="E1338" s="2"/>
      <c r="F1338" s="2"/>
      <c r="G1338" s="2"/>
      <c r="H1338" s="1"/>
      <c r="I1338" s="2"/>
      <c r="J1338" s="2"/>
      <c r="K1338" s="2"/>
      <c r="L1338" s="2"/>
      <c r="M1338" s="2"/>
      <c r="N1338" s="2"/>
      <c r="O1338" s="2"/>
      <c r="P1338" s="2"/>
      <c r="Q1338" s="2"/>
      <c r="R1338" s="2"/>
      <c r="S1338" s="2"/>
      <c r="T1338" s="2"/>
      <c r="U1338" s="2"/>
      <c r="V1338" s="2"/>
      <c r="W1338" s="2"/>
      <c r="X1338" s="2"/>
      <c r="Y1338" s="2"/>
    </row>
    <row r="1339" spans="1:25" ht="17.399999999999999" x14ac:dyDescent="0.25">
      <c r="A1339" s="1"/>
      <c r="B1339" s="10"/>
      <c r="C1339" s="2"/>
      <c r="D1339" s="2"/>
      <c r="E1339" s="2"/>
      <c r="F1339" s="2"/>
      <c r="G1339" s="2"/>
      <c r="H1339" s="1"/>
      <c r="I1339" s="2"/>
      <c r="J1339" s="2"/>
      <c r="K1339" s="2"/>
      <c r="L1339" s="2"/>
      <c r="M1339" s="2"/>
      <c r="N1339" s="2"/>
      <c r="O1339" s="2"/>
      <c r="P1339" s="2"/>
      <c r="Q1339" s="2"/>
      <c r="R1339" s="2"/>
      <c r="S1339" s="2"/>
      <c r="T1339" s="2"/>
      <c r="U1339" s="2"/>
      <c r="V1339" s="2"/>
      <c r="W1339" s="2"/>
      <c r="X1339" s="2"/>
      <c r="Y1339" s="2"/>
    </row>
    <row r="1340" spans="1:25" ht="17.399999999999999" x14ac:dyDescent="0.25">
      <c r="A1340" s="1"/>
      <c r="B1340" s="10"/>
      <c r="C1340" s="2"/>
      <c r="D1340" s="2"/>
      <c r="E1340" s="2"/>
      <c r="F1340" s="2"/>
      <c r="G1340" s="2"/>
      <c r="H1340" s="1"/>
      <c r="I1340" s="2"/>
      <c r="J1340" s="2"/>
      <c r="K1340" s="2"/>
      <c r="L1340" s="2"/>
      <c r="M1340" s="2"/>
      <c r="N1340" s="2"/>
      <c r="O1340" s="2"/>
      <c r="P1340" s="2"/>
      <c r="Q1340" s="2"/>
      <c r="R1340" s="2"/>
      <c r="S1340" s="2"/>
      <c r="T1340" s="2"/>
      <c r="U1340" s="2"/>
      <c r="V1340" s="2"/>
      <c r="W1340" s="2"/>
      <c r="X1340" s="2"/>
      <c r="Y1340" s="2"/>
    </row>
    <row r="1341" spans="1:25" ht="17.399999999999999" x14ac:dyDescent="0.25">
      <c r="A1341" s="1"/>
      <c r="B1341" s="10"/>
      <c r="C1341" s="2"/>
      <c r="D1341" s="2"/>
      <c r="E1341" s="2"/>
      <c r="F1341" s="2"/>
      <c r="G1341" s="2"/>
      <c r="H1341" s="1"/>
      <c r="I1341" s="2"/>
      <c r="J1341" s="2"/>
      <c r="K1341" s="2"/>
      <c r="L1341" s="2"/>
      <c r="M1341" s="2"/>
      <c r="N1341" s="2"/>
      <c r="O1341" s="2"/>
      <c r="P1341" s="2"/>
      <c r="Q1341" s="2"/>
      <c r="R1341" s="2"/>
      <c r="S1341" s="2"/>
      <c r="T1341" s="2"/>
      <c r="U1341" s="2"/>
      <c r="V1341" s="2"/>
      <c r="W1341" s="2"/>
      <c r="X1341" s="2"/>
      <c r="Y1341" s="2"/>
    </row>
    <row r="1342" spans="1:25" ht="17.399999999999999" x14ac:dyDescent="0.25">
      <c r="A1342" s="1"/>
      <c r="B1342" s="10"/>
      <c r="C1342" s="2"/>
      <c r="D1342" s="2"/>
      <c r="E1342" s="2"/>
      <c r="F1342" s="2"/>
      <c r="G1342" s="2"/>
      <c r="H1342" s="1"/>
      <c r="I1342" s="2"/>
      <c r="J1342" s="2"/>
      <c r="K1342" s="2"/>
      <c r="L1342" s="2"/>
      <c r="M1342" s="2"/>
      <c r="N1342" s="2"/>
      <c r="O1342" s="2"/>
      <c r="P1342" s="2"/>
      <c r="Q1342" s="2"/>
      <c r="R1342" s="2"/>
      <c r="S1342" s="2"/>
      <c r="T1342" s="2"/>
      <c r="U1342" s="2"/>
      <c r="V1342" s="2"/>
      <c r="W1342" s="2"/>
      <c r="X1342" s="2"/>
      <c r="Y1342" s="2"/>
    </row>
    <row r="1343" spans="1:25" ht="17.399999999999999" x14ac:dyDescent="0.25">
      <c r="A1343" s="1"/>
      <c r="B1343" s="10"/>
      <c r="C1343" s="2"/>
      <c r="D1343" s="2"/>
      <c r="E1343" s="2"/>
      <c r="F1343" s="2"/>
      <c r="G1343" s="2"/>
      <c r="H1343" s="1"/>
      <c r="I1343" s="2"/>
      <c r="J1343" s="2"/>
      <c r="K1343" s="2"/>
      <c r="L1343" s="2"/>
      <c r="M1343" s="2"/>
      <c r="N1343" s="2"/>
      <c r="O1343" s="2"/>
      <c r="P1343" s="2"/>
      <c r="Q1343" s="2"/>
      <c r="R1343" s="2"/>
      <c r="S1343" s="2"/>
      <c r="T1343" s="2"/>
      <c r="U1343" s="2"/>
      <c r="V1343" s="2"/>
      <c r="W1343" s="2"/>
      <c r="X1343" s="2"/>
      <c r="Y1343" s="2"/>
    </row>
    <row r="1344" spans="1:25" ht="17.399999999999999" x14ac:dyDescent="0.25">
      <c r="A1344" s="1"/>
      <c r="B1344" s="10"/>
      <c r="C1344" s="2"/>
      <c r="D1344" s="2"/>
      <c r="E1344" s="2"/>
      <c r="F1344" s="2"/>
      <c r="G1344" s="2"/>
      <c r="H1344" s="1"/>
      <c r="I1344" s="2"/>
      <c r="J1344" s="2"/>
      <c r="K1344" s="2"/>
      <c r="L1344" s="2"/>
      <c r="M1344" s="2"/>
      <c r="N1344" s="2"/>
      <c r="O1344" s="2"/>
      <c r="P1344" s="2"/>
      <c r="Q1344" s="2"/>
      <c r="R1344" s="2"/>
      <c r="S1344" s="2"/>
      <c r="T1344" s="2"/>
      <c r="U1344" s="2"/>
      <c r="V1344" s="2"/>
      <c r="W1344" s="2"/>
      <c r="X1344" s="2"/>
      <c r="Y1344" s="2"/>
    </row>
    <row r="1345" spans="1:25" ht="17.399999999999999" x14ac:dyDescent="0.25">
      <c r="A1345" s="1"/>
      <c r="B1345" s="10"/>
      <c r="C1345" s="2"/>
      <c r="D1345" s="2"/>
      <c r="E1345" s="2"/>
      <c r="F1345" s="2"/>
      <c r="G1345" s="2"/>
      <c r="H1345" s="1"/>
      <c r="I1345" s="2"/>
      <c r="J1345" s="2"/>
      <c r="K1345" s="2"/>
      <c r="L1345" s="2"/>
      <c r="M1345" s="2"/>
      <c r="N1345" s="2"/>
      <c r="O1345" s="2"/>
      <c r="P1345" s="2"/>
      <c r="Q1345" s="2"/>
      <c r="R1345" s="2"/>
      <c r="S1345" s="2"/>
      <c r="T1345" s="2"/>
      <c r="U1345" s="2"/>
      <c r="V1345" s="2"/>
      <c r="W1345" s="2"/>
      <c r="X1345" s="2"/>
      <c r="Y1345" s="2"/>
    </row>
    <row r="1346" spans="1:25" ht="17.399999999999999" x14ac:dyDescent="0.25">
      <c r="A1346" s="1"/>
      <c r="B1346" s="10"/>
      <c r="C1346" s="2"/>
      <c r="D1346" s="2"/>
      <c r="E1346" s="2"/>
      <c r="F1346" s="2"/>
      <c r="G1346" s="2"/>
      <c r="H1346" s="1"/>
      <c r="I1346" s="2"/>
      <c r="J1346" s="2"/>
      <c r="K1346" s="2"/>
      <c r="L1346" s="2"/>
      <c r="M1346" s="2"/>
      <c r="N1346" s="2"/>
      <c r="O1346" s="2"/>
      <c r="P1346" s="2"/>
      <c r="Q1346" s="2"/>
      <c r="R1346" s="2"/>
      <c r="S1346" s="2"/>
      <c r="T1346" s="2"/>
      <c r="U1346" s="2"/>
      <c r="V1346" s="2"/>
      <c r="W1346" s="2"/>
      <c r="X1346" s="2"/>
      <c r="Y1346" s="2"/>
    </row>
    <row r="1347" spans="1:25" ht="17.399999999999999" x14ac:dyDescent="0.25">
      <c r="A1347" s="1"/>
      <c r="B1347" s="10"/>
      <c r="C1347" s="2"/>
      <c r="D1347" s="2"/>
      <c r="E1347" s="2"/>
      <c r="F1347" s="2"/>
      <c r="G1347" s="2"/>
      <c r="H1347" s="1"/>
      <c r="I1347" s="2"/>
      <c r="J1347" s="2"/>
      <c r="K1347" s="2"/>
      <c r="L1347" s="2"/>
      <c r="M1347" s="2"/>
      <c r="N1347" s="2"/>
      <c r="O1347" s="2"/>
      <c r="P1347" s="2"/>
      <c r="Q1347" s="2"/>
      <c r="R1347" s="2"/>
      <c r="S1347" s="2"/>
      <c r="T1347" s="2"/>
      <c r="U1347" s="2"/>
      <c r="V1347" s="2"/>
      <c r="W1347" s="2"/>
      <c r="X1347" s="2"/>
      <c r="Y1347" s="2"/>
    </row>
    <row r="1348" spans="1:25" ht="17.399999999999999" x14ac:dyDescent="0.25">
      <c r="A1348" s="1"/>
      <c r="B1348" s="10"/>
      <c r="C1348" s="2"/>
      <c r="D1348" s="2"/>
      <c r="E1348" s="2"/>
      <c r="F1348" s="2"/>
      <c r="G1348" s="2"/>
      <c r="H1348" s="1"/>
      <c r="I1348" s="2"/>
      <c r="J1348" s="2"/>
      <c r="K1348" s="2"/>
      <c r="L1348" s="2"/>
      <c r="M1348" s="2"/>
      <c r="N1348" s="2"/>
      <c r="O1348" s="2"/>
      <c r="P1348" s="2"/>
      <c r="Q1348" s="2"/>
      <c r="R1348" s="2"/>
      <c r="S1348" s="2"/>
      <c r="T1348" s="2"/>
      <c r="U1348" s="2"/>
      <c r="V1348" s="2"/>
      <c r="W1348" s="2"/>
      <c r="X1348" s="2"/>
      <c r="Y1348" s="2"/>
    </row>
    <row r="1349" spans="1:25" ht="17.399999999999999" x14ac:dyDescent="0.25">
      <c r="A1349" s="1"/>
      <c r="B1349" s="10"/>
      <c r="C1349" s="2"/>
      <c r="D1349" s="2"/>
      <c r="E1349" s="2"/>
      <c r="F1349" s="2"/>
      <c r="G1349" s="2"/>
      <c r="H1349" s="1"/>
      <c r="I1349" s="2"/>
      <c r="J1349" s="2"/>
      <c r="K1349" s="2"/>
      <c r="L1349" s="2"/>
      <c r="M1349" s="2"/>
      <c r="N1349" s="2"/>
      <c r="O1349" s="2"/>
      <c r="P1349" s="2"/>
      <c r="Q1349" s="2"/>
      <c r="R1349" s="2"/>
      <c r="S1349" s="2"/>
      <c r="T1349" s="2"/>
      <c r="U1349" s="2"/>
      <c r="V1349" s="2"/>
      <c r="W1349" s="2"/>
      <c r="X1349" s="2"/>
      <c r="Y1349" s="2"/>
    </row>
    <row r="1350" spans="1:25" ht="17.399999999999999" x14ac:dyDescent="0.25">
      <c r="A1350" s="1"/>
      <c r="B1350" s="10"/>
      <c r="C1350" s="2"/>
      <c r="D1350" s="2"/>
      <c r="E1350" s="2"/>
      <c r="F1350" s="2"/>
      <c r="G1350" s="2"/>
      <c r="H1350" s="1"/>
      <c r="I1350" s="2"/>
      <c r="J1350" s="2"/>
      <c r="K1350" s="2"/>
      <c r="L1350" s="2"/>
      <c r="M1350" s="2"/>
      <c r="N1350" s="2"/>
      <c r="O1350" s="2"/>
      <c r="P1350" s="2"/>
      <c r="Q1350" s="2"/>
      <c r="R1350" s="2"/>
      <c r="S1350" s="2"/>
      <c r="T1350" s="2"/>
      <c r="U1350" s="2"/>
      <c r="V1350" s="2"/>
      <c r="W1350" s="2"/>
      <c r="X1350" s="2"/>
      <c r="Y1350" s="2"/>
    </row>
    <row r="1351" spans="1:25" ht="17.399999999999999" x14ac:dyDescent="0.25">
      <c r="A1351" s="1"/>
      <c r="B1351" s="10"/>
      <c r="C1351" s="2"/>
      <c r="D1351" s="2"/>
      <c r="E1351" s="2"/>
      <c r="F1351" s="2"/>
      <c r="G1351" s="2"/>
      <c r="H1351" s="1"/>
      <c r="I1351" s="2"/>
      <c r="J1351" s="2"/>
      <c r="K1351" s="2"/>
      <c r="L1351" s="2"/>
      <c r="M1351" s="2"/>
      <c r="N1351" s="2"/>
      <c r="O1351" s="2"/>
      <c r="P1351" s="2"/>
      <c r="Q1351" s="2"/>
      <c r="R1351" s="2"/>
      <c r="S1351" s="2"/>
      <c r="T1351" s="2"/>
      <c r="U1351" s="2"/>
      <c r="V1351" s="2"/>
      <c r="W1351" s="2"/>
      <c r="X1351" s="2"/>
      <c r="Y1351" s="2"/>
    </row>
    <row r="1352" spans="1:25" ht="17.399999999999999" x14ac:dyDescent="0.25">
      <c r="A1352" s="1"/>
      <c r="B1352" s="10"/>
      <c r="C1352" s="2"/>
      <c r="D1352" s="2"/>
      <c r="E1352" s="2"/>
      <c r="F1352" s="2"/>
      <c r="G1352" s="2"/>
      <c r="H1352" s="1"/>
      <c r="I1352" s="2"/>
      <c r="J1352" s="2"/>
      <c r="K1352" s="2"/>
      <c r="L1352" s="2"/>
      <c r="M1352" s="2"/>
      <c r="N1352" s="2"/>
      <c r="O1352" s="2"/>
      <c r="P1352" s="2"/>
      <c r="Q1352" s="2"/>
      <c r="R1352" s="2"/>
      <c r="S1352" s="2"/>
      <c r="T1352" s="2"/>
      <c r="U1352" s="2"/>
      <c r="V1352" s="2"/>
      <c r="W1352" s="2"/>
      <c r="X1352" s="2"/>
      <c r="Y1352" s="2"/>
    </row>
    <row r="1353" spans="1:25" ht="17.399999999999999" x14ac:dyDescent="0.25">
      <c r="A1353" s="1"/>
      <c r="B1353" s="10"/>
      <c r="C1353" s="2"/>
      <c r="D1353" s="2"/>
      <c r="E1353" s="2"/>
      <c r="F1353" s="2"/>
      <c r="G1353" s="2"/>
      <c r="H1353" s="1"/>
      <c r="I1353" s="2"/>
      <c r="J1353" s="2"/>
      <c r="K1353" s="2"/>
      <c r="L1353" s="2"/>
      <c r="M1353" s="2"/>
      <c r="N1353" s="2"/>
      <c r="O1353" s="2"/>
      <c r="P1353" s="2"/>
      <c r="Q1353" s="2"/>
      <c r="R1353" s="2"/>
      <c r="S1353" s="2"/>
      <c r="T1353" s="2"/>
      <c r="U1353" s="2"/>
      <c r="V1353" s="2"/>
      <c r="W1353" s="2"/>
      <c r="X1353" s="2"/>
      <c r="Y1353" s="2"/>
    </row>
    <row r="1354" spans="1:25" ht="17.399999999999999" x14ac:dyDescent="0.25">
      <c r="A1354" s="1"/>
      <c r="B1354" s="10"/>
      <c r="C1354" s="2"/>
      <c r="D1354" s="2"/>
      <c r="E1354" s="2"/>
      <c r="F1354" s="2"/>
      <c r="G1354" s="2"/>
      <c r="H1354" s="1"/>
      <c r="I1354" s="2"/>
      <c r="J1354" s="2"/>
      <c r="K1354" s="2"/>
      <c r="L1354" s="2"/>
      <c r="M1354" s="2"/>
      <c r="N1354" s="2"/>
      <c r="O1354" s="2"/>
      <c r="P1354" s="2"/>
      <c r="Q1354" s="2"/>
      <c r="R1354" s="2"/>
      <c r="S1354" s="2"/>
      <c r="T1354" s="2"/>
      <c r="U1354" s="2"/>
      <c r="V1354" s="2"/>
      <c r="W1354" s="2"/>
      <c r="X1354" s="2"/>
      <c r="Y1354" s="2"/>
    </row>
    <row r="1355" spans="1:25" ht="17.399999999999999" x14ac:dyDescent="0.25">
      <c r="A1355" s="1"/>
      <c r="B1355" s="10"/>
      <c r="C1355" s="2"/>
      <c r="D1355" s="2"/>
      <c r="E1355" s="2"/>
      <c r="F1355" s="2"/>
      <c r="G1355" s="2"/>
      <c r="H1355" s="1"/>
      <c r="I1355" s="2"/>
      <c r="J1355" s="2"/>
      <c r="K1355" s="2"/>
      <c r="L1355" s="2"/>
      <c r="M1355" s="2"/>
      <c r="N1355" s="2"/>
      <c r="O1355" s="2"/>
      <c r="P1355" s="2"/>
      <c r="Q1355" s="2"/>
      <c r="R1355" s="2"/>
      <c r="S1355" s="2"/>
      <c r="T1355" s="2"/>
      <c r="U1355" s="2"/>
      <c r="V1355" s="2"/>
      <c r="W1355" s="2"/>
      <c r="X1355" s="2"/>
      <c r="Y1355" s="2"/>
    </row>
    <row r="1356" spans="1:25" ht="17.399999999999999" x14ac:dyDescent="0.25">
      <c r="A1356" s="1"/>
      <c r="B1356" s="10"/>
      <c r="C1356" s="2"/>
      <c r="D1356" s="2"/>
      <c r="E1356" s="2"/>
      <c r="F1356" s="2"/>
      <c r="G1356" s="2"/>
      <c r="H1356" s="1"/>
      <c r="I1356" s="2"/>
      <c r="J1356" s="2"/>
      <c r="K1356" s="2"/>
      <c r="L1356" s="2"/>
      <c r="M1356" s="2"/>
      <c r="N1356" s="2"/>
      <c r="O1356" s="2"/>
      <c r="P1356" s="2"/>
      <c r="Q1356" s="2"/>
      <c r="R1356" s="2"/>
      <c r="S1356" s="2"/>
      <c r="T1356" s="2"/>
      <c r="U1356" s="2"/>
      <c r="V1356" s="2"/>
      <c r="W1356" s="2"/>
      <c r="X1356" s="2"/>
      <c r="Y1356" s="2"/>
    </row>
    <row r="1357" spans="1:25" ht="17.399999999999999" x14ac:dyDescent="0.25">
      <c r="A1357" s="1"/>
      <c r="B1357" s="10"/>
      <c r="C1357" s="2"/>
      <c r="D1357" s="2"/>
      <c r="E1357" s="2"/>
      <c r="F1357" s="2"/>
      <c r="G1357" s="2"/>
      <c r="H1357" s="1"/>
      <c r="I1357" s="2"/>
      <c r="J1357" s="2"/>
      <c r="K1357" s="2"/>
      <c r="L1357" s="2"/>
      <c r="M1357" s="2"/>
      <c r="N1357" s="2"/>
      <c r="O1357" s="2"/>
      <c r="P1357" s="2"/>
      <c r="Q1357" s="2"/>
      <c r="R1357" s="2"/>
      <c r="S1357" s="2"/>
      <c r="T1357" s="2"/>
      <c r="U1357" s="2"/>
      <c r="V1357" s="2"/>
      <c r="W1357" s="2"/>
      <c r="X1357" s="2"/>
      <c r="Y1357" s="2"/>
    </row>
    <row r="1358" spans="1:25" ht="17.399999999999999" x14ac:dyDescent="0.25">
      <c r="A1358" s="1"/>
      <c r="B1358" s="10"/>
      <c r="C1358" s="2"/>
      <c r="D1358" s="2"/>
      <c r="E1358" s="2"/>
      <c r="F1358" s="2"/>
      <c r="G1358" s="2"/>
      <c r="H1358" s="1"/>
      <c r="I1358" s="2"/>
      <c r="J1358" s="2"/>
      <c r="K1358" s="2"/>
      <c r="L1358" s="2"/>
      <c r="M1358" s="2"/>
      <c r="N1358" s="2"/>
      <c r="O1358" s="2"/>
      <c r="P1358" s="2"/>
      <c r="Q1358" s="2"/>
      <c r="R1358" s="2"/>
      <c r="S1358" s="2"/>
      <c r="T1358" s="2"/>
      <c r="U1358" s="2"/>
      <c r="V1358" s="2"/>
      <c r="W1358" s="2"/>
      <c r="X1358" s="2"/>
      <c r="Y1358" s="2"/>
    </row>
    <row r="1359" spans="1:25" ht="17.399999999999999" x14ac:dyDescent="0.25">
      <c r="A1359" s="1"/>
      <c r="B1359" s="10"/>
      <c r="C1359" s="2"/>
      <c r="D1359" s="2"/>
      <c r="E1359" s="2"/>
      <c r="F1359" s="2"/>
      <c r="G1359" s="2"/>
      <c r="H1359" s="1"/>
      <c r="I1359" s="2"/>
      <c r="J1359" s="2"/>
      <c r="K1359" s="2"/>
      <c r="L1359" s="2"/>
      <c r="M1359" s="2"/>
      <c r="N1359" s="2"/>
      <c r="O1359" s="2"/>
      <c r="P1359" s="2"/>
      <c r="Q1359" s="2"/>
      <c r="R1359" s="2"/>
      <c r="S1359" s="2"/>
      <c r="T1359" s="2"/>
      <c r="U1359" s="2"/>
      <c r="V1359" s="2"/>
      <c r="W1359" s="2"/>
      <c r="X1359" s="2"/>
      <c r="Y1359" s="2"/>
    </row>
    <row r="1360" spans="1:25" ht="17.399999999999999" x14ac:dyDescent="0.25">
      <c r="A1360" s="1"/>
      <c r="B1360" s="10"/>
      <c r="C1360" s="2"/>
      <c r="D1360" s="2"/>
      <c r="E1360" s="2"/>
      <c r="F1360" s="2"/>
      <c r="G1360" s="2"/>
      <c r="H1360" s="1"/>
      <c r="I1360" s="2"/>
      <c r="J1360" s="2"/>
      <c r="K1360" s="2"/>
      <c r="L1360" s="2"/>
      <c r="M1360" s="2"/>
      <c r="N1360" s="2"/>
      <c r="O1360" s="2"/>
      <c r="P1360" s="2"/>
      <c r="Q1360" s="2"/>
      <c r="R1360" s="2"/>
      <c r="S1360" s="2"/>
      <c r="T1360" s="2"/>
      <c r="U1360" s="2"/>
      <c r="V1360" s="2"/>
      <c r="W1360" s="2"/>
      <c r="X1360" s="2"/>
      <c r="Y1360" s="2"/>
    </row>
    <row r="1361" spans="1:25" ht="17.399999999999999" x14ac:dyDescent="0.25">
      <c r="A1361" s="1"/>
      <c r="B1361" s="10"/>
      <c r="C1361" s="2"/>
      <c r="D1361" s="2"/>
      <c r="E1361" s="2"/>
      <c r="F1361" s="2"/>
      <c r="G1361" s="2"/>
      <c r="H1361" s="1"/>
      <c r="I1361" s="2"/>
      <c r="J1361" s="2"/>
      <c r="K1361" s="2"/>
      <c r="L1361" s="2"/>
      <c r="M1361" s="2"/>
      <c r="N1361" s="2"/>
      <c r="O1361" s="2"/>
      <c r="P1361" s="2"/>
      <c r="Q1361" s="2"/>
      <c r="R1361" s="2"/>
      <c r="S1361" s="2"/>
      <c r="T1361" s="2"/>
      <c r="U1361" s="2"/>
      <c r="V1361" s="2"/>
      <c r="W1361" s="2"/>
      <c r="X1361" s="2"/>
      <c r="Y1361" s="2"/>
    </row>
    <row r="1362" spans="1:25" ht="17.399999999999999" x14ac:dyDescent="0.25">
      <c r="A1362" s="1"/>
      <c r="B1362" s="10"/>
      <c r="C1362" s="2"/>
      <c r="D1362" s="2"/>
      <c r="E1362" s="2"/>
      <c r="F1362" s="2"/>
      <c r="G1362" s="2"/>
      <c r="H1362" s="1"/>
      <c r="I1362" s="2"/>
      <c r="J1362" s="2"/>
      <c r="K1362" s="2"/>
      <c r="L1362" s="2"/>
      <c r="M1362" s="2"/>
      <c r="N1362" s="2"/>
      <c r="O1362" s="2"/>
      <c r="P1362" s="2"/>
      <c r="Q1362" s="2"/>
      <c r="R1362" s="2"/>
      <c r="S1362" s="2"/>
      <c r="T1362" s="2"/>
      <c r="U1362" s="2"/>
      <c r="V1362" s="2"/>
      <c r="W1362" s="2"/>
      <c r="X1362" s="2"/>
      <c r="Y1362" s="2"/>
    </row>
    <row r="1363" spans="1:25" ht="17.399999999999999" x14ac:dyDescent="0.25">
      <c r="A1363" s="1"/>
      <c r="B1363" s="10"/>
      <c r="C1363" s="2"/>
      <c r="D1363" s="2"/>
      <c r="E1363" s="2"/>
      <c r="F1363" s="2"/>
      <c r="G1363" s="2"/>
      <c r="H1363" s="1"/>
      <c r="I1363" s="2"/>
      <c r="J1363" s="2"/>
      <c r="K1363" s="2"/>
      <c r="L1363" s="2"/>
      <c r="M1363" s="2"/>
      <c r="N1363" s="2"/>
      <c r="O1363" s="2"/>
      <c r="P1363" s="2"/>
      <c r="Q1363" s="2"/>
      <c r="R1363" s="2"/>
      <c r="S1363" s="2"/>
      <c r="T1363" s="2"/>
      <c r="U1363" s="2"/>
      <c r="V1363" s="2"/>
      <c r="W1363" s="2"/>
      <c r="X1363" s="2"/>
      <c r="Y1363" s="2"/>
    </row>
    <row r="1364" spans="1:25" ht="17.399999999999999" x14ac:dyDescent="0.25">
      <c r="A1364" s="1"/>
      <c r="B1364" s="10"/>
      <c r="C1364" s="2"/>
      <c r="D1364" s="2"/>
      <c r="E1364" s="2"/>
      <c r="F1364" s="2"/>
      <c r="G1364" s="2"/>
      <c r="H1364" s="1"/>
      <c r="I1364" s="2"/>
      <c r="J1364" s="2"/>
      <c r="K1364" s="2"/>
      <c r="L1364" s="2"/>
      <c r="M1364" s="2"/>
      <c r="N1364" s="2"/>
      <c r="O1364" s="2"/>
      <c r="P1364" s="2"/>
      <c r="Q1364" s="2"/>
      <c r="R1364" s="2"/>
      <c r="S1364" s="2"/>
      <c r="T1364" s="2"/>
      <c r="U1364" s="2"/>
      <c r="V1364" s="2"/>
      <c r="W1364" s="2"/>
      <c r="X1364" s="2"/>
      <c r="Y1364" s="2"/>
    </row>
    <row r="1365" spans="1:25" ht="17.399999999999999" x14ac:dyDescent="0.25">
      <c r="A1365" s="1"/>
      <c r="B1365" s="10"/>
      <c r="C1365" s="2"/>
      <c r="D1365" s="2"/>
      <c r="E1365" s="2"/>
      <c r="F1365" s="2"/>
      <c r="G1365" s="2"/>
      <c r="H1365" s="1"/>
      <c r="I1365" s="2"/>
      <c r="J1365" s="2"/>
      <c r="K1365" s="2"/>
      <c r="L1365" s="2"/>
      <c r="M1365" s="2"/>
      <c r="N1365" s="2"/>
      <c r="O1365" s="2"/>
      <c r="P1365" s="2"/>
      <c r="Q1365" s="2"/>
      <c r="R1365" s="2"/>
      <c r="S1365" s="2"/>
      <c r="T1365" s="2"/>
      <c r="U1365" s="2"/>
      <c r="V1365" s="2"/>
      <c r="W1365" s="2"/>
      <c r="X1365" s="2"/>
      <c r="Y1365" s="2"/>
    </row>
    <row r="1366" spans="1:25" ht="17.399999999999999" x14ac:dyDescent="0.25">
      <c r="A1366" s="1"/>
      <c r="B1366" s="10"/>
      <c r="C1366" s="2"/>
      <c r="D1366" s="2"/>
      <c r="E1366" s="2"/>
      <c r="F1366" s="2"/>
      <c r="G1366" s="2"/>
      <c r="H1366" s="1"/>
      <c r="I1366" s="2"/>
      <c r="J1366" s="2"/>
      <c r="K1366" s="2"/>
      <c r="L1366" s="2"/>
      <c r="M1366" s="2"/>
      <c r="N1366" s="2"/>
      <c r="O1366" s="2"/>
      <c r="P1366" s="2"/>
      <c r="Q1366" s="2"/>
      <c r="R1366" s="2"/>
      <c r="S1366" s="2"/>
      <c r="T1366" s="2"/>
      <c r="U1366" s="2"/>
      <c r="V1366" s="2"/>
      <c r="W1366" s="2"/>
      <c r="X1366" s="2"/>
      <c r="Y1366" s="2"/>
    </row>
    <row r="1367" spans="1:25" ht="17.399999999999999" x14ac:dyDescent="0.25">
      <c r="A1367" s="1"/>
      <c r="B1367" s="10"/>
      <c r="C1367" s="2"/>
      <c r="D1367" s="2"/>
      <c r="E1367" s="2"/>
      <c r="F1367" s="2"/>
      <c r="G1367" s="2"/>
      <c r="H1367" s="1"/>
      <c r="I1367" s="2"/>
      <c r="J1367" s="2"/>
      <c r="K1367" s="2"/>
      <c r="L1367" s="2"/>
      <c r="M1367" s="2"/>
      <c r="N1367" s="2"/>
      <c r="O1367" s="2"/>
      <c r="P1367" s="2"/>
      <c r="Q1367" s="2"/>
      <c r="R1367" s="2"/>
      <c r="S1367" s="2"/>
      <c r="T1367" s="2"/>
      <c r="U1367" s="2"/>
      <c r="V1367" s="2"/>
      <c r="W1367" s="2"/>
      <c r="X1367" s="2"/>
      <c r="Y1367" s="2"/>
    </row>
    <row r="1368" spans="1:25" ht="17.399999999999999" x14ac:dyDescent="0.25">
      <c r="A1368" s="1"/>
      <c r="B1368" s="10"/>
      <c r="C1368" s="2"/>
      <c r="D1368" s="2"/>
      <c r="E1368" s="2"/>
      <c r="F1368" s="2"/>
      <c r="G1368" s="2"/>
      <c r="H1368" s="1"/>
      <c r="I1368" s="2"/>
      <c r="J1368" s="2"/>
      <c r="K1368" s="2"/>
      <c r="L1368" s="2"/>
      <c r="M1368" s="2"/>
      <c r="N1368" s="2"/>
      <c r="O1368" s="2"/>
      <c r="P1368" s="2"/>
      <c r="Q1368" s="2"/>
      <c r="R1368" s="2"/>
      <c r="S1368" s="2"/>
      <c r="T1368" s="2"/>
      <c r="U1368" s="2"/>
      <c r="V1368" s="2"/>
      <c r="W1368" s="2"/>
      <c r="X1368" s="2"/>
      <c r="Y1368" s="2"/>
    </row>
    <row r="1369" spans="1:25" ht="17.399999999999999" x14ac:dyDescent="0.25">
      <c r="A1369" s="1"/>
      <c r="B1369" s="10"/>
      <c r="C1369" s="2"/>
      <c r="D1369" s="2"/>
      <c r="E1369" s="2"/>
      <c r="F1369" s="2"/>
      <c r="G1369" s="2"/>
      <c r="H1369" s="1"/>
      <c r="I1369" s="2"/>
      <c r="J1369" s="2"/>
      <c r="K1369" s="2"/>
      <c r="L1369" s="2"/>
      <c r="M1369" s="2"/>
      <c r="N1369" s="2"/>
      <c r="O1369" s="2"/>
      <c r="P1369" s="2"/>
      <c r="Q1369" s="2"/>
      <c r="R1369" s="2"/>
      <c r="S1369" s="2"/>
      <c r="T1369" s="2"/>
      <c r="U1369" s="2"/>
      <c r="V1369" s="2"/>
      <c r="W1369" s="2"/>
      <c r="X1369" s="2"/>
      <c r="Y1369" s="2"/>
    </row>
    <row r="1370" spans="1:25" ht="17.399999999999999" x14ac:dyDescent="0.25">
      <c r="A1370" s="1"/>
      <c r="B1370" s="10"/>
      <c r="C1370" s="2"/>
      <c r="D1370" s="2"/>
      <c r="E1370" s="2"/>
      <c r="F1370" s="2"/>
      <c r="G1370" s="2"/>
      <c r="H1370" s="1"/>
      <c r="I1370" s="2"/>
      <c r="J1370" s="2"/>
      <c r="K1370" s="2"/>
      <c r="L1370" s="2"/>
      <c r="M1370" s="2"/>
      <c r="N1370" s="2"/>
      <c r="O1370" s="2"/>
      <c r="P1370" s="2"/>
      <c r="Q1370" s="2"/>
      <c r="R1370" s="2"/>
      <c r="S1370" s="2"/>
      <c r="T1370" s="2"/>
      <c r="U1370" s="2"/>
      <c r="V1370" s="2"/>
      <c r="W1370" s="2"/>
      <c r="X1370" s="2"/>
      <c r="Y1370" s="2"/>
    </row>
    <row r="1371" spans="1:25" ht="17.399999999999999" x14ac:dyDescent="0.25">
      <c r="A1371" s="1"/>
      <c r="B1371" s="10"/>
      <c r="C1371" s="2"/>
      <c r="D1371" s="2"/>
      <c r="E1371" s="2"/>
      <c r="F1371" s="2"/>
      <c r="G1371" s="2"/>
      <c r="H1371" s="1"/>
      <c r="I1371" s="2"/>
      <c r="J1371" s="2"/>
      <c r="K1371" s="2"/>
      <c r="L1371" s="2"/>
      <c r="M1371" s="2"/>
      <c r="N1371" s="2"/>
      <c r="O1371" s="2"/>
      <c r="P1371" s="2"/>
      <c r="Q1371" s="2"/>
      <c r="R1371" s="2"/>
      <c r="S1371" s="2"/>
      <c r="T1371" s="2"/>
      <c r="U1371" s="2"/>
      <c r="V1371" s="2"/>
      <c r="W1371" s="2"/>
      <c r="X1371" s="2"/>
      <c r="Y1371" s="2"/>
    </row>
    <row r="1372" spans="1:25" ht="17.399999999999999" x14ac:dyDescent="0.25">
      <c r="A1372" s="1"/>
      <c r="B1372" s="10"/>
      <c r="C1372" s="2"/>
      <c r="D1372" s="2"/>
      <c r="E1372" s="2"/>
      <c r="F1372" s="2"/>
      <c r="G1372" s="2"/>
      <c r="H1372" s="1"/>
      <c r="I1372" s="2"/>
      <c r="J1372" s="2"/>
      <c r="K1372" s="2"/>
      <c r="L1372" s="2"/>
      <c r="M1372" s="2"/>
      <c r="N1372" s="2"/>
      <c r="O1372" s="2"/>
      <c r="P1372" s="2"/>
      <c r="Q1372" s="2"/>
      <c r="R1372" s="2"/>
      <c r="S1372" s="2"/>
      <c r="T1372" s="2"/>
      <c r="U1372" s="2"/>
      <c r="V1372" s="2"/>
      <c r="W1372" s="2"/>
      <c r="X1372" s="2"/>
      <c r="Y1372" s="2"/>
    </row>
    <row r="1373" spans="1:25" ht="17.399999999999999" x14ac:dyDescent="0.25">
      <c r="A1373" s="1"/>
      <c r="B1373" s="10"/>
      <c r="C1373" s="2"/>
      <c r="D1373" s="2"/>
      <c r="E1373" s="2"/>
      <c r="F1373" s="2"/>
      <c r="G1373" s="2"/>
      <c r="H1373" s="1"/>
      <c r="I1373" s="2"/>
      <c r="J1373" s="2"/>
      <c r="K1373" s="2"/>
      <c r="L1373" s="2"/>
      <c r="M1373" s="2"/>
      <c r="N1373" s="2"/>
      <c r="O1373" s="2"/>
      <c r="P1373" s="2"/>
      <c r="Q1373" s="2"/>
      <c r="R1373" s="2"/>
      <c r="S1373" s="2"/>
      <c r="T1373" s="2"/>
      <c r="U1373" s="2"/>
      <c r="V1373" s="2"/>
      <c r="W1373" s="2"/>
      <c r="X1373" s="2"/>
      <c r="Y1373" s="2"/>
    </row>
    <row r="1374" spans="1:25" ht="17.399999999999999" x14ac:dyDescent="0.25">
      <c r="A1374" s="1"/>
      <c r="B1374" s="10"/>
      <c r="C1374" s="2"/>
      <c r="D1374" s="2"/>
      <c r="E1374" s="2"/>
      <c r="F1374" s="2"/>
      <c r="G1374" s="2"/>
      <c r="H1374" s="1"/>
      <c r="I1374" s="2"/>
      <c r="J1374" s="2"/>
      <c r="K1374" s="2"/>
      <c r="L1374" s="2"/>
      <c r="M1374" s="2"/>
      <c r="N1374" s="2"/>
      <c r="O1374" s="2"/>
      <c r="P1374" s="2"/>
      <c r="Q1374" s="2"/>
      <c r="R1374" s="2"/>
      <c r="S1374" s="2"/>
      <c r="T1374" s="2"/>
      <c r="U1374" s="2"/>
      <c r="V1374" s="2"/>
      <c r="W1374" s="2"/>
      <c r="X1374" s="2"/>
      <c r="Y1374" s="2"/>
    </row>
    <row r="1375" spans="1:25" ht="17.399999999999999" x14ac:dyDescent="0.25">
      <c r="A1375" s="1"/>
      <c r="B1375" s="10"/>
      <c r="C1375" s="2"/>
      <c r="D1375" s="2"/>
      <c r="E1375" s="2"/>
      <c r="F1375" s="2"/>
      <c r="G1375" s="2"/>
      <c r="H1375" s="1"/>
      <c r="I1375" s="2"/>
      <c r="J1375" s="2"/>
      <c r="K1375" s="2"/>
      <c r="L1375" s="2"/>
      <c r="M1375" s="2"/>
      <c r="N1375" s="2"/>
      <c r="O1375" s="2"/>
      <c r="P1375" s="2"/>
      <c r="Q1375" s="2"/>
      <c r="R1375" s="2"/>
      <c r="S1375" s="2"/>
      <c r="T1375" s="2"/>
      <c r="U1375" s="2"/>
      <c r="V1375" s="2"/>
      <c r="W1375" s="2"/>
      <c r="X1375" s="2"/>
      <c r="Y1375" s="2"/>
    </row>
    <row r="1376" spans="1:25" ht="17.399999999999999" x14ac:dyDescent="0.25">
      <c r="A1376" s="1"/>
      <c r="B1376" s="10"/>
      <c r="C1376" s="2"/>
      <c r="D1376" s="2"/>
      <c r="E1376" s="2"/>
      <c r="F1376" s="2"/>
      <c r="G1376" s="2"/>
      <c r="H1376" s="1"/>
      <c r="I1376" s="2"/>
      <c r="J1376" s="2"/>
      <c r="K1376" s="2"/>
      <c r="L1376" s="2"/>
      <c r="M1376" s="2"/>
      <c r="N1376" s="2"/>
      <c r="O1376" s="2"/>
      <c r="P1376" s="2"/>
      <c r="Q1376" s="2"/>
      <c r="R1376" s="2"/>
      <c r="S1376" s="2"/>
      <c r="T1376" s="2"/>
      <c r="U1376" s="2"/>
      <c r="V1376" s="2"/>
      <c r="W1376" s="2"/>
      <c r="X1376" s="2"/>
      <c r="Y1376" s="2"/>
    </row>
    <row r="1377" spans="1:25" ht="17.399999999999999" x14ac:dyDescent="0.25">
      <c r="A1377" s="1"/>
      <c r="B1377" s="10"/>
      <c r="C1377" s="2"/>
      <c r="D1377" s="2"/>
      <c r="E1377" s="2"/>
      <c r="F1377" s="2"/>
      <c r="G1377" s="2"/>
      <c r="H1377" s="1"/>
      <c r="I1377" s="2"/>
      <c r="J1377" s="2"/>
      <c r="K1377" s="2"/>
      <c r="L1377" s="2"/>
      <c r="M1377" s="2"/>
      <c r="N1377" s="2"/>
      <c r="O1377" s="2"/>
      <c r="P1377" s="2"/>
      <c r="Q1377" s="2"/>
      <c r="R1377" s="2"/>
      <c r="S1377" s="2"/>
      <c r="T1377" s="2"/>
      <c r="U1377" s="2"/>
      <c r="V1377" s="2"/>
      <c r="W1377" s="2"/>
      <c r="X1377" s="2"/>
      <c r="Y1377" s="2"/>
    </row>
    <row r="1378" spans="1:25" ht="17.399999999999999" x14ac:dyDescent="0.25">
      <c r="A1378" s="1"/>
      <c r="B1378" s="10"/>
      <c r="C1378" s="2"/>
      <c r="D1378" s="2"/>
      <c r="E1378" s="2"/>
      <c r="F1378" s="2"/>
      <c r="G1378" s="2"/>
      <c r="H1378" s="1"/>
      <c r="I1378" s="2"/>
      <c r="J1378" s="2"/>
      <c r="K1378" s="2"/>
      <c r="L1378" s="2"/>
      <c r="M1378" s="2"/>
      <c r="N1378" s="2"/>
      <c r="O1378" s="2"/>
      <c r="P1378" s="2"/>
      <c r="Q1378" s="2"/>
      <c r="R1378" s="2"/>
      <c r="S1378" s="2"/>
      <c r="T1378" s="2"/>
      <c r="U1378" s="2"/>
      <c r="V1378" s="2"/>
      <c r="W1378" s="2"/>
      <c r="X1378" s="2"/>
      <c r="Y1378" s="2"/>
    </row>
    <row r="1379" spans="1:25" ht="17.399999999999999" x14ac:dyDescent="0.25">
      <c r="A1379" s="1"/>
      <c r="B1379" s="10"/>
      <c r="C1379" s="2"/>
      <c r="D1379" s="2"/>
      <c r="E1379" s="2"/>
      <c r="F1379" s="2"/>
      <c r="G1379" s="2"/>
      <c r="H1379" s="1"/>
      <c r="I1379" s="2"/>
      <c r="J1379" s="2"/>
      <c r="K1379" s="2"/>
      <c r="L1379" s="2"/>
      <c r="M1379" s="2"/>
      <c r="N1379" s="2"/>
      <c r="O1379" s="2"/>
      <c r="P1379" s="2"/>
      <c r="Q1379" s="2"/>
      <c r="R1379" s="2"/>
      <c r="S1379" s="2"/>
      <c r="T1379" s="2"/>
      <c r="U1379" s="2"/>
      <c r="V1379" s="2"/>
      <c r="W1379" s="2"/>
      <c r="X1379" s="2"/>
      <c r="Y1379" s="2"/>
    </row>
    <row r="1380" spans="1:25" ht="17.399999999999999" x14ac:dyDescent="0.25">
      <c r="A1380" s="1"/>
      <c r="B1380" s="10"/>
      <c r="C1380" s="2"/>
      <c r="D1380" s="2"/>
      <c r="E1380" s="2"/>
      <c r="F1380" s="2"/>
      <c r="G1380" s="2"/>
      <c r="H1380" s="1"/>
      <c r="I1380" s="2"/>
      <c r="J1380" s="2"/>
      <c r="K1380" s="2"/>
      <c r="L1380" s="2"/>
      <c r="M1380" s="2"/>
      <c r="N1380" s="2"/>
      <c r="O1380" s="2"/>
      <c r="P1380" s="2"/>
      <c r="Q1380" s="2"/>
      <c r="R1380" s="2"/>
      <c r="S1380" s="2"/>
      <c r="T1380" s="2"/>
      <c r="U1380" s="2"/>
      <c r="V1380" s="2"/>
      <c r="W1380" s="2"/>
      <c r="X1380" s="2"/>
      <c r="Y1380" s="2"/>
    </row>
    <row r="1381" spans="1:25" ht="17.399999999999999" x14ac:dyDescent="0.25">
      <c r="A1381" s="1"/>
      <c r="B1381" s="10"/>
      <c r="C1381" s="2"/>
      <c r="D1381" s="2"/>
      <c r="E1381" s="2"/>
      <c r="F1381" s="2"/>
      <c r="G1381" s="2"/>
      <c r="H1381" s="1"/>
      <c r="I1381" s="2"/>
      <c r="J1381" s="2"/>
      <c r="K1381" s="2"/>
      <c r="L1381" s="2"/>
      <c r="M1381" s="2"/>
      <c r="N1381" s="2"/>
      <c r="O1381" s="2"/>
      <c r="P1381" s="2"/>
      <c r="Q1381" s="2"/>
      <c r="R1381" s="2"/>
      <c r="S1381" s="2"/>
      <c r="T1381" s="2"/>
      <c r="U1381" s="2"/>
      <c r="V1381" s="2"/>
      <c r="W1381" s="2"/>
      <c r="X1381" s="2"/>
      <c r="Y1381" s="2"/>
    </row>
    <row r="1382" spans="1:25" ht="17.399999999999999" x14ac:dyDescent="0.25">
      <c r="A1382" s="1"/>
      <c r="B1382" s="10"/>
      <c r="C1382" s="2"/>
      <c r="D1382" s="2"/>
      <c r="E1382" s="2"/>
      <c r="F1382" s="2"/>
      <c r="G1382" s="2"/>
      <c r="H1382" s="1"/>
      <c r="I1382" s="2"/>
      <c r="J1382" s="2"/>
      <c r="K1382" s="2"/>
      <c r="L1382" s="2"/>
      <c r="M1382" s="2"/>
      <c r="N1382" s="2"/>
      <c r="O1382" s="2"/>
      <c r="P1382" s="2"/>
      <c r="Q1382" s="2"/>
      <c r="R1382" s="2"/>
      <c r="S1382" s="2"/>
      <c r="T1382" s="2"/>
      <c r="U1382" s="2"/>
      <c r="V1382" s="2"/>
      <c r="W1382" s="2"/>
      <c r="X1382" s="2"/>
      <c r="Y1382" s="2"/>
    </row>
    <row r="1383" spans="1:25" ht="17.399999999999999" x14ac:dyDescent="0.25">
      <c r="A1383" s="1"/>
      <c r="B1383" s="10"/>
      <c r="C1383" s="2"/>
      <c r="D1383" s="2"/>
      <c r="E1383" s="2"/>
      <c r="F1383" s="2"/>
      <c r="G1383" s="2"/>
      <c r="H1383" s="1"/>
      <c r="I1383" s="2"/>
      <c r="J1383" s="2"/>
      <c r="K1383" s="2"/>
      <c r="L1383" s="2"/>
      <c r="M1383" s="2"/>
      <c r="N1383" s="2"/>
      <c r="O1383" s="2"/>
      <c r="P1383" s="2"/>
      <c r="Q1383" s="2"/>
      <c r="R1383" s="2"/>
      <c r="S1383" s="2"/>
      <c r="T1383" s="2"/>
      <c r="U1383" s="2"/>
      <c r="V1383" s="2"/>
      <c r="W1383" s="2"/>
      <c r="X1383" s="2"/>
      <c r="Y1383" s="2"/>
    </row>
    <row r="1384" spans="1:25" ht="17.399999999999999" x14ac:dyDescent="0.25">
      <c r="A1384" s="1"/>
      <c r="B1384" s="10"/>
      <c r="C1384" s="2"/>
      <c r="D1384" s="2"/>
      <c r="E1384" s="2"/>
      <c r="F1384" s="2"/>
      <c r="G1384" s="2"/>
      <c r="H1384" s="1"/>
      <c r="I1384" s="2"/>
      <c r="J1384" s="2"/>
      <c r="K1384" s="2"/>
      <c r="L1384" s="2"/>
      <c r="M1384" s="2"/>
      <c r="N1384" s="2"/>
      <c r="O1384" s="2"/>
      <c r="P1384" s="2"/>
      <c r="Q1384" s="2"/>
      <c r="R1384" s="2"/>
      <c r="S1384" s="2"/>
      <c r="T1384" s="2"/>
      <c r="U1384" s="2"/>
      <c r="V1384" s="2"/>
      <c r="W1384" s="2"/>
      <c r="X1384" s="2"/>
      <c r="Y1384" s="2"/>
    </row>
    <row r="1385" spans="1:25" ht="17.399999999999999" x14ac:dyDescent="0.25">
      <c r="A1385" s="1"/>
      <c r="B1385" s="10"/>
      <c r="C1385" s="2"/>
      <c r="D1385" s="2"/>
      <c r="E1385" s="2"/>
      <c r="F1385" s="2"/>
      <c r="G1385" s="2"/>
      <c r="H1385" s="1"/>
      <c r="I1385" s="2"/>
      <c r="J1385" s="2"/>
      <c r="K1385" s="2"/>
      <c r="L1385" s="2"/>
      <c r="M1385" s="2"/>
      <c r="N1385" s="2"/>
      <c r="O1385" s="2"/>
      <c r="P1385" s="2"/>
      <c r="Q1385" s="2"/>
      <c r="R1385" s="2"/>
      <c r="S1385" s="2"/>
      <c r="T1385" s="2"/>
      <c r="U1385" s="2"/>
      <c r="V1385" s="2"/>
      <c r="W1385" s="2"/>
      <c r="X1385" s="2"/>
      <c r="Y1385" s="2"/>
    </row>
    <row r="1386" spans="1:25" ht="17.399999999999999" x14ac:dyDescent="0.25">
      <c r="A1386" s="1"/>
      <c r="B1386" s="10"/>
      <c r="C1386" s="2"/>
      <c r="D1386" s="2"/>
      <c r="E1386" s="2"/>
      <c r="F1386" s="2"/>
      <c r="G1386" s="2"/>
      <c r="H1386" s="1"/>
      <c r="I1386" s="2"/>
      <c r="J1386" s="2"/>
      <c r="K1386" s="2"/>
      <c r="L1386" s="2"/>
      <c r="M1386" s="2"/>
      <c r="N1386" s="2"/>
      <c r="O1386" s="2"/>
      <c r="P1386" s="2"/>
      <c r="Q1386" s="2"/>
      <c r="R1386" s="2"/>
      <c r="S1386" s="2"/>
      <c r="T1386" s="2"/>
      <c r="U1386" s="2"/>
      <c r="V1386" s="2"/>
      <c r="W1386" s="2"/>
      <c r="X1386" s="2"/>
      <c r="Y1386" s="2"/>
    </row>
    <row r="1387" spans="1:25" ht="17.399999999999999" x14ac:dyDescent="0.25">
      <c r="A1387" s="1"/>
      <c r="B1387" s="10"/>
      <c r="C1387" s="2"/>
      <c r="D1387" s="2"/>
      <c r="E1387" s="2"/>
      <c r="F1387" s="2"/>
      <c r="G1387" s="2"/>
      <c r="H1387" s="1"/>
      <c r="I1387" s="2"/>
      <c r="J1387" s="2"/>
      <c r="K1387" s="2"/>
      <c r="L1387" s="2"/>
      <c r="M1387" s="2"/>
      <c r="N1387" s="2"/>
      <c r="O1387" s="2"/>
      <c r="P1387" s="2"/>
      <c r="Q1387" s="2"/>
      <c r="R1387" s="2"/>
      <c r="S1387" s="2"/>
      <c r="T1387" s="2"/>
      <c r="U1387" s="2"/>
      <c r="V1387" s="2"/>
      <c r="W1387" s="2"/>
      <c r="X1387" s="2"/>
      <c r="Y1387" s="2"/>
    </row>
    <row r="1388" spans="1:25" ht="17.399999999999999" x14ac:dyDescent="0.25">
      <c r="A1388" s="1"/>
      <c r="B1388" s="10"/>
      <c r="C1388" s="2"/>
      <c r="D1388" s="2"/>
      <c r="E1388" s="2"/>
      <c r="F1388" s="2"/>
      <c r="G1388" s="2"/>
      <c r="H1388" s="1"/>
      <c r="I1388" s="2"/>
      <c r="J1388" s="2"/>
      <c r="K1388" s="2"/>
      <c r="L1388" s="2"/>
      <c r="M1388" s="2"/>
      <c r="N1388" s="2"/>
      <c r="O1388" s="2"/>
      <c r="P1388" s="2"/>
      <c r="Q1388" s="2"/>
      <c r="R1388" s="2"/>
      <c r="S1388" s="2"/>
      <c r="T1388" s="2"/>
      <c r="U1388" s="2"/>
      <c r="V1388" s="2"/>
      <c r="W1388" s="2"/>
      <c r="X1388" s="2"/>
      <c r="Y1388" s="2"/>
    </row>
    <row r="1389" spans="1:25" ht="17.399999999999999" x14ac:dyDescent="0.25">
      <c r="A1389" s="1"/>
      <c r="B1389" s="10"/>
      <c r="C1389" s="2"/>
      <c r="D1389" s="2"/>
      <c r="E1389" s="2"/>
      <c r="F1389" s="2"/>
      <c r="G1389" s="2"/>
      <c r="H1389" s="1"/>
      <c r="I1389" s="2"/>
      <c r="J1389" s="2"/>
      <c r="K1389" s="2"/>
      <c r="L1389" s="2"/>
      <c r="M1389" s="2"/>
      <c r="N1389" s="2"/>
      <c r="O1389" s="2"/>
      <c r="P1389" s="2"/>
      <c r="Q1389" s="2"/>
      <c r="R1389" s="2"/>
      <c r="S1389" s="2"/>
      <c r="T1389" s="2"/>
      <c r="U1389" s="2"/>
      <c r="V1389" s="2"/>
      <c r="W1389" s="2"/>
      <c r="X1389" s="2"/>
      <c r="Y1389" s="2"/>
    </row>
    <row r="1390" spans="1:25" ht="17.399999999999999" x14ac:dyDescent="0.25">
      <c r="A1390" s="1"/>
      <c r="B1390" s="10"/>
      <c r="C1390" s="2"/>
      <c r="D1390" s="2"/>
      <c r="E1390" s="2"/>
      <c r="F1390" s="2"/>
      <c r="G1390" s="2"/>
      <c r="H1390" s="1"/>
      <c r="I1390" s="2"/>
      <c r="J1390" s="2"/>
      <c r="K1390" s="2"/>
      <c r="L1390" s="2"/>
      <c r="M1390" s="2"/>
      <c r="N1390" s="2"/>
      <c r="O1390" s="2"/>
      <c r="P1390" s="2"/>
      <c r="Q1390" s="2"/>
      <c r="R1390" s="2"/>
      <c r="S1390" s="2"/>
      <c r="T1390" s="2"/>
      <c r="U1390" s="2"/>
      <c r="V1390" s="2"/>
      <c r="W1390" s="2"/>
      <c r="X1390" s="2"/>
      <c r="Y1390" s="2"/>
    </row>
    <row r="1391" spans="1:25" ht="17.399999999999999" x14ac:dyDescent="0.25">
      <c r="A1391" s="1"/>
      <c r="B1391" s="10"/>
      <c r="C1391" s="2"/>
      <c r="D1391" s="2"/>
      <c r="E1391" s="2"/>
      <c r="F1391" s="2"/>
      <c r="G1391" s="2"/>
      <c r="H1391" s="1"/>
      <c r="I1391" s="2"/>
      <c r="J1391" s="2"/>
      <c r="K1391" s="2"/>
      <c r="L1391" s="2"/>
      <c r="M1391" s="2"/>
      <c r="N1391" s="2"/>
      <c r="O1391" s="2"/>
      <c r="P1391" s="2"/>
      <c r="Q1391" s="2"/>
      <c r="R1391" s="2"/>
      <c r="S1391" s="2"/>
      <c r="T1391" s="2"/>
      <c r="U1391" s="2"/>
      <c r="V1391" s="2"/>
      <c r="W1391" s="2"/>
      <c r="X1391" s="2"/>
      <c r="Y1391" s="2"/>
    </row>
    <row r="1392" spans="1:25" ht="17.399999999999999" x14ac:dyDescent="0.25">
      <c r="A1392" s="1"/>
      <c r="B1392" s="10"/>
      <c r="C1392" s="2"/>
      <c r="D1392" s="2"/>
      <c r="E1392" s="2"/>
      <c r="F1392" s="2"/>
      <c r="G1392" s="2"/>
      <c r="H1392" s="1"/>
      <c r="I1392" s="2"/>
      <c r="J1392" s="2"/>
      <c r="K1392" s="2"/>
      <c r="L1392" s="2"/>
      <c r="M1392" s="2"/>
      <c r="N1392" s="2"/>
      <c r="O1392" s="2"/>
      <c r="P1392" s="2"/>
      <c r="Q1392" s="2"/>
      <c r="R1392" s="2"/>
      <c r="S1392" s="2"/>
      <c r="T1392" s="2"/>
      <c r="U1392" s="2"/>
      <c r="V1392" s="2"/>
      <c r="W1392" s="2"/>
      <c r="X1392" s="2"/>
      <c r="Y1392" s="2"/>
    </row>
    <row r="1393" spans="1:25" ht="17.399999999999999" x14ac:dyDescent="0.25">
      <c r="A1393" s="1"/>
      <c r="B1393" s="10"/>
      <c r="C1393" s="2"/>
      <c r="D1393" s="2"/>
      <c r="E1393" s="2"/>
      <c r="F1393" s="2"/>
      <c r="G1393" s="2"/>
      <c r="H1393" s="1"/>
      <c r="I1393" s="2"/>
      <c r="J1393" s="2"/>
      <c r="K1393" s="2"/>
      <c r="L1393" s="2"/>
      <c r="M1393" s="2"/>
      <c r="N1393" s="2"/>
      <c r="O1393" s="2"/>
      <c r="P1393" s="2"/>
      <c r="Q1393" s="2"/>
      <c r="R1393" s="2"/>
      <c r="S1393" s="2"/>
      <c r="T1393" s="2"/>
      <c r="U1393" s="2"/>
      <c r="V1393" s="2"/>
      <c r="W1393" s="2"/>
      <c r="X1393" s="2"/>
      <c r="Y1393" s="2"/>
    </row>
    <row r="1394" spans="1:25" ht="17.399999999999999" x14ac:dyDescent="0.25">
      <c r="A1394" s="1"/>
      <c r="B1394" s="10"/>
      <c r="C1394" s="2"/>
      <c r="D1394" s="2"/>
      <c r="E1394" s="2"/>
      <c r="F1394" s="2"/>
      <c r="G1394" s="2"/>
      <c r="H1394" s="1"/>
      <c r="I1394" s="2"/>
      <c r="J1394" s="2"/>
      <c r="K1394" s="2"/>
      <c r="L1394" s="2"/>
      <c r="M1394" s="2"/>
      <c r="N1394" s="2"/>
      <c r="O1394" s="2"/>
      <c r="P1394" s="2"/>
      <c r="Q1394" s="2"/>
      <c r="R1394" s="2"/>
      <c r="S1394" s="2"/>
      <c r="T1394" s="2"/>
      <c r="U1394" s="2"/>
      <c r="V1394" s="2"/>
      <c r="W1394" s="2"/>
      <c r="X1394" s="2"/>
      <c r="Y1394" s="2"/>
    </row>
    <row r="1395" spans="1:25" ht="17.399999999999999" x14ac:dyDescent="0.25">
      <c r="A1395" s="1"/>
      <c r="B1395" s="10"/>
      <c r="C1395" s="2"/>
      <c r="D1395" s="2"/>
      <c r="E1395" s="2"/>
      <c r="F1395" s="2"/>
      <c r="G1395" s="2"/>
      <c r="H1395" s="1"/>
      <c r="I1395" s="2"/>
      <c r="J1395" s="2"/>
      <c r="K1395" s="2"/>
      <c r="L1395" s="2"/>
      <c r="M1395" s="2"/>
      <c r="N1395" s="2"/>
      <c r="O1395" s="2"/>
      <c r="P1395" s="2"/>
      <c r="Q1395" s="2"/>
      <c r="R1395" s="2"/>
      <c r="S1395" s="2"/>
      <c r="T1395" s="2"/>
      <c r="U1395" s="2"/>
      <c r="V1395" s="2"/>
      <c r="W1395" s="2"/>
      <c r="X1395" s="2"/>
      <c r="Y1395" s="2"/>
    </row>
    <row r="1396" spans="1:25" ht="17.399999999999999" x14ac:dyDescent="0.25">
      <c r="A1396" s="1"/>
      <c r="B1396" s="10"/>
      <c r="C1396" s="2"/>
      <c r="D1396" s="2"/>
      <c r="E1396" s="2"/>
      <c r="F1396" s="2"/>
      <c r="G1396" s="2"/>
      <c r="H1396" s="1"/>
      <c r="I1396" s="2"/>
      <c r="J1396" s="2"/>
      <c r="K1396" s="2"/>
      <c r="L1396" s="2"/>
      <c r="M1396" s="2"/>
      <c r="N1396" s="2"/>
      <c r="O1396" s="2"/>
      <c r="P1396" s="2"/>
      <c r="Q1396" s="2"/>
      <c r="R1396" s="2"/>
      <c r="S1396" s="2"/>
      <c r="T1396" s="2"/>
      <c r="U1396" s="2"/>
      <c r="V1396" s="2"/>
      <c r="W1396" s="2"/>
      <c r="X1396" s="2"/>
      <c r="Y1396" s="2"/>
    </row>
    <row r="1397" spans="1:25" ht="17.399999999999999" x14ac:dyDescent="0.25">
      <c r="A1397" s="1"/>
      <c r="B1397" s="10"/>
      <c r="C1397" s="2"/>
      <c r="D1397" s="2"/>
      <c r="E1397" s="2"/>
      <c r="F1397" s="2"/>
      <c r="G1397" s="2"/>
      <c r="H1397" s="1"/>
      <c r="I1397" s="2"/>
      <c r="J1397" s="2"/>
      <c r="K1397" s="2"/>
      <c r="L1397" s="2"/>
      <c r="M1397" s="2"/>
      <c r="N1397" s="2"/>
      <c r="O1397" s="2"/>
      <c r="P1397" s="2"/>
      <c r="Q1397" s="2"/>
      <c r="R1397" s="2"/>
      <c r="S1397" s="2"/>
      <c r="T1397" s="2"/>
      <c r="U1397" s="2"/>
      <c r="V1397" s="2"/>
      <c r="W1397" s="2"/>
      <c r="X1397" s="2"/>
      <c r="Y1397" s="2"/>
    </row>
    <row r="1398" spans="1:25" ht="17.399999999999999" x14ac:dyDescent="0.25">
      <c r="A1398" s="1"/>
      <c r="B1398" s="10"/>
      <c r="C1398" s="2"/>
      <c r="D1398" s="2"/>
      <c r="E1398" s="2"/>
      <c r="F1398" s="2"/>
      <c r="G1398" s="2"/>
      <c r="H1398" s="1"/>
      <c r="I1398" s="2"/>
      <c r="J1398" s="2"/>
      <c r="K1398" s="2"/>
      <c r="L1398" s="2"/>
      <c r="M1398" s="2"/>
      <c r="N1398" s="2"/>
      <c r="O1398" s="2"/>
      <c r="P1398" s="2"/>
      <c r="Q1398" s="2"/>
      <c r="R1398" s="2"/>
      <c r="S1398" s="2"/>
      <c r="T1398" s="2"/>
      <c r="U1398" s="2"/>
      <c r="V1398" s="2"/>
      <c r="W1398" s="2"/>
      <c r="X1398" s="2"/>
      <c r="Y1398" s="2"/>
    </row>
    <row r="1399" spans="1:25" ht="17.399999999999999" x14ac:dyDescent="0.25">
      <c r="A1399" s="1"/>
      <c r="B1399" s="10"/>
      <c r="C1399" s="2"/>
      <c r="D1399" s="2"/>
      <c r="E1399" s="2"/>
      <c r="F1399" s="2"/>
      <c r="G1399" s="2"/>
      <c r="H1399" s="1"/>
      <c r="I1399" s="2"/>
      <c r="J1399" s="2"/>
      <c r="K1399" s="2"/>
      <c r="L1399" s="2"/>
      <c r="M1399" s="2"/>
      <c r="N1399" s="2"/>
      <c r="O1399" s="2"/>
      <c r="P1399" s="2"/>
      <c r="Q1399" s="2"/>
      <c r="R1399" s="2"/>
      <c r="S1399" s="2"/>
      <c r="T1399" s="2"/>
      <c r="U1399" s="2"/>
      <c r="V1399" s="2"/>
      <c r="W1399" s="2"/>
      <c r="X1399" s="2"/>
      <c r="Y1399" s="2"/>
    </row>
    <row r="1400" spans="1:25" ht="17.399999999999999" x14ac:dyDescent="0.25">
      <c r="A1400" s="1"/>
      <c r="B1400" s="10"/>
      <c r="C1400" s="2"/>
      <c r="D1400" s="2"/>
      <c r="E1400" s="2"/>
      <c r="F1400" s="2"/>
      <c r="G1400" s="2"/>
      <c r="H1400" s="1"/>
      <c r="I1400" s="2"/>
      <c r="J1400" s="2"/>
      <c r="K1400" s="2"/>
      <c r="L1400" s="2"/>
      <c r="M1400" s="2"/>
      <c r="N1400" s="2"/>
      <c r="O1400" s="2"/>
      <c r="P1400" s="2"/>
      <c r="Q1400" s="2"/>
      <c r="R1400" s="2"/>
      <c r="S1400" s="2"/>
      <c r="T1400" s="2"/>
      <c r="U1400" s="2"/>
      <c r="V1400" s="2"/>
      <c r="W1400" s="2"/>
      <c r="X1400" s="2"/>
      <c r="Y1400" s="2"/>
    </row>
    <row r="1401" spans="1:25" ht="17.399999999999999" x14ac:dyDescent="0.25">
      <c r="A1401" s="1"/>
      <c r="B1401" s="10"/>
      <c r="C1401" s="2"/>
      <c r="D1401" s="2"/>
      <c r="E1401" s="2"/>
      <c r="F1401" s="2"/>
      <c r="G1401" s="2"/>
      <c r="H1401" s="1"/>
      <c r="I1401" s="2"/>
      <c r="J1401" s="2"/>
      <c r="K1401" s="2"/>
      <c r="L1401" s="2"/>
      <c r="M1401" s="2"/>
      <c r="N1401" s="2"/>
      <c r="O1401" s="2"/>
      <c r="P1401" s="2"/>
      <c r="Q1401" s="2"/>
      <c r="R1401" s="2"/>
      <c r="S1401" s="2"/>
      <c r="T1401" s="2"/>
      <c r="U1401" s="2"/>
      <c r="V1401" s="2"/>
      <c r="W1401" s="2"/>
      <c r="X1401" s="2"/>
      <c r="Y1401" s="2"/>
    </row>
    <row r="1402" spans="1:25" ht="17.399999999999999" x14ac:dyDescent="0.25">
      <c r="A1402" s="1"/>
      <c r="B1402" s="10"/>
      <c r="C1402" s="2"/>
      <c r="D1402" s="2"/>
      <c r="E1402" s="2"/>
      <c r="F1402" s="2"/>
      <c r="G1402" s="2"/>
      <c r="H1402" s="1"/>
      <c r="I1402" s="2"/>
      <c r="J1402" s="2"/>
      <c r="K1402" s="2"/>
      <c r="L1402" s="2"/>
      <c r="M1402" s="2"/>
      <c r="N1402" s="2"/>
      <c r="O1402" s="2"/>
      <c r="P1402" s="2"/>
      <c r="Q1402" s="2"/>
      <c r="R1402" s="2"/>
      <c r="S1402" s="2"/>
      <c r="T1402" s="2"/>
      <c r="U1402" s="2"/>
      <c r="V1402" s="2"/>
      <c r="W1402" s="2"/>
      <c r="X1402" s="2"/>
      <c r="Y1402" s="2"/>
    </row>
    <row r="1403" spans="1:25" ht="17.399999999999999" x14ac:dyDescent="0.25">
      <c r="A1403" s="1"/>
      <c r="B1403" s="10"/>
      <c r="C1403" s="2"/>
      <c r="D1403" s="2"/>
      <c r="E1403" s="2"/>
      <c r="F1403" s="2"/>
      <c r="G1403" s="2"/>
      <c r="H1403" s="1"/>
      <c r="I1403" s="2"/>
      <c r="J1403" s="2"/>
      <c r="K1403" s="2"/>
      <c r="L1403" s="2"/>
      <c r="M1403" s="2"/>
      <c r="N1403" s="2"/>
      <c r="O1403" s="2"/>
      <c r="P1403" s="2"/>
      <c r="Q1403" s="2"/>
      <c r="R1403" s="2"/>
      <c r="S1403" s="2"/>
      <c r="T1403" s="2"/>
      <c r="U1403" s="2"/>
      <c r="V1403" s="2"/>
      <c r="W1403" s="2"/>
      <c r="X1403" s="2"/>
      <c r="Y1403" s="2"/>
    </row>
    <row r="1404" spans="1:25" ht="17.399999999999999" x14ac:dyDescent="0.25">
      <c r="A1404" s="1"/>
      <c r="B1404" s="10"/>
      <c r="C1404" s="2"/>
      <c r="D1404" s="2"/>
      <c r="E1404" s="2"/>
      <c r="F1404" s="2"/>
      <c r="G1404" s="2"/>
      <c r="H1404" s="1"/>
      <c r="I1404" s="2"/>
      <c r="J1404" s="2"/>
      <c r="K1404" s="2"/>
      <c r="L1404" s="2"/>
      <c r="M1404" s="2"/>
      <c r="N1404" s="2"/>
      <c r="O1404" s="2"/>
      <c r="P1404" s="2"/>
      <c r="Q1404" s="2"/>
      <c r="R1404" s="2"/>
      <c r="S1404" s="2"/>
      <c r="T1404" s="2"/>
      <c r="U1404" s="2"/>
      <c r="V1404" s="2"/>
      <c r="W1404" s="2"/>
      <c r="X1404" s="2"/>
      <c r="Y1404" s="2"/>
    </row>
    <row r="1405" spans="1:25" ht="17.399999999999999" x14ac:dyDescent="0.25">
      <c r="A1405" s="1"/>
      <c r="B1405" s="10"/>
      <c r="C1405" s="2"/>
      <c r="D1405" s="2"/>
      <c r="E1405" s="2"/>
      <c r="F1405" s="2"/>
      <c r="G1405" s="2"/>
      <c r="H1405" s="1"/>
      <c r="I1405" s="2"/>
      <c r="J1405" s="2"/>
      <c r="K1405" s="2"/>
      <c r="L1405" s="2"/>
      <c r="M1405" s="2"/>
      <c r="N1405" s="2"/>
      <c r="O1405" s="2"/>
      <c r="P1405" s="2"/>
      <c r="Q1405" s="2"/>
      <c r="R1405" s="2"/>
      <c r="S1405" s="2"/>
      <c r="T1405" s="2"/>
      <c r="U1405" s="2"/>
      <c r="V1405" s="2"/>
      <c r="W1405" s="2"/>
      <c r="X1405" s="2"/>
      <c r="Y1405" s="2"/>
    </row>
    <row r="1406" spans="1:25" ht="17.399999999999999" x14ac:dyDescent="0.25">
      <c r="A1406" s="1"/>
      <c r="B1406" s="10"/>
      <c r="C1406" s="2"/>
      <c r="D1406" s="2"/>
      <c r="E1406" s="2"/>
      <c r="F1406" s="2"/>
      <c r="G1406" s="2"/>
      <c r="H1406" s="1"/>
      <c r="I1406" s="2"/>
      <c r="J1406" s="2"/>
      <c r="K1406" s="2"/>
      <c r="L1406" s="2"/>
      <c r="M1406" s="2"/>
      <c r="N1406" s="2"/>
      <c r="O1406" s="2"/>
      <c r="P1406" s="2"/>
      <c r="Q1406" s="2"/>
      <c r="R1406" s="2"/>
      <c r="S1406" s="2"/>
      <c r="T1406" s="2"/>
      <c r="U1406" s="2"/>
      <c r="V1406" s="2"/>
      <c r="W1406" s="2"/>
      <c r="X1406" s="2"/>
      <c r="Y1406" s="2"/>
    </row>
    <row r="1407" spans="1:25" ht="17.399999999999999" x14ac:dyDescent="0.25">
      <c r="A1407" s="1"/>
      <c r="B1407" s="10"/>
      <c r="C1407" s="2"/>
      <c r="D1407" s="2"/>
      <c r="E1407" s="2"/>
      <c r="F1407" s="2"/>
      <c r="G1407" s="2"/>
      <c r="H1407" s="1"/>
      <c r="I1407" s="2"/>
      <c r="J1407" s="2"/>
      <c r="K1407" s="2"/>
      <c r="L1407" s="2"/>
      <c r="M1407" s="2"/>
      <c r="N1407" s="2"/>
      <c r="O1407" s="2"/>
      <c r="P1407" s="2"/>
      <c r="Q1407" s="2"/>
      <c r="R1407" s="2"/>
      <c r="S1407" s="2"/>
      <c r="T1407" s="2"/>
      <c r="U1407" s="2"/>
      <c r="V1407" s="2"/>
      <c r="W1407" s="2"/>
      <c r="X1407" s="2"/>
      <c r="Y1407" s="2"/>
    </row>
    <row r="1408" spans="1:25" ht="17.399999999999999" x14ac:dyDescent="0.25">
      <c r="A1408" s="1"/>
      <c r="B1408" s="10"/>
      <c r="C1408" s="2"/>
      <c r="D1408" s="2"/>
      <c r="E1408" s="2"/>
      <c r="F1408" s="2"/>
      <c r="G1408" s="2"/>
      <c r="H1408" s="1"/>
      <c r="I1408" s="2"/>
      <c r="J1408" s="2"/>
      <c r="K1408" s="2"/>
      <c r="L1408" s="2"/>
      <c r="M1408" s="2"/>
      <c r="N1408" s="2"/>
      <c r="O1408" s="2"/>
      <c r="P1408" s="2"/>
      <c r="Q1408" s="2"/>
      <c r="R1408" s="2"/>
      <c r="S1408" s="2"/>
      <c r="T1408" s="2"/>
      <c r="U1408" s="2"/>
      <c r="V1408" s="2"/>
      <c r="W1408" s="2"/>
      <c r="X1408" s="2"/>
      <c r="Y1408" s="2"/>
    </row>
    <row r="1409" spans="1:25" ht="17.399999999999999" x14ac:dyDescent="0.25">
      <c r="A1409" s="1"/>
      <c r="B1409" s="10"/>
      <c r="C1409" s="2"/>
      <c r="D1409" s="2"/>
      <c r="E1409" s="2"/>
      <c r="F1409" s="2"/>
      <c r="G1409" s="2"/>
      <c r="H1409" s="1"/>
      <c r="I1409" s="2"/>
      <c r="J1409" s="2"/>
      <c r="K1409" s="2"/>
      <c r="L1409" s="2"/>
      <c r="M1409" s="2"/>
      <c r="N1409" s="2"/>
      <c r="O1409" s="2"/>
      <c r="P1409" s="2"/>
      <c r="Q1409" s="2"/>
      <c r="R1409" s="2"/>
      <c r="S1409" s="2"/>
      <c r="T1409" s="2"/>
      <c r="U1409" s="2"/>
      <c r="V1409" s="2"/>
      <c r="W1409" s="2"/>
      <c r="X1409" s="2"/>
      <c r="Y1409" s="2"/>
    </row>
    <row r="1410" spans="1:25" ht="17.399999999999999" x14ac:dyDescent="0.25">
      <c r="A1410" s="1"/>
      <c r="B1410" s="10"/>
      <c r="C1410" s="2"/>
      <c r="D1410" s="2"/>
      <c r="E1410" s="2"/>
      <c r="F1410" s="2"/>
      <c r="G1410" s="2"/>
      <c r="H1410" s="1"/>
      <c r="I1410" s="2"/>
      <c r="J1410" s="2"/>
      <c r="K1410" s="2"/>
      <c r="L1410" s="2"/>
      <c r="M1410" s="2"/>
      <c r="N1410" s="2"/>
      <c r="O1410" s="2"/>
      <c r="P1410" s="2"/>
      <c r="Q1410" s="2"/>
      <c r="R1410" s="2"/>
      <c r="S1410" s="2"/>
      <c r="T1410" s="2"/>
      <c r="U1410" s="2"/>
      <c r="V1410" s="2"/>
      <c r="W1410" s="2"/>
      <c r="X1410" s="2"/>
      <c r="Y1410" s="2"/>
    </row>
    <row r="1411" spans="1:25" ht="17.399999999999999" x14ac:dyDescent="0.25">
      <c r="A1411" s="1"/>
      <c r="B1411" s="10"/>
      <c r="C1411" s="2"/>
      <c r="D1411" s="2"/>
      <c r="E1411" s="2"/>
      <c r="F1411" s="2"/>
      <c r="G1411" s="2"/>
      <c r="H1411" s="1"/>
      <c r="I1411" s="2"/>
      <c r="J1411" s="2"/>
      <c r="K1411" s="2"/>
      <c r="L1411" s="2"/>
      <c r="M1411" s="2"/>
      <c r="N1411" s="2"/>
      <c r="O1411" s="2"/>
      <c r="P1411" s="2"/>
      <c r="Q1411" s="2"/>
      <c r="R1411" s="2"/>
      <c r="S1411" s="2"/>
      <c r="T1411" s="2"/>
      <c r="U1411" s="2"/>
      <c r="V1411" s="2"/>
      <c r="W1411" s="2"/>
      <c r="X1411" s="2"/>
      <c r="Y1411" s="2"/>
    </row>
    <row r="1412" spans="1:25" ht="17.399999999999999" x14ac:dyDescent="0.25">
      <c r="A1412" s="1"/>
      <c r="B1412" s="10"/>
      <c r="C1412" s="2"/>
      <c r="D1412" s="2"/>
      <c r="E1412" s="2"/>
      <c r="F1412" s="2"/>
      <c r="G1412" s="2"/>
      <c r="H1412" s="1"/>
      <c r="I1412" s="2"/>
      <c r="J1412" s="2"/>
      <c r="K1412" s="2"/>
      <c r="L1412" s="2"/>
      <c r="M1412" s="2"/>
      <c r="N1412" s="2"/>
      <c r="O1412" s="2"/>
      <c r="P1412" s="2"/>
      <c r="Q1412" s="2"/>
      <c r="R1412" s="2"/>
      <c r="S1412" s="2"/>
      <c r="T1412" s="2"/>
      <c r="U1412" s="2"/>
      <c r="V1412" s="2"/>
      <c r="W1412" s="2"/>
      <c r="X1412" s="2"/>
      <c r="Y1412" s="2"/>
    </row>
    <row r="1413" spans="1:25" ht="17.399999999999999" x14ac:dyDescent="0.25">
      <c r="A1413" s="1"/>
      <c r="B1413" s="10"/>
      <c r="C1413" s="2"/>
      <c r="D1413" s="2"/>
      <c r="E1413" s="2"/>
      <c r="F1413" s="2"/>
      <c r="G1413" s="2"/>
      <c r="H1413" s="1"/>
      <c r="I1413" s="2"/>
      <c r="J1413" s="2"/>
      <c r="K1413" s="2"/>
      <c r="L1413" s="2"/>
      <c r="M1413" s="2"/>
      <c r="N1413" s="2"/>
      <c r="O1413" s="2"/>
      <c r="P1413" s="2"/>
      <c r="Q1413" s="2"/>
      <c r="R1413" s="2"/>
      <c r="S1413" s="2"/>
      <c r="T1413" s="2"/>
      <c r="U1413" s="2"/>
      <c r="V1413" s="2"/>
      <c r="W1413" s="2"/>
      <c r="X1413" s="2"/>
      <c r="Y1413" s="2"/>
    </row>
    <row r="1414" spans="1:25" ht="17.399999999999999" x14ac:dyDescent="0.25">
      <c r="A1414" s="1"/>
      <c r="B1414" s="10"/>
      <c r="C1414" s="2"/>
      <c r="D1414" s="2"/>
      <c r="E1414" s="2"/>
      <c r="F1414" s="2"/>
      <c r="G1414" s="2"/>
      <c r="H1414" s="1"/>
      <c r="I1414" s="2"/>
      <c r="J1414" s="2"/>
      <c r="K1414" s="2"/>
      <c r="L1414" s="2"/>
      <c r="M1414" s="2"/>
      <c r="N1414" s="2"/>
      <c r="O1414" s="2"/>
      <c r="P1414" s="2"/>
      <c r="Q1414" s="2"/>
      <c r="R1414" s="2"/>
      <c r="S1414" s="2"/>
      <c r="T1414" s="2"/>
      <c r="U1414" s="2"/>
      <c r="V1414" s="2"/>
      <c r="W1414" s="2"/>
      <c r="X1414" s="2"/>
      <c r="Y1414" s="2"/>
    </row>
    <row r="1415" spans="1:25" ht="17.399999999999999" x14ac:dyDescent="0.25">
      <c r="A1415" s="1"/>
      <c r="B1415" s="10"/>
      <c r="C1415" s="2"/>
      <c r="D1415" s="2"/>
      <c r="E1415" s="2"/>
      <c r="F1415" s="2"/>
      <c r="G1415" s="2"/>
      <c r="H1415" s="1"/>
      <c r="I1415" s="2"/>
      <c r="J1415" s="2"/>
      <c r="K1415" s="2"/>
      <c r="L1415" s="2"/>
      <c r="M1415" s="2"/>
      <c r="N1415" s="2"/>
      <c r="O1415" s="2"/>
      <c r="P1415" s="2"/>
      <c r="Q1415" s="2"/>
      <c r="R1415" s="2"/>
      <c r="S1415" s="2"/>
      <c r="T1415" s="2"/>
      <c r="U1415" s="2"/>
      <c r="V1415" s="2"/>
      <c r="W1415" s="2"/>
      <c r="X1415" s="2"/>
      <c r="Y1415" s="2"/>
    </row>
    <row r="1416" spans="1:25" ht="17.399999999999999" x14ac:dyDescent="0.25">
      <c r="A1416" s="1"/>
      <c r="B1416" s="10"/>
      <c r="C1416" s="2"/>
      <c r="D1416" s="2"/>
      <c r="E1416" s="2"/>
      <c r="F1416" s="2"/>
      <c r="G1416" s="2"/>
      <c r="H1416" s="1"/>
      <c r="I1416" s="2"/>
      <c r="J1416" s="2"/>
      <c r="K1416" s="2"/>
      <c r="L1416" s="2"/>
      <c r="M1416" s="2"/>
      <c r="N1416" s="2"/>
      <c r="O1416" s="2"/>
      <c r="P1416" s="2"/>
      <c r="Q1416" s="2"/>
      <c r="R1416" s="2"/>
      <c r="S1416" s="2"/>
      <c r="T1416" s="2"/>
      <c r="U1416" s="2"/>
      <c r="V1416" s="2"/>
      <c r="W1416" s="2"/>
      <c r="X1416" s="2"/>
      <c r="Y1416" s="2"/>
    </row>
    <row r="1417" spans="1:25" ht="17.399999999999999" x14ac:dyDescent="0.25">
      <c r="A1417" s="1"/>
      <c r="B1417" s="10"/>
      <c r="C1417" s="2"/>
      <c r="D1417" s="2"/>
      <c r="E1417" s="2"/>
      <c r="F1417" s="2"/>
      <c r="G1417" s="2"/>
      <c r="H1417" s="1"/>
      <c r="I1417" s="2"/>
      <c r="J1417" s="2"/>
      <c r="K1417" s="2"/>
      <c r="L1417" s="2"/>
      <c r="M1417" s="2"/>
      <c r="N1417" s="2"/>
      <c r="O1417" s="2"/>
      <c r="P1417" s="2"/>
      <c r="Q1417" s="2"/>
      <c r="R1417" s="2"/>
      <c r="S1417" s="2"/>
      <c r="T1417" s="2"/>
      <c r="U1417" s="2"/>
      <c r="V1417" s="2"/>
      <c r="W1417" s="2"/>
      <c r="X1417" s="2"/>
      <c r="Y1417" s="2"/>
    </row>
    <row r="1418" spans="1:25" ht="17.399999999999999" x14ac:dyDescent="0.25">
      <c r="A1418" s="1"/>
      <c r="B1418" s="10"/>
      <c r="C1418" s="2"/>
      <c r="D1418" s="2"/>
      <c r="E1418" s="2"/>
      <c r="F1418" s="2"/>
      <c r="G1418" s="2"/>
      <c r="H1418" s="1"/>
      <c r="I1418" s="2"/>
      <c r="J1418" s="2"/>
      <c r="K1418" s="2"/>
      <c r="L1418" s="2"/>
      <c r="M1418" s="2"/>
      <c r="N1418" s="2"/>
      <c r="O1418" s="2"/>
      <c r="P1418" s="2"/>
      <c r="Q1418" s="2"/>
      <c r="R1418" s="2"/>
      <c r="S1418" s="2"/>
      <c r="T1418" s="2"/>
      <c r="U1418" s="2"/>
      <c r="V1418" s="2"/>
      <c r="W1418" s="2"/>
      <c r="X1418" s="2"/>
      <c r="Y1418" s="2"/>
    </row>
    <row r="1419" spans="1:25" ht="17.399999999999999" x14ac:dyDescent="0.25">
      <c r="A1419" s="1"/>
      <c r="B1419" s="10"/>
      <c r="C1419" s="2"/>
      <c r="D1419" s="2"/>
      <c r="E1419" s="2"/>
      <c r="F1419" s="2"/>
      <c r="G1419" s="2"/>
      <c r="H1419" s="1"/>
      <c r="I1419" s="2"/>
      <c r="J1419" s="2"/>
      <c r="K1419" s="2"/>
      <c r="L1419" s="2"/>
      <c r="M1419" s="2"/>
      <c r="N1419" s="2"/>
      <c r="O1419" s="2"/>
      <c r="P1419" s="2"/>
      <c r="Q1419" s="2"/>
      <c r="R1419" s="2"/>
      <c r="S1419" s="2"/>
      <c r="T1419" s="2"/>
      <c r="U1419" s="2"/>
      <c r="V1419" s="2"/>
      <c r="W1419" s="2"/>
      <c r="X1419" s="2"/>
      <c r="Y1419" s="2"/>
    </row>
    <row r="1420" spans="1:25" ht="17.399999999999999" x14ac:dyDescent="0.25">
      <c r="A1420" s="1"/>
      <c r="B1420" s="10"/>
      <c r="C1420" s="2"/>
      <c r="D1420" s="2"/>
      <c r="E1420" s="2"/>
      <c r="F1420" s="2"/>
      <c r="G1420" s="2"/>
      <c r="H1420" s="1"/>
      <c r="I1420" s="2"/>
      <c r="J1420" s="2"/>
      <c r="K1420" s="2"/>
      <c r="L1420" s="2"/>
      <c r="M1420" s="2"/>
      <c r="N1420" s="2"/>
      <c r="O1420" s="2"/>
      <c r="P1420" s="2"/>
      <c r="Q1420" s="2"/>
      <c r="R1420" s="2"/>
      <c r="S1420" s="2"/>
      <c r="T1420" s="2"/>
      <c r="U1420" s="2"/>
      <c r="V1420" s="2"/>
      <c r="W1420" s="2"/>
      <c r="X1420" s="2"/>
      <c r="Y1420" s="2"/>
    </row>
    <row r="1421" spans="1:25" ht="17.399999999999999" x14ac:dyDescent="0.25">
      <c r="A1421" s="1"/>
      <c r="B1421" s="10"/>
      <c r="C1421" s="2"/>
      <c r="D1421" s="2"/>
      <c r="E1421" s="2"/>
      <c r="F1421" s="2"/>
      <c r="G1421" s="2"/>
      <c r="H1421" s="1"/>
      <c r="I1421" s="2"/>
      <c r="J1421" s="2"/>
      <c r="K1421" s="2"/>
      <c r="L1421" s="2"/>
      <c r="M1421" s="2"/>
      <c r="N1421" s="2"/>
      <c r="O1421" s="2"/>
      <c r="P1421" s="2"/>
      <c r="Q1421" s="2"/>
      <c r="R1421" s="2"/>
      <c r="S1421" s="2"/>
      <c r="T1421" s="2"/>
      <c r="U1421" s="2"/>
      <c r="V1421" s="2"/>
      <c r="W1421" s="2"/>
      <c r="X1421" s="2"/>
      <c r="Y1421" s="2"/>
    </row>
    <row r="1422" spans="1:25" ht="17.399999999999999" x14ac:dyDescent="0.25">
      <c r="A1422" s="1"/>
      <c r="B1422" s="10"/>
      <c r="C1422" s="2"/>
      <c r="D1422" s="2"/>
      <c r="E1422" s="2"/>
      <c r="F1422" s="2"/>
      <c r="G1422" s="2"/>
      <c r="H1422" s="1"/>
      <c r="I1422" s="2"/>
      <c r="J1422" s="2"/>
      <c r="K1422" s="2"/>
      <c r="L1422" s="2"/>
      <c r="M1422" s="2"/>
      <c r="N1422" s="2"/>
      <c r="O1422" s="2"/>
      <c r="P1422" s="2"/>
      <c r="Q1422" s="2"/>
      <c r="R1422" s="2"/>
      <c r="S1422" s="2"/>
      <c r="T1422" s="2"/>
      <c r="U1422" s="2"/>
      <c r="V1422" s="2"/>
      <c r="W1422" s="2"/>
      <c r="X1422" s="2"/>
      <c r="Y1422" s="2"/>
    </row>
    <row r="1423" spans="1:25" ht="17.399999999999999" x14ac:dyDescent="0.25">
      <c r="A1423" s="1"/>
      <c r="B1423" s="10"/>
      <c r="C1423" s="2"/>
      <c r="D1423" s="2"/>
      <c r="E1423" s="2"/>
      <c r="F1423" s="2"/>
      <c r="G1423" s="2"/>
      <c r="H1423" s="1"/>
      <c r="I1423" s="2"/>
      <c r="J1423" s="2"/>
      <c r="K1423" s="2"/>
      <c r="L1423" s="2"/>
      <c r="M1423" s="2"/>
      <c r="N1423" s="2"/>
      <c r="O1423" s="2"/>
      <c r="P1423" s="2"/>
      <c r="Q1423" s="2"/>
      <c r="R1423" s="2"/>
      <c r="S1423" s="2"/>
      <c r="T1423" s="2"/>
      <c r="U1423" s="2"/>
      <c r="V1423" s="2"/>
      <c r="W1423" s="2"/>
      <c r="X1423" s="2"/>
      <c r="Y1423" s="2"/>
    </row>
    <row r="1424" spans="1:25" ht="17.399999999999999" x14ac:dyDescent="0.25">
      <c r="A1424" s="1"/>
      <c r="B1424" s="10"/>
      <c r="C1424" s="2"/>
      <c r="D1424" s="2"/>
      <c r="E1424" s="2"/>
      <c r="F1424" s="2"/>
      <c r="G1424" s="2"/>
      <c r="H1424" s="1"/>
      <c r="I1424" s="2"/>
      <c r="J1424" s="2"/>
      <c r="K1424" s="2"/>
      <c r="L1424" s="2"/>
      <c r="M1424" s="2"/>
      <c r="N1424" s="2"/>
      <c r="O1424" s="2"/>
      <c r="P1424" s="2"/>
      <c r="Q1424" s="2"/>
      <c r="R1424" s="2"/>
      <c r="S1424" s="2"/>
      <c r="T1424" s="2"/>
      <c r="U1424" s="2"/>
      <c r="V1424" s="2"/>
      <c r="W1424" s="2"/>
      <c r="X1424" s="2"/>
      <c r="Y1424" s="2"/>
    </row>
    <row r="1425" spans="1:25" ht="17.399999999999999" x14ac:dyDescent="0.25">
      <c r="A1425" s="1"/>
      <c r="B1425" s="10"/>
      <c r="C1425" s="2"/>
      <c r="D1425" s="2"/>
      <c r="E1425" s="2"/>
      <c r="F1425" s="2"/>
      <c r="G1425" s="2"/>
      <c r="H1425" s="1"/>
      <c r="I1425" s="2"/>
      <c r="J1425" s="2"/>
      <c r="K1425" s="2"/>
      <c r="L1425" s="2"/>
      <c r="M1425" s="2"/>
      <c r="N1425" s="2"/>
      <c r="O1425" s="2"/>
      <c r="P1425" s="2"/>
      <c r="Q1425" s="2"/>
      <c r="R1425" s="2"/>
      <c r="S1425" s="2"/>
      <c r="T1425" s="2"/>
      <c r="U1425" s="2"/>
      <c r="V1425" s="2"/>
      <c r="W1425" s="2"/>
      <c r="X1425" s="2"/>
      <c r="Y1425" s="2"/>
    </row>
    <row r="1426" spans="1:25" ht="17.399999999999999" x14ac:dyDescent="0.25">
      <c r="A1426" s="1"/>
      <c r="B1426" s="10"/>
      <c r="C1426" s="2"/>
      <c r="D1426" s="2"/>
      <c r="E1426" s="2"/>
      <c r="F1426" s="2"/>
      <c r="G1426" s="2"/>
      <c r="H1426" s="1"/>
      <c r="I1426" s="2"/>
      <c r="J1426" s="2"/>
      <c r="K1426" s="2"/>
      <c r="L1426" s="2"/>
      <c r="M1426" s="2"/>
      <c r="N1426" s="2"/>
      <c r="O1426" s="2"/>
      <c r="P1426" s="2"/>
      <c r="Q1426" s="2"/>
      <c r="R1426" s="2"/>
      <c r="S1426" s="2"/>
      <c r="T1426" s="2"/>
      <c r="U1426" s="2"/>
      <c r="V1426" s="2"/>
      <c r="W1426" s="2"/>
      <c r="X1426" s="2"/>
      <c r="Y1426" s="2"/>
    </row>
    <row r="1427" spans="1:25" ht="17.399999999999999" x14ac:dyDescent="0.25">
      <c r="A1427" s="1"/>
      <c r="B1427" s="10"/>
      <c r="C1427" s="2"/>
      <c r="D1427" s="2"/>
      <c r="E1427" s="2"/>
      <c r="F1427" s="2"/>
      <c r="G1427" s="2"/>
      <c r="H1427" s="1"/>
      <c r="I1427" s="2"/>
      <c r="J1427" s="2"/>
      <c r="K1427" s="2"/>
      <c r="L1427" s="2"/>
      <c r="M1427" s="2"/>
      <c r="N1427" s="2"/>
      <c r="O1427" s="2"/>
      <c r="P1427" s="2"/>
      <c r="Q1427" s="2"/>
      <c r="R1427" s="2"/>
      <c r="S1427" s="2"/>
      <c r="T1427" s="2"/>
      <c r="U1427" s="2"/>
      <c r="V1427" s="2"/>
      <c r="W1427" s="2"/>
      <c r="X1427" s="2"/>
      <c r="Y1427" s="2"/>
    </row>
    <row r="1428" spans="1:25" ht="17.399999999999999" x14ac:dyDescent="0.25">
      <c r="A1428" s="1"/>
      <c r="B1428" s="10"/>
      <c r="C1428" s="2"/>
      <c r="D1428" s="2"/>
      <c r="E1428" s="2"/>
      <c r="F1428" s="2"/>
      <c r="G1428" s="2"/>
      <c r="H1428" s="1"/>
      <c r="I1428" s="2"/>
      <c r="J1428" s="2"/>
      <c r="K1428" s="2"/>
      <c r="L1428" s="2"/>
      <c r="M1428" s="2"/>
      <c r="N1428" s="2"/>
      <c r="O1428" s="2"/>
      <c r="P1428" s="2"/>
      <c r="Q1428" s="2"/>
      <c r="R1428" s="2"/>
      <c r="S1428" s="2"/>
      <c r="T1428" s="2"/>
      <c r="U1428" s="2"/>
      <c r="V1428" s="2"/>
      <c r="W1428" s="2"/>
      <c r="X1428" s="2"/>
      <c r="Y1428" s="2"/>
    </row>
    <row r="1429" spans="1:25" ht="17.399999999999999" x14ac:dyDescent="0.25">
      <c r="A1429" s="1"/>
      <c r="B1429" s="10"/>
      <c r="C1429" s="2"/>
      <c r="D1429" s="2"/>
      <c r="E1429" s="2"/>
      <c r="F1429" s="2"/>
      <c r="G1429" s="2"/>
      <c r="H1429" s="1"/>
      <c r="I1429" s="2"/>
      <c r="J1429" s="2"/>
      <c r="K1429" s="2"/>
      <c r="L1429" s="2"/>
      <c r="M1429" s="2"/>
      <c r="N1429" s="2"/>
      <c r="O1429" s="2"/>
      <c r="P1429" s="2"/>
      <c r="Q1429" s="2"/>
      <c r="R1429" s="2"/>
      <c r="S1429" s="2"/>
      <c r="T1429" s="2"/>
      <c r="U1429" s="2"/>
      <c r="V1429" s="2"/>
      <c r="W1429" s="2"/>
      <c r="X1429" s="2"/>
      <c r="Y1429" s="2"/>
    </row>
    <row r="1430" spans="1:25" ht="17.399999999999999" x14ac:dyDescent="0.25">
      <c r="A1430" s="1"/>
      <c r="B1430" s="10"/>
      <c r="C1430" s="2"/>
      <c r="D1430" s="2"/>
      <c r="E1430" s="2"/>
      <c r="F1430" s="2"/>
      <c r="G1430" s="2"/>
      <c r="H1430" s="1"/>
      <c r="I1430" s="2"/>
      <c r="J1430" s="2"/>
      <c r="K1430" s="2"/>
      <c r="L1430" s="2"/>
      <c r="M1430" s="2"/>
      <c r="N1430" s="2"/>
      <c r="O1430" s="2"/>
      <c r="P1430" s="2"/>
      <c r="Q1430" s="2"/>
      <c r="R1430" s="2"/>
      <c r="S1430" s="2"/>
      <c r="T1430" s="2"/>
      <c r="U1430" s="2"/>
      <c r="V1430" s="2"/>
      <c r="W1430" s="2"/>
      <c r="X1430" s="2"/>
      <c r="Y1430" s="2"/>
    </row>
    <row r="1431" spans="1:25" ht="17.399999999999999" x14ac:dyDescent="0.25">
      <c r="A1431" s="1"/>
      <c r="B1431" s="10"/>
      <c r="C1431" s="2"/>
      <c r="D1431" s="2"/>
      <c r="E1431" s="2"/>
      <c r="F1431" s="2"/>
      <c r="G1431" s="2"/>
      <c r="H1431" s="1"/>
      <c r="I1431" s="2"/>
      <c r="J1431" s="2"/>
      <c r="K1431" s="2"/>
      <c r="L1431" s="2"/>
      <c r="M1431" s="2"/>
      <c r="N1431" s="2"/>
      <c r="O1431" s="2"/>
      <c r="P1431" s="2"/>
      <c r="Q1431" s="2"/>
      <c r="R1431" s="2"/>
      <c r="S1431" s="2"/>
      <c r="T1431" s="2"/>
      <c r="U1431" s="2"/>
      <c r="V1431" s="2"/>
      <c r="W1431" s="2"/>
      <c r="X1431" s="2"/>
      <c r="Y1431" s="2"/>
    </row>
    <row r="1432" spans="1:25" ht="17.399999999999999" x14ac:dyDescent="0.25">
      <c r="A1432" s="1"/>
      <c r="B1432" s="10"/>
      <c r="C1432" s="2"/>
      <c r="D1432" s="2"/>
      <c r="E1432" s="2"/>
      <c r="F1432" s="2"/>
      <c r="G1432" s="2"/>
      <c r="H1432" s="1"/>
      <c r="I1432" s="2"/>
      <c r="J1432" s="2"/>
      <c r="K1432" s="2"/>
      <c r="L1432" s="2"/>
      <c r="M1432" s="2"/>
      <c r="N1432" s="2"/>
      <c r="O1432" s="2"/>
      <c r="P1432" s="2"/>
      <c r="Q1432" s="2"/>
      <c r="R1432" s="2"/>
      <c r="S1432" s="2"/>
      <c r="T1432" s="2"/>
      <c r="U1432" s="2"/>
      <c r="V1432" s="2"/>
      <c r="W1432" s="2"/>
      <c r="X1432" s="2"/>
      <c r="Y1432" s="2"/>
    </row>
    <row r="1433" spans="1:25" ht="17.399999999999999" x14ac:dyDescent="0.25">
      <c r="A1433" s="1"/>
      <c r="B1433" s="10"/>
      <c r="C1433" s="2"/>
      <c r="D1433" s="2"/>
      <c r="E1433" s="2"/>
      <c r="F1433" s="2"/>
      <c r="G1433" s="2"/>
      <c r="H1433" s="1"/>
      <c r="I1433" s="2"/>
      <c r="J1433" s="2"/>
      <c r="K1433" s="2"/>
      <c r="L1433" s="2"/>
      <c r="M1433" s="2"/>
      <c r="N1433" s="2"/>
      <c r="O1433" s="2"/>
      <c r="P1433" s="2"/>
      <c r="Q1433" s="2"/>
      <c r="R1433" s="2"/>
      <c r="S1433" s="2"/>
      <c r="T1433" s="2"/>
      <c r="U1433" s="2"/>
      <c r="V1433" s="2"/>
      <c r="W1433" s="2"/>
      <c r="X1433" s="2"/>
      <c r="Y1433" s="2"/>
    </row>
    <row r="1434" spans="1:25" ht="17.399999999999999" x14ac:dyDescent="0.25">
      <c r="A1434" s="1"/>
      <c r="B1434" s="10"/>
      <c r="C1434" s="2"/>
      <c r="D1434" s="2"/>
      <c r="E1434" s="2"/>
      <c r="F1434" s="2"/>
      <c r="G1434" s="2"/>
      <c r="H1434" s="1"/>
      <c r="I1434" s="2"/>
      <c r="J1434" s="2"/>
      <c r="K1434" s="2"/>
      <c r="L1434" s="2"/>
      <c r="M1434" s="2"/>
      <c r="N1434" s="2"/>
      <c r="O1434" s="2"/>
      <c r="P1434" s="2"/>
      <c r="Q1434" s="2"/>
      <c r="R1434" s="2"/>
      <c r="S1434" s="2"/>
      <c r="T1434" s="2"/>
      <c r="U1434" s="2"/>
      <c r="V1434" s="2"/>
      <c r="W1434" s="2"/>
      <c r="X1434" s="2"/>
      <c r="Y1434" s="2"/>
    </row>
    <row r="1435" spans="1:25" ht="17.399999999999999" x14ac:dyDescent="0.25">
      <c r="A1435" s="1"/>
      <c r="B1435" s="10"/>
      <c r="C1435" s="2"/>
      <c r="D1435" s="2"/>
      <c r="E1435" s="2"/>
      <c r="F1435" s="2"/>
      <c r="G1435" s="2"/>
      <c r="H1435" s="1"/>
      <c r="I1435" s="2"/>
      <c r="J1435" s="2"/>
      <c r="K1435" s="2"/>
      <c r="L1435" s="2"/>
      <c r="M1435" s="2"/>
      <c r="N1435" s="2"/>
      <c r="O1435" s="2"/>
      <c r="P1435" s="2"/>
      <c r="Q1435" s="2"/>
      <c r="R1435" s="2"/>
      <c r="S1435" s="2"/>
      <c r="T1435" s="2"/>
      <c r="U1435" s="2"/>
      <c r="V1435" s="2"/>
      <c r="W1435" s="2"/>
      <c r="X1435" s="2"/>
      <c r="Y1435" s="2"/>
    </row>
    <row r="1436" spans="1:25" ht="17.399999999999999" x14ac:dyDescent="0.25">
      <c r="A1436" s="1"/>
      <c r="B1436" s="10"/>
      <c r="C1436" s="2"/>
      <c r="D1436" s="2"/>
      <c r="E1436" s="2"/>
      <c r="F1436" s="2"/>
      <c r="G1436" s="2"/>
      <c r="H1436" s="1"/>
      <c r="I1436" s="2"/>
      <c r="J1436" s="2"/>
      <c r="K1436" s="2"/>
      <c r="L1436" s="2"/>
      <c r="M1436" s="2"/>
      <c r="N1436" s="2"/>
      <c r="O1436" s="2"/>
      <c r="P1436" s="2"/>
      <c r="Q1436" s="2"/>
      <c r="R1436" s="2"/>
      <c r="S1436" s="2"/>
      <c r="T1436" s="2"/>
      <c r="U1436" s="2"/>
      <c r="V1436" s="2"/>
      <c r="W1436" s="2"/>
      <c r="X1436" s="2"/>
      <c r="Y1436" s="2"/>
    </row>
    <row r="1437" spans="1:25" ht="17.399999999999999" x14ac:dyDescent="0.25">
      <c r="A1437" s="1"/>
      <c r="B1437" s="10"/>
      <c r="C1437" s="2"/>
      <c r="D1437" s="2"/>
      <c r="E1437" s="2"/>
      <c r="F1437" s="2"/>
      <c r="G1437" s="2"/>
      <c r="H1437" s="1"/>
      <c r="I1437" s="2"/>
      <c r="J1437" s="2"/>
      <c r="K1437" s="2"/>
      <c r="L1437" s="2"/>
      <c r="M1437" s="2"/>
      <c r="N1437" s="2"/>
      <c r="O1437" s="2"/>
      <c r="P1437" s="2"/>
      <c r="Q1437" s="2"/>
      <c r="R1437" s="2"/>
      <c r="S1437" s="2"/>
      <c r="T1437" s="2"/>
      <c r="U1437" s="2"/>
      <c r="V1437" s="2"/>
      <c r="W1437" s="2"/>
      <c r="X1437" s="2"/>
      <c r="Y1437" s="2"/>
    </row>
    <row r="1438" spans="1:25" ht="17.399999999999999" x14ac:dyDescent="0.25">
      <c r="A1438" s="1"/>
      <c r="B1438" s="10"/>
      <c r="C1438" s="2"/>
      <c r="D1438" s="2"/>
      <c r="E1438" s="2"/>
      <c r="F1438" s="2"/>
      <c r="G1438" s="2"/>
      <c r="H1438" s="1"/>
      <c r="I1438" s="2"/>
      <c r="J1438" s="2"/>
      <c r="K1438" s="2"/>
      <c r="L1438" s="2"/>
      <c r="M1438" s="2"/>
      <c r="N1438" s="2"/>
      <c r="O1438" s="2"/>
      <c r="P1438" s="2"/>
      <c r="Q1438" s="2"/>
      <c r="R1438" s="2"/>
      <c r="S1438" s="2"/>
      <c r="T1438" s="2"/>
      <c r="U1438" s="2"/>
      <c r="V1438" s="2"/>
      <c r="W1438" s="2"/>
      <c r="X1438" s="2"/>
      <c r="Y1438" s="2"/>
    </row>
    <row r="1439" spans="1:25" ht="17.399999999999999" x14ac:dyDescent="0.25">
      <c r="A1439" s="1"/>
      <c r="B1439" s="10"/>
      <c r="C1439" s="2"/>
      <c r="D1439" s="2"/>
      <c r="E1439" s="2"/>
      <c r="F1439" s="2"/>
      <c r="G1439" s="2"/>
      <c r="H1439" s="1"/>
      <c r="I1439" s="2"/>
      <c r="J1439" s="2"/>
      <c r="K1439" s="2"/>
      <c r="L1439" s="2"/>
      <c r="M1439" s="2"/>
      <c r="N1439" s="2"/>
      <c r="O1439" s="2"/>
      <c r="P1439" s="2"/>
      <c r="Q1439" s="2"/>
      <c r="R1439" s="2"/>
      <c r="S1439" s="2"/>
      <c r="T1439" s="2"/>
      <c r="U1439" s="2"/>
      <c r="V1439" s="2"/>
      <c r="W1439" s="2"/>
      <c r="X1439" s="2"/>
      <c r="Y1439" s="2"/>
    </row>
    <row r="1440" spans="1:25" ht="17.399999999999999" x14ac:dyDescent="0.25">
      <c r="A1440" s="1"/>
      <c r="B1440" s="10"/>
      <c r="C1440" s="2"/>
      <c r="D1440" s="2"/>
      <c r="E1440" s="2"/>
      <c r="F1440" s="2"/>
      <c r="G1440" s="2"/>
      <c r="H1440" s="1"/>
      <c r="I1440" s="2"/>
      <c r="J1440" s="2"/>
      <c r="K1440" s="2"/>
      <c r="L1440" s="2"/>
      <c r="M1440" s="2"/>
      <c r="N1440" s="2"/>
      <c r="O1440" s="2"/>
      <c r="P1440" s="2"/>
      <c r="Q1440" s="2"/>
      <c r="R1440" s="2"/>
      <c r="S1440" s="2"/>
      <c r="T1440" s="2"/>
      <c r="U1440" s="2"/>
      <c r="V1440" s="2"/>
      <c r="W1440" s="2"/>
      <c r="X1440" s="2"/>
      <c r="Y1440" s="2"/>
    </row>
    <row r="1441" spans="1:25" ht="17.399999999999999" x14ac:dyDescent="0.25">
      <c r="A1441" s="1"/>
      <c r="B1441" s="10"/>
      <c r="C1441" s="2"/>
      <c r="D1441" s="2"/>
      <c r="E1441" s="2"/>
      <c r="F1441" s="2"/>
      <c r="G1441" s="2"/>
      <c r="H1441" s="1"/>
      <c r="I1441" s="2"/>
      <c r="J1441" s="2"/>
      <c r="K1441" s="2"/>
      <c r="L1441" s="2"/>
      <c r="M1441" s="2"/>
      <c r="N1441" s="2"/>
      <c r="O1441" s="2"/>
      <c r="P1441" s="2"/>
      <c r="Q1441" s="2"/>
      <c r="R1441" s="2"/>
      <c r="S1441" s="2"/>
      <c r="T1441" s="2"/>
      <c r="U1441" s="2"/>
      <c r="V1441" s="2"/>
      <c r="W1441" s="2"/>
      <c r="X1441" s="2"/>
      <c r="Y1441" s="2"/>
    </row>
    <row r="1442" spans="1:25" ht="17.399999999999999" x14ac:dyDescent="0.25">
      <c r="A1442" s="1"/>
      <c r="B1442" s="10"/>
      <c r="C1442" s="2"/>
      <c r="D1442" s="2"/>
      <c r="E1442" s="2"/>
      <c r="F1442" s="2"/>
      <c r="G1442" s="2"/>
      <c r="H1442" s="1"/>
      <c r="I1442" s="2"/>
      <c r="J1442" s="2"/>
      <c r="K1442" s="2"/>
      <c r="L1442" s="2"/>
      <c r="M1442" s="2"/>
      <c r="N1442" s="2"/>
      <c r="O1442" s="2"/>
      <c r="P1442" s="2"/>
      <c r="Q1442" s="2"/>
      <c r="R1442" s="2"/>
      <c r="S1442" s="2"/>
      <c r="T1442" s="2"/>
      <c r="U1442" s="2"/>
      <c r="V1442" s="2"/>
      <c r="W1442" s="2"/>
      <c r="X1442" s="2"/>
      <c r="Y1442" s="2"/>
    </row>
    <row r="1443" spans="1:25" ht="17.399999999999999" x14ac:dyDescent="0.25">
      <c r="A1443" s="1"/>
      <c r="B1443" s="10"/>
      <c r="C1443" s="2"/>
      <c r="D1443" s="2"/>
      <c r="E1443" s="2"/>
      <c r="F1443" s="2"/>
      <c r="G1443" s="2"/>
      <c r="H1443" s="1"/>
      <c r="I1443" s="2"/>
      <c r="J1443" s="2"/>
      <c r="K1443" s="2"/>
      <c r="L1443" s="2"/>
      <c r="M1443" s="2"/>
      <c r="N1443" s="2"/>
      <c r="O1443" s="2"/>
      <c r="P1443" s="2"/>
      <c r="Q1443" s="2"/>
      <c r="R1443" s="2"/>
      <c r="S1443" s="2"/>
      <c r="T1443" s="2"/>
      <c r="U1443" s="2"/>
      <c r="V1443" s="2"/>
      <c r="W1443" s="2"/>
      <c r="X1443" s="2"/>
      <c r="Y1443" s="2"/>
    </row>
    <row r="1444" spans="1:25" ht="17.399999999999999" x14ac:dyDescent="0.25">
      <c r="A1444" s="1"/>
      <c r="B1444" s="10"/>
      <c r="C1444" s="2"/>
      <c r="D1444" s="2"/>
      <c r="E1444" s="2"/>
      <c r="F1444" s="2"/>
      <c r="G1444" s="2"/>
      <c r="H1444" s="1"/>
      <c r="I1444" s="2"/>
      <c r="J1444" s="2"/>
      <c r="K1444" s="2"/>
      <c r="L1444" s="2"/>
      <c r="M1444" s="2"/>
      <c r="N1444" s="2"/>
      <c r="O1444" s="2"/>
      <c r="P1444" s="2"/>
      <c r="Q1444" s="2"/>
      <c r="R1444" s="2"/>
      <c r="S1444" s="2"/>
      <c r="T1444" s="2"/>
      <c r="U1444" s="2"/>
      <c r="V1444" s="2"/>
      <c r="W1444" s="2"/>
      <c r="X1444" s="2"/>
      <c r="Y1444" s="2"/>
    </row>
    <row r="1445" spans="1:25" ht="17.399999999999999" x14ac:dyDescent="0.25">
      <c r="A1445" s="1"/>
      <c r="B1445" s="10"/>
      <c r="C1445" s="2"/>
      <c r="D1445" s="2"/>
      <c r="E1445" s="2"/>
      <c r="F1445" s="2"/>
      <c r="G1445" s="2"/>
      <c r="H1445" s="1"/>
      <c r="I1445" s="2"/>
      <c r="J1445" s="2"/>
      <c r="K1445" s="2"/>
      <c r="L1445" s="2"/>
      <c r="M1445" s="2"/>
      <c r="N1445" s="2"/>
      <c r="O1445" s="2"/>
      <c r="P1445" s="2"/>
      <c r="Q1445" s="2"/>
      <c r="R1445" s="2"/>
      <c r="S1445" s="2"/>
      <c r="T1445" s="2"/>
      <c r="U1445" s="2"/>
      <c r="V1445" s="2"/>
      <c r="W1445" s="2"/>
      <c r="X1445" s="2"/>
      <c r="Y1445" s="2"/>
    </row>
    <row r="1446" spans="1:25" ht="17.399999999999999" x14ac:dyDescent="0.25">
      <c r="A1446" s="1"/>
      <c r="B1446" s="10"/>
      <c r="C1446" s="2"/>
      <c r="D1446" s="2"/>
      <c r="E1446" s="2"/>
      <c r="F1446" s="2"/>
      <c r="G1446" s="2"/>
      <c r="H1446" s="1"/>
      <c r="I1446" s="2"/>
      <c r="J1446" s="2"/>
      <c r="K1446" s="2"/>
      <c r="L1446" s="2"/>
      <c r="M1446" s="2"/>
      <c r="N1446" s="2"/>
      <c r="O1446" s="2"/>
      <c r="P1446" s="2"/>
      <c r="Q1446" s="2"/>
      <c r="R1446" s="2"/>
      <c r="S1446" s="2"/>
      <c r="T1446" s="2"/>
      <c r="U1446" s="2"/>
      <c r="V1446" s="2"/>
      <c r="W1446" s="2"/>
      <c r="X1446" s="2"/>
      <c r="Y1446" s="2"/>
    </row>
    <row r="1447" spans="1:25" ht="17.399999999999999" x14ac:dyDescent="0.25">
      <c r="A1447" s="1"/>
      <c r="B1447" s="10"/>
      <c r="C1447" s="2"/>
      <c r="D1447" s="2"/>
      <c r="E1447" s="2"/>
      <c r="F1447" s="2"/>
      <c r="G1447" s="2"/>
      <c r="H1447" s="1"/>
      <c r="I1447" s="2"/>
      <c r="J1447" s="2"/>
      <c r="K1447" s="2"/>
      <c r="L1447" s="2"/>
      <c r="M1447" s="2"/>
      <c r="N1447" s="2"/>
      <c r="O1447" s="2"/>
      <c r="P1447" s="2"/>
      <c r="Q1447" s="2"/>
      <c r="R1447" s="2"/>
      <c r="S1447" s="2"/>
      <c r="T1447" s="2"/>
      <c r="U1447" s="2"/>
      <c r="V1447" s="2"/>
      <c r="W1447" s="2"/>
      <c r="X1447" s="2"/>
      <c r="Y1447" s="2"/>
    </row>
    <row r="1448" spans="1:25" ht="17.399999999999999" x14ac:dyDescent="0.25">
      <c r="A1448" s="1"/>
      <c r="B1448" s="10"/>
      <c r="C1448" s="2"/>
      <c r="D1448" s="2"/>
      <c r="E1448" s="2"/>
      <c r="F1448" s="2"/>
      <c r="G1448" s="2"/>
      <c r="H1448" s="1"/>
      <c r="I1448" s="2"/>
      <c r="J1448" s="2"/>
      <c r="K1448" s="2"/>
      <c r="L1448" s="2"/>
      <c r="M1448" s="2"/>
      <c r="N1448" s="2"/>
      <c r="O1448" s="2"/>
      <c r="P1448" s="2"/>
      <c r="Q1448" s="2"/>
      <c r="R1448" s="2"/>
      <c r="S1448" s="2"/>
      <c r="T1448" s="2"/>
      <c r="U1448" s="2"/>
      <c r="V1448" s="2"/>
      <c r="W1448" s="2"/>
      <c r="X1448" s="2"/>
      <c r="Y1448" s="2"/>
    </row>
    <row r="1449" spans="1:25" ht="17.399999999999999" x14ac:dyDescent="0.25">
      <c r="A1449" s="1"/>
      <c r="B1449" s="10"/>
      <c r="C1449" s="2"/>
      <c r="D1449" s="2"/>
      <c r="E1449" s="2"/>
      <c r="F1449" s="2"/>
      <c r="G1449" s="2"/>
      <c r="H1449" s="1"/>
      <c r="I1449" s="2"/>
      <c r="J1449" s="2"/>
      <c r="K1449" s="2"/>
      <c r="L1449" s="2"/>
      <c r="M1449" s="2"/>
      <c r="N1449" s="2"/>
      <c r="O1449" s="2"/>
      <c r="P1449" s="2"/>
      <c r="Q1449" s="2"/>
      <c r="R1449" s="2"/>
      <c r="S1449" s="2"/>
      <c r="T1449" s="2"/>
      <c r="U1449" s="2"/>
      <c r="V1449" s="2"/>
      <c r="W1449" s="2"/>
      <c r="X1449" s="2"/>
      <c r="Y1449" s="2"/>
    </row>
    <row r="1450" spans="1:25" ht="17.399999999999999" x14ac:dyDescent="0.25">
      <c r="A1450" s="1"/>
      <c r="B1450" s="10"/>
      <c r="C1450" s="2"/>
      <c r="D1450" s="2"/>
      <c r="E1450" s="2"/>
      <c r="F1450" s="2"/>
      <c r="G1450" s="2"/>
      <c r="H1450" s="1"/>
      <c r="I1450" s="2"/>
      <c r="J1450" s="2"/>
      <c r="K1450" s="2"/>
      <c r="L1450" s="2"/>
      <c r="M1450" s="2"/>
      <c r="N1450" s="2"/>
      <c r="O1450" s="2"/>
      <c r="P1450" s="2"/>
      <c r="Q1450" s="2"/>
      <c r="R1450" s="2"/>
      <c r="S1450" s="2"/>
      <c r="T1450" s="2"/>
      <c r="U1450" s="2"/>
      <c r="V1450" s="2"/>
      <c r="W1450" s="2"/>
      <c r="X1450" s="2"/>
      <c r="Y1450" s="2"/>
    </row>
    <row r="1451" spans="1:25" ht="17.399999999999999" x14ac:dyDescent="0.25">
      <c r="A1451" s="1"/>
      <c r="B1451" s="10"/>
      <c r="C1451" s="2"/>
      <c r="D1451" s="2"/>
      <c r="E1451" s="2"/>
      <c r="F1451" s="2"/>
      <c r="G1451" s="2"/>
      <c r="H1451" s="1"/>
      <c r="I1451" s="2"/>
      <c r="J1451" s="2"/>
      <c r="K1451" s="2"/>
      <c r="L1451" s="2"/>
      <c r="M1451" s="2"/>
      <c r="N1451" s="2"/>
      <c r="O1451" s="2"/>
      <c r="P1451" s="2"/>
      <c r="Q1451" s="2"/>
      <c r="R1451" s="2"/>
      <c r="S1451" s="2"/>
      <c r="T1451" s="2"/>
      <c r="U1451" s="2"/>
      <c r="V1451" s="2"/>
      <c r="W1451" s="2"/>
      <c r="X1451" s="2"/>
      <c r="Y1451" s="2"/>
    </row>
    <row r="1452" spans="1:25" ht="17.399999999999999" x14ac:dyDescent="0.25">
      <c r="A1452" s="1"/>
      <c r="B1452" s="10"/>
      <c r="C1452" s="2"/>
      <c r="D1452" s="2"/>
      <c r="E1452" s="2"/>
      <c r="F1452" s="2"/>
      <c r="G1452" s="2"/>
      <c r="H1452" s="1"/>
      <c r="I1452" s="2"/>
      <c r="J1452" s="2"/>
      <c r="K1452" s="2"/>
      <c r="L1452" s="2"/>
      <c r="M1452" s="2"/>
      <c r="N1452" s="2"/>
      <c r="O1452" s="2"/>
      <c r="P1452" s="2"/>
      <c r="Q1452" s="2"/>
      <c r="R1452" s="2"/>
      <c r="S1452" s="2"/>
      <c r="T1452" s="2"/>
      <c r="U1452" s="2"/>
      <c r="V1452" s="2"/>
      <c r="W1452" s="2"/>
      <c r="X1452" s="2"/>
      <c r="Y1452" s="2"/>
    </row>
    <row r="1453" spans="1:25" ht="17.399999999999999" x14ac:dyDescent="0.25">
      <c r="A1453" s="1"/>
      <c r="B1453" s="10"/>
      <c r="C1453" s="2"/>
      <c r="D1453" s="2"/>
      <c r="E1453" s="2"/>
      <c r="F1453" s="2"/>
      <c r="G1453" s="2"/>
      <c r="H1453" s="1"/>
      <c r="I1453" s="2"/>
      <c r="J1453" s="2"/>
      <c r="K1453" s="2"/>
      <c r="L1453" s="2"/>
      <c r="M1453" s="2"/>
      <c r="N1453" s="2"/>
      <c r="O1453" s="2"/>
      <c r="P1453" s="2"/>
      <c r="Q1453" s="2"/>
      <c r="R1453" s="2"/>
      <c r="S1453" s="2"/>
      <c r="T1453" s="2"/>
      <c r="U1453" s="2"/>
      <c r="V1453" s="2"/>
      <c r="W1453" s="2"/>
      <c r="X1453" s="2"/>
      <c r="Y1453" s="2"/>
    </row>
    <row r="1454" spans="1:25" ht="17.399999999999999" x14ac:dyDescent="0.25">
      <c r="A1454" s="1"/>
      <c r="B1454" s="10"/>
      <c r="C1454" s="2"/>
      <c r="D1454" s="2"/>
      <c r="E1454" s="2"/>
      <c r="F1454" s="2"/>
      <c r="G1454" s="2"/>
      <c r="H1454" s="1"/>
      <c r="I1454" s="2"/>
      <c r="J1454" s="2"/>
      <c r="K1454" s="2"/>
      <c r="L1454" s="2"/>
      <c r="M1454" s="2"/>
      <c r="N1454" s="2"/>
      <c r="O1454" s="2"/>
      <c r="P1454" s="2"/>
      <c r="Q1454" s="2"/>
      <c r="R1454" s="2"/>
      <c r="S1454" s="2"/>
      <c r="T1454" s="2"/>
      <c r="U1454" s="2"/>
      <c r="V1454" s="2"/>
      <c r="W1454" s="2"/>
      <c r="X1454" s="2"/>
      <c r="Y1454" s="2"/>
    </row>
    <row r="1455" spans="1:25" ht="17.399999999999999" x14ac:dyDescent="0.25">
      <c r="A1455" s="1"/>
      <c r="B1455" s="10"/>
      <c r="C1455" s="2"/>
      <c r="D1455" s="2"/>
      <c r="E1455" s="2"/>
      <c r="F1455" s="2"/>
      <c r="G1455" s="2"/>
      <c r="H1455" s="1"/>
      <c r="I1455" s="2"/>
      <c r="J1455" s="2"/>
      <c r="K1455" s="2"/>
      <c r="L1455" s="2"/>
      <c r="M1455" s="2"/>
      <c r="N1455" s="2"/>
      <c r="O1455" s="2"/>
      <c r="P1455" s="2"/>
      <c r="Q1455" s="2"/>
      <c r="R1455" s="2"/>
      <c r="S1455" s="2"/>
      <c r="T1455" s="2"/>
      <c r="U1455" s="2"/>
      <c r="V1455" s="2"/>
      <c r="W1455" s="2"/>
      <c r="X1455" s="2"/>
      <c r="Y1455" s="2"/>
    </row>
    <row r="1456" spans="1:25" ht="17.399999999999999" x14ac:dyDescent="0.25">
      <c r="A1456" s="1"/>
      <c r="B1456" s="10"/>
      <c r="C1456" s="2"/>
      <c r="D1456" s="2"/>
      <c r="E1456" s="2"/>
      <c r="F1456" s="2"/>
      <c r="G1456" s="2"/>
      <c r="H1456" s="1"/>
      <c r="I1456" s="2"/>
      <c r="J1456" s="2"/>
      <c r="K1456" s="2"/>
      <c r="L1456" s="2"/>
      <c r="M1456" s="2"/>
      <c r="N1456" s="2"/>
      <c r="O1456" s="2"/>
      <c r="P1456" s="2"/>
      <c r="Q1456" s="2"/>
      <c r="R1456" s="2"/>
      <c r="S1456" s="2"/>
      <c r="T1456" s="2"/>
      <c r="U1456" s="2"/>
      <c r="V1456" s="2"/>
      <c r="W1456" s="2"/>
      <c r="X1456" s="2"/>
      <c r="Y1456" s="2"/>
    </row>
    <row r="1457" spans="1:25" ht="17.399999999999999" x14ac:dyDescent="0.25">
      <c r="A1457" s="1"/>
      <c r="B1457" s="10"/>
      <c r="C1457" s="2"/>
      <c r="D1457" s="2"/>
      <c r="E1457" s="2"/>
      <c r="F1457" s="2"/>
      <c r="G1457" s="2"/>
      <c r="H1457" s="1"/>
      <c r="I1457" s="2"/>
      <c r="J1457" s="2"/>
      <c r="K1457" s="2"/>
      <c r="L1457" s="2"/>
      <c r="M1457" s="2"/>
      <c r="N1457" s="2"/>
      <c r="O1457" s="2"/>
      <c r="P1457" s="2"/>
      <c r="Q1457" s="2"/>
      <c r="R1457" s="2"/>
      <c r="S1457" s="2"/>
      <c r="T1457" s="2"/>
      <c r="U1457" s="2"/>
      <c r="V1457" s="2"/>
      <c r="W1457" s="2"/>
      <c r="X1457" s="2"/>
      <c r="Y1457" s="2"/>
    </row>
    <row r="1458" spans="1:25" ht="17.399999999999999" x14ac:dyDescent="0.25">
      <c r="A1458" s="1"/>
      <c r="B1458" s="10"/>
      <c r="C1458" s="2"/>
      <c r="D1458" s="2"/>
      <c r="E1458" s="2"/>
      <c r="F1458" s="2"/>
      <c r="G1458" s="2"/>
      <c r="H1458" s="1"/>
      <c r="I1458" s="2"/>
      <c r="J1458" s="2"/>
      <c r="K1458" s="2"/>
      <c r="L1458" s="2"/>
      <c r="M1458" s="2"/>
      <c r="N1458" s="2"/>
      <c r="O1458" s="2"/>
      <c r="P1458" s="2"/>
      <c r="Q1458" s="2"/>
      <c r="R1458" s="2"/>
      <c r="S1458" s="2"/>
      <c r="T1458" s="2"/>
      <c r="U1458" s="2"/>
      <c r="V1458" s="2"/>
      <c r="W1458" s="2"/>
      <c r="X1458" s="2"/>
      <c r="Y1458" s="2"/>
    </row>
    <row r="1459" spans="1:25" ht="17.399999999999999" x14ac:dyDescent="0.25">
      <c r="A1459" s="1"/>
      <c r="B1459" s="10"/>
      <c r="C1459" s="2"/>
      <c r="D1459" s="2"/>
      <c r="E1459" s="2"/>
      <c r="F1459" s="2"/>
      <c r="G1459" s="2"/>
      <c r="H1459" s="1"/>
      <c r="I1459" s="2"/>
      <c r="J1459" s="2"/>
      <c r="K1459" s="2"/>
      <c r="L1459" s="2"/>
      <c r="M1459" s="2"/>
      <c r="N1459" s="2"/>
      <c r="O1459" s="2"/>
      <c r="P1459" s="2"/>
      <c r="Q1459" s="2"/>
      <c r="R1459" s="2"/>
      <c r="S1459" s="2"/>
      <c r="T1459" s="2"/>
      <c r="U1459" s="2"/>
      <c r="V1459" s="2"/>
      <c r="W1459" s="2"/>
      <c r="X1459" s="2"/>
      <c r="Y1459" s="2"/>
    </row>
    <row r="1460" spans="1:25" ht="17.399999999999999" x14ac:dyDescent="0.25">
      <c r="A1460" s="1"/>
      <c r="B1460" s="10"/>
      <c r="C1460" s="2"/>
      <c r="D1460" s="2"/>
      <c r="E1460" s="2"/>
      <c r="F1460" s="2"/>
      <c r="G1460" s="2"/>
      <c r="H1460" s="1"/>
      <c r="I1460" s="2"/>
      <c r="J1460" s="2"/>
      <c r="K1460" s="2"/>
      <c r="L1460" s="2"/>
      <c r="M1460" s="2"/>
      <c r="N1460" s="2"/>
      <c r="O1460" s="2"/>
      <c r="P1460" s="2"/>
      <c r="Q1460" s="2"/>
      <c r="R1460" s="2"/>
      <c r="S1460" s="2"/>
      <c r="T1460" s="2"/>
      <c r="U1460" s="2"/>
      <c r="V1460" s="2"/>
      <c r="W1460" s="2"/>
      <c r="X1460" s="2"/>
      <c r="Y1460" s="2"/>
    </row>
    <row r="1461" spans="1:25" ht="17.399999999999999" x14ac:dyDescent="0.25">
      <c r="A1461" s="1"/>
      <c r="B1461" s="10"/>
      <c r="C1461" s="2"/>
      <c r="D1461" s="2"/>
      <c r="E1461" s="2"/>
      <c r="F1461" s="2"/>
      <c r="G1461" s="2"/>
      <c r="H1461" s="1"/>
      <c r="I1461" s="2"/>
      <c r="J1461" s="2"/>
      <c r="K1461" s="2"/>
      <c r="L1461" s="2"/>
      <c r="M1461" s="2"/>
      <c r="N1461" s="2"/>
      <c r="O1461" s="2"/>
      <c r="P1461" s="2"/>
      <c r="Q1461" s="2"/>
      <c r="R1461" s="2"/>
      <c r="S1461" s="2"/>
      <c r="T1461" s="2"/>
      <c r="U1461" s="2"/>
      <c r="V1461" s="2"/>
      <c r="W1461" s="2"/>
      <c r="X1461" s="2"/>
      <c r="Y1461" s="2"/>
    </row>
    <row r="1462" spans="1:25" ht="17.399999999999999" x14ac:dyDescent="0.25">
      <c r="A1462" s="1"/>
      <c r="B1462" s="10"/>
      <c r="C1462" s="2"/>
      <c r="D1462" s="2"/>
      <c r="E1462" s="2"/>
      <c r="F1462" s="2"/>
      <c r="G1462" s="2"/>
      <c r="H1462" s="1"/>
      <c r="I1462" s="2"/>
      <c r="J1462" s="2"/>
      <c r="K1462" s="2"/>
      <c r="L1462" s="2"/>
      <c r="M1462" s="2"/>
      <c r="N1462" s="2"/>
      <c r="O1462" s="2"/>
      <c r="P1462" s="2"/>
      <c r="Q1462" s="2"/>
      <c r="R1462" s="2"/>
      <c r="S1462" s="2"/>
      <c r="T1462" s="2"/>
      <c r="U1462" s="2"/>
      <c r="V1462" s="2"/>
      <c r="W1462" s="2"/>
      <c r="X1462" s="2"/>
      <c r="Y1462" s="2"/>
    </row>
    <row r="1463" spans="1:25" ht="17.399999999999999" x14ac:dyDescent="0.25">
      <c r="A1463" s="1"/>
      <c r="B1463" s="10"/>
      <c r="C1463" s="2"/>
      <c r="D1463" s="2"/>
      <c r="E1463" s="2"/>
      <c r="F1463" s="2"/>
      <c r="G1463" s="2"/>
      <c r="H1463" s="1"/>
      <c r="I1463" s="2"/>
      <c r="J1463" s="2"/>
      <c r="K1463" s="2"/>
      <c r="L1463" s="2"/>
      <c r="M1463" s="2"/>
      <c r="N1463" s="2"/>
      <c r="O1463" s="2"/>
      <c r="P1463" s="2"/>
      <c r="Q1463" s="2"/>
      <c r="R1463" s="2"/>
      <c r="S1463" s="2"/>
      <c r="T1463" s="2"/>
      <c r="U1463" s="2"/>
      <c r="V1463" s="2"/>
      <c r="W1463" s="2"/>
      <c r="X1463" s="2"/>
      <c r="Y1463" s="2"/>
    </row>
    <row r="1464" spans="1:25" ht="17.399999999999999" x14ac:dyDescent="0.25">
      <c r="A1464" s="1"/>
      <c r="B1464" s="10"/>
      <c r="C1464" s="2"/>
      <c r="D1464" s="2"/>
      <c r="E1464" s="2"/>
      <c r="F1464" s="2"/>
      <c r="G1464" s="2"/>
      <c r="H1464" s="1"/>
      <c r="I1464" s="2"/>
      <c r="J1464" s="2"/>
      <c r="K1464" s="2"/>
      <c r="L1464" s="2"/>
      <c r="M1464" s="2"/>
      <c r="N1464" s="2"/>
      <c r="O1464" s="2"/>
      <c r="P1464" s="2"/>
      <c r="Q1464" s="2"/>
      <c r="R1464" s="2"/>
      <c r="S1464" s="2"/>
      <c r="T1464" s="2"/>
      <c r="U1464" s="2"/>
      <c r="V1464" s="2"/>
      <c r="W1464" s="2"/>
      <c r="X1464" s="2"/>
      <c r="Y1464" s="2"/>
    </row>
    <row r="1465" spans="1:25" ht="17.399999999999999" x14ac:dyDescent="0.25">
      <c r="A1465" s="1"/>
      <c r="B1465" s="10"/>
      <c r="C1465" s="2"/>
      <c r="D1465" s="2"/>
      <c r="E1465" s="2"/>
      <c r="F1465" s="2"/>
      <c r="G1465" s="2"/>
      <c r="H1465" s="1"/>
      <c r="I1465" s="2"/>
      <c r="J1465" s="2"/>
      <c r="K1465" s="2"/>
      <c r="L1465" s="2"/>
      <c r="M1465" s="2"/>
      <c r="N1465" s="2"/>
      <c r="O1465" s="2"/>
      <c r="P1465" s="2"/>
      <c r="Q1465" s="2"/>
      <c r="R1465" s="2"/>
      <c r="S1465" s="2"/>
      <c r="T1465" s="2"/>
      <c r="U1465" s="2"/>
      <c r="V1465" s="2"/>
      <c r="W1465" s="2"/>
      <c r="X1465" s="2"/>
      <c r="Y1465" s="2"/>
    </row>
    <row r="1466" spans="1:25" ht="17.399999999999999" x14ac:dyDescent="0.25">
      <c r="A1466" s="1"/>
      <c r="B1466" s="10"/>
      <c r="C1466" s="2"/>
      <c r="D1466" s="2"/>
      <c r="E1466" s="2"/>
      <c r="F1466" s="2"/>
      <c r="G1466" s="2"/>
      <c r="H1466" s="1"/>
      <c r="I1466" s="2"/>
      <c r="J1466" s="2"/>
      <c r="K1466" s="2"/>
      <c r="L1466" s="2"/>
      <c r="M1466" s="2"/>
      <c r="N1466" s="2"/>
      <c r="O1466" s="2"/>
      <c r="P1466" s="2"/>
      <c r="Q1466" s="2"/>
      <c r="R1466" s="2"/>
      <c r="S1466" s="2"/>
      <c r="T1466" s="2"/>
      <c r="U1466" s="2"/>
      <c r="V1466" s="2"/>
      <c r="W1466" s="2"/>
      <c r="X1466" s="2"/>
      <c r="Y1466" s="2"/>
    </row>
    <row r="1467" spans="1:25" ht="17.399999999999999" x14ac:dyDescent="0.25">
      <c r="A1467" s="1"/>
      <c r="B1467" s="10"/>
      <c r="C1467" s="2"/>
      <c r="D1467" s="2"/>
      <c r="E1467" s="2"/>
      <c r="F1467" s="2"/>
      <c r="G1467" s="2"/>
      <c r="H1467" s="1"/>
      <c r="I1467" s="2"/>
      <c r="J1467" s="2"/>
      <c r="K1467" s="2"/>
      <c r="L1467" s="2"/>
      <c r="M1467" s="2"/>
      <c r="N1467" s="2"/>
      <c r="O1467" s="2"/>
      <c r="P1467" s="2"/>
      <c r="Q1467" s="2"/>
      <c r="R1467" s="2"/>
      <c r="S1467" s="2"/>
      <c r="T1467" s="2"/>
      <c r="U1467" s="2"/>
      <c r="V1467" s="2"/>
      <c r="W1467" s="2"/>
      <c r="X1467" s="2"/>
      <c r="Y1467" s="2"/>
    </row>
    <row r="1468" spans="1:25" ht="17.399999999999999" x14ac:dyDescent="0.25">
      <c r="A1468" s="1"/>
      <c r="B1468" s="10"/>
      <c r="C1468" s="2"/>
      <c r="D1468" s="2"/>
      <c r="E1468" s="2"/>
      <c r="F1468" s="2"/>
      <c r="G1468" s="2"/>
      <c r="H1468" s="1"/>
      <c r="I1468" s="2"/>
      <c r="J1468" s="2"/>
      <c r="K1468" s="2"/>
      <c r="L1468" s="2"/>
      <c r="M1468" s="2"/>
      <c r="N1468" s="2"/>
      <c r="O1468" s="2"/>
      <c r="P1468" s="2"/>
      <c r="Q1468" s="2"/>
      <c r="R1468" s="2"/>
      <c r="S1468" s="2"/>
      <c r="T1468" s="2"/>
      <c r="U1468" s="2"/>
      <c r="V1468" s="2"/>
      <c r="W1468" s="2"/>
      <c r="X1468" s="2"/>
      <c r="Y1468" s="2"/>
    </row>
    <row r="1469" spans="1:25" ht="17.399999999999999" x14ac:dyDescent="0.25">
      <c r="A1469" s="1"/>
      <c r="B1469" s="10"/>
      <c r="C1469" s="2"/>
      <c r="D1469" s="2"/>
      <c r="E1469" s="2"/>
      <c r="F1469" s="2"/>
      <c r="G1469" s="2"/>
      <c r="H1469" s="1"/>
      <c r="I1469" s="2"/>
      <c r="J1469" s="2"/>
      <c r="K1469" s="2"/>
      <c r="L1469" s="2"/>
      <c r="M1469" s="2"/>
      <c r="N1469" s="2"/>
      <c r="O1469" s="2"/>
      <c r="P1469" s="2"/>
      <c r="Q1469" s="2"/>
      <c r="R1469" s="2"/>
      <c r="S1469" s="2"/>
      <c r="T1469" s="2"/>
      <c r="U1469" s="2"/>
      <c r="V1469" s="2"/>
      <c r="W1469" s="2"/>
      <c r="X1469" s="2"/>
      <c r="Y1469" s="2"/>
    </row>
    <row r="1470" spans="1:25" ht="17.399999999999999" x14ac:dyDescent="0.25">
      <c r="A1470" s="1"/>
      <c r="B1470" s="10"/>
      <c r="C1470" s="2"/>
      <c r="D1470" s="2"/>
      <c r="E1470" s="2"/>
      <c r="F1470" s="2"/>
      <c r="G1470" s="2"/>
      <c r="H1470" s="1"/>
      <c r="I1470" s="2"/>
      <c r="J1470" s="2"/>
      <c r="K1470" s="2"/>
      <c r="L1470" s="2"/>
      <c r="M1470" s="2"/>
      <c r="N1470" s="2"/>
      <c r="O1470" s="2"/>
      <c r="P1470" s="2"/>
      <c r="Q1470" s="2"/>
      <c r="R1470" s="2"/>
      <c r="S1470" s="2"/>
      <c r="T1470" s="2"/>
      <c r="U1470" s="2"/>
      <c r="V1470" s="2"/>
      <c r="W1470" s="2"/>
      <c r="X1470" s="2"/>
      <c r="Y1470" s="2"/>
    </row>
    <row r="1471" spans="1:25" ht="17.399999999999999" x14ac:dyDescent="0.25">
      <c r="A1471" s="1"/>
      <c r="B1471" s="10"/>
      <c r="C1471" s="2"/>
      <c r="D1471" s="2"/>
      <c r="E1471" s="2"/>
      <c r="F1471" s="2"/>
      <c r="G1471" s="2"/>
      <c r="H1471" s="1"/>
      <c r="I1471" s="2"/>
      <c r="J1471" s="2"/>
      <c r="K1471" s="2"/>
      <c r="L1471" s="2"/>
      <c r="M1471" s="2"/>
      <c r="N1471" s="2"/>
      <c r="O1471" s="2"/>
      <c r="P1471" s="2"/>
      <c r="Q1471" s="2"/>
      <c r="R1471" s="2"/>
      <c r="S1471" s="2"/>
      <c r="T1471" s="2"/>
      <c r="U1471" s="2"/>
      <c r="V1471" s="2"/>
      <c r="W1471" s="2"/>
      <c r="X1471" s="2"/>
      <c r="Y1471" s="2"/>
    </row>
    <row r="1472" spans="1:25" ht="17.399999999999999" x14ac:dyDescent="0.25">
      <c r="A1472" s="1"/>
      <c r="B1472" s="10"/>
      <c r="C1472" s="2"/>
      <c r="D1472" s="2"/>
      <c r="E1472" s="2"/>
      <c r="F1472" s="2"/>
      <c r="G1472" s="2"/>
      <c r="H1472" s="1"/>
      <c r="I1472" s="2"/>
      <c r="J1472" s="2"/>
      <c r="K1472" s="2"/>
      <c r="L1472" s="2"/>
      <c r="M1472" s="2"/>
      <c r="N1472" s="2"/>
      <c r="O1472" s="2"/>
      <c r="P1472" s="2"/>
      <c r="Q1472" s="2"/>
      <c r="R1472" s="2"/>
      <c r="S1472" s="2"/>
      <c r="T1472" s="2"/>
      <c r="U1472" s="2"/>
      <c r="V1472" s="2"/>
      <c r="W1472" s="2"/>
      <c r="X1472" s="2"/>
      <c r="Y1472" s="2"/>
    </row>
    <row r="1473" spans="1:25" ht="17.399999999999999" x14ac:dyDescent="0.25">
      <c r="A1473" s="1"/>
      <c r="B1473" s="10"/>
      <c r="C1473" s="2"/>
      <c r="D1473" s="2"/>
      <c r="E1473" s="2"/>
      <c r="F1473" s="2"/>
      <c r="G1473" s="2"/>
      <c r="H1473" s="1"/>
      <c r="I1473" s="2"/>
      <c r="J1473" s="2"/>
      <c r="K1473" s="2"/>
      <c r="L1473" s="2"/>
      <c r="M1473" s="2"/>
      <c r="N1473" s="2"/>
      <c r="O1473" s="2"/>
      <c r="P1473" s="2"/>
      <c r="Q1473" s="2"/>
      <c r="R1473" s="2"/>
      <c r="S1473" s="2"/>
      <c r="T1473" s="2"/>
      <c r="U1473" s="2"/>
      <c r="V1473" s="2"/>
      <c r="W1473" s="2"/>
      <c r="X1473" s="2"/>
      <c r="Y1473" s="2"/>
    </row>
    <row r="1474" spans="1:25" ht="17.399999999999999" x14ac:dyDescent="0.25">
      <c r="A1474" s="1"/>
      <c r="B1474" s="10"/>
      <c r="C1474" s="2"/>
      <c r="D1474" s="2"/>
      <c r="E1474" s="2"/>
      <c r="F1474" s="2"/>
      <c r="G1474" s="2"/>
      <c r="H1474" s="1"/>
      <c r="I1474" s="2"/>
      <c r="J1474" s="2"/>
      <c r="K1474" s="2"/>
      <c r="L1474" s="2"/>
      <c r="M1474" s="2"/>
      <c r="N1474" s="2"/>
      <c r="O1474" s="2"/>
      <c r="P1474" s="2"/>
      <c r="Q1474" s="2"/>
      <c r="R1474" s="2"/>
      <c r="S1474" s="2"/>
      <c r="T1474" s="2"/>
      <c r="U1474" s="2"/>
      <c r="V1474" s="2"/>
      <c r="W1474" s="2"/>
      <c r="X1474" s="2"/>
      <c r="Y1474" s="2"/>
    </row>
    <row r="1475" spans="1:25" ht="17.399999999999999" x14ac:dyDescent="0.25">
      <c r="A1475" s="1"/>
      <c r="B1475" s="10"/>
      <c r="C1475" s="2"/>
      <c r="D1475" s="2"/>
      <c r="E1475" s="2"/>
      <c r="F1475" s="2"/>
      <c r="G1475" s="2"/>
      <c r="H1475" s="1"/>
      <c r="I1475" s="2"/>
      <c r="J1475" s="2"/>
      <c r="K1475" s="2"/>
      <c r="L1475" s="2"/>
      <c r="M1475" s="2"/>
      <c r="N1475" s="2"/>
      <c r="O1475" s="2"/>
      <c r="P1475" s="2"/>
      <c r="Q1475" s="2"/>
      <c r="R1475" s="2"/>
      <c r="S1475" s="2"/>
      <c r="T1475" s="2"/>
      <c r="U1475" s="2"/>
      <c r="V1475" s="2"/>
      <c r="W1475" s="2"/>
      <c r="X1475" s="2"/>
      <c r="Y1475" s="2"/>
    </row>
    <row r="1476" spans="1:25" ht="17.399999999999999" x14ac:dyDescent="0.25">
      <c r="A1476" s="1"/>
      <c r="B1476" s="10"/>
      <c r="C1476" s="2"/>
      <c r="D1476" s="2"/>
      <c r="E1476" s="2"/>
      <c r="F1476" s="2"/>
      <c r="G1476" s="2"/>
      <c r="H1476" s="1"/>
      <c r="I1476" s="2"/>
      <c r="J1476" s="2"/>
      <c r="K1476" s="2"/>
      <c r="L1476" s="2"/>
      <c r="M1476" s="2"/>
      <c r="N1476" s="2"/>
      <c r="O1476" s="2"/>
      <c r="P1476" s="2"/>
      <c r="Q1476" s="2"/>
      <c r="R1476" s="2"/>
      <c r="S1476" s="2"/>
      <c r="T1476" s="2"/>
      <c r="U1476" s="2"/>
      <c r="V1476" s="2"/>
      <c r="W1476" s="2"/>
      <c r="X1476" s="2"/>
      <c r="Y1476" s="2"/>
    </row>
    <row r="1477" spans="1:25" ht="17.399999999999999" x14ac:dyDescent="0.25">
      <c r="A1477" s="1"/>
      <c r="B1477" s="10"/>
      <c r="C1477" s="2"/>
      <c r="D1477" s="2"/>
      <c r="E1477" s="2"/>
      <c r="F1477" s="2"/>
      <c r="G1477" s="2"/>
      <c r="H1477" s="1"/>
      <c r="I1477" s="2"/>
      <c r="J1477" s="2"/>
      <c r="K1477" s="2"/>
      <c r="L1477" s="2"/>
      <c r="M1477" s="2"/>
      <c r="N1477" s="2"/>
      <c r="O1477" s="2"/>
      <c r="P1477" s="2"/>
      <c r="Q1477" s="2"/>
      <c r="R1477" s="2"/>
      <c r="S1477" s="2"/>
      <c r="T1477" s="2"/>
      <c r="U1477" s="2"/>
      <c r="V1477" s="2"/>
      <c r="W1477" s="2"/>
      <c r="X1477" s="2"/>
      <c r="Y1477" s="2"/>
    </row>
    <row r="1478" spans="1:25" ht="17.399999999999999" x14ac:dyDescent="0.25">
      <c r="A1478" s="1"/>
      <c r="B1478" s="10"/>
      <c r="C1478" s="2"/>
      <c r="D1478" s="2"/>
      <c r="E1478" s="2"/>
      <c r="F1478" s="2"/>
      <c r="G1478" s="2"/>
      <c r="H1478" s="1"/>
      <c r="I1478" s="2"/>
      <c r="J1478" s="2"/>
      <c r="K1478" s="2"/>
      <c r="L1478" s="2"/>
      <c r="M1478" s="2"/>
      <c r="N1478" s="2"/>
      <c r="O1478" s="2"/>
      <c r="P1478" s="2"/>
      <c r="Q1478" s="2"/>
      <c r="R1478" s="2"/>
      <c r="S1478" s="2"/>
      <c r="T1478" s="2"/>
      <c r="U1478" s="2"/>
      <c r="V1478" s="2"/>
      <c r="W1478" s="2"/>
      <c r="X1478" s="2"/>
      <c r="Y1478" s="2"/>
    </row>
    <row r="1479" spans="1:25" ht="17.399999999999999" x14ac:dyDescent="0.25">
      <c r="A1479" s="1"/>
      <c r="B1479" s="10"/>
      <c r="C1479" s="2"/>
      <c r="D1479" s="2"/>
      <c r="E1479" s="2"/>
      <c r="F1479" s="2"/>
      <c r="G1479" s="2"/>
      <c r="H1479" s="1"/>
      <c r="I1479" s="2"/>
      <c r="J1479" s="2"/>
      <c r="K1479" s="2"/>
      <c r="L1479" s="2"/>
      <c r="M1479" s="2"/>
      <c r="N1479" s="2"/>
      <c r="O1479" s="2"/>
      <c r="P1479" s="2"/>
      <c r="Q1479" s="2"/>
      <c r="R1479" s="2"/>
      <c r="S1479" s="2"/>
      <c r="T1479" s="2"/>
      <c r="U1479" s="2"/>
      <c r="V1479" s="2"/>
      <c r="W1479" s="2"/>
      <c r="X1479" s="2"/>
      <c r="Y1479" s="2"/>
    </row>
    <row r="1480" spans="1:25" ht="17.399999999999999" x14ac:dyDescent="0.25">
      <c r="A1480" s="1"/>
      <c r="B1480" s="10"/>
      <c r="C1480" s="2"/>
      <c r="D1480" s="2"/>
      <c r="E1480" s="2"/>
      <c r="F1480" s="2"/>
      <c r="G1480" s="2"/>
      <c r="H1480" s="1"/>
      <c r="I1480" s="2"/>
      <c r="J1480" s="2"/>
      <c r="K1480" s="2"/>
      <c r="L1480" s="2"/>
      <c r="M1480" s="2"/>
      <c r="N1480" s="2"/>
      <c r="O1480" s="2"/>
      <c r="P1480" s="2"/>
      <c r="Q1480" s="2"/>
      <c r="R1480" s="2"/>
      <c r="S1480" s="2"/>
      <c r="T1480" s="2"/>
      <c r="U1480" s="2"/>
      <c r="V1480" s="2"/>
      <c r="W1480" s="2"/>
      <c r="X1480" s="2"/>
      <c r="Y1480" s="2"/>
    </row>
    <row r="1481" spans="1:25" ht="17.399999999999999" x14ac:dyDescent="0.25">
      <c r="A1481" s="1"/>
      <c r="B1481" s="10"/>
      <c r="C1481" s="2"/>
      <c r="D1481" s="2"/>
      <c r="E1481" s="2"/>
      <c r="F1481" s="2"/>
      <c r="G1481" s="2"/>
      <c r="H1481" s="1"/>
      <c r="I1481" s="2"/>
      <c r="J1481" s="2"/>
      <c r="K1481" s="2"/>
      <c r="L1481" s="2"/>
      <c r="M1481" s="2"/>
      <c r="N1481" s="2"/>
      <c r="O1481" s="2"/>
      <c r="P1481" s="2"/>
      <c r="Q1481" s="2"/>
      <c r="R1481" s="2"/>
      <c r="S1481" s="2"/>
      <c r="T1481" s="2"/>
      <c r="U1481" s="2"/>
      <c r="V1481" s="2"/>
      <c r="W1481" s="2"/>
      <c r="X1481" s="2"/>
      <c r="Y1481" s="2"/>
    </row>
    <row r="1482" spans="1:25" ht="17.399999999999999" x14ac:dyDescent="0.25">
      <c r="A1482" s="1"/>
      <c r="B1482" s="10"/>
      <c r="C1482" s="2"/>
      <c r="D1482" s="2"/>
      <c r="E1482" s="2"/>
      <c r="F1482" s="2"/>
      <c r="G1482" s="2"/>
      <c r="H1482" s="1"/>
      <c r="I1482" s="2"/>
      <c r="J1482" s="2"/>
      <c r="K1482" s="2"/>
      <c r="L1482" s="2"/>
      <c r="M1482" s="2"/>
      <c r="N1482" s="2"/>
      <c r="O1482" s="2"/>
      <c r="P1482" s="2"/>
      <c r="Q1482" s="2"/>
      <c r="R1482" s="2"/>
      <c r="S1482" s="2"/>
      <c r="T1482" s="2"/>
      <c r="U1482" s="2"/>
      <c r="V1482" s="2"/>
      <c r="W1482" s="2"/>
      <c r="X1482" s="2"/>
      <c r="Y1482" s="2"/>
    </row>
    <row r="1483" spans="1:25" ht="17.399999999999999" x14ac:dyDescent="0.25">
      <c r="A1483" s="1"/>
      <c r="B1483" s="10"/>
      <c r="C1483" s="2"/>
      <c r="D1483" s="2"/>
      <c r="E1483" s="2"/>
      <c r="F1483" s="2"/>
      <c r="G1483" s="2"/>
      <c r="H1483" s="1"/>
      <c r="I1483" s="2"/>
      <c r="J1483" s="2"/>
      <c r="K1483" s="2"/>
      <c r="L1483" s="2"/>
      <c r="M1483" s="2"/>
      <c r="N1483" s="2"/>
      <c r="O1483" s="2"/>
      <c r="P1483" s="2"/>
      <c r="Q1483" s="2"/>
      <c r="R1483" s="2"/>
      <c r="S1483" s="2"/>
      <c r="T1483" s="2"/>
      <c r="U1483" s="2"/>
      <c r="V1483" s="2"/>
      <c r="W1483" s="2"/>
      <c r="X1483" s="2"/>
      <c r="Y1483" s="2"/>
    </row>
    <row r="1484" spans="1:25" ht="17.399999999999999" x14ac:dyDescent="0.25">
      <c r="A1484" s="1"/>
      <c r="B1484" s="10"/>
      <c r="C1484" s="2"/>
      <c r="D1484" s="2"/>
      <c r="E1484" s="2"/>
      <c r="F1484" s="2"/>
      <c r="G1484" s="2"/>
      <c r="H1484" s="1"/>
      <c r="I1484" s="2"/>
      <c r="J1484" s="2"/>
      <c r="K1484" s="2"/>
      <c r="L1484" s="2"/>
      <c r="M1484" s="2"/>
      <c r="N1484" s="2"/>
      <c r="O1484" s="2"/>
      <c r="P1484" s="2"/>
      <c r="Q1484" s="2"/>
      <c r="R1484" s="2"/>
      <c r="S1484" s="2"/>
      <c r="T1484" s="2"/>
      <c r="U1484" s="2"/>
      <c r="V1484" s="2"/>
      <c r="W1484" s="2"/>
      <c r="X1484" s="2"/>
      <c r="Y1484" s="2"/>
    </row>
    <row r="1485" spans="1:25" ht="17.399999999999999" x14ac:dyDescent="0.25">
      <c r="A1485" s="1"/>
      <c r="B1485" s="10"/>
      <c r="C1485" s="2"/>
      <c r="D1485" s="2"/>
      <c r="E1485" s="2"/>
      <c r="F1485" s="2"/>
      <c r="G1485" s="2"/>
      <c r="H1485" s="1"/>
      <c r="I1485" s="2"/>
      <c r="J1485" s="2"/>
      <c r="K1485" s="2"/>
      <c r="L1485" s="2"/>
      <c r="M1485" s="2"/>
      <c r="N1485" s="2"/>
      <c r="O1485" s="2"/>
      <c r="P1485" s="2"/>
      <c r="Q1485" s="2"/>
      <c r="R1485" s="2"/>
      <c r="S1485" s="2"/>
      <c r="T1485" s="2"/>
      <c r="U1485" s="2"/>
      <c r="V1485" s="2"/>
      <c r="W1485" s="2"/>
      <c r="X1485" s="2"/>
      <c r="Y1485" s="2"/>
    </row>
    <row r="1486" spans="1:25" ht="17.399999999999999" x14ac:dyDescent="0.25">
      <c r="A1486" s="1"/>
      <c r="B1486" s="10"/>
      <c r="C1486" s="2"/>
      <c r="D1486" s="2"/>
      <c r="E1486" s="2"/>
      <c r="F1486" s="2"/>
      <c r="G1486" s="2"/>
      <c r="H1486" s="1"/>
      <c r="I1486" s="2"/>
      <c r="J1486" s="2"/>
      <c r="K1486" s="2"/>
      <c r="L1486" s="2"/>
      <c r="M1486" s="2"/>
      <c r="N1486" s="2"/>
      <c r="O1486" s="2"/>
      <c r="P1486" s="2"/>
      <c r="Q1486" s="2"/>
      <c r="R1486" s="2"/>
      <c r="S1486" s="2"/>
      <c r="T1486" s="2"/>
      <c r="U1486" s="2"/>
      <c r="V1486" s="2"/>
      <c r="W1486" s="2"/>
      <c r="X1486" s="2"/>
      <c r="Y1486" s="2"/>
    </row>
    <row r="1487" spans="1:25" ht="17.399999999999999" x14ac:dyDescent="0.25">
      <c r="A1487" s="1"/>
      <c r="B1487" s="10"/>
      <c r="C1487" s="2"/>
      <c r="D1487" s="2"/>
      <c r="E1487" s="2"/>
      <c r="F1487" s="2"/>
      <c r="G1487" s="2"/>
      <c r="H1487" s="1"/>
      <c r="I1487" s="2"/>
      <c r="J1487" s="2"/>
      <c r="K1487" s="2"/>
      <c r="L1487" s="2"/>
      <c r="M1487" s="2"/>
      <c r="N1487" s="2"/>
      <c r="O1487" s="2"/>
      <c r="P1487" s="2"/>
      <c r="Q1487" s="2"/>
      <c r="R1487" s="2"/>
      <c r="S1487" s="2"/>
      <c r="T1487" s="2"/>
      <c r="U1487" s="2"/>
      <c r="V1487" s="2"/>
      <c r="W1487" s="2"/>
      <c r="X1487" s="2"/>
      <c r="Y1487" s="2"/>
    </row>
    <row r="1488" spans="1:25" ht="17.399999999999999" x14ac:dyDescent="0.25">
      <c r="A1488" s="1"/>
      <c r="B1488" s="10"/>
      <c r="C1488" s="2"/>
      <c r="D1488" s="2"/>
      <c r="E1488" s="2"/>
      <c r="F1488" s="2"/>
      <c r="G1488" s="2"/>
      <c r="H1488" s="1"/>
      <c r="I1488" s="2"/>
      <c r="J1488" s="2"/>
      <c r="K1488" s="2"/>
      <c r="L1488" s="2"/>
      <c r="M1488" s="2"/>
      <c r="N1488" s="2"/>
      <c r="O1488" s="2"/>
      <c r="P1488" s="2"/>
      <c r="Q1488" s="2"/>
      <c r="R1488" s="2"/>
      <c r="S1488" s="2"/>
      <c r="T1488" s="2"/>
      <c r="U1488" s="2"/>
      <c r="V1488" s="2"/>
      <c r="W1488" s="2"/>
      <c r="X1488" s="2"/>
      <c r="Y1488" s="2"/>
    </row>
    <row r="1489" spans="1:25" ht="17.399999999999999" x14ac:dyDescent="0.25">
      <c r="A1489" s="1"/>
      <c r="B1489" s="10"/>
      <c r="C1489" s="2"/>
      <c r="D1489" s="2"/>
      <c r="E1489" s="2"/>
      <c r="F1489" s="2"/>
      <c r="G1489" s="2"/>
      <c r="H1489" s="1"/>
      <c r="I1489" s="2"/>
      <c r="J1489" s="2"/>
      <c r="K1489" s="2"/>
      <c r="L1489" s="2"/>
      <c r="M1489" s="2"/>
      <c r="N1489" s="2"/>
      <c r="O1489" s="2"/>
      <c r="P1489" s="2"/>
      <c r="Q1489" s="2"/>
      <c r="R1489" s="2"/>
      <c r="S1489" s="2"/>
      <c r="T1489" s="2"/>
      <c r="U1489" s="2"/>
      <c r="V1489" s="2"/>
      <c r="W1489" s="2"/>
      <c r="X1489" s="2"/>
      <c r="Y1489" s="2"/>
    </row>
    <row r="1490" spans="1:25" ht="17.399999999999999" x14ac:dyDescent="0.25">
      <c r="A1490" s="1"/>
      <c r="B1490" s="10"/>
      <c r="C1490" s="2"/>
      <c r="D1490" s="2"/>
      <c r="E1490" s="2"/>
      <c r="F1490" s="2"/>
      <c r="G1490" s="2"/>
      <c r="H1490" s="1"/>
      <c r="I1490" s="2"/>
      <c r="J1490" s="2"/>
      <c r="K1490" s="2"/>
      <c r="L1490" s="2"/>
      <c r="M1490" s="2"/>
      <c r="N1490" s="2"/>
      <c r="O1490" s="2"/>
      <c r="P1490" s="2"/>
      <c r="Q1490" s="2"/>
      <c r="R1490" s="2"/>
      <c r="S1490" s="2"/>
      <c r="T1490" s="2"/>
      <c r="U1490" s="2"/>
      <c r="V1490" s="2"/>
      <c r="W1490" s="2"/>
      <c r="X1490" s="2"/>
      <c r="Y1490" s="2"/>
    </row>
    <row r="1491" spans="1:25" ht="17.399999999999999" x14ac:dyDescent="0.25">
      <c r="A1491" s="1"/>
      <c r="B1491" s="10"/>
      <c r="C1491" s="2"/>
      <c r="D1491" s="2"/>
      <c r="E1491" s="2"/>
      <c r="F1491" s="2"/>
      <c r="G1491" s="2"/>
      <c r="H1491" s="1"/>
      <c r="I1491" s="2"/>
      <c r="J1491" s="2"/>
      <c r="K1491" s="2"/>
      <c r="L1491" s="2"/>
      <c r="M1491" s="2"/>
      <c r="N1491" s="2"/>
      <c r="O1491" s="2"/>
      <c r="P1491" s="2"/>
      <c r="Q1491" s="2"/>
      <c r="R1491" s="2"/>
      <c r="S1491" s="2"/>
      <c r="T1491" s="2"/>
      <c r="U1491" s="2"/>
      <c r="V1491" s="2"/>
      <c r="W1491" s="2"/>
      <c r="X1491" s="2"/>
      <c r="Y1491" s="2"/>
    </row>
    <row r="1492" spans="1:25" ht="17.399999999999999" x14ac:dyDescent="0.25">
      <c r="A1492" s="1"/>
      <c r="B1492" s="10"/>
      <c r="C1492" s="2"/>
      <c r="D1492" s="2"/>
      <c r="E1492" s="2"/>
      <c r="F1492" s="2"/>
      <c r="G1492" s="2"/>
      <c r="H1492" s="1"/>
      <c r="I1492" s="2"/>
      <c r="J1492" s="2"/>
      <c r="K1492" s="2"/>
      <c r="L1492" s="2"/>
      <c r="M1492" s="2"/>
      <c r="N1492" s="2"/>
      <c r="O1492" s="2"/>
      <c r="P1492" s="2"/>
      <c r="Q1492" s="2"/>
      <c r="R1492" s="2"/>
      <c r="S1492" s="2"/>
      <c r="T1492" s="2"/>
      <c r="U1492" s="2"/>
      <c r="V1492" s="2"/>
      <c r="W1492" s="2"/>
      <c r="X1492" s="2"/>
      <c r="Y1492" s="2"/>
    </row>
    <row r="1493" spans="1:25" ht="17.399999999999999" x14ac:dyDescent="0.25">
      <c r="A1493" s="1"/>
      <c r="B1493" s="10"/>
      <c r="C1493" s="2"/>
      <c r="D1493" s="2"/>
      <c r="E1493" s="2"/>
      <c r="F1493" s="2"/>
      <c r="G1493" s="2"/>
      <c r="H1493" s="1"/>
      <c r="I1493" s="2"/>
      <c r="J1493" s="2"/>
      <c r="K1493" s="2"/>
      <c r="L1493" s="2"/>
      <c r="M1493" s="2"/>
      <c r="N1493" s="2"/>
      <c r="O1493" s="2"/>
      <c r="P1493" s="2"/>
      <c r="Q1493" s="2"/>
      <c r="R1493" s="2"/>
      <c r="S1493" s="2"/>
      <c r="T1493" s="2"/>
      <c r="U1493" s="2"/>
      <c r="V1493" s="2"/>
      <c r="W1493" s="2"/>
      <c r="X1493" s="2"/>
      <c r="Y1493" s="2"/>
    </row>
    <row r="1494" spans="1:25" ht="17.399999999999999" x14ac:dyDescent="0.25">
      <c r="A1494" s="1"/>
      <c r="B1494" s="10"/>
      <c r="C1494" s="2"/>
      <c r="D1494" s="2"/>
      <c r="E1494" s="2"/>
      <c r="F1494" s="2"/>
      <c r="G1494" s="2"/>
      <c r="H1494" s="1"/>
      <c r="I1494" s="2"/>
      <c r="J1494" s="2"/>
      <c r="K1494" s="2"/>
      <c r="L1494" s="2"/>
      <c r="M1494" s="2"/>
      <c r="N1494" s="2"/>
      <c r="O1494" s="2"/>
      <c r="P1494" s="2"/>
      <c r="Q1494" s="2"/>
      <c r="R1494" s="2"/>
      <c r="S1494" s="2"/>
      <c r="T1494" s="2"/>
      <c r="U1494" s="2"/>
      <c r="V1494" s="2"/>
      <c r="W1494" s="2"/>
      <c r="X1494" s="2"/>
      <c r="Y1494" s="2"/>
    </row>
    <row r="1495" spans="1:25" ht="17.399999999999999" x14ac:dyDescent="0.25">
      <c r="A1495" s="1"/>
      <c r="B1495" s="10"/>
      <c r="C1495" s="2"/>
      <c r="D1495" s="2"/>
      <c r="E1495" s="2"/>
      <c r="F1495" s="2"/>
      <c r="G1495" s="2"/>
      <c r="H1495" s="1"/>
      <c r="I1495" s="2"/>
      <c r="J1495" s="2"/>
      <c r="K1495" s="2"/>
      <c r="L1495" s="2"/>
      <c r="M1495" s="2"/>
      <c r="N1495" s="2"/>
      <c r="O1495" s="2"/>
      <c r="P1495" s="2"/>
      <c r="Q1495" s="2"/>
      <c r="R1495" s="2"/>
      <c r="S1495" s="2"/>
      <c r="T1495" s="2"/>
      <c r="U1495" s="2"/>
      <c r="V1495" s="2"/>
      <c r="W1495" s="2"/>
      <c r="X1495" s="2"/>
      <c r="Y1495" s="2"/>
    </row>
    <row r="1496" spans="1:25" ht="17.399999999999999" x14ac:dyDescent="0.25">
      <c r="A1496" s="1"/>
      <c r="B1496" s="10"/>
      <c r="C1496" s="2"/>
      <c r="D1496" s="2"/>
      <c r="E1496" s="2"/>
      <c r="F1496" s="2"/>
      <c r="G1496" s="2"/>
      <c r="H1496" s="1"/>
      <c r="I1496" s="2"/>
      <c r="J1496" s="2"/>
      <c r="K1496" s="2"/>
      <c r="L1496" s="2"/>
      <c r="M1496" s="2"/>
      <c r="N1496" s="2"/>
      <c r="O1496" s="2"/>
      <c r="P1496" s="2"/>
      <c r="Q1496" s="2"/>
      <c r="R1496" s="2"/>
      <c r="S1496" s="2"/>
      <c r="T1496" s="2"/>
      <c r="U1496" s="2"/>
      <c r="V1496" s="2"/>
      <c r="W1496" s="2"/>
      <c r="X1496" s="2"/>
      <c r="Y1496" s="2"/>
    </row>
    <row r="1497" spans="1:25" ht="17.399999999999999" x14ac:dyDescent="0.25">
      <c r="A1497" s="1"/>
      <c r="B1497" s="10"/>
      <c r="C1497" s="2"/>
      <c r="D1497" s="2"/>
      <c r="E1497" s="2"/>
      <c r="F1497" s="2"/>
      <c r="G1497" s="2"/>
      <c r="H1497" s="1"/>
      <c r="I1497" s="2"/>
      <c r="J1497" s="2"/>
      <c r="K1497" s="2"/>
      <c r="L1497" s="2"/>
      <c r="M1497" s="2"/>
      <c r="N1497" s="2"/>
      <c r="O1497" s="2"/>
      <c r="P1497" s="2"/>
      <c r="Q1497" s="2"/>
      <c r="R1497" s="2"/>
      <c r="S1497" s="2"/>
      <c r="T1497" s="2"/>
      <c r="U1497" s="2"/>
      <c r="V1497" s="2"/>
      <c r="W1497" s="2"/>
      <c r="X1497" s="2"/>
      <c r="Y1497" s="2"/>
    </row>
    <row r="1498" spans="1:25" ht="17.399999999999999" x14ac:dyDescent="0.25">
      <c r="A1498" s="1"/>
      <c r="B1498" s="10"/>
      <c r="C1498" s="2"/>
      <c r="D1498" s="2"/>
      <c r="E1498" s="2"/>
      <c r="F1498" s="2"/>
      <c r="G1498" s="2"/>
      <c r="H1498" s="1"/>
      <c r="I1498" s="2"/>
      <c r="J1498" s="2"/>
      <c r="K1498" s="2"/>
      <c r="L1498" s="2"/>
      <c r="M1498" s="2"/>
      <c r="N1498" s="2"/>
      <c r="O1498" s="2"/>
      <c r="P1498" s="2"/>
      <c r="Q1498" s="2"/>
      <c r="R1498" s="2"/>
      <c r="S1498" s="2"/>
      <c r="T1498" s="2"/>
      <c r="U1498" s="2"/>
      <c r="V1498" s="2"/>
      <c r="W1498" s="2"/>
      <c r="X1498" s="2"/>
      <c r="Y1498" s="2"/>
    </row>
  </sheetData>
  <mergeCells count="7">
    <mergeCell ref="B2:G2"/>
    <mergeCell ref="B3:G3"/>
    <mergeCell ref="B4:G4"/>
    <mergeCell ref="B7:B997"/>
    <mergeCell ref="C7:G7"/>
    <mergeCell ref="C10:G10"/>
    <mergeCell ref="D11:E11"/>
  </mergeCell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ummaryRight="0"/>
  </sheetPr>
  <dimension ref="A1:XFD1000"/>
  <sheetViews>
    <sheetView topLeftCell="A2" workbookViewId="0"/>
  </sheetViews>
  <sheetFormatPr defaultColWidth="12.6640625" defaultRowHeight="15.75" customHeight="1" x14ac:dyDescent="0.25"/>
  <cols>
    <col min="1" max="1" width="3.21875" customWidth="1"/>
    <col min="2" max="2" width="4.33203125" customWidth="1"/>
    <col min="3" max="3" width="19.44140625" customWidth="1"/>
    <col min="4" max="4" width="24.88671875" customWidth="1"/>
    <col min="5" max="5" width="3.21875" customWidth="1"/>
    <col min="6" max="6" width="14.109375" customWidth="1"/>
    <col min="7" max="7" width="27" customWidth="1"/>
    <col min="8" max="8" width="3.21875" customWidth="1"/>
    <col min="16384" max="16384" width="0" hidden="1" customWidth="1"/>
  </cols>
  <sheetData>
    <row r="1" spans="1:28 16384:16384" ht="18.75" hidden="1" customHeight="1" x14ac:dyDescent="0.35">
      <c r="A1" s="11"/>
      <c r="B1" s="11"/>
      <c r="C1" s="6"/>
      <c r="D1" s="6"/>
      <c r="E1" s="12"/>
      <c r="F1" s="6"/>
      <c r="G1" s="6"/>
      <c r="H1" s="6"/>
      <c r="I1" s="13"/>
      <c r="J1" s="13"/>
      <c r="K1" s="13"/>
      <c r="L1" s="13"/>
      <c r="M1" s="13"/>
      <c r="N1" s="13"/>
      <c r="O1" s="13"/>
      <c r="P1" s="13"/>
      <c r="Q1" s="13"/>
      <c r="R1" s="13"/>
      <c r="S1" s="13"/>
      <c r="T1" s="13"/>
      <c r="U1" s="13"/>
      <c r="V1" s="13"/>
      <c r="W1" s="13"/>
      <c r="X1" s="13"/>
      <c r="Y1" s="13"/>
      <c r="Z1" s="13"/>
      <c r="AA1" s="13"/>
      <c r="AB1" s="13"/>
      <c r="XFD1">
        <f ca="1">IF('Roll All'!$B$4="Roll!",RAND(),RAND())</f>
        <v>0.88542978305737396</v>
      </c>
    </row>
    <row r="2" spans="1:28 16384:16384" ht="17.399999999999999" x14ac:dyDescent="0.35">
      <c r="A2" s="11"/>
      <c r="B2" s="14">
        <f ca="1">IFERROR(__xludf.DUMMYFUNCTION("ARRAY_CONSTRAIN(ARRAYFORMULA(Row(B3:B1000)-2), rows(filter(C3:C1000,C3:C1000&lt;&gt;""""))+1, 1)"),1)</f>
        <v>1</v>
      </c>
      <c r="C2" s="15" t="s">
        <v>47</v>
      </c>
      <c r="D2" s="15" t="s">
        <v>48</v>
      </c>
      <c r="E2" s="53"/>
      <c r="F2" s="13" t="s">
        <v>49</v>
      </c>
      <c r="G2" s="13"/>
      <c r="H2" s="6"/>
      <c r="I2" s="13"/>
      <c r="J2" s="13"/>
      <c r="K2" s="13"/>
      <c r="L2" s="13"/>
      <c r="M2" s="13"/>
      <c r="N2" s="13"/>
      <c r="O2" s="13"/>
      <c r="P2" s="13"/>
      <c r="Q2" s="13"/>
      <c r="R2" s="13"/>
      <c r="S2" s="13"/>
      <c r="T2" s="13"/>
      <c r="U2" s="13"/>
      <c r="V2" s="13"/>
      <c r="W2" s="13"/>
      <c r="X2" s="13"/>
      <c r="Y2" s="13"/>
      <c r="Z2" s="13"/>
      <c r="AA2" s="13"/>
      <c r="AB2" s="13"/>
    </row>
    <row r="3" spans="1:28 16384:16384" ht="17.399999999999999" x14ac:dyDescent="0.35">
      <c r="A3" s="16"/>
      <c r="B3" s="17">
        <f ca="1">IFERROR(__xludf.DUMMYFUNCTION("""COMPUTED_VALUE"""),2)</f>
        <v>2</v>
      </c>
      <c r="C3" s="13" t="str">
        <f ca="1">IFERROR(__xludf.DUMMYFUNCTION("sort(filter(G3:G1000,F3:F1000=true))"),"Alternate Forms")</f>
        <v>Alternate Forms</v>
      </c>
      <c r="D3" s="18" t="str">
        <f ca="1">IFERROR(__xludf.DUMMYFUNCTION("if('Character Sheet'!B$6=true,filter(indirect(concatenate(""'"",C3,""'!E$4:E"")),indirect(concatenate(""'"",C3,""'!B$4:B""))=RANDBETWEEN(Min(Filter(indirect(concatenate(""'"",C3,""'!B$4:B"")),indirect(concatenate(""'"",C3,""'!C$4:C""))=false)), MAX(Filter"&amp;"(indirect(concatenate(""'"",C3,""'!B$4:B"")),indirect(concatenate(""'"",C3,""'!C$4:C""))=false)))),""Not Rolling"")"),"Not Rolling")</f>
        <v>Not Rolling</v>
      </c>
      <c r="E3" s="40"/>
      <c r="F3" s="13" t="b">
        <v>1</v>
      </c>
      <c r="G3" s="13" t="str">
        <f ca="1">IFERROR(__xludf.DUMMYFUNCTION("REGEXREPLACE(CELL(""address"",'Alternate Forms'!B2),""'?([^']+)'?!.*"",""$1"")"),"Alternate Forms")</f>
        <v>Alternate Forms</v>
      </c>
      <c r="H3" s="5"/>
      <c r="M3" s="13"/>
      <c r="N3" s="13"/>
      <c r="O3" s="13"/>
      <c r="P3" s="13"/>
      <c r="Q3" s="13"/>
      <c r="R3" s="13"/>
      <c r="S3" s="13"/>
      <c r="T3" s="13"/>
      <c r="U3" s="13"/>
      <c r="V3" s="13"/>
      <c r="W3" s="13"/>
      <c r="X3" s="13"/>
      <c r="Y3" s="13"/>
      <c r="Z3" s="13"/>
      <c r="AA3" s="13"/>
      <c r="AB3" s="13"/>
    </row>
    <row r="4" spans="1:28 16384:16384" ht="17.399999999999999" x14ac:dyDescent="0.35">
      <c r="A4" s="16"/>
      <c r="B4" s="17">
        <f ca="1">IFERROR(__xludf.DUMMYFUNCTION("""COMPUTED_VALUE"""),3)</f>
        <v>3</v>
      </c>
      <c r="C4" s="13" t="str">
        <f ca="1">IFERROR(__xludf.DUMMYFUNCTION("""COMPUTED_VALUE"""),"Body &amp; Beauty")</f>
        <v>Body &amp; Beauty</v>
      </c>
      <c r="D4" s="18" t="str">
        <f ca="1">IFERROR(__xludf.DUMMYFUNCTION("if('Character Sheet'!B$6=true,filter(indirect(concatenate(""'"",C4,""'!E$4:E"")),indirect(concatenate(""'"",C4,""'!B$4:B""))=RANDBETWEEN(Min(Filter(indirect(concatenate(""'"",C4,""'!B$4:B"")),indirect(concatenate(""'"",C4,""'!C$4:C""))=false)), MAX(Filter"&amp;"(indirect(concatenate(""'"",C4,""'!B$4:B"")),indirect(concatenate(""'"",C4,""'!C$4:C""))=false)))),""Not Rolling"")"),"Not Rolling")</f>
        <v>Not Rolling</v>
      </c>
      <c r="E4" s="40"/>
      <c r="F4" s="13" t="b">
        <v>1</v>
      </c>
      <c r="G4" s="13" t="str">
        <f ca="1">IFERROR(__xludf.DUMMYFUNCTION("REGEXREPLACE(CELL(""address"",'Body &amp; Beauty'!B2),""'?([^']+)'?!.*"",""$1"")"),"Body &amp; Beauty")</f>
        <v>Body &amp; Beauty</v>
      </c>
      <c r="H4" s="5"/>
      <c r="M4" s="13"/>
      <c r="N4" s="13"/>
      <c r="O4" s="13"/>
      <c r="P4" s="13"/>
      <c r="Q4" s="13"/>
      <c r="R4" s="13"/>
      <c r="S4" s="13"/>
      <c r="T4" s="13"/>
      <c r="U4" s="13"/>
      <c r="V4" s="13"/>
      <c r="W4" s="13"/>
      <c r="X4" s="13"/>
      <c r="Y4" s="13"/>
      <c r="Z4" s="13"/>
      <c r="AA4" s="13"/>
      <c r="AB4" s="13"/>
    </row>
    <row r="5" spans="1:28 16384:16384" ht="17.399999999999999" x14ac:dyDescent="0.35">
      <c r="A5" s="16"/>
      <c r="B5" s="17">
        <f ca="1">IFERROR(__xludf.DUMMYFUNCTION("""COMPUTED_VALUE"""),4)</f>
        <v>4</v>
      </c>
      <c r="C5" s="13" t="str">
        <f ca="1">IFERROR(__xludf.DUMMYFUNCTION("""COMPUTED_VALUE"""),"Corruption")</f>
        <v>Corruption</v>
      </c>
      <c r="D5" s="18" t="str">
        <f ca="1">IFERROR(__xludf.DUMMYFUNCTION("if('Character Sheet'!B$6=true,filter(indirect(concatenate(""'"",C5,""'!E$4:E"")),indirect(concatenate(""'"",C5,""'!B$4:B""))=RANDBETWEEN(Min(Filter(indirect(concatenate(""'"",C5,""'!B$4:B"")),indirect(concatenate(""'"",C5,""'!C$4:C""))=false)), MAX(Filter"&amp;"(indirect(concatenate(""'"",C5,""'!B$4:B"")),indirect(concatenate(""'"",C5,""'!C$4:C""))=false)))),""Not Rolling"")"),"Not Rolling")</f>
        <v>Not Rolling</v>
      </c>
      <c r="E5" s="40"/>
      <c r="F5" s="13" t="b">
        <v>1</v>
      </c>
      <c r="G5" s="13" t="str">
        <f ca="1">IFERROR(__xludf.DUMMYFUNCTION("REGEXREPLACE(CELL(""address"",Corruption!B2),""'?([^']+)'?!.*"",""$1"")"),"Corruption")</f>
        <v>Corruption</v>
      </c>
      <c r="H5" s="5"/>
      <c r="M5" s="13"/>
      <c r="N5" s="13"/>
      <c r="O5" s="13"/>
      <c r="P5" s="13"/>
      <c r="Q5" s="13"/>
      <c r="R5" s="13"/>
      <c r="S5" s="13"/>
      <c r="T5" s="13"/>
      <c r="U5" s="13"/>
      <c r="V5" s="13"/>
      <c r="W5" s="13"/>
      <c r="X5" s="13"/>
      <c r="Y5" s="13"/>
      <c r="Z5" s="13"/>
      <c r="AA5" s="13"/>
      <c r="AB5" s="13"/>
    </row>
    <row r="6" spans="1:28 16384:16384" ht="17.399999999999999" x14ac:dyDescent="0.35">
      <c r="A6" s="16"/>
      <c r="B6" s="17">
        <f ca="1">IFERROR(__xludf.DUMMYFUNCTION("""COMPUTED_VALUE"""),5)</f>
        <v>5</v>
      </c>
      <c r="C6" s="13" t="str">
        <f ca="1">IFERROR(__xludf.DUMMYFUNCTION("""COMPUTED_VALUE"""),"Fertility &amp; Family")</f>
        <v>Fertility &amp; Family</v>
      </c>
      <c r="D6" s="18" t="str">
        <f ca="1">IFERROR(__xludf.DUMMYFUNCTION("if('Character Sheet'!B$6=true,filter(indirect(concatenate(""'"",C6,""'!E$4:E"")),indirect(concatenate(""'"",C6,""'!B$4:B""))=RANDBETWEEN(Min(Filter(indirect(concatenate(""'"",C6,""'!B$4:B"")),indirect(concatenate(""'"",C6,""'!C$4:C""))=false)), MAX(Filter"&amp;"(indirect(concatenate(""'"",C6,""'!B$4:B"")),indirect(concatenate(""'"",C6,""'!C$4:C""))=false)))),""Not Rolling"")"),"Not Rolling")</f>
        <v>Not Rolling</v>
      </c>
      <c r="E6" s="40"/>
      <c r="F6" s="13" t="b">
        <v>1</v>
      </c>
      <c r="G6" s="13" t="str">
        <f ca="1">IFERROR(__xludf.DUMMYFUNCTION("REGEXREPLACE(CELL(""address"",'Fertility &amp; Family'!B2),""'?([^']+)'?!.*"",""$1"")"),"Fertility &amp; Family")</f>
        <v>Fertility &amp; Family</v>
      </c>
      <c r="H6" s="5"/>
      <c r="M6" s="13"/>
      <c r="N6" s="13"/>
      <c r="O6" s="13"/>
      <c r="P6" s="13"/>
      <c r="Q6" s="13"/>
      <c r="R6" s="13"/>
      <c r="S6" s="13"/>
      <c r="T6" s="13"/>
      <c r="U6" s="13"/>
      <c r="V6" s="13"/>
      <c r="W6" s="13"/>
      <c r="X6" s="13"/>
      <c r="Y6" s="13"/>
      <c r="Z6" s="13"/>
      <c r="AA6" s="13"/>
      <c r="AB6" s="13"/>
    </row>
    <row r="7" spans="1:28 16384:16384" ht="17.399999999999999" x14ac:dyDescent="0.35">
      <c r="A7" s="16"/>
      <c r="B7" s="17">
        <f ca="1">IFERROR(__xludf.DUMMYFUNCTION("""COMPUTED_VALUE"""),6)</f>
        <v>6</v>
      </c>
      <c r="C7" s="13" t="str">
        <f ca="1">IFERROR(__xludf.DUMMYFUNCTION("""COMPUTED_VALUE"""),"Magic")</f>
        <v>Magic</v>
      </c>
      <c r="D7" s="18" t="str">
        <f ca="1">IFERROR(__xludf.DUMMYFUNCTION("if('Character Sheet'!B$6=true,filter(indirect(concatenate(""'"",C7,""'!E$4:E"")),indirect(concatenate(""'"",C7,""'!B$4:B""))=RANDBETWEEN(Min(Filter(indirect(concatenate(""'"",C7,""'!B$4:B"")),indirect(concatenate(""'"",C7,""'!C$4:C""))=false)), MAX(Filter"&amp;"(indirect(concatenate(""'"",C7,""'!B$4:B"")),indirect(concatenate(""'"",C7,""'!C$4:C""))=false)))),""Not Rolling"")"),"Not Rolling")</f>
        <v>Not Rolling</v>
      </c>
      <c r="E7" s="40"/>
      <c r="F7" s="13" t="b">
        <v>1</v>
      </c>
      <c r="G7" s="13" t="str">
        <f ca="1">IFERROR(__xludf.DUMMYFUNCTION("REGEXREPLACE(CELL(""address"",Magic!B2),""'?([^']+)'?!.*"",""$1"")"),"Magic")</f>
        <v>Magic</v>
      </c>
      <c r="H7" s="5"/>
      <c r="M7" s="13"/>
      <c r="N7" s="13"/>
      <c r="O7" s="13"/>
      <c r="P7" s="13"/>
      <c r="Q7" s="13"/>
      <c r="R7" s="13"/>
      <c r="S7" s="13"/>
      <c r="T7" s="13"/>
      <c r="U7" s="13"/>
      <c r="V7" s="13"/>
      <c r="W7" s="13"/>
      <c r="X7" s="13"/>
      <c r="Y7" s="13"/>
      <c r="Z7" s="13"/>
      <c r="AA7" s="13"/>
      <c r="AB7" s="13"/>
    </row>
    <row r="8" spans="1:28 16384:16384" ht="17.399999999999999" x14ac:dyDescent="0.35">
      <c r="A8" s="16"/>
      <c r="B8" s="17">
        <f ca="1">IFERROR(__xludf.DUMMYFUNCTION("""COMPUTED_VALUE"""),7)</f>
        <v>7</v>
      </c>
      <c r="C8" s="13" t="str">
        <f ca="1">IFERROR(__xludf.DUMMYFUNCTION("""COMPUTED_VALUE"""),"Mind &amp; Control")</f>
        <v>Mind &amp; Control</v>
      </c>
      <c r="D8" s="18" t="str">
        <f ca="1">IFERROR(__xludf.DUMMYFUNCTION("if('Character Sheet'!B$6=true,filter(indirect(concatenate(""'"",C8,""'!E$4:E"")),indirect(concatenate(""'"",C8,""'!B$4:B""))=RANDBETWEEN(Min(Filter(indirect(concatenate(""'"",C8,""'!B$4:B"")),indirect(concatenate(""'"",C8,""'!C$4:C""))=false)), MAX(Filter"&amp;"(indirect(concatenate(""'"",C8,""'!B$4:B"")),indirect(concatenate(""'"",C8,""'!C$4:C""))=false)))),""Not Rolling"")"),"Not Rolling")</f>
        <v>Not Rolling</v>
      </c>
      <c r="E8" s="40"/>
      <c r="F8" s="13" t="b">
        <v>1</v>
      </c>
      <c r="G8" s="13" t="str">
        <f ca="1">IFERROR(__xludf.DUMMYFUNCTION("REGEXREPLACE(CELL(""address"",'Mind &amp; Control'!B2),""'?([^']+)'?!.*"",""$1"")"),"Mind &amp; Control")</f>
        <v>Mind &amp; Control</v>
      </c>
      <c r="H8" s="5"/>
      <c r="M8" s="13"/>
      <c r="N8" s="13"/>
      <c r="O8" s="13"/>
      <c r="P8" s="13"/>
      <c r="Q8" s="13"/>
      <c r="R8" s="13"/>
      <c r="S8" s="13"/>
      <c r="T8" s="13"/>
      <c r="U8" s="13"/>
      <c r="V8" s="13"/>
      <c r="W8" s="13"/>
      <c r="X8" s="13"/>
      <c r="Y8" s="13"/>
      <c r="Z8" s="13"/>
      <c r="AA8" s="13"/>
      <c r="AB8" s="13"/>
    </row>
    <row r="9" spans="1:28 16384:16384" ht="17.399999999999999" x14ac:dyDescent="0.35">
      <c r="A9" s="16"/>
      <c r="B9" s="17">
        <f ca="1">IFERROR(__xludf.DUMMYFUNCTION("""COMPUTED_VALUE"""),8)</f>
        <v>8</v>
      </c>
      <c r="C9" s="13" t="str">
        <f ca="1">IFERROR(__xludf.DUMMYFUNCTION("""COMPUTED_VALUE"""),"Pocket Dimension")</f>
        <v>Pocket Dimension</v>
      </c>
      <c r="D9" s="18" t="str">
        <f ca="1">IFERROR(__xludf.DUMMYFUNCTION("if('Character Sheet'!B$6=true,filter(indirect(concatenate(""'"",C9,""'!E$4:E"")),indirect(concatenate(""'"",C9,""'!B$4:B""))=RANDBETWEEN(Min(Filter(indirect(concatenate(""'"",C9,""'!B$4:B"")),indirect(concatenate(""'"",C9,""'!C$4:C""))=false)), MAX(Filter"&amp;"(indirect(concatenate(""'"",C9,""'!B$4:B"")),indirect(concatenate(""'"",C9,""'!C$4:C""))=false)))),""Not Rolling"")"),"Not Rolling")</f>
        <v>Not Rolling</v>
      </c>
      <c r="E9" s="40"/>
      <c r="F9" s="13" t="b">
        <v>1</v>
      </c>
      <c r="G9" s="13" t="str">
        <f ca="1">IFERROR(__xludf.DUMMYFUNCTION("REGEXREPLACE(CELL(""address"",'Pocket Dimension'!B2),""'?([^']+)'?!.*"",""$1"")"),"Pocket Dimension")</f>
        <v>Pocket Dimension</v>
      </c>
      <c r="H9" s="5"/>
      <c r="M9" s="13"/>
      <c r="N9" s="13"/>
      <c r="O9" s="13"/>
      <c r="P9" s="13"/>
      <c r="Q9" s="13"/>
      <c r="R9" s="13"/>
      <c r="S9" s="13"/>
      <c r="T9" s="13"/>
      <c r="U9" s="13"/>
      <c r="V9" s="13"/>
      <c r="W9" s="13"/>
      <c r="X9" s="13"/>
      <c r="Y9" s="13"/>
      <c r="Z9" s="13"/>
      <c r="AA9" s="13"/>
      <c r="AB9" s="13"/>
    </row>
    <row r="10" spans="1:28 16384:16384" ht="17.399999999999999" x14ac:dyDescent="0.35">
      <c r="A10" s="16"/>
      <c r="B10" s="17">
        <f ca="1">IFERROR(__xludf.DUMMYFUNCTION("""COMPUTED_VALUE"""),9)</f>
        <v>9</v>
      </c>
      <c r="C10" s="13" t="str">
        <f ca="1">IFERROR(__xludf.DUMMYFUNCTION("""COMPUTED_VALUE"""),"Porn &amp; Paraphernalia")</f>
        <v>Porn &amp; Paraphernalia</v>
      </c>
      <c r="D10" s="18" t="str">
        <f ca="1">IFERROR(__xludf.DUMMYFUNCTION("if('Character Sheet'!B$6=true,filter(indirect(concatenate(""'"",C10,""'!E$4:E"")),indirect(concatenate(""'"",C10,""'!B$4:B""))=RANDBETWEEN(Min(Filter(indirect(concatenate(""'"",C10,""'!B$4:B"")),indirect(concatenate(""'"",C10,""'!C$4:C""))=false)), MAX(Fi"&amp;"lter(indirect(concatenate(""'"",C10,""'!B$4:B"")),indirect(concatenate(""'"",C10,""'!C$4:C""))=false)))),""Not Rolling"")"),"Not Rolling")</f>
        <v>Not Rolling</v>
      </c>
      <c r="E10" s="40"/>
      <c r="F10" s="13" t="b">
        <v>1</v>
      </c>
      <c r="G10" s="13" t="str">
        <f ca="1">IFERROR(__xludf.DUMMYFUNCTION("REGEXREPLACE(CELL(""address"",'Porn &amp; Paraphernalia'!B2),""'?([^']+)'?!.*"",""$1"")"),"Porn &amp; Paraphernalia")</f>
        <v>Porn &amp; Paraphernalia</v>
      </c>
      <c r="H10" s="5"/>
      <c r="M10" s="13"/>
      <c r="N10" s="13"/>
      <c r="O10" s="13"/>
      <c r="P10" s="13"/>
      <c r="Q10" s="13"/>
      <c r="R10" s="13"/>
      <c r="S10" s="13"/>
      <c r="T10" s="13"/>
      <c r="U10" s="13"/>
      <c r="V10" s="13"/>
      <c r="W10" s="13"/>
      <c r="X10" s="13"/>
      <c r="Y10" s="13"/>
      <c r="Z10" s="13"/>
      <c r="AA10" s="13"/>
      <c r="AB10" s="13"/>
    </row>
    <row r="11" spans="1:28 16384:16384" ht="17.399999999999999" x14ac:dyDescent="0.35">
      <c r="A11" s="16"/>
      <c r="B11" s="17">
        <f ca="1">IFERROR(__xludf.DUMMYFUNCTION("""COMPUTED_VALUE"""),10)</f>
        <v>10</v>
      </c>
      <c r="C11" s="13" t="str">
        <f ca="1">IFERROR(__xludf.DUMMYFUNCTION("""COMPUTED_VALUE"""),"Powers")</f>
        <v>Powers</v>
      </c>
      <c r="D11" s="18" t="str">
        <f ca="1">IFERROR(__xludf.DUMMYFUNCTION("if('Character Sheet'!B$6=true,filter(indirect(concatenate(""'"",C11,""'!E$4:E"")),indirect(concatenate(""'"",C11,""'!B$4:B""))=RANDBETWEEN(Min(Filter(indirect(concatenate(""'"",C11,""'!B$4:B"")),indirect(concatenate(""'"",C11,""'!C$4:C""))=false)), MAX(Fi"&amp;"lter(indirect(concatenate(""'"",C11,""'!B$4:B"")),indirect(concatenate(""'"",C11,""'!C$4:C""))=false)))),""Not Rolling"")"),"Not Rolling")</f>
        <v>Not Rolling</v>
      </c>
      <c r="E11" s="40"/>
      <c r="F11" s="13" t="b">
        <v>1</v>
      </c>
      <c r="G11" s="13" t="str">
        <f ca="1">IFERROR(__xludf.DUMMYFUNCTION("REGEXREPLACE(CELL(""address"",Powers!B2),""'?([^']+)'?!.*"",""$1"")"),"Powers")</f>
        <v>Powers</v>
      </c>
      <c r="H11" s="5"/>
      <c r="M11" s="13"/>
      <c r="N11" s="13"/>
      <c r="O11" s="13"/>
      <c r="P11" s="13"/>
      <c r="Q11" s="13"/>
      <c r="R11" s="13"/>
      <c r="S11" s="13"/>
      <c r="T11" s="13"/>
      <c r="U11" s="13"/>
      <c r="V11" s="13"/>
      <c r="W11" s="13"/>
      <c r="X11" s="13"/>
      <c r="Y11" s="13"/>
      <c r="Z11" s="13"/>
      <c r="AA11" s="13"/>
      <c r="AB11" s="13"/>
    </row>
    <row r="12" spans="1:28 16384:16384" ht="17.399999999999999" x14ac:dyDescent="0.35">
      <c r="A12" s="16"/>
      <c r="B12" s="17">
        <f ca="1">IFERROR(__xludf.DUMMYFUNCTION("""COMPUTED_VALUE"""),11)</f>
        <v>11</v>
      </c>
      <c r="C12" s="13" t="str">
        <f ca="1">IFERROR(__xludf.DUMMYFUNCTION("""COMPUTED_VALUE"""),"Relationships")</f>
        <v>Relationships</v>
      </c>
      <c r="D12" s="18" t="str">
        <f ca="1">IFERROR(__xludf.DUMMYFUNCTION("if('Character Sheet'!B$6=true,filter(indirect(concatenate(""'"",C12,""'!E$4:E"")),indirect(concatenate(""'"",C12,""'!B$4:B""))=RANDBETWEEN(Min(Filter(indirect(concatenate(""'"",C12,""'!B$4:B"")),indirect(concatenate(""'"",C12,""'!C$4:C""))=false)), MAX(Fi"&amp;"lter(indirect(concatenate(""'"",C12,""'!B$4:B"")),indirect(concatenate(""'"",C12,""'!C$4:C""))=false)))),""Not Rolling"")"),"Not Rolling")</f>
        <v>Not Rolling</v>
      </c>
      <c r="E12" s="40"/>
      <c r="F12" s="13" t="b">
        <v>1</v>
      </c>
      <c r="G12" s="13" t="str">
        <f ca="1">IFERROR(__xludf.DUMMYFUNCTION("REGEXREPLACE(CELL(""address"",Relationships!B2),""'?([^']+)'?!.*"",""$1"")"),"Relationships")</f>
        <v>Relationships</v>
      </c>
      <c r="H12" s="5"/>
      <c r="M12" s="13"/>
      <c r="N12" s="13"/>
      <c r="O12" s="13"/>
      <c r="P12" s="13"/>
      <c r="Q12" s="13"/>
      <c r="R12" s="13"/>
      <c r="S12" s="13"/>
      <c r="T12" s="13"/>
      <c r="U12" s="13"/>
      <c r="V12" s="13"/>
      <c r="W12" s="13"/>
      <c r="X12" s="13"/>
      <c r="Y12" s="13"/>
      <c r="Z12" s="13"/>
      <c r="AA12" s="13"/>
      <c r="AB12" s="13"/>
    </row>
    <row r="13" spans="1:28 16384:16384" ht="17.399999999999999" x14ac:dyDescent="0.35">
      <c r="A13" s="16"/>
      <c r="B13" s="17">
        <f ca="1">IFERROR(__xludf.DUMMYFUNCTION("""COMPUTED_VALUE"""),12)</f>
        <v>12</v>
      </c>
      <c r="C13" s="13" t="str">
        <f ca="1">IFERROR(__xludf.DUMMYFUNCTION("""COMPUTED_VALUE"""),"Seduction")</f>
        <v>Seduction</v>
      </c>
      <c r="D13" s="18" t="str">
        <f ca="1">IFERROR(__xludf.DUMMYFUNCTION("if('Character Sheet'!B$6=true,filter(indirect(concatenate(""'"",C13,""'!E$4:E"")),indirect(concatenate(""'"",C13,""'!B$4:B""))=RANDBETWEEN(Min(Filter(indirect(concatenate(""'"",C13,""'!B$4:B"")),indirect(concatenate(""'"",C13,""'!C$4:C""))=false)), MAX(Fi"&amp;"lter(indirect(concatenate(""'"",C13,""'!B$4:B"")),indirect(concatenate(""'"",C13,""'!C$4:C""))=false)))),""Not Rolling"")"),"Not Rolling")</f>
        <v>Not Rolling</v>
      </c>
      <c r="E13" s="40"/>
      <c r="F13" s="13" t="b">
        <v>1</v>
      </c>
      <c r="G13" s="13" t="str">
        <f ca="1">IFERROR(__xludf.DUMMYFUNCTION("REGEXREPLACE(CELL(""address"",Seduction!B2),""'?([^']+)'?!.*"",""$1"")"),"Seduction")</f>
        <v>Seduction</v>
      </c>
      <c r="H13" s="5"/>
      <c r="M13" s="13"/>
      <c r="N13" s="13"/>
      <c r="O13" s="13"/>
      <c r="P13" s="13"/>
      <c r="Q13" s="13"/>
      <c r="R13" s="13"/>
      <c r="S13" s="13"/>
      <c r="T13" s="13"/>
      <c r="U13" s="13"/>
      <c r="V13" s="13"/>
      <c r="W13" s="13"/>
      <c r="X13" s="13"/>
      <c r="Y13" s="13"/>
      <c r="Z13" s="13"/>
      <c r="AA13" s="13"/>
      <c r="AB13" s="13"/>
    </row>
    <row r="14" spans="1:28 16384:16384" ht="17.399999999999999" x14ac:dyDescent="0.35">
      <c r="A14" s="16"/>
      <c r="B14" s="17">
        <f ca="1">IFERROR(__xludf.DUMMYFUNCTION("""COMPUTED_VALUE"""),13)</f>
        <v>13</v>
      </c>
      <c r="C14" s="13" t="str">
        <f ca="1">IFERROR(__xludf.DUMMYFUNCTION("""COMPUTED_VALUE"""),"Skills")</f>
        <v>Skills</v>
      </c>
      <c r="D14" s="18" t="str">
        <f ca="1">IFERROR(__xludf.DUMMYFUNCTION("if('Character Sheet'!B$6=true,filter(indirect(concatenate(""'"",C14,""'!E$4:E"")),indirect(concatenate(""'"",C14,""'!B$4:B""))=RANDBETWEEN(Min(Filter(indirect(concatenate(""'"",C14,""'!B$4:B"")),indirect(concatenate(""'"",C14,""'!C$4:C""))=false)), MAX(Fi"&amp;"lter(indirect(concatenate(""'"",C14,""'!B$4:B"")),indirect(concatenate(""'"",C14,""'!C$4:C""))=false)))),""Not Rolling"")"),"Not Rolling")</f>
        <v>Not Rolling</v>
      </c>
      <c r="E14" s="40"/>
      <c r="F14" s="13" t="b">
        <v>1</v>
      </c>
      <c r="G14" s="13" t="str">
        <f ca="1">IFERROR(__xludf.DUMMYFUNCTION("REGEXREPLACE(CELL(""address"",Skills!B2),""'?([^']+)'?!.*"",""$1"")"),"Skills")</f>
        <v>Skills</v>
      </c>
      <c r="H14" s="5"/>
      <c r="M14" s="13"/>
      <c r="N14" s="13"/>
      <c r="O14" s="13"/>
      <c r="P14" s="13"/>
      <c r="Q14" s="13"/>
      <c r="R14" s="13"/>
      <c r="S14" s="13"/>
      <c r="T14" s="13"/>
      <c r="U14" s="13"/>
      <c r="V14" s="13"/>
      <c r="W14" s="13"/>
      <c r="X14" s="13"/>
      <c r="Y14" s="13"/>
      <c r="Z14" s="13"/>
      <c r="AA14" s="13"/>
      <c r="AB14" s="13"/>
    </row>
    <row r="15" spans="1:28 16384:16384" ht="17.399999999999999" x14ac:dyDescent="0.35">
      <c r="A15" s="16"/>
      <c r="B15" s="17">
        <f ca="1">IFERROR(__xludf.DUMMYFUNCTION("""COMPUTED_VALUE"""),14)</f>
        <v>14</v>
      </c>
      <c r="C15" s="13" t="str">
        <f ca="1">IFERROR(__xludf.DUMMYFUNCTION("""COMPUTED_VALUE"""),"Transformation")</f>
        <v>Transformation</v>
      </c>
      <c r="D15" s="18" t="str">
        <f ca="1">IFERROR(__xludf.DUMMYFUNCTION("if('Character Sheet'!B$6=true,filter(indirect(concatenate(""'"",C15,""'!E$4:E"")),indirect(concatenate(""'"",C15,""'!B$4:B""))=RANDBETWEEN(Min(Filter(indirect(concatenate(""'"",C15,""'!B$4:B"")),indirect(concatenate(""'"",C15,""'!C$4:C""))=false)), MAX(Fi"&amp;"lter(indirect(concatenate(""'"",C15,""'!B$4:B"")),indirect(concatenate(""'"",C15,""'!C$4:C""))=false)))),""Not Rolling"")"),"Not Rolling")</f>
        <v>Not Rolling</v>
      </c>
      <c r="E15" s="40"/>
      <c r="F15" s="13" t="b">
        <v>1</v>
      </c>
      <c r="G15" s="13" t="str">
        <f ca="1">IFERROR(__xludf.DUMMYFUNCTION("REGEXREPLACE(CELL(""address"",Transformation!B2),""'?([^']+)'?!.*"",""$1"")"),"Transformation")</f>
        <v>Transformation</v>
      </c>
      <c r="H15" s="5"/>
      <c r="M15" s="13"/>
      <c r="N15" s="13"/>
      <c r="O15" s="13"/>
      <c r="P15" s="13"/>
      <c r="Q15" s="13"/>
      <c r="R15" s="13"/>
      <c r="S15" s="13"/>
      <c r="T15" s="13"/>
      <c r="U15" s="13"/>
      <c r="V15" s="13"/>
      <c r="W15" s="13"/>
      <c r="X15" s="13"/>
      <c r="Y15" s="13"/>
      <c r="Z15" s="13"/>
      <c r="AA15" s="13"/>
      <c r="AB15" s="13"/>
    </row>
    <row r="16" spans="1:28 16384:16384" ht="17.399999999999999" x14ac:dyDescent="0.35">
      <c r="A16" s="16"/>
      <c r="B16" s="17"/>
      <c r="C16" s="13"/>
      <c r="D16" s="13"/>
      <c r="E16" s="40"/>
      <c r="F16" s="13"/>
      <c r="G16" s="13"/>
      <c r="H16" s="5"/>
      <c r="M16" s="13"/>
      <c r="N16" s="13"/>
      <c r="O16" s="13"/>
      <c r="P16" s="13"/>
      <c r="Q16" s="13"/>
      <c r="R16" s="13"/>
      <c r="S16" s="13"/>
      <c r="T16" s="13"/>
      <c r="U16" s="13"/>
      <c r="V16" s="13"/>
      <c r="W16" s="13"/>
      <c r="X16" s="13"/>
      <c r="Y16" s="13"/>
      <c r="Z16" s="13"/>
      <c r="AA16" s="13"/>
      <c r="AB16" s="13"/>
    </row>
    <row r="17" spans="1:28" ht="17.399999999999999" x14ac:dyDescent="0.35">
      <c r="A17" s="16"/>
      <c r="B17" s="17"/>
      <c r="C17" s="13"/>
      <c r="D17" s="13"/>
      <c r="E17" s="40"/>
      <c r="F17" s="13"/>
      <c r="G17" s="13"/>
      <c r="H17" s="5"/>
      <c r="M17" s="13"/>
      <c r="N17" s="13"/>
      <c r="O17" s="13"/>
      <c r="P17" s="13"/>
      <c r="Q17" s="13"/>
      <c r="R17" s="13"/>
      <c r="S17" s="13"/>
      <c r="T17" s="13"/>
      <c r="U17" s="13"/>
      <c r="V17" s="13"/>
      <c r="W17" s="13"/>
      <c r="X17" s="13"/>
      <c r="Y17" s="13"/>
      <c r="Z17" s="13"/>
      <c r="AA17" s="13"/>
      <c r="AB17" s="13"/>
    </row>
    <row r="18" spans="1:28" ht="17.399999999999999" x14ac:dyDescent="0.35">
      <c r="A18" s="16"/>
      <c r="B18" s="17"/>
      <c r="C18" s="13"/>
      <c r="D18" s="13"/>
      <c r="E18" s="40"/>
      <c r="F18" s="13"/>
      <c r="G18" s="13"/>
      <c r="H18" s="5"/>
      <c r="M18" s="13"/>
      <c r="N18" s="13"/>
      <c r="O18" s="13"/>
      <c r="P18" s="13"/>
      <c r="Q18" s="13"/>
      <c r="R18" s="13"/>
      <c r="S18" s="13"/>
      <c r="T18" s="13"/>
      <c r="U18" s="13"/>
      <c r="V18" s="13"/>
      <c r="W18" s="13"/>
      <c r="X18" s="13"/>
      <c r="Y18" s="13"/>
      <c r="Z18" s="13"/>
      <c r="AA18" s="13"/>
      <c r="AB18" s="13"/>
    </row>
    <row r="19" spans="1:28" ht="17.399999999999999" x14ac:dyDescent="0.35">
      <c r="A19" s="16"/>
      <c r="B19" s="17"/>
      <c r="C19" s="13"/>
      <c r="D19" s="13"/>
      <c r="E19" s="40"/>
      <c r="F19" s="13"/>
      <c r="G19" s="13"/>
      <c r="H19" s="5"/>
      <c r="M19" s="13"/>
      <c r="N19" s="13"/>
      <c r="O19" s="13"/>
      <c r="P19" s="13"/>
      <c r="Q19" s="13"/>
      <c r="R19" s="13"/>
      <c r="S19" s="13"/>
      <c r="T19" s="13"/>
      <c r="U19" s="13"/>
      <c r="V19" s="13"/>
      <c r="W19" s="13"/>
      <c r="X19" s="13"/>
      <c r="Y19" s="13"/>
      <c r="Z19" s="13"/>
      <c r="AA19" s="13"/>
      <c r="AB19" s="13"/>
    </row>
    <row r="20" spans="1:28" ht="17.399999999999999" x14ac:dyDescent="0.35">
      <c r="A20" s="16"/>
      <c r="B20" s="17"/>
      <c r="C20" s="13"/>
      <c r="D20" s="13"/>
      <c r="E20" s="19"/>
      <c r="F20" s="13"/>
      <c r="G20" s="13"/>
      <c r="H20" s="5"/>
      <c r="M20" s="13"/>
      <c r="N20" s="13"/>
      <c r="O20" s="13"/>
      <c r="P20" s="13"/>
      <c r="Q20" s="13"/>
      <c r="R20" s="13"/>
      <c r="S20" s="13"/>
      <c r="T20" s="13"/>
      <c r="U20" s="13"/>
      <c r="V20" s="13"/>
      <c r="W20" s="13"/>
      <c r="X20" s="13"/>
      <c r="Y20" s="13"/>
      <c r="Z20" s="13"/>
      <c r="AA20" s="13"/>
      <c r="AB20" s="13"/>
    </row>
    <row r="21" spans="1:28" ht="17.399999999999999" x14ac:dyDescent="0.35">
      <c r="A21" s="16"/>
      <c r="B21" s="17"/>
      <c r="C21" s="13"/>
      <c r="D21" s="13"/>
      <c r="E21" s="15"/>
      <c r="F21" s="13"/>
      <c r="G21" s="13"/>
      <c r="H21" s="5"/>
      <c r="M21" s="13"/>
      <c r="N21" s="13"/>
      <c r="O21" s="13"/>
      <c r="P21" s="13"/>
      <c r="Q21" s="13"/>
      <c r="R21" s="13"/>
      <c r="S21" s="13"/>
      <c r="T21" s="13"/>
      <c r="U21" s="13"/>
      <c r="V21" s="13"/>
      <c r="W21" s="13"/>
      <c r="X21" s="13"/>
      <c r="Y21" s="13"/>
      <c r="Z21" s="13"/>
      <c r="AA21" s="13"/>
      <c r="AB21" s="13"/>
    </row>
    <row r="22" spans="1:28" ht="17.399999999999999" x14ac:dyDescent="0.35">
      <c r="A22" s="16"/>
      <c r="B22" s="17"/>
      <c r="C22" s="13"/>
      <c r="D22" s="13"/>
      <c r="E22" s="15"/>
      <c r="F22" s="13"/>
      <c r="G22" s="13"/>
      <c r="H22" s="5"/>
      <c r="M22" s="13"/>
      <c r="N22" s="13"/>
      <c r="O22" s="13"/>
      <c r="P22" s="13"/>
      <c r="Q22" s="13"/>
      <c r="R22" s="13"/>
      <c r="S22" s="13"/>
      <c r="T22" s="13"/>
      <c r="U22" s="13"/>
      <c r="V22" s="13"/>
      <c r="W22" s="13"/>
      <c r="X22" s="13"/>
      <c r="Y22" s="13"/>
      <c r="Z22" s="13"/>
      <c r="AA22" s="13"/>
      <c r="AB22" s="13"/>
    </row>
    <row r="23" spans="1:28" ht="17.399999999999999" x14ac:dyDescent="0.35">
      <c r="A23" s="16"/>
      <c r="B23" s="17"/>
      <c r="C23" s="13"/>
      <c r="D23" s="13"/>
      <c r="E23" s="15"/>
      <c r="F23" s="13"/>
      <c r="G23" s="13"/>
      <c r="H23" s="5"/>
      <c r="M23" s="13"/>
      <c r="N23" s="13"/>
      <c r="O23" s="13"/>
      <c r="P23" s="13"/>
      <c r="Q23" s="13"/>
      <c r="R23" s="13"/>
      <c r="S23" s="13"/>
      <c r="T23" s="13"/>
      <c r="U23" s="13"/>
      <c r="V23" s="13"/>
      <c r="W23" s="13"/>
      <c r="X23" s="13"/>
      <c r="Y23" s="13"/>
      <c r="Z23" s="13"/>
      <c r="AA23" s="13"/>
      <c r="AB23" s="13"/>
    </row>
    <row r="24" spans="1:28" ht="17.399999999999999" x14ac:dyDescent="0.35">
      <c r="A24" s="16"/>
      <c r="B24" s="17"/>
      <c r="C24" s="13"/>
      <c r="D24" s="13"/>
      <c r="E24" s="15"/>
      <c r="F24" s="13"/>
      <c r="G24" s="13"/>
      <c r="H24" s="6"/>
      <c r="I24" s="13"/>
      <c r="J24" s="13"/>
      <c r="K24" s="13"/>
      <c r="L24" s="13"/>
      <c r="M24" s="13"/>
      <c r="N24" s="13"/>
      <c r="O24" s="13"/>
      <c r="P24" s="13"/>
      <c r="Q24" s="13"/>
      <c r="R24" s="13"/>
      <c r="S24" s="13"/>
      <c r="T24" s="13"/>
      <c r="U24" s="13"/>
      <c r="V24" s="13"/>
      <c r="W24" s="13"/>
      <c r="X24" s="13"/>
      <c r="Y24" s="13"/>
      <c r="Z24" s="13"/>
      <c r="AA24" s="13"/>
      <c r="AB24" s="13"/>
    </row>
    <row r="25" spans="1:28" ht="17.399999999999999" x14ac:dyDescent="0.35">
      <c r="A25" s="16"/>
      <c r="B25" s="17"/>
      <c r="C25" s="13"/>
      <c r="D25" s="13"/>
      <c r="E25" s="15"/>
      <c r="F25" s="13"/>
      <c r="G25" s="13"/>
      <c r="H25" s="6"/>
      <c r="I25" s="13"/>
      <c r="J25" s="13"/>
      <c r="K25" s="13"/>
      <c r="L25" s="13"/>
      <c r="M25" s="13"/>
      <c r="N25" s="13"/>
      <c r="O25" s="13"/>
      <c r="P25" s="13"/>
      <c r="Q25" s="13"/>
      <c r="R25" s="13"/>
      <c r="S25" s="13"/>
      <c r="T25" s="13"/>
      <c r="U25" s="13"/>
      <c r="V25" s="13"/>
      <c r="W25" s="13"/>
      <c r="X25" s="13"/>
      <c r="Y25" s="13"/>
      <c r="Z25" s="13"/>
      <c r="AA25" s="13"/>
      <c r="AB25" s="13"/>
    </row>
    <row r="26" spans="1:28" ht="17.399999999999999" x14ac:dyDescent="0.35">
      <c r="A26" s="16"/>
      <c r="B26" s="17"/>
      <c r="C26" s="13"/>
      <c r="D26" s="13"/>
      <c r="E26" s="15"/>
      <c r="F26" s="13"/>
      <c r="G26" s="13"/>
      <c r="H26" s="6"/>
      <c r="I26" s="13"/>
      <c r="J26" s="13"/>
      <c r="K26" s="13"/>
      <c r="L26" s="13"/>
      <c r="M26" s="13"/>
      <c r="N26" s="13"/>
      <c r="O26" s="13"/>
      <c r="P26" s="13"/>
      <c r="Q26" s="13"/>
      <c r="R26" s="13"/>
      <c r="S26" s="13"/>
      <c r="T26" s="13"/>
      <c r="U26" s="13"/>
      <c r="V26" s="13"/>
      <c r="W26" s="13"/>
      <c r="X26" s="13"/>
      <c r="Y26" s="13"/>
      <c r="Z26" s="13"/>
      <c r="AA26" s="13"/>
      <c r="AB26" s="13"/>
    </row>
    <row r="27" spans="1:28" ht="17.399999999999999" x14ac:dyDescent="0.35">
      <c r="A27" s="16"/>
      <c r="B27" s="17"/>
      <c r="C27" s="13"/>
      <c r="D27" s="13"/>
      <c r="E27" s="15"/>
      <c r="F27" s="13"/>
      <c r="G27" s="13"/>
      <c r="H27" s="6"/>
      <c r="I27" s="13"/>
      <c r="J27" s="13"/>
      <c r="K27" s="13"/>
      <c r="L27" s="13"/>
      <c r="M27" s="13"/>
      <c r="N27" s="13"/>
      <c r="O27" s="13"/>
      <c r="P27" s="13"/>
      <c r="Q27" s="13"/>
      <c r="R27" s="13"/>
      <c r="S27" s="13"/>
      <c r="T27" s="13"/>
      <c r="U27" s="13"/>
      <c r="V27" s="13"/>
      <c r="W27" s="13"/>
      <c r="X27" s="13"/>
      <c r="Y27" s="13"/>
      <c r="Z27" s="13"/>
      <c r="AA27" s="13"/>
      <c r="AB27" s="13"/>
    </row>
    <row r="28" spans="1:28" ht="17.399999999999999" x14ac:dyDescent="0.35">
      <c r="A28" s="16"/>
      <c r="B28" s="17"/>
      <c r="C28" s="13"/>
      <c r="D28" s="13"/>
      <c r="E28" s="15"/>
      <c r="F28" s="13"/>
      <c r="G28" s="13"/>
      <c r="H28" s="6"/>
      <c r="I28" s="13"/>
      <c r="J28" s="13"/>
      <c r="K28" s="13"/>
      <c r="L28" s="13"/>
      <c r="M28" s="13"/>
      <c r="N28" s="13"/>
      <c r="O28" s="13"/>
      <c r="P28" s="13"/>
      <c r="Q28" s="13"/>
      <c r="R28" s="13"/>
      <c r="S28" s="13"/>
      <c r="T28" s="13"/>
      <c r="U28" s="13"/>
      <c r="V28" s="13"/>
      <c r="W28" s="13"/>
      <c r="X28" s="13"/>
      <c r="Y28" s="13"/>
      <c r="Z28" s="13"/>
      <c r="AA28" s="13"/>
      <c r="AB28" s="13"/>
    </row>
    <row r="29" spans="1:28" ht="17.399999999999999" x14ac:dyDescent="0.35">
      <c r="A29" s="16"/>
      <c r="B29" s="17"/>
      <c r="C29" s="13"/>
      <c r="D29" s="13"/>
      <c r="E29" s="15"/>
      <c r="F29" s="13"/>
      <c r="G29" s="13"/>
      <c r="H29" s="6"/>
      <c r="I29" s="13"/>
      <c r="J29" s="13"/>
      <c r="K29" s="13"/>
      <c r="L29" s="13"/>
      <c r="M29" s="13"/>
      <c r="N29" s="13"/>
      <c r="O29" s="13"/>
      <c r="P29" s="13"/>
      <c r="Q29" s="13"/>
      <c r="R29" s="13"/>
      <c r="S29" s="13"/>
      <c r="T29" s="13"/>
      <c r="U29" s="13"/>
      <c r="V29" s="13"/>
      <c r="W29" s="13"/>
      <c r="X29" s="13"/>
      <c r="Y29" s="13"/>
      <c r="Z29" s="13"/>
      <c r="AA29" s="13"/>
      <c r="AB29" s="13"/>
    </row>
    <row r="30" spans="1:28" ht="17.399999999999999" x14ac:dyDescent="0.35">
      <c r="A30" s="16"/>
      <c r="B30" s="17"/>
      <c r="C30" s="13"/>
      <c r="D30" s="13"/>
      <c r="E30" s="15"/>
      <c r="F30" s="13"/>
      <c r="G30" s="13"/>
      <c r="H30" s="6"/>
      <c r="I30" s="13"/>
      <c r="J30" s="13"/>
      <c r="K30" s="13"/>
      <c r="L30" s="13"/>
      <c r="M30" s="13"/>
      <c r="N30" s="13"/>
      <c r="O30" s="13"/>
      <c r="P30" s="13"/>
      <c r="Q30" s="13"/>
      <c r="R30" s="13"/>
      <c r="S30" s="13"/>
      <c r="T30" s="13"/>
      <c r="U30" s="13"/>
      <c r="V30" s="13"/>
      <c r="W30" s="13"/>
      <c r="X30" s="13"/>
      <c r="Y30" s="13"/>
      <c r="Z30" s="13"/>
      <c r="AA30" s="13"/>
      <c r="AB30" s="13"/>
    </row>
    <row r="31" spans="1:28" ht="17.399999999999999" x14ac:dyDescent="0.35">
      <c r="A31" s="16"/>
      <c r="B31" s="17"/>
      <c r="C31" s="13"/>
      <c r="D31" s="13"/>
      <c r="E31" s="15"/>
      <c r="F31" s="13"/>
      <c r="G31" s="13"/>
      <c r="H31" s="6"/>
      <c r="I31" s="13"/>
      <c r="J31" s="13"/>
      <c r="K31" s="13"/>
      <c r="L31" s="13"/>
      <c r="M31" s="13"/>
      <c r="N31" s="13"/>
      <c r="O31" s="13"/>
      <c r="P31" s="13"/>
      <c r="Q31" s="13"/>
      <c r="R31" s="13"/>
      <c r="S31" s="13"/>
      <c r="T31" s="13"/>
      <c r="U31" s="13"/>
      <c r="V31" s="13"/>
      <c r="W31" s="13"/>
      <c r="X31" s="13"/>
      <c r="Y31" s="13"/>
      <c r="Z31" s="13"/>
      <c r="AA31" s="13"/>
      <c r="AB31" s="13"/>
    </row>
    <row r="32" spans="1:28" ht="17.399999999999999" x14ac:dyDescent="0.35">
      <c r="A32" s="16"/>
      <c r="B32" s="17"/>
      <c r="C32" s="13"/>
      <c r="D32" s="13"/>
      <c r="E32" s="15"/>
      <c r="F32" s="13"/>
      <c r="G32" s="13"/>
      <c r="H32" s="6"/>
      <c r="I32" s="13"/>
      <c r="J32" s="13"/>
      <c r="K32" s="13"/>
      <c r="L32" s="13"/>
      <c r="M32" s="13"/>
      <c r="N32" s="13"/>
      <c r="O32" s="13"/>
      <c r="P32" s="13"/>
      <c r="Q32" s="13"/>
      <c r="R32" s="13"/>
      <c r="S32" s="13"/>
      <c r="T32" s="13"/>
      <c r="U32" s="13"/>
      <c r="V32" s="13"/>
      <c r="W32" s="13"/>
      <c r="X32" s="13"/>
      <c r="Y32" s="13"/>
      <c r="Z32" s="13"/>
      <c r="AA32" s="13"/>
      <c r="AB32" s="13"/>
    </row>
    <row r="33" spans="1:28" ht="17.399999999999999" x14ac:dyDescent="0.35">
      <c r="A33" s="16"/>
      <c r="B33" s="17"/>
      <c r="C33" s="13"/>
      <c r="D33" s="13"/>
      <c r="E33" s="15"/>
      <c r="F33" s="13"/>
      <c r="G33" s="13"/>
      <c r="H33" s="6"/>
      <c r="I33" s="13"/>
      <c r="J33" s="13"/>
      <c r="K33" s="13"/>
      <c r="L33" s="13"/>
      <c r="M33" s="13"/>
      <c r="N33" s="13"/>
      <c r="O33" s="13"/>
      <c r="P33" s="13"/>
      <c r="Q33" s="13"/>
      <c r="R33" s="13"/>
      <c r="S33" s="13"/>
      <c r="T33" s="13"/>
      <c r="U33" s="13"/>
      <c r="V33" s="13"/>
      <c r="W33" s="13"/>
      <c r="X33" s="13"/>
      <c r="Y33" s="13"/>
      <c r="Z33" s="13"/>
      <c r="AA33" s="13"/>
      <c r="AB33" s="13"/>
    </row>
    <row r="34" spans="1:28" ht="17.399999999999999" x14ac:dyDescent="0.35">
      <c r="A34" s="16"/>
      <c r="B34" s="17"/>
      <c r="C34" s="13"/>
      <c r="D34" s="13"/>
      <c r="E34" s="15"/>
      <c r="F34" s="13"/>
      <c r="G34" s="13"/>
      <c r="H34" s="6"/>
      <c r="I34" s="13"/>
      <c r="J34" s="13"/>
      <c r="K34" s="13"/>
      <c r="L34" s="13"/>
      <c r="M34" s="13"/>
      <c r="N34" s="13"/>
      <c r="O34" s="13"/>
      <c r="P34" s="13"/>
      <c r="Q34" s="13"/>
      <c r="R34" s="13"/>
      <c r="S34" s="13"/>
      <c r="T34" s="13"/>
      <c r="U34" s="13"/>
      <c r="V34" s="13"/>
      <c r="W34" s="13"/>
      <c r="X34" s="13"/>
      <c r="Y34" s="13"/>
      <c r="Z34" s="13"/>
      <c r="AA34" s="13"/>
      <c r="AB34" s="13"/>
    </row>
    <row r="35" spans="1:28" ht="17.399999999999999" x14ac:dyDescent="0.35">
      <c r="A35" s="16"/>
      <c r="B35" s="17"/>
      <c r="C35" s="13"/>
      <c r="D35" s="13"/>
      <c r="E35" s="15"/>
      <c r="F35" s="13"/>
      <c r="G35" s="13"/>
      <c r="H35" s="6"/>
      <c r="I35" s="13"/>
      <c r="J35" s="13"/>
      <c r="K35" s="13"/>
      <c r="L35" s="13"/>
      <c r="M35" s="13"/>
      <c r="N35" s="13"/>
      <c r="O35" s="13"/>
      <c r="P35" s="13"/>
      <c r="Q35" s="13"/>
      <c r="R35" s="13"/>
      <c r="S35" s="13"/>
      <c r="T35" s="13"/>
      <c r="U35" s="13"/>
      <c r="V35" s="13"/>
      <c r="W35" s="13"/>
      <c r="X35" s="13"/>
      <c r="Y35" s="13"/>
      <c r="Z35" s="13"/>
      <c r="AA35" s="13"/>
      <c r="AB35" s="13"/>
    </row>
    <row r="36" spans="1:28" ht="17.399999999999999" x14ac:dyDescent="0.35">
      <c r="A36" s="16"/>
      <c r="B36" s="17"/>
      <c r="C36" s="13"/>
      <c r="D36" s="13"/>
      <c r="E36" s="15"/>
      <c r="F36" s="13"/>
      <c r="G36" s="13"/>
      <c r="H36" s="6"/>
      <c r="I36" s="13"/>
      <c r="J36" s="13"/>
      <c r="K36" s="13"/>
      <c r="L36" s="13"/>
      <c r="M36" s="13"/>
      <c r="N36" s="13"/>
      <c r="O36" s="13"/>
      <c r="P36" s="13"/>
      <c r="Q36" s="13"/>
      <c r="R36" s="13"/>
      <c r="S36" s="13"/>
      <c r="T36" s="13"/>
      <c r="U36" s="13"/>
      <c r="V36" s="13"/>
      <c r="W36" s="13"/>
      <c r="X36" s="13"/>
      <c r="Y36" s="13"/>
      <c r="Z36" s="13"/>
      <c r="AA36" s="13"/>
      <c r="AB36" s="13"/>
    </row>
    <row r="37" spans="1:28" ht="17.399999999999999" x14ac:dyDescent="0.35">
      <c r="A37" s="16"/>
      <c r="B37" s="17"/>
      <c r="C37" s="13"/>
      <c r="D37" s="13"/>
      <c r="E37" s="15"/>
      <c r="F37" s="13"/>
      <c r="G37" s="13"/>
      <c r="H37" s="6"/>
      <c r="I37" s="13"/>
      <c r="J37" s="13"/>
      <c r="K37" s="13"/>
      <c r="L37" s="13"/>
      <c r="M37" s="13"/>
      <c r="N37" s="13"/>
      <c r="O37" s="13"/>
      <c r="P37" s="13"/>
      <c r="Q37" s="13"/>
      <c r="R37" s="13"/>
      <c r="S37" s="13"/>
      <c r="T37" s="13"/>
      <c r="U37" s="13"/>
      <c r="V37" s="13"/>
      <c r="W37" s="13"/>
      <c r="X37" s="13"/>
      <c r="Y37" s="13"/>
      <c r="Z37" s="13"/>
      <c r="AA37" s="13"/>
      <c r="AB37" s="13"/>
    </row>
    <row r="38" spans="1:28" ht="17.399999999999999" x14ac:dyDescent="0.35">
      <c r="A38" s="16"/>
      <c r="B38" s="17"/>
      <c r="C38" s="13"/>
      <c r="D38" s="13"/>
      <c r="E38" s="15"/>
      <c r="F38" s="13"/>
      <c r="G38" s="13"/>
      <c r="H38" s="6"/>
      <c r="I38" s="13"/>
      <c r="J38" s="13"/>
      <c r="K38" s="13"/>
      <c r="L38" s="13"/>
      <c r="M38" s="13"/>
      <c r="N38" s="13"/>
      <c r="O38" s="13"/>
      <c r="P38" s="13"/>
      <c r="Q38" s="13"/>
      <c r="R38" s="13"/>
      <c r="S38" s="13"/>
      <c r="T38" s="13"/>
      <c r="U38" s="13"/>
      <c r="V38" s="13"/>
      <c r="W38" s="13"/>
      <c r="X38" s="13"/>
      <c r="Y38" s="13"/>
      <c r="Z38" s="13"/>
      <c r="AA38" s="13"/>
      <c r="AB38" s="13"/>
    </row>
    <row r="39" spans="1:28" ht="17.399999999999999" x14ac:dyDescent="0.35">
      <c r="A39" s="16"/>
      <c r="B39" s="17"/>
      <c r="C39" s="13"/>
      <c r="D39" s="13"/>
      <c r="E39" s="15"/>
      <c r="F39" s="13"/>
      <c r="G39" s="13"/>
      <c r="H39" s="6"/>
      <c r="I39" s="13"/>
      <c r="J39" s="13"/>
      <c r="K39" s="13"/>
      <c r="L39" s="13"/>
      <c r="M39" s="13"/>
      <c r="N39" s="13"/>
      <c r="O39" s="13"/>
      <c r="P39" s="13"/>
      <c r="Q39" s="13"/>
      <c r="R39" s="13"/>
      <c r="S39" s="13"/>
      <c r="T39" s="13"/>
      <c r="U39" s="13"/>
      <c r="V39" s="13"/>
      <c r="W39" s="13"/>
      <c r="X39" s="13"/>
      <c r="Y39" s="13"/>
      <c r="Z39" s="13"/>
      <c r="AA39" s="13"/>
      <c r="AB39" s="13"/>
    </row>
    <row r="40" spans="1:28" ht="17.399999999999999" x14ac:dyDescent="0.35">
      <c r="A40" s="16"/>
      <c r="B40" s="17"/>
      <c r="C40" s="13"/>
      <c r="D40" s="13"/>
      <c r="E40" s="15"/>
      <c r="F40" s="13"/>
      <c r="G40" s="13"/>
      <c r="H40" s="6"/>
      <c r="I40" s="13"/>
      <c r="J40" s="13"/>
      <c r="K40" s="13"/>
      <c r="L40" s="13"/>
      <c r="M40" s="13"/>
      <c r="N40" s="13"/>
      <c r="O40" s="13"/>
      <c r="P40" s="13"/>
      <c r="Q40" s="13"/>
      <c r="R40" s="13"/>
      <c r="S40" s="13"/>
      <c r="T40" s="13"/>
      <c r="U40" s="13"/>
      <c r="V40" s="13"/>
      <c r="W40" s="13"/>
      <c r="X40" s="13"/>
      <c r="Y40" s="13"/>
      <c r="Z40" s="13"/>
      <c r="AA40" s="13"/>
      <c r="AB40" s="13"/>
    </row>
    <row r="41" spans="1:28" ht="17.399999999999999" x14ac:dyDescent="0.35">
      <c r="A41" s="16"/>
      <c r="B41" s="17"/>
      <c r="C41" s="13"/>
      <c r="D41" s="13"/>
      <c r="E41" s="15"/>
      <c r="F41" s="13"/>
      <c r="G41" s="13"/>
      <c r="H41" s="6"/>
      <c r="I41" s="13"/>
      <c r="J41" s="13"/>
      <c r="K41" s="13"/>
      <c r="L41" s="13"/>
      <c r="M41" s="13"/>
      <c r="N41" s="13"/>
      <c r="O41" s="13"/>
      <c r="P41" s="13"/>
      <c r="Q41" s="13"/>
      <c r="R41" s="13"/>
      <c r="S41" s="13"/>
      <c r="T41" s="13"/>
      <c r="U41" s="13"/>
      <c r="V41" s="13"/>
      <c r="W41" s="13"/>
      <c r="X41" s="13"/>
      <c r="Y41" s="13"/>
      <c r="Z41" s="13"/>
      <c r="AA41" s="13"/>
      <c r="AB41" s="13"/>
    </row>
    <row r="42" spans="1:28" ht="17.399999999999999" x14ac:dyDescent="0.35">
      <c r="A42" s="16"/>
      <c r="B42" s="17"/>
      <c r="C42" s="13"/>
      <c r="D42" s="13"/>
      <c r="E42" s="15"/>
      <c r="F42" s="13"/>
      <c r="G42" s="13"/>
      <c r="H42" s="6"/>
      <c r="I42" s="13"/>
      <c r="J42" s="13"/>
      <c r="K42" s="13"/>
      <c r="L42" s="13"/>
      <c r="M42" s="13"/>
      <c r="N42" s="13"/>
      <c r="O42" s="13"/>
      <c r="P42" s="13"/>
      <c r="Q42" s="13"/>
      <c r="R42" s="13"/>
      <c r="S42" s="13"/>
      <c r="T42" s="13"/>
      <c r="U42" s="13"/>
      <c r="V42" s="13"/>
      <c r="W42" s="13"/>
      <c r="X42" s="13"/>
      <c r="Y42" s="13"/>
      <c r="Z42" s="13"/>
      <c r="AA42" s="13"/>
      <c r="AB42" s="13"/>
    </row>
    <row r="43" spans="1:28" ht="17.399999999999999" x14ac:dyDescent="0.35">
      <c r="A43" s="16"/>
      <c r="B43" s="17"/>
      <c r="C43" s="13"/>
      <c r="D43" s="13"/>
      <c r="E43" s="15"/>
      <c r="F43" s="13"/>
      <c r="G43" s="13"/>
      <c r="H43" s="6"/>
      <c r="I43" s="13"/>
      <c r="J43" s="13"/>
      <c r="K43" s="13"/>
      <c r="L43" s="13"/>
      <c r="M43" s="13"/>
      <c r="N43" s="13"/>
      <c r="O43" s="13"/>
      <c r="P43" s="13"/>
      <c r="Q43" s="13"/>
      <c r="R43" s="13"/>
      <c r="S43" s="13"/>
      <c r="T43" s="13"/>
      <c r="U43" s="13"/>
      <c r="V43" s="13"/>
      <c r="W43" s="13"/>
      <c r="X43" s="13"/>
      <c r="Y43" s="13"/>
      <c r="Z43" s="13"/>
      <c r="AA43" s="13"/>
      <c r="AB43" s="13"/>
    </row>
    <row r="44" spans="1:28" ht="17.399999999999999" x14ac:dyDescent="0.35">
      <c r="A44" s="16"/>
      <c r="B44" s="17"/>
      <c r="C44" s="13"/>
      <c r="D44" s="13"/>
      <c r="E44" s="15"/>
      <c r="F44" s="13"/>
      <c r="G44" s="13"/>
      <c r="H44" s="6"/>
      <c r="I44" s="13"/>
      <c r="J44" s="13"/>
      <c r="K44" s="13"/>
      <c r="L44" s="13"/>
      <c r="M44" s="13"/>
      <c r="N44" s="13"/>
      <c r="O44" s="13"/>
      <c r="P44" s="13"/>
      <c r="Q44" s="13"/>
      <c r="R44" s="13"/>
      <c r="S44" s="13"/>
      <c r="T44" s="13"/>
      <c r="U44" s="13"/>
      <c r="V44" s="13"/>
      <c r="W44" s="13"/>
      <c r="X44" s="13"/>
      <c r="Y44" s="13"/>
      <c r="Z44" s="13"/>
      <c r="AA44" s="13"/>
      <c r="AB44" s="13"/>
    </row>
    <row r="45" spans="1:28" ht="17.399999999999999" x14ac:dyDescent="0.35">
      <c r="A45" s="16"/>
      <c r="B45" s="17"/>
      <c r="C45" s="13"/>
      <c r="D45" s="13"/>
      <c r="E45" s="15"/>
      <c r="F45" s="13"/>
      <c r="G45" s="13"/>
      <c r="H45" s="6"/>
      <c r="I45" s="13"/>
      <c r="J45" s="13"/>
      <c r="K45" s="13"/>
      <c r="L45" s="13"/>
      <c r="M45" s="13"/>
      <c r="N45" s="13"/>
      <c r="O45" s="13"/>
      <c r="P45" s="13"/>
      <c r="Q45" s="13"/>
      <c r="R45" s="13"/>
      <c r="S45" s="13"/>
      <c r="T45" s="13"/>
      <c r="U45" s="13"/>
      <c r="V45" s="13"/>
      <c r="W45" s="13"/>
      <c r="X45" s="13"/>
      <c r="Y45" s="13"/>
      <c r="Z45" s="13"/>
      <c r="AA45" s="13"/>
      <c r="AB45" s="13"/>
    </row>
    <row r="46" spans="1:28" ht="17.399999999999999" x14ac:dyDescent="0.35">
      <c r="A46" s="16"/>
      <c r="B46" s="17"/>
      <c r="C46" s="13"/>
      <c r="D46" s="13"/>
      <c r="E46" s="15"/>
      <c r="F46" s="13"/>
      <c r="G46" s="13"/>
      <c r="H46" s="6"/>
      <c r="I46" s="13"/>
      <c r="J46" s="13"/>
      <c r="K46" s="13"/>
      <c r="L46" s="13"/>
      <c r="M46" s="13"/>
      <c r="N46" s="13"/>
      <c r="O46" s="13"/>
      <c r="P46" s="13"/>
      <c r="Q46" s="13"/>
      <c r="R46" s="13"/>
      <c r="S46" s="13"/>
      <c r="T46" s="13"/>
      <c r="U46" s="13"/>
      <c r="V46" s="13"/>
      <c r="W46" s="13"/>
      <c r="X46" s="13"/>
      <c r="Y46" s="13"/>
      <c r="Z46" s="13"/>
      <c r="AA46" s="13"/>
      <c r="AB46" s="13"/>
    </row>
    <row r="47" spans="1:28" ht="17.399999999999999" x14ac:dyDescent="0.35">
      <c r="A47" s="16"/>
      <c r="B47" s="17"/>
      <c r="C47" s="13"/>
      <c r="D47" s="13"/>
      <c r="E47" s="15"/>
      <c r="F47" s="13"/>
      <c r="G47" s="13"/>
      <c r="H47" s="6"/>
      <c r="I47" s="13"/>
      <c r="J47" s="13"/>
      <c r="K47" s="13"/>
      <c r="L47" s="13"/>
      <c r="M47" s="13"/>
      <c r="N47" s="13"/>
      <c r="O47" s="13"/>
      <c r="P47" s="13"/>
      <c r="Q47" s="13"/>
      <c r="R47" s="13"/>
      <c r="S47" s="13"/>
      <c r="T47" s="13"/>
      <c r="U47" s="13"/>
      <c r="V47" s="13"/>
      <c r="W47" s="13"/>
      <c r="X47" s="13"/>
      <c r="Y47" s="13"/>
      <c r="Z47" s="13"/>
      <c r="AA47" s="13"/>
      <c r="AB47" s="13"/>
    </row>
    <row r="48" spans="1:28" ht="17.399999999999999" x14ac:dyDescent="0.35">
      <c r="A48" s="16"/>
      <c r="B48" s="17"/>
      <c r="C48" s="13"/>
      <c r="D48" s="13"/>
      <c r="E48" s="15"/>
      <c r="F48" s="13"/>
      <c r="G48" s="13"/>
      <c r="H48" s="6"/>
      <c r="I48" s="13"/>
      <c r="J48" s="13"/>
      <c r="K48" s="13"/>
      <c r="L48" s="13"/>
      <c r="M48" s="13"/>
      <c r="N48" s="13"/>
      <c r="O48" s="13"/>
      <c r="P48" s="13"/>
      <c r="Q48" s="13"/>
      <c r="R48" s="13"/>
      <c r="S48" s="13"/>
      <c r="T48" s="13"/>
      <c r="U48" s="13"/>
      <c r="V48" s="13"/>
      <c r="W48" s="13"/>
      <c r="X48" s="13"/>
      <c r="Y48" s="13"/>
      <c r="Z48" s="13"/>
      <c r="AA48" s="13"/>
      <c r="AB48" s="13"/>
    </row>
    <row r="49" spans="1:28" ht="17.399999999999999" x14ac:dyDescent="0.35">
      <c r="A49" s="16"/>
      <c r="B49" s="17"/>
      <c r="C49" s="13"/>
      <c r="D49" s="13"/>
      <c r="E49" s="15"/>
      <c r="F49" s="13"/>
      <c r="G49" s="13"/>
      <c r="H49" s="6"/>
      <c r="I49" s="13"/>
      <c r="J49" s="13"/>
      <c r="K49" s="13"/>
      <c r="L49" s="13"/>
      <c r="M49" s="13"/>
      <c r="N49" s="13"/>
      <c r="O49" s="13"/>
      <c r="P49" s="13"/>
      <c r="Q49" s="13"/>
      <c r="R49" s="13"/>
      <c r="S49" s="13"/>
      <c r="T49" s="13"/>
      <c r="U49" s="13"/>
      <c r="V49" s="13"/>
      <c r="W49" s="13"/>
      <c r="X49" s="13"/>
      <c r="Y49" s="13"/>
      <c r="Z49" s="13"/>
      <c r="AA49" s="13"/>
      <c r="AB49" s="13"/>
    </row>
    <row r="50" spans="1:28" ht="17.399999999999999" x14ac:dyDescent="0.35">
      <c r="A50" s="16"/>
      <c r="B50" s="17"/>
      <c r="C50" s="13"/>
      <c r="D50" s="13"/>
      <c r="E50" s="15"/>
      <c r="F50" s="13"/>
      <c r="G50" s="13"/>
      <c r="H50" s="6"/>
      <c r="I50" s="13"/>
      <c r="J50" s="13"/>
      <c r="K50" s="13"/>
      <c r="L50" s="13"/>
      <c r="M50" s="13"/>
      <c r="N50" s="13"/>
      <c r="O50" s="13"/>
      <c r="P50" s="13"/>
      <c r="Q50" s="13"/>
      <c r="R50" s="13"/>
      <c r="S50" s="13"/>
      <c r="T50" s="13"/>
      <c r="U50" s="13"/>
      <c r="V50" s="13"/>
      <c r="W50" s="13"/>
      <c r="X50" s="13"/>
      <c r="Y50" s="13"/>
      <c r="Z50" s="13"/>
      <c r="AA50" s="13"/>
      <c r="AB50" s="13"/>
    </row>
    <row r="51" spans="1:28" ht="17.399999999999999" x14ac:dyDescent="0.35">
      <c r="A51" s="16"/>
      <c r="B51" s="17"/>
      <c r="C51" s="13"/>
      <c r="D51" s="13"/>
      <c r="E51" s="15"/>
      <c r="F51" s="13"/>
      <c r="G51" s="13"/>
      <c r="H51" s="6"/>
      <c r="I51" s="13"/>
      <c r="J51" s="13"/>
      <c r="K51" s="13"/>
      <c r="L51" s="13"/>
      <c r="M51" s="13"/>
      <c r="N51" s="13"/>
      <c r="O51" s="13"/>
      <c r="P51" s="13"/>
      <c r="Q51" s="13"/>
      <c r="R51" s="13"/>
      <c r="S51" s="13"/>
      <c r="T51" s="13"/>
      <c r="U51" s="13"/>
      <c r="V51" s="13"/>
      <c r="W51" s="13"/>
      <c r="X51" s="13"/>
      <c r="Y51" s="13"/>
      <c r="Z51" s="13"/>
      <c r="AA51" s="13"/>
      <c r="AB51" s="13"/>
    </row>
    <row r="52" spans="1:28" ht="17.399999999999999" x14ac:dyDescent="0.35">
      <c r="A52" s="16"/>
      <c r="B52" s="17"/>
      <c r="C52" s="13"/>
      <c r="D52" s="13"/>
      <c r="E52" s="15"/>
      <c r="F52" s="13"/>
      <c r="G52" s="13"/>
      <c r="H52" s="6"/>
      <c r="I52" s="13"/>
      <c r="J52" s="13"/>
      <c r="K52" s="13"/>
      <c r="L52" s="13"/>
      <c r="M52" s="13"/>
      <c r="N52" s="13"/>
      <c r="O52" s="13"/>
      <c r="P52" s="13"/>
      <c r="Q52" s="13"/>
      <c r="R52" s="13"/>
      <c r="S52" s="13"/>
      <c r="T52" s="13"/>
      <c r="U52" s="13"/>
      <c r="V52" s="13"/>
      <c r="W52" s="13"/>
      <c r="X52" s="13"/>
      <c r="Y52" s="13"/>
      <c r="Z52" s="13"/>
      <c r="AA52" s="13"/>
      <c r="AB52" s="13"/>
    </row>
    <row r="53" spans="1:28" ht="17.399999999999999" x14ac:dyDescent="0.35">
      <c r="A53" s="16"/>
      <c r="B53" s="17"/>
      <c r="C53" s="13"/>
      <c r="D53" s="13"/>
      <c r="E53" s="15"/>
      <c r="F53" s="13"/>
      <c r="G53" s="13"/>
      <c r="H53" s="6"/>
      <c r="I53" s="13"/>
      <c r="J53" s="13"/>
      <c r="K53" s="13"/>
      <c r="L53" s="13"/>
      <c r="M53" s="13"/>
      <c r="N53" s="13"/>
      <c r="O53" s="13"/>
      <c r="P53" s="13"/>
      <c r="Q53" s="13"/>
      <c r="R53" s="13"/>
      <c r="S53" s="13"/>
      <c r="T53" s="13"/>
      <c r="U53" s="13"/>
      <c r="V53" s="13"/>
      <c r="W53" s="13"/>
      <c r="X53" s="13"/>
      <c r="Y53" s="13"/>
      <c r="Z53" s="13"/>
      <c r="AA53" s="13"/>
      <c r="AB53" s="13"/>
    </row>
    <row r="54" spans="1:28" ht="17.399999999999999" x14ac:dyDescent="0.35">
      <c r="A54" s="16"/>
      <c r="B54" s="17"/>
      <c r="C54" s="13"/>
      <c r="D54" s="13"/>
      <c r="E54" s="15"/>
      <c r="F54" s="13"/>
      <c r="G54" s="13"/>
      <c r="H54" s="6"/>
      <c r="I54" s="13"/>
      <c r="J54" s="13"/>
      <c r="K54" s="13"/>
      <c r="L54" s="13"/>
      <c r="M54" s="13"/>
      <c r="N54" s="13"/>
      <c r="O54" s="13"/>
      <c r="P54" s="13"/>
      <c r="Q54" s="13"/>
      <c r="R54" s="13"/>
      <c r="S54" s="13"/>
      <c r="T54" s="13"/>
      <c r="U54" s="13"/>
      <c r="V54" s="13"/>
      <c r="W54" s="13"/>
      <c r="X54" s="13"/>
      <c r="Y54" s="13"/>
      <c r="Z54" s="13"/>
      <c r="AA54" s="13"/>
      <c r="AB54" s="13"/>
    </row>
    <row r="55" spans="1:28" ht="17.399999999999999" x14ac:dyDescent="0.35">
      <c r="A55" s="16"/>
      <c r="B55" s="17"/>
      <c r="C55" s="13"/>
      <c r="D55" s="13"/>
      <c r="E55" s="15"/>
      <c r="F55" s="13"/>
      <c r="G55" s="13"/>
      <c r="H55" s="6"/>
      <c r="I55" s="13"/>
      <c r="J55" s="13"/>
      <c r="K55" s="13"/>
      <c r="L55" s="13"/>
      <c r="M55" s="13"/>
      <c r="N55" s="13"/>
      <c r="O55" s="13"/>
      <c r="P55" s="13"/>
      <c r="Q55" s="13"/>
      <c r="R55" s="13"/>
      <c r="S55" s="13"/>
      <c r="T55" s="13"/>
      <c r="U55" s="13"/>
      <c r="V55" s="13"/>
      <c r="W55" s="13"/>
      <c r="X55" s="13"/>
      <c r="Y55" s="13"/>
      <c r="Z55" s="13"/>
      <c r="AA55" s="13"/>
      <c r="AB55" s="13"/>
    </row>
    <row r="56" spans="1:28" ht="17.399999999999999" x14ac:dyDescent="0.35">
      <c r="A56" s="16"/>
      <c r="B56" s="17"/>
      <c r="C56" s="13"/>
      <c r="D56" s="13"/>
      <c r="E56" s="15"/>
      <c r="F56" s="13"/>
      <c r="G56" s="13"/>
      <c r="H56" s="6"/>
      <c r="I56" s="13"/>
      <c r="J56" s="13"/>
      <c r="K56" s="13"/>
      <c r="L56" s="13"/>
      <c r="M56" s="13"/>
      <c r="N56" s="13"/>
      <c r="O56" s="13"/>
      <c r="P56" s="13"/>
      <c r="Q56" s="13"/>
      <c r="R56" s="13"/>
      <c r="S56" s="13"/>
      <c r="T56" s="13"/>
      <c r="U56" s="13"/>
      <c r="V56" s="13"/>
      <c r="W56" s="13"/>
      <c r="X56" s="13"/>
      <c r="Y56" s="13"/>
      <c r="Z56" s="13"/>
      <c r="AA56" s="13"/>
      <c r="AB56" s="13"/>
    </row>
    <row r="57" spans="1:28" ht="17.399999999999999" x14ac:dyDescent="0.35">
      <c r="A57" s="16"/>
      <c r="B57" s="17"/>
      <c r="C57" s="13"/>
      <c r="D57" s="13"/>
      <c r="E57" s="15"/>
      <c r="F57" s="13"/>
      <c r="G57" s="13"/>
      <c r="H57" s="6"/>
      <c r="I57" s="13"/>
      <c r="J57" s="13"/>
      <c r="K57" s="13"/>
      <c r="L57" s="13"/>
      <c r="M57" s="13"/>
      <c r="N57" s="13"/>
      <c r="O57" s="13"/>
      <c r="P57" s="13"/>
      <c r="Q57" s="13"/>
      <c r="R57" s="13"/>
      <c r="S57" s="13"/>
      <c r="T57" s="13"/>
      <c r="U57" s="13"/>
      <c r="V57" s="13"/>
      <c r="W57" s="13"/>
      <c r="X57" s="13"/>
      <c r="Y57" s="13"/>
      <c r="Z57" s="13"/>
      <c r="AA57" s="13"/>
      <c r="AB57" s="13"/>
    </row>
    <row r="58" spans="1:28" ht="17.399999999999999" x14ac:dyDescent="0.35">
      <c r="A58" s="16"/>
      <c r="B58" s="17"/>
      <c r="C58" s="13"/>
      <c r="D58" s="13"/>
      <c r="E58" s="15"/>
      <c r="F58" s="13"/>
      <c r="G58" s="13"/>
      <c r="H58" s="6"/>
      <c r="I58" s="13"/>
      <c r="J58" s="13"/>
      <c r="K58" s="13"/>
      <c r="L58" s="13"/>
      <c r="M58" s="13"/>
      <c r="N58" s="13"/>
      <c r="O58" s="13"/>
      <c r="P58" s="13"/>
      <c r="Q58" s="13"/>
      <c r="R58" s="13"/>
      <c r="S58" s="13"/>
      <c r="T58" s="13"/>
      <c r="U58" s="13"/>
      <c r="V58" s="13"/>
      <c r="W58" s="13"/>
      <c r="X58" s="13"/>
      <c r="Y58" s="13"/>
      <c r="Z58" s="13"/>
      <c r="AA58" s="13"/>
      <c r="AB58" s="13"/>
    </row>
    <row r="59" spans="1:28" ht="17.399999999999999" x14ac:dyDescent="0.35">
      <c r="A59" s="16"/>
      <c r="B59" s="17"/>
      <c r="C59" s="13"/>
      <c r="D59" s="13"/>
      <c r="E59" s="15"/>
      <c r="F59" s="13"/>
      <c r="G59" s="13"/>
      <c r="H59" s="6"/>
      <c r="I59" s="13"/>
      <c r="J59" s="13"/>
      <c r="K59" s="13"/>
      <c r="L59" s="13"/>
      <c r="M59" s="13"/>
      <c r="N59" s="13"/>
      <c r="O59" s="13"/>
      <c r="P59" s="13"/>
      <c r="Q59" s="13"/>
      <c r="R59" s="13"/>
      <c r="S59" s="13"/>
      <c r="T59" s="13"/>
      <c r="U59" s="13"/>
      <c r="V59" s="13"/>
      <c r="W59" s="13"/>
      <c r="X59" s="13"/>
      <c r="Y59" s="13"/>
      <c r="Z59" s="13"/>
      <c r="AA59" s="13"/>
      <c r="AB59" s="13"/>
    </row>
    <row r="60" spans="1:28" ht="17.399999999999999" x14ac:dyDescent="0.35">
      <c r="A60" s="16"/>
      <c r="B60" s="17"/>
      <c r="C60" s="13"/>
      <c r="D60" s="13"/>
      <c r="E60" s="15"/>
      <c r="F60" s="13"/>
      <c r="G60" s="13"/>
      <c r="H60" s="6"/>
      <c r="I60" s="13"/>
      <c r="J60" s="13"/>
      <c r="K60" s="13"/>
      <c r="L60" s="13"/>
      <c r="M60" s="13"/>
      <c r="N60" s="13"/>
      <c r="O60" s="13"/>
      <c r="P60" s="13"/>
      <c r="Q60" s="13"/>
      <c r="R60" s="13"/>
      <c r="S60" s="13"/>
      <c r="T60" s="13"/>
      <c r="U60" s="13"/>
      <c r="V60" s="13"/>
      <c r="W60" s="13"/>
      <c r="X60" s="13"/>
      <c r="Y60" s="13"/>
      <c r="Z60" s="13"/>
      <c r="AA60" s="13"/>
      <c r="AB60" s="13"/>
    </row>
    <row r="61" spans="1:28" ht="17.399999999999999" x14ac:dyDescent="0.35">
      <c r="A61" s="16"/>
      <c r="B61" s="17"/>
      <c r="C61" s="13"/>
      <c r="D61" s="13"/>
      <c r="E61" s="15"/>
      <c r="F61" s="13"/>
      <c r="G61" s="13"/>
      <c r="H61" s="6"/>
      <c r="I61" s="13"/>
      <c r="J61" s="13"/>
      <c r="K61" s="13"/>
      <c r="L61" s="13"/>
      <c r="M61" s="13"/>
      <c r="N61" s="13"/>
      <c r="O61" s="13"/>
      <c r="P61" s="13"/>
      <c r="Q61" s="13"/>
      <c r="R61" s="13"/>
      <c r="S61" s="13"/>
      <c r="T61" s="13"/>
      <c r="U61" s="13"/>
      <c r="V61" s="13"/>
      <c r="W61" s="13"/>
      <c r="X61" s="13"/>
      <c r="Y61" s="13"/>
      <c r="Z61" s="13"/>
      <c r="AA61" s="13"/>
      <c r="AB61" s="13"/>
    </row>
    <row r="62" spans="1:28" ht="17.399999999999999" x14ac:dyDescent="0.35">
      <c r="A62" s="16"/>
      <c r="B62" s="17"/>
      <c r="C62" s="13"/>
      <c r="D62" s="13"/>
      <c r="E62" s="15"/>
      <c r="F62" s="13"/>
      <c r="G62" s="13"/>
      <c r="H62" s="6"/>
      <c r="I62" s="13"/>
      <c r="J62" s="13"/>
      <c r="K62" s="13"/>
      <c r="L62" s="13"/>
      <c r="M62" s="13"/>
      <c r="N62" s="13"/>
      <c r="O62" s="13"/>
      <c r="P62" s="13"/>
      <c r="Q62" s="13"/>
      <c r="R62" s="13"/>
      <c r="S62" s="13"/>
      <c r="T62" s="13"/>
      <c r="U62" s="13"/>
      <c r="V62" s="13"/>
      <c r="W62" s="13"/>
      <c r="X62" s="13"/>
      <c r="Y62" s="13"/>
      <c r="Z62" s="13"/>
      <c r="AA62" s="13"/>
      <c r="AB62" s="13"/>
    </row>
    <row r="63" spans="1:28" ht="17.399999999999999" x14ac:dyDescent="0.35">
      <c r="A63" s="16"/>
      <c r="B63" s="17"/>
      <c r="C63" s="13"/>
      <c r="D63" s="13"/>
      <c r="E63" s="15"/>
      <c r="F63" s="13"/>
      <c r="G63" s="13"/>
      <c r="H63" s="6"/>
      <c r="I63" s="13"/>
      <c r="J63" s="13"/>
      <c r="K63" s="13"/>
      <c r="L63" s="13"/>
      <c r="M63" s="13"/>
      <c r="N63" s="13"/>
      <c r="O63" s="13"/>
      <c r="P63" s="13"/>
      <c r="Q63" s="13"/>
      <c r="R63" s="13"/>
      <c r="S63" s="13"/>
      <c r="T63" s="13"/>
      <c r="U63" s="13"/>
      <c r="V63" s="13"/>
      <c r="W63" s="13"/>
      <c r="X63" s="13"/>
      <c r="Y63" s="13"/>
      <c r="Z63" s="13"/>
      <c r="AA63" s="13"/>
      <c r="AB63" s="13"/>
    </row>
    <row r="64" spans="1:28" ht="17.399999999999999" x14ac:dyDescent="0.35">
      <c r="A64" s="16"/>
      <c r="B64" s="17"/>
      <c r="C64" s="13"/>
      <c r="D64" s="13"/>
      <c r="E64" s="15"/>
      <c r="F64" s="13"/>
      <c r="G64" s="13"/>
      <c r="H64" s="6"/>
      <c r="I64" s="13"/>
      <c r="J64" s="13"/>
      <c r="K64" s="13"/>
      <c r="L64" s="13"/>
      <c r="M64" s="13"/>
      <c r="N64" s="13"/>
      <c r="O64" s="13"/>
      <c r="P64" s="13"/>
      <c r="Q64" s="13"/>
      <c r="R64" s="13"/>
      <c r="S64" s="13"/>
      <c r="T64" s="13"/>
      <c r="U64" s="13"/>
      <c r="V64" s="13"/>
      <c r="W64" s="13"/>
      <c r="X64" s="13"/>
      <c r="Y64" s="13"/>
      <c r="Z64" s="13"/>
      <c r="AA64" s="13"/>
      <c r="AB64" s="13"/>
    </row>
    <row r="65" spans="1:28" ht="17.399999999999999" x14ac:dyDescent="0.35">
      <c r="A65" s="16"/>
      <c r="B65" s="17"/>
      <c r="C65" s="13"/>
      <c r="D65" s="13"/>
      <c r="E65" s="15"/>
      <c r="F65" s="13"/>
      <c r="G65" s="13"/>
      <c r="H65" s="6"/>
      <c r="I65" s="13"/>
      <c r="J65" s="13"/>
      <c r="K65" s="13"/>
      <c r="L65" s="13"/>
      <c r="M65" s="13"/>
      <c r="N65" s="13"/>
      <c r="O65" s="13"/>
      <c r="P65" s="13"/>
      <c r="Q65" s="13"/>
      <c r="R65" s="13"/>
      <c r="S65" s="13"/>
      <c r="T65" s="13"/>
      <c r="U65" s="13"/>
      <c r="V65" s="13"/>
      <c r="W65" s="13"/>
      <c r="X65" s="13"/>
      <c r="Y65" s="13"/>
      <c r="Z65" s="13"/>
      <c r="AA65" s="13"/>
      <c r="AB65" s="13"/>
    </row>
    <row r="66" spans="1:28" ht="17.399999999999999" x14ac:dyDescent="0.35">
      <c r="A66" s="16"/>
      <c r="B66" s="17"/>
      <c r="C66" s="13"/>
      <c r="D66" s="13"/>
      <c r="E66" s="15"/>
      <c r="F66" s="13"/>
      <c r="G66" s="13"/>
      <c r="H66" s="6"/>
      <c r="I66" s="13"/>
      <c r="J66" s="13"/>
      <c r="K66" s="13"/>
      <c r="L66" s="13"/>
      <c r="M66" s="13"/>
      <c r="N66" s="13"/>
      <c r="O66" s="13"/>
      <c r="P66" s="13"/>
      <c r="Q66" s="13"/>
      <c r="R66" s="13"/>
      <c r="S66" s="13"/>
      <c r="T66" s="13"/>
      <c r="U66" s="13"/>
      <c r="V66" s="13"/>
      <c r="W66" s="13"/>
      <c r="X66" s="13"/>
      <c r="Y66" s="13"/>
      <c r="Z66" s="13"/>
      <c r="AA66" s="13"/>
      <c r="AB66" s="13"/>
    </row>
    <row r="67" spans="1:28" ht="17.399999999999999" x14ac:dyDescent="0.35">
      <c r="A67" s="16"/>
      <c r="B67" s="17"/>
      <c r="C67" s="13"/>
      <c r="D67" s="13"/>
      <c r="E67" s="15"/>
      <c r="F67" s="13"/>
      <c r="G67" s="13"/>
      <c r="H67" s="6"/>
      <c r="I67" s="13"/>
      <c r="J67" s="13"/>
      <c r="K67" s="13"/>
      <c r="L67" s="13"/>
      <c r="M67" s="13"/>
      <c r="N67" s="13"/>
      <c r="O67" s="13"/>
      <c r="P67" s="13"/>
      <c r="Q67" s="13"/>
      <c r="R67" s="13"/>
      <c r="S67" s="13"/>
      <c r="T67" s="13"/>
      <c r="U67" s="13"/>
      <c r="V67" s="13"/>
      <c r="W67" s="13"/>
      <c r="X67" s="13"/>
      <c r="Y67" s="13"/>
      <c r="Z67" s="13"/>
      <c r="AA67" s="13"/>
      <c r="AB67" s="13"/>
    </row>
    <row r="68" spans="1:28" ht="17.399999999999999" x14ac:dyDescent="0.35">
      <c r="A68" s="16"/>
      <c r="B68" s="17"/>
      <c r="C68" s="13"/>
      <c r="D68" s="13"/>
      <c r="E68" s="15"/>
      <c r="F68" s="13"/>
      <c r="G68" s="13"/>
      <c r="H68" s="6"/>
      <c r="I68" s="13"/>
      <c r="J68" s="13"/>
      <c r="K68" s="13"/>
      <c r="L68" s="13"/>
      <c r="M68" s="13"/>
      <c r="N68" s="13"/>
      <c r="O68" s="13"/>
      <c r="P68" s="13"/>
      <c r="Q68" s="13"/>
      <c r="R68" s="13"/>
      <c r="S68" s="13"/>
      <c r="T68" s="13"/>
      <c r="U68" s="13"/>
      <c r="V68" s="13"/>
      <c r="W68" s="13"/>
      <c r="X68" s="13"/>
      <c r="Y68" s="13"/>
      <c r="Z68" s="13"/>
      <c r="AA68" s="13"/>
      <c r="AB68" s="13"/>
    </row>
    <row r="69" spans="1:28" ht="17.399999999999999" x14ac:dyDescent="0.35">
      <c r="A69" s="16"/>
      <c r="B69" s="17"/>
      <c r="C69" s="13"/>
      <c r="D69" s="13"/>
      <c r="E69" s="15"/>
      <c r="F69" s="13"/>
      <c r="G69" s="13"/>
      <c r="H69" s="6"/>
      <c r="I69" s="13"/>
      <c r="J69" s="13"/>
      <c r="K69" s="13"/>
      <c r="L69" s="13"/>
      <c r="M69" s="13"/>
      <c r="N69" s="13"/>
      <c r="O69" s="13"/>
      <c r="P69" s="13"/>
      <c r="Q69" s="13"/>
      <c r="R69" s="13"/>
      <c r="S69" s="13"/>
      <c r="T69" s="13"/>
      <c r="U69" s="13"/>
      <c r="V69" s="13"/>
      <c r="W69" s="13"/>
      <c r="X69" s="13"/>
      <c r="Y69" s="13"/>
      <c r="Z69" s="13"/>
      <c r="AA69" s="13"/>
      <c r="AB69" s="13"/>
    </row>
    <row r="70" spans="1:28" ht="17.399999999999999" x14ac:dyDescent="0.35">
      <c r="A70" s="16"/>
      <c r="B70" s="17"/>
      <c r="C70" s="13"/>
      <c r="D70" s="13"/>
      <c r="E70" s="15"/>
      <c r="F70" s="13"/>
      <c r="G70" s="13"/>
      <c r="H70" s="6"/>
      <c r="I70" s="13"/>
      <c r="J70" s="13"/>
      <c r="K70" s="13"/>
      <c r="L70" s="13"/>
      <c r="M70" s="13"/>
      <c r="N70" s="13"/>
      <c r="O70" s="13"/>
      <c r="P70" s="13"/>
      <c r="Q70" s="13"/>
      <c r="R70" s="13"/>
      <c r="S70" s="13"/>
      <c r="T70" s="13"/>
      <c r="U70" s="13"/>
      <c r="V70" s="13"/>
      <c r="W70" s="13"/>
      <c r="X70" s="13"/>
      <c r="Y70" s="13"/>
      <c r="Z70" s="13"/>
      <c r="AA70" s="13"/>
      <c r="AB70" s="13"/>
    </row>
    <row r="71" spans="1:28" ht="17.399999999999999" x14ac:dyDescent="0.35">
      <c r="A71" s="16"/>
      <c r="B71" s="17"/>
      <c r="C71" s="13"/>
      <c r="D71" s="13"/>
      <c r="E71" s="15"/>
      <c r="F71" s="13"/>
      <c r="G71" s="13"/>
      <c r="H71" s="6"/>
      <c r="I71" s="13"/>
      <c r="J71" s="13"/>
      <c r="K71" s="13"/>
      <c r="L71" s="13"/>
      <c r="M71" s="13"/>
      <c r="N71" s="13"/>
      <c r="O71" s="13"/>
      <c r="P71" s="13"/>
      <c r="Q71" s="13"/>
      <c r="R71" s="13"/>
      <c r="S71" s="13"/>
      <c r="T71" s="13"/>
      <c r="U71" s="13"/>
      <c r="V71" s="13"/>
      <c r="W71" s="13"/>
      <c r="X71" s="13"/>
      <c r="Y71" s="13"/>
      <c r="Z71" s="13"/>
      <c r="AA71" s="13"/>
      <c r="AB71" s="13"/>
    </row>
    <row r="72" spans="1:28" ht="17.399999999999999" x14ac:dyDescent="0.35">
      <c r="A72" s="16"/>
      <c r="B72" s="17"/>
      <c r="C72" s="13"/>
      <c r="D72" s="13"/>
      <c r="E72" s="15"/>
      <c r="F72" s="13"/>
      <c r="G72" s="13"/>
      <c r="H72" s="6"/>
      <c r="I72" s="13"/>
      <c r="J72" s="13"/>
      <c r="K72" s="13"/>
      <c r="L72" s="13"/>
      <c r="M72" s="13"/>
      <c r="N72" s="13"/>
      <c r="O72" s="13"/>
      <c r="P72" s="13"/>
      <c r="Q72" s="13"/>
      <c r="R72" s="13"/>
      <c r="S72" s="13"/>
      <c r="T72" s="13"/>
      <c r="U72" s="13"/>
      <c r="V72" s="13"/>
      <c r="W72" s="13"/>
      <c r="X72" s="13"/>
      <c r="Y72" s="13"/>
      <c r="Z72" s="13"/>
      <c r="AA72" s="13"/>
      <c r="AB72" s="13"/>
    </row>
    <row r="73" spans="1:28" ht="17.399999999999999" x14ac:dyDescent="0.35">
      <c r="A73" s="16"/>
      <c r="B73" s="17"/>
      <c r="C73" s="13"/>
      <c r="D73" s="13"/>
      <c r="E73" s="15"/>
      <c r="F73" s="13"/>
      <c r="G73" s="13"/>
      <c r="H73" s="6"/>
      <c r="I73" s="13"/>
      <c r="J73" s="13"/>
      <c r="K73" s="13"/>
      <c r="L73" s="13"/>
      <c r="M73" s="13"/>
      <c r="N73" s="13"/>
      <c r="O73" s="13"/>
      <c r="P73" s="13"/>
      <c r="Q73" s="13"/>
      <c r="R73" s="13"/>
      <c r="S73" s="13"/>
      <c r="T73" s="13"/>
      <c r="U73" s="13"/>
      <c r="V73" s="13"/>
      <c r="W73" s="13"/>
      <c r="X73" s="13"/>
      <c r="Y73" s="13"/>
      <c r="Z73" s="13"/>
      <c r="AA73" s="13"/>
      <c r="AB73" s="13"/>
    </row>
    <row r="74" spans="1:28" ht="17.399999999999999" x14ac:dyDescent="0.35">
      <c r="A74" s="16"/>
      <c r="B74" s="17"/>
      <c r="C74" s="13"/>
      <c r="D74" s="13"/>
      <c r="E74" s="15"/>
      <c r="F74" s="13"/>
      <c r="G74" s="13"/>
      <c r="H74" s="6"/>
      <c r="I74" s="13"/>
      <c r="J74" s="13"/>
      <c r="K74" s="13"/>
      <c r="L74" s="13"/>
      <c r="M74" s="13"/>
      <c r="N74" s="13"/>
      <c r="O74" s="13"/>
      <c r="P74" s="13"/>
      <c r="Q74" s="13"/>
      <c r="R74" s="13"/>
      <c r="S74" s="13"/>
      <c r="T74" s="13"/>
      <c r="U74" s="13"/>
      <c r="V74" s="13"/>
      <c r="W74" s="13"/>
      <c r="X74" s="13"/>
      <c r="Y74" s="13"/>
      <c r="Z74" s="13"/>
      <c r="AA74" s="13"/>
      <c r="AB74" s="13"/>
    </row>
    <row r="75" spans="1:28" ht="17.399999999999999" x14ac:dyDescent="0.35">
      <c r="A75" s="16"/>
      <c r="B75" s="17"/>
      <c r="C75" s="13"/>
      <c r="D75" s="13"/>
      <c r="E75" s="15"/>
      <c r="F75" s="13"/>
      <c r="G75" s="13"/>
      <c r="H75" s="6"/>
      <c r="I75" s="13"/>
      <c r="J75" s="13"/>
      <c r="K75" s="13"/>
      <c r="L75" s="13"/>
      <c r="M75" s="13"/>
      <c r="N75" s="13"/>
      <c r="O75" s="13"/>
      <c r="P75" s="13"/>
      <c r="Q75" s="13"/>
      <c r="R75" s="13"/>
      <c r="S75" s="13"/>
      <c r="T75" s="13"/>
      <c r="U75" s="13"/>
      <c r="V75" s="13"/>
      <c r="W75" s="13"/>
      <c r="X75" s="13"/>
      <c r="Y75" s="13"/>
      <c r="Z75" s="13"/>
      <c r="AA75" s="13"/>
      <c r="AB75" s="13"/>
    </row>
    <row r="76" spans="1:28" ht="17.399999999999999" x14ac:dyDescent="0.35">
      <c r="A76" s="16"/>
      <c r="B76" s="17"/>
      <c r="C76" s="13"/>
      <c r="D76" s="13"/>
      <c r="E76" s="15"/>
      <c r="F76" s="13"/>
      <c r="G76" s="13"/>
      <c r="H76" s="6"/>
      <c r="I76" s="13"/>
      <c r="J76" s="13"/>
      <c r="K76" s="13"/>
      <c r="L76" s="13"/>
      <c r="M76" s="13"/>
      <c r="N76" s="13"/>
      <c r="O76" s="13"/>
      <c r="P76" s="13"/>
      <c r="Q76" s="13"/>
      <c r="R76" s="13"/>
      <c r="S76" s="13"/>
      <c r="T76" s="13"/>
      <c r="U76" s="13"/>
      <c r="V76" s="13"/>
      <c r="W76" s="13"/>
      <c r="X76" s="13"/>
      <c r="Y76" s="13"/>
      <c r="Z76" s="13"/>
      <c r="AA76" s="13"/>
      <c r="AB76" s="13"/>
    </row>
    <row r="77" spans="1:28" ht="17.399999999999999" x14ac:dyDescent="0.35">
      <c r="A77" s="16"/>
      <c r="B77" s="17"/>
      <c r="C77" s="13"/>
      <c r="D77" s="13"/>
      <c r="E77" s="15"/>
      <c r="F77" s="13"/>
      <c r="G77" s="13"/>
      <c r="H77" s="6"/>
      <c r="I77" s="13"/>
      <c r="J77" s="13"/>
      <c r="K77" s="13"/>
      <c r="L77" s="13"/>
      <c r="M77" s="13"/>
      <c r="N77" s="13"/>
      <c r="O77" s="13"/>
      <c r="P77" s="13"/>
      <c r="Q77" s="13"/>
      <c r="R77" s="13"/>
      <c r="S77" s="13"/>
      <c r="T77" s="13"/>
      <c r="U77" s="13"/>
      <c r="V77" s="13"/>
      <c r="W77" s="13"/>
      <c r="X77" s="13"/>
      <c r="Y77" s="13"/>
      <c r="Z77" s="13"/>
      <c r="AA77" s="13"/>
      <c r="AB77" s="13"/>
    </row>
    <row r="78" spans="1:28" ht="17.399999999999999" x14ac:dyDescent="0.35">
      <c r="A78" s="16"/>
      <c r="B78" s="17"/>
      <c r="C78" s="13"/>
      <c r="D78" s="13"/>
      <c r="E78" s="15"/>
      <c r="F78" s="13"/>
      <c r="G78" s="13"/>
      <c r="H78" s="6"/>
      <c r="I78" s="13"/>
      <c r="J78" s="13"/>
      <c r="K78" s="13"/>
      <c r="L78" s="13"/>
      <c r="M78" s="13"/>
      <c r="N78" s="13"/>
      <c r="O78" s="13"/>
      <c r="P78" s="13"/>
      <c r="Q78" s="13"/>
      <c r="R78" s="13"/>
      <c r="S78" s="13"/>
      <c r="T78" s="13"/>
      <c r="U78" s="13"/>
      <c r="V78" s="13"/>
      <c r="W78" s="13"/>
      <c r="X78" s="13"/>
      <c r="Y78" s="13"/>
      <c r="Z78" s="13"/>
      <c r="AA78" s="13"/>
      <c r="AB78" s="13"/>
    </row>
    <row r="79" spans="1:28" ht="17.399999999999999" x14ac:dyDescent="0.35">
      <c r="A79" s="16"/>
      <c r="B79" s="17"/>
      <c r="C79" s="13"/>
      <c r="D79" s="13"/>
      <c r="E79" s="15"/>
      <c r="F79" s="13"/>
      <c r="G79" s="13"/>
      <c r="H79" s="6"/>
      <c r="I79" s="13"/>
      <c r="J79" s="13"/>
      <c r="K79" s="13"/>
      <c r="L79" s="13"/>
      <c r="M79" s="13"/>
      <c r="N79" s="13"/>
      <c r="O79" s="13"/>
      <c r="P79" s="13"/>
      <c r="Q79" s="13"/>
      <c r="R79" s="13"/>
      <c r="S79" s="13"/>
      <c r="T79" s="13"/>
      <c r="U79" s="13"/>
      <c r="V79" s="13"/>
      <c r="W79" s="13"/>
      <c r="X79" s="13"/>
      <c r="Y79" s="13"/>
      <c r="Z79" s="13"/>
      <c r="AA79" s="13"/>
      <c r="AB79" s="13"/>
    </row>
    <row r="80" spans="1:28" ht="17.399999999999999" x14ac:dyDescent="0.35">
      <c r="A80" s="16"/>
      <c r="B80" s="17"/>
      <c r="C80" s="13"/>
      <c r="D80" s="13"/>
      <c r="E80" s="15"/>
      <c r="F80" s="13"/>
      <c r="G80" s="13"/>
      <c r="H80" s="6"/>
      <c r="I80" s="13"/>
      <c r="J80" s="13"/>
      <c r="K80" s="13"/>
      <c r="L80" s="13"/>
      <c r="M80" s="13"/>
      <c r="N80" s="13"/>
      <c r="O80" s="13"/>
      <c r="P80" s="13"/>
      <c r="Q80" s="13"/>
      <c r="R80" s="13"/>
      <c r="S80" s="13"/>
      <c r="T80" s="13"/>
      <c r="U80" s="13"/>
      <c r="V80" s="13"/>
      <c r="W80" s="13"/>
      <c r="X80" s="13"/>
      <c r="Y80" s="13"/>
      <c r="Z80" s="13"/>
      <c r="AA80" s="13"/>
      <c r="AB80" s="13"/>
    </row>
    <row r="81" spans="1:28" ht="17.399999999999999" x14ac:dyDescent="0.35">
      <c r="A81" s="16"/>
      <c r="B81" s="17"/>
      <c r="C81" s="13"/>
      <c r="D81" s="13"/>
      <c r="E81" s="15"/>
      <c r="F81" s="13"/>
      <c r="G81" s="13"/>
      <c r="H81" s="6"/>
      <c r="I81" s="13"/>
      <c r="J81" s="13"/>
      <c r="K81" s="13"/>
      <c r="L81" s="13"/>
      <c r="M81" s="13"/>
      <c r="N81" s="13"/>
      <c r="O81" s="13"/>
      <c r="P81" s="13"/>
      <c r="Q81" s="13"/>
      <c r="R81" s="13"/>
      <c r="S81" s="13"/>
      <c r="T81" s="13"/>
      <c r="U81" s="13"/>
      <c r="V81" s="13"/>
      <c r="W81" s="13"/>
      <c r="X81" s="13"/>
      <c r="Y81" s="13"/>
      <c r="Z81" s="13"/>
      <c r="AA81" s="13"/>
      <c r="AB81" s="13"/>
    </row>
    <row r="82" spans="1:28" ht="17.399999999999999" x14ac:dyDescent="0.35">
      <c r="A82" s="16"/>
      <c r="B82" s="17"/>
      <c r="C82" s="13"/>
      <c r="D82" s="13"/>
      <c r="E82" s="15"/>
      <c r="F82" s="13"/>
      <c r="G82" s="13"/>
      <c r="H82" s="6"/>
      <c r="I82" s="13"/>
      <c r="J82" s="13"/>
      <c r="K82" s="13"/>
      <c r="L82" s="13"/>
      <c r="M82" s="13"/>
      <c r="N82" s="13"/>
      <c r="O82" s="13"/>
      <c r="P82" s="13"/>
      <c r="Q82" s="13"/>
      <c r="R82" s="13"/>
      <c r="S82" s="13"/>
      <c r="T82" s="13"/>
      <c r="U82" s="13"/>
      <c r="V82" s="13"/>
      <c r="W82" s="13"/>
      <c r="X82" s="13"/>
      <c r="Y82" s="13"/>
      <c r="Z82" s="13"/>
      <c r="AA82" s="13"/>
      <c r="AB82" s="13"/>
    </row>
    <row r="83" spans="1:28" ht="17.399999999999999" x14ac:dyDescent="0.35">
      <c r="A83" s="16"/>
      <c r="B83" s="17"/>
      <c r="C83" s="13"/>
      <c r="D83" s="13"/>
      <c r="E83" s="15"/>
      <c r="F83" s="13"/>
      <c r="G83" s="13"/>
      <c r="H83" s="6"/>
      <c r="I83" s="13"/>
      <c r="J83" s="13"/>
      <c r="K83" s="13"/>
      <c r="L83" s="13"/>
      <c r="M83" s="13"/>
      <c r="N83" s="13"/>
      <c r="O83" s="13"/>
      <c r="P83" s="13"/>
      <c r="Q83" s="13"/>
      <c r="R83" s="13"/>
      <c r="S83" s="13"/>
      <c r="T83" s="13"/>
      <c r="U83" s="13"/>
      <c r="V83" s="13"/>
      <c r="W83" s="13"/>
      <c r="X83" s="13"/>
      <c r="Y83" s="13"/>
      <c r="Z83" s="13"/>
      <c r="AA83" s="13"/>
      <c r="AB83" s="13"/>
    </row>
    <row r="84" spans="1:28" ht="17.399999999999999" x14ac:dyDescent="0.35">
      <c r="A84" s="16"/>
      <c r="B84" s="17"/>
      <c r="C84" s="13"/>
      <c r="D84" s="13"/>
      <c r="E84" s="15"/>
      <c r="F84" s="13"/>
      <c r="G84" s="13"/>
      <c r="H84" s="6"/>
      <c r="I84" s="13"/>
      <c r="J84" s="13"/>
      <c r="K84" s="13"/>
      <c r="L84" s="13"/>
      <c r="M84" s="13"/>
      <c r="N84" s="13"/>
      <c r="O84" s="13"/>
      <c r="P84" s="13"/>
      <c r="Q84" s="13"/>
      <c r="R84" s="13"/>
      <c r="S84" s="13"/>
      <c r="T84" s="13"/>
      <c r="U84" s="13"/>
      <c r="V84" s="13"/>
      <c r="W84" s="13"/>
      <c r="X84" s="13"/>
      <c r="Y84" s="13"/>
      <c r="Z84" s="13"/>
      <c r="AA84" s="13"/>
      <c r="AB84" s="13"/>
    </row>
    <row r="85" spans="1:28" ht="17.399999999999999" x14ac:dyDescent="0.35">
      <c r="A85" s="16"/>
      <c r="B85" s="17"/>
      <c r="C85" s="13"/>
      <c r="D85" s="13"/>
      <c r="E85" s="15"/>
      <c r="F85" s="13"/>
      <c r="G85" s="13"/>
      <c r="H85" s="6"/>
      <c r="I85" s="13"/>
      <c r="J85" s="13"/>
      <c r="K85" s="13"/>
      <c r="L85" s="13"/>
      <c r="M85" s="13"/>
      <c r="N85" s="13"/>
      <c r="O85" s="13"/>
      <c r="P85" s="13"/>
      <c r="Q85" s="13"/>
      <c r="R85" s="13"/>
      <c r="S85" s="13"/>
      <c r="T85" s="13"/>
      <c r="U85" s="13"/>
      <c r="V85" s="13"/>
      <c r="W85" s="13"/>
      <c r="X85" s="13"/>
      <c r="Y85" s="13"/>
      <c r="Z85" s="13"/>
      <c r="AA85" s="13"/>
      <c r="AB85" s="13"/>
    </row>
    <row r="86" spans="1:28" ht="17.399999999999999" x14ac:dyDescent="0.35">
      <c r="A86" s="16"/>
      <c r="B86" s="17"/>
      <c r="C86" s="13"/>
      <c r="D86" s="13"/>
      <c r="E86" s="15"/>
      <c r="F86" s="13"/>
      <c r="G86" s="13"/>
      <c r="H86" s="6"/>
      <c r="I86" s="13"/>
      <c r="J86" s="13"/>
      <c r="K86" s="13"/>
      <c r="L86" s="13"/>
      <c r="M86" s="13"/>
      <c r="N86" s="13"/>
      <c r="O86" s="13"/>
      <c r="P86" s="13"/>
      <c r="Q86" s="13"/>
      <c r="R86" s="13"/>
      <c r="S86" s="13"/>
      <c r="T86" s="13"/>
      <c r="U86" s="13"/>
      <c r="V86" s="13"/>
      <c r="W86" s="13"/>
      <c r="X86" s="13"/>
      <c r="Y86" s="13"/>
      <c r="Z86" s="13"/>
      <c r="AA86" s="13"/>
      <c r="AB86" s="13"/>
    </row>
    <row r="87" spans="1:28" ht="17.399999999999999" x14ac:dyDescent="0.35">
      <c r="A87" s="16"/>
      <c r="B87" s="17"/>
      <c r="C87" s="13"/>
      <c r="D87" s="13"/>
      <c r="E87" s="15"/>
      <c r="F87" s="13"/>
      <c r="G87" s="13"/>
      <c r="H87" s="6"/>
      <c r="I87" s="13"/>
      <c r="J87" s="13"/>
      <c r="K87" s="13"/>
      <c r="L87" s="13"/>
      <c r="M87" s="13"/>
      <c r="N87" s="13"/>
      <c r="O87" s="13"/>
      <c r="P87" s="13"/>
      <c r="Q87" s="13"/>
      <c r="R87" s="13"/>
      <c r="S87" s="13"/>
      <c r="T87" s="13"/>
      <c r="U87" s="13"/>
      <c r="V87" s="13"/>
      <c r="W87" s="13"/>
      <c r="X87" s="13"/>
      <c r="Y87" s="13"/>
      <c r="Z87" s="13"/>
      <c r="AA87" s="13"/>
      <c r="AB87" s="13"/>
    </row>
    <row r="88" spans="1:28" ht="17.399999999999999" x14ac:dyDescent="0.35">
      <c r="A88" s="16"/>
      <c r="B88" s="17"/>
      <c r="C88" s="13"/>
      <c r="D88" s="13"/>
      <c r="E88" s="15"/>
      <c r="F88" s="13"/>
      <c r="G88" s="13"/>
      <c r="H88" s="6"/>
      <c r="I88" s="13"/>
      <c r="J88" s="13"/>
      <c r="K88" s="13"/>
      <c r="L88" s="13"/>
      <c r="M88" s="13"/>
      <c r="N88" s="13"/>
      <c r="O88" s="13"/>
      <c r="P88" s="13"/>
      <c r="Q88" s="13"/>
      <c r="R88" s="13"/>
      <c r="S88" s="13"/>
      <c r="T88" s="13"/>
      <c r="U88" s="13"/>
      <c r="V88" s="13"/>
      <c r="W88" s="13"/>
      <c r="X88" s="13"/>
      <c r="Y88" s="13"/>
      <c r="Z88" s="13"/>
      <c r="AA88" s="13"/>
      <c r="AB88" s="13"/>
    </row>
    <row r="89" spans="1:28" ht="17.399999999999999" x14ac:dyDescent="0.35">
      <c r="A89" s="16"/>
      <c r="B89" s="17"/>
      <c r="C89" s="13"/>
      <c r="D89" s="13"/>
      <c r="E89" s="15"/>
      <c r="F89" s="13"/>
      <c r="G89" s="13"/>
      <c r="H89" s="6"/>
      <c r="I89" s="13"/>
      <c r="J89" s="13"/>
      <c r="K89" s="13"/>
      <c r="L89" s="13"/>
      <c r="M89" s="13"/>
      <c r="N89" s="13"/>
      <c r="O89" s="13"/>
      <c r="P89" s="13"/>
      <c r="Q89" s="13"/>
      <c r="R89" s="13"/>
      <c r="S89" s="13"/>
      <c r="T89" s="13"/>
      <c r="U89" s="13"/>
      <c r="V89" s="13"/>
      <c r="W89" s="13"/>
      <c r="X89" s="13"/>
      <c r="Y89" s="13"/>
      <c r="Z89" s="13"/>
      <c r="AA89" s="13"/>
      <c r="AB89" s="13"/>
    </row>
    <row r="90" spans="1:28" ht="17.399999999999999" x14ac:dyDescent="0.35">
      <c r="A90" s="16"/>
      <c r="B90" s="17"/>
      <c r="C90" s="13"/>
      <c r="D90" s="13"/>
      <c r="E90" s="15"/>
      <c r="F90" s="13"/>
      <c r="G90" s="13"/>
      <c r="H90" s="6"/>
      <c r="I90" s="13"/>
      <c r="J90" s="13"/>
      <c r="K90" s="13"/>
      <c r="L90" s="13"/>
      <c r="M90" s="13"/>
      <c r="N90" s="13"/>
      <c r="O90" s="13"/>
      <c r="P90" s="13"/>
      <c r="Q90" s="13"/>
      <c r="R90" s="13"/>
      <c r="S90" s="13"/>
      <c r="T90" s="13"/>
      <c r="U90" s="13"/>
      <c r="V90" s="13"/>
      <c r="W90" s="13"/>
      <c r="X90" s="13"/>
      <c r="Y90" s="13"/>
      <c r="Z90" s="13"/>
      <c r="AA90" s="13"/>
      <c r="AB90" s="13"/>
    </row>
    <row r="91" spans="1:28" ht="17.399999999999999" x14ac:dyDescent="0.35">
      <c r="A91" s="16"/>
      <c r="B91" s="17"/>
      <c r="C91" s="13"/>
      <c r="D91" s="13"/>
      <c r="E91" s="15"/>
      <c r="F91" s="13"/>
      <c r="G91" s="13"/>
      <c r="H91" s="6"/>
      <c r="I91" s="13"/>
      <c r="J91" s="13"/>
      <c r="K91" s="13"/>
      <c r="L91" s="13"/>
      <c r="M91" s="13"/>
      <c r="N91" s="13"/>
      <c r="O91" s="13"/>
      <c r="P91" s="13"/>
      <c r="Q91" s="13"/>
      <c r="R91" s="13"/>
      <c r="S91" s="13"/>
      <c r="T91" s="13"/>
      <c r="U91" s="13"/>
      <c r="V91" s="13"/>
      <c r="W91" s="13"/>
      <c r="X91" s="13"/>
      <c r="Y91" s="13"/>
      <c r="Z91" s="13"/>
      <c r="AA91" s="13"/>
      <c r="AB91" s="13"/>
    </row>
    <row r="92" spans="1:28" ht="17.399999999999999" x14ac:dyDescent="0.35">
      <c r="A92" s="16"/>
      <c r="B92" s="17"/>
      <c r="C92" s="13"/>
      <c r="D92" s="13"/>
      <c r="E92" s="15"/>
      <c r="F92" s="13"/>
      <c r="G92" s="13"/>
      <c r="H92" s="6"/>
      <c r="I92" s="13"/>
      <c r="J92" s="13"/>
      <c r="K92" s="13"/>
      <c r="L92" s="13"/>
      <c r="M92" s="13"/>
      <c r="N92" s="13"/>
      <c r="O92" s="13"/>
      <c r="P92" s="13"/>
      <c r="Q92" s="13"/>
      <c r="R92" s="13"/>
      <c r="S92" s="13"/>
      <c r="T92" s="13"/>
      <c r="U92" s="13"/>
      <c r="V92" s="13"/>
      <c r="W92" s="13"/>
      <c r="X92" s="13"/>
      <c r="Y92" s="13"/>
      <c r="Z92" s="13"/>
      <c r="AA92" s="13"/>
      <c r="AB92" s="13"/>
    </row>
    <row r="93" spans="1:28" ht="17.399999999999999" x14ac:dyDescent="0.35">
      <c r="A93" s="16"/>
      <c r="B93" s="17"/>
      <c r="C93" s="13"/>
      <c r="D93" s="13"/>
      <c r="E93" s="15"/>
      <c r="F93" s="13"/>
      <c r="G93" s="13"/>
      <c r="H93" s="6"/>
      <c r="I93" s="13"/>
      <c r="J93" s="13"/>
      <c r="K93" s="13"/>
      <c r="L93" s="13"/>
      <c r="M93" s="13"/>
      <c r="N93" s="13"/>
      <c r="O93" s="13"/>
      <c r="P93" s="13"/>
      <c r="Q93" s="13"/>
      <c r="R93" s="13"/>
      <c r="S93" s="13"/>
      <c r="T93" s="13"/>
      <c r="U93" s="13"/>
      <c r="V93" s="13"/>
      <c r="W93" s="13"/>
      <c r="X93" s="13"/>
      <c r="Y93" s="13"/>
      <c r="Z93" s="13"/>
      <c r="AA93" s="13"/>
      <c r="AB93" s="13"/>
    </row>
    <row r="94" spans="1:28" ht="17.399999999999999" x14ac:dyDescent="0.35">
      <c r="A94" s="16"/>
      <c r="B94" s="17"/>
      <c r="C94" s="13"/>
      <c r="D94" s="13"/>
      <c r="E94" s="15"/>
      <c r="F94" s="13"/>
      <c r="G94" s="13"/>
      <c r="H94" s="6"/>
      <c r="I94" s="13"/>
      <c r="J94" s="13"/>
      <c r="K94" s="13"/>
      <c r="L94" s="13"/>
      <c r="M94" s="13"/>
      <c r="N94" s="13"/>
      <c r="O94" s="13"/>
      <c r="P94" s="13"/>
      <c r="Q94" s="13"/>
      <c r="R94" s="13"/>
      <c r="S94" s="13"/>
      <c r="T94" s="13"/>
      <c r="U94" s="13"/>
      <c r="V94" s="13"/>
      <c r="W94" s="13"/>
      <c r="X94" s="13"/>
      <c r="Y94" s="13"/>
      <c r="Z94" s="13"/>
      <c r="AA94" s="13"/>
      <c r="AB94" s="13"/>
    </row>
    <row r="95" spans="1:28" ht="17.399999999999999" x14ac:dyDescent="0.35">
      <c r="A95" s="16"/>
      <c r="B95" s="17"/>
      <c r="C95" s="13"/>
      <c r="D95" s="13"/>
      <c r="E95" s="15"/>
      <c r="F95" s="13"/>
      <c r="G95" s="13"/>
      <c r="H95" s="6"/>
      <c r="I95" s="13"/>
      <c r="J95" s="13"/>
      <c r="K95" s="13"/>
      <c r="L95" s="13"/>
      <c r="M95" s="13"/>
      <c r="N95" s="13"/>
      <c r="O95" s="13"/>
      <c r="P95" s="13"/>
      <c r="Q95" s="13"/>
      <c r="R95" s="13"/>
      <c r="S95" s="13"/>
      <c r="T95" s="13"/>
      <c r="U95" s="13"/>
      <c r="V95" s="13"/>
      <c r="W95" s="13"/>
      <c r="X95" s="13"/>
      <c r="Y95" s="13"/>
      <c r="Z95" s="13"/>
      <c r="AA95" s="13"/>
      <c r="AB95" s="13"/>
    </row>
    <row r="96" spans="1:28" ht="17.399999999999999" x14ac:dyDescent="0.35">
      <c r="A96" s="16"/>
      <c r="B96" s="17"/>
      <c r="C96" s="13"/>
      <c r="D96" s="13"/>
      <c r="E96" s="15"/>
      <c r="F96" s="13"/>
      <c r="G96" s="13"/>
      <c r="H96" s="6"/>
      <c r="I96" s="13"/>
      <c r="J96" s="13"/>
      <c r="K96" s="13"/>
      <c r="L96" s="13"/>
      <c r="M96" s="13"/>
      <c r="N96" s="13"/>
      <c r="O96" s="13"/>
      <c r="P96" s="13"/>
      <c r="Q96" s="13"/>
      <c r="R96" s="13"/>
      <c r="S96" s="13"/>
      <c r="T96" s="13"/>
      <c r="U96" s="13"/>
      <c r="V96" s="13"/>
      <c r="W96" s="13"/>
      <c r="X96" s="13"/>
      <c r="Y96" s="13"/>
      <c r="Z96" s="13"/>
      <c r="AA96" s="13"/>
      <c r="AB96" s="13"/>
    </row>
    <row r="97" spans="1:28" ht="17.399999999999999" x14ac:dyDescent="0.35">
      <c r="A97" s="16"/>
      <c r="B97" s="17"/>
      <c r="C97" s="13"/>
      <c r="D97" s="13"/>
      <c r="E97" s="15"/>
      <c r="F97" s="13"/>
      <c r="G97" s="13"/>
      <c r="H97" s="6"/>
      <c r="I97" s="13"/>
      <c r="J97" s="13"/>
      <c r="K97" s="13"/>
      <c r="L97" s="13"/>
      <c r="M97" s="13"/>
      <c r="N97" s="13"/>
      <c r="O97" s="13"/>
      <c r="P97" s="13"/>
      <c r="Q97" s="13"/>
      <c r="R97" s="13"/>
      <c r="S97" s="13"/>
      <c r="T97" s="13"/>
      <c r="U97" s="13"/>
      <c r="V97" s="13"/>
      <c r="W97" s="13"/>
      <c r="X97" s="13"/>
      <c r="Y97" s="13"/>
      <c r="Z97" s="13"/>
      <c r="AA97" s="13"/>
      <c r="AB97" s="13"/>
    </row>
    <row r="98" spans="1:28" ht="17.399999999999999" x14ac:dyDescent="0.35">
      <c r="A98" s="16"/>
      <c r="B98" s="17"/>
      <c r="C98" s="13"/>
      <c r="D98" s="13"/>
      <c r="E98" s="15"/>
      <c r="F98" s="13"/>
      <c r="G98" s="13"/>
      <c r="H98" s="6"/>
      <c r="I98" s="13"/>
      <c r="J98" s="13"/>
      <c r="K98" s="13"/>
      <c r="L98" s="13"/>
      <c r="M98" s="13"/>
      <c r="N98" s="13"/>
      <c r="O98" s="13"/>
      <c r="P98" s="13"/>
      <c r="Q98" s="13"/>
      <c r="R98" s="13"/>
      <c r="S98" s="13"/>
      <c r="T98" s="13"/>
      <c r="U98" s="13"/>
      <c r="V98" s="13"/>
      <c r="W98" s="13"/>
      <c r="X98" s="13"/>
      <c r="Y98" s="13"/>
      <c r="Z98" s="13"/>
      <c r="AA98" s="13"/>
      <c r="AB98" s="13"/>
    </row>
    <row r="99" spans="1:28" ht="17.399999999999999" x14ac:dyDescent="0.35">
      <c r="A99" s="16"/>
      <c r="B99" s="17"/>
      <c r="C99" s="13"/>
      <c r="D99" s="13"/>
      <c r="E99" s="15"/>
      <c r="F99" s="13"/>
      <c r="G99" s="13"/>
      <c r="H99" s="6"/>
      <c r="I99" s="13"/>
      <c r="J99" s="13"/>
      <c r="K99" s="13"/>
      <c r="L99" s="13"/>
      <c r="M99" s="13"/>
      <c r="N99" s="13"/>
      <c r="O99" s="13"/>
      <c r="P99" s="13"/>
      <c r="Q99" s="13"/>
      <c r="R99" s="13"/>
      <c r="S99" s="13"/>
      <c r="T99" s="13"/>
      <c r="U99" s="13"/>
      <c r="V99" s="13"/>
      <c r="W99" s="13"/>
      <c r="X99" s="13"/>
      <c r="Y99" s="13"/>
      <c r="Z99" s="13"/>
      <c r="AA99" s="13"/>
      <c r="AB99" s="13"/>
    </row>
    <row r="100" spans="1:28" ht="17.399999999999999" x14ac:dyDescent="0.35">
      <c r="A100" s="16"/>
      <c r="B100" s="17"/>
      <c r="C100" s="13"/>
      <c r="D100" s="13"/>
      <c r="E100" s="15"/>
      <c r="F100" s="13"/>
      <c r="G100" s="13"/>
      <c r="H100" s="6"/>
      <c r="I100" s="13"/>
      <c r="J100" s="13"/>
      <c r="K100" s="13"/>
      <c r="L100" s="13"/>
      <c r="M100" s="13"/>
      <c r="N100" s="13"/>
      <c r="O100" s="13"/>
      <c r="P100" s="13"/>
      <c r="Q100" s="13"/>
      <c r="R100" s="13"/>
      <c r="S100" s="13"/>
      <c r="T100" s="13"/>
      <c r="U100" s="13"/>
      <c r="V100" s="13"/>
      <c r="W100" s="13"/>
      <c r="X100" s="13"/>
      <c r="Y100" s="13"/>
      <c r="Z100" s="13"/>
      <c r="AA100" s="13"/>
      <c r="AB100" s="13"/>
    </row>
    <row r="101" spans="1:28" ht="17.399999999999999" x14ac:dyDescent="0.35">
      <c r="A101" s="16"/>
      <c r="B101" s="17"/>
      <c r="C101" s="13"/>
      <c r="D101" s="13"/>
      <c r="E101" s="15"/>
      <c r="F101" s="13"/>
      <c r="G101" s="13"/>
      <c r="H101" s="6"/>
      <c r="I101" s="13"/>
      <c r="J101" s="13"/>
      <c r="K101" s="13"/>
      <c r="L101" s="13"/>
      <c r="M101" s="13"/>
      <c r="N101" s="13"/>
      <c r="O101" s="13"/>
      <c r="P101" s="13"/>
      <c r="Q101" s="13"/>
      <c r="R101" s="13"/>
      <c r="S101" s="13"/>
      <c r="T101" s="13"/>
      <c r="U101" s="13"/>
      <c r="V101" s="13"/>
      <c r="W101" s="13"/>
      <c r="X101" s="13"/>
      <c r="Y101" s="13"/>
      <c r="Z101" s="13"/>
      <c r="AA101" s="13"/>
      <c r="AB101" s="13"/>
    </row>
    <row r="102" spans="1:28" ht="17.399999999999999" x14ac:dyDescent="0.35">
      <c r="A102" s="16"/>
      <c r="B102" s="17"/>
      <c r="C102" s="13"/>
      <c r="D102" s="13"/>
      <c r="E102" s="15"/>
      <c r="F102" s="13"/>
      <c r="G102" s="13"/>
      <c r="H102" s="6"/>
      <c r="I102" s="13"/>
      <c r="J102" s="13"/>
      <c r="K102" s="13"/>
      <c r="L102" s="13"/>
      <c r="M102" s="13"/>
      <c r="N102" s="13"/>
      <c r="O102" s="13"/>
      <c r="P102" s="13"/>
      <c r="Q102" s="13"/>
      <c r="R102" s="13"/>
      <c r="S102" s="13"/>
      <c r="T102" s="13"/>
      <c r="U102" s="13"/>
      <c r="V102" s="13"/>
      <c r="W102" s="13"/>
      <c r="X102" s="13"/>
      <c r="Y102" s="13"/>
      <c r="Z102" s="13"/>
      <c r="AA102" s="13"/>
      <c r="AB102" s="13"/>
    </row>
    <row r="103" spans="1:28" ht="17.399999999999999" x14ac:dyDescent="0.35">
      <c r="A103" s="16"/>
      <c r="B103" s="17"/>
      <c r="C103" s="13"/>
      <c r="D103" s="13"/>
      <c r="E103" s="15"/>
      <c r="F103" s="13"/>
      <c r="G103" s="13"/>
      <c r="H103" s="6"/>
      <c r="I103" s="13"/>
      <c r="J103" s="13"/>
      <c r="K103" s="13"/>
      <c r="L103" s="13"/>
      <c r="M103" s="13"/>
      <c r="N103" s="13"/>
      <c r="O103" s="13"/>
      <c r="P103" s="13"/>
      <c r="Q103" s="13"/>
      <c r="R103" s="13"/>
      <c r="S103" s="13"/>
      <c r="T103" s="13"/>
      <c r="U103" s="13"/>
      <c r="V103" s="13"/>
      <c r="W103" s="13"/>
      <c r="X103" s="13"/>
      <c r="Y103" s="13"/>
      <c r="Z103" s="13"/>
      <c r="AA103" s="13"/>
      <c r="AB103" s="13"/>
    </row>
    <row r="104" spans="1:28" ht="17.399999999999999" x14ac:dyDescent="0.35">
      <c r="A104" s="16"/>
      <c r="B104" s="17"/>
      <c r="C104" s="13"/>
      <c r="D104" s="13"/>
      <c r="E104" s="15"/>
      <c r="F104" s="13"/>
      <c r="G104" s="13"/>
      <c r="H104" s="6"/>
      <c r="I104" s="13"/>
      <c r="J104" s="13"/>
      <c r="K104" s="13"/>
      <c r="L104" s="13"/>
      <c r="M104" s="13"/>
      <c r="N104" s="13"/>
      <c r="O104" s="13"/>
      <c r="P104" s="13"/>
      <c r="Q104" s="13"/>
      <c r="R104" s="13"/>
      <c r="S104" s="13"/>
      <c r="T104" s="13"/>
      <c r="U104" s="13"/>
      <c r="V104" s="13"/>
      <c r="W104" s="13"/>
      <c r="X104" s="13"/>
      <c r="Y104" s="13"/>
      <c r="Z104" s="13"/>
      <c r="AA104" s="13"/>
      <c r="AB104" s="13"/>
    </row>
    <row r="105" spans="1:28" ht="17.399999999999999" x14ac:dyDescent="0.35">
      <c r="A105" s="16"/>
      <c r="B105" s="17"/>
      <c r="C105" s="13"/>
      <c r="D105" s="13"/>
      <c r="E105" s="15"/>
      <c r="F105" s="13"/>
      <c r="G105" s="13"/>
      <c r="H105" s="6"/>
      <c r="I105" s="13"/>
      <c r="J105" s="13"/>
      <c r="K105" s="13"/>
      <c r="L105" s="13"/>
      <c r="M105" s="13"/>
      <c r="N105" s="13"/>
      <c r="O105" s="13"/>
      <c r="P105" s="13"/>
      <c r="Q105" s="13"/>
      <c r="R105" s="13"/>
      <c r="S105" s="13"/>
      <c r="T105" s="13"/>
      <c r="U105" s="13"/>
      <c r="V105" s="13"/>
      <c r="W105" s="13"/>
      <c r="X105" s="13"/>
      <c r="Y105" s="13"/>
      <c r="Z105" s="13"/>
      <c r="AA105" s="13"/>
      <c r="AB105" s="13"/>
    </row>
    <row r="106" spans="1:28" ht="17.399999999999999" x14ac:dyDescent="0.35">
      <c r="A106" s="16"/>
      <c r="B106" s="17"/>
      <c r="C106" s="13"/>
      <c r="D106" s="13"/>
      <c r="E106" s="15"/>
      <c r="F106" s="13"/>
      <c r="G106" s="13"/>
      <c r="H106" s="6"/>
      <c r="I106" s="13"/>
      <c r="J106" s="13"/>
      <c r="K106" s="13"/>
      <c r="L106" s="13"/>
      <c r="M106" s="13"/>
      <c r="N106" s="13"/>
      <c r="O106" s="13"/>
      <c r="P106" s="13"/>
      <c r="Q106" s="13"/>
      <c r="R106" s="13"/>
      <c r="S106" s="13"/>
      <c r="T106" s="13"/>
      <c r="U106" s="13"/>
      <c r="V106" s="13"/>
      <c r="W106" s="13"/>
      <c r="X106" s="13"/>
      <c r="Y106" s="13"/>
      <c r="Z106" s="13"/>
      <c r="AA106" s="13"/>
      <c r="AB106" s="13"/>
    </row>
    <row r="107" spans="1:28" ht="17.399999999999999" x14ac:dyDescent="0.35">
      <c r="A107" s="16"/>
      <c r="B107" s="17"/>
      <c r="C107" s="13"/>
      <c r="D107" s="13"/>
      <c r="E107" s="15"/>
      <c r="F107" s="13"/>
      <c r="G107" s="13"/>
      <c r="H107" s="6"/>
      <c r="I107" s="13"/>
      <c r="J107" s="13"/>
      <c r="K107" s="13"/>
      <c r="L107" s="13"/>
      <c r="M107" s="13"/>
      <c r="N107" s="13"/>
      <c r="O107" s="13"/>
      <c r="P107" s="13"/>
      <c r="Q107" s="13"/>
      <c r="R107" s="13"/>
      <c r="S107" s="13"/>
      <c r="T107" s="13"/>
      <c r="U107" s="13"/>
      <c r="V107" s="13"/>
      <c r="W107" s="13"/>
      <c r="X107" s="13"/>
      <c r="Y107" s="13"/>
      <c r="Z107" s="13"/>
      <c r="AA107" s="13"/>
      <c r="AB107" s="13"/>
    </row>
    <row r="108" spans="1:28" ht="17.399999999999999" x14ac:dyDescent="0.35">
      <c r="A108" s="16"/>
      <c r="B108" s="17"/>
      <c r="C108" s="13"/>
      <c r="D108" s="13"/>
      <c r="E108" s="15"/>
      <c r="F108" s="13"/>
      <c r="G108" s="13"/>
      <c r="H108" s="6"/>
      <c r="I108" s="13"/>
      <c r="J108" s="13"/>
      <c r="K108" s="13"/>
      <c r="L108" s="13"/>
      <c r="M108" s="13"/>
      <c r="N108" s="13"/>
      <c r="O108" s="13"/>
      <c r="P108" s="13"/>
      <c r="Q108" s="13"/>
      <c r="R108" s="13"/>
      <c r="S108" s="13"/>
      <c r="T108" s="13"/>
      <c r="U108" s="13"/>
      <c r="V108" s="13"/>
      <c r="W108" s="13"/>
      <c r="X108" s="13"/>
      <c r="Y108" s="13"/>
      <c r="Z108" s="13"/>
      <c r="AA108" s="13"/>
      <c r="AB108" s="13"/>
    </row>
    <row r="109" spans="1:28" ht="17.399999999999999" x14ac:dyDescent="0.35">
      <c r="A109" s="16"/>
      <c r="B109" s="17"/>
      <c r="C109" s="13"/>
      <c r="D109" s="13"/>
      <c r="E109" s="15"/>
      <c r="F109" s="13"/>
      <c r="G109" s="13"/>
      <c r="H109" s="6"/>
      <c r="I109" s="13"/>
      <c r="J109" s="13"/>
      <c r="K109" s="13"/>
      <c r="L109" s="13"/>
      <c r="M109" s="13"/>
      <c r="N109" s="13"/>
      <c r="O109" s="13"/>
      <c r="P109" s="13"/>
      <c r="Q109" s="13"/>
      <c r="R109" s="13"/>
      <c r="S109" s="13"/>
      <c r="T109" s="13"/>
      <c r="U109" s="13"/>
      <c r="V109" s="13"/>
      <c r="W109" s="13"/>
      <c r="X109" s="13"/>
      <c r="Y109" s="13"/>
      <c r="Z109" s="13"/>
      <c r="AA109" s="13"/>
      <c r="AB109" s="13"/>
    </row>
    <row r="110" spans="1:28" ht="17.399999999999999" x14ac:dyDescent="0.35">
      <c r="A110" s="16"/>
      <c r="B110" s="17"/>
      <c r="C110" s="13"/>
      <c r="D110" s="13"/>
      <c r="E110" s="15"/>
      <c r="F110" s="13"/>
      <c r="G110" s="13"/>
      <c r="H110" s="6"/>
      <c r="I110" s="13"/>
      <c r="J110" s="13"/>
      <c r="K110" s="13"/>
      <c r="L110" s="13"/>
      <c r="M110" s="13"/>
      <c r="N110" s="13"/>
      <c r="O110" s="13"/>
      <c r="P110" s="13"/>
      <c r="Q110" s="13"/>
      <c r="R110" s="13"/>
      <c r="S110" s="13"/>
      <c r="T110" s="13"/>
      <c r="U110" s="13"/>
      <c r="V110" s="13"/>
      <c r="W110" s="13"/>
      <c r="X110" s="13"/>
      <c r="Y110" s="13"/>
      <c r="Z110" s="13"/>
      <c r="AA110" s="13"/>
      <c r="AB110" s="13"/>
    </row>
    <row r="111" spans="1:28" ht="17.399999999999999" x14ac:dyDescent="0.35">
      <c r="A111" s="16"/>
      <c r="B111" s="17"/>
      <c r="C111" s="13"/>
      <c r="D111" s="13"/>
      <c r="E111" s="15"/>
      <c r="F111" s="13"/>
      <c r="G111" s="13"/>
      <c r="H111" s="6"/>
      <c r="I111" s="13"/>
      <c r="J111" s="13"/>
      <c r="K111" s="13"/>
      <c r="L111" s="13"/>
      <c r="M111" s="13"/>
      <c r="N111" s="13"/>
      <c r="O111" s="13"/>
      <c r="P111" s="13"/>
      <c r="Q111" s="13"/>
      <c r="R111" s="13"/>
      <c r="S111" s="13"/>
      <c r="T111" s="13"/>
      <c r="U111" s="13"/>
      <c r="V111" s="13"/>
      <c r="W111" s="13"/>
      <c r="X111" s="13"/>
      <c r="Y111" s="13"/>
      <c r="Z111" s="13"/>
      <c r="AA111" s="13"/>
      <c r="AB111" s="13"/>
    </row>
    <row r="112" spans="1:28" ht="17.399999999999999" x14ac:dyDescent="0.35">
      <c r="A112" s="16"/>
      <c r="B112" s="17"/>
      <c r="C112" s="13"/>
      <c r="D112" s="13"/>
      <c r="E112" s="15"/>
      <c r="F112" s="13"/>
      <c r="G112" s="13"/>
      <c r="H112" s="6"/>
      <c r="I112" s="13"/>
      <c r="J112" s="13"/>
      <c r="K112" s="13"/>
      <c r="L112" s="13"/>
      <c r="M112" s="13"/>
      <c r="N112" s="13"/>
      <c r="O112" s="13"/>
      <c r="P112" s="13"/>
      <c r="Q112" s="13"/>
      <c r="R112" s="13"/>
      <c r="S112" s="13"/>
      <c r="T112" s="13"/>
      <c r="U112" s="13"/>
      <c r="V112" s="13"/>
      <c r="W112" s="13"/>
      <c r="X112" s="13"/>
      <c r="Y112" s="13"/>
      <c r="Z112" s="13"/>
      <c r="AA112" s="13"/>
      <c r="AB112" s="13"/>
    </row>
    <row r="113" spans="1:28" ht="17.399999999999999" x14ac:dyDescent="0.35">
      <c r="A113" s="16"/>
      <c r="B113" s="17"/>
      <c r="C113" s="13"/>
      <c r="D113" s="13"/>
      <c r="E113" s="15"/>
      <c r="F113" s="13"/>
      <c r="G113" s="13"/>
      <c r="H113" s="6"/>
      <c r="I113" s="13"/>
      <c r="J113" s="13"/>
      <c r="K113" s="13"/>
      <c r="L113" s="13"/>
      <c r="M113" s="13"/>
      <c r="N113" s="13"/>
      <c r="O113" s="13"/>
      <c r="P113" s="13"/>
      <c r="Q113" s="13"/>
      <c r="R113" s="13"/>
      <c r="S113" s="13"/>
      <c r="T113" s="13"/>
      <c r="U113" s="13"/>
      <c r="V113" s="13"/>
      <c r="W113" s="13"/>
      <c r="X113" s="13"/>
      <c r="Y113" s="13"/>
      <c r="Z113" s="13"/>
      <c r="AA113" s="13"/>
      <c r="AB113" s="13"/>
    </row>
    <row r="114" spans="1:28" ht="17.399999999999999" x14ac:dyDescent="0.35">
      <c r="A114" s="16"/>
      <c r="B114" s="17"/>
      <c r="C114" s="13"/>
      <c r="D114" s="13"/>
      <c r="E114" s="15"/>
      <c r="F114" s="13"/>
      <c r="G114" s="13"/>
      <c r="H114" s="6"/>
      <c r="I114" s="13"/>
      <c r="J114" s="13"/>
      <c r="K114" s="13"/>
      <c r="L114" s="13"/>
      <c r="M114" s="13"/>
      <c r="N114" s="13"/>
      <c r="O114" s="13"/>
      <c r="P114" s="13"/>
      <c r="Q114" s="13"/>
      <c r="R114" s="13"/>
      <c r="S114" s="13"/>
      <c r="T114" s="13"/>
      <c r="U114" s="13"/>
      <c r="V114" s="13"/>
      <c r="W114" s="13"/>
      <c r="X114" s="13"/>
      <c r="Y114" s="13"/>
      <c r="Z114" s="13"/>
      <c r="AA114" s="13"/>
      <c r="AB114" s="13"/>
    </row>
    <row r="115" spans="1:28" ht="17.399999999999999" x14ac:dyDescent="0.35">
      <c r="A115" s="16"/>
      <c r="B115" s="17"/>
      <c r="C115" s="13"/>
      <c r="D115" s="13"/>
      <c r="E115" s="15"/>
      <c r="F115" s="13"/>
      <c r="G115" s="13"/>
      <c r="H115" s="6"/>
      <c r="I115" s="13"/>
      <c r="J115" s="13"/>
      <c r="K115" s="13"/>
      <c r="L115" s="13"/>
      <c r="M115" s="13"/>
      <c r="N115" s="13"/>
      <c r="O115" s="13"/>
      <c r="P115" s="13"/>
      <c r="Q115" s="13"/>
      <c r="R115" s="13"/>
      <c r="S115" s="13"/>
      <c r="T115" s="13"/>
      <c r="U115" s="13"/>
      <c r="V115" s="13"/>
      <c r="W115" s="13"/>
      <c r="X115" s="13"/>
      <c r="Y115" s="13"/>
      <c r="Z115" s="13"/>
      <c r="AA115" s="13"/>
      <c r="AB115" s="13"/>
    </row>
    <row r="116" spans="1:28" ht="17.399999999999999" x14ac:dyDescent="0.35">
      <c r="A116" s="16"/>
      <c r="B116" s="17"/>
      <c r="C116" s="13"/>
      <c r="D116" s="13"/>
      <c r="E116" s="15"/>
      <c r="F116" s="13"/>
      <c r="G116" s="13"/>
      <c r="H116" s="6"/>
      <c r="I116" s="13"/>
      <c r="J116" s="13"/>
      <c r="K116" s="13"/>
      <c r="L116" s="13"/>
      <c r="M116" s="13"/>
      <c r="N116" s="13"/>
      <c r="O116" s="13"/>
      <c r="P116" s="13"/>
      <c r="Q116" s="13"/>
      <c r="R116" s="13"/>
      <c r="S116" s="13"/>
      <c r="T116" s="13"/>
      <c r="U116" s="13"/>
      <c r="V116" s="13"/>
      <c r="W116" s="13"/>
      <c r="X116" s="13"/>
      <c r="Y116" s="13"/>
      <c r="Z116" s="13"/>
      <c r="AA116" s="13"/>
      <c r="AB116" s="13"/>
    </row>
    <row r="117" spans="1:28" ht="17.399999999999999" x14ac:dyDescent="0.35">
      <c r="A117" s="16"/>
      <c r="B117" s="17"/>
      <c r="C117" s="13"/>
      <c r="D117" s="13"/>
      <c r="E117" s="15"/>
      <c r="F117" s="13"/>
      <c r="G117" s="13"/>
      <c r="H117" s="6"/>
      <c r="I117" s="13"/>
      <c r="J117" s="13"/>
      <c r="K117" s="13"/>
      <c r="L117" s="13"/>
      <c r="M117" s="13"/>
      <c r="N117" s="13"/>
      <c r="O117" s="13"/>
      <c r="P117" s="13"/>
      <c r="Q117" s="13"/>
      <c r="R117" s="13"/>
      <c r="S117" s="13"/>
      <c r="T117" s="13"/>
      <c r="U117" s="13"/>
      <c r="V117" s="13"/>
      <c r="W117" s="13"/>
      <c r="X117" s="13"/>
      <c r="Y117" s="13"/>
      <c r="Z117" s="13"/>
      <c r="AA117" s="13"/>
      <c r="AB117" s="13"/>
    </row>
    <row r="118" spans="1:28" ht="17.399999999999999" x14ac:dyDescent="0.35">
      <c r="A118" s="16"/>
      <c r="B118" s="17"/>
      <c r="C118" s="13"/>
      <c r="D118" s="13"/>
      <c r="E118" s="15"/>
      <c r="F118" s="13"/>
      <c r="G118" s="13"/>
      <c r="H118" s="6"/>
      <c r="I118" s="13"/>
      <c r="J118" s="13"/>
      <c r="K118" s="13"/>
      <c r="L118" s="13"/>
      <c r="M118" s="13"/>
      <c r="N118" s="13"/>
      <c r="O118" s="13"/>
      <c r="P118" s="13"/>
      <c r="Q118" s="13"/>
      <c r="R118" s="13"/>
      <c r="S118" s="13"/>
      <c r="T118" s="13"/>
      <c r="U118" s="13"/>
      <c r="V118" s="13"/>
      <c r="W118" s="13"/>
      <c r="X118" s="13"/>
      <c r="Y118" s="13"/>
      <c r="Z118" s="13"/>
      <c r="AA118" s="13"/>
      <c r="AB118" s="13"/>
    </row>
    <row r="119" spans="1:28" ht="17.399999999999999" x14ac:dyDescent="0.35">
      <c r="A119" s="16"/>
      <c r="B119" s="17"/>
      <c r="C119" s="13"/>
      <c r="D119" s="13"/>
      <c r="E119" s="15"/>
      <c r="F119" s="13"/>
      <c r="G119" s="13"/>
      <c r="H119" s="6"/>
      <c r="I119" s="13"/>
      <c r="J119" s="13"/>
      <c r="K119" s="13"/>
      <c r="L119" s="13"/>
      <c r="M119" s="13"/>
      <c r="N119" s="13"/>
      <c r="O119" s="13"/>
      <c r="P119" s="13"/>
      <c r="Q119" s="13"/>
      <c r="R119" s="13"/>
      <c r="S119" s="13"/>
      <c r="T119" s="13"/>
      <c r="U119" s="13"/>
      <c r="V119" s="13"/>
      <c r="W119" s="13"/>
      <c r="X119" s="13"/>
      <c r="Y119" s="13"/>
      <c r="Z119" s="13"/>
      <c r="AA119" s="13"/>
      <c r="AB119" s="13"/>
    </row>
    <row r="120" spans="1:28" ht="17.399999999999999" x14ac:dyDescent="0.35">
      <c r="A120" s="16"/>
      <c r="B120" s="17"/>
      <c r="C120" s="13"/>
      <c r="D120" s="13"/>
      <c r="E120" s="15"/>
      <c r="F120" s="13"/>
      <c r="G120" s="13"/>
      <c r="H120" s="6"/>
      <c r="I120" s="13"/>
      <c r="J120" s="13"/>
      <c r="K120" s="13"/>
      <c r="L120" s="13"/>
      <c r="M120" s="13"/>
      <c r="N120" s="13"/>
      <c r="O120" s="13"/>
      <c r="P120" s="13"/>
      <c r="Q120" s="13"/>
      <c r="R120" s="13"/>
      <c r="S120" s="13"/>
      <c r="T120" s="13"/>
      <c r="U120" s="13"/>
      <c r="V120" s="13"/>
      <c r="W120" s="13"/>
      <c r="X120" s="13"/>
      <c r="Y120" s="13"/>
      <c r="Z120" s="13"/>
      <c r="AA120" s="13"/>
      <c r="AB120" s="13"/>
    </row>
    <row r="121" spans="1:28" ht="17.399999999999999" x14ac:dyDescent="0.35">
      <c r="A121" s="16"/>
      <c r="B121" s="17"/>
      <c r="C121" s="13"/>
      <c r="D121" s="13"/>
      <c r="E121" s="15"/>
      <c r="F121" s="13"/>
      <c r="G121" s="13"/>
      <c r="H121" s="6"/>
      <c r="I121" s="13"/>
      <c r="J121" s="13"/>
      <c r="K121" s="13"/>
      <c r="L121" s="13"/>
      <c r="M121" s="13"/>
      <c r="N121" s="13"/>
      <c r="O121" s="13"/>
      <c r="P121" s="13"/>
      <c r="Q121" s="13"/>
      <c r="R121" s="13"/>
      <c r="S121" s="13"/>
      <c r="T121" s="13"/>
      <c r="U121" s="13"/>
      <c r="V121" s="13"/>
      <c r="W121" s="13"/>
      <c r="X121" s="13"/>
      <c r="Y121" s="13"/>
      <c r="Z121" s="13"/>
      <c r="AA121" s="13"/>
      <c r="AB121" s="13"/>
    </row>
    <row r="122" spans="1:28" ht="17.399999999999999" x14ac:dyDescent="0.35">
      <c r="A122" s="16"/>
      <c r="B122" s="17"/>
      <c r="C122" s="13"/>
      <c r="D122" s="13"/>
      <c r="E122" s="15"/>
      <c r="F122" s="13"/>
      <c r="G122" s="13"/>
      <c r="H122" s="6"/>
      <c r="I122" s="13"/>
      <c r="J122" s="13"/>
      <c r="K122" s="13"/>
      <c r="L122" s="13"/>
      <c r="M122" s="13"/>
      <c r="N122" s="13"/>
      <c r="O122" s="13"/>
      <c r="P122" s="13"/>
      <c r="Q122" s="13"/>
      <c r="R122" s="13"/>
      <c r="S122" s="13"/>
      <c r="T122" s="13"/>
      <c r="U122" s="13"/>
      <c r="V122" s="13"/>
      <c r="W122" s="13"/>
      <c r="X122" s="13"/>
      <c r="Y122" s="13"/>
      <c r="Z122" s="13"/>
      <c r="AA122" s="13"/>
      <c r="AB122" s="13"/>
    </row>
    <row r="123" spans="1:28" ht="17.399999999999999" x14ac:dyDescent="0.35">
      <c r="A123" s="16"/>
      <c r="B123" s="17"/>
      <c r="C123" s="13"/>
      <c r="D123" s="13"/>
      <c r="E123" s="15"/>
      <c r="F123" s="13"/>
      <c r="G123" s="13"/>
      <c r="H123" s="6"/>
      <c r="I123" s="13"/>
      <c r="J123" s="13"/>
      <c r="K123" s="13"/>
      <c r="L123" s="13"/>
      <c r="M123" s="13"/>
      <c r="N123" s="13"/>
      <c r="O123" s="13"/>
      <c r="P123" s="13"/>
      <c r="Q123" s="13"/>
      <c r="R123" s="13"/>
      <c r="S123" s="13"/>
      <c r="T123" s="13"/>
      <c r="U123" s="13"/>
      <c r="V123" s="13"/>
      <c r="W123" s="13"/>
      <c r="X123" s="13"/>
      <c r="Y123" s="13"/>
      <c r="Z123" s="13"/>
      <c r="AA123" s="13"/>
      <c r="AB123" s="13"/>
    </row>
    <row r="124" spans="1:28" ht="17.399999999999999" x14ac:dyDescent="0.35">
      <c r="A124" s="16"/>
      <c r="B124" s="17"/>
      <c r="C124" s="13"/>
      <c r="D124" s="13"/>
      <c r="E124" s="15"/>
      <c r="F124" s="13"/>
      <c r="G124" s="13"/>
      <c r="H124" s="6"/>
      <c r="I124" s="13"/>
      <c r="J124" s="13"/>
      <c r="K124" s="13"/>
      <c r="L124" s="13"/>
      <c r="M124" s="13"/>
      <c r="N124" s="13"/>
      <c r="O124" s="13"/>
      <c r="P124" s="13"/>
      <c r="Q124" s="13"/>
      <c r="R124" s="13"/>
      <c r="S124" s="13"/>
      <c r="T124" s="13"/>
      <c r="U124" s="13"/>
      <c r="V124" s="13"/>
      <c r="W124" s="13"/>
      <c r="X124" s="13"/>
      <c r="Y124" s="13"/>
      <c r="Z124" s="13"/>
      <c r="AA124" s="13"/>
      <c r="AB124" s="13"/>
    </row>
    <row r="125" spans="1:28" ht="17.399999999999999" x14ac:dyDescent="0.35">
      <c r="A125" s="16"/>
      <c r="B125" s="17"/>
      <c r="C125" s="13"/>
      <c r="D125" s="13"/>
      <c r="E125" s="15"/>
      <c r="F125" s="13"/>
      <c r="G125" s="13"/>
      <c r="H125" s="6"/>
      <c r="I125" s="13"/>
      <c r="J125" s="13"/>
      <c r="K125" s="13"/>
      <c r="L125" s="13"/>
      <c r="M125" s="13"/>
      <c r="N125" s="13"/>
      <c r="O125" s="13"/>
      <c r="P125" s="13"/>
      <c r="Q125" s="13"/>
      <c r="R125" s="13"/>
      <c r="S125" s="13"/>
      <c r="T125" s="13"/>
      <c r="U125" s="13"/>
      <c r="V125" s="13"/>
      <c r="W125" s="13"/>
      <c r="X125" s="13"/>
      <c r="Y125" s="13"/>
      <c r="Z125" s="13"/>
      <c r="AA125" s="13"/>
      <c r="AB125" s="13"/>
    </row>
    <row r="126" spans="1:28" ht="17.399999999999999" x14ac:dyDescent="0.35">
      <c r="A126" s="16"/>
      <c r="B126" s="17"/>
      <c r="C126" s="13"/>
      <c r="D126" s="13"/>
      <c r="E126" s="15"/>
      <c r="F126" s="13"/>
      <c r="G126" s="13"/>
      <c r="H126" s="6"/>
      <c r="I126" s="13"/>
      <c r="J126" s="13"/>
      <c r="K126" s="13"/>
      <c r="L126" s="13"/>
      <c r="M126" s="13"/>
      <c r="N126" s="13"/>
      <c r="O126" s="13"/>
      <c r="P126" s="13"/>
      <c r="Q126" s="13"/>
      <c r="R126" s="13"/>
      <c r="S126" s="13"/>
      <c r="T126" s="13"/>
      <c r="U126" s="13"/>
      <c r="V126" s="13"/>
      <c r="W126" s="13"/>
      <c r="X126" s="13"/>
      <c r="Y126" s="13"/>
      <c r="Z126" s="13"/>
      <c r="AA126" s="13"/>
      <c r="AB126" s="13"/>
    </row>
    <row r="127" spans="1:28" ht="17.399999999999999" x14ac:dyDescent="0.35">
      <c r="A127" s="16"/>
      <c r="B127" s="17"/>
      <c r="C127" s="13"/>
      <c r="D127" s="13"/>
      <c r="E127" s="15"/>
      <c r="F127" s="13"/>
      <c r="G127" s="13"/>
      <c r="H127" s="6"/>
      <c r="I127" s="13"/>
      <c r="J127" s="13"/>
      <c r="K127" s="13"/>
      <c r="L127" s="13"/>
      <c r="M127" s="13"/>
      <c r="N127" s="13"/>
      <c r="O127" s="13"/>
      <c r="P127" s="13"/>
      <c r="Q127" s="13"/>
      <c r="R127" s="13"/>
      <c r="S127" s="13"/>
      <c r="T127" s="13"/>
      <c r="U127" s="13"/>
      <c r="V127" s="13"/>
      <c r="W127" s="13"/>
      <c r="X127" s="13"/>
      <c r="Y127" s="13"/>
      <c r="Z127" s="13"/>
      <c r="AA127" s="13"/>
      <c r="AB127" s="13"/>
    </row>
    <row r="128" spans="1:28" ht="17.399999999999999" x14ac:dyDescent="0.35">
      <c r="A128" s="16"/>
      <c r="B128" s="17"/>
      <c r="C128" s="13"/>
      <c r="D128" s="13"/>
      <c r="E128" s="15"/>
      <c r="F128" s="13"/>
      <c r="G128" s="13"/>
      <c r="H128" s="6"/>
      <c r="I128" s="13"/>
      <c r="J128" s="13"/>
      <c r="K128" s="13"/>
      <c r="L128" s="13"/>
      <c r="M128" s="13"/>
      <c r="N128" s="13"/>
      <c r="O128" s="13"/>
      <c r="P128" s="13"/>
      <c r="Q128" s="13"/>
      <c r="R128" s="13"/>
      <c r="S128" s="13"/>
      <c r="T128" s="13"/>
      <c r="U128" s="13"/>
      <c r="V128" s="13"/>
      <c r="W128" s="13"/>
      <c r="X128" s="13"/>
      <c r="Y128" s="13"/>
      <c r="Z128" s="13"/>
      <c r="AA128" s="13"/>
      <c r="AB128" s="13"/>
    </row>
    <row r="129" spans="1:28" ht="17.399999999999999" x14ac:dyDescent="0.35">
      <c r="A129" s="16"/>
      <c r="B129" s="17"/>
      <c r="C129" s="13"/>
      <c r="D129" s="13"/>
      <c r="E129" s="15"/>
      <c r="F129" s="13"/>
      <c r="G129" s="13"/>
      <c r="H129" s="6"/>
      <c r="I129" s="13"/>
      <c r="J129" s="13"/>
      <c r="K129" s="13"/>
      <c r="L129" s="13"/>
      <c r="M129" s="13"/>
      <c r="N129" s="13"/>
      <c r="O129" s="13"/>
      <c r="P129" s="13"/>
      <c r="Q129" s="13"/>
      <c r="R129" s="13"/>
      <c r="S129" s="13"/>
      <c r="T129" s="13"/>
      <c r="U129" s="13"/>
      <c r="V129" s="13"/>
      <c r="W129" s="13"/>
      <c r="X129" s="13"/>
      <c r="Y129" s="13"/>
      <c r="Z129" s="13"/>
      <c r="AA129" s="13"/>
      <c r="AB129" s="13"/>
    </row>
    <row r="130" spans="1:28" ht="17.399999999999999" x14ac:dyDescent="0.35">
      <c r="A130" s="16"/>
      <c r="B130" s="17"/>
      <c r="C130" s="13"/>
      <c r="D130" s="13"/>
      <c r="E130" s="15"/>
      <c r="F130" s="13"/>
      <c r="G130" s="13"/>
      <c r="H130" s="6"/>
      <c r="I130" s="13"/>
      <c r="J130" s="13"/>
      <c r="K130" s="13"/>
      <c r="L130" s="13"/>
      <c r="M130" s="13"/>
      <c r="N130" s="13"/>
      <c r="O130" s="13"/>
      <c r="P130" s="13"/>
      <c r="Q130" s="13"/>
      <c r="R130" s="13"/>
      <c r="S130" s="13"/>
      <c r="T130" s="13"/>
      <c r="U130" s="13"/>
      <c r="V130" s="13"/>
      <c r="W130" s="13"/>
      <c r="X130" s="13"/>
      <c r="Y130" s="13"/>
      <c r="Z130" s="13"/>
      <c r="AA130" s="13"/>
      <c r="AB130" s="13"/>
    </row>
    <row r="131" spans="1:28" ht="17.399999999999999" x14ac:dyDescent="0.35">
      <c r="A131" s="16"/>
      <c r="B131" s="17"/>
      <c r="C131" s="13"/>
      <c r="D131" s="13"/>
      <c r="E131" s="15"/>
      <c r="F131" s="13"/>
      <c r="G131" s="13"/>
      <c r="H131" s="6"/>
      <c r="I131" s="13"/>
      <c r="J131" s="13"/>
      <c r="K131" s="13"/>
      <c r="L131" s="13"/>
      <c r="M131" s="13"/>
      <c r="N131" s="13"/>
      <c r="O131" s="13"/>
      <c r="P131" s="13"/>
      <c r="Q131" s="13"/>
      <c r="R131" s="13"/>
      <c r="S131" s="13"/>
      <c r="T131" s="13"/>
      <c r="U131" s="13"/>
      <c r="V131" s="13"/>
      <c r="W131" s="13"/>
      <c r="X131" s="13"/>
      <c r="Y131" s="13"/>
      <c r="Z131" s="13"/>
      <c r="AA131" s="13"/>
      <c r="AB131" s="13"/>
    </row>
    <row r="132" spans="1:28" ht="17.399999999999999" x14ac:dyDescent="0.35">
      <c r="A132" s="16"/>
      <c r="B132" s="17"/>
      <c r="C132" s="13"/>
      <c r="D132" s="13"/>
      <c r="E132" s="15"/>
      <c r="F132" s="13"/>
      <c r="G132" s="13"/>
      <c r="H132" s="6"/>
      <c r="I132" s="13"/>
      <c r="J132" s="13"/>
      <c r="K132" s="13"/>
      <c r="L132" s="13"/>
      <c r="M132" s="13"/>
      <c r="N132" s="13"/>
      <c r="O132" s="13"/>
      <c r="P132" s="13"/>
      <c r="Q132" s="13"/>
      <c r="R132" s="13"/>
      <c r="S132" s="13"/>
      <c r="T132" s="13"/>
      <c r="U132" s="13"/>
      <c r="V132" s="13"/>
      <c r="W132" s="13"/>
      <c r="X132" s="13"/>
      <c r="Y132" s="13"/>
      <c r="Z132" s="13"/>
      <c r="AA132" s="13"/>
      <c r="AB132" s="13"/>
    </row>
    <row r="133" spans="1:28" ht="17.399999999999999" x14ac:dyDescent="0.35">
      <c r="A133" s="16"/>
      <c r="B133" s="17"/>
      <c r="C133" s="13"/>
      <c r="D133" s="13"/>
      <c r="E133" s="15"/>
      <c r="F133" s="13"/>
      <c r="G133" s="13"/>
      <c r="H133" s="6"/>
      <c r="I133" s="13"/>
      <c r="J133" s="13"/>
      <c r="K133" s="13"/>
      <c r="L133" s="13"/>
      <c r="M133" s="13"/>
      <c r="N133" s="13"/>
      <c r="O133" s="13"/>
      <c r="P133" s="13"/>
      <c r="Q133" s="13"/>
      <c r="R133" s="13"/>
      <c r="S133" s="13"/>
      <c r="T133" s="13"/>
      <c r="U133" s="13"/>
      <c r="V133" s="13"/>
      <c r="W133" s="13"/>
      <c r="X133" s="13"/>
      <c r="Y133" s="13"/>
      <c r="Z133" s="13"/>
      <c r="AA133" s="13"/>
      <c r="AB133" s="13"/>
    </row>
    <row r="134" spans="1:28" ht="17.399999999999999" x14ac:dyDescent="0.35">
      <c r="A134" s="16"/>
      <c r="B134" s="17"/>
      <c r="C134" s="13"/>
      <c r="D134" s="13"/>
      <c r="E134" s="15"/>
      <c r="F134" s="13"/>
      <c r="G134" s="13"/>
      <c r="H134" s="6"/>
      <c r="I134" s="13"/>
      <c r="J134" s="13"/>
      <c r="K134" s="13"/>
      <c r="L134" s="13"/>
      <c r="M134" s="13"/>
      <c r="N134" s="13"/>
      <c r="O134" s="13"/>
      <c r="P134" s="13"/>
      <c r="Q134" s="13"/>
      <c r="R134" s="13"/>
      <c r="S134" s="13"/>
      <c r="T134" s="13"/>
      <c r="U134" s="13"/>
      <c r="V134" s="13"/>
      <c r="W134" s="13"/>
      <c r="X134" s="13"/>
      <c r="Y134" s="13"/>
      <c r="Z134" s="13"/>
      <c r="AA134" s="13"/>
      <c r="AB134" s="13"/>
    </row>
    <row r="135" spans="1:28" ht="17.399999999999999" x14ac:dyDescent="0.35">
      <c r="A135" s="16"/>
      <c r="B135" s="17"/>
      <c r="C135" s="13"/>
      <c r="D135" s="13"/>
      <c r="E135" s="15"/>
      <c r="F135" s="13"/>
      <c r="G135" s="13"/>
      <c r="H135" s="6"/>
      <c r="I135" s="13"/>
      <c r="J135" s="13"/>
      <c r="K135" s="13"/>
      <c r="L135" s="13"/>
      <c r="M135" s="13"/>
      <c r="N135" s="13"/>
      <c r="O135" s="13"/>
      <c r="P135" s="13"/>
      <c r="Q135" s="13"/>
      <c r="R135" s="13"/>
      <c r="S135" s="13"/>
      <c r="T135" s="13"/>
      <c r="U135" s="13"/>
      <c r="V135" s="13"/>
      <c r="W135" s="13"/>
      <c r="X135" s="13"/>
      <c r="Y135" s="13"/>
      <c r="Z135" s="13"/>
      <c r="AA135" s="13"/>
      <c r="AB135" s="13"/>
    </row>
    <row r="136" spans="1:28" ht="17.399999999999999" x14ac:dyDescent="0.35">
      <c r="A136" s="16"/>
      <c r="B136" s="17"/>
      <c r="C136" s="13"/>
      <c r="D136" s="13"/>
      <c r="E136" s="15"/>
      <c r="F136" s="13"/>
      <c r="G136" s="13"/>
      <c r="H136" s="6"/>
      <c r="I136" s="13"/>
      <c r="J136" s="13"/>
      <c r="K136" s="13"/>
      <c r="L136" s="13"/>
      <c r="M136" s="13"/>
      <c r="N136" s="13"/>
      <c r="O136" s="13"/>
      <c r="P136" s="13"/>
      <c r="Q136" s="13"/>
      <c r="R136" s="13"/>
      <c r="S136" s="13"/>
      <c r="T136" s="13"/>
      <c r="U136" s="13"/>
      <c r="V136" s="13"/>
      <c r="W136" s="13"/>
      <c r="X136" s="13"/>
      <c r="Y136" s="13"/>
      <c r="Z136" s="13"/>
      <c r="AA136" s="13"/>
      <c r="AB136" s="13"/>
    </row>
    <row r="137" spans="1:28" ht="17.399999999999999" x14ac:dyDescent="0.35">
      <c r="A137" s="16"/>
      <c r="B137" s="17"/>
      <c r="C137" s="13"/>
      <c r="D137" s="13"/>
      <c r="E137" s="15"/>
      <c r="F137" s="13"/>
      <c r="G137" s="13"/>
      <c r="H137" s="6"/>
      <c r="I137" s="13"/>
      <c r="J137" s="13"/>
      <c r="K137" s="13"/>
      <c r="L137" s="13"/>
      <c r="M137" s="13"/>
      <c r="N137" s="13"/>
      <c r="O137" s="13"/>
      <c r="P137" s="13"/>
      <c r="Q137" s="13"/>
      <c r="R137" s="13"/>
      <c r="S137" s="13"/>
      <c r="T137" s="13"/>
      <c r="U137" s="13"/>
      <c r="V137" s="13"/>
      <c r="W137" s="13"/>
      <c r="X137" s="13"/>
      <c r="Y137" s="13"/>
      <c r="Z137" s="13"/>
      <c r="AA137" s="13"/>
      <c r="AB137" s="13"/>
    </row>
    <row r="138" spans="1:28" ht="17.399999999999999" x14ac:dyDescent="0.35">
      <c r="A138" s="16"/>
      <c r="B138" s="17"/>
      <c r="C138" s="13"/>
      <c r="D138" s="13"/>
      <c r="E138" s="15"/>
      <c r="F138" s="13"/>
      <c r="G138" s="13"/>
      <c r="H138" s="6"/>
      <c r="I138" s="13"/>
      <c r="J138" s="13"/>
      <c r="K138" s="13"/>
      <c r="L138" s="13"/>
      <c r="M138" s="13"/>
      <c r="N138" s="13"/>
      <c r="O138" s="13"/>
      <c r="P138" s="13"/>
      <c r="Q138" s="13"/>
      <c r="R138" s="13"/>
      <c r="S138" s="13"/>
      <c r="T138" s="13"/>
      <c r="U138" s="13"/>
      <c r="V138" s="13"/>
      <c r="W138" s="13"/>
      <c r="X138" s="13"/>
      <c r="Y138" s="13"/>
      <c r="Z138" s="13"/>
      <c r="AA138" s="13"/>
      <c r="AB138" s="13"/>
    </row>
    <row r="139" spans="1:28" ht="17.399999999999999" x14ac:dyDescent="0.35">
      <c r="A139" s="16"/>
      <c r="B139" s="17"/>
      <c r="C139" s="13"/>
      <c r="D139" s="13"/>
      <c r="E139" s="15"/>
      <c r="F139" s="13"/>
      <c r="G139" s="13"/>
      <c r="H139" s="6"/>
      <c r="I139" s="13"/>
      <c r="J139" s="13"/>
      <c r="K139" s="13"/>
      <c r="L139" s="13"/>
      <c r="M139" s="13"/>
      <c r="N139" s="13"/>
      <c r="O139" s="13"/>
      <c r="P139" s="13"/>
      <c r="Q139" s="13"/>
      <c r="R139" s="13"/>
      <c r="S139" s="13"/>
      <c r="T139" s="13"/>
      <c r="U139" s="13"/>
      <c r="V139" s="13"/>
      <c r="W139" s="13"/>
      <c r="X139" s="13"/>
      <c r="Y139" s="13"/>
      <c r="Z139" s="13"/>
      <c r="AA139" s="13"/>
      <c r="AB139" s="13"/>
    </row>
    <row r="140" spans="1:28" ht="17.399999999999999" x14ac:dyDescent="0.35">
      <c r="A140" s="16"/>
      <c r="B140" s="17"/>
      <c r="C140" s="13"/>
      <c r="D140" s="13"/>
      <c r="E140" s="15"/>
      <c r="F140" s="13"/>
      <c r="G140" s="13"/>
      <c r="H140" s="6"/>
      <c r="I140" s="13"/>
      <c r="J140" s="13"/>
      <c r="K140" s="13"/>
      <c r="L140" s="13"/>
      <c r="M140" s="13"/>
      <c r="N140" s="13"/>
      <c r="O140" s="13"/>
      <c r="P140" s="13"/>
      <c r="Q140" s="13"/>
      <c r="R140" s="13"/>
      <c r="S140" s="13"/>
      <c r="T140" s="13"/>
      <c r="U140" s="13"/>
      <c r="V140" s="13"/>
      <c r="W140" s="13"/>
      <c r="X140" s="13"/>
      <c r="Y140" s="13"/>
      <c r="Z140" s="13"/>
      <c r="AA140" s="13"/>
      <c r="AB140" s="13"/>
    </row>
    <row r="141" spans="1:28" ht="17.399999999999999" x14ac:dyDescent="0.35">
      <c r="A141" s="16"/>
      <c r="B141" s="17"/>
      <c r="C141" s="13"/>
      <c r="D141" s="13"/>
      <c r="E141" s="15"/>
      <c r="F141" s="13"/>
      <c r="G141" s="13"/>
      <c r="H141" s="6"/>
      <c r="I141" s="13"/>
      <c r="J141" s="13"/>
      <c r="K141" s="13"/>
      <c r="L141" s="13"/>
      <c r="M141" s="13"/>
      <c r="N141" s="13"/>
      <c r="O141" s="13"/>
      <c r="P141" s="13"/>
      <c r="Q141" s="13"/>
      <c r="R141" s="13"/>
      <c r="S141" s="13"/>
      <c r="T141" s="13"/>
      <c r="U141" s="13"/>
      <c r="V141" s="13"/>
      <c r="W141" s="13"/>
      <c r="X141" s="13"/>
      <c r="Y141" s="13"/>
      <c r="Z141" s="13"/>
      <c r="AA141" s="13"/>
      <c r="AB141" s="13"/>
    </row>
    <row r="142" spans="1:28" ht="17.399999999999999" x14ac:dyDescent="0.35">
      <c r="A142" s="16"/>
      <c r="B142" s="17"/>
      <c r="C142" s="13"/>
      <c r="D142" s="13"/>
      <c r="E142" s="15"/>
      <c r="F142" s="13"/>
      <c r="G142" s="13"/>
      <c r="H142" s="6"/>
      <c r="I142" s="13"/>
      <c r="J142" s="13"/>
      <c r="K142" s="13"/>
      <c r="L142" s="13"/>
      <c r="M142" s="13"/>
      <c r="N142" s="13"/>
      <c r="O142" s="13"/>
      <c r="P142" s="13"/>
      <c r="Q142" s="13"/>
      <c r="R142" s="13"/>
      <c r="S142" s="13"/>
      <c r="T142" s="13"/>
      <c r="U142" s="13"/>
      <c r="V142" s="13"/>
      <c r="W142" s="13"/>
      <c r="X142" s="13"/>
      <c r="Y142" s="13"/>
      <c r="Z142" s="13"/>
      <c r="AA142" s="13"/>
      <c r="AB142" s="13"/>
    </row>
    <row r="143" spans="1:28" ht="17.399999999999999" x14ac:dyDescent="0.35">
      <c r="A143" s="16"/>
      <c r="B143" s="17"/>
      <c r="C143" s="13"/>
      <c r="D143" s="13"/>
      <c r="E143" s="15"/>
      <c r="F143" s="13"/>
      <c r="G143" s="13"/>
      <c r="H143" s="6"/>
      <c r="I143" s="13"/>
      <c r="J143" s="13"/>
      <c r="K143" s="13"/>
      <c r="L143" s="13"/>
      <c r="M143" s="13"/>
      <c r="N143" s="13"/>
      <c r="O143" s="13"/>
      <c r="P143" s="13"/>
      <c r="Q143" s="13"/>
      <c r="R143" s="13"/>
      <c r="S143" s="13"/>
      <c r="T143" s="13"/>
      <c r="U143" s="13"/>
      <c r="V143" s="13"/>
      <c r="W143" s="13"/>
      <c r="X143" s="13"/>
      <c r="Y143" s="13"/>
      <c r="Z143" s="13"/>
      <c r="AA143" s="13"/>
      <c r="AB143" s="13"/>
    </row>
    <row r="144" spans="1:28" ht="17.399999999999999" x14ac:dyDescent="0.35">
      <c r="A144" s="16"/>
      <c r="B144" s="17"/>
      <c r="C144" s="13"/>
      <c r="D144" s="13"/>
      <c r="E144" s="15"/>
      <c r="F144" s="13"/>
      <c r="G144" s="13"/>
      <c r="H144" s="6"/>
      <c r="I144" s="13"/>
      <c r="J144" s="13"/>
      <c r="K144" s="13"/>
      <c r="L144" s="13"/>
      <c r="M144" s="13"/>
      <c r="N144" s="13"/>
      <c r="O144" s="13"/>
      <c r="P144" s="13"/>
      <c r="Q144" s="13"/>
      <c r="R144" s="13"/>
      <c r="S144" s="13"/>
      <c r="T144" s="13"/>
      <c r="U144" s="13"/>
      <c r="V144" s="13"/>
      <c r="W144" s="13"/>
      <c r="X144" s="13"/>
      <c r="Y144" s="13"/>
      <c r="Z144" s="13"/>
      <c r="AA144" s="13"/>
      <c r="AB144" s="13"/>
    </row>
    <row r="145" spans="1:28" ht="17.399999999999999" x14ac:dyDescent="0.35">
      <c r="A145" s="16"/>
      <c r="B145" s="17"/>
      <c r="C145" s="13"/>
      <c r="D145" s="13"/>
      <c r="E145" s="15"/>
      <c r="F145" s="13"/>
      <c r="G145" s="13"/>
      <c r="H145" s="6"/>
      <c r="I145" s="13"/>
      <c r="J145" s="13"/>
      <c r="K145" s="13"/>
      <c r="L145" s="13"/>
      <c r="M145" s="13"/>
      <c r="N145" s="13"/>
      <c r="O145" s="13"/>
      <c r="P145" s="13"/>
      <c r="Q145" s="13"/>
      <c r="R145" s="13"/>
      <c r="S145" s="13"/>
      <c r="T145" s="13"/>
      <c r="U145" s="13"/>
      <c r="V145" s="13"/>
      <c r="W145" s="13"/>
      <c r="X145" s="13"/>
      <c r="Y145" s="13"/>
      <c r="Z145" s="13"/>
      <c r="AA145" s="13"/>
      <c r="AB145" s="13"/>
    </row>
    <row r="146" spans="1:28" ht="17.399999999999999" x14ac:dyDescent="0.35">
      <c r="A146" s="16"/>
      <c r="B146" s="17"/>
      <c r="C146" s="13"/>
      <c r="D146" s="13"/>
      <c r="E146" s="15"/>
      <c r="F146" s="13"/>
      <c r="G146" s="13"/>
      <c r="H146" s="6"/>
      <c r="I146" s="13"/>
      <c r="J146" s="13"/>
      <c r="K146" s="13"/>
      <c r="L146" s="13"/>
      <c r="M146" s="13"/>
      <c r="N146" s="13"/>
      <c r="O146" s="13"/>
      <c r="P146" s="13"/>
      <c r="Q146" s="13"/>
      <c r="R146" s="13"/>
      <c r="S146" s="13"/>
      <c r="T146" s="13"/>
      <c r="U146" s="13"/>
      <c r="V146" s="13"/>
      <c r="W146" s="13"/>
      <c r="X146" s="13"/>
      <c r="Y146" s="13"/>
      <c r="Z146" s="13"/>
      <c r="AA146" s="13"/>
      <c r="AB146" s="13"/>
    </row>
    <row r="147" spans="1:28" ht="17.399999999999999" x14ac:dyDescent="0.35">
      <c r="A147" s="16"/>
      <c r="B147" s="17"/>
      <c r="C147" s="13"/>
      <c r="D147" s="13"/>
      <c r="E147" s="15"/>
      <c r="F147" s="13"/>
      <c r="G147" s="13"/>
      <c r="H147" s="6"/>
      <c r="I147" s="13"/>
      <c r="J147" s="13"/>
      <c r="K147" s="13"/>
      <c r="L147" s="13"/>
      <c r="M147" s="13"/>
      <c r="N147" s="13"/>
      <c r="O147" s="13"/>
      <c r="P147" s="13"/>
      <c r="Q147" s="13"/>
      <c r="R147" s="13"/>
      <c r="S147" s="13"/>
      <c r="T147" s="13"/>
      <c r="U147" s="13"/>
      <c r="V147" s="13"/>
      <c r="W147" s="13"/>
      <c r="X147" s="13"/>
      <c r="Y147" s="13"/>
      <c r="Z147" s="13"/>
      <c r="AA147" s="13"/>
      <c r="AB147" s="13"/>
    </row>
    <row r="148" spans="1:28" ht="17.399999999999999" x14ac:dyDescent="0.35">
      <c r="A148" s="16"/>
      <c r="B148" s="17"/>
      <c r="C148" s="13"/>
      <c r="D148" s="13"/>
      <c r="E148" s="15"/>
      <c r="F148" s="13"/>
      <c r="G148" s="13"/>
      <c r="H148" s="6"/>
      <c r="I148" s="13"/>
      <c r="J148" s="13"/>
      <c r="K148" s="13"/>
      <c r="L148" s="13"/>
      <c r="M148" s="13"/>
      <c r="N148" s="13"/>
      <c r="O148" s="13"/>
      <c r="P148" s="13"/>
      <c r="Q148" s="13"/>
      <c r="R148" s="13"/>
      <c r="S148" s="13"/>
      <c r="T148" s="13"/>
      <c r="U148" s="13"/>
      <c r="V148" s="13"/>
      <c r="W148" s="13"/>
      <c r="X148" s="13"/>
      <c r="Y148" s="13"/>
      <c r="Z148" s="13"/>
      <c r="AA148" s="13"/>
      <c r="AB148" s="13"/>
    </row>
    <row r="149" spans="1:28" ht="17.399999999999999" x14ac:dyDescent="0.35">
      <c r="A149" s="16"/>
      <c r="B149" s="17"/>
      <c r="C149" s="13"/>
      <c r="D149" s="13"/>
      <c r="E149" s="15"/>
      <c r="F149" s="13"/>
      <c r="G149" s="13"/>
      <c r="H149" s="6"/>
      <c r="I149" s="13"/>
      <c r="J149" s="13"/>
      <c r="K149" s="13"/>
      <c r="L149" s="13"/>
      <c r="M149" s="13"/>
      <c r="N149" s="13"/>
      <c r="O149" s="13"/>
      <c r="P149" s="13"/>
      <c r="Q149" s="13"/>
      <c r="R149" s="13"/>
      <c r="S149" s="13"/>
      <c r="T149" s="13"/>
      <c r="U149" s="13"/>
      <c r="V149" s="13"/>
      <c r="W149" s="13"/>
      <c r="X149" s="13"/>
      <c r="Y149" s="13"/>
      <c r="Z149" s="13"/>
      <c r="AA149" s="13"/>
      <c r="AB149" s="13"/>
    </row>
    <row r="150" spans="1:28" ht="17.399999999999999" x14ac:dyDescent="0.35">
      <c r="A150" s="16"/>
      <c r="B150" s="17"/>
      <c r="C150" s="13"/>
      <c r="D150" s="13"/>
      <c r="E150" s="15"/>
      <c r="F150" s="13"/>
      <c r="G150" s="13"/>
      <c r="H150" s="6"/>
      <c r="I150" s="13"/>
      <c r="J150" s="13"/>
      <c r="K150" s="13"/>
      <c r="L150" s="13"/>
      <c r="M150" s="13"/>
      <c r="N150" s="13"/>
      <c r="O150" s="13"/>
      <c r="P150" s="13"/>
      <c r="Q150" s="13"/>
      <c r="R150" s="13"/>
      <c r="S150" s="13"/>
      <c r="T150" s="13"/>
      <c r="U150" s="13"/>
      <c r="V150" s="13"/>
      <c r="W150" s="13"/>
      <c r="X150" s="13"/>
      <c r="Y150" s="13"/>
      <c r="Z150" s="13"/>
      <c r="AA150" s="13"/>
      <c r="AB150" s="13"/>
    </row>
    <row r="151" spans="1:28" ht="17.399999999999999" x14ac:dyDescent="0.35">
      <c r="A151" s="16"/>
      <c r="B151" s="17"/>
      <c r="C151" s="13"/>
      <c r="D151" s="13"/>
      <c r="E151" s="15"/>
      <c r="F151" s="13"/>
      <c r="G151" s="13"/>
      <c r="H151" s="6"/>
      <c r="I151" s="13"/>
      <c r="J151" s="13"/>
      <c r="K151" s="13"/>
      <c r="L151" s="13"/>
      <c r="M151" s="13"/>
      <c r="N151" s="13"/>
      <c r="O151" s="13"/>
      <c r="P151" s="13"/>
      <c r="Q151" s="13"/>
      <c r="R151" s="13"/>
      <c r="S151" s="13"/>
      <c r="T151" s="13"/>
      <c r="U151" s="13"/>
      <c r="V151" s="13"/>
      <c r="W151" s="13"/>
      <c r="X151" s="13"/>
      <c r="Y151" s="13"/>
      <c r="Z151" s="13"/>
      <c r="AA151" s="13"/>
      <c r="AB151" s="13"/>
    </row>
    <row r="152" spans="1:28" ht="17.399999999999999" x14ac:dyDescent="0.35">
      <c r="A152" s="16"/>
      <c r="B152" s="17"/>
      <c r="C152" s="13"/>
      <c r="D152" s="13"/>
      <c r="E152" s="15"/>
      <c r="F152" s="13"/>
      <c r="G152" s="13"/>
      <c r="H152" s="6"/>
      <c r="I152" s="13"/>
      <c r="J152" s="13"/>
      <c r="K152" s="13"/>
      <c r="L152" s="13"/>
      <c r="M152" s="13"/>
      <c r="N152" s="13"/>
      <c r="O152" s="13"/>
      <c r="P152" s="13"/>
      <c r="Q152" s="13"/>
      <c r="R152" s="13"/>
      <c r="S152" s="13"/>
      <c r="T152" s="13"/>
      <c r="U152" s="13"/>
      <c r="V152" s="13"/>
      <c r="W152" s="13"/>
      <c r="X152" s="13"/>
      <c r="Y152" s="13"/>
      <c r="Z152" s="13"/>
      <c r="AA152" s="13"/>
      <c r="AB152" s="13"/>
    </row>
    <row r="153" spans="1:28" ht="17.399999999999999" x14ac:dyDescent="0.35">
      <c r="A153" s="16"/>
      <c r="B153" s="17"/>
      <c r="C153" s="13"/>
      <c r="D153" s="13"/>
      <c r="E153" s="15"/>
      <c r="F153" s="13"/>
      <c r="G153" s="13"/>
      <c r="H153" s="6"/>
      <c r="I153" s="13"/>
      <c r="J153" s="13"/>
      <c r="K153" s="13"/>
      <c r="L153" s="13"/>
      <c r="M153" s="13"/>
      <c r="N153" s="13"/>
      <c r="O153" s="13"/>
      <c r="P153" s="13"/>
      <c r="Q153" s="13"/>
      <c r="R153" s="13"/>
      <c r="S153" s="13"/>
      <c r="T153" s="13"/>
      <c r="U153" s="13"/>
      <c r="V153" s="13"/>
      <c r="W153" s="13"/>
      <c r="X153" s="13"/>
      <c r="Y153" s="13"/>
      <c r="Z153" s="13"/>
      <c r="AA153" s="13"/>
      <c r="AB153" s="13"/>
    </row>
    <row r="154" spans="1:28" ht="17.399999999999999" x14ac:dyDescent="0.35">
      <c r="A154" s="16"/>
      <c r="B154" s="17"/>
      <c r="C154" s="13"/>
      <c r="D154" s="13"/>
      <c r="E154" s="15"/>
      <c r="F154" s="13"/>
      <c r="G154" s="13"/>
      <c r="H154" s="6"/>
      <c r="I154" s="13"/>
      <c r="J154" s="13"/>
      <c r="K154" s="13"/>
      <c r="L154" s="13"/>
      <c r="M154" s="13"/>
      <c r="N154" s="13"/>
      <c r="O154" s="13"/>
      <c r="P154" s="13"/>
      <c r="Q154" s="13"/>
      <c r="R154" s="13"/>
      <c r="S154" s="13"/>
      <c r="T154" s="13"/>
      <c r="U154" s="13"/>
      <c r="V154" s="13"/>
      <c r="W154" s="13"/>
      <c r="X154" s="13"/>
      <c r="Y154" s="13"/>
      <c r="Z154" s="13"/>
      <c r="AA154" s="13"/>
      <c r="AB154" s="13"/>
    </row>
    <row r="155" spans="1:28" ht="17.399999999999999" x14ac:dyDescent="0.35">
      <c r="A155" s="16"/>
      <c r="B155" s="17"/>
      <c r="C155" s="13"/>
      <c r="D155" s="13"/>
      <c r="E155" s="15"/>
      <c r="F155" s="13"/>
      <c r="G155" s="13"/>
      <c r="H155" s="6"/>
      <c r="I155" s="13"/>
      <c r="J155" s="13"/>
      <c r="K155" s="13"/>
      <c r="L155" s="13"/>
      <c r="M155" s="13"/>
      <c r="N155" s="13"/>
      <c r="O155" s="13"/>
      <c r="P155" s="13"/>
      <c r="Q155" s="13"/>
      <c r="R155" s="13"/>
      <c r="S155" s="13"/>
      <c r="T155" s="13"/>
      <c r="U155" s="13"/>
      <c r="V155" s="13"/>
      <c r="W155" s="13"/>
      <c r="X155" s="13"/>
      <c r="Y155" s="13"/>
      <c r="Z155" s="13"/>
      <c r="AA155" s="13"/>
      <c r="AB155" s="13"/>
    </row>
    <row r="156" spans="1:28" ht="17.399999999999999" x14ac:dyDescent="0.35">
      <c r="A156" s="16"/>
      <c r="B156" s="17"/>
      <c r="C156" s="13"/>
      <c r="D156" s="13"/>
      <c r="E156" s="15"/>
      <c r="F156" s="13"/>
      <c r="G156" s="13"/>
      <c r="H156" s="6"/>
      <c r="I156" s="13"/>
      <c r="J156" s="13"/>
      <c r="K156" s="13"/>
      <c r="L156" s="13"/>
      <c r="M156" s="13"/>
      <c r="N156" s="13"/>
      <c r="O156" s="13"/>
      <c r="P156" s="13"/>
      <c r="Q156" s="13"/>
      <c r="R156" s="13"/>
      <c r="S156" s="13"/>
      <c r="T156" s="13"/>
      <c r="U156" s="13"/>
      <c r="V156" s="13"/>
      <c r="W156" s="13"/>
      <c r="X156" s="13"/>
      <c r="Y156" s="13"/>
      <c r="Z156" s="13"/>
      <c r="AA156" s="13"/>
      <c r="AB156" s="13"/>
    </row>
    <row r="157" spans="1:28" ht="17.399999999999999" x14ac:dyDescent="0.35">
      <c r="A157" s="16"/>
      <c r="B157" s="17"/>
      <c r="C157" s="13"/>
      <c r="D157" s="13"/>
      <c r="E157" s="15"/>
      <c r="F157" s="13"/>
      <c r="G157" s="13"/>
      <c r="H157" s="6"/>
      <c r="I157" s="13"/>
      <c r="J157" s="13"/>
      <c r="K157" s="13"/>
      <c r="L157" s="13"/>
      <c r="M157" s="13"/>
      <c r="N157" s="13"/>
      <c r="O157" s="13"/>
      <c r="P157" s="13"/>
      <c r="Q157" s="13"/>
      <c r="R157" s="13"/>
      <c r="S157" s="13"/>
      <c r="T157" s="13"/>
      <c r="U157" s="13"/>
      <c r="V157" s="13"/>
      <c r="W157" s="13"/>
      <c r="X157" s="13"/>
      <c r="Y157" s="13"/>
      <c r="Z157" s="13"/>
      <c r="AA157" s="13"/>
      <c r="AB157" s="13"/>
    </row>
    <row r="158" spans="1:28" ht="17.399999999999999" x14ac:dyDescent="0.35">
      <c r="A158" s="16"/>
      <c r="B158" s="17"/>
      <c r="C158" s="13"/>
      <c r="D158" s="13"/>
      <c r="E158" s="15"/>
      <c r="F158" s="13"/>
      <c r="G158" s="13"/>
      <c r="H158" s="6"/>
      <c r="I158" s="13"/>
      <c r="J158" s="13"/>
      <c r="K158" s="13"/>
      <c r="L158" s="13"/>
      <c r="M158" s="13"/>
      <c r="N158" s="13"/>
      <c r="O158" s="13"/>
      <c r="P158" s="13"/>
      <c r="Q158" s="13"/>
      <c r="R158" s="13"/>
      <c r="S158" s="13"/>
      <c r="T158" s="13"/>
      <c r="U158" s="13"/>
      <c r="V158" s="13"/>
      <c r="W158" s="13"/>
      <c r="X158" s="13"/>
      <c r="Y158" s="13"/>
      <c r="Z158" s="13"/>
      <c r="AA158" s="13"/>
      <c r="AB158" s="13"/>
    </row>
    <row r="159" spans="1:28" ht="17.399999999999999" x14ac:dyDescent="0.35">
      <c r="A159" s="16"/>
      <c r="B159" s="17"/>
      <c r="C159" s="13"/>
      <c r="D159" s="13"/>
      <c r="E159" s="15"/>
      <c r="F159" s="13"/>
      <c r="G159" s="13"/>
      <c r="H159" s="6"/>
      <c r="I159" s="13"/>
      <c r="J159" s="13"/>
      <c r="K159" s="13"/>
      <c r="L159" s="13"/>
      <c r="M159" s="13"/>
      <c r="N159" s="13"/>
      <c r="O159" s="13"/>
      <c r="P159" s="13"/>
      <c r="Q159" s="13"/>
      <c r="R159" s="13"/>
      <c r="S159" s="13"/>
      <c r="T159" s="13"/>
      <c r="U159" s="13"/>
      <c r="V159" s="13"/>
      <c r="W159" s="13"/>
      <c r="X159" s="13"/>
      <c r="Y159" s="13"/>
      <c r="Z159" s="13"/>
      <c r="AA159" s="13"/>
      <c r="AB159" s="13"/>
    </row>
    <row r="160" spans="1:28" ht="17.399999999999999" x14ac:dyDescent="0.35">
      <c r="A160" s="16"/>
      <c r="B160" s="17"/>
      <c r="C160" s="13"/>
      <c r="D160" s="13"/>
      <c r="E160" s="15"/>
      <c r="F160" s="13"/>
      <c r="G160" s="13"/>
      <c r="H160" s="6"/>
      <c r="I160" s="13"/>
      <c r="J160" s="13"/>
      <c r="K160" s="13"/>
      <c r="L160" s="13"/>
      <c r="M160" s="13"/>
      <c r="N160" s="13"/>
      <c r="O160" s="13"/>
      <c r="P160" s="13"/>
      <c r="Q160" s="13"/>
      <c r="R160" s="13"/>
      <c r="S160" s="13"/>
      <c r="T160" s="13"/>
      <c r="U160" s="13"/>
      <c r="V160" s="13"/>
      <c r="W160" s="13"/>
      <c r="X160" s="13"/>
      <c r="Y160" s="13"/>
      <c r="Z160" s="13"/>
      <c r="AA160" s="13"/>
      <c r="AB160" s="13"/>
    </row>
    <row r="161" spans="1:28" ht="17.399999999999999" x14ac:dyDescent="0.35">
      <c r="A161" s="16"/>
      <c r="B161" s="17"/>
      <c r="C161" s="13"/>
      <c r="D161" s="13"/>
      <c r="E161" s="15"/>
      <c r="F161" s="13"/>
      <c r="G161" s="13"/>
      <c r="H161" s="6"/>
      <c r="I161" s="13"/>
      <c r="J161" s="13"/>
      <c r="K161" s="13"/>
      <c r="L161" s="13"/>
      <c r="M161" s="13"/>
      <c r="N161" s="13"/>
      <c r="O161" s="13"/>
      <c r="P161" s="13"/>
      <c r="Q161" s="13"/>
      <c r="R161" s="13"/>
      <c r="S161" s="13"/>
      <c r="T161" s="13"/>
      <c r="U161" s="13"/>
      <c r="V161" s="13"/>
      <c r="W161" s="13"/>
      <c r="X161" s="13"/>
      <c r="Y161" s="13"/>
      <c r="Z161" s="13"/>
      <c r="AA161" s="13"/>
      <c r="AB161" s="13"/>
    </row>
    <row r="162" spans="1:28" ht="17.399999999999999" x14ac:dyDescent="0.35">
      <c r="A162" s="16"/>
      <c r="B162" s="17"/>
      <c r="C162" s="13"/>
      <c r="D162" s="13"/>
      <c r="E162" s="15"/>
      <c r="F162" s="13"/>
      <c r="G162" s="13"/>
      <c r="H162" s="6"/>
      <c r="I162" s="13"/>
      <c r="J162" s="13"/>
      <c r="K162" s="13"/>
      <c r="L162" s="13"/>
      <c r="M162" s="13"/>
      <c r="N162" s="13"/>
      <c r="O162" s="13"/>
      <c r="P162" s="13"/>
      <c r="Q162" s="13"/>
      <c r="R162" s="13"/>
      <c r="S162" s="13"/>
      <c r="T162" s="13"/>
      <c r="U162" s="13"/>
      <c r="V162" s="13"/>
      <c r="W162" s="13"/>
      <c r="X162" s="13"/>
      <c r="Y162" s="13"/>
      <c r="Z162" s="13"/>
      <c r="AA162" s="13"/>
      <c r="AB162" s="13"/>
    </row>
    <row r="163" spans="1:28" ht="17.399999999999999" x14ac:dyDescent="0.35">
      <c r="A163" s="16"/>
      <c r="B163" s="17"/>
      <c r="C163" s="13"/>
      <c r="D163" s="13"/>
      <c r="E163" s="15"/>
      <c r="F163" s="13"/>
      <c r="G163" s="13"/>
      <c r="H163" s="6"/>
      <c r="I163" s="13"/>
      <c r="J163" s="13"/>
      <c r="K163" s="13"/>
      <c r="L163" s="13"/>
      <c r="M163" s="13"/>
      <c r="N163" s="13"/>
      <c r="O163" s="13"/>
      <c r="P163" s="13"/>
      <c r="Q163" s="13"/>
      <c r="R163" s="13"/>
      <c r="S163" s="13"/>
      <c r="T163" s="13"/>
      <c r="U163" s="13"/>
      <c r="V163" s="13"/>
      <c r="W163" s="13"/>
      <c r="X163" s="13"/>
      <c r="Y163" s="13"/>
      <c r="Z163" s="13"/>
      <c r="AA163" s="13"/>
      <c r="AB163" s="13"/>
    </row>
    <row r="164" spans="1:28" ht="17.399999999999999" x14ac:dyDescent="0.35">
      <c r="A164" s="16"/>
      <c r="B164" s="17"/>
      <c r="C164" s="13"/>
      <c r="D164" s="13"/>
      <c r="E164" s="15"/>
      <c r="F164" s="13"/>
      <c r="G164" s="13"/>
      <c r="H164" s="6"/>
      <c r="I164" s="13"/>
      <c r="J164" s="13"/>
      <c r="K164" s="13"/>
      <c r="L164" s="13"/>
      <c r="M164" s="13"/>
      <c r="N164" s="13"/>
      <c r="O164" s="13"/>
      <c r="P164" s="13"/>
      <c r="Q164" s="13"/>
      <c r="R164" s="13"/>
      <c r="S164" s="13"/>
      <c r="T164" s="13"/>
      <c r="U164" s="13"/>
      <c r="V164" s="13"/>
      <c r="W164" s="13"/>
      <c r="X164" s="13"/>
      <c r="Y164" s="13"/>
      <c r="Z164" s="13"/>
      <c r="AA164" s="13"/>
      <c r="AB164" s="13"/>
    </row>
    <row r="165" spans="1:28" ht="17.399999999999999" x14ac:dyDescent="0.35">
      <c r="A165" s="16"/>
      <c r="B165" s="17"/>
      <c r="C165" s="13"/>
      <c r="D165" s="13"/>
      <c r="E165" s="15"/>
      <c r="F165" s="13"/>
      <c r="G165" s="13"/>
      <c r="H165" s="6"/>
      <c r="I165" s="13"/>
      <c r="J165" s="13"/>
      <c r="K165" s="13"/>
      <c r="L165" s="13"/>
      <c r="M165" s="13"/>
      <c r="N165" s="13"/>
      <c r="O165" s="13"/>
      <c r="P165" s="13"/>
      <c r="Q165" s="13"/>
      <c r="R165" s="13"/>
      <c r="S165" s="13"/>
      <c r="T165" s="13"/>
      <c r="U165" s="13"/>
      <c r="V165" s="13"/>
      <c r="W165" s="13"/>
      <c r="X165" s="13"/>
      <c r="Y165" s="13"/>
      <c r="Z165" s="13"/>
      <c r="AA165" s="13"/>
      <c r="AB165" s="13"/>
    </row>
    <row r="166" spans="1:28" ht="17.399999999999999" x14ac:dyDescent="0.35">
      <c r="A166" s="16"/>
      <c r="B166" s="17"/>
      <c r="C166" s="13"/>
      <c r="D166" s="13"/>
      <c r="E166" s="15"/>
      <c r="F166" s="13"/>
      <c r="G166" s="13"/>
      <c r="H166" s="6"/>
      <c r="I166" s="13"/>
      <c r="J166" s="13"/>
      <c r="K166" s="13"/>
      <c r="L166" s="13"/>
      <c r="M166" s="13"/>
      <c r="N166" s="13"/>
      <c r="O166" s="13"/>
      <c r="P166" s="13"/>
      <c r="Q166" s="13"/>
      <c r="R166" s="13"/>
      <c r="S166" s="13"/>
      <c r="T166" s="13"/>
      <c r="U166" s="13"/>
      <c r="V166" s="13"/>
      <c r="W166" s="13"/>
      <c r="X166" s="13"/>
      <c r="Y166" s="13"/>
      <c r="Z166" s="13"/>
      <c r="AA166" s="13"/>
      <c r="AB166" s="13"/>
    </row>
    <row r="167" spans="1:28" ht="17.399999999999999" x14ac:dyDescent="0.35">
      <c r="A167" s="16"/>
      <c r="B167" s="17"/>
      <c r="C167" s="13"/>
      <c r="D167" s="13"/>
      <c r="E167" s="15"/>
      <c r="F167" s="13"/>
      <c r="G167" s="13"/>
      <c r="H167" s="6"/>
      <c r="I167" s="13"/>
      <c r="J167" s="13"/>
      <c r="K167" s="13"/>
      <c r="L167" s="13"/>
      <c r="M167" s="13"/>
      <c r="N167" s="13"/>
      <c r="O167" s="13"/>
      <c r="P167" s="13"/>
      <c r="Q167" s="13"/>
      <c r="R167" s="13"/>
      <c r="S167" s="13"/>
      <c r="T167" s="13"/>
      <c r="U167" s="13"/>
      <c r="V167" s="13"/>
      <c r="W167" s="13"/>
      <c r="X167" s="13"/>
      <c r="Y167" s="13"/>
      <c r="Z167" s="13"/>
      <c r="AA167" s="13"/>
      <c r="AB167" s="13"/>
    </row>
    <row r="168" spans="1:28" ht="17.399999999999999" x14ac:dyDescent="0.35">
      <c r="A168" s="16"/>
      <c r="B168" s="17"/>
      <c r="C168" s="13"/>
      <c r="D168" s="13"/>
      <c r="E168" s="15"/>
      <c r="F168" s="13"/>
      <c r="G168" s="13"/>
      <c r="H168" s="6"/>
      <c r="I168" s="13"/>
      <c r="J168" s="13"/>
      <c r="K168" s="13"/>
      <c r="L168" s="13"/>
      <c r="M168" s="13"/>
      <c r="N168" s="13"/>
      <c r="O168" s="13"/>
      <c r="P168" s="13"/>
      <c r="Q168" s="13"/>
      <c r="R168" s="13"/>
      <c r="S168" s="13"/>
      <c r="T168" s="13"/>
      <c r="U168" s="13"/>
      <c r="V168" s="13"/>
      <c r="W168" s="13"/>
      <c r="X168" s="13"/>
      <c r="Y168" s="13"/>
      <c r="Z168" s="13"/>
      <c r="AA168" s="13"/>
      <c r="AB168" s="13"/>
    </row>
    <row r="169" spans="1:28" ht="17.399999999999999" x14ac:dyDescent="0.35">
      <c r="A169" s="16"/>
      <c r="B169" s="17"/>
      <c r="C169" s="13"/>
      <c r="D169" s="13"/>
      <c r="E169" s="15"/>
      <c r="F169" s="13"/>
      <c r="G169" s="13"/>
      <c r="H169" s="6"/>
      <c r="I169" s="13"/>
      <c r="J169" s="13"/>
      <c r="K169" s="13"/>
      <c r="L169" s="13"/>
      <c r="M169" s="13"/>
      <c r="N169" s="13"/>
      <c r="O169" s="13"/>
      <c r="P169" s="13"/>
      <c r="Q169" s="13"/>
      <c r="R169" s="13"/>
      <c r="S169" s="13"/>
      <c r="T169" s="13"/>
      <c r="U169" s="13"/>
      <c r="V169" s="13"/>
      <c r="W169" s="13"/>
      <c r="X169" s="13"/>
      <c r="Y169" s="13"/>
      <c r="Z169" s="13"/>
      <c r="AA169" s="13"/>
      <c r="AB169" s="13"/>
    </row>
    <row r="170" spans="1:28" ht="17.399999999999999" x14ac:dyDescent="0.35">
      <c r="A170" s="16"/>
      <c r="B170" s="17"/>
      <c r="C170" s="13"/>
      <c r="D170" s="13"/>
      <c r="E170" s="15"/>
      <c r="F170" s="13"/>
      <c r="G170" s="13"/>
      <c r="H170" s="6"/>
      <c r="I170" s="13"/>
      <c r="J170" s="13"/>
      <c r="K170" s="13"/>
      <c r="L170" s="13"/>
      <c r="M170" s="13"/>
      <c r="N170" s="13"/>
      <c r="O170" s="13"/>
      <c r="P170" s="13"/>
      <c r="Q170" s="13"/>
      <c r="R170" s="13"/>
      <c r="S170" s="13"/>
      <c r="T170" s="13"/>
      <c r="U170" s="13"/>
      <c r="V170" s="13"/>
      <c r="W170" s="13"/>
      <c r="X170" s="13"/>
      <c r="Y170" s="13"/>
      <c r="Z170" s="13"/>
      <c r="AA170" s="13"/>
      <c r="AB170" s="13"/>
    </row>
    <row r="171" spans="1:28" ht="17.399999999999999" x14ac:dyDescent="0.35">
      <c r="A171" s="16"/>
      <c r="B171" s="17"/>
      <c r="C171" s="13"/>
      <c r="D171" s="13"/>
      <c r="E171" s="15"/>
      <c r="F171" s="13"/>
      <c r="G171" s="13"/>
      <c r="H171" s="6"/>
      <c r="I171" s="13"/>
      <c r="J171" s="13"/>
      <c r="K171" s="13"/>
      <c r="L171" s="13"/>
      <c r="M171" s="13"/>
      <c r="N171" s="13"/>
      <c r="O171" s="13"/>
      <c r="P171" s="13"/>
      <c r="Q171" s="13"/>
      <c r="R171" s="13"/>
      <c r="S171" s="13"/>
      <c r="T171" s="13"/>
      <c r="U171" s="13"/>
      <c r="V171" s="13"/>
      <c r="W171" s="13"/>
      <c r="X171" s="13"/>
      <c r="Y171" s="13"/>
      <c r="Z171" s="13"/>
      <c r="AA171" s="13"/>
      <c r="AB171" s="13"/>
    </row>
    <row r="172" spans="1:28" ht="17.399999999999999" x14ac:dyDescent="0.35">
      <c r="A172" s="16"/>
      <c r="B172" s="17"/>
      <c r="C172" s="13"/>
      <c r="D172" s="13"/>
      <c r="E172" s="15"/>
      <c r="F172" s="13"/>
      <c r="G172" s="13"/>
      <c r="H172" s="6"/>
      <c r="I172" s="13"/>
      <c r="J172" s="13"/>
      <c r="K172" s="13"/>
      <c r="L172" s="13"/>
      <c r="M172" s="13"/>
      <c r="N172" s="13"/>
      <c r="O172" s="13"/>
      <c r="P172" s="13"/>
      <c r="Q172" s="13"/>
      <c r="R172" s="13"/>
      <c r="S172" s="13"/>
      <c r="T172" s="13"/>
      <c r="U172" s="13"/>
      <c r="V172" s="13"/>
      <c r="W172" s="13"/>
      <c r="X172" s="13"/>
      <c r="Y172" s="13"/>
      <c r="Z172" s="13"/>
      <c r="AA172" s="13"/>
      <c r="AB172" s="13"/>
    </row>
    <row r="173" spans="1:28" ht="17.399999999999999" x14ac:dyDescent="0.35">
      <c r="A173" s="16"/>
      <c r="B173" s="17"/>
      <c r="C173" s="13"/>
      <c r="D173" s="13"/>
      <c r="E173" s="15"/>
      <c r="F173" s="13"/>
      <c r="G173" s="13"/>
      <c r="H173" s="6"/>
      <c r="I173" s="13"/>
      <c r="J173" s="13"/>
      <c r="K173" s="13"/>
      <c r="L173" s="13"/>
      <c r="M173" s="13"/>
      <c r="N173" s="13"/>
      <c r="O173" s="13"/>
      <c r="P173" s="13"/>
      <c r="Q173" s="13"/>
      <c r="R173" s="13"/>
      <c r="S173" s="13"/>
      <c r="T173" s="13"/>
      <c r="U173" s="13"/>
      <c r="V173" s="13"/>
      <c r="W173" s="13"/>
      <c r="X173" s="13"/>
      <c r="Y173" s="13"/>
      <c r="Z173" s="13"/>
      <c r="AA173" s="13"/>
      <c r="AB173" s="13"/>
    </row>
    <row r="174" spans="1:28" ht="17.399999999999999" x14ac:dyDescent="0.35">
      <c r="A174" s="16"/>
      <c r="B174" s="17"/>
      <c r="C174" s="13"/>
      <c r="D174" s="13"/>
      <c r="E174" s="15"/>
      <c r="F174" s="13"/>
      <c r="G174" s="13"/>
      <c r="H174" s="6"/>
      <c r="I174" s="13"/>
      <c r="J174" s="13"/>
      <c r="K174" s="13"/>
      <c r="L174" s="13"/>
      <c r="M174" s="13"/>
      <c r="N174" s="13"/>
      <c r="O174" s="13"/>
      <c r="P174" s="13"/>
      <c r="Q174" s="13"/>
      <c r="R174" s="13"/>
      <c r="S174" s="13"/>
      <c r="T174" s="13"/>
      <c r="U174" s="13"/>
      <c r="V174" s="13"/>
      <c r="W174" s="13"/>
      <c r="X174" s="13"/>
      <c r="Y174" s="13"/>
      <c r="Z174" s="13"/>
      <c r="AA174" s="13"/>
      <c r="AB174" s="13"/>
    </row>
    <row r="175" spans="1:28" ht="17.399999999999999" x14ac:dyDescent="0.35">
      <c r="A175" s="16"/>
      <c r="B175" s="17"/>
      <c r="C175" s="13"/>
      <c r="D175" s="13"/>
      <c r="E175" s="15"/>
      <c r="F175" s="13"/>
      <c r="G175" s="13"/>
      <c r="H175" s="6"/>
      <c r="I175" s="13"/>
      <c r="J175" s="13"/>
      <c r="K175" s="13"/>
      <c r="L175" s="13"/>
      <c r="M175" s="13"/>
      <c r="N175" s="13"/>
      <c r="O175" s="13"/>
      <c r="P175" s="13"/>
      <c r="Q175" s="13"/>
      <c r="R175" s="13"/>
      <c r="S175" s="13"/>
      <c r="T175" s="13"/>
      <c r="U175" s="13"/>
      <c r="V175" s="13"/>
      <c r="W175" s="13"/>
      <c r="X175" s="13"/>
      <c r="Y175" s="13"/>
      <c r="Z175" s="13"/>
      <c r="AA175" s="13"/>
      <c r="AB175" s="13"/>
    </row>
    <row r="176" spans="1:28" ht="17.399999999999999" x14ac:dyDescent="0.35">
      <c r="A176" s="16"/>
      <c r="B176" s="17"/>
      <c r="C176" s="13"/>
      <c r="D176" s="13"/>
      <c r="E176" s="15"/>
      <c r="F176" s="13"/>
      <c r="G176" s="13"/>
      <c r="H176" s="6"/>
      <c r="I176" s="13"/>
      <c r="J176" s="13"/>
      <c r="K176" s="13"/>
      <c r="L176" s="13"/>
      <c r="M176" s="13"/>
      <c r="N176" s="13"/>
      <c r="O176" s="13"/>
      <c r="P176" s="13"/>
      <c r="Q176" s="13"/>
      <c r="R176" s="13"/>
      <c r="S176" s="13"/>
      <c r="T176" s="13"/>
      <c r="U176" s="13"/>
      <c r="V176" s="13"/>
      <c r="W176" s="13"/>
      <c r="X176" s="13"/>
      <c r="Y176" s="13"/>
      <c r="Z176" s="13"/>
      <c r="AA176" s="13"/>
      <c r="AB176" s="13"/>
    </row>
    <row r="177" spans="1:28" ht="17.399999999999999" x14ac:dyDescent="0.35">
      <c r="A177" s="16"/>
      <c r="B177" s="17"/>
      <c r="C177" s="13"/>
      <c r="D177" s="13"/>
      <c r="E177" s="15"/>
      <c r="F177" s="13"/>
      <c r="G177" s="13"/>
      <c r="H177" s="6"/>
      <c r="I177" s="13"/>
      <c r="J177" s="13"/>
      <c r="K177" s="13"/>
      <c r="L177" s="13"/>
      <c r="M177" s="13"/>
      <c r="N177" s="13"/>
      <c r="O177" s="13"/>
      <c r="P177" s="13"/>
      <c r="Q177" s="13"/>
      <c r="R177" s="13"/>
      <c r="S177" s="13"/>
      <c r="T177" s="13"/>
      <c r="U177" s="13"/>
      <c r="V177" s="13"/>
      <c r="W177" s="13"/>
      <c r="X177" s="13"/>
      <c r="Y177" s="13"/>
      <c r="Z177" s="13"/>
      <c r="AA177" s="13"/>
      <c r="AB177" s="13"/>
    </row>
    <row r="178" spans="1:28" ht="17.399999999999999" x14ac:dyDescent="0.35">
      <c r="A178" s="16"/>
      <c r="B178" s="17"/>
      <c r="C178" s="13"/>
      <c r="D178" s="13"/>
      <c r="E178" s="15"/>
      <c r="F178" s="13"/>
      <c r="G178" s="13"/>
      <c r="H178" s="6"/>
      <c r="I178" s="13"/>
      <c r="J178" s="13"/>
      <c r="K178" s="13"/>
      <c r="L178" s="13"/>
      <c r="M178" s="13"/>
      <c r="N178" s="13"/>
      <c r="O178" s="13"/>
      <c r="P178" s="13"/>
      <c r="Q178" s="13"/>
      <c r="R178" s="13"/>
      <c r="S178" s="13"/>
      <c r="T178" s="13"/>
      <c r="U178" s="13"/>
      <c r="V178" s="13"/>
      <c r="W178" s="13"/>
      <c r="X178" s="13"/>
      <c r="Y178" s="13"/>
      <c r="Z178" s="13"/>
      <c r="AA178" s="13"/>
      <c r="AB178" s="13"/>
    </row>
    <row r="179" spans="1:28" ht="17.399999999999999" x14ac:dyDescent="0.35">
      <c r="A179" s="16"/>
      <c r="B179" s="17"/>
      <c r="C179" s="13"/>
      <c r="D179" s="13"/>
      <c r="E179" s="15"/>
      <c r="F179" s="13"/>
      <c r="G179" s="13"/>
      <c r="H179" s="6"/>
      <c r="I179" s="13"/>
      <c r="J179" s="13"/>
      <c r="K179" s="13"/>
      <c r="L179" s="13"/>
      <c r="M179" s="13"/>
      <c r="N179" s="13"/>
      <c r="O179" s="13"/>
      <c r="P179" s="13"/>
      <c r="Q179" s="13"/>
      <c r="R179" s="13"/>
      <c r="S179" s="13"/>
      <c r="T179" s="13"/>
      <c r="U179" s="13"/>
      <c r="V179" s="13"/>
      <c r="W179" s="13"/>
      <c r="X179" s="13"/>
      <c r="Y179" s="13"/>
      <c r="Z179" s="13"/>
      <c r="AA179" s="13"/>
      <c r="AB179" s="13"/>
    </row>
    <row r="180" spans="1:28" ht="17.399999999999999" x14ac:dyDescent="0.35">
      <c r="A180" s="16"/>
      <c r="B180" s="17"/>
      <c r="C180" s="13"/>
      <c r="D180" s="13"/>
      <c r="E180" s="15"/>
      <c r="F180" s="13"/>
      <c r="G180" s="13"/>
      <c r="H180" s="6"/>
      <c r="I180" s="13"/>
      <c r="J180" s="13"/>
      <c r="K180" s="13"/>
      <c r="L180" s="13"/>
      <c r="M180" s="13"/>
      <c r="N180" s="13"/>
      <c r="O180" s="13"/>
      <c r="P180" s="13"/>
      <c r="Q180" s="13"/>
      <c r="R180" s="13"/>
      <c r="S180" s="13"/>
      <c r="T180" s="13"/>
      <c r="U180" s="13"/>
      <c r="V180" s="13"/>
      <c r="W180" s="13"/>
      <c r="X180" s="13"/>
      <c r="Y180" s="13"/>
      <c r="Z180" s="13"/>
      <c r="AA180" s="13"/>
      <c r="AB180" s="13"/>
    </row>
    <row r="181" spans="1:28" ht="17.399999999999999" x14ac:dyDescent="0.35">
      <c r="A181" s="16"/>
      <c r="B181" s="17"/>
      <c r="C181" s="13"/>
      <c r="D181" s="13"/>
      <c r="E181" s="15"/>
      <c r="F181" s="13"/>
      <c r="G181" s="13"/>
      <c r="H181" s="6"/>
      <c r="I181" s="13"/>
      <c r="J181" s="13"/>
      <c r="K181" s="13"/>
      <c r="L181" s="13"/>
      <c r="M181" s="13"/>
      <c r="N181" s="13"/>
      <c r="O181" s="13"/>
      <c r="P181" s="13"/>
      <c r="Q181" s="13"/>
      <c r="R181" s="13"/>
      <c r="S181" s="13"/>
      <c r="T181" s="13"/>
      <c r="U181" s="13"/>
      <c r="V181" s="13"/>
      <c r="W181" s="13"/>
      <c r="X181" s="13"/>
      <c r="Y181" s="13"/>
      <c r="Z181" s="13"/>
      <c r="AA181" s="13"/>
      <c r="AB181" s="13"/>
    </row>
    <row r="182" spans="1:28" ht="17.399999999999999" x14ac:dyDescent="0.35">
      <c r="A182" s="16"/>
      <c r="B182" s="17"/>
      <c r="C182" s="13"/>
      <c r="D182" s="13"/>
      <c r="E182" s="15"/>
      <c r="F182" s="13"/>
      <c r="G182" s="13"/>
      <c r="H182" s="6"/>
      <c r="I182" s="13"/>
      <c r="J182" s="13"/>
      <c r="K182" s="13"/>
      <c r="L182" s="13"/>
      <c r="M182" s="13"/>
      <c r="N182" s="13"/>
      <c r="O182" s="13"/>
      <c r="P182" s="13"/>
      <c r="Q182" s="13"/>
      <c r="R182" s="13"/>
      <c r="S182" s="13"/>
      <c r="T182" s="13"/>
      <c r="U182" s="13"/>
      <c r="V182" s="13"/>
      <c r="W182" s="13"/>
      <c r="X182" s="13"/>
      <c r="Y182" s="13"/>
      <c r="Z182" s="13"/>
      <c r="AA182" s="13"/>
      <c r="AB182" s="13"/>
    </row>
    <row r="183" spans="1:28" ht="17.399999999999999" x14ac:dyDescent="0.35">
      <c r="A183" s="16"/>
      <c r="B183" s="17"/>
      <c r="C183" s="13"/>
      <c r="D183" s="13"/>
      <c r="E183" s="15"/>
      <c r="F183" s="13"/>
      <c r="G183" s="13"/>
      <c r="H183" s="6"/>
      <c r="I183" s="13"/>
      <c r="J183" s="13"/>
      <c r="K183" s="13"/>
      <c r="L183" s="13"/>
      <c r="M183" s="13"/>
      <c r="N183" s="13"/>
      <c r="O183" s="13"/>
      <c r="P183" s="13"/>
      <c r="Q183" s="13"/>
      <c r="R183" s="13"/>
      <c r="S183" s="13"/>
      <c r="T183" s="13"/>
      <c r="U183" s="13"/>
      <c r="V183" s="13"/>
      <c r="W183" s="13"/>
      <c r="X183" s="13"/>
      <c r="Y183" s="13"/>
      <c r="Z183" s="13"/>
      <c r="AA183" s="13"/>
      <c r="AB183" s="13"/>
    </row>
    <row r="184" spans="1:28" ht="17.399999999999999" x14ac:dyDescent="0.35">
      <c r="A184" s="16"/>
      <c r="B184" s="17"/>
      <c r="C184" s="13"/>
      <c r="D184" s="13"/>
      <c r="E184" s="15"/>
      <c r="F184" s="13"/>
      <c r="G184" s="13"/>
      <c r="H184" s="6"/>
      <c r="I184" s="13"/>
      <c r="J184" s="13"/>
      <c r="K184" s="13"/>
      <c r="L184" s="13"/>
      <c r="M184" s="13"/>
      <c r="N184" s="13"/>
      <c r="O184" s="13"/>
      <c r="P184" s="13"/>
      <c r="Q184" s="13"/>
      <c r="R184" s="13"/>
      <c r="S184" s="13"/>
      <c r="T184" s="13"/>
      <c r="U184" s="13"/>
      <c r="V184" s="13"/>
      <c r="W184" s="13"/>
      <c r="X184" s="13"/>
      <c r="Y184" s="13"/>
      <c r="Z184" s="13"/>
      <c r="AA184" s="13"/>
      <c r="AB184" s="13"/>
    </row>
    <row r="185" spans="1:28" ht="17.399999999999999" x14ac:dyDescent="0.35">
      <c r="A185" s="16"/>
      <c r="B185" s="17"/>
      <c r="C185" s="13"/>
      <c r="D185" s="13"/>
      <c r="E185" s="15"/>
      <c r="F185" s="13"/>
      <c r="G185" s="13"/>
      <c r="H185" s="6"/>
      <c r="I185" s="13"/>
      <c r="J185" s="13"/>
      <c r="K185" s="13"/>
      <c r="L185" s="13"/>
      <c r="M185" s="13"/>
      <c r="N185" s="13"/>
      <c r="O185" s="13"/>
      <c r="P185" s="13"/>
      <c r="Q185" s="13"/>
      <c r="R185" s="13"/>
      <c r="S185" s="13"/>
      <c r="T185" s="13"/>
      <c r="U185" s="13"/>
      <c r="V185" s="13"/>
      <c r="W185" s="13"/>
      <c r="X185" s="13"/>
      <c r="Y185" s="13"/>
      <c r="Z185" s="13"/>
      <c r="AA185" s="13"/>
      <c r="AB185" s="13"/>
    </row>
    <row r="186" spans="1:28" ht="17.399999999999999" x14ac:dyDescent="0.35">
      <c r="A186" s="16"/>
      <c r="B186" s="17"/>
      <c r="C186" s="13"/>
      <c r="D186" s="13"/>
      <c r="E186" s="15"/>
      <c r="F186" s="13"/>
      <c r="G186" s="13"/>
      <c r="H186" s="6"/>
      <c r="I186" s="13"/>
      <c r="J186" s="13"/>
      <c r="K186" s="13"/>
      <c r="L186" s="13"/>
      <c r="M186" s="13"/>
      <c r="N186" s="13"/>
      <c r="O186" s="13"/>
      <c r="P186" s="13"/>
      <c r="Q186" s="13"/>
      <c r="R186" s="13"/>
      <c r="S186" s="13"/>
      <c r="T186" s="13"/>
      <c r="U186" s="13"/>
      <c r="V186" s="13"/>
      <c r="W186" s="13"/>
      <c r="X186" s="13"/>
      <c r="Y186" s="13"/>
      <c r="Z186" s="13"/>
      <c r="AA186" s="13"/>
      <c r="AB186" s="13"/>
    </row>
    <row r="187" spans="1:28" ht="17.399999999999999" x14ac:dyDescent="0.35">
      <c r="A187" s="16"/>
      <c r="B187" s="17"/>
      <c r="C187" s="13"/>
      <c r="D187" s="13"/>
      <c r="E187" s="15"/>
      <c r="F187" s="13"/>
      <c r="G187" s="13"/>
      <c r="H187" s="6"/>
      <c r="I187" s="13"/>
      <c r="J187" s="13"/>
      <c r="K187" s="13"/>
      <c r="L187" s="13"/>
      <c r="M187" s="13"/>
      <c r="N187" s="13"/>
      <c r="O187" s="13"/>
      <c r="P187" s="13"/>
      <c r="Q187" s="13"/>
      <c r="R187" s="13"/>
      <c r="S187" s="13"/>
      <c r="T187" s="13"/>
      <c r="U187" s="13"/>
      <c r="V187" s="13"/>
      <c r="W187" s="13"/>
      <c r="X187" s="13"/>
      <c r="Y187" s="13"/>
      <c r="Z187" s="13"/>
      <c r="AA187" s="13"/>
      <c r="AB187" s="13"/>
    </row>
    <row r="188" spans="1:28" ht="17.399999999999999" x14ac:dyDescent="0.35">
      <c r="A188" s="16"/>
      <c r="B188" s="17"/>
      <c r="C188" s="13"/>
      <c r="D188" s="13"/>
      <c r="E188" s="15"/>
      <c r="F188" s="13"/>
      <c r="G188" s="13"/>
      <c r="H188" s="6"/>
      <c r="I188" s="13"/>
      <c r="J188" s="13"/>
      <c r="K188" s="13"/>
      <c r="L188" s="13"/>
      <c r="M188" s="13"/>
      <c r="N188" s="13"/>
      <c r="O188" s="13"/>
      <c r="P188" s="13"/>
      <c r="Q188" s="13"/>
      <c r="R188" s="13"/>
      <c r="S188" s="13"/>
      <c r="T188" s="13"/>
      <c r="U188" s="13"/>
      <c r="V188" s="13"/>
      <c r="W188" s="13"/>
      <c r="X188" s="13"/>
      <c r="Y188" s="13"/>
      <c r="Z188" s="13"/>
      <c r="AA188" s="13"/>
      <c r="AB188" s="13"/>
    </row>
    <row r="189" spans="1:28" ht="17.399999999999999" x14ac:dyDescent="0.35">
      <c r="A189" s="16"/>
      <c r="B189" s="17"/>
      <c r="C189" s="13"/>
      <c r="D189" s="13"/>
      <c r="E189" s="15"/>
      <c r="F189" s="13"/>
      <c r="G189" s="13"/>
      <c r="H189" s="6"/>
      <c r="I189" s="13"/>
      <c r="J189" s="13"/>
      <c r="K189" s="13"/>
      <c r="L189" s="13"/>
      <c r="M189" s="13"/>
      <c r="N189" s="13"/>
      <c r="O189" s="13"/>
      <c r="P189" s="13"/>
      <c r="Q189" s="13"/>
      <c r="R189" s="13"/>
      <c r="S189" s="13"/>
      <c r="T189" s="13"/>
      <c r="U189" s="13"/>
      <c r="V189" s="13"/>
      <c r="W189" s="13"/>
      <c r="X189" s="13"/>
      <c r="Y189" s="13"/>
      <c r="Z189" s="13"/>
      <c r="AA189" s="13"/>
      <c r="AB189" s="13"/>
    </row>
    <row r="190" spans="1:28" ht="17.399999999999999" x14ac:dyDescent="0.35">
      <c r="A190" s="16"/>
      <c r="B190" s="17"/>
      <c r="C190" s="13"/>
      <c r="D190" s="13"/>
      <c r="E190" s="15"/>
      <c r="F190" s="13"/>
      <c r="G190" s="13"/>
      <c r="H190" s="6"/>
      <c r="I190" s="13"/>
      <c r="J190" s="13"/>
      <c r="K190" s="13"/>
      <c r="L190" s="13"/>
      <c r="M190" s="13"/>
      <c r="N190" s="13"/>
      <c r="O190" s="13"/>
      <c r="P190" s="13"/>
      <c r="Q190" s="13"/>
      <c r="R190" s="13"/>
      <c r="S190" s="13"/>
      <c r="T190" s="13"/>
      <c r="U190" s="13"/>
      <c r="V190" s="13"/>
      <c r="W190" s="13"/>
      <c r="X190" s="13"/>
      <c r="Y190" s="13"/>
      <c r="Z190" s="13"/>
      <c r="AA190" s="13"/>
      <c r="AB190" s="13"/>
    </row>
    <row r="191" spans="1:28" ht="17.399999999999999" x14ac:dyDescent="0.35">
      <c r="A191" s="16"/>
      <c r="B191" s="17"/>
      <c r="C191" s="13"/>
      <c r="D191" s="13"/>
      <c r="E191" s="15"/>
      <c r="F191" s="13"/>
      <c r="G191" s="13"/>
      <c r="H191" s="6"/>
      <c r="I191" s="13"/>
      <c r="J191" s="13"/>
      <c r="K191" s="13"/>
      <c r="L191" s="13"/>
      <c r="M191" s="13"/>
      <c r="N191" s="13"/>
      <c r="O191" s="13"/>
      <c r="P191" s="13"/>
      <c r="Q191" s="13"/>
      <c r="R191" s="13"/>
      <c r="S191" s="13"/>
      <c r="T191" s="13"/>
      <c r="U191" s="13"/>
      <c r="V191" s="13"/>
      <c r="W191" s="13"/>
      <c r="X191" s="13"/>
      <c r="Y191" s="13"/>
      <c r="Z191" s="13"/>
      <c r="AA191" s="13"/>
      <c r="AB191" s="13"/>
    </row>
    <row r="192" spans="1:28" ht="17.399999999999999" x14ac:dyDescent="0.35">
      <c r="A192" s="16"/>
      <c r="B192" s="17"/>
      <c r="C192" s="13"/>
      <c r="D192" s="13"/>
      <c r="E192" s="15"/>
      <c r="F192" s="13"/>
      <c r="G192" s="13"/>
      <c r="H192" s="6"/>
      <c r="I192" s="13"/>
      <c r="J192" s="13"/>
      <c r="K192" s="13"/>
      <c r="L192" s="13"/>
      <c r="M192" s="13"/>
      <c r="N192" s="13"/>
      <c r="O192" s="13"/>
      <c r="P192" s="13"/>
      <c r="Q192" s="13"/>
      <c r="R192" s="13"/>
      <c r="S192" s="13"/>
      <c r="T192" s="13"/>
      <c r="U192" s="13"/>
      <c r="V192" s="13"/>
      <c r="W192" s="13"/>
      <c r="X192" s="13"/>
      <c r="Y192" s="13"/>
      <c r="Z192" s="13"/>
      <c r="AA192" s="13"/>
      <c r="AB192" s="13"/>
    </row>
    <row r="193" spans="1:28" ht="17.399999999999999" x14ac:dyDescent="0.35">
      <c r="A193" s="16"/>
      <c r="B193" s="17"/>
      <c r="C193" s="13"/>
      <c r="D193" s="13"/>
      <c r="E193" s="15"/>
      <c r="F193" s="13"/>
      <c r="G193" s="13"/>
      <c r="H193" s="6"/>
      <c r="I193" s="13"/>
      <c r="J193" s="13"/>
      <c r="K193" s="13"/>
      <c r="L193" s="13"/>
      <c r="M193" s="13"/>
      <c r="N193" s="13"/>
      <c r="O193" s="13"/>
      <c r="P193" s="13"/>
      <c r="Q193" s="13"/>
      <c r="R193" s="13"/>
      <c r="S193" s="13"/>
      <c r="T193" s="13"/>
      <c r="U193" s="13"/>
      <c r="V193" s="13"/>
      <c r="W193" s="13"/>
      <c r="X193" s="13"/>
      <c r="Y193" s="13"/>
      <c r="Z193" s="13"/>
      <c r="AA193" s="13"/>
      <c r="AB193" s="13"/>
    </row>
    <row r="194" spans="1:28" ht="17.399999999999999" x14ac:dyDescent="0.35">
      <c r="A194" s="16"/>
      <c r="B194" s="17"/>
      <c r="C194" s="13"/>
      <c r="D194" s="13"/>
      <c r="E194" s="15"/>
      <c r="F194" s="13"/>
      <c r="G194" s="13"/>
      <c r="H194" s="6"/>
      <c r="I194" s="13"/>
      <c r="J194" s="13"/>
      <c r="K194" s="13"/>
      <c r="L194" s="13"/>
      <c r="M194" s="13"/>
      <c r="N194" s="13"/>
      <c r="O194" s="13"/>
      <c r="P194" s="13"/>
      <c r="Q194" s="13"/>
      <c r="R194" s="13"/>
      <c r="S194" s="13"/>
      <c r="T194" s="13"/>
      <c r="U194" s="13"/>
      <c r="V194" s="13"/>
      <c r="W194" s="13"/>
      <c r="X194" s="13"/>
      <c r="Y194" s="13"/>
      <c r="Z194" s="13"/>
      <c r="AA194" s="13"/>
      <c r="AB194" s="13"/>
    </row>
    <row r="195" spans="1:28" ht="17.399999999999999" x14ac:dyDescent="0.35">
      <c r="A195" s="16"/>
      <c r="B195" s="17"/>
      <c r="C195" s="13"/>
      <c r="D195" s="13"/>
      <c r="E195" s="15"/>
      <c r="F195" s="13"/>
      <c r="G195" s="13"/>
      <c r="H195" s="6"/>
      <c r="I195" s="13"/>
      <c r="J195" s="13"/>
      <c r="K195" s="13"/>
      <c r="L195" s="13"/>
      <c r="M195" s="13"/>
      <c r="N195" s="13"/>
      <c r="O195" s="13"/>
      <c r="P195" s="13"/>
      <c r="Q195" s="13"/>
      <c r="R195" s="13"/>
      <c r="S195" s="13"/>
      <c r="T195" s="13"/>
      <c r="U195" s="13"/>
      <c r="V195" s="13"/>
      <c r="W195" s="13"/>
      <c r="X195" s="13"/>
      <c r="Y195" s="13"/>
      <c r="Z195" s="13"/>
      <c r="AA195" s="13"/>
      <c r="AB195" s="13"/>
    </row>
    <row r="196" spans="1:28" ht="17.399999999999999" x14ac:dyDescent="0.35">
      <c r="A196" s="16"/>
      <c r="B196" s="17"/>
      <c r="C196" s="13"/>
      <c r="D196" s="13"/>
      <c r="E196" s="15"/>
      <c r="F196" s="13"/>
      <c r="G196" s="13"/>
      <c r="H196" s="6"/>
      <c r="I196" s="13"/>
      <c r="J196" s="13"/>
      <c r="K196" s="13"/>
      <c r="L196" s="13"/>
      <c r="M196" s="13"/>
      <c r="N196" s="13"/>
      <c r="O196" s="13"/>
      <c r="P196" s="13"/>
      <c r="Q196" s="13"/>
      <c r="R196" s="13"/>
      <c r="S196" s="13"/>
      <c r="T196" s="13"/>
      <c r="U196" s="13"/>
      <c r="V196" s="13"/>
      <c r="W196" s="13"/>
      <c r="X196" s="13"/>
      <c r="Y196" s="13"/>
      <c r="Z196" s="13"/>
      <c r="AA196" s="13"/>
      <c r="AB196" s="13"/>
    </row>
    <row r="197" spans="1:28" ht="17.399999999999999" x14ac:dyDescent="0.35">
      <c r="A197" s="16"/>
      <c r="B197" s="17"/>
      <c r="C197" s="13"/>
      <c r="D197" s="13"/>
      <c r="E197" s="15"/>
      <c r="F197" s="13"/>
      <c r="G197" s="13"/>
      <c r="H197" s="6"/>
      <c r="I197" s="13"/>
      <c r="J197" s="13"/>
      <c r="K197" s="13"/>
      <c r="L197" s="13"/>
      <c r="M197" s="13"/>
      <c r="N197" s="13"/>
      <c r="O197" s="13"/>
      <c r="P197" s="13"/>
      <c r="Q197" s="13"/>
      <c r="R197" s="13"/>
      <c r="S197" s="13"/>
      <c r="T197" s="13"/>
      <c r="U197" s="13"/>
      <c r="V197" s="13"/>
      <c r="W197" s="13"/>
      <c r="X197" s="13"/>
      <c r="Y197" s="13"/>
      <c r="Z197" s="13"/>
      <c r="AA197" s="13"/>
      <c r="AB197" s="13"/>
    </row>
    <row r="198" spans="1:28" ht="17.399999999999999" x14ac:dyDescent="0.35">
      <c r="A198" s="16"/>
      <c r="B198" s="17"/>
      <c r="C198" s="13"/>
      <c r="D198" s="13"/>
      <c r="E198" s="15"/>
      <c r="F198" s="13"/>
      <c r="G198" s="13"/>
      <c r="H198" s="6"/>
      <c r="I198" s="13"/>
      <c r="J198" s="13"/>
      <c r="K198" s="13"/>
      <c r="L198" s="13"/>
      <c r="M198" s="13"/>
      <c r="N198" s="13"/>
      <c r="O198" s="13"/>
      <c r="P198" s="13"/>
      <c r="Q198" s="13"/>
      <c r="R198" s="13"/>
      <c r="S198" s="13"/>
      <c r="T198" s="13"/>
      <c r="U198" s="13"/>
      <c r="V198" s="13"/>
      <c r="W198" s="13"/>
      <c r="X198" s="13"/>
      <c r="Y198" s="13"/>
      <c r="Z198" s="13"/>
      <c r="AA198" s="13"/>
      <c r="AB198" s="13"/>
    </row>
    <row r="199" spans="1:28" ht="17.399999999999999" x14ac:dyDescent="0.35">
      <c r="A199" s="16"/>
      <c r="B199" s="17"/>
      <c r="C199" s="13"/>
      <c r="D199" s="13"/>
      <c r="E199" s="15"/>
      <c r="F199" s="13"/>
      <c r="G199" s="13"/>
      <c r="H199" s="6"/>
      <c r="I199" s="13"/>
      <c r="J199" s="13"/>
      <c r="K199" s="13"/>
      <c r="L199" s="13"/>
      <c r="M199" s="13"/>
      <c r="N199" s="13"/>
      <c r="O199" s="13"/>
      <c r="P199" s="13"/>
      <c r="Q199" s="13"/>
      <c r="R199" s="13"/>
      <c r="S199" s="13"/>
      <c r="T199" s="13"/>
      <c r="U199" s="13"/>
      <c r="V199" s="13"/>
      <c r="W199" s="13"/>
      <c r="X199" s="13"/>
      <c r="Y199" s="13"/>
      <c r="Z199" s="13"/>
      <c r="AA199" s="13"/>
      <c r="AB199" s="13"/>
    </row>
    <row r="200" spans="1:28" ht="17.399999999999999" x14ac:dyDescent="0.35">
      <c r="A200" s="16"/>
      <c r="B200" s="17"/>
      <c r="C200" s="13"/>
      <c r="D200" s="13"/>
      <c r="E200" s="15"/>
      <c r="F200" s="13"/>
      <c r="G200" s="13"/>
      <c r="H200" s="6"/>
      <c r="I200" s="13"/>
      <c r="J200" s="13"/>
      <c r="K200" s="13"/>
      <c r="L200" s="13"/>
      <c r="M200" s="13"/>
      <c r="N200" s="13"/>
      <c r="O200" s="13"/>
      <c r="P200" s="13"/>
      <c r="Q200" s="13"/>
      <c r="R200" s="13"/>
      <c r="S200" s="13"/>
      <c r="T200" s="13"/>
      <c r="U200" s="13"/>
      <c r="V200" s="13"/>
      <c r="W200" s="13"/>
      <c r="X200" s="13"/>
      <c r="Y200" s="13"/>
      <c r="Z200" s="13"/>
      <c r="AA200" s="13"/>
      <c r="AB200" s="13"/>
    </row>
    <row r="201" spans="1:28" ht="17.399999999999999" x14ac:dyDescent="0.35">
      <c r="A201" s="16"/>
      <c r="B201" s="17"/>
      <c r="C201" s="13"/>
      <c r="D201" s="13"/>
      <c r="E201" s="15"/>
      <c r="F201" s="13"/>
      <c r="G201" s="13"/>
      <c r="H201" s="6"/>
      <c r="I201" s="13"/>
      <c r="J201" s="13"/>
      <c r="K201" s="13"/>
      <c r="L201" s="13"/>
      <c r="M201" s="13"/>
      <c r="N201" s="13"/>
      <c r="O201" s="13"/>
      <c r="P201" s="13"/>
      <c r="Q201" s="13"/>
      <c r="R201" s="13"/>
      <c r="S201" s="13"/>
      <c r="T201" s="13"/>
      <c r="U201" s="13"/>
      <c r="V201" s="13"/>
      <c r="W201" s="13"/>
      <c r="X201" s="13"/>
      <c r="Y201" s="13"/>
      <c r="Z201" s="13"/>
      <c r="AA201" s="13"/>
      <c r="AB201" s="13"/>
    </row>
    <row r="202" spans="1:28" ht="17.399999999999999" x14ac:dyDescent="0.35">
      <c r="A202" s="16"/>
      <c r="B202" s="17"/>
      <c r="C202" s="13"/>
      <c r="D202" s="13"/>
      <c r="E202" s="15"/>
      <c r="F202" s="13"/>
      <c r="G202" s="13"/>
      <c r="H202" s="6"/>
      <c r="I202" s="13"/>
      <c r="J202" s="13"/>
      <c r="K202" s="13"/>
      <c r="L202" s="13"/>
      <c r="M202" s="13"/>
      <c r="N202" s="13"/>
      <c r="O202" s="13"/>
      <c r="P202" s="13"/>
      <c r="Q202" s="13"/>
      <c r="R202" s="13"/>
      <c r="S202" s="13"/>
      <c r="T202" s="13"/>
      <c r="U202" s="13"/>
      <c r="V202" s="13"/>
      <c r="W202" s="13"/>
      <c r="X202" s="13"/>
      <c r="Y202" s="13"/>
      <c r="Z202" s="13"/>
      <c r="AA202" s="13"/>
      <c r="AB202" s="13"/>
    </row>
    <row r="203" spans="1:28" ht="17.399999999999999" x14ac:dyDescent="0.35">
      <c r="A203" s="16"/>
      <c r="B203" s="17"/>
      <c r="C203" s="13"/>
      <c r="D203" s="13"/>
      <c r="E203" s="15"/>
      <c r="F203" s="13"/>
      <c r="G203" s="13"/>
      <c r="H203" s="6"/>
      <c r="I203" s="13"/>
      <c r="J203" s="13"/>
      <c r="K203" s="13"/>
      <c r="L203" s="13"/>
      <c r="M203" s="13"/>
      <c r="N203" s="13"/>
      <c r="O203" s="13"/>
      <c r="P203" s="13"/>
      <c r="Q203" s="13"/>
      <c r="R203" s="13"/>
      <c r="S203" s="13"/>
      <c r="T203" s="13"/>
      <c r="U203" s="13"/>
      <c r="V203" s="13"/>
      <c r="W203" s="13"/>
      <c r="X203" s="13"/>
      <c r="Y203" s="13"/>
      <c r="Z203" s="13"/>
      <c r="AA203" s="13"/>
      <c r="AB203" s="13"/>
    </row>
    <row r="204" spans="1:28" ht="17.399999999999999" x14ac:dyDescent="0.35">
      <c r="A204" s="16"/>
      <c r="B204" s="17"/>
      <c r="C204" s="13"/>
      <c r="D204" s="13"/>
      <c r="E204" s="15"/>
      <c r="F204" s="13"/>
      <c r="G204" s="13"/>
      <c r="H204" s="6"/>
      <c r="I204" s="13"/>
      <c r="J204" s="13"/>
      <c r="K204" s="13"/>
      <c r="L204" s="13"/>
      <c r="M204" s="13"/>
      <c r="N204" s="13"/>
      <c r="O204" s="13"/>
      <c r="P204" s="13"/>
      <c r="Q204" s="13"/>
      <c r="R204" s="13"/>
      <c r="S204" s="13"/>
      <c r="T204" s="13"/>
      <c r="U204" s="13"/>
      <c r="V204" s="13"/>
      <c r="W204" s="13"/>
      <c r="X204" s="13"/>
      <c r="Y204" s="13"/>
      <c r="Z204" s="13"/>
      <c r="AA204" s="13"/>
      <c r="AB204" s="13"/>
    </row>
    <row r="205" spans="1:28" ht="17.399999999999999" x14ac:dyDescent="0.35">
      <c r="A205" s="16"/>
      <c r="B205" s="17"/>
      <c r="C205" s="13"/>
      <c r="D205" s="13"/>
      <c r="E205" s="15"/>
      <c r="F205" s="13"/>
      <c r="G205" s="13"/>
      <c r="H205" s="6"/>
      <c r="I205" s="13"/>
      <c r="J205" s="13"/>
      <c r="K205" s="13"/>
      <c r="L205" s="13"/>
      <c r="M205" s="13"/>
      <c r="N205" s="13"/>
      <c r="O205" s="13"/>
      <c r="P205" s="13"/>
      <c r="Q205" s="13"/>
      <c r="R205" s="13"/>
      <c r="S205" s="13"/>
      <c r="T205" s="13"/>
      <c r="U205" s="13"/>
      <c r="V205" s="13"/>
      <c r="W205" s="13"/>
      <c r="X205" s="13"/>
      <c r="Y205" s="13"/>
      <c r="Z205" s="13"/>
      <c r="AA205" s="13"/>
      <c r="AB205" s="13"/>
    </row>
    <row r="206" spans="1:28" ht="17.399999999999999" x14ac:dyDescent="0.35">
      <c r="A206" s="16"/>
      <c r="B206" s="17"/>
      <c r="C206" s="13"/>
      <c r="D206" s="13"/>
      <c r="E206" s="15"/>
      <c r="F206" s="13"/>
      <c r="G206" s="13"/>
      <c r="H206" s="6"/>
      <c r="I206" s="13"/>
      <c r="J206" s="13"/>
      <c r="K206" s="13"/>
      <c r="L206" s="13"/>
      <c r="M206" s="13"/>
      <c r="N206" s="13"/>
      <c r="O206" s="13"/>
      <c r="P206" s="13"/>
      <c r="Q206" s="13"/>
      <c r="R206" s="13"/>
      <c r="S206" s="13"/>
      <c r="T206" s="13"/>
      <c r="U206" s="13"/>
      <c r="V206" s="13"/>
      <c r="W206" s="13"/>
      <c r="X206" s="13"/>
      <c r="Y206" s="13"/>
      <c r="Z206" s="13"/>
      <c r="AA206" s="13"/>
      <c r="AB206" s="13"/>
    </row>
    <row r="207" spans="1:28" ht="17.399999999999999" x14ac:dyDescent="0.35">
      <c r="A207" s="16"/>
      <c r="B207" s="17"/>
      <c r="C207" s="13"/>
      <c r="D207" s="13"/>
      <c r="E207" s="15"/>
      <c r="F207" s="13"/>
      <c r="G207" s="13"/>
      <c r="H207" s="6"/>
      <c r="I207" s="13"/>
      <c r="J207" s="13"/>
      <c r="K207" s="13"/>
      <c r="L207" s="13"/>
      <c r="M207" s="13"/>
      <c r="N207" s="13"/>
      <c r="O207" s="13"/>
      <c r="P207" s="13"/>
      <c r="Q207" s="13"/>
      <c r="R207" s="13"/>
      <c r="S207" s="13"/>
      <c r="T207" s="13"/>
      <c r="U207" s="13"/>
      <c r="V207" s="13"/>
      <c r="W207" s="13"/>
      <c r="X207" s="13"/>
      <c r="Y207" s="13"/>
      <c r="Z207" s="13"/>
      <c r="AA207" s="13"/>
      <c r="AB207" s="13"/>
    </row>
    <row r="208" spans="1:28" ht="17.399999999999999" x14ac:dyDescent="0.35">
      <c r="A208" s="16"/>
      <c r="B208" s="17"/>
      <c r="C208" s="13"/>
      <c r="D208" s="13"/>
      <c r="E208" s="15"/>
      <c r="F208" s="13"/>
      <c r="G208" s="13"/>
      <c r="H208" s="6"/>
      <c r="I208" s="13"/>
      <c r="J208" s="13"/>
      <c r="K208" s="13"/>
      <c r="L208" s="13"/>
      <c r="M208" s="13"/>
      <c r="N208" s="13"/>
      <c r="O208" s="13"/>
      <c r="P208" s="13"/>
      <c r="Q208" s="13"/>
      <c r="R208" s="13"/>
      <c r="S208" s="13"/>
      <c r="T208" s="13"/>
      <c r="U208" s="13"/>
      <c r="V208" s="13"/>
      <c r="W208" s="13"/>
      <c r="X208" s="13"/>
      <c r="Y208" s="13"/>
      <c r="Z208" s="13"/>
      <c r="AA208" s="13"/>
      <c r="AB208" s="13"/>
    </row>
    <row r="209" spans="1:28" ht="17.399999999999999" x14ac:dyDescent="0.35">
      <c r="A209" s="16"/>
      <c r="B209" s="17"/>
      <c r="C209" s="13"/>
      <c r="D209" s="13"/>
      <c r="E209" s="15"/>
      <c r="F209" s="13"/>
      <c r="G209" s="13"/>
      <c r="H209" s="6"/>
      <c r="I209" s="13"/>
      <c r="J209" s="13"/>
      <c r="K209" s="13"/>
      <c r="L209" s="13"/>
      <c r="M209" s="13"/>
      <c r="N209" s="13"/>
      <c r="O209" s="13"/>
      <c r="P209" s="13"/>
      <c r="Q209" s="13"/>
      <c r="R209" s="13"/>
      <c r="S209" s="13"/>
      <c r="T209" s="13"/>
      <c r="U209" s="13"/>
      <c r="V209" s="13"/>
      <c r="W209" s="13"/>
      <c r="X209" s="13"/>
      <c r="Y209" s="13"/>
      <c r="Z209" s="13"/>
      <c r="AA209" s="13"/>
      <c r="AB209" s="13"/>
    </row>
    <row r="210" spans="1:28" ht="17.399999999999999" x14ac:dyDescent="0.35">
      <c r="A210" s="16"/>
      <c r="B210" s="17"/>
      <c r="C210" s="13"/>
      <c r="D210" s="13"/>
      <c r="E210" s="15"/>
      <c r="F210" s="13"/>
      <c r="G210" s="13"/>
      <c r="H210" s="6"/>
      <c r="I210" s="13"/>
      <c r="J210" s="13"/>
      <c r="K210" s="13"/>
      <c r="L210" s="13"/>
      <c r="M210" s="13"/>
      <c r="N210" s="13"/>
      <c r="O210" s="13"/>
      <c r="P210" s="13"/>
      <c r="Q210" s="13"/>
      <c r="R210" s="13"/>
      <c r="S210" s="13"/>
      <c r="T210" s="13"/>
      <c r="U210" s="13"/>
      <c r="V210" s="13"/>
      <c r="W210" s="13"/>
      <c r="X210" s="13"/>
      <c r="Y210" s="13"/>
      <c r="Z210" s="13"/>
      <c r="AA210" s="13"/>
      <c r="AB210" s="13"/>
    </row>
    <row r="211" spans="1:28" ht="17.399999999999999" x14ac:dyDescent="0.35">
      <c r="A211" s="16"/>
      <c r="B211" s="17"/>
      <c r="C211" s="13"/>
      <c r="D211" s="13"/>
      <c r="E211" s="15"/>
      <c r="F211" s="13"/>
      <c r="G211" s="13"/>
      <c r="H211" s="6"/>
      <c r="I211" s="13"/>
      <c r="J211" s="13"/>
      <c r="K211" s="13"/>
      <c r="L211" s="13"/>
      <c r="M211" s="13"/>
      <c r="N211" s="13"/>
      <c r="O211" s="13"/>
      <c r="P211" s="13"/>
      <c r="Q211" s="13"/>
      <c r="R211" s="13"/>
      <c r="S211" s="13"/>
      <c r="T211" s="13"/>
      <c r="U211" s="13"/>
      <c r="V211" s="13"/>
      <c r="W211" s="13"/>
      <c r="X211" s="13"/>
      <c r="Y211" s="13"/>
      <c r="Z211" s="13"/>
      <c r="AA211" s="13"/>
      <c r="AB211" s="13"/>
    </row>
    <row r="212" spans="1:28" ht="17.399999999999999" x14ac:dyDescent="0.35">
      <c r="A212" s="16"/>
      <c r="B212" s="17"/>
      <c r="C212" s="13"/>
      <c r="D212" s="13"/>
      <c r="E212" s="15"/>
      <c r="F212" s="13"/>
      <c r="G212" s="13"/>
      <c r="H212" s="6"/>
      <c r="I212" s="13"/>
      <c r="J212" s="13"/>
      <c r="K212" s="13"/>
      <c r="L212" s="13"/>
      <c r="M212" s="13"/>
      <c r="N212" s="13"/>
      <c r="O212" s="13"/>
      <c r="P212" s="13"/>
      <c r="Q212" s="13"/>
      <c r="R212" s="13"/>
      <c r="S212" s="13"/>
      <c r="T212" s="13"/>
      <c r="U212" s="13"/>
      <c r="V212" s="13"/>
      <c r="W212" s="13"/>
      <c r="X212" s="13"/>
      <c r="Y212" s="13"/>
      <c r="Z212" s="13"/>
      <c r="AA212" s="13"/>
      <c r="AB212" s="13"/>
    </row>
    <row r="213" spans="1:28" ht="17.399999999999999" x14ac:dyDescent="0.35">
      <c r="A213" s="16"/>
      <c r="B213" s="17"/>
      <c r="C213" s="13"/>
      <c r="D213" s="13"/>
      <c r="E213" s="15"/>
      <c r="F213" s="13"/>
      <c r="G213" s="13"/>
      <c r="H213" s="6"/>
      <c r="I213" s="13"/>
      <c r="J213" s="13"/>
      <c r="K213" s="13"/>
      <c r="L213" s="13"/>
      <c r="M213" s="13"/>
      <c r="N213" s="13"/>
      <c r="O213" s="13"/>
      <c r="P213" s="13"/>
      <c r="Q213" s="13"/>
      <c r="R213" s="13"/>
      <c r="S213" s="13"/>
      <c r="T213" s="13"/>
      <c r="U213" s="13"/>
      <c r="V213" s="13"/>
      <c r="W213" s="13"/>
      <c r="X213" s="13"/>
      <c r="Y213" s="13"/>
      <c r="Z213" s="13"/>
      <c r="AA213" s="13"/>
      <c r="AB213" s="13"/>
    </row>
    <row r="214" spans="1:28" ht="17.399999999999999" x14ac:dyDescent="0.35">
      <c r="A214" s="16"/>
      <c r="B214" s="17"/>
      <c r="C214" s="13"/>
      <c r="D214" s="13"/>
      <c r="E214" s="15"/>
      <c r="F214" s="13"/>
      <c r="G214" s="13"/>
      <c r="H214" s="6"/>
      <c r="I214" s="13"/>
      <c r="J214" s="13"/>
      <c r="K214" s="13"/>
      <c r="L214" s="13"/>
      <c r="M214" s="13"/>
      <c r="N214" s="13"/>
      <c r="O214" s="13"/>
      <c r="P214" s="13"/>
      <c r="Q214" s="13"/>
      <c r="R214" s="13"/>
      <c r="S214" s="13"/>
      <c r="T214" s="13"/>
      <c r="U214" s="13"/>
      <c r="V214" s="13"/>
      <c r="W214" s="13"/>
      <c r="X214" s="13"/>
      <c r="Y214" s="13"/>
      <c r="Z214" s="13"/>
      <c r="AA214" s="13"/>
      <c r="AB214" s="13"/>
    </row>
    <row r="215" spans="1:28" ht="17.399999999999999" x14ac:dyDescent="0.35">
      <c r="A215" s="16"/>
      <c r="B215" s="17"/>
      <c r="C215" s="13"/>
      <c r="D215" s="13"/>
      <c r="E215" s="15"/>
      <c r="F215" s="13"/>
      <c r="G215" s="13"/>
      <c r="H215" s="6"/>
      <c r="I215" s="13"/>
      <c r="J215" s="13"/>
      <c r="K215" s="13"/>
      <c r="L215" s="13"/>
      <c r="M215" s="13"/>
      <c r="N215" s="13"/>
      <c r="O215" s="13"/>
      <c r="P215" s="13"/>
      <c r="Q215" s="13"/>
      <c r="R215" s="13"/>
      <c r="S215" s="13"/>
      <c r="T215" s="13"/>
      <c r="U215" s="13"/>
      <c r="V215" s="13"/>
      <c r="W215" s="13"/>
      <c r="X215" s="13"/>
      <c r="Y215" s="13"/>
      <c r="Z215" s="13"/>
      <c r="AA215" s="13"/>
      <c r="AB215" s="13"/>
    </row>
    <row r="216" spans="1:28" ht="17.399999999999999" x14ac:dyDescent="0.35">
      <c r="A216" s="16"/>
      <c r="B216" s="17"/>
      <c r="C216" s="13"/>
      <c r="D216" s="13"/>
      <c r="E216" s="15"/>
      <c r="F216" s="13"/>
      <c r="G216" s="13"/>
      <c r="H216" s="6"/>
      <c r="I216" s="13"/>
      <c r="J216" s="13"/>
      <c r="K216" s="13"/>
      <c r="L216" s="13"/>
      <c r="M216" s="13"/>
      <c r="N216" s="13"/>
      <c r="O216" s="13"/>
      <c r="P216" s="13"/>
      <c r="Q216" s="13"/>
      <c r="R216" s="13"/>
      <c r="S216" s="13"/>
      <c r="T216" s="13"/>
      <c r="U216" s="13"/>
      <c r="V216" s="13"/>
      <c r="W216" s="13"/>
      <c r="X216" s="13"/>
      <c r="Y216" s="13"/>
      <c r="Z216" s="13"/>
      <c r="AA216" s="13"/>
      <c r="AB216" s="13"/>
    </row>
    <row r="217" spans="1:28" ht="17.399999999999999" x14ac:dyDescent="0.35">
      <c r="A217" s="16"/>
      <c r="B217" s="17"/>
      <c r="C217" s="13"/>
      <c r="D217" s="13"/>
      <c r="E217" s="15"/>
      <c r="F217" s="13"/>
      <c r="G217" s="13"/>
      <c r="H217" s="6"/>
      <c r="I217" s="13"/>
      <c r="J217" s="13"/>
      <c r="K217" s="13"/>
      <c r="L217" s="13"/>
      <c r="M217" s="13"/>
      <c r="N217" s="13"/>
      <c r="O217" s="13"/>
      <c r="P217" s="13"/>
      <c r="Q217" s="13"/>
      <c r="R217" s="13"/>
      <c r="S217" s="13"/>
      <c r="T217" s="13"/>
      <c r="U217" s="13"/>
      <c r="V217" s="13"/>
      <c r="W217" s="13"/>
      <c r="X217" s="13"/>
      <c r="Y217" s="13"/>
      <c r="Z217" s="13"/>
      <c r="AA217" s="13"/>
      <c r="AB217" s="13"/>
    </row>
    <row r="218" spans="1:28" ht="17.399999999999999" x14ac:dyDescent="0.35">
      <c r="A218" s="16"/>
      <c r="B218" s="17"/>
      <c r="C218" s="13"/>
      <c r="D218" s="13"/>
      <c r="E218" s="15"/>
      <c r="F218" s="13"/>
      <c r="G218" s="13"/>
      <c r="H218" s="6"/>
      <c r="I218" s="13"/>
      <c r="J218" s="13"/>
      <c r="K218" s="13"/>
      <c r="L218" s="13"/>
      <c r="M218" s="13"/>
      <c r="N218" s="13"/>
      <c r="O218" s="13"/>
      <c r="P218" s="13"/>
      <c r="Q218" s="13"/>
      <c r="R218" s="13"/>
      <c r="S218" s="13"/>
      <c r="T218" s="13"/>
      <c r="U218" s="13"/>
      <c r="V218" s="13"/>
      <c r="W218" s="13"/>
      <c r="X218" s="13"/>
      <c r="Y218" s="13"/>
      <c r="Z218" s="13"/>
      <c r="AA218" s="13"/>
      <c r="AB218" s="13"/>
    </row>
    <row r="219" spans="1:28" ht="17.399999999999999" x14ac:dyDescent="0.35">
      <c r="A219" s="16"/>
      <c r="B219" s="17"/>
      <c r="C219" s="13"/>
      <c r="D219" s="13"/>
      <c r="E219" s="15"/>
      <c r="F219" s="13"/>
      <c r="G219" s="13"/>
      <c r="H219" s="6"/>
      <c r="I219" s="13"/>
      <c r="J219" s="13"/>
      <c r="K219" s="13"/>
      <c r="L219" s="13"/>
      <c r="M219" s="13"/>
      <c r="N219" s="13"/>
      <c r="O219" s="13"/>
      <c r="P219" s="13"/>
      <c r="Q219" s="13"/>
      <c r="R219" s="13"/>
      <c r="S219" s="13"/>
      <c r="T219" s="13"/>
      <c r="U219" s="13"/>
      <c r="V219" s="13"/>
      <c r="W219" s="13"/>
      <c r="X219" s="13"/>
      <c r="Y219" s="13"/>
      <c r="Z219" s="13"/>
      <c r="AA219" s="13"/>
      <c r="AB219" s="13"/>
    </row>
    <row r="220" spans="1:28" ht="17.399999999999999" x14ac:dyDescent="0.35">
      <c r="A220" s="16"/>
      <c r="B220" s="17"/>
      <c r="C220" s="13"/>
      <c r="D220" s="13"/>
      <c r="E220" s="15"/>
      <c r="F220" s="13"/>
      <c r="G220" s="13"/>
      <c r="H220" s="6"/>
      <c r="I220" s="13"/>
      <c r="J220" s="13"/>
      <c r="K220" s="13"/>
      <c r="L220" s="13"/>
      <c r="M220" s="13"/>
      <c r="N220" s="13"/>
      <c r="O220" s="13"/>
      <c r="P220" s="13"/>
      <c r="Q220" s="13"/>
      <c r="R220" s="13"/>
      <c r="S220" s="13"/>
      <c r="T220" s="13"/>
      <c r="U220" s="13"/>
      <c r="V220" s="13"/>
      <c r="W220" s="13"/>
      <c r="X220" s="13"/>
      <c r="Y220" s="13"/>
      <c r="Z220" s="13"/>
      <c r="AA220" s="13"/>
      <c r="AB220" s="13"/>
    </row>
    <row r="221" spans="1:28" ht="17.399999999999999" x14ac:dyDescent="0.35">
      <c r="A221" s="16"/>
      <c r="B221" s="17"/>
      <c r="C221" s="13"/>
      <c r="D221" s="13"/>
      <c r="E221" s="15"/>
      <c r="F221" s="13"/>
      <c r="G221" s="13"/>
      <c r="H221" s="6"/>
      <c r="I221" s="13"/>
      <c r="J221" s="13"/>
      <c r="K221" s="13"/>
      <c r="L221" s="13"/>
      <c r="M221" s="13"/>
      <c r="N221" s="13"/>
      <c r="O221" s="13"/>
      <c r="P221" s="13"/>
      <c r="Q221" s="13"/>
      <c r="R221" s="13"/>
      <c r="S221" s="13"/>
      <c r="T221" s="13"/>
      <c r="U221" s="13"/>
      <c r="V221" s="13"/>
      <c r="W221" s="13"/>
      <c r="X221" s="13"/>
      <c r="Y221" s="13"/>
      <c r="Z221" s="13"/>
      <c r="AA221" s="13"/>
      <c r="AB221" s="13"/>
    </row>
    <row r="222" spans="1:28" ht="17.399999999999999" x14ac:dyDescent="0.35">
      <c r="A222" s="16"/>
      <c r="B222" s="17"/>
      <c r="C222" s="13"/>
      <c r="D222" s="13"/>
      <c r="E222" s="15"/>
      <c r="F222" s="13"/>
      <c r="G222" s="13"/>
      <c r="H222" s="6"/>
      <c r="I222" s="13"/>
      <c r="J222" s="13"/>
      <c r="K222" s="13"/>
      <c r="L222" s="13"/>
      <c r="M222" s="13"/>
      <c r="N222" s="13"/>
      <c r="O222" s="13"/>
      <c r="P222" s="13"/>
      <c r="Q222" s="13"/>
      <c r="R222" s="13"/>
      <c r="S222" s="13"/>
      <c r="T222" s="13"/>
      <c r="U222" s="13"/>
      <c r="V222" s="13"/>
      <c r="W222" s="13"/>
      <c r="X222" s="13"/>
      <c r="Y222" s="13"/>
      <c r="Z222" s="13"/>
      <c r="AA222" s="13"/>
      <c r="AB222" s="13"/>
    </row>
    <row r="223" spans="1:28" ht="17.399999999999999" x14ac:dyDescent="0.35">
      <c r="A223" s="16"/>
      <c r="B223" s="17"/>
      <c r="C223" s="13"/>
      <c r="D223" s="13"/>
      <c r="E223" s="15"/>
      <c r="F223" s="13"/>
      <c r="G223" s="13"/>
      <c r="H223" s="6"/>
      <c r="I223" s="13"/>
      <c r="J223" s="13"/>
      <c r="K223" s="13"/>
      <c r="L223" s="13"/>
      <c r="M223" s="13"/>
      <c r="N223" s="13"/>
      <c r="O223" s="13"/>
      <c r="P223" s="13"/>
      <c r="Q223" s="13"/>
      <c r="R223" s="13"/>
      <c r="S223" s="13"/>
      <c r="T223" s="13"/>
      <c r="U223" s="13"/>
      <c r="V223" s="13"/>
      <c r="W223" s="13"/>
      <c r="X223" s="13"/>
      <c r="Y223" s="13"/>
      <c r="Z223" s="13"/>
      <c r="AA223" s="13"/>
      <c r="AB223" s="13"/>
    </row>
    <row r="224" spans="1:28" ht="17.399999999999999" x14ac:dyDescent="0.35">
      <c r="A224" s="16"/>
      <c r="B224" s="17"/>
      <c r="C224" s="13"/>
      <c r="D224" s="13"/>
      <c r="E224" s="15"/>
      <c r="F224" s="13"/>
      <c r="G224" s="13"/>
      <c r="H224" s="6"/>
      <c r="I224" s="13"/>
      <c r="J224" s="13"/>
      <c r="K224" s="13"/>
      <c r="L224" s="13"/>
      <c r="M224" s="13"/>
      <c r="N224" s="13"/>
      <c r="O224" s="13"/>
      <c r="P224" s="13"/>
      <c r="Q224" s="13"/>
      <c r="R224" s="13"/>
      <c r="S224" s="13"/>
      <c r="T224" s="13"/>
      <c r="U224" s="13"/>
      <c r="V224" s="13"/>
      <c r="W224" s="13"/>
      <c r="X224" s="13"/>
      <c r="Y224" s="13"/>
      <c r="Z224" s="13"/>
      <c r="AA224" s="13"/>
      <c r="AB224" s="13"/>
    </row>
    <row r="225" spans="1:28" ht="17.399999999999999" x14ac:dyDescent="0.35">
      <c r="A225" s="16"/>
      <c r="B225" s="17"/>
      <c r="C225" s="13"/>
      <c r="D225" s="13"/>
      <c r="E225" s="15"/>
      <c r="F225" s="13"/>
      <c r="G225" s="13"/>
      <c r="H225" s="6"/>
      <c r="I225" s="13"/>
      <c r="J225" s="13"/>
      <c r="K225" s="13"/>
      <c r="L225" s="13"/>
      <c r="M225" s="13"/>
      <c r="N225" s="13"/>
      <c r="O225" s="13"/>
      <c r="P225" s="13"/>
      <c r="Q225" s="13"/>
      <c r="R225" s="13"/>
      <c r="S225" s="13"/>
      <c r="T225" s="13"/>
      <c r="U225" s="13"/>
      <c r="V225" s="13"/>
      <c r="W225" s="13"/>
      <c r="X225" s="13"/>
      <c r="Y225" s="13"/>
      <c r="Z225" s="13"/>
      <c r="AA225" s="13"/>
      <c r="AB225" s="13"/>
    </row>
    <row r="226" spans="1:28" ht="17.399999999999999" x14ac:dyDescent="0.35">
      <c r="A226" s="16"/>
      <c r="B226" s="17"/>
      <c r="C226" s="13"/>
      <c r="D226" s="13"/>
      <c r="E226" s="15"/>
      <c r="F226" s="13"/>
      <c r="G226" s="13"/>
      <c r="H226" s="6"/>
      <c r="I226" s="13"/>
      <c r="J226" s="13"/>
      <c r="K226" s="13"/>
      <c r="L226" s="13"/>
      <c r="M226" s="13"/>
      <c r="N226" s="13"/>
      <c r="O226" s="13"/>
      <c r="P226" s="13"/>
      <c r="Q226" s="13"/>
      <c r="R226" s="13"/>
      <c r="S226" s="13"/>
      <c r="T226" s="13"/>
      <c r="U226" s="13"/>
      <c r="V226" s="13"/>
      <c r="W226" s="13"/>
      <c r="X226" s="13"/>
      <c r="Y226" s="13"/>
      <c r="Z226" s="13"/>
      <c r="AA226" s="13"/>
      <c r="AB226" s="13"/>
    </row>
    <row r="227" spans="1:28" ht="17.399999999999999" x14ac:dyDescent="0.35">
      <c r="A227" s="16"/>
      <c r="B227" s="17"/>
      <c r="C227" s="13"/>
      <c r="D227" s="13"/>
      <c r="E227" s="15"/>
      <c r="F227" s="13"/>
      <c r="G227" s="13"/>
      <c r="H227" s="6"/>
      <c r="I227" s="13"/>
      <c r="J227" s="13"/>
      <c r="K227" s="13"/>
      <c r="L227" s="13"/>
      <c r="M227" s="13"/>
      <c r="N227" s="13"/>
      <c r="O227" s="13"/>
      <c r="P227" s="13"/>
      <c r="Q227" s="13"/>
      <c r="R227" s="13"/>
      <c r="S227" s="13"/>
      <c r="T227" s="13"/>
      <c r="U227" s="13"/>
      <c r="V227" s="13"/>
      <c r="W227" s="13"/>
      <c r="X227" s="13"/>
      <c r="Y227" s="13"/>
      <c r="Z227" s="13"/>
      <c r="AA227" s="13"/>
      <c r="AB227" s="13"/>
    </row>
    <row r="228" spans="1:28" ht="17.399999999999999" x14ac:dyDescent="0.35">
      <c r="A228" s="16"/>
      <c r="B228" s="17"/>
      <c r="C228" s="13"/>
      <c r="D228" s="13"/>
      <c r="E228" s="15"/>
      <c r="F228" s="13"/>
      <c r="G228" s="13"/>
      <c r="H228" s="6"/>
      <c r="I228" s="13"/>
      <c r="J228" s="13"/>
      <c r="K228" s="13"/>
      <c r="L228" s="13"/>
      <c r="M228" s="13"/>
      <c r="N228" s="13"/>
      <c r="O228" s="13"/>
      <c r="P228" s="13"/>
      <c r="Q228" s="13"/>
      <c r="R228" s="13"/>
      <c r="S228" s="13"/>
      <c r="T228" s="13"/>
      <c r="U228" s="13"/>
      <c r="V228" s="13"/>
      <c r="W228" s="13"/>
      <c r="X228" s="13"/>
      <c r="Y228" s="13"/>
      <c r="Z228" s="13"/>
      <c r="AA228" s="13"/>
      <c r="AB228" s="13"/>
    </row>
    <row r="229" spans="1:28" ht="17.399999999999999" x14ac:dyDescent="0.35">
      <c r="A229" s="16"/>
      <c r="B229" s="17"/>
      <c r="C229" s="13"/>
      <c r="D229" s="13"/>
      <c r="E229" s="15"/>
      <c r="F229" s="13"/>
      <c r="G229" s="13"/>
      <c r="H229" s="6"/>
      <c r="I229" s="13"/>
      <c r="J229" s="13"/>
      <c r="K229" s="13"/>
      <c r="L229" s="13"/>
      <c r="M229" s="13"/>
      <c r="N229" s="13"/>
      <c r="O229" s="13"/>
      <c r="P229" s="13"/>
      <c r="Q229" s="13"/>
      <c r="R229" s="13"/>
      <c r="S229" s="13"/>
      <c r="T229" s="13"/>
      <c r="U229" s="13"/>
      <c r="V229" s="13"/>
      <c r="W229" s="13"/>
      <c r="X229" s="13"/>
      <c r="Y229" s="13"/>
      <c r="Z229" s="13"/>
      <c r="AA229" s="13"/>
      <c r="AB229" s="13"/>
    </row>
    <row r="230" spans="1:28" ht="17.399999999999999" x14ac:dyDescent="0.35">
      <c r="A230" s="16"/>
      <c r="B230" s="17"/>
      <c r="C230" s="13"/>
      <c r="D230" s="13"/>
      <c r="E230" s="15"/>
      <c r="F230" s="13"/>
      <c r="G230" s="13"/>
      <c r="H230" s="6"/>
      <c r="I230" s="13"/>
      <c r="J230" s="13"/>
      <c r="K230" s="13"/>
      <c r="L230" s="13"/>
      <c r="M230" s="13"/>
      <c r="N230" s="13"/>
      <c r="O230" s="13"/>
      <c r="P230" s="13"/>
      <c r="Q230" s="13"/>
      <c r="R230" s="13"/>
      <c r="S230" s="13"/>
      <c r="T230" s="13"/>
      <c r="U230" s="13"/>
      <c r="V230" s="13"/>
      <c r="W230" s="13"/>
      <c r="X230" s="13"/>
      <c r="Y230" s="13"/>
      <c r="Z230" s="13"/>
      <c r="AA230" s="13"/>
      <c r="AB230" s="13"/>
    </row>
    <row r="231" spans="1:28" ht="17.399999999999999" x14ac:dyDescent="0.35">
      <c r="A231" s="16"/>
      <c r="B231" s="17"/>
      <c r="C231" s="13"/>
      <c r="D231" s="13"/>
      <c r="E231" s="15"/>
      <c r="F231" s="13"/>
      <c r="G231" s="13"/>
      <c r="H231" s="6"/>
      <c r="I231" s="13"/>
      <c r="J231" s="13"/>
      <c r="K231" s="13"/>
      <c r="L231" s="13"/>
      <c r="M231" s="13"/>
      <c r="N231" s="13"/>
      <c r="O231" s="13"/>
      <c r="P231" s="13"/>
      <c r="Q231" s="13"/>
      <c r="R231" s="13"/>
      <c r="S231" s="13"/>
      <c r="T231" s="13"/>
      <c r="U231" s="13"/>
      <c r="V231" s="13"/>
      <c r="W231" s="13"/>
      <c r="X231" s="13"/>
      <c r="Y231" s="13"/>
      <c r="Z231" s="13"/>
      <c r="AA231" s="13"/>
      <c r="AB231" s="13"/>
    </row>
    <row r="232" spans="1:28" ht="17.399999999999999" x14ac:dyDescent="0.35">
      <c r="A232" s="16"/>
      <c r="B232" s="17"/>
      <c r="C232" s="13"/>
      <c r="D232" s="13"/>
      <c r="E232" s="15"/>
      <c r="F232" s="13"/>
      <c r="G232" s="13"/>
      <c r="H232" s="6"/>
      <c r="I232" s="13"/>
      <c r="J232" s="13"/>
      <c r="K232" s="13"/>
      <c r="L232" s="13"/>
      <c r="M232" s="13"/>
      <c r="N232" s="13"/>
      <c r="O232" s="13"/>
      <c r="P232" s="13"/>
      <c r="Q232" s="13"/>
      <c r="R232" s="13"/>
      <c r="S232" s="13"/>
      <c r="T232" s="13"/>
      <c r="U232" s="13"/>
      <c r="V232" s="13"/>
      <c r="W232" s="13"/>
      <c r="X232" s="13"/>
      <c r="Y232" s="13"/>
      <c r="Z232" s="13"/>
      <c r="AA232" s="13"/>
      <c r="AB232" s="13"/>
    </row>
    <row r="233" spans="1:28" ht="17.399999999999999" x14ac:dyDescent="0.35">
      <c r="A233" s="16"/>
      <c r="B233" s="17"/>
      <c r="C233" s="13"/>
      <c r="D233" s="13"/>
      <c r="E233" s="15"/>
      <c r="F233" s="13"/>
      <c r="G233" s="13"/>
      <c r="H233" s="6"/>
      <c r="I233" s="13"/>
      <c r="J233" s="13"/>
      <c r="K233" s="13"/>
      <c r="L233" s="13"/>
      <c r="M233" s="13"/>
      <c r="N233" s="13"/>
      <c r="O233" s="13"/>
      <c r="P233" s="13"/>
      <c r="Q233" s="13"/>
      <c r="R233" s="13"/>
      <c r="S233" s="13"/>
      <c r="T233" s="13"/>
      <c r="U233" s="13"/>
      <c r="V233" s="13"/>
      <c r="W233" s="13"/>
      <c r="X233" s="13"/>
      <c r="Y233" s="13"/>
      <c r="Z233" s="13"/>
      <c r="AA233" s="13"/>
      <c r="AB233" s="13"/>
    </row>
    <row r="234" spans="1:28" ht="17.399999999999999" x14ac:dyDescent="0.35">
      <c r="A234" s="16"/>
      <c r="B234" s="17"/>
      <c r="C234" s="13"/>
      <c r="D234" s="13"/>
      <c r="E234" s="15"/>
      <c r="F234" s="13"/>
      <c r="G234" s="13"/>
      <c r="H234" s="6"/>
      <c r="I234" s="13"/>
      <c r="J234" s="13"/>
      <c r="K234" s="13"/>
      <c r="L234" s="13"/>
      <c r="M234" s="13"/>
      <c r="N234" s="13"/>
      <c r="O234" s="13"/>
      <c r="P234" s="13"/>
      <c r="Q234" s="13"/>
      <c r="R234" s="13"/>
      <c r="S234" s="13"/>
      <c r="T234" s="13"/>
      <c r="U234" s="13"/>
      <c r="V234" s="13"/>
      <c r="W234" s="13"/>
      <c r="X234" s="13"/>
      <c r="Y234" s="13"/>
      <c r="Z234" s="13"/>
      <c r="AA234" s="13"/>
      <c r="AB234" s="13"/>
    </row>
    <row r="235" spans="1:28" ht="17.399999999999999" x14ac:dyDescent="0.35">
      <c r="A235" s="16"/>
      <c r="B235" s="17"/>
      <c r="C235" s="13"/>
      <c r="D235" s="13"/>
      <c r="E235" s="15"/>
      <c r="F235" s="13"/>
      <c r="G235" s="13"/>
      <c r="H235" s="6"/>
      <c r="I235" s="13"/>
      <c r="J235" s="13"/>
      <c r="K235" s="13"/>
      <c r="L235" s="13"/>
      <c r="M235" s="13"/>
      <c r="N235" s="13"/>
      <c r="O235" s="13"/>
      <c r="P235" s="13"/>
      <c r="Q235" s="13"/>
      <c r="R235" s="13"/>
      <c r="S235" s="13"/>
      <c r="T235" s="13"/>
      <c r="U235" s="13"/>
      <c r="V235" s="13"/>
      <c r="W235" s="13"/>
      <c r="X235" s="13"/>
      <c r="Y235" s="13"/>
      <c r="Z235" s="13"/>
      <c r="AA235" s="13"/>
      <c r="AB235" s="13"/>
    </row>
    <row r="236" spans="1:28" ht="17.399999999999999" x14ac:dyDescent="0.35">
      <c r="A236" s="16"/>
      <c r="B236" s="17"/>
      <c r="C236" s="13"/>
      <c r="D236" s="13"/>
      <c r="E236" s="15"/>
      <c r="F236" s="13"/>
      <c r="G236" s="13"/>
      <c r="H236" s="6"/>
      <c r="I236" s="13"/>
      <c r="J236" s="13"/>
      <c r="K236" s="13"/>
      <c r="L236" s="13"/>
      <c r="M236" s="13"/>
      <c r="N236" s="13"/>
      <c r="O236" s="13"/>
      <c r="P236" s="13"/>
      <c r="Q236" s="13"/>
      <c r="R236" s="13"/>
      <c r="S236" s="13"/>
      <c r="T236" s="13"/>
      <c r="U236" s="13"/>
      <c r="V236" s="13"/>
      <c r="W236" s="13"/>
      <c r="X236" s="13"/>
      <c r="Y236" s="13"/>
      <c r="Z236" s="13"/>
      <c r="AA236" s="13"/>
      <c r="AB236" s="13"/>
    </row>
    <row r="237" spans="1:28" ht="17.399999999999999" x14ac:dyDescent="0.35">
      <c r="A237" s="16"/>
      <c r="B237" s="17"/>
      <c r="C237" s="13"/>
      <c r="D237" s="13"/>
      <c r="E237" s="15"/>
      <c r="F237" s="13"/>
      <c r="G237" s="13"/>
      <c r="H237" s="6"/>
      <c r="I237" s="13"/>
      <c r="J237" s="13"/>
      <c r="K237" s="13"/>
      <c r="L237" s="13"/>
      <c r="M237" s="13"/>
      <c r="N237" s="13"/>
      <c r="O237" s="13"/>
      <c r="P237" s="13"/>
      <c r="Q237" s="13"/>
      <c r="R237" s="13"/>
      <c r="S237" s="13"/>
      <c r="T237" s="13"/>
      <c r="U237" s="13"/>
      <c r="V237" s="13"/>
      <c r="W237" s="13"/>
      <c r="X237" s="13"/>
      <c r="Y237" s="13"/>
      <c r="Z237" s="13"/>
      <c r="AA237" s="13"/>
      <c r="AB237" s="13"/>
    </row>
    <row r="238" spans="1:28" ht="17.399999999999999" x14ac:dyDescent="0.35">
      <c r="A238" s="16"/>
      <c r="B238" s="17"/>
      <c r="C238" s="13"/>
      <c r="D238" s="13"/>
      <c r="E238" s="15"/>
      <c r="F238" s="13"/>
      <c r="G238" s="13"/>
      <c r="H238" s="6"/>
      <c r="I238" s="13"/>
      <c r="J238" s="13"/>
      <c r="K238" s="13"/>
      <c r="L238" s="13"/>
      <c r="M238" s="13"/>
      <c r="N238" s="13"/>
      <c r="O238" s="13"/>
      <c r="P238" s="13"/>
      <c r="Q238" s="13"/>
      <c r="R238" s="13"/>
      <c r="S238" s="13"/>
      <c r="T238" s="13"/>
      <c r="U238" s="13"/>
      <c r="V238" s="13"/>
      <c r="W238" s="13"/>
      <c r="X238" s="13"/>
      <c r="Y238" s="13"/>
      <c r="Z238" s="13"/>
      <c r="AA238" s="13"/>
      <c r="AB238" s="13"/>
    </row>
    <row r="239" spans="1:28" ht="17.399999999999999" x14ac:dyDescent="0.35">
      <c r="A239" s="16"/>
      <c r="B239" s="17"/>
      <c r="C239" s="13"/>
      <c r="D239" s="13"/>
      <c r="E239" s="15"/>
      <c r="F239" s="13"/>
      <c r="G239" s="13"/>
      <c r="H239" s="6"/>
      <c r="I239" s="13"/>
      <c r="J239" s="13"/>
      <c r="K239" s="13"/>
      <c r="L239" s="13"/>
      <c r="M239" s="13"/>
      <c r="N239" s="13"/>
      <c r="O239" s="13"/>
      <c r="P239" s="13"/>
      <c r="Q239" s="13"/>
      <c r="R239" s="13"/>
      <c r="S239" s="13"/>
      <c r="T239" s="13"/>
      <c r="U239" s="13"/>
      <c r="V239" s="13"/>
      <c r="W239" s="13"/>
      <c r="X239" s="13"/>
      <c r="Y239" s="13"/>
      <c r="Z239" s="13"/>
      <c r="AA239" s="13"/>
      <c r="AB239" s="13"/>
    </row>
    <row r="240" spans="1:28" ht="17.399999999999999" x14ac:dyDescent="0.35">
      <c r="A240" s="16"/>
      <c r="B240" s="17"/>
      <c r="C240" s="13"/>
      <c r="D240" s="13"/>
      <c r="E240" s="15"/>
      <c r="F240" s="13"/>
      <c r="G240" s="13"/>
      <c r="H240" s="6"/>
      <c r="I240" s="13"/>
      <c r="J240" s="13"/>
      <c r="K240" s="13"/>
      <c r="L240" s="13"/>
      <c r="M240" s="13"/>
      <c r="N240" s="13"/>
      <c r="O240" s="13"/>
      <c r="P240" s="13"/>
      <c r="Q240" s="13"/>
      <c r="R240" s="13"/>
      <c r="S240" s="13"/>
      <c r="T240" s="13"/>
      <c r="U240" s="13"/>
      <c r="V240" s="13"/>
      <c r="W240" s="13"/>
      <c r="X240" s="13"/>
      <c r="Y240" s="13"/>
      <c r="Z240" s="13"/>
      <c r="AA240" s="13"/>
      <c r="AB240" s="13"/>
    </row>
    <row r="241" spans="1:28" ht="17.399999999999999" x14ac:dyDescent="0.35">
      <c r="A241" s="16"/>
      <c r="B241" s="17"/>
      <c r="C241" s="13"/>
      <c r="D241" s="13"/>
      <c r="E241" s="15"/>
      <c r="F241" s="13"/>
      <c r="G241" s="13"/>
      <c r="H241" s="6"/>
      <c r="I241" s="13"/>
      <c r="J241" s="13"/>
      <c r="K241" s="13"/>
      <c r="L241" s="13"/>
      <c r="M241" s="13"/>
      <c r="N241" s="13"/>
      <c r="O241" s="13"/>
      <c r="P241" s="13"/>
      <c r="Q241" s="13"/>
      <c r="R241" s="13"/>
      <c r="S241" s="13"/>
      <c r="T241" s="13"/>
      <c r="U241" s="13"/>
      <c r="V241" s="13"/>
      <c r="W241" s="13"/>
      <c r="X241" s="13"/>
      <c r="Y241" s="13"/>
      <c r="Z241" s="13"/>
      <c r="AA241" s="13"/>
      <c r="AB241" s="13"/>
    </row>
    <row r="242" spans="1:28" ht="17.399999999999999" x14ac:dyDescent="0.35">
      <c r="A242" s="16"/>
      <c r="B242" s="17"/>
      <c r="C242" s="13"/>
      <c r="D242" s="13"/>
      <c r="E242" s="15"/>
      <c r="F242" s="13"/>
      <c r="G242" s="13"/>
      <c r="H242" s="6"/>
      <c r="I242" s="13"/>
      <c r="J242" s="13"/>
      <c r="K242" s="13"/>
      <c r="L242" s="13"/>
      <c r="M242" s="13"/>
      <c r="N242" s="13"/>
      <c r="O242" s="13"/>
      <c r="P242" s="13"/>
      <c r="Q242" s="13"/>
      <c r="R242" s="13"/>
      <c r="S242" s="13"/>
      <c r="T242" s="13"/>
      <c r="U242" s="13"/>
      <c r="V242" s="13"/>
      <c r="W242" s="13"/>
      <c r="X242" s="13"/>
      <c r="Y242" s="13"/>
      <c r="Z242" s="13"/>
      <c r="AA242" s="13"/>
      <c r="AB242" s="13"/>
    </row>
    <row r="243" spans="1:28" ht="17.399999999999999" x14ac:dyDescent="0.35">
      <c r="A243" s="16"/>
      <c r="B243" s="17"/>
      <c r="C243" s="13"/>
      <c r="D243" s="13"/>
      <c r="E243" s="15"/>
      <c r="F243" s="13"/>
      <c r="G243" s="13"/>
      <c r="H243" s="6"/>
      <c r="I243" s="13"/>
      <c r="J243" s="13"/>
      <c r="K243" s="13"/>
      <c r="L243" s="13"/>
      <c r="M243" s="13"/>
      <c r="N243" s="13"/>
      <c r="O243" s="13"/>
      <c r="P243" s="13"/>
      <c r="Q243" s="13"/>
      <c r="R243" s="13"/>
      <c r="S243" s="13"/>
      <c r="T243" s="13"/>
      <c r="U243" s="13"/>
      <c r="V243" s="13"/>
      <c r="W243" s="13"/>
      <c r="X243" s="13"/>
      <c r="Y243" s="13"/>
      <c r="Z243" s="13"/>
      <c r="AA243" s="13"/>
      <c r="AB243" s="13"/>
    </row>
    <row r="244" spans="1:28" ht="17.399999999999999" x14ac:dyDescent="0.35">
      <c r="A244" s="16"/>
      <c r="B244" s="17"/>
      <c r="C244" s="13"/>
      <c r="D244" s="13"/>
      <c r="E244" s="15"/>
      <c r="F244" s="13"/>
      <c r="G244" s="13"/>
      <c r="H244" s="6"/>
      <c r="I244" s="13"/>
      <c r="J244" s="13"/>
      <c r="K244" s="13"/>
      <c r="L244" s="13"/>
      <c r="M244" s="13"/>
      <c r="N244" s="13"/>
      <c r="O244" s="13"/>
      <c r="P244" s="13"/>
      <c r="Q244" s="13"/>
      <c r="R244" s="13"/>
      <c r="S244" s="13"/>
      <c r="T244" s="13"/>
      <c r="U244" s="13"/>
      <c r="V244" s="13"/>
      <c r="W244" s="13"/>
      <c r="X244" s="13"/>
      <c r="Y244" s="13"/>
      <c r="Z244" s="13"/>
      <c r="AA244" s="13"/>
      <c r="AB244" s="13"/>
    </row>
    <row r="245" spans="1:28" ht="17.399999999999999" x14ac:dyDescent="0.35">
      <c r="A245" s="16"/>
      <c r="B245" s="17"/>
      <c r="C245" s="13"/>
      <c r="D245" s="13"/>
      <c r="E245" s="15"/>
      <c r="F245" s="13"/>
      <c r="G245" s="13"/>
      <c r="H245" s="6"/>
      <c r="I245" s="13"/>
      <c r="J245" s="13"/>
      <c r="K245" s="13"/>
      <c r="L245" s="13"/>
      <c r="M245" s="13"/>
      <c r="N245" s="13"/>
      <c r="O245" s="13"/>
      <c r="P245" s="13"/>
      <c r="Q245" s="13"/>
      <c r="R245" s="13"/>
      <c r="S245" s="13"/>
      <c r="T245" s="13"/>
      <c r="U245" s="13"/>
      <c r="V245" s="13"/>
      <c r="W245" s="13"/>
      <c r="X245" s="13"/>
      <c r="Y245" s="13"/>
      <c r="Z245" s="13"/>
      <c r="AA245" s="13"/>
      <c r="AB245" s="13"/>
    </row>
    <row r="246" spans="1:28" ht="17.399999999999999" x14ac:dyDescent="0.35">
      <c r="A246" s="16"/>
      <c r="B246" s="17"/>
      <c r="C246" s="13"/>
      <c r="D246" s="13"/>
      <c r="E246" s="15"/>
      <c r="F246" s="13"/>
      <c r="G246" s="13"/>
      <c r="H246" s="6"/>
      <c r="I246" s="13"/>
      <c r="J246" s="13"/>
      <c r="K246" s="13"/>
      <c r="L246" s="13"/>
      <c r="M246" s="13"/>
      <c r="N246" s="13"/>
      <c r="O246" s="13"/>
      <c r="P246" s="13"/>
      <c r="Q246" s="13"/>
      <c r="R246" s="13"/>
      <c r="S246" s="13"/>
      <c r="T246" s="13"/>
      <c r="U246" s="13"/>
      <c r="V246" s="13"/>
      <c r="W246" s="13"/>
      <c r="X246" s="13"/>
      <c r="Y246" s="13"/>
      <c r="Z246" s="13"/>
      <c r="AA246" s="13"/>
      <c r="AB246" s="13"/>
    </row>
    <row r="247" spans="1:28" ht="17.399999999999999" x14ac:dyDescent="0.35">
      <c r="A247" s="16"/>
      <c r="B247" s="17"/>
      <c r="C247" s="13"/>
      <c r="D247" s="13"/>
      <c r="E247" s="15"/>
      <c r="F247" s="13"/>
      <c r="G247" s="13"/>
      <c r="H247" s="6"/>
      <c r="I247" s="13"/>
      <c r="J247" s="13"/>
      <c r="K247" s="13"/>
      <c r="L247" s="13"/>
      <c r="M247" s="13"/>
      <c r="N247" s="13"/>
      <c r="O247" s="13"/>
      <c r="P247" s="13"/>
      <c r="Q247" s="13"/>
      <c r="R247" s="13"/>
      <c r="S247" s="13"/>
      <c r="T247" s="13"/>
      <c r="U247" s="13"/>
      <c r="V247" s="13"/>
      <c r="W247" s="13"/>
      <c r="X247" s="13"/>
      <c r="Y247" s="13"/>
      <c r="Z247" s="13"/>
      <c r="AA247" s="13"/>
      <c r="AB247" s="13"/>
    </row>
    <row r="248" spans="1:28" ht="17.399999999999999" x14ac:dyDescent="0.35">
      <c r="A248" s="16"/>
      <c r="B248" s="17"/>
      <c r="C248" s="13"/>
      <c r="D248" s="13"/>
      <c r="E248" s="15"/>
      <c r="F248" s="13"/>
      <c r="G248" s="13"/>
      <c r="H248" s="6"/>
      <c r="I248" s="13"/>
      <c r="J248" s="13"/>
      <c r="K248" s="13"/>
      <c r="L248" s="13"/>
      <c r="M248" s="13"/>
      <c r="N248" s="13"/>
      <c r="O248" s="13"/>
      <c r="P248" s="13"/>
      <c r="Q248" s="13"/>
      <c r="R248" s="13"/>
      <c r="S248" s="13"/>
      <c r="T248" s="13"/>
      <c r="U248" s="13"/>
      <c r="V248" s="13"/>
      <c r="W248" s="13"/>
      <c r="X248" s="13"/>
      <c r="Y248" s="13"/>
      <c r="Z248" s="13"/>
      <c r="AA248" s="13"/>
      <c r="AB248" s="13"/>
    </row>
    <row r="249" spans="1:28" ht="17.399999999999999" x14ac:dyDescent="0.35">
      <c r="A249" s="16"/>
      <c r="B249" s="17"/>
      <c r="C249" s="13"/>
      <c r="D249" s="13"/>
      <c r="E249" s="15"/>
      <c r="F249" s="13"/>
      <c r="G249" s="13"/>
      <c r="H249" s="6"/>
      <c r="I249" s="13"/>
      <c r="J249" s="13"/>
      <c r="K249" s="13"/>
      <c r="L249" s="13"/>
      <c r="M249" s="13"/>
      <c r="N249" s="13"/>
      <c r="O249" s="13"/>
      <c r="P249" s="13"/>
      <c r="Q249" s="13"/>
      <c r="R249" s="13"/>
      <c r="S249" s="13"/>
      <c r="T249" s="13"/>
      <c r="U249" s="13"/>
      <c r="V249" s="13"/>
      <c r="W249" s="13"/>
      <c r="X249" s="13"/>
      <c r="Y249" s="13"/>
      <c r="Z249" s="13"/>
      <c r="AA249" s="13"/>
      <c r="AB249" s="13"/>
    </row>
    <row r="250" spans="1:28" ht="17.399999999999999" x14ac:dyDescent="0.35">
      <c r="A250" s="16"/>
      <c r="B250" s="17"/>
      <c r="C250" s="13"/>
      <c r="D250" s="13"/>
      <c r="E250" s="15"/>
      <c r="F250" s="13"/>
      <c r="G250" s="13"/>
      <c r="H250" s="6"/>
      <c r="I250" s="13"/>
      <c r="J250" s="13"/>
      <c r="K250" s="13"/>
      <c r="L250" s="13"/>
      <c r="M250" s="13"/>
      <c r="N250" s="13"/>
      <c r="O250" s="13"/>
      <c r="P250" s="13"/>
      <c r="Q250" s="13"/>
      <c r="R250" s="13"/>
      <c r="S250" s="13"/>
      <c r="T250" s="13"/>
      <c r="U250" s="13"/>
      <c r="V250" s="13"/>
      <c r="W250" s="13"/>
      <c r="X250" s="13"/>
      <c r="Y250" s="13"/>
      <c r="Z250" s="13"/>
      <c r="AA250" s="13"/>
      <c r="AB250" s="13"/>
    </row>
    <row r="251" spans="1:28" ht="17.399999999999999" x14ac:dyDescent="0.35">
      <c r="A251" s="16"/>
      <c r="B251" s="17"/>
      <c r="C251" s="13"/>
      <c r="D251" s="13"/>
      <c r="E251" s="15"/>
      <c r="F251" s="13"/>
      <c r="G251" s="13"/>
      <c r="H251" s="6"/>
      <c r="I251" s="13"/>
      <c r="J251" s="13"/>
      <c r="K251" s="13"/>
      <c r="L251" s="13"/>
      <c r="M251" s="13"/>
      <c r="N251" s="13"/>
      <c r="O251" s="13"/>
      <c r="P251" s="13"/>
      <c r="Q251" s="13"/>
      <c r="R251" s="13"/>
      <c r="S251" s="13"/>
      <c r="T251" s="13"/>
      <c r="U251" s="13"/>
      <c r="V251" s="13"/>
      <c r="W251" s="13"/>
      <c r="X251" s="13"/>
      <c r="Y251" s="13"/>
      <c r="Z251" s="13"/>
      <c r="AA251" s="13"/>
      <c r="AB251" s="13"/>
    </row>
    <row r="252" spans="1:28" ht="17.399999999999999" x14ac:dyDescent="0.35">
      <c r="A252" s="16"/>
      <c r="B252" s="17"/>
      <c r="C252" s="13"/>
      <c r="D252" s="13"/>
      <c r="E252" s="15"/>
      <c r="F252" s="13"/>
      <c r="G252" s="13"/>
      <c r="H252" s="6"/>
      <c r="I252" s="13"/>
      <c r="J252" s="13"/>
      <c r="K252" s="13"/>
      <c r="L252" s="13"/>
      <c r="M252" s="13"/>
      <c r="N252" s="13"/>
      <c r="O252" s="13"/>
      <c r="P252" s="13"/>
      <c r="Q252" s="13"/>
      <c r="R252" s="13"/>
      <c r="S252" s="13"/>
      <c r="T252" s="13"/>
      <c r="U252" s="13"/>
      <c r="V252" s="13"/>
      <c r="W252" s="13"/>
      <c r="X252" s="13"/>
      <c r="Y252" s="13"/>
      <c r="Z252" s="13"/>
      <c r="AA252" s="13"/>
      <c r="AB252" s="13"/>
    </row>
    <row r="253" spans="1:28" ht="17.399999999999999" x14ac:dyDescent="0.35">
      <c r="A253" s="16"/>
      <c r="B253" s="17"/>
      <c r="C253" s="13"/>
      <c r="D253" s="13"/>
      <c r="E253" s="15"/>
      <c r="F253" s="13"/>
      <c r="G253" s="13"/>
      <c r="H253" s="6"/>
      <c r="I253" s="13"/>
      <c r="J253" s="13"/>
      <c r="K253" s="13"/>
      <c r="L253" s="13"/>
      <c r="M253" s="13"/>
      <c r="N253" s="13"/>
      <c r="O253" s="13"/>
      <c r="P253" s="13"/>
      <c r="Q253" s="13"/>
      <c r="R253" s="13"/>
      <c r="S253" s="13"/>
      <c r="T253" s="13"/>
      <c r="U253" s="13"/>
      <c r="V253" s="13"/>
      <c r="W253" s="13"/>
      <c r="X253" s="13"/>
      <c r="Y253" s="13"/>
      <c r="Z253" s="13"/>
      <c r="AA253" s="13"/>
      <c r="AB253" s="13"/>
    </row>
    <row r="254" spans="1:28" ht="17.399999999999999" x14ac:dyDescent="0.35">
      <c r="A254" s="16"/>
      <c r="B254" s="17"/>
      <c r="C254" s="13"/>
      <c r="D254" s="13"/>
      <c r="E254" s="15"/>
      <c r="F254" s="13"/>
      <c r="G254" s="13"/>
      <c r="H254" s="6"/>
      <c r="I254" s="13"/>
      <c r="J254" s="13"/>
      <c r="K254" s="13"/>
      <c r="L254" s="13"/>
      <c r="M254" s="13"/>
      <c r="N254" s="13"/>
      <c r="O254" s="13"/>
      <c r="P254" s="13"/>
      <c r="Q254" s="13"/>
      <c r="R254" s="13"/>
      <c r="S254" s="13"/>
      <c r="T254" s="13"/>
      <c r="U254" s="13"/>
      <c r="V254" s="13"/>
      <c r="W254" s="13"/>
      <c r="X254" s="13"/>
      <c r="Y254" s="13"/>
      <c r="Z254" s="13"/>
      <c r="AA254" s="13"/>
      <c r="AB254" s="13"/>
    </row>
    <row r="255" spans="1:28" ht="17.399999999999999" x14ac:dyDescent="0.35">
      <c r="A255" s="16"/>
      <c r="B255" s="17"/>
      <c r="C255" s="13"/>
      <c r="D255" s="13"/>
      <c r="E255" s="15"/>
      <c r="F255" s="13"/>
      <c r="G255" s="13"/>
      <c r="H255" s="6"/>
      <c r="I255" s="13"/>
      <c r="J255" s="13"/>
      <c r="K255" s="13"/>
      <c r="L255" s="13"/>
      <c r="M255" s="13"/>
      <c r="N255" s="13"/>
      <c r="O255" s="13"/>
      <c r="P255" s="13"/>
      <c r="Q255" s="13"/>
      <c r="R255" s="13"/>
      <c r="S255" s="13"/>
      <c r="T255" s="13"/>
      <c r="U255" s="13"/>
      <c r="V255" s="13"/>
      <c r="W255" s="13"/>
      <c r="X255" s="13"/>
      <c r="Y255" s="13"/>
      <c r="Z255" s="13"/>
      <c r="AA255" s="13"/>
      <c r="AB255" s="13"/>
    </row>
    <row r="256" spans="1:28" ht="17.399999999999999" x14ac:dyDescent="0.35">
      <c r="A256" s="16"/>
      <c r="B256" s="17"/>
      <c r="C256" s="13"/>
      <c r="D256" s="13"/>
      <c r="E256" s="15"/>
      <c r="F256" s="13"/>
      <c r="G256" s="13"/>
      <c r="H256" s="6"/>
      <c r="I256" s="13"/>
      <c r="J256" s="13"/>
      <c r="K256" s="13"/>
      <c r="L256" s="13"/>
      <c r="M256" s="13"/>
      <c r="N256" s="13"/>
      <c r="O256" s="13"/>
      <c r="P256" s="13"/>
      <c r="Q256" s="13"/>
      <c r="R256" s="13"/>
      <c r="S256" s="13"/>
      <c r="T256" s="13"/>
      <c r="U256" s="13"/>
      <c r="V256" s="13"/>
      <c r="W256" s="13"/>
      <c r="X256" s="13"/>
      <c r="Y256" s="13"/>
      <c r="Z256" s="13"/>
      <c r="AA256" s="13"/>
      <c r="AB256" s="13"/>
    </row>
    <row r="257" spans="1:28" ht="17.399999999999999" x14ac:dyDescent="0.35">
      <c r="A257" s="16"/>
      <c r="B257" s="17"/>
      <c r="C257" s="13"/>
      <c r="D257" s="13"/>
      <c r="E257" s="15"/>
      <c r="F257" s="13"/>
      <c r="G257" s="13"/>
      <c r="H257" s="6"/>
      <c r="I257" s="13"/>
      <c r="J257" s="13"/>
      <c r="K257" s="13"/>
      <c r="L257" s="13"/>
      <c r="M257" s="13"/>
      <c r="N257" s="13"/>
      <c r="O257" s="13"/>
      <c r="P257" s="13"/>
      <c r="Q257" s="13"/>
      <c r="R257" s="13"/>
      <c r="S257" s="13"/>
      <c r="T257" s="13"/>
      <c r="U257" s="13"/>
      <c r="V257" s="13"/>
      <c r="W257" s="13"/>
      <c r="X257" s="13"/>
      <c r="Y257" s="13"/>
      <c r="Z257" s="13"/>
      <c r="AA257" s="13"/>
      <c r="AB257" s="13"/>
    </row>
    <row r="258" spans="1:28" ht="17.399999999999999" x14ac:dyDescent="0.35">
      <c r="A258" s="16"/>
      <c r="B258" s="17"/>
      <c r="C258" s="13"/>
      <c r="D258" s="13"/>
      <c r="E258" s="15"/>
      <c r="F258" s="13"/>
      <c r="G258" s="13"/>
      <c r="H258" s="6"/>
      <c r="I258" s="13"/>
      <c r="J258" s="13"/>
      <c r="K258" s="13"/>
      <c r="L258" s="13"/>
      <c r="M258" s="13"/>
      <c r="N258" s="13"/>
      <c r="O258" s="13"/>
      <c r="P258" s="13"/>
      <c r="Q258" s="13"/>
      <c r="R258" s="13"/>
      <c r="S258" s="13"/>
      <c r="T258" s="13"/>
      <c r="U258" s="13"/>
      <c r="V258" s="13"/>
      <c r="W258" s="13"/>
      <c r="X258" s="13"/>
      <c r="Y258" s="13"/>
      <c r="Z258" s="13"/>
      <c r="AA258" s="13"/>
      <c r="AB258" s="13"/>
    </row>
    <row r="259" spans="1:28" ht="17.399999999999999" x14ac:dyDescent="0.35">
      <c r="A259" s="16"/>
      <c r="B259" s="17"/>
      <c r="C259" s="13"/>
      <c r="D259" s="13"/>
      <c r="E259" s="15"/>
      <c r="F259" s="13"/>
      <c r="G259" s="13"/>
      <c r="H259" s="6"/>
      <c r="I259" s="13"/>
      <c r="J259" s="13"/>
      <c r="K259" s="13"/>
      <c r="L259" s="13"/>
      <c r="M259" s="13"/>
      <c r="N259" s="13"/>
      <c r="O259" s="13"/>
      <c r="P259" s="13"/>
      <c r="Q259" s="13"/>
      <c r="R259" s="13"/>
      <c r="S259" s="13"/>
      <c r="T259" s="13"/>
      <c r="U259" s="13"/>
      <c r="V259" s="13"/>
      <c r="W259" s="13"/>
      <c r="X259" s="13"/>
      <c r="Y259" s="13"/>
      <c r="Z259" s="13"/>
      <c r="AA259" s="13"/>
      <c r="AB259" s="13"/>
    </row>
    <row r="260" spans="1:28" ht="17.399999999999999" x14ac:dyDescent="0.35">
      <c r="A260" s="16"/>
      <c r="B260" s="17"/>
      <c r="C260" s="13"/>
      <c r="D260" s="13"/>
      <c r="E260" s="15"/>
      <c r="F260" s="13"/>
      <c r="G260" s="13"/>
      <c r="H260" s="6"/>
      <c r="I260" s="13"/>
      <c r="J260" s="13"/>
      <c r="K260" s="13"/>
      <c r="L260" s="13"/>
      <c r="M260" s="13"/>
      <c r="N260" s="13"/>
      <c r="O260" s="13"/>
      <c r="P260" s="13"/>
      <c r="Q260" s="13"/>
      <c r="R260" s="13"/>
      <c r="S260" s="13"/>
      <c r="T260" s="13"/>
      <c r="U260" s="13"/>
      <c r="V260" s="13"/>
      <c r="W260" s="13"/>
      <c r="X260" s="13"/>
      <c r="Y260" s="13"/>
      <c r="Z260" s="13"/>
      <c r="AA260" s="13"/>
      <c r="AB260" s="13"/>
    </row>
    <row r="261" spans="1:28" ht="17.399999999999999" x14ac:dyDescent="0.35">
      <c r="A261" s="16"/>
      <c r="B261" s="17"/>
      <c r="C261" s="13"/>
      <c r="D261" s="13"/>
      <c r="E261" s="15"/>
      <c r="F261" s="13"/>
      <c r="G261" s="13"/>
      <c r="H261" s="6"/>
      <c r="I261" s="13"/>
      <c r="J261" s="13"/>
      <c r="K261" s="13"/>
      <c r="L261" s="13"/>
      <c r="M261" s="13"/>
      <c r="N261" s="13"/>
      <c r="O261" s="13"/>
      <c r="P261" s="13"/>
      <c r="Q261" s="13"/>
      <c r="R261" s="13"/>
      <c r="S261" s="13"/>
      <c r="T261" s="13"/>
      <c r="U261" s="13"/>
      <c r="V261" s="13"/>
      <c r="W261" s="13"/>
      <c r="X261" s="13"/>
      <c r="Y261" s="13"/>
      <c r="Z261" s="13"/>
      <c r="AA261" s="13"/>
      <c r="AB261" s="13"/>
    </row>
    <row r="262" spans="1:28" ht="17.399999999999999" x14ac:dyDescent="0.35">
      <c r="A262" s="16"/>
      <c r="B262" s="17"/>
      <c r="C262" s="13"/>
      <c r="D262" s="13"/>
      <c r="E262" s="15"/>
      <c r="F262" s="13"/>
      <c r="G262" s="13"/>
      <c r="H262" s="6"/>
      <c r="I262" s="13"/>
      <c r="J262" s="13"/>
      <c r="K262" s="13"/>
      <c r="L262" s="13"/>
      <c r="M262" s="13"/>
      <c r="N262" s="13"/>
      <c r="O262" s="13"/>
      <c r="P262" s="13"/>
      <c r="Q262" s="13"/>
      <c r="R262" s="13"/>
      <c r="S262" s="13"/>
      <c r="T262" s="13"/>
      <c r="U262" s="13"/>
      <c r="V262" s="13"/>
      <c r="W262" s="13"/>
      <c r="X262" s="13"/>
      <c r="Y262" s="13"/>
      <c r="Z262" s="13"/>
      <c r="AA262" s="13"/>
      <c r="AB262" s="13"/>
    </row>
    <row r="263" spans="1:28" ht="17.399999999999999" x14ac:dyDescent="0.35">
      <c r="A263" s="16"/>
      <c r="B263" s="17"/>
      <c r="C263" s="13"/>
      <c r="D263" s="13"/>
      <c r="E263" s="15"/>
      <c r="F263" s="13"/>
      <c r="G263" s="13"/>
      <c r="H263" s="6"/>
      <c r="I263" s="13"/>
      <c r="J263" s="13"/>
      <c r="K263" s="13"/>
      <c r="L263" s="13"/>
      <c r="M263" s="13"/>
      <c r="N263" s="13"/>
      <c r="O263" s="13"/>
      <c r="P263" s="13"/>
      <c r="Q263" s="13"/>
      <c r="R263" s="13"/>
      <c r="S263" s="13"/>
      <c r="T263" s="13"/>
      <c r="U263" s="13"/>
      <c r="V263" s="13"/>
      <c r="W263" s="13"/>
      <c r="X263" s="13"/>
      <c r="Y263" s="13"/>
      <c r="Z263" s="13"/>
      <c r="AA263" s="13"/>
      <c r="AB263" s="13"/>
    </row>
    <row r="264" spans="1:28" ht="17.399999999999999" x14ac:dyDescent="0.35">
      <c r="A264" s="16"/>
      <c r="B264" s="17"/>
      <c r="C264" s="13"/>
      <c r="D264" s="13"/>
      <c r="E264" s="15"/>
      <c r="F264" s="13"/>
      <c r="G264" s="13"/>
      <c r="H264" s="6"/>
      <c r="I264" s="13"/>
      <c r="J264" s="13"/>
      <c r="K264" s="13"/>
      <c r="L264" s="13"/>
      <c r="M264" s="13"/>
      <c r="N264" s="13"/>
      <c r="O264" s="13"/>
      <c r="P264" s="13"/>
      <c r="Q264" s="13"/>
      <c r="R264" s="13"/>
      <c r="S264" s="13"/>
      <c r="T264" s="13"/>
      <c r="U264" s="13"/>
      <c r="V264" s="13"/>
      <c r="W264" s="13"/>
      <c r="X264" s="13"/>
      <c r="Y264" s="13"/>
      <c r="Z264" s="13"/>
      <c r="AA264" s="13"/>
      <c r="AB264" s="13"/>
    </row>
    <row r="265" spans="1:28" ht="17.399999999999999" x14ac:dyDescent="0.35">
      <c r="A265" s="16"/>
      <c r="B265" s="17"/>
      <c r="C265" s="13"/>
      <c r="D265" s="13"/>
      <c r="E265" s="15"/>
      <c r="F265" s="13"/>
      <c r="G265" s="13"/>
      <c r="H265" s="6"/>
      <c r="I265" s="13"/>
      <c r="J265" s="13"/>
      <c r="K265" s="13"/>
      <c r="L265" s="13"/>
      <c r="M265" s="13"/>
      <c r="N265" s="13"/>
      <c r="O265" s="13"/>
      <c r="P265" s="13"/>
      <c r="Q265" s="13"/>
      <c r="R265" s="13"/>
      <c r="S265" s="13"/>
      <c r="T265" s="13"/>
      <c r="U265" s="13"/>
      <c r="V265" s="13"/>
      <c r="W265" s="13"/>
      <c r="X265" s="13"/>
      <c r="Y265" s="13"/>
      <c r="Z265" s="13"/>
      <c r="AA265" s="13"/>
      <c r="AB265" s="13"/>
    </row>
    <row r="266" spans="1:28" ht="17.399999999999999" x14ac:dyDescent="0.35">
      <c r="A266" s="16"/>
      <c r="B266" s="17"/>
      <c r="C266" s="13"/>
      <c r="D266" s="13"/>
      <c r="E266" s="15"/>
      <c r="F266" s="13"/>
      <c r="G266" s="13"/>
      <c r="H266" s="6"/>
      <c r="I266" s="13"/>
      <c r="J266" s="13"/>
      <c r="K266" s="13"/>
      <c r="L266" s="13"/>
      <c r="M266" s="13"/>
      <c r="N266" s="13"/>
      <c r="O266" s="13"/>
      <c r="P266" s="13"/>
      <c r="Q266" s="13"/>
      <c r="R266" s="13"/>
      <c r="S266" s="13"/>
      <c r="T266" s="13"/>
      <c r="U266" s="13"/>
      <c r="V266" s="13"/>
      <c r="W266" s="13"/>
      <c r="X266" s="13"/>
      <c r="Y266" s="13"/>
      <c r="Z266" s="13"/>
      <c r="AA266" s="13"/>
      <c r="AB266" s="13"/>
    </row>
    <row r="267" spans="1:28" ht="17.399999999999999" x14ac:dyDescent="0.35">
      <c r="A267" s="16"/>
      <c r="B267" s="17"/>
      <c r="C267" s="13"/>
      <c r="D267" s="13"/>
      <c r="E267" s="15"/>
      <c r="F267" s="13"/>
      <c r="G267" s="13"/>
      <c r="H267" s="6"/>
      <c r="I267" s="13"/>
      <c r="J267" s="13"/>
      <c r="K267" s="13"/>
      <c r="L267" s="13"/>
      <c r="M267" s="13"/>
      <c r="N267" s="13"/>
      <c r="O267" s="13"/>
      <c r="P267" s="13"/>
      <c r="Q267" s="13"/>
      <c r="R267" s="13"/>
      <c r="S267" s="13"/>
      <c r="T267" s="13"/>
      <c r="U267" s="13"/>
      <c r="V267" s="13"/>
      <c r="W267" s="13"/>
      <c r="X267" s="13"/>
      <c r="Y267" s="13"/>
      <c r="Z267" s="13"/>
      <c r="AA267" s="13"/>
      <c r="AB267" s="13"/>
    </row>
    <row r="268" spans="1:28" ht="17.399999999999999" x14ac:dyDescent="0.35">
      <c r="A268" s="16"/>
      <c r="B268" s="17"/>
      <c r="C268" s="13"/>
      <c r="D268" s="13"/>
      <c r="E268" s="15"/>
      <c r="F268" s="13"/>
      <c r="G268" s="13"/>
      <c r="H268" s="6"/>
      <c r="I268" s="13"/>
      <c r="J268" s="13"/>
      <c r="K268" s="13"/>
      <c r="L268" s="13"/>
      <c r="M268" s="13"/>
      <c r="N268" s="13"/>
      <c r="O268" s="13"/>
      <c r="P268" s="13"/>
      <c r="Q268" s="13"/>
      <c r="R268" s="13"/>
      <c r="S268" s="13"/>
      <c r="T268" s="13"/>
      <c r="U268" s="13"/>
      <c r="V268" s="13"/>
      <c r="W268" s="13"/>
      <c r="X268" s="13"/>
      <c r="Y268" s="13"/>
      <c r="Z268" s="13"/>
      <c r="AA268" s="13"/>
      <c r="AB268" s="13"/>
    </row>
    <row r="269" spans="1:28" ht="17.399999999999999" x14ac:dyDescent="0.35">
      <c r="A269" s="16"/>
      <c r="B269" s="17"/>
      <c r="C269" s="13"/>
      <c r="D269" s="13"/>
      <c r="E269" s="15"/>
      <c r="F269" s="13"/>
      <c r="G269" s="13"/>
      <c r="H269" s="6"/>
      <c r="I269" s="13"/>
      <c r="J269" s="13"/>
      <c r="K269" s="13"/>
      <c r="L269" s="13"/>
      <c r="M269" s="13"/>
      <c r="N269" s="13"/>
      <c r="O269" s="13"/>
      <c r="P269" s="13"/>
      <c r="Q269" s="13"/>
      <c r="R269" s="13"/>
      <c r="S269" s="13"/>
      <c r="T269" s="13"/>
      <c r="U269" s="13"/>
      <c r="V269" s="13"/>
      <c r="W269" s="13"/>
      <c r="X269" s="13"/>
      <c r="Y269" s="13"/>
      <c r="Z269" s="13"/>
      <c r="AA269" s="13"/>
      <c r="AB269" s="13"/>
    </row>
    <row r="270" spans="1:28" ht="17.399999999999999" x14ac:dyDescent="0.35">
      <c r="A270" s="16"/>
      <c r="B270" s="17"/>
      <c r="C270" s="13"/>
      <c r="D270" s="13"/>
      <c r="E270" s="15"/>
      <c r="F270" s="13"/>
      <c r="G270" s="13"/>
      <c r="H270" s="6"/>
      <c r="I270" s="13"/>
      <c r="J270" s="13"/>
      <c r="K270" s="13"/>
      <c r="L270" s="13"/>
      <c r="M270" s="13"/>
      <c r="N270" s="13"/>
      <c r="O270" s="13"/>
      <c r="P270" s="13"/>
      <c r="Q270" s="13"/>
      <c r="R270" s="13"/>
      <c r="S270" s="13"/>
      <c r="T270" s="13"/>
      <c r="U270" s="13"/>
      <c r="V270" s="13"/>
      <c r="W270" s="13"/>
      <c r="X270" s="13"/>
      <c r="Y270" s="13"/>
      <c r="Z270" s="13"/>
      <c r="AA270" s="13"/>
      <c r="AB270" s="13"/>
    </row>
    <row r="271" spans="1:28" ht="17.399999999999999" x14ac:dyDescent="0.35">
      <c r="A271" s="16"/>
      <c r="B271" s="17"/>
      <c r="C271" s="13"/>
      <c r="D271" s="13"/>
      <c r="E271" s="15"/>
      <c r="F271" s="13"/>
      <c r="G271" s="13"/>
      <c r="H271" s="6"/>
      <c r="I271" s="13"/>
      <c r="J271" s="13"/>
      <c r="K271" s="13"/>
      <c r="L271" s="13"/>
      <c r="M271" s="13"/>
      <c r="N271" s="13"/>
      <c r="O271" s="13"/>
      <c r="P271" s="13"/>
      <c r="Q271" s="13"/>
      <c r="R271" s="13"/>
      <c r="S271" s="13"/>
      <c r="T271" s="13"/>
      <c r="U271" s="13"/>
      <c r="V271" s="13"/>
      <c r="W271" s="13"/>
      <c r="X271" s="13"/>
      <c r="Y271" s="13"/>
      <c r="Z271" s="13"/>
      <c r="AA271" s="13"/>
      <c r="AB271" s="13"/>
    </row>
    <row r="272" spans="1:28" ht="17.399999999999999" x14ac:dyDescent="0.35">
      <c r="A272" s="16"/>
      <c r="B272" s="17"/>
      <c r="C272" s="13"/>
      <c r="D272" s="13"/>
      <c r="E272" s="15"/>
      <c r="F272" s="13"/>
      <c r="G272" s="13"/>
      <c r="H272" s="6"/>
      <c r="I272" s="13"/>
      <c r="J272" s="13"/>
      <c r="K272" s="13"/>
      <c r="L272" s="13"/>
      <c r="M272" s="13"/>
      <c r="N272" s="13"/>
      <c r="O272" s="13"/>
      <c r="P272" s="13"/>
      <c r="Q272" s="13"/>
      <c r="R272" s="13"/>
      <c r="S272" s="13"/>
      <c r="T272" s="13"/>
      <c r="U272" s="13"/>
      <c r="V272" s="13"/>
      <c r="W272" s="13"/>
      <c r="X272" s="13"/>
      <c r="Y272" s="13"/>
      <c r="Z272" s="13"/>
      <c r="AA272" s="13"/>
      <c r="AB272" s="13"/>
    </row>
    <row r="273" spans="1:28" ht="17.399999999999999" x14ac:dyDescent="0.35">
      <c r="A273" s="16"/>
      <c r="B273" s="17"/>
      <c r="C273" s="13"/>
      <c r="D273" s="13"/>
      <c r="E273" s="15"/>
      <c r="F273" s="13"/>
      <c r="G273" s="13"/>
      <c r="H273" s="6"/>
      <c r="I273" s="13"/>
      <c r="J273" s="13"/>
      <c r="K273" s="13"/>
      <c r="L273" s="13"/>
      <c r="M273" s="13"/>
      <c r="N273" s="13"/>
      <c r="O273" s="13"/>
      <c r="P273" s="13"/>
      <c r="Q273" s="13"/>
      <c r="R273" s="13"/>
      <c r="S273" s="13"/>
      <c r="T273" s="13"/>
      <c r="U273" s="13"/>
      <c r="V273" s="13"/>
      <c r="W273" s="13"/>
      <c r="X273" s="13"/>
      <c r="Y273" s="13"/>
      <c r="Z273" s="13"/>
      <c r="AA273" s="13"/>
      <c r="AB273" s="13"/>
    </row>
    <row r="274" spans="1:28" ht="17.399999999999999" x14ac:dyDescent="0.35">
      <c r="A274" s="16"/>
      <c r="B274" s="17"/>
      <c r="C274" s="13"/>
      <c r="D274" s="13"/>
      <c r="E274" s="15"/>
      <c r="F274" s="13"/>
      <c r="G274" s="13"/>
      <c r="H274" s="6"/>
      <c r="I274" s="13"/>
      <c r="J274" s="13"/>
      <c r="K274" s="13"/>
      <c r="L274" s="13"/>
      <c r="M274" s="13"/>
      <c r="N274" s="13"/>
      <c r="O274" s="13"/>
      <c r="P274" s="13"/>
      <c r="Q274" s="13"/>
      <c r="R274" s="13"/>
      <c r="S274" s="13"/>
      <c r="T274" s="13"/>
      <c r="U274" s="13"/>
      <c r="V274" s="13"/>
      <c r="W274" s="13"/>
      <c r="X274" s="13"/>
      <c r="Y274" s="13"/>
      <c r="Z274" s="13"/>
      <c r="AA274" s="13"/>
      <c r="AB274" s="13"/>
    </row>
    <row r="275" spans="1:28" ht="17.399999999999999" x14ac:dyDescent="0.35">
      <c r="A275" s="16"/>
      <c r="B275" s="17"/>
      <c r="C275" s="13"/>
      <c r="D275" s="13"/>
      <c r="E275" s="15"/>
      <c r="F275" s="13"/>
      <c r="G275" s="13"/>
      <c r="H275" s="6"/>
      <c r="I275" s="13"/>
      <c r="J275" s="13"/>
      <c r="K275" s="13"/>
      <c r="L275" s="13"/>
      <c r="M275" s="13"/>
      <c r="N275" s="13"/>
      <c r="O275" s="13"/>
      <c r="P275" s="13"/>
      <c r="Q275" s="13"/>
      <c r="R275" s="13"/>
      <c r="S275" s="13"/>
      <c r="T275" s="13"/>
      <c r="U275" s="13"/>
      <c r="V275" s="13"/>
      <c r="W275" s="13"/>
      <c r="X275" s="13"/>
      <c r="Y275" s="13"/>
      <c r="Z275" s="13"/>
      <c r="AA275" s="13"/>
      <c r="AB275" s="13"/>
    </row>
    <row r="276" spans="1:28" ht="17.399999999999999" x14ac:dyDescent="0.35">
      <c r="A276" s="16"/>
      <c r="B276" s="17"/>
      <c r="C276" s="13"/>
      <c r="D276" s="13"/>
      <c r="E276" s="15"/>
      <c r="F276" s="13"/>
      <c r="G276" s="13"/>
      <c r="H276" s="6"/>
      <c r="I276" s="13"/>
      <c r="J276" s="13"/>
      <c r="K276" s="13"/>
      <c r="L276" s="13"/>
      <c r="M276" s="13"/>
      <c r="N276" s="13"/>
      <c r="O276" s="13"/>
      <c r="P276" s="13"/>
      <c r="Q276" s="13"/>
      <c r="R276" s="13"/>
      <c r="S276" s="13"/>
      <c r="T276" s="13"/>
      <c r="U276" s="13"/>
      <c r="V276" s="13"/>
      <c r="W276" s="13"/>
      <c r="X276" s="13"/>
      <c r="Y276" s="13"/>
      <c r="Z276" s="13"/>
      <c r="AA276" s="13"/>
      <c r="AB276" s="13"/>
    </row>
    <row r="277" spans="1:28" ht="17.399999999999999" x14ac:dyDescent="0.35">
      <c r="A277" s="16"/>
      <c r="B277" s="17"/>
      <c r="C277" s="13"/>
      <c r="D277" s="13"/>
      <c r="E277" s="15"/>
      <c r="F277" s="13"/>
      <c r="G277" s="13"/>
      <c r="H277" s="6"/>
      <c r="I277" s="13"/>
      <c r="J277" s="13"/>
      <c r="K277" s="13"/>
      <c r="L277" s="13"/>
      <c r="M277" s="13"/>
      <c r="N277" s="13"/>
      <c r="O277" s="13"/>
      <c r="P277" s="13"/>
      <c r="Q277" s="13"/>
      <c r="R277" s="13"/>
      <c r="S277" s="13"/>
      <c r="T277" s="13"/>
      <c r="U277" s="13"/>
      <c r="V277" s="13"/>
      <c r="W277" s="13"/>
      <c r="X277" s="13"/>
      <c r="Y277" s="13"/>
      <c r="Z277" s="13"/>
      <c r="AA277" s="13"/>
      <c r="AB277" s="13"/>
    </row>
    <row r="278" spans="1:28" ht="17.399999999999999" x14ac:dyDescent="0.35">
      <c r="A278" s="16"/>
      <c r="B278" s="17"/>
      <c r="C278" s="13"/>
      <c r="D278" s="13"/>
      <c r="E278" s="15"/>
      <c r="F278" s="13"/>
      <c r="G278" s="13"/>
      <c r="H278" s="6"/>
      <c r="I278" s="13"/>
      <c r="J278" s="13"/>
      <c r="K278" s="13"/>
      <c r="L278" s="13"/>
      <c r="M278" s="13"/>
      <c r="N278" s="13"/>
      <c r="O278" s="13"/>
      <c r="P278" s="13"/>
      <c r="Q278" s="13"/>
      <c r="R278" s="13"/>
      <c r="S278" s="13"/>
      <c r="T278" s="13"/>
      <c r="U278" s="13"/>
      <c r="V278" s="13"/>
      <c r="W278" s="13"/>
      <c r="X278" s="13"/>
      <c r="Y278" s="13"/>
      <c r="Z278" s="13"/>
      <c r="AA278" s="13"/>
      <c r="AB278" s="13"/>
    </row>
    <row r="279" spans="1:28" ht="17.399999999999999" x14ac:dyDescent="0.35">
      <c r="A279" s="16"/>
      <c r="B279" s="17"/>
      <c r="C279" s="13"/>
      <c r="D279" s="13"/>
      <c r="E279" s="15"/>
      <c r="F279" s="13"/>
      <c r="G279" s="13"/>
      <c r="H279" s="6"/>
      <c r="I279" s="13"/>
      <c r="J279" s="13"/>
      <c r="K279" s="13"/>
      <c r="L279" s="13"/>
      <c r="M279" s="13"/>
      <c r="N279" s="13"/>
      <c r="O279" s="13"/>
      <c r="P279" s="13"/>
      <c r="Q279" s="13"/>
      <c r="R279" s="13"/>
      <c r="S279" s="13"/>
      <c r="T279" s="13"/>
      <c r="U279" s="13"/>
      <c r="V279" s="13"/>
      <c r="W279" s="13"/>
      <c r="X279" s="13"/>
      <c r="Y279" s="13"/>
      <c r="Z279" s="13"/>
      <c r="AA279" s="13"/>
      <c r="AB279" s="13"/>
    </row>
    <row r="280" spans="1:28" ht="17.399999999999999" x14ac:dyDescent="0.35">
      <c r="A280" s="16"/>
      <c r="B280" s="17"/>
      <c r="C280" s="13"/>
      <c r="D280" s="13"/>
      <c r="E280" s="15"/>
      <c r="F280" s="13"/>
      <c r="G280" s="13"/>
      <c r="H280" s="6"/>
      <c r="I280" s="13"/>
      <c r="J280" s="13"/>
      <c r="K280" s="13"/>
      <c r="L280" s="13"/>
      <c r="M280" s="13"/>
      <c r="N280" s="13"/>
      <c r="O280" s="13"/>
      <c r="P280" s="13"/>
      <c r="Q280" s="13"/>
      <c r="R280" s="13"/>
      <c r="S280" s="13"/>
      <c r="T280" s="13"/>
      <c r="U280" s="13"/>
      <c r="V280" s="13"/>
      <c r="W280" s="13"/>
      <c r="X280" s="13"/>
      <c r="Y280" s="13"/>
      <c r="Z280" s="13"/>
      <c r="AA280" s="13"/>
      <c r="AB280" s="13"/>
    </row>
    <row r="281" spans="1:28" ht="17.399999999999999" x14ac:dyDescent="0.35">
      <c r="A281" s="16"/>
      <c r="B281" s="17"/>
      <c r="C281" s="13"/>
      <c r="D281" s="13"/>
      <c r="E281" s="15"/>
      <c r="F281" s="13"/>
      <c r="G281" s="13"/>
      <c r="H281" s="6"/>
      <c r="I281" s="13"/>
      <c r="J281" s="13"/>
      <c r="K281" s="13"/>
      <c r="L281" s="13"/>
      <c r="M281" s="13"/>
      <c r="N281" s="13"/>
      <c r="O281" s="13"/>
      <c r="P281" s="13"/>
      <c r="Q281" s="13"/>
      <c r="R281" s="13"/>
      <c r="S281" s="13"/>
      <c r="T281" s="13"/>
      <c r="U281" s="13"/>
      <c r="V281" s="13"/>
      <c r="W281" s="13"/>
      <c r="X281" s="13"/>
      <c r="Y281" s="13"/>
      <c r="Z281" s="13"/>
      <c r="AA281" s="13"/>
      <c r="AB281" s="13"/>
    </row>
    <row r="282" spans="1:28" ht="17.399999999999999" x14ac:dyDescent="0.35">
      <c r="A282" s="16"/>
      <c r="B282" s="17"/>
      <c r="C282" s="13"/>
      <c r="D282" s="13"/>
      <c r="E282" s="15"/>
      <c r="F282" s="13"/>
      <c r="G282" s="13"/>
      <c r="H282" s="6"/>
      <c r="I282" s="13"/>
      <c r="J282" s="13"/>
      <c r="K282" s="13"/>
      <c r="L282" s="13"/>
      <c r="M282" s="13"/>
      <c r="N282" s="13"/>
      <c r="O282" s="13"/>
      <c r="P282" s="13"/>
      <c r="Q282" s="13"/>
      <c r="R282" s="13"/>
      <c r="S282" s="13"/>
      <c r="T282" s="13"/>
      <c r="U282" s="13"/>
      <c r="V282" s="13"/>
      <c r="W282" s="13"/>
      <c r="X282" s="13"/>
      <c r="Y282" s="13"/>
      <c r="Z282" s="13"/>
      <c r="AA282" s="13"/>
      <c r="AB282" s="13"/>
    </row>
    <row r="283" spans="1:28" ht="17.399999999999999" x14ac:dyDescent="0.35">
      <c r="A283" s="16"/>
      <c r="B283" s="17"/>
      <c r="C283" s="13"/>
      <c r="D283" s="13"/>
      <c r="E283" s="15"/>
      <c r="F283" s="13"/>
      <c r="G283" s="13"/>
      <c r="H283" s="6"/>
      <c r="I283" s="13"/>
      <c r="J283" s="13"/>
      <c r="K283" s="13"/>
      <c r="L283" s="13"/>
      <c r="M283" s="13"/>
      <c r="N283" s="13"/>
      <c r="O283" s="13"/>
      <c r="P283" s="13"/>
      <c r="Q283" s="13"/>
      <c r="R283" s="13"/>
      <c r="S283" s="13"/>
      <c r="T283" s="13"/>
      <c r="U283" s="13"/>
      <c r="V283" s="13"/>
      <c r="W283" s="13"/>
      <c r="X283" s="13"/>
      <c r="Y283" s="13"/>
      <c r="Z283" s="13"/>
      <c r="AA283" s="13"/>
      <c r="AB283" s="13"/>
    </row>
    <row r="284" spans="1:28" ht="17.399999999999999" x14ac:dyDescent="0.35">
      <c r="A284" s="16"/>
      <c r="B284" s="17"/>
      <c r="C284" s="13"/>
      <c r="D284" s="13"/>
      <c r="E284" s="15"/>
      <c r="F284" s="13"/>
      <c r="G284" s="13"/>
      <c r="H284" s="6"/>
      <c r="I284" s="13"/>
      <c r="J284" s="13"/>
      <c r="K284" s="13"/>
      <c r="L284" s="13"/>
      <c r="M284" s="13"/>
      <c r="N284" s="13"/>
      <c r="O284" s="13"/>
      <c r="P284" s="13"/>
      <c r="Q284" s="13"/>
      <c r="R284" s="13"/>
      <c r="S284" s="13"/>
      <c r="T284" s="13"/>
      <c r="U284" s="13"/>
      <c r="V284" s="13"/>
      <c r="W284" s="13"/>
      <c r="X284" s="13"/>
      <c r="Y284" s="13"/>
      <c r="Z284" s="13"/>
      <c r="AA284" s="13"/>
      <c r="AB284" s="13"/>
    </row>
    <row r="285" spans="1:28" ht="17.399999999999999" x14ac:dyDescent="0.35">
      <c r="A285" s="16"/>
      <c r="B285" s="17"/>
      <c r="C285" s="13"/>
      <c r="D285" s="13"/>
      <c r="E285" s="15"/>
      <c r="F285" s="13"/>
      <c r="G285" s="13"/>
      <c r="H285" s="6"/>
      <c r="I285" s="13"/>
      <c r="J285" s="13"/>
      <c r="K285" s="13"/>
      <c r="L285" s="13"/>
      <c r="M285" s="13"/>
      <c r="N285" s="13"/>
      <c r="O285" s="13"/>
      <c r="P285" s="13"/>
      <c r="Q285" s="13"/>
      <c r="R285" s="13"/>
      <c r="S285" s="13"/>
      <c r="T285" s="13"/>
      <c r="U285" s="13"/>
      <c r="V285" s="13"/>
      <c r="W285" s="13"/>
      <c r="X285" s="13"/>
      <c r="Y285" s="13"/>
      <c r="Z285" s="13"/>
      <c r="AA285" s="13"/>
      <c r="AB285" s="13"/>
    </row>
    <row r="286" spans="1:28" ht="17.399999999999999" x14ac:dyDescent="0.35">
      <c r="A286" s="16"/>
      <c r="B286" s="17"/>
      <c r="C286" s="13"/>
      <c r="D286" s="13"/>
      <c r="E286" s="15"/>
      <c r="F286" s="13"/>
      <c r="G286" s="13"/>
      <c r="H286" s="6"/>
      <c r="I286" s="13"/>
      <c r="J286" s="13"/>
      <c r="K286" s="13"/>
      <c r="L286" s="13"/>
      <c r="M286" s="13"/>
      <c r="N286" s="13"/>
      <c r="O286" s="13"/>
      <c r="P286" s="13"/>
      <c r="Q286" s="13"/>
      <c r="R286" s="13"/>
      <c r="S286" s="13"/>
      <c r="T286" s="13"/>
      <c r="U286" s="13"/>
      <c r="V286" s="13"/>
      <c r="W286" s="13"/>
      <c r="X286" s="13"/>
      <c r="Y286" s="13"/>
      <c r="Z286" s="13"/>
      <c r="AA286" s="13"/>
      <c r="AB286" s="13"/>
    </row>
    <row r="287" spans="1:28" ht="17.399999999999999" x14ac:dyDescent="0.35">
      <c r="A287" s="16"/>
      <c r="B287" s="17"/>
      <c r="C287" s="13"/>
      <c r="D287" s="13"/>
      <c r="E287" s="15"/>
      <c r="F287" s="13"/>
      <c r="G287" s="13"/>
      <c r="H287" s="6"/>
      <c r="I287" s="13"/>
      <c r="J287" s="13"/>
      <c r="K287" s="13"/>
      <c r="L287" s="13"/>
      <c r="M287" s="13"/>
      <c r="N287" s="13"/>
      <c r="O287" s="13"/>
      <c r="P287" s="13"/>
      <c r="Q287" s="13"/>
      <c r="R287" s="13"/>
      <c r="S287" s="13"/>
      <c r="T287" s="13"/>
      <c r="U287" s="13"/>
      <c r="V287" s="13"/>
      <c r="W287" s="13"/>
      <c r="X287" s="13"/>
      <c r="Y287" s="13"/>
      <c r="Z287" s="13"/>
      <c r="AA287" s="13"/>
      <c r="AB287" s="13"/>
    </row>
    <row r="288" spans="1:28" ht="17.399999999999999" x14ac:dyDescent="0.35">
      <c r="A288" s="16"/>
      <c r="B288" s="17"/>
      <c r="C288" s="13"/>
      <c r="D288" s="13"/>
      <c r="E288" s="15"/>
      <c r="F288" s="13"/>
      <c r="G288" s="13"/>
      <c r="H288" s="6"/>
      <c r="I288" s="13"/>
      <c r="J288" s="13"/>
      <c r="K288" s="13"/>
      <c r="L288" s="13"/>
      <c r="M288" s="13"/>
      <c r="N288" s="13"/>
      <c r="O288" s="13"/>
      <c r="P288" s="13"/>
      <c r="Q288" s="13"/>
      <c r="R288" s="13"/>
      <c r="S288" s="13"/>
      <c r="T288" s="13"/>
      <c r="U288" s="13"/>
      <c r="V288" s="13"/>
      <c r="W288" s="13"/>
      <c r="X288" s="13"/>
      <c r="Y288" s="13"/>
      <c r="Z288" s="13"/>
      <c r="AA288" s="13"/>
      <c r="AB288" s="13"/>
    </row>
    <row r="289" spans="1:28" ht="17.399999999999999" x14ac:dyDescent="0.35">
      <c r="A289" s="16"/>
      <c r="B289" s="17"/>
      <c r="C289" s="13"/>
      <c r="D289" s="13"/>
      <c r="E289" s="15"/>
      <c r="F289" s="13"/>
      <c r="G289" s="13"/>
      <c r="H289" s="6"/>
      <c r="I289" s="13"/>
      <c r="J289" s="13"/>
      <c r="K289" s="13"/>
      <c r="L289" s="13"/>
      <c r="M289" s="13"/>
      <c r="N289" s="13"/>
      <c r="O289" s="13"/>
      <c r="P289" s="13"/>
      <c r="Q289" s="13"/>
      <c r="R289" s="13"/>
      <c r="S289" s="13"/>
      <c r="T289" s="13"/>
      <c r="U289" s="13"/>
      <c r="V289" s="13"/>
      <c r="W289" s="13"/>
      <c r="X289" s="13"/>
      <c r="Y289" s="13"/>
      <c r="Z289" s="13"/>
      <c r="AA289" s="13"/>
      <c r="AB289" s="13"/>
    </row>
    <row r="290" spans="1:28" ht="17.399999999999999" x14ac:dyDescent="0.35">
      <c r="A290" s="16"/>
      <c r="B290" s="17"/>
      <c r="C290" s="13"/>
      <c r="D290" s="13"/>
      <c r="E290" s="15"/>
      <c r="F290" s="13"/>
      <c r="G290" s="13"/>
      <c r="H290" s="6"/>
      <c r="I290" s="13"/>
      <c r="J290" s="13"/>
      <c r="K290" s="13"/>
      <c r="L290" s="13"/>
      <c r="M290" s="13"/>
      <c r="N290" s="13"/>
      <c r="O290" s="13"/>
      <c r="P290" s="13"/>
      <c r="Q290" s="13"/>
      <c r="R290" s="13"/>
      <c r="S290" s="13"/>
      <c r="T290" s="13"/>
      <c r="U290" s="13"/>
      <c r="V290" s="13"/>
      <c r="W290" s="13"/>
      <c r="X290" s="13"/>
      <c r="Y290" s="13"/>
      <c r="Z290" s="13"/>
      <c r="AA290" s="13"/>
      <c r="AB290" s="13"/>
    </row>
    <row r="291" spans="1:28" ht="17.399999999999999" x14ac:dyDescent="0.35">
      <c r="A291" s="16"/>
      <c r="B291" s="17"/>
      <c r="C291" s="13"/>
      <c r="D291" s="13"/>
      <c r="E291" s="15"/>
      <c r="F291" s="13"/>
      <c r="G291" s="13"/>
      <c r="H291" s="6"/>
      <c r="I291" s="13"/>
      <c r="J291" s="13"/>
      <c r="K291" s="13"/>
      <c r="L291" s="13"/>
      <c r="M291" s="13"/>
      <c r="N291" s="13"/>
      <c r="O291" s="13"/>
      <c r="P291" s="13"/>
      <c r="Q291" s="13"/>
      <c r="R291" s="13"/>
      <c r="S291" s="13"/>
      <c r="T291" s="13"/>
      <c r="U291" s="13"/>
      <c r="V291" s="13"/>
      <c r="W291" s="13"/>
      <c r="X291" s="13"/>
      <c r="Y291" s="13"/>
      <c r="Z291" s="13"/>
      <c r="AA291" s="13"/>
      <c r="AB291" s="13"/>
    </row>
    <row r="292" spans="1:28" ht="17.399999999999999" x14ac:dyDescent="0.35">
      <c r="A292" s="16"/>
      <c r="B292" s="17"/>
      <c r="C292" s="13"/>
      <c r="D292" s="13"/>
      <c r="E292" s="15"/>
      <c r="F292" s="13"/>
      <c r="G292" s="13"/>
      <c r="H292" s="6"/>
      <c r="I292" s="13"/>
      <c r="J292" s="13"/>
      <c r="K292" s="13"/>
      <c r="L292" s="13"/>
      <c r="M292" s="13"/>
      <c r="N292" s="13"/>
      <c r="O292" s="13"/>
      <c r="P292" s="13"/>
      <c r="Q292" s="13"/>
      <c r="R292" s="13"/>
      <c r="S292" s="13"/>
      <c r="T292" s="13"/>
      <c r="U292" s="13"/>
      <c r="V292" s="13"/>
      <c r="W292" s="13"/>
      <c r="X292" s="13"/>
      <c r="Y292" s="13"/>
      <c r="Z292" s="13"/>
      <c r="AA292" s="13"/>
      <c r="AB292" s="13"/>
    </row>
    <row r="293" spans="1:28" ht="17.399999999999999" x14ac:dyDescent="0.35">
      <c r="A293" s="16"/>
      <c r="B293" s="17"/>
      <c r="C293" s="13"/>
      <c r="D293" s="13"/>
      <c r="E293" s="15"/>
      <c r="F293" s="13"/>
      <c r="G293" s="13"/>
      <c r="H293" s="6"/>
      <c r="I293" s="13"/>
      <c r="J293" s="13"/>
      <c r="K293" s="13"/>
      <c r="L293" s="13"/>
      <c r="M293" s="13"/>
      <c r="N293" s="13"/>
      <c r="O293" s="13"/>
      <c r="P293" s="13"/>
      <c r="Q293" s="13"/>
      <c r="R293" s="13"/>
      <c r="S293" s="13"/>
      <c r="T293" s="13"/>
      <c r="U293" s="13"/>
      <c r="V293" s="13"/>
      <c r="W293" s="13"/>
      <c r="X293" s="13"/>
      <c r="Y293" s="13"/>
      <c r="Z293" s="13"/>
      <c r="AA293" s="13"/>
      <c r="AB293" s="13"/>
    </row>
    <row r="294" spans="1:28" ht="17.399999999999999" x14ac:dyDescent="0.35">
      <c r="A294" s="16"/>
      <c r="B294" s="17"/>
      <c r="C294" s="13"/>
      <c r="D294" s="13"/>
      <c r="E294" s="15"/>
      <c r="F294" s="13"/>
      <c r="G294" s="13"/>
      <c r="H294" s="6"/>
      <c r="I294" s="13"/>
      <c r="J294" s="13"/>
      <c r="K294" s="13"/>
      <c r="L294" s="13"/>
      <c r="M294" s="13"/>
      <c r="N294" s="13"/>
      <c r="O294" s="13"/>
      <c r="P294" s="13"/>
      <c r="Q294" s="13"/>
      <c r="R294" s="13"/>
      <c r="S294" s="13"/>
      <c r="T294" s="13"/>
      <c r="U294" s="13"/>
      <c r="V294" s="13"/>
      <c r="W294" s="13"/>
      <c r="X294" s="13"/>
      <c r="Y294" s="13"/>
      <c r="Z294" s="13"/>
      <c r="AA294" s="13"/>
      <c r="AB294" s="13"/>
    </row>
    <row r="295" spans="1:28" ht="17.399999999999999" x14ac:dyDescent="0.35">
      <c r="A295" s="16"/>
      <c r="B295" s="17"/>
      <c r="C295" s="13"/>
      <c r="D295" s="13"/>
      <c r="E295" s="15"/>
      <c r="F295" s="13"/>
      <c r="G295" s="13"/>
      <c r="H295" s="6"/>
      <c r="I295" s="13"/>
      <c r="J295" s="13"/>
      <c r="K295" s="13"/>
      <c r="L295" s="13"/>
      <c r="M295" s="13"/>
      <c r="N295" s="13"/>
      <c r="O295" s="13"/>
      <c r="P295" s="13"/>
      <c r="Q295" s="13"/>
      <c r="R295" s="13"/>
      <c r="S295" s="13"/>
      <c r="T295" s="13"/>
      <c r="U295" s="13"/>
      <c r="V295" s="13"/>
      <c r="W295" s="13"/>
      <c r="X295" s="13"/>
      <c r="Y295" s="13"/>
      <c r="Z295" s="13"/>
      <c r="AA295" s="13"/>
      <c r="AB295" s="13"/>
    </row>
    <row r="296" spans="1:28" ht="17.399999999999999" x14ac:dyDescent="0.35">
      <c r="A296" s="16"/>
      <c r="B296" s="17"/>
      <c r="C296" s="13"/>
      <c r="D296" s="13"/>
      <c r="E296" s="15"/>
      <c r="F296" s="13"/>
      <c r="G296" s="13"/>
      <c r="H296" s="6"/>
      <c r="I296" s="13"/>
      <c r="J296" s="13"/>
      <c r="K296" s="13"/>
      <c r="L296" s="13"/>
      <c r="M296" s="13"/>
      <c r="N296" s="13"/>
      <c r="O296" s="13"/>
      <c r="P296" s="13"/>
      <c r="Q296" s="13"/>
      <c r="R296" s="13"/>
      <c r="S296" s="13"/>
      <c r="T296" s="13"/>
      <c r="U296" s="13"/>
      <c r="V296" s="13"/>
      <c r="W296" s="13"/>
      <c r="X296" s="13"/>
      <c r="Y296" s="13"/>
      <c r="Z296" s="13"/>
      <c r="AA296" s="13"/>
      <c r="AB296" s="13"/>
    </row>
    <row r="297" spans="1:28" ht="17.399999999999999" x14ac:dyDescent="0.35">
      <c r="A297" s="16"/>
      <c r="B297" s="17"/>
      <c r="C297" s="13"/>
      <c r="D297" s="13"/>
      <c r="E297" s="15"/>
      <c r="F297" s="13"/>
      <c r="G297" s="13"/>
      <c r="H297" s="6"/>
      <c r="I297" s="13"/>
      <c r="J297" s="13"/>
      <c r="K297" s="13"/>
      <c r="L297" s="13"/>
      <c r="M297" s="13"/>
      <c r="N297" s="13"/>
      <c r="O297" s="13"/>
      <c r="P297" s="13"/>
      <c r="Q297" s="13"/>
      <c r="R297" s="13"/>
      <c r="S297" s="13"/>
      <c r="T297" s="13"/>
      <c r="U297" s="13"/>
      <c r="V297" s="13"/>
      <c r="W297" s="13"/>
      <c r="X297" s="13"/>
      <c r="Y297" s="13"/>
      <c r="Z297" s="13"/>
      <c r="AA297" s="13"/>
      <c r="AB297" s="13"/>
    </row>
    <row r="298" spans="1:28" ht="17.399999999999999" x14ac:dyDescent="0.35">
      <c r="A298" s="16"/>
      <c r="B298" s="17"/>
      <c r="C298" s="13"/>
      <c r="D298" s="13"/>
      <c r="E298" s="15"/>
      <c r="F298" s="13"/>
      <c r="G298" s="13"/>
      <c r="H298" s="6"/>
      <c r="I298" s="13"/>
      <c r="J298" s="13"/>
      <c r="K298" s="13"/>
      <c r="L298" s="13"/>
      <c r="M298" s="13"/>
      <c r="N298" s="13"/>
      <c r="O298" s="13"/>
      <c r="P298" s="13"/>
      <c r="Q298" s="13"/>
      <c r="R298" s="13"/>
      <c r="S298" s="13"/>
      <c r="T298" s="13"/>
      <c r="U298" s="13"/>
      <c r="V298" s="13"/>
      <c r="W298" s="13"/>
      <c r="X298" s="13"/>
      <c r="Y298" s="13"/>
      <c r="Z298" s="13"/>
      <c r="AA298" s="13"/>
      <c r="AB298" s="13"/>
    </row>
    <row r="299" spans="1:28" ht="17.399999999999999" x14ac:dyDescent="0.35">
      <c r="A299" s="16"/>
      <c r="B299" s="17"/>
      <c r="C299" s="13"/>
      <c r="D299" s="13"/>
      <c r="E299" s="15"/>
      <c r="F299" s="13"/>
      <c r="G299" s="13"/>
      <c r="H299" s="6"/>
      <c r="I299" s="13"/>
      <c r="J299" s="13"/>
      <c r="K299" s="13"/>
      <c r="L299" s="13"/>
      <c r="M299" s="13"/>
      <c r="N299" s="13"/>
      <c r="O299" s="13"/>
      <c r="P299" s="13"/>
      <c r="Q299" s="13"/>
      <c r="R299" s="13"/>
      <c r="S299" s="13"/>
      <c r="T299" s="13"/>
      <c r="U299" s="13"/>
      <c r="V299" s="13"/>
      <c r="W299" s="13"/>
      <c r="X299" s="13"/>
      <c r="Y299" s="13"/>
      <c r="Z299" s="13"/>
      <c r="AA299" s="13"/>
      <c r="AB299" s="13"/>
    </row>
    <row r="300" spans="1:28" ht="17.399999999999999" x14ac:dyDescent="0.35">
      <c r="A300" s="16"/>
      <c r="B300" s="17"/>
      <c r="C300" s="13"/>
      <c r="D300" s="13"/>
      <c r="E300" s="15"/>
      <c r="F300" s="13"/>
      <c r="G300" s="13"/>
      <c r="H300" s="6"/>
      <c r="I300" s="13"/>
      <c r="J300" s="13"/>
      <c r="K300" s="13"/>
      <c r="L300" s="13"/>
      <c r="M300" s="13"/>
      <c r="N300" s="13"/>
      <c r="O300" s="13"/>
      <c r="P300" s="13"/>
      <c r="Q300" s="13"/>
      <c r="R300" s="13"/>
      <c r="S300" s="13"/>
      <c r="T300" s="13"/>
      <c r="U300" s="13"/>
      <c r="V300" s="13"/>
      <c r="W300" s="13"/>
      <c r="X300" s="13"/>
      <c r="Y300" s="13"/>
      <c r="Z300" s="13"/>
      <c r="AA300" s="13"/>
      <c r="AB300" s="13"/>
    </row>
    <row r="301" spans="1:28" ht="17.399999999999999" x14ac:dyDescent="0.35">
      <c r="A301" s="16"/>
      <c r="B301" s="17"/>
      <c r="C301" s="13"/>
      <c r="D301" s="13"/>
      <c r="E301" s="15"/>
      <c r="F301" s="13"/>
      <c r="G301" s="13"/>
      <c r="H301" s="6"/>
      <c r="I301" s="13"/>
      <c r="J301" s="13"/>
      <c r="K301" s="13"/>
      <c r="L301" s="13"/>
      <c r="M301" s="13"/>
      <c r="N301" s="13"/>
      <c r="O301" s="13"/>
      <c r="P301" s="13"/>
      <c r="Q301" s="13"/>
      <c r="R301" s="13"/>
      <c r="S301" s="13"/>
      <c r="T301" s="13"/>
      <c r="U301" s="13"/>
      <c r="V301" s="13"/>
      <c r="W301" s="13"/>
      <c r="X301" s="13"/>
      <c r="Y301" s="13"/>
      <c r="Z301" s="13"/>
      <c r="AA301" s="13"/>
      <c r="AB301" s="13"/>
    </row>
    <row r="302" spans="1:28" ht="17.399999999999999" x14ac:dyDescent="0.35">
      <c r="A302" s="16"/>
      <c r="B302" s="17"/>
      <c r="C302" s="13"/>
      <c r="D302" s="13"/>
      <c r="E302" s="15"/>
      <c r="F302" s="13"/>
      <c r="G302" s="13"/>
      <c r="H302" s="6"/>
      <c r="I302" s="13"/>
      <c r="J302" s="13"/>
      <c r="K302" s="13"/>
      <c r="L302" s="13"/>
      <c r="M302" s="13"/>
      <c r="N302" s="13"/>
      <c r="O302" s="13"/>
      <c r="P302" s="13"/>
      <c r="Q302" s="13"/>
      <c r="R302" s="13"/>
      <c r="S302" s="13"/>
      <c r="T302" s="13"/>
      <c r="U302" s="13"/>
      <c r="V302" s="13"/>
      <c r="W302" s="13"/>
      <c r="X302" s="13"/>
      <c r="Y302" s="13"/>
      <c r="Z302" s="13"/>
      <c r="AA302" s="13"/>
      <c r="AB302" s="13"/>
    </row>
    <row r="303" spans="1:28" ht="17.399999999999999" x14ac:dyDescent="0.35">
      <c r="A303" s="16"/>
      <c r="B303" s="17"/>
      <c r="C303" s="13"/>
      <c r="D303" s="13"/>
      <c r="E303" s="15"/>
      <c r="F303" s="13"/>
      <c r="G303" s="13"/>
      <c r="H303" s="6"/>
      <c r="I303" s="13"/>
      <c r="J303" s="13"/>
      <c r="K303" s="13"/>
      <c r="L303" s="13"/>
      <c r="M303" s="13"/>
      <c r="N303" s="13"/>
      <c r="O303" s="13"/>
      <c r="P303" s="13"/>
      <c r="Q303" s="13"/>
      <c r="R303" s="13"/>
      <c r="S303" s="13"/>
      <c r="T303" s="13"/>
      <c r="U303" s="13"/>
      <c r="V303" s="13"/>
      <c r="W303" s="13"/>
      <c r="X303" s="13"/>
      <c r="Y303" s="13"/>
      <c r="Z303" s="13"/>
      <c r="AA303" s="13"/>
      <c r="AB303" s="13"/>
    </row>
    <row r="304" spans="1:28" ht="17.399999999999999" x14ac:dyDescent="0.35">
      <c r="A304" s="16"/>
      <c r="B304" s="17"/>
      <c r="C304" s="13"/>
      <c r="D304" s="13"/>
      <c r="E304" s="15"/>
      <c r="F304" s="13"/>
      <c r="G304" s="13"/>
      <c r="H304" s="6"/>
      <c r="I304" s="13"/>
      <c r="J304" s="13"/>
      <c r="K304" s="13"/>
      <c r="L304" s="13"/>
      <c r="M304" s="13"/>
      <c r="N304" s="13"/>
      <c r="O304" s="13"/>
      <c r="P304" s="13"/>
      <c r="Q304" s="13"/>
      <c r="R304" s="13"/>
      <c r="S304" s="13"/>
      <c r="T304" s="13"/>
      <c r="U304" s="13"/>
      <c r="V304" s="13"/>
      <c r="W304" s="13"/>
      <c r="X304" s="13"/>
      <c r="Y304" s="13"/>
      <c r="Z304" s="13"/>
      <c r="AA304" s="13"/>
      <c r="AB304" s="13"/>
    </row>
    <row r="305" spans="1:28" ht="17.399999999999999" x14ac:dyDescent="0.35">
      <c r="A305" s="16"/>
      <c r="B305" s="17"/>
      <c r="C305" s="13"/>
      <c r="D305" s="13"/>
      <c r="E305" s="15"/>
      <c r="F305" s="13"/>
      <c r="G305" s="13"/>
      <c r="H305" s="6"/>
      <c r="I305" s="13"/>
      <c r="J305" s="13"/>
      <c r="K305" s="13"/>
      <c r="L305" s="13"/>
      <c r="M305" s="13"/>
      <c r="N305" s="13"/>
      <c r="O305" s="13"/>
      <c r="P305" s="13"/>
      <c r="Q305" s="13"/>
      <c r="R305" s="13"/>
      <c r="S305" s="13"/>
      <c r="T305" s="13"/>
      <c r="U305" s="13"/>
      <c r="V305" s="13"/>
      <c r="W305" s="13"/>
      <c r="X305" s="13"/>
      <c r="Y305" s="13"/>
      <c r="Z305" s="13"/>
      <c r="AA305" s="13"/>
      <c r="AB305" s="13"/>
    </row>
    <row r="306" spans="1:28" ht="17.399999999999999" x14ac:dyDescent="0.35">
      <c r="A306" s="16"/>
      <c r="B306" s="17"/>
      <c r="C306" s="13"/>
      <c r="D306" s="13"/>
      <c r="E306" s="15"/>
      <c r="F306" s="13"/>
      <c r="G306" s="13"/>
      <c r="H306" s="6"/>
      <c r="I306" s="13"/>
      <c r="J306" s="13"/>
      <c r="K306" s="13"/>
      <c r="L306" s="13"/>
      <c r="M306" s="13"/>
      <c r="N306" s="13"/>
      <c r="O306" s="13"/>
      <c r="P306" s="13"/>
      <c r="Q306" s="13"/>
      <c r="R306" s="13"/>
      <c r="S306" s="13"/>
      <c r="T306" s="13"/>
      <c r="U306" s="13"/>
      <c r="V306" s="13"/>
      <c r="W306" s="13"/>
      <c r="X306" s="13"/>
      <c r="Y306" s="13"/>
      <c r="Z306" s="13"/>
      <c r="AA306" s="13"/>
      <c r="AB306" s="13"/>
    </row>
    <row r="307" spans="1:28" ht="17.399999999999999" x14ac:dyDescent="0.35">
      <c r="A307" s="16"/>
      <c r="B307" s="17"/>
      <c r="C307" s="13"/>
      <c r="D307" s="13"/>
      <c r="E307" s="15"/>
      <c r="F307" s="13"/>
      <c r="G307" s="13"/>
      <c r="H307" s="6"/>
      <c r="I307" s="13"/>
      <c r="J307" s="13"/>
      <c r="K307" s="13"/>
      <c r="L307" s="13"/>
      <c r="M307" s="13"/>
      <c r="N307" s="13"/>
      <c r="O307" s="13"/>
      <c r="P307" s="13"/>
      <c r="Q307" s="13"/>
      <c r="R307" s="13"/>
      <c r="S307" s="13"/>
      <c r="T307" s="13"/>
      <c r="U307" s="13"/>
      <c r="V307" s="13"/>
      <c r="W307" s="13"/>
      <c r="X307" s="13"/>
      <c r="Y307" s="13"/>
      <c r="Z307" s="13"/>
      <c r="AA307" s="13"/>
      <c r="AB307" s="13"/>
    </row>
    <row r="308" spans="1:28" ht="17.399999999999999" x14ac:dyDescent="0.35">
      <c r="A308" s="16"/>
      <c r="B308" s="17"/>
      <c r="C308" s="13"/>
      <c r="D308" s="13"/>
      <c r="E308" s="15"/>
      <c r="F308" s="13"/>
      <c r="G308" s="13"/>
      <c r="H308" s="6"/>
      <c r="I308" s="13"/>
      <c r="J308" s="13"/>
      <c r="K308" s="13"/>
      <c r="L308" s="13"/>
      <c r="M308" s="13"/>
      <c r="N308" s="13"/>
      <c r="O308" s="13"/>
      <c r="P308" s="13"/>
      <c r="Q308" s="13"/>
      <c r="R308" s="13"/>
      <c r="S308" s="13"/>
      <c r="T308" s="13"/>
      <c r="U308" s="13"/>
      <c r="V308" s="13"/>
      <c r="W308" s="13"/>
      <c r="X308" s="13"/>
      <c r="Y308" s="13"/>
      <c r="Z308" s="13"/>
      <c r="AA308" s="13"/>
      <c r="AB308" s="13"/>
    </row>
    <row r="309" spans="1:28" ht="17.399999999999999" x14ac:dyDescent="0.35">
      <c r="A309" s="16"/>
      <c r="B309" s="17"/>
      <c r="C309" s="13"/>
      <c r="D309" s="13"/>
      <c r="E309" s="15"/>
      <c r="F309" s="13"/>
      <c r="G309" s="13"/>
      <c r="H309" s="6"/>
      <c r="I309" s="13"/>
      <c r="J309" s="13"/>
      <c r="K309" s="13"/>
      <c r="L309" s="13"/>
      <c r="M309" s="13"/>
      <c r="N309" s="13"/>
      <c r="O309" s="13"/>
      <c r="P309" s="13"/>
      <c r="Q309" s="13"/>
      <c r="R309" s="13"/>
      <c r="S309" s="13"/>
      <c r="T309" s="13"/>
      <c r="U309" s="13"/>
      <c r="V309" s="13"/>
      <c r="W309" s="13"/>
      <c r="X309" s="13"/>
      <c r="Y309" s="13"/>
      <c r="Z309" s="13"/>
      <c r="AA309" s="13"/>
      <c r="AB309" s="13"/>
    </row>
    <row r="310" spans="1:28" ht="17.399999999999999" x14ac:dyDescent="0.35">
      <c r="A310" s="16"/>
      <c r="B310" s="17"/>
      <c r="C310" s="13"/>
      <c r="D310" s="13"/>
      <c r="E310" s="15"/>
      <c r="F310" s="13"/>
      <c r="G310" s="13"/>
      <c r="H310" s="6"/>
      <c r="I310" s="13"/>
      <c r="J310" s="13"/>
      <c r="K310" s="13"/>
      <c r="L310" s="13"/>
      <c r="M310" s="13"/>
      <c r="N310" s="13"/>
      <c r="O310" s="13"/>
      <c r="P310" s="13"/>
      <c r="Q310" s="13"/>
      <c r="R310" s="13"/>
      <c r="S310" s="13"/>
      <c r="T310" s="13"/>
      <c r="U310" s="13"/>
      <c r="V310" s="13"/>
      <c r="W310" s="13"/>
      <c r="X310" s="13"/>
      <c r="Y310" s="13"/>
      <c r="Z310" s="13"/>
      <c r="AA310" s="13"/>
      <c r="AB310" s="13"/>
    </row>
    <row r="311" spans="1:28" ht="17.399999999999999" x14ac:dyDescent="0.35">
      <c r="A311" s="16"/>
      <c r="B311" s="17"/>
      <c r="C311" s="13"/>
      <c r="D311" s="13"/>
      <c r="E311" s="15"/>
      <c r="F311" s="13"/>
      <c r="G311" s="13"/>
      <c r="H311" s="6"/>
      <c r="I311" s="13"/>
      <c r="J311" s="13"/>
      <c r="K311" s="13"/>
      <c r="L311" s="13"/>
      <c r="M311" s="13"/>
      <c r="N311" s="13"/>
      <c r="O311" s="13"/>
      <c r="P311" s="13"/>
      <c r="Q311" s="13"/>
      <c r="R311" s="13"/>
      <c r="S311" s="13"/>
      <c r="T311" s="13"/>
      <c r="U311" s="13"/>
      <c r="V311" s="13"/>
      <c r="W311" s="13"/>
      <c r="X311" s="13"/>
      <c r="Y311" s="13"/>
      <c r="Z311" s="13"/>
      <c r="AA311" s="13"/>
      <c r="AB311" s="13"/>
    </row>
    <row r="312" spans="1:28" ht="17.399999999999999" x14ac:dyDescent="0.35">
      <c r="A312" s="16"/>
      <c r="B312" s="17"/>
      <c r="C312" s="13"/>
      <c r="D312" s="13"/>
      <c r="E312" s="15"/>
      <c r="F312" s="13"/>
      <c r="G312" s="13"/>
      <c r="H312" s="6"/>
      <c r="I312" s="13"/>
      <c r="J312" s="13"/>
      <c r="K312" s="13"/>
      <c r="L312" s="13"/>
      <c r="M312" s="13"/>
      <c r="N312" s="13"/>
      <c r="O312" s="13"/>
      <c r="P312" s="13"/>
      <c r="Q312" s="13"/>
      <c r="R312" s="13"/>
      <c r="S312" s="13"/>
      <c r="T312" s="13"/>
      <c r="U312" s="13"/>
      <c r="V312" s="13"/>
      <c r="W312" s="13"/>
      <c r="X312" s="13"/>
      <c r="Y312" s="13"/>
      <c r="Z312" s="13"/>
      <c r="AA312" s="13"/>
      <c r="AB312" s="13"/>
    </row>
    <row r="313" spans="1:28" ht="17.399999999999999" x14ac:dyDescent="0.35">
      <c r="A313" s="16"/>
      <c r="B313" s="17"/>
      <c r="C313" s="13"/>
      <c r="D313" s="13"/>
      <c r="E313" s="15"/>
      <c r="F313" s="13"/>
      <c r="G313" s="13"/>
      <c r="H313" s="6"/>
      <c r="I313" s="13"/>
      <c r="J313" s="13"/>
      <c r="K313" s="13"/>
      <c r="L313" s="13"/>
      <c r="M313" s="13"/>
      <c r="N313" s="13"/>
      <c r="O313" s="13"/>
      <c r="P313" s="13"/>
      <c r="Q313" s="13"/>
      <c r="R313" s="13"/>
      <c r="S313" s="13"/>
      <c r="T313" s="13"/>
      <c r="U313" s="13"/>
      <c r="V313" s="13"/>
      <c r="W313" s="13"/>
      <c r="X313" s="13"/>
      <c r="Y313" s="13"/>
      <c r="Z313" s="13"/>
      <c r="AA313" s="13"/>
      <c r="AB313" s="13"/>
    </row>
    <row r="314" spans="1:28" ht="17.399999999999999" x14ac:dyDescent="0.35">
      <c r="A314" s="16"/>
      <c r="B314" s="17"/>
      <c r="C314" s="13"/>
      <c r="D314" s="13"/>
      <c r="E314" s="15"/>
      <c r="F314" s="13"/>
      <c r="G314" s="13"/>
      <c r="H314" s="6"/>
      <c r="I314" s="13"/>
      <c r="J314" s="13"/>
      <c r="K314" s="13"/>
      <c r="L314" s="13"/>
      <c r="M314" s="13"/>
      <c r="N314" s="13"/>
      <c r="O314" s="13"/>
      <c r="P314" s="13"/>
      <c r="Q314" s="13"/>
      <c r="R314" s="13"/>
      <c r="S314" s="13"/>
      <c r="T314" s="13"/>
      <c r="U314" s="13"/>
      <c r="V314" s="13"/>
      <c r="W314" s="13"/>
      <c r="X314" s="13"/>
      <c r="Y314" s="13"/>
      <c r="Z314" s="13"/>
      <c r="AA314" s="13"/>
      <c r="AB314" s="13"/>
    </row>
    <row r="315" spans="1:28" ht="17.399999999999999" x14ac:dyDescent="0.35">
      <c r="A315" s="16"/>
      <c r="B315" s="17"/>
      <c r="C315" s="13"/>
      <c r="D315" s="13"/>
      <c r="E315" s="15"/>
      <c r="F315" s="13"/>
      <c r="G315" s="13"/>
      <c r="H315" s="6"/>
      <c r="I315" s="13"/>
      <c r="J315" s="13"/>
      <c r="K315" s="13"/>
      <c r="L315" s="13"/>
      <c r="M315" s="13"/>
      <c r="N315" s="13"/>
      <c r="O315" s="13"/>
      <c r="P315" s="13"/>
      <c r="Q315" s="13"/>
      <c r="R315" s="13"/>
      <c r="S315" s="13"/>
      <c r="T315" s="13"/>
      <c r="U315" s="13"/>
      <c r="V315" s="13"/>
      <c r="W315" s="13"/>
      <c r="X315" s="13"/>
      <c r="Y315" s="13"/>
      <c r="Z315" s="13"/>
      <c r="AA315" s="13"/>
      <c r="AB315" s="13"/>
    </row>
    <row r="316" spans="1:28" ht="17.399999999999999" x14ac:dyDescent="0.35">
      <c r="A316" s="16"/>
      <c r="B316" s="17"/>
      <c r="C316" s="13"/>
      <c r="D316" s="13"/>
      <c r="E316" s="15"/>
      <c r="F316" s="13"/>
      <c r="G316" s="13"/>
      <c r="H316" s="6"/>
      <c r="I316" s="13"/>
      <c r="J316" s="13"/>
      <c r="K316" s="13"/>
      <c r="L316" s="13"/>
      <c r="M316" s="13"/>
      <c r="N316" s="13"/>
      <c r="O316" s="13"/>
      <c r="P316" s="13"/>
      <c r="Q316" s="13"/>
      <c r="R316" s="13"/>
      <c r="S316" s="13"/>
      <c r="T316" s="13"/>
      <c r="U316" s="13"/>
      <c r="V316" s="13"/>
      <c r="W316" s="13"/>
      <c r="X316" s="13"/>
      <c r="Y316" s="13"/>
      <c r="Z316" s="13"/>
      <c r="AA316" s="13"/>
      <c r="AB316" s="13"/>
    </row>
    <row r="317" spans="1:28" ht="17.399999999999999" x14ac:dyDescent="0.35">
      <c r="A317" s="16"/>
      <c r="B317" s="17"/>
      <c r="C317" s="13"/>
      <c r="D317" s="13"/>
      <c r="E317" s="15"/>
      <c r="F317" s="13"/>
      <c r="G317" s="13"/>
      <c r="H317" s="6"/>
      <c r="I317" s="13"/>
      <c r="J317" s="13"/>
      <c r="K317" s="13"/>
      <c r="L317" s="13"/>
      <c r="M317" s="13"/>
      <c r="N317" s="13"/>
      <c r="O317" s="13"/>
      <c r="P317" s="13"/>
      <c r="Q317" s="13"/>
      <c r="R317" s="13"/>
      <c r="S317" s="13"/>
      <c r="T317" s="13"/>
      <c r="U317" s="13"/>
      <c r="V317" s="13"/>
      <c r="W317" s="13"/>
      <c r="X317" s="13"/>
      <c r="Y317" s="13"/>
      <c r="Z317" s="13"/>
      <c r="AA317" s="13"/>
      <c r="AB317" s="13"/>
    </row>
    <row r="318" spans="1:28" ht="17.399999999999999" x14ac:dyDescent="0.35">
      <c r="A318" s="16"/>
      <c r="B318" s="17"/>
      <c r="C318" s="13"/>
      <c r="D318" s="13"/>
      <c r="E318" s="15"/>
      <c r="F318" s="13"/>
      <c r="G318" s="13"/>
      <c r="H318" s="6"/>
      <c r="I318" s="13"/>
      <c r="J318" s="13"/>
      <c r="K318" s="13"/>
      <c r="L318" s="13"/>
      <c r="M318" s="13"/>
      <c r="N318" s="13"/>
      <c r="O318" s="13"/>
      <c r="P318" s="13"/>
      <c r="Q318" s="13"/>
      <c r="R318" s="13"/>
      <c r="S318" s="13"/>
      <c r="T318" s="13"/>
      <c r="U318" s="13"/>
      <c r="V318" s="13"/>
      <c r="W318" s="13"/>
      <c r="X318" s="13"/>
      <c r="Y318" s="13"/>
      <c r="Z318" s="13"/>
      <c r="AA318" s="13"/>
      <c r="AB318" s="13"/>
    </row>
    <row r="319" spans="1:28" ht="17.399999999999999" x14ac:dyDescent="0.35">
      <c r="A319" s="16"/>
      <c r="B319" s="17"/>
      <c r="C319" s="13"/>
      <c r="D319" s="13"/>
      <c r="E319" s="15"/>
      <c r="F319" s="13"/>
      <c r="G319" s="13"/>
      <c r="H319" s="6"/>
      <c r="I319" s="13"/>
      <c r="J319" s="13"/>
      <c r="K319" s="13"/>
      <c r="L319" s="13"/>
      <c r="M319" s="13"/>
      <c r="N319" s="13"/>
      <c r="O319" s="13"/>
      <c r="P319" s="13"/>
      <c r="Q319" s="13"/>
      <c r="R319" s="13"/>
      <c r="S319" s="13"/>
      <c r="T319" s="13"/>
      <c r="U319" s="13"/>
      <c r="V319" s="13"/>
      <c r="W319" s="13"/>
      <c r="X319" s="13"/>
      <c r="Y319" s="13"/>
      <c r="Z319" s="13"/>
      <c r="AA319" s="13"/>
      <c r="AB319" s="13"/>
    </row>
    <row r="320" spans="1:28" ht="17.399999999999999" x14ac:dyDescent="0.35">
      <c r="A320" s="16"/>
      <c r="B320" s="17"/>
      <c r="C320" s="13"/>
      <c r="D320" s="13"/>
      <c r="E320" s="15"/>
      <c r="F320" s="13"/>
      <c r="G320" s="13"/>
      <c r="H320" s="6"/>
      <c r="I320" s="13"/>
      <c r="J320" s="13"/>
      <c r="K320" s="13"/>
      <c r="L320" s="13"/>
      <c r="M320" s="13"/>
      <c r="N320" s="13"/>
      <c r="O320" s="13"/>
      <c r="P320" s="13"/>
      <c r="Q320" s="13"/>
      <c r="R320" s="13"/>
      <c r="S320" s="13"/>
      <c r="T320" s="13"/>
      <c r="U320" s="13"/>
      <c r="V320" s="13"/>
      <c r="W320" s="13"/>
      <c r="X320" s="13"/>
      <c r="Y320" s="13"/>
      <c r="Z320" s="13"/>
      <c r="AA320" s="13"/>
      <c r="AB320" s="13"/>
    </row>
    <row r="321" spans="1:28" ht="17.399999999999999" x14ac:dyDescent="0.35">
      <c r="A321" s="16"/>
      <c r="B321" s="17"/>
      <c r="C321" s="13"/>
      <c r="D321" s="13"/>
      <c r="E321" s="15"/>
      <c r="F321" s="13"/>
      <c r="G321" s="13"/>
      <c r="H321" s="6"/>
      <c r="I321" s="13"/>
      <c r="J321" s="13"/>
      <c r="K321" s="13"/>
      <c r="L321" s="13"/>
      <c r="M321" s="13"/>
      <c r="N321" s="13"/>
      <c r="O321" s="13"/>
      <c r="P321" s="13"/>
      <c r="Q321" s="13"/>
      <c r="R321" s="13"/>
      <c r="S321" s="13"/>
      <c r="T321" s="13"/>
      <c r="U321" s="13"/>
      <c r="V321" s="13"/>
      <c r="W321" s="13"/>
      <c r="X321" s="13"/>
      <c r="Y321" s="13"/>
      <c r="Z321" s="13"/>
      <c r="AA321" s="13"/>
      <c r="AB321" s="13"/>
    </row>
    <row r="322" spans="1:28" ht="17.399999999999999" x14ac:dyDescent="0.35">
      <c r="A322" s="16"/>
      <c r="B322" s="17"/>
      <c r="C322" s="13"/>
      <c r="D322" s="13"/>
      <c r="E322" s="15"/>
      <c r="F322" s="13"/>
      <c r="G322" s="13"/>
      <c r="H322" s="6"/>
      <c r="I322" s="13"/>
      <c r="J322" s="13"/>
      <c r="K322" s="13"/>
      <c r="L322" s="13"/>
      <c r="M322" s="13"/>
      <c r="N322" s="13"/>
      <c r="O322" s="13"/>
      <c r="P322" s="13"/>
      <c r="Q322" s="13"/>
      <c r="R322" s="13"/>
      <c r="S322" s="13"/>
      <c r="T322" s="13"/>
      <c r="U322" s="13"/>
      <c r="V322" s="13"/>
      <c r="W322" s="13"/>
      <c r="X322" s="13"/>
      <c r="Y322" s="13"/>
      <c r="Z322" s="13"/>
      <c r="AA322" s="13"/>
      <c r="AB322" s="13"/>
    </row>
    <row r="323" spans="1:28" ht="17.399999999999999" x14ac:dyDescent="0.35">
      <c r="A323" s="16"/>
      <c r="B323" s="17"/>
      <c r="C323" s="13"/>
      <c r="D323" s="13"/>
      <c r="E323" s="15"/>
      <c r="F323" s="13"/>
      <c r="G323" s="13"/>
      <c r="H323" s="6"/>
      <c r="I323" s="13"/>
      <c r="J323" s="13"/>
      <c r="K323" s="13"/>
      <c r="L323" s="13"/>
      <c r="M323" s="13"/>
      <c r="N323" s="13"/>
      <c r="O323" s="13"/>
      <c r="P323" s="13"/>
      <c r="Q323" s="13"/>
      <c r="R323" s="13"/>
      <c r="S323" s="13"/>
      <c r="T323" s="13"/>
      <c r="U323" s="13"/>
      <c r="V323" s="13"/>
      <c r="W323" s="13"/>
      <c r="X323" s="13"/>
      <c r="Y323" s="13"/>
      <c r="Z323" s="13"/>
      <c r="AA323" s="13"/>
      <c r="AB323" s="13"/>
    </row>
    <row r="324" spans="1:28" ht="17.399999999999999" x14ac:dyDescent="0.35">
      <c r="A324" s="16"/>
      <c r="B324" s="17"/>
      <c r="C324" s="13"/>
      <c r="D324" s="13"/>
      <c r="E324" s="15"/>
      <c r="F324" s="13"/>
      <c r="G324" s="13"/>
      <c r="H324" s="6"/>
      <c r="I324" s="13"/>
      <c r="J324" s="13"/>
      <c r="K324" s="13"/>
      <c r="L324" s="13"/>
      <c r="M324" s="13"/>
      <c r="N324" s="13"/>
      <c r="O324" s="13"/>
      <c r="P324" s="13"/>
      <c r="Q324" s="13"/>
      <c r="R324" s="13"/>
      <c r="S324" s="13"/>
      <c r="T324" s="13"/>
      <c r="U324" s="13"/>
      <c r="V324" s="13"/>
      <c r="W324" s="13"/>
      <c r="X324" s="13"/>
      <c r="Y324" s="13"/>
      <c r="Z324" s="13"/>
      <c r="AA324" s="13"/>
      <c r="AB324" s="13"/>
    </row>
    <row r="325" spans="1:28" ht="17.399999999999999" x14ac:dyDescent="0.35">
      <c r="A325" s="16"/>
      <c r="B325" s="17"/>
      <c r="C325" s="13"/>
      <c r="D325" s="13"/>
      <c r="E325" s="15"/>
      <c r="F325" s="13"/>
      <c r="G325" s="13"/>
      <c r="H325" s="6"/>
      <c r="I325" s="13"/>
      <c r="J325" s="13"/>
      <c r="K325" s="13"/>
      <c r="L325" s="13"/>
      <c r="M325" s="13"/>
      <c r="N325" s="13"/>
      <c r="O325" s="13"/>
      <c r="P325" s="13"/>
      <c r="Q325" s="13"/>
      <c r="R325" s="13"/>
      <c r="S325" s="13"/>
      <c r="T325" s="13"/>
      <c r="U325" s="13"/>
      <c r="V325" s="13"/>
      <c r="W325" s="13"/>
      <c r="X325" s="13"/>
      <c r="Y325" s="13"/>
      <c r="Z325" s="13"/>
      <c r="AA325" s="13"/>
      <c r="AB325" s="13"/>
    </row>
    <row r="326" spans="1:28" ht="17.399999999999999" x14ac:dyDescent="0.35">
      <c r="A326" s="16"/>
      <c r="B326" s="17"/>
      <c r="C326" s="13"/>
      <c r="D326" s="13"/>
      <c r="E326" s="15"/>
      <c r="F326" s="13"/>
      <c r="G326" s="13"/>
      <c r="H326" s="6"/>
      <c r="I326" s="13"/>
      <c r="J326" s="13"/>
      <c r="K326" s="13"/>
      <c r="L326" s="13"/>
      <c r="M326" s="13"/>
      <c r="N326" s="13"/>
      <c r="O326" s="13"/>
      <c r="P326" s="13"/>
      <c r="Q326" s="13"/>
      <c r="R326" s="13"/>
      <c r="S326" s="13"/>
      <c r="T326" s="13"/>
      <c r="U326" s="13"/>
      <c r="V326" s="13"/>
      <c r="W326" s="13"/>
      <c r="X326" s="13"/>
      <c r="Y326" s="13"/>
      <c r="Z326" s="13"/>
      <c r="AA326" s="13"/>
      <c r="AB326" s="13"/>
    </row>
    <row r="327" spans="1:28" ht="17.399999999999999" x14ac:dyDescent="0.35">
      <c r="A327" s="16"/>
      <c r="B327" s="17"/>
      <c r="C327" s="13"/>
      <c r="D327" s="13"/>
      <c r="E327" s="15"/>
      <c r="F327" s="13"/>
      <c r="G327" s="13"/>
      <c r="H327" s="6"/>
      <c r="I327" s="13"/>
      <c r="J327" s="13"/>
      <c r="K327" s="13"/>
      <c r="L327" s="13"/>
      <c r="M327" s="13"/>
      <c r="N327" s="13"/>
      <c r="O327" s="13"/>
      <c r="P327" s="13"/>
      <c r="Q327" s="13"/>
      <c r="R327" s="13"/>
      <c r="S327" s="13"/>
      <c r="T327" s="13"/>
      <c r="U327" s="13"/>
      <c r="V327" s="13"/>
      <c r="W327" s="13"/>
      <c r="X327" s="13"/>
      <c r="Y327" s="13"/>
      <c r="Z327" s="13"/>
      <c r="AA327" s="13"/>
      <c r="AB327" s="13"/>
    </row>
    <row r="328" spans="1:28" ht="17.399999999999999" x14ac:dyDescent="0.35">
      <c r="A328" s="16"/>
      <c r="B328" s="17"/>
      <c r="C328" s="13"/>
      <c r="D328" s="13"/>
      <c r="E328" s="15"/>
      <c r="F328" s="13"/>
      <c r="G328" s="13"/>
      <c r="H328" s="6"/>
      <c r="I328" s="13"/>
      <c r="J328" s="13"/>
      <c r="K328" s="13"/>
      <c r="L328" s="13"/>
      <c r="M328" s="13"/>
      <c r="N328" s="13"/>
      <c r="O328" s="13"/>
      <c r="P328" s="13"/>
      <c r="Q328" s="13"/>
      <c r="R328" s="13"/>
      <c r="S328" s="13"/>
      <c r="T328" s="13"/>
      <c r="U328" s="13"/>
      <c r="V328" s="13"/>
      <c r="W328" s="13"/>
      <c r="X328" s="13"/>
      <c r="Y328" s="13"/>
      <c r="Z328" s="13"/>
      <c r="AA328" s="13"/>
      <c r="AB328" s="13"/>
    </row>
    <row r="329" spans="1:28" ht="17.399999999999999" x14ac:dyDescent="0.35">
      <c r="A329" s="16"/>
      <c r="B329" s="17"/>
      <c r="C329" s="13"/>
      <c r="D329" s="13"/>
      <c r="E329" s="15"/>
      <c r="F329" s="13"/>
      <c r="G329" s="13"/>
      <c r="H329" s="6"/>
      <c r="I329" s="13"/>
      <c r="J329" s="13"/>
      <c r="K329" s="13"/>
      <c r="L329" s="13"/>
      <c r="M329" s="13"/>
      <c r="N329" s="13"/>
      <c r="O329" s="13"/>
      <c r="P329" s="13"/>
      <c r="Q329" s="13"/>
      <c r="R329" s="13"/>
      <c r="S329" s="13"/>
      <c r="T329" s="13"/>
      <c r="U329" s="13"/>
      <c r="V329" s="13"/>
      <c r="W329" s="13"/>
      <c r="X329" s="13"/>
      <c r="Y329" s="13"/>
      <c r="Z329" s="13"/>
      <c r="AA329" s="13"/>
      <c r="AB329" s="13"/>
    </row>
    <row r="330" spans="1:28" ht="17.399999999999999" x14ac:dyDescent="0.35">
      <c r="A330" s="16"/>
      <c r="B330" s="17"/>
      <c r="C330" s="13"/>
      <c r="D330" s="13"/>
      <c r="E330" s="15"/>
      <c r="F330" s="13"/>
      <c r="G330" s="13"/>
      <c r="H330" s="6"/>
      <c r="I330" s="13"/>
      <c r="J330" s="13"/>
      <c r="K330" s="13"/>
      <c r="L330" s="13"/>
      <c r="M330" s="13"/>
      <c r="N330" s="13"/>
      <c r="O330" s="13"/>
      <c r="P330" s="13"/>
      <c r="Q330" s="13"/>
      <c r="R330" s="13"/>
      <c r="S330" s="13"/>
      <c r="T330" s="13"/>
      <c r="U330" s="13"/>
      <c r="V330" s="13"/>
      <c r="W330" s="13"/>
      <c r="X330" s="13"/>
      <c r="Y330" s="13"/>
      <c r="Z330" s="13"/>
      <c r="AA330" s="13"/>
      <c r="AB330" s="13"/>
    </row>
    <row r="331" spans="1:28" ht="17.399999999999999" x14ac:dyDescent="0.35">
      <c r="A331" s="16"/>
      <c r="B331" s="17"/>
      <c r="C331" s="13"/>
      <c r="D331" s="13"/>
      <c r="E331" s="15"/>
      <c r="F331" s="13"/>
      <c r="G331" s="13"/>
      <c r="H331" s="6"/>
      <c r="I331" s="13"/>
      <c r="J331" s="13"/>
      <c r="K331" s="13"/>
      <c r="L331" s="13"/>
      <c r="M331" s="13"/>
      <c r="N331" s="13"/>
      <c r="O331" s="13"/>
      <c r="P331" s="13"/>
      <c r="Q331" s="13"/>
      <c r="R331" s="13"/>
      <c r="S331" s="13"/>
      <c r="T331" s="13"/>
      <c r="U331" s="13"/>
      <c r="V331" s="13"/>
      <c r="W331" s="13"/>
      <c r="X331" s="13"/>
      <c r="Y331" s="13"/>
      <c r="Z331" s="13"/>
      <c r="AA331" s="13"/>
      <c r="AB331" s="13"/>
    </row>
    <row r="332" spans="1:28" ht="17.399999999999999" x14ac:dyDescent="0.35">
      <c r="A332" s="16"/>
      <c r="B332" s="17"/>
      <c r="C332" s="13"/>
      <c r="D332" s="13"/>
      <c r="E332" s="15"/>
      <c r="F332" s="13"/>
      <c r="G332" s="13"/>
      <c r="H332" s="6"/>
      <c r="I332" s="13"/>
      <c r="J332" s="13"/>
      <c r="K332" s="13"/>
      <c r="L332" s="13"/>
      <c r="M332" s="13"/>
      <c r="N332" s="13"/>
      <c r="O332" s="13"/>
      <c r="P332" s="13"/>
      <c r="Q332" s="13"/>
      <c r="R332" s="13"/>
      <c r="S332" s="13"/>
      <c r="T332" s="13"/>
      <c r="U332" s="13"/>
      <c r="V332" s="13"/>
      <c r="W332" s="13"/>
      <c r="X332" s="13"/>
      <c r="Y332" s="13"/>
      <c r="Z332" s="13"/>
      <c r="AA332" s="13"/>
      <c r="AB332" s="13"/>
    </row>
    <row r="333" spans="1:28" ht="17.399999999999999" x14ac:dyDescent="0.35">
      <c r="A333" s="16"/>
      <c r="B333" s="17"/>
      <c r="C333" s="13"/>
      <c r="D333" s="13"/>
      <c r="E333" s="15"/>
      <c r="F333" s="13"/>
      <c r="G333" s="13"/>
      <c r="H333" s="6"/>
      <c r="I333" s="13"/>
      <c r="J333" s="13"/>
      <c r="K333" s="13"/>
      <c r="L333" s="13"/>
      <c r="M333" s="13"/>
      <c r="N333" s="13"/>
      <c r="O333" s="13"/>
      <c r="P333" s="13"/>
      <c r="Q333" s="13"/>
      <c r="R333" s="13"/>
      <c r="S333" s="13"/>
      <c r="T333" s="13"/>
      <c r="U333" s="13"/>
      <c r="V333" s="13"/>
      <c r="W333" s="13"/>
      <c r="X333" s="13"/>
      <c r="Y333" s="13"/>
      <c r="Z333" s="13"/>
      <c r="AA333" s="13"/>
      <c r="AB333" s="13"/>
    </row>
    <row r="334" spans="1:28" ht="17.399999999999999" x14ac:dyDescent="0.35">
      <c r="A334" s="16"/>
      <c r="B334" s="17"/>
      <c r="C334" s="13"/>
      <c r="D334" s="13"/>
      <c r="E334" s="15"/>
      <c r="F334" s="13"/>
      <c r="G334" s="13"/>
      <c r="H334" s="6"/>
      <c r="I334" s="13"/>
      <c r="J334" s="13"/>
      <c r="K334" s="13"/>
      <c r="L334" s="13"/>
      <c r="M334" s="13"/>
      <c r="N334" s="13"/>
      <c r="O334" s="13"/>
      <c r="P334" s="13"/>
      <c r="Q334" s="13"/>
      <c r="R334" s="13"/>
      <c r="S334" s="13"/>
      <c r="T334" s="13"/>
      <c r="U334" s="13"/>
      <c r="V334" s="13"/>
      <c r="W334" s="13"/>
      <c r="X334" s="13"/>
      <c r="Y334" s="13"/>
      <c r="Z334" s="13"/>
      <c r="AA334" s="13"/>
      <c r="AB334" s="13"/>
    </row>
    <row r="335" spans="1:28" ht="17.399999999999999" x14ac:dyDescent="0.35">
      <c r="A335" s="16"/>
      <c r="B335" s="17"/>
      <c r="C335" s="13"/>
      <c r="D335" s="13"/>
      <c r="E335" s="15"/>
      <c r="F335" s="13"/>
      <c r="G335" s="13"/>
      <c r="H335" s="6"/>
      <c r="I335" s="13"/>
      <c r="J335" s="13"/>
      <c r="K335" s="13"/>
      <c r="L335" s="13"/>
      <c r="M335" s="13"/>
      <c r="N335" s="13"/>
      <c r="O335" s="13"/>
      <c r="P335" s="13"/>
      <c r="Q335" s="13"/>
      <c r="R335" s="13"/>
      <c r="S335" s="13"/>
      <c r="T335" s="13"/>
      <c r="U335" s="13"/>
      <c r="V335" s="13"/>
      <c r="W335" s="13"/>
      <c r="X335" s="13"/>
      <c r="Y335" s="13"/>
      <c r="Z335" s="13"/>
      <c r="AA335" s="13"/>
      <c r="AB335" s="13"/>
    </row>
    <row r="336" spans="1:28" ht="17.399999999999999" x14ac:dyDescent="0.35">
      <c r="A336" s="16"/>
      <c r="B336" s="17"/>
      <c r="C336" s="13"/>
      <c r="D336" s="13"/>
      <c r="E336" s="15"/>
      <c r="F336" s="13"/>
      <c r="G336" s="13"/>
      <c r="H336" s="6"/>
      <c r="I336" s="13"/>
      <c r="J336" s="13"/>
      <c r="K336" s="13"/>
      <c r="L336" s="13"/>
      <c r="M336" s="13"/>
      <c r="N336" s="13"/>
      <c r="O336" s="13"/>
      <c r="P336" s="13"/>
      <c r="Q336" s="13"/>
      <c r="R336" s="13"/>
      <c r="S336" s="13"/>
      <c r="T336" s="13"/>
      <c r="U336" s="13"/>
      <c r="V336" s="13"/>
      <c r="W336" s="13"/>
      <c r="X336" s="13"/>
      <c r="Y336" s="13"/>
      <c r="Z336" s="13"/>
      <c r="AA336" s="13"/>
      <c r="AB336" s="13"/>
    </row>
    <row r="337" spans="1:28" ht="17.399999999999999" x14ac:dyDescent="0.35">
      <c r="A337" s="16"/>
      <c r="B337" s="17"/>
      <c r="C337" s="13"/>
      <c r="D337" s="13"/>
      <c r="E337" s="15"/>
      <c r="F337" s="13"/>
      <c r="G337" s="13"/>
      <c r="H337" s="6"/>
      <c r="I337" s="13"/>
      <c r="J337" s="13"/>
      <c r="K337" s="13"/>
      <c r="L337" s="13"/>
      <c r="M337" s="13"/>
      <c r="N337" s="13"/>
      <c r="O337" s="13"/>
      <c r="P337" s="13"/>
      <c r="Q337" s="13"/>
      <c r="R337" s="13"/>
      <c r="S337" s="13"/>
      <c r="T337" s="13"/>
      <c r="U337" s="13"/>
      <c r="V337" s="13"/>
      <c r="W337" s="13"/>
      <c r="X337" s="13"/>
      <c r="Y337" s="13"/>
      <c r="Z337" s="13"/>
      <c r="AA337" s="13"/>
      <c r="AB337" s="13"/>
    </row>
    <row r="338" spans="1:28" ht="17.399999999999999" x14ac:dyDescent="0.35">
      <c r="A338" s="16"/>
      <c r="B338" s="17"/>
      <c r="C338" s="13"/>
      <c r="D338" s="13"/>
      <c r="E338" s="15"/>
      <c r="F338" s="13"/>
      <c r="G338" s="13"/>
      <c r="H338" s="6"/>
      <c r="I338" s="13"/>
      <c r="J338" s="13"/>
      <c r="K338" s="13"/>
      <c r="L338" s="13"/>
      <c r="M338" s="13"/>
      <c r="N338" s="13"/>
      <c r="O338" s="13"/>
      <c r="P338" s="13"/>
      <c r="Q338" s="13"/>
      <c r="R338" s="13"/>
      <c r="S338" s="13"/>
      <c r="T338" s="13"/>
      <c r="U338" s="13"/>
      <c r="V338" s="13"/>
      <c r="W338" s="13"/>
      <c r="X338" s="13"/>
      <c r="Y338" s="13"/>
      <c r="Z338" s="13"/>
      <c r="AA338" s="13"/>
      <c r="AB338" s="13"/>
    </row>
    <row r="339" spans="1:28" ht="17.399999999999999" x14ac:dyDescent="0.35">
      <c r="A339" s="16"/>
      <c r="B339" s="17"/>
      <c r="C339" s="13"/>
      <c r="D339" s="13"/>
      <c r="E339" s="15"/>
      <c r="F339" s="13"/>
      <c r="G339" s="13"/>
      <c r="H339" s="6"/>
      <c r="I339" s="13"/>
      <c r="J339" s="13"/>
      <c r="K339" s="13"/>
      <c r="L339" s="13"/>
      <c r="M339" s="13"/>
      <c r="N339" s="13"/>
      <c r="O339" s="13"/>
      <c r="P339" s="13"/>
      <c r="Q339" s="13"/>
      <c r="R339" s="13"/>
      <c r="S339" s="13"/>
      <c r="T339" s="13"/>
      <c r="U339" s="13"/>
      <c r="V339" s="13"/>
      <c r="W339" s="13"/>
      <c r="X339" s="13"/>
      <c r="Y339" s="13"/>
      <c r="Z339" s="13"/>
      <c r="AA339" s="13"/>
      <c r="AB339" s="13"/>
    </row>
    <row r="340" spans="1:28" ht="17.399999999999999" x14ac:dyDescent="0.35">
      <c r="A340" s="16"/>
      <c r="B340" s="17"/>
      <c r="C340" s="13"/>
      <c r="D340" s="13"/>
      <c r="E340" s="15"/>
      <c r="F340" s="13"/>
      <c r="G340" s="13"/>
      <c r="H340" s="6"/>
      <c r="I340" s="13"/>
      <c r="J340" s="13"/>
      <c r="K340" s="13"/>
      <c r="L340" s="13"/>
      <c r="M340" s="13"/>
      <c r="N340" s="13"/>
      <c r="O340" s="13"/>
      <c r="P340" s="13"/>
      <c r="Q340" s="13"/>
      <c r="R340" s="13"/>
      <c r="S340" s="13"/>
      <c r="T340" s="13"/>
      <c r="U340" s="13"/>
      <c r="V340" s="13"/>
      <c r="W340" s="13"/>
      <c r="X340" s="13"/>
      <c r="Y340" s="13"/>
      <c r="Z340" s="13"/>
      <c r="AA340" s="13"/>
      <c r="AB340" s="13"/>
    </row>
    <row r="341" spans="1:28" ht="17.399999999999999" x14ac:dyDescent="0.35">
      <c r="A341" s="16"/>
      <c r="B341" s="17"/>
      <c r="C341" s="13"/>
      <c r="D341" s="13"/>
      <c r="E341" s="15"/>
      <c r="F341" s="13"/>
      <c r="G341" s="13"/>
      <c r="H341" s="6"/>
      <c r="I341" s="13"/>
      <c r="J341" s="13"/>
      <c r="K341" s="13"/>
      <c r="L341" s="13"/>
      <c r="M341" s="13"/>
      <c r="N341" s="13"/>
      <c r="O341" s="13"/>
      <c r="P341" s="13"/>
      <c r="Q341" s="13"/>
      <c r="R341" s="13"/>
      <c r="S341" s="13"/>
      <c r="T341" s="13"/>
      <c r="U341" s="13"/>
      <c r="V341" s="13"/>
      <c r="W341" s="13"/>
      <c r="X341" s="13"/>
      <c r="Y341" s="13"/>
      <c r="Z341" s="13"/>
      <c r="AA341" s="13"/>
      <c r="AB341" s="13"/>
    </row>
    <row r="342" spans="1:28" ht="17.399999999999999" x14ac:dyDescent="0.35">
      <c r="A342" s="16"/>
      <c r="B342" s="17"/>
      <c r="C342" s="13"/>
      <c r="D342" s="13"/>
      <c r="E342" s="15"/>
      <c r="F342" s="13"/>
      <c r="G342" s="13"/>
      <c r="H342" s="6"/>
      <c r="I342" s="13"/>
      <c r="J342" s="13"/>
      <c r="K342" s="13"/>
      <c r="L342" s="13"/>
      <c r="M342" s="13"/>
      <c r="N342" s="13"/>
      <c r="O342" s="13"/>
      <c r="P342" s="13"/>
      <c r="Q342" s="13"/>
      <c r="R342" s="13"/>
      <c r="S342" s="13"/>
      <c r="T342" s="13"/>
      <c r="U342" s="13"/>
      <c r="V342" s="13"/>
      <c r="W342" s="13"/>
      <c r="X342" s="13"/>
      <c r="Y342" s="13"/>
      <c r="Z342" s="13"/>
      <c r="AA342" s="13"/>
      <c r="AB342" s="13"/>
    </row>
    <row r="343" spans="1:28" ht="17.399999999999999" x14ac:dyDescent="0.35">
      <c r="A343" s="16"/>
      <c r="B343" s="17"/>
      <c r="C343" s="13"/>
      <c r="D343" s="13"/>
      <c r="E343" s="15"/>
      <c r="F343" s="13"/>
      <c r="G343" s="13"/>
      <c r="H343" s="6"/>
      <c r="I343" s="13"/>
      <c r="J343" s="13"/>
      <c r="K343" s="13"/>
      <c r="L343" s="13"/>
      <c r="M343" s="13"/>
      <c r="N343" s="13"/>
      <c r="O343" s="13"/>
      <c r="P343" s="13"/>
      <c r="Q343" s="13"/>
      <c r="R343" s="13"/>
      <c r="S343" s="13"/>
      <c r="T343" s="13"/>
      <c r="U343" s="13"/>
      <c r="V343" s="13"/>
      <c r="W343" s="13"/>
      <c r="X343" s="13"/>
      <c r="Y343" s="13"/>
      <c r="Z343" s="13"/>
      <c r="AA343" s="13"/>
      <c r="AB343" s="13"/>
    </row>
    <row r="344" spans="1:28" ht="17.399999999999999" x14ac:dyDescent="0.35">
      <c r="A344" s="16"/>
      <c r="B344" s="17"/>
      <c r="C344" s="13"/>
      <c r="D344" s="13"/>
      <c r="E344" s="15"/>
      <c r="F344" s="13"/>
      <c r="G344" s="13"/>
      <c r="H344" s="6"/>
      <c r="I344" s="13"/>
      <c r="J344" s="13"/>
      <c r="K344" s="13"/>
      <c r="L344" s="13"/>
      <c r="M344" s="13"/>
      <c r="N344" s="13"/>
      <c r="O344" s="13"/>
      <c r="P344" s="13"/>
      <c r="Q344" s="13"/>
      <c r="R344" s="13"/>
      <c r="S344" s="13"/>
      <c r="T344" s="13"/>
      <c r="U344" s="13"/>
      <c r="V344" s="13"/>
      <c r="W344" s="13"/>
      <c r="X344" s="13"/>
      <c r="Y344" s="13"/>
      <c r="Z344" s="13"/>
      <c r="AA344" s="13"/>
      <c r="AB344" s="13"/>
    </row>
    <row r="345" spans="1:28" ht="17.399999999999999" x14ac:dyDescent="0.35">
      <c r="A345" s="16"/>
      <c r="B345" s="17"/>
      <c r="C345" s="13"/>
      <c r="D345" s="13"/>
      <c r="E345" s="15"/>
      <c r="F345" s="13"/>
      <c r="G345" s="13"/>
      <c r="H345" s="6"/>
      <c r="I345" s="13"/>
      <c r="J345" s="13"/>
      <c r="K345" s="13"/>
      <c r="L345" s="13"/>
      <c r="M345" s="13"/>
      <c r="N345" s="13"/>
      <c r="O345" s="13"/>
      <c r="P345" s="13"/>
      <c r="Q345" s="13"/>
      <c r="R345" s="13"/>
      <c r="S345" s="13"/>
      <c r="T345" s="13"/>
      <c r="U345" s="13"/>
      <c r="V345" s="13"/>
      <c r="W345" s="13"/>
      <c r="X345" s="13"/>
      <c r="Y345" s="13"/>
      <c r="Z345" s="13"/>
      <c r="AA345" s="13"/>
      <c r="AB345" s="13"/>
    </row>
    <row r="346" spans="1:28" ht="17.399999999999999" x14ac:dyDescent="0.35">
      <c r="A346" s="16"/>
      <c r="B346" s="17"/>
      <c r="C346" s="13"/>
      <c r="D346" s="13"/>
      <c r="E346" s="15"/>
      <c r="F346" s="13"/>
      <c r="G346" s="13"/>
      <c r="H346" s="6"/>
      <c r="I346" s="13"/>
      <c r="J346" s="13"/>
      <c r="K346" s="13"/>
      <c r="L346" s="13"/>
      <c r="M346" s="13"/>
      <c r="N346" s="13"/>
      <c r="O346" s="13"/>
      <c r="P346" s="13"/>
      <c r="Q346" s="13"/>
      <c r="R346" s="13"/>
      <c r="S346" s="13"/>
      <c r="T346" s="13"/>
      <c r="U346" s="13"/>
      <c r="V346" s="13"/>
      <c r="W346" s="13"/>
      <c r="X346" s="13"/>
      <c r="Y346" s="13"/>
      <c r="Z346" s="13"/>
      <c r="AA346" s="13"/>
      <c r="AB346" s="13"/>
    </row>
    <row r="347" spans="1:28" ht="17.399999999999999" x14ac:dyDescent="0.35">
      <c r="A347" s="16"/>
      <c r="B347" s="17"/>
      <c r="C347" s="13"/>
      <c r="D347" s="13"/>
      <c r="E347" s="15"/>
      <c r="F347" s="13"/>
      <c r="G347" s="13"/>
      <c r="H347" s="6"/>
      <c r="I347" s="13"/>
      <c r="J347" s="13"/>
      <c r="K347" s="13"/>
      <c r="L347" s="13"/>
      <c r="M347" s="13"/>
      <c r="N347" s="13"/>
      <c r="O347" s="13"/>
      <c r="P347" s="13"/>
      <c r="Q347" s="13"/>
      <c r="R347" s="13"/>
      <c r="S347" s="13"/>
      <c r="T347" s="13"/>
      <c r="U347" s="13"/>
      <c r="V347" s="13"/>
      <c r="W347" s="13"/>
      <c r="X347" s="13"/>
      <c r="Y347" s="13"/>
      <c r="Z347" s="13"/>
      <c r="AA347" s="13"/>
      <c r="AB347" s="13"/>
    </row>
    <row r="348" spans="1:28" ht="17.399999999999999" x14ac:dyDescent="0.35">
      <c r="A348" s="16"/>
      <c r="B348" s="17"/>
      <c r="C348" s="13"/>
      <c r="D348" s="13"/>
      <c r="E348" s="15"/>
      <c r="F348" s="13"/>
      <c r="G348" s="13"/>
      <c r="H348" s="6"/>
      <c r="I348" s="13"/>
      <c r="J348" s="13"/>
      <c r="K348" s="13"/>
      <c r="L348" s="13"/>
      <c r="M348" s="13"/>
      <c r="N348" s="13"/>
      <c r="O348" s="13"/>
      <c r="P348" s="13"/>
      <c r="Q348" s="13"/>
      <c r="R348" s="13"/>
      <c r="S348" s="13"/>
      <c r="T348" s="13"/>
      <c r="U348" s="13"/>
      <c r="V348" s="13"/>
      <c r="W348" s="13"/>
      <c r="X348" s="13"/>
      <c r="Y348" s="13"/>
      <c r="Z348" s="13"/>
      <c r="AA348" s="13"/>
      <c r="AB348" s="13"/>
    </row>
    <row r="349" spans="1:28" ht="17.399999999999999" x14ac:dyDescent="0.35">
      <c r="A349" s="16"/>
      <c r="B349" s="17"/>
      <c r="C349" s="13"/>
      <c r="D349" s="13"/>
      <c r="E349" s="15"/>
      <c r="F349" s="13"/>
      <c r="G349" s="13"/>
      <c r="H349" s="6"/>
      <c r="I349" s="13"/>
      <c r="J349" s="13"/>
      <c r="K349" s="13"/>
      <c r="L349" s="13"/>
      <c r="M349" s="13"/>
      <c r="N349" s="13"/>
      <c r="O349" s="13"/>
      <c r="P349" s="13"/>
      <c r="Q349" s="13"/>
      <c r="R349" s="13"/>
      <c r="S349" s="13"/>
      <c r="T349" s="13"/>
      <c r="U349" s="13"/>
      <c r="V349" s="13"/>
      <c r="W349" s="13"/>
      <c r="X349" s="13"/>
      <c r="Y349" s="13"/>
      <c r="Z349" s="13"/>
      <c r="AA349" s="13"/>
      <c r="AB349" s="13"/>
    </row>
    <row r="350" spans="1:28" ht="17.399999999999999" x14ac:dyDescent="0.35">
      <c r="A350" s="16"/>
      <c r="B350" s="17"/>
      <c r="C350" s="13"/>
      <c r="D350" s="13"/>
      <c r="E350" s="15"/>
      <c r="F350" s="13"/>
      <c r="G350" s="13"/>
      <c r="H350" s="6"/>
      <c r="I350" s="13"/>
      <c r="J350" s="13"/>
      <c r="K350" s="13"/>
      <c r="L350" s="13"/>
      <c r="M350" s="13"/>
      <c r="N350" s="13"/>
      <c r="O350" s="13"/>
      <c r="P350" s="13"/>
      <c r="Q350" s="13"/>
      <c r="R350" s="13"/>
      <c r="S350" s="13"/>
      <c r="T350" s="13"/>
      <c r="U350" s="13"/>
      <c r="V350" s="13"/>
      <c r="W350" s="13"/>
      <c r="X350" s="13"/>
      <c r="Y350" s="13"/>
      <c r="Z350" s="13"/>
      <c r="AA350" s="13"/>
      <c r="AB350" s="13"/>
    </row>
    <row r="351" spans="1:28" ht="17.399999999999999" x14ac:dyDescent="0.35">
      <c r="A351" s="16"/>
      <c r="B351" s="17"/>
      <c r="C351" s="13"/>
      <c r="D351" s="13"/>
      <c r="E351" s="15"/>
      <c r="F351" s="13"/>
      <c r="G351" s="13"/>
      <c r="H351" s="6"/>
      <c r="I351" s="13"/>
      <c r="J351" s="13"/>
      <c r="K351" s="13"/>
      <c r="L351" s="13"/>
      <c r="M351" s="13"/>
      <c r="N351" s="13"/>
      <c r="O351" s="13"/>
      <c r="P351" s="13"/>
      <c r="Q351" s="13"/>
      <c r="R351" s="13"/>
      <c r="S351" s="13"/>
      <c r="T351" s="13"/>
      <c r="U351" s="13"/>
      <c r="V351" s="13"/>
      <c r="W351" s="13"/>
      <c r="X351" s="13"/>
      <c r="Y351" s="13"/>
      <c r="Z351" s="13"/>
      <c r="AA351" s="13"/>
      <c r="AB351" s="13"/>
    </row>
    <row r="352" spans="1:28" ht="17.399999999999999" x14ac:dyDescent="0.35">
      <c r="A352" s="16"/>
      <c r="B352" s="17"/>
      <c r="C352" s="13"/>
      <c r="D352" s="13"/>
      <c r="E352" s="15"/>
      <c r="F352" s="13"/>
      <c r="G352" s="13"/>
      <c r="H352" s="6"/>
      <c r="I352" s="13"/>
      <c r="J352" s="13"/>
      <c r="K352" s="13"/>
      <c r="L352" s="13"/>
      <c r="M352" s="13"/>
      <c r="N352" s="13"/>
      <c r="O352" s="13"/>
      <c r="P352" s="13"/>
      <c r="Q352" s="13"/>
      <c r="R352" s="13"/>
      <c r="S352" s="13"/>
      <c r="T352" s="13"/>
      <c r="U352" s="13"/>
      <c r="V352" s="13"/>
      <c r="W352" s="13"/>
      <c r="X352" s="13"/>
      <c r="Y352" s="13"/>
      <c r="Z352" s="13"/>
      <c r="AA352" s="13"/>
      <c r="AB352" s="13"/>
    </row>
    <row r="353" spans="1:28" ht="17.399999999999999" x14ac:dyDescent="0.35">
      <c r="A353" s="16"/>
      <c r="B353" s="17"/>
      <c r="C353" s="13"/>
      <c r="D353" s="13"/>
      <c r="E353" s="15"/>
      <c r="F353" s="13"/>
      <c r="G353" s="13"/>
      <c r="H353" s="6"/>
      <c r="I353" s="13"/>
      <c r="J353" s="13"/>
      <c r="K353" s="13"/>
      <c r="L353" s="13"/>
      <c r="M353" s="13"/>
      <c r="N353" s="13"/>
      <c r="O353" s="13"/>
      <c r="P353" s="13"/>
      <c r="Q353" s="13"/>
      <c r="R353" s="13"/>
      <c r="S353" s="13"/>
      <c r="T353" s="13"/>
      <c r="U353" s="13"/>
      <c r="V353" s="13"/>
      <c r="W353" s="13"/>
      <c r="X353" s="13"/>
      <c r="Y353" s="13"/>
      <c r="Z353" s="13"/>
      <c r="AA353" s="13"/>
      <c r="AB353" s="13"/>
    </row>
    <row r="354" spans="1:28" ht="17.399999999999999" x14ac:dyDescent="0.35">
      <c r="A354" s="16"/>
      <c r="B354" s="17"/>
      <c r="C354" s="13"/>
      <c r="D354" s="13"/>
      <c r="E354" s="15"/>
      <c r="F354" s="13"/>
      <c r="G354" s="13"/>
      <c r="H354" s="6"/>
      <c r="I354" s="13"/>
      <c r="J354" s="13"/>
      <c r="K354" s="13"/>
      <c r="L354" s="13"/>
      <c r="M354" s="13"/>
      <c r="N354" s="13"/>
      <c r="O354" s="13"/>
      <c r="P354" s="13"/>
      <c r="Q354" s="13"/>
      <c r="R354" s="13"/>
      <c r="S354" s="13"/>
      <c r="T354" s="13"/>
      <c r="U354" s="13"/>
      <c r="V354" s="13"/>
      <c r="W354" s="13"/>
      <c r="X354" s="13"/>
      <c r="Y354" s="13"/>
      <c r="Z354" s="13"/>
      <c r="AA354" s="13"/>
      <c r="AB354" s="13"/>
    </row>
    <row r="355" spans="1:28" ht="17.399999999999999" x14ac:dyDescent="0.35">
      <c r="A355" s="16"/>
      <c r="B355" s="17"/>
      <c r="C355" s="13"/>
      <c r="D355" s="13"/>
      <c r="E355" s="15"/>
      <c r="F355" s="13"/>
      <c r="G355" s="13"/>
      <c r="H355" s="6"/>
      <c r="I355" s="13"/>
      <c r="J355" s="13"/>
      <c r="K355" s="13"/>
      <c r="L355" s="13"/>
      <c r="M355" s="13"/>
      <c r="N355" s="13"/>
      <c r="O355" s="13"/>
      <c r="P355" s="13"/>
      <c r="Q355" s="13"/>
      <c r="R355" s="13"/>
      <c r="S355" s="13"/>
      <c r="T355" s="13"/>
      <c r="U355" s="13"/>
      <c r="V355" s="13"/>
      <c r="W355" s="13"/>
      <c r="X355" s="13"/>
      <c r="Y355" s="13"/>
      <c r="Z355" s="13"/>
      <c r="AA355" s="13"/>
      <c r="AB355" s="13"/>
    </row>
    <row r="356" spans="1:28" ht="17.399999999999999" x14ac:dyDescent="0.35">
      <c r="A356" s="16"/>
      <c r="B356" s="17"/>
      <c r="C356" s="13"/>
      <c r="D356" s="13"/>
      <c r="E356" s="15"/>
      <c r="F356" s="13"/>
      <c r="G356" s="13"/>
      <c r="H356" s="6"/>
      <c r="I356" s="13"/>
      <c r="J356" s="13"/>
      <c r="K356" s="13"/>
      <c r="L356" s="13"/>
      <c r="M356" s="13"/>
      <c r="N356" s="13"/>
      <c r="O356" s="13"/>
      <c r="P356" s="13"/>
      <c r="Q356" s="13"/>
      <c r="R356" s="13"/>
      <c r="S356" s="13"/>
      <c r="T356" s="13"/>
      <c r="U356" s="13"/>
      <c r="V356" s="13"/>
      <c r="W356" s="13"/>
      <c r="X356" s="13"/>
      <c r="Y356" s="13"/>
      <c r="Z356" s="13"/>
      <c r="AA356" s="13"/>
      <c r="AB356" s="13"/>
    </row>
    <row r="357" spans="1:28" ht="17.399999999999999" x14ac:dyDescent="0.35">
      <c r="A357" s="16"/>
      <c r="B357" s="17"/>
      <c r="C357" s="13"/>
      <c r="D357" s="13"/>
      <c r="E357" s="15"/>
      <c r="F357" s="13"/>
      <c r="G357" s="13"/>
      <c r="H357" s="6"/>
      <c r="I357" s="13"/>
      <c r="J357" s="13"/>
      <c r="K357" s="13"/>
      <c r="L357" s="13"/>
      <c r="M357" s="13"/>
      <c r="N357" s="13"/>
      <c r="O357" s="13"/>
      <c r="P357" s="13"/>
      <c r="Q357" s="13"/>
      <c r="R357" s="13"/>
      <c r="S357" s="13"/>
      <c r="T357" s="13"/>
      <c r="U357" s="13"/>
      <c r="V357" s="13"/>
      <c r="W357" s="13"/>
      <c r="X357" s="13"/>
      <c r="Y357" s="13"/>
      <c r="Z357" s="13"/>
      <c r="AA357" s="13"/>
      <c r="AB357" s="13"/>
    </row>
    <row r="358" spans="1:28" ht="17.399999999999999" x14ac:dyDescent="0.35">
      <c r="A358" s="16"/>
      <c r="B358" s="17"/>
      <c r="C358" s="13"/>
      <c r="D358" s="13"/>
      <c r="E358" s="15"/>
      <c r="F358" s="13"/>
      <c r="G358" s="13"/>
      <c r="H358" s="6"/>
      <c r="I358" s="13"/>
      <c r="J358" s="13"/>
      <c r="K358" s="13"/>
      <c r="L358" s="13"/>
      <c r="M358" s="13"/>
      <c r="N358" s="13"/>
      <c r="O358" s="13"/>
      <c r="P358" s="13"/>
      <c r="Q358" s="13"/>
      <c r="R358" s="13"/>
      <c r="S358" s="13"/>
      <c r="T358" s="13"/>
      <c r="U358" s="13"/>
      <c r="V358" s="13"/>
      <c r="W358" s="13"/>
      <c r="X358" s="13"/>
      <c r="Y358" s="13"/>
      <c r="Z358" s="13"/>
      <c r="AA358" s="13"/>
      <c r="AB358" s="13"/>
    </row>
    <row r="359" spans="1:28" ht="17.399999999999999" x14ac:dyDescent="0.35">
      <c r="A359" s="16"/>
      <c r="B359" s="17"/>
      <c r="C359" s="13"/>
      <c r="D359" s="13"/>
      <c r="E359" s="15"/>
      <c r="F359" s="13"/>
      <c r="G359" s="13"/>
      <c r="H359" s="6"/>
      <c r="I359" s="13"/>
      <c r="J359" s="13"/>
      <c r="K359" s="13"/>
      <c r="L359" s="13"/>
      <c r="M359" s="13"/>
      <c r="N359" s="13"/>
      <c r="O359" s="13"/>
      <c r="P359" s="13"/>
      <c r="Q359" s="13"/>
      <c r="R359" s="13"/>
      <c r="S359" s="13"/>
      <c r="T359" s="13"/>
      <c r="U359" s="13"/>
      <c r="V359" s="13"/>
      <c r="W359" s="13"/>
      <c r="X359" s="13"/>
      <c r="Y359" s="13"/>
      <c r="Z359" s="13"/>
      <c r="AA359" s="13"/>
      <c r="AB359" s="13"/>
    </row>
    <row r="360" spans="1:28" ht="17.399999999999999" x14ac:dyDescent="0.35">
      <c r="A360" s="16"/>
      <c r="B360" s="17"/>
      <c r="C360" s="13"/>
      <c r="D360" s="13"/>
      <c r="E360" s="15"/>
      <c r="F360" s="13"/>
      <c r="G360" s="13"/>
      <c r="H360" s="6"/>
      <c r="I360" s="13"/>
      <c r="J360" s="13"/>
      <c r="K360" s="13"/>
      <c r="L360" s="13"/>
      <c r="M360" s="13"/>
      <c r="N360" s="13"/>
      <c r="O360" s="13"/>
      <c r="P360" s="13"/>
      <c r="Q360" s="13"/>
      <c r="R360" s="13"/>
      <c r="S360" s="13"/>
      <c r="T360" s="13"/>
      <c r="U360" s="13"/>
      <c r="V360" s="13"/>
      <c r="W360" s="13"/>
      <c r="X360" s="13"/>
      <c r="Y360" s="13"/>
      <c r="Z360" s="13"/>
      <c r="AA360" s="13"/>
      <c r="AB360" s="13"/>
    </row>
    <row r="361" spans="1:28" ht="17.399999999999999" x14ac:dyDescent="0.35">
      <c r="A361" s="16"/>
      <c r="B361" s="17"/>
      <c r="C361" s="13"/>
      <c r="D361" s="13"/>
      <c r="E361" s="15"/>
      <c r="F361" s="13"/>
      <c r="G361" s="13"/>
      <c r="H361" s="6"/>
      <c r="I361" s="13"/>
      <c r="J361" s="13"/>
      <c r="K361" s="13"/>
      <c r="L361" s="13"/>
      <c r="M361" s="13"/>
      <c r="N361" s="13"/>
      <c r="O361" s="13"/>
      <c r="P361" s="13"/>
      <c r="Q361" s="13"/>
      <c r="R361" s="13"/>
      <c r="S361" s="13"/>
      <c r="T361" s="13"/>
      <c r="U361" s="13"/>
      <c r="V361" s="13"/>
      <c r="W361" s="13"/>
      <c r="X361" s="13"/>
      <c r="Y361" s="13"/>
      <c r="Z361" s="13"/>
      <c r="AA361" s="13"/>
      <c r="AB361" s="13"/>
    </row>
    <row r="362" spans="1:28" ht="17.399999999999999" x14ac:dyDescent="0.35">
      <c r="A362" s="16"/>
      <c r="B362" s="17"/>
      <c r="C362" s="13"/>
      <c r="D362" s="13"/>
      <c r="E362" s="15"/>
      <c r="F362" s="13"/>
      <c r="G362" s="13"/>
      <c r="H362" s="6"/>
      <c r="I362" s="13"/>
      <c r="J362" s="13"/>
      <c r="K362" s="13"/>
      <c r="L362" s="13"/>
      <c r="M362" s="13"/>
      <c r="N362" s="13"/>
      <c r="O362" s="13"/>
      <c r="P362" s="13"/>
      <c r="Q362" s="13"/>
      <c r="R362" s="13"/>
      <c r="S362" s="13"/>
      <c r="T362" s="13"/>
      <c r="U362" s="13"/>
      <c r="V362" s="13"/>
      <c r="W362" s="13"/>
      <c r="X362" s="13"/>
      <c r="Y362" s="13"/>
      <c r="Z362" s="13"/>
      <c r="AA362" s="13"/>
      <c r="AB362" s="13"/>
    </row>
    <row r="363" spans="1:28" ht="17.399999999999999" x14ac:dyDescent="0.35">
      <c r="A363" s="16"/>
      <c r="B363" s="17"/>
      <c r="C363" s="13"/>
      <c r="D363" s="13"/>
      <c r="E363" s="15"/>
      <c r="F363" s="13"/>
      <c r="G363" s="13"/>
      <c r="H363" s="6"/>
      <c r="I363" s="13"/>
      <c r="J363" s="13"/>
      <c r="K363" s="13"/>
      <c r="L363" s="13"/>
      <c r="M363" s="13"/>
      <c r="N363" s="13"/>
      <c r="O363" s="13"/>
      <c r="P363" s="13"/>
      <c r="Q363" s="13"/>
      <c r="R363" s="13"/>
      <c r="S363" s="13"/>
      <c r="T363" s="13"/>
      <c r="U363" s="13"/>
      <c r="V363" s="13"/>
      <c r="W363" s="13"/>
      <c r="X363" s="13"/>
      <c r="Y363" s="13"/>
      <c r="Z363" s="13"/>
      <c r="AA363" s="13"/>
      <c r="AB363" s="13"/>
    </row>
    <row r="364" spans="1:28" ht="17.399999999999999" x14ac:dyDescent="0.35">
      <c r="A364" s="16"/>
      <c r="B364" s="17"/>
      <c r="C364" s="13"/>
      <c r="D364" s="13"/>
      <c r="E364" s="15"/>
      <c r="F364" s="13"/>
      <c r="G364" s="13"/>
      <c r="H364" s="6"/>
      <c r="I364" s="13"/>
      <c r="J364" s="13"/>
      <c r="K364" s="13"/>
      <c r="L364" s="13"/>
      <c r="M364" s="13"/>
      <c r="N364" s="13"/>
      <c r="O364" s="13"/>
      <c r="P364" s="13"/>
      <c r="Q364" s="13"/>
      <c r="R364" s="13"/>
      <c r="S364" s="13"/>
      <c r="T364" s="13"/>
      <c r="U364" s="13"/>
      <c r="V364" s="13"/>
      <c r="W364" s="13"/>
      <c r="X364" s="13"/>
      <c r="Y364" s="13"/>
      <c r="Z364" s="13"/>
      <c r="AA364" s="13"/>
      <c r="AB364" s="13"/>
    </row>
    <row r="365" spans="1:28" ht="17.399999999999999" x14ac:dyDescent="0.35">
      <c r="A365" s="16"/>
      <c r="B365" s="17"/>
      <c r="C365" s="13"/>
      <c r="D365" s="13"/>
      <c r="E365" s="15"/>
      <c r="F365" s="13"/>
      <c r="G365" s="13"/>
      <c r="H365" s="6"/>
      <c r="I365" s="13"/>
      <c r="J365" s="13"/>
      <c r="K365" s="13"/>
      <c r="L365" s="13"/>
      <c r="M365" s="13"/>
      <c r="N365" s="13"/>
      <c r="O365" s="13"/>
      <c r="P365" s="13"/>
      <c r="Q365" s="13"/>
      <c r="R365" s="13"/>
      <c r="S365" s="13"/>
      <c r="T365" s="13"/>
      <c r="U365" s="13"/>
      <c r="V365" s="13"/>
      <c r="W365" s="13"/>
      <c r="X365" s="13"/>
      <c r="Y365" s="13"/>
      <c r="Z365" s="13"/>
      <c r="AA365" s="13"/>
      <c r="AB365" s="13"/>
    </row>
    <row r="366" spans="1:28" ht="17.399999999999999" x14ac:dyDescent="0.35">
      <c r="A366" s="16"/>
      <c r="B366" s="17"/>
      <c r="C366" s="13"/>
      <c r="D366" s="13"/>
      <c r="E366" s="15"/>
      <c r="F366" s="13"/>
      <c r="G366" s="13"/>
      <c r="H366" s="6"/>
      <c r="I366" s="13"/>
      <c r="J366" s="13"/>
      <c r="K366" s="13"/>
      <c r="L366" s="13"/>
      <c r="M366" s="13"/>
      <c r="N366" s="13"/>
      <c r="O366" s="13"/>
      <c r="P366" s="13"/>
      <c r="Q366" s="13"/>
      <c r="R366" s="13"/>
      <c r="S366" s="13"/>
      <c r="T366" s="13"/>
      <c r="U366" s="13"/>
      <c r="V366" s="13"/>
      <c r="W366" s="13"/>
      <c r="X366" s="13"/>
      <c r="Y366" s="13"/>
      <c r="Z366" s="13"/>
      <c r="AA366" s="13"/>
      <c r="AB366" s="13"/>
    </row>
    <row r="367" spans="1:28" ht="17.399999999999999" x14ac:dyDescent="0.35">
      <c r="A367" s="16"/>
      <c r="B367" s="17"/>
      <c r="C367" s="13"/>
      <c r="D367" s="13"/>
      <c r="E367" s="15"/>
      <c r="F367" s="13"/>
      <c r="G367" s="13"/>
      <c r="H367" s="6"/>
      <c r="I367" s="13"/>
      <c r="J367" s="13"/>
      <c r="K367" s="13"/>
      <c r="L367" s="13"/>
      <c r="M367" s="13"/>
      <c r="N367" s="13"/>
      <c r="O367" s="13"/>
      <c r="P367" s="13"/>
      <c r="Q367" s="13"/>
      <c r="R367" s="13"/>
      <c r="S367" s="13"/>
      <c r="T367" s="13"/>
      <c r="U367" s="13"/>
      <c r="V367" s="13"/>
      <c r="W367" s="13"/>
      <c r="X367" s="13"/>
      <c r="Y367" s="13"/>
      <c r="Z367" s="13"/>
      <c r="AA367" s="13"/>
      <c r="AB367" s="13"/>
    </row>
    <row r="368" spans="1:28" ht="17.399999999999999" x14ac:dyDescent="0.35">
      <c r="A368" s="16"/>
      <c r="B368" s="17"/>
      <c r="C368" s="13"/>
      <c r="D368" s="13"/>
      <c r="E368" s="15"/>
      <c r="F368" s="13"/>
      <c r="G368" s="13"/>
      <c r="H368" s="6"/>
      <c r="I368" s="13"/>
      <c r="J368" s="13"/>
      <c r="K368" s="13"/>
      <c r="L368" s="13"/>
      <c r="M368" s="13"/>
      <c r="N368" s="13"/>
      <c r="O368" s="13"/>
      <c r="P368" s="13"/>
      <c r="Q368" s="13"/>
      <c r="R368" s="13"/>
      <c r="S368" s="13"/>
      <c r="T368" s="13"/>
      <c r="U368" s="13"/>
      <c r="V368" s="13"/>
      <c r="W368" s="13"/>
      <c r="X368" s="13"/>
      <c r="Y368" s="13"/>
      <c r="Z368" s="13"/>
      <c r="AA368" s="13"/>
      <c r="AB368" s="13"/>
    </row>
    <row r="369" spans="1:28" ht="17.399999999999999" x14ac:dyDescent="0.35">
      <c r="A369" s="16"/>
      <c r="B369" s="17"/>
      <c r="C369" s="13"/>
      <c r="D369" s="13"/>
      <c r="E369" s="15"/>
      <c r="F369" s="13"/>
      <c r="G369" s="13"/>
      <c r="H369" s="6"/>
      <c r="I369" s="13"/>
      <c r="J369" s="13"/>
      <c r="K369" s="13"/>
      <c r="L369" s="13"/>
      <c r="M369" s="13"/>
      <c r="N369" s="13"/>
      <c r="O369" s="13"/>
      <c r="P369" s="13"/>
      <c r="Q369" s="13"/>
      <c r="R369" s="13"/>
      <c r="S369" s="13"/>
      <c r="T369" s="13"/>
      <c r="U369" s="13"/>
      <c r="V369" s="13"/>
      <c r="W369" s="13"/>
      <c r="X369" s="13"/>
      <c r="Y369" s="13"/>
      <c r="Z369" s="13"/>
      <c r="AA369" s="13"/>
      <c r="AB369" s="13"/>
    </row>
    <row r="370" spans="1:28" ht="17.399999999999999" x14ac:dyDescent="0.35">
      <c r="A370" s="16"/>
      <c r="B370" s="17"/>
      <c r="C370" s="13"/>
      <c r="D370" s="13"/>
      <c r="E370" s="15"/>
      <c r="F370" s="13"/>
      <c r="G370" s="13"/>
      <c r="H370" s="6"/>
      <c r="I370" s="13"/>
      <c r="J370" s="13"/>
      <c r="K370" s="13"/>
      <c r="L370" s="13"/>
      <c r="M370" s="13"/>
      <c r="N370" s="13"/>
      <c r="O370" s="13"/>
      <c r="P370" s="13"/>
      <c r="Q370" s="13"/>
      <c r="R370" s="13"/>
      <c r="S370" s="13"/>
      <c r="T370" s="13"/>
      <c r="U370" s="13"/>
      <c r="V370" s="13"/>
      <c r="W370" s="13"/>
      <c r="X370" s="13"/>
      <c r="Y370" s="13"/>
      <c r="Z370" s="13"/>
      <c r="AA370" s="13"/>
      <c r="AB370" s="13"/>
    </row>
    <row r="371" spans="1:28" ht="17.399999999999999" x14ac:dyDescent="0.35">
      <c r="A371" s="16"/>
      <c r="B371" s="17"/>
      <c r="C371" s="13"/>
      <c r="D371" s="13"/>
      <c r="E371" s="15"/>
      <c r="F371" s="13"/>
      <c r="G371" s="13"/>
      <c r="H371" s="6"/>
      <c r="I371" s="13"/>
      <c r="J371" s="13"/>
      <c r="K371" s="13"/>
      <c r="L371" s="13"/>
      <c r="M371" s="13"/>
      <c r="N371" s="13"/>
      <c r="O371" s="13"/>
      <c r="P371" s="13"/>
      <c r="Q371" s="13"/>
      <c r="R371" s="13"/>
      <c r="S371" s="13"/>
      <c r="T371" s="13"/>
      <c r="U371" s="13"/>
      <c r="V371" s="13"/>
      <c r="W371" s="13"/>
      <c r="X371" s="13"/>
      <c r="Y371" s="13"/>
      <c r="Z371" s="13"/>
      <c r="AA371" s="13"/>
      <c r="AB371" s="13"/>
    </row>
    <row r="372" spans="1:28" ht="17.399999999999999" x14ac:dyDescent="0.35">
      <c r="A372" s="16"/>
      <c r="B372" s="17"/>
      <c r="C372" s="13"/>
      <c r="D372" s="13"/>
      <c r="E372" s="15"/>
      <c r="F372" s="13"/>
      <c r="G372" s="13"/>
      <c r="H372" s="6"/>
      <c r="I372" s="13"/>
      <c r="J372" s="13"/>
      <c r="K372" s="13"/>
      <c r="L372" s="13"/>
      <c r="M372" s="13"/>
      <c r="N372" s="13"/>
      <c r="O372" s="13"/>
      <c r="P372" s="13"/>
      <c r="Q372" s="13"/>
      <c r="R372" s="13"/>
      <c r="S372" s="13"/>
      <c r="T372" s="13"/>
      <c r="U372" s="13"/>
      <c r="V372" s="13"/>
      <c r="W372" s="13"/>
      <c r="X372" s="13"/>
      <c r="Y372" s="13"/>
      <c r="Z372" s="13"/>
      <c r="AA372" s="13"/>
      <c r="AB372" s="13"/>
    </row>
    <row r="373" spans="1:28" ht="17.399999999999999" x14ac:dyDescent="0.35">
      <c r="A373" s="16"/>
      <c r="B373" s="17"/>
      <c r="C373" s="13"/>
      <c r="D373" s="13"/>
      <c r="E373" s="15"/>
      <c r="F373" s="13"/>
      <c r="G373" s="13"/>
      <c r="H373" s="6"/>
      <c r="I373" s="13"/>
      <c r="J373" s="13"/>
      <c r="K373" s="13"/>
      <c r="L373" s="13"/>
      <c r="M373" s="13"/>
      <c r="N373" s="13"/>
      <c r="O373" s="13"/>
      <c r="P373" s="13"/>
      <c r="Q373" s="13"/>
      <c r="R373" s="13"/>
      <c r="S373" s="13"/>
      <c r="T373" s="13"/>
      <c r="U373" s="13"/>
      <c r="V373" s="13"/>
      <c r="W373" s="13"/>
      <c r="X373" s="13"/>
      <c r="Y373" s="13"/>
      <c r="Z373" s="13"/>
      <c r="AA373" s="13"/>
      <c r="AB373" s="13"/>
    </row>
    <row r="374" spans="1:28" ht="17.399999999999999" x14ac:dyDescent="0.35">
      <c r="A374" s="16"/>
      <c r="B374" s="17"/>
      <c r="C374" s="13"/>
      <c r="D374" s="13"/>
      <c r="E374" s="15"/>
      <c r="F374" s="13"/>
      <c r="G374" s="13"/>
      <c r="H374" s="6"/>
      <c r="I374" s="13"/>
      <c r="J374" s="13"/>
      <c r="K374" s="13"/>
      <c r="L374" s="13"/>
      <c r="M374" s="13"/>
      <c r="N374" s="13"/>
      <c r="O374" s="13"/>
      <c r="P374" s="13"/>
      <c r="Q374" s="13"/>
      <c r="R374" s="13"/>
      <c r="S374" s="13"/>
      <c r="T374" s="13"/>
      <c r="U374" s="13"/>
      <c r="V374" s="13"/>
      <c r="W374" s="13"/>
      <c r="X374" s="13"/>
      <c r="Y374" s="13"/>
      <c r="Z374" s="13"/>
      <c r="AA374" s="13"/>
      <c r="AB374" s="13"/>
    </row>
    <row r="375" spans="1:28" ht="17.399999999999999" x14ac:dyDescent="0.35">
      <c r="A375" s="16"/>
      <c r="B375" s="17"/>
      <c r="C375" s="13"/>
      <c r="D375" s="13"/>
      <c r="E375" s="15"/>
      <c r="F375" s="13"/>
      <c r="G375" s="13"/>
      <c r="H375" s="6"/>
      <c r="I375" s="13"/>
      <c r="J375" s="13"/>
      <c r="K375" s="13"/>
      <c r="L375" s="13"/>
      <c r="M375" s="13"/>
      <c r="N375" s="13"/>
      <c r="O375" s="13"/>
      <c r="P375" s="13"/>
      <c r="Q375" s="13"/>
      <c r="R375" s="13"/>
      <c r="S375" s="13"/>
      <c r="T375" s="13"/>
      <c r="U375" s="13"/>
      <c r="V375" s="13"/>
      <c r="W375" s="13"/>
      <c r="X375" s="13"/>
      <c r="Y375" s="13"/>
      <c r="Z375" s="13"/>
      <c r="AA375" s="13"/>
      <c r="AB375" s="13"/>
    </row>
    <row r="376" spans="1:28" ht="17.399999999999999" x14ac:dyDescent="0.35">
      <c r="A376" s="16"/>
      <c r="B376" s="17"/>
      <c r="C376" s="13"/>
      <c r="D376" s="13"/>
      <c r="E376" s="15"/>
      <c r="F376" s="13"/>
      <c r="G376" s="13"/>
      <c r="H376" s="6"/>
      <c r="I376" s="13"/>
      <c r="J376" s="13"/>
      <c r="K376" s="13"/>
      <c r="L376" s="13"/>
      <c r="M376" s="13"/>
      <c r="N376" s="13"/>
      <c r="O376" s="13"/>
      <c r="P376" s="13"/>
      <c r="Q376" s="13"/>
      <c r="R376" s="13"/>
      <c r="S376" s="13"/>
      <c r="T376" s="13"/>
      <c r="U376" s="13"/>
      <c r="V376" s="13"/>
      <c r="W376" s="13"/>
      <c r="X376" s="13"/>
      <c r="Y376" s="13"/>
      <c r="Z376" s="13"/>
      <c r="AA376" s="13"/>
      <c r="AB376" s="13"/>
    </row>
    <row r="377" spans="1:28" ht="17.399999999999999" x14ac:dyDescent="0.35">
      <c r="A377" s="16"/>
      <c r="B377" s="17"/>
      <c r="C377" s="13"/>
      <c r="D377" s="13"/>
      <c r="E377" s="15"/>
      <c r="F377" s="13"/>
      <c r="G377" s="13"/>
      <c r="H377" s="6"/>
      <c r="I377" s="13"/>
      <c r="J377" s="13"/>
      <c r="K377" s="13"/>
      <c r="L377" s="13"/>
      <c r="M377" s="13"/>
      <c r="N377" s="13"/>
      <c r="O377" s="13"/>
      <c r="P377" s="13"/>
      <c r="Q377" s="13"/>
      <c r="R377" s="13"/>
      <c r="S377" s="13"/>
      <c r="T377" s="13"/>
      <c r="U377" s="13"/>
      <c r="V377" s="13"/>
      <c r="W377" s="13"/>
      <c r="X377" s="13"/>
      <c r="Y377" s="13"/>
      <c r="Z377" s="13"/>
      <c r="AA377" s="13"/>
      <c r="AB377" s="13"/>
    </row>
    <row r="378" spans="1:28" ht="17.399999999999999" x14ac:dyDescent="0.35">
      <c r="A378" s="16"/>
      <c r="B378" s="17"/>
      <c r="C378" s="13"/>
      <c r="D378" s="13"/>
      <c r="E378" s="15"/>
      <c r="F378" s="13"/>
      <c r="G378" s="13"/>
      <c r="H378" s="6"/>
      <c r="I378" s="13"/>
      <c r="J378" s="13"/>
      <c r="K378" s="13"/>
      <c r="L378" s="13"/>
      <c r="M378" s="13"/>
      <c r="N378" s="13"/>
      <c r="O378" s="13"/>
      <c r="P378" s="13"/>
      <c r="Q378" s="13"/>
      <c r="R378" s="13"/>
      <c r="S378" s="13"/>
      <c r="T378" s="13"/>
      <c r="U378" s="13"/>
      <c r="V378" s="13"/>
      <c r="W378" s="13"/>
      <c r="X378" s="13"/>
      <c r="Y378" s="13"/>
      <c r="Z378" s="13"/>
      <c r="AA378" s="13"/>
      <c r="AB378" s="13"/>
    </row>
    <row r="379" spans="1:28" ht="17.399999999999999" x14ac:dyDescent="0.35">
      <c r="A379" s="16"/>
      <c r="B379" s="17"/>
      <c r="C379" s="13"/>
      <c r="D379" s="13"/>
      <c r="E379" s="15"/>
      <c r="F379" s="13"/>
      <c r="G379" s="13"/>
      <c r="H379" s="6"/>
      <c r="I379" s="13"/>
      <c r="J379" s="13"/>
      <c r="K379" s="13"/>
      <c r="L379" s="13"/>
      <c r="M379" s="13"/>
      <c r="N379" s="13"/>
      <c r="O379" s="13"/>
      <c r="P379" s="13"/>
      <c r="Q379" s="13"/>
      <c r="R379" s="13"/>
      <c r="S379" s="13"/>
      <c r="T379" s="13"/>
      <c r="U379" s="13"/>
      <c r="V379" s="13"/>
      <c r="W379" s="13"/>
      <c r="X379" s="13"/>
      <c r="Y379" s="13"/>
      <c r="Z379" s="13"/>
      <c r="AA379" s="13"/>
      <c r="AB379" s="13"/>
    </row>
    <row r="380" spans="1:28" ht="17.399999999999999" x14ac:dyDescent="0.35">
      <c r="A380" s="16"/>
      <c r="B380" s="17"/>
      <c r="C380" s="13"/>
      <c r="D380" s="13"/>
      <c r="E380" s="15"/>
      <c r="F380" s="13"/>
      <c r="G380" s="13"/>
      <c r="H380" s="6"/>
      <c r="I380" s="13"/>
      <c r="J380" s="13"/>
      <c r="K380" s="13"/>
      <c r="L380" s="13"/>
      <c r="M380" s="13"/>
      <c r="N380" s="13"/>
      <c r="O380" s="13"/>
      <c r="P380" s="13"/>
      <c r="Q380" s="13"/>
      <c r="R380" s="13"/>
      <c r="S380" s="13"/>
      <c r="T380" s="13"/>
      <c r="U380" s="13"/>
      <c r="V380" s="13"/>
      <c r="W380" s="13"/>
      <c r="X380" s="13"/>
      <c r="Y380" s="13"/>
      <c r="Z380" s="13"/>
      <c r="AA380" s="13"/>
      <c r="AB380" s="13"/>
    </row>
    <row r="381" spans="1:28" ht="17.399999999999999" x14ac:dyDescent="0.35">
      <c r="A381" s="16"/>
      <c r="B381" s="17"/>
      <c r="C381" s="13"/>
      <c r="D381" s="13"/>
      <c r="E381" s="15"/>
      <c r="F381" s="13"/>
      <c r="G381" s="13"/>
      <c r="H381" s="6"/>
      <c r="I381" s="13"/>
      <c r="J381" s="13"/>
      <c r="K381" s="13"/>
      <c r="L381" s="13"/>
      <c r="M381" s="13"/>
      <c r="N381" s="13"/>
      <c r="O381" s="13"/>
      <c r="P381" s="13"/>
      <c r="Q381" s="13"/>
      <c r="R381" s="13"/>
      <c r="S381" s="13"/>
      <c r="T381" s="13"/>
      <c r="U381" s="13"/>
      <c r="V381" s="13"/>
      <c r="W381" s="13"/>
      <c r="X381" s="13"/>
      <c r="Y381" s="13"/>
      <c r="Z381" s="13"/>
      <c r="AA381" s="13"/>
      <c r="AB381" s="13"/>
    </row>
    <row r="382" spans="1:28" ht="17.399999999999999" x14ac:dyDescent="0.35">
      <c r="A382" s="16"/>
      <c r="B382" s="17"/>
      <c r="C382" s="13"/>
      <c r="D382" s="13"/>
      <c r="E382" s="15"/>
      <c r="F382" s="13"/>
      <c r="G382" s="13"/>
      <c r="H382" s="6"/>
      <c r="I382" s="13"/>
      <c r="J382" s="13"/>
      <c r="K382" s="13"/>
      <c r="L382" s="13"/>
      <c r="M382" s="13"/>
      <c r="N382" s="13"/>
      <c r="O382" s="13"/>
      <c r="P382" s="13"/>
      <c r="Q382" s="13"/>
      <c r="R382" s="13"/>
      <c r="S382" s="13"/>
      <c r="T382" s="13"/>
      <c r="U382" s="13"/>
      <c r="V382" s="13"/>
      <c r="W382" s="13"/>
      <c r="X382" s="13"/>
      <c r="Y382" s="13"/>
      <c r="Z382" s="13"/>
      <c r="AA382" s="13"/>
      <c r="AB382" s="13"/>
    </row>
    <row r="383" spans="1:28" ht="17.399999999999999" x14ac:dyDescent="0.35">
      <c r="A383" s="16"/>
      <c r="B383" s="17"/>
      <c r="C383" s="13"/>
      <c r="D383" s="13"/>
      <c r="E383" s="15"/>
      <c r="F383" s="13"/>
      <c r="G383" s="13"/>
      <c r="H383" s="6"/>
      <c r="I383" s="13"/>
      <c r="J383" s="13"/>
      <c r="K383" s="13"/>
      <c r="L383" s="13"/>
      <c r="M383" s="13"/>
      <c r="N383" s="13"/>
      <c r="O383" s="13"/>
      <c r="P383" s="13"/>
      <c r="Q383" s="13"/>
      <c r="R383" s="13"/>
      <c r="S383" s="13"/>
      <c r="T383" s="13"/>
      <c r="U383" s="13"/>
      <c r="V383" s="13"/>
      <c r="W383" s="13"/>
      <c r="X383" s="13"/>
      <c r="Y383" s="13"/>
      <c r="Z383" s="13"/>
      <c r="AA383" s="13"/>
      <c r="AB383" s="13"/>
    </row>
    <row r="384" spans="1:28" ht="17.399999999999999" x14ac:dyDescent="0.35">
      <c r="A384" s="16"/>
      <c r="B384" s="17"/>
      <c r="C384" s="13"/>
      <c r="D384" s="13"/>
      <c r="E384" s="15"/>
      <c r="F384" s="13"/>
      <c r="G384" s="13"/>
      <c r="H384" s="6"/>
      <c r="I384" s="13"/>
      <c r="J384" s="13"/>
      <c r="K384" s="13"/>
      <c r="L384" s="13"/>
      <c r="M384" s="13"/>
      <c r="N384" s="13"/>
      <c r="O384" s="13"/>
      <c r="P384" s="13"/>
      <c r="Q384" s="13"/>
      <c r="R384" s="13"/>
      <c r="S384" s="13"/>
      <c r="T384" s="13"/>
      <c r="U384" s="13"/>
      <c r="V384" s="13"/>
      <c r="W384" s="13"/>
      <c r="X384" s="13"/>
      <c r="Y384" s="13"/>
      <c r="Z384" s="13"/>
      <c r="AA384" s="13"/>
      <c r="AB384" s="13"/>
    </row>
    <row r="385" spans="1:28" ht="17.399999999999999" x14ac:dyDescent="0.35">
      <c r="A385" s="16"/>
      <c r="B385" s="17"/>
      <c r="C385" s="13"/>
      <c r="D385" s="13"/>
      <c r="E385" s="15"/>
      <c r="F385" s="13"/>
      <c r="G385" s="13"/>
      <c r="H385" s="6"/>
      <c r="I385" s="13"/>
      <c r="J385" s="13"/>
      <c r="K385" s="13"/>
      <c r="L385" s="13"/>
      <c r="M385" s="13"/>
      <c r="N385" s="13"/>
      <c r="O385" s="13"/>
      <c r="P385" s="13"/>
      <c r="Q385" s="13"/>
      <c r="R385" s="13"/>
      <c r="S385" s="13"/>
      <c r="T385" s="13"/>
      <c r="U385" s="13"/>
      <c r="V385" s="13"/>
      <c r="W385" s="13"/>
      <c r="X385" s="13"/>
      <c r="Y385" s="13"/>
      <c r="Z385" s="13"/>
      <c r="AA385" s="13"/>
      <c r="AB385" s="13"/>
    </row>
    <row r="386" spans="1:28" ht="17.399999999999999" x14ac:dyDescent="0.35">
      <c r="A386" s="16"/>
      <c r="B386" s="17"/>
      <c r="C386" s="13"/>
      <c r="D386" s="13"/>
      <c r="E386" s="15"/>
      <c r="F386" s="13"/>
      <c r="G386" s="13"/>
      <c r="H386" s="6"/>
      <c r="I386" s="13"/>
      <c r="J386" s="13"/>
      <c r="K386" s="13"/>
      <c r="L386" s="13"/>
      <c r="M386" s="13"/>
      <c r="N386" s="13"/>
      <c r="O386" s="13"/>
      <c r="P386" s="13"/>
      <c r="Q386" s="13"/>
      <c r="R386" s="13"/>
      <c r="S386" s="13"/>
      <c r="T386" s="13"/>
      <c r="U386" s="13"/>
      <c r="V386" s="13"/>
      <c r="W386" s="13"/>
      <c r="X386" s="13"/>
      <c r="Y386" s="13"/>
      <c r="Z386" s="13"/>
      <c r="AA386" s="13"/>
      <c r="AB386" s="13"/>
    </row>
    <row r="387" spans="1:28" ht="17.399999999999999" x14ac:dyDescent="0.35">
      <c r="A387" s="16"/>
      <c r="B387" s="17"/>
      <c r="C387" s="13"/>
      <c r="D387" s="13"/>
      <c r="E387" s="15"/>
      <c r="F387" s="13"/>
      <c r="G387" s="13"/>
      <c r="H387" s="6"/>
      <c r="I387" s="13"/>
      <c r="J387" s="13"/>
      <c r="K387" s="13"/>
      <c r="L387" s="13"/>
      <c r="M387" s="13"/>
      <c r="N387" s="13"/>
      <c r="O387" s="13"/>
      <c r="P387" s="13"/>
      <c r="Q387" s="13"/>
      <c r="R387" s="13"/>
      <c r="S387" s="13"/>
      <c r="T387" s="13"/>
      <c r="U387" s="13"/>
      <c r="V387" s="13"/>
      <c r="W387" s="13"/>
      <c r="X387" s="13"/>
      <c r="Y387" s="13"/>
      <c r="Z387" s="13"/>
      <c r="AA387" s="13"/>
      <c r="AB387" s="13"/>
    </row>
    <row r="388" spans="1:28" ht="17.399999999999999" x14ac:dyDescent="0.35">
      <c r="A388" s="16"/>
      <c r="B388" s="17"/>
      <c r="C388" s="13"/>
      <c r="D388" s="13"/>
      <c r="E388" s="15"/>
      <c r="F388" s="13"/>
      <c r="G388" s="13"/>
      <c r="H388" s="6"/>
      <c r="I388" s="13"/>
      <c r="J388" s="13"/>
      <c r="K388" s="13"/>
      <c r="L388" s="13"/>
      <c r="M388" s="13"/>
      <c r="N388" s="13"/>
      <c r="O388" s="13"/>
      <c r="P388" s="13"/>
      <c r="Q388" s="13"/>
      <c r="R388" s="13"/>
      <c r="S388" s="13"/>
      <c r="T388" s="13"/>
      <c r="U388" s="13"/>
      <c r="V388" s="13"/>
      <c r="W388" s="13"/>
      <c r="X388" s="13"/>
      <c r="Y388" s="13"/>
      <c r="Z388" s="13"/>
      <c r="AA388" s="13"/>
      <c r="AB388" s="13"/>
    </row>
    <row r="389" spans="1:28" ht="17.399999999999999" x14ac:dyDescent="0.35">
      <c r="A389" s="16"/>
      <c r="B389" s="17"/>
      <c r="C389" s="13"/>
      <c r="D389" s="13"/>
      <c r="E389" s="15"/>
      <c r="F389" s="13"/>
      <c r="G389" s="13"/>
      <c r="H389" s="6"/>
      <c r="I389" s="13"/>
      <c r="J389" s="13"/>
      <c r="K389" s="13"/>
      <c r="L389" s="13"/>
      <c r="M389" s="13"/>
      <c r="N389" s="13"/>
      <c r="O389" s="13"/>
      <c r="P389" s="13"/>
      <c r="Q389" s="13"/>
      <c r="R389" s="13"/>
      <c r="S389" s="13"/>
      <c r="T389" s="13"/>
      <c r="U389" s="13"/>
      <c r="V389" s="13"/>
      <c r="W389" s="13"/>
      <c r="X389" s="13"/>
      <c r="Y389" s="13"/>
      <c r="Z389" s="13"/>
      <c r="AA389" s="13"/>
      <c r="AB389" s="13"/>
    </row>
    <row r="390" spans="1:28" ht="17.399999999999999" x14ac:dyDescent="0.35">
      <c r="A390" s="16"/>
      <c r="B390" s="17"/>
      <c r="C390" s="13"/>
      <c r="D390" s="13"/>
      <c r="E390" s="15"/>
      <c r="F390" s="13"/>
      <c r="G390" s="13"/>
      <c r="H390" s="6"/>
      <c r="I390" s="13"/>
      <c r="J390" s="13"/>
      <c r="K390" s="13"/>
      <c r="L390" s="13"/>
      <c r="M390" s="13"/>
      <c r="N390" s="13"/>
      <c r="O390" s="13"/>
      <c r="P390" s="13"/>
      <c r="Q390" s="13"/>
      <c r="R390" s="13"/>
      <c r="S390" s="13"/>
      <c r="T390" s="13"/>
      <c r="U390" s="13"/>
      <c r="V390" s="13"/>
      <c r="W390" s="13"/>
      <c r="X390" s="13"/>
      <c r="Y390" s="13"/>
      <c r="Z390" s="13"/>
      <c r="AA390" s="13"/>
      <c r="AB390" s="13"/>
    </row>
    <row r="391" spans="1:28" ht="17.399999999999999" x14ac:dyDescent="0.35">
      <c r="A391" s="16"/>
      <c r="B391" s="17"/>
      <c r="C391" s="13"/>
      <c r="D391" s="13"/>
      <c r="E391" s="15"/>
      <c r="F391" s="13"/>
      <c r="G391" s="13"/>
      <c r="H391" s="6"/>
      <c r="I391" s="13"/>
      <c r="J391" s="13"/>
      <c r="K391" s="13"/>
      <c r="L391" s="13"/>
      <c r="M391" s="13"/>
      <c r="N391" s="13"/>
      <c r="O391" s="13"/>
      <c r="P391" s="13"/>
      <c r="Q391" s="13"/>
      <c r="R391" s="13"/>
      <c r="S391" s="13"/>
      <c r="T391" s="13"/>
      <c r="U391" s="13"/>
      <c r="V391" s="13"/>
      <c r="W391" s="13"/>
      <c r="X391" s="13"/>
      <c r="Y391" s="13"/>
      <c r="Z391" s="13"/>
      <c r="AA391" s="13"/>
      <c r="AB391" s="13"/>
    </row>
    <row r="392" spans="1:28" ht="17.399999999999999" x14ac:dyDescent="0.35">
      <c r="A392" s="16"/>
      <c r="B392" s="17"/>
      <c r="C392" s="13"/>
      <c r="D392" s="13"/>
      <c r="E392" s="15"/>
      <c r="F392" s="13"/>
      <c r="G392" s="13"/>
      <c r="H392" s="6"/>
      <c r="I392" s="13"/>
      <c r="J392" s="13"/>
      <c r="K392" s="13"/>
      <c r="L392" s="13"/>
      <c r="M392" s="13"/>
      <c r="N392" s="13"/>
      <c r="O392" s="13"/>
      <c r="P392" s="13"/>
      <c r="Q392" s="13"/>
      <c r="R392" s="13"/>
      <c r="S392" s="13"/>
      <c r="T392" s="13"/>
      <c r="U392" s="13"/>
      <c r="V392" s="13"/>
      <c r="W392" s="13"/>
      <c r="X392" s="13"/>
      <c r="Y392" s="13"/>
      <c r="Z392" s="13"/>
      <c r="AA392" s="13"/>
      <c r="AB392" s="13"/>
    </row>
    <row r="393" spans="1:28" ht="17.399999999999999" x14ac:dyDescent="0.35">
      <c r="A393" s="16"/>
      <c r="B393" s="17"/>
      <c r="C393" s="13"/>
      <c r="D393" s="13"/>
      <c r="E393" s="15"/>
      <c r="F393" s="13"/>
      <c r="G393" s="13"/>
      <c r="H393" s="6"/>
      <c r="I393" s="13"/>
      <c r="J393" s="13"/>
      <c r="K393" s="13"/>
      <c r="L393" s="13"/>
      <c r="M393" s="13"/>
      <c r="N393" s="13"/>
      <c r="O393" s="13"/>
      <c r="P393" s="13"/>
      <c r="Q393" s="13"/>
      <c r="R393" s="13"/>
      <c r="S393" s="13"/>
      <c r="T393" s="13"/>
      <c r="U393" s="13"/>
      <c r="V393" s="13"/>
      <c r="W393" s="13"/>
      <c r="X393" s="13"/>
      <c r="Y393" s="13"/>
      <c r="Z393" s="13"/>
      <c r="AA393" s="13"/>
      <c r="AB393" s="13"/>
    </row>
    <row r="394" spans="1:28" ht="17.399999999999999" x14ac:dyDescent="0.35">
      <c r="A394" s="16"/>
      <c r="B394" s="17"/>
      <c r="C394" s="13"/>
      <c r="D394" s="13"/>
      <c r="E394" s="15"/>
      <c r="F394" s="13"/>
      <c r="G394" s="13"/>
      <c r="H394" s="6"/>
      <c r="I394" s="13"/>
      <c r="J394" s="13"/>
      <c r="K394" s="13"/>
      <c r="L394" s="13"/>
      <c r="M394" s="13"/>
      <c r="N394" s="13"/>
      <c r="O394" s="13"/>
      <c r="P394" s="13"/>
      <c r="Q394" s="13"/>
      <c r="R394" s="13"/>
      <c r="S394" s="13"/>
      <c r="T394" s="13"/>
      <c r="U394" s="13"/>
      <c r="V394" s="13"/>
      <c r="W394" s="13"/>
      <c r="X394" s="13"/>
      <c r="Y394" s="13"/>
      <c r="Z394" s="13"/>
      <c r="AA394" s="13"/>
      <c r="AB394" s="13"/>
    </row>
    <row r="395" spans="1:28" ht="17.399999999999999" x14ac:dyDescent="0.35">
      <c r="A395" s="16"/>
      <c r="B395" s="17"/>
      <c r="C395" s="13"/>
      <c r="D395" s="13"/>
      <c r="E395" s="15"/>
      <c r="F395" s="13"/>
      <c r="G395" s="13"/>
      <c r="H395" s="6"/>
      <c r="I395" s="13"/>
      <c r="J395" s="13"/>
      <c r="K395" s="13"/>
      <c r="L395" s="13"/>
      <c r="M395" s="13"/>
      <c r="N395" s="13"/>
      <c r="O395" s="13"/>
      <c r="P395" s="13"/>
      <c r="Q395" s="13"/>
      <c r="R395" s="13"/>
      <c r="S395" s="13"/>
      <c r="T395" s="13"/>
      <c r="U395" s="13"/>
      <c r="V395" s="13"/>
      <c r="W395" s="13"/>
      <c r="X395" s="13"/>
      <c r="Y395" s="13"/>
      <c r="Z395" s="13"/>
      <c r="AA395" s="13"/>
      <c r="AB395" s="13"/>
    </row>
    <row r="396" spans="1:28" ht="17.399999999999999" x14ac:dyDescent="0.35">
      <c r="A396" s="16"/>
      <c r="B396" s="17"/>
      <c r="C396" s="13"/>
      <c r="D396" s="13"/>
      <c r="E396" s="15"/>
      <c r="F396" s="13"/>
      <c r="G396" s="13"/>
      <c r="H396" s="6"/>
      <c r="I396" s="13"/>
      <c r="J396" s="13"/>
      <c r="K396" s="13"/>
      <c r="L396" s="13"/>
      <c r="M396" s="13"/>
      <c r="N396" s="13"/>
      <c r="O396" s="13"/>
      <c r="P396" s="13"/>
      <c r="Q396" s="13"/>
      <c r="R396" s="13"/>
      <c r="S396" s="13"/>
      <c r="T396" s="13"/>
      <c r="U396" s="13"/>
      <c r="V396" s="13"/>
      <c r="W396" s="13"/>
      <c r="X396" s="13"/>
      <c r="Y396" s="13"/>
      <c r="Z396" s="13"/>
      <c r="AA396" s="13"/>
      <c r="AB396" s="13"/>
    </row>
    <row r="397" spans="1:28" ht="17.399999999999999" x14ac:dyDescent="0.35">
      <c r="A397" s="16"/>
      <c r="B397" s="17"/>
      <c r="C397" s="13"/>
      <c r="D397" s="13"/>
      <c r="E397" s="15"/>
      <c r="F397" s="13"/>
      <c r="G397" s="13"/>
      <c r="H397" s="6"/>
      <c r="I397" s="13"/>
      <c r="J397" s="13"/>
      <c r="K397" s="13"/>
      <c r="L397" s="13"/>
      <c r="M397" s="13"/>
      <c r="N397" s="13"/>
      <c r="O397" s="13"/>
      <c r="P397" s="13"/>
      <c r="Q397" s="13"/>
      <c r="R397" s="13"/>
      <c r="S397" s="13"/>
      <c r="T397" s="13"/>
      <c r="U397" s="13"/>
      <c r="V397" s="13"/>
      <c r="W397" s="13"/>
      <c r="X397" s="13"/>
      <c r="Y397" s="13"/>
      <c r="Z397" s="13"/>
      <c r="AA397" s="13"/>
      <c r="AB397" s="13"/>
    </row>
    <row r="398" spans="1:28" ht="17.399999999999999" x14ac:dyDescent="0.35">
      <c r="A398" s="16"/>
      <c r="B398" s="17"/>
      <c r="C398" s="13"/>
      <c r="D398" s="13"/>
      <c r="E398" s="15"/>
      <c r="F398" s="13"/>
      <c r="G398" s="13"/>
      <c r="H398" s="6"/>
      <c r="I398" s="13"/>
      <c r="J398" s="13"/>
      <c r="K398" s="13"/>
      <c r="L398" s="13"/>
      <c r="M398" s="13"/>
      <c r="N398" s="13"/>
      <c r="O398" s="13"/>
      <c r="P398" s="13"/>
      <c r="Q398" s="13"/>
      <c r="R398" s="13"/>
      <c r="S398" s="13"/>
      <c r="T398" s="13"/>
      <c r="U398" s="13"/>
      <c r="V398" s="13"/>
      <c r="W398" s="13"/>
      <c r="X398" s="13"/>
      <c r="Y398" s="13"/>
      <c r="Z398" s="13"/>
      <c r="AA398" s="13"/>
      <c r="AB398" s="13"/>
    </row>
    <row r="399" spans="1:28" ht="17.399999999999999" x14ac:dyDescent="0.35">
      <c r="A399" s="16"/>
      <c r="B399" s="17"/>
      <c r="C399" s="13"/>
      <c r="D399" s="13"/>
      <c r="E399" s="15"/>
      <c r="F399" s="13"/>
      <c r="G399" s="13"/>
      <c r="H399" s="6"/>
      <c r="I399" s="13"/>
      <c r="J399" s="13"/>
      <c r="K399" s="13"/>
      <c r="L399" s="13"/>
      <c r="M399" s="13"/>
      <c r="N399" s="13"/>
      <c r="O399" s="13"/>
      <c r="P399" s="13"/>
      <c r="Q399" s="13"/>
      <c r="R399" s="13"/>
      <c r="S399" s="13"/>
      <c r="T399" s="13"/>
      <c r="U399" s="13"/>
      <c r="V399" s="13"/>
      <c r="W399" s="13"/>
      <c r="X399" s="13"/>
      <c r="Y399" s="13"/>
      <c r="Z399" s="13"/>
      <c r="AA399" s="13"/>
      <c r="AB399" s="13"/>
    </row>
    <row r="400" spans="1:28" ht="17.399999999999999" x14ac:dyDescent="0.35">
      <c r="A400" s="16"/>
      <c r="B400" s="17"/>
      <c r="C400" s="13"/>
      <c r="D400" s="13"/>
      <c r="E400" s="15"/>
      <c r="F400" s="13"/>
      <c r="G400" s="13"/>
      <c r="H400" s="6"/>
      <c r="I400" s="13"/>
      <c r="J400" s="13"/>
      <c r="K400" s="13"/>
      <c r="L400" s="13"/>
      <c r="M400" s="13"/>
      <c r="N400" s="13"/>
      <c r="O400" s="13"/>
      <c r="P400" s="13"/>
      <c r="Q400" s="13"/>
      <c r="R400" s="13"/>
      <c r="S400" s="13"/>
      <c r="T400" s="13"/>
      <c r="U400" s="13"/>
      <c r="V400" s="13"/>
      <c r="W400" s="13"/>
      <c r="X400" s="13"/>
      <c r="Y400" s="13"/>
      <c r="Z400" s="13"/>
      <c r="AA400" s="13"/>
      <c r="AB400" s="13"/>
    </row>
    <row r="401" spans="1:28" ht="17.399999999999999" x14ac:dyDescent="0.35">
      <c r="A401" s="16"/>
      <c r="B401" s="17"/>
      <c r="C401" s="13"/>
      <c r="D401" s="13"/>
      <c r="E401" s="15"/>
      <c r="F401" s="13"/>
      <c r="G401" s="13"/>
      <c r="H401" s="6"/>
      <c r="I401" s="13"/>
      <c r="J401" s="13"/>
      <c r="K401" s="13"/>
      <c r="L401" s="13"/>
      <c r="M401" s="13"/>
      <c r="N401" s="13"/>
      <c r="O401" s="13"/>
      <c r="P401" s="13"/>
      <c r="Q401" s="13"/>
      <c r="R401" s="13"/>
      <c r="S401" s="13"/>
      <c r="T401" s="13"/>
      <c r="U401" s="13"/>
      <c r="V401" s="13"/>
      <c r="W401" s="13"/>
      <c r="X401" s="13"/>
      <c r="Y401" s="13"/>
      <c r="Z401" s="13"/>
      <c r="AA401" s="13"/>
      <c r="AB401" s="13"/>
    </row>
    <row r="402" spans="1:28" ht="17.399999999999999" x14ac:dyDescent="0.35">
      <c r="A402" s="16"/>
      <c r="B402" s="17"/>
      <c r="C402" s="13"/>
      <c r="D402" s="13"/>
      <c r="E402" s="15"/>
      <c r="F402" s="13"/>
      <c r="G402" s="13"/>
      <c r="H402" s="6"/>
      <c r="I402" s="13"/>
      <c r="J402" s="13"/>
      <c r="K402" s="13"/>
      <c r="L402" s="13"/>
      <c r="M402" s="13"/>
      <c r="N402" s="13"/>
      <c r="O402" s="13"/>
      <c r="P402" s="13"/>
      <c r="Q402" s="13"/>
      <c r="R402" s="13"/>
      <c r="S402" s="13"/>
      <c r="T402" s="13"/>
      <c r="U402" s="13"/>
      <c r="V402" s="13"/>
      <c r="W402" s="13"/>
      <c r="X402" s="13"/>
      <c r="Y402" s="13"/>
      <c r="Z402" s="13"/>
      <c r="AA402" s="13"/>
      <c r="AB402" s="13"/>
    </row>
    <row r="403" spans="1:28" ht="17.399999999999999" x14ac:dyDescent="0.35">
      <c r="A403" s="16"/>
      <c r="B403" s="17"/>
      <c r="C403" s="13"/>
      <c r="D403" s="13"/>
      <c r="E403" s="15"/>
      <c r="F403" s="13"/>
      <c r="G403" s="13"/>
      <c r="H403" s="6"/>
      <c r="I403" s="13"/>
      <c r="J403" s="13"/>
      <c r="K403" s="13"/>
      <c r="L403" s="13"/>
      <c r="M403" s="13"/>
      <c r="N403" s="13"/>
      <c r="O403" s="13"/>
      <c r="P403" s="13"/>
      <c r="Q403" s="13"/>
      <c r="R403" s="13"/>
      <c r="S403" s="13"/>
      <c r="T403" s="13"/>
      <c r="U403" s="13"/>
      <c r="V403" s="13"/>
      <c r="W403" s="13"/>
      <c r="X403" s="13"/>
      <c r="Y403" s="13"/>
      <c r="Z403" s="13"/>
      <c r="AA403" s="13"/>
      <c r="AB403" s="13"/>
    </row>
    <row r="404" spans="1:28" ht="17.399999999999999" x14ac:dyDescent="0.35">
      <c r="A404" s="16"/>
      <c r="B404" s="17"/>
      <c r="C404" s="13"/>
      <c r="D404" s="13"/>
      <c r="E404" s="15"/>
      <c r="F404" s="13"/>
      <c r="G404" s="13"/>
      <c r="H404" s="6"/>
      <c r="I404" s="13"/>
      <c r="J404" s="13"/>
      <c r="K404" s="13"/>
      <c r="L404" s="13"/>
      <c r="M404" s="13"/>
      <c r="N404" s="13"/>
      <c r="O404" s="13"/>
      <c r="P404" s="13"/>
      <c r="Q404" s="13"/>
      <c r="R404" s="13"/>
      <c r="S404" s="13"/>
      <c r="T404" s="13"/>
      <c r="U404" s="13"/>
      <c r="V404" s="13"/>
      <c r="W404" s="13"/>
      <c r="X404" s="13"/>
      <c r="Y404" s="13"/>
      <c r="Z404" s="13"/>
      <c r="AA404" s="13"/>
      <c r="AB404" s="13"/>
    </row>
    <row r="405" spans="1:28" ht="17.399999999999999" x14ac:dyDescent="0.35">
      <c r="A405" s="16"/>
      <c r="B405" s="17"/>
      <c r="C405" s="13"/>
      <c r="D405" s="13"/>
      <c r="E405" s="15"/>
      <c r="F405" s="13"/>
      <c r="G405" s="13"/>
      <c r="H405" s="6"/>
      <c r="I405" s="13"/>
      <c r="J405" s="13"/>
      <c r="K405" s="13"/>
      <c r="L405" s="13"/>
      <c r="M405" s="13"/>
      <c r="N405" s="13"/>
      <c r="O405" s="13"/>
      <c r="P405" s="13"/>
      <c r="Q405" s="13"/>
      <c r="R405" s="13"/>
      <c r="S405" s="13"/>
      <c r="T405" s="13"/>
      <c r="U405" s="13"/>
      <c r="V405" s="13"/>
      <c r="W405" s="13"/>
      <c r="X405" s="13"/>
      <c r="Y405" s="13"/>
      <c r="Z405" s="13"/>
      <c r="AA405" s="13"/>
      <c r="AB405" s="13"/>
    </row>
    <row r="406" spans="1:28" ht="17.399999999999999" x14ac:dyDescent="0.35">
      <c r="A406" s="16"/>
      <c r="B406" s="17"/>
      <c r="C406" s="13"/>
      <c r="D406" s="13"/>
      <c r="E406" s="15"/>
      <c r="F406" s="13"/>
      <c r="G406" s="13"/>
      <c r="H406" s="6"/>
      <c r="I406" s="13"/>
      <c r="J406" s="13"/>
      <c r="K406" s="13"/>
      <c r="L406" s="13"/>
      <c r="M406" s="13"/>
      <c r="N406" s="13"/>
      <c r="O406" s="13"/>
      <c r="P406" s="13"/>
      <c r="Q406" s="13"/>
      <c r="R406" s="13"/>
      <c r="S406" s="13"/>
      <c r="T406" s="13"/>
      <c r="U406" s="13"/>
      <c r="V406" s="13"/>
      <c r="W406" s="13"/>
      <c r="X406" s="13"/>
      <c r="Y406" s="13"/>
      <c r="Z406" s="13"/>
      <c r="AA406" s="13"/>
      <c r="AB406" s="13"/>
    </row>
    <row r="407" spans="1:28" ht="17.399999999999999" x14ac:dyDescent="0.35">
      <c r="A407" s="16"/>
      <c r="B407" s="17"/>
      <c r="C407" s="13"/>
      <c r="D407" s="13"/>
      <c r="E407" s="15"/>
      <c r="F407" s="13"/>
      <c r="G407" s="13"/>
      <c r="H407" s="6"/>
      <c r="I407" s="13"/>
      <c r="J407" s="13"/>
      <c r="K407" s="13"/>
      <c r="L407" s="13"/>
      <c r="M407" s="13"/>
      <c r="N407" s="13"/>
      <c r="O407" s="13"/>
      <c r="P407" s="13"/>
      <c r="Q407" s="13"/>
      <c r="R407" s="13"/>
      <c r="S407" s="13"/>
      <c r="T407" s="13"/>
      <c r="U407" s="13"/>
      <c r="V407" s="13"/>
      <c r="W407" s="13"/>
      <c r="X407" s="13"/>
      <c r="Y407" s="13"/>
      <c r="Z407" s="13"/>
      <c r="AA407" s="13"/>
      <c r="AB407" s="13"/>
    </row>
    <row r="408" spans="1:28" ht="17.399999999999999" x14ac:dyDescent="0.35">
      <c r="A408" s="16"/>
      <c r="B408" s="17"/>
      <c r="C408" s="13"/>
      <c r="D408" s="13"/>
      <c r="E408" s="15"/>
      <c r="F408" s="13"/>
      <c r="G408" s="13"/>
      <c r="H408" s="6"/>
      <c r="I408" s="13"/>
      <c r="J408" s="13"/>
      <c r="K408" s="13"/>
      <c r="L408" s="13"/>
      <c r="M408" s="13"/>
      <c r="N408" s="13"/>
      <c r="O408" s="13"/>
      <c r="P408" s="13"/>
      <c r="Q408" s="13"/>
      <c r="R408" s="13"/>
      <c r="S408" s="13"/>
      <c r="T408" s="13"/>
      <c r="U408" s="13"/>
      <c r="V408" s="13"/>
      <c r="W408" s="13"/>
      <c r="X408" s="13"/>
      <c r="Y408" s="13"/>
      <c r="Z408" s="13"/>
      <c r="AA408" s="13"/>
      <c r="AB408" s="13"/>
    </row>
    <row r="409" spans="1:28" ht="17.399999999999999" x14ac:dyDescent="0.35">
      <c r="A409" s="16"/>
      <c r="B409" s="17"/>
      <c r="C409" s="13"/>
      <c r="D409" s="13"/>
      <c r="E409" s="15"/>
      <c r="F409" s="13"/>
      <c r="G409" s="13"/>
      <c r="H409" s="6"/>
      <c r="I409" s="13"/>
      <c r="J409" s="13"/>
      <c r="K409" s="13"/>
      <c r="L409" s="13"/>
      <c r="M409" s="13"/>
      <c r="N409" s="13"/>
      <c r="O409" s="13"/>
      <c r="P409" s="13"/>
      <c r="Q409" s="13"/>
      <c r="R409" s="13"/>
      <c r="S409" s="13"/>
      <c r="T409" s="13"/>
      <c r="U409" s="13"/>
      <c r="V409" s="13"/>
      <c r="W409" s="13"/>
      <c r="X409" s="13"/>
      <c r="Y409" s="13"/>
      <c r="Z409" s="13"/>
      <c r="AA409" s="13"/>
      <c r="AB409" s="13"/>
    </row>
    <row r="410" spans="1:28" ht="17.399999999999999" x14ac:dyDescent="0.35">
      <c r="A410" s="16"/>
      <c r="B410" s="17"/>
      <c r="C410" s="13"/>
      <c r="D410" s="13"/>
      <c r="E410" s="15"/>
      <c r="F410" s="13"/>
      <c r="G410" s="13"/>
      <c r="H410" s="6"/>
      <c r="I410" s="13"/>
      <c r="J410" s="13"/>
      <c r="K410" s="13"/>
      <c r="L410" s="13"/>
      <c r="M410" s="13"/>
      <c r="N410" s="13"/>
      <c r="O410" s="13"/>
      <c r="P410" s="13"/>
      <c r="Q410" s="13"/>
      <c r="R410" s="13"/>
      <c r="S410" s="13"/>
      <c r="T410" s="13"/>
      <c r="U410" s="13"/>
      <c r="V410" s="13"/>
      <c r="W410" s="13"/>
      <c r="X410" s="13"/>
      <c r="Y410" s="13"/>
      <c r="Z410" s="13"/>
      <c r="AA410" s="13"/>
      <c r="AB410" s="13"/>
    </row>
    <row r="411" spans="1:28" ht="17.399999999999999" x14ac:dyDescent="0.35">
      <c r="A411" s="16"/>
      <c r="B411" s="17"/>
      <c r="C411" s="13"/>
      <c r="D411" s="13"/>
      <c r="E411" s="15"/>
      <c r="F411" s="13"/>
      <c r="G411" s="13"/>
      <c r="H411" s="6"/>
      <c r="I411" s="13"/>
      <c r="J411" s="13"/>
      <c r="K411" s="13"/>
      <c r="L411" s="13"/>
      <c r="M411" s="13"/>
      <c r="N411" s="13"/>
      <c r="O411" s="13"/>
      <c r="P411" s="13"/>
      <c r="Q411" s="13"/>
      <c r="R411" s="13"/>
      <c r="S411" s="13"/>
      <c r="T411" s="13"/>
      <c r="U411" s="13"/>
      <c r="V411" s="13"/>
      <c r="W411" s="13"/>
      <c r="X411" s="13"/>
      <c r="Y411" s="13"/>
      <c r="Z411" s="13"/>
      <c r="AA411" s="13"/>
      <c r="AB411" s="13"/>
    </row>
    <row r="412" spans="1:28" ht="17.399999999999999" x14ac:dyDescent="0.35">
      <c r="A412" s="16"/>
      <c r="B412" s="17"/>
      <c r="C412" s="13"/>
      <c r="D412" s="13"/>
      <c r="E412" s="15"/>
      <c r="F412" s="13"/>
      <c r="G412" s="13"/>
      <c r="H412" s="6"/>
      <c r="I412" s="13"/>
      <c r="J412" s="13"/>
      <c r="K412" s="13"/>
      <c r="L412" s="13"/>
      <c r="M412" s="13"/>
      <c r="N412" s="13"/>
      <c r="O412" s="13"/>
      <c r="P412" s="13"/>
      <c r="Q412" s="13"/>
      <c r="R412" s="13"/>
      <c r="S412" s="13"/>
      <c r="T412" s="13"/>
      <c r="U412" s="13"/>
      <c r="V412" s="13"/>
      <c r="W412" s="13"/>
      <c r="X412" s="13"/>
      <c r="Y412" s="13"/>
      <c r="Z412" s="13"/>
      <c r="AA412" s="13"/>
      <c r="AB412" s="13"/>
    </row>
    <row r="413" spans="1:28" ht="17.399999999999999" x14ac:dyDescent="0.35">
      <c r="A413" s="16"/>
      <c r="B413" s="17"/>
      <c r="C413" s="13"/>
      <c r="D413" s="13"/>
      <c r="E413" s="15"/>
      <c r="F413" s="13"/>
      <c r="G413" s="13"/>
      <c r="H413" s="6"/>
      <c r="I413" s="13"/>
      <c r="J413" s="13"/>
      <c r="K413" s="13"/>
      <c r="L413" s="13"/>
      <c r="M413" s="13"/>
      <c r="N413" s="13"/>
      <c r="O413" s="13"/>
      <c r="P413" s="13"/>
      <c r="Q413" s="13"/>
      <c r="R413" s="13"/>
      <c r="S413" s="13"/>
      <c r="T413" s="13"/>
      <c r="U413" s="13"/>
      <c r="V413" s="13"/>
      <c r="W413" s="13"/>
      <c r="X413" s="13"/>
      <c r="Y413" s="13"/>
      <c r="Z413" s="13"/>
      <c r="AA413" s="13"/>
      <c r="AB413" s="13"/>
    </row>
    <row r="414" spans="1:28" ht="17.399999999999999" x14ac:dyDescent="0.35">
      <c r="A414" s="16"/>
      <c r="B414" s="17"/>
      <c r="C414" s="13"/>
      <c r="D414" s="13"/>
      <c r="E414" s="15"/>
      <c r="F414" s="13"/>
      <c r="G414" s="13"/>
      <c r="H414" s="6"/>
      <c r="I414" s="13"/>
      <c r="J414" s="13"/>
      <c r="K414" s="13"/>
      <c r="L414" s="13"/>
      <c r="M414" s="13"/>
      <c r="N414" s="13"/>
      <c r="O414" s="13"/>
      <c r="P414" s="13"/>
      <c r="Q414" s="13"/>
      <c r="R414" s="13"/>
      <c r="S414" s="13"/>
      <c r="T414" s="13"/>
      <c r="U414" s="13"/>
      <c r="V414" s="13"/>
      <c r="W414" s="13"/>
      <c r="X414" s="13"/>
      <c r="Y414" s="13"/>
      <c r="Z414" s="13"/>
      <c r="AA414" s="13"/>
      <c r="AB414" s="13"/>
    </row>
    <row r="415" spans="1:28" ht="17.399999999999999" x14ac:dyDescent="0.35">
      <c r="A415" s="16"/>
      <c r="B415" s="17"/>
      <c r="C415" s="13"/>
      <c r="D415" s="13"/>
      <c r="E415" s="15"/>
      <c r="F415" s="13"/>
      <c r="G415" s="13"/>
      <c r="H415" s="6"/>
      <c r="I415" s="13"/>
      <c r="J415" s="13"/>
      <c r="K415" s="13"/>
      <c r="L415" s="13"/>
      <c r="M415" s="13"/>
      <c r="N415" s="13"/>
      <c r="O415" s="13"/>
      <c r="P415" s="13"/>
      <c r="Q415" s="13"/>
      <c r="R415" s="13"/>
      <c r="S415" s="13"/>
      <c r="T415" s="13"/>
      <c r="U415" s="13"/>
      <c r="V415" s="13"/>
      <c r="W415" s="13"/>
      <c r="X415" s="13"/>
      <c r="Y415" s="13"/>
      <c r="Z415" s="13"/>
      <c r="AA415" s="13"/>
      <c r="AB415" s="13"/>
    </row>
    <row r="416" spans="1:28" ht="17.399999999999999" x14ac:dyDescent="0.35">
      <c r="A416" s="16"/>
      <c r="B416" s="17"/>
      <c r="C416" s="13"/>
      <c r="D416" s="13"/>
      <c r="E416" s="15"/>
      <c r="F416" s="13"/>
      <c r="G416" s="13"/>
      <c r="H416" s="6"/>
      <c r="I416" s="13"/>
      <c r="J416" s="13"/>
      <c r="K416" s="13"/>
      <c r="L416" s="13"/>
      <c r="M416" s="13"/>
      <c r="N416" s="13"/>
      <c r="O416" s="13"/>
      <c r="P416" s="13"/>
      <c r="Q416" s="13"/>
      <c r="R416" s="13"/>
      <c r="S416" s="13"/>
      <c r="T416" s="13"/>
      <c r="U416" s="13"/>
      <c r="V416" s="13"/>
      <c r="W416" s="13"/>
      <c r="X416" s="13"/>
      <c r="Y416" s="13"/>
      <c r="Z416" s="13"/>
      <c r="AA416" s="13"/>
      <c r="AB416" s="13"/>
    </row>
    <row r="417" spans="1:28" ht="17.399999999999999" x14ac:dyDescent="0.35">
      <c r="A417" s="16"/>
      <c r="B417" s="17"/>
      <c r="C417" s="13"/>
      <c r="D417" s="13"/>
      <c r="E417" s="15"/>
      <c r="F417" s="13"/>
      <c r="G417" s="13"/>
      <c r="H417" s="6"/>
      <c r="I417" s="13"/>
      <c r="J417" s="13"/>
      <c r="K417" s="13"/>
      <c r="L417" s="13"/>
      <c r="M417" s="13"/>
      <c r="N417" s="13"/>
      <c r="O417" s="13"/>
      <c r="P417" s="13"/>
      <c r="Q417" s="13"/>
      <c r="R417" s="13"/>
      <c r="S417" s="13"/>
      <c r="T417" s="13"/>
      <c r="U417" s="13"/>
      <c r="V417" s="13"/>
      <c r="W417" s="13"/>
      <c r="X417" s="13"/>
      <c r="Y417" s="13"/>
      <c r="Z417" s="13"/>
      <c r="AA417" s="13"/>
      <c r="AB417" s="13"/>
    </row>
    <row r="418" spans="1:28" ht="17.399999999999999" x14ac:dyDescent="0.35">
      <c r="A418" s="16"/>
      <c r="B418" s="17"/>
      <c r="C418" s="13"/>
      <c r="D418" s="13"/>
      <c r="E418" s="15"/>
      <c r="F418" s="13"/>
      <c r="G418" s="13"/>
      <c r="H418" s="6"/>
      <c r="I418" s="13"/>
      <c r="J418" s="13"/>
      <c r="K418" s="13"/>
      <c r="L418" s="13"/>
      <c r="M418" s="13"/>
      <c r="N418" s="13"/>
      <c r="O418" s="13"/>
      <c r="P418" s="13"/>
      <c r="Q418" s="13"/>
      <c r="R418" s="13"/>
      <c r="S418" s="13"/>
      <c r="T418" s="13"/>
      <c r="U418" s="13"/>
      <c r="V418" s="13"/>
      <c r="W418" s="13"/>
      <c r="X418" s="13"/>
      <c r="Y418" s="13"/>
      <c r="Z418" s="13"/>
      <c r="AA418" s="13"/>
      <c r="AB418" s="13"/>
    </row>
    <row r="419" spans="1:28" ht="17.399999999999999" x14ac:dyDescent="0.35">
      <c r="A419" s="16"/>
      <c r="B419" s="17"/>
      <c r="C419" s="13"/>
      <c r="D419" s="13"/>
      <c r="E419" s="15"/>
      <c r="F419" s="13"/>
      <c r="G419" s="13"/>
      <c r="H419" s="6"/>
      <c r="I419" s="13"/>
      <c r="J419" s="13"/>
      <c r="K419" s="13"/>
      <c r="L419" s="13"/>
      <c r="M419" s="13"/>
      <c r="N419" s="13"/>
      <c r="O419" s="13"/>
      <c r="P419" s="13"/>
      <c r="Q419" s="13"/>
      <c r="R419" s="13"/>
      <c r="S419" s="13"/>
      <c r="T419" s="13"/>
      <c r="U419" s="13"/>
      <c r="V419" s="13"/>
      <c r="W419" s="13"/>
      <c r="X419" s="13"/>
      <c r="Y419" s="13"/>
      <c r="Z419" s="13"/>
      <c r="AA419" s="13"/>
      <c r="AB419" s="13"/>
    </row>
    <row r="420" spans="1:28" ht="17.399999999999999" x14ac:dyDescent="0.35">
      <c r="A420" s="16"/>
      <c r="B420" s="17"/>
      <c r="C420" s="13"/>
      <c r="D420" s="13"/>
      <c r="E420" s="15"/>
      <c r="F420" s="13"/>
      <c r="G420" s="13"/>
      <c r="H420" s="6"/>
      <c r="I420" s="13"/>
      <c r="J420" s="13"/>
      <c r="K420" s="13"/>
      <c r="L420" s="13"/>
      <c r="M420" s="13"/>
      <c r="N420" s="13"/>
      <c r="O420" s="13"/>
      <c r="P420" s="13"/>
      <c r="Q420" s="13"/>
      <c r="R420" s="13"/>
      <c r="S420" s="13"/>
      <c r="T420" s="13"/>
      <c r="U420" s="13"/>
      <c r="V420" s="13"/>
      <c r="W420" s="13"/>
      <c r="X420" s="13"/>
      <c r="Y420" s="13"/>
      <c r="Z420" s="13"/>
      <c r="AA420" s="13"/>
      <c r="AB420" s="13"/>
    </row>
    <row r="421" spans="1:28" ht="17.399999999999999" x14ac:dyDescent="0.35">
      <c r="A421" s="16"/>
      <c r="B421" s="17"/>
      <c r="C421" s="13"/>
      <c r="D421" s="13"/>
      <c r="E421" s="15"/>
      <c r="F421" s="13"/>
      <c r="G421" s="13"/>
      <c r="H421" s="6"/>
      <c r="I421" s="13"/>
      <c r="J421" s="13"/>
      <c r="K421" s="13"/>
      <c r="L421" s="13"/>
      <c r="M421" s="13"/>
      <c r="N421" s="13"/>
      <c r="O421" s="13"/>
      <c r="P421" s="13"/>
      <c r="Q421" s="13"/>
      <c r="R421" s="13"/>
      <c r="S421" s="13"/>
      <c r="T421" s="13"/>
      <c r="U421" s="13"/>
      <c r="V421" s="13"/>
      <c r="W421" s="13"/>
      <c r="X421" s="13"/>
      <c r="Y421" s="13"/>
      <c r="Z421" s="13"/>
      <c r="AA421" s="13"/>
      <c r="AB421" s="13"/>
    </row>
    <row r="422" spans="1:28" ht="17.399999999999999" x14ac:dyDescent="0.35">
      <c r="A422" s="16"/>
      <c r="B422" s="17"/>
      <c r="C422" s="13"/>
      <c r="D422" s="13"/>
      <c r="E422" s="15"/>
      <c r="F422" s="13"/>
      <c r="G422" s="13"/>
      <c r="H422" s="6"/>
      <c r="I422" s="13"/>
      <c r="J422" s="13"/>
      <c r="K422" s="13"/>
      <c r="L422" s="13"/>
      <c r="M422" s="13"/>
      <c r="N422" s="13"/>
      <c r="O422" s="13"/>
      <c r="P422" s="13"/>
      <c r="Q422" s="13"/>
      <c r="R422" s="13"/>
      <c r="S422" s="13"/>
      <c r="T422" s="13"/>
      <c r="U422" s="13"/>
      <c r="V422" s="13"/>
      <c r="W422" s="13"/>
      <c r="X422" s="13"/>
      <c r="Y422" s="13"/>
      <c r="Z422" s="13"/>
      <c r="AA422" s="13"/>
      <c r="AB422" s="13"/>
    </row>
    <row r="423" spans="1:28" ht="17.399999999999999" x14ac:dyDescent="0.35">
      <c r="A423" s="16"/>
      <c r="B423" s="17"/>
      <c r="C423" s="13"/>
      <c r="D423" s="13"/>
      <c r="E423" s="15"/>
      <c r="F423" s="13"/>
      <c r="G423" s="13"/>
      <c r="H423" s="6"/>
      <c r="I423" s="13"/>
      <c r="J423" s="13"/>
      <c r="K423" s="13"/>
      <c r="L423" s="13"/>
      <c r="M423" s="13"/>
      <c r="N423" s="13"/>
      <c r="O423" s="13"/>
      <c r="P423" s="13"/>
      <c r="Q423" s="13"/>
      <c r="R423" s="13"/>
      <c r="S423" s="13"/>
      <c r="T423" s="13"/>
      <c r="U423" s="13"/>
      <c r="V423" s="13"/>
      <c r="W423" s="13"/>
      <c r="X423" s="13"/>
      <c r="Y423" s="13"/>
      <c r="Z423" s="13"/>
      <c r="AA423" s="13"/>
      <c r="AB423" s="13"/>
    </row>
    <row r="424" spans="1:28" ht="17.399999999999999" x14ac:dyDescent="0.35">
      <c r="A424" s="16"/>
      <c r="B424" s="17"/>
      <c r="C424" s="13"/>
      <c r="D424" s="13"/>
      <c r="E424" s="15"/>
      <c r="F424" s="13"/>
      <c r="G424" s="13"/>
      <c r="H424" s="6"/>
      <c r="I424" s="13"/>
      <c r="J424" s="13"/>
      <c r="K424" s="13"/>
      <c r="L424" s="13"/>
      <c r="M424" s="13"/>
      <c r="N424" s="13"/>
      <c r="O424" s="13"/>
      <c r="P424" s="13"/>
      <c r="Q424" s="13"/>
      <c r="R424" s="13"/>
      <c r="S424" s="13"/>
      <c r="T424" s="13"/>
      <c r="U424" s="13"/>
      <c r="V424" s="13"/>
      <c r="W424" s="13"/>
      <c r="X424" s="13"/>
      <c r="Y424" s="13"/>
      <c r="Z424" s="13"/>
      <c r="AA424" s="13"/>
      <c r="AB424" s="13"/>
    </row>
    <row r="425" spans="1:28" ht="17.399999999999999" x14ac:dyDescent="0.35">
      <c r="A425" s="16"/>
      <c r="B425" s="17"/>
      <c r="C425" s="13"/>
      <c r="D425" s="13"/>
      <c r="E425" s="15"/>
      <c r="F425" s="13"/>
      <c r="G425" s="13"/>
      <c r="H425" s="6"/>
      <c r="I425" s="13"/>
      <c r="J425" s="13"/>
      <c r="K425" s="13"/>
      <c r="L425" s="13"/>
      <c r="M425" s="13"/>
      <c r="N425" s="13"/>
      <c r="O425" s="13"/>
      <c r="P425" s="13"/>
      <c r="Q425" s="13"/>
      <c r="R425" s="13"/>
      <c r="S425" s="13"/>
      <c r="T425" s="13"/>
      <c r="U425" s="13"/>
      <c r="V425" s="13"/>
      <c r="W425" s="13"/>
      <c r="X425" s="13"/>
      <c r="Y425" s="13"/>
      <c r="Z425" s="13"/>
      <c r="AA425" s="13"/>
      <c r="AB425" s="13"/>
    </row>
    <row r="426" spans="1:28" ht="17.399999999999999" x14ac:dyDescent="0.35">
      <c r="A426" s="16"/>
      <c r="B426" s="17"/>
      <c r="C426" s="13"/>
      <c r="D426" s="13"/>
      <c r="E426" s="15"/>
      <c r="F426" s="13"/>
      <c r="G426" s="13"/>
      <c r="H426" s="6"/>
      <c r="I426" s="13"/>
      <c r="J426" s="13"/>
      <c r="K426" s="13"/>
      <c r="L426" s="13"/>
      <c r="M426" s="13"/>
      <c r="N426" s="13"/>
      <c r="O426" s="13"/>
      <c r="P426" s="13"/>
      <c r="Q426" s="13"/>
      <c r="R426" s="13"/>
      <c r="S426" s="13"/>
      <c r="T426" s="13"/>
      <c r="U426" s="13"/>
      <c r="V426" s="13"/>
      <c r="W426" s="13"/>
      <c r="X426" s="13"/>
      <c r="Y426" s="13"/>
      <c r="Z426" s="13"/>
      <c r="AA426" s="13"/>
      <c r="AB426" s="13"/>
    </row>
    <row r="427" spans="1:28" ht="17.399999999999999" x14ac:dyDescent="0.35">
      <c r="A427" s="16"/>
      <c r="B427" s="17"/>
      <c r="C427" s="13"/>
      <c r="D427" s="13"/>
      <c r="E427" s="15"/>
      <c r="F427" s="13"/>
      <c r="G427" s="13"/>
      <c r="H427" s="6"/>
      <c r="I427" s="13"/>
      <c r="J427" s="13"/>
      <c r="K427" s="13"/>
      <c r="L427" s="13"/>
      <c r="M427" s="13"/>
      <c r="N427" s="13"/>
      <c r="O427" s="13"/>
      <c r="P427" s="13"/>
      <c r="Q427" s="13"/>
      <c r="R427" s="13"/>
      <c r="S427" s="13"/>
      <c r="T427" s="13"/>
      <c r="U427" s="13"/>
      <c r="V427" s="13"/>
      <c r="W427" s="13"/>
      <c r="X427" s="13"/>
      <c r="Y427" s="13"/>
      <c r="Z427" s="13"/>
      <c r="AA427" s="13"/>
      <c r="AB427" s="13"/>
    </row>
    <row r="428" spans="1:28" ht="17.399999999999999" x14ac:dyDescent="0.35">
      <c r="A428" s="16"/>
      <c r="B428" s="17"/>
      <c r="C428" s="13"/>
      <c r="D428" s="13"/>
      <c r="E428" s="15"/>
      <c r="F428" s="13"/>
      <c r="G428" s="13"/>
      <c r="H428" s="6"/>
      <c r="I428" s="13"/>
      <c r="J428" s="13"/>
      <c r="K428" s="13"/>
      <c r="L428" s="13"/>
      <c r="M428" s="13"/>
      <c r="N428" s="13"/>
      <c r="O428" s="13"/>
      <c r="P428" s="13"/>
      <c r="Q428" s="13"/>
      <c r="R428" s="13"/>
      <c r="S428" s="13"/>
      <c r="T428" s="13"/>
      <c r="U428" s="13"/>
      <c r="V428" s="13"/>
      <c r="W428" s="13"/>
      <c r="X428" s="13"/>
      <c r="Y428" s="13"/>
      <c r="Z428" s="13"/>
      <c r="AA428" s="13"/>
      <c r="AB428" s="13"/>
    </row>
    <row r="429" spans="1:28" ht="17.399999999999999" x14ac:dyDescent="0.35">
      <c r="A429" s="16"/>
      <c r="B429" s="17"/>
      <c r="C429" s="13"/>
      <c r="D429" s="13"/>
      <c r="E429" s="15"/>
      <c r="F429" s="13"/>
      <c r="G429" s="13"/>
      <c r="H429" s="6"/>
      <c r="I429" s="13"/>
      <c r="J429" s="13"/>
      <c r="K429" s="13"/>
      <c r="L429" s="13"/>
      <c r="M429" s="13"/>
      <c r="N429" s="13"/>
      <c r="O429" s="13"/>
      <c r="P429" s="13"/>
      <c r="Q429" s="13"/>
      <c r="R429" s="13"/>
      <c r="S429" s="13"/>
      <c r="T429" s="13"/>
      <c r="U429" s="13"/>
      <c r="V429" s="13"/>
      <c r="W429" s="13"/>
      <c r="X429" s="13"/>
      <c r="Y429" s="13"/>
      <c r="Z429" s="13"/>
      <c r="AA429" s="13"/>
      <c r="AB429" s="13"/>
    </row>
    <row r="430" spans="1:28" ht="17.399999999999999" x14ac:dyDescent="0.35">
      <c r="A430" s="16"/>
      <c r="B430" s="17"/>
      <c r="C430" s="13"/>
      <c r="D430" s="13"/>
      <c r="E430" s="15"/>
      <c r="F430" s="13"/>
      <c r="G430" s="13"/>
      <c r="H430" s="6"/>
      <c r="I430" s="13"/>
      <c r="J430" s="13"/>
      <c r="K430" s="13"/>
      <c r="L430" s="13"/>
      <c r="M430" s="13"/>
      <c r="N430" s="13"/>
      <c r="O430" s="13"/>
      <c r="P430" s="13"/>
      <c r="Q430" s="13"/>
      <c r="R430" s="13"/>
      <c r="S430" s="13"/>
      <c r="T430" s="13"/>
      <c r="U430" s="13"/>
      <c r="V430" s="13"/>
      <c r="W430" s="13"/>
      <c r="X430" s="13"/>
      <c r="Y430" s="13"/>
      <c r="Z430" s="13"/>
      <c r="AA430" s="13"/>
      <c r="AB430" s="13"/>
    </row>
    <row r="431" spans="1:28" ht="17.399999999999999" x14ac:dyDescent="0.35">
      <c r="A431" s="16"/>
      <c r="B431" s="17"/>
      <c r="C431" s="13"/>
      <c r="D431" s="13"/>
      <c r="E431" s="15"/>
      <c r="F431" s="13"/>
      <c r="G431" s="13"/>
      <c r="H431" s="6"/>
      <c r="I431" s="13"/>
      <c r="J431" s="13"/>
      <c r="K431" s="13"/>
      <c r="L431" s="13"/>
      <c r="M431" s="13"/>
      <c r="N431" s="13"/>
      <c r="O431" s="13"/>
      <c r="P431" s="13"/>
      <c r="Q431" s="13"/>
      <c r="R431" s="13"/>
      <c r="S431" s="13"/>
      <c r="T431" s="13"/>
      <c r="U431" s="13"/>
      <c r="V431" s="13"/>
      <c r="W431" s="13"/>
      <c r="X431" s="13"/>
      <c r="Y431" s="13"/>
      <c r="Z431" s="13"/>
      <c r="AA431" s="13"/>
      <c r="AB431" s="13"/>
    </row>
    <row r="432" spans="1:28" ht="17.399999999999999" x14ac:dyDescent="0.35">
      <c r="A432" s="16"/>
      <c r="B432" s="17"/>
      <c r="C432" s="13"/>
      <c r="D432" s="13"/>
      <c r="E432" s="15"/>
      <c r="F432" s="13"/>
      <c r="G432" s="13"/>
      <c r="H432" s="6"/>
      <c r="I432" s="13"/>
      <c r="J432" s="13"/>
      <c r="K432" s="13"/>
      <c r="L432" s="13"/>
      <c r="M432" s="13"/>
      <c r="N432" s="13"/>
      <c r="O432" s="13"/>
      <c r="P432" s="13"/>
      <c r="Q432" s="13"/>
      <c r="R432" s="13"/>
      <c r="S432" s="13"/>
      <c r="T432" s="13"/>
      <c r="U432" s="13"/>
      <c r="V432" s="13"/>
      <c r="W432" s="13"/>
      <c r="X432" s="13"/>
      <c r="Y432" s="13"/>
      <c r="Z432" s="13"/>
      <c r="AA432" s="13"/>
      <c r="AB432" s="13"/>
    </row>
    <row r="433" spans="1:28" ht="17.399999999999999" x14ac:dyDescent="0.35">
      <c r="A433" s="16"/>
      <c r="B433" s="17"/>
      <c r="C433" s="13"/>
      <c r="D433" s="13"/>
      <c r="E433" s="15"/>
      <c r="F433" s="13"/>
      <c r="G433" s="13"/>
      <c r="H433" s="6"/>
      <c r="I433" s="13"/>
      <c r="J433" s="13"/>
      <c r="K433" s="13"/>
      <c r="L433" s="13"/>
      <c r="M433" s="13"/>
      <c r="N433" s="13"/>
      <c r="O433" s="13"/>
      <c r="P433" s="13"/>
      <c r="Q433" s="13"/>
      <c r="R433" s="13"/>
      <c r="S433" s="13"/>
      <c r="T433" s="13"/>
      <c r="U433" s="13"/>
      <c r="V433" s="13"/>
      <c r="W433" s="13"/>
      <c r="X433" s="13"/>
      <c r="Y433" s="13"/>
      <c r="Z433" s="13"/>
      <c r="AA433" s="13"/>
      <c r="AB433" s="13"/>
    </row>
    <row r="434" spans="1:28" ht="17.399999999999999" x14ac:dyDescent="0.35">
      <c r="A434" s="16"/>
      <c r="B434" s="17"/>
      <c r="C434" s="13"/>
      <c r="D434" s="13"/>
      <c r="E434" s="15"/>
      <c r="F434" s="13"/>
      <c r="G434" s="13"/>
      <c r="H434" s="6"/>
      <c r="I434" s="13"/>
      <c r="J434" s="13"/>
      <c r="K434" s="13"/>
      <c r="L434" s="13"/>
      <c r="M434" s="13"/>
      <c r="N434" s="13"/>
      <c r="O434" s="13"/>
      <c r="P434" s="13"/>
      <c r="Q434" s="13"/>
      <c r="R434" s="13"/>
      <c r="S434" s="13"/>
      <c r="T434" s="13"/>
      <c r="U434" s="13"/>
      <c r="V434" s="13"/>
      <c r="W434" s="13"/>
      <c r="X434" s="13"/>
      <c r="Y434" s="13"/>
      <c r="Z434" s="13"/>
      <c r="AA434" s="13"/>
      <c r="AB434" s="13"/>
    </row>
    <row r="435" spans="1:28" ht="17.399999999999999" x14ac:dyDescent="0.35">
      <c r="A435" s="16"/>
      <c r="B435" s="17"/>
      <c r="C435" s="13"/>
      <c r="D435" s="13"/>
      <c r="E435" s="15"/>
      <c r="F435" s="13"/>
      <c r="G435" s="13"/>
      <c r="H435" s="6"/>
      <c r="I435" s="13"/>
      <c r="J435" s="13"/>
      <c r="K435" s="13"/>
      <c r="L435" s="13"/>
      <c r="M435" s="13"/>
      <c r="N435" s="13"/>
      <c r="O435" s="13"/>
      <c r="P435" s="13"/>
      <c r="Q435" s="13"/>
      <c r="R435" s="13"/>
      <c r="S435" s="13"/>
      <c r="T435" s="13"/>
      <c r="U435" s="13"/>
      <c r="V435" s="13"/>
      <c r="W435" s="13"/>
      <c r="X435" s="13"/>
      <c r="Y435" s="13"/>
      <c r="Z435" s="13"/>
      <c r="AA435" s="13"/>
      <c r="AB435" s="13"/>
    </row>
    <row r="436" spans="1:28" ht="17.399999999999999" x14ac:dyDescent="0.35">
      <c r="A436" s="16"/>
      <c r="B436" s="17"/>
      <c r="C436" s="13"/>
      <c r="D436" s="13"/>
      <c r="E436" s="15"/>
      <c r="F436" s="13"/>
      <c r="G436" s="13"/>
      <c r="H436" s="6"/>
      <c r="I436" s="13"/>
      <c r="J436" s="13"/>
      <c r="K436" s="13"/>
      <c r="L436" s="13"/>
      <c r="M436" s="13"/>
      <c r="N436" s="13"/>
      <c r="O436" s="13"/>
      <c r="P436" s="13"/>
      <c r="Q436" s="13"/>
      <c r="R436" s="13"/>
      <c r="S436" s="13"/>
      <c r="T436" s="13"/>
      <c r="U436" s="13"/>
      <c r="V436" s="13"/>
      <c r="W436" s="13"/>
      <c r="X436" s="13"/>
      <c r="Y436" s="13"/>
      <c r="Z436" s="13"/>
      <c r="AA436" s="13"/>
      <c r="AB436" s="13"/>
    </row>
    <row r="437" spans="1:28" ht="17.399999999999999" x14ac:dyDescent="0.35">
      <c r="A437" s="16"/>
      <c r="B437" s="17"/>
      <c r="C437" s="13"/>
      <c r="D437" s="13"/>
      <c r="E437" s="15"/>
      <c r="F437" s="13"/>
      <c r="G437" s="13"/>
      <c r="H437" s="6"/>
      <c r="I437" s="13"/>
      <c r="J437" s="13"/>
      <c r="K437" s="13"/>
      <c r="L437" s="13"/>
      <c r="M437" s="13"/>
      <c r="N437" s="13"/>
      <c r="O437" s="13"/>
      <c r="P437" s="13"/>
      <c r="Q437" s="13"/>
      <c r="R437" s="13"/>
      <c r="S437" s="13"/>
      <c r="T437" s="13"/>
      <c r="U437" s="13"/>
      <c r="V437" s="13"/>
      <c r="W437" s="13"/>
      <c r="X437" s="13"/>
      <c r="Y437" s="13"/>
      <c r="Z437" s="13"/>
      <c r="AA437" s="13"/>
      <c r="AB437" s="13"/>
    </row>
    <row r="438" spans="1:28" ht="17.399999999999999" x14ac:dyDescent="0.35">
      <c r="A438" s="16"/>
      <c r="B438" s="17"/>
      <c r="C438" s="13"/>
      <c r="D438" s="13"/>
      <c r="E438" s="15"/>
      <c r="F438" s="13"/>
      <c r="G438" s="13"/>
      <c r="H438" s="6"/>
      <c r="I438" s="13"/>
      <c r="J438" s="13"/>
      <c r="K438" s="13"/>
      <c r="L438" s="13"/>
      <c r="M438" s="13"/>
      <c r="N438" s="13"/>
      <c r="O438" s="13"/>
      <c r="P438" s="13"/>
      <c r="Q438" s="13"/>
      <c r="R438" s="13"/>
      <c r="S438" s="13"/>
      <c r="T438" s="13"/>
      <c r="U438" s="13"/>
      <c r="V438" s="13"/>
      <c r="W438" s="13"/>
      <c r="X438" s="13"/>
      <c r="Y438" s="13"/>
      <c r="Z438" s="13"/>
      <c r="AA438" s="13"/>
      <c r="AB438" s="13"/>
    </row>
    <row r="439" spans="1:28" ht="17.399999999999999" x14ac:dyDescent="0.35">
      <c r="A439" s="16"/>
      <c r="B439" s="17"/>
      <c r="C439" s="13"/>
      <c r="D439" s="13"/>
      <c r="E439" s="15"/>
      <c r="F439" s="13"/>
      <c r="G439" s="13"/>
      <c r="H439" s="6"/>
      <c r="I439" s="13"/>
      <c r="J439" s="13"/>
      <c r="K439" s="13"/>
      <c r="L439" s="13"/>
      <c r="M439" s="13"/>
      <c r="N439" s="13"/>
      <c r="O439" s="13"/>
      <c r="P439" s="13"/>
      <c r="Q439" s="13"/>
      <c r="R439" s="13"/>
      <c r="S439" s="13"/>
      <c r="T439" s="13"/>
      <c r="U439" s="13"/>
      <c r="V439" s="13"/>
      <c r="W439" s="13"/>
      <c r="X439" s="13"/>
      <c r="Y439" s="13"/>
      <c r="Z439" s="13"/>
      <c r="AA439" s="13"/>
      <c r="AB439" s="13"/>
    </row>
    <row r="440" spans="1:28" ht="17.399999999999999" x14ac:dyDescent="0.35">
      <c r="A440" s="16"/>
      <c r="B440" s="17"/>
      <c r="C440" s="13"/>
      <c r="D440" s="13"/>
      <c r="E440" s="15"/>
      <c r="F440" s="13"/>
      <c r="G440" s="13"/>
      <c r="H440" s="6"/>
      <c r="I440" s="13"/>
      <c r="J440" s="13"/>
      <c r="K440" s="13"/>
      <c r="L440" s="13"/>
      <c r="M440" s="13"/>
      <c r="N440" s="13"/>
      <c r="O440" s="13"/>
      <c r="P440" s="13"/>
      <c r="Q440" s="13"/>
      <c r="R440" s="13"/>
      <c r="S440" s="13"/>
      <c r="T440" s="13"/>
      <c r="U440" s="13"/>
      <c r="V440" s="13"/>
      <c r="W440" s="13"/>
      <c r="X440" s="13"/>
      <c r="Y440" s="13"/>
      <c r="Z440" s="13"/>
      <c r="AA440" s="13"/>
      <c r="AB440" s="13"/>
    </row>
    <row r="441" spans="1:28" ht="17.399999999999999" x14ac:dyDescent="0.35">
      <c r="A441" s="16"/>
      <c r="B441" s="17"/>
      <c r="C441" s="13"/>
      <c r="D441" s="13"/>
      <c r="E441" s="15"/>
      <c r="F441" s="13"/>
      <c r="G441" s="13"/>
      <c r="H441" s="6"/>
      <c r="I441" s="13"/>
      <c r="J441" s="13"/>
      <c r="K441" s="13"/>
      <c r="L441" s="13"/>
      <c r="M441" s="13"/>
      <c r="N441" s="13"/>
      <c r="O441" s="13"/>
      <c r="P441" s="13"/>
      <c r="Q441" s="13"/>
      <c r="R441" s="13"/>
      <c r="S441" s="13"/>
      <c r="T441" s="13"/>
      <c r="U441" s="13"/>
      <c r="V441" s="13"/>
      <c r="W441" s="13"/>
      <c r="X441" s="13"/>
      <c r="Y441" s="13"/>
      <c r="Z441" s="13"/>
      <c r="AA441" s="13"/>
      <c r="AB441" s="13"/>
    </row>
    <row r="442" spans="1:28" ht="17.399999999999999" x14ac:dyDescent="0.35">
      <c r="A442" s="16"/>
      <c r="B442" s="17"/>
      <c r="C442" s="13"/>
      <c r="D442" s="13"/>
      <c r="E442" s="15"/>
      <c r="F442" s="13"/>
      <c r="G442" s="13"/>
      <c r="H442" s="6"/>
      <c r="I442" s="13"/>
      <c r="J442" s="13"/>
      <c r="K442" s="13"/>
      <c r="L442" s="13"/>
      <c r="M442" s="13"/>
      <c r="N442" s="13"/>
      <c r="O442" s="13"/>
      <c r="P442" s="13"/>
      <c r="Q442" s="13"/>
      <c r="R442" s="13"/>
      <c r="S442" s="13"/>
      <c r="T442" s="13"/>
      <c r="U442" s="13"/>
      <c r="V442" s="13"/>
      <c r="W442" s="13"/>
      <c r="X442" s="13"/>
      <c r="Y442" s="13"/>
      <c r="Z442" s="13"/>
      <c r="AA442" s="13"/>
      <c r="AB442" s="13"/>
    </row>
    <row r="443" spans="1:28" ht="17.399999999999999" x14ac:dyDescent="0.35">
      <c r="A443" s="16"/>
      <c r="B443" s="17"/>
      <c r="C443" s="13"/>
      <c r="D443" s="13"/>
      <c r="E443" s="15"/>
      <c r="F443" s="13"/>
      <c r="G443" s="13"/>
      <c r="H443" s="6"/>
      <c r="I443" s="13"/>
      <c r="J443" s="13"/>
      <c r="K443" s="13"/>
      <c r="L443" s="13"/>
      <c r="M443" s="13"/>
      <c r="N443" s="13"/>
      <c r="O443" s="13"/>
      <c r="P443" s="13"/>
      <c r="Q443" s="13"/>
      <c r="R443" s="13"/>
      <c r="S443" s="13"/>
      <c r="T443" s="13"/>
      <c r="U443" s="13"/>
      <c r="V443" s="13"/>
      <c r="W443" s="13"/>
      <c r="X443" s="13"/>
      <c r="Y443" s="13"/>
      <c r="Z443" s="13"/>
      <c r="AA443" s="13"/>
      <c r="AB443" s="13"/>
    </row>
    <row r="444" spans="1:28" ht="17.399999999999999" x14ac:dyDescent="0.35">
      <c r="A444" s="16"/>
      <c r="B444" s="17"/>
      <c r="C444" s="13"/>
      <c r="D444" s="13"/>
      <c r="E444" s="15"/>
      <c r="F444" s="13"/>
      <c r="G444" s="13"/>
      <c r="H444" s="6"/>
      <c r="I444" s="13"/>
      <c r="J444" s="13"/>
      <c r="K444" s="13"/>
      <c r="L444" s="13"/>
      <c r="M444" s="13"/>
      <c r="N444" s="13"/>
      <c r="O444" s="13"/>
      <c r="P444" s="13"/>
      <c r="Q444" s="13"/>
      <c r="R444" s="13"/>
      <c r="S444" s="13"/>
      <c r="T444" s="13"/>
      <c r="U444" s="13"/>
      <c r="V444" s="13"/>
      <c r="W444" s="13"/>
      <c r="X444" s="13"/>
      <c r="Y444" s="13"/>
      <c r="Z444" s="13"/>
      <c r="AA444" s="13"/>
      <c r="AB444" s="13"/>
    </row>
    <row r="445" spans="1:28" ht="17.399999999999999" x14ac:dyDescent="0.35">
      <c r="A445" s="16"/>
      <c r="B445" s="17"/>
      <c r="C445" s="13"/>
      <c r="D445" s="13"/>
      <c r="E445" s="15"/>
      <c r="F445" s="13"/>
      <c r="G445" s="13"/>
      <c r="H445" s="6"/>
      <c r="I445" s="13"/>
      <c r="J445" s="13"/>
      <c r="K445" s="13"/>
      <c r="L445" s="13"/>
      <c r="M445" s="13"/>
      <c r="N445" s="13"/>
      <c r="O445" s="13"/>
      <c r="P445" s="13"/>
      <c r="Q445" s="13"/>
      <c r="R445" s="13"/>
      <c r="S445" s="13"/>
      <c r="T445" s="13"/>
      <c r="U445" s="13"/>
      <c r="V445" s="13"/>
      <c r="W445" s="13"/>
      <c r="X445" s="13"/>
      <c r="Y445" s="13"/>
      <c r="Z445" s="13"/>
      <c r="AA445" s="13"/>
      <c r="AB445" s="13"/>
    </row>
    <row r="446" spans="1:28" ht="17.399999999999999" x14ac:dyDescent="0.35">
      <c r="A446" s="16"/>
      <c r="B446" s="17"/>
      <c r="C446" s="13"/>
      <c r="D446" s="13"/>
      <c r="E446" s="15"/>
      <c r="F446" s="13"/>
      <c r="G446" s="13"/>
      <c r="H446" s="6"/>
      <c r="I446" s="13"/>
      <c r="J446" s="13"/>
      <c r="K446" s="13"/>
      <c r="L446" s="13"/>
      <c r="M446" s="13"/>
      <c r="N446" s="13"/>
      <c r="O446" s="13"/>
      <c r="P446" s="13"/>
      <c r="Q446" s="13"/>
      <c r="R446" s="13"/>
      <c r="S446" s="13"/>
      <c r="T446" s="13"/>
      <c r="U446" s="13"/>
      <c r="V446" s="13"/>
      <c r="W446" s="13"/>
      <c r="X446" s="13"/>
      <c r="Y446" s="13"/>
      <c r="Z446" s="13"/>
      <c r="AA446" s="13"/>
      <c r="AB446" s="13"/>
    </row>
    <row r="447" spans="1:28" ht="17.399999999999999" x14ac:dyDescent="0.35">
      <c r="A447" s="16"/>
      <c r="B447" s="17"/>
      <c r="C447" s="13"/>
      <c r="D447" s="13"/>
      <c r="E447" s="15"/>
      <c r="F447" s="13"/>
      <c r="G447" s="13"/>
      <c r="H447" s="6"/>
      <c r="I447" s="13"/>
      <c r="J447" s="13"/>
      <c r="K447" s="13"/>
      <c r="L447" s="13"/>
      <c r="M447" s="13"/>
      <c r="N447" s="13"/>
      <c r="O447" s="13"/>
      <c r="P447" s="13"/>
      <c r="Q447" s="13"/>
      <c r="R447" s="13"/>
      <c r="S447" s="13"/>
      <c r="T447" s="13"/>
      <c r="U447" s="13"/>
      <c r="V447" s="13"/>
      <c r="W447" s="13"/>
      <c r="X447" s="13"/>
      <c r="Y447" s="13"/>
      <c r="Z447" s="13"/>
      <c r="AA447" s="13"/>
      <c r="AB447" s="13"/>
    </row>
    <row r="448" spans="1:28" ht="17.399999999999999" x14ac:dyDescent="0.35">
      <c r="A448" s="16"/>
      <c r="B448" s="17"/>
      <c r="C448" s="13"/>
      <c r="D448" s="13"/>
      <c r="E448" s="15"/>
      <c r="F448" s="13"/>
      <c r="G448" s="13"/>
      <c r="H448" s="6"/>
      <c r="I448" s="13"/>
      <c r="J448" s="13"/>
      <c r="K448" s="13"/>
      <c r="L448" s="13"/>
      <c r="M448" s="13"/>
      <c r="N448" s="13"/>
      <c r="O448" s="13"/>
      <c r="P448" s="13"/>
      <c r="Q448" s="13"/>
      <c r="R448" s="13"/>
      <c r="S448" s="13"/>
      <c r="T448" s="13"/>
      <c r="U448" s="13"/>
      <c r="V448" s="13"/>
      <c r="W448" s="13"/>
      <c r="X448" s="13"/>
      <c r="Y448" s="13"/>
      <c r="Z448" s="13"/>
      <c r="AA448" s="13"/>
      <c r="AB448" s="13"/>
    </row>
    <row r="449" spans="1:28" ht="17.399999999999999" x14ac:dyDescent="0.35">
      <c r="A449" s="16"/>
      <c r="B449" s="17"/>
      <c r="C449" s="13"/>
      <c r="D449" s="13"/>
      <c r="E449" s="15"/>
      <c r="F449" s="13"/>
      <c r="G449" s="13"/>
      <c r="H449" s="6"/>
      <c r="I449" s="13"/>
      <c r="J449" s="13"/>
      <c r="K449" s="13"/>
      <c r="L449" s="13"/>
      <c r="M449" s="13"/>
      <c r="N449" s="13"/>
      <c r="O449" s="13"/>
      <c r="P449" s="13"/>
      <c r="Q449" s="13"/>
      <c r="R449" s="13"/>
      <c r="S449" s="13"/>
      <c r="T449" s="13"/>
      <c r="U449" s="13"/>
      <c r="V449" s="13"/>
      <c r="W449" s="13"/>
      <c r="X449" s="13"/>
      <c r="Y449" s="13"/>
      <c r="Z449" s="13"/>
      <c r="AA449" s="13"/>
      <c r="AB449" s="13"/>
    </row>
    <row r="450" spans="1:28" ht="17.399999999999999" x14ac:dyDescent="0.35">
      <c r="A450" s="16"/>
      <c r="B450" s="17"/>
      <c r="C450" s="13"/>
      <c r="D450" s="13"/>
      <c r="E450" s="15"/>
      <c r="F450" s="13"/>
      <c r="G450" s="13"/>
      <c r="H450" s="6"/>
      <c r="I450" s="13"/>
      <c r="J450" s="13"/>
      <c r="K450" s="13"/>
      <c r="L450" s="13"/>
      <c r="M450" s="13"/>
      <c r="N450" s="13"/>
      <c r="O450" s="13"/>
      <c r="P450" s="13"/>
      <c r="Q450" s="13"/>
      <c r="R450" s="13"/>
      <c r="S450" s="13"/>
      <c r="T450" s="13"/>
      <c r="U450" s="13"/>
      <c r="V450" s="13"/>
      <c r="W450" s="13"/>
      <c r="X450" s="13"/>
      <c r="Y450" s="13"/>
      <c r="Z450" s="13"/>
      <c r="AA450" s="13"/>
      <c r="AB450" s="13"/>
    </row>
    <row r="451" spans="1:28" ht="17.399999999999999" x14ac:dyDescent="0.35">
      <c r="A451" s="16"/>
      <c r="B451" s="17"/>
      <c r="C451" s="13"/>
      <c r="D451" s="13"/>
      <c r="E451" s="15"/>
      <c r="F451" s="13"/>
      <c r="G451" s="13"/>
      <c r="H451" s="6"/>
      <c r="I451" s="13"/>
      <c r="J451" s="13"/>
      <c r="K451" s="13"/>
      <c r="L451" s="13"/>
      <c r="M451" s="13"/>
      <c r="N451" s="13"/>
      <c r="O451" s="13"/>
      <c r="P451" s="13"/>
      <c r="Q451" s="13"/>
      <c r="R451" s="13"/>
      <c r="S451" s="13"/>
      <c r="T451" s="13"/>
      <c r="U451" s="13"/>
      <c r="V451" s="13"/>
      <c r="W451" s="13"/>
      <c r="X451" s="13"/>
      <c r="Y451" s="13"/>
      <c r="Z451" s="13"/>
      <c r="AA451" s="13"/>
      <c r="AB451" s="13"/>
    </row>
    <row r="452" spans="1:28" ht="17.399999999999999" x14ac:dyDescent="0.35">
      <c r="A452" s="16"/>
      <c r="B452" s="17"/>
      <c r="C452" s="13"/>
      <c r="D452" s="13"/>
      <c r="E452" s="15"/>
      <c r="F452" s="13"/>
      <c r="G452" s="13"/>
      <c r="H452" s="6"/>
      <c r="I452" s="13"/>
      <c r="J452" s="13"/>
      <c r="K452" s="13"/>
      <c r="L452" s="13"/>
      <c r="M452" s="13"/>
      <c r="N452" s="13"/>
      <c r="O452" s="13"/>
      <c r="P452" s="13"/>
      <c r="Q452" s="13"/>
      <c r="R452" s="13"/>
      <c r="S452" s="13"/>
      <c r="T452" s="13"/>
      <c r="U452" s="13"/>
      <c r="V452" s="13"/>
      <c r="W452" s="13"/>
      <c r="X452" s="13"/>
      <c r="Y452" s="13"/>
      <c r="Z452" s="13"/>
      <c r="AA452" s="13"/>
      <c r="AB452" s="13"/>
    </row>
    <row r="453" spans="1:28" ht="17.399999999999999" x14ac:dyDescent="0.35">
      <c r="A453" s="16"/>
      <c r="B453" s="17"/>
      <c r="C453" s="13"/>
      <c r="D453" s="13"/>
      <c r="E453" s="15"/>
      <c r="F453" s="13"/>
      <c r="G453" s="13"/>
      <c r="H453" s="6"/>
      <c r="I453" s="13"/>
      <c r="J453" s="13"/>
      <c r="K453" s="13"/>
      <c r="L453" s="13"/>
      <c r="M453" s="13"/>
      <c r="N453" s="13"/>
      <c r="O453" s="13"/>
      <c r="P453" s="13"/>
      <c r="Q453" s="13"/>
      <c r="R453" s="13"/>
      <c r="S453" s="13"/>
      <c r="T453" s="13"/>
      <c r="U453" s="13"/>
      <c r="V453" s="13"/>
      <c r="W453" s="13"/>
      <c r="X453" s="13"/>
      <c r="Y453" s="13"/>
      <c r="Z453" s="13"/>
      <c r="AA453" s="13"/>
      <c r="AB453" s="13"/>
    </row>
    <row r="454" spans="1:28" ht="17.399999999999999" x14ac:dyDescent="0.35">
      <c r="A454" s="16"/>
      <c r="B454" s="17"/>
      <c r="C454" s="13"/>
      <c r="D454" s="13"/>
      <c r="E454" s="15"/>
      <c r="F454" s="13"/>
      <c r="G454" s="13"/>
      <c r="H454" s="6"/>
      <c r="I454" s="13"/>
      <c r="J454" s="13"/>
      <c r="K454" s="13"/>
      <c r="L454" s="13"/>
      <c r="M454" s="13"/>
      <c r="N454" s="13"/>
      <c r="O454" s="13"/>
      <c r="P454" s="13"/>
      <c r="Q454" s="13"/>
      <c r="R454" s="13"/>
      <c r="S454" s="13"/>
      <c r="T454" s="13"/>
      <c r="U454" s="13"/>
      <c r="V454" s="13"/>
      <c r="W454" s="13"/>
      <c r="X454" s="13"/>
      <c r="Y454" s="13"/>
      <c r="Z454" s="13"/>
      <c r="AA454" s="13"/>
      <c r="AB454" s="13"/>
    </row>
    <row r="455" spans="1:28" ht="17.399999999999999" x14ac:dyDescent="0.35">
      <c r="A455" s="16"/>
      <c r="B455" s="17"/>
      <c r="C455" s="13"/>
      <c r="D455" s="13"/>
      <c r="E455" s="15"/>
      <c r="F455" s="13"/>
      <c r="G455" s="13"/>
      <c r="H455" s="6"/>
      <c r="I455" s="13"/>
      <c r="J455" s="13"/>
      <c r="K455" s="13"/>
      <c r="L455" s="13"/>
      <c r="M455" s="13"/>
      <c r="N455" s="13"/>
      <c r="O455" s="13"/>
      <c r="P455" s="13"/>
      <c r="Q455" s="13"/>
      <c r="R455" s="13"/>
      <c r="S455" s="13"/>
      <c r="T455" s="13"/>
      <c r="U455" s="13"/>
      <c r="V455" s="13"/>
      <c r="W455" s="13"/>
      <c r="X455" s="13"/>
      <c r="Y455" s="13"/>
      <c r="Z455" s="13"/>
      <c r="AA455" s="13"/>
      <c r="AB455" s="13"/>
    </row>
    <row r="456" spans="1:28" ht="17.399999999999999" x14ac:dyDescent="0.35">
      <c r="A456" s="16"/>
      <c r="B456" s="17"/>
      <c r="C456" s="13"/>
      <c r="D456" s="13"/>
      <c r="E456" s="15"/>
      <c r="F456" s="13"/>
      <c r="G456" s="13"/>
      <c r="H456" s="6"/>
      <c r="I456" s="13"/>
      <c r="J456" s="13"/>
      <c r="K456" s="13"/>
      <c r="L456" s="13"/>
      <c r="M456" s="13"/>
      <c r="N456" s="13"/>
      <c r="O456" s="13"/>
      <c r="P456" s="13"/>
      <c r="Q456" s="13"/>
      <c r="R456" s="13"/>
      <c r="S456" s="13"/>
      <c r="T456" s="13"/>
      <c r="U456" s="13"/>
      <c r="V456" s="13"/>
      <c r="W456" s="13"/>
      <c r="X456" s="13"/>
      <c r="Y456" s="13"/>
      <c r="Z456" s="13"/>
      <c r="AA456" s="13"/>
      <c r="AB456" s="13"/>
    </row>
    <row r="457" spans="1:28" ht="17.399999999999999" x14ac:dyDescent="0.35">
      <c r="A457" s="16"/>
      <c r="B457" s="17"/>
      <c r="C457" s="13"/>
      <c r="D457" s="13"/>
      <c r="E457" s="15"/>
      <c r="F457" s="13"/>
      <c r="G457" s="13"/>
      <c r="H457" s="6"/>
      <c r="I457" s="13"/>
      <c r="J457" s="13"/>
      <c r="K457" s="13"/>
      <c r="L457" s="13"/>
      <c r="M457" s="13"/>
      <c r="N457" s="13"/>
      <c r="O457" s="13"/>
      <c r="P457" s="13"/>
      <c r="Q457" s="13"/>
      <c r="R457" s="13"/>
      <c r="S457" s="13"/>
      <c r="T457" s="13"/>
      <c r="U457" s="13"/>
      <c r="V457" s="13"/>
      <c r="W457" s="13"/>
      <c r="X457" s="13"/>
      <c r="Y457" s="13"/>
      <c r="Z457" s="13"/>
      <c r="AA457" s="13"/>
      <c r="AB457" s="13"/>
    </row>
    <row r="458" spans="1:28" ht="17.399999999999999" x14ac:dyDescent="0.35">
      <c r="A458" s="16"/>
      <c r="B458" s="17"/>
      <c r="C458" s="13"/>
      <c r="D458" s="13"/>
      <c r="E458" s="15"/>
      <c r="F458" s="13"/>
      <c r="G458" s="13"/>
      <c r="H458" s="6"/>
      <c r="I458" s="13"/>
      <c r="J458" s="13"/>
      <c r="K458" s="13"/>
      <c r="L458" s="13"/>
      <c r="M458" s="13"/>
      <c r="N458" s="13"/>
      <c r="O458" s="13"/>
      <c r="P458" s="13"/>
      <c r="Q458" s="13"/>
      <c r="R458" s="13"/>
      <c r="S458" s="13"/>
      <c r="T458" s="13"/>
      <c r="U458" s="13"/>
      <c r="V458" s="13"/>
      <c r="W458" s="13"/>
      <c r="X458" s="13"/>
      <c r="Y458" s="13"/>
      <c r="Z458" s="13"/>
      <c r="AA458" s="13"/>
      <c r="AB458" s="13"/>
    </row>
    <row r="459" spans="1:28" ht="17.399999999999999" x14ac:dyDescent="0.35">
      <c r="A459" s="16"/>
      <c r="B459" s="17"/>
      <c r="C459" s="13"/>
      <c r="D459" s="13"/>
      <c r="E459" s="15"/>
      <c r="F459" s="13"/>
      <c r="G459" s="13"/>
      <c r="H459" s="6"/>
      <c r="I459" s="13"/>
      <c r="J459" s="13"/>
      <c r="K459" s="13"/>
      <c r="L459" s="13"/>
      <c r="M459" s="13"/>
      <c r="N459" s="13"/>
      <c r="O459" s="13"/>
      <c r="P459" s="13"/>
      <c r="Q459" s="13"/>
      <c r="R459" s="13"/>
      <c r="S459" s="13"/>
      <c r="T459" s="13"/>
      <c r="U459" s="13"/>
      <c r="V459" s="13"/>
      <c r="W459" s="13"/>
      <c r="X459" s="13"/>
      <c r="Y459" s="13"/>
      <c r="Z459" s="13"/>
      <c r="AA459" s="13"/>
      <c r="AB459" s="13"/>
    </row>
    <row r="460" spans="1:28" ht="17.399999999999999" x14ac:dyDescent="0.35">
      <c r="A460" s="16"/>
      <c r="B460" s="17"/>
      <c r="C460" s="13"/>
      <c r="D460" s="13"/>
      <c r="E460" s="15"/>
      <c r="F460" s="13"/>
      <c r="G460" s="13"/>
      <c r="H460" s="6"/>
      <c r="I460" s="13"/>
      <c r="J460" s="13"/>
      <c r="K460" s="13"/>
      <c r="L460" s="13"/>
      <c r="M460" s="13"/>
      <c r="N460" s="13"/>
      <c r="O460" s="13"/>
      <c r="P460" s="13"/>
      <c r="Q460" s="13"/>
      <c r="R460" s="13"/>
      <c r="S460" s="13"/>
      <c r="T460" s="13"/>
      <c r="U460" s="13"/>
      <c r="V460" s="13"/>
      <c r="W460" s="13"/>
      <c r="X460" s="13"/>
      <c r="Y460" s="13"/>
      <c r="Z460" s="13"/>
      <c r="AA460" s="13"/>
      <c r="AB460" s="13"/>
    </row>
    <row r="461" spans="1:28" ht="17.399999999999999" x14ac:dyDescent="0.35">
      <c r="A461" s="16"/>
      <c r="B461" s="17"/>
      <c r="C461" s="13"/>
      <c r="D461" s="13"/>
      <c r="E461" s="15"/>
      <c r="F461" s="13"/>
      <c r="G461" s="13"/>
      <c r="H461" s="6"/>
      <c r="I461" s="13"/>
      <c r="J461" s="13"/>
      <c r="K461" s="13"/>
      <c r="L461" s="13"/>
      <c r="M461" s="13"/>
      <c r="N461" s="13"/>
      <c r="O461" s="13"/>
      <c r="P461" s="13"/>
      <c r="Q461" s="13"/>
      <c r="R461" s="13"/>
      <c r="S461" s="13"/>
      <c r="T461" s="13"/>
      <c r="U461" s="13"/>
      <c r="V461" s="13"/>
      <c r="W461" s="13"/>
      <c r="X461" s="13"/>
      <c r="Y461" s="13"/>
      <c r="Z461" s="13"/>
      <c r="AA461" s="13"/>
      <c r="AB461" s="13"/>
    </row>
    <row r="462" spans="1:28" ht="17.399999999999999" x14ac:dyDescent="0.35">
      <c r="A462" s="16"/>
      <c r="B462" s="17"/>
      <c r="C462" s="13"/>
      <c r="D462" s="13"/>
      <c r="E462" s="15"/>
      <c r="F462" s="13"/>
      <c r="G462" s="13"/>
      <c r="H462" s="6"/>
      <c r="I462" s="13"/>
      <c r="J462" s="13"/>
      <c r="K462" s="13"/>
      <c r="L462" s="13"/>
      <c r="M462" s="13"/>
      <c r="N462" s="13"/>
      <c r="O462" s="13"/>
      <c r="P462" s="13"/>
      <c r="Q462" s="13"/>
      <c r="R462" s="13"/>
      <c r="S462" s="13"/>
      <c r="T462" s="13"/>
      <c r="U462" s="13"/>
      <c r="V462" s="13"/>
      <c r="W462" s="13"/>
      <c r="X462" s="13"/>
      <c r="Y462" s="13"/>
      <c r="Z462" s="13"/>
      <c r="AA462" s="13"/>
      <c r="AB462" s="13"/>
    </row>
    <row r="463" spans="1:28" ht="17.399999999999999" x14ac:dyDescent="0.35">
      <c r="A463" s="16"/>
      <c r="B463" s="17"/>
      <c r="C463" s="13"/>
      <c r="D463" s="13"/>
      <c r="E463" s="15"/>
      <c r="F463" s="13"/>
      <c r="G463" s="13"/>
      <c r="H463" s="6"/>
      <c r="I463" s="13"/>
      <c r="J463" s="13"/>
      <c r="K463" s="13"/>
      <c r="L463" s="13"/>
      <c r="M463" s="13"/>
      <c r="N463" s="13"/>
      <c r="O463" s="13"/>
      <c r="P463" s="13"/>
      <c r="Q463" s="13"/>
      <c r="R463" s="13"/>
      <c r="S463" s="13"/>
      <c r="T463" s="13"/>
      <c r="U463" s="13"/>
      <c r="V463" s="13"/>
      <c r="W463" s="13"/>
      <c r="X463" s="13"/>
      <c r="Y463" s="13"/>
      <c r="Z463" s="13"/>
      <c r="AA463" s="13"/>
      <c r="AB463" s="13"/>
    </row>
    <row r="464" spans="1:28" ht="17.399999999999999" x14ac:dyDescent="0.35">
      <c r="A464" s="16"/>
      <c r="B464" s="17"/>
      <c r="C464" s="13"/>
      <c r="D464" s="13"/>
      <c r="E464" s="15"/>
      <c r="F464" s="13"/>
      <c r="G464" s="13"/>
      <c r="H464" s="6"/>
      <c r="I464" s="13"/>
      <c r="J464" s="13"/>
      <c r="K464" s="13"/>
      <c r="L464" s="13"/>
      <c r="M464" s="13"/>
      <c r="N464" s="13"/>
      <c r="O464" s="13"/>
      <c r="P464" s="13"/>
      <c r="Q464" s="13"/>
      <c r="R464" s="13"/>
      <c r="S464" s="13"/>
      <c r="T464" s="13"/>
      <c r="U464" s="13"/>
      <c r="V464" s="13"/>
      <c r="W464" s="13"/>
      <c r="X464" s="13"/>
      <c r="Y464" s="13"/>
      <c r="Z464" s="13"/>
      <c r="AA464" s="13"/>
      <c r="AB464" s="13"/>
    </row>
    <row r="465" spans="1:28" ht="17.399999999999999" x14ac:dyDescent="0.35">
      <c r="A465" s="16"/>
      <c r="B465" s="17"/>
      <c r="C465" s="13"/>
      <c r="D465" s="13"/>
      <c r="E465" s="15"/>
      <c r="F465" s="13"/>
      <c r="G465" s="13"/>
      <c r="H465" s="6"/>
      <c r="I465" s="13"/>
      <c r="J465" s="13"/>
      <c r="K465" s="13"/>
      <c r="L465" s="13"/>
      <c r="M465" s="13"/>
      <c r="N465" s="13"/>
      <c r="O465" s="13"/>
      <c r="P465" s="13"/>
      <c r="Q465" s="13"/>
      <c r="R465" s="13"/>
      <c r="S465" s="13"/>
      <c r="T465" s="13"/>
      <c r="U465" s="13"/>
      <c r="V465" s="13"/>
      <c r="W465" s="13"/>
      <c r="X465" s="13"/>
      <c r="Y465" s="13"/>
      <c r="Z465" s="13"/>
      <c r="AA465" s="13"/>
      <c r="AB465" s="13"/>
    </row>
    <row r="466" spans="1:28" ht="17.399999999999999" x14ac:dyDescent="0.35">
      <c r="A466" s="16"/>
      <c r="B466" s="17"/>
      <c r="C466" s="13"/>
      <c r="D466" s="13"/>
      <c r="E466" s="15"/>
      <c r="F466" s="13"/>
      <c r="G466" s="13"/>
      <c r="H466" s="6"/>
      <c r="I466" s="13"/>
      <c r="J466" s="13"/>
      <c r="K466" s="13"/>
      <c r="L466" s="13"/>
      <c r="M466" s="13"/>
      <c r="N466" s="13"/>
      <c r="O466" s="13"/>
      <c r="P466" s="13"/>
      <c r="Q466" s="13"/>
      <c r="R466" s="13"/>
      <c r="S466" s="13"/>
      <c r="T466" s="13"/>
      <c r="U466" s="13"/>
      <c r="V466" s="13"/>
      <c r="W466" s="13"/>
      <c r="X466" s="13"/>
      <c r="Y466" s="13"/>
      <c r="Z466" s="13"/>
      <c r="AA466" s="13"/>
      <c r="AB466" s="13"/>
    </row>
    <row r="467" spans="1:28" ht="17.399999999999999" x14ac:dyDescent="0.35">
      <c r="A467" s="16"/>
      <c r="B467" s="17"/>
      <c r="C467" s="13"/>
      <c r="D467" s="13"/>
      <c r="E467" s="15"/>
      <c r="F467" s="13"/>
      <c r="G467" s="13"/>
      <c r="H467" s="6"/>
      <c r="I467" s="13"/>
      <c r="J467" s="13"/>
      <c r="K467" s="13"/>
      <c r="L467" s="13"/>
      <c r="M467" s="13"/>
      <c r="N467" s="13"/>
      <c r="O467" s="13"/>
      <c r="P467" s="13"/>
      <c r="Q467" s="13"/>
      <c r="R467" s="13"/>
      <c r="S467" s="13"/>
      <c r="T467" s="13"/>
      <c r="U467" s="13"/>
      <c r="V467" s="13"/>
      <c r="W467" s="13"/>
      <c r="X467" s="13"/>
      <c r="Y467" s="13"/>
      <c r="Z467" s="13"/>
      <c r="AA467" s="13"/>
      <c r="AB467" s="13"/>
    </row>
    <row r="468" spans="1:28" ht="17.399999999999999" x14ac:dyDescent="0.35">
      <c r="A468" s="16"/>
      <c r="B468" s="17"/>
      <c r="C468" s="13"/>
      <c r="D468" s="13"/>
      <c r="E468" s="15"/>
      <c r="F468" s="13"/>
      <c r="G468" s="13"/>
      <c r="H468" s="6"/>
      <c r="I468" s="13"/>
      <c r="J468" s="13"/>
      <c r="K468" s="13"/>
      <c r="L468" s="13"/>
      <c r="M468" s="13"/>
      <c r="N468" s="13"/>
      <c r="O468" s="13"/>
      <c r="P468" s="13"/>
      <c r="Q468" s="13"/>
      <c r="R468" s="13"/>
      <c r="S468" s="13"/>
      <c r="T468" s="13"/>
      <c r="U468" s="13"/>
      <c r="V468" s="13"/>
      <c r="W468" s="13"/>
      <c r="X468" s="13"/>
      <c r="Y468" s="13"/>
      <c r="Z468" s="13"/>
      <c r="AA468" s="13"/>
      <c r="AB468" s="13"/>
    </row>
    <row r="469" spans="1:28" ht="17.399999999999999" x14ac:dyDescent="0.35">
      <c r="A469" s="16"/>
      <c r="B469" s="17"/>
      <c r="C469" s="13"/>
      <c r="D469" s="13"/>
      <c r="E469" s="15"/>
      <c r="F469" s="13"/>
      <c r="G469" s="13"/>
      <c r="H469" s="6"/>
      <c r="I469" s="13"/>
      <c r="J469" s="13"/>
      <c r="K469" s="13"/>
      <c r="L469" s="13"/>
      <c r="M469" s="13"/>
      <c r="N469" s="13"/>
      <c r="O469" s="13"/>
      <c r="P469" s="13"/>
      <c r="Q469" s="13"/>
      <c r="R469" s="13"/>
      <c r="S469" s="13"/>
      <c r="T469" s="13"/>
      <c r="U469" s="13"/>
      <c r="V469" s="13"/>
      <c r="W469" s="13"/>
      <c r="X469" s="13"/>
      <c r="Y469" s="13"/>
      <c r="Z469" s="13"/>
      <c r="AA469" s="13"/>
      <c r="AB469" s="13"/>
    </row>
    <row r="470" spans="1:28" ht="17.399999999999999" x14ac:dyDescent="0.35">
      <c r="A470" s="16"/>
      <c r="B470" s="17"/>
      <c r="C470" s="13"/>
      <c r="D470" s="13"/>
      <c r="E470" s="15"/>
      <c r="F470" s="13"/>
      <c r="G470" s="13"/>
      <c r="H470" s="6"/>
      <c r="I470" s="13"/>
      <c r="J470" s="13"/>
      <c r="K470" s="13"/>
      <c r="L470" s="13"/>
      <c r="M470" s="13"/>
      <c r="N470" s="13"/>
      <c r="O470" s="13"/>
      <c r="P470" s="13"/>
      <c r="Q470" s="13"/>
      <c r="R470" s="13"/>
      <c r="S470" s="13"/>
      <c r="T470" s="13"/>
      <c r="U470" s="13"/>
      <c r="V470" s="13"/>
      <c r="W470" s="13"/>
      <c r="X470" s="13"/>
      <c r="Y470" s="13"/>
      <c r="Z470" s="13"/>
      <c r="AA470" s="13"/>
      <c r="AB470" s="13"/>
    </row>
    <row r="471" spans="1:28" ht="17.399999999999999" x14ac:dyDescent="0.35">
      <c r="A471" s="16"/>
      <c r="B471" s="17"/>
      <c r="C471" s="13"/>
      <c r="D471" s="13"/>
      <c r="E471" s="15"/>
      <c r="F471" s="13"/>
      <c r="G471" s="13"/>
      <c r="H471" s="6"/>
      <c r="I471" s="13"/>
      <c r="J471" s="13"/>
      <c r="K471" s="13"/>
      <c r="L471" s="13"/>
      <c r="M471" s="13"/>
      <c r="N471" s="13"/>
      <c r="O471" s="13"/>
      <c r="P471" s="13"/>
      <c r="Q471" s="13"/>
      <c r="R471" s="13"/>
      <c r="S471" s="13"/>
      <c r="T471" s="13"/>
      <c r="U471" s="13"/>
      <c r="V471" s="13"/>
      <c r="W471" s="13"/>
      <c r="X471" s="13"/>
      <c r="Y471" s="13"/>
      <c r="Z471" s="13"/>
      <c r="AA471" s="13"/>
      <c r="AB471" s="13"/>
    </row>
    <row r="472" spans="1:28" ht="17.399999999999999" x14ac:dyDescent="0.35">
      <c r="A472" s="16"/>
      <c r="B472" s="17"/>
      <c r="C472" s="13"/>
      <c r="D472" s="13"/>
      <c r="E472" s="15"/>
      <c r="F472" s="13"/>
      <c r="G472" s="13"/>
      <c r="H472" s="6"/>
      <c r="I472" s="13"/>
      <c r="J472" s="13"/>
      <c r="K472" s="13"/>
      <c r="L472" s="13"/>
      <c r="M472" s="13"/>
      <c r="N472" s="13"/>
      <c r="O472" s="13"/>
      <c r="P472" s="13"/>
      <c r="Q472" s="13"/>
      <c r="R472" s="13"/>
      <c r="S472" s="13"/>
      <c r="T472" s="13"/>
      <c r="U472" s="13"/>
      <c r="V472" s="13"/>
      <c r="W472" s="13"/>
      <c r="X472" s="13"/>
      <c r="Y472" s="13"/>
      <c r="Z472" s="13"/>
      <c r="AA472" s="13"/>
      <c r="AB472" s="13"/>
    </row>
    <row r="473" spans="1:28" ht="17.399999999999999" x14ac:dyDescent="0.35">
      <c r="A473" s="16"/>
      <c r="B473" s="17"/>
      <c r="C473" s="13"/>
      <c r="D473" s="13"/>
      <c r="E473" s="15"/>
      <c r="F473" s="13"/>
      <c r="G473" s="13"/>
      <c r="H473" s="6"/>
      <c r="I473" s="13"/>
      <c r="J473" s="13"/>
      <c r="K473" s="13"/>
      <c r="L473" s="13"/>
      <c r="M473" s="13"/>
      <c r="N473" s="13"/>
      <c r="O473" s="13"/>
      <c r="P473" s="13"/>
      <c r="Q473" s="13"/>
      <c r="R473" s="13"/>
      <c r="S473" s="13"/>
      <c r="T473" s="13"/>
      <c r="U473" s="13"/>
      <c r="V473" s="13"/>
      <c r="W473" s="13"/>
      <c r="X473" s="13"/>
      <c r="Y473" s="13"/>
      <c r="Z473" s="13"/>
      <c r="AA473" s="13"/>
      <c r="AB473" s="13"/>
    </row>
    <row r="474" spans="1:28" ht="17.399999999999999" x14ac:dyDescent="0.35">
      <c r="A474" s="16"/>
      <c r="B474" s="17"/>
      <c r="C474" s="13"/>
      <c r="D474" s="13"/>
      <c r="E474" s="15"/>
      <c r="F474" s="13"/>
      <c r="G474" s="13"/>
      <c r="H474" s="6"/>
      <c r="I474" s="13"/>
      <c r="J474" s="13"/>
      <c r="K474" s="13"/>
      <c r="L474" s="13"/>
      <c r="M474" s="13"/>
      <c r="N474" s="13"/>
      <c r="O474" s="13"/>
      <c r="P474" s="13"/>
      <c r="Q474" s="13"/>
      <c r="R474" s="13"/>
      <c r="S474" s="13"/>
      <c r="T474" s="13"/>
      <c r="U474" s="13"/>
      <c r="V474" s="13"/>
      <c r="W474" s="13"/>
      <c r="X474" s="13"/>
      <c r="Y474" s="13"/>
      <c r="Z474" s="13"/>
      <c r="AA474" s="13"/>
      <c r="AB474" s="13"/>
    </row>
    <row r="475" spans="1:28" ht="17.399999999999999" x14ac:dyDescent="0.35">
      <c r="A475" s="16"/>
      <c r="B475" s="17"/>
      <c r="C475" s="13"/>
      <c r="D475" s="13"/>
      <c r="E475" s="15"/>
      <c r="F475" s="13"/>
      <c r="G475" s="13"/>
      <c r="H475" s="6"/>
      <c r="I475" s="13"/>
      <c r="J475" s="13"/>
      <c r="K475" s="13"/>
      <c r="L475" s="13"/>
      <c r="M475" s="13"/>
      <c r="N475" s="13"/>
      <c r="O475" s="13"/>
      <c r="P475" s="13"/>
      <c r="Q475" s="13"/>
      <c r="R475" s="13"/>
      <c r="S475" s="13"/>
      <c r="T475" s="13"/>
      <c r="U475" s="13"/>
      <c r="V475" s="13"/>
      <c r="W475" s="13"/>
      <c r="X475" s="13"/>
      <c r="Y475" s="13"/>
      <c r="Z475" s="13"/>
      <c r="AA475" s="13"/>
      <c r="AB475" s="13"/>
    </row>
    <row r="476" spans="1:28" ht="17.399999999999999" x14ac:dyDescent="0.35">
      <c r="A476" s="16"/>
      <c r="B476" s="17"/>
      <c r="C476" s="13"/>
      <c r="D476" s="13"/>
      <c r="E476" s="15"/>
      <c r="F476" s="13"/>
      <c r="G476" s="13"/>
      <c r="H476" s="6"/>
      <c r="I476" s="13"/>
      <c r="J476" s="13"/>
      <c r="K476" s="13"/>
      <c r="L476" s="13"/>
      <c r="M476" s="13"/>
      <c r="N476" s="13"/>
      <c r="O476" s="13"/>
      <c r="P476" s="13"/>
      <c r="Q476" s="13"/>
      <c r="R476" s="13"/>
      <c r="S476" s="13"/>
      <c r="T476" s="13"/>
      <c r="U476" s="13"/>
      <c r="V476" s="13"/>
      <c r="W476" s="13"/>
      <c r="X476" s="13"/>
      <c r="Y476" s="13"/>
      <c r="Z476" s="13"/>
      <c r="AA476" s="13"/>
      <c r="AB476" s="13"/>
    </row>
    <row r="477" spans="1:28" ht="17.399999999999999" x14ac:dyDescent="0.35">
      <c r="A477" s="16"/>
      <c r="B477" s="17"/>
      <c r="C477" s="13"/>
      <c r="D477" s="13"/>
      <c r="E477" s="15"/>
      <c r="F477" s="13"/>
      <c r="G477" s="13"/>
      <c r="H477" s="6"/>
      <c r="I477" s="13"/>
      <c r="J477" s="13"/>
      <c r="K477" s="13"/>
      <c r="L477" s="13"/>
      <c r="M477" s="13"/>
      <c r="N477" s="13"/>
      <c r="O477" s="13"/>
      <c r="P477" s="13"/>
      <c r="Q477" s="13"/>
      <c r="R477" s="13"/>
      <c r="S477" s="13"/>
      <c r="T477" s="13"/>
      <c r="U477" s="13"/>
      <c r="V477" s="13"/>
      <c r="W477" s="13"/>
      <c r="X477" s="13"/>
      <c r="Y477" s="13"/>
      <c r="Z477" s="13"/>
      <c r="AA477" s="13"/>
      <c r="AB477" s="13"/>
    </row>
    <row r="478" spans="1:28" ht="17.399999999999999" x14ac:dyDescent="0.35">
      <c r="A478" s="16"/>
      <c r="B478" s="17"/>
      <c r="C478" s="13"/>
      <c r="D478" s="13"/>
      <c r="E478" s="15"/>
      <c r="F478" s="13"/>
      <c r="G478" s="13"/>
      <c r="H478" s="6"/>
      <c r="I478" s="13"/>
      <c r="J478" s="13"/>
      <c r="K478" s="13"/>
      <c r="L478" s="13"/>
      <c r="M478" s="13"/>
      <c r="N478" s="13"/>
      <c r="O478" s="13"/>
      <c r="P478" s="13"/>
      <c r="Q478" s="13"/>
      <c r="R478" s="13"/>
      <c r="S478" s="13"/>
      <c r="T478" s="13"/>
      <c r="U478" s="13"/>
      <c r="V478" s="13"/>
      <c r="W478" s="13"/>
      <c r="X478" s="13"/>
      <c r="Y478" s="13"/>
      <c r="Z478" s="13"/>
      <c r="AA478" s="13"/>
      <c r="AB478" s="13"/>
    </row>
    <row r="479" spans="1:28" ht="17.399999999999999" x14ac:dyDescent="0.35">
      <c r="A479" s="16"/>
      <c r="B479" s="17"/>
      <c r="C479" s="13"/>
      <c r="D479" s="13"/>
      <c r="E479" s="15"/>
      <c r="F479" s="13"/>
      <c r="G479" s="13"/>
      <c r="H479" s="6"/>
      <c r="I479" s="13"/>
      <c r="J479" s="13"/>
      <c r="K479" s="13"/>
      <c r="L479" s="13"/>
      <c r="M479" s="13"/>
      <c r="N479" s="13"/>
      <c r="O479" s="13"/>
      <c r="P479" s="13"/>
      <c r="Q479" s="13"/>
      <c r="R479" s="13"/>
      <c r="S479" s="13"/>
      <c r="T479" s="13"/>
      <c r="U479" s="13"/>
      <c r="V479" s="13"/>
      <c r="W479" s="13"/>
      <c r="X479" s="13"/>
      <c r="Y479" s="13"/>
      <c r="Z479" s="13"/>
      <c r="AA479" s="13"/>
      <c r="AB479" s="13"/>
    </row>
    <row r="480" spans="1:28" ht="17.399999999999999" x14ac:dyDescent="0.35">
      <c r="A480" s="16"/>
      <c r="B480" s="17"/>
      <c r="C480" s="13"/>
      <c r="D480" s="13"/>
      <c r="E480" s="15"/>
      <c r="F480" s="13"/>
      <c r="G480" s="13"/>
      <c r="H480" s="6"/>
      <c r="I480" s="13"/>
      <c r="J480" s="13"/>
      <c r="K480" s="13"/>
      <c r="L480" s="13"/>
      <c r="M480" s="13"/>
      <c r="N480" s="13"/>
      <c r="O480" s="13"/>
      <c r="P480" s="13"/>
      <c r="Q480" s="13"/>
      <c r="R480" s="13"/>
      <c r="S480" s="13"/>
      <c r="T480" s="13"/>
      <c r="U480" s="13"/>
      <c r="V480" s="13"/>
      <c r="W480" s="13"/>
      <c r="X480" s="13"/>
      <c r="Y480" s="13"/>
      <c r="Z480" s="13"/>
      <c r="AA480" s="13"/>
      <c r="AB480" s="13"/>
    </row>
    <row r="481" spans="1:28" ht="17.399999999999999" x14ac:dyDescent="0.35">
      <c r="A481" s="16"/>
      <c r="B481" s="17"/>
      <c r="C481" s="13"/>
      <c r="D481" s="13"/>
      <c r="E481" s="15"/>
      <c r="F481" s="13"/>
      <c r="G481" s="13"/>
      <c r="H481" s="6"/>
      <c r="I481" s="13"/>
      <c r="J481" s="13"/>
      <c r="K481" s="13"/>
      <c r="L481" s="13"/>
      <c r="M481" s="13"/>
      <c r="N481" s="13"/>
      <c r="O481" s="13"/>
      <c r="P481" s="13"/>
      <c r="Q481" s="13"/>
      <c r="R481" s="13"/>
      <c r="S481" s="13"/>
      <c r="T481" s="13"/>
      <c r="U481" s="13"/>
      <c r="V481" s="13"/>
      <c r="W481" s="13"/>
      <c r="X481" s="13"/>
      <c r="Y481" s="13"/>
      <c r="Z481" s="13"/>
      <c r="AA481" s="13"/>
      <c r="AB481" s="13"/>
    </row>
    <row r="482" spans="1:28" ht="17.399999999999999" x14ac:dyDescent="0.35">
      <c r="A482" s="16"/>
      <c r="B482" s="17"/>
      <c r="C482" s="13"/>
      <c r="D482" s="13"/>
      <c r="E482" s="15"/>
      <c r="F482" s="13"/>
      <c r="G482" s="13"/>
      <c r="H482" s="6"/>
      <c r="I482" s="13"/>
      <c r="J482" s="13"/>
      <c r="K482" s="13"/>
      <c r="L482" s="13"/>
      <c r="M482" s="13"/>
      <c r="N482" s="13"/>
      <c r="O482" s="13"/>
      <c r="P482" s="13"/>
      <c r="Q482" s="13"/>
      <c r="R482" s="13"/>
      <c r="S482" s="13"/>
      <c r="T482" s="13"/>
      <c r="U482" s="13"/>
      <c r="V482" s="13"/>
      <c r="W482" s="13"/>
      <c r="X482" s="13"/>
      <c r="Y482" s="13"/>
      <c r="Z482" s="13"/>
      <c r="AA482" s="13"/>
      <c r="AB482" s="13"/>
    </row>
    <row r="483" spans="1:28" ht="17.399999999999999" x14ac:dyDescent="0.35">
      <c r="A483" s="16"/>
      <c r="B483" s="17"/>
      <c r="C483" s="13"/>
      <c r="D483" s="13"/>
      <c r="E483" s="15"/>
      <c r="F483" s="13"/>
      <c r="G483" s="13"/>
      <c r="H483" s="6"/>
      <c r="I483" s="13"/>
      <c r="J483" s="13"/>
      <c r="K483" s="13"/>
      <c r="L483" s="13"/>
      <c r="M483" s="13"/>
      <c r="N483" s="13"/>
      <c r="O483" s="13"/>
      <c r="P483" s="13"/>
      <c r="Q483" s="13"/>
      <c r="R483" s="13"/>
      <c r="S483" s="13"/>
      <c r="T483" s="13"/>
      <c r="U483" s="13"/>
      <c r="V483" s="13"/>
      <c r="W483" s="13"/>
      <c r="X483" s="13"/>
      <c r="Y483" s="13"/>
      <c r="Z483" s="13"/>
      <c r="AA483" s="13"/>
      <c r="AB483" s="13"/>
    </row>
    <row r="484" spans="1:28" ht="17.399999999999999" x14ac:dyDescent="0.35">
      <c r="A484" s="16"/>
      <c r="B484" s="17"/>
      <c r="C484" s="13"/>
      <c r="D484" s="13"/>
      <c r="E484" s="15"/>
      <c r="F484" s="13"/>
      <c r="G484" s="13"/>
      <c r="H484" s="6"/>
      <c r="I484" s="13"/>
      <c r="J484" s="13"/>
      <c r="K484" s="13"/>
      <c r="L484" s="13"/>
      <c r="M484" s="13"/>
      <c r="N484" s="13"/>
      <c r="O484" s="13"/>
      <c r="P484" s="13"/>
      <c r="Q484" s="13"/>
      <c r="R484" s="13"/>
      <c r="S484" s="13"/>
      <c r="T484" s="13"/>
      <c r="U484" s="13"/>
      <c r="V484" s="13"/>
      <c r="W484" s="13"/>
      <c r="X484" s="13"/>
      <c r="Y484" s="13"/>
      <c r="Z484" s="13"/>
      <c r="AA484" s="13"/>
      <c r="AB484" s="13"/>
    </row>
    <row r="485" spans="1:28" ht="17.399999999999999" x14ac:dyDescent="0.35">
      <c r="A485" s="16"/>
      <c r="B485" s="17"/>
      <c r="C485" s="13"/>
      <c r="D485" s="13"/>
      <c r="E485" s="15"/>
      <c r="F485" s="13"/>
      <c r="G485" s="13"/>
      <c r="H485" s="6"/>
      <c r="I485" s="13"/>
      <c r="J485" s="13"/>
      <c r="K485" s="13"/>
      <c r="L485" s="13"/>
      <c r="M485" s="13"/>
      <c r="N485" s="13"/>
      <c r="O485" s="13"/>
      <c r="P485" s="13"/>
      <c r="Q485" s="13"/>
      <c r="R485" s="13"/>
      <c r="S485" s="13"/>
      <c r="T485" s="13"/>
      <c r="U485" s="13"/>
      <c r="V485" s="13"/>
      <c r="W485" s="13"/>
      <c r="X485" s="13"/>
      <c r="Y485" s="13"/>
      <c r="Z485" s="13"/>
      <c r="AA485" s="13"/>
      <c r="AB485" s="13"/>
    </row>
    <row r="486" spans="1:28" ht="17.399999999999999" x14ac:dyDescent="0.35">
      <c r="A486" s="16"/>
      <c r="B486" s="17"/>
      <c r="C486" s="13"/>
      <c r="D486" s="13"/>
      <c r="E486" s="15"/>
      <c r="F486" s="13"/>
      <c r="G486" s="13"/>
      <c r="H486" s="6"/>
      <c r="I486" s="13"/>
      <c r="J486" s="13"/>
      <c r="K486" s="13"/>
      <c r="L486" s="13"/>
      <c r="M486" s="13"/>
      <c r="N486" s="13"/>
      <c r="O486" s="13"/>
      <c r="P486" s="13"/>
      <c r="Q486" s="13"/>
      <c r="R486" s="13"/>
      <c r="S486" s="13"/>
      <c r="T486" s="13"/>
      <c r="U486" s="13"/>
      <c r="V486" s="13"/>
      <c r="W486" s="13"/>
      <c r="X486" s="13"/>
      <c r="Y486" s="13"/>
      <c r="Z486" s="13"/>
      <c r="AA486" s="13"/>
      <c r="AB486" s="13"/>
    </row>
    <row r="487" spans="1:28" ht="17.399999999999999" x14ac:dyDescent="0.35">
      <c r="A487" s="16"/>
      <c r="B487" s="17"/>
      <c r="C487" s="13"/>
      <c r="D487" s="13"/>
      <c r="E487" s="15"/>
      <c r="F487" s="13"/>
      <c r="G487" s="13"/>
      <c r="H487" s="6"/>
      <c r="I487" s="13"/>
      <c r="J487" s="13"/>
      <c r="K487" s="13"/>
      <c r="L487" s="13"/>
      <c r="M487" s="13"/>
      <c r="N487" s="13"/>
      <c r="O487" s="13"/>
      <c r="P487" s="13"/>
      <c r="Q487" s="13"/>
      <c r="R487" s="13"/>
      <c r="S487" s="13"/>
      <c r="T487" s="13"/>
      <c r="U487" s="13"/>
      <c r="V487" s="13"/>
      <c r="W487" s="13"/>
      <c r="X487" s="13"/>
      <c r="Y487" s="13"/>
      <c r="Z487" s="13"/>
      <c r="AA487" s="13"/>
      <c r="AB487" s="13"/>
    </row>
    <row r="488" spans="1:28" ht="17.399999999999999" x14ac:dyDescent="0.35">
      <c r="A488" s="16"/>
      <c r="B488" s="17"/>
      <c r="C488" s="13"/>
      <c r="D488" s="13"/>
      <c r="E488" s="15"/>
      <c r="F488" s="13"/>
      <c r="G488" s="13"/>
      <c r="H488" s="6"/>
      <c r="I488" s="13"/>
      <c r="J488" s="13"/>
      <c r="K488" s="13"/>
      <c r="L488" s="13"/>
      <c r="M488" s="13"/>
      <c r="N488" s="13"/>
      <c r="O488" s="13"/>
      <c r="P488" s="13"/>
      <c r="Q488" s="13"/>
      <c r="R488" s="13"/>
      <c r="S488" s="13"/>
      <c r="T488" s="13"/>
      <c r="U488" s="13"/>
      <c r="V488" s="13"/>
      <c r="W488" s="13"/>
      <c r="X488" s="13"/>
      <c r="Y488" s="13"/>
      <c r="Z488" s="13"/>
      <c r="AA488" s="13"/>
      <c r="AB488" s="13"/>
    </row>
    <row r="489" spans="1:28" ht="17.399999999999999" x14ac:dyDescent="0.35">
      <c r="A489" s="16"/>
      <c r="B489" s="17"/>
      <c r="C489" s="13"/>
      <c r="D489" s="13"/>
      <c r="E489" s="15"/>
      <c r="F489" s="13"/>
      <c r="G489" s="13"/>
      <c r="H489" s="6"/>
      <c r="I489" s="13"/>
      <c r="J489" s="13"/>
      <c r="K489" s="13"/>
      <c r="L489" s="13"/>
      <c r="M489" s="13"/>
      <c r="N489" s="13"/>
      <c r="O489" s="13"/>
      <c r="P489" s="13"/>
      <c r="Q489" s="13"/>
      <c r="R489" s="13"/>
      <c r="S489" s="13"/>
      <c r="T489" s="13"/>
      <c r="U489" s="13"/>
      <c r="V489" s="13"/>
      <c r="W489" s="13"/>
      <c r="X489" s="13"/>
      <c r="Y489" s="13"/>
      <c r="Z489" s="13"/>
      <c r="AA489" s="13"/>
      <c r="AB489" s="13"/>
    </row>
    <row r="490" spans="1:28" ht="17.399999999999999" x14ac:dyDescent="0.35">
      <c r="A490" s="16"/>
      <c r="B490" s="17"/>
      <c r="C490" s="13"/>
      <c r="D490" s="13"/>
      <c r="E490" s="15"/>
      <c r="F490" s="13"/>
      <c r="G490" s="13"/>
      <c r="H490" s="6"/>
      <c r="I490" s="13"/>
      <c r="J490" s="13"/>
      <c r="K490" s="13"/>
      <c r="L490" s="13"/>
      <c r="M490" s="13"/>
      <c r="N490" s="13"/>
      <c r="O490" s="13"/>
      <c r="P490" s="13"/>
      <c r="Q490" s="13"/>
      <c r="R490" s="13"/>
      <c r="S490" s="13"/>
      <c r="T490" s="13"/>
      <c r="U490" s="13"/>
      <c r="V490" s="13"/>
      <c r="W490" s="13"/>
      <c r="X490" s="13"/>
      <c r="Y490" s="13"/>
      <c r="Z490" s="13"/>
      <c r="AA490" s="13"/>
      <c r="AB490" s="13"/>
    </row>
    <row r="491" spans="1:28" ht="17.399999999999999" x14ac:dyDescent="0.35">
      <c r="A491" s="16"/>
      <c r="B491" s="17"/>
      <c r="C491" s="13"/>
      <c r="D491" s="13"/>
      <c r="E491" s="15"/>
      <c r="F491" s="13"/>
      <c r="G491" s="13"/>
      <c r="H491" s="6"/>
      <c r="I491" s="13"/>
      <c r="J491" s="13"/>
      <c r="K491" s="13"/>
      <c r="L491" s="13"/>
      <c r="M491" s="13"/>
      <c r="N491" s="13"/>
      <c r="O491" s="13"/>
      <c r="P491" s="13"/>
      <c r="Q491" s="13"/>
      <c r="R491" s="13"/>
      <c r="S491" s="13"/>
      <c r="T491" s="13"/>
      <c r="U491" s="13"/>
      <c r="V491" s="13"/>
      <c r="W491" s="13"/>
      <c r="X491" s="13"/>
      <c r="Y491" s="13"/>
      <c r="Z491" s="13"/>
      <c r="AA491" s="13"/>
      <c r="AB491" s="13"/>
    </row>
    <row r="492" spans="1:28" ht="17.399999999999999" x14ac:dyDescent="0.35">
      <c r="A492" s="16"/>
      <c r="B492" s="17"/>
      <c r="C492" s="13"/>
      <c r="D492" s="13"/>
      <c r="E492" s="15"/>
      <c r="F492" s="13"/>
      <c r="G492" s="13"/>
      <c r="H492" s="6"/>
      <c r="I492" s="13"/>
      <c r="J492" s="13"/>
      <c r="K492" s="13"/>
      <c r="L492" s="13"/>
      <c r="M492" s="13"/>
      <c r="N492" s="13"/>
      <c r="O492" s="13"/>
      <c r="P492" s="13"/>
      <c r="Q492" s="13"/>
      <c r="R492" s="13"/>
      <c r="S492" s="13"/>
      <c r="T492" s="13"/>
      <c r="U492" s="13"/>
      <c r="V492" s="13"/>
      <c r="W492" s="13"/>
      <c r="X492" s="13"/>
      <c r="Y492" s="13"/>
      <c r="Z492" s="13"/>
      <c r="AA492" s="13"/>
      <c r="AB492" s="13"/>
    </row>
    <row r="493" spans="1:28" ht="17.399999999999999" x14ac:dyDescent="0.35">
      <c r="A493" s="16"/>
      <c r="B493" s="17"/>
      <c r="C493" s="13"/>
      <c r="D493" s="13"/>
      <c r="E493" s="15"/>
      <c r="F493" s="13"/>
      <c r="G493" s="13"/>
      <c r="H493" s="6"/>
      <c r="I493" s="13"/>
      <c r="J493" s="13"/>
      <c r="K493" s="13"/>
      <c r="L493" s="13"/>
      <c r="M493" s="13"/>
      <c r="N493" s="13"/>
      <c r="O493" s="13"/>
      <c r="P493" s="13"/>
      <c r="Q493" s="13"/>
      <c r="R493" s="13"/>
      <c r="S493" s="13"/>
      <c r="T493" s="13"/>
      <c r="U493" s="13"/>
      <c r="V493" s="13"/>
      <c r="W493" s="13"/>
      <c r="X493" s="13"/>
      <c r="Y493" s="13"/>
      <c r="Z493" s="13"/>
      <c r="AA493" s="13"/>
      <c r="AB493" s="13"/>
    </row>
    <row r="494" spans="1:28" ht="17.399999999999999" x14ac:dyDescent="0.35">
      <c r="A494" s="16"/>
      <c r="B494" s="17"/>
      <c r="C494" s="13"/>
      <c r="D494" s="13"/>
      <c r="E494" s="15"/>
      <c r="F494" s="13"/>
      <c r="G494" s="13"/>
      <c r="H494" s="6"/>
      <c r="I494" s="13"/>
      <c r="J494" s="13"/>
      <c r="K494" s="13"/>
      <c r="L494" s="13"/>
      <c r="M494" s="13"/>
      <c r="N494" s="13"/>
      <c r="O494" s="13"/>
      <c r="P494" s="13"/>
      <c r="Q494" s="13"/>
      <c r="R494" s="13"/>
      <c r="S494" s="13"/>
      <c r="T494" s="13"/>
      <c r="U494" s="13"/>
      <c r="V494" s="13"/>
      <c r="W494" s="13"/>
      <c r="X494" s="13"/>
      <c r="Y494" s="13"/>
      <c r="Z494" s="13"/>
      <c r="AA494" s="13"/>
      <c r="AB494" s="13"/>
    </row>
    <row r="495" spans="1:28" ht="17.399999999999999" x14ac:dyDescent="0.35">
      <c r="A495" s="16"/>
      <c r="B495" s="17"/>
      <c r="C495" s="13"/>
      <c r="D495" s="13"/>
      <c r="E495" s="15"/>
      <c r="F495" s="13"/>
      <c r="G495" s="13"/>
      <c r="H495" s="6"/>
      <c r="I495" s="13"/>
      <c r="J495" s="13"/>
      <c r="K495" s="13"/>
      <c r="L495" s="13"/>
      <c r="M495" s="13"/>
      <c r="N495" s="13"/>
      <c r="O495" s="13"/>
      <c r="P495" s="13"/>
      <c r="Q495" s="13"/>
      <c r="R495" s="13"/>
      <c r="S495" s="13"/>
      <c r="T495" s="13"/>
      <c r="U495" s="13"/>
      <c r="V495" s="13"/>
      <c r="W495" s="13"/>
      <c r="X495" s="13"/>
      <c r="Y495" s="13"/>
      <c r="Z495" s="13"/>
      <c r="AA495" s="13"/>
      <c r="AB495" s="13"/>
    </row>
    <row r="496" spans="1:28" ht="17.399999999999999" x14ac:dyDescent="0.35">
      <c r="A496" s="16"/>
      <c r="B496" s="17"/>
      <c r="C496" s="13"/>
      <c r="D496" s="13"/>
      <c r="E496" s="15"/>
      <c r="F496" s="13"/>
      <c r="G496" s="13"/>
      <c r="H496" s="6"/>
      <c r="I496" s="13"/>
      <c r="J496" s="13"/>
      <c r="K496" s="13"/>
      <c r="L496" s="13"/>
      <c r="M496" s="13"/>
      <c r="N496" s="13"/>
      <c r="O496" s="13"/>
      <c r="P496" s="13"/>
      <c r="Q496" s="13"/>
      <c r="R496" s="13"/>
      <c r="S496" s="13"/>
      <c r="T496" s="13"/>
      <c r="U496" s="13"/>
      <c r="V496" s="13"/>
      <c r="W496" s="13"/>
      <c r="X496" s="13"/>
      <c r="Y496" s="13"/>
      <c r="Z496" s="13"/>
      <c r="AA496" s="13"/>
      <c r="AB496" s="13"/>
    </row>
    <row r="497" spans="1:28" ht="17.399999999999999" x14ac:dyDescent="0.35">
      <c r="A497" s="16"/>
      <c r="B497" s="17"/>
      <c r="C497" s="13"/>
      <c r="D497" s="13"/>
      <c r="E497" s="15"/>
      <c r="F497" s="13"/>
      <c r="G497" s="13"/>
      <c r="H497" s="6"/>
      <c r="I497" s="13"/>
      <c r="J497" s="13"/>
      <c r="K497" s="13"/>
      <c r="L497" s="13"/>
      <c r="M497" s="13"/>
      <c r="N497" s="13"/>
      <c r="O497" s="13"/>
      <c r="P497" s="13"/>
      <c r="Q497" s="13"/>
      <c r="R497" s="13"/>
      <c r="S497" s="13"/>
      <c r="T497" s="13"/>
      <c r="U497" s="13"/>
      <c r="V497" s="13"/>
      <c r="W497" s="13"/>
      <c r="X497" s="13"/>
      <c r="Y497" s="13"/>
      <c r="Z497" s="13"/>
      <c r="AA497" s="13"/>
      <c r="AB497" s="13"/>
    </row>
    <row r="498" spans="1:28" ht="17.399999999999999" x14ac:dyDescent="0.35">
      <c r="A498" s="16"/>
      <c r="B498" s="17"/>
      <c r="C498" s="13"/>
      <c r="D498" s="13"/>
      <c r="E498" s="15"/>
      <c r="F498" s="13"/>
      <c r="G498" s="13"/>
      <c r="H498" s="6"/>
      <c r="I498" s="13"/>
      <c r="J498" s="13"/>
      <c r="K498" s="13"/>
      <c r="L498" s="13"/>
      <c r="M498" s="13"/>
      <c r="N498" s="13"/>
      <c r="O498" s="13"/>
      <c r="P498" s="13"/>
      <c r="Q498" s="13"/>
      <c r="R498" s="13"/>
      <c r="S498" s="13"/>
      <c r="T498" s="13"/>
      <c r="U498" s="13"/>
      <c r="V498" s="13"/>
      <c r="W498" s="13"/>
      <c r="X498" s="13"/>
      <c r="Y498" s="13"/>
      <c r="Z498" s="13"/>
      <c r="AA498" s="13"/>
      <c r="AB498" s="13"/>
    </row>
    <row r="499" spans="1:28" ht="17.399999999999999" x14ac:dyDescent="0.35">
      <c r="A499" s="16"/>
      <c r="B499" s="17"/>
      <c r="C499" s="13"/>
      <c r="D499" s="13"/>
      <c r="E499" s="15"/>
      <c r="F499" s="13"/>
      <c r="G499" s="13"/>
      <c r="H499" s="6"/>
      <c r="I499" s="13"/>
      <c r="J499" s="13"/>
      <c r="K499" s="13"/>
      <c r="L499" s="13"/>
      <c r="M499" s="13"/>
      <c r="N499" s="13"/>
      <c r="O499" s="13"/>
      <c r="P499" s="13"/>
      <c r="Q499" s="13"/>
      <c r="R499" s="13"/>
      <c r="S499" s="13"/>
      <c r="T499" s="13"/>
      <c r="U499" s="13"/>
      <c r="V499" s="13"/>
      <c r="W499" s="13"/>
      <c r="X499" s="13"/>
      <c r="Y499" s="13"/>
      <c r="Z499" s="13"/>
      <c r="AA499" s="13"/>
      <c r="AB499" s="13"/>
    </row>
    <row r="500" spans="1:28" ht="17.399999999999999" x14ac:dyDescent="0.35">
      <c r="A500" s="16"/>
      <c r="B500" s="17"/>
      <c r="C500" s="13"/>
      <c r="D500" s="13"/>
      <c r="E500" s="15"/>
      <c r="F500" s="13"/>
      <c r="G500" s="13"/>
      <c r="H500" s="6"/>
      <c r="I500" s="13"/>
      <c r="J500" s="13"/>
      <c r="K500" s="13"/>
      <c r="L500" s="13"/>
      <c r="M500" s="13"/>
      <c r="N500" s="13"/>
      <c r="O500" s="13"/>
      <c r="P500" s="13"/>
      <c r="Q500" s="13"/>
      <c r="R500" s="13"/>
      <c r="S500" s="13"/>
      <c r="T500" s="13"/>
      <c r="U500" s="13"/>
      <c r="V500" s="13"/>
      <c r="W500" s="13"/>
      <c r="X500" s="13"/>
      <c r="Y500" s="13"/>
      <c r="Z500" s="13"/>
      <c r="AA500" s="13"/>
      <c r="AB500" s="13"/>
    </row>
    <row r="501" spans="1:28" ht="17.399999999999999" x14ac:dyDescent="0.35">
      <c r="A501" s="16"/>
      <c r="B501" s="17"/>
      <c r="C501" s="13"/>
      <c r="D501" s="13"/>
      <c r="E501" s="15"/>
      <c r="F501" s="13"/>
      <c r="G501" s="13"/>
      <c r="H501" s="6"/>
      <c r="I501" s="13"/>
      <c r="J501" s="13"/>
      <c r="K501" s="13"/>
      <c r="L501" s="13"/>
      <c r="M501" s="13"/>
      <c r="N501" s="13"/>
      <c r="O501" s="13"/>
      <c r="P501" s="13"/>
      <c r="Q501" s="13"/>
      <c r="R501" s="13"/>
      <c r="S501" s="13"/>
      <c r="T501" s="13"/>
      <c r="U501" s="13"/>
      <c r="V501" s="13"/>
      <c r="W501" s="13"/>
      <c r="X501" s="13"/>
      <c r="Y501" s="13"/>
      <c r="Z501" s="13"/>
      <c r="AA501" s="13"/>
      <c r="AB501" s="13"/>
    </row>
    <row r="502" spans="1:28" ht="17.399999999999999" x14ac:dyDescent="0.35">
      <c r="A502" s="16"/>
      <c r="B502" s="17"/>
      <c r="C502" s="13"/>
      <c r="D502" s="13"/>
      <c r="E502" s="15"/>
      <c r="F502" s="13"/>
      <c r="G502" s="13"/>
      <c r="H502" s="6"/>
      <c r="I502" s="13"/>
      <c r="J502" s="13"/>
      <c r="K502" s="13"/>
      <c r="L502" s="13"/>
      <c r="M502" s="13"/>
      <c r="N502" s="13"/>
      <c r="O502" s="13"/>
      <c r="P502" s="13"/>
      <c r="Q502" s="13"/>
      <c r="R502" s="13"/>
      <c r="S502" s="13"/>
      <c r="T502" s="13"/>
      <c r="U502" s="13"/>
      <c r="V502" s="13"/>
      <c r="W502" s="13"/>
      <c r="X502" s="13"/>
      <c r="Y502" s="13"/>
      <c r="Z502" s="13"/>
      <c r="AA502" s="13"/>
      <c r="AB502" s="13"/>
    </row>
    <row r="503" spans="1:28" ht="17.399999999999999" x14ac:dyDescent="0.35">
      <c r="A503" s="16"/>
      <c r="B503" s="17"/>
      <c r="C503" s="13"/>
      <c r="D503" s="13"/>
      <c r="E503" s="15"/>
      <c r="F503" s="13"/>
      <c r="G503" s="13"/>
      <c r="H503" s="6"/>
      <c r="I503" s="13"/>
      <c r="J503" s="13"/>
      <c r="K503" s="13"/>
      <c r="L503" s="13"/>
      <c r="M503" s="13"/>
      <c r="N503" s="13"/>
      <c r="O503" s="13"/>
      <c r="P503" s="13"/>
      <c r="Q503" s="13"/>
      <c r="R503" s="13"/>
      <c r="S503" s="13"/>
      <c r="T503" s="13"/>
      <c r="U503" s="13"/>
      <c r="V503" s="13"/>
      <c r="W503" s="13"/>
      <c r="X503" s="13"/>
      <c r="Y503" s="13"/>
      <c r="Z503" s="13"/>
      <c r="AA503" s="13"/>
      <c r="AB503" s="13"/>
    </row>
    <row r="504" spans="1:28" ht="17.399999999999999" x14ac:dyDescent="0.35">
      <c r="A504" s="16"/>
      <c r="B504" s="17"/>
      <c r="C504" s="13"/>
      <c r="D504" s="13"/>
      <c r="E504" s="15"/>
      <c r="F504" s="13"/>
      <c r="G504" s="13"/>
      <c r="H504" s="6"/>
      <c r="I504" s="13"/>
      <c r="J504" s="13"/>
      <c r="K504" s="13"/>
      <c r="L504" s="13"/>
      <c r="M504" s="13"/>
      <c r="N504" s="13"/>
      <c r="O504" s="13"/>
      <c r="P504" s="13"/>
      <c r="Q504" s="13"/>
      <c r="R504" s="13"/>
      <c r="S504" s="13"/>
      <c r="T504" s="13"/>
      <c r="U504" s="13"/>
      <c r="V504" s="13"/>
      <c r="W504" s="13"/>
      <c r="X504" s="13"/>
      <c r="Y504" s="13"/>
      <c r="Z504" s="13"/>
      <c r="AA504" s="13"/>
      <c r="AB504" s="13"/>
    </row>
    <row r="505" spans="1:28" ht="17.399999999999999" x14ac:dyDescent="0.35">
      <c r="A505" s="16"/>
      <c r="B505" s="17"/>
      <c r="C505" s="13"/>
      <c r="D505" s="13"/>
      <c r="E505" s="15"/>
      <c r="F505" s="13"/>
      <c r="G505" s="13"/>
      <c r="H505" s="6"/>
      <c r="I505" s="13"/>
      <c r="J505" s="13"/>
      <c r="K505" s="13"/>
      <c r="L505" s="13"/>
      <c r="M505" s="13"/>
      <c r="N505" s="13"/>
      <c r="O505" s="13"/>
      <c r="P505" s="13"/>
      <c r="Q505" s="13"/>
      <c r="R505" s="13"/>
      <c r="S505" s="13"/>
      <c r="T505" s="13"/>
      <c r="U505" s="13"/>
      <c r="V505" s="13"/>
      <c r="W505" s="13"/>
      <c r="X505" s="13"/>
      <c r="Y505" s="13"/>
      <c r="Z505" s="13"/>
      <c r="AA505" s="13"/>
      <c r="AB505" s="13"/>
    </row>
    <row r="506" spans="1:28" ht="17.399999999999999" x14ac:dyDescent="0.35">
      <c r="A506" s="16"/>
      <c r="B506" s="17"/>
      <c r="C506" s="13"/>
      <c r="D506" s="13"/>
      <c r="E506" s="15"/>
      <c r="F506" s="13"/>
      <c r="G506" s="13"/>
      <c r="H506" s="6"/>
      <c r="I506" s="13"/>
      <c r="J506" s="13"/>
      <c r="K506" s="13"/>
      <c r="L506" s="13"/>
      <c r="M506" s="13"/>
      <c r="N506" s="13"/>
      <c r="O506" s="13"/>
      <c r="P506" s="13"/>
      <c r="Q506" s="13"/>
      <c r="R506" s="13"/>
      <c r="S506" s="13"/>
      <c r="T506" s="13"/>
      <c r="U506" s="13"/>
      <c r="V506" s="13"/>
      <c r="W506" s="13"/>
      <c r="X506" s="13"/>
      <c r="Y506" s="13"/>
      <c r="Z506" s="13"/>
      <c r="AA506" s="13"/>
      <c r="AB506" s="13"/>
    </row>
    <row r="507" spans="1:28" ht="17.399999999999999" x14ac:dyDescent="0.35">
      <c r="A507" s="16"/>
      <c r="B507" s="17"/>
      <c r="C507" s="13"/>
      <c r="D507" s="13"/>
      <c r="E507" s="15"/>
      <c r="F507" s="13"/>
      <c r="G507" s="13"/>
      <c r="H507" s="6"/>
      <c r="I507" s="13"/>
      <c r="J507" s="13"/>
      <c r="K507" s="13"/>
      <c r="L507" s="13"/>
      <c r="M507" s="13"/>
      <c r="N507" s="13"/>
      <c r="O507" s="13"/>
      <c r="P507" s="13"/>
      <c r="Q507" s="13"/>
      <c r="R507" s="13"/>
      <c r="S507" s="13"/>
      <c r="T507" s="13"/>
      <c r="U507" s="13"/>
      <c r="V507" s="13"/>
      <c r="W507" s="13"/>
      <c r="X507" s="13"/>
      <c r="Y507" s="13"/>
      <c r="Z507" s="13"/>
      <c r="AA507" s="13"/>
      <c r="AB507" s="13"/>
    </row>
    <row r="508" spans="1:28" ht="17.399999999999999" x14ac:dyDescent="0.35">
      <c r="A508" s="16"/>
      <c r="B508" s="17"/>
      <c r="C508" s="13"/>
      <c r="D508" s="13"/>
      <c r="E508" s="15"/>
      <c r="F508" s="13"/>
      <c r="G508" s="13"/>
      <c r="H508" s="6"/>
      <c r="I508" s="13"/>
      <c r="J508" s="13"/>
      <c r="K508" s="13"/>
      <c r="L508" s="13"/>
      <c r="M508" s="13"/>
      <c r="N508" s="13"/>
      <c r="O508" s="13"/>
      <c r="P508" s="13"/>
      <c r="Q508" s="13"/>
      <c r="R508" s="13"/>
      <c r="S508" s="13"/>
      <c r="T508" s="13"/>
      <c r="U508" s="13"/>
      <c r="V508" s="13"/>
      <c r="W508" s="13"/>
      <c r="X508" s="13"/>
      <c r="Y508" s="13"/>
      <c r="Z508" s="13"/>
      <c r="AA508" s="13"/>
      <c r="AB508" s="13"/>
    </row>
    <row r="509" spans="1:28" ht="17.399999999999999" x14ac:dyDescent="0.35">
      <c r="A509" s="16"/>
      <c r="B509" s="17"/>
      <c r="C509" s="13"/>
      <c r="D509" s="13"/>
      <c r="E509" s="15"/>
      <c r="F509" s="13"/>
      <c r="G509" s="13"/>
      <c r="H509" s="6"/>
      <c r="I509" s="13"/>
      <c r="J509" s="13"/>
      <c r="K509" s="13"/>
      <c r="L509" s="13"/>
      <c r="M509" s="13"/>
      <c r="N509" s="13"/>
      <c r="O509" s="13"/>
      <c r="P509" s="13"/>
      <c r="Q509" s="13"/>
      <c r="R509" s="13"/>
      <c r="S509" s="13"/>
      <c r="T509" s="13"/>
      <c r="U509" s="13"/>
      <c r="V509" s="13"/>
      <c r="W509" s="13"/>
      <c r="X509" s="13"/>
      <c r="Y509" s="13"/>
      <c r="Z509" s="13"/>
      <c r="AA509" s="13"/>
      <c r="AB509" s="13"/>
    </row>
    <row r="510" spans="1:28" ht="17.399999999999999" x14ac:dyDescent="0.35">
      <c r="A510" s="16"/>
      <c r="B510" s="17"/>
      <c r="C510" s="13"/>
      <c r="D510" s="13"/>
      <c r="E510" s="15"/>
      <c r="F510" s="13"/>
      <c r="G510" s="13"/>
      <c r="H510" s="6"/>
      <c r="I510" s="13"/>
      <c r="J510" s="13"/>
      <c r="K510" s="13"/>
      <c r="L510" s="13"/>
      <c r="M510" s="13"/>
      <c r="N510" s="13"/>
      <c r="O510" s="13"/>
      <c r="P510" s="13"/>
      <c r="Q510" s="13"/>
      <c r="R510" s="13"/>
      <c r="S510" s="13"/>
      <c r="T510" s="13"/>
      <c r="U510" s="13"/>
      <c r="V510" s="13"/>
      <c r="W510" s="13"/>
      <c r="X510" s="13"/>
      <c r="Y510" s="13"/>
      <c r="Z510" s="13"/>
      <c r="AA510" s="13"/>
      <c r="AB510" s="13"/>
    </row>
    <row r="511" spans="1:28" ht="17.399999999999999" x14ac:dyDescent="0.35">
      <c r="A511" s="16"/>
      <c r="B511" s="17"/>
      <c r="C511" s="13"/>
      <c r="D511" s="13"/>
      <c r="E511" s="15"/>
      <c r="F511" s="13"/>
      <c r="G511" s="13"/>
      <c r="H511" s="6"/>
      <c r="I511" s="13"/>
      <c r="J511" s="13"/>
      <c r="K511" s="13"/>
      <c r="L511" s="13"/>
      <c r="M511" s="13"/>
      <c r="N511" s="13"/>
      <c r="O511" s="13"/>
      <c r="P511" s="13"/>
      <c r="Q511" s="13"/>
      <c r="R511" s="13"/>
      <c r="S511" s="13"/>
      <c r="T511" s="13"/>
      <c r="U511" s="13"/>
      <c r="V511" s="13"/>
      <c r="W511" s="13"/>
      <c r="X511" s="13"/>
      <c r="Y511" s="13"/>
      <c r="Z511" s="13"/>
      <c r="AA511" s="13"/>
      <c r="AB511" s="13"/>
    </row>
    <row r="512" spans="1:28" ht="17.399999999999999" x14ac:dyDescent="0.35">
      <c r="A512" s="16"/>
      <c r="B512" s="17"/>
      <c r="C512" s="13"/>
      <c r="D512" s="13"/>
      <c r="E512" s="15"/>
      <c r="F512" s="13"/>
      <c r="G512" s="13"/>
      <c r="H512" s="6"/>
      <c r="I512" s="13"/>
      <c r="J512" s="13"/>
      <c r="K512" s="13"/>
      <c r="L512" s="13"/>
      <c r="M512" s="13"/>
      <c r="N512" s="13"/>
      <c r="O512" s="13"/>
      <c r="P512" s="13"/>
      <c r="Q512" s="13"/>
      <c r="R512" s="13"/>
      <c r="S512" s="13"/>
      <c r="T512" s="13"/>
      <c r="U512" s="13"/>
      <c r="V512" s="13"/>
      <c r="W512" s="13"/>
      <c r="X512" s="13"/>
      <c r="Y512" s="13"/>
      <c r="Z512" s="13"/>
      <c r="AA512" s="13"/>
      <c r="AB512" s="13"/>
    </row>
    <row r="513" spans="1:28" ht="17.399999999999999" x14ac:dyDescent="0.35">
      <c r="A513" s="16"/>
      <c r="B513" s="17"/>
      <c r="C513" s="13"/>
      <c r="D513" s="13"/>
      <c r="E513" s="15"/>
      <c r="F513" s="13"/>
      <c r="G513" s="13"/>
      <c r="H513" s="6"/>
      <c r="I513" s="13"/>
      <c r="J513" s="13"/>
      <c r="K513" s="13"/>
      <c r="L513" s="13"/>
      <c r="M513" s="13"/>
      <c r="N513" s="13"/>
      <c r="O513" s="13"/>
      <c r="P513" s="13"/>
      <c r="Q513" s="13"/>
      <c r="R513" s="13"/>
      <c r="S513" s="13"/>
      <c r="T513" s="13"/>
      <c r="U513" s="13"/>
      <c r="V513" s="13"/>
      <c r="W513" s="13"/>
      <c r="X513" s="13"/>
      <c r="Y513" s="13"/>
      <c r="Z513" s="13"/>
      <c r="AA513" s="13"/>
      <c r="AB513" s="13"/>
    </row>
    <row r="514" spans="1:28" ht="17.399999999999999" x14ac:dyDescent="0.35">
      <c r="A514" s="16"/>
      <c r="B514" s="17"/>
      <c r="C514" s="13"/>
      <c r="D514" s="13"/>
      <c r="E514" s="15"/>
      <c r="F514" s="13"/>
      <c r="G514" s="13"/>
      <c r="H514" s="6"/>
      <c r="I514" s="13"/>
      <c r="J514" s="13"/>
      <c r="K514" s="13"/>
      <c r="L514" s="13"/>
      <c r="M514" s="13"/>
      <c r="N514" s="13"/>
      <c r="O514" s="13"/>
      <c r="P514" s="13"/>
      <c r="Q514" s="13"/>
      <c r="R514" s="13"/>
      <c r="S514" s="13"/>
      <c r="T514" s="13"/>
      <c r="U514" s="13"/>
      <c r="V514" s="13"/>
      <c r="W514" s="13"/>
      <c r="X514" s="13"/>
      <c r="Y514" s="13"/>
      <c r="Z514" s="13"/>
      <c r="AA514" s="13"/>
      <c r="AB514" s="13"/>
    </row>
    <row r="515" spans="1:28" ht="17.399999999999999" x14ac:dyDescent="0.35">
      <c r="A515" s="16"/>
      <c r="B515" s="17"/>
      <c r="C515" s="13"/>
      <c r="D515" s="13"/>
      <c r="E515" s="15"/>
      <c r="F515" s="13"/>
      <c r="G515" s="13"/>
      <c r="H515" s="6"/>
      <c r="I515" s="13"/>
      <c r="J515" s="13"/>
      <c r="K515" s="13"/>
      <c r="L515" s="13"/>
      <c r="M515" s="13"/>
      <c r="N515" s="13"/>
      <c r="O515" s="13"/>
      <c r="P515" s="13"/>
      <c r="Q515" s="13"/>
      <c r="R515" s="13"/>
      <c r="S515" s="13"/>
      <c r="T515" s="13"/>
      <c r="U515" s="13"/>
      <c r="V515" s="13"/>
      <c r="W515" s="13"/>
      <c r="X515" s="13"/>
      <c r="Y515" s="13"/>
      <c r="Z515" s="13"/>
      <c r="AA515" s="13"/>
      <c r="AB515" s="13"/>
    </row>
    <row r="516" spans="1:28" ht="17.399999999999999" x14ac:dyDescent="0.35">
      <c r="A516" s="16"/>
      <c r="B516" s="17"/>
      <c r="C516" s="13"/>
      <c r="D516" s="13"/>
      <c r="E516" s="15"/>
      <c r="F516" s="13"/>
      <c r="G516" s="13"/>
      <c r="H516" s="6"/>
      <c r="I516" s="13"/>
      <c r="J516" s="13"/>
      <c r="K516" s="13"/>
      <c r="L516" s="13"/>
      <c r="M516" s="13"/>
      <c r="N516" s="13"/>
      <c r="O516" s="13"/>
      <c r="P516" s="13"/>
      <c r="Q516" s="13"/>
      <c r="R516" s="13"/>
      <c r="S516" s="13"/>
      <c r="T516" s="13"/>
      <c r="U516" s="13"/>
      <c r="V516" s="13"/>
      <c r="W516" s="13"/>
      <c r="X516" s="13"/>
      <c r="Y516" s="13"/>
      <c r="Z516" s="13"/>
      <c r="AA516" s="13"/>
      <c r="AB516" s="13"/>
    </row>
    <row r="517" spans="1:28" ht="17.399999999999999" x14ac:dyDescent="0.35">
      <c r="A517" s="16"/>
      <c r="B517" s="17"/>
      <c r="C517" s="13"/>
      <c r="D517" s="13"/>
      <c r="E517" s="15"/>
      <c r="F517" s="13"/>
      <c r="G517" s="13"/>
      <c r="H517" s="6"/>
      <c r="I517" s="13"/>
      <c r="J517" s="13"/>
      <c r="K517" s="13"/>
      <c r="L517" s="13"/>
      <c r="M517" s="13"/>
      <c r="N517" s="13"/>
      <c r="O517" s="13"/>
      <c r="P517" s="13"/>
      <c r="Q517" s="13"/>
      <c r="R517" s="13"/>
      <c r="S517" s="13"/>
      <c r="T517" s="13"/>
      <c r="U517" s="13"/>
      <c r="V517" s="13"/>
      <c r="W517" s="13"/>
      <c r="X517" s="13"/>
      <c r="Y517" s="13"/>
      <c r="Z517" s="13"/>
      <c r="AA517" s="13"/>
      <c r="AB517" s="13"/>
    </row>
    <row r="518" spans="1:28" ht="17.399999999999999" x14ac:dyDescent="0.35">
      <c r="A518" s="16"/>
      <c r="B518" s="17"/>
      <c r="C518" s="13"/>
      <c r="D518" s="13"/>
      <c r="E518" s="15"/>
      <c r="F518" s="13"/>
      <c r="G518" s="13"/>
      <c r="H518" s="6"/>
      <c r="I518" s="13"/>
      <c r="J518" s="13"/>
      <c r="K518" s="13"/>
      <c r="L518" s="13"/>
      <c r="M518" s="13"/>
      <c r="N518" s="13"/>
      <c r="O518" s="13"/>
      <c r="P518" s="13"/>
      <c r="Q518" s="13"/>
      <c r="R518" s="13"/>
      <c r="S518" s="13"/>
      <c r="T518" s="13"/>
      <c r="U518" s="13"/>
      <c r="V518" s="13"/>
      <c r="W518" s="13"/>
      <c r="X518" s="13"/>
      <c r="Y518" s="13"/>
      <c r="Z518" s="13"/>
      <c r="AA518" s="13"/>
      <c r="AB518" s="13"/>
    </row>
    <row r="519" spans="1:28" ht="17.399999999999999" x14ac:dyDescent="0.35">
      <c r="A519" s="16"/>
      <c r="B519" s="17"/>
      <c r="C519" s="13"/>
      <c r="D519" s="13"/>
      <c r="E519" s="15"/>
      <c r="F519" s="13"/>
      <c r="G519" s="13"/>
      <c r="H519" s="6"/>
      <c r="I519" s="13"/>
      <c r="J519" s="13"/>
      <c r="K519" s="13"/>
      <c r="L519" s="13"/>
      <c r="M519" s="13"/>
      <c r="N519" s="13"/>
      <c r="O519" s="13"/>
      <c r="P519" s="13"/>
      <c r="Q519" s="13"/>
      <c r="R519" s="13"/>
      <c r="S519" s="13"/>
      <c r="T519" s="13"/>
      <c r="U519" s="13"/>
      <c r="V519" s="13"/>
      <c r="W519" s="13"/>
      <c r="X519" s="13"/>
      <c r="Y519" s="13"/>
      <c r="Z519" s="13"/>
      <c r="AA519" s="13"/>
      <c r="AB519" s="13"/>
    </row>
    <row r="520" spans="1:28" ht="17.399999999999999" x14ac:dyDescent="0.35">
      <c r="A520" s="16"/>
      <c r="B520" s="17"/>
      <c r="C520" s="13"/>
      <c r="D520" s="13"/>
      <c r="E520" s="15"/>
      <c r="F520" s="13"/>
      <c r="G520" s="13"/>
      <c r="H520" s="6"/>
      <c r="I520" s="13"/>
      <c r="J520" s="13"/>
      <c r="K520" s="13"/>
      <c r="L520" s="13"/>
      <c r="M520" s="13"/>
      <c r="N520" s="13"/>
      <c r="O520" s="13"/>
      <c r="P520" s="13"/>
      <c r="Q520" s="13"/>
      <c r="R520" s="13"/>
      <c r="S520" s="13"/>
      <c r="T520" s="13"/>
      <c r="U520" s="13"/>
      <c r="V520" s="13"/>
      <c r="W520" s="13"/>
      <c r="X520" s="13"/>
      <c r="Y520" s="13"/>
      <c r="Z520" s="13"/>
      <c r="AA520" s="13"/>
      <c r="AB520" s="13"/>
    </row>
    <row r="521" spans="1:28" ht="17.399999999999999" x14ac:dyDescent="0.35">
      <c r="A521" s="16"/>
      <c r="B521" s="17"/>
      <c r="C521" s="13"/>
      <c r="D521" s="13"/>
      <c r="E521" s="15"/>
      <c r="F521" s="13"/>
      <c r="G521" s="13"/>
      <c r="H521" s="6"/>
      <c r="I521" s="13"/>
      <c r="J521" s="13"/>
      <c r="K521" s="13"/>
      <c r="L521" s="13"/>
      <c r="M521" s="13"/>
      <c r="N521" s="13"/>
      <c r="O521" s="13"/>
      <c r="P521" s="13"/>
      <c r="Q521" s="13"/>
      <c r="R521" s="13"/>
      <c r="S521" s="13"/>
      <c r="T521" s="13"/>
      <c r="U521" s="13"/>
      <c r="V521" s="13"/>
      <c r="W521" s="13"/>
      <c r="X521" s="13"/>
      <c r="Y521" s="13"/>
      <c r="Z521" s="13"/>
      <c r="AA521" s="13"/>
      <c r="AB521" s="13"/>
    </row>
    <row r="522" spans="1:28" ht="17.399999999999999" x14ac:dyDescent="0.35">
      <c r="A522" s="16"/>
      <c r="B522" s="17"/>
      <c r="C522" s="13"/>
      <c r="D522" s="13"/>
      <c r="E522" s="15"/>
      <c r="F522" s="13"/>
      <c r="G522" s="13"/>
      <c r="H522" s="6"/>
      <c r="I522" s="13"/>
      <c r="J522" s="13"/>
      <c r="K522" s="13"/>
      <c r="L522" s="13"/>
      <c r="M522" s="13"/>
      <c r="N522" s="13"/>
      <c r="O522" s="13"/>
      <c r="P522" s="13"/>
      <c r="Q522" s="13"/>
      <c r="R522" s="13"/>
      <c r="S522" s="13"/>
      <c r="T522" s="13"/>
      <c r="U522" s="13"/>
      <c r="V522" s="13"/>
      <c r="W522" s="13"/>
      <c r="X522" s="13"/>
      <c r="Y522" s="13"/>
      <c r="Z522" s="13"/>
      <c r="AA522" s="13"/>
      <c r="AB522" s="13"/>
    </row>
    <row r="523" spans="1:28" ht="17.399999999999999" x14ac:dyDescent="0.35">
      <c r="A523" s="16"/>
      <c r="B523" s="17"/>
      <c r="C523" s="13"/>
      <c r="D523" s="13"/>
      <c r="E523" s="15"/>
      <c r="F523" s="13"/>
      <c r="G523" s="13"/>
      <c r="H523" s="6"/>
      <c r="I523" s="13"/>
      <c r="J523" s="13"/>
      <c r="K523" s="13"/>
      <c r="L523" s="13"/>
      <c r="M523" s="13"/>
      <c r="N523" s="13"/>
      <c r="O523" s="13"/>
      <c r="P523" s="13"/>
      <c r="Q523" s="13"/>
      <c r="R523" s="13"/>
      <c r="S523" s="13"/>
      <c r="T523" s="13"/>
      <c r="U523" s="13"/>
      <c r="V523" s="13"/>
      <c r="W523" s="13"/>
      <c r="X523" s="13"/>
      <c r="Y523" s="13"/>
      <c r="Z523" s="13"/>
      <c r="AA523" s="13"/>
      <c r="AB523" s="13"/>
    </row>
    <row r="524" spans="1:28" ht="17.399999999999999" x14ac:dyDescent="0.35">
      <c r="A524" s="16"/>
      <c r="B524" s="17"/>
      <c r="C524" s="13"/>
      <c r="D524" s="13"/>
      <c r="E524" s="15"/>
      <c r="F524" s="13"/>
      <c r="G524" s="13"/>
      <c r="H524" s="6"/>
      <c r="I524" s="13"/>
      <c r="J524" s="13"/>
      <c r="K524" s="13"/>
      <c r="L524" s="13"/>
      <c r="M524" s="13"/>
      <c r="N524" s="13"/>
      <c r="O524" s="13"/>
      <c r="P524" s="13"/>
      <c r="Q524" s="13"/>
      <c r="R524" s="13"/>
      <c r="S524" s="13"/>
      <c r="T524" s="13"/>
      <c r="U524" s="13"/>
      <c r="V524" s="13"/>
      <c r="W524" s="13"/>
      <c r="X524" s="13"/>
      <c r="Y524" s="13"/>
      <c r="Z524" s="13"/>
      <c r="AA524" s="13"/>
      <c r="AB524" s="13"/>
    </row>
    <row r="525" spans="1:28" ht="17.399999999999999" x14ac:dyDescent="0.35">
      <c r="A525" s="16"/>
      <c r="B525" s="17"/>
      <c r="C525" s="13"/>
      <c r="D525" s="13"/>
      <c r="E525" s="15"/>
      <c r="F525" s="13"/>
      <c r="G525" s="13"/>
      <c r="H525" s="6"/>
      <c r="I525" s="13"/>
      <c r="J525" s="13"/>
      <c r="K525" s="13"/>
      <c r="L525" s="13"/>
      <c r="M525" s="13"/>
      <c r="N525" s="13"/>
      <c r="O525" s="13"/>
      <c r="P525" s="13"/>
      <c r="Q525" s="13"/>
      <c r="R525" s="13"/>
      <c r="S525" s="13"/>
      <c r="T525" s="13"/>
      <c r="U525" s="13"/>
      <c r="V525" s="13"/>
      <c r="W525" s="13"/>
      <c r="X525" s="13"/>
      <c r="Y525" s="13"/>
      <c r="Z525" s="13"/>
      <c r="AA525" s="13"/>
      <c r="AB525" s="13"/>
    </row>
    <row r="526" spans="1:28" ht="17.399999999999999" x14ac:dyDescent="0.35">
      <c r="A526" s="16"/>
      <c r="B526" s="17"/>
      <c r="C526" s="13"/>
      <c r="D526" s="13"/>
      <c r="E526" s="15"/>
      <c r="F526" s="13"/>
      <c r="G526" s="13"/>
      <c r="H526" s="6"/>
      <c r="I526" s="13"/>
      <c r="J526" s="13"/>
      <c r="K526" s="13"/>
      <c r="L526" s="13"/>
      <c r="M526" s="13"/>
      <c r="N526" s="13"/>
      <c r="O526" s="13"/>
      <c r="P526" s="13"/>
      <c r="Q526" s="13"/>
      <c r="R526" s="13"/>
      <c r="S526" s="13"/>
      <c r="T526" s="13"/>
      <c r="U526" s="13"/>
      <c r="V526" s="13"/>
      <c r="W526" s="13"/>
      <c r="X526" s="13"/>
      <c r="Y526" s="13"/>
      <c r="Z526" s="13"/>
      <c r="AA526" s="13"/>
      <c r="AB526" s="13"/>
    </row>
    <row r="527" spans="1:28" ht="17.399999999999999" x14ac:dyDescent="0.35">
      <c r="A527" s="16"/>
      <c r="B527" s="17"/>
      <c r="C527" s="13"/>
      <c r="D527" s="13"/>
      <c r="E527" s="15"/>
      <c r="F527" s="13"/>
      <c r="G527" s="13"/>
      <c r="H527" s="6"/>
      <c r="I527" s="13"/>
      <c r="J527" s="13"/>
      <c r="K527" s="13"/>
      <c r="L527" s="13"/>
      <c r="M527" s="13"/>
      <c r="N527" s="13"/>
      <c r="O527" s="13"/>
      <c r="P527" s="13"/>
      <c r="Q527" s="13"/>
      <c r="R527" s="13"/>
      <c r="S527" s="13"/>
      <c r="T527" s="13"/>
      <c r="U527" s="13"/>
      <c r="V527" s="13"/>
      <c r="W527" s="13"/>
      <c r="X527" s="13"/>
      <c r="Y527" s="13"/>
      <c r="Z527" s="13"/>
      <c r="AA527" s="13"/>
      <c r="AB527" s="13"/>
    </row>
    <row r="528" spans="1:28" ht="17.399999999999999" x14ac:dyDescent="0.35">
      <c r="A528" s="16"/>
      <c r="B528" s="17"/>
      <c r="C528" s="13"/>
      <c r="D528" s="13"/>
      <c r="E528" s="15"/>
      <c r="F528" s="13"/>
      <c r="G528" s="13"/>
      <c r="H528" s="6"/>
      <c r="I528" s="13"/>
      <c r="J528" s="13"/>
      <c r="K528" s="13"/>
      <c r="L528" s="13"/>
      <c r="M528" s="13"/>
      <c r="N528" s="13"/>
      <c r="O528" s="13"/>
      <c r="P528" s="13"/>
      <c r="Q528" s="13"/>
      <c r="R528" s="13"/>
      <c r="S528" s="13"/>
      <c r="T528" s="13"/>
      <c r="U528" s="13"/>
      <c r="V528" s="13"/>
      <c r="W528" s="13"/>
      <c r="X528" s="13"/>
      <c r="Y528" s="13"/>
      <c r="Z528" s="13"/>
      <c r="AA528" s="13"/>
      <c r="AB528" s="13"/>
    </row>
    <row r="529" spans="1:28" ht="17.399999999999999" x14ac:dyDescent="0.35">
      <c r="A529" s="16"/>
      <c r="B529" s="17"/>
      <c r="C529" s="13"/>
      <c r="D529" s="13"/>
      <c r="E529" s="15"/>
      <c r="F529" s="13"/>
      <c r="G529" s="13"/>
      <c r="H529" s="6"/>
      <c r="I529" s="13"/>
      <c r="J529" s="13"/>
      <c r="K529" s="13"/>
      <c r="L529" s="13"/>
      <c r="M529" s="13"/>
      <c r="N529" s="13"/>
      <c r="O529" s="13"/>
      <c r="P529" s="13"/>
      <c r="Q529" s="13"/>
      <c r="R529" s="13"/>
      <c r="S529" s="13"/>
      <c r="T529" s="13"/>
      <c r="U529" s="13"/>
      <c r="V529" s="13"/>
      <c r="W529" s="13"/>
      <c r="X529" s="13"/>
      <c r="Y529" s="13"/>
      <c r="Z529" s="13"/>
      <c r="AA529" s="13"/>
      <c r="AB529" s="13"/>
    </row>
    <row r="530" spans="1:28" ht="17.399999999999999" x14ac:dyDescent="0.35">
      <c r="A530" s="16"/>
      <c r="B530" s="17"/>
      <c r="C530" s="13"/>
      <c r="D530" s="13"/>
      <c r="E530" s="15"/>
      <c r="F530" s="13"/>
      <c r="G530" s="13"/>
      <c r="H530" s="6"/>
      <c r="I530" s="13"/>
      <c r="J530" s="13"/>
      <c r="K530" s="13"/>
      <c r="L530" s="13"/>
      <c r="M530" s="13"/>
      <c r="N530" s="13"/>
      <c r="O530" s="13"/>
      <c r="P530" s="13"/>
      <c r="Q530" s="13"/>
      <c r="R530" s="13"/>
      <c r="S530" s="13"/>
      <c r="T530" s="13"/>
      <c r="U530" s="13"/>
      <c r="V530" s="13"/>
      <c r="W530" s="13"/>
      <c r="X530" s="13"/>
      <c r="Y530" s="13"/>
      <c r="Z530" s="13"/>
      <c r="AA530" s="13"/>
      <c r="AB530" s="13"/>
    </row>
    <row r="531" spans="1:28" ht="17.399999999999999" x14ac:dyDescent="0.35">
      <c r="A531" s="16"/>
      <c r="B531" s="17"/>
      <c r="C531" s="13"/>
      <c r="D531" s="13"/>
      <c r="E531" s="15"/>
      <c r="F531" s="13"/>
      <c r="G531" s="13"/>
      <c r="H531" s="6"/>
      <c r="I531" s="13"/>
      <c r="J531" s="13"/>
      <c r="K531" s="13"/>
      <c r="L531" s="13"/>
      <c r="M531" s="13"/>
      <c r="N531" s="13"/>
      <c r="O531" s="13"/>
      <c r="P531" s="13"/>
      <c r="Q531" s="13"/>
      <c r="R531" s="13"/>
      <c r="S531" s="13"/>
      <c r="T531" s="13"/>
      <c r="U531" s="13"/>
      <c r="V531" s="13"/>
      <c r="W531" s="13"/>
      <c r="X531" s="13"/>
      <c r="Y531" s="13"/>
      <c r="Z531" s="13"/>
      <c r="AA531" s="13"/>
      <c r="AB531" s="13"/>
    </row>
    <row r="532" spans="1:28" ht="17.399999999999999" x14ac:dyDescent="0.35">
      <c r="A532" s="16"/>
      <c r="B532" s="17"/>
      <c r="C532" s="13"/>
      <c r="D532" s="13"/>
      <c r="E532" s="15"/>
      <c r="F532" s="13"/>
      <c r="G532" s="13"/>
      <c r="H532" s="6"/>
      <c r="I532" s="13"/>
      <c r="J532" s="13"/>
      <c r="K532" s="13"/>
      <c r="L532" s="13"/>
      <c r="M532" s="13"/>
      <c r="N532" s="13"/>
      <c r="O532" s="13"/>
      <c r="P532" s="13"/>
      <c r="Q532" s="13"/>
      <c r="R532" s="13"/>
      <c r="S532" s="13"/>
      <c r="T532" s="13"/>
      <c r="U532" s="13"/>
      <c r="V532" s="13"/>
      <c r="W532" s="13"/>
      <c r="X532" s="13"/>
      <c r="Y532" s="13"/>
      <c r="Z532" s="13"/>
      <c r="AA532" s="13"/>
      <c r="AB532" s="13"/>
    </row>
    <row r="533" spans="1:28" ht="17.399999999999999" x14ac:dyDescent="0.35">
      <c r="A533" s="16"/>
      <c r="B533" s="17"/>
      <c r="C533" s="13"/>
      <c r="D533" s="13"/>
      <c r="E533" s="15"/>
      <c r="F533" s="13"/>
      <c r="G533" s="13"/>
      <c r="H533" s="6"/>
      <c r="I533" s="13"/>
      <c r="J533" s="13"/>
      <c r="K533" s="13"/>
      <c r="L533" s="13"/>
      <c r="M533" s="13"/>
      <c r="N533" s="13"/>
      <c r="O533" s="13"/>
      <c r="P533" s="13"/>
      <c r="Q533" s="13"/>
      <c r="R533" s="13"/>
      <c r="S533" s="13"/>
      <c r="T533" s="13"/>
      <c r="U533" s="13"/>
      <c r="V533" s="13"/>
      <c r="W533" s="13"/>
      <c r="X533" s="13"/>
      <c r="Y533" s="13"/>
      <c r="Z533" s="13"/>
      <c r="AA533" s="13"/>
      <c r="AB533" s="13"/>
    </row>
    <row r="534" spans="1:28" ht="17.399999999999999" x14ac:dyDescent="0.35">
      <c r="A534" s="16"/>
      <c r="B534" s="17"/>
      <c r="C534" s="13"/>
      <c r="D534" s="13"/>
      <c r="E534" s="15"/>
      <c r="F534" s="13"/>
      <c r="G534" s="13"/>
      <c r="H534" s="6"/>
      <c r="I534" s="13"/>
      <c r="J534" s="13"/>
      <c r="K534" s="13"/>
      <c r="L534" s="13"/>
      <c r="M534" s="13"/>
      <c r="N534" s="13"/>
      <c r="O534" s="13"/>
      <c r="P534" s="13"/>
      <c r="Q534" s="13"/>
      <c r="R534" s="13"/>
      <c r="S534" s="13"/>
      <c r="T534" s="13"/>
      <c r="U534" s="13"/>
      <c r="V534" s="13"/>
      <c r="W534" s="13"/>
      <c r="X534" s="13"/>
      <c r="Y534" s="13"/>
      <c r="Z534" s="13"/>
      <c r="AA534" s="13"/>
      <c r="AB534" s="13"/>
    </row>
    <row r="535" spans="1:28" ht="17.399999999999999" x14ac:dyDescent="0.35">
      <c r="A535" s="16"/>
      <c r="B535" s="17"/>
      <c r="C535" s="13"/>
      <c r="D535" s="13"/>
      <c r="E535" s="15"/>
      <c r="F535" s="13"/>
      <c r="G535" s="13"/>
      <c r="H535" s="6"/>
      <c r="I535" s="13"/>
      <c r="J535" s="13"/>
      <c r="K535" s="13"/>
      <c r="L535" s="13"/>
      <c r="M535" s="13"/>
      <c r="N535" s="13"/>
      <c r="O535" s="13"/>
      <c r="P535" s="13"/>
      <c r="Q535" s="13"/>
      <c r="R535" s="13"/>
      <c r="S535" s="13"/>
      <c r="T535" s="13"/>
      <c r="U535" s="13"/>
      <c r="V535" s="13"/>
      <c r="W535" s="13"/>
      <c r="X535" s="13"/>
      <c r="Y535" s="13"/>
      <c r="Z535" s="13"/>
      <c r="AA535" s="13"/>
      <c r="AB535" s="13"/>
    </row>
    <row r="536" spans="1:28" ht="17.399999999999999" x14ac:dyDescent="0.35">
      <c r="A536" s="16"/>
      <c r="B536" s="17"/>
      <c r="C536" s="13"/>
      <c r="D536" s="13"/>
      <c r="E536" s="15"/>
      <c r="F536" s="13"/>
      <c r="G536" s="13"/>
      <c r="H536" s="6"/>
      <c r="I536" s="13"/>
      <c r="J536" s="13"/>
      <c r="K536" s="13"/>
      <c r="L536" s="13"/>
      <c r="M536" s="13"/>
      <c r="N536" s="13"/>
      <c r="O536" s="13"/>
      <c r="P536" s="13"/>
      <c r="Q536" s="13"/>
      <c r="R536" s="13"/>
      <c r="S536" s="13"/>
      <c r="T536" s="13"/>
      <c r="U536" s="13"/>
      <c r="V536" s="13"/>
      <c r="W536" s="13"/>
      <c r="X536" s="13"/>
      <c r="Y536" s="13"/>
      <c r="Z536" s="13"/>
      <c r="AA536" s="13"/>
      <c r="AB536" s="13"/>
    </row>
    <row r="537" spans="1:28" ht="17.399999999999999" x14ac:dyDescent="0.35">
      <c r="A537" s="16"/>
      <c r="B537" s="17"/>
      <c r="C537" s="13"/>
      <c r="D537" s="13"/>
      <c r="E537" s="15"/>
      <c r="F537" s="13"/>
      <c r="G537" s="13"/>
      <c r="H537" s="6"/>
      <c r="I537" s="13"/>
      <c r="J537" s="13"/>
      <c r="K537" s="13"/>
      <c r="L537" s="13"/>
      <c r="M537" s="13"/>
      <c r="N537" s="13"/>
      <c r="O537" s="13"/>
      <c r="P537" s="13"/>
      <c r="Q537" s="13"/>
      <c r="R537" s="13"/>
      <c r="S537" s="13"/>
      <c r="T537" s="13"/>
      <c r="U537" s="13"/>
      <c r="V537" s="13"/>
      <c r="W537" s="13"/>
      <c r="X537" s="13"/>
      <c r="Y537" s="13"/>
      <c r="Z537" s="13"/>
      <c r="AA537" s="13"/>
      <c r="AB537" s="13"/>
    </row>
    <row r="538" spans="1:28" ht="17.399999999999999" x14ac:dyDescent="0.35">
      <c r="A538" s="16"/>
      <c r="B538" s="17"/>
      <c r="C538" s="13"/>
      <c r="D538" s="13"/>
      <c r="E538" s="15"/>
      <c r="F538" s="13"/>
      <c r="G538" s="13"/>
      <c r="H538" s="6"/>
      <c r="I538" s="13"/>
      <c r="J538" s="13"/>
      <c r="K538" s="13"/>
      <c r="L538" s="13"/>
      <c r="M538" s="13"/>
      <c r="N538" s="13"/>
      <c r="O538" s="13"/>
      <c r="P538" s="13"/>
      <c r="Q538" s="13"/>
      <c r="R538" s="13"/>
      <c r="S538" s="13"/>
      <c r="T538" s="13"/>
      <c r="U538" s="13"/>
      <c r="V538" s="13"/>
      <c r="W538" s="13"/>
      <c r="X538" s="13"/>
      <c r="Y538" s="13"/>
      <c r="Z538" s="13"/>
      <c r="AA538" s="13"/>
      <c r="AB538" s="13"/>
    </row>
    <row r="539" spans="1:28" ht="17.399999999999999" x14ac:dyDescent="0.35">
      <c r="A539" s="16"/>
      <c r="B539" s="17"/>
      <c r="C539" s="13"/>
      <c r="D539" s="13"/>
      <c r="E539" s="15"/>
      <c r="F539" s="13"/>
      <c r="G539" s="13"/>
      <c r="H539" s="6"/>
      <c r="I539" s="13"/>
      <c r="J539" s="13"/>
      <c r="K539" s="13"/>
      <c r="L539" s="13"/>
      <c r="M539" s="13"/>
      <c r="N539" s="13"/>
      <c r="O539" s="13"/>
      <c r="P539" s="13"/>
      <c r="Q539" s="13"/>
      <c r="R539" s="13"/>
      <c r="S539" s="13"/>
      <c r="T539" s="13"/>
      <c r="U539" s="13"/>
      <c r="V539" s="13"/>
      <c r="W539" s="13"/>
      <c r="X539" s="13"/>
      <c r="Y539" s="13"/>
      <c r="Z539" s="13"/>
      <c r="AA539" s="13"/>
      <c r="AB539" s="13"/>
    </row>
    <row r="540" spans="1:28" ht="17.399999999999999" x14ac:dyDescent="0.35">
      <c r="A540" s="16"/>
      <c r="B540" s="17"/>
      <c r="C540" s="13"/>
      <c r="D540" s="13"/>
      <c r="E540" s="15"/>
      <c r="F540" s="13"/>
      <c r="G540" s="13"/>
      <c r="H540" s="6"/>
      <c r="I540" s="13"/>
      <c r="J540" s="13"/>
      <c r="K540" s="13"/>
      <c r="L540" s="13"/>
      <c r="M540" s="13"/>
      <c r="N540" s="13"/>
      <c r="O540" s="13"/>
      <c r="P540" s="13"/>
      <c r="Q540" s="13"/>
      <c r="R540" s="13"/>
      <c r="S540" s="13"/>
      <c r="T540" s="13"/>
      <c r="U540" s="13"/>
      <c r="V540" s="13"/>
      <c r="W540" s="13"/>
      <c r="X540" s="13"/>
      <c r="Y540" s="13"/>
      <c r="Z540" s="13"/>
      <c r="AA540" s="13"/>
      <c r="AB540" s="13"/>
    </row>
    <row r="541" spans="1:28" ht="17.399999999999999" x14ac:dyDescent="0.35">
      <c r="A541" s="16"/>
      <c r="B541" s="17"/>
      <c r="C541" s="13"/>
      <c r="D541" s="13"/>
      <c r="E541" s="15"/>
      <c r="F541" s="13"/>
      <c r="G541" s="13"/>
      <c r="H541" s="6"/>
      <c r="I541" s="13"/>
      <c r="J541" s="13"/>
      <c r="K541" s="13"/>
      <c r="L541" s="13"/>
      <c r="M541" s="13"/>
      <c r="N541" s="13"/>
      <c r="O541" s="13"/>
      <c r="P541" s="13"/>
      <c r="Q541" s="13"/>
      <c r="R541" s="13"/>
      <c r="S541" s="13"/>
      <c r="T541" s="13"/>
      <c r="U541" s="13"/>
      <c r="V541" s="13"/>
      <c r="W541" s="13"/>
      <c r="X541" s="13"/>
      <c r="Y541" s="13"/>
      <c r="Z541" s="13"/>
      <c r="AA541" s="13"/>
      <c r="AB541" s="13"/>
    </row>
    <row r="542" spans="1:28" ht="17.399999999999999" x14ac:dyDescent="0.35">
      <c r="A542" s="16"/>
      <c r="B542" s="17"/>
      <c r="C542" s="13"/>
      <c r="D542" s="13"/>
      <c r="E542" s="15"/>
      <c r="F542" s="13"/>
      <c r="G542" s="13"/>
      <c r="H542" s="6"/>
      <c r="I542" s="13"/>
      <c r="J542" s="13"/>
      <c r="K542" s="13"/>
      <c r="L542" s="13"/>
      <c r="M542" s="13"/>
      <c r="N542" s="13"/>
      <c r="O542" s="13"/>
      <c r="P542" s="13"/>
      <c r="Q542" s="13"/>
      <c r="R542" s="13"/>
      <c r="S542" s="13"/>
      <c r="T542" s="13"/>
      <c r="U542" s="13"/>
      <c r="V542" s="13"/>
      <c r="W542" s="13"/>
      <c r="X542" s="13"/>
      <c r="Y542" s="13"/>
      <c r="Z542" s="13"/>
      <c r="AA542" s="13"/>
      <c r="AB542" s="13"/>
    </row>
    <row r="543" spans="1:28" ht="17.399999999999999" x14ac:dyDescent="0.35">
      <c r="A543" s="16"/>
      <c r="B543" s="17"/>
      <c r="C543" s="13"/>
      <c r="D543" s="13"/>
      <c r="E543" s="15"/>
      <c r="F543" s="13"/>
      <c r="G543" s="13"/>
      <c r="H543" s="6"/>
      <c r="I543" s="13"/>
      <c r="J543" s="13"/>
      <c r="K543" s="13"/>
      <c r="L543" s="13"/>
      <c r="M543" s="13"/>
      <c r="N543" s="13"/>
      <c r="O543" s="13"/>
      <c r="P543" s="13"/>
      <c r="Q543" s="13"/>
      <c r="R543" s="13"/>
      <c r="S543" s="13"/>
      <c r="T543" s="13"/>
      <c r="U543" s="13"/>
      <c r="V543" s="13"/>
      <c r="W543" s="13"/>
      <c r="X543" s="13"/>
      <c r="Y543" s="13"/>
      <c r="Z543" s="13"/>
      <c r="AA543" s="13"/>
      <c r="AB543" s="13"/>
    </row>
    <row r="544" spans="1:28" ht="17.399999999999999" x14ac:dyDescent="0.35">
      <c r="A544" s="16"/>
      <c r="B544" s="17"/>
      <c r="C544" s="13"/>
      <c r="D544" s="13"/>
      <c r="E544" s="15"/>
      <c r="F544" s="13"/>
      <c r="G544" s="13"/>
      <c r="H544" s="6"/>
      <c r="I544" s="13"/>
      <c r="J544" s="13"/>
      <c r="K544" s="13"/>
      <c r="L544" s="13"/>
      <c r="M544" s="13"/>
      <c r="N544" s="13"/>
      <c r="O544" s="13"/>
      <c r="P544" s="13"/>
      <c r="Q544" s="13"/>
      <c r="R544" s="13"/>
      <c r="S544" s="13"/>
      <c r="T544" s="13"/>
      <c r="U544" s="13"/>
      <c r="V544" s="13"/>
      <c r="W544" s="13"/>
      <c r="X544" s="13"/>
      <c r="Y544" s="13"/>
      <c r="Z544" s="13"/>
      <c r="AA544" s="13"/>
      <c r="AB544" s="13"/>
    </row>
    <row r="545" spans="1:28" ht="17.399999999999999" x14ac:dyDescent="0.35">
      <c r="A545" s="16"/>
      <c r="B545" s="17"/>
      <c r="C545" s="13"/>
      <c r="D545" s="13"/>
      <c r="E545" s="15"/>
      <c r="F545" s="13"/>
      <c r="G545" s="13"/>
      <c r="H545" s="6"/>
      <c r="I545" s="13"/>
      <c r="J545" s="13"/>
      <c r="K545" s="13"/>
      <c r="L545" s="13"/>
      <c r="M545" s="13"/>
      <c r="N545" s="13"/>
      <c r="O545" s="13"/>
      <c r="P545" s="13"/>
      <c r="Q545" s="13"/>
      <c r="R545" s="13"/>
      <c r="S545" s="13"/>
      <c r="T545" s="13"/>
      <c r="U545" s="13"/>
      <c r="V545" s="13"/>
      <c r="W545" s="13"/>
      <c r="X545" s="13"/>
      <c r="Y545" s="13"/>
      <c r="Z545" s="13"/>
      <c r="AA545" s="13"/>
      <c r="AB545" s="13"/>
    </row>
    <row r="546" spans="1:28" ht="17.399999999999999" x14ac:dyDescent="0.35">
      <c r="A546" s="16"/>
      <c r="B546" s="17"/>
      <c r="C546" s="13"/>
      <c r="D546" s="13"/>
      <c r="E546" s="15"/>
      <c r="F546" s="13"/>
      <c r="G546" s="13"/>
      <c r="H546" s="6"/>
      <c r="I546" s="13"/>
      <c r="J546" s="13"/>
      <c r="K546" s="13"/>
      <c r="L546" s="13"/>
      <c r="M546" s="13"/>
      <c r="N546" s="13"/>
      <c r="O546" s="13"/>
      <c r="P546" s="13"/>
      <c r="Q546" s="13"/>
      <c r="R546" s="13"/>
      <c r="S546" s="13"/>
      <c r="T546" s="13"/>
      <c r="U546" s="13"/>
      <c r="V546" s="13"/>
      <c r="W546" s="13"/>
      <c r="X546" s="13"/>
      <c r="Y546" s="13"/>
      <c r="Z546" s="13"/>
      <c r="AA546" s="13"/>
      <c r="AB546" s="13"/>
    </row>
    <row r="547" spans="1:28" ht="17.399999999999999" x14ac:dyDescent="0.35">
      <c r="A547" s="16"/>
      <c r="B547" s="17"/>
      <c r="C547" s="13"/>
      <c r="D547" s="13"/>
      <c r="E547" s="15"/>
      <c r="F547" s="13"/>
      <c r="G547" s="13"/>
      <c r="H547" s="6"/>
      <c r="I547" s="13"/>
      <c r="J547" s="13"/>
      <c r="K547" s="13"/>
      <c r="L547" s="13"/>
      <c r="M547" s="13"/>
      <c r="N547" s="13"/>
      <c r="O547" s="13"/>
      <c r="P547" s="13"/>
      <c r="Q547" s="13"/>
      <c r="R547" s="13"/>
      <c r="S547" s="13"/>
      <c r="T547" s="13"/>
      <c r="U547" s="13"/>
      <c r="V547" s="13"/>
      <c r="W547" s="13"/>
      <c r="X547" s="13"/>
      <c r="Y547" s="13"/>
      <c r="Z547" s="13"/>
      <c r="AA547" s="13"/>
      <c r="AB547" s="13"/>
    </row>
    <row r="548" spans="1:28" ht="17.399999999999999" x14ac:dyDescent="0.35">
      <c r="A548" s="16"/>
      <c r="B548" s="17"/>
      <c r="C548" s="13"/>
      <c r="D548" s="13"/>
      <c r="E548" s="15"/>
      <c r="F548" s="13"/>
      <c r="G548" s="13"/>
      <c r="H548" s="6"/>
      <c r="I548" s="13"/>
      <c r="J548" s="13"/>
      <c r="K548" s="13"/>
      <c r="L548" s="13"/>
      <c r="M548" s="13"/>
      <c r="N548" s="13"/>
      <c r="O548" s="13"/>
      <c r="P548" s="13"/>
      <c r="Q548" s="13"/>
      <c r="R548" s="13"/>
      <c r="S548" s="13"/>
      <c r="T548" s="13"/>
      <c r="U548" s="13"/>
      <c r="V548" s="13"/>
      <c r="W548" s="13"/>
      <c r="X548" s="13"/>
      <c r="Y548" s="13"/>
      <c r="Z548" s="13"/>
      <c r="AA548" s="13"/>
      <c r="AB548" s="13"/>
    </row>
    <row r="549" spans="1:28" ht="17.399999999999999" x14ac:dyDescent="0.35">
      <c r="A549" s="16"/>
      <c r="B549" s="17"/>
      <c r="C549" s="13"/>
      <c r="D549" s="13"/>
      <c r="E549" s="15"/>
      <c r="F549" s="13"/>
      <c r="G549" s="13"/>
      <c r="H549" s="6"/>
      <c r="I549" s="13"/>
      <c r="J549" s="13"/>
      <c r="K549" s="13"/>
      <c r="L549" s="13"/>
      <c r="M549" s="13"/>
      <c r="N549" s="13"/>
      <c r="O549" s="13"/>
      <c r="P549" s="13"/>
      <c r="Q549" s="13"/>
      <c r="R549" s="13"/>
      <c r="S549" s="13"/>
      <c r="T549" s="13"/>
      <c r="U549" s="13"/>
      <c r="V549" s="13"/>
      <c r="W549" s="13"/>
      <c r="X549" s="13"/>
      <c r="Y549" s="13"/>
      <c r="Z549" s="13"/>
      <c r="AA549" s="13"/>
      <c r="AB549" s="13"/>
    </row>
    <row r="550" spans="1:28" ht="17.399999999999999" x14ac:dyDescent="0.35">
      <c r="A550" s="16"/>
      <c r="B550" s="17"/>
      <c r="C550" s="13"/>
      <c r="D550" s="13"/>
      <c r="E550" s="15"/>
      <c r="F550" s="13"/>
      <c r="G550" s="13"/>
      <c r="H550" s="6"/>
      <c r="I550" s="13"/>
      <c r="J550" s="13"/>
      <c r="K550" s="13"/>
      <c r="L550" s="13"/>
      <c r="M550" s="13"/>
      <c r="N550" s="13"/>
      <c r="O550" s="13"/>
      <c r="P550" s="13"/>
      <c r="Q550" s="13"/>
      <c r="R550" s="13"/>
      <c r="S550" s="13"/>
      <c r="T550" s="13"/>
      <c r="U550" s="13"/>
      <c r="V550" s="13"/>
      <c r="W550" s="13"/>
      <c r="X550" s="13"/>
      <c r="Y550" s="13"/>
      <c r="Z550" s="13"/>
      <c r="AA550" s="13"/>
      <c r="AB550" s="13"/>
    </row>
    <row r="551" spans="1:28" ht="17.399999999999999" x14ac:dyDescent="0.35">
      <c r="A551" s="16"/>
      <c r="B551" s="17"/>
      <c r="C551" s="13"/>
      <c r="D551" s="13"/>
      <c r="E551" s="15"/>
      <c r="F551" s="13"/>
      <c r="G551" s="13"/>
      <c r="H551" s="6"/>
      <c r="I551" s="13"/>
      <c r="J551" s="13"/>
      <c r="K551" s="13"/>
      <c r="L551" s="13"/>
      <c r="M551" s="13"/>
      <c r="N551" s="13"/>
      <c r="O551" s="13"/>
      <c r="P551" s="13"/>
      <c r="Q551" s="13"/>
      <c r="R551" s="13"/>
      <c r="S551" s="13"/>
      <c r="T551" s="13"/>
      <c r="U551" s="13"/>
      <c r="V551" s="13"/>
      <c r="W551" s="13"/>
      <c r="X551" s="13"/>
      <c r="Y551" s="13"/>
      <c r="Z551" s="13"/>
      <c r="AA551" s="13"/>
      <c r="AB551" s="13"/>
    </row>
    <row r="552" spans="1:28" ht="17.399999999999999" x14ac:dyDescent="0.35">
      <c r="A552" s="16"/>
      <c r="B552" s="17"/>
      <c r="C552" s="13"/>
      <c r="D552" s="13"/>
      <c r="E552" s="15"/>
      <c r="F552" s="13"/>
      <c r="G552" s="13"/>
      <c r="H552" s="6"/>
      <c r="I552" s="13"/>
      <c r="J552" s="13"/>
      <c r="K552" s="13"/>
      <c r="L552" s="13"/>
      <c r="M552" s="13"/>
      <c r="N552" s="13"/>
      <c r="O552" s="13"/>
      <c r="P552" s="13"/>
      <c r="Q552" s="13"/>
      <c r="R552" s="13"/>
      <c r="S552" s="13"/>
      <c r="T552" s="13"/>
      <c r="U552" s="13"/>
      <c r="V552" s="13"/>
      <c r="W552" s="13"/>
      <c r="X552" s="13"/>
      <c r="Y552" s="13"/>
      <c r="Z552" s="13"/>
      <c r="AA552" s="13"/>
      <c r="AB552" s="13"/>
    </row>
    <row r="553" spans="1:28" ht="17.399999999999999" x14ac:dyDescent="0.35">
      <c r="A553" s="16"/>
      <c r="B553" s="17"/>
      <c r="C553" s="13"/>
      <c r="D553" s="13"/>
      <c r="E553" s="15"/>
      <c r="F553" s="13"/>
      <c r="G553" s="13"/>
      <c r="H553" s="6"/>
      <c r="I553" s="13"/>
      <c r="J553" s="13"/>
      <c r="K553" s="13"/>
      <c r="L553" s="13"/>
      <c r="M553" s="13"/>
      <c r="N553" s="13"/>
      <c r="O553" s="13"/>
      <c r="P553" s="13"/>
      <c r="Q553" s="13"/>
      <c r="R553" s="13"/>
      <c r="S553" s="13"/>
      <c r="T553" s="13"/>
      <c r="U553" s="13"/>
      <c r="V553" s="13"/>
      <c r="W553" s="13"/>
      <c r="X553" s="13"/>
      <c r="Y553" s="13"/>
      <c r="Z553" s="13"/>
      <c r="AA553" s="13"/>
      <c r="AB553" s="13"/>
    </row>
    <row r="554" spans="1:28" ht="17.399999999999999" x14ac:dyDescent="0.35">
      <c r="A554" s="16"/>
      <c r="B554" s="17"/>
      <c r="C554" s="13"/>
      <c r="D554" s="13"/>
      <c r="E554" s="15"/>
      <c r="F554" s="13"/>
      <c r="G554" s="13"/>
      <c r="H554" s="6"/>
      <c r="I554" s="13"/>
      <c r="J554" s="13"/>
      <c r="K554" s="13"/>
      <c r="L554" s="13"/>
      <c r="M554" s="13"/>
      <c r="N554" s="13"/>
      <c r="O554" s="13"/>
      <c r="P554" s="13"/>
      <c r="Q554" s="13"/>
      <c r="R554" s="13"/>
      <c r="S554" s="13"/>
      <c r="T554" s="13"/>
      <c r="U554" s="13"/>
      <c r="V554" s="13"/>
      <c r="W554" s="13"/>
      <c r="X554" s="13"/>
      <c r="Y554" s="13"/>
      <c r="Z554" s="13"/>
      <c r="AA554" s="13"/>
      <c r="AB554" s="13"/>
    </row>
    <row r="555" spans="1:28" ht="17.399999999999999" x14ac:dyDescent="0.35">
      <c r="A555" s="16"/>
      <c r="B555" s="17"/>
      <c r="C555" s="13"/>
      <c r="D555" s="13"/>
      <c r="E555" s="15"/>
      <c r="F555" s="13"/>
      <c r="G555" s="13"/>
      <c r="H555" s="6"/>
      <c r="I555" s="13"/>
      <c r="J555" s="13"/>
      <c r="K555" s="13"/>
      <c r="L555" s="13"/>
      <c r="M555" s="13"/>
      <c r="N555" s="13"/>
      <c r="O555" s="13"/>
      <c r="P555" s="13"/>
      <c r="Q555" s="13"/>
      <c r="R555" s="13"/>
      <c r="S555" s="13"/>
      <c r="T555" s="13"/>
      <c r="U555" s="13"/>
      <c r="V555" s="13"/>
      <c r="W555" s="13"/>
      <c r="X555" s="13"/>
      <c r="Y555" s="13"/>
      <c r="Z555" s="13"/>
      <c r="AA555" s="13"/>
      <c r="AB555" s="13"/>
    </row>
    <row r="556" spans="1:28" ht="17.399999999999999" x14ac:dyDescent="0.35">
      <c r="A556" s="16"/>
      <c r="B556" s="17"/>
      <c r="C556" s="13"/>
      <c r="D556" s="13"/>
      <c r="E556" s="15"/>
      <c r="F556" s="13"/>
      <c r="G556" s="13"/>
      <c r="H556" s="6"/>
      <c r="I556" s="13"/>
      <c r="J556" s="13"/>
      <c r="K556" s="13"/>
      <c r="L556" s="13"/>
      <c r="M556" s="13"/>
      <c r="N556" s="13"/>
      <c r="O556" s="13"/>
      <c r="P556" s="13"/>
      <c r="Q556" s="13"/>
      <c r="R556" s="13"/>
      <c r="S556" s="13"/>
      <c r="T556" s="13"/>
      <c r="U556" s="13"/>
      <c r="V556" s="13"/>
      <c r="W556" s="13"/>
      <c r="X556" s="13"/>
      <c r="Y556" s="13"/>
      <c r="Z556" s="13"/>
      <c r="AA556" s="13"/>
      <c r="AB556" s="13"/>
    </row>
    <row r="557" spans="1:28" ht="17.399999999999999" x14ac:dyDescent="0.35">
      <c r="A557" s="16"/>
      <c r="B557" s="17"/>
      <c r="C557" s="13"/>
      <c r="D557" s="13"/>
      <c r="E557" s="15"/>
      <c r="F557" s="13"/>
      <c r="G557" s="13"/>
      <c r="H557" s="6"/>
      <c r="I557" s="13"/>
      <c r="J557" s="13"/>
      <c r="K557" s="13"/>
      <c r="L557" s="13"/>
      <c r="M557" s="13"/>
      <c r="N557" s="13"/>
      <c r="O557" s="13"/>
      <c r="P557" s="13"/>
      <c r="Q557" s="13"/>
      <c r="R557" s="13"/>
      <c r="S557" s="13"/>
      <c r="T557" s="13"/>
      <c r="U557" s="13"/>
      <c r="V557" s="13"/>
      <c r="W557" s="13"/>
      <c r="X557" s="13"/>
      <c r="Y557" s="13"/>
      <c r="Z557" s="13"/>
      <c r="AA557" s="13"/>
      <c r="AB557" s="13"/>
    </row>
    <row r="558" spans="1:28" ht="17.399999999999999" x14ac:dyDescent="0.35">
      <c r="A558" s="16"/>
      <c r="B558" s="17"/>
      <c r="C558" s="13"/>
      <c r="D558" s="13"/>
      <c r="E558" s="15"/>
      <c r="F558" s="13"/>
      <c r="G558" s="13"/>
      <c r="H558" s="6"/>
      <c r="I558" s="13"/>
      <c r="J558" s="13"/>
      <c r="K558" s="13"/>
      <c r="L558" s="13"/>
      <c r="M558" s="13"/>
      <c r="N558" s="13"/>
      <c r="O558" s="13"/>
      <c r="P558" s="13"/>
      <c r="Q558" s="13"/>
      <c r="R558" s="13"/>
      <c r="S558" s="13"/>
      <c r="T558" s="13"/>
      <c r="U558" s="13"/>
      <c r="V558" s="13"/>
      <c r="W558" s="13"/>
      <c r="X558" s="13"/>
      <c r="Y558" s="13"/>
      <c r="Z558" s="13"/>
      <c r="AA558" s="13"/>
      <c r="AB558" s="13"/>
    </row>
    <row r="559" spans="1:28" ht="17.399999999999999" x14ac:dyDescent="0.35">
      <c r="A559" s="16"/>
      <c r="B559" s="17"/>
      <c r="C559" s="13"/>
      <c r="D559" s="13"/>
      <c r="E559" s="15"/>
      <c r="F559" s="13"/>
      <c r="G559" s="13"/>
      <c r="H559" s="6"/>
      <c r="I559" s="13"/>
      <c r="J559" s="13"/>
      <c r="K559" s="13"/>
      <c r="L559" s="13"/>
      <c r="M559" s="13"/>
      <c r="N559" s="13"/>
      <c r="O559" s="13"/>
      <c r="P559" s="13"/>
      <c r="Q559" s="13"/>
      <c r="R559" s="13"/>
      <c r="S559" s="13"/>
      <c r="T559" s="13"/>
      <c r="U559" s="13"/>
      <c r="V559" s="13"/>
      <c r="W559" s="13"/>
      <c r="X559" s="13"/>
      <c r="Y559" s="13"/>
      <c r="Z559" s="13"/>
      <c r="AA559" s="13"/>
      <c r="AB559" s="13"/>
    </row>
    <row r="560" spans="1:28" ht="17.399999999999999" x14ac:dyDescent="0.35">
      <c r="A560" s="16"/>
      <c r="B560" s="17"/>
      <c r="C560" s="13"/>
      <c r="D560" s="13"/>
      <c r="E560" s="15"/>
      <c r="F560" s="13"/>
      <c r="G560" s="13"/>
      <c r="H560" s="6"/>
      <c r="I560" s="13"/>
      <c r="J560" s="13"/>
      <c r="K560" s="13"/>
      <c r="L560" s="13"/>
      <c r="M560" s="13"/>
      <c r="N560" s="13"/>
      <c r="O560" s="13"/>
      <c r="P560" s="13"/>
      <c r="Q560" s="13"/>
      <c r="R560" s="13"/>
      <c r="S560" s="13"/>
      <c r="T560" s="13"/>
      <c r="U560" s="13"/>
      <c r="V560" s="13"/>
      <c r="W560" s="13"/>
      <c r="X560" s="13"/>
      <c r="Y560" s="13"/>
      <c r="Z560" s="13"/>
      <c r="AA560" s="13"/>
      <c r="AB560" s="13"/>
    </row>
    <row r="561" spans="1:28" ht="17.399999999999999" x14ac:dyDescent="0.35">
      <c r="A561" s="16"/>
      <c r="B561" s="17"/>
      <c r="C561" s="13"/>
      <c r="D561" s="13"/>
      <c r="E561" s="15"/>
      <c r="F561" s="13"/>
      <c r="G561" s="13"/>
      <c r="H561" s="6"/>
      <c r="I561" s="13"/>
      <c r="J561" s="13"/>
      <c r="K561" s="13"/>
      <c r="L561" s="13"/>
      <c r="M561" s="13"/>
      <c r="N561" s="13"/>
      <c r="O561" s="13"/>
      <c r="P561" s="13"/>
      <c r="Q561" s="13"/>
      <c r="R561" s="13"/>
      <c r="S561" s="13"/>
      <c r="T561" s="13"/>
      <c r="U561" s="13"/>
      <c r="V561" s="13"/>
      <c r="W561" s="13"/>
      <c r="X561" s="13"/>
      <c r="Y561" s="13"/>
      <c r="Z561" s="13"/>
      <c r="AA561" s="13"/>
      <c r="AB561" s="13"/>
    </row>
    <row r="562" spans="1:28" ht="17.399999999999999" x14ac:dyDescent="0.35">
      <c r="A562" s="16"/>
      <c r="B562" s="17"/>
      <c r="C562" s="13"/>
      <c r="D562" s="13"/>
      <c r="E562" s="15"/>
      <c r="F562" s="13"/>
      <c r="G562" s="13"/>
      <c r="H562" s="6"/>
      <c r="I562" s="13"/>
      <c r="J562" s="13"/>
      <c r="K562" s="13"/>
      <c r="L562" s="13"/>
      <c r="M562" s="13"/>
      <c r="N562" s="13"/>
      <c r="O562" s="13"/>
      <c r="P562" s="13"/>
      <c r="Q562" s="13"/>
      <c r="R562" s="13"/>
      <c r="S562" s="13"/>
      <c r="T562" s="13"/>
      <c r="U562" s="13"/>
      <c r="V562" s="13"/>
      <c r="W562" s="13"/>
      <c r="X562" s="13"/>
      <c r="Y562" s="13"/>
      <c r="Z562" s="13"/>
      <c r="AA562" s="13"/>
      <c r="AB562" s="13"/>
    </row>
    <row r="563" spans="1:28" ht="17.399999999999999" x14ac:dyDescent="0.35">
      <c r="A563" s="16"/>
      <c r="B563" s="17"/>
      <c r="C563" s="13"/>
      <c r="D563" s="13"/>
      <c r="E563" s="15"/>
      <c r="F563" s="13"/>
      <c r="G563" s="13"/>
      <c r="H563" s="6"/>
      <c r="I563" s="13"/>
      <c r="J563" s="13"/>
      <c r="K563" s="13"/>
      <c r="L563" s="13"/>
      <c r="M563" s="13"/>
      <c r="N563" s="13"/>
      <c r="O563" s="13"/>
      <c r="P563" s="13"/>
      <c r="Q563" s="13"/>
      <c r="R563" s="13"/>
      <c r="S563" s="13"/>
      <c r="T563" s="13"/>
      <c r="U563" s="13"/>
      <c r="V563" s="13"/>
      <c r="W563" s="13"/>
      <c r="X563" s="13"/>
      <c r="Y563" s="13"/>
      <c r="Z563" s="13"/>
      <c r="AA563" s="13"/>
      <c r="AB563" s="13"/>
    </row>
    <row r="564" spans="1:28" ht="17.399999999999999" x14ac:dyDescent="0.35">
      <c r="A564" s="16"/>
      <c r="B564" s="17"/>
      <c r="C564" s="13"/>
      <c r="D564" s="13"/>
      <c r="E564" s="15"/>
      <c r="F564" s="13"/>
      <c r="G564" s="13"/>
      <c r="H564" s="6"/>
      <c r="I564" s="13"/>
      <c r="J564" s="13"/>
      <c r="K564" s="13"/>
      <c r="L564" s="13"/>
      <c r="M564" s="13"/>
      <c r="N564" s="13"/>
      <c r="O564" s="13"/>
      <c r="P564" s="13"/>
      <c r="Q564" s="13"/>
      <c r="R564" s="13"/>
      <c r="S564" s="13"/>
      <c r="T564" s="13"/>
      <c r="U564" s="13"/>
      <c r="V564" s="13"/>
      <c r="W564" s="13"/>
      <c r="X564" s="13"/>
      <c r="Y564" s="13"/>
      <c r="Z564" s="13"/>
      <c r="AA564" s="13"/>
      <c r="AB564" s="13"/>
    </row>
    <row r="565" spans="1:28" ht="17.399999999999999" x14ac:dyDescent="0.35">
      <c r="A565" s="16"/>
      <c r="B565" s="17"/>
      <c r="C565" s="13"/>
      <c r="D565" s="13"/>
      <c r="E565" s="15"/>
      <c r="F565" s="13"/>
      <c r="G565" s="13"/>
      <c r="H565" s="6"/>
      <c r="I565" s="13"/>
      <c r="J565" s="13"/>
      <c r="K565" s="13"/>
      <c r="L565" s="13"/>
      <c r="M565" s="13"/>
      <c r="N565" s="13"/>
      <c r="O565" s="13"/>
      <c r="P565" s="13"/>
      <c r="Q565" s="13"/>
      <c r="R565" s="13"/>
      <c r="S565" s="13"/>
      <c r="T565" s="13"/>
      <c r="U565" s="13"/>
      <c r="V565" s="13"/>
      <c r="W565" s="13"/>
      <c r="X565" s="13"/>
      <c r="Y565" s="13"/>
      <c r="Z565" s="13"/>
      <c r="AA565" s="13"/>
      <c r="AB565" s="13"/>
    </row>
    <row r="566" spans="1:28" ht="17.399999999999999" x14ac:dyDescent="0.35">
      <c r="A566" s="16"/>
      <c r="B566" s="17"/>
      <c r="C566" s="13"/>
      <c r="D566" s="13"/>
      <c r="E566" s="15"/>
      <c r="F566" s="13"/>
      <c r="G566" s="13"/>
      <c r="H566" s="6"/>
      <c r="I566" s="13"/>
      <c r="J566" s="13"/>
      <c r="K566" s="13"/>
      <c r="L566" s="13"/>
      <c r="M566" s="13"/>
      <c r="N566" s="13"/>
      <c r="O566" s="13"/>
      <c r="P566" s="13"/>
      <c r="Q566" s="13"/>
      <c r="R566" s="13"/>
      <c r="S566" s="13"/>
      <c r="T566" s="13"/>
      <c r="U566" s="13"/>
      <c r="V566" s="13"/>
      <c r="W566" s="13"/>
      <c r="X566" s="13"/>
      <c r="Y566" s="13"/>
      <c r="Z566" s="13"/>
      <c r="AA566" s="13"/>
      <c r="AB566" s="13"/>
    </row>
    <row r="567" spans="1:28" ht="17.399999999999999" x14ac:dyDescent="0.35">
      <c r="A567" s="16"/>
      <c r="B567" s="17"/>
      <c r="C567" s="13"/>
      <c r="D567" s="13"/>
      <c r="E567" s="15"/>
      <c r="F567" s="13"/>
      <c r="G567" s="13"/>
      <c r="H567" s="6"/>
      <c r="I567" s="13"/>
      <c r="J567" s="13"/>
      <c r="K567" s="13"/>
      <c r="L567" s="13"/>
      <c r="M567" s="13"/>
      <c r="N567" s="13"/>
      <c r="O567" s="13"/>
      <c r="P567" s="13"/>
      <c r="Q567" s="13"/>
      <c r="R567" s="13"/>
      <c r="S567" s="13"/>
      <c r="T567" s="13"/>
      <c r="U567" s="13"/>
      <c r="V567" s="13"/>
      <c r="W567" s="13"/>
      <c r="X567" s="13"/>
      <c r="Y567" s="13"/>
      <c r="Z567" s="13"/>
      <c r="AA567" s="13"/>
      <c r="AB567" s="13"/>
    </row>
    <row r="568" spans="1:28" ht="17.399999999999999" x14ac:dyDescent="0.35">
      <c r="A568" s="16"/>
      <c r="B568" s="17"/>
      <c r="C568" s="13"/>
      <c r="D568" s="13"/>
      <c r="E568" s="15"/>
      <c r="F568" s="13"/>
      <c r="G568" s="13"/>
      <c r="H568" s="6"/>
      <c r="I568" s="13"/>
      <c r="J568" s="13"/>
      <c r="K568" s="13"/>
      <c r="L568" s="13"/>
      <c r="M568" s="13"/>
      <c r="N568" s="13"/>
      <c r="O568" s="13"/>
      <c r="P568" s="13"/>
      <c r="Q568" s="13"/>
      <c r="R568" s="13"/>
      <c r="S568" s="13"/>
      <c r="T568" s="13"/>
      <c r="U568" s="13"/>
      <c r="V568" s="13"/>
      <c r="W568" s="13"/>
      <c r="X568" s="13"/>
      <c r="Y568" s="13"/>
      <c r="Z568" s="13"/>
      <c r="AA568" s="13"/>
      <c r="AB568" s="13"/>
    </row>
    <row r="569" spans="1:28" ht="17.399999999999999" x14ac:dyDescent="0.35">
      <c r="A569" s="16"/>
      <c r="B569" s="17"/>
      <c r="C569" s="13"/>
      <c r="D569" s="13"/>
      <c r="E569" s="15"/>
      <c r="F569" s="13"/>
      <c r="G569" s="13"/>
      <c r="H569" s="6"/>
      <c r="I569" s="13"/>
      <c r="J569" s="13"/>
      <c r="K569" s="13"/>
      <c r="L569" s="13"/>
      <c r="M569" s="13"/>
      <c r="N569" s="13"/>
      <c r="O569" s="13"/>
      <c r="P569" s="13"/>
      <c r="Q569" s="13"/>
      <c r="R569" s="13"/>
      <c r="S569" s="13"/>
      <c r="T569" s="13"/>
      <c r="U569" s="13"/>
      <c r="V569" s="13"/>
      <c r="W569" s="13"/>
      <c r="X569" s="13"/>
      <c r="Y569" s="13"/>
      <c r="Z569" s="13"/>
      <c r="AA569" s="13"/>
      <c r="AB569" s="13"/>
    </row>
    <row r="570" spans="1:28" ht="17.399999999999999" x14ac:dyDescent="0.35">
      <c r="A570" s="16"/>
      <c r="B570" s="17"/>
      <c r="C570" s="13"/>
      <c r="D570" s="13"/>
      <c r="E570" s="15"/>
      <c r="F570" s="13"/>
      <c r="G570" s="13"/>
      <c r="H570" s="6"/>
      <c r="I570" s="13"/>
      <c r="J570" s="13"/>
      <c r="K570" s="13"/>
      <c r="L570" s="13"/>
      <c r="M570" s="13"/>
      <c r="N570" s="13"/>
      <c r="O570" s="13"/>
      <c r="P570" s="13"/>
      <c r="Q570" s="13"/>
      <c r="R570" s="13"/>
      <c r="S570" s="13"/>
      <c r="T570" s="13"/>
      <c r="U570" s="13"/>
      <c r="V570" s="13"/>
      <c r="W570" s="13"/>
      <c r="X570" s="13"/>
      <c r="Y570" s="13"/>
      <c r="Z570" s="13"/>
      <c r="AA570" s="13"/>
      <c r="AB570" s="13"/>
    </row>
    <row r="571" spans="1:28" ht="17.399999999999999" x14ac:dyDescent="0.35">
      <c r="A571" s="16"/>
      <c r="B571" s="17"/>
      <c r="C571" s="13"/>
      <c r="D571" s="13"/>
      <c r="E571" s="15"/>
      <c r="F571" s="13"/>
      <c r="G571" s="13"/>
      <c r="H571" s="6"/>
      <c r="I571" s="13"/>
      <c r="J571" s="13"/>
      <c r="K571" s="13"/>
      <c r="L571" s="13"/>
      <c r="M571" s="13"/>
      <c r="N571" s="13"/>
      <c r="O571" s="13"/>
      <c r="P571" s="13"/>
      <c r="Q571" s="13"/>
      <c r="R571" s="13"/>
      <c r="S571" s="13"/>
      <c r="T571" s="13"/>
      <c r="U571" s="13"/>
      <c r="V571" s="13"/>
      <c r="W571" s="13"/>
      <c r="X571" s="13"/>
      <c r="Y571" s="13"/>
      <c r="Z571" s="13"/>
      <c r="AA571" s="13"/>
      <c r="AB571" s="13"/>
    </row>
    <row r="572" spans="1:28" ht="17.399999999999999" x14ac:dyDescent="0.35">
      <c r="A572" s="16"/>
      <c r="B572" s="17"/>
      <c r="C572" s="13"/>
      <c r="D572" s="13"/>
      <c r="E572" s="15"/>
      <c r="F572" s="13"/>
      <c r="G572" s="13"/>
      <c r="H572" s="6"/>
      <c r="I572" s="13"/>
      <c r="J572" s="13"/>
      <c r="K572" s="13"/>
      <c r="L572" s="13"/>
      <c r="M572" s="13"/>
      <c r="N572" s="13"/>
      <c r="O572" s="13"/>
      <c r="P572" s="13"/>
      <c r="Q572" s="13"/>
      <c r="R572" s="13"/>
      <c r="S572" s="13"/>
      <c r="T572" s="13"/>
      <c r="U572" s="13"/>
      <c r="V572" s="13"/>
      <c r="W572" s="13"/>
      <c r="X572" s="13"/>
      <c r="Y572" s="13"/>
      <c r="Z572" s="13"/>
      <c r="AA572" s="13"/>
      <c r="AB572" s="13"/>
    </row>
    <row r="573" spans="1:28" ht="17.399999999999999" x14ac:dyDescent="0.35">
      <c r="A573" s="16"/>
      <c r="B573" s="17"/>
      <c r="C573" s="13"/>
      <c r="D573" s="13"/>
      <c r="E573" s="15"/>
      <c r="F573" s="13"/>
      <c r="G573" s="13"/>
      <c r="H573" s="6"/>
      <c r="I573" s="13"/>
      <c r="J573" s="13"/>
      <c r="K573" s="13"/>
      <c r="L573" s="13"/>
      <c r="M573" s="13"/>
      <c r="N573" s="13"/>
      <c r="O573" s="13"/>
      <c r="P573" s="13"/>
      <c r="Q573" s="13"/>
      <c r="R573" s="13"/>
      <c r="S573" s="13"/>
      <c r="T573" s="13"/>
      <c r="U573" s="13"/>
      <c r="V573" s="13"/>
      <c r="W573" s="13"/>
      <c r="X573" s="13"/>
      <c r="Y573" s="13"/>
      <c r="Z573" s="13"/>
      <c r="AA573" s="13"/>
      <c r="AB573" s="13"/>
    </row>
    <row r="574" spans="1:28" ht="17.399999999999999" x14ac:dyDescent="0.35">
      <c r="A574" s="16"/>
      <c r="B574" s="17"/>
      <c r="C574" s="13"/>
      <c r="D574" s="13"/>
      <c r="E574" s="15"/>
      <c r="F574" s="13"/>
      <c r="G574" s="13"/>
      <c r="H574" s="6"/>
      <c r="I574" s="13"/>
      <c r="J574" s="13"/>
      <c r="K574" s="13"/>
      <c r="L574" s="13"/>
      <c r="M574" s="13"/>
      <c r="N574" s="13"/>
      <c r="O574" s="13"/>
      <c r="P574" s="13"/>
      <c r="Q574" s="13"/>
      <c r="R574" s="13"/>
      <c r="S574" s="13"/>
      <c r="T574" s="13"/>
      <c r="U574" s="13"/>
      <c r="V574" s="13"/>
      <c r="W574" s="13"/>
      <c r="X574" s="13"/>
      <c r="Y574" s="13"/>
      <c r="Z574" s="13"/>
      <c r="AA574" s="13"/>
      <c r="AB574" s="13"/>
    </row>
    <row r="575" spans="1:28" ht="17.399999999999999" x14ac:dyDescent="0.35">
      <c r="A575" s="16"/>
      <c r="B575" s="17"/>
      <c r="C575" s="13"/>
      <c r="D575" s="13"/>
      <c r="E575" s="15"/>
      <c r="F575" s="13"/>
      <c r="G575" s="13"/>
      <c r="H575" s="6"/>
      <c r="I575" s="13"/>
      <c r="J575" s="13"/>
      <c r="K575" s="13"/>
      <c r="L575" s="13"/>
      <c r="M575" s="13"/>
      <c r="N575" s="13"/>
      <c r="O575" s="13"/>
      <c r="P575" s="13"/>
      <c r="Q575" s="13"/>
      <c r="R575" s="13"/>
      <c r="S575" s="13"/>
      <c r="T575" s="13"/>
      <c r="U575" s="13"/>
      <c r="V575" s="13"/>
      <c r="W575" s="13"/>
      <c r="X575" s="13"/>
      <c r="Y575" s="13"/>
      <c r="Z575" s="13"/>
      <c r="AA575" s="13"/>
      <c r="AB575" s="13"/>
    </row>
    <row r="576" spans="1:28" ht="17.399999999999999" x14ac:dyDescent="0.35">
      <c r="A576" s="16"/>
      <c r="B576" s="17"/>
      <c r="C576" s="13"/>
      <c r="D576" s="13"/>
      <c r="E576" s="15"/>
      <c r="F576" s="13"/>
      <c r="G576" s="13"/>
      <c r="H576" s="6"/>
      <c r="I576" s="13"/>
      <c r="J576" s="13"/>
      <c r="K576" s="13"/>
      <c r="L576" s="13"/>
      <c r="M576" s="13"/>
      <c r="N576" s="13"/>
      <c r="O576" s="13"/>
      <c r="P576" s="13"/>
      <c r="Q576" s="13"/>
      <c r="R576" s="13"/>
      <c r="S576" s="13"/>
      <c r="T576" s="13"/>
      <c r="U576" s="13"/>
      <c r="V576" s="13"/>
      <c r="W576" s="13"/>
      <c r="X576" s="13"/>
      <c r="Y576" s="13"/>
      <c r="Z576" s="13"/>
      <c r="AA576" s="13"/>
      <c r="AB576" s="13"/>
    </row>
    <row r="577" spans="1:28" ht="17.399999999999999" x14ac:dyDescent="0.35">
      <c r="A577" s="16"/>
      <c r="B577" s="17"/>
      <c r="C577" s="13"/>
      <c r="D577" s="13"/>
      <c r="E577" s="15"/>
      <c r="F577" s="13"/>
      <c r="G577" s="13"/>
      <c r="H577" s="6"/>
      <c r="I577" s="13"/>
      <c r="J577" s="13"/>
      <c r="K577" s="13"/>
      <c r="L577" s="13"/>
      <c r="M577" s="13"/>
      <c r="N577" s="13"/>
      <c r="O577" s="13"/>
      <c r="P577" s="13"/>
      <c r="Q577" s="13"/>
      <c r="R577" s="13"/>
      <c r="S577" s="13"/>
      <c r="T577" s="13"/>
      <c r="U577" s="13"/>
      <c r="V577" s="13"/>
      <c r="W577" s="13"/>
      <c r="X577" s="13"/>
      <c r="Y577" s="13"/>
      <c r="Z577" s="13"/>
      <c r="AA577" s="13"/>
      <c r="AB577" s="13"/>
    </row>
    <row r="578" spans="1:28" ht="17.399999999999999" x14ac:dyDescent="0.35">
      <c r="A578" s="16"/>
      <c r="B578" s="17"/>
      <c r="C578" s="13"/>
      <c r="D578" s="13"/>
      <c r="E578" s="15"/>
      <c r="F578" s="13"/>
      <c r="G578" s="13"/>
      <c r="H578" s="6"/>
      <c r="I578" s="13"/>
      <c r="J578" s="13"/>
      <c r="K578" s="13"/>
      <c r="L578" s="13"/>
      <c r="M578" s="13"/>
      <c r="N578" s="13"/>
      <c r="O578" s="13"/>
      <c r="P578" s="13"/>
      <c r="Q578" s="13"/>
      <c r="R578" s="13"/>
      <c r="S578" s="13"/>
      <c r="T578" s="13"/>
      <c r="U578" s="13"/>
      <c r="V578" s="13"/>
      <c r="W578" s="13"/>
      <c r="X578" s="13"/>
      <c r="Y578" s="13"/>
      <c r="Z578" s="13"/>
      <c r="AA578" s="13"/>
      <c r="AB578" s="13"/>
    </row>
    <row r="579" spans="1:28" ht="17.399999999999999" x14ac:dyDescent="0.35">
      <c r="A579" s="16"/>
      <c r="B579" s="17"/>
      <c r="C579" s="13"/>
      <c r="D579" s="13"/>
      <c r="E579" s="15"/>
      <c r="F579" s="13"/>
      <c r="G579" s="13"/>
      <c r="H579" s="6"/>
      <c r="I579" s="13"/>
      <c r="J579" s="13"/>
      <c r="K579" s="13"/>
      <c r="L579" s="13"/>
      <c r="M579" s="13"/>
      <c r="N579" s="13"/>
      <c r="O579" s="13"/>
      <c r="P579" s="13"/>
      <c r="Q579" s="13"/>
      <c r="R579" s="13"/>
      <c r="S579" s="13"/>
      <c r="T579" s="13"/>
      <c r="U579" s="13"/>
      <c r="V579" s="13"/>
      <c r="W579" s="13"/>
      <c r="X579" s="13"/>
      <c r="Y579" s="13"/>
      <c r="Z579" s="13"/>
      <c r="AA579" s="13"/>
      <c r="AB579" s="13"/>
    </row>
    <row r="580" spans="1:28" ht="17.399999999999999" x14ac:dyDescent="0.35">
      <c r="A580" s="16"/>
      <c r="B580" s="17"/>
      <c r="C580" s="13"/>
      <c r="D580" s="13"/>
      <c r="E580" s="15"/>
      <c r="F580" s="13"/>
      <c r="G580" s="13"/>
      <c r="H580" s="6"/>
      <c r="I580" s="13"/>
      <c r="J580" s="13"/>
      <c r="K580" s="13"/>
      <c r="L580" s="13"/>
      <c r="M580" s="13"/>
      <c r="N580" s="13"/>
      <c r="O580" s="13"/>
      <c r="P580" s="13"/>
      <c r="Q580" s="13"/>
      <c r="R580" s="13"/>
      <c r="S580" s="13"/>
      <c r="T580" s="13"/>
      <c r="U580" s="13"/>
      <c r="V580" s="13"/>
      <c r="W580" s="13"/>
      <c r="X580" s="13"/>
      <c r="Y580" s="13"/>
      <c r="Z580" s="13"/>
      <c r="AA580" s="13"/>
      <c r="AB580" s="13"/>
    </row>
    <row r="581" spans="1:28" ht="17.399999999999999" x14ac:dyDescent="0.35">
      <c r="A581" s="16"/>
      <c r="B581" s="17"/>
      <c r="C581" s="13"/>
      <c r="D581" s="13"/>
      <c r="E581" s="15"/>
      <c r="F581" s="13"/>
      <c r="G581" s="13"/>
      <c r="H581" s="6"/>
      <c r="I581" s="13"/>
      <c r="J581" s="13"/>
      <c r="K581" s="13"/>
      <c r="L581" s="13"/>
      <c r="M581" s="13"/>
      <c r="N581" s="13"/>
      <c r="O581" s="13"/>
      <c r="P581" s="13"/>
      <c r="Q581" s="13"/>
      <c r="R581" s="13"/>
      <c r="S581" s="13"/>
      <c r="T581" s="13"/>
      <c r="U581" s="13"/>
      <c r="V581" s="13"/>
      <c r="W581" s="13"/>
      <c r="X581" s="13"/>
      <c r="Y581" s="13"/>
      <c r="Z581" s="13"/>
      <c r="AA581" s="13"/>
      <c r="AB581" s="13"/>
    </row>
    <row r="582" spans="1:28" ht="17.399999999999999" x14ac:dyDescent="0.35">
      <c r="A582" s="16"/>
      <c r="B582" s="17"/>
      <c r="C582" s="13"/>
      <c r="D582" s="13"/>
      <c r="E582" s="15"/>
      <c r="F582" s="13"/>
      <c r="G582" s="13"/>
      <c r="H582" s="6"/>
      <c r="I582" s="13"/>
      <c r="J582" s="13"/>
      <c r="K582" s="13"/>
      <c r="L582" s="13"/>
      <c r="M582" s="13"/>
      <c r="N582" s="13"/>
      <c r="O582" s="13"/>
      <c r="P582" s="13"/>
      <c r="Q582" s="13"/>
      <c r="R582" s="13"/>
      <c r="S582" s="13"/>
      <c r="T582" s="13"/>
      <c r="U582" s="13"/>
      <c r="V582" s="13"/>
      <c r="W582" s="13"/>
      <c r="X582" s="13"/>
      <c r="Y582" s="13"/>
      <c r="Z582" s="13"/>
      <c r="AA582" s="13"/>
      <c r="AB582" s="13"/>
    </row>
    <row r="583" spans="1:28" ht="17.399999999999999" x14ac:dyDescent="0.35">
      <c r="A583" s="16"/>
      <c r="B583" s="17"/>
      <c r="C583" s="13"/>
      <c r="D583" s="13"/>
      <c r="E583" s="15"/>
      <c r="F583" s="13"/>
      <c r="G583" s="13"/>
      <c r="H583" s="6"/>
      <c r="I583" s="13"/>
      <c r="J583" s="13"/>
      <c r="K583" s="13"/>
      <c r="L583" s="13"/>
      <c r="M583" s="13"/>
      <c r="N583" s="13"/>
      <c r="O583" s="13"/>
      <c r="P583" s="13"/>
      <c r="Q583" s="13"/>
      <c r="R583" s="13"/>
      <c r="S583" s="13"/>
      <c r="T583" s="13"/>
      <c r="U583" s="13"/>
      <c r="V583" s="13"/>
      <c r="W583" s="13"/>
      <c r="X583" s="13"/>
      <c r="Y583" s="13"/>
      <c r="Z583" s="13"/>
      <c r="AA583" s="13"/>
      <c r="AB583" s="13"/>
    </row>
    <row r="584" spans="1:28" ht="17.399999999999999" x14ac:dyDescent="0.35">
      <c r="A584" s="16"/>
      <c r="B584" s="17"/>
      <c r="C584" s="13"/>
      <c r="D584" s="13"/>
      <c r="E584" s="15"/>
      <c r="F584" s="13"/>
      <c r="G584" s="13"/>
      <c r="H584" s="6"/>
      <c r="I584" s="13"/>
      <c r="J584" s="13"/>
      <c r="K584" s="13"/>
      <c r="L584" s="13"/>
      <c r="M584" s="13"/>
      <c r="N584" s="13"/>
      <c r="O584" s="13"/>
      <c r="P584" s="13"/>
      <c r="Q584" s="13"/>
      <c r="R584" s="13"/>
      <c r="S584" s="13"/>
      <c r="T584" s="13"/>
      <c r="U584" s="13"/>
      <c r="V584" s="13"/>
      <c r="W584" s="13"/>
      <c r="X584" s="13"/>
      <c r="Y584" s="13"/>
      <c r="Z584" s="13"/>
      <c r="AA584" s="13"/>
      <c r="AB584" s="13"/>
    </row>
    <row r="585" spans="1:28" ht="17.399999999999999" x14ac:dyDescent="0.35">
      <c r="A585" s="16"/>
      <c r="B585" s="17"/>
      <c r="C585" s="13"/>
      <c r="D585" s="13"/>
      <c r="E585" s="15"/>
      <c r="F585" s="13"/>
      <c r="G585" s="13"/>
      <c r="H585" s="6"/>
      <c r="I585" s="13"/>
      <c r="J585" s="13"/>
      <c r="K585" s="13"/>
      <c r="L585" s="13"/>
      <c r="M585" s="13"/>
      <c r="N585" s="13"/>
      <c r="O585" s="13"/>
      <c r="P585" s="13"/>
      <c r="Q585" s="13"/>
      <c r="R585" s="13"/>
      <c r="S585" s="13"/>
      <c r="T585" s="13"/>
      <c r="U585" s="13"/>
      <c r="V585" s="13"/>
      <c r="W585" s="13"/>
      <c r="X585" s="13"/>
      <c r="Y585" s="13"/>
      <c r="Z585" s="13"/>
      <c r="AA585" s="13"/>
      <c r="AB585" s="13"/>
    </row>
    <row r="586" spans="1:28" ht="17.399999999999999" x14ac:dyDescent="0.35">
      <c r="A586" s="16"/>
      <c r="B586" s="17"/>
      <c r="C586" s="13"/>
      <c r="D586" s="13"/>
      <c r="E586" s="15"/>
      <c r="F586" s="13"/>
      <c r="G586" s="13"/>
      <c r="H586" s="6"/>
      <c r="I586" s="13"/>
      <c r="J586" s="13"/>
      <c r="K586" s="13"/>
      <c r="L586" s="13"/>
      <c r="M586" s="13"/>
      <c r="N586" s="13"/>
      <c r="O586" s="13"/>
      <c r="P586" s="13"/>
      <c r="Q586" s="13"/>
      <c r="R586" s="13"/>
      <c r="S586" s="13"/>
      <c r="T586" s="13"/>
      <c r="U586" s="13"/>
      <c r="V586" s="13"/>
      <c r="W586" s="13"/>
      <c r="X586" s="13"/>
      <c r="Y586" s="13"/>
      <c r="Z586" s="13"/>
      <c r="AA586" s="13"/>
      <c r="AB586" s="13"/>
    </row>
    <row r="587" spans="1:28" ht="17.399999999999999" x14ac:dyDescent="0.35">
      <c r="A587" s="16"/>
      <c r="B587" s="17"/>
      <c r="C587" s="13"/>
      <c r="D587" s="13"/>
      <c r="E587" s="15"/>
      <c r="F587" s="13"/>
      <c r="G587" s="13"/>
      <c r="H587" s="6"/>
      <c r="I587" s="13"/>
      <c r="J587" s="13"/>
      <c r="K587" s="13"/>
      <c r="L587" s="13"/>
      <c r="M587" s="13"/>
      <c r="N587" s="13"/>
      <c r="O587" s="13"/>
      <c r="P587" s="13"/>
      <c r="Q587" s="13"/>
      <c r="R587" s="13"/>
      <c r="S587" s="13"/>
      <c r="T587" s="13"/>
      <c r="U587" s="13"/>
      <c r="V587" s="13"/>
      <c r="W587" s="13"/>
      <c r="X587" s="13"/>
      <c r="Y587" s="13"/>
      <c r="Z587" s="13"/>
      <c r="AA587" s="13"/>
      <c r="AB587" s="13"/>
    </row>
    <row r="588" spans="1:28" ht="17.399999999999999" x14ac:dyDescent="0.35">
      <c r="A588" s="16"/>
      <c r="B588" s="17"/>
      <c r="C588" s="13"/>
      <c r="D588" s="13"/>
      <c r="E588" s="15"/>
      <c r="F588" s="13"/>
      <c r="G588" s="13"/>
      <c r="H588" s="6"/>
      <c r="I588" s="13"/>
      <c r="J588" s="13"/>
      <c r="K588" s="13"/>
      <c r="L588" s="13"/>
      <c r="M588" s="13"/>
      <c r="N588" s="13"/>
      <c r="O588" s="13"/>
      <c r="P588" s="13"/>
      <c r="Q588" s="13"/>
      <c r="R588" s="13"/>
      <c r="S588" s="13"/>
      <c r="T588" s="13"/>
      <c r="U588" s="13"/>
      <c r="V588" s="13"/>
      <c r="W588" s="13"/>
      <c r="X588" s="13"/>
      <c r="Y588" s="13"/>
      <c r="Z588" s="13"/>
      <c r="AA588" s="13"/>
      <c r="AB588" s="13"/>
    </row>
    <row r="589" spans="1:28" ht="17.399999999999999" x14ac:dyDescent="0.35">
      <c r="A589" s="16"/>
      <c r="B589" s="17"/>
      <c r="C589" s="13"/>
      <c r="D589" s="13"/>
      <c r="E589" s="15"/>
      <c r="F589" s="13"/>
      <c r="G589" s="13"/>
      <c r="H589" s="6"/>
      <c r="I589" s="13"/>
      <c r="J589" s="13"/>
      <c r="K589" s="13"/>
      <c r="L589" s="13"/>
      <c r="M589" s="13"/>
      <c r="N589" s="13"/>
      <c r="O589" s="13"/>
      <c r="P589" s="13"/>
      <c r="Q589" s="13"/>
      <c r="R589" s="13"/>
      <c r="S589" s="13"/>
      <c r="T589" s="13"/>
      <c r="U589" s="13"/>
      <c r="V589" s="13"/>
      <c r="W589" s="13"/>
      <c r="X589" s="13"/>
      <c r="Y589" s="13"/>
      <c r="Z589" s="13"/>
      <c r="AA589" s="13"/>
      <c r="AB589" s="13"/>
    </row>
    <row r="590" spans="1:28" ht="17.399999999999999" x14ac:dyDescent="0.35">
      <c r="A590" s="16"/>
      <c r="B590" s="17"/>
      <c r="C590" s="13"/>
      <c r="D590" s="13"/>
      <c r="E590" s="15"/>
      <c r="F590" s="13"/>
      <c r="G590" s="13"/>
      <c r="H590" s="6"/>
      <c r="I590" s="13"/>
      <c r="J590" s="13"/>
      <c r="K590" s="13"/>
      <c r="L590" s="13"/>
      <c r="M590" s="13"/>
      <c r="N590" s="13"/>
      <c r="O590" s="13"/>
      <c r="P590" s="13"/>
      <c r="Q590" s="13"/>
      <c r="R590" s="13"/>
      <c r="S590" s="13"/>
      <c r="T590" s="13"/>
      <c r="U590" s="13"/>
      <c r="V590" s="13"/>
      <c r="W590" s="13"/>
      <c r="X590" s="13"/>
      <c r="Y590" s="13"/>
      <c r="Z590" s="13"/>
      <c r="AA590" s="13"/>
      <c r="AB590" s="13"/>
    </row>
    <row r="591" spans="1:28" ht="17.399999999999999" x14ac:dyDescent="0.35">
      <c r="A591" s="16"/>
      <c r="B591" s="17"/>
      <c r="C591" s="13"/>
      <c r="D591" s="13"/>
      <c r="E591" s="15"/>
      <c r="F591" s="13"/>
      <c r="G591" s="13"/>
      <c r="H591" s="6"/>
      <c r="I591" s="13"/>
      <c r="J591" s="13"/>
      <c r="K591" s="13"/>
      <c r="L591" s="13"/>
      <c r="M591" s="13"/>
      <c r="N591" s="13"/>
      <c r="O591" s="13"/>
      <c r="P591" s="13"/>
      <c r="Q591" s="13"/>
      <c r="R591" s="13"/>
      <c r="S591" s="13"/>
      <c r="T591" s="13"/>
      <c r="U591" s="13"/>
      <c r="V591" s="13"/>
      <c r="W591" s="13"/>
      <c r="X591" s="13"/>
      <c r="Y591" s="13"/>
      <c r="Z591" s="13"/>
      <c r="AA591" s="13"/>
      <c r="AB591" s="13"/>
    </row>
    <row r="592" spans="1:28" ht="17.399999999999999" x14ac:dyDescent="0.35">
      <c r="A592" s="16"/>
      <c r="B592" s="17"/>
      <c r="C592" s="13"/>
      <c r="D592" s="13"/>
      <c r="E592" s="15"/>
      <c r="F592" s="13"/>
      <c r="G592" s="13"/>
      <c r="H592" s="6"/>
      <c r="I592" s="13"/>
      <c r="J592" s="13"/>
      <c r="K592" s="13"/>
      <c r="L592" s="13"/>
      <c r="M592" s="13"/>
      <c r="N592" s="13"/>
      <c r="O592" s="13"/>
      <c r="P592" s="13"/>
      <c r="Q592" s="13"/>
      <c r="R592" s="13"/>
      <c r="S592" s="13"/>
      <c r="T592" s="13"/>
      <c r="U592" s="13"/>
      <c r="V592" s="13"/>
      <c r="W592" s="13"/>
      <c r="X592" s="13"/>
      <c r="Y592" s="13"/>
      <c r="Z592" s="13"/>
      <c r="AA592" s="13"/>
      <c r="AB592" s="13"/>
    </row>
    <row r="593" spans="1:28" ht="17.399999999999999" x14ac:dyDescent="0.35">
      <c r="A593" s="16"/>
      <c r="B593" s="17"/>
      <c r="C593" s="13"/>
      <c r="D593" s="13"/>
      <c r="E593" s="15"/>
      <c r="F593" s="13"/>
      <c r="G593" s="13"/>
      <c r="H593" s="6"/>
      <c r="I593" s="13"/>
      <c r="J593" s="13"/>
      <c r="K593" s="13"/>
      <c r="L593" s="13"/>
      <c r="M593" s="13"/>
      <c r="N593" s="13"/>
      <c r="O593" s="13"/>
      <c r="P593" s="13"/>
      <c r="Q593" s="13"/>
      <c r="R593" s="13"/>
      <c r="S593" s="13"/>
      <c r="T593" s="13"/>
      <c r="U593" s="13"/>
      <c r="V593" s="13"/>
      <c r="W593" s="13"/>
      <c r="X593" s="13"/>
      <c r="Y593" s="13"/>
      <c r="Z593" s="13"/>
      <c r="AA593" s="13"/>
      <c r="AB593" s="13"/>
    </row>
    <row r="594" spans="1:28" ht="17.399999999999999" x14ac:dyDescent="0.35">
      <c r="A594" s="16"/>
      <c r="B594" s="17"/>
      <c r="C594" s="13"/>
      <c r="D594" s="13"/>
      <c r="E594" s="15"/>
      <c r="F594" s="13"/>
      <c r="G594" s="13"/>
      <c r="H594" s="6"/>
      <c r="I594" s="13"/>
      <c r="J594" s="13"/>
      <c r="K594" s="13"/>
      <c r="L594" s="13"/>
      <c r="M594" s="13"/>
      <c r="N594" s="13"/>
      <c r="O594" s="13"/>
      <c r="P594" s="13"/>
      <c r="Q594" s="13"/>
      <c r="R594" s="13"/>
      <c r="S594" s="13"/>
      <c r="T594" s="13"/>
      <c r="U594" s="13"/>
      <c r="V594" s="13"/>
      <c r="W594" s="13"/>
      <c r="X594" s="13"/>
      <c r="Y594" s="13"/>
      <c r="Z594" s="13"/>
      <c r="AA594" s="13"/>
      <c r="AB594" s="13"/>
    </row>
    <row r="595" spans="1:28" ht="17.399999999999999" x14ac:dyDescent="0.35">
      <c r="A595" s="16"/>
      <c r="B595" s="17"/>
      <c r="C595" s="13"/>
      <c r="D595" s="13"/>
      <c r="E595" s="15"/>
      <c r="F595" s="13"/>
      <c r="G595" s="13"/>
      <c r="H595" s="6"/>
      <c r="I595" s="13"/>
      <c r="J595" s="13"/>
      <c r="K595" s="13"/>
      <c r="L595" s="13"/>
      <c r="M595" s="13"/>
      <c r="N595" s="13"/>
      <c r="O595" s="13"/>
      <c r="P595" s="13"/>
      <c r="Q595" s="13"/>
      <c r="R595" s="13"/>
      <c r="S595" s="13"/>
      <c r="T595" s="13"/>
      <c r="U595" s="13"/>
      <c r="V595" s="13"/>
      <c r="W595" s="13"/>
      <c r="X595" s="13"/>
      <c r="Y595" s="13"/>
      <c r="Z595" s="13"/>
      <c r="AA595" s="13"/>
      <c r="AB595" s="13"/>
    </row>
    <row r="596" spans="1:28" ht="17.399999999999999" x14ac:dyDescent="0.35">
      <c r="A596" s="16"/>
      <c r="B596" s="17"/>
      <c r="C596" s="13"/>
      <c r="D596" s="13"/>
      <c r="E596" s="15"/>
      <c r="F596" s="13"/>
      <c r="G596" s="13"/>
      <c r="H596" s="6"/>
      <c r="I596" s="13"/>
      <c r="J596" s="13"/>
      <c r="K596" s="13"/>
      <c r="L596" s="13"/>
      <c r="M596" s="13"/>
      <c r="N596" s="13"/>
      <c r="O596" s="13"/>
      <c r="P596" s="13"/>
      <c r="Q596" s="13"/>
      <c r="R596" s="13"/>
      <c r="S596" s="13"/>
      <c r="T596" s="13"/>
      <c r="U596" s="13"/>
      <c r="V596" s="13"/>
      <c r="W596" s="13"/>
      <c r="X596" s="13"/>
      <c r="Y596" s="13"/>
      <c r="Z596" s="13"/>
      <c r="AA596" s="13"/>
      <c r="AB596" s="13"/>
    </row>
    <row r="597" spans="1:28" ht="17.399999999999999" x14ac:dyDescent="0.35">
      <c r="A597" s="16"/>
      <c r="B597" s="17"/>
      <c r="C597" s="13"/>
      <c r="D597" s="13"/>
      <c r="E597" s="15"/>
      <c r="F597" s="13"/>
      <c r="G597" s="13"/>
      <c r="H597" s="6"/>
      <c r="I597" s="13"/>
      <c r="J597" s="13"/>
      <c r="K597" s="13"/>
      <c r="L597" s="13"/>
      <c r="M597" s="13"/>
      <c r="N597" s="13"/>
      <c r="O597" s="13"/>
      <c r="P597" s="13"/>
      <c r="Q597" s="13"/>
      <c r="R597" s="13"/>
      <c r="S597" s="13"/>
      <c r="T597" s="13"/>
      <c r="U597" s="13"/>
      <c r="V597" s="13"/>
      <c r="W597" s="13"/>
      <c r="X597" s="13"/>
      <c r="Y597" s="13"/>
      <c r="Z597" s="13"/>
      <c r="AA597" s="13"/>
      <c r="AB597" s="13"/>
    </row>
    <row r="598" spans="1:28" ht="17.399999999999999" x14ac:dyDescent="0.35">
      <c r="A598" s="16"/>
      <c r="B598" s="17"/>
      <c r="C598" s="13"/>
      <c r="D598" s="13"/>
      <c r="E598" s="15"/>
      <c r="F598" s="13"/>
      <c r="G598" s="13"/>
      <c r="H598" s="6"/>
      <c r="I598" s="13"/>
      <c r="J598" s="13"/>
      <c r="K598" s="13"/>
      <c r="L598" s="13"/>
      <c r="M598" s="13"/>
      <c r="N598" s="13"/>
      <c r="O598" s="13"/>
      <c r="P598" s="13"/>
      <c r="Q598" s="13"/>
      <c r="R598" s="13"/>
      <c r="S598" s="13"/>
      <c r="T598" s="13"/>
      <c r="U598" s="13"/>
      <c r="V598" s="13"/>
      <c r="W598" s="13"/>
      <c r="X598" s="13"/>
      <c r="Y598" s="13"/>
      <c r="Z598" s="13"/>
      <c r="AA598" s="13"/>
      <c r="AB598" s="13"/>
    </row>
    <row r="599" spans="1:28" ht="17.399999999999999" x14ac:dyDescent="0.35">
      <c r="A599" s="16"/>
      <c r="B599" s="17"/>
      <c r="C599" s="13"/>
      <c r="D599" s="13"/>
      <c r="E599" s="15"/>
      <c r="F599" s="13"/>
      <c r="G599" s="13"/>
      <c r="H599" s="6"/>
      <c r="I599" s="13"/>
      <c r="J599" s="13"/>
      <c r="K599" s="13"/>
      <c r="L599" s="13"/>
      <c r="M599" s="13"/>
      <c r="N599" s="13"/>
      <c r="O599" s="13"/>
      <c r="P599" s="13"/>
      <c r="Q599" s="13"/>
      <c r="R599" s="13"/>
      <c r="S599" s="13"/>
      <c r="T599" s="13"/>
      <c r="U599" s="13"/>
      <c r="V599" s="13"/>
      <c r="W599" s="13"/>
      <c r="X599" s="13"/>
      <c r="Y599" s="13"/>
      <c r="Z599" s="13"/>
      <c r="AA599" s="13"/>
      <c r="AB599" s="13"/>
    </row>
    <row r="600" spans="1:28" ht="17.399999999999999" x14ac:dyDescent="0.35">
      <c r="A600" s="16"/>
      <c r="B600" s="17"/>
      <c r="C600" s="13"/>
      <c r="D600" s="13"/>
      <c r="E600" s="15"/>
      <c r="F600" s="13"/>
      <c r="G600" s="13"/>
      <c r="H600" s="6"/>
      <c r="I600" s="13"/>
      <c r="J600" s="13"/>
      <c r="K600" s="13"/>
      <c r="L600" s="13"/>
      <c r="M600" s="13"/>
      <c r="N600" s="13"/>
      <c r="O600" s="13"/>
      <c r="P600" s="13"/>
      <c r="Q600" s="13"/>
      <c r="R600" s="13"/>
      <c r="S600" s="13"/>
      <c r="T600" s="13"/>
      <c r="U600" s="13"/>
      <c r="V600" s="13"/>
      <c r="W600" s="13"/>
      <c r="X600" s="13"/>
      <c r="Y600" s="13"/>
      <c r="Z600" s="13"/>
      <c r="AA600" s="13"/>
      <c r="AB600" s="13"/>
    </row>
    <row r="601" spans="1:28" ht="17.399999999999999" x14ac:dyDescent="0.35">
      <c r="A601" s="16"/>
      <c r="B601" s="17"/>
      <c r="C601" s="13"/>
      <c r="D601" s="13"/>
      <c r="E601" s="15"/>
      <c r="F601" s="13"/>
      <c r="G601" s="13"/>
      <c r="H601" s="6"/>
      <c r="I601" s="13"/>
      <c r="J601" s="13"/>
      <c r="K601" s="13"/>
      <c r="L601" s="13"/>
      <c r="M601" s="13"/>
      <c r="N601" s="13"/>
      <c r="O601" s="13"/>
      <c r="P601" s="13"/>
      <c r="Q601" s="13"/>
      <c r="R601" s="13"/>
      <c r="S601" s="13"/>
      <c r="T601" s="13"/>
      <c r="U601" s="13"/>
      <c r="V601" s="13"/>
      <c r="W601" s="13"/>
      <c r="X601" s="13"/>
      <c r="Y601" s="13"/>
      <c r="Z601" s="13"/>
      <c r="AA601" s="13"/>
      <c r="AB601" s="13"/>
    </row>
    <row r="602" spans="1:28" ht="17.399999999999999" x14ac:dyDescent="0.35">
      <c r="A602" s="16"/>
      <c r="B602" s="17"/>
      <c r="C602" s="13"/>
      <c r="D602" s="13"/>
      <c r="E602" s="15"/>
      <c r="F602" s="13"/>
      <c r="G602" s="13"/>
      <c r="H602" s="6"/>
      <c r="I602" s="13"/>
      <c r="J602" s="13"/>
      <c r="K602" s="13"/>
      <c r="L602" s="13"/>
      <c r="M602" s="13"/>
      <c r="N602" s="13"/>
      <c r="O602" s="13"/>
      <c r="P602" s="13"/>
      <c r="Q602" s="13"/>
      <c r="R602" s="13"/>
      <c r="S602" s="13"/>
      <c r="T602" s="13"/>
      <c r="U602" s="13"/>
      <c r="V602" s="13"/>
      <c r="W602" s="13"/>
      <c r="X602" s="13"/>
      <c r="Y602" s="13"/>
      <c r="Z602" s="13"/>
      <c r="AA602" s="13"/>
      <c r="AB602" s="13"/>
    </row>
    <row r="603" spans="1:28" ht="17.399999999999999" x14ac:dyDescent="0.35">
      <c r="A603" s="16"/>
      <c r="B603" s="17"/>
      <c r="C603" s="13"/>
      <c r="D603" s="13"/>
      <c r="E603" s="15"/>
      <c r="F603" s="13"/>
      <c r="G603" s="13"/>
      <c r="H603" s="6"/>
      <c r="I603" s="13"/>
      <c r="J603" s="13"/>
      <c r="K603" s="13"/>
      <c r="L603" s="13"/>
      <c r="M603" s="13"/>
      <c r="N603" s="13"/>
      <c r="O603" s="13"/>
      <c r="P603" s="13"/>
      <c r="Q603" s="13"/>
      <c r="R603" s="13"/>
      <c r="S603" s="13"/>
      <c r="T603" s="13"/>
      <c r="U603" s="13"/>
      <c r="V603" s="13"/>
      <c r="W603" s="13"/>
      <c r="X603" s="13"/>
      <c r="Y603" s="13"/>
      <c r="Z603" s="13"/>
      <c r="AA603" s="13"/>
      <c r="AB603" s="13"/>
    </row>
    <row r="604" spans="1:28" ht="17.399999999999999" x14ac:dyDescent="0.35">
      <c r="A604" s="16"/>
      <c r="B604" s="17"/>
      <c r="C604" s="13"/>
      <c r="D604" s="13"/>
      <c r="E604" s="15"/>
      <c r="F604" s="13"/>
      <c r="G604" s="13"/>
      <c r="H604" s="6"/>
      <c r="I604" s="13"/>
      <c r="J604" s="13"/>
      <c r="K604" s="13"/>
      <c r="L604" s="13"/>
      <c r="M604" s="13"/>
      <c r="N604" s="13"/>
      <c r="O604" s="13"/>
      <c r="P604" s="13"/>
      <c r="Q604" s="13"/>
      <c r="R604" s="13"/>
      <c r="S604" s="13"/>
      <c r="T604" s="13"/>
      <c r="U604" s="13"/>
      <c r="V604" s="13"/>
      <c r="W604" s="13"/>
      <c r="X604" s="13"/>
      <c r="Y604" s="13"/>
      <c r="Z604" s="13"/>
      <c r="AA604" s="13"/>
      <c r="AB604" s="13"/>
    </row>
    <row r="605" spans="1:28" ht="17.399999999999999" x14ac:dyDescent="0.35">
      <c r="A605" s="16"/>
      <c r="B605" s="17"/>
      <c r="C605" s="13"/>
      <c r="D605" s="13"/>
      <c r="E605" s="15"/>
      <c r="F605" s="13"/>
      <c r="G605" s="13"/>
      <c r="H605" s="6"/>
      <c r="I605" s="13"/>
      <c r="J605" s="13"/>
      <c r="K605" s="13"/>
      <c r="L605" s="13"/>
      <c r="M605" s="13"/>
      <c r="N605" s="13"/>
      <c r="O605" s="13"/>
      <c r="P605" s="13"/>
      <c r="Q605" s="13"/>
      <c r="R605" s="13"/>
      <c r="S605" s="13"/>
      <c r="T605" s="13"/>
      <c r="U605" s="13"/>
      <c r="V605" s="13"/>
      <c r="W605" s="13"/>
      <c r="X605" s="13"/>
      <c r="Y605" s="13"/>
      <c r="Z605" s="13"/>
      <c r="AA605" s="13"/>
      <c r="AB605" s="13"/>
    </row>
    <row r="606" spans="1:28" ht="17.399999999999999" x14ac:dyDescent="0.35">
      <c r="A606" s="16"/>
      <c r="B606" s="17"/>
      <c r="C606" s="13"/>
      <c r="D606" s="13"/>
      <c r="E606" s="15"/>
      <c r="F606" s="13"/>
      <c r="G606" s="13"/>
      <c r="H606" s="6"/>
      <c r="I606" s="13"/>
      <c r="J606" s="13"/>
      <c r="K606" s="13"/>
      <c r="L606" s="13"/>
      <c r="M606" s="13"/>
      <c r="N606" s="13"/>
      <c r="O606" s="13"/>
      <c r="P606" s="13"/>
      <c r="Q606" s="13"/>
      <c r="R606" s="13"/>
      <c r="S606" s="13"/>
      <c r="T606" s="13"/>
      <c r="U606" s="13"/>
      <c r="V606" s="13"/>
      <c r="W606" s="13"/>
      <c r="X606" s="13"/>
      <c r="Y606" s="13"/>
      <c r="Z606" s="13"/>
      <c r="AA606" s="13"/>
      <c r="AB606" s="13"/>
    </row>
    <row r="607" spans="1:28" ht="17.399999999999999" x14ac:dyDescent="0.35">
      <c r="A607" s="16"/>
      <c r="B607" s="17"/>
      <c r="C607" s="13"/>
      <c r="D607" s="13"/>
      <c r="E607" s="15"/>
      <c r="F607" s="13"/>
      <c r="G607" s="13"/>
      <c r="H607" s="6"/>
      <c r="I607" s="13"/>
      <c r="J607" s="13"/>
      <c r="K607" s="13"/>
      <c r="L607" s="13"/>
      <c r="M607" s="13"/>
      <c r="N607" s="13"/>
      <c r="O607" s="13"/>
      <c r="P607" s="13"/>
      <c r="Q607" s="13"/>
      <c r="R607" s="13"/>
      <c r="S607" s="13"/>
      <c r="T607" s="13"/>
      <c r="U607" s="13"/>
      <c r="V607" s="13"/>
      <c r="W607" s="13"/>
      <c r="X607" s="13"/>
      <c r="Y607" s="13"/>
      <c r="Z607" s="13"/>
      <c r="AA607" s="13"/>
      <c r="AB607" s="13"/>
    </row>
    <row r="608" spans="1:28" ht="17.399999999999999" x14ac:dyDescent="0.35">
      <c r="A608" s="16"/>
      <c r="B608" s="17"/>
      <c r="C608" s="13"/>
      <c r="D608" s="13"/>
      <c r="E608" s="15"/>
      <c r="F608" s="13"/>
      <c r="G608" s="13"/>
      <c r="H608" s="6"/>
      <c r="I608" s="13"/>
      <c r="J608" s="13"/>
      <c r="K608" s="13"/>
      <c r="L608" s="13"/>
      <c r="M608" s="13"/>
      <c r="N608" s="13"/>
      <c r="O608" s="13"/>
      <c r="P608" s="13"/>
      <c r="Q608" s="13"/>
      <c r="R608" s="13"/>
      <c r="S608" s="13"/>
      <c r="T608" s="13"/>
      <c r="U608" s="13"/>
      <c r="V608" s="13"/>
      <c r="W608" s="13"/>
      <c r="X608" s="13"/>
      <c r="Y608" s="13"/>
      <c r="Z608" s="13"/>
      <c r="AA608" s="13"/>
      <c r="AB608" s="13"/>
    </row>
    <row r="609" spans="1:28" ht="17.399999999999999" x14ac:dyDescent="0.35">
      <c r="A609" s="16"/>
      <c r="B609" s="17"/>
      <c r="C609" s="13"/>
      <c r="D609" s="13"/>
      <c r="E609" s="15"/>
      <c r="F609" s="13"/>
      <c r="G609" s="13"/>
      <c r="H609" s="6"/>
      <c r="I609" s="13"/>
      <c r="J609" s="13"/>
      <c r="K609" s="13"/>
      <c r="L609" s="13"/>
      <c r="M609" s="13"/>
      <c r="N609" s="13"/>
      <c r="O609" s="13"/>
      <c r="P609" s="13"/>
      <c r="Q609" s="13"/>
      <c r="R609" s="13"/>
      <c r="S609" s="13"/>
      <c r="T609" s="13"/>
      <c r="U609" s="13"/>
      <c r="V609" s="13"/>
      <c r="W609" s="13"/>
      <c r="X609" s="13"/>
      <c r="Y609" s="13"/>
      <c r="Z609" s="13"/>
      <c r="AA609" s="13"/>
      <c r="AB609" s="13"/>
    </row>
    <row r="610" spans="1:28" ht="17.399999999999999" x14ac:dyDescent="0.35">
      <c r="A610" s="16"/>
      <c r="B610" s="17"/>
      <c r="C610" s="13"/>
      <c r="D610" s="13"/>
      <c r="E610" s="15"/>
      <c r="F610" s="13"/>
      <c r="G610" s="13"/>
      <c r="H610" s="6"/>
      <c r="I610" s="13"/>
      <c r="J610" s="13"/>
      <c r="K610" s="13"/>
      <c r="L610" s="13"/>
      <c r="M610" s="13"/>
      <c r="N610" s="13"/>
      <c r="O610" s="13"/>
      <c r="P610" s="13"/>
      <c r="Q610" s="13"/>
      <c r="R610" s="13"/>
      <c r="S610" s="13"/>
      <c r="T610" s="13"/>
      <c r="U610" s="13"/>
      <c r="V610" s="13"/>
      <c r="W610" s="13"/>
      <c r="X610" s="13"/>
      <c r="Y610" s="13"/>
      <c r="Z610" s="13"/>
      <c r="AA610" s="13"/>
      <c r="AB610" s="13"/>
    </row>
    <row r="611" spans="1:28" ht="17.399999999999999" x14ac:dyDescent="0.35">
      <c r="A611" s="16"/>
      <c r="B611" s="17"/>
      <c r="C611" s="13"/>
      <c r="D611" s="13"/>
      <c r="E611" s="15"/>
      <c r="F611" s="13"/>
      <c r="G611" s="13"/>
      <c r="H611" s="6"/>
      <c r="I611" s="13"/>
      <c r="J611" s="13"/>
      <c r="K611" s="13"/>
      <c r="L611" s="13"/>
      <c r="M611" s="13"/>
      <c r="N611" s="13"/>
      <c r="O611" s="13"/>
      <c r="P611" s="13"/>
      <c r="Q611" s="13"/>
      <c r="R611" s="13"/>
      <c r="S611" s="13"/>
      <c r="T611" s="13"/>
      <c r="U611" s="13"/>
      <c r="V611" s="13"/>
      <c r="W611" s="13"/>
      <c r="X611" s="13"/>
      <c r="Y611" s="13"/>
      <c r="Z611" s="13"/>
      <c r="AA611" s="13"/>
      <c r="AB611" s="13"/>
    </row>
    <row r="612" spans="1:28" ht="17.399999999999999" x14ac:dyDescent="0.35">
      <c r="A612" s="16"/>
      <c r="B612" s="17"/>
      <c r="C612" s="13"/>
      <c r="D612" s="13"/>
      <c r="E612" s="15"/>
      <c r="F612" s="13"/>
      <c r="G612" s="13"/>
      <c r="H612" s="6"/>
      <c r="I612" s="13"/>
      <c r="J612" s="13"/>
      <c r="K612" s="13"/>
      <c r="L612" s="13"/>
      <c r="M612" s="13"/>
      <c r="N612" s="13"/>
      <c r="O612" s="13"/>
      <c r="P612" s="13"/>
      <c r="Q612" s="13"/>
      <c r="R612" s="13"/>
      <c r="S612" s="13"/>
      <c r="T612" s="13"/>
      <c r="U612" s="13"/>
      <c r="V612" s="13"/>
      <c r="W612" s="13"/>
      <c r="X612" s="13"/>
      <c r="Y612" s="13"/>
      <c r="Z612" s="13"/>
      <c r="AA612" s="13"/>
      <c r="AB612" s="13"/>
    </row>
    <row r="613" spans="1:28" ht="17.399999999999999" x14ac:dyDescent="0.35">
      <c r="A613" s="16"/>
      <c r="B613" s="17"/>
      <c r="C613" s="13"/>
      <c r="D613" s="13"/>
      <c r="E613" s="15"/>
      <c r="F613" s="13"/>
      <c r="G613" s="13"/>
      <c r="H613" s="6"/>
      <c r="I613" s="13"/>
      <c r="J613" s="13"/>
      <c r="K613" s="13"/>
      <c r="L613" s="13"/>
      <c r="M613" s="13"/>
      <c r="N613" s="13"/>
      <c r="O613" s="13"/>
      <c r="P613" s="13"/>
      <c r="Q613" s="13"/>
      <c r="R613" s="13"/>
      <c r="S613" s="13"/>
      <c r="T613" s="13"/>
      <c r="U613" s="13"/>
      <c r="V613" s="13"/>
      <c r="W613" s="13"/>
      <c r="X613" s="13"/>
      <c r="Y613" s="13"/>
      <c r="Z613" s="13"/>
      <c r="AA613" s="13"/>
      <c r="AB613" s="13"/>
    </row>
    <row r="614" spans="1:28" ht="17.399999999999999" x14ac:dyDescent="0.35">
      <c r="A614" s="16"/>
      <c r="B614" s="17"/>
      <c r="C614" s="13"/>
      <c r="D614" s="13"/>
      <c r="E614" s="15"/>
      <c r="F614" s="13"/>
      <c r="G614" s="13"/>
      <c r="H614" s="6"/>
      <c r="I614" s="13"/>
      <c r="J614" s="13"/>
      <c r="K614" s="13"/>
      <c r="L614" s="13"/>
      <c r="M614" s="13"/>
      <c r="N614" s="13"/>
      <c r="O614" s="13"/>
      <c r="P614" s="13"/>
      <c r="Q614" s="13"/>
      <c r="R614" s="13"/>
      <c r="S614" s="13"/>
      <c r="T614" s="13"/>
      <c r="U614" s="13"/>
      <c r="V614" s="13"/>
      <c r="W614" s="13"/>
      <c r="X614" s="13"/>
      <c r="Y614" s="13"/>
      <c r="Z614" s="13"/>
      <c r="AA614" s="13"/>
      <c r="AB614" s="13"/>
    </row>
    <row r="615" spans="1:28" ht="17.399999999999999" x14ac:dyDescent="0.35">
      <c r="A615" s="16"/>
      <c r="B615" s="17"/>
      <c r="C615" s="13"/>
      <c r="D615" s="13"/>
      <c r="E615" s="15"/>
      <c r="F615" s="13"/>
      <c r="G615" s="13"/>
      <c r="H615" s="6"/>
      <c r="I615" s="13"/>
      <c r="J615" s="13"/>
      <c r="K615" s="13"/>
      <c r="L615" s="13"/>
      <c r="M615" s="13"/>
      <c r="N615" s="13"/>
      <c r="O615" s="13"/>
      <c r="P615" s="13"/>
      <c r="Q615" s="13"/>
      <c r="R615" s="13"/>
      <c r="S615" s="13"/>
      <c r="T615" s="13"/>
      <c r="U615" s="13"/>
      <c r="V615" s="13"/>
      <c r="W615" s="13"/>
      <c r="X615" s="13"/>
      <c r="Y615" s="13"/>
      <c r="Z615" s="13"/>
      <c r="AA615" s="13"/>
      <c r="AB615" s="13"/>
    </row>
    <row r="616" spans="1:28" ht="17.399999999999999" x14ac:dyDescent="0.35">
      <c r="A616" s="16"/>
      <c r="B616" s="17"/>
      <c r="C616" s="13"/>
      <c r="D616" s="13"/>
      <c r="E616" s="15"/>
      <c r="F616" s="13"/>
      <c r="G616" s="13"/>
      <c r="H616" s="6"/>
      <c r="I616" s="13"/>
      <c r="J616" s="13"/>
      <c r="K616" s="13"/>
      <c r="L616" s="13"/>
      <c r="M616" s="13"/>
      <c r="N616" s="13"/>
      <c r="O616" s="13"/>
      <c r="P616" s="13"/>
      <c r="Q616" s="13"/>
      <c r="R616" s="13"/>
      <c r="S616" s="13"/>
      <c r="T616" s="13"/>
      <c r="U616" s="13"/>
      <c r="V616" s="13"/>
      <c r="W616" s="13"/>
      <c r="X616" s="13"/>
      <c r="Y616" s="13"/>
      <c r="Z616" s="13"/>
      <c r="AA616" s="13"/>
      <c r="AB616" s="13"/>
    </row>
    <row r="617" spans="1:28" ht="17.399999999999999" x14ac:dyDescent="0.35">
      <c r="A617" s="16"/>
      <c r="B617" s="17"/>
      <c r="C617" s="13"/>
      <c r="D617" s="13"/>
      <c r="E617" s="15"/>
      <c r="F617" s="13"/>
      <c r="G617" s="13"/>
      <c r="H617" s="6"/>
      <c r="I617" s="13"/>
      <c r="J617" s="13"/>
      <c r="K617" s="13"/>
      <c r="L617" s="13"/>
      <c r="M617" s="13"/>
      <c r="N617" s="13"/>
      <c r="O617" s="13"/>
      <c r="P617" s="13"/>
      <c r="Q617" s="13"/>
      <c r="R617" s="13"/>
      <c r="S617" s="13"/>
      <c r="T617" s="13"/>
      <c r="U617" s="13"/>
      <c r="V617" s="13"/>
      <c r="W617" s="13"/>
      <c r="X617" s="13"/>
      <c r="Y617" s="13"/>
      <c r="Z617" s="13"/>
      <c r="AA617" s="13"/>
      <c r="AB617" s="13"/>
    </row>
    <row r="618" spans="1:28" ht="17.399999999999999" x14ac:dyDescent="0.35">
      <c r="A618" s="16"/>
      <c r="B618" s="17"/>
      <c r="C618" s="13"/>
      <c r="D618" s="13"/>
      <c r="E618" s="15"/>
      <c r="F618" s="13"/>
      <c r="G618" s="13"/>
      <c r="H618" s="6"/>
      <c r="I618" s="13"/>
      <c r="J618" s="13"/>
      <c r="K618" s="13"/>
      <c r="L618" s="13"/>
      <c r="M618" s="13"/>
      <c r="N618" s="13"/>
      <c r="O618" s="13"/>
      <c r="P618" s="13"/>
      <c r="Q618" s="13"/>
      <c r="R618" s="13"/>
      <c r="S618" s="13"/>
      <c r="T618" s="13"/>
      <c r="U618" s="13"/>
      <c r="V618" s="13"/>
      <c r="W618" s="13"/>
      <c r="X618" s="13"/>
      <c r="Y618" s="13"/>
      <c r="Z618" s="13"/>
      <c r="AA618" s="13"/>
      <c r="AB618" s="13"/>
    </row>
    <row r="619" spans="1:28" ht="17.399999999999999" x14ac:dyDescent="0.35">
      <c r="A619" s="16"/>
      <c r="B619" s="17"/>
      <c r="C619" s="13"/>
      <c r="D619" s="13"/>
      <c r="E619" s="15"/>
      <c r="F619" s="13"/>
      <c r="G619" s="13"/>
      <c r="H619" s="6"/>
      <c r="I619" s="13"/>
      <c r="J619" s="13"/>
      <c r="K619" s="13"/>
      <c r="L619" s="13"/>
      <c r="M619" s="13"/>
      <c r="N619" s="13"/>
      <c r="O619" s="13"/>
      <c r="P619" s="13"/>
      <c r="Q619" s="13"/>
      <c r="R619" s="13"/>
      <c r="S619" s="13"/>
      <c r="T619" s="13"/>
      <c r="U619" s="13"/>
      <c r="V619" s="13"/>
      <c r="W619" s="13"/>
      <c r="X619" s="13"/>
      <c r="Y619" s="13"/>
      <c r="Z619" s="13"/>
      <c r="AA619" s="13"/>
      <c r="AB619" s="13"/>
    </row>
    <row r="620" spans="1:28" ht="17.399999999999999" x14ac:dyDescent="0.35">
      <c r="A620" s="16"/>
      <c r="B620" s="17"/>
      <c r="C620" s="13"/>
      <c r="D620" s="13"/>
      <c r="E620" s="15"/>
      <c r="F620" s="13"/>
      <c r="G620" s="13"/>
      <c r="H620" s="6"/>
      <c r="I620" s="13"/>
      <c r="J620" s="13"/>
      <c r="K620" s="13"/>
      <c r="L620" s="13"/>
      <c r="M620" s="13"/>
      <c r="N620" s="13"/>
      <c r="O620" s="13"/>
      <c r="P620" s="13"/>
      <c r="Q620" s="13"/>
      <c r="R620" s="13"/>
      <c r="S620" s="13"/>
      <c r="T620" s="13"/>
      <c r="U620" s="13"/>
      <c r="V620" s="13"/>
      <c r="W620" s="13"/>
      <c r="X620" s="13"/>
      <c r="Y620" s="13"/>
      <c r="Z620" s="13"/>
      <c r="AA620" s="13"/>
      <c r="AB620" s="13"/>
    </row>
    <row r="621" spans="1:28" ht="17.399999999999999" x14ac:dyDescent="0.35">
      <c r="A621" s="16"/>
      <c r="B621" s="17"/>
      <c r="C621" s="13"/>
      <c r="D621" s="13"/>
      <c r="E621" s="15"/>
      <c r="F621" s="13"/>
      <c r="G621" s="13"/>
      <c r="H621" s="6"/>
      <c r="I621" s="13"/>
      <c r="J621" s="13"/>
      <c r="K621" s="13"/>
      <c r="L621" s="13"/>
      <c r="M621" s="13"/>
      <c r="N621" s="13"/>
      <c r="O621" s="13"/>
      <c r="P621" s="13"/>
      <c r="Q621" s="13"/>
      <c r="R621" s="13"/>
      <c r="S621" s="13"/>
      <c r="T621" s="13"/>
      <c r="U621" s="13"/>
      <c r="V621" s="13"/>
      <c r="W621" s="13"/>
      <c r="X621" s="13"/>
      <c r="Y621" s="13"/>
      <c r="Z621" s="13"/>
      <c r="AA621" s="13"/>
      <c r="AB621" s="13"/>
    </row>
    <row r="622" spans="1:28" ht="17.399999999999999" x14ac:dyDescent="0.35">
      <c r="A622" s="16"/>
      <c r="B622" s="17"/>
      <c r="C622" s="13"/>
      <c r="D622" s="13"/>
      <c r="E622" s="15"/>
      <c r="F622" s="13"/>
      <c r="G622" s="13"/>
      <c r="H622" s="6"/>
      <c r="I622" s="13"/>
      <c r="J622" s="13"/>
      <c r="K622" s="13"/>
      <c r="L622" s="13"/>
      <c r="M622" s="13"/>
      <c r="N622" s="13"/>
      <c r="O622" s="13"/>
      <c r="P622" s="13"/>
      <c r="Q622" s="13"/>
      <c r="R622" s="13"/>
      <c r="S622" s="13"/>
      <c r="T622" s="13"/>
      <c r="U622" s="13"/>
      <c r="V622" s="13"/>
      <c r="W622" s="13"/>
      <c r="X622" s="13"/>
      <c r="Y622" s="13"/>
      <c r="Z622" s="13"/>
      <c r="AA622" s="13"/>
      <c r="AB622" s="13"/>
    </row>
    <row r="623" spans="1:28" ht="17.399999999999999" x14ac:dyDescent="0.35">
      <c r="A623" s="16"/>
      <c r="B623" s="17"/>
      <c r="C623" s="13"/>
      <c r="D623" s="13"/>
      <c r="E623" s="15"/>
      <c r="F623" s="13"/>
      <c r="G623" s="13"/>
      <c r="H623" s="6"/>
      <c r="I623" s="13"/>
      <c r="J623" s="13"/>
      <c r="K623" s="13"/>
      <c r="L623" s="13"/>
      <c r="M623" s="13"/>
      <c r="N623" s="13"/>
      <c r="O623" s="13"/>
      <c r="P623" s="13"/>
      <c r="Q623" s="13"/>
      <c r="R623" s="13"/>
      <c r="S623" s="13"/>
      <c r="T623" s="13"/>
      <c r="U623" s="13"/>
      <c r="V623" s="13"/>
      <c r="W623" s="13"/>
      <c r="X623" s="13"/>
      <c r="Y623" s="13"/>
      <c r="Z623" s="13"/>
      <c r="AA623" s="13"/>
      <c r="AB623" s="13"/>
    </row>
    <row r="624" spans="1:28" ht="17.399999999999999" x14ac:dyDescent="0.35">
      <c r="A624" s="16"/>
      <c r="B624" s="17"/>
      <c r="C624" s="13"/>
      <c r="D624" s="13"/>
      <c r="E624" s="15"/>
      <c r="F624" s="13"/>
      <c r="G624" s="13"/>
      <c r="H624" s="6"/>
      <c r="I624" s="13"/>
      <c r="J624" s="13"/>
      <c r="K624" s="13"/>
      <c r="L624" s="13"/>
      <c r="M624" s="13"/>
      <c r="N624" s="13"/>
      <c r="O624" s="13"/>
      <c r="P624" s="13"/>
      <c r="Q624" s="13"/>
      <c r="R624" s="13"/>
      <c r="S624" s="13"/>
      <c r="T624" s="13"/>
      <c r="U624" s="13"/>
      <c r="V624" s="13"/>
      <c r="W624" s="13"/>
      <c r="X624" s="13"/>
      <c r="Y624" s="13"/>
      <c r="Z624" s="13"/>
      <c r="AA624" s="13"/>
      <c r="AB624" s="13"/>
    </row>
    <row r="625" spans="1:28" ht="17.399999999999999" x14ac:dyDescent="0.35">
      <c r="A625" s="16"/>
      <c r="B625" s="17"/>
      <c r="C625" s="13"/>
      <c r="D625" s="13"/>
      <c r="E625" s="15"/>
      <c r="F625" s="13"/>
      <c r="G625" s="13"/>
      <c r="H625" s="6"/>
      <c r="I625" s="13"/>
      <c r="J625" s="13"/>
      <c r="K625" s="13"/>
      <c r="L625" s="13"/>
      <c r="M625" s="13"/>
      <c r="N625" s="13"/>
      <c r="O625" s="13"/>
      <c r="P625" s="13"/>
      <c r="Q625" s="13"/>
      <c r="R625" s="13"/>
      <c r="S625" s="13"/>
      <c r="T625" s="13"/>
      <c r="U625" s="13"/>
      <c r="V625" s="13"/>
      <c r="W625" s="13"/>
      <c r="X625" s="13"/>
      <c r="Y625" s="13"/>
      <c r="Z625" s="13"/>
      <c r="AA625" s="13"/>
      <c r="AB625" s="13"/>
    </row>
    <row r="626" spans="1:28" ht="17.399999999999999" x14ac:dyDescent="0.35">
      <c r="A626" s="16"/>
      <c r="B626" s="17"/>
      <c r="C626" s="13"/>
      <c r="D626" s="13"/>
      <c r="E626" s="15"/>
      <c r="F626" s="13"/>
      <c r="G626" s="13"/>
      <c r="H626" s="6"/>
      <c r="I626" s="13"/>
      <c r="J626" s="13"/>
      <c r="K626" s="13"/>
      <c r="L626" s="13"/>
      <c r="M626" s="13"/>
      <c r="N626" s="13"/>
      <c r="O626" s="13"/>
      <c r="P626" s="13"/>
      <c r="Q626" s="13"/>
      <c r="R626" s="13"/>
      <c r="S626" s="13"/>
      <c r="T626" s="13"/>
      <c r="U626" s="13"/>
      <c r="V626" s="13"/>
      <c r="W626" s="13"/>
      <c r="X626" s="13"/>
      <c r="Y626" s="13"/>
      <c r="Z626" s="13"/>
      <c r="AA626" s="13"/>
      <c r="AB626" s="13"/>
    </row>
    <row r="627" spans="1:28" ht="17.399999999999999" x14ac:dyDescent="0.35">
      <c r="A627" s="16"/>
      <c r="B627" s="17"/>
      <c r="C627" s="13"/>
      <c r="D627" s="13"/>
      <c r="E627" s="15"/>
      <c r="F627" s="13"/>
      <c r="G627" s="13"/>
      <c r="H627" s="6"/>
      <c r="I627" s="13"/>
      <c r="J627" s="13"/>
      <c r="K627" s="13"/>
      <c r="L627" s="13"/>
      <c r="M627" s="13"/>
      <c r="N627" s="13"/>
      <c r="O627" s="13"/>
      <c r="P627" s="13"/>
      <c r="Q627" s="13"/>
      <c r="R627" s="13"/>
      <c r="S627" s="13"/>
      <c r="T627" s="13"/>
      <c r="U627" s="13"/>
      <c r="V627" s="13"/>
      <c r="W627" s="13"/>
      <c r="X627" s="13"/>
      <c r="Y627" s="13"/>
      <c r="Z627" s="13"/>
      <c r="AA627" s="13"/>
      <c r="AB627" s="13"/>
    </row>
    <row r="628" spans="1:28" ht="17.399999999999999" x14ac:dyDescent="0.35">
      <c r="A628" s="16"/>
      <c r="B628" s="17"/>
      <c r="C628" s="13"/>
      <c r="D628" s="13"/>
      <c r="E628" s="15"/>
      <c r="F628" s="13"/>
      <c r="G628" s="13"/>
      <c r="H628" s="6"/>
      <c r="I628" s="13"/>
      <c r="J628" s="13"/>
      <c r="K628" s="13"/>
      <c r="L628" s="13"/>
      <c r="M628" s="13"/>
      <c r="N628" s="13"/>
      <c r="O628" s="13"/>
      <c r="P628" s="13"/>
      <c r="Q628" s="13"/>
      <c r="R628" s="13"/>
      <c r="S628" s="13"/>
      <c r="T628" s="13"/>
      <c r="U628" s="13"/>
      <c r="V628" s="13"/>
      <c r="W628" s="13"/>
      <c r="X628" s="13"/>
      <c r="Y628" s="13"/>
      <c r="Z628" s="13"/>
      <c r="AA628" s="13"/>
      <c r="AB628" s="13"/>
    </row>
    <row r="629" spans="1:28" ht="17.399999999999999" x14ac:dyDescent="0.35">
      <c r="A629" s="16"/>
      <c r="B629" s="17"/>
      <c r="C629" s="13"/>
      <c r="D629" s="13"/>
      <c r="E629" s="15"/>
      <c r="F629" s="13"/>
      <c r="G629" s="13"/>
      <c r="H629" s="6"/>
      <c r="I629" s="13"/>
      <c r="J629" s="13"/>
      <c r="K629" s="13"/>
      <c r="L629" s="13"/>
      <c r="M629" s="13"/>
      <c r="N629" s="13"/>
      <c r="O629" s="13"/>
      <c r="P629" s="13"/>
      <c r="Q629" s="13"/>
      <c r="R629" s="13"/>
      <c r="S629" s="13"/>
      <c r="T629" s="13"/>
      <c r="U629" s="13"/>
      <c r="V629" s="13"/>
      <c r="W629" s="13"/>
      <c r="X629" s="13"/>
      <c r="Y629" s="13"/>
      <c r="Z629" s="13"/>
      <c r="AA629" s="13"/>
      <c r="AB629" s="13"/>
    </row>
    <row r="630" spans="1:28" ht="17.399999999999999" x14ac:dyDescent="0.35">
      <c r="A630" s="16"/>
      <c r="B630" s="17"/>
      <c r="C630" s="13"/>
      <c r="D630" s="13"/>
      <c r="E630" s="15"/>
      <c r="F630" s="13"/>
      <c r="G630" s="13"/>
      <c r="H630" s="6"/>
      <c r="I630" s="13"/>
      <c r="J630" s="13"/>
      <c r="K630" s="13"/>
      <c r="L630" s="13"/>
      <c r="M630" s="13"/>
      <c r="N630" s="13"/>
      <c r="O630" s="13"/>
      <c r="P630" s="13"/>
      <c r="Q630" s="13"/>
      <c r="R630" s="13"/>
      <c r="S630" s="13"/>
      <c r="T630" s="13"/>
      <c r="U630" s="13"/>
      <c r="V630" s="13"/>
      <c r="W630" s="13"/>
      <c r="X630" s="13"/>
      <c r="Y630" s="13"/>
      <c r="Z630" s="13"/>
      <c r="AA630" s="13"/>
      <c r="AB630" s="13"/>
    </row>
    <row r="631" spans="1:28" ht="17.399999999999999" x14ac:dyDescent="0.35">
      <c r="A631" s="16"/>
      <c r="B631" s="17"/>
      <c r="C631" s="13"/>
      <c r="D631" s="13"/>
      <c r="E631" s="15"/>
      <c r="F631" s="13"/>
      <c r="G631" s="13"/>
      <c r="H631" s="6"/>
      <c r="I631" s="13"/>
      <c r="J631" s="13"/>
      <c r="K631" s="13"/>
      <c r="L631" s="13"/>
      <c r="M631" s="13"/>
      <c r="N631" s="13"/>
      <c r="O631" s="13"/>
      <c r="P631" s="13"/>
      <c r="Q631" s="13"/>
      <c r="R631" s="13"/>
      <c r="S631" s="13"/>
      <c r="T631" s="13"/>
      <c r="U631" s="13"/>
      <c r="V631" s="13"/>
      <c r="W631" s="13"/>
      <c r="X631" s="13"/>
      <c r="Y631" s="13"/>
      <c r="Z631" s="13"/>
      <c r="AA631" s="13"/>
      <c r="AB631" s="13"/>
    </row>
    <row r="632" spans="1:28" ht="17.399999999999999" x14ac:dyDescent="0.35">
      <c r="A632" s="16"/>
      <c r="B632" s="17"/>
      <c r="C632" s="13"/>
      <c r="D632" s="13"/>
      <c r="E632" s="15"/>
      <c r="F632" s="13"/>
      <c r="G632" s="13"/>
      <c r="H632" s="6"/>
      <c r="I632" s="13"/>
      <c r="J632" s="13"/>
      <c r="K632" s="13"/>
      <c r="L632" s="13"/>
      <c r="M632" s="13"/>
      <c r="N632" s="13"/>
      <c r="O632" s="13"/>
      <c r="P632" s="13"/>
      <c r="Q632" s="13"/>
      <c r="R632" s="13"/>
      <c r="S632" s="13"/>
      <c r="T632" s="13"/>
      <c r="U632" s="13"/>
      <c r="V632" s="13"/>
      <c r="W632" s="13"/>
      <c r="X632" s="13"/>
      <c r="Y632" s="13"/>
      <c r="Z632" s="13"/>
      <c r="AA632" s="13"/>
      <c r="AB632" s="13"/>
    </row>
    <row r="633" spans="1:28" ht="17.399999999999999" x14ac:dyDescent="0.35">
      <c r="A633" s="16"/>
      <c r="B633" s="17"/>
      <c r="C633" s="13"/>
      <c r="D633" s="13"/>
      <c r="E633" s="15"/>
      <c r="F633" s="13"/>
      <c r="G633" s="13"/>
      <c r="H633" s="6"/>
      <c r="I633" s="13"/>
      <c r="J633" s="13"/>
      <c r="K633" s="13"/>
      <c r="L633" s="13"/>
      <c r="M633" s="13"/>
      <c r="N633" s="13"/>
      <c r="O633" s="13"/>
      <c r="P633" s="13"/>
      <c r="Q633" s="13"/>
      <c r="R633" s="13"/>
      <c r="S633" s="13"/>
      <c r="T633" s="13"/>
      <c r="U633" s="13"/>
      <c r="V633" s="13"/>
      <c r="W633" s="13"/>
      <c r="X633" s="13"/>
      <c r="Y633" s="13"/>
      <c r="Z633" s="13"/>
      <c r="AA633" s="13"/>
      <c r="AB633" s="13"/>
    </row>
    <row r="634" spans="1:28" ht="17.399999999999999" x14ac:dyDescent="0.35">
      <c r="A634" s="16"/>
      <c r="B634" s="17"/>
      <c r="C634" s="13"/>
      <c r="D634" s="13"/>
      <c r="E634" s="15"/>
      <c r="F634" s="13"/>
      <c r="G634" s="13"/>
      <c r="H634" s="6"/>
      <c r="I634" s="13"/>
      <c r="J634" s="13"/>
      <c r="K634" s="13"/>
      <c r="L634" s="13"/>
      <c r="M634" s="13"/>
      <c r="N634" s="13"/>
      <c r="O634" s="13"/>
      <c r="P634" s="13"/>
      <c r="Q634" s="13"/>
      <c r="R634" s="13"/>
      <c r="S634" s="13"/>
      <c r="T634" s="13"/>
      <c r="U634" s="13"/>
      <c r="V634" s="13"/>
      <c r="W634" s="13"/>
      <c r="X634" s="13"/>
      <c r="Y634" s="13"/>
      <c r="Z634" s="13"/>
      <c r="AA634" s="13"/>
      <c r="AB634" s="13"/>
    </row>
    <row r="635" spans="1:28" ht="17.399999999999999" x14ac:dyDescent="0.35">
      <c r="A635" s="16"/>
      <c r="B635" s="17"/>
      <c r="C635" s="13"/>
      <c r="D635" s="13"/>
      <c r="E635" s="15"/>
      <c r="F635" s="13"/>
      <c r="G635" s="13"/>
      <c r="H635" s="6"/>
      <c r="I635" s="13"/>
      <c r="J635" s="13"/>
      <c r="K635" s="13"/>
      <c r="L635" s="13"/>
      <c r="M635" s="13"/>
      <c r="N635" s="13"/>
      <c r="O635" s="13"/>
      <c r="P635" s="13"/>
      <c r="Q635" s="13"/>
      <c r="R635" s="13"/>
      <c r="S635" s="13"/>
      <c r="T635" s="13"/>
      <c r="U635" s="13"/>
      <c r="V635" s="13"/>
      <c r="W635" s="13"/>
      <c r="X635" s="13"/>
      <c r="Y635" s="13"/>
      <c r="Z635" s="13"/>
      <c r="AA635" s="13"/>
      <c r="AB635" s="13"/>
    </row>
    <row r="636" spans="1:28" ht="17.399999999999999" x14ac:dyDescent="0.35">
      <c r="A636" s="16"/>
      <c r="B636" s="17"/>
      <c r="C636" s="13"/>
      <c r="D636" s="13"/>
      <c r="E636" s="15"/>
      <c r="F636" s="13"/>
      <c r="G636" s="13"/>
      <c r="H636" s="6"/>
      <c r="I636" s="13"/>
      <c r="J636" s="13"/>
      <c r="K636" s="13"/>
      <c r="L636" s="13"/>
      <c r="M636" s="13"/>
      <c r="N636" s="13"/>
      <c r="O636" s="13"/>
      <c r="P636" s="13"/>
      <c r="Q636" s="13"/>
      <c r="R636" s="13"/>
      <c r="S636" s="13"/>
      <c r="T636" s="13"/>
      <c r="U636" s="13"/>
      <c r="V636" s="13"/>
      <c r="W636" s="13"/>
      <c r="X636" s="13"/>
      <c r="Y636" s="13"/>
      <c r="Z636" s="13"/>
      <c r="AA636" s="13"/>
      <c r="AB636" s="13"/>
    </row>
    <row r="637" spans="1:28" ht="17.399999999999999" x14ac:dyDescent="0.35">
      <c r="A637" s="16"/>
      <c r="B637" s="17"/>
      <c r="C637" s="13"/>
      <c r="D637" s="13"/>
      <c r="E637" s="15"/>
      <c r="F637" s="13"/>
      <c r="G637" s="13"/>
      <c r="H637" s="6"/>
      <c r="I637" s="13"/>
      <c r="J637" s="13"/>
      <c r="K637" s="13"/>
      <c r="L637" s="13"/>
      <c r="M637" s="13"/>
      <c r="N637" s="13"/>
      <c r="O637" s="13"/>
      <c r="P637" s="13"/>
      <c r="Q637" s="13"/>
      <c r="R637" s="13"/>
      <c r="S637" s="13"/>
      <c r="T637" s="13"/>
      <c r="U637" s="13"/>
      <c r="V637" s="13"/>
      <c r="W637" s="13"/>
      <c r="X637" s="13"/>
      <c r="Y637" s="13"/>
      <c r="Z637" s="13"/>
      <c r="AA637" s="13"/>
      <c r="AB637" s="13"/>
    </row>
    <row r="638" spans="1:28" ht="17.399999999999999" x14ac:dyDescent="0.35">
      <c r="A638" s="16"/>
      <c r="B638" s="17"/>
      <c r="C638" s="13"/>
      <c r="D638" s="13"/>
      <c r="E638" s="15"/>
      <c r="F638" s="13"/>
      <c r="G638" s="13"/>
      <c r="H638" s="6"/>
      <c r="I638" s="13"/>
      <c r="J638" s="13"/>
      <c r="K638" s="13"/>
      <c r="L638" s="13"/>
      <c r="M638" s="13"/>
      <c r="N638" s="13"/>
      <c r="O638" s="13"/>
      <c r="P638" s="13"/>
      <c r="Q638" s="13"/>
      <c r="R638" s="13"/>
      <c r="S638" s="13"/>
      <c r="T638" s="13"/>
      <c r="U638" s="13"/>
      <c r="V638" s="13"/>
      <c r="W638" s="13"/>
      <c r="X638" s="13"/>
      <c r="Y638" s="13"/>
      <c r="Z638" s="13"/>
      <c r="AA638" s="13"/>
      <c r="AB638" s="13"/>
    </row>
    <row r="639" spans="1:28" ht="17.399999999999999" x14ac:dyDescent="0.35">
      <c r="A639" s="16"/>
      <c r="B639" s="17"/>
      <c r="C639" s="13"/>
      <c r="D639" s="13"/>
      <c r="E639" s="15"/>
      <c r="F639" s="13"/>
      <c r="G639" s="13"/>
      <c r="H639" s="6"/>
      <c r="I639" s="13"/>
      <c r="J639" s="13"/>
      <c r="K639" s="13"/>
      <c r="L639" s="13"/>
      <c r="M639" s="13"/>
      <c r="N639" s="13"/>
      <c r="O639" s="13"/>
      <c r="P639" s="13"/>
      <c r="Q639" s="13"/>
      <c r="R639" s="13"/>
      <c r="S639" s="13"/>
      <c r="T639" s="13"/>
      <c r="U639" s="13"/>
      <c r="V639" s="13"/>
      <c r="W639" s="13"/>
      <c r="X639" s="13"/>
      <c r="Y639" s="13"/>
      <c r="Z639" s="13"/>
      <c r="AA639" s="13"/>
      <c r="AB639" s="13"/>
    </row>
    <row r="640" spans="1:28" ht="17.399999999999999" x14ac:dyDescent="0.35">
      <c r="A640" s="16"/>
      <c r="B640" s="17"/>
      <c r="C640" s="13"/>
      <c r="D640" s="13"/>
      <c r="E640" s="15"/>
      <c r="F640" s="13"/>
      <c r="G640" s="13"/>
      <c r="H640" s="6"/>
      <c r="I640" s="13"/>
      <c r="J640" s="13"/>
      <c r="K640" s="13"/>
      <c r="L640" s="13"/>
      <c r="M640" s="13"/>
      <c r="N640" s="13"/>
      <c r="O640" s="13"/>
      <c r="P640" s="13"/>
      <c r="Q640" s="13"/>
      <c r="R640" s="13"/>
      <c r="S640" s="13"/>
      <c r="T640" s="13"/>
      <c r="U640" s="13"/>
      <c r="V640" s="13"/>
      <c r="W640" s="13"/>
      <c r="X640" s="13"/>
      <c r="Y640" s="13"/>
      <c r="Z640" s="13"/>
      <c r="AA640" s="13"/>
      <c r="AB640" s="13"/>
    </row>
    <row r="641" spans="1:28" ht="17.399999999999999" x14ac:dyDescent="0.35">
      <c r="A641" s="16"/>
      <c r="B641" s="17"/>
      <c r="C641" s="13"/>
      <c r="D641" s="13"/>
      <c r="E641" s="15"/>
      <c r="F641" s="13"/>
      <c r="G641" s="13"/>
      <c r="H641" s="6"/>
      <c r="I641" s="13"/>
      <c r="J641" s="13"/>
      <c r="K641" s="13"/>
      <c r="L641" s="13"/>
      <c r="M641" s="13"/>
      <c r="N641" s="13"/>
      <c r="O641" s="13"/>
      <c r="P641" s="13"/>
      <c r="Q641" s="13"/>
      <c r="R641" s="13"/>
      <c r="S641" s="13"/>
      <c r="T641" s="13"/>
      <c r="U641" s="13"/>
      <c r="V641" s="13"/>
      <c r="W641" s="13"/>
      <c r="X641" s="13"/>
      <c r="Y641" s="13"/>
      <c r="Z641" s="13"/>
      <c r="AA641" s="13"/>
      <c r="AB641" s="13"/>
    </row>
    <row r="642" spans="1:28" ht="17.399999999999999" x14ac:dyDescent="0.35">
      <c r="A642" s="16"/>
      <c r="B642" s="17"/>
      <c r="C642" s="13"/>
      <c r="D642" s="13"/>
      <c r="E642" s="15"/>
      <c r="F642" s="13"/>
      <c r="G642" s="13"/>
      <c r="H642" s="6"/>
      <c r="I642" s="13"/>
      <c r="J642" s="13"/>
      <c r="K642" s="13"/>
      <c r="L642" s="13"/>
      <c r="M642" s="13"/>
      <c r="N642" s="13"/>
      <c r="O642" s="13"/>
      <c r="P642" s="13"/>
      <c r="Q642" s="13"/>
      <c r="R642" s="13"/>
      <c r="S642" s="13"/>
      <c r="T642" s="13"/>
      <c r="U642" s="13"/>
      <c r="V642" s="13"/>
      <c r="W642" s="13"/>
      <c r="X642" s="13"/>
      <c r="Y642" s="13"/>
      <c r="Z642" s="13"/>
      <c r="AA642" s="13"/>
      <c r="AB642" s="13"/>
    </row>
    <row r="643" spans="1:28" ht="17.399999999999999" x14ac:dyDescent="0.35">
      <c r="A643" s="16"/>
      <c r="B643" s="17"/>
      <c r="C643" s="13"/>
      <c r="D643" s="13"/>
      <c r="E643" s="15"/>
      <c r="F643" s="13"/>
      <c r="G643" s="13"/>
      <c r="H643" s="6"/>
      <c r="I643" s="13"/>
      <c r="J643" s="13"/>
      <c r="K643" s="13"/>
      <c r="L643" s="13"/>
      <c r="M643" s="13"/>
      <c r="N643" s="13"/>
      <c r="O643" s="13"/>
      <c r="P643" s="13"/>
      <c r="Q643" s="13"/>
      <c r="R643" s="13"/>
      <c r="S643" s="13"/>
      <c r="T643" s="13"/>
      <c r="U643" s="13"/>
      <c r="V643" s="13"/>
      <c r="W643" s="13"/>
      <c r="X643" s="13"/>
      <c r="Y643" s="13"/>
      <c r="Z643" s="13"/>
      <c r="AA643" s="13"/>
      <c r="AB643" s="13"/>
    </row>
    <row r="644" spans="1:28" ht="17.399999999999999" x14ac:dyDescent="0.35">
      <c r="A644" s="16"/>
      <c r="B644" s="17"/>
      <c r="C644" s="13"/>
      <c r="D644" s="13"/>
      <c r="E644" s="15"/>
      <c r="F644" s="13"/>
      <c r="G644" s="13"/>
      <c r="H644" s="6"/>
      <c r="I644" s="13"/>
      <c r="J644" s="13"/>
      <c r="K644" s="13"/>
      <c r="L644" s="13"/>
      <c r="M644" s="13"/>
      <c r="N644" s="13"/>
      <c r="O644" s="13"/>
      <c r="P644" s="13"/>
      <c r="Q644" s="13"/>
      <c r="R644" s="13"/>
      <c r="S644" s="13"/>
      <c r="T644" s="13"/>
      <c r="U644" s="13"/>
      <c r="V644" s="13"/>
      <c r="W644" s="13"/>
      <c r="X644" s="13"/>
      <c r="Y644" s="13"/>
      <c r="Z644" s="13"/>
      <c r="AA644" s="13"/>
      <c r="AB644" s="13"/>
    </row>
    <row r="645" spans="1:28" ht="17.399999999999999" x14ac:dyDescent="0.35">
      <c r="A645" s="16"/>
      <c r="B645" s="17"/>
      <c r="C645" s="13"/>
      <c r="D645" s="13"/>
      <c r="E645" s="15"/>
      <c r="F645" s="13"/>
      <c r="G645" s="13"/>
      <c r="H645" s="6"/>
      <c r="I645" s="13"/>
      <c r="J645" s="13"/>
      <c r="K645" s="13"/>
      <c r="L645" s="13"/>
      <c r="M645" s="13"/>
      <c r="N645" s="13"/>
      <c r="O645" s="13"/>
      <c r="P645" s="13"/>
      <c r="Q645" s="13"/>
      <c r="R645" s="13"/>
      <c r="S645" s="13"/>
      <c r="T645" s="13"/>
      <c r="U645" s="13"/>
      <c r="V645" s="13"/>
      <c r="W645" s="13"/>
      <c r="X645" s="13"/>
      <c r="Y645" s="13"/>
      <c r="Z645" s="13"/>
      <c r="AA645" s="13"/>
      <c r="AB645" s="13"/>
    </row>
    <row r="646" spans="1:28" ht="17.399999999999999" x14ac:dyDescent="0.35">
      <c r="A646" s="16"/>
      <c r="B646" s="17"/>
      <c r="C646" s="13"/>
      <c r="D646" s="13"/>
      <c r="E646" s="15"/>
      <c r="F646" s="13"/>
      <c r="G646" s="13"/>
      <c r="H646" s="6"/>
      <c r="I646" s="13"/>
      <c r="J646" s="13"/>
      <c r="K646" s="13"/>
      <c r="L646" s="13"/>
      <c r="M646" s="13"/>
      <c r="N646" s="13"/>
      <c r="O646" s="13"/>
      <c r="P646" s="13"/>
      <c r="Q646" s="13"/>
      <c r="R646" s="13"/>
      <c r="S646" s="13"/>
      <c r="T646" s="13"/>
      <c r="U646" s="13"/>
      <c r="V646" s="13"/>
      <c r="W646" s="13"/>
      <c r="X646" s="13"/>
      <c r="Y646" s="13"/>
      <c r="Z646" s="13"/>
      <c r="AA646" s="13"/>
      <c r="AB646" s="13"/>
    </row>
    <row r="647" spans="1:28" ht="17.399999999999999" x14ac:dyDescent="0.35">
      <c r="A647" s="16"/>
      <c r="B647" s="17"/>
      <c r="C647" s="13"/>
      <c r="D647" s="13"/>
      <c r="E647" s="15"/>
      <c r="F647" s="13"/>
      <c r="G647" s="13"/>
      <c r="H647" s="6"/>
      <c r="I647" s="13"/>
      <c r="J647" s="13"/>
      <c r="K647" s="13"/>
      <c r="L647" s="13"/>
      <c r="M647" s="13"/>
      <c r="N647" s="13"/>
      <c r="O647" s="13"/>
      <c r="P647" s="13"/>
      <c r="Q647" s="13"/>
      <c r="R647" s="13"/>
      <c r="S647" s="13"/>
      <c r="T647" s="13"/>
      <c r="U647" s="13"/>
      <c r="V647" s="13"/>
      <c r="W647" s="13"/>
      <c r="X647" s="13"/>
      <c r="Y647" s="13"/>
      <c r="Z647" s="13"/>
      <c r="AA647" s="13"/>
      <c r="AB647" s="13"/>
    </row>
    <row r="648" spans="1:28" ht="17.399999999999999" x14ac:dyDescent="0.35">
      <c r="A648" s="16"/>
      <c r="B648" s="17"/>
      <c r="C648" s="13"/>
      <c r="D648" s="13"/>
      <c r="E648" s="15"/>
      <c r="F648" s="13"/>
      <c r="G648" s="13"/>
      <c r="H648" s="6"/>
      <c r="I648" s="13"/>
      <c r="J648" s="13"/>
      <c r="K648" s="13"/>
      <c r="L648" s="13"/>
      <c r="M648" s="13"/>
      <c r="N648" s="13"/>
      <c r="O648" s="13"/>
      <c r="P648" s="13"/>
      <c r="Q648" s="13"/>
      <c r="R648" s="13"/>
      <c r="S648" s="13"/>
      <c r="T648" s="13"/>
      <c r="U648" s="13"/>
      <c r="V648" s="13"/>
      <c r="W648" s="13"/>
      <c r="X648" s="13"/>
      <c r="Y648" s="13"/>
      <c r="Z648" s="13"/>
      <c r="AA648" s="13"/>
      <c r="AB648" s="13"/>
    </row>
    <row r="649" spans="1:28" ht="17.399999999999999" x14ac:dyDescent="0.35">
      <c r="A649" s="16"/>
      <c r="B649" s="17"/>
      <c r="C649" s="13"/>
      <c r="D649" s="13"/>
      <c r="E649" s="15"/>
      <c r="F649" s="13"/>
      <c r="G649" s="13"/>
      <c r="H649" s="6"/>
      <c r="I649" s="13"/>
      <c r="J649" s="13"/>
      <c r="K649" s="13"/>
      <c r="L649" s="13"/>
      <c r="M649" s="13"/>
      <c r="N649" s="13"/>
      <c r="O649" s="13"/>
      <c r="P649" s="13"/>
      <c r="Q649" s="13"/>
      <c r="R649" s="13"/>
      <c r="S649" s="13"/>
      <c r="T649" s="13"/>
      <c r="U649" s="13"/>
      <c r="V649" s="13"/>
      <c r="W649" s="13"/>
      <c r="X649" s="13"/>
      <c r="Y649" s="13"/>
      <c r="Z649" s="13"/>
      <c r="AA649" s="13"/>
      <c r="AB649" s="13"/>
    </row>
    <row r="650" spans="1:28" ht="17.399999999999999" x14ac:dyDescent="0.35">
      <c r="A650" s="16"/>
      <c r="B650" s="17"/>
      <c r="C650" s="13"/>
      <c r="D650" s="13"/>
      <c r="E650" s="15"/>
      <c r="F650" s="13"/>
      <c r="G650" s="13"/>
      <c r="H650" s="6"/>
      <c r="I650" s="13"/>
      <c r="J650" s="13"/>
      <c r="K650" s="13"/>
      <c r="L650" s="13"/>
      <c r="M650" s="13"/>
      <c r="N650" s="13"/>
      <c r="O650" s="13"/>
      <c r="P650" s="13"/>
      <c r="Q650" s="13"/>
      <c r="R650" s="13"/>
      <c r="S650" s="13"/>
      <c r="T650" s="13"/>
      <c r="U650" s="13"/>
      <c r="V650" s="13"/>
      <c r="W650" s="13"/>
      <c r="X650" s="13"/>
      <c r="Y650" s="13"/>
      <c r="Z650" s="13"/>
      <c r="AA650" s="13"/>
      <c r="AB650" s="13"/>
    </row>
    <row r="651" spans="1:28" ht="17.399999999999999" x14ac:dyDescent="0.35">
      <c r="A651" s="16"/>
      <c r="B651" s="17"/>
      <c r="C651" s="13"/>
      <c r="D651" s="13"/>
      <c r="E651" s="15"/>
      <c r="F651" s="13"/>
      <c r="G651" s="13"/>
      <c r="H651" s="6"/>
      <c r="I651" s="13"/>
      <c r="J651" s="13"/>
      <c r="K651" s="13"/>
      <c r="L651" s="13"/>
      <c r="M651" s="13"/>
      <c r="N651" s="13"/>
      <c r="O651" s="13"/>
      <c r="P651" s="13"/>
      <c r="Q651" s="13"/>
      <c r="R651" s="13"/>
      <c r="S651" s="13"/>
      <c r="T651" s="13"/>
      <c r="U651" s="13"/>
      <c r="V651" s="13"/>
      <c r="W651" s="13"/>
      <c r="X651" s="13"/>
      <c r="Y651" s="13"/>
      <c r="Z651" s="13"/>
      <c r="AA651" s="13"/>
      <c r="AB651" s="13"/>
    </row>
    <row r="652" spans="1:28" ht="17.399999999999999" x14ac:dyDescent="0.35">
      <c r="A652" s="16"/>
      <c r="B652" s="17"/>
      <c r="C652" s="13"/>
      <c r="D652" s="13"/>
      <c r="E652" s="15"/>
      <c r="F652" s="13"/>
      <c r="G652" s="13"/>
      <c r="H652" s="6"/>
      <c r="I652" s="13"/>
      <c r="J652" s="13"/>
      <c r="K652" s="13"/>
      <c r="L652" s="13"/>
      <c r="M652" s="13"/>
      <c r="N652" s="13"/>
      <c r="O652" s="13"/>
      <c r="P652" s="13"/>
      <c r="Q652" s="13"/>
      <c r="R652" s="13"/>
      <c r="S652" s="13"/>
      <c r="T652" s="13"/>
      <c r="U652" s="13"/>
      <c r="V652" s="13"/>
      <c r="W652" s="13"/>
      <c r="X652" s="13"/>
      <c r="Y652" s="13"/>
      <c r="Z652" s="13"/>
      <c r="AA652" s="13"/>
      <c r="AB652" s="13"/>
    </row>
    <row r="653" spans="1:28" ht="17.399999999999999" x14ac:dyDescent="0.35">
      <c r="A653" s="16"/>
      <c r="B653" s="17"/>
      <c r="C653" s="13"/>
      <c r="D653" s="13"/>
      <c r="E653" s="15"/>
      <c r="F653" s="13"/>
      <c r="G653" s="13"/>
      <c r="H653" s="6"/>
      <c r="I653" s="13"/>
      <c r="J653" s="13"/>
      <c r="K653" s="13"/>
      <c r="L653" s="13"/>
      <c r="M653" s="13"/>
      <c r="N653" s="13"/>
      <c r="O653" s="13"/>
      <c r="P653" s="13"/>
      <c r="Q653" s="13"/>
      <c r="R653" s="13"/>
      <c r="S653" s="13"/>
      <c r="T653" s="13"/>
      <c r="U653" s="13"/>
      <c r="V653" s="13"/>
      <c r="W653" s="13"/>
      <c r="X653" s="13"/>
      <c r="Y653" s="13"/>
      <c r="Z653" s="13"/>
      <c r="AA653" s="13"/>
      <c r="AB653" s="13"/>
    </row>
    <row r="654" spans="1:28" ht="17.399999999999999" x14ac:dyDescent="0.35">
      <c r="A654" s="16"/>
      <c r="B654" s="17"/>
      <c r="C654" s="13"/>
      <c r="D654" s="13"/>
      <c r="E654" s="15"/>
      <c r="F654" s="13"/>
      <c r="G654" s="13"/>
      <c r="H654" s="6"/>
      <c r="I654" s="13"/>
      <c r="J654" s="13"/>
      <c r="K654" s="13"/>
      <c r="L654" s="13"/>
      <c r="M654" s="13"/>
      <c r="N654" s="13"/>
      <c r="O654" s="13"/>
      <c r="P654" s="13"/>
      <c r="Q654" s="13"/>
      <c r="R654" s="13"/>
      <c r="S654" s="13"/>
      <c r="T654" s="13"/>
      <c r="U654" s="13"/>
      <c r="V654" s="13"/>
      <c r="W654" s="13"/>
      <c r="X654" s="13"/>
      <c r="Y654" s="13"/>
      <c r="Z654" s="13"/>
      <c r="AA654" s="13"/>
      <c r="AB654" s="13"/>
    </row>
    <row r="655" spans="1:28" ht="17.399999999999999" x14ac:dyDescent="0.35">
      <c r="A655" s="16"/>
      <c r="B655" s="17"/>
      <c r="C655" s="13"/>
      <c r="D655" s="13"/>
      <c r="E655" s="15"/>
      <c r="F655" s="13"/>
      <c r="G655" s="13"/>
      <c r="H655" s="6"/>
      <c r="I655" s="13"/>
      <c r="J655" s="13"/>
      <c r="K655" s="13"/>
      <c r="L655" s="13"/>
      <c r="M655" s="13"/>
      <c r="N655" s="13"/>
      <c r="O655" s="13"/>
      <c r="P655" s="13"/>
      <c r="Q655" s="13"/>
      <c r="R655" s="13"/>
      <c r="S655" s="13"/>
      <c r="T655" s="13"/>
      <c r="U655" s="13"/>
      <c r="V655" s="13"/>
      <c r="W655" s="13"/>
      <c r="X655" s="13"/>
      <c r="Y655" s="13"/>
      <c r="Z655" s="13"/>
      <c r="AA655" s="13"/>
      <c r="AB655" s="13"/>
    </row>
    <row r="656" spans="1:28" ht="17.399999999999999" x14ac:dyDescent="0.35">
      <c r="A656" s="16"/>
      <c r="B656" s="17"/>
      <c r="C656" s="13"/>
      <c r="D656" s="13"/>
      <c r="E656" s="15"/>
      <c r="F656" s="13"/>
      <c r="G656" s="13"/>
      <c r="H656" s="6"/>
      <c r="I656" s="13"/>
      <c r="J656" s="13"/>
      <c r="K656" s="13"/>
      <c r="L656" s="13"/>
      <c r="M656" s="13"/>
      <c r="N656" s="13"/>
      <c r="O656" s="13"/>
      <c r="P656" s="13"/>
      <c r="Q656" s="13"/>
      <c r="R656" s="13"/>
      <c r="S656" s="13"/>
      <c r="T656" s="13"/>
      <c r="U656" s="13"/>
      <c r="V656" s="13"/>
      <c r="W656" s="13"/>
      <c r="X656" s="13"/>
      <c r="Y656" s="13"/>
      <c r="Z656" s="13"/>
      <c r="AA656" s="13"/>
      <c r="AB656" s="13"/>
    </row>
    <row r="657" spans="1:28" ht="17.399999999999999" x14ac:dyDescent="0.35">
      <c r="A657" s="16"/>
      <c r="B657" s="17"/>
      <c r="C657" s="13"/>
      <c r="D657" s="13"/>
      <c r="E657" s="15"/>
      <c r="F657" s="13"/>
      <c r="G657" s="13"/>
      <c r="H657" s="6"/>
      <c r="I657" s="13"/>
      <c r="J657" s="13"/>
      <c r="K657" s="13"/>
      <c r="L657" s="13"/>
      <c r="M657" s="13"/>
      <c r="N657" s="13"/>
      <c r="O657" s="13"/>
      <c r="P657" s="13"/>
      <c r="Q657" s="13"/>
      <c r="R657" s="13"/>
      <c r="S657" s="13"/>
      <c r="T657" s="13"/>
      <c r="U657" s="13"/>
      <c r="V657" s="13"/>
      <c r="W657" s="13"/>
      <c r="X657" s="13"/>
      <c r="Y657" s="13"/>
      <c r="Z657" s="13"/>
      <c r="AA657" s="13"/>
      <c r="AB657" s="13"/>
    </row>
    <row r="658" spans="1:28" ht="17.399999999999999" x14ac:dyDescent="0.35">
      <c r="A658" s="16"/>
      <c r="B658" s="17"/>
      <c r="C658" s="13"/>
      <c r="D658" s="13"/>
      <c r="E658" s="15"/>
      <c r="F658" s="13"/>
      <c r="G658" s="13"/>
      <c r="H658" s="6"/>
      <c r="I658" s="13"/>
      <c r="J658" s="13"/>
      <c r="K658" s="13"/>
      <c r="L658" s="13"/>
      <c r="M658" s="13"/>
      <c r="N658" s="13"/>
      <c r="O658" s="13"/>
      <c r="P658" s="13"/>
      <c r="Q658" s="13"/>
      <c r="R658" s="13"/>
      <c r="S658" s="13"/>
      <c r="T658" s="13"/>
      <c r="U658" s="13"/>
      <c r="V658" s="13"/>
      <c r="W658" s="13"/>
      <c r="X658" s="13"/>
      <c r="Y658" s="13"/>
      <c r="Z658" s="13"/>
      <c r="AA658" s="13"/>
      <c r="AB658" s="13"/>
    </row>
    <row r="659" spans="1:28" ht="17.399999999999999" x14ac:dyDescent="0.35">
      <c r="A659" s="16"/>
      <c r="B659" s="17"/>
      <c r="C659" s="13"/>
      <c r="D659" s="13"/>
      <c r="E659" s="15"/>
      <c r="F659" s="13"/>
      <c r="G659" s="13"/>
      <c r="H659" s="6"/>
      <c r="I659" s="13"/>
      <c r="J659" s="13"/>
      <c r="K659" s="13"/>
      <c r="L659" s="13"/>
      <c r="M659" s="13"/>
      <c r="N659" s="13"/>
      <c r="O659" s="13"/>
      <c r="P659" s="13"/>
      <c r="Q659" s="13"/>
      <c r="R659" s="13"/>
      <c r="S659" s="13"/>
      <c r="T659" s="13"/>
      <c r="U659" s="13"/>
      <c r="V659" s="13"/>
      <c r="W659" s="13"/>
      <c r="X659" s="13"/>
      <c r="Y659" s="13"/>
      <c r="Z659" s="13"/>
      <c r="AA659" s="13"/>
      <c r="AB659" s="13"/>
    </row>
    <row r="660" spans="1:28" ht="17.399999999999999" x14ac:dyDescent="0.35">
      <c r="A660" s="16"/>
      <c r="B660" s="17"/>
      <c r="C660" s="13"/>
      <c r="D660" s="13"/>
      <c r="E660" s="15"/>
      <c r="F660" s="13"/>
      <c r="G660" s="13"/>
      <c r="H660" s="6"/>
      <c r="I660" s="13"/>
      <c r="J660" s="13"/>
      <c r="K660" s="13"/>
      <c r="L660" s="13"/>
      <c r="M660" s="13"/>
      <c r="N660" s="13"/>
      <c r="O660" s="13"/>
      <c r="P660" s="13"/>
      <c r="Q660" s="13"/>
      <c r="R660" s="13"/>
      <c r="S660" s="13"/>
      <c r="T660" s="13"/>
      <c r="U660" s="13"/>
      <c r="V660" s="13"/>
      <c r="W660" s="13"/>
      <c r="X660" s="13"/>
      <c r="Y660" s="13"/>
      <c r="Z660" s="13"/>
      <c r="AA660" s="13"/>
      <c r="AB660" s="13"/>
    </row>
    <row r="661" spans="1:28" ht="17.399999999999999" x14ac:dyDescent="0.35">
      <c r="A661" s="16"/>
      <c r="B661" s="17"/>
      <c r="C661" s="13"/>
      <c r="D661" s="13"/>
      <c r="E661" s="15"/>
      <c r="F661" s="13"/>
      <c r="G661" s="13"/>
      <c r="H661" s="6"/>
      <c r="I661" s="13"/>
      <c r="J661" s="13"/>
      <c r="K661" s="13"/>
      <c r="L661" s="13"/>
      <c r="M661" s="13"/>
      <c r="N661" s="13"/>
      <c r="O661" s="13"/>
      <c r="P661" s="13"/>
      <c r="Q661" s="13"/>
      <c r="R661" s="13"/>
      <c r="S661" s="13"/>
      <c r="T661" s="13"/>
      <c r="U661" s="13"/>
      <c r="V661" s="13"/>
      <c r="W661" s="13"/>
      <c r="X661" s="13"/>
      <c r="Y661" s="13"/>
      <c r="Z661" s="13"/>
      <c r="AA661" s="13"/>
      <c r="AB661" s="13"/>
    </row>
    <row r="662" spans="1:28" ht="17.399999999999999" x14ac:dyDescent="0.35">
      <c r="A662" s="16"/>
      <c r="B662" s="17"/>
      <c r="C662" s="13"/>
      <c r="D662" s="13"/>
      <c r="E662" s="15"/>
      <c r="F662" s="13"/>
      <c r="G662" s="13"/>
      <c r="H662" s="6"/>
      <c r="I662" s="13"/>
      <c r="J662" s="13"/>
      <c r="K662" s="13"/>
      <c r="L662" s="13"/>
      <c r="M662" s="13"/>
      <c r="N662" s="13"/>
      <c r="O662" s="13"/>
      <c r="P662" s="13"/>
      <c r="Q662" s="13"/>
      <c r="R662" s="13"/>
      <c r="S662" s="13"/>
      <c r="T662" s="13"/>
      <c r="U662" s="13"/>
      <c r="V662" s="13"/>
      <c r="W662" s="13"/>
      <c r="X662" s="13"/>
      <c r="Y662" s="13"/>
      <c r="Z662" s="13"/>
      <c r="AA662" s="13"/>
      <c r="AB662" s="13"/>
    </row>
    <row r="663" spans="1:28" ht="17.399999999999999" x14ac:dyDescent="0.35">
      <c r="A663" s="16"/>
      <c r="B663" s="17"/>
      <c r="C663" s="13"/>
      <c r="D663" s="13"/>
      <c r="E663" s="15"/>
      <c r="F663" s="13"/>
      <c r="G663" s="13"/>
      <c r="H663" s="6"/>
      <c r="I663" s="13"/>
      <c r="J663" s="13"/>
      <c r="K663" s="13"/>
      <c r="L663" s="13"/>
      <c r="M663" s="13"/>
      <c r="N663" s="13"/>
      <c r="O663" s="13"/>
      <c r="P663" s="13"/>
      <c r="Q663" s="13"/>
      <c r="R663" s="13"/>
      <c r="S663" s="13"/>
      <c r="T663" s="13"/>
      <c r="U663" s="13"/>
      <c r="V663" s="13"/>
      <c r="W663" s="13"/>
      <c r="X663" s="13"/>
      <c r="Y663" s="13"/>
      <c r="Z663" s="13"/>
      <c r="AA663" s="13"/>
      <c r="AB663" s="13"/>
    </row>
    <row r="664" spans="1:28" ht="17.399999999999999" x14ac:dyDescent="0.35">
      <c r="A664" s="16"/>
      <c r="B664" s="17"/>
      <c r="C664" s="13"/>
      <c r="D664" s="13"/>
      <c r="E664" s="15"/>
      <c r="F664" s="13"/>
      <c r="G664" s="13"/>
      <c r="H664" s="6"/>
      <c r="I664" s="13"/>
      <c r="J664" s="13"/>
      <c r="K664" s="13"/>
      <c r="L664" s="13"/>
      <c r="M664" s="13"/>
      <c r="N664" s="13"/>
      <c r="O664" s="13"/>
      <c r="P664" s="13"/>
      <c r="Q664" s="13"/>
      <c r="R664" s="13"/>
      <c r="S664" s="13"/>
      <c r="T664" s="13"/>
      <c r="U664" s="13"/>
      <c r="V664" s="13"/>
      <c r="W664" s="13"/>
      <c r="X664" s="13"/>
      <c r="Y664" s="13"/>
      <c r="Z664" s="13"/>
      <c r="AA664" s="13"/>
      <c r="AB664" s="13"/>
    </row>
    <row r="665" spans="1:28" ht="17.399999999999999" x14ac:dyDescent="0.35">
      <c r="A665" s="16"/>
      <c r="B665" s="17"/>
      <c r="C665" s="13"/>
      <c r="D665" s="13"/>
      <c r="E665" s="15"/>
      <c r="F665" s="13"/>
      <c r="G665" s="13"/>
      <c r="H665" s="6"/>
      <c r="I665" s="13"/>
      <c r="J665" s="13"/>
      <c r="K665" s="13"/>
      <c r="L665" s="13"/>
      <c r="M665" s="13"/>
      <c r="N665" s="13"/>
      <c r="O665" s="13"/>
      <c r="P665" s="13"/>
      <c r="Q665" s="13"/>
      <c r="R665" s="13"/>
      <c r="S665" s="13"/>
      <c r="T665" s="13"/>
      <c r="U665" s="13"/>
      <c r="V665" s="13"/>
      <c r="W665" s="13"/>
      <c r="X665" s="13"/>
      <c r="Y665" s="13"/>
      <c r="Z665" s="13"/>
      <c r="AA665" s="13"/>
      <c r="AB665" s="13"/>
    </row>
    <row r="666" spans="1:28" ht="17.399999999999999" x14ac:dyDescent="0.35">
      <c r="A666" s="16"/>
      <c r="B666" s="17"/>
      <c r="C666" s="13"/>
      <c r="D666" s="13"/>
      <c r="E666" s="15"/>
      <c r="F666" s="13"/>
      <c r="G666" s="13"/>
      <c r="H666" s="6"/>
      <c r="I666" s="13"/>
      <c r="J666" s="13"/>
      <c r="K666" s="13"/>
      <c r="L666" s="13"/>
      <c r="M666" s="13"/>
      <c r="N666" s="13"/>
      <c r="O666" s="13"/>
      <c r="P666" s="13"/>
      <c r="Q666" s="13"/>
      <c r="R666" s="13"/>
      <c r="S666" s="13"/>
      <c r="T666" s="13"/>
      <c r="U666" s="13"/>
      <c r="V666" s="13"/>
      <c r="W666" s="13"/>
      <c r="X666" s="13"/>
      <c r="Y666" s="13"/>
      <c r="Z666" s="13"/>
      <c r="AA666" s="13"/>
      <c r="AB666" s="13"/>
    </row>
    <row r="667" spans="1:28" ht="17.399999999999999" x14ac:dyDescent="0.35">
      <c r="A667" s="16"/>
      <c r="B667" s="17"/>
      <c r="C667" s="13"/>
      <c r="D667" s="13"/>
      <c r="E667" s="15"/>
      <c r="F667" s="13"/>
      <c r="G667" s="13"/>
      <c r="H667" s="6"/>
      <c r="I667" s="13"/>
      <c r="J667" s="13"/>
      <c r="K667" s="13"/>
      <c r="L667" s="13"/>
      <c r="M667" s="13"/>
      <c r="N667" s="13"/>
      <c r="O667" s="13"/>
      <c r="P667" s="13"/>
      <c r="Q667" s="13"/>
      <c r="R667" s="13"/>
      <c r="S667" s="13"/>
      <c r="T667" s="13"/>
      <c r="U667" s="13"/>
      <c r="V667" s="13"/>
      <c r="W667" s="13"/>
      <c r="X667" s="13"/>
      <c r="Y667" s="13"/>
      <c r="Z667" s="13"/>
      <c r="AA667" s="13"/>
      <c r="AB667" s="13"/>
    </row>
    <row r="668" spans="1:28" ht="17.399999999999999" x14ac:dyDescent="0.35">
      <c r="A668" s="16"/>
      <c r="B668" s="17"/>
      <c r="C668" s="13"/>
      <c r="D668" s="13"/>
      <c r="E668" s="15"/>
      <c r="F668" s="13"/>
      <c r="G668" s="13"/>
      <c r="H668" s="6"/>
      <c r="I668" s="13"/>
      <c r="J668" s="13"/>
      <c r="K668" s="13"/>
      <c r="L668" s="13"/>
      <c r="M668" s="13"/>
      <c r="N668" s="13"/>
      <c r="O668" s="13"/>
      <c r="P668" s="13"/>
      <c r="Q668" s="13"/>
      <c r="R668" s="13"/>
      <c r="S668" s="13"/>
      <c r="T668" s="13"/>
      <c r="U668" s="13"/>
      <c r="V668" s="13"/>
      <c r="W668" s="13"/>
      <c r="X668" s="13"/>
      <c r="Y668" s="13"/>
      <c r="Z668" s="13"/>
      <c r="AA668" s="13"/>
      <c r="AB668" s="13"/>
    </row>
    <row r="669" spans="1:28" ht="17.399999999999999" x14ac:dyDescent="0.35">
      <c r="A669" s="16"/>
      <c r="B669" s="17"/>
      <c r="C669" s="13"/>
      <c r="D669" s="13"/>
      <c r="E669" s="15"/>
      <c r="F669" s="13"/>
      <c r="G669" s="13"/>
      <c r="H669" s="6"/>
      <c r="I669" s="13"/>
      <c r="J669" s="13"/>
      <c r="K669" s="13"/>
      <c r="L669" s="13"/>
      <c r="M669" s="13"/>
      <c r="N669" s="13"/>
      <c r="O669" s="13"/>
      <c r="P669" s="13"/>
      <c r="Q669" s="13"/>
      <c r="R669" s="13"/>
      <c r="S669" s="13"/>
      <c r="T669" s="13"/>
      <c r="U669" s="13"/>
      <c r="V669" s="13"/>
      <c r="W669" s="13"/>
      <c r="X669" s="13"/>
      <c r="Y669" s="13"/>
      <c r="Z669" s="13"/>
      <c r="AA669" s="13"/>
      <c r="AB669" s="13"/>
    </row>
    <row r="670" spans="1:28" ht="17.399999999999999" x14ac:dyDescent="0.35">
      <c r="A670" s="16"/>
      <c r="B670" s="17"/>
      <c r="C670" s="13"/>
      <c r="D670" s="13"/>
      <c r="E670" s="15"/>
      <c r="F670" s="13"/>
      <c r="G670" s="13"/>
      <c r="H670" s="6"/>
      <c r="I670" s="13"/>
      <c r="J670" s="13"/>
      <c r="K670" s="13"/>
      <c r="L670" s="13"/>
      <c r="M670" s="13"/>
      <c r="N670" s="13"/>
      <c r="O670" s="13"/>
      <c r="P670" s="13"/>
      <c r="Q670" s="13"/>
      <c r="R670" s="13"/>
      <c r="S670" s="13"/>
      <c r="T670" s="13"/>
      <c r="U670" s="13"/>
      <c r="V670" s="13"/>
      <c r="W670" s="13"/>
      <c r="X670" s="13"/>
      <c r="Y670" s="13"/>
      <c r="Z670" s="13"/>
      <c r="AA670" s="13"/>
      <c r="AB670" s="13"/>
    </row>
    <row r="671" spans="1:28" ht="17.399999999999999" x14ac:dyDescent="0.35">
      <c r="A671" s="16"/>
      <c r="B671" s="17"/>
      <c r="C671" s="13"/>
      <c r="D671" s="13"/>
      <c r="E671" s="15"/>
      <c r="F671" s="13"/>
      <c r="G671" s="13"/>
      <c r="H671" s="6"/>
      <c r="I671" s="13"/>
      <c r="J671" s="13"/>
      <c r="K671" s="13"/>
      <c r="L671" s="13"/>
      <c r="M671" s="13"/>
      <c r="N671" s="13"/>
      <c r="O671" s="13"/>
      <c r="P671" s="13"/>
      <c r="Q671" s="13"/>
      <c r="R671" s="13"/>
      <c r="S671" s="13"/>
      <c r="T671" s="13"/>
      <c r="U671" s="13"/>
      <c r="V671" s="13"/>
      <c r="W671" s="13"/>
      <c r="X671" s="13"/>
      <c r="Y671" s="13"/>
      <c r="Z671" s="13"/>
      <c r="AA671" s="13"/>
      <c r="AB671" s="13"/>
    </row>
    <row r="672" spans="1:28" ht="17.399999999999999" x14ac:dyDescent="0.35">
      <c r="A672" s="16"/>
      <c r="B672" s="17"/>
      <c r="C672" s="13"/>
      <c r="D672" s="13"/>
      <c r="E672" s="15"/>
      <c r="F672" s="13"/>
      <c r="G672" s="13"/>
      <c r="H672" s="6"/>
      <c r="I672" s="13"/>
      <c r="J672" s="13"/>
      <c r="K672" s="13"/>
      <c r="L672" s="13"/>
      <c r="M672" s="13"/>
      <c r="N672" s="13"/>
      <c r="O672" s="13"/>
      <c r="P672" s="13"/>
      <c r="Q672" s="13"/>
      <c r="R672" s="13"/>
      <c r="S672" s="13"/>
      <c r="T672" s="13"/>
      <c r="U672" s="13"/>
      <c r="V672" s="13"/>
      <c r="W672" s="13"/>
      <c r="X672" s="13"/>
      <c r="Y672" s="13"/>
      <c r="Z672" s="13"/>
      <c r="AA672" s="13"/>
      <c r="AB672" s="13"/>
    </row>
    <row r="673" spans="1:28" ht="17.399999999999999" x14ac:dyDescent="0.35">
      <c r="A673" s="16"/>
      <c r="B673" s="17"/>
      <c r="C673" s="13"/>
      <c r="D673" s="13"/>
      <c r="E673" s="15"/>
      <c r="F673" s="13"/>
      <c r="G673" s="13"/>
      <c r="H673" s="6"/>
      <c r="I673" s="13"/>
      <c r="J673" s="13"/>
      <c r="K673" s="13"/>
      <c r="L673" s="13"/>
      <c r="M673" s="13"/>
      <c r="N673" s="13"/>
      <c r="O673" s="13"/>
      <c r="P673" s="13"/>
      <c r="Q673" s="13"/>
      <c r="R673" s="13"/>
      <c r="S673" s="13"/>
      <c r="T673" s="13"/>
      <c r="U673" s="13"/>
      <c r="V673" s="13"/>
      <c r="W673" s="13"/>
      <c r="X673" s="13"/>
      <c r="Y673" s="13"/>
      <c r="Z673" s="13"/>
      <c r="AA673" s="13"/>
      <c r="AB673" s="13"/>
    </row>
    <row r="674" spans="1:28" ht="17.399999999999999" x14ac:dyDescent="0.35">
      <c r="A674" s="16"/>
      <c r="B674" s="17"/>
      <c r="C674" s="13"/>
      <c r="D674" s="13"/>
      <c r="E674" s="15"/>
      <c r="F674" s="13"/>
      <c r="G674" s="13"/>
      <c r="H674" s="6"/>
      <c r="I674" s="13"/>
      <c r="J674" s="13"/>
      <c r="K674" s="13"/>
      <c r="L674" s="13"/>
      <c r="M674" s="13"/>
      <c r="N674" s="13"/>
      <c r="O674" s="13"/>
      <c r="P674" s="13"/>
      <c r="Q674" s="13"/>
      <c r="R674" s="13"/>
      <c r="S674" s="13"/>
      <c r="T674" s="13"/>
      <c r="U674" s="13"/>
      <c r="V674" s="13"/>
      <c r="W674" s="13"/>
      <c r="X674" s="13"/>
      <c r="Y674" s="13"/>
      <c r="Z674" s="13"/>
      <c r="AA674" s="13"/>
      <c r="AB674" s="13"/>
    </row>
    <row r="675" spans="1:28" ht="17.399999999999999" x14ac:dyDescent="0.35">
      <c r="A675" s="16"/>
      <c r="B675" s="17"/>
      <c r="C675" s="13"/>
      <c r="D675" s="13"/>
      <c r="E675" s="15"/>
      <c r="F675" s="13"/>
      <c r="G675" s="13"/>
      <c r="H675" s="6"/>
      <c r="I675" s="13"/>
      <c r="J675" s="13"/>
      <c r="K675" s="13"/>
      <c r="L675" s="13"/>
      <c r="M675" s="13"/>
      <c r="N675" s="13"/>
      <c r="O675" s="13"/>
      <c r="P675" s="13"/>
      <c r="Q675" s="13"/>
      <c r="R675" s="13"/>
      <c r="S675" s="13"/>
      <c r="T675" s="13"/>
      <c r="U675" s="13"/>
      <c r="V675" s="13"/>
      <c r="W675" s="13"/>
      <c r="X675" s="13"/>
      <c r="Y675" s="13"/>
      <c r="Z675" s="13"/>
      <c r="AA675" s="13"/>
      <c r="AB675" s="13"/>
    </row>
    <row r="676" spans="1:28" ht="17.399999999999999" x14ac:dyDescent="0.35">
      <c r="A676" s="16"/>
      <c r="B676" s="17"/>
      <c r="C676" s="13"/>
      <c r="D676" s="13"/>
      <c r="E676" s="15"/>
      <c r="F676" s="13"/>
      <c r="G676" s="13"/>
      <c r="H676" s="6"/>
      <c r="I676" s="13"/>
      <c r="J676" s="13"/>
      <c r="K676" s="13"/>
      <c r="L676" s="13"/>
      <c r="M676" s="13"/>
      <c r="N676" s="13"/>
      <c r="O676" s="13"/>
      <c r="P676" s="13"/>
      <c r="Q676" s="13"/>
      <c r="R676" s="13"/>
      <c r="S676" s="13"/>
      <c r="T676" s="13"/>
      <c r="U676" s="13"/>
      <c r="V676" s="13"/>
      <c r="W676" s="13"/>
      <c r="X676" s="13"/>
      <c r="Y676" s="13"/>
      <c r="Z676" s="13"/>
      <c r="AA676" s="13"/>
      <c r="AB676" s="13"/>
    </row>
    <row r="677" spans="1:28" ht="17.399999999999999" x14ac:dyDescent="0.35">
      <c r="A677" s="16"/>
      <c r="B677" s="17"/>
      <c r="C677" s="13"/>
      <c r="D677" s="13"/>
      <c r="E677" s="15"/>
      <c r="F677" s="13"/>
      <c r="G677" s="13"/>
      <c r="H677" s="6"/>
      <c r="I677" s="13"/>
      <c r="J677" s="13"/>
      <c r="K677" s="13"/>
      <c r="L677" s="13"/>
      <c r="M677" s="13"/>
      <c r="N677" s="13"/>
      <c r="O677" s="13"/>
      <c r="P677" s="13"/>
      <c r="Q677" s="13"/>
      <c r="R677" s="13"/>
      <c r="S677" s="13"/>
      <c r="T677" s="13"/>
      <c r="U677" s="13"/>
      <c r="V677" s="13"/>
      <c r="W677" s="13"/>
      <c r="X677" s="13"/>
      <c r="Y677" s="13"/>
      <c r="Z677" s="13"/>
      <c r="AA677" s="13"/>
      <c r="AB677" s="13"/>
    </row>
    <row r="678" spans="1:28" ht="17.399999999999999" x14ac:dyDescent="0.35">
      <c r="A678" s="16"/>
      <c r="B678" s="17"/>
      <c r="C678" s="13"/>
      <c r="D678" s="13"/>
      <c r="E678" s="15"/>
      <c r="F678" s="13"/>
      <c r="G678" s="13"/>
      <c r="H678" s="6"/>
      <c r="I678" s="13"/>
      <c r="J678" s="13"/>
      <c r="K678" s="13"/>
      <c r="L678" s="13"/>
      <c r="M678" s="13"/>
      <c r="N678" s="13"/>
      <c r="O678" s="13"/>
      <c r="P678" s="13"/>
      <c r="Q678" s="13"/>
      <c r="R678" s="13"/>
      <c r="S678" s="13"/>
      <c r="T678" s="13"/>
      <c r="U678" s="13"/>
      <c r="V678" s="13"/>
      <c r="W678" s="13"/>
      <c r="X678" s="13"/>
      <c r="Y678" s="13"/>
      <c r="Z678" s="13"/>
      <c r="AA678" s="13"/>
      <c r="AB678" s="13"/>
    </row>
    <row r="679" spans="1:28" ht="17.399999999999999" x14ac:dyDescent="0.35">
      <c r="A679" s="16"/>
      <c r="B679" s="17"/>
      <c r="C679" s="13"/>
      <c r="D679" s="13"/>
      <c r="E679" s="15"/>
      <c r="F679" s="13"/>
      <c r="G679" s="13"/>
      <c r="H679" s="6"/>
      <c r="I679" s="13"/>
      <c r="J679" s="13"/>
      <c r="K679" s="13"/>
      <c r="L679" s="13"/>
      <c r="M679" s="13"/>
      <c r="N679" s="13"/>
      <c r="O679" s="13"/>
      <c r="P679" s="13"/>
      <c r="Q679" s="13"/>
      <c r="R679" s="13"/>
      <c r="S679" s="13"/>
      <c r="T679" s="13"/>
      <c r="U679" s="13"/>
      <c r="V679" s="13"/>
      <c r="W679" s="13"/>
      <c r="X679" s="13"/>
      <c r="Y679" s="13"/>
      <c r="Z679" s="13"/>
      <c r="AA679" s="13"/>
      <c r="AB679" s="13"/>
    </row>
    <row r="680" spans="1:28" ht="17.399999999999999" x14ac:dyDescent="0.35">
      <c r="A680" s="16"/>
      <c r="B680" s="17"/>
      <c r="C680" s="13"/>
      <c r="D680" s="13"/>
      <c r="E680" s="15"/>
      <c r="F680" s="13"/>
      <c r="G680" s="13"/>
      <c r="H680" s="6"/>
      <c r="I680" s="13"/>
      <c r="J680" s="13"/>
      <c r="K680" s="13"/>
      <c r="L680" s="13"/>
      <c r="M680" s="13"/>
      <c r="N680" s="13"/>
      <c r="O680" s="13"/>
      <c r="P680" s="13"/>
      <c r="Q680" s="13"/>
      <c r="R680" s="13"/>
      <c r="S680" s="13"/>
      <c r="T680" s="13"/>
      <c r="U680" s="13"/>
      <c r="V680" s="13"/>
      <c r="W680" s="13"/>
      <c r="X680" s="13"/>
      <c r="Y680" s="13"/>
      <c r="Z680" s="13"/>
      <c r="AA680" s="13"/>
      <c r="AB680" s="13"/>
    </row>
    <row r="681" spans="1:28" ht="17.399999999999999" x14ac:dyDescent="0.35">
      <c r="A681" s="16"/>
      <c r="B681" s="17"/>
      <c r="C681" s="13"/>
      <c r="D681" s="13"/>
      <c r="E681" s="15"/>
      <c r="F681" s="13"/>
      <c r="G681" s="13"/>
      <c r="H681" s="6"/>
      <c r="I681" s="13"/>
      <c r="J681" s="13"/>
      <c r="K681" s="13"/>
      <c r="L681" s="13"/>
      <c r="M681" s="13"/>
      <c r="N681" s="13"/>
      <c r="O681" s="13"/>
      <c r="P681" s="13"/>
      <c r="Q681" s="13"/>
      <c r="R681" s="13"/>
      <c r="S681" s="13"/>
      <c r="T681" s="13"/>
      <c r="U681" s="13"/>
      <c r="V681" s="13"/>
      <c r="W681" s="13"/>
      <c r="X681" s="13"/>
      <c r="Y681" s="13"/>
      <c r="Z681" s="13"/>
      <c r="AA681" s="13"/>
      <c r="AB681" s="13"/>
    </row>
    <row r="682" spans="1:28" ht="17.399999999999999" x14ac:dyDescent="0.35">
      <c r="A682" s="16"/>
      <c r="B682" s="17"/>
      <c r="C682" s="13"/>
      <c r="D682" s="13"/>
      <c r="E682" s="15"/>
      <c r="F682" s="13"/>
      <c r="G682" s="13"/>
      <c r="H682" s="6"/>
      <c r="I682" s="13"/>
      <c r="J682" s="13"/>
      <c r="K682" s="13"/>
      <c r="L682" s="13"/>
      <c r="M682" s="13"/>
      <c r="N682" s="13"/>
      <c r="O682" s="13"/>
      <c r="P682" s="13"/>
      <c r="Q682" s="13"/>
      <c r="R682" s="13"/>
      <c r="S682" s="13"/>
      <c r="T682" s="13"/>
      <c r="U682" s="13"/>
      <c r="V682" s="13"/>
      <c r="W682" s="13"/>
      <c r="X682" s="13"/>
      <c r="Y682" s="13"/>
      <c r="Z682" s="13"/>
      <c r="AA682" s="13"/>
      <c r="AB682" s="13"/>
    </row>
    <row r="683" spans="1:28" ht="17.399999999999999" x14ac:dyDescent="0.35">
      <c r="A683" s="16"/>
      <c r="B683" s="17"/>
      <c r="C683" s="13"/>
      <c r="D683" s="13"/>
      <c r="E683" s="15"/>
      <c r="F683" s="13"/>
      <c r="G683" s="13"/>
      <c r="H683" s="6"/>
      <c r="I683" s="13"/>
      <c r="J683" s="13"/>
      <c r="K683" s="13"/>
      <c r="L683" s="13"/>
      <c r="M683" s="13"/>
      <c r="N683" s="13"/>
      <c r="O683" s="13"/>
      <c r="P683" s="13"/>
      <c r="Q683" s="13"/>
      <c r="R683" s="13"/>
      <c r="S683" s="13"/>
      <c r="T683" s="13"/>
      <c r="U683" s="13"/>
      <c r="V683" s="13"/>
      <c r="W683" s="13"/>
      <c r="X683" s="13"/>
      <c r="Y683" s="13"/>
      <c r="Z683" s="13"/>
      <c r="AA683" s="13"/>
      <c r="AB683" s="13"/>
    </row>
    <row r="684" spans="1:28" ht="17.399999999999999" x14ac:dyDescent="0.35">
      <c r="A684" s="16"/>
      <c r="B684" s="17"/>
      <c r="C684" s="13"/>
      <c r="D684" s="13"/>
      <c r="E684" s="15"/>
      <c r="F684" s="13"/>
      <c r="G684" s="13"/>
      <c r="H684" s="6"/>
      <c r="I684" s="13"/>
      <c r="J684" s="13"/>
      <c r="K684" s="13"/>
      <c r="L684" s="13"/>
      <c r="M684" s="13"/>
      <c r="N684" s="13"/>
      <c r="O684" s="13"/>
      <c r="P684" s="13"/>
      <c r="Q684" s="13"/>
      <c r="R684" s="13"/>
      <c r="S684" s="13"/>
      <c r="T684" s="13"/>
      <c r="U684" s="13"/>
      <c r="V684" s="13"/>
      <c r="W684" s="13"/>
      <c r="X684" s="13"/>
      <c r="Y684" s="13"/>
      <c r="Z684" s="13"/>
      <c r="AA684" s="13"/>
      <c r="AB684" s="13"/>
    </row>
    <row r="685" spans="1:28" ht="17.399999999999999" x14ac:dyDescent="0.35">
      <c r="A685" s="16"/>
      <c r="B685" s="17"/>
      <c r="C685" s="13"/>
      <c r="D685" s="13"/>
      <c r="E685" s="15"/>
      <c r="F685" s="13"/>
      <c r="G685" s="13"/>
      <c r="H685" s="6"/>
      <c r="I685" s="13"/>
      <c r="J685" s="13"/>
      <c r="K685" s="13"/>
      <c r="L685" s="13"/>
      <c r="M685" s="13"/>
      <c r="N685" s="13"/>
      <c r="O685" s="13"/>
      <c r="P685" s="13"/>
      <c r="Q685" s="13"/>
      <c r="R685" s="13"/>
      <c r="S685" s="13"/>
      <c r="T685" s="13"/>
      <c r="U685" s="13"/>
      <c r="V685" s="13"/>
      <c r="W685" s="13"/>
      <c r="X685" s="13"/>
      <c r="Y685" s="13"/>
      <c r="Z685" s="13"/>
      <c r="AA685" s="13"/>
      <c r="AB685" s="13"/>
    </row>
    <row r="686" spans="1:28" ht="17.399999999999999" x14ac:dyDescent="0.35">
      <c r="A686" s="16"/>
      <c r="B686" s="17"/>
      <c r="C686" s="13"/>
      <c r="D686" s="13"/>
      <c r="E686" s="15"/>
      <c r="F686" s="13"/>
      <c r="G686" s="13"/>
      <c r="H686" s="6"/>
      <c r="I686" s="13"/>
      <c r="J686" s="13"/>
      <c r="K686" s="13"/>
      <c r="L686" s="13"/>
      <c r="M686" s="13"/>
      <c r="N686" s="13"/>
      <c r="O686" s="13"/>
      <c r="P686" s="13"/>
      <c r="Q686" s="13"/>
      <c r="R686" s="13"/>
      <c r="S686" s="13"/>
      <c r="T686" s="13"/>
      <c r="U686" s="13"/>
      <c r="V686" s="13"/>
      <c r="W686" s="13"/>
      <c r="X686" s="13"/>
      <c r="Y686" s="13"/>
      <c r="Z686" s="13"/>
      <c r="AA686" s="13"/>
      <c r="AB686" s="13"/>
    </row>
    <row r="687" spans="1:28" ht="17.399999999999999" x14ac:dyDescent="0.35">
      <c r="A687" s="16"/>
      <c r="B687" s="17"/>
      <c r="C687" s="13"/>
      <c r="D687" s="13"/>
      <c r="E687" s="15"/>
      <c r="F687" s="13"/>
      <c r="G687" s="13"/>
      <c r="H687" s="6"/>
      <c r="I687" s="13"/>
      <c r="J687" s="13"/>
      <c r="K687" s="13"/>
      <c r="L687" s="13"/>
      <c r="M687" s="13"/>
      <c r="N687" s="13"/>
      <c r="O687" s="13"/>
      <c r="P687" s="13"/>
      <c r="Q687" s="13"/>
      <c r="R687" s="13"/>
      <c r="S687" s="13"/>
      <c r="T687" s="13"/>
      <c r="U687" s="13"/>
      <c r="V687" s="13"/>
      <c r="W687" s="13"/>
      <c r="X687" s="13"/>
      <c r="Y687" s="13"/>
      <c r="Z687" s="13"/>
      <c r="AA687" s="13"/>
      <c r="AB687" s="13"/>
    </row>
    <row r="688" spans="1:28" ht="17.399999999999999" x14ac:dyDescent="0.35">
      <c r="A688" s="16"/>
      <c r="B688" s="17"/>
      <c r="C688" s="13"/>
      <c r="D688" s="13"/>
      <c r="E688" s="15"/>
      <c r="F688" s="13"/>
      <c r="G688" s="13"/>
      <c r="H688" s="6"/>
      <c r="I688" s="13"/>
      <c r="J688" s="13"/>
      <c r="K688" s="13"/>
      <c r="L688" s="13"/>
      <c r="M688" s="13"/>
      <c r="N688" s="13"/>
      <c r="O688" s="13"/>
      <c r="P688" s="13"/>
      <c r="Q688" s="13"/>
      <c r="R688" s="13"/>
      <c r="S688" s="13"/>
      <c r="T688" s="13"/>
      <c r="U688" s="13"/>
      <c r="V688" s="13"/>
      <c r="W688" s="13"/>
      <c r="X688" s="13"/>
      <c r="Y688" s="13"/>
      <c r="Z688" s="13"/>
      <c r="AA688" s="13"/>
      <c r="AB688" s="13"/>
    </row>
    <row r="689" spans="1:28" ht="17.399999999999999" x14ac:dyDescent="0.35">
      <c r="A689" s="16"/>
      <c r="B689" s="17"/>
      <c r="C689" s="13"/>
      <c r="D689" s="13"/>
      <c r="E689" s="15"/>
      <c r="F689" s="13"/>
      <c r="G689" s="13"/>
      <c r="H689" s="6"/>
      <c r="I689" s="13"/>
      <c r="J689" s="13"/>
      <c r="K689" s="13"/>
      <c r="L689" s="13"/>
      <c r="M689" s="13"/>
      <c r="N689" s="13"/>
      <c r="O689" s="13"/>
      <c r="P689" s="13"/>
      <c r="Q689" s="13"/>
      <c r="R689" s="13"/>
      <c r="S689" s="13"/>
      <c r="T689" s="13"/>
      <c r="U689" s="13"/>
      <c r="V689" s="13"/>
      <c r="W689" s="13"/>
      <c r="X689" s="13"/>
      <c r="Y689" s="13"/>
      <c r="Z689" s="13"/>
      <c r="AA689" s="13"/>
      <c r="AB689" s="13"/>
    </row>
    <row r="690" spans="1:28" ht="17.399999999999999" x14ac:dyDescent="0.35">
      <c r="A690" s="16"/>
      <c r="B690" s="17"/>
      <c r="C690" s="13"/>
      <c r="D690" s="13"/>
      <c r="E690" s="15"/>
      <c r="F690" s="13"/>
      <c r="G690" s="13"/>
      <c r="H690" s="6"/>
      <c r="I690" s="13"/>
      <c r="J690" s="13"/>
      <c r="K690" s="13"/>
      <c r="L690" s="13"/>
      <c r="M690" s="13"/>
      <c r="N690" s="13"/>
      <c r="O690" s="13"/>
      <c r="P690" s="13"/>
      <c r="Q690" s="13"/>
      <c r="R690" s="13"/>
      <c r="S690" s="13"/>
      <c r="T690" s="13"/>
      <c r="U690" s="13"/>
      <c r="V690" s="13"/>
      <c r="W690" s="13"/>
      <c r="X690" s="13"/>
      <c r="Y690" s="13"/>
      <c r="Z690" s="13"/>
      <c r="AA690" s="13"/>
      <c r="AB690" s="13"/>
    </row>
    <row r="691" spans="1:28" ht="17.399999999999999" x14ac:dyDescent="0.35">
      <c r="A691" s="16"/>
      <c r="B691" s="17"/>
      <c r="C691" s="13"/>
      <c r="D691" s="13"/>
      <c r="E691" s="15"/>
      <c r="F691" s="13"/>
      <c r="G691" s="13"/>
      <c r="H691" s="6"/>
      <c r="I691" s="13"/>
      <c r="J691" s="13"/>
      <c r="K691" s="13"/>
      <c r="L691" s="13"/>
      <c r="M691" s="13"/>
      <c r="N691" s="13"/>
      <c r="O691" s="13"/>
      <c r="P691" s="13"/>
      <c r="Q691" s="13"/>
      <c r="R691" s="13"/>
      <c r="S691" s="13"/>
      <c r="T691" s="13"/>
      <c r="U691" s="13"/>
      <c r="V691" s="13"/>
      <c r="W691" s="13"/>
      <c r="X691" s="13"/>
      <c r="Y691" s="13"/>
      <c r="Z691" s="13"/>
      <c r="AA691" s="13"/>
      <c r="AB691" s="13"/>
    </row>
    <row r="692" spans="1:28" ht="17.399999999999999" x14ac:dyDescent="0.35">
      <c r="A692" s="16"/>
      <c r="B692" s="17"/>
      <c r="C692" s="13"/>
      <c r="D692" s="13"/>
      <c r="E692" s="15"/>
      <c r="F692" s="13"/>
      <c r="G692" s="13"/>
      <c r="H692" s="6"/>
      <c r="I692" s="13"/>
      <c r="J692" s="13"/>
      <c r="K692" s="13"/>
      <c r="L692" s="13"/>
      <c r="M692" s="13"/>
      <c r="N692" s="13"/>
      <c r="O692" s="13"/>
      <c r="P692" s="13"/>
      <c r="Q692" s="13"/>
      <c r="R692" s="13"/>
      <c r="S692" s="13"/>
      <c r="T692" s="13"/>
      <c r="U692" s="13"/>
      <c r="V692" s="13"/>
      <c r="W692" s="13"/>
      <c r="X692" s="13"/>
      <c r="Y692" s="13"/>
      <c r="Z692" s="13"/>
      <c r="AA692" s="13"/>
      <c r="AB692" s="13"/>
    </row>
    <row r="693" spans="1:28" ht="17.399999999999999" x14ac:dyDescent="0.35">
      <c r="A693" s="16"/>
      <c r="B693" s="17"/>
      <c r="C693" s="13"/>
      <c r="D693" s="13"/>
      <c r="E693" s="15"/>
      <c r="F693" s="13"/>
      <c r="G693" s="13"/>
      <c r="H693" s="6"/>
      <c r="I693" s="13"/>
      <c r="J693" s="13"/>
      <c r="K693" s="13"/>
      <c r="L693" s="13"/>
      <c r="M693" s="13"/>
      <c r="N693" s="13"/>
      <c r="O693" s="13"/>
      <c r="P693" s="13"/>
      <c r="Q693" s="13"/>
      <c r="R693" s="13"/>
      <c r="S693" s="13"/>
      <c r="T693" s="13"/>
      <c r="U693" s="13"/>
      <c r="V693" s="13"/>
      <c r="W693" s="13"/>
      <c r="X693" s="13"/>
      <c r="Y693" s="13"/>
      <c r="Z693" s="13"/>
      <c r="AA693" s="13"/>
      <c r="AB693" s="13"/>
    </row>
    <row r="694" spans="1:28" ht="17.399999999999999" x14ac:dyDescent="0.35">
      <c r="A694" s="16"/>
      <c r="B694" s="17"/>
      <c r="C694" s="13"/>
      <c r="D694" s="13"/>
      <c r="E694" s="15"/>
      <c r="F694" s="13"/>
      <c r="G694" s="13"/>
      <c r="H694" s="6"/>
      <c r="I694" s="13"/>
      <c r="J694" s="13"/>
      <c r="K694" s="13"/>
      <c r="L694" s="13"/>
      <c r="M694" s="13"/>
      <c r="N694" s="13"/>
      <c r="O694" s="13"/>
      <c r="P694" s="13"/>
      <c r="Q694" s="13"/>
      <c r="R694" s="13"/>
      <c r="S694" s="13"/>
      <c r="T694" s="13"/>
      <c r="U694" s="13"/>
      <c r="V694" s="13"/>
      <c r="W694" s="13"/>
      <c r="X694" s="13"/>
      <c r="Y694" s="13"/>
      <c r="Z694" s="13"/>
      <c r="AA694" s="13"/>
      <c r="AB694" s="13"/>
    </row>
    <row r="695" spans="1:28" ht="17.399999999999999" x14ac:dyDescent="0.35">
      <c r="A695" s="16"/>
      <c r="B695" s="17"/>
      <c r="C695" s="13"/>
      <c r="D695" s="13"/>
      <c r="E695" s="15"/>
      <c r="F695" s="13"/>
      <c r="G695" s="13"/>
      <c r="H695" s="6"/>
      <c r="I695" s="13"/>
      <c r="J695" s="13"/>
      <c r="K695" s="13"/>
      <c r="L695" s="13"/>
      <c r="M695" s="13"/>
      <c r="N695" s="13"/>
      <c r="O695" s="13"/>
      <c r="P695" s="13"/>
      <c r="Q695" s="13"/>
      <c r="R695" s="13"/>
      <c r="S695" s="13"/>
      <c r="T695" s="13"/>
      <c r="U695" s="13"/>
      <c r="V695" s="13"/>
      <c r="W695" s="13"/>
      <c r="X695" s="13"/>
      <c r="Y695" s="13"/>
      <c r="Z695" s="13"/>
      <c r="AA695" s="13"/>
      <c r="AB695" s="13"/>
    </row>
    <row r="696" spans="1:28" ht="17.399999999999999" x14ac:dyDescent="0.35">
      <c r="A696" s="16"/>
      <c r="B696" s="17"/>
      <c r="C696" s="13"/>
      <c r="D696" s="13"/>
      <c r="E696" s="15"/>
      <c r="F696" s="13"/>
      <c r="G696" s="13"/>
      <c r="H696" s="6"/>
      <c r="I696" s="13"/>
      <c r="J696" s="13"/>
      <c r="K696" s="13"/>
      <c r="L696" s="13"/>
      <c r="M696" s="13"/>
      <c r="N696" s="13"/>
      <c r="O696" s="13"/>
      <c r="P696" s="13"/>
      <c r="Q696" s="13"/>
      <c r="R696" s="13"/>
      <c r="S696" s="13"/>
      <c r="T696" s="13"/>
      <c r="U696" s="13"/>
      <c r="V696" s="13"/>
      <c r="W696" s="13"/>
      <c r="X696" s="13"/>
      <c r="Y696" s="13"/>
      <c r="Z696" s="13"/>
      <c r="AA696" s="13"/>
      <c r="AB696" s="13"/>
    </row>
    <row r="697" spans="1:28" ht="17.399999999999999" x14ac:dyDescent="0.35">
      <c r="A697" s="16"/>
      <c r="B697" s="17"/>
      <c r="C697" s="13"/>
      <c r="D697" s="13"/>
      <c r="E697" s="15"/>
      <c r="F697" s="13"/>
      <c r="G697" s="13"/>
      <c r="H697" s="6"/>
      <c r="I697" s="13"/>
      <c r="J697" s="13"/>
      <c r="K697" s="13"/>
      <c r="L697" s="13"/>
      <c r="M697" s="13"/>
      <c r="N697" s="13"/>
      <c r="O697" s="13"/>
      <c r="P697" s="13"/>
      <c r="Q697" s="13"/>
      <c r="R697" s="13"/>
      <c r="S697" s="13"/>
      <c r="T697" s="13"/>
      <c r="U697" s="13"/>
      <c r="V697" s="13"/>
      <c r="W697" s="13"/>
      <c r="X697" s="13"/>
      <c r="Y697" s="13"/>
      <c r="Z697" s="13"/>
      <c r="AA697" s="13"/>
      <c r="AB697" s="13"/>
    </row>
    <row r="698" spans="1:28" ht="17.399999999999999" x14ac:dyDescent="0.35">
      <c r="A698" s="16"/>
      <c r="B698" s="17"/>
      <c r="C698" s="13"/>
      <c r="D698" s="13"/>
      <c r="E698" s="15"/>
      <c r="F698" s="13"/>
      <c r="G698" s="13"/>
      <c r="H698" s="6"/>
      <c r="I698" s="13"/>
      <c r="J698" s="13"/>
      <c r="K698" s="13"/>
      <c r="L698" s="13"/>
      <c r="M698" s="13"/>
      <c r="N698" s="13"/>
      <c r="O698" s="13"/>
      <c r="P698" s="13"/>
      <c r="Q698" s="13"/>
      <c r="R698" s="13"/>
      <c r="S698" s="13"/>
      <c r="T698" s="13"/>
      <c r="U698" s="13"/>
      <c r="V698" s="13"/>
      <c r="W698" s="13"/>
      <c r="X698" s="13"/>
      <c r="Y698" s="13"/>
      <c r="Z698" s="13"/>
      <c r="AA698" s="13"/>
      <c r="AB698" s="13"/>
    </row>
    <row r="699" spans="1:28" ht="17.399999999999999" x14ac:dyDescent="0.35">
      <c r="A699" s="16"/>
      <c r="B699" s="17"/>
      <c r="C699" s="13"/>
      <c r="D699" s="13"/>
      <c r="E699" s="15"/>
      <c r="F699" s="13"/>
      <c r="G699" s="13"/>
      <c r="H699" s="6"/>
      <c r="I699" s="13"/>
      <c r="J699" s="13"/>
      <c r="K699" s="13"/>
      <c r="L699" s="13"/>
      <c r="M699" s="13"/>
      <c r="N699" s="13"/>
      <c r="O699" s="13"/>
      <c r="P699" s="13"/>
      <c r="Q699" s="13"/>
      <c r="R699" s="13"/>
      <c r="S699" s="13"/>
      <c r="T699" s="13"/>
      <c r="U699" s="13"/>
      <c r="V699" s="13"/>
      <c r="W699" s="13"/>
      <c r="X699" s="13"/>
      <c r="Y699" s="13"/>
      <c r="Z699" s="13"/>
      <c r="AA699" s="13"/>
      <c r="AB699" s="13"/>
    </row>
    <row r="700" spans="1:28" ht="17.399999999999999" x14ac:dyDescent="0.35">
      <c r="A700" s="16"/>
      <c r="B700" s="17"/>
      <c r="C700" s="13"/>
      <c r="D700" s="13"/>
      <c r="E700" s="15"/>
      <c r="F700" s="13"/>
      <c r="G700" s="13"/>
      <c r="H700" s="6"/>
      <c r="I700" s="13"/>
      <c r="J700" s="13"/>
      <c r="K700" s="13"/>
      <c r="L700" s="13"/>
      <c r="M700" s="13"/>
      <c r="N700" s="13"/>
      <c r="O700" s="13"/>
      <c r="P700" s="13"/>
      <c r="Q700" s="13"/>
      <c r="R700" s="13"/>
      <c r="S700" s="13"/>
      <c r="T700" s="13"/>
      <c r="U700" s="13"/>
      <c r="V700" s="13"/>
      <c r="W700" s="13"/>
      <c r="X700" s="13"/>
      <c r="Y700" s="13"/>
      <c r="Z700" s="13"/>
      <c r="AA700" s="13"/>
      <c r="AB700" s="13"/>
    </row>
    <row r="701" spans="1:28" ht="17.399999999999999" x14ac:dyDescent="0.35">
      <c r="A701" s="16"/>
      <c r="B701" s="17"/>
      <c r="C701" s="13"/>
      <c r="D701" s="13"/>
      <c r="E701" s="15"/>
      <c r="F701" s="13"/>
      <c r="G701" s="13"/>
      <c r="H701" s="6"/>
      <c r="I701" s="13"/>
      <c r="J701" s="13"/>
      <c r="K701" s="13"/>
      <c r="L701" s="13"/>
      <c r="M701" s="13"/>
      <c r="N701" s="13"/>
      <c r="O701" s="13"/>
      <c r="P701" s="13"/>
      <c r="Q701" s="13"/>
      <c r="R701" s="13"/>
      <c r="S701" s="13"/>
      <c r="T701" s="13"/>
      <c r="U701" s="13"/>
      <c r="V701" s="13"/>
      <c r="W701" s="13"/>
      <c r="X701" s="13"/>
      <c r="Y701" s="13"/>
      <c r="Z701" s="13"/>
      <c r="AA701" s="13"/>
      <c r="AB701" s="13"/>
    </row>
    <row r="702" spans="1:28" ht="17.399999999999999" x14ac:dyDescent="0.35">
      <c r="A702" s="16"/>
      <c r="B702" s="17"/>
      <c r="C702" s="13"/>
      <c r="D702" s="13"/>
      <c r="E702" s="15"/>
      <c r="F702" s="13"/>
      <c r="G702" s="13"/>
      <c r="H702" s="6"/>
      <c r="I702" s="13"/>
      <c r="J702" s="13"/>
      <c r="K702" s="13"/>
      <c r="L702" s="13"/>
      <c r="M702" s="13"/>
      <c r="N702" s="13"/>
      <c r="O702" s="13"/>
      <c r="P702" s="13"/>
      <c r="Q702" s="13"/>
      <c r="R702" s="13"/>
      <c r="S702" s="13"/>
      <c r="T702" s="13"/>
      <c r="U702" s="13"/>
      <c r="V702" s="13"/>
      <c r="W702" s="13"/>
      <c r="X702" s="13"/>
      <c r="Y702" s="13"/>
      <c r="Z702" s="13"/>
      <c r="AA702" s="13"/>
      <c r="AB702" s="13"/>
    </row>
    <row r="703" spans="1:28" ht="17.399999999999999" x14ac:dyDescent="0.35">
      <c r="A703" s="16"/>
      <c r="B703" s="17"/>
      <c r="C703" s="13"/>
      <c r="D703" s="13"/>
      <c r="E703" s="15"/>
      <c r="F703" s="13"/>
      <c r="G703" s="13"/>
      <c r="H703" s="6"/>
      <c r="I703" s="13"/>
      <c r="J703" s="13"/>
      <c r="K703" s="13"/>
      <c r="L703" s="13"/>
      <c r="M703" s="13"/>
      <c r="N703" s="13"/>
      <c r="O703" s="13"/>
      <c r="P703" s="13"/>
      <c r="Q703" s="13"/>
      <c r="R703" s="13"/>
      <c r="S703" s="13"/>
      <c r="T703" s="13"/>
      <c r="U703" s="13"/>
      <c r="V703" s="13"/>
      <c r="W703" s="13"/>
      <c r="X703" s="13"/>
      <c r="Y703" s="13"/>
      <c r="Z703" s="13"/>
      <c r="AA703" s="13"/>
      <c r="AB703" s="13"/>
    </row>
    <row r="704" spans="1:28" ht="17.399999999999999" x14ac:dyDescent="0.35">
      <c r="A704" s="16"/>
      <c r="B704" s="17"/>
      <c r="C704" s="13"/>
      <c r="D704" s="13"/>
      <c r="E704" s="15"/>
      <c r="F704" s="13"/>
      <c r="G704" s="13"/>
      <c r="H704" s="6"/>
      <c r="I704" s="13"/>
      <c r="J704" s="13"/>
      <c r="K704" s="13"/>
      <c r="L704" s="13"/>
      <c r="M704" s="13"/>
      <c r="N704" s="13"/>
      <c r="O704" s="13"/>
      <c r="P704" s="13"/>
      <c r="Q704" s="13"/>
      <c r="R704" s="13"/>
      <c r="S704" s="13"/>
      <c r="T704" s="13"/>
      <c r="U704" s="13"/>
      <c r="V704" s="13"/>
      <c r="W704" s="13"/>
      <c r="X704" s="13"/>
      <c r="Y704" s="13"/>
      <c r="Z704" s="13"/>
      <c r="AA704" s="13"/>
      <c r="AB704" s="13"/>
    </row>
    <row r="705" spans="1:28" ht="17.399999999999999" x14ac:dyDescent="0.35">
      <c r="A705" s="16"/>
      <c r="B705" s="17"/>
      <c r="C705" s="13"/>
      <c r="D705" s="13"/>
      <c r="E705" s="15"/>
      <c r="F705" s="13"/>
      <c r="G705" s="13"/>
      <c r="H705" s="6"/>
      <c r="I705" s="13"/>
      <c r="J705" s="13"/>
      <c r="K705" s="13"/>
      <c r="L705" s="13"/>
      <c r="M705" s="13"/>
      <c r="N705" s="13"/>
      <c r="O705" s="13"/>
      <c r="P705" s="13"/>
      <c r="Q705" s="13"/>
      <c r="R705" s="13"/>
      <c r="S705" s="13"/>
      <c r="T705" s="13"/>
      <c r="U705" s="13"/>
      <c r="V705" s="13"/>
      <c r="W705" s="13"/>
      <c r="X705" s="13"/>
      <c r="Y705" s="13"/>
      <c r="Z705" s="13"/>
      <c r="AA705" s="13"/>
      <c r="AB705" s="13"/>
    </row>
    <row r="706" spans="1:28" ht="17.399999999999999" x14ac:dyDescent="0.35">
      <c r="A706" s="16"/>
      <c r="B706" s="17"/>
      <c r="C706" s="13"/>
      <c r="D706" s="13"/>
      <c r="E706" s="15"/>
      <c r="F706" s="13"/>
      <c r="G706" s="13"/>
      <c r="H706" s="6"/>
      <c r="I706" s="13"/>
      <c r="J706" s="13"/>
      <c r="K706" s="13"/>
      <c r="L706" s="13"/>
      <c r="M706" s="13"/>
      <c r="N706" s="13"/>
      <c r="O706" s="13"/>
      <c r="P706" s="13"/>
      <c r="Q706" s="13"/>
      <c r="R706" s="13"/>
      <c r="S706" s="13"/>
      <c r="T706" s="13"/>
      <c r="U706" s="13"/>
      <c r="V706" s="13"/>
      <c r="W706" s="13"/>
      <c r="X706" s="13"/>
      <c r="Y706" s="13"/>
      <c r="Z706" s="13"/>
      <c r="AA706" s="13"/>
      <c r="AB706" s="13"/>
    </row>
    <row r="707" spans="1:28" ht="17.399999999999999" x14ac:dyDescent="0.35">
      <c r="A707" s="16"/>
      <c r="B707" s="17"/>
      <c r="C707" s="13"/>
      <c r="D707" s="13"/>
      <c r="E707" s="15"/>
      <c r="F707" s="13"/>
      <c r="G707" s="13"/>
      <c r="H707" s="6"/>
      <c r="I707" s="13"/>
      <c r="J707" s="13"/>
      <c r="K707" s="13"/>
      <c r="L707" s="13"/>
      <c r="M707" s="13"/>
      <c r="N707" s="13"/>
      <c r="O707" s="13"/>
      <c r="P707" s="13"/>
      <c r="Q707" s="13"/>
      <c r="R707" s="13"/>
      <c r="S707" s="13"/>
      <c r="T707" s="13"/>
      <c r="U707" s="13"/>
      <c r="V707" s="13"/>
      <c r="W707" s="13"/>
      <c r="X707" s="13"/>
      <c r="Y707" s="13"/>
      <c r="Z707" s="13"/>
      <c r="AA707" s="13"/>
      <c r="AB707" s="13"/>
    </row>
    <row r="708" spans="1:28" ht="17.399999999999999" x14ac:dyDescent="0.35">
      <c r="A708" s="16"/>
      <c r="B708" s="17"/>
      <c r="C708" s="13"/>
      <c r="D708" s="13"/>
      <c r="E708" s="15"/>
      <c r="F708" s="13"/>
      <c r="G708" s="13"/>
      <c r="H708" s="6"/>
      <c r="I708" s="13"/>
      <c r="J708" s="13"/>
      <c r="K708" s="13"/>
      <c r="L708" s="13"/>
      <c r="M708" s="13"/>
      <c r="N708" s="13"/>
      <c r="O708" s="13"/>
      <c r="P708" s="13"/>
      <c r="Q708" s="13"/>
      <c r="R708" s="13"/>
      <c r="S708" s="13"/>
      <c r="T708" s="13"/>
      <c r="U708" s="13"/>
      <c r="V708" s="13"/>
      <c r="W708" s="13"/>
      <c r="X708" s="13"/>
      <c r="Y708" s="13"/>
      <c r="Z708" s="13"/>
      <c r="AA708" s="13"/>
      <c r="AB708" s="13"/>
    </row>
    <row r="709" spans="1:28" ht="17.399999999999999" x14ac:dyDescent="0.35">
      <c r="A709" s="16"/>
      <c r="B709" s="17"/>
      <c r="C709" s="13"/>
      <c r="D709" s="13"/>
      <c r="E709" s="15"/>
      <c r="F709" s="13"/>
      <c r="G709" s="13"/>
      <c r="H709" s="6"/>
      <c r="I709" s="13"/>
      <c r="J709" s="13"/>
      <c r="K709" s="13"/>
      <c r="L709" s="13"/>
      <c r="M709" s="13"/>
      <c r="N709" s="13"/>
      <c r="O709" s="13"/>
      <c r="P709" s="13"/>
      <c r="Q709" s="13"/>
      <c r="R709" s="13"/>
      <c r="S709" s="13"/>
      <c r="T709" s="13"/>
      <c r="U709" s="13"/>
      <c r="V709" s="13"/>
      <c r="W709" s="13"/>
      <c r="X709" s="13"/>
      <c r="Y709" s="13"/>
      <c r="Z709" s="13"/>
      <c r="AA709" s="13"/>
      <c r="AB709" s="13"/>
    </row>
    <row r="710" spans="1:28" ht="17.399999999999999" x14ac:dyDescent="0.35">
      <c r="A710" s="16"/>
      <c r="B710" s="17"/>
      <c r="C710" s="13"/>
      <c r="D710" s="13"/>
      <c r="E710" s="15"/>
      <c r="F710" s="13"/>
      <c r="G710" s="13"/>
      <c r="H710" s="6"/>
      <c r="I710" s="13"/>
      <c r="J710" s="13"/>
      <c r="K710" s="13"/>
      <c r="L710" s="13"/>
      <c r="M710" s="13"/>
      <c r="N710" s="13"/>
      <c r="O710" s="13"/>
      <c r="P710" s="13"/>
      <c r="Q710" s="13"/>
      <c r="R710" s="13"/>
      <c r="S710" s="13"/>
      <c r="T710" s="13"/>
      <c r="U710" s="13"/>
      <c r="V710" s="13"/>
      <c r="W710" s="13"/>
      <c r="X710" s="13"/>
      <c r="Y710" s="13"/>
      <c r="Z710" s="13"/>
      <c r="AA710" s="13"/>
      <c r="AB710" s="13"/>
    </row>
    <row r="711" spans="1:28" ht="17.399999999999999" x14ac:dyDescent="0.35">
      <c r="A711" s="16"/>
      <c r="B711" s="17"/>
      <c r="C711" s="13"/>
      <c r="D711" s="13"/>
      <c r="E711" s="15"/>
      <c r="F711" s="13"/>
      <c r="G711" s="13"/>
      <c r="H711" s="6"/>
      <c r="I711" s="13"/>
      <c r="J711" s="13"/>
      <c r="K711" s="13"/>
      <c r="L711" s="13"/>
      <c r="M711" s="13"/>
      <c r="N711" s="13"/>
      <c r="O711" s="13"/>
      <c r="P711" s="13"/>
      <c r="Q711" s="13"/>
      <c r="R711" s="13"/>
      <c r="S711" s="13"/>
      <c r="T711" s="13"/>
      <c r="U711" s="13"/>
      <c r="V711" s="13"/>
      <c r="W711" s="13"/>
      <c r="X711" s="13"/>
      <c r="Y711" s="13"/>
      <c r="Z711" s="13"/>
      <c r="AA711" s="13"/>
      <c r="AB711" s="13"/>
    </row>
    <row r="712" spans="1:28" ht="17.399999999999999" x14ac:dyDescent="0.35">
      <c r="A712" s="16"/>
      <c r="B712" s="17"/>
      <c r="C712" s="13"/>
      <c r="D712" s="13"/>
      <c r="E712" s="15"/>
      <c r="F712" s="13"/>
      <c r="G712" s="13"/>
      <c r="H712" s="6"/>
      <c r="I712" s="13"/>
      <c r="J712" s="13"/>
      <c r="K712" s="13"/>
      <c r="L712" s="13"/>
      <c r="M712" s="13"/>
      <c r="N712" s="13"/>
      <c r="O712" s="13"/>
      <c r="P712" s="13"/>
      <c r="Q712" s="13"/>
      <c r="R712" s="13"/>
      <c r="S712" s="13"/>
      <c r="T712" s="13"/>
      <c r="U712" s="13"/>
      <c r="V712" s="13"/>
      <c r="W712" s="13"/>
      <c r="X712" s="13"/>
      <c r="Y712" s="13"/>
      <c r="Z712" s="13"/>
      <c r="AA712" s="13"/>
      <c r="AB712" s="13"/>
    </row>
    <row r="713" spans="1:28" ht="17.399999999999999" x14ac:dyDescent="0.35">
      <c r="A713" s="16"/>
      <c r="B713" s="17"/>
      <c r="C713" s="13"/>
      <c r="D713" s="13"/>
      <c r="E713" s="15"/>
      <c r="F713" s="13"/>
      <c r="G713" s="13"/>
      <c r="H713" s="6"/>
      <c r="I713" s="13"/>
      <c r="J713" s="13"/>
      <c r="K713" s="13"/>
      <c r="L713" s="13"/>
      <c r="M713" s="13"/>
      <c r="N713" s="13"/>
      <c r="O713" s="13"/>
      <c r="P713" s="13"/>
      <c r="Q713" s="13"/>
      <c r="R713" s="13"/>
      <c r="S713" s="13"/>
      <c r="T713" s="13"/>
      <c r="U713" s="13"/>
      <c r="V713" s="13"/>
      <c r="W713" s="13"/>
      <c r="X713" s="13"/>
      <c r="Y713" s="13"/>
      <c r="Z713" s="13"/>
      <c r="AA713" s="13"/>
      <c r="AB713" s="13"/>
    </row>
    <row r="714" spans="1:28" ht="17.399999999999999" x14ac:dyDescent="0.35">
      <c r="A714" s="16"/>
      <c r="B714" s="17"/>
      <c r="C714" s="13"/>
      <c r="D714" s="13"/>
      <c r="E714" s="15"/>
      <c r="F714" s="13"/>
      <c r="G714" s="13"/>
      <c r="H714" s="6"/>
      <c r="I714" s="13"/>
      <c r="J714" s="13"/>
      <c r="K714" s="13"/>
      <c r="L714" s="13"/>
      <c r="M714" s="13"/>
      <c r="N714" s="13"/>
      <c r="O714" s="13"/>
      <c r="P714" s="13"/>
      <c r="Q714" s="13"/>
      <c r="R714" s="13"/>
      <c r="S714" s="13"/>
      <c r="T714" s="13"/>
      <c r="U714" s="13"/>
      <c r="V714" s="13"/>
      <c r="W714" s="13"/>
      <c r="X714" s="13"/>
      <c r="Y714" s="13"/>
      <c r="Z714" s="13"/>
      <c r="AA714" s="13"/>
      <c r="AB714" s="13"/>
    </row>
    <row r="715" spans="1:28" ht="17.399999999999999" x14ac:dyDescent="0.35">
      <c r="A715" s="16"/>
      <c r="B715" s="17"/>
      <c r="C715" s="13"/>
      <c r="D715" s="13"/>
      <c r="E715" s="15"/>
      <c r="F715" s="13"/>
      <c r="G715" s="13"/>
      <c r="H715" s="6"/>
      <c r="I715" s="13"/>
      <c r="J715" s="13"/>
      <c r="K715" s="13"/>
      <c r="L715" s="13"/>
      <c r="M715" s="13"/>
      <c r="N715" s="13"/>
      <c r="O715" s="13"/>
      <c r="P715" s="13"/>
      <c r="Q715" s="13"/>
      <c r="R715" s="13"/>
      <c r="S715" s="13"/>
      <c r="T715" s="13"/>
      <c r="U715" s="13"/>
      <c r="V715" s="13"/>
      <c r="W715" s="13"/>
      <c r="X715" s="13"/>
      <c r="Y715" s="13"/>
      <c r="Z715" s="13"/>
      <c r="AA715" s="13"/>
      <c r="AB715" s="13"/>
    </row>
    <row r="716" spans="1:28" ht="17.399999999999999" x14ac:dyDescent="0.35">
      <c r="A716" s="16"/>
      <c r="B716" s="17"/>
      <c r="C716" s="13"/>
      <c r="D716" s="13"/>
      <c r="E716" s="15"/>
      <c r="F716" s="13"/>
      <c r="G716" s="13"/>
      <c r="H716" s="6"/>
      <c r="I716" s="13"/>
      <c r="J716" s="13"/>
      <c r="K716" s="13"/>
      <c r="L716" s="13"/>
      <c r="M716" s="13"/>
      <c r="N716" s="13"/>
      <c r="O716" s="13"/>
      <c r="P716" s="13"/>
      <c r="Q716" s="13"/>
      <c r="R716" s="13"/>
      <c r="S716" s="13"/>
      <c r="T716" s="13"/>
      <c r="U716" s="13"/>
      <c r="V716" s="13"/>
      <c r="W716" s="13"/>
      <c r="X716" s="13"/>
      <c r="Y716" s="13"/>
      <c r="Z716" s="13"/>
      <c r="AA716" s="13"/>
      <c r="AB716" s="13"/>
    </row>
    <row r="717" spans="1:28" ht="17.399999999999999" x14ac:dyDescent="0.35">
      <c r="A717" s="16"/>
      <c r="B717" s="17"/>
      <c r="C717" s="13"/>
      <c r="D717" s="13"/>
      <c r="E717" s="15"/>
      <c r="F717" s="13"/>
      <c r="G717" s="13"/>
      <c r="H717" s="6"/>
      <c r="I717" s="13"/>
      <c r="J717" s="13"/>
      <c r="K717" s="13"/>
      <c r="L717" s="13"/>
      <c r="M717" s="13"/>
      <c r="N717" s="13"/>
      <c r="O717" s="13"/>
      <c r="P717" s="13"/>
      <c r="Q717" s="13"/>
      <c r="R717" s="13"/>
      <c r="S717" s="13"/>
      <c r="T717" s="13"/>
      <c r="U717" s="13"/>
      <c r="V717" s="13"/>
      <c r="W717" s="13"/>
      <c r="X717" s="13"/>
      <c r="Y717" s="13"/>
      <c r="Z717" s="13"/>
      <c r="AA717" s="13"/>
      <c r="AB717" s="13"/>
    </row>
    <row r="718" spans="1:28" ht="17.399999999999999" x14ac:dyDescent="0.35">
      <c r="A718" s="16"/>
      <c r="B718" s="17"/>
      <c r="C718" s="13"/>
      <c r="D718" s="13"/>
      <c r="E718" s="15"/>
      <c r="F718" s="13"/>
      <c r="G718" s="13"/>
      <c r="H718" s="6"/>
      <c r="I718" s="13"/>
      <c r="J718" s="13"/>
      <c r="K718" s="13"/>
      <c r="L718" s="13"/>
      <c r="M718" s="13"/>
      <c r="N718" s="13"/>
      <c r="O718" s="13"/>
      <c r="P718" s="13"/>
      <c r="Q718" s="13"/>
      <c r="R718" s="13"/>
      <c r="S718" s="13"/>
      <c r="T718" s="13"/>
      <c r="U718" s="13"/>
      <c r="V718" s="13"/>
      <c r="W718" s="13"/>
      <c r="X718" s="13"/>
      <c r="Y718" s="13"/>
      <c r="Z718" s="13"/>
      <c r="AA718" s="13"/>
      <c r="AB718" s="13"/>
    </row>
    <row r="719" spans="1:28" ht="17.399999999999999" x14ac:dyDescent="0.35">
      <c r="A719" s="16"/>
      <c r="B719" s="17"/>
      <c r="C719" s="13"/>
      <c r="D719" s="13"/>
      <c r="E719" s="15"/>
      <c r="F719" s="13"/>
      <c r="G719" s="13"/>
      <c r="H719" s="6"/>
      <c r="I719" s="13"/>
      <c r="J719" s="13"/>
      <c r="K719" s="13"/>
      <c r="L719" s="13"/>
      <c r="M719" s="13"/>
      <c r="N719" s="13"/>
      <c r="O719" s="13"/>
      <c r="P719" s="13"/>
      <c r="Q719" s="13"/>
      <c r="R719" s="13"/>
      <c r="S719" s="13"/>
      <c r="T719" s="13"/>
      <c r="U719" s="13"/>
      <c r="V719" s="13"/>
      <c r="W719" s="13"/>
      <c r="X719" s="13"/>
      <c r="Y719" s="13"/>
      <c r="Z719" s="13"/>
      <c r="AA719" s="13"/>
      <c r="AB719" s="13"/>
    </row>
    <row r="720" spans="1:28" ht="17.399999999999999" x14ac:dyDescent="0.35">
      <c r="A720" s="16"/>
      <c r="B720" s="17"/>
      <c r="C720" s="13"/>
      <c r="D720" s="13"/>
      <c r="E720" s="15"/>
      <c r="F720" s="13"/>
      <c r="G720" s="13"/>
      <c r="H720" s="6"/>
      <c r="I720" s="13"/>
      <c r="J720" s="13"/>
      <c r="K720" s="13"/>
      <c r="L720" s="13"/>
      <c r="M720" s="13"/>
      <c r="N720" s="13"/>
      <c r="O720" s="13"/>
      <c r="P720" s="13"/>
      <c r="Q720" s="13"/>
      <c r="R720" s="13"/>
      <c r="S720" s="13"/>
      <c r="T720" s="13"/>
      <c r="U720" s="13"/>
      <c r="V720" s="13"/>
      <c r="W720" s="13"/>
      <c r="X720" s="13"/>
      <c r="Y720" s="13"/>
      <c r="Z720" s="13"/>
      <c r="AA720" s="13"/>
      <c r="AB720" s="13"/>
    </row>
    <row r="721" spans="1:28" ht="17.399999999999999" x14ac:dyDescent="0.35">
      <c r="A721" s="16"/>
      <c r="B721" s="17"/>
      <c r="C721" s="13"/>
      <c r="D721" s="13"/>
      <c r="E721" s="15"/>
      <c r="F721" s="13"/>
      <c r="G721" s="13"/>
      <c r="H721" s="6"/>
      <c r="I721" s="13"/>
      <c r="J721" s="13"/>
      <c r="K721" s="13"/>
      <c r="L721" s="13"/>
      <c r="M721" s="13"/>
      <c r="N721" s="13"/>
      <c r="O721" s="13"/>
      <c r="P721" s="13"/>
      <c r="Q721" s="13"/>
      <c r="R721" s="13"/>
      <c r="S721" s="13"/>
      <c r="T721" s="13"/>
      <c r="U721" s="13"/>
      <c r="V721" s="13"/>
      <c r="W721" s="13"/>
      <c r="X721" s="13"/>
      <c r="Y721" s="13"/>
      <c r="Z721" s="13"/>
      <c r="AA721" s="13"/>
      <c r="AB721" s="13"/>
    </row>
    <row r="722" spans="1:28" ht="17.399999999999999" x14ac:dyDescent="0.35">
      <c r="A722" s="16"/>
      <c r="B722" s="17"/>
      <c r="C722" s="13"/>
      <c r="D722" s="13"/>
      <c r="E722" s="15"/>
      <c r="F722" s="13"/>
      <c r="G722" s="13"/>
      <c r="H722" s="6"/>
      <c r="I722" s="13"/>
      <c r="J722" s="13"/>
      <c r="K722" s="13"/>
      <c r="L722" s="13"/>
      <c r="M722" s="13"/>
      <c r="N722" s="13"/>
      <c r="O722" s="13"/>
      <c r="P722" s="13"/>
      <c r="Q722" s="13"/>
      <c r="R722" s="13"/>
      <c r="S722" s="13"/>
      <c r="T722" s="13"/>
      <c r="U722" s="13"/>
      <c r="V722" s="13"/>
      <c r="W722" s="13"/>
      <c r="X722" s="13"/>
      <c r="Y722" s="13"/>
      <c r="Z722" s="13"/>
      <c r="AA722" s="13"/>
      <c r="AB722" s="13"/>
    </row>
    <row r="723" spans="1:28" ht="17.399999999999999" x14ac:dyDescent="0.35">
      <c r="A723" s="16"/>
      <c r="B723" s="17"/>
      <c r="C723" s="13"/>
      <c r="D723" s="13"/>
      <c r="E723" s="15"/>
      <c r="F723" s="13"/>
      <c r="G723" s="13"/>
      <c r="H723" s="6"/>
      <c r="I723" s="13"/>
      <c r="J723" s="13"/>
      <c r="K723" s="13"/>
      <c r="L723" s="13"/>
      <c r="M723" s="13"/>
      <c r="N723" s="13"/>
      <c r="O723" s="13"/>
      <c r="P723" s="13"/>
      <c r="Q723" s="13"/>
      <c r="R723" s="13"/>
      <c r="S723" s="13"/>
      <c r="T723" s="13"/>
      <c r="U723" s="13"/>
      <c r="V723" s="13"/>
      <c r="W723" s="13"/>
      <c r="X723" s="13"/>
      <c r="Y723" s="13"/>
      <c r="Z723" s="13"/>
      <c r="AA723" s="13"/>
      <c r="AB723" s="13"/>
    </row>
    <row r="724" spans="1:28" ht="17.399999999999999" x14ac:dyDescent="0.35">
      <c r="A724" s="16"/>
      <c r="B724" s="17"/>
      <c r="C724" s="13"/>
      <c r="D724" s="13"/>
      <c r="E724" s="15"/>
      <c r="F724" s="13"/>
      <c r="G724" s="13"/>
      <c r="H724" s="6"/>
      <c r="I724" s="13"/>
      <c r="J724" s="13"/>
      <c r="K724" s="13"/>
      <c r="L724" s="13"/>
      <c r="M724" s="13"/>
      <c r="N724" s="13"/>
      <c r="O724" s="13"/>
      <c r="P724" s="13"/>
      <c r="Q724" s="13"/>
      <c r="R724" s="13"/>
      <c r="S724" s="13"/>
      <c r="T724" s="13"/>
      <c r="U724" s="13"/>
      <c r="V724" s="13"/>
      <c r="W724" s="13"/>
      <c r="X724" s="13"/>
      <c r="Y724" s="13"/>
      <c r="Z724" s="13"/>
      <c r="AA724" s="13"/>
      <c r="AB724" s="13"/>
    </row>
    <row r="725" spans="1:28" ht="17.399999999999999" x14ac:dyDescent="0.35">
      <c r="A725" s="16"/>
      <c r="B725" s="17"/>
      <c r="C725" s="13"/>
      <c r="D725" s="13"/>
      <c r="E725" s="15"/>
      <c r="F725" s="13"/>
      <c r="G725" s="13"/>
      <c r="H725" s="6"/>
      <c r="I725" s="13"/>
      <c r="J725" s="13"/>
      <c r="K725" s="13"/>
      <c r="L725" s="13"/>
      <c r="M725" s="13"/>
      <c r="N725" s="13"/>
      <c r="O725" s="13"/>
      <c r="P725" s="13"/>
      <c r="Q725" s="13"/>
      <c r="R725" s="13"/>
      <c r="S725" s="13"/>
      <c r="T725" s="13"/>
      <c r="U725" s="13"/>
      <c r="V725" s="13"/>
      <c r="W725" s="13"/>
      <c r="X725" s="13"/>
      <c r="Y725" s="13"/>
      <c r="Z725" s="13"/>
      <c r="AA725" s="13"/>
      <c r="AB725" s="13"/>
    </row>
    <row r="726" spans="1:28" ht="17.399999999999999" x14ac:dyDescent="0.35">
      <c r="A726" s="16"/>
      <c r="B726" s="17"/>
      <c r="C726" s="13"/>
      <c r="D726" s="13"/>
      <c r="E726" s="15"/>
      <c r="F726" s="13"/>
      <c r="G726" s="13"/>
      <c r="H726" s="6"/>
      <c r="I726" s="13"/>
      <c r="J726" s="13"/>
      <c r="K726" s="13"/>
      <c r="L726" s="13"/>
      <c r="M726" s="13"/>
      <c r="N726" s="13"/>
      <c r="O726" s="13"/>
      <c r="P726" s="13"/>
      <c r="Q726" s="13"/>
      <c r="R726" s="13"/>
      <c r="S726" s="13"/>
      <c r="T726" s="13"/>
      <c r="U726" s="13"/>
      <c r="V726" s="13"/>
      <c r="W726" s="13"/>
      <c r="X726" s="13"/>
      <c r="Y726" s="13"/>
      <c r="Z726" s="13"/>
      <c r="AA726" s="13"/>
      <c r="AB726" s="13"/>
    </row>
    <row r="727" spans="1:28" ht="17.399999999999999" x14ac:dyDescent="0.35">
      <c r="A727" s="16"/>
      <c r="B727" s="17"/>
      <c r="C727" s="13"/>
      <c r="D727" s="13"/>
      <c r="E727" s="15"/>
      <c r="F727" s="13"/>
      <c r="G727" s="13"/>
      <c r="H727" s="6"/>
      <c r="I727" s="13"/>
      <c r="J727" s="13"/>
      <c r="K727" s="13"/>
      <c r="L727" s="13"/>
      <c r="M727" s="13"/>
      <c r="N727" s="13"/>
      <c r="O727" s="13"/>
      <c r="P727" s="13"/>
      <c r="Q727" s="13"/>
      <c r="R727" s="13"/>
      <c r="S727" s="13"/>
      <c r="T727" s="13"/>
      <c r="U727" s="13"/>
      <c r="V727" s="13"/>
      <c r="W727" s="13"/>
      <c r="X727" s="13"/>
      <c r="Y727" s="13"/>
      <c r="Z727" s="13"/>
      <c r="AA727" s="13"/>
      <c r="AB727" s="13"/>
    </row>
    <row r="728" spans="1:28" ht="17.399999999999999" x14ac:dyDescent="0.35">
      <c r="A728" s="16"/>
      <c r="B728" s="17"/>
      <c r="C728" s="13"/>
      <c r="D728" s="13"/>
      <c r="E728" s="15"/>
      <c r="F728" s="13"/>
      <c r="G728" s="13"/>
      <c r="H728" s="6"/>
      <c r="I728" s="13"/>
      <c r="J728" s="13"/>
      <c r="K728" s="13"/>
      <c r="L728" s="13"/>
      <c r="M728" s="13"/>
      <c r="N728" s="13"/>
      <c r="O728" s="13"/>
      <c r="P728" s="13"/>
      <c r="Q728" s="13"/>
      <c r="R728" s="13"/>
      <c r="S728" s="13"/>
      <c r="T728" s="13"/>
      <c r="U728" s="13"/>
      <c r="V728" s="13"/>
      <c r="W728" s="13"/>
      <c r="X728" s="13"/>
      <c r="Y728" s="13"/>
      <c r="Z728" s="13"/>
      <c r="AA728" s="13"/>
      <c r="AB728" s="13"/>
    </row>
    <row r="729" spans="1:28" ht="17.399999999999999" x14ac:dyDescent="0.35">
      <c r="A729" s="16"/>
      <c r="B729" s="17"/>
      <c r="C729" s="13"/>
      <c r="D729" s="13"/>
      <c r="E729" s="15"/>
      <c r="F729" s="13"/>
      <c r="G729" s="13"/>
      <c r="H729" s="6"/>
      <c r="I729" s="13"/>
      <c r="J729" s="13"/>
      <c r="K729" s="13"/>
      <c r="L729" s="13"/>
      <c r="M729" s="13"/>
      <c r="N729" s="13"/>
      <c r="O729" s="13"/>
      <c r="P729" s="13"/>
      <c r="Q729" s="13"/>
      <c r="R729" s="13"/>
      <c r="S729" s="13"/>
      <c r="T729" s="13"/>
      <c r="U729" s="13"/>
      <c r="V729" s="13"/>
      <c r="W729" s="13"/>
      <c r="X729" s="13"/>
      <c r="Y729" s="13"/>
      <c r="Z729" s="13"/>
      <c r="AA729" s="13"/>
      <c r="AB729" s="13"/>
    </row>
    <row r="730" spans="1:28" ht="17.399999999999999" x14ac:dyDescent="0.35">
      <c r="A730" s="16"/>
      <c r="B730" s="17"/>
      <c r="C730" s="13"/>
      <c r="D730" s="13"/>
      <c r="E730" s="15"/>
      <c r="F730" s="13"/>
      <c r="G730" s="13"/>
      <c r="H730" s="6"/>
      <c r="I730" s="13"/>
      <c r="J730" s="13"/>
      <c r="K730" s="13"/>
      <c r="L730" s="13"/>
      <c r="M730" s="13"/>
      <c r="N730" s="13"/>
      <c r="O730" s="13"/>
      <c r="P730" s="13"/>
      <c r="Q730" s="13"/>
      <c r="R730" s="13"/>
      <c r="S730" s="13"/>
      <c r="T730" s="13"/>
      <c r="U730" s="13"/>
      <c r="V730" s="13"/>
      <c r="W730" s="13"/>
      <c r="X730" s="13"/>
      <c r="Y730" s="13"/>
      <c r="Z730" s="13"/>
      <c r="AA730" s="13"/>
      <c r="AB730" s="13"/>
    </row>
    <row r="731" spans="1:28" ht="17.399999999999999" x14ac:dyDescent="0.35">
      <c r="A731" s="16"/>
      <c r="B731" s="17"/>
      <c r="C731" s="13"/>
      <c r="D731" s="13"/>
      <c r="E731" s="15"/>
      <c r="F731" s="13"/>
      <c r="G731" s="13"/>
      <c r="H731" s="6"/>
      <c r="I731" s="13"/>
      <c r="J731" s="13"/>
      <c r="K731" s="13"/>
      <c r="L731" s="13"/>
      <c r="M731" s="13"/>
      <c r="N731" s="13"/>
      <c r="O731" s="13"/>
      <c r="P731" s="13"/>
      <c r="Q731" s="13"/>
      <c r="R731" s="13"/>
      <c r="S731" s="13"/>
      <c r="T731" s="13"/>
      <c r="U731" s="13"/>
      <c r="V731" s="13"/>
      <c r="W731" s="13"/>
      <c r="X731" s="13"/>
      <c r="Y731" s="13"/>
      <c r="Z731" s="13"/>
      <c r="AA731" s="13"/>
      <c r="AB731" s="13"/>
    </row>
    <row r="732" spans="1:28" ht="17.399999999999999" x14ac:dyDescent="0.35">
      <c r="A732" s="16"/>
      <c r="B732" s="17"/>
      <c r="C732" s="13"/>
      <c r="D732" s="13"/>
      <c r="E732" s="15"/>
      <c r="F732" s="13"/>
      <c r="G732" s="13"/>
      <c r="H732" s="6"/>
      <c r="I732" s="13"/>
      <c r="J732" s="13"/>
      <c r="K732" s="13"/>
      <c r="L732" s="13"/>
      <c r="M732" s="13"/>
      <c r="N732" s="13"/>
      <c r="O732" s="13"/>
      <c r="P732" s="13"/>
      <c r="Q732" s="13"/>
      <c r="R732" s="13"/>
      <c r="S732" s="13"/>
      <c r="T732" s="13"/>
      <c r="U732" s="13"/>
      <c r="V732" s="13"/>
      <c r="W732" s="13"/>
      <c r="X732" s="13"/>
      <c r="Y732" s="13"/>
      <c r="Z732" s="13"/>
      <c r="AA732" s="13"/>
      <c r="AB732" s="13"/>
    </row>
    <row r="733" spans="1:28" ht="17.399999999999999" x14ac:dyDescent="0.35">
      <c r="A733" s="16"/>
      <c r="B733" s="17"/>
      <c r="C733" s="13"/>
      <c r="D733" s="13"/>
      <c r="E733" s="15"/>
      <c r="F733" s="13"/>
      <c r="G733" s="13"/>
      <c r="H733" s="6"/>
      <c r="I733" s="13"/>
      <c r="J733" s="13"/>
      <c r="K733" s="13"/>
      <c r="L733" s="13"/>
      <c r="M733" s="13"/>
      <c r="N733" s="13"/>
      <c r="O733" s="13"/>
      <c r="P733" s="13"/>
      <c r="Q733" s="13"/>
      <c r="R733" s="13"/>
      <c r="S733" s="13"/>
      <c r="T733" s="13"/>
      <c r="U733" s="13"/>
      <c r="V733" s="13"/>
      <c r="W733" s="13"/>
      <c r="X733" s="13"/>
      <c r="Y733" s="13"/>
      <c r="Z733" s="13"/>
      <c r="AA733" s="13"/>
      <c r="AB733" s="13"/>
    </row>
    <row r="734" spans="1:28" ht="17.399999999999999" x14ac:dyDescent="0.35">
      <c r="A734" s="16"/>
      <c r="B734" s="17"/>
      <c r="C734" s="13"/>
      <c r="D734" s="13"/>
      <c r="E734" s="15"/>
      <c r="F734" s="13"/>
      <c r="G734" s="13"/>
      <c r="H734" s="6"/>
      <c r="I734" s="13"/>
      <c r="J734" s="13"/>
      <c r="K734" s="13"/>
      <c r="L734" s="13"/>
      <c r="M734" s="13"/>
      <c r="N734" s="13"/>
      <c r="O734" s="13"/>
      <c r="P734" s="13"/>
      <c r="Q734" s="13"/>
      <c r="R734" s="13"/>
      <c r="S734" s="13"/>
      <c r="T734" s="13"/>
      <c r="U734" s="13"/>
      <c r="V734" s="13"/>
      <c r="W734" s="13"/>
      <c r="X734" s="13"/>
      <c r="Y734" s="13"/>
      <c r="Z734" s="13"/>
      <c r="AA734" s="13"/>
      <c r="AB734" s="13"/>
    </row>
    <row r="735" spans="1:28" ht="17.399999999999999" x14ac:dyDescent="0.35">
      <c r="A735" s="16"/>
      <c r="B735" s="17"/>
      <c r="C735" s="13"/>
      <c r="D735" s="13"/>
      <c r="E735" s="15"/>
      <c r="F735" s="13"/>
      <c r="G735" s="13"/>
      <c r="H735" s="6"/>
      <c r="I735" s="13"/>
      <c r="J735" s="13"/>
      <c r="K735" s="13"/>
      <c r="L735" s="13"/>
      <c r="M735" s="13"/>
      <c r="N735" s="13"/>
      <c r="O735" s="13"/>
      <c r="P735" s="13"/>
      <c r="Q735" s="13"/>
      <c r="R735" s="13"/>
      <c r="S735" s="13"/>
      <c r="T735" s="13"/>
      <c r="U735" s="13"/>
      <c r="V735" s="13"/>
      <c r="W735" s="13"/>
      <c r="X735" s="13"/>
      <c r="Y735" s="13"/>
      <c r="Z735" s="13"/>
      <c r="AA735" s="13"/>
      <c r="AB735" s="13"/>
    </row>
    <row r="736" spans="1:28" ht="17.399999999999999" x14ac:dyDescent="0.35">
      <c r="A736" s="16"/>
      <c r="B736" s="17"/>
      <c r="C736" s="13"/>
      <c r="D736" s="13"/>
      <c r="E736" s="15"/>
      <c r="F736" s="13"/>
      <c r="G736" s="13"/>
      <c r="H736" s="6"/>
      <c r="I736" s="13"/>
      <c r="J736" s="13"/>
      <c r="K736" s="13"/>
      <c r="L736" s="13"/>
      <c r="M736" s="13"/>
      <c r="N736" s="13"/>
      <c r="O736" s="13"/>
      <c r="P736" s="13"/>
      <c r="Q736" s="13"/>
      <c r="R736" s="13"/>
      <c r="S736" s="13"/>
      <c r="T736" s="13"/>
      <c r="U736" s="13"/>
      <c r="V736" s="13"/>
      <c r="W736" s="13"/>
      <c r="X736" s="13"/>
      <c r="Y736" s="13"/>
      <c r="Z736" s="13"/>
      <c r="AA736" s="13"/>
      <c r="AB736" s="13"/>
    </row>
    <row r="737" spans="1:28" ht="17.399999999999999" x14ac:dyDescent="0.35">
      <c r="A737" s="16"/>
      <c r="B737" s="17"/>
      <c r="C737" s="13"/>
      <c r="D737" s="13"/>
      <c r="E737" s="15"/>
      <c r="F737" s="13"/>
      <c r="G737" s="13"/>
      <c r="H737" s="6"/>
      <c r="I737" s="13"/>
      <c r="J737" s="13"/>
      <c r="K737" s="13"/>
      <c r="L737" s="13"/>
      <c r="M737" s="13"/>
      <c r="N737" s="13"/>
      <c r="O737" s="13"/>
      <c r="P737" s="13"/>
      <c r="Q737" s="13"/>
      <c r="R737" s="13"/>
      <c r="S737" s="13"/>
      <c r="T737" s="13"/>
      <c r="U737" s="13"/>
      <c r="V737" s="13"/>
      <c r="W737" s="13"/>
      <c r="X737" s="13"/>
      <c r="Y737" s="13"/>
      <c r="Z737" s="13"/>
      <c r="AA737" s="13"/>
      <c r="AB737" s="13"/>
    </row>
    <row r="738" spans="1:28" ht="17.399999999999999" x14ac:dyDescent="0.35">
      <c r="A738" s="16"/>
      <c r="B738" s="17"/>
      <c r="C738" s="13"/>
      <c r="D738" s="13"/>
      <c r="E738" s="15"/>
      <c r="F738" s="13"/>
      <c r="G738" s="13"/>
      <c r="H738" s="6"/>
      <c r="I738" s="13"/>
      <c r="J738" s="13"/>
      <c r="K738" s="13"/>
      <c r="L738" s="13"/>
      <c r="M738" s="13"/>
      <c r="N738" s="13"/>
      <c r="O738" s="13"/>
      <c r="P738" s="13"/>
      <c r="Q738" s="13"/>
      <c r="R738" s="13"/>
      <c r="S738" s="13"/>
      <c r="T738" s="13"/>
      <c r="U738" s="13"/>
      <c r="V738" s="13"/>
      <c r="W738" s="13"/>
      <c r="X738" s="13"/>
      <c r="Y738" s="13"/>
      <c r="Z738" s="13"/>
      <c r="AA738" s="13"/>
      <c r="AB738" s="13"/>
    </row>
    <row r="739" spans="1:28" ht="17.399999999999999" x14ac:dyDescent="0.35">
      <c r="A739" s="16"/>
      <c r="B739" s="17"/>
      <c r="C739" s="13"/>
      <c r="D739" s="13"/>
      <c r="E739" s="15"/>
      <c r="F739" s="13"/>
      <c r="G739" s="13"/>
      <c r="H739" s="6"/>
      <c r="I739" s="13"/>
      <c r="J739" s="13"/>
      <c r="K739" s="13"/>
      <c r="L739" s="13"/>
      <c r="M739" s="13"/>
      <c r="N739" s="13"/>
      <c r="O739" s="13"/>
      <c r="P739" s="13"/>
      <c r="Q739" s="13"/>
      <c r="R739" s="13"/>
      <c r="S739" s="13"/>
      <c r="T739" s="13"/>
      <c r="U739" s="13"/>
      <c r="V739" s="13"/>
      <c r="W739" s="13"/>
      <c r="X739" s="13"/>
      <c r="Y739" s="13"/>
      <c r="Z739" s="13"/>
      <c r="AA739" s="13"/>
      <c r="AB739" s="13"/>
    </row>
    <row r="740" spans="1:28" ht="17.399999999999999" x14ac:dyDescent="0.35">
      <c r="A740" s="16"/>
      <c r="B740" s="17"/>
      <c r="C740" s="13"/>
      <c r="D740" s="13"/>
      <c r="E740" s="15"/>
      <c r="F740" s="13"/>
      <c r="G740" s="13"/>
      <c r="H740" s="6"/>
      <c r="I740" s="13"/>
      <c r="J740" s="13"/>
      <c r="K740" s="13"/>
      <c r="L740" s="13"/>
      <c r="M740" s="13"/>
      <c r="N740" s="13"/>
      <c r="O740" s="13"/>
      <c r="P740" s="13"/>
      <c r="Q740" s="13"/>
      <c r="R740" s="13"/>
      <c r="S740" s="13"/>
      <c r="T740" s="13"/>
      <c r="U740" s="13"/>
      <c r="V740" s="13"/>
      <c r="W740" s="13"/>
      <c r="X740" s="13"/>
      <c r="Y740" s="13"/>
      <c r="Z740" s="13"/>
      <c r="AA740" s="13"/>
      <c r="AB740" s="13"/>
    </row>
    <row r="741" spans="1:28" ht="17.399999999999999" x14ac:dyDescent="0.35">
      <c r="A741" s="16"/>
      <c r="B741" s="17"/>
      <c r="C741" s="13"/>
      <c r="D741" s="13"/>
      <c r="E741" s="15"/>
      <c r="F741" s="13"/>
      <c r="G741" s="13"/>
      <c r="H741" s="6"/>
      <c r="I741" s="13"/>
      <c r="J741" s="13"/>
      <c r="K741" s="13"/>
      <c r="L741" s="13"/>
      <c r="M741" s="13"/>
      <c r="N741" s="13"/>
      <c r="O741" s="13"/>
      <c r="P741" s="13"/>
      <c r="Q741" s="13"/>
      <c r="R741" s="13"/>
      <c r="S741" s="13"/>
      <c r="T741" s="13"/>
      <c r="U741" s="13"/>
      <c r="V741" s="13"/>
      <c r="W741" s="13"/>
      <c r="X741" s="13"/>
      <c r="Y741" s="13"/>
      <c r="Z741" s="13"/>
      <c r="AA741" s="13"/>
      <c r="AB741" s="13"/>
    </row>
    <row r="742" spans="1:28" ht="17.399999999999999" x14ac:dyDescent="0.35">
      <c r="A742" s="16"/>
      <c r="B742" s="17"/>
      <c r="C742" s="13"/>
      <c r="D742" s="13"/>
      <c r="E742" s="15"/>
      <c r="F742" s="13"/>
      <c r="G742" s="13"/>
      <c r="H742" s="6"/>
      <c r="I742" s="13"/>
      <c r="J742" s="13"/>
      <c r="K742" s="13"/>
      <c r="L742" s="13"/>
      <c r="M742" s="13"/>
      <c r="N742" s="13"/>
      <c r="O742" s="13"/>
      <c r="P742" s="13"/>
      <c r="Q742" s="13"/>
      <c r="R742" s="13"/>
      <c r="S742" s="13"/>
      <c r="T742" s="13"/>
      <c r="U742" s="13"/>
      <c r="V742" s="13"/>
      <c r="W742" s="13"/>
      <c r="X742" s="13"/>
      <c r="Y742" s="13"/>
      <c r="Z742" s="13"/>
      <c r="AA742" s="13"/>
      <c r="AB742" s="13"/>
    </row>
    <row r="743" spans="1:28" ht="17.399999999999999" x14ac:dyDescent="0.35">
      <c r="A743" s="16"/>
      <c r="B743" s="17"/>
      <c r="C743" s="13"/>
      <c r="D743" s="13"/>
      <c r="E743" s="15"/>
      <c r="F743" s="13"/>
      <c r="G743" s="13"/>
      <c r="H743" s="6"/>
      <c r="I743" s="13"/>
      <c r="J743" s="13"/>
      <c r="K743" s="13"/>
      <c r="L743" s="13"/>
      <c r="M743" s="13"/>
      <c r="N743" s="13"/>
      <c r="O743" s="13"/>
      <c r="P743" s="13"/>
      <c r="Q743" s="13"/>
      <c r="R743" s="13"/>
      <c r="S743" s="13"/>
      <c r="T743" s="13"/>
      <c r="U743" s="13"/>
      <c r="V743" s="13"/>
      <c r="W743" s="13"/>
      <c r="X743" s="13"/>
      <c r="Y743" s="13"/>
      <c r="Z743" s="13"/>
      <c r="AA743" s="13"/>
      <c r="AB743" s="13"/>
    </row>
    <row r="744" spans="1:28" ht="17.399999999999999" x14ac:dyDescent="0.35">
      <c r="A744" s="16"/>
      <c r="B744" s="17"/>
      <c r="C744" s="13"/>
      <c r="D744" s="13"/>
      <c r="E744" s="15"/>
      <c r="F744" s="13"/>
      <c r="G744" s="13"/>
      <c r="H744" s="6"/>
      <c r="I744" s="13"/>
      <c r="J744" s="13"/>
      <c r="K744" s="13"/>
      <c r="L744" s="13"/>
      <c r="M744" s="13"/>
      <c r="N744" s="13"/>
      <c r="O744" s="13"/>
      <c r="P744" s="13"/>
      <c r="Q744" s="13"/>
      <c r="R744" s="13"/>
      <c r="S744" s="13"/>
      <c r="T744" s="13"/>
      <c r="U744" s="13"/>
      <c r="V744" s="13"/>
      <c r="W744" s="13"/>
      <c r="X744" s="13"/>
      <c r="Y744" s="13"/>
      <c r="Z744" s="13"/>
      <c r="AA744" s="13"/>
      <c r="AB744" s="13"/>
    </row>
    <row r="745" spans="1:28" ht="17.399999999999999" x14ac:dyDescent="0.35">
      <c r="A745" s="16"/>
      <c r="B745" s="17"/>
      <c r="C745" s="13"/>
      <c r="D745" s="13"/>
      <c r="E745" s="15"/>
      <c r="F745" s="13"/>
      <c r="G745" s="13"/>
      <c r="H745" s="6"/>
      <c r="I745" s="13"/>
      <c r="J745" s="13"/>
      <c r="K745" s="13"/>
      <c r="L745" s="13"/>
      <c r="M745" s="13"/>
      <c r="N745" s="13"/>
      <c r="O745" s="13"/>
      <c r="P745" s="13"/>
      <c r="Q745" s="13"/>
      <c r="R745" s="13"/>
      <c r="S745" s="13"/>
      <c r="T745" s="13"/>
      <c r="U745" s="13"/>
      <c r="V745" s="13"/>
      <c r="W745" s="13"/>
      <c r="X745" s="13"/>
      <c r="Y745" s="13"/>
      <c r="Z745" s="13"/>
      <c r="AA745" s="13"/>
      <c r="AB745" s="13"/>
    </row>
    <row r="746" spans="1:28" ht="17.399999999999999" x14ac:dyDescent="0.35">
      <c r="A746" s="16"/>
      <c r="B746" s="17"/>
      <c r="C746" s="13"/>
      <c r="D746" s="13"/>
      <c r="E746" s="15"/>
      <c r="F746" s="13"/>
      <c r="G746" s="13"/>
      <c r="H746" s="6"/>
      <c r="I746" s="13"/>
      <c r="J746" s="13"/>
      <c r="K746" s="13"/>
      <c r="L746" s="13"/>
      <c r="M746" s="13"/>
      <c r="N746" s="13"/>
      <c r="O746" s="13"/>
      <c r="P746" s="13"/>
      <c r="Q746" s="13"/>
      <c r="R746" s="13"/>
      <c r="S746" s="13"/>
      <c r="T746" s="13"/>
      <c r="U746" s="13"/>
      <c r="V746" s="13"/>
      <c r="W746" s="13"/>
      <c r="X746" s="13"/>
      <c r="Y746" s="13"/>
      <c r="Z746" s="13"/>
      <c r="AA746" s="13"/>
      <c r="AB746" s="13"/>
    </row>
    <row r="747" spans="1:28" ht="17.399999999999999" x14ac:dyDescent="0.35">
      <c r="A747" s="16"/>
      <c r="B747" s="17"/>
      <c r="C747" s="13"/>
      <c r="D747" s="13"/>
      <c r="E747" s="15"/>
      <c r="F747" s="13"/>
      <c r="G747" s="13"/>
      <c r="H747" s="6"/>
      <c r="I747" s="13"/>
      <c r="J747" s="13"/>
      <c r="K747" s="13"/>
      <c r="L747" s="13"/>
      <c r="M747" s="13"/>
      <c r="N747" s="13"/>
      <c r="O747" s="13"/>
      <c r="P747" s="13"/>
      <c r="Q747" s="13"/>
      <c r="R747" s="13"/>
      <c r="S747" s="13"/>
      <c r="T747" s="13"/>
      <c r="U747" s="13"/>
      <c r="V747" s="13"/>
      <c r="W747" s="13"/>
      <c r="X747" s="13"/>
      <c r="Y747" s="13"/>
      <c r="Z747" s="13"/>
      <c r="AA747" s="13"/>
      <c r="AB747" s="13"/>
    </row>
    <row r="748" spans="1:28" ht="17.399999999999999" x14ac:dyDescent="0.35">
      <c r="A748" s="16"/>
      <c r="B748" s="17"/>
      <c r="C748" s="13"/>
      <c r="D748" s="13"/>
      <c r="E748" s="15"/>
      <c r="F748" s="13"/>
      <c r="G748" s="13"/>
      <c r="H748" s="6"/>
      <c r="I748" s="13"/>
      <c r="J748" s="13"/>
      <c r="K748" s="13"/>
      <c r="L748" s="13"/>
      <c r="M748" s="13"/>
      <c r="N748" s="13"/>
      <c r="O748" s="13"/>
      <c r="P748" s="13"/>
      <c r="Q748" s="13"/>
      <c r="R748" s="13"/>
      <c r="S748" s="13"/>
      <c r="T748" s="13"/>
      <c r="U748" s="13"/>
      <c r="V748" s="13"/>
      <c r="W748" s="13"/>
      <c r="X748" s="13"/>
      <c r="Y748" s="13"/>
      <c r="Z748" s="13"/>
      <c r="AA748" s="13"/>
      <c r="AB748" s="13"/>
    </row>
    <row r="749" spans="1:28" ht="17.399999999999999" x14ac:dyDescent="0.35">
      <c r="A749" s="16"/>
      <c r="B749" s="17"/>
      <c r="C749" s="13"/>
      <c r="D749" s="13"/>
      <c r="E749" s="15"/>
      <c r="F749" s="13"/>
      <c r="G749" s="13"/>
      <c r="H749" s="6"/>
      <c r="I749" s="13"/>
      <c r="J749" s="13"/>
      <c r="K749" s="13"/>
      <c r="L749" s="13"/>
      <c r="M749" s="13"/>
      <c r="N749" s="13"/>
      <c r="O749" s="13"/>
      <c r="P749" s="13"/>
      <c r="Q749" s="13"/>
      <c r="R749" s="13"/>
      <c r="S749" s="13"/>
      <c r="T749" s="13"/>
      <c r="U749" s="13"/>
      <c r="V749" s="13"/>
      <c r="W749" s="13"/>
      <c r="X749" s="13"/>
      <c r="Y749" s="13"/>
      <c r="Z749" s="13"/>
      <c r="AA749" s="13"/>
      <c r="AB749" s="13"/>
    </row>
    <row r="750" spans="1:28" ht="17.399999999999999" x14ac:dyDescent="0.35">
      <c r="A750" s="16"/>
      <c r="B750" s="17"/>
      <c r="C750" s="13"/>
      <c r="D750" s="13"/>
      <c r="E750" s="15"/>
      <c r="F750" s="13"/>
      <c r="G750" s="13"/>
      <c r="H750" s="6"/>
      <c r="I750" s="13"/>
      <c r="J750" s="13"/>
      <c r="K750" s="13"/>
      <c r="L750" s="13"/>
      <c r="M750" s="13"/>
      <c r="N750" s="13"/>
      <c r="O750" s="13"/>
      <c r="P750" s="13"/>
      <c r="Q750" s="13"/>
      <c r="R750" s="13"/>
      <c r="S750" s="13"/>
      <c r="T750" s="13"/>
      <c r="U750" s="13"/>
      <c r="V750" s="13"/>
      <c r="W750" s="13"/>
      <c r="X750" s="13"/>
      <c r="Y750" s="13"/>
      <c r="Z750" s="13"/>
      <c r="AA750" s="13"/>
      <c r="AB750" s="13"/>
    </row>
    <row r="751" spans="1:28" ht="17.399999999999999" x14ac:dyDescent="0.35">
      <c r="A751" s="16"/>
      <c r="B751" s="17"/>
      <c r="C751" s="13"/>
      <c r="D751" s="13"/>
      <c r="E751" s="15"/>
      <c r="F751" s="13"/>
      <c r="G751" s="13"/>
      <c r="H751" s="6"/>
      <c r="I751" s="13"/>
      <c r="J751" s="13"/>
      <c r="K751" s="13"/>
      <c r="L751" s="13"/>
      <c r="M751" s="13"/>
      <c r="N751" s="13"/>
      <c r="O751" s="13"/>
      <c r="P751" s="13"/>
      <c r="Q751" s="13"/>
      <c r="R751" s="13"/>
      <c r="S751" s="13"/>
      <c r="T751" s="13"/>
      <c r="U751" s="13"/>
      <c r="V751" s="13"/>
      <c r="W751" s="13"/>
      <c r="X751" s="13"/>
      <c r="Y751" s="13"/>
      <c r="Z751" s="13"/>
      <c r="AA751" s="13"/>
      <c r="AB751" s="13"/>
    </row>
    <row r="752" spans="1:28" ht="17.399999999999999" x14ac:dyDescent="0.35">
      <c r="A752" s="16"/>
      <c r="B752" s="17"/>
      <c r="C752" s="13"/>
      <c r="D752" s="13"/>
      <c r="E752" s="15"/>
      <c r="F752" s="13"/>
      <c r="G752" s="13"/>
      <c r="H752" s="6"/>
      <c r="I752" s="13"/>
      <c r="J752" s="13"/>
      <c r="K752" s="13"/>
      <c r="L752" s="13"/>
      <c r="M752" s="13"/>
      <c r="N752" s="13"/>
      <c r="O752" s="13"/>
      <c r="P752" s="13"/>
      <c r="Q752" s="13"/>
      <c r="R752" s="13"/>
      <c r="S752" s="13"/>
      <c r="T752" s="13"/>
      <c r="U752" s="13"/>
      <c r="V752" s="13"/>
      <c r="W752" s="13"/>
      <c r="X752" s="13"/>
      <c r="Y752" s="13"/>
      <c r="Z752" s="13"/>
      <c r="AA752" s="13"/>
      <c r="AB752" s="13"/>
    </row>
    <row r="753" spans="1:28" ht="17.399999999999999" x14ac:dyDescent="0.35">
      <c r="A753" s="16"/>
      <c r="B753" s="17"/>
      <c r="C753" s="13"/>
      <c r="D753" s="13"/>
      <c r="E753" s="15"/>
      <c r="F753" s="13"/>
      <c r="G753" s="13"/>
      <c r="H753" s="6"/>
      <c r="I753" s="13"/>
      <c r="J753" s="13"/>
      <c r="K753" s="13"/>
      <c r="L753" s="13"/>
      <c r="M753" s="13"/>
      <c r="N753" s="13"/>
      <c r="O753" s="13"/>
      <c r="P753" s="13"/>
      <c r="Q753" s="13"/>
      <c r="R753" s="13"/>
      <c r="S753" s="13"/>
      <c r="T753" s="13"/>
      <c r="U753" s="13"/>
      <c r="V753" s="13"/>
      <c r="W753" s="13"/>
      <c r="X753" s="13"/>
      <c r="Y753" s="13"/>
      <c r="Z753" s="13"/>
      <c r="AA753" s="13"/>
      <c r="AB753" s="13"/>
    </row>
    <row r="754" spans="1:28" ht="17.399999999999999" x14ac:dyDescent="0.35">
      <c r="A754" s="16"/>
      <c r="B754" s="17"/>
      <c r="C754" s="13"/>
      <c r="D754" s="13"/>
      <c r="E754" s="15"/>
      <c r="F754" s="13"/>
      <c r="G754" s="13"/>
      <c r="H754" s="6"/>
      <c r="I754" s="13"/>
      <c r="J754" s="13"/>
      <c r="K754" s="13"/>
      <c r="L754" s="13"/>
      <c r="M754" s="13"/>
      <c r="N754" s="13"/>
      <c r="O754" s="13"/>
      <c r="P754" s="13"/>
      <c r="Q754" s="13"/>
      <c r="R754" s="13"/>
      <c r="S754" s="13"/>
      <c r="T754" s="13"/>
      <c r="U754" s="13"/>
      <c r="V754" s="13"/>
      <c r="W754" s="13"/>
      <c r="X754" s="13"/>
      <c r="Y754" s="13"/>
      <c r="Z754" s="13"/>
      <c r="AA754" s="13"/>
      <c r="AB754" s="13"/>
    </row>
    <row r="755" spans="1:28" ht="17.399999999999999" x14ac:dyDescent="0.35">
      <c r="A755" s="16"/>
      <c r="B755" s="17"/>
      <c r="C755" s="13"/>
      <c r="D755" s="13"/>
      <c r="E755" s="15"/>
      <c r="F755" s="13"/>
      <c r="G755" s="13"/>
      <c r="H755" s="6"/>
      <c r="I755" s="13"/>
      <c r="J755" s="13"/>
      <c r="K755" s="13"/>
      <c r="L755" s="13"/>
      <c r="M755" s="13"/>
      <c r="N755" s="13"/>
      <c r="O755" s="13"/>
      <c r="P755" s="13"/>
      <c r="Q755" s="13"/>
      <c r="R755" s="13"/>
      <c r="S755" s="13"/>
      <c r="T755" s="13"/>
      <c r="U755" s="13"/>
      <c r="V755" s="13"/>
      <c r="W755" s="13"/>
      <c r="X755" s="13"/>
      <c r="Y755" s="13"/>
      <c r="Z755" s="13"/>
      <c r="AA755" s="13"/>
      <c r="AB755" s="13"/>
    </row>
    <row r="756" spans="1:28" ht="17.399999999999999" x14ac:dyDescent="0.35">
      <c r="A756" s="16"/>
      <c r="B756" s="17"/>
      <c r="C756" s="13"/>
      <c r="D756" s="13"/>
      <c r="E756" s="15"/>
      <c r="F756" s="13"/>
      <c r="G756" s="13"/>
      <c r="H756" s="6"/>
      <c r="I756" s="13"/>
      <c r="J756" s="13"/>
      <c r="K756" s="13"/>
      <c r="L756" s="13"/>
      <c r="M756" s="13"/>
      <c r="N756" s="13"/>
      <c r="O756" s="13"/>
      <c r="P756" s="13"/>
      <c r="Q756" s="13"/>
      <c r="R756" s="13"/>
      <c r="S756" s="13"/>
      <c r="T756" s="13"/>
      <c r="U756" s="13"/>
      <c r="V756" s="13"/>
      <c r="W756" s="13"/>
      <c r="X756" s="13"/>
      <c r="Y756" s="13"/>
      <c r="Z756" s="13"/>
      <c r="AA756" s="13"/>
      <c r="AB756" s="13"/>
    </row>
    <row r="757" spans="1:28" ht="17.399999999999999" x14ac:dyDescent="0.35">
      <c r="A757" s="16"/>
      <c r="B757" s="17"/>
      <c r="C757" s="13"/>
      <c r="D757" s="13"/>
      <c r="E757" s="15"/>
      <c r="F757" s="13"/>
      <c r="G757" s="13"/>
      <c r="H757" s="6"/>
      <c r="I757" s="13"/>
      <c r="J757" s="13"/>
      <c r="K757" s="13"/>
      <c r="L757" s="13"/>
      <c r="M757" s="13"/>
      <c r="N757" s="13"/>
      <c r="O757" s="13"/>
      <c r="P757" s="13"/>
      <c r="Q757" s="13"/>
      <c r="R757" s="13"/>
      <c r="S757" s="13"/>
      <c r="T757" s="13"/>
      <c r="U757" s="13"/>
      <c r="V757" s="13"/>
      <c r="W757" s="13"/>
      <c r="X757" s="13"/>
      <c r="Y757" s="13"/>
      <c r="Z757" s="13"/>
      <c r="AA757" s="13"/>
      <c r="AB757" s="13"/>
    </row>
    <row r="758" spans="1:28" ht="17.399999999999999" x14ac:dyDescent="0.35">
      <c r="A758" s="16"/>
      <c r="B758" s="17"/>
      <c r="C758" s="13"/>
      <c r="D758" s="13"/>
      <c r="E758" s="15"/>
      <c r="F758" s="13"/>
      <c r="G758" s="13"/>
      <c r="H758" s="6"/>
      <c r="I758" s="13"/>
      <c r="J758" s="13"/>
      <c r="K758" s="13"/>
      <c r="L758" s="13"/>
      <c r="M758" s="13"/>
      <c r="N758" s="13"/>
      <c r="O758" s="13"/>
      <c r="P758" s="13"/>
      <c r="Q758" s="13"/>
      <c r="R758" s="13"/>
      <c r="S758" s="13"/>
      <c r="T758" s="13"/>
      <c r="U758" s="13"/>
      <c r="V758" s="13"/>
      <c r="W758" s="13"/>
      <c r="X758" s="13"/>
      <c r="Y758" s="13"/>
      <c r="Z758" s="13"/>
      <c r="AA758" s="13"/>
      <c r="AB758" s="13"/>
    </row>
    <row r="759" spans="1:28" ht="17.399999999999999" x14ac:dyDescent="0.35">
      <c r="A759" s="16"/>
      <c r="B759" s="17"/>
      <c r="C759" s="13"/>
      <c r="D759" s="13"/>
      <c r="E759" s="15"/>
      <c r="F759" s="13"/>
      <c r="G759" s="13"/>
      <c r="H759" s="6"/>
      <c r="I759" s="13"/>
      <c r="J759" s="13"/>
      <c r="K759" s="13"/>
      <c r="L759" s="13"/>
      <c r="M759" s="13"/>
      <c r="N759" s="13"/>
      <c r="O759" s="13"/>
      <c r="P759" s="13"/>
      <c r="Q759" s="13"/>
      <c r="R759" s="13"/>
      <c r="S759" s="13"/>
      <c r="T759" s="13"/>
      <c r="U759" s="13"/>
      <c r="V759" s="13"/>
      <c r="W759" s="13"/>
      <c r="X759" s="13"/>
      <c r="Y759" s="13"/>
      <c r="Z759" s="13"/>
      <c r="AA759" s="13"/>
      <c r="AB759" s="13"/>
    </row>
    <row r="760" spans="1:28" ht="17.399999999999999" x14ac:dyDescent="0.35">
      <c r="A760" s="16"/>
      <c r="B760" s="17"/>
      <c r="C760" s="13"/>
      <c r="D760" s="13"/>
      <c r="E760" s="15"/>
      <c r="F760" s="13"/>
      <c r="G760" s="13"/>
      <c r="H760" s="6"/>
      <c r="I760" s="13"/>
      <c r="J760" s="13"/>
      <c r="K760" s="13"/>
      <c r="L760" s="13"/>
      <c r="M760" s="13"/>
      <c r="N760" s="13"/>
      <c r="O760" s="13"/>
      <c r="P760" s="13"/>
      <c r="Q760" s="13"/>
      <c r="R760" s="13"/>
      <c r="S760" s="13"/>
      <c r="T760" s="13"/>
      <c r="U760" s="13"/>
      <c r="V760" s="13"/>
      <c r="W760" s="13"/>
      <c r="X760" s="13"/>
      <c r="Y760" s="13"/>
      <c r="Z760" s="13"/>
      <c r="AA760" s="13"/>
      <c r="AB760" s="13"/>
    </row>
    <row r="761" spans="1:28" ht="17.399999999999999" x14ac:dyDescent="0.35">
      <c r="A761" s="16"/>
      <c r="B761" s="17"/>
      <c r="C761" s="13"/>
      <c r="D761" s="13"/>
      <c r="E761" s="15"/>
      <c r="F761" s="13"/>
      <c r="G761" s="13"/>
      <c r="H761" s="6"/>
      <c r="I761" s="13"/>
      <c r="J761" s="13"/>
      <c r="K761" s="13"/>
      <c r="L761" s="13"/>
      <c r="M761" s="13"/>
      <c r="N761" s="13"/>
      <c r="O761" s="13"/>
      <c r="P761" s="13"/>
      <c r="Q761" s="13"/>
      <c r="R761" s="13"/>
      <c r="S761" s="13"/>
      <c r="T761" s="13"/>
      <c r="U761" s="13"/>
      <c r="V761" s="13"/>
      <c r="W761" s="13"/>
      <c r="X761" s="13"/>
      <c r="Y761" s="13"/>
      <c r="Z761" s="13"/>
      <c r="AA761" s="13"/>
      <c r="AB761" s="13"/>
    </row>
    <row r="762" spans="1:28" ht="17.399999999999999" x14ac:dyDescent="0.35">
      <c r="A762" s="16"/>
      <c r="B762" s="17"/>
      <c r="C762" s="13"/>
      <c r="D762" s="13"/>
      <c r="E762" s="15"/>
      <c r="F762" s="13"/>
      <c r="G762" s="13"/>
      <c r="H762" s="6"/>
      <c r="I762" s="13"/>
      <c r="J762" s="13"/>
      <c r="K762" s="13"/>
      <c r="L762" s="13"/>
      <c r="M762" s="13"/>
      <c r="N762" s="13"/>
      <c r="O762" s="13"/>
      <c r="P762" s="13"/>
      <c r="Q762" s="13"/>
      <c r="R762" s="13"/>
      <c r="S762" s="13"/>
      <c r="T762" s="13"/>
      <c r="U762" s="13"/>
      <c r="V762" s="13"/>
      <c r="W762" s="13"/>
      <c r="X762" s="13"/>
      <c r="Y762" s="13"/>
      <c r="Z762" s="13"/>
      <c r="AA762" s="13"/>
      <c r="AB762" s="13"/>
    </row>
    <row r="763" spans="1:28" ht="17.399999999999999" x14ac:dyDescent="0.35">
      <c r="A763" s="16"/>
      <c r="B763" s="17"/>
      <c r="C763" s="13"/>
      <c r="D763" s="13"/>
      <c r="E763" s="15"/>
      <c r="F763" s="13"/>
      <c r="G763" s="13"/>
      <c r="H763" s="6"/>
      <c r="I763" s="13"/>
      <c r="J763" s="13"/>
      <c r="K763" s="13"/>
      <c r="L763" s="13"/>
      <c r="M763" s="13"/>
      <c r="N763" s="13"/>
      <c r="O763" s="13"/>
      <c r="P763" s="13"/>
      <c r="Q763" s="13"/>
      <c r="R763" s="13"/>
      <c r="S763" s="13"/>
      <c r="T763" s="13"/>
      <c r="U763" s="13"/>
      <c r="V763" s="13"/>
      <c r="W763" s="13"/>
      <c r="X763" s="13"/>
      <c r="Y763" s="13"/>
      <c r="Z763" s="13"/>
      <c r="AA763" s="13"/>
      <c r="AB763" s="13"/>
    </row>
    <row r="764" spans="1:28" ht="17.399999999999999" x14ac:dyDescent="0.35">
      <c r="A764" s="16"/>
      <c r="B764" s="17"/>
      <c r="C764" s="13"/>
      <c r="D764" s="13"/>
      <c r="E764" s="15"/>
      <c r="F764" s="13"/>
      <c r="G764" s="13"/>
      <c r="H764" s="6"/>
      <c r="I764" s="13"/>
      <c r="J764" s="13"/>
      <c r="K764" s="13"/>
      <c r="L764" s="13"/>
      <c r="M764" s="13"/>
      <c r="N764" s="13"/>
      <c r="O764" s="13"/>
      <c r="P764" s="13"/>
      <c r="Q764" s="13"/>
      <c r="R764" s="13"/>
      <c r="S764" s="13"/>
      <c r="T764" s="13"/>
      <c r="U764" s="13"/>
      <c r="V764" s="13"/>
      <c r="W764" s="13"/>
      <c r="X764" s="13"/>
      <c r="Y764" s="13"/>
      <c r="Z764" s="13"/>
      <c r="AA764" s="13"/>
      <c r="AB764" s="13"/>
    </row>
    <row r="765" spans="1:28" ht="17.399999999999999" x14ac:dyDescent="0.35">
      <c r="A765" s="16"/>
      <c r="B765" s="17"/>
      <c r="C765" s="13"/>
      <c r="D765" s="13"/>
      <c r="E765" s="15"/>
      <c r="F765" s="13"/>
      <c r="G765" s="13"/>
      <c r="H765" s="6"/>
      <c r="I765" s="13"/>
      <c r="J765" s="13"/>
      <c r="K765" s="13"/>
      <c r="L765" s="13"/>
      <c r="M765" s="13"/>
      <c r="N765" s="13"/>
      <c r="O765" s="13"/>
      <c r="P765" s="13"/>
      <c r="Q765" s="13"/>
      <c r="R765" s="13"/>
      <c r="S765" s="13"/>
      <c r="T765" s="13"/>
      <c r="U765" s="13"/>
      <c r="V765" s="13"/>
      <c r="W765" s="13"/>
      <c r="X765" s="13"/>
      <c r="Y765" s="13"/>
      <c r="Z765" s="13"/>
      <c r="AA765" s="13"/>
      <c r="AB765" s="13"/>
    </row>
    <row r="766" spans="1:28" ht="17.399999999999999" x14ac:dyDescent="0.35">
      <c r="A766" s="16"/>
      <c r="B766" s="17"/>
      <c r="C766" s="13"/>
      <c r="D766" s="13"/>
      <c r="E766" s="15"/>
      <c r="F766" s="13"/>
      <c r="G766" s="13"/>
      <c r="H766" s="6"/>
      <c r="I766" s="13"/>
      <c r="J766" s="13"/>
      <c r="K766" s="13"/>
      <c r="L766" s="13"/>
      <c r="M766" s="13"/>
      <c r="N766" s="13"/>
      <c r="O766" s="13"/>
      <c r="P766" s="13"/>
      <c r="Q766" s="13"/>
      <c r="R766" s="13"/>
      <c r="S766" s="13"/>
      <c r="T766" s="13"/>
      <c r="U766" s="13"/>
      <c r="V766" s="13"/>
      <c r="W766" s="13"/>
      <c r="X766" s="13"/>
      <c r="Y766" s="13"/>
      <c r="Z766" s="13"/>
      <c r="AA766" s="13"/>
      <c r="AB766" s="13"/>
    </row>
    <row r="767" spans="1:28" ht="17.399999999999999" x14ac:dyDescent="0.35">
      <c r="A767" s="16"/>
      <c r="B767" s="17"/>
      <c r="C767" s="13"/>
      <c r="D767" s="13"/>
      <c r="E767" s="15"/>
      <c r="F767" s="13"/>
      <c r="G767" s="13"/>
      <c r="H767" s="6"/>
      <c r="I767" s="13"/>
      <c r="J767" s="13"/>
      <c r="K767" s="13"/>
      <c r="L767" s="13"/>
      <c r="M767" s="13"/>
      <c r="N767" s="13"/>
      <c r="O767" s="13"/>
      <c r="P767" s="13"/>
      <c r="Q767" s="13"/>
      <c r="R767" s="13"/>
      <c r="S767" s="13"/>
      <c r="T767" s="13"/>
      <c r="U767" s="13"/>
      <c r="V767" s="13"/>
      <c r="W767" s="13"/>
      <c r="X767" s="13"/>
      <c r="Y767" s="13"/>
      <c r="Z767" s="13"/>
      <c r="AA767" s="13"/>
      <c r="AB767" s="13"/>
    </row>
    <row r="768" spans="1:28" ht="17.399999999999999" x14ac:dyDescent="0.35">
      <c r="A768" s="16"/>
      <c r="B768" s="17"/>
      <c r="C768" s="13"/>
      <c r="D768" s="13"/>
      <c r="E768" s="15"/>
      <c r="F768" s="13"/>
      <c r="G768" s="13"/>
      <c r="H768" s="6"/>
      <c r="I768" s="13"/>
      <c r="J768" s="13"/>
      <c r="K768" s="13"/>
      <c r="L768" s="13"/>
      <c r="M768" s="13"/>
      <c r="N768" s="13"/>
      <c r="O768" s="13"/>
      <c r="P768" s="13"/>
      <c r="Q768" s="13"/>
      <c r="R768" s="13"/>
      <c r="S768" s="13"/>
      <c r="T768" s="13"/>
      <c r="U768" s="13"/>
      <c r="V768" s="13"/>
      <c r="W768" s="13"/>
      <c r="X768" s="13"/>
      <c r="Y768" s="13"/>
      <c r="Z768" s="13"/>
      <c r="AA768" s="13"/>
      <c r="AB768" s="13"/>
    </row>
    <row r="769" spans="1:28" ht="17.399999999999999" x14ac:dyDescent="0.35">
      <c r="A769" s="16"/>
      <c r="B769" s="17"/>
      <c r="C769" s="13"/>
      <c r="D769" s="13"/>
      <c r="E769" s="15"/>
      <c r="F769" s="13"/>
      <c r="G769" s="13"/>
      <c r="H769" s="6"/>
      <c r="I769" s="13"/>
      <c r="J769" s="13"/>
      <c r="K769" s="13"/>
      <c r="L769" s="13"/>
      <c r="M769" s="13"/>
      <c r="N769" s="13"/>
      <c r="O769" s="13"/>
      <c r="P769" s="13"/>
      <c r="Q769" s="13"/>
      <c r="R769" s="13"/>
      <c r="S769" s="13"/>
      <c r="T769" s="13"/>
      <c r="U769" s="13"/>
      <c r="V769" s="13"/>
      <c r="W769" s="13"/>
      <c r="X769" s="13"/>
      <c r="Y769" s="13"/>
      <c r="Z769" s="13"/>
      <c r="AA769" s="13"/>
      <c r="AB769" s="13"/>
    </row>
    <row r="770" spans="1:28" ht="17.399999999999999" x14ac:dyDescent="0.35">
      <c r="A770" s="16"/>
      <c r="B770" s="17"/>
      <c r="C770" s="13"/>
      <c r="D770" s="13"/>
      <c r="E770" s="15"/>
      <c r="F770" s="13"/>
      <c r="G770" s="13"/>
      <c r="H770" s="6"/>
      <c r="I770" s="13"/>
      <c r="J770" s="13"/>
      <c r="K770" s="13"/>
      <c r="L770" s="13"/>
      <c r="M770" s="13"/>
      <c r="N770" s="13"/>
      <c r="O770" s="13"/>
      <c r="P770" s="13"/>
      <c r="Q770" s="13"/>
      <c r="R770" s="13"/>
      <c r="S770" s="13"/>
      <c r="T770" s="13"/>
      <c r="U770" s="13"/>
      <c r="V770" s="13"/>
      <c r="W770" s="13"/>
      <c r="X770" s="13"/>
      <c r="Y770" s="13"/>
      <c r="Z770" s="13"/>
      <c r="AA770" s="13"/>
      <c r="AB770" s="13"/>
    </row>
    <row r="771" spans="1:28" ht="17.399999999999999" x14ac:dyDescent="0.35">
      <c r="A771" s="16"/>
      <c r="B771" s="17"/>
      <c r="C771" s="13"/>
      <c r="D771" s="13"/>
      <c r="E771" s="15"/>
      <c r="F771" s="13"/>
      <c r="G771" s="13"/>
      <c r="H771" s="6"/>
      <c r="I771" s="13"/>
      <c r="J771" s="13"/>
      <c r="K771" s="13"/>
      <c r="L771" s="13"/>
      <c r="M771" s="13"/>
      <c r="N771" s="13"/>
      <c r="O771" s="13"/>
      <c r="P771" s="13"/>
      <c r="Q771" s="13"/>
      <c r="R771" s="13"/>
      <c r="S771" s="13"/>
      <c r="T771" s="13"/>
      <c r="U771" s="13"/>
      <c r="V771" s="13"/>
      <c r="W771" s="13"/>
      <c r="X771" s="13"/>
      <c r="Y771" s="13"/>
      <c r="Z771" s="13"/>
      <c r="AA771" s="13"/>
      <c r="AB771" s="13"/>
    </row>
    <row r="772" spans="1:28" ht="17.399999999999999" x14ac:dyDescent="0.35">
      <c r="A772" s="16"/>
      <c r="B772" s="17"/>
      <c r="C772" s="13"/>
      <c r="D772" s="13"/>
      <c r="E772" s="15"/>
      <c r="F772" s="13"/>
      <c r="G772" s="13"/>
      <c r="H772" s="6"/>
      <c r="I772" s="13"/>
      <c r="J772" s="13"/>
      <c r="K772" s="13"/>
      <c r="L772" s="13"/>
      <c r="M772" s="13"/>
      <c r="N772" s="13"/>
      <c r="O772" s="13"/>
      <c r="P772" s="13"/>
      <c r="Q772" s="13"/>
      <c r="R772" s="13"/>
      <c r="S772" s="13"/>
      <c r="T772" s="13"/>
      <c r="U772" s="13"/>
      <c r="V772" s="13"/>
      <c r="W772" s="13"/>
      <c r="X772" s="13"/>
      <c r="Y772" s="13"/>
      <c r="Z772" s="13"/>
      <c r="AA772" s="13"/>
      <c r="AB772" s="13"/>
    </row>
    <row r="773" spans="1:28" ht="17.399999999999999" x14ac:dyDescent="0.35">
      <c r="A773" s="16"/>
      <c r="B773" s="17"/>
      <c r="C773" s="13"/>
      <c r="D773" s="13"/>
      <c r="E773" s="15"/>
      <c r="F773" s="13"/>
      <c r="G773" s="13"/>
      <c r="H773" s="6"/>
      <c r="I773" s="13"/>
      <c r="J773" s="13"/>
      <c r="K773" s="13"/>
      <c r="L773" s="13"/>
      <c r="M773" s="13"/>
      <c r="N773" s="13"/>
      <c r="O773" s="13"/>
      <c r="P773" s="13"/>
      <c r="Q773" s="13"/>
      <c r="R773" s="13"/>
      <c r="S773" s="13"/>
      <c r="T773" s="13"/>
      <c r="U773" s="13"/>
      <c r="V773" s="13"/>
      <c r="W773" s="13"/>
      <c r="X773" s="13"/>
      <c r="Y773" s="13"/>
      <c r="Z773" s="13"/>
      <c r="AA773" s="13"/>
      <c r="AB773" s="13"/>
    </row>
    <row r="774" spans="1:28" ht="17.399999999999999" x14ac:dyDescent="0.35">
      <c r="A774" s="16"/>
      <c r="B774" s="17"/>
      <c r="C774" s="13"/>
      <c r="D774" s="13"/>
      <c r="E774" s="15"/>
      <c r="F774" s="13"/>
      <c r="G774" s="13"/>
      <c r="H774" s="6"/>
      <c r="I774" s="13"/>
      <c r="J774" s="13"/>
      <c r="K774" s="13"/>
      <c r="L774" s="13"/>
      <c r="M774" s="13"/>
      <c r="N774" s="13"/>
      <c r="O774" s="13"/>
      <c r="P774" s="13"/>
      <c r="Q774" s="13"/>
      <c r="R774" s="13"/>
      <c r="S774" s="13"/>
      <c r="T774" s="13"/>
      <c r="U774" s="13"/>
      <c r="V774" s="13"/>
      <c r="W774" s="13"/>
      <c r="X774" s="13"/>
      <c r="Y774" s="13"/>
      <c r="Z774" s="13"/>
      <c r="AA774" s="13"/>
      <c r="AB774" s="13"/>
    </row>
    <row r="775" spans="1:28" ht="17.399999999999999" x14ac:dyDescent="0.35">
      <c r="A775" s="16"/>
      <c r="B775" s="17"/>
      <c r="C775" s="13"/>
      <c r="D775" s="13"/>
      <c r="E775" s="15"/>
      <c r="F775" s="13"/>
      <c r="G775" s="13"/>
      <c r="H775" s="6"/>
      <c r="I775" s="13"/>
      <c r="J775" s="13"/>
      <c r="K775" s="13"/>
      <c r="L775" s="13"/>
      <c r="M775" s="13"/>
      <c r="N775" s="13"/>
      <c r="O775" s="13"/>
      <c r="P775" s="13"/>
      <c r="Q775" s="13"/>
      <c r="R775" s="13"/>
      <c r="S775" s="13"/>
      <c r="T775" s="13"/>
      <c r="U775" s="13"/>
      <c r="V775" s="13"/>
      <c r="W775" s="13"/>
      <c r="X775" s="13"/>
      <c r="Y775" s="13"/>
      <c r="Z775" s="13"/>
      <c r="AA775" s="13"/>
      <c r="AB775" s="13"/>
    </row>
    <row r="776" spans="1:28" ht="17.399999999999999" x14ac:dyDescent="0.35">
      <c r="A776" s="16"/>
      <c r="B776" s="17"/>
      <c r="C776" s="13"/>
      <c r="D776" s="13"/>
      <c r="E776" s="15"/>
      <c r="F776" s="13"/>
      <c r="G776" s="13"/>
      <c r="H776" s="6"/>
      <c r="I776" s="13"/>
      <c r="J776" s="13"/>
      <c r="K776" s="13"/>
      <c r="L776" s="13"/>
      <c r="M776" s="13"/>
      <c r="N776" s="13"/>
      <c r="O776" s="13"/>
      <c r="P776" s="13"/>
      <c r="Q776" s="13"/>
      <c r="R776" s="13"/>
      <c r="S776" s="13"/>
      <c r="T776" s="13"/>
      <c r="U776" s="13"/>
      <c r="V776" s="13"/>
      <c r="W776" s="13"/>
      <c r="X776" s="13"/>
      <c r="Y776" s="13"/>
      <c r="Z776" s="13"/>
      <c r="AA776" s="13"/>
      <c r="AB776" s="13"/>
    </row>
    <row r="777" spans="1:28" ht="17.399999999999999" x14ac:dyDescent="0.35">
      <c r="A777" s="16"/>
      <c r="B777" s="17"/>
      <c r="C777" s="13"/>
      <c r="D777" s="13"/>
      <c r="E777" s="15"/>
      <c r="F777" s="13"/>
      <c r="G777" s="13"/>
      <c r="H777" s="6"/>
      <c r="I777" s="13"/>
      <c r="J777" s="13"/>
      <c r="K777" s="13"/>
      <c r="L777" s="13"/>
      <c r="M777" s="13"/>
      <c r="N777" s="13"/>
      <c r="O777" s="13"/>
      <c r="P777" s="13"/>
      <c r="Q777" s="13"/>
      <c r="R777" s="13"/>
      <c r="S777" s="13"/>
      <c r="T777" s="13"/>
      <c r="U777" s="13"/>
      <c r="V777" s="13"/>
      <c r="W777" s="13"/>
      <c r="X777" s="13"/>
      <c r="Y777" s="13"/>
      <c r="Z777" s="13"/>
      <c r="AA777" s="13"/>
      <c r="AB777" s="13"/>
    </row>
    <row r="778" spans="1:28" ht="17.399999999999999" x14ac:dyDescent="0.35">
      <c r="A778" s="16"/>
      <c r="B778" s="17"/>
      <c r="C778" s="13"/>
      <c r="D778" s="13"/>
      <c r="E778" s="15"/>
      <c r="F778" s="13"/>
      <c r="G778" s="13"/>
      <c r="H778" s="6"/>
      <c r="I778" s="13"/>
      <c r="J778" s="13"/>
      <c r="K778" s="13"/>
      <c r="L778" s="13"/>
      <c r="M778" s="13"/>
      <c r="N778" s="13"/>
      <c r="O778" s="13"/>
      <c r="P778" s="13"/>
      <c r="Q778" s="13"/>
      <c r="R778" s="13"/>
      <c r="S778" s="13"/>
      <c r="T778" s="13"/>
      <c r="U778" s="13"/>
      <c r="V778" s="13"/>
      <c r="W778" s="13"/>
      <c r="X778" s="13"/>
      <c r="Y778" s="13"/>
      <c r="Z778" s="13"/>
      <c r="AA778" s="13"/>
      <c r="AB778" s="13"/>
    </row>
    <row r="779" spans="1:28" ht="17.399999999999999" x14ac:dyDescent="0.35">
      <c r="A779" s="16"/>
      <c r="B779" s="17"/>
      <c r="C779" s="13"/>
      <c r="D779" s="13"/>
      <c r="E779" s="15"/>
      <c r="F779" s="13"/>
      <c r="G779" s="13"/>
      <c r="H779" s="6"/>
      <c r="I779" s="13"/>
      <c r="J779" s="13"/>
      <c r="K779" s="13"/>
      <c r="L779" s="13"/>
      <c r="M779" s="13"/>
      <c r="N779" s="13"/>
      <c r="O779" s="13"/>
      <c r="P779" s="13"/>
      <c r="Q779" s="13"/>
      <c r="R779" s="13"/>
      <c r="S779" s="13"/>
      <c r="T779" s="13"/>
      <c r="U779" s="13"/>
      <c r="V779" s="13"/>
      <c r="W779" s="13"/>
      <c r="X779" s="13"/>
      <c r="Y779" s="13"/>
      <c r="Z779" s="13"/>
      <c r="AA779" s="13"/>
      <c r="AB779" s="13"/>
    </row>
    <row r="780" spans="1:28" ht="17.399999999999999" x14ac:dyDescent="0.35">
      <c r="A780" s="16"/>
      <c r="B780" s="17"/>
      <c r="C780" s="13"/>
      <c r="D780" s="13"/>
      <c r="E780" s="15"/>
      <c r="F780" s="13"/>
      <c r="G780" s="13"/>
      <c r="H780" s="6"/>
      <c r="I780" s="13"/>
      <c r="J780" s="13"/>
      <c r="K780" s="13"/>
      <c r="L780" s="13"/>
      <c r="M780" s="13"/>
      <c r="N780" s="13"/>
      <c r="O780" s="13"/>
      <c r="P780" s="13"/>
      <c r="Q780" s="13"/>
      <c r="R780" s="13"/>
      <c r="S780" s="13"/>
      <c r="T780" s="13"/>
      <c r="U780" s="13"/>
      <c r="V780" s="13"/>
      <c r="W780" s="13"/>
      <c r="X780" s="13"/>
      <c r="Y780" s="13"/>
      <c r="Z780" s="13"/>
      <c r="AA780" s="13"/>
      <c r="AB780" s="13"/>
    </row>
    <row r="781" spans="1:28" ht="17.399999999999999" x14ac:dyDescent="0.35">
      <c r="A781" s="16"/>
      <c r="B781" s="17"/>
      <c r="C781" s="13"/>
      <c r="D781" s="13"/>
      <c r="E781" s="15"/>
      <c r="F781" s="13"/>
      <c r="G781" s="13"/>
      <c r="H781" s="6"/>
      <c r="I781" s="13"/>
      <c r="J781" s="13"/>
      <c r="K781" s="13"/>
      <c r="L781" s="13"/>
      <c r="M781" s="13"/>
      <c r="N781" s="13"/>
      <c r="O781" s="13"/>
      <c r="P781" s="13"/>
      <c r="Q781" s="13"/>
      <c r="R781" s="13"/>
      <c r="S781" s="13"/>
      <c r="T781" s="13"/>
      <c r="U781" s="13"/>
      <c r="V781" s="13"/>
      <c r="W781" s="13"/>
      <c r="X781" s="13"/>
      <c r="Y781" s="13"/>
      <c r="Z781" s="13"/>
      <c r="AA781" s="13"/>
      <c r="AB781" s="13"/>
    </row>
    <row r="782" spans="1:28" ht="17.399999999999999" x14ac:dyDescent="0.35">
      <c r="A782" s="16"/>
      <c r="B782" s="17"/>
      <c r="C782" s="13"/>
      <c r="D782" s="13"/>
      <c r="E782" s="15"/>
      <c r="F782" s="13"/>
      <c r="G782" s="13"/>
      <c r="H782" s="6"/>
      <c r="I782" s="13"/>
      <c r="J782" s="13"/>
      <c r="K782" s="13"/>
      <c r="L782" s="13"/>
      <c r="M782" s="13"/>
      <c r="N782" s="13"/>
      <c r="O782" s="13"/>
      <c r="P782" s="13"/>
      <c r="Q782" s="13"/>
      <c r="R782" s="13"/>
      <c r="S782" s="13"/>
      <c r="T782" s="13"/>
      <c r="U782" s="13"/>
      <c r="V782" s="13"/>
      <c r="W782" s="13"/>
      <c r="X782" s="13"/>
      <c r="Y782" s="13"/>
      <c r="Z782" s="13"/>
      <c r="AA782" s="13"/>
      <c r="AB782" s="13"/>
    </row>
    <row r="783" spans="1:28" ht="17.399999999999999" x14ac:dyDescent="0.35">
      <c r="A783" s="16"/>
      <c r="B783" s="17"/>
      <c r="C783" s="13"/>
      <c r="D783" s="13"/>
      <c r="E783" s="15"/>
      <c r="F783" s="13"/>
      <c r="G783" s="13"/>
      <c r="H783" s="6"/>
      <c r="I783" s="13"/>
      <c r="J783" s="13"/>
      <c r="K783" s="13"/>
      <c r="L783" s="13"/>
      <c r="M783" s="13"/>
      <c r="N783" s="13"/>
      <c r="O783" s="13"/>
      <c r="P783" s="13"/>
      <c r="Q783" s="13"/>
      <c r="R783" s="13"/>
      <c r="S783" s="13"/>
      <c r="T783" s="13"/>
      <c r="U783" s="13"/>
      <c r="V783" s="13"/>
      <c r="W783" s="13"/>
      <c r="X783" s="13"/>
      <c r="Y783" s="13"/>
      <c r="Z783" s="13"/>
      <c r="AA783" s="13"/>
      <c r="AB783" s="13"/>
    </row>
    <row r="784" spans="1:28" ht="17.399999999999999" x14ac:dyDescent="0.35">
      <c r="A784" s="16"/>
      <c r="B784" s="17"/>
      <c r="C784" s="13"/>
      <c r="D784" s="13"/>
      <c r="E784" s="15"/>
      <c r="F784" s="13"/>
      <c r="G784" s="13"/>
      <c r="H784" s="6"/>
      <c r="I784" s="13"/>
      <c r="J784" s="13"/>
      <c r="K784" s="13"/>
      <c r="L784" s="13"/>
      <c r="M784" s="13"/>
      <c r="N784" s="13"/>
      <c r="O784" s="13"/>
      <c r="P784" s="13"/>
      <c r="Q784" s="13"/>
      <c r="R784" s="13"/>
      <c r="S784" s="13"/>
      <c r="T784" s="13"/>
      <c r="U784" s="13"/>
      <c r="V784" s="13"/>
      <c r="W784" s="13"/>
      <c r="X784" s="13"/>
      <c r="Y784" s="13"/>
      <c r="Z784" s="13"/>
      <c r="AA784" s="13"/>
      <c r="AB784" s="13"/>
    </row>
    <row r="785" spans="1:28" ht="17.399999999999999" x14ac:dyDescent="0.35">
      <c r="A785" s="16"/>
      <c r="B785" s="17"/>
      <c r="C785" s="13"/>
      <c r="D785" s="13"/>
      <c r="E785" s="15"/>
      <c r="F785" s="13"/>
      <c r="G785" s="13"/>
      <c r="H785" s="6"/>
      <c r="I785" s="13"/>
      <c r="J785" s="13"/>
      <c r="K785" s="13"/>
      <c r="L785" s="13"/>
      <c r="M785" s="13"/>
      <c r="N785" s="13"/>
      <c r="O785" s="13"/>
      <c r="P785" s="13"/>
      <c r="Q785" s="13"/>
      <c r="R785" s="13"/>
      <c r="S785" s="13"/>
      <c r="T785" s="13"/>
      <c r="U785" s="13"/>
      <c r="V785" s="13"/>
      <c r="W785" s="13"/>
      <c r="X785" s="13"/>
      <c r="Y785" s="13"/>
      <c r="Z785" s="13"/>
      <c r="AA785" s="13"/>
      <c r="AB785" s="13"/>
    </row>
    <row r="786" spans="1:28" ht="17.399999999999999" x14ac:dyDescent="0.35">
      <c r="A786" s="16"/>
      <c r="B786" s="17"/>
      <c r="C786" s="13"/>
      <c r="D786" s="13"/>
      <c r="E786" s="15"/>
      <c r="F786" s="13"/>
      <c r="G786" s="13"/>
      <c r="H786" s="6"/>
      <c r="I786" s="13"/>
      <c r="J786" s="13"/>
      <c r="K786" s="13"/>
      <c r="L786" s="13"/>
      <c r="M786" s="13"/>
      <c r="N786" s="13"/>
      <c r="O786" s="13"/>
      <c r="P786" s="13"/>
      <c r="Q786" s="13"/>
      <c r="R786" s="13"/>
      <c r="S786" s="13"/>
      <c r="T786" s="13"/>
      <c r="U786" s="13"/>
      <c r="V786" s="13"/>
      <c r="W786" s="13"/>
      <c r="X786" s="13"/>
      <c r="Y786" s="13"/>
      <c r="Z786" s="13"/>
      <c r="AA786" s="13"/>
      <c r="AB786" s="13"/>
    </row>
    <row r="787" spans="1:28" ht="17.399999999999999" x14ac:dyDescent="0.35">
      <c r="A787" s="16"/>
      <c r="B787" s="17"/>
      <c r="C787" s="13"/>
      <c r="D787" s="13"/>
      <c r="E787" s="15"/>
      <c r="F787" s="13"/>
      <c r="G787" s="13"/>
      <c r="H787" s="6"/>
      <c r="I787" s="13"/>
      <c r="J787" s="13"/>
      <c r="K787" s="13"/>
      <c r="L787" s="13"/>
      <c r="M787" s="13"/>
      <c r="N787" s="13"/>
      <c r="O787" s="13"/>
      <c r="P787" s="13"/>
      <c r="Q787" s="13"/>
      <c r="R787" s="13"/>
      <c r="S787" s="13"/>
      <c r="T787" s="13"/>
      <c r="U787" s="13"/>
      <c r="V787" s="13"/>
      <c r="W787" s="13"/>
      <c r="X787" s="13"/>
      <c r="Y787" s="13"/>
      <c r="Z787" s="13"/>
      <c r="AA787" s="13"/>
      <c r="AB787" s="13"/>
    </row>
    <row r="788" spans="1:28" ht="17.399999999999999" x14ac:dyDescent="0.35">
      <c r="A788" s="16"/>
      <c r="B788" s="17"/>
      <c r="C788" s="13"/>
      <c r="D788" s="13"/>
      <c r="E788" s="15"/>
      <c r="F788" s="13"/>
      <c r="G788" s="13"/>
      <c r="H788" s="6"/>
      <c r="I788" s="13"/>
      <c r="J788" s="13"/>
      <c r="K788" s="13"/>
      <c r="L788" s="13"/>
      <c r="M788" s="13"/>
      <c r="N788" s="13"/>
      <c r="O788" s="13"/>
      <c r="P788" s="13"/>
      <c r="Q788" s="13"/>
      <c r="R788" s="13"/>
      <c r="S788" s="13"/>
      <c r="T788" s="13"/>
      <c r="U788" s="13"/>
      <c r="V788" s="13"/>
      <c r="W788" s="13"/>
      <c r="X788" s="13"/>
      <c r="Y788" s="13"/>
      <c r="Z788" s="13"/>
      <c r="AA788" s="13"/>
      <c r="AB788" s="13"/>
    </row>
    <row r="789" spans="1:28" ht="17.399999999999999" x14ac:dyDescent="0.35">
      <c r="A789" s="16"/>
      <c r="B789" s="17"/>
      <c r="C789" s="13"/>
      <c r="D789" s="13"/>
      <c r="E789" s="15"/>
      <c r="F789" s="13"/>
      <c r="G789" s="13"/>
      <c r="H789" s="6"/>
      <c r="I789" s="13"/>
      <c r="J789" s="13"/>
      <c r="K789" s="13"/>
      <c r="L789" s="13"/>
      <c r="M789" s="13"/>
      <c r="N789" s="13"/>
      <c r="O789" s="13"/>
      <c r="P789" s="13"/>
      <c r="Q789" s="13"/>
      <c r="R789" s="13"/>
      <c r="S789" s="13"/>
      <c r="T789" s="13"/>
      <c r="U789" s="13"/>
      <c r="V789" s="13"/>
      <c r="W789" s="13"/>
      <c r="X789" s="13"/>
      <c r="Y789" s="13"/>
      <c r="Z789" s="13"/>
      <c r="AA789" s="13"/>
      <c r="AB789" s="13"/>
    </row>
    <row r="790" spans="1:28" ht="17.399999999999999" x14ac:dyDescent="0.35">
      <c r="A790" s="16"/>
      <c r="B790" s="17"/>
      <c r="C790" s="13"/>
      <c r="D790" s="13"/>
      <c r="E790" s="15"/>
      <c r="F790" s="13"/>
      <c r="G790" s="13"/>
      <c r="H790" s="6"/>
      <c r="I790" s="13"/>
      <c r="J790" s="13"/>
      <c r="K790" s="13"/>
      <c r="L790" s="13"/>
      <c r="M790" s="13"/>
      <c r="N790" s="13"/>
      <c r="O790" s="13"/>
      <c r="P790" s="13"/>
      <c r="Q790" s="13"/>
      <c r="R790" s="13"/>
      <c r="S790" s="13"/>
      <c r="T790" s="13"/>
      <c r="U790" s="13"/>
      <c r="V790" s="13"/>
      <c r="W790" s="13"/>
      <c r="X790" s="13"/>
      <c r="Y790" s="13"/>
      <c r="Z790" s="13"/>
      <c r="AA790" s="13"/>
      <c r="AB790" s="13"/>
    </row>
    <row r="791" spans="1:28" ht="17.399999999999999" x14ac:dyDescent="0.35">
      <c r="A791" s="16"/>
      <c r="B791" s="17"/>
      <c r="C791" s="13"/>
      <c r="D791" s="13"/>
      <c r="E791" s="15"/>
      <c r="F791" s="13"/>
      <c r="G791" s="13"/>
      <c r="H791" s="6"/>
      <c r="I791" s="13"/>
      <c r="J791" s="13"/>
      <c r="K791" s="13"/>
      <c r="L791" s="13"/>
      <c r="M791" s="13"/>
      <c r="N791" s="13"/>
      <c r="O791" s="13"/>
      <c r="P791" s="13"/>
      <c r="Q791" s="13"/>
      <c r="R791" s="13"/>
      <c r="S791" s="13"/>
      <c r="T791" s="13"/>
      <c r="U791" s="13"/>
      <c r="V791" s="13"/>
      <c r="W791" s="13"/>
      <c r="X791" s="13"/>
      <c r="Y791" s="13"/>
      <c r="Z791" s="13"/>
      <c r="AA791" s="13"/>
      <c r="AB791" s="13"/>
    </row>
    <row r="792" spans="1:28" ht="17.399999999999999" x14ac:dyDescent="0.35">
      <c r="A792" s="16"/>
      <c r="B792" s="17"/>
      <c r="C792" s="13"/>
      <c r="D792" s="13"/>
      <c r="E792" s="15"/>
      <c r="F792" s="13"/>
      <c r="G792" s="13"/>
      <c r="H792" s="6"/>
      <c r="I792" s="13"/>
      <c r="J792" s="13"/>
      <c r="K792" s="13"/>
      <c r="L792" s="13"/>
      <c r="M792" s="13"/>
      <c r="N792" s="13"/>
      <c r="O792" s="13"/>
      <c r="P792" s="13"/>
      <c r="Q792" s="13"/>
      <c r="R792" s="13"/>
      <c r="S792" s="13"/>
      <c r="T792" s="13"/>
      <c r="U792" s="13"/>
      <c r="V792" s="13"/>
      <c r="W792" s="13"/>
      <c r="X792" s="13"/>
      <c r="Y792" s="13"/>
      <c r="Z792" s="13"/>
      <c r="AA792" s="13"/>
      <c r="AB792" s="13"/>
    </row>
    <row r="793" spans="1:28" ht="17.399999999999999" x14ac:dyDescent="0.35">
      <c r="A793" s="16"/>
      <c r="B793" s="17"/>
      <c r="C793" s="13"/>
      <c r="D793" s="13"/>
      <c r="E793" s="15"/>
      <c r="F793" s="13"/>
      <c r="G793" s="13"/>
      <c r="H793" s="6"/>
      <c r="I793" s="13"/>
      <c r="J793" s="13"/>
      <c r="K793" s="13"/>
      <c r="L793" s="13"/>
      <c r="M793" s="13"/>
      <c r="N793" s="13"/>
      <c r="O793" s="13"/>
      <c r="P793" s="13"/>
      <c r="Q793" s="13"/>
      <c r="R793" s="13"/>
      <c r="S793" s="13"/>
      <c r="T793" s="13"/>
      <c r="U793" s="13"/>
      <c r="V793" s="13"/>
      <c r="W793" s="13"/>
      <c r="X793" s="13"/>
      <c r="Y793" s="13"/>
      <c r="Z793" s="13"/>
      <c r="AA793" s="13"/>
      <c r="AB793" s="13"/>
    </row>
    <row r="794" spans="1:28" ht="17.399999999999999" x14ac:dyDescent="0.35">
      <c r="A794" s="16"/>
      <c r="B794" s="17"/>
      <c r="C794" s="13"/>
      <c r="D794" s="13"/>
      <c r="E794" s="15"/>
      <c r="F794" s="13"/>
      <c r="G794" s="13"/>
      <c r="H794" s="6"/>
      <c r="I794" s="13"/>
      <c r="J794" s="13"/>
      <c r="K794" s="13"/>
      <c r="L794" s="13"/>
      <c r="M794" s="13"/>
      <c r="N794" s="13"/>
      <c r="O794" s="13"/>
      <c r="P794" s="13"/>
      <c r="Q794" s="13"/>
      <c r="R794" s="13"/>
      <c r="S794" s="13"/>
      <c r="T794" s="13"/>
      <c r="U794" s="13"/>
      <c r="V794" s="13"/>
      <c r="W794" s="13"/>
      <c r="X794" s="13"/>
      <c r="Y794" s="13"/>
      <c r="Z794" s="13"/>
      <c r="AA794" s="13"/>
      <c r="AB794" s="13"/>
    </row>
    <row r="795" spans="1:28" ht="17.399999999999999" x14ac:dyDescent="0.35">
      <c r="A795" s="16"/>
      <c r="B795" s="17"/>
      <c r="C795" s="13"/>
      <c r="D795" s="13"/>
      <c r="E795" s="15"/>
      <c r="F795" s="13"/>
      <c r="G795" s="13"/>
      <c r="H795" s="6"/>
      <c r="I795" s="13"/>
      <c r="J795" s="13"/>
      <c r="K795" s="13"/>
      <c r="L795" s="13"/>
      <c r="M795" s="13"/>
      <c r="N795" s="13"/>
      <c r="O795" s="13"/>
      <c r="P795" s="13"/>
      <c r="Q795" s="13"/>
      <c r="R795" s="13"/>
      <c r="S795" s="13"/>
      <c r="T795" s="13"/>
      <c r="U795" s="13"/>
      <c r="V795" s="13"/>
      <c r="W795" s="13"/>
      <c r="X795" s="13"/>
      <c r="Y795" s="13"/>
      <c r="Z795" s="13"/>
      <c r="AA795" s="13"/>
      <c r="AB795" s="13"/>
    </row>
    <row r="796" spans="1:28" ht="17.399999999999999" x14ac:dyDescent="0.35">
      <c r="A796" s="16"/>
      <c r="B796" s="17"/>
      <c r="C796" s="13"/>
      <c r="D796" s="13"/>
      <c r="E796" s="15"/>
      <c r="F796" s="13"/>
      <c r="G796" s="13"/>
      <c r="H796" s="6"/>
      <c r="I796" s="13"/>
      <c r="J796" s="13"/>
      <c r="K796" s="13"/>
      <c r="L796" s="13"/>
      <c r="M796" s="13"/>
      <c r="N796" s="13"/>
      <c r="O796" s="13"/>
      <c r="P796" s="13"/>
      <c r="Q796" s="13"/>
      <c r="R796" s="13"/>
      <c r="S796" s="13"/>
      <c r="T796" s="13"/>
      <c r="U796" s="13"/>
      <c r="V796" s="13"/>
      <c r="W796" s="13"/>
      <c r="X796" s="13"/>
      <c r="Y796" s="13"/>
      <c r="Z796" s="13"/>
      <c r="AA796" s="13"/>
      <c r="AB796" s="13"/>
    </row>
    <row r="797" spans="1:28" ht="17.399999999999999" x14ac:dyDescent="0.35">
      <c r="A797" s="16"/>
      <c r="B797" s="17"/>
      <c r="C797" s="13"/>
      <c r="D797" s="13"/>
      <c r="E797" s="15"/>
      <c r="F797" s="13"/>
      <c r="G797" s="13"/>
      <c r="H797" s="6"/>
      <c r="I797" s="13"/>
      <c r="J797" s="13"/>
      <c r="K797" s="13"/>
      <c r="L797" s="13"/>
      <c r="M797" s="13"/>
      <c r="N797" s="13"/>
      <c r="O797" s="13"/>
      <c r="P797" s="13"/>
      <c r="Q797" s="13"/>
      <c r="R797" s="13"/>
      <c r="S797" s="13"/>
      <c r="T797" s="13"/>
      <c r="U797" s="13"/>
      <c r="V797" s="13"/>
      <c r="W797" s="13"/>
      <c r="X797" s="13"/>
      <c r="Y797" s="13"/>
      <c r="Z797" s="13"/>
      <c r="AA797" s="13"/>
      <c r="AB797" s="13"/>
    </row>
    <row r="798" spans="1:28" ht="17.399999999999999" x14ac:dyDescent="0.35">
      <c r="A798" s="16"/>
      <c r="B798" s="17"/>
      <c r="C798" s="13"/>
      <c r="D798" s="13"/>
      <c r="E798" s="15"/>
      <c r="F798" s="13"/>
      <c r="G798" s="13"/>
      <c r="H798" s="6"/>
      <c r="I798" s="13"/>
      <c r="J798" s="13"/>
      <c r="K798" s="13"/>
      <c r="L798" s="13"/>
      <c r="M798" s="13"/>
      <c r="N798" s="13"/>
      <c r="O798" s="13"/>
      <c r="P798" s="13"/>
      <c r="Q798" s="13"/>
      <c r="R798" s="13"/>
      <c r="S798" s="13"/>
      <c r="T798" s="13"/>
      <c r="U798" s="13"/>
      <c r="V798" s="13"/>
      <c r="W798" s="13"/>
      <c r="X798" s="13"/>
      <c r="Y798" s="13"/>
      <c r="Z798" s="13"/>
      <c r="AA798" s="13"/>
      <c r="AB798" s="13"/>
    </row>
    <row r="799" spans="1:28" ht="17.399999999999999" x14ac:dyDescent="0.35">
      <c r="A799" s="16"/>
      <c r="B799" s="17"/>
      <c r="C799" s="13"/>
      <c r="D799" s="13"/>
      <c r="E799" s="15"/>
      <c r="F799" s="13"/>
      <c r="G799" s="13"/>
      <c r="H799" s="6"/>
      <c r="I799" s="13"/>
      <c r="J799" s="13"/>
      <c r="K799" s="13"/>
      <c r="L799" s="13"/>
      <c r="M799" s="13"/>
      <c r="N799" s="13"/>
      <c r="O799" s="13"/>
      <c r="P799" s="13"/>
      <c r="Q799" s="13"/>
      <c r="R799" s="13"/>
      <c r="S799" s="13"/>
      <c r="T799" s="13"/>
      <c r="U799" s="13"/>
      <c r="V799" s="13"/>
      <c r="W799" s="13"/>
      <c r="X799" s="13"/>
      <c r="Y799" s="13"/>
      <c r="Z799" s="13"/>
      <c r="AA799" s="13"/>
      <c r="AB799" s="13"/>
    </row>
    <row r="800" spans="1:28" ht="17.399999999999999" x14ac:dyDescent="0.35">
      <c r="A800" s="16"/>
      <c r="B800" s="17"/>
      <c r="C800" s="13"/>
      <c r="D800" s="13"/>
      <c r="E800" s="15"/>
      <c r="F800" s="13"/>
      <c r="G800" s="13"/>
      <c r="H800" s="6"/>
      <c r="I800" s="13"/>
      <c r="J800" s="13"/>
      <c r="K800" s="13"/>
      <c r="L800" s="13"/>
      <c r="M800" s="13"/>
      <c r="N800" s="13"/>
      <c r="O800" s="13"/>
      <c r="P800" s="13"/>
      <c r="Q800" s="13"/>
      <c r="R800" s="13"/>
      <c r="S800" s="13"/>
      <c r="T800" s="13"/>
      <c r="U800" s="13"/>
      <c r="V800" s="13"/>
      <c r="W800" s="13"/>
      <c r="X800" s="13"/>
      <c r="Y800" s="13"/>
      <c r="Z800" s="13"/>
      <c r="AA800" s="13"/>
      <c r="AB800" s="13"/>
    </row>
    <row r="801" spans="1:28" ht="17.399999999999999" x14ac:dyDescent="0.35">
      <c r="A801" s="16"/>
      <c r="B801" s="17"/>
      <c r="C801" s="13"/>
      <c r="D801" s="13"/>
      <c r="E801" s="15"/>
      <c r="F801" s="13"/>
      <c r="G801" s="13"/>
      <c r="H801" s="6"/>
      <c r="I801" s="13"/>
      <c r="J801" s="13"/>
      <c r="K801" s="13"/>
      <c r="L801" s="13"/>
      <c r="M801" s="13"/>
      <c r="N801" s="13"/>
      <c r="O801" s="13"/>
      <c r="P801" s="13"/>
      <c r="Q801" s="13"/>
      <c r="R801" s="13"/>
      <c r="S801" s="13"/>
      <c r="T801" s="13"/>
      <c r="U801" s="13"/>
      <c r="V801" s="13"/>
      <c r="W801" s="13"/>
      <c r="X801" s="13"/>
      <c r="Y801" s="13"/>
      <c r="Z801" s="13"/>
      <c r="AA801" s="13"/>
      <c r="AB801" s="13"/>
    </row>
    <row r="802" spans="1:28" ht="17.399999999999999" x14ac:dyDescent="0.35">
      <c r="A802" s="16"/>
      <c r="B802" s="17"/>
      <c r="C802" s="13"/>
      <c r="D802" s="13"/>
      <c r="E802" s="15"/>
      <c r="F802" s="13"/>
      <c r="G802" s="13"/>
      <c r="H802" s="6"/>
      <c r="I802" s="13"/>
      <c r="J802" s="13"/>
      <c r="K802" s="13"/>
      <c r="L802" s="13"/>
      <c r="M802" s="13"/>
      <c r="N802" s="13"/>
      <c r="O802" s="13"/>
      <c r="P802" s="13"/>
      <c r="Q802" s="13"/>
      <c r="R802" s="13"/>
      <c r="S802" s="13"/>
      <c r="T802" s="13"/>
      <c r="U802" s="13"/>
      <c r="V802" s="13"/>
      <c r="W802" s="13"/>
      <c r="X802" s="13"/>
      <c r="Y802" s="13"/>
      <c r="Z802" s="13"/>
      <c r="AA802" s="13"/>
      <c r="AB802" s="13"/>
    </row>
    <row r="803" spans="1:28" ht="17.399999999999999" x14ac:dyDescent="0.35">
      <c r="A803" s="16"/>
      <c r="B803" s="17"/>
      <c r="C803" s="13"/>
      <c r="D803" s="13"/>
      <c r="E803" s="15"/>
      <c r="F803" s="13"/>
      <c r="G803" s="13"/>
      <c r="H803" s="6"/>
      <c r="I803" s="13"/>
      <c r="J803" s="13"/>
      <c r="K803" s="13"/>
      <c r="L803" s="13"/>
      <c r="M803" s="13"/>
      <c r="N803" s="13"/>
      <c r="O803" s="13"/>
      <c r="P803" s="13"/>
      <c r="Q803" s="13"/>
      <c r="R803" s="13"/>
      <c r="S803" s="13"/>
      <c r="T803" s="13"/>
      <c r="U803" s="13"/>
      <c r="V803" s="13"/>
      <c r="W803" s="13"/>
      <c r="X803" s="13"/>
      <c r="Y803" s="13"/>
      <c r="Z803" s="13"/>
      <c r="AA803" s="13"/>
      <c r="AB803" s="13"/>
    </row>
    <row r="804" spans="1:28" ht="17.399999999999999" x14ac:dyDescent="0.35">
      <c r="A804" s="16"/>
      <c r="B804" s="17"/>
      <c r="C804" s="13"/>
      <c r="D804" s="13"/>
      <c r="E804" s="15"/>
      <c r="F804" s="13"/>
      <c r="G804" s="13"/>
      <c r="H804" s="6"/>
      <c r="I804" s="13"/>
      <c r="J804" s="13"/>
      <c r="K804" s="13"/>
      <c r="L804" s="13"/>
      <c r="M804" s="13"/>
      <c r="N804" s="13"/>
      <c r="O804" s="13"/>
      <c r="P804" s="13"/>
      <c r="Q804" s="13"/>
      <c r="R804" s="13"/>
      <c r="S804" s="13"/>
      <c r="T804" s="13"/>
      <c r="U804" s="13"/>
      <c r="V804" s="13"/>
      <c r="W804" s="13"/>
      <c r="X804" s="13"/>
      <c r="Y804" s="13"/>
      <c r="Z804" s="13"/>
      <c r="AA804" s="13"/>
      <c r="AB804" s="13"/>
    </row>
    <row r="805" spans="1:28" ht="17.399999999999999" x14ac:dyDescent="0.35">
      <c r="A805" s="16"/>
      <c r="B805" s="17"/>
      <c r="C805" s="13"/>
      <c r="D805" s="13"/>
      <c r="E805" s="15"/>
      <c r="F805" s="13"/>
      <c r="G805" s="13"/>
      <c r="H805" s="6"/>
      <c r="I805" s="13"/>
      <c r="J805" s="13"/>
      <c r="K805" s="13"/>
      <c r="L805" s="13"/>
      <c r="M805" s="13"/>
      <c r="N805" s="13"/>
      <c r="O805" s="13"/>
      <c r="P805" s="13"/>
      <c r="Q805" s="13"/>
      <c r="R805" s="13"/>
      <c r="S805" s="13"/>
      <c r="T805" s="13"/>
      <c r="U805" s="13"/>
      <c r="V805" s="13"/>
      <c r="W805" s="13"/>
      <c r="X805" s="13"/>
      <c r="Y805" s="13"/>
      <c r="Z805" s="13"/>
      <c r="AA805" s="13"/>
      <c r="AB805" s="13"/>
    </row>
    <row r="806" spans="1:28" ht="17.399999999999999" x14ac:dyDescent="0.35">
      <c r="A806" s="16"/>
      <c r="B806" s="17"/>
      <c r="C806" s="13"/>
      <c r="D806" s="13"/>
      <c r="E806" s="15"/>
      <c r="F806" s="13"/>
      <c r="G806" s="13"/>
      <c r="H806" s="6"/>
      <c r="I806" s="13"/>
      <c r="J806" s="13"/>
      <c r="K806" s="13"/>
      <c r="L806" s="13"/>
      <c r="M806" s="13"/>
      <c r="N806" s="13"/>
      <c r="O806" s="13"/>
      <c r="P806" s="13"/>
      <c r="Q806" s="13"/>
      <c r="R806" s="13"/>
      <c r="S806" s="13"/>
      <c r="T806" s="13"/>
      <c r="U806" s="13"/>
      <c r="V806" s="13"/>
      <c r="W806" s="13"/>
      <c r="X806" s="13"/>
      <c r="Y806" s="13"/>
      <c r="Z806" s="13"/>
      <c r="AA806" s="13"/>
      <c r="AB806" s="13"/>
    </row>
    <row r="807" spans="1:28" ht="17.399999999999999" x14ac:dyDescent="0.35">
      <c r="A807" s="16"/>
      <c r="B807" s="17"/>
      <c r="C807" s="13"/>
      <c r="D807" s="13"/>
      <c r="E807" s="15"/>
      <c r="F807" s="13"/>
      <c r="G807" s="13"/>
      <c r="H807" s="6"/>
      <c r="I807" s="13"/>
      <c r="J807" s="13"/>
      <c r="K807" s="13"/>
      <c r="L807" s="13"/>
      <c r="M807" s="13"/>
      <c r="N807" s="13"/>
      <c r="O807" s="13"/>
      <c r="P807" s="13"/>
      <c r="Q807" s="13"/>
      <c r="R807" s="13"/>
      <c r="S807" s="13"/>
      <c r="T807" s="13"/>
      <c r="U807" s="13"/>
      <c r="V807" s="13"/>
      <c r="W807" s="13"/>
      <c r="X807" s="13"/>
      <c r="Y807" s="13"/>
      <c r="Z807" s="13"/>
      <c r="AA807" s="13"/>
      <c r="AB807" s="13"/>
    </row>
    <row r="808" spans="1:28" ht="17.399999999999999" x14ac:dyDescent="0.35">
      <c r="A808" s="16"/>
      <c r="B808" s="17"/>
      <c r="C808" s="13"/>
      <c r="D808" s="13"/>
      <c r="E808" s="15"/>
      <c r="F808" s="13"/>
      <c r="G808" s="13"/>
      <c r="H808" s="6"/>
      <c r="I808" s="13"/>
      <c r="J808" s="13"/>
      <c r="K808" s="13"/>
      <c r="L808" s="13"/>
      <c r="M808" s="13"/>
      <c r="N808" s="13"/>
      <c r="O808" s="13"/>
      <c r="P808" s="13"/>
      <c r="Q808" s="13"/>
      <c r="R808" s="13"/>
      <c r="S808" s="13"/>
      <c r="T808" s="13"/>
      <c r="U808" s="13"/>
      <c r="V808" s="13"/>
      <c r="W808" s="13"/>
      <c r="X808" s="13"/>
      <c r="Y808" s="13"/>
      <c r="Z808" s="13"/>
      <c r="AA808" s="13"/>
      <c r="AB808" s="13"/>
    </row>
    <row r="809" spans="1:28" ht="17.399999999999999" x14ac:dyDescent="0.35">
      <c r="A809" s="16"/>
      <c r="B809" s="17"/>
      <c r="C809" s="13"/>
      <c r="D809" s="13"/>
      <c r="E809" s="15"/>
      <c r="F809" s="13"/>
      <c r="G809" s="13"/>
      <c r="H809" s="6"/>
      <c r="I809" s="13"/>
      <c r="J809" s="13"/>
      <c r="K809" s="13"/>
      <c r="L809" s="13"/>
      <c r="M809" s="13"/>
      <c r="N809" s="13"/>
      <c r="O809" s="13"/>
      <c r="P809" s="13"/>
      <c r="Q809" s="13"/>
      <c r="R809" s="13"/>
      <c r="S809" s="13"/>
      <c r="T809" s="13"/>
      <c r="U809" s="13"/>
      <c r="V809" s="13"/>
      <c r="W809" s="13"/>
      <c r="X809" s="13"/>
      <c r="Y809" s="13"/>
      <c r="Z809" s="13"/>
      <c r="AA809" s="13"/>
      <c r="AB809" s="13"/>
    </row>
    <row r="810" spans="1:28" ht="17.399999999999999" x14ac:dyDescent="0.35">
      <c r="A810" s="16"/>
      <c r="B810" s="17"/>
      <c r="C810" s="13"/>
      <c r="D810" s="13"/>
      <c r="E810" s="15"/>
      <c r="F810" s="13"/>
      <c r="G810" s="13"/>
      <c r="H810" s="6"/>
      <c r="I810" s="13"/>
      <c r="J810" s="13"/>
      <c r="K810" s="13"/>
      <c r="L810" s="13"/>
      <c r="M810" s="13"/>
      <c r="N810" s="13"/>
      <c r="O810" s="13"/>
      <c r="P810" s="13"/>
      <c r="Q810" s="13"/>
      <c r="R810" s="13"/>
      <c r="S810" s="13"/>
      <c r="T810" s="13"/>
      <c r="U810" s="13"/>
      <c r="V810" s="13"/>
      <c r="W810" s="13"/>
      <c r="X810" s="13"/>
      <c r="Y810" s="13"/>
      <c r="Z810" s="13"/>
      <c r="AA810" s="13"/>
      <c r="AB810" s="13"/>
    </row>
    <row r="811" spans="1:28" ht="17.399999999999999" x14ac:dyDescent="0.35">
      <c r="A811" s="16"/>
      <c r="B811" s="17"/>
      <c r="C811" s="13"/>
      <c r="D811" s="13"/>
      <c r="E811" s="15"/>
      <c r="F811" s="13"/>
      <c r="G811" s="13"/>
      <c r="H811" s="6"/>
      <c r="I811" s="13"/>
      <c r="J811" s="13"/>
      <c r="K811" s="13"/>
      <c r="L811" s="13"/>
      <c r="M811" s="13"/>
      <c r="N811" s="13"/>
      <c r="O811" s="13"/>
      <c r="P811" s="13"/>
      <c r="Q811" s="13"/>
      <c r="R811" s="13"/>
      <c r="S811" s="13"/>
      <c r="T811" s="13"/>
      <c r="U811" s="13"/>
      <c r="V811" s="13"/>
      <c r="W811" s="13"/>
      <c r="X811" s="13"/>
      <c r="Y811" s="13"/>
      <c r="Z811" s="13"/>
      <c r="AA811" s="13"/>
      <c r="AB811" s="13"/>
    </row>
    <row r="812" spans="1:28" ht="17.399999999999999" x14ac:dyDescent="0.35">
      <c r="A812" s="16"/>
      <c r="B812" s="17"/>
      <c r="C812" s="13"/>
      <c r="D812" s="13"/>
      <c r="E812" s="15"/>
      <c r="F812" s="13"/>
      <c r="G812" s="13"/>
      <c r="H812" s="6"/>
      <c r="I812" s="13"/>
      <c r="J812" s="13"/>
      <c r="K812" s="13"/>
      <c r="L812" s="13"/>
      <c r="M812" s="13"/>
      <c r="N812" s="13"/>
      <c r="O812" s="13"/>
      <c r="P812" s="13"/>
      <c r="Q812" s="13"/>
      <c r="R812" s="13"/>
      <c r="S812" s="13"/>
      <c r="T812" s="13"/>
      <c r="U812" s="13"/>
      <c r="V812" s="13"/>
      <c r="W812" s="13"/>
      <c r="X812" s="13"/>
      <c r="Y812" s="13"/>
      <c r="Z812" s="13"/>
      <c r="AA812" s="13"/>
      <c r="AB812" s="13"/>
    </row>
    <row r="813" spans="1:28" ht="17.399999999999999" x14ac:dyDescent="0.35">
      <c r="A813" s="16"/>
      <c r="B813" s="17"/>
      <c r="C813" s="13"/>
      <c r="D813" s="13"/>
      <c r="E813" s="15"/>
      <c r="F813" s="13"/>
      <c r="G813" s="13"/>
      <c r="H813" s="6"/>
      <c r="I813" s="13"/>
      <c r="J813" s="13"/>
      <c r="K813" s="13"/>
      <c r="L813" s="13"/>
      <c r="M813" s="13"/>
      <c r="N813" s="13"/>
      <c r="O813" s="13"/>
      <c r="P813" s="13"/>
      <c r="Q813" s="13"/>
      <c r="R813" s="13"/>
      <c r="S813" s="13"/>
      <c r="T813" s="13"/>
      <c r="U813" s="13"/>
      <c r="V813" s="13"/>
      <c r="W813" s="13"/>
      <c r="X813" s="13"/>
      <c r="Y813" s="13"/>
      <c r="Z813" s="13"/>
      <c r="AA813" s="13"/>
      <c r="AB813" s="13"/>
    </row>
    <row r="814" spans="1:28" ht="17.399999999999999" x14ac:dyDescent="0.35">
      <c r="A814" s="16"/>
      <c r="B814" s="17"/>
      <c r="C814" s="13"/>
      <c r="D814" s="13"/>
      <c r="E814" s="15"/>
      <c r="F814" s="13"/>
      <c r="G814" s="13"/>
      <c r="H814" s="6"/>
      <c r="I814" s="13"/>
      <c r="J814" s="13"/>
      <c r="K814" s="13"/>
      <c r="L814" s="13"/>
      <c r="M814" s="13"/>
      <c r="N814" s="13"/>
      <c r="O814" s="13"/>
      <c r="P814" s="13"/>
      <c r="Q814" s="13"/>
      <c r="R814" s="13"/>
      <c r="S814" s="13"/>
      <c r="T814" s="13"/>
      <c r="U814" s="13"/>
      <c r="V814" s="13"/>
      <c r="W814" s="13"/>
      <c r="X814" s="13"/>
      <c r="Y814" s="13"/>
      <c r="Z814" s="13"/>
      <c r="AA814" s="13"/>
      <c r="AB814" s="13"/>
    </row>
    <row r="815" spans="1:28" ht="17.399999999999999" x14ac:dyDescent="0.35">
      <c r="A815" s="16"/>
      <c r="B815" s="17"/>
      <c r="C815" s="13"/>
      <c r="D815" s="13"/>
      <c r="E815" s="15"/>
      <c r="F815" s="13"/>
      <c r="G815" s="13"/>
      <c r="H815" s="6"/>
      <c r="I815" s="13"/>
      <c r="J815" s="13"/>
      <c r="K815" s="13"/>
      <c r="L815" s="13"/>
      <c r="M815" s="13"/>
      <c r="N815" s="13"/>
      <c r="O815" s="13"/>
      <c r="P815" s="13"/>
      <c r="Q815" s="13"/>
      <c r="R815" s="13"/>
      <c r="S815" s="13"/>
      <c r="T815" s="13"/>
      <c r="U815" s="13"/>
      <c r="V815" s="13"/>
      <c r="W815" s="13"/>
      <c r="X815" s="13"/>
      <c r="Y815" s="13"/>
      <c r="Z815" s="13"/>
      <c r="AA815" s="13"/>
      <c r="AB815" s="13"/>
    </row>
    <row r="816" spans="1:28" ht="17.399999999999999" x14ac:dyDescent="0.35">
      <c r="A816" s="16"/>
      <c r="B816" s="17"/>
      <c r="C816" s="13"/>
      <c r="D816" s="13"/>
      <c r="E816" s="15"/>
      <c r="F816" s="13"/>
      <c r="G816" s="13"/>
      <c r="H816" s="6"/>
      <c r="I816" s="13"/>
      <c r="J816" s="13"/>
      <c r="K816" s="13"/>
      <c r="L816" s="13"/>
      <c r="M816" s="13"/>
      <c r="N816" s="13"/>
      <c r="O816" s="13"/>
      <c r="P816" s="13"/>
      <c r="Q816" s="13"/>
      <c r="R816" s="13"/>
      <c r="S816" s="13"/>
      <c r="T816" s="13"/>
      <c r="U816" s="13"/>
      <c r="V816" s="13"/>
      <c r="W816" s="13"/>
      <c r="X816" s="13"/>
      <c r="Y816" s="13"/>
      <c r="Z816" s="13"/>
      <c r="AA816" s="13"/>
      <c r="AB816" s="13"/>
    </row>
    <row r="817" spans="1:28" ht="17.399999999999999" x14ac:dyDescent="0.35">
      <c r="A817" s="16"/>
      <c r="B817" s="17"/>
      <c r="C817" s="13"/>
      <c r="D817" s="13"/>
      <c r="E817" s="15"/>
      <c r="F817" s="13"/>
      <c r="G817" s="13"/>
      <c r="H817" s="6"/>
      <c r="I817" s="13"/>
      <c r="J817" s="13"/>
      <c r="K817" s="13"/>
      <c r="L817" s="13"/>
      <c r="M817" s="13"/>
      <c r="N817" s="13"/>
      <c r="O817" s="13"/>
      <c r="P817" s="13"/>
      <c r="Q817" s="13"/>
      <c r="R817" s="13"/>
      <c r="S817" s="13"/>
      <c r="T817" s="13"/>
      <c r="U817" s="13"/>
      <c r="V817" s="13"/>
      <c r="W817" s="13"/>
      <c r="X817" s="13"/>
      <c r="Y817" s="13"/>
      <c r="Z817" s="13"/>
      <c r="AA817" s="13"/>
      <c r="AB817" s="13"/>
    </row>
    <row r="818" spans="1:28" ht="17.399999999999999" x14ac:dyDescent="0.35">
      <c r="A818" s="16"/>
      <c r="B818" s="17"/>
      <c r="C818" s="13"/>
      <c r="D818" s="13"/>
      <c r="E818" s="15"/>
      <c r="F818" s="13"/>
      <c r="G818" s="13"/>
      <c r="H818" s="6"/>
      <c r="I818" s="13"/>
      <c r="J818" s="13"/>
      <c r="K818" s="13"/>
      <c r="L818" s="13"/>
      <c r="M818" s="13"/>
      <c r="N818" s="13"/>
      <c r="O818" s="13"/>
      <c r="P818" s="13"/>
      <c r="Q818" s="13"/>
      <c r="R818" s="13"/>
      <c r="S818" s="13"/>
      <c r="T818" s="13"/>
      <c r="U818" s="13"/>
      <c r="V818" s="13"/>
      <c r="W818" s="13"/>
      <c r="X818" s="13"/>
      <c r="Y818" s="13"/>
      <c r="Z818" s="13"/>
      <c r="AA818" s="13"/>
      <c r="AB818" s="13"/>
    </row>
    <row r="819" spans="1:28" ht="17.399999999999999" x14ac:dyDescent="0.35">
      <c r="A819" s="16"/>
      <c r="B819" s="17"/>
      <c r="C819" s="13"/>
      <c r="D819" s="13"/>
      <c r="E819" s="15"/>
      <c r="F819" s="13"/>
      <c r="G819" s="13"/>
      <c r="H819" s="6"/>
      <c r="I819" s="13"/>
      <c r="J819" s="13"/>
      <c r="K819" s="13"/>
      <c r="L819" s="13"/>
      <c r="M819" s="13"/>
      <c r="N819" s="13"/>
      <c r="O819" s="13"/>
      <c r="P819" s="13"/>
      <c r="Q819" s="13"/>
      <c r="R819" s="13"/>
      <c r="S819" s="13"/>
      <c r="T819" s="13"/>
      <c r="U819" s="13"/>
      <c r="V819" s="13"/>
      <c r="W819" s="13"/>
      <c r="X819" s="13"/>
      <c r="Y819" s="13"/>
      <c r="Z819" s="13"/>
      <c r="AA819" s="13"/>
      <c r="AB819" s="13"/>
    </row>
    <row r="820" spans="1:28" ht="17.399999999999999" x14ac:dyDescent="0.35">
      <c r="A820" s="16"/>
      <c r="B820" s="17"/>
      <c r="C820" s="13"/>
      <c r="D820" s="13"/>
      <c r="E820" s="15"/>
      <c r="F820" s="13"/>
      <c r="G820" s="13"/>
      <c r="H820" s="6"/>
      <c r="I820" s="13"/>
      <c r="J820" s="13"/>
      <c r="K820" s="13"/>
      <c r="L820" s="13"/>
      <c r="M820" s="13"/>
      <c r="N820" s="13"/>
      <c r="O820" s="13"/>
      <c r="P820" s="13"/>
      <c r="Q820" s="13"/>
      <c r="R820" s="13"/>
      <c r="S820" s="13"/>
      <c r="T820" s="13"/>
      <c r="U820" s="13"/>
      <c r="V820" s="13"/>
      <c r="W820" s="13"/>
      <c r="X820" s="13"/>
      <c r="Y820" s="13"/>
      <c r="Z820" s="13"/>
      <c r="AA820" s="13"/>
      <c r="AB820" s="13"/>
    </row>
    <row r="821" spans="1:28" ht="17.399999999999999" x14ac:dyDescent="0.35">
      <c r="A821" s="16"/>
      <c r="B821" s="17"/>
      <c r="C821" s="13"/>
      <c r="D821" s="13"/>
      <c r="E821" s="15"/>
      <c r="F821" s="13"/>
      <c r="G821" s="13"/>
      <c r="H821" s="6"/>
      <c r="I821" s="13"/>
      <c r="J821" s="13"/>
      <c r="K821" s="13"/>
      <c r="L821" s="13"/>
      <c r="M821" s="13"/>
      <c r="N821" s="13"/>
      <c r="O821" s="13"/>
      <c r="P821" s="13"/>
      <c r="Q821" s="13"/>
      <c r="R821" s="13"/>
      <c r="S821" s="13"/>
      <c r="T821" s="13"/>
      <c r="U821" s="13"/>
      <c r="V821" s="13"/>
      <c r="W821" s="13"/>
      <c r="X821" s="13"/>
      <c r="Y821" s="13"/>
      <c r="Z821" s="13"/>
      <c r="AA821" s="13"/>
      <c r="AB821" s="13"/>
    </row>
    <row r="822" spans="1:28" ht="17.399999999999999" x14ac:dyDescent="0.35">
      <c r="A822" s="16"/>
      <c r="B822" s="17"/>
      <c r="C822" s="13"/>
      <c r="D822" s="13"/>
      <c r="E822" s="15"/>
      <c r="F822" s="13"/>
      <c r="G822" s="13"/>
      <c r="H822" s="6"/>
      <c r="I822" s="13"/>
      <c r="J822" s="13"/>
      <c r="K822" s="13"/>
      <c r="L822" s="13"/>
      <c r="M822" s="13"/>
      <c r="N822" s="13"/>
      <c r="O822" s="13"/>
      <c r="P822" s="13"/>
      <c r="Q822" s="13"/>
      <c r="R822" s="13"/>
      <c r="S822" s="13"/>
      <c r="T822" s="13"/>
      <c r="U822" s="13"/>
      <c r="V822" s="13"/>
      <c r="W822" s="13"/>
      <c r="X822" s="13"/>
      <c r="Y822" s="13"/>
      <c r="Z822" s="13"/>
      <c r="AA822" s="13"/>
      <c r="AB822" s="13"/>
    </row>
    <row r="823" spans="1:28" ht="17.399999999999999" x14ac:dyDescent="0.35">
      <c r="A823" s="16"/>
      <c r="B823" s="17"/>
      <c r="C823" s="13"/>
      <c r="D823" s="13"/>
      <c r="E823" s="15"/>
      <c r="F823" s="13"/>
      <c r="G823" s="13"/>
      <c r="H823" s="6"/>
      <c r="I823" s="13"/>
      <c r="J823" s="13"/>
      <c r="K823" s="13"/>
      <c r="L823" s="13"/>
      <c r="M823" s="13"/>
      <c r="N823" s="13"/>
      <c r="O823" s="13"/>
      <c r="P823" s="13"/>
      <c r="Q823" s="13"/>
      <c r="R823" s="13"/>
      <c r="S823" s="13"/>
      <c r="T823" s="13"/>
      <c r="U823" s="13"/>
      <c r="V823" s="13"/>
      <c r="W823" s="13"/>
      <c r="X823" s="13"/>
      <c r="Y823" s="13"/>
      <c r="Z823" s="13"/>
      <c r="AA823" s="13"/>
      <c r="AB823" s="13"/>
    </row>
    <row r="824" spans="1:28" ht="17.399999999999999" x14ac:dyDescent="0.35">
      <c r="A824" s="16"/>
      <c r="B824" s="17"/>
      <c r="C824" s="13"/>
      <c r="D824" s="13"/>
      <c r="E824" s="15"/>
      <c r="F824" s="13"/>
      <c r="G824" s="13"/>
      <c r="H824" s="6"/>
      <c r="I824" s="13"/>
      <c r="J824" s="13"/>
      <c r="K824" s="13"/>
      <c r="L824" s="13"/>
      <c r="M824" s="13"/>
      <c r="N824" s="13"/>
      <c r="O824" s="13"/>
      <c r="P824" s="13"/>
      <c r="Q824" s="13"/>
      <c r="R824" s="13"/>
      <c r="S824" s="13"/>
      <c r="T824" s="13"/>
      <c r="U824" s="13"/>
      <c r="V824" s="13"/>
      <c r="W824" s="13"/>
      <c r="X824" s="13"/>
      <c r="Y824" s="13"/>
      <c r="Z824" s="13"/>
      <c r="AA824" s="13"/>
      <c r="AB824" s="13"/>
    </row>
    <row r="825" spans="1:28" ht="17.399999999999999" x14ac:dyDescent="0.35">
      <c r="A825" s="16"/>
      <c r="B825" s="17"/>
      <c r="C825" s="13"/>
      <c r="D825" s="13"/>
      <c r="E825" s="15"/>
      <c r="F825" s="13"/>
      <c r="G825" s="13"/>
      <c r="H825" s="6"/>
      <c r="I825" s="13"/>
      <c r="J825" s="13"/>
      <c r="K825" s="13"/>
      <c r="L825" s="13"/>
      <c r="M825" s="13"/>
      <c r="N825" s="13"/>
      <c r="O825" s="13"/>
      <c r="P825" s="13"/>
      <c r="Q825" s="13"/>
      <c r="R825" s="13"/>
      <c r="S825" s="13"/>
      <c r="T825" s="13"/>
      <c r="U825" s="13"/>
      <c r="V825" s="13"/>
      <c r="W825" s="13"/>
      <c r="X825" s="13"/>
      <c r="Y825" s="13"/>
      <c r="Z825" s="13"/>
      <c r="AA825" s="13"/>
      <c r="AB825" s="13"/>
    </row>
    <row r="826" spans="1:28" ht="17.399999999999999" x14ac:dyDescent="0.35">
      <c r="A826" s="16"/>
      <c r="B826" s="17"/>
      <c r="C826" s="13"/>
      <c r="D826" s="13"/>
      <c r="E826" s="15"/>
      <c r="F826" s="13"/>
      <c r="G826" s="13"/>
      <c r="H826" s="6"/>
      <c r="I826" s="13"/>
      <c r="J826" s="13"/>
      <c r="K826" s="13"/>
      <c r="L826" s="13"/>
      <c r="M826" s="13"/>
      <c r="N826" s="13"/>
      <c r="O826" s="13"/>
      <c r="P826" s="13"/>
      <c r="Q826" s="13"/>
      <c r="R826" s="13"/>
      <c r="S826" s="13"/>
      <c r="T826" s="13"/>
      <c r="U826" s="13"/>
      <c r="V826" s="13"/>
      <c r="W826" s="13"/>
      <c r="X826" s="13"/>
      <c r="Y826" s="13"/>
      <c r="Z826" s="13"/>
      <c r="AA826" s="13"/>
      <c r="AB826" s="13"/>
    </row>
    <row r="827" spans="1:28" ht="17.399999999999999" x14ac:dyDescent="0.35">
      <c r="A827" s="16"/>
      <c r="B827" s="17"/>
      <c r="C827" s="13"/>
      <c r="D827" s="13"/>
      <c r="E827" s="15"/>
      <c r="F827" s="13"/>
      <c r="G827" s="13"/>
      <c r="H827" s="6"/>
      <c r="I827" s="13"/>
      <c r="J827" s="13"/>
      <c r="K827" s="13"/>
      <c r="L827" s="13"/>
      <c r="M827" s="13"/>
      <c r="N827" s="13"/>
      <c r="O827" s="13"/>
      <c r="P827" s="13"/>
      <c r="Q827" s="13"/>
      <c r="R827" s="13"/>
      <c r="S827" s="13"/>
      <c r="T827" s="13"/>
      <c r="U827" s="13"/>
      <c r="V827" s="13"/>
      <c r="W827" s="13"/>
      <c r="X827" s="13"/>
      <c r="Y827" s="13"/>
      <c r="Z827" s="13"/>
      <c r="AA827" s="13"/>
      <c r="AB827" s="13"/>
    </row>
    <row r="828" spans="1:28" ht="17.399999999999999" x14ac:dyDescent="0.35">
      <c r="A828" s="16"/>
      <c r="B828" s="17"/>
      <c r="C828" s="13"/>
      <c r="D828" s="13"/>
      <c r="E828" s="15"/>
      <c r="F828" s="13"/>
      <c r="G828" s="13"/>
      <c r="H828" s="6"/>
      <c r="I828" s="13"/>
      <c r="J828" s="13"/>
      <c r="K828" s="13"/>
      <c r="L828" s="13"/>
      <c r="M828" s="13"/>
      <c r="N828" s="13"/>
      <c r="O828" s="13"/>
      <c r="P828" s="13"/>
      <c r="Q828" s="13"/>
      <c r="R828" s="13"/>
      <c r="S828" s="13"/>
      <c r="T828" s="13"/>
      <c r="U828" s="13"/>
      <c r="V828" s="13"/>
      <c r="W828" s="13"/>
      <c r="X828" s="13"/>
      <c r="Y828" s="13"/>
      <c r="Z828" s="13"/>
      <c r="AA828" s="13"/>
      <c r="AB828" s="13"/>
    </row>
    <row r="829" spans="1:28" ht="17.399999999999999" x14ac:dyDescent="0.35">
      <c r="A829" s="16"/>
      <c r="B829" s="17"/>
      <c r="C829" s="13"/>
      <c r="D829" s="13"/>
      <c r="E829" s="15"/>
      <c r="F829" s="13"/>
      <c r="G829" s="13"/>
      <c r="H829" s="6"/>
      <c r="I829" s="13"/>
      <c r="J829" s="13"/>
      <c r="K829" s="13"/>
      <c r="L829" s="13"/>
      <c r="M829" s="13"/>
      <c r="N829" s="13"/>
      <c r="O829" s="13"/>
      <c r="P829" s="13"/>
      <c r="Q829" s="13"/>
      <c r="R829" s="13"/>
      <c r="S829" s="13"/>
      <c r="T829" s="13"/>
      <c r="U829" s="13"/>
      <c r="V829" s="13"/>
      <c r="W829" s="13"/>
      <c r="X829" s="13"/>
      <c r="Y829" s="13"/>
      <c r="Z829" s="13"/>
      <c r="AA829" s="13"/>
      <c r="AB829" s="13"/>
    </row>
    <row r="830" spans="1:28" ht="17.399999999999999" x14ac:dyDescent="0.35">
      <c r="A830" s="16"/>
      <c r="B830" s="17"/>
      <c r="C830" s="13"/>
      <c r="D830" s="13"/>
      <c r="E830" s="15"/>
      <c r="F830" s="13"/>
      <c r="G830" s="13"/>
      <c r="H830" s="6"/>
      <c r="I830" s="13"/>
      <c r="J830" s="13"/>
      <c r="K830" s="13"/>
      <c r="L830" s="13"/>
      <c r="M830" s="13"/>
      <c r="N830" s="13"/>
      <c r="O830" s="13"/>
      <c r="P830" s="13"/>
      <c r="Q830" s="13"/>
      <c r="R830" s="13"/>
      <c r="S830" s="13"/>
      <c r="T830" s="13"/>
      <c r="U830" s="13"/>
      <c r="V830" s="13"/>
      <c r="W830" s="13"/>
      <c r="X830" s="13"/>
      <c r="Y830" s="13"/>
      <c r="Z830" s="13"/>
      <c r="AA830" s="13"/>
      <c r="AB830" s="13"/>
    </row>
    <row r="831" spans="1:28" ht="17.399999999999999" x14ac:dyDescent="0.35">
      <c r="A831" s="16"/>
      <c r="B831" s="17"/>
      <c r="C831" s="13"/>
      <c r="D831" s="13"/>
      <c r="E831" s="15"/>
      <c r="F831" s="13"/>
      <c r="G831" s="13"/>
      <c r="H831" s="6"/>
      <c r="I831" s="13"/>
      <c r="J831" s="13"/>
      <c r="K831" s="13"/>
      <c r="L831" s="13"/>
      <c r="M831" s="13"/>
      <c r="N831" s="13"/>
      <c r="O831" s="13"/>
      <c r="P831" s="13"/>
      <c r="Q831" s="13"/>
      <c r="R831" s="13"/>
      <c r="S831" s="13"/>
      <c r="T831" s="13"/>
      <c r="U831" s="13"/>
      <c r="V831" s="13"/>
      <c r="W831" s="13"/>
      <c r="X831" s="13"/>
      <c r="Y831" s="13"/>
      <c r="Z831" s="13"/>
      <c r="AA831" s="13"/>
      <c r="AB831" s="13"/>
    </row>
    <row r="832" spans="1:28" ht="17.399999999999999" x14ac:dyDescent="0.35">
      <c r="A832" s="16"/>
      <c r="B832" s="17"/>
      <c r="C832" s="13"/>
      <c r="D832" s="13"/>
      <c r="E832" s="15"/>
      <c r="F832" s="13"/>
      <c r="G832" s="13"/>
      <c r="H832" s="6"/>
      <c r="I832" s="13"/>
      <c r="J832" s="13"/>
      <c r="K832" s="13"/>
      <c r="L832" s="13"/>
      <c r="M832" s="13"/>
      <c r="N832" s="13"/>
      <c r="O832" s="13"/>
      <c r="P832" s="13"/>
      <c r="Q832" s="13"/>
      <c r="R832" s="13"/>
      <c r="S832" s="13"/>
      <c r="T832" s="13"/>
      <c r="U832" s="13"/>
      <c r="V832" s="13"/>
      <c r="W832" s="13"/>
      <c r="X832" s="13"/>
      <c r="Y832" s="13"/>
      <c r="Z832" s="13"/>
      <c r="AA832" s="13"/>
      <c r="AB832" s="13"/>
    </row>
    <row r="833" spans="1:28" ht="17.399999999999999" x14ac:dyDescent="0.35">
      <c r="A833" s="16"/>
      <c r="B833" s="17"/>
      <c r="C833" s="13"/>
      <c r="D833" s="13"/>
      <c r="E833" s="15"/>
      <c r="F833" s="13"/>
      <c r="G833" s="13"/>
      <c r="H833" s="6"/>
      <c r="I833" s="13"/>
      <c r="J833" s="13"/>
      <c r="K833" s="13"/>
      <c r="L833" s="13"/>
      <c r="M833" s="13"/>
      <c r="N833" s="13"/>
      <c r="O833" s="13"/>
      <c r="P833" s="13"/>
      <c r="Q833" s="13"/>
      <c r="R833" s="13"/>
      <c r="S833" s="13"/>
      <c r="T833" s="13"/>
      <c r="U833" s="13"/>
      <c r="V833" s="13"/>
      <c r="W833" s="13"/>
      <c r="X833" s="13"/>
      <c r="Y833" s="13"/>
      <c r="Z833" s="13"/>
      <c r="AA833" s="13"/>
      <c r="AB833" s="13"/>
    </row>
    <row r="834" spans="1:28" ht="17.399999999999999" x14ac:dyDescent="0.35">
      <c r="A834" s="16"/>
      <c r="B834" s="17"/>
      <c r="C834" s="13"/>
      <c r="D834" s="13"/>
      <c r="E834" s="15"/>
      <c r="F834" s="13"/>
      <c r="G834" s="13"/>
      <c r="H834" s="6"/>
      <c r="I834" s="13"/>
      <c r="J834" s="13"/>
      <c r="K834" s="13"/>
      <c r="L834" s="13"/>
      <c r="M834" s="13"/>
      <c r="N834" s="13"/>
      <c r="O834" s="13"/>
      <c r="P834" s="13"/>
      <c r="Q834" s="13"/>
      <c r="R834" s="13"/>
      <c r="S834" s="13"/>
      <c r="T834" s="13"/>
      <c r="U834" s="13"/>
      <c r="V834" s="13"/>
      <c r="W834" s="13"/>
      <c r="X834" s="13"/>
      <c r="Y834" s="13"/>
      <c r="Z834" s="13"/>
      <c r="AA834" s="13"/>
      <c r="AB834" s="13"/>
    </row>
    <row r="835" spans="1:28" ht="17.399999999999999" x14ac:dyDescent="0.35">
      <c r="A835" s="16"/>
      <c r="B835" s="17"/>
      <c r="C835" s="13"/>
      <c r="D835" s="13"/>
      <c r="E835" s="15"/>
      <c r="F835" s="13"/>
      <c r="G835" s="13"/>
      <c r="H835" s="6"/>
      <c r="I835" s="13"/>
      <c r="J835" s="13"/>
      <c r="K835" s="13"/>
      <c r="L835" s="13"/>
      <c r="M835" s="13"/>
      <c r="N835" s="13"/>
      <c r="O835" s="13"/>
      <c r="P835" s="13"/>
      <c r="Q835" s="13"/>
      <c r="R835" s="13"/>
      <c r="S835" s="13"/>
      <c r="T835" s="13"/>
      <c r="U835" s="13"/>
      <c r="V835" s="13"/>
      <c r="W835" s="13"/>
      <c r="X835" s="13"/>
      <c r="Y835" s="13"/>
      <c r="Z835" s="13"/>
      <c r="AA835" s="13"/>
      <c r="AB835" s="13"/>
    </row>
    <row r="836" spans="1:28" ht="17.399999999999999" x14ac:dyDescent="0.35">
      <c r="A836" s="16"/>
      <c r="B836" s="17"/>
      <c r="C836" s="13"/>
      <c r="D836" s="13"/>
      <c r="E836" s="15"/>
      <c r="F836" s="13"/>
      <c r="G836" s="13"/>
      <c r="H836" s="6"/>
      <c r="I836" s="13"/>
      <c r="J836" s="13"/>
      <c r="K836" s="13"/>
      <c r="L836" s="13"/>
      <c r="M836" s="13"/>
      <c r="N836" s="13"/>
      <c r="O836" s="13"/>
      <c r="P836" s="13"/>
      <c r="Q836" s="13"/>
      <c r="R836" s="13"/>
      <c r="S836" s="13"/>
      <c r="T836" s="13"/>
      <c r="U836" s="13"/>
      <c r="V836" s="13"/>
      <c r="W836" s="13"/>
      <c r="X836" s="13"/>
      <c r="Y836" s="13"/>
      <c r="Z836" s="13"/>
      <c r="AA836" s="13"/>
      <c r="AB836" s="13"/>
    </row>
    <row r="837" spans="1:28" ht="17.399999999999999" x14ac:dyDescent="0.35">
      <c r="A837" s="16"/>
      <c r="B837" s="17"/>
      <c r="C837" s="13"/>
      <c r="D837" s="13"/>
      <c r="E837" s="15"/>
      <c r="F837" s="13"/>
      <c r="G837" s="13"/>
      <c r="H837" s="6"/>
      <c r="I837" s="13"/>
      <c r="J837" s="13"/>
      <c r="K837" s="13"/>
      <c r="L837" s="13"/>
      <c r="M837" s="13"/>
      <c r="N837" s="13"/>
      <c r="O837" s="13"/>
      <c r="P837" s="13"/>
      <c r="Q837" s="13"/>
      <c r="R837" s="13"/>
      <c r="S837" s="13"/>
      <c r="T837" s="13"/>
      <c r="U837" s="13"/>
      <c r="V837" s="13"/>
      <c r="W837" s="13"/>
      <c r="X837" s="13"/>
      <c r="Y837" s="13"/>
      <c r="Z837" s="13"/>
      <c r="AA837" s="13"/>
      <c r="AB837" s="13"/>
    </row>
    <row r="838" spans="1:28" ht="17.399999999999999" x14ac:dyDescent="0.35">
      <c r="A838" s="16"/>
      <c r="B838" s="17"/>
      <c r="C838" s="13"/>
      <c r="D838" s="13"/>
      <c r="E838" s="15"/>
      <c r="F838" s="13"/>
      <c r="G838" s="13"/>
      <c r="H838" s="6"/>
      <c r="I838" s="13"/>
      <c r="J838" s="13"/>
      <c r="K838" s="13"/>
      <c r="L838" s="13"/>
      <c r="M838" s="13"/>
      <c r="N838" s="13"/>
      <c r="O838" s="13"/>
      <c r="P838" s="13"/>
      <c r="Q838" s="13"/>
      <c r="R838" s="13"/>
      <c r="S838" s="13"/>
      <c r="T838" s="13"/>
      <c r="U838" s="13"/>
      <c r="V838" s="13"/>
      <c r="W838" s="13"/>
      <c r="X838" s="13"/>
      <c r="Y838" s="13"/>
      <c r="Z838" s="13"/>
      <c r="AA838" s="13"/>
      <c r="AB838" s="13"/>
    </row>
    <row r="839" spans="1:28" ht="17.399999999999999" x14ac:dyDescent="0.35">
      <c r="A839" s="16"/>
      <c r="B839" s="17"/>
      <c r="C839" s="13"/>
      <c r="D839" s="13"/>
      <c r="E839" s="15"/>
      <c r="F839" s="13"/>
      <c r="G839" s="13"/>
      <c r="H839" s="6"/>
      <c r="I839" s="13"/>
      <c r="J839" s="13"/>
      <c r="K839" s="13"/>
      <c r="L839" s="13"/>
      <c r="M839" s="13"/>
      <c r="N839" s="13"/>
      <c r="O839" s="13"/>
      <c r="P839" s="13"/>
      <c r="Q839" s="13"/>
      <c r="R839" s="13"/>
      <c r="S839" s="13"/>
      <c r="T839" s="13"/>
      <c r="U839" s="13"/>
      <c r="V839" s="13"/>
      <c r="W839" s="13"/>
      <c r="X839" s="13"/>
      <c r="Y839" s="13"/>
      <c r="Z839" s="13"/>
      <c r="AA839" s="13"/>
      <c r="AB839" s="13"/>
    </row>
    <row r="840" spans="1:28" ht="17.399999999999999" x14ac:dyDescent="0.35">
      <c r="A840" s="16"/>
      <c r="B840" s="17"/>
      <c r="C840" s="13"/>
      <c r="D840" s="13"/>
      <c r="E840" s="15"/>
      <c r="F840" s="13"/>
      <c r="G840" s="13"/>
      <c r="H840" s="6"/>
      <c r="I840" s="13"/>
      <c r="J840" s="13"/>
      <c r="K840" s="13"/>
      <c r="L840" s="13"/>
      <c r="M840" s="13"/>
      <c r="N840" s="13"/>
      <c r="O840" s="13"/>
      <c r="P840" s="13"/>
      <c r="Q840" s="13"/>
      <c r="R840" s="13"/>
      <c r="S840" s="13"/>
      <c r="T840" s="13"/>
      <c r="U840" s="13"/>
      <c r="V840" s="13"/>
      <c r="W840" s="13"/>
      <c r="X840" s="13"/>
      <c r="Y840" s="13"/>
      <c r="Z840" s="13"/>
      <c r="AA840" s="13"/>
      <c r="AB840" s="13"/>
    </row>
    <row r="841" spans="1:28" ht="17.399999999999999" x14ac:dyDescent="0.35">
      <c r="A841" s="16"/>
      <c r="B841" s="17"/>
      <c r="C841" s="13"/>
      <c r="D841" s="13"/>
      <c r="E841" s="15"/>
      <c r="F841" s="13"/>
      <c r="G841" s="13"/>
      <c r="H841" s="6"/>
      <c r="I841" s="13"/>
      <c r="J841" s="13"/>
      <c r="K841" s="13"/>
      <c r="L841" s="13"/>
      <c r="M841" s="13"/>
      <c r="N841" s="13"/>
      <c r="O841" s="13"/>
      <c r="P841" s="13"/>
      <c r="Q841" s="13"/>
      <c r="R841" s="13"/>
      <c r="S841" s="13"/>
      <c r="T841" s="13"/>
      <c r="U841" s="13"/>
      <c r="V841" s="13"/>
      <c r="W841" s="13"/>
      <c r="X841" s="13"/>
      <c r="Y841" s="13"/>
      <c r="Z841" s="13"/>
      <c r="AA841" s="13"/>
      <c r="AB841" s="13"/>
    </row>
    <row r="842" spans="1:28" ht="17.399999999999999" x14ac:dyDescent="0.35">
      <c r="A842" s="16"/>
      <c r="B842" s="17"/>
      <c r="C842" s="13"/>
      <c r="D842" s="13"/>
      <c r="E842" s="15"/>
      <c r="F842" s="13"/>
      <c r="G842" s="13"/>
      <c r="H842" s="6"/>
      <c r="I842" s="13"/>
      <c r="J842" s="13"/>
      <c r="K842" s="13"/>
      <c r="L842" s="13"/>
      <c r="M842" s="13"/>
      <c r="N842" s="13"/>
      <c r="O842" s="13"/>
      <c r="P842" s="13"/>
      <c r="Q842" s="13"/>
      <c r="R842" s="13"/>
      <c r="S842" s="13"/>
      <c r="T842" s="13"/>
      <c r="U842" s="13"/>
      <c r="V842" s="13"/>
      <c r="W842" s="13"/>
      <c r="X842" s="13"/>
      <c r="Y842" s="13"/>
      <c r="Z842" s="13"/>
      <c r="AA842" s="13"/>
      <c r="AB842" s="13"/>
    </row>
    <row r="843" spans="1:28" ht="17.399999999999999" x14ac:dyDescent="0.35">
      <c r="A843" s="16"/>
      <c r="B843" s="17"/>
      <c r="C843" s="13"/>
      <c r="D843" s="13"/>
      <c r="E843" s="15"/>
      <c r="F843" s="13"/>
      <c r="G843" s="13"/>
      <c r="H843" s="6"/>
      <c r="I843" s="13"/>
      <c r="J843" s="13"/>
      <c r="K843" s="13"/>
      <c r="L843" s="13"/>
      <c r="M843" s="13"/>
      <c r="N843" s="13"/>
      <c r="O843" s="13"/>
      <c r="P843" s="13"/>
      <c r="Q843" s="13"/>
      <c r="R843" s="13"/>
      <c r="S843" s="13"/>
      <c r="T843" s="13"/>
      <c r="U843" s="13"/>
      <c r="V843" s="13"/>
      <c r="W843" s="13"/>
      <c r="X843" s="13"/>
      <c r="Y843" s="13"/>
      <c r="Z843" s="13"/>
      <c r="AA843" s="13"/>
      <c r="AB843" s="13"/>
    </row>
    <row r="844" spans="1:28" ht="17.399999999999999" x14ac:dyDescent="0.35">
      <c r="A844" s="16"/>
      <c r="B844" s="17"/>
      <c r="C844" s="13"/>
      <c r="D844" s="13"/>
      <c r="E844" s="15"/>
      <c r="F844" s="13"/>
      <c r="G844" s="13"/>
      <c r="H844" s="6"/>
      <c r="I844" s="13"/>
      <c r="J844" s="13"/>
      <c r="K844" s="13"/>
      <c r="L844" s="13"/>
      <c r="M844" s="13"/>
      <c r="N844" s="13"/>
      <c r="O844" s="13"/>
      <c r="P844" s="13"/>
      <c r="Q844" s="13"/>
      <c r="R844" s="13"/>
      <c r="S844" s="13"/>
      <c r="T844" s="13"/>
      <c r="U844" s="13"/>
      <c r="V844" s="13"/>
      <c r="W844" s="13"/>
      <c r="X844" s="13"/>
      <c r="Y844" s="13"/>
      <c r="Z844" s="13"/>
      <c r="AA844" s="13"/>
      <c r="AB844" s="13"/>
    </row>
    <row r="845" spans="1:28" ht="17.399999999999999" x14ac:dyDescent="0.35">
      <c r="A845" s="16"/>
      <c r="B845" s="17"/>
      <c r="C845" s="13"/>
      <c r="D845" s="13"/>
      <c r="E845" s="15"/>
      <c r="F845" s="13"/>
      <c r="G845" s="13"/>
      <c r="H845" s="6"/>
      <c r="I845" s="13"/>
      <c r="J845" s="13"/>
      <c r="K845" s="13"/>
      <c r="L845" s="13"/>
      <c r="M845" s="13"/>
      <c r="N845" s="13"/>
      <c r="O845" s="13"/>
      <c r="P845" s="13"/>
      <c r="Q845" s="13"/>
      <c r="R845" s="13"/>
      <c r="S845" s="13"/>
      <c r="T845" s="13"/>
      <c r="U845" s="13"/>
      <c r="V845" s="13"/>
      <c r="W845" s="13"/>
      <c r="X845" s="13"/>
      <c r="Y845" s="13"/>
      <c r="Z845" s="13"/>
      <c r="AA845" s="13"/>
      <c r="AB845" s="13"/>
    </row>
    <row r="846" spans="1:28" ht="17.399999999999999" x14ac:dyDescent="0.35">
      <c r="A846" s="16"/>
      <c r="B846" s="17"/>
      <c r="C846" s="13"/>
      <c r="D846" s="13"/>
      <c r="E846" s="15"/>
      <c r="F846" s="13"/>
      <c r="G846" s="13"/>
      <c r="H846" s="6"/>
      <c r="I846" s="13"/>
      <c r="J846" s="13"/>
      <c r="K846" s="13"/>
      <c r="L846" s="13"/>
      <c r="M846" s="13"/>
      <c r="N846" s="13"/>
      <c r="O846" s="13"/>
      <c r="P846" s="13"/>
      <c r="Q846" s="13"/>
      <c r="R846" s="13"/>
      <c r="S846" s="13"/>
      <c r="T846" s="13"/>
      <c r="U846" s="13"/>
      <c r="V846" s="13"/>
      <c r="W846" s="13"/>
      <c r="X846" s="13"/>
      <c r="Y846" s="13"/>
      <c r="Z846" s="13"/>
      <c r="AA846" s="13"/>
      <c r="AB846" s="13"/>
    </row>
    <row r="847" spans="1:28" ht="17.399999999999999" x14ac:dyDescent="0.35">
      <c r="A847" s="16"/>
      <c r="B847" s="17"/>
      <c r="C847" s="13"/>
      <c r="D847" s="13"/>
      <c r="E847" s="15"/>
      <c r="F847" s="13"/>
      <c r="G847" s="13"/>
      <c r="H847" s="6"/>
      <c r="I847" s="13"/>
      <c r="J847" s="13"/>
      <c r="K847" s="13"/>
      <c r="L847" s="13"/>
      <c r="M847" s="13"/>
      <c r="N847" s="13"/>
      <c r="O847" s="13"/>
      <c r="P847" s="13"/>
      <c r="Q847" s="13"/>
      <c r="R847" s="13"/>
      <c r="S847" s="13"/>
      <c r="T847" s="13"/>
      <c r="U847" s="13"/>
      <c r="V847" s="13"/>
      <c r="W847" s="13"/>
      <c r="X847" s="13"/>
      <c r="Y847" s="13"/>
      <c r="Z847" s="13"/>
      <c r="AA847" s="13"/>
      <c r="AB847" s="13"/>
    </row>
    <row r="848" spans="1:28" ht="17.399999999999999" x14ac:dyDescent="0.35">
      <c r="A848" s="16"/>
      <c r="B848" s="17"/>
      <c r="C848" s="13"/>
      <c r="D848" s="13"/>
      <c r="E848" s="15"/>
      <c r="F848" s="13"/>
      <c r="G848" s="13"/>
      <c r="H848" s="6"/>
      <c r="I848" s="13"/>
      <c r="J848" s="13"/>
      <c r="K848" s="13"/>
      <c r="L848" s="13"/>
      <c r="M848" s="13"/>
      <c r="N848" s="13"/>
      <c r="O848" s="13"/>
      <c r="P848" s="13"/>
      <c r="Q848" s="13"/>
      <c r="R848" s="13"/>
      <c r="S848" s="13"/>
      <c r="T848" s="13"/>
      <c r="U848" s="13"/>
      <c r="V848" s="13"/>
      <c r="W848" s="13"/>
      <c r="X848" s="13"/>
      <c r="Y848" s="13"/>
      <c r="Z848" s="13"/>
      <c r="AA848" s="13"/>
      <c r="AB848" s="13"/>
    </row>
    <row r="849" spans="1:28" ht="17.399999999999999" x14ac:dyDescent="0.35">
      <c r="A849" s="16"/>
      <c r="B849" s="17"/>
      <c r="C849" s="13"/>
      <c r="D849" s="13"/>
      <c r="E849" s="15"/>
      <c r="F849" s="13"/>
      <c r="G849" s="13"/>
      <c r="H849" s="6"/>
      <c r="I849" s="13"/>
      <c r="J849" s="13"/>
      <c r="K849" s="13"/>
      <c r="L849" s="13"/>
      <c r="M849" s="13"/>
      <c r="N849" s="13"/>
      <c r="O849" s="13"/>
      <c r="P849" s="13"/>
      <c r="Q849" s="13"/>
      <c r="R849" s="13"/>
      <c r="S849" s="13"/>
      <c r="T849" s="13"/>
      <c r="U849" s="13"/>
      <c r="V849" s="13"/>
      <c r="W849" s="13"/>
      <c r="X849" s="13"/>
      <c r="Y849" s="13"/>
      <c r="Z849" s="13"/>
      <c r="AA849" s="13"/>
      <c r="AB849" s="13"/>
    </row>
    <row r="850" spans="1:28" ht="17.399999999999999" x14ac:dyDescent="0.35">
      <c r="A850" s="16"/>
      <c r="B850" s="17"/>
      <c r="C850" s="13"/>
      <c r="D850" s="13"/>
      <c r="E850" s="15"/>
      <c r="F850" s="13"/>
      <c r="G850" s="13"/>
      <c r="H850" s="6"/>
      <c r="I850" s="13"/>
      <c r="J850" s="13"/>
      <c r="K850" s="13"/>
      <c r="L850" s="13"/>
      <c r="M850" s="13"/>
      <c r="N850" s="13"/>
      <c r="O850" s="13"/>
      <c r="P850" s="13"/>
      <c r="Q850" s="13"/>
      <c r="R850" s="13"/>
      <c r="S850" s="13"/>
      <c r="T850" s="13"/>
      <c r="U850" s="13"/>
      <c r="V850" s="13"/>
      <c r="W850" s="13"/>
      <c r="X850" s="13"/>
      <c r="Y850" s="13"/>
      <c r="Z850" s="13"/>
      <c r="AA850" s="13"/>
      <c r="AB850" s="13"/>
    </row>
    <row r="851" spans="1:28" ht="17.399999999999999" x14ac:dyDescent="0.35">
      <c r="A851" s="16"/>
      <c r="B851" s="17"/>
      <c r="C851" s="13"/>
      <c r="D851" s="13"/>
      <c r="E851" s="15"/>
      <c r="F851" s="13"/>
      <c r="G851" s="13"/>
      <c r="H851" s="6"/>
      <c r="I851" s="13"/>
      <c r="J851" s="13"/>
      <c r="K851" s="13"/>
      <c r="L851" s="13"/>
      <c r="M851" s="13"/>
      <c r="N851" s="13"/>
      <c r="O851" s="13"/>
      <c r="P851" s="13"/>
      <c r="Q851" s="13"/>
      <c r="R851" s="13"/>
      <c r="S851" s="13"/>
      <c r="T851" s="13"/>
      <c r="U851" s="13"/>
      <c r="V851" s="13"/>
      <c r="W851" s="13"/>
      <c r="X851" s="13"/>
      <c r="Y851" s="13"/>
      <c r="Z851" s="13"/>
      <c r="AA851" s="13"/>
      <c r="AB851" s="13"/>
    </row>
    <row r="852" spans="1:28" ht="17.399999999999999" x14ac:dyDescent="0.35">
      <c r="A852" s="16"/>
      <c r="B852" s="17"/>
      <c r="C852" s="13"/>
      <c r="D852" s="13"/>
      <c r="E852" s="15"/>
      <c r="F852" s="13"/>
      <c r="G852" s="13"/>
      <c r="H852" s="6"/>
      <c r="I852" s="13"/>
      <c r="J852" s="13"/>
      <c r="K852" s="13"/>
      <c r="L852" s="13"/>
      <c r="M852" s="13"/>
      <c r="N852" s="13"/>
      <c r="O852" s="13"/>
      <c r="P852" s="13"/>
      <c r="Q852" s="13"/>
      <c r="R852" s="13"/>
      <c r="S852" s="13"/>
      <c r="T852" s="13"/>
      <c r="U852" s="13"/>
      <c r="V852" s="13"/>
      <c r="W852" s="13"/>
      <c r="X852" s="13"/>
      <c r="Y852" s="13"/>
      <c r="Z852" s="13"/>
      <c r="AA852" s="13"/>
      <c r="AB852" s="13"/>
    </row>
    <row r="853" spans="1:28" ht="17.399999999999999" x14ac:dyDescent="0.35">
      <c r="A853" s="16"/>
      <c r="B853" s="17"/>
      <c r="C853" s="13"/>
      <c r="D853" s="13"/>
      <c r="E853" s="15"/>
      <c r="F853" s="13"/>
      <c r="G853" s="13"/>
      <c r="H853" s="6"/>
      <c r="I853" s="13"/>
      <c r="J853" s="13"/>
      <c r="K853" s="13"/>
      <c r="L853" s="13"/>
      <c r="M853" s="13"/>
      <c r="N853" s="13"/>
      <c r="O853" s="13"/>
      <c r="P853" s="13"/>
      <c r="Q853" s="13"/>
      <c r="R853" s="13"/>
      <c r="S853" s="13"/>
      <c r="T853" s="13"/>
      <c r="U853" s="13"/>
      <c r="V853" s="13"/>
      <c r="W853" s="13"/>
      <c r="X853" s="13"/>
      <c r="Y853" s="13"/>
      <c r="Z853" s="13"/>
      <c r="AA853" s="13"/>
      <c r="AB853" s="13"/>
    </row>
    <row r="854" spans="1:28" ht="17.399999999999999" x14ac:dyDescent="0.35">
      <c r="A854" s="16"/>
      <c r="B854" s="17"/>
      <c r="C854" s="13"/>
      <c r="D854" s="13"/>
      <c r="E854" s="15"/>
      <c r="F854" s="13"/>
      <c r="G854" s="13"/>
      <c r="H854" s="6"/>
      <c r="I854" s="13"/>
      <c r="J854" s="13"/>
      <c r="K854" s="13"/>
      <c r="L854" s="13"/>
      <c r="M854" s="13"/>
      <c r="N854" s="13"/>
      <c r="O854" s="13"/>
      <c r="P854" s="13"/>
      <c r="Q854" s="13"/>
      <c r="R854" s="13"/>
      <c r="S854" s="13"/>
      <c r="T854" s="13"/>
      <c r="U854" s="13"/>
      <c r="V854" s="13"/>
      <c r="W854" s="13"/>
      <c r="X854" s="13"/>
      <c r="Y854" s="13"/>
      <c r="Z854" s="13"/>
      <c r="AA854" s="13"/>
      <c r="AB854" s="13"/>
    </row>
    <row r="855" spans="1:28" ht="17.399999999999999" x14ac:dyDescent="0.35">
      <c r="A855" s="16"/>
      <c r="B855" s="17"/>
      <c r="C855" s="13"/>
      <c r="D855" s="13"/>
      <c r="E855" s="15"/>
      <c r="F855" s="13"/>
      <c r="G855" s="13"/>
      <c r="H855" s="6"/>
      <c r="I855" s="13"/>
      <c r="J855" s="13"/>
      <c r="K855" s="13"/>
      <c r="L855" s="13"/>
      <c r="M855" s="13"/>
      <c r="N855" s="13"/>
      <c r="O855" s="13"/>
      <c r="P855" s="13"/>
      <c r="Q855" s="13"/>
      <c r="R855" s="13"/>
      <c r="S855" s="13"/>
      <c r="T855" s="13"/>
      <c r="U855" s="13"/>
      <c r="V855" s="13"/>
      <c r="W855" s="13"/>
      <c r="X855" s="13"/>
      <c r="Y855" s="13"/>
      <c r="Z855" s="13"/>
      <c r="AA855" s="13"/>
      <c r="AB855" s="13"/>
    </row>
    <row r="856" spans="1:28" ht="17.399999999999999" x14ac:dyDescent="0.35">
      <c r="A856" s="16"/>
      <c r="B856" s="17"/>
      <c r="C856" s="13"/>
      <c r="D856" s="13"/>
      <c r="E856" s="15"/>
      <c r="F856" s="13"/>
      <c r="G856" s="13"/>
      <c r="H856" s="6"/>
      <c r="I856" s="13"/>
      <c r="J856" s="13"/>
      <c r="K856" s="13"/>
      <c r="L856" s="13"/>
      <c r="M856" s="13"/>
      <c r="N856" s="13"/>
      <c r="O856" s="13"/>
      <c r="P856" s="13"/>
      <c r="Q856" s="13"/>
      <c r="R856" s="13"/>
      <c r="S856" s="13"/>
      <c r="T856" s="13"/>
      <c r="U856" s="13"/>
      <c r="V856" s="13"/>
      <c r="W856" s="13"/>
      <c r="X856" s="13"/>
      <c r="Y856" s="13"/>
      <c r="Z856" s="13"/>
      <c r="AA856" s="13"/>
      <c r="AB856" s="13"/>
    </row>
    <row r="857" spans="1:28" ht="17.399999999999999" x14ac:dyDescent="0.35">
      <c r="A857" s="16"/>
      <c r="B857" s="17"/>
      <c r="C857" s="13"/>
      <c r="D857" s="13"/>
      <c r="E857" s="15"/>
      <c r="F857" s="13"/>
      <c r="G857" s="13"/>
      <c r="H857" s="6"/>
      <c r="I857" s="13"/>
      <c r="J857" s="13"/>
      <c r="K857" s="13"/>
      <c r="L857" s="13"/>
      <c r="M857" s="13"/>
      <c r="N857" s="13"/>
      <c r="O857" s="13"/>
      <c r="P857" s="13"/>
      <c r="Q857" s="13"/>
      <c r="R857" s="13"/>
      <c r="S857" s="13"/>
      <c r="T857" s="13"/>
      <c r="U857" s="13"/>
      <c r="V857" s="13"/>
      <c r="W857" s="13"/>
      <c r="X857" s="13"/>
      <c r="Y857" s="13"/>
      <c r="Z857" s="13"/>
      <c r="AA857" s="13"/>
      <c r="AB857" s="13"/>
    </row>
    <row r="858" spans="1:28" ht="17.399999999999999" x14ac:dyDescent="0.35">
      <c r="A858" s="16"/>
      <c r="B858" s="17"/>
      <c r="C858" s="13"/>
      <c r="D858" s="13"/>
      <c r="E858" s="15"/>
      <c r="F858" s="13"/>
      <c r="G858" s="13"/>
      <c r="H858" s="6"/>
      <c r="I858" s="13"/>
      <c r="J858" s="13"/>
      <c r="K858" s="13"/>
      <c r="L858" s="13"/>
      <c r="M858" s="13"/>
      <c r="N858" s="13"/>
      <c r="O858" s="13"/>
      <c r="P858" s="13"/>
      <c r="Q858" s="13"/>
      <c r="R858" s="13"/>
      <c r="S858" s="13"/>
      <c r="T858" s="13"/>
      <c r="U858" s="13"/>
      <c r="V858" s="13"/>
      <c r="W858" s="13"/>
      <c r="X858" s="13"/>
      <c r="Y858" s="13"/>
      <c r="Z858" s="13"/>
      <c r="AA858" s="13"/>
      <c r="AB858" s="13"/>
    </row>
    <row r="859" spans="1:28" ht="17.399999999999999" x14ac:dyDescent="0.35">
      <c r="A859" s="16"/>
      <c r="B859" s="17"/>
      <c r="C859" s="13"/>
      <c r="D859" s="13"/>
      <c r="E859" s="15"/>
      <c r="F859" s="13"/>
      <c r="G859" s="13"/>
      <c r="H859" s="6"/>
      <c r="I859" s="13"/>
      <c r="J859" s="13"/>
      <c r="K859" s="13"/>
      <c r="L859" s="13"/>
      <c r="M859" s="13"/>
      <c r="N859" s="13"/>
      <c r="O859" s="13"/>
      <c r="P859" s="13"/>
      <c r="Q859" s="13"/>
      <c r="R859" s="13"/>
      <c r="S859" s="13"/>
      <c r="T859" s="13"/>
      <c r="U859" s="13"/>
      <c r="V859" s="13"/>
      <c r="W859" s="13"/>
      <c r="X859" s="13"/>
      <c r="Y859" s="13"/>
      <c r="Z859" s="13"/>
      <c r="AA859" s="13"/>
      <c r="AB859" s="13"/>
    </row>
    <row r="860" spans="1:28" ht="17.399999999999999" x14ac:dyDescent="0.35">
      <c r="A860" s="16"/>
      <c r="B860" s="17"/>
      <c r="C860" s="13"/>
      <c r="D860" s="13"/>
      <c r="E860" s="15"/>
      <c r="F860" s="13"/>
      <c r="G860" s="13"/>
      <c r="H860" s="6"/>
      <c r="I860" s="13"/>
      <c r="J860" s="13"/>
      <c r="K860" s="13"/>
      <c r="L860" s="13"/>
      <c r="M860" s="13"/>
      <c r="N860" s="13"/>
      <c r="O860" s="13"/>
      <c r="P860" s="13"/>
      <c r="Q860" s="13"/>
      <c r="R860" s="13"/>
      <c r="S860" s="13"/>
      <c r="T860" s="13"/>
      <c r="U860" s="13"/>
      <c r="V860" s="13"/>
      <c r="W860" s="13"/>
      <c r="X860" s="13"/>
      <c r="Y860" s="13"/>
      <c r="Z860" s="13"/>
      <c r="AA860" s="13"/>
      <c r="AB860" s="13"/>
    </row>
    <row r="861" spans="1:28" ht="17.399999999999999" x14ac:dyDescent="0.35">
      <c r="A861" s="16"/>
      <c r="B861" s="17"/>
      <c r="C861" s="13"/>
      <c r="D861" s="13"/>
      <c r="E861" s="15"/>
      <c r="F861" s="13"/>
      <c r="G861" s="13"/>
      <c r="H861" s="6"/>
      <c r="I861" s="13"/>
      <c r="J861" s="13"/>
      <c r="K861" s="13"/>
      <c r="L861" s="13"/>
      <c r="M861" s="13"/>
      <c r="N861" s="13"/>
      <c r="O861" s="13"/>
      <c r="P861" s="13"/>
      <c r="Q861" s="13"/>
      <c r="R861" s="13"/>
      <c r="S861" s="13"/>
      <c r="T861" s="13"/>
      <c r="U861" s="13"/>
      <c r="V861" s="13"/>
      <c r="W861" s="13"/>
      <c r="X861" s="13"/>
      <c r="Y861" s="13"/>
      <c r="Z861" s="13"/>
      <c r="AA861" s="13"/>
      <c r="AB861" s="13"/>
    </row>
    <row r="862" spans="1:28" ht="17.399999999999999" x14ac:dyDescent="0.35">
      <c r="A862" s="16"/>
      <c r="B862" s="17"/>
      <c r="C862" s="13"/>
      <c r="D862" s="13"/>
      <c r="E862" s="15"/>
      <c r="F862" s="13"/>
      <c r="G862" s="13"/>
      <c r="H862" s="6"/>
      <c r="I862" s="13"/>
      <c r="J862" s="13"/>
      <c r="K862" s="13"/>
      <c r="L862" s="13"/>
      <c r="M862" s="13"/>
      <c r="N862" s="13"/>
      <c r="O862" s="13"/>
      <c r="P862" s="13"/>
      <c r="Q862" s="13"/>
      <c r="R862" s="13"/>
      <c r="S862" s="13"/>
      <c r="T862" s="13"/>
      <c r="U862" s="13"/>
      <c r="V862" s="13"/>
      <c r="W862" s="13"/>
      <c r="X862" s="13"/>
      <c r="Y862" s="13"/>
      <c r="Z862" s="13"/>
      <c r="AA862" s="13"/>
      <c r="AB862" s="13"/>
    </row>
    <row r="863" spans="1:28" ht="17.399999999999999" x14ac:dyDescent="0.35">
      <c r="A863" s="16"/>
      <c r="B863" s="17"/>
      <c r="C863" s="13"/>
      <c r="D863" s="13"/>
      <c r="E863" s="15"/>
      <c r="F863" s="13"/>
      <c r="G863" s="13"/>
      <c r="H863" s="6"/>
      <c r="I863" s="13"/>
      <c r="J863" s="13"/>
      <c r="K863" s="13"/>
      <c r="L863" s="13"/>
      <c r="M863" s="13"/>
      <c r="N863" s="13"/>
      <c r="O863" s="13"/>
      <c r="P863" s="13"/>
      <c r="Q863" s="13"/>
      <c r="R863" s="13"/>
      <c r="S863" s="13"/>
      <c r="T863" s="13"/>
      <c r="U863" s="13"/>
      <c r="V863" s="13"/>
      <c r="W863" s="13"/>
      <c r="X863" s="13"/>
      <c r="Y863" s="13"/>
      <c r="Z863" s="13"/>
      <c r="AA863" s="13"/>
      <c r="AB863" s="13"/>
    </row>
    <row r="864" spans="1:28" ht="17.399999999999999" x14ac:dyDescent="0.35">
      <c r="A864" s="16"/>
      <c r="B864" s="17"/>
      <c r="C864" s="13"/>
      <c r="D864" s="13"/>
      <c r="E864" s="15"/>
      <c r="F864" s="13"/>
      <c r="G864" s="13"/>
      <c r="H864" s="6"/>
      <c r="I864" s="13"/>
      <c r="J864" s="13"/>
      <c r="K864" s="13"/>
      <c r="L864" s="13"/>
      <c r="M864" s="13"/>
      <c r="N864" s="13"/>
      <c r="O864" s="13"/>
      <c r="P864" s="13"/>
      <c r="Q864" s="13"/>
      <c r="R864" s="13"/>
      <c r="S864" s="13"/>
      <c r="T864" s="13"/>
      <c r="U864" s="13"/>
      <c r="V864" s="13"/>
      <c r="W864" s="13"/>
      <c r="X864" s="13"/>
      <c r="Y864" s="13"/>
      <c r="Z864" s="13"/>
      <c r="AA864" s="13"/>
      <c r="AB864" s="13"/>
    </row>
    <row r="865" spans="1:28" ht="17.399999999999999" x14ac:dyDescent="0.35">
      <c r="A865" s="16"/>
      <c r="B865" s="17"/>
      <c r="C865" s="13"/>
      <c r="D865" s="13"/>
      <c r="E865" s="15"/>
      <c r="F865" s="13"/>
      <c r="G865" s="13"/>
      <c r="H865" s="6"/>
      <c r="I865" s="13"/>
      <c r="J865" s="13"/>
      <c r="K865" s="13"/>
      <c r="L865" s="13"/>
      <c r="M865" s="13"/>
      <c r="N865" s="13"/>
      <c r="O865" s="13"/>
      <c r="P865" s="13"/>
      <c r="Q865" s="13"/>
      <c r="R865" s="13"/>
      <c r="S865" s="13"/>
      <c r="T865" s="13"/>
      <c r="U865" s="13"/>
      <c r="V865" s="13"/>
      <c r="W865" s="13"/>
      <c r="X865" s="13"/>
      <c r="Y865" s="13"/>
      <c r="Z865" s="13"/>
      <c r="AA865" s="13"/>
      <c r="AB865" s="13"/>
    </row>
    <row r="866" spans="1:28" ht="17.399999999999999" x14ac:dyDescent="0.35">
      <c r="A866" s="16"/>
      <c r="B866" s="17"/>
      <c r="C866" s="13"/>
      <c r="D866" s="13"/>
      <c r="E866" s="15"/>
      <c r="F866" s="13"/>
      <c r="G866" s="13"/>
      <c r="H866" s="6"/>
      <c r="I866" s="13"/>
      <c r="J866" s="13"/>
      <c r="K866" s="13"/>
      <c r="L866" s="13"/>
      <c r="M866" s="13"/>
      <c r="N866" s="13"/>
      <c r="O866" s="13"/>
      <c r="P866" s="13"/>
      <c r="Q866" s="13"/>
      <c r="R866" s="13"/>
      <c r="S866" s="13"/>
      <c r="T866" s="13"/>
      <c r="U866" s="13"/>
      <c r="V866" s="13"/>
      <c r="W866" s="13"/>
      <c r="X866" s="13"/>
      <c r="Y866" s="13"/>
      <c r="Z866" s="13"/>
      <c r="AA866" s="13"/>
      <c r="AB866" s="13"/>
    </row>
    <row r="867" spans="1:28" ht="17.399999999999999" x14ac:dyDescent="0.35">
      <c r="A867" s="16"/>
      <c r="B867" s="17"/>
      <c r="C867" s="13"/>
      <c r="D867" s="13"/>
      <c r="E867" s="15"/>
      <c r="F867" s="13"/>
      <c r="G867" s="13"/>
      <c r="H867" s="6"/>
      <c r="I867" s="13"/>
      <c r="J867" s="13"/>
      <c r="K867" s="13"/>
      <c r="L867" s="13"/>
      <c r="M867" s="13"/>
      <c r="N867" s="13"/>
      <c r="O867" s="13"/>
      <c r="P867" s="13"/>
      <c r="Q867" s="13"/>
      <c r="R867" s="13"/>
      <c r="S867" s="13"/>
      <c r="T867" s="13"/>
      <c r="U867" s="13"/>
      <c r="V867" s="13"/>
      <c r="W867" s="13"/>
      <c r="X867" s="13"/>
      <c r="Y867" s="13"/>
      <c r="Z867" s="13"/>
      <c r="AA867" s="13"/>
      <c r="AB867" s="13"/>
    </row>
    <row r="868" spans="1:28" ht="17.399999999999999" x14ac:dyDescent="0.35">
      <c r="A868" s="16"/>
      <c r="B868" s="17"/>
      <c r="C868" s="13"/>
      <c r="D868" s="13"/>
      <c r="E868" s="15"/>
      <c r="F868" s="13"/>
      <c r="G868" s="13"/>
      <c r="H868" s="6"/>
      <c r="I868" s="13"/>
      <c r="J868" s="13"/>
      <c r="K868" s="13"/>
      <c r="L868" s="13"/>
      <c r="M868" s="13"/>
      <c r="N868" s="13"/>
      <c r="O868" s="13"/>
      <c r="P868" s="13"/>
      <c r="Q868" s="13"/>
      <c r="R868" s="13"/>
      <c r="S868" s="13"/>
      <c r="T868" s="13"/>
      <c r="U868" s="13"/>
      <c r="V868" s="13"/>
      <c r="W868" s="13"/>
      <c r="X868" s="13"/>
      <c r="Y868" s="13"/>
      <c r="Z868" s="13"/>
      <c r="AA868" s="13"/>
      <c r="AB868" s="13"/>
    </row>
    <row r="869" spans="1:28" ht="17.399999999999999" x14ac:dyDescent="0.35">
      <c r="A869" s="16"/>
      <c r="B869" s="17"/>
      <c r="C869" s="13"/>
      <c r="D869" s="13"/>
      <c r="E869" s="15"/>
      <c r="F869" s="13"/>
      <c r="G869" s="13"/>
      <c r="H869" s="6"/>
      <c r="I869" s="13"/>
      <c r="J869" s="13"/>
      <c r="K869" s="13"/>
      <c r="L869" s="13"/>
      <c r="M869" s="13"/>
      <c r="N869" s="13"/>
      <c r="O869" s="13"/>
      <c r="P869" s="13"/>
      <c r="Q869" s="13"/>
      <c r="R869" s="13"/>
      <c r="S869" s="13"/>
      <c r="T869" s="13"/>
      <c r="U869" s="13"/>
      <c r="V869" s="13"/>
      <c r="W869" s="13"/>
      <c r="X869" s="13"/>
      <c r="Y869" s="13"/>
      <c r="Z869" s="13"/>
      <c r="AA869" s="13"/>
      <c r="AB869" s="13"/>
    </row>
    <row r="870" spans="1:28" ht="17.399999999999999" x14ac:dyDescent="0.35">
      <c r="A870" s="16"/>
      <c r="B870" s="17"/>
      <c r="C870" s="13"/>
      <c r="D870" s="13"/>
      <c r="E870" s="15"/>
      <c r="F870" s="13"/>
      <c r="G870" s="13"/>
      <c r="H870" s="6"/>
      <c r="I870" s="13"/>
      <c r="J870" s="13"/>
      <c r="K870" s="13"/>
      <c r="L870" s="13"/>
      <c r="M870" s="13"/>
      <c r="N870" s="13"/>
      <c r="O870" s="13"/>
      <c r="P870" s="13"/>
      <c r="Q870" s="13"/>
      <c r="R870" s="13"/>
      <c r="S870" s="13"/>
      <c r="T870" s="13"/>
      <c r="U870" s="13"/>
      <c r="V870" s="13"/>
      <c r="W870" s="13"/>
      <c r="X870" s="13"/>
      <c r="Y870" s="13"/>
      <c r="Z870" s="13"/>
      <c r="AA870" s="13"/>
      <c r="AB870" s="13"/>
    </row>
    <row r="871" spans="1:28" ht="17.399999999999999" x14ac:dyDescent="0.35">
      <c r="A871" s="16"/>
      <c r="B871" s="17"/>
      <c r="C871" s="13"/>
      <c r="D871" s="13"/>
      <c r="E871" s="15"/>
      <c r="F871" s="13"/>
      <c r="G871" s="13"/>
      <c r="H871" s="6"/>
      <c r="I871" s="13"/>
      <c r="J871" s="13"/>
      <c r="K871" s="13"/>
      <c r="L871" s="13"/>
      <c r="M871" s="13"/>
      <c r="N871" s="13"/>
      <c r="O871" s="13"/>
      <c r="P871" s="13"/>
      <c r="Q871" s="13"/>
      <c r="R871" s="13"/>
      <c r="S871" s="13"/>
      <c r="T871" s="13"/>
      <c r="U871" s="13"/>
      <c r="V871" s="13"/>
      <c r="W871" s="13"/>
      <c r="X871" s="13"/>
      <c r="Y871" s="13"/>
      <c r="Z871" s="13"/>
      <c r="AA871" s="13"/>
      <c r="AB871" s="13"/>
    </row>
    <row r="872" spans="1:28" ht="17.399999999999999" x14ac:dyDescent="0.35">
      <c r="A872" s="16"/>
      <c r="B872" s="17"/>
      <c r="C872" s="13"/>
      <c r="D872" s="13"/>
      <c r="E872" s="15"/>
      <c r="F872" s="13"/>
      <c r="G872" s="13"/>
      <c r="H872" s="6"/>
      <c r="I872" s="13"/>
      <c r="J872" s="13"/>
      <c r="K872" s="13"/>
      <c r="L872" s="13"/>
      <c r="M872" s="13"/>
      <c r="N872" s="13"/>
      <c r="O872" s="13"/>
      <c r="P872" s="13"/>
      <c r="Q872" s="13"/>
      <c r="R872" s="13"/>
      <c r="S872" s="13"/>
      <c r="T872" s="13"/>
      <c r="U872" s="13"/>
      <c r="V872" s="13"/>
      <c r="W872" s="13"/>
      <c r="X872" s="13"/>
      <c r="Y872" s="13"/>
      <c r="Z872" s="13"/>
      <c r="AA872" s="13"/>
      <c r="AB872" s="13"/>
    </row>
    <row r="873" spans="1:28" ht="17.399999999999999" x14ac:dyDescent="0.35">
      <c r="A873" s="16"/>
      <c r="B873" s="17"/>
      <c r="C873" s="13"/>
      <c r="D873" s="13"/>
      <c r="E873" s="15"/>
      <c r="F873" s="13"/>
      <c r="G873" s="13"/>
      <c r="H873" s="6"/>
      <c r="I873" s="13"/>
      <c r="J873" s="13"/>
      <c r="K873" s="13"/>
      <c r="L873" s="13"/>
      <c r="M873" s="13"/>
      <c r="N873" s="13"/>
      <c r="O873" s="13"/>
      <c r="P873" s="13"/>
      <c r="Q873" s="13"/>
      <c r="R873" s="13"/>
      <c r="S873" s="13"/>
      <c r="T873" s="13"/>
      <c r="U873" s="13"/>
      <c r="V873" s="13"/>
      <c r="W873" s="13"/>
      <c r="X873" s="13"/>
      <c r="Y873" s="13"/>
      <c r="Z873" s="13"/>
      <c r="AA873" s="13"/>
      <c r="AB873" s="13"/>
    </row>
    <row r="874" spans="1:28" ht="17.399999999999999" x14ac:dyDescent="0.35">
      <c r="A874" s="16"/>
      <c r="B874" s="17"/>
      <c r="C874" s="13"/>
      <c r="D874" s="13"/>
      <c r="E874" s="15"/>
      <c r="F874" s="13"/>
      <c r="G874" s="13"/>
      <c r="H874" s="6"/>
      <c r="I874" s="13"/>
      <c r="J874" s="13"/>
      <c r="K874" s="13"/>
      <c r="L874" s="13"/>
      <c r="M874" s="13"/>
      <c r="N874" s="13"/>
      <c r="O874" s="13"/>
      <c r="P874" s="13"/>
      <c r="Q874" s="13"/>
      <c r="R874" s="13"/>
      <c r="S874" s="13"/>
      <c r="T874" s="13"/>
      <c r="U874" s="13"/>
      <c r="V874" s="13"/>
      <c r="W874" s="13"/>
      <c r="X874" s="13"/>
      <c r="Y874" s="13"/>
      <c r="Z874" s="13"/>
      <c r="AA874" s="13"/>
      <c r="AB874" s="13"/>
    </row>
    <row r="875" spans="1:28" ht="17.399999999999999" x14ac:dyDescent="0.35">
      <c r="A875" s="16"/>
      <c r="B875" s="17"/>
      <c r="C875" s="13"/>
      <c r="D875" s="13"/>
      <c r="E875" s="15"/>
      <c r="F875" s="13"/>
      <c r="G875" s="13"/>
      <c r="H875" s="6"/>
      <c r="I875" s="13"/>
      <c r="J875" s="13"/>
      <c r="K875" s="13"/>
      <c r="L875" s="13"/>
      <c r="M875" s="13"/>
      <c r="N875" s="13"/>
      <c r="O875" s="13"/>
      <c r="P875" s="13"/>
      <c r="Q875" s="13"/>
      <c r="R875" s="13"/>
      <c r="S875" s="13"/>
      <c r="T875" s="13"/>
      <c r="U875" s="13"/>
      <c r="V875" s="13"/>
      <c r="W875" s="13"/>
      <c r="X875" s="13"/>
      <c r="Y875" s="13"/>
      <c r="Z875" s="13"/>
      <c r="AA875" s="13"/>
      <c r="AB875" s="13"/>
    </row>
    <row r="876" spans="1:28" ht="17.399999999999999" x14ac:dyDescent="0.35">
      <c r="A876" s="16"/>
      <c r="B876" s="17"/>
      <c r="C876" s="13"/>
      <c r="D876" s="13"/>
      <c r="E876" s="15"/>
      <c r="F876" s="13"/>
      <c r="G876" s="13"/>
      <c r="H876" s="6"/>
      <c r="I876" s="13"/>
      <c r="J876" s="13"/>
      <c r="K876" s="13"/>
      <c r="L876" s="13"/>
      <c r="M876" s="13"/>
      <c r="N876" s="13"/>
      <c r="O876" s="13"/>
      <c r="P876" s="13"/>
      <c r="Q876" s="13"/>
      <c r="R876" s="13"/>
      <c r="S876" s="13"/>
      <c r="T876" s="13"/>
      <c r="U876" s="13"/>
      <c r="V876" s="13"/>
      <c r="W876" s="13"/>
      <c r="X876" s="13"/>
      <c r="Y876" s="13"/>
      <c r="Z876" s="13"/>
      <c r="AA876" s="13"/>
      <c r="AB876" s="13"/>
    </row>
    <row r="877" spans="1:28" ht="17.399999999999999" x14ac:dyDescent="0.35">
      <c r="A877" s="16"/>
      <c r="B877" s="17"/>
      <c r="C877" s="13"/>
      <c r="D877" s="13"/>
      <c r="E877" s="15"/>
      <c r="F877" s="13"/>
      <c r="G877" s="13"/>
      <c r="H877" s="6"/>
      <c r="I877" s="13"/>
      <c r="J877" s="13"/>
      <c r="K877" s="13"/>
      <c r="L877" s="13"/>
      <c r="M877" s="13"/>
      <c r="N877" s="13"/>
      <c r="O877" s="13"/>
      <c r="P877" s="13"/>
      <c r="Q877" s="13"/>
      <c r="R877" s="13"/>
      <c r="S877" s="13"/>
      <c r="T877" s="13"/>
      <c r="U877" s="13"/>
      <c r="V877" s="13"/>
      <c r="W877" s="13"/>
      <c r="X877" s="13"/>
      <c r="Y877" s="13"/>
      <c r="Z877" s="13"/>
      <c r="AA877" s="13"/>
      <c r="AB877" s="13"/>
    </row>
    <row r="878" spans="1:28" ht="17.399999999999999" x14ac:dyDescent="0.35">
      <c r="A878" s="16"/>
      <c r="B878" s="17"/>
      <c r="C878" s="13"/>
      <c r="D878" s="13"/>
      <c r="E878" s="15"/>
      <c r="F878" s="13"/>
      <c r="G878" s="13"/>
      <c r="H878" s="6"/>
      <c r="I878" s="13"/>
      <c r="J878" s="13"/>
      <c r="K878" s="13"/>
      <c r="L878" s="13"/>
      <c r="M878" s="13"/>
      <c r="N878" s="13"/>
      <c r="O878" s="13"/>
      <c r="P878" s="13"/>
      <c r="Q878" s="13"/>
      <c r="R878" s="13"/>
      <c r="S878" s="13"/>
      <c r="T878" s="13"/>
      <c r="U878" s="13"/>
      <c r="V878" s="13"/>
      <c r="W878" s="13"/>
      <c r="X878" s="13"/>
      <c r="Y878" s="13"/>
      <c r="Z878" s="13"/>
      <c r="AA878" s="13"/>
      <c r="AB878" s="13"/>
    </row>
    <row r="879" spans="1:28" ht="17.399999999999999" x14ac:dyDescent="0.35">
      <c r="A879" s="16"/>
      <c r="B879" s="17"/>
      <c r="C879" s="13"/>
      <c r="D879" s="13"/>
      <c r="E879" s="15"/>
      <c r="F879" s="13"/>
      <c r="G879" s="13"/>
      <c r="H879" s="6"/>
      <c r="I879" s="13"/>
      <c r="J879" s="13"/>
      <c r="K879" s="13"/>
      <c r="L879" s="13"/>
      <c r="M879" s="13"/>
      <c r="N879" s="13"/>
      <c r="O879" s="13"/>
      <c r="P879" s="13"/>
      <c r="Q879" s="13"/>
      <c r="R879" s="13"/>
      <c r="S879" s="13"/>
      <c r="T879" s="13"/>
      <c r="U879" s="13"/>
      <c r="V879" s="13"/>
      <c r="W879" s="13"/>
      <c r="X879" s="13"/>
      <c r="Y879" s="13"/>
      <c r="Z879" s="13"/>
      <c r="AA879" s="13"/>
      <c r="AB879" s="13"/>
    </row>
    <row r="880" spans="1:28" ht="17.399999999999999" x14ac:dyDescent="0.35">
      <c r="A880" s="16"/>
      <c r="B880" s="17"/>
      <c r="C880" s="13"/>
      <c r="D880" s="13"/>
      <c r="E880" s="15"/>
      <c r="F880" s="13"/>
      <c r="G880" s="13"/>
      <c r="H880" s="6"/>
      <c r="I880" s="13"/>
      <c r="J880" s="13"/>
      <c r="K880" s="13"/>
      <c r="L880" s="13"/>
      <c r="M880" s="13"/>
      <c r="N880" s="13"/>
      <c r="O880" s="13"/>
      <c r="P880" s="13"/>
      <c r="Q880" s="13"/>
      <c r="R880" s="13"/>
      <c r="S880" s="13"/>
      <c r="T880" s="13"/>
      <c r="U880" s="13"/>
      <c r="V880" s="13"/>
      <c r="W880" s="13"/>
      <c r="X880" s="13"/>
      <c r="Y880" s="13"/>
      <c r="Z880" s="13"/>
      <c r="AA880" s="13"/>
      <c r="AB880" s="13"/>
    </row>
    <row r="881" spans="1:28" ht="17.399999999999999" x14ac:dyDescent="0.35">
      <c r="A881" s="16"/>
      <c r="B881" s="17"/>
      <c r="C881" s="13"/>
      <c r="D881" s="13"/>
      <c r="E881" s="15"/>
      <c r="F881" s="13"/>
      <c r="G881" s="13"/>
      <c r="H881" s="6"/>
      <c r="I881" s="13"/>
      <c r="J881" s="13"/>
      <c r="K881" s="13"/>
      <c r="L881" s="13"/>
      <c r="M881" s="13"/>
      <c r="N881" s="13"/>
      <c r="O881" s="13"/>
      <c r="P881" s="13"/>
      <c r="Q881" s="13"/>
      <c r="R881" s="13"/>
      <c r="S881" s="13"/>
      <c r="T881" s="13"/>
      <c r="U881" s="13"/>
      <c r="V881" s="13"/>
      <c r="W881" s="13"/>
      <c r="X881" s="13"/>
      <c r="Y881" s="13"/>
      <c r="Z881" s="13"/>
      <c r="AA881" s="13"/>
      <c r="AB881" s="13"/>
    </row>
    <row r="882" spans="1:28" ht="17.399999999999999" x14ac:dyDescent="0.35">
      <c r="A882" s="16"/>
      <c r="B882" s="17"/>
      <c r="C882" s="13"/>
      <c r="D882" s="13"/>
      <c r="E882" s="15"/>
      <c r="F882" s="13"/>
      <c r="G882" s="13"/>
      <c r="H882" s="6"/>
      <c r="I882" s="13"/>
      <c r="J882" s="13"/>
      <c r="K882" s="13"/>
      <c r="L882" s="13"/>
      <c r="M882" s="13"/>
      <c r="N882" s="13"/>
      <c r="O882" s="13"/>
      <c r="P882" s="13"/>
      <c r="Q882" s="13"/>
      <c r="R882" s="13"/>
      <c r="S882" s="13"/>
      <c r="T882" s="13"/>
      <c r="U882" s="13"/>
      <c r="V882" s="13"/>
      <c r="W882" s="13"/>
      <c r="X882" s="13"/>
      <c r="Y882" s="13"/>
      <c r="Z882" s="13"/>
      <c r="AA882" s="13"/>
      <c r="AB882" s="13"/>
    </row>
    <row r="883" spans="1:28" ht="17.399999999999999" x14ac:dyDescent="0.35">
      <c r="A883" s="16"/>
      <c r="B883" s="17"/>
      <c r="C883" s="13"/>
      <c r="D883" s="13"/>
      <c r="E883" s="15"/>
      <c r="F883" s="13"/>
      <c r="G883" s="13"/>
      <c r="H883" s="6"/>
      <c r="I883" s="13"/>
      <c r="J883" s="13"/>
      <c r="K883" s="13"/>
      <c r="L883" s="13"/>
      <c r="M883" s="13"/>
      <c r="N883" s="13"/>
      <c r="O883" s="13"/>
      <c r="P883" s="13"/>
      <c r="Q883" s="13"/>
      <c r="R883" s="13"/>
      <c r="S883" s="13"/>
      <c r="T883" s="13"/>
      <c r="U883" s="13"/>
      <c r="V883" s="13"/>
      <c r="W883" s="13"/>
      <c r="X883" s="13"/>
      <c r="Y883" s="13"/>
      <c r="Z883" s="13"/>
      <c r="AA883" s="13"/>
      <c r="AB883" s="13"/>
    </row>
    <row r="884" spans="1:28" ht="17.399999999999999" x14ac:dyDescent="0.35">
      <c r="A884" s="16"/>
      <c r="B884" s="17"/>
      <c r="C884" s="13"/>
      <c r="D884" s="13"/>
      <c r="E884" s="15"/>
      <c r="F884" s="13"/>
      <c r="G884" s="13"/>
      <c r="H884" s="6"/>
      <c r="I884" s="13"/>
      <c r="J884" s="13"/>
      <c r="K884" s="13"/>
      <c r="L884" s="13"/>
      <c r="M884" s="13"/>
      <c r="N884" s="13"/>
      <c r="O884" s="13"/>
      <c r="P884" s="13"/>
      <c r="Q884" s="13"/>
      <c r="R884" s="13"/>
      <c r="S884" s="13"/>
      <c r="T884" s="13"/>
      <c r="U884" s="13"/>
      <c r="V884" s="13"/>
      <c r="W884" s="13"/>
      <c r="X884" s="13"/>
      <c r="Y884" s="13"/>
      <c r="Z884" s="13"/>
      <c r="AA884" s="13"/>
      <c r="AB884" s="13"/>
    </row>
    <row r="885" spans="1:28" ht="17.399999999999999" x14ac:dyDescent="0.35">
      <c r="A885" s="16"/>
      <c r="B885" s="17"/>
      <c r="C885" s="13"/>
      <c r="D885" s="13"/>
      <c r="E885" s="15"/>
      <c r="F885" s="13"/>
      <c r="G885" s="13"/>
      <c r="H885" s="6"/>
      <c r="I885" s="13"/>
      <c r="J885" s="13"/>
      <c r="K885" s="13"/>
      <c r="L885" s="13"/>
      <c r="M885" s="13"/>
      <c r="N885" s="13"/>
      <c r="O885" s="13"/>
      <c r="P885" s="13"/>
      <c r="Q885" s="13"/>
      <c r="R885" s="13"/>
      <c r="S885" s="13"/>
      <c r="T885" s="13"/>
      <c r="U885" s="13"/>
      <c r="V885" s="13"/>
      <c r="W885" s="13"/>
      <c r="X885" s="13"/>
      <c r="Y885" s="13"/>
      <c r="Z885" s="13"/>
      <c r="AA885" s="13"/>
      <c r="AB885" s="13"/>
    </row>
    <row r="886" spans="1:28" ht="17.399999999999999" x14ac:dyDescent="0.35">
      <c r="A886" s="16"/>
      <c r="B886" s="17"/>
      <c r="C886" s="13"/>
      <c r="D886" s="13"/>
      <c r="E886" s="15"/>
      <c r="F886" s="13"/>
      <c r="G886" s="13"/>
      <c r="H886" s="6"/>
      <c r="I886" s="13"/>
      <c r="J886" s="13"/>
      <c r="K886" s="13"/>
      <c r="L886" s="13"/>
      <c r="M886" s="13"/>
      <c r="N886" s="13"/>
      <c r="O886" s="13"/>
      <c r="P886" s="13"/>
      <c r="Q886" s="13"/>
      <c r="R886" s="13"/>
      <c r="S886" s="13"/>
      <c r="T886" s="13"/>
      <c r="U886" s="13"/>
      <c r="V886" s="13"/>
      <c r="W886" s="13"/>
      <c r="X886" s="13"/>
      <c r="Y886" s="13"/>
      <c r="Z886" s="13"/>
      <c r="AA886" s="13"/>
      <c r="AB886" s="13"/>
    </row>
    <row r="887" spans="1:28" ht="17.399999999999999" x14ac:dyDescent="0.35">
      <c r="A887" s="16"/>
      <c r="B887" s="17"/>
      <c r="C887" s="13"/>
      <c r="D887" s="13"/>
      <c r="E887" s="15"/>
      <c r="F887" s="13"/>
      <c r="G887" s="13"/>
      <c r="H887" s="6"/>
      <c r="I887" s="13"/>
      <c r="J887" s="13"/>
      <c r="K887" s="13"/>
      <c r="L887" s="13"/>
      <c r="M887" s="13"/>
      <c r="N887" s="13"/>
      <c r="O887" s="13"/>
      <c r="P887" s="13"/>
      <c r="Q887" s="13"/>
      <c r="R887" s="13"/>
      <c r="S887" s="13"/>
      <c r="T887" s="13"/>
      <c r="U887" s="13"/>
      <c r="V887" s="13"/>
      <c r="W887" s="13"/>
      <c r="X887" s="13"/>
      <c r="Y887" s="13"/>
      <c r="Z887" s="13"/>
      <c r="AA887" s="13"/>
      <c r="AB887" s="13"/>
    </row>
    <row r="888" spans="1:28" ht="17.399999999999999" x14ac:dyDescent="0.35">
      <c r="A888" s="16"/>
      <c r="B888" s="17"/>
      <c r="C888" s="13"/>
      <c r="D888" s="13"/>
      <c r="E888" s="15"/>
      <c r="F888" s="13"/>
      <c r="G888" s="13"/>
      <c r="H888" s="6"/>
      <c r="I888" s="13"/>
      <c r="J888" s="13"/>
      <c r="K888" s="13"/>
      <c r="L888" s="13"/>
      <c r="M888" s="13"/>
      <c r="N888" s="13"/>
      <c r="O888" s="13"/>
      <c r="P888" s="13"/>
      <c r="Q888" s="13"/>
      <c r="R888" s="13"/>
      <c r="S888" s="13"/>
      <c r="T888" s="13"/>
      <c r="U888" s="13"/>
      <c r="V888" s="13"/>
      <c r="W888" s="13"/>
      <c r="X888" s="13"/>
      <c r="Y888" s="13"/>
      <c r="Z888" s="13"/>
      <c r="AA888" s="13"/>
      <c r="AB888" s="13"/>
    </row>
    <row r="889" spans="1:28" ht="17.399999999999999" x14ac:dyDescent="0.35">
      <c r="A889" s="16"/>
      <c r="B889" s="17"/>
      <c r="C889" s="13"/>
      <c r="D889" s="13"/>
      <c r="E889" s="15"/>
      <c r="F889" s="13"/>
      <c r="G889" s="13"/>
      <c r="H889" s="6"/>
      <c r="I889" s="13"/>
      <c r="J889" s="13"/>
      <c r="K889" s="13"/>
      <c r="L889" s="13"/>
      <c r="M889" s="13"/>
      <c r="N889" s="13"/>
      <c r="O889" s="13"/>
      <c r="P889" s="13"/>
      <c r="Q889" s="13"/>
      <c r="R889" s="13"/>
      <c r="S889" s="13"/>
      <c r="T889" s="13"/>
      <c r="U889" s="13"/>
      <c r="V889" s="13"/>
      <c r="W889" s="13"/>
      <c r="X889" s="13"/>
      <c r="Y889" s="13"/>
      <c r="Z889" s="13"/>
      <c r="AA889" s="13"/>
      <c r="AB889" s="13"/>
    </row>
    <row r="890" spans="1:28" ht="17.399999999999999" x14ac:dyDescent="0.35">
      <c r="A890" s="16"/>
      <c r="B890" s="17"/>
      <c r="C890" s="13"/>
      <c r="D890" s="13"/>
      <c r="E890" s="15"/>
      <c r="F890" s="13"/>
      <c r="G890" s="13"/>
      <c r="H890" s="6"/>
      <c r="I890" s="13"/>
      <c r="J890" s="13"/>
      <c r="K890" s="13"/>
      <c r="L890" s="13"/>
      <c r="M890" s="13"/>
      <c r="N890" s="13"/>
      <c r="O890" s="13"/>
      <c r="P890" s="13"/>
      <c r="Q890" s="13"/>
      <c r="R890" s="13"/>
      <c r="S890" s="13"/>
      <c r="T890" s="13"/>
      <c r="U890" s="13"/>
      <c r="V890" s="13"/>
      <c r="W890" s="13"/>
      <c r="X890" s="13"/>
      <c r="Y890" s="13"/>
      <c r="Z890" s="13"/>
      <c r="AA890" s="13"/>
      <c r="AB890" s="13"/>
    </row>
    <row r="891" spans="1:28" ht="17.399999999999999" x14ac:dyDescent="0.35">
      <c r="A891" s="16"/>
      <c r="B891" s="17"/>
      <c r="C891" s="13"/>
      <c r="D891" s="13"/>
      <c r="E891" s="15"/>
      <c r="F891" s="13"/>
      <c r="G891" s="13"/>
      <c r="H891" s="6"/>
      <c r="I891" s="13"/>
      <c r="J891" s="13"/>
      <c r="K891" s="13"/>
      <c r="L891" s="13"/>
      <c r="M891" s="13"/>
      <c r="N891" s="13"/>
      <c r="O891" s="13"/>
      <c r="P891" s="13"/>
      <c r="Q891" s="13"/>
      <c r="R891" s="13"/>
      <c r="S891" s="13"/>
      <c r="T891" s="13"/>
      <c r="U891" s="13"/>
      <c r="V891" s="13"/>
      <c r="W891" s="13"/>
      <c r="X891" s="13"/>
      <c r="Y891" s="13"/>
      <c r="Z891" s="13"/>
      <c r="AA891" s="13"/>
      <c r="AB891" s="13"/>
    </row>
    <row r="892" spans="1:28" ht="17.399999999999999" x14ac:dyDescent="0.35">
      <c r="A892" s="16"/>
      <c r="B892" s="17"/>
      <c r="C892" s="13"/>
      <c r="D892" s="13"/>
      <c r="E892" s="15"/>
      <c r="F892" s="13"/>
      <c r="G892" s="13"/>
      <c r="H892" s="6"/>
      <c r="I892" s="13"/>
      <c r="J892" s="13"/>
      <c r="K892" s="13"/>
      <c r="L892" s="13"/>
      <c r="M892" s="13"/>
      <c r="N892" s="13"/>
      <c r="O892" s="13"/>
      <c r="P892" s="13"/>
      <c r="Q892" s="13"/>
      <c r="R892" s="13"/>
      <c r="S892" s="13"/>
      <c r="T892" s="13"/>
      <c r="U892" s="13"/>
      <c r="V892" s="13"/>
      <c r="W892" s="13"/>
      <c r="X892" s="13"/>
      <c r="Y892" s="13"/>
      <c r="Z892" s="13"/>
      <c r="AA892" s="13"/>
      <c r="AB892" s="13"/>
    </row>
    <row r="893" spans="1:28" ht="17.399999999999999" x14ac:dyDescent="0.35">
      <c r="A893" s="16"/>
      <c r="B893" s="17"/>
      <c r="C893" s="13"/>
      <c r="D893" s="13"/>
      <c r="E893" s="15"/>
      <c r="F893" s="13"/>
      <c r="G893" s="13"/>
      <c r="H893" s="6"/>
      <c r="I893" s="13"/>
      <c r="J893" s="13"/>
      <c r="K893" s="13"/>
      <c r="L893" s="13"/>
      <c r="M893" s="13"/>
      <c r="N893" s="13"/>
      <c r="O893" s="13"/>
      <c r="P893" s="13"/>
      <c r="Q893" s="13"/>
      <c r="R893" s="13"/>
      <c r="S893" s="13"/>
      <c r="T893" s="13"/>
      <c r="U893" s="13"/>
      <c r="V893" s="13"/>
      <c r="W893" s="13"/>
      <c r="X893" s="13"/>
      <c r="Y893" s="13"/>
      <c r="Z893" s="13"/>
      <c r="AA893" s="13"/>
      <c r="AB893" s="13"/>
    </row>
    <row r="894" spans="1:28" ht="17.399999999999999" x14ac:dyDescent="0.35">
      <c r="A894" s="16"/>
      <c r="B894" s="17"/>
      <c r="C894" s="13"/>
      <c r="D894" s="13"/>
      <c r="E894" s="15"/>
      <c r="F894" s="13"/>
      <c r="G894" s="13"/>
      <c r="H894" s="6"/>
      <c r="I894" s="13"/>
      <c r="J894" s="13"/>
      <c r="K894" s="13"/>
      <c r="L894" s="13"/>
      <c r="M894" s="13"/>
      <c r="N894" s="13"/>
      <c r="O894" s="13"/>
      <c r="P894" s="13"/>
      <c r="Q894" s="13"/>
      <c r="R894" s="13"/>
      <c r="S894" s="13"/>
      <c r="T894" s="13"/>
      <c r="U894" s="13"/>
      <c r="V894" s="13"/>
      <c r="W894" s="13"/>
      <c r="X894" s="13"/>
      <c r="Y894" s="13"/>
      <c r="Z894" s="13"/>
      <c r="AA894" s="13"/>
      <c r="AB894" s="13"/>
    </row>
    <row r="895" spans="1:28" ht="17.399999999999999" x14ac:dyDescent="0.35">
      <c r="A895" s="16"/>
      <c r="B895" s="17"/>
      <c r="C895" s="13"/>
      <c r="D895" s="13"/>
      <c r="E895" s="15"/>
      <c r="F895" s="13"/>
      <c r="G895" s="13"/>
      <c r="H895" s="6"/>
      <c r="I895" s="13"/>
      <c r="J895" s="13"/>
      <c r="K895" s="13"/>
      <c r="L895" s="13"/>
      <c r="M895" s="13"/>
      <c r="N895" s="13"/>
      <c r="O895" s="13"/>
      <c r="P895" s="13"/>
      <c r="Q895" s="13"/>
      <c r="R895" s="13"/>
      <c r="S895" s="13"/>
      <c r="T895" s="13"/>
      <c r="U895" s="13"/>
      <c r="V895" s="13"/>
      <c r="W895" s="13"/>
      <c r="X895" s="13"/>
      <c r="Y895" s="13"/>
      <c r="Z895" s="13"/>
      <c r="AA895" s="13"/>
      <c r="AB895" s="13"/>
    </row>
    <row r="896" spans="1:28" ht="17.399999999999999" x14ac:dyDescent="0.35">
      <c r="A896" s="16"/>
      <c r="B896" s="17"/>
      <c r="C896" s="13"/>
      <c r="D896" s="13"/>
      <c r="E896" s="15"/>
      <c r="F896" s="13"/>
      <c r="G896" s="13"/>
      <c r="H896" s="6"/>
      <c r="I896" s="13"/>
      <c r="J896" s="13"/>
      <c r="K896" s="13"/>
      <c r="L896" s="13"/>
      <c r="M896" s="13"/>
      <c r="N896" s="13"/>
      <c r="O896" s="13"/>
      <c r="P896" s="13"/>
      <c r="Q896" s="13"/>
      <c r="R896" s="13"/>
      <c r="S896" s="13"/>
      <c r="T896" s="13"/>
      <c r="U896" s="13"/>
      <c r="V896" s="13"/>
      <c r="W896" s="13"/>
      <c r="X896" s="13"/>
      <c r="Y896" s="13"/>
      <c r="Z896" s="13"/>
      <c r="AA896" s="13"/>
      <c r="AB896" s="13"/>
    </row>
    <row r="897" spans="1:28" ht="17.399999999999999" x14ac:dyDescent="0.35">
      <c r="A897" s="16"/>
      <c r="B897" s="17"/>
      <c r="C897" s="13"/>
      <c r="D897" s="13"/>
      <c r="E897" s="15"/>
      <c r="F897" s="13"/>
      <c r="G897" s="13"/>
      <c r="H897" s="6"/>
      <c r="I897" s="13"/>
      <c r="J897" s="13"/>
      <c r="K897" s="13"/>
      <c r="L897" s="13"/>
      <c r="M897" s="13"/>
      <c r="N897" s="13"/>
      <c r="O897" s="13"/>
      <c r="P897" s="13"/>
      <c r="Q897" s="13"/>
      <c r="R897" s="13"/>
      <c r="S897" s="13"/>
      <c r="T897" s="13"/>
      <c r="U897" s="13"/>
      <c r="V897" s="13"/>
      <c r="W897" s="13"/>
      <c r="X897" s="13"/>
      <c r="Y897" s="13"/>
      <c r="Z897" s="13"/>
      <c r="AA897" s="13"/>
      <c r="AB897" s="13"/>
    </row>
    <row r="898" spans="1:28" ht="17.399999999999999" x14ac:dyDescent="0.35">
      <c r="A898" s="16"/>
      <c r="B898" s="17"/>
      <c r="C898" s="13"/>
      <c r="D898" s="13"/>
      <c r="E898" s="15"/>
      <c r="F898" s="13"/>
      <c r="G898" s="13"/>
      <c r="H898" s="6"/>
      <c r="I898" s="13"/>
      <c r="J898" s="13"/>
      <c r="K898" s="13"/>
      <c r="L898" s="13"/>
      <c r="M898" s="13"/>
      <c r="N898" s="13"/>
      <c r="O898" s="13"/>
      <c r="P898" s="13"/>
      <c r="Q898" s="13"/>
      <c r="R898" s="13"/>
      <c r="S898" s="13"/>
      <c r="T898" s="13"/>
      <c r="U898" s="13"/>
      <c r="V898" s="13"/>
      <c r="W898" s="13"/>
      <c r="X898" s="13"/>
      <c r="Y898" s="13"/>
      <c r="Z898" s="13"/>
      <c r="AA898" s="13"/>
      <c r="AB898" s="13"/>
    </row>
    <row r="899" spans="1:28" ht="17.399999999999999" x14ac:dyDescent="0.35">
      <c r="A899" s="16"/>
      <c r="B899" s="17"/>
      <c r="C899" s="13"/>
      <c r="D899" s="13"/>
      <c r="E899" s="15"/>
      <c r="F899" s="13"/>
      <c r="G899" s="13"/>
      <c r="H899" s="6"/>
      <c r="I899" s="13"/>
      <c r="J899" s="13"/>
      <c r="K899" s="13"/>
      <c r="L899" s="13"/>
      <c r="M899" s="13"/>
      <c r="N899" s="13"/>
      <c r="O899" s="13"/>
      <c r="P899" s="13"/>
      <c r="Q899" s="13"/>
      <c r="R899" s="13"/>
      <c r="S899" s="13"/>
      <c r="T899" s="13"/>
      <c r="U899" s="13"/>
      <c r="V899" s="13"/>
      <c r="W899" s="13"/>
      <c r="X899" s="13"/>
      <c r="Y899" s="13"/>
      <c r="Z899" s="13"/>
      <c r="AA899" s="13"/>
      <c r="AB899" s="13"/>
    </row>
    <row r="900" spans="1:28" ht="17.399999999999999" x14ac:dyDescent="0.35">
      <c r="A900" s="16"/>
      <c r="B900" s="17"/>
      <c r="C900" s="13"/>
      <c r="D900" s="13"/>
      <c r="E900" s="15"/>
      <c r="F900" s="13"/>
      <c r="G900" s="13"/>
      <c r="H900" s="6"/>
      <c r="I900" s="13"/>
      <c r="J900" s="13"/>
      <c r="K900" s="13"/>
      <c r="L900" s="13"/>
      <c r="M900" s="13"/>
      <c r="N900" s="13"/>
      <c r="O900" s="13"/>
      <c r="P900" s="13"/>
      <c r="Q900" s="13"/>
      <c r="R900" s="13"/>
      <c r="S900" s="13"/>
      <c r="T900" s="13"/>
      <c r="U900" s="13"/>
      <c r="V900" s="13"/>
      <c r="W900" s="13"/>
      <c r="X900" s="13"/>
      <c r="Y900" s="13"/>
      <c r="Z900" s="13"/>
      <c r="AA900" s="13"/>
      <c r="AB900" s="13"/>
    </row>
    <row r="901" spans="1:28" ht="17.399999999999999" x14ac:dyDescent="0.35">
      <c r="A901" s="16"/>
      <c r="B901" s="17"/>
      <c r="C901" s="13"/>
      <c r="D901" s="13"/>
      <c r="E901" s="15"/>
      <c r="F901" s="13"/>
      <c r="G901" s="13"/>
      <c r="H901" s="6"/>
      <c r="I901" s="13"/>
      <c r="J901" s="13"/>
      <c r="K901" s="13"/>
      <c r="L901" s="13"/>
      <c r="M901" s="13"/>
      <c r="N901" s="13"/>
      <c r="O901" s="13"/>
      <c r="P901" s="13"/>
      <c r="Q901" s="13"/>
      <c r="R901" s="13"/>
      <c r="S901" s="13"/>
      <c r="T901" s="13"/>
      <c r="U901" s="13"/>
      <c r="V901" s="13"/>
      <c r="W901" s="13"/>
      <c r="X901" s="13"/>
      <c r="Y901" s="13"/>
      <c r="Z901" s="13"/>
      <c r="AA901" s="13"/>
      <c r="AB901" s="13"/>
    </row>
    <row r="902" spans="1:28" ht="17.399999999999999" x14ac:dyDescent="0.35">
      <c r="A902" s="16"/>
      <c r="B902" s="17"/>
      <c r="C902" s="13"/>
      <c r="D902" s="13"/>
      <c r="E902" s="15"/>
      <c r="F902" s="13"/>
      <c r="G902" s="13"/>
      <c r="H902" s="6"/>
      <c r="I902" s="13"/>
      <c r="J902" s="13"/>
      <c r="K902" s="13"/>
      <c r="L902" s="13"/>
      <c r="M902" s="13"/>
      <c r="N902" s="13"/>
      <c r="O902" s="13"/>
      <c r="P902" s="13"/>
      <c r="Q902" s="13"/>
      <c r="R902" s="13"/>
      <c r="S902" s="13"/>
      <c r="T902" s="13"/>
      <c r="U902" s="13"/>
      <c r="V902" s="13"/>
      <c r="W902" s="13"/>
      <c r="X902" s="13"/>
      <c r="Y902" s="13"/>
      <c r="Z902" s="13"/>
      <c r="AA902" s="13"/>
      <c r="AB902" s="13"/>
    </row>
    <row r="903" spans="1:28" ht="17.399999999999999" x14ac:dyDescent="0.35">
      <c r="A903" s="16"/>
      <c r="B903" s="17"/>
      <c r="C903" s="13"/>
      <c r="D903" s="13"/>
      <c r="E903" s="15"/>
      <c r="F903" s="13"/>
      <c r="G903" s="13"/>
      <c r="H903" s="6"/>
      <c r="I903" s="13"/>
      <c r="J903" s="13"/>
      <c r="K903" s="13"/>
      <c r="L903" s="13"/>
      <c r="M903" s="13"/>
      <c r="N903" s="13"/>
      <c r="O903" s="13"/>
      <c r="P903" s="13"/>
      <c r="Q903" s="13"/>
      <c r="R903" s="13"/>
      <c r="S903" s="13"/>
      <c r="T903" s="13"/>
      <c r="U903" s="13"/>
      <c r="V903" s="13"/>
      <c r="W903" s="13"/>
      <c r="X903" s="13"/>
      <c r="Y903" s="13"/>
      <c r="Z903" s="13"/>
      <c r="AA903" s="13"/>
      <c r="AB903" s="13"/>
    </row>
    <row r="904" spans="1:28" ht="17.399999999999999" x14ac:dyDescent="0.35">
      <c r="A904" s="16"/>
      <c r="B904" s="17"/>
      <c r="C904" s="13"/>
      <c r="D904" s="13"/>
      <c r="E904" s="15"/>
      <c r="F904" s="13"/>
      <c r="G904" s="13"/>
      <c r="H904" s="6"/>
      <c r="I904" s="13"/>
      <c r="J904" s="13"/>
      <c r="K904" s="13"/>
      <c r="L904" s="13"/>
      <c r="M904" s="13"/>
      <c r="N904" s="13"/>
      <c r="O904" s="13"/>
      <c r="P904" s="13"/>
      <c r="Q904" s="13"/>
      <c r="R904" s="13"/>
      <c r="S904" s="13"/>
      <c r="T904" s="13"/>
      <c r="U904" s="13"/>
      <c r="V904" s="13"/>
      <c r="W904" s="13"/>
      <c r="X904" s="13"/>
      <c r="Y904" s="13"/>
      <c r="Z904" s="13"/>
      <c r="AA904" s="13"/>
      <c r="AB904" s="13"/>
    </row>
    <row r="905" spans="1:28" ht="17.399999999999999" x14ac:dyDescent="0.35">
      <c r="A905" s="16"/>
      <c r="B905" s="17"/>
      <c r="C905" s="13"/>
      <c r="D905" s="13"/>
      <c r="E905" s="15"/>
      <c r="F905" s="13"/>
      <c r="G905" s="13"/>
      <c r="H905" s="6"/>
      <c r="I905" s="13"/>
      <c r="J905" s="13"/>
      <c r="K905" s="13"/>
      <c r="L905" s="13"/>
      <c r="M905" s="13"/>
      <c r="N905" s="13"/>
      <c r="O905" s="13"/>
      <c r="P905" s="13"/>
      <c r="Q905" s="13"/>
      <c r="R905" s="13"/>
      <c r="S905" s="13"/>
      <c r="T905" s="13"/>
      <c r="U905" s="13"/>
      <c r="V905" s="13"/>
      <c r="W905" s="13"/>
      <c r="X905" s="13"/>
      <c r="Y905" s="13"/>
      <c r="Z905" s="13"/>
      <c r="AA905" s="13"/>
      <c r="AB905" s="13"/>
    </row>
    <row r="906" spans="1:28" ht="17.399999999999999" x14ac:dyDescent="0.35">
      <c r="A906" s="16"/>
      <c r="B906" s="17"/>
      <c r="C906" s="13"/>
      <c r="D906" s="13"/>
      <c r="E906" s="15"/>
      <c r="F906" s="13"/>
      <c r="G906" s="13"/>
      <c r="H906" s="6"/>
      <c r="I906" s="13"/>
      <c r="J906" s="13"/>
      <c r="K906" s="13"/>
      <c r="L906" s="13"/>
      <c r="M906" s="13"/>
      <c r="N906" s="13"/>
      <c r="O906" s="13"/>
      <c r="P906" s="13"/>
      <c r="Q906" s="13"/>
      <c r="R906" s="13"/>
      <c r="S906" s="13"/>
      <c r="T906" s="13"/>
      <c r="U906" s="13"/>
      <c r="V906" s="13"/>
      <c r="W906" s="13"/>
      <c r="X906" s="13"/>
      <c r="Y906" s="13"/>
      <c r="Z906" s="13"/>
      <c r="AA906" s="13"/>
      <c r="AB906" s="13"/>
    </row>
    <row r="907" spans="1:28" ht="17.399999999999999" x14ac:dyDescent="0.35">
      <c r="A907" s="16"/>
      <c r="B907" s="17"/>
      <c r="C907" s="13"/>
      <c r="D907" s="13"/>
      <c r="E907" s="15"/>
      <c r="F907" s="13"/>
      <c r="G907" s="13"/>
      <c r="H907" s="6"/>
      <c r="I907" s="13"/>
      <c r="J907" s="13"/>
      <c r="K907" s="13"/>
      <c r="L907" s="13"/>
      <c r="M907" s="13"/>
      <c r="N907" s="13"/>
      <c r="O907" s="13"/>
      <c r="P907" s="13"/>
      <c r="Q907" s="13"/>
      <c r="R907" s="13"/>
      <c r="S907" s="13"/>
      <c r="T907" s="13"/>
      <c r="U907" s="13"/>
      <c r="V907" s="13"/>
      <c r="W907" s="13"/>
      <c r="X907" s="13"/>
      <c r="Y907" s="13"/>
      <c r="Z907" s="13"/>
      <c r="AA907" s="13"/>
      <c r="AB907" s="13"/>
    </row>
    <row r="908" spans="1:28" ht="17.399999999999999" x14ac:dyDescent="0.35">
      <c r="A908" s="16"/>
      <c r="B908" s="17"/>
      <c r="C908" s="13"/>
      <c r="D908" s="13"/>
      <c r="E908" s="15"/>
      <c r="F908" s="13"/>
      <c r="G908" s="13"/>
      <c r="H908" s="6"/>
      <c r="I908" s="13"/>
      <c r="J908" s="13"/>
      <c r="K908" s="13"/>
      <c r="L908" s="13"/>
      <c r="M908" s="13"/>
      <c r="N908" s="13"/>
      <c r="O908" s="13"/>
      <c r="P908" s="13"/>
      <c r="Q908" s="13"/>
      <c r="R908" s="13"/>
      <c r="S908" s="13"/>
      <c r="T908" s="13"/>
      <c r="U908" s="13"/>
      <c r="V908" s="13"/>
      <c r="W908" s="13"/>
      <c r="X908" s="13"/>
      <c r="Y908" s="13"/>
      <c r="Z908" s="13"/>
      <c r="AA908" s="13"/>
      <c r="AB908" s="13"/>
    </row>
    <row r="909" spans="1:28" ht="17.399999999999999" x14ac:dyDescent="0.35">
      <c r="A909" s="16"/>
      <c r="B909" s="17"/>
      <c r="C909" s="13"/>
      <c r="D909" s="13"/>
      <c r="E909" s="15"/>
      <c r="F909" s="13"/>
      <c r="G909" s="13"/>
      <c r="H909" s="6"/>
      <c r="I909" s="13"/>
      <c r="J909" s="13"/>
      <c r="K909" s="13"/>
      <c r="L909" s="13"/>
      <c r="M909" s="13"/>
      <c r="N909" s="13"/>
      <c r="O909" s="13"/>
      <c r="P909" s="13"/>
      <c r="Q909" s="13"/>
      <c r="R909" s="13"/>
      <c r="S909" s="13"/>
      <c r="T909" s="13"/>
      <c r="U909" s="13"/>
      <c r="V909" s="13"/>
      <c r="W909" s="13"/>
      <c r="X909" s="13"/>
      <c r="Y909" s="13"/>
      <c r="Z909" s="13"/>
      <c r="AA909" s="13"/>
      <c r="AB909" s="13"/>
    </row>
    <row r="910" spans="1:28" ht="17.399999999999999" x14ac:dyDescent="0.35">
      <c r="A910" s="16"/>
      <c r="B910" s="17"/>
      <c r="C910" s="13"/>
      <c r="D910" s="13"/>
      <c r="E910" s="15"/>
      <c r="F910" s="13"/>
      <c r="G910" s="13"/>
      <c r="H910" s="6"/>
      <c r="I910" s="13"/>
      <c r="J910" s="13"/>
      <c r="K910" s="13"/>
      <c r="L910" s="13"/>
      <c r="M910" s="13"/>
      <c r="N910" s="13"/>
      <c r="O910" s="13"/>
      <c r="P910" s="13"/>
      <c r="Q910" s="13"/>
      <c r="R910" s="13"/>
      <c r="S910" s="13"/>
      <c r="T910" s="13"/>
      <c r="U910" s="13"/>
      <c r="V910" s="13"/>
      <c r="W910" s="13"/>
      <c r="X910" s="13"/>
      <c r="Y910" s="13"/>
      <c r="Z910" s="13"/>
      <c r="AA910" s="13"/>
      <c r="AB910" s="13"/>
    </row>
    <row r="911" spans="1:28" ht="17.399999999999999" x14ac:dyDescent="0.35">
      <c r="A911" s="16"/>
      <c r="B911" s="17"/>
      <c r="C911" s="13"/>
      <c r="D911" s="13"/>
      <c r="E911" s="15"/>
      <c r="F911" s="13"/>
      <c r="G911" s="13"/>
      <c r="H911" s="6"/>
      <c r="I911" s="13"/>
      <c r="J911" s="13"/>
      <c r="K911" s="13"/>
      <c r="L911" s="13"/>
      <c r="M911" s="13"/>
      <c r="N911" s="13"/>
      <c r="O911" s="13"/>
      <c r="P911" s="13"/>
      <c r="Q911" s="13"/>
      <c r="R911" s="13"/>
      <c r="S911" s="13"/>
      <c r="T911" s="13"/>
      <c r="U911" s="13"/>
      <c r="V911" s="13"/>
      <c r="W911" s="13"/>
      <c r="X911" s="13"/>
      <c r="Y911" s="13"/>
      <c r="Z911" s="13"/>
      <c r="AA911" s="13"/>
      <c r="AB911" s="13"/>
    </row>
    <row r="912" spans="1:28" ht="17.399999999999999" x14ac:dyDescent="0.35">
      <c r="A912" s="16"/>
      <c r="B912" s="17"/>
      <c r="C912" s="13"/>
      <c r="D912" s="13"/>
      <c r="E912" s="15"/>
      <c r="F912" s="13"/>
      <c r="G912" s="13"/>
      <c r="H912" s="6"/>
      <c r="I912" s="13"/>
      <c r="J912" s="13"/>
      <c r="K912" s="13"/>
      <c r="L912" s="13"/>
      <c r="M912" s="13"/>
      <c r="N912" s="13"/>
      <c r="O912" s="13"/>
      <c r="P912" s="13"/>
      <c r="Q912" s="13"/>
      <c r="R912" s="13"/>
      <c r="S912" s="13"/>
      <c r="T912" s="13"/>
      <c r="U912" s="13"/>
      <c r="V912" s="13"/>
      <c r="W912" s="13"/>
      <c r="X912" s="13"/>
      <c r="Y912" s="13"/>
      <c r="Z912" s="13"/>
      <c r="AA912" s="13"/>
      <c r="AB912" s="13"/>
    </row>
    <row r="913" spans="1:28" ht="17.399999999999999" x14ac:dyDescent="0.35">
      <c r="A913" s="16"/>
      <c r="B913" s="17"/>
      <c r="C913" s="13"/>
      <c r="D913" s="13"/>
      <c r="E913" s="15"/>
      <c r="F913" s="13"/>
      <c r="G913" s="13"/>
      <c r="H913" s="6"/>
      <c r="I913" s="13"/>
      <c r="J913" s="13"/>
      <c r="K913" s="13"/>
      <c r="L913" s="13"/>
      <c r="M913" s="13"/>
      <c r="N913" s="13"/>
      <c r="O913" s="13"/>
      <c r="P913" s="13"/>
      <c r="Q913" s="13"/>
      <c r="R913" s="13"/>
      <c r="S913" s="13"/>
      <c r="T913" s="13"/>
      <c r="U913" s="13"/>
      <c r="V913" s="13"/>
      <c r="W913" s="13"/>
      <c r="X913" s="13"/>
      <c r="Y913" s="13"/>
      <c r="Z913" s="13"/>
      <c r="AA913" s="13"/>
      <c r="AB913" s="13"/>
    </row>
    <row r="914" spans="1:28" ht="17.399999999999999" x14ac:dyDescent="0.35">
      <c r="A914" s="16"/>
      <c r="B914" s="17"/>
      <c r="C914" s="13"/>
      <c r="D914" s="13"/>
      <c r="E914" s="15"/>
      <c r="F914" s="13"/>
      <c r="G914" s="13"/>
      <c r="H914" s="6"/>
      <c r="I914" s="13"/>
      <c r="J914" s="13"/>
      <c r="K914" s="13"/>
      <c r="L914" s="13"/>
      <c r="M914" s="13"/>
      <c r="N914" s="13"/>
      <c r="O914" s="13"/>
      <c r="P914" s="13"/>
      <c r="Q914" s="13"/>
      <c r="R914" s="13"/>
      <c r="S914" s="13"/>
      <c r="T914" s="13"/>
      <c r="U914" s="13"/>
      <c r="V914" s="13"/>
      <c r="W914" s="13"/>
      <c r="X914" s="13"/>
      <c r="Y914" s="13"/>
      <c r="Z914" s="13"/>
      <c r="AA914" s="13"/>
      <c r="AB914" s="13"/>
    </row>
    <row r="915" spans="1:28" ht="17.399999999999999" x14ac:dyDescent="0.35">
      <c r="A915" s="16"/>
      <c r="B915" s="17"/>
      <c r="C915" s="13"/>
      <c r="D915" s="13"/>
      <c r="E915" s="15"/>
      <c r="F915" s="13"/>
      <c r="G915" s="13"/>
      <c r="H915" s="6"/>
      <c r="I915" s="13"/>
      <c r="J915" s="13"/>
      <c r="K915" s="13"/>
      <c r="L915" s="13"/>
      <c r="M915" s="13"/>
      <c r="N915" s="13"/>
      <c r="O915" s="13"/>
      <c r="P915" s="13"/>
      <c r="Q915" s="13"/>
      <c r="R915" s="13"/>
      <c r="S915" s="13"/>
      <c r="T915" s="13"/>
      <c r="U915" s="13"/>
      <c r="V915" s="13"/>
      <c r="W915" s="13"/>
      <c r="X915" s="13"/>
      <c r="Y915" s="13"/>
      <c r="Z915" s="13"/>
      <c r="AA915" s="13"/>
      <c r="AB915" s="13"/>
    </row>
    <row r="916" spans="1:28" ht="17.399999999999999" x14ac:dyDescent="0.35">
      <c r="A916" s="16"/>
      <c r="B916" s="17"/>
      <c r="C916" s="13"/>
      <c r="D916" s="13"/>
      <c r="E916" s="15"/>
      <c r="F916" s="13"/>
      <c r="G916" s="13"/>
      <c r="H916" s="6"/>
      <c r="I916" s="13"/>
      <c r="J916" s="13"/>
      <c r="K916" s="13"/>
      <c r="L916" s="13"/>
      <c r="M916" s="13"/>
      <c r="N916" s="13"/>
      <c r="O916" s="13"/>
      <c r="P916" s="13"/>
      <c r="Q916" s="13"/>
      <c r="R916" s="13"/>
      <c r="S916" s="13"/>
      <c r="T916" s="13"/>
      <c r="U916" s="13"/>
      <c r="V916" s="13"/>
      <c r="W916" s="13"/>
      <c r="X916" s="13"/>
      <c r="Y916" s="13"/>
      <c r="Z916" s="13"/>
      <c r="AA916" s="13"/>
      <c r="AB916" s="13"/>
    </row>
    <row r="917" spans="1:28" ht="17.399999999999999" x14ac:dyDescent="0.35">
      <c r="A917" s="16"/>
      <c r="B917" s="17"/>
      <c r="C917" s="13"/>
      <c r="D917" s="13"/>
      <c r="E917" s="15"/>
      <c r="F917" s="13"/>
      <c r="G917" s="13"/>
      <c r="H917" s="6"/>
      <c r="I917" s="13"/>
      <c r="J917" s="13"/>
      <c r="K917" s="13"/>
      <c r="L917" s="13"/>
      <c r="M917" s="13"/>
      <c r="N917" s="13"/>
      <c r="O917" s="13"/>
      <c r="P917" s="13"/>
      <c r="Q917" s="13"/>
      <c r="R917" s="13"/>
      <c r="S917" s="13"/>
      <c r="T917" s="13"/>
      <c r="U917" s="13"/>
      <c r="V917" s="13"/>
      <c r="W917" s="13"/>
      <c r="X917" s="13"/>
      <c r="Y917" s="13"/>
      <c r="Z917" s="13"/>
      <c r="AA917" s="13"/>
      <c r="AB917" s="13"/>
    </row>
    <row r="918" spans="1:28" ht="17.399999999999999" x14ac:dyDescent="0.35">
      <c r="A918" s="16"/>
      <c r="B918" s="17"/>
      <c r="C918" s="13"/>
      <c r="D918" s="13"/>
      <c r="E918" s="15"/>
      <c r="F918" s="13"/>
      <c r="G918" s="13"/>
      <c r="H918" s="6"/>
      <c r="I918" s="13"/>
      <c r="J918" s="13"/>
      <c r="K918" s="13"/>
      <c r="L918" s="13"/>
      <c r="M918" s="13"/>
      <c r="N918" s="13"/>
      <c r="O918" s="13"/>
      <c r="P918" s="13"/>
      <c r="Q918" s="13"/>
      <c r="R918" s="13"/>
      <c r="S918" s="13"/>
      <c r="T918" s="13"/>
      <c r="U918" s="13"/>
      <c r="V918" s="13"/>
      <c r="W918" s="13"/>
      <c r="X918" s="13"/>
      <c r="Y918" s="13"/>
      <c r="Z918" s="13"/>
      <c r="AA918" s="13"/>
      <c r="AB918" s="13"/>
    </row>
    <row r="919" spans="1:28" ht="17.399999999999999" x14ac:dyDescent="0.35">
      <c r="A919" s="16"/>
      <c r="B919" s="17"/>
      <c r="C919" s="13"/>
      <c r="D919" s="13"/>
      <c r="E919" s="15"/>
      <c r="F919" s="13"/>
      <c r="G919" s="13"/>
      <c r="H919" s="6"/>
      <c r="I919" s="13"/>
      <c r="J919" s="13"/>
      <c r="K919" s="13"/>
      <c r="L919" s="13"/>
      <c r="M919" s="13"/>
      <c r="N919" s="13"/>
      <c r="O919" s="13"/>
      <c r="P919" s="13"/>
      <c r="Q919" s="13"/>
      <c r="R919" s="13"/>
      <c r="S919" s="13"/>
      <c r="T919" s="13"/>
      <c r="U919" s="13"/>
      <c r="V919" s="13"/>
      <c r="W919" s="13"/>
      <c r="X919" s="13"/>
      <c r="Y919" s="13"/>
      <c r="Z919" s="13"/>
      <c r="AA919" s="13"/>
      <c r="AB919" s="13"/>
    </row>
    <row r="920" spans="1:28" ht="17.399999999999999" x14ac:dyDescent="0.35">
      <c r="A920" s="16"/>
      <c r="B920" s="17"/>
      <c r="C920" s="13"/>
      <c r="D920" s="13"/>
      <c r="E920" s="15"/>
      <c r="F920" s="13"/>
      <c r="G920" s="13"/>
      <c r="H920" s="6"/>
      <c r="I920" s="13"/>
      <c r="J920" s="13"/>
      <c r="K920" s="13"/>
      <c r="L920" s="13"/>
      <c r="M920" s="13"/>
      <c r="N920" s="13"/>
      <c r="O920" s="13"/>
      <c r="P920" s="13"/>
      <c r="Q920" s="13"/>
      <c r="R920" s="13"/>
      <c r="S920" s="13"/>
      <c r="T920" s="13"/>
      <c r="U920" s="13"/>
      <c r="V920" s="13"/>
      <c r="W920" s="13"/>
      <c r="X920" s="13"/>
      <c r="Y920" s="13"/>
      <c r="Z920" s="13"/>
      <c r="AA920" s="13"/>
      <c r="AB920" s="13"/>
    </row>
    <row r="921" spans="1:28" ht="17.399999999999999" x14ac:dyDescent="0.35">
      <c r="A921" s="16"/>
      <c r="B921" s="17"/>
      <c r="C921" s="13"/>
      <c r="D921" s="13"/>
      <c r="E921" s="15"/>
      <c r="F921" s="13"/>
      <c r="G921" s="13"/>
      <c r="H921" s="6"/>
      <c r="I921" s="13"/>
      <c r="J921" s="13"/>
      <c r="K921" s="13"/>
      <c r="L921" s="13"/>
      <c r="M921" s="13"/>
      <c r="N921" s="13"/>
      <c r="O921" s="13"/>
      <c r="P921" s="13"/>
      <c r="Q921" s="13"/>
      <c r="R921" s="13"/>
      <c r="S921" s="13"/>
      <c r="T921" s="13"/>
      <c r="U921" s="13"/>
      <c r="V921" s="13"/>
      <c r="W921" s="13"/>
      <c r="X921" s="13"/>
      <c r="Y921" s="13"/>
      <c r="Z921" s="13"/>
      <c r="AA921" s="13"/>
      <c r="AB921" s="13"/>
    </row>
    <row r="922" spans="1:28" ht="17.399999999999999" x14ac:dyDescent="0.35">
      <c r="A922" s="16"/>
      <c r="B922" s="17"/>
      <c r="C922" s="13"/>
      <c r="D922" s="13"/>
      <c r="E922" s="15"/>
      <c r="F922" s="13"/>
      <c r="G922" s="13"/>
      <c r="H922" s="6"/>
      <c r="I922" s="13"/>
      <c r="J922" s="13"/>
      <c r="K922" s="13"/>
      <c r="L922" s="13"/>
      <c r="M922" s="13"/>
      <c r="N922" s="13"/>
      <c r="O922" s="13"/>
      <c r="P922" s="13"/>
      <c r="Q922" s="13"/>
      <c r="R922" s="13"/>
      <c r="S922" s="13"/>
      <c r="T922" s="13"/>
      <c r="U922" s="13"/>
      <c r="V922" s="13"/>
      <c r="W922" s="13"/>
      <c r="X922" s="13"/>
      <c r="Y922" s="13"/>
      <c r="Z922" s="13"/>
      <c r="AA922" s="13"/>
      <c r="AB922" s="13"/>
    </row>
    <row r="923" spans="1:28" ht="17.399999999999999" x14ac:dyDescent="0.35">
      <c r="A923" s="16"/>
      <c r="B923" s="17"/>
      <c r="C923" s="13"/>
      <c r="D923" s="13"/>
      <c r="E923" s="15"/>
      <c r="F923" s="13"/>
      <c r="G923" s="13"/>
      <c r="H923" s="6"/>
      <c r="I923" s="13"/>
      <c r="J923" s="13"/>
      <c r="K923" s="13"/>
      <c r="L923" s="13"/>
      <c r="M923" s="13"/>
      <c r="N923" s="13"/>
      <c r="O923" s="13"/>
      <c r="P923" s="13"/>
      <c r="Q923" s="13"/>
      <c r="R923" s="13"/>
      <c r="S923" s="13"/>
      <c r="T923" s="13"/>
      <c r="U923" s="13"/>
      <c r="V923" s="13"/>
      <c r="W923" s="13"/>
      <c r="X923" s="13"/>
      <c r="Y923" s="13"/>
      <c r="Z923" s="13"/>
      <c r="AA923" s="13"/>
      <c r="AB923" s="13"/>
    </row>
    <row r="924" spans="1:28" ht="17.399999999999999" x14ac:dyDescent="0.35">
      <c r="A924" s="16"/>
      <c r="B924" s="17"/>
      <c r="C924" s="13"/>
      <c r="D924" s="13"/>
      <c r="E924" s="15"/>
      <c r="F924" s="13"/>
      <c r="G924" s="13"/>
      <c r="H924" s="6"/>
      <c r="I924" s="13"/>
      <c r="J924" s="13"/>
      <c r="K924" s="13"/>
      <c r="L924" s="13"/>
      <c r="M924" s="13"/>
      <c r="N924" s="13"/>
      <c r="O924" s="13"/>
      <c r="P924" s="13"/>
      <c r="Q924" s="13"/>
      <c r="R924" s="13"/>
      <c r="S924" s="13"/>
      <c r="T924" s="13"/>
      <c r="U924" s="13"/>
      <c r="V924" s="13"/>
      <c r="W924" s="13"/>
      <c r="X924" s="13"/>
      <c r="Y924" s="13"/>
      <c r="Z924" s="13"/>
      <c r="AA924" s="13"/>
      <c r="AB924" s="13"/>
    </row>
    <row r="925" spans="1:28" ht="17.399999999999999" x14ac:dyDescent="0.35">
      <c r="A925" s="16"/>
      <c r="B925" s="17"/>
      <c r="C925" s="13"/>
      <c r="D925" s="13"/>
      <c r="E925" s="15"/>
      <c r="F925" s="13"/>
      <c r="G925" s="13"/>
      <c r="H925" s="6"/>
      <c r="I925" s="13"/>
      <c r="J925" s="13"/>
      <c r="K925" s="13"/>
      <c r="L925" s="13"/>
      <c r="M925" s="13"/>
      <c r="N925" s="13"/>
      <c r="O925" s="13"/>
      <c r="P925" s="13"/>
      <c r="Q925" s="13"/>
      <c r="R925" s="13"/>
      <c r="S925" s="13"/>
      <c r="T925" s="13"/>
      <c r="U925" s="13"/>
      <c r="V925" s="13"/>
      <c r="W925" s="13"/>
      <c r="X925" s="13"/>
      <c r="Y925" s="13"/>
      <c r="Z925" s="13"/>
      <c r="AA925" s="13"/>
      <c r="AB925" s="13"/>
    </row>
    <row r="926" spans="1:28" ht="17.399999999999999" x14ac:dyDescent="0.35">
      <c r="A926" s="16"/>
      <c r="B926" s="17"/>
      <c r="C926" s="13"/>
      <c r="D926" s="13"/>
      <c r="E926" s="15"/>
      <c r="F926" s="13"/>
      <c r="G926" s="13"/>
      <c r="H926" s="6"/>
      <c r="I926" s="13"/>
      <c r="J926" s="13"/>
      <c r="K926" s="13"/>
      <c r="L926" s="13"/>
      <c r="M926" s="13"/>
      <c r="N926" s="13"/>
      <c r="O926" s="13"/>
      <c r="P926" s="13"/>
      <c r="Q926" s="13"/>
      <c r="R926" s="13"/>
      <c r="S926" s="13"/>
      <c r="T926" s="13"/>
      <c r="U926" s="13"/>
      <c r="V926" s="13"/>
      <c r="W926" s="13"/>
      <c r="X926" s="13"/>
      <c r="Y926" s="13"/>
      <c r="Z926" s="13"/>
      <c r="AA926" s="13"/>
      <c r="AB926" s="13"/>
    </row>
    <row r="927" spans="1:28" ht="17.399999999999999" x14ac:dyDescent="0.35">
      <c r="A927" s="16"/>
      <c r="B927" s="17"/>
      <c r="C927" s="13"/>
      <c r="D927" s="13"/>
      <c r="E927" s="15"/>
      <c r="F927" s="13"/>
      <c r="G927" s="13"/>
      <c r="H927" s="6"/>
      <c r="I927" s="13"/>
      <c r="J927" s="13"/>
      <c r="K927" s="13"/>
      <c r="L927" s="13"/>
      <c r="M927" s="13"/>
      <c r="N927" s="13"/>
      <c r="O927" s="13"/>
      <c r="P927" s="13"/>
      <c r="Q927" s="13"/>
      <c r="R927" s="13"/>
      <c r="S927" s="13"/>
      <c r="T927" s="13"/>
      <c r="U927" s="13"/>
      <c r="V927" s="13"/>
      <c r="W927" s="13"/>
      <c r="X927" s="13"/>
      <c r="Y927" s="13"/>
      <c r="Z927" s="13"/>
      <c r="AA927" s="13"/>
      <c r="AB927" s="13"/>
    </row>
    <row r="928" spans="1:28" ht="17.399999999999999" x14ac:dyDescent="0.35">
      <c r="A928" s="16"/>
      <c r="B928" s="17"/>
      <c r="C928" s="13"/>
      <c r="D928" s="13"/>
      <c r="E928" s="15"/>
      <c r="F928" s="13"/>
      <c r="G928" s="13"/>
      <c r="H928" s="6"/>
      <c r="I928" s="13"/>
      <c r="J928" s="13"/>
      <c r="K928" s="13"/>
      <c r="L928" s="13"/>
      <c r="M928" s="13"/>
      <c r="N928" s="13"/>
      <c r="O928" s="13"/>
      <c r="P928" s="13"/>
      <c r="Q928" s="13"/>
      <c r="R928" s="13"/>
      <c r="S928" s="13"/>
      <c r="T928" s="13"/>
      <c r="U928" s="13"/>
      <c r="V928" s="13"/>
      <c r="W928" s="13"/>
      <c r="X928" s="13"/>
      <c r="Y928" s="13"/>
      <c r="Z928" s="13"/>
      <c r="AA928" s="13"/>
      <c r="AB928" s="13"/>
    </row>
    <row r="929" spans="1:28" ht="17.399999999999999" x14ac:dyDescent="0.35">
      <c r="A929" s="16"/>
      <c r="B929" s="17"/>
      <c r="C929" s="13"/>
      <c r="D929" s="13"/>
      <c r="E929" s="15"/>
      <c r="F929" s="13"/>
      <c r="G929" s="13"/>
      <c r="H929" s="6"/>
      <c r="I929" s="13"/>
      <c r="J929" s="13"/>
      <c r="K929" s="13"/>
      <c r="L929" s="13"/>
      <c r="M929" s="13"/>
      <c r="N929" s="13"/>
      <c r="O929" s="13"/>
      <c r="P929" s="13"/>
      <c r="Q929" s="13"/>
      <c r="R929" s="13"/>
      <c r="S929" s="13"/>
      <c r="T929" s="13"/>
      <c r="U929" s="13"/>
      <c r="V929" s="13"/>
      <c r="W929" s="13"/>
      <c r="X929" s="13"/>
      <c r="Y929" s="13"/>
      <c r="Z929" s="13"/>
      <c r="AA929" s="13"/>
      <c r="AB929" s="13"/>
    </row>
    <row r="930" spans="1:28" ht="17.399999999999999" x14ac:dyDescent="0.35">
      <c r="A930" s="16"/>
      <c r="B930" s="17"/>
      <c r="C930" s="13"/>
      <c r="D930" s="13"/>
      <c r="E930" s="15"/>
      <c r="F930" s="13"/>
      <c r="G930" s="13"/>
      <c r="H930" s="6"/>
      <c r="I930" s="13"/>
      <c r="J930" s="13"/>
      <c r="K930" s="13"/>
      <c r="L930" s="13"/>
      <c r="M930" s="13"/>
      <c r="N930" s="13"/>
      <c r="O930" s="13"/>
      <c r="P930" s="13"/>
      <c r="Q930" s="13"/>
      <c r="R930" s="13"/>
      <c r="S930" s="13"/>
      <c r="T930" s="13"/>
      <c r="U930" s="13"/>
      <c r="V930" s="13"/>
      <c r="W930" s="13"/>
      <c r="X930" s="13"/>
      <c r="Y930" s="13"/>
      <c r="Z930" s="13"/>
      <c r="AA930" s="13"/>
      <c r="AB930" s="13"/>
    </row>
    <row r="931" spans="1:28" ht="17.399999999999999" x14ac:dyDescent="0.35">
      <c r="A931" s="16"/>
      <c r="B931" s="17"/>
      <c r="C931" s="13"/>
      <c r="D931" s="13"/>
      <c r="E931" s="15"/>
      <c r="F931" s="13"/>
      <c r="G931" s="13"/>
      <c r="H931" s="6"/>
      <c r="I931" s="13"/>
      <c r="J931" s="13"/>
      <c r="K931" s="13"/>
      <c r="L931" s="13"/>
      <c r="M931" s="13"/>
      <c r="N931" s="13"/>
      <c r="O931" s="13"/>
      <c r="P931" s="13"/>
      <c r="Q931" s="13"/>
      <c r="R931" s="13"/>
      <c r="S931" s="13"/>
      <c r="T931" s="13"/>
      <c r="U931" s="13"/>
      <c r="V931" s="13"/>
      <c r="W931" s="13"/>
      <c r="X931" s="13"/>
      <c r="Y931" s="13"/>
      <c r="Z931" s="13"/>
      <c r="AA931" s="13"/>
      <c r="AB931" s="13"/>
    </row>
    <row r="932" spans="1:28" ht="17.399999999999999" x14ac:dyDescent="0.35">
      <c r="A932" s="16"/>
      <c r="B932" s="17"/>
      <c r="C932" s="13"/>
      <c r="D932" s="13"/>
      <c r="E932" s="15"/>
      <c r="F932" s="13"/>
      <c r="G932" s="13"/>
      <c r="H932" s="6"/>
      <c r="I932" s="13"/>
      <c r="J932" s="13"/>
      <c r="K932" s="13"/>
      <c r="L932" s="13"/>
      <c r="M932" s="13"/>
      <c r="N932" s="13"/>
      <c r="O932" s="13"/>
      <c r="P932" s="13"/>
      <c r="Q932" s="13"/>
      <c r="R932" s="13"/>
      <c r="S932" s="13"/>
      <c r="T932" s="13"/>
      <c r="U932" s="13"/>
      <c r="V932" s="13"/>
      <c r="W932" s="13"/>
      <c r="X932" s="13"/>
      <c r="Y932" s="13"/>
      <c r="Z932" s="13"/>
      <c r="AA932" s="13"/>
      <c r="AB932" s="13"/>
    </row>
    <row r="933" spans="1:28" ht="17.399999999999999" x14ac:dyDescent="0.35">
      <c r="A933" s="16"/>
      <c r="B933" s="17"/>
      <c r="C933" s="13"/>
      <c r="D933" s="13"/>
      <c r="E933" s="15"/>
      <c r="F933" s="13"/>
      <c r="G933" s="13"/>
      <c r="H933" s="6"/>
      <c r="I933" s="13"/>
      <c r="J933" s="13"/>
      <c r="K933" s="13"/>
      <c r="L933" s="13"/>
      <c r="M933" s="13"/>
      <c r="N933" s="13"/>
      <c r="O933" s="13"/>
      <c r="P933" s="13"/>
      <c r="Q933" s="13"/>
      <c r="R933" s="13"/>
      <c r="S933" s="13"/>
      <c r="T933" s="13"/>
      <c r="U933" s="13"/>
      <c r="V933" s="13"/>
      <c r="W933" s="13"/>
      <c r="X933" s="13"/>
      <c r="Y933" s="13"/>
      <c r="Z933" s="13"/>
      <c r="AA933" s="13"/>
      <c r="AB933" s="13"/>
    </row>
    <row r="934" spans="1:28" ht="17.399999999999999" x14ac:dyDescent="0.35">
      <c r="A934" s="16"/>
      <c r="B934" s="17"/>
      <c r="C934" s="13"/>
      <c r="D934" s="13"/>
      <c r="E934" s="15"/>
      <c r="F934" s="13"/>
      <c r="G934" s="13"/>
      <c r="H934" s="6"/>
      <c r="I934" s="13"/>
      <c r="J934" s="13"/>
      <c r="K934" s="13"/>
      <c r="L934" s="13"/>
      <c r="M934" s="13"/>
      <c r="N934" s="13"/>
      <c r="O934" s="13"/>
      <c r="P934" s="13"/>
      <c r="Q934" s="13"/>
      <c r="R934" s="13"/>
      <c r="S934" s="13"/>
      <c r="T934" s="13"/>
      <c r="U934" s="13"/>
      <c r="V934" s="13"/>
      <c r="W934" s="13"/>
      <c r="X934" s="13"/>
      <c r="Y934" s="13"/>
      <c r="Z934" s="13"/>
      <c r="AA934" s="13"/>
      <c r="AB934" s="13"/>
    </row>
    <row r="935" spans="1:28" ht="17.399999999999999" x14ac:dyDescent="0.35">
      <c r="A935" s="16"/>
      <c r="B935" s="17"/>
      <c r="C935" s="13"/>
      <c r="D935" s="13"/>
      <c r="E935" s="15"/>
      <c r="F935" s="13"/>
      <c r="G935" s="13"/>
      <c r="H935" s="6"/>
      <c r="I935" s="13"/>
      <c r="J935" s="13"/>
      <c r="K935" s="13"/>
      <c r="L935" s="13"/>
      <c r="M935" s="13"/>
      <c r="N935" s="13"/>
      <c r="O935" s="13"/>
      <c r="P935" s="13"/>
      <c r="Q935" s="13"/>
      <c r="R935" s="13"/>
      <c r="S935" s="13"/>
      <c r="T935" s="13"/>
      <c r="U935" s="13"/>
      <c r="V935" s="13"/>
      <c r="W935" s="13"/>
      <c r="X935" s="13"/>
      <c r="Y935" s="13"/>
      <c r="Z935" s="13"/>
      <c r="AA935" s="13"/>
      <c r="AB935" s="13"/>
    </row>
    <row r="936" spans="1:28" ht="17.399999999999999" x14ac:dyDescent="0.35">
      <c r="A936" s="16"/>
      <c r="B936" s="17"/>
      <c r="C936" s="13"/>
      <c r="D936" s="13"/>
      <c r="E936" s="15"/>
      <c r="F936" s="13"/>
      <c r="G936" s="13"/>
      <c r="H936" s="6"/>
      <c r="I936" s="13"/>
      <c r="J936" s="13"/>
      <c r="K936" s="13"/>
      <c r="L936" s="13"/>
      <c r="M936" s="13"/>
      <c r="N936" s="13"/>
      <c r="O936" s="13"/>
      <c r="P936" s="13"/>
      <c r="Q936" s="13"/>
      <c r="R936" s="13"/>
      <c r="S936" s="13"/>
      <c r="T936" s="13"/>
      <c r="U936" s="13"/>
      <c r="V936" s="13"/>
      <c r="W936" s="13"/>
      <c r="X936" s="13"/>
      <c r="Y936" s="13"/>
      <c r="Z936" s="13"/>
      <c r="AA936" s="13"/>
      <c r="AB936" s="13"/>
    </row>
    <row r="937" spans="1:28" ht="17.399999999999999" x14ac:dyDescent="0.35">
      <c r="A937" s="16"/>
      <c r="B937" s="17"/>
      <c r="C937" s="13"/>
      <c r="D937" s="13"/>
      <c r="E937" s="15"/>
      <c r="F937" s="13"/>
      <c r="G937" s="13"/>
      <c r="H937" s="6"/>
      <c r="I937" s="13"/>
      <c r="J937" s="13"/>
      <c r="K937" s="13"/>
      <c r="L937" s="13"/>
      <c r="M937" s="13"/>
      <c r="N937" s="13"/>
      <c r="O937" s="13"/>
      <c r="P937" s="13"/>
      <c r="Q937" s="13"/>
      <c r="R937" s="13"/>
      <c r="S937" s="13"/>
      <c r="T937" s="13"/>
      <c r="U937" s="13"/>
      <c r="V937" s="13"/>
      <c r="W937" s="13"/>
      <c r="X937" s="13"/>
      <c r="Y937" s="13"/>
      <c r="Z937" s="13"/>
      <c r="AA937" s="13"/>
      <c r="AB937" s="13"/>
    </row>
    <row r="938" spans="1:28" ht="17.399999999999999" x14ac:dyDescent="0.35">
      <c r="A938" s="16"/>
      <c r="B938" s="17"/>
      <c r="C938" s="13"/>
      <c r="D938" s="13"/>
      <c r="E938" s="15"/>
      <c r="F938" s="13"/>
      <c r="G938" s="13"/>
      <c r="H938" s="6"/>
      <c r="I938" s="13"/>
      <c r="J938" s="13"/>
      <c r="K938" s="13"/>
      <c r="L938" s="13"/>
      <c r="M938" s="13"/>
      <c r="N938" s="13"/>
      <c r="O938" s="13"/>
      <c r="P938" s="13"/>
      <c r="Q938" s="13"/>
      <c r="R938" s="13"/>
      <c r="S938" s="13"/>
      <c r="T938" s="13"/>
      <c r="U938" s="13"/>
      <c r="V938" s="13"/>
      <c r="W938" s="13"/>
      <c r="X938" s="13"/>
      <c r="Y938" s="13"/>
      <c r="Z938" s="13"/>
      <c r="AA938" s="13"/>
      <c r="AB938" s="13"/>
    </row>
    <row r="939" spans="1:28" ht="17.399999999999999" x14ac:dyDescent="0.35">
      <c r="A939" s="16"/>
      <c r="B939" s="17"/>
      <c r="C939" s="13"/>
      <c r="D939" s="13"/>
      <c r="E939" s="15"/>
      <c r="F939" s="13"/>
      <c r="G939" s="13"/>
      <c r="H939" s="6"/>
      <c r="I939" s="13"/>
      <c r="J939" s="13"/>
      <c r="K939" s="13"/>
      <c r="L939" s="13"/>
      <c r="M939" s="13"/>
      <c r="N939" s="13"/>
      <c r="O939" s="13"/>
      <c r="P939" s="13"/>
      <c r="Q939" s="13"/>
      <c r="R939" s="13"/>
      <c r="S939" s="13"/>
      <c r="T939" s="13"/>
      <c r="U939" s="13"/>
      <c r="V939" s="13"/>
      <c r="W939" s="13"/>
      <c r="X939" s="13"/>
      <c r="Y939" s="13"/>
      <c r="Z939" s="13"/>
      <c r="AA939" s="13"/>
      <c r="AB939" s="13"/>
    </row>
    <row r="940" spans="1:28" ht="17.399999999999999" x14ac:dyDescent="0.35">
      <c r="A940" s="16"/>
      <c r="B940" s="17"/>
      <c r="C940" s="13"/>
      <c r="D940" s="13"/>
      <c r="E940" s="15"/>
      <c r="F940" s="13"/>
      <c r="G940" s="13"/>
      <c r="H940" s="6"/>
      <c r="I940" s="13"/>
      <c r="J940" s="13"/>
      <c r="K940" s="13"/>
      <c r="L940" s="13"/>
      <c r="M940" s="13"/>
      <c r="N940" s="13"/>
      <c r="O940" s="13"/>
      <c r="P940" s="13"/>
      <c r="Q940" s="13"/>
      <c r="R940" s="13"/>
      <c r="S940" s="13"/>
      <c r="T940" s="13"/>
      <c r="U940" s="13"/>
      <c r="V940" s="13"/>
      <c r="W940" s="13"/>
      <c r="X940" s="13"/>
      <c r="Y940" s="13"/>
      <c r="Z940" s="13"/>
      <c r="AA940" s="13"/>
      <c r="AB940" s="13"/>
    </row>
    <row r="941" spans="1:28" ht="17.399999999999999" x14ac:dyDescent="0.35">
      <c r="A941" s="16"/>
      <c r="B941" s="17"/>
      <c r="C941" s="13"/>
      <c r="D941" s="13"/>
      <c r="E941" s="15"/>
      <c r="F941" s="13"/>
      <c r="G941" s="13"/>
      <c r="H941" s="6"/>
      <c r="I941" s="13"/>
      <c r="J941" s="13"/>
      <c r="K941" s="13"/>
      <c r="L941" s="13"/>
      <c r="M941" s="13"/>
      <c r="N941" s="13"/>
      <c r="O941" s="13"/>
      <c r="P941" s="13"/>
      <c r="Q941" s="13"/>
      <c r="R941" s="13"/>
      <c r="S941" s="13"/>
      <c r="T941" s="13"/>
      <c r="U941" s="13"/>
      <c r="V941" s="13"/>
      <c r="W941" s="13"/>
      <c r="X941" s="13"/>
      <c r="Y941" s="13"/>
      <c r="Z941" s="13"/>
      <c r="AA941" s="13"/>
      <c r="AB941" s="13"/>
    </row>
    <row r="942" spans="1:28" ht="17.399999999999999" x14ac:dyDescent="0.35">
      <c r="A942" s="16"/>
      <c r="B942" s="17"/>
      <c r="C942" s="13"/>
      <c r="D942" s="13"/>
      <c r="E942" s="15"/>
      <c r="F942" s="13"/>
      <c r="G942" s="13"/>
      <c r="H942" s="6"/>
      <c r="I942" s="13"/>
      <c r="J942" s="13"/>
      <c r="K942" s="13"/>
      <c r="L942" s="13"/>
      <c r="M942" s="13"/>
      <c r="N942" s="13"/>
      <c r="O942" s="13"/>
      <c r="P942" s="13"/>
      <c r="Q942" s="13"/>
      <c r="R942" s="13"/>
      <c r="S942" s="13"/>
      <c r="T942" s="13"/>
      <c r="U942" s="13"/>
      <c r="V942" s="13"/>
      <c r="W942" s="13"/>
      <c r="X942" s="13"/>
      <c r="Y942" s="13"/>
      <c r="Z942" s="13"/>
      <c r="AA942" s="13"/>
      <c r="AB942" s="13"/>
    </row>
    <row r="943" spans="1:28" ht="17.399999999999999" x14ac:dyDescent="0.35">
      <c r="A943" s="16"/>
      <c r="B943" s="17"/>
      <c r="C943" s="13"/>
      <c r="D943" s="13"/>
      <c r="E943" s="15"/>
      <c r="F943" s="13"/>
      <c r="G943" s="13"/>
      <c r="H943" s="6"/>
      <c r="I943" s="13"/>
      <c r="J943" s="13"/>
      <c r="K943" s="13"/>
      <c r="L943" s="13"/>
      <c r="M943" s="13"/>
      <c r="N943" s="13"/>
      <c r="O943" s="13"/>
      <c r="P943" s="13"/>
      <c r="Q943" s="13"/>
      <c r="R943" s="13"/>
      <c r="S943" s="13"/>
      <c r="T943" s="13"/>
      <c r="U943" s="13"/>
      <c r="V943" s="13"/>
      <c r="W943" s="13"/>
      <c r="X943" s="13"/>
      <c r="Y943" s="13"/>
      <c r="Z943" s="13"/>
      <c r="AA943" s="13"/>
      <c r="AB943" s="13"/>
    </row>
    <row r="944" spans="1:28" ht="17.399999999999999" x14ac:dyDescent="0.35">
      <c r="A944" s="16"/>
      <c r="B944" s="17"/>
      <c r="C944" s="13"/>
      <c r="D944" s="13"/>
      <c r="E944" s="15"/>
      <c r="F944" s="13"/>
      <c r="G944" s="13"/>
      <c r="H944" s="6"/>
      <c r="I944" s="13"/>
      <c r="J944" s="13"/>
      <c r="K944" s="13"/>
      <c r="L944" s="13"/>
      <c r="M944" s="13"/>
      <c r="N944" s="13"/>
      <c r="O944" s="13"/>
      <c r="P944" s="13"/>
      <c r="Q944" s="13"/>
      <c r="R944" s="13"/>
      <c r="S944" s="13"/>
      <c r="T944" s="13"/>
      <c r="U944" s="13"/>
      <c r="V944" s="13"/>
      <c r="W944" s="13"/>
      <c r="X944" s="13"/>
      <c r="Y944" s="13"/>
      <c r="Z944" s="13"/>
      <c r="AA944" s="13"/>
      <c r="AB944" s="13"/>
    </row>
    <row r="945" spans="1:28" ht="17.399999999999999" x14ac:dyDescent="0.35">
      <c r="A945" s="16"/>
      <c r="B945" s="17"/>
      <c r="C945" s="13"/>
      <c r="D945" s="13"/>
      <c r="E945" s="15"/>
      <c r="F945" s="13"/>
      <c r="G945" s="13"/>
      <c r="H945" s="6"/>
      <c r="I945" s="13"/>
      <c r="J945" s="13"/>
      <c r="K945" s="13"/>
      <c r="L945" s="13"/>
      <c r="M945" s="13"/>
      <c r="N945" s="13"/>
      <c r="O945" s="13"/>
      <c r="P945" s="13"/>
      <c r="Q945" s="13"/>
      <c r="R945" s="13"/>
      <c r="S945" s="13"/>
      <c r="T945" s="13"/>
      <c r="U945" s="13"/>
      <c r="V945" s="13"/>
      <c r="W945" s="13"/>
      <c r="X945" s="13"/>
      <c r="Y945" s="13"/>
      <c r="Z945" s="13"/>
      <c r="AA945" s="13"/>
      <c r="AB945" s="13"/>
    </row>
    <row r="946" spans="1:28" ht="17.399999999999999" x14ac:dyDescent="0.35">
      <c r="A946" s="16"/>
      <c r="B946" s="17"/>
      <c r="C946" s="13"/>
      <c r="D946" s="13"/>
      <c r="E946" s="15"/>
      <c r="F946" s="13"/>
      <c r="G946" s="13"/>
      <c r="H946" s="6"/>
      <c r="I946" s="13"/>
      <c r="J946" s="13"/>
      <c r="K946" s="13"/>
      <c r="L946" s="13"/>
      <c r="M946" s="13"/>
      <c r="N946" s="13"/>
      <c r="O946" s="13"/>
      <c r="P946" s="13"/>
      <c r="Q946" s="13"/>
      <c r="R946" s="13"/>
      <c r="S946" s="13"/>
      <c r="T946" s="13"/>
      <c r="U946" s="13"/>
      <c r="V946" s="13"/>
      <c r="W946" s="13"/>
      <c r="X946" s="13"/>
      <c r="Y946" s="13"/>
      <c r="Z946" s="13"/>
      <c r="AA946" s="13"/>
      <c r="AB946" s="13"/>
    </row>
    <row r="947" spans="1:28" ht="17.399999999999999" x14ac:dyDescent="0.35">
      <c r="A947" s="16"/>
      <c r="B947" s="17"/>
      <c r="C947" s="13"/>
      <c r="D947" s="13"/>
      <c r="E947" s="15"/>
      <c r="F947" s="13"/>
      <c r="G947" s="13"/>
      <c r="H947" s="6"/>
      <c r="I947" s="13"/>
      <c r="J947" s="13"/>
      <c r="K947" s="13"/>
      <c r="L947" s="13"/>
      <c r="M947" s="13"/>
      <c r="N947" s="13"/>
      <c r="O947" s="13"/>
      <c r="P947" s="13"/>
      <c r="Q947" s="13"/>
      <c r="R947" s="13"/>
      <c r="S947" s="13"/>
      <c r="T947" s="13"/>
      <c r="U947" s="13"/>
      <c r="V947" s="13"/>
      <c r="W947" s="13"/>
      <c r="X947" s="13"/>
      <c r="Y947" s="13"/>
      <c r="Z947" s="13"/>
      <c r="AA947" s="13"/>
      <c r="AB947" s="13"/>
    </row>
    <row r="948" spans="1:28" ht="17.399999999999999" x14ac:dyDescent="0.35">
      <c r="A948" s="16"/>
      <c r="B948" s="17"/>
      <c r="C948" s="13"/>
      <c r="D948" s="13"/>
      <c r="E948" s="15"/>
      <c r="F948" s="13"/>
      <c r="G948" s="13"/>
      <c r="H948" s="6"/>
      <c r="I948" s="13"/>
      <c r="J948" s="13"/>
      <c r="K948" s="13"/>
      <c r="L948" s="13"/>
      <c r="M948" s="13"/>
      <c r="N948" s="13"/>
      <c r="O948" s="13"/>
      <c r="P948" s="13"/>
      <c r="Q948" s="13"/>
      <c r="R948" s="13"/>
      <c r="S948" s="13"/>
      <c r="T948" s="13"/>
      <c r="U948" s="13"/>
      <c r="V948" s="13"/>
      <c r="W948" s="13"/>
      <c r="X948" s="13"/>
      <c r="Y948" s="13"/>
      <c r="Z948" s="13"/>
      <c r="AA948" s="13"/>
      <c r="AB948" s="13"/>
    </row>
    <row r="949" spans="1:28" ht="17.399999999999999" x14ac:dyDescent="0.35">
      <c r="A949" s="16"/>
      <c r="B949" s="17"/>
      <c r="C949" s="13"/>
      <c r="D949" s="13"/>
      <c r="E949" s="15"/>
      <c r="F949" s="13"/>
      <c r="G949" s="13"/>
      <c r="H949" s="6"/>
      <c r="I949" s="13"/>
      <c r="J949" s="13"/>
      <c r="K949" s="13"/>
      <c r="L949" s="13"/>
      <c r="M949" s="13"/>
      <c r="N949" s="13"/>
      <c r="O949" s="13"/>
      <c r="P949" s="13"/>
      <c r="Q949" s="13"/>
      <c r="R949" s="13"/>
      <c r="S949" s="13"/>
      <c r="T949" s="13"/>
      <c r="U949" s="13"/>
      <c r="V949" s="13"/>
      <c r="W949" s="13"/>
      <c r="X949" s="13"/>
      <c r="Y949" s="13"/>
      <c r="Z949" s="13"/>
      <c r="AA949" s="13"/>
      <c r="AB949" s="13"/>
    </row>
    <row r="950" spans="1:28" ht="17.399999999999999" x14ac:dyDescent="0.35">
      <c r="A950" s="16"/>
      <c r="B950" s="17"/>
      <c r="C950" s="13"/>
      <c r="D950" s="13"/>
      <c r="E950" s="15"/>
      <c r="F950" s="13"/>
      <c r="G950" s="13"/>
      <c r="H950" s="6"/>
      <c r="I950" s="13"/>
      <c r="J950" s="13"/>
      <c r="K950" s="13"/>
      <c r="L950" s="13"/>
      <c r="M950" s="13"/>
      <c r="N950" s="13"/>
      <c r="O950" s="13"/>
      <c r="P950" s="13"/>
      <c r="Q950" s="13"/>
      <c r="R950" s="13"/>
      <c r="S950" s="13"/>
      <c r="T950" s="13"/>
      <c r="U950" s="13"/>
      <c r="V950" s="13"/>
      <c r="W950" s="13"/>
      <c r="X950" s="13"/>
      <c r="Y950" s="13"/>
      <c r="Z950" s="13"/>
      <c r="AA950" s="13"/>
      <c r="AB950" s="13"/>
    </row>
    <row r="951" spans="1:28" ht="17.399999999999999" x14ac:dyDescent="0.35">
      <c r="A951" s="16"/>
      <c r="B951" s="17"/>
      <c r="C951" s="13"/>
      <c r="D951" s="13"/>
      <c r="E951" s="15"/>
      <c r="F951" s="13"/>
      <c r="G951" s="13"/>
      <c r="H951" s="6"/>
      <c r="I951" s="13"/>
      <c r="J951" s="13"/>
      <c r="K951" s="13"/>
      <c r="L951" s="13"/>
      <c r="M951" s="13"/>
      <c r="N951" s="13"/>
      <c r="O951" s="13"/>
      <c r="P951" s="13"/>
      <c r="Q951" s="13"/>
      <c r="R951" s="13"/>
      <c r="S951" s="13"/>
      <c r="T951" s="13"/>
      <c r="U951" s="13"/>
      <c r="V951" s="13"/>
      <c r="W951" s="13"/>
      <c r="X951" s="13"/>
      <c r="Y951" s="13"/>
      <c r="Z951" s="13"/>
      <c r="AA951" s="13"/>
      <c r="AB951" s="13"/>
    </row>
    <row r="952" spans="1:28" ht="17.399999999999999" x14ac:dyDescent="0.35">
      <c r="A952" s="16"/>
      <c r="B952" s="17"/>
      <c r="C952" s="13"/>
      <c r="D952" s="13"/>
      <c r="E952" s="15"/>
      <c r="F952" s="13"/>
      <c r="G952" s="13"/>
      <c r="H952" s="6"/>
      <c r="I952" s="13"/>
      <c r="J952" s="13"/>
      <c r="K952" s="13"/>
      <c r="L952" s="13"/>
      <c r="M952" s="13"/>
      <c r="N952" s="13"/>
      <c r="O952" s="13"/>
      <c r="P952" s="13"/>
      <c r="Q952" s="13"/>
      <c r="R952" s="13"/>
      <c r="S952" s="13"/>
      <c r="T952" s="13"/>
      <c r="U952" s="13"/>
      <c r="V952" s="13"/>
      <c r="W952" s="13"/>
      <c r="X952" s="13"/>
      <c r="Y952" s="13"/>
      <c r="Z952" s="13"/>
      <c r="AA952" s="13"/>
      <c r="AB952" s="13"/>
    </row>
    <row r="953" spans="1:28" ht="17.399999999999999" x14ac:dyDescent="0.35">
      <c r="A953" s="16"/>
      <c r="B953" s="17"/>
      <c r="C953" s="13"/>
      <c r="D953" s="13"/>
      <c r="E953" s="15"/>
      <c r="F953" s="13"/>
      <c r="G953" s="13"/>
      <c r="H953" s="6"/>
      <c r="I953" s="13"/>
      <c r="J953" s="13"/>
      <c r="K953" s="13"/>
      <c r="L953" s="13"/>
      <c r="M953" s="13"/>
      <c r="N953" s="13"/>
      <c r="O953" s="13"/>
      <c r="P953" s="13"/>
      <c r="Q953" s="13"/>
      <c r="R953" s="13"/>
      <c r="S953" s="13"/>
      <c r="T953" s="13"/>
      <c r="U953" s="13"/>
      <c r="V953" s="13"/>
      <c r="W953" s="13"/>
      <c r="X953" s="13"/>
      <c r="Y953" s="13"/>
      <c r="Z953" s="13"/>
      <c r="AA953" s="13"/>
      <c r="AB953" s="13"/>
    </row>
    <row r="954" spans="1:28" ht="17.399999999999999" x14ac:dyDescent="0.35">
      <c r="A954" s="16"/>
      <c r="B954" s="17"/>
      <c r="C954" s="13"/>
      <c r="D954" s="13"/>
      <c r="E954" s="15"/>
      <c r="F954" s="13"/>
      <c r="G954" s="13"/>
      <c r="H954" s="6"/>
      <c r="I954" s="13"/>
      <c r="J954" s="13"/>
      <c r="K954" s="13"/>
      <c r="L954" s="13"/>
      <c r="M954" s="13"/>
      <c r="N954" s="13"/>
      <c r="O954" s="13"/>
      <c r="P954" s="13"/>
      <c r="Q954" s="13"/>
      <c r="R954" s="13"/>
      <c r="S954" s="13"/>
      <c r="T954" s="13"/>
      <c r="U954" s="13"/>
      <c r="V954" s="13"/>
      <c r="W954" s="13"/>
      <c r="X954" s="13"/>
      <c r="Y954" s="13"/>
      <c r="Z954" s="13"/>
      <c r="AA954" s="13"/>
      <c r="AB954" s="13"/>
    </row>
    <row r="955" spans="1:28" ht="17.399999999999999" x14ac:dyDescent="0.35">
      <c r="A955" s="16"/>
      <c r="B955" s="17"/>
      <c r="C955" s="13"/>
      <c r="D955" s="13"/>
      <c r="E955" s="15"/>
      <c r="F955" s="13"/>
      <c r="G955" s="13"/>
      <c r="H955" s="6"/>
      <c r="I955" s="13"/>
      <c r="J955" s="13"/>
      <c r="K955" s="13"/>
      <c r="L955" s="13"/>
      <c r="M955" s="13"/>
      <c r="N955" s="13"/>
      <c r="O955" s="13"/>
      <c r="P955" s="13"/>
      <c r="Q955" s="13"/>
      <c r="R955" s="13"/>
      <c r="S955" s="13"/>
      <c r="T955" s="13"/>
      <c r="U955" s="13"/>
      <c r="V955" s="13"/>
      <c r="W955" s="13"/>
      <c r="X955" s="13"/>
      <c r="Y955" s="13"/>
      <c r="Z955" s="13"/>
      <c r="AA955" s="13"/>
      <c r="AB955" s="13"/>
    </row>
    <row r="956" spans="1:28" ht="17.399999999999999" x14ac:dyDescent="0.35">
      <c r="A956" s="16"/>
      <c r="B956" s="17"/>
      <c r="C956" s="13"/>
      <c r="D956" s="13"/>
      <c r="E956" s="15"/>
      <c r="F956" s="13"/>
      <c r="G956" s="13"/>
      <c r="H956" s="6"/>
      <c r="I956" s="13"/>
      <c r="J956" s="13"/>
      <c r="K956" s="13"/>
      <c r="L956" s="13"/>
      <c r="M956" s="13"/>
      <c r="N956" s="13"/>
      <c r="O956" s="13"/>
      <c r="P956" s="13"/>
      <c r="Q956" s="13"/>
      <c r="R956" s="13"/>
      <c r="S956" s="13"/>
      <c r="T956" s="13"/>
      <c r="U956" s="13"/>
      <c r="V956" s="13"/>
      <c r="W956" s="13"/>
      <c r="X956" s="13"/>
      <c r="Y956" s="13"/>
      <c r="Z956" s="13"/>
      <c r="AA956" s="13"/>
      <c r="AB956" s="13"/>
    </row>
    <row r="957" spans="1:28" ht="17.399999999999999" x14ac:dyDescent="0.35">
      <c r="A957" s="16"/>
      <c r="B957" s="17"/>
      <c r="C957" s="13"/>
      <c r="D957" s="13"/>
      <c r="E957" s="15"/>
      <c r="F957" s="13"/>
      <c r="G957" s="13"/>
      <c r="H957" s="6"/>
      <c r="I957" s="13"/>
      <c r="J957" s="13"/>
      <c r="K957" s="13"/>
      <c r="L957" s="13"/>
      <c r="M957" s="13"/>
      <c r="N957" s="13"/>
      <c r="O957" s="13"/>
      <c r="P957" s="13"/>
      <c r="Q957" s="13"/>
      <c r="R957" s="13"/>
      <c r="S957" s="13"/>
      <c r="T957" s="13"/>
      <c r="U957" s="13"/>
      <c r="V957" s="13"/>
      <c r="W957" s="13"/>
      <c r="X957" s="13"/>
      <c r="Y957" s="13"/>
      <c r="Z957" s="13"/>
      <c r="AA957" s="13"/>
      <c r="AB957" s="13"/>
    </row>
    <row r="958" spans="1:28" ht="17.399999999999999" x14ac:dyDescent="0.35">
      <c r="A958" s="16"/>
      <c r="B958" s="17"/>
      <c r="C958" s="13"/>
      <c r="D958" s="13"/>
      <c r="E958" s="15"/>
      <c r="F958" s="13"/>
      <c r="G958" s="13"/>
      <c r="H958" s="6"/>
      <c r="I958" s="13"/>
      <c r="J958" s="13"/>
      <c r="K958" s="13"/>
      <c r="L958" s="13"/>
      <c r="M958" s="13"/>
      <c r="N958" s="13"/>
      <c r="O958" s="13"/>
      <c r="P958" s="13"/>
      <c r="Q958" s="13"/>
      <c r="R958" s="13"/>
      <c r="S958" s="13"/>
      <c r="T958" s="13"/>
      <c r="U958" s="13"/>
      <c r="V958" s="13"/>
      <c r="W958" s="13"/>
      <c r="X958" s="13"/>
      <c r="Y958" s="13"/>
      <c r="Z958" s="13"/>
      <c r="AA958" s="13"/>
      <c r="AB958" s="13"/>
    </row>
    <row r="959" spans="1:28" ht="17.399999999999999" x14ac:dyDescent="0.35">
      <c r="A959" s="16"/>
      <c r="B959" s="17"/>
      <c r="C959" s="13"/>
      <c r="D959" s="13"/>
      <c r="E959" s="15"/>
      <c r="F959" s="13"/>
      <c r="G959" s="13"/>
      <c r="H959" s="6"/>
      <c r="I959" s="13"/>
      <c r="J959" s="13"/>
      <c r="K959" s="13"/>
      <c r="L959" s="13"/>
      <c r="M959" s="13"/>
      <c r="N959" s="13"/>
      <c r="O959" s="13"/>
      <c r="P959" s="13"/>
      <c r="Q959" s="13"/>
      <c r="R959" s="13"/>
      <c r="S959" s="13"/>
      <c r="T959" s="13"/>
      <c r="U959" s="13"/>
      <c r="V959" s="13"/>
      <c r="W959" s="13"/>
      <c r="X959" s="13"/>
      <c r="Y959" s="13"/>
      <c r="Z959" s="13"/>
      <c r="AA959" s="13"/>
      <c r="AB959" s="13"/>
    </row>
    <row r="960" spans="1:28" ht="17.399999999999999" x14ac:dyDescent="0.35">
      <c r="A960" s="16"/>
      <c r="B960" s="17"/>
      <c r="C960" s="13"/>
      <c r="D960" s="13"/>
      <c r="E960" s="15"/>
      <c r="F960" s="13"/>
      <c r="G960" s="13"/>
      <c r="H960" s="6"/>
      <c r="I960" s="13"/>
      <c r="J960" s="13"/>
      <c r="K960" s="13"/>
      <c r="L960" s="13"/>
      <c r="M960" s="13"/>
      <c r="N960" s="13"/>
      <c r="O960" s="13"/>
      <c r="P960" s="13"/>
      <c r="Q960" s="13"/>
      <c r="R960" s="13"/>
      <c r="S960" s="13"/>
      <c r="T960" s="13"/>
      <c r="U960" s="13"/>
      <c r="V960" s="13"/>
      <c r="W960" s="13"/>
      <c r="X960" s="13"/>
      <c r="Y960" s="13"/>
      <c r="Z960" s="13"/>
      <c r="AA960" s="13"/>
      <c r="AB960" s="13"/>
    </row>
    <row r="961" spans="1:28" ht="17.399999999999999" x14ac:dyDescent="0.35">
      <c r="A961" s="16"/>
      <c r="B961" s="17"/>
      <c r="C961" s="13"/>
      <c r="D961" s="13"/>
      <c r="E961" s="15"/>
      <c r="F961" s="13"/>
      <c r="G961" s="13"/>
      <c r="H961" s="6"/>
      <c r="I961" s="13"/>
      <c r="J961" s="13"/>
      <c r="K961" s="13"/>
      <c r="L961" s="13"/>
      <c r="M961" s="13"/>
      <c r="N961" s="13"/>
      <c r="O961" s="13"/>
      <c r="P961" s="13"/>
      <c r="Q961" s="13"/>
      <c r="R961" s="13"/>
      <c r="S961" s="13"/>
      <c r="T961" s="13"/>
      <c r="U961" s="13"/>
      <c r="V961" s="13"/>
      <c r="W961" s="13"/>
      <c r="X961" s="13"/>
      <c r="Y961" s="13"/>
      <c r="Z961" s="13"/>
      <c r="AA961" s="13"/>
      <c r="AB961" s="13"/>
    </row>
    <row r="962" spans="1:28" ht="17.399999999999999" x14ac:dyDescent="0.35">
      <c r="A962" s="16"/>
      <c r="B962" s="17"/>
      <c r="C962" s="13"/>
      <c r="D962" s="13"/>
      <c r="E962" s="15"/>
      <c r="F962" s="13"/>
      <c r="G962" s="13"/>
      <c r="H962" s="6"/>
      <c r="I962" s="13"/>
      <c r="J962" s="13"/>
      <c r="K962" s="13"/>
      <c r="L962" s="13"/>
      <c r="M962" s="13"/>
      <c r="N962" s="13"/>
      <c r="O962" s="13"/>
      <c r="P962" s="13"/>
      <c r="Q962" s="13"/>
      <c r="R962" s="13"/>
      <c r="S962" s="13"/>
      <c r="T962" s="13"/>
      <c r="U962" s="13"/>
      <c r="V962" s="13"/>
      <c r="W962" s="13"/>
      <c r="X962" s="13"/>
      <c r="Y962" s="13"/>
      <c r="Z962" s="13"/>
      <c r="AA962" s="13"/>
      <c r="AB962" s="13"/>
    </row>
    <row r="963" spans="1:28" ht="17.399999999999999" x14ac:dyDescent="0.35">
      <c r="A963" s="16"/>
      <c r="B963" s="17"/>
      <c r="C963" s="13"/>
      <c r="D963" s="13"/>
      <c r="E963" s="15"/>
      <c r="F963" s="13"/>
      <c r="G963" s="13"/>
      <c r="H963" s="6"/>
      <c r="I963" s="13"/>
      <c r="J963" s="13"/>
      <c r="K963" s="13"/>
      <c r="L963" s="13"/>
      <c r="M963" s="13"/>
      <c r="N963" s="13"/>
      <c r="O963" s="13"/>
      <c r="P963" s="13"/>
      <c r="Q963" s="13"/>
      <c r="R963" s="13"/>
      <c r="S963" s="13"/>
      <c r="T963" s="13"/>
      <c r="U963" s="13"/>
      <c r="V963" s="13"/>
      <c r="W963" s="13"/>
      <c r="X963" s="13"/>
      <c r="Y963" s="13"/>
      <c r="Z963" s="13"/>
      <c r="AA963" s="13"/>
      <c r="AB963" s="13"/>
    </row>
    <row r="964" spans="1:28" ht="17.399999999999999" x14ac:dyDescent="0.35">
      <c r="A964" s="16"/>
      <c r="B964" s="17"/>
      <c r="C964" s="13"/>
      <c r="D964" s="13"/>
      <c r="E964" s="15"/>
      <c r="F964" s="13"/>
      <c r="G964" s="13"/>
      <c r="H964" s="6"/>
      <c r="I964" s="13"/>
      <c r="J964" s="13"/>
      <c r="K964" s="13"/>
      <c r="L964" s="13"/>
      <c r="M964" s="13"/>
      <c r="N964" s="13"/>
      <c r="O964" s="13"/>
      <c r="P964" s="13"/>
      <c r="Q964" s="13"/>
      <c r="R964" s="13"/>
      <c r="S964" s="13"/>
      <c r="T964" s="13"/>
      <c r="U964" s="13"/>
      <c r="V964" s="13"/>
      <c r="W964" s="13"/>
      <c r="X964" s="13"/>
      <c r="Y964" s="13"/>
      <c r="Z964" s="13"/>
      <c r="AA964" s="13"/>
      <c r="AB964" s="13"/>
    </row>
    <row r="965" spans="1:28" ht="17.399999999999999" x14ac:dyDescent="0.35">
      <c r="A965" s="16"/>
      <c r="B965" s="17"/>
      <c r="C965" s="13"/>
      <c r="D965" s="13"/>
      <c r="E965" s="15"/>
      <c r="F965" s="13"/>
      <c r="G965" s="13"/>
      <c r="H965" s="6"/>
      <c r="I965" s="13"/>
      <c r="J965" s="13"/>
      <c r="K965" s="13"/>
      <c r="L965" s="13"/>
      <c r="M965" s="13"/>
      <c r="N965" s="13"/>
      <c r="O965" s="13"/>
      <c r="P965" s="13"/>
      <c r="Q965" s="13"/>
      <c r="R965" s="13"/>
      <c r="S965" s="13"/>
      <c r="T965" s="13"/>
      <c r="U965" s="13"/>
      <c r="V965" s="13"/>
      <c r="W965" s="13"/>
      <c r="X965" s="13"/>
      <c r="Y965" s="13"/>
      <c r="Z965" s="13"/>
      <c r="AA965" s="13"/>
      <c r="AB965" s="13"/>
    </row>
    <row r="966" spans="1:28" ht="17.399999999999999" x14ac:dyDescent="0.35">
      <c r="A966" s="16"/>
      <c r="B966" s="17"/>
      <c r="C966" s="13"/>
      <c r="D966" s="13"/>
      <c r="E966" s="15"/>
      <c r="F966" s="13"/>
      <c r="G966" s="13"/>
      <c r="H966" s="6"/>
      <c r="I966" s="13"/>
      <c r="J966" s="13"/>
      <c r="K966" s="13"/>
      <c r="L966" s="13"/>
      <c r="M966" s="13"/>
      <c r="N966" s="13"/>
      <c r="O966" s="13"/>
      <c r="P966" s="13"/>
      <c r="Q966" s="13"/>
      <c r="R966" s="13"/>
      <c r="S966" s="13"/>
      <c r="T966" s="13"/>
      <c r="U966" s="13"/>
      <c r="V966" s="13"/>
      <c r="W966" s="13"/>
      <c r="X966" s="13"/>
      <c r="Y966" s="13"/>
      <c r="Z966" s="13"/>
      <c r="AA966" s="13"/>
      <c r="AB966" s="13"/>
    </row>
    <row r="967" spans="1:28" ht="17.399999999999999" x14ac:dyDescent="0.35">
      <c r="A967" s="16"/>
      <c r="B967" s="17"/>
      <c r="C967" s="13"/>
      <c r="D967" s="13"/>
      <c r="E967" s="15"/>
      <c r="F967" s="13"/>
      <c r="G967" s="13"/>
      <c r="H967" s="6"/>
      <c r="I967" s="13"/>
      <c r="J967" s="13"/>
      <c r="K967" s="13"/>
      <c r="L967" s="13"/>
      <c r="M967" s="13"/>
      <c r="N967" s="13"/>
      <c r="O967" s="13"/>
      <c r="P967" s="13"/>
      <c r="Q967" s="13"/>
      <c r="R967" s="13"/>
      <c r="S967" s="13"/>
      <c r="T967" s="13"/>
      <c r="U967" s="13"/>
      <c r="V967" s="13"/>
      <c r="W967" s="13"/>
      <c r="X967" s="13"/>
      <c r="Y967" s="13"/>
      <c r="Z967" s="13"/>
      <c r="AA967" s="13"/>
      <c r="AB967" s="13"/>
    </row>
    <row r="968" spans="1:28" ht="17.399999999999999" x14ac:dyDescent="0.35">
      <c r="A968" s="16"/>
      <c r="B968" s="17"/>
      <c r="C968" s="13"/>
      <c r="D968" s="13"/>
      <c r="E968" s="15"/>
      <c r="F968" s="13"/>
      <c r="G968" s="13"/>
      <c r="H968" s="6"/>
      <c r="I968" s="13"/>
      <c r="J968" s="13"/>
      <c r="K968" s="13"/>
      <c r="L968" s="13"/>
      <c r="M968" s="13"/>
      <c r="N968" s="13"/>
      <c r="O968" s="13"/>
      <c r="P968" s="13"/>
      <c r="Q968" s="13"/>
      <c r="R968" s="13"/>
      <c r="S968" s="13"/>
      <c r="T968" s="13"/>
      <c r="U968" s="13"/>
      <c r="V968" s="13"/>
      <c r="W968" s="13"/>
      <c r="X968" s="13"/>
      <c r="Y968" s="13"/>
      <c r="Z968" s="13"/>
      <c r="AA968" s="13"/>
      <c r="AB968" s="13"/>
    </row>
    <row r="969" spans="1:28" ht="17.399999999999999" x14ac:dyDescent="0.35">
      <c r="A969" s="16"/>
      <c r="B969" s="17"/>
      <c r="C969" s="13"/>
      <c r="D969" s="13"/>
      <c r="E969" s="15"/>
      <c r="F969" s="13"/>
      <c r="G969" s="13"/>
      <c r="H969" s="6"/>
      <c r="I969" s="13"/>
      <c r="J969" s="13"/>
      <c r="K969" s="13"/>
      <c r="L969" s="13"/>
      <c r="M969" s="13"/>
      <c r="N969" s="13"/>
      <c r="O969" s="13"/>
      <c r="P969" s="13"/>
      <c r="Q969" s="13"/>
      <c r="R969" s="13"/>
      <c r="S969" s="13"/>
      <c r="T969" s="13"/>
      <c r="U969" s="13"/>
      <c r="V969" s="13"/>
      <c r="W969" s="13"/>
      <c r="X969" s="13"/>
      <c r="Y969" s="13"/>
      <c r="Z969" s="13"/>
      <c r="AA969" s="13"/>
      <c r="AB969" s="13"/>
    </row>
    <row r="970" spans="1:28" ht="17.399999999999999" x14ac:dyDescent="0.35">
      <c r="A970" s="16"/>
      <c r="B970" s="17"/>
      <c r="C970" s="13"/>
      <c r="D970" s="13"/>
      <c r="E970" s="15"/>
      <c r="F970" s="13"/>
      <c r="G970" s="13"/>
      <c r="H970" s="6"/>
      <c r="I970" s="13"/>
      <c r="J970" s="13"/>
      <c r="K970" s="13"/>
      <c r="L970" s="13"/>
      <c r="M970" s="13"/>
      <c r="N970" s="13"/>
      <c r="O970" s="13"/>
      <c r="P970" s="13"/>
      <c r="Q970" s="13"/>
      <c r="R970" s="13"/>
      <c r="S970" s="13"/>
      <c r="T970" s="13"/>
      <c r="U970" s="13"/>
      <c r="V970" s="13"/>
      <c r="W970" s="13"/>
      <c r="X970" s="13"/>
      <c r="Y970" s="13"/>
      <c r="Z970" s="13"/>
      <c r="AA970" s="13"/>
      <c r="AB970" s="13"/>
    </row>
    <row r="971" spans="1:28" ht="17.399999999999999" x14ac:dyDescent="0.35">
      <c r="A971" s="16"/>
      <c r="B971" s="17"/>
      <c r="C971" s="13"/>
      <c r="D971" s="13"/>
      <c r="E971" s="15"/>
      <c r="F971" s="13"/>
      <c r="G971" s="13"/>
      <c r="H971" s="6"/>
      <c r="I971" s="13"/>
      <c r="J971" s="13"/>
      <c r="K971" s="13"/>
      <c r="L971" s="13"/>
      <c r="M971" s="13"/>
      <c r="N971" s="13"/>
      <c r="O971" s="13"/>
      <c r="P971" s="13"/>
      <c r="Q971" s="13"/>
      <c r="R971" s="13"/>
      <c r="S971" s="13"/>
      <c r="T971" s="13"/>
      <c r="U971" s="13"/>
      <c r="V971" s="13"/>
      <c r="W971" s="13"/>
      <c r="X971" s="13"/>
      <c r="Y971" s="13"/>
      <c r="Z971" s="13"/>
      <c r="AA971" s="13"/>
      <c r="AB971" s="13"/>
    </row>
    <row r="972" spans="1:28" ht="17.399999999999999" x14ac:dyDescent="0.35">
      <c r="A972" s="16"/>
      <c r="B972" s="17"/>
      <c r="C972" s="13"/>
      <c r="D972" s="13"/>
      <c r="E972" s="15"/>
      <c r="F972" s="13"/>
      <c r="G972" s="13"/>
      <c r="H972" s="6"/>
      <c r="I972" s="13"/>
      <c r="J972" s="13"/>
      <c r="K972" s="13"/>
      <c r="L972" s="13"/>
      <c r="M972" s="13"/>
      <c r="N972" s="13"/>
      <c r="O972" s="13"/>
      <c r="P972" s="13"/>
      <c r="Q972" s="13"/>
      <c r="R972" s="13"/>
      <c r="S972" s="13"/>
      <c r="T972" s="13"/>
      <c r="U972" s="13"/>
      <c r="V972" s="13"/>
      <c r="W972" s="13"/>
      <c r="X972" s="13"/>
      <c r="Y972" s="13"/>
      <c r="Z972" s="13"/>
      <c r="AA972" s="13"/>
      <c r="AB972" s="13"/>
    </row>
    <row r="973" spans="1:28" ht="17.399999999999999" x14ac:dyDescent="0.35">
      <c r="A973" s="16"/>
      <c r="B973" s="17"/>
      <c r="C973" s="13"/>
      <c r="D973" s="13"/>
      <c r="E973" s="15"/>
      <c r="F973" s="13"/>
      <c r="G973" s="13"/>
      <c r="H973" s="6"/>
      <c r="I973" s="13"/>
      <c r="J973" s="13"/>
      <c r="K973" s="13"/>
      <c r="L973" s="13"/>
      <c r="M973" s="13"/>
      <c r="N973" s="13"/>
      <c r="O973" s="13"/>
      <c r="P973" s="13"/>
      <c r="Q973" s="13"/>
      <c r="R973" s="13"/>
      <c r="S973" s="13"/>
      <c r="T973" s="13"/>
      <c r="U973" s="13"/>
      <c r="V973" s="13"/>
      <c r="W973" s="13"/>
      <c r="X973" s="13"/>
      <c r="Y973" s="13"/>
      <c r="Z973" s="13"/>
      <c r="AA973" s="13"/>
      <c r="AB973" s="13"/>
    </row>
    <row r="974" spans="1:28" ht="17.399999999999999" x14ac:dyDescent="0.35">
      <c r="A974" s="16"/>
      <c r="B974" s="17"/>
      <c r="C974" s="13"/>
      <c r="D974" s="13"/>
      <c r="E974" s="15"/>
      <c r="F974" s="13"/>
      <c r="G974" s="13"/>
      <c r="H974" s="6"/>
      <c r="I974" s="13"/>
      <c r="J974" s="13"/>
      <c r="K974" s="13"/>
      <c r="L974" s="13"/>
      <c r="M974" s="13"/>
      <c r="N974" s="13"/>
      <c r="O974" s="13"/>
      <c r="P974" s="13"/>
      <c r="Q974" s="13"/>
      <c r="R974" s="13"/>
      <c r="S974" s="13"/>
      <c r="T974" s="13"/>
      <c r="U974" s="13"/>
      <c r="V974" s="13"/>
      <c r="W974" s="13"/>
      <c r="X974" s="13"/>
      <c r="Y974" s="13"/>
      <c r="Z974" s="13"/>
      <c r="AA974" s="13"/>
      <c r="AB974" s="13"/>
    </row>
    <row r="975" spans="1:28" ht="17.399999999999999" x14ac:dyDescent="0.35">
      <c r="A975" s="16"/>
      <c r="B975" s="17"/>
      <c r="C975" s="13"/>
      <c r="D975" s="13"/>
      <c r="E975" s="15"/>
      <c r="F975" s="13"/>
      <c r="G975" s="13"/>
      <c r="H975" s="6"/>
      <c r="I975" s="13"/>
      <c r="J975" s="13"/>
      <c r="K975" s="13"/>
      <c r="L975" s="13"/>
      <c r="M975" s="13"/>
      <c r="N975" s="13"/>
      <c r="O975" s="13"/>
      <c r="P975" s="13"/>
      <c r="Q975" s="13"/>
      <c r="R975" s="13"/>
      <c r="S975" s="13"/>
      <c r="T975" s="13"/>
      <c r="U975" s="13"/>
      <c r="V975" s="13"/>
      <c r="W975" s="13"/>
      <c r="X975" s="13"/>
      <c r="Y975" s="13"/>
      <c r="Z975" s="13"/>
      <c r="AA975" s="13"/>
      <c r="AB975" s="13"/>
    </row>
    <row r="976" spans="1:28" ht="17.399999999999999" x14ac:dyDescent="0.35">
      <c r="A976" s="16"/>
      <c r="B976" s="17"/>
      <c r="C976" s="13"/>
      <c r="D976" s="13"/>
      <c r="E976" s="15"/>
      <c r="F976" s="13"/>
      <c r="G976" s="13"/>
      <c r="H976" s="6"/>
      <c r="I976" s="13"/>
      <c r="J976" s="13"/>
      <c r="K976" s="13"/>
      <c r="L976" s="13"/>
      <c r="M976" s="13"/>
      <c r="N976" s="13"/>
      <c r="O976" s="13"/>
      <c r="P976" s="13"/>
      <c r="Q976" s="13"/>
      <c r="R976" s="13"/>
      <c r="S976" s="13"/>
      <c r="T976" s="13"/>
      <c r="U976" s="13"/>
      <c r="V976" s="13"/>
      <c r="W976" s="13"/>
      <c r="X976" s="13"/>
      <c r="Y976" s="13"/>
      <c r="Z976" s="13"/>
      <c r="AA976" s="13"/>
      <c r="AB976" s="13"/>
    </row>
    <row r="977" spans="1:28" ht="17.399999999999999" x14ac:dyDescent="0.35">
      <c r="A977" s="16"/>
      <c r="B977" s="17"/>
      <c r="C977" s="13"/>
      <c r="D977" s="13"/>
      <c r="E977" s="15"/>
      <c r="F977" s="13"/>
      <c r="G977" s="13"/>
      <c r="H977" s="6"/>
      <c r="I977" s="13"/>
      <c r="J977" s="13"/>
      <c r="K977" s="13"/>
      <c r="L977" s="13"/>
      <c r="M977" s="13"/>
      <c r="N977" s="13"/>
      <c r="O977" s="13"/>
      <c r="P977" s="13"/>
      <c r="Q977" s="13"/>
      <c r="R977" s="13"/>
      <c r="S977" s="13"/>
      <c r="T977" s="13"/>
      <c r="U977" s="13"/>
      <c r="V977" s="13"/>
      <c r="W977" s="13"/>
      <c r="X977" s="13"/>
      <c r="Y977" s="13"/>
      <c r="Z977" s="13"/>
      <c r="AA977" s="13"/>
      <c r="AB977" s="13"/>
    </row>
    <row r="978" spans="1:28" ht="17.399999999999999" x14ac:dyDescent="0.35">
      <c r="A978" s="16"/>
      <c r="B978" s="17"/>
      <c r="C978" s="13"/>
      <c r="D978" s="13"/>
      <c r="E978" s="15"/>
      <c r="F978" s="13"/>
      <c r="G978" s="13"/>
      <c r="H978" s="6"/>
      <c r="I978" s="13"/>
      <c r="J978" s="13"/>
      <c r="K978" s="13"/>
      <c r="L978" s="13"/>
      <c r="M978" s="13"/>
      <c r="N978" s="13"/>
      <c r="O978" s="13"/>
      <c r="P978" s="13"/>
      <c r="Q978" s="13"/>
      <c r="R978" s="13"/>
      <c r="S978" s="13"/>
      <c r="T978" s="13"/>
      <c r="U978" s="13"/>
      <c r="V978" s="13"/>
      <c r="W978" s="13"/>
      <c r="X978" s="13"/>
      <c r="Y978" s="13"/>
      <c r="Z978" s="13"/>
      <c r="AA978" s="13"/>
      <c r="AB978" s="13"/>
    </row>
    <row r="979" spans="1:28" ht="17.399999999999999" x14ac:dyDescent="0.35">
      <c r="A979" s="16"/>
      <c r="B979" s="17"/>
      <c r="C979" s="13"/>
      <c r="D979" s="13"/>
      <c r="E979" s="15"/>
      <c r="F979" s="13"/>
      <c r="G979" s="13"/>
      <c r="H979" s="6"/>
      <c r="I979" s="13"/>
      <c r="J979" s="13"/>
      <c r="K979" s="13"/>
      <c r="L979" s="13"/>
      <c r="M979" s="13"/>
      <c r="N979" s="13"/>
      <c r="O979" s="13"/>
      <c r="P979" s="13"/>
      <c r="Q979" s="13"/>
      <c r="R979" s="13"/>
      <c r="S979" s="13"/>
      <c r="T979" s="13"/>
      <c r="U979" s="13"/>
      <c r="V979" s="13"/>
      <c r="W979" s="13"/>
      <c r="X979" s="13"/>
      <c r="Y979" s="13"/>
      <c r="Z979" s="13"/>
      <c r="AA979" s="13"/>
      <c r="AB979" s="13"/>
    </row>
    <row r="980" spans="1:28" ht="17.399999999999999" x14ac:dyDescent="0.35">
      <c r="A980" s="16"/>
      <c r="B980" s="17"/>
      <c r="C980" s="13"/>
      <c r="D980" s="13"/>
      <c r="E980" s="15"/>
      <c r="F980" s="13"/>
      <c r="G980" s="13"/>
      <c r="H980" s="6"/>
      <c r="I980" s="13"/>
      <c r="J980" s="13"/>
      <c r="K980" s="13"/>
      <c r="L980" s="13"/>
      <c r="M980" s="13"/>
      <c r="N980" s="13"/>
      <c r="O980" s="13"/>
      <c r="P980" s="13"/>
      <c r="Q980" s="13"/>
      <c r="R980" s="13"/>
      <c r="S980" s="13"/>
      <c r="T980" s="13"/>
      <c r="U980" s="13"/>
      <c r="V980" s="13"/>
      <c r="W980" s="13"/>
      <c r="X980" s="13"/>
      <c r="Y980" s="13"/>
      <c r="Z980" s="13"/>
      <c r="AA980" s="13"/>
      <c r="AB980" s="13"/>
    </row>
    <row r="981" spans="1:28" ht="17.399999999999999" x14ac:dyDescent="0.35">
      <c r="A981" s="16"/>
      <c r="B981" s="17"/>
      <c r="C981" s="13"/>
      <c r="D981" s="13"/>
      <c r="E981" s="15"/>
      <c r="F981" s="13"/>
      <c r="G981" s="13"/>
      <c r="H981" s="6"/>
      <c r="I981" s="13"/>
      <c r="J981" s="13"/>
      <c r="K981" s="13"/>
      <c r="L981" s="13"/>
      <c r="M981" s="13"/>
      <c r="N981" s="13"/>
      <c r="O981" s="13"/>
      <c r="P981" s="13"/>
      <c r="Q981" s="13"/>
      <c r="R981" s="13"/>
      <c r="S981" s="13"/>
      <c r="T981" s="13"/>
      <c r="U981" s="13"/>
      <c r="V981" s="13"/>
      <c r="W981" s="13"/>
      <c r="X981" s="13"/>
      <c r="Y981" s="13"/>
      <c r="Z981" s="13"/>
      <c r="AA981" s="13"/>
      <c r="AB981" s="13"/>
    </row>
    <row r="982" spans="1:28" ht="17.399999999999999" x14ac:dyDescent="0.35">
      <c r="A982" s="16"/>
      <c r="B982" s="17"/>
      <c r="C982" s="13"/>
      <c r="D982" s="13"/>
      <c r="E982" s="15"/>
      <c r="F982" s="13"/>
      <c r="G982" s="13"/>
      <c r="H982" s="6"/>
      <c r="I982" s="13"/>
      <c r="J982" s="13"/>
      <c r="K982" s="13"/>
      <c r="L982" s="13"/>
      <c r="M982" s="13"/>
      <c r="N982" s="13"/>
      <c r="O982" s="13"/>
      <c r="P982" s="13"/>
      <c r="Q982" s="13"/>
      <c r="R982" s="13"/>
      <c r="S982" s="13"/>
      <c r="T982" s="13"/>
      <c r="U982" s="13"/>
      <c r="V982" s="13"/>
      <c r="W982" s="13"/>
      <c r="X982" s="13"/>
      <c r="Y982" s="13"/>
      <c r="Z982" s="13"/>
      <c r="AA982" s="13"/>
      <c r="AB982" s="13"/>
    </row>
    <row r="983" spans="1:28" ht="17.399999999999999" x14ac:dyDescent="0.35">
      <c r="A983" s="16"/>
      <c r="B983" s="17"/>
      <c r="C983" s="13"/>
      <c r="D983" s="13"/>
      <c r="E983" s="15"/>
      <c r="F983" s="13"/>
      <c r="G983" s="13"/>
      <c r="H983" s="6"/>
      <c r="I983" s="13"/>
      <c r="J983" s="13"/>
      <c r="K983" s="13"/>
      <c r="L983" s="13"/>
      <c r="M983" s="13"/>
      <c r="N983" s="13"/>
      <c r="O983" s="13"/>
      <c r="P983" s="13"/>
      <c r="Q983" s="13"/>
      <c r="R983" s="13"/>
      <c r="S983" s="13"/>
      <c r="T983" s="13"/>
      <c r="U983" s="13"/>
      <c r="V983" s="13"/>
      <c r="W983" s="13"/>
      <c r="X983" s="13"/>
      <c r="Y983" s="13"/>
      <c r="Z983" s="13"/>
      <c r="AA983" s="13"/>
      <c r="AB983" s="13"/>
    </row>
    <row r="984" spans="1:28" ht="17.399999999999999" x14ac:dyDescent="0.35">
      <c r="A984" s="16"/>
      <c r="B984" s="17"/>
      <c r="C984" s="13"/>
      <c r="D984" s="13"/>
      <c r="E984" s="15"/>
      <c r="F984" s="13"/>
      <c r="G984" s="13"/>
      <c r="H984" s="6"/>
      <c r="I984" s="13"/>
      <c r="J984" s="13"/>
      <c r="K984" s="13"/>
      <c r="L984" s="13"/>
      <c r="M984" s="13"/>
      <c r="N984" s="13"/>
      <c r="O984" s="13"/>
      <c r="P984" s="13"/>
      <c r="Q984" s="13"/>
      <c r="R984" s="13"/>
      <c r="S984" s="13"/>
      <c r="T984" s="13"/>
      <c r="U984" s="13"/>
      <c r="V984" s="13"/>
      <c r="W984" s="13"/>
      <c r="X984" s="13"/>
      <c r="Y984" s="13"/>
      <c r="Z984" s="13"/>
      <c r="AA984" s="13"/>
      <c r="AB984" s="13"/>
    </row>
    <row r="985" spans="1:28" ht="17.399999999999999" x14ac:dyDescent="0.35">
      <c r="A985" s="16"/>
      <c r="B985" s="17"/>
      <c r="C985" s="13"/>
      <c r="D985" s="13"/>
      <c r="E985" s="15"/>
      <c r="F985" s="13"/>
      <c r="G985" s="13"/>
      <c r="H985" s="6"/>
      <c r="I985" s="13"/>
      <c r="J985" s="13"/>
      <c r="K985" s="13"/>
      <c r="L985" s="13"/>
      <c r="M985" s="13"/>
      <c r="N985" s="13"/>
      <c r="O985" s="13"/>
      <c r="P985" s="13"/>
      <c r="Q985" s="13"/>
      <c r="R985" s="13"/>
      <c r="S985" s="13"/>
      <c r="T985" s="13"/>
      <c r="U985" s="13"/>
      <c r="V985" s="13"/>
      <c r="W985" s="13"/>
      <c r="X985" s="13"/>
      <c r="Y985" s="13"/>
      <c r="Z985" s="13"/>
      <c r="AA985" s="13"/>
      <c r="AB985" s="13"/>
    </row>
    <row r="986" spans="1:28" ht="17.399999999999999" x14ac:dyDescent="0.35">
      <c r="A986" s="16"/>
      <c r="B986" s="17"/>
      <c r="C986" s="13"/>
      <c r="D986" s="13"/>
      <c r="E986" s="15"/>
      <c r="F986" s="13"/>
      <c r="G986" s="13"/>
      <c r="H986" s="6"/>
      <c r="I986" s="13"/>
      <c r="J986" s="13"/>
      <c r="K986" s="13"/>
      <c r="L986" s="13"/>
      <c r="M986" s="13"/>
      <c r="N986" s="13"/>
      <c r="O986" s="13"/>
      <c r="P986" s="13"/>
      <c r="Q986" s="13"/>
      <c r="R986" s="13"/>
      <c r="S986" s="13"/>
      <c r="T986" s="13"/>
      <c r="U986" s="13"/>
      <c r="V986" s="13"/>
      <c r="W986" s="13"/>
      <c r="X986" s="13"/>
      <c r="Y986" s="13"/>
      <c r="Z986" s="13"/>
      <c r="AA986" s="13"/>
      <c r="AB986" s="13"/>
    </row>
    <row r="987" spans="1:28" ht="17.399999999999999" x14ac:dyDescent="0.35">
      <c r="A987" s="16"/>
      <c r="B987" s="17"/>
      <c r="C987" s="13"/>
      <c r="D987" s="13"/>
      <c r="E987" s="15"/>
      <c r="F987" s="13"/>
      <c r="G987" s="13"/>
      <c r="H987" s="6"/>
      <c r="I987" s="13"/>
      <c r="J987" s="13"/>
      <c r="K987" s="13"/>
      <c r="L987" s="13"/>
      <c r="M987" s="13"/>
      <c r="N987" s="13"/>
      <c r="O987" s="13"/>
      <c r="P987" s="13"/>
      <c r="Q987" s="13"/>
      <c r="R987" s="13"/>
      <c r="S987" s="13"/>
      <c r="T987" s="13"/>
      <c r="U987" s="13"/>
      <c r="V987" s="13"/>
      <c r="W987" s="13"/>
      <c r="X987" s="13"/>
      <c r="Y987" s="13"/>
      <c r="Z987" s="13"/>
      <c r="AA987" s="13"/>
      <c r="AB987" s="13"/>
    </row>
    <row r="988" spans="1:28" ht="17.399999999999999" x14ac:dyDescent="0.35">
      <c r="A988" s="16"/>
      <c r="B988" s="17"/>
      <c r="C988" s="13"/>
      <c r="D988" s="13"/>
      <c r="E988" s="15"/>
      <c r="F988" s="13"/>
      <c r="G988" s="13"/>
      <c r="H988" s="6"/>
      <c r="I988" s="13"/>
      <c r="J988" s="13"/>
      <c r="K988" s="13"/>
      <c r="L988" s="13"/>
      <c r="M988" s="13"/>
      <c r="N988" s="13"/>
      <c r="O988" s="13"/>
      <c r="P988" s="13"/>
      <c r="Q988" s="13"/>
      <c r="R988" s="13"/>
      <c r="S988" s="13"/>
      <c r="T988" s="13"/>
      <c r="U988" s="13"/>
      <c r="V988" s="13"/>
      <c r="W988" s="13"/>
      <c r="X988" s="13"/>
      <c r="Y988" s="13"/>
      <c r="Z988" s="13"/>
      <c r="AA988" s="13"/>
      <c r="AB988" s="13"/>
    </row>
    <row r="989" spans="1:28" ht="17.399999999999999" x14ac:dyDescent="0.35">
      <c r="A989" s="16"/>
      <c r="B989" s="17"/>
      <c r="C989" s="13"/>
      <c r="D989" s="13"/>
      <c r="E989" s="15"/>
      <c r="F989" s="13"/>
      <c r="G989" s="13"/>
      <c r="H989" s="6"/>
      <c r="I989" s="13"/>
      <c r="J989" s="13"/>
      <c r="K989" s="13"/>
      <c r="L989" s="13"/>
      <c r="M989" s="13"/>
      <c r="N989" s="13"/>
      <c r="O989" s="13"/>
      <c r="P989" s="13"/>
      <c r="Q989" s="13"/>
      <c r="R989" s="13"/>
      <c r="S989" s="13"/>
      <c r="T989" s="13"/>
      <c r="U989" s="13"/>
      <c r="V989" s="13"/>
      <c r="W989" s="13"/>
      <c r="X989" s="13"/>
      <c r="Y989" s="13"/>
      <c r="Z989" s="13"/>
      <c r="AA989" s="13"/>
      <c r="AB989" s="13"/>
    </row>
    <row r="990" spans="1:28" ht="17.399999999999999" x14ac:dyDescent="0.35">
      <c r="A990" s="16"/>
      <c r="B990" s="17"/>
      <c r="C990" s="13"/>
      <c r="D990" s="13"/>
      <c r="E990" s="15"/>
      <c r="F990" s="13"/>
      <c r="G990" s="13"/>
      <c r="H990" s="6"/>
      <c r="I990" s="13"/>
      <c r="J990" s="13"/>
      <c r="K990" s="13"/>
      <c r="L990" s="13"/>
      <c r="M990" s="13"/>
      <c r="N990" s="13"/>
      <c r="O990" s="13"/>
      <c r="P990" s="13"/>
      <c r="Q990" s="13"/>
      <c r="R990" s="13"/>
      <c r="S990" s="13"/>
      <c r="T990" s="13"/>
      <c r="U990" s="13"/>
      <c r="V990" s="13"/>
      <c r="W990" s="13"/>
      <c r="X990" s="13"/>
      <c r="Y990" s="13"/>
      <c r="Z990" s="13"/>
      <c r="AA990" s="13"/>
      <c r="AB990" s="13"/>
    </row>
    <row r="991" spans="1:28" ht="17.399999999999999" x14ac:dyDescent="0.35">
      <c r="A991" s="16"/>
      <c r="B991" s="17"/>
      <c r="C991" s="13"/>
      <c r="D991" s="13"/>
      <c r="E991" s="15"/>
      <c r="F991" s="13"/>
      <c r="G991" s="13"/>
      <c r="H991" s="6"/>
      <c r="I991" s="13"/>
      <c r="J991" s="13"/>
      <c r="K991" s="13"/>
      <c r="L991" s="13"/>
      <c r="M991" s="13"/>
      <c r="N991" s="13"/>
      <c r="O991" s="13"/>
      <c r="P991" s="13"/>
      <c r="Q991" s="13"/>
      <c r="R991" s="13"/>
      <c r="S991" s="13"/>
      <c r="T991" s="13"/>
      <c r="U991" s="13"/>
      <c r="V991" s="13"/>
      <c r="W991" s="13"/>
      <c r="X991" s="13"/>
      <c r="Y991" s="13"/>
      <c r="Z991" s="13"/>
      <c r="AA991" s="13"/>
      <c r="AB991" s="13"/>
    </row>
    <row r="992" spans="1:28" ht="17.399999999999999" x14ac:dyDescent="0.35">
      <c r="A992" s="16"/>
      <c r="B992" s="17"/>
      <c r="C992" s="13"/>
      <c r="D992" s="13"/>
      <c r="E992" s="15"/>
      <c r="F992" s="13"/>
      <c r="G992" s="13"/>
      <c r="H992" s="6"/>
      <c r="I992" s="13"/>
      <c r="J992" s="13"/>
      <c r="K992" s="13"/>
      <c r="L992" s="13"/>
      <c r="M992" s="13"/>
      <c r="N992" s="13"/>
      <c r="O992" s="13"/>
      <c r="P992" s="13"/>
      <c r="Q992" s="13"/>
      <c r="R992" s="13"/>
      <c r="S992" s="13"/>
      <c r="T992" s="13"/>
      <c r="U992" s="13"/>
      <c r="V992" s="13"/>
      <c r="W992" s="13"/>
      <c r="X992" s="13"/>
      <c r="Y992" s="13"/>
      <c r="Z992" s="13"/>
      <c r="AA992" s="13"/>
      <c r="AB992" s="13"/>
    </row>
    <row r="993" spans="1:28" ht="17.399999999999999" x14ac:dyDescent="0.35">
      <c r="A993" s="16"/>
      <c r="B993" s="17"/>
      <c r="C993" s="13"/>
      <c r="D993" s="13"/>
      <c r="E993" s="15"/>
      <c r="F993" s="13"/>
      <c r="G993" s="13"/>
      <c r="H993" s="6"/>
      <c r="I993" s="13"/>
      <c r="J993" s="13"/>
      <c r="K993" s="13"/>
      <c r="L993" s="13"/>
      <c r="M993" s="13"/>
      <c r="N993" s="13"/>
      <c r="O993" s="13"/>
      <c r="P993" s="13"/>
      <c r="Q993" s="13"/>
      <c r="R993" s="13"/>
      <c r="S993" s="13"/>
      <c r="T993" s="13"/>
      <c r="U993" s="13"/>
      <c r="V993" s="13"/>
      <c r="W993" s="13"/>
      <c r="X993" s="13"/>
      <c r="Y993" s="13"/>
      <c r="Z993" s="13"/>
      <c r="AA993" s="13"/>
      <c r="AB993" s="13"/>
    </row>
    <row r="994" spans="1:28" ht="17.399999999999999" x14ac:dyDescent="0.35">
      <c r="A994" s="16"/>
      <c r="B994" s="17"/>
      <c r="C994" s="13"/>
      <c r="D994" s="13"/>
      <c r="E994" s="15"/>
      <c r="F994" s="13"/>
      <c r="G994" s="13"/>
      <c r="H994" s="6"/>
      <c r="I994" s="13"/>
      <c r="J994" s="13"/>
      <c r="K994" s="13"/>
      <c r="L994" s="13"/>
      <c r="M994" s="13"/>
      <c r="N994" s="13"/>
      <c r="O994" s="13"/>
      <c r="P994" s="13"/>
      <c r="Q994" s="13"/>
      <c r="R994" s="13"/>
      <c r="S994" s="13"/>
      <c r="T994" s="13"/>
      <c r="U994" s="13"/>
      <c r="V994" s="13"/>
      <c r="W994" s="13"/>
      <c r="X994" s="13"/>
      <c r="Y994" s="13"/>
      <c r="Z994" s="13"/>
      <c r="AA994" s="13"/>
      <c r="AB994" s="13"/>
    </row>
    <row r="995" spans="1:28" ht="17.399999999999999" x14ac:dyDescent="0.35">
      <c r="A995" s="16"/>
      <c r="B995" s="17"/>
      <c r="C995" s="13"/>
      <c r="D995" s="13"/>
      <c r="E995" s="15"/>
      <c r="F995" s="13"/>
      <c r="G995" s="13"/>
      <c r="H995" s="6"/>
      <c r="I995" s="13"/>
      <c r="J995" s="13"/>
      <c r="K995" s="13"/>
      <c r="L995" s="13"/>
      <c r="M995" s="13"/>
      <c r="N995" s="13"/>
      <c r="O995" s="13"/>
      <c r="P995" s="13"/>
      <c r="Q995" s="13"/>
      <c r="R995" s="13"/>
      <c r="S995" s="13"/>
      <c r="T995" s="13"/>
      <c r="U995" s="13"/>
      <c r="V995" s="13"/>
      <c r="W995" s="13"/>
      <c r="X995" s="13"/>
      <c r="Y995" s="13"/>
      <c r="Z995" s="13"/>
      <c r="AA995" s="13"/>
      <c r="AB995" s="13"/>
    </row>
    <row r="996" spans="1:28" ht="17.399999999999999" x14ac:dyDescent="0.35">
      <c r="A996" s="16"/>
      <c r="B996" s="17"/>
      <c r="C996" s="13"/>
      <c r="D996" s="13"/>
      <c r="E996" s="15"/>
      <c r="F996" s="13"/>
      <c r="G996" s="13"/>
      <c r="H996" s="6"/>
      <c r="I996" s="13"/>
      <c r="J996" s="13"/>
      <c r="K996" s="13"/>
      <c r="L996" s="13"/>
      <c r="M996" s="13"/>
      <c r="N996" s="13"/>
      <c r="O996" s="13"/>
      <c r="P996" s="13"/>
      <c r="Q996" s="13"/>
      <c r="R996" s="13"/>
      <c r="S996" s="13"/>
      <c r="T996" s="13"/>
      <c r="U996" s="13"/>
      <c r="V996" s="13"/>
      <c r="W996" s="13"/>
      <c r="X996" s="13"/>
      <c r="Y996" s="13"/>
      <c r="Z996" s="13"/>
      <c r="AA996" s="13"/>
      <c r="AB996" s="13"/>
    </row>
    <row r="997" spans="1:28" ht="17.399999999999999" x14ac:dyDescent="0.35">
      <c r="A997" s="16"/>
      <c r="B997" s="17"/>
      <c r="C997" s="13"/>
      <c r="D997" s="13"/>
      <c r="E997" s="15"/>
      <c r="F997" s="13"/>
      <c r="G997" s="13"/>
      <c r="H997" s="6"/>
      <c r="I997" s="13"/>
      <c r="J997" s="13"/>
      <c r="K997" s="13"/>
      <c r="L997" s="13"/>
      <c r="M997" s="13"/>
      <c r="N997" s="13"/>
      <c r="O997" s="13"/>
      <c r="P997" s="13"/>
      <c r="Q997" s="13"/>
      <c r="R997" s="13"/>
      <c r="S997" s="13"/>
      <c r="T997" s="13"/>
      <c r="U997" s="13"/>
      <c r="V997" s="13"/>
      <c r="W997" s="13"/>
      <c r="X997" s="13"/>
      <c r="Y997" s="13"/>
      <c r="Z997" s="13"/>
      <c r="AA997" s="13"/>
      <c r="AB997" s="13"/>
    </row>
    <row r="998" spans="1:28" ht="17.399999999999999" x14ac:dyDescent="0.35">
      <c r="A998" s="16"/>
      <c r="B998" s="17"/>
      <c r="C998" s="13"/>
      <c r="D998" s="13"/>
      <c r="E998" s="15"/>
      <c r="F998" s="13"/>
      <c r="G998" s="13"/>
      <c r="H998" s="6"/>
      <c r="I998" s="13"/>
      <c r="J998" s="13"/>
      <c r="K998" s="13"/>
      <c r="L998" s="13"/>
      <c r="M998" s="13"/>
      <c r="N998" s="13"/>
      <c r="O998" s="13"/>
      <c r="P998" s="13"/>
      <c r="Q998" s="13"/>
      <c r="R998" s="13"/>
      <c r="S998" s="13"/>
      <c r="T998" s="13"/>
      <c r="U998" s="13"/>
      <c r="V998" s="13"/>
      <c r="W998" s="13"/>
      <c r="X998" s="13"/>
      <c r="Y998" s="13"/>
      <c r="Z998" s="13"/>
      <c r="AA998" s="13"/>
      <c r="AB998" s="13"/>
    </row>
    <row r="999" spans="1:28" ht="17.399999999999999" x14ac:dyDescent="0.35">
      <c r="A999" s="16"/>
      <c r="B999" s="17"/>
      <c r="C999" s="13"/>
      <c r="D999" s="13"/>
      <c r="E999" s="15"/>
      <c r="F999" s="13"/>
      <c r="G999" s="13"/>
      <c r="H999" s="6"/>
      <c r="I999" s="13"/>
      <c r="J999" s="13"/>
      <c r="K999" s="13"/>
      <c r="L999" s="13"/>
      <c r="M999" s="13"/>
      <c r="N999" s="13"/>
      <c r="O999" s="13"/>
      <c r="P999" s="13"/>
      <c r="Q999" s="13"/>
      <c r="R999" s="13"/>
      <c r="S999" s="13"/>
      <c r="T999" s="13"/>
      <c r="U999" s="13"/>
      <c r="V999" s="13"/>
      <c r="W999" s="13"/>
      <c r="X999" s="13"/>
      <c r="Y999" s="13"/>
      <c r="Z999" s="13"/>
      <c r="AA999" s="13"/>
      <c r="AB999" s="13"/>
    </row>
    <row r="1000" spans="1:28" ht="17.399999999999999" x14ac:dyDescent="0.35">
      <c r="A1000" s="16"/>
      <c r="B1000" s="17"/>
      <c r="C1000" s="13"/>
      <c r="D1000" s="13"/>
      <c r="E1000" s="15"/>
      <c r="F1000" s="13"/>
      <c r="G1000" s="13"/>
      <c r="H1000" s="6"/>
      <c r="I1000" s="13"/>
      <c r="J1000" s="13"/>
      <c r="K1000" s="13"/>
      <c r="L1000" s="13"/>
      <c r="M1000" s="13"/>
      <c r="N1000" s="13"/>
      <c r="O1000" s="13"/>
      <c r="P1000" s="13"/>
      <c r="Q1000" s="13"/>
      <c r="R1000" s="13"/>
      <c r="S1000" s="13"/>
      <c r="T1000" s="13"/>
      <c r="U1000" s="13"/>
      <c r="V1000" s="13"/>
      <c r="W1000" s="13"/>
      <c r="X1000" s="13"/>
      <c r="Y1000" s="13"/>
      <c r="Z1000" s="13"/>
      <c r="AA1000" s="13"/>
      <c r="AB1000" s="13"/>
    </row>
  </sheetData>
  <mergeCells count="1">
    <mergeCell ref="E2:E19"/>
  </mergeCells>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outlinePr summaryBelow="0" summaryRight="0"/>
  </sheetPr>
  <dimension ref="A1:XFD3002"/>
  <sheetViews>
    <sheetView topLeftCell="A2" workbookViewId="0"/>
  </sheetViews>
  <sheetFormatPr defaultColWidth="12.6640625" defaultRowHeight="15.75" customHeight="1" x14ac:dyDescent="0.25"/>
  <cols>
    <col min="1" max="1" width="3.21875" customWidth="1"/>
    <col min="4" max="4" width="16.33203125" customWidth="1"/>
    <col min="5" max="5" width="20" customWidth="1"/>
    <col min="6" max="6" width="19.44140625" customWidth="1"/>
    <col min="7" max="7" width="102.109375" customWidth="1"/>
    <col min="8" max="8" width="3.21875" customWidth="1"/>
    <col min="16384" max="16384" width="0" hidden="1" customWidth="1"/>
  </cols>
  <sheetData>
    <row r="1" spans="1:27 16384:16384" ht="18.75" hidden="1" customHeight="1" x14ac:dyDescent="0.25">
      <c r="A1" s="16"/>
      <c r="B1" s="16"/>
      <c r="C1" s="16"/>
      <c r="D1" s="16"/>
      <c r="E1" s="16"/>
      <c r="F1" s="16"/>
      <c r="G1" s="1"/>
      <c r="H1" s="16"/>
      <c r="I1" s="20"/>
      <c r="K1" s="20"/>
      <c r="L1" s="20"/>
      <c r="M1" s="20"/>
      <c r="N1" s="20"/>
      <c r="O1" s="20"/>
      <c r="P1" s="20"/>
      <c r="Q1" s="20"/>
      <c r="R1" s="20"/>
      <c r="S1" s="20"/>
      <c r="T1" s="20"/>
      <c r="U1" s="20"/>
      <c r="V1" s="20"/>
      <c r="W1" s="20"/>
      <c r="X1" s="20"/>
      <c r="Y1" s="20"/>
      <c r="Z1" s="20"/>
      <c r="AA1" s="20"/>
      <c r="XFD1">
        <f ca="1">IF('Roll All'!$B$4="Roll!",RAND(),RAND())</f>
        <v>0.98243739484505954</v>
      </c>
    </row>
    <row r="2" spans="1:27 16384:16384" ht="17.399999999999999" x14ac:dyDescent="0.25">
      <c r="A2" s="16"/>
      <c r="B2" s="20" t="s">
        <v>50</v>
      </c>
      <c r="C2" s="20" t="s">
        <v>26</v>
      </c>
      <c r="D2" s="20" t="s">
        <v>21</v>
      </c>
      <c r="E2" s="20" t="s">
        <v>22</v>
      </c>
      <c r="F2" s="20" t="s">
        <v>51</v>
      </c>
      <c r="G2" s="2" t="s">
        <v>24</v>
      </c>
      <c r="H2" s="16"/>
      <c r="I2" s="20"/>
      <c r="K2" s="20"/>
      <c r="L2" s="20"/>
      <c r="M2" s="20"/>
      <c r="N2" s="20"/>
      <c r="O2" s="20"/>
      <c r="P2" s="20"/>
      <c r="Q2" s="20"/>
      <c r="R2" s="20"/>
      <c r="S2" s="20"/>
      <c r="T2" s="20"/>
      <c r="U2" s="20"/>
      <c r="V2" s="20"/>
      <c r="W2" s="20"/>
      <c r="X2" s="20"/>
      <c r="Y2" s="20"/>
      <c r="Z2" s="20"/>
      <c r="AA2" s="20"/>
    </row>
    <row r="3" spans="1:27 16384:16384" ht="34.799999999999997" x14ac:dyDescent="0.25">
      <c r="A3" s="16"/>
      <c r="B3" s="20" t="b">
        <v>1</v>
      </c>
      <c r="C3" s="20">
        <v>-100</v>
      </c>
      <c r="D3" s="2" t="s">
        <v>28</v>
      </c>
      <c r="E3" s="20">
        <f t="array" ref="E3:E15">ROW(A:A)</f>
        <v>1</v>
      </c>
      <c r="F3" s="20" t="s">
        <v>52</v>
      </c>
      <c r="G3" s="2"/>
      <c r="H3" s="16"/>
      <c r="I3" s="20"/>
      <c r="J3" s="20"/>
      <c r="K3" s="20"/>
      <c r="L3" s="20"/>
      <c r="M3" s="20"/>
      <c r="N3" s="20"/>
      <c r="O3" s="20"/>
      <c r="P3" s="20"/>
      <c r="Q3" s="20"/>
      <c r="R3" s="20"/>
      <c r="S3" s="20"/>
      <c r="T3" s="20"/>
      <c r="U3" s="20"/>
      <c r="V3" s="20"/>
      <c r="W3" s="20"/>
      <c r="X3" s="20"/>
      <c r="Y3" s="20"/>
      <c r="Z3" s="20"/>
      <c r="AA3" s="20"/>
    </row>
    <row r="4" spans="1:27 16384:16384" ht="34.799999999999997" x14ac:dyDescent="0.25">
      <c r="A4" s="16"/>
      <c r="B4" s="20" t="b">
        <v>1</v>
      </c>
      <c r="C4" s="20">
        <v>-100</v>
      </c>
      <c r="D4" s="2" t="s">
        <v>28</v>
      </c>
      <c r="E4" s="2">
        <v>2</v>
      </c>
      <c r="F4" s="20" t="s">
        <v>53</v>
      </c>
      <c r="G4" s="2"/>
      <c r="H4" s="16"/>
      <c r="I4" s="20"/>
      <c r="J4" s="20"/>
      <c r="K4" s="20"/>
      <c r="L4" s="20"/>
      <c r="M4" s="20"/>
      <c r="N4" s="20"/>
      <c r="O4" s="20"/>
      <c r="P4" s="20"/>
      <c r="Q4" s="20"/>
      <c r="R4" s="20"/>
      <c r="S4" s="20"/>
      <c r="T4" s="20"/>
      <c r="U4" s="20"/>
      <c r="V4" s="20"/>
      <c r="W4" s="20"/>
      <c r="X4" s="20"/>
      <c r="Y4" s="20"/>
      <c r="Z4" s="20"/>
      <c r="AA4" s="20"/>
    </row>
    <row r="5" spans="1:27 16384:16384" ht="34.799999999999997" x14ac:dyDescent="0.25">
      <c r="A5" s="16"/>
      <c r="B5" s="20" t="b">
        <v>1</v>
      </c>
      <c r="C5" s="20">
        <v>-100</v>
      </c>
      <c r="D5" s="2" t="s">
        <v>28</v>
      </c>
      <c r="E5" s="2">
        <v>3</v>
      </c>
      <c r="F5" s="20" t="s">
        <v>54</v>
      </c>
      <c r="G5" s="2"/>
      <c r="H5" s="16"/>
      <c r="I5" s="20"/>
      <c r="J5" s="20"/>
      <c r="K5" s="20"/>
      <c r="L5" s="20"/>
      <c r="M5" s="20"/>
      <c r="N5" s="20"/>
      <c r="O5" s="20"/>
      <c r="P5" s="20"/>
      <c r="Q5" s="20"/>
      <c r="R5" s="20"/>
      <c r="S5" s="20"/>
      <c r="T5" s="20"/>
      <c r="U5" s="20"/>
      <c r="V5" s="20"/>
      <c r="W5" s="20"/>
      <c r="X5" s="20"/>
      <c r="Y5" s="20"/>
      <c r="Z5" s="20"/>
      <c r="AA5" s="20"/>
    </row>
    <row r="6" spans="1:27 16384:16384" ht="34.799999999999997" x14ac:dyDescent="0.25">
      <c r="A6" s="16"/>
      <c r="B6" s="20" t="b">
        <v>1</v>
      </c>
      <c r="C6" s="20">
        <v>-100</v>
      </c>
      <c r="D6" s="2" t="s">
        <v>28</v>
      </c>
      <c r="E6" s="2">
        <v>4</v>
      </c>
      <c r="F6" s="20" t="s">
        <v>55</v>
      </c>
      <c r="G6" s="2"/>
      <c r="H6" s="16"/>
      <c r="I6" s="20"/>
      <c r="J6" s="20"/>
      <c r="K6" s="20"/>
      <c r="L6" s="20"/>
      <c r="M6" s="20"/>
      <c r="N6" s="20"/>
      <c r="O6" s="20"/>
      <c r="P6" s="20"/>
      <c r="Q6" s="20"/>
      <c r="R6" s="20"/>
      <c r="S6" s="20"/>
      <c r="T6" s="20"/>
      <c r="U6" s="20"/>
      <c r="V6" s="20"/>
      <c r="W6" s="20"/>
      <c r="X6" s="20"/>
      <c r="Y6" s="20"/>
      <c r="Z6" s="20"/>
      <c r="AA6" s="20"/>
    </row>
    <row r="7" spans="1:27 16384:16384" ht="34.799999999999997" x14ac:dyDescent="0.25">
      <c r="A7" s="16"/>
      <c r="B7" s="20" t="b">
        <v>1</v>
      </c>
      <c r="C7" s="20">
        <v>-100</v>
      </c>
      <c r="D7" s="2" t="s">
        <v>28</v>
      </c>
      <c r="E7" s="2">
        <v>5</v>
      </c>
      <c r="F7" s="20" t="s">
        <v>56</v>
      </c>
      <c r="G7" s="2"/>
      <c r="H7" s="16"/>
      <c r="I7" s="20"/>
      <c r="J7" s="20"/>
      <c r="K7" s="20"/>
      <c r="L7" s="20"/>
      <c r="M7" s="20"/>
      <c r="N7" s="20"/>
      <c r="O7" s="20"/>
      <c r="P7" s="20"/>
      <c r="Q7" s="20"/>
      <c r="R7" s="20"/>
      <c r="S7" s="20"/>
      <c r="T7" s="20"/>
      <c r="U7" s="20"/>
      <c r="V7" s="20"/>
      <c r="W7" s="20"/>
      <c r="X7" s="20"/>
      <c r="Y7" s="20"/>
      <c r="Z7" s="20"/>
      <c r="AA7" s="20"/>
    </row>
    <row r="8" spans="1:27 16384:16384" ht="34.799999999999997" x14ac:dyDescent="0.25">
      <c r="A8" s="16"/>
      <c r="B8" s="20" t="b">
        <v>1</v>
      </c>
      <c r="C8" s="20">
        <v>-100</v>
      </c>
      <c r="D8" s="2" t="s">
        <v>28</v>
      </c>
      <c r="E8" s="2">
        <v>6</v>
      </c>
      <c r="F8" s="20" t="s">
        <v>57</v>
      </c>
      <c r="G8" s="2"/>
      <c r="H8" s="16"/>
      <c r="I8" s="20"/>
      <c r="J8" s="20"/>
      <c r="K8" s="20"/>
      <c r="L8" s="20"/>
      <c r="M8" s="20"/>
      <c r="N8" s="20"/>
      <c r="O8" s="20"/>
      <c r="P8" s="20"/>
      <c r="Q8" s="20"/>
      <c r="R8" s="20"/>
      <c r="S8" s="20"/>
      <c r="T8" s="20"/>
      <c r="U8" s="20"/>
      <c r="V8" s="20"/>
      <c r="W8" s="20"/>
      <c r="X8" s="20"/>
      <c r="Y8" s="20"/>
      <c r="Z8" s="20"/>
      <c r="AA8" s="20"/>
    </row>
    <row r="9" spans="1:27 16384:16384" ht="34.799999999999997" x14ac:dyDescent="0.25">
      <c r="A9" s="16"/>
      <c r="B9" s="20" t="b">
        <v>1</v>
      </c>
      <c r="C9" s="20">
        <v>-100</v>
      </c>
      <c r="D9" s="2" t="s">
        <v>28</v>
      </c>
      <c r="E9" s="2">
        <v>7</v>
      </c>
      <c r="F9" s="20" t="s">
        <v>58</v>
      </c>
      <c r="G9" s="2"/>
      <c r="H9" s="16"/>
      <c r="I9" s="20"/>
      <c r="J9" s="20"/>
      <c r="K9" s="20"/>
      <c r="L9" s="20"/>
      <c r="M9" s="20"/>
      <c r="N9" s="20"/>
      <c r="O9" s="20"/>
      <c r="P9" s="20"/>
      <c r="Q9" s="20"/>
      <c r="R9" s="20"/>
      <c r="S9" s="20"/>
      <c r="T9" s="20"/>
      <c r="U9" s="20"/>
      <c r="V9" s="20"/>
      <c r="W9" s="20"/>
      <c r="X9" s="20"/>
      <c r="Y9" s="20"/>
      <c r="Z9" s="20"/>
      <c r="AA9" s="20"/>
    </row>
    <row r="10" spans="1:27 16384:16384" ht="34.799999999999997" x14ac:dyDescent="0.25">
      <c r="A10" s="16"/>
      <c r="B10" s="20" t="b">
        <v>1</v>
      </c>
      <c r="C10" s="20">
        <v>-100</v>
      </c>
      <c r="D10" s="2" t="s">
        <v>28</v>
      </c>
      <c r="E10" s="2">
        <v>8</v>
      </c>
      <c r="F10" s="20" t="s">
        <v>59</v>
      </c>
      <c r="G10" s="2"/>
      <c r="H10" s="16"/>
      <c r="I10" s="20"/>
      <c r="J10" s="20"/>
      <c r="K10" s="20"/>
      <c r="L10" s="20"/>
      <c r="M10" s="20"/>
      <c r="N10" s="20"/>
      <c r="O10" s="20"/>
      <c r="P10" s="20"/>
      <c r="Q10" s="20"/>
      <c r="R10" s="20"/>
      <c r="S10" s="20"/>
      <c r="T10" s="20"/>
      <c r="U10" s="20"/>
      <c r="V10" s="20"/>
      <c r="W10" s="20"/>
      <c r="X10" s="20"/>
      <c r="Y10" s="20"/>
      <c r="Z10" s="20"/>
      <c r="AA10" s="20"/>
    </row>
    <row r="11" spans="1:27 16384:16384" ht="34.799999999999997" x14ac:dyDescent="0.25">
      <c r="A11" s="16"/>
      <c r="B11" s="20" t="b">
        <v>1</v>
      </c>
      <c r="C11" s="20">
        <v>-100</v>
      </c>
      <c r="D11" s="2" t="s">
        <v>28</v>
      </c>
      <c r="E11" s="2">
        <v>9</v>
      </c>
      <c r="F11" s="20" t="s">
        <v>60</v>
      </c>
      <c r="G11" s="2"/>
      <c r="H11" s="16"/>
      <c r="I11" s="20"/>
      <c r="J11" s="20"/>
      <c r="K11" s="20"/>
      <c r="L11" s="20"/>
      <c r="M11" s="20"/>
      <c r="N11" s="20"/>
      <c r="O11" s="20"/>
      <c r="P11" s="20"/>
      <c r="Q11" s="20"/>
      <c r="R11" s="20"/>
      <c r="S11" s="20"/>
      <c r="T11" s="20"/>
      <c r="U11" s="20"/>
      <c r="V11" s="20"/>
      <c r="W11" s="20"/>
      <c r="X11" s="20"/>
      <c r="Y11" s="20"/>
      <c r="Z11" s="20"/>
      <c r="AA11" s="20"/>
    </row>
    <row r="12" spans="1:27 16384:16384" ht="34.799999999999997" x14ac:dyDescent="0.25">
      <c r="A12" s="16"/>
      <c r="B12" s="20" t="b">
        <v>1</v>
      </c>
      <c r="C12" s="20">
        <v>-100</v>
      </c>
      <c r="D12" s="2" t="s">
        <v>28</v>
      </c>
      <c r="E12" s="2">
        <v>10</v>
      </c>
      <c r="F12" s="20" t="s">
        <v>61</v>
      </c>
      <c r="G12" s="2"/>
      <c r="H12" s="16"/>
      <c r="I12" s="20"/>
      <c r="J12" s="20"/>
      <c r="K12" s="20"/>
      <c r="L12" s="20"/>
      <c r="M12" s="20"/>
      <c r="N12" s="20"/>
      <c r="O12" s="20"/>
      <c r="P12" s="20"/>
      <c r="Q12" s="20"/>
      <c r="R12" s="20"/>
      <c r="S12" s="20"/>
      <c r="T12" s="20"/>
      <c r="U12" s="20"/>
      <c r="V12" s="20"/>
      <c r="W12" s="20"/>
      <c r="X12" s="20"/>
      <c r="Y12" s="20"/>
      <c r="Z12" s="20"/>
      <c r="AA12" s="20"/>
    </row>
    <row r="13" spans="1:27 16384:16384" ht="34.799999999999997" x14ac:dyDescent="0.25">
      <c r="A13" s="16"/>
      <c r="B13" s="20" t="b">
        <v>1</v>
      </c>
      <c r="C13" s="20">
        <v>-100</v>
      </c>
      <c r="D13" s="2" t="s">
        <v>28</v>
      </c>
      <c r="E13" s="2">
        <v>11</v>
      </c>
      <c r="F13" s="20" t="s">
        <v>62</v>
      </c>
      <c r="G13" s="2"/>
      <c r="H13" s="16"/>
      <c r="I13" s="20"/>
      <c r="J13" s="20"/>
      <c r="K13" s="20"/>
      <c r="L13" s="20"/>
      <c r="M13" s="20"/>
      <c r="N13" s="20"/>
      <c r="O13" s="20"/>
      <c r="P13" s="20"/>
      <c r="Q13" s="20"/>
      <c r="R13" s="20"/>
      <c r="S13" s="20"/>
      <c r="T13" s="20"/>
      <c r="U13" s="20"/>
      <c r="V13" s="20"/>
      <c r="W13" s="20"/>
      <c r="X13" s="20"/>
      <c r="Y13" s="20"/>
      <c r="Z13" s="20"/>
      <c r="AA13" s="20"/>
    </row>
    <row r="14" spans="1:27 16384:16384" ht="34.799999999999997" x14ac:dyDescent="0.25">
      <c r="A14" s="16"/>
      <c r="B14" s="20" t="b">
        <v>1</v>
      </c>
      <c r="C14" s="20">
        <v>-100</v>
      </c>
      <c r="D14" s="2" t="s">
        <v>28</v>
      </c>
      <c r="E14" s="2">
        <v>12</v>
      </c>
      <c r="F14" s="20" t="s">
        <v>63</v>
      </c>
      <c r="G14" s="2"/>
      <c r="H14" s="16"/>
      <c r="I14" s="20"/>
      <c r="J14" s="20"/>
      <c r="K14" s="20"/>
      <c r="L14" s="20"/>
      <c r="M14" s="20"/>
      <c r="N14" s="20"/>
      <c r="O14" s="20"/>
      <c r="P14" s="20"/>
      <c r="Q14" s="20"/>
      <c r="R14" s="20"/>
      <c r="S14" s="20"/>
      <c r="T14" s="20"/>
      <c r="U14" s="20"/>
      <c r="V14" s="20"/>
      <c r="W14" s="20"/>
      <c r="X14" s="20"/>
      <c r="Y14" s="20"/>
      <c r="Z14" s="20"/>
      <c r="AA14" s="20"/>
    </row>
    <row r="15" spans="1:27 16384:16384" ht="34.799999999999997" x14ac:dyDescent="0.25">
      <c r="A15" s="16"/>
      <c r="B15" s="20" t="b">
        <v>1</v>
      </c>
      <c r="C15" s="20">
        <v>-100</v>
      </c>
      <c r="D15" s="2" t="s">
        <v>28</v>
      </c>
      <c r="E15" s="2">
        <v>13</v>
      </c>
      <c r="F15" s="20" t="s">
        <v>64</v>
      </c>
      <c r="G15" s="2"/>
      <c r="H15" s="16"/>
      <c r="I15" s="20"/>
      <c r="J15" s="20"/>
      <c r="K15" s="20"/>
      <c r="L15" s="20"/>
      <c r="M15" s="20"/>
      <c r="N15" s="20"/>
      <c r="O15" s="20"/>
      <c r="P15" s="20"/>
      <c r="Q15" s="20"/>
      <c r="R15" s="20"/>
      <c r="S15" s="20"/>
      <c r="T15" s="20"/>
      <c r="U15" s="20"/>
      <c r="V15" s="20"/>
      <c r="W15" s="20"/>
      <c r="X15" s="20"/>
      <c r="Y15" s="20"/>
      <c r="Z15" s="20"/>
      <c r="AA15" s="20"/>
    </row>
    <row r="16" spans="1:27 16384:16384" ht="139.19999999999999" x14ac:dyDescent="0.25">
      <c r="A16" s="16"/>
      <c r="B16" s="20" t="b">
        <f ca="1">IFERROR(__xludf.DUMMYFUNCTION("if(D16=iferror(filter('Character Sheet'!D$13:D3002,'Character Sheet'!D$13:D3002=D16),""""),True,False)"),FALSE)</f>
        <v>0</v>
      </c>
      <c r="C16" s="20">
        <v>0</v>
      </c>
      <c r="D16" s="2" t="s">
        <v>65</v>
      </c>
      <c r="E16" s="2" t="s">
        <v>66</v>
      </c>
      <c r="F16" s="20" t="s">
        <v>52</v>
      </c>
      <c r="G16" s="2" t="s">
        <v>67</v>
      </c>
      <c r="H16" s="16"/>
      <c r="I16" s="20"/>
      <c r="J16" s="20"/>
      <c r="K16" s="20"/>
      <c r="L16" s="20"/>
      <c r="M16" s="20"/>
      <c r="N16" s="20"/>
      <c r="O16" s="20"/>
      <c r="P16" s="20"/>
      <c r="Q16" s="20"/>
      <c r="R16" s="20"/>
      <c r="S16" s="20"/>
      <c r="T16" s="20"/>
      <c r="U16" s="20"/>
      <c r="V16" s="20"/>
      <c r="W16" s="20"/>
      <c r="X16" s="20"/>
      <c r="Y16" s="20"/>
      <c r="Z16" s="20"/>
      <c r="AA16" s="20"/>
    </row>
    <row r="17" spans="1:27" ht="87" x14ac:dyDescent="0.25">
      <c r="A17" s="16"/>
      <c r="B17" s="20" t="b">
        <f ca="1">IFERROR(__xludf.DUMMYFUNCTION("if(D17=iferror(filter('Character Sheet'!D$13:D3002,'Character Sheet'!D$13:D3002=D17),""""),True,False)"),FALSE)</f>
        <v>0</v>
      </c>
      <c r="C17" s="20">
        <v>0</v>
      </c>
      <c r="D17" s="2" t="s">
        <v>68</v>
      </c>
      <c r="E17" s="2" t="s">
        <v>69</v>
      </c>
      <c r="F17" s="20" t="s">
        <v>52</v>
      </c>
      <c r="G17" s="2" t="s">
        <v>70</v>
      </c>
      <c r="H17" s="16"/>
      <c r="I17" s="20"/>
      <c r="J17" s="20"/>
      <c r="K17" s="20"/>
      <c r="L17" s="20"/>
      <c r="M17" s="20"/>
      <c r="N17" s="20"/>
      <c r="O17" s="20"/>
      <c r="P17" s="20"/>
      <c r="Q17" s="20"/>
      <c r="R17" s="20"/>
      <c r="S17" s="20"/>
      <c r="T17" s="20"/>
      <c r="U17" s="20"/>
      <c r="V17" s="20"/>
      <c r="W17" s="20"/>
      <c r="X17" s="20"/>
      <c r="Y17" s="20"/>
      <c r="Z17" s="20"/>
      <c r="AA17" s="20"/>
    </row>
    <row r="18" spans="1:27" ht="104.4" x14ac:dyDescent="0.25">
      <c r="A18" s="16"/>
      <c r="B18" s="20" t="b">
        <f ca="1">IFERROR(__xludf.DUMMYFUNCTION("if(D18=iferror(filter('Character Sheet'!D$13:D3002,'Character Sheet'!D$13:D3002=D18),""""),True,False)"),FALSE)</f>
        <v>0</v>
      </c>
      <c r="C18" s="20">
        <v>50</v>
      </c>
      <c r="D18" s="2" t="s">
        <v>71</v>
      </c>
      <c r="E18" s="2" t="s">
        <v>72</v>
      </c>
      <c r="F18" s="20" t="s">
        <v>52</v>
      </c>
      <c r="G18" s="2" t="s">
        <v>73</v>
      </c>
      <c r="H18" s="16"/>
      <c r="I18" s="20"/>
      <c r="J18" s="20"/>
      <c r="K18" s="20"/>
      <c r="L18" s="20"/>
      <c r="M18" s="20"/>
      <c r="N18" s="20"/>
      <c r="O18" s="20"/>
      <c r="P18" s="20"/>
      <c r="Q18" s="20"/>
      <c r="R18" s="20"/>
      <c r="S18" s="20"/>
      <c r="T18" s="20"/>
      <c r="U18" s="20"/>
      <c r="V18" s="20"/>
      <c r="W18" s="20"/>
      <c r="X18" s="20"/>
      <c r="Y18" s="20"/>
      <c r="Z18" s="20"/>
      <c r="AA18" s="20"/>
    </row>
    <row r="19" spans="1:27" ht="261" x14ac:dyDescent="0.25">
      <c r="A19" s="16"/>
      <c r="B19" s="20" t="b">
        <f ca="1">IFERROR(__xludf.DUMMYFUNCTION("if(D19=iferror(filter('Character Sheet'!D$13:D3002,'Character Sheet'!D$13:D3002=D19),""""),True,False)"),FALSE)</f>
        <v>0</v>
      </c>
      <c r="C19" s="20">
        <v>100</v>
      </c>
      <c r="D19" s="2" t="s">
        <v>74</v>
      </c>
      <c r="E19" s="2" t="s">
        <v>75</v>
      </c>
      <c r="F19" s="20" t="s">
        <v>52</v>
      </c>
      <c r="G19" s="2" t="s">
        <v>76</v>
      </c>
      <c r="H19" s="16"/>
      <c r="I19" s="20"/>
      <c r="J19" s="20"/>
      <c r="K19" s="20"/>
      <c r="L19" s="20"/>
      <c r="M19" s="20"/>
      <c r="N19" s="20"/>
      <c r="O19" s="20"/>
      <c r="P19" s="20"/>
      <c r="Q19" s="20"/>
      <c r="R19" s="20"/>
      <c r="S19" s="20"/>
      <c r="T19" s="20"/>
      <c r="U19" s="20"/>
      <c r="V19" s="20"/>
      <c r="W19" s="20"/>
      <c r="X19" s="20"/>
      <c r="Y19" s="20"/>
      <c r="Z19" s="20"/>
      <c r="AA19" s="20"/>
    </row>
    <row r="20" spans="1:27" ht="295.8" x14ac:dyDescent="0.25">
      <c r="A20" s="16"/>
      <c r="B20" s="20" t="b">
        <f ca="1">IFERROR(__xludf.DUMMYFUNCTION("if(D20=iferror(filter('Character Sheet'!D$13:D3002,'Character Sheet'!D$13:D3002=D20),""""),True,False)"),FALSE)</f>
        <v>0</v>
      </c>
      <c r="C20" s="20">
        <v>100</v>
      </c>
      <c r="D20" s="2" t="s">
        <v>77</v>
      </c>
      <c r="E20" s="2" t="s">
        <v>78</v>
      </c>
      <c r="F20" s="20" t="s">
        <v>52</v>
      </c>
      <c r="G20" s="2" t="s">
        <v>79</v>
      </c>
      <c r="H20" s="16"/>
      <c r="I20" s="20"/>
      <c r="J20" s="20"/>
      <c r="K20" s="20"/>
      <c r="L20" s="20"/>
      <c r="M20" s="20"/>
      <c r="N20" s="20"/>
      <c r="O20" s="20"/>
      <c r="P20" s="20"/>
      <c r="Q20" s="20"/>
      <c r="R20" s="20"/>
      <c r="S20" s="20"/>
      <c r="T20" s="20"/>
      <c r="U20" s="20"/>
      <c r="V20" s="20"/>
      <c r="W20" s="20"/>
      <c r="X20" s="20"/>
      <c r="Y20" s="20"/>
      <c r="Z20" s="20"/>
      <c r="AA20" s="20"/>
    </row>
    <row r="21" spans="1:27" ht="174" x14ac:dyDescent="0.25">
      <c r="A21" s="16"/>
      <c r="B21" s="20" t="b">
        <f ca="1">IFERROR(__xludf.DUMMYFUNCTION("if(D21=iferror(filter('Character Sheet'!D$13:D3002,'Character Sheet'!D$13:D3002=D21),""""),True,False)"),FALSE)</f>
        <v>0</v>
      </c>
      <c r="C21" s="20">
        <v>100</v>
      </c>
      <c r="D21" s="2" t="s">
        <v>80</v>
      </c>
      <c r="E21" s="2" t="s">
        <v>81</v>
      </c>
      <c r="F21" s="20" t="s">
        <v>52</v>
      </c>
      <c r="G21" s="2" t="s">
        <v>82</v>
      </c>
      <c r="H21" s="16"/>
      <c r="I21" s="20"/>
      <c r="J21" s="20"/>
      <c r="K21" s="20"/>
      <c r="L21" s="20"/>
      <c r="M21" s="20"/>
      <c r="N21" s="20"/>
      <c r="O21" s="20"/>
      <c r="P21" s="20"/>
      <c r="Q21" s="20"/>
      <c r="R21" s="20"/>
      <c r="S21" s="20"/>
      <c r="T21" s="20"/>
      <c r="U21" s="20"/>
      <c r="V21" s="20"/>
      <c r="W21" s="20"/>
      <c r="X21" s="20"/>
      <c r="Y21" s="20"/>
      <c r="Z21" s="20"/>
      <c r="AA21" s="20"/>
    </row>
    <row r="22" spans="1:27" ht="69.599999999999994" x14ac:dyDescent="0.25">
      <c r="A22" s="16"/>
      <c r="B22" s="20" t="b">
        <f ca="1">IFERROR(__xludf.DUMMYFUNCTION("if(D22=iferror(filter('Character Sheet'!D$13:D3002,'Character Sheet'!D$13:D3002=D22),""""),True,False)"),FALSE)</f>
        <v>0</v>
      </c>
      <c r="C22" s="20">
        <v>100</v>
      </c>
      <c r="D22" s="2" t="s">
        <v>83</v>
      </c>
      <c r="E22" s="2" t="s">
        <v>84</v>
      </c>
      <c r="F22" s="20" t="s">
        <v>52</v>
      </c>
      <c r="G22" s="2" t="s">
        <v>85</v>
      </c>
      <c r="H22" s="16"/>
      <c r="I22" s="20"/>
      <c r="J22" s="20"/>
      <c r="K22" s="20"/>
      <c r="L22" s="20"/>
      <c r="M22" s="20"/>
      <c r="N22" s="20"/>
      <c r="O22" s="20"/>
      <c r="P22" s="20"/>
      <c r="Q22" s="20"/>
      <c r="R22" s="20"/>
      <c r="S22" s="20"/>
      <c r="T22" s="20"/>
      <c r="U22" s="20"/>
      <c r="V22" s="20"/>
      <c r="W22" s="20"/>
      <c r="X22" s="20"/>
      <c r="Y22" s="20"/>
      <c r="Z22" s="20"/>
      <c r="AA22" s="20"/>
    </row>
    <row r="23" spans="1:27" ht="156.6" x14ac:dyDescent="0.25">
      <c r="A23" s="16"/>
      <c r="B23" s="20" t="b">
        <f ca="1">IFERROR(__xludf.DUMMYFUNCTION("if(D23=iferror(filter('Character Sheet'!D$13:D3002,'Character Sheet'!D$13:D3002=D23),""""),True,False)"),FALSE)</f>
        <v>0</v>
      </c>
      <c r="C23" s="20">
        <v>100</v>
      </c>
      <c r="D23" s="2" t="s">
        <v>86</v>
      </c>
      <c r="E23" s="2" t="s">
        <v>87</v>
      </c>
      <c r="F23" s="20" t="s">
        <v>52</v>
      </c>
      <c r="G23" s="2" t="s">
        <v>88</v>
      </c>
      <c r="H23" s="16"/>
      <c r="I23" s="20"/>
      <c r="J23" s="20"/>
      <c r="K23" s="20"/>
      <c r="L23" s="20"/>
      <c r="M23" s="20"/>
      <c r="N23" s="20"/>
      <c r="O23" s="20"/>
      <c r="P23" s="20"/>
      <c r="Q23" s="20"/>
      <c r="R23" s="20"/>
      <c r="S23" s="20"/>
      <c r="T23" s="20"/>
      <c r="U23" s="20"/>
      <c r="V23" s="20"/>
      <c r="W23" s="20"/>
      <c r="X23" s="20"/>
      <c r="Y23" s="20"/>
      <c r="Z23" s="20"/>
      <c r="AA23" s="20"/>
    </row>
    <row r="24" spans="1:27" ht="52.2" x14ac:dyDescent="0.25">
      <c r="A24" s="16"/>
      <c r="B24" s="20" t="b">
        <f ca="1">IFERROR(__xludf.DUMMYFUNCTION("if(D24=iferror(filter('Character Sheet'!D$13:D3002,'Character Sheet'!D$13:D3002=D24),""""),True,False)"),FALSE)</f>
        <v>0</v>
      </c>
      <c r="C24" s="20">
        <v>100</v>
      </c>
      <c r="D24" s="2" t="s">
        <v>89</v>
      </c>
      <c r="E24" s="2" t="s">
        <v>90</v>
      </c>
      <c r="F24" s="20" t="s">
        <v>52</v>
      </c>
      <c r="G24" s="2" t="s">
        <v>91</v>
      </c>
      <c r="H24" s="16"/>
      <c r="I24" s="20"/>
      <c r="J24" s="20"/>
      <c r="K24" s="20"/>
      <c r="L24" s="20"/>
      <c r="M24" s="20"/>
      <c r="N24" s="20"/>
      <c r="O24" s="20"/>
      <c r="P24" s="20"/>
      <c r="Q24" s="20"/>
      <c r="R24" s="20"/>
      <c r="S24" s="20"/>
      <c r="T24" s="20"/>
      <c r="U24" s="20"/>
      <c r="V24" s="20"/>
      <c r="W24" s="20"/>
      <c r="X24" s="20"/>
      <c r="Y24" s="20"/>
      <c r="Z24" s="20"/>
      <c r="AA24" s="20"/>
    </row>
    <row r="25" spans="1:27" ht="156.6" x14ac:dyDescent="0.25">
      <c r="A25" s="16"/>
      <c r="B25" s="20" t="b">
        <f ca="1">IFERROR(__xludf.DUMMYFUNCTION("if(D25=iferror(filter('Character Sheet'!D$13:D3002,'Character Sheet'!D$13:D3002=D25),""""),True,False)"),FALSE)</f>
        <v>0</v>
      </c>
      <c r="C25" s="20">
        <v>100</v>
      </c>
      <c r="D25" s="2" t="s">
        <v>92</v>
      </c>
      <c r="E25" s="2" t="s">
        <v>93</v>
      </c>
      <c r="F25" s="20" t="s">
        <v>52</v>
      </c>
      <c r="G25" s="2" t="s">
        <v>94</v>
      </c>
      <c r="H25" s="16"/>
      <c r="I25" s="20"/>
      <c r="J25" s="20"/>
      <c r="K25" s="20"/>
      <c r="L25" s="20"/>
      <c r="M25" s="20"/>
      <c r="N25" s="20"/>
      <c r="O25" s="20"/>
      <c r="P25" s="20"/>
      <c r="Q25" s="20"/>
      <c r="R25" s="20"/>
      <c r="S25" s="20"/>
      <c r="T25" s="20"/>
      <c r="U25" s="20"/>
      <c r="V25" s="20"/>
      <c r="W25" s="20"/>
      <c r="X25" s="20"/>
      <c r="Y25" s="20"/>
      <c r="Z25" s="20"/>
      <c r="AA25" s="20"/>
    </row>
    <row r="26" spans="1:27" ht="104.4" x14ac:dyDescent="0.25">
      <c r="A26" s="16"/>
      <c r="B26" s="20" t="b">
        <f ca="1">IFERROR(__xludf.DUMMYFUNCTION("if(D26=iferror(filter('Character Sheet'!D$13:D3002,'Character Sheet'!D$13:D3002=D26),""""),True,False)"),FALSE)</f>
        <v>0</v>
      </c>
      <c r="C26" s="20">
        <v>100</v>
      </c>
      <c r="D26" s="2" t="s">
        <v>95</v>
      </c>
      <c r="E26" s="2" t="s">
        <v>75</v>
      </c>
      <c r="F26" s="20" t="s">
        <v>52</v>
      </c>
      <c r="G26" s="2" t="s">
        <v>96</v>
      </c>
      <c r="H26" s="16"/>
      <c r="I26" s="20"/>
      <c r="J26" s="20"/>
      <c r="K26" s="20"/>
      <c r="L26" s="20"/>
      <c r="M26" s="20"/>
      <c r="N26" s="20"/>
      <c r="O26" s="20"/>
      <c r="P26" s="20"/>
      <c r="Q26" s="20"/>
      <c r="R26" s="20"/>
      <c r="S26" s="20"/>
      <c r="T26" s="20"/>
      <c r="U26" s="20"/>
      <c r="V26" s="20"/>
      <c r="W26" s="20"/>
      <c r="X26" s="20"/>
      <c r="Y26" s="20"/>
      <c r="Z26" s="20"/>
      <c r="AA26" s="20"/>
    </row>
    <row r="27" spans="1:27" ht="52.2" x14ac:dyDescent="0.25">
      <c r="A27" s="16"/>
      <c r="B27" s="20" t="b">
        <f ca="1">IFERROR(__xludf.DUMMYFUNCTION("if(D27=iferror(filter('Character Sheet'!D$13:D3002,'Character Sheet'!D$13:D3002=D27),""""),True,False)"),FALSE)</f>
        <v>0</v>
      </c>
      <c r="C27" s="20">
        <v>100</v>
      </c>
      <c r="D27" s="2" t="s">
        <v>97</v>
      </c>
      <c r="E27" s="2" t="s">
        <v>90</v>
      </c>
      <c r="F27" s="20" t="s">
        <v>52</v>
      </c>
      <c r="G27" s="2" t="s">
        <v>98</v>
      </c>
      <c r="H27" s="16"/>
      <c r="I27" s="20"/>
      <c r="J27" s="20"/>
      <c r="K27" s="20"/>
      <c r="L27" s="20"/>
      <c r="M27" s="20"/>
      <c r="N27" s="20"/>
      <c r="O27" s="20"/>
      <c r="P27" s="20"/>
      <c r="Q27" s="20"/>
      <c r="R27" s="20"/>
      <c r="S27" s="20"/>
      <c r="T27" s="20"/>
      <c r="U27" s="20"/>
      <c r="V27" s="20"/>
      <c r="W27" s="20"/>
      <c r="X27" s="20"/>
      <c r="Y27" s="20"/>
      <c r="Z27" s="20"/>
      <c r="AA27" s="20"/>
    </row>
    <row r="28" spans="1:27" ht="52.2" x14ac:dyDescent="0.25">
      <c r="A28" s="16"/>
      <c r="B28" s="20" t="b">
        <f ca="1">IFERROR(__xludf.DUMMYFUNCTION("if(D28=iferror(filter('Character Sheet'!D$13:D3002,'Character Sheet'!D$13:D3002=D28),""""),True,False)"),FALSE)</f>
        <v>0</v>
      </c>
      <c r="C28" s="20">
        <v>100</v>
      </c>
      <c r="D28" s="2" t="s">
        <v>99</v>
      </c>
      <c r="E28" s="2" t="s">
        <v>100</v>
      </c>
      <c r="F28" s="20" t="s">
        <v>52</v>
      </c>
      <c r="G28" s="2" t="s">
        <v>101</v>
      </c>
      <c r="H28" s="16"/>
      <c r="I28" s="20"/>
      <c r="J28" s="20"/>
      <c r="K28" s="20"/>
      <c r="L28" s="20"/>
      <c r="M28" s="20"/>
      <c r="N28" s="20"/>
      <c r="O28" s="20"/>
      <c r="P28" s="20"/>
      <c r="Q28" s="20"/>
      <c r="R28" s="20"/>
      <c r="S28" s="20"/>
      <c r="T28" s="20"/>
      <c r="U28" s="20"/>
      <c r="V28" s="20"/>
      <c r="W28" s="20"/>
      <c r="X28" s="20"/>
      <c r="Y28" s="20"/>
      <c r="Z28" s="20"/>
      <c r="AA28" s="20"/>
    </row>
    <row r="29" spans="1:27" ht="87" x14ac:dyDescent="0.25">
      <c r="A29" s="16"/>
      <c r="B29" s="20" t="b">
        <f ca="1">IFERROR(__xludf.DUMMYFUNCTION("if(D29=iferror(filter('Character Sheet'!D$13:D3002,'Character Sheet'!D$13:D3002=D29),""""),True,False)"),FALSE)</f>
        <v>0</v>
      </c>
      <c r="C29" s="20">
        <v>100</v>
      </c>
      <c r="D29" s="2" t="s">
        <v>102</v>
      </c>
      <c r="E29" s="2" t="s">
        <v>103</v>
      </c>
      <c r="F29" s="20" t="s">
        <v>52</v>
      </c>
      <c r="G29" s="2" t="s">
        <v>104</v>
      </c>
      <c r="H29" s="16"/>
      <c r="I29" s="20"/>
      <c r="J29" s="20"/>
      <c r="K29" s="20"/>
      <c r="L29" s="20"/>
      <c r="M29" s="20"/>
      <c r="N29" s="20"/>
      <c r="O29" s="20"/>
      <c r="P29" s="20"/>
      <c r="Q29" s="20"/>
      <c r="R29" s="20"/>
      <c r="S29" s="20"/>
      <c r="T29" s="20"/>
      <c r="U29" s="20"/>
      <c r="V29" s="20"/>
      <c r="W29" s="20"/>
      <c r="X29" s="20"/>
      <c r="Y29" s="20"/>
      <c r="Z29" s="20"/>
      <c r="AA29" s="20"/>
    </row>
    <row r="30" spans="1:27" ht="69.599999999999994" x14ac:dyDescent="0.25">
      <c r="A30" s="16"/>
      <c r="B30" s="20" t="b">
        <f ca="1">IFERROR(__xludf.DUMMYFUNCTION("if(D30=iferror(filter('Character Sheet'!D$13:D3002,'Character Sheet'!D$13:D3002=D30),""""),True,False)"),FALSE)</f>
        <v>0</v>
      </c>
      <c r="C30" s="20">
        <v>200</v>
      </c>
      <c r="D30" s="2" t="s">
        <v>105</v>
      </c>
      <c r="E30" s="2" t="s">
        <v>106</v>
      </c>
      <c r="F30" s="20" t="s">
        <v>52</v>
      </c>
      <c r="G30" s="2" t="s">
        <v>107</v>
      </c>
      <c r="H30" s="16"/>
      <c r="I30" s="20"/>
      <c r="J30" s="20"/>
      <c r="K30" s="20"/>
      <c r="L30" s="20"/>
      <c r="M30" s="20"/>
      <c r="N30" s="20"/>
      <c r="O30" s="20"/>
      <c r="P30" s="20"/>
      <c r="Q30" s="20"/>
      <c r="R30" s="20"/>
      <c r="S30" s="20"/>
      <c r="T30" s="20"/>
      <c r="U30" s="20"/>
      <c r="V30" s="20"/>
      <c r="W30" s="20"/>
      <c r="X30" s="20"/>
      <c r="Y30" s="20"/>
      <c r="Z30" s="20"/>
      <c r="AA30" s="20"/>
    </row>
    <row r="31" spans="1:27" ht="226.2" x14ac:dyDescent="0.25">
      <c r="A31" s="16"/>
      <c r="B31" s="20" t="b">
        <f ca="1">IFERROR(__xludf.DUMMYFUNCTION("if(D31=iferror(filter('Character Sheet'!D$13:D3002,'Character Sheet'!D$13:D3002=D31),""""),True,False)"),FALSE)</f>
        <v>0</v>
      </c>
      <c r="C31" s="20">
        <v>200</v>
      </c>
      <c r="D31" s="2" t="s">
        <v>108</v>
      </c>
      <c r="E31" s="2" t="s">
        <v>109</v>
      </c>
      <c r="F31" s="20" t="s">
        <v>52</v>
      </c>
      <c r="G31" s="2" t="s">
        <v>110</v>
      </c>
      <c r="H31" s="16"/>
      <c r="I31" s="20"/>
      <c r="J31" s="20"/>
      <c r="K31" s="20"/>
      <c r="L31" s="20"/>
      <c r="M31" s="20"/>
      <c r="N31" s="20"/>
      <c r="O31" s="20"/>
      <c r="P31" s="20"/>
      <c r="Q31" s="20"/>
      <c r="R31" s="20"/>
      <c r="S31" s="20"/>
      <c r="T31" s="20"/>
      <c r="U31" s="20"/>
      <c r="V31" s="20"/>
      <c r="W31" s="20"/>
      <c r="X31" s="20"/>
      <c r="Y31" s="20"/>
      <c r="Z31" s="20"/>
      <c r="AA31" s="20"/>
    </row>
    <row r="32" spans="1:27" ht="121.8" x14ac:dyDescent="0.25">
      <c r="A32" s="16"/>
      <c r="B32" s="20" t="b">
        <f ca="1">IFERROR(__xludf.DUMMYFUNCTION("if(D32=iferror(filter('Character Sheet'!D$13:D3002,'Character Sheet'!D$13:D3002=D32),""""),True,False)"),FALSE)</f>
        <v>0</v>
      </c>
      <c r="C32" s="20">
        <v>200</v>
      </c>
      <c r="D32" s="2" t="s">
        <v>111</v>
      </c>
      <c r="E32" s="2" t="s">
        <v>112</v>
      </c>
      <c r="F32" s="20" t="s">
        <v>52</v>
      </c>
      <c r="G32" s="2" t="s">
        <v>113</v>
      </c>
      <c r="H32" s="16"/>
      <c r="I32" s="20"/>
      <c r="J32" s="20"/>
      <c r="K32" s="20"/>
      <c r="L32" s="20"/>
      <c r="M32" s="20"/>
      <c r="N32" s="20"/>
      <c r="O32" s="20"/>
      <c r="P32" s="20"/>
      <c r="Q32" s="20"/>
      <c r="R32" s="20"/>
      <c r="S32" s="20"/>
      <c r="T32" s="20"/>
      <c r="U32" s="20"/>
      <c r="V32" s="20"/>
      <c r="W32" s="20"/>
      <c r="X32" s="20"/>
      <c r="Y32" s="20"/>
      <c r="Z32" s="20"/>
      <c r="AA32" s="20"/>
    </row>
    <row r="33" spans="1:27" ht="139.19999999999999" x14ac:dyDescent="0.25">
      <c r="A33" s="16"/>
      <c r="B33" s="20" t="b">
        <f ca="1">IFERROR(__xludf.DUMMYFUNCTION("if(D33=iferror(filter('Character Sheet'!D$13:D3002,'Character Sheet'!D$13:D3002=D33),""""),True,False)"),FALSE)</f>
        <v>0</v>
      </c>
      <c r="C33" s="20">
        <v>200</v>
      </c>
      <c r="D33" s="2" t="s">
        <v>114</v>
      </c>
      <c r="E33" s="2" t="s">
        <v>90</v>
      </c>
      <c r="F33" s="20" t="s">
        <v>52</v>
      </c>
      <c r="G33" s="2" t="s">
        <v>115</v>
      </c>
      <c r="H33" s="16"/>
      <c r="I33" s="20"/>
      <c r="J33" s="20"/>
      <c r="K33" s="20"/>
      <c r="L33" s="20"/>
      <c r="M33" s="20"/>
      <c r="N33" s="20"/>
      <c r="O33" s="20"/>
      <c r="P33" s="20"/>
      <c r="Q33" s="20"/>
      <c r="R33" s="20"/>
      <c r="S33" s="20"/>
      <c r="T33" s="20"/>
      <c r="U33" s="20"/>
      <c r="V33" s="20"/>
      <c r="W33" s="20"/>
      <c r="X33" s="20"/>
      <c r="Y33" s="20"/>
      <c r="Z33" s="20"/>
      <c r="AA33" s="20"/>
    </row>
    <row r="34" spans="1:27" ht="139.19999999999999" x14ac:dyDescent="0.25">
      <c r="A34" s="16"/>
      <c r="B34" s="20" t="b">
        <f ca="1">IFERROR(__xludf.DUMMYFUNCTION("if(D34=iferror(filter('Character Sheet'!D$13:D3002,'Character Sheet'!D$13:D3002=D34),""""),True,False)"),FALSE)</f>
        <v>0</v>
      </c>
      <c r="C34" s="20">
        <v>200</v>
      </c>
      <c r="D34" s="2" t="s">
        <v>116</v>
      </c>
      <c r="E34" s="2" t="s">
        <v>109</v>
      </c>
      <c r="F34" s="20" t="s">
        <v>52</v>
      </c>
      <c r="G34" s="2" t="s">
        <v>117</v>
      </c>
      <c r="H34" s="16"/>
      <c r="I34" s="20"/>
      <c r="J34" s="20"/>
      <c r="K34" s="20"/>
      <c r="L34" s="20"/>
      <c r="M34" s="20"/>
      <c r="N34" s="20"/>
      <c r="O34" s="20"/>
      <c r="P34" s="20"/>
      <c r="Q34" s="20"/>
      <c r="R34" s="20"/>
      <c r="S34" s="20"/>
      <c r="T34" s="20"/>
      <c r="U34" s="20"/>
      <c r="V34" s="20"/>
      <c r="W34" s="20"/>
      <c r="X34" s="20"/>
      <c r="Y34" s="20"/>
      <c r="Z34" s="20"/>
      <c r="AA34" s="20"/>
    </row>
    <row r="35" spans="1:27" ht="208.8" x14ac:dyDescent="0.25">
      <c r="A35" s="16"/>
      <c r="B35" s="20" t="b">
        <f ca="1">IFERROR(__xludf.DUMMYFUNCTION("if(D35=iferror(filter('Character Sheet'!D$13:D3002,'Character Sheet'!D$13:D3002=D35),""""),True,False)"),FALSE)</f>
        <v>0</v>
      </c>
      <c r="C35" s="20">
        <v>200</v>
      </c>
      <c r="D35" s="2" t="s">
        <v>118</v>
      </c>
      <c r="E35" s="2" t="s">
        <v>119</v>
      </c>
      <c r="F35" s="20" t="s">
        <v>52</v>
      </c>
      <c r="G35" s="2" t="s">
        <v>120</v>
      </c>
      <c r="H35" s="16"/>
      <c r="I35" s="20"/>
      <c r="J35" s="20"/>
      <c r="K35" s="20"/>
      <c r="L35" s="20"/>
      <c r="M35" s="20"/>
      <c r="N35" s="20"/>
      <c r="O35" s="20"/>
      <c r="P35" s="20"/>
      <c r="Q35" s="20"/>
      <c r="R35" s="20"/>
      <c r="S35" s="20"/>
      <c r="T35" s="20"/>
      <c r="U35" s="20"/>
      <c r="V35" s="20"/>
      <c r="W35" s="20"/>
      <c r="X35" s="20"/>
      <c r="Y35" s="20"/>
      <c r="Z35" s="20"/>
      <c r="AA35" s="20"/>
    </row>
    <row r="36" spans="1:27" ht="174" x14ac:dyDescent="0.25">
      <c r="A36" s="16"/>
      <c r="B36" s="20" t="b">
        <f ca="1">IFERROR(__xludf.DUMMYFUNCTION("if(D36=iferror(filter('Character Sheet'!D$13:D3002,'Character Sheet'!D$13:D3002=D36),""""),True,False)"),FALSE)</f>
        <v>0</v>
      </c>
      <c r="C36" s="20">
        <v>200</v>
      </c>
      <c r="D36" s="2" t="s">
        <v>121</v>
      </c>
      <c r="E36" s="2" t="s">
        <v>122</v>
      </c>
      <c r="F36" s="20" t="s">
        <v>52</v>
      </c>
      <c r="G36" s="2" t="s">
        <v>123</v>
      </c>
      <c r="H36" s="16"/>
      <c r="I36" s="20"/>
      <c r="J36" s="20"/>
      <c r="K36" s="20"/>
      <c r="L36" s="20"/>
      <c r="M36" s="20"/>
      <c r="N36" s="20"/>
      <c r="O36" s="20"/>
      <c r="P36" s="20"/>
      <c r="Q36" s="20"/>
      <c r="R36" s="20"/>
      <c r="S36" s="20"/>
      <c r="T36" s="20"/>
      <c r="U36" s="20"/>
      <c r="V36" s="20"/>
      <c r="W36" s="20"/>
      <c r="X36" s="20"/>
      <c r="Y36" s="20"/>
      <c r="Z36" s="20"/>
      <c r="AA36" s="20"/>
    </row>
    <row r="37" spans="1:27" ht="174" x14ac:dyDescent="0.25">
      <c r="A37" s="16"/>
      <c r="B37" s="20" t="b">
        <f ca="1">IFERROR(__xludf.DUMMYFUNCTION("if(D37=iferror(filter('Character Sheet'!D$13:D3002,'Character Sheet'!D$13:D3002=D37),""""),True,False)"),TRUE)</f>
        <v>1</v>
      </c>
      <c r="C37" s="20">
        <v>200</v>
      </c>
      <c r="D37" s="2" t="s">
        <v>37</v>
      </c>
      <c r="E37" s="2" t="s">
        <v>124</v>
      </c>
      <c r="F37" s="20" t="s">
        <v>52</v>
      </c>
      <c r="G37" s="2" t="s">
        <v>125</v>
      </c>
      <c r="H37" s="16"/>
      <c r="I37" s="20"/>
      <c r="J37" s="20"/>
      <c r="K37" s="20"/>
      <c r="L37" s="20"/>
      <c r="M37" s="20"/>
      <c r="N37" s="20"/>
      <c r="O37" s="20"/>
      <c r="P37" s="20"/>
      <c r="Q37" s="20"/>
      <c r="R37" s="20"/>
      <c r="S37" s="20"/>
      <c r="T37" s="20"/>
      <c r="U37" s="20"/>
      <c r="V37" s="20"/>
      <c r="W37" s="20"/>
      <c r="X37" s="20"/>
      <c r="Y37" s="20"/>
      <c r="Z37" s="20"/>
      <c r="AA37" s="20"/>
    </row>
    <row r="38" spans="1:27" ht="156.6" x14ac:dyDescent="0.25">
      <c r="A38" s="16"/>
      <c r="B38" s="20" t="b">
        <f ca="1">IFERROR(__xludf.DUMMYFUNCTION("if(D38=iferror(filter('Character Sheet'!D$13:D3002,'Character Sheet'!D$13:D3002=D38),""""),True,False)"),FALSE)</f>
        <v>0</v>
      </c>
      <c r="C38" s="20">
        <v>200</v>
      </c>
      <c r="D38" s="2" t="s">
        <v>126</v>
      </c>
      <c r="E38" s="2" t="s">
        <v>124</v>
      </c>
      <c r="F38" s="20" t="s">
        <v>52</v>
      </c>
      <c r="G38" s="2" t="s">
        <v>127</v>
      </c>
      <c r="H38" s="16"/>
      <c r="I38" s="20"/>
      <c r="J38" s="20"/>
      <c r="K38" s="20"/>
      <c r="L38" s="20"/>
      <c r="M38" s="20"/>
      <c r="N38" s="20"/>
      <c r="O38" s="20"/>
      <c r="P38" s="20"/>
      <c r="Q38" s="20"/>
      <c r="R38" s="20"/>
      <c r="S38" s="20"/>
      <c r="T38" s="20"/>
      <c r="U38" s="20"/>
      <c r="V38" s="20"/>
      <c r="W38" s="20"/>
      <c r="X38" s="20"/>
      <c r="Y38" s="20"/>
      <c r="Z38" s="20"/>
      <c r="AA38" s="20"/>
    </row>
    <row r="39" spans="1:27" ht="156.6" x14ac:dyDescent="0.25">
      <c r="A39" s="16"/>
      <c r="B39" s="20" t="b">
        <f ca="1">IFERROR(__xludf.DUMMYFUNCTION("if(D39=iferror(filter('Character Sheet'!D$13:D3002,'Character Sheet'!D$13:D3002=D39),""""),True,False)"),FALSE)</f>
        <v>0</v>
      </c>
      <c r="C39" s="20">
        <v>200</v>
      </c>
      <c r="D39" s="2" t="s">
        <v>128</v>
      </c>
      <c r="E39" s="2" t="s">
        <v>72</v>
      </c>
      <c r="F39" s="20" t="s">
        <v>52</v>
      </c>
      <c r="G39" s="2" t="s">
        <v>129</v>
      </c>
      <c r="H39" s="16"/>
      <c r="I39" s="20"/>
      <c r="J39" s="20"/>
      <c r="K39" s="20"/>
      <c r="L39" s="20"/>
      <c r="M39" s="20"/>
      <c r="N39" s="20"/>
      <c r="O39" s="20"/>
      <c r="P39" s="20"/>
      <c r="Q39" s="20"/>
      <c r="R39" s="20"/>
      <c r="S39" s="20"/>
      <c r="T39" s="20"/>
      <c r="U39" s="20"/>
      <c r="V39" s="20"/>
      <c r="W39" s="20"/>
      <c r="X39" s="20"/>
      <c r="Y39" s="20"/>
      <c r="Z39" s="20"/>
      <c r="AA39" s="20"/>
    </row>
    <row r="40" spans="1:27" ht="156.6" x14ac:dyDescent="0.25">
      <c r="A40" s="16"/>
      <c r="B40" s="20" t="b">
        <f ca="1">IFERROR(__xludf.DUMMYFUNCTION("if(D40=iferror(filter('Character Sheet'!D$13:D3002,'Character Sheet'!D$13:D3002=D40),""""),True,False)"),FALSE)</f>
        <v>0</v>
      </c>
      <c r="C40" s="20">
        <v>200</v>
      </c>
      <c r="D40" s="2" t="s">
        <v>130</v>
      </c>
      <c r="E40" s="2" t="s">
        <v>131</v>
      </c>
      <c r="F40" s="20" t="s">
        <v>52</v>
      </c>
      <c r="G40" s="2" t="s">
        <v>132</v>
      </c>
      <c r="H40" s="16"/>
      <c r="I40" s="20"/>
      <c r="J40" s="20"/>
      <c r="K40" s="20"/>
      <c r="L40" s="20"/>
      <c r="M40" s="20"/>
      <c r="N40" s="20"/>
      <c r="O40" s="20"/>
      <c r="P40" s="20"/>
      <c r="Q40" s="20"/>
      <c r="R40" s="20"/>
      <c r="S40" s="20"/>
      <c r="T40" s="20"/>
      <c r="U40" s="20"/>
      <c r="V40" s="20"/>
      <c r="W40" s="20"/>
      <c r="X40" s="20"/>
      <c r="Y40" s="20"/>
      <c r="Z40" s="20"/>
      <c r="AA40" s="20"/>
    </row>
    <row r="41" spans="1:27" ht="69.599999999999994" x14ac:dyDescent="0.25">
      <c r="A41" s="16"/>
      <c r="B41" s="20" t="b">
        <f ca="1">IFERROR(__xludf.DUMMYFUNCTION("if(D41=iferror(filter('Character Sheet'!D$13:D3002,'Character Sheet'!D$13:D3002=D41),""""),True,False)"),FALSE)</f>
        <v>0</v>
      </c>
      <c r="C41" s="20">
        <v>200</v>
      </c>
      <c r="D41" s="2" t="s">
        <v>133</v>
      </c>
      <c r="E41" s="2" t="s">
        <v>90</v>
      </c>
      <c r="F41" s="20" t="s">
        <v>52</v>
      </c>
      <c r="G41" s="2" t="s">
        <v>134</v>
      </c>
      <c r="H41" s="16"/>
      <c r="I41" s="20"/>
      <c r="J41" s="20"/>
      <c r="K41" s="20"/>
      <c r="L41" s="20"/>
      <c r="M41" s="20"/>
      <c r="N41" s="20"/>
      <c r="O41" s="20"/>
      <c r="P41" s="20"/>
      <c r="Q41" s="20"/>
      <c r="R41" s="20"/>
      <c r="S41" s="20"/>
      <c r="T41" s="20"/>
      <c r="U41" s="20"/>
      <c r="V41" s="20"/>
      <c r="W41" s="20"/>
      <c r="X41" s="20"/>
      <c r="Y41" s="20"/>
      <c r="Z41" s="20"/>
      <c r="AA41" s="20"/>
    </row>
    <row r="42" spans="1:27" ht="139.19999999999999" x14ac:dyDescent="0.25">
      <c r="A42" s="16"/>
      <c r="B42" s="20" t="b">
        <f ca="1">IFERROR(__xludf.DUMMYFUNCTION("if(D42=iferror(filter('Character Sheet'!D$13:D3002,'Character Sheet'!D$13:D3002=D42),""""),True,False)"),FALSE)</f>
        <v>0</v>
      </c>
      <c r="C42" s="20">
        <v>200</v>
      </c>
      <c r="D42" s="2" t="s">
        <v>135</v>
      </c>
      <c r="E42" s="2" t="s">
        <v>136</v>
      </c>
      <c r="F42" s="20" t="s">
        <v>52</v>
      </c>
      <c r="G42" s="2" t="s">
        <v>137</v>
      </c>
      <c r="H42" s="16"/>
      <c r="I42" s="20"/>
      <c r="J42" s="20"/>
      <c r="K42" s="20"/>
      <c r="L42" s="20"/>
      <c r="M42" s="20"/>
      <c r="N42" s="20"/>
      <c r="O42" s="20"/>
      <c r="P42" s="20"/>
      <c r="Q42" s="20"/>
      <c r="R42" s="20"/>
      <c r="S42" s="20"/>
      <c r="T42" s="20"/>
      <c r="U42" s="20"/>
      <c r="V42" s="20"/>
      <c r="W42" s="20"/>
      <c r="X42" s="20"/>
      <c r="Y42" s="20"/>
      <c r="Z42" s="20"/>
      <c r="AA42" s="20"/>
    </row>
    <row r="43" spans="1:27" ht="174" x14ac:dyDescent="0.25">
      <c r="A43" s="16"/>
      <c r="B43" s="20" t="b">
        <f ca="1">IFERROR(__xludf.DUMMYFUNCTION("if(D43=iferror(filter('Character Sheet'!D$13:D3002,'Character Sheet'!D$13:D3002=D43),""""),True,False)"),FALSE)</f>
        <v>0</v>
      </c>
      <c r="C43" s="20">
        <v>200</v>
      </c>
      <c r="D43" s="2" t="s">
        <v>138</v>
      </c>
      <c r="E43" s="2" t="s">
        <v>139</v>
      </c>
      <c r="F43" s="20" t="s">
        <v>52</v>
      </c>
      <c r="G43" s="2" t="s">
        <v>140</v>
      </c>
      <c r="H43" s="16"/>
      <c r="I43" s="20"/>
      <c r="J43" s="20"/>
      <c r="K43" s="20"/>
      <c r="L43" s="20"/>
      <c r="M43" s="20"/>
      <c r="N43" s="20"/>
      <c r="O43" s="20"/>
      <c r="P43" s="20"/>
      <c r="Q43" s="20"/>
      <c r="R43" s="20"/>
      <c r="S43" s="20"/>
      <c r="T43" s="20"/>
      <c r="U43" s="20"/>
      <c r="V43" s="20"/>
      <c r="W43" s="20"/>
      <c r="X43" s="20"/>
      <c r="Y43" s="20"/>
      <c r="Z43" s="20"/>
      <c r="AA43" s="20"/>
    </row>
    <row r="44" spans="1:27" ht="139.19999999999999" x14ac:dyDescent="0.25">
      <c r="A44" s="16"/>
      <c r="B44" s="20" t="b">
        <f ca="1">IFERROR(__xludf.DUMMYFUNCTION("if(D44=iferror(filter('Character Sheet'!D$13:D3002,'Character Sheet'!D$13:D3002=D44),""""),True,False)"),FALSE)</f>
        <v>0</v>
      </c>
      <c r="C44" s="20">
        <v>200</v>
      </c>
      <c r="D44" s="2" t="s">
        <v>141</v>
      </c>
      <c r="E44" s="2" t="s">
        <v>124</v>
      </c>
      <c r="F44" s="20" t="s">
        <v>52</v>
      </c>
      <c r="G44" s="2" t="s">
        <v>142</v>
      </c>
      <c r="H44" s="16"/>
      <c r="I44" s="20"/>
      <c r="J44" s="20"/>
      <c r="K44" s="20"/>
      <c r="L44" s="20"/>
      <c r="M44" s="20"/>
      <c r="N44" s="20"/>
      <c r="O44" s="20"/>
      <c r="P44" s="20"/>
      <c r="Q44" s="20"/>
      <c r="R44" s="20"/>
      <c r="S44" s="20"/>
      <c r="T44" s="20"/>
      <c r="U44" s="20"/>
      <c r="V44" s="20"/>
      <c r="W44" s="20"/>
      <c r="X44" s="20"/>
      <c r="Y44" s="20"/>
      <c r="Z44" s="20"/>
      <c r="AA44" s="20"/>
    </row>
    <row r="45" spans="1:27" ht="174" x14ac:dyDescent="0.25">
      <c r="A45" s="16"/>
      <c r="B45" s="20" t="b">
        <f ca="1">IFERROR(__xludf.DUMMYFUNCTION("if(D45=iferror(filter('Character Sheet'!D$13:D3002,'Character Sheet'!D$13:D3002=D45),""""),True,False)"),FALSE)</f>
        <v>0</v>
      </c>
      <c r="C45" s="20">
        <v>200</v>
      </c>
      <c r="D45" s="2" t="s">
        <v>143</v>
      </c>
      <c r="E45" s="2" t="s">
        <v>144</v>
      </c>
      <c r="F45" s="20" t="s">
        <v>52</v>
      </c>
      <c r="G45" s="2" t="s">
        <v>145</v>
      </c>
      <c r="H45" s="16"/>
      <c r="I45" s="20"/>
      <c r="J45" s="20"/>
      <c r="K45" s="20"/>
      <c r="L45" s="20"/>
      <c r="M45" s="20"/>
      <c r="N45" s="20"/>
      <c r="O45" s="20"/>
      <c r="P45" s="20"/>
      <c r="Q45" s="20"/>
      <c r="R45" s="20"/>
      <c r="S45" s="20"/>
      <c r="T45" s="20"/>
      <c r="U45" s="20"/>
      <c r="V45" s="20"/>
      <c r="W45" s="20"/>
      <c r="X45" s="20"/>
      <c r="Y45" s="20"/>
      <c r="Z45" s="20"/>
      <c r="AA45" s="20"/>
    </row>
    <row r="46" spans="1:27" ht="87" x14ac:dyDescent="0.25">
      <c r="A46" s="16"/>
      <c r="B46" s="20" t="b">
        <f ca="1">IFERROR(__xludf.DUMMYFUNCTION("if(D46=iferror(filter('Character Sheet'!D$13:D3002,'Character Sheet'!D$13:D3002=D46),""""),True,False)"),FALSE)</f>
        <v>0</v>
      </c>
      <c r="C46" s="20">
        <v>200</v>
      </c>
      <c r="D46" s="2" t="s">
        <v>146</v>
      </c>
      <c r="E46" s="2" t="s">
        <v>90</v>
      </c>
      <c r="F46" s="20" t="s">
        <v>52</v>
      </c>
      <c r="G46" s="2" t="s">
        <v>147</v>
      </c>
      <c r="H46" s="16"/>
      <c r="I46" s="20"/>
      <c r="J46" s="20"/>
      <c r="K46" s="20"/>
      <c r="L46" s="20"/>
      <c r="M46" s="20"/>
      <c r="N46" s="20"/>
      <c r="O46" s="20"/>
      <c r="P46" s="20"/>
      <c r="Q46" s="20"/>
      <c r="R46" s="20"/>
      <c r="S46" s="20"/>
      <c r="T46" s="20"/>
      <c r="U46" s="20"/>
      <c r="V46" s="20"/>
      <c r="W46" s="20"/>
      <c r="X46" s="20"/>
      <c r="Y46" s="20"/>
      <c r="Z46" s="20"/>
      <c r="AA46" s="20"/>
    </row>
    <row r="47" spans="1:27" ht="52.2" x14ac:dyDescent="0.25">
      <c r="A47" s="16"/>
      <c r="B47" s="20" t="b">
        <f ca="1">IFERROR(__xludf.DUMMYFUNCTION("if(D47=iferror(filter('Character Sheet'!D$13:D3002,'Character Sheet'!D$13:D3002=D47),""""),True,False)"),FALSE)</f>
        <v>0</v>
      </c>
      <c r="C47" s="20">
        <v>200</v>
      </c>
      <c r="D47" s="2" t="s">
        <v>148</v>
      </c>
      <c r="E47" s="2" t="s">
        <v>149</v>
      </c>
      <c r="F47" s="20" t="s">
        <v>52</v>
      </c>
      <c r="G47" s="2" t="s">
        <v>150</v>
      </c>
      <c r="H47" s="16"/>
      <c r="I47" s="20"/>
      <c r="J47" s="20"/>
      <c r="K47" s="20"/>
      <c r="L47" s="20"/>
      <c r="M47" s="20"/>
      <c r="N47" s="20"/>
      <c r="O47" s="20"/>
      <c r="P47" s="20"/>
      <c r="Q47" s="20"/>
      <c r="R47" s="20"/>
      <c r="S47" s="20"/>
      <c r="T47" s="20"/>
      <c r="U47" s="20"/>
      <c r="V47" s="20"/>
      <c r="W47" s="20"/>
      <c r="X47" s="20"/>
      <c r="Y47" s="20"/>
      <c r="Z47" s="20"/>
      <c r="AA47" s="20"/>
    </row>
    <row r="48" spans="1:27" ht="156.6" x14ac:dyDescent="0.25">
      <c r="A48" s="16"/>
      <c r="B48" s="20" t="b">
        <f ca="1">IFERROR(__xludf.DUMMYFUNCTION("if(D48=iferror(filter('Character Sheet'!D$13:D3002,'Character Sheet'!D$13:D3002=D48),""""),True,False)"),FALSE)</f>
        <v>0</v>
      </c>
      <c r="C48" s="20">
        <v>200</v>
      </c>
      <c r="D48" s="2" t="s">
        <v>151</v>
      </c>
      <c r="E48" s="2" t="s">
        <v>124</v>
      </c>
      <c r="F48" s="20" t="s">
        <v>52</v>
      </c>
      <c r="G48" s="2" t="s">
        <v>152</v>
      </c>
      <c r="H48" s="16"/>
      <c r="I48" s="20"/>
      <c r="J48" s="20"/>
      <c r="K48" s="20"/>
      <c r="L48" s="20"/>
      <c r="M48" s="20"/>
      <c r="N48" s="20"/>
      <c r="O48" s="20"/>
      <c r="P48" s="20"/>
      <c r="Q48" s="20"/>
      <c r="R48" s="20"/>
      <c r="S48" s="20"/>
      <c r="T48" s="20"/>
      <c r="U48" s="20"/>
      <c r="V48" s="20"/>
      <c r="W48" s="20"/>
      <c r="X48" s="20"/>
      <c r="Y48" s="20"/>
      <c r="Z48" s="20"/>
      <c r="AA48" s="20"/>
    </row>
    <row r="49" spans="1:27" ht="69.599999999999994" x14ac:dyDescent="0.25">
      <c r="A49" s="16"/>
      <c r="B49" s="20" t="b">
        <f ca="1">IFERROR(__xludf.DUMMYFUNCTION("if(D49=iferror(filter('Character Sheet'!D$13:D3002,'Character Sheet'!D$13:D3002=D49),""""),True,False)"),FALSE)</f>
        <v>0</v>
      </c>
      <c r="C49" s="20">
        <v>300</v>
      </c>
      <c r="D49" s="2" t="s">
        <v>153</v>
      </c>
      <c r="E49" s="2" t="s">
        <v>90</v>
      </c>
      <c r="F49" s="20" t="s">
        <v>52</v>
      </c>
      <c r="G49" s="2" t="s">
        <v>154</v>
      </c>
      <c r="H49" s="16"/>
      <c r="I49" s="20"/>
      <c r="J49" s="20"/>
      <c r="K49" s="20"/>
      <c r="L49" s="20"/>
      <c r="M49" s="20"/>
      <c r="N49" s="20"/>
      <c r="O49" s="20"/>
      <c r="P49" s="20"/>
      <c r="Q49" s="20"/>
      <c r="R49" s="20"/>
      <c r="S49" s="20"/>
      <c r="T49" s="20"/>
      <c r="U49" s="20"/>
      <c r="V49" s="20"/>
      <c r="W49" s="20"/>
      <c r="X49" s="20"/>
      <c r="Y49" s="20"/>
      <c r="Z49" s="20"/>
      <c r="AA49" s="20"/>
    </row>
    <row r="50" spans="1:27" ht="330.6" x14ac:dyDescent="0.25">
      <c r="A50" s="16"/>
      <c r="B50" s="20" t="b">
        <f ca="1">IFERROR(__xludf.DUMMYFUNCTION("if(D50=iferror(filter('Character Sheet'!D$13:D3002,'Character Sheet'!D$13:D3002=D50),""""),True,False)"),FALSE)</f>
        <v>0</v>
      </c>
      <c r="C50" s="20">
        <v>300</v>
      </c>
      <c r="D50" s="2" t="s">
        <v>155</v>
      </c>
      <c r="E50" s="2" t="s">
        <v>156</v>
      </c>
      <c r="F50" s="20" t="s">
        <v>52</v>
      </c>
      <c r="G50" s="2" t="s">
        <v>157</v>
      </c>
      <c r="H50" s="16"/>
      <c r="I50" s="20"/>
      <c r="J50" s="20"/>
      <c r="K50" s="20"/>
      <c r="L50" s="20"/>
      <c r="M50" s="20"/>
      <c r="N50" s="20"/>
      <c r="O50" s="20"/>
      <c r="P50" s="20"/>
      <c r="Q50" s="20"/>
      <c r="R50" s="20"/>
      <c r="S50" s="20"/>
      <c r="T50" s="20"/>
      <c r="U50" s="20"/>
      <c r="V50" s="20"/>
      <c r="W50" s="20"/>
      <c r="X50" s="20"/>
      <c r="Y50" s="20"/>
      <c r="Z50" s="20"/>
      <c r="AA50" s="20"/>
    </row>
    <row r="51" spans="1:27" ht="139.19999999999999" x14ac:dyDescent="0.25">
      <c r="A51" s="16"/>
      <c r="B51" s="20" t="b">
        <f ca="1">IFERROR(__xludf.DUMMYFUNCTION("if(D51=iferror(filter('Character Sheet'!D$13:D3002,'Character Sheet'!D$13:D3002=D51),""""),True,False)"),FALSE)</f>
        <v>0</v>
      </c>
      <c r="C51" s="20">
        <v>300</v>
      </c>
      <c r="D51" s="2" t="s">
        <v>158</v>
      </c>
      <c r="E51" s="2" t="s">
        <v>159</v>
      </c>
      <c r="F51" s="20" t="s">
        <v>52</v>
      </c>
      <c r="G51" s="2" t="s">
        <v>160</v>
      </c>
      <c r="H51" s="16"/>
      <c r="I51" s="20"/>
      <c r="J51" s="20"/>
      <c r="K51" s="20"/>
      <c r="L51" s="20"/>
      <c r="M51" s="20"/>
      <c r="N51" s="20"/>
      <c r="O51" s="20"/>
      <c r="P51" s="20"/>
      <c r="Q51" s="20"/>
      <c r="R51" s="20"/>
      <c r="S51" s="20"/>
      <c r="T51" s="20"/>
      <c r="U51" s="20"/>
      <c r="V51" s="20"/>
      <c r="W51" s="20"/>
      <c r="X51" s="20"/>
      <c r="Y51" s="20"/>
      <c r="Z51" s="20"/>
      <c r="AA51" s="20"/>
    </row>
    <row r="52" spans="1:27" ht="139.19999999999999" x14ac:dyDescent="0.25">
      <c r="A52" s="16"/>
      <c r="B52" s="20" t="b">
        <f ca="1">IFERROR(__xludf.DUMMYFUNCTION("if(D52=iferror(filter('Character Sheet'!D$13:D3002,'Character Sheet'!D$13:D3002=D52),""""),True,False)"),FALSE)</f>
        <v>0</v>
      </c>
      <c r="C52" s="20">
        <v>300</v>
      </c>
      <c r="D52" s="2" t="s">
        <v>161</v>
      </c>
      <c r="E52" s="2" t="s">
        <v>162</v>
      </c>
      <c r="F52" s="20" t="s">
        <v>52</v>
      </c>
      <c r="G52" s="2" t="s">
        <v>163</v>
      </c>
      <c r="H52" s="16"/>
      <c r="I52" s="20"/>
      <c r="J52" s="20"/>
      <c r="K52" s="20"/>
      <c r="L52" s="20"/>
      <c r="M52" s="20"/>
      <c r="N52" s="20"/>
      <c r="O52" s="20"/>
      <c r="P52" s="20"/>
      <c r="Q52" s="20"/>
      <c r="R52" s="20"/>
      <c r="S52" s="20"/>
      <c r="T52" s="20"/>
      <c r="U52" s="20"/>
      <c r="V52" s="20"/>
      <c r="W52" s="20"/>
      <c r="X52" s="20"/>
      <c r="Y52" s="20"/>
      <c r="Z52" s="20"/>
      <c r="AA52" s="20"/>
    </row>
    <row r="53" spans="1:27" ht="139.19999999999999" x14ac:dyDescent="0.25">
      <c r="A53" s="16"/>
      <c r="B53" s="20" t="b">
        <f ca="1">IFERROR(__xludf.DUMMYFUNCTION("if(D53=iferror(filter('Character Sheet'!D$13:D3002,'Character Sheet'!D$13:D3002=D53),""""),True,False)"),FALSE)</f>
        <v>0</v>
      </c>
      <c r="C53" s="20">
        <v>300</v>
      </c>
      <c r="D53" s="2" t="s">
        <v>164</v>
      </c>
      <c r="E53" s="2" t="s">
        <v>165</v>
      </c>
      <c r="F53" s="20" t="s">
        <v>52</v>
      </c>
      <c r="G53" s="2" t="s">
        <v>166</v>
      </c>
      <c r="H53" s="16"/>
      <c r="I53" s="20"/>
      <c r="J53" s="20"/>
      <c r="K53" s="20"/>
      <c r="L53" s="20"/>
      <c r="M53" s="20"/>
      <c r="N53" s="20"/>
      <c r="O53" s="20"/>
      <c r="P53" s="20"/>
      <c r="Q53" s="20"/>
      <c r="R53" s="20"/>
      <c r="S53" s="20"/>
      <c r="T53" s="20"/>
      <c r="U53" s="20"/>
      <c r="V53" s="20"/>
      <c r="W53" s="20"/>
      <c r="X53" s="20"/>
      <c r="Y53" s="20"/>
      <c r="Z53" s="20"/>
      <c r="AA53" s="20"/>
    </row>
    <row r="54" spans="1:27" ht="121.8" x14ac:dyDescent="0.25">
      <c r="A54" s="16"/>
      <c r="B54" s="20" t="b">
        <f ca="1">IFERROR(__xludf.DUMMYFUNCTION("if(D54=iferror(filter('Character Sheet'!D$13:D3002,'Character Sheet'!D$13:D3002=D54),""""),True,False)"),FALSE)</f>
        <v>0</v>
      </c>
      <c r="C54" s="20">
        <v>300</v>
      </c>
      <c r="D54" s="2" t="s">
        <v>167</v>
      </c>
      <c r="E54" s="2" t="s">
        <v>168</v>
      </c>
      <c r="F54" s="20" t="s">
        <v>52</v>
      </c>
      <c r="G54" s="2" t="s">
        <v>169</v>
      </c>
      <c r="H54" s="16"/>
      <c r="I54" s="20"/>
      <c r="J54" s="20"/>
      <c r="K54" s="20"/>
      <c r="L54" s="20"/>
      <c r="M54" s="20"/>
      <c r="N54" s="20"/>
      <c r="O54" s="20"/>
      <c r="P54" s="20"/>
      <c r="Q54" s="20"/>
      <c r="R54" s="20"/>
      <c r="S54" s="20"/>
      <c r="T54" s="20"/>
      <c r="U54" s="20"/>
      <c r="V54" s="20"/>
      <c r="W54" s="20"/>
      <c r="X54" s="20"/>
      <c r="Y54" s="20"/>
      <c r="Z54" s="20"/>
      <c r="AA54" s="20"/>
    </row>
    <row r="55" spans="1:27" ht="174" x14ac:dyDescent="0.25">
      <c r="A55" s="16"/>
      <c r="B55" s="20" t="b">
        <f ca="1">IFERROR(__xludf.DUMMYFUNCTION("if(D55=iferror(filter('Character Sheet'!D$13:D3002,'Character Sheet'!D$13:D3002=D55),""""),True,False)"),FALSE)</f>
        <v>0</v>
      </c>
      <c r="C55" s="20">
        <v>300</v>
      </c>
      <c r="D55" s="2" t="s">
        <v>170</v>
      </c>
      <c r="E55" s="2" t="s">
        <v>87</v>
      </c>
      <c r="F55" s="20" t="s">
        <v>52</v>
      </c>
      <c r="G55" s="2" t="s">
        <v>171</v>
      </c>
      <c r="H55" s="16"/>
      <c r="I55" s="20"/>
      <c r="J55" s="20"/>
      <c r="K55" s="20"/>
      <c r="L55" s="20"/>
      <c r="M55" s="20"/>
      <c r="N55" s="20"/>
      <c r="O55" s="20"/>
      <c r="P55" s="20"/>
      <c r="Q55" s="20"/>
      <c r="R55" s="20"/>
      <c r="S55" s="20"/>
      <c r="T55" s="20"/>
      <c r="U55" s="20"/>
      <c r="V55" s="20"/>
      <c r="W55" s="20"/>
      <c r="X55" s="20"/>
      <c r="Y55" s="20"/>
      <c r="Z55" s="20"/>
      <c r="AA55" s="20"/>
    </row>
    <row r="56" spans="1:27" ht="313.2" x14ac:dyDescent="0.25">
      <c r="A56" s="16"/>
      <c r="B56" s="20" t="b">
        <f ca="1">IFERROR(__xludf.DUMMYFUNCTION("if(D56=iferror(filter('Character Sheet'!D$13:D3002,'Character Sheet'!D$13:D3002=D56),""""),True,False)"),FALSE)</f>
        <v>0</v>
      </c>
      <c r="C56" s="20">
        <v>300</v>
      </c>
      <c r="D56" s="2" t="s">
        <v>172</v>
      </c>
      <c r="E56" s="2" t="s">
        <v>173</v>
      </c>
      <c r="F56" s="20" t="s">
        <v>52</v>
      </c>
      <c r="G56" s="2" t="s">
        <v>174</v>
      </c>
      <c r="H56" s="16"/>
      <c r="I56" s="20"/>
      <c r="J56" s="20"/>
      <c r="K56" s="20"/>
      <c r="L56" s="20"/>
      <c r="M56" s="20"/>
      <c r="N56" s="20"/>
      <c r="O56" s="20"/>
      <c r="P56" s="20"/>
      <c r="Q56" s="20"/>
      <c r="R56" s="20"/>
      <c r="S56" s="20"/>
      <c r="T56" s="20"/>
      <c r="U56" s="20"/>
      <c r="V56" s="20"/>
      <c r="W56" s="20"/>
      <c r="X56" s="20"/>
      <c r="Y56" s="20"/>
      <c r="Z56" s="20"/>
      <c r="AA56" s="20"/>
    </row>
    <row r="57" spans="1:27" ht="409.6" x14ac:dyDescent="0.25">
      <c r="A57" s="16"/>
      <c r="B57" s="20" t="b">
        <f ca="1">IFERROR(__xludf.DUMMYFUNCTION("if(D57=iferror(filter('Character Sheet'!D$13:D3002,'Character Sheet'!D$13:D3002=D57),""""),True,False)"),FALSE)</f>
        <v>0</v>
      </c>
      <c r="C57" s="20">
        <v>300</v>
      </c>
      <c r="D57" s="2" t="s">
        <v>175</v>
      </c>
      <c r="E57" s="2" t="s">
        <v>176</v>
      </c>
      <c r="F57" s="20" t="s">
        <v>52</v>
      </c>
      <c r="G57" s="2" t="s">
        <v>177</v>
      </c>
      <c r="H57" s="16"/>
      <c r="I57" s="20"/>
      <c r="J57" s="20"/>
      <c r="K57" s="20"/>
      <c r="L57" s="20"/>
      <c r="M57" s="20"/>
      <c r="N57" s="20"/>
      <c r="O57" s="20"/>
      <c r="P57" s="20"/>
      <c r="Q57" s="20"/>
      <c r="R57" s="20"/>
      <c r="S57" s="20"/>
      <c r="T57" s="20"/>
      <c r="U57" s="20"/>
      <c r="V57" s="20"/>
      <c r="W57" s="20"/>
      <c r="X57" s="20"/>
      <c r="Y57" s="20"/>
      <c r="Z57" s="20"/>
      <c r="AA57" s="20"/>
    </row>
    <row r="58" spans="1:27" ht="87" x14ac:dyDescent="0.25">
      <c r="A58" s="16"/>
      <c r="B58" s="20" t="b">
        <f ca="1">IFERROR(__xludf.DUMMYFUNCTION("if(D58=iferror(filter('Character Sheet'!D$13:D3002,'Character Sheet'!D$13:D3002=D58),""""),True,False)"),FALSE)</f>
        <v>0</v>
      </c>
      <c r="C58" s="20">
        <v>300</v>
      </c>
      <c r="D58" s="2" t="s">
        <v>178</v>
      </c>
      <c r="E58" s="2" t="s">
        <v>179</v>
      </c>
      <c r="F58" s="20" t="s">
        <v>52</v>
      </c>
      <c r="G58" s="2" t="s">
        <v>180</v>
      </c>
      <c r="H58" s="16"/>
      <c r="I58" s="20"/>
      <c r="J58" s="20"/>
      <c r="K58" s="20"/>
      <c r="L58" s="20"/>
      <c r="M58" s="20"/>
      <c r="N58" s="20"/>
      <c r="O58" s="20"/>
      <c r="P58" s="20"/>
      <c r="Q58" s="20"/>
      <c r="R58" s="20"/>
      <c r="S58" s="20"/>
      <c r="T58" s="20"/>
      <c r="U58" s="20"/>
      <c r="V58" s="20"/>
      <c r="W58" s="20"/>
      <c r="X58" s="20"/>
      <c r="Y58" s="20"/>
      <c r="Z58" s="20"/>
      <c r="AA58" s="20"/>
    </row>
    <row r="59" spans="1:27" ht="139.19999999999999" x14ac:dyDescent="0.25">
      <c r="A59" s="16"/>
      <c r="B59" s="20" t="b">
        <f ca="1">IFERROR(__xludf.DUMMYFUNCTION("if(D59=iferror(filter('Character Sheet'!D$13:D3002,'Character Sheet'!D$13:D3002=D59),""""),True,False)"),FALSE)</f>
        <v>0</v>
      </c>
      <c r="C59" s="20">
        <v>300</v>
      </c>
      <c r="D59" s="2" t="s">
        <v>181</v>
      </c>
      <c r="E59" s="2" t="s">
        <v>182</v>
      </c>
      <c r="F59" s="20" t="s">
        <v>52</v>
      </c>
      <c r="G59" s="2" t="s">
        <v>183</v>
      </c>
      <c r="H59" s="16"/>
      <c r="I59" s="20"/>
      <c r="J59" s="20"/>
      <c r="K59" s="20"/>
      <c r="L59" s="20"/>
      <c r="M59" s="20"/>
      <c r="N59" s="20"/>
      <c r="O59" s="20"/>
      <c r="P59" s="20"/>
      <c r="Q59" s="20"/>
      <c r="R59" s="20"/>
      <c r="S59" s="20"/>
      <c r="T59" s="20"/>
      <c r="U59" s="20"/>
      <c r="V59" s="20"/>
      <c r="W59" s="20"/>
      <c r="X59" s="20"/>
      <c r="Y59" s="20"/>
      <c r="Z59" s="20"/>
      <c r="AA59" s="20"/>
    </row>
    <row r="60" spans="1:27" ht="295.8" x14ac:dyDescent="0.25">
      <c r="A60" s="16"/>
      <c r="B60" s="20" t="b">
        <f ca="1">IFERROR(__xludf.DUMMYFUNCTION("if(D60=iferror(filter('Character Sheet'!D$13:D3002,'Character Sheet'!D$13:D3002=D60),""""),True,False)"),FALSE)</f>
        <v>0</v>
      </c>
      <c r="C60" s="20">
        <v>300</v>
      </c>
      <c r="D60" s="2" t="s">
        <v>184</v>
      </c>
      <c r="E60" s="2" t="s">
        <v>159</v>
      </c>
      <c r="F60" s="20" t="s">
        <v>52</v>
      </c>
      <c r="G60" s="2" t="s">
        <v>185</v>
      </c>
      <c r="H60" s="16"/>
      <c r="I60" s="20"/>
      <c r="J60" s="20"/>
      <c r="K60" s="20"/>
      <c r="L60" s="20"/>
      <c r="M60" s="20"/>
      <c r="N60" s="20"/>
      <c r="O60" s="20"/>
      <c r="P60" s="20"/>
      <c r="Q60" s="20"/>
      <c r="R60" s="20"/>
      <c r="S60" s="20"/>
      <c r="T60" s="20"/>
      <c r="U60" s="20"/>
      <c r="V60" s="20"/>
      <c r="W60" s="20"/>
      <c r="X60" s="20"/>
      <c r="Y60" s="20"/>
      <c r="Z60" s="20"/>
      <c r="AA60" s="20"/>
    </row>
    <row r="61" spans="1:27" ht="156.6" x14ac:dyDescent="0.25">
      <c r="A61" s="16"/>
      <c r="B61" s="20" t="b">
        <f ca="1">IFERROR(__xludf.DUMMYFUNCTION("if(D61=iferror(filter('Character Sheet'!D$13:D3002,'Character Sheet'!D$13:D3002=D61),""""),True,False)"),FALSE)</f>
        <v>0</v>
      </c>
      <c r="C61" s="20">
        <v>400</v>
      </c>
      <c r="D61" s="2" t="s">
        <v>186</v>
      </c>
      <c r="E61" s="2" t="s">
        <v>187</v>
      </c>
      <c r="F61" s="20" t="s">
        <v>52</v>
      </c>
      <c r="G61" s="2" t="s">
        <v>188</v>
      </c>
      <c r="H61" s="16"/>
      <c r="I61" s="20"/>
      <c r="J61" s="20"/>
      <c r="K61" s="20"/>
      <c r="L61" s="20"/>
      <c r="M61" s="20"/>
      <c r="N61" s="20"/>
      <c r="O61" s="20"/>
      <c r="P61" s="20"/>
      <c r="Q61" s="20"/>
      <c r="R61" s="20"/>
      <c r="S61" s="20"/>
      <c r="T61" s="20"/>
      <c r="U61" s="20"/>
      <c r="V61" s="20"/>
      <c r="W61" s="20"/>
      <c r="X61" s="20"/>
      <c r="Y61" s="20"/>
      <c r="Z61" s="20"/>
      <c r="AA61" s="20"/>
    </row>
    <row r="62" spans="1:27" ht="104.4" x14ac:dyDescent="0.25">
      <c r="A62" s="16"/>
      <c r="B62" s="20" t="b">
        <f ca="1">IFERROR(__xludf.DUMMYFUNCTION("if(D62=iferror(filter('Character Sheet'!D$13:D3002,'Character Sheet'!D$13:D3002=D62),""""),True,False)"),FALSE)</f>
        <v>0</v>
      </c>
      <c r="C62" s="20">
        <v>400</v>
      </c>
      <c r="D62" s="2" t="s">
        <v>189</v>
      </c>
      <c r="E62" s="2" t="s">
        <v>162</v>
      </c>
      <c r="F62" s="20" t="s">
        <v>52</v>
      </c>
      <c r="G62" s="2" t="s">
        <v>190</v>
      </c>
      <c r="H62" s="16"/>
      <c r="I62" s="20"/>
      <c r="J62" s="20"/>
      <c r="K62" s="20"/>
      <c r="L62" s="20"/>
      <c r="M62" s="20"/>
      <c r="N62" s="20"/>
      <c r="O62" s="20"/>
      <c r="P62" s="20"/>
      <c r="Q62" s="20"/>
      <c r="R62" s="20"/>
      <c r="S62" s="20"/>
      <c r="T62" s="20"/>
      <c r="U62" s="20"/>
      <c r="V62" s="20"/>
      <c r="W62" s="20"/>
      <c r="X62" s="20"/>
      <c r="Y62" s="20"/>
      <c r="Z62" s="20"/>
      <c r="AA62" s="20"/>
    </row>
    <row r="63" spans="1:27" ht="191.4" x14ac:dyDescent="0.25">
      <c r="A63" s="16"/>
      <c r="B63" s="20" t="b">
        <f ca="1">IFERROR(__xludf.DUMMYFUNCTION("if(D63=iferror(filter('Character Sheet'!D$13:D3002,'Character Sheet'!D$13:D3002=D63),""""),True,False)"),FALSE)</f>
        <v>0</v>
      </c>
      <c r="C63" s="20">
        <v>400</v>
      </c>
      <c r="D63" s="2" t="s">
        <v>191</v>
      </c>
      <c r="E63" s="2" t="s">
        <v>192</v>
      </c>
      <c r="F63" s="20" t="s">
        <v>52</v>
      </c>
      <c r="G63" s="2" t="s">
        <v>193</v>
      </c>
      <c r="H63" s="16"/>
      <c r="I63" s="20"/>
      <c r="J63" s="20"/>
      <c r="K63" s="20"/>
      <c r="L63" s="20"/>
      <c r="M63" s="20"/>
      <c r="N63" s="20"/>
      <c r="O63" s="20"/>
      <c r="P63" s="20"/>
      <c r="Q63" s="20"/>
      <c r="R63" s="20"/>
      <c r="S63" s="20"/>
      <c r="T63" s="20"/>
      <c r="U63" s="20"/>
      <c r="V63" s="20"/>
      <c r="W63" s="20"/>
      <c r="X63" s="20"/>
      <c r="Y63" s="20"/>
      <c r="Z63" s="20"/>
      <c r="AA63" s="20"/>
    </row>
    <row r="64" spans="1:27" ht="121.8" x14ac:dyDescent="0.25">
      <c r="A64" s="16"/>
      <c r="B64" s="20" t="b">
        <f ca="1">IFERROR(__xludf.DUMMYFUNCTION("if(D64=iferror(filter('Character Sheet'!D$13:D3002,'Character Sheet'!D$13:D3002=D64),""""),True,False)"),FALSE)</f>
        <v>0</v>
      </c>
      <c r="C64" s="20">
        <v>400</v>
      </c>
      <c r="D64" s="2" t="s">
        <v>194</v>
      </c>
      <c r="E64" s="2" t="s">
        <v>165</v>
      </c>
      <c r="F64" s="20" t="s">
        <v>52</v>
      </c>
      <c r="G64" s="2" t="s">
        <v>195</v>
      </c>
      <c r="H64" s="16"/>
      <c r="I64" s="20"/>
      <c r="J64" s="20"/>
      <c r="K64" s="20"/>
      <c r="L64" s="20"/>
      <c r="M64" s="20"/>
      <c r="N64" s="20"/>
      <c r="O64" s="20"/>
      <c r="P64" s="20"/>
      <c r="Q64" s="20"/>
      <c r="R64" s="20"/>
      <c r="S64" s="20"/>
      <c r="T64" s="20"/>
      <c r="U64" s="20"/>
      <c r="V64" s="20"/>
      <c r="W64" s="20"/>
      <c r="X64" s="20"/>
      <c r="Y64" s="20"/>
      <c r="Z64" s="20"/>
      <c r="AA64" s="20"/>
    </row>
    <row r="65" spans="1:27" ht="208.8" x14ac:dyDescent="0.25">
      <c r="A65" s="16"/>
      <c r="B65" s="20" t="b">
        <f ca="1">IFERROR(__xludf.DUMMYFUNCTION("if(D65=iferror(filter('Character Sheet'!D$13:D3002,'Character Sheet'!D$13:D3002=D65),""""),True,False)"),FALSE)</f>
        <v>0</v>
      </c>
      <c r="C65" s="20">
        <v>400</v>
      </c>
      <c r="D65" s="2" t="s">
        <v>196</v>
      </c>
      <c r="E65" s="2" t="s">
        <v>197</v>
      </c>
      <c r="F65" s="20" t="s">
        <v>52</v>
      </c>
      <c r="G65" s="2" t="s">
        <v>198</v>
      </c>
      <c r="H65" s="16"/>
      <c r="I65" s="20"/>
      <c r="J65" s="20"/>
      <c r="K65" s="20"/>
      <c r="L65" s="20"/>
      <c r="M65" s="20"/>
      <c r="N65" s="20"/>
      <c r="O65" s="20"/>
      <c r="P65" s="20"/>
      <c r="Q65" s="20"/>
      <c r="R65" s="20"/>
      <c r="S65" s="20"/>
      <c r="T65" s="20"/>
      <c r="U65" s="20"/>
      <c r="V65" s="20"/>
      <c r="W65" s="20"/>
      <c r="X65" s="20"/>
      <c r="Y65" s="20"/>
      <c r="Z65" s="20"/>
      <c r="AA65" s="20"/>
    </row>
    <row r="66" spans="1:27" ht="139.19999999999999" x14ac:dyDescent="0.25">
      <c r="A66" s="16"/>
      <c r="B66" s="20" t="b">
        <f ca="1">IFERROR(__xludf.DUMMYFUNCTION("if(D66=iferror(filter('Character Sheet'!D$13:D3002,'Character Sheet'!D$13:D3002=D66),""""),True,False)"),FALSE)</f>
        <v>0</v>
      </c>
      <c r="C66" s="20">
        <v>400</v>
      </c>
      <c r="D66" s="2" t="s">
        <v>199</v>
      </c>
      <c r="E66" s="2" t="s">
        <v>124</v>
      </c>
      <c r="F66" s="20" t="s">
        <v>52</v>
      </c>
      <c r="G66" s="2" t="s">
        <v>200</v>
      </c>
      <c r="H66" s="16"/>
      <c r="I66" s="20"/>
      <c r="J66" s="20"/>
      <c r="K66" s="20"/>
      <c r="L66" s="20"/>
      <c r="M66" s="20"/>
      <c r="N66" s="20"/>
      <c r="O66" s="20"/>
      <c r="P66" s="20"/>
      <c r="Q66" s="20"/>
      <c r="R66" s="20"/>
      <c r="S66" s="20"/>
      <c r="T66" s="20"/>
      <c r="U66" s="20"/>
      <c r="V66" s="20"/>
      <c r="W66" s="20"/>
      <c r="X66" s="20"/>
      <c r="Y66" s="20"/>
      <c r="Z66" s="20"/>
      <c r="AA66" s="20"/>
    </row>
    <row r="67" spans="1:27" ht="139.19999999999999" x14ac:dyDescent="0.25">
      <c r="A67" s="16"/>
      <c r="B67" s="20" t="b">
        <f ca="1">IFERROR(__xludf.DUMMYFUNCTION("if(D67=iferror(filter('Character Sheet'!D$13:D3002,'Character Sheet'!D$13:D3002=D67),""""),True,False)"),FALSE)</f>
        <v>0</v>
      </c>
      <c r="C67" s="20">
        <v>400</v>
      </c>
      <c r="D67" s="2" t="s">
        <v>201</v>
      </c>
      <c r="E67" s="2" t="s">
        <v>202</v>
      </c>
      <c r="F67" s="20" t="s">
        <v>52</v>
      </c>
      <c r="G67" s="2" t="s">
        <v>203</v>
      </c>
      <c r="H67" s="16"/>
      <c r="I67" s="20"/>
      <c r="J67" s="20"/>
      <c r="K67" s="20"/>
      <c r="L67" s="20"/>
      <c r="M67" s="20"/>
      <c r="N67" s="20"/>
      <c r="O67" s="20"/>
      <c r="P67" s="20"/>
      <c r="Q67" s="20"/>
      <c r="R67" s="20"/>
      <c r="S67" s="20"/>
      <c r="T67" s="20"/>
      <c r="U67" s="20"/>
      <c r="V67" s="20"/>
      <c r="W67" s="20"/>
      <c r="X67" s="20"/>
      <c r="Y67" s="20"/>
      <c r="Z67" s="20"/>
      <c r="AA67" s="20"/>
    </row>
    <row r="68" spans="1:27" ht="226.2" x14ac:dyDescent="0.25">
      <c r="A68" s="16"/>
      <c r="B68" s="20" t="b">
        <f ca="1">IFERROR(__xludf.DUMMYFUNCTION("if(D68=iferror(filter('Character Sheet'!D$13:D3002,'Character Sheet'!D$13:D3002=D68),""""),True,False)"),TRUE)</f>
        <v>1</v>
      </c>
      <c r="C68" s="20">
        <v>400</v>
      </c>
      <c r="D68" s="2" t="s">
        <v>41</v>
      </c>
      <c r="E68" s="2" t="s">
        <v>139</v>
      </c>
      <c r="F68" s="20" t="s">
        <v>52</v>
      </c>
      <c r="G68" s="2" t="s">
        <v>204</v>
      </c>
      <c r="H68" s="16"/>
      <c r="I68" s="20"/>
      <c r="J68" s="20"/>
      <c r="K68" s="20"/>
      <c r="L68" s="20"/>
      <c r="M68" s="20"/>
      <c r="N68" s="20"/>
      <c r="O68" s="20"/>
      <c r="P68" s="20"/>
      <c r="Q68" s="20"/>
      <c r="R68" s="20"/>
      <c r="S68" s="20"/>
      <c r="T68" s="20"/>
      <c r="U68" s="20"/>
      <c r="V68" s="20"/>
      <c r="W68" s="20"/>
      <c r="X68" s="20"/>
      <c r="Y68" s="20"/>
      <c r="Z68" s="20"/>
      <c r="AA68" s="20"/>
    </row>
    <row r="69" spans="1:27" ht="174" x14ac:dyDescent="0.25">
      <c r="A69" s="16"/>
      <c r="B69" s="20" t="b">
        <f ca="1">IFERROR(__xludf.DUMMYFUNCTION("if(D69=iferror(filter('Character Sheet'!D$13:D3002,'Character Sheet'!D$13:D3002=D69),""""),True,False)"),FALSE)</f>
        <v>0</v>
      </c>
      <c r="C69" s="20">
        <v>400</v>
      </c>
      <c r="D69" s="2" t="s">
        <v>205</v>
      </c>
      <c r="E69" s="2" t="s">
        <v>139</v>
      </c>
      <c r="F69" s="20" t="s">
        <v>52</v>
      </c>
      <c r="G69" s="2" t="s">
        <v>206</v>
      </c>
      <c r="H69" s="16"/>
      <c r="I69" s="20"/>
      <c r="J69" s="20"/>
      <c r="K69" s="20"/>
      <c r="L69" s="20"/>
      <c r="M69" s="20"/>
      <c r="N69" s="20"/>
      <c r="O69" s="20"/>
      <c r="P69" s="20"/>
      <c r="Q69" s="20"/>
      <c r="R69" s="20"/>
      <c r="S69" s="20"/>
      <c r="T69" s="20"/>
      <c r="U69" s="20"/>
      <c r="V69" s="20"/>
      <c r="W69" s="20"/>
      <c r="X69" s="20"/>
      <c r="Y69" s="20"/>
      <c r="Z69" s="20"/>
      <c r="AA69" s="20"/>
    </row>
    <row r="70" spans="1:27" ht="69.599999999999994" x14ac:dyDescent="0.25">
      <c r="A70" s="16"/>
      <c r="B70" s="20" t="b">
        <f ca="1">IFERROR(__xludf.DUMMYFUNCTION("if(D70=iferror(filter('Character Sheet'!D$13:D3002,'Character Sheet'!D$13:D3002=D70),""""),True,False)"),FALSE)</f>
        <v>0</v>
      </c>
      <c r="C70" s="20">
        <v>400</v>
      </c>
      <c r="D70" s="2" t="s">
        <v>207</v>
      </c>
      <c r="E70" s="2" t="s">
        <v>208</v>
      </c>
      <c r="F70" s="20" t="s">
        <v>52</v>
      </c>
      <c r="G70" s="2" t="s">
        <v>209</v>
      </c>
      <c r="H70" s="16"/>
      <c r="I70" s="20"/>
      <c r="J70" s="20"/>
      <c r="K70" s="20"/>
      <c r="L70" s="20"/>
      <c r="M70" s="20"/>
      <c r="N70" s="20"/>
      <c r="O70" s="20"/>
      <c r="P70" s="20"/>
      <c r="Q70" s="20"/>
      <c r="R70" s="20"/>
      <c r="S70" s="20"/>
      <c r="T70" s="20"/>
      <c r="U70" s="20"/>
      <c r="V70" s="20"/>
      <c r="W70" s="20"/>
      <c r="X70" s="20"/>
      <c r="Y70" s="20"/>
      <c r="Z70" s="20"/>
      <c r="AA70" s="20"/>
    </row>
    <row r="71" spans="1:27" ht="295.8" x14ac:dyDescent="0.25">
      <c r="A71" s="16"/>
      <c r="B71" s="20" t="b">
        <f ca="1">IFERROR(__xludf.DUMMYFUNCTION("if(D71=iferror(filter('Character Sheet'!D$13:D3002,'Character Sheet'!D$13:D3002=D71),""""),True,False)"),FALSE)</f>
        <v>0</v>
      </c>
      <c r="C71" s="20">
        <v>400</v>
      </c>
      <c r="D71" s="2" t="s">
        <v>210</v>
      </c>
      <c r="E71" s="2" t="s">
        <v>211</v>
      </c>
      <c r="F71" s="20" t="s">
        <v>52</v>
      </c>
      <c r="G71" s="2" t="s">
        <v>212</v>
      </c>
      <c r="H71" s="16"/>
      <c r="I71" s="20"/>
      <c r="J71" s="20"/>
      <c r="K71" s="20"/>
      <c r="L71" s="20"/>
      <c r="M71" s="20"/>
      <c r="N71" s="20"/>
      <c r="O71" s="20"/>
      <c r="P71" s="20"/>
      <c r="Q71" s="20"/>
      <c r="R71" s="20"/>
      <c r="S71" s="20"/>
      <c r="T71" s="20"/>
      <c r="U71" s="20"/>
      <c r="V71" s="20"/>
      <c r="W71" s="20"/>
      <c r="X71" s="20"/>
      <c r="Y71" s="20"/>
      <c r="Z71" s="20"/>
      <c r="AA71" s="20"/>
    </row>
    <row r="72" spans="1:27" ht="139.19999999999999" x14ac:dyDescent="0.25">
      <c r="A72" s="16"/>
      <c r="B72" s="20" t="b">
        <f ca="1">IFERROR(__xludf.DUMMYFUNCTION("if(D72=iferror(filter('Character Sheet'!D$13:D3002,'Character Sheet'!D$13:D3002=D72),""""),True,False)"),FALSE)</f>
        <v>0</v>
      </c>
      <c r="C72" s="20">
        <v>500</v>
      </c>
      <c r="D72" s="2" t="s">
        <v>213</v>
      </c>
      <c r="E72" s="2" t="s">
        <v>214</v>
      </c>
      <c r="F72" s="20" t="s">
        <v>52</v>
      </c>
      <c r="G72" s="2" t="s">
        <v>215</v>
      </c>
      <c r="H72" s="16"/>
      <c r="I72" s="20"/>
      <c r="J72" s="20"/>
      <c r="K72" s="20"/>
      <c r="L72" s="20"/>
      <c r="M72" s="20"/>
      <c r="N72" s="20"/>
      <c r="O72" s="20"/>
      <c r="P72" s="20"/>
      <c r="Q72" s="20"/>
      <c r="R72" s="20"/>
      <c r="S72" s="20"/>
      <c r="T72" s="20"/>
      <c r="U72" s="20"/>
      <c r="V72" s="20"/>
      <c r="W72" s="20"/>
      <c r="X72" s="20"/>
      <c r="Y72" s="20"/>
      <c r="Z72" s="20"/>
      <c r="AA72" s="20"/>
    </row>
    <row r="73" spans="1:27" ht="121.8" x14ac:dyDescent="0.25">
      <c r="A73" s="16"/>
      <c r="B73" s="20" t="b">
        <f ca="1">IFERROR(__xludf.DUMMYFUNCTION("if(D73=iferror(filter('Character Sheet'!D$13:D3002,'Character Sheet'!D$13:D3002=D73),""""),True,False)"),FALSE)</f>
        <v>0</v>
      </c>
      <c r="C73" s="20">
        <v>500</v>
      </c>
      <c r="D73" s="2" t="s">
        <v>216</v>
      </c>
      <c r="E73" s="2" t="s">
        <v>217</v>
      </c>
      <c r="F73" s="20" t="s">
        <v>52</v>
      </c>
      <c r="G73" s="2" t="s">
        <v>218</v>
      </c>
      <c r="H73" s="16"/>
      <c r="I73" s="20"/>
      <c r="J73" s="20"/>
      <c r="K73" s="20"/>
      <c r="L73" s="20"/>
      <c r="M73" s="20"/>
      <c r="N73" s="20"/>
      <c r="O73" s="20"/>
      <c r="P73" s="20"/>
      <c r="Q73" s="20"/>
      <c r="R73" s="20"/>
      <c r="S73" s="20"/>
      <c r="T73" s="20"/>
      <c r="U73" s="20"/>
      <c r="V73" s="20"/>
      <c r="W73" s="20"/>
      <c r="X73" s="20"/>
      <c r="Y73" s="20"/>
      <c r="Z73" s="20"/>
      <c r="AA73" s="20"/>
    </row>
    <row r="74" spans="1:27" ht="226.2" x14ac:dyDescent="0.25">
      <c r="A74" s="16"/>
      <c r="B74" s="20" t="b">
        <f ca="1">IFERROR(__xludf.DUMMYFUNCTION("if(D74=iferror(filter('Character Sheet'!D$13:D3002,'Character Sheet'!D$13:D3002=D74),""""),True,False)"),FALSE)</f>
        <v>0</v>
      </c>
      <c r="C74" s="20">
        <v>500</v>
      </c>
      <c r="D74" s="2" t="s">
        <v>219</v>
      </c>
      <c r="E74" s="2" t="s">
        <v>220</v>
      </c>
      <c r="F74" s="20" t="s">
        <v>52</v>
      </c>
      <c r="G74" s="2" t="s">
        <v>221</v>
      </c>
      <c r="H74" s="16"/>
      <c r="I74" s="20"/>
      <c r="J74" s="20"/>
      <c r="K74" s="20"/>
      <c r="L74" s="20"/>
      <c r="M74" s="20"/>
      <c r="N74" s="20"/>
      <c r="O74" s="20"/>
      <c r="P74" s="20"/>
      <c r="Q74" s="20"/>
      <c r="R74" s="20"/>
      <c r="S74" s="20"/>
      <c r="T74" s="20"/>
      <c r="U74" s="20"/>
      <c r="V74" s="20"/>
      <c r="W74" s="20"/>
      <c r="X74" s="20"/>
      <c r="Y74" s="20"/>
      <c r="Z74" s="20"/>
      <c r="AA74" s="20"/>
    </row>
    <row r="75" spans="1:27" ht="295.8" x14ac:dyDescent="0.25">
      <c r="A75" s="16"/>
      <c r="B75" s="20" t="b">
        <f ca="1">IFERROR(__xludf.DUMMYFUNCTION("if(D75=iferror(filter('Character Sheet'!D$13:D3002,'Character Sheet'!D$13:D3002=D75),""""),True,False)"),FALSE)</f>
        <v>0</v>
      </c>
      <c r="C75" s="20">
        <v>600</v>
      </c>
      <c r="D75" s="2" t="s">
        <v>222</v>
      </c>
      <c r="E75" s="2" t="s">
        <v>75</v>
      </c>
      <c r="F75" s="20" t="s">
        <v>52</v>
      </c>
      <c r="G75" s="2" t="s">
        <v>223</v>
      </c>
      <c r="H75" s="16"/>
      <c r="I75" s="20"/>
      <c r="J75" s="20"/>
      <c r="K75" s="20"/>
      <c r="L75" s="20"/>
      <c r="M75" s="20"/>
      <c r="N75" s="20"/>
      <c r="O75" s="20"/>
      <c r="P75" s="20"/>
      <c r="Q75" s="20"/>
      <c r="R75" s="20"/>
      <c r="S75" s="20"/>
      <c r="T75" s="20"/>
      <c r="U75" s="20"/>
      <c r="V75" s="20"/>
      <c r="W75" s="20"/>
      <c r="X75" s="20"/>
      <c r="Y75" s="20"/>
      <c r="Z75" s="20"/>
      <c r="AA75" s="20"/>
    </row>
    <row r="76" spans="1:27" ht="191.4" x14ac:dyDescent="0.25">
      <c r="A76" s="16"/>
      <c r="B76" s="20" t="b">
        <f ca="1">IFERROR(__xludf.DUMMYFUNCTION("if(D76=iferror(filter('Character Sheet'!D$13:D3002,'Character Sheet'!D$13:D3002=D76),""""),True,False)"),FALSE)</f>
        <v>0</v>
      </c>
      <c r="C76" s="20">
        <v>600</v>
      </c>
      <c r="D76" s="2" t="s">
        <v>224</v>
      </c>
      <c r="E76" s="2" t="s">
        <v>225</v>
      </c>
      <c r="F76" s="20" t="s">
        <v>52</v>
      </c>
      <c r="G76" s="2" t="s">
        <v>226</v>
      </c>
      <c r="H76" s="16"/>
      <c r="I76" s="20"/>
      <c r="J76" s="20"/>
      <c r="K76" s="20"/>
      <c r="L76" s="20"/>
      <c r="M76" s="20"/>
      <c r="N76" s="20"/>
      <c r="O76" s="20"/>
      <c r="P76" s="20"/>
      <c r="Q76" s="20"/>
      <c r="R76" s="20"/>
      <c r="S76" s="20"/>
      <c r="T76" s="20"/>
      <c r="U76" s="20"/>
      <c r="V76" s="20"/>
      <c r="W76" s="20"/>
      <c r="X76" s="20"/>
      <c r="Y76" s="20"/>
      <c r="Z76" s="20"/>
      <c r="AA76" s="20"/>
    </row>
    <row r="77" spans="1:27" ht="87" x14ac:dyDescent="0.25">
      <c r="A77" s="16"/>
      <c r="B77" s="20" t="b">
        <f ca="1">IFERROR(__xludf.DUMMYFUNCTION("if(D77=iferror(filter('Character Sheet'!D$13:D3002,'Character Sheet'!D$13:D3002=D77),""""),True,False)"),FALSE)</f>
        <v>0</v>
      </c>
      <c r="C77" s="20">
        <v>600</v>
      </c>
      <c r="D77" s="2" t="s">
        <v>227</v>
      </c>
      <c r="E77" s="2" t="s">
        <v>168</v>
      </c>
      <c r="F77" s="20" t="s">
        <v>52</v>
      </c>
      <c r="G77" s="2" t="s">
        <v>228</v>
      </c>
      <c r="H77" s="16"/>
      <c r="I77" s="20"/>
      <c r="J77" s="20"/>
      <c r="K77" s="20"/>
      <c r="L77" s="20"/>
      <c r="M77" s="20"/>
      <c r="N77" s="20"/>
      <c r="O77" s="20"/>
      <c r="P77" s="20"/>
      <c r="Q77" s="20"/>
      <c r="R77" s="20"/>
      <c r="S77" s="20"/>
      <c r="T77" s="20"/>
      <c r="U77" s="20"/>
      <c r="V77" s="20"/>
      <c r="W77" s="20"/>
      <c r="X77" s="20"/>
      <c r="Y77" s="20"/>
      <c r="Z77" s="20"/>
      <c r="AA77" s="20"/>
    </row>
    <row r="78" spans="1:27" ht="409.6" x14ac:dyDescent="0.25">
      <c r="A78" s="16"/>
      <c r="B78" s="20" t="b">
        <f ca="1">IFERROR(__xludf.DUMMYFUNCTION("if(D78=iferror(filter('Character Sheet'!D$13:D3002,'Character Sheet'!D$13:D3002=D78),""""),True,False)"),FALSE)</f>
        <v>0</v>
      </c>
      <c r="C78" s="20">
        <v>600</v>
      </c>
      <c r="D78" s="2" t="s">
        <v>229</v>
      </c>
      <c r="E78" s="2" t="s">
        <v>230</v>
      </c>
      <c r="F78" s="20" t="s">
        <v>52</v>
      </c>
      <c r="G78" s="2" t="s">
        <v>231</v>
      </c>
      <c r="H78" s="16"/>
      <c r="I78" s="20"/>
      <c r="J78" s="20"/>
      <c r="K78" s="20"/>
      <c r="L78" s="20"/>
      <c r="M78" s="20"/>
      <c r="N78" s="20"/>
      <c r="O78" s="20"/>
      <c r="P78" s="20"/>
      <c r="Q78" s="20"/>
      <c r="R78" s="20"/>
      <c r="S78" s="20"/>
      <c r="T78" s="20"/>
      <c r="U78" s="20"/>
      <c r="V78" s="20"/>
      <c r="W78" s="20"/>
      <c r="X78" s="20"/>
      <c r="Y78" s="20"/>
      <c r="Z78" s="20"/>
      <c r="AA78" s="20"/>
    </row>
    <row r="79" spans="1:27" ht="121.8" x14ac:dyDescent="0.25">
      <c r="A79" s="16"/>
      <c r="B79" s="20" t="b">
        <f ca="1">IFERROR(__xludf.DUMMYFUNCTION("if(D79=iferror(filter('Character Sheet'!D$13:D3002,'Character Sheet'!D$13:D3002=D79),""""),True,False)"),FALSE)</f>
        <v>0</v>
      </c>
      <c r="C79" s="20">
        <v>600</v>
      </c>
      <c r="D79" s="2" t="s">
        <v>232</v>
      </c>
      <c r="E79" s="2" t="s">
        <v>233</v>
      </c>
      <c r="F79" s="20" t="s">
        <v>52</v>
      </c>
      <c r="G79" s="2" t="s">
        <v>234</v>
      </c>
      <c r="H79" s="16"/>
      <c r="I79" s="20"/>
      <c r="J79" s="20"/>
      <c r="K79" s="20"/>
      <c r="L79" s="20"/>
      <c r="M79" s="20"/>
      <c r="N79" s="20"/>
      <c r="O79" s="20"/>
      <c r="P79" s="20"/>
      <c r="Q79" s="20"/>
      <c r="R79" s="20"/>
      <c r="S79" s="20"/>
      <c r="T79" s="20"/>
      <c r="U79" s="20"/>
      <c r="V79" s="20"/>
      <c r="W79" s="20"/>
      <c r="X79" s="20"/>
      <c r="Y79" s="20"/>
      <c r="Z79" s="20"/>
      <c r="AA79" s="20"/>
    </row>
    <row r="80" spans="1:27" ht="295.8" x14ac:dyDescent="0.25">
      <c r="A80" s="16"/>
      <c r="B80" s="20" t="b">
        <f ca="1">IFERROR(__xludf.DUMMYFUNCTION("if(D80=iferror(filter('Character Sheet'!D$13:D3002,'Character Sheet'!D$13:D3002=D80),""""),True,False)"),FALSE)</f>
        <v>0</v>
      </c>
      <c r="C80" s="20">
        <v>600</v>
      </c>
      <c r="D80" s="2" t="s">
        <v>235</v>
      </c>
      <c r="E80" s="2" t="s">
        <v>165</v>
      </c>
      <c r="F80" s="20" t="s">
        <v>52</v>
      </c>
      <c r="G80" s="2" t="s">
        <v>236</v>
      </c>
      <c r="H80" s="16"/>
      <c r="I80" s="20"/>
      <c r="J80" s="20"/>
      <c r="K80" s="20"/>
      <c r="L80" s="20"/>
      <c r="M80" s="20"/>
      <c r="N80" s="20"/>
      <c r="O80" s="20"/>
      <c r="P80" s="20"/>
      <c r="Q80" s="20"/>
      <c r="R80" s="20"/>
      <c r="S80" s="20"/>
      <c r="T80" s="20"/>
      <c r="U80" s="20"/>
      <c r="V80" s="20"/>
      <c r="W80" s="20"/>
      <c r="X80" s="20"/>
      <c r="Y80" s="20"/>
      <c r="Z80" s="20"/>
      <c r="AA80" s="20"/>
    </row>
    <row r="81" spans="1:27" ht="69.599999999999994" x14ac:dyDescent="0.25">
      <c r="A81" s="16"/>
      <c r="B81" s="20" t="b">
        <f ca="1">IFERROR(__xludf.DUMMYFUNCTION("if(D81=iferror(filter('Character Sheet'!D$13:D3002,'Character Sheet'!D$13:D3002=D81),""""),True,False)"),FALSE)</f>
        <v>0</v>
      </c>
      <c r="C81" s="20">
        <v>600</v>
      </c>
      <c r="D81" s="2" t="s">
        <v>237</v>
      </c>
      <c r="E81" s="2" t="s">
        <v>238</v>
      </c>
      <c r="F81" s="20" t="s">
        <v>52</v>
      </c>
      <c r="G81" s="2" t="s">
        <v>239</v>
      </c>
      <c r="H81" s="16"/>
      <c r="I81" s="20"/>
      <c r="J81" s="20"/>
      <c r="K81" s="20"/>
      <c r="L81" s="20"/>
      <c r="M81" s="20"/>
      <c r="N81" s="20"/>
      <c r="O81" s="20"/>
      <c r="P81" s="20"/>
      <c r="Q81" s="20"/>
      <c r="R81" s="20"/>
      <c r="S81" s="20"/>
      <c r="T81" s="20"/>
      <c r="U81" s="20"/>
      <c r="V81" s="20"/>
      <c r="W81" s="20"/>
      <c r="X81" s="20"/>
      <c r="Y81" s="20"/>
      <c r="Z81" s="20"/>
      <c r="AA81" s="20"/>
    </row>
    <row r="82" spans="1:27" ht="87" x14ac:dyDescent="0.25">
      <c r="A82" s="16"/>
      <c r="B82" s="20" t="b">
        <f ca="1">IFERROR(__xludf.DUMMYFUNCTION("if(D82=iferror(filter('Character Sheet'!D$13:D3002,'Character Sheet'!D$13:D3002=D82),""""),True,False)"),FALSE)</f>
        <v>0</v>
      </c>
      <c r="C82" s="20">
        <v>600</v>
      </c>
      <c r="D82" s="2" t="s">
        <v>240</v>
      </c>
      <c r="E82" s="2" t="s">
        <v>241</v>
      </c>
      <c r="F82" s="20" t="s">
        <v>52</v>
      </c>
      <c r="G82" s="2" t="s">
        <v>242</v>
      </c>
      <c r="H82" s="16"/>
      <c r="I82" s="20"/>
      <c r="J82" s="20"/>
      <c r="K82" s="20"/>
      <c r="L82" s="20"/>
      <c r="M82" s="20"/>
      <c r="N82" s="20"/>
      <c r="O82" s="20"/>
      <c r="P82" s="20"/>
      <c r="Q82" s="20"/>
      <c r="R82" s="20"/>
      <c r="S82" s="20"/>
      <c r="T82" s="20"/>
      <c r="U82" s="20"/>
      <c r="V82" s="20"/>
      <c r="W82" s="20"/>
      <c r="X82" s="20"/>
      <c r="Y82" s="20"/>
      <c r="Z82" s="20"/>
      <c r="AA82" s="20"/>
    </row>
    <row r="83" spans="1:27" ht="156.6" x14ac:dyDescent="0.25">
      <c r="A83" s="16"/>
      <c r="B83" s="20" t="b">
        <f ca="1">IFERROR(__xludf.DUMMYFUNCTION("if(D83=iferror(filter('Character Sheet'!D$13:D3002,'Character Sheet'!D$13:D3002=D83),""""),True,False)"),FALSE)</f>
        <v>0</v>
      </c>
      <c r="C83" s="20">
        <v>600</v>
      </c>
      <c r="D83" s="2" t="s">
        <v>243</v>
      </c>
      <c r="E83" s="2" t="s">
        <v>136</v>
      </c>
      <c r="F83" s="20" t="s">
        <v>52</v>
      </c>
      <c r="G83" s="2" t="s">
        <v>244</v>
      </c>
      <c r="H83" s="16"/>
      <c r="I83" s="20"/>
      <c r="J83" s="20"/>
      <c r="K83" s="20"/>
      <c r="L83" s="20"/>
      <c r="M83" s="20"/>
      <c r="N83" s="20"/>
      <c r="O83" s="20"/>
      <c r="P83" s="20"/>
      <c r="Q83" s="20"/>
      <c r="R83" s="20"/>
      <c r="S83" s="20"/>
      <c r="T83" s="20"/>
      <c r="U83" s="20"/>
      <c r="V83" s="20"/>
      <c r="W83" s="20"/>
      <c r="X83" s="20"/>
      <c r="Y83" s="20"/>
      <c r="Z83" s="20"/>
      <c r="AA83" s="20"/>
    </row>
    <row r="84" spans="1:27" ht="365.4" x14ac:dyDescent="0.25">
      <c r="A84" s="16"/>
      <c r="B84" s="20" t="b">
        <f ca="1">IFERROR(__xludf.DUMMYFUNCTION("if(D84=iferror(filter('Character Sheet'!D$13:D3002,'Character Sheet'!D$13:D3002=D84),""""),True,False)"),FALSE)</f>
        <v>0</v>
      </c>
      <c r="C84" s="20">
        <v>600</v>
      </c>
      <c r="D84" s="2" t="s">
        <v>245</v>
      </c>
      <c r="E84" s="2" t="s">
        <v>238</v>
      </c>
      <c r="F84" s="20" t="s">
        <v>52</v>
      </c>
      <c r="G84" s="2" t="s">
        <v>246</v>
      </c>
      <c r="H84" s="16"/>
      <c r="I84" s="20"/>
      <c r="J84" s="20"/>
      <c r="K84" s="20"/>
      <c r="L84" s="20"/>
      <c r="M84" s="20"/>
      <c r="N84" s="20"/>
      <c r="O84" s="20"/>
      <c r="P84" s="20"/>
      <c r="Q84" s="20"/>
      <c r="R84" s="20"/>
      <c r="S84" s="20"/>
      <c r="T84" s="20"/>
      <c r="U84" s="20"/>
      <c r="V84" s="20"/>
      <c r="W84" s="20"/>
      <c r="X84" s="20"/>
      <c r="Y84" s="20"/>
      <c r="Z84" s="20"/>
      <c r="AA84" s="20"/>
    </row>
    <row r="85" spans="1:27" ht="330.6" x14ac:dyDescent="0.25">
      <c r="A85" s="16"/>
      <c r="B85" s="20" t="b">
        <f ca="1">IFERROR(__xludf.DUMMYFUNCTION("if(D85=iferror(filter('Character Sheet'!D$13:D3002,'Character Sheet'!D$13:D3002=D85),""""),True,False)"),FALSE)</f>
        <v>0</v>
      </c>
      <c r="C85" s="20">
        <v>600</v>
      </c>
      <c r="D85" s="2" t="s">
        <v>247</v>
      </c>
      <c r="E85" s="2" t="s">
        <v>248</v>
      </c>
      <c r="F85" s="20" t="s">
        <v>52</v>
      </c>
      <c r="G85" s="2" t="s">
        <v>249</v>
      </c>
      <c r="H85" s="16"/>
      <c r="I85" s="20"/>
      <c r="J85" s="20"/>
      <c r="K85" s="20"/>
      <c r="L85" s="20"/>
      <c r="M85" s="20"/>
      <c r="N85" s="20"/>
      <c r="O85" s="20"/>
      <c r="P85" s="20"/>
      <c r="Q85" s="20"/>
      <c r="R85" s="20"/>
      <c r="S85" s="20"/>
      <c r="T85" s="20"/>
      <c r="U85" s="20"/>
      <c r="V85" s="20"/>
      <c r="W85" s="20"/>
      <c r="X85" s="20"/>
      <c r="Y85" s="20"/>
      <c r="Z85" s="20"/>
      <c r="AA85" s="20"/>
    </row>
    <row r="86" spans="1:27" ht="87" x14ac:dyDescent="0.25">
      <c r="A86" s="16"/>
      <c r="B86" s="20" t="b">
        <f ca="1">IFERROR(__xludf.DUMMYFUNCTION("if(D86=iferror(filter('Character Sheet'!D$13:D3002,'Character Sheet'!D$13:D3002=D86),""""),True,False)"),TRUE)</f>
        <v>1</v>
      </c>
      <c r="C86" s="20">
        <v>0</v>
      </c>
      <c r="D86" s="2" t="s">
        <v>44</v>
      </c>
      <c r="E86" s="2" t="s">
        <v>250</v>
      </c>
      <c r="F86" s="20" t="s">
        <v>53</v>
      </c>
      <c r="G86" s="2" t="s">
        <v>251</v>
      </c>
      <c r="H86" s="16"/>
      <c r="I86" s="20"/>
      <c r="J86" s="20"/>
      <c r="K86" s="20"/>
      <c r="L86" s="20"/>
      <c r="M86" s="20"/>
      <c r="N86" s="20"/>
      <c r="O86" s="20"/>
      <c r="P86" s="20"/>
      <c r="Q86" s="20"/>
      <c r="R86" s="20"/>
      <c r="S86" s="20"/>
      <c r="T86" s="20"/>
      <c r="U86" s="20"/>
      <c r="V86" s="20"/>
      <c r="W86" s="20"/>
      <c r="X86" s="20"/>
      <c r="Y86" s="20"/>
      <c r="Z86" s="20"/>
      <c r="AA86" s="20"/>
    </row>
    <row r="87" spans="1:27" ht="174" x14ac:dyDescent="0.25">
      <c r="A87" s="16"/>
      <c r="B87" s="20" t="b">
        <f ca="1">IFERROR(__xludf.DUMMYFUNCTION("if(D87=iferror(filter('Character Sheet'!D$13:D3002,'Character Sheet'!D$13:D3002=D87),""""),True,False)"),FALSE)</f>
        <v>0</v>
      </c>
      <c r="C87" s="20">
        <v>0</v>
      </c>
      <c r="D87" s="2" t="s">
        <v>252</v>
      </c>
      <c r="E87" s="2" t="s">
        <v>253</v>
      </c>
      <c r="F87" s="20" t="s">
        <v>53</v>
      </c>
      <c r="G87" s="2" t="s">
        <v>254</v>
      </c>
      <c r="H87" s="16"/>
      <c r="I87" s="20"/>
      <c r="J87" s="20"/>
      <c r="K87" s="20"/>
      <c r="L87" s="20"/>
      <c r="M87" s="20"/>
      <c r="N87" s="20"/>
      <c r="O87" s="20"/>
      <c r="P87" s="20"/>
      <c r="Q87" s="20"/>
      <c r="R87" s="20"/>
      <c r="S87" s="20"/>
      <c r="T87" s="20"/>
      <c r="U87" s="20"/>
      <c r="V87" s="20"/>
      <c r="W87" s="20"/>
      <c r="X87" s="20"/>
      <c r="Y87" s="20"/>
      <c r="Z87" s="20"/>
      <c r="AA87" s="20"/>
    </row>
    <row r="88" spans="1:27" ht="261" x14ac:dyDescent="0.25">
      <c r="A88" s="16"/>
      <c r="B88" s="20" t="b">
        <f ca="1">IFERROR(__xludf.DUMMYFUNCTION("if(D88=iferror(filter('Character Sheet'!D$13:D3002,'Character Sheet'!D$13:D3002=D88),""""),True,False)"),FALSE)</f>
        <v>0</v>
      </c>
      <c r="C88" s="20">
        <v>0</v>
      </c>
      <c r="D88" s="2" t="s">
        <v>255</v>
      </c>
      <c r="E88" s="2" t="s">
        <v>230</v>
      </c>
      <c r="F88" s="20" t="s">
        <v>53</v>
      </c>
      <c r="G88" s="2" t="s">
        <v>256</v>
      </c>
      <c r="H88" s="16"/>
      <c r="I88" s="20"/>
      <c r="J88" s="20"/>
      <c r="K88" s="20"/>
      <c r="L88" s="20"/>
      <c r="M88" s="20"/>
      <c r="N88" s="20"/>
      <c r="O88" s="20"/>
      <c r="P88" s="20"/>
      <c r="Q88" s="20"/>
      <c r="R88" s="20"/>
      <c r="S88" s="20"/>
      <c r="T88" s="20"/>
      <c r="U88" s="20"/>
      <c r="V88" s="20"/>
      <c r="W88" s="20"/>
      <c r="X88" s="20"/>
      <c r="Y88" s="20"/>
      <c r="Z88" s="20"/>
      <c r="AA88" s="20"/>
    </row>
    <row r="89" spans="1:27" ht="69.599999999999994" x14ac:dyDescent="0.25">
      <c r="A89" s="16"/>
      <c r="B89" s="20" t="b">
        <f ca="1">IFERROR(__xludf.DUMMYFUNCTION("if(D89=iferror(filter('Character Sheet'!D$13:D3002,'Character Sheet'!D$13:D3002=D89),""""),True,False)"),FALSE)</f>
        <v>0</v>
      </c>
      <c r="C89" s="20">
        <v>0</v>
      </c>
      <c r="D89" s="2" t="s">
        <v>257</v>
      </c>
      <c r="E89" s="2" t="s">
        <v>90</v>
      </c>
      <c r="F89" s="20" t="s">
        <v>53</v>
      </c>
      <c r="G89" s="2" t="s">
        <v>258</v>
      </c>
      <c r="H89" s="16"/>
      <c r="I89" s="20"/>
      <c r="J89" s="20"/>
      <c r="K89" s="20"/>
      <c r="L89" s="20"/>
      <c r="M89" s="20"/>
      <c r="N89" s="20"/>
      <c r="O89" s="20"/>
      <c r="P89" s="20"/>
      <c r="Q89" s="20"/>
      <c r="R89" s="20"/>
      <c r="S89" s="20"/>
      <c r="T89" s="20"/>
      <c r="U89" s="20"/>
      <c r="V89" s="20"/>
      <c r="W89" s="20"/>
      <c r="X89" s="20"/>
      <c r="Y89" s="20"/>
      <c r="Z89" s="20"/>
      <c r="AA89" s="20"/>
    </row>
    <row r="90" spans="1:27" ht="121.8" x14ac:dyDescent="0.25">
      <c r="A90" s="16"/>
      <c r="B90" s="20" t="b">
        <f ca="1">IFERROR(__xludf.DUMMYFUNCTION("if(D90=iferror(filter('Character Sheet'!D$13:D3002,'Character Sheet'!D$13:D3002=D90),""""),True,False)"),FALSE)</f>
        <v>0</v>
      </c>
      <c r="C90" s="20">
        <v>0</v>
      </c>
      <c r="D90" s="2" t="s">
        <v>259</v>
      </c>
      <c r="E90" s="2" t="s">
        <v>124</v>
      </c>
      <c r="F90" s="20" t="s">
        <v>53</v>
      </c>
      <c r="G90" s="2" t="s">
        <v>260</v>
      </c>
      <c r="H90" s="16"/>
      <c r="I90" s="20"/>
      <c r="J90" s="20"/>
      <c r="K90" s="20"/>
      <c r="L90" s="20"/>
      <c r="M90" s="20"/>
      <c r="N90" s="20"/>
      <c r="O90" s="20"/>
      <c r="P90" s="20"/>
      <c r="Q90" s="20"/>
      <c r="R90" s="20"/>
      <c r="S90" s="20"/>
      <c r="T90" s="20"/>
      <c r="U90" s="20"/>
      <c r="V90" s="20"/>
      <c r="W90" s="20"/>
      <c r="X90" s="20"/>
      <c r="Y90" s="20"/>
      <c r="Z90" s="20"/>
      <c r="AA90" s="20"/>
    </row>
    <row r="91" spans="1:27" ht="52.2" x14ac:dyDescent="0.25">
      <c r="A91" s="16"/>
      <c r="B91" s="20" t="b">
        <f ca="1">IFERROR(__xludf.DUMMYFUNCTION("if(D91=iferror(filter('Character Sheet'!D$13:D3002,'Character Sheet'!D$13:D3002=D91),""""),True,False)"),FALSE)</f>
        <v>0</v>
      </c>
      <c r="C91" s="20">
        <v>0</v>
      </c>
      <c r="D91" s="2" t="s">
        <v>261</v>
      </c>
      <c r="E91" s="2" t="s">
        <v>262</v>
      </c>
      <c r="F91" s="20" t="s">
        <v>53</v>
      </c>
      <c r="G91" s="2" t="s">
        <v>263</v>
      </c>
      <c r="H91" s="16"/>
      <c r="I91" s="20"/>
      <c r="J91" s="20"/>
      <c r="K91" s="20"/>
      <c r="L91" s="20"/>
      <c r="M91" s="20"/>
      <c r="N91" s="20"/>
      <c r="O91" s="20"/>
      <c r="P91" s="20"/>
      <c r="Q91" s="20"/>
      <c r="R91" s="20"/>
      <c r="S91" s="20"/>
      <c r="T91" s="20"/>
      <c r="U91" s="20"/>
      <c r="V91" s="20"/>
      <c r="W91" s="20"/>
      <c r="X91" s="20"/>
      <c r="Y91" s="20"/>
      <c r="Z91" s="20"/>
      <c r="AA91" s="20"/>
    </row>
    <row r="92" spans="1:27" ht="226.2" x14ac:dyDescent="0.25">
      <c r="A92" s="16"/>
      <c r="B92" s="20" t="b">
        <f ca="1">IFERROR(__xludf.DUMMYFUNCTION("if(D92=iferror(filter('Character Sheet'!D$13:D3002,'Character Sheet'!D$13:D3002=D92),""""),True,False)"),FALSE)</f>
        <v>0</v>
      </c>
      <c r="C92" s="20">
        <v>50</v>
      </c>
      <c r="D92" s="2" t="s">
        <v>264</v>
      </c>
      <c r="E92" s="2" t="s">
        <v>265</v>
      </c>
      <c r="F92" s="20" t="s">
        <v>53</v>
      </c>
      <c r="G92" s="2" t="s">
        <v>266</v>
      </c>
      <c r="H92" s="16"/>
      <c r="I92" s="20"/>
      <c r="J92" s="20"/>
      <c r="K92" s="20"/>
      <c r="L92" s="20"/>
      <c r="M92" s="20"/>
      <c r="N92" s="20"/>
      <c r="O92" s="20"/>
      <c r="P92" s="20"/>
      <c r="Q92" s="20"/>
      <c r="R92" s="20"/>
      <c r="S92" s="20"/>
      <c r="T92" s="20"/>
      <c r="U92" s="20"/>
      <c r="V92" s="20"/>
      <c r="W92" s="20"/>
      <c r="X92" s="20"/>
      <c r="Y92" s="20"/>
      <c r="Z92" s="20"/>
      <c r="AA92" s="20"/>
    </row>
    <row r="93" spans="1:27" ht="121.8" x14ac:dyDescent="0.25">
      <c r="A93" s="16"/>
      <c r="B93" s="20" t="b">
        <f ca="1">IFERROR(__xludf.DUMMYFUNCTION("if(D93=iferror(filter('Character Sheet'!D$13:D3002,'Character Sheet'!D$13:D3002=D93),""""),True,False)"),FALSE)</f>
        <v>0</v>
      </c>
      <c r="C93" s="20">
        <v>50</v>
      </c>
      <c r="D93" s="2" t="s">
        <v>267</v>
      </c>
      <c r="E93" s="2" t="s">
        <v>268</v>
      </c>
      <c r="F93" s="20" t="s">
        <v>53</v>
      </c>
      <c r="G93" s="2" t="s">
        <v>269</v>
      </c>
      <c r="H93" s="16"/>
      <c r="I93" s="20"/>
      <c r="J93" s="20"/>
      <c r="K93" s="20"/>
      <c r="L93" s="20"/>
      <c r="M93" s="20"/>
      <c r="N93" s="20"/>
      <c r="O93" s="20"/>
      <c r="P93" s="20"/>
      <c r="Q93" s="20"/>
      <c r="R93" s="20"/>
      <c r="S93" s="20"/>
      <c r="T93" s="20"/>
      <c r="U93" s="20"/>
      <c r="V93" s="20"/>
      <c r="W93" s="20"/>
      <c r="X93" s="20"/>
      <c r="Y93" s="20"/>
      <c r="Z93" s="20"/>
      <c r="AA93" s="20"/>
    </row>
    <row r="94" spans="1:27" ht="87" x14ac:dyDescent="0.25">
      <c r="A94" s="16"/>
      <c r="B94" s="20" t="b">
        <f ca="1">IFERROR(__xludf.DUMMYFUNCTION("if(D94=iferror(filter('Character Sheet'!D$13:D3002,'Character Sheet'!D$13:D3002=D94),""""),True,False)"),FALSE)</f>
        <v>0</v>
      </c>
      <c r="C94" s="20">
        <v>50</v>
      </c>
      <c r="D94" s="2" t="s">
        <v>270</v>
      </c>
      <c r="E94" s="2" t="s">
        <v>271</v>
      </c>
      <c r="F94" s="20" t="s">
        <v>53</v>
      </c>
      <c r="G94" s="2" t="s">
        <v>272</v>
      </c>
      <c r="H94" s="16"/>
      <c r="I94" s="20"/>
      <c r="J94" s="20"/>
      <c r="K94" s="20"/>
      <c r="L94" s="20"/>
      <c r="M94" s="20"/>
      <c r="N94" s="20"/>
      <c r="O94" s="20"/>
      <c r="P94" s="20"/>
      <c r="Q94" s="20"/>
      <c r="R94" s="20"/>
      <c r="S94" s="20"/>
      <c r="T94" s="20"/>
      <c r="U94" s="20"/>
      <c r="V94" s="20"/>
      <c r="W94" s="20"/>
      <c r="X94" s="20"/>
      <c r="Y94" s="20"/>
      <c r="Z94" s="20"/>
      <c r="AA94" s="20"/>
    </row>
    <row r="95" spans="1:27" ht="52.2" x14ac:dyDescent="0.25">
      <c r="A95" s="16"/>
      <c r="B95" s="20" t="b">
        <f ca="1">IFERROR(__xludf.DUMMYFUNCTION("if(D95=iferror(filter('Character Sheet'!D$13:D3002,'Character Sheet'!D$13:D3002=D95),""""),True,False)"),FALSE)</f>
        <v>0</v>
      </c>
      <c r="C95" s="20">
        <v>50</v>
      </c>
      <c r="D95" s="2" t="s">
        <v>273</v>
      </c>
      <c r="E95" s="2" t="s">
        <v>274</v>
      </c>
      <c r="F95" s="20" t="s">
        <v>53</v>
      </c>
      <c r="G95" s="2" t="s">
        <v>275</v>
      </c>
      <c r="H95" s="16"/>
      <c r="I95" s="20"/>
      <c r="J95" s="20"/>
      <c r="K95" s="20"/>
      <c r="L95" s="20"/>
      <c r="M95" s="20"/>
      <c r="N95" s="20"/>
      <c r="O95" s="20"/>
      <c r="P95" s="20"/>
      <c r="Q95" s="20"/>
      <c r="R95" s="20"/>
      <c r="S95" s="20"/>
      <c r="T95" s="20"/>
      <c r="U95" s="20"/>
      <c r="V95" s="20"/>
      <c r="W95" s="20"/>
      <c r="X95" s="20"/>
      <c r="Y95" s="20"/>
      <c r="Z95" s="20"/>
      <c r="AA95" s="20"/>
    </row>
    <row r="96" spans="1:27" ht="52.2" x14ac:dyDescent="0.25">
      <c r="A96" s="16"/>
      <c r="B96" s="20" t="b">
        <f ca="1">IFERROR(__xludf.DUMMYFUNCTION("if(D96=iferror(filter('Character Sheet'!D$13:D3002,'Character Sheet'!D$13:D3002=D96),""""),True,False)"),FALSE)</f>
        <v>0</v>
      </c>
      <c r="C96" s="20">
        <v>50</v>
      </c>
      <c r="D96" s="2" t="s">
        <v>276</v>
      </c>
      <c r="E96" s="2" t="s">
        <v>277</v>
      </c>
      <c r="F96" s="20" t="s">
        <v>53</v>
      </c>
      <c r="G96" s="2" t="s">
        <v>278</v>
      </c>
      <c r="H96" s="16"/>
      <c r="I96" s="20"/>
      <c r="J96" s="20"/>
      <c r="K96" s="20"/>
      <c r="L96" s="20"/>
      <c r="M96" s="20"/>
      <c r="N96" s="20"/>
      <c r="O96" s="20"/>
      <c r="P96" s="20"/>
      <c r="Q96" s="20"/>
      <c r="R96" s="20"/>
      <c r="S96" s="20"/>
      <c r="T96" s="20"/>
      <c r="U96" s="20"/>
      <c r="V96" s="20"/>
      <c r="W96" s="20"/>
      <c r="X96" s="20"/>
      <c r="Y96" s="20"/>
      <c r="Z96" s="20"/>
      <c r="AA96" s="20"/>
    </row>
    <row r="97" spans="1:27" ht="156.6" x14ac:dyDescent="0.25">
      <c r="A97" s="16"/>
      <c r="B97" s="20" t="b">
        <f ca="1">IFERROR(__xludf.DUMMYFUNCTION("if(D97=iferror(filter('Character Sheet'!D$13:D3002,'Character Sheet'!D$13:D3002=D97),""""),True,False)"),FALSE)</f>
        <v>0</v>
      </c>
      <c r="C97" s="20">
        <v>50</v>
      </c>
      <c r="D97" s="2" t="s">
        <v>279</v>
      </c>
      <c r="E97" s="2" t="s">
        <v>271</v>
      </c>
      <c r="F97" s="20" t="s">
        <v>53</v>
      </c>
      <c r="G97" s="2" t="s">
        <v>280</v>
      </c>
      <c r="H97" s="16"/>
      <c r="I97" s="20"/>
      <c r="J97" s="20"/>
      <c r="K97" s="20"/>
      <c r="L97" s="20"/>
      <c r="M97" s="20"/>
      <c r="N97" s="20"/>
      <c r="O97" s="20"/>
      <c r="P97" s="20"/>
      <c r="Q97" s="20"/>
      <c r="R97" s="20"/>
      <c r="S97" s="20"/>
      <c r="T97" s="20"/>
      <c r="U97" s="20"/>
      <c r="V97" s="20"/>
      <c r="W97" s="20"/>
      <c r="X97" s="20"/>
      <c r="Y97" s="20"/>
      <c r="Z97" s="20"/>
      <c r="AA97" s="20"/>
    </row>
    <row r="98" spans="1:27" ht="52.2" x14ac:dyDescent="0.25">
      <c r="A98" s="16"/>
      <c r="B98" s="20" t="b">
        <f ca="1">IFERROR(__xludf.DUMMYFUNCTION("if(D98=iferror(filter('Character Sheet'!D$13:D3002,'Character Sheet'!D$13:D3002=D98),""""),True,False)"),FALSE)</f>
        <v>0</v>
      </c>
      <c r="C98" s="20">
        <v>50</v>
      </c>
      <c r="D98" s="2" t="s">
        <v>281</v>
      </c>
      <c r="E98" s="2" t="s">
        <v>282</v>
      </c>
      <c r="F98" s="20" t="s">
        <v>53</v>
      </c>
      <c r="G98" s="2" t="s">
        <v>283</v>
      </c>
      <c r="H98" s="16"/>
      <c r="I98" s="20"/>
      <c r="J98" s="20"/>
      <c r="K98" s="20"/>
      <c r="L98" s="20"/>
      <c r="M98" s="20"/>
      <c r="N98" s="20"/>
      <c r="O98" s="20"/>
      <c r="P98" s="20"/>
      <c r="Q98" s="20"/>
      <c r="R98" s="20"/>
      <c r="S98" s="20"/>
      <c r="T98" s="20"/>
      <c r="U98" s="20"/>
      <c r="V98" s="20"/>
      <c r="W98" s="20"/>
      <c r="X98" s="20"/>
      <c r="Y98" s="20"/>
      <c r="Z98" s="20"/>
      <c r="AA98" s="20"/>
    </row>
    <row r="99" spans="1:27" ht="69.599999999999994" x14ac:dyDescent="0.25">
      <c r="A99" s="16"/>
      <c r="B99" s="20" t="b">
        <f ca="1">IFERROR(__xludf.DUMMYFUNCTION("if(D99=iferror(filter('Character Sheet'!D$13:D3002,'Character Sheet'!D$13:D3002=D99),""""),True,False)"),FALSE)</f>
        <v>0</v>
      </c>
      <c r="C99" s="20">
        <v>50</v>
      </c>
      <c r="D99" s="2" t="s">
        <v>284</v>
      </c>
      <c r="E99" s="2" t="s">
        <v>285</v>
      </c>
      <c r="F99" s="20" t="s">
        <v>53</v>
      </c>
      <c r="G99" s="2" t="s">
        <v>286</v>
      </c>
      <c r="H99" s="16"/>
      <c r="I99" s="20"/>
      <c r="J99" s="20"/>
      <c r="K99" s="20"/>
      <c r="L99" s="20"/>
      <c r="M99" s="20"/>
      <c r="N99" s="20"/>
      <c r="O99" s="20"/>
      <c r="P99" s="20"/>
      <c r="Q99" s="20"/>
      <c r="R99" s="20"/>
      <c r="S99" s="20"/>
      <c r="T99" s="20"/>
      <c r="U99" s="20"/>
      <c r="V99" s="20"/>
      <c r="W99" s="20"/>
      <c r="X99" s="20"/>
      <c r="Y99" s="20"/>
      <c r="Z99" s="20"/>
      <c r="AA99" s="20"/>
    </row>
    <row r="100" spans="1:27" ht="69.599999999999994" x14ac:dyDescent="0.25">
      <c r="A100" s="16"/>
      <c r="B100" s="20" t="b">
        <f ca="1">IFERROR(__xludf.DUMMYFUNCTION("if(D100=iferror(filter('Character Sheet'!D$13:D3002,'Character Sheet'!D$13:D3002=D100),""""),True,False)"),FALSE)</f>
        <v>0</v>
      </c>
      <c r="C100" s="20">
        <v>50</v>
      </c>
      <c r="D100" s="2" t="s">
        <v>287</v>
      </c>
      <c r="E100" s="2" t="s">
        <v>288</v>
      </c>
      <c r="F100" s="20" t="s">
        <v>53</v>
      </c>
      <c r="G100" s="2" t="s">
        <v>289</v>
      </c>
      <c r="H100" s="16"/>
      <c r="I100" s="20"/>
      <c r="J100" s="20"/>
      <c r="K100" s="20"/>
      <c r="L100" s="20"/>
      <c r="M100" s="20"/>
      <c r="N100" s="20"/>
      <c r="O100" s="20"/>
      <c r="P100" s="20"/>
      <c r="Q100" s="20"/>
      <c r="R100" s="20"/>
      <c r="S100" s="20"/>
      <c r="T100" s="20"/>
      <c r="U100" s="20"/>
      <c r="V100" s="20"/>
      <c r="W100" s="20"/>
      <c r="X100" s="20"/>
      <c r="Y100" s="20"/>
      <c r="Z100" s="20"/>
      <c r="AA100" s="20"/>
    </row>
    <row r="101" spans="1:27" ht="104.4" x14ac:dyDescent="0.25">
      <c r="A101" s="16"/>
      <c r="B101" s="20" t="b">
        <f ca="1">IFERROR(__xludf.DUMMYFUNCTION("if(D101=iferror(filter('Character Sheet'!D$13:D3002,'Character Sheet'!D$13:D3002=D101),""""),True,False)"),FALSE)</f>
        <v>0</v>
      </c>
      <c r="C101" s="20">
        <v>50</v>
      </c>
      <c r="D101" s="2" t="s">
        <v>290</v>
      </c>
      <c r="E101" s="20" t="s">
        <v>291</v>
      </c>
      <c r="F101" s="20" t="s">
        <v>55</v>
      </c>
      <c r="G101" s="2" t="s">
        <v>292</v>
      </c>
      <c r="H101" s="16"/>
      <c r="I101" s="20"/>
      <c r="J101" s="20"/>
      <c r="K101" s="20"/>
      <c r="L101" s="20"/>
      <c r="M101" s="20"/>
      <c r="N101" s="20"/>
      <c r="O101" s="20"/>
      <c r="P101" s="20"/>
      <c r="Q101" s="20"/>
      <c r="R101" s="20"/>
      <c r="S101" s="20"/>
      <c r="T101" s="20"/>
      <c r="U101" s="20"/>
      <c r="V101" s="20"/>
      <c r="W101" s="20"/>
      <c r="X101" s="20"/>
      <c r="Y101" s="20"/>
      <c r="Z101" s="20"/>
      <c r="AA101" s="20"/>
    </row>
    <row r="102" spans="1:27" ht="69.599999999999994" x14ac:dyDescent="0.25">
      <c r="A102" s="16"/>
      <c r="B102" s="20" t="b">
        <f ca="1">IFERROR(__xludf.DUMMYFUNCTION("if(D102=iferror(filter('Character Sheet'!D$13:D3002,'Character Sheet'!D$13:D3002=D102),""""),True,False)"),FALSE)</f>
        <v>0</v>
      </c>
      <c r="C102" s="20">
        <v>50</v>
      </c>
      <c r="D102" s="2" t="s">
        <v>293</v>
      </c>
      <c r="E102" s="2" t="s">
        <v>93</v>
      </c>
      <c r="F102" s="20" t="s">
        <v>53</v>
      </c>
      <c r="G102" s="2" t="s">
        <v>294</v>
      </c>
      <c r="H102" s="16"/>
      <c r="I102" s="20"/>
      <c r="J102" s="20"/>
      <c r="K102" s="20"/>
      <c r="L102" s="20"/>
      <c r="M102" s="20"/>
      <c r="N102" s="20"/>
      <c r="O102" s="20"/>
      <c r="P102" s="20"/>
      <c r="Q102" s="20"/>
      <c r="R102" s="20"/>
      <c r="S102" s="20"/>
      <c r="T102" s="20"/>
      <c r="U102" s="20"/>
      <c r="V102" s="20"/>
      <c r="W102" s="20"/>
      <c r="X102" s="20"/>
      <c r="Y102" s="20"/>
      <c r="Z102" s="20"/>
      <c r="AA102" s="20"/>
    </row>
    <row r="103" spans="1:27" ht="69.599999999999994" x14ac:dyDescent="0.25">
      <c r="A103" s="16"/>
      <c r="B103" s="20" t="b">
        <f ca="1">IFERROR(__xludf.DUMMYFUNCTION("if(D103=iferror(filter('Character Sheet'!D$13:D3002,'Character Sheet'!D$13:D3002=D103),""""),True,False)"),FALSE)</f>
        <v>0</v>
      </c>
      <c r="C103" s="20">
        <v>50</v>
      </c>
      <c r="D103" s="2" t="s">
        <v>295</v>
      </c>
      <c r="E103" s="2" t="s">
        <v>182</v>
      </c>
      <c r="F103" s="20" t="s">
        <v>53</v>
      </c>
      <c r="G103" s="2" t="s">
        <v>296</v>
      </c>
      <c r="H103" s="16"/>
      <c r="I103" s="20"/>
      <c r="J103" s="20"/>
      <c r="K103" s="20"/>
      <c r="L103" s="20"/>
      <c r="M103" s="20"/>
      <c r="N103" s="20"/>
      <c r="O103" s="20"/>
      <c r="P103" s="20"/>
      <c r="Q103" s="20"/>
      <c r="R103" s="20"/>
      <c r="S103" s="20"/>
      <c r="T103" s="20"/>
      <c r="U103" s="20"/>
      <c r="V103" s="20"/>
      <c r="W103" s="20"/>
      <c r="X103" s="20"/>
      <c r="Y103" s="20"/>
      <c r="Z103" s="20"/>
      <c r="AA103" s="20"/>
    </row>
    <row r="104" spans="1:27" ht="87" x14ac:dyDescent="0.25">
      <c r="A104" s="16"/>
      <c r="B104" s="20" t="b">
        <f ca="1">IFERROR(__xludf.DUMMYFUNCTION("if(D104=iferror(filter('Character Sheet'!D$13:D3002,'Character Sheet'!D$13:D3002=D104),""""),True,False)"),FALSE)</f>
        <v>0</v>
      </c>
      <c r="C104" s="20">
        <v>50</v>
      </c>
      <c r="D104" s="2" t="s">
        <v>297</v>
      </c>
      <c r="E104" s="2" t="s">
        <v>298</v>
      </c>
      <c r="F104" s="20" t="s">
        <v>53</v>
      </c>
      <c r="G104" s="2" t="s">
        <v>299</v>
      </c>
      <c r="H104" s="16"/>
      <c r="I104" s="20"/>
      <c r="J104" s="20"/>
      <c r="K104" s="20"/>
      <c r="L104" s="20"/>
      <c r="M104" s="20"/>
      <c r="N104" s="20"/>
      <c r="O104" s="20"/>
      <c r="P104" s="20"/>
      <c r="Q104" s="20"/>
      <c r="R104" s="20"/>
      <c r="S104" s="20"/>
      <c r="T104" s="20"/>
      <c r="U104" s="20"/>
      <c r="V104" s="20"/>
      <c r="W104" s="20"/>
      <c r="X104" s="20"/>
      <c r="Y104" s="20"/>
      <c r="Z104" s="20"/>
      <c r="AA104" s="20"/>
    </row>
    <row r="105" spans="1:27" ht="87" x14ac:dyDescent="0.25">
      <c r="A105" s="16"/>
      <c r="B105" s="20" t="b">
        <f ca="1">IFERROR(__xludf.DUMMYFUNCTION("if(D105=iferror(filter('Character Sheet'!D$13:D3002,'Character Sheet'!D$13:D3002=D105),""""),True,False)"),FALSE)</f>
        <v>0</v>
      </c>
      <c r="C105" s="20">
        <v>50</v>
      </c>
      <c r="D105" s="2" t="s">
        <v>300</v>
      </c>
      <c r="E105" s="2" t="s">
        <v>165</v>
      </c>
      <c r="F105" s="20" t="s">
        <v>53</v>
      </c>
      <c r="G105" s="2" t="s">
        <v>301</v>
      </c>
      <c r="H105" s="16"/>
      <c r="I105" s="20"/>
      <c r="J105" s="20"/>
      <c r="K105" s="20"/>
      <c r="L105" s="20"/>
      <c r="M105" s="20"/>
      <c r="N105" s="20"/>
      <c r="O105" s="20"/>
      <c r="P105" s="20"/>
      <c r="Q105" s="20"/>
      <c r="R105" s="20"/>
      <c r="S105" s="20"/>
      <c r="T105" s="20"/>
      <c r="U105" s="20"/>
      <c r="V105" s="20"/>
      <c r="W105" s="20"/>
      <c r="X105" s="20"/>
      <c r="Y105" s="20"/>
      <c r="Z105" s="20"/>
      <c r="AA105" s="20"/>
    </row>
    <row r="106" spans="1:27" ht="121.8" x14ac:dyDescent="0.25">
      <c r="A106" s="16"/>
      <c r="B106" s="20" t="b">
        <f ca="1">IFERROR(__xludf.DUMMYFUNCTION("if(D106=iferror(filter('Character Sheet'!D$13:D3002,'Character Sheet'!D$13:D3002=D106),""""),True,False)"),FALSE)</f>
        <v>0</v>
      </c>
      <c r="C106" s="20">
        <v>50</v>
      </c>
      <c r="D106" s="2" t="s">
        <v>302</v>
      </c>
      <c r="E106" s="2" t="s">
        <v>303</v>
      </c>
      <c r="F106" s="20" t="s">
        <v>53</v>
      </c>
      <c r="G106" s="2" t="s">
        <v>304</v>
      </c>
      <c r="H106" s="16"/>
      <c r="I106" s="20"/>
      <c r="J106" s="20"/>
      <c r="K106" s="20"/>
      <c r="L106" s="20"/>
      <c r="M106" s="20"/>
      <c r="N106" s="20"/>
      <c r="O106" s="20"/>
      <c r="P106" s="20"/>
      <c r="Q106" s="20"/>
      <c r="R106" s="20"/>
      <c r="S106" s="20"/>
      <c r="T106" s="20"/>
      <c r="U106" s="20"/>
      <c r="V106" s="20"/>
      <c r="W106" s="20"/>
      <c r="X106" s="20"/>
      <c r="Y106" s="20"/>
      <c r="Z106" s="20"/>
      <c r="AA106" s="20"/>
    </row>
    <row r="107" spans="1:27" ht="52.2" x14ac:dyDescent="0.25">
      <c r="A107" s="16"/>
      <c r="B107" s="20" t="b">
        <f ca="1">IFERROR(__xludf.DUMMYFUNCTION("if(D107=iferror(filter('Character Sheet'!D$13:D3002,'Character Sheet'!D$13:D3002=D107),""""),True,False)"),FALSE)</f>
        <v>0</v>
      </c>
      <c r="C107" s="20">
        <v>100</v>
      </c>
      <c r="D107" s="2" t="s">
        <v>305</v>
      </c>
      <c r="E107" s="2" t="s">
        <v>306</v>
      </c>
      <c r="F107" s="20" t="s">
        <v>53</v>
      </c>
      <c r="G107" s="2" t="s">
        <v>307</v>
      </c>
      <c r="H107" s="16"/>
      <c r="I107" s="20"/>
      <c r="J107" s="20"/>
      <c r="K107" s="20"/>
      <c r="L107" s="20"/>
      <c r="M107" s="20"/>
      <c r="N107" s="20"/>
      <c r="O107" s="20"/>
      <c r="P107" s="20"/>
      <c r="Q107" s="20"/>
      <c r="R107" s="20"/>
      <c r="S107" s="20"/>
      <c r="T107" s="20"/>
      <c r="U107" s="20"/>
      <c r="V107" s="20"/>
      <c r="W107" s="20"/>
      <c r="X107" s="20"/>
      <c r="Y107" s="20"/>
      <c r="Z107" s="20"/>
      <c r="AA107" s="20"/>
    </row>
    <row r="108" spans="1:27" ht="34.799999999999997" x14ac:dyDescent="0.25">
      <c r="A108" s="16"/>
      <c r="B108" s="20" t="b">
        <f ca="1">IFERROR(__xludf.DUMMYFUNCTION("if(D108=iferror(filter('Character Sheet'!D$13:D3002,'Character Sheet'!D$13:D3002=D108),""""),True,False)"),FALSE)</f>
        <v>0</v>
      </c>
      <c r="C108" s="20">
        <v>100</v>
      </c>
      <c r="D108" s="2" t="s">
        <v>308</v>
      </c>
      <c r="E108" s="2" t="s">
        <v>274</v>
      </c>
      <c r="F108" s="20" t="s">
        <v>53</v>
      </c>
      <c r="G108" s="2" t="s">
        <v>309</v>
      </c>
      <c r="H108" s="16"/>
      <c r="I108" s="20"/>
      <c r="J108" s="20"/>
      <c r="K108" s="20"/>
      <c r="L108" s="20"/>
      <c r="M108" s="20"/>
      <c r="N108" s="20"/>
      <c r="O108" s="20"/>
      <c r="P108" s="20"/>
      <c r="Q108" s="20"/>
      <c r="R108" s="20"/>
      <c r="S108" s="20"/>
      <c r="T108" s="20"/>
      <c r="U108" s="20"/>
      <c r="V108" s="20"/>
      <c r="W108" s="20"/>
      <c r="X108" s="20"/>
      <c r="Y108" s="20"/>
      <c r="Z108" s="20"/>
      <c r="AA108" s="20"/>
    </row>
    <row r="109" spans="1:27" ht="104.4" x14ac:dyDescent="0.25">
      <c r="A109" s="16"/>
      <c r="B109" s="20" t="b">
        <f ca="1">IFERROR(__xludf.DUMMYFUNCTION("if(D109=iferror(filter('Character Sheet'!D$13:D3002,'Character Sheet'!D$13:D3002=D109),""""),True,False)"),FALSE)</f>
        <v>0</v>
      </c>
      <c r="C109" s="20">
        <v>100</v>
      </c>
      <c r="D109" s="2" t="s">
        <v>310</v>
      </c>
      <c r="E109" s="2" t="s">
        <v>311</v>
      </c>
      <c r="F109" s="20" t="s">
        <v>53</v>
      </c>
      <c r="G109" s="2" t="s">
        <v>312</v>
      </c>
      <c r="H109" s="16"/>
      <c r="I109" s="20"/>
      <c r="J109" s="20"/>
      <c r="K109" s="20"/>
      <c r="L109" s="20"/>
      <c r="M109" s="20"/>
      <c r="N109" s="20"/>
      <c r="O109" s="20"/>
      <c r="P109" s="20"/>
      <c r="Q109" s="20"/>
      <c r="R109" s="20"/>
      <c r="S109" s="20"/>
      <c r="T109" s="20"/>
      <c r="U109" s="20"/>
      <c r="V109" s="20"/>
      <c r="W109" s="20"/>
      <c r="X109" s="20"/>
      <c r="Y109" s="20"/>
      <c r="Z109" s="20"/>
      <c r="AA109" s="20"/>
    </row>
    <row r="110" spans="1:27" ht="174" x14ac:dyDescent="0.25">
      <c r="A110" s="16"/>
      <c r="B110" s="20" t="b">
        <f ca="1">IFERROR(__xludf.DUMMYFUNCTION("if(D110=iferror(filter('Character Sheet'!D$13:D3002,'Character Sheet'!D$13:D3002=D110),""""),True,False)"),FALSE)</f>
        <v>0</v>
      </c>
      <c r="C110" s="20">
        <v>100</v>
      </c>
      <c r="D110" s="2" t="s">
        <v>313</v>
      </c>
      <c r="E110" s="2" t="s">
        <v>314</v>
      </c>
      <c r="F110" s="20" t="s">
        <v>53</v>
      </c>
      <c r="G110" s="2" t="s">
        <v>315</v>
      </c>
      <c r="H110" s="16"/>
      <c r="I110" s="20"/>
      <c r="J110" s="20"/>
      <c r="K110" s="20"/>
      <c r="L110" s="20"/>
      <c r="M110" s="20"/>
      <c r="N110" s="20"/>
      <c r="O110" s="20"/>
      <c r="P110" s="20"/>
      <c r="Q110" s="20"/>
      <c r="R110" s="20"/>
      <c r="S110" s="20"/>
      <c r="T110" s="20"/>
      <c r="U110" s="20"/>
      <c r="V110" s="20"/>
      <c r="W110" s="20"/>
      <c r="X110" s="20"/>
      <c r="Y110" s="20"/>
      <c r="Z110" s="20"/>
      <c r="AA110" s="20"/>
    </row>
    <row r="111" spans="1:27" ht="104.4" x14ac:dyDescent="0.25">
      <c r="A111" s="16"/>
      <c r="B111" s="20" t="b">
        <f ca="1">IFERROR(__xludf.DUMMYFUNCTION("if(D111=iferror(filter('Character Sheet'!D$13:D3002,'Character Sheet'!D$13:D3002=D111),""""),True,False)"),FALSE)</f>
        <v>0</v>
      </c>
      <c r="C111" s="20">
        <v>100</v>
      </c>
      <c r="D111" s="2" t="s">
        <v>316</v>
      </c>
      <c r="E111" s="2" t="s">
        <v>317</v>
      </c>
      <c r="F111" s="20" t="s">
        <v>53</v>
      </c>
      <c r="G111" s="2" t="s">
        <v>318</v>
      </c>
      <c r="H111" s="16"/>
      <c r="I111" s="20"/>
      <c r="J111" s="20"/>
      <c r="K111" s="20"/>
      <c r="L111" s="20"/>
      <c r="M111" s="20"/>
      <c r="N111" s="20"/>
      <c r="O111" s="20"/>
      <c r="P111" s="20"/>
      <c r="Q111" s="20"/>
      <c r="R111" s="20"/>
      <c r="S111" s="20"/>
      <c r="T111" s="20"/>
      <c r="U111" s="20"/>
      <c r="V111" s="20"/>
      <c r="W111" s="20"/>
      <c r="X111" s="20"/>
      <c r="Y111" s="20"/>
      <c r="Z111" s="20"/>
      <c r="AA111" s="20"/>
    </row>
    <row r="112" spans="1:27" ht="139.19999999999999" x14ac:dyDescent="0.25">
      <c r="A112" s="16"/>
      <c r="B112" s="20" t="b">
        <f ca="1">IFERROR(__xludf.DUMMYFUNCTION("if(D112=iferror(filter('Character Sheet'!D$13:D3002,'Character Sheet'!D$13:D3002=D112),""""),True,False)"),FALSE)</f>
        <v>0</v>
      </c>
      <c r="C112" s="20">
        <v>100</v>
      </c>
      <c r="D112" s="2" t="s">
        <v>319</v>
      </c>
      <c r="E112" s="2" t="s">
        <v>277</v>
      </c>
      <c r="F112" s="20" t="s">
        <v>53</v>
      </c>
      <c r="G112" s="2" t="s">
        <v>320</v>
      </c>
      <c r="H112" s="16"/>
      <c r="I112" s="20"/>
      <c r="J112" s="20"/>
      <c r="K112" s="20"/>
      <c r="L112" s="20"/>
      <c r="M112" s="20"/>
      <c r="N112" s="20"/>
      <c r="O112" s="20"/>
      <c r="P112" s="20"/>
      <c r="Q112" s="20"/>
      <c r="R112" s="20"/>
      <c r="S112" s="20"/>
      <c r="T112" s="20"/>
      <c r="U112" s="20"/>
      <c r="V112" s="20"/>
      <c r="W112" s="20"/>
      <c r="X112" s="20"/>
      <c r="Y112" s="20"/>
      <c r="Z112" s="20"/>
      <c r="AA112" s="20"/>
    </row>
    <row r="113" spans="1:27" ht="104.4" x14ac:dyDescent="0.25">
      <c r="A113" s="16"/>
      <c r="B113" s="20" t="b">
        <f ca="1">IFERROR(__xludf.DUMMYFUNCTION("if(D113=iferror(filter('Character Sheet'!D$13:D3002,'Character Sheet'!D$13:D3002=D113),""""),True,False)"),FALSE)</f>
        <v>0</v>
      </c>
      <c r="C113" s="20">
        <v>100</v>
      </c>
      <c r="D113" s="2" t="s">
        <v>321</v>
      </c>
      <c r="E113" s="2" t="s">
        <v>322</v>
      </c>
      <c r="F113" s="20" t="s">
        <v>53</v>
      </c>
      <c r="G113" s="2" t="s">
        <v>323</v>
      </c>
      <c r="H113" s="16"/>
      <c r="I113" s="20"/>
      <c r="J113" s="20"/>
      <c r="K113" s="20"/>
      <c r="L113" s="20"/>
      <c r="M113" s="20"/>
      <c r="N113" s="20"/>
      <c r="O113" s="20"/>
      <c r="P113" s="20"/>
      <c r="Q113" s="20"/>
      <c r="R113" s="20"/>
      <c r="S113" s="20"/>
      <c r="T113" s="20"/>
      <c r="U113" s="20"/>
      <c r="V113" s="20"/>
      <c r="W113" s="20"/>
      <c r="X113" s="20"/>
      <c r="Y113" s="20"/>
      <c r="Z113" s="20"/>
      <c r="AA113" s="20"/>
    </row>
    <row r="114" spans="1:27" ht="69.599999999999994" x14ac:dyDescent="0.25">
      <c r="A114" s="16"/>
      <c r="B114" s="20" t="b">
        <f ca="1">IFERROR(__xludf.DUMMYFUNCTION("if(D114=iferror(filter('Character Sheet'!D$13:D3002,'Character Sheet'!D$13:D3002=D114),""""),True,False)"),FALSE)</f>
        <v>0</v>
      </c>
      <c r="C114" s="20">
        <v>100</v>
      </c>
      <c r="D114" s="2" t="s">
        <v>324</v>
      </c>
      <c r="E114" s="2" t="s">
        <v>325</v>
      </c>
      <c r="F114" s="20" t="s">
        <v>53</v>
      </c>
      <c r="G114" s="2" t="s">
        <v>326</v>
      </c>
      <c r="H114" s="16"/>
      <c r="I114" s="20"/>
      <c r="J114" s="20"/>
      <c r="K114" s="20"/>
      <c r="L114" s="20"/>
      <c r="M114" s="20"/>
      <c r="N114" s="20"/>
      <c r="O114" s="20"/>
      <c r="P114" s="20"/>
      <c r="Q114" s="20"/>
      <c r="R114" s="20"/>
      <c r="S114" s="20"/>
      <c r="T114" s="20"/>
      <c r="U114" s="20"/>
      <c r="V114" s="20"/>
      <c r="W114" s="20"/>
      <c r="X114" s="20"/>
      <c r="Y114" s="20"/>
      <c r="Z114" s="20"/>
      <c r="AA114" s="20"/>
    </row>
    <row r="115" spans="1:27" ht="69.599999999999994" x14ac:dyDescent="0.25">
      <c r="A115" s="16"/>
      <c r="B115" s="20" t="b">
        <f ca="1">IFERROR(__xludf.DUMMYFUNCTION("if(D115=iferror(filter('Character Sheet'!D$13:D3002,'Character Sheet'!D$13:D3002=D115),""""),True,False)"),FALSE)</f>
        <v>0</v>
      </c>
      <c r="C115" s="20">
        <v>100</v>
      </c>
      <c r="D115" s="2" t="s">
        <v>327</v>
      </c>
      <c r="E115" s="2" t="s">
        <v>328</v>
      </c>
      <c r="F115" s="20" t="s">
        <v>53</v>
      </c>
      <c r="G115" s="2" t="s">
        <v>329</v>
      </c>
      <c r="H115" s="16"/>
      <c r="I115" s="20"/>
      <c r="J115" s="20"/>
      <c r="K115" s="20"/>
      <c r="L115" s="20"/>
      <c r="M115" s="20"/>
      <c r="N115" s="20"/>
      <c r="O115" s="20"/>
      <c r="P115" s="20"/>
      <c r="Q115" s="20"/>
      <c r="R115" s="20"/>
      <c r="S115" s="20"/>
      <c r="T115" s="20"/>
      <c r="U115" s="20"/>
      <c r="V115" s="20"/>
      <c r="W115" s="20"/>
      <c r="X115" s="20"/>
      <c r="Y115" s="20"/>
      <c r="Z115" s="20"/>
      <c r="AA115" s="20"/>
    </row>
    <row r="116" spans="1:27" ht="87" x14ac:dyDescent="0.25">
      <c r="A116" s="16"/>
      <c r="B116" s="20" t="b">
        <f ca="1">IFERROR(__xludf.DUMMYFUNCTION("if(D116=iferror(filter('Character Sheet'!D$13:D3002,'Character Sheet'!D$13:D3002=D116),""""),True,False)"),FALSE)</f>
        <v>0</v>
      </c>
      <c r="C116" s="20">
        <v>100</v>
      </c>
      <c r="D116" s="2" t="s">
        <v>330</v>
      </c>
      <c r="E116" s="2" t="s">
        <v>331</v>
      </c>
      <c r="F116" s="20" t="s">
        <v>53</v>
      </c>
      <c r="G116" s="2" t="s">
        <v>332</v>
      </c>
      <c r="H116" s="16"/>
      <c r="I116" s="20"/>
      <c r="J116" s="20"/>
      <c r="K116" s="20"/>
      <c r="L116" s="20"/>
      <c r="M116" s="20"/>
      <c r="N116" s="20"/>
      <c r="O116" s="20"/>
      <c r="P116" s="20"/>
      <c r="Q116" s="20"/>
      <c r="R116" s="20"/>
      <c r="S116" s="20"/>
      <c r="T116" s="20"/>
      <c r="U116" s="20"/>
      <c r="V116" s="20"/>
      <c r="W116" s="20"/>
      <c r="X116" s="20"/>
      <c r="Y116" s="20"/>
      <c r="Z116" s="20"/>
      <c r="AA116" s="20"/>
    </row>
    <row r="117" spans="1:27" ht="52.2" x14ac:dyDescent="0.25">
      <c r="A117" s="16"/>
      <c r="B117" s="20" t="b">
        <f ca="1">IFERROR(__xludf.DUMMYFUNCTION("if(D117=iferror(filter('Character Sheet'!D$13:D3002,'Character Sheet'!D$13:D3002=D117),""""),True,False)"),FALSE)</f>
        <v>0</v>
      </c>
      <c r="C117" s="20">
        <v>100</v>
      </c>
      <c r="D117" s="2" t="s">
        <v>333</v>
      </c>
      <c r="E117" s="2" t="s">
        <v>334</v>
      </c>
      <c r="F117" s="20" t="s">
        <v>53</v>
      </c>
      <c r="G117" s="2" t="s">
        <v>335</v>
      </c>
      <c r="H117" s="16"/>
      <c r="I117" s="20"/>
      <c r="J117" s="20"/>
      <c r="K117" s="20"/>
      <c r="L117" s="20"/>
      <c r="M117" s="20"/>
      <c r="N117" s="20"/>
      <c r="O117" s="20"/>
      <c r="P117" s="20"/>
      <c r="Q117" s="20"/>
      <c r="R117" s="20"/>
      <c r="S117" s="20"/>
      <c r="T117" s="20"/>
      <c r="U117" s="20"/>
      <c r="V117" s="20"/>
      <c r="W117" s="20"/>
      <c r="X117" s="20"/>
      <c r="Y117" s="20"/>
      <c r="Z117" s="20"/>
      <c r="AA117" s="20"/>
    </row>
    <row r="118" spans="1:27" ht="87" x14ac:dyDescent="0.25">
      <c r="A118" s="16"/>
      <c r="B118" s="20" t="b">
        <f ca="1">IFERROR(__xludf.DUMMYFUNCTION("if(D118=iferror(filter('Character Sheet'!D$13:D3002,'Character Sheet'!D$13:D3002=D118),""""),True,False)"),FALSE)</f>
        <v>0</v>
      </c>
      <c r="C118" s="20">
        <v>100</v>
      </c>
      <c r="D118" s="2" t="s">
        <v>336</v>
      </c>
      <c r="E118" s="2" t="s">
        <v>220</v>
      </c>
      <c r="F118" s="20" t="s">
        <v>53</v>
      </c>
      <c r="G118" s="2" t="s">
        <v>337</v>
      </c>
      <c r="H118" s="16"/>
      <c r="I118" s="20"/>
      <c r="J118" s="20"/>
      <c r="K118" s="20"/>
      <c r="L118" s="20"/>
      <c r="M118" s="20"/>
      <c r="N118" s="20"/>
      <c r="O118" s="20"/>
      <c r="P118" s="20"/>
      <c r="Q118" s="20"/>
      <c r="R118" s="20"/>
      <c r="S118" s="20"/>
      <c r="T118" s="20"/>
      <c r="U118" s="20"/>
      <c r="V118" s="20"/>
      <c r="W118" s="20"/>
      <c r="X118" s="20"/>
      <c r="Y118" s="20"/>
      <c r="Z118" s="20"/>
      <c r="AA118" s="20"/>
    </row>
    <row r="119" spans="1:27" ht="87" x14ac:dyDescent="0.25">
      <c r="A119" s="16"/>
      <c r="B119" s="20" t="b">
        <f ca="1">IFERROR(__xludf.DUMMYFUNCTION("if(D119=iferror(filter('Character Sheet'!D$13:D3002,'Character Sheet'!D$13:D3002=D119),""""),True,False)"),TRUE)</f>
        <v>1</v>
      </c>
      <c r="C119" s="20">
        <v>100</v>
      </c>
      <c r="D119" s="2" t="s">
        <v>36</v>
      </c>
      <c r="E119" s="2" t="s">
        <v>338</v>
      </c>
      <c r="F119" s="20" t="s">
        <v>53</v>
      </c>
      <c r="G119" s="2" t="s">
        <v>339</v>
      </c>
      <c r="H119" s="16"/>
      <c r="I119" s="20"/>
      <c r="J119" s="20"/>
      <c r="K119" s="20"/>
      <c r="L119" s="20"/>
      <c r="M119" s="20"/>
      <c r="N119" s="20"/>
      <c r="O119" s="20"/>
      <c r="P119" s="20"/>
      <c r="Q119" s="20"/>
      <c r="R119" s="20"/>
      <c r="S119" s="20"/>
      <c r="T119" s="20"/>
      <c r="U119" s="20"/>
      <c r="V119" s="20"/>
      <c r="W119" s="20"/>
      <c r="X119" s="20"/>
      <c r="Y119" s="20"/>
      <c r="Z119" s="20"/>
      <c r="AA119" s="20"/>
    </row>
    <row r="120" spans="1:27" ht="139.19999999999999" x14ac:dyDescent="0.25">
      <c r="A120" s="16"/>
      <c r="B120" s="20" t="b">
        <f ca="1">IFERROR(__xludf.DUMMYFUNCTION("if(D120=iferror(filter('Character Sheet'!D$13:D3002,'Character Sheet'!D$13:D3002=D120),""""),True,False)"),FALSE)</f>
        <v>0</v>
      </c>
      <c r="C120" s="20">
        <v>100</v>
      </c>
      <c r="D120" s="2" t="s">
        <v>340</v>
      </c>
      <c r="E120" s="2" t="s">
        <v>341</v>
      </c>
      <c r="F120" s="20" t="s">
        <v>53</v>
      </c>
      <c r="G120" s="2" t="s">
        <v>342</v>
      </c>
      <c r="H120" s="16"/>
      <c r="I120" s="20"/>
      <c r="J120" s="20"/>
      <c r="K120" s="20"/>
      <c r="L120" s="20"/>
      <c r="M120" s="20"/>
      <c r="N120" s="20"/>
      <c r="O120" s="20"/>
      <c r="P120" s="20"/>
      <c r="Q120" s="20"/>
      <c r="R120" s="20"/>
      <c r="S120" s="20"/>
      <c r="T120" s="20"/>
      <c r="U120" s="20"/>
      <c r="V120" s="20"/>
      <c r="W120" s="20"/>
      <c r="X120" s="20"/>
      <c r="Y120" s="20"/>
      <c r="Z120" s="20"/>
      <c r="AA120" s="20"/>
    </row>
    <row r="121" spans="1:27" ht="104.4" x14ac:dyDescent="0.25">
      <c r="A121" s="16"/>
      <c r="B121" s="20" t="b">
        <f ca="1">IFERROR(__xludf.DUMMYFUNCTION("if(D121=iferror(filter('Character Sheet'!D$13:D3002,'Character Sheet'!D$13:D3002=D121),""""),True,False)"),FALSE)</f>
        <v>0</v>
      </c>
      <c r="C121" s="20">
        <v>100</v>
      </c>
      <c r="D121" s="2" t="s">
        <v>343</v>
      </c>
      <c r="E121" s="2" t="s">
        <v>344</v>
      </c>
      <c r="F121" s="20" t="s">
        <v>53</v>
      </c>
      <c r="G121" s="2" t="s">
        <v>345</v>
      </c>
      <c r="H121" s="16"/>
      <c r="I121" s="20"/>
      <c r="J121" s="20"/>
      <c r="K121" s="20"/>
      <c r="L121" s="20"/>
      <c r="M121" s="20"/>
      <c r="N121" s="20"/>
      <c r="O121" s="20"/>
      <c r="P121" s="20"/>
      <c r="Q121" s="20"/>
      <c r="R121" s="20"/>
      <c r="S121" s="20"/>
      <c r="T121" s="20"/>
      <c r="U121" s="20"/>
      <c r="V121" s="20"/>
      <c r="W121" s="20"/>
      <c r="X121" s="20"/>
      <c r="Y121" s="20"/>
      <c r="Z121" s="20"/>
      <c r="AA121" s="20"/>
    </row>
    <row r="122" spans="1:27" ht="139.19999999999999" x14ac:dyDescent="0.25">
      <c r="A122" s="16"/>
      <c r="B122" s="20" t="b">
        <f ca="1">IFERROR(__xludf.DUMMYFUNCTION("if(D122=iferror(filter('Character Sheet'!D$13:D3002,'Character Sheet'!D$13:D3002=D122),""""),True,False)"),FALSE)</f>
        <v>0</v>
      </c>
      <c r="C122" s="20">
        <v>100</v>
      </c>
      <c r="D122" s="2" t="s">
        <v>346</v>
      </c>
      <c r="E122" s="2" t="s">
        <v>347</v>
      </c>
      <c r="F122" s="20" t="s">
        <v>53</v>
      </c>
      <c r="G122" s="2" t="s">
        <v>348</v>
      </c>
      <c r="H122" s="16"/>
      <c r="I122" s="20"/>
      <c r="J122" s="20"/>
      <c r="K122" s="20"/>
      <c r="L122" s="20"/>
      <c r="M122" s="20"/>
      <c r="N122" s="20"/>
      <c r="O122" s="20"/>
      <c r="P122" s="20"/>
      <c r="Q122" s="20"/>
      <c r="R122" s="20"/>
      <c r="S122" s="20"/>
      <c r="T122" s="20"/>
      <c r="U122" s="20"/>
      <c r="V122" s="20"/>
      <c r="W122" s="20"/>
      <c r="X122" s="20"/>
      <c r="Y122" s="20"/>
      <c r="Z122" s="20"/>
      <c r="AA122" s="20"/>
    </row>
    <row r="123" spans="1:27" ht="139.19999999999999" x14ac:dyDescent="0.25">
      <c r="A123" s="16"/>
      <c r="B123" s="20" t="b">
        <f ca="1">IFERROR(__xludf.DUMMYFUNCTION("if(D123=iferror(filter('Character Sheet'!D$13:D3002,'Character Sheet'!D$13:D3002=D123),""""),True,False)"),FALSE)</f>
        <v>0</v>
      </c>
      <c r="C123" s="20">
        <v>100</v>
      </c>
      <c r="D123" s="2" t="s">
        <v>349</v>
      </c>
      <c r="E123" s="2" t="s">
        <v>350</v>
      </c>
      <c r="F123" s="20" t="s">
        <v>53</v>
      </c>
      <c r="G123" s="2" t="s">
        <v>351</v>
      </c>
      <c r="H123" s="16"/>
      <c r="I123" s="20"/>
      <c r="J123" s="20"/>
      <c r="K123" s="20"/>
      <c r="L123" s="20"/>
      <c r="M123" s="20"/>
      <c r="N123" s="20"/>
      <c r="O123" s="20"/>
      <c r="P123" s="20"/>
      <c r="Q123" s="20"/>
      <c r="R123" s="20"/>
      <c r="S123" s="20"/>
      <c r="T123" s="20"/>
      <c r="U123" s="20"/>
      <c r="V123" s="20"/>
      <c r="W123" s="20"/>
      <c r="X123" s="20"/>
      <c r="Y123" s="20"/>
      <c r="Z123" s="20"/>
      <c r="AA123" s="20"/>
    </row>
    <row r="124" spans="1:27" ht="139.19999999999999" x14ac:dyDescent="0.25">
      <c r="A124" s="16"/>
      <c r="B124" s="20" t="b">
        <f ca="1">IFERROR(__xludf.DUMMYFUNCTION("if(D124=iferror(filter('Character Sheet'!D$13:D3002,'Character Sheet'!D$13:D3002=D124),""""),True,False)"),FALSE)</f>
        <v>0</v>
      </c>
      <c r="C124" s="20">
        <v>100</v>
      </c>
      <c r="D124" s="2" t="s">
        <v>352</v>
      </c>
      <c r="E124" s="2" t="s">
        <v>298</v>
      </c>
      <c r="F124" s="20" t="s">
        <v>53</v>
      </c>
      <c r="G124" s="2" t="s">
        <v>353</v>
      </c>
      <c r="H124" s="16"/>
      <c r="I124" s="20"/>
      <c r="J124" s="20"/>
      <c r="K124" s="20"/>
      <c r="L124" s="20"/>
      <c r="M124" s="20"/>
      <c r="N124" s="20"/>
      <c r="O124" s="20"/>
      <c r="P124" s="20"/>
      <c r="Q124" s="20"/>
      <c r="R124" s="20"/>
      <c r="S124" s="20"/>
      <c r="T124" s="20"/>
      <c r="U124" s="20"/>
      <c r="V124" s="20"/>
      <c r="W124" s="20"/>
      <c r="X124" s="20"/>
      <c r="Y124" s="20"/>
      <c r="Z124" s="20"/>
      <c r="AA124" s="20"/>
    </row>
    <row r="125" spans="1:27" ht="69.599999999999994" x14ac:dyDescent="0.25">
      <c r="A125" s="16"/>
      <c r="B125" s="20" t="b">
        <f ca="1">IFERROR(__xludf.DUMMYFUNCTION("if(D125=iferror(filter('Character Sheet'!D$13:D3002,'Character Sheet'!D$13:D3002=D125),""""),True,False)"),FALSE)</f>
        <v>0</v>
      </c>
      <c r="C125" s="20">
        <v>100</v>
      </c>
      <c r="D125" s="2" t="s">
        <v>354</v>
      </c>
      <c r="E125" s="2" t="s">
        <v>355</v>
      </c>
      <c r="F125" s="20" t="s">
        <v>53</v>
      </c>
      <c r="G125" s="2" t="s">
        <v>356</v>
      </c>
      <c r="H125" s="16"/>
      <c r="I125" s="20"/>
      <c r="J125" s="20"/>
      <c r="K125" s="20"/>
      <c r="L125" s="20"/>
      <c r="M125" s="20"/>
      <c r="N125" s="20"/>
      <c r="O125" s="20"/>
      <c r="P125" s="20"/>
      <c r="Q125" s="20"/>
      <c r="R125" s="20"/>
      <c r="S125" s="20"/>
      <c r="T125" s="20"/>
      <c r="U125" s="20"/>
      <c r="V125" s="20"/>
      <c r="W125" s="20"/>
      <c r="X125" s="20"/>
      <c r="Y125" s="20"/>
      <c r="Z125" s="20"/>
      <c r="AA125" s="20"/>
    </row>
    <row r="126" spans="1:27" ht="52.2" x14ac:dyDescent="0.25">
      <c r="A126" s="16"/>
      <c r="B126" s="20" t="b">
        <f ca="1">IFERROR(__xludf.DUMMYFUNCTION("if(D126=iferror(filter('Character Sheet'!D$13:D3002,'Character Sheet'!D$13:D3002=D126),""""),True,False)"),FALSE)</f>
        <v>0</v>
      </c>
      <c r="C126" s="20">
        <v>100</v>
      </c>
      <c r="D126" s="2" t="s">
        <v>357</v>
      </c>
      <c r="E126" s="2" t="s">
        <v>358</v>
      </c>
      <c r="F126" s="20" t="s">
        <v>53</v>
      </c>
      <c r="G126" s="2" t="s">
        <v>359</v>
      </c>
      <c r="H126" s="16"/>
      <c r="I126" s="20"/>
      <c r="J126" s="20"/>
      <c r="K126" s="20"/>
      <c r="L126" s="20"/>
      <c r="M126" s="20"/>
      <c r="N126" s="20"/>
      <c r="O126" s="20"/>
      <c r="P126" s="20"/>
      <c r="Q126" s="20"/>
      <c r="R126" s="20"/>
      <c r="S126" s="20"/>
      <c r="T126" s="20"/>
      <c r="U126" s="20"/>
      <c r="V126" s="20"/>
      <c r="W126" s="20"/>
      <c r="X126" s="20"/>
      <c r="Y126" s="20"/>
      <c r="Z126" s="20"/>
      <c r="AA126" s="20"/>
    </row>
    <row r="127" spans="1:27" ht="52.2" x14ac:dyDescent="0.25">
      <c r="A127" s="16"/>
      <c r="B127" s="20" t="b">
        <f ca="1">IFERROR(__xludf.DUMMYFUNCTION("if(D127=iferror(filter('Character Sheet'!D$13:D3002,'Character Sheet'!D$13:D3002=D127),""""),True,False)"),FALSE)</f>
        <v>0</v>
      </c>
      <c r="C127" s="20">
        <v>100</v>
      </c>
      <c r="D127" s="2" t="s">
        <v>360</v>
      </c>
      <c r="E127" s="2" t="s">
        <v>361</v>
      </c>
      <c r="F127" s="20" t="s">
        <v>53</v>
      </c>
      <c r="G127" s="2" t="s">
        <v>362</v>
      </c>
      <c r="H127" s="16"/>
      <c r="I127" s="20"/>
      <c r="J127" s="20"/>
      <c r="K127" s="20"/>
      <c r="L127" s="20"/>
      <c r="M127" s="20"/>
      <c r="N127" s="20"/>
      <c r="O127" s="20"/>
      <c r="P127" s="20"/>
      <c r="Q127" s="20"/>
      <c r="R127" s="20"/>
      <c r="S127" s="20"/>
      <c r="T127" s="20"/>
      <c r="U127" s="20"/>
      <c r="V127" s="20"/>
      <c r="W127" s="20"/>
      <c r="X127" s="20"/>
      <c r="Y127" s="20"/>
      <c r="Z127" s="20"/>
      <c r="AA127" s="20"/>
    </row>
    <row r="128" spans="1:27" ht="104.4" x14ac:dyDescent="0.25">
      <c r="A128" s="16"/>
      <c r="B128" s="20" t="b">
        <f ca="1">IFERROR(__xludf.DUMMYFUNCTION("if(D128=iferror(filter('Character Sheet'!D$13:D3002,'Character Sheet'!D$13:D3002=D128),""""),True,False)"),FALSE)</f>
        <v>0</v>
      </c>
      <c r="C128" s="20">
        <v>100</v>
      </c>
      <c r="D128" s="2" t="s">
        <v>363</v>
      </c>
      <c r="E128" s="2" t="s">
        <v>165</v>
      </c>
      <c r="F128" s="20" t="s">
        <v>53</v>
      </c>
      <c r="G128" s="2" t="s">
        <v>364</v>
      </c>
      <c r="H128" s="16"/>
      <c r="I128" s="20"/>
      <c r="J128" s="20"/>
      <c r="K128" s="20"/>
      <c r="L128" s="20"/>
      <c r="M128" s="20"/>
      <c r="N128" s="20"/>
      <c r="O128" s="20"/>
      <c r="P128" s="20"/>
      <c r="Q128" s="20"/>
      <c r="R128" s="20"/>
      <c r="S128" s="20"/>
      <c r="T128" s="20"/>
      <c r="U128" s="20"/>
      <c r="V128" s="20"/>
      <c r="W128" s="20"/>
      <c r="X128" s="20"/>
      <c r="Y128" s="20"/>
      <c r="Z128" s="20"/>
      <c r="AA128" s="20"/>
    </row>
    <row r="129" spans="1:27" ht="69.599999999999994" x14ac:dyDescent="0.25">
      <c r="A129" s="16"/>
      <c r="B129" s="20" t="b">
        <f ca="1">IFERROR(__xludf.DUMMYFUNCTION("if(D129=iferror(filter('Character Sheet'!D$13:D3002,'Character Sheet'!D$13:D3002=D129),""""),True,False)"),FALSE)</f>
        <v>0</v>
      </c>
      <c r="C129" s="20">
        <v>100</v>
      </c>
      <c r="D129" s="2" t="s">
        <v>365</v>
      </c>
      <c r="E129" s="2" t="s">
        <v>366</v>
      </c>
      <c r="F129" s="20" t="s">
        <v>53</v>
      </c>
      <c r="G129" s="2" t="s">
        <v>367</v>
      </c>
      <c r="H129" s="16"/>
      <c r="I129" s="20"/>
      <c r="J129" s="20"/>
      <c r="K129" s="20"/>
      <c r="L129" s="20"/>
      <c r="M129" s="20"/>
      <c r="N129" s="20"/>
      <c r="O129" s="20"/>
      <c r="P129" s="20"/>
      <c r="Q129" s="20"/>
      <c r="R129" s="20"/>
      <c r="S129" s="20"/>
      <c r="T129" s="20"/>
      <c r="U129" s="20"/>
      <c r="V129" s="20"/>
      <c r="W129" s="20"/>
      <c r="X129" s="20"/>
      <c r="Y129" s="20"/>
      <c r="Z129" s="20"/>
      <c r="AA129" s="20"/>
    </row>
    <row r="130" spans="1:27" ht="139.19999999999999" x14ac:dyDescent="0.25">
      <c r="A130" s="16"/>
      <c r="B130" s="20" t="b">
        <f ca="1">IFERROR(__xludf.DUMMYFUNCTION("if(D130=iferror(filter('Character Sheet'!D$13:D3002,'Character Sheet'!D$13:D3002=D130),""""),True,False)"),FALSE)</f>
        <v>0</v>
      </c>
      <c r="C130" s="20">
        <v>100</v>
      </c>
      <c r="D130" s="2" t="s">
        <v>368</v>
      </c>
      <c r="E130" s="2" t="s">
        <v>369</v>
      </c>
      <c r="F130" s="20" t="s">
        <v>53</v>
      </c>
      <c r="G130" s="2" t="s">
        <v>370</v>
      </c>
      <c r="H130" s="16"/>
      <c r="I130" s="20"/>
      <c r="J130" s="20"/>
      <c r="K130" s="20"/>
      <c r="L130" s="20"/>
      <c r="M130" s="20"/>
      <c r="N130" s="20"/>
      <c r="O130" s="20"/>
      <c r="P130" s="20"/>
      <c r="Q130" s="20"/>
      <c r="R130" s="20"/>
      <c r="S130" s="20"/>
      <c r="T130" s="20"/>
      <c r="U130" s="20"/>
      <c r="V130" s="20"/>
      <c r="W130" s="20"/>
      <c r="X130" s="20"/>
      <c r="Y130" s="20"/>
      <c r="Z130" s="20"/>
      <c r="AA130" s="20"/>
    </row>
    <row r="131" spans="1:27" ht="330.6" x14ac:dyDescent="0.25">
      <c r="A131" s="16"/>
      <c r="B131" s="20" t="b">
        <f ca="1">IFERROR(__xludf.DUMMYFUNCTION("if(D131=iferror(filter('Character Sheet'!D$13:D3002,'Character Sheet'!D$13:D3002=D131),""""),True,False)"),TRUE)</f>
        <v>1</v>
      </c>
      <c r="C131" s="20">
        <v>100</v>
      </c>
      <c r="D131" s="2" t="s">
        <v>32</v>
      </c>
      <c r="E131" s="2" t="s">
        <v>371</v>
      </c>
      <c r="F131" s="20" t="s">
        <v>53</v>
      </c>
      <c r="G131" s="2" t="s">
        <v>372</v>
      </c>
      <c r="H131" s="16"/>
      <c r="I131" s="20"/>
      <c r="J131" s="20"/>
      <c r="K131" s="20"/>
      <c r="L131" s="20"/>
      <c r="M131" s="20"/>
      <c r="N131" s="20"/>
      <c r="O131" s="20"/>
      <c r="P131" s="20"/>
      <c r="Q131" s="20"/>
      <c r="R131" s="20"/>
      <c r="S131" s="20"/>
      <c r="T131" s="20"/>
      <c r="U131" s="20"/>
      <c r="V131" s="20"/>
      <c r="W131" s="20"/>
      <c r="X131" s="20"/>
      <c r="Y131" s="20"/>
      <c r="Z131" s="20"/>
      <c r="AA131" s="20"/>
    </row>
    <row r="132" spans="1:27" ht="121.8" x14ac:dyDescent="0.25">
      <c r="A132" s="16"/>
      <c r="B132" s="20" t="b">
        <f ca="1">IFERROR(__xludf.DUMMYFUNCTION("if(D132=iferror(filter('Character Sheet'!D$13:D3002,'Character Sheet'!D$13:D3002=D132),""""),True,False)"),FALSE)</f>
        <v>0</v>
      </c>
      <c r="C132" s="20">
        <v>100</v>
      </c>
      <c r="D132" s="2" t="s">
        <v>373</v>
      </c>
      <c r="E132" s="2" t="s">
        <v>149</v>
      </c>
      <c r="F132" s="20" t="s">
        <v>53</v>
      </c>
      <c r="G132" s="2" t="s">
        <v>374</v>
      </c>
      <c r="H132" s="16"/>
      <c r="I132" s="20"/>
      <c r="J132" s="20"/>
      <c r="K132" s="20"/>
      <c r="L132" s="20"/>
      <c r="M132" s="20"/>
      <c r="N132" s="20"/>
      <c r="O132" s="20"/>
      <c r="P132" s="20"/>
      <c r="Q132" s="20"/>
      <c r="R132" s="20"/>
      <c r="S132" s="20"/>
      <c r="T132" s="20"/>
      <c r="U132" s="20"/>
      <c r="V132" s="20"/>
      <c r="W132" s="20"/>
      <c r="X132" s="20"/>
      <c r="Y132" s="20"/>
      <c r="Z132" s="20"/>
      <c r="AA132" s="20"/>
    </row>
    <row r="133" spans="1:27" ht="191.4" x14ac:dyDescent="0.25">
      <c r="A133" s="16"/>
      <c r="B133" s="20" t="b">
        <f ca="1">IFERROR(__xludf.DUMMYFUNCTION("if(D133=iferror(filter('Character Sheet'!D$13:D3002,'Character Sheet'!D$13:D3002=D133),""""),True,False)"),FALSE)</f>
        <v>0</v>
      </c>
      <c r="C133" s="20">
        <v>100</v>
      </c>
      <c r="D133" s="2" t="s">
        <v>375</v>
      </c>
      <c r="E133" s="2" t="s">
        <v>220</v>
      </c>
      <c r="F133" s="20" t="s">
        <v>53</v>
      </c>
      <c r="G133" s="2" t="s">
        <v>376</v>
      </c>
      <c r="H133" s="16"/>
      <c r="I133" s="20"/>
      <c r="J133" s="20"/>
      <c r="K133" s="20"/>
      <c r="L133" s="20"/>
      <c r="M133" s="20"/>
      <c r="N133" s="20"/>
      <c r="O133" s="20"/>
      <c r="P133" s="20"/>
      <c r="Q133" s="20"/>
      <c r="R133" s="20"/>
      <c r="S133" s="20"/>
      <c r="T133" s="20"/>
      <c r="U133" s="20"/>
      <c r="V133" s="20"/>
      <c r="W133" s="20"/>
      <c r="X133" s="20"/>
      <c r="Y133" s="20"/>
      <c r="Z133" s="20"/>
      <c r="AA133" s="20"/>
    </row>
    <row r="134" spans="1:27" ht="104.4" x14ac:dyDescent="0.25">
      <c r="A134" s="16"/>
      <c r="B134" s="20" t="b">
        <f ca="1">IFERROR(__xludf.DUMMYFUNCTION("if(D134=iferror(filter('Character Sheet'!D$13:D3002,'Character Sheet'!D$13:D3002=D134),""""),True,False)"),FALSE)</f>
        <v>0</v>
      </c>
      <c r="C134" s="20">
        <v>100</v>
      </c>
      <c r="D134" s="2" t="s">
        <v>377</v>
      </c>
      <c r="E134" s="2" t="s">
        <v>378</v>
      </c>
      <c r="F134" s="20" t="s">
        <v>53</v>
      </c>
      <c r="G134" s="2" t="s">
        <v>379</v>
      </c>
      <c r="H134" s="16"/>
      <c r="I134" s="20"/>
      <c r="J134" s="20"/>
      <c r="K134" s="20"/>
      <c r="L134" s="20"/>
      <c r="M134" s="20"/>
      <c r="N134" s="20"/>
      <c r="O134" s="20"/>
      <c r="P134" s="20"/>
      <c r="Q134" s="20"/>
      <c r="R134" s="20"/>
      <c r="S134" s="20"/>
      <c r="T134" s="20"/>
      <c r="U134" s="20"/>
      <c r="V134" s="20"/>
      <c r="W134" s="20"/>
      <c r="X134" s="20"/>
      <c r="Y134" s="20"/>
      <c r="Z134" s="20"/>
      <c r="AA134" s="20"/>
    </row>
    <row r="135" spans="1:27" ht="174" x14ac:dyDescent="0.25">
      <c r="A135" s="16"/>
      <c r="B135" s="20" t="b">
        <f ca="1">IFERROR(__xludf.DUMMYFUNCTION("if(D135=iferror(filter('Character Sheet'!D$13:D3002,'Character Sheet'!D$13:D3002=D135),""""),True,False)"),FALSE)</f>
        <v>0</v>
      </c>
      <c r="C135" s="20">
        <v>100</v>
      </c>
      <c r="D135" s="2" t="s">
        <v>380</v>
      </c>
      <c r="E135" s="2" t="s">
        <v>381</v>
      </c>
      <c r="F135" s="20" t="s">
        <v>53</v>
      </c>
      <c r="G135" s="2" t="s">
        <v>382</v>
      </c>
      <c r="H135" s="16"/>
      <c r="I135" s="20"/>
      <c r="J135" s="20"/>
      <c r="K135" s="20"/>
      <c r="L135" s="20"/>
      <c r="M135" s="20"/>
      <c r="N135" s="20"/>
      <c r="O135" s="20"/>
      <c r="P135" s="20"/>
      <c r="Q135" s="20"/>
      <c r="R135" s="20"/>
      <c r="S135" s="20"/>
      <c r="T135" s="20"/>
      <c r="U135" s="20"/>
      <c r="V135" s="20"/>
      <c r="W135" s="20"/>
      <c r="X135" s="20"/>
      <c r="Y135" s="20"/>
      <c r="Z135" s="20"/>
      <c r="AA135" s="20"/>
    </row>
    <row r="136" spans="1:27" ht="174" x14ac:dyDescent="0.25">
      <c r="A136" s="16"/>
      <c r="B136" s="20" t="b">
        <f ca="1">IFERROR(__xludf.DUMMYFUNCTION("if(D136=iferror(filter('Character Sheet'!D$13:D3002,'Character Sheet'!D$13:D3002=D136),""""),True,False)"),FALSE)</f>
        <v>0</v>
      </c>
      <c r="C136" s="20">
        <v>100</v>
      </c>
      <c r="D136" s="2" t="s">
        <v>383</v>
      </c>
      <c r="E136" s="2" t="s">
        <v>211</v>
      </c>
      <c r="F136" s="20" t="s">
        <v>53</v>
      </c>
      <c r="G136" s="2" t="s">
        <v>384</v>
      </c>
      <c r="H136" s="16"/>
      <c r="I136" s="20"/>
      <c r="J136" s="20"/>
      <c r="K136" s="20"/>
      <c r="L136" s="20"/>
      <c r="M136" s="20"/>
      <c r="N136" s="20"/>
      <c r="O136" s="20"/>
      <c r="P136" s="20"/>
      <c r="Q136" s="20"/>
      <c r="R136" s="20"/>
      <c r="S136" s="20"/>
      <c r="T136" s="20"/>
      <c r="U136" s="20"/>
      <c r="V136" s="20"/>
      <c r="W136" s="20"/>
      <c r="X136" s="20"/>
      <c r="Y136" s="20"/>
      <c r="Z136" s="20"/>
      <c r="AA136" s="20"/>
    </row>
    <row r="137" spans="1:27" ht="104.4" x14ac:dyDescent="0.25">
      <c r="A137" s="16"/>
      <c r="B137" s="20" t="b">
        <f ca="1">IFERROR(__xludf.DUMMYFUNCTION("if(D137=iferror(filter('Character Sheet'!D$13:D3002,'Character Sheet'!D$13:D3002=D137),""""),True,False)"),FALSE)</f>
        <v>0</v>
      </c>
      <c r="C137" s="20">
        <v>100</v>
      </c>
      <c r="D137" s="2" t="s">
        <v>385</v>
      </c>
      <c r="E137" s="2" t="s">
        <v>386</v>
      </c>
      <c r="F137" s="20" t="s">
        <v>53</v>
      </c>
      <c r="G137" s="2" t="s">
        <v>387</v>
      </c>
      <c r="H137" s="16"/>
      <c r="I137" s="20"/>
      <c r="J137" s="20"/>
      <c r="K137" s="20"/>
      <c r="L137" s="20"/>
      <c r="M137" s="20"/>
      <c r="N137" s="20"/>
      <c r="O137" s="20"/>
      <c r="P137" s="20"/>
      <c r="Q137" s="20"/>
      <c r="R137" s="20"/>
      <c r="S137" s="20"/>
      <c r="T137" s="20"/>
      <c r="U137" s="20"/>
      <c r="V137" s="20"/>
      <c r="W137" s="20"/>
      <c r="X137" s="20"/>
      <c r="Y137" s="20"/>
      <c r="Z137" s="20"/>
      <c r="AA137" s="20"/>
    </row>
    <row r="138" spans="1:27" ht="104.4" x14ac:dyDescent="0.25">
      <c r="A138" s="16"/>
      <c r="B138" s="20" t="b">
        <f ca="1">IFERROR(__xludf.DUMMYFUNCTION("if(D138=iferror(filter('Character Sheet'!D$13:D3002,'Character Sheet'!D$13:D3002=D138),""""),True,False)"),FALSE)</f>
        <v>0</v>
      </c>
      <c r="C138" s="20">
        <v>100</v>
      </c>
      <c r="D138" s="2" t="s">
        <v>388</v>
      </c>
      <c r="E138" s="2" t="s">
        <v>386</v>
      </c>
      <c r="F138" s="20" t="s">
        <v>53</v>
      </c>
      <c r="G138" s="2" t="s">
        <v>389</v>
      </c>
      <c r="H138" s="16"/>
      <c r="I138" s="20"/>
      <c r="J138" s="20"/>
      <c r="K138" s="20"/>
      <c r="L138" s="20"/>
      <c r="M138" s="20"/>
      <c r="N138" s="20"/>
      <c r="O138" s="20"/>
      <c r="P138" s="20"/>
      <c r="Q138" s="20"/>
      <c r="R138" s="20"/>
      <c r="S138" s="20"/>
      <c r="T138" s="20"/>
      <c r="U138" s="20"/>
      <c r="V138" s="20"/>
      <c r="W138" s="20"/>
      <c r="X138" s="20"/>
      <c r="Y138" s="20"/>
      <c r="Z138" s="20"/>
      <c r="AA138" s="20"/>
    </row>
    <row r="139" spans="1:27" ht="52.2" x14ac:dyDescent="0.25">
      <c r="A139" s="16"/>
      <c r="B139" s="20" t="b">
        <f ca="1">IFERROR(__xludf.DUMMYFUNCTION("if(D139=iferror(filter('Character Sheet'!D$13:D3002,'Character Sheet'!D$13:D3002=D139),""""),True,False)"),FALSE)</f>
        <v>0</v>
      </c>
      <c r="C139" s="20">
        <v>100</v>
      </c>
      <c r="D139" s="2" t="s">
        <v>390</v>
      </c>
      <c r="E139" s="2" t="s">
        <v>391</v>
      </c>
      <c r="F139" s="20" t="s">
        <v>53</v>
      </c>
      <c r="G139" s="2" t="s">
        <v>392</v>
      </c>
      <c r="H139" s="16"/>
      <c r="I139" s="20"/>
      <c r="J139" s="20"/>
      <c r="K139" s="20"/>
      <c r="L139" s="20"/>
      <c r="M139" s="20"/>
      <c r="N139" s="20"/>
      <c r="O139" s="20"/>
      <c r="P139" s="20"/>
      <c r="Q139" s="20"/>
      <c r="R139" s="20"/>
      <c r="S139" s="20"/>
      <c r="T139" s="20"/>
      <c r="U139" s="20"/>
      <c r="V139" s="20"/>
      <c r="W139" s="20"/>
      <c r="X139" s="20"/>
      <c r="Y139" s="20"/>
      <c r="Z139" s="20"/>
      <c r="AA139" s="20"/>
    </row>
    <row r="140" spans="1:27" ht="52.2" x14ac:dyDescent="0.25">
      <c r="A140" s="16"/>
      <c r="B140" s="20" t="b">
        <f ca="1">IFERROR(__xludf.DUMMYFUNCTION("if(D140=iferror(filter('Character Sheet'!D$13:D3002,'Character Sheet'!D$13:D3002=D140),""""),True,False)"),FALSE)</f>
        <v>0</v>
      </c>
      <c r="C140" s="20">
        <v>100</v>
      </c>
      <c r="D140" s="2" t="s">
        <v>393</v>
      </c>
      <c r="E140" s="2" t="s">
        <v>394</v>
      </c>
      <c r="F140" s="20" t="s">
        <v>53</v>
      </c>
      <c r="G140" s="2" t="s">
        <v>395</v>
      </c>
      <c r="H140" s="16"/>
      <c r="I140" s="20"/>
      <c r="J140" s="20"/>
      <c r="K140" s="20"/>
      <c r="L140" s="20"/>
      <c r="M140" s="20"/>
      <c r="N140" s="20"/>
      <c r="O140" s="20"/>
      <c r="P140" s="20"/>
      <c r="Q140" s="20"/>
      <c r="R140" s="20"/>
      <c r="S140" s="20"/>
      <c r="T140" s="20"/>
      <c r="U140" s="20"/>
      <c r="V140" s="20"/>
      <c r="W140" s="20"/>
      <c r="X140" s="20"/>
      <c r="Y140" s="20"/>
      <c r="Z140" s="20"/>
      <c r="AA140" s="20"/>
    </row>
    <row r="141" spans="1:27" ht="87" x14ac:dyDescent="0.25">
      <c r="A141" s="16"/>
      <c r="B141" s="20" t="b">
        <f ca="1">IFERROR(__xludf.DUMMYFUNCTION("if(D141=iferror(filter('Character Sheet'!D$13:D3002,'Character Sheet'!D$13:D3002=D141),""""),True,False)"),FALSE)</f>
        <v>0</v>
      </c>
      <c r="C141" s="20">
        <v>100</v>
      </c>
      <c r="D141" s="2" t="s">
        <v>396</v>
      </c>
      <c r="E141" s="2" t="s">
        <v>122</v>
      </c>
      <c r="F141" s="20" t="s">
        <v>53</v>
      </c>
      <c r="G141" s="2" t="s">
        <v>397</v>
      </c>
      <c r="H141" s="16"/>
      <c r="I141" s="20"/>
      <c r="J141" s="20"/>
      <c r="K141" s="20"/>
      <c r="L141" s="20"/>
      <c r="M141" s="20"/>
      <c r="N141" s="20"/>
      <c r="O141" s="20"/>
      <c r="P141" s="20"/>
      <c r="Q141" s="20"/>
      <c r="R141" s="20"/>
      <c r="S141" s="20"/>
      <c r="T141" s="20"/>
      <c r="U141" s="20"/>
      <c r="V141" s="20"/>
      <c r="W141" s="20"/>
      <c r="X141" s="20"/>
      <c r="Y141" s="20"/>
      <c r="Z141" s="20"/>
      <c r="AA141" s="20"/>
    </row>
    <row r="142" spans="1:27" ht="104.4" x14ac:dyDescent="0.25">
      <c r="A142" s="16"/>
      <c r="B142" s="20" t="b">
        <f ca="1">IFERROR(__xludf.DUMMYFUNCTION("if(D142=iferror(filter('Character Sheet'!D$13:D3002,'Character Sheet'!D$13:D3002=D142),""""),True,False)"),FALSE)</f>
        <v>0</v>
      </c>
      <c r="C142" s="20">
        <v>100</v>
      </c>
      <c r="D142" s="2" t="s">
        <v>398</v>
      </c>
      <c r="E142" s="2" t="s">
        <v>322</v>
      </c>
      <c r="F142" s="20" t="s">
        <v>53</v>
      </c>
      <c r="G142" s="2" t="s">
        <v>399</v>
      </c>
      <c r="H142" s="16"/>
      <c r="I142" s="20"/>
      <c r="J142" s="20"/>
      <c r="K142" s="20"/>
      <c r="L142" s="20"/>
      <c r="M142" s="20"/>
      <c r="N142" s="20"/>
      <c r="O142" s="20"/>
      <c r="P142" s="20"/>
      <c r="Q142" s="20"/>
      <c r="R142" s="20"/>
      <c r="S142" s="20"/>
      <c r="T142" s="20"/>
      <c r="U142" s="20"/>
      <c r="V142" s="20"/>
      <c r="W142" s="20"/>
      <c r="X142" s="20"/>
      <c r="Y142" s="20"/>
      <c r="Z142" s="20"/>
      <c r="AA142" s="20"/>
    </row>
    <row r="143" spans="1:27" ht="87" x14ac:dyDescent="0.25">
      <c r="A143" s="16"/>
      <c r="B143" s="20" t="b">
        <f ca="1">IFERROR(__xludf.DUMMYFUNCTION("if(D143=iferror(filter('Character Sheet'!D$13:D3002,'Character Sheet'!D$13:D3002=D143),""""),True,False)"),FALSE)</f>
        <v>0</v>
      </c>
      <c r="C143" s="20">
        <v>100</v>
      </c>
      <c r="D143" s="2" t="s">
        <v>400</v>
      </c>
      <c r="E143" s="2" t="s">
        <v>401</v>
      </c>
      <c r="F143" s="20" t="s">
        <v>53</v>
      </c>
      <c r="G143" s="2" t="s">
        <v>402</v>
      </c>
      <c r="H143" s="16"/>
      <c r="I143" s="20"/>
      <c r="J143" s="20"/>
      <c r="K143" s="20"/>
      <c r="L143" s="20"/>
      <c r="M143" s="20"/>
      <c r="N143" s="20"/>
      <c r="O143" s="20"/>
      <c r="P143" s="20"/>
      <c r="Q143" s="20"/>
      <c r="R143" s="20"/>
      <c r="S143" s="20"/>
      <c r="T143" s="20"/>
      <c r="U143" s="20"/>
      <c r="V143" s="20"/>
      <c r="W143" s="20"/>
      <c r="X143" s="20"/>
      <c r="Y143" s="20"/>
      <c r="Z143" s="20"/>
      <c r="AA143" s="20"/>
    </row>
    <row r="144" spans="1:27" ht="243.6" x14ac:dyDescent="0.25">
      <c r="A144" s="16"/>
      <c r="B144" s="20" t="b">
        <f ca="1">IFERROR(__xludf.DUMMYFUNCTION("if(D144=iferror(filter('Character Sheet'!D$13:D3002,'Character Sheet'!D$13:D3002=D144),""""),True,False)"),FALSE)</f>
        <v>0</v>
      </c>
      <c r="C144" s="20">
        <v>100</v>
      </c>
      <c r="D144" s="2" t="s">
        <v>403</v>
      </c>
      <c r="E144" s="2" t="s">
        <v>331</v>
      </c>
      <c r="F144" s="20" t="s">
        <v>53</v>
      </c>
      <c r="G144" s="2" t="s">
        <v>404</v>
      </c>
      <c r="H144" s="16"/>
      <c r="I144" s="20"/>
      <c r="J144" s="20"/>
      <c r="K144" s="20"/>
      <c r="L144" s="20"/>
      <c r="M144" s="20"/>
      <c r="N144" s="20"/>
      <c r="O144" s="20"/>
      <c r="P144" s="20"/>
      <c r="Q144" s="20"/>
      <c r="R144" s="20"/>
      <c r="S144" s="20"/>
      <c r="T144" s="20"/>
      <c r="U144" s="20"/>
      <c r="V144" s="20"/>
      <c r="W144" s="20"/>
      <c r="X144" s="20"/>
      <c r="Y144" s="20"/>
      <c r="Z144" s="20"/>
      <c r="AA144" s="20"/>
    </row>
    <row r="145" spans="1:27" ht="69.599999999999994" x14ac:dyDescent="0.25">
      <c r="A145" s="16"/>
      <c r="B145" s="20" t="b">
        <f ca="1">IFERROR(__xludf.DUMMYFUNCTION("if(D145=iferror(filter('Character Sheet'!D$13:D3002,'Character Sheet'!D$13:D3002=D145),""""),True,False)"),FALSE)</f>
        <v>0</v>
      </c>
      <c r="C145" s="20">
        <v>100</v>
      </c>
      <c r="D145" s="2" t="s">
        <v>405</v>
      </c>
      <c r="E145" s="2" t="s">
        <v>285</v>
      </c>
      <c r="F145" s="20" t="s">
        <v>53</v>
      </c>
      <c r="G145" s="2" t="s">
        <v>406</v>
      </c>
      <c r="H145" s="16"/>
      <c r="I145" s="20"/>
      <c r="J145" s="20"/>
      <c r="K145" s="20"/>
      <c r="L145" s="20"/>
      <c r="M145" s="20"/>
      <c r="N145" s="20"/>
      <c r="O145" s="20"/>
      <c r="P145" s="20"/>
      <c r="Q145" s="20"/>
      <c r="R145" s="20"/>
      <c r="S145" s="20"/>
      <c r="T145" s="20"/>
      <c r="U145" s="20"/>
      <c r="V145" s="20"/>
      <c r="W145" s="20"/>
      <c r="X145" s="20"/>
      <c r="Y145" s="20"/>
      <c r="Z145" s="20"/>
      <c r="AA145" s="20"/>
    </row>
    <row r="146" spans="1:27" ht="104.4" x14ac:dyDescent="0.25">
      <c r="A146" s="16"/>
      <c r="B146" s="20" t="b">
        <f ca="1">IFERROR(__xludf.DUMMYFUNCTION("if(D146=iferror(filter('Character Sheet'!D$13:D3002,'Character Sheet'!D$13:D3002=D146),""""),True,False)"),FALSE)</f>
        <v>0</v>
      </c>
      <c r="C146" s="20">
        <v>100</v>
      </c>
      <c r="D146" s="2" t="s">
        <v>407</v>
      </c>
      <c r="E146" s="2" t="s">
        <v>408</v>
      </c>
      <c r="F146" s="20" t="s">
        <v>53</v>
      </c>
      <c r="G146" s="2" t="s">
        <v>409</v>
      </c>
      <c r="H146" s="16"/>
      <c r="I146" s="20"/>
      <c r="J146" s="20"/>
      <c r="K146" s="20"/>
      <c r="L146" s="20"/>
      <c r="M146" s="20"/>
      <c r="N146" s="20"/>
      <c r="O146" s="20"/>
      <c r="P146" s="20"/>
      <c r="Q146" s="20"/>
      <c r="R146" s="20"/>
      <c r="S146" s="20"/>
      <c r="T146" s="20"/>
      <c r="U146" s="20"/>
      <c r="V146" s="20"/>
      <c r="W146" s="20"/>
      <c r="X146" s="20"/>
      <c r="Y146" s="20"/>
      <c r="Z146" s="20"/>
      <c r="AA146" s="20"/>
    </row>
    <row r="147" spans="1:27" ht="52.2" x14ac:dyDescent="0.25">
      <c r="A147" s="16"/>
      <c r="B147" s="20" t="b">
        <f ca="1">IFERROR(__xludf.DUMMYFUNCTION("if(D147=iferror(filter('Character Sheet'!D$13:D3002,'Character Sheet'!D$13:D3002=D147),""""),True,False)"),FALSE)</f>
        <v>0</v>
      </c>
      <c r="C147" s="20">
        <v>100</v>
      </c>
      <c r="D147" s="2" t="s">
        <v>410</v>
      </c>
      <c r="E147" s="2" t="s">
        <v>187</v>
      </c>
      <c r="F147" s="20" t="s">
        <v>53</v>
      </c>
      <c r="G147" s="2" t="s">
        <v>411</v>
      </c>
      <c r="H147" s="16"/>
      <c r="I147" s="20"/>
      <c r="J147" s="20"/>
      <c r="K147" s="20"/>
      <c r="L147" s="20"/>
      <c r="M147" s="20"/>
      <c r="N147" s="20"/>
      <c r="O147" s="20"/>
      <c r="P147" s="20"/>
      <c r="Q147" s="20"/>
      <c r="R147" s="20"/>
      <c r="S147" s="20"/>
      <c r="T147" s="20"/>
      <c r="U147" s="20"/>
      <c r="V147" s="20"/>
      <c r="W147" s="20"/>
      <c r="X147" s="20"/>
      <c r="Y147" s="20"/>
      <c r="Z147" s="20"/>
      <c r="AA147" s="20"/>
    </row>
    <row r="148" spans="1:27" ht="139.19999999999999" x14ac:dyDescent="0.25">
      <c r="A148" s="16"/>
      <c r="B148" s="20" t="b">
        <f ca="1">IFERROR(__xludf.DUMMYFUNCTION("if(D148=iferror(filter('Character Sheet'!D$13:D3002,'Character Sheet'!D$13:D3002=D148),""""),True,False)"),FALSE)</f>
        <v>0</v>
      </c>
      <c r="C148" s="20">
        <v>100</v>
      </c>
      <c r="D148" s="2" t="s">
        <v>412</v>
      </c>
      <c r="E148" s="2" t="s">
        <v>413</v>
      </c>
      <c r="F148" s="20" t="s">
        <v>53</v>
      </c>
      <c r="G148" s="2" t="s">
        <v>414</v>
      </c>
      <c r="H148" s="16"/>
      <c r="I148" s="20"/>
      <c r="J148" s="20"/>
      <c r="K148" s="20"/>
      <c r="L148" s="20"/>
      <c r="M148" s="20"/>
      <c r="N148" s="20"/>
      <c r="O148" s="20"/>
      <c r="P148" s="20"/>
      <c r="Q148" s="20"/>
      <c r="R148" s="20"/>
      <c r="S148" s="20"/>
      <c r="T148" s="20"/>
      <c r="U148" s="20"/>
      <c r="V148" s="20"/>
      <c r="W148" s="20"/>
      <c r="X148" s="20"/>
      <c r="Y148" s="20"/>
      <c r="Z148" s="20"/>
      <c r="AA148" s="20"/>
    </row>
    <row r="149" spans="1:27" ht="87" x14ac:dyDescent="0.25">
      <c r="A149" s="16"/>
      <c r="B149" s="20" t="b">
        <f ca="1">IFERROR(__xludf.DUMMYFUNCTION("if(D149=iferror(filter('Character Sheet'!D$13:D3002,'Character Sheet'!D$13:D3002=D149),""""),True,False)"),FALSE)</f>
        <v>0</v>
      </c>
      <c r="C149" s="20">
        <v>100</v>
      </c>
      <c r="D149" s="2" t="s">
        <v>415</v>
      </c>
      <c r="E149" s="2" t="s">
        <v>416</v>
      </c>
      <c r="F149" s="20" t="s">
        <v>53</v>
      </c>
      <c r="G149" s="2" t="s">
        <v>417</v>
      </c>
      <c r="H149" s="16"/>
      <c r="I149" s="20"/>
      <c r="J149" s="20"/>
      <c r="K149" s="20"/>
      <c r="L149" s="20"/>
      <c r="M149" s="20"/>
      <c r="N149" s="20"/>
      <c r="O149" s="20"/>
      <c r="P149" s="20"/>
      <c r="Q149" s="20"/>
      <c r="R149" s="20"/>
      <c r="S149" s="20"/>
      <c r="T149" s="20"/>
      <c r="U149" s="20"/>
      <c r="V149" s="20"/>
      <c r="W149" s="20"/>
      <c r="X149" s="20"/>
      <c r="Y149" s="20"/>
      <c r="Z149" s="20"/>
      <c r="AA149" s="20"/>
    </row>
    <row r="150" spans="1:27" ht="69.599999999999994" x14ac:dyDescent="0.25">
      <c r="A150" s="16"/>
      <c r="B150" s="20" t="b">
        <f ca="1">IFERROR(__xludf.DUMMYFUNCTION("if(D150=iferror(filter('Character Sheet'!D$13:D3002,'Character Sheet'!D$13:D3002=D150),""""),True,False)"),FALSE)</f>
        <v>0</v>
      </c>
      <c r="C150" s="20">
        <v>100</v>
      </c>
      <c r="D150" s="2" t="s">
        <v>418</v>
      </c>
      <c r="E150" s="2" t="s">
        <v>149</v>
      </c>
      <c r="F150" s="20" t="s">
        <v>53</v>
      </c>
      <c r="G150" s="2" t="s">
        <v>419</v>
      </c>
      <c r="H150" s="16"/>
      <c r="I150" s="20"/>
      <c r="J150" s="20"/>
      <c r="K150" s="20"/>
      <c r="L150" s="20"/>
      <c r="M150" s="20"/>
      <c r="N150" s="20"/>
      <c r="O150" s="20"/>
      <c r="P150" s="20"/>
      <c r="Q150" s="20"/>
      <c r="R150" s="20"/>
      <c r="S150" s="20"/>
      <c r="T150" s="20"/>
      <c r="U150" s="20"/>
      <c r="V150" s="20"/>
      <c r="W150" s="20"/>
      <c r="X150" s="20"/>
      <c r="Y150" s="20"/>
      <c r="Z150" s="20"/>
      <c r="AA150" s="20"/>
    </row>
    <row r="151" spans="1:27" ht="104.4" x14ac:dyDescent="0.25">
      <c r="A151" s="16"/>
      <c r="B151" s="20" t="b">
        <f ca="1">IFERROR(__xludf.DUMMYFUNCTION("if(D151=iferror(filter('Character Sheet'!D$13:D3002,'Character Sheet'!D$13:D3002=D151),""""),True,False)"),FALSE)</f>
        <v>0</v>
      </c>
      <c r="C151" s="20">
        <v>100</v>
      </c>
      <c r="D151" s="2" t="s">
        <v>420</v>
      </c>
      <c r="E151" s="2" t="s">
        <v>303</v>
      </c>
      <c r="F151" s="20" t="s">
        <v>53</v>
      </c>
      <c r="G151" s="2" t="s">
        <v>421</v>
      </c>
      <c r="H151" s="16"/>
      <c r="I151" s="20"/>
      <c r="J151" s="20"/>
      <c r="K151" s="20"/>
      <c r="L151" s="20"/>
      <c r="M151" s="20"/>
      <c r="N151" s="20"/>
      <c r="O151" s="20"/>
      <c r="P151" s="20"/>
      <c r="Q151" s="20"/>
      <c r="R151" s="20"/>
      <c r="S151" s="20"/>
      <c r="T151" s="20"/>
      <c r="U151" s="20"/>
      <c r="V151" s="20"/>
      <c r="W151" s="20"/>
      <c r="X151" s="20"/>
      <c r="Y151" s="20"/>
      <c r="Z151" s="20"/>
      <c r="AA151" s="20"/>
    </row>
    <row r="152" spans="1:27" ht="156.6" x14ac:dyDescent="0.25">
      <c r="A152" s="16"/>
      <c r="B152" s="20" t="b">
        <f ca="1">IFERROR(__xludf.DUMMYFUNCTION("if(D152=iferror(filter('Character Sheet'!D$13:D3002,'Character Sheet'!D$13:D3002=D152),""""),True,False)"),FALSE)</f>
        <v>0</v>
      </c>
      <c r="C152" s="20">
        <v>100</v>
      </c>
      <c r="D152" s="2" t="s">
        <v>422</v>
      </c>
      <c r="E152" s="2" t="s">
        <v>317</v>
      </c>
      <c r="F152" s="20" t="s">
        <v>53</v>
      </c>
      <c r="G152" s="2" t="s">
        <v>423</v>
      </c>
      <c r="H152" s="16"/>
      <c r="I152" s="20"/>
      <c r="J152" s="20"/>
      <c r="K152" s="20"/>
      <c r="L152" s="20"/>
      <c r="M152" s="20"/>
      <c r="N152" s="20"/>
      <c r="O152" s="20"/>
      <c r="P152" s="20"/>
      <c r="Q152" s="20"/>
      <c r="R152" s="20"/>
      <c r="S152" s="20"/>
      <c r="T152" s="20"/>
      <c r="U152" s="20"/>
      <c r="V152" s="20"/>
      <c r="W152" s="20"/>
      <c r="X152" s="20"/>
      <c r="Y152" s="20"/>
      <c r="Z152" s="20"/>
      <c r="AA152" s="20"/>
    </row>
    <row r="153" spans="1:27" ht="87" x14ac:dyDescent="0.25">
      <c r="A153" s="16"/>
      <c r="B153" s="20" t="b">
        <f ca="1">IFERROR(__xludf.DUMMYFUNCTION("if(D153=iferror(filter('Character Sheet'!D$13:D3002,'Character Sheet'!D$13:D3002=D153),""""),True,False)"),FALSE)</f>
        <v>0</v>
      </c>
      <c r="C153" s="20">
        <v>100</v>
      </c>
      <c r="D153" s="2" t="s">
        <v>424</v>
      </c>
      <c r="E153" s="2" t="s">
        <v>425</v>
      </c>
      <c r="F153" s="20" t="s">
        <v>53</v>
      </c>
      <c r="G153" s="2" t="s">
        <v>426</v>
      </c>
      <c r="H153" s="16"/>
      <c r="I153" s="20"/>
      <c r="J153" s="20"/>
      <c r="K153" s="20"/>
      <c r="L153" s="20"/>
      <c r="M153" s="20"/>
      <c r="N153" s="20"/>
      <c r="O153" s="20"/>
      <c r="P153" s="20"/>
      <c r="Q153" s="20"/>
      <c r="R153" s="20"/>
      <c r="S153" s="20"/>
      <c r="T153" s="20"/>
      <c r="U153" s="20"/>
      <c r="V153" s="20"/>
      <c r="W153" s="20"/>
      <c r="X153" s="20"/>
      <c r="Y153" s="20"/>
      <c r="Z153" s="20"/>
      <c r="AA153" s="20"/>
    </row>
    <row r="154" spans="1:27" ht="104.4" x14ac:dyDescent="0.25">
      <c r="A154" s="16"/>
      <c r="B154" s="20" t="b">
        <f ca="1">IFERROR(__xludf.DUMMYFUNCTION("if(D154=iferror(filter('Character Sheet'!D$13:D3002,'Character Sheet'!D$13:D3002=D154),""""),True,False)"),FALSE)</f>
        <v>0</v>
      </c>
      <c r="C154" s="20">
        <v>100</v>
      </c>
      <c r="D154" s="2" t="s">
        <v>427</v>
      </c>
      <c r="E154" s="2" t="s">
        <v>428</v>
      </c>
      <c r="F154" s="20" t="s">
        <v>53</v>
      </c>
      <c r="G154" s="2" t="s">
        <v>429</v>
      </c>
      <c r="H154" s="16"/>
      <c r="I154" s="20"/>
      <c r="J154" s="20"/>
      <c r="K154" s="20"/>
      <c r="L154" s="20"/>
      <c r="M154" s="20"/>
      <c r="N154" s="20"/>
      <c r="O154" s="20"/>
      <c r="P154" s="20"/>
      <c r="Q154" s="20"/>
      <c r="R154" s="20"/>
      <c r="S154" s="20"/>
      <c r="T154" s="20"/>
      <c r="U154" s="20"/>
      <c r="V154" s="20"/>
      <c r="W154" s="20"/>
      <c r="X154" s="20"/>
      <c r="Y154" s="20"/>
      <c r="Z154" s="20"/>
      <c r="AA154" s="20"/>
    </row>
    <row r="155" spans="1:27" ht="87" x14ac:dyDescent="0.25">
      <c r="A155" s="16"/>
      <c r="B155" s="20" t="b">
        <f ca="1">IFERROR(__xludf.DUMMYFUNCTION("if(D155=iferror(filter('Character Sheet'!D$13:D3002,'Character Sheet'!D$13:D3002=D155),""""),True,False)"),FALSE)</f>
        <v>0</v>
      </c>
      <c r="C155" s="20">
        <v>100</v>
      </c>
      <c r="D155" s="2" t="s">
        <v>430</v>
      </c>
      <c r="E155" s="2" t="s">
        <v>87</v>
      </c>
      <c r="F155" s="20" t="s">
        <v>53</v>
      </c>
      <c r="G155" s="2" t="s">
        <v>431</v>
      </c>
      <c r="H155" s="16"/>
      <c r="I155" s="20"/>
      <c r="J155" s="20"/>
      <c r="K155" s="20"/>
      <c r="L155" s="20"/>
      <c r="M155" s="20"/>
      <c r="N155" s="20"/>
      <c r="O155" s="20"/>
      <c r="P155" s="20"/>
      <c r="Q155" s="20"/>
      <c r="R155" s="20"/>
      <c r="S155" s="20"/>
      <c r="T155" s="20"/>
      <c r="U155" s="20"/>
      <c r="V155" s="20"/>
      <c r="W155" s="20"/>
      <c r="X155" s="20"/>
      <c r="Y155" s="20"/>
      <c r="Z155" s="20"/>
      <c r="AA155" s="20"/>
    </row>
    <row r="156" spans="1:27" ht="139.19999999999999" x14ac:dyDescent="0.25">
      <c r="A156" s="16"/>
      <c r="B156" s="20" t="b">
        <f ca="1">IFERROR(__xludf.DUMMYFUNCTION("if(D156=iferror(filter('Character Sheet'!D$13:D3002,'Character Sheet'!D$13:D3002=D156),""""),True,False)"),FALSE)</f>
        <v>0</v>
      </c>
      <c r="C156" s="20">
        <v>100</v>
      </c>
      <c r="D156" s="2" t="s">
        <v>432</v>
      </c>
      <c r="E156" s="2" t="s">
        <v>168</v>
      </c>
      <c r="F156" s="20" t="s">
        <v>53</v>
      </c>
      <c r="G156" s="2" t="s">
        <v>433</v>
      </c>
      <c r="H156" s="16"/>
      <c r="I156" s="20"/>
      <c r="J156" s="20"/>
      <c r="K156" s="20"/>
      <c r="L156" s="20"/>
      <c r="M156" s="20"/>
      <c r="N156" s="20"/>
      <c r="O156" s="20"/>
      <c r="P156" s="20"/>
      <c r="Q156" s="20"/>
      <c r="R156" s="20"/>
      <c r="S156" s="20"/>
      <c r="T156" s="20"/>
      <c r="U156" s="20"/>
      <c r="V156" s="20"/>
      <c r="W156" s="20"/>
      <c r="X156" s="20"/>
      <c r="Y156" s="20"/>
      <c r="Z156" s="20"/>
      <c r="AA156" s="20"/>
    </row>
    <row r="157" spans="1:27" ht="69.599999999999994" x14ac:dyDescent="0.25">
      <c r="A157" s="16"/>
      <c r="B157" s="20" t="b">
        <f ca="1">IFERROR(__xludf.DUMMYFUNCTION("if(D157=iferror(filter('Character Sheet'!D$13:D3002,'Character Sheet'!D$13:D3002=D157),""""),True,False)"),FALSE)</f>
        <v>0</v>
      </c>
      <c r="C157" s="20">
        <v>100</v>
      </c>
      <c r="D157" s="2" t="s">
        <v>434</v>
      </c>
      <c r="E157" s="2" t="s">
        <v>435</v>
      </c>
      <c r="F157" s="20" t="s">
        <v>53</v>
      </c>
      <c r="G157" s="2" t="s">
        <v>436</v>
      </c>
      <c r="H157" s="16"/>
      <c r="I157" s="20"/>
      <c r="J157" s="20"/>
      <c r="K157" s="20"/>
      <c r="L157" s="20"/>
      <c r="M157" s="20"/>
      <c r="N157" s="20"/>
      <c r="O157" s="20"/>
      <c r="P157" s="20"/>
      <c r="Q157" s="20"/>
      <c r="R157" s="20"/>
      <c r="S157" s="20"/>
      <c r="T157" s="20"/>
      <c r="U157" s="20"/>
      <c r="V157" s="20"/>
      <c r="W157" s="20"/>
      <c r="X157" s="20"/>
      <c r="Y157" s="20"/>
      <c r="Z157" s="20"/>
      <c r="AA157" s="20"/>
    </row>
    <row r="158" spans="1:27" ht="156.6" x14ac:dyDescent="0.25">
      <c r="A158" s="16"/>
      <c r="B158" s="20" t="b">
        <f ca="1">IFERROR(__xludf.DUMMYFUNCTION("if(D158=iferror(filter('Character Sheet'!D$13:D3002,'Character Sheet'!D$13:D3002=D158),""""),True,False)"),FALSE)</f>
        <v>0</v>
      </c>
      <c r="C158" s="20">
        <v>100</v>
      </c>
      <c r="D158" s="2" t="s">
        <v>437</v>
      </c>
      <c r="E158" s="2" t="s">
        <v>139</v>
      </c>
      <c r="F158" s="20" t="s">
        <v>53</v>
      </c>
      <c r="G158" s="2" t="s">
        <v>438</v>
      </c>
      <c r="H158" s="16"/>
      <c r="I158" s="20"/>
      <c r="J158" s="20"/>
      <c r="K158" s="20"/>
      <c r="L158" s="20"/>
      <c r="M158" s="20"/>
      <c r="N158" s="20"/>
      <c r="O158" s="20"/>
      <c r="P158" s="20"/>
      <c r="Q158" s="20"/>
      <c r="R158" s="20"/>
      <c r="S158" s="20"/>
      <c r="T158" s="20"/>
      <c r="U158" s="20"/>
      <c r="V158" s="20"/>
      <c r="W158" s="20"/>
      <c r="X158" s="20"/>
      <c r="Y158" s="20"/>
      <c r="Z158" s="20"/>
      <c r="AA158" s="20"/>
    </row>
    <row r="159" spans="1:27" ht="104.4" x14ac:dyDescent="0.25">
      <c r="A159" s="16"/>
      <c r="B159" s="20" t="b">
        <f ca="1">IFERROR(__xludf.DUMMYFUNCTION("if(D159=iferror(filter('Character Sheet'!D$13:D3002,'Character Sheet'!D$13:D3002=D159),""""),True,False)"),FALSE)</f>
        <v>0</v>
      </c>
      <c r="C159" s="20">
        <v>100</v>
      </c>
      <c r="D159" s="2" t="s">
        <v>439</v>
      </c>
      <c r="E159" s="2" t="s">
        <v>238</v>
      </c>
      <c r="F159" s="20" t="s">
        <v>53</v>
      </c>
      <c r="G159" s="2" t="s">
        <v>440</v>
      </c>
      <c r="H159" s="16"/>
      <c r="I159" s="20"/>
      <c r="J159" s="20"/>
      <c r="K159" s="20"/>
      <c r="L159" s="20"/>
      <c r="M159" s="20"/>
      <c r="N159" s="20"/>
      <c r="O159" s="20"/>
      <c r="P159" s="20"/>
      <c r="Q159" s="20"/>
      <c r="R159" s="20"/>
      <c r="S159" s="20"/>
      <c r="T159" s="20"/>
      <c r="U159" s="20"/>
      <c r="V159" s="20"/>
      <c r="W159" s="20"/>
      <c r="X159" s="20"/>
      <c r="Y159" s="20"/>
      <c r="Z159" s="20"/>
      <c r="AA159" s="20"/>
    </row>
    <row r="160" spans="1:27" ht="69.599999999999994" x14ac:dyDescent="0.25">
      <c r="A160" s="16"/>
      <c r="B160" s="20" t="b">
        <f ca="1">IFERROR(__xludf.DUMMYFUNCTION("if(D160=iferror(filter('Character Sheet'!D$13:D3002,'Character Sheet'!D$13:D3002=D160),""""),True,False)"),FALSE)</f>
        <v>0</v>
      </c>
      <c r="C160" s="20">
        <v>100</v>
      </c>
      <c r="D160" s="2" t="s">
        <v>441</v>
      </c>
      <c r="E160" s="2" t="s">
        <v>442</v>
      </c>
      <c r="F160" s="20" t="s">
        <v>53</v>
      </c>
      <c r="G160" s="2" t="s">
        <v>443</v>
      </c>
      <c r="H160" s="16"/>
      <c r="I160" s="20"/>
      <c r="J160" s="20"/>
      <c r="K160" s="20"/>
      <c r="L160" s="20"/>
      <c r="M160" s="20"/>
      <c r="N160" s="20"/>
      <c r="O160" s="20"/>
      <c r="P160" s="20"/>
      <c r="Q160" s="20"/>
      <c r="R160" s="20"/>
      <c r="S160" s="20"/>
      <c r="T160" s="20"/>
      <c r="U160" s="20"/>
      <c r="V160" s="20"/>
      <c r="W160" s="20"/>
      <c r="X160" s="20"/>
      <c r="Y160" s="20"/>
      <c r="Z160" s="20"/>
      <c r="AA160" s="20"/>
    </row>
    <row r="161" spans="1:27" ht="87" x14ac:dyDescent="0.25">
      <c r="A161" s="16"/>
      <c r="B161" s="20" t="b">
        <f ca="1">IFERROR(__xludf.DUMMYFUNCTION("if(D161=iferror(filter('Character Sheet'!D$13:D3002,'Character Sheet'!D$13:D3002=D161),""""),True,False)"),FALSE)</f>
        <v>0</v>
      </c>
      <c r="C161" s="20">
        <v>100</v>
      </c>
      <c r="D161" s="2" t="s">
        <v>444</v>
      </c>
      <c r="E161" s="2" t="s">
        <v>285</v>
      </c>
      <c r="F161" s="20" t="s">
        <v>53</v>
      </c>
      <c r="G161" s="2" t="s">
        <v>445</v>
      </c>
      <c r="H161" s="16"/>
      <c r="I161" s="20"/>
      <c r="J161" s="20"/>
      <c r="K161" s="20"/>
      <c r="L161" s="20"/>
      <c r="M161" s="20"/>
      <c r="N161" s="20"/>
      <c r="O161" s="20"/>
      <c r="P161" s="20"/>
      <c r="Q161" s="20"/>
      <c r="R161" s="20"/>
      <c r="S161" s="20"/>
      <c r="T161" s="20"/>
      <c r="U161" s="20"/>
      <c r="V161" s="20"/>
      <c r="W161" s="20"/>
      <c r="X161" s="20"/>
      <c r="Y161" s="20"/>
      <c r="Z161" s="20"/>
      <c r="AA161" s="20"/>
    </row>
    <row r="162" spans="1:27" ht="69.599999999999994" x14ac:dyDescent="0.25">
      <c r="A162" s="16"/>
      <c r="B162" s="20" t="b">
        <f ca="1">IFERROR(__xludf.DUMMYFUNCTION("if(D162=iferror(filter('Character Sheet'!D$13:D3002,'Character Sheet'!D$13:D3002=D162),""""),True,False)"),FALSE)</f>
        <v>0</v>
      </c>
      <c r="C162" s="20">
        <v>100</v>
      </c>
      <c r="D162" s="2" t="s">
        <v>446</v>
      </c>
      <c r="E162" s="2" t="s">
        <v>274</v>
      </c>
      <c r="F162" s="20" t="s">
        <v>53</v>
      </c>
      <c r="G162" s="2" t="s">
        <v>447</v>
      </c>
      <c r="H162" s="16"/>
      <c r="I162" s="20"/>
      <c r="J162" s="20"/>
      <c r="K162" s="20"/>
      <c r="L162" s="20"/>
      <c r="M162" s="20"/>
      <c r="N162" s="20"/>
      <c r="O162" s="20"/>
      <c r="P162" s="20"/>
      <c r="Q162" s="20"/>
      <c r="R162" s="20"/>
      <c r="S162" s="20"/>
      <c r="T162" s="20"/>
      <c r="U162" s="20"/>
      <c r="V162" s="20"/>
      <c r="W162" s="20"/>
      <c r="X162" s="20"/>
      <c r="Y162" s="20"/>
      <c r="Z162" s="20"/>
      <c r="AA162" s="20"/>
    </row>
    <row r="163" spans="1:27" ht="69.599999999999994" x14ac:dyDescent="0.25">
      <c r="A163" s="16"/>
      <c r="B163" s="20" t="b">
        <f ca="1">IFERROR(__xludf.DUMMYFUNCTION("if(D163=iferror(filter('Character Sheet'!D$13:D3002,'Character Sheet'!D$13:D3002=D163),""""),True,False)"),FALSE)</f>
        <v>0</v>
      </c>
      <c r="C163" s="20">
        <v>100</v>
      </c>
      <c r="D163" s="2" t="s">
        <v>448</v>
      </c>
      <c r="E163" s="2" t="s">
        <v>84</v>
      </c>
      <c r="F163" s="20" t="s">
        <v>53</v>
      </c>
      <c r="G163" s="2" t="s">
        <v>449</v>
      </c>
      <c r="H163" s="16"/>
      <c r="I163" s="20"/>
      <c r="J163" s="20"/>
      <c r="K163" s="20"/>
      <c r="L163" s="20"/>
      <c r="M163" s="20"/>
      <c r="N163" s="20"/>
      <c r="O163" s="20"/>
      <c r="P163" s="20"/>
      <c r="Q163" s="20"/>
      <c r="R163" s="20"/>
      <c r="S163" s="20"/>
      <c r="T163" s="20"/>
      <c r="U163" s="20"/>
      <c r="V163" s="20"/>
      <c r="W163" s="20"/>
      <c r="X163" s="20"/>
      <c r="Y163" s="20"/>
      <c r="Z163" s="20"/>
      <c r="AA163" s="20"/>
    </row>
    <row r="164" spans="1:27" ht="69.599999999999994" x14ac:dyDescent="0.25">
      <c r="A164" s="16"/>
      <c r="B164" s="20" t="b">
        <f ca="1">IFERROR(__xludf.DUMMYFUNCTION("if(D164=iferror(filter('Character Sheet'!D$13:D3002,'Character Sheet'!D$13:D3002=D164),""""),True,False)"),FALSE)</f>
        <v>0</v>
      </c>
      <c r="C164" s="20">
        <v>100</v>
      </c>
      <c r="D164" s="2" t="s">
        <v>450</v>
      </c>
      <c r="E164" s="2" t="s">
        <v>451</v>
      </c>
      <c r="F164" s="20" t="s">
        <v>53</v>
      </c>
      <c r="G164" s="2" t="s">
        <v>452</v>
      </c>
      <c r="H164" s="16"/>
      <c r="I164" s="20"/>
      <c r="J164" s="20"/>
      <c r="K164" s="20"/>
      <c r="L164" s="20"/>
      <c r="M164" s="20"/>
      <c r="N164" s="20"/>
      <c r="O164" s="20"/>
      <c r="P164" s="20"/>
      <c r="Q164" s="20"/>
      <c r="R164" s="20"/>
      <c r="S164" s="20"/>
      <c r="T164" s="20"/>
      <c r="U164" s="20"/>
      <c r="V164" s="20"/>
      <c r="W164" s="20"/>
      <c r="X164" s="20"/>
      <c r="Y164" s="20"/>
      <c r="Z164" s="20"/>
      <c r="AA164" s="20"/>
    </row>
    <row r="165" spans="1:27" ht="87" x14ac:dyDescent="0.25">
      <c r="A165" s="16"/>
      <c r="B165" s="20" t="b">
        <f ca="1">IFERROR(__xludf.DUMMYFUNCTION("if(D165=iferror(filter('Character Sheet'!D$13:D3002,'Character Sheet'!D$13:D3002=D165),""""),True,False)"),FALSE)</f>
        <v>0</v>
      </c>
      <c r="C165" s="20">
        <v>100</v>
      </c>
      <c r="D165" s="2" t="s">
        <v>453</v>
      </c>
      <c r="E165" s="2" t="s">
        <v>277</v>
      </c>
      <c r="F165" s="20" t="s">
        <v>53</v>
      </c>
      <c r="G165" s="2" t="s">
        <v>454</v>
      </c>
      <c r="H165" s="16"/>
      <c r="I165" s="20"/>
      <c r="J165" s="20"/>
      <c r="K165" s="20"/>
      <c r="L165" s="20"/>
      <c r="M165" s="20"/>
      <c r="N165" s="20"/>
      <c r="O165" s="20"/>
      <c r="P165" s="20"/>
      <c r="Q165" s="20"/>
      <c r="R165" s="20"/>
      <c r="S165" s="20"/>
      <c r="T165" s="20"/>
      <c r="U165" s="20"/>
      <c r="V165" s="20"/>
      <c r="W165" s="20"/>
      <c r="X165" s="20"/>
      <c r="Y165" s="20"/>
      <c r="Z165" s="20"/>
      <c r="AA165" s="20"/>
    </row>
    <row r="166" spans="1:27" ht="34.799999999999997" x14ac:dyDescent="0.25">
      <c r="A166" s="16"/>
      <c r="B166" s="20" t="b">
        <f ca="1">IFERROR(__xludf.DUMMYFUNCTION("if(D166=iferror(filter('Character Sheet'!D$13:D3002,'Character Sheet'!D$13:D3002=D166),""""),True,False)"),FALSE)</f>
        <v>0</v>
      </c>
      <c r="C166" s="20">
        <v>100</v>
      </c>
      <c r="D166" s="2" t="s">
        <v>455</v>
      </c>
      <c r="E166" s="2" t="s">
        <v>277</v>
      </c>
      <c r="F166" s="20" t="s">
        <v>53</v>
      </c>
      <c r="G166" s="2" t="s">
        <v>456</v>
      </c>
      <c r="H166" s="16"/>
      <c r="I166" s="20"/>
      <c r="J166" s="20"/>
      <c r="K166" s="20"/>
      <c r="L166" s="20"/>
      <c r="M166" s="20"/>
      <c r="N166" s="20"/>
      <c r="O166" s="20"/>
      <c r="P166" s="20"/>
      <c r="Q166" s="20"/>
      <c r="R166" s="20"/>
      <c r="S166" s="20"/>
      <c r="T166" s="20"/>
      <c r="U166" s="20"/>
      <c r="V166" s="20"/>
      <c r="W166" s="20"/>
      <c r="X166" s="20"/>
      <c r="Y166" s="20"/>
      <c r="Z166" s="20"/>
      <c r="AA166" s="20"/>
    </row>
    <row r="167" spans="1:27" ht="313.2" x14ac:dyDescent="0.25">
      <c r="A167" s="16"/>
      <c r="B167" s="20" t="b">
        <f ca="1">IFERROR(__xludf.DUMMYFUNCTION("if(D167=iferror(filter('Character Sheet'!D$13:D3002,'Character Sheet'!D$13:D3002=D167),""""),True,False)"),TRUE)</f>
        <v>1</v>
      </c>
      <c r="C167" s="20">
        <v>100</v>
      </c>
      <c r="D167" s="2" t="s">
        <v>31</v>
      </c>
      <c r="E167" s="2" t="s">
        <v>371</v>
      </c>
      <c r="F167" s="20" t="s">
        <v>53</v>
      </c>
      <c r="G167" s="2" t="s">
        <v>457</v>
      </c>
      <c r="H167" s="16"/>
      <c r="I167" s="20"/>
      <c r="J167" s="20"/>
      <c r="K167" s="20"/>
      <c r="L167" s="20"/>
      <c r="M167" s="20"/>
      <c r="N167" s="20"/>
      <c r="O167" s="20"/>
      <c r="P167" s="20"/>
      <c r="Q167" s="20"/>
      <c r="R167" s="20"/>
      <c r="S167" s="20"/>
      <c r="T167" s="20"/>
      <c r="U167" s="20"/>
      <c r="V167" s="20"/>
      <c r="W167" s="20"/>
      <c r="X167" s="20"/>
      <c r="Y167" s="20"/>
      <c r="Z167" s="20"/>
      <c r="AA167" s="20"/>
    </row>
    <row r="168" spans="1:27" ht="52.2" x14ac:dyDescent="0.25">
      <c r="A168" s="16"/>
      <c r="B168" s="20" t="b">
        <f ca="1">IFERROR(__xludf.DUMMYFUNCTION("if(D168=iferror(filter('Character Sheet'!D$13:D3002,'Character Sheet'!D$13:D3002=D168),""""),True,False)"),FALSE)</f>
        <v>0</v>
      </c>
      <c r="C168" s="20">
        <v>100</v>
      </c>
      <c r="D168" s="2" t="s">
        <v>458</v>
      </c>
      <c r="E168" s="2" t="s">
        <v>285</v>
      </c>
      <c r="F168" s="20" t="s">
        <v>53</v>
      </c>
      <c r="G168" s="2" t="s">
        <v>459</v>
      </c>
      <c r="H168" s="16"/>
      <c r="I168" s="20"/>
      <c r="J168" s="20"/>
      <c r="K168" s="20"/>
      <c r="L168" s="20"/>
      <c r="M168" s="20"/>
      <c r="N168" s="20"/>
      <c r="O168" s="20"/>
      <c r="P168" s="20"/>
      <c r="Q168" s="20"/>
      <c r="R168" s="20"/>
      <c r="S168" s="20"/>
      <c r="T168" s="20"/>
      <c r="U168" s="20"/>
      <c r="V168" s="20"/>
      <c r="W168" s="20"/>
      <c r="X168" s="20"/>
      <c r="Y168" s="20"/>
      <c r="Z168" s="20"/>
      <c r="AA168" s="20"/>
    </row>
    <row r="169" spans="1:27" ht="52.2" x14ac:dyDescent="0.25">
      <c r="A169" s="16"/>
      <c r="B169" s="20" t="b">
        <f ca="1">IFERROR(__xludf.DUMMYFUNCTION("if(D169=iferror(filter('Character Sheet'!D$13:D3002,'Character Sheet'!D$13:D3002=D169),""""),True,False)"),FALSE)</f>
        <v>0</v>
      </c>
      <c r="C169" s="20">
        <v>100</v>
      </c>
      <c r="D169" s="2" t="s">
        <v>460</v>
      </c>
      <c r="E169" s="2" t="s">
        <v>461</v>
      </c>
      <c r="F169" s="20" t="s">
        <v>53</v>
      </c>
      <c r="G169" s="2" t="s">
        <v>462</v>
      </c>
      <c r="H169" s="16"/>
      <c r="I169" s="20"/>
      <c r="J169" s="20"/>
      <c r="K169" s="20"/>
      <c r="L169" s="20"/>
      <c r="M169" s="20"/>
      <c r="N169" s="20"/>
      <c r="O169" s="20"/>
      <c r="P169" s="20"/>
      <c r="Q169" s="20"/>
      <c r="R169" s="20"/>
      <c r="S169" s="20"/>
      <c r="T169" s="20"/>
      <c r="U169" s="20"/>
      <c r="V169" s="20"/>
      <c r="W169" s="20"/>
      <c r="X169" s="20"/>
      <c r="Y169" s="20"/>
      <c r="Z169" s="20"/>
      <c r="AA169" s="20"/>
    </row>
    <row r="170" spans="1:27" ht="69.599999999999994" x14ac:dyDescent="0.25">
      <c r="A170" s="16"/>
      <c r="B170" s="20" t="b">
        <f ca="1">IFERROR(__xludf.DUMMYFUNCTION("if(D170=iferror(filter('Character Sheet'!D$13:D3002,'Character Sheet'!D$13:D3002=D170),""""),True,False)"),FALSE)</f>
        <v>0</v>
      </c>
      <c r="C170" s="20">
        <v>100</v>
      </c>
      <c r="D170" s="2" t="s">
        <v>463</v>
      </c>
      <c r="E170" s="2" t="s">
        <v>464</v>
      </c>
      <c r="F170" s="20" t="s">
        <v>53</v>
      </c>
      <c r="G170" s="2" t="s">
        <v>465</v>
      </c>
      <c r="H170" s="16"/>
      <c r="I170" s="20"/>
      <c r="J170" s="20"/>
      <c r="K170" s="20"/>
      <c r="L170" s="20"/>
      <c r="M170" s="20"/>
      <c r="N170" s="20"/>
      <c r="O170" s="20"/>
      <c r="P170" s="20"/>
      <c r="Q170" s="20"/>
      <c r="R170" s="20"/>
      <c r="S170" s="20"/>
      <c r="T170" s="20"/>
      <c r="U170" s="20"/>
      <c r="V170" s="20"/>
      <c r="W170" s="20"/>
      <c r="X170" s="20"/>
      <c r="Y170" s="20"/>
      <c r="Z170" s="20"/>
      <c r="AA170" s="20"/>
    </row>
    <row r="171" spans="1:27" ht="52.2" x14ac:dyDescent="0.25">
      <c r="A171" s="16"/>
      <c r="B171" s="20" t="b">
        <f ca="1">IFERROR(__xludf.DUMMYFUNCTION("if(D171=iferror(filter('Character Sheet'!D$13:D3002,'Character Sheet'!D$13:D3002=D171),""""),True,False)"),FALSE)</f>
        <v>0</v>
      </c>
      <c r="C171" s="20">
        <v>100</v>
      </c>
      <c r="D171" s="2" t="s">
        <v>466</v>
      </c>
      <c r="E171" s="2" t="s">
        <v>285</v>
      </c>
      <c r="F171" s="20" t="s">
        <v>53</v>
      </c>
      <c r="G171" s="2" t="s">
        <v>467</v>
      </c>
      <c r="H171" s="16"/>
      <c r="I171" s="20"/>
      <c r="J171" s="20"/>
      <c r="K171" s="20"/>
      <c r="L171" s="20"/>
      <c r="M171" s="20"/>
      <c r="N171" s="20"/>
      <c r="O171" s="20"/>
      <c r="P171" s="20"/>
      <c r="Q171" s="20"/>
      <c r="R171" s="20"/>
      <c r="S171" s="20"/>
      <c r="T171" s="20"/>
      <c r="U171" s="20"/>
      <c r="V171" s="20"/>
      <c r="W171" s="20"/>
      <c r="X171" s="20"/>
      <c r="Y171" s="20"/>
      <c r="Z171" s="20"/>
      <c r="AA171" s="20"/>
    </row>
    <row r="172" spans="1:27" ht="87" x14ac:dyDescent="0.25">
      <c r="A172" s="16"/>
      <c r="B172" s="20" t="b">
        <f ca="1">IFERROR(__xludf.DUMMYFUNCTION("if(D172=iferror(filter('Character Sheet'!D$13:D3002,'Character Sheet'!D$13:D3002=D172),""""),True,False)"),FALSE)</f>
        <v>0</v>
      </c>
      <c r="C172" s="20">
        <v>100</v>
      </c>
      <c r="D172" s="2" t="s">
        <v>468</v>
      </c>
      <c r="E172" s="2" t="s">
        <v>469</v>
      </c>
      <c r="F172" s="20" t="s">
        <v>53</v>
      </c>
      <c r="G172" s="2" t="s">
        <v>470</v>
      </c>
      <c r="H172" s="16"/>
      <c r="I172" s="20"/>
      <c r="J172" s="20"/>
      <c r="K172" s="20"/>
      <c r="L172" s="20"/>
      <c r="M172" s="20"/>
      <c r="N172" s="20"/>
      <c r="O172" s="20"/>
      <c r="P172" s="20"/>
      <c r="Q172" s="20"/>
      <c r="R172" s="20"/>
      <c r="S172" s="20"/>
      <c r="T172" s="20"/>
      <c r="U172" s="20"/>
      <c r="V172" s="20"/>
      <c r="W172" s="20"/>
      <c r="X172" s="20"/>
      <c r="Y172" s="20"/>
      <c r="Z172" s="20"/>
      <c r="AA172" s="20"/>
    </row>
    <row r="173" spans="1:27" ht="261" x14ac:dyDescent="0.25">
      <c r="A173" s="16"/>
      <c r="B173" s="20" t="b">
        <f ca="1">IFERROR(__xludf.DUMMYFUNCTION("if(D173=iferror(filter('Character Sheet'!D$13:D3002,'Character Sheet'!D$13:D3002=D173),""""),True,False)"),FALSE)</f>
        <v>0</v>
      </c>
      <c r="C173" s="20">
        <v>100</v>
      </c>
      <c r="D173" s="2" t="s">
        <v>471</v>
      </c>
      <c r="E173" s="2" t="s">
        <v>472</v>
      </c>
      <c r="F173" s="20" t="s">
        <v>53</v>
      </c>
      <c r="G173" s="2" t="s">
        <v>473</v>
      </c>
      <c r="H173" s="16"/>
      <c r="I173" s="20"/>
      <c r="J173" s="20"/>
      <c r="K173" s="20"/>
      <c r="L173" s="20"/>
      <c r="M173" s="20"/>
      <c r="N173" s="20"/>
      <c r="O173" s="20"/>
      <c r="P173" s="20"/>
      <c r="Q173" s="20"/>
      <c r="R173" s="20"/>
      <c r="S173" s="20"/>
      <c r="T173" s="20"/>
      <c r="U173" s="20"/>
      <c r="V173" s="20"/>
      <c r="W173" s="20"/>
      <c r="X173" s="20"/>
      <c r="Y173" s="20"/>
      <c r="Z173" s="20"/>
      <c r="AA173" s="20"/>
    </row>
    <row r="174" spans="1:27" ht="121.8" x14ac:dyDescent="0.25">
      <c r="A174" s="16"/>
      <c r="B174" s="20" t="b">
        <f ca="1">IFERROR(__xludf.DUMMYFUNCTION("if(D174=iferror(filter('Character Sheet'!D$13:D3002,'Character Sheet'!D$13:D3002=D174),""""),True,False)"),FALSE)</f>
        <v>0</v>
      </c>
      <c r="C174" s="20">
        <v>100</v>
      </c>
      <c r="D174" s="2" t="s">
        <v>474</v>
      </c>
      <c r="E174" s="2" t="s">
        <v>475</v>
      </c>
      <c r="F174" s="20" t="s">
        <v>53</v>
      </c>
      <c r="G174" s="2" t="s">
        <v>476</v>
      </c>
      <c r="H174" s="16"/>
      <c r="I174" s="20"/>
      <c r="J174" s="20"/>
      <c r="K174" s="20"/>
      <c r="L174" s="20"/>
      <c r="M174" s="20"/>
      <c r="N174" s="20"/>
      <c r="O174" s="20"/>
      <c r="P174" s="20"/>
      <c r="Q174" s="20"/>
      <c r="R174" s="20"/>
      <c r="S174" s="20"/>
      <c r="T174" s="20"/>
      <c r="U174" s="20"/>
      <c r="V174" s="20"/>
      <c r="W174" s="20"/>
      <c r="X174" s="20"/>
      <c r="Y174" s="20"/>
      <c r="Z174" s="20"/>
      <c r="AA174" s="20"/>
    </row>
    <row r="175" spans="1:27" ht="87" x14ac:dyDescent="0.25">
      <c r="A175" s="16"/>
      <c r="B175" s="20" t="b">
        <f ca="1">IFERROR(__xludf.DUMMYFUNCTION("if(D175=iferror(filter('Character Sheet'!D$13:D3002,'Character Sheet'!D$13:D3002=D175),""""),True,False)"),FALSE)</f>
        <v>0</v>
      </c>
      <c r="C175" s="20">
        <v>100</v>
      </c>
      <c r="D175" s="2" t="s">
        <v>477</v>
      </c>
      <c r="E175" s="2" t="s">
        <v>478</v>
      </c>
      <c r="F175" s="20" t="s">
        <v>53</v>
      </c>
      <c r="G175" s="2" t="s">
        <v>479</v>
      </c>
      <c r="H175" s="16"/>
      <c r="I175" s="20"/>
      <c r="J175" s="20"/>
      <c r="K175" s="20"/>
      <c r="L175" s="20"/>
      <c r="M175" s="20"/>
      <c r="N175" s="20"/>
      <c r="O175" s="20"/>
      <c r="P175" s="20"/>
      <c r="Q175" s="20"/>
      <c r="R175" s="20"/>
      <c r="S175" s="20"/>
      <c r="T175" s="20"/>
      <c r="U175" s="20"/>
      <c r="V175" s="20"/>
      <c r="W175" s="20"/>
      <c r="X175" s="20"/>
      <c r="Y175" s="20"/>
      <c r="Z175" s="20"/>
      <c r="AA175" s="20"/>
    </row>
    <row r="176" spans="1:27" ht="156.6" x14ac:dyDescent="0.25">
      <c r="A176" s="16"/>
      <c r="B176" s="20" t="b">
        <f ca="1">IFERROR(__xludf.DUMMYFUNCTION("if(D176=iferror(filter('Character Sheet'!D$13:D3002,'Character Sheet'!D$13:D3002=D176),""""),True,False)"),FALSE)</f>
        <v>0</v>
      </c>
      <c r="C176" s="20">
        <v>100</v>
      </c>
      <c r="D176" s="2" t="s">
        <v>480</v>
      </c>
      <c r="E176" s="2" t="s">
        <v>265</v>
      </c>
      <c r="F176" s="20" t="s">
        <v>53</v>
      </c>
      <c r="G176" s="2" t="s">
        <v>481</v>
      </c>
      <c r="H176" s="16"/>
      <c r="I176" s="20"/>
      <c r="J176" s="20"/>
      <c r="K176" s="20"/>
      <c r="L176" s="20"/>
      <c r="M176" s="20"/>
      <c r="N176" s="20"/>
      <c r="O176" s="20"/>
      <c r="P176" s="20"/>
      <c r="Q176" s="20"/>
      <c r="R176" s="20"/>
      <c r="S176" s="20"/>
      <c r="T176" s="20"/>
      <c r="U176" s="20"/>
      <c r="V176" s="20"/>
      <c r="W176" s="20"/>
      <c r="X176" s="20"/>
      <c r="Y176" s="20"/>
      <c r="Z176" s="20"/>
      <c r="AA176" s="20"/>
    </row>
    <row r="177" spans="1:27" ht="69.599999999999994" x14ac:dyDescent="0.25">
      <c r="A177" s="16"/>
      <c r="B177" s="20" t="b">
        <f ca="1">IFERROR(__xludf.DUMMYFUNCTION("if(D177=iferror(filter('Character Sheet'!D$13:D3002,'Character Sheet'!D$13:D3002=D177),""""),True,False)"),FALSE)</f>
        <v>0</v>
      </c>
      <c r="C177" s="20">
        <v>100</v>
      </c>
      <c r="D177" s="2" t="s">
        <v>482</v>
      </c>
      <c r="E177" s="2" t="s">
        <v>238</v>
      </c>
      <c r="F177" s="20" t="s">
        <v>53</v>
      </c>
      <c r="G177" s="2" t="s">
        <v>483</v>
      </c>
      <c r="H177" s="16"/>
      <c r="I177" s="20"/>
      <c r="J177" s="20"/>
      <c r="K177" s="20"/>
      <c r="L177" s="20"/>
      <c r="M177" s="20"/>
      <c r="N177" s="20"/>
      <c r="O177" s="20"/>
      <c r="P177" s="20"/>
      <c r="Q177" s="20"/>
      <c r="R177" s="20"/>
      <c r="S177" s="20"/>
      <c r="T177" s="20"/>
      <c r="U177" s="20"/>
      <c r="V177" s="20"/>
      <c r="W177" s="20"/>
      <c r="X177" s="20"/>
      <c r="Y177" s="20"/>
      <c r="Z177" s="20"/>
      <c r="AA177" s="20"/>
    </row>
    <row r="178" spans="1:27" ht="121.8" x14ac:dyDescent="0.25">
      <c r="A178" s="16"/>
      <c r="B178" s="20" t="b">
        <f ca="1">IFERROR(__xludf.DUMMYFUNCTION("if(D178=iferror(filter('Character Sheet'!D$13:D3002,'Character Sheet'!D$13:D3002=D178),""""),True,False)"),FALSE)</f>
        <v>0</v>
      </c>
      <c r="C178" s="20">
        <v>100</v>
      </c>
      <c r="D178" s="2" t="s">
        <v>484</v>
      </c>
      <c r="E178" s="2" t="s">
        <v>139</v>
      </c>
      <c r="F178" s="20" t="s">
        <v>53</v>
      </c>
      <c r="G178" s="2" t="s">
        <v>485</v>
      </c>
      <c r="H178" s="16"/>
      <c r="I178" s="20"/>
      <c r="J178" s="20"/>
      <c r="K178" s="20"/>
      <c r="L178" s="20"/>
      <c r="M178" s="20"/>
      <c r="N178" s="20"/>
      <c r="O178" s="20"/>
      <c r="P178" s="20"/>
      <c r="Q178" s="20"/>
      <c r="R178" s="20"/>
      <c r="S178" s="20"/>
      <c r="T178" s="20"/>
      <c r="U178" s="20"/>
      <c r="V178" s="20"/>
      <c r="W178" s="20"/>
      <c r="X178" s="20"/>
      <c r="Y178" s="20"/>
      <c r="Z178" s="20"/>
      <c r="AA178" s="20"/>
    </row>
    <row r="179" spans="1:27" ht="156.6" x14ac:dyDescent="0.25">
      <c r="A179" s="16"/>
      <c r="B179" s="20" t="b">
        <f ca="1">IFERROR(__xludf.DUMMYFUNCTION("if(D179=iferror(filter('Character Sheet'!D$13:D3002,'Character Sheet'!D$13:D3002=D179),""""),True,False)"),FALSE)</f>
        <v>0</v>
      </c>
      <c r="C179" s="20">
        <v>100</v>
      </c>
      <c r="D179" s="2" t="s">
        <v>486</v>
      </c>
      <c r="E179" s="2" t="s">
        <v>165</v>
      </c>
      <c r="F179" s="20" t="s">
        <v>53</v>
      </c>
      <c r="G179" s="2" t="s">
        <v>487</v>
      </c>
      <c r="H179" s="16"/>
      <c r="I179" s="20"/>
      <c r="J179" s="20"/>
      <c r="K179" s="20"/>
      <c r="L179" s="20"/>
      <c r="M179" s="20"/>
      <c r="N179" s="20"/>
      <c r="O179" s="20"/>
      <c r="P179" s="20"/>
      <c r="Q179" s="20"/>
      <c r="R179" s="20"/>
      <c r="S179" s="20"/>
      <c r="T179" s="20"/>
      <c r="U179" s="20"/>
      <c r="V179" s="20"/>
      <c r="W179" s="20"/>
      <c r="X179" s="20"/>
      <c r="Y179" s="20"/>
      <c r="Z179" s="20"/>
      <c r="AA179" s="20"/>
    </row>
    <row r="180" spans="1:27" ht="104.4" x14ac:dyDescent="0.25">
      <c r="A180" s="16"/>
      <c r="B180" s="20" t="b">
        <f ca="1">IFERROR(__xludf.DUMMYFUNCTION("if(D180=iferror(filter('Character Sheet'!D$13:D3002,'Character Sheet'!D$13:D3002=D180),""""),True,False)"),FALSE)</f>
        <v>0</v>
      </c>
      <c r="C180" s="20">
        <v>100</v>
      </c>
      <c r="D180" s="2" t="s">
        <v>488</v>
      </c>
      <c r="E180" s="2" t="s">
        <v>298</v>
      </c>
      <c r="F180" s="20" t="s">
        <v>53</v>
      </c>
      <c r="G180" s="2" t="s">
        <v>489</v>
      </c>
      <c r="H180" s="16"/>
      <c r="I180" s="20"/>
      <c r="J180" s="20"/>
      <c r="K180" s="20"/>
      <c r="L180" s="20"/>
      <c r="M180" s="20"/>
      <c r="N180" s="20"/>
      <c r="O180" s="20"/>
      <c r="P180" s="20"/>
      <c r="Q180" s="20"/>
      <c r="R180" s="20"/>
      <c r="S180" s="20"/>
      <c r="T180" s="20"/>
      <c r="U180" s="20"/>
      <c r="V180" s="20"/>
      <c r="W180" s="20"/>
      <c r="X180" s="20"/>
      <c r="Y180" s="20"/>
      <c r="Z180" s="20"/>
      <c r="AA180" s="20"/>
    </row>
    <row r="181" spans="1:27" ht="69.599999999999994" x14ac:dyDescent="0.25">
      <c r="A181" s="16"/>
      <c r="B181" s="20" t="b">
        <f ca="1">IFERROR(__xludf.DUMMYFUNCTION("if(D181=iferror(filter('Character Sheet'!D$13:D3002,'Character Sheet'!D$13:D3002=D181),""""),True,False)"),FALSE)</f>
        <v>0</v>
      </c>
      <c r="C181" s="20">
        <v>100</v>
      </c>
      <c r="D181" s="2" t="s">
        <v>490</v>
      </c>
      <c r="E181" s="2" t="s">
        <v>401</v>
      </c>
      <c r="F181" s="20" t="s">
        <v>53</v>
      </c>
      <c r="G181" s="2" t="s">
        <v>491</v>
      </c>
      <c r="H181" s="16"/>
      <c r="I181" s="20"/>
      <c r="J181" s="20"/>
      <c r="K181" s="20"/>
      <c r="L181" s="20"/>
      <c r="M181" s="20"/>
      <c r="N181" s="20"/>
      <c r="O181" s="20"/>
      <c r="P181" s="20"/>
      <c r="Q181" s="20"/>
      <c r="R181" s="20"/>
      <c r="S181" s="20"/>
      <c r="T181" s="20"/>
      <c r="U181" s="20"/>
      <c r="V181" s="20"/>
      <c r="W181" s="20"/>
      <c r="X181" s="20"/>
      <c r="Y181" s="20"/>
      <c r="Z181" s="20"/>
      <c r="AA181" s="20"/>
    </row>
    <row r="182" spans="1:27" ht="34.799999999999997" x14ac:dyDescent="0.25">
      <c r="A182" s="16"/>
      <c r="B182" s="20" t="b">
        <f ca="1">IFERROR(__xludf.DUMMYFUNCTION("if(D182=iferror(filter('Character Sheet'!D$13:D3002,'Character Sheet'!D$13:D3002=D182),""""),True,False)"),FALSE)</f>
        <v>0</v>
      </c>
      <c r="C182" s="20">
        <v>100</v>
      </c>
      <c r="D182" s="2" t="s">
        <v>492</v>
      </c>
      <c r="E182" s="2" t="s">
        <v>288</v>
      </c>
      <c r="F182" s="20" t="s">
        <v>53</v>
      </c>
      <c r="G182" s="2" t="s">
        <v>493</v>
      </c>
      <c r="H182" s="16"/>
      <c r="I182" s="20"/>
      <c r="J182" s="20"/>
      <c r="K182" s="20"/>
      <c r="L182" s="20"/>
      <c r="M182" s="20"/>
      <c r="N182" s="20"/>
      <c r="O182" s="20"/>
      <c r="P182" s="20"/>
      <c r="Q182" s="20"/>
      <c r="R182" s="20"/>
      <c r="S182" s="20"/>
      <c r="T182" s="20"/>
      <c r="U182" s="20"/>
      <c r="V182" s="20"/>
      <c r="W182" s="20"/>
      <c r="X182" s="20"/>
      <c r="Y182" s="20"/>
      <c r="Z182" s="20"/>
      <c r="AA182" s="20"/>
    </row>
    <row r="183" spans="1:27" ht="104.4" x14ac:dyDescent="0.25">
      <c r="A183" s="16"/>
      <c r="B183" s="20" t="b">
        <f ca="1">IFERROR(__xludf.DUMMYFUNCTION("if(D183=iferror(filter('Character Sheet'!D$13:D3002,'Character Sheet'!D$13:D3002=D183),""""),True,False)"),FALSE)</f>
        <v>0</v>
      </c>
      <c r="C183" s="20">
        <v>100</v>
      </c>
      <c r="D183" s="2" t="s">
        <v>494</v>
      </c>
      <c r="E183" s="2" t="s">
        <v>378</v>
      </c>
      <c r="F183" s="20" t="s">
        <v>53</v>
      </c>
      <c r="G183" s="2" t="s">
        <v>495</v>
      </c>
      <c r="H183" s="16"/>
      <c r="I183" s="20"/>
      <c r="J183" s="20"/>
      <c r="K183" s="20"/>
      <c r="L183" s="20"/>
      <c r="M183" s="20"/>
      <c r="N183" s="20"/>
      <c r="O183" s="20"/>
      <c r="P183" s="20"/>
      <c r="Q183" s="20"/>
      <c r="R183" s="20"/>
      <c r="S183" s="20"/>
      <c r="T183" s="20"/>
      <c r="U183" s="20"/>
      <c r="V183" s="20"/>
      <c r="W183" s="20"/>
      <c r="X183" s="20"/>
      <c r="Y183" s="20"/>
      <c r="Z183" s="20"/>
      <c r="AA183" s="20"/>
    </row>
    <row r="184" spans="1:27" ht="34.799999999999997" x14ac:dyDescent="0.25">
      <c r="A184" s="16"/>
      <c r="B184" s="20" t="b">
        <f ca="1">IFERROR(__xludf.DUMMYFUNCTION("if(D184=iferror(filter('Character Sheet'!D$13:D3002,'Character Sheet'!D$13:D3002=D184),""""),True,False)"),FALSE)</f>
        <v>0</v>
      </c>
      <c r="C184" s="20">
        <v>100</v>
      </c>
      <c r="D184" s="2" t="s">
        <v>496</v>
      </c>
      <c r="E184" s="2" t="s">
        <v>475</v>
      </c>
      <c r="F184" s="20" t="s">
        <v>53</v>
      </c>
      <c r="G184" s="2" t="s">
        <v>497</v>
      </c>
      <c r="H184" s="16"/>
      <c r="I184" s="20"/>
      <c r="J184" s="20"/>
      <c r="K184" s="20"/>
      <c r="L184" s="20"/>
      <c r="M184" s="20"/>
      <c r="N184" s="20"/>
      <c r="O184" s="20"/>
      <c r="P184" s="20"/>
      <c r="Q184" s="20"/>
      <c r="R184" s="20"/>
      <c r="S184" s="20"/>
      <c r="T184" s="20"/>
      <c r="U184" s="20"/>
      <c r="V184" s="20"/>
      <c r="W184" s="20"/>
      <c r="X184" s="20"/>
      <c r="Y184" s="20"/>
      <c r="Z184" s="20"/>
      <c r="AA184" s="20"/>
    </row>
    <row r="185" spans="1:27" ht="52.2" x14ac:dyDescent="0.25">
      <c r="A185" s="16"/>
      <c r="B185" s="20" t="b">
        <f ca="1">IFERROR(__xludf.DUMMYFUNCTION("if(D185=iferror(filter('Character Sheet'!D$13:D3002,'Character Sheet'!D$13:D3002=D185),""""),True,False)"),FALSE)</f>
        <v>0</v>
      </c>
      <c r="C185" s="20">
        <v>100</v>
      </c>
      <c r="D185" s="2" t="s">
        <v>498</v>
      </c>
      <c r="E185" s="2" t="s">
        <v>328</v>
      </c>
      <c r="F185" s="20" t="s">
        <v>53</v>
      </c>
      <c r="G185" s="2" t="s">
        <v>499</v>
      </c>
      <c r="H185" s="16"/>
      <c r="I185" s="20"/>
      <c r="J185" s="20"/>
      <c r="K185" s="20"/>
      <c r="L185" s="20"/>
      <c r="M185" s="20"/>
      <c r="N185" s="20"/>
      <c r="O185" s="20"/>
      <c r="P185" s="20"/>
      <c r="Q185" s="20"/>
      <c r="R185" s="20"/>
      <c r="S185" s="20"/>
      <c r="T185" s="20"/>
      <c r="U185" s="20"/>
      <c r="V185" s="20"/>
      <c r="W185" s="20"/>
      <c r="X185" s="20"/>
      <c r="Y185" s="20"/>
      <c r="Z185" s="20"/>
      <c r="AA185" s="20"/>
    </row>
    <row r="186" spans="1:27" ht="52.2" x14ac:dyDescent="0.25">
      <c r="A186" s="16"/>
      <c r="B186" s="20" t="b">
        <f ca="1">IFERROR(__xludf.DUMMYFUNCTION("if(D186=iferror(filter('Character Sheet'!D$13:D3002,'Character Sheet'!D$13:D3002=D186),""""),True,False)"),FALSE)</f>
        <v>0</v>
      </c>
      <c r="C186" s="20">
        <v>100</v>
      </c>
      <c r="D186" s="2" t="s">
        <v>500</v>
      </c>
      <c r="E186" s="2" t="s">
        <v>501</v>
      </c>
      <c r="F186" s="20" t="s">
        <v>53</v>
      </c>
      <c r="G186" s="2" t="s">
        <v>502</v>
      </c>
      <c r="H186" s="16"/>
      <c r="I186" s="20"/>
      <c r="J186" s="20"/>
      <c r="K186" s="20"/>
      <c r="L186" s="20"/>
      <c r="M186" s="20"/>
      <c r="N186" s="20"/>
      <c r="O186" s="20"/>
      <c r="P186" s="20"/>
      <c r="Q186" s="20"/>
      <c r="R186" s="20"/>
      <c r="S186" s="20"/>
      <c r="T186" s="20"/>
      <c r="U186" s="20"/>
      <c r="V186" s="20"/>
      <c r="W186" s="20"/>
      <c r="X186" s="20"/>
      <c r="Y186" s="20"/>
      <c r="Z186" s="20"/>
      <c r="AA186" s="20"/>
    </row>
    <row r="187" spans="1:27" ht="121.8" x14ac:dyDescent="0.25">
      <c r="A187" s="16"/>
      <c r="B187" s="20" t="b">
        <f ca="1">IFERROR(__xludf.DUMMYFUNCTION("if(D187=iferror(filter('Character Sheet'!D$13:D3002,'Character Sheet'!D$13:D3002=D187),""""),True,False)"),FALSE)</f>
        <v>0</v>
      </c>
      <c r="C187" s="20">
        <v>100</v>
      </c>
      <c r="D187" s="2" t="s">
        <v>503</v>
      </c>
      <c r="E187" s="2" t="s">
        <v>322</v>
      </c>
      <c r="F187" s="20" t="s">
        <v>53</v>
      </c>
      <c r="G187" s="2" t="s">
        <v>504</v>
      </c>
      <c r="H187" s="16"/>
      <c r="I187" s="20"/>
      <c r="J187" s="20"/>
      <c r="K187" s="20"/>
      <c r="L187" s="20"/>
      <c r="M187" s="20"/>
      <c r="N187" s="20"/>
      <c r="O187" s="20"/>
      <c r="P187" s="20"/>
      <c r="Q187" s="20"/>
      <c r="R187" s="20"/>
      <c r="S187" s="20"/>
      <c r="T187" s="20"/>
      <c r="U187" s="20"/>
      <c r="V187" s="20"/>
      <c r="W187" s="20"/>
      <c r="X187" s="20"/>
      <c r="Y187" s="20"/>
      <c r="Z187" s="20"/>
      <c r="AA187" s="20"/>
    </row>
    <row r="188" spans="1:27" ht="52.2" x14ac:dyDescent="0.25">
      <c r="A188" s="16"/>
      <c r="B188" s="20" t="b">
        <f ca="1">IFERROR(__xludf.DUMMYFUNCTION("if(D188=iferror(filter('Character Sheet'!D$13:D3002,'Character Sheet'!D$13:D3002=D188),""""),True,False)"),FALSE)</f>
        <v>0</v>
      </c>
      <c r="C188" s="20">
        <v>100</v>
      </c>
      <c r="D188" s="2" t="s">
        <v>505</v>
      </c>
      <c r="E188" s="2" t="s">
        <v>298</v>
      </c>
      <c r="F188" s="20" t="s">
        <v>53</v>
      </c>
      <c r="G188" s="2" t="s">
        <v>506</v>
      </c>
      <c r="H188" s="16"/>
      <c r="I188" s="20"/>
      <c r="J188" s="20"/>
      <c r="K188" s="20"/>
      <c r="L188" s="20"/>
      <c r="M188" s="20"/>
      <c r="N188" s="20"/>
      <c r="O188" s="20"/>
      <c r="P188" s="20"/>
      <c r="Q188" s="20"/>
      <c r="R188" s="20"/>
      <c r="S188" s="20"/>
      <c r="T188" s="20"/>
      <c r="U188" s="20"/>
      <c r="V188" s="20"/>
      <c r="W188" s="20"/>
      <c r="X188" s="20"/>
      <c r="Y188" s="20"/>
      <c r="Z188" s="20"/>
      <c r="AA188" s="20"/>
    </row>
    <row r="189" spans="1:27" ht="87" x14ac:dyDescent="0.25">
      <c r="A189" s="16"/>
      <c r="B189" s="20" t="b">
        <f ca="1">IFERROR(__xludf.DUMMYFUNCTION("if(D189=iferror(filter('Character Sheet'!D$13:D3002,'Character Sheet'!D$13:D3002=D189),""""),True,False)"),FALSE)</f>
        <v>0</v>
      </c>
      <c r="C189" s="20">
        <v>100</v>
      </c>
      <c r="D189" s="2" t="s">
        <v>507</v>
      </c>
      <c r="E189" s="2" t="s">
        <v>401</v>
      </c>
      <c r="F189" s="20" t="s">
        <v>53</v>
      </c>
      <c r="G189" s="2" t="s">
        <v>508</v>
      </c>
      <c r="H189" s="16"/>
      <c r="I189" s="20"/>
      <c r="J189" s="20"/>
      <c r="K189" s="20"/>
      <c r="L189" s="20"/>
      <c r="M189" s="20"/>
      <c r="N189" s="20"/>
      <c r="O189" s="20"/>
      <c r="P189" s="20"/>
      <c r="Q189" s="20"/>
      <c r="R189" s="20"/>
      <c r="S189" s="20"/>
      <c r="T189" s="20"/>
      <c r="U189" s="20"/>
      <c r="V189" s="20"/>
      <c r="W189" s="20"/>
      <c r="X189" s="20"/>
      <c r="Y189" s="20"/>
      <c r="Z189" s="20"/>
      <c r="AA189" s="20"/>
    </row>
    <row r="190" spans="1:27" ht="139.19999999999999" x14ac:dyDescent="0.25">
      <c r="A190" s="16"/>
      <c r="B190" s="20" t="b">
        <f ca="1">IFERROR(__xludf.DUMMYFUNCTION("if(D190=iferror(filter('Character Sheet'!D$13:D3002,'Character Sheet'!D$13:D3002=D190),""""),True,False)"),FALSE)</f>
        <v>0</v>
      </c>
      <c r="C190" s="20">
        <v>100</v>
      </c>
      <c r="D190" s="2" t="s">
        <v>509</v>
      </c>
      <c r="E190" s="2" t="s">
        <v>124</v>
      </c>
      <c r="F190" s="20" t="s">
        <v>53</v>
      </c>
      <c r="G190" s="2" t="s">
        <v>510</v>
      </c>
      <c r="H190" s="16"/>
      <c r="I190" s="20"/>
      <c r="J190" s="20"/>
      <c r="K190" s="20"/>
      <c r="L190" s="20"/>
      <c r="M190" s="20"/>
      <c r="N190" s="20"/>
      <c r="O190" s="20"/>
      <c r="P190" s="20"/>
      <c r="Q190" s="20"/>
      <c r="R190" s="20"/>
      <c r="S190" s="20"/>
      <c r="T190" s="20"/>
      <c r="U190" s="20"/>
      <c r="V190" s="20"/>
      <c r="W190" s="20"/>
      <c r="X190" s="20"/>
      <c r="Y190" s="20"/>
      <c r="Z190" s="20"/>
      <c r="AA190" s="20"/>
    </row>
    <row r="191" spans="1:27" ht="121.8" x14ac:dyDescent="0.25">
      <c r="A191" s="16"/>
      <c r="B191" s="20" t="b">
        <f ca="1">IFERROR(__xludf.DUMMYFUNCTION("if(D191=iferror(filter('Character Sheet'!D$13:D3002,'Character Sheet'!D$13:D3002=D191),""""),True,False)"),FALSE)</f>
        <v>0</v>
      </c>
      <c r="C191" s="20">
        <v>100</v>
      </c>
      <c r="D191" s="2" t="s">
        <v>511</v>
      </c>
      <c r="E191" s="2" t="s">
        <v>220</v>
      </c>
      <c r="F191" s="20" t="s">
        <v>53</v>
      </c>
      <c r="G191" s="2" t="s">
        <v>512</v>
      </c>
      <c r="H191" s="16"/>
      <c r="I191" s="20"/>
      <c r="J191" s="20"/>
      <c r="K191" s="20"/>
      <c r="L191" s="20"/>
      <c r="M191" s="20"/>
      <c r="N191" s="20"/>
      <c r="O191" s="20"/>
      <c r="P191" s="20"/>
      <c r="Q191" s="20"/>
      <c r="R191" s="20"/>
      <c r="S191" s="20"/>
      <c r="T191" s="20"/>
      <c r="U191" s="20"/>
      <c r="V191" s="20"/>
      <c r="W191" s="20"/>
      <c r="X191" s="20"/>
      <c r="Y191" s="20"/>
      <c r="Z191" s="20"/>
      <c r="AA191" s="20"/>
    </row>
    <row r="192" spans="1:27" ht="121.8" x14ac:dyDescent="0.25">
      <c r="A192" s="16"/>
      <c r="B192" s="20" t="b">
        <f ca="1">IFERROR(__xludf.DUMMYFUNCTION("if(D192=iferror(filter('Character Sheet'!D$13:D3002,'Character Sheet'!D$13:D3002=D192),""""),True,False)"),FALSE)</f>
        <v>0</v>
      </c>
      <c r="C192" s="20">
        <v>100</v>
      </c>
      <c r="D192" s="2" t="s">
        <v>513</v>
      </c>
      <c r="E192" s="2" t="s">
        <v>514</v>
      </c>
      <c r="F192" s="20" t="s">
        <v>53</v>
      </c>
      <c r="G192" s="2" t="s">
        <v>515</v>
      </c>
      <c r="H192" s="16"/>
      <c r="I192" s="20"/>
      <c r="J192" s="20"/>
      <c r="K192" s="20"/>
      <c r="L192" s="20"/>
      <c r="M192" s="20"/>
      <c r="N192" s="20"/>
      <c r="O192" s="20"/>
      <c r="P192" s="20"/>
      <c r="Q192" s="20"/>
      <c r="R192" s="20"/>
      <c r="S192" s="20"/>
      <c r="T192" s="20"/>
      <c r="U192" s="20"/>
      <c r="V192" s="20"/>
      <c r="W192" s="20"/>
      <c r="X192" s="20"/>
      <c r="Y192" s="20"/>
      <c r="Z192" s="20"/>
      <c r="AA192" s="20"/>
    </row>
    <row r="193" spans="1:27" ht="243.6" x14ac:dyDescent="0.25">
      <c r="A193" s="16"/>
      <c r="B193" s="20" t="b">
        <f ca="1">IFERROR(__xludf.DUMMYFUNCTION("if(D193=iferror(filter('Character Sheet'!D$13:D3002,'Character Sheet'!D$13:D3002=D193),""""),True,False)"),FALSE)</f>
        <v>0</v>
      </c>
      <c r="C193" s="20">
        <v>100</v>
      </c>
      <c r="D193" s="2" t="s">
        <v>516</v>
      </c>
      <c r="E193" s="2" t="s">
        <v>265</v>
      </c>
      <c r="F193" s="20" t="s">
        <v>53</v>
      </c>
      <c r="G193" s="2" t="s">
        <v>517</v>
      </c>
      <c r="H193" s="16"/>
      <c r="I193" s="20"/>
      <c r="J193" s="20"/>
      <c r="K193" s="20"/>
      <c r="L193" s="20"/>
      <c r="M193" s="20"/>
      <c r="N193" s="20"/>
      <c r="O193" s="20"/>
      <c r="P193" s="20"/>
      <c r="Q193" s="20"/>
      <c r="R193" s="20"/>
      <c r="S193" s="20"/>
      <c r="T193" s="20"/>
      <c r="U193" s="20"/>
      <c r="V193" s="20"/>
      <c r="W193" s="20"/>
      <c r="X193" s="20"/>
      <c r="Y193" s="20"/>
      <c r="Z193" s="20"/>
      <c r="AA193" s="20"/>
    </row>
    <row r="194" spans="1:27" ht="69.599999999999994" x14ac:dyDescent="0.25">
      <c r="A194" s="16"/>
      <c r="B194" s="20" t="b">
        <f ca="1">IFERROR(__xludf.DUMMYFUNCTION("if(D194=iferror(filter('Character Sheet'!D$13:D3002,'Character Sheet'!D$13:D3002=D194),""""),True,False)"),FALSE)</f>
        <v>0</v>
      </c>
      <c r="C194" s="20">
        <v>200</v>
      </c>
      <c r="D194" s="2" t="s">
        <v>518</v>
      </c>
      <c r="E194" s="2" t="s">
        <v>435</v>
      </c>
      <c r="F194" s="20" t="s">
        <v>53</v>
      </c>
      <c r="G194" s="2" t="s">
        <v>519</v>
      </c>
      <c r="H194" s="16"/>
      <c r="I194" s="20"/>
      <c r="J194" s="20"/>
      <c r="K194" s="20"/>
      <c r="L194" s="20"/>
      <c r="M194" s="20"/>
      <c r="N194" s="20"/>
      <c r="O194" s="20"/>
      <c r="P194" s="20"/>
      <c r="Q194" s="20"/>
      <c r="R194" s="20"/>
      <c r="S194" s="20"/>
      <c r="T194" s="20"/>
      <c r="U194" s="20"/>
      <c r="V194" s="20"/>
      <c r="W194" s="20"/>
      <c r="X194" s="20"/>
      <c r="Y194" s="20"/>
      <c r="Z194" s="20"/>
      <c r="AA194" s="20"/>
    </row>
    <row r="195" spans="1:27" ht="121.8" x14ac:dyDescent="0.25">
      <c r="A195" s="16"/>
      <c r="B195" s="20" t="b">
        <f ca="1">IFERROR(__xludf.DUMMYFUNCTION("if(D195=iferror(filter('Character Sheet'!D$13:D3002,'Character Sheet'!D$13:D3002=D195),""""),True,False)"),FALSE)</f>
        <v>0</v>
      </c>
      <c r="C195" s="20">
        <v>200</v>
      </c>
      <c r="D195" s="2" t="s">
        <v>520</v>
      </c>
      <c r="E195" s="2" t="s">
        <v>521</v>
      </c>
      <c r="F195" s="20" t="s">
        <v>53</v>
      </c>
      <c r="G195" s="2" t="s">
        <v>522</v>
      </c>
      <c r="H195" s="16"/>
      <c r="I195" s="20"/>
      <c r="J195" s="20"/>
      <c r="K195" s="20"/>
      <c r="L195" s="20"/>
      <c r="M195" s="20"/>
      <c r="N195" s="20"/>
      <c r="O195" s="20"/>
      <c r="P195" s="20"/>
      <c r="Q195" s="20"/>
      <c r="R195" s="20"/>
      <c r="S195" s="20"/>
      <c r="T195" s="20"/>
      <c r="U195" s="20"/>
      <c r="V195" s="20"/>
      <c r="W195" s="20"/>
      <c r="X195" s="20"/>
      <c r="Y195" s="20"/>
      <c r="Z195" s="20"/>
      <c r="AA195" s="20"/>
    </row>
    <row r="196" spans="1:27" ht="139.19999999999999" x14ac:dyDescent="0.25">
      <c r="A196" s="16"/>
      <c r="B196" s="20" t="b">
        <f ca="1">IFERROR(__xludf.DUMMYFUNCTION("if(D196=iferror(filter('Character Sheet'!D$13:D3002,'Character Sheet'!D$13:D3002=D196),""""),True,False)"),FALSE)</f>
        <v>0</v>
      </c>
      <c r="C196" s="20">
        <v>200</v>
      </c>
      <c r="D196" s="2" t="s">
        <v>523</v>
      </c>
      <c r="E196" s="2" t="s">
        <v>314</v>
      </c>
      <c r="F196" s="20" t="s">
        <v>53</v>
      </c>
      <c r="G196" s="2" t="s">
        <v>524</v>
      </c>
      <c r="H196" s="16"/>
      <c r="I196" s="20"/>
      <c r="J196" s="20"/>
      <c r="K196" s="20"/>
      <c r="L196" s="20"/>
      <c r="M196" s="20"/>
      <c r="N196" s="20"/>
      <c r="O196" s="20"/>
      <c r="P196" s="20"/>
      <c r="Q196" s="20"/>
      <c r="R196" s="20"/>
      <c r="S196" s="20"/>
      <c r="T196" s="20"/>
      <c r="U196" s="20"/>
      <c r="V196" s="20"/>
      <c r="W196" s="20"/>
      <c r="X196" s="20"/>
      <c r="Y196" s="20"/>
      <c r="Z196" s="20"/>
      <c r="AA196" s="20"/>
    </row>
    <row r="197" spans="1:27" ht="104.4" x14ac:dyDescent="0.25">
      <c r="A197" s="16"/>
      <c r="B197" s="20" t="b">
        <f ca="1">IFERROR(__xludf.DUMMYFUNCTION("if(D197=iferror(filter('Character Sheet'!D$13:D3002,'Character Sheet'!D$13:D3002=D197),""""),True,False)"),FALSE)</f>
        <v>0</v>
      </c>
      <c r="C197" s="20">
        <v>200</v>
      </c>
      <c r="D197" s="2" t="s">
        <v>525</v>
      </c>
      <c r="E197" s="2" t="s">
        <v>391</v>
      </c>
      <c r="F197" s="20" t="s">
        <v>53</v>
      </c>
      <c r="G197" s="2" t="s">
        <v>526</v>
      </c>
      <c r="H197" s="16"/>
      <c r="I197" s="20"/>
      <c r="J197" s="20"/>
      <c r="K197" s="20"/>
      <c r="L197" s="20"/>
      <c r="M197" s="20"/>
      <c r="N197" s="20"/>
      <c r="O197" s="20"/>
      <c r="P197" s="20"/>
      <c r="Q197" s="20"/>
      <c r="R197" s="20"/>
      <c r="S197" s="20"/>
      <c r="T197" s="20"/>
      <c r="U197" s="20"/>
      <c r="V197" s="20"/>
      <c r="W197" s="20"/>
      <c r="X197" s="20"/>
      <c r="Y197" s="20"/>
      <c r="Z197" s="20"/>
      <c r="AA197" s="20"/>
    </row>
    <row r="198" spans="1:27" ht="261" x14ac:dyDescent="0.25">
      <c r="A198" s="16"/>
      <c r="B198" s="20" t="b">
        <f ca="1">IFERROR(__xludf.DUMMYFUNCTION("if(D198=iferror(filter('Character Sheet'!D$13:D3002,'Character Sheet'!D$13:D3002=D198),""""),True,False)"),FALSE)</f>
        <v>0</v>
      </c>
      <c r="C198" s="20">
        <v>200</v>
      </c>
      <c r="D198" s="2" t="s">
        <v>527</v>
      </c>
      <c r="E198" s="2" t="s">
        <v>265</v>
      </c>
      <c r="F198" s="20" t="s">
        <v>53</v>
      </c>
      <c r="G198" s="2" t="s">
        <v>528</v>
      </c>
      <c r="H198" s="16"/>
      <c r="I198" s="20"/>
      <c r="J198" s="20"/>
      <c r="K198" s="20"/>
      <c r="L198" s="20"/>
      <c r="M198" s="20"/>
      <c r="N198" s="20"/>
      <c r="O198" s="20"/>
      <c r="P198" s="20"/>
      <c r="Q198" s="20"/>
      <c r="R198" s="20"/>
      <c r="S198" s="20"/>
      <c r="T198" s="20"/>
      <c r="U198" s="20"/>
      <c r="V198" s="20"/>
      <c r="W198" s="20"/>
      <c r="X198" s="20"/>
      <c r="Y198" s="20"/>
      <c r="Z198" s="20"/>
      <c r="AA198" s="20"/>
    </row>
    <row r="199" spans="1:27" ht="87" x14ac:dyDescent="0.25">
      <c r="A199" s="16"/>
      <c r="B199" s="20" t="b">
        <f ca="1">IFERROR(__xludf.DUMMYFUNCTION("if(D199=iferror(filter('Character Sheet'!D$13:D3002,'Character Sheet'!D$13:D3002=D199),""""),True,False)"),FALSE)</f>
        <v>0</v>
      </c>
      <c r="C199" s="20">
        <v>200</v>
      </c>
      <c r="D199" s="2" t="s">
        <v>529</v>
      </c>
      <c r="E199" s="2" t="s">
        <v>84</v>
      </c>
      <c r="F199" s="20" t="s">
        <v>53</v>
      </c>
      <c r="G199" s="2" t="s">
        <v>530</v>
      </c>
      <c r="H199" s="16"/>
      <c r="I199" s="20"/>
      <c r="J199" s="20"/>
      <c r="K199" s="20"/>
      <c r="L199" s="20"/>
      <c r="M199" s="20"/>
      <c r="N199" s="20"/>
      <c r="O199" s="20"/>
      <c r="P199" s="20"/>
      <c r="Q199" s="20"/>
      <c r="R199" s="20"/>
      <c r="S199" s="20"/>
      <c r="T199" s="20"/>
      <c r="U199" s="20"/>
      <c r="V199" s="20"/>
      <c r="W199" s="20"/>
      <c r="X199" s="20"/>
      <c r="Y199" s="20"/>
      <c r="Z199" s="20"/>
      <c r="AA199" s="20"/>
    </row>
    <row r="200" spans="1:27" ht="69.599999999999994" x14ac:dyDescent="0.25">
      <c r="A200" s="16"/>
      <c r="B200" s="20" t="b">
        <f ca="1">IFERROR(__xludf.DUMMYFUNCTION("if(D200=iferror(filter('Character Sheet'!D$13:D3002,'Character Sheet'!D$13:D3002=D200),""""),True,False)"),FALSE)</f>
        <v>0</v>
      </c>
      <c r="C200" s="20">
        <v>200</v>
      </c>
      <c r="D200" s="2" t="s">
        <v>531</v>
      </c>
      <c r="E200" s="2" t="s">
        <v>311</v>
      </c>
      <c r="F200" s="20" t="s">
        <v>53</v>
      </c>
      <c r="G200" s="2" t="s">
        <v>532</v>
      </c>
      <c r="H200" s="16"/>
      <c r="I200" s="20"/>
      <c r="J200" s="20"/>
      <c r="K200" s="20"/>
      <c r="L200" s="20"/>
      <c r="M200" s="20"/>
      <c r="N200" s="20"/>
      <c r="O200" s="20"/>
      <c r="P200" s="20"/>
      <c r="Q200" s="20"/>
      <c r="R200" s="20"/>
      <c r="S200" s="20"/>
      <c r="T200" s="20"/>
      <c r="U200" s="20"/>
      <c r="V200" s="20"/>
      <c r="W200" s="20"/>
      <c r="X200" s="20"/>
      <c r="Y200" s="20"/>
      <c r="Z200" s="20"/>
      <c r="AA200" s="20"/>
    </row>
    <row r="201" spans="1:27" ht="34.799999999999997" x14ac:dyDescent="0.25">
      <c r="A201" s="16"/>
      <c r="B201" s="20" t="b">
        <f ca="1">IFERROR(__xludf.DUMMYFUNCTION("if(D201=iferror(filter('Character Sheet'!D$13:D3002,'Character Sheet'!D$13:D3002=D201),""""),True,False)"),FALSE)</f>
        <v>0</v>
      </c>
      <c r="C201" s="20">
        <v>200</v>
      </c>
      <c r="D201" s="2" t="s">
        <v>533</v>
      </c>
      <c r="E201" s="2" t="s">
        <v>534</v>
      </c>
      <c r="F201" s="20" t="s">
        <v>53</v>
      </c>
      <c r="G201" s="2" t="s">
        <v>535</v>
      </c>
      <c r="H201" s="16"/>
      <c r="I201" s="20"/>
      <c r="J201" s="20"/>
      <c r="K201" s="20"/>
      <c r="L201" s="20"/>
      <c r="M201" s="20"/>
      <c r="N201" s="20"/>
      <c r="O201" s="20"/>
      <c r="P201" s="20"/>
      <c r="Q201" s="20"/>
      <c r="R201" s="20"/>
      <c r="S201" s="20"/>
      <c r="T201" s="20"/>
      <c r="U201" s="20"/>
      <c r="V201" s="20"/>
      <c r="W201" s="20"/>
      <c r="X201" s="20"/>
      <c r="Y201" s="20"/>
      <c r="Z201" s="20"/>
      <c r="AA201" s="20"/>
    </row>
    <row r="202" spans="1:27" ht="69.599999999999994" x14ac:dyDescent="0.25">
      <c r="A202" s="16"/>
      <c r="B202" s="20" t="b">
        <f ca="1">IFERROR(__xludf.DUMMYFUNCTION("if(D202=iferror(filter('Character Sheet'!D$13:D3002,'Character Sheet'!D$13:D3002=D202),""""),True,False)"),FALSE)</f>
        <v>0</v>
      </c>
      <c r="C202" s="20">
        <v>200</v>
      </c>
      <c r="D202" s="2" t="s">
        <v>536</v>
      </c>
      <c r="E202" s="2" t="s">
        <v>338</v>
      </c>
      <c r="F202" s="20" t="s">
        <v>53</v>
      </c>
      <c r="G202" s="2" t="s">
        <v>537</v>
      </c>
      <c r="H202" s="16"/>
      <c r="I202" s="20"/>
      <c r="J202" s="20"/>
      <c r="K202" s="20"/>
      <c r="L202" s="20"/>
      <c r="M202" s="20"/>
      <c r="N202" s="20"/>
      <c r="O202" s="20"/>
      <c r="P202" s="20"/>
      <c r="Q202" s="20"/>
      <c r="R202" s="20"/>
      <c r="S202" s="20"/>
      <c r="T202" s="20"/>
      <c r="U202" s="20"/>
      <c r="V202" s="20"/>
      <c r="W202" s="20"/>
      <c r="X202" s="20"/>
      <c r="Y202" s="20"/>
      <c r="Z202" s="20"/>
      <c r="AA202" s="20"/>
    </row>
    <row r="203" spans="1:27" ht="87" x14ac:dyDescent="0.25">
      <c r="A203" s="16"/>
      <c r="B203" s="20" t="b">
        <f ca="1">IFERROR(__xludf.DUMMYFUNCTION("if(D203=iferror(filter('Character Sheet'!D$13:D3002,'Character Sheet'!D$13:D3002=D203),""""),True,False)"),FALSE)</f>
        <v>0</v>
      </c>
      <c r="C203" s="20">
        <v>200</v>
      </c>
      <c r="D203" s="2" t="s">
        <v>538</v>
      </c>
      <c r="E203" s="2" t="s">
        <v>539</v>
      </c>
      <c r="F203" s="20" t="s">
        <v>53</v>
      </c>
      <c r="G203" s="2" t="s">
        <v>540</v>
      </c>
      <c r="H203" s="16"/>
      <c r="I203" s="20"/>
      <c r="J203" s="20"/>
      <c r="K203" s="20"/>
      <c r="L203" s="20"/>
      <c r="M203" s="20"/>
      <c r="N203" s="20"/>
      <c r="O203" s="20"/>
      <c r="P203" s="20"/>
      <c r="Q203" s="20"/>
      <c r="R203" s="20"/>
      <c r="S203" s="20"/>
      <c r="T203" s="20"/>
      <c r="U203" s="20"/>
      <c r="V203" s="20"/>
      <c r="W203" s="20"/>
      <c r="X203" s="20"/>
      <c r="Y203" s="20"/>
      <c r="Z203" s="20"/>
      <c r="AA203" s="20"/>
    </row>
    <row r="204" spans="1:27" ht="69.599999999999994" x14ac:dyDescent="0.25">
      <c r="A204" s="16"/>
      <c r="B204" s="20" t="b">
        <f ca="1">IFERROR(__xludf.DUMMYFUNCTION("if(D204=iferror(filter('Character Sheet'!D$13:D3002,'Character Sheet'!D$13:D3002=D204),""""),True,False)"),FALSE)</f>
        <v>0</v>
      </c>
      <c r="C204" s="20">
        <v>200</v>
      </c>
      <c r="D204" s="2" t="s">
        <v>541</v>
      </c>
      <c r="E204" s="2" t="s">
        <v>75</v>
      </c>
      <c r="F204" s="20" t="s">
        <v>53</v>
      </c>
      <c r="G204" s="2" t="s">
        <v>542</v>
      </c>
      <c r="H204" s="16"/>
      <c r="I204" s="20"/>
      <c r="J204" s="20"/>
      <c r="K204" s="20"/>
      <c r="L204" s="20"/>
      <c r="M204" s="20"/>
      <c r="N204" s="20"/>
      <c r="O204" s="20"/>
      <c r="P204" s="20"/>
      <c r="Q204" s="20"/>
      <c r="R204" s="20"/>
      <c r="S204" s="20"/>
      <c r="T204" s="20"/>
      <c r="U204" s="20"/>
      <c r="V204" s="20"/>
      <c r="W204" s="20"/>
      <c r="X204" s="20"/>
      <c r="Y204" s="20"/>
      <c r="Z204" s="20"/>
      <c r="AA204" s="20"/>
    </row>
    <row r="205" spans="1:27" ht="69.599999999999994" x14ac:dyDescent="0.25">
      <c r="A205" s="16"/>
      <c r="B205" s="20" t="b">
        <f ca="1">IFERROR(__xludf.DUMMYFUNCTION("if(D205=iferror(filter('Character Sheet'!D$13:D3002,'Character Sheet'!D$13:D3002=D205),""""),True,False)"),FALSE)</f>
        <v>0</v>
      </c>
      <c r="C205" s="20">
        <v>200</v>
      </c>
      <c r="D205" s="2" t="s">
        <v>543</v>
      </c>
      <c r="E205" s="2" t="s">
        <v>311</v>
      </c>
      <c r="F205" s="20" t="s">
        <v>53</v>
      </c>
      <c r="G205" s="2" t="s">
        <v>544</v>
      </c>
      <c r="H205" s="16"/>
      <c r="I205" s="20"/>
      <c r="J205" s="20"/>
      <c r="K205" s="20"/>
      <c r="L205" s="20"/>
      <c r="M205" s="20"/>
      <c r="N205" s="20"/>
      <c r="O205" s="20"/>
      <c r="P205" s="20"/>
      <c r="Q205" s="20"/>
      <c r="R205" s="20"/>
      <c r="S205" s="20"/>
      <c r="T205" s="20"/>
      <c r="U205" s="20"/>
      <c r="V205" s="20"/>
      <c r="W205" s="20"/>
      <c r="X205" s="20"/>
      <c r="Y205" s="20"/>
      <c r="Z205" s="20"/>
      <c r="AA205" s="20"/>
    </row>
    <row r="206" spans="1:27" ht="121.8" x14ac:dyDescent="0.25">
      <c r="A206" s="16"/>
      <c r="B206" s="20" t="b">
        <f ca="1">IFERROR(__xludf.DUMMYFUNCTION("if(D206=iferror(filter('Character Sheet'!D$13:D3002,'Character Sheet'!D$13:D3002=D206),""""),True,False)"),FALSE)</f>
        <v>0</v>
      </c>
      <c r="C206" s="20">
        <v>200</v>
      </c>
      <c r="D206" s="2" t="s">
        <v>545</v>
      </c>
      <c r="E206" s="2" t="s">
        <v>192</v>
      </c>
      <c r="F206" s="20" t="s">
        <v>53</v>
      </c>
      <c r="G206" s="2" t="s">
        <v>546</v>
      </c>
      <c r="H206" s="16"/>
      <c r="I206" s="20"/>
      <c r="J206" s="20"/>
      <c r="K206" s="20"/>
      <c r="L206" s="20"/>
      <c r="M206" s="20"/>
      <c r="N206" s="20"/>
      <c r="O206" s="20"/>
      <c r="P206" s="20"/>
      <c r="Q206" s="20"/>
      <c r="R206" s="20"/>
      <c r="S206" s="20"/>
      <c r="T206" s="20"/>
      <c r="U206" s="20"/>
      <c r="V206" s="20"/>
      <c r="W206" s="20"/>
      <c r="X206" s="20"/>
      <c r="Y206" s="20"/>
      <c r="Z206" s="20"/>
      <c r="AA206" s="20"/>
    </row>
    <row r="207" spans="1:27" ht="87" x14ac:dyDescent="0.25">
      <c r="A207" s="16"/>
      <c r="B207" s="20" t="b">
        <f ca="1">IFERROR(__xludf.DUMMYFUNCTION("if(D207=iferror(filter('Character Sheet'!D$13:D3002,'Character Sheet'!D$13:D3002=D207),""""),True,False)"),FALSE)</f>
        <v>0</v>
      </c>
      <c r="C207" s="20">
        <v>200</v>
      </c>
      <c r="D207" s="2" t="s">
        <v>547</v>
      </c>
      <c r="E207" s="2" t="s">
        <v>285</v>
      </c>
      <c r="F207" s="20" t="s">
        <v>53</v>
      </c>
      <c r="G207" s="2" t="s">
        <v>548</v>
      </c>
      <c r="H207" s="16"/>
      <c r="I207" s="20"/>
      <c r="J207" s="20"/>
      <c r="K207" s="20"/>
      <c r="L207" s="20"/>
      <c r="M207" s="20"/>
      <c r="N207" s="20"/>
      <c r="O207" s="20"/>
      <c r="P207" s="20"/>
      <c r="Q207" s="20"/>
      <c r="R207" s="20"/>
      <c r="S207" s="20"/>
      <c r="T207" s="20"/>
      <c r="U207" s="20"/>
      <c r="V207" s="20"/>
      <c r="W207" s="20"/>
      <c r="X207" s="20"/>
      <c r="Y207" s="20"/>
      <c r="Z207" s="20"/>
      <c r="AA207" s="20"/>
    </row>
    <row r="208" spans="1:27" ht="261" x14ac:dyDescent="0.25">
      <c r="A208" s="16"/>
      <c r="B208" s="20" t="b">
        <f ca="1">IFERROR(__xludf.DUMMYFUNCTION("if(D208=iferror(filter('Character Sheet'!D$13:D3002,'Character Sheet'!D$13:D3002=D208),""""),True,False)"),FALSE)</f>
        <v>0</v>
      </c>
      <c r="C208" s="20">
        <v>200</v>
      </c>
      <c r="D208" s="2" t="s">
        <v>549</v>
      </c>
      <c r="E208" s="2" t="s">
        <v>361</v>
      </c>
      <c r="F208" s="20" t="s">
        <v>53</v>
      </c>
      <c r="G208" s="2" t="s">
        <v>550</v>
      </c>
      <c r="H208" s="16"/>
      <c r="I208" s="20"/>
      <c r="J208" s="20"/>
      <c r="K208" s="20"/>
      <c r="L208" s="20"/>
      <c r="M208" s="20"/>
      <c r="N208" s="20"/>
      <c r="O208" s="20"/>
      <c r="P208" s="20"/>
      <c r="Q208" s="20"/>
      <c r="R208" s="20"/>
      <c r="S208" s="20"/>
      <c r="T208" s="20"/>
      <c r="U208" s="20"/>
      <c r="V208" s="20"/>
      <c r="W208" s="20"/>
      <c r="X208" s="20"/>
      <c r="Y208" s="20"/>
      <c r="Z208" s="20"/>
      <c r="AA208" s="20"/>
    </row>
    <row r="209" spans="1:27" ht="52.2" x14ac:dyDescent="0.25">
      <c r="A209" s="16"/>
      <c r="B209" s="20" t="b">
        <f ca="1">IFERROR(__xludf.DUMMYFUNCTION("if(D209=iferror(filter('Character Sheet'!D$13:D3002,'Character Sheet'!D$13:D3002=D209),""""),True,False)"),FALSE)</f>
        <v>0</v>
      </c>
      <c r="C209" s="20">
        <v>200</v>
      </c>
      <c r="D209" s="2" t="s">
        <v>551</v>
      </c>
      <c r="E209" s="2" t="s">
        <v>274</v>
      </c>
      <c r="F209" s="20" t="s">
        <v>53</v>
      </c>
      <c r="G209" s="2" t="s">
        <v>552</v>
      </c>
      <c r="H209" s="16"/>
      <c r="I209" s="20"/>
      <c r="J209" s="20"/>
      <c r="K209" s="20"/>
      <c r="L209" s="20"/>
      <c r="M209" s="20"/>
      <c r="N209" s="20"/>
      <c r="O209" s="20"/>
      <c r="P209" s="20"/>
      <c r="Q209" s="20"/>
      <c r="R209" s="20"/>
      <c r="S209" s="20"/>
      <c r="T209" s="20"/>
      <c r="U209" s="20"/>
      <c r="V209" s="20"/>
      <c r="W209" s="20"/>
      <c r="X209" s="20"/>
      <c r="Y209" s="20"/>
      <c r="Z209" s="20"/>
      <c r="AA209" s="20"/>
    </row>
    <row r="210" spans="1:27" ht="104.4" x14ac:dyDescent="0.25">
      <c r="A210" s="16"/>
      <c r="B210" s="20" t="b">
        <f ca="1">IFERROR(__xludf.DUMMYFUNCTION("if(D210=iferror(filter('Character Sheet'!D$13:D3002,'Character Sheet'!D$13:D3002=D210),""""),True,False)"),FALSE)</f>
        <v>0</v>
      </c>
      <c r="C210" s="20">
        <v>200</v>
      </c>
      <c r="D210" s="2" t="s">
        <v>553</v>
      </c>
      <c r="E210" s="2" t="s">
        <v>521</v>
      </c>
      <c r="F210" s="20" t="s">
        <v>53</v>
      </c>
      <c r="G210" s="2" t="s">
        <v>554</v>
      </c>
      <c r="H210" s="16"/>
      <c r="I210" s="20"/>
      <c r="J210" s="20"/>
      <c r="K210" s="20"/>
      <c r="L210" s="20"/>
      <c r="M210" s="20"/>
      <c r="N210" s="20"/>
      <c r="O210" s="20"/>
      <c r="P210" s="20"/>
      <c r="Q210" s="20"/>
      <c r="R210" s="20"/>
      <c r="S210" s="20"/>
      <c r="T210" s="20"/>
      <c r="U210" s="20"/>
      <c r="V210" s="20"/>
      <c r="W210" s="20"/>
      <c r="X210" s="20"/>
      <c r="Y210" s="20"/>
      <c r="Z210" s="20"/>
      <c r="AA210" s="20"/>
    </row>
    <row r="211" spans="1:27" ht="104.4" x14ac:dyDescent="0.25">
      <c r="A211" s="16"/>
      <c r="B211" s="20" t="b">
        <f ca="1">IFERROR(__xludf.DUMMYFUNCTION("if(D211=iferror(filter('Character Sheet'!D$13:D3002,'Character Sheet'!D$13:D3002=D211),""""),True,False)"),FALSE)</f>
        <v>0</v>
      </c>
      <c r="C211" s="20">
        <v>200</v>
      </c>
      <c r="D211" s="2" t="s">
        <v>555</v>
      </c>
      <c r="E211" s="2" t="s">
        <v>401</v>
      </c>
      <c r="F211" s="20" t="s">
        <v>53</v>
      </c>
      <c r="G211" s="2" t="s">
        <v>556</v>
      </c>
      <c r="H211" s="16"/>
      <c r="I211" s="20"/>
      <c r="J211" s="20"/>
      <c r="K211" s="20"/>
      <c r="L211" s="20"/>
      <c r="M211" s="20"/>
      <c r="N211" s="20"/>
      <c r="O211" s="20"/>
      <c r="P211" s="20"/>
      <c r="Q211" s="20"/>
      <c r="R211" s="20"/>
      <c r="S211" s="20"/>
      <c r="T211" s="20"/>
      <c r="U211" s="20"/>
      <c r="V211" s="20"/>
      <c r="W211" s="20"/>
      <c r="X211" s="20"/>
      <c r="Y211" s="20"/>
      <c r="Z211" s="20"/>
      <c r="AA211" s="20"/>
    </row>
    <row r="212" spans="1:27" ht="261" x14ac:dyDescent="0.25">
      <c r="A212" s="16"/>
      <c r="B212" s="20" t="b">
        <f ca="1">IFERROR(__xludf.DUMMYFUNCTION("if(D212=iferror(filter('Character Sheet'!D$13:D3002,'Character Sheet'!D$13:D3002=D212),""""),True,False)"),FALSE)</f>
        <v>0</v>
      </c>
      <c r="C212" s="20">
        <v>200</v>
      </c>
      <c r="D212" s="2" t="s">
        <v>557</v>
      </c>
      <c r="E212" s="2" t="s">
        <v>230</v>
      </c>
      <c r="F212" s="20" t="s">
        <v>53</v>
      </c>
      <c r="G212" s="2" t="s">
        <v>558</v>
      </c>
      <c r="H212" s="16"/>
      <c r="I212" s="20"/>
      <c r="J212" s="20"/>
      <c r="K212" s="20"/>
      <c r="L212" s="20"/>
      <c r="M212" s="20"/>
      <c r="N212" s="20"/>
      <c r="O212" s="20"/>
      <c r="P212" s="20"/>
      <c r="Q212" s="20"/>
      <c r="R212" s="20"/>
      <c r="S212" s="20"/>
      <c r="T212" s="20"/>
      <c r="U212" s="20"/>
      <c r="V212" s="20"/>
      <c r="W212" s="20"/>
      <c r="X212" s="20"/>
      <c r="Y212" s="20"/>
      <c r="Z212" s="20"/>
      <c r="AA212" s="20"/>
    </row>
    <row r="213" spans="1:27" ht="87" x14ac:dyDescent="0.25">
      <c r="A213" s="16"/>
      <c r="B213" s="20" t="b">
        <f ca="1">IFERROR(__xludf.DUMMYFUNCTION("if(D213=iferror(filter('Character Sheet'!D$13:D3002,'Character Sheet'!D$13:D3002=D213),""""),True,False)"),FALSE)</f>
        <v>0</v>
      </c>
      <c r="C213" s="20">
        <v>200</v>
      </c>
      <c r="D213" s="2" t="s">
        <v>559</v>
      </c>
      <c r="E213" s="2" t="s">
        <v>131</v>
      </c>
      <c r="F213" s="20" t="s">
        <v>53</v>
      </c>
      <c r="G213" s="2" t="s">
        <v>560</v>
      </c>
      <c r="H213" s="16"/>
      <c r="I213" s="20"/>
      <c r="J213" s="20"/>
      <c r="K213" s="20"/>
      <c r="L213" s="20"/>
      <c r="M213" s="20"/>
      <c r="N213" s="20"/>
      <c r="O213" s="20"/>
      <c r="P213" s="20"/>
      <c r="Q213" s="20"/>
      <c r="R213" s="20"/>
      <c r="S213" s="20"/>
      <c r="T213" s="20"/>
      <c r="U213" s="20"/>
      <c r="V213" s="20"/>
      <c r="W213" s="20"/>
      <c r="X213" s="20"/>
      <c r="Y213" s="20"/>
      <c r="Z213" s="20"/>
      <c r="AA213" s="20"/>
    </row>
    <row r="214" spans="1:27" ht="139.19999999999999" x14ac:dyDescent="0.25">
      <c r="A214" s="16"/>
      <c r="B214" s="20" t="b">
        <f ca="1">IFERROR(__xludf.DUMMYFUNCTION("if(D214=iferror(filter('Character Sheet'!D$13:D3002,'Character Sheet'!D$13:D3002=D214),""""),True,False)"),FALSE)</f>
        <v>0</v>
      </c>
      <c r="C214" s="20">
        <v>200</v>
      </c>
      <c r="D214" s="2" t="s">
        <v>561</v>
      </c>
      <c r="E214" s="2" t="s">
        <v>124</v>
      </c>
      <c r="F214" s="20" t="s">
        <v>53</v>
      </c>
      <c r="G214" s="2" t="s">
        <v>562</v>
      </c>
      <c r="H214" s="16"/>
      <c r="I214" s="20"/>
      <c r="J214" s="20"/>
      <c r="K214" s="20"/>
      <c r="L214" s="20"/>
      <c r="M214" s="20"/>
      <c r="N214" s="20"/>
      <c r="O214" s="20"/>
      <c r="P214" s="20"/>
      <c r="Q214" s="20"/>
      <c r="R214" s="20"/>
      <c r="S214" s="20"/>
      <c r="T214" s="20"/>
      <c r="U214" s="20"/>
      <c r="V214" s="20"/>
      <c r="W214" s="20"/>
      <c r="X214" s="20"/>
      <c r="Y214" s="20"/>
      <c r="Z214" s="20"/>
      <c r="AA214" s="20"/>
    </row>
    <row r="215" spans="1:27" ht="226.2" x14ac:dyDescent="0.25">
      <c r="A215" s="16"/>
      <c r="B215" s="20" t="b">
        <f ca="1">IFERROR(__xludf.DUMMYFUNCTION("if(D215=iferror(filter('Character Sheet'!D$13:D3002,'Character Sheet'!D$13:D3002=D215),""""),True,False)"),FALSE)</f>
        <v>0</v>
      </c>
      <c r="C215" s="20">
        <v>200</v>
      </c>
      <c r="D215" s="2" t="s">
        <v>563</v>
      </c>
      <c r="E215" s="2" t="s">
        <v>416</v>
      </c>
      <c r="F215" s="20" t="s">
        <v>53</v>
      </c>
      <c r="G215" s="2" t="s">
        <v>564</v>
      </c>
      <c r="H215" s="16"/>
      <c r="I215" s="20"/>
      <c r="J215" s="20"/>
      <c r="K215" s="20"/>
      <c r="L215" s="20"/>
      <c r="M215" s="20"/>
      <c r="N215" s="20"/>
      <c r="O215" s="20"/>
      <c r="P215" s="20"/>
      <c r="Q215" s="20"/>
      <c r="R215" s="20"/>
      <c r="S215" s="20"/>
      <c r="T215" s="20"/>
      <c r="U215" s="20"/>
      <c r="V215" s="20"/>
      <c r="W215" s="20"/>
      <c r="X215" s="20"/>
      <c r="Y215" s="20"/>
      <c r="Z215" s="20"/>
      <c r="AA215" s="20"/>
    </row>
    <row r="216" spans="1:27" ht="87" x14ac:dyDescent="0.25">
      <c r="A216" s="16"/>
      <c r="B216" s="20" t="b">
        <f ca="1">IFERROR(__xludf.DUMMYFUNCTION("if(D216=iferror(filter('Character Sheet'!D$13:D3002,'Character Sheet'!D$13:D3002=D216),""""),True,False)"),FALSE)</f>
        <v>0</v>
      </c>
      <c r="C216" s="20">
        <v>200</v>
      </c>
      <c r="D216" s="2" t="s">
        <v>565</v>
      </c>
      <c r="E216" s="2" t="s">
        <v>428</v>
      </c>
      <c r="F216" s="20" t="s">
        <v>53</v>
      </c>
      <c r="G216" s="2" t="s">
        <v>566</v>
      </c>
      <c r="H216" s="16"/>
      <c r="I216" s="20"/>
      <c r="J216" s="20"/>
      <c r="K216" s="20"/>
      <c r="L216" s="20"/>
      <c r="M216" s="20"/>
      <c r="N216" s="20"/>
      <c r="O216" s="20"/>
      <c r="P216" s="20"/>
      <c r="Q216" s="20"/>
      <c r="R216" s="20"/>
      <c r="S216" s="20"/>
      <c r="T216" s="20"/>
      <c r="U216" s="20"/>
      <c r="V216" s="20"/>
      <c r="W216" s="20"/>
      <c r="X216" s="20"/>
      <c r="Y216" s="20"/>
      <c r="Z216" s="20"/>
      <c r="AA216" s="20"/>
    </row>
    <row r="217" spans="1:27" ht="69.599999999999994" x14ac:dyDescent="0.25">
      <c r="A217" s="16"/>
      <c r="B217" s="20" t="b">
        <f ca="1">IFERROR(__xludf.DUMMYFUNCTION("if(D217=iferror(filter('Character Sheet'!D$13:D3002,'Character Sheet'!D$13:D3002=D217),""""),True,False)"),FALSE)</f>
        <v>0</v>
      </c>
      <c r="C217" s="20">
        <v>200</v>
      </c>
      <c r="D217" s="2" t="s">
        <v>567</v>
      </c>
      <c r="E217" s="2" t="s">
        <v>328</v>
      </c>
      <c r="F217" s="20" t="s">
        <v>53</v>
      </c>
      <c r="G217" s="2" t="s">
        <v>568</v>
      </c>
      <c r="H217" s="16"/>
      <c r="I217" s="20"/>
      <c r="J217" s="20"/>
      <c r="K217" s="20"/>
      <c r="L217" s="20"/>
      <c r="M217" s="20"/>
      <c r="N217" s="20"/>
      <c r="O217" s="20"/>
      <c r="P217" s="20"/>
      <c r="Q217" s="20"/>
      <c r="R217" s="20"/>
      <c r="S217" s="20"/>
      <c r="T217" s="20"/>
      <c r="U217" s="20"/>
      <c r="V217" s="20"/>
      <c r="W217" s="20"/>
      <c r="X217" s="20"/>
      <c r="Y217" s="20"/>
      <c r="Z217" s="20"/>
      <c r="AA217" s="20"/>
    </row>
    <row r="218" spans="1:27" ht="69.599999999999994" x14ac:dyDescent="0.25">
      <c r="A218" s="16"/>
      <c r="B218" s="20" t="b">
        <f ca="1">IFERROR(__xludf.DUMMYFUNCTION("if(D218=iferror(filter('Character Sheet'!D$13:D3002,'Character Sheet'!D$13:D3002=D218),""""),True,False)"),FALSE)</f>
        <v>0</v>
      </c>
      <c r="C218" s="20">
        <v>200</v>
      </c>
      <c r="D218" s="2" t="s">
        <v>569</v>
      </c>
      <c r="E218" s="2" t="s">
        <v>521</v>
      </c>
      <c r="F218" s="20" t="s">
        <v>53</v>
      </c>
      <c r="G218" s="2" t="s">
        <v>570</v>
      </c>
      <c r="H218" s="16"/>
      <c r="I218" s="20"/>
      <c r="J218" s="20"/>
      <c r="K218" s="20"/>
      <c r="L218" s="20"/>
      <c r="M218" s="20"/>
      <c r="N218" s="20"/>
      <c r="O218" s="20"/>
      <c r="P218" s="20"/>
      <c r="Q218" s="20"/>
      <c r="R218" s="20"/>
      <c r="S218" s="20"/>
      <c r="T218" s="20"/>
      <c r="U218" s="20"/>
      <c r="V218" s="20"/>
      <c r="W218" s="20"/>
      <c r="X218" s="20"/>
      <c r="Y218" s="20"/>
      <c r="Z218" s="20"/>
      <c r="AA218" s="20"/>
    </row>
    <row r="219" spans="1:27" ht="104.4" x14ac:dyDescent="0.25">
      <c r="A219" s="16"/>
      <c r="B219" s="20" t="b">
        <f ca="1">IFERROR(__xludf.DUMMYFUNCTION("if(D219=iferror(filter('Character Sheet'!D$13:D3002,'Character Sheet'!D$13:D3002=D219),""""),True,False)"),FALSE)</f>
        <v>0</v>
      </c>
      <c r="C219" s="20">
        <v>200</v>
      </c>
      <c r="D219" s="2" t="s">
        <v>571</v>
      </c>
      <c r="E219" s="2" t="s">
        <v>149</v>
      </c>
      <c r="F219" s="20" t="s">
        <v>53</v>
      </c>
      <c r="G219" s="2" t="s">
        <v>572</v>
      </c>
      <c r="H219" s="16"/>
      <c r="I219" s="20"/>
      <c r="J219" s="20"/>
      <c r="K219" s="20"/>
      <c r="L219" s="20"/>
      <c r="M219" s="20"/>
      <c r="N219" s="20"/>
      <c r="O219" s="20"/>
      <c r="P219" s="20"/>
      <c r="Q219" s="20"/>
      <c r="R219" s="20"/>
      <c r="S219" s="20"/>
      <c r="T219" s="20"/>
      <c r="U219" s="20"/>
      <c r="V219" s="20"/>
      <c r="W219" s="20"/>
      <c r="X219" s="20"/>
      <c r="Y219" s="20"/>
      <c r="Z219" s="20"/>
      <c r="AA219" s="20"/>
    </row>
    <row r="220" spans="1:27" ht="69.599999999999994" x14ac:dyDescent="0.25">
      <c r="A220" s="16"/>
      <c r="B220" s="20" t="b">
        <f ca="1">IFERROR(__xludf.DUMMYFUNCTION("if(D220=iferror(filter('Character Sheet'!D$13:D3002,'Character Sheet'!D$13:D3002=D220),""""),True,False)"),FALSE)</f>
        <v>0</v>
      </c>
      <c r="C220" s="20">
        <v>200</v>
      </c>
      <c r="D220" s="2" t="s">
        <v>573</v>
      </c>
      <c r="E220" s="2" t="s">
        <v>187</v>
      </c>
      <c r="F220" s="20" t="s">
        <v>53</v>
      </c>
      <c r="G220" s="2" t="s">
        <v>574</v>
      </c>
      <c r="H220" s="16"/>
      <c r="I220" s="20"/>
      <c r="J220" s="20"/>
      <c r="K220" s="20"/>
      <c r="L220" s="20"/>
      <c r="M220" s="20"/>
      <c r="N220" s="20"/>
      <c r="O220" s="20"/>
      <c r="P220" s="20"/>
      <c r="Q220" s="20"/>
      <c r="R220" s="20"/>
      <c r="S220" s="20"/>
      <c r="T220" s="20"/>
      <c r="U220" s="20"/>
      <c r="V220" s="20"/>
      <c r="W220" s="20"/>
      <c r="X220" s="20"/>
      <c r="Y220" s="20"/>
      <c r="Z220" s="20"/>
      <c r="AA220" s="20"/>
    </row>
    <row r="221" spans="1:27" ht="139.19999999999999" x14ac:dyDescent="0.25">
      <c r="A221" s="16"/>
      <c r="B221" s="20" t="b">
        <f ca="1">IFERROR(__xludf.DUMMYFUNCTION("if(D221=iferror(filter('Character Sheet'!D$13:D3002,'Character Sheet'!D$13:D3002=D221),""""),True,False)"),FALSE)</f>
        <v>0</v>
      </c>
      <c r="C221" s="20">
        <v>200</v>
      </c>
      <c r="D221" s="2" t="s">
        <v>575</v>
      </c>
      <c r="E221" s="2" t="s">
        <v>576</v>
      </c>
      <c r="F221" s="20" t="s">
        <v>53</v>
      </c>
      <c r="G221" s="2" t="s">
        <v>577</v>
      </c>
      <c r="H221" s="16"/>
      <c r="I221" s="20"/>
      <c r="J221" s="20"/>
      <c r="K221" s="20"/>
      <c r="L221" s="20"/>
      <c r="M221" s="20"/>
      <c r="N221" s="20"/>
      <c r="O221" s="20"/>
      <c r="P221" s="20"/>
      <c r="Q221" s="20"/>
      <c r="R221" s="20"/>
      <c r="S221" s="20"/>
      <c r="T221" s="20"/>
      <c r="U221" s="20"/>
      <c r="V221" s="20"/>
      <c r="W221" s="20"/>
      <c r="X221" s="20"/>
      <c r="Y221" s="20"/>
      <c r="Z221" s="20"/>
      <c r="AA221" s="20"/>
    </row>
    <row r="222" spans="1:27" ht="156.6" x14ac:dyDescent="0.25">
      <c r="A222" s="16"/>
      <c r="B222" s="20" t="b">
        <f ca="1">IFERROR(__xludf.DUMMYFUNCTION("if(D222=iferror(filter('Character Sheet'!D$13:D3002,'Character Sheet'!D$13:D3002=D222),""""),True,False)"),FALSE)</f>
        <v>0</v>
      </c>
      <c r="C222" s="20">
        <v>200</v>
      </c>
      <c r="D222" s="2" t="s">
        <v>578</v>
      </c>
      <c r="E222" s="2" t="s">
        <v>124</v>
      </c>
      <c r="F222" s="20" t="s">
        <v>53</v>
      </c>
      <c r="G222" s="2" t="s">
        <v>579</v>
      </c>
      <c r="H222" s="16"/>
      <c r="I222" s="20"/>
      <c r="J222" s="20"/>
      <c r="K222" s="20"/>
      <c r="L222" s="20"/>
      <c r="M222" s="20"/>
      <c r="N222" s="20"/>
      <c r="O222" s="20"/>
      <c r="P222" s="20"/>
      <c r="Q222" s="20"/>
      <c r="R222" s="20"/>
      <c r="S222" s="20"/>
      <c r="T222" s="20"/>
      <c r="U222" s="20"/>
      <c r="V222" s="20"/>
      <c r="W222" s="20"/>
      <c r="X222" s="20"/>
      <c r="Y222" s="20"/>
      <c r="Z222" s="20"/>
      <c r="AA222" s="20"/>
    </row>
    <row r="223" spans="1:27" ht="174" x14ac:dyDescent="0.25">
      <c r="A223" s="16"/>
      <c r="B223" s="20" t="b">
        <f ca="1">IFERROR(__xludf.DUMMYFUNCTION("if(D223=iferror(filter('Character Sheet'!D$13:D3002,'Character Sheet'!D$13:D3002=D223),""""),True,False)"),FALSE)</f>
        <v>0</v>
      </c>
      <c r="C223" s="20">
        <v>200</v>
      </c>
      <c r="D223" s="2" t="s">
        <v>580</v>
      </c>
      <c r="E223" s="2" t="s">
        <v>211</v>
      </c>
      <c r="F223" s="20" t="s">
        <v>53</v>
      </c>
      <c r="G223" s="2" t="s">
        <v>581</v>
      </c>
      <c r="H223" s="16"/>
      <c r="I223" s="20"/>
      <c r="J223" s="20"/>
      <c r="K223" s="20"/>
      <c r="L223" s="20"/>
      <c r="M223" s="20"/>
      <c r="N223" s="20"/>
      <c r="O223" s="20"/>
      <c r="P223" s="20"/>
      <c r="Q223" s="20"/>
      <c r="R223" s="20"/>
      <c r="S223" s="20"/>
      <c r="T223" s="20"/>
      <c r="U223" s="20"/>
      <c r="V223" s="20"/>
      <c r="W223" s="20"/>
      <c r="X223" s="20"/>
      <c r="Y223" s="20"/>
      <c r="Z223" s="20"/>
      <c r="AA223" s="20"/>
    </row>
    <row r="224" spans="1:27" ht="52.2" x14ac:dyDescent="0.25">
      <c r="A224" s="16"/>
      <c r="B224" s="20" t="b">
        <f ca="1">IFERROR(__xludf.DUMMYFUNCTION("if(D224=iferror(filter('Character Sheet'!D$13:D3002,'Character Sheet'!D$13:D3002=D224),""""),True,False)"),FALSE)</f>
        <v>0</v>
      </c>
      <c r="C224" s="20">
        <v>200</v>
      </c>
      <c r="D224" s="2" t="s">
        <v>582</v>
      </c>
      <c r="E224" s="2" t="s">
        <v>583</v>
      </c>
      <c r="F224" s="20" t="s">
        <v>53</v>
      </c>
      <c r="G224" s="2" t="s">
        <v>584</v>
      </c>
      <c r="H224" s="16"/>
      <c r="I224" s="20"/>
      <c r="J224" s="20"/>
      <c r="K224" s="20"/>
      <c r="L224" s="20"/>
      <c r="M224" s="20"/>
      <c r="N224" s="20"/>
      <c r="O224" s="20"/>
      <c r="P224" s="20"/>
      <c r="Q224" s="20"/>
      <c r="R224" s="20"/>
      <c r="S224" s="20"/>
      <c r="T224" s="20"/>
      <c r="U224" s="20"/>
      <c r="V224" s="20"/>
      <c r="W224" s="20"/>
      <c r="X224" s="20"/>
      <c r="Y224" s="20"/>
      <c r="Z224" s="20"/>
      <c r="AA224" s="20"/>
    </row>
    <row r="225" spans="1:27" ht="87" x14ac:dyDescent="0.25">
      <c r="A225" s="16"/>
      <c r="B225" s="20" t="b">
        <f ca="1">IFERROR(__xludf.DUMMYFUNCTION("if(D225=iferror(filter('Character Sheet'!D$13:D3002,'Character Sheet'!D$13:D3002=D225),""""),True,False)"),FALSE)</f>
        <v>0</v>
      </c>
      <c r="C225" s="20">
        <v>200</v>
      </c>
      <c r="D225" s="2" t="s">
        <v>585</v>
      </c>
      <c r="E225" s="2" t="s">
        <v>202</v>
      </c>
      <c r="F225" s="20" t="s">
        <v>53</v>
      </c>
      <c r="G225" s="2" t="s">
        <v>586</v>
      </c>
      <c r="H225" s="16"/>
      <c r="I225" s="20"/>
      <c r="J225" s="20"/>
      <c r="K225" s="20"/>
      <c r="L225" s="20"/>
      <c r="M225" s="20"/>
      <c r="N225" s="20"/>
      <c r="O225" s="20"/>
      <c r="P225" s="20"/>
      <c r="Q225" s="20"/>
      <c r="R225" s="20"/>
      <c r="S225" s="20"/>
      <c r="T225" s="20"/>
      <c r="U225" s="20"/>
      <c r="V225" s="20"/>
      <c r="W225" s="20"/>
      <c r="X225" s="20"/>
      <c r="Y225" s="20"/>
      <c r="Z225" s="20"/>
      <c r="AA225" s="20"/>
    </row>
    <row r="226" spans="1:27" ht="69.599999999999994" x14ac:dyDescent="0.25">
      <c r="A226" s="16"/>
      <c r="B226" s="20" t="b">
        <f ca="1">IFERROR(__xludf.DUMMYFUNCTION("if(D226=iferror(filter('Character Sheet'!D$13:D3002,'Character Sheet'!D$13:D3002=D226),""""),True,False)"),FALSE)</f>
        <v>0</v>
      </c>
      <c r="C226" s="20">
        <v>200</v>
      </c>
      <c r="D226" s="2" t="s">
        <v>587</v>
      </c>
      <c r="E226" s="2" t="s">
        <v>241</v>
      </c>
      <c r="F226" s="20" t="s">
        <v>53</v>
      </c>
      <c r="G226" s="2" t="s">
        <v>588</v>
      </c>
      <c r="H226" s="16"/>
      <c r="I226" s="20"/>
      <c r="J226" s="20"/>
      <c r="K226" s="20"/>
      <c r="L226" s="20"/>
      <c r="M226" s="20"/>
      <c r="N226" s="20"/>
      <c r="O226" s="20"/>
      <c r="P226" s="20"/>
      <c r="Q226" s="20"/>
      <c r="R226" s="20"/>
      <c r="S226" s="20"/>
      <c r="T226" s="20"/>
      <c r="U226" s="20"/>
      <c r="V226" s="20"/>
      <c r="W226" s="20"/>
      <c r="X226" s="20"/>
      <c r="Y226" s="20"/>
      <c r="Z226" s="20"/>
      <c r="AA226" s="20"/>
    </row>
    <row r="227" spans="1:27" ht="69.599999999999994" x14ac:dyDescent="0.25">
      <c r="A227" s="16"/>
      <c r="B227" s="20" t="b">
        <f ca="1">IFERROR(__xludf.DUMMYFUNCTION("if(D227=iferror(filter('Character Sheet'!D$13:D3002,'Character Sheet'!D$13:D3002=D227),""""),True,False)"),FALSE)</f>
        <v>0</v>
      </c>
      <c r="C227" s="20">
        <v>200</v>
      </c>
      <c r="D227" s="2" t="s">
        <v>589</v>
      </c>
      <c r="E227" s="2" t="s">
        <v>274</v>
      </c>
      <c r="F227" s="20" t="s">
        <v>53</v>
      </c>
      <c r="G227" s="2" t="s">
        <v>590</v>
      </c>
      <c r="H227" s="16"/>
      <c r="I227" s="20"/>
      <c r="J227" s="20"/>
      <c r="K227" s="20"/>
      <c r="L227" s="20"/>
      <c r="M227" s="20"/>
      <c r="N227" s="20"/>
      <c r="O227" s="20"/>
      <c r="P227" s="20"/>
      <c r="Q227" s="20"/>
      <c r="R227" s="20"/>
      <c r="S227" s="20"/>
      <c r="T227" s="20"/>
      <c r="U227" s="20"/>
      <c r="V227" s="20"/>
      <c r="W227" s="20"/>
      <c r="X227" s="20"/>
      <c r="Y227" s="20"/>
      <c r="Z227" s="20"/>
      <c r="AA227" s="20"/>
    </row>
    <row r="228" spans="1:27" ht="69.599999999999994" x14ac:dyDescent="0.25">
      <c r="A228" s="16"/>
      <c r="B228" s="20" t="b">
        <f ca="1">IFERROR(__xludf.DUMMYFUNCTION("if(D228=iferror(filter('Character Sheet'!D$13:D3002,'Character Sheet'!D$13:D3002=D228),""""),True,False)"),FALSE)</f>
        <v>0</v>
      </c>
      <c r="C228" s="20">
        <v>200</v>
      </c>
      <c r="D228" s="2" t="s">
        <v>591</v>
      </c>
      <c r="E228" s="2" t="s">
        <v>592</v>
      </c>
      <c r="F228" s="20" t="s">
        <v>53</v>
      </c>
      <c r="G228" s="2" t="s">
        <v>593</v>
      </c>
      <c r="H228" s="16"/>
      <c r="I228" s="20"/>
      <c r="J228" s="20"/>
      <c r="K228" s="20"/>
      <c r="L228" s="20"/>
      <c r="M228" s="20"/>
      <c r="N228" s="20"/>
      <c r="O228" s="20"/>
      <c r="P228" s="20"/>
      <c r="Q228" s="20"/>
      <c r="R228" s="20"/>
      <c r="S228" s="20"/>
      <c r="T228" s="20"/>
      <c r="U228" s="20"/>
      <c r="V228" s="20"/>
      <c r="W228" s="20"/>
      <c r="X228" s="20"/>
      <c r="Y228" s="20"/>
      <c r="Z228" s="20"/>
      <c r="AA228" s="20"/>
    </row>
    <row r="229" spans="1:27" ht="121.8" x14ac:dyDescent="0.25">
      <c r="A229" s="16"/>
      <c r="B229" s="20" t="b">
        <f ca="1">IFERROR(__xludf.DUMMYFUNCTION("if(D229=iferror(filter('Character Sheet'!D$13:D3002,'Character Sheet'!D$13:D3002=D229),""""),True,False)"),FALSE)</f>
        <v>0</v>
      </c>
      <c r="C229" s="20">
        <v>200</v>
      </c>
      <c r="D229" s="2" t="s">
        <v>594</v>
      </c>
      <c r="E229" s="2" t="s">
        <v>331</v>
      </c>
      <c r="F229" s="20" t="s">
        <v>53</v>
      </c>
      <c r="G229" s="2" t="s">
        <v>595</v>
      </c>
      <c r="H229" s="16"/>
      <c r="I229" s="20"/>
      <c r="J229" s="20"/>
      <c r="K229" s="20"/>
      <c r="L229" s="20"/>
      <c r="M229" s="20"/>
      <c r="N229" s="20"/>
      <c r="O229" s="20"/>
      <c r="P229" s="20"/>
      <c r="Q229" s="20"/>
      <c r="R229" s="20"/>
      <c r="S229" s="20"/>
      <c r="T229" s="20"/>
      <c r="U229" s="20"/>
      <c r="V229" s="20"/>
      <c r="W229" s="20"/>
      <c r="X229" s="20"/>
      <c r="Y229" s="20"/>
      <c r="Z229" s="20"/>
      <c r="AA229" s="20"/>
    </row>
    <row r="230" spans="1:27" ht="139.19999999999999" x14ac:dyDescent="0.25">
      <c r="A230" s="16"/>
      <c r="B230" s="20" t="b">
        <f ca="1">IFERROR(__xludf.DUMMYFUNCTION("if(D230=iferror(filter('Character Sheet'!D$13:D3002,'Character Sheet'!D$13:D3002=D230),""""),True,False)"),FALSE)</f>
        <v>0</v>
      </c>
      <c r="C230" s="20">
        <v>200</v>
      </c>
      <c r="D230" s="2" t="s">
        <v>596</v>
      </c>
      <c r="E230" s="2" t="s">
        <v>230</v>
      </c>
      <c r="F230" s="20" t="s">
        <v>53</v>
      </c>
      <c r="G230" s="2" t="s">
        <v>597</v>
      </c>
      <c r="H230" s="16"/>
      <c r="I230" s="20"/>
      <c r="J230" s="20"/>
      <c r="K230" s="20"/>
      <c r="L230" s="20"/>
      <c r="M230" s="20"/>
      <c r="N230" s="20"/>
      <c r="O230" s="20"/>
      <c r="P230" s="20"/>
      <c r="Q230" s="20"/>
      <c r="R230" s="20"/>
      <c r="S230" s="20"/>
      <c r="T230" s="20"/>
      <c r="U230" s="20"/>
      <c r="V230" s="20"/>
      <c r="W230" s="20"/>
      <c r="X230" s="20"/>
      <c r="Y230" s="20"/>
      <c r="Z230" s="20"/>
      <c r="AA230" s="20"/>
    </row>
    <row r="231" spans="1:27" ht="174" x14ac:dyDescent="0.25">
      <c r="A231" s="16"/>
      <c r="B231" s="20" t="b">
        <f ca="1">IFERROR(__xludf.DUMMYFUNCTION("if(D231=iferror(filter('Character Sheet'!D$13:D3002,'Character Sheet'!D$13:D3002=D231),""""),True,False)"),FALSE)</f>
        <v>0</v>
      </c>
      <c r="C231" s="20">
        <v>200</v>
      </c>
      <c r="D231" s="2" t="s">
        <v>598</v>
      </c>
      <c r="E231" s="2" t="s">
        <v>250</v>
      </c>
      <c r="F231" s="20" t="s">
        <v>53</v>
      </c>
      <c r="G231" s="2" t="s">
        <v>599</v>
      </c>
      <c r="H231" s="16"/>
      <c r="I231" s="20"/>
      <c r="J231" s="20"/>
      <c r="K231" s="20"/>
      <c r="L231" s="20"/>
      <c r="M231" s="20"/>
      <c r="N231" s="20"/>
      <c r="O231" s="20"/>
      <c r="P231" s="20"/>
      <c r="Q231" s="20"/>
      <c r="R231" s="20"/>
      <c r="S231" s="20"/>
      <c r="T231" s="20"/>
      <c r="U231" s="20"/>
      <c r="V231" s="20"/>
      <c r="W231" s="20"/>
      <c r="X231" s="20"/>
      <c r="Y231" s="20"/>
      <c r="Z231" s="20"/>
      <c r="AA231" s="20"/>
    </row>
    <row r="232" spans="1:27" ht="191.4" x14ac:dyDescent="0.25">
      <c r="A232" s="16"/>
      <c r="B232" s="20" t="b">
        <f ca="1">IFERROR(__xludf.DUMMYFUNCTION("if(D232=iferror(filter('Character Sheet'!D$13:D3002,'Character Sheet'!D$13:D3002=D232),""""),True,False)"),FALSE)</f>
        <v>0</v>
      </c>
      <c r="C232" s="20">
        <v>200</v>
      </c>
      <c r="D232" s="2" t="s">
        <v>600</v>
      </c>
      <c r="E232" s="2" t="s">
        <v>435</v>
      </c>
      <c r="F232" s="20" t="s">
        <v>53</v>
      </c>
      <c r="G232" s="2" t="s">
        <v>601</v>
      </c>
      <c r="H232" s="16"/>
      <c r="I232" s="20"/>
      <c r="J232" s="20"/>
      <c r="K232" s="20"/>
      <c r="L232" s="20"/>
      <c r="M232" s="20"/>
      <c r="N232" s="20"/>
      <c r="O232" s="20"/>
      <c r="P232" s="20"/>
      <c r="Q232" s="20"/>
      <c r="R232" s="20"/>
      <c r="S232" s="20"/>
      <c r="T232" s="20"/>
      <c r="U232" s="20"/>
      <c r="V232" s="20"/>
      <c r="W232" s="20"/>
      <c r="X232" s="20"/>
      <c r="Y232" s="20"/>
      <c r="Z232" s="20"/>
      <c r="AA232" s="20"/>
    </row>
    <row r="233" spans="1:27" ht="87" x14ac:dyDescent="0.25">
      <c r="A233" s="16"/>
      <c r="B233" s="20" t="b">
        <f ca="1">IFERROR(__xludf.DUMMYFUNCTION("if(D233=iferror(filter('Character Sheet'!D$13:D3002,'Character Sheet'!D$13:D3002=D233),""""),True,False)"),FALSE)</f>
        <v>0</v>
      </c>
      <c r="C233" s="20">
        <v>200</v>
      </c>
      <c r="D233" s="2" t="s">
        <v>602</v>
      </c>
      <c r="E233" s="2" t="s">
        <v>603</v>
      </c>
      <c r="F233" s="20" t="s">
        <v>53</v>
      </c>
      <c r="G233" s="2" t="s">
        <v>604</v>
      </c>
      <c r="H233" s="16"/>
      <c r="I233" s="20"/>
      <c r="J233" s="20"/>
      <c r="K233" s="20"/>
      <c r="L233" s="20"/>
      <c r="M233" s="20"/>
      <c r="N233" s="20"/>
      <c r="O233" s="20"/>
      <c r="P233" s="20"/>
      <c r="Q233" s="20"/>
      <c r="R233" s="20"/>
      <c r="S233" s="20"/>
      <c r="T233" s="20"/>
      <c r="U233" s="20"/>
      <c r="V233" s="20"/>
      <c r="W233" s="20"/>
      <c r="X233" s="20"/>
      <c r="Y233" s="20"/>
      <c r="Z233" s="20"/>
      <c r="AA233" s="20"/>
    </row>
    <row r="234" spans="1:27" ht="156.6" x14ac:dyDescent="0.25">
      <c r="A234" s="16"/>
      <c r="B234" s="20" t="b">
        <f ca="1">IFERROR(__xludf.DUMMYFUNCTION("if(D234=iferror(filter('Character Sheet'!D$13:D3002,'Character Sheet'!D$13:D3002=D234),""""),True,False)"),FALSE)</f>
        <v>0</v>
      </c>
      <c r="C234" s="20">
        <v>200</v>
      </c>
      <c r="D234" s="2" t="s">
        <v>605</v>
      </c>
      <c r="E234" s="2" t="s">
        <v>311</v>
      </c>
      <c r="F234" s="20" t="s">
        <v>53</v>
      </c>
      <c r="G234" s="2" t="s">
        <v>606</v>
      </c>
      <c r="H234" s="16"/>
      <c r="I234" s="20"/>
      <c r="J234" s="20"/>
      <c r="K234" s="20"/>
      <c r="L234" s="20"/>
      <c r="M234" s="20"/>
      <c r="N234" s="20"/>
      <c r="O234" s="20"/>
      <c r="P234" s="20"/>
      <c r="Q234" s="20"/>
      <c r="R234" s="20"/>
      <c r="S234" s="20"/>
      <c r="T234" s="20"/>
      <c r="U234" s="20"/>
      <c r="V234" s="20"/>
      <c r="W234" s="20"/>
      <c r="X234" s="20"/>
      <c r="Y234" s="20"/>
      <c r="Z234" s="20"/>
      <c r="AA234" s="20"/>
    </row>
    <row r="235" spans="1:27" ht="69.599999999999994" x14ac:dyDescent="0.25">
      <c r="A235" s="16"/>
      <c r="B235" s="20" t="b">
        <f ca="1">IFERROR(__xludf.DUMMYFUNCTION("if(D235=iferror(filter('Character Sheet'!D$13:D3002,'Character Sheet'!D$13:D3002=D235),""""),True,False)"),FALSE)</f>
        <v>0</v>
      </c>
      <c r="C235" s="20">
        <v>200</v>
      </c>
      <c r="D235" s="2" t="s">
        <v>607</v>
      </c>
      <c r="E235" s="2" t="s">
        <v>435</v>
      </c>
      <c r="F235" s="20" t="s">
        <v>53</v>
      </c>
      <c r="G235" s="2" t="s">
        <v>608</v>
      </c>
      <c r="H235" s="16"/>
      <c r="I235" s="20"/>
      <c r="J235" s="20"/>
      <c r="K235" s="20"/>
      <c r="L235" s="20"/>
      <c r="M235" s="20"/>
      <c r="N235" s="20"/>
      <c r="O235" s="20"/>
      <c r="P235" s="20"/>
      <c r="Q235" s="20"/>
      <c r="R235" s="20"/>
      <c r="S235" s="20"/>
      <c r="T235" s="20"/>
      <c r="U235" s="20"/>
      <c r="V235" s="20"/>
      <c r="W235" s="20"/>
      <c r="X235" s="20"/>
      <c r="Y235" s="20"/>
      <c r="Z235" s="20"/>
      <c r="AA235" s="20"/>
    </row>
    <row r="236" spans="1:27" ht="87" x14ac:dyDescent="0.25">
      <c r="A236" s="16"/>
      <c r="B236" s="20" t="b">
        <f ca="1">IFERROR(__xludf.DUMMYFUNCTION("if(D236=iferror(filter('Character Sheet'!D$13:D3002,'Character Sheet'!D$13:D3002=D236),""""),True,False)"),FALSE)</f>
        <v>0</v>
      </c>
      <c r="C236" s="20">
        <v>200</v>
      </c>
      <c r="D236" s="2" t="s">
        <v>609</v>
      </c>
      <c r="E236" s="2" t="s">
        <v>610</v>
      </c>
      <c r="F236" s="20" t="s">
        <v>53</v>
      </c>
      <c r="G236" s="2" t="s">
        <v>611</v>
      </c>
      <c r="H236" s="16"/>
      <c r="I236" s="20"/>
      <c r="J236" s="20"/>
      <c r="K236" s="20"/>
      <c r="L236" s="20"/>
      <c r="M236" s="20"/>
      <c r="N236" s="20"/>
      <c r="O236" s="20"/>
      <c r="P236" s="20"/>
      <c r="Q236" s="20"/>
      <c r="R236" s="20"/>
      <c r="S236" s="20"/>
      <c r="T236" s="20"/>
      <c r="U236" s="20"/>
      <c r="V236" s="20"/>
      <c r="W236" s="20"/>
      <c r="X236" s="20"/>
      <c r="Y236" s="20"/>
      <c r="Z236" s="20"/>
      <c r="AA236" s="20"/>
    </row>
    <row r="237" spans="1:27" ht="104.4" x14ac:dyDescent="0.25">
      <c r="A237" s="16"/>
      <c r="B237" s="20" t="b">
        <f ca="1">IFERROR(__xludf.DUMMYFUNCTION("if(D237=iferror(filter('Character Sheet'!D$13:D3002,'Character Sheet'!D$13:D3002=D237),""""),True,False)"),FALSE)</f>
        <v>0</v>
      </c>
      <c r="C237" s="20">
        <v>200</v>
      </c>
      <c r="D237" s="2" t="s">
        <v>612</v>
      </c>
      <c r="E237" s="2" t="s">
        <v>378</v>
      </c>
      <c r="F237" s="20" t="s">
        <v>53</v>
      </c>
      <c r="G237" s="2" t="s">
        <v>613</v>
      </c>
      <c r="H237" s="16"/>
      <c r="I237" s="20"/>
      <c r="J237" s="20"/>
      <c r="K237" s="20"/>
      <c r="L237" s="20"/>
      <c r="M237" s="20"/>
      <c r="N237" s="20"/>
      <c r="O237" s="20"/>
      <c r="P237" s="20"/>
      <c r="Q237" s="20"/>
      <c r="R237" s="20"/>
      <c r="S237" s="20"/>
      <c r="T237" s="20"/>
      <c r="U237" s="20"/>
      <c r="V237" s="20"/>
      <c r="W237" s="20"/>
      <c r="X237" s="20"/>
      <c r="Y237" s="20"/>
      <c r="Z237" s="20"/>
      <c r="AA237" s="20"/>
    </row>
    <row r="238" spans="1:27" ht="121.8" x14ac:dyDescent="0.25">
      <c r="A238" s="16"/>
      <c r="B238" s="20" t="b">
        <f ca="1">IFERROR(__xludf.DUMMYFUNCTION("if(D238=iferror(filter('Character Sheet'!D$13:D3002,'Character Sheet'!D$13:D3002=D238),""""),True,False)"),FALSE)</f>
        <v>0</v>
      </c>
      <c r="C238" s="20">
        <v>200</v>
      </c>
      <c r="D238" s="2" t="s">
        <v>614</v>
      </c>
      <c r="E238" s="2" t="s">
        <v>615</v>
      </c>
      <c r="F238" s="20" t="s">
        <v>53</v>
      </c>
      <c r="G238" s="2" t="s">
        <v>616</v>
      </c>
      <c r="H238" s="16"/>
      <c r="I238" s="20"/>
      <c r="J238" s="20"/>
      <c r="K238" s="20"/>
      <c r="L238" s="20"/>
      <c r="M238" s="20"/>
      <c r="N238" s="20"/>
      <c r="O238" s="20"/>
      <c r="P238" s="20"/>
      <c r="Q238" s="20"/>
      <c r="R238" s="20"/>
      <c r="S238" s="20"/>
      <c r="T238" s="20"/>
      <c r="U238" s="20"/>
      <c r="V238" s="20"/>
      <c r="W238" s="20"/>
      <c r="X238" s="20"/>
      <c r="Y238" s="20"/>
      <c r="Z238" s="20"/>
      <c r="AA238" s="20"/>
    </row>
    <row r="239" spans="1:27" ht="104.4" x14ac:dyDescent="0.25">
      <c r="A239" s="16"/>
      <c r="B239" s="20" t="b">
        <f ca="1">IFERROR(__xludf.DUMMYFUNCTION("if(D239=iferror(filter('Character Sheet'!D$13:D3002,'Character Sheet'!D$13:D3002=D239),""""),True,False)"),FALSE)</f>
        <v>0</v>
      </c>
      <c r="C239" s="20">
        <v>200</v>
      </c>
      <c r="D239" s="2" t="s">
        <v>617</v>
      </c>
      <c r="E239" s="2" t="s">
        <v>238</v>
      </c>
      <c r="F239" s="20" t="s">
        <v>53</v>
      </c>
      <c r="G239" s="2" t="s">
        <v>618</v>
      </c>
      <c r="H239" s="16"/>
      <c r="I239" s="20"/>
      <c r="J239" s="20"/>
      <c r="K239" s="20"/>
      <c r="L239" s="20"/>
      <c r="M239" s="20"/>
      <c r="N239" s="20"/>
      <c r="O239" s="20"/>
      <c r="P239" s="20"/>
      <c r="Q239" s="20"/>
      <c r="R239" s="20"/>
      <c r="S239" s="20"/>
      <c r="T239" s="20"/>
      <c r="U239" s="20"/>
      <c r="V239" s="20"/>
      <c r="W239" s="20"/>
      <c r="X239" s="20"/>
      <c r="Y239" s="20"/>
      <c r="Z239" s="20"/>
      <c r="AA239" s="20"/>
    </row>
    <row r="240" spans="1:27" ht="121.8" x14ac:dyDescent="0.25">
      <c r="A240" s="16"/>
      <c r="B240" s="20" t="b">
        <f ca="1">IFERROR(__xludf.DUMMYFUNCTION("if(D240=iferror(filter('Character Sheet'!D$13:D3002,'Character Sheet'!D$13:D3002=D240),""""),True,False)"),FALSE)</f>
        <v>0</v>
      </c>
      <c r="C240" s="20">
        <v>200</v>
      </c>
      <c r="D240" s="2" t="s">
        <v>619</v>
      </c>
      <c r="E240" s="2" t="s">
        <v>122</v>
      </c>
      <c r="F240" s="20" t="s">
        <v>53</v>
      </c>
      <c r="G240" s="2" t="s">
        <v>620</v>
      </c>
      <c r="H240" s="16"/>
      <c r="I240" s="20"/>
      <c r="J240" s="20"/>
      <c r="K240" s="20"/>
      <c r="L240" s="20"/>
      <c r="M240" s="20"/>
      <c r="N240" s="20"/>
      <c r="O240" s="20"/>
      <c r="P240" s="20"/>
      <c r="Q240" s="20"/>
      <c r="R240" s="20"/>
      <c r="S240" s="20"/>
      <c r="T240" s="20"/>
      <c r="U240" s="20"/>
      <c r="V240" s="20"/>
      <c r="W240" s="20"/>
      <c r="X240" s="20"/>
      <c r="Y240" s="20"/>
      <c r="Z240" s="20"/>
      <c r="AA240" s="20"/>
    </row>
    <row r="241" spans="1:27" ht="87" x14ac:dyDescent="0.25">
      <c r="A241" s="16"/>
      <c r="B241" s="20" t="b">
        <f ca="1">IFERROR(__xludf.DUMMYFUNCTION("if(D241=iferror(filter('Character Sheet'!D$13:D3002,'Character Sheet'!D$13:D3002=D241),""""),True,False)"),FALSE)</f>
        <v>0</v>
      </c>
      <c r="C241" s="20">
        <v>200</v>
      </c>
      <c r="D241" s="2" t="s">
        <v>621</v>
      </c>
      <c r="E241" s="2" t="s">
        <v>285</v>
      </c>
      <c r="F241" s="20" t="s">
        <v>53</v>
      </c>
      <c r="G241" s="2" t="s">
        <v>622</v>
      </c>
      <c r="H241" s="16"/>
      <c r="I241" s="20"/>
      <c r="J241" s="20"/>
      <c r="K241" s="20"/>
      <c r="L241" s="20"/>
      <c r="M241" s="20"/>
      <c r="N241" s="20"/>
      <c r="O241" s="20"/>
      <c r="P241" s="20"/>
      <c r="Q241" s="20"/>
      <c r="R241" s="20"/>
      <c r="S241" s="20"/>
      <c r="T241" s="20"/>
      <c r="U241" s="20"/>
      <c r="V241" s="20"/>
      <c r="W241" s="20"/>
      <c r="X241" s="20"/>
      <c r="Y241" s="20"/>
      <c r="Z241" s="20"/>
      <c r="AA241" s="20"/>
    </row>
    <row r="242" spans="1:27" ht="104.4" x14ac:dyDescent="0.25">
      <c r="A242" s="16"/>
      <c r="B242" s="20" t="b">
        <f ca="1">IFERROR(__xludf.DUMMYFUNCTION("if(D242=iferror(filter('Character Sheet'!D$13:D3002,'Character Sheet'!D$13:D3002=D242),""""),True,False)"),FALSE)</f>
        <v>0</v>
      </c>
      <c r="C242" s="20">
        <v>200</v>
      </c>
      <c r="D242" s="2" t="s">
        <v>623</v>
      </c>
      <c r="E242" s="2" t="s">
        <v>282</v>
      </c>
      <c r="F242" s="20" t="s">
        <v>53</v>
      </c>
      <c r="G242" s="2" t="s">
        <v>624</v>
      </c>
      <c r="H242" s="16"/>
      <c r="I242" s="20"/>
      <c r="J242" s="20"/>
      <c r="K242" s="20"/>
      <c r="L242" s="20"/>
      <c r="M242" s="20"/>
      <c r="N242" s="20"/>
      <c r="O242" s="20"/>
      <c r="P242" s="20"/>
      <c r="Q242" s="20"/>
      <c r="R242" s="20"/>
      <c r="S242" s="20"/>
      <c r="T242" s="20"/>
      <c r="U242" s="20"/>
      <c r="V242" s="20"/>
      <c r="W242" s="20"/>
      <c r="X242" s="20"/>
      <c r="Y242" s="20"/>
      <c r="Z242" s="20"/>
      <c r="AA242" s="20"/>
    </row>
    <row r="243" spans="1:27" ht="409.6" x14ac:dyDescent="0.25">
      <c r="A243" s="16"/>
      <c r="B243" s="20" t="b">
        <f ca="1">IFERROR(__xludf.DUMMYFUNCTION("if(D243=iferror(filter('Character Sheet'!D$13:D3002,'Character Sheet'!D$13:D3002=D243),""""),True,False)"),FALSE)</f>
        <v>0</v>
      </c>
      <c r="C243" s="20">
        <v>300</v>
      </c>
      <c r="D243" s="2" t="s">
        <v>625</v>
      </c>
      <c r="E243" s="2" t="s">
        <v>84</v>
      </c>
      <c r="F243" s="20" t="s">
        <v>53</v>
      </c>
      <c r="G243" s="2" t="s">
        <v>626</v>
      </c>
      <c r="H243" s="16"/>
      <c r="I243" s="20"/>
      <c r="J243" s="20"/>
      <c r="K243" s="20"/>
      <c r="L243" s="20"/>
      <c r="M243" s="20"/>
      <c r="N243" s="20"/>
      <c r="O243" s="20"/>
      <c r="P243" s="20"/>
      <c r="Q243" s="20"/>
      <c r="R243" s="20"/>
      <c r="S243" s="20"/>
      <c r="T243" s="20"/>
      <c r="U243" s="20"/>
      <c r="V243" s="20"/>
      <c r="W243" s="20"/>
      <c r="X243" s="20"/>
      <c r="Y243" s="20"/>
      <c r="Z243" s="20"/>
      <c r="AA243" s="20"/>
    </row>
    <row r="244" spans="1:27" ht="69.599999999999994" x14ac:dyDescent="0.25">
      <c r="A244" s="16"/>
      <c r="B244" s="20" t="b">
        <f ca="1">IFERROR(__xludf.DUMMYFUNCTION("if(D244=iferror(filter('Character Sheet'!D$13:D3002,'Character Sheet'!D$13:D3002=D244),""""),True,False)"),FALSE)</f>
        <v>0</v>
      </c>
      <c r="C244" s="20">
        <v>300</v>
      </c>
      <c r="D244" s="2" t="s">
        <v>627</v>
      </c>
      <c r="E244" s="2" t="s">
        <v>391</v>
      </c>
      <c r="F244" s="20" t="s">
        <v>53</v>
      </c>
      <c r="G244" s="2" t="s">
        <v>628</v>
      </c>
      <c r="H244" s="16"/>
      <c r="I244" s="20"/>
      <c r="J244" s="20"/>
      <c r="K244" s="20"/>
      <c r="L244" s="20"/>
      <c r="M244" s="20"/>
      <c r="N244" s="20"/>
      <c r="O244" s="20"/>
      <c r="P244" s="20"/>
      <c r="Q244" s="20"/>
      <c r="R244" s="20"/>
      <c r="S244" s="20"/>
      <c r="T244" s="20"/>
      <c r="U244" s="20"/>
      <c r="V244" s="20"/>
      <c r="W244" s="20"/>
      <c r="X244" s="20"/>
      <c r="Y244" s="20"/>
      <c r="Z244" s="20"/>
      <c r="AA244" s="20"/>
    </row>
    <row r="245" spans="1:27" ht="69.599999999999994" x14ac:dyDescent="0.25">
      <c r="A245" s="16"/>
      <c r="B245" s="20" t="b">
        <f ca="1">IFERROR(__xludf.DUMMYFUNCTION("if(D245=iferror(filter('Character Sheet'!D$13:D3002,'Character Sheet'!D$13:D3002=D245),""""),True,False)"),FALSE)</f>
        <v>0</v>
      </c>
      <c r="C245" s="20">
        <v>300</v>
      </c>
      <c r="D245" s="2" t="s">
        <v>629</v>
      </c>
      <c r="E245" s="2" t="s">
        <v>630</v>
      </c>
      <c r="F245" s="20" t="s">
        <v>53</v>
      </c>
      <c r="G245" s="2" t="s">
        <v>631</v>
      </c>
      <c r="H245" s="16"/>
      <c r="I245" s="20"/>
      <c r="J245" s="20"/>
      <c r="K245" s="20"/>
      <c r="L245" s="20"/>
      <c r="M245" s="20"/>
      <c r="N245" s="20"/>
      <c r="O245" s="20"/>
      <c r="P245" s="20"/>
      <c r="Q245" s="20"/>
      <c r="R245" s="20"/>
      <c r="S245" s="20"/>
      <c r="T245" s="20"/>
      <c r="U245" s="20"/>
      <c r="V245" s="20"/>
      <c r="W245" s="20"/>
      <c r="X245" s="20"/>
      <c r="Y245" s="20"/>
      <c r="Z245" s="20"/>
      <c r="AA245" s="20"/>
    </row>
    <row r="246" spans="1:27" ht="87" x14ac:dyDescent="0.25">
      <c r="A246" s="16"/>
      <c r="B246" s="20" t="b">
        <f ca="1">IFERROR(__xludf.DUMMYFUNCTION("if(D246=iferror(filter('Character Sheet'!D$13:D3002,'Character Sheet'!D$13:D3002=D246),""""),True,False)"),FALSE)</f>
        <v>0</v>
      </c>
      <c r="C246" s="20">
        <v>300</v>
      </c>
      <c r="D246" s="2" t="s">
        <v>632</v>
      </c>
      <c r="E246" s="2" t="s">
        <v>539</v>
      </c>
      <c r="F246" s="20" t="s">
        <v>53</v>
      </c>
      <c r="G246" s="2" t="s">
        <v>633</v>
      </c>
      <c r="H246" s="16"/>
      <c r="I246" s="20"/>
      <c r="J246" s="20"/>
      <c r="K246" s="20"/>
      <c r="L246" s="20"/>
      <c r="M246" s="20"/>
      <c r="N246" s="20"/>
      <c r="O246" s="20"/>
      <c r="P246" s="20"/>
      <c r="Q246" s="20"/>
      <c r="R246" s="20"/>
      <c r="S246" s="20"/>
      <c r="T246" s="20"/>
      <c r="U246" s="20"/>
      <c r="V246" s="20"/>
      <c r="W246" s="20"/>
      <c r="X246" s="20"/>
      <c r="Y246" s="20"/>
      <c r="Z246" s="20"/>
      <c r="AA246" s="20"/>
    </row>
    <row r="247" spans="1:27" ht="121.8" x14ac:dyDescent="0.25">
      <c r="A247" s="16"/>
      <c r="B247" s="20" t="b">
        <f ca="1">IFERROR(__xludf.DUMMYFUNCTION("if(D247=iferror(filter('Character Sheet'!D$13:D3002,'Character Sheet'!D$13:D3002=D247),""""),True,False)"),FALSE)</f>
        <v>0</v>
      </c>
      <c r="C247" s="20">
        <v>300</v>
      </c>
      <c r="D247" s="2" t="s">
        <v>634</v>
      </c>
      <c r="E247" s="2" t="s">
        <v>350</v>
      </c>
      <c r="F247" s="20" t="s">
        <v>53</v>
      </c>
      <c r="G247" s="2" t="s">
        <v>635</v>
      </c>
      <c r="H247" s="16"/>
      <c r="I247" s="20"/>
      <c r="J247" s="20"/>
      <c r="K247" s="20"/>
      <c r="L247" s="20"/>
      <c r="M247" s="20"/>
      <c r="N247" s="20"/>
      <c r="O247" s="20"/>
      <c r="P247" s="20"/>
      <c r="Q247" s="20"/>
      <c r="R247" s="20"/>
      <c r="S247" s="20"/>
      <c r="T247" s="20"/>
      <c r="U247" s="20"/>
      <c r="V247" s="20"/>
      <c r="W247" s="20"/>
      <c r="X247" s="20"/>
      <c r="Y247" s="20"/>
      <c r="Z247" s="20"/>
      <c r="AA247" s="20"/>
    </row>
    <row r="248" spans="1:27" ht="69.599999999999994" x14ac:dyDescent="0.25">
      <c r="A248" s="16"/>
      <c r="B248" s="20" t="b">
        <f ca="1">IFERROR(__xludf.DUMMYFUNCTION("if(D248=iferror(filter('Character Sheet'!D$13:D3002,'Character Sheet'!D$13:D3002=D248),""""),True,False)"),FALSE)</f>
        <v>0</v>
      </c>
      <c r="C248" s="20">
        <v>300</v>
      </c>
      <c r="D248" s="2" t="s">
        <v>636</v>
      </c>
      <c r="E248" s="2" t="s">
        <v>637</v>
      </c>
      <c r="F248" s="20" t="s">
        <v>53</v>
      </c>
      <c r="G248" s="2" t="s">
        <v>638</v>
      </c>
      <c r="H248" s="16"/>
      <c r="I248" s="20"/>
      <c r="J248" s="20"/>
      <c r="K248" s="20"/>
      <c r="L248" s="20"/>
      <c r="M248" s="20"/>
      <c r="N248" s="20"/>
      <c r="O248" s="20"/>
      <c r="P248" s="20"/>
      <c r="Q248" s="20"/>
      <c r="R248" s="20"/>
      <c r="S248" s="20"/>
      <c r="T248" s="20"/>
      <c r="U248" s="20"/>
      <c r="V248" s="20"/>
      <c r="W248" s="20"/>
      <c r="X248" s="20"/>
      <c r="Y248" s="20"/>
      <c r="Z248" s="20"/>
      <c r="AA248" s="20"/>
    </row>
    <row r="249" spans="1:27" ht="104.4" x14ac:dyDescent="0.25">
      <c r="A249" s="16"/>
      <c r="B249" s="20" t="b">
        <f ca="1">IFERROR(__xludf.DUMMYFUNCTION("if(D249=iferror(filter('Character Sheet'!D$13:D3002,'Character Sheet'!D$13:D3002=D249),""""),True,False)"),FALSE)</f>
        <v>0</v>
      </c>
      <c r="C249" s="20">
        <v>300</v>
      </c>
      <c r="D249" s="2" t="s">
        <v>639</v>
      </c>
      <c r="E249" s="2" t="s">
        <v>238</v>
      </c>
      <c r="F249" s="20" t="s">
        <v>53</v>
      </c>
      <c r="G249" s="2" t="s">
        <v>640</v>
      </c>
      <c r="H249" s="16"/>
      <c r="I249" s="20"/>
      <c r="J249" s="20"/>
      <c r="K249" s="20"/>
      <c r="L249" s="20"/>
      <c r="M249" s="20"/>
      <c r="N249" s="20"/>
      <c r="O249" s="20"/>
      <c r="P249" s="20"/>
      <c r="Q249" s="20"/>
      <c r="R249" s="20"/>
      <c r="S249" s="20"/>
      <c r="T249" s="20"/>
      <c r="U249" s="20"/>
      <c r="V249" s="20"/>
      <c r="W249" s="20"/>
      <c r="X249" s="20"/>
      <c r="Y249" s="20"/>
      <c r="Z249" s="20"/>
      <c r="AA249" s="20"/>
    </row>
    <row r="250" spans="1:27" ht="104.4" x14ac:dyDescent="0.25">
      <c r="A250" s="16"/>
      <c r="B250" s="20" t="b">
        <f ca="1">IFERROR(__xludf.DUMMYFUNCTION("if(D250=iferror(filter('Character Sheet'!D$13:D3002,'Character Sheet'!D$13:D3002=D250),""""),True,False)"),FALSE)</f>
        <v>0</v>
      </c>
      <c r="C250" s="20">
        <v>300</v>
      </c>
      <c r="D250" s="2" t="s">
        <v>641</v>
      </c>
      <c r="E250" s="2" t="s">
        <v>642</v>
      </c>
      <c r="F250" s="20" t="s">
        <v>53</v>
      </c>
      <c r="G250" s="2" t="s">
        <v>643</v>
      </c>
      <c r="H250" s="16"/>
      <c r="I250" s="20"/>
      <c r="J250" s="20"/>
      <c r="K250" s="20"/>
      <c r="L250" s="20"/>
      <c r="M250" s="20"/>
      <c r="N250" s="20"/>
      <c r="O250" s="20"/>
      <c r="P250" s="20"/>
      <c r="Q250" s="20"/>
      <c r="R250" s="20"/>
      <c r="S250" s="20"/>
      <c r="T250" s="20"/>
      <c r="U250" s="20"/>
      <c r="V250" s="20"/>
      <c r="W250" s="20"/>
      <c r="X250" s="20"/>
      <c r="Y250" s="20"/>
      <c r="Z250" s="20"/>
      <c r="AA250" s="20"/>
    </row>
    <row r="251" spans="1:27" ht="330.6" x14ac:dyDescent="0.25">
      <c r="A251" s="16"/>
      <c r="B251" s="20" t="b">
        <f ca="1">IFERROR(__xludf.DUMMYFUNCTION("if(D251=iferror(filter('Character Sheet'!D$13:D3002,'Character Sheet'!D$13:D3002=D251),""""),True,False)"),FALSE)</f>
        <v>0</v>
      </c>
      <c r="C251" s="20">
        <v>300</v>
      </c>
      <c r="D251" s="2" t="s">
        <v>644</v>
      </c>
      <c r="E251" s="2" t="s">
        <v>66</v>
      </c>
      <c r="F251" s="20" t="s">
        <v>53</v>
      </c>
      <c r="G251" s="2" t="s">
        <v>645</v>
      </c>
      <c r="H251" s="16"/>
      <c r="I251" s="20"/>
      <c r="J251" s="20"/>
      <c r="K251" s="20"/>
      <c r="L251" s="20"/>
      <c r="M251" s="20"/>
      <c r="N251" s="20"/>
      <c r="O251" s="20"/>
      <c r="P251" s="20"/>
      <c r="Q251" s="20"/>
      <c r="R251" s="20"/>
      <c r="S251" s="20"/>
      <c r="T251" s="20"/>
      <c r="U251" s="20"/>
      <c r="V251" s="20"/>
      <c r="W251" s="20"/>
      <c r="X251" s="20"/>
      <c r="Y251" s="20"/>
      <c r="Z251" s="20"/>
      <c r="AA251" s="20"/>
    </row>
    <row r="252" spans="1:27" ht="87" x14ac:dyDescent="0.25">
      <c r="A252" s="16"/>
      <c r="B252" s="20" t="b">
        <f ca="1">IFERROR(__xludf.DUMMYFUNCTION("if(D252=iferror(filter('Character Sheet'!D$13:D3002,'Character Sheet'!D$13:D3002=D252),""""),True,False)"),FALSE)</f>
        <v>0</v>
      </c>
      <c r="C252" s="20">
        <v>300</v>
      </c>
      <c r="D252" s="2" t="s">
        <v>646</v>
      </c>
      <c r="E252" s="2" t="s">
        <v>78</v>
      </c>
      <c r="F252" s="20" t="s">
        <v>53</v>
      </c>
      <c r="G252" s="2" t="s">
        <v>647</v>
      </c>
      <c r="H252" s="16"/>
      <c r="I252" s="20"/>
      <c r="J252" s="20"/>
      <c r="K252" s="20"/>
      <c r="L252" s="20"/>
      <c r="M252" s="20"/>
      <c r="N252" s="20"/>
      <c r="O252" s="20"/>
      <c r="P252" s="20"/>
      <c r="Q252" s="20"/>
      <c r="R252" s="20"/>
      <c r="S252" s="20"/>
      <c r="T252" s="20"/>
      <c r="U252" s="20"/>
      <c r="V252" s="20"/>
      <c r="W252" s="20"/>
      <c r="X252" s="20"/>
      <c r="Y252" s="20"/>
      <c r="Z252" s="20"/>
      <c r="AA252" s="20"/>
    </row>
    <row r="253" spans="1:27" ht="156.6" x14ac:dyDescent="0.25">
      <c r="A253" s="16"/>
      <c r="B253" s="20" t="b">
        <f ca="1">IFERROR(__xludf.DUMMYFUNCTION("if(D253=iferror(filter('Character Sheet'!D$13:D3002,'Character Sheet'!D$13:D3002=D253),""""),True,False)"),FALSE)</f>
        <v>0</v>
      </c>
      <c r="C253" s="20">
        <v>300</v>
      </c>
      <c r="D253" s="2" t="s">
        <v>648</v>
      </c>
      <c r="E253" s="2" t="s">
        <v>649</v>
      </c>
      <c r="F253" s="20" t="s">
        <v>53</v>
      </c>
      <c r="G253" s="2" t="s">
        <v>650</v>
      </c>
      <c r="H253" s="16"/>
      <c r="I253" s="20"/>
      <c r="J253" s="20"/>
      <c r="K253" s="20"/>
      <c r="L253" s="20"/>
      <c r="M253" s="20"/>
      <c r="N253" s="20"/>
      <c r="O253" s="20"/>
      <c r="P253" s="20"/>
      <c r="Q253" s="20"/>
      <c r="R253" s="20"/>
      <c r="S253" s="20"/>
      <c r="T253" s="20"/>
      <c r="U253" s="20"/>
      <c r="V253" s="20"/>
      <c r="W253" s="20"/>
      <c r="X253" s="20"/>
      <c r="Y253" s="20"/>
      <c r="Z253" s="20"/>
      <c r="AA253" s="20"/>
    </row>
    <row r="254" spans="1:27" ht="104.4" x14ac:dyDescent="0.25">
      <c r="A254" s="16"/>
      <c r="B254" s="20" t="b">
        <f ca="1">IFERROR(__xludf.DUMMYFUNCTION("if(D254=iferror(filter('Character Sheet'!D$13:D3002,'Character Sheet'!D$13:D3002=D254),""""),True,False)"),FALSE)</f>
        <v>0</v>
      </c>
      <c r="C254" s="20">
        <v>300</v>
      </c>
      <c r="D254" s="2" t="s">
        <v>651</v>
      </c>
      <c r="E254" s="2" t="s">
        <v>652</v>
      </c>
      <c r="F254" s="20" t="s">
        <v>53</v>
      </c>
      <c r="G254" s="2" t="s">
        <v>653</v>
      </c>
      <c r="H254" s="16"/>
      <c r="I254" s="20"/>
      <c r="J254" s="20"/>
      <c r="K254" s="20"/>
      <c r="L254" s="20"/>
      <c r="M254" s="20"/>
      <c r="N254" s="20"/>
      <c r="O254" s="20"/>
      <c r="P254" s="20"/>
      <c r="Q254" s="20"/>
      <c r="R254" s="20"/>
      <c r="S254" s="20"/>
      <c r="T254" s="20"/>
      <c r="U254" s="20"/>
      <c r="V254" s="20"/>
      <c r="W254" s="20"/>
      <c r="X254" s="20"/>
      <c r="Y254" s="20"/>
      <c r="Z254" s="20"/>
      <c r="AA254" s="20"/>
    </row>
    <row r="255" spans="1:27" ht="104.4" x14ac:dyDescent="0.25">
      <c r="A255" s="16"/>
      <c r="B255" s="20" t="b">
        <f ca="1">IFERROR(__xludf.DUMMYFUNCTION("if(D255=iferror(filter('Character Sheet'!D$13:D3002,'Character Sheet'!D$13:D3002=D255),""""),True,False)"),FALSE)</f>
        <v>0</v>
      </c>
      <c r="C255" s="20">
        <v>300</v>
      </c>
      <c r="D255" s="2" t="s">
        <v>654</v>
      </c>
      <c r="E255" s="2" t="s">
        <v>655</v>
      </c>
      <c r="F255" s="20" t="s">
        <v>53</v>
      </c>
      <c r="G255" s="2" t="s">
        <v>656</v>
      </c>
      <c r="H255" s="16"/>
      <c r="I255" s="20"/>
      <c r="J255" s="20"/>
      <c r="K255" s="20"/>
      <c r="L255" s="20"/>
      <c r="M255" s="20"/>
      <c r="N255" s="20"/>
      <c r="O255" s="20"/>
      <c r="P255" s="20"/>
      <c r="Q255" s="20"/>
      <c r="R255" s="20"/>
      <c r="S255" s="20"/>
      <c r="T255" s="20"/>
      <c r="U255" s="20"/>
      <c r="V255" s="20"/>
      <c r="W255" s="20"/>
      <c r="X255" s="20"/>
      <c r="Y255" s="20"/>
      <c r="Z255" s="20"/>
      <c r="AA255" s="20"/>
    </row>
    <row r="256" spans="1:27" ht="104.4" x14ac:dyDescent="0.25">
      <c r="A256" s="16"/>
      <c r="B256" s="20" t="b">
        <f ca="1">IFERROR(__xludf.DUMMYFUNCTION("if(D256=iferror(filter('Character Sheet'!D$13:D3002,'Character Sheet'!D$13:D3002=D256),""""),True,False)"),FALSE)</f>
        <v>0</v>
      </c>
      <c r="C256" s="20">
        <v>300</v>
      </c>
      <c r="D256" s="2" t="s">
        <v>657</v>
      </c>
      <c r="E256" s="2" t="s">
        <v>182</v>
      </c>
      <c r="F256" s="20" t="s">
        <v>53</v>
      </c>
      <c r="G256" s="2" t="s">
        <v>658</v>
      </c>
      <c r="H256" s="16"/>
      <c r="I256" s="20"/>
      <c r="J256" s="20"/>
      <c r="K256" s="20"/>
      <c r="L256" s="20"/>
      <c r="M256" s="20"/>
      <c r="N256" s="20"/>
      <c r="O256" s="20"/>
      <c r="P256" s="20"/>
      <c r="Q256" s="20"/>
      <c r="R256" s="20"/>
      <c r="S256" s="20"/>
      <c r="T256" s="20"/>
      <c r="U256" s="20"/>
      <c r="V256" s="20"/>
      <c r="W256" s="20"/>
      <c r="X256" s="20"/>
      <c r="Y256" s="20"/>
      <c r="Z256" s="20"/>
      <c r="AA256" s="20"/>
    </row>
    <row r="257" spans="1:27" ht="87" x14ac:dyDescent="0.25">
      <c r="A257" s="16"/>
      <c r="B257" s="20" t="b">
        <f ca="1">IFERROR(__xludf.DUMMYFUNCTION("if(D257=iferror(filter('Character Sheet'!D$13:D3002,'Character Sheet'!D$13:D3002=D257),""""),True,False)"),FALSE)</f>
        <v>0</v>
      </c>
      <c r="C257" s="20">
        <v>300</v>
      </c>
      <c r="D257" s="2" t="s">
        <v>659</v>
      </c>
      <c r="E257" s="2" t="s">
        <v>394</v>
      </c>
      <c r="F257" s="20" t="s">
        <v>53</v>
      </c>
      <c r="G257" s="2" t="s">
        <v>660</v>
      </c>
      <c r="H257" s="16"/>
      <c r="I257" s="20"/>
      <c r="J257" s="20"/>
      <c r="K257" s="20"/>
      <c r="L257" s="20"/>
      <c r="M257" s="20"/>
      <c r="N257" s="20"/>
      <c r="O257" s="20"/>
      <c r="P257" s="20"/>
      <c r="Q257" s="20"/>
      <c r="R257" s="20"/>
      <c r="S257" s="20"/>
      <c r="T257" s="20"/>
      <c r="U257" s="20"/>
      <c r="V257" s="20"/>
      <c r="W257" s="20"/>
      <c r="X257" s="20"/>
      <c r="Y257" s="20"/>
      <c r="Z257" s="20"/>
      <c r="AA257" s="20"/>
    </row>
    <row r="258" spans="1:27" ht="174" x14ac:dyDescent="0.25">
      <c r="A258" s="16"/>
      <c r="B258" s="20" t="b">
        <f ca="1">IFERROR(__xludf.DUMMYFUNCTION("if(D258=iferror(filter('Character Sheet'!D$13:D3002,'Character Sheet'!D$13:D3002=D258),""""),True,False)"),FALSE)</f>
        <v>0</v>
      </c>
      <c r="C258" s="20">
        <v>300</v>
      </c>
      <c r="D258" s="2" t="s">
        <v>661</v>
      </c>
      <c r="E258" s="2" t="s">
        <v>662</v>
      </c>
      <c r="F258" s="20" t="s">
        <v>53</v>
      </c>
      <c r="G258" s="2" t="s">
        <v>663</v>
      </c>
      <c r="H258" s="16"/>
      <c r="I258" s="20"/>
      <c r="J258" s="20"/>
      <c r="K258" s="20"/>
      <c r="L258" s="20"/>
      <c r="M258" s="20"/>
      <c r="N258" s="20"/>
      <c r="O258" s="20"/>
      <c r="P258" s="20"/>
      <c r="Q258" s="20"/>
      <c r="R258" s="20"/>
      <c r="S258" s="20"/>
      <c r="T258" s="20"/>
      <c r="U258" s="20"/>
      <c r="V258" s="20"/>
      <c r="W258" s="20"/>
      <c r="X258" s="20"/>
      <c r="Y258" s="20"/>
      <c r="Z258" s="20"/>
      <c r="AA258" s="20"/>
    </row>
    <row r="259" spans="1:27" ht="52.2" x14ac:dyDescent="0.25">
      <c r="A259" s="16"/>
      <c r="B259" s="20" t="b">
        <f ca="1">IFERROR(__xludf.DUMMYFUNCTION("if(D259=iferror(filter('Character Sheet'!D$13:D3002,'Character Sheet'!D$13:D3002=D259),""""),True,False)"),FALSE)</f>
        <v>0</v>
      </c>
      <c r="C259" s="20">
        <v>300</v>
      </c>
      <c r="D259" s="2" t="s">
        <v>664</v>
      </c>
      <c r="E259" s="2" t="s">
        <v>84</v>
      </c>
      <c r="F259" s="20" t="s">
        <v>53</v>
      </c>
      <c r="G259" s="2" t="s">
        <v>665</v>
      </c>
      <c r="H259" s="16"/>
      <c r="I259" s="20"/>
      <c r="J259" s="20"/>
      <c r="K259" s="20"/>
      <c r="L259" s="20"/>
      <c r="M259" s="20"/>
      <c r="N259" s="20"/>
      <c r="O259" s="20"/>
      <c r="P259" s="20"/>
      <c r="Q259" s="20"/>
      <c r="R259" s="20"/>
      <c r="S259" s="20"/>
      <c r="T259" s="20"/>
      <c r="U259" s="20"/>
      <c r="V259" s="20"/>
      <c r="W259" s="20"/>
      <c r="X259" s="20"/>
      <c r="Y259" s="20"/>
      <c r="Z259" s="20"/>
      <c r="AA259" s="20"/>
    </row>
    <row r="260" spans="1:27" ht="87" x14ac:dyDescent="0.25">
      <c r="A260" s="16"/>
      <c r="B260" s="20" t="b">
        <f ca="1">IFERROR(__xludf.DUMMYFUNCTION("if(D260=iferror(filter('Character Sheet'!D$13:D3002,'Character Sheet'!D$13:D3002=D260),""""),True,False)"),FALSE)</f>
        <v>0</v>
      </c>
      <c r="C260" s="20">
        <v>300</v>
      </c>
      <c r="D260" s="2" t="s">
        <v>666</v>
      </c>
      <c r="E260" s="2" t="s">
        <v>277</v>
      </c>
      <c r="F260" s="20" t="s">
        <v>53</v>
      </c>
      <c r="G260" s="2" t="s">
        <v>667</v>
      </c>
      <c r="H260" s="16"/>
      <c r="I260" s="20"/>
      <c r="J260" s="20"/>
      <c r="K260" s="20"/>
      <c r="L260" s="20"/>
      <c r="M260" s="20"/>
      <c r="N260" s="20"/>
      <c r="O260" s="20"/>
      <c r="P260" s="20"/>
      <c r="Q260" s="20"/>
      <c r="R260" s="20"/>
      <c r="S260" s="20"/>
      <c r="T260" s="20"/>
      <c r="U260" s="20"/>
      <c r="V260" s="20"/>
      <c r="W260" s="20"/>
      <c r="X260" s="20"/>
      <c r="Y260" s="20"/>
      <c r="Z260" s="20"/>
      <c r="AA260" s="20"/>
    </row>
    <row r="261" spans="1:27" ht="226.2" x14ac:dyDescent="0.25">
      <c r="A261" s="16"/>
      <c r="B261" s="20" t="b">
        <f ca="1">IFERROR(__xludf.DUMMYFUNCTION("if(D261=iferror(filter('Character Sheet'!D$13:D3002,'Character Sheet'!D$13:D3002=D261),""""),True,False)"),FALSE)</f>
        <v>0</v>
      </c>
      <c r="C261" s="20">
        <v>300</v>
      </c>
      <c r="D261" s="2" t="s">
        <v>668</v>
      </c>
      <c r="E261" s="2" t="s">
        <v>144</v>
      </c>
      <c r="F261" s="20" t="s">
        <v>53</v>
      </c>
      <c r="G261" s="2" t="s">
        <v>669</v>
      </c>
      <c r="H261" s="16"/>
      <c r="I261" s="20"/>
      <c r="J261" s="20"/>
      <c r="K261" s="20"/>
      <c r="L261" s="20"/>
      <c r="M261" s="20"/>
      <c r="N261" s="20"/>
      <c r="O261" s="20"/>
      <c r="P261" s="20"/>
      <c r="Q261" s="20"/>
      <c r="R261" s="20"/>
      <c r="S261" s="20"/>
      <c r="T261" s="20"/>
      <c r="U261" s="20"/>
      <c r="V261" s="20"/>
      <c r="W261" s="20"/>
      <c r="X261" s="20"/>
      <c r="Y261" s="20"/>
      <c r="Z261" s="20"/>
      <c r="AA261" s="20"/>
    </row>
    <row r="262" spans="1:27" ht="156.6" x14ac:dyDescent="0.25">
      <c r="A262" s="16"/>
      <c r="B262" s="20" t="b">
        <f ca="1">IFERROR(__xludf.DUMMYFUNCTION("if(D262=iferror(filter('Character Sheet'!D$13:D3002,'Character Sheet'!D$13:D3002=D262),""""),True,False)"),FALSE)</f>
        <v>0</v>
      </c>
      <c r="C262" s="20">
        <v>300</v>
      </c>
      <c r="D262" s="2" t="s">
        <v>670</v>
      </c>
      <c r="E262" s="2" t="s">
        <v>124</v>
      </c>
      <c r="F262" s="20" t="s">
        <v>53</v>
      </c>
      <c r="G262" s="2" t="s">
        <v>671</v>
      </c>
      <c r="H262" s="16"/>
      <c r="I262" s="20"/>
      <c r="J262" s="20"/>
      <c r="K262" s="20"/>
      <c r="L262" s="20"/>
      <c r="M262" s="20"/>
      <c r="N262" s="20"/>
      <c r="O262" s="20"/>
      <c r="P262" s="20"/>
      <c r="Q262" s="20"/>
      <c r="R262" s="20"/>
      <c r="S262" s="20"/>
      <c r="T262" s="20"/>
      <c r="U262" s="20"/>
      <c r="V262" s="20"/>
      <c r="W262" s="20"/>
      <c r="X262" s="20"/>
      <c r="Y262" s="20"/>
      <c r="Z262" s="20"/>
      <c r="AA262" s="20"/>
    </row>
    <row r="263" spans="1:27" ht="174" x14ac:dyDescent="0.25">
      <c r="A263" s="16"/>
      <c r="B263" s="20" t="b">
        <f ca="1">IFERROR(__xludf.DUMMYFUNCTION("if(D263=iferror(filter('Character Sheet'!D$13:D3002,'Character Sheet'!D$13:D3002=D263),""""),True,False)"),FALSE)</f>
        <v>0</v>
      </c>
      <c r="C263" s="20">
        <v>400</v>
      </c>
      <c r="D263" s="2" t="s">
        <v>672</v>
      </c>
      <c r="E263" s="2" t="s">
        <v>87</v>
      </c>
      <c r="F263" s="20" t="s">
        <v>53</v>
      </c>
      <c r="G263" s="2" t="s">
        <v>673</v>
      </c>
      <c r="H263" s="16"/>
      <c r="I263" s="20"/>
      <c r="J263" s="20"/>
      <c r="K263" s="20"/>
      <c r="L263" s="20"/>
      <c r="M263" s="20"/>
      <c r="N263" s="20"/>
      <c r="O263" s="20"/>
      <c r="P263" s="20"/>
      <c r="Q263" s="20"/>
      <c r="R263" s="20"/>
      <c r="S263" s="20"/>
      <c r="T263" s="20"/>
      <c r="U263" s="20"/>
      <c r="V263" s="20"/>
      <c r="W263" s="20"/>
      <c r="X263" s="20"/>
      <c r="Y263" s="20"/>
      <c r="Z263" s="20"/>
      <c r="AA263" s="20"/>
    </row>
    <row r="264" spans="1:27" ht="52.2" x14ac:dyDescent="0.25">
      <c r="A264" s="16"/>
      <c r="B264" s="20" t="b">
        <f ca="1">IFERROR(__xludf.DUMMYFUNCTION("if(D264=iferror(filter('Character Sheet'!D$13:D3002,'Character Sheet'!D$13:D3002=D264),""""),True,False)"),FALSE)</f>
        <v>0</v>
      </c>
      <c r="C264" s="20">
        <v>400</v>
      </c>
      <c r="D264" s="2" t="s">
        <v>674</v>
      </c>
      <c r="E264" s="2" t="s">
        <v>217</v>
      </c>
      <c r="F264" s="20" t="s">
        <v>53</v>
      </c>
      <c r="G264" s="2" t="s">
        <v>675</v>
      </c>
      <c r="H264" s="16"/>
      <c r="I264" s="20"/>
      <c r="J264" s="20"/>
      <c r="K264" s="20"/>
      <c r="L264" s="20"/>
      <c r="M264" s="20"/>
      <c r="N264" s="20"/>
      <c r="O264" s="20"/>
      <c r="P264" s="20"/>
      <c r="Q264" s="20"/>
      <c r="R264" s="20"/>
      <c r="S264" s="20"/>
      <c r="T264" s="20"/>
      <c r="U264" s="20"/>
      <c r="V264" s="20"/>
      <c r="W264" s="20"/>
      <c r="X264" s="20"/>
      <c r="Y264" s="20"/>
      <c r="Z264" s="20"/>
      <c r="AA264" s="20"/>
    </row>
    <row r="265" spans="1:27" ht="174" x14ac:dyDescent="0.25">
      <c r="A265" s="16"/>
      <c r="B265" s="20" t="b">
        <f ca="1">IFERROR(__xludf.DUMMYFUNCTION("if(D265=iferror(filter('Character Sheet'!D$13:D3002,'Character Sheet'!D$13:D3002=D265),""""),True,False)"),FALSE)</f>
        <v>0</v>
      </c>
      <c r="C265" s="20">
        <v>400</v>
      </c>
      <c r="D265" s="2" t="s">
        <v>676</v>
      </c>
      <c r="E265" s="2" t="s">
        <v>413</v>
      </c>
      <c r="F265" s="20" t="s">
        <v>53</v>
      </c>
      <c r="G265" s="2" t="s">
        <v>677</v>
      </c>
      <c r="H265" s="16"/>
      <c r="I265" s="20"/>
      <c r="J265" s="20"/>
      <c r="K265" s="20"/>
      <c r="L265" s="20"/>
      <c r="M265" s="20"/>
      <c r="N265" s="20"/>
      <c r="O265" s="20"/>
      <c r="P265" s="20"/>
      <c r="Q265" s="20"/>
      <c r="R265" s="20"/>
      <c r="S265" s="20"/>
      <c r="T265" s="20"/>
      <c r="U265" s="20"/>
      <c r="V265" s="20"/>
      <c r="W265" s="20"/>
      <c r="X265" s="20"/>
      <c r="Y265" s="20"/>
      <c r="Z265" s="20"/>
      <c r="AA265" s="20"/>
    </row>
    <row r="266" spans="1:27" ht="139.19999999999999" x14ac:dyDescent="0.25">
      <c r="A266" s="16"/>
      <c r="B266" s="20" t="b">
        <f ca="1">IFERROR(__xludf.DUMMYFUNCTION("if(D266=iferror(filter('Character Sheet'!D$13:D3002,'Character Sheet'!D$13:D3002=D266),""""),True,False)"),FALSE)</f>
        <v>0</v>
      </c>
      <c r="C266" s="20">
        <v>400</v>
      </c>
      <c r="D266" s="2" t="s">
        <v>678</v>
      </c>
      <c r="E266" s="2" t="s">
        <v>124</v>
      </c>
      <c r="F266" s="20" t="s">
        <v>53</v>
      </c>
      <c r="G266" s="2" t="s">
        <v>679</v>
      </c>
      <c r="H266" s="16"/>
      <c r="I266" s="20"/>
      <c r="J266" s="20"/>
      <c r="K266" s="20"/>
      <c r="L266" s="20"/>
      <c r="M266" s="20"/>
      <c r="N266" s="20"/>
      <c r="O266" s="20"/>
      <c r="P266" s="20"/>
      <c r="Q266" s="20"/>
      <c r="R266" s="20"/>
      <c r="S266" s="20"/>
      <c r="T266" s="20"/>
      <c r="U266" s="20"/>
      <c r="V266" s="20"/>
      <c r="W266" s="20"/>
      <c r="X266" s="20"/>
      <c r="Y266" s="20"/>
      <c r="Z266" s="20"/>
      <c r="AA266" s="20"/>
    </row>
    <row r="267" spans="1:27" ht="104.4" x14ac:dyDescent="0.25">
      <c r="A267" s="16"/>
      <c r="B267" s="20" t="b">
        <f ca="1">IFERROR(__xludf.DUMMYFUNCTION("if(D267=iferror(filter('Character Sheet'!D$13:D3002,'Character Sheet'!D$13:D3002=D267),""""),True,False)"),FALSE)</f>
        <v>0</v>
      </c>
      <c r="C267" s="20">
        <v>400</v>
      </c>
      <c r="D267" s="2" t="s">
        <v>680</v>
      </c>
      <c r="E267" s="2" t="s">
        <v>366</v>
      </c>
      <c r="F267" s="20" t="s">
        <v>53</v>
      </c>
      <c r="G267" s="2" t="s">
        <v>681</v>
      </c>
      <c r="H267" s="16"/>
      <c r="I267" s="20"/>
      <c r="J267" s="20"/>
      <c r="K267" s="20"/>
      <c r="L267" s="20"/>
      <c r="M267" s="20"/>
      <c r="N267" s="20"/>
      <c r="O267" s="20"/>
      <c r="P267" s="20"/>
      <c r="Q267" s="20"/>
      <c r="R267" s="20"/>
      <c r="S267" s="20"/>
      <c r="T267" s="20"/>
      <c r="U267" s="20"/>
      <c r="V267" s="20"/>
      <c r="W267" s="20"/>
      <c r="X267" s="20"/>
      <c r="Y267" s="20"/>
      <c r="Z267" s="20"/>
      <c r="AA267" s="20"/>
    </row>
    <row r="268" spans="1:27" ht="191.4" x14ac:dyDescent="0.25">
      <c r="A268" s="16"/>
      <c r="B268" s="20" t="b">
        <f ca="1">IFERROR(__xludf.DUMMYFUNCTION("if(D268=iferror(filter('Character Sheet'!D$13:D3002,'Character Sheet'!D$13:D3002=D268),""""),True,False)"),FALSE)</f>
        <v>0</v>
      </c>
      <c r="C268" s="20">
        <v>400</v>
      </c>
      <c r="D268" s="2" t="s">
        <v>682</v>
      </c>
      <c r="E268" s="2" t="s">
        <v>386</v>
      </c>
      <c r="F268" s="20" t="s">
        <v>53</v>
      </c>
      <c r="G268" s="2" t="s">
        <v>683</v>
      </c>
      <c r="H268" s="16"/>
      <c r="I268" s="20"/>
      <c r="J268" s="20"/>
      <c r="K268" s="20"/>
      <c r="L268" s="20"/>
      <c r="M268" s="20"/>
      <c r="N268" s="20"/>
      <c r="O268" s="20"/>
      <c r="P268" s="20"/>
      <c r="Q268" s="20"/>
      <c r="R268" s="20"/>
      <c r="S268" s="20"/>
      <c r="T268" s="20"/>
      <c r="U268" s="20"/>
      <c r="V268" s="20"/>
      <c r="W268" s="20"/>
      <c r="X268" s="20"/>
      <c r="Y268" s="20"/>
      <c r="Z268" s="20"/>
      <c r="AA268" s="20"/>
    </row>
    <row r="269" spans="1:27" ht="87" x14ac:dyDescent="0.25">
      <c r="A269" s="16"/>
      <c r="B269" s="20" t="b">
        <f ca="1">IFERROR(__xludf.DUMMYFUNCTION("if(D269=iferror(filter('Character Sheet'!D$13:D3002,'Character Sheet'!D$13:D3002=D269),""""),True,False)"),FALSE)</f>
        <v>0</v>
      </c>
      <c r="C269" s="20">
        <v>400</v>
      </c>
      <c r="D269" s="2" t="s">
        <v>684</v>
      </c>
      <c r="E269" s="2" t="s">
        <v>328</v>
      </c>
      <c r="F269" s="20" t="s">
        <v>53</v>
      </c>
      <c r="G269" s="2" t="s">
        <v>685</v>
      </c>
      <c r="H269" s="16"/>
      <c r="I269" s="20"/>
      <c r="J269" s="20"/>
      <c r="K269" s="20"/>
      <c r="L269" s="20"/>
      <c r="M269" s="20"/>
      <c r="N269" s="20"/>
      <c r="O269" s="20"/>
      <c r="P269" s="20"/>
      <c r="Q269" s="20"/>
      <c r="R269" s="20"/>
      <c r="S269" s="20"/>
      <c r="T269" s="20"/>
      <c r="U269" s="20"/>
      <c r="V269" s="20"/>
      <c r="W269" s="20"/>
      <c r="X269" s="20"/>
      <c r="Y269" s="20"/>
      <c r="Z269" s="20"/>
      <c r="AA269" s="20"/>
    </row>
    <row r="270" spans="1:27" ht="104.4" x14ac:dyDescent="0.25">
      <c r="A270" s="16"/>
      <c r="B270" s="20" t="b">
        <f ca="1">IFERROR(__xludf.DUMMYFUNCTION("if(D270=iferror(filter('Character Sheet'!D$13:D3002,'Character Sheet'!D$13:D3002=D270),""""),True,False)"),FALSE)</f>
        <v>0</v>
      </c>
      <c r="C270" s="20">
        <v>400</v>
      </c>
      <c r="D270" s="2" t="s">
        <v>686</v>
      </c>
      <c r="E270" s="2" t="s">
        <v>84</v>
      </c>
      <c r="F270" s="20" t="s">
        <v>53</v>
      </c>
      <c r="G270" s="2" t="s">
        <v>687</v>
      </c>
      <c r="H270" s="16"/>
      <c r="I270" s="20"/>
      <c r="J270" s="20"/>
      <c r="K270" s="20"/>
      <c r="L270" s="20"/>
      <c r="M270" s="20"/>
      <c r="N270" s="20"/>
      <c r="O270" s="20"/>
      <c r="P270" s="20"/>
      <c r="Q270" s="20"/>
      <c r="R270" s="20"/>
      <c r="S270" s="20"/>
      <c r="T270" s="20"/>
      <c r="U270" s="20"/>
      <c r="V270" s="20"/>
      <c r="W270" s="20"/>
      <c r="X270" s="20"/>
      <c r="Y270" s="20"/>
      <c r="Z270" s="20"/>
      <c r="AA270" s="20"/>
    </row>
    <row r="271" spans="1:27" ht="104.4" x14ac:dyDescent="0.25">
      <c r="A271" s="16"/>
      <c r="B271" s="20" t="b">
        <f ca="1">IFERROR(__xludf.DUMMYFUNCTION("if(D271=iferror(filter('Character Sheet'!D$13:D3002,'Character Sheet'!D$13:D3002=D271),""""),True,False)"),FALSE)</f>
        <v>0</v>
      </c>
      <c r="C271" s="20">
        <v>400</v>
      </c>
      <c r="D271" s="2" t="s">
        <v>688</v>
      </c>
      <c r="E271" s="2" t="s">
        <v>192</v>
      </c>
      <c r="F271" s="20" t="s">
        <v>53</v>
      </c>
      <c r="G271" s="2" t="s">
        <v>689</v>
      </c>
      <c r="H271" s="16"/>
      <c r="I271" s="20"/>
      <c r="J271" s="20"/>
      <c r="K271" s="20"/>
      <c r="L271" s="20"/>
      <c r="M271" s="20"/>
      <c r="N271" s="20"/>
      <c r="O271" s="20"/>
      <c r="P271" s="20"/>
      <c r="Q271" s="20"/>
      <c r="R271" s="20"/>
      <c r="S271" s="20"/>
      <c r="T271" s="20"/>
      <c r="U271" s="20"/>
      <c r="V271" s="20"/>
      <c r="W271" s="20"/>
      <c r="X271" s="20"/>
      <c r="Y271" s="20"/>
      <c r="Z271" s="20"/>
      <c r="AA271" s="20"/>
    </row>
    <row r="272" spans="1:27" ht="156.6" x14ac:dyDescent="0.25">
      <c r="A272" s="16"/>
      <c r="B272" s="20" t="b">
        <f ca="1">IFERROR(__xludf.DUMMYFUNCTION("if(D272=iferror(filter('Character Sheet'!D$13:D3002,'Character Sheet'!D$13:D3002=D272),""""),True,False)"),TRUE)</f>
        <v>1</v>
      </c>
      <c r="C272" s="20">
        <v>400</v>
      </c>
      <c r="D272" s="2" t="s">
        <v>43</v>
      </c>
      <c r="E272" s="2" t="s">
        <v>139</v>
      </c>
      <c r="F272" s="20" t="s">
        <v>53</v>
      </c>
      <c r="G272" s="2" t="s">
        <v>690</v>
      </c>
      <c r="H272" s="16"/>
      <c r="I272" s="20"/>
      <c r="J272" s="20"/>
      <c r="K272" s="20"/>
      <c r="L272" s="20"/>
      <c r="M272" s="20"/>
      <c r="N272" s="20"/>
      <c r="O272" s="20"/>
      <c r="P272" s="20"/>
      <c r="Q272" s="20"/>
      <c r="R272" s="20"/>
      <c r="S272" s="20"/>
      <c r="T272" s="20"/>
      <c r="U272" s="20"/>
      <c r="V272" s="20"/>
      <c r="W272" s="20"/>
      <c r="X272" s="20"/>
      <c r="Y272" s="20"/>
      <c r="Z272" s="20"/>
      <c r="AA272" s="20"/>
    </row>
    <row r="273" spans="1:27" ht="104.4" x14ac:dyDescent="0.25">
      <c r="A273" s="16"/>
      <c r="B273" s="20" t="b">
        <f ca="1">IFERROR(__xludf.DUMMYFUNCTION("if(D273=iferror(filter('Character Sheet'!D$13:D3002,'Character Sheet'!D$13:D3002=D273),""""),True,False)"),FALSE)</f>
        <v>0</v>
      </c>
      <c r="C273" s="20">
        <v>400</v>
      </c>
      <c r="D273" s="2" t="s">
        <v>691</v>
      </c>
      <c r="E273" s="2" t="s">
        <v>576</v>
      </c>
      <c r="F273" s="20" t="s">
        <v>53</v>
      </c>
      <c r="G273" s="2" t="s">
        <v>692</v>
      </c>
      <c r="H273" s="16"/>
      <c r="I273" s="20"/>
      <c r="J273" s="20"/>
      <c r="K273" s="20"/>
      <c r="L273" s="20"/>
      <c r="M273" s="20"/>
      <c r="N273" s="20"/>
      <c r="O273" s="20"/>
      <c r="P273" s="20"/>
      <c r="Q273" s="20"/>
      <c r="R273" s="20"/>
      <c r="S273" s="20"/>
      <c r="T273" s="20"/>
      <c r="U273" s="20"/>
      <c r="V273" s="20"/>
      <c r="W273" s="20"/>
      <c r="X273" s="20"/>
      <c r="Y273" s="20"/>
      <c r="Z273" s="20"/>
      <c r="AA273" s="20"/>
    </row>
    <row r="274" spans="1:27" ht="87" x14ac:dyDescent="0.25">
      <c r="A274" s="16"/>
      <c r="B274" s="20" t="b">
        <f ca="1">IFERROR(__xludf.DUMMYFUNCTION("if(D274=iferror(filter('Character Sheet'!D$13:D3002,'Character Sheet'!D$13:D3002=D274),""""),True,False)"),FALSE)</f>
        <v>0</v>
      </c>
      <c r="C274" s="20">
        <v>400</v>
      </c>
      <c r="D274" s="2" t="s">
        <v>693</v>
      </c>
      <c r="E274" s="2" t="s">
        <v>173</v>
      </c>
      <c r="F274" s="20" t="s">
        <v>53</v>
      </c>
      <c r="G274" s="2" t="s">
        <v>694</v>
      </c>
      <c r="H274" s="16"/>
      <c r="I274" s="20"/>
      <c r="J274" s="20"/>
      <c r="K274" s="20"/>
      <c r="L274" s="20"/>
      <c r="M274" s="20"/>
      <c r="N274" s="20"/>
      <c r="O274" s="20"/>
      <c r="P274" s="20"/>
      <c r="Q274" s="20"/>
      <c r="R274" s="20"/>
      <c r="S274" s="20"/>
      <c r="T274" s="20"/>
      <c r="U274" s="20"/>
      <c r="V274" s="20"/>
      <c r="W274" s="20"/>
      <c r="X274" s="20"/>
      <c r="Y274" s="20"/>
      <c r="Z274" s="20"/>
      <c r="AA274" s="20"/>
    </row>
    <row r="275" spans="1:27" ht="87" x14ac:dyDescent="0.25">
      <c r="A275" s="16"/>
      <c r="B275" s="20" t="b">
        <f ca="1">IFERROR(__xludf.DUMMYFUNCTION("if(D275=iferror(filter('Character Sheet'!D$13:D3002,'Character Sheet'!D$13:D3002=D275),""""),True,False)"),FALSE)</f>
        <v>0</v>
      </c>
      <c r="C275" s="20">
        <v>400</v>
      </c>
      <c r="D275" s="2" t="s">
        <v>695</v>
      </c>
      <c r="E275" s="2" t="s">
        <v>425</v>
      </c>
      <c r="F275" s="20" t="s">
        <v>53</v>
      </c>
      <c r="G275" s="2" t="s">
        <v>696</v>
      </c>
      <c r="H275" s="16"/>
      <c r="I275" s="20"/>
      <c r="J275" s="20"/>
      <c r="K275" s="20"/>
      <c r="L275" s="20"/>
      <c r="M275" s="20"/>
      <c r="N275" s="20"/>
      <c r="O275" s="20"/>
      <c r="P275" s="20"/>
      <c r="Q275" s="20"/>
      <c r="R275" s="20"/>
      <c r="S275" s="20"/>
      <c r="T275" s="20"/>
      <c r="U275" s="20"/>
      <c r="V275" s="20"/>
      <c r="W275" s="20"/>
      <c r="X275" s="20"/>
      <c r="Y275" s="20"/>
      <c r="Z275" s="20"/>
      <c r="AA275" s="20"/>
    </row>
    <row r="276" spans="1:27" ht="121.8" x14ac:dyDescent="0.25">
      <c r="A276" s="16"/>
      <c r="B276" s="20" t="b">
        <f ca="1">IFERROR(__xludf.DUMMYFUNCTION("if(D276=iferror(filter('Character Sheet'!D$13:D3002,'Character Sheet'!D$13:D3002=D276),""""),True,False)"),FALSE)</f>
        <v>0</v>
      </c>
      <c r="C276" s="20">
        <v>400</v>
      </c>
      <c r="D276" s="2" t="s">
        <v>697</v>
      </c>
      <c r="E276" s="2" t="s">
        <v>253</v>
      </c>
      <c r="F276" s="20" t="s">
        <v>53</v>
      </c>
      <c r="G276" s="2" t="s">
        <v>698</v>
      </c>
      <c r="H276" s="16"/>
      <c r="I276" s="20"/>
      <c r="J276" s="20"/>
      <c r="K276" s="20"/>
      <c r="L276" s="20"/>
      <c r="M276" s="20"/>
      <c r="N276" s="20"/>
      <c r="O276" s="20"/>
      <c r="P276" s="20"/>
      <c r="Q276" s="20"/>
      <c r="R276" s="20"/>
      <c r="S276" s="20"/>
      <c r="T276" s="20"/>
      <c r="U276" s="20"/>
      <c r="V276" s="20"/>
      <c r="W276" s="20"/>
      <c r="X276" s="20"/>
      <c r="Y276" s="20"/>
      <c r="Z276" s="20"/>
      <c r="AA276" s="20"/>
    </row>
    <row r="277" spans="1:27" ht="52.2" x14ac:dyDescent="0.25">
      <c r="A277" s="16"/>
      <c r="B277" s="20" t="b">
        <f ca="1">IFERROR(__xludf.DUMMYFUNCTION("if(D277=iferror(filter('Character Sheet'!D$13:D3002,'Character Sheet'!D$13:D3002=D277),""""),True,False)"),FALSE)</f>
        <v>0</v>
      </c>
      <c r="C277" s="20">
        <v>400</v>
      </c>
      <c r="D277" s="2" t="s">
        <v>699</v>
      </c>
      <c r="E277" s="2" t="s">
        <v>100</v>
      </c>
      <c r="F277" s="20" t="s">
        <v>53</v>
      </c>
      <c r="G277" s="2" t="s">
        <v>700</v>
      </c>
      <c r="H277" s="16"/>
      <c r="I277" s="20"/>
      <c r="J277" s="20"/>
      <c r="K277" s="20"/>
      <c r="L277" s="20"/>
      <c r="M277" s="20"/>
      <c r="N277" s="20"/>
      <c r="O277" s="20"/>
      <c r="P277" s="20"/>
      <c r="Q277" s="20"/>
      <c r="R277" s="20"/>
      <c r="S277" s="20"/>
      <c r="T277" s="20"/>
      <c r="U277" s="20"/>
      <c r="V277" s="20"/>
      <c r="W277" s="20"/>
      <c r="X277" s="20"/>
      <c r="Y277" s="20"/>
      <c r="Z277" s="20"/>
      <c r="AA277" s="20"/>
    </row>
    <row r="278" spans="1:27" ht="139.19999999999999" x14ac:dyDescent="0.25">
      <c r="A278" s="16"/>
      <c r="B278" s="20" t="b">
        <f ca="1">IFERROR(__xludf.DUMMYFUNCTION("if(D278=iferror(filter('Character Sheet'!D$13:D3002,'Character Sheet'!D$13:D3002=D278),""""),True,False)"),FALSE)</f>
        <v>0</v>
      </c>
      <c r="C278" s="20">
        <v>400</v>
      </c>
      <c r="D278" s="2" t="s">
        <v>701</v>
      </c>
      <c r="E278" s="2" t="s">
        <v>268</v>
      </c>
      <c r="F278" s="20" t="s">
        <v>53</v>
      </c>
      <c r="G278" s="2" t="s">
        <v>702</v>
      </c>
      <c r="H278" s="16"/>
      <c r="I278" s="20"/>
      <c r="J278" s="20"/>
      <c r="K278" s="20"/>
      <c r="L278" s="20"/>
      <c r="M278" s="20"/>
      <c r="N278" s="20"/>
      <c r="O278" s="20"/>
      <c r="P278" s="20"/>
      <c r="Q278" s="20"/>
      <c r="R278" s="20"/>
      <c r="S278" s="20"/>
      <c r="T278" s="20"/>
      <c r="U278" s="20"/>
      <c r="V278" s="20"/>
      <c r="W278" s="20"/>
      <c r="X278" s="20"/>
      <c r="Y278" s="20"/>
      <c r="Z278" s="20"/>
      <c r="AA278" s="20"/>
    </row>
    <row r="279" spans="1:27" ht="156.6" x14ac:dyDescent="0.25">
      <c r="A279" s="16"/>
      <c r="B279" s="20" t="b">
        <f ca="1">IFERROR(__xludf.DUMMYFUNCTION("if(D279=iferror(filter('Character Sheet'!D$13:D3002,'Character Sheet'!D$13:D3002=D279),""""),True,False)"),FALSE)</f>
        <v>0</v>
      </c>
      <c r="C279" s="20">
        <v>400</v>
      </c>
      <c r="D279" s="2" t="s">
        <v>703</v>
      </c>
      <c r="E279" s="2" t="s">
        <v>704</v>
      </c>
      <c r="F279" s="20" t="s">
        <v>53</v>
      </c>
      <c r="G279" s="2" t="s">
        <v>705</v>
      </c>
      <c r="H279" s="16"/>
      <c r="I279" s="20"/>
      <c r="J279" s="20"/>
      <c r="K279" s="20"/>
      <c r="L279" s="20"/>
      <c r="M279" s="20"/>
      <c r="N279" s="20"/>
      <c r="O279" s="20"/>
      <c r="P279" s="20"/>
      <c r="Q279" s="20"/>
      <c r="R279" s="20"/>
      <c r="S279" s="20"/>
      <c r="T279" s="20"/>
      <c r="U279" s="20"/>
      <c r="V279" s="20"/>
      <c r="W279" s="20"/>
      <c r="X279" s="20"/>
      <c r="Y279" s="20"/>
      <c r="Z279" s="20"/>
      <c r="AA279" s="20"/>
    </row>
    <row r="280" spans="1:27" ht="243.6" x14ac:dyDescent="0.25">
      <c r="A280" s="16"/>
      <c r="B280" s="20" t="b">
        <f ca="1">IFERROR(__xludf.DUMMYFUNCTION("if(D280=iferror(filter('Character Sheet'!D$13:D3002,'Character Sheet'!D$13:D3002=D280),""""),True,False)"),FALSE)</f>
        <v>0</v>
      </c>
      <c r="C280" s="20">
        <v>400</v>
      </c>
      <c r="D280" s="2" t="s">
        <v>706</v>
      </c>
      <c r="E280" s="2" t="s">
        <v>615</v>
      </c>
      <c r="F280" s="20" t="s">
        <v>53</v>
      </c>
      <c r="G280" s="2" t="s">
        <v>707</v>
      </c>
      <c r="H280" s="16"/>
      <c r="I280" s="20"/>
      <c r="J280" s="20"/>
      <c r="K280" s="20"/>
      <c r="L280" s="20"/>
      <c r="M280" s="20"/>
      <c r="N280" s="20"/>
      <c r="O280" s="20"/>
      <c r="P280" s="20"/>
      <c r="Q280" s="20"/>
      <c r="R280" s="20"/>
      <c r="S280" s="20"/>
      <c r="T280" s="20"/>
      <c r="U280" s="20"/>
      <c r="V280" s="20"/>
      <c r="W280" s="20"/>
      <c r="X280" s="20"/>
      <c r="Y280" s="20"/>
      <c r="Z280" s="20"/>
      <c r="AA280" s="20"/>
    </row>
    <row r="281" spans="1:27" ht="174" x14ac:dyDescent="0.25">
      <c r="A281" s="16"/>
      <c r="B281" s="20" t="b">
        <f ca="1">IFERROR(__xludf.DUMMYFUNCTION("if(D281=iferror(filter('Character Sheet'!D$13:D3002,'Character Sheet'!D$13:D3002=D281),""""),True,False)"),FALSE)</f>
        <v>0</v>
      </c>
      <c r="C281" s="20">
        <v>400</v>
      </c>
      <c r="D281" s="2" t="s">
        <v>708</v>
      </c>
      <c r="E281" s="2" t="s">
        <v>87</v>
      </c>
      <c r="F281" s="20" t="s">
        <v>53</v>
      </c>
      <c r="G281" s="2" t="s">
        <v>709</v>
      </c>
      <c r="H281" s="16"/>
      <c r="I281" s="20"/>
      <c r="J281" s="20"/>
      <c r="K281" s="20"/>
      <c r="L281" s="20"/>
      <c r="M281" s="20"/>
      <c r="N281" s="20"/>
      <c r="O281" s="20"/>
      <c r="P281" s="20"/>
      <c r="Q281" s="20"/>
      <c r="R281" s="20"/>
      <c r="S281" s="20"/>
      <c r="T281" s="20"/>
      <c r="U281" s="20"/>
      <c r="V281" s="20"/>
      <c r="W281" s="20"/>
      <c r="X281" s="20"/>
      <c r="Y281" s="20"/>
      <c r="Z281" s="20"/>
      <c r="AA281" s="20"/>
    </row>
    <row r="282" spans="1:27" ht="87" x14ac:dyDescent="0.25">
      <c r="A282" s="16"/>
      <c r="B282" s="20" t="b">
        <f ca="1">IFERROR(__xludf.DUMMYFUNCTION("if(D282=iferror(filter('Character Sheet'!D$13:D3002,'Character Sheet'!D$13:D3002=D282),""""),True,False)"),FALSE)</f>
        <v>0</v>
      </c>
      <c r="C282" s="20">
        <v>400</v>
      </c>
      <c r="D282" s="2" t="s">
        <v>710</v>
      </c>
      <c r="E282" s="2" t="s">
        <v>711</v>
      </c>
      <c r="F282" s="20" t="s">
        <v>53</v>
      </c>
      <c r="G282" s="2" t="s">
        <v>712</v>
      </c>
      <c r="H282" s="16"/>
      <c r="I282" s="20"/>
      <c r="J282" s="20"/>
      <c r="K282" s="20"/>
      <c r="L282" s="20"/>
      <c r="M282" s="20"/>
      <c r="N282" s="20"/>
      <c r="O282" s="20"/>
      <c r="P282" s="20"/>
      <c r="Q282" s="20"/>
      <c r="R282" s="20"/>
      <c r="S282" s="20"/>
      <c r="T282" s="20"/>
      <c r="U282" s="20"/>
      <c r="V282" s="20"/>
      <c r="W282" s="20"/>
      <c r="X282" s="20"/>
      <c r="Y282" s="20"/>
      <c r="Z282" s="20"/>
      <c r="AA282" s="20"/>
    </row>
    <row r="283" spans="1:27" ht="139.19999999999999" x14ac:dyDescent="0.25">
      <c r="A283" s="16"/>
      <c r="B283" s="20" t="b">
        <f ca="1">IFERROR(__xludf.DUMMYFUNCTION("if(D283=iferror(filter('Character Sheet'!D$13:D3002,'Character Sheet'!D$13:D3002=D283),""""),True,False)"),FALSE)</f>
        <v>0</v>
      </c>
      <c r="C283" s="20">
        <v>400</v>
      </c>
      <c r="D283" s="2" t="s">
        <v>713</v>
      </c>
      <c r="E283" s="2" t="s">
        <v>704</v>
      </c>
      <c r="F283" s="20" t="s">
        <v>53</v>
      </c>
      <c r="G283" s="2" t="s">
        <v>714</v>
      </c>
      <c r="H283" s="16"/>
      <c r="I283" s="20"/>
      <c r="J283" s="20"/>
      <c r="K283" s="20"/>
      <c r="L283" s="20"/>
      <c r="M283" s="20"/>
      <c r="N283" s="20"/>
      <c r="O283" s="20"/>
      <c r="P283" s="20"/>
      <c r="Q283" s="20"/>
      <c r="R283" s="20"/>
      <c r="S283" s="20"/>
      <c r="T283" s="20"/>
      <c r="U283" s="20"/>
      <c r="V283" s="20"/>
      <c r="W283" s="20"/>
      <c r="X283" s="20"/>
      <c r="Y283" s="20"/>
      <c r="Z283" s="20"/>
      <c r="AA283" s="20"/>
    </row>
    <row r="284" spans="1:27" ht="139.19999999999999" x14ac:dyDescent="0.25">
      <c r="A284" s="16"/>
      <c r="B284" s="20" t="b">
        <f ca="1">IFERROR(__xludf.DUMMYFUNCTION("if(D284=iferror(filter('Character Sheet'!D$13:D3002,'Character Sheet'!D$13:D3002=D284),""""),True,False)"),FALSE)</f>
        <v>0</v>
      </c>
      <c r="C284" s="20">
        <v>400</v>
      </c>
      <c r="D284" s="2" t="s">
        <v>715</v>
      </c>
      <c r="E284" s="2" t="s">
        <v>87</v>
      </c>
      <c r="F284" s="20" t="s">
        <v>53</v>
      </c>
      <c r="G284" s="2" t="s">
        <v>716</v>
      </c>
      <c r="H284" s="16"/>
      <c r="I284" s="20"/>
      <c r="J284" s="20"/>
      <c r="K284" s="20"/>
      <c r="L284" s="20"/>
      <c r="M284" s="20"/>
      <c r="N284" s="20"/>
      <c r="O284" s="20"/>
      <c r="P284" s="20"/>
      <c r="Q284" s="20"/>
      <c r="R284" s="20"/>
      <c r="S284" s="20"/>
      <c r="T284" s="20"/>
      <c r="U284" s="20"/>
      <c r="V284" s="20"/>
      <c r="W284" s="20"/>
      <c r="X284" s="20"/>
      <c r="Y284" s="20"/>
      <c r="Z284" s="20"/>
      <c r="AA284" s="20"/>
    </row>
    <row r="285" spans="1:27" ht="104.4" x14ac:dyDescent="0.25">
      <c r="A285" s="16"/>
      <c r="B285" s="20" t="b">
        <f ca="1">IFERROR(__xludf.DUMMYFUNCTION("if(D285=iferror(filter('Character Sheet'!D$13:D3002,'Character Sheet'!D$13:D3002=D285),""""),True,False)"),FALSE)</f>
        <v>0</v>
      </c>
      <c r="C285" s="20">
        <v>400</v>
      </c>
      <c r="D285" s="2" t="s">
        <v>717</v>
      </c>
      <c r="E285" s="2" t="s">
        <v>328</v>
      </c>
      <c r="F285" s="20" t="s">
        <v>53</v>
      </c>
      <c r="G285" s="2" t="s">
        <v>718</v>
      </c>
      <c r="H285" s="16"/>
      <c r="I285" s="20"/>
      <c r="J285" s="20"/>
      <c r="K285" s="20"/>
      <c r="L285" s="20"/>
      <c r="M285" s="20"/>
      <c r="N285" s="20"/>
      <c r="O285" s="20"/>
      <c r="P285" s="20"/>
      <c r="Q285" s="20"/>
      <c r="R285" s="20"/>
      <c r="S285" s="20"/>
      <c r="T285" s="20"/>
      <c r="U285" s="20"/>
      <c r="V285" s="20"/>
      <c r="W285" s="20"/>
      <c r="X285" s="20"/>
      <c r="Y285" s="20"/>
      <c r="Z285" s="20"/>
      <c r="AA285" s="20"/>
    </row>
    <row r="286" spans="1:27" ht="121.8" x14ac:dyDescent="0.25">
      <c r="A286" s="16"/>
      <c r="B286" s="20" t="b">
        <f ca="1">IFERROR(__xludf.DUMMYFUNCTION("if(D286=iferror(filter('Character Sheet'!D$13:D3002,'Character Sheet'!D$13:D3002=D286),""""),True,False)"),FALSE)</f>
        <v>0</v>
      </c>
      <c r="C286" s="20">
        <v>500</v>
      </c>
      <c r="D286" s="2" t="s">
        <v>719</v>
      </c>
      <c r="E286" s="2" t="s">
        <v>720</v>
      </c>
      <c r="F286" s="20" t="s">
        <v>53</v>
      </c>
      <c r="G286" s="2" t="s">
        <v>721</v>
      </c>
      <c r="H286" s="16"/>
      <c r="I286" s="20"/>
      <c r="J286" s="20"/>
      <c r="K286" s="20"/>
      <c r="L286" s="20"/>
      <c r="M286" s="20"/>
      <c r="N286" s="20"/>
      <c r="O286" s="20"/>
      <c r="P286" s="20"/>
      <c r="Q286" s="20"/>
      <c r="R286" s="20"/>
      <c r="S286" s="20"/>
      <c r="T286" s="20"/>
      <c r="U286" s="20"/>
      <c r="V286" s="20"/>
      <c r="W286" s="20"/>
      <c r="X286" s="20"/>
      <c r="Y286" s="20"/>
      <c r="Z286" s="20"/>
      <c r="AA286" s="20"/>
    </row>
    <row r="287" spans="1:27" ht="174" x14ac:dyDescent="0.25">
      <c r="A287" s="16"/>
      <c r="B287" s="20" t="b">
        <f ca="1">IFERROR(__xludf.DUMMYFUNCTION("if(D287=iferror(filter('Character Sheet'!D$13:D3002,'Character Sheet'!D$13:D3002=D287),""""),True,False)"),FALSE)</f>
        <v>0</v>
      </c>
      <c r="C287" s="20">
        <v>500</v>
      </c>
      <c r="D287" s="2" t="s">
        <v>722</v>
      </c>
      <c r="E287" s="2" t="s">
        <v>285</v>
      </c>
      <c r="F287" s="20" t="s">
        <v>53</v>
      </c>
      <c r="G287" s="2" t="s">
        <v>723</v>
      </c>
      <c r="H287" s="16"/>
      <c r="I287" s="20"/>
      <c r="J287" s="20"/>
      <c r="K287" s="20"/>
      <c r="L287" s="20"/>
      <c r="M287" s="20"/>
      <c r="N287" s="20"/>
      <c r="O287" s="20"/>
      <c r="P287" s="20"/>
      <c r="Q287" s="20"/>
      <c r="R287" s="20"/>
      <c r="S287" s="20"/>
      <c r="T287" s="20"/>
      <c r="U287" s="20"/>
      <c r="V287" s="20"/>
      <c r="W287" s="20"/>
      <c r="X287" s="20"/>
      <c r="Y287" s="20"/>
      <c r="Z287" s="20"/>
      <c r="AA287" s="20"/>
    </row>
    <row r="288" spans="1:27" ht="69.599999999999994" x14ac:dyDescent="0.25">
      <c r="A288" s="16"/>
      <c r="B288" s="20" t="b">
        <f ca="1">IFERROR(__xludf.DUMMYFUNCTION("if(D288=iferror(filter('Character Sheet'!D$13:D3002,'Character Sheet'!D$13:D3002=D288),""""),True,False)"),FALSE)</f>
        <v>0</v>
      </c>
      <c r="C288" s="20">
        <v>500</v>
      </c>
      <c r="D288" s="2" t="s">
        <v>724</v>
      </c>
      <c r="E288" s="2" t="s">
        <v>451</v>
      </c>
      <c r="F288" s="20" t="s">
        <v>53</v>
      </c>
      <c r="G288" s="2" t="s">
        <v>725</v>
      </c>
      <c r="H288" s="16"/>
      <c r="I288" s="20"/>
      <c r="J288" s="20"/>
      <c r="K288" s="20"/>
      <c r="L288" s="20"/>
      <c r="M288" s="20"/>
      <c r="N288" s="20"/>
      <c r="O288" s="20"/>
      <c r="P288" s="20"/>
      <c r="Q288" s="20"/>
      <c r="R288" s="20"/>
      <c r="S288" s="20"/>
      <c r="T288" s="20"/>
      <c r="U288" s="20"/>
      <c r="V288" s="20"/>
      <c r="W288" s="20"/>
      <c r="X288" s="20"/>
      <c r="Y288" s="20"/>
      <c r="Z288" s="20"/>
      <c r="AA288" s="20"/>
    </row>
    <row r="289" spans="1:27" ht="87" x14ac:dyDescent="0.25">
      <c r="A289" s="16"/>
      <c r="B289" s="20" t="b">
        <f ca="1">IFERROR(__xludf.DUMMYFUNCTION("if(D289=iferror(filter('Character Sheet'!D$13:D3002,'Character Sheet'!D$13:D3002=D289),""""),True,False)"),FALSE)</f>
        <v>0</v>
      </c>
      <c r="C289" s="20">
        <v>500</v>
      </c>
      <c r="D289" s="2" t="s">
        <v>726</v>
      </c>
      <c r="E289" s="2" t="s">
        <v>214</v>
      </c>
      <c r="F289" s="20" t="s">
        <v>53</v>
      </c>
      <c r="G289" s="2" t="s">
        <v>727</v>
      </c>
      <c r="H289" s="16"/>
      <c r="I289" s="20"/>
      <c r="J289" s="20"/>
      <c r="K289" s="20"/>
      <c r="L289" s="20"/>
      <c r="M289" s="20"/>
      <c r="N289" s="20"/>
      <c r="O289" s="20"/>
      <c r="P289" s="20"/>
      <c r="Q289" s="20"/>
      <c r="R289" s="20"/>
      <c r="S289" s="20"/>
      <c r="T289" s="20"/>
      <c r="U289" s="20"/>
      <c r="V289" s="20"/>
      <c r="W289" s="20"/>
      <c r="X289" s="20"/>
      <c r="Y289" s="20"/>
      <c r="Z289" s="20"/>
      <c r="AA289" s="20"/>
    </row>
    <row r="290" spans="1:27" ht="139.19999999999999" x14ac:dyDescent="0.25">
      <c r="A290" s="16"/>
      <c r="B290" s="20" t="b">
        <f ca="1">IFERROR(__xludf.DUMMYFUNCTION("if(D290=iferror(filter('Character Sheet'!D$13:D3002,'Character Sheet'!D$13:D3002=D290),""""),True,False)"),FALSE)</f>
        <v>0</v>
      </c>
      <c r="C290" s="20">
        <v>500</v>
      </c>
      <c r="D290" s="2" t="s">
        <v>728</v>
      </c>
      <c r="E290" s="2" t="s">
        <v>514</v>
      </c>
      <c r="F290" s="20" t="s">
        <v>53</v>
      </c>
      <c r="G290" s="2" t="s">
        <v>729</v>
      </c>
      <c r="H290" s="16"/>
      <c r="I290" s="20"/>
      <c r="J290" s="20"/>
      <c r="K290" s="20"/>
      <c r="L290" s="20"/>
      <c r="M290" s="20"/>
      <c r="N290" s="20"/>
      <c r="O290" s="20"/>
      <c r="P290" s="20"/>
      <c r="Q290" s="20"/>
      <c r="R290" s="20"/>
      <c r="S290" s="20"/>
      <c r="T290" s="20"/>
      <c r="U290" s="20"/>
      <c r="V290" s="20"/>
      <c r="W290" s="20"/>
      <c r="X290" s="20"/>
      <c r="Y290" s="20"/>
      <c r="Z290" s="20"/>
      <c r="AA290" s="20"/>
    </row>
    <row r="291" spans="1:27" ht="295.8" x14ac:dyDescent="0.25">
      <c r="A291" s="16"/>
      <c r="B291" s="20" t="b">
        <f ca="1">IFERROR(__xludf.DUMMYFUNCTION("if(D291=iferror(filter('Character Sheet'!D$13:D3002,'Character Sheet'!D$13:D3002=D291),""""),True,False)"),FALSE)</f>
        <v>0</v>
      </c>
      <c r="C291" s="20">
        <v>500</v>
      </c>
      <c r="D291" s="2" t="s">
        <v>730</v>
      </c>
      <c r="E291" s="2" t="s">
        <v>731</v>
      </c>
      <c r="F291" s="20" t="s">
        <v>53</v>
      </c>
      <c r="G291" s="2" t="s">
        <v>732</v>
      </c>
      <c r="H291" s="16"/>
      <c r="I291" s="20"/>
      <c r="J291" s="20"/>
      <c r="K291" s="20"/>
      <c r="L291" s="20"/>
      <c r="M291" s="20"/>
      <c r="N291" s="20"/>
      <c r="O291" s="20"/>
      <c r="P291" s="20"/>
      <c r="Q291" s="20"/>
      <c r="R291" s="20"/>
      <c r="S291" s="20"/>
      <c r="T291" s="20"/>
      <c r="U291" s="20"/>
      <c r="V291" s="20"/>
      <c r="W291" s="20"/>
      <c r="X291" s="20"/>
      <c r="Y291" s="20"/>
      <c r="Z291" s="20"/>
      <c r="AA291" s="20"/>
    </row>
    <row r="292" spans="1:27" ht="121.8" x14ac:dyDescent="0.25">
      <c r="A292" s="16"/>
      <c r="B292" s="20" t="b">
        <f ca="1">IFERROR(__xludf.DUMMYFUNCTION("if(D292=iferror(filter('Character Sheet'!D$13:D3002,'Character Sheet'!D$13:D3002=D292),""""),True,False)"),FALSE)</f>
        <v>0</v>
      </c>
      <c r="C292" s="20">
        <v>600</v>
      </c>
      <c r="D292" s="2" t="s">
        <v>733</v>
      </c>
      <c r="E292" s="2" t="s">
        <v>173</v>
      </c>
      <c r="F292" s="20" t="s">
        <v>53</v>
      </c>
      <c r="G292" s="2" t="s">
        <v>734</v>
      </c>
      <c r="H292" s="16"/>
      <c r="I292" s="20"/>
      <c r="J292" s="20"/>
      <c r="K292" s="20"/>
      <c r="L292" s="20"/>
      <c r="M292" s="20"/>
      <c r="N292" s="20"/>
      <c r="O292" s="20"/>
      <c r="P292" s="20"/>
      <c r="Q292" s="20"/>
      <c r="R292" s="20"/>
      <c r="S292" s="20"/>
      <c r="T292" s="20"/>
      <c r="U292" s="20"/>
      <c r="V292" s="20"/>
      <c r="W292" s="20"/>
      <c r="X292" s="20"/>
      <c r="Y292" s="20"/>
      <c r="Z292" s="20"/>
      <c r="AA292" s="20"/>
    </row>
    <row r="293" spans="1:27" ht="174" x14ac:dyDescent="0.25">
      <c r="A293" s="16"/>
      <c r="B293" s="20" t="b">
        <f ca="1">IFERROR(__xludf.DUMMYFUNCTION("if(D293=iferror(filter('Character Sheet'!D$13:D3002,'Character Sheet'!D$13:D3002=D293),""""),True,False)"),FALSE)</f>
        <v>0</v>
      </c>
      <c r="C293" s="20">
        <v>600</v>
      </c>
      <c r="D293" s="2" t="s">
        <v>735</v>
      </c>
      <c r="E293" s="2" t="s">
        <v>369</v>
      </c>
      <c r="F293" s="20" t="s">
        <v>53</v>
      </c>
      <c r="G293" s="2" t="s">
        <v>736</v>
      </c>
      <c r="H293" s="16"/>
      <c r="I293" s="20"/>
      <c r="J293" s="20"/>
      <c r="K293" s="20"/>
      <c r="L293" s="20"/>
      <c r="M293" s="20"/>
      <c r="N293" s="20"/>
      <c r="O293" s="20"/>
      <c r="P293" s="20"/>
      <c r="Q293" s="20"/>
      <c r="R293" s="20"/>
      <c r="S293" s="20"/>
      <c r="T293" s="20"/>
      <c r="U293" s="20"/>
      <c r="V293" s="20"/>
      <c r="W293" s="20"/>
      <c r="X293" s="20"/>
      <c r="Y293" s="20"/>
      <c r="Z293" s="20"/>
      <c r="AA293" s="20"/>
    </row>
    <row r="294" spans="1:27" ht="104.4" x14ac:dyDescent="0.25">
      <c r="A294" s="16"/>
      <c r="B294" s="20" t="b">
        <f ca="1">IFERROR(__xludf.DUMMYFUNCTION("if(D294=iferror(filter('Character Sheet'!D$13:D3002,'Character Sheet'!D$13:D3002=D294),""""),True,False)"),FALSE)</f>
        <v>0</v>
      </c>
      <c r="C294" s="20">
        <v>600</v>
      </c>
      <c r="D294" s="2" t="s">
        <v>737</v>
      </c>
      <c r="E294" s="2" t="s">
        <v>738</v>
      </c>
      <c r="F294" s="20" t="s">
        <v>53</v>
      </c>
      <c r="G294" s="2" t="s">
        <v>739</v>
      </c>
      <c r="H294" s="16"/>
      <c r="I294" s="20"/>
      <c r="J294" s="20"/>
      <c r="K294" s="20"/>
      <c r="L294" s="20"/>
      <c r="M294" s="20"/>
      <c r="N294" s="20"/>
      <c r="O294" s="20"/>
      <c r="P294" s="20"/>
      <c r="Q294" s="20"/>
      <c r="R294" s="20"/>
      <c r="S294" s="20"/>
      <c r="T294" s="20"/>
      <c r="U294" s="20"/>
      <c r="V294" s="20"/>
      <c r="W294" s="20"/>
      <c r="X294" s="20"/>
      <c r="Y294" s="20"/>
      <c r="Z294" s="20"/>
      <c r="AA294" s="20"/>
    </row>
    <row r="295" spans="1:27" ht="104.4" x14ac:dyDescent="0.25">
      <c r="A295" s="16"/>
      <c r="B295" s="20" t="b">
        <f ca="1">IFERROR(__xludf.DUMMYFUNCTION("if(D295=iferror(filter('Character Sheet'!D$13:D3002,'Character Sheet'!D$13:D3002=D295),""""),True,False)"),FALSE)</f>
        <v>0</v>
      </c>
      <c r="C295" s="20">
        <v>600</v>
      </c>
      <c r="D295" s="2" t="s">
        <v>740</v>
      </c>
      <c r="E295" s="2" t="s">
        <v>328</v>
      </c>
      <c r="F295" s="20" t="s">
        <v>53</v>
      </c>
      <c r="G295" s="2" t="s">
        <v>741</v>
      </c>
      <c r="H295" s="16"/>
      <c r="I295" s="20"/>
      <c r="J295" s="20"/>
      <c r="K295" s="20"/>
      <c r="L295" s="20"/>
      <c r="M295" s="20"/>
      <c r="N295" s="20"/>
      <c r="O295" s="20"/>
      <c r="P295" s="20"/>
      <c r="Q295" s="20"/>
      <c r="R295" s="20"/>
      <c r="S295" s="20"/>
      <c r="T295" s="20"/>
      <c r="U295" s="20"/>
      <c r="V295" s="20"/>
      <c r="W295" s="20"/>
      <c r="X295" s="20"/>
      <c r="Y295" s="20"/>
      <c r="Z295" s="20"/>
      <c r="AA295" s="20"/>
    </row>
    <row r="296" spans="1:27" ht="52.2" x14ac:dyDescent="0.25">
      <c r="A296" s="16"/>
      <c r="B296" s="20" t="b">
        <f ca="1">IFERROR(__xludf.DUMMYFUNCTION("if(D296=iferror(filter('Character Sheet'!D$13:D3002,'Character Sheet'!D$13:D3002=D296),""""),True,False)"),FALSE)</f>
        <v>0</v>
      </c>
      <c r="C296" s="20">
        <v>600</v>
      </c>
      <c r="D296" s="2" t="s">
        <v>742</v>
      </c>
      <c r="E296" s="2" t="s">
        <v>711</v>
      </c>
      <c r="F296" s="20" t="s">
        <v>53</v>
      </c>
      <c r="G296" s="2" t="s">
        <v>743</v>
      </c>
      <c r="H296" s="16"/>
      <c r="I296" s="20"/>
      <c r="J296" s="20"/>
      <c r="K296" s="20"/>
      <c r="L296" s="20"/>
      <c r="M296" s="20"/>
      <c r="N296" s="20"/>
      <c r="O296" s="20"/>
      <c r="P296" s="20"/>
      <c r="Q296" s="20"/>
      <c r="R296" s="20"/>
      <c r="S296" s="20"/>
      <c r="T296" s="20"/>
      <c r="U296" s="20"/>
      <c r="V296" s="20"/>
      <c r="W296" s="20"/>
      <c r="X296" s="20"/>
      <c r="Y296" s="20"/>
      <c r="Z296" s="20"/>
      <c r="AA296" s="20"/>
    </row>
    <row r="297" spans="1:27" ht="104.4" x14ac:dyDescent="0.25">
      <c r="A297" s="16"/>
      <c r="B297" s="20" t="b">
        <f ca="1">IFERROR(__xludf.DUMMYFUNCTION("if(D297=iferror(filter('Character Sheet'!D$13:D3002,'Character Sheet'!D$13:D3002=D297),""""),True,False)"),FALSE)</f>
        <v>0</v>
      </c>
      <c r="C297" s="20">
        <v>700</v>
      </c>
      <c r="D297" s="2" t="s">
        <v>744</v>
      </c>
      <c r="E297" s="2" t="s">
        <v>303</v>
      </c>
      <c r="F297" s="20" t="s">
        <v>53</v>
      </c>
      <c r="G297" s="2" t="s">
        <v>745</v>
      </c>
      <c r="H297" s="16"/>
      <c r="I297" s="20"/>
      <c r="J297" s="20"/>
      <c r="K297" s="20"/>
      <c r="L297" s="20"/>
      <c r="M297" s="20"/>
      <c r="N297" s="20"/>
      <c r="O297" s="20"/>
      <c r="P297" s="20"/>
      <c r="Q297" s="20"/>
      <c r="R297" s="20"/>
      <c r="S297" s="20"/>
      <c r="T297" s="20"/>
      <c r="U297" s="20"/>
      <c r="V297" s="20"/>
      <c r="W297" s="20"/>
      <c r="X297" s="20"/>
      <c r="Y297" s="20"/>
      <c r="Z297" s="20"/>
      <c r="AA297" s="20"/>
    </row>
    <row r="298" spans="1:27" ht="104.4" x14ac:dyDescent="0.25">
      <c r="A298" s="16"/>
      <c r="B298" s="20" t="b">
        <f ca="1">IFERROR(__xludf.DUMMYFUNCTION("if(D298=iferror(filter('Character Sheet'!D$13:D3002,'Character Sheet'!D$13:D3002=D298),""""),True,False)"),FALSE)</f>
        <v>0</v>
      </c>
      <c r="C298" s="20">
        <v>0</v>
      </c>
      <c r="D298" s="2" t="s">
        <v>746</v>
      </c>
      <c r="E298" s="2" t="s">
        <v>747</v>
      </c>
      <c r="F298" s="20" t="s">
        <v>54</v>
      </c>
      <c r="G298" s="2" t="s">
        <v>748</v>
      </c>
      <c r="H298" s="16"/>
      <c r="I298" s="20"/>
      <c r="J298" s="20"/>
      <c r="K298" s="20"/>
      <c r="L298" s="20"/>
      <c r="M298" s="20"/>
      <c r="N298" s="20"/>
      <c r="O298" s="20"/>
      <c r="P298" s="20"/>
      <c r="Q298" s="20"/>
      <c r="R298" s="20"/>
      <c r="S298" s="20"/>
      <c r="T298" s="20"/>
      <c r="U298" s="20"/>
      <c r="V298" s="20"/>
      <c r="W298" s="20"/>
      <c r="X298" s="20"/>
      <c r="Y298" s="20"/>
      <c r="Z298" s="20"/>
      <c r="AA298" s="20"/>
    </row>
    <row r="299" spans="1:27" ht="156.6" x14ac:dyDescent="0.25">
      <c r="A299" s="16"/>
      <c r="B299" s="20" t="b">
        <f ca="1">IFERROR(__xludf.DUMMYFUNCTION("if(D299=iferror(filter('Character Sheet'!D$13:D3002,'Character Sheet'!D$13:D3002=D299),""""),True,False)"),FALSE)</f>
        <v>0</v>
      </c>
      <c r="C299" s="20">
        <v>50</v>
      </c>
      <c r="D299" s="2" t="s">
        <v>749</v>
      </c>
      <c r="E299" s="2" t="s">
        <v>750</v>
      </c>
      <c r="F299" s="20" t="s">
        <v>54</v>
      </c>
      <c r="G299" s="2" t="s">
        <v>751</v>
      </c>
      <c r="H299" s="16"/>
      <c r="I299" s="20"/>
      <c r="J299" s="20"/>
      <c r="K299" s="20"/>
      <c r="L299" s="20"/>
      <c r="M299" s="20"/>
      <c r="N299" s="20"/>
      <c r="O299" s="20"/>
      <c r="P299" s="20"/>
      <c r="Q299" s="20"/>
      <c r="R299" s="20"/>
      <c r="S299" s="20"/>
      <c r="T299" s="20"/>
      <c r="U299" s="20"/>
      <c r="V299" s="20"/>
      <c r="W299" s="20"/>
      <c r="X299" s="20"/>
      <c r="Y299" s="20"/>
      <c r="Z299" s="20"/>
      <c r="AA299" s="20"/>
    </row>
    <row r="300" spans="1:27" ht="69.599999999999994" x14ac:dyDescent="0.25">
      <c r="A300" s="16"/>
      <c r="B300" s="20" t="b">
        <f ca="1">IFERROR(__xludf.DUMMYFUNCTION("if(D300=iferror(filter('Character Sheet'!D$13:D3002,'Character Sheet'!D$13:D3002=D300),""""),True,False)"),FALSE)</f>
        <v>0</v>
      </c>
      <c r="C300" s="20">
        <v>100</v>
      </c>
      <c r="D300" s="2" t="s">
        <v>752</v>
      </c>
      <c r="E300" s="2" t="s">
        <v>753</v>
      </c>
      <c r="F300" s="20" t="s">
        <v>54</v>
      </c>
      <c r="G300" s="2" t="s">
        <v>754</v>
      </c>
      <c r="H300" s="16"/>
      <c r="I300" s="20"/>
      <c r="J300" s="20"/>
      <c r="K300" s="20"/>
      <c r="L300" s="20"/>
      <c r="M300" s="20"/>
      <c r="N300" s="20"/>
      <c r="O300" s="20"/>
      <c r="P300" s="20"/>
      <c r="Q300" s="20"/>
      <c r="R300" s="20"/>
      <c r="S300" s="20"/>
      <c r="T300" s="20"/>
      <c r="U300" s="20"/>
      <c r="V300" s="20"/>
      <c r="W300" s="20"/>
      <c r="X300" s="20"/>
      <c r="Y300" s="20"/>
      <c r="Z300" s="20"/>
      <c r="AA300" s="20"/>
    </row>
    <row r="301" spans="1:27" ht="104.4" x14ac:dyDescent="0.25">
      <c r="A301" s="16"/>
      <c r="B301" s="20" t="b">
        <f ca="1">IFERROR(__xludf.DUMMYFUNCTION("if(D301=iferror(filter('Character Sheet'!D$13:D3002,'Character Sheet'!D$13:D3002=D301),""""),True,False)"),FALSE)</f>
        <v>0</v>
      </c>
      <c r="C301" s="20">
        <v>100</v>
      </c>
      <c r="D301" s="2" t="s">
        <v>755</v>
      </c>
      <c r="E301" s="2" t="s">
        <v>461</v>
      </c>
      <c r="F301" s="20" t="s">
        <v>54</v>
      </c>
      <c r="G301" s="2" t="s">
        <v>756</v>
      </c>
      <c r="H301" s="16"/>
      <c r="I301" s="20"/>
      <c r="J301" s="20"/>
      <c r="K301" s="20"/>
      <c r="L301" s="20"/>
      <c r="M301" s="20"/>
      <c r="N301" s="20"/>
      <c r="O301" s="20"/>
      <c r="P301" s="20"/>
      <c r="Q301" s="20"/>
      <c r="R301" s="20"/>
      <c r="S301" s="20"/>
      <c r="T301" s="20"/>
      <c r="U301" s="20"/>
      <c r="V301" s="20"/>
      <c r="W301" s="20"/>
      <c r="X301" s="20"/>
      <c r="Y301" s="20"/>
      <c r="Z301" s="20"/>
      <c r="AA301" s="20"/>
    </row>
    <row r="302" spans="1:27" ht="52.2" x14ac:dyDescent="0.25">
      <c r="A302" s="16"/>
      <c r="B302" s="20" t="b">
        <f ca="1">IFERROR(__xludf.DUMMYFUNCTION("if(D302=iferror(filter('Character Sheet'!D$13:D3002,'Character Sheet'!D$13:D3002=D302),""""),True,False)"),FALSE)</f>
        <v>0</v>
      </c>
      <c r="C302" s="20">
        <v>100</v>
      </c>
      <c r="D302" s="2" t="s">
        <v>757</v>
      </c>
      <c r="E302" s="2" t="s">
        <v>758</v>
      </c>
      <c r="F302" s="20" t="s">
        <v>54</v>
      </c>
      <c r="G302" s="2" t="s">
        <v>759</v>
      </c>
      <c r="H302" s="16"/>
      <c r="I302" s="20"/>
      <c r="J302" s="20"/>
      <c r="K302" s="20"/>
      <c r="L302" s="20"/>
      <c r="M302" s="20"/>
      <c r="N302" s="20"/>
      <c r="O302" s="20"/>
      <c r="P302" s="20"/>
      <c r="Q302" s="20"/>
      <c r="R302" s="20"/>
      <c r="S302" s="20"/>
      <c r="T302" s="20"/>
      <c r="U302" s="20"/>
      <c r="V302" s="20"/>
      <c r="W302" s="20"/>
      <c r="X302" s="20"/>
      <c r="Y302" s="20"/>
      <c r="Z302" s="20"/>
      <c r="AA302" s="20"/>
    </row>
    <row r="303" spans="1:27" ht="121.8" x14ac:dyDescent="0.25">
      <c r="A303" s="16"/>
      <c r="B303" s="20" t="b">
        <f ca="1">IFERROR(__xludf.DUMMYFUNCTION("if(D303=iferror(filter('Character Sheet'!D$13:D3002,'Character Sheet'!D$13:D3002=D303),""""),True,False)"),FALSE)</f>
        <v>0</v>
      </c>
      <c r="C303" s="20">
        <v>100</v>
      </c>
      <c r="D303" s="2" t="s">
        <v>760</v>
      </c>
      <c r="E303" s="21" t="s">
        <v>761</v>
      </c>
      <c r="F303" s="20" t="s">
        <v>54</v>
      </c>
      <c r="G303" s="2" t="s">
        <v>762</v>
      </c>
      <c r="H303" s="16"/>
      <c r="I303" s="20"/>
      <c r="J303" s="20"/>
      <c r="K303" s="20"/>
      <c r="L303" s="20"/>
      <c r="M303" s="20"/>
      <c r="N303" s="20"/>
      <c r="O303" s="20"/>
      <c r="P303" s="20"/>
      <c r="Q303" s="20"/>
      <c r="R303" s="20"/>
      <c r="S303" s="20"/>
      <c r="T303" s="20"/>
      <c r="U303" s="20"/>
      <c r="V303" s="20"/>
      <c r="W303" s="20"/>
      <c r="X303" s="20"/>
      <c r="Y303" s="20"/>
      <c r="Z303" s="20"/>
      <c r="AA303" s="20"/>
    </row>
    <row r="304" spans="1:27" ht="69.599999999999994" x14ac:dyDescent="0.25">
      <c r="A304" s="16"/>
      <c r="B304" s="20" t="b">
        <f ca="1">IFERROR(__xludf.DUMMYFUNCTION("if(D304=iferror(filter('Character Sheet'!D$13:D3002,'Character Sheet'!D$13:D3002=D304),""""),True,False)"),FALSE)</f>
        <v>0</v>
      </c>
      <c r="C304" s="20">
        <v>100</v>
      </c>
      <c r="D304" s="2" t="s">
        <v>763</v>
      </c>
      <c r="E304" s="2" t="s">
        <v>711</v>
      </c>
      <c r="F304" s="20" t="s">
        <v>54</v>
      </c>
      <c r="G304" s="2" t="s">
        <v>764</v>
      </c>
      <c r="H304" s="16"/>
      <c r="I304" s="20"/>
      <c r="J304" s="20"/>
      <c r="K304" s="20"/>
      <c r="L304" s="20"/>
      <c r="M304" s="20"/>
      <c r="N304" s="20"/>
      <c r="O304" s="20"/>
      <c r="P304" s="20"/>
      <c r="Q304" s="20"/>
      <c r="R304" s="20"/>
      <c r="S304" s="20"/>
      <c r="T304" s="20"/>
      <c r="U304" s="20"/>
      <c r="V304" s="20"/>
      <c r="W304" s="20"/>
      <c r="X304" s="20"/>
      <c r="Y304" s="20"/>
      <c r="Z304" s="20"/>
      <c r="AA304" s="20"/>
    </row>
    <row r="305" spans="1:27" ht="104.4" x14ac:dyDescent="0.25">
      <c r="A305" s="16"/>
      <c r="B305" s="20" t="b">
        <f ca="1">IFERROR(__xludf.DUMMYFUNCTION("if(D305=iferror(filter('Character Sheet'!D$13:D3002,'Character Sheet'!D$13:D3002=D305),""""),True,False)"),FALSE)</f>
        <v>0</v>
      </c>
      <c r="C305" s="20">
        <v>100</v>
      </c>
      <c r="D305" s="2" t="s">
        <v>765</v>
      </c>
      <c r="E305" s="2" t="s">
        <v>347</v>
      </c>
      <c r="F305" s="20" t="s">
        <v>54</v>
      </c>
      <c r="G305" s="2" t="s">
        <v>766</v>
      </c>
      <c r="H305" s="16"/>
      <c r="I305" s="20"/>
      <c r="J305" s="20"/>
      <c r="K305" s="20"/>
      <c r="L305" s="20"/>
      <c r="M305" s="20"/>
      <c r="N305" s="20"/>
      <c r="O305" s="20"/>
      <c r="P305" s="20"/>
      <c r="Q305" s="20"/>
      <c r="R305" s="20"/>
      <c r="S305" s="20"/>
      <c r="T305" s="20"/>
      <c r="U305" s="20"/>
      <c r="V305" s="20"/>
      <c r="W305" s="20"/>
      <c r="X305" s="20"/>
      <c r="Y305" s="20"/>
      <c r="Z305" s="20"/>
      <c r="AA305" s="20"/>
    </row>
    <row r="306" spans="1:27" ht="87" x14ac:dyDescent="0.25">
      <c r="A306" s="16"/>
      <c r="B306" s="20" t="b">
        <f ca="1">IFERROR(__xludf.DUMMYFUNCTION("if(D306=iferror(filter('Character Sheet'!D$13:D3002,'Character Sheet'!D$13:D3002=D306),""""),True,False)"),FALSE)</f>
        <v>0</v>
      </c>
      <c r="C306" s="20">
        <v>100</v>
      </c>
      <c r="D306" s="2" t="s">
        <v>767</v>
      </c>
      <c r="E306" s="2" t="s">
        <v>344</v>
      </c>
      <c r="F306" s="20" t="s">
        <v>54</v>
      </c>
      <c r="G306" s="2" t="s">
        <v>768</v>
      </c>
      <c r="H306" s="16"/>
      <c r="I306" s="20"/>
      <c r="J306" s="20"/>
      <c r="K306" s="20"/>
      <c r="L306" s="20"/>
      <c r="M306" s="20"/>
      <c r="N306" s="20"/>
      <c r="O306" s="20"/>
      <c r="P306" s="20"/>
      <c r="Q306" s="20"/>
      <c r="R306" s="20"/>
      <c r="S306" s="20"/>
      <c r="T306" s="20"/>
      <c r="U306" s="20"/>
      <c r="V306" s="20"/>
      <c r="W306" s="20"/>
      <c r="X306" s="20"/>
      <c r="Y306" s="20"/>
      <c r="Z306" s="20"/>
      <c r="AA306" s="20"/>
    </row>
    <row r="307" spans="1:27" ht="139.19999999999999" x14ac:dyDescent="0.25">
      <c r="A307" s="16"/>
      <c r="B307" s="20" t="b">
        <f ca="1">IFERROR(__xludf.DUMMYFUNCTION("if(D307=iferror(filter('Character Sheet'!D$13:D3002,'Character Sheet'!D$13:D3002=D307),""""),True,False)"),FALSE)</f>
        <v>0</v>
      </c>
      <c r="C307" s="20">
        <v>100</v>
      </c>
      <c r="D307" s="2" t="s">
        <v>769</v>
      </c>
      <c r="E307" s="2" t="s">
        <v>124</v>
      </c>
      <c r="F307" s="20" t="s">
        <v>54</v>
      </c>
      <c r="G307" s="2" t="s">
        <v>770</v>
      </c>
      <c r="H307" s="16"/>
      <c r="I307" s="20"/>
      <c r="J307" s="20"/>
      <c r="K307" s="20"/>
      <c r="L307" s="20"/>
      <c r="M307" s="20"/>
      <c r="N307" s="20"/>
      <c r="O307" s="20"/>
      <c r="P307" s="20"/>
      <c r="Q307" s="20"/>
      <c r="R307" s="20"/>
      <c r="S307" s="20"/>
      <c r="T307" s="20"/>
      <c r="U307" s="20"/>
      <c r="V307" s="20"/>
      <c r="W307" s="20"/>
      <c r="X307" s="20"/>
      <c r="Y307" s="20"/>
      <c r="Z307" s="20"/>
      <c r="AA307" s="20"/>
    </row>
    <row r="308" spans="1:27" ht="87" x14ac:dyDescent="0.25">
      <c r="A308" s="16"/>
      <c r="B308" s="20" t="b">
        <f ca="1">IFERROR(__xludf.DUMMYFUNCTION("if(D308=iferror(filter('Character Sheet'!D$13:D3002,'Character Sheet'!D$13:D3002=D308),""""),True,False)"),FALSE)</f>
        <v>0</v>
      </c>
      <c r="C308" s="20">
        <v>100</v>
      </c>
      <c r="D308" s="2" t="s">
        <v>771</v>
      </c>
      <c r="E308" s="2" t="s">
        <v>772</v>
      </c>
      <c r="F308" s="20" t="s">
        <v>54</v>
      </c>
      <c r="G308" s="2" t="s">
        <v>773</v>
      </c>
      <c r="H308" s="16"/>
      <c r="I308" s="20"/>
      <c r="J308" s="20"/>
      <c r="K308" s="20"/>
      <c r="L308" s="20"/>
      <c r="M308" s="20"/>
      <c r="N308" s="20"/>
      <c r="O308" s="20"/>
      <c r="P308" s="20"/>
      <c r="Q308" s="20"/>
      <c r="R308" s="20"/>
      <c r="S308" s="20"/>
      <c r="T308" s="20"/>
      <c r="U308" s="20"/>
      <c r="V308" s="20"/>
      <c r="W308" s="20"/>
      <c r="X308" s="20"/>
      <c r="Y308" s="20"/>
      <c r="Z308" s="20"/>
      <c r="AA308" s="20"/>
    </row>
    <row r="309" spans="1:27" ht="87" x14ac:dyDescent="0.25">
      <c r="A309" s="16"/>
      <c r="B309" s="20" t="b">
        <f ca="1">IFERROR(__xludf.DUMMYFUNCTION("if(D309=iferror(filter('Character Sheet'!D$13:D3002,'Character Sheet'!D$13:D3002=D309),""""),True,False)"),FALSE)</f>
        <v>0</v>
      </c>
      <c r="C309" s="20">
        <v>100</v>
      </c>
      <c r="D309" s="2" t="s">
        <v>774</v>
      </c>
      <c r="E309" s="2" t="s">
        <v>775</v>
      </c>
      <c r="F309" s="20" t="s">
        <v>54</v>
      </c>
      <c r="G309" s="2" t="s">
        <v>776</v>
      </c>
      <c r="H309" s="16"/>
      <c r="I309" s="20"/>
      <c r="J309" s="20"/>
      <c r="K309" s="20"/>
      <c r="L309" s="20"/>
      <c r="M309" s="20"/>
      <c r="N309" s="20"/>
      <c r="O309" s="20"/>
      <c r="P309" s="20"/>
      <c r="Q309" s="20"/>
      <c r="R309" s="20"/>
      <c r="S309" s="20"/>
      <c r="T309" s="20"/>
      <c r="U309" s="20"/>
      <c r="V309" s="20"/>
      <c r="W309" s="20"/>
      <c r="X309" s="20"/>
      <c r="Y309" s="20"/>
      <c r="Z309" s="20"/>
      <c r="AA309" s="20"/>
    </row>
    <row r="310" spans="1:27" ht="121.8" x14ac:dyDescent="0.25">
      <c r="A310" s="16"/>
      <c r="B310" s="20" t="b">
        <f ca="1">IFERROR(__xludf.DUMMYFUNCTION("if(D310=iferror(filter('Character Sheet'!D$13:D3002,'Character Sheet'!D$13:D3002=D310),""""),True,False)"),FALSE)</f>
        <v>0</v>
      </c>
      <c r="C310" s="20">
        <v>200</v>
      </c>
      <c r="D310" s="2" t="s">
        <v>777</v>
      </c>
      <c r="E310" s="2" t="s">
        <v>238</v>
      </c>
      <c r="F310" s="20" t="s">
        <v>54</v>
      </c>
      <c r="G310" s="2" t="s">
        <v>778</v>
      </c>
      <c r="H310" s="16"/>
      <c r="I310" s="20"/>
      <c r="J310" s="20"/>
      <c r="K310" s="20"/>
      <c r="L310" s="20"/>
      <c r="M310" s="20"/>
      <c r="N310" s="20"/>
      <c r="O310" s="20"/>
      <c r="P310" s="20"/>
      <c r="Q310" s="20"/>
      <c r="R310" s="20"/>
      <c r="S310" s="20"/>
      <c r="T310" s="20"/>
      <c r="U310" s="20"/>
      <c r="V310" s="20"/>
      <c r="W310" s="20"/>
      <c r="X310" s="20"/>
      <c r="Y310" s="20"/>
      <c r="Z310" s="20"/>
      <c r="AA310" s="20"/>
    </row>
    <row r="311" spans="1:27" ht="104.4" x14ac:dyDescent="0.25">
      <c r="A311" s="16"/>
      <c r="B311" s="20" t="b">
        <f ca="1">IFERROR(__xludf.DUMMYFUNCTION("if(D311=iferror(filter('Character Sheet'!D$13:D3002,'Character Sheet'!D$13:D3002=D311),""""),True,False)"),FALSE)</f>
        <v>0</v>
      </c>
      <c r="C311" s="20">
        <v>200</v>
      </c>
      <c r="D311" s="2" t="s">
        <v>779</v>
      </c>
      <c r="E311" s="2" t="s">
        <v>341</v>
      </c>
      <c r="F311" s="20" t="s">
        <v>54</v>
      </c>
      <c r="G311" s="2" t="s">
        <v>780</v>
      </c>
      <c r="H311" s="16"/>
      <c r="I311" s="20"/>
      <c r="J311" s="20"/>
      <c r="K311" s="20"/>
      <c r="L311" s="20"/>
      <c r="M311" s="20"/>
      <c r="N311" s="20"/>
      <c r="O311" s="20"/>
      <c r="P311" s="20"/>
      <c r="Q311" s="20"/>
      <c r="R311" s="20"/>
      <c r="S311" s="20"/>
      <c r="T311" s="20"/>
      <c r="U311" s="20"/>
      <c r="V311" s="20"/>
      <c r="W311" s="20"/>
      <c r="X311" s="20"/>
      <c r="Y311" s="20"/>
      <c r="Z311" s="20"/>
      <c r="AA311" s="20"/>
    </row>
    <row r="312" spans="1:27" ht="365.4" x14ac:dyDescent="0.25">
      <c r="A312" s="16"/>
      <c r="B312" s="20" t="b">
        <f ca="1">IFERROR(__xludf.DUMMYFUNCTION("if(D312=iferror(filter('Character Sheet'!D$13:D3002,'Character Sheet'!D$13:D3002=D312),""""),True,False)"),FALSE)</f>
        <v>0</v>
      </c>
      <c r="C312" s="20">
        <v>200</v>
      </c>
      <c r="D312" s="2" t="s">
        <v>781</v>
      </c>
      <c r="E312" s="2" t="s">
        <v>230</v>
      </c>
      <c r="F312" s="20" t="s">
        <v>54</v>
      </c>
      <c r="G312" s="2" t="s">
        <v>782</v>
      </c>
      <c r="H312" s="16"/>
      <c r="I312" s="20"/>
      <c r="J312" s="20"/>
      <c r="K312" s="20"/>
      <c r="L312" s="20"/>
      <c r="M312" s="20"/>
      <c r="N312" s="20"/>
      <c r="O312" s="20"/>
      <c r="P312" s="20"/>
      <c r="Q312" s="20"/>
      <c r="R312" s="20"/>
      <c r="S312" s="20"/>
      <c r="T312" s="20"/>
      <c r="U312" s="20"/>
      <c r="V312" s="20"/>
      <c r="W312" s="20"/>
      <c r="X312" s="20"/>
      <c r="Y312" s="20"/>
      <c r="Z312" s="20"/>
      <c r="AA312" s="20"/>
    </row>
    <row r="313" spans="1:27" ht="139.19999999999999" x14ac:dyDescent="0.25">
      <c r="A313" s="16"/>
      <c r="B313" s="20" t="b">
        <f ca="1">IFERROR(__xludf.DUMMYFUNCTION("if(D313=iferror(filter('Character Sheet'!D$13:D3002,'Character Sheet'!D$13:D3002=D313),""""),True,False)"),FALSE)</f>
        <v>0</v>
      </c>
      <c r="C313" s="20">
        <v>200</v>
      </c>
      <c r="D313" s="2" t="s">
        <v>783</v>
      </c>
      <c r="E313" s="2" t="s">
        <v>369</v>
      </c>
      <c r="F313" s="20" t="s">
        <v>54</v>
      </c>
      <c r="G313" s="2" t="s">
        <v>784</v>
      </c>
      <c r="H313" s="16"/>
      <c r="I313" s="20"/>
      <c r="J313" s="20"/>
      <c r="K313" s="20"/>
      <c r="L313" s="20"/>
      <c r="M313" s="20"/>
      <c r="N313" s="20"/>
      <c r="O313" s="20"/>
      <c r="P313" s="20"/>
      <c r="Q313" s="20"/>
      <c r="R313" s="20"/>
      <c r="S313" s="20"/>
      <c r="T313" s="20"/>
      <c r="U313" s="20"/>
      <c r="V313" s="20"/>
      <c r="W313" s="20"/>
      <c r="X313" s="20"/>
      <c r="Y313" s="20"/>
      <c r="Z313" s="20"/>
      <c r="AA313" s="20"/>
    </row>
    <row r="314" spans="1:27" ht="174" x14ac:dyDescent="0.25">
      <c r="A314" s="16"/>
      <c r="B314" s="20" t="b">
        <f ca="1">IFERROR(__xludf.DUMMYFUNCTION("if(D314=iferror(filter('Character Sheet'!D$13:D3002,'Character Sheet'!D$13:D3002=D314),""""),True,False)"),FALSE)</f>
        <v>0</v>
      </c>
      <c r="C314" s="20">
        <v>200</v>
      </c>
      <c r="D314" s="2" t="s">
        <v>785</v>
      </c>
      <c r="E314" s="2" t="s">
        <v>786</v>
      </c>
      <c r="F314" s="20" t="s">
        <v>54</v>
      </c>
      <c r="G314" s="2" t="s">
        <v>787</v>
      </c>
      <c r="H314" s="16"/>
      <c r="I314" s="20"/>
      <c r="J314" s="20"/>
      <c r="K314" s="20"/>
      <c r="L314" s="20"/>
      <c r="M314" s="20"/>
      <c r="N314" s="20"/>
      <c r="O314" s="20"/>
      <c r="P314" s="20"/>
      <c r="Q314" s="20"/>
      <c r="R314" s="20"/>
      <c r="S314" s="20"/>
      <c r="T314" s="20"/>
      <c r="U314" s="20"/>
      <c r="V314" s="20"/>
      <c r="W314" s="20"/>
      <c r="X314" s="20"/>
      <c r="Y314" s="20"/>
      <c r="Z314" s="20"/>
      <c r="AA314" s="20"/>
    </row>
    <row r="315" spans="1:27" ht="174" x14ac:dyDescent="0.25">
      <c r="A315" s="16"/>
      <c r="B315" s="20" t="b">
        <f ca="1">IFERROR(__xludf.DUMMYFUNCTION("if(D315=iferror(filter('Character Sheet'!D$13:D3002,'Character Sheet'!D$13:D3002=D315),""""),True,False)"),FALSE)</f>
        <v>0</v>
      </c>
      <c r="C315" s="20">
        <v>200</v>
      </c>
      <c r="D315" s="2" t="s">
        <v>788</v>
      </c>
      <c r="E315" s="2" t="s">
        <v>253</v>
      </c>
      <c r="F315" s="20" t="s">
        <v>54</v>
      </c>
      <c r="G315" s="2" t="s">
        <v>789</v>
      </c>
      <c r="H315" s="16"/>
      <c r="I315" s="20"/>
      <c r="J315" s="20"/>
      <c r="K315" s="20"/>
      <c r="L315" s="20"/>
      <c r="M315" s="20"/>
      <c r="N315" s="20"/>
      <c r="O315" s="20"/>
      <c r="P315" s="20"/>
      <c r="Q315" s="20"/>
      <c r="R315" s="20"/>
      <c r="S315" s="20"/>
      <c r="T315" s="20"/>
      <c r="U315" s="20"/>
      <c r="V315" s="20"/>
      <c r="W315" s="20"/>
      <c r="X315" s="20"/>
      <c r="Y315" s="20"/>
      <c r="Z315" s="20"/>
      <c r="AA315" s="20"/>
    </row>
    <row r="316" spans="1:27" ht="104.4" x14ac:dyDescent="0.25">
      <c r="A316" s="16"/>
      <c r="B316" s="20" t="b">
        <f ca="1">IFERROR(__xludf.DUMMYFUNCTION("if(D316=iferror(filter('Character Sheet'!D$13:D3002,'Character Sheet'!D$13:D3002=D316),""""),True,False)"),FALSE)</f>
        <v>0</v>
      </c>
      <c r="C316" s="20">
        <v>200</v>
      </c>
      <c r="D316" s="2" t="s">
        <v>790</v>
      </c>
      <c r="E316" s="2" t="s">
        <v>475</v>
      </c>
      <c r="F316" s="20" t="s">
        <v>54</v>
      </c>
      <c r="G316" s="2" t="s">
        <v>791</v>
      </c>
      <c r="H316" s="16"/>
      <c r="I316" s="20"/>
      <c r="J316" s="20"/>
      <c r="K316" s="20"/>
      <c r="L316" s="20"/>
      <c r="M316" s="20"/>
      <c r="N316" s="20"/>
      <c r="O316" s="20"/>
      <c r="P316" s="20"/>
      <c r="Q316" s="20"/>
      <c r="R316" s="20"/>
      <c r="S316" s="20"/>
      <c r="T316" s="20"/>
      <c r="U316" s="20"/>
      <c r="V316" s="20"/>
      <c r="W316" s="20"/>
      <c r="X316" s="20"/>
      <c r="Y316" s="20"/>
      <c r="Z316" s="20"/>
      <c r="AA316" s="20"/>
    </row>
    <row r="317" spans="1:27" ht="174" x14ac:dyDescent="0.25">
      <c r="A317" s="16"/>
      <c r="B317" s="20" t="b">
        <f ca="1">IFERROR(__xludf.DUMMYFUNCTION("if(D317=iferror(filter('Character Sheet'!D$13:D3002,'Character Sheet'!D$13:D3002=D317),""""),True,False)"),FALSE)</f>
        <v>0</v>
      </c>
      <c r="C317" s="20">
        <v>200</v>
      </c>
      <c r="D317" s="2" t="s">
        <v>792</v>
      </c>
      <c r="E317" s="2" t="s">
        <v>119</v>
      </c>
      <c r="F317" s="20" t="s">
        <v>54</v>
      </c>
      <c r="G317" s="2" t="s">
        <v>793</v>
      </c>
      <c r="H317" s="16"/>
      <c r="I317" s="20"/>
      <c r="J317" s="20"/>
      <c r="K317" s="20"/>
      <c r="L317" s="20"/>
      <c r="M317" s="20"/>
      <c r="N317" s="20"/>
      <c r="O317" s="20"/>
      <c r="P317" s="20"/>
      <c r="Q317" s="20"/>
      <c r="R317" s="20"/>
      <c r="S317" s="20"/>
      <c r="T317" s="20"/>
      <c r="U317" s="20"/>
      <c r="V317" s="20"/>
      <c r="W317" s="20"/>
      <c r="X317" s="20"/>
      <c r="Y317" s="20"/>
      <c r="Z317" s="20"/>
      <c r="AA317" s="20"/>
    </row>
    <row r="318" spans="1:27" ht="156.6" x14ac:dyDescent="0.25">
      <c r="A318" s="16"/>
      <c r="B318" s="20" t="b">
        <f ca="1">IFERROR(__xludf.DUMMYFUNCTION("if(D318=iferror(filter('Character Sheet'!D$13:D3002,'Character Sheet'!D$13:D3002=D318),""""),True,False)"),FALSE)</f>
        <v>0</v>
      </c>
      <c r="C318" s="20">
        <v>200</v>
      </c>
      <c r="D318" s="2" t="s">
        <v>794</v>
      </c>
      <c r="E318" s="2" t="s">
        <v>124</v>
      </c>
      <c r="F318" s="20" t="s">
        <v>54</v>
      </c>
      <c r="G318" s="2" t="s">
        <v>795</v>
      </c>
      <c r="H318" s="16"/>
      <c r="I318" s="20"/>
      <c r="J318" s="20"/>
      <c r="K318" s="20"/>
      <c r="L318" s="20"/>
      <c r="M318" s="20"/>
      <c r="N318" s="20"/>
      <c r="O318" s="20"/>
      <c r="P318" s="20"/>
      <c r="Q318" s="20"/>
      <c r="R318" s="20"/>
      <c r="S318" s="20"/>
      <c r="T318" s="20"/>
      <c r="U318" s="20"/>
      <c r="V318" s="20"/>
      <c r="W318" s="20"/>
      <c r="X318" s="20"/>
      <c r="Y318" s="20"/>
      <c r="Z318" s="20"/>
      <c r="AA318" s="20"/>
    </row>
    <row r="319" spans="1:27" ht="139.19999999999999" x14ac:dyDescent="0.25">
      <c r="A319" s="16"/>
      <c r="B319" s="20" t="b">
        <f ca="1">IFERROR(__xludf.DUMMYFUNCTION("if(D319=iferror(filter('Character Sheet'!D$13:D3002,'Character Sheet'!D$13:D3002=D319),""""),True,False)"),FALSE)</f>
        <v>0</v>
      </c>
      <c r="C319" s="20">
        <v>200</v>
      </c>
      <c r="D319" s="2" t="s">
        <v>796</v>
      </c>
      <c r="E319" s="2" t="s">
        <v>394</v>
      </c>
      <c r="F319" s="20" t="s">
        <v>54</v>
      </c>
      <c r="G319" s="2" t="s">
        <v>797</v>
      </c>
      <c r="H319" s="16"/>
      <c r="I319" s="20"/>
      <c r="J319" s="20"/>
      <c r="K319" s="20"/>
      <c r="L319" s="20"/>
      <c r="M319" s="20"/>
      <c r="N319" s="20"/>
      <c r="O319" s="20"/>
      <c r="P319" s="20"/>
      <c r="Q319" s="20"/>
      <c r="R319" s="20"/>
      <c r="S319" s="20"/>
      <c r="T319" s="20"/>
      <c r="U319" s="20"/>
      <c r="V319" s="20"/>
      <c r="W319" s="20"/>
      <c r="X319" s="20"/>
      <c r="Y319" s="20"/>
      <c r="Z319" s="20"/>
      <c r="AA319" s="20"/>
    </row>
    <row r="320" spans="1:27" ht="121.8" x14ac:dyDescent="0.25">
      <c r="A320" s="16"/>
      <c r="B320" s="20" t="b">
        <f ca="1">IFERROR(__xludf.DUMMYFUNCTION("if(D320=iferror(filter('Character Sheet'!D$13:D3002,'Character Sheet'!D$13:D3002=D320),""""),True,False)"),FALSE)</f>
        <v>0</v>
      </c>
      <c r="C320" s="20">
        <v>200</v>
      </c>
      <c r="D320" s="2" t="s">
        <v>798</v>
      </c>
      <c r="E320" s="2" t="s">
        <v>475</v>
      </c>
      <c r="F320" s="20" t="s">
        <v>54</v>
      </c>
      <c r="G320" s="2" t="s">
        <v>799</v>
      </c>
      <c r="H320" s="16"/>
      <c r="I320" s="20"/>
      <c r="J320" s="20"/>
      <c r="K320" s="20"/>
      <c r="L320" s="20"/>
      <c r="M320" s="20"/>
      <c r="N320" s="20"/>
      <c r="O320" s="20"/>
      <c r="P320" s="20"/>
      <c r="Q320" s="20"/>
      <c r="R320" s="20"/>
      <c r="S320" s="20"/>
      <c r="T320" s="20"/>
      <c r="U320" s="20"/>
      <c r="V320" s="20"/>
      <c r="W320" s="20"/>
      <c r="X320" s="20"/>
      <c r="Y320" s="20"/>
      <c r="Z320" s="20"/>
      <c r="AA320" s="20"/>
    </row>
    <row r="321" spans="1:27" ht="174" x14ac:dyDescent="0.25">
      <c r="A321" s="16"/>
      <c r="B321" s="20" t="b">
        <f ca="1">IFERROR(__xludf.DUMMYFUNCTION("if(D321=iferror(filter('Character Sheet'!D$13:D3002,'Character Sheet'!D$13:D3002=D321),""""),True,False)"),FALSE)</f>
        <v>0</v>
      </c>
      <c r="C321" s="20">
        <v>200</v>
      </c>
      <c r="D321" s="2" t="s">
        <v>800</v>
      </c>
      <c r="E321" s="2" t="s">
        <v>268</v>
      </c>
      <c r="F321" s="20" t="s">
        <v>54</v>
      </c>
      <c r="G321" s="2" t="s">
        <v>801</v>
      </c>
      <c r="H321" s="16"/>
      <c r="I321" s="20"/>
      <c r="J321" s="20"/>
      <c r="K321" s="20"/>
      <c r="L321" s="20"/>
      <c r="M321" s="20"/>
      <c r="N321" s="20"/>
      <c r="O321" s="20"/>
      <c r="P321" s="20"/>
      <c r="Q321" s="20"/>
      <c r="R321" s="20"/>
      <c r="S321" s="20"/>
      <c r="T321" s="20"/>
      <c r="U321" s="20"/>
      <c r="V321" s="20"/>
      <c r="W321" s="20"/>
      <c r="X321" s="20"/>
      <c r="Y321" s="20"/>
      <c r="Z321" s="20"/>
      <c r="AA321" s="20"/>
    </row>
    <row r="322" spans="1:27" ht="104.4" x14ac:dyDescent="0.25">
      <c r="A322" s="16"/>
      <c r="B322" s="20" t="b">
        <f ca="1">IFERROR(__xludf.DUMMYFUNCTION("if(D322=iferror(filter('Character Sheet'!D$13:D3002,'Character Sheet'!D$13:D3002=D322),""""),True,False)"),FALSE)</f>
        <v>0</v>
      </c>
      <c r="C322" s="20">
        <v>200</v>
      </c>
      <c r="D322" s="2" t="s">
        <v>802</v>
      </c>
      <c r="E322" s="2" t="s">
        <v>78</v>
      </c>
      <c r="F322" s="20" t="s">
        <v>54</v>
      </c>
      <c r="G322" s="2" t="s">
        <v>803</v>
      </c>
      <c r="H322" s="16"/>
      <c r="I322" s="20"/>
      <c r="J322" s="20"/>
      <c r="K322" s="20"/>
      <c r="L322" s="20"/>
      <c r="M322" s="20"/>
      <c r="N322" s="20"/>
      <c r="O322" s="20"/>
      <c r="P322" s="20"/>
      <c r="Q322" s="20"/>
      <c r="R322" s="20"/>
      <c r="S322" s="20"/>
      <c r="T322" s="20"/>
      <c r="U322" s="20"/>
      <c r="V322" s="20"/>
      <c r="W322" s="20"/>
      <c r="X322" s="20"/>
      <c r="Y322" s="20"/>
      <c r="Z322" s="20"/>
      <c r="AA322" s="20"/>
    </row>
    <row r="323" spans="1:27" ht="87" x14ac:dyDescent="0.25">
      <c r="A323" s="16"/>
      <c r="B323" s="20" t="b">
        <f ca="1">IFERROR(__xludf.DUMMYFUNCTION("if(D323=iferror(filter('Character Sheet'!D$13:D3002,'Character Sheet'!D$13:D3002=D323),""""),True,False)"),FALSE)</f>
        <v>0</v>
      </c>
      <c r="C323" s="20">
        <v>200</v>
      </c>
      <c r="D323" s="2" t="s">
        <v>804</v>
      </c>
      <c r="E323" s="2" t="s">
        <v>208</v>
      </c>
      <c r="F323" s="20" t="s">
        <v>54</v>
      </c>
      <c r="G323" s="2" t="s">
        <v>805</v>
      </c>
      <c r="H323" s="16"/>
      <c r="I323" s="20"/>
      <c r="J323" s="20"/>
      <c r="K323" s="20"/>
      <c r="L323" s="20"/>
      <c r="M323" s="20"/>
      <c r="N323" s="20"/>
      <c r="O323" s="20"/>
      <c r="P323" s="20"/>
      <c r="Q323" s="20"/>
      <c r="R323" s="20"/>
      <c r="S323" s="20"/>
      <c r="T323" s="20"/>
      <c r="U323" s="20"/>
      <c r="V323" s="20"/>
      <c r="W323" s="20"/>
      <c r="X323" s="20"/>
      <c r="Y323" s="20"/>
      <c r="Z323" s="20"/>
      <c r="AA323" s="20"/>
    </row>
    <row r="324" spans="1:27" ht="208.8" x14ac:dyDescent="0.25">
      <c r="A324" s="16"/>
      <c r="B324" s="20" t="b">
        <f ca="1">IFERROR(__xludf.DUMMYFUNCTION("if(D324=iferror(filter('Character Sheet'!D$13:D3002,'Character Sheet'!D$13:D3002=D324),""""),True,False)"),FALSE)</f>
        <v>0</v>
      </c>
      <c r="C324" s="20">
        <v>200</v>
      </c>
      <c r="D324" s="2" t="s">
        <v>806</v>
      </c>
      <c r="E324" s="2" t="s">
        <v>662</v>
      </c>
      <c r="F324" s="20" t="s">
        <v>54</v>
      </c>
      <c r="G324" s="2" t="s">
        <v>807</v>
      </c>
      <c r="H324" s="16"/>
      <c r="I324" s="20"/>
      <c r="J324" s="20"/>
      <c r="K324" s="20"/>
      <c r="L324" s="20"/>
      <c r="M324" s="20"/>
      <c r="N324" s="20"/>
      <c r="O324" s="20"/>
      <c r="P324" s="20"/>
      <c r="Q324" s="20"/>
      <c r="R324" s="20"/>
      <c r="S324" s="20"/>
      <c r="T324" s="20"/>
      <c r="U324" s="20"/>
      <c r="V324" s="20"/>
      <c r="W324" s="20"/>
      <c r="X324" s="20"/>
      <c r="Y324" s="20"/>
      <c r="Z324" s="20"/>
      <c r="AA324" s="20"/>
    </row>
    <row r="325" spans="1:27" ht="121.8" x14ac:dyDescent="0.25">
      <c r="A325" s="16"/>
      <c r="B325" s="20" t="b">
        <f ca="1">IFERROR(__xludf.DUMMYFUNCTION("if(D325=iferror(filter('Character Sheet'!D$13:D3002,'Character Sheet'!D$13:D3002=D325),""""),True,False)"),FALSE)</f>
        <v>0</v>
      </c>
      <c r="C325" s="20">
        <v>200</v>
      </c>
      <c r="D325" s="2" t="s">
        <v>808</v>
      </c>
      <c r="E325" s="2" t="s">
        <v>303</v>
      </c>
      <c r="F325" s="20" t="s">
        <v>54</v>
      </c>
      <c r="G325" s="2" t="s">
        <v>809</v>
      </c>
      <c r="H325" s="16"/>
      <c r="I325" s="20"/>
      <c r="J325" s="20"/>
      <c r="K325" s="20"/>
      <c r="L325" s="20"/>
      <c r="M325" s="20"/>
      <c r="N325" s="20"/>
      <c r="O325" s="20"/>
      <c r="P325" s="20"/>
      <c r="Q325" s="20"/>
      <c r="R325" s="20"/>
      <c r="S325" s="20"/>
      <c r="T325" s="20"/>
      <c r="U325" s="20"/>
      <c r="V325" s="20"/>
      <c r="W325" s="20"/>
      <c r="X325" s="20"/>
      <c r="Y325" s="20"/>
      <c r="Z325" s="20"/>
      <c r="AA325" s="20"/>
    </row>
    <row r="326" spans="1:27" ht="191.4" x14ac:dyDescent="0.25">
      <c r="A326" s="16"/>
      <c r="B326" s="20" t="b">
        <f ca="1">IFERROR(__xludf.DUMMYFUNCTION("if(D326=iferror(filter('Character Sheet'!D$13:D3002,'Character Sheet'!D$13:D3002=D326),""""),True,False)"),FALSE)</f>
        <v>0</v>
      </c>
      <c r="C326" s="20">
        <v>300</v>
      </c>
      <c r="D326" s="2" t="s">
        <v>810</v>
      </c>
      <c r="E326" s="2" t="s">
        <v>87</v>
      </c>
      <c r="F326" s="20" t="s">
        <v>54</v>
      </c>
      <c r="G326" s="2" t="s">
        <v>811</v>
      </c>
      <c r="H326" s="16"/>
      <c r="I326" s="20"/>
      <c r="J326" s="20"/>
      <c r="K326" s="20"/>
      <c r="L326" s="20"/>
      <c r="M326" s="20"/>
      <c r="N326" s="20"/>
      <c r="O326" s="20"/>
      <c r="P326" s="20"/>
      <c r="Q326" s="20"/>
      <c r="R326" s="20"/>
      <c r="S326" s="20"/>
      <c r="T326" s="20"/>
      <c r="U326" s="20"/>
      <c r="V326" s="20"/>
      <c r="W326" s="20"/>
      <c r="X326" s="20"/>
      <c r="Y326" s="20"/>
      <c r="Z326" s="20"/>
      <c r="AA326" s="20"/>
    </row>
    <row r="327" spans="1:27" ht="121.8" x14ac:dyDescent="0.25">
      <c r="A327" s="16"/>
      <c r="B327" s="20" t="b">
        <f ca="1">IFERROR(__xludf.DUMMYFUNCTION("if(D327=iferror(filter('Character Sheet'!D$13:D3002,'Character Sheet'!D$13:D3002=D327),""""),True,False)"),FALSE)</f>
        <v>0</v>
      </c>
      <c r="C327" s="20">
        <v>300</v>
      </c>
      <c r="D327" s="2" t="s">
        <v>812</v>
      </c>
      <c r="E327" s="2" t="s">
        <v>162</v>
      </c>
      <c r="F327" s="20" t="s">
        <v>54</v>
      </c>
      <c r="G327" s="2" t="s">
        <v>813</v>
      </c>
      <c r="H327" s="16"/>
      <c r="I327" s="20"/>
      <c r="J327" s="20"/>
      <c r="K327" s="20"/>
      <c r="L327" s="20"/>
      <c r="M327" s="20"/>
      <c r="N327" s="20"/>
      <c r="O327" s="20"/>
      <c r="P327" s="20"/>
      <c r="Q327" s="20"/>
      <c r="R327" s="20"/>
      <c r="S327" s="20"/>
      <c r="T327" s="20"/>
      <c r="U327" s="20"/>
      <c r="V327" s="20"/>
      <c r="W327" s="20"/>
      <c r="X327" s="20"/>
      <c r="Y327" s="20"/>
      <c r="Z327" s="20"/>
      <c r="AA327" s="20"/>
    </row>
    <row r="328" spans="1:27" ht="208.8" x14ac:dyDescent="0.25">
      <c r="A328" s="16"/>
      <c r="B328" s="20" t="b">
        <f ca="1">IFERROR(__xludf.DUMMYFUNCTION("if(D328=iferror(filter('Character Sheet'!D$13:D3002,'Character Sheet'!D$13:D3002=D328),""""),True,False)"),FALSE)</f>
        <v>0</v>
      </c>
      <c r="C328" s="20">
        <v>300</v>
      </c>
      <c r="D328" s="2" t="s">
        <v>814</v>
      </c>
      <c r="E328" s="2" t="s">
        <v>815</v>
      </c>
      <c r="F328" s="20" t="s">
        <v>54</v>
      </c>
      <c r="G328" s="2" t="s">
        <v>816</v>
      </c>
      <c r="H328" s="16"/>
      <c r="I328" s="20"/>
      <c r="J328" s="20"/>
      <c r="K328" s="20"/>
      <c r="L328" s="20"/>
      <c r="M328" s="20"/>
      <c r="N328" s="20"/>
      <c r="O328" s="20"/>
      <c r="P328" s="20"/>
      <c r="Q328" s="20"/>
      <c r="R328" s="20"/>
      <c r="S328" s="20"/>
      <c r="T328" s="20"/>
      <c r="U328" s="20"/>
      <c r="V328" s="20"/>
      <c r="W328" s="20"/>
      <c r="X328" s="20"/>
      <c r="Y328" s="20"/>
      <c r="Z328" s="20"/>
      <c r="AA328" s="20"/>
    </row>
    <row r="329" spans="1:27" ht="104.4" x14ac:dyDescent="0.25">
      <c r="A329" s="16"/>
      <c r="B329" s="20" t="b">
        <f ca="1">IFERROR(__xludf.DUMMYFUNCTION("if(D329=iferror(filter('Character Sheet'!D$13:D3002,'Character Sheet'!D$13:D3002=D329),""""),True,False)"),FALSE)</f>
        <v>0</v>
      </c>
      <c r="C329" s="20">
        <v>300</v>
      </c>
      <c r="D329" s="2" t="s">
        <v>817</v>
      </c>
      <c r="E329" s="2" t="s">
        <v>818</v>
      </c>
      <c r="F329" s="20" t="s">
        <v>54</v>
      </c>
      <c r="G329" s="2" t="s">
        <v>819</v>
      </c>
      <c r="H329" s="16"/>
      <c r="I329" s="20"/>
      <c r="J329" s="20"/>
      <c r="K329" s="20"/>
      <c r="L329" s="20"/>
      <c r="M329" s="20"/>
      <c r="N329" s="20"/>
      <c r="O329" s="20"/>
      <c r="P329" s="20"/>
      <c r="Q329" s="20"/>
      <c r="R329" s="20"/>
      <c r="S329" s="20"/>
      <c r="T329" s="20"/>
      <c r="U329" s="20"/>
      <c r="V329" s="20"/>
      <c r="W329" s="20"/>
      <c r="X329" s="20"/>
      <c r="Y329" s="20"/>
      <c r="Z329" s="20"/>
      <c r="AA329" s="20"/>
    </row>
    <row r="330" spans="1:27" ht="34.799999999999997" x14ac:dyDescent="0.25">
      <c r="A330" s="16"/>
      <c r="B330" s="20" t="b">
        <f ca="1">IFERROR(__xludf.DUMMYFUNCTION("if(D330=iferror(filter('Character Sheet'!D$13:D3002,'Character Sheet'!D$13:D3002=D330),""""),True,False)"),FALSE)</f>
        <v>0</v>
      </c>
      <c r="C330" s="20">
        <v>300</v>
      </c>
      <c r="D330" s="2" t="s">
        <v>820</v>
      </c>
      <c r="E330" s="2" t="s">
        <v>179</v>
      </c>
      <c r="F330" s="20" t="s">
        <v>54</v>
      </c>
      <c r="G330" s="2" t="s">
        <v>821</v>
      </c>
      <c r="H330" s="16"/>
      <c r="I330" s="20"/>
      <c r="J330" s="20"/>
      <c r="K330" s="20"/>
      <c r="L330" s="20"/>
      <c r="M330" s="20"/>
      <c r="N330" s="20"/>
      <c r="O330" s="20"/>
      <c r="P330" s="20"/>
      <c r="Q330" s="20"/>
      <c r="R330" s="20"/>
      <c r="S330" s="20"/>
      <c r="T330" s="20"/>
      <c r="U330" s="20"/>
      <c r="V330" s="20"/>
      <c r="W330" s="20"/>
      <c r="X330" s="20"/>
      <c r="Y330" s="20"/>
      <c r="Z330" s="20"/>
      <c r="AA330" s="20"/>
    </row>
    <row r="331" spans="1:27" ht="208.8" x14ac:dyDescent="0.25">
      <c r="A331" s="16"/>
      <c r="B331" s="20" t="b">
        <f ca="1">IFERROR(__xludf.DUMMYFUNCTION("if(D331=iferror(filter('Character Sheet'!D$13:D3002,'Character Sheet'!D$13:D3002=D331),""""),True,False)"),FALSE)</f>
        <v>0</v>
      </c>
      <c r="C331" s="20">
        <v>300</v>
      </c>
      <c r="D331" s="2" t="s">
        <v>822</v>
      </c>
      <c r="E331" s="2" t="s">
        <v>230</v>
      </c>
      <c r="F331" s="20" t="s">
        <v>54</v>
      </c>
      <c r="G331" s="2" t="s">
        <v>823</v>
      </c>
      <c r="H331" s="16"/>
      <c r="I331" s="20"/>
      <c r="J331" s="20"/>
      <c r="K331" s="20"/>
      <c r="L331" s="20"/>
      <c r="M331" s="20"/>
      <c r="N331" s="20"/>
      <c r="O331" s="20"/>
      <c r="P331" s="20"/>
      <c r="Q331" s="20"/>
      <c r="R331" s="20"/>
      <c r="S331" s="20"/>
      <c r="T331" s="20"/>
      <c r="U331" s="20"/>
      <c r="V331" s="20"/>
      <c r="W331" s="20"/>
      <c r="X331" s="20"/>
      <c r="Y331" s="20"/>
      <c r="Z331" s="20"/>
      <c r="AA331" s="20"/>
    </row>
    <row r="332" spans="1:27" ht="104.4" x14ac:dyDescent="0.25">
      <c r="A332" s="16"/>
      <c r="B332" s="20" t="b">
        <f ca="1">IFERROR(__xludf.DUMMYFUNCTION("if(D332=iferror(filter('Character Sheet'!D$13:D3002,'Character Sheet'!D$13:D3002=D332),""""),True,False)"),FALSE)</f>
        <v>0</v>
      </c>
      <c r="C332" s="20">
        <v>300</v>
      </c>
      <c r="D332" s="2" t="s">
        <v>824</v>
      </c>
      <c r="E332" s="2" t="s">
        <v>825</v>
      </c>
      <c r="F332" s="20" t="s">
        <v>54</v>
      </c>
      <c r="G332" s="2" t="s">
        <v>826</v>
      </c>
      <c r="H332" s="16"/>
      <c r="I332" s="20"/>
      <c r="J332" s="20"/>
      <c r="K332" s="20"/>
      <c r="L332" s="20"/>
      <c r="M332" s="20"/>
      <c r="N332" s="20"/>
      <c r="O332" s="20"/>
      <c r="P332" s="20"/>
      <c r="Q332" s="20"/>
      <c r="R332" s="20"/>
      <c r="S332" s="20"/>
      <c r="T332" s="20"/>
      <c r="U332" s="20"/>
      <c r="V332" s="20"/>
      <c r="W332" s="20"/>
      <c r="X332" s="20"/>
      <c r="Y332" s="20"/>
      <c r="Z332" s="20"/>
      <c r="AA332" s="20"/>
    </row>
    <row r="333" spans="1:27" ht="174" x14ac:dyDescent="0.25">
      <c r="A333" s="16"/>
      <c r="B333" s="20" t="b">
        <f ca="1">IFERROR(__xludf.DUMMYFUNCTION("if(D333=iferror(filter('Character Sheet'!D$13:D3002,'Character Sheet'!D$13:D3002=D333),""""),True,False)"),FALSE)</f>
        <v>0</v>
      </c>
      <c r="C333" s="20">
        <v>300</v>
      </c>
      <c r="D333" s="2" t="s">
        <v>827</v>
      </c>
      <c r="E333" s="2" t="s">
        <v>303</v>
      </c>
      <c r="F333" s="20" t="s">
        <v>54</v>
      </c>
      <c r="G333" s="2" t="s">
        <v>828</v>
      </c>
      <c r="H333" s="16"/>
      <c r="I333" s="20"/>
      <c r="J333" s="20"/>
      <c r="K333" s="20"/>
      <c r="L333" s="20"/>
      <c r="M333" s="20"/>
      <c r="N333" s="20"/>
      <c r="O333" s="20"/>
      <c r="P333" s="20"/>
      <c r="Q333" s="20"/>
      <c r="R333" s="20"/>
      <c r="S333" s="20"/>
      <c r="T333" s="20"/>
      <c r="U333" s="20"/>
      <c r="V333" s="20"/>
      <c r="W333" s="20"/>
      <c r="X333" s="20"/>
      <c r="Y333" s="20"/>
      <c r="Z333" s="20"/>
      <c r="AA333" s="20"/>
    </row>
    <row r="334" spans="1:27" ht="121.8" x14ac:dyDescent="0.25">
      <c r="A334" s="16"/>
      <c r="B334" s="20" t="b">
        <f ca="1">IFERROR(__xludf.DUMMYFUNCTION("if(D334=iferror(filter('Character Sheet'!D$13:D3002,'Character Sheet'!D$13:D3002=D334),""""),True,False)"),FALSE)</f>
        <v>0</v>
      </c>
      <c r="C334" s="20">
        <v>300</v>
      </c>
      <c r="D334" s="2" t="s">
        <v>829</v>
      </c>
      <c r="E334" s="2" t="s">
        <v>775</v>
      </c>
      <c r="F334" s="20" t="s">
        <v>54</v>
      </c>
      <c r="G334" s="2" t="s">
        <v>830</v>
      </c>
      <c r="H334" s="16"/>
      <c r="I334" s="20"/>
      <c r="J334" s="20"/>
      <c r="K334" s="20"/>
      <c r="L334" s="20"/>
      <c r="M334" s="20"/>
      <c r="N334" s="20"/>
      <c r="O334" s="20"/>
      <c r="P334" s="20"/>
      <c r="Q334" s="20"/>
      <c r="R334" s="20"/>
      <c r="S334" s="20"/>
      <c r="T334" s="20"/>
      <c r="U334" s="20"/>
      <c r="V334" s="20"/>
      <c r="W334" s="20"/>
      <c r="X334" s="20"/>
      <c r="Y334" s="20"/>
      <c r="Z334" s="20"/>
      <c r="AA334" s="20"/>
    </row>
    <row r="335" spans="1:27" ht="139.19999999999999" x14ac:dyDescent="0.25">
      <c r="A335" s="16"/>
      <c r="B335" s="20" t="b">
        <f ca="1">IFERROR(__xludf.DUMMYFUNCTION("if(D335=iferror(filter('Character Sheet'!D$13:D3002,'Character Sheet'!D$13:D3002=D335),""""),True,False)"),FALSE)</f>
        <v>0</v>
      </c>
      <c r="C335" s="20">
        <v>300</v>
      </c>
      <c r="D335" s="2" t="s">
        <v>831</v>
      </c>
      <c r="E335" s="2" t="s">
        <v>416</v>
      </c>
      <c r="F335" s="20" t="s">
        <v>54</v>
      </c>
      <c r="G335" s="2" t="s">
        <v>832</v>
      </c>
      <c r="H335" s="16"/>
      <c r="I335" s="20"/>
      <c r="J335" s="20"/>
      <c r="K335" s="20"/>
      <c r="L335" s="20"/>
      <c r="M335" s="20"/>
      <c r="N335" s="20"/>
      <c r="O335" s="20"/>
      <c r="P335" s="20"/>
      <c r="Q335" s="20"/>
      <c r="R335" s="20"/>
      <c r="S335" s="20"/>
      <c r="T335" s="20"/>
      <c r="U335" s="20"/>
      <c r="V335" s="20"/>
      <c r="W335" s="20"/>
      <c r="X335" s="20"/>
      <c r="Y335" s="20"/>
      <c r="Z335" s="20"/>
      <c r="AA335" s="20"/>
    </row>
    <row r="336" spans="1:27" ht="69.599999999999994" x14ac:dyDescent="0.25">
      <c r="A336" s="16"/>
      <c r="B336" s="20" t="b">
        <f ca="1">IFERROR(__xludf.DUMMYFUNCTION("if(D336=iferror(filter('Character Sheet'!D$13:D3002,'Character Sheet'!D$13:D3002=D336),""""),True,False)"),FALSE)</f>
        <v>0</v>
      </c>
      <c r="C336" s="20">
        <v>300</v>
      </c>
      <c r="D336" s="2" t="s">
        <v>833</v>
      </c>
      <c r="E336" s="2" t="s">
        <v>179</v>
      </c>
      <c r="F336" s="20" t="s">
        <v>54</v>
      </c>
      <c r="G336" s="2" t="s">
        <v>834</v>
      </c>
      <c r="H336" s="16"/>
      <c r="I336" s="20"/>
      <c r="J336" s="20"/>
      <c r="K336" s="20"/>
      <c r="L336" s="20"/>
      <c r="M336" s="20"/>
      <c r="N336" s="20"/>
      <c r="O336" s="20"/>
      <c r="P336" s="20"/>
      <c r="Q336" s="20"/>
      <c r="R336" s="20"/>
      <c r="S336" s="20"/>
      <c r="T336" s="20"/>
      <c r="U336" s="20"/>
      <c r="V336" s="20"/>
      <c r="W336" s="20"/>
      <c r="X336" s="20"/>
      <c r="Y336" s="20"/>
      <c r="Z336" s="20"/>
      <c r="AA336" s="20"/>
    </row>
    <row r="337" spans="1:27" ht="191.4" x14ac:dyDescent="0.25">
      <c r="A337" s="16"/>
      <c r="B337" s="20" t="b">
        <f ca="1">IFERROR(__xludf.DUMMYFUNCTION("if(D337=iferror(filter('Character Sheet'!D$13:D3002,'Character Sheet'!D$13:D3002=D337),""""),True,False)"),FALSE)</f>
        <v>0</v>
      </c>
      <c r="C337" s="20">
        <v>300</v>
      </c>
      <c r="D337" s="2" t="s">
        <v>835</v>
      </c>
      <c r="E337" s="2" t="s">
        <v>124</v>
      </c>
      <c r="F337" s="20" t="s">
        <v>54</v>
      </c>
      <c r="G337" s="2" t="s">
        <v>836</v>
      </c>
      <c r="H337" s="16"/>
      <c r="I337" s="20"/>
      <c r="J337" s="20"/>
      <c r="K337" s="20"/>
      <c r="L337" s="20"/>
      <c r="M337" s="20"/>
      <c r="N337" s="20"/>
      <c r="O337" s="20"/>
      <c r="P337" s="20"/>
      <c r="Q337" s="20"/>
      <c r="R337" s="20"/>
      <c r="S337" s="20"/>
      <c r="T337" s="20"/>
      <c r="U337" s="20"/>
      <c r="V337" s="20"/>
      <c r="W337" s="20"/>
      <c r="X337" s="20"/>
      <c r="Y337" s="20"/>
      <c r="Z337" s="20"/>
      <c r="AA337" s="20"/>
    </row>
    <row r="338" spans="1:27" ht="191.4" x14ac:dyDescent="0.25">
      <c r="A338" s="16"/>
      <c r="B338" s="20" t="b">
        <f ca="1">IFERROR(__xludf.DUMMYFUNCTION("if(D338=iferror(filter('Character Sheet'!D$13:D3002,'Character Sheet'!D$13:D3002=D338),""""),True,False)"),FALSE)</f>
        <v>0</v>
      </c>
      <c r="C338" s="20">
        <v>300</v>
      </c>
      <c r="D338" s="2" t="s">
        <v>837</v>
      </c>
      <c r="E338" s="2" t="s">
        <v>838</v>
      </c>
      <c r="F338" s="20" t="s">
        <v>54</v>
      </c>
      <c r="G338" s="2" t="s">
        <v>839</v>
      </c>
      <c r="H338" s="16"/>
      <c r="I338" s="20"/>
      <c r="J338" s="20"/>
      <c r="K338" s="20"/>
      <c r="L338" s="20"/>
      <c r="M338" s="20"/>
      <c r="N338" s="20"/>
      <c r="O338" s="20"/>
      <c r="P338" s="20"/>
      <c r="Q338" s="20"/>
      <c r="R338" s="20"/>
      <c r="S338" s="20"/>
      <c r="T338" s="20"/>
      <c r="U338" s="20"/>
      <c r="V338" s="20"/>
      <c r="W338" s="20"/>
      <c r="X338" s="20"/>
      <c r="Y338" s="20"/>
      <c r="Z338" s="20"/>
      <c r="AA338" s="20"/>
    </row>
    <row r="339" spans="1:27" ht="226.2" x14ac:dyDescent="0.25">
      <c r="A339" s="16"/>
      <c r="B339" s="20" t="b">
        <f ca="1">IFERROR(__xludf.DUMMYFUNCTION("if(D339=iferror(filter('Character Sheet'!D$13:D3002,'Character Sheet'!D$13:D3002=D339),""""),True,False)"),FALSE)</f>
        <v>0</v>
      </c>
      <c r="C339" s="20">
        <v>300</v>
      </c>
      <c r="D339" s="2" t="s">
        <v>840</v>
      </c>
      <c r="E339" s="2" t="s">
        <v>331</v>
      </c>
      <c r="F339" s="20" t="s">
        <v>54</v>
      </c>
      <c r="G339" s="2" t="s">
        <v>841</v>
      </c>
      <c r="H339" s="16"/>
      <c r="I339" s="20"/>
      <c r="J339" s="20"/>
      <c r="K339" s="20"/>
      <c r="L339" s="20"/>
      <c r="M339" s="20"/>
      <c r="N339" s="20"/>
      <c r="O339" s="20"/>
      <c r="P339" s="20"/>
      <c r="Q339" s="20"/>
      <c r="R339" s="20"/>
      <c r="S339" s="20"/>
      <c r="T339" s="20"/>
      <c r="U339" s="20"/>
      <c r="V339" s="20"/>
      <c r="W339" s="20"/>
      <c r="X339" s="20"/>
      <c r="Y339" s="20"/>
      <c r="Z339" s="20"/>
      <c r="AA339" s="20"/>
    </row>
    <row r="340" spans="1:27" ht="104.4" x14ac:dyDescent="0.25">
      <c r="A340" s="16"/>
      <c r="B340" s="20" t="b">
        <f ca="1">IFERROR(__xludf.DUMMYFUNCTION("if(D340=iferror(filter('Character Sheet'!D$13:D3002,'Character Sheet'!D$13:D3002=D340),""""),True,False)"),FALSE)</f>
        <v>0</v>
      </c>
      <c r="C340" s="20">
        <v>300</v>
      </c>
      <c r="D340" s="2" t="s">
        <v>842</v>
      </c>
      <c r="E340" s="2" t="s">
        <v>72</v>
      </c>
      <c r="F340" s="20" t="s">
        <v>54</v>
      </c>
      <c r="G340" s="2" t="s">
        <v>843</v>
      </c>
      <c r="H340" s="16"/>
      <c r="I340" s="20"/>
      <c r="J340" s="20"/>
      <c r="K340" s="20"/>
      <c r="L340" s="20"/>
      <c r="M340" s="20"/>
      <c r="N340" s="20"/>
      <c r="O340" s="20"/>
      <c r="P340" s="20"/>
      <c r="Q340" s="20"/>
      <c r="R340" s="20"/>
      <c r="S340" s="20"/>
      <c r="T340" s="20"/>
      <c r="U340" s="20"/>
      <c r="V340" s="20"/>
      <c r="W340" s="20"/>
      <c r="X340" s="20"/>
      <c r="Y340" s="20"/>
      <c r="Z340" s="20"/>
      <c r="AA340" s="20"/>
    </row>
    <row r="341" spans="1:27" ht="278.39999999999998" x14ac:dyDescent="0.25">
      <c r="A341" s="16"/>
      <c r="B341" s="20" t="b">
        <f ca="1">IFERROR(__xludf.DUMMYFUNCTION("if(D341=iferror(filter('Character Sheet'!D$13:D3002,'Character Sheet'!D$13:D3002=D341),""""),True,False)"),FALSE)</f>
        <v>0</v>
      </c>
      <c r="C341" s="20">
        <v>300</v>
      </c>
      <c r="D341" s="2" t="s">
        <v>844</v>
      </c>
      <c r="E341" s="2" t="s">
        <v>845</v>
      </c>
      <c r="F341" s="20" t="s">
        <v>54</v>
      </c>
      <c r="G341" s="2" t="s">
        <v>846</v>
      </c>
      <c r="H341" s="16"/>
      <c r="I341" s="20"/>
      <c r="J341" s="20"/>
      <c r="K341" s="20"/>
      <c r="L341" s="20"/>
      <c r="M341" s="20"/>
      <c r="N341" s="20"/>
      <c r="O341" s="20"/>
      <c r="P341" s="20"/>
      <c r="Q341" s="20"/>
      <c r="R341" s="20"/>
      <c r="S341" s="20"/>
      <c r="T341" s="20"/>
      <c r="U341" s="20"/>
      <c r="V341" s="20"/>
      <c r="W341" s="20"/>
      <c r="X341" s="20"/>
      <c r="Y341" s="20"/>
      <c r="Z341" s="20"/>
      <c r="AA341" s="20"/>
    </row>
    <row r="342" spans="1:27" ht="104.4" x14ac:dyDescent="0.25">
      <c r="A342" s="16"/>
      <c r="B342" s="20" t="b">
        <f ca="1">IFERROR(__xludf.DUMMYFUNCTION("if(D342=iferror(filter('Character Sheet'!D$13:D3002,'Character Sheet'!D$13:D3002=D342),""""),True,False)"),FALSE)</f>
        <v>0</v>
      </c>
      <c r="C342" s="20">
        <v>400</v>
      </c>
      <c r="D342" s="2" t="s">
        <v>847</v>
      </c>
      <c r="E342" s="2" t="s">
        <v>848</v>
      </c>
      <c r="F342" s="20" t="s">
        <v>54</v>
      </c>
      <c r="G342" s="2" t="s">
        <v>849</v>
      </c>
      <c r="H342" s="16"/>
      <c r="I342" s="20"/>
      <c r="J342" s="20"/>
      <c r="K342" s="20"/>
      <c r="L342" s="20"/>
      <c r="M342" s="20"/>
      <c r="N342" s="20"/>
      <c r="O342" s="20"/>
      <c r="P342" s="20"/>
      <c r="Q342" s="20"/>
      <c r="R342" s="20"/>
      <c r="S342" s="20"/>
      <c r="T342" s="20"/>
      <c r="U342" s="20"/>
      <c r="V342" s="20"/>
      <c r="W342" s="20"/>
      <c r="X342" s="20"/>
      <c r="Y342" s="20"/>
      <c r="Z342" s="20"/>
      <c r="AA342" s="20"/>
    </row>
    <row r="343" spans="1:27" ht="208.8" x14ac:dyDescent="0.25">
      <c r="A343" s="16"/>
      <c r="B343" s="20" t="b">
        <f ca="1">IFERROR(__xludf.DUMMYFUNCTION("if(D343=iferror(filter('Character Sheet'!D$13:D3002,'Character Sheet'!D$13:D3002=D343),""""),True,False)"),FALSE)</f>
        <v>0</v>
      </c>
      <c r="C343" s="20">
        <v>400</v>
      </c>
      <c r="D343" s="2" t="s">
        <v>850</v>
      </c>
      <c r="E343" s="2" t="s">
        <v>230</v>
      </c>
      <c r="F343" s="20" t="s">
        <v>54</v>
      </c>
      <c r="G343" s="2" t="s">
        <v>851</v>
      </c>
      <c r="H343" s="16"/>
      <c r="I343" s="20"/>
      <c r="J343" s="20"/>
      <c r="K343" s="20"/>
      <c r="L343" s="20"/>
      <c r="M343" s="20"/>
      <c r="N343" s="20"/>
      <c r="O343" s="20"/>
      <c r="P343" s="20"/>
      <c r="Q343" s="20"/>
      <c r="R343" s="20"/>
      <c r="S343" s="20"/>
      <c r="T343" s="20"/>
      <c r="U343" s="20"/>
      <c r="V343" s="20"/>
      <c r="W343" s="20"/>
      <c r="X343" s="20"/>
      <c r="Y343" s="20"/>
      <c r="Z343" s="20"/>
      <c r="AA343" s="20"/>
    </row>
    <row r="344" spans="1:27" ht="156.6" x14ac:dyDescent="0.25">
      <c r="A344" s="16"/>
      <c r="B344" s="20" t="b">
        <f ca="1">IFERROR(__xludf.DUMMYFUNCTION("if(D344=iferror(filter('Character Sheet'!D$13:D3002,'Character Sheet'!D$13:D3002=D344),""""),True,False)"),FALSE)</f>
        <v>0</v>
      </c>
      <c r="C344" s="20">
        <v>400</v>
      </c>
      <c r="D344" s="2" t="s">
        <v>852</v>
      </c>
      <c r="E344" s="2" t="s">
        <v>369</v>
      </c>
      <c r="F344" s="20" t="s">
        <v>54</v>
      </c>
      <c r="G344" s="2" t="s">
        <v>853</v>
      </c>
      <c r="H344" s="16"/>
      <c r="I344" s="20"/>
      <c r="J344" s="20"/>
      <c r="K344" s="20"/>
      <c r="L344" s="20"/>
      <c r="M344" s="20"/>
      <c r="N344" s="20"/>
      <c r="O344" s="20"/>
      <c r="P344" s="20"/>
      <c r="Q344" s="20"/>
      <c r="R344" s="20"/>
      <c r="S344" s="20"/>
      <c r="T344" s="20"/>
      <c r="U344" s="20"/>
      <c r="V344" s="20"/>
      <c r="W344" s="20"/>
      <c r="X344" s="20"/>
      <c r="Y344" s="20"/>
      <c r="Z344" s="20"/>
      <c r="AA344" s="20"/>
    </row>
    <row r="345" spans="1:27" ht="278.39999999999998" x14ac:dyDescent="0.25">
      <c r="A345" s="16"/>
      <c r="B345" s="20" t="b">
        <f ca="1">IFERROR(__xludf.DUMMYFUNCTION("if(D345=iferror(filter('Character Sheet'!D$13:D3002,'Character Sheet'!D$13:D3002=D345),""""),True,False)"),FALSE)</f>
        <v>0</v>
      </c>
      <c r="C345" s="20">
        <v>400</v>
      </c>
      <c r="D345" s="2" t="s">
        <v>854</v>
      </c>
      <c r="E345" s="2" t="s">
        <v>521</v>
      </c>
      <c r="F345" s="20" t="s">
        <v>54</v>
      </c>
      <c r="G345" s="2" t="s">
        <v>855</v>
      </c>
      <c r="H345" s="16"/>
      <c r="I345" s="20"/>
      <c r="J345" s="20"/>
      <c r="K345" s="20"/>
      <c r="L345" s="20"/>
      <c r="M345" s="20"/>
      <c r="N345" s="20"/>
      <c r="O345" s="20"/>
      <c r="P345" s="20"/>
      <c r="Q345" s="20"/>
      <c r="R345" s="20"/>
      <c r="S345" s="20"/>
      <c r="T345" s="20"/>
      <c r="U345" s="20"/>
      <c r="V345" s="20"/>
      <c r="W345" s="20"/>
      <c r="X345" s="20"/>
      <c r="Y345" s="20"/>
      <c r="Z345" s="20"/>
      <c r="AA345" s="20"/>
    </row>
    <row r="346" spans="1:27" ht="87" x14ac:dyDescent="0.25">
      <c r="A346" s="16"/>
      <c r="B346" s="20" t="b">
        <f ca="1">IFERROR(__xludf.DUMMYFUNCTION("if(D346=iferror(filter('Character Sheet'!D$13:D3002,'Character Sheet'!D$13:D3002=D346),""""),True,False)"),FALSE)</f>
        <v>0</v>
      </c>
      <c r="C346" s="20">
        <v>400</v>
      </c>
      <c r="D346" s="2" t="s">
        <v>856</v>
      </c>
      <c r="E346" s="2" t="s">
        <v>475</v>
      </c>
      <c r="F346" s="20" t="s">
        <v>54</v>
      </c>
      <c r="G346" s="2" t="s">
        <v>857</v>
      </c>
      <c r="H346" s="16"/>
      <c r="I346" s="20"/>
      <c r="J346" s="20"/>
      <c r="K346" s="20"/>
      <c r="L346" s="20"/>
      <c r="M346" s="20"/>
      <c r="N346" s="20"/>
      <c r="O346" s="20"/>
      <c r="P346" s="20"/>
      <c r="Q346" s="20"/>
      <c r="R346" s="20"/>
      <c r="S346" s="20"/>
      <c r="T346" s="20"/>
      <c r="U346" s="20"/>
      <c r="V346" s="20"/>
      <c r="W346" s="20"/>
      <c r="X346" s="20"/>
      <c r="Y346" s="20"/>
      <c r="Z346" s="20"/>
      <c r="AA346" s="20"/>
    </row>
    <row r="347" spans="1:27" ht="191.4" x14ac:dyDescent="0.25">
      <c r="A347" s="16"/>
      <c r="B347" s="20" t="b">
        <f ca="1">IFERROR(__xludf.DUMMYFUNCTION("if(D347=iferror(filter('Character Sheet'!D$13:D3002,'Character Sheet'!D$13:D3002=D347),""""),True,False)"),FALSE)</f>
        <v>0</v>
      </c>
      <c r="C347" s="20">
        <v>400</v>
      </c>
      <c r="D347" s="2" t="s">
        <v>858</v>
      </c>
      <c r="E347" s="2" t="s">
        <v>124</v>
      </c>
      <c r="F347" s="20" t="s">
        <v>54</v>
      </c>
      <c r="G347" s="2" t="s">
        <v>859</v>
      </c>
      <c r="H347" s="16"/>
      <c r="I347" s="20"/>
      <c r="J347" s="20"/>
      <c r="K347" s="20"/>
      <c r="L347" s="20"/>
      <c r="M347" s="20"/>
      <c r="N347" s="20"/>
      <c r="O347" s="20"/>
      <c r="P347" s="20"/>
      <c r="Q347" s="20"/>
      <c r="R347" s="20"/>
      <c r="S347" s="20"/>
      <c r="T347" s="20"/>
      <c r="U347" s="20"/>
      <c r="V347" s="20"/>
      <c r="W347" s="20"/>
      <c r="X347" s="20"/>
      <c r="Y347" s="20"/>
      <c r="Z347" s="20"/>
      <c r="AA347" s="20"/>
    </row>
    <row r="348" spans="1:27" ht="121.8" x14ac:dyDescent="0.25">
      <c r="A348" s="16"/>
      <c r="B348" s="20" t="b">
        <f ca="1">IFERROR(__xludf.DUMMYFUNCTION("if(D348=iferror(filter('Character Sheet'!D$13:D3002,'Character Sheet'!D$13:D3002=D348),""""),True,False)"),FALSE)</f>
        <v>0</v>
      </c>
      <c r="C348" s="20">
        <v>400</v>
      </c>
      <c r="D348" s="2" t="s">
        <v>860</v>
      </c>
      <c r="E348" s="2" t="s">
        <v>168</v>
      </c>
      <c r="F348" s="20" t="s">
        <v>54</v>
      </c>
      <c r="G348" s="2" t="s">
        <v>861</v>
      </c>
      <c r="H348" s="16"/>
      <c r="I348" s="20"/>
      <c r="J348" s="20"/>
      <c r="K348" s="20"/>
      <c r="L348" s="20"/>
      <c r="M348" s="20"/>
      <c r="N348" s="20"/>
      <c r="O348" s="20"/>
      <c r="P348" s="20"/>
      <c r="Q348" s="20"/>
      <c r="R348" s="20"/>
      <c r="S348" s="20"/>
      <c r="T348" s="20"/>
      <c r="U348" s="20"/>
      <c r="V348" s="20"/>
      <c r="W348" s="20"/>
      <c r="X348" s="20"/>
      <c r="Y348" s="20"/>
      <c r="Z348" s="20"/>
      <c r="AA348" s="20"/>
    </row>
    <row r="349" spans="1:27" ht="174" x14ac:dyDescent="0.25">
      <c r="A349" s="16"/>
      <c r="B349" s="20" t="b">
        <f ca="1">IFERROR(__xludf.DUMMYFUNCTION("if(D349=iferror(filter('Character Sheet'!D$13:D3002,'Character Sheet'!D$13:D3002=D349),""""),True,False)"),FALSE)</f>
        <v>0</v>
      </c>
      <c r="C349" s="20">
        <v>400</v>
      </c>
      <c r="D349" s="2" t="s">
        <v>862</v>
      </c>
      <c r="E349" s="2" t="s">
        <v>863</v>
      </c>
      <c r="F349" s="20" t="s">
        <v>54</v>
      </c>
      <c r="G349" s="2" t="s">
        <v>864</v>
      </c>
      <c r="H349" s="16"/>
      <c r="I349" s="20"/>
      <c r="J349" s="20"/>
      <c r="K349" s="20"/>
      <c r="L349" s="20"/>
      <c r="M349" s="20"/>
      <c r="N349" s="20"/>
      <c r="O349" s="20"/>
      <c r="P349" s="20"/>
      <c r="Q349" s="20"/>
      <c r="R349" s="20"/>
      <c r="S349" s="20"/>
      <c r="T349" s="20"/>
      <c r="U349" s="20"/>
      <c r="V349" s="20"/>
      <c r="W349" s="20"/>
      <c r="X349" s="20"/>
      <c r="Y349" s="20"/>
      <c r="Z349" s="20"/>
      <c r="AA349" s="20"/>
    </row>
    <row r="350" spans="1:27" ht="139.19999999999999" x14ac:dyDescent="0.25">
      <c r="A350" s="16"/>
      <c r="B350" s="20" t="b">
        <f ca="1">IFERROR(__xludf.DUMMYFUNCTION("if(D350=iferror(filter('Character Sheet'!D$13:D3002,'Character Sheet'!D$13:D3002=D350),""""),True,False)"),FALSE)</f>
        <v>0</v>
      </c>
      <c r="C350" s="20">
        <v>400</v>
      </c>
      <c r="D350" s="2" t="s">
        <v>865</v>
      </c>
      <c r="E350" s="2" t="s">
        <v>225</v>
      </c>
      <c r="F350" s="20" t="s">
        <v>54</v>
      </c>
      <c r="G350" s="2" t="s">
        <v>866</v>
      </c>
      <c r="H350" s="16"/>
      <c r="I350" s="20"/>
      <c r="J350" s="20"/>
      <c r="K350" s="20"/>
      <c r="L350" s="20"/>
      <c r="M350" s="20"/>
      <c r="N350" s="20"/>
      <c r="O350" s="20"/>
      <c r="P350" s="20"/>
      <c r="Q350" s="20"/>
      <c r="R350" s="20"/>
      <c r="S350" s="20"/>
      <c r="T350" s="20"/>
      <c r="U350" s="20"/>
      <c r="V350" s="20"/>
      <c r="W350" s="20"/>
      <c r="X350" s="20"/>
      <c r="Y350" s="20"/>
      <c r="Z350" s="20"/>
      <c r="AA350" s="20"/>
    </row>
    <row r="351" spans="1:27" ht="121.8" x14ac:dyDescent="0.25">
      <c r="A351" s="16"/>
      <c r="B351" s="20" t="b">
        <f ca="1">IFERROR(__xludf.DUMMYFUNCTION("if(D351=iferror(filter('Character Sheet'!D$13:D3002,'Character Sheet'!D$13:D3002=D351),""""),True,False)"),FALSE)</f>
        <v>0</v>
      </c>
      <c r="C351" s="20">
        <v>400</v>
      </c>
      <c r="D351" s="2" t="s">
        <v>867</v>
      </c>
      <c r="E351" s="2" t="s">
        <v>119</v>
      </c>
      <c r="F351" s="20" t="s">
        <v>54</v>
      </c>
      <c r="G351" s="2" t="s">
        <v>868</v>
      </c>
      <c r="H351" s="16"/>
      <c r="I351" s="20"/>
      <c r="J351" s="20"/>
      <c r="K351" s="20"/>
      <c r="L351" s="20"/>
      <c r="M351" s="20"/>
      <c r="N351" s="20"/>
      <c r="O351" s="20"/>
      <c r="P351" s="20"/>
      <c r="Q351" s="20"/>
      <c r="R351" s="20"/>
      <c r="S351" s="20"/>
      <c r="T351" s="20"/>
      <c r="U351" s="20"/>
      <c r="V351" s="20"/>
      <c r="W351" s="20"/>
      <c r="X351" s="20"/>
      <c r="Y351" s="20"/>
      <c r="Z351" s="20"/>
      <c r="AA351" s="20"/>
    </row>
    <row r="352" spans="1:27" ht="156.6" x14ac:dyDescent="0.25">
      <c r="A352" s="16"/>
      <c r="B352" s="20" t="b">
        <f ca="1">IFERROR(__xludf.DUMMYFUNCTION("if(D352=iferror(filter('Character Sheet'!D$13:D3002,'Character Sheet'!D$13:D3002=D352),""""),True,False)"),FALSE)</f>
        <v>0</v>
      </c>
      <c r="C352" s="20">
        <v>400</v>
      </c>
      <c r="D352" s="2" t="s">
        <v>869</v>
      </c>
      <c r="E352" s="2" t="s">
        <v>268</v>
      </c>
      <c r="F352" s="20" t="s">
        <v>54</v>
      </c>
      <c r="G352" s="2" t="s">
        <v>870</v>
      </c>
      <c r="H352" s="16"/>
      <c r="I352" s="20"/>
      <c r="J352" s="20"/>
      <c r="K352" s="20"/>
      <c r="L352" s="20"/>
      <c r="M352" s="20"/>
      <c r="N352" s="20"/>
      <c r="O352" s="20"/>
      <c r="P352" s="20"/>
      <c r="Q352" s="20"/>
      <c r="R352" s="20"/>
      <c r="S352" s="20"/>
      <c r="T352" s="20"/>
      <c r="U352" s="20"/>
      <c r="V352" s="20"/>
      <c r="W352" s="20"/>
      <c r="X352" s="20"/>
      <c r="Y352" s="20"/>
      <c r="Z352" s="20"/>
      <c r="AA352" s="20"/>
    </row>
    <row r="353" spans="1:27" ht="104.4" x14ac:dyDescent="0.25">
      <c r="A353" s="16"/>
      <c r="B353" s="20" t="b">
        <f ca="1">IFERROR(__xludf.DUMMYFUNCTION("if(D353=iferror(filter('Character Sheet'!D$13:D3002,'Character Sheet'!D$13:D3002=D353),""""),True,False)"),FALSE)</f>
        <v>0</v>
      </c>
      <c r="C353" s="20">
        <v>400</v>
      </c>
      <c r="D353" s="2" t="s">
        <v>871</v>
      </c>
      <c r="E353" s="2" t="s">
        <v>872</v>
      </c>
      <c r="F353" s="20" t="s">
        <v>54</v>
      </c>
      <c r="G353" s="2" t="s">
        <v>873</v>
      </c>
      <c r="H353" s="16"/>
      <c r="I353" s="20"/>
      <c r="J353" s="20"/>
      <c r="K353" s="20"/>
      <c r="L353" s="20"/>
      <c r="M353" s="20"/>
      <c r="N353" s="20"/>
      <c r="O353" s="20"/>
      <c r="P353" s="20"/>
      <c r="Q353" s="20"/>
      <c r="R353" s="20"/>
      <c r="S353" s="20"/>
      <c r="T353" s="20"/>
      <c r="U353" s="20"/>
      <c r="V353" s="20"/>
      <c r="W353" s="20"/>
      <c r="X353" s="20"/>
      <c r="Y353" s="20"/>
      <c r="Z353" s="20"/>
      <c r="AA353" s="20"/>
    </row>
    <row r="354" spans="1:27" ht="191.4" x14ac:dyDescent="0.25">
      <c r="A354" s="16"/>
      <c r="B354" s="20" t="b">
        <f ca="1">IFERROR(__xludf.DUMMYFUNCTION("if(D354=iferror(filter('Character Sheet'!D$13:D3002,'Character Sheet'!D$13:D3002=D354),""""),True,False)"),FALSE)</f>
        <v>0</v>
      </c>
      <c r="C354" s="20">
        <v>400</v>
      </c>
      <c r="D354" s="2" t="s">
        <v>874</v>
      </c>
      <c r="E354" s="2" t="s">
        <v>211</v>
      </c>
      <c r="F354" s="20" t="s">
        <v>54</v>
      </c>
      <c r="G354" s="2" t="s">
        <v>875</v>
      </c>
      <c r="H354" s="16"/>
      <c r="I354" s="20"/>
      <c r="J354" s="20"/>
      <c r="K354" s="20"/>
      <c r="L354" s="20"/>
      <c r="M354" s="20"/>
      <c r="N354" s="20"/>
      <c r="O354" s="20"/>
      <c r="P354" s="20"/>
      <c r="Q354" s="20"/>
      <c r="R354" s="20"/>
      <c r="S354" s="20"/>
      <c r="T354" s="20"/>
      <c r="U354" s="20"/>
      <c r="V354" s="20"/>
      <c r="W354" s="20"/>
      <c r="X354" s="20"/>
      <c r="Y354" s="20"/>
      <c r="Z354" s="20"/>
      <c r="AA354" s="20"/>
    </row>
    <row r="355" spans="1:27" ht="121.8" x14ac:dyDescent="0.25">
      <c r="A355" s="16"/>
      <c r="B355" s="20" t="b">
        <f ca="1">IFERROR(__xludf.DUMMYFUNCTION("if(D355=iferror(filter('Character Sheet'!D$13:D3002,'Character Sheet'!D$13:D3002=D355),""""),True,False)"),FALSE)</f>
        <v>0</v>
      </c>
      <c r="C355" s="20">
        <v>400</v>
      </c>
      <c r="D355" s="22" t="s">
        <v>876</v>
      </c>
      <c r="E355" s="2" t="s">
        <v>877</v>
      </c>
      <c r="F355" s="20" t="s">
        <v>54</v>
      </c>
      <c r="G355" s="2" t="s">
        <v>878</v>
      </c>
      <c r="H355" s="16"/>
      <c r="I355" s="20"/>
      <c r="J355" s="20"/>
      <c r="K355" s="20"/>
      <c r="L355" s="20"/>
      <c r="M355" s="20"/>
      <c r="N355" s="20"/>
      <c r="O355" s="20"/>
      <c r="P355" s="20"/>
      <c r="Q355" s="20"/>
      <c r="R355" s="20"/>
      <c r="S355" s="20"/>
      <c r="T355" s="20"/>
      <c r="U355" s="20"/>
      <c r="V355" s="20"/>
      <c r="W355" s="20"/>
      <c r="X355" s="20"/>
      <c r="Y355" s="20"/>
      <c r="Z355" s="20"/>
      <c r="AA355" s="20"/>
    </row>
    <row r="356" spans="1:27" ht="87" x14ac:dyDescent="0.25">
      <c r="A356" s="16"/>
      <c r="B356" s="20" t="b">
        <f ca="1">IFERROR(__xludf.DUMMYFUNCTION("if(D356=iferror(filter('Character Sheet'!D$13:D3002,'Character Sheet'!D$13:D3002=D356),""""),True,False)"),FALSE)</f>
        <v>0</v>
      </c>
      <c r="C356" s="20">
        <v>400</v>
      </c>
      <c r="D356" s="2" t="s">
        <v>879</v>
      </c>
      <c r="E356" s="2" t="s">
        <v>425</v>
      </c>
      <c r="F356" s="20" t="s">
        <v>54</v>
      </c>
      <c r="G356" s="2" t="s">
        <v>880</v>
      </c>
      <c r="H356" s="16"/>
      <c r="I356" s="20"/>
      <c r="J356" s="20"/>
      <c r="K356" s="20"/>
      <c r="L356" s="20"/>
      <c r="M356" s="20"/>
      <c r="N356" s="20"/>
      <c r="O356" s="20"/>
      <c r="P356" s="20"/>
      <c r="Q356" s="20"/>
      <c r="R356" s="20"/>
      <c r="S356" s="20"/>
      <c r="T356" s="20"/>
      <c r="U356" s="20"/>
      <c r="V356" s="20"/>
      <c r="W356" s="20"/>
      <c r="X356" s="20"/>
      <c r="Y356" s="20"/>
      <c r="Z356" s="20"/>
      <c r="AA356" s="20"/>
    </row>
    <row r="357" spans="1:27" ht="139.19999999999999" x14ac:dyDescent="0.25">
      <c r="A357" s="16"/>
      <c r="B357" s="20" t="b">
        <f ca="1">IFERROR(__xludf.DUMMYFUNCTION("if(D357=iferror(filter('Character Sheet'!D$13:D3002,'Character Sheet'!D$13:D3002=D357),""""),True,False)"),FALSE)</f>
        <v>0</v>
      </c>
      <c r="C357" s="20">
        <v>400</v>
      </c>
      <c r="D357" s="2" t="s">
        <v>881</v>
      </c>
      <c r="E357" s="2" t="s">
        <v>192</v>
      </c>
      <c r="F357" s="20" t="s">
        <v>54</v>
      </c>
      <c r="G357" s="22" t="s">
        <v>882</v>
      </c>
      <c r="H357" s="16"/>
      <c r="I357" s="20"/>
      <c r="J357" s="20"/>
      <c r="K357" s="20"/>
      <c r="L357" s="20"/>
      <c r="M357" s="20"/>
      <c r="N357" s="20"/>
      <c r="O357" s="20"/>
      <c r="P357" s="20"/>
      <c r="Q357" s="20"/>
      <c r="R357" s="20"/>
      <c r="S357" s="20"/>
      <c r="T357" s="20"/>
      <c r="U357" s="20"/>
      <c r="V357" s="20"/>
      <c r="W357" s="20"/>
      <c r="X357" s="20"/>
      <c r="Y357" s="20"/>
      <c r="Z357" s="20"/>
      <c r="AA357" s="20"/>
    </row>
    <row r="358" spans="1:27" ht="104.4" x14ac:dyDescent="0.25">
      <c r="A358" s="16"/>
      <c r="B358" s="20" t="b">
        <f ca="1">IFERROR(__xludf.DUMMYFUNCTION("if(D358=iferror(filter('Character Sheet'!D$13:D3002,'Character Sheet'!D$13:D3002=D358),""""),True,False)"),FALSE)</f>
        <v>0</v>
      </c>
      <c r="C358" s="20">
        <v>400</v>
      </c>
      <c r="D358" s="2" t="s">
        <v>883</v>
      </c>
      <c r="E358" s="2" t="s">
        <v>347</v>
      </c>
      <c r="F358" s="20" t="s">
        <v>54</v>
      </c>
      <c r="G358" s="2" t="s">
        <v>884</v>
      </c>
      <c r="H358" s="16"/>
      <c r="I358" s="20"/>
      <c r="J358" s="20"/>
      <c r="K358" s="20"/>
      <c r="L358" s="20"/>
      <c r="M358" s="20"/>
      <c r="N358" s="20"/>
      <c r="O358" s="20"/>
      <c r="P358" s="20"/>
      <c r="Q358" s="20"/>
      <c r="R358" s="20"/>
      <c r="S358" s="20"/>
      <c r="T358" s="20"/>
      <c r="U358" s="20"/>
      <c r="V358" s="20"/>
      <c r="W358" s="20"/>
      <c r="X358" s="20"/>
      <c r="Y358" s="20"/>
      <c r="Z358" s="20"/>
      <c r="AA358" s="20"/>
    </row>
    <row r="359" spans="1:27" ht="121.8" x14ac:dyDescent="0.25">
      <c r="A359" s="16"/>
      <c r="B359" s="20" t="b">
        <f ca="1">IFERROR(__xludf.DUMMYFUNCTION("if(D359=iferror(filter('Character Sheet'!D$13:D3002,'Character Sheet'!D$13:D3002=D359),""""),True,False)"),FALSE)</f>
        <v>0</v>
      </c>
      <c r="C359" s="20">
        <v>400</v>
      </c>
      <c r="D359" s="2" t="s">
        <v>885</v>
      </c>
      <c r="E359" s="2" t="s">
        <v>464</v>
      </c>
      <c r="F359" s="20" t="s">
        <v>54</v>
      </c>
      <c r="G359" s="2" t="s">
        <v>886</v>
      </c>
      <c r="H359" s="16"/>
      <c r="I359" s="20"/>
      <c r="J359" s="20"/>
      <c r="K359" s="20"/>
      <c r="L359" s="20"/>
      <c r="M359" s="20"/>
      <c r="N359" s="20"/>
      <c r="O359" s="20"/>
      <c r="P359" s="20"/>
      <c r="Q359" s="20"/>
      <c r="R359" s="20"/>
      <c r="S359" s="20"/>
      <c r="T359" s="20"/>
      <c r="U359" s="20"/>
      <c r="V359" s="20"/>
      <c r="W359" s="20"/>
      <c r="X359" s="20"/>
      <c r="Y359" s="20"/>
      <c r="Z359" s="20"/>
      <c r="AA359" s="20"/>
    </row>
    <row r="360" spans="1:27" ht="139.19999999999999" x14ac:dyDescent="0.25">
      <c r="A360" s="16"/>
      <c r="B360" s="20" t="b">
        <f ca="1">IFERROR(__xludf.DUMMYFUNCTION("if(D360=iferror(filter('Character Sheet'!D$13:D3002,'Character Sheet'!D$13:D3002=D360),""""),True,False)"),FALSE)</f>
        <v>0</v>
      </c>
      <c r="C360" s="20">
        <v>400</v>
      </c>
      <c r="D360" s="2" t="s">
        <v>887</v>
      </c>
      <c r="E360" s="2" t="s">
        <v>753</v>
      </c>
      <c r="F360" s="20" t="s">
        <v>54</v>
      </c>
      <c r="G360" s="2" t="s">
        <v>888</v>
      </c>
      <c r="H360" s="16"/>
      <c r="I360" s="20"/>
      <c r="J360" s="20"/>
      <c r="K360" s="20"/>
      <c r="L360" s="20"/>
      <c r="M360" s="20"/>
      <c r="N360" s="20"/>
      <c r="O360" s="20"/>
      <c r="P360" s="20"/>
      <c r="Q360" s="20"/>
      <c r="R360" s="20"/>
      <c r="S360" s="20"/>
      <c r="T360" s="20"/>
      <c r="U360" s="20"/>
      <c r="V360" s="20"/>
      <c r="W360" s="20"/>
      <c r="X360" s="20"/>
      <c r="Y360" s="20"/>
      <c r="Z360" s="20"/>
      <c r="AA360" s="20"/>
    </row>
    <row r="361" spans="1:27" ht="87" x14ac:dyDescent="0.25">
      <c r="A361" s="16"/>
      <c r="B361" s="20" t="b">
        <f ca="1">IFERROR(__xludf.DUMMYFUNCTION("if(D361=iferror(filter('Character Sheet'!D$13:D3002,'Character Sheet'!D$13:D3002=D361),""""),True,False)"),FALSE)</f>
        <v>0</v>
      </c>
      <c r="C361" s="20">
        <v>400</v>
      </c>
      <c r="D361" s="2" t="s">
        <v>889</v>
      </c>
      <c r="E361" s="2" t="s">
        <v>328</v>
      </c>
      <c r="F361" s="20" t="s">
        <v>54</v>
      </c>
      <c r="G361" s="2" t="s">
        <v>890</v>
      </c>
      <c r="H361" s="16"/>
      <c r="I361" s="20"/>
      <c r="J361" s="20"/>
      <c r="K361" s="20"/>
      <c r="L361" s="20"/>
      <c r="M361" s="20"/>
      <c r="N361" s="20"/>
      <c r="O361" s="20"/>
      <c r="P361" s="20"/>
      <c r="Q361" s="20"/>
      <c r="R361" s="20"/>
      <c r="S361" s="20"/>
      <c r="T361" s="20"/>
      <c r="U361" s="20"/>
      <c r="V361" s="20"/>
      <c r="W361" s="20"/>
      <c r="X361" s="20"/>
      <c r="Y361" s="20"/>
      <c r="Z361" s="20"/>
      <c r="AA361" s="20"/>
    </row>
    <row r="362" spans="1:27" ht="278.39999999999998" x14ac:dyDescent="0.25">
      <c r="A362" s="16"/>
      <c r="B362" s="20" t="b">
        <f ca="1">IFERROR(__xludf.DUMMYFUNCTION("if(D362=iferror(filter('Character Sheet'!D$13:D3002,'Character Sheet'!D$13:D3002=D362),""""),True,False)"),FALSE)</f>
        <v>0</v>
      </c>
      <c r="C362" s="20">
        <v>400</v>
      </c>
      <c r="D362" s="2" t="s">
        <v>891</v>
      </c>
      <c r="E362" s="2" t="s">
        <v>615</v>
      </c>
      <c r="F362" s="20" t="s">
        <v>54</v>
      </c>
      <c r="G362" s="2" t="s">
        <v>892</v>
      </c>
      <c r="H362" s="16"/>
      <c r="I362" s="20"/>
      <c r="J362" s="20"/>
      <c r="K362" s="20"/>
      <c r="L362" s="20"/>
      <c r="M362" s="20"/>
      <c r="N362" s="20"/>
      <c r="O362" s="20"/>
      <c r="P362" s="20"/>
      <c r="Q362" s="20"/>
      <c r="R362" s="20"/>
      <c r="S362" s="20"/>
      <c r="T362" s="20"/>
      <c r="U362" s="20"/>
      <c r="V362" s="20"/>
      <c r="W362" s="20"/>
      <c r="X362" s="20"/>
      <c r="Y362" s="20"/>
      <c r="Z362" s="20"/>
      <c r="AA362" s="20"/>
    </row>
    <row r="363" spans="1:27" ht="121.8" x14ac:dyDescent="0.25">
      <c r="A363" s="16"/>
      <c r="B363" s="20" t="b">
        <f ca="1">IFERROR(__xludf.DUMMYFUNCTION("if(D363=iferror(filter('Character Sheet'!D$13:D3002,'Character Sheet'!D$13:D3002=D363),""""),True,False)"),FALSE)</f>
        <v>0</v>
      </c>
      <c r="C363" s="20">
        <v>400</v>
      </c>
      <c r="D363" s="2" t="s">
        <v>893</v>
      </c>
      <c r="E363" s="2" t="s">
        <v>894</v>
      </c>
      <c r="F363" s="20" t="s">
        <v>54</v>
      </c>
      <c r="G363" s="2" t="s">
        <v>895</v>
      </c>
      <c r="H363" s="16"/>
      <c r="I363" s="20"/>
      <c r="J363" s="20"/>
      <c r="K363" s="20"/>
      <c r="L363" s="20"/>
      <c r="M363" s="20"/>
      <c r="N363" s="20"/>
      <c r="O363" s="20"/>
      <c r="P363" s="20"/>
      <c r="Q363" s="20"/>
      <c r="R363" s="20"/>
      <c r="S363" s="20"/>
      <c r="T363" s="20"/>
      <c r="U363" s="20"/>
      <c r="V363" s="20"/>
      <c r="W363" s="20"/>
      <c r="X363" s="20"/>
      <c r="Y363" s="20"/>
      <c r="Z363" s="20"/>
      <c r="AA363" s="20"/>
    </row>
    <row r="364" spans="1:27" ht="104.4" x14ac:dyDescent="0.25">
      <c r="A364" s="16"/>
      <c r="B364" s="20" t="b">
        <f ca="1">IFERROR(__xludf.DUMMYFUNCTION("if(D364=iferror(filter('Character Sheet'!D$13:D3002,'Character Sheet'!D$13:D3002=D364),""""),True,False)"),FALSE)</f>
        <v>0</v>
      </c>
      <c r="C364" s="20">
        <v>400</v>
      </c>
      <c r="D364" s="2" t="s">
        <v>896</v>
      </c>
      <c r="E364" s="2" t="s">
        <v>775</v>
      </c>
      <c r="F364" s="20" t="s">
        <v>54</v>
      </c>
      <c r="G364" s="2" t="s">
        <v>897</v>
      </c>
      <c r="H364" s="16"/>
      <c r="I364" s="20"/>
      <c r="J364" s="20"/>
      <c r="K364" s="20"/>
      <c r="L364" s="20"/>
      <c r="M364" s="20"/>
      <c r="N364" s="20"/>
      <c r="O364" s="20"/>
      <c r="P364" s="20"/>
      <c r="Q364" s="20"/>
      <c r="R364" s="20"/>
      <c r="S364" s="20"/>
      <c r="T364" s="20"/>
      <c r="U364" s="20"/>
      <c r="V364" s="20"/>
      <c r="W364" s="20"/>
      <c r="X364" s="20"/>
      <c r="Y364" s="20"/>
      <c r="Z364" s="20"/>
      <c r="AA364" s="20"/>
    </row>
    <row r="365" spans="1:27" ht="87" x14ac:dyDescent="0.25">
      <c r="A365" s="16"/>
      <c r="B365" s="20" t="b">
        <f ca="1">IFERROR(__xludf.DUMMYFUNCTION("if(D365=iferror(filter('Character Sheet'!D$13:D3002,'Character Sheet'!D$13:D3002=D365),""""),True,False)"),FALSE)</f>
        <v>0</v>
      </c>
      <c r="C365" s="20">
        <v>400</v>
      </c>
      <c r="D365" s="2" t="s">
        <v>898</v>
      </c>
      <c r="E365" s="2" t="s">
        <v>475</v>
      </c>
      <c r="F365" s="20" t="s">
        <v>54</v>
      </c>
      <c r="G365" s="2" t="s">
        <v>899</v>
      </c>
      <c r="H365" s="16"/>
      <c r="I365" s="20"/>
      <c r="J365" s="20"/>
      <c r="K365" s="20"/>
      <c r="L365" s="20"/>
      <c r="M365" s="20"/>
      <c r="N365" s="20"/>
      <c r="O365" s="20"/>
      <c r="P365" s="20"/>
      <c r="Q365" s="20"/>
      <c r="R365" s="20"/>
      <c r="S365" s="20"/>
      <c r="T365" s="20"/>
      <c r="U365" s="20"/>
      <c r="V365" s="20"/>
      <c r="W365" s="20"/>
      <c r="X365" s="20"/>
      <c r="Y365" s="20"/>
      <c r="Z365" s="20"/>
      <c r="AA365" s="20"/>
    </row>
    <row r="366" spans="1:27" ht="261" x14ac:dyDescent="0.25">
      <c r="A366" s="16"/>
      <c r="B366" s="20" t="b">
        <f ca="1">IFERROR(__xludf.DUMMYFUNCTION("if(D366=iferror(filter('Character Sheet'!D$13:D3002,'Character Sheet'!D$13:D3002=D366),""""),True,False)"),FALSE)</f>
        <v>0</v>
      </c>
      <c r="C366" s="20">
        <v>400</v>
      </c>
      <c r="D366" s="2" t="s">
        <v>900</v>
      </c>
      <c r="E366" s="2" t="s">
        <v>81</v>
      </c>
      <c r="F366" s="20" t="s">
        <v>54</v>
      </c>
      <c r="G366" s="2" t="s">
        <v>901</v>
      </c>
      <c r="H366" s="16"/>
      <c r="I366" s="20"/>
      <c r="J366" s="20"/>
      <c r="K366" s="20"/>
      <c r="L366" s="20"/>
      <c r="M366" s="20"/>
      <c r="N366" s="20"/>
      <c r="O366" s="20"/>
      <c r="P366" s="20"/>
      <c r="Q366" s="20"/>
      <c r="R366" s="20"/>
      <c r="S366" s="20"/>
      <c r="T366" s="20"/>
      <c r="U366" s="20"/>
      <c r="V366" s="20"/>
      <c r="W366" s="20"/>
      <c r="X366" s="20"/>
      <c r="Y366" s="20"/>
      <c r="Z366" s="20"/>
      <c r="AA366" s="20"/>
    </row>
    <row r="367" spans="1:27" ht="156.6" x14ac:dyDescent="0.25">
      <c r="A367" s="16"/>
      <c r="B367" s="20" t="b">
        <f ca="1">IFERROR(__xludf.DUMMYFUNCTION("if(D367=iferror(filter('Character Sheet'!D$13:D3002,'Character Sheet'!D$13:D3002=D367),""""),True,False)"),FALSE)</f>
        <v>0</v>
      </c>
      <c r="C367" s="20">
        <v>400</v>
      </c>
      <c r="D367" s="2" t="s">
        <v>902</v>
      </c>
      <c r="E367" s="2" t="s">
        <v>341</v>
      </c>
      <c r="F367" s="20" t="s">
        <v>54</v>
      </c>
      <c r="G367" s="2" t="s">
        <v>903</v>
      </c>
      <c r="H367" s="16"/>
      <c r="I367" s="20"/>
      <c r="J367" s="20"/>
      <c r="K367" s="20"/>
      <c r="L367" s="20"/>
      <c r="M367" s="20"/>
      <c r="N367" s="20"/>
      <c r="O367" s="20"/>
      <c r="P367" s="20"/>
      <c r="Q367" s="20"/>
      <c r="R367" s="20"/>
      <c r="S367" s="20"/>
      <c r="T367" s="20"/>
      <c r="U367" s="20"/>
      <c r="V367" s="20"/>
      <c r="W367" s="20"/>
      <c r="X367" s="20"/>
      <c r="Y367" s="20"/>
      <c r="Z367" s="20"/>
      <c r="AA367" s="20"/>
    </row>
    <row r="368" spans="1:27" ht="208.8" x14ac:dyDescent="0.25">
      <c r="A368" s="16"/>
      <c r="B368" s="20" t="b">
        <f ca="1">IFERROR(__xludf.DUMMYFUNCTION("if(D368=iferror(filter('Character Sheet'!D$13:D3002,'Character Sheet'!D$13:D3002=D368),""""),True,False)"),FALSE)</f>
        <v>0</v>
      </c>
      <c r="C368" s="20">
        <v>400</v>
      </c>
      <c r="D368" s="2" t="s">
        <v>904</v>
      </c>
      <c r="E368" s="2" t="s">
        <v>662</v>
      </c>
      <c r="F368" s="20" t="s">
        <v>54</v>
      </c>
      <c r="G368" s="2" t="s">
        <v>905</v>
      </c>
      <c r="H368" s="16"/>
      <c r="I368" s="20"/>
      <c r="J368" s="20"/>
      <c r="K368" s="20"/>
      <c r="L368" s="20"/>
      <c r="M368" s="20"/>
      <c r="N368" s="20"/>
      <c r="O368" s="20"/>
      <c r="P368" s="20"/>
      <c r="Q368" s="20"/>
      <c r="R368" s="20"/>
      <c r="S368" s="20"/>
      <c r="T368" s="20"/>
      <c r="U368" s="20"/>
      <c r="V368" s="20"/>
      <c r="W368" s="20"/>
      <c r="X368" s="20"/>
      <c r="Y368" s="20"/>
      <c r="Z368" s="20"/>
      <c r="AA368" s="20"/>
    </row>
    <row r="369" spans="1:27" ht="87" x14ac:dyDescent="0.25">
      <c r="A369" s="16"/>
      <c r="B369" s="20" t="b">
        <f ca="1">IFERROR(__xludf.DUMMYFUNCTION("if(D369=iferror(filter('Character Sheet'!D$13:D3002,'Character Sheet'!D$13:D3002=D369),""""),True,False)"),FALSE)</f>
        <v>0</v>
      </c>
      <c r="C369" s="20">
        <v>400</v>
      </c>
      <c r="D369" s="2" t="s">
        <v>906</v>
      </c>
      <c r="E369" s="2" t="s">
        <v>72</v>
      </c>
      <c r="F369" s="20" t="s">
        <v>54</v>
      </c>
      <c r="G369" s="2" t="s">
        <v>907</v>
      </c>
      <c r="H369" s="16"/>
      <c r="I369" s="20"/>
      <c r="J369" s="20"/>
      <c r="K369" s="20"/>
      <c r="L369" s="20"/>
      <c r="M369" s="20"/>
      <c r="N369" s="20"/>
      <c r="O369" s="20"/>
      <c r="P369" s="20"/>
      <c r="Q369" s="20"/>
      <c r="R369" s="20"/>
      <c r="S369" s="20"/>
      <c r="T369" s="20"/>
      <c r="U369" s="20"/>
      <c r="V369" s="20"/>
      <c r="W369" s="20"/>
      <c r="X369" s="20"/>
      <c r="Y369" s="20"/>
      <c r="Z369" s="20"/>
      <c r="AA369" s="20"/>
    </row>
    <row r="370" spans="1:27" ht="121.8" x14ac:dyDescent="0.25">
      <c r="A370" s="16"/>
      <c r="B370" s="20" t="b">
        <f ca="1">IFERROR(__xludf.DUMMYFUNCTION("if(D370=iferror(filter('Character Sheet'!D$13:D3002,'Character Sheet'!D$13:D3002=D370),""""),True,False)"),FALSE)</f>
        <v>0</v>
      </c>
      <c r="C370" s="20">
        <v>400</v>
      </c>
      <c r="D370" s="2" t="s">
        <v>908</v>
      </c>
      <c r="E370" s="2" t="s">
        <v>162</v>
      </c>
      <c r="F370" s="20" t="s">
        <v>54</v>
      </c>
      <c r="G370" s="2" t="s">
        <v>909</v>
      </c>
      <c r="H370" s="16"/>
      <c r="I370" s="20"/>
      <c r="J370" s="20"/>
      <c r="K370" s="20"/>
      <c r="L370" s="20"/>
      <c r="M370" s="20"/>
      <c r="N370" s="20"/>
      <c r="O370" s="20"/>
      <c r="P370" s="20"/>
      <c r="Q370" s="20"/>
      <c r="R370" s="20"/>
      <c r="S370" s="20"/>
      <c r="T370" s="20"/>
      <c r="U370" s="20"/>
      <c r="V370" s="20"/>
      <c r="W370" s="20"/>
      <c r="X370" s="20"/>
      <c r="Y370" s="20"/>
      <c r="Z370" s="20"/>
      <c r="AA370" s="20"/>
    </row>
    <row r="371" spans="1:27" ht="243.6" x14ac:dyDescent="0.25">
      <c r="A371" s="16"/>
      <c r="B371" s="20" t="b">
        <f ca="1">IFERROR(__xludf.DUMMYFUNCTION("if(D371=iferror(filter('Character Sheet'!D$13:D3002,'Character Sheet'!D$13:D3002=D371),""""),True,False)"),FALSE)</f>
        <v>0</v>
      </c>
      <c r="C371" s="20">
        <v>400</v>
      </c>
      <c r="D371" s="2" t="s">
        <v>910</v>
      </c>
      <c r="E371" s="2" t="s">
        <v>911</v>
      </c>
      <c r="F371" s="20" t="s">
        <v>54</v>
      </c>
      <c r="G371" s="2" t="s">
        <v>912</v>
      </c>
      <c r="H371" s="16"/>
      <c r="I371" s="20"/>
      <c r="J371" s="20"/>
      <c r="K371" s="20"/>
      <c r="L371" s="20"/>
      <c r="M371" s="20"/>
      <c r="N371" s="20"/>
      <c r="O371" s="20"/>
      <c r="P371" s="20"/>
      <c r="Q371" s="20"/>
      <c r="R371" s="20"/>
      <c r="S371" s="20"/>
      <c r="T371" s="20"/>
      <c r="U371" s="20"/>
      <c r="V371" s="20"/>
      <c r="W371" s="20"/>
      <c r="X371" s="20"/>
      <c r="Y371" s="20"/>
      <c r="Z371" s="20"/>
      <c r="AA371" s="20"/>
    </row>
    <row r="372" spans="1:27" ht="174" x14ac:dyDescent="0.25">
      <c r="A372" s="16"/>
      <c r="B372" s="20" t="b">
        <f ca="1">IFERROR(__xludf.DUMMYFUNCTION("if(D372=iferror(filter('Character Sheet'!D$13:D3002,'Character Sheet'!D$13:D3002=D372),""""),True,False)"),FALSE)</f>
        <v>0</v>
      </c>
      <c r="C372" s="20">
        <v>400</v>
      </c>
      <c r="D372" s="2" t="s">
        <v>913</v>
      </c>
      <c r="E372" s="2" t="s">
        <v>914</v>
      </c>
      <c r="F372" s="20" t="s">
        <v>54</v>
      </c>
      <c r="G372" s="2" t="s">
        <v>915</v>
      </c>
      <c r="H372" s="16"/>
      <c r="I372" s="20"/>
      <c r="J372" s="20"/>
      <c r="K372" s="20"/>
      <c r="L372" s="20"/>
      <c r="M372" s="20"/>
      <c r="N372" s="20"/>
      <c r="O372" s="20"/>
      <c r="P372" s="20"/>
      <c r="Q372" s="20"/>
      <c r="R372" s="20"/>
      <c r="S372" s="20"/>
      <c r="T372" s="20"/>
      <c r="U372" s="20"/>
      <c r="V372" s="20"/>
      <c r="W372" s="20"/>
      <c r="X372" s="20"/>
      <c r="Y372" s="20"/>
      <c r="Z372" s="20"/>
      <c r="AA372" s="20"/>
    </row>
    <row r="373" spans="1:27" ht="121.8" x14ac:dyDescent="0.25">
      <c r="A373" s="16"/>
      <c r="B373" s="20" t="b">
        <f ca="1">IFERROR(__xludf.DUMMYFUNCTION("if(D373=iferror(filter('Character Sheet'!D$13:D3002,'Character Sheet'!D$13:D3002=D373),""""),True,False)"),FALSE)</f>
        <v>0</v>
      </c>
      <c r="C373" s="20">
        <v>400</v>
      </c>
      <c r="D373" s="2" t="s">
        <v>916</v>
      </c>
      <c r="E373" s="2" t="s">
        <v>917</v>
      </c>
      <c r="F373" s="20" t="s">
        <v>54</v>
      </c>
      <c r="G373" s="2" t="s">
        <v>918</v>
      </c>
      <c r="H373" s="16"/>
      <c r="I373" s="20"/>
      <c r="J373" s="20"/>
      <c r="K373" s="20"/>
      <c r="L373" s="20"/>
      <c r="M373" s="20"/>
      <c r="N373" s="20"/>
      <c r="O373" s="20"/>
      <c r="P373" s="20"/>
      <c r="Q373" s="20"/>
      <c r="R373" s="20"/>
      <c r="S373" s="20"/>
      <c r="T373" s="20"/>
      <c r="U373" s="20"/>
      <c r="V373" s="20"/>
      <c r="W373" s="20"/>
      <c r="X373" s="20"/>
      <c r="Y373" s="20"/>
      <c r="Z373" s="20"/>
      <c r="AA373" s="20"/>
    </row>
    <row r="374" spans="1:27" ht="121.8" x14ac:dyDescent="0.25">
      <c r="A374" s="16"/>
      <c r="B374" s="20" t="b">
        <f ca="1">IFERROR(__xludf.DUMMYFUNCTION("if(D374=iferror(filter('Character Sheet'!D$13:D3002,'Character Sheet'!D$13:D3002=D374),""""),True,False)"),FALSE)</f>
        <v>0</v>
      </c>
      <c r="C374" s="20">
        <v>400</v>
      </c>
      <c r="D374" s="2" t="s">
        <v>919</v>
      </c>
      <c r="E374" s="2" t="s">
        <v>845</v>
      </c>
      <c r="F374" s="20" t="s">
        <v>54</v>
      </c>
      <c r="G374" s="2" t="s">
        <v>920</v>
      </c>
      <c r="H374" s="16"/>
      <c r="I374" s="20"/>
      <c r="J374" s="20"/>
      <c r="K374" s="20"/>
      <c r="L374" s="20"/>
      <c r="M374" s="20"/>
      <c r="N374" s="20"/>
      <c r="O374" s="20"/>
      <c r="P374" s="20"/>
      <c r="Q374" s="20"/>
      <c r="R374" s="20"/>
      <c r="S374" s="20"/>
      <c r="T374" s="20"/>
      <c r="U374" s="20"/>
      <c r="V374" s="20"/>
      <c r="W374" s="20"/>
      <c r="X374" s="20"/>
      <c r="Y374" s="20"/>
      <c r="Z374" s="20"/>
      <c r="AA374" s="20"/>
    </row>
    <row r="375" spans="1:27" ht="104.4" x14ac:dyDescent="0.25">
      <c r="A375" s="16"/>
      <c r="B375" s="20" t="b">
        <f ca="1">IFERROR(__xludf.DUMMYFUNCTION("if(D375=iferror(filter('Character Sheet'!D$13:D3002,'Character Sheet'!D$13:D3002=D375),""""),True,False)"),FALSE)</f>
        <v>0</v>
      </c>
      <c r="C375" s="20">
        <v>400</v>
      </c>
      <c r="D375" s="2" t="s">
        <v>921</v>
      </c>
      <c r="E375" s="2" t="s">
        <v>475</v>
      </c>
      <c r="F375" s="20" t="s">
        <v>54</v>
      </c>
      <c r="G375" s="2" t="s">
        <v>922</v>
      </c>
      <c r="H375" s="16"/>
      <c r="I375" s="20"/>
      <c r="J375" s="20"/>
      <c r="K375" s="20"/>
      <c r="L375" s="20"/>
      <c r="M375" s="20"/>
      <c r="N375" s="20"/>
      <c r="O375" s="20"/>
      <c r="P375" s="20"/>
      <c r="Q375" s="20"/>
      <c r="R375" s="20"/>
      <c r="S375" s="20"/>
      <c r="T375" s="20"/>
      <c r="U375" s="20"/>
      <c r="V375" s="20"/>
      <c r="W375" s="20"/>
      <c r="X375" s="20"/>
      <c r="Y375" s="20"/>
      <c r="Z375" s="20"/>
      <c r="AA375" s="20"/>
    </row>
    <row r="376" spans="1:27" ht="208.8" x14ac:dyDescent="0.25">
      <c r="A376" s="16"/>
      <c r="B376" s="20" t="b">
        <f ca="1">IFERROR(__xludf.DUMMYFUNCTION("if(D376=iferror(filter('Character Sheet'!D$13:D3002,'Character Sheet'!D$13:D3002=D376),""""),True,False)"),FALSE)</f>
        <v>0</v>
      </c>
      <c r="C376" s="20">
        <v>400</v>
      </c>
      <c r="D376" s="2" t="s">
        <v>923</v>
      </c>
      <c r="E376" s="2" t="s">
        <v>924</v>
      </c>
      <c r="F376" s="20" t="s">
        <v>54</v>
      </c>
      <c r="G376" s="2" t="s">
        <v>925</v>
      </c>
      <c r="H376" s="16"/>
      <c r="I376" s="20"/>
      <c r="J376" s="20"/>
      <c r="K376" s="20"/>
      <c r="L376" s="20"/>
      <c r="M376" s="20"/>
      <c r="N376" s="20"/>
      <c r="O376" s="20"/>
      <c r="P376" s="20"/>
      <c r="Q376" s="20"/>
      <c r="R376" s="20"/>
      <c r="S376" s="20"/>
      <c r="T376" s="20"/>
      <c r="U376" s="20"/>
      <c r="V376" s="20"/>
      <c r="W376" s="20"/>
      <c r="X376" s="20"/>
      <c r="Y376" s="20"/>
      <c r="Z376" s="20"/>
      <c r="AA376" s="20"/>
    </row>
    <row r="377" spans="1:27" ht="174" x14ac:dyDescent="0.25">
      <c r="A377" s="16"/>
      <c r="B377" s="20" t="b">
        <f ca="1">IFERROR(__xludf.DUMMYFUNCTION("if(D377=iferror(filter('Character Sheet'!D$13:D3002,'Character Sheet'!D$13:D3002=D377),""""),True,False)"),FALSE)</f>
        <v>0</v>
      </c>
      <c r="C377" s="20">
        <v>400</v>
      </c>
      <c r="D377" s="2" t="s">
        <v>926</v>
      </c>
      <c r="E377" s="2" t="s">
        <v>306</v>
      </c>
      <c r="F377" s="20" t="s">
        <v>54</v>
      </c>
      <c r="G377" s="2" t="s">
        <v>927</v>
      </c>
      <c r="H377" s="16"/>
      <c r="I377" s="20"/>
      <c r="J377" s="20"/>
      <c r="K377" s="20"/>
      <c r="L377" s="20"/>
      <c r="M377" s="20"/>
      <c r="N377" s="20"/>
      <c r="O377" s="20"/>
      <c r="P377" s="20"/>
      <c r="Q377" s="20"/>
      <c r="R377" s="20"/>
      <c r="S377" s="20"/>
      <c r="T377" s="20"/>
      <c r="U377" s="20"/>
      <c r="V377" s="20"/>
      <c r="W377" s="20"/>
      <c r="X377" s="20"/>
      <c r="Y377" s="20"/>
      <c r="Z377" s="20"/>
      <c r="AA377" s="20"/>
    </row>
    <row r="378" spans="1:27" ht="191.4" x14ac:dyDescent="0.25">
      <c r="A378" s="16"/>
      <c r="B378" s="20" t="b">
        <f ca="1">IFERROR(__xludf.DUMMYFUNCTION("if(D378=iferror(filter('Character Sheet'!D$13:D3002,'Character Sheet'!D$13:D3002=D378),""""),True,False)"),FALSE)</f>
        <v>0</v>
      </c>
      <c r="C378" s="20">
        <v>400</v>
      </c>
      <c r="D378" s="2" t="s">
        <v>928</v>
      </c>
      <c r="E378" s="2" t="s">
        <v>311</v>
      </c>
      <c r="F378" s="20" t="s">
        <v>54</v>
      </c>
      <c r="G378" s="2" t="s">
        <v>929</v>
      </c>
      <c r="H378" s="16"/>
      <c r="I378" s="20"/>
      <c r="J378" s="20"/>
      <c r="K378" s="20"/>
      <c r="L378" s="20"/>
      <c r="M378" s="20"/>
      <c r="N378" s="20"/>
      <c r="O378" s="20"/>
      <c r="P378" s="20"/>
      <c r="Q378" s="20"/>
      <c r="R378" s="20"/>
      <c r="S378" s="20"/>
      <c r="T378" s="20"/>
      <c r="U378" s="20"/>
      <c r="V378" s="20"/>
      <c r="W378" s="20"/>
      <c r="X378" s="20"/>
      <c r="Y378" s="20"/>
      <c r="Z378" s="20"/>
      <c r="AA378" s="20"/>
    </row>
    <row r="379" spans="1:27" ht="174" x14ac:dyDescent="0.25">
      <c r="A379" s="16"/>
      <c r="B379" s="20" t="b">
        <f ca="1">IFERROR(__xludf.DUMMYFUNCTION("if(D379=iferror(filter('Character Sheet'!D$13:D3002,'Character Sheet'!D$13:D3002=D379),""""),True,False)"),FALSE)</f>
        <v>0</v>
      </c>
      <c r="C379" s="20">
        <v>400</v>
      </c>
      <c r="D379" s="2" t="s">
        <v>930</v>
      </c>
      <c r="E379" s="2" t="s">
        <v>845</v>
      </c>
      <c r="F379" s="20" t="s">
        <v>54</v>
      </c>
      <c r="G379" s="2" t="s">
        <v>931</v>
      </c>
      <c r="H379" s="16"/>
      <c r="I379" s="20"/>
      <c r="J379" s="20"/>
      <c r="K379" s="20"/>
      <c r="L379" s="20"/>
      <c r="M379" s="20"/>
      <c r="N379" s="20"/>
      <c r="O379" s="20"/>
      <c r="P379" s="20"/>
      <c r="Q379" s="20"/>
      <c r="R379" s="20"/>
      <c r="S379" s="20"/>
      <c r="T379" s="20"/>
      <c r="U379" s="20"/>
      <c r="V379" s="20"/>
      <c r="W379" s="20"/>
      <c r="X379" s="20"/>
      <c r="Y379" s="20"/>
      <c r="Z379" s="20"/>
      <c r="AA379" s="20"/>
    </row>
    <row r="380" spans="1:27" ht="191.4" x14ac:dyDescent="0.25">
      <c r="A380" s="16"/>
      <c r="B380" s="20" t="b">
        <f ca="1">IFERROR(__xludf.DUMMYFUNCTION("if(D380=iferror(filter('Character Sheet'!D$13:D3002,'Character Sheet'!D$13:D3002=D380),""""),True,False)"),FALSE)</f>
        <v>0</v>
      </c>
      <c r="C380" s="20">
        <v>400</v>
      </c>
      <c r="D380" s="2" t="s">
        <v>932</v>
      </c>
      <c r="E380" s="2" t="s">
        <v>610</v>
      </c>
      <c r="F380" s="20" t="s">
        <v>54</v>
      </c>
      <c r="G380" s="2" t="s">
        <v>933</v>
      </c>
      <c r="H380" s="16"/>
      <c r="I380" s="20"/>
      <c r="J380" s="20"/>
      <c r="K380" s="20"/>
      <c r="L380" s="20"/>
      <c r="M380" s="20"/>
      <c r="N380" s="20"/>
      <c r="O380" s="20"/>
      <c r="P380" s="20"/>
      <c r="Q380" s="20"/>
      <c r="R380" s="20"/>
      <c r="S380" s="20"/>
      <c r="T380" s="20"/>
      <c r="U380" s="20"/>
      <c r="V380" s="20"/>
      <c r="W380" s="20"/>
      <c r="X380" s="20"/>
      <c r="Y380" s="20"/>
      <c r="Z380" s="20"/>
      <c r="AA380" s="20"/>
    </row>
    <row r="381" spans="1:27" ht="191.4" x14ac:dyDescent="0.25">
      <c r="A381" s="16"/>
      <c r="B381" s="20" t="b">
        <f ca="1">IFERROR(__xludf.DUMMYFUNCTION("if(D381=iferror(filter('Character Sheet'!D$13:D3002,'Character Sheet'!D$13:D3002=D381),""""),True,False)"),FALSE)</f>
        <v>0</v>
      </c>
      <c r="C381" s="20">
        <v>400</v>
      </c>
      <c r="D381" s="2" t="s">
        <v>934</v>
      </c>
      <c r="E381" s="2" t="s">
        <v>662</v>
      </c>
      <c r="F381" s="20" t="s">
        <v>54</v>
      </c>
      <c r="G381" s="2" t="s">
        <v>935</v>
      </c>
      <c r="H381" s="16"/>
      <c r="I381" s="20"/>
      <c r="J381" s="20"/>
      <c r="K381" s="20"/>
      <c r="L381" s="20"/>
      <c r="M381" s="20"/>
      <c r="N381" s="20"/>
      <c r="O381" s="20"/>
      <c r="P381" s="20"/>
      <c r="Q381" s="20"/>
      <c r="R381" s="20"/>
      <c r="S381" s="20"/>
      <c r="T381" s="20"/>
      <c r="U381" s="20"/>
      <c r="V381" s="20"/>
      <c r="W381" s="20"/>
      <c r="X381" s="20"/>
      <c r="Y381" s="20"/>
      <c r="Z381" s="20"/>
      <c r="AA381" s="20"/>
    </row>
    <row r="382" spans="1:27" ht="156.6" x14ac:dyDescent="0.25">
      <c r="A382" s="16"/>
      <c r="B382" s="20" t="b">
        <f ca="1">IFERROR(__xludf.DUMMYFUNCTION("if(D382=iferror(filter('Character Sheet'!D$13:D3002,'Character Sheet'!D$13:D3002=D382),""""),True,False)"),FALSE)</f>
        <v>0</v>
      </c>
      <c r="C382" s="20">
        <v>400</v>
      </c>
      <c r="D382" s="2" t="s">
        <v>936</v>
      </c>
      <c r="E382" s="2" t="s">
        <v>863</v>
      </c>
      <c r="F382" s="20" t="s">
        <v>54</v>
      </c>
      <c r="G382" s="2" t="s">
        <v>937</v>
      </c>
      <c r="H382" s="16"/>
      <c r="I382" s="20"/>
      <c r="J382" s="20"/>
      <c r="K382" s="20"/>
      <c r="L382" s="20"/>
      <c r="M382" s="20"/>
      <c r="N382" s="20"/>
      <c r="O382" s="20"/>
      <c r="P382" s="20"/>
      <c r="Q382" s="20"/>
      <c r="R382" s="20"/>
      <c r="S382" s="20"/>
      <c r="T382" s="20"/>
      <c r="U382" s="20"/>
      <c r="V382" s="20"/>
      <c r="W382" s="20"/>
      <c r="X382" s="20"/>
      <c r="Y382" s="20"/>
      <c r="Z382" s="20"/>
      <c r="AA382" s="20"/>
    </row>
    <row r="383" spans="1:27" ht="87" x14ac:dyDescent="0.25">
      <c r="A383" s="16"/>
      <c r="B383" s="20" t="b">
        <f ca="1">IFERROR(__xludf.DUMMYFUNCTION("if(D383=iferror(filter('Character Sheet'!D$13:D3002,'Character Sheet'!D$13:D3002=D383),""""),True,False)"),FALSE)</f>
        <v>0</v>
      </c>
      <c r="C383" s="20">
        <v>400</v>
      </c>
      <c r="D383" s="2" t="s">
        <v>938</v>
      </c>
      <c r="E383" s="2" t="s">
        <v>306</v>
      </c>
      <c r="F383" s="20" t="s">
        <v>54</v>
      </c>
      <c r="G383" s="2" t="s">
        <v>939</v>
      </c>
      <c r="H383" s="16"/>
      <c r="I383" s="20"/>
      <c r="J383" s="20"/>
      <c r="K383" s="20"/>
      <c r="L383" s="20"/>
      <c r="M383" s="20"/>
      <c r="N383" s="20"/>
      <c r="O383" s="20"/>
      <c r="P383" s="20"/>
      <c r="Q383" s="20"/>
      <c r="R383" s="20"/>
      <c r="S383" s="20"/>
      <c r="T383" s="20"/>
      <c r="U383" s="20"/>
      <c r="V383" s="20"/>
      <c r="W383" s="20"/>
      <c r="X383" s="20"/>
      <c r="Y383" s="20"/>
      <c r="Z383" s="20"/>
      <c r="AA383" s="20"/>
    </row>
    <row r="384" spans="1:27" ht="156.6" x14ac:dyDescent="0.25">
      <c r="A384" s="16"/>
      <c r="B384" s="20" t="b">
        <f ca="1">IFERROR(__xludf.DUMMYFUNCTION("if(D384=iferror(filter('Character Sheet'!D$13:D3002,'Character Sheet'!D$13:D3002=D384),""""),True,False)"),FALSE)</f>
        <v>0</v>
      </c>
      <c r="C384" s="20">
        <v>500</v>
      </c>
      <c r="D384" s="2" t="s">
        <v>940</v>
      </c>
      <c r="E384" s="2" t="s">
        <v>139</v>
      </c>
      <c r="F384" s="20" t="s">
        <v>54</v>
      </c>
      <c r="G384" s="2" t="s">
        <v>941</v>
      </c>
      <c r="H384" s="16"/>
      <c r="I384" s="20"/>
      <c r="J384" s="20"/>
      <c r="K384" s="20"/>
      <c r="L384" s="20"/>
      <c r="M384" s="20"/>
      <c r="N384" s="20"/>
      <c r="O384" s="20"/>
      <c r="P384" s="20"/>
      <c r="Q384" s="20"/>
      <c r="R384" s="20"/>
      <c r="S384" s="20"/>
      <c r="T384" s="20"/>
      <c r="U384" s="20"/>
      <c r="V384" s="20"/>
      <c r="W384" s="20"/>
      <c r="X384" s="20"/>
      <c r="Y384" s="20"/>
      <c r="Z384" s="20"/>
      <c r="AA384" s="20"/>
    </row>
    <row r="385" spans="1:27" ht="104.4" x14ac:dyDescent="0.25">
      <c r="A385" s="16"/>
      <c r="B385" s="20" t="b">
        <f ca="1">IFERROR(__xludf.DUMMYFUNCTION("if(D385=iferror(filter('Character Sheet'!D$13:D3002,'Character Sheet'!D$13:D3002=D385),""""),True,False)"),FALSE)</f>
        <v>0</v>
      </c>
      <c r="C385" s="20">
        <v>500</v>
      </c>
      <c r="D385" s="2" t="s">
        <v>942</v>
      </c>
      <c r="E385" s="2" t="s">
        <v>943</v>
      </c>
      <c r="F385" s="20" t="s">
        <v>54</v>
      </c>
      <c r="G385" s="2" t="s">
        <v>944</v>
      </c>
      <c r="H385" s="16"/>
      <c r="I385" s="20"/>
      <c r="J385" s="20"/>
      <c r="K385" s="20"/>
      <c r="L385" s="20"/>
      <c r="M385" s="20"/>
      <c r="N385" s="20"/>
      <c r="O385" s="20"/>
      <c r="P385" s="20"/>
      <c r="Q385" s="20"/>
      <c r="R385" s="20"/>
      <c r="S385" s="20"/>
      <c r="T385" s="20"/>
      <c r="U385" s="20"/>
      <c r="V385" s="20"/>
      <c r="W385" s="20"/>
      <c r="X385" s="20"/>
      <c r="Y385" s="20"/>
      <c r="Z385" s="20"/>
      <c r="AA385" s="20"/>
    </row>
    <row r="386" spans="1:27" ht="121.8" x14ac:dyDescent="0.25">
      <c r="A386" s="16"/>
      <c r="B386" s="20" t="b">
        <f ca="1">IFERROR(__xludf.DUMMYFUNCTION("if(D386=iferror(filter('Character Sheet'!D$13:D3002,'Character Sheet'!D$13:D3002=D386),""""),True,False)"),FALSE)</f>
        <v>0</v>
      </c>
      <c r="C386" s="20">
        <v>500</v>
      </c>
      <c r="D386" s="2" t="s">
        <v>945</v>
      </c>
      <c r="E386" s="2" t="s">
        <v>72</v>
      </c>
      <c r="F386" s="20" t="s">
        <v>54</v>
      </c>
      <c r="G386" s="2" t="s">
        <v>946</v>
      </c>
      <c r="H386" s="16"/>
      <c r="I386" s="20"/>
      <c r="J386" s="20"/>
      <c r="K386" s="20"/>
      <c r="L386" s="20"/>
      <c r="M386" s="20"/>
      <c r="N386" s="20"/>
      <c r="O386" s="20"/>
      <c r="P386" s="20"/>
      <c r="Q386" s="20"/>
      <c r="R386" s="20"/>
      <c r="S386" s="20"/>
      <c r="T386" s="20"/>
      <c r="U386" s="20"/>
      <c r="V386" s="20"/>
      <c r="W386" s="20"/>
      <c r="X386" s="20"/>
      <c r="Y386" s="20"/>
      <c r="Z386" s="20"/>
      <c r="AA386" s="20"/>
    </row>
    <row r="387" spans="1:27" ht="121.8" x14ac:dyDescent="0.25">
      <c r="A387" s="16"/>
      <c r="B387" s="20" t="b">
        <f ca="1">IFERROR(__xludf.DUMMYFUNCTION("if(D387=iferror(filter('Character Sheet'!D$13:D3002,'Character Sheet'!D$13:D3002=D387),""""),True,False)"),FALSE)</f>
        <v>0</v>
      </c>
      <c r="C387" s="20">
        <v>500</v>
      </c>
      <c r="D387" s="2" t="s">
        <v>947</v>
      </c>
      <c r="E387" s="2" t="s">
        <v>233</v>
      </c>
      <c r="F387" s="20" t="s">
        <v>54</v>
      </c>
      <c r="G387" s="2" t="s">
        <v>948</v>
      </c>
      <c r="H387" s="16"/>
      <c r="I387" s="20"/>
      <c r="J387" s="20"/>
      <c r="K387" s="20"/>
      <c r="L387" s="20"/>
      <c r="M387" s="20"/>
      <c r="N387" s="20"/>
      <c r="O387" s="20"/>
      <c r="P387" s="20"/>
      <c r="Q387" s="20"/>
      <c r="R387" s="20"/>
      <c r="S387" s="20"/>
      <c r="T387" s="20"/>
      <c r="U387" s="20"/>
      <c r="V387" s="20"/>
      <c r="W387" s="20"/>
      <c r="X387" s="20"/>
      <c r="Y387" s="20"/>
      <c r="Z387" s="20"/>
      <c r="AA387" s="20"/>
    </row>
    <row r="388" spans="1:27" ht="208.8" x14ac:dyDescent="0.25">
      <c r="A388" s="16"/>
      <c r="B388" s="20" t="b">
        <f ca="1">IFERROR(__xludf.DUMMYFUNCTION("if(D388=iferror(filter('Character Sheet'!D$13:D3002,'Character Sheet'!D$13:D3002=D388),""""),True,False)"),FALSE)</f>
        <v>0</v>
      </c>
      <c r="C388" s="20">
        <v>500</v>
      </c>
      <c r="D388" s="2" t="s">
        <v>949</v>
      </c>
      <c r="E388" s="2" t="s">
        <v>753</v>
      </c>
      <c r="F388" s="20" t="s">
        <v>54</v>
      </c>
      <c r="G388" s="2" t="s">
        <v>950</v>
      </c>
      <c r="H388" s="16"/>
      <c r="I388" s="20"/>
      <c r="J388" s="20"/>
      <c r="K388" s="20"/>
      <c r="L388" s="20"/>
      <c r="M388" s="20"/>
      <c r="N388" s="20"/>
      <c r="O388" s="20"/>
      <c r="P388" s="20"/>
      <c r="Q388" s="20"/>
      <c r="R388" s="20"/>
      <c r="S388" s="20"/>
      <c r="T388" s="20"/>
      <c r="U388" s="20"/>
      <c r="V388" s="20"/>
      <c r="W388" s="20"/>
      <c r="X388" s="20"/>
      <c r="Y388" s="20"/>
      <c r="Z388" s="20"/>
      <c r="AA388" s="20"/>
    </row>
    <row r="389" spans="1:27" ht="156.6" x14ac:dyDescent="0.25">
      <c r="A389" s="16"/>
      <c r="B389" s="20" t="b">
        <f ca="1">IFERROR(__xludf.DUMMYFUNCTION("if(D389=iferror(filter('Character Sheet'!D$13:D3002,'Character Sheet'!D$13:D3002=D389),""""),True,False)"),FALSE)</f>
        <v>0</v>
      </c>
      <c r="C389" s="20">
        <v>500</v>
      </c>
      <c r="D389" s="2" t="s">
        <v>951</v>
      </c>
      <c r="E389" s="2" t="s">
        <v>268</v>
      </c>
      <c r="F389" s="20" t="s">
        <v>54</v>
      </c>
      <c r="G389" s="2" t="s">
        <v>952</v>
      </c>
      <c r="H389" s="16"/>
      <c r="I389" s="20"/>
      <c r="J389" s="20"/>
      <c r="K389" s="20"/>
      <c r="L389" s="20"/>
      <c r="M389" s="20"/>
      <c r="N389" s="20"/>
      <c r="O389" s="20"/>
      <c r="P389" s="20"/>
      <c r="Q389" s="20"/>
      <c r="R389" s="20"/>
      <c r="S389" s="20"/>
      <c r="T389" s="20"/>
      <c r="U389" s="20"/>
      <c r="V389" s="20"/>
      <c r="W389" s="20"/>
      <c r="X389" s="20"/>
      <c r="Y389" s="20"/>
      <c r="Z389" s="20"/>
      <c r="AA389" s="20"/>
    </row>
    <row r="390" spans="1:27" ht="156.6" x14ac:dyDescent="0.25">
      <c r="A390" s="16"/>
      <c r="B390" s="20" t="b">
        <f ca="1">IFERROR(__xludf.DUMMYFUNCTION("if(D390=iferror(filter('Character Sheet'!D$13:D3002,'Character Sheet'!D$13:D3002=D390),""""),True,False)"),FALSE)</f>
        <v>0</v>
      </c>
      <c r="C390" s="20">
        <v>500</v>
      </c>
      <c r="D390" s="2" t="s">
        <v>953</v>
      </c>
      <c r="E390" s="2" t="s">
        <v>233</v>
      </c>
      <c r="F390" s="20" t="s">
        <v>54</v>
      </c>
      <c r="G390" s="2" t="s">
        <v>954</v>
      </c>
      <c r="H390" s="16"/>
      <c r="I390" s="20"/>
      <c r="J390" s="20"/>
      <c r="K390" s="20"/>
      <c r="L390" s="20"/>
      <c r="M390" s="20"/>
      <c r="N390" s="20"/>
      <c r="O390" s="20"/>
      <c r="P390" s="20"/>
      <c r="Q390" s="20"/>
      <c r="R390" s="20"/>
      <c r="S390" s="20"/>
      <c r="T390" s="20"/>
      <c r="U390" s="20"/>
      <c r="V390" s="20"/>
      <c r="W390" s="20"/>
      <c r="X390" s="20"/>
      <c r="Y390" s="20"/>
      <c r="Z390" s="20"/>
      <c r="AA390" s="20"/>
    </row>
    <row r="391" spans="1:27" ht="243.6" x14ac:dyDescent="0.25">
      <c r="A391" s="16"/>
      <c r="B391" s="20" t="b">
        <f ca="1">IFERROR(__xludf.DUMMYFUNCTION("if(D391=iferror(filter('Character Sheet'!D$13:D3002,'Character Sheet'!D$13:D3002=D391),""""),True,False)"),FALSE)</f>
        <v>0</v>
      </c>
      <c r="C391" s="20">
        <v>500</v>
      </c>
      <c r="D391" s="2" t="s">
        <v>955</v>
      </c>
      <c r="E391" s="2" t="s">
        <v>124</v>
      </c>
      <c r="F391" s="20" t="s">
        <v>54</v>
      </c>
      <c r="G391" s="2" t="s">
        <v>956</v>
      </c>
      <c r="H391" s="16"/>
      <c r="I391" s="20"/>
      <c r="J391" s="20"/>
      <c r="K391" s="20"/>
      <c r="L391" s="20"/>
      <c r="M391" s="20"/>
      <c r="N391" s="20"/>
      <c r="O391" s="20"/>
      <c r="P391" s="20"/>
      <c r="Q391" s="20"/>
      <c r="R391" s="20"/>
      <c r="S391" s="20"/>
      <c r="T391" s="20"/>
      <c r="U391" s="20"/>
      <c r="V391" s="20"/>
      <c r="W391" s="20"/>
      <c r="X391" s="20"/>
      <c r="Y391" s="20"/>
      <c r="Z391" s="20"/>
      <c r="AA391" s="20"/>
    </row>
    <row r="392" spans="1:27" ht="174" x14ac:dyDescent="0.25">
      <c r="A392" s="16"/>
      <c r="B392" s="20" t="b">
        <f ca="1">IFERROR(__xludf.DUMMYFUNCTION("if(D392=iferror(filter('Character Sheet'!D$13:D3002,'Character Sheet'!D$13:D3002=D392),""""),True,False)"),FALSE)</f>
        <v>0</v>
      </c>
      <c r="C392" s="20">
        <v>500</v>
      </c>
      <c r="D392" s="2" t="s">
        <v>957</v>
      </c>
      <c r="E392" s="2" t="s">
        <v>958</v>
      </c>
      <c r="F392" s="20" t="s">
        <v>54</v>
      </c>
      <c r="G392" s="2" t="s">
        <v>959</v>
      </c>
      <c r="H392" s="16"/>
      <c r="I392" s="20"/>
      <c r="J392" s="20"/>
      <c r="K392" s="20"/>
      <c r="L392" s="20"/>
      <c r="M392" s="20"/>
      <c r="N392" s="20"/>
      <c r="O392" s="20"/>
      <c r="P392" s="20"/>
      <c r="Q392" s="20"/>
      <c r="R392" s="20"/>
      <c r="S392" s="20"/>
      <c r="T392" s="20"/>
      <c r="U392" s="20"/>
      <c r="V392" s="20"/>
      <c r="W392" s="20"/>
      <c r="X392" s="20"/>
      <c r="Y392" s="20"/>
      <c r="Z392" s="20"/>
      <c r="AA392" s="20"/>
    </row>
    <row r="393" spans="1:27" ht="174" x14ac:dyDescent="0.25">
      <c r="A393" s="16"/>
      <c r="B393" s="20" t="b">
        <f ca="1">IFERROR(__xludf.DUMMYFUNCTION("if(D393=iferror(filter('Character Sheet'!D$13:D3002,'Character Sheet'!D$13:D3002=D393),""""),True,False)"),FALSE)</f>
        <v>0</v>
      </c>
      <c r="C393" s="20">
        <v>500</v>
      </c>
      <c r="D393" s="2" t="s">
        <v>960</v>
      </c>
      <c r="E393" s="2" t="s">
        <v>124</v>
      </c>
      <c r="F393" s="20" t="s">
        <v>54</v>
      </c>
      <c r="G393" s="2" t="s">
        <v>961</v>
      </c>
      <c r="H393" s="16"/>
      <c r="I393" s="20"/>
      <c r="J393" s="20"/>
      <c r="K393" s="20"/>
      <c r="L393" s="20"/>
      <c r="M393" s="20"/>
      <c r="N393" s="20"/>
      <c r="O393" s="20"/>
      <c r="P393" s="20"/>
      <c r="Q393" s="20"/>
      <c r="R393" s="20"/>
      <c r="S393" s="20"/>
      <c r="T393" s="20"/>
      <c r="U393" s="20"/>
      <c r="V393" s="20"/>
      <c r="W393" s="20"/>
      <c r="X393" s="20"/>
      <c r="Y393" s="20"/>
      <c r="Z393" s="20"/>
      <c r="AA393" s="20"/>
    </row>
    <row r="394" spans="1:27" ht="208.8" x14ac:dyDescent="0.25">
      <c r="A394" s="16"/>
      <c r="B394" s="20" t="b">
        <f ca="1">IFERROR(__xludf.DUMMYFUNCTION("if(D394=iferror(filter('Character Sheet'!D$13:D3002,'Character Sheet'!D$13:D3002=D394),""""),True,False)"),FALSE)</f>
        <v>0</v>
      </c>
      <c r="C394" s="20">
        <v>500</v>
      </c>
      <c r="D394" s="2" t="s">
        <v>962</v>
      </c>
      <c r="E394" s="2" t="s">
        <v>963</v>
      </c>
      <c r="F394" s="20" t="s">
        <v>54</v>
      </c>
      <c r="G394" s="2" t="s">
        <v>964</v>
      </c>
      <c r="H394" s="16"/>
      <c r="I394" s="20"/>
      <c r="J394" s="20"/>
      <c r="K394" s="20"/>
      <c r="L394" s="20"/>
      <c r="M394" s="20"/>
      <c r="N394" s="20"/>
      <c r="O394" s="20"/>
      <c r="P394" s="20"/>
      <c r="Q394" s="20"/>
      <c r="R394" s="20"/>
      <c r="S394" s="20"/>
      <c r="T394" s="20"/>
      <c r="U394" s="20"/>
      <c r="V394" s="20"/>
      <c r="W394" s="20"/>
      <c r="X394" s="20"/>
      <c r="Y394" s="20"/>
      <c r="Z394" s="20"/>
      <c r="AA394" s="20"/>
    </row>
    <row r="395" spans="1:27" ht="156.6" x14ac:dyDescent="0.25">
      <c r="A395" s="16"/>
      <c r="B395" s="20" t="b">
        <f ca="1">IFERROR(__xludf.DUMMYFUNCTION("if(D395=iferror(filter('Character Sheet'!D$13:D3002,'Character Sheet'!D$13:D3002=D395),""""),True,False)"),FALSE)</f>
        <v>0</v>
      </c>
      <c r="C395" s="20">
        <v>500</v>
      </c>
      <c r="D395" s="2" t="s">
        <v>965</v>
      </c>
      <c r="E395" s="2" t="s">
        <v>334</v>
      </c>
      <c r="F395" s="20" t="s">
        <v>54</v>
      </c>
      <c r="G395" s="2" t="s">
        <v>966</v>
      </c>
      <c r="H395" s="16"/>
      <c r="I395" s="20"/>
      <c r="J395" s="20"/>
      <c r="K395" s="20"/>
      <c r="L395" s="20"/>
      <c r="M395" s="20"/>
      <c r="N395" s="20"/>
      <c r="O395" s="20"/>
      <c r="P395" s="20"/>
      <c r="Q395" s="20"/>
      <c r="R395" s="20"/>
      <c r="S395" s="20"/>
      <c r="T395" s="20"/>
      <c r="U395" s="20"/>
      <c r="V395" s="20"/>
      <c r="W395" s="20"/>
      <c r="X395" s="20"/>
      <c r="Y395" s="20"/>
      <c r="Z395" s="20"/>
      <c r="AA395" s="20"/>
    </row>
    <row r="396" spans="1:27" ht="156.6" x14ac:dyDescent="0.25">
      <c r="A396" s="16"/>
      <c r="B396" s="20" t="b">
        <f ca="1">IFERROR(__xludf.DUMMYFUNCTION("if(D396=iferror(filter('Character Sheet'!D$13:D3002,'Character Sheet'!D$13:D3002=D396),""""),True,False)"),FALSE)</f>
        <v>0</v>
      </c>
      <c r="C396" s="20">
        <v>600</v>
      </c>
      <c r="D396" s="2" t="s">
        <v>967</v>
      </c>
      <c r="E396" s="2" t="s">
        <v>386</v>
      </c>
      <c r="F396" s="20" t="s">
        <v>54</v>
      </c>
      <c r="G396" s="2" t="s">
        <v>968</v>
      </c>
      <c r="H396" s="16"/>
      <c r="I396" s="20"/>
      <c r="J396" s="20"/>
      <c r="K396" s="20"/>
      <c r="L396" s="20"/>
      <c r="M396" s="20"/>
      <c r="N396" s="20"/>
      <c r="O396" s="20"/>
      <c r="P396" s="20"/>
      <c r="Q396" s="20"/>
      <c r="R396" s="20"/>
      <c r="S396" s="20"/>
      <c r="T396" s="20"/>
      <c r="U396" s="20"/>
      <c r="V396" s="20"/>
      <c r="W396" s="20"/>
      <c r="X396" s="20"/>
      <c r="Y396" s="20"/>
      <c r="Z396" s="20"/>
      <c r="AA396" s="20"/>
    </row>
    <row r="397" spans="1:27" ht="156.6" x14ac:dyDescent="0.25">
      <c r="A397" s="16"/>
      <c r="B397" s="20" t="b">
        <f ca="1">IFERROR(__xludf.DUMMYFUNCTION("if(D397=iferror(filter('Character Sheet'!D$13:D3002,'Character Sheet'!D$13:D3002=D397),""""),True,False)"),FALSE)</f>
        <v>0</v>
      </c>
      <c r="C397" s="20">
        <v>600</v>
      </c>
      <c r="D397" s="2" t="s">
        <v>969</v>
      </c>
      <c r="E397" s="2" t="s">
        <v>970</v>
      </c>
      <c r="F397" s="20" t="s">
        <v>54</v>
      </c>
      <c r="G397" s="2" t="s">
        <v>971</v>
      </c>
      <c r="H397" s="16"/>
      <c r="I397" s="20"/>
      <c r="J397" s="20"/>
      <c r="K397" s="20"/>
      <c r="L397" s="20"/>
      <c r="M397" s="20"/>
      <c r="N397" s="20"/>
      <c r="O397" s="20"/>
      <c r="P397" s="20"/>
      <c r="Q397" s="20"/>
      <c r="R397" s="20"/>
      <c r="S397" s="20"/>
      <c r="T397" s="20"/>
      <c r="U397" s="20"/>
      <c r="V397" s="20"/>
      <c r="W397" s="20"/>
      <c r="X397" s="20"/>
      <c r="Y397" s="20"/>
      <c r="Z397" s="20"/>
      <c r="AA397" s="20"/>
    </row>
    <row r="398" spans="1:27" ht="191.4" x14ac:dyDescent="0.25">
      <c r="A398" s="16"/>
      <c r="B398" s="20" t="b">
        <f ca="1">IFERROR(__xludf.DUMMYFUNCTION("if(D398=iferror(filter('Character Sheet'!D$13:D3002,'Character Sheet'!D$13:D3002=D398),""""),True,False)"),FALSE)</f>
        <v>0</v>
      </c>
      <c r="C398" s="20">
        <v>600</v>
      </c>
      <c r="D398" s="2" t="s">
        <v>972</v>
      </c>
      <c r="E398" s="2" t="s">
        <v>973</v>
      </c>
      <c r="F398" s="20" t="s">
        <v>54</v>
      </c>
      <c r="G398" s="2" t="s">
        <v>974</v>
      </c>
      <c r="H398" s="16"/>
      <c r="I398" s="20"/>
      <c r="J398" s="20"/>
      <c r="K398" s="20"/>
      <c r="L398" s="20"/>
      <c r="M398" s="20"/>
      <c r="N398" s="20"/>
      <c r="O398" s="20"/>
      <c r="P398" s="20"/>
      <c r="Q398" s="20"/>
      <c r="R398" s="20"/>
      <c r="S398" s="20"/>
      <c r="T398" s="20"/>
      <c r="U398" s="20"/>
      <c r="V398" s="20"/>
      <c r="W398" s="20"/>
      <c r="X398" s="20"/>
      <c r="Y398" s="20"/>
      <c r="Z398" s="20"/>
      <c r="AA398" s="20"/>
    </row>
    <row r="399" spans="1:27" ht="87" x14ac:dyDescent="0.25">
      <c r="A399" s="16"/>
      <c r="B399" s="20" t="b">
        <f ca="1">IFERROR(__xludf.DUMMYFUNCTION("if(D399=iferror(filter('Character Sheet'!D$13:D3002,'Character Sheet'!D$13:D3002=D399),""""),True,False)"),FALSE)</f>
        <v>0</v>
      </c>
      <c r="C399" s="20">
        <v>600</v>
      </c>
      <c r="D399" s="2" t="s">
        <v>975</v>
      </c>
      <c r="E399" s="2" t="s">
        <v>325</v>
      </c>
      <c r="F399" s="20" t="s">
        <v>54</v>
      </c>
      <c r="G399" s="2" t="s">
        <v>976</v>
      </c>
      <c r="H399" s="16"/>
      <c r="I399" s="20"/>
      <c r="J399" s="20"/>
      <c r="K399" s="20"/>
      <c r="L399" s="20"/>
      <c r="M399" s="20"/>
      <c r="N399" s="20"/>
      <c r="O399" s="20"/>
      <c r="P399" s="20"/>
      <c r="Q399" s="20"/>
      <c r="R399" s="20"/>
      <c r="S399" s="20"/>
      <c r="T399" s="20"/>
      <c r="U399" s="20"/>
      <c r="V399" s="20"/>
      <c r="W399" s="20"/>
      <c r="X399" s="20"/>
      <c r="Y399" s="20"/>
      <c r="Z399" s="20"/>
      <c r="AA399" s="20"/>
    </row>
    <row r="400" spans="1:27" ht="243.6" x14ac:dyDescent="0.25">
      <c r="A400" s="16"/>
      <c r="B400" s="20" t="b">
        <f ca="1">IFERROR(__xludf.DUMMYFUNCTION("if(D400=iferror(filter('Character Sheet'!D$13:D3002,'Character Sheet'!D$13:D3002=D400),""""),True,False)"),FALSE)</f>
        <v>0</v>
      </c>
      <c r="C400" s="20">
        <v>600</v>
      </c>
      <c r="D400" s="2" t="s">
        <v>977</v>
      </c>
      <c r="E400" s="2" t="s">
        <v>381</v>
      </c>
      <c r="F400" s="20" t="s">
        <v>54</v>
      </c>
      <c r="G400" s="2" t="s">
        <v>978</v>
      </c>
      <c r="H400" s="16"/>
      <c r="I400" s="20"/>
      <c r="J400" s="20"/>
      <c r="K400" s="20"/>
      <c r="L400" s="20"/>
      <c r="M400" s="20"/>
      <c r="N400" s="20"/>
      <c r="O400" s="20"/>
      <c r="P400" s="20"/>
      <c r="Q400" s="20"/>
      <c r="R400" s="20"/>
      <c r="S400" s="20"/>
      <c r="T400" s="20"/>
      <c r="U400" s="20"/>
      <c r="V400" s="20"/>
      <c r="W400" s="20"/>
      <c r="X400" s="20"/>
      <c r="Y400" s="20"/>
      <c r="Z400" s="20"/>
      <c r="AA400" s="20"/>
    </row>
    <row r="401" spans="1:27" ht="208.8" x14ac:dyDescent="0.25">
      <c r="A401" s="16"/>
      <c r="B401" s="20" t="b">
        <f ca="1">IFERROR(__xludf.DUMMYFUNCTION("if(D401=iferror(filter('Character Sheet'!D$13:D3002,'Character Sheet'!D$13:D3002=D401),""""),True,False)"),FALSE)</f>
        <v>0</v>
      </c>
      <c r="C401" s="20">
        <v>600</v>
      </c>
      <c r="D401" s="2" t="s">
        <v>979</v>
      </c>
      <c r="E401" s="2" t="s">
        <v>124</v>
      </c>
      <c r="F401" s="20" t="s">
        <v>54</v>
      </c>
      <c r="G401" s="2" t="s">
        <v>980</v>
      </c>
      <c r="H401" s="16"/>
      <c r="I401" s="20"/>
      <c r="J401" s="20"/>
      <c r="K401" s="20"/>
      <c r="L401" s="20"/>
      <c r="M401" s="20"/>
      <c r="N401" s="20"/>
      <c r="O401" s="20"/>
      <c r="P401" s="20"/>
      <c r="Q401" s="20"/>
      <c r="R401" s="20"/>
      <c r="S401" s="20"/>
      <c r="T401" s="20"/>
      <c r="U401" s="20"/>
      <c r="V401" s="20"/>
      <c r="W401" s="20"/>
      <c r="X401" s="20"/>
      <c r="Y401" s="20"/>
      <c r="Z401" s="20"/>
      <c r="AA401" s="20"/>
    </row>
    <row r="402" spans="1:27" ht="208.8" x14ac:dyDescent="0.25">
      <c r="A402" s="16"/>
      <c r="B402" s="20" t="b">
        <f ca="1">IFERROR(__xludf.DUMMYFUNCTION("if(D402=iferror(filter('Character Sheet'!D$13:D3002,'Character Sheet'!D$13:D3002=D402),""""),True,False)"),FALSE)</f>
        <v>0</v>
      </c>
      <c r="C402" s="20">
        <v>600</v>
      </c>
      <c r="D402" s="2" t="s">
        <v>981</v>
      </c>
      <c r="E402" s="2" t="s">
        <v>306</v>
      </c>
      <c r="F402" s="20" t="s">
        <v>54</v>
      </c>
      <c r="G402" s="2" t="s">
        <v>982</v>
      </c>
      <c r="H402" s="16"/>
      <c r="I402" s="20"/>
      <c r="J402" s="20"/>
      <c r="K402" s="20"/>
      <c r="L402" s="20"/>
      <c r="M402" s="20"/>
      <c r="N402" s="20"/>
      <c r="O402" s="20"/>
      <c r="P402" s="20"/>
      <c r="Q402" s="20"/>
      <c r="R402" s="20"/>
      <c r="S402" s="20"/>
      <c r="T402" s="20"/>
      <c r="U402" s="20"/>
      <c r="V402" s="20"/>
      <c r="W402" s="20"/>
      <c r="X402" s="20"/>
      <c r="Y402" s="20"/>
      <c r="Z402" s="20"/>
      <c r="AA402" s="20"/>
    </row>
    <row r="403" spans="1:27" ht="261" x14ac:dyDescent="0.25">
      <c r="A403" s="16"/>
      <c r="B403" s="20" t="b">
        <f ca="1">IFERROR(__xludf.DUMMYFUNCTION("if(D403=iferror(filter('Character Sheet'!D$13:D3002,'Character Sheet'!D$13:D3002=D403),""""),True,False)"),FALSE)</f>
        <v>0</v>
      </c>
      <c r="C403" s="20">
        <v>600</v>
      </c>
      <c r="D403" s="2" t="s">
        <v>983</v>
      </c>
      <c r="E403" s="2" t="s">
        <v>521</v>
      </c>
      <c r="F403" s="20" t="s">
        <v>54</v>
      </c>
      <c r="G403" s="2" t="s">
        <v>984</v>
      </c>
      <c r="H403" s="16"/>
      <c r="I403" s="20"/>
      <c r="J403" s="20"/>
      <c r="K403" s="20"/>
      <c r="L403" s="20"/>
      <c r="M403" s="20"/>
      <c r="N403" s="20"/>
      <c r="O403" s="20"/>
      <c r="P403" s="20"/>
      <c r="Q403" s="20"/>
      <c r="R403" s="20"/>
      <c r="S403" s="20"/>
      <c r="T403" s="20"/>
      <c r="U403" s="20"/>
      <c r="V403" s="20"/>
      <c r="W403" s="20"/>
      <c r="X403" s="20"/>
      <c r="Y403" s="20"/>
      <c r="Z403" s="20"/>
      <c r="AA403" s="20"/>
    </row>
    <row r="404" spans="1:27" ht="330.6" x14ac:dyDescent="0.25">
      <c r="A404" s="16"/>
      <c r="B404" s="20" t="b">
        <f ca="1">IFERROR(__xludf.DUMMYFUNCTION("if(D404=iferror(filter('Character Sheet'!D$13:D3002,'Character Sheet'!D$13:D3002=D404),""""),True,False)"),FALSE)</f>
        <v>0</v>
      </c>
      <c r="C404" s="20">
        <v>600</v>
      </c>
      <c r="D404" s="2" t="s">
        <v>985</v>
      </c>
      <c r="E404" s="2" t="s">
        <v>119</v>
      </c>
      <c r="F404" s="20" t="s">
        <v>54</v>
      </c>
      <c r="G404" s="2" t="s">
        <v>986</v>
      </c>
      <c r="H404" s="16"/>
      <c r="I404" s="20"/>
      <c r="J404" s="20"/>
      <c r="K404" s="20"/>
      <c r="L404" s="20"/>
      <c r="M404" s="20"/>
      <c r="N404" s="20"/>
      <c r="O404" s="20"/>
      <c r="P404" s="20"/>
      <c r="Q404" s="20"/>
      <c r="R404" s="20"/>
      <c r="S404" s="20"/>
      <c r="T404" s="20"/>
      <c r="U404" s="20"/>
      <c r="V404" s="20"/>
      <c r="W404" s="20"/>
      <c r="X404" s="20"/>
      <c r="Y404" s="20"/>
      <c r="Z404" s="20"/>
      <c r="AA404" s="20"/>
    </row>
    <row r="405" spans="1:27" ht="243.6" x14ac:dyDescent="0.25">
      <c r="A405" s="16"/>
      <c r="B405" s="20" t="b">
        <f ca="1">IFERROR(__xludf.DUMMYFUNCTION("if(D405=iferror(filter('Character Sheet'!D$13:D3002,'Character Sheet'!D$13:D3002=D405),""""),True,False)"),FALSE)</f>
        <v>0</v>
      </c>
      <c r="C405" s="20">
        <v>600</v>
      </c>
      <c r="D405" s="2" t="s">
        <v>987</v>
      </c>
      <c r="E405" s="2" t="s">
        <v>416</v>
      </c>
      <c r="F405" s="20" t="s">
        <v>54</v>
      </c>
      <c r="G405" s="2" t="s">
        <v>988</v>
      </c>
      <c r="H405" s="16"/>
      <c r="I405" s="20"/>
      <c r="J405" s="20"/>
      <c r="K405" s="20"/>
      <c r="L405" s="20"/>
      <c r="M405" s="20"/>
      <c r="N405" s="20"/>
      <c r="O405" s="20"/>
      <c r="P405" s="20"/>
      <c r="Q405" s="20"/>
      <c r="R405" s="20"/>
      <c r="S405" s="20"/>
      <c r="T405" s="20"/>
      <c r="U405" s="20"/>
      <c r="V405" s="20"/>
      <c r="W405" s="20"/>
      <c r="X405" s="20"/>
      <c r="Y405" s="20"/>
      <c r="Z405" s="20"/>
      <c r="AA405" s="20"/>
    </row>
    <row r="406" spans="1:27" ht="208.8" x14ac:dyDescent="0.25">
      <c r="A406" s="16"/>
      <c r="B406" s="20" t="b">
        <f ca="1">IFERROR(__xludf.DUMMYFUNCTION("if(D406=iferror(filter('Character Sheet'!D$13:D3002,'Character Sheet'!D$13:D3002=D406),""""),True,False)"),FALSE)</f>
        <v>0</v>
      </c>
      <c r="C406" s="20">
        <v>600</v>
      </c>
      <c r="D406" s="2" t="s">
        <v>989</v>
      </c>
      <c r="E406" s="2" t="s">
        <v>381</v>
      </c>
      <c r="F406" s="20" t="s">
        <v>54</v>
      </c>
      <c r="G406" s="2" t="s">
        <v>990</v>
      </c>
      <c r="H406" s="16"/>
      <c r="I406" s="20"/>
      <c r="J406" s="20"/>
      <c r="K406" s="20"/>
      <c r="L406" s="20"/>
      <c r="M406" s="20"/>
      <c r="N406" s="20"/>
      <c r="O406" s="20"/>
      <c r="P406" s="20"/>
      <c r="Q406" s="20"/>
      <c r="R406" s="20"/>
      <c r="S406" s="20"/>
      <c r="T406" s="20"/>
      <c r="U406" s="20"/>
      <c r="V406" s="20"/>
      <c r="W406" s="20"/>
      <c r="X406" s="20"/>
      <c r="Y406" s="20"/>
      <c r="Z406" s="20"/>
      <c r="AA406" s="20"/>
    </row>
    <row r="407" spans="1:27" ht="191.4" x14ac:dyDescent="0.25">
      <c r="A407" s="16"/>
      <c r="B407" s="20" t="b">
        <f ca="1">IFERROR(__xludf.DUMMYFUNCTION("if(D407=iferror(filter('Character Sheet'!D$13:D3002,'Character Sheet'!D$13:D3002=D407),""""),True,False)"),FALSE)</f>
        <v>0</v>
      </c>
      <c r="C407" s="20">
        <v>600</v>
      </c>
      <c r="D407" s="2" t="s">
        <v>991</v>
      </c>
      <c r="E407" s="2" t="s">
        <v>662</v>
      </c>
      <c r="F407" s="20" t="s">
        <v>54</v>
      </c>
      <c r="G407" s="2" t="s">
        <v>992</v>
      </c>
      <c r="H407" s="16"/>
      <c r="I407" s="20"/>
      <c r="J407" s="20"/>
      <c r="K407" s="20"/>
      <c r="L407" s="20"/>
      <c r="M407" s="20"/>
      <c r="N407" s="20"/>
      <c r="O407" s="20"/>
      <c r="P407" s="20"/>
      <c r="Q407" s="20"/>
      <c r="R407" s="20"/>
      <c r="S407" s="20"/>
      <c r="T407" s="20"/>
      <c r="U407" s="20"/>
      <c r="V407" s="20"/>
      <c r="W407" s="20"/>
      <c r="X407" s="20"/>
      <c r="Y407" s="20"/>
      <c r="Z407" s="20"/>
      <c r="AA407" s="20"/>
    </row>
    <row r="408" spans="1:27" ht="243.6" x14ac:dyDescent="0.25">
      <c r="A408" s="16"/>
      <c r="B408" s="20" t="b">
        <f ca="1">IFERROR(__xludf.DUMMYFUNCTION("if(D408=iferror(filter('Character Sheet'!D$13:D3002,'Character Sheet'!D$13:D3002=D408),""""),True,False)"),FALSE)</f>
        <v>0</v>
      </c>
      <c r="C408" s="20">
        <v>600</v>
      </c>
      <c r="D408" s="2" t="s">
        <v>993</v>
      </c>
      <c r="E408" s="2" t="s">
        <v>815</v>
      </c>
      <c r="F408" s="20" t="s">
        <v>54</v>
      </c>
      <c r="G408" s="2" t="s">
        <v>994</v>
      </c>
      <c r="H408" s="16"/>
      <c r="I408" s="20"/>
      <c r="J408" s="20"/>
      <c r="K408" s="20"/>
      <c r="L408" s="20"/>
      <c r="M408" s="20"/>
      <c r="N408" s="20"/>
      <c r="O408" s="20"/>
      <c r="P408" s="20"/>
      <c r="Q408" s="20"/>
      <c r="R408" s="20"/>
      <c r="S408" s="20"/>
      <c r="T408" s="20"/>
      <c r="U408" s="20"/>
      <c r="V408" s="20"/>
      <c r="W408" s="20"/>
      <c r="X408" s="20"/>
      <c r="Y408" s="20"/>
      <c r="Z408" s="20"/>
      <c r="AA408" s="20"/>
    </row>
    <row r="409" spans="1:27" ht="174" x14ac:dyDescent="0.25">
      <c r="A409" s="16"/>
      <c r="B409" s="20" t="b">
        <f ca="1">IFERROR(__xludf.DUMMYFUNCTION("if(D409=iferror(filter('Character Sheet'!D$13:D3002,'Character Sheet'!D$13:D3002=D409),""""),True,False)"),FALSE)</f>
        <v>0</v>
      </c>
      <c r="C409" s="20">
        <v>600</v>
      </c>
      <c r="D409" s="2" t="s">
        <v>995</v>
      </c>
      <c r="E409" s="2" t="s">
        <v>996</v>
      </c>
      <c r="F409" s="20" t="s">
        <v>54</v>
      </c>
      <c r="G409" s="2" t="s">
        <v>997</v>
      </c>
      <c r="H409" s="16"/>
      <c r="I409" s="20"/>
      <c r="J409" s="20"/>
      <c r="K409" s="20"/>
      <c r="L409" s="20"/>
      <c r="M409" s="20"/>
      <c r="N409" s="20"/>
      <c r="O409" s="20"/>
      <c r="P409" s="20"/>
      <c r="Q409" s="20"/>
      <c r="R409" s="20"/>
      <c r="S409" s="20"/>
      <c r="T409" s="20"/>
      <c r="U409" s="20"/>
      <c r="V409" s="20"/>
      <c r="W409" s="20"/>
      <c r="X409" s="20"/>
      <c r="Y409" s="20"/>
      <c r="Z409" s="20"/>
      <c r="AA409" s="20"/>
    </row>
    <row r="410" spans="1:27" ht="139.19999999999999" x14ac:dyDescent="0.25">
      <c r="A410" s="16"/>
      <c r="B410" s="20" t="b">
        <f ca="1">IFERROR(__xludf.DUMMYFUNCTION("if(D410=iferror(filter('Character Sheet'!D$13:D3002,'Character Sheet'!D$13:D3002=D410),""""),True,False)"),FALSE)</f>
        <v>0</v>
      </c>
      <c r="C410" s="20">
        <v>600</v>
      </c>
      <c r="D410" s="2" t="s">
        <v>998</v>
      </c>
      <c r="E410" s="2" t="s">
        <v>303</v>
      </c>
      <c r="F410" s="20" t="s">
        <v>54</v>
      </c>
      <c r="G410" s="2" t="s">
        <v>999</v>
      </c>
      <c r="H410" s="16"/>
      <c r="I410" s="20"/>
      <c r="J410" s="20"/>
      <c r="K410" s="20"/>
      <c r="L410" s="20"/>
      <c r="M410" s="20"/>
      <c r="N410" s="20"/>
      <c r="O410" s="20"/>
      <c r="P410" s="20"/>
      <c r="Q410" s="20"/>
      <c r="R410" s="20"/>
      <c r="S410" s="20"/>
      <c r="T410" s="20"/>
      <c r="U410" s="20"/>
      <c r="V410" s="20"/>
      <c r="W410" s="20"/>
      <c r="X410" s="20"/>
      <c r="Y410" s="20"/>
      <c r="Z410" s="20"/>
      <c r="AA410" s="20"/>
    </row>
    <row r="411" spans="1:27" ht="121.8" x14ac:dyDescent="0.25">
      <c r="A411" s="16"/>
      <c r="B411" s="20" t="b">
        <f ca="1">IFERROR(__xludf.DUMMYFUNCTION("if(D411=iferror(filter('Character Sheet'!D$13:D3002,'Character Sheet'!D$13:D3002=D411),""""),True,False)"),FALSE)</f>
        <v>0</v>
      </c>
      <c r="C411" s="20">
        <v>600</v>
      </c>
      <c r="D411" s="2" t="s">
        <v>1000</v>
      </c>
      <c r="E411" s="2" t="s">
        <v>825</v>
      </c>
      <c r="F411" s="20" t="s">
        <v>54</v>
      </c>
      <c r="G411" s="2" t="s">
        <v>1001</v>
      </c>
      <c r="H411" s="16"/>
      <c r="I411" s="20"/>
      <c r="J411" s="20"/>
      <c r="K411" s="20"/>
      <c r="L411" s="20"/>
      <c r="M411" s="20"/>
      <c r="N411" s="20"/>
      <c r="O411" s="20"/>
      <c r="P411" s="20"/>
      <c r="Q411" s="20"/>
      <c r="R411" s="20"/>
      <c r="S411" s="20"/>
      <c r="T411" s="20"/>
      <c r="U411" s="20"/>
      <c r="V411" s="20"/>
      <c r="W411" s="20"/>
      <c r="X411" s="20"/>
      <c r="Y411" s="20"/>
      <c r="Z411" s="20"/>
      <c r="AA411" s="20"/>
    </row>
    <row r="412" spans="1:27" ht="121.8" x14ac:dyDescent="0.25">
      <c r="A412" s="16"/>
      <c r="B412" s="20" t="b">
        <f ca="1">IFERROR(__xludf.DUMMYFUNCTION("if(D412=iferror(filter('Character Sheet'!D$13:D3002,'Character Sheet'!D$13:D3002=D412),""""),True,False)"),FALSE)</f>
        <v>0</v>
      </c>
      <c r="C412" s="20">
        <v>600</v>
      </c>
      <c r="D412" s="2" t="s">
        <v>1002</v>
      </c>
      <c r="E412" s="2" t="s">
        <v>845</v>
      </c>
      <c r="F412" s="20" t="s">
        <v>54</v>
      </c>
      <c r="G412" s="2" t="s">
        <v>1003</v>
      </c>
      <c r="H412" s="16"/>
      <c r="I412" s="20"/>
      <c r="J412" s="20"/>
      <c r="K412" s="20"/>
      <c r="L412" s="20"/>
      <c r="M412" s="20"/>
      <c r="N412" s="20"/>
      <c r="O412" s="20"/>
      <c r="P412" s="20"/>
      <c r="Q412" s="20"/>
      <c r="R412" s="20"/>
      <c r="S412" s="20"/>
      <c r="T412" s="20"/>
      <c r="U412" s="20"/>
      <c r="V412" s="20"/>
      <c r="W412" s="20"/>
      <c r="X412" s="20"/>
      <c r="Y412" s="20"/>
      <c r="Z412" s="20"/>
      <c r="AA412" s="20"/>
    </row>
    <row r="413" spans="1:27" ht="174" x14ac:dyDescent="0.25">
      <c r="A413" s="16"/>
      <c r="B413" s="20" t="b">
        <f ca="1">IFERROR(__xludf.DUMMYFUNCTION("if(D413=iferror(filter('Character Sheet'!D$13:D3002,'Character Sheet'!D$13:D3002=D413),""""),True,False)"),FALSE)</f>
        <v>0</v>
      </c>
      <c r="C413" s="20">
        <v>600</v>
      </c>
      <c r="D413" s="2" t="s">
        <v>1004</v>
      </c>
      <c r="E413" s="2" t="s">
        <v>662</v>
      </c>
      <c r="F413" s="20" t="s">
        <v>54</v>
      </c>
      <c r="G413" s="2" t="s">
        <v>1005</v>
      </c>
      <c r="H413" s="16"/>
      <c r="I413" s="20"/>
      <c r="J413" s="20"/>
      <c r="K413" s="20"/>
      <c r="L413" s="20"/>
      <c r="M413" s="20"/>
      <c r="N413" s="20"/>
      <c r="O413" s="20"/>
      <c r="P413" s="20"/>
      <c r="Q413" s="20"/>
      <c r="R413" s="20"/>
      <c r="S413" s="20"/>
      <c r="T413" s="20"/>
      <c r="U413" s="20"/>
      <c r="V413" s="20"/>
      <c r="W413" s="20"/>
      <c r="X413" s="20"/>
      <c r="Y413" s="20"/>
      <c r="Z413" s="20"/>
      <c r="AA413" s="20"/>
    </row>
    <row r="414" spans="1:27" ht="156.6" x14ac:dyDescent="0.25">
      <c r="A414" s="16"/>
      <c r="B414" s="20" t="b">
        <f ca="1">IFERROR(__xludf.DUMMYFUNCTION("if(D414=iferror(filter('Character Sheet'!D$13:D3002,'Character Sheet'!D$13:D3002=D414),""""),True,False)"),FALSE)</f>
        <v>0</v>
      </c>
      <c r="C414" s="20">
        <v>600</v>
      </c>
      <c r="D414" s="2" t="s">
        <v>1006</v>
      </c>
      <c r="E414" s="2" t="s">
        <v>845</v>
      </c>
      <c r="F414" s="20" t="s">
        <v>54</v>
      </c>
      <c r="G414" s="2" t="s">
        <v>1007</v>
      </c>
      <c r="H414" s="16"/>
      <c r="I414" s="20"/>
      <c r="J414" s="20"/>
      <c r="K414" s="20"/>
      <c r="L414" s="20"/>
      <c r="M414" s="20"/>
      <c r="N414" s="20"/>
      <c r="O414" s="20"/>
      <c r="P414" s="20"/>
      <c r="Q414" s="20"/>
      <c r="R414" s="20"/>
      <c r="S414" s="20"/>
      <c r="T414" s="20"/>
      <c r="U414" s="20"/>
      <c r="V414" s="20"/>
      <c r="W414" s="20"/>
      <c r="X414" s="20"/>
      <c r="Y414" s="20"/>
      <c r="Z414" s="20"/>
      <c r="AA414" s="20"/>
    </row>
    <row r="415" spans="1:27" ht="174" x14ac:dyDescent="0.25">
      <c r="A415" s="16"/>
      <c r="B415" s="20" t="b">
        <f ca="1">IFERROR(__xludf.DUMMYFUNCTION("if(D415=iferror(filter('Character Sheet'!D$13:D3002,'Character Sheet'!D$13:D3002=D415),""""),True,False)"),FALSE)</f>
        <v>0</v>
      </c>
      <c r="C415" s="20">
        <v>600</v>
      </c>
      <c r="D415" s="2" t="s">
        <v>1008</v>
      </c>
      <c r="E415" s="2" t="s">
        <v>347</v>
      </c>
      <c r="F415" s="20" t="s">
        <v>54</v>
      </c>
      <c r="G415" s="2" t="s">
        <v>1009</v>
      </c>
      <c r="H415" s="16"/>
      <c r="I415" s="20"/>
      <c r="J415" s="20"/>
      <c r="K415" s="20"/>
      <c r="L415" s="20"/>
      <c r="M415" s="20"/>
      <c r="N415" s="20"/>
      <c r="O415" s="20"/>
      <c r="P415" s="20"/>
      <c r="Q415" s="20"/>
      <c r="R415" s="20"/>
      <c r="S415" s="20"/>
      <c r="T415" s="20"/>
      <c r="U415" s="20"/>
      <c r="V415" s="20"/>
      <c r="W415" s="20"/>
      <c r="X415" s="20"/>
      <c r="Y415" s="20"/>
      <c r="Z415" s="20"/>
      <c r="AA415" s="20"/>
    </row>
    <row r="416" spans="1:27" ht="174" x14ac:dyDescent="0.25">
      <c r="A416" s="16"/>
      <c r="B416" s="20" t="b">
        <f ca="1">IFERROR(__xludf.DUMMYFUNCTION("if(D416=iferror(filter('Character Sheet'!D$13:D3002,'Character Sheet'!D$13:D3002=D416),""""),True,False)"),FALSE)</f>
        <v>0</v>
      </c>
      <c r="C416" s="20">
        <v>600</v>
      </c>
      <c r="D416" s="2" t="s">
        <v>1010</v>
      </c>
      <c r="E416" s="2" t="s">
        <v>119</v>
      </c>
      <c r="F416" s="20" t="s">
        <v>54</v>
      </c>
      <c r="G416" s="2" t="s">
        <v>1011</v>
      </c>
      <c r="H416" s="16"/>
      <c r="I416" s="20"/>
      <c r="J416" s="20"/>
      <c r="K416" s="20"/>
      <c r="L416" s="20"/>
      <c r="M416" s="20"/>
      <c r="N416" s="20"/>
      <c r="O416" s="20"/>
      <c r="P416" s="20"/>
      <c r="Q416" s="20"/>
      <c r="R416" s="20"/>
      <c r="S416" s="20"/>
      <c r="T416" s="20"/>
      <c r="U416" s="20"/>
      <c r="V416" s="20"/>
      <c r="W416" s="20"/>
      <c r="X416" s="20"/>
      <c r="Y416" s="20"/>
      <c r="Z416" s="20"/>
      <c r="AA416" s="20"/>
    </row>
    <row r="417" spans="1:27" ht="87" x14ac:dyDescent="0.25">
      <c r="A417" s="16"/>
      <c r="B417" s="20" t="b">
        <f ca="1">IFERROR(__xludf.DUMMYFUNCTION("if(D417=iferror(filter('Character Sheet'!D$13:D3002,'Character Sheet'!D$13:D3002=D417),""""),True,False)"),FALSE)</f>
        <v>0</v>
      </c>
      <c r="C417" s="20">
        <v>700</v>
      </c>
      <c r="D417" s="2" t="s">
        <v>1012</v>
      </c>
      <c r="E417" s="2" t="s">
        <v>179</v>
      </c>
      <c r="F417" s="20" t="s">
        <v>54</v>
      </c>
      <c r="G417" s="2" t="s">
        <v>1013</v>
      </c>
      <c r="H417" s="16"/>
      <c r="I417" s="20"/>
      <c r="J417" s="20"/>
      <c r="K417" s="20"/>
      <c r="L417" s="20"/>
      <c r="M417" s="20"/>
      <c r="N417" s="20"/>
      <c r="O417" s="20"/>
      <c r="P417" s="20"/>
      <c r="Q417" s="20"/>
      <c r="R417" s="20"/>
      <c r="S417" s="20"/>
      <c r="T417" s="20"/>
      <c r="U417" s="20"/>
      <c r="V417" s="20"/>
      <c r="W417" s="20"/>
      <c r="X417" s="20"/>
      <c r="Y417" s="20"/>
      <c r="Z417" s="20"/>
      <c r="AA417" s="20"/>
    </row>
    <row r="418" spans="1:27" ht="208.8" x14ac:dyDescent="0.25">
      <c r="A418" s="16"/>
      <c r="B418" s="20" t="b">
        <f ca="1">IFERROR(__xludf.DUMMYFUNCTION("if(D418=iferror(filter('Character Sheet'!D$13:D3002,'Character Sheet'!D$13:D3002=D418),""""),True,False)"),FALSE)</f>
        <v>0</v>
      </c>
      <c r="C418" s="20">
        <v>700</v>
      </c>
      <c r="D418" s="2" t="s">
        <v>1014</v>
      </c>
      <c r="E418" s="2" t="s">
        <v>1015</v>
      </c>
      <c r="F418" s="20" t="s">
        <v>54</v>
      </c>
      <c r="G418" s="2" t="s">
        <v>1016</v>
      </c>
      <c r="H418" s="16"/>
      <c r="I418" s="20"/>
      <c r="J418" s="20"/>
      <c r="K418" s="20"/>
      <c r="L418" s="20"/>
      <c r="M418" s="20"/>
      <c r="N418" s="20"/>
      <c r="O418" s="20"/>
      <c r="P418" s="20"/>
      <c r="Q418" s="20"/>
      <c r="R418" s="20"/>
      <c r="S418" s="20"/>
      <c r="T418" s="20"/>
      <c r="U418" s="20"/>
      <c r="V418" s="20"/>
      <c r="W418" s="20"/>
      <c r="X418" s="20"/>
      <c r="Y418" s="20"/>
      <c r="Z418" s="20"/>
      <c r="AA418" s="20"/>
    </row>
    <row r="419" spans="1:27" ht="191.4" x14ac:dyDescent="0.25">
      <c r="A419" s="16"/>
      <c r="B419" s="20" t="b">
        <f ca="1">IFERROR(__xludf.DUMMYFUNCTION("if(D419=iferror(filter('Character Sheet'!D$13:D3002,'Character Sheet'!D$13:D3002=D419),""""),True,False)"),FALSE)</f>
        <v>0</v>
      </c>
      <c r="C419" s="20">
        <v>700</v>
      </c>
      <c r="D419" s="2" t="s">
        <v>1017</v>
      </c>
      <c r="E419" s="2" t="s">
        <v>124</v>
      </c>
      <c r="F419" s="20" t="s">
        <v>54</v>
      </c>
      <c r="G419" s="2" t="s">
        <v>1018</v>
      </c>
      <c r="H419" s="16"/>
      <c r="I419" s="20"/>
      <c r="J419" s="20"/>
      <c r="K419" s="20"/>
      <c r="L419" s="20"/>
      <c r="M419" s="20"/>
      <c r="N419" s="20"/>
      <c r="O419" s="20"/>
      <c r="P419" s="20"/>
      <c r="Q419" s="20"/>
      <c r="R419" s="20"/>
      <c r="S419" s="20"/>
      <c r="T419" s="20"/>
      <c r="U419" s="20"/>
      <c r="V419" s="20"/>
      <c r="W419" s="20"/>
      <c r="X419" s="20"/>
      <c r="Y419" s="20"/>
      <c r="Z419" s="20"/>
      <c r="AA419" s="20"/>
    </row>
    <row r="420" spans="1:27" ht="278.39999999999998" x14ac:dyDescent="0.25">
      <c r="A420" s="16"/>
      <c r="B420" s="20" t="b">
        <f ca="1">IFERROR(__xludf.DUMMYFUNCTION("if(D420=iferror(filter('Character Sheet'!D$13:D3002,'Character Sheet'!D$13:D3002=D420),""""),True,False)"),FALSE)</f>
        <v>0</v>
      </c>
      <c r="C420" s="20">
        <v>700</v>
      </c>
      <c r="D420" s="2" t="s">
        <v>1019</v>
      </c>
      <c r="E420" s="2" t="s">
        <v>268</v>
      </c>
      <c r="F420" s="20" t="s">
        <v>54</v>
      </c>
      <c r="G420" s="2" t="s">
        <v>1020</v>
      </c>
      <c r="H420" s="16"/>
      <c r="I420" s="20"/>
      <c r="J420" s="20"/>
      <c r="K420" s="20"/>
      <c r="L420" s="20"/>
      <c r="M420" s="20"/>
      <c r="N420" s="20"/>
      <c r="O420" s="20"/>
      <c r="P420" s="20"/>
      <c r="Q420" s="20"/>
      <c r="R420" s="20"/>
      <c r="S420" s="20"/>
      <c r="T420" s="20"/>
      <c r="U420" s="20"/>
      <c r="V420" s="20"/>
      <c r="W420" s="20"/>
      <c r="X420" s="20"/>
      <c r="Y420" s="20"/>
      <c r="Z420" s="20"/>
      <c r="AA420" s="20"/>
    </row>
    <row r="421" spans="1:27" ht="174" x14ac:dyDescent="0.25">
      <c r="A421" s="16"/>
      <c r="B421" s="20" t="b">
        <f ca="1">IFERROR(__xludf.DUMMYFUNCTION("if(D421=iferror(filter('Character Sheet'!D$13:D3002,'Character Sheet'!D$13:D3002=D421),""""),True,False)"),FALSE)</f>
        <v>0</v>
      </c>
      <c r="C421" s="20">
        <v>700</v>
      </c>
      <c r="D421" s="2" t="s">
        <v>1021</v>
      </c>
      <c r="E421" s="2" t="s">
        <v>168</v>
      </c>
      <c r="F421" s="20" t="s">
        <v>54</v>
      </c>
      <c r="G421" s="2" t="s">
        <v>1022</v>
      </c>
      <c r="H421" s="16"/>
      <c r="I421" s="20"/>
      <c r="J421" s="20"/>
      <c r="K421" s="20"/>
      <c r="L421" s="20"/>
      <c r="M421" s="20"/>
      <c r="N421" s="20"/>
      <c r="O421" s="20"/>
      <c r="P421" s="20"/>
      <c r="Q421" s="20"/>
      <c r="R421" s="20"/>
      <c r="S421" s="20"/>
      <c r="T421" s="20"/>
      <c r="U421" s="20"/>
      <c r="V421" s="20"/>
      <c r="W421" s="20"/>
      <c r="X421" s="20"/>
      <c r="Y421" s="20"/>
      <c r="Z421" s="20"/>
      <c r="AA421" s="20"/>
    </row>
    <row r="422" spans="1:27" ht="191.4" x14ac:dyDescent="0.25">
      <c r="A422" s="16"/>
      <c r="B422" s="20" t="b">
        <f ca="1">IFERROR(__xludf.DUMMYFUNCTION("if(D422=iferror(filter('Character Sheet'!D$13:D3002,'Character Sheet'!D$13:D3002=D422),""""),True,False)"),FALSE)</f>
        <v>0</v>
      </c>
      <c r="C422" s="20">
        <v>700</v>
      </c>
      <c r="D422" s="2" t="s">
        <v>1023</v>
      </c>
      <c r="E422" s="2" t="s">
        <v>416</v>
      </c>
      <c r="F422" s="20" t="s">
        <v>54</v>
      </c>
      <c r="G422" s="2" t="s">
        <v>1024</v>
      </c>
      <c r="H422" s="16"/>
      <c r="I422" s="20"/>
      <c r="J422" s="20"/>
      <c r="K422" s="20"/>
      <c r="L422" s="20"/>
      <c r="M422" s="20"/>
      <c r="N422" s="20"/>
      <c r="O422" s="20"/>
      <c r="P422" s="20"/>
      <c r="Q422" s="20"/>
      <c r="R422" s="20"/>
      <c r="S422" s="20"/>
      <c r="T422" s="20"/>
      <c r="U422" s="20"/>
      <c r="V422" s="20"/>
      <c r="W422" s="20"/>
      <c r="X422" s="20"/>
      <c r="Y422" s="20"/>
      <c r="Z422" s="20"/>
      <c r="AA422" s="20"/>
    </row>
    <row r="423" spans="1:27" ht="156.6" x14ac:dyDescent="0.25">
      <c r="A423" s="16"/>
      <c r="B423" s="20" t="b">
        <f ca="1">IFERROR(__xludf.DUMMYFUNCTION("if(D423=iferror(filter('Character Sheet'!D$13:D3002,'Character Sheet'!D$13:D3002=D423),""""),True,False)"),FALSE)</f>
        <v>0</v>
      </c>
      <c r="C423" s="20">
        <v>700</v>
      </c>
      <c r="D423" s="2" t="s">
        <v>1025</v>
      </c>
      <c r="E423" s="2" t="s">
        <v>72</v>
      </c>
      <c r="F423" s="20" t="s">
        <v>54</v>
      </c>
      <c r="G423" s="2" t="s">
        <v>1026</v>
      </c>
      <c r="H423" s="16"/>
      <c r="I423" s="20"/>
      <c r="J423" s="20"/>
      <c r="K423" s="20"/>
      <c r="L423" s="20"/>
      <c r="M423" s="20"/>
      <c r="N423" s="20"/>
      <c r="O423" s="20"/>
      <c r="P423" s="20"/>
      <c r="Q423" s="20"/>
      <c r="R423" s="20"/>
      <c r="S423" s="20"/>
      <c r="T423" s="20"/>
      <c r="U423" s="20"/>
      <c r="V423" s="20"/>
      <c r="W423" s="20"/>
      <c r="X423" s="20"/>
      <c r="Y423" s="20"/>
      <c r="Z423" s="20"/>
      <c r="AA423" s="20"/>
    </row>
    <row r="424" spans="1:27" ht="409.6" x14ac:dyDescent="0.25">
      <c r="A424" s="16"/>
      <c r="B424" s="20" t="b">
        <f ca="1">IFERROR(__xludf.DUMMYFUNCTION("if(D424=iferror(filter('Character Sheet'!D$13:D3002,'Character Sheet'!D$13:D3002=D424),""""),True,False)"),FALSE)</f>
        <v>0</v>
      </c>
      <c r="C424" s="20">
        <v>800</v>
      </c>
      <c r="D424" s="2" t="s">
        <v>1027</v>
      </c>
      <c r="E424" s="2" t="s">
        <v>963</v>
      </c>
      <c r="F424" s="20" t="s">
        <v>54</v>
      </c>
      <c r="G424" s="2" t="s">
        <v>1028</v>
      </c>
      <c r="H424" s="16"/>
      <c r="I424" s="20"/>
      <c r="J424" s="20"/>
      <c r="K424" s="20"/>
      <c r="L424" s="20"/>
      <c r="M424" s="20"/>
      <c r="N424" s="20"/>
      <c r="O424" s="20"/>
      <c r="P424" s="20"/>
      <c r="Q424" s="20"/>
      <c r="R424" s="20"/>
      <c r="S424" s="20"/>
      <c r="T424" s="20"/>
      <c r="U424" s="20"/>
      <c r="V424" s="20"/>
      <c r="W424" s="20"/>
      <c r="X424" s="20"/>
      <c r="Y424" s="20"/>
      <c r="Z424" s="20"/>
      <c r="AA424" s="20"/>
    </row>
    <row r="425" spans="1:27" ht="52.2" x14ac:dyDescent="0.25">
      <c r="A425" s="16"/>
      <c r="B425" s="20" t="b">
        <f ca="1">IFERROR(__xludf.DUMMYFUNCTION("if(D425=iferror(filter('Character Sheet'!D$13:D3002,'Character Sheet'!D$13:D3002=D425),""""),True,False)"),FALSE)</f>
        <v>0</v>
      </c>
      <c r="C425" s="20">
        <v>50</v>
      </c>
      <c r="D425" s="2" t="s">
        <v>1029</v>
      </c>
      <c r="E425" s="2" t="s">
        <v>592</v>
      </c>
      <c r="F425" s="20" t="s">
        <v>55</v>
      </c>
      <c r="G425" s="2" t="s">
        <v>1030</v>
      </c>
      <c r="H425" s="16"/>
      <c r="I425" s="20"/>
      <c r="J425" s="20"/>
      <c r="K425" s="20"/>
      <c r="L425" s="20"/>
      <c r="M425" s="20"/>
      <c r="N425" s="20"/>
      <c r="O425" s="20"/>
      <c r="P425" s="20"/>
      <c r="Q425" s="20"/>
      <c r="R425" s="20"/>
      <c r="S425" s="20"/>
      <c r="T425" s="20"/>
      <c r="U425" s="20"/>
      <c r="V425" s="20"/>
      <c r="W425" s="20"/>
      <c r="X425" s="20"/>
      <c r="Y425" s="20"/>
      <c r="Z425" s="20"/>
      <c r="AA425" s="20"/>
    </row>
    <row r="426" spans="1:27" ht="52.2" x14ac:dyDescent="0.25">
      <c r="A426" s="16"/>
      <c r="B426" s="20" t="b">
        <f ca="1">IFERROR(__xludf.DUMMYFUNCTION("if(D426=iferror(filter('Character Sheet'!D$13:D3002,'Character Sheet'!D$13:D3002=D426),""""),True,False)"),FALSE)</f>
        <v>0</v>
      </c>
      <c r="C426" s="20">
        <v>50</v>
      </c>
      <c r="D426" s="2" t="s">
        <v>1031</v>
      </c>
      <c r="E426" s="2" t="s">
        <v>84</v>
      </c>
      <c r="F426" s="20" t="s">
        <v>55</v>
      </c>
      <c r="G426" s="2" t="s">
        <v>1032</v>
      </c>
      <c r="H426" s="16"/>
      <c r="I426" s="20"/>
      <c r="J426" s="20"/>
      <c r="K426" s="20"/>
      <c r="L426" s="20"/>
      <c r="M426" s="20"/>
      <c r="N426" s="20"/>
      <c r="O426" s="20"/>
      <c r="P426" s="20"/>
      <c r="Q426" s="20"/>
      <c r="R426" s="20"/>
      <c r="S426" s="20"/>
      <c r="T426" s="20"/>
      <c r="U426" s="20"/>
      <c r="V426" s="20"/>
      <c r="W426" s="20"/>
      <c r="X426" s="20"/>
      <c r="Y426" s="20"/>
      <c r="Z426" s="20"/>
      <c r="AA426" s="20"/>
    </row>
    <row r="427" spans="1:27" ht="69.599999999999994" x14ac:dyDescent="0.25">
      <c r="A427" s="16"/>
      <c r="B427" s="20" t="b">
        <f ca="1">IFERROR(__xludf.DUMMYFUNCTION("if(D427=iferror(filter('Character Sheet'!D$13:D3002,'Character Sheet'!D$13:D3002=D427),""""),True,False)"),FALSE)</f>
        <v>0</v>
      </c>
      <c r="C427" s="20">
        <v>50</v>
      </c>
      <c r="D427" s="2" t="s">
        <v>1033</v>
      </c>
      <c r="E427" s="2" t="s">
        <v>84</v>
      </c>
      <c r="F427" s="20" t="s">
        <v>55</v>
      </c>
      <c r="G427" s="2" t="s">
        <v>1034</v>
      </c>
      <c r="H427" s="16"/>
      <c r="I427" s="20"/>
      <c r="J427" s="20"/>
      <c r="K427" s="20"/>
      <c r="L427" s="20"/>
      <c r="M427" s="20"/>
      <c r="N427" s="20"/>
      <c r="O427" s="20"/>
      <c r="P427" s="20"/>
      <c r="Q427" s="20"/>
      <c r="R427" s="20"/>
      <c r="S427" s="20"/>
      <c r="T427" s="20"/>
      <c r="U427" s="20"/>
      <c r="V427" s="20"/>
      <c r="W427" s="20"/>
      <c r="X427" s="20"/>
      <c r="Y427" s="20"/>
      <c r="Z427" s="20"/>
      <c r="AA427" s="20"/>
    </row>
    <row r="428" spans="1:27" ht="52.2" x14ac:dyDescent="0.25">
      <c r="A428" s="16"/>
      <c r="B428" s="20" t="b">
        <f ca="1">IFERROR(__xludf.DUMMYFUNCTION("if(D428=iferror(filter('Character Sheet'!D$13:D3002,'Character Sheet'!D$13:D3002=D428),""""),True,False)"),FALSE)</f>
        <v>0</v>
      </c>
      <c r="C428" s="20">
        <v>50</v>
      </c>
      <c r="D428" s="2" t="s">
        <v>1035</v>
      </c>
      <c r="E428" s="2" t="s">
        <v>592</v>
      </c>
      <c r="F428" s="20" t="s">
        <v>55</v>
      </c>
      <c r="G428" s="2" t="s">
        <v>1036</v>
      </c>
      <c r="H428" s="16"/>
      <c r="I428" s="20"/>
      <c r="J428" s="20"/>
      <c r="K428" s="20"/>
      <c r="L428" s="20"/>
      <c r="M428" s="20"/>
      <c r="N428" s="20"/>
      <c r="O428" s="20"/>
      <c r="P428" s="20"/>
      <c r="Q428" s="20"/>
      <c r="R428" s="20"/>
      <c r="S428" s="20"/>
      <c r="T428" s="20"/>
      <c r="U428" s="20"/>
      <c r="V428" s="20"/>
      <c r="W428" s="20"/>
      <c r="X428" s="20"/>
      <c r="Y428" s="20"/>
      <c r="Z428" s="20"/>
      <c r="AA428" s="20"/>
    </row>
    <row r="429" spans="1:27" ht="121.8" x14ac:dyDescent="0.25">
      <c r="A429" s="16"/>
      <c r="B429" s="20" t="b">
        <f ca="1">IFERROR(__xludf.DUMMYFUNCTION("if(D429=iferror(filter('Character Sheet'!D$13:D3002,'Character Sheet'!D$13:D3002=D429),""""),True,False)"),FALSE)</f>
        <v>0</v>
      </c>
      <c r="C429" s="20">
        <v>100</v>
      </c>
      <c r="D429" s="2" t="s">
        <v>1037</v>
      </c>
      <c r="E429" s="2" t="s">
        <v>322</v>
      </c>
      <c r="F429" s="20" t="s">
        <v>55</v>
      </c>
      <c r="G429" s="2" t="s">
        <v>1038</v>
      </c>
      <c r="H429" s="16"/>
      <c r="I429" s="20"/>
      <c r="J429" s="20"/>
      <c r="K429" s="20"/>
      <c r="L429" s="20"/>
      <c r="M429" s="20"/>
      <c r="N429" s="20"/>
      <c r="O429" s="20"/>
      <c r="P429" s="20"/>
      <c r="Q429" s="20"/>
      <c r="R429" s="20"/>
      <c r="S429" s="20"/>
      <c r="T429" s="20"/>
      <c r="U429" s="20"/>
      <c r="V429" s="20"/>
      <c r="W429" s="20"/>
      <c r="X429" s="20"/>
      <c r="Y429" s="20"/>
      <c r="Z429" s="20"/>
      <c r="AA429" s="20"/>
    </row>
    <row r="430" spans="1:27" ht="69.599999999999994" x14ac:dyDescent="0.25">
      <c r="A430" s="16"/>
      <c r="B430" s="20" t="b">
        <f ca="1">IFERROR(__xludf.DUMMYFUNCTION("if(D430=iferror(filter('Character Sheet'!D$13:D3002,'Character Sheet'!D$13:D3002=D430),""""),True,False)"),FALSE)</f>
        <v>0</v>
      </c>
      <c r="C430" s="20">
        <v>100</v>
      </c>
      <c r="D430" s="2" t="s">
        <v>1039</v>
      </c>
      <c r="E430" s="2" t="s">
        <v>358</v>
      </c>
      <c r="F430" s="20" t="s">
        <v>55</v>
      </c>
      <c r="G430" s="2" t="s">
        <v>1040</v>
      </c>
      <c r="H430" s="16"/>
      <c r="I430" s="20"/>
      <c r="J430" s="20"/>
      <c r="K430" s="20"/>
      <c r="L430" s="20"/>
      <c r="M430" s="20"/>
      <c r="N430" s="20"/>
      <c r="O430" s="20"/>
      <c r="P430" s="20"/>
      <c r="Q430" s="20"/>
      <c r="R430" s="20"/>
      <c r="S430" s="20"/>
      <c r="T430" s="20"/>
      <c r="U430" s="20"/>
      <c r="V430" s="20"/>
      <c r="W430" s="20"/>
      <c r="X430" s="20"/>
      <c r="Y430" s="20"/>
      <c r="Z430" s="20"/>
      <c r="AA430" s="20"/>
    </row>
    <row r="431" spans="1:27" ht="243.6" x14ac:dyDescent="0.25">
      <c r="A431" s="16"/>
      <c r="B431" s="20" t="b">
        <f ca="1">IFERROR(__xludf.DUMMYFUNCTION("if(D431=iferror(filter('Character Sheet'!D$13:D3002,'Character Sheet'!D$13:D3002=D431),""""),True,False)"),FALSE)</f>
        <v>0</v>
      </c>
      <c r="C431" s="20">
        <v>100</v>
      </c>
      <c r="D431" s="2" t="s">
        <v>1041</v>
      </c>
      <c r="E431" s="2" t="s">
        <v>230</v>
      </c>
      <c r="F431" s="20" t="s">
        <v>55</v>
      </c>
      <c r="G431" s="2" t="s">
        <v>1042</v>
      </c>
      <c r="H431" s="16"/>
      <c r="I431" s="20"/>
      <c r="J431" s="20"/>
      <c r="K431" s="20"/>
      <c r="L431" s="20"/>
      <c r="M431" s="20"/>
      <c r="N431" s="20"/>
      <c r="O431" s="20"/>
      <c r="P431" s="20"/>
      <c r="Q431" s="20"/>
      <c r="R431" s="20"/>
      <c r="S431" s="20"/>
      <c r="T431" s="20"/>
      <c r="U431" s="20"/>
      <c r="V431" s="20"/>
      <c r="W431" s="20"/>
      <c r="X431" s="20"/>
      <c r="Y431" s="20"/>
      <c r="Z431" s="20"/>
      <c r="AA431" s="20"/>
    </row>
    <row r="432" spans="1:27" ht="104.4" x14ac:dyDescent="0.25">
      <c r="A432" s="16"/>
      <c r="B432" s="20" t="b">
        <f ca="1">IFERROR(__xludf.DUMMYFUNCTION("if(D432=iferror(filter('Character Sheet'!D$13:D3002,'Character Sheet'!D$13:D3002=D432),""""),True,False)"),FALSE)</f>
        <v>0</v>
      </c>
      <c r="C432" s="20">
        <v>100</v>
      </c>
      <c r="D432" s="2" t="s">
        <v>1043</v>
      </c>
      <c r="E432" s="2" t="s">
        <v>347</v>
      </c>
      <c r="F432" s="20" t="s">
        <v>55</v>
      </c>
      <c r="G432" s="2" t="s">
        <v>1044</v>
      </c>
      <c r="H432" s="16"/>
      <c r="I432" s="20"/>
      <c r="J432" s="20"/>
      <c r="K432" s="20"/>
      <c r="L432" s="20"/>
      <c r="M432" s="20"/>
      <c r="N432" s="20"/>
      <c r="O432" s="20"/>
      <c r="P432" s="20"/>
      <c r="Q432" s="20"/>
      <c r="R432" s="20"/>
      <c r="S432" s="20"/>
      <c r="T432" s="20"/>
      <c r="U432" s="20"/>
      <c r="V432" s="20"/>
      <c r="W432" s="20"/>
      <c r="X432" s="20"/>
      <c r="Y432" s="20"/>
      <c r="Z432" s="20"/>
      <c r="AA432" s="20"/>
    </row>
    <row r="433" spans="1:27" ht="139.19999999999999" x14ac:dyDescent="0.25">
      <c r="A433" s="16"/>
      <c r="B433" s="20" t="b">
        <f ca="1">IFERROR(__xludf.DUMMYFUNCTION("if(D433=iferror(filter('Character Sheet'!D$13:D3002,'Character Sheet'!D$13:D3002=D433),""""),True,False)"),FALSE)</f>
        <v>0</v>
      </c>
      <c r="C433" s="20">
        <v>100</v>
      </c>
      <c r="D433" s="2" t="s">
        <v>1045</v>
      </c>
      <c r="E433" s="2" t="s">
        <v>211</v>
      </c>
      <c r="F433" s="20" t="s">
        <v>55</v>
      </c>
      <c r="G433" s="2" t="s">
        <v>1046</v>
      </c>
      <c r="H433" s="16"/>
      <c r="I433" s="20"/>
      <c r="J433" s="20"/>
      <c r="K433" s="20"/>
      <c r="L433" s="20"/>
      <c r="M433" s="20"/>
      <c r="N433" s="20"/>
      <c r="O433" s="20"/>
      <c r="P433" s="20"/>
      <c r="Q433" s="20"/>
      <c r="R433" s="20"/>
      <c r="S433" s="20"/>
      <c r="T433" s="20"/>
      <c r="U433" s="20"/>
      <c r="V433" s="20"/>
      <c r="W433" s="20"/>
      <c r="X433" s="20"/>
      <c r="Y433" s="20"/>
      <c r="Z433" s="20"/>
      <c r="AA433" s="20"/>
    </row>
    <row r="434" spans="1:27" ht="174" x14ac:dyDescent="0.25">
      <c r="A434" s="16"/>
      <c r="B434" s="20" t="b">
        <f ca="1">IFERROR(__xludf.DUMMYFUNCTION("if(D434=iferror(filter('Character Sheet'!D$13:D3002,'Character Sheet'!D$13:D3002=D434),""""),True,False)"),FALSE)</f>
        <v>0</v>
      </c>
      <c r="C434" s="20">
        <v>100</v>
      </c>
      <c r="D434" s="2" t="s">
        <v>1047</v>
      </c>
      <c r="E434" s="2" t="s">
        <v>655</v>
      </c>
      <c r="F434" s="20" t="s">
        <v>55</v>
      </c>
      <c r="G434" s="2" t="s">
        <v>1048</v>
      </c>
      <c r="H434" s="16"/>
      <c r="I434" s="20"/>
      <c r="J434" s="20"/>
      <c r="K434" s="20"/>
      <c r="L434" s="20"/>
      <c r="M434" s="20"/>
      <c r="N434" s="20"/>
      <c r="O434" s="20"/>
      <c r="P434" s="20"/>
      <c r="Q434" s="20"/>
      <c r="R434" s="20"/>
      <c r="S434" s="20"/>
      <c r="T434" s="20"/>
      <c r="U434" s="20"/>
      <c r="V434" s="20"/>
      <c r="W434" s="20"/>
      <c r="X434" s="20"/>
      <c r="Y434" s="20"/>
      <c r="Z434" s="20"/>
      <c r="AA434" s="20"/>
    </row>
    <row r="435" spans="1:27" ht="174" x14ac:dyDescent="0.25">
      <c r="A435" s="16"/>
      <c r="B435" s="20" t="b">
        <f ca="1">IFERROR(__xludf.DUMMYFUNCTION("if(D435=iferror(filter('Character Sheet'!D$13:D3002,'Character Sheet'!D$13:D3002=D435),""""),True,False)"),FALSE)</f>
        <v>0</v>
      </c>
      <c r="C435" s="20">
        <v>100</v>
      </c>
      <c r="D435" s="2" t="s">
        <v>1049</v>
      </c>
      <c r="E435" s="2" t="s">
        <v>996</v>
      </c>
      <c r="F435" s="20" t="s">
        <v>55</v>
      </c>
      <c r="G435" s="2" t="s">
        <v>1050</v>
      </c>
      <c r="H435" s="16"/>
      <c r="I435" s="20"/>
      <c r="J435" s="20"/>
      <c r="K435" s="20"/>
      <c r="L435" s="20"/>
      <c r="M435" s="20"/>
      <c r="N435" s="20"/>
      <c r="O435" s="20"/>
      <c r="P435" s="20"/>
      <c r="Q435" s="20"/>
      <c r="R435" s="20"/>
      <c r="S435" s="20"/>
      <c r="T435" s="20"/>
      <c r="U435" s="20"/>
      <c r="V435" s="20"/>
      <c r="W435" s="20"/>
      <c r="X435" s="20"/>
      <c r="Y435" s="20"/>
      <c r="Z435" s="20"/>
      <c r="AA435" s="20"/>
    </row>
    <row r="436" spans="1:27" ht="121.8" x14ac:dyDescent="0.25">
      <c r="A436" s="16"/>
      <c r="B436" s="20" t="b">
        <f ca="1">IFERROR(__xludf.DUMMYFUNCTION("if(D436=iferror(filter('Character Sheet'!D$13:D3002,'Character Sheet'!D$13:D3002=D436),""""),True,False)"),FALSE)</f>
        <v>0</v>
      </c>
      <c r="C436" s="20">
        <v>100</v>
      </c>
      <c r="D436" s="2" t="s">
        <v>1051</v>
      </c>
      <c r="E436" s="2" t="s">
        <v>1052</v>
      </c>
      <c r="F436" s="20" t="s">
        <v>55</v>
      </c>
      <c r="G436" s="2" t="s">
        <v>1053</v>
      </c>
      <c r="H436" s="16"/>
      <c r="I436" s="20"/>
      <c r="J436" s="20"/>
      <c r="K436" s="20"/>
      <c r="L436" s="20"/>
      <c r="M436" s="20"/>
      <c r="N436" s="20"/>
      <c r="O436" s="20"/>
      <c r="P436" s="20"/>
      <c r="Q436" s="20"/>
      <c r="R436" s="20"/>
      <c r="S436" s="20"/>
      <c r="T436" s="20"/>
      <c r="U436" s="20"/>
      <c r="V436" s="20"/>
      <c r="W436" s="20"/>
      <c r="X436" s="20"/>
      <c r="Y436" s="20"/>
      <c r="Z436" s="20"/>
      <c r="AA436" s="20"/>
    </row>
    <row r="437" spans="1:27" ht="104.4" x14ac:dyDescent="0.25">
      <c r="A437" s="16"/>
      <c r="B437" s="20" t="b">
        <f ca="1">IFERROR(__xludf.DUMMYFUNCTION("if(D437=iferror(filter('Character Sheet'!D$13:D3002,'Character Sheet'!D$13:D3002=D437),""""),True,False)"),FALSE)</f>
        <v>0</v>
      </c>
      <c r="C437" s="20">
        <v>100</v>
      </c>
      <c r="D437" s="2" t="s">
        <v>1054</v>
      </c>
      <c r="E437" s="2" t="s">
        <v>317</v>
      </c>
      <c r="F437" s="20" t="s">
        <v>55</v>
      </c>
      <c r="G437" s="2" t="s">
        <v>1055</v>
      </c>
      <c r="H437" s="16"/>
      <c r="I437" s="20"/>
      <c r="J437" s="20"/>
      <c r="K437" s="20"/>
      <c r="L437" s="20"/>
      <c r="M437" s="20"/>
      <c r="N437" s="20"/>
      <c r="O437" s="20"/>
      <c r="P437" s="20"/>
      <c r="Q437" s="20"/>
      <c r="R437" s="20"/>
      <c r="S437" s="20"/>
      <c r="T437" s="20"/>
      <c r="U437" s="20"/>
      <c r="V437" s="20"/>
      <c r="W437" s="20"/>
      <c r="X437" s="20"/>
      <c r="Y437" s="20"/>
      <c r="Z437" s="20"/>
      <c r="AA437" s="20"/>
    </row>
    <row r="438" spans="1:27" ht="104.4" x14ac:dyDescent="0.25">
      <c r="A438" s="16"/>
      <c r="B438" s="20" t="b">
        <f ca="1">IFERROR(__xludf.DUMMYFUNCTION("if(D438=iferror(filter('Character Sheet'!D$13:D3002,'Character Sheet'!D$13:D3002=D438),""""),True,False)"),FALSE)</f>
        <v>0</v>
      </c>
      <c r="C438" s="20">
        <v>100</v>
      </c>
      <c r="D438" s="2" t="s">
        <v>1056</v>
      </c>
      <c r="E438" s="2" t="s">
        <v>775</v>
      </c>
      <c r="F438" s="20" t="s">
        <v>55</v>
      </c>
      <c r="G438" s="2" t="s">
        <v>1057</v>
      </c>
      <c r="H438" s="16"/>
      <c r="I438" s="20"/>
      <c r="J438" s="20"/>
      <c r="K438" s="20"/>
      <c r="L438" s="20"/>
      <c r="M438" s="20"/>
      <c r="N438" s="20"/>
      <c r="O438" s="20"/>
      <c r="P438" s="20"/>
      <c r="Q438" s="20"/>
      <c r="R438" s="20"/>
      <c r="S438" s="20"/>
      <c r="T438" s="20"/>
      <c r="U438" s="20"/>
      <c r="V438" s="20"/>
      <c r="W438" s="20"/>
      <c r="X438" s="20"/>
      <c r="Y438" s="20"/>
      <c r="Z438" s="20"/>
      <c r="AA438" s="20"/>
    </row>
    <row r="439" spans="1:27" ht="87" x14ac:dyDescent="0.25">
      <c r="A439" s="16"/>
      <c r="B439" s="20" t="b">
        <f ca="1">IFERROR(__xludf.DUMMYFUNCTION("if(D439=iferror(filter('Character Sheet'!D$13:D3002,'Character Sheet'!D$13:D3002=D439),""""),True,False)"),FALSE)</f>
        <v>0</v>
      </c>
      <c r="C439" s="20">
        <v>100</v>
      </c>
      <c r="D439" s="2" t="s">
        <v>1058</v>
      </c>
      <c r="E439" s="2" t="s">
        <v>334</v>
      </c>
      <c r="F439" s="20" t="s">
        <v>55</v>
      </c>
      <c r="G439" s="2" t="s">
        <v>1059</v>
      </c>
      <c r="H439" s="16"/>
      <c r="I439" s="20"/>
      <c r="J439" s="20"/>
      <c r="K439" s="20"/>
      <c r="L439" s="20"/>
      <c r="M439" s="20"/>
      <c r="N439" s="20"/>
      <c r="O439" s="20"/>
      <c r="P439" s="20"/>
      <c r="Q439" s="20"/>
      <c r="R439" s="20"/>
      <c r="S439" s="20"/>
      <c r="T439" s="20"/>
      <c r="U439" s="20"/>
      <c r="V439" s="20"/>
      <c r="W439" s="20"/>
      <c r="X439" s="20"/>
      <c r="Y439" s="20"/>
      <c r="Z439" s="20"/>
      <c r="AA439" s="20"/>
    </row>
    <row r="440" spans="1:27" ht="87" x14ac:dyDescent="0.25">
      <c r="A440" s="16"/>
      <c r="B440" s="20" t="b">
        <f ca="1">IFERROR(__xludf.DUMMYFUNCTION("if(D440=iferror(filter('Character Sheet'!D$13:D3002,'Character Sheet'!D$13:D3002=D440),""""),True,False)"),FALSE)</f>
        <v>0</v>
      </c>
      <c r="C440" s="20">
        <v>100</v>
      </c>
      <c r="D440" s="2" t="s">
        <v>1060</v>
      </c>
      <c r="E440" s="2" t="s">
        <v>738</v>
      </c>
      <c r="F440" s="20" t="s">
        <v>55</v>
      </c>
      <c r="G440" s="2" t="s">
        <v>1061</v>
      </c>
      <c r="H440" s="16"/>
      <c r="I440" s="20"/>
      <c r="J440" s="20"/>
      <c r="K440" s="20"/>
      <c r="L440" s="20"/>
      <c r="M440" s="20"/>
      <c r="N440" s="20"/>
      <c r="O440" s="20"/>
      <c r="P440" s="20"/>
      <c r="Q440" s="20"/>
      <c r="R440" s="20"/>
      <c r="S440" s="20"/>
      <c r="T440" s="20"/>
      <c r="U440" s="20"/>
      <c r="V440" s="20"/>
      <c r="W440" s="20"/>
      <c r="X440" s="20"/>
      <c r="Y440" s="20"/>
      <c r="Z440" s="20"/>
      <c r="AA440" s="20"/>
    </row>
    <row r="441" spans="1:27" ht="34.799999999999997" x14ac:dyDescent="0.25">
      <c r="A441" s="16"/>
      <c r="B441" s="20" t="b">
        <f ca="1">IFERROR(__xludf.DUMMYFUNCTION("if(D441=iferror(filter('Character Sheet'!D$13:D3002,'Character Sheet'!D$13:D3002=D441),""""),True,False)"),FALSE)</f>
        <v>0</v>
      </c>
      <c r="C441" s="20">
        <v>100</v>
      </c>
      <c r="D441" s="2" t="s">
        <v>1062</v>
      </c>
      <c r="E441" s="2" t="s">
        <v>358</v>
      </c>
      <c r="F441" s="20" t="s">
        <v>55</v>
      </c>
      <c r="G441" s="2" t="s">
        <v>1063</v>
      </c>
      <c r="H441" s="16"/>
      <c r="I441" s="20"/>
      <c r="J441" s="20"/>
      <c r="K441" s="20"/>
      <c r="L441" s="20"/>
      <c r="M441" s="20"/>
      <c r="N441" s="20"/>
      <c r="O441" s="20"/>
      <c r="P441" s="20"/>
      <c r="Q441" s="20"/>
      <c r="R441" s="20"/>
      <c r="S441" s="20"/>
      <c r="T441" s="20"/>
      <c r="U441" s="20"/>
      <c r="V441" s="20"/>
      <c r="W441" s="20"/>
      <c r="X441" s="20"/>
      <c r="Y441" s="20"/>
      <c r="Z441" s="20"/>
      <c r="AA441" s="20"/>
    </row>
    <row r="442" spans="1:27" ht="121.8" x14ac:dyDescent="0.25">
      <c r="A442" s="16"/>
      <c r="B442" s="20" t="b">
        <f ca="1">IFERROR(__xludf.DUMMYFUNCTION("if(D442=iferror(filter('Character Sheet'!D$13:D3002,'Character Sheet'!D$13:D3002=D442),""""),True,False)"),FALSE)</f>
        <v>0</v>
      </c>
      <c r="C442" s="20">
        <v>100</v>
      </c>
      <c r="D442" s="2" t="s">
        <v>1064</v>
      </c>
      <c r="E442" s="2" t="s">
        <v>122</v>
      </c>
      <c r="F442" s="20" t="s">
        <v>55</v>
      </c>
      <c r="G442" s="2" t="s">
        <v>1065</v>
      </c>
      <c r="H442" s="16"/>
      <c r="I442" s="20"/>
      <c r="J442" s="20"/>
      <c r="K442" s="20"/>
      <c r="L442" s="20"/>
      <c r="M442" s="20"/>
      <c r="N442" s="20"/>
      <c r="O442" s="20"/>
      <c r="P442" s="20"/>
      <c r="Q442" s="20"/>
      <c r="R442" s="20"/>
      <c r="S442" s="20"/>
      <c r="T442" s="20"/>
      <c r="U442" s="20"/>
      <c r="V442" s="20"/>
      <c r="W442" s="20"/>
      <c r="X442" s="20"/>
      <c r="Y442" s="20"/>
      <c r="Z442" s="20"/>
      <c r="AA442" s="20"/>
    </row>
    <row r="443" spans="1:27" ht="156.6" x14ac:dyDescent="0.25">
      <c r="A443" s="16"/>
      <c r="B443" s="20" t="b">
        <f ca="1">IFERROR(__xludf.DUMMYFUNCTION("if(D443=iferror(filter('Character Sheet'!D$13:D3002,'Character Sheet'!D$13:D3002=D443),""""),True,False)"),FALSE)</f>
        <v>0</v>
      </c>
      <c r="C443" s="20">
        <v>200</v>
      </c>
      <c r="D443" s="2" t="s">
        <v>1066</v>
      </c>
      <c r="E443" s="2" t="s">
        <v>786</v>
      </c>
      <c r="F443" s="20" t="s">
        <v>55</v>
      </c>
      <c r="G443" s="2" t="s">
        <v>1067</v>
      </c>
      <c r="H443" s="16"/>
      <c r="I443" s="20"/>
      <c r="J443" s="20"/>
      <c r="K443" s="20"/>
      <c r="L443" s="20"/>
      <c r="M443" s="20"/>
      <c r="N443" s="20"/>
      <c r="O443" s="20"/>
      <c r="P443" s="20"/>
      <c r="Q443" s="20"/>
      <c r="R443" s="20"/>
      <c r="S443" s="20"/>
      <c r="T443" s="20"/>
      <c r="U443" s="20"/>
      <c r="V443" s="20"/>
      <c r="W443" s="20"/>
      <c r="X443" s="20"/>
      <c r="Y443" s="20"/>
      <c r="Z443" s="20"/>
      <c r="AA443" s="20"/>
    </row>
    <row r="444" spans="1:27" ht="52.2" x14ac:dyDescent="0.25">
      <c r="A444" s="16"/>
      <c r="B444" s="20" t="b">
        <f ca="1">IFERROR(__xludf.DUMMYFUNCTION("if(D444=iferror(filter('Character Sheet'!D$13:D3002,'Character Sheet'!D$13:D3002=D444),""""),True,False)"),FALSE)</f>
        <v>0</v>
      </c>
      <c r="C444" s="20">
        <v>200</v>
      </c>
      <c r="D444" s="2" t="s">
        <v>1068</v>
      </c>
      <c r="E444" s="2" t="s">
        <v>93</v>
      </c>
      <c r="F444" s="20" t="s">
        <v>55</v>
      </c>
      <c r="G444" s="2" t="s">
        <v>1069</v>
      </c>
      <c r="H444" s="16"/>
      <c r="I444" s="20"/>
      <c r="J444" s="20"/>
      <c r="K444" s="20"/>
      <c r="L444" s="20"/>
      <c r="M444" s="20"/>
      <c r="N444" s="20"/>
      <c r="O444" s="20"/>
      <c r="P444" s="20"/>
      <c r="Q444" s="20"/>
      <c r="R444" s="20"/>
      <c r="S444" s="20"/>
      <c r="T444" s="20"/>
      <c r="U444" s="20"/>
      <c r="V444" s="20"/>
      <c r="W444" s="20"/>
      <c r="X444" s="20"/>
      <c r="Y444" s="20"/>
      <c r="Z444" s="20"/>
      <c r="AA444" s="20"/>
    </row>
    <row r="445" spans="1:27" ht="226.2" x14ac:dyDescent="0.25">
      <c r="A445" s="16"/>
      <c r="B445" s="20" t="b">
        <f ca="1">IFERROR(__xludf.DUMMYFUNCTION("if(D445=iferror(filter('Character Sheet'!D$13:D3002,'Character Sheet'!D$13:D3002=D445),""""),True,False)"),FALSE)</f>
        <v>0</v>
      </c>
      <c r="C445" s="20">
        <v>200</v>
      </c>
      <c r="D445" s="2" t="s">
        <v>1070</v>
      </c>
      <c r="E445" s="2" t="s">
        <v>211</v>
      </c>
      <c r="F445" s="20" t="s">
        <v>55</v>
      </c>
      <c r="G445" s="2" t="s">
        <v>1071</v>
      </c>
      <c r="H445" s="16"/>
      <c r="I445" s="20"/>
      <c r="J445" s="20"/>
      <c r="K445" s="20"/>
      <c r="L445" s="20"/>
      <c r="M445" s="20"/>
      <c r="N445" s="20"/>
      <c r="O445" s="20"/>
      <c r="P445" s="20"/>
      <c r="Q445" s="20"/>
      <c r="R445" s="20"/>
      <c r="S445" s="20"/>
      <c r="T445" s="20"/>
      <c r="U445" s="20"/>
      <c r="V445" s="20"/>
      <c r="W445" s="20"/>
      <c r="X445" s="20"/>
      <c r="Y445" s="20"/>
      <c r="Z445" s="20"/>
      <c r="AA445" s="20"/>
    </row>
    <row r="446" spans="1:27" ht="87" x14ac:dyDescent="0.25">
      <c r="A446" s="16"/>
      <c r="B446" s="20" t="b">
        <f ca="1">IFERROR(__xludf.DUMMYFUNCTION("if(D446=iferror(filter('Character Sheet'!D$13:D3002,'Character Sheet'!D$13:D3002=D446),""""),True,False)"),FALSE)</f>
        <v>0</v>
      </c>
      <c r="C446" s="20">
        <v>200</v>
      </c>
      <c r="D446" s="2" t="s">
        <v>1072</v>
      </c>
      <c r="E446" s="2" t="s">
        <v>425</v>
      </c>
      <c r="F446" s="20" t="s">
        <v>55</v>
      </c>
      <c r="G446" s="2" t="s">
        <v>1073</v>
      </c>
      <c r="H446" s="16"/>
      <c r="I446" s="20"/>
      <c r="J446" s="20"/>
      <c r="K446" s="20"/>
      <c r="L446" s="20"/>
      <c r="M446" s="20"/>
      <c r="N446" s="20"/>
      <c r="O446" s="20"/>
      <c r="P446" s="20"/>
      <c r="Q446" s="20"/>
      <c r="R446" s="20"/>
      <c r="S446" s="20"/>
      <c r="T446" s="20"/>
      <c r="U446" s="20"/>
      <c r="V446" s="20"/>
      <c r="W446" s="20"/>
      <c r="X446" s="20"/>
      <c r="Y446" s="20"/>
      <c r="Z446" s="20"/>
      <c r="AA446" s="20"/>
    </row>
    <row r="447" spans="1:27" ht="87" x14ac:dyDescent="0.25">
      <c r="A447" s="16"/>
      <c r="B447" s="20" t="b">
        <f ca="1">IFERROR(__xludf.DUMMYFUNCTION("if(D447=iferror(filter('Character Sheet'!D$13:D3002,'Character Sheet'!D$13:D3002=D447),""""),True,False)"),FALSE)</f>
        <v>0</v>
      </c>
      <c r="C447" s="20">
        <v>200</v>
      </c>
      <c r="D447" s="2" t="s">
        <v>1074</v>
      </c>
      <c r="E447" s="2" t="s">
        <v>592</v>
      </c>
      <c r="F447" s="20" t="s">
        <v>55</v>
      </c>
      <c r="G447" s="2" t="s">
        <v>1075</v>
      </c>
      <c r="H447" s="16"/>
      <c r="I447" s="20"/>
      <c r="J447" s="20"/>
      <c r="K447" s="20"/>
      <c r="L447" s="20"/>
      <c r="M447" s="20"/>
      <c r="N447" s="20"/>
      <c r="O447" s="20"/>
      <c r="P447" s="20"/>
      <c r="Q447" s="20"/>
      <c r="R447" s="20"/>
      <c r="S447" s="20"/>
      <c r="T447" s="20"/>
      <c r="U447" s="20"/>
      <c r="V447" s="20"/>
      <c r="W447" s="20"/>
      <c r="X447" s="20"/>
      <c r="Y447" s="20"/>
      <c r="Z447" s="20"/>
      <c r="AA447" s="20"/>
    </row>
    <row r="448" spans="1:27" ht="69.599999999999994" x14ac:dyDescent="0.25">
      <c r="A448" s="16"/>
      <c r="B448" s="20" t="b">
        <f ca="1">IFERROR(__xludf.DUMMYFUNCTION("if(D448=iferror(filter('Character Sheet'!D$13:D3002,'Character Sheet'!D$13:D3002=D448),""""),True,False)"),FALSE)</f>
        <v>0</v>
      </c>
      <c r="C448" s="20">
        <v>200</v>
      </c>
      <c r="D448" s="2" t="s">
        <v>1076</v>
      </c>
      <c r="E448" s="2" t="s">
        <v>179</v>
      </c>
      <c r="F448" s="20" t="s">
        <v>55</v>
      </c>
      <c r="G448" s="2" t="s">
        <v>1077</v>
      </c>
      <c r="H448" s="16"/>
      <c r="I448" s="20"/>
      <c r="J448" s="20"/>
      <c r="K448" s="20"/>
      <c r="L448" s="20"/>
      <c r="M448" s="20"/>
      <c r="N448" s="20"/>
      <c r="O448" s="20"/>
      <c r="P448" s="20"/>
      <c r="Q448" s="20"/>
      <c r="R448" s="20"/>
      <c r="S448" s="20"/>
      <c r="T448" s="20"/>
      <c r="U448" s="20"/>
      <c r="V448" s="20"/>
      <c r="W448" s="20"/>
      <c r="X448" s="20"/>
      <c r="Y448" s="20"/>
      <c r="Z448" s="20"/>
      <c r="AA448" s="20"/>
    </row>
    <row r="449" spans="1:27" ht="121.8" x14ac:dyDescent="0.25">
      <c r="A449" s="16"/>
      <c r="B449" s="20" t="b">
        <f ca="1">IFERROR(__xludf.DUMMYFUNCTION("if(D449=iferror(filter('Character Sheet'!D$13:D3002,'Character Sheet'!D$13:D3002=D449),""""),True,False)"),FALSE)</f>
        <v>0</v>
      </c>
      <c r="C449" s="20">
        <v>200</v>
      </c>
      <c r="D449" s="2" t="s">
        <v>1078</v>
      </c>
      <c r="E449" s="2" t="s">
        <v>139</v>
      </c>
      <c r="F449" s="20" t="s">
        <v>55</v>
      </c>
      <c r="G449" s="2" t="s">
        <v>1079</v>
      </c>
      <c r="H449" s="16"/>
      <c r="I449" s="20"/>
      <c r="J449" s="20"/>
      <c r="K449" s="20"/>
      <c r="L449" s="20"/>
      <c r="M449" s="20"/>
      <c r="N449" s="20"/>
      <c r="O449" s="20"/>
      <c r="P449" s="20"/>
      <c r="Q449" s="20"/>
      <c r="R449" s="20"/>
      <c r="S449" s="20"/>
      <c r="T449" s="20"/>
      <c r="U449" s="20"/>
      <c r="V449" s="20"/>
      <c r="W449" s="20"/>
      <c r="X449" s="20"/>
      <c r="Y449" s="20"/>
      <c r="Z449" s="20"/>
      <c r="AA449" s="20"/>
    </row>
    <row r="450" spans="1:27" ht="87" x14ac:dyDescent="0.25">
      <c r="A450" s="16"/>
      <c r="B450" s="20" t="b">
        <f ca="1">IFERROR(__xludf.DUMMYFUNCTION("if(D450=iferror(filter('Character Sheet'!D$13:D3002,'Character Sheet'!D$13:D3002=D450),""""),True,False)"),FALSE)</f>
        <v>0</v>
      </c>
      <c r="C450" s="20">
        <v>200</v>
      </c>
      <c r="D450" s="2" t="s">
        <v>1080</v>
      </c>
      <c r="E450" s="2" t="s">
        <v>514</v>
      </c>
      <c r="F450" s="20" t="s">
        <v>55</v>
      </c>
      <c r="G450" s="2" t="s">
        <v>1081</v>
      </c>
      <c r="H450" s="16"/>
      <c r="I450" s="20"/>
      <c r="J450" s="20"/>
      <c r="K450" s="20"/>
      <c r="L450" s="20"/>
      <c r="M450" s="20"/>
      <c r="N450" s="20"/>
      <c r="O450" s="20"/>
      <c r="P450" s="20"/>
      <c r="Q450" s="20"/>
      <c r="R450" s="20"/>
      <c r="S450" s="20"/>
      <c r="T450" s="20"/>
      <c r="U450" s="20"/>
      <c r="V450" s="20"/>
      <c r="W450" s="20"/>
      <c r="X450" s="20"/>
      <c r="Y450" s="20"/>
      <c r="Z450" s="20"/>
      <c r="AA450" s="20"/>
    </row>
    <row r="451" spans="1:27" ht="87" x14ac:dyDescent="0.25">
      <c r="A451" s="16"/>
      <c r="B451" s="20" t="b">
        <f ca="1">IFERROR(__xludf.DUMMYFUNCTION("if(D451=iferror(filter('Character Sheet'!D$13:D3002,'Character Sheet'!D$13:D3002=D451),""""),True,False)"),FALSE)</f>
        <v>0</v>
      </c>
      <c r="C451" s="20">
        <v>200</v>
      </c>
      <c r="D451" s="2" t="s">
        <v>1082</v>
      </c>
      <c r="E451" s="2" t="s">
        <v>394</v>
      </c>
      <c r="F451" s="20" t="s">
        <v>55</v>
      </c>
      <c r="G451" s="2" t="s">
        <v>1083</v>
      </c>
      <c r="H451" s="16"/>
      <c r="I451" s="20"/>
      <c r="J451" s="20"/>
      <c r="K451" s="20"/>
      <c r="L451" s="20"/>
      <c r="M451" s="20"/>
      <c r="N451" s="20"/>
      <c r="O451" s="20"/>
      <c r="P451" s="20"/>
      <c r="Q451" s="20"/>
      <c r="R451" s="20"/>
      <c r="S451" s="20"/>
      <c r="T451" s="20"/>
      <c r="U451" s="20"/>
      <c r="V451" s="20"/>
      <c r="W451" s="20"/>
      <c r="X451" s="20"/>
      <c r="Y451" s="20"/>
      <c r="Z451" s="20"/>
      <c r="AA451" s="20"/>
    </row>
    <row r="452" spans="1:27" ht="104.4" x14ac:dyDescent="0.25">
      <c r="A452" s="16"/>
      <c r="B452" s="20" t="b">
        <f ca="1">IFERROR(__xludf.DUMMYFUNCTION("if(D452=iferror(filter('Character Sheet'!D$13:D3002,'Character Sheet'!D$13:D3002=D452),""""),True,False)"),FALSE)</f>
        <v>0</v>
      </c>
      <c r="C452" s="20">
        <v>200</v>
      </c>
      <c r="D452" s="2" t="s">
        <v>1084</v>
      </c>
      <c r="E452" s="2" t="s">
        <v>435</v>
      </c>
      <c r="F452" s="20" t="s">
        <v>55</v>
      </c>
      <c r="G452" s="2" t="s">
        <v>1085</v>
      </c>
      <c r="H452" s="16"/>
      <c r="I452" s="20"/>
      <c r="J452" s="20"/>
      <c r="K452" s="20"/>
      <c r="L452" s="20"/>
      <c r="M452" s="20"/>
      <c r="N452" s="20"/>
      <c r="O452" s="20"/>
      <c r="P452" s="20"/>
      <c r="Q452" s="20"/>
      <c r="R452" s="20"/>
      <c r="S452" s="20"/>
      <c r="T452" s="20"/>
      <c r="U452" s="20"/>
      <c r="V452" s="20"/>
      <c r="W452" s="20"/>
      <c r="X452" s="20"/>
      <c r="Y452" s="20"/>
      <c r="Z452" s="20"/>
      <c r="AA452" s="20"/>
    </row>
    <row r="453" spans="1:27" ht="226.2" x14ac:dyDescent="0.25">
      <c r="A453" s="16"/>
      <c r="B453" s="20" t="b">
        <f ca="1">IFERROR(__xludf.DUMMYFUNCTION("if(D453=iferror(filter('Character Sheet'!D$13:D3002,'Character Sheet'!D$13:D3002=D453),""""),True,False)"),FALSE)</f>
        <v>0</v>
      </c>
      <c r="C453" s="20">
        <v>200</v>
      </c>
      <c r="D453" s="2" t="s">
        <v>1086</v>
      </c>
      <c r="E453" s="2" t="s">
        <v>211</v>
      </c>
      <c r="F453" s="20" t="s">
        <v>55</v>
      </c>
      <c r="G453" s="2" t="s">
        <v>1087</v>
      </c>
      <c r="H453" s="16"/>
      <c r="I453" s="20"/>
      <c r="J453" s="20"/>
      <c r="K453" s="20"/>
      <c r="L453" s="20"/>
      <c r="M453" s="20"/>
      <c r="N453" s="20"/>
      <c r="O453" s="20"/>
      <c r="P453" s="20"/>
      <c r="Q453" s="20"/>
      <c r="R453" s="20"/>
      <c r="S453" s="20"/>
      <c r="T453" s="20"/>
      <c r="U453" s="20"/>
      <c r="V453" s="20"/>
      <c r="W453" s="20"/>
      <c r="X453" s="20"/>
      <c r="Y453" s="20"/>
      <c r="Z453" s="20"/>
      <c r="AA453" s="20"/>
    </row>
    <row r="454" spans="1:27" ht="69.599999999999994" x14ac:dyDescent="0.25">
      <c r="A454" s="16"/>
      <c r="B454" s="20" t="b">
        <f ca="1">IFERROR(__xludf.DUMMYFUNCTION("if(D454=iferror(filter('Character Sheet'!D$13:D3002,'Character Sheet'!D$13:D3002=D454),""""),True,False)"),FALSE)</f>
        <v>0</v>
      </c>
      <c r="C454" s="20">
        <v>200</v>
      </c>
      <c r="D454" s="2" t="s">
        <v>1088</v>
      </c>
      <c r="E454" s="2" t="s">
        <v>233</v>
      </c>
      <c r="F454" s="20" t="s">
        <v>55</v>
      </c>
      <c r="G454" s="2" t="s">
        <v>1089</v>
      </c>
      <c r="H454" s="16"/>
      <c r="I454" s="20"/>
      <c r="J454" s="20"/>
      <c r="K454" s="20"/>
      <c r="L454" s="20"/>
      <c r="M454" s="20"/>
      <c r="N454" s="20"/>
      <c r="O454" s="20"/>
      <c r="P454" s="20"/>
      <c r="Q454" s="20"/>
      <c r="R454" s="20"/>
      <c r="S454" s="20"/>
      <c r="T454" s="20"/>
      <c r="U454" s="20"/>
      <c r="V454" s="20"/>
      <c r="W454" s="20"/>
      <c r="X454" s="20"/>
      <c r="Y454" s="20"/>
      <c r="Z454" s="20"/>
      <c r="AA454" s="20"/>
    </row>
    <row r="455" spans="1:27" ht="104.4" x14ac:dyDescent="0.25">
      <c r="A455" s="16"/>
      <c r="B455" s="20" t="b">
        <f ca="1">IFERROR(__xludf.DUMMYFUNCTION("if(D455=iferror(filter('Character Sheet'!D$13:D3002,'Character Sheet'!D$13:D3002=D455),""""),True,False)"),FALSE)</f>
        <v>0</v>
      </c>
      <c r="C455" s="20">
        <v>200</v>
      </c>
      <c r="D455" s="2" t="s">
        <v>1090</v>
      </c>
      <c r="E455" s="2" t="s">
        <v>119</v>
      </c>
      <c r="F455" s="20" t="s">
        <v>55</v>
      </c>
      <c r="G455" s="2" t="s">
        <v>1091</v>
      </c>
      <c r="H455" s="16"/>
      <c r="I455" s="20"/>
      <c r="J455" s="20"/>
      <c r="K455" s="20"/>
      <c r="L455" s="20"/>
      <c r="M455" s="20"/>
      <c r="N455" s="20"/>
      <c r="O455" s="20"/>
      <c r="P455" s="20"/>
      <c r="Q455" s="20"/>
      <c r="R455" s="20"/>
      <c r="S455" s="20"/>
      <c r="T455" s="20"/>
      <c r="U455" s="20"/>
      <c r="V455" s="20"/>
      <c r="W455" s="20"/>
      <c r="X455" s="20"/>
      <c r="Y455" s="20"/>
      <c r="Z455" s="20"/>
      <c r="AA455" s="20"/>
    </row>
    <row r="456" spans="1:27" ht="104.4" x14ac:dyDescent="0.25">
      <c r="A456" s="16"/>
      <c r="B456" s="20" t="b">
        <f ca="1">IFERROR(__xludf.DUMMYFUNCTION("if(D456=iferror(filter('Character Sheet'!D$13:D3002,'Character Sheet'!D$13:D3002=D456),""""),True,False)"),FALSE)</f>
        <v>0</v>
      </c>
      <c r="C456" s="20">
        <v>200</v>
      </c>
      <c r="D456" s="2" t="s">
        <v>1092</v>
      </c>
      <c r="E456" s="2" t="s">
        <v>1093</v>
      </c>
      <c r="F456" s="20" t="s">
        <v>55</v>
      </c>
      <c r="G456" s="2" t="s">
        <v>1094</v>
      </c>
      <c r="H456" s="16"/>
      <c r="I456" s="20"/>
      <c r="J456" s="20"/>
      <c r="K456" s="20"/>
      <c r="L456" s="20"/>
      <c r="M456" s="20"/>
      <c r="N456" s="20"/>
      <c r="O456" s="20"/>
      <c r="P456" s="20"/>
      <c r="Q456" s="20"/>
      <c r="R456" s="20"/>
      <c r="S456" s="20"/>
      <c r="T456" s="20"/>
      <c r="U456" s="20"/>
      <c r="V456" s="20"/>
      <c r="W456" s="20"/>
      <c r="X456" s="20"/>
      <c r="Y456" s="20"/>
      <c r="Z456" s="20"/>
      <c r="AA456" s="20"/>
    </row>
    <row r="457" spans="1:27" ht="87" x14ac:dyDescent="0.25">
      <c r="A457" s="16"/>
      <c r="B457" s="20" t="b">
        <f ca="1">IFERROR(__xludf.DUMMYFUNCTION("if(D457=iferror(filter('Character Sheet'!D$13:D3002,'Character Sheet'!D$13:D3002=D457),""""),True,False)"),FALSE)</f>
        <v>0</v>
      </c>
      <c r="C457" s="20">
        <v>200</v>
      </c>
      <c r="D457" s="2" t="s">
        <v>1095</v>
      </c>
      <c r="E457" s="2" t="s">
        <v>109</v>
      </c>
      <c r="F457" s="20" t="s">
        <v>55</v>
      </c>
      <c r="G457" s="2" t="s">
        <v>1096</v>
      </c>
      <c r="H457" s="16"/>
      <c r="I457" s="20"/>
      <c r="J457" s="20"/>
      <c r="K457" s="20"/>
      <c r="L457" s="20"/>
      <c r="M457" s="20"/>
      <c r="N457" s="20"/>
      <c r="O457" s="20"/>
      <c r="P457" s="20"/>
      <c r="Q457" s="20"/>
      <c r="R457" s="20"/>
      <c r="S457" s="20"/>
      <c r="T457" s="20"/>
      <c r="U457" s="20"/>
      <c r="V457" s="20"/>
      <c r="W457" s="20"/>
      <c r="X457" s="20"/>
      <c r="Y457" s="20"/>
      <c r="Z457" s="20"/>
      <c r="AA457" s="20"/>
    </row>
    <row r="458" spans="1:27" ht="243.6" x14ac:dyDescent="0.25">
      <c r="A458" s="16"/>
      <c r="B458" s="20" t="b">
        <f ca="1">IFERROR(__xludf.DUMMYFUNCTION("if(D458=iferror(filter('Character Sheet'!D$13:D3002,'Character Sheet'!D$13:D3002=D458),""""),True,False)"),FALSE)</f>
        <v>0</v>
      </c>
      <c r="C458" s="20">
        <v>200</v>
      </c>
      <c r="D458" s="2" t="s">
        <v>1097</v>
      </c>
      <c r="E458" s="2" t="s">
        <v>211</v>
      </c>
      <c r="F458" s="20" t="s">
        <v>55</v>
      </c>
      <c r="G458" s="2" t="s">
        <v>1098</v>
      </c>
      <c r="H458" s="16"/>
      <c r="I458" s="20"/>
      <c r="J458" s="20"/>
      <c r="K458" s="20"/>
      <c r="L458" s="20"/>
      <c r="M458" s="20"/>
      <c r="N458" s="20"/>
      <c r="O458" s="20"/>
      <c r="P458" s="20"/>
      <c r="Q458" s="20"/>
      <c r="R458" s="20"/>
      <c r="S458" s="20"/>
      <c r="T458" s="20"/>
      <c r="U458" s="20"/>
      <c r="V458" s="20"/>
      <c r="W458" s="20"/>
      <c r="X458" s="20"/>
      <c r="Y458" s="20"/>
      <c r="Z458" s="20"/>
      <c r="AA458" s="20"/>
    </row>
    <row r="459" spans="1:27" ht="104.4" x14ac:dyDescent="0.25">
      <c r="A459" s="16"/>
      <c r="B459" s="20" t="b">
        <f ca="1">IFERROR(__xludf.DUMMYFUNCTION("if(D459=iferror(filter('Character Sheet'!D$13:D3002,'Character Sheet'!D$13:D3002=D459),""""),True,False)"),FALSE)</f>
        <v>0</v>
      </c>
      <c r="C459" s="20">
        <v>200</v>
      </c>
      <c r="D459" s="2" t="s">
        <v>1099</v>
      </c>
      <c r="E459" s="2" t="s">
        <v>576</v>
      </c>
      <c r="F459" s="20" t="s">
        <v>55</v>
      </c>
      <c r="G459" s="2" t="s">
        <v>1100</v>
      </c>
      <c r="H459" s="16"/>
      <c r="I459" s="20"/>
      <c r="J459" s="20"/>
      <c r="K459" s="20"/>
      <c r="L459" s="20"/>
      <c r="M459" s="20"/>
      <c r="N459" s="20"/>
      <c r="O459" s="20"/>
      <c r="P459" s="20"/>
      <c r="Q459" s="20"/>
      <c r="R459" s="20"/>
      <c r="S459" s="20"/>
      <c r="T459" s="20"/>
      <c r="U459" s="20"/>
      <c r="V459" s="20"/>
      <c r="W459" s="20"/>
      <c r="X459" s="20"/>
      <c r="Y459" s="20"/>
      <c r="Z459" s="20"/>
      <c r="AA459" s="20"/>
    </row>
    <row r="460" spans="1:27" ht="121.8" x14ac:dyDescent="0.25">
      <c r="A460" s="16"/>
      <c r="B460" s="20" t="b">
        <f ca="1">IFERROR(__xludf.DUMMYFUNCTION("if(D460=iferror(filter('Character Sheet'!D$13:D3002,'Character Sheet'!D$13:D3002=D460),""""),True,False)"),FALSE)</f>
        <v>0</v>
      </c>
      <c r="C460" s="20">
        <v>200</v>
      </c>
      <c r="D460" s="2" t="s">
        <v>1101</v>
      </c>
      <c r="E460" s="2" t="s">
        <v>610</v>
      </c>
      <c r="F460" s="20" t="s">
        <v>55</v>
      </c>
      <c r="G460" s="2" t="s">
        <v>1102</v>
      </c>
      <c r="H460" s="16"/>
      <c r="I460" s="20"/>
      <c r="J460" s="20"/>
      <c r="K460" s="20"/>
      <c r="L460" s="20"/>
      <c r="M460" s="20"/>
      <c r="N460" s="20"/>
      <c r="O460" s="20"/>
      <c r="P460" s="20"/>
      <c r="Q460" s="20"/>
      <c r="R460" s="20"/>
      <c r="S460" s="20"/>
      <c r="T460" s="20"/>
      <c r="U460" s="20"/>
      <c r="V460" s="20"/>
      <c r="W460" s="20"/>
      <c r="X460" s="20"/>
      <c r="Y460" s="20"/>
      <c r="Z460" s="20"/>
      <c r="AA460" s="20"/>
    </row>
    <row r="461" spans="1:27" ht="104.4" x14ac:dyDescent="0.25">
      <c r="A461" s="16"/>
      <c r="B461" s="20" t="b">
        <f ca="1">IFERROR(__xludf.DUMMYFUNCTION("if(D461=iferror(filter('Character Sheet'!D$13:D3002,'Character Sheet'!D$13:D3002=D461),""""),True,False)"),FALSE)</f>
        <v>0</v>
      </c>
      <c r="C461" s="20">
        <v>200</v>
      </c>
      <c r="D461" s="2" t="s">
        <v>1103</v>
      </c>
      <c r="E461" s="2" t="s">
        <v>514</v>
      </c>
      <c r="F461" s="20" t="s">
        <v>55</v>
      </c>
      <c r="G461" s="2" t="s">
        <v>1104</v>
      </c>
      <c r="H461" s="16"/>
      <c r="I461" s="20"/>
      <c r="J461" s="20"/>
      <c r="K461" s="20"/>
      <c r="L461" s="20"/>
      <c r="M461" s="20"/>
      <c r="N461" s="20"/>
      <c r="O461" s="20"/>
      <c r="P461" s="20"/>
      <c r="Q461" s="20"/>
      <c r="R461" s="20"/>
      <c r="S461" s="20"/>
      <c r="T461" s="20"/>
      <c r="U461" s="20"/>
      <c r="V461" s="20"/>
      <c r="W461" s="20"/>
      <c r="X461" s="20"/>
      <c r="Y461" s="20"/>
      <c r="Z461" s="20"/>
      <c r="AA461" s="20"/>
    </row>
    <row r="462" spans="1:27" ht="52.2" x14ac:dyDescent="0.25">
      <c r="A462" s="16"/>
      <c r="B462" s="20" t="b">
        <f ca="1">IFERROR(__xludf.DUMMYFUNCTION("if(D462=iferror(filter('Character Sheet'!D$13:D3002,'Character Sheet'!D$13:D3002=D462),""""),True,False)"),FALSE)</f>
        <v>0</v>
      </c>
      <c r="C462" s="20">
        <v>200</v>
      </c>
      <c r="D462" s="2" t="s">
        <v>1105</v>
      </c>
      <c r="E462" s="2" t="s">
        <v>583</v>
      </c>
      <c r="F462" s="20" t="s">
        <v>55</v>
      </c>
      <c r="G462" s="2" t="s">
        <v>1106</v>
      </c>
      <c r="H462" s="16"/>
      <c r="I462" s="20"/>
      <c r="J462" s="20"/>
      <c r="K462" s="20"/>
      <c r="L462" s="20"/>
      <c r="M462" s="20"/>
      <c r="N462" s="20"/>
      <c r="O462" s="20"/>
      <c r="P462" s="20"/>
      <c r="Q462" s="20"/>
      <c r="R462" s="20"/>
      <c r="S462" s="20"/>
      <c r="T462" s="20"/>
      <c r="U462" s="20"/>
      <c r="V462" s="20"/>
      <c r="W462" s="20"/>
      <c r="X462" s="20"/>
      <c r="Y462" s="20"/>
      <c r="Z462" s="20"/>
      <c r="AA462" s="20"/>
    </row>
    <row r="463" spans="1:27" ht="139.19999999999999" x14ac:dyDescent="0.25">
      <c r="A463" s="16"/>
      <c r="B463" s="20" t="b">
        <f ca="1">IFERROR(__xludf.DUMMYFUNCTION("if(D463=iferror(filter('Character Sheet'!D$13:D3002,'Character Sheet'!D$13:D3002=D463),""""),True,False)"),FALSE)</f>
        <v>0</v>
      </c>
      <c r="C463" s="20">
        <v>200</v>
      </c>
      <c r="D463" s="2" t="s">
        <v>1107</v>
      </c>
      <c r="E463" s="2" t="s">
        <v>122</v>
      </c>
      <c r="F463" s="20" t="s">
        <v>55</v>
      </c>
      <c r="G463" s="2" t="s">
        <v>1108</v>
      </c>
      <c r="H463" s="16"/>
      <c r="I463" s="20"/>
      <c r="J463" s="20"/>
      <c r="K463" s="20"/>
      <c r="L463" s="20"/>
      <c r="M463" s="20"/>
      <c r="N463" s="20"/>
      <c r="O463" s="20"/>
      <c r="P463" s="20"/>
      <c r="Q463" s="20"/>
      <c r="R463" s="20"/>
      <c r="S463" s="20"/>
      <c r="T463" s="20"/>
      <c r="U463" s="20"/>
      <c r="V463" s="20"/>
      <c r="W463" s="20"/>
      <c r="X463" s="20"/>
      <c r="Y463" s="20"/>
      <c r="Z463" s="20"/>
      <c r="AA463" s="20"/>
    </row>
    <row r="464" spans="1:27" ht="87" x14ac:dyDescent="0.25">
      <c r="A464" s="16"/>
      <c r="B464" s="20" t="b">
        <f ca="1">IFERROR(__xludf.DUMMYFUNCTION("if(D464=iferror(filter('Character Sheet'!D$13:D3002,'Character Sheet'!D$13:D3002=D464),""""),True,False)"),FALSE)</f>
        <v>0</v>
      </c>
      <c r="C464" s="20">
        <v>300</v>
      </c>
      <c r="D464" s="2" t="s">
        <v>1109</v>
      </c>
      <c r="E464" s="2" t="s">
        <v>84</v>
      </c>
      <c r="F464" s="20" t="s">
        <v>55</v>
      </c>
      <c r="G464" s="2" t="s">
        <v>1110</v>
      </c>
      <c r="H464" s="16"/>
      <c r="I464" s="20"/>
      <c r="J464" s="20"/>
      <c r="K464" s="20"/>
      <c r="L464" s="20"/>
      <c r="M464" s="20"/>
      <c r="N464" s="20"/>
      <c r="O464" s="20"/>
      <c r="P464" s="20"/>
      <c r="Q464" s="20"/>
      <c r="R464" s="20"/>
      <c r="S464" s="20"/>
      <c r="T464" s="20"/>
      <c r="U464" s="20"/>
      <c r="V464" s="20"/>
      <c r="W464" s="20"/>
      <c r="X464" s="20"/>
      <c r="Y464" s="20"/>
      <c r="Z464" s="20"/>
      <c r="AA464" s="20"/>
    </row>
    <row r="465" spans="1:27" ht="156.6" x14ac:dyDescent="0.25">
      <c r="A465" s="16"/>
      <c r="B465" s="20" t="b">
        <f ca="1">IFERROR(__xludf.DUMMYFUNCTION("if(D465=iferror(filter('Character Sheet'!D$13:D3002,'Character Sheet'!D$13:D3002=D465),""""),True,False)"),FALSE)</f>
        <v>0</v>
      </c>
      <c r="C465" s="20">
        <v>300</v>
      </c>
      <c r="D465" s="2" t="s">
        <v>1111</v>
      </c>
      <c r="E465" s="2" t="s">
        <v>84</v>
      </c>
      <c r="F465" s="20" t="s">
        <v>55</v>
      </c>
      <c r="G465" s="2" t="s">
        <v>1112</v>
      </c>
      <c r="H465" s="16"/>
      <c r="I465" s="20"/>
      <c r="J465" s="20"/>
      <c r="K465" s="20"/>
      <c r="L465" s="20"/>
      <c r="M465" s="20"/>
      <c r="N465" s="20"/>
      <c r="O465" s="20"/>
      <c r="P465" s="20"/>
      <c r="Q465" s="20"/>
      <c r="R465" s="20"/>
      <c r="S465" s="20"/>
      <c r="T465" s="20"/>
      <c r="U465" s="20"/>
      <c r="V465" s="20"/>
      <c r="W465" s="20"/>
      <c r="X465" s="20"/>
      <c r="Y465" s="20"/>
      <c r="Z465" s="20"/>
      <c r="AA465" s="20"/>
    </row>
    <row r="466" spans="1:27" ht="121.8" x14ac:dyDescent="0.25">
      <c r="A466" s="16"/>
      <c r="B466" s="20" t="b">
        <f ca="1">IFERROR(__xludf.DUMMYFUNCTION("if(D466=iferror(filter('Character Sheet'!D$13:D3002,'Character Sheet'!D$13:D3002=D466),""""),True,False)"),FALSE)</f>
        <v>0</v>
      </c>
      <c r="C466" s="20">
        <v>300</v>
      </c>
      <c r="D466" s="2" t="s">
        <v>1113</v>
      </c>
      <c r="E466" s="2" t="s">
        <v>369</v>
      </c>
      <c r="F466" s="20" t="s">
        <v>55</v>
      </c>
      <c r="G466" s="2" t="s">
        <v>1114</v>
      </c>
      <c r="H466" s="16"/>
      <c r="I466" s="20"/>
      <c r="J466" s="20"/>
      <c r="K466" s="20"/>
      <c r="L466" s="20"/>
      <c r="M466" s="20"/>
      <c r="N466" s="20"/>
      <c r="O466" s="20"/>
      <c r="P466" s="20"/>
      <c r="Q466" s="20"/>
      <c r="R466" s="20"/>
      <c r="S466" s="20"/>
      <c r="T466" s="20"/>
      <c r="U466" s="20"/>
      <c r="V466" s="20"/>
      <c r="W466" s="20"/>
      <c r="X466" s="20"/>
      <c r="Y466" s="20"/>
      <c r="Z466" s="20"/>
      <c r="AA466" s="20"/>
    </row>
    <row r="467" spans="1:27" ht="87" x14ac:dyDescent="0.25">
      <c r="A467" s="16"/>
      <c r="B467" s="20" t="b">
        <f ca="1">IFERROR(__xludf.DUMMYFUNCTION("if(D467=iferror(filter('Character Sheet'!D$13:D3002,'Character Sheet'!D$13:D3002=D467),""""),True,False)"),FALSE)</f>
        <v>0</v>
      </c>
      <c r="C467" s="20">
        <v>300</v>
      </c>
      <c r="D467" s="2" t="s">
        <v>1115</v>
      </c>
      <c r="E467" s="2" t="s">
        <v>1116</v>
      </c>
      <c r="F467" s="20" t="s">
        <v>55</v>
      </c>
      <c r="G467" s="2" t="s">
        <v>1117</v>
      </c>
      <c r="H467" s="16"/>
      <c r="I467" s="20"/>
      <c r="J467" s="20"/>
      <c r="K467" s="20"/>
      <c r="L467" s="20"/>
      <c r="M467" s="20"/>
      <c r="N467" s="20"/>
      <c r="O467" s="20"/>
      <c r="P467" s="20"/>
      <c r="Q467" s="20"/>
      <c r="R467" s="20"/>
      <c r="S467" s="20"/>
      <c r="T467" s="20"/>
      <c r="U467" s="20"/>
      <c r="V467" s="20"/>
      <c r="W467" s="20"/>
      <c r="X467" s="20"/>
      <c r="Y467" s="20"/>
      <c r="Z467" s="20"/>
      <c r="AA467" s="20"/>
    </row>
    <row r="468" spans="1:27" ht="69.599999999999994" x14ac:dyDescent="0.25">
      <c r="A468" s="16"/>
      <c r="B468" s="20" t="b">
        <f ca="1">IFERROR(__xludf.DUMMYFUNCTION("if(D468=iferror(filter('Character Sheet'!D$13:D3002,'Character Sheet'!D$13:D3002=D468),""""),True,False)"),FALSE)</f>
        <v>0</v>
      </c>
      <c r="C468" s="20">
        <v>300</v>
      </c>
      <c r="D468" s="2" t="s">
        <v>1118</v>
      </c>
      <c r="E468" s="2" t="s">
        <v>592</v>
      </c>
      <c r="F468" s="20" t="s">
        <v>55</v>
      </c>
      <c r="G468" s="2" t="s">
        <v>1119</v>
      </c>
      <c r="H468" s="16"/>
      <c r="I468" s="20"/>
      <c r="J468" s="20"/>
      <c r="K468" s="20"/>
      <c r="L468" s="20"/>
      <c r="M468" s="20"/>
      <c r="N468" s="20"/>
      <c r="O468" s="20"/>
      <c r="P468" s="20"/>
      <c r="Q468" s="20"/>
      <c r="R468" s="20"/>
      <c r="S468" s="20"/>
      <c r="T468" s="20"/>
      <c r="U468" s="20"/>
      <c r="V468" s="20"/>
      <c r="W468" s="20"/>
      <c r="X468" s="20"/>
      <c r="Y468" s="20"/>
      <c r="Z468" s="20"/>
      <c r="AA468" s="20"/>
    </row>
    <row r="469" spans="1:27" ht="87" x14ac:dyDescent="0.25">
      <c r="A469" s="16"/>
      <c r="B469" s="20" t="b">
        <f ca="1">IFERROR(__xludf.DUMMYFUNCTION("if(D469=iferror(filter('Character Sheet'!D$13:D3002,'Character Sheet'!D$13:D3002=D469),""""),True,False)"),FALSE)</f>
        <v>0</v>
      </c>
      <c r="C469" s="20">
        <v>300</v>
      </c>
      <c r="D469" s="2" t="s">
        <v>1120</v>
      </c>
      <c r="E469" s="2" t="s">
        <v>285</v>
      </c>
      <c r="F469" s="20" t="s">
        <v>55</v>
      </c>
      <c r="G469" s="2" t="s">
        <v>1121</v>
      </c>
      <c r="H469" s="16"/>
      <c r="I469" s="20"/>
      <c r="J469" s="20"/>
      <c r="K469" s="20"/>
      <c r="L469" s="20"/>
      <c r="M469" s="20"/>
      <c r="N469" s="20"/>
      <c r="O469" s="20"/>
      <c r="P469" s="20"/>
      <c r="Q469" s="20"/>
      <c r="R469" s="20"/>
      <c r="S469" s="20"/>
      <c r="T469" s="20"/>
      <c r="U469" s="20"/>
      <c r="V469" s="20"/>
      <c r="W469" s="20"/>
      <c r="X469" s="20"/>
      <c r="Y469" s="20"/>
      <c r="Z469" s="20"/>
      <c r="AA469" s="20"/>
    </row>
    <row r="470" spans="1:27" ht="104.4" x14ac:dyDescent="0.25">
      <c r="A470" s="16"/>
      <c r="B470" s="20" t="b">
        <f ca="1">IFERROR(__xludf.DUMMYFUNCTION("if(D470=iferror(filter('Character Sheet'!D$13:D3002,'Character Sheet'!D$13:D3002=D470),""""),True,False)"),FALSE)</f>
        <v>0</v>
      </c>
      <c r="C470" s="20">
        <v>300</v>
      </c>
      <c r="D470" s="2" t="s">
        <v>1122</v>
      </c>
      <c r="E470" s="2" t="s">
        <v>610</v>
      </c>
      <c r="F470" s="20" t="s">
        <v>55</v>
      </c>
      <c r="G470" s="2" t="s">
        <v>1123</v>
      </c>
      <c r="H470" s="16"/>
      <c r="I470" s="20"/>
      <c r="J470" s="20"/>
      <c r="K470" s="20"/>
      <c r="L470" s="20"/>
      <c r="M470" s="20"/>
      <c r="N470" s="20"/>
      <c r="O470" s="20"/>
      <c r="P470" s="20"/>
      <c r="Q470" s="20"/>
      <c r="R470" s="20"/>
      <c r="S470" s="20"/>
      <c r="T470" s="20"/>
      <c r="U470" s="20"/>
      <c r="V470" s="20"/>
      <c r="W470" s="20"/>
      <c r="X470" s="20"/>
      <c r="Y470" s="20"/>
      <c r="Z470" s="20"/>
      <c r="AA470" s="20"/>
    </row>
    <row r="471" spans="1:27" ht="243.6" x14ac:dyDescent="0.25">
      <c r="A471" s="16"/>
      <c r="B471" s="20" t="b">
        <f ca="1">IFERROR(__xludf.DUMMYFUNCTION("if(D471=iferror(filter('Character Sheet'!D$13:D3002,'Character Sheet'!D$13:D3002=D471),""""),True,False)"),FALSE)</f>
        <v>0</v>
      </c>
      <c r="C471" s="20">
        <v>300</v>
      </c>
      <c r="D471" s="2" t="s">
        <v>1124</v>
      </c>
      <c r="E471" s="2" t="s">
        <v>78</v>
      </c>
      <c r="F471" s="20" t="s">
        <v>55</v>
      </c>
      <c r="G471" s="2" t="s">
        <v>1125</v>
      </c>
      <c r="H471" s="16"/>
      <c r="I471" s="20"/>
      <c r="J471" s="20"/>
      <c r="K471" s="20"/>
      <c r="L471" s="20"/>
      <c r="M471" s="20"/>
      <c r="N471" s="20"/>
      <c r="O471" s="20"/>
      <c r="P471" s="20"/>
      <c r="Q471" s="20"/>
      <c r="R471" s="20"/>
      <c r="S471" s="20"/>
      <c r="T471" s="20"/>
      <c r="U471" s="20"/>
      <c r="V471" s="20"/>
      <c r="W471" s="20"/>
      <c r="X471" s="20"/>
      <c r="Y471" s="20"/>
      <c r="Z471" s="20"/>
      <c r="AA471" s="20"/>
    </row>
    <row r="472" spans="1:27" ht="104.4" x14ac:dyDescent="0.25">
      <c r="A472" s="16"/>
      <c r="B472" s="20" t="b">
        <f ca="1">IFERROR(__xludf.DUMMYFUNCTION("if(D472=iferror(filter('Character Sheet'!D$13:D3002,'Character Sheet'!D$13:D3002=D472),""""),True,False)"),FALSE)</f>
        <v>0</v>
      </c>
      <c r="C472" s="20">
        <v>400</v>
      </c>
      <c r="D472" s="2" t="s">
        <v>27</v>
      </c>
      <c r="E472" s="2" t="s">
        <v>93</v>
      </c>
      <c r="F472" s="20" t="s">
        <v>55</v>
      </c>
      <c r="G472" s="2" t="s">
        <v>1126</v>
      </c>
      <c r="H472" s="16"/>
      <c r="I472" s="20"/>
      <c r="J472" s="20"/>
      <c r="K472" s="20"/>
      <c r="L472" s="20"/>
      <c r="M472" s="20"/>
      <c r="N472" s="20"/>
      <c r="O472" s="20"/>
      <c r="P472" s="20"/>
      <c r="Q472" s="20"/>
      <c r="R472" s="20"/>
      <c r="S472" s="20"/>
      <c r="T472" s="20"/>
      <c r="U472" s="20"/>
      <c r="V472" s="20"/>
      <c r="W472" s="20"/>
      <c r="X472" s="20"/>
      <c r="Y472" s="20"/>
      <c r="Z472" s="20"/>
      <c r="AA472" s="20"/>
    </row>
    <row r="473" spans="1:27" ht="191.4" x14ac:dyDescent="0.25">
      <c r="A473" s="16"/>
      <c r="B473" s="20" t="b">
        <f ca="1">IFERROR(__xludf.DUMMYFUNCTION("if(D473=iferror(filter('Character Sheet'!D$13:D3002,'Character Sheet'!D$13:D3002=D473),""""),True,False)"),FALSE)</f>
        <v>0</v>
      </c>
      <c r="C473" s="20">
        <v>400</v>
      </c>
      <c r="D473" s="2" t="s">
        <v>1127</v>
      </c>
      <c r="E473" s="2" t="s">
        <v>75</v>
      </c>
      <c r="F473" s="20" t="s">
        <v>55</v>
      </c>
      <c r="G473" s="2" t="s">
        <v>1128</v>
      </c>
      <c r="H473" s="16"/>
      <c r="I473" s="20"/>
      <c r="J473" s="20"/>
      <c r="K473" s="20"/>
      <c r="L473" s="20"/>
      <c r="M473" s="20"/>
      <c r="N473" s="20"/>
      <c r="O473" s="20"/>
      <c r="P473" s="20"/>
      <c r="Q473" s="20"/>
      <c r="R473" s="20"/>
      <c r="S473" s="20"/>
      <c r="T473" s="20"/>
      <c r="U473" s="20"/>
      <c r="V473" s="20"/>
      <c r="W473" s="20"/>
      <c r="X473" s="20"/>
      <c r="Y473" s="20"/>
      <c r="Z473" s="20"/>
      <c r="AA473" s="20"/>
    </row>
    <row r="474" spans="1:27" ht="139.19999999999999" x14ac:dyDescent="0.25">
      <c r="A474" s="16"/>
      <c r="B474" s="20" t="b">
        <f ca="1">IFERROR(__xludf.DUMMYFUNCTION("if(D474=iferror(filter('Character Sheet'!D$13:D3002,'Character Sheet'!D$13:D3002=D474),""""),True,False)"),FALSE)</f>
        <v>0</v>
      </c>
      <c r="C474" s="20">
        <v>400</v>
      </c>
      <c r="D474" s="2" t="s">
        <v>1129</v>
      </c>
      <c r="E474" s="2" t="s">
        <v>1130</v>
      </c>
      <c r="F474" s="20" t="s">
        <v>55</v>
      </c>
      <c r="G474" s="2" t="s">
        <v>1131</v>
      </c>
      <c r="H474" s="16"/>
      <c r="I474" s="20"/>
      <c r="J474" s="20"/>
      <c r="K474" s="20"/>
      <c r="L474" s="20"/>
      <c r="M474" s="20"/>
      <c r="N474" s="20"/>
      <c r="O474" s="20"/>
      <c r="P474" s="20"/>
      <c r="Q474" s="20"/>
      <c r="R474" s="20"/>
      <c r="S474" s="20"/>
      <c r="T474" s="20"/>
      <c r="U474" s="20"/>
      <c r="V474" s="20"/>
      <c r="W474" s="20"/>
      <c r="X474" s="20"/>
      <c r="Y474" s="20"/>
      <c r="Z474" s="20"/>
      <c r="AA474" s="20"/>
    </row>
    <row r="475" spans="1:27" ht="69.599999999999994" x14ac:dyDescent="0.25">
      <c r="A475" s="16"/>
      <c r="B475" s="20" t="b">
        <f ca="1">IFERROR(__xludf.DUMMYFUNCTION("if(D475=iferror(filter('Character Sheet'!D$13:D3002,'Character Sheet'!D$13:D3002=D475),""""),True,False)"),FALSE)</f>
        <v>0</v>
      </c>
      <c r="C475" s="20">
        <v>400</v>
      </c>
      <c r="D475" s="2" t="s">
        <v>1132</v>
      </c>
      <c r="E475" s="2" t="s">
        <v>592</v>
      </c>
      <c r="F475" s="20" t="s">
        <v>55</v>
      </c>
      <c r="G475" s="2" t="s">
        <v>1133</v>
      </c>
      <c r="H475" s="16"/>
      <c r="I475" s="20"/>
      <c r="J475" s="20"/>
      <c r="K475" s="20"/>
      <c r="L475" s="20"/>
      <c r="M475" s="20"/>
      <c r="N475" s="20"/>
      <c r="O475" s="20"/>
      <c r="P475" s="20"/>
      <c r="Q475" s="20"/>
      <c r="R475" s="20"/>
      <c r="S475" s="20"/>
      <c r="T475" s="20"/>
      <c r="U475" s="20"/>
      <c r="V475" s="20"/>
      <c r="W475" s="20"/>
      <c r="X475" s="20"/>
      <c r="Y475" s="20"/>
      <c r="Z475" s="20"/>
      <c r="AA475" s="20"/>
    </row>
    <row r="476" spans="1:27" ht="243.6" x14ac:dyDescent="0.25">
      <c r="A476" s="16"/>
      <c r="B476" s="20" t="b">
        <f ca="1">IFERROR(__xludf.DUMMYFUNCTION("if(D476=iferror(filter('Character Sheet'!D$13:D3002,'Character Sheet'!D$13:D3002=D476),""""),True,False)"),FALSE)</f>
        <v>0</v>
      </c>
      <c r="C476" s="20">
        <v>400</v>
      </c>
      <c r="D476" s="2" t="s">
        <v>1134</v>
      </c>
      <c r="E476" s="2" t="s">
        <v>355</v>
      </c>
      <c r="F476" s="20" t="s">
        <v>55</v>
      </c>
      <c r="G476" s="2" t="s">
        <v>1135</v>
      </c>
      <c r="H476" s="16"/>
      <c r="I476" s="20"/>
      <c r="J476" s="20"/>
      <c r="K476" s="20"/>
      <c r="L476" s="20"/>
      <c r="M476" s="20"/>
      <c r="N476" s="20"/>
      <c r="O476" s="20"/>
      <c r="P476" s="20"/>
      <c r="Q476" s="20"/>
      <c r="R476" s="20"/>
      <c r="S476" s="20"/>
      <c r="T476" s="20"/>
      <c r="U476" s="20"/>
      <c r="V476" s="20"/>
      <c r="W476" s="20"/>
      <c r="X476" s="20"/>
      <c r="Y476" s="20"/>
      <c r="Z476" s="20"/>
      <c r="AA476" s="20"/>
    </row>
    <row r="477" spans="1:27" ht="121.8" x14ac:dyDescent="0.25">
      <c r="A477" s="16"/>
      <c r="B477" s="20" t="b">
        <f ca="1">IFERROR(__xludf.DUMMYFUNCTION("if(D477=iferror(filter('Character Sheet'!D$13:D3002,'Character Sheet'!D$13:D3002=D477),""""),True,False)"),FALSE)</f>
        <v>0</v>
      </c>
      <c r="C477" s="20">
        <v>400</v>
      </c>
      <c r="D477" s="2" t="s">
        <v>1136</v>
      </c>
      <c r="E477" s="2" t="s">
        <v>1137</v>
      </c>
      <c r="F477" s="20" t="s">
        <v>55</v>
      </c>
      <c r="G477" s="2" t="s">
        <v>1138</v>
      </c>
      <c r="H477" s="16"/>
      <c r="I477" s="20"/>
      <c r="J477" s="20"/>
      <c r="K477" s="20"/>
      <c r="L477" s="20"/>
      <c r="M477" s="20"/>
      <c r="N477" s="20"/>
      <c r="O477" s="20"/>
      <c r="P477" s="20"/>
      <c r="Q477" s="20"/>
      <c r="R477" s="20"/>
      <c r="S477" s="20"/>
      <c r="T477" s="20"/>
      <c r="U477" s="20"/>
      <c r="V477" s="20"/>
      <c r="W477" s="20"/>
      <c r="X477" s="20"/>
      <c r="Y477" s="20"/>
      <c r="Z477" s="20"/>
      <c r="AA477" s="20"/>
    </row>
    <row r="478" spans="1:27" ht="174" x14ac:dyDescent="0.25">
      <c r="A478" s="16"/>
      <c r="B478" s="20" t="b">
        <f ca="1">IFERROR(__xludf.DUMMYFUNCTION("if(D478=iferror(filter('Character Sheet'!D$13:D3002,'Character Sheet'!D$13:D3002=D478),""""),True,False)"),FALSE)</f>
        <v>0</v>
      </c>
      <c r="C478" s="20">
        <v>400</v>
      </c>
      <c r="D478" s="2" t="s">
        <v>1139</v>
      </c>
      <c r="E478" s="2" t="s">
        <v>973</v>
      </c>
      <c r="F478" s="20" t="s">
        <v>55</v>
      </c>
      <c r="G478" s="2" t="s">
        <v>1140</v>
      </c>
      <c r="H478" s="16"/>
      <c r="I478" s="20"/>
      <c r="J478" s="20"/>
      <c r="K478" s="20"/>
      <c r="L478" s="20"/>
      <c r="M478" s="20"/>
      <c r="N478" s="20"/>
      <c r="O478" s="20"/>
      <c r="P478" s="20"/>
      <c r="Q478" s="20"/>
      <c r="R478" s="20"/>
      <c r="S478" s="20"/>
      <c r="T478" s="20"/>
      <c r="U478" s="20"/>
      <c r="V478" s="20"/>
      <c r="W478" s="20"/>
      <c r="X478" s="20"/>
      <c r="Y478" s="20"/>
      <c r="Z478" s="20"/>
      <c r="AA478" s="20"/>
    </row>
    <row r="479" spans="1:27" ht="208.8" x14ac:dyDescent="0.25">
      <c r="A479" s="16"/>
      <c r="B479" s="20" t="b">
        <f ca="1">IFERROR(__xludf.DUMMYFUNCTION("if(D479=iferror(filter('Character Sheet'!D$13:D3002,'Character Sheet'!D$13:D3002=D479),""""),True,False)"),FALSE)</f>
        <v>0</v>
      </c>
      <c r="C479" s="20">
        <v>400</v>
      </c>
      <c r="D479" s="2" t="s">
        <v>1141</v>
      </c>
      <c r="E479" s="2" t="s">
        <v>662</v>
      </c>
      <c r="F479" s="20" t="s">
        <v>55</v>
      </c>
      <c r="G479" s="2" t="s">
        <v>1142</v>
      </c>
      <c r="H479" s="16"/>
      <c r="I479" s="20"/>
      <c r="J479" s="20"/>
      <c r="K479" s="20"/>
      <c r="L479" s="20"/>
      <c r="M479" s="20"/>
      <c r="N479" s="20"/>
      <c r="O479" s="20"/>
      <c r="P479" s="20"/>
      <c r="Q479" s="20"/>
      <c r="R479" s="20"/>
      <c r="S479" s="20"/>
      <c r="T479" s="20"/>
      <c r="U479" s="20"/>
      <c r="V479" s="20"/>
      <c r="W479" s="20"/>
      <c r="X479" s="20"/>
      <c r="Y479" s="20"/>
      <c r="Z479" s="20"/>
      <c r="AA479" s="20"/>
    </row>
    <row r="480" spans="1:27" ht="87" x14ac:dyDescent="0.25">
      <c r="A480" s="16"/>
      <c r="B480" s="20" t="b">
        <f ca="1">IFERROR(__xludf.DUMMYFUNCTION("if(D480=iferror(filter('Character Sheet'!D$13:D3002,'Character Sheet'!D$13:D3002=D480),""""),True,False)"),FALSE)</f>
        <v>0</v>
      </c>
      <c r="C480" s="20">
        <v>400</v>
      </c>
      <c r="D480" s="2" t="s">
        <v>1143</v>
      </c>
      <c r="E480" s="2" t="s">
        <v>208</v>
      </c>
      <c r="F480" s="20" t="s">
        <v>55</v>
      </c>
      <c r="G480" s="2" t="s">
        <v>1144</v>
      </c>
      <c r="H480" s="16"/>
      <c r="I480" s="20"/>
      <c r="J480" s="20"/>
      <c r="K480" s="20"/>
      <c r="L480" s="20"/>
      <c r="M480" s="20"/>
      <c r="N480" s="20"/>
      <c r="O480" s="20"/>
      <c r="P480" s="20"/>
      <c r="Q480" s="20"/>
      <c r="R480" s="20"/>
      <c r="S480" s="20"/>
      <c r="T480" s="20"/>
      <c r="U480" s="20"/>
      <c r="V480" s="20"/>
      <c r="W480" s="20"/>
      <c r="X480" s="20"/>
      <c r="Y480" s="20"/>
      <c r="Z480" s="20"/>
      <c r="AA480" s="20"/>
    </row>
    <row r="481" spans="1:27" ht="156.6" x14ac:dyDescent="0.25">
      <c r="A481" s="16"/>
      <c r="B481" s="20" t="b">
        <f ca="1">IFERROR(__xludf.DUMMYFUNCTION("if(D481=iferror(filter('Character Sheet'!D$13:D3002,'Character Sheet'!D$13:D3002=D481),""""),True,False)"),FALSE)</f>
        <v>0</v>
      </c>
      <c r="C481" s="20">
        <v>400</v>
      </c>
      <c r="D481" s="2" t="s">
        <v>1145</v>
      </c>
      <c r="E481" s="2" t="s">
        <v>435</v>
      </c>
      <c r="F481" s="20" t="s">
        <v>55</v>
      </c>
      <c r="G481" s="2" t="s">
        <v>1146</v>
      </c>
      <c r="H481" s="16"/>
      <c r="I481" s="20"/>
      <c r="J481" s="20"/>
      <c r="K481" s="20"/>
      <c r="L481" s="20"/>
      <c r="M481" s="20"/>
      <c r="N481" s="20"/>
      <c r="O481" s="20"/>
      <c r="P481" s="20"/>
      <c r="Q481" s="20"/>
      <c r="R481" s="20"/>
      <c r="S481" s="20"/>
      <c r="T481" s="20"/>
      <c r="U481" s="20"/>
      <c r="V481" s="20"/>
      <c r="W481" s="20"/>
      <c r="X481" s="20"/>
      <c r="Y481" s="20"/>
      <c r="Z481" s="20"/>
      <c r="AA481" s="20"/>
    </row>
    <row r="482" spans="1:27" ht="121.8" x14ac:dyDescent="0.25">
      <c r="A482" s="16"/>
      <c r="B482" s="20" t="b">
        <f ca="1">IFERROR(__xludf.DUMMYFUNCTION("if(D482=iferror(filter('Character Sheet'!D$13:D3002,'Character Sheet'!D$13:D3002=D482),""""),True,False)"),FALSE)</f>
        <v>0</v>
      </c>
      <c r="C482" s="20">
        <v>400</v>
      </c>
      <c r="D482" s="2" t="s">
        <v>1147</v>
      </c>
      <c r="E482" s="2" t="s">
        <v>303</v>
      </c>
      <c r="F482" s="20" t="s">
        <v>55</v>
      </c>
      <c r="G482" s="2" t="s">
        <v>1148</v>
      </c>
      <c r="H482" s="16"/>
      <c r="I482" s="20"/>
      <c r="J482" s="20"/>
      <c r="K482" s="20"/>
      <c r="L482" s="20"/>
      <c r="M482" s="20"/>
      <c r="N482" s="20"/>
      <c r="O482" s="20"/>
      <c r="P482" s="20"/>
      <c r="Q482" s="20"/>
      <c r="R482" s="20"/>
      <c r="S482" s="20"/>
      <c r="T482" s="20"/>
      <c r="U482" s="20"/>
      <c r="V482" s="20"/>
      <c r="W482" s="20"/>
      <c r="X482" s="20"/>
      <c r="Y482" s="20"/>
      <c r="Z482" s="20"/>
      <c r="AA482" s="20"/>
    </row>
    <row r="483" spans="1:27" ht="313.2" x14ac:dyDescent="0.25">
      <c r="A483" s="16"/>
      <c r="B483" s="20" t="b">
        <f ca="1">IFERROR(__xludf.DUMMYFUNCTION("if(D483=iferror(filter('Character Sheet'!D$13:D3002,'Character Sheet'!D$13:D3002=D483),""""),True,False)"),FALSE)</f>
        <v>0</v>
      </c>
      <c r="C483" s="20">
        <v>400</v>
      </c>
      <c r="D483" s="2" t="s">
        <v>1149</v>
      </c>
      <c r="E483" s="2" t="s">
        <v>311</v>
      </c>
      <c r="F483" s="20" t="s">
        <v>55</v>
      </c>
      <c r="G483" s="2" t="s">
        <v>1150</v>
      </c>
      <c r="H483" s="16"/>
      <c r="I483" s="20"/>
      <c r="J483" s="20"/>
      <c r="K483" s="20"/>
      <c r="L483" s="20"/>
      <c r="M483" s="20"/>
      <c r="N483" s="20"/>
      <c r="O483" s="20"/>
      <c r="P483" s="20"/>
      <c r="Q483" s="20"/>
      <c r="R483" s="20"/>
      <c r="S483" s="20"/>
      <c r="T483" s="20"/>
      <c r="U483" s="20"/>
      <c r="V483" s="20"/>
      <c r="W483" s="20"/>
      <c r="X483" s="20"/>
      <c r="Y483" s="20"/>
      <c r="Z483" s="20"/>
      <c r="AA483" s="20"/>
    </row>
    <row r="484" spans="1:27" ht="104.4" x14ac:dyDescent="0.25">
      <c r="A484" s="16"/>
      <c r="B484" s="20" t="b">
        <f ca="1">IFERROR(__xludf.DUMMYFUNCTION("if(D484=iferror(filter('Character Sheet'!D$13:D3002,'Character Sheet'!D$13:D3002=D484),""""),True,False)"),FALSE)</f>
        <v>0</v>
      </c>
      <c r="C484" s="20">
        <v>500</v>
      </c>
      <c r="D484" s="2" t="s">
        <v>1151</v>
      </c>
      <c r="E484" s="2" t="s">
        <v>208</v>
      </c>
      <c r="F484" s="20" t="s">
        <v>55</v>
      </c>
      <c r="G484" s="2" t="s">
        <v>1152</v>
      </c>
      <c r="H484" s="16"/>
      <c r="I484" s="20"/>
      <c r="J484" s="20"/>
      <c r="K484" s="20"/>
      <c r="L484" s="20"/>
      <c r="M484" s="20"/>
      <c r="N484" s="20"/>
      <c r="O484" s="20"/>
      <c r="P484" s="20"/>
      <c r="Q484" s="20"/>
      <c r="R484" s="20"/>
      <c r="S484" s="20"/>
      <c r="T484" s="20"/>
      <c r="U484" s="20"/>
      <c r="V484" s="20"/>
      <c r="W484" s="20"/>
      <c r="X484" s="20"/>
      <c r="Y484" s="20"/>
      <c r="Z484" s="20"/>
      <c r="AA484" s="20"/>
    </row>
    <row r="485" spans="1:27" ht="87" x14ac:dyDescent="0.25">
      <c r="A485" s="16"/>
      <c r="B485" s="20" t="b">
        <f ca="1">IFERROR(__xludf.DUMMYFUNCTION("if(D485=iferror(filter('Character Sheet'!D$13:D3002,'Character Sheet'!D$13:D3002=D485),""""),True,False)"),FALSE)</f>
        <v>0</v>
      </c>
      <c r="C485" s="20">
        <v>500</v>
      </c>
      <c r="D485" s="2" t="s">
        <v>1153</v>
      </c>
      <c r="E485" s="2" t="s">
        <v>93</v>
      </c>
      <c r="F485" s="20" t="s">
        <v>55</v>
      </c>
      <c r="G485" s="2" t="s">
        <v>1154</v>
      </c>
      <c r="H485" s="16"/>
      <c r="I485" s="20"/>
      <c r="J485" s="20"/>
      <c r="K485" s="20"/>
      <c r="L485" s="20"/>
      <c r="M485" s="20"/>
      <c r="N485" s="20"/>
      <c r="O485" s="20"/>
      <c r="P485" s="20"/>
      <c r="Q485" s="20"/>
      <c r="R485" s="20"/>
      <c r="S485" s="20"/>
      <c r="T485" s="20"/>
      <c r="U485" s="20"/>
      <c r="V485" s="20"/>
      <c r="W485" s="20"/>
      <c r="X485" s="20"/>
      <c r="Y485" s="20"/>
      <c r="Z485" s="20"/>
      <c r="AA485" s="20"/>
    </row>
    <row r="486" spans="1:27" ht="208.8" x14ac:dyDescent="0.25">
      <c r="A486" s="16"/>
      <c r="B486" s="20" t="b">
        <f ca="1">IFERROR(__xludf.DUMMYFUNCTION("if(D486=iferror(filter('Character Sheet'!D$13:D3002,'Character Sheet'!D$13:D3002=D486),""""),True,False)"),FALSE)</f>
        <v>0</v>
      </c>
      <c r="C486" s="20">
        <v>500</v>
      </c>
      <c r="D486" s="2" t="s">
        <v>1155</v>
      </c>
      <c r="E486" s="2" t="s">
        <v>230</v>
      </c>
      <c r="F486" s="20" t="s">
        <v>55</v>
      </c>
      <c r="G486" s="2" t="s">
        <v>1156</v>
      </c>
      <c r="H486" s="16"/>
      <c r="I486" s="20"/>
      <c r="J486" s="20"/>
      <c r="K486" s="20"/>
      <c r="L486" s="20"/>
      <c r="M486" s="20"/>
      <c r="N486" s="20"/>
      <c r="O486" s="20"/>
      <c r="P486" s="20"/>
      <c r="Q486" s="20"/>
      <c r="R486" s="20"/>
      <c r="S486" s="20"/>
      <c r="T486" s="20"/>
      <c r="U486" s="20"/>
      <c r="V486" s="20"/>
      <c r="W486" s="20"/>
      <c r="X486" s="20"/>
      <c r="Y486" s="20"/>
      <c r="Z486" s="20"/>
      <c r="AA486" s="20"/>
    </row>
    <row r="487" spans="1:27" ht="226.2" x14ac:dyDescent="0.25">
      <c r="A487" s="16"/>
      <c r="B487" s="20" t="b">
        <f ca="1">IFERROR(__xludf.DUMMYFUNCTION("if(D487=iferror(filter('Character Sheet'!D$13:D3002,'Character Sheet'!D$13:D3002=D487),""""),True,False)"),FALSE)</f>
        <v>0</v>
      </c>
      <c r="C487" s="20">
        <v>500</v>
      </c>
      <c r="D487" s="2" t="s">
        <v>1157</v>
      </c>
      <c r="E487" s="2" t="s">
        <v>592</v>
      </c>
      <c r="F487" s="20" t="s">
        <v>55</v>
      </c>
      <c r="G487" s="2" t="s">
        <v>1158</v>
      </c>
      <c r="H487" s="16"/>
      <c r="I487" s="20"/>
      <c r="J487" s="20"/>
      <c r="K487" s="20"/>
      <c r="L487" s="20"/>
      <c r="M487" s="20"/>
      <c r="N487" s="20"/>
      <c r="O487" s="20"/>
      <c r="P487" s="20"/>
      <c r="Q487" s="20"/>
      <c r="R487" s="20"/>
      <c r="S487" s="20"/>
      <c r="T487" s="20"/>
      <c r="U487" s="20"/>
      <c r="V487" s="20"/>
      <c r="W487" s="20"/>
      <c r="X487" s="20"/>
      <c r="Y487" s="20"/>
      <c r="Z487" s="20"/>
      <c r="AA487" s="20"/>
    </row>
    <row r="488" spans="1:27" ht="87" x14ac:dyDescent="0.25">
      <c r="A488" s="16"/>
      <c r="B488" s="20" t="b">
        <f ca="1">IFERROR(__xludf.DUMMYFUNCTION("if(D488=iferror(filter('Character Sheet'!D$13:D3002,'Character Sheet'!D$13:D3002=D488),""""),True,False)"),FALSE)</f>
        <v>0</v>
      </c>
      <c r="C488" s="20">
        <v>500</v>
      </c>
      <c r="D488" s="2" t="s">
        <v>1159</v>
      </c>
      <c r="E488" s="2" t="s">
        <v>208</v>
      </c>
      <c r="F488" s="20" t="s">
        <v>55</v>
      </c>
      <c r="G488" s="2" t="s">
        <v>1160</v>
      </c>
      <c r="H488" s="16"/>
      <c r="I488" s="20"/>
      <c r="J488" s="20"/>
      <c r="K488" s="20"/>
      <c r="L488" s="20"/>
      <c r="M488" s="20"/>
      <c r="N488" s="20"/>
      <c r="O488" s="20"/>
      <c r="P488" s="20"/>
      <c r="Q488" s="20"/>
      <c r="R488" s="20"/>
      <c r="S488" s="20"/>
      <c r="T488" s="20"/>
      <c r="U488" s="20"/>
      <c r="V488" s="20"/>
      <c r="W488" s="20"/>
      <c r="X488" s="20"/>
      <c r="Y488" s="20"/>
      <c r="Z488" s="20"/>
      <c r="AA488" s="20"/>
    </row>
    <row r="489" spans="1:27" ht="104.4" x14ac:dyDescent="0.25">
      <c r="A489" s="16"/>
      <c r="B489" s="20" t="b">
        <f ca="1">IFERROR(__xludf.DUMMYFUNCTION("if(D489=iferror(filter('Character Sheet'!D$13:D3002,'Character Sheet'!D$13:D3002=D489),""""),True,False)"),FALSE)</f>
        <v>0</v>
      </c>
      <c r="C489" s="20">
        <v>500</v>
      </c>
      <c r="D489" s="2" t="s">
        <v>1161</v>
      </c>
      <c r="E489" s="2" t="s">
        <v>394</v>
      </c>
      <c r="F489" s="20" t="s">
        <v>55</v>
      </c>
      <c r="G489" s="2" t="s">
        <v>1162</v>
      </c>
      <c r="H489" s="16"/>
      <c r="I489" s="20"/>
      <c r="J489" s="20"/>
      <c r="K489" s="20"/>
      <c r="L489" s="20"/>
      <c r="M489" s="20"/>
      <c r="N489" s="20"/>
      <c r="O489" s="20"/>
      <c r="P489" s="20"/>
      <c r="Q489" s="20"/>
      <c r="R489" s="20"/>
      <c r="S489" s="20"/>
      <c r="T489" s="20"/>
      <c r="U489" s="20"/>
      <c r="V489" s="20"/>
      <c r="W489" s="20"/>
      <c r="X489" s="20"/>
      <c r="Y489" s="20"/>
      <c r="Z489" s="20"/>
      <c r="AA489" s="20"/>
    </row>
    <row r="490" spans="1:27" ht="208.8" x14ac:dyDescent="0.25">
      <c r="A490" s="16"/>
      <c r="B490" s="20" t="b">
        <f ca="1">IFERROR(__xludf.DUMMYFUNCTION("if(D490=iferror(filter('Character Sheet'!D$13:D3002,'Character Sheet'!D$13:D3002=D490),""""),True,False)"),FALSE)</f>
        <v>0</v>
      </c>
      <c r="C490" s="20">
        <v>500</v>
      </c>
      <c r="D490" s="2" t="s">
        <v>1163</v>
      </c>
      <c r="E490" s="2" t="s">
        <v>268</v>
      </c>
      <c r="F490" s="20" t="s">
        <v>55</v>
      </c>
      <c r="G490" s="2" t="s">
        <v>1164</v>
      </c>
      <c r="H490" s="16"/>
      <c r="I490" s="20"/>
      <c r="J490" s="20"/>
      <c r="K490" s="20"/>
      <c r="L490" s="20"/>
      <c r="M490" s="20"/>
      <c r="N490" s="20"/>
      <c r="O490" s="20"/>
      <c r="P490" s="20"/>
      <c r="Q490" s="20"/>
      <c r="R490" s="20"/>
      <c r="S490" s="20"/>
      <c r="T490" s="20"/>
      <c r="U490" s="20"/>
      <c r="V490" s="20"/>
      <c r="W490" s="20"/>
      <c r="X490" s="20"/>
      <c r="Y490" s="20"/>
      <c r="Z490" s="20"/>
      <c r="AA490" s="20"/>
    </row>
    <row r="491" spans="1:27" ht="261" x14ac:dyDescent="0.25">
      <c r="A491" s="16"/>
      <c r="B491" s="20" t="b">
        <f ca="1">IFERROR(__xludf.DUMMYFUNCTION("if(D491=iferror(filter('Character Sheet'!D$13:D3002,'Character Sheet'!D$13:D3002=D491),""""),True,False)"),FALSE)</f>
        <v>0</v>
      </c>
      <c r="C491" s="20">
        <v>500</v>
      </c>
      <c r="D491" s="2" t="s">
        <v>1165</v>
      </c>
      <c r="E491" s="2" t="s">
        <v>220</v>
      </c>
      <c r="F491" s="20" t="s">
        <v>55</v>
      </c>
      <c r="G491" s="2" t="s">
        <v>1166</v>
      </c>
      <c r="H491" s="16"/>
      <c r="I491" s="20"/>
      <c r="J491" s="20"/>
      <c r="K491" s="20"/>
      <c r="L491" s="20"/>
      <c r="M491" s="20"/>
      <c r="N491" s="20"/>
      <c r="O491" s="20"/>
      <c r="P491" s="20"/>
      <c r="Q491" s="20"/>
      <c r="R491" s="20"/>
      <c r="S491" s="20"/>
      <c r="T491" s="20"/>
      <c r="U491" s="20"/>
      <c r="V491" s="20"/>
      <c r="W491" s="20"/>
      <c r="X491" s="20"/>
      <c r="Y491" s="20"/>
      <c r="Z491" s="20"/>
      <c r="AA491" s="20"/>
    </row>
    <row r="492" spans="1:27" ht="191.4" x14ac:dyDescent="0.25">
      <c r="A492" s="16"/>
      <c r="B492" s="20" t="b">
        <f ca="1">IFERROR(__xludf.DUMMYFUNCTION("if(D492=iferror(filter('Character Sheet'!D$13:D3002,'Character Sheet'!D$13:D3002=D492),""""),True,False)"),FALSE)</f>
        <v>0</v>
      </c>
      <c r="C492" s="20">
        <v>600</v>
      </c>
      <c r="D492" s="2" t="s">
        <v>1167</v>
      </c>
      <c r="E492" s="2" t="s">
        <v>268</v>
      </c>
      <c r="F492" s="20" t="s">
        <v>55</v>
      </c>
      <c r="G492" s="2" t="s">
        <v>1168</v>
      </c>
      <c r="H492" s="16"/>
      <c r="I492" s="20"/>
      <c r="J492" s="20"/>
      <c r="K492" s="20"/>
      <c r="L492" s="20"/>
      <c r="M492" s="20"/>
      <c r="N492" s="20"/>
      <c r="O492" s="20"/>
      <c r="P492" s="20"/>
      <c r="Q492" s="20"/>
      <c r="R492" s="20"/>
      <c r="S492" s="20"/>
      <c r="T492" s="20"/>
      <c r="U492" s="20"/>
      <c r="V492" s="20"/>
      <c r="W492" s="20"/>
      <c r="X492" s="20"/>
      <c r="Y492" s="20"/>
      <c r="Z492" s="20"/>
      <c r="AA492" s="20"/>
    </row>
    <row r="493" spans="1:27" ht="104.4" x14ac:dyDescent="0.25">
      <c r="A493" s="16"/>
      <c r="B493" s="20" t="b">
        <f ca="1">IFERROR(__xludf.DUMMYFUNCTION("if(D493=iferror(filter('Character Sheet'!D$13:D3002,'Character Sheet'!D$13:D3002=D493),""""),True,False)"),FALSE)</f>
        <v>0</v>
      </c>
      <c r="C493" s="20">
        <v>600</v>
      </c>
      <c r="D493" s="2" t="s">
        <v>1169</v>
      </c>
      <c r="E493" s="2" t="s">
        <v>144</v>
      </c>
      <c r="F493" s="20" t="s">
        <v>55</v>
      </c>
      <c r="G493" s="2" t="s">
        <v>1170</v>
      </c>
      <c r="H493" s="16"/>
      <c r="I493" s="20"/>
      <c r="J493" s="20"/>
      <c r="K493" s="20"/>
      <c r="L493" s="20"/>
      <c r="M493" s="20"/>
      <c r="N493" s="20"/>
      <c r="O493" s="20"/>
      <c r="P493" s="20"/>
      <c r="Q493" s="20"/>
      <c r="R493" s="20"/>
      <c r="S493" s="20"/>
      <c r="T493" s="20"/>
      <c r="U493" s="20"/>
      <c r="V493" s="20"/>
      <c r="W493" s="20"/>
      <c r="X493" s="20"/>
      <c r="Y493" s="20"/>
      <c r="Z493" s="20"/>
      <c r="AA493" s="20"/>
    </row>
    <row r="494" spans="1:27" ht="104.4" x14ac:dyDescent="0.25">
      <c r="A494" s="16"/>
      <c r="B494" s="20" t="b">
        <f ca="1">IFERROR(__xludf.DUMMYFUNCTION("if(D494=iferror(filter('Character Sheet'!D$13:D3002,'Character Sheet'!D$13:D3002=D494),""""),True,False)"),FALSE)</f>
        <v>0</v>
      </c>
      <c r="C494" s="20">
        <v>600</v>
      </c>
      <c r="D494" s="2" t="s">
        <v>1171</v>
      </c>
      <c r="E494" s="2" t="s">
        <v>208</v>
      </c>
      <c r="F494" s="20" t="s">
        <v>55</v>
      </c>
      <c r="G494" s="2" t="s">
        <v>1172</v>
      </c>
      <c r="H494" s="16"/>
      <c r="I494" s="20"/>
      <c r="J494" s="20"/>
      <c r="K494" s="20"/>
      <c r="L494" s="20"/>
      <c r="M494" s="20"/>
      <c r="N494" s="20"/>
      <c r="O494" s="20"/>
      <c r="P494" s="20"/>
      <c r="Q494" s="20"/>
      <c r="R494" s="20"/>
      <c r="S494" s="20"/>
      <c r="T494" s="20"/>
      <c r="U494" s="20"/>
      <c r="V494" s="20"/>
      <c r="W494" s="20"/>
      <c r="X494" s="20"/>
      <c r="Y494" s="20"/>
      <c r="Z494" s="20"/>
      <c r="AA494" s="20"/>
    </row>
    <row r="495" spans="1:27" ht="121.8" x14ac:dyDescent="0.25">
      <c r="A495" s="16"/>
      <c r="B495" s="20" t="b">
        <f ca="1">IFERROR(__xludf.DUMMYFUNCTION("if(D495=iferror(filter('Character Sheet'!D$13:D3002,'Character Sheet'!D$13:D3002=D495),""""),True,False)"),FALSE)</f>
        <v>0</v>
      </c>
      <c r="C495" s="20">
        <v>600</v>
      </c>
      <c r="D495" s="2" t="s">
        <v>1173</v>
      </c>
      <c r="E495" s="2" t="s">
        <v>208</v>
      </c>
      <c r="F495" s="20" t="s">
        <v>55</v>
      </c>
      <c r="G495" s="2" t="s">
        <v>1174</v>
      </c>
      <c r="H495" s="16"/>
      <c r="I495" s="20"/>
      <c r="J495" s="20"/>
      <c r="K495" s="20"/>
      <c r="L495" s="20"/>
      <c r="M495" s="20"/>
      <c r="N495" s="20"/>
      <c r="O495" s="20"/>
      <c r="P495" s="20"/>
      <c r="Q495" s="20"/>
      <c r="R495" s="20"/>
      <c r="S495" s="20"/>
      <c r="T495" s="20"/>
      <c r="U495" s="20"/>
      <c r="V495" s="20"/>
      <c r="W495" s="20"/>
      <c r="X495" s="20"/>
      <c r="Y495" s="20"/>
      <c r="Z495" s="20"/>
      <c r="AA495" s="20"/>
    </row>
    <row r="496" spans="1:27" ht="104.4" x14ac:dyDescent="0.25">
      <c r="A496" s="16"/>
      <c r="B496" s="20" t="b">
        <f ca="1">IFERROR(__xludf.DUMMYFUNCTION("if(D496=iferror(filter('Character Sheet'!D$13:D3002,'Character Sheet'!D$13:D3002=D496),""""),True,False)"),FALSE)</f>
        <v>0</v>
      </c>
      <c r="C496" s="20">
        <v>600</v>
      </c>
      <c r="D496" s="2" t="s">
        <v>1175</v>
      </c>
      <c r="E496" s="2" t="s">
        <v>425</v>
      </c>
      <c r="F496" s="20" t="s">
        <v>55</v>
      </c>
      <c r="G496" s="2" t="s">
        <v>1176</v>
      </c>
      <c r="H496" s="16"/>
      <c r="I496" s="20"/>
      <c r="J496" s="20"/>
      <c r="K496" s="20"/>
      <c r="L496" s="20"/>
      <c r="M496" s="20"/>
      <c r="N496" s="20"/>
      <c r="O496" s="20"/>
      <c r="P496" s="20"/>
      <c r="Q496" s="20"/>
      <c r="R496" s="20"/>
      <c r="S496" s="20"/>
      <c r="T496" s="20"/>
      <c r="U496" s="20"/>
      <c r="V496" s="20"/>
      <c r="W496" s="20"/>
      <c r="X496" s="20"/>
      <c r="Y496" s="20"/>
      <c r="Z496" s="20"/>
      <c r="AA496" s="20"/>
    </row>
    <row r="497" spans="1:27" ht="139.19999999999999" x14ac:dyDescent="0.25">
      <c r="A497" s="16"/>
      <c r="B497" s="20" t="b">
        <f ca="1">IFERROR(__xludf.DUMMYFUNCTION("if(D497=iferror(filter('Character Sheet'!D$13:D3002,'Character Sheet'!D$13:D3002=D497),""""),True,False)"),FALSE)</f>
        <v>0</v>
      </c>
      <c r="C497" s="20">
        <v>600</v>
      </c>
      <c r="D497" s="2" t="s">
        <v>1177</v>
      </c>
      <c r="E497" s="2" t="s">
        <v>1093</v>
      </c>
      <c r="F497" s="20" t="s">
        <v>55</v>
      </c>
      <c r="G497" s="2" t="s">
        <v>1178</v>
      </c>
      <c r="H497" s="16"/>
      <c r="I497" s="20"/>
      <c r="J497" s="20"/>
      <c r="K497" s="20"/>
      <c r="L497" s="20"/>
      <c r="M497" s="20"/>
      <c r="N497" s="20"/>
      <c r="O497" s="20"/>
      <c r="P497" s="20"/>
      <c r="Q497" s="20"/>
      <c r="R497" s="20"/>
      <c r="S497" s="20"/>
      <c r="T497" s="20"/>
      <c r="U497" s="20"/>
      <c r="V497" s="20"/>
      <c r="W497" s="20"/>
      <c r="X497" s="20"/>
      <c r="Y497" s="20"/>
      <c r="Z497" s="20"/>
      <c r="AA497" s="20"/>
    </row>
    <row r="498" spans="1:27" ht="121.8" x14ac:dyDescent="0.25">
      <c r="A498" s="16"/>
      <c r="B498" s="20" t="b">
        <f ca="1">IFERROR(__xludf.DUMMYFUNCTION("if(D498=iferror(filter('Character Sheet'!D$13:D3002,'Character Sheet'!D$13:D3002=D498),""""),True,False)"),FALSE)</f>
        <v>0</v>
      </c>
      <c r="C498" s="20">
        <v>600</v>
      </c>
      <c r="D498" s="2" t="s">
        <v>1179</v>
      </c>
      <c r="E498" s="2" t="s">
        <v>208</v>
      </c>
      <c r="F498" s="20" t="s">
        <v>55</v>
      </c>
      <c r="G498" s="2" t="s">
        <v>1180</v>
      </c>
      <c r="H498" s="16"/>
      <c r="I498" s="20"/>
      <c r="J498" s="20"/>
      <c r="K498" s="20"/>
      <c r="L498" s="20"/>
      <c r="M498" s="20"/>
      <c r="N498" s="20"/>
      <c r="O498" s="20"/>
      <c r="P498" s="20"/>
      <c r="Q498" s="20"/>
      <c r="R498" s="20"/>
      <c r="S498" s="20"/>
      <c r="T498" s="20"/>
      <c r="U498" s="20"/>
      <c r="V498" s="20"/>
      <c r="W498" s="20"/>
      <c r="X498" s="20"/>
      <c r="Y498" s="20"/>
      <c r="Z498" s="20"/>
      <c r="AA498" s="20"/>
    </row>
    <row r="499" spans="1:27" ht="139.19999999999999" x14ac:dyDescent="0.25">
      <c r="A499" s="16"/>
      <c r="B499" s="20" t="b">
        <f ca="1">IFERROR(__xludf.DUMMYFUNCTION("if(D499=iferror(filter('Character Sheet'!D$13:D3002,'Character Sheet'!D$13:D3002=D499),""""),True,False)"),FALSE)</f>
        <v>0</v>
      </c>
      <c r="C499" s="20">
        <v>600</v>
      </c>
      <c r="D499" s="2" t="s">
        <v>1181</v>
      </c>
      <c r="E499" s="2" t="s">
        <v>208</v>
      </c>
      <c r="F499" s="20" t="s">
        <v>55</v>
      </c>
      <c r="G499" s="2" t="s">
        <v>1182</v>
      </c>
      <c r="H499" s="16"/>
      <c r="I499" s="20"/>
      <c r="J499" s="20"/>
      <c r="K499" s="20"/>
      <c r="L499" s="20"/>
      <c r="M499" s="20"/>
      <c r="N499" s="20"/>
      <c r="O499" s="20"/>
      <c r="P499" s="20"/>
      <c r="Q499" s="20"/>
      <c r="R499" s="20"/>
      <c r="S499" s="20"/>
      <c r="T499" s="20"/>
      <c r="U499" s="20"/>
      <c r="V499" s="20"/>
      <c r="W499" s="20"/>
      <c r="X499" s="20"/>
      <c r="Y499" s="20"/>
      <c r="Z499" s="20"/>
      <c r="AA499" s="20"/>
    </row>
    <row r="500" spans="1:27" ht="174" x14ac:dyDescent="0.25">
      <c r="A500" s="16"/>
      <c r="B500" s="20" t="b">
        <f ca="1">IFERROR(__xludf.DUMMYFUNCTION("if(D500=iferror(filter('Character Sheet'!D$13:D3002,'Character Sheet'!D$13:D3002=D500),""""),True,False)"),FALSE)</f>
        <v>0</v>
      </c>
      <c r="C500" s="20">
        <v>700</v>
      </c>
      <c r="D500" s="2" t="s">
        <v>1183</v>
      </c>
      <c r="E500" s="2" t="s">
        <v>514</v>
      </c>
      <c r="F500" s="20" t="s">
        <v>55</v>
      </c>
      <c r="G500" s="2" t="s">
        <v>1184</v>
      </c>
      <c r="H500" s="16"/>
      <c r="I500" s="20"/>
      <c r="J500" s="20"/>
      <c r="K500" s="20"/>
      <c r="L500" s="20"/>
      <c r="M500" s="20"/>
      <c r="N500" s="20"/>
      <c r="O500" s="20"/>
      <c r="P500" s="20"/>
      <c r="Q500" s="20"/>
      <c r="R500" s="20"/>
      <c r="S500" s="20"/>
      <c r="T500" s="20"/>
      <c r="U500" s="20"/>
      <c r="V500" s="20"/>
      <c r="W500" s="20"/>
      <c r="X500" s="20"/>
      <c r="Y500" s="20"/>
      <c r="Z500" s="20"/>
      <c r="AA500" s="20"/>
    </row>
    <row r="501" spans="1:27" ht="191.4" x14ac:dyDescent="0.25">
      <c r="A501" s="16"/>
      <c r="B501" s="20" t="b">
        <f ca="1">IFERROR(__xludf.DUMMYFUNCTION("if(D501=iferror(filter('Character Sheet'!D$13:D3002,'Character Sheet'!D$13:D3002=D501),""""),True,False)"),FALSE)</f>
        <v>0</v>
      </c>
      <c r="C501" s="20">
        <v>700</v>
      </c>
      <c r="D501" s="2" t="s">
        <v>1185</v>
      </c>
      <c r="E501" s="2" t="s">
        <v>662</v>
      </c>
      <c r="F501" s="20" t="s">
        <v>55</v>
      </c>
      <c r="G501" s="2" t="s">
        <v>1186</v>
      </c>
      <c r="H501" s="16"/>
      <c r="I501" s="20"/>
      <c r="J501" s="20"/>
      <c r="K501" s="20"/>
      <c r="L501" s="20"/>
      <c r="M501" s="20"/>
      <c r="N501" s="20"/>
      <c r="O501" s="20"/>
      <c r="P501" s="20"/>
      <c r="Q501" s="20"/>
      <c r="R501" s="20"/>
      <c r="S501" s="20"/>
      <c r="T501" s="20"/>
      <c r="U501" s="20"/>
      <c r="V501" s="20"/>
      <c r="W501" s="20"/>
      <c r="X501" s="20"/>
      <c r="Y501" s="20"/>
      <c r="Z501" s="20"/>
      <c r="AA501" s="20"/>
    </row>
    <row r="502" spans="1:27" ht="34.799999999999997" x14ac:dyDescent="0.25">
      <c r="A502" s="16"/>
      <c r="B502" s="20" t="b">
        <f ca="1">IFERROR(__xludf.DUMMYFUNCTION("if(D502=iferror(filter('Character Sheet'!D$13:D3002,'Character Sheet'!D$13:D3002=D502),""""),True,False)"),FALSE)</f>
        <v>0</v>
      </c>
      <c r="C502" s="20">
        <v>50</v>
      </c>
      <c r="D502" s="2" t="s">
        <v>1187</v>
      </c>
      <c r="E502" s="2" t="s">
        <v>758</v>
      </c>
      <c r="F502" s="20" t="s">
        <v>56</v>
      </c>
      <c r="G502" s="2" t="s">
        <v>1188</v>
      </c>
      <c r="H502" s="16"/>
      <c r="I502" s="20"/>
      <c r="J502" s="20"/>
      <c r="K502" s="20"/>
      <c r="L502" s="20"/>
      <c r="M502" s="20"/>
      <c r="N502" s="20"/>
      <c r="O502" s="20"/>
      <c r="P502" s="20"/>
      <c r="Q502" s="20"/>
      <c r="R502" s="20"/>
      <c r="S502" s="20"/>
      <c r="T502" s="20"/>
      <c r="U502" s="20"/>
      <c r="V502" s="20"/>
      <c r="W502" s="20"/>
      <c r="X502" s="20"/>
      <c r="Y502" s="20"/>
      <c r="Z502" s="20"/>
      <c r="AA502" s="20"/>
    </row>
    <row r="503" spans="1:27" ht="52.2" x14ac:dyDescent="0.25">
      <c r="A503" s="16"/>
      <c r="B503" s="20" t="b">
        <f ca="1">IFERROR(__xludf.DUMMYFUNCTION("if(D503=iferror(filter('Character Sheet'!D$13:D3002,'Character Sheet'!D$13:D3002=D503),""""),True,False)"),FALSE)</f>
        <v>0</v>
      </c>
      <c r="C503" s="20">
        <v>50</v>
      </c>
      <c r="D503" s="2" t="s">
        <v>1189</v>
      </c>
      <c r="E503" s="2" t="s">
        <v>131</v>
      </c>
      <c r="F503" s="20" t="s">
        <v>56</v>
      </c>
      <c r="G503" s="2" t="s">
        <v>1190</v>
      </c>
      <c r="H503" s="16"/>
      <c r="I503" s="20"/>
      <c r="J503" s="20"/>
      <c r="K503" s="20"/>
      <c r="L503" s="20"/>
      <c r="M503" s="20"/>
      <c r="N503" s="20"/>
      <c r="O503" s="20"/>
      <c r="P503" s="20"/>
      <c r="Q503" s="20"/>
      <c r="R503" s="20"/>
      <c r="S503" s="20"/>
      <c r="T503" s="20"/>
      <c r="U503" s="20"/>
      <c r="V503" s="20"/>
      <c r="W503" s="20"/>
      <c r="X503" s="20"/>
      <c r="Y503" s="20"/>
      <c r="Z503" s="20"/>
      <c r="AA503" s="20"/>
    </row>
    <row r="504" spans="1:27" ht="174" x14ac:dyDescent="0.25">
      <c r="A504" s="16"/>
      <c r="B504" s="20" t="b">
        <f ca="1">IFERROR(__xludf.DUMMYFUNCTION("if(D504=iferror(filter('Character Sheet'!D$13:D3002,'Character Sheet'!D$13:D3002=D504),""""),True,False)"),FALSE)</f>
        <v>0</v>
      </c>
      <c r="C504" s="20">
        <v>50</v>
      </c>
      <c r="D504" s="2" t="s">
        <v>1191</v>
      </c>
      <c r="E504" s="2" t="s">
        <v>124</v>
      </c>
      <c r="F504" s="20" t="s">
        <v>56</v>
      </c>
      <c r="G504" s="2" t="s">
        <v>1192</v>
      </c>
      <c r="H504" s="16"/>
      <c r="I504" s="20"/>
      <c r="J504" s="20"/>
      <c r="K504" s="20"/>
      <c r="L504" s="20"/>
      <c r="M504" s="20"/>
      <c r="N504" s="20"/>
      <c r="O504" s="20"/>
      <c r="P504" s="20"/>
      <c r="Q504" s="20"/>
      <c r="R504" s="20"/>
      <c r="S504" s="20"/>
      <c r="T504" s="20"/>
      <c r="U504" s="20"/>
      <c r="V504" s="20"/>
      <c r="W504" s="20"/>
      <c r="X504" s="20"/>
      <c r="Y504" s="20"/>
      <c r="Z504" s="20"/>
      <c r="AA504" s="20"/>
    </row>
    <row r="505" spans="1:27" ht="104.4" x14ac:dyDescent="0.25">
      <c r="A505" s="16"/>
      <c r="B505" s="20" t="b">
        <f ca="1">IFERROR(__xludf.DUMMYFUNCTION("if(D505=iferror(filter('Character Sheet'!D$13:D3002,'Character Sheet'!D$13:D3002=D505),""""),True,False)"),FALSE)</f>
        <v>0</v>
      </c>
      <c r="C505" s="20">
        <v>100</v>
      </c>
      <c r="D505" s="2" t="s">
        <v>1193</v>
      </c>
      <c r="E505" s="2" t="s">
        <v>103</v>
      </c>
      <c r="F505" s="20" t="s">
        <v>56</v>
      </c>
      <c r="G505" s="2" t="s">
        <v>1194</v>
      </c>
      <c r="H505" s="16"/>
      <c r="I505" s="20"/>
      <c r="J505" s="20"/>
      <c r="K505" s="20"/>
      <c r="L505" s="20"/>
      <c r="M505" s="20"/>
      <c r="N505" s="20"/>
      <c r="O505" s="20"/>
      <c r="P505" s="20"/>
      <c r="Q505" s="20"/>
      <c r="R505" s="20"/>
      <c r="S505" s="20"/>
      <c r="T505" s="20"/>
      <c r="U505" s="20"/>
      <c r="V505" s="20"/>
      <c r="W505" s="20"/>
      <c r="X505" s="20"/>
      <c r="Y505" s="20"/>
      <c r="Z505" s="20"/>
      <c r="AA505" s="20"/>
    </row>
    <row r="506" spans="1:27" ht="156.6" x14ac:dyDescent="0.25">
      <c r="A506" s="16"/>
      <c r="B506" s="20" t="b">
        <f ca="1">IFERROR(__xludf.DUMMYFUNCTION("if(D506=iferror(filter('Character Sheet'!D$13:D3002,'Character Sheet'!D$13:D3002=D506),""""),True,False)"),FALSE)</f>
        <v>0</v>
      </c>
      <c r="C506" s="20">
        <v>100</v>
      </c>
      <c r="D506" s="2" t="s">
        <v>1195</v>
      </c>
      <c r="E506" s="2" t="s">
        <v>973</v>
      </c>
      <c r="F506" s="20" t="s">
        <v>56</v>
      </c>
      <c r="G506" s="2" t="s">
        <v>1196</v>
      </c>
      <c r="H506" s="16"/>
      <c r="I506" s="20"/>
      <c r="J506" s="20"/>
      <c r="K506" s="20"/>
      <c r="L506" s="20"/>
      <c r="M506" s="20"/>
      <c r="N506" s="20"/>
      <c r="O506" s="20"/>
      <c r="P506" s="20"/>
      <c r="Q506" s="20"/>
      <c r="R506" s="20"/>
      <c r="S506" s="20"/>
      <c r="T506" s="20"/>
      <c r="U506" s="20"/>
      <c r="V506" s="20"/>
      <c r="W506" s="20"/>
      <c r="X506" s="20"/>
      <c r="Y506" s="20"/>
      <c r="Z506" s="20"/>
      <c r="AA506" s="20"/>
    </row>
    <row r="507" spans="1:27" ht="52.2" x14ac:dyDescent="0.25">
      <c r="A507" s="16"/>
      <c r="B507" s="20" t="b">
        <f ca="1">IFERROR(__xludf.DUMMYFUNCTION("if(D507=iferror(filter('Character Sheet'!D$13:D3002,'Character Sheet'!D$13:D3002=D507),""""),True,False)"),FALSE)</f>
        <v>0</v>
      </c>
      <c r="C507" s="20">
        <v>100</v>
      </c>
      <c r="D507" s="2" t="s">
        <v>1197</v>
      </c>
      <c r="E507" s="2" t="s">
        <v>711</v>
      </c>
      <c r="F507" s="20" t="s">
        <v>56</v>
      </c>
      <c r="G507" s="2" t="s">
        <v>1198</v>
      </c>
      <c r="H507" s="16"/>
      <c r="I507" s="20"/>
      <c r="J507" s="20"/>
      <c r="K507" s="20"/>
      <c r="L507" s="20"/>
      <c r="M507" s="20"/>
      <c r="N507" s="20"/>
      <c r="O507" s="20"/>
      <c r="P507" s="20"/>
      <c r="Q507" s="20"/>
      <c r="R507" s="20"/>
      <c r="S507" s="20"/>
      <c r="T507" s="20"/>
      <c r="U507" s="20"/>
      <c r="V507" s="20"/>
      <c r="W507" s="20"/>
      <c r="X507" s="20"/>
      <c r="Y507" s="20"/>
      <c r="Z507" s="20"/>
      <c r="AA507" s="20"/>
    </row>
    <row r="508" spans="1:27" ht="69.599999999999994" x14ac:dyDescent="0.25">
      <c r="A508" s="16"/>
      <c r="B508" s="20" t="b">
        <f ca="1">IFERROR(__xludf.DUMMYFUNCTION("if(D508=iferror(filter('Character Sheet'!D$13:D3002,'Character Sheet'!D$13:D3002=D508),""""),True,False)"),FALSE)</f>
        <v>0</v>
      </c>
      <c r="C508" s="20">
        <v>100</v>
      </c>
      <c r="D508" s="2" t="s">
        <v>1199</v>
      </c>
      <c r="E508" s="2" t="s">
        <v>451</v>
      </c>
      <c r="F508" s="20" t="s">
        <v>56</v>
      </c>
      <c r="G508" s="2" t="s">
        <v>1200</v>
      </c>
      <c r="H508" s="16"/>
      <c r="I508" s="20"/>
      <c r="J508" s="20"/>
      <c r="K508" s="20"/>
      <c r="L508" s="20"/>
      <c r="M508" s="20"/>
      <c r="N508" s="20"/>
      <c r="O508" s="20"/>
      <c r="P508" s="20"/>
      <c r="Q508" s="20"/>
      <c r="R508" s="20"/>
      <c r="S508" s="20"/>
      <c r="T508" s="20"/>
      <c r="U508" s="20"/>
      <c r="V508" s="20"/>
      <c r="W508" s="20"/>
      <c r="X508" s="20"/>
      <c r="Y508" s="20"/>
      <c r="Z508" s="20"/>
      <c r="AA508" s="20"/>
    </row>
    <row r="509" spans="1:27" ht="104.4" x14ac:dyDescent="0.25">
      <c r="A509" s="16"/>
      <c r="B509" s="20" t="b">
        <f ca="1">IFERROR(__xludf.DUMMYFUNCTION("if(D509=iferror(filter('Character Sheet'!D$13:D3002,'Character Sheet'!D$13:D3002=D509),""""),True,False)"),FALSE)</f>
        <v>0</v>
      </c>
      <c r="C509" s="20">
        <v>100</v>
      </c>
      <c r="D509" s="2" t="s">
        <v>1201</v>
      </c>
      <c r="E509" s="20" t="s">
        <v>291</v>
      </c>
      <c r="F509" s="20" t="s">
        <v>56</v>
      </c>
      <c r="G509" s="2" t="s">
        <v>1202</v>
      </c>
      <c r="H509" s="16"/>
      <c r="I509" s="20"/>
      <c r="J509" s="20"/>
      <c r="K509" s="20"/>
      <c r="L509" s="20"/>
      <c r="M509" s="20"/>
      <c r="N509" s="20"/>
      <c r="O509" s="20"/>
      <c r="P509" s="20"/>
      <c r="Q509" s="20"/>
      <c r="R509" s="20"/>
      <c r="S509" s="20"/>
      <c r="T509" s="20"/>
      <c r="U509" s="20"/>
      <c r="V509" s="20"/>
      <c r="W509" s="20"/>
      <c r="X509" s="20"/>
      <c r="Y509" s="20"/>
      <c r="Z509" s="20"/>
      <c r="AA509" s="20"/>
    </row>
    <row r="510" spans="1:27" ht="139.19999999999999" x14ac:dyDescent="0.25">
      <c r="A510" s="16"/>
      <c r="B510" s="20" t="b">
        <f ca="1">IFERROR(__xludf.DUMMYFUNCTION("if(D510=iferror(filter('Character Sheet'!D$13:D3002,'Character Sheet'!D$13:D3002=D510),""""),True,False)"),FALSE)</f>
        <v>0</v>
      </c>
      <c r="C510" s="20">
        <v>100</v>
      </c>
      <c r="D510" s="2" t="s">
        <v>1203</v>
      </c>
      <c r="E510" s="2" t="s">
        <v>720</v>
      </c>
      <c r="F510" s="20" t="s">
        <v>56</v>
      </c>
      <c r="G510" s="2" t="s">
        <v>1204</v>
      </c>
      <c r="H510" s="16"/>
      <c r="I510" s="20"/>
      <c r="J510" s="20"/>
      <c r="K510" s="20"/>
      <c r="L510" s="20"/>
      <c r="M510" s="20"/>
      <c r="N510" s="20"/>
      <c r="O510" s="20"/>
      <c r="P510" s="20"/>
      <c r="Q510" s="20"/>
      <c r="R510" s="20"/>
      <c r="S510" s="20"/>
      <c r="T510" s="20"/>
      <c r="U510" s="20"/>
      <c r="V510" s="20"/>
      <c r="W510" s="20"/>
      <c r="X510" s="20"/>
      <c r="Y510" s="20"/>
      <c r="Z510" s="20"/>
      <c r="AA510" s="20"/>
    </row>
    <row r="511" spans="1:27" ht="52.2" x14ac:dyDescent="0.25">
      <c r="A511" s="16"/>
      <c r="B511" s="20" t="b">
        <f ca="1">IFERROR(__xludf.DUMMYFUNCTION("if(D511=iferror(filter('Character Sheet'!D$13:D3002,'Character Sheet'!D$13:D3002=D511),""""),True,False)"),FALSE)</f>
        <v>0</v>
      </c>
      <c r="C511" s="20">
        <v>100</v>
      </c>
      <c r="D511" s="2" t="s">
        <v>1205</v>
      </c>
      <c r="E511" s="2" t="s">
        <v>1206</v>
      </c>
      <c r="F511" s="20" t="s">
        <v>56</v>
      </c>
      <c r="G511" s="2" t="s">
        <v>1207</v>
      </c>
      <c r="H511" s="16"/>
      <c r="I511" s="20"/>
      <c r="J511" s="20"/>
      <c r="K511" s="20"/>
      <c r="L511" s="20"/>
      <c r="M511" s="20"/>
      <c r="N511" s="20"/>
      <c r="O511" s="20"/>
      <c r="P511" s="20"/>
      <c r="Q511" s="20"/>
      <c r="R511" s="20"/>
      <c r="S511" s="20"/>
      <c r="T511" s="20"/>
      <c r="U511" s="20"/>
      <c r="V511" s="20"/>
      <c r="W511" s="20"/>
      <c r="X511" s="20"/>
      <c r="Y511" s="20"/>
      <c r="Z511" s="20"/>
      <c r="AA511" s="20"/>
    </row>
    <row r="512" spans="1:27" ht="87" x14ac:dyDescent="0.25">
      <c r="A512" s="16"/>
      <c r="B512" s="20" t="b">
        <f ca="1">IFERROR(__xludf.DUMMYFUNCTION("if(D512=iferror(filter('Character Sheet'!D$13:D3002,'Character Sheet'!D$13:D3002=D512),""""),True,False)"),FALSE)</f>
        <v>0</v>
      </c>
      <c r="C512" s="20">
        <v>100</v>
      </c>
      <c r="D512" s="2" t="s">
        <v>1208</v>
      </c>
      <c r="E512" s="2" t="s">
        <v>514</v>
      </c>
      <c r="F512" s="20" t="s">
        <v>56</v>
      </c>
      <c r="G512" s="2" t="s">
        <v>1209</v>
      </c>
      <c r="H512" s="16"/>
      <c r="I512" s="20"/>
      <c r="J512" s="20"/>
      <c r="K512" s="20"/>
      <c r="L512" s="20"/>
      <c r="M512" s="20"/>
      <c r="N512" s="20"/>
      <c r="O512" s="20"/>
      <c r="P512" s="20"/>
      <c r="Q512" s="20"/>
      <c r="R512" s="20"/>
      <c r="S512" s="20"/>
      <c r="T512" s="20"/>
      <c r="U512" s="20"/>
      <c r="V512" s="20"/>
      <c r="W512" s="20"/>
      <c r="X512" s="20"/>
      <c r="Y512" s="20"/>
      <c r="Z512" s="20"/>
      <c r="AA512" s="20"/>
    </row>
    <row r="513" spans="1:27" ht="121.8" x14ac:dyDescent="0.25">
      <c r="A513" s="16"/>
      <c r="B513" s="20" t="b">
        <f ca="1">IFERROR(__xludf.DUMMYFUNCTION("if(D513=iferror(filter('Character Sheet'!D$13:D3002,'Character Sheet'!D$13:D3002=D513),""""),True,False)"),FALSE)</f>
        <v>0</v>
      </c>
      <c r="C513" s="20">
        <v>100</v>
      </c>
      <c r="D513" s="2" t="s">
        <v>1210</v>
      </c>
      <c r="E513" s="2" t="s">
        <v>475</v>
      </c>
      <c r="F513" s="20" t="s">
        <v>56</v>
      </c>
      <c r="G513" s="2" t="s">
        <v>1211</v>
      </c>
      <c r="H513" s="16"/>
      <c r="I513" s="20"/>
      <c r="J513" s="20"/>
      <c r="K513" s="20"/>
      <c r="L513" s="20"/>
      <c r="M513" s="20"/>
      <c r="N513" s="20"/>
      <c r="O513" s="20"/>
      <c r="P513" s="20"/>
      <c r="Q513" s="20"/>
      <c r="R513" s="20"/>
      <c r="S513" s="20"/>
      <c r="T513" s="20"/>
      <c r="U513" s="20"/>
      <c r="V513" s="20"/>
      <c r="W513" s="20"/>
      <c r="X513" s="20"/>
      <c r="Y513" s="20"/>
      <c r="Z513" s="20"/>
      <c r="AA513" s="20"/>
    </row>
    <row r="514" spans="1:27" ht="52.2" x14ac:dyDescent="0.25">
      <c r="A514" s="16"/>
      <c r="B514" s="20" t="b">
        <f ca="1">IFERROR(__xludf.DUMMYFUNCTION("if(D514=iferror(filter('Character Sheet'!D$13:D3002,'Character Sheet'!D$13:D3002=D514),""""),True,False)"),FALSE)</f>
        <v>0</v>
      </c>
      <c r="C514" s="20">
        <v>100</v>
      </c>
      <c r="D514" s="2" t="s">
        <v>1212</v>
      </c>
      <c r="E514" s="2" t="s">
        <v>711</v>
      </c>
      <c r="F514" s="20" t="s">
        <v>56</v>
      </c>
      <c r="G514" s="2" t="s">
        <v>1213</v>
      </c>
      <c r="H514" s="16"/>
      <c r="I514" s="20"/>
      <c r="J514" s="20"/>
      <c r="K514" s="20"/>
      <c r="L514" s="20"/>
      <c r="M514" s="20"/>
      <c r="N514" s="20"/>
      <c r="O514" s="20"/>
      <c r="P514" s="20"/>
      <c r="Q514" s="20"/>
      <c r="R514" s="20"/>
      <c r="S514" s="20"/>
      <c r="T514" s="20"/>
      <c r="U514" s="20"/>
      <c r="V514" s="20"/>
      <c r="W514" s="20"/>
      <c r="X514" s="20"/>
      <c r="Y514" s="20"/>
      <c r="Z514" s="20"/>
      <c r="AA514" s="20"/>
    </row>
    <row r="515" spans="1:27" ht="156.6" x14ac:dyDescent="0.25">
      <c r="A515" s="16"/>
      <c r="B515" s="20" t="b">
        <f ca="1">IFERROR(__xludf.DUMMYFUNCTION("if(D515=iferror(filter('Character Sheet'!D$13:D3002,'Character Sheet'!D$13:D3002=D515),""""),True,False)"),FALSE)</f>
        <v>0</v>
      </c>
      <c r="C515" s="20">
        <v>100</v>
      </c>
      <c r="D515" s="2" t="s">
        <v>1214</v>
      </c>
      <c r="E515" s="2" t="s">
        <v>271</v>
      </c>
      <c r="F515" s="20" t="s">
        <v>56</v>
      </c>
      <c r="G515" s="2" t="s">
        <v>1215</v>
      </c>
      <c r="H515" s="16"/>
      <c r="I515" s="20"/>
      <c r="J515" s="20"/>
      <c r="K515" s="20"/>
      <c r="L515" s="20"/>
      <c r="M515" s="20"/>
      <c r="N515" s="20"/>
      <c r="O515" s="20"/>
      <c r="P515" s="20"/>
      <c r="Q515" s="20"/>
      <c r="R515" s="20"/>
      <c r="S515" s="20"/>
      <c r="T515" s="20"/>
      <c r="U515" s="20"/>
      <c r="V515" s="20"/>
      <c r="W515" s="20"/>
      <c r="X515" s="20"/>
      <c r="Y515" s="20"/>
      <c r="Z515" s="20"/>
      <c r="AA515" s="20"/>
    </row>
    <row r="516" spans="1:27" ht="226.2" x14ac:dyDescent="0.25">
      <c r="A516" s="16"/>
      <c r="B516" s="20" t="b">
        <f ca="1">IFERROR(__xludf.DUMMYFUNCTION("if(D516=iferror(filter('Character Sheet'!D$13:D3002,'Character Sheet'!D$13:D3002=D516),""""),True,False)"),FALSE)</f>
        <v>0</v>
      </c>
      <c r="C516" s="20">
        <v>100</v>
      </c>
      <c r="D516" s="2" t="s">
        <v>1216</v>
      </c>
      <c r="E516" s="2" t="s">
        <v>1217</v>
      </c>
      <c r="F516" s="20" t="s">
        <v>56</v>
      </c>
      <c r="G516" s="2" t="s">
        <v>1218</v>
      </c>
      <c r="H516" s="16"/>
      <c r="I516" s="20"/>
      <c r="J516" s="20"/>
      <c r="K516" s="20"/>
      <c r="L516" s="20"/>
      <c r="M516" s="20"/>
      <c r="N516" s="20"/>
      <c r="O516" s="20"/>
      <c r="P516" s="20"/>
      <c r="Q516" s="20"/>
      <c r="R516" s="20"/>
      <c r="S516" s="20"/>
      <c r="T516" s="20"/>
      <c r="U516" s="20"/>
      <c r="V516" s="20"/>
      <c r="W516" s="20"/>
      <c r="X516" s="20"/>
      <c r="Y516" s="20"/>
      <c r="Z516" s="20"/>
      <c r="AA516" s="20"/>
    </row>
    <row r="517" spans="1:27" ht="191.4" x14ac:dyDescent="0.25">
      <c r="A517" s="16"/>
      <c r="B517" s="20" t="b">
        <f ca="1">IFERROR(__xludf.DUMMYFUNCTION("if(D517=iferror(filter('Character Sheet'!D$13:D3002,'Character Sheet'!D$13:D3002=D517),""""),True,False)"),FALSE)</f>
        <v>0</v>
      </c>
      <c r="C517" s="20">
        <v>100</v>
      </c>
      <c r="D517" s="2" t="s">
        <v>1219</v>
      </c>
      <c r="E517" s="2" t="s">
        <v>124</v>
      </c>
      <c r="F517" s="20" t="s">
        <v>56</v>
      </c>
      <c r="G517" s="2" t="s">
        <v>1220</v>
      </c>
      <c r="H517" s="16"/>
      <c r="I517" s="20"/>
      <c r="J517" s="20"/>
      <c r="K517" s="20"/>
      <c r="L517" s="20"/>
      <c r="M517" s="20"/>
      <c r="N517" s="20"/>
      <c r="O517" s="20"/>
      <c r="P517" s="20"/>
      <c r="Q517" s="20"/>
      <c r="R517" s="20"/>
      <c r="S517" s="20"/>
      <c r="T517" s="20"/>
      <c r="U517" s="20"/>
      <c r="V517" s="20"/>
      <c r="W517" s="20"/>
      <c r="X517" s="20"/>
      <c r="Y517" s="20"/>
      <c r="Z517" s="20"/>
      <c r="AA517" s="20"/>
    </row>
    <row r="518" spans="1:27" ht="409.6" x14ac:dyDescent="0.25">
      <c r="A518" s="16"/>
      <c r="B518" s="20" t="b">
        <f ca="1">IFERROR(__xludf.DUMMYFUNCTION("if(D518=iferror(filter('Character Sheet'!D$13:D3002,'Character Sheet'!D$13:D3002=D518),""""),True,False)"),FALSE)</f>
        <v>0</v>
      </c>
      <c r="C518" s="20">
        <v>100</v>
      </c>
      <c r="D518" s="2" t="s">
        <v>56</v>
      </c>
      <c r="E518" s="2" t="s">
        <v>69</v>
      </c>
      <c r="F518" s="20" t="s">
        <v>56</v>
      </c>
      <c r="G518" s="2" t="s">
        <v>1221</v>
      </c>
      <c r="H518" s="16"/>
      <c r="I518" s="20"/>
      <c r="J518" s="20"/>
      <c r="K518" s="20"/>
      <c r="L518" s="20"/>
      <c r="M518" s="20"/>
      <c r="N518" s="20"/>
      <c r="O518" s="20"/>
      <c r="P518" s="20"/>
      <c r="Q518" s="20"/>
      <c r="R518" s="20"/>
      <c r="S518" s="20"/>
      <c r="T518" s="20"/>
      <c r="U518" s="20"/>
      <c r="V518" s="20"/>
      <c r="W518" s="20"/>
      <c r="X518" s="20"/>
      <c r="Y518" s="20"/>
      <c r="Z518" s="20"/>
      <c r="AA518" s="20"/>
    </row>
    <row r="519" spans="1:27" ht="69.599999999999994" x14ac:dyDescent="0.25">
      <c r="A519" s="16"/>
      <c r="B519" s="20" t="b">
        <f ca="1">IFERROR(__xludf.DUMMYFUNCTION("if(D519=iferror(filter('Character Sheet'!D$13:D3002,'Character Sheet'!D$13:D3002=D519),""""),True,False)"),FALSE)</f>
        <v>0</v>
      </c>
      <c r="C519" s="20">
        <v>100</v>
      </c>
      <c r="D519" s="2" t="s">
        <v>1222</v>
      </c>
      <c r="E519" s="2" t="s">
        <v>81</v>
      </c>
      <c r="F519" s="20" t="s">
        <v>56</v>
      </c>
      <c r="G519" s="2" t="s">
        <v>1223</v>
      </c>
      <c r="H519" s="16"/>
      <c r="I519" s="20"/>
      <c r="J519" s="20"/>
      <c r="K519" s="20"/>
      <c r="L519" s="20"/>
      <c r="M519" s="20"/>
      <c r="N519" s="20"/>
      <c r="O519" s="20"/>
      <c r="P519" s="20"/>
      <c r="Q519" s="20"/>
      <c r="R519" s="20"/>
      <c r="S519" s="20"/>
      <c r="T519" s="20"/>
      <c r="U519" s="20"/>
      <c r="V519" s="20"/>
      <c r="W519" s="20"/>
      <c r="X519" s="20"/>
      <c r="Y519" s="20"/>
      <c r="Z519" s="20"/>
      <c r="AA519" s="20"/>
    </row>
    <row r="520" spans="1:27" ht="121.8" x14ac:dyDescent="0.25">
      <c r="A520" s="16"/>
      <c r="B520" s="20" t="b">
        <f ca="1">IFERROR(__xludf.DUMMYFUNCTION("if(D520=iferror(filter('Character Sheet'!D$13:D3002,'Character Sheet'!D$13:D3002=D520),""""),True,False)"),FALSE)</f>
        <v>0</v>
      </c>
      <c r="C520" s="20">
        <v>100</v>
      </c>
      <c r="D520" s="2" t="s">
        <v>1224</v>
      </c>
      <c r="E520" s="2" t="s">
        <v>87</v>
      </c>
      <c r="F520" s="20" t="s">
        <v>56</v>
      </c>
      <c r="G520" s="2" t="s">
        <v>1225</v>
      </c>
      <c r="H520" s="16"/>
      <c r="I520" s="20"/>
      <c r="J520" s="20"/>
      <c r="K520" s="20"/>
      <c r="L520" s="20"/>
      <c r="M520" s="20"/>
      <c r="N520" s="20"/>
      <c r="O520" s="20"/>
      <c r="P520" s="20"/>
      <c r="Q520" s="20"/>
      <c r="R520" s="20"/>
      <c r="S520" s="20"/>
      <c r="T520" s="20"/>
      <c r="U520" s="20"/>
      <c r="V520" s="20"/>
      <c r="W520" s="20"/>
      <c r="X520" s="20"/>
      <c r="Y520" s="20"/>
      <c r="Z520" s="20"/>
      <c r="AA520" s="20"/>
    </row>
    <row r="521" spans="1:27" ht="139.19999999999999" x14ac:dyDescent="0.25">
      <c r="A521" s="16"/>
      <c r="B521" s="20" t="b">
        <f ca="1">IFERROR(__xludf.DUMMYFUNCTION("if(D521=iferror(filter('Character Sheet'!D$13:D3002,'Character Sheet'!D$13:D3002=D521),""""),True,False)"),FALSE)</f>
        <v>0</v>
      </c>
      <c r="C521" s="20">
        <v>100</v>
      </c>
      <c r="D521" s="2" t="s">
        <v>1226</v>
      </c>
      <c r="E521" s="2" t="s">
        <v>87</v>
      </c>
      <c r="F521" s="20" t="s">
        <v>56</v>
      </c>
      <c r="G521" s="2" t="s">
        <v>1227</v>
      </c>
      <c r="H521" s="16"/>
      <c r="I521" s="20"/>
      <c r="J521" s="20"/>
      <c r="K521" s="20"/>
      <c r="L521" s="20"/>
      <c r="M521" s="20"/>
      <c r="N521" s="20"/>
      <c r="O521" s="20"/>
      <c r="P521" s="20"/>
      <c r="Q521" s="20"/>
      <c r="R521" s="20"/>
      <c r="S521" s="20"/>
      <c r="T521" s="20"/>
      <c r="U521" s="20"/>
      <c r="V521" s="20"/>
      <c r="W521" s="20"/>
      <c r="X521" s="20"/>
      <c r="Y521" s="20"/>
      <c r="Z521" s="20"/>
      <c r="AA521" s="20"/>
    </row>
    <row r="522" spans="1:27" ht="104.4" x14ac:dyDescent="0.25">
      <c r="A522" s="16"/>
      <c r="B522" s="20" t="b">
        <f ca="1">IFERROR(__xludf.DUMMYFUNCTION("if(D522=iferror(filter('Character Sheet'!D$13:D3002,'Character Sheet'!D$13:D3002=D522),""""),True,False)"),FALSE)</f>
        <v>0</v>
      </c>
      <c r="C522" s="20">
        <v>100</v>
      </c>
      <c r="D522" s="2" t="s">
        <v>1228</v>
      </c>
      <c r="E522" s="2" t="s">
        <v>1206</v>
      </c>
      <c r="F522" s="20" t="s">
        <v>56</v>
      </c>
      <c r="G522" s="2" t="s">
        <v>1229</v>
      </c>
      <c r="H522" s="16"/>
      <c r="I522" s="20"/>
      <c r="J522" s="20"/>
      <c r="K522" s="20"/>
      <c r="L522" s="20"/>
      <c r="M522" s="20"/>
      <c r="N522" s="20"/>
      <c r="O522" s="20"/>
      <c r="P522" s="20"/>
      <c r="Q522" s="20"/>
      <c r="R522" s="20"/>
      <c r="S522" s="20"/>
      <c r="T522" s="20"/>
      <c r="U522" s="20"/>
      <c r="V522" s="20"/>
      <c r="W522" s="20"/>
      <c r="X522" s="20"/>
      <c r="Y522" s="20"/>
      <c r="Z522" s="20"/>
      <c r="AA522" s="20"/>
    </row>
    <row r="523" spans="1:27" ht="87" x14ac:dyDescent="0.25">
      <c r="A523" s="16"/>
      <c r="B523" s="20" t="b">
        <f ca="1">IFERROR(__xludf.DUMMYFUNCTION("if(D523=iferror(filter('Character Sheet'!D$13:D3002,'Character Sheet'!D$13:D3002=D523),""""),True,False)"),FALSE)</f>
        <v>0</v>
      </c>
      <c r="C523" s="20">
        <v>100</v>
      </c>
      <c r="D523" s="2" t="s">
        <v>1230</v>
      </c>
      <c r="E523" s="2" t="s">
        <v>610</v>
      </c>
      <c r="F523" s="20" t="s">
        <v>56</v>
      </c>
      <c r="G523" s="2" t="s">
        <v>1231</v>
      </c>
      <c r="H523" s="16"/>
      <c r="I523" s="20"/>
      <c r="J523" s="20"/>
      <c r="K523" s="20"/>
      <c r="L523" s="20"/>
      <c r="M523" s="20"/>
      <c r="N523" s="20"/>
      <c r="O523" s="20"/>
      <c r="P523" s="20"/>
      <c r="Q523" s="20"/>
      <c r="R523" s="20"/>
      <c r="S523" s="20"/>
      <c r="T523" s="20"/>
      <c r="U523" s="20"/>
      <c r="V523" s="20"/>
      <c r="W523" s="20"/>
      <c r="X523" s="20"/>
      <c r="Y523" s="20"/>
      <c r="Z523" s="20"/>
      <c r="AA523" s="20"/>
    </row>
    <row r="524" spans="1:27" ht="52.2" x14ac:dyDescent="0.25">
      <c r="A524" s="16"/>
      <c r="B524" s="20" t="b">
        <f ca="1">IFERROR(__xludf.DUMMYFUNCTION("if(D524=iferror(filter('Character Sheet'!D$13:D3002,'Character Sheet'!D$13:D3002=D524),""""),True,False)"),FALSE)</f>
        <v>0</v>
      </c>
      <c r="C524" s="20">
        <v>100</v>
      </c>
      <c r="D524" s="2" t="s">
        <v>1232</v>
      </c>
      <c r="E524" s="2" t="s">
        <v>521</v>
      </c>
      <c r="F524" s="20" t="s">
        <v>56</v>
      </c>
      <c r="G524" s="2" t="s">
        <v>1233</v>
      </c>
      <c r="H524" s="16"/>
      <c r="I524" s="20"/>
      <c r="J524" s="20"/>
      <c r="K524" s="20"/>
      <c r="L524" s="20"/>
      <c r="M524" s="20"/>
      <c r="N524" s="20"/>
      <c r="O524" s="20"/>
      <c r="P524" s="20"/>
      <c r="Q524" s="20"/>
      <c r="R524" s="20"/>
      <c r="S524" s="20"/>
      <c r="T524" s="20"/>
      <c r="U524" s="20"/>
      <c r="V524" s="20"/>
      <c r="W524" s="20"/>
      <c r="X524" s="20"/>
      <c r="Y524" s="20"/>
      <c r="Z524" s="20"/>
      <c r="AA524" s="20"/>
    </row>
    <row r="525" spans="1:27" ht="69.599999999999994" x14ac:dyDescent="0.25">
      <c r="A525" s="16"/>
      <c r="B525" s="20" t="b">
        <f ca="1">IFERROR(__xludf.DUMMYFUNCTION("if(D525=iferror(filter('Character Sheet'!D$13:D3002,'Character Sheet'!D$13:D3002=D525),""""),True,False)"),FALSE)</f>
        <v>0</v>
      </c>
      <c r="C525" s="20">
        <v>100</v>
      </c>
      <c r="D525" s="2" t="s">
        <v>1234</v>
      </c>
      <c r="E525" s="2" t="s">
        <v>738</v>
      </c>
      <c r="F525" s="20" t="s">
        <v>56</v>
      </c>
      <c r="G525" s="2" t="s">
        <v>1235</v>
      </c>
      <c r="H525" s="16"/>
      <c r="I525" s="20"/>
      <c r="J525" s="20"/>
      <c r="K525" s="20"/>
      <c r="L525" s="20"/>
      <c r="M525" s="20"/>
      <c r="N525" s="20"/>
      <c r="O525" s="20"/>
      <c r="P525" s="20"/>
      <c r="Q525" s="20"/>
      <c r="R525" s="20"/>
      <c r="S525" s="20"/>
      <c r="T525" s="20"/>
      <c r="U525" s="20"/>
      <c r="V525" s="20"/>
      <c r="W525" s="20"/>
      <c r="X525" s="20"/>
      <c r="Y525" s="20"/>
      <c r="Z525" s="20"/>
      <c r="AA525" s="20"/>
    </row>
    <row r="526" spans="1:27" ht="87" x14ac:dyDescent="0.25">
      <c r="A526" s="16"/>
      <c r="B526" s="20" t="b">
        <f ca="1">IFERROR(__xludf.DUMMYFUNCTION("if(D526=iferror(filter('Character Sheet'!D$13:D3002,'Character Sheet'!D$13:D3002=D526),""""),True,False)"),FALSE)</f>
        <v>0</v>
      </c>
      <c r="C526" s="20">
        <v>100</v>
      </c>
      <c r="D526" s="2" t="s">
        <v>1236</v>
      </c>
      <c r="E526" s="2" t="s">
        <v>350</v>
      </c>
      <c r="F526" s="20" t="s">
        <v>56</v>
      </c>
      <c r="G526" s="2" t="s">
        <v>1237</v>
      </c>
      <c r="H526" s="16"/>
      <c r="I526" s="20"/>
      <c r="J526" s="20"/>
      <c r="K526" s="20"/>
      <c r="L526" s="20"/>
      <c r="M526" s="20"/>
      <c r="N526" s="20"/>
      <c r="O526" s="20"/>
      <c r="P526" s="20"/>
      <c r="Q526" s="20"/>
      <c r="R526" s="20"/>
      <c r="S526" s="20"/>
      <c r="T526" s="20"/>
      <c r="U526" s="20"/>
      <c r="V526" s="20"/>
      <c r="W526" s="20"/>
      <c r="X526" s="20"/>
      <c r="Y526" s="20"/>
      <c r="Z526" s="20"/>
      <c r="AA526" s="20"/>
    </row>
    <row r="527" spans="1:27" ht="139.19999999999999" x14ac:dyDescent="0.25">
      <c r="A527" s="16"/>
      <c r="B527" s="20" t="b">
        <f ca="1">IFERROR(__xludf.DUMMYFUNCTION("if(D527=iferror(filter('Character Sheet'!D$13:D3002,'Character Sheet'!D$13:D3002=D527),""""),True,False)"),FALSE)</f>
        <v>0</v>
      </c>
      <c r="C527" s="20">
        <v>100</v>
      </c>
      <c r="D527" s="2" t="s">
        <v>1238</v>
      </c>
      <c r="E527" s="2" t="s">
        <v>1239</v>
      </c>
      <c r="F527" s="20" t="s">
        <v>56</v>
      </c>
      <c r="G527" s="2" t="s">
        <v>1240</v>
      </c>
      <c r="H527" s="16"/>
      <c r="I527" s="20"/>
      <c r="J527" s="20"/>
      <c r="K527" s="20"/>
      <c r="L527" s="20"/>
      <c r="M527" s="20"/>
      <c r="N527" s="20"/>
      <c r="O527" s="20"/>
      <c r="P527" s="20"/>
      <c r="Q527" s="20"/>
      <c r="R527" s="20"/>
      <c r="S527" s="20"/>
      <c r="T527" s="20"/>
      <c r="U527" s="20"/>
      <c r="V527" s="20"/>
      <c r="W527" s="20"/>
      <c r="X527" s="20"/>
      <c r="Y527" s="20"/>
      <c r="Z527" s="20"/>
      <c r="AA527" s="20"/>
    </row>
    <row r="528" spans="1:27" ht="104.4" x14ac:dyDescent="0.25">
      <c r="A528" s="16"/>
      <c r="B528" s="20" t="b">
        <f ca="1">IFERROR(__xludf.DUMMYFUNCTION("if(D528=iferror(filter('Character Sheet'!D$13:D3002,'Character Sheet'!D$13:D3002=D528),""""),True,False)"),FALSE)</f>
        <v>0</v>
      </c>
      <c r="C528" s="20">
        <v>100</v>
      </c>
      <c r="D528" s="2" t="s">
        <v>1241</v>
      </c>
      <c r="E528" s="2" t="s">
        <v>93</v>
      </c>
      <c r="F528" s="20" t="s">
        <v>56</v>
      </c>
      <c r="G528" s="2" t="s">
        <v>1242</v>
      </c>
      <c r="H528" s="16"/>
      <c r="I528" s="20"/>
      <c r="J528" s="20"/>
      <c r="K528" s="20"/>
      <c r="L528" s="20"/>
      <c r="M528" s="20"/>
      <c r="N528" s="20"/>
      <c r="O528" s="20"/>
      <c r="P528" s="20"/>
      <c r="Q528" s="20"/>
      <c r="R528" s="20"/>
      <c r="S528" s="20"/>
      <c r="T528" s="20"/>
      <c r="U528" s="20"/>
      <c r="V528" s="20"/>
      <c r="W528" s="20"/>
      <c r="X528" s="20"/>
      <c r="Y528" s="20"/>
      <c r="Z528" s="20"/>
      <c r="AA528" s="20"/>
    </row>
    <row r="529" spans="1:27" ht="156.6" x14ac:dyDescent="0.25">
      <c r="A529" s="16"/>
      <c r="B529" s="20" t="b">
        <f ca="1">IFERROR(__xludf.DUMMYFUNCTION("if(D529=iferror(filter('Character Sheet'!D$13:D3002,'Character Sheet'!D$13:D3002=D529),""""),True,False)"),FALSE)</f>
        <v>0</v>
      </c>
      <c r="C529" s="20">
        <v>100</v>
      </c>
      <c r="D529" s="2" t="s">
        <v>1243</v>
      </c>
      <c r="E529" s="2" t="s">
        <v>1244</v>
      </c>
      <c r="F529" s="20" t="s">
        <v>56</v>
      </c>
      <c r="G529" s="2" t="s">
        <v>1245</v>
      </c>
      <c r="H529" s="16"/>
      <c r="I529" s="20"/>
      <c r="J529" s="20"/>
      <c r="K529" s="20"/>
      <c r="L529" s="20"/>
      <c r="M529" s="20"/>
      <c r="N529" s="20"/>
      <c r="O529" s="20"/>
      <c r="P529" s="20"/>
      <c r="Q529" s="20"/>
      <c r="R529" s="20"/>
      <c r="S529" s="20"/>
      <c r="T529" s="20"/>
      <c r="U529" s="20"/>
      <c r="V529" s="20"/>
      <c r="W529" s="20"/>
      <c r="X529" s="20"/>
      <c r="Y529" s="20"/>
      <c r="Z529" s="20"/>
      <c r="AA529" s="20"/>
    </row>
    <row r="530" spans="1:27" ht="139.19999999999999" x14ac:dyDescent="0.25">
      <c r="A530" s="16"/>
      <c r="B530" s="20" t="b">
        <f ca="1">IFERROR(__xludf.DUMMYFUNCTION("if(D530=iferror(filter('Character Sheet'!D$13:D3002,'Character Sheet'!D$13:D3002=D530),""""),True,False)"),FALSE)</f>
        <v>0</v>
      </c>
      <c r="C530" s="20">
        <v>100</v>
      </c>
      <c r="D530" s="2" t="s">
        <v>1246</v>
      </c>
      <c r="E530" s="2" t="s">
        <v>69</v>
      </c>
      <c r="F530" s="20" t="s">
        <v>56</v>
      </c>
      <c r="G530" s="2" t="s">
        <v>1247</v>
      </c>
      <c r="H530" s="16"/>
      <c r="I530" s="20"/>
      <c r="J530" s="20"/>
      <c r="K530" s="20"/>
      <c r="L530" s="20"/>
      <c r="M530" s="20"/>
      <c r="N530" s="20"/>
      <c r="O530" s="20"/>
      <c r="P530" s="20"/>
      <c r="Q530" s="20"/>
      <c r="R530" s="20"/>
      <c r="S530" s="20"/>
      <c r="T530" s="20"/>
      <c r="U530" s="20"/>
      <c r="V530" s="20"/>
      <c r="W530" s="20"/>
      <c r="X530" s="20"/>
      <c r="Y530" s="20"/>
      <c r="Z530" s="20"/>
      <c r="AA530" s="20"/>
    </row>
    <row r="531" spans="1:27" ht="156.6" x14ac:dyDescent="0.25">
      <c r="A531" s="16"/>
      <c r="B531" s="20" t="b">
        <f ca="1">IFERROR(__xludf.DUMMYFUNCTION("if(D531=iferror(filter('Character Sheet'!D$13:D3002,'Character Sheet'!D$13:D3002=D531),""""),True,False)"),FALSE)</f>
        <v>0</v>
      </c>
      <c r="C531" s="20">
        <v>200</v>
      </c>
      <c r="D531" s="2" t="s">
        <v>1248</v>
      </c>
      <c r="E531" s="2" t="s">
        <v>1239</v>
      </c>
      <c r="F531" s="20" t="s">
        <v>56</v>
      </c>
      <c r="G531" s="2" t="s">
        <v>1249</v>
      </c>
      <c r="H531" s="16"/>
      <c r="I531" s="20"/>
      <c r="J531" s="20"/>
      <c r="K531" s="20"/>
      <c r="L531" s="20"/>
      <c r="M531" s="20"/>
      <c r="N531" s="20"/>
      <c r="O531" s="20"/>
      <c r="P531" s="20"/>
      <c r="Q531" s="20"/>
      <c r="R531" s="20"/>
      <c r="S531" s="20"/>
      <c r="T531" s="20"/>
      <c r="U531" s="20"/>
      <c r="V531" s="20"/>
      <c r="W531" s="20"/>
      <c r="X531" s="20"/>
      <c r="Y531" s="20"/>
      <c r="Z531" s="20"/>
      <c r="AA531" s="20"/>
    </row>
    <row r="532" spans="1:27" ht="174" x14ac:dyDescent="0.25">
      <c r="A532" s="16"/>
      <c r="B532" s="20" t="b">
        <f ca="1">IFERROR(__xludf.DUMMYFUNCTION("if(D532=iferror(filter('Character Sheet'!D$13:D3002,'Character Sheet'!D$13:D3002=D532),""""),True,False)"),FALSE)</f>
        <v>0</v>
      </c>
      <c r="C532" s="20">
        <v>200</v>
      </c>
      <c r="D532" s="2" t="s">
        <v>1250</v>
      </c>
      <c r="E532" s="2" t="s">
        <v>268</v>
      </c>
      <c r="F532" s="20" t="s">
        <v>56</v>
      </c>
      <c r="G532" s="2" t="s">
        <v>1251</v>
      </c>
      <c r="H532" s="16"/>
      <c r="I532" s="20"/>
      <c r="J532" s="20"/>
      <c r="K532" s="20"/>
      <c r="L532" s="20"/>
      <c r="M532" s="20"/>
      <c r="N532" s="20"/>
      <c r="O532" s="20"/>
      <c r="P532" s="20"/>
      <c r="Q532" s="20"/>
      <c r="R532" s="20"/>
      <c r="S532" s="20"/>
      <c r="T532" s="20"/>
      <c r="U532" s="20"/>
      <c r="V532" s="20"/>
      <c r="W532" s="20"/>
      <c r="X532" s="20"/>
      <c r="Y532" s="20"/>
      <c r="Z532" s="20"/>
      <c r="AA532" s="20"/>
    </row>
    <row r="533" spans="1:27" ht="348" x14ac:dyDescent="0.25">
      <c r="A533" s="16"/>
      <c r="B533" s="20" t="b">
        <f ca="1">IFERROR(__xludf.DUMMYFUNCTION("if(D533=iferror(filter('Character Sheet'!D$13:D3002,'Character Sheet'!D$13:D3002=D533),""""),True,False)"),FALSE)</f>
        <v>0</v>
      </c>
      <c r="C533" s="20">
        <v>200</v>
      </c>
      <c r="D533" s="2" t="s">
        <v>1252</v>
      </c>
      <c r="E533" s="2" t="s">
        <v>271</v>
      </c>
      <c r="F533" s="20" t="s">
        <v>56</v>
      </c>
      <c r="G533" s="2" t="s">
        <v>1253</v>
      </c>
      <c r="H533" s="16"/>
      <c r="I533" s="20"/>
      <c r="J533" s="20"/>
      <c r="K533" s="20"/>
      <c r="L533" s="20"/>
      <c r="M533" s="20"/>
      <c r="N533" s="20"/>
      <c r="O533" s="20"/>
      <c r="P533" s="20"/>
      <c r="Q533" s="20"/>
      <c r="R533" s="20"/>
      <c r="S533" s="20"/>
      <c r="T533" s="20"/>
      <c r="U533" s="20"/>
      <c r="V533" s="20"/>
      <c r="W533" s="20"/>
      <c r="X533" s="20"/>
      <c r="Y533" s="20"/>
      <c r="Z533" s="20"/>
      <c r="AA533" s="20"/>
    </row>
    <row r="534" spans="1:27" ht="87" x14ac:dyDescent="0.25">
      <c r="A534" s="16"/>
      <c r="B534" s="20" t="b">
        <f ca="1">IFERROR(__xludf.DUMMYFUNCTION("if(D534=iferror(filter('Character Sheet'!D$13:D3002,'Character Sheet'!D$13:D3002=D534),""""),True,False)"),FALSE)</f>
        <v>0</v>
      </c>
      <c r="C534" s="20">
        <v>200</v>
      </c>
      <c r="D534" s="2" t="s">
        <v>1254</v>
      </c>
      <c r="E534" s="2" t="s">
        <v>100</v>
      </c>
      <c r="F534" s="20" t="s">
        <v>56</v>
      </c>
      <c r="G534" s="2" t="s">
        <v>1255</v>
      </c>
      <c r="H534" s="16"/>
      <c r="I534" s="20"/>
      <c r="J534" s="20"/>
      <c r="K534" s="20"/>
      <c r="L534" s="20"/>
      <c r="M534" s="20"/>
      <c r="N534" s="20"/>
      <c r="O534" s="20"/>
      <c r="P534" s="20"/>
      <c r="Q534" s="20"/>
      <c r="R534" s="20"/>
      <c r="S534" s="20"/>
      <c r="T534" s="20"/>
      <c r="U534" s="20"/>
      <c r="V534" s="20"/>
      <c r="W534" s="20"/>
      <c r="X534" s="20"/>
      <c r="Y534" s="20"/>
      <c r="Z534" s="20"/>
      <c r="AA534" s="20"/>
    </row>
    <row r="535" spans="1:27" ht="121.8" x14ac:dyDescent="0.25">
      <c r="A535" s="16"/>
      <c r="B535" s="20" t="b">
        <f ca="1">IFERROR(__xludf.DUMMYFUNCTION("if(D535=iferror(filter('Character Sheet'!D$13:D3002,'Character Sheet'!D$13:D3002=D535),""""),True,False)"),FALSE)</f>
        <v>0</v>
      </c>
      <c r="C535" s="20">
        <v>200</v>
      </c>
      <c r="D535" s="2" t="s">
        <v>1256</v>
      </c>
      <c r="E535" s="2" t="s">
        <v>1206</v>
      </c>
      <c r="F535" s="20" t="s">
        <v>56</v>
      </c>
      <c r="G535" s="2" t="s">
        <v>1257</v>
      </c>
      <c r="H535" s="16"/>
      <c r="I535" s="20"/>
      <c r="J535" s="20"/>
      <c r="K535" s="20"/>
      <c r="L535" s="20"/>
      <c r="M535" s="20"/>
      <c r="N535" s="20"/>
      <c r="O535" s="20"/>
      <c r="P535" s="20"/>
      <c r="Q535" s="20"/>
      <c r="R535" s="20"/>
      <c r="S535" s="20"/>
      <c r="T535" s="20"/>
      <c r="U535" s="20"/>
      <c r="V535" s="20"/>
      <c r="W535" s="20"/>
      <c r="X535" s="20"/>
      <c r="Y535" s="20"/>
      <c r="Z535" s="20"/>
      <c r="AA535" s="20"/>
    </row>
    <row r="536" spans="1:27" ht="87" x14ac:dyDescent="0.25">
      <c r="A536" s="16"/>
      <c r="B536" s="20" t="b">
        <f ca="1">IFERROR(__xludf.DUMMYFUNCTION("if(D536=iferror(filter('Character Sheet'!D$13:D3002,'Character Sheet'!D$13:D3002=D536),""""),True,False)"),FALSE)</f>
        <v>0</v>
      </c>
      <c r="C536" s="20">
        <v>200</v>
      </c>
      <c r="D536" s="2" t="s">
        <v>1258</v>
      </c>
      <c r="E536" s="2" t="s">
        <v>391</v>
      </c>
      <c r="F536" s="20" t="s">
        <v>56</v>
      </c>
      <c r="G536" s="2" t="s">
        <v>1259</v>
      </c>
      <c r="H536" s="16"/>
      <c r="I536" s="20"/>
      <c r="J536" s="20"/>
      <c r="K536" s="20"/>
      <c r="L536" s="20"/>
      <c r="M536" s="20"/>
      <c r="N536" s="20"/>
      <c r="O536" s="20"/>
      <c r="P536" s="20"/>
      <c r="Q536" s="20"/>
      <c r="R536" s="20"/>
      <c r="S536" s="20"/>
      <c r="T536" s="20"/>
      <c r="U536" s="20"/>
      <c r="V536" s="20"/>
      <c r="W536" s="20"/>
      <c r="X536" s="20"/>
      <c r="Y536" s="20"/>
      <c r="Z536" s="20"/>
      <c r="AA536" s="20"/>
    </row>
    <row r="537" spans="1:27" ht="208.8" x14ac:dyDescent="0.25">
      <c r="A537" s="16"/>
      <c r="B537" s="20" t="b">
        <f ca="1">IFERROR(__xludf.DUMMYFUNCTION("if(D537=iferror(filter('Character Sheet'!D$13:D3002,'Character Sheet'!D$13:D3002=D537),""""),True,False)"),FALSE)</f>
        <v>0</v>
      </c>
      <c r="C537" s="20">
        <v>200</v>
      </c>
      <c r="D537" s="2" t="s">
        <v>1260</v>
      </c>
      <c r="E537" s="2" t="s">
        <v>720</v>
      </c>
      <c r="F537" s="20" t="s">
        <v>56</v>
      </c>
      <c r="G537" s="2" t="s">
        <v>1261</v>
      </c>
      <c r="H537" s="16"/>
      <c r="I537" s="20"/>
      <c r="J537" s="20"/>
      <c r="K537" s="20"/>
      <c r="L537" s="20"/>
      <c r="M537" s="20"/>
      <c r="N537" s="20"/>
      <c r="O537" s="20"/>
      <c r="P537" s="20"/>
      <c r="Q537" s="20"/>
      <c r="R537" s="20"/>
      <c r="S537" s="20"/>
      <c r="T537" s="20"/>
      <c r="U537" s="20"/>
      <c r="V537" s="20"/>
      <c r="W537" s="20"/>
      <c r="X537" s="20"/>
      <c r="Y537" s="20"/>
      <c r="Z537" s="20"/>
      <c r="AA537" s="20"/>
    </row>
    <row r="538" spans="1:27" ht="174" x14ac:dyDescent="0.25">
      <c r="A538" s="16"/>
      <c r="B538" s="20" t="b">
        <f ca="1">IFERROR(__xludf.DUMMYFUNCTION("if(D538=iferror(filter('Character Sheet'!D$13:D3002,'Character Sheet'!D$13:D3002=D538),""""),True,False)"),FALSE)</f>
        <v>0</v>
      </c>
      <c r="C538" s="20">
        <v>200</v>
      </c>
      <c r="D538" s="2" t="s">
        <v>1262</v>
      </c>
      <c r="E538" s="2" t="s">
        <v>350</v>
      </c>
      <c r="F538" s="20" t="s">
        <v>56</v>
      </c>
      <c r="G538" s="2" t="s">
        <v>1263</v>
      </c>
      <c r="H538" s="16"/>
      <c r="I538" s="20"/>
      <c r="J538" s="20"/>
      <c r="K538" s="20"/>
      <c r="L538" s="20"/>
      <c r="M538" s="20"/>
      <c r="N538" s="20"/>
      <c r="O538" s="20"/>
      <c r="P538" s="20"/>
      <c r="Q538" s="20"/>
      <c r="R538" s="20"/>
      <c r="S538" s="20"/>
      <c r="T538" s="20"/>
      <c r="U538" s="20"/>
      <c r="V538" s="20"/>
      <c r="W538" s="20"/>
      <c r="X538" s="20"/>
      <c r="Y538" s="20"/>
      <c r="Z538" s="20"/>
      <c r="AA538" s="20"/>
    </row>
    <row r="539" spans="1:27" ht="174" x14ac:dyDescent="0.25">
      <c r="A539" s="16"/>
      <c r="B539" s="20" t="b">
        <f ca="1">IFERROR(__xludf.DUMMYFUNCTION("if(D539=iferror(filter('Character Sheet'!D$13:D3002,'Character Sheet'!D$13:D3002=D539),""""),True,False)"),FALSE)</f>
        <v>0</v>
      </c>
      <c r="C539" s="20">
        <v>200</v>
      </c>
      <c r="D539" s="2" t="s">
        <v>1264</v>
      </c>
      <c r="E539" s="2" t="s">
        <v>381</v>
      </c>
      <c r="F539" s="20" t="s">
        <v>56</v>
      </c>
      <c r="G539" s="2" t="s">
        <v>1265</v>
      </c>
      <c r="H539" s="16"/>
      <c r="I539" s="20"/>
      <c r="J539" s="20"/>
      <c r="K539" s="20"/>
      <c r="L539" s="20"/>
      <c r="M539" s="20"/>
      <c r="N539" s="20"/>
      <c r="O539" s="20"/>
      <c r="P539" s="20"/>
      <c r="Q539" s="20"/>
      <c r="R539" s="20"/>
      <c r="S539" s="20"/>
      <c r="T539" s="20"/>
      <c r="U539" s="20"/>
      <c r="V539" s="20"/>
      <c r="W539" s="20"/>
      <c r="X539" s="20"/>
      <c r="Y539" s="20"/>
      <c r="Z539" s="20"/>
      <c r="AA539" s="20"/>
    </row>
    <row r="540" spans="1:27" ht="104.4" x14ac:dyDescent="0.25">
      <c r="A540" s="16"/>
      <c r="B540" s="20" t="b">
        <f ca="1">IFERROR(__xludf.DUMMYFUNCTION("if(D540=iferror(filter('Character Sheet'!D$13:D3002,'Character Sheet'!D$13:D3002=D540),""""),True,False)"),FALSE)</f>
        <v>0</v>
      </c>
      <c r="C540" s="20">
        <v>200</v>
      </c>
      <c r="D540" s="2" t="s">
        <v>1266</v>
      </c>
      <c r="E540" s="2" t="s">
        <v>1217</v>
      </c>
      <c r="F540" s="20" t="s">
        <v>56</v>
      </c>
      <c r="G540" s="2" t="s">
        <v>1267</v>
      </c>
      <c r="H540" s="16"/>
      <c r="I540" s="20"/>
      <c r="J540" s="20"/>
      <c r="K540" s="20"/>
      <c r="L540" s="20"/>
      <c r="M540" s="20"/>
      <c r="N540" s="20"/>
      <c r="O540" s="20"/>
      <c r="P540" s="20"/>
      <c r="Q540" s="20"/>
      <c r="R540" s="20"/>
      <c r="S540" s="20"/>
      <c r="T540" s="20"/>
      <c r="U540" s="20"/>
      <c r="V540" s="20"/>
      <c r="W540" s="20"/>
      <c r="X540" s="20"/>
      <c r="Y540" s="20"/>
      <c r="Z540" s="20"/>
      <c r="AA540" s="20"/>
    </row>
    <row r="541" spans="1:27" ht="174" x14ac:dyDescent="0.25">
      <c r="A541" s="16"/>
      <c r="B541" s="20" t="b">
        <f ca="1">IFERROR(__xludf.DUMMYFUNCTION("if(D541=iferror(filter('Character Sheet'!D$13:D3002,'Character Sheet'!D$13:D3002=D541),""""),True,False)"),FALSE)</f>
        <v>0</v>
      </c>
      <c r="C541" s="20">
        <v>200</v>
      </c>
      <c r="D541" s="2" t="s">
        <v>1268</v>
      </c>
      <c r="E541" s="2" t="s">
        <v>87</v>
      </c>
      <c r="F541" s="20" t="s">
        <v>56</v>
      </c>
      <c r="G541" s="2" t="s">
        <v>1269</v>
      </c>
      <c r="H541" s="16"/>
      <c r="I541" s="20"/>
      <c r="J541" s="20"/>
      <c r="K541" s="20"/>
      <c r="L541" s="20"/>
      <c r="M541" s="20"/>
      <c r="N541" s="20"/>
      <c r="O541" s="20"/>
      <c r="P541" s="20"/>
      <c r="Q541" s="20"/>
      <c r="R541" s="20"/>
      <c r="S541" s="20"/>
      <c r="T541" s="20"/>
      <c r="U541" s="20"/>
      <c r="V541" s="20"/>
      <c r="W541" s="20"/>
      <c r="X541" s="20"/>
      <c r="Y541" s="20"/>
      <c r="Z541" s="20"/>
      <c r="AA541" s="20"/>
    </row>
    <row r="542" spans="1:27" ht="208.8" x14ac:dyDescent="0.25">
      <c r="A542" s="16"/>
      <c r="B542" s="20" t="b">
        <f ca="1">IFERROR(__xludf.DUMMYFUNCTION("if(D542=iferror(filter('Character Sheet'!D$13:D3002,'Character Sheet'!D$13:D3002=D542),""""),True,False)"),FALSE)</f>
        <v>0</v>
      </c>
      <c r="C542" s="20">
        <v>200</v>
      </c>
      <c r="D542" s="2" t="s">
        <v>1270</v>
      </c>
      <c r="E542" s="2" t="s">
        <v>124</v>
      </c>
      <c r="F542" s="20" t="s">
        <v>56</v>
      </c>
      <c r="G542" s="2" t="s">
        <v>1271</v>
      </c>
      <c r="H542" s="16"/>
      <c r="I542" s="20"/>
      <c r="J542" s="20"/>
      <c r="K542" s="20"/>
      <c r="L542" s="20"/>
      <c r="M542" s="20"/>
      <c r="N542" s="20"/>
      <c r="O542" s="20"/>
      <c r="P542" s="20"/>
      <c r="Q542" s="20"/>
      <c r="R542" s="20"/>
      <c r="S542" s="20"/>
      <c r="T542" s="20"/>
      <c r="U542" s="20"/>
      <c r="V542" s="20"/>
      <c r="W542" s="20"/>
      <c r="X542" s="20"/>
      <c r="Y542" s="20"/>
      <c r="Z542" s="20"/>
      <c r="AA542" s="20"/>
    </row>
    <row r="543" spans="1:27" ht="87" x14ac:dyDescent="0.25">
      <c r="A543" s="16"/>
      <c r="B543" s="20" t="b">
        <f ca="1">IFERROR(__xludf.DUMMYFUNCTION("if(D543=iferror(filter('Character Sheet'!D$13:D3002,'Character Sheet'!D$13:D3002=D543),""""),True,False)"),FALSE)</f>
        <v>0</v>
      </c>
      <c r="C543" s="20">
        <v>200</v>
      </c>
      <c r="D543" s="2" t="s">
        <v>1272</v>
      </c>
      <c r="E543" s="2" t="s">
        <v>208</v>
      </c>
      <c r="F543" s="20" t="s">
        <v>56</v>
      </c>
      <c r="G543" s="2" t="s">
        <v>1273</v>
      </c>
      <c r="H543" s="16"/>
      <c r="I543" s="20"/>
      <c r="J543" s="20"/>
      <c r="K543" s="20"/>
      <c r="L543" s="20"/>
      <c r="M543" s="20"/>
      <c r="N543" s="20"/>
      <c r="O543" s="20"/>
      <c r="P543" s="20"/>
      <c r="Q543" s="20"/>
      <c r="R543" s="20"/>
      <c r="S543" s="20"/>
      <c r="T543" s="20"/>
      <c r="U543" s="20"/>
      <c r="V543" s="20"/>
      <c r="W543" s="20"/>
      <c r="X543" s="20"/>
      <c r="Y543" s="20"/>
      <c r="Z543" s="20"/>
      <c r="AA543" s="20"/>
    </row>
    <row r="544" spans="1:27" ht="139.19999999999999" x14ac:dyDescent="0.25">
      <c r="A544" s="16"/>
      <c r="B544" s="20" t="b">
        <f ca="1">IFERROR(__xludf.DUMMYFUNCTION("if(D544=iferror(filter('Character Sheet'!D$13:D3002,'Character Sheet'!D$13:D3002=D544),""""),True,False)"),FALSE)</f>
        <v>0</v>
      </c>
      <c r="C544" s="20">
        <v>200</v>
      </c>
      <c r="D544" s="2" t="s">
        <v>1274</v>
      </c>
      <c r="E544" s="2" t="s">
        <v>1239</v>
      </c>
      <c r="F544" s="20" t="s">
        <v>56</v>
      </c>
      <c r="G544" s="2" t="s">
        <v>1275</v>
      </c>
      <c r="H544" s="16"/>
      <c r="I544" s="20"/>
      <c r="J544" s="20"/>
      <c r="K544" s="20"/>
      <c r="L544" s="20"/>
      <c r="M544" s="20"/>
      <c r="N544" s="20"/>
      <c r="O544" s="20"/>
      <c r="P544" s="20"/>
      <c r="Q544" s="20"/>
      <c r="R544" s="20"/>
      <c r="S544" s="20"/>
      <c r="T544" s="20"/>
      <c r="U544" s="20"/>
      <c r="V544" s="20"/>
      <c r="W544" s="20"/>
      <c r="X544" s="20"/>
      <c r="Y544" s="20"/>
      <c r="Z544" s="20"/>
      <c r="AA544" s="20"/>
    </row>
    <row r="545" spans="1:27" ht="191.4" x14ac:dyDescent="0.25">
      <c r="A545" s="16"/>
      <c r="B545" s="20" t="b">
        <f ca="1">IFERROR(__xludf.DUMMYFUNCTION("if(D545=iferror(filter('Character Sheet'!D$13:D3002,'Character Sheet'!D$13:D3002=D545),""""),True,False)"),FALSE)</f>
        <v>0</v>
      </c>
      <c r="C545" s="20">
        <v>200</v>
      </c>
      <c r="D545" s="2" t="s">
        <v>1276</v>
      </c>
      <c r="E545" s="2" t="s">
        <v>106</v>
      </c>
      <c r="F545" s="20" t="s">
        <v>56</v>
      </c>
      <c r="G545" s="2" t="s">
        <v>1277</v>
      </c>
      <c r="H545" s="16"/>
      <c r="I545" s="20"/>
      <c r="J545" s="20"/>
      <c r="K545" s="20"/>
      <c r="L545" s="20"/>
      <c r="M545" s="20"/>
      <c r="N545" s="20"/>
      <c r="O545" s="20"/>
      <c r="P545" s="20"/>
      <c r="Q545" s="20"/>
      <c r="R545" s="20"/>
      <c r="S545" s="20"/>
      <c r="T545" s="20"/>
      <c r="U545" s="20"/>
      <c r="V545" s="20"/>
      <c r="W545" s="20"/>
      <c r="X545" s="20"/>
      <c r="Y545" s="20"/>
      <c r="Z545" s="20"/>
      <c r="AA545" s="20"/>
    </row>
    <row r="546" spans="1:27" ht="87" x14ac:dyDescent="0.25">
      <c r="A546" s="16"/>
      <c r="B546" s="20" t="b">
        <f ca="1">IFERROR(__xludf.DUMMYFUNCTION("if(D546=iferror(filter('Character Sheet'!D$13:D3002,'Character Sheet'!D$13:D3002=D546),""""),True,False)"),FALSE)</f>
        <v>0</v>
      </c>
      <c r="C546" s="20">
        <v>200</v>
      </c>
      <c r="D546" s="2" t="s">
        <v>1278</v>
      </c>
      <c r="E546" s="2" t="s">
        <v>425</v>
      </c>
      <c r="F546" s="20" t="s">
        <v>56</v>
      </c>
      <c r="G546" s="2" t="s">
        <v>1279</v>
      </c>
      <c r="H546" s="16"/>
      <c r="I546" s="20"/>
      <c r="J546" s="20"/>
      <c r="K546" s="20"/>
      <c r="L546" s="20"/>
      <c r="M546" s="20"/>
      <c r="N546" s="20"/>
      <c r="O546" s="20"/>
      <c r="P546" s="20"/>
      <c r="Q546" s="20"/>
      <c r="R546" s="20"/>
      <c r="S546" s="20"/>
      <c r="T546" s="20"/>
      <c r="U546" s="20"/>
      <c r="V546" s="20"/>
      <c r="W546" s="20"/>
      <c r="X546" s="20"/>
      <c r="Y546" s="20"/>
      <c r="Z546" s="20"/>
      <c r="AA546" s="20"/>
    </row>
    <row r="547" spans="1:27" ht="34.799999999999997" x14ac:dyDescent="0.25">
      <c r="A547" s="16"/>
      <c r="B547" s="20" t="b">
        <f ca="1">IFERROR(__xludf.DUMMYFUNCTION("if(D547=iferror(filter('Character Sheet'!D$13:D3002,'Character Sheet'!D$13:D3002=D547),""""),True,False)"),FALSE)</f>
        <v>0</v>
      </c>
      <c r="C547" s="20">
        <v>200</v>
      </c>
      <c r="D547" s="2" t="s">
        <v>1280</v>
      </c>
      <c r="E547" s="2" t="s">
        <v>469</v>
      </c>
      <c r="F547" s="20" t="s">
        <v>56</v>
      </c>
      <c r="G547" s="2" t="s">
        <v>1281</v>
      </c>
      <c r="H547" s="16"/>
      <c r="I547" s="20"/>
      <c r="J547" s="20"/>
      <c r="K547" s="20"/>
      <c r="L547" s="20"/>
      <c r="M547" s="20"/>
      <c r="N547" s="20"/>
      <c r="O547" s="20"/>
      <c r="P547" s="20"/>
      <c r="Q547" s="20"/>
      <c r="R547" s="20"/>
      <c r="S547" s="20"/>
      <c r="T547" s="20"/>
      <c r="U547" s="20"/>
      <c r="V547" s="20"/>
      <c r="W547" s="20"/>
      <c r="X547" s="20"/>
      <c r="Y547" s="20"/>
      <c r="Z547" s="20"/>
      <c r="AA547" s="20"/>
    </row>
    <row r="548" spans="1:27" ht="208.8" x14ac:dyDescent="0.25">
      <c r="A548" s="16"/>
      <c r="B548" s="20" t="b">
        <f ca="1">IFERROR(__xludf.DUMMYFUNCTION("if(D548=iferror(filter('Character Sheet'!D$13:D3002,'Character Sheet'!D$13:D3002=D548),""""),True,False)"),FALSE)</f>
        <v>0</v>
      </c>
      <c r="C548" s="20">
        <v>200</v>
      </c>
      <c r="D548" s="2" t="s">
        <v>1282</v>
      </c>
      <c r="E548" s="2" t="s">
        <v>662</v>
      </c>
      <c r="F548" s="20" t="s">
        <v>56</v>
      </c>
      <c r="G548" s="2" t="s">
        <v>1283</v>
      </c>
      <c r="H548" s="16"/>
      <c r="I548" s="20"/>
      <c r="J548" s="20"/>
      <c r="K548" s="20"/>
      <c r="L548" s="20"/>
      <c r="M548" s="20"/>
      <c r="N548" s="20"/>
      <c r="O548" s="20"/>
      <c r="P548" s="20"/>
      <c r="Q548" s="20"/>
      <c r="R548" s="20"/>
      <c r="S548" s="20"/>
      <c r="T548" s="20"/>
      <c r="U548" s="20"/>
      <c r="V548" s="20"/>
      <c r="W548" s="20"/>
      <c r="X548" s="20"/>
      <c r="Y548" s="20"/>
      <c r="Z548" s="20"/>
      <c r="AA548" s="20"/>
    </row>
    <row r="549" spans="1:27" ht="34.799999999999997" x14ac:dyDescent="0.25">
      <c r="A549" s="16"/>
      <c r="B549" s="20" t="b">
        <f ca="1">IFERROR(__xludf.DUMMYFUNCTION("if(D549=iferror(filter('Character Sheet'!D$13:D3002,'Character Sheet'!D$13:D3002=D549),""""),True,False)"),FALSE)</f>
        <v>0</v>
      </c>
      <c r="C549" s="20">
        <v>200</v>
      </c>
      <c r="D549" s="2" t="s">
        <v>1284</v>
      </c>
      <c r="E549" s="2" t="s">
        <v>1285</v>
      </c>
      <c r="F549" s="20" t="s">
        <v>56</v>
      </c>
      <c r="G549" s="2" t="s">
        <v>1286</v>
      </c>
      <c r="H549" s="16"/>
      <c r="I549" s="20"/>
      <c r="J549" s="20"/>
      <c r="K549" s="20"/>
      <c r="L549" s="20"/>
      <c r="M549" s="20"/>
      <c r="N549" s="20"/>
      <c r="O549" s="20"/>
      <c r="P549" s="20"/>
      <c r="Q549" s="20"/>
      <c r="R549" s="20"/>
      <c r="S549" s="20"/>
      <c r="T549" s="20"/>
      <c r="U549" s="20"/>
      <c r="V549" s="20"/>
      <c r="W549" s="20"/>
      <c r="X549" s="20"/>
      <c r="Y549" s="20"/>
      <c r="Z549" s="20"/>
      <c r="AA549" s="20"/>
    </row>
    <row r="550" spans="1:27" ht="69.599999999999994" x14ac:dyDescent="0.25">
      <c r="A550" s="16"/>
      <c r="B550" s="20" t="b">
        <f ca="1">IFERROR(__xludf.DUMMYFUNCTION("if(D550=iferror(filter('Character Sheet'!D$13:D3002,'Character Sheet'!D$13:D3002=D550),""""),True,False)"),FALSE)</f>
        <v>0</v>
      </c>
      <c r="C550" s="20">
        <v>200</v>
      </c>
      <c r="D550" s="2" t="s">
        <v>1287</v>
      </c>
      <c r="E550" s="2" t="s">
        <v>451</v>
      </c>
      <c r="F550" s="20" t="s">
        <v>56</v>
      </c>
      <c r="G550" s="2" t="s">
        <v>1288</v>
      </c>
      <c r="H550" s="16"/>
      <c r="I550" s="20"/>
      <c r="J550" s="20"/>
      <c r="K550" s="20"/>
      <c r="L550" s="20"/>
      <c r="M550" s="20"/>
      <c r="N550" s="20"/>
      <c r="O550" s="20"/>
      <c r="P550" s="20"/>
      <c r="Q550" s="20"/>
      <c r="R550" s="20"/>
      <c r="S550" s="20"/>
      <c r="T550" s="20"/>
      <c r="U550" s="20"/>
      <c r="V550" s="20"/>
      <c r="W550" s="20"/>
      <c r="X550" s="20"/>
      <c r="Y550" s="20"/>
      <c r="Z550" s="20"/>
      <c r="AA550" s="20"/>
    </row>
    <row r="551" spans="1:27" ht="139.19999999999999" x14ac:dyDescent="0.25">
      <c r="A551" s="16"/>
      <c r="B551" s="20" t="b">
        <f ca="1">IFERROR(__xludf.DUMMYFUNCTION("if(D551=iferror(filter('Character Sheet'!D$13:D3002,'Character Sheet'!D$13:D3002=D551),""""),True,False)"),FALSE)</f>
        <v>0</v>
      </c>
      <c r="C551" s="20">
        <v>200</v>
      </c>
      <c r="D551" s="2" t="s">
        <v>1289</v>
      </c>
      <c r="E551" s="2" t="s">
        <v>720</v>
      </c>
      <c r="F551" s="20" t="s">
        <v>56</v>
      </c>
      <c r="G551" s="2" t="s">
        <v>1290</v>
      </c>
      <c r="H551" s="16"/>
      <c r="I551" s="20"/>
      <c r="J551" s="20"/>
      <c r="K551" s="20"/>
      <c r="L551" s="20"/>
      <c r="M551" s="20"/>
      <c r="N551" s="20"/>
      <c r="O551" s="20"/>
      <c r="P551" s="20"/>
      <c r="Q551" s="20"/>
      <c r="R551" s="20"/>
      <c r="S551" s="20"/>
      <c r="T551" s="20"/>
      <c r="U551" s="20"/>
      <c r="V551" s="20"/>
      <c r="W551" s="20"/>
      <c r="X551" s="20"/>
      <c r="Y551" s="20"/>
      <c r="Z551" s="20"/>
      <c r="AA551" s="20"/>
    </row>
    <row r="552" spans="1:27" ht="208.8" x14ac:dyDescent="0.25">
      <c r="A552" s="16"/>
      <c r="B552" s="20" t="b">
        <f ca="1">IFERROR(__xludf.DUMMYFUNCTION("if(D552=iferror(filter('Character Sheet'!D$13:D3002,'Character Sheet'!D$13:D3002=D552),""""),True,False)"),FALSE)</f>
        <v>0</v>
      </c>
      <c r="C552" s="20">
        <v>200</v>
      </c>
      <c r="D552" s="2" t="s">
        <v>1291</v>
      </c>
      <c r="E552" s="20" t="s">
        <v>291</v>
      </c>
      <c r="F552" s="20" t="s">
        <v>56</v>
      </c>
      <c r="G552" s="2" t="s">
        <v>1292</v>
      </c>
      <c r="H552" s="16"/>
      <c r="I552" s="20"/>
      <c r="J552" s="20"/>
      <c r="K552" s="20"/>
      <c r="L552" s="20"/>
      <c r="M552" s="20"/>
      <c r="N552" s="20"/>
      <c r="O552" s="20"/>
      <c r="P552" s="20"/>
      <c r="Q552" s="20"/>
      <c r="R552" s="20"/>
      <c r="S552" s="20"/>
      <c r="T552" s="20"/>
      <c r="U552" s="20"/>
      <c r="V552" s="20"/>
      <c r="W552" s="20"/>
      <c r="X552" s="20"/>
      <c r="Y552" s="20"/>
      <c r="Z552" s="20"/>
      <c r="AA552" s="20"/>
    </row>
    <row r="553" spans="1:27" ht="208.8" x14ac:dyDescent="0.25">
      <c r="A553" s="16"/>
      <c r="B553" s="20" t="b">
        <f ca="1">IFERROR(__xludf.DUMMYFUNCTION("if(D553=iferror(filter('Character Sheet'!D$13:D3002,'Character Sheet'!D$13:D3002=D553),""""),True,False)"),FALSE)</f>
        <v>0</v>
      </c>
      <c r="C553" s="20">
        <v>200</v>
      </c>
      <c r="D553" s="2" t="s">
        <v>1293</v>
      </c>
      <c r="E553" s="2" t="s">
        <v>815</v>
      </c>
      <c r="F553" s="20" t="s">
        <v>56</v>
      </c>
      <c r="G553" s="2" t="s">
        <v>1294</v>
      </c>
      <c r="H553" s="16"/>
      <c r="I553" s="20"/>
      <c r="J553" s="20"/>
      <c r="K553" s="20"/>
      <c r="L553" s="20"/>
      <c r="M553" s="20"/>
      <c r="N553" s="20"/>
      <c r="O553" s="20"/>
      <c r="P553" s="20"/>
      <c r="Q553" s="20"/>
      <c r="R553" s="20"/>
      <c r="S553" s="20"/>
      <c r="T553" s="20"/>
      <c r="U553" s="20"/>
      <c r="V553" s="20"/>
      <c r="W553" s="20"/>
      <c r="X553" s="20"/>
      <c r="Y553" s="20"/>
      <c r="Z553" s="20"/>
      <c r="AA553" s="20"/>
    </row>
    <row r="554" spans="1:27" ht="191.4" x14ac:dyDescent="0.25">
      <c r="A554" s="16"/>
      <c r="B554" s="20" t="b">
        <f ca="1">IFERROR(__xludf.DUMMYFUNCTION("if(D554=iferror(filter('Character Sheet'!D$13:D3002,'Character Sheet'!D$13:D3002=D554),""""),True,False)"),FALSE)</f>
        <v>0</v>
      </c>
      <c r="C554" s="20">
        <v>200</v>
      </c>
      <c r="D554" s="2" t="s">
        <v>1295</v>
      </c>
      <c r="E554" s="2" t="s">
        <v>428</v>
      </c>
      <c r="F554" s="20" t="s">
        <v>56</v>
      </c>
      <c r="G554" s="2" t="s">
        <v>1296</v>
      </c>
      <c r="H554" s="16"/>
      <c r="I554" s="20"/>
      <c r="J554" s="20"/>
      <c r="K554" s="20"/>
      <c r="L554" s="20"/>
      <c r="M554" s="20"/>
      <c r="N554" s="20"/>
      <c r="O554" s="20"/>
      <c r="P554" s="20"/>
      <c r="Q554" s="20"/>
      <c r="R554" s="20"/>
      <c r="S554" s="20"/>
      <c r="T554" s="20"/>
      <c r="U554" s="20"/>
      <c r="V554" s="20"/>
      <c r="W554" s="20"/>
      <c r="X554" s="20"/>
      <c r="Y554" s="20"/>
      <c r="Z554" s="20"/>
      <c r="AA554" s="20"/>
    </row>
    <row r="555" spans="1:27" ht="174" x14ac:dyDescent="0.25">
      <c r="A555" s="16"/>
      <c r="B555" s="20" t="b">
        <f ca="1">IFERROR(__xludf.DUMMYFUNCTION("if(D555=iferror(filter('Character Sheet'!D$13:D3002,'Character Sheet'!D$13:D3002=D555),""""),True,False)"),FALSE)</f>
        <v>0</v>
      </c>
      <c r="C555" s="20">
        <v>200</v>
      </c>
      <c r="D555" s="2" t="s">
        <v>1297</v>
      </c>
      <c r="E555" s="2" t="s">
        <v>124</v>
      </c>
      <c r="F555" s="20" t="s">
        <v>56</v>
      </c>
      <c r="G555" s="2" t="s">
        <v>1298</v>
      </c>
      <c r="H555" s="16"/>
      <c r="I555" s="20"/>
      <c r="J555" s="20"/>
      <c r="K555" s="20"/>
      <c r="L555" s="20"/>
      <c r="M555" s="20"/>
      <c r="N555" s="20"/>
      <c r="O555" s="20"/>
      <c r="P555" s="20"/>
      <c r="Q555" s="20"/>
      <c r="R555" s="20"/>
      <c r="S555" s="20"/>
      <c r="T555" s="20"/>
      <c r="U555" s="20"/>
      <c r="V555" s="20"/>
      <c r="W555" s="20"/>
      <c r="X555" s="20"/>
      <c r="Y555" s="20"/>
      <c r="Z555" s="20"/>
      <c r="AA555" s="20"/>
    </row>
    <row r="556" spans="1:27" ht="174" x14ac:dyDescent="0.25">
      <c r="A556" s="16"/>
      <c r="B556" s="20" t="b">
        <f ca="1">IFERROR(__xludf.DUMMYFUNCTION("if(D556=iferror(filter('Character Sheet'!D$13:D3002,'Character Sheet'!D$13:D3002=D556),""""),True,False)"),FALSE)</f>
        <v>0</v>
      </c>
      <c r="C556" s="20">
        <v>200</v>
      </c>
      <c r="D556" s="2" t="s">
        <v>1299</v>
      </c>
      <c r="E556" s="2" t="s">
        <v>268</v>
      </c>
      <c r="F556" s="20" t="s">
        <v>56</v>
      </c>
      <c r="G556" s="2" t="s">
        <v>1300</v>
      </c>
      <c r="H556" s="16"/>
      <c r="I556" s="20"/>
      <c r="J556" s="20"/>
      <c r="K556" s="20"/>
      <c r="L556" s="20"/>
      <c r="M556" s="20"/>
      <c r="N556" s="20"/>
      <c r="O556" s="20"/>
      <c r="P556" s="20"/>
      <c r="Q556" s="20"/>
      <c r="R556" s="20"/>
      <c r="S556" s="20"/>
      <c r="T556" s="20"/>
      <c r="U556" s="20"/>
      <c r="V556" s="20"/>
      <c r="W556" s="20"/>
      <c r="X556" s="20"/>
      <c r="Y556" s="20"/>
      <c r="Z556" s="20"/>
      <c r="AA556" s="20"/>
    </row>
    <row r="557" spans="1:27" ht="243.6" x14ac:dyDescent="0.25">
      <c r="A557" s="16"/>
      <c r="B557" s="20" t="b">
        <f ca="1">IFERROR(__xludf.DUMMYFUNCTION("if(D557=iferror(filter('Character Sheet'!D$13:D3002,'Character Sheet'!D$13:D3002=D557),""""),True,False)"),FALSE)</f>
        <v>0</v>
      </c>
      <c r="C557" s="20">
        <v>200</v>
      </c>
      <c r="D557" s="2" t="s">
        <v>1301</v>
      </c>
      <c r="E557" s="2" t="s">
        <v>963</v>
      </c>
      <c r="F557" s="20" t="s">
        <v>56</v>
      </c>
      <c r="G557" s="2" t="s">
        <v>1302</v>
      </c>
      <c r="H557" s="16"/>
      <c r="I557" s="20"/>
      <c r="J557" s="20"/>
      <c r="K557" s="20"/>
      <c r="L557" s="20"/>
      <c r="M557" s="20"/>
      <c r="N557" s="20"/>
      <c r="O557" s="20"/>
      <c r="P557" s="20"/>
      <c r="Q557" s="20"/>
      <c r="R557" s="20"/>
      <c r="S557" s="20"/>
      <c r="T557" s="20"/>
      <c r="U557" s="20"/>
      <c r="V557" s="20"/>
      <c r="W557" s="20"/>
      <c r="X557" s="20"/>
      <c r="Y557" s="20"/>
      <c r="Z557" s="20"/>
      <c r="AA557" s="20"/>
    </row>
    <row r="558" spans="1:27" ht="104.4" x14ac:dyDescent="0.25">
      <c r="A558" s="16"/>
      <c r="B558" s="20" t="b">
        <f ca="1">IFERROR(__xludf.DUMMYFUNCTION("if(D558=iferror(filter('Character Sheet'!D$13:D3002,'Character Sheet'!D$13:D3002=D558),""""),True,False)"),FALSE)</f>
        <v>0</v>
      </c>
      <c r="C558" s="20">
        <v>200</v>
      </c>
      <c r="D558" s="2" t="s">
        <v>1303</v>
      </c>
      <c r="E558" s="2" t="s">
        <v>159</v>
      </c>
      <c r="F558" s="20" t="s">
        <v>56</v>
      </c>
      <c r="G558" s="2" t="s">
        <v>1304</v>
      </c>
      <c r="H558" s="16"/>
      <c r="I558" s="20"/>
      <c r="J558" s="20"/>
      <c r="K558" s="20"/>
      <c r="L558" s="20"/>
      <c r="M558" s="20"/>
      <c r="N558" s="20"/>
      <c r="O558" s="20"/>
      <c r="P558" s="20"/>
      <c r="Q558" s="20"/>
      <c r="R558" s="20"/>
      <c r="S558" s="20"/>
      <c r="T558" s="20"/>
      <c r="U558" s="20"/>
      <c r="V558" s="20"/>
      <c r="W558" s="20"/>
      <c r="X558" s="20"/>
      <c r="Y558" s="20"/>
      <c r="Z558" s="20"/>
      <c r="AA558" s="20"/>
    </row>
    <row r="559" spans="1:27" ht="191.4" x14ac:dyDescent="0.25">
      <c r="A559" s="16"/>
      <c r="B559" s="20" t="b">
        <f ca="1">IFERROR(__xludf.DUMMYFUNCTION("if(D559=iferror(filter('Character Sheet'!D$13:D3002,'Character Sheet'!D$13:D3002=D559),""""),True,False)"),FALSE)</f>
        <v>0</v>
      </c>
      <c r="C559" s="20">
        <v>200</v>
      </c>
      <c r="D559" s="2" t="s">
        <v>1305</v>
      </c>
      <c r="E559" s="2" t="s">
        <v>615</v>
      </c>
      <c r="F559" s="20" t="s">
        <v>56</v>
      </c>
      <c r="G559" s="2" t="s">
        <v>1306</v>
      </c>
      <c r="H559" s="16"/>
      <c r="I559" s="20"/>
      <c r="J559" s="20"/>
      <c r="K559" s="20"/>
      <c r="L559" s="20"/>
      <c r="M559" s="20"/>
      <c r="N559" s="20"/>
      <c r="O559" s="20"/>
      <c r="P559" s="20"/>
      <c r="Q559" s="20"/>
      <c r="R559" s="20"/>
      <c r="S559" s="20"/>
      <c r="T559" s="20"/>
      <c r="U559" s="20"/>
      <c r="V559" s="20"/>
      <c r="W559" s="20"/>
      <c r="X559" s="20"/>
      <c r="Y559" s="20"/>
      <c r="Z559" s="20"/>
      <c r="AA559" s="20"/>
    </row>
    <row r="560" spans="1:27" ht="69.599999999999994" x14ac:dyDescent="0.25">
      <c r="A560" s="16"/>
      <c r="B560" s="20" t="b">
        <f ca="1">IFERROR(__xludf.DUMMYFUNCTION("if(D560=iferror(filter('Character Sheet'!D$13:D3002,'Character Sheet'!D$13:D3002=D560),""""),True,False)"),FALSE)</f>
        <v>0</v>
      </c>
      <c r="C560" s="20">
        <v>200</v>
      </c>
      <c r="D560" s="2" t="s">
        <v>1307</v>
      </c>
      <c r="E560" s="2" t="s">
        <v>401</v>
      </c>
      <c r="F560" s="20" t="s">
        <v>56</v>
      </c>
      <c r="G560" s="2" t="s">
        <v>1308</v>
      </c>
      <c r="H560" s="16"/>
      <c r="I560" s="20"/>
      <c r="J560" s="20"/>
      <c r="K560" s="20"/>
      <c r="L560" s="20"/>
      <c r="M560" s="20"/>
      <c r="N560" s="20"/>
      <c r="O560" s="20"/>
      <c r="P560" s="20"/>
      <c r="Q560" s="20"/>
      <c r="R560" s="20"/>
      <c r="S560" s="20"/>
      <c r="T560" s="20"/>
      <c r="U560" s="20"/>
      <c r="V560" s="20"/>
      <c r="W560" s="20"/>
      <c r="X560" s="20"/>
      <c r="Y560" s="20"/>
      <c r="Z560" s="20"/>
      <c r="AA560" s="20"/>
    </row>
    <row r="561" spans="1:27" ht="191.4" x14ac:dyDescent="0.25">
      <c r="A561" s="16"/>
      <c r="B561" s="20" t="b">
        <f ca="1">IFERROR(__xludf.DUMMYFUNCTION("if(D561=iferror(filter('Character Sheet'!D$13:D3002,'Character Sheet'!D$13:D3002=D561),""""),True,False)"),FALSE)</f>
        <v>0</v>
      </c>
      <c r="C561" s="20">
        <v>200</v>
      </c>
      <c r="D561" s="2" t="s">
        <v>1309</v>
      </c>
      <c r="E561" s="2" t="s">
        <v>381</v>
      </c>
      <c r="F561" s="20" t="s">
        <v>56</v>
      </c>
      <c r="G561" s="2" t="s">
        <v>1310</v>
      </c>
      <c r="H561" s="16"/>
      <c r="I561" s="20"/>
      <c r="J561" s="20"/>
      <c r="K561" s="20"/>
      <c r="L561" s="20"/>
      <c r="M561" s="20"/>
      <c r="N561" s="20"/>
      <c r="O561" s="20"/>
      <c r="P561" s="20"/>
      <c r="Q561" s="20"/>
      <c r="R561" s="20"/>
      <c r="S561" s="20"/>
      <c r="T561" s="20"/>
      <c r="U561" s="20"/>
      <c r="V561" s="20"/>
      <c r="W561" s="20"/>
      <c r="X561" s="20"/>
      <c r="Y561" s="20"/>
      <c r="Z561" s="20"/>
      <c r="AA561" s="20"/>
    </row>
    <row r="562" spans="1:27" ht="139.19999999999999" x14ac:dyDescent="0.25">
      <c r="A562" s="16"/>
      <c r="B562" s="20" t="b">
        <f ca="1">IFERROR(__xludf.DUMMYFUNCTION("if(D562=iferror(filter('Character Sheet'!D$13:D3002,'Character Sheet'!D$13:D3002=D562),""""),True,False)"),FALSE)</f>
        <v>0</v>
      </c>
      <c r="C562" s="20">
        <v>200</v>
      </c>
      <c r="D562" s="2" t="s">
        <v>1311</v>
      </c>
      <c r="E562" s="2" t="s">
        <v>124</v>
      </c>
      <c r="F562" s="20" t="s">
        <v>56</v>
      </c>
      <c r="G562" s="2" t="s">
        <v>1312</v>
      </c>
      <c r="H562" s="16"/>
      <c r="I562" s="20"/>
      <c r="J562" s="20"/>
      <c r="K562" s="20"/>
      <c r="L562" s="20"/>
      <c r="M562" s="20"/>
      <c r="N562" s="20"/>
      <c r="O562" s="20"/>
      <c r="P562" s="20"/>
      <c r="Q562" s="20"/>
      <c r="R562" s="20"/>
      <c r="S562" s="20"/>
      <c r="T562" s="20"/>
      <c r="U562" s="20"/>
      <c r="V562" s="20"/>
      <c r="W562" s="20"/>
      <c r="X562" s="20"/>
      <c r="Y562" s="20"/>
      <c r="Z562" s="20"/>
      <c r="AA562" s="20"/>
    </row>
    <row r="563" spans="1:27" ht="104.4" x14ac:dyDescent="0.25">
      <c r="A563" s="16"/>
      <c r="B563" s="20" t="b">
        <f ca="1">IFERROR(__xludf.DUMMYFUNCTION("if(D563=iferror(filter('Character Sheet'!D$13:D3002,'Character Sheet'!D$13:D3002=D563),""""),True,False)"),FALSE)</f>
        <v>0</v>
      </c>
      <c r="C563" s="20">
        <v>200</v>
      </c>
      <c r="D563" s="2" t="s">
        <v>1313</v>
      </c>
      <c r="E563" s="2" t="s">
        <v>334</v>
      </c>
      <c r="F563" s="20" t="s">
        <v>56</v>
      </c>
      <c r="G563" s="2" t="s">
        <v>1314</v>
      </c>
      <c r="H563" s="16"/>
      <c r="I563" s="20"/>
      <c r="J563" s="20"/>
      <c r="K563" s="20"/>
      <c r="L563" s="20"/>
      <c r="M563" s="20"/>
      <c r="N563" s="20"/>
      <c r="O563" s="20"/>
      <c r="P563" s="20"/>
      <c r="Q563" s="20"/>
      <c r="R563" s="20"/>
      <c r="S563" s="20"/>
      <c r="T563" s="20"/>
      <c r="U563" s="20"/>
      <c r="V563" s="20"/>
      <c r="W563" s="20"/>
      <c r="X563" s="20"/>
      <c r="Y563" s="20"/>
      <c r="Z563" s="20"/>
      <c r="AA563" s="20"/>
    </row>
    <row r="564" spans="1:27" ht="208.8" x14ac:dyDescent="0.25">
      <c r="A564" s="16"/>
      <c r="B564" s="20" t="b">
        <f ca="1">IFERROR(__xludf.DUMMYFUNCTION("if(D564=iferror(filter('Character Sheet'!D$13:D3002,'Character Sheet'!D$13:D3002=D564),""""),True,False)"),FALSE)</f>
        <v>0</v>
      </c>
      <c r="C564" s="20">
        <v>200</v>
      </c>
      <c r="D564" s="2" t="s">
        <v>1315</v>
      </c>
      <c r="E564" s="2" t="s">
        <v>662</v>
      </c>
      <c r="F564" s="20" t="s">
        <v>56</v>
      </c>
      <c r="G564" s="2" t="s">
        <v>1316</v>
      </c>
      <c r="H564" s="16"/>
      <c r="I564" s="20"/>
      <c r="J564" s="20"/>
      <c r="K564" s="20"/>
      <c r="L564" s="20"/>
      <c r="M564" s="20"/>
      <c r="N564" s="20"/>
      <c r="O564" s="20"/>
      <c r="P564" s="20"/>
      <c r="Q564" s="20"/>
      <c r="R564" s="20"/>
      <c r="S564" s="20"/>
      <c r="T564" s="20"/>
      <c r="U564" s="20"/>
      <c r="V564" s="20"/>
      <c r="W564" s="20"/>
      <c r="X564" s="20"/>
      <c r="Y564" s="20"/>
      <c r="Z564" s="20"/>
      <c r="AA564" s="20"/>
    </row>
    <row r="565" spans="1:27" ht="121.8" x14ac:dyDescent="0.25">
      <c r="A565" s="16"/>
      <c r="B565" s="20" t="b">
        <f ca="1">IFERROR(__xludf.DUMMYFUNCTION("if(D565=iferror(filter('Character Sheet'!D$13:D3002,'Character Sheet'!D$13:D3002=D565),""""),True,False)"),FALSE)</f>
        <v>0</v>
      </c>
      <c r="C565" s="20">
        <v>200</v>
      </c>
      <c r="D565" s="2" t="s">
        <v>1317</v>
      </c>
      <c r="E565" s="20" t="s">
        <v>291</v>
      </c>
      <c r="F565" s="20" t="s">
        <v>56</v>
      </c>
      <c r="G565" s="2" t="s">
        <v>1318</v>
      </c>
      <c r="H565" s="16"/>
      <c r="I565" s="20"/>
      <c r="J565" s="20"/>
      <c r="K565" s="20"/>
      <c r="L565" s="20"/>
      <c r="M565" s="20"/>
      <c r="N565" s="20"/>
      <c r="O565" s="20"/>
      <c r="P565" s="20"/>
      <c r="Q565" s="20"/>
      <c r="R565" s="20"/>
      <c r="S565" s="20"/>
      <c r="T565" s="20"/>
      <c r="U565" s="20"/>
      <c r="V565" s="20"/>
      <c r="W565" s="20"/>
      <c r="X565" s="20"/>
      <c r="Y565" s="20"/>
      <c r="Z565" s="20"/>
      <c r="AA565" s="20"/>
    </row>
    <row r="566" spans="1:27" ht="87" x14ac:dyDescent="0.25">
      <c r="A566" s="16"/>
      <c r="B566" s="20" t="b">
        <f ca="1">IFERROR(__xludf.DUMMYFUNCTION("if(D566=iferror(filter('Character Sheet'!D$13:D3002,'Character Sheet'!D$13:D3002=D566),""""),True,False)"),FALSE)</f>
        <v>0</v>
      </c>
      <c r="C566" s="20">
        <v>200</v>
      </c>
      <c r="D566" s="2" t="s">
        <v>1319</v>
      </c>
      <c r="E566" s="2" t="s">
        <v>425</v>
      </c>
      <c r="F566" s="20" t="s">
        <v>56</v>
      </c>
      <c r="G566" s="2" t="s">
        <v>1320</v>
      </c>
      <c r="H566" s="16"/>
      <c r="I566" s="20"/>
      <c r="J566" s="20"/>
      <c r="K566" s="20"/>
      <c r="L566" s="20"/>
      <c r="M566" s="20"/>
      <c r="N566" s="20"/>
      <c r="O566" s="20"/>
      <c r="P566" s="20"/>
      <c r="Q566" s="20"/>
      <c r="R566" s="20"/>
      <c r="S566" s="20"/>
      <c r="T566" s="20"/>
      <c r="U566" s="20"/>
      <c r="V566" s="20"/>
      <c r="W566" s="20"/>
      <c r="X566" s="20"/>
      <c r="Y566" s="20"/>
      <c r="Z566" s="20"/>
      <c r="AA566" s="20"/>
    </row>
    <row r="567" spans="1:27" ht="121.8" x14ac:dyDescent="0.25">
      <c r="A567" s="16"/>
      <c r="B567" s="20" t="b">
        <f ca="1">IFERROR(__xludf.DUMMYFUNCTION("if(D567=iferror(filter('Character Sheet'!D$13:D3002,'Character Sheet'!D$13:D3002=D567),""""),True,False)"),FALSE)</f>
        <v>0</v>
      </c>
      <c r="C567" s="20">
        <v>200</v>
      </c>
      <c r="D567" s="2" t="s">
        <v>1321</v>
      </c>
      <c r="E567" s="2" t="s">
        <v>109</v>
      </c>
      <c r="F567" s="20" t="s">
        <v>56</v>
      </c>
      <c r="G567" s="2" t="s">
        <v>1322</v>
      </c>
      <c r="H567" s="16"/>
      <c r="I567" s="20"/>
      <c r="J567" s="20"/>
      <c r="K567" s="20"/>
      <c r="L567" s="20"/>
      <c r="M567" s="20"/>
      <c r="N567" s="20"/>
      <c r="O567" s="20"/>
      <c r="P567" s="20"/>
      <c r="Q567" s="20"/>
      <c r="R567" s="20"/>
      <c r="S567" s="20"/>
      <c r="T567" s="20"/>
      <c r="U567" s="20"/>
      <c r="V567" s="20"/>
      <c r="W567" s="20"/>
      <c r="X567" s="20"/>
      <c r="Y567" s="20"/>
      <c r="Z567" s="20"/>
      <c r="AA567" s="20"/>
    </row>
    <row r="568" spans="1:27" ht="121.8" x14ac:dyDescent="0.25">
      <c r="A568" s="16"/>
      <c r="B568" s="20" t="b">
        <f ca="1">IFERROR(__xludf.DUMMYFUNCTION("if(D568=iferror(filter('Character Sheet'!D$13:D3002,'Character Sheet'!D$13:D3002=D568),""""),True,False)"),FALSE)</f>
        <v>0</v>
      </c>
      <c r="C568" s="20">
        <v>200</v>
      </c>
      <c r="D568" s="2" t="s">
        <v>1323</v>
      </c>
      <c r="E568" s="2" t="s">
        <v>428</v>
      </c>
      <c r="F568" s="20" t="s">
        <v>56</v>
      </c>
      <c r="G568" s="2" t="s">
        <v>1324</v>
      </c>
      <c r="H568" s="16"/>
      <c r="I568" s="20"/>
      <c r="J568" s="20"/>
      <c r="K568" s="20"/>
      <c r="L568" s="20"/>
      <c r="M568" s="20"/>
      <c r="N568" s="20"/>
      <c r="O568" s="20"/>
      <c r="P568" s="20"/>
      <c r="Q568" s="20"/>
      <c r="R568" s="20"/>
      <c r="S568" s="20"/>
      <c r="T568" s="20"/>
      <c r="U568" s="20"/>
      <c r="V568" s="20"/>
      <c r="W568" s="20"/>
      <c r="X568" s="20"/>
      <c r="Y568" s="20"/>
      <c r="Z568" s="20"/>
      <c r="AA568" s="20"/>
    </row>
    <row r="569" spans="1:27" ht="87" x14ac:dyDescent="0.25">
      <c r="A569" s="16"/>
      <c r="B569" s="20" t="b">
        <f ca="1">IFERROR(__xludf.DUMMYFUNCTION("if(D569=iferror(filter('Character Sheet'!D$13:D3002,'Character Sheet'!D$13:D3002=D569),""""),True,False)"),FALSE)</f>
        <v>0</v>
      </c>
      <c r="C569" s="20">
        <v>200</v>
      </c>
      <c r="D569" s="2" t="s">
        <v>1325</v>
      </c>
      <c r="E569" s="2" t="s">
        <v>93</v>
      </c>
      <c r="F569" s="20" t="s">
        <v>56</v>
      </c>
      <c r="G569" s="2" t="s">
        <v>1326</v>
      </c>
      <c r="H569" s="16"/>
      <c r="I569" s="20"/>
      <c r="J569" s="20"/>
      <c r="K569" s="20"/>
      <c r="L569" s="20"/>
      <c r="M569" s="20"/>
      <c r="N569" s="20"/>
      <c r="O569" s="20"/>
      <c r="P569" s="20"/>
      <c r="Q569" s="20"/>
      <c r="R569" s="20"/>
      <c r="S569" s="20"/>
      <c r="T569" s="20"/>
      <c r="U569" s="20"/>
      <c r="V569" s="20"/>
      <c r="W569" s="20"/>
      <c r="X569" s="20"/>
      <c r="Y569" s="20"/>
      <c r="Z569" s="20"/>
      <c r="AA569" s="20"/>
    </row>
    <row r="570" spans="1:27" ht="139.19999999999999" x14ac:dyDescent="0.25">
      <c r="A570" s="16"/>
      <c r="B570" s="20" t="b">
        <f ca="1">IFERROR(__xludf.DUMMYFUNCTION("if(D570=iferror(filter('Character Sheet'!D$13:D3002,'Character Sheet'!D$13:D3002=D570),""""),True,False)"),FALSE)</f>
        <v>0</v>
      </c>
      <c r="C570" s="20">
        <v>200</v>
      </c>
      <c r="D570" s="2" t="s">
        <v>1327</v>
      </c>
      <c r="E570" s="2" t="s">
        <v>514</v>
      </c>
      <c r="F570" s="20" t="s">
        <v>56</v>
      </c>
      <c r="G570" s="2" t="s">
        <v>1328</v>
      </c>
      <c r="H570" s="16"/>
      <c r="I570" s="20"/>
      <c r="J570" s="20"/>
      <c r="K570" s="20"/>
      <c r="L570" s="20"/>
      <c r="M570" s="20"/>
      <c r="N570" s="20"/>
      <c r="O570" s="20"/>
      <c r="P570" s="20"/>
      <c r="Q570" s="20"/>
      <c r="R570" s="20"/>
      <c r="S570" s="20"/>
      <c r="T570" s="20"/>
      <c r="U570" s="20"/>
      <c r="V570" s="20"/>
      <c r="W570" s="20"/>
      <c r="X570" s="20"/>
      <c r="Y570" s="20"/>
      <c r="Z570" s="20"/>
      <c r="AA570" s="20"/>
    </row>
    <row r="571" spans="1:27" ht="87" x14ac:dyDescent="0.25">
      <c r="A571" s="16"/>
      <c r="B571" s="20" t="b">
        <f ca="1">IFERROR(__xludf.DUMMYFUNCTION("if(D571=iferror(filter('Character Sheet'!D$13:D3002,'Character Sheet'!D$13:D3002=D571),""""),True,False)"),FALSE)</f>
        <v>0</v>
      </c>
      <c r="C571" s="20">
        <v>200</v>
      </c>
      <c r="D571" s="2" t="s">
        <v>1329</v>
      </c>
      <c r="E571" s="2" t="s">
        <v>1330</v>
      </c>
      <c r="F571" s="20" t="s">
        <v>56</v>
      </c>
      <c r="G571" s="2" t="s">
        <v>1331</v>
      </c>
      <c r="H571" s="16"/>
      <c r="I571" s="20"/>
      <c r="J571" s="20"/>
      <c r="K571" s="20"/>
      <c r="L571" s="20"/>
      <c r="M571" s="20"/>
      <c r="N571" s="20"/>
      <c r="O571" s="20"/>
      <c r="P571" s="20"/>
      <c r="Q571" s="20"/>
      <c r="R571" s="20"/>
      <c r="S571" s="20"/>
      <c r="T571" s="20"/>
      <c r="U571" s="20"/>
      <c r="V571" s="20"/>
      <c r="W571" s="20"/>
      <c r="X571" s="20"/>
      <c r="Y571" s="20"/>
      <c r="Z571" s="20"/>
      <c r="AA571" s="20"/>
    </row>
    <row r="572" spans="1:27" ht="191.4" x14ac:dyDescent="0.25">
      <c r="A572" s="16"/>
      <c r="B572" s="20" t="b">
        <f ca="1">IFERROR(__xludf.DUMMYFUNCTION("if(D572=iferror(filter('Character Sheet'!D$13:D3002,'Character Sheet'!D$13:D3002=D572),""""),True,False)"),FALSE)</f>
        <v>0</v>
      </c>
      <c r="C572" s="20">
        <v>200</v>
      </c>
      <c r="D572" s="2" t="s">
        <v>1332</v>
      </c>
      <c r="E572" s="2" t="s">
        <v>996</v>
      </c>
      <c r="F572" s="20" t="s">
        <v>56</v>
      </c>
      <c r="G572" s="2" t="s">
        <v>1333</v>
      </c>
      <c r="H572" s="16"/>
      <c r="I572" s="20"/>
      <c r="J572" s="20"/>
      <c r="K572" s="20"/>
      <c r="L572" s="20"/>
      <c r="M572" s="20"/>
      <c r="N572" s="20"/>
      <c r="O572" s="20"/>
      <c r="P572" s="20"/>
      <c r="Q572" s="20"/>
      <c r="R572" s="20"/>
      <c r="S572" s="20"/>
      <c r="T572" s="20"/>
      <c r="U572" s="20"/>
      <c r="V572" s="20"/>
      <c r="W572" s="20"/>
      <c r="X572" s="20"/>
      <c r="Y572" s="20"/>
      <c r="Z572" s="20"/>
      <c r="AA572" s="20"/>
    </row>
    <row r="573" spans="1:27" ht="139.19999999999999" x14ac:dyDescent="0.25">
      <c r="A573" s="16"/>
      <c r="B573" s="20" t="b">
        <f ca="1">IFERROR(__xludf.DUMMYFUNCTION("if(D573=iferror(filter('Character Sheet'!D$13:D3002,'Character Sheet'!D$13:D3002=D573),""""),True,False)"),FALSE)</f>
        <v>0</v>
      </c>
      <c r="C573" s="20">
        <v>200</v>
      </c>
      <c r="D573" s="2" t="s">
        <v>1334</v>
      </c>
      <c r="E573" s="2" t="s">
        <v>124</v>
      </c>
      <c r="F573" s="20" t="s">
        <v>56</v>
      </c>
      <c r="G573" s="2" t="s">
        <v>1335</v>
      </c>
      <c r="H573" s="16"/>
      <c r="I573" s="20"/>
      <c r="J573" s="20"/>
      <c r="K573" s="20"/>
      <c r="L573" s="20"/>
      <c r="M573" s="20"/>
      <c r="N573" s="20"/>
      <c r="O573" s="20"/>
      <c r="P573" s="20"/>
      <c r="Q573" s="20"/>
      <c r="R573" s="20"/>
      <c r="S573" s="20"/>
      <c r="T573" s="20"/>
      <c r="U573" s="20"/>
      <c r="V573" s="20"/>
      <c r="W573" s="20"/>
      <c r="X573" s="20"/>
      <c r="Y573" s="20"/>
      <c r="Z573" s="20"/>
      <c r="AA573" s="20"/>
    </row>
    <row r="574" spans="1:27" ht="69.599999999999994" x14ac:dyDescent="0.25">
      <c r="A574" s="16"/>
      <c r="B574" s="20" t="b">
        <f ca="1">IFERROR(__xludf.DUMMYFUNCTION("if(D574=iferror(filter('Character Sheet'!D$13:D3002,'Character Sheet'!D$13:D3002=D574),""""),True,False)"),FALSE)</f>
        <v>0</v>
      </c>
      <c r="C574" s="20">
        <v>200</v>
      </c>
      <c r="D574" s="2" t="s">
        <v>1336</v>
      </c>
      <c r="E574" s="2" t="s">
        <v>451</v>
      </c>
      <c r="F574" s="20" t="s">
        <v>56</v>
      </c>
      <c r="G574" s="2" t="s">
        <v>1337</v>
      </c>
      <c r="H574" s="16"/>
      <c r="I574" s="20"/>
      <c r="J574" s="20"/>
      <c r="K574" s="20"/>
      <c r="L574" s="20"/>
      <c r="M574" s="20"/>
      <c r="N574" s="20"/>
      <c r="O574" s="20"/>
      <c r="P574" s="20"/>
      <c r="Q574" s="20"/>
      <c r="R574" s="20"/>
      <c r="S574" s="20"/>
      <c r="T574" s="20"/>
      <c r="U574" s="20"/>
      <c r="V574" s="20"/>
      <c r="W574" s="20"/>
      <c r="X574" s="20"/>
      <c r="Y574" s="20"/>
      <c r="Z574" s="20"/>
      <c r="AA574" s="20"/>
    </row>
    <row r="575" spans="1:27" ht="69.599999999999994" x14ac:dyDescent="0.25">
      <c r="A575" s="16"/>
      <c r="B575" s="20" t="b">
        <f ca="1">IFERROR(__xludf.DUMMYFUNCTION("if(D575=iferror(filter('Character Sheet'!D$13:D3002,'Character Sheet'!D$13:D3002=D575),""""),True,False)"),FALSE)</f>
        <v>0</v>
      </c>
      <c r="C575" s="20">
        <v>200</v>
      </c>
      <c r="D575" s="2" t="s">
        <v>1338</v>
      </c>
      <c r="E575" s="2" t="s">
        <v>583</v>
      </c>
      <c r="F575" s="20" t="s">
        <v>56</v>
      </c>
      <c r="G575" s="2" t="s">
        <v>1339</v>
      </c>
      <c r="H575" s="16"/>
      <c r="I575" s="20"/>
      <c r="J575" s="20"/>
      <c r="K575" s="20"/>
      <c r="L575" s="20"/>
      <c r="M575" s="20"/>
      <c r="N575" s="20"/>
      <c r="O575" s="20"/>
      <c r="P575" s="20"/>
      <c r="Q575" s="20"/>
      <c r="R575" s="20"/>
      <c r="S575" s="20"/>
      <c r="T575" s="20"/>
      <c r="U575" s="20"/>
      <c r="V575" s="20"/>
      <c r="W575" s="20"/>
      <c r="X575" s="20"/>
      <c r="Y575" s="20"/>
      <c r="Z575" s="20"/>
      <c r="AA575" s="20"/>
    </row>
    <row r="576" spans="1:27" ht="34.799999999999997" x14ac:dyDescent="0.25">
      <c r="A576" s="16"/>
      <c r="B576" s="20" t="b">
        <f ca="1">IFERROR(__xludf.DUMMYFUNCTION("if(D576=iferror(filter('Character Sheet'!D$13:D3002,'Character Sheet'!D$13:D3002=D576),""""),True,False)"),FALSE)</f>
        <v>0</v>
      </c>
      <c r="C576" s="20">
        <v>200</v>
      </c>
      <c r="D576" s="2" t="s">
        <v>1340</v>
      </c>
      <c r="E576" s="2" t="s">
        <v>131</v>
      </c>
      <c r="F576" s="20" t="s">
        <v>56</v>
      </c>
      <c r="G576" s="2" t="s">
        <v>1341</v>
      </c>
      <c r="H576" s="16"/>
      <c r="I576" s="20"/>
      <c r="J576" s="20"/>
      <c r="K576" s="20"/>
      <c r="L576" s="20"/>
      <c r="M576" s="20"/>
      <c r="N576" s="20"/>
      <c r="O576" s="20"/>
      <c r="P576" s="20"/>
      <c r="Q576" s="20"/>
      <c r="R576" s="20"/>
      <c r="S576" s="20"/>
      <c r="T576" s="20"/>
      <c r="U576" s="20"/>
      <c r="V576" s="20"/>
      <c r="W576" s="20"/>
      <c r="X576" s="20"/>
      <c r="Y576" s="20"/>
      <c r="Z576" s="20"/>
      <c r="AA576" s="20"/>
    </row>
    <row r="577" spans="1:27" ht="52.2" x14ac:dyDescent="0.25">
      <c r="A577" s="16"/>
      <c r="B577" s="20" t="b">
        <f ca="1">IFERROR(__xludf.DUMMYFUNCTION("if(D577=iferror(filter('Character Sheet'!D$13:D3002,'Character Sheet'!D$13:D3002=D577),""""),True,False)"),FALSE)</f>
        <v>0</v>
      </c>
      <c r="C577" s="20">
        <v>200</v>
      </c>
      <c r="D577" s="2" t="s">
        <v>1342</v>
      </c>
      <c r="E577" s="2" t="s">
        <v>711</v>
      </c>
      <c r="F577" s="20" t="s">
        <v>56</v>
      </c>
      <c r="G577" s="2" t="s">
        <v>1343</v>
      </c>
      <c r="H577" s="16"/>
      <c r="I577" s="20"/>
      <c r="J577" s="20"/>
      <c r="K577" s="20"/>
      <c r="L577" s="20"/>
      <c r="M577" s="20"/>
      <c r="N577" s="20"/>
      <c r="O577" s="20"/>
      <c r="P577" s="20"/>
      <c r="Q577" s="20"/>
      <c r="R577" s="20"/>
      <c r="S577" s="20"/>
      <c r="T577" s="20"/>
      <c r="U577" s="20"/>
      <c r="V577" s="20"/>
      <c r="W577" s="20"/>
      <c r="X577" s="20"/>
      <c r="Y577" s="20"/>
      <c r="Z577" s="20"/>
      <c r="AA577" s="20"/>
    </row>
    <row r="578" spans="1:27" ht="243.6" x14ac:dyDescent="0.25">
      <c r="A578" s="16"/>
      <c r="B578" s="20" t="b">
        <f ca="1">IFERROR(__xludf.DUMMYFUNCTION("if(D578=iferror(filter('Character Sheet'!D$13:D3002,'Character Sheet'!D$13:D3002=D578),""""),True,False)"),FALSE)</f>
        <v>0</v>
      </c>
      <c r="C578" s="20">
        <v>200</v>
      </c>
      <c r="D578" s="2" t="s">
        <v>1344</v>
      </c>
      <c r="E578" s="2" t="s">
        <v>371</v>
      </c>
      <c r="F578" s="20" t="s">
        <v>56</v>
      </c>
      <c r="G578" s="2" t="s">
        <v>1345</v>
      </c>
      <c r="H578" s="16"/>
      <c r="I578" s="20"/>
      <c r="J578" s="20"/>
      <c r="K578" s="20"/>
      <c r="L578" s="20"/>
      <c r="M578" s="20"/>
      <c r="N578" s="20"/>
      <c r="O578" s="20"/>
      <c r="P578" s="20"/>
      <c r="Q578" s="20"/>
      <c r="R578" s="20"/>
      <c r="S578" s="20"/>
      <c r="T578" s="20"/>
      <c r="U578" s="20"/>
      <c r="V578" s="20"/>
      <c r="W578" s="20"/>
      <c r="X578" s="20"/>
      <c r="Y578" s="20"/>
      <c r="Z578" s="20"/>
      <c r="AA578" s="20"/>
    </row>
    <row r="579" spans="1:27" ht="139.19999999999999" x14ac:dyDescent="0.25">
      <c r="A579" s="16"/>
      <c r="B579" s="20" t="b">
        <f ca="1">IFERROR(__xludf.DUMMYFUNCTION("if(D579=iferror(filter('Character Sheet'!D$13:D3002,'Character Sheet'!D$13:D3002=D579),""""),True,False)"),FALSE)</f>
        <v>0</v>
      </c>
      <c r="C579" s="20">
        <v>200</v>
      </c>
      <c r="D579" s="2" t="s">
        <v>1346</v>
      </c>
      <c r="E579" s="2" t="s">
        <v>845</v>
      </c>
      <c r="F579" s="20" t="s">
        <v>56</v>
      </c>
      <c r="G579" s="2" t="s">
        <v>1347</v>
      </c>
      <c r="H579" s="16"/>
      <c r="I579" s="20"/>
      <c r="J579" s="20"/>
      <c r="K579" s="20"/>
      <c r="L579" s="20"/>
      <c r="M579" s="20"/>
      <c r="N579" s="20"/>
      <c r="O579" s="20"/>
      <c r="P579" s="20"/>
      <c r="Q579" s="20"/>
      <c r="R579" s="20"/>
      <c r="S579" s="20"/>
      <c r="T579" s="20"/>
      <c r="U579" s="20"/>
      <c r="V579" s="20"/>
      <c r="W579" s="20"/>
      <c r="X579" s="20"/>
      <c r="Y579" s="20"/>
      <c r="Z579" s="20"/>
      <c r="AA579" s="20"/>
    </row>
    <row r="580" spans="1:27" ht="156.6" x14ac:dyDescent="0.25">
      <c r="A580" s="16"/>
      <c r="B580" s="20" t="b">
        <f ca="1">IFERROR(__xludf.DUMMYFUNCTION("if(D580=iferror(filter('Character Sheet'!D$13:D3002,'Character Sheet'!D$13:D3002=D580),""""),True,False)"),FALSE)</f>
        <v>0</v>
      </c>
      <c r="C580" s="20">
        <v>200</v>
      </c>
      <c r="D580" s="2" t="s">
        <v>1348</v>
      </c>
      <c r="E580" s="2" t="s">
        <v>322</v>
      </c>
      <c r="F580" s="20" t="s">
        <v>56</v>
      </c>
      <c r="G580" s="2" t="s">
        <v>1349</v>
      </c>
      <c r="H580" s="16"/>
      <c r="I580" s="20"/>
      <c r="J580" s="20"/>
      <c r="K580" s="20"/>
      <c r="L580" s="20"/>
      <c r="M580" s="20"/>
      <c r="N580" s="20"/>
      <c r="O580" s="20"/>
      <c r="P580" s="20"/>
      <c r="Q580" s="20"/>
      <c r="R580" s="20"/>
      <c r="S580" s="20"/>
      <c r="T580" s="20"/>
      <c r="U580" s="20"/>
      <c r="V580" s="20"/>
      <c r="W580" s="20"/>
      <c r="X580" s="20"/>
      <c r="Y580" s="20"/>
      <c r="Z580" s="20"/>
      <c r="AA580" s="20"/>
    </row>
    <row r="581" spans="1:27" ht="174" x14ac:dyDescent="0.25">
      <c r="A581" s="16"/>
      <c r="B581" s="20" t="b">
        <f ca="1">IFERROR(__xludf.DUMMYFUNCTION("if(D581=iferror(filter('Character Sheet'!D$13:D3002,'Character Sheet'!D$13:D3002=D581),""""),True,False)"),FALSE)</f>
        <v>0</v>
      </c>
      <c r="C581" s="20">
        <v>200</v>
      </c>
      <c r="D581" s="2" t="s">
        <v>1350</v>
      </c>
      <c r="E581" s="2" t="s">
        <v>124</v>
      </c>
      <c r="F581" s="20" t="s">
        <v>56</v>
      </c>
      <c r="G581" s="2" t="s">
        <v>1351</v>
      </c>
      <c r="H581" s="16"/>
      <c r="I581" s="20"/>
      <c r="J581" s="20"/>
      <c r="K581" s="20"/>
      <c r="L581" s="20"/>
      <c r="M581" s="20"/>
      <c r="N581" s="20"/>
      <c r="O581" s="20"/>
      <c r="P581" s="20"/>
      <c r="Q581" s="20"/>
      <c r="R581" s="20"/>
      <c r="S581" s="20"/>
      <c r="T581" s="20"/>
      <c r="U581" s="20"/>
      <c r="V581" s="20"/>
      <c r="W581" s="20"/>
      <c r="X581" s="20"/>
      <c r="Y581" s="20"/>
      <c r="Z581" s="20"/>
      <c r="AA581" s="20"/>
    </row>
    <row r="582" spans="1:27" ht="139.19999999999999" x14ac:dyDescent="0.25">
      <c r="A582" s="16"/>
      <c r="B582" s="20" t="b">
        <f ca="1">IFERROR(__xludf.DUMMYFUNCTION("if(D582=iferror(filter('Character Sheet'!D$13:D3002,'Character Sheet'!D$13:D3002=D582),""""),True,False)"),FALSE)</f>
        <v>0</v>
      </c>
      <c r="C582" s="20">
        <v>200</v>
      </c>
      <c r="D582" s="2" t="s">
        <v>1352</v>
      </c>
      <c r="E582" s="2" t="s">
        <v>165</v>
      </c>
      <c r="F582" s="20" t="s">
        <v>56</v>
      </c>
      <c r="G582" s="2" t="s">
        <v>1353</v>
      </c>
      <c r="H582" s="16"/>
      <c r="I582" s="20"/>
      <c r="J582" s="20"/>
      <c r="K582" s="20"/>
      <c r="L582" s="20"/>
      <c r="M582" s="20"/>
      <c r="N582" s="20"/>
      <c r="O582" s="20"/>
      <c r="P582" s="20"/>
      <c r="Q582" s="20"/>
      <c r="R582" s="20"/>
      <c r="S582" s="20"/>
      <c r="T582" s="20"/>
      <c r="U582" s="20"/>
      <c r="V582" s="20"/>
      <c r="W582" s="20"/>
      <c r="X582" s="20"/>
      <c r="Y582" s="20"/>
      <c r="Z582" s="20"/>
      <c r="AA582" s="20"/>
    </row>
    <row r="583" spans="1:27" ht="104.4" x14ac:dyDescent="0.25">
      <c r="A583" s="16"/>
      <c r="B583" s="20" t="b">
        <f ca="1">IFERROR(__xludf.DUMMYFUNCTION("if(D583=iferror(filter('Character Sheet'!D$13:D3002,'Character Sheet'!D$13:D3002=D583),""""),True,False)"),FALSE)</f>
        <v>0</v>
      </c>
      <c r="C583" s="20">
        <v>200</v>
      </c>
      <c r="D583" s="2" t="s">
        <v>1354</v>
      </c>
      <c r="E583" s="2" t="s">
        <v>401</v>
      </c>
      <c r="F583" s="20" t="s">
        <v>56</v>
      </c>
      <c r="G583" s="2" t="s">
        <v>1355</v>
      </c>
      <c r="H583" s="16"/>
      <c r="I583" s="20"/>
      <c r="J583" s="20"/>
      <c r="K583" s="20"/>
      <c r="L583" s="20"/>
      <c r="M583" s="20"/>
      <c r="N583" s="20"/>
      <c r="O583" s="20"/>
      <c r="P583" s="20"/>
      <c r="Q583" s="20"/>
      <c r="R583" s="20"/>
      <c r="S583" s="20"/>
      <c r="T583" s="20"/>
      <c r="U583" s="20"/>
      <c r="V583" s="20"/>
      <c r="W583" s="20"/>
      <c r="X583" s="20"/>
      <c r="Y583" s="20"/>
      <c r="Z583" s="20"/>
      <c r="AA583" s="20"/>
    </row>
    <row r="584" spans="1:27" ht="87" x14ac:dyDescent="0.25">
      <c r="A584" s="16"/>
      <c r="B584" s="20" t="b">
        <f ca="1">IFERROR(__xludf.DUMMYFUNCTION("if(D584=iferror(filter('Character Sheet'!D$13:D3002,'Character Sheet'!D$13:D3002=D584),""""),True,False)"),FALSE)</f>
        <v>0</v>
      </c>
      <c r="C584" s="20">
        <v>200</v>
      </c>
      <c r="D584" s="2" t="s">
        <v>1356</v>
      </c>
      <c r="E584" s="2" t="s">
        <v>442</v>
      </c>
      <c r="F584" s="20" t="s">
        <v>56</v>
      </c>
      <c r="G584" s="2" t="s">
        <v>1357</v>
      </c>
      <c r="H584" s="16"/>
      <c r="I584" s="20"/>
      <c r="J584" s="20"/>
      <c r="K584" s="20"/>
      <c r="L584" s="20"/>
      <c r="M584" s="20"/>
      <c r="N584" s="20"/>
      <c r="O584" s="20"/>
      <c r="P584" s="20"/>
      <c r="Q584" s="20"/>
      <c r="R584" s="20"/>
      <c r="S584" s="20"/>
      <c r="T584" s="20"/>
      <c r="U584" s="20"/>
      <c r="V584" s="20"/>
      <c r="W584" s="20"/>
      <c r="X584" s="20"/>
      <c r="Y584" s="20"/>
      <c r="Z584" s="20"/>
      <c r="AA584" s="20"/>
    </row>
    <row r="585" spans="1:27" ht="174" x14ac:dyDescent="0.25">
      <c r="A585" s="16"/>
      <c r="B585" s="20" t="b">
        <f ca="1">IFERROR(__xludf.DUMMYFUNCTION("if(D585=iferror(filter('Character Sheet'!D$13:D3002,'Character Sheet'!D$13:D3002=D585),""""),True,False)"),FALSE)</f>
        <v>0</v>
      </c>
      <c r="C585" s="20">
        <v>200</v>
      </c>
      <c r="D585" s="2" t="s">
        <v>1358</v>
      </c>
      <c r="E585" s="2" t="s">
        <v>124</v>
      </c>
      <c r="F585" s="20" t="s">
        <v>56</v>
      </c>
      <c r="G585" s="2" t="s">
        <v>1359</v>
      </c>
      <c r="H585" s="16"/>
      <c r="I585" s="20"/>
      <c r="J585" s="20"/>
      <c r="K585" s="20"/>
      <c r="L585" s="20"/>
      <c r="M585" s="20"/>
      <c r="N585" s="20"/>
      <c r="O585" s="20"/>
      <c r="P585" s="20"/>
      <c r="Q585" s="20"/>
      <c r="R585" s="20"/>
      <c r="S585" s="20"/>
      <c r="T585" s="20"/>
      <c r="U585" s="20"/>
      <c r="V585" s="20"/>
      <c r="W585" s="20"/>
      <c r="X585" s="20"/>
      <c r="Y585" s="20"/>
      <c r="Z585" s="20"/>
      <c r="AA585" s="20"/>
    </row>
    <row r="586" spans="1:27" ht="87" x14ac:dyDescent="0.25">
      <c r="A586" s="16"/>
      <c r="B586" s="20" t="b">
        <f ca="1">IFERROR(__xludf.DUMMYFUNCTION("if(D586=iferror(filter('Character Sheet'!D$13:D3002,'Character Sheet'!D$13:D3002=D586),""""),True,False)"),FALSE)</f>
        <v>0</v>
      </c>
      <c r="C586" s="20">
        <v>300</v>
      </c>
      <c r="D586" s="2" t="s">
        <v>1360</v>
      </c>
      <c r="E586" s="2" t="s">
        <v>100</v>
      </c>
      <c r="F586" s="20" t="s">
        <v>56</v>
      </c>
      <c r="G586" s="2" t="s">
        <v>1361</v>
      </c>
      <c r="H586" s="16"/>
      <c r="I586" s="20"/>
      <c r="J586" s="20"/>
      <c r="K586" s="20"/>
      <c r="L586" s="20"/>
      <c r="M586" s="20"/>
      <c r="N586" s="20"/>
      <c r="O586" s="20"/>
      <c r="P586" s="20"/>
      <c r="Q586" s="20"/>
      <c r="R586" s="20"/>
      <c r="S586" s="20"/>
      <c r="T586" s="20"/>
      <c r="U586" s="20"/>
      <c r="V586" s="20"/>
      <c r="W586" s="20"/>
      <c r="X586" s="20"/>
      <c r="Y586" s="20"/>
      <c r="Z586" s="20"/>
      <c r="AA586" s="20"/>
    </row>
    <row r="587" spans="1:27" ht="156.6" x14ac:dyDescent="0.25">
      <c r="A587" s="16"/>
      <c r="B587" s="20" t="b">
        <f ca="1">IFERROR(__xludf.DUMMYFUNCTION("if(D587=iferror(filter('Character Sheet'!D$13:D3002,'Character Sheet'!D$13:D3002=D587),""""),True,False)"),FALSE)</f>
        <v>0</v>
      </c>
      <c r="C587" s="20">
        <v>300</v>
      </c>
      <c r="D587" s="2" t="s">
        <v>1362</v>
      </c>
      <c r="E587" s="2" t="s">
        <v>87</v>
      </c>
      <c r="F587" s="20" t="s">
        <v>56</v>
      </c>
      <c r="G587" s="2" t="s">
        <v>1363</v>
      </c>
      <c r="H587" s="16"/>
      <c r="I587" s="20"/>
      <c r="J587" s="20"/>
      <c r="K587" s="20"/>
      <c r="L587" s="20"/>
      <c r="M587" s="20"/>
      <c r="N587" s="20"/>
      <c r="O587" s="20"/>
      <c r="P587" s="20"/>
      <c r="Q587" s="20"/>
      <c r="R587" s="20"/>
      <c r="S587" s="20"/>
      <c r="T587" s="20"/>
      <c r="U587" s="20"/>
      <c r="V587" s="20"/>
      <c r="W587" s="20"/>
      <c r="X587" s="20"/>
      <c r="Y587" s="20"/>
      <c r="Z587" s="20"/>
      <c r="AA587" s="20"/>
    </row>
    <row r="588" spans="1:27" ht="348" x14ac:dyDescent="0.25">
      <c r="A588" s="16"/>
      <c r="B588" s="20" t="b">
        <f ca="1">IFERROR(__xludf.DUMMYFUNCTION("if(D588=iferror(filter('Character Sheet'!D$13:D3002,'Character Sheet'!D$13:D3002=D588),""""),True,False)"),FALSE)</f>
        <v>0</v>
      </c>
      <c r="C588" s="20">
        <v>300</v>
      </c>
      <c r="D588" s="2" t="s">
        <v>1364</v>
      </c>
      <c r="E588" s="2" t="s">
        <v>230</v>
      </c>
      <c r="F588" s="20" t="s">
        <v>56</v>
      </c>
      <c r="G588" s="2" t="s">
        <v>1365</v>
      </c>
      <c r="H588" s="16"/>
      <c r="I588" s="20"/>
      <c r="J588" s="20"/>
      <c r="K588" s="20"/>
      <c r="L588" s="20"/>
      <c r="M588" s="20"/>
      <c r="N588" s="20"/>
      <c r="O588" s="20"/>
      <c r="P588" s="20"/>
      <c r="Q588" s="20"/>
      <c r="R588" s="20"/>
      <c r="S588" s="20"/>
      <c r="T588" s="20"/>
      <c r="U588" s="20"/>
      <c r="V588" s="20"/>
      <c r="W588" s="20"/>
      <c r="X588" s="20"/>
      <c r="Y588" s="20"/>
      <c r="Z588" s="20"/>
      <c r="AA588" s="20"/>
    </row>
    <row r="589" spans="1:27" ht="174" x14ac:dyDescent="0.25">
      <c r="A589" s="16"/>
      <c r="B589" s="20" t="b">
        <f ca="1">IFERROR(__xludf.DUMMYFUNCTION("if(D589=iferror(filter('Character Sheet'!D$13:D3002,'Character Sheet'!D$13:D3002=D589),""""),True,False)"),FALSE)</f>
        <v>0</v>
      </c>
      <c r="C589" s="20">
        <v>300</v>
      </c>
      <c r="D589" s="2" t="s">
        <v>1366</v>
      </c>
      <c r="E589" s="2" t="s">
        <v>428</v>
      </c>
      <c r="F589" s="20" t="s">
        <v>56</v>
      </c>
      <c r="G589" s="2" t="s">
        <v>1367</v>
      </c>
      <c r="H589" s="16"/>
      <c r="I589" s="20"/>
      <c r="J589" s="20"/>
      <c r="K589" s="20"/>
      <c r="L589" s="20"/>
      <c r="M589" s="20"/>
      <c r="N589" s="20"/>
      <c r="O589" s="20"/>
      <c r="P589" s="20"/>
      <c r="Q589" s="20"/>
      <c r="R589" s="20"/>
      <c r="S589" s="20"/>
      <c r="T589" s="20"/>
      <c r="U589" s="20"/>
      <c r="V589" s="20"/>
      <c r="W589" s="20"/>
      <c r="X589" s="20"/>
      <c r="Y589" s="20"/>
      <c r="Z589" s="20"/>
      <c r="AA589" s="20"/>
    </row>
    <row r="590" spans="1:27" ht="87" x14ac:dyDescent="0.25">
      <c r="A590" s="16"/>
      <c r="B590" s="20" t="b">
        <f ca="1">IFERROR(__xludf.DUMMYFUNCTION("if(D590=iferror(filter('Character Sheet'!D$13:D3002,'Character Sheet'!D$13:D3002=D590),""""),True,False)"),FALSE)</f>
        <v>0</v>
      </c>
      <c r="C590" s="20">
        <v>300</v>
      </c>
      <c r="D590" s="2" t="s">
        <v>1368</v>
      </c>
      <c r="E590" s="2" t="s">
        <v>100</v>
      </c>
      <c r="F590" s="20" t="s">
        <v>56</v>
      </c>
      <c r="G590" s="2" t="s">
        <v>1369</v>
      </c>
      <c r="H590" s="16"/>
      <c r="I590" s="20"/>
      <c r="J590" s="20"/>
      <c r="K590" s="20"/>
      <c r="L590" s="20"/>
      <c r="M590" s="20"/>
      <c r="N590" s="20"/>
      <c r="O590" s="20"/>
      <c r="P590" s="20"/>
      <c r="Q590" s="20"/>
      <c r="R590" s="20"/>
      <c r="S590" s="20"/>
      <c r="T590" s="20"/>
      <c r="U590" s="20"/>
      <c r="V590" s="20"/>
      <c r="W590" s="20"/>
      <c r="X590" s="20"/>
      <c r="Y590" s="20"/>
      <c r="Z590" s="20"/>
      <c r="AA590" s="20"/>
    </row>
    <row r="591" spans="1:27" ht="295.8" x14ac:dyDescent="0.25">
      <c r="A591" s="16"/>
      <c r="B591" s="20" t="b">
        <f ca="1">IFERROR(__xludf.DUMMYFUNCTION("if(D591=iferror(filter('Character Sheet'!D$13:D3002,'Character Sheet'!D$13:D3002=D591),""""),True,False)"),FALSE)</f>
        <v>0</v>
      </c>
      <c r="C591" s="20">
        <v>300</v>
      </c>
      <c r="D591" s="2" t="s">
        <v>1370</v>
      </c>
      <c r="E591" s="2" t="s">
        <v>1137</v>
      </c>
      <c r="F591" s="20" t="s">
        <v>56</v>
      </c>
      <c r="G591" s="2" t="s">
        <v>1371</v>
      </c>
      <c r="H591" s="16"/>
      <c r="I591" s="20"/>
      <c r="J591" s="20"/>
      <c r="K591" s="20"/>
      <c r="L591" s="20"/>
      <c r="M591" s="20"/>
      <c r="N591" s="20"/>
      <c r="O591" s="20"/>
      <c r="P591" s="20"/>
      <c r="Q591" s="20"/>
      <c r="R591" s="20"/>
      <c r="S591" s="20"/>
      <c r="T591" s="20"/>
      <c r="U591" s="20"/>
      <c r="V591" s="20"/>
      <c r="W591" s="20"/>
      <c r="X591" s="20"/>
      <c r="Y591" s="20"/>
      <c r="Z591" s="20"/>
      <c r="AA591" s="20"/>
    </row>
    <row r="592" spans="1:27" ht="295.8" x14ac:dyDescent="0.25">
      <c r="A592" s="16"/>
      <c r="B592" s="20" t="b">
        <f ca="1">IFERROR(__xludf.DUMMYFUNCTION("if(D592=iferror(filter('Character Sheet'!D$13:D3002,'Character Sheet'!D$13:D3002=D592),""""),True,False)"),FALSE)</f>
        <v>0</v>
      </c>
      <c r="C592" s="20">
        <v>300</v>
      </c>
      <c r="D592" s="2" t="s">
        <v>1372</v>
      </c>
      <c r="E592" s="2" t="s">
        <v>1373</v>
      </c>
      <c r="F592" s="20" t="s">
        <v>56</v>
      </c>
      <c r="G592" s="2" t="s">
        <v>1374</v>
      </c>
      <c r="H592" s="16"/>
      <c r="I592" s="20"/>
      <c r="J592" s="20"/>
      <c r="K592" s="20"/>
      <c r="L592" s="20"/>
      <c r="M592" s="20"/>
      <c r="N592" s="20"/>
      <c r="O592" s="20"/>
      <c r="P592" s="20"/>
      <c r="Q592" s="20"/>
      <c r="R592" s="20"/>
      <c r="S592" s="20"/>
      <c r="T592" s="20"/>
      <c r="U592" s="20"/>
      <c r="V592" s="20"/>
      <c r="W592" s="20"/>
      <c r="X592" s="20"/>
      <c r="Y592" s="20"/>
      <c r="Z592" s="20"/>
      <c r="AA592" s="20"/>
    </row>
    <row r="593" spans="1:27" ht="104.4" x14ac:dyDescent="0.25">
      <c r="A593" s="16"/>
      <c r="B593" s="20" t="b">
        <f ca="1">IFERROR(__xludf.DUMMYFUNCTION("if(D593=iferror(filter('Character Sheet'!D$13:D3002,'Character Sheet'!D$13:D3002=D593),""""),True,False)"),FALSE)</f>
        <v>0</v>
      </c>
      <c r="C593" s="20">
        <v>300</v>
      </c>
      <c r="D593" s="2" t="s">
        <v>1375</v>
      </c>
      <c r="E593" s="2" t="s">
        <v>1052</v>
      </c>
      <c r="F593" s="20" t="s">
        <v>56</v>
      </c>
      <c r="G593" s="2" t="s">
        <v>1376</v>
      </c>
      <c r="H593" s="16"/>
      <c r="I593" s="20"/>
      <c r="J593" s="20"/>
      <c r="K593" s="20"/>
      <c r="L593" s="20"/>
      <c r="M593" s="20"/>
      <c r="N593" s="20"/>
      <c r="O593" s="20"/>
      <c r="P593" s="20"/>
      <c r="Q593" s="20"/>
      <c r="R593" s="20"/>
      <c r="S593" s="20"/>
      <c r="T593" s="20"/>
      <c r="U593" s="20"/>
      <c r="V593" s="20"/>
      <c r="W593" s="20"/>
      <c r="X593" s="20"/>
      <c r="Y593" s="20"/>
      <c r="Z593" s="20"/>
      <c r="AA593" s="20"/>
    </row>
    <row r="594" spans="1:27" ht="156.6" x14ac:dyDescent="0.25">
      <c r="A594" s="16"/>
      <c r="B594" s="20" t="b">
        <f ca="1">IFERROR(__xludf.DUMMYFUNCTION("if(D594=iferror(filter('Character Sheet'!D$13:D3002,'Character Sheet'!D$13:D3002=D594),""""),True,False)"),FALSE)</f>
        <v>0</v>
      </c>
      <c r="C594" s="20">
        <v>300</v>
      </c>
      <c r="D594" s="2" t="s">
        <v>1377</v>
      </c>
      <c r="E594" s="2" t="s">
        <v>1239</v>
      </c>
      <c r="F594" s="20" t="s">
        <v>56</v>
      </c>
      <c r="G594" s="2" t="s">
        <v>1378</v>
      </c>
      <c r="H594" s="16"/>
      <c r="I594" s="20"/>
      <c r="J594" s="20"/>
      <c r="K594" s="20"/>
      <c r="L594" s="20"/>
      <c r="M594" s="20"/>
      <c r="N594" s="20"/>
      <c r="O594" s="20"/>
      <c r="P594" s="20"/>
      <c r="Q594" s="20"/>
      <c r="R594" s="20"/>
      <c r="S594" s="20"/>
      <c r="T594" s="20"/>
      <c r="U594" s="20"/>
      <c r="V594" s="20"/>
      <c r="W594" s="20"/>
      <c r="X594" s="20"/>
      <c r="Y594" s="20"/>
      <c r="Z594" s="20"/>
      <c r="AA594" s="20"/>
    </row>
    <row r="595" spans="1:27" ht="278.39999999999998" x14ac:dyDescent="0.25">
      <c r="A595" s="16"/>
      <c r="B595" s="20" t="b">
        <f ca="1">IFERROR(__xludf.DUMMYFUNCTION("if(D595=iferror(filter('Character Sheet'!D$13:D3002,'Character Sheet'!D$13:D3002=D595),""""),True,False)"),FALSE)</f>
        <v>0</v>
      </c>
      <c r="C595" s="20">
        <v>300</v>
      </c>
      <c r="D595" s="2" t="s">
        <v>1379</v>
      </c>
      <c r="E595" s="2" t="s">
        <v>225</v>
      </c>
      <c r="F595" s="20" t="s">
        <v>56</v>
      </c>
      <c r="G595" s="2" t="s">
        <v>1380</v>
      </c>
      <c r="H595" s="16"/>
      <c r="I595" s="20"/>
      <c r="J595" s="20"/>
      <c r="K595" s="20"/>
      <c r="L595" s="20"/>
      <c r="M595" s="20"/>
      <c r="N595" s="20"/>
      <c r="O595" s="20"/>
      <c r="P595" s="20"/>
      <c r="Q595" s="20"/>
      <c r="R595" s="20"/>
      <c r="S595" s="20"/>
      <c r="T595" s="20"/>
      <c r="U595" s="20"/>
      <c r="V595" s="20"/>
      <c r="W595" s="20"/>
      <c r="X595" s="20"/>
      <c r="Y595" s="20"/>
      <c r="Z595" s="20"/>
      <c r="AA595" s="20"/>
    </row>
    <row r="596" spans="1:27" ht="156.6" x14ac:dyDescent="0.25">
      <c r="A596" s="16"/>
      <c r="B596" s="20" t="b">
        <f ca="1">IFERROR(__xludf.DUMMYFUNCTION("if(D596=iferror(filter('Character Sheet'!D$13:D3002,'Character Sheet'!D$13:D3002=D596),""""),True,False)"),FALSE)</f>
        <v>0</v>
      </c>
      <c r="C596" s="20">
        <v>300</v>
      </c>
      <c r="D596" s="2" t="s">
        <v>1381</v>
      </c>
      <c r="E596" s="2" t="s">
        <v>100</v>
      </c>
      <c r="F596" s="20" t="s">
        <v>56</v>
      </c>
      <c r="G596" s="2" t="s">
        <v>1382</v>
      </c>
      <c r="H596" s="16"/>
      <c r="I596" s="20"/>
      <c r="J596" s="20"/>
      <c r="K596" s="20"/>
      <c r="L596" s="20"/>
      <c r="M596" s="20"/>
      <c r="N596" s="20"/>
      <c r="O596" s="20"/>
      <c r="P596" s="20"/>
      <c r="Q596" s="20"/>
      <c r="R596" s="20"/>
      <c r="S596" s="20"/>
      <c r="T596" s="20"/>
      <c r="U596" s="20"/>
      <c r="V596" s="20"/>
      <c r="W596" s="20"/>
      <c r="X596" s="20"/>
      <c r="Y596" s="20"/>
      <c r="Z596" s="20"/>
      <c r="AA596" s="20"/>
    </row>
    <row r="597" spans="1:27" ht="191.4" x14ac:dyDescent="0.25">
      <c r="A597" s="16"/>
      <c r="B597" s="20" t="b">
        <f ca="1">IFERROR(__xludf.DUMMYFUNCTION("if(D597=iferror(filter('Character Sheet'!D$13:D3002,'Character Sheet'!D$13:D3002=D597),""""),True,False)"),FALSE)</f>
        <v>0</v>
      </c>
      <c r="C597" s="20">
        <v>300</v>
      </c>
      <c r="D597" s="2" t="s">
        <v>1383</v>
      </c>
      <c r="E597" s="2" t="s">
        <v>136</v>
      </c>
      <c r="F597" s="20" t="s">
        <v>56</v>
      </c>
      <c r="G597" s="2" t="s">
        <v>1384</v>
      </c>
      <c r="H597" s="16"/>
      <c r="I597" s="20"/>
      <c r="J597" s="20"/>
      <c r="K597" s="20"/>
      <c r="L597" s="20"/>
      <c r="M597" s="20"/>
      <c r="N597" s="20"/>
      <c r="O597" s="20"/>
      <c r="P597" s="20"/>
      <c r="Q597" s="20"/>
      <c r="R597" s="20"/>
      <c r="S597" s="20"/>
      <c r="T597" s="20"/>
      <c r="U597" s="20"/>
      <c r="V597" s="20"/>
      <c r="W597" s="20"/>
      <c r="X597" s="20"/>
      <c r="Y597" s="20"/>
      <c r="Z597" s="20"/>
      <c r="AA597" s="20"/>
    </row>
    <row r="598" spans="1:27" ht="104.4" x14ac:dyDescent="0.25">
      <c r="A598" s="16"/>
      <c r="B598" s="20" t="b">
        <f ca="1">IFERROR(__xludf.DUMMYFUNCTION("if(D598=iferror(filter('Character Sheet'!D$13:D3002,'Character Sheet'!D$13:D3002=D598),""""),True,False)"),FALSE)</f>
        <v>0</v>
      </c>
      <c r="C598" s="20">
        <v>400</v>
      </c>
      <c r="D598" s="2" t="s">
        <v>1385</v>
      </c>
      <c r="E598" s="2" t="s">
        <v>1206</v>
      </c>
      <c r="F598" s="20" t="s">
        <v>56</v>
      </c>
      <c r="G598" s="2" t="s">
        <v>1386</v>
      </c>
      <c r="H598" s="16"/>
      <c r="I598" s="20"/>
      <c r="J598" s="20"/>
      <c r="K598" s="20"/>
      <c r="L598" s="20"/>
      <c r="M598" s="20"/>
      <c r="N598" s="20"/>
      <c r="O598" s="20"/>
      <c r="P598" s="20"/>
      <c r="Q598" s="20"/>
      <c r="R598" s="20"/>
      <c r="S598" s="20"/>
      <c r="T598" s="20"/>
      <c r="U598" s="20"/>
      <c r="V598" s="20"/>
      <c r="W598" s="20"/>
      <c r="X598" s="20"/>
      <c r="Y598" s="20"/>
      <c r="Z598" s="20"/>
      <c r="AA598" s="20"/>
    </row>
    <row r="599" spans="1:27" ht="261" x14ac:dyDescent="0.25">
      <c r="A599" s="16"/>
      <c r="B599" s="20" t="b">
        <f ca="1">IFERROR(__xludf.DUMMYFUNCTION("if(D599=iferror(filter('Character Sheet'!D$13:D3002,'Character Sheet'!D$13:D3002=D599),""""),True,False)"),FALSE)</f>
        <v>0</v>
      </c>
      <c r="C599" s="20">
        <v>400</v>
      </c>
      <c r="D599" s="2" t="s">
        <v>1387</v>
      </c>
      <c r="E599" s="2" t="s">
        <v>786</v>
      </c>
      <c r="F599" s="20" t="s">
        <v>56</v>
      </c>
      <c r="G599" s="2" t="s">
        <v>1388</v>
      </c>
      <c r="H599" s="16"/>
      <c r="I599" s="20"/>
      <c r="J599" s="20"/>
      <c r="K599" s="20"/>
      <c r="L599" s="20"/>
      <c r="M599" s="20"/>
      <c r="N599" s="20"/>
      <c r="O599" s="20"/>
      <c r="P599" s="20"/>
      <c r="Q599" s="20"/>
      <c r="R599" s="20"/>
      <c r="S599" s="20"/>
      <c r="T599" s="20"/>
      <c r="U599" s="20"/>
      <c r="V599" s="20"/>
      <c r="W599" s="20"/>
      <c r="X599" s="20"/>
      <c r="Y599" s="20"/>
      <c r="Z599" s="20"/>
      <c r="AA599" s="20"/>
    </row>
    <row r="600" spans="1:27" ht="313.2" x14ac:dyDescent="0.25">
      <c r="A600" s="16"/>
      <c r="B600" s="20" t="b">
        <f ca="1">IFERROR(__xludf.DUMMYFUNCTION("if(D600=iferror(filter('Character Sheet'!D$13:D3002,'Character Sheet'!D$13:D3002=D600),""""),True,False)"),FALSE)</f>
        <v>0</v>
      </c>
      <c r="C600" s="20">
        <v>400</v>
      </c>
      <c r="D600" s="2" t="s">
        <v>1389</v>
      </c>
      <c r="E600" s="2" t="s">
        <v>230</v>
      </c>
      <c r="F600" s="20" t="s">
        <v>56</v>
      </c>
      <c r="G600" s="2" t="s">
        <v>1390</v>
      </c>
      <c r="H600" s="16"/>
      <c r="I600" s="20"/>
      <c r="J600" s="20"/>
      <c r="K600" s="20"/>
      <c r="L600" s="20"/>
      <c r="M600" s="20"/>
      <c r="N600" s="20"/>
      <c r="O600" s="20"/>
      <c r="P600" s="20"/>
      <c r="Q600" s="20"/>
      <c r="R600" s="20"/>
      <c r="S600" s="20"/>
      <c r="T600" s="20"/>
      <c r="U600" s="20"/>
      <c r="V600" s="20"/>
      <c r="W600" s="20"/>
      <c r="X600" s="20"/>
      <c r="Y600" s="20"/>
      <c r="Z600" s="20"/>
      <c r="AA600" s="20"/>
    </row>
    <row r="601" spans="1:27" ht="174" x14ac:dyDescent="0.25">
      <c r="A601" s="16"/>
      <c r="B601" s="20" t="b">
        <f ca="1">IFERROR(__xludf.DUMMYFUNCTION("if(D601=iferror(filter('Character Sheet'!D$13:D3002,'Character Sheet'!D$13:D3002=D601),""""),True,False)"),FALSE)</f>
        <v>0</v>
      </c>
      <c r="C601" s="20">
        <v>400</v>
      </c>
      <c r="D601" s="2" t="s">
        <v>1391</v>
      </c>
      <c r="E601" s="2" t="s">
        <v>963</v>
      </c>
      <c r="F601" s="20" t="s">
        <v>56</v>
      </c>
      <c r="G601" s="2" t="s">
        <v>1392</v>
      </c>
      <c r="H601" s="16"/>
      <c r="I601" s="20"/>
      <c r="J601" s="20"/>
      <c r="K601" s="20"/>
      <c r="L601" s="20"/>
      <c r="M601" s="20"/>
      <c r="N601" s="20"/>
      <c r="O601" s="20"/>
      <c r="P601" s="20"/>
      <c r="Q601" s="20"/>
      <c r="R601" s="20"/>
      <c r="S601" s="20"/>
      <c r="T601" s="20"/>
      <c r="U601" s="20"/>
      <c r="V601" s="20"/>
      <c r="W601" s="20"/>
      <c r="X601" s="20"/>
      <c r="Y601" s="20"/>
      <c r="Z601" s="20"/>
      <c r="AA601" s="20"/>
    </row>
    <row r="602" spans="1:27" ht="87" x14ac:dyDescent="0.25">
      <c r="A602" s="16"/>
      <c r="B602" s="20" t="b">
        <f ca="1">IFERROR(__xludf.DUMMYFUNCTION("if(D602=iferror(filter('Character Sheet'!D$13:D3002,'Character Sheet'!D$13:D3002=D602),""""),True,False)"),FALSE)</f>
        <v>0</v>
      </c>
      <c r="C602" s="20">
        <v>400</v>
      </c>
      <c r="D602" s="2" t="s">
        <v>1393</v>
      </c>
      <c r="E602" s="2" t="s">
        <v>69</v>
      </c>
      <c r="F602" s="20" t="s">
        <v>56</v>
      </c>
      <c r="G602" s="2" t="s">
        <v>1394</v>
      </c>
      <c r="H602" s="16"/>
      <c r="I602" s="20"/>
      <c r="J602" s="20"/>
      <c r="K602" s="20"/>
      <c r="L602" s="20"/>
      <c r="M602" s="20"/>
      <c r="N602" s="20"/>
      <c r="O602" s="20"/>
      <c r="P602" s="20"/>
      <c r="Q602" s="20"/>
      <c r="R602" s="20"/>
      <c r="S602" s="20"/>
      <c r="T602" s="20"/>
      <c r="U602" s="20"/>
      <c r="V602" s="20"/>
      <c r="W602" s="20"/>
      <c r="X602" s="20"/>
      <c r="Y602" s="20"/>
      <c r="Z602" s="20"/>
      <c r="AA602" s="20"/>
    </row>
    <row r="603" spans="1:27" ht="243.6" x14ac:dyDescent="0.25">
      <c r="A603" s="16"/>
      <c r="B603" s="20" t="b">
        <f ca="1">IFERROR(__xludf.DUMMYFUNCTION("if(D603=iferror(filter('Character Sheet'!D$13:D3002,'Character Sheet'!D$13:D3002=D603),""""),True,False)"),FALSE)</f>
        <v>0</v>
      </c>
      <c r="C603" s="20">
        <v>400</v>
      </c>
      <c r="D603" s="2" t="s">
        <v>291</v>
      </c>
      <c r="E603" s="20" t="s">
        <v>291</v>
      </c>
      <c r="F603" s="20" t="s">
        <v>56</v>
      </c>
      <c r="G603" s="2" t="s">
        <v>1395</v>
      </c>
      <c r="H603" s="16"/>
      <c r="I603" s="20"/>
      <c r="J603" s="20"/>
      <c r="K603" s="20"/>
      <c r="L603" s="20"/>
      <c r="M603" s="20"/>
      <c r="N603" s="20"/>
      <c r="O603" s="20"/>
      <c r="P603" s="20"/>
      <c r="Q603" s="20"/>
      <c r="R603" s="20"/>
      <c r="S603" s="20"/>
      <c r="T603" s="20"/>
      <c r="U603" s="20"/>
      <c r="V603" s="20"/>
      <c r="W603" s="20"/>
      <c r="X603" s="20"/>
      <c r="Y603" s="20"/>
      <c r="Z603" s="20"/>
      <c r="AA603" s="20"/>
    </row>
    <row r="604" spans="1:27" ht="156.6" x14ac:dyDescent="0.25">
      <c r="A604" s="16"/>
      <c r="B604" s="20" t="b">
        <f ca="1">IFERROR(__xludf.DUMMYFUNCTION("if(D604=iferror(filter('Character Sheet'!D$13:D3002,'Character Sheet'!D$13:D3002=D604),""""),True,False)"),FALSE)</f>
        <v>0</v>
      </c>
      <c r="C604" s="20">
        <v>400</v>
      </c>
      <c r="D604" s="2" t="s">
        <v>1396</v>
      </c>
      <c r="E604" s="2" t="s">
        <v>838</v>
      </c>
      <c r="F604" s="20" t="s">
        <v>56</v>
      </c>
      <c r="G604" s="2" t="s">
        <v>1397</v>
      </c>
      <c r="H604" s="16"/>
      <c r="I604" s="20"/>
      <c r="J604" s="20"/>
      <c r="K604" s="20"/>
      <c r="L604" s="20"/>
      <c r="M604" s="20"/>
      <c r="N604" s="20"/>
      <c r="O604" s="20"/>
      <c r="P604" s="20"/>
      <c r="Q604" s="20"/>
      <c r="R604" s="20"/>
      <c r="S604" s="20"/>
      <c r="T604" s="20"/>
      <c r="U604" s="20"/>
      <c r="V604" s="20"/>
      <c r="W604" s="20"/>
      <c r="X604" s="20"/>
      <c r="Y604" s="20"/>
      <c r="Z604" s="20"/>
      <c r="AA604" s="20"/>
    </row>
    <row r="605" spans="1:27" ht="208.8" x14ac:dyDescent="0.25">
      <c r="A605" s="16"/>
      <c r="B605" s="20" t="b">
        <f ca="1">IFERROR(__xludf.DUMMYFUNCTION("if(D605=iferror(filter('Character Sheet'!D$13:D3002,'Character Sheet'!D$13:D3002=D605),""""),True,False)"),FALSE)</f>
        <v>0</v>
      </c>
      <c r="C605" s="20">
        <v>400</v>
      </c>
      <c r="D605" s="2" t="s">
        <v>1398</v>
      </c>
      <c r="E605" s="2" t="s">
        <v>124</v>
      </c>
      <c r="F605" s="20" t="s">
        <v>56</v>
      </c>
      <c r="G605" s="2" t="s">
        <v>1399</v>
      </c>
      <c r="H605" s="16"/>
      <c r="I605" s="20"/>
      <c r="J605" s="20"/>
      <c r="K605" s="20"/>
      <c r="L605" s="20"/>
      <c r="M605" s="20"/>
      <c r="N605" s="20"/>
      <c r="O605" s="20"/>
      <c r="P605" s="20"/>
      <c r="Q605" s="20"/>
      <c r="R605" s="20"/>
      <c r="S605" s="20"/>
      <c r="T605" s="20"/>
      <c r="U605" s="20"/>
      <c r="V605" s="20"/>
      <c r="W605" s="20"/>
      <c r="X605" s="20"/>
      <c r="Y605" s="20"/>
      <c r="Z605" s="20"/>
      <c r="AA605" s="20"/>
    </row>
    <row r="606" spans="1:27" ht="156.6" x14ac:dyDescent="0.25">
      <c r="A606" s="16"/>
      <c r="B606" s="20" t="b">
        <f ca="1">IFERROR(__xludf.DUMMYFUNCTION("if(D606=iferror(filter('Character Sheet'!D$13:D3002,'Character Sheet'!D$13:D3002=D606),""""),True,False)"),FALSE)</f>
        <v>0</v>
      </c>
      <c r="C606" s="20">
        <v>400</v>
      </c>
      <c r="D606" s="2" t="s">
        <v>1400</v>
      </c>
      <c r="E606" s="2" t="s">
        <v>87</v>
      </c>
      <c r="F606" s="20" t="s">
        <v>56</v>
      </c>
      <c r="G606" s="2" t="s">
        <v>1401</v>
      </c>
      <c r="H606" s="16"/>
      <c r="I606" s="20"/>
      <c r="J606" s="20"/>
      <c r="K606" s="20"/>
      <c r="L606" s="20"/>
      <c r="M606" s="20"/>
      <c r="N606" s="20"/>
      <c r="O606" s="20"/>
      <c r="P606" s="20"/>
      <c r="Q606" s="20"/>
      <c r="R606" s="20"/>
      <c r="S606" s="20"/>
      <c r="T606" s="20"/>
      <c r="U606" s="20"/>
      <c r="V606" s="20"/>
      <c r="W606" s="20"/>
      <c r="X606" s="20"/>
      <c r="Y606" s="20"/>
      <c r="Z606" s="20"/>
      <c r="AA606" s="20"/>
    </row>
    <row r="607" spans="1:27" ht="156.6" x14ac:dyDescent="0.25">
      <c r="A607" s="16"/>
      <c r="B607" s="20" t="b">
        <f ca="1">IFERROR(__xludf.DUMMYFUNCTION("if(D607=iferror(filter('Character Sheet'!D$13:D3002,'Character Sheet'!D$13:D3002=D607),""""),True,False)"),FALSE)</f>
        <v>0</v>
      </c>
      <c r="C607" s="20">
        <v>400</v>
      </c>
      <c r="D607" s="2" t="s">
        <v>1402</v>
      </c>
      <c r="E607" s="2" t="s">
        <v>173</v>
      </c>
      <c r="F607" s="20" t="s">
        <v>56</v>
      </c>
      <c r="G607" s="2" t="s">
        <v>1403</v>
      </c>
      <c r="H607" s="16"/>
      <c r="I607" s="20"/>
      <c r="J607" s="20"/>
      <c r="K607" s="20"/>
      <c r="L607" s="20"/>
      <c r="M607" s="20"/>
      <c r="N607" s="20"/>
      <c r="O607" s="20"/>
      <c r="P607" s="20"/>
      <c r="Q607" s="20"/>
      <c r="R607" s="20"/>
      <c r="S607" s="20"/>
      <c r="T607" s="20"/>
      <c r="U607" s="20"/>
      <c r="V607" s="20"/>
      <c r="W607" s="20"/>
      <c r="X607" s="20"/>
      <c r="Y607" s="20"/>
      <c r="Z607" s="20"/>
      <c r="AA607" s="20"/>
    </row>
    <row r="608" spans="1:27" ht="156.6" x14ac:dyDescent="0.25">
      <c r="A608" s="16"/>
      <c r="B608" s="20" t="b">
        <f ca="1">IFERROR(__xludf.DUMMYFUNCTION("if(D608=iferror(filter('Character Sheet'!D$13:D3002,'Character Sheet'!D$13:D3002=D608),""""),True,False)"),FALSE)</f>
        <v>0</v>
      </c>
      <c r="C608" s="20">
        <v>400</v>
      </c>
      <c r="D608" s="2" t="s">
        <v>1404</v>
      </c>
      <c r="E608" s="2" t="s">
        <v>139</v>
      </c>
      <c r="F608" s="20" t="s">
        <v>56</v>
      </c>
      <c r="G608" s="2" t="s">
        <v>1405</v>
      </c>
      <c r="H608" s="16"/>
      <c r="I608" s="20"/>
      <c r="J608" s="20"/>
      <c r="K608" s="20"/>
      <c r="L608" s="20"/>
      <c r="M608" s="20"/>
      <c r="N608" s="20"/>
      <c r="O608" s="20"/>
      <c r="P608" s="20"/>
      <c r="Q608" s="20"/>
      <c r="R608" s="20"/>
      <c r="S608" s="20"/>
      <c r="T608" s="20"/>
      <c r="U608" s="20"/>
      <c r="V608" s="20"/>
      <c r="W608" s="20"/>
      <c r="X608" s="20"/>
      <c r="Y608" s="20"/>
      <c r="Z608" s="20"/>
      <c r="AA608" s="20"/>
    </row>
    <row r="609" spans="1:27" ht="139.19999999999999" x14ac:dyDescent="0.25">
      <c r="A609" s="16"/>
      <c r="B609" s="20" t="b">
        <f ca="1">IFERROR(__xludf.DUMMYFUNCTION("if(D609=iferror(filter('Character Sheet'!D$13:D3002,'Character Sheet'!D$13:D3002=D609),""""),True,False)"),FALSE)</f>
        <v>0</v>
      </c>
      <c r="C609" s="20">
        <v>400</v>
      </c>
      <c r="D609" s="2" t="s">
        <v>1406</v>
      </c>
      <c r="E609" s="2" t="s">
        <v>521</v>
      </c>
      <c r="F609" s="20" t="s">
        <v>56</v>
      </c>
      <c r="G609" s="2" t="s">
        <v>1407</v>
      </c>
      <c r="H609" s="16"/>
      <c r="I609" s="20"/>
      <c r="J609" s="20"/>
      <c r="K609" s="20"/>
      <c r="L609" s="20"/>
      <c r="M609" s="20"/>
      <c r="N609" s="20"/>
      <c r="O609" s="20"/>
      <c r="P609" s="20"/>
      <c r="Q609" s="20"/>
      <c r="R609" s="20"/>
      <c r="S609" s="20"/>
      <c r="T609" s="20"/>
      <c r="U609" s="20"/>
      <c r="V609" s="20"/>
      <c r="W609" s="20"/>
      <c r="X609" s="20"/>
      <c r="Y609" s="20"/>
      <c r="Z609" s="20"/>
      <c r="AA609" s="20"/>
    </row>
    <row r="610" spans="1:27" ht="156.6" x14ac:dyDescent="0.25">
      <c r="A610" s="16"/>
      <c r="B610" s="20" t="b">
        <f ca="1">IFERROR(__xludf.DUMMYFUNCTION("if(D610=iferror(filter('Character Sheet'!D$13:D3002,'Character Sheet'!D$13:D3002=D610),""""),True,False)"),FALSE)</f>
        <v>0</v>
      </c>
      <c r="C610" s="20">
        <v>400</v>
      </c>
      <c r="D610" s="2" t="s">
        <v>1408</v>
      </c>
      <c r="E610" s="2" t="s">
        <v>662</v>
      </c>
      <c r="F610" s="20" t="s">
        <v>56</v>
      </c>
      <c r="G610" s="2" t="s">
        <v>1409</v>
      </c>
      <c r="H610" s="16"/>
      <c r="I610" s="20"/>
      <c r="J610" s="20"/>
      <c r="K610" s="20"/>
      <c r="L610" s="20"/>
      <c r="M610" s="20"/>
      <c r="N610" s="20"/>
      <c r="O610" s="20"/>
      <c r="P610" s="20"/>
      <c r="Q610" s="20"/>
      <c r="R610" s="20"/>
      <c r="S610" s="20"/>
      <c r="T610" s="20"/>
      <c r="U610" s="20"/>
      <c r="V610" s="20"/>
      <c r="W610" s="20"/>
      <c r="X610" s="20"/>
      <c r="Y610" s="20"/>
      <c r="Z610" s="20"/>
      <c r="AA610" s="20"/>
    </row>
    <row r="611" spans="1:27" ht="121.8" x14ac:dyDescent="0.25">
      <c r="A611" s="16"/>
      <c r="B611" s="20" t="b">
        <f ca="1">IFERROR(__xludf.DUMMYFUNCTION("if(D611=iferror(filter('Character Sheet'!D$13:D3002,'Character Sheet'!D$13:D3002=D611),""""),True,False)"),FALSE)</f>
        <v>0</v>
      </c>
      <c r="C611" s="20">
        <v>400</v>
      </c>
      <c r="D611" s="2" t="s">
        <v>1410</v>
      </c>
      <c r="E611" s="2" t="s">
        <v>225</v>
      </c>
      <c r="F611" s="20" t="s">
        <v>56</v>
      </c>
      <c r="G611" s="2" t="s">
        <v>1411</v>
      </c>
      <c r="H611" s="16"/>
      <c r="I611" s="20"/>
      <c r="J611" s="20"/>
      <c r="K611" s="20"/>
      <c r="L611" s="20"/>
      <c r="M611" s="20"/>
      <c r="N611" s="20"/>
      <c r="O611" s="20"/>
      <c r="P611" s="20"/>
      <c r="Q611" s="20"/>
      <c r="R611" s="20"/>
      <c r="S611" s="20"/>
      <c r="T611" s="20"/>
      <c r="U611" s="20"/>
      <c r="V611" s="20"/>
      <c r="W611" s="20"/>
      <c r="X611" s="20"/>
      <c r="Y611" s="20"/>
      <c r="Z611" s="20"/>
      <c r="AA611" s="20"/>
    </row>
    <row r="612" spans="1:27" ht="208.8" x14ac:dyDescent="0.25">
      <c r="A612" s="16"/>
      <c r="B612" s="20" t="b">
        <f ca="1">IFERROR(__xludf.DUMMYFUNCTION("if(D612=iferror(filter('Character Sheet'!D$13:D3002,'Character Sheet'!D$13:D3002=D612),""""),True,False)"),FALSE)</f>
        <v>0</v>
      </c>
      <c r="C612" s="20">
        <v>400</v>
      </c>
      <c r="D612" s="2" t="s">
        <v>1412</v>
      </c>
      <c r="E612" s="2" t="s">
        <v>1244</v>
      </c>
      <c r="F612" s="20" t="s">
        <v>56</v>
      </c>
      <c r="G612" s="2" t="s">
        <v>1413</v>
      </c>
      <c r="H612" s="16"/>
      <c r="I612" s="20"/>
      <c r="J612" s="20"/>
      <c r="K612" s="20"/>
      <c r="L612" s="20"/>
      <c r="M612" s="20"/>
      <c r="N612" s="20"/>
      <c r="O612" s="20"/>
      <c r="P612" s="20"/>
      <c r="Q612" s="20"/>
      <c r="R612" s="20"/>
      <c r="S612" s="20"/>
      <c r="T612" s="20"/>
      <c r="U612" s="20"/>
      <c r="V612" s="20"/>
      <c r="W612" s="20"/>
      <c r="X612" s="20"/>
      <c r="Y612" s="20"/>
      <c r="Z612" s="20"/>
      <c r="AA612" s="20"/>
    </row>
    <row r="613" spans="1:27" ht="87" x14ac:dyDescent="0.25">
      <c r="A613" s="16"/>
      <c r="B613" s="20" t="b">
        <f ca="1">IFERROR(__xludf.DUMMYFUNCTION("if(D613=iferror(filter('Character Sheet'!D$13:D3002,'Character Sheet'!D$13:D3002=D613),""""),True,False)"),FALSE)</f>
        <v>0</v>
      </c>
      <c r="C613" s="20">
        <v>400</v>
      </c>
      <c r="D613" s="2" t="s">
        <v>1414</v>
      </c>
      <c r="E613" s="2" t="s">
        <v>173</v>
      </c>
      <c r="F613" s="20" t="s">
        <v>56</v>
      </c>
      <c r="G613" s="2" t="s">
        <v>1415</v>
      </c>
      <c r="H613" s="16"/>
      <c r="I613" s="20"/>
      <c r="J613" s="20"/>
      <c r="K613" s="20"/>
      <c r="L613" s="20"/>
      <c r="M613" s="20"/>
      <c r="N613" s="20"/>
      <c r="O613" s="20"/>
      <c r="P613" s="20"/>
      <c r="Q613" s="20"/>
      <c r="R613" s="20"/>
      <c r="S613" s="20"/>
      <c r="T613" s="20"/>
      <c r="U613" s="20"/>
      <c r="V613" s="20"/>
      <c r="W613" s="20"/>
      <c r="X613" s="20"/>
      <c r="Y613" s="20"/>
      <c r="Z613" s="20"/>
      <c r="AA613" s="20"/>
    </row>
    <row r="614" spans="1:27" ht="243.6" x14ac:dyDescent="0.25">
      <c r="A614" s="16"/>
      <c r="B614" s="20" t="b">
        <f ca="1">IFERROR(__xludf.DUMMYFUNCTION("if(D614=iferror(filter('Character Sheet'!D$13:D3002,'Character Sheet'!D$13:D3002=D614),""""),True,False)"),FALSE)</f>
        <v>0</v>
      </c>
      <c r="C614" s="20">
        <v>400</v>
      </c>
      <c r="D614" s="2" t="s">
        <v>1416</v>
      </c>
      <c r="E614" s="2" t="s">
        <v>1130</v>
      </c>
      <c r="F614" s="20" t="s">
        <v>56</v>
      </c>
      <c r="G614" s="2" t="s">
        <v>1417</v>
      </c>
      <c r="H614" s="16"/>
      <c r="I614" s="20"/>
      <c r="J614" s="20"/>
      <c r="K614" s="20"/>
      <c r="L614" s="20"/>
      <c r="M614" s="20"/>
      <c r="N614" s="20"/>
      <c r="O614" s="20"/>
      <c r="P614" s="20"/>
      <c r="Q614" s="20"/>
      <c r="R614" s="20"/>
      <c r="S614" s="20"/>
      <c r="T614" s="20"/>
      <c r="U614" s="20"/>
      <c r="V614" s="20"/>
      <c r="W614" s="20"/>
      <c r="X614" s="20"/>
      <c r="Y614" s="20"/>
      <c r="Z614" s="20"/>
      <c r="AA614" s="20"/>
    </row>
    <row r="615" spans="1:27" ht="243.6" x14ac:dyDescent="0.25">
      <c r="A615" s="16"/>
      <c r="B615" s="20" t="b">
        <f ca="1">IFERROR(__xludf.DUMMYFUNCTION("if(D615=iferror(filter('Character Sheet'!D$13:D3002,'Character Sheet'!D$13:D3002=D615),""""),True,False)"),FALSE)</f>
        <v>0</v>
      </c>
      <c r="C615" s="20">
        <v>400</v>
      </c>
      <c r="D615" s="2" t="s">
        <v>1418</v>
      </c>
      <c r="E615" s="2" t="s">
        <v>230</v>
      </c>
      <c r="F615" s="20" t="s">
        <v>56</v>
      </c>
      <c r="G615" s="2" t="s">
        <v>1419</v>
      </c>
      <c r="H615" s="16"/>
      <c r="I615" s="20"/>
      <c r="J615" s="20"/>
      <c r="K615" s="20"/>
      <c r="L615" s="20"/>
      <c r="M615" s="20"/>
      <c r="N615" s="20"/>
      <c r="O615" s="20"/>
      <c r="P615" s="20"/>
      <c r="Q615" s="20"/>
      <c r="R615" s="20"/>
      <c r="S615" s="20"/>
      <c r="T615" s="20"/>
      <c r="U615" s="20"/>
      <c r="V615" s="20"/>
      <c r="W615" s="20"/>
      <c r="X615" s="20"/>
      <c r="Y615" s="20"/>
      <c r="Z615" s="20"/>
      <c r="AA615" s="20"/>
    </row>
    <row r="616" spans="1:27" ht="104.4" x14ac:dyDescent="0.25">
      <c r="A616" s="16"/>
      <c r="B616" s="20" t="b">
        <f ca="1">IFERROR(__xludf.DUMMYFUNCTION("if(D616=iferror(filter('Character Sheet'!D$13:D3002,'Character Sheet'!D$13:D3002=D616),""""),True,False)"),FALSE)</f>
        <v>0</v>
      </c>
      <c r="C616" s="20">
        <v>400</v>
      </c>
      <c r="D616" s="2" t="s">
        <v>1420</v>
      </c>
      <c r="E616" s="2" t="s">
        <v>334</v>
      </c>
      <c r="F616" s="20" t="s">
        <v>56</v>
      </c>
      <c r="G616" s="2" t="s">
        <v>1421</v>
      </c>
      <c r="H616" s="16"/>
      <c r="I616" s="20"/>
      <c r="J616" s="20"/>
      <c r="K616" s="20"/>
      <c r="L616" s="20"/>
      <c r="M616" s="20"/>
      <c r="N616" s="20"/>
      <c r="O616" s="20"/>
      <c r="P616" s="20"/>
      <c r="Q616" s="20"/>
      <c r="R616" s="20"/>
      <c r="S616" s="20"/>
      <c r="T616" s="20"/>
      <c r="U616" s="20"/>
      <c r="V616" s="20"/>
      <c r="W616" s="20"/>
      <c r="X616" s="20"/>
      <c r="Y616" s="20"/>
      <c r="Z616" s="20"/>
      <c r="AA616" s="20"/>
    </row>
    <row r="617" spans="1:27" ht="121.8" x14ac:dyDescent="0.25">
      <c r="A617" s="16"/>
      <c r="B617" s="20" t="b">
        <f ca="1">IFERROR(__xludf.DUMMYFUNCTION("if(D617=iferror(filter('Character Sheet'!D$13:D3002,'Character Sheet'!D$13:D3002=D617),""""),True,False)"),FALSE)</f>
        <v>0</v>
      </c>
      <c r="C617" s="20">
        <v>400</v>
      </c>
      <c r="D617" s="2" t="s">
        <v>1422</v>
      </c>
      <c r="E617" s="2" t="s">
        <v>369</v>
      </c>
      <c r="F617" s="20" t="s">
        <v>56</v>
      </c>
      <c r="G617" s="2" t="s">
        <v>1423</v>
      </c>
      <c r="H617" s="16"/>
      <c r="I617" s="20"/>
      <c r="J617" s="20"/>
      <c r="K617" s="20"/>
      <c r="L617" s="20"/>
      <c r="M617" s="20"/>
      <c r="N617" s="20"/>
      <c r="O617" s="20"/>
      <c r="P617" s="20"/>
      <c r="Q617" s="20"/>
      <c r="R617" s="20"/>
      <c r="S617" s="20"/>
      <c r="T617" s="20"/>
      <c r="U617" s="20"/>
      <c r="V617" s="20"/>
      <c r="W617" s="20"/>
      <c r="X617" s="20"/>
      <c r="Y617" s="20"/>
      <c r="Z617" s="20"/>
      <c r="AA617" s="20"/>
    </row>
    <row r="618" spans="1:27" ht="156.6" x14ac:dyDescent="0.25">
      <c r="A618" s="16"/>
      <c r="B618" s="20" t="b">
        <f ca="1">IFERROR(__xludf.DUMMYFUNCTION("if(D618=iferror(filter('Character Sheet'!D$13:D3002,'Character Sheet'!D$13:D3002=D618),""""),True,False)"),FALSE)</f>
        <v>0</v>
      </c>
      <c r="C618" s="20">
        <v>400</v>
      </c>
      <c r="D618" s="2" t="s">
        <v>1424</v>
      </c>
      <c r="E618" s="2" t="s">
        <v>139</v>
      </c>
      <c r="F618" s="20" t="s">
        <v>56</v>
      </c>
      <c r="G618" s="2" t="s">
        <v>1425</v>
      </c>
      <c r="H618" s="16"/>
      <c r="I618" s="20"/>
      <c r="J618" s="20"/>
      <c r="K618" s="20"/>
      <c r="L618" s="20"/>
      <c r="M618" s="20"/>
      <c r="N618" s="20"/>
      <c r="O618" s="20"/>
      <c r="P618" s="20"/>
      <c r="Q618" s="20"/>
      <c r="R618" s="20"/>
      <c r="S618" s="20"/>
      <c r="T618" s="20"/>
      <c r="U618" s="20"/>
      <c r="V618" s="20"/>
      <c r="W618" s="20"/>
      <c r="X618" s="20"/>
      <c r="Y618" s="20"/>
      <c r="Z618" s="20"/>
      <c r="AA618" s="20"/>
    </row>
    <row r="619" spans="1:27" ht="261" x14ac:dyDescent="0.25">
      <c r="A619" s="16"/>
      <c r="B619" s="20" t="b">
        <f ca="1">IFERROR(__xludf.DUMMYFUNCTION("if(D619=iferror(filter('Character Sheet'!D$13:D3002,'Character Sheet'!D$13:D3002=D619),""""),True,False)"),FALSE)</f>
        <v>0</v>
      </c>
      <c r="C619" s="20">
        <v>400</v>
      </c>
      <c r="D619" s="2" t="s">
        <v>1426</v>
      </c>
      <c r="E619" s="2" t="s">
        <v>1015</v>
      </c>
      <c r="F619" s="20" t="s">
        <v>56</v>
      </c>
      <c r="G619" s="2" t="s">
        <v>1427</v>
      </c>
      <c r="H619" s="16"/>
      <c r="I619" s="20"/>
      <c r="J619" s="20"/>
      <c r="K619" s="20"/>
      <c r="L619" s="20"/>
      <c r="M619" s="20"/>
      <c r="N619" s="20"/>
      <c r="O619" s="20"/>
      <c r="P619" s="20"/>
      <c r="Q619" s="20"/>
      <c r="R619" s="20"/>
      <c r="S619" s="20"/>
      <c r="T619" s="20"/>
      <c r="U619" s="20"/>
      <c r="V619" s="20"/>
      <c r="W619" s="20"/>
      <c r="X619" s="20"/>
      <c r="Y619" s="20"/>
      <c r="Z619" s="20"/>
      <c r="AA619" s="20"/>
    </row>
    <row r="620" spans="1:27" ht="104.4" x14ac:dyDescent="0.25">
      <c r="A620" s="16"/>
      <c r="B620" s="20" t="b">
        <f ca="1">IFERROR(__xludf.DUMMYFUNCTION("if(D620=iferror(filter('Character Sheet'!D$13:D3002,'Character Sheet'!D$13:D3002=D620),""""),True,False)"),FALSE)</f>
        <v>0</v>
      </c>
      <c r="C620" s="20">
        <v>400</v>
      </c>
      <c r="D620" s="2" t="s">
        <v>1428</v>
      </c>
      <c r="E620" s="2" t="s">
        <v>738</v>
      </c>
      <c r="F620" s="20" t="s">
        <v>56</v>
      </c>
      <c r="G620" s="2" t="s">
        <v>1429</v>
      </c>
      <c r="H620" s="16"/>
      <c r="I620" s="20"/>
      <c r="J620" s="20"/>
      <c r="K620" s="20"/>
      <c r="L620" s="20"/>
      <c r="M620" s="20"/>
      <c r="N620" s="20"/>
      <c r="O620" s="20"/>
      <c r="P620" s="20"/>
      <c r="Q620" s="20"/>
      <c r="R620" s="20"/>
      <c r="S620" s="20"/>
      <c r="T620" s="20"/>
      <c r="U620" s="20"/>
      <c r="V620" s="20"/>
      <c r="W620" s="20"/>
      <c r="X620" s="20"/>
      <c r="Y620" s="20"/>
      <c r="Z620" s="20"/>
      <c r="AA620" s="20"/>
    </row>
    <row r="621" spans="1:27" ht="139.19999999999999" x14ac:dyDescent="0.25">
      <c r="A621" s="16"/>
      <c r="B621" s="20" t="b">
        <f ca="1">IFERROR(__xludf.DUMMYFUNCTION("if(D621=iferror(filter('Character Sheet'!D$13:D3002,'Character Sheet'!D$13:D3002=D621),""""),True,False)"),FALSE)</f>
        <v>0</v>
      </c>
      <c r="C621" s="20">
        <v>400</v>
      </c>
      <c r="D621" s="2" t="s">
        <v>1430</v>
      </c>
      <c r="E621" s="2" t="s">
        <v>162</v>
      </c>
      <c r="F621" s="20" t="s">
        <v>56</v>
      </c>
      <c r="G621" s="2" t="s">
        <v>1431</v>
      </c>
      <c r="H621" s="16"/>
      <c r="I621" s="20"/>
      <c r="J621" s="20"/>
      <c r="K621" s="20"/>
      <c r="L621" s="20"/>
      <c r="M621" s="20"/>
      <c r="N621" s="20"/>
      <c r="O621" s="20"/>
      <c r="P621" s="20"/>
      <c r="Q621" s="20"/>
      <c r="R621" s="20"/>
      <c r="S621" s="20"/>
      <c r="T621" s="20"/>
      <c r="U621" s="20"/>
      <c r="V621" s="20"/>
      <c r="W621" s="20"/>
      <c r="X621" s="20"/>
      <c r="Y621" s="20"/>
      <c r="Z621" s="20"/>
      <c r="AA621" s="20"/>
    </row>
    <row r="622" spans="1:27" ht="104.4" x14ac:dyDescent="0.25">
      <c r="A622" s="16"/>
      <c r="B622" s="20" t="b">
        <f ca="1">IFERROR(__xludf.DUMMYFUNCTION("if(D622=iferror(filter('Character Sheet'!D$13:D3002,'Character Sheet'!D$13:D3002=D622),""""),True,False)"),FALSE)</f>
        <v>0</v>
      </c>
      <c r="C622" s="20">
        <v>400</v>
      </c>
      <c r="D622" s="2" t="s">
        <v>1432</v>
      </c>
      <c r="E622" s="2" t="s">
        <v>208</v>
      </c>
      <c r="F622" s="20" t="s">
        <v>56</v>
      </c>
      <c r="G622" s="2" t="s">
        <v>1433</v>
      </c>
      <c r="H622" s="16"/>
      <c r="I622" s="20"/>
      <c r="J622" s="20"/>
      <c r="K622" s="20"/>
      <c r="L622" s="20"/>
      <c r="M622" s="20"/>
      <c r="N622" s="20"/>
      <c r="O622" s="20"/>
      <c r="P622" s="20"/>
      <c r="Q622" s="20"/>
      <c r="R622" s="20"/>
      <c r="S622" s="20"/>
      <c r="T622" s="20"/>
      <c r="U622" s="20"/>
      <c r="V622" s="20"/>
      <c r="W622" s="20"/>
      <c r="X622" s="20"/>
      <c r="Y622" s="20"/>
      <c r="Z622" s="20"/>
      <c r="AA622" s="20"/>
    </row>
    <row r="623" spans="1:27" ht="191.4" x14ac:dyDescent="0.25">
      <c r="A623" s="16"/>
      <c r="B623" s="20" t="b">
        <f ca="1">IFERROR(__xludf.DUMMYFUNCTION("if(D623=iferror(filter('Character Sheet'!D$13:D3002,'Character Sheet'!D$13:D3002=D623),""""),True,False)"),FALSE)</f>
        <v>0</v>
      </c>
      <c r="C623" s="20">
        <v>400</v>
      </c>
      <c r="D623" s="2" t="s">
        <v>1434</v>
      </c>
      <c r="E623" s="2" t="s">
        <v>124</v>
      </c>
      <c r="F623" s="20" t="s">
        <v>56</v>
      </c>
      <c r="G623" s="2" t="s">
        <v>1435</v>
      </c>
      <c r="H623" s="16"/>
      <c r="I623" s="20"/>
      <c r="J623" s="20"/>
      <c r="K623" s="20"/>
      <c r="L623" s="20"/>
      <c r="M623" s="20"/>
      <c r="N623" s="20"/>
      <c r="O623" s="20"/>
      <c r="P623" s="20"/>
      <c r="Q623" s="20"/>
      <c r="R623" s="20"/>
      <c r="S623" s="20"/>
      <c r="T623" s="20"/>
      <c r="U623" s="20"/>
      <c r="V623" s="20"/>
      <c r="W623" s="20"/>
      <c r="X623" s="20"/>
      <c r="Y623" s="20"/>
      <c r="Z623" s="20"/>
      <c r="AA623" s="20"/>
    </row>
    <row r="624" spans="1:27" ht="69.599999999999994" x14ac:dyDescent="0.25">
      <c r="A624" s="16"/>
      <c r="B624" s="20" t="b">
        <f ca="1">IFERROR(__xludf.DUMMYFUNCTION("if(D624=iferror(filter('Character Sheet'!D$13:D3002,'Character Sheet'!D$13:D3002=D624),""""),True,False)"),FALSE)</f>
        <v>0</v>
      </c>
      <c r="C624" s="20">
        <v>400</v>
      </c>
      <c r="D624" s="2" t="s">
        <v>1436</v>
      </c>
      <c r="E624" s="2" t="s">
        <v>469</v>
      </c>
      <c r="F624" s="20" t="s">
        <v>56</v>
      </c>
      <c r="G624" s="2" t="s">
        <v>1437</v>
      </c>
      <c r="H624" s="16"/>
      <c r="I624" s="20"/>
      <c r="J624" s="20"/>
      <c r="K624" s="20"/>
      <c r="L624" s="20"/>
      <c r="M624" s="20"/>
      <c r="N624" s="20"/>
      <c r="O624" s="20"/>
      <c r="P624" s="20"/>
      <c r="Q624" s="20"/>
      <c r="R624" s="20"/>
      <c r="S624" s="20"/>
      <c r="T624" s="20"/>
      <c r="U624" s="20"/>
      <c r="V624" s="20"/>
      <c r="W624" s="20"/>
      <c r="X624" s="20"/>
      <c r="Y624" s="20"/>
      <c r="Z624" s="20"/>
      <c r="AA624" s="20"/>
    </row>
    <row r="625" spans="1:27" ht="87" x14ac:dyDescent="0.25">
      <c r="A625" s="16"/>
      <c r="B625" s="20" t="b">
        <f ca="1">IFERROR(__xludf.DUMMYFUNCTION("if(D625=iferror(filter('Character Sheet'!D$13:D3002,'Character Sheet'!D$13:D3002=D625),""""),True,False)"),FALSE)</f>
        <v>0</v>
      </c>
      <c r="C625" s="20">
        <v>400</v>
      </c>
      <c r="D625" s="2" t="s">
        <v>1438</v>
      </c>
      <c r="E625" s="2" t="s">
        <v>162</v>
      </c>
      <c r="F625" s="20" t="s">
        <v>56</v>
      </c>
      <c r="G625" s="2" t="s">
        <v>1439</v>
      </c>
      <c r="H625" s="16"/>
      <c r="I625" s="20"/>
      <c r="J625" s="20"/>
      <c r="K625" s="20"/>
      <c r="L625" s="20"/>
      <c r="M625" s="20"/>
      <c r="N625" s="20"/>
      <c r="O625" s="20"/>
      <c r="P625" s="20"/>
      <c r="Q625" s="20"/>
      <c r="R625" s="20"/>
      <c r="S625" s="20"/>
      <c r="T625" s="20"/>
      <c r="U625" s="20"/>
      <c r="V625" s="20"/>
      <c r="W625" s="20"/>
      <c r="X625" s="20"/>
      <c r="Y625" s="20"/>
      <c r="Z625" s="20"/>
      <c r="AA625" s="20"/>
    </row>
    <row r="626" spans="1:27" ht="191.4" x14ac:dyDescent="0.25">
      <c r="A626" s="16"/>
      <c r="B626" s="20" t="b">
        <f ca="1">IFERROR(__xludf.DUMMYFUNCTION("if(D626=iferror(filter('Character Sheet'!D$13:D3002,'Character Sheet'!D$13:D3002=D626),""""),True,False)"),FALSE)</f>
        <v>0</v>
      </c>
      <c r="C626" s="20">
        <v>400</v>
      </c>
      <c r="D626" s="2" t="s">
        <v>1440</v>
      </c>
      <c r="E626" s="2" t="s">
        <v>69</v>
      </c>
      <c r="F626" s="20" t="s">
        <v>56</v>
      </c>
      <c r="G626" s="2" t="s">
        <v>1441</v>
      </c>
      <c r="H626" s="16"/>
      <c r="I626" s="20"/>
      <c r="J626" s="20"/>
      <c r="K626" s="20"/>
      <c r="L626" s="20"/>
      <c r="M626" s="20"/>
      <c r="N626" s="20"/>
      <c r="O626" s="20"/>
      <c r="P626" s="20"/>
      <c r="Q626" s="20"/>
      <c r="R626" s="20"/>
      <c r="S626" s="20"/>
      <c r="T626" s="20"/>
      <c r="U626" s="20"/>
      <c r="V626" s="20"/>
      <c r="W626" s="20"/>
      <c r="X626" s="20"/>
      <c r="Y626" s="20"/>
      <c r="Z626" s="20"/>
      <c r="AA626" s="20"/>
    </row>
    <row r="627" spans="1:27" ht="121.8" x14ac:dyDescent="0.25">
      <c r="A627" s="16"/>
      <c r="B627" s="20" t="b">
        <f ca="1">IFERROR(__xludf.DUMMYFUNCTION("if(D627=iferror(filter('Character Sheet'!D$13:D3002,'Character Sheet'!D$13:D3002=D627),""""),True,False)"),FALSE)</f>
        <v>0</v>
      </c>
      <c r="C627" s="20">
        <v>400</v>
      </c>
      <c r="D627" s="2" t="s">
        <v>1442</v>
      </c>
      <c r="E627" s="2" t="s">
        <v>173</v>
      </c>
      <c r="F627" s="20" t="s">
        <v>56</v>
      </c>
      <c r="G627" s="2" t="s">
        <v>1443</v>
      </c>
      <c r="H627" s="16"/>
      <c r="I627" s="20"/>
      <c r="J627" s="20"/>
      <c r="K627" s="20"/>
      <c r="L627" s="20"/>
      <c r="M627" s="20"/>
      <c r="N627" s="20"/>
      <c r="O627" s="20"/>
      <c r="P627" s="20"/>
      <c r="Q627" s="20"/>
      <c r="R627" s="20"/>
      <c r="S627" s="20"/>
      <c r="T627" s="20"/>
      <c r="U627" s="20"/>
      <c r="V627" s="20"/>
      <c r="W627" s="20"/>
      <c r="X627" s="20"/>
      <c r="Y627" s="20"/>
      <c r="Z627" s="20"/>
      <c r="AA627" s="20"/>
    </row>
    <row r="628" spans="1:27" ht="121.8" x14ac:dyDescent="0.25">
      <c r="A628" s="16"/>
      <c r="B628" s="20" t="b">
        <f ca="1">IFERROR(__xludf.DUMMYFUNCTION("if(D628=iferror(filter('Character Sheet'!D$13:D3002,'Character Sheet'!D$13:D3002=D628),""""),True,False)"),FALSE)</f>
        <v>0</v>
      </c>
      <c r="C628" s="20">
        <v>400</v>
      </c>
      <c r="D628" s="2" t="s">
        <v>1444</v>
      </c>
      <c r="E628" s="2" t="s">
        <v>1052</v>
      </c>
      <c r="F628" s="20" t="s">
        <v>56</v>
      </c>
      <c r="G628" s="2" t="s">
        <v>1445</v>
      </c>
      <c r="H628" s="16"/>
      <c r="I628" s="20"/>
      <c r="J628" s="20"/>
      <c r="K628" s="20"/>
      <c r="L628" s="20"/>
      <c r="M628" s="20"/>
      <c r="N628" s="20"/>
      <c r="O628" s="20"/>
      <c r="P628" s="20"/>
      <c r="Q628" s="20"/>
      <c r="R628" s="20"/>
      <c r="S628" s="20"/>
      <c r="T628" s="20"/>
      <c r="U628" s="20"/>
      <c r="V628" s="20"/>
      <c r="W628" s="20"/>
      <c r="X628" s="20"/>
      <c r="Y628" s="20"/>
      <c r="Z628" s="20"/>
      <c r="AA628" s="20"/>
    </row>
    <row r="629" spans="1:27" ht="156.6" x14ac:dyDescent="0.25">
      <c r="A629" s="16"/>
      <c r="B629" s="20" t="b">
        <f ca="1">IFERROR(__xludf.DUMMYFUNCTION("if(D629=iferror(filter('Character Sheet'!D$13:D3002,'Character Sheet'!D$13:D3002=D629),""""),True,False)"),FALSE)</f>
        <v>0</v>
      </c>
      <c r="C629" s="20">
        <v>400</v>
      </c>
      <c r="D629" s="2" t="s">
        <v>1446</v>
      </c>
      <c r="E629" s="2" t="s">
        <v>1239</v>
      </c>
      <c r="F629" s="20" t="s">
        <v>56</v>
      </c>
      <c r="G629" s="2" t="s">
        <v>1447</v>
      </c>
      <c r="H629" s="16"/>
      <c r="I629" s="20"/>
      <c r="J629" s="20"/>
      <c r="K629" s="20"/>
      <c r="L629" s="20"/>
      <c r="M629" s="20"/>
      <c r="N629" s="20"/>
      <c r="O629" s="20"/>
      <c r="P629" s="20"/>
      <c r="Q629" s="20"/>
      <c r="R629" s="20"/>
      <c r="S629" s="20"/>
      <c r="T629" s="20"/>
      <c r="U629" s="20"/>
      <c r="V629" s="20"/>
      <c r="W629" s="20"/>
      <c r="X629" s="20"/>
      <c r="Y629" s="20"/>
      <c r="Z629" s="20"/>
      <c r="AA629" s="20"/>
    </row>
    <row r="630" spans="1:27" ht="208.8" x14ac:dyDescent="0.25">
      <c r="A630" s="16"/>
      <c r="B630" s="20" t="b">
        <f ca="1">IFERROR(__xludf.DUMMYFUNCTION("if(D630=iferror(filter('Character Sheet'!D$13:D3002,'Character Sheet'!D$13:D3002=D630),""""),True,False)"),FALSE)</f>
        <v>0</v>
      </c>
      <c r="C630" s="20">
        <v>400</v>
      </c>
      <c r="D630" s="2" t="s">
        <v>1448</v>
      </c>
      <c r="E630" s="2" t="s">
        <v>350</v>
      </c>
      <c r="F630" s="20" t="s">
        <v>56</v>
      </c>
      <c r="G630" s="2" t="s">
        <v>1449</v>
      </c>
      <c r="H630" s="16"/>
      <c r="I630" s="20"/>
      <c r="J630" s="20"/>
      <c r="K630" s="20"/>
      <c r="L630" s="20"/>
      <c r="M630" s="20"/>
      <c r="N630" s="20"/>
      <c r="O630" s="20"/>
      <c r="P630" s="20"/>
      <c r="Q630" s="20"/>
      <c r="R630" s="20"/>
      <c r="S630" s="20"/>
      <c r="T630" s="20"/>
      <c r="U630" s="20"/>
      <c r="V630" s="20"/>
      <c r="W630" s="20"/>
      <c r="X630" s="20"/>
      <c r="Y630" s="20"/>
      <c r="Z630" s="20"/>
      <c r="AA630" s="20"/>
    </row>
    <row r="631" spans="1:27" ht="174" x14ac:dyDescent="0.25">
      <c r="A631" s="16"/>
      <c r="B631" s="20" t="b">
        <f ca="1">IFERROR(__xludf.DUMMYFUNCTION("if(D631=iferror(filter('Character Sheet'!D$13:D3002,'Character Sheet'!D$13:D3002=D631),""""),True,False)"),FALSE)</f>
        <v>0</v>
      </c>
      <c r="C631" s="20">
        <v>400</v>
      </c>
      <c r="D631" s="2" t="s">
        <v>1450</v>
      </c>
      <c r="E631" s="2" t="s">
        <v>381</v>
      </c>
      <c r="F631" s="20" t="s">
        <v>56</v>
      </c>
      <c r="G631" s="2" t="s">
        <v>1451</v>
      </c>
      <c r="H631" s="16"/>
      <c r="I631" s="20"/>
      <c r="J631" s="20"/>
      <c r="K631" s="20"/>
      <c r="L631" s="20"/>
      <c r="M631" s="20"/>
      <c r="N631" s="20"/>
      <c r="O631" s="20"/>
      <c r="P631" s="20"/>
      <c r="Q631" s="20"/>
      <c r="R631" s="20"/>
      <c r="S631" s="20"/>
      <c r="T631" s="20"/>
      <c r="U631" s="20"/>
      <c r="V631" s="20"/>
      <c r="W631" s="20"/>
      <c r="X631" s="20"/>
      <c r="Y631" s="20"/>
      <c r="Z631" s="20"/>
      <c r="AA631" s="20"/>
    </row>
    <row r="632" spans="1:27" ht="69.599999999999994" x14ac:dyDescent="0.25">
      <c r="A632" s="16"/>
      <c r="B632" s="20" t="b">
        <f ca="1">IFERROR(__xludf.DUMMYFUNCTION("if(D632=iferror(filter('Character Sheet'!D$13:D3002,'Character Sheet'!D$13:D3002=D632),""""),True,False)"),FALSE)</f>
        <v>0</v>
      </c>
      <c r="C632" s="20">
        <v>400</v>
      </c>
      <c r="D632" s="2" t="s">
        <v>1452</v>
      </c>
      <c r="E632" s="2" t="s">
        <v>711</v>
      </c>
      <c r="F632" s="20" t="s">
        <v>56</v>
      </c>
      <c r="G632" s="2" t="s">
        <v>1453</v>
      </c>
      <c r="H632" s="16"/>
      <c r="I632" s="20"/>
      <c r="J632" s="20"/>
      <c r="K632" s="20"/>
      <c r="L632" s="20"/>
      <c r="M632" s="20"/>
      <c r="N632" s="20"/>
      <c r="O632" s="20"/>
      <c r="P632" s="20"/>
      <c r="Q632" s="20"/>
      <c r="R632" s="20"/>
      <c r="S632" s="20"/>
      <c r="T632" s="20"/>
      <c r="U632" s="20"/>
      <c r="V632" s="20"/>
      <c r="W632" s="20"/>
      <c r="X632" s="20"/>
      <c r="Y632" s="20"/>
      <c r="Z632" s="20"/>
      <c r="AA632" s="20"/>
    </row>
    <row r="633" spans="1:27" ht="191.4" x14ac:dyDescent="0.25">
      <c r="A633" s="16"/>
      <c r="B633" s="20" t="b">
        <f ca="1">IFERROR(__xludf.DUMMYFUNCTION("if(D633=iferror(filter('Character Sheet'!D$13:D3002,'Character Sheet'!D$13:D3002=D633),""""),True,False)"),FALSE)</f>
        <v>0</v>
      </c>
      <c r="C633" s="20">
        <v>400</v>
      </c>
      <c r="D633" s="2" t="s">
        <v>1454</v>
      </c>
      <c r="E633" s="2" t="s">
        <v>815</v>
      </c>
      <c r="F633" s="20" t="s">
        <v>56</v>
      </c>
      <c r="G633" s="2" t="s">
        <v>1455</v>
      </c>
      <c r="H633" s="16"/>
      <c r="I633" s="20"/>
      <c r="J633" s="20"/>
      <c r="K633" s="20"/>
      <c r="L633" s="20"/>
      <c r="M633" s="20"/>
      <c r="N633" s="20"/>
      <c r="O633" s="20"/>
      <c r="P633" s="20"/>
      <c r="Q633" s="20"/>
      <c r="R633" s="20"/>
      <c r="S633" s="20"/>
      <c r="T633" s="20"/>
      <c r="U633" s="20"/>
      <c r="V633" s="20"/>
      <c r="W633" s="20"/>
      <c r="X633" s="20"/>
      <c r="Y633" s="20"/>
      <c r="Z633" s="20"/>
      <c r="AA633" s="20"/>
    </row>
    <row r="634" spans="1:27" ht="208.8" x14ac:dyDescent="0.25">
      <c r="A634" s="16"/>
      <c r="B634" s="20" t="b">
        <f ca="1">IFERROR(__xludf.DUMMYFUNCTION("if(D634=iferror(filter('Character Sheet'!D$13:D3002,'Character Sheet'!D$13:D3002=D634),""""),True,False)"),FALSE)</f>
        <v>0</v>
      </c>
      <c r="C634" s="20">
        <v>400</v>
      </c>
      <c r="D634" s="2" t="s">
        <v>1456</v>
      </c>
      <c r="E634" s="2" t="s">
        <v>720</v>
      </c>
      <c r="F634" s="20" t="s">
        <v>56</v>
      </c>
      <c r="G634" s="2" t="s">
        <v>1457</v>
      </c>
      <c r="H634" s="16"/>
      <c r="I634" s="20"/>
      <c r="J634" s="20"/>
      <c r="K634" s="20"/>
      <c r="L634" s="20"/>
      <c r="M634" s="20"/>
      <c r="N634" s="20"/>
      <c r="O634" s="20"/>
      <c r="P634" s="20"/>
      <c r="Q634" s="20"/>
      <c r="R634" s="20"/>
      <c r="S634" s="20"/>
      <c r="T634" s="20"/>
      <c r="U634" s="20"/>
      <c r="V634" s="20"/>
      <c r="W634" s="20"/>
      <c r="X634" s="20"/>
      <c r="Y634" s="20"/>
      <c r="Z634" s="20"/>
      <c r="AA634" s="20"/>
    </row>
    <row r="635" spans="1:27" ht="191.4" x14ac:dyDescent="0.25">
      <c r="A635" s="16"/>
      <c r="B635" s="20" t="b">
        <f ca="1">IFERROR(__xludf.DUMMYFUNCTION("if(D635=iferror(filter('Character Sheet'!D$13:D3002,'Character Sheet'!D$13:D3002=D635),""""),True,False)"),FALSE)</f>
        <v>0</v>
      </c>
      <c r="C635" s="20">
        <v>400</v>
      </c>
      <c r="D635" s="2" t="s">
        <v>1458</v>
      </c>
      <c r="E635" s="2" t="s">
        <v>381</v>
      </c>
      <c r="F635" s="20" t="s">
        <v>56</v>
      </c>
      <c r="G635" s="2" t="s">
        <v>1459</v>
      </c>
      <c r="H635" s="16"/>
      <c r="I635" s="20"/>
      <c r="J635" s="20"/>
      <c r="K635" s="20"/>
      <c r="L635" s="20"/>
      <c r="M635" s="20"/>
      <c r="N635" s="20"/>
      <c r="O635" s="20"/>
      <c r="P635" s="20"/>
      <c r="Q635" s="20"/>
      <c r="R635" s="20"/>
      <c r="S635" s="20"/>
      <c r="T635" s="20"/>
      <c r="U635" s="20"/>
      <c r="V635" s="20"/>
      <c r="W635" s="20"/>
      <c r="X635" s="20"/>
      <c r="Y635" s="20"/>
      <c r="Z635" s="20"/>
      <c r="AA635" s="20"/>
    </row>
    <row r="636" spans="1:27" ht="208.8" x14ac:dyDescent="0.25">
      <c r="A636" s="16"/>
      <c r="B636" s="20" t="b">
        <f ca="1">IFERROR(__xludf.DUMMYFUNCTION("if(D636=iferror(filter('Character Sheet'!D$13:D3002,'Character Sheet'!D$13:D3002=D636),""""),True,False)"),FALSE)</f>
        <v>0</v>
      </c>
      <c r="C636" s="20">
        <v>400</v>
      </c>
      <c r="D636" s="2" t="s">
        <v>1460</v>
      </c>
      <c r="E636" s="2" t="s">
        <v>381</v>
      </c>
      <c r="F636" s="20" t="s">
        <v>56</v>
      </c>
      <c r="G636" s="2" t="s">
        <v>1461</v>
      </c>
      <c r="H636" s="16"/>
      <c r="I636" s="20"/>
      <c r="J636" s="20"/>
      <c r="K636" s="20"/>
      <c r="L636" s="20"/>
      <c r="M636" s="20"/>
      <c r="N636" s="20"/>
      <c r="O636" s="20"/>
      <c r="P636" s="20"/>
      <c r="Q636" s="20"/>
      <c r="R636" s="20"/>
      <c r="S636" s="20"/>
      <c r="T636" s="20"/>
      <c r="U636" s="20"/>
      <c r="V636" s="20"/>
      <c r="W636" s="20"/>
      <c r="X636" s="20"/>
      <c r="Y636" s="20"/>
      <c r="Z636" s="20"/>
      <c r="AA636" s="20"/>
    </row>
    <row r="637" spans="1:27" ht="121.8" x14ac:dyDescent="0.25">
      <c r="A637" s="16"/>
      <c r="B637" s="20" t="b">
        <f ca="1">IFERROR(__xludf.DUMMYFUNCTION("if(D637=iferror(filter('Character Sheet'!D$13:D3002,'Character Sheet'!D$13:D3002=D637),""""),True,False)"),FALSE)</f>
        <v>0</v>
      </c>
      <c r="C637" s="20">
        <v>400</v>
      </c>
      <c r="D637" s="2" t="s">
        <v>1462</v>
      </c>
      <c r="E637" s="2" t="s">
        <v>469</v>
      </c>
      <c r="F637" s="20" t="s">
        <v>56</v>
      </c>
      <c r="G637" s="2" t="s">
        <v>1463</v>
      </c>
      <c r="H637" s="16"/>
      <c r="I637" s="20"/>
      <c r="J637" s="20"/>
      <c r="K637" s="20"/>
      <c r="L637" s="20"/>
      <c r="M637" s="20"/>
      <c r="N637" s="20"/>
      <c r="O637" s="20"/>
      <c r="P637" s="20"/>
      <c r="Q637" s="20"/>
      <c r="R637" s="20"/>
      <c r="S637" s="20"/>
      <c r="T637" s="20"/>
      <c r="U637" s="20"/>
      <c r="V637" s="20"/>
      <c r="W637" s="20"/>
      <c r="X637" s="20"/>
      <c r="Y637" s="20"/>
      <c r="Z637" s="20"/>
      <c r="AA637" s="20"/>
    </row>
    <row r="638" spans="1:27" ht="174" x14ac:dyDescent="0.25">
      <c r="A638" s="16"/>
      <c r="B638" s="20" t="b">
        <f ca="1">IFERROR(__xludf.DUMMYFUNCTION("if(D638=iferror(filter('Character Sheet'!D$13:D3002,'Character Sheet'!D$13:D3002=D638),""""),True,False)"),FALSE)</f>
        <v>0</v>
      </c>
      <c r="C638" s="20">
        <v>400</v>
      </c>
      <c r="D638" s="2" t="s">
        <v>1464</v>
      </c>
      <c r="E638" s="2" t="s">
        <v>124</v>
      </c>
      <c r="F638" s="20" t="s">
        <v>56</v>
      </c>
      <c r="G638" s="2" t="s">
        <v>1465</v>
      </c>
      <c r="H638" s="16"/>
      <c r="I638" s="20"/>
      <c r="J638" s="20"/>
      <c r="K638" s="20"/>
      <c r="L638" s="20"/>
      <c r="M638" s="20"/>
      <c r="N638" s="20"/>
      <c r="O638" s="20"/>
      <c r="P638" s="20"/>
      <c r="Q638" s="20"/>
      <c r="R638" s="20"/>
      <c r="S638" s="20"/>
      <c r="T638" s="20"/>
      <c r="U638" s="20"/>
      <c r="V638" s="20"/>
      <c r="W638" s="20"/>
      <c r="X638" s="20"/>
      <c r="Y638" s="20"/>
      <c r="Z638" s="20"/>
      <c r="AA638" s="20"/>
    </row>
    <row r="639" spans="1:27" ht="139.19999999999999" x14ac:dyDescent="0.25">
      <c r="A639" s="16"/>
      <c r="B639" s="20" t="b">
        <f ca="1">IFERROR(__xludf.DUMMYFUNCTION("if(D639=iferror(filter('Character Sheet'!D$13:D3002,'Character Sheet'!D$13:D3002=D639),""""),True,False)"),FALSE)</f>
        <v>0</v>
      </c>
      <c r="C639" s="20">
        <v>400</v>
      </c>
      <c r="D639" s="2" t="s">
        <v>1466</v>
      </c>
      <c r="E639" s="2" t="s">
        <v>615</v>
      </c>
      <c r="F639" s="20" t="s">
        <v>56</v>
      </c>
      <c r="G639" s="2" t="s">
        <v>1467</v>
      </c>
      <c r="H639" s="16"/>
      <c r="I639" s="20"/>
      <c r="J639" s="20"/>
      <c r="K639" s="20"/>
      <c r="L639" s="20"/>
      <c r="M639" s="20"/>
      <c r="N639" s="20"/>
      <c r="O639" s="20"/>
      <c r="P639" s="20"/>
      <c r="Q639" s="20"/>
      <c r="R639" s="20"/>
      <c r="S639" s="20"/>
      <c r="T639" s="20"/>
      <c r="U639" s="20"/>
      <c r="V639" s="20"/>
      <c r="W639" s="20"/>
      <c r="X639" s="20"/>
      <c r="Y639" s="20"/>
      <c r="Z639" s="20"/>
      <c r="AA639" s="20"/>
    </row>
    <row r="640" spans="1:27" ht="69.599999999999994" x14ac:dyDescent="0.25">
      <c r="A640" s="16"/>
      <c r="B640" s="20" t="b">
        <f ca="1">IFERROR(__xludf.DUMMYFUNCTION("if(D640=iferror(filter('Character Sheet'!D$13:D3002,'Character Sheet'!D$13:D3002=D640),""""),True,False)"),FALSE)</f>
        <v>0</v>
      </c>
      <c r="C640" s="20">
        <v>400</v>
      </c>
      <c r="D640" s="2" t="s">
        <v>1468</v>
      </c>
      <c r="E640" s="2" t="s">
        <v>428</v>
      </c>
      <c r="F640" s="20" t="s">
        <v>56</v>
      </c>
      <c r="G640" s="2" t="s">
        <v>1469</v>
      </c>
      <c r="H640" s="16"/>
      <c r="I640" s="20"/>
      <c r="J640" s="20"/>
      <c r="K640" s="20"/>
      <c r="L640" s="20"/>
      <c r="M640" s="20"/>
      <c r="N640" s="20"/>
      <c r="O640" s="20"/>
      <c r="P640" s="20"/>
      <c r="Q640" s="20"/>
      <c r="R640" s="20"/>
      <c r="S640" s="20"/>
      <c r="T640" s="20"/>
      <c r="U640" s="20"/>
      <c r="V640" s="20"/>
      <c r="W640" s="20"/>
      <c r="X640" s="20"/>
      <c r="Y640" s="20"/>
      <c r="Z640" s="20"/>
      <c r="AA640" s="20"/>
    </row>
    <row r="641" spans="1:27" ht="330.6" x14ac:dyDescent="0.25">
      <c r="A641" s="16"/>
      <c r="B641" s="20" t="b">
        <f ca="1">IFERROR(__xludf.DUMMYFUNCTION("if(D641=iferror(filter('Character Sheet'!D$13:D3002,'Character Sheet'!D$13:D3002=D641),""""),True,False)"),FALSE)</f>
        <v>0</v>
      </c>
      <c r="C641" s="20">
        <v>400</v>
      </c>
      <c r="D641" s="2" t="s">
        <v>1470</v>
      </c>
      <c r="E641" s="2" t="s">
        <v>253</v>
      </c>
      <c r="F641" s="20" t="s">
        <v>56</v>
      </c>
      <c r="G641" s="2" t="s">
        <v>1471</v>
      </c>
      <c r="H641" s="16"/>
      <c r="I641" s="20"/>
      <c r="J641" s="20"/>
      <c r="K641" s="20"/>
      <c r="L641" s="20"/>
      <c r="M641" s="20"/>
      <c r="N641" s="20"/>
      <c r="O641" s="20"/>
      <c r="P641" s="20"/>
      <c r="Q641" s="20"/>
      <c r="R641" s="20"/>
      <c r="S641" s="20"/>
      <c r="T641" s="20"/>
      <c r="U641" s="20"/>
      <c r="V641" s="20"/>
      <c r="W641" s="20"/>
      <c r="X641" s="20"/>
      <c r="Y641" s="20"/>
      <c r="Z641" s="20"/>
      <c r="AA641" s="20"/>
    </row>
    <row r="642" spans="1:27" ht="208.8" x14ac:dyDescent="0.25">
      <c r="A642" s="16"/>
      <c r="B642" s="20" t="b">
        <f ca="1">IFERROR(__xludf.DUMMYFUNCTION("if(D642=iferror(filter('Character Sheet'!D$13:D3002,'Character Sheet'!D$13:D3002=D642),""""),True,False)"),FALSE)</f>
        <v>0</v>
      </c>
      <c r="C642" s="20">
        <v>400</v>
      </c>
      <c r="D642" s="2" t="s">
        <v>1472</v>
      </c>
      <c r="E642" s="2" t="s">
        <v>381</v>
      </c>
      <c r="F642" s="20" t="s">
        <v>56</v>
      </c>
      <c r="G642" s="2" t="s">
        <v>1473</v>
      </c>
      <c r="H642" s="16"/>
      <c r="I642" s="20"/>
      <c r="J642" s="20"/>
      <c r="K642" s="20"/>
      <c r="L642" s="20"/>
      <c r="M642" s="20"/>
      <c r="N642" s="20"/>
      <c r="O642" s="20"/>
      <c r="P642" s="20"/>
      <c r="Q642" s="20"/>
      <c r="R642" s="20"/>
      <c r="S642" s="20"/>
      <c r="T642" s="20"/>
      <c r="U642" s="20"/>
      <c r="V642" s="20"/>
      <c r="W642" s="20"/>
      <c r="X642" s="20"/>
      <c r="Y642" s="20"/>
      <c r="Z642" s="20"/>
      <c r="AA642" s="20"/>
    </row>
    <row r="643" spans="1:27" ht="104.4" x14ac:dyDescent="0.25">
      <c r="A643" s="16"/>
      <c r="B643" s="20" t="b">
        <f ca="1">IFERROR(__xludf.DUMMYFUNCTION("if(D643=iferror(filter('Character Sheet'!D$13:D3002,'Character Sheet'!D$13:D3002=D643),""""),True,False)"),FALSE)</f>
        <v>0</v>
      </c>
      <c r="C643" s="20">
        <v>400</v>
      </c>
      <c r="D643" s="2" t="s">
        <v>1474</v>
      </c>
      <c r="E643" s="2" t="s">
        <v>539</v>
      </c>
      <c r="F643" s="20" t="s">
        <v>56</v>
      </c>
      <c r="G643" s="2" t="s">
        <v>1475</v>
      </c>
      <c r="H643" s="16"/>
      <c r="I643" s="20"/>
      <c r="J643" s="20"/>
      <c r="K643" s="20"/>
      <c r="L643" s="20"/>
      <c r="M643" s="20"/>
      <c r="N643" s="20"/>
      <c r="O643" s="20"/>
      <c r="P643" s="20"/>
      <c r="Q643" s="20"/>
      <c r="R643" s="20"/>
      <c r="S643" s="20"/>
      <c r="T643" s="20"/>
      <c r="U643" s="20"/>
      <c r="V643" s="20"/>
      <c r="W643" s="20"/>
      <c r="X643" s="20"/>
      <c r="Y643" s="20"/>
      <c r="Z643" s="20"/>
      <c r="AA643" s="20"/>
    </row>
    <row r="644" spans="1:27" ht="121.8" x14ac:dyDescent="0.25">
      <c r="A644" s="16"/>
      <c r="B644" s="20" t="b">
        <f ca="1">IFERROR(__xludf.DUMMYFUNCTION("if(D644=iferror(filter('Character Sheet'!D$13:D3002,'Character Sheet'!D$13:D3002=D644),""""),True,False)"),FALSE)</f>
        <v>0</v>
      </c>
      <c r="C644" s="20">
        <v>400</v>
      </c>
      <c r="D644" s="2" t="s">
        <v>1476</v>
      </c>
      <c r="E644" s="2" t="s">
        <v>514</v>
      </c>
      <c r="F644" s="20" t="s">
        <v>56</v>
      </c>
      <c r="G644" s="2" t="s">
        <v>1477</v>
      </c>
      <c r="H644" s="16"/>
      <c r="I644" s="20"/>
      <c r="J644" s="20"/>
      <c r="K644" s="20"/>
      <c r="L644" s="20"/>
      <c r="M644" s="20"/>
      <c r="N644" s="20"/>
      <c r="O644" s="20"/>
      <c r="P644" s="20"/>
      <c r="Q644" s="20"/>
      <c r="R644" s="20"/>
      <c r="S644" s="20"/>
      <c r="T644" s="20"/>
      <c r="U644" s="20"/>
      <c r="V644" s="20"/>
      <c r="W644" s="20"/>
      <c r="X644" s="20"/>
      <c r="Y644" s="20"/>
      <c r="Z644" s="20"/>
      <c r="AA644" s="20"/>
    </row>
    <row r="645" spans="1:27" ht="243.6" x14ac:dyDescent="0.25">
      <c r="A645" s="16"/>
      <c r="B645" s="20" t="b">
        <f ca="1">IFERROR(__xludf.DUMMYFUNCTION("if(D645=iferror(filter('Character Sheet'!D$13:D3002,'Character Sheet'!D$13:D3002=D645),""""),True,False)"),FALSE)</f>
        <v>0</v>
      </c>
      <c r="C645" s="20">
        <v>400</v>
      </c>
      <c r="D645" s="2" t="s">
        <v>1478</v>
      </c>
      <c r="E645" s="2" t="s">
        <v>815</v>
      </c>
      <c r="F645" s="20" t="s">
        <v>56</v>
      </c>
      <c r="G645" s="2" t="s">
        <v>1479</v>
      </c>
      <c r="H645" s="16"/>
      <c r="I645" s="20"/>
      <c r="J645" s="20"/>
      <c r="K645" s="20"/>
      <c r="L645" s="20"/>
      <c r="M645" s="20"/>
      <c r="N645" s="20"/>
      <c r="O645" s="20"/>
      <c r="P645" s="20"/>
      <c r="Q645" s="20"/>
      <c r="R645" s="20"/>
      <c r="S645" s="20"/>
      <c r="T645" s="20"/>
      <c r="U645" s="20"/>
      <c r="V645" s="20"/>
      <c r="W645" s="20"/>
      <c r="X645" s="20"/>
      <c r="Y645" s="20"/>
      <c r="Z645" s="20"/>
      <c r="AA645" s="20"/>
    </row>
    <row r="646" spans="1:27" ht="156.6" x14ac:dyDescent="0.25">
      <c r="A646" s="16"/>
      <c r="B646" s="20" t="b">
        <f ca="1">IFERROR(__xludf.DUMMYFUNCTION("if(D646=iferror(filter('Character Sheet'!D$13:D3002,'Character Sheet'!D$13:D3002=D646),""""),True,False)"),FALSE)</f>
        <v>0</v>
      </c>
      <c r="C646" s="20">
        <v>400</v>
      </c>
      <c r="D646" s="2" t="s">
        <v>1480</v>
      </c>
      <c r="E646" s="2" t="s">
        <v>1239</v>
      </c>
      <c r="F646" s="20" t="s">
        <v>56</v>
      </c>
      <c r="G646" s="2" t="s">
        <v>1481</v>
      </c>
      <c r="H646" s="16"/>
      <c r="I646" s="20"/>
      <c r="J646" s="20"/>
      <c r="K646" s="20"/>
      <c r="L646" s="20"/>
      <c r="M646" s="20"/>
      <c r="N646" s="20"/>
      <c r="O646" s="20"/>
      <c r="P646" s="20"/>
      <c r="Q646" s="20"/>
      <c r="R646" s="20"/>
      <c r="S646" s="20"/>
      <c r="T646" s="20"/>
      <c r="U646" s="20"/>
      <c r="V646" s="20"/>
      <c r="W646" s="20"/>
      <c r="X646" s="20"/>
      <c r="Y646" s="20"/>
      <c r="Z646" s="20"/>
      <c r="AA646" s="20"/>
    </row>
    <row r="647" spans="1:27" ht="208.8" x14ac:dyDescent="0.25">
      <c r="A647" s="16"/>
      <c r="B647" s="20" t="b">
        <f ca="1">IFERROR(__xludf.DUMMYFUNCTION("if(D647=iferror(filter('Character Sheet'!D$13:D3002,'Character Sheet'!D$13:D3002=D647),""""),True,False)"),FALSE)</f>
        <v>0</v>
      </c>
      <c r="C647" s="20">
        <v>400</v>
      </c>
      <c r="D647" s="2" t="s">
        <v>1482</v>
      </c>
      <c r="E647" s="2" t="s">
        <v>119</v>
      </c>
      <c r="F647" s="20" t="s">
        <v>56</v>
      </c>
      <c r="G647" s="2" t="s">
        <v>1483</v>
      </c>
      <c r="H647" s="16"/>
      <c r="I647" s="20"/>
      <c r="J647" s="20"/>
      <c r="K647" s="20"/>
      <c r="L647" s="20"/>
      <c r="M647" s="20"/>
      <c r="N647" s="20"/>
      <c r="O647" s="20"/>
      <c r="P647" s="20"/>
      <c r="Q647" s="20"/>
      <c r="R647" s="20"/>
      <c r="S647" s="20"/>
      <c r="T647" s="20"/>
      <c r="U647" s="20"/>
      <c r="V647" s="20"/>
      <c r="W647" s="20"/>
      <c r="X647" s="20"/>
      <c r="Y647" s="20"/>
      <c r="Z647" s="20"/>
      <c r="AA647" s="20"/>
    </row>
    <row r="648" spans="1:27" ht="104.4" x14ac:dyDescent="0.25">
      <c r="A648" s="16"/>
      <c r="B648" s="20" t="b">
        <f ca="1">IFERROR(__xludf.DUMMYFUNCTION("if(D648=iferror(filter('Character Sheet'!D$13:D3002,'Character Sheet'!D$13:D3002=D648),""""),True,False)"),FALSE)</f>
        <v>0</v>
      </c>
      <c r="C648" s="20">
        <v>400</v>
      </c>
      <c r="D648" s="2" t="s">
        <v>1484</v>
      </c>
      <c r="E648" s="2" t="s">
        <v>642</v>
      </c>
      <c r="F648" s="20" t="s">
        <v>56</v>
      </c>
      <c r="G648" s="2" t="s">
        <v>1485</v>
      </c>
      <c r="H648" s="16"/>
      <c r="I648" s="20"/>
      <c r="J648" s="20"/>
      <c r="K648" s="20"/>
      <c r="L648" s="20"/>
      <c r="M648" s="20"/>
      <c r="N648" s="20"/>
      <c r="O648" s="20"/>
      <c r="P648" s="20"/>
      <c r="Q648" s="20"/>
      <c r="R648" s="20"/>
      <c r="S648" s="20"/>
      <c r="T648" s="20"/>
      <c r="U648" s="20"/>
      <c r="V648" s="20"/>
      <c r="W648" s="20"/>
      <c r="X648" s="20"/>
      <c r="Y648" s="20"/>
      <c r="Z648" s="20"/>
      <c r="AA648" s="20"/>
    </row>
    <row r="649" spans="1:27" ht="104.4" x14ac:dyDescent="0.25">
      <c r="A649" s="16"/>
      <c r="B649" s="20" t="b">
        <f ca="1">IFERROR(__xludf.DUMMYFUNCTION("if(D649=iferror(filter('Character Sheet'!D$13:D3002,'Character Sheet'!D$13:D3002=D649),""""),True,False)"),FALSE)</f>
        <v>0</v>
      </c>
      <c r="C649" s="20">
        <v>400</v>
      </c>
      <c r="D649" s="2" t="s">
        <v>1486</v>
      </c>
      <c r="E649" s="2" t="s">
        <v>262</v>
      </c>
      <c r="F649" s="20" t="s">
        <v>56</v>
      </c>
      <c r="G649" s="2" t="s">
        <v>1487</v>
      </c>
      <c r="H649" s="16"/>
      <c r="I649" s="20"/>
      <c r="J649" s="20"/>
      <c r="K649" s="20"/>
      <c r="L649" s="20"/>
      <c r="M649" s="20"/>
      <c r="N649" s="20"/>
      <c r="O649" s="20"/>
      <c r="P649" s="20"/>
      <c r="Q649" s="20"/>
      <c r="R649" s="20"/>
      <c r="S649" s="20"/>
      <c r="T649" s="20"/>
      <c r="U649" s="20"/>
      <c r="V649" s="20"/>
      <c r="W649" s="20"/>
      <c r="X649" s="20"/>
      <c r="Y649" s="20"/>
      <c r="Z649" s="20"/>
      <c r="AA649" s="20"/>
    </row>
    <row r="650" spans="1:27" ht="174" x14ac:dyDescent="0.25">
      <c r="A650" s="16"/>
      <c r="B650" s="20" t="b">
        <f ca="1">IFERROR(__xludf.DUMMYFUNCTION("if(D650=iferror(filter('Character Sheet'!D$13:D3002,'Character Sheet'!D$13:D3002=D650),""""),True,False)"),FALSE)</f>
        <v>0</v>
      </c>
      <c r="C650" s="20">
        <v>400</v>
      </c>
      <c r="D650" s="2" t="s">
        <v>1488</v>
      </c>
      <c r="E650" s="2" t="s">
        <v>124</v>
      </c>
      <c r="F650" s="20" t="s">
        <v>56</v>
      </c>
      <c r="G650" s="2" t="s">
        <v>1489</v>
      </c>
      <c r="H650" s="16"/>
      <c r="I650" s="20"/>
      <c r="J650" s="20"/>
      <c r="K650" s="20"/>
      <c r="L650" s="20"/>
      <c r="M650" s="20"/>
      <c r="N650" s="20"/>
      <c r="O650" s="20"/>
      <c r="P650" s="20"/>
      <c r="Q650" s="20"/>
      <c r="R650" s="20"/>
      <c r="S650" s="20"/>
      <c r="T650" s="20"/>
      <c r="U650" s="20"/>
      <c r="V650" s="20"/>
      <c r="W650" s="20"/>
      <c r="X650" s="20"/>
      <c r="Y650" s="20"/>
      <c r="Z650" s="20"/>
      <c r="AA650" s="20"/>
    </row>
    <row r="651" spans="1:27" ht="348" x14ac:dyDescent="0.25">
      <c r="A651" s="16"/>
      <c r="B651" s="20" t="b">
        <f ca="1">IFERROR(__xludf.DUMMYFUNCTION("if(D651=iferror(filter('Character Sheet'!D$13:D3002,'Character Sheet'!D$13:D3002=D651),""""),True,False)"),FALSE)</f>
        <v>0</v>
      </c>
      <c r="C651" s="20">
        <v>500</v>
      </c>
      <c r="D651" s="2" t="s">
        <v>1490</v>
      </c>
      <c r="E651" s="2" t="s">
        <v>1244</v>
      </c>
      <c r="F651" s="20" t="s">
        <v>56</v>
      </c>
      <c r="G651" s="2" t="s">
        <v>1491</v>
      </c>
      <c r="H651" s="16"/>
      <c r="I651" s="20"/>
      <c r="J651" s="20"/>
      <c r="K651" s="20"/>
      <c r="L651" s="20"/>
      <c r="M651" s="20"/>
      <c r="N651" s="20"/>
      <c r="O651" s="20"/>
      <c r="P651" s="20"/>
      <c r="Q651" s="20"/>
      <c r="R651" s="20"/>
      <c r="S651" s="20"/>
      <c r="T651" s="20"/>
      <c r="U651" s="20"/>
      <c r="V651" s="20"/>
      <c r="W651" s="20"/>
      <c r="X651" s="20"/>
      <c r="Y651" s="20"/>
      <c r="Z651" s="20"/>
      <c r="AA651" s="20"/>
    </row>
    <row r="652" spans="1:27" ht="104.4" x14ac:dyDescent="0.25">
      <c r="A652" s="16"/>
      <c r="B652" s="20" t="b">
        <f ca="1">IFERROR(__xludf.DUMMYFUNCTION("if(D652=iferror(filter('Character Sheet'!D$13:D3002,'Character Sheet'!D$13:D3002=D652),""""),True,False)"),FALSE)</f>
        <v>0</v>
      </c>
      <c r="C652" s="20">
        <v>500</v>
      </c>
      <c r="D652" s="2" t="s">
        <v>1492</v>
      </c>
      <c r="E652" s="2" t="s">
        <v>338</v>
      </c>
      <c r="F652" s="20" t="s">
        <v>56</v>
      </c>
      <c r="G652" s="2" t="s">
        <v>1493</v>
      </c>
      <c r="H652" s="16"/>
      <c r="I652" s="20"/>
      <c r="J652" s="20"/>
      <c r="K652" s="20"/>
      <c r="L652" s="20"/>
      <c r="M652" s="20"/>
      <c r="N652" s="20"/>
      <c r="O652" s="20"/>
      <c r="P652" s="20"/>
      <c r="Q652" s="20"/>
      <c r="R652" s="20"/>
      <c r="S652" s="20"/>
      <c r="T652" s="20"/>
      <c r="U652" s="20"/>
      <c r="V652" s="20"/>
      <c r="W652" s="20"/>
      <c r="X652" s="20"/>
      <c r="Y652" s="20"/>
      <c r="Z652" s="20"/>
      <c r="AA652" s="20"/>
    </row>
    <row r="653" spans="1:27" ht="121.8" x14ac:dyDescent="0.25">
      <c r="A653" s="16"/>
      <c r="B653" s="20" t="b">
        <f ca="1">IFERROR(__xludf.DUMMYFUNCTION("if(D653=iferror(filter('Character Sheet'!D$13:D3002,'Character Sheet'!D$13:D3002=D653),""""),True,False)"),FALSE)</f>
        <v>0</v>
      </c>
      <c r="C653" s="20">
        <v>500</v>
      </c>
      <c r="D653" s="2" t="s">
        <v>1494</v>
      </c>
      <c r="E653" s="2" t="s">
        <v>825</v>
      </c>
      <c r="F653" s="20" t="s">
        <v>56</v>
      </c>
      <c r="G653" s="2" t="s">
        <v>1495</v>
      </c>
      <c r="H653" s="16"/>
      <c r="I653" s="20"/>
      <c r="J653" s="20"/>
      <c r="K653" s="20"/>
      <c r="L653" s="20"/>
      <c r="M653" s="20"/>
      <c r="N653" s="20"/>
      <c r="O653" s="20"/>
      <c r="P653" s="20"/>
      <c r="Q653" s="20"/>
      <c r="R653" s="20"/>
      <c r="S653" s="20"/>
      <c r="T653" s="20"/>
      <c r="U653" s="20"/>
      <c r="V653" s="20"/>
      <c r="W653" s="20"/>
      <c r="X653" s="20"/>
      <c r="Y653" s="20"/>
      <c r="Z653" s="20"/>
      <c r="AA653" s="20"/>
    </row>
    <row r="654" spans="1:27" ht="87" x14ac:dyDescent="0.25">
      <c r="A654" s="16"/>
      <c r="B654" s="20" t="b">
        <f ca="1">IFERROR(__xludf.DUMMYFUNCTION("if(D654=iferror(filter('Character Sheet'!D$13:D3002,'Character Sheet'!D$13:D3002=D654),""""),True,False)"),FALSE)</f>
        <v>0</v>
      </c>
      <c r="C654" s="20">
        <v>500</v>
      </c>
      <c r="D654" s="2" t="s">
        <v>1496</v>
      </c>
      <c r="E654" s="2" t="s">
        <v>475</v>
      </c>
      <c r="F654" s="20" t="s">
        <v>56</v>
      </c>
      <c r="G654" s="2" t="s">
        <v>1497</v>
      </c>
      <c r="H654" s="16"/>
      <c r="I654" s="20"/>
      <c r="J654" s="20"/>
      <c r="K654" s="20"/>
      <c r="L654" s="20"/>
      <c r="M654" s="20"/>
      <c r="N654" s="20"/>
      <c r="O654" s="20"/>
      <c r="P654" s="20"/>
      <c r="Q654" s="20"/>
      <c r="R654" s="20"/>
      <c r="S654" s="20"/>
      <c r="T654" s="20"/>
      <c r="U654" s="20"/>
      <c r="V654" s="20"/>
      <c r="W654" s="20"/>
      <c r="X654" s="20"/>
      <c r="Y654" s="20"/>
      <c r="Z654" s="20"/>
      <c r="AA654" s="20"/>
    </row>
    <row r="655" spans="1:27" ht="243.6" x14ac:dyDescent="0.25">
      <c r="A655" s="16"/>
      <c r="B655" s="20" t="b">
        <f ca="1">IFERROR(__xludf.DUMMYFUNCTION("if(D655=iferror(filter('Character Sheet'!D$13:D3002,'Character Sheet'!D$13:D3002=D655),""""),True,False)"),FALSE)</f>
        <v>0</v>
      </c>
      <c r="C655" s="20">
        <v>500</v>
      </c>
      <c r="D655" s="2" t="s">
        <v>1498</v>
      </c>
      <c r="E655" s="2" t="s">
        <v>815</v>
      </c>
      <c r="F655" s="20" t="s">
        <v>56</v>
      </c>
      <c r="G655" s="2" t="s">
        <v>1499</v>
      </c>
      <c r="H655" s="16"/>
      <c r="I655" s="20"/>
      <c r="J655" s="20"/>
      <c r="K655" s="20"/>
      <c r="L655" s="20"/>
      <c r="M655" s="20"/>
      <c r="N655" s="20"/>
      <c r="O655" s="20"/>
      <c r="P655" s="20"/>
      <c r="Q655" s="20"/>
      <c r="R655" s="20"/>
      <c r="S655" s="20"/>
      <c r="T655" s="20"/>
      <c r="U655" s="20"/>
      <c r="V655" s="20"/>
      <c r="W655" s="20"/>
      <c r="X655" s="20"/>
      <c r="Y655" s="20"/>
      <c r="Z655" s="20"/>
      <c r="AA655" s="20"/>
    </row>
    <row r="656" spans="1:27" ht="348" x14ac:dyDescent="0.25">
      <c r="A656" s="16"/>
      <c r="B656" s="20" t="b">
        <f ca="1">IFERROR(__xludf.DUMMYFUNCTION("if(D656=iferror(filter('Character Sheet'!D$13:D3002,'Character Sheet'!D$13:D3002=D656),""""),True,False)"),FALSE)</f>
        <v>0</v>
      </c>
      <c r="C656" s="20">
        <v>500</v>
      </c>
      <c r="D656" s="2" t="s">
        <v>1500</v>
      </c>
      <c r="E656" s="2" t="s">
        <v>973</v>
      </c>
      <c r="F656" s="20" t="s">
        <v>56</v>
      </c>
      <c r="G656" s="2" t="s">
        <v>1501</v>
      </c>
      <c r="H656" s="16"/>
      <c r="I656" s="20"/>
      <c r="J656" s="20"/>
      <c r="K656" s="20"/>
      <c r="L656" s="20"/>
      <c r="M656" s="20"/>
      <c r="N656" s="20"/>
      <c r="O656" s="20"/>
      <c r="P656" s="20"/>
      <c r="Q656" s="20"/>
      <c r="R656" s="20"/>
      <c r="S656" s="20"/>
      <c r="T656" s="20"/>
      <c r="U656" s="20"/>
      <c r="V656" s="20"/>
      <c r="W656" s="20"/>
      <c r="X656" s="20"/>
      <c r="Y656" s="20"/>
      <c r="Z656" s="20"/>
      <c r="AA656" s="20"/>
    </row>
    <row r="657" spans="1:27" ht="243.6" x14ac:dyDescent="0.25">
      <c r="A657" s="16"/>
      <c r="B657" s="20" t="b">
        <f ca="1">IFERROR(__xludf.DUMMYFUNCTION("if(D657=iferror(filter('Character Sheet'!D$13:D3002,'Character Sheet'!D$13:D3002=D657),""""),True,False)"),FALSE)</f>
        <v>0</v>
      </c>
      <c r="C657" s="20">
        <v>500</v>
      </c>
      <c r="D657" s="2" t="s">
        <v>1502</v>
      </c>
      <c r="E657" s="2" t="s">
        <v>1206</v>
      </c>
      <c r="F657" s="20" t="s">
        <v>56</v>
      </c>
      <c r="G657" s="2" t="s">
        <v>1503</v>
      </c>
      <c r="H657" s="16"/>
      <c r="I657" s="20"/>
      <c r="J657" s="20"/>
      <c r="K657" s="20"/>
      <c r="L657" s="20"/>
      <c r="M657" s="20"/>
      <c r="N657" s="20"/>
      <c r="O657" s="20"/>
      <c r="P657" s="20"/>
      <c r="Q657" s="20"/>
      <c r="R657" s="20"/>
      <c r="S657" s="20"/>
      <c r="T657" s="20"/>
      <c r="U657" s="20"/>
      <c r="V657" s="20"/>
      <c r="W657" s="20"/>
      <c r="X657" s="20"/>
      <c r="Y657" s="20"/>
      <c r="Z657" s="20"/>
      <c r="AA657" s="20"/>
    </row>
    <row r="658" spans="1:27" ht="313.2" x14ac:dyDescent="0.25">
      <c r="A658" s="16"/>
      <c r="B658" s="20" t="b">
        <f ca="1">IFERROR(__xludf.DUMMYFUNCTION("if(D658=iferror(filter('Character Sheet'!D$13:D3002,'Character Sheet'!D$13:D3002=D658),""""),True,False)"),FALSE)</f>
        <v>0</v>
      </c>
      <c r="C658" s="20">
        <v>500</v>
      </c>
      <c r="D658" s="2" t="s">
        <v>1504</v>
      </c>
      <c r="E658" s="2" t="s">
        <v>268</v>
      </c>
      <c r="F658" s="20" t="s">
        <v>56</v>
      </c>
      <c r="G658" s="2" t="s">
        <v>1505</v>
      </c>
      <c r="H658" s="16"/>
      <c r="I658" s="20"/>
      <c r="J658" s="20"/>
      <c r="K658" s="20"/>
      <c r="L658" s="20"/>
      <c r="M658" s="20"/>
      <c r="N658" s="20"/>
      <c r="O658" s="20"/>
      <c r="P658" s="20"/>
      <c r="Q658" s="20"/>
      <c r="R658" s="20"/>
      <c r="S658" s="20"/>
      <c r="T658" s="20"/>
      <c r="U658" s="20"/>
      <c r="V658" s="20"/>
      <c r="W658" s="20"/>
      <c r="X658" s="20"/>
      <c r="Y658" s="20"/>
      <c r="Z658" s="20"/>
      <c r="AA658" s="20"/>
    </row>
    <row r="659" spans="1:27" ht="226.2" x14ac:dyDescent="0.25">
      <c r="A659" s="16"/>
      <c r="B659" s="20" t="b">
        <f ca="1">IFERROR(__xludf.DUMMYFUNCTION("if(D659=iferror(filter('Character Sheet'!D$13:D3002,'Character Sheet'!D$13:D3002=D659),""""),True,False)"),FALSE)</f>
        <v>0</v>
      </c>
      <c r="C659" s="20">
        <v>500</v>
      </c>
      <c r="D659" s="2" t="s">
        <v>1506</v>
      </c>
      <c r="E659" s="2" t="s">
        <v>963</v>
      </c>
      <c r="F659" s="20" t="s">
        <v>56</v>
      </c>
      <c r="G659" s="2" t="s">
        <v>1507</v>
      </c>
      <c r="H659" s="16"/>
      <c r="I659" s="20"/>
      <c r="J659" s="20"/>
      <c r="K659" s="20"/>
      <c r="L659" s="20"/>
      <c r="M659" s="20"/>
      <c r="N659" s="20"/>
      <c r="O659" s="20"/>
      <c r="P659" s="20"/>
      <c r="Q659" s="20"/>
      <c r="R659" s="20"/>
      <c r="S659" s="20"/>
      <c r="T659" s="20"/>
      <c r="U659" s="20"/>
      <c r="V659" s="20"/>
      <c r="W659" s="20"/>
      <c r="X659" s="20"/>
      <c r="Y659" s="20"/>
      <c r="Z659" s="20"/>
      <c r="AA659" s="20"/>
    </row>
    <row r="660" spans="1:27" ht="261" x14ac:dyDescent="0.25">
      <c r="A660" s="16"/>
      <c r="B660" s="20" t="b">
        <f ca="1">IFERROR(__xludf.DUMMYFUNCTION("if(D660=iferror(filter('Character Sheet'!D$13:D3002,'Character Sheet'!D$13:D3002=D660),""""),True,False)"),FALSE)</f>
        <v>0</v>
      </c>
      <c r="C660" s="20">
        <v>500</v>
      </c>
      <c r="D660" s="2" t="s">
        <v>1508</v>
      </c>
      <c r="E660" s="2" t="s">
        <v>428</v>
      </c>
      <c r="F660" s="20" t="s">
        <v>56</v>
      </c>
      <c r="G660" s="2" t="s">
        <v>1509</v>
      </c>
      <c r="H660" s="16"/>
      <c r="I660" s="20"/>
      <c r="J660" s="20"/>
      <c r="K660" s="20"/>
      <c r="L660" s="20"/>
      <c r="M660" s="20"/>
      <c r="N660" s="20"/>
      <c r="O660" s="20"/>
      <c r="P660" s="20"/>
      <c r="Q660" s="20"/>
      <c r="R660" s="20"/>
      <c r="S660" s="20"/>
      <c r="T660" s="20"/>
      <c r="U660" s="20"/>
      <c r="V660" s="20"/>
      <c r="W660" s="20"/>
      <c r="X660" s="20"/>
      <c r="Y660" s="20"/>
      <c r="Z660" s="20"/>
      <c r="AA660" s="20"/>
    </row>
    <row r="661" spans="1:27" ht="226.2" x14ac:dyDescent="0.25">
      <c r="A661" s="16"/>
      <c r="B661" s="20" t="b">
        <f ca="1">IFERROR(__xludf.DUMMYFUNCTION("if(D661=iferror(filter('Character Sheet'!D$13:D3002,'Character Sheet'!D$13:D3002=D661),""""),True,False)"),FALSE)</f>
        <v>0</v>
      </c>
      <c r="C661" s="20">
        <v>600</v>
      </c>
      <c r="D661" s="2" t="s">
        <v>1510</v>
      </c>
      <c r="E661" s="2" t="s">
        <v>87</v>
      </c>
      <c r="F661" s="20" t="s">
        <v>56</v>
      </c>
      <c r="G661" s="2" t="s">
        <v>1511</v>
      </c>
      <c r="H661" s="16"/>
      <c r="I661" s="20"/>
      <c r="J661" s="20"/>
      <c r="K661" s="20"/>
      <c r="L661" s="20"/>
      <c r="M661" s="20"/>
      <c r="N661" s="20"/>
      <c r="O661" s="20"/>
      <c r="P661" s="20"/>
      <c r="Q661" s="20"/>
      <c r="R661" s="20"/>
      <c r="S661" s="20"/>
      <c r="T661" s="20"/>
      <c r="U661" s="20"/>
      <c r="V661" s="20"/>
      <c r="W661" s="20"/>
      <c r="X661" s="20"/>
      <c r="Y661" s="20"/>
      <c r="Z661" s="20"/>
      <c r="AA661" s="20"/>
    </row>
    <row r="662" spans="1:27" ht="69.599999999999994" x14ac:dyDescent="0.25">
      <c r="A662" s="16"/>
      <c r="B662" s="20" t="b">
        <f ca="1">IFERROR(__xludf.DUMMYFUNCTION("if(D662=iferror(filter('Character Sheet'!D$13:D3002,'Character Sheet'!D$13:D3002=D662),""""),True,False)"),FALSE)</f>
        <v>0</v>
      </c>
      <c r="C662" s="20">
        <v>600</v>
      </c>
      <c r="D662" s="2" t="s">
        <v>1512</v>
      </c>
      <c r="E662" s="2" t="s">
        <v>100</v>
      </c>
      <c r="F662" s="20" t="s">
        <v>56</v>
      </c>
      <c r="G662" s="2" t="s">
        <v>1513</v>
      </c>
      <c r="H662" s="16"/>
      <c r="I662" s="20"/>
      <c r="J662" s="20"/>
      <c r="K662" s="20"/>
      <c r="L662" s="20"/>
      <c r="M662" s="20"/>
      <c r="N662" s="20"/>
      <c r="O662" s="20"/>
      <c r="P662" s="20"/>
      <c r="Q662" s="20"/>
      <c r="R662" s="20"/>
      <c r="S662" s="20"/>
      <c r="T662" s="20"/>
      <c r="U662" s="20"/>
      <c r="V662" s="20"/>
      <c r="W662" s="20"/>
      <c r="X662" s="20"/>
      <c r="Y662" s="20"/>
      <c r="Z662" s="20"/>
      <c r="AA662" s="20"/>
    </row>
    <row r="663" spans="1:27" ht="348" x14ac:dyDescent="0.25">
      <c r="A663" s="16"/>
      <c r="B663" s="20" t="b">
        <f ca="1">IFERROR(__xludf.DUMMYFUNCTION("if(D663=iferror(filter('Character Sheet'!D$13:D3002,'Character Sheet'!D$13:D3002=D663),""""),True,False)"),FALSE)</f>
        <v>0</v>
      </c>
      <c r="C663" s="20">
        <v>600</v>
      </c>
      <c r="D663" s="2" t="s">
        <v>1514</v>
      </c>
      <c r="E663" s="2" t="s">
        <v>230</v>
      </c>
      <c r="F663" s="20" t="s">
        <v>56</v>
      </c>
      <c r="G663" s="2" t="s">
        <v>1515</v>
      </c>
      <c r="H663" s="16"/>
      <c r="I663" s="20"/>
      <c r="J663" s="20"/>
      <c r="K663" s="20"/>
      <c r="L663" s="20"/>
      <c r="M663" s="20"/>
      <c r="N663" s="20"/>
      <c r="O663" s="20"/>
      <c r="P663" s="20"/>
      <c r="Q663" s="20"/>
      <c r="R663" s="20"/>
      <c r="S663" s="20"/>
      <c r="T663" s="20"/>
      <c r="U663" s="20"/>
      <c r="V663" s="20"/>
      <c r="W663" s="20"/>
      <c r="X663" s="20"/>
      <c r="Y663" s="20"/>
      <c r="Z663" s="20"/>
      <c r="AA663" s="20"/>
    </row>
    <row r="664" spans="1:27" ht="174" x14ac:dyDescent="0.25">
      <c r="A664" s="16"/>
      <c r="B664" s="20" t="b">
        <f ca="1">IFERROR(__xludf.DUMMYFUNCTION("if(D664=iferror(filter('Character Sheet'!D$13:D3002,'Character Sheet'!D$13:D3002=D664),""""),True,False)"),FALSE)</f>
        <v>0</v>
      </c>
      <c r="C664" s="20">
        <v>600</v>
      </c>
      <c r="D664" s="2" t="s">
        <v>1516</v>
      </c>
      <c r="E664" s="2" t="s">
        <v>1217</v>
      </c>
      <c r="F664" s="20" t="s">
        <v>56</v>
      </c>
      <c r="G664" s="2" t="s">
        <v>1517</v>
      </c>
      <c r="H664" s="16"/>
      <c r="I664" s="20"/>
      <c r="J664" s="20"/>
      <c r="K664" s="20"/>
      <c r="L664" s="20"/>
      <c r="M664" s="20"/>
      <c r="N664" s="20"/>
      <c r="O664" s="20"/>
      <c r="P664" s="20"/>
      <c r="Q664" s="20"/>
      <c r="R664" s="20"/>
      <c r="S664" s="20"/>
      <c r="T664" s="20"/>
      <c r="U664" s="20"/>
      <c r="V664" s="20"/>
      <c r="W664" s="20"/>
      <c r="X664" s="20"/>
      <c r="Y664" s="20"/>
      <c r="Z664" s="20"/>
      <c r="AA664" s="20"/>
    </row>
    <row r="665" spans="1:27" ht="400.2" x14ac:dyDescent="0.25">
      <c r="A665" s="16"/>
      <c r="B665" s="20" t="b">
        <f ca="1">IFERROR(__xludf.DUMMYFUNCTION("if(D665=iferror(filter('Character Sheet'!D$13:D3002,'Character Sheet'!D$13:D3002=D665),""""),True,False)"),FALSE)</f>
        <v>0</v>
      </c>
      <c r="C665" s="20">
        <v>600</v>
      </c>
      <c r="D665" s="2" t="s">
        <v>1518</v>
      </c>
      <c r="E665" s="2" t="s">
        <v>394</v>
      </c>
      <c r="F665" s="20" t="s">
        <v>56</v>
      </c>
      <c r="G665" s="2" t="s">
        <v>1519</v>
      </c>
      <c r="H665" s="16"/>
      <c r="I665" s="20"/>
      <c r="J665" s="20"/>
      <c r="K665" s="20"/>
      <c r="L665" s="20"/>
      <c r="M665" s="20"/>
      <c r="N665" s="20"/>
      <c r="O665" s="20"/>
      <c r="P665" s="20"/>
      <c r="Q665" s="20"/>
      <c r="R665" s="20"/>
      <c r="S665" s="20"/>
      <c r="T665" s="20"/>
      <c r="U665" s="20"/>
      <c r="V665" s="20"/>
      <c r="W665" s="20"/>
      <c r="X665" s="20"/>
      <c r="Y665" s="20"/>
      <c r="Z665" s="20"/>
      <c r="AA665" s="20"/>
    </row>
    <row r="666" spans="1:27" ht="226.2" x14ac:dyDescent="0.25">
      <c r="A666" s="16"/>
      <c r="B666" s="20" t="b">
        <f ca="1">IFERROR(__xludf.DUMMYFUNCTION("if(D666=iferror(filter('Character Sheet'!D$13:D3002,'Character Sheet'!D$13:D3002=D666),""""),True,False)"),FALSE)</f>
        <v>0</v>
      </c>
      <c r="C666" s="20">
        <v>600</v>
      </c>
      <c r="D666" s="2" t="s">
        <v>1520</v>
      </c>
      <c r="E666" s="2" t="s">
        <v>124</v>
      </c>
      <c r="F666" s="20" t="s">
        <v>56</v>
      </c>
      <c r="G666" s="2" t="s">
        <v>1521</v>
      </c>
      <c r="H666" s="16"/>
      <c r="I666" s="20"/>
      <c r="J666" s="20"/>
      <c r="K666" s="20"/>
      <c r="L666" s="20"/>
      <c r="M666" s="20"/>
      <c r="N666" s="20"/>
      <c r="O666" s="20"/>
      <c r="P666" s="20"/>
      <c r="Q666" s="20"/>
      <c r="R666" s="20"/>
      <c r="S666" s="20"/>
      <c r="T666" s="20"/>
      <c r="U666" s="20"/>
      <c r="V666" s="20"/>
      <c r="W666" s="20"/>
      <c r="X666" s="20"/>
      <c r="Y666" s="20"/>
      <c r="Z666" s="20"/>
      <c r="AA666" s="20"/>
    </row>
    <row r="667" spans="1:27" ht="191.4" x14ac:dyDescent="0.25">
      <c r="A667" s="16"/>
      <c r="B667" s="20" t="b">
        <f ca="1">IFERROR(__xludf.DUMMYFUNCTION("if(D667=iferror(filter('Character Sheet'!D$13:D3002,'Character Sheet'!D$13:D3002=D667),""""),True,False)"),FALSE)</f>
        <v>0</v>
      </c>
      <c r="C667" s="20">
        <v>600</v>
      </c>
      <c r="D667" s="2" t="s">
        <v>1522</v>
      </c>
      <c r="E667" s="2" t="s">
        <v>381</v>
      </c>
      <c r="F667" s="20" t="s">
        <v>56</v>
      </c>
      <c r="G667" s="2" t="s">
        <v>1523</v>
      </c>
      <c r="H667" s="16"/>
      <c r="I667" s="20"/>
      <c r="J667" s="20"/>
      <c r="K667" s="20"/>
      <c r="L667" s="20"/>
      <c r="M667" s="20"/>
      <c r="N667" s="20"/>
      <c r="O667" s="20"/>
      <c r="P667" s="20"/>
      <c r="Q667" s="20"/>
      <c r="R667" s="20"/>
      <c r="S667" s="20"/>
      <c r="T667" s="20"/>
      <c r="U667" s="20"/>
      <c r="V667" s="20"/>
      <c r="W667" s="20"/>
      <c r="X667" s="20"/>
      <c r="Y667" s="20"/>
      <c r="Z667" s="20"/>
      <c r="AA667" s="20"/>
    </row>
    <row r="668" spans="1:27" ht="104.4" x14ac:dyDescent="0.25">
      <c r="A668" s="16"/>
      <c r="B668" s="20" t="b">
        <f ca="1">IFERROR(__xludf.DUMMYFUNCTION("if(D668=iferror(filter('Character Sheet'!D$13:D3002,'Character Sheet'!D$13:D3002=D668),""""),True,False)"),TRUE)</f>
        <v>1</v>
      </c>
      <c r="C668" s="20">
        <v>600</v>
      </c>
      <c r="D668" s="2" t="s">
        <v>42</v>
      </c>
      <c r="E668" s="2" t="s">
        <v>469</v>
      </c>
      <c r="F668" s="20" t="s">
        <v>56</v>
      </c>
      <c r="G668" s="2" t="s">
        <v>1524</v>
      </c>
      <c r="H668" s="16"/>
      <c r="I668" s="20"/>
      <c r="J668" s="20"/>
      <c r="K668" s="20"/>
      <c r="L668" s="20"/>
      <c r="M668" s="20"/>
      <c r="N668" s="20"/>
      <c r="O668" s="20"/>
      <c r="P668" s="20"/>
      <c r="Q668" s="20"/>
      <c r="R668" s="20"/>
      <c r="S668" s="20"/>
      <c r="T668" s="20"/>
      <c r="U668" s="20"/>
      <c r="V668" s="20"/>
      <c r="W668" s="20"/>
      <c r="X668" s="20"/>
      <c r="Y668" s="20"/>
      <c r="Z668" s="20"/>
      <c r="AA668" s="20"/>
    </row>
    <row r="669" spans="1:27" ht="87" x14ac:dyDescent="0.25">
      <c r="A669" s="16"/>
      <c r="B669" s="20" t="b">
        <f ca="1">IFERROR(__xludf.DUMMYFUNCTION("if(D669=iferror(filter('Character Sheet'!D$13:D3002,'Character Sheet'!D$13:D3002=D669),""""),True,False)"),FALSE)</f>
        <v>0</v>
      </c>
      <c r="C669" s="20">
        <v>600</v>
      </c>
      <c r="D669" s="2" t="s">
        <v>1525</v>
      </c>
      <c r="E669" s="2" t="s">
        <v>173</v>
      </c>
      <c r="F669" s="20" t="s">
        <v>56</v>
      </c>
      <c r="G669" s="2" t="s">
        <v>1526</v>
      </c>
      <c r="H669" s="16"/>
      <c r="I669" s="20"/>
      <c r="J669" s="20"/>
      <c r="K669" s="20"/>
      <c r="L669" s="20"/>
      <c r="M669" s="20"/>
      <c r="N669" s="20"/>
      <c r="O669" s="20"/>
      <c r="P669" s="20"/>
      <c r="Q669" s="20"/>
      <c r="R669" s="20"/>
      <c r="S669" s="20"/>
      <c r="T669" s="20"/>
      <c r="U669" s="20"/>
      <c r="V669" s="20"/>
      <c r="W669" s="20"/>
      <c r="X669" s="20"/>
      <c r="Y669" s="20"/>
      <c r="Z669" s="20"/>
      <c r="AA669" s="20"/>
    </row>
    <row r="670" spans="1:27" ht="174" x14ac:dyDescent="0.25">
      <c r="A670" s="16"/>
      <c r="B670" s="20" t="b">
        <f ca="1">IFERROR(__xludf.DUMMYFUNCTION("if(D670=iferror(filter('Character Sheet'!D$13:D3002,'Character Sheet'!D$13:D3002=D670),""""),True,False)"),FALSE)</f>
        <v>0</v>
      </c>
      <c r="C670" s="20">
        <v>600</v>
      </c>
      <c r="D670" s="2" t="s">
        <v>1527</v>
      </c>
      <c r="E670" s="2" t="s">
        <v>173</v>
      </c>
      <c r="F670" s="20" t="s">
        <v>56</v>
      </c>
      <c r="G670" s="2" t="s">
        <v>1528</v>
      </c>
      <c r="H670" s="16"/>
      <c r="I670" s="20"/>
      <c r="J670" s="20"/>
      <c r="K670" s="20"/>
      <c r="L670" s="20"/>
      <c r="M670" s="20"/>
      <c r="N670" s="20"/>
      <c r="O670" s="20"/>
      <c r="P670" s="20"/>
      <c r="Q670" s="20"/>
      <c r="R670" s="20"/>
      <c r="S670" s="20"/>
      <c r="T670" s="20"/>
      <c r="U670" s="20"/>
      <c r="V670" s="20"/>
      <c r="W670" s="20"/>
      <c r="X670" s="20"/>
      <c r="Y670" s="20"/>
      <c r="Z670" s="20"/>
      <c r="AA670" s="20"/>
    </row>
    <row r="671" spans="1:27" ht="226.2" x14ac:dyDescent="0.25">
      <c r="A671" s="16"/>
      <c r="B671" s="20" t="b">
        <f ca="1">IFERROR(__xludf.DUMMYFUNCTION("if(D671=iferror(filter('Character Sheet'!D$13:D3002,'Character Sheet'!D$13:D3002=D671),""""),True,False)"),FALSE)</f>
        <v>0</v>
      </c>
      <c r="C671" s="20">
        <v>600</v>
      </c>
      <c r="D671" s="2" t="s">
        <v>1529</v>
      </c>
      <c r="E671" s="2" t="s">
        <v>112</v>
      </c>
      <c r="F671" s="20" t="s">
        <v>56</v>
      </c>
      <c r="G671" s="2" t="s">
        <v>1530</v>
      </c>
      <c r="H671" s="16"/>
      <c r="I671" s="20"/>
      <c r="J671" s="20"/>
      <c r="K671" s="20"/>
      <c r="L671" s="20"/>
      <c r="M671" s="20"/>
      <c r="N671" s="20"/>
      <c r="O671" s="20"/>
      <c r="P671" s="20"/>
      <c r="Q671" s="20"/>
      <c r="R671" s="20"/>
      <c r="S671" s="20"/>
      <c r="T671" s="20"/>
      <c r="U671" s="20"/>
      <c r="V671" s="20"/>
      <c r="W671" s="20"/>
      <c r="X671" s="20"/>
      <c r="Y671" s="20"/>
      <c r="Z671" s="20"/>
      <c r="AA671" s="20"/>
    </row>
    <row r="672" spans="1:27" ht="104.4" x14ac:dyDescent="0.25">
      <c r="A672" s="16"/>
      <c r="B672" s="20" t="b">
        <f ca="1">IFERROR(__xludf.DUMMYFUNCTION("if(D672=iferror(filter('Character Sheet'!D$13:D3002,'Character Sheet'!D$13:D3002=D672),""""),True,False)"),FALSE)</f>
        <v>0</v>
      </c>
      <c r="C672" s="20">
        <v>600</v>
      </c>
      <c r="D672" s="2" t="s">
        <v>1531</v>
      </c>
      <c r="E672" s="2" t="s">
        <v>168</v>
      </c>
      <c r="F672" s="20" t="s">
        <v>56</v>
      </c>
      <c r="G672" s="2" t="s">
        <v>1532</v>
      </c>
      <c r="H672" s="16"/>
      <c r="I672" s="20"/>
      <c r="J672" s="20"/>
      <c r="K672" s="20"/>
      <c r="L672" s="20"/>
      <c r="M672" s="20"/>
      <c r="N672" s="20"/>
      <c r="O672" s="20"/>
      <c r="P672" s="20"/>
      <c r="Q672" s="20"/>
      <c r="R672" s="20"/>
      <c r="S672" s="20"/>
      <c r="T672" s="20"/>
      <c r="U672" s="20"/>
      <c r="V672" s="20"/>
      <c r="W672" s="20"/>
      <c r="X672" s="20"/>
      <c r="Y672" s="20"/>
      <c r="Z672" s="20"/>
      <c r="AA672" s="20"/>
    </row>
    <row r="673" spans="1:27" ht="365.4" x14ac:dyDescent="0.25">
      <c r="A673" s="16"/>
      <c r="B673" s="20" t="b">
        <f ca="1">IFERROR(__xludf.DUMMYFUNCTION("if(D673=iferror(filter('Character Sheet'!D$13:D3002,'Character Sheet'!D$13:D3002=D673),""""),True,False)"),FALSE)</f>
        <v>0</v>
      </c>
      <c r="C673" s="20">
        <v>600</v>
      </c>
      <c r="D673" s="2" t="s">
        <v>1533</v>
      </c>
      <c r="E673" s="2" t="s">
        <v>230</v>
      </c>
      <c r="F673" s="20" t="s">
        <v>56</v>
      </c>
      <c r="G673" s="2" t="s">
        <v>1534</v>
      </c>
      <c r="H673" s="16"/>
      <c r="I673" s="20"/>
      <c r="J673" s="20"/>
      <c r="K673" s="20"/>
      <c r="L673" s="20"/>
      <c r="M673" s="20"/>
      <c r="N673" s="20"/>
      <c r="O673" s="20"/>
      <c r="P673" s="20"/>
      <c r="Q673" s="20"/>
      <c r="R673" s="20"/>
      <c r="S673" s="20"/>
      <c r="T673" s="20"/>
      <c r="U673" s="20"/>
      <c r="V673" s="20"/>
      <c r="W673" s="20"/>
      <c r="X673" s="20"/>
      <c r="Y673" s="20"/>
      <c r="Z673" s="20"/>
      <c r="AA673" s="20"/>
    </row>
    <row r="674" spans="1:27" ht="156.6" x14ac:dyDescent="0.25">
      <c r="A674" s="16"/>
      <c r="B674" s="20" t="b">
        <f ca="1">IFERROR(__xludf.DUMMYFUNCTION("if(D674=iferror(filter('Character Sheet'!D$13:D3002,'Character Sheet'!D$13:D3002=D674),""""),True,False)"),FALSE)</f>
        <v>0</v>
      </c>
      <c r="C674" s="20">
        <v>600</v>
      </c>
      <c r="D674" s="2" t="s">
        <v>1535</v>
      </c>
      <c r="E674" s="2" t="s">
        <v>225</v>
      </c>
      <c r="F674" s="20" t="s">
        <v>56</v>
      </c>
      <c r="G674" s="2" t="s">
        <v>1536</v>
      </c>
      <c r="H674" s="16"/>
      <c r="I674" s="20"/>
      <c r="J674" s="20"/>
      <c r="K674" s="20"/>
      <c r="L674" s="20"/>
      <c r="M674" s="20"/>
      <c r="N674" s="20"/>
      <c r="O674" s="20"/>
      <c r="P674" s="20"/>
      <c r="Q674" s="20"/>
      <c r="R674" s="20"/>
      <c r="S674" s="20"/>
      <c r="T674" s="20"/>
      <c r="U674" s="20"/>
      <c r="V674" s="20"/>
      <c r="W674" s="20"/>
      <c r="X674" s="20"/>
      <c r="Y674" s="20"/>
      <c r="Z674" s="20"/>
      <c r="AA674" s="20"/>
    </row>
    <row r="675" spans="1:27" ht="121.8" x14ac:dyDescent="0.25">
      <c r="A675" s="16"/>
      <c r="B675" s="20" t="b">
        <f ca="1">IFERROR(__xludf.DUMMYFUNCTION("if(D675=iferror(filter('Character Sheet'!D$13:D3002,'Character Sheet'!D$13:D3002=D675),""""),True,False)"),FALSE)</f>
        <v>0</v>
      </c>
      <c r="C675" s="20">
        <v>600</v>
      </c>
      <c r="D675" s="2" t="s">
        <v>1537</v>
      </c>
      <c r="E675" s="2" t="s">
        <v>642</v>
      </c>
      <c r="F675" s="20" t="s">
        <v>56</v>
      </c>
      <c r="G675" s="2" t="s">
        <v>1538</v>
      </c>
      <c r="H675" s="16"/>
      <c r="I675" s="20"/>
      <c r="J675" s="20"/>
      <c r="K675" s="20"/>
      <c r="L675" s="20"/>
      <c r="M675" s="20"/>
      <c r="N675" s="20"/>
      <c r="O675" s="20"/>
      <c r="P675" s="20"/>
      <c r="Q675" s="20"/>
      <c r="R675" s="20"/>
      <c r="S675" s="20"/>
      <c r="T675" s="20"/>
      <c r="U675" s="20"/>
      <c r="V675" s="20"/>
      <c r="W675" s="20"/>
      <c r="X675" s="20"/>
      <c r="Y675" s="20"/>
      <c r="Z675" s="20"/>
      <c r="AA675" s="20"/>
    </row>
    <row r="676" spans="1:27" ht="139.19999999999999" x14ac:dyDescent="0.25">
      <c r="A676" s="16"/>
      <c r="B676" s="20" t="b">
        <f ca="1">IFERROR(__xludf.DUMMYFUNCTION("if(D676=iferror(filter('Character Sheet'!D$13:D3002,'Character Sheet'!D$13:D3002=D676),""""),True,False)"),FALSE)</f>
        <v>0</v>
      </c>
      <c r="C676" s="20">
        <v>600</v>
      </c>
      <c r="D676" s="2" t="s">
        <v>1539</v>
      </c>
      <c r="E676" s="2" t="s">
        <v>369</v>
      </c>
      <c r="F676" s="20" t="s">
        <v>56</v>
      </c>
      <c r="G676" s="2" t="s">
        <v>1540</v>
      </c>
      <c r="H676" s="16"/>
      <c r="I676" s="20"/>
      <c r="J676" s="20"/>
      <c r="K676" s="20"/>
      <c r="L676" s="20"/>
      <c r="M676" s="20"/>
      <c r="N676" s="20"/>
      <c r="O676" s="20"/>
      <c r="P676" s="20"/>
      <c r="Q676" s="20"/>
      <c r="R676" s="20"/>
      <c r="S676" s="20"/>
      <c r="T676" s="20"/>
      <c r="U676" s="20"/>
      <c r="V676" s="20"/>
      <c r="W676" s="20"/>
      <c r="X676" s="20"/>
      <c r="Y676" s="20"/>
      <c r="Z676" s="20"/>
      <c r="AA676" s="20"/>
    </row>
    <row r="677" spans="1:27" ht="104.4" x14ac:dyDescent="0.25">
      <c r="A677" s="16"/>
      <c r="B677" s="20" t="b">
        <f ca="1">IFERROR(__xludf.DUMMYFUNCTION("if(D677=iferror(filter('Character Sheet'!D$13:D3002,'Character Sheet'!D$13:D3002=D677),""""),True,False)"),FALSE)</f>
        <v>0</v>
      </c>
      <c r="C677" s="20">
        <v>600</v>
      </c>
      <c r="D677" s="2" t="s">
        <v>1541</v>
      </c>
      <c r="E677" s="2" t="s">
        <v>738</v>
      </c>
      <c r="F677" s="20" t="s">
        <v>56</v>
      </c>
      <c r="G677" s="2" t="s">
        <v>1542</v>
      </c>
      <c r="H677" s="16"/>
      <c r="I677" s="20"/>
      <c r="J677" s="20"/>
      <c r="K677" s="20"/>
      <c r="L677" s="20"/>
      <c r="M677" s="20"/>
      <c r="N677" s="20"/>
      <c r="O677" s="20"/>
      <c r="P677" s="20"/>
      <c r="Q677" s="20"/>
      <c r="R677" s="20"/>
      <c r="S677" s="20"/>
      <c r="T677" s="20"/>
      <c r="U677" s="20"/>
      <c r="V677" s="20"/>
      <c r="W677" s="20"/>
      <c r="X677" s="20"/>
      <c r="Y677" s="20"/>
      <c r="Z677" s="20"/>
      <c r="AA677" s="20"/>
    </row>
    <row r="678" spans="1:27" ht="104.4" x14ac:dyDescent="0.25">
      <c r="A678" s="16"/>
      <c r="B678" s="20" t="b">
        <f ca="1">IFERROR(__xludf.DUMMYFUNCTION("if(D678=iferror(filter('Character Sheet'!D$13:D3002,'Character Sheet'!D$13:D3002=D678),""""),True,False)"),FALSE)</f>
        <v>0</v>
      </c>
      <c r="C678" s="20">
        <v>600</v>
      </c>
      <c r="D678" s="2" t="s">
        <v>1543</v>
      </c>
      <c r="E678" s="2" t="s">
        <v>378</v>
      </c>
      <c r="F678" s="20" t="s">
        <v>56</v>
      </c>
      <c r="G678" s="2" t="s">
        <v>1544</v>
      </c>
      <c r="H678" s="16"/>
      <c r="I678" s="20"/>
      <c r="J678" s="20"/>
      <c r="K678" s="20"/>
      <c r="L678" s="20"/>
      <c r="M678" s="20"/>
      <c r="N678" s="20"/>
      <c r="O678" s="20"/>
      <c r="P678" s="20"/>
      <c r="Q678" s="20"/>
      <c r="R678" s="20"/>
      <c r="S678" s="20"/>
      <c r="T678" s="20"/>
      <c r="U678" s="20"/>
      <c r="V678" s="20"/>
      <c r="W678" s="20"/>
      <c r="X678" s="20"/>
      <c r="Y678" s="20"/>
      <c r="Z678" s="20"/>
      <c r="AA678" s="20"/>
    </row>
    <row r="679" spans="1:27" ht="226.2" x14ac:dyDescent="0.25">
      <c r="A679" s="16"/>
      <c r="B679" s="20" t="b">
        <f ca="1">IFERROR(__xludf.DUMMYFUNCTION("if(D679=iferror(filter('Character Sheet'!D$13:D3002,'Character Sheet'!D$13:D3002=D679),""""),True,False)"),FALSE)</f>
        <v>0</v>
      </c>
      <c r="C679" s="20">
        <v>600</v>
      </c>
      <c r="D679" s="2" t="s">
        <v>1545</v>
      </c>
      <c r="E679" s="2" t="s">
        <v>350</v>
      </c>
      <c r="F679" s="20" t="s">
        <v>56</v>
      </c>
      <c r="G679" s="2" t="s">
        <v>1546</v>
      </c>
      <c r="H679" s="16"/>
      <c r="I679" s="20"/>
      <c r="J679" s="20"/>
      <c r="K679" s="20"/>
      <c r="L679" s="20"/>
      <c r="M679" s="20"/>
      <c r="N679" s="20"/>
      <c r="O679" s="20"/>
      <c r="P679" s="20"/>
      <c r="Q679" s="20"/>
      <c r="R679" s="20"/>
      <c r="S679" s="20"/>
      <c r="T679" s="20"/>
      <c r="U679" s="20"/>
      <c r="V679" s="20"/>
      <c r="W679" s="20"/>
      <c r="X679" s="20"/>
      <c r="Y679" s="20"/>
      <c r="Z679" s="20"/>
      <c r="AA679" s="20"/>
    </row>
    <row r="680" spans="1:27" ht="295.8" x14ac:dyDescent="0.25">
      <c r="A680" s="16"/>
      <c r="B680" s="20" t="b">
        <f ca="1">IFERROR(__xludf.DUMMYFUNCTION("if(D680=iferror(filter('Character Sheet'!D$13:D3002,'Character Sheet'!D$13:D3002=D680),""""),True,False)"),FALSE)</f>
        <v>0</v>
      </c>
      <c r="C680" s="20">
        <v>600</v>
      </c>
      <c r="D680" s="2" t="s">
        <v>1547</v>
      </c>
      <c r="E680" s="2" t="s">
        <v>1052</v>
      </c>
      <c r="F680" s="20" t="s">
        <v>56</v>
      </c>
      <c r="G680" s="2" t="s">
        <v>1548</v>
      </c>
      <c r="H680" s="16"/>
      <c r="I680" s="20"/>
      <c r="J680" s="20"/>
      <c r="K680" s="20"/>
      <c r="L680" s="20"/>
      <c r="M680" s="20"/>
      <c r="N680" s="20"/>
      <c r="O680" s="20"/>
      <c r="P680" s="20"/>
      <c r="Q680" s="20"/>
      <c r="R680" s="20"/>
      <c r="S680" s="20"/>
      <c r="T680" s="20"/>
      <c r="U680" s="20"/>
      <c r="V680" s="20"/>
      <c r="W680" s="20"/>
      <c r="X680" s="20"/>
      <c r="Y680" s="20"/>
      <c r="Z680" s="20"/>
      <c r="AA680" s="20"/>
    </row>
    <row r="681" spans="1:27" ht="348" x14ac:dyDescent="0.25">
      <c r="A681" s="16"/>
      <c r="B681" s="20" t="b">
        <f ca="1">IFERROR(__xludf.DUMMYFUNCTION("if(D681=iferror(filter('Character Sheet'!D$13:D3002,'Character Sheet'!D$13:D3002=D681),""""),True,False)"),FALSE)</f>
        <v>0</v>
      </c>
      <c r="C681" s="20">
        <v>600</v>
      </c>
      <c r="D681" s="2" t="s">
        <v>1549</v>
      </c>
      <c r="E681" s="2" t="s">
        <v>1244</v>
      </c>
      <c r="F681" s="20" t="s">
        <v>56</v>
      </c>
      <c r="G681" s="2" t="s">
        <v>1550</v>
      </c>
      <c r="H681" s="16"/>
      <c r="I681" s="20"/>
      <c r="J681" s="20"/>
      <c r="K681" s="20"/>
      <c r="L681" s="20"/>
      <c r="M681" s="20"/>
      <c r="N681" s="20"/>
      <c r="O681" s="20"/>
      <c r="P681" s="20"/>
      <c r="Q681" s="20"/>
      <c r="R681" s="20"/>
      <c r="S681" s="20"/>
      <c r="T681" s="20"/>
      <c r="U681" s="20"/>
      <c r="V681" s="20"/>
      <c r="W681" s="20"/>
      <c r="X681" s="20"/>
      <c r="Y681" s="20"/>
      <c r="Z681" s="20"/>
      <c r="AA681" s="20"/>
    </row>
    <row r="682" spans="1:27" ht="104.4" x14ac:dyDescent="0.25">
      <c r="A682" s="16"/>
      <c r="B682" s="20" t="b">
        <f ca="1">IFERROR(__xludf.DUMMYFUNCTION("if(D682=iferror(filter('Character Sheet'!D$13:D3002,'Character Sheet'!D$13:D3002=D682),""""),True,False)"),FALSE)</f>
        <v>0</v>
      </c>
      <c r="C682" s="20">
        <v>600</v>
      </c>
      <c r="D682" s="2" t="s">
        <v>1551</v>
      </c>
      <c r="E682" s="2" t="s">
        <v>401</v>
      </c>
      <c r="F682" s="20" t="s">
        <v>56</v>
      </c>
      <c r="G682" s="2" t="s">
        <v>1552</v>
      </c>
      <c r="H682" s="16"/>
      <c r="I682" s="20"/>
      <c r="J682" s="20"/>
      <c r="K682" s="20"/>
      <c r="L682" s="20"/>
      <c r="M682" s="20"/>
      <c r="N682" s="20"/>
      <c r="O682" s="20"/>
      <c r="P682" s="20"/>
      <c r="Q682" s="20"/>
      <c r="R682" s="20"/>
      <c r="S682" s="20"/>
      <c r="T682" s="20"/>
      <c r="U682" s="20"/>
      <c r="V682" s="20"/>
      <c r="W682" s="20"/>
      <c r="X682" s="20"/>
      <c r="Y682" s="20"/>
      <c r="Z682" s="20"/>
      <c r="AA682" s="20"/>
    </row>
    <row r="683" spans="1:27" ht="121.8" x14ac:dyDescent="0.25">
      <c r="A683" s="16"/>
      <c r="B683" s="20" t="b">
        <f ca="1">IFERROR(__xludf.DUMMYFUNCTION("if(D683=iferror(filter('Character Sheet'!D$13:D3002,'Character Sheet'!D$13:D3002=D683),""""),True,False)"),FALSE)</f>
        <v>0</v>
      </c>
      <c r="C683" s="20">
        <v>600</v>
      </c>
      <c r="D683" s="2" t="s">
        <v>1553</v>
      </c>
      <c r="E683" s="2" t="s">
        <v>1554</v>
      </c>
      <c r="F683" s="20" t="s">
        <v>56</v>
      </c>
      <c r="G683" s="2" t="s">
        <v>1555</v>
      </c>
      <c r="H683" s="16"/>
      <c r="I683" s="20"/>
      <c r="J683" s="20"/>
      <c r="K683" s="20"/>
      <c r="L683" s="20"/>
      <c r="M683" s="20"/>
      <c r="N683" s="20"/>
      <c r="O683" s="20"/>
      <c r="P683" s="20"/>
      <c r="Q683" s="20"/>
      <c r="R683" s="20"/>
      <c r="S683" s="20"/>
      <c r="T683" s="20"/>
      <c r="U683" s="20"/>
      <c r="V683" s="20"/>
      <c r="W683" s="20"/>
      <c r="X683" s="20"/>
      <c r="Y683" s="20"/>
      <c r="Z683" s="20"/>
      <c r="AA683" s="20"/>
    </row>
    <row r="684" spans="1:27" ht="139.19999999999999" x14ac:dyDescent="0.25">
      <c r="A684" s="16"/>
      <c r="B684" s="20" t="b">
        <f ca="1">IFERROR(__xludf.DUMMYFUNCTION("if(D684=iferror(filter('Character Sheet'!D$13:D3002,'Character Sheet'!D$13:D3002=D684),""""),True,False)"),FALSE)</f>
        <v>0</v>
      </c>
      <c r="C684" s="20">
        <v>600</v>
      </c>
      <c r="D684" s="2" t="s">
        <v>1556</v>
      </c>
      <c r="E684" s="2" t="s">
        <v>350</v>
      </c>
      <c r="F684" s="20" t="s">
        <v>56</v>
      </c>
      <c r="G684" s="2" t="s">
        <v>1557</v>
      </c>
      <c r="H684" s="16"/>
      <c r="I684" s="20"/>
      <c r="J684" s="20"/>
      <c r="K684" s="20"/>
      <c r="L684" s="20"/>
      <c r="M684" s="20"/>
      <c r="N684" s="20"/>
      <c r="O684" s="20"/>
      <c r="P684" s="20"/>
      <c r="Q684" s="20"/>
      <c r="R684" s="20"/>
      <c r="S684" s="20"/>
      <c r="T684" s="20"/>
      <c r="U684" s="20"/>
      <c r="V684" s="20"/>
      <c r="W684" s="20"/>
      <c r="X684" s="20"/>
      <c r="Y684" s="20"/>
      <c r="Z684" s="20"/>
      <c r="AA684" s="20"/>
    </row>
    <row r="685" spans="1:27" ht="121.8" x14ac:dyDescent="0.25">
      <c r="A685" s="16"/>
      <c r="B685" s="20" t="b">
        <f ca="1">IFERROR(__xludf.DUMMYFUNCTION("if(D685=iferror(filter('Character Sheet'!D$13:D3002,'Character Sheet'!D$13:D3002=D685),""""),True,False)"),FALSE)</f>
        <v>0</v>
      </c>
      <c r="C685" s="20">
        <v>600</v>
      </c>
      <c r="D685" s="2" t="s">
        <v>1558</v>
      </c>
      <c r="E685" s="2" t="s">
        <v>344</v>
      </c>
      <c r="F685" s="20" t="s">
        <v>56</v>
      </c>
      <c r="G685" s="2" t="s">
        <v>1559</v>
      </c>
      <c r="H685" s="16"/>
      <c r="I685" s="20"/>
      <c r="J685" s="20"/>
      <c r="K685" s="20"/>
      <c r="L685" s="20"/>
      <c r="M685" s="20"/>
      <c r="N685" s="20"/>
      <c r="O685" s="20"/>
      <c r="P685" s="20"/>
      <c r="Q685" s="20"/>
      <c r="R685" s="20"/>
      <c r="S685" s="20"/>
      <c r="T685" s="20"/>
      <c r="U685" s="20"/>
      <c r="V685" s="20"/>
      <c r="W685" s="20"/>
      <c r="X685" s="20"/>
      <c r="Y685" s="20"/>
      <c r="Z685" s="20"/>
      <c r="AA685" s="20"/>
    </row>
    <row r="686" spans="1:27" ht="278.39999999999998" x14ac:dyDescent="0.25">
      <c r="A686" s="16"/>
      <c r="B686" s="20" t="b">
        <f ca="1">IFERROR(__xludf.DUMMYFUNCTION("if(D686=iferror(filter('Character Sheet'!D$13:D3002,'Character Sheet'!D$13:D3002=D686),""""),True,False)"),TRUE)</f>
        <v>1</v>
      </c>
      <c r="C686" s="20">
        <v>600</v>
      </c>
      <c r="D686" s="2" t="s">
        <v>35</v>
      </c>
      <c r="E686" s="2" t="s">
        <v>1244</v>
      </c>
      <c r="F686" s="20" t="s">
        <v>56</v>
      </c>
      <c r="G686" s="2" t="s">
        <v>1560</v>
      </c>
      <c r="H686" s="16"/>
      <c r="I686" s="20"/>
      <c r="J686" s="20"/>
      <c r="K686" s="20"/>
      <c r="L686" s="20"/>
      <c r="M686" s="20"/>
      <c r="N686" s="20"/>
      <c r="O686" s="20"/>
      <c r="P686" s="20"/>
      <c r="Q686" s="20"/>
      <c r="R686" s="20"/>
      <c r="S686" s="20"/>
      <c r="T686" s="20"/>
      <c r="U686" s="20"/>
      <c r="V686" s="20"/>
      <c r="W686" s="20"/>
      <c r="X686" s="20"/>
      <c r="Y686" s="20"/>
      <c r="Z686" s="20"/>
      <c r="AA686" s="20"/>
    </row>
    <row r="687" spans="1:27" ht="174" x14ac:dyDescent="0.25">
      <c r="A687" s="16"/>
      <c r="B687" s="20" t="b">
        <f ca="1">IFERROR(__xludf.DUMMYFUNCTION("if(D687=iferror(filter('Character Sheet'!D$13:D3002,'Character Sheet'!D$13:D3002=D687),""""),True,False)"),FALSE)</f>
        <v>0</v>
      </c>
      <c r="C687" s="20">
        <v>600</v>
      </c>
      <c r="D687" s="2" t="s">
        <v>1561</v>
      </c>
      <c r="E687" s="2" t="s">
        <v>662</v>
      </c>
      <c r="F687" s="20" t="s">
        <v>56</v>
      </c>
      <c r="G687" s="2" t="s">
        <v>1562</v>
      </c>
      <c r="H687" s="16"/>
      <c r="I687" s="20"/>
      <c r="J687" s="20"/>
      <c r="K687" s="20"/>
      <c r="L687" s="20"/>
      <c r="M687" s="20"/>
      <c r="N687" s="20"/>
      <c r="O687" s="20"/>
      <c r="P687" s="20"/>
      <c r="Q687" s="20"/>
      <c r="R687" s="20"/>
      <c r="S687" s="20"/>
      <c r="T687" s="20"/>
      <c r="U687" s="20"/>
      <c r="V687" s="20"/>
      <c r="W687" s="20"/>
      <c r="X687" s="20"/>
      <c r="Y687" s="20"/>
      <c r="Z687" s="20"/>
      <c r="AA687" s="20"/>
    </row>
    <row r="688" spans="1:27" ht="191.4" x14ac:dyDescent="0.25">
      <c r="A688" s="16"/>
      <c r="B688" s="20" t="b">
        <f ca="1">IFERROR(__xludf.DUMMYFUNCTION("if(D688=iferror(filter('Character Sheet'!D$13:D3002,'Character Sheet'!D$13:D3002=D688),""""),True,False)"),TRUE)</f>
        <v>1</v>
      </c>
      <c r="C688" s="20">
        <v>600</v>
      </c>
      <c r="D688" s="2" t="s">
        <v>46</v>
      </c>
      <c r="E688" s="2" t="s">
        <v>225</v>
      </c>
      <c r="F688" s="20" t="s">
        <v>56</v>
      </c>
      <c r="G688" s="2" t="s">
        <v>1563</v>
      </c>
      <c r="H688" s="16"/>
      <c r="I688" s="20"/>
      <c r="J688" s="20"/>
      <c r="K688" s="20"/>
      <c r="L688" s="20"/>
      <c r="M688" s="20"/>
      <c r="N688" s="20"/>
      <c r="O688" s="20"/>
      <c r="P688" s="20"/>
      <c r="Q688" s="20"/>
      <c r="R688" s="20"/>
      <c r="S688" s="20"/>
      <c r="T688" s="20"/>
      <c r="U688" s="20"/>
      <c r="V688" s="20"/>
      <c r="W688" s="20"/>
      <c r="X688" s="20"/>
      <c r="Y688" s="20"/>
      <c r="Z688" s="20"/>
      <c r="AA688" s="20"/>
    </row>
    <row r="689" spans="1:27" ht="87" x14ac:dyDescent="0.25">
      <c r="A689" s="16"/>
      <c r="B689" s="20" t="b">
        <f ca="1">IFERROR(__xludf.DUMMYFUNCTION("if(D689=iferror(filter('Character Sheet'!D$13:D3002,'Character Sheet'!D$13:D3002=D689),""""),True,False)"),FALSE)</f>
        <v>0</v>
      </c>
      <c r="C689" s="20">
        <v>600</v>
      </c>
      <c r="D689" s="2" t="s">
        <v>1564</v>
      </c>
      <c r="E689" s="2" t="s">
        <v>378</v>
      </c>
      <c r="F689" s="20" t="s">
        <v>56</v>
      </c>
      <c r="G689" s="2" t="s">
        <v>1565</v>
      </c>
      <c r="H689" s="16"/>
      <c r="I689" s="20"/>
      <c r="J689" s="20"/>
      <c r="K689" s="20"/>
      <c r="L689" s="20"/>
      <c r="M689" s="20"/>
      <c r="N689" s="20"/>
      <c r="O689" s="20"/>
      <c r="P689" s="20"/>
      <c r="Q689" s="20"/>
      <c r="R689" s="20"/>
      <c r="S689" s="20"/>
      <c r="T689" s="20"/>
      <c r="U689" s="20"/>
      <c r="V689" s="20"/>
      <c r="W689" s="20"/>
      <c r="X689" s="20"/>
      <c r="Y689" s="20"/>
      <c r="Z689" s="20"/>
      <c r="AA689" s="20"/>
    </row>
    <row r="690" spans="1:27" ht="104.4" x14ac:dyDescent="0.25">
      <c r="A690" s="16"/>
      <c r="B690" s="20" t="b">
        <f ca="1">IFERROR(__xludf.DUMMYFUNCTION("if(D690=iferror(filter('Character Sheet'!D$13:D3002,'Character Sheet'!D$13:D3002=D690),""""),True,False)"),FALSE)</f>
        <v>0</v>
      </c>
      <c r="C690" s="20">
        <v>600</v>
      </c>
      <c r="D690" s="2" t="s">
        <v>1566</v>
      </c>
      <c r="E690" s="2" t="s">
        <v>642</v>
      </c>
      <c r="F690" s="20" t="s">
        <v>56</v>
      </c>
      <c r="G690" s="2" t="s">
        <v>1567</v>
      </c>
      <c r="H690" s="16"/>
      <c r="I690" s="20"/>
      <c r="J690" s="20"/>
      <c r="K690" s="20"/>
      <c r="L690" s="20"/>
      <c r="M690" s="20"/>
      <c r="N690" s="20"/>
      <c r="O690" s="20"/>
      <c r="P690" s="20"/>
      <c r="Q690" s="20"/>
      <c r="R690" s="20"/>
      <c r="S690" s="20"/>
      <c r="T690" s="20"/>
      <c r="U690" s="20"/>
      <c r="V690" s="20"/>
      <c r="W690" s="20"/>
      <c r="X690" s="20"/>
      <c r="Y690" s="20"/>
      <c r="Z690" s="20"/>
      <c r="AA690" s="20"/>
    </row>
    <row r="691" spans="1:27" ht="243.6" x14ac:dyDescent="0.25">
      <c r="A691" s="16"/>
      <c r="B691" s="20" t="b">
        <f ca="1">IFERROR(__xludf.DUMMYFUNCTION("if(D691=iferror(filter('Character Sheet'!D$13:D3002,'Character Sheet'!D$13:D3002=D691),""""),True,False)"),FALSE)</f>
        <v>0</v>
      </c>
      <c r="C691" s="20">
        <v>600</v>
      </c>
      <c r="D691" s="2" t="s">
        <v>1568</v>
      </c>
      <c r="E691" s="2" t="s">
        <v>124</v>
      </c>
      <c r="F691" s="20" t="s">
        <v>56</v>
      </c>
      <c r="G691" s="2" t="s">
        <v>1569</v>
      </c>
      <c r="H691" s="16"/>
      <c r="I691" s="20"/>
      <c r="J691" s="20"/>
      <c r="K691" s="20"/>
      <c r="L691" s="20"/>
      <c r="M691" s="20"/>
      <c r="N691" s="20"/>
      <c r="O691" s="20"/>
      <c r="P691" s="20"/>
      <c r="Q691" s="20"/>
      <c r="R691" s="20"/>
      <c r="S691" s="20"/>
      <c r="T691" s="20"/>
      <c r="U691" s="20"/>
      <c r="V691" s="20"/>
      <c r="W691" s="20"/>
      <c r="X691" s="20"/>
      <c r="Y691" s="20"/>
      <c r="Z691" s="20"/>
      <c r="AA691" s="20"/>
    </row>
    <row r="692" spans="1:27" ht="226.2" x14ac:dyDescent="0.25">
      <c r="A692" s="16"/>
      <c r="B692" s="20" t="b">
        <f ca="1">IFERROR(__xludf.DUMMYFUNCTION("if(D692=iferror(filter('Character Sheet'!D$13:D3002,'Character Sheet'!D$13:D3002=D692),""""),True,False)"),FALSE)</f>
        <v>0</v>
      </c>
      <c r="C692" s="20">
        <v>600</v>
      </c>
      <c r="D692" s="2" t="s">
        <v>1570</v>
      </c>
      <c r="E692" s="2" t="s">
        <v>381</v>
      </c>
      <c r="F692" s="20" t="s">
        <v>56</v>
      </c>
      <c r="G692" s="2" t="s">
        <v>1571</v>
      </c>
      <c r="H692" s="16"/>
      <c r="I692" s="20"/>
      <c r="J692" s="20"/>
      <c r="K692" s="20"/>
      <c r="L692" s="20"/>
      <c r="M692" s="20"/>
      <c r="N692" s="20"/>
      <c r="O692" s="20"/>
      <c r="P692" s="20"/>
      <c r="Q692" s="20"/>
      <c r="R692" s="20"/>
      <c r="S692" s="20"/>
      <c r="T692" s="20"/>
      <c r="U692" s="20"/>
      <c r="V692" s="20"/>
      <c r="W692" s="20"/>
      <c r="X692" s="20"/>
      <c r="Y692" s="20"/>
      <c r="Z692" s="20"/>
      <c r="AA692" s="20"/>
    </row>
    <row r="693" spans="1:27" ht="226.2" x14ac:dyDescent="0.25">
      <c r="A693" s="16"/>
      <c r="B693" s="20" t="b">
        <f ca="1">IFERROR(__xludf.DUMMYFUNCTION("if(D693=iferror(filter('Character Sheet'!D$13:D3002,'Character Sheet'!D$13:D3002=D693),""""),True,False)"),FALSE)</f>
        <v>0</v>
      </c>
      <c r="C693" s="20">
        <v>600</v>
      </c>
      <c r="D693" s="2" t="s">
        <v>1572</v>
      </c>
      <c r="E693" s="2" t="s">
        <v>662</v>
      </c>
      <c r="F693" s="20" t="s">
        <v>56</v>
      </c>
      <c r="G693" s="2" t="s">
        <v>1573</v>
      </c>
      <c r="H693" s="16"/>
      <c r="I693" s="20"/>
      <c r="J693" s="20"/>
      <c r="K693" s="20"/>
      <c r="L693" s="20"/>
      <c r="M693" s="20"/>
      <c r="N693" s="20"/>
      <c r="O693" s="20"/>
      <c r="P693" s="20"/>
      <c r="Q693" s="20"/>
      <c r="R693" s="20"/>
      <c r="S693" s="20"/>
      <c r="T693" s="20"/>
      <c r="U693" s="20"/>
      <c r="V693" s="20"/>
      <c r="W693" s="20"/>
      <c r="X693" s="20"/>
      <c r="Y693" s="20"/>
      <c r="Z693" s="20"/>
      <c r="AA693" s="20"/>
    </row>
    <row r="694" spans="1:27" ht="226.2" x14ac:dyDescent="0.25">
      <c r="A694" s="16"/>
      <c r="B694" s="20" t="b">
        <f ca="1">IFERROR(__xludf.DUMMYFUNCTION("if(D694=iferror(filter('Character Sheet'!D$13:D3002,'Character Sheet'!D$13:D3002=D694),""""),True,False)"),FALSE)</f>
        <v>0</v>
      </c>
      <c r="C694" s="20">
        <v>600</v>
      </c>
      <c r="D694" s="2" t="s">
        <v>1574</v>
      </c>
      <c r="E694" s="2" t="s">
        <v>662</v>
      </c>
      <c r="F694" s="20" t="s">
        <v>56</v>
      </c>
      <c r="G694" s="2" t="s">
        <v>1575</v>
      </c>
      <c r="H694" s="16"/>
      <c r="I694" s="20"/>
      <c r="J694" s="20"/>
      <c r="K694" s="20"/>
      <c r="L694" s="20"/>
      <c r="M694" s="20"/>
      <c r="N694" s="20"/>
      <c r="O694" s="20"/>
      <c r="P694" s="20"/>
      <c r="Q694" s="20"/>
      <c r="R694" s="20"/>
      <c r="S694" s="20"/>
      <c r="T694" s="20"/>
      <c r="U694" s="20"/>
      <c r="V694" s="20"/>
      <c r="W694" s="20"/>
      <c r="X694" s="20"/>
      <c r="Y694" s="20"/>
      <c r="Z694" s="20"/>
      <c r="AA694" s="20"/>
    </row>
    <row r="695" spans="1:27" ht="121.8" x14ac:dyDescent="0.25">
      <c r="A695" s="16"/>
      <c r="B695" s="20" t="b">
        <f ca="1">IFERROR(__xludf.DUMMYFUNCTION("if(D695=iferror(filter('Character Sheet'!D$13:D3002,'Character Sheet'!D$13:D3002=D695),""""),True,False)"),FALSE)</f>
        <v>0</v>
      </c>
      <c r="C695" s="20">
        <v>600</v>
      </c>
      <c r="D695" s="2" t="s">
        <v>1576</v>
      </c>
      <c r="E695" s="2" t="s">
        <v>325</v>
      </c>
      <c r="F695" s="20" t="s">
        <v>56</v>
      </c>
      <c r="G695" s="2" t="s">
        <v>1577</v>
      </c>
      <c r="H695" s="16"/>
      <c r="I695" s="20"/>
      <c r="J695" s="20"/>
      <c r="K695" s="20"/>
      <c r="L695" s="20"/>
      <c r="M695" s="20"/>
      <c r="N695" s="20"/>
      <c r="O695" s="20"/>
      <c r="P695" s="20"/>
      <c r="Q695" s="20"/>
      <c r="R695" s="20"/>
      <c r="S695" s="20"/>
      <c r="T695" s="20"/>
      <c r="U695" s="20"/>
      <c r="V695" s="20"/>
      <c r="W695" s="20"/>
      <c r="X695" s="20"/>
      <c r="Y695" s="20"/>
      <c r="Z695" s="20"/>
      <c r="AA695" s="20"/>
    </row>
    <row r="696" spans="1:27" ht="208.8" x14ac:dyDescent="0.25">
      <c r="A696" s="16"/>
      <c r="B696" s="20" t="b">
        <f ca="1">IFERROR(__xludf.DUMMYFUNCTION("if(D696=iferror(filter('Character Sheet'!D$13:D3002,'Character Sheet'!D$13:D3002=D696),""""),True,False)"),FALSE)</f>
        <v>0</v>
      </c>
      <c r="C696" s="20">
        <v>600</v>
      </c>
      <c r="D696" s="2" t="s">
        <v>1578</v>
      </c>
      <c r="E696" s="2" t="s">
        <v>996</v>
      </c>
      <c r="F696" s="20" t="s">
        <v>56</v>
      </c>
      <c r="G696" s="2" t="s">
        <v>1579</v>
      </c>
      <c r="H696" s="16"/>
      <c r="I696" s="20"/>
      <c r="J696" s="20"/>
      <c r="K696" s="20"/>
      <c r="L696" s="20"/>
      <c r="M696" s="20"/>
      <c r="N696" s="20"/>
      <c r="O696" s="20"/>
      <c r="P696" s="20"/>
      <c r="Q696" s="20"/>
      <c r="R696" s="20"/>
      <c r="S696" s="20"/>
      <c r="T696" s="20"/>
      <c r="U696" s="20"/>
      <c r="V696" s="20"/>
      <c r="W696" s="20"/>
      <c r="X696" s="20"/>
      <c r="Y696" s="20"/>
      <c r="Z696" s="20"/>
      <c r="AA696" s="20"/>
    </row>
    <row r="697" spans="1:27" ht="313.2" x14ac:dyDescent="0.25">
      <c r="A697" s="16"/>
      <c r="B697" s="20" t="b">
        <f ca="1">IFERROR(__xludf.DUMMYFUNCTION("if(D697=iferror(filter('Character Sheet'!D$13:D3002,'Character Sheet'!D$13:D3002=D697),""""),True,False)"),FALSE)</f>
        <v>0</v>
      </c>
      <c r="C697" s="20">
        <v>600</v>
      </c>
      <c r="D697" s="22" t="s">
        <v>1580</v>
      </c>
      <c r="E697" s="2" t="s">
        <v>786</v>
      </c>
      <c r="F697" s="20" t="s">
        <v>56</v>
      </c>
      <c r="G697" s="2" t="s">
        <v>1581</v>
      </c>
      <c r="H697" s="16"/>
      <c r="I697" s="20"/>
      <c r="J697" s="20"/>
      <c r="K697" s="20"/>
      <c r="L697" s="20"/>
      <c r="M697" s="20"/>
      <c r="N697" s="20"/>
      <c r="O697" s="20"/>
      <c r="P697" s="20"/>
      <c r="Q697" s="20"/>
      <c r="R697" s="20"/>
      <c r="S697" s="20"/>
      <c r="T697" s="20"/>
      <c r="U697" s="20"/>
      <c r="V697" s="20"/>
      <c r="W697" s="20"/>
      <c r="X697" s="20"/>
      <c r="Y697" s="20"/>
      <c r="Z697" s="20"/>
      <c r="AA697" s="20"/>
    </row>
    <row r="698" spans="1:27" ht="226.2" x14ac:dyDescent="0.25">
      <c r="A698" s="16"/>
      <c r="B698" s="20" t="b">
        <f ca="1">IFERROR(__xludf.DUMMYFUNCTION("if(D698=iferror(filter('Character Sheet'!D$13:D3002,'Character Sheet'!D$13:D3002=D698),""""),True,False)"),FALSE)</f>
        <v>0</v>
      </c>
      <c r="C698" s="20">
        <v>600</v>
      </c>
      <c r="D698" s="2" t="s">
        <v>1582</v>
      </c>
      <c r="E698" s="2" t="s">
        <v>369</v>
      </c>
      <c r="F698" s="20" t="s">
        <v>56</v>
      </c>
      <c r="G698" s="2" t="s">
        <v>1583</v>
      </c>
      <c r="H698" s="16"/>
      <c r="I698" s="20"/>
      <c r="J698" s="20"/>
      <c r="K698" s="20"/>
      <c r="L698" s="20"/>
      <c r="M698" s="20"/>
      <c r="N698" s="20"/>
      <c r="O698" s="20"/>
      <c r="P698" s="20"/>
      <c r="Q698" s="20"/>
      <c r="R698" s="20"/>
      <c r="S698" s="20"/>
      <c r="T698" s="20"/>
      <c r="U698" s="20"/>
      <c r="V698" s="20"/>
      <c r="W698" s="20"/>
      <c r="X698" s="20"/>
      <c r="Y698" s="20"/>
      <c r="Z698" s="20"/>
      <c r="AA698" s="20"/>
    </row>
    <row r="699" spans="1:27" ht="226.2" x14ac:dyDescent="0.25">
      <c r="A699" s="16"/>
      <c r="B699" s="20" t="b">
        <f ca="1">IFERROR(__xludf.DUMMYFUNCTION("if(D699=iferror(filter('Character Sheet'!D$13:D3002,'Character Sheet'!D$13:D3002=D699),""""),True,False)"),FALSE)</f>
        <v>0</v>
      </c>
      <c r="C699" s="20">
        <v>600</v>
      </c>
      <c r="D699" s="20" t="s">
        <v>1584</v>
      </c>
      <c r="E699" s="20" t="s">
        <v>291</v>
      </c>
      <c r="F699" s="20" t="s">
        <v>56</v>
      </c>
      <c r="G699" s="2" t="s">
        <v>1585</v>
      </c>
      <c r="H699" s="16"/>
      <c r="I699" s="20"/>
      <c r="J699" s="20"/>
      <c r="K699" s="20"/>
      <c r="L699" s="20"/>
      <c r="M699" s="20"/>
      <c r="N699" s="20"/>
      <c r="O699" s="20"/>
      <c r="P699" s="20"/>
      <c r="Q699" s="20"/>
      <c r="R699" s="20"/>
      <c r="S699" s="20"/>
      <c r="T699" s="20"/>
      <c r="U699" s="20"/>
      <c r="V699" s="20"/>
      <c r="W699" s="20"/>
      <c r="X699" s="20"/>
      <c r="Y699" s="20"/>
      <c r="Z699" s="20"/>
      <c r="AA699" s="20"/>
    </row>
    <row r="700" spans="1:27" ht="156.6" x14ac:dyDescent="0.25">
      <c r="A700" s="16"/>
      <c r="B700" s="20" t="b">
        <f ca="1">IFERROR(__xludf.DUMMYFUNCTION("if(D700=iferror(filter('Character Sheet'!D$13:D3002,'Character Sheet'!D$13:D3002=D700),""""),True,False)"),FALSE)</f>
        <v>0</v>
      </c>
      <c r="C700" s="20">
        <v>600</v>
      </c>
      <c r="D700" s="2" t="s">
        <v>1586</v>
      </c>
      <c r="E700" s="2" t="s">
        <v>214</v>
      </c>
      <c r="F700" s="20" t="s">
        <v>56</v>
      </c>
      <c r="G700" s="2" t="s">
        <v>1587</v>
      </c>
      <c r="H700" s="16"/>
      <c r="I700" s="20"/>
      <c r="J700" s="20"/>
      <c r="K700" s="20"/>
      <c r="L700" s="20"/>
      <c r="M700" s="20"/>
      <c r="N700" s="20"/>
      <c r="O700" s="20"/>
      <c r="P700" s="20"/>
      <c r="Q700" s="20"/>
      <c r="R700" s="20"/>
      <c r="S700" s="20"/>
      <c r="T700" s="20"/>
      <c r="U700" s="20"/>
      <c r="V700" s="20"/>
      <c r="W700" s="20"/>
      <c r="X700" s="20"/>
      <c r="Y700" s="20"/>
      <c r="Z700" s="20"/>
      <c r="AA700" s="20"/>
    </row>
    <row r="701" spans="1:27" ht="226.2" x14ac:dyDescent="0.25">
      <c r="A701" s="16"/>
      <c r="B701" s="20" t="b">
        <f ca="1">IFERROR(__xludf.DUMMYFUNCTION("if(D701=iferror(filter('Character Sheet'!D$13:D3002,'Character Sheet'!D$13:D3002=D701),""""),True,False)"),FALSE)</f>
        <v>0</v>
      </c>
      <c r="C701" s="20">
        <v>600</v>
      </c>
      <c r="D701" s="2" t="s">
        <v>1588</v>
      </c>
      <c r="E701" s="2" t="s">
        <v>124</v>
      </c>
      <c r="F701" s="20" t="s">
        <v>56</v>
      </c>
      <c r="G701" s="2" t="s">
        <v>1589</v>
      </c>
      <c r="H701" s="16"/>
      <c r="I701" s="20"/>
      <c r="J701" s="20"/>
      <c r="K701" s="20"/>
      <c r="L701" s="20"/>
      <c r="M701" s="20"/>
      <c r="N701" s="20"/>
      <c r="O701" s="20"/>
      <c r="P701" s="20"/>
      <c r="Q701" s="20"/>
      <c r="R701" s="20"/>
      <c r="S701" s="20"/>
      <c r="T701" s="20"/>
      <c r="U701" s="20"/>
      <c r="V701" s="20"/>
      <c r="W701" s="20"/>
      <c r="X701" s="20"/>
      <c r="Y701" s="20"/>
      <c r="Z701" s="20"/>
      <c r="AA701" s="20"/>
    </row>
    <row r="702" spans="1:27" ht="208.8" x14ac:dyDescent="0.25">
      <c r="A702" s="16"/>
      <c r="B702" s="20" t="b">
        <f ca="1">IFERROR(__xludf.DUMMYFUNCTION("if(D702=iferror(filter('Character Sheet'!D$13:D3002,'Character Sheet'!D$13:D3002=D702),""""),True,False)"),FALSE)</f>
        <v>0</v>
      </c>
      <c r="C702" s="20">
        <v>600</v>
      </c>
      <c r="D702" s="2" t="s">
        <v>1590</v>
      </c>
      <c r="E702" s="2" t="s">
        <v>662</v>
      </c>
      <c r="F702" s="20" t="s">
        <v>56</v>
      </c>
      <c r="G702" s="2" t="s">
        <v>1591</v>
      </c>
      <c r="H702" s="16"/>
      <c r="I702" s="20"/>
      <c r="J702" s="20"/>
      <c r="K702" s="20"/>
      <c r="L702" s="20"/>
      <c r="M702" s="20"/>
      <c r="N702" s="20"/>
      <c r="O702" s="20"/>
      <c r="P702" s="20"/>
      <c r="Q702" s="20"/>
      <c r="R702" s="20"/>
      <c r="S702" s="20"/>
      <c r="T702" s="20"/>
      <c r="U702" s="20"/>
      <c r="V702" s="20"/>
      <c r="W702" s="20"/>
      <c r="X702" s="20"/>
      <c r="Y702" s="20"/>
      <c r="Z702" s="20"/>
      <c r="AA702" s="20"/>
    </row>
    <row r="703" spans="1:27" ht="121.8" x14ac:dyDescent="0.25">
      <c r="A703" s="16"/>
      <c r="B703" s="20" t="b">
        <f ca="1">IFERROR(__xludf.DUMMYFUNCTION("if(D703=iferror(filter('Character Sheet'!D$13:D3002,'Character Sheet'!D$13:D3002=D703),""""),True,False)"),FALSE)</f>
        <v>0</v>
      </c>
      <c r="C703" s="20">
        <v>700</v>
      </c>
      <c r="D703" s="2" t="s">
        <v>1592</v>
      </c>
      <c r="E703" s="2" t="s">
        <v>475</v>
      </c>
      <c r="F703" s="20" t="s">
        <v>56</v>
      </c>
      <c r="G703" s="2" t="s">
        <v>1593</v>
      </c>
      <c r="H703" s="16"/>
      <c r="I703" s="20"/>
      <c r="J703" s="20"/>
      <c r="K703" s="20"/>
      <c r="L703" s="20"/>
      <c r="M703" s="20"/>
      <c r="N703" s="20"/>
      <c r="O703" s="20"/>
      <c r="P703" s="20"/>
      <c r="Q703" s="20"/>
      <c r="R703" s="20"/>
      <c r="S703" s="20"/>
      <c r="T703" s="20"/>
      <c r="U703" s="20"/>
      <c r="V703" s="20"/>
      <c r="W703" s="20"/>
      <c r="X703" s="20"/>
      <c r="Y703" s="20"/>
      <c r="Z703" s="20"/>
      <c r="AA703" s="20"/>
    </row>
    <row r="704" spans="1:27" ht="365.4" x14ac:dyDescent="0.25">
      <c r="A704" s="16"/>
      <c r="B704" s="20" t="b">
        <f ca="1">IFERROR(__xludf.DUMMYFUNCTION("if(D704=iferror(filter('Character Sheet'!D$13:D3002,'Character Sheet'!D$13:D3002=D704),""""),True,False)"),FALSE)</f>
        <v>0</v>
      </c>
      <c r="C704" s="20">
        <v>700</v>
      </c>
      <c r="D704" s="2" t="s">
        <v>1594</v>
      </c>
      <c r="E704" s="2" t="s">
        <v>1285</v>
      </c>
      <c r="F704" s="20" t="s">
        <v>56</v>
      </c>
      <c r="G704" s="2" t="s">
        <v>1595</v>
      </c>
      <c r="H704" s="16"/>
      <c r="I704" s="20"/>
      <c r="J704" s="20"/>
      <c r="K704" s="20"/>
      <c r="L704" s="20"/>
      <c r="M704" s="20"/>
      <c r="N704" s="20"/>
      <c r="O704" s="20"/>
      <c r="P704" s="20"/>
      <c r="Q704" s="20"/>
      <c r="R704" s="20"/>
      <c r="S704" s="20"/>
      <c r="T704" s="20"/>
      <c r="U704" s="20"/>
      <c r="V704" s="20"/>
      <c r="W704" s="20"/>
      <c r="X704" s="20"/>
      <c r="Y704" s="20"/>
      <c r="Z704" s="20"/>
      <c r="AA704" s="20"/>
    </row>
    <row r="705" spans="1:27" ht="139.19999999999999" x14ac:dyDescent="0.25">
      <c r="A705" s="16"/>
      <c r="B705" s="20" t="b">
        <f ca="1">IFERROR(__xludf.DUMMYFUNCTION("if(D705=iferror(filter('Character Sheet'!D$13:D3002,'Character Sheet'!D$13:D3002=D705),""""),True,False)"),FALSE)</f>
        <v>0</v>
      </c>
      <c r="C705" s="20">
        <v>700</v>
      </c>
      <c r="D705" s="2" t="s">
        <v>1596</v>
      </c>
      <c r="E705" s="2" t="s">
        <v>1244</v>
      </c>
      <c r="F705" s="20" t="s">
        <v>56</v>
      </c>
      <c r="G705" s="2" t="s">
        <v>1597</v>
      </c>
      <c r="H705" s="16"/>
      <c r="I705" s="20"/>
      <c r="J705" s="20"/>
      <c r="K705" s="20"/>
      <c r="L705" s="20"/>
      <c r="M705" s="20"/>
      <c r="N705" s="20"/>
      <c r="O705" s="20"/>
      <c r="P705" s="20"/>
      <c r="Q705" s="20"/>
      <c r="R705" s="20"/>
      <c r="S705" s="20"/>
      <c r="T705" s="20"/>
      <c r="U705" s="20"/>
      <c r="V705" s="20"/>
      <c r="W705" s="20"/>
      <c r="X705" s="20"/>
      <c r="Y705" s="20"/>
      <c r="Z705" s="20"/>
      <c r="AA705" s="20"/>
    </row>
    <row r="706" spans="1:27" ht="121.8" x14ac:dyDescent="0.25">
      <c r="A706" s="16"/>
      <c r="B706" s="20" t="b">
        <f ca="1">IFERROR(__xludf.DUMMYFUNCTION("if(D706=iferror(filter('Character Sheet'!D$13:D3002,'Character Sheet'!D$13:D3002=D706),""""),True,False)"),FALSE)</f>
        <v>0</v>
      </c>
      <c r="C706" s="20">
        <v>700</v>
      </c>
      <c r="D706" s="2" t="s">
        <v>1598</v>
      </c>
      <c r="E706" s="2" t="s">
        <v>119</v>
      </c>
      <c r="F706" s="20" t="s">
        <v>56</v>
      </c>
      <c r="G706" s="2" t="s">
        <v>1599</v>
      </c>
      <c r="H706" s="16"/>
      <c r="I706" s="20"/>
      <c r="J706" s="20"/>
      <c r="K706" s="20"/>
      <c r="L706" s="20"/>
      <c r="M706" s="20"/>
      <c r="N706" s="20"/>
      <c r="O706" s="20"/>
      <c r="P706" s="20"/>
      <c r="Q706" s="20"/>
      <c r="R706" s="20"/>
      <c r="S706" s="20"/>
      <c r="T706" s="20"/>
      <c r="U706" s="20"/>
      <c r="V706" s="20"/>
      <c r="W706" s="20"/>
      <c r="X706" s="20"/>
      <c r="Y706" s="20"/>
      <c r="Z706" s="20"/>
      <c r="AA706" s="20"/>
    </row>
    <row r="707" spans="1:27" ht="174" x14ac:dyDescent="0.25">
      <c r="A707" s="16"/>
      <c r="B707" s="20" t="b">
        <f ca="1">IFERROR(__xludf.DUMMYFUNCTION("if(D707=iferror(filter('Character Sheet'!D$13:D3002,'Character Sheet'!D$13:D3002=D707),""""),True,False)"),FALSE)</f>
        <v>0</v>
      </c>
      <c r="C707" s="20">
        <v>700</v>
      </c>
      <c r="D707" s="2" t="s">
        <v>1600</v>
      </c>
      <c r="E707" s="2" t="s">
        <v>1052</v>
      </c>
      <c r="F707" s="20" t="s">
        <v>56</v>
      </c>
      <c r="G707" s="2" t="s">
        <v>1601</v>
      </c>
      <c r="H707" s="16"/>
      <c r="I707" s="20"/>
      <c r="J707" s="20"/>
      <c r="K707" s="20"/>
      <c r="L707" s="20"/>
      <c r="M707" s="20"/>
      <c r="N707" s="20"/>
      <c r="O707" s="20"/>
      <c r="P707" s="20"/>
      <c r="Q707" s="20"/>
      <c r="R707" s="20"/>
      <c r="S707" s="20"/>
      <c r="T707" s="20"/>
      <c r="U707" s="20"/>
      <c r="V707" s="20"/>
      <c r="W707" s="20"/>
      <c r="X707" s="20"/>
      <c r="Y707" s="20"/>
      <c r="Z707" s="20"/>
      <c r="AA707" s="20"/>
    </row>
    <row r="708" spans="1:27" ht="226.2" x14ac:dyDescent="0.25">
      <c r="A708" s="16"/>
      <c r="B708" s="20" t="b">
        <f ca="1">IFERROR(__xludf.DUMMYFUNCTION("if(D708=iferror(filter('Character Sheet'!D$13:D3002,'Character Sheet'!D$13:D3002=D708),""""),True,False)"),FALSE)</f>
        <v>0</v>
      </c>
      <c r="C708" s="20">
        <v>800</v>
      </c>
      <c r="D708" s="2" t="s">
        <v>1602</v>
      </c>
      <c r="E708" s="2" t="s">
        <v>119</v>
      </c>
      <c r="F708" s="20" t="s">
        <v>56</v>
      </c>
      <c r="G708" s="2" t="s">
        <v>1603</v>
      </c>
      <c r="H708" s="16"/>
      <c r="I708" s="20"/>
      <c r="J708" s="20"/>
      <c r="K708" s="20"/>
      <c r="L708" s="20"/>
      <c r="M708" s="20"/>
      <c r="N708" s="20"/>
      <c r="O708" s="20"/>
      <c r="P708" s="20"/>
      <c r="Q708" s="20"/>
      <c r="R708" s="20"/>
      <c r="S708" s="20"/>
      <c r="T708" s="20"/>
      <c r="U708" s="20"/>
      <c r="V708" s="20"/>
      <c r="W708" s="20"/>
      <c r="X708" s="20"/>
      <c r="Y708" s="20"/>
      <c r="Z708" s="20"/>
      <c r="AA708" s="20"/>
    </row>
    <row r="709" spans="1:27" ht="330.6" x14ac:dyDescent="0.25">
      <c r="A709" s="16"/>
      <c r="B709" s="20" t="b">
        <f ca="1">IFERROR(__xludf.DUMMYFUNCTION("if(D709=iferror(filter('Character Sheet'!D$13:D3002,'Character Sheet'!D$13:D3002=D709),""""),True,False)"),FALSE)</f>
        <v>0</v>
      </c>
      <c r="C709" s="20">
        <v>800</v>
      </c>
      <c r="D709" s="2" t="s">
        <v>1604</v>
      </c>
      <c r="E709" s="2" t="s">
        <v>253</v>
      </c>
      <c r="F709" s="20" t="s">
        <v>56</v>
      </c>
      <c r="G709" s="2" t="s">
        <v>1605</v>
      </c>
      <c r="H709" s="16"/>
      <c r="I709" s="20"/>
      <c r="J709" s="20"/>
      <c r="K709" s="20"/>
      <c r="L709" s="20"/>
      <c r="M709" s="20"/>
      <c r="N709" s="20"/>
      <c r="O709" s="20"/>
      <c r="P709" s="20"/>
      <c r="Q709" s="20"/>
      <c r="R709" s="20"/>
      <c r="S709" s="20"/>
      <c r="T709" s="20"/>
      <c r="U709" s="20"/>
      <c r="V709" s="20"/>
      <c r="W709" s="20"/>
      <c r="X709" s="20"/>
      <c r="Y709" s="20"/>
      <c r="Z709" s="20"/>
      <c r="AA709" s="20"/>
    </row>
    <row r="710" spans="1:27" ht="382.8" x14ac:dyDescent="0.25">
      <c r="A710" s="16"/>
      <c r="B710" s="20" t="b">
        <f ca="1">IFERROR(__xludf.DUMMYFUNCTION("if(D710=iferror(filter('Character Sheet'!D$13:D3002,'Character Sheet'!D$13:D3002=D710),""""),True,False)"),FALSE)</f>
        <v>0</v>
      </c>
      <c r="C710" s="20">
        <v>800</v>
      </c>
      <c r="D710" s="2" t="s">
        <v>1606</v>
      </c>
      <c r="E710" s="2" t="s">
        <v>253</v>
      </c>
      <c r="F710" s="20" t="s">
        <v>56</v>
      </c>
      <c r="G710" s="2" t="s">
        <v>1607</v>
      </c>
      <c r="H710" s="16"/>
      <c r="I710" s="20"/>
      <c r="J710" s="20"/>
      <c r="K710" s="20"/>
      <c r="L710" s="20"/>
      <c r="M710" s="20"/>
      <c r="N710" s="20"/>
      <c r="O710" s="20"/>
      <c r="P710" s="20"/>
      <c r="Q710" s="20"/>
      <c r="R710" s="20"/>
      <c r="S710" s="20"/>
      <c r="T710" s="20"/>
      <c r="U710" s="20"/>
      <c r="V710" s="20"/>
      <c r="W710" s="20"/>
      <c r="X710" s="20"/>
      <c r="Y710" s="20"/>
      <c r="Z710" s="20"/>
      <c r="AA710" s="20"/>
    </row>
    <row r="711" spans="1:27" ht="313.2" x14ac:dyDescent="0.25">
      <c r="A711" s="16"/>
      <c r="B711" s="20" t="b">
        <f ca="1">IFERROR(__xludf.DUMMYFUNCTION("if(D711=iferror(filter('Character Sheet'!D$13:D3002,'Character Sheet'!D$13:D3002=D711),""""),True,False)"),FALSE)</f>
        <v>0</v>
      </c>
      <c r="C711" s="20">
        <v>800</v>
      </c>
      <c r="D711" s="2" t="s">
        <v>1608</v>
      </c>
      <c r="E711" s="2" t="s">
        <v>1244</v>
      </c>
      <c r="F711" s="20" t="s">
        <v>56</v>
      </c>
      <c r="G711" s="2" t="s">
        <v>1609</v>
      </c>
      <c r="H711" s="16"/>
      <c r="I711" s="20"/>
      <c r="J711" s="20"/>
      <c r="K711" s="20"/>
      <c r="L711" s="20"/>
      <c r="M711" s="20"/>
      <c r="N711" s="20"/>
      <c r="O711" s="20"/>
      <c r="P711" s="20"/>
      <c r="Q711" s="20"/>
      <c r="R711" s="20"/>
      <c r="S711" s="20"/>
      <c r="T711" s="20"/>
      <c r="U711" s="20"/>
      <c r="V711" s="20"/>
      <c r="W711" s="20"/>
      <c r="X711" s="20"/>
      <c r="Y711" s="20"/>
      <c r="Z711" s="20"/>
      <c r="AA711" s="20"/>
    </row>
    <row r="712" spans="1:27" ht="69.599999999999994" x14ac:dyDescent="0.25">
      <c r="A712" s="16"/>
      <c r="B712" s="20" t="b">
        <f ca="1">IFERROR(__xludf.DUMMYFUNCTION("if(D712=iferror(filter('Character Sheet'!D$13:D3002,'Character Sheet'!D$13:D3002=D712),""""),True,False)"),FALSE)</f>
        <v>0</v>
      </c>
      <c r="C712" s="20">
        <v>0</v>
      </c>
      <c r="D712" s="2" t="s">
        <v>1610</v>
      </c>
      <c r="E712" s="2" t="s">
        <v>253</v>
      </c>
      <c r="F712" s="20" t="s">
        <v>57</v>
      </c>
      <c r="G712" s="2" t="s">
        <v>1611</v>
      </c>
      <c r="H712" s="16"/>
      <c r="I712" s="20"/>
      <c r="J712" s="20"/>
      <c r="K712" s="20"/>
      <c r="L712" s="20"/>
      <c r="M712" s="20"/>
      <c r="N712" s="20"/>
      <c r="O712" s="20"/>
      <c r="P712" s="20"/>
      <c r="Q712" s="20"/>
      <c r="R712" s="20"/>
      <c r="S712" s="20"/>
      <c r="T712" s="20"/>
      <c r="U712" s="20"/>
      <c r="V712" s="20"/>
      <c r="W712" s="20"/>
      <c r="X712" s="20"/>
      <c r="Y712" s="20"/>
      <c r="Z712" s="20"/>
      <c r="AA712" s="20"/>
    </row>
    <row r="713" spans="1:27" ht="69.599999999999994" x14ac:dyDescent="0.25">
      <c r="A713" s="16"/>
      <c r="B713" s="20" t="b">
        <f ca="1">IFERROR(__xludf.DUMMYFUNCTION("if(D713=iferror(filter('Character Sheet'!D$13:D3002,'Character Sheet'!D$13:D3002=D713),""""),True,False)"),FALSE)</f>
        <v>0</v>
      </c>
      <c r="C713" s="20">
        <v>0</v>
      </c>
      <c r="D713" s="2" t="s">
        <v>1612</v>
      </c>
      <c r="E713" s="2" t="s">
        <v>253</v>
      </c>
      <c r="F713" s="20" t="s">
        <v>57</v>
      </c>
      <c r="G713" s="2" t="s">
        <v>1613</v>
      </c>
      <c r="H713" s="16"/>
      <c r="I713" s="20"/>
      <c r="J713" s="20"/>
      <c r="K713" s="20"/>
      <c r="L713" s="20"/>
      <c r="M713" s="20"/>
      <c r="N713" s="20"/>
      <c r="O713" s="20"/>
      <c r="P713" s="20"/>
      <c r="Q713" s="20"/>
      <c r="R713" s="20"/>
      <c r="S713" s="20"/>
      <c r="T713" s="20"/>
      <c r="U713" s="20"/>
      <c r="V713" s="20"/>
      <c r="W713" s="20"/>
      <c r="X713" s="20"/>
      <c r="Y713" s="20"/>
      <c r="Z713" s="20"/>
      <c r="AA713" s="20"/>
    </row>
    <row r="714" spans="1:27" ht="87" x14ac:dyDescent="0.25">
      <c r="A714" s="16"/>
      <c r="B714" s="20" t="b">
        <f ca="1">IFERROR(__xludf.DUMMYFUNCTION("if(D714=iferror(filter('Character Sheet'!D$13:D3002,'Character Sheet'!D$13:D3002=D714),""""),True,False)"),FALSE)</f>
        <v>0</v>
      </c>
      <c r="C714" s="20">
        <v>0</v>
      </c>
      <c r="D714" s="2" t="s">
        <v>1614</v>
      </c>
      <c r="E714" s="2" t="s">
        <v>253</v>
      </c>
      <c r="F714" s="20" t="s">
        <v>57</v>
      </c>
      <c r="G714" s="2" t="s">
        <v>1615</v>
      </c>
      <c r="H714" s="16"/>
      <c r="I714" s="20"/>
      <c r="J714" s="20"/>
      <c r="K714" s="20"/>
      <c r="L714" s="20"/>
      <c r="M714" s="20"/>
      <c r="N714" s="20"/>
      <c r="O714" s="20"/>
      <c r="P714" s="20"/>
      <c r="Q714" s="20"/>
      <c r="R714" s="20"/>
      <c r="S714" s="20"/>
      <c r="T714" s="20"/>
      <c r="U714" s="20"/>
      <c r="V714" s="20"/>
      <c r="W714" s="20"/>
      <c r="X714" s="20"/>
      <c r="Y714" s="20"/>
      <c r="Z714" s="20"/>
      <c r="AA714" s="20"/>
    </row>
    <row r="715" spans="1:27" ht="174" x14ac:dyDescent="0.25">
      <c r="A715" s="16"/>
      <c r="B715" s="20" t="b">
        <f ca="1">IFERROR(__xludf.DUMMYFUNCTION("if(D715=iferror(filter('Character Sheet'!D$13:D3002,'Character Sheet'!D$13:D3002=D715),""""),True,False)"),FALSE)</f>
        <v>0</v>
      </c>
      <c r="C715" s="20">
        <v>0</v>
      </c>
      <c r="D715" s="2" t="s">
        <v>1616</v>
      </c>
      <c r="E715" s="2" t="s">
        <v>253</v>
      </c>
      <c r="F715" s="20" t="s">
        <v>57</v>
      </c>
      <c r="G715" s="2" t="s">
        <v>1617</v>
      </c>
      <c r="H715" s="16"/>
      <c r="I715" s="20"/>
      <c r="J715" s="20"/>
      <c r="K715" s="20"/>
      <c r="L715" s="20"/>
      <c r="M715" s="20"/>
      <c r="N715" s="20"/>
      <c r="O715" s="20"/>
      <c r="P715" s="20"/>
      <c r="Q715" s="20"/>
      <c r="R715" s="20"/>
      <c r="S715" s="20"/>
      <c r="T715" s="20"/>
      <c r="U715" s="20"/>
      <c r="V715" s="20"/>
      <c r="W715" s="20"/>
      <c r="X715" s="20"/>
      <c r="Y715" s="20"/>
      <c r="Z715" s="20"/>
      <c r="AA715" s="20"/>
    </row>
    <row r="716" spans="1:27" ht="87" x14ac:dyDescent="0.25">
      <c r="A716" s="16"/>
      <c r="B716" s="20" t="b">
        <f ca="1">IFERROR(__xludf.DUMMYFUNCTION("if(D716=iferror(filter('Character Sheet'!D$13:D3002,'Character Sheet'!D$13:D3002=D716),""""),True,False)"),FALSE)</f>
        <v>0</v>
      </c>
      <c r="C716" s="20">
        <v>0</v>
      </c>
      <c r="D716" s="2" t="s">
        <v>1618</v>
      </c>
      <c r="E716" s="2" t="s">
        <v>253</v>
      </c>
      <c r="F716" s="20" t="s">
        <v>57</v>
      </c>
      <c r="G716" s="2" t="s">
        <v>1619</v>
      </c>
      <c r="H716" s="16"/>
      <c r="I716" s="20"/>
      <c r="J716" s="20"/>
      <c r="K716" s="20"/>
      <c r="L716" s="20"/>
      <c r="M716" s="20"/>
      <c r="N716" s="20"/>
      <c r="O716" s="20"/>
      <c r="P716" s="20"/>
      <c r="Q716" s="20"/>
      <c r="R716" s="20"/>
      <c r="S716" s="20"/>
      <c r="T716" s="20"/>
      <c r="U716" s="20"/>
      <c r="V716" s="20"/>
      <c r="W716" s="20"/>
      <c r="X716" s="20"/>
      <c r="Y716" s="20"/>
      <c r="Z716" s="20"/>
      <c r="AA716" s="20"/>
    </row>
    <row r="717" spans="1:27" ht="156.6" x14ac:dyDescent="0.25">
      <c r="A717" s="16"/>
      <c r="B717" s="20" t="b">
        <f ca="1">IFERROR(__xludf.DUMMYFUNCTION("if(D717=iferror(filter('Character Sheet'!D$13:D3002,'Character Sheet'!D$13:D3002=D717),""""),True,False)"),FALSE)</f>
        <v>0</v>
      </c>
      <c r="C717" s="20">
        <v>50</v>
      </c>
      <c r="D717" s="2" t="s">
        <v>1620</v>
      </c>
      <c r="E717" s="2" t="s">
        <v>93</v>
      </c>
      <c r="F717" s="20" t="s">
        <v>57</v>
      </c>
      <c r="G717" s="2" t="s">
        <v>1621</v>
      </c>
      <c r="H717" s="16"/>
      <c r="I717" s="20"/>
      <c r="J717" s="20"/>
      <c r="K717" s="20"/>
      <c r="L717" s="20"/>
      <c r="M717" s="20"/>
      <c r="N717" s="20"/>
      <c r="O717" s="20"/>
      <c r="P717" s="20"/>
      <c r="Q717" s="20"/>
      <c r="R717" s="20"/>
      <c r="S717" s="20"/>
      <c r="T717" s="20"/>
      <c r="U717" s="20"/>
      <c r="V717" s="20"/>
      <c r="W717" s="20"/>
      <c r="X717" s="20"/>
      <c r="Y717" s="20"/>
      <c r="Z717" s="20"/>
      <c r="AA717" s="20"/>
    </row>
    <row r="718" spans="1:27" ht="52.2" x14ac:dyDescent="0.25">
      <c r="A718" s="16"/>
      <c r="B718" s="20" t="b">
        <f ca="1">IFERROR(__xludf.DUMMYFUNCTION("if(D718=iferror(filter('Character Sheet'!D$13:D3002,'Character Sheet'!D$13:D3002=D718),""""),True,False)"),FALSE)</f>
        <v>0</v>
      </c>
      <c r="C718" s="20">
        <v>50</v>
      </c>
      <c r="D718" s="2" t="s">
        <v>1622</v>
      </c>
      <c r="E718" s="2" t="s">
        <v>93</v>
      </c>
      <c r="F718" s="20" t="s">
        <v>57</v>
      </c>
      <c r="G718" s="2" t="s">
        <v>1623</v>
      </c>
      <c r="H718" s="16"/>
      <c r="I718" s="20"/>
      <c r="J718" s="20"/>
      <c r="K718" s="20"/>
      <c r="L718" s="20"/>
      <c r="M718" s="20"/>
      <c r="N718" s="20"/>
      <c r="O718" s="20"/>
      <c r="P718" s="20"/>
      <c r="Q718" s="20"/>
      <c r="R718" s="20"/>
      <c r="S718" s="20"/>
      <c r="T718" s="20"/>
      <c r="U718" s="20"/>
      <c r="V718" s="20"/>
      <c r="W718" s="20"/>
      <c r="X718" s="20"/>
      <c r="Y718" s="20"/>
      <c r="Z718" s="20"/>
      <c r="AA718" s="20"/>
    </row>
    <row r="719" spans="1:27" ht="69.599999999999994" x14ac:dyDescent="0.25">
      <c r="A719" s="16"/>
      <c r="B719" s="20" t="b">
        <f ca="1">IFERROR(__xludf.DUMMYFUNCTION("if(D719=iferror(filter('Character Sheet'!D$13:D3002,'Character Sheet'!D$13:D3002=D719),""""),True,False)"),FALSE)</f>
        <v>0</v>
      </c>
      <c r="C719" s="20">
        <v>50</v>
      </c>
      <c r="D719" s="2" t="s">
        <v>1624</v>
      </c>
      <c r="E719" s="2" t="s">
        <v>334</v>
      </c>
      <c r="F719" s="20" t="s">
        <v>57</v>
      </c>
      <c r="G719" s="2" t="s">
        <v>1625</v>
      </c>
      <c r="H719" s="16"/>
      <c r="I719" s="20"/>
      <c r="J719" s="20"/>
      <c r="K719" s="20"/>
      <c r="L719" s="20"/>
      <c r="M719" s="20"/>
      <c r="N719" s="20"/>
      <c r="O719" s="20"/>
      <c r="P719" s="20"/>
      <c r="Q719" s="20"/>
      <c r="R719" s="20"/>
      <c r="S719" s="20"/>
      <c r="T719" s="20"/>
      <c r="U719" s="20"/>
      <c r="V719" s="20"/>
      <c r="W719" s="20"/>
      <c r="X719" s="20"/>
      <c r="Y719" s="20"/>
      <c r="Z719" s="20"/>
      <c r="AA719" s="20"/>
    </row>
    <row r="720" spans="1:27" ht="104.4" x14ac:dyDescent="0.25">
      <c r="A720" s="16"/>
      <c r="B720" s="20" t="b">
        <f ca="1">IFERROR(__xludf.DUMMYFUNCTION("if(D720=iferror(filter('Character Sheet'!D$13:D3002,'Character Sheet'!D$13:D3002=D720),""""),True,False)"),FALSE)</f>
        <v>0</v>
      </c>
      <c r="C720" s="20">
        <v>50</v>
      </c>
      <c r="D720" s="2" t="s">
        <v>1626</v>
      </c>
      <c r="E720" s="2" t="s">
        <v>106</v>
      </c>
      <c r="F720" s="20" t="s">
        <v>57</v>
      </c>
      <c r="G720" s="2" t="s">
        <v>1627</v>
      </c>
      <c r="H720" s="16"/>
      <c r="I720" s="20"/>
      <c r="J720" s="20"/>
      <c r="K720" s="20"/>
      <c r="L720" s="20"/>
      <c r="M720" s="20"/>
      <c r="N720" s="20"/>
      <c r="O720" s="20"/>
      <c r="P720" s="20"/>
      <c r="Q720" s="20"/>
      <c r="R720" s="20"/>
      <c r="S720" s="20"/>
      <c r="T720" s="20"/>
      <c r="U720" s="20"/>
      <c r="V720" s="20"/>
      <c r="W720" s="20"/>
      <c r="X720" s="20"/>
      <c r="Y720" s="20"/>
      <c r="Z720" s="20"/>
      <c r="AA720" s="20"/>
    </row>
    <row r="721" spans="1:27" ht="52.2" x14ac:dyDescent="0.25">
      <c r="A721" s="16"/>
      <c r="B721" s="20" t="b">
        <f ca="1">IFERROR(__xludf.DUMMYFUNCTION("if(D721=iferror(filter('Character Sheet'!D$13:D3002,'Character Sheet'!D$13:D3002=D721),""""),True,False)"),FALSE)</f>
        <v>0</v>
      </c>
      <c r="C721" s="20">
        <v>50</v>
      </c>
      <c r="D721" s="2" t="s">
        <v>1628</v>
      </c>
      <c r="E721" s="2" t="s">
        <v>149</v>
      </c>
      <c r="F721" s="20" t="s">
        <v>57</v>
      </c>
      <c r="G721" s="2" t="s">
        <v>1629</v>
      </c>
      <c r="H721" s="16"/>
      <c r="I721" s="20"/>
      <c r="J721" s="20"/>
      <c r="K721" s="20"/>
      <c r="L721" s="20"/>
      <c r="M721" s="20"/>
      <c r="N721" s="20"/>
      <c r="O721" s="20"/>
      <c r="P721" s="20"/>
      <c r="Q721" s="20"/>
      <c r="R721" s="20"/>
      <c r="S721" s="20"/>
      <c r="T721" s="20"/>
      <c r="U721" s="20"/>
      <c r="V721" s="20"/>
      <c r="W721" s="20"/>
      <c r="X721" s="20"/>
      <c r="Y721" s="20"/>
      <c r="Z721" s="20"/>
      <c r="AA721" s="20"/>
    </row>
    <row r="722" spans="1:27" ht="87" x14ac:dyDescent="0.25">
      <c r="A722" s="16"/>
      <c r="B722" s="20" t="b">
        <f ca="1">IFERROR(__xludf.DUMMYFUNCTION("if(D722=iferror(filter('Character Sheet'!D$13:D3002,'Character Sheet'!D$13:D3002=D722),""""),True,False)"),FALSE)</f>
        <v>0</v>
      </c>
      <c r="C722" s="20">
        <v>50</v>
      </c>
      <c r="D722" s="2" t="s">
        <v>1630</v>
      </c>
      <c r="E722" s="2" t="s">
        <v>576</v>
      </c>
      <c r="F722" s="20" t="s">
        <v>57</v>
      </c>
      <c r="G722" s="2" t="s">
        <v>1631</v>
      </c>
      <c r="H722" s="16"/>
      <c r="I722" s="20"/>
      <c r="J722" s="20"/>
      <c r="K722" s="20"/>
      <c r="L722" s="20"/>
      <c r="M722" s="20"/>
      <c r="N722" s="20"/>
      <c r="O722" s="20"/>
      <c r="P722" s="20"/>
      <c r="Q722" s="20"/>
      <c r="R722" s="20"/>
      <c r="S722" s="20"/>
      <c r="T722" s="20"/>
      <c r="U722" s="20"/>
      <c r="V722" s="20"/>
      <c r="W722" s="20"/>
      <c r="X722" s="20"/>
      <c r="Y722" s="20"/>
      <c r="Z722" s="20"/>
      <c r="AA722" s="20"/>
    </row>
    <row r="723" spans="1:27" ht="139.19999999999999" x14ac:dyDescent="0.25">
      <c r="A723" s="16"/>
      <c r="B723" s="20" t="b">
        <f ca="1">IFERROR(__xludf.DUMMYFUNCTION("if(D723=iferror(filter('Character Sheet'!D$13:D3002,'Character Sheet'!D$13:D3002=D723),""""),True,False)"),FALSE)</f>
        <v>0</v>
      </c>
      <c r="C723" s="20">
        <v>50</v>
      </c>
      <c r="D723" s="2" t="s">
        <v>1632</v>
      </c>
      <c r="E723" s="2" t="s">
        <v>610</v>
      </c>
      <c r="F723" s="20" t="s">
        <v>57</v>
      </c>
      <c r="G723" s="2" t="s">
        <v>1633</v>
      </c>
      <c r="H723" s="16"/>
      <c r="I723" s="20"/>
      <c r="J723" s="20"/>
      <c r="K723" s="20"/>
      <c r="L723" s="20"/>
      <c r="M723" s="20"/>
      <c r="N723" s="20"/>
      <c r="O723" s="20"/>
      <c r="P723" s="20"/>
      <c r="Q723" s="20"/>
      <c r="R723" s="20"/>
      <c r="S723" s="20"/>
      <c r="T723" s="20"/>
      <c r="U723" s="20"/>
      <c r="V723" s="20"/>
      <c r="W723" s="20"/>
      <c r="X723" s="20"/>
      <c r="Y723" s="20"/>
      <c r="Z723" s="20"/>
      <c r="AA723" s="20"/>
    </row>
    <row r="724" spans="1:27" ht="87" x14ac:dyDescent="0.25">
      <c r="A724" s="16"/>
      <c r="B724" s="20" t="b">
        <f ca="1">IFERROR(__xludf.DUMMYFUNCTION("if(D724=iferror(filter('Character Sheet'!D$13:D3002,'Character Sheet'!D$13:D3002=D724),""""),True,False)"),FALSE)</f>
        <v>0</v>
      </c>
      <c r="C724" s="20">
        <v>50</v>
      </c>
      <c r="D724" s="2" t="s">
        <v>1634</v>
      </c>
      <c r="E724" s="2" t="s">
        <v>576</v>
      </c>
      <c r="F724" s="20" t="s">
        <v>57</v>
      </c>
      <c r="G724" s="2" t="s">
        <v>1635</v>
      </c>
      <c r="H724" s="16"/>
      <c r="I724" s="20"/>
      <c r="J724" s="20"/>
      <c r="K724" s="20"/>
      <c r="L724" s="20"/>
      <c r="M724" s="20"/>
      <c r="N724" s="20"/>
      <c r="O724" s="20"/>
      <c r="P724" s="20"/>
      <c r="Q724" s="20"/>
      <c r="R724" s="20"/>
      <c r="S724" s="20"/>
      <c r="T724" s="20"/>
      <c r="U724" s="20"/>
      <c r="V724" s="20"/>
      <c r="W724" s="20"/>
      <c r="X724" s="20"/>
      <c r="Y724" s="20"/>
      <c r="Z724" s="20"/>
      <c r="AA724" s="20"/>
    </row>
    <row r="725" spans="1:27" ht="104.4" x14ac:dyDescent="0.25">
      <c r="A725" s="16"/>
      <c r="B725" s="20" t="b">
        <f ca="1">IFERROR(__xludf.DUMMYFUNCTION("if(D725=iferror(filter('Character Sheet'!D$13:D3002,'Character Sheet'!D$13:D3002=D725),""""),True,False)"),FALSE)</f>
        <v>0</v>
      </c>
      <c r="C725" s="20">
        <v>100</v>
      </c>
      <c r="D725" s="2" t="s">
        <v>1636</v>
      </c>
      <c r="E725" s="2" t="s">
        <v>325</v>
      </c>
      <c r="F725" s="20" t="s">
        <v>57</v>
      </c>
      <c r="G725" s="2" t="s">
        <v>1637</v>
      </c>
      <c r="H725" s="16"/>
      <c r="I725" s="20"/>
      <c r="J725" s="20"/>
      <c r="K725" s="20"/>
      <c r="L725" s="20"/>
      <c r="M725" s="20"/>
      <c r="N725" s="20"/>
      <c r="O725" s="20"/>
      <c r="P725" s="20"/>
      <c r="Q725" s="20"/>
      <c r="R725" s="20"/>
      <c r="S725" s="20"/>
      <c r="T725" s="20"/>
      <c r="U725" s="20"/>
      <c r="V725" s="20"/>
      <c r="W725" s="20"/>
      <c r="X725" s="20"/>
      <c r="Y725" s="20"/>
      <c r="Z725" s="20"/>
      <c r="AA725" s="20"/>
    </row>
    <row r="726" spans="1:27" ht="104.4" x14ac:dyDescent="0.25">
      <c r="A726" s="16"/>
      <c r="B726" s="20" t="b">
        <f ca="1">IFERROR(__xludf.DUMMYFUNCTION("if(D726=iferror(filter('Character Sheet'!D$13:D3002,'Character Sheet'!D$13:D3002=D726),""""),True,False)"),FALSE)</f>
        <v>0</v>
      </c>
      <c r="C726" s="20">
        <v>100</v>
      </c>
      <c r="D726" s="2" t="s">
        <v>1638</v>
      </c>
      <c r="E726" s="2" t="s">
        <v>848</v>
      </c>
      <c r="F726" s="20" t="s">
        <v>57</v>
      </c>
      <c r="G726" s="2" t="s">
        <v>1639</v>
      </c>
      <c r="H726" s="16"/>
      <c r="I726" s="20"/>
      <c r="J726" s="20"/>
      <c r="K726" s="20"/>
      <c r="L726" s="20"/>
      <c r="M726" s="20"/>
      <c r="N726" s="20"/>
      <c r="O726" s="20"/>
      <c r="P726" s="20"/>
      <c r="Q726" s="20"/>
      <c r="R726" s="20"/>
      <c r="S726" s="20"/>
      <c r="T726" s="20"/>
      <c r="U726" s="20"/>
      <c r="V726" s="20"/>
      <c r="W726" s="20"/>
      <c r="X726" s="20"/>
      <c r="Y726" s="20"/>
      <c r="Z726" s="20"/>
      <c r="AA726" s="20"/>
    </row>
    <row r="727" spans="1:27" ht="139.19999999999999" x14ac:dyDescent="0.25">
      <c r="A727" s="16"/>
      <c r="B727" s="20" t="b">
        <f ca="1">IFERROR(__xludf.DUMMYFUNCTION("if(D727=iferror(filter('Character Sheet'!D$13:D3002,'Character Sheet'!D$13:D3002=D727),""""),True,False)"),FALSE)</f>
        <v>0</v>
      </c>
      <c r="C727" s="20">
        <v>100</v>
      </c>
      <c r="D727" s="2" t="s">
        <v>1640</v>
      </c>
      <c r="E727" s="2" t="s">
        <v>649</v>
      </c>
      <c r="F727" s="20" t="s">
        <v>57</v>
      </c>
      <c r="G727" s="2" t="s">
        <v>1641</v>
      </c>
      <c r="H727" s="16"/>
      <c r="I727" s="20"/>
      <c r="J727" s="20"/>
      <c r="K727" s="20"/>
      <c r="L727" s="20"/>
      <c r="M727" s="20"/>
      <c r="N727" s="20"/>
      <c r="O727" s="20"/>
      <c r="P727" s="20"/>
      <c r="Q727" s="20"/>
      <c r="R727" s="20"/>
      <c r="S727" s="20"/>
      <c r="T727" s="20"/>
      <c r="U727" s="20"/>
      <c r="V727" s="20"/>
      <c r="W727" s="20"/>
      <c r="X727" s="20"/>
      <c r="Y727" s="20"/>
      <c r="Z727" s="20"/>
      <c r="AA727" s="20"/>
    </row>
    <row r="728" spans="1:27" ht="87" x14ac:dyDescent="0.25">
      <c r="A728" s="16"/>
      <c r="B728" s="20" t="b">
        <f ca="1">IFERROR(__xludf.DUMMYFUNCTION("if(D728=iferror(filter('Character Sheet'!D$13:D3002,'Character Sheet'!D$13:D3002=D728),""""),True,False)"),FALSE)</f>
        <v>0</v>
      </c>
      <c r="C728" s="20">
        <v>100</v>
      </c>
      <c r="D728" s="2" t="s">
        <v>1642</v>
      </c>
      <c r="E728" s="2" t="s">
        <v>274</v>
      </c>
      <c r="F728" s="20" t="s">
        <v>57</v>
      </c>
      <c r="G728" s="2" t="s">
        <v>1643</v>
      </c>
      <c r="H728" s="16"/>
      <c r="I728" s="20"/>
      <c r="J728" s="20"/>
      <c r="K728" s="20"/>
      <c r="L728" s="20"/>
      <c r="M728" s="20"/>
      <c r="N728" s="20"/>
      <c r="O728" s="20"/>
      <c r="P728" s="20"/>
      <c r="Q728" s="20"/>
      <c r="R728" s="20"/>
      <c r="S728" s="20"/>
      <c r="T728" s="20"/>
      <c r="U728" s="20"/>
      <c r="V728" s="20"/>
      <c r="W728" s="20"/>
      <c r="X728" s="20"/>
      <c r="Y728" s="20"/>
      <c r="Z728" s="20"/>
      <c r="AA728" s="20"/>
    </row>
    <row r="729" spans="1:27" ht="174" x14ac:dyDescent="0.25">
      <c r="A729" s="16"/>
      <c r="B729" s="20" t="b">
        <f ca="1">IFERROR(__xludf.DUMMYFUNCTION("if(D729=iferror(filter('Character Sheet'!D$13:D3002,'Character Sheet'!D$13:D3002=D729),""""),True,False)"),FALSE)</f>
        <v>0</v>
      </c>
      <c r="C729" s="20">
        <v>100</v>
      </c>
      <c r="D729" s="2" t="s">
        <v>1644</v>
      </c>
      <c r="E729" s="2" t="s">
        <v>914</v>
      </c>
      <c r="F729" s="20" t="s">
        <v>57</v>
      </c>
      <c r="G729" s="2" t="s">
        <v>1645</v>
      </c>
      <c r="H729" s="16"/>
      <c r="I729" s="20"/>
      <c r="J729" s="20"/>
      <c r="K729" s="20"/>
      <c r="L729" s="20"/>
      <c r="M729" s="20"/>
      <c r="N729" s="20"/>
      <c r="O729" s="20"/>
      <c r="P729" s="20"/>
      <c r="Q729" s="20"/>
      <c r="R729" s="20"/>
      <c r="S729" s="20"/>
      <c r="T729" s="20"/>
      <c r="U729" s="20"/>
      <c r="V729" s="20"/>
      <c r="W729" s="20"/>
      <c r="X729" s="20"/>
      <c r="Y729" s="20"/>
      <c r="Z729" s="20"/>
      <c r="AA729" s="20"/>
    </row>
    <row r="730" spans="1:27" ht="261" x14ac:dyDescent="0.25">
      <c r="A730" s="16"/>
      <c r="B730" s="20" t="b">
        <f ca="1">IFERROR(__xludf.DUMMYFUNCTION("if(D730=iferror(filter('Character Sheet'!D$13:D3002,'Character Sheet'!D$13:D3002=D730),""""),True,False)"),FALSE)</f>
        <v>0</v>
      </c>
      <c r="C730" s="20">
        <v>100</v>
      </c>
      <c r="D730" s="2" t="s">
        <v>1646</v>
      </c>
      <c r="E730" s="2" t="s">
        <v>69</v>
      </c>
      <c r="F730" s="20" t="s">
        <v>57</v>
      </c>
      <c r="G730" s="2" t="s">
        <v>1647</v>
      </c>
      <c r="H730" s="16"/>
      <c r="I730" s="20"/>
      <c r="J730" s="20"/>
      <c r="K730" s="20"/>
      <c r="L730" s="20"/>
      <c r="M730" s="20"/>
      <c r="N730" s="20"/>
      <c r="O730" s="20"/>
      <c r="P730" s="20"/>
      <c r="Q730" s="20"/>
      <c r="R730" s="20"/>
      <c r="S730" s="20"/>
      <c r="T730" s="20"/>
      <c r="U730" s="20"/>
      <c r="V730" s="20"/>
      <c r="W730" s="20"/>
      <c r="X730" s="20"/>
      <c r="Y730" s="20"/>
      <c r="Z730" s="20"/>
      <c r="AA730" s="20"/>
    </row>
    <row r="731" spans="1:27" ht="52.2" x14ac:dyDescent="0.25">
      <c r="A731" s="16"/>
      <c r="B731" s="20" t="b">
        <f ca="1">IFERROR(__xludf.DUMMYFUNCTION("if(D731=iferror(filter('Character Sheet'!D$13:D3002,'Character Sheet'!D$13:D3002=D731),""""),True,False)"),FALSE)</f>
        <v>0</v>
      </c>
      <c r="C731" s="20">
        <v>100</v>
      </c>
      <c r="D731" s="2" t="s">
        <v>1648</v>
      </c>
      <c r="E731" s="2" t="s">
        <v>84</v>
      </c>
      <c r="F731" s="20" t="s">
        <v>57</v>
      </c>
      <c r="G731" s="2" t="s">
        <v>1649</v>
      </c>
      <c r="H731" s="16"/>
      <c r="I731" s="20"/>
      <c r="J731" s="20"/>
      <c r="K731" s="20"/>
      <c r="L731" s="20"/>
      <c r="M731" s="20"/>
      <c r="N731" s="20"/>
      <c r="O731" s="20"/>
      <c r="P731" s="20"/>
      <c r="Q731" s="20"/>
      <c r="R731" s="20"/>
      <c r="S731" s="20"/>
      <c r="T731" s="20"/>
      <c r="U731" s="20"/>
      <c r="V731" s="20"/>
      <c r="W731" s="20"/>
      <c r="X731" s="20"/>
      <c r="Y731" s="20"/>
      <c r="Z731" s="20"/>
      <c r="AA731" s="20"/>
    </row>
    <row r="732" spans="1:27" ht="174" x14ac:dyDescent="0.25">
      <c r="A732" s="16"/>
      <c r="B732" s="20" t="b">
        <f ca="1">IFERROR(__xludf.DUMMYFUNCTION("if(D732=iferror(filter('Character Sheet'!D$13:D3002,'Character Sheet'!D$13:D3002=D732),""""),True,False)"),FALSE)</f>
        <v>0</v>
      </c>
      <c r="C732" s="20">
        <v>100</v>
      </c>
      <c r="D732" s="2" t="s">
        <v>1650</v>
      </c>
      <c r="E732" s="2" t="s">
        <v>136</v>
      </c>
      <c r="F732" s="20" t="s">
        <v>57</v>
      </c>
      <c r="G732" s="2" t="s">
        <v>1651</v>
      </c>
      <c r="H732" s="16"/>
      <c r="I732" s="20"/>
      <c r="J732" s="20"/>
      <c r="K732" s="20"/>
      <c r="L732" s="20"/>
      <c r="M732" s="20"/>
      <c r="N732" s="20"/>
      <c r="O732" s="20"/>
      <c r="P732" s="20"/>
      <c r="Q732" s="20"/>
      <c r="R732" s="20"/>
      <c r="S732" s="20"/>
      <c r="T732" s="20"/>
      <c r="U732" s="20"/>
      <c r="V732" s="20"/>
      <c r="W732" s="20"/>
      <c r="X732" s="20"/>
      <c r="Y732" s="20"/>
      <c r="Z732" s="20"/>
      <c r="AA732" s="20"/>
    </row>
    <row r="733" spans="1:27" ht="121.8" x14ac:dyDescent="0.25">
      <c r="A733" s="16"/>
      <c r="B733" s="20" t="b">
        <f ca="1">IFERROR(__xludf.DUMMYFUNCTION("if(D733=iferror(filter('Character Sheet'!D$13:D3002,'Character Sheet'!D$13:D3002=D733),""""),True,False)"),FALSE)</f>
        <v>0</v>
      </c>
      <c r="C733" s="20">
        <v>100</v>
      </c>
      <c r="D733" s="2" t="s">
        <v>1652</v>
      </c>
      <c r="E733" s="2" t="s">
        <v>350</v>
      </c>
      <c r="F733" s="20" t="s">
        <v>57</v>
      </c>
      <c r="G733" s="2" t="s">
        <v>1653</v>
      </c>
      <c r="H733" s="16"/>
      <c r="I733" s="20"/>
      <c r="J733" s="20"/>
      <c r="K733" s="20"/>
      <c r="L733" s="20"/>
      <c r="M733" s="20"/>
      <c r="N733" s="20"/>
      <c r="O733" s="20"/>
      <c r="P733" s="20"/>
      <c r="Q733" s="20"/>
      <c r="R733" s="20"/>
      <c r="S733" s="20"/>
      <c r="T733" s="20"/>
      <c r="U733" s="20"/>
      <c r="V733" s="20"/>
      <c r="W733" s="20"/>
      <c r="X733" s="20"/>
      <c r="Y733" s="20"/>
      <c r="Z733" s="20"/>
      <c r="AA733" s="20"/>
    </row>
    <row r="734" spans="1:27" ht="139.19999999999999" x14ac:dyDescent="0.25">
      <c r="A734" s="16"/>
      <c r="B734" s="20" t="b">
        <f ca="1">IFERROR(__xludf.DUMMYFUNCTION("if(D734=iferror(filter('Character Sheet'!D$13:D3002,'Character Sheet'!D$13:D3002=D734),""""),True,False)"),FALSE)</f>
        <v>0</v>
      </c>
      <c r="C734" s="20">
        <v>100</v>
      </c>
      <c r="D734" s="2" t="s">
        <v>1654</v>
      </c>
      <c r="E734" s="2" t="s">
        <v>253</v>
      </c>
      <c r="F734" s="20" t="s">
        <v>57</v>
      </c>
      <c r="G734" s="2" t="s">
        <v>1655</v>
      </c>
      <c r="H734" s="16"/>
      <c r="I734" s="20"/>
      <c r="J734" s="20"/>
      <c r="K734" s="20"/>
      <c r="L734" s="20"/>
      <c r="M734" s="20"/>
      <c r="N734" s="20"/>
      <c r="O734" s="20"/>
      <c r="P734" s="20"/>
      <c r="Q734" s="20"/>
      <c r="R734" s="20"/>
      <c r="S734" s="20"/>
      <c r="T734" s="20"/>
      <c r="U734" s="20"/>
      <c r="V734" s="20"/>
      <c r="W734" s="20"/>
      <c r="X734" s="20"/>
      <c r="Y734" s="20"/>
      <c r="Z734" s="20"/>
      <c r="AA734" s="20"/>
    </row>
    <row r="735" spans="1:27" ht="121.8" x14ac:dyDescent="0.25">
      <c r="A735" s="16"/>
      <c r="B735" s="20" t="b">
        <f ca="1">IFERROR(__xludf.DUMMYFUNCTION("if(D735=iferror(filter('Character Sheet'!D$13:D3002,'Character Sheet'!D$13:D3002=D735),""""),True,False)"),FALSE)</f>
        <v>0</v>
      </c>
      <c r="C735" s="20">
        <v>100</v>
      </c>
      <c r="D735" s="2" t="s">
        <v>1656</v>
      </c>
      <c r="E735" s="2" t="s">
        <v>282</v>
      </c>
      <c r="F735" s="20" t="s">
        <v>57</v>
      </c>
      <c r="G735" s="2" t="s">
        <v>1657</v>
      </c>
      <c r="H735" s="16"/>
      <c r="I735" s="20"/>
      <c r="J735" s="20"/>
      <c r="K735" s="20"/>
      <c r="L735" s="20"/>
      <c r="M735" s="20"/>
      <c r="N735" s="20"/>
      <c r="O735" s="20"/>
      <c r="P735" s="20"/>
      <c r="Q735" s="20"/>
      <c r="R735" s="20"/>
      <c r="S735" s="20"/>
      <c r="T735" s="20"/>
      <c r="U735" s="20"/>
      <c r="V735" s="20"/>
      <c r="W735" s="20"/>
      <c r="X735" s="20"/>
      <c r="Y735" s="20"/>
      <c r="Z735" s="20"/>
      <c r="AA735" s="20"/>
    </row>
    <row r="736" spans="1:27" ht="121.8" x14ac:dyDescent="0.25">
      <c r="A736" s="16"/>
      <c r="B736" s="20" t="b">
        <f ca="1">IFERROR(__xludf.DUMMYFUNCTION("if(D736=iferror(filter('Character Sheet'!D$13:D3002,'Character Sheet'!D$13:D3002=D736),""""),True,False)"),FALSE)</f>
        <v>0</v>
      </c>
      <c r="C736" s="20">
        <v>100</v>
      </c>
      <c r="D736" s="2" t="s">
        <v>1658</v>
      </c>
      <c r="E736" s="2" t="s">
        <v>845</v>
      </c>
      <c r="F736" s="20" t="s">
        <v>57</v>
      </c>
      <c r="G736" s="2" t="s">
        <v>1659</v>
      </c>
      <c r="H736" s="16"/>
      <c r="I736" s="20"/>
      <c r="J736" s="20"/>
      <c r="K736" s="20"/>
      <c r="L736" s="20"/>
      <c r="M736" s="20"/>
      <c r="N736" s="20"/>
      <c r="O736" s="20"/>
      <c r="P736" s="20"/>
      <c r="Q736" s="20"/>
      <c r="R736" s="20"/>
      <c r="S736" s="20"/>
      <c r="T736" s="20"/>
      <c r="U736" s="20"/>
      <c r="V736" s="20"/>
      <c r="W736" s="20"/>
      <c r="X736" s="20"/>
      <c r="Y736" s="20"/>
      <c r="Z736" s="20"/>
      <c r="AA736" s="20"/>
    </row>
    <row r="737" spans="1:27" ht="104.4" x14ac:dyDescent="0.25">
      <c r="A737" s="16"/>
      <c r="B737" s="20" t="b">
        <f ca="1">IFERROR(__xludf.DUMMYFUNCTION("if(D737=iferror(filter('Character Sheet'!D$13:D3002,'Character Sheet'!D$13:D3002=D737),""""),True,False)"),FALSE)</f>
        <v>0</v>
      </c>
      <c r="C737" s="20">
        <v>100</v>
      </c>
      <c r="D737" s="2" t="s">
        <v>1660</v>
      </c>
      <c r="E737" s="2" t="s">
        <v>378</v>
      </c>
      <c r="F737" s="20" t="s">
        <v>57</v>
      </c>
      <c r="G737" s="2" t="s">
        <v>1661</v>
      </c>
      <c r="H737" s="16"/>
      <c r="I737" s="20"/>
      <c r="J737" s="20"/>
      <c r="K737" s="20"/>
      <c r="L737" s="20"/>
      <c r="M737" s="20"/>
      <c r="N737" s="20"/>
      <c r="O737" s="20"/>
      <c r="P737" s="20"/>
      <c r="Q737" s="20"/>
      <c r="R737" s="20"/>
      <c r="S737" s="20"/>
      <c r="T737" s="20"/>
      <c r="U737" s="20"/>
      <c r="V737" s="20"/>
      <c r="W737" s="20"/>
      <c r="X737" s="20"/>
      <c r="Y737" s="20"/>
      <c r="Z737" s="20"/>
      <c r="AA737" s="20"/>
    </row>
    <row r="738" spans="1:27" ht="208.8" x14ac:dyDescent="0.25">
      <c r="A738" s="16"/>
      <c r="B738" s="20" t="b">
        <f ca="1">IFERROR(__xludf.DUMMYFUNCTION("if(D738=iferror(filter('Character Sheet'!D$13:D3002,'Character Sheet'!D$13:D3002=D738),""""),True,False)"),FALSE)</f>
        <v>0</v>
      </c>
      <c r="C738" s="20">
        <v>100</v>
      </c>
      <c r="D738" s="2" t="s">
        <v>1662</v>
      </c>
      <c r="E738" s="2" t="s">
        <v>428</v>
      </c>
      <c r="F738" s="20" t="s">
        <v>57</v>
      </c>
      <c r="G738" s="2" t="s">
        <v>1663</v>
      </c>
      <c r="H738" s="16"/>
      <c r="I738" s="20"/>
      <c r="J738" s="20"/>
      <c r="K738" s="20"/>
      <c r="L738" s="20"/>
      <c r="M738" s="20"/>
      <c r="N738" s="20"/>
      <c r="O738" s="20"/>
      <c r="P738" s="20"/>
      <c r="Q738" s="20"/>
      <c r="R738" s="20"/>
      <c r="S738" s="20"/>
      <c r="T738" s="20"/>
      <c r="U738" s="20"/>
      <c r="V738" s="20"/>
      <c r="W738" s="20"/>
      <c r="X738" s="20"/>
      <c r="Y738" s="20"/>
      <c r="Z738" s="20"/>
      <c r="AA738" s="20"/>
    </row>
    <row r="739" spans="1:27" ht="69.599999999999994" x14ac:dyDescent="0.25">
      <c r="A739" s="16"/>
      <c r="B739" s="20" t="b">
        <f ca="1">IFERROR(__xludf.DUMMYFUNCTION("if(D739=iferror(filter('Character Sheet'!D$13:D3002,'Character Sheet'!D$13:D3002=D739),""""),True,False)"),FALSE)</f>
        <v>0</v>
      </c>
      <c r="C739" s="20">
        <v>100</v>
      </c>
      <c r="D739" s="2" t="s">
        <v>1664</v>
      </c>
      <c r="E739" s="2" t="s">
        <v>401</v>
      </c>
      <c r="F739" s="20" t="s">
        <v>57</v>
      </c>
      <c r="G739" s="2" t="s">
        <v>1665</v>
      </c>
      <c r="H739" s="16"/>
      <c r="I739" s="20"/>
      <c r="J739" s="20"/>
      <c r="K739" s="20"/>
      <c r="L739" s="20"/>
      <c r="M739" s="20"/>
      <c r="N739" s="20"/>
      <c r="O739" s="20"/>
      <c r="P739" s="20"/>
      <c r="Q739" s="20"/>
      <c r="R739" s="20"/>
      <c r="S739" s="20"/>
      <c r="T739" s="20"/>
      <c r="U739" s="20"/>
      <c r="V739" s="20"/>
      <c r="W739" s="20"/>
      <c r="X739" s="20"/>
      <c r="Y739" s="20"/>
      <c r="Z739" s="20"/>
      <c r="AA739" s="20"/>
    </row>
    <row r="740" spans="1:27" ht="69.599999999999994" x14ac:dyDescent="0.25">
      <c r="A740" s="16"/>
      <c r="B740" s="20" t="b">
        <f ca="1">IFERROR(__xludf.DUMMYFUNCTION("if(D740=iferror(filter('Character Sheet'!D$13:D3002,'Character Sheet'!D$13:D3002=D740),""""),True,False)"),FALSE)</f>
        <v>0</v>
      </c>
      <c r="C740" s="20">
        <v>100</v>
      </c>
      <c r="D740" s="2" t="s">
        <v>1666</v>
      </c>
      <c r="E740" s="2" t="s">
        <v>738</v>
      </c>
      <c r="F740" s="20" t="s">
        <v>57</v>
      </c>
      <c r="G740" s="2" t="s">
        <v>1667</v>
      </c>
      <c r="H740" s="16"/>
      <c r="I740" s="20"/>
      <c r="J740" s="20"/>
      <c r="K740" s="20"/>
      <c r="L740" s="20"/>
      <c r="M740" s="20"/>
      <c r="N740" s="20"/>
      <c r="O740" s="20"/>
      <c r="P740" s="20"/>
      <c r="Q740" s="20"/>
      <c r="R740" s="20"/>
      <c r="S740" s="20"/>
      <c r="T740" s="20"/>
      <c r="U740" s="20"/>
      <c r="V740" s="20"/>
      <c r="W740" s="20"/>
      <c r="X740" s="20"/>
      <c r="Y740" s="20"/>
      <c r="Z740" s="20"/>
      <c r="AA740" s="20"/>
    </row>
    <row r="741" spans="1:27" ht="156.6" x14ac:dyDescent="0.25">
      <c r="A741" s="16"/>
      <c r="B741" s="20" t="b">
        <f ca="1">IFERROR(__xludf.DUMMYFUNCTION("if(D741=iferror(filter('Character Sheet'!D$13:D3002,'Character Sheet'!D$13:D3002=D741),""""),True,False)"),FALSE)</f>
        <v>0</v>
      </c>
      <c r="C741" s="20">
        <v>100</v>
      </c>
      <c r="D741" s="2" t="s">
        <v>1668</v>
      </c>
      <c r="E741" s="2" t="s">
        <v>845</v>
      </c>
      <c r="F741" s="20" t="s">
        <v>57</v>
      </c>
      <c r="G741" s="2" t="s">
        <v>1669</v>
      </c>
      <c r="H741" s="16"/>
      <c r="I741" s="20"/>
      <c r="J741" s="20"/>
      <c r="K741" s="20"/>
      <c r="L741" s="20"/>
      <c r="M741" s="20"/>
      <c r="N741" s="20"/>
      <c r="O741" s="20"/>
      <c r="P741" s="20"/>
      <c r="Q741" s="20"/>
      <c r="R741" s="20"/>
      <c r="S741" s="20"/>
      <c r="T741" s="20"/>
      <c r="U741" s="20"/>
      <c r="V741" s="20"/>
      <c r="W741" s="20"/>
      <c r="X741" s="20"/>
      <c r="Y741" s="20"/>
      <c r="Z741" s="20"/>
      <c r="AA741" s="20"/>
    </row>
    <row r="742" spans="1:27" ht="52.2" x14ac:dyDescent="0.25">
      <c r="A742" s="16"/>
      <c r="B742" s="20" t="b">
        <f ca="1">IFERROR(__xludf.DUMMYFUNCTION("if(D742=iferror(filter('Character Sheet'!D$13:D3002,'Character Sheet'!D$13:D3002=D742),""""),True,False)"),FALSE)</f>
        <v>0</v>
      </c>
      <c r="C742" s="20">
        <v>100</v>
      </c>
      <c r="D742" s="2" t="s">
        <v>1670</v>
      </c>
      <c r="E742" s="2" t="s">
        <v>93</v>
      </c>
      <c r="F742" s="20" t="s">
        <v>57</v>
      </c>
      <c r="G742" s="2" t="s">
        <v>1671</v>
      </c>
      <c r="H742" s="16"/>
      <c r="I742" s="20"/>
      <c r="J742" s="20"/>
      <c r="K742" s="20"/>
      <c r="L742" s="20"/>
      <c r="M742" s="20"/>
      <c r="N742" s="20"/>
      <c r="O742" s="20"/>
      <c r="P742" s="20"/>
      <c r="Q742" s="20"/>
      <c r="R742" s="20"/>
      <c r="S742" s="20"/>
      <c r="T742" s="20"/>
      <c r="U742" s="20"/>
      <c r="V742" s="20"/>
      <c r="W742" s="20"/>
      <c r="X742" s="20"/>
      <c r="Y742" s="20"/>
      <c r="Z742" s="20"/>
      <c r="AA742" s="20"/>
    </row>
    <row r="743" spans="1:27" ht="191.4" x14ac:dyDescent="0.25">
      <c r="A743" s="16"/>
      <c r="B743" s="20" t="b">
        <f ca="1">IFERROR(__xludf.DUMMYFUNCTION("if(D743=iferror(filter('Character Sheet'!D$13:D3002,'Character Sheet'!D$13:D3002=D743),""""),True,False)"),FALSE)</f>
        <v>0</v>
      </c>
      <c r="C743" s="20">
        <v>100</v>
      </c>
      <c r="D743" s="2" t="s">
        <v>1672</v>
      </c>
      <c r="E743" s="2" t="s">
        <v>124</v>
      </c>
      <c r="F743" s="20" t="s">
        <v>57</v>
      </c>
      <c r="G743" s="2" t="s">
        <v>1673</v>
      </c>
      <c r="H743" s="16"/>
      <c r="I743" s="20"/>
      <c r="J743" s="20"/>
      <c r="K743" s="20"/>
      <c r="L743" s="20"/>
      <c r="M743" s="20"/>
      <c r="N743" s="20"/>
      <c r="O743" s="20"/>
      <c r="P743" s="20"/>
      <c r="Q743" s="20"/>
      <c r="R743" s="20"/>
      <c r="S743" s="20"/>
      <c r="T743" s="20"/>
      <c r="U743" s="20"/>
      <c r="V743" s="20"/>
      <c r="W743" s="20"/>
      <c r="X743" s="20"/>
      <c r="Y743" s="20"/>
      <c r="Z743" s="20"/>
      <c r="AA743" s="20"/>
    </row>
    <row r="744" spans="1:27" ht="121.8" x14ac:dyDescent="0.25">
      <c r="A744" s="16"/>
      <c r="B744" s="20" t="b">
        <f ca="1">IFERROR(__xludf.DUMMYFUNCTION("if(D744=iferror(filter('Character Sheet'!D$13:D3002,'Character Sheet'!D$13:D3002=D744),""""),True,False)"),FALSE)</f>
        <v>0</v>
      </c>
      <c r="C744" s="20">
        <v>100</v>
      </c>
      <c r="D744" s="2" t="s">
        <v>1674</v>
      </c>
      <c r="E744" s="2" t="s">
        <v>311</v>
      </c>
      <c r="F744" s="20" t="s">
        <v>57</v>
      </c>
      <c r="G744" s="2" t="s">
        <v>1675</v>
      </c>
      <c r="H744" s="16"/>
      <c r="I744" s="20"/>
      <c r="J744" s="20"/>
      <c r="K744" s="20"/>
      <c r="L744" s="20"/>
      <c r="M744" s="20"/>
      <c r="N744" s="20"/>
      <c r="O744" s="20"/>
      <c r="P744" s="20"/>
      <c r="Q744" s="20"/>
      <c r="R744" s="20"/>
      <c r="S744" s="20"/>
      <c r="T744" s="20"/>
      <c r="U744" s="20"/>
      <c r="V744" s="20"/>
      <c r="W744" s="20"/>
      <c r="X744" s="20"/>
      <c r="Y744" s="20"/>
      <c r="Z744" s="20"/>
      <c r="AA744" s="20"/>
    </row>
    <row r="745" spans="1:27" ht="52.2" x14ac:dyDescent="0.25">
      <c r="A745" s="16"/>
      <c r="B745" s="20" t="b">
        <f ca="1">IFERROR(__xludf.DUMMYFUNCTION("if(D745=iferror(filter('Character Sheet'!D$13:D3002,'Character Sheet'!D$13:D3002=D745),""""),True,False)"),FALSE)</f>
        <v>0</v>
      </c>
      <c r="C745" s="20">
        <v>100</v>
      </c>
      <c r="D745" s="2" t="s">
        <v>1676</v>
      </c>
      <c r="E745" s="2" t="s">
        <v>1677</v>
      </c>
      <c r="F745" s="20" t="s">
        <v>57</v>
      </c>
      <c r="G745" s="2" t="s">
        <v>1678</v>
      </c>
      <c r="H745" s="16"/>
      <c r="I745" s="20"/>
      <c r="J745" s="20"/>
      <c r="K745" s="20"/>
      <c r="L745" s="20"/>
      <c r="M745" s="20"/>
      <c r="N745" s="20"/>
      <c r="O745" s="20"/>
      <c r="P745" s="20"/>
      <c r="Q745" s="20"/>
      <c r="R745" s="20"/>
      <c r="S745" s="20"/>
      <c r="T745" s="20"/>
      <c r="U745" s="20"/>
      <c r="V745" s="20"/>
      <c r="W745" s="20"/>
      <c r="X745" s="20"/>
      <c r="Y745" s="20"/>
      <c r="Z745" s="20"/>
      <c r="AA745" s="20"/>
    </row>
    <row r="746" spans="1:27" ht="104.4" x14ac:dyDescent="0.25">
      <c r="A746" s="16"/>
      <c r="B746" s="20" t="b">
        <f ca="1">IFERROR(__xludf.DUMMYFUNCTION("if(D746=iferror(filter('Character Sheet'!D$13:D3002,'Character Sheet'!D$13:D3002=D746),""""),True,False)"),FALSE)</f>
        <v>0</v>
      </c>
      <c r="C746" s="20">
        <v>100</v>
      </c>
      <c r="D746" s="2" t="s">
        <v>1679</v>
      </c>
      <c r="E746" s="2" t="s">
        <v>371</v>
      </c>
      <c r="F746" s="20" t="s">
        <v>57</v>
      </c>
      <c r="G746" s="2" t="s">
        <v>1680</v>
      </c>
      <c r="H746" s="16"/>
      <c r="I746" s="20"/>
      <c r="J746" s="20"/>
      <c r="K746" s="20"/>
      <c r="L746" s="20"/>
      <c r="M746" s="20"/>
      <c r="N746" s="20"/>
      <c r="O746" s="20"/>
      <c r="P746" s="20"/>
      <c r="Q746" s="20"/>
      <c r="R746" s="20"/>
      <c r="S746" s="20"/>
      <c r="T746" s="20"/>
      <c r="U746" s="20"/>
      <c r="V746" s="20"/>
      <c r="W746" s="20"/>
      <c r="X746" s="20"/>
      <c r="Y746" s="20"/>
      <c r="Z746" s="20"/>
      <c r="AA746" s="20"/>
    </row>
    <row r="747" spans="1:27" ht="121.8" x14ac:dyDescent="0.25">
      <c r="A747" s="16"/>
      <c r="B747" s="20" t="b">
        <f ca="1">IFERROR(__xludf.DUMMYFUNCTION("if(D747=iferror(filter('Character Sheet'!D$13:D3002,'Character Sheet'!D$13:D3002=D747),""""),True,False)"),FALSE)</f>
        <v>0</v>
      </c>
      <c r="C747" s="20">
        <v>100</v>
      </c>
      <c r="D747" s="2" t="s">
        <v>1681</v>
      </c>
      <c r="E747" s="2" t="s">
        <v>350</v>
      </c>
      <c r="F747" s="20" t="s">
        <v>57</v>
      </c>
      <c r="G747" s="2" t="s">
        <v>1682</v>
      </c>
      <c r="H747" s="16"/>
      <c r="I747" s="20"/>
      <c r="J747" s="20"/>
      <c r="K747" s="20"/>
      <c r="L747" s="20"/>
      <c r="M747" s="20"/>
      <c r="N747" s="20"/>
      <c r="O747" s="20"/>
      <c r="P747" s="20"/>
      <c r="Q747" s="20"/>
      <c r="R747" s="20"/>
      <c r="S747" s="20"/>
      <c r="T747" s="20"/>
      <c r="U747" s="20"/>
      <c r="V747" s="20"/>
      <c r="W747" s="20"/>
      <c r="X747" s="20"/>
      <c r="Y747" s="20"/>
      <c r="Z747" s="20"/>
      <c r="AA747" s="20"/>
    </row>
    <row r="748" spans="1:27" ht="121.8" x14ac:dyDescent="0.25">
      <c r="A748" s="16"/>
      <c r="B748" s="20" t="b">
        <f ca="1">IFERROR(__xludf.DUMMYFUNCTION("if(D748=iferror(filter('Character Sheet'!D$13:D3002,'Character Sheet'!D$13:D3002=D748),""""),True,False)"),FALSE)</f>
        <v>0</v>
      </c>
      <c r="C748" s="20">
        <v>100</v>
      </c>
      <c r="D748" s="2" t="s">
        <v>1683</v>
      </c>
      <c r="E748" s="2" t="s">
        <v>136</v>
      </c>
      <c r="F748" s="20" t="s">
        <v>57</v>
      </c>
      <c r="G748" s="2" t="s">
        <v>1684</v>
      </c>
      <c r="H748" s="16"/>
      <c r="I748" s="20"/>
      <c r="J748" s="20"/>
      <c r="K748" s="20"/>
      <c r="L748" s="20"/>
      <c r="M748" s="20"/>
      <c r="N748" s="20"/>
      <c r="O748" s="20"/>
      <c r="P748" s="20"/>
      <c r="Q748" s="20"/>
      <c r="R748" s="20"/>
      <c r="S748" s="20"/>
      <c r="T748" s="20"/>
      <c r="U748" s="20"/>
      <c r="V748" s="20"/>
      <c r="W748" s="20"/>
      <c r="X748" s="20"/>
      <c r="Y748" s="20"/>
      <c r="Z748" s="20"/>
      <c r="AA748" s="20"/>
    </row>
    <row r="749" spans="1:27" ht="104.4" x14ac:dyDescent="0.25">
      <c r="A749" s="16"/>
      <c r="B749" s="20" t="b">
        <f ca="1">IFERROR(__xludf.DUMMYFUNCTION("if(D749=iferror(filter('Character Sheet'!D$13:D3002,'Character Sheet'!D$13:D3002=D749),""""),True,False)"),FALSE)</f>
        <v>0</v>
      </c>
      <c r="C749" s="20">
        <v>100</v>
      </c>
      <c r="D749" s="2" t="s">
        <v>1685</v>
      </c>
      <c r="E749" s="2" t="s">
        <v>401</v>
      </c>
      <c r="F749" s="20" t="s">
        <v>57</v>
      </c>
      <c r="G749" s="2" t="s">
        <v>1686</v>
      </c>
      <c r="H749" s="16"/>
      <c r="I749" s="20"/>
      <c r="J749" s="20"/>
      <c r="K749" s="20"/>
      <c r="L749" s="20"/>
      <c r="M749" s="20"/>
      <c r="N749" s="20"/>
      <c r="O749" s="20"/>
      <c r="P749" s="20"/>
      <c r="Q749" s="20"/>
      <c r="R749" s="20"/>
      <c r="S749" s="20"/>
      <c r="T749" s="20"/>
      <c r="U749" s="20"/>
      <c r="V749" s="20"/>
      <c r="W749" s="20"/>
      <c r="X749" s="20"/>
      <c r="Y749" s="20"/>
      <c r="Z749" s="20"/>
      <c r="AA749" s="20"/>
    </row>
    <row r="750" spans="1:27" ht="52.2" x14ac:dyDescent="0.25">
      <c r="A750" s="16"/>
      <c r="B750" s="20" t="b">
        <f ca="1">IFERROR(__xludf.DUMMYFUNCTION("if(D750=iferror(filter('Character Sheet'!D$13:D3002,'Character Sheet'!D$13:D3002=D750),""""),True,False)"),FALSE)</f>
        <v>0</v>
      </c>
      <c r="C750" s="20">
        <v>100</v>
      </c>
      <c r="D750" s="2" t="s">
        <v>1687</v>
      </c>
      <c r="E750" s="2" t="s">
        <v>344</v>
      </c>
      <c r="F750" s="20" t="s">
        <v>57</v>
      </c>
      <c r="G750" s="2" t="s">
        <v>1688</v>
      </c>
      <c r="H750" s="16"/>
      <c r="I750" s="20"/>
      <c r="J750" s="20"/>
      <c r="K750" s="20"/>
      <c r="L750" s="20"/>
      <c r="M750" s="20"/>
      <c r="N750" s="20"/>
      <c r="O750" s="20"/>
      <c r="P750" s="20"/>
      <c r="Q750" s="20"/>
      <c r="R750" s="20"/>
      <c r="S750" s="20"/>
      <c r="T750" s="20"/>
      <c r="U750" s="20"/>
      <c r="V750" s="20"/>
      <c r="W750" s="20"/>
      <c r="X750" s="20"/>
      <c r="Y750" s="20"/>
      <c r="Z750" s="20"/>
      <c r="AA750" s="20"/>
    </row>
    <row r="751" spans="1:27" ht="87" x14ac:dyDescent="0.25">
      <c r="A751" s="16"/>
      <c r="B751" s="20" t="b">
        <f ca="1">IFERROR(__xludf.DUMMYFUNCTION("if(D751=iferror(filter('Character Sheet'!D$13:D3002,'Character Sheet'!D$13:D3002=D751),""""),True,False)"),FALSE)</f>
        <v>0</v>
      </c>
      <c r="C751" s="20">
        <v>100</v>
      </c>
      <c r="D751" s="2" t="s">
        <v>1689</v>
      </c>
      <c r="E751" s="2" t="s">
        <v>1690</v>
      </c>
      <c r="F751" s="20" t="s">
        <v>57</v>
      </c>
      <c r="G751" s="2" t="s">
        <v>1691</v>
      </c>
      <c r="H751" s="16"/>
      <c r="I751" s="20"/>
      <c r="J751" s="20"/>
      <c r="K751" s="20"/>
      <c r="L751" s="20"/>
      <c r="M751" s="20"/>
      <c r="N751" s="20"/>
      <c r="O751" s="20"/>
      <c r="P751" s="20"/>
      <c r="Q751" s="20"/>
      <c r="R751" s="20"/>
      <c r="S751" s="20"/>
      <c r="T751" s="20"/>
      <c r="U751" s="20"/>
      <c r="V751" s="20"/>
      <c r="W751" s="20"/>
      <c r="X751" s="20"/>
      <c r="Y751" s="20"/>
      <c r="Z751" s="20"/>
      <c r="AA751" s="20"/>
    </row>
    <row r="752" spans="1:27" ht="34.799999999999997" x14ac:dyDescent="0.25">
      <c r="A752" s="16"/>
      <c r="B752" s="20" t="b">
        <f ca="1">IFERROR(__xludf.DUMMYFUNCTION("if(D752=iferror(filter('Character Sheet'!D$13:D3002,'Character Sheet'!D$13:D3002=D752),""""),True,False)"),FALSE)</f>
        <v>0</v>
      </c>
      <c r="C752" s="20">
        <v>100</v>
      </c>
      <c r="D752" s="2" t="s">
        <v>1692</v>
      </c>
      <c r="E752" s="2" t="s">
        <v>1693</v>
      </c>
      <c r="F752" s="20" t="s">
        <v>57</v>
      </c>
      <c r="G752" s="2" t="s">
        <v>1694</v>
      </c>
      <c r="H752" s="16"/>
      <c r="I752" s="20"/>
      <c r="J752" s="20"/>
      <c r="K752" s="20"/>
      <c r="L752" s="20"/>
      <c r="M752" s="20"/>
      <c r="N752" s="20"/>
      <c r="O752" s="20"/>
      <c r="P752" s="20"/>
      <c r="Q752" s="20"/>
      <c r="R752" s="20"/>
      <c r="S752" s="20"/>
      <c r="T752" s="20"/>
      <c r="U752" s="20"/>
      <c r="V752" s="20"/>
      <c r="W752" s="20"/>
      <c r="X752" s="20"/>
      <c r="Y752" s="20"/>
      <c r="Z752" s="20"/>
      <c r="AA752" s="20"/>
    </row>
    <row r="753" spans="1:27" ht="121.8" x14ac:dyDescent="0.25">
      <c r="A753" s="16"/>
      <c r="B753" s="20" t="b">
        <f ca="1">IFERROR(__xludf.DUMMYFUNCTION("if(D753=iferror(filter('Character Sheet'!D$13:D3002,'Character Sheet'!D$13:D3002=D753),""""),True,False)"),FALSE)</f>
        <v>0</v>
      </c>
      <c r="C753" s="20">
        <v>100</v>
      </c>
      <c r="D753" s="2" t="s">
        <v>1695</v>
      </c>
      <c r="E753" s="2" t="s">
        <v>435</v>
      </c>
      <c r="F753" s="20" t="s">
        <v>57</v>
      </c>
      <c r="G753" s="2" t="s">
        <v>1696</v>
      </c>
      <c r="H753" s="16"/>
      <c r="I753" s="20"/>
      <c r="J753" s="20"/>
      <c r="K753" s="20"/>
      <c r="L753" s="20"/>
      <c r="M753" s="20"/>
      <c r="N753" s="20"/>
      <c r="O753" s="20"/>
      <c r="P753" s="20"/>
      <c r="Q753" s="20"/>
      <c r="R753" s="20"/>
      <c r="S753" s="20"/>
      <c r="T753" s="20"/>
      <c r="U753" s="20"/>
      <c r="V753" s="20"/>
      <c r="W753" s="20"/>
      <c r="X753" s="20"/>
      <c r="Y753" s="20"/>
      <c r="Z753" s="20"/>
      <c r="AA753" s="20"/>
    </row>
    <row r="754" spans="1:27" ht="69.599999999999994" x14ac:dyDescent="0.25">
      <c r="A754" s="16"/>
      <c r="B754" s="20" t="b">
        <f ca="1">IFERROR(__xludf.DUMMYFUNCTION("if(D754=iferror(filter('Character Sheet'!D$13:D3002,'Character Sheet'!D$13:D3002=D754),""""),True,False)"),FALSE)</f>
        <v>0</v>
      </c>
      <c r="C754" s="20">
        <v>100</v>
      </c>
      <c r="D754" s="2" t="s">
        <v>1697</v>
      </c>
      <c r="E754" s="2" t="s">
        <v>225</v>
      </c>
      <c r="F754" s="20" t="s">
        <v>57</v>
      </c>
      <c r="G754" s="2" t="s">
        <v>1698</v>
      </c>
      <c r="H754" s="16"/>
      <c r="I754" s="20"/>
      <c r="J754" s="20"/>
      <c r="K754" s="20"/>
      <c r="L754" s="20"/>
      <c r="M754" s="20"/>
      <c r="N754" s="20"/>
      <c r="O754" s="20"/>
      <c r="P754" s="20"/>
      <c r="Q754" s="20"/>
      <c r="R754" s="20"/>
      <c r="S754" s="20"/>
      <c r="T754" s="20"/>
      <c r="U754" s="20"/>
      <c r="V754" s="20"/>
      <c r="W754" s="20"/>
      <c r="X754" s="20"/>
      <c r="Y754" s="20"/>
      <c r="Z754" s="20"/>
      <c r="AA754" s="20"/>
    </row>
    <row r="755" spans="1:27" ht="139.19999999999999" x14ac:dyDescent="0.25">
      <c r="A755" s="16"/>
      <c r="B755" s="20" t="b">
        <f ca="1">IFERROR(__xludf.DUMMYFUNCTION("if(D755=iferror(filter('Character Sheet'!D$13:D3002,'Character Sheet'!D$13:D3002=D755),""""),True,False)"),FALSE)</f>
        <v>0</v>
      </c>
      <c r="C755" s="20">
        <v>100</v>
      </c>
      <c r="D755" s="2" t="s">
        <v>1699</v>
      </c>
      <c r="E755" s="2" t="s">
        <v>845</v>
      </c>
      <c r="F755" s="20" t="s">
        <v>57</v>
      </c>
      <c r="G755" s="2" t="s">
        <v>1700</v>
      </c>
      <c r="H755" s="16"/>
      <c r="I755" s="20"/>
      <c r="J755" s="20"/>
      <c r="K755" s="20"/>
      <c r="L755" s="20"/>
      <c r="M755" s="20"/>
      <c r="N755" s="20"/>
      <c r="O755" s="20"/>
      <c r="P755" s="20"/>
      <c r="Q755" s="20"/>
      <c r="R755" s="20"/>
      <c r="S755" s="20"/>
      <c r="T755" s="20"/>
      <c r="U755" s="20"/>
      <c r="V755" s="20"/>
      <c r="W755" s="20"/>
      <c r="X755" s="20"/>
      <c r="Y755" s="20"/>
      <c r="Z755" s="20"/>
      <c r="AA755" s="20"/>
    </row>
    <row r="756" spans="1:27" ht="121.8" x14ac:dyDescent="0.25">
      <c r="A756" s="16"/>
      <c r="B756" s="20" t="b">
        <f ca="1">IFERROR(__xludf.DUMMYFUNCTION("if(D756=iferror(filter('Character Sheet'!D$13:D3002,'Character Sheet'!D$13:D3002=D756),""""),True,False)"),FALSE)</f>
        <v>0</v>
      </c>
      <c r="C756" s="20">
        <v>100</v>
      </c>
      <c r="D756" s="2" t="s">
        <v>1701</v>
      </c>
      <c r="E756" s="2" t="s">
        <v>1702</v>
      </c>
      <c r="F756" s="20" t="s">
        <v>57</v>
      </c>
      <c r="G756" s="2" t="s">
        <v>1703</v>
      </c>
      <c r="H756" s="16"/>
      <c r="I756" s="20"/>
      <c r="J756" s="20"/>
      <c r="K756" s="20"/>
      <c r="L756" s="20"/>
      <c r="M756" s="20"/>
      <c r="N756" s="20"/>
      <c r="O756" s="20"/>
      <c r="P756" s="20"/>
      <c r="Q756" s="20"/>
      <c r="R756" s="20"/>
      <c r="S756" s="20"/>
      <c r="T756" s="20"/>
      <c r="U756" s="20"/>
      <c r="V756" s="20"/>
      <c r="W756" s="20"/>
      <c r="X756" s="20"/>
      <c r="Y756" s="20"/>
      <c r="Z756" s="20"/>
      <c r="AA756" s="20"/>
    </row>
    <row r="757" spans="1:27" ht="87" x14ac:dyDescent="0.25">
      <c r="A757" s="16"/>
      <c r="B757" s="20" t="b">
        <f ca="1">IFERROR(__xludf.DUMMYFUNCTION("if(D757=iferror(filter('Character Sheet'!D$13:D3002,'Character Sheet'!D$13:D3002=D757),""""),True,False)"),FALSE)</f>
        <v>0</v>
      </c>
      <c r="C757" s="20">
        <v>100</v>
      </c>
      <c r="D757" s="2" t="s">
        <v>1704</v>
      </c>
      <c r="E757" s="2" t="s">
        <v>334</v>
      </c>
      <c r="F757" s="20" t="s">
        <v>57</v>
      </c>
      <c r="G757" s="2" t="s">
        <v>1705</v>
      </c>
      <c r="H757" s="16"/>
      <c r="I757" s="20"/>
      <c r="J757" s="20"/>
      <c r="K757" s="20"/>
      <c r="L757" s="20"/>
      <c r="M757" s="20"/>
      <c r="N757" s="20"/>
      <c r="O757" s="20"/>
      <c r="P757" s="20"/>
      <c r="Q757" s="20"/>
      <c r="R757" s="20"/>
      <c r="S757" s="20"/>
      <c r="T757" s="20"/>
      <c r="U757" s="20"/>
      <c r="V757" s="20"/>
      <c r="W757" s="20"/>
      <c r="X757" s="20"/>
      <c r="Y757" s="20"/>
      <c r="Z757" s="20"/>
      <c r="AA757" s="20"/>
    </row>
    <row r="758" spans="1:27" ht="52.2" x14ac:dyDescent="0.25">
      <c r="A758" s="16"/>
      <c r="B758" s="20" t="b">
        <f ca="1">IFERROR(__xludf.DUMMYFUNCTION("if(D758=iferror(filter('Character Sheet'!D$13:D3002,'Character Sheet'!D$13:D3002=D758),""""),True,False)"),FALSE)</f>
        <v>0</v>
      </c>
      <c r="C758" s="20">
        <v>100</v>
      </c>
      <c r="D758" s="2" t="s">
        <v>1706</v>
      </c>
      <c r="E758" s="2" t="s">
        <v>501</v>
      </c>
      <c r="F758" s="20" t="s">
        <v>57</v>
      </c>
      <c r="G758" s="2" t="s">
        <v>1707</v>
      </c>
      <c r="H758" s="16"/>
      <c r="I758" s="20"/>
      <c r="J758" s="20"/>
      <c r="K758" s="20"/>
      <c r="L758" s="20"/>
      <c r="M758" s="20"/>
      <c r="N758" s="20"/>
      <c r="O758" s="20"/>
      <c r="P758" s="20"/>
      <c r="Q758" s="20"/>
      <c r="R758" s="20"/>
      <c r="S758" s="20"/>
      <c r="T758" s="20"/>
      <c r="U758" s="20"/>
      <c r="V758" s="20"/>
      <c r="W758" s="20"/>
      <c r="X758" s="20"/>
      <c r="Y758" s="20"/>
      <c r="Z758" s="20"/>
      <c r="AA758" s="20"/>
    </row>
    <row r="759" spans="1:27" ht="191.4" x14ac:dyDescent="0.25">
      <c r="A759" s="16"/>
      <c r="B759" s="20" t="b">
        <f ca="1">IFERROR(__xludf.DUMMYFUNCTION("if(D759=iferror(filter('Character Sheet'!D$13:D3002,'Character Sheet'!D$13:D3002=D759),""""),True,False)"),FALSE)</f>
        <v>0</v>
      </c>
      <c r="C759" s="20">
        <v>100</v>
      </c>
      <c r="D759" s="2" t="s">
        <v>1708</v>
      </c>
      <c r="E759" s="2" t="s">
        <v>381</v>
      </c>
      <c r="F759" s="20" t="s">
        <v>57</v>
      </c>
      <c r="G759" s="2" t="s">
        <v>1709</v>
      </c>
      <c r="H759" s="16"/>
      <c r="I759" s="20"/>
      <c r="J759" s="20"/>
      <c r="K759" s="20"/>
      <c r="L759" s="20"/>
      <c r="M759" s="20"/>
      <c r="N759" s="20"/>
      <c r="O759" s="20"/>
      <c r="P759" s="20"/>
      <c r="Q759" s="20"/>
      <c r="R759" s="20"/>
      <c r="S759" s="20"/>
      <c r="T759" s="20"/>
      <c r="U759" s="20"/>
      <c r="V759" s="20"/>
      <c r="W759" s="20"/>
      <c r="X759" s="20"/>
      <c r="Y759" s="20"/>
      <c r="Z759" s="20"/>
      <c r="AA759" s="20"/>
    </row>
    <row r="760" spans="1:27" ht="52.2" x14ac:dyDescent="0.25">
      <c r="A760" s="16"/>
      <c r="B760" s="20" t="b">
        <f ca="1">IFERROR(__xludf.DUMMYFUNCTION("if(D760=iferror(filter('Character Sheet'!D$13:D3002,'Character Sheet'!D$13:D3002=D760),""""),True,False)"),FALSE)</f>
        <v>0</v>
      </c>
      <c r="C760" s="20">
        <v>100</v>
      </c>
      <c r="D760" s="2" t="s">
        <v>1710</v>
      </c>
      <c r="E760" s="2" t="s">
        <v>288</v>
      </c>
      <c r="F760" s="20" t="s">
        <v>57</v>
      </c>
      <c r="G760" s="2" t="s">
        <v>1711</v>
      </c>
      <c r="H760" s="16"/>
      <c r="I760" s="20"/>
      <c r="J760" s="20"/>
      <c r="K760" s="20"/>
      <c r="L760" s="20"/>
      <c r="M760" s="20"/>
      <c r="N760" s="20"/>
      <c r="O760" s="20"/>
      <c r="P760" s="20"/>
      <c r="Q760" s="20"/>
      <c r="R760" s="20"/>
      <c r="S760" s="20"/>
      <c r="T760" s="20"/>
      <c r="U760" s="20"/>
      <c r="V760" s="20"/>
      <c r="W760" s="20"/>
      <c r="X760" s="20"/>
      <c r="Y760" s="20"/>
      <c r="Z760" s="20"/>
      <c r="AA760" s="20"/>
    </row>
    <row r="761" spans="1:27" ht="52.2" x14ac:dyDescent="0.25">
      <c r="A761" s="16"/>
      <c r="B761" s="20" t="b">
        <f ca="1">IFERROR(__xludf.DUMMYFUNCTION("if(D761=iferror(filter('Character Sheet'!D$13:D3002,'Character Sheet'!D$13:D3002=D761),""""),True,False)"),FALSE)</f>
        <v>0</v>
      </c>
      <c r="C761" s="20">
        <v>100</v>
      </c>
      <c r="D761" s="2" t="s">
        <v>1712</v>
      </c>
      <c r="E761" s="2" t="s">
        <v>630</v>
      </c>
      <c r="F761" s="20" t="s">
        <v>57</v>
      </c>
      <c r="G761" s="2" t="s">
        <v>1713</v>
      </c>
      <c r="H761" s="16"/>
      <c r="I761" s="20"/>
      <c r="J761" s="20"/>
      <c r="K761" s="20"/>
      <c r="L761" s="20"/>
      <c r="M761" s="20"/>
      <c r="N761" s="20"/>
      <c r="O761" s="20"/>
      <c r="P761" s="20"/>
      <c r="Q761" s="20"/>
      <c r="R761" s="20"/>
      <c r="S761" s="20"/>
      <c r="T761" s="20"/>
      <c r="U761" s="20"/>
      <c r="V761" s="20"/>
      <c r="W761" s="20"/>
      <c r="X761" s="20"/>
      <c r="Y761" s="20"/>
      <c r="Z761" s="20"/>
      <c r="AA761" s="20"/>
    </row>
    <row r="762" spans="1:27" ht="52.2" x14ac:dyDescent="0.25">
      <c r="A762" s="16"/>
      <c r="B762" s="20" t="b">
        <f ca="1">IFERROR(__xludf.DUMMYFUNCTION("if(D762=iferror(filter('Character Sheet'!D$13:D3002,'Character Sheet'!D$13:D3002=D762),""""),True,False)"),FALSE)</f>
        <v>0</v>
      </c>
      <c r="C762" s="20">
        <v>100</v>
      </c>
      <c r="D762" s="2" t="s">
        <v>1714</v>
      </c>
      <c r="E762" s="2" t="s">
        <v>469</v>
      </c>
      <c r="F762" s="20" t="s">
        <v>57</v>
      </c>
      <c r="G762" s="2" t="s">
        <v>1715</v>
      </c>
      <c r="H762" s="16"/>
      <c r="I762" s="20"/>
      <c r="J762" s="20"/>
      <c r="K762" s="20"/>
      <c r="L762" s="20"/>
      <c r="M762" s="20"/>
      <c r="N762" s="20"/>
      <c r="O762" s="20"/>
      <c r="P762" s="20"/>
      <c r="Q762" s="20"/>
      <c r="R762" s="20"/>
      <c r="S762" s="20"/>
      <c r="T762" s="20"/>
      <c r="U762" s="20"/>
      <c r="V762" s="20"/>
      <c r="W762" s="20"/>
      <c r="X762" s="20"/>
      <c r="Y762" s="20"/>
      <c r="Z762" s="20"/>
      <c r="AA762" s="20"/>
    </row>
    <row r="763" spans="1:27" ht="87" x14ac:dyDescent="0.25">
      <c r="A763" s="16"/>
      <c r="B763" s="20" t="b">
        <f ca="1">IFERROR(__xludf.DUMMYFUNCTION("if(D763=iferror(filter('Character Sheet'!D$13:D3002,'Character Sheet'!D$13:D3002=D763),""""),True,False)"),FALSE)</f>
        <v>0</v>
      </c>
      <c r="C763" s="20">
        <v>100</v>
      </c>
      <c r="D763" s="2" t="s">
        <v>1716</v>
      </c>
      <c r="E763" s="2" t="s">
        <v>478</v>
      </c>
      <c r="F763" s="20" t="s">
        <v>57</v>
      </c>
      <c r="G763" s="2" t="s">
        <v>1717</v>
      </c>
      <c r="H763" s="16"/>
      <c r="I763" s="20"/>
      <c r="J763" s="20"/>
      <c r="K763" s="20"/>
      <c r="L763" s="20"/>
      <c r="M763" s="20"/>
      <c r="N763" s="20"/>
      <c r="O763" s="20"/>
      <c r="P763" s="20"/>
      <c r="Q763" s="20"/>
      <c r="R763" s="20"/>
      <c r="S763" s="20"/>
      <c r="T763" s="20"/>
      <c r="U763" s="20"/>
      <c r="V763" s="20"/>
      <c r="W763" s="20"/>
      <c r="X763" s="20"/>
      <c r="Y763" s="20"/>
      <c r="Z763" s="20"/>
      <c r="AA763" s="20"/>
    </row>
    <row r="764" spans="1:27" ht="121.8" x14ac:dyDescent="0.25">
      <c r="A764" s="16"/>
      <c r="B764" s="20" t="b">
        <f ca="1">IFERROR(__xludf.DUMMYFUNCTION("if(D764=iferror(filter('Character Sheet'!D$13:D3002,'Character Sheet'!D$13:D3002=D764),""""),True,False)"),FALSE)</f>
        <v>0</v>
      </c>
      <c r="C764" s="20">
        <v>100</v>
      </c>
      <c r="D764" s="2" t="s">
        <v>1718</v>
      </c>
      <c r="E764" s="2" t="s">
        <v>521</v>
      </c>
      <c r="F764" s="20" t="s">
        <v>57</v>
      </c>
      <c r="G764" s="2" t="s">
        <v>1719</v>
      </c>
      <c r="H764" s="16"/>
      <c r="I764" s="20"/>
      <c r="J764" s="20"/>
      <c r="K764" s="20"/>
      <c r="L764" s="20"/>
      <c r="M764" s="20"/>
      <c r="N764" s="20"/>
      <c r="O764" s="20"/>
      <c r="P764" s="20"/>
      <c r="Q764" s="20"/>
      <c r="R764" s="20"/>
      <c r="S764" s="20"/>
      <c r="T764" s="20"/>
      <c r="U764" s="20"/>
      <c r="V764" s="20"/>
      <c r="W764" s="20"/>
      <c r="X764" s="20"/>
      <c r="Y764" s="20"/>
      <c r="Z764" s="20"/>
      <c r="AA764" s="20"/>
    </row>
    <row r="765" spans="1:27" ht="69.599999999999994" x14ac:dyDescent="0.25">
      <c r="A765" s="16"/>
      <c r="B765" s="20" t="b">
        <f ca="1">IFERROR(__xludf.DUMMYFUNCTION("if(D765=iferror(filter('Character Sheet'!D$13:D3002,'Character Sheet'!D$13:D3002=D765),""""),True,False)"),FALSE)</f>
        <v>0</v>
      </c>
      <c r="C765" s="20">
        <v>100</v>
      </c>
      <c r="D765" s="2" t="s">
        <v>1720</v>
      </c>
      <c r="E765" s="2" t="s">
        <v>328</v>
      </c>
      <c r="F765" s="20" t="s">
        <v>57</v>
      </c>
      <c r="G765" s="2" t="s">
        <v>1721</v>
      </c>
      <c r="H765" s="16"/>
      <c r="I765" s="20"/>
      <c r="J765" s="20"/>
      <c r="K765" s="20"/>
      <c r="L765" s="20"/>
      <c r="M765" s="20"/>
      <c r="N765" s="20"/>
      <c r="O765" s="20"/>
      <c r="P765" s="20"/>
      <c r="Q765" s="20"/>
      <c r="R765" s="20"/>
      <c r="S765" s="20"/>
      <c r="T765" s="20"/>
      <c r="U765" s="20"/>
      <c r="V765" s="20"/>
      <c r="W765" s="20"/>
      <c r="X765" s="20"/>
      <c r="Y765" s="20"/>
      <c r="Z765" s="20"/>
      <c r="AA765" s="20"/>
    </row>
    <row r="766" spans="1:27" ht="174" x14ac:dyDescent="0.25">
      <c r="A766" s="16"/>
      <c r="B766" s="20" t="b">
        <f ca="1">IFERROR(__xludf.DUMMYFUNCTION("if(D766=iferror(filter('Character Sheet'!D$13:D3002,'Character Sheet'!D$13:D3002=D766),""""),True,False)"),FALSE)</f>
        <v>0</v>
      </c>
      <c r="C766" s="20">
        <v>100</v>
      </c>
      <c r="D766" s="2" t="s">
        <v>1722</v>
      </c>
      <c r="E766" s="2" t="s">
        <v>649</v>
      </c>
      <c r="F766" s="20" t="s">
        <v>57</v>
      </c>
      <c r="G766" s="2" t="s">
        <v>1723</v>
      </c>
      <c r="H766" s="16"/>
      <c r="I766" s="20"/>
      <c r="J766" s="20"/>
      <c r="K766" s="20"/>
      <c r="L766" s="20"/>
      <c r="M766" s="20"/>
      <c r="N766" s="20"/>
      <c r="O766" s="20"/>
      <c r="P766" s="20"/>
      <c r="Q766" s="20"/>
      <c r="R766" s="20"/>
      <c r="S766" s="20"/>
      <c r="T766" s="20"/>
      <c r="U766" s="20"/>
      <c r="V766" s="20"/>
      <c r="W766" s="20"/>
      <c r="X766" s="20"/>
      <c r="Y766" s="20"/>
      <c r="Z766" s="20"/>
      <c r="AA766" s="20"/>
    </row>
    <row r="767" spans="1:27" ht="191.4" x14ac:dyDescent="0.25">
      <c r="A767" s="16"/>
      <c r="B767" s="20" t="b">
        <f ca="1">IFERROR(__xludf.DUMMYFUNCTION("if(D767=iferror(filter('Character Sheet'!D$13:D3002,'Character Sheet'!D$13:D3002=D767),""""),True,False)"),FALSE)</f>
        <v>0</v>
      </c>
      <c r="C767" s="20">
        <v>100</v>
      </c>
      <c r="D767" s="2" t="s">
        <v>1724</v>
      </c>
      <c r="E767" s="2" t="s">
        <v>662</v>
      </c>
      <c r="F767" s="20" t="s">
        <v>57</v>
      </c>
      <c r="G767" s="2" t="s">
        <v>1725</v>
      </c>
      <c r="H767" s="16"/>
      <c r="I767" s="20"/>
      <c r="J767" s="20"/>
      <c r="K767" s="20"/>
      <c r="L767" s="20"/>
      <c r="M767" s="20"/>
      <c r="N767" s="20"/>
      <c r="O767" s="20"/>
      <c r="P767" s="20"/>
      <c r="Q767" s="20"/>
      <c r="R767" s="20"/>
      <c r="S767" s="20"/>
      <c r="T767" s="20"/>
      <c r="U767" s="20"/>
      <c r="V767" s="20"/>
      <c r="W767" s="20"/>
      <c r="X767" s="20"/>
      <c r="Y767" s="20"/>
      <c r="Z767" s="20"/>
      <c r="AA767" s="20"/>
    </row>
    <row r="768" spans="1:27" ht="87" x14ac:dyDescent="0.25">
      <c r="A768" s="16"/>
      <c r="B768" s="20" t="b">
        <f ca="1">IFERROR(__xludf.DUMMYFUNCTION("if(D768=iferror(filter('Character Sheet'!D$13:D3002,'Character Sheet'!D$13:D3002=D768),""""),True,False)"),FALSE)</f>
        <v>0</v>
      </c>
      <c r="C768" s="20">
        <v>100</v>
      </c>
      <c r="D768" s="2" t="s">
        <v>1726</v>
      </c>
      <c r="E768" s="2" t="s">
        <v>610</v>
      </c>
      <c r="F768" s="20" t="s">
        <v>57</v>
      </c>
      <c r="G768" s="2" t="s">
        <v>1727</v>
      </c>
      <c r="H768" s="16"/>
      <c r="I768" s="20"/>
      <c r="J768" s="20"/>
      <c r="K768" s="20"/>
      <c r="L768" s="20"/>
      <c r="M768" s="20"/>
      <c r="N768" s="20"/>
      <c r="O768" s="20"/>
      <c r="P768" s="20"/>
      <c r="Q768" s="20"/>
      <c r="R768" s="20"/>
      <c r="S768" s="20"/>
      <c r="T768" s="20"/>
      <c r="U768" s="20"/>
      <c r="V768" s="20"/>
      <c r="W768" s="20"/>
      <c r="X768" s="20"/>
      <c r="Y768" s="20"/>
      <c r="Z768" s="20"/>
      <c r="AA768" s="20"/>
    </row>
    <row r="769" spans="1:27" ht="121.8" x14ac:dyDescent="0.25">
      <c r="A769" s="16"/>
      <c r="B769" s="20" t="b">
        <f ca="1">IFERROR(__xludf.DUMMYFUNCTION("if(D769=iferror(filter('Character Sheet'!D$13:D3002,'Character Sheet'!D$13:D3002=D769),""""),True,False)"),FALSE)</f>
        <v>0</v>
      </c>
      <c r="C769" s="20">
        <v>100</v>
      </c>
      <c r="D769" s="2" t="s">
        <v>1728</v>
      </c>
      <c r="E769" s="2" t="s">
        <v>271</v>
      </c>
      <c r="F769" s="20" t="s">
        <v>57</v>
      </c>
      <c r="G769" s="2" t="s">
        <v>1729</v>
      </c>
      <c r="H769" s="16"/>
      <c r="I769" s="20"/>
      <c r="J769" s="20"/>
      <c r="K769" s="20"/>
      <c r="L769" s="20"/>
      <c r="M769" s="20"/>
      <c r="N769" s="20"/>
      <c r="O769" s="20"/>
      <c r="P769" s="20"/>
      <c r="Q769" s="20"/>
      <c r="R769" s="20"/>
      <c r="S769" s="20"/>
      <c r="T769" s="20"/>
      <c r="U769" s="20"/>
      <c r="V769" s="20"/>
      <c r="W769" s="20"/>
      <c r="X769" s="20"/>
      <c r="Y769" s="20"/>
      <c r="Z769" s="20"/>
      <c r="AA769" s="20"/>
    </row>
    <row r="770" spans="1:27" ht="261" x14ac:dyDescent="0.25">
      <c r="A770" s="16"/>
      <c r="B770" s="20" t="b">
        <f ca="1">IFERROR(__xludf.DUMMYFUNCTION("if(D770=iferror(filter('Character Sheet'!D$13:D3002,'Character Sheet'!D$13:D3002=D770),""""),True,False)"),FALSE)</f>
        <v>0</v>
      </c>
      <c r="C770" s="20">
        <v>100</v>
      </c>
      <c r="D770" s="2" t="s">
        <v>1730</v>
      </c>
      <c r="E770" s="2" t="s">
        <v>253</v>
      </c>
      <c r="F770" s="20" t="s">
        <v>57</v>
      </c>
      <c r="G770" s="2" t="s">
        <v>1731</v>
      </c>
      <c r="H770" s="16"/>
      <c r="I770" s="20"/>
      <c r="J770" s="20"/>
      <c r="K770" s="20"/>
      <c r="L770" s="20"/>
      <c r="M770" s="20"/>
      <c r="N770" s="20"/>
      <c r="O770" s="20"/>
      <c r="P770" s="20"/>
      <c r="Q770" s="20"/>
      <c r="R770" s="20"/>
      <c r="S770" s="20"/>
      <c r="T770" s="20"/>
      <c r="U770" s="20"/>
      <c r="V770" s="20"/>
      <c r="W770" s="20"/>
      <c r="X770" s="20"/>
      <c r="Y770" s="20"/>
      <c r="Z770" s="20"/>
      <c r="AA770" s="20"/>
    </row>
    <row r="771" spans="1:27" ht="52.2" x14ac:dyDescent="0.25">
      <c r="A771" s="16"/>
      <c r="B771" s="20" t="b">
        <f ca="1">IFERROR(__xludf.DUMMYFUNCTION("if(D771=iferror(filter('Character Sheet'!D$13:D3002,'Character Sheet'!D$13:D3002=D771),""""),True,False)"),FALSE)</f>
        <v>0</v>
      </c>
      <c r="C771" s="20">
        <v>100</v>
      </c>
      <c r="D771" s="2" t="s">
        <v>1732</v>
      </c>
      <c r="E771" s="2" t="s">
        <v>630</v>
      </c>
      <c r="F771" s="20" t="s">
        <v>57</v>
      </c>
      <c r="G771" s="2" t="s">
        <v>1733</v>
      </c>
      <c r="H771" s="16"/>
      <c r="I771" s="20"/>
      <c r="J771" s="20"/>
      <c r="K771" s="20"/>
      <c r="L771" s="20"/>
      <c r="M771" s="20"/>
      <c r="N771" s="20"/>
      <c r="O771" s="20"/>
      <c r="P771" s="20"/>
      <c r="Q771" s="20"/>
      <c r="R771" s="20"/>
      <c r="S771" s="20"/>
      <c r="T771" s="20"/>
      <c r="U771" s="20"/>
      <c r="V771" s="20"/>
      <c r="W771" s="20"/>
      <c r="X771" s="20"/>
      <c r="Y771" s="20"/>
      <c r="Z771" s="20"/>
      <c r="AA771" s="20"/>
    </row>
    <row r="772" spans="1:27" ht="191.4" x14ac:dyDescent="0.25">
      <c r="A772" s="16"/>
      <c r="B772" s="20" t="b">
        <f ca="1">IFERROR(__xludf.DUMMYFUNCTION("if(D772=iferror(filter('Character Sheet'!D$13:D3002,'Character Sheet'!D$13:D3002=D772),""""),True,False)"),FALSE)</f>
        <v>0</v>
      </c>
      <c r="C772" s="20">
        <v>100</v>
      </c>
      <c r="D772" s="2" t="s">
        <v>1734</v>
      </c>
      <c r="E772" s="2" t="s">
        <v>381</v>
      </c>
      <c r="F772" s="20" t="s">
        <v>57</v>
      </c>
      <c r="G772" s="2" t="s">
        <v>1735</v>
      </c>
      <c r="H772" s="16"/>
      <c r="I772" s="20"/>
      <c r="J772" s="20"/>
      <c r="K772" s="20"/>
      <c r="L772" s="20"/>
      <c r="M772" s="20"/>
      <c r="N772" s="20"/>
      <c r="O772" s="20"/>
      <c r="P772" s="20"/>
      <c r="Q772" s="20"/>
      <c r="R772" s="20"/>
      <c r="S772" s="20"/>
      <c r="T772" s="20"/>
      <c r="U772" s="20"/>
      <c r="V772" s="20"/>
      <c r="W772" s="20"/>
      <c r="X772" s="20"/>
      <c r="Y772" s="20"/>
      <c r="Z772" s="20"/>
      <c r="AA772" s="20"/>
    </row>
    <row r="773" spans="1:27" ht="69.599999999999994" x14ac:dyDescent="0.25">
      <c r="A773" s="16"/>
      <c r="B773" s="20" t="b">
        <f ca="1">IFERROR(__xludf.DUMMYFUNCTION("if(D773=iferror(filter('Character Sheet'!D$13:D3002,'Character Sheet'!D$13:D3002=D773),""""),True,False)"),FALSE)</f>
        <v>0</v>
      </c>
      <c r="C773" s="20">
        <v>100</v>
      </c>
      <c r="D773" s="2" t="s">
        <v>1736</v>
      </c>
      <c r="E773" s="2" t="s">
        <v>192</v>
      </c>
      <c r="F773" s="20" t="s">
        <v>57</v>
      </c>
      <c r="G773" s="2" t="s">
        <v>1737</v>
      </c>
      <c r="H773" s="16"/>
      <c r="I773" s="20"/>
      <c r="J773" s="20"/>
      <c r="K773" s="20"/>
      <c r="L773" s="20"/>
      <c r="M773" s="20"/>
      <c r="N773" s="20"/>
      <c r="O773" s="20"/>
      <c r="P773" s="20"/>
      <c r="Q773" s="20"/>
      <c r="R773" s="20"/>
      <c r="S773" s="20"/>
      <c r="T773" s="20"/>
      <c r="U773" s="20"/>
      <c r="V773" s="20"/>
      <c r="W773" s="20"/>
      <c r="X773" s="20"/>
      <c r="Y773" s="20"/>
      <c r="Z773" s="20"/>
      <c r="AA773" s="20"/>
    </row>
    <row r="774" spans="1:27" ht="121.8" x14ac:dyDescent="0.25">
      <c r="A774" s="16"/>
      <c r="B774" s="20" t="b">
        <f ca="1">IFERROR(__xludf.DUMMYFUNCTION("if(D774=iferror(filter('Character Sheet'!D$13:D3002,'Character Sheet'!D$13:D3002=D774),""""),True,False)"),FALSE)</f>
        <v>0</v>
      </c>
      <c r="C774" s="20">
        <v>100</v>
      </c>
      <c r="D774" s="2" t="s">
        <v>1738</v>
      </c>
      <c r="E774" s="2" t="s">
        <v>317</v>
      </c>
      <c r="F774" s="20" t="s">
        <v>57</v>
      </c>
      <c r="G774" s="2" t="s">
        <v>1739</v>
      </c>
      <c r="H774" s="16"/>
      <c r="I774" s="20"/>
      <c r="J774" s="20"/>
      <c r="K774" s="20"/>
      <c r="L774" s="20"/>
      <c r="M774" s="20"/>
      <c r="N774" s="20"/>
      <c r="O774" s="20"/>
      <c r="P774" s="20"/>
      <c r="Q774" s="20"/>
      <c r="R774" s="20"/>
      <c r="S774" s="20"/>
      <c r="T774" s="20"/>
      <c r="U774" s="20"/>
      <c r="V774" s="20"/>
      <c r="W774" s="20"/>
      <c r="X774" s="20"/>
      <c r="Y774" s="20"/>
      <c r="Z774" s="20"/>
      <c r="AA774" s="20"/>
    </row>
    <row r="775" spans="1:27" ht="87" x14ac:dyDescent="0.25">
      <c r="A775" s="16"/>
      <c r="B775" s="20" t="b">
        <f ca="1">IFERROR(__xludf.DUMMYFUNCTION("if(D775=iferror(filter('Character Sheet'!D$13:D3002,'Character Sheet'!D$13:D3002=D775),""""),True,False)"),FALSE)</f>
        <v>0</v>
      </c>
      <c r="C775" s="20">
        <v>100</v>
      </c>
      <c r="D775" s="2" t="s">
        <v>1740</v>
      </c>
      <c r="E775" s="2" t="s">
        <v>475</v>
      </c>
      <c r="F775" s="20" t="s">
        <v>57</v>
      </c>
      <c r="G775" s="2" t="s">
        <v>1741</v>
      </c>
      <c r="H775" s="16"/>
      <c r="I775" s="20"/>
      <c r="J775" s="20"/>
      <c r="K775" s="20"/>
      <c r="L775" s="20"/>
      <c r="M775" s="20"/>
      <c r="N775" s="20"/>
      <c r="O775" s="20"/>
      <c r="P775" s="20"/>
      <c r="Q775" s="20"/>
      <c r="R775" s="20"/>
      <c r="S775" s="20"/>
      <c r="T775" s="20"/>
      <c r="U775" s="20"/>
      <c r="V775" s="20"/>
      <c r="W775" s="20"/>
      <c r="X775" s="20"/>
      <c r="Y775" s="20"/>
      <c r="Z775" s="20"/>
      <c r="AA775" s="20"/>
    </row>
    <row r="776" spans="1:27" ht="104.4" x14ac:dyDescent="0.25">
      <c r="A776" s="16"/>
      <c r="B776" s="20" t="b">
        <f ca="1">IFERROR(__xludf.DUMMYFUNCTION("if(D776=iferror(filter('Character Sheet'!D$13:D3002,'Character Sheet'!D$13:D3002=D776),""""),True,False)"),FALSE)</f>
        <v>0</v>
      </c>
      <c r="C776" s="20">
        <v>100</v>
      </c>
      <c r="D776" s="2" t="s">
        <v>1742</v>
      </c>
      <c r="E776" s="2" t="s">
        <v>93</v>
      </c>
      <c r="F776" s="20" t="s">
        <v>57</v>
      </c>
      <c r="G776" s="2" t="s">
        <v>1743</v>
      </c>
      <c r="H776" s="16"/>
      <c r="I776" s="20"/>
      <c r="J776" s="20"/>
      <c r="K776" s="20"/>
      <c r="L776" s="20"/>
      <c r="M776" s="20"/>
      <c r="N776" s="20"/>
      <c r="O776" s="20"/>
      <c r="P776" s="20"/>
      <c r="Q776" s="20"/>
      <c r="R776" s="20"/>
      <c r="S776" s="20"/>
      <c r="T776" s="20"/>
      <c r="U776" s="20"/>
      <c r="V776" s="20"/>
      <c r="W776" s="20"/>
      <c r="X776" s="20"/>
      <c r="Y776" s="20"/>
      <c r="Z776" s="20"/>
      <c r="AA776" s="20"/>
    </row>
    <row r="777" spans="1:27" ht="34.799999999999997" x14ac:dyDescent="0.25">
      <c r="A777" s="16"/>
      <c r="B777" s="20" t="b">
        <f ca="1">IFERROR(__xludf.DUMMYFUNCTION("if(D777=iferror(filter('Character Sheet'!D$13:D3002,'Character Sheet'!D$13:D3002=D777),""""),True,False)"),FALSE)</f>
        <v>0</v>
      </c>
      <c r="C777" s="20">
        <v>100</v>
      </c>
      <c r="D777" s="2" t="s">
        <v>1744</v>
      </c>
      <c r="E777" s="2" t="s">
        <v>306</v>
      </c>
      <c r="F777" s="20" t="s">
        <v>57</v>
      </c>
      <c r="G777" s="2" t="s">
        <v>1745</v>
      </c>
      <c r="H777" s="16"/>
      <c r="I777" s="20"/>
      <c r="J777" s="20"/>
      <c r="K777" s="20"/>
      <c r="L777" s="20"/>
      <c r="M777" s="20"/>
      <c r="N777" s="20"/>
      <c r="O777" s="20"/>
      <c r="P777" s="20"/>
      <c r="Q777" s="20"/>
      <c r="R777" s="20"/>
      <c r="S777" s="20"/>
      <c r="T777" s="20"/>
      <c r="U777" s="20"/>
      <c r="V777" s="20"/>
      <c r="W777" s="20"/>
      <c r="X777" s="20"/>
      <c r="Y777" s="20"/>
      <c r="Z777" s="20"/>
      <c r="AA777" s="20"/>
    </row>
    <row r="778" spans="1:27" ht="104.4" x14ac:dyDescent="0.25">
      <c r="A778" s="16"/>
      <c r="B778" s="20" t="b">
        <f ca="1">IFERROR(__xludf.DUMMYFUNCTION("if(D778=iferror(filter('Character Sheet'!D$13:D3002,'Character Sheet'!D$13:D3002=D778),""""),True,False)"),FALSE)</f>
        <v>0</v>
      </c>
      <c r="C778" s="20">
        <v>100</v>
      </c>
      <c r="D778" s="2" t="s">
        <v>1746</v>
      </c>
      <c r="E778" s="2" t="s">
        <v>924</v>
      </c>
      <c r="F778" s="20" t="s">
        <v>57</v>
      </c>
      <c r="G778" s="2" t="s">
        <v>1747</v>
      </c>
      <c r="H778" s="16"/>
      <c r="I778" s="20"/>
      <c r="J778" s="20"/>
      <c r="K778" s="20"/>
      <c r="L778" s="20"/>
      <c r="M778" s="20"/>
      <c r="N778" s="20"/>
      <c r="O778" s="20"/>
      <c r="P778" s="20"/>
      <c r="Q778" s="20"/>
      <c r="R778" s="20"/>
      <c r="S778" s="20"/>
      <c r="T778" s="20"/>
      <c r="U778" s="20"/>
      <c r="V778" s="20"/>
      <c r="W778" s="20"/>
      <c r="X778" s="20"/>
      <c r="Y778" s="20"/>
      <c r="Z778" s="20"/>
      <c r="AA778" s="20"/>
    </row>
    <row r="779" spans="1:27" ht="52.2" x14ac:dyDescent="0.25">
      <c r="A779" s="16"/>
      <c r="B779" s="20" t="b">
        <f ca="1">IFERROR(__xludf.DUMMYFUNCTION("if(D779=iferror(filter('Character Sheet'!D$13:D3002,'Character Sheet'!D$13:D3002=D779),""""),True,False)"),FALSE)</f>
        <v>0</v>
      </c>
      <c r="C779" s="20">
        <v>100</v>
      </c>
      <c r="D779" s="2" t="s">
        <v>1748</v>
      </c>
      <c r="E779" s="2" t="s">
        <v>1554</v>
      </c>
      <c r="F779" s="20" t="s">
        <v>57</v>
      </c>
      <c r="G779" s="2" t="s">
        <v>1749</v>
      </c>
      <c r="H779" s="16"/>
      <c r="I779" s="20"/>
      <c r="J779" s="20"/>
      <c r="K779" s="20"/>
      <c r="L779" s="20"/>
      <c r="M779" s="20"/>
      <c r="N779" s="20"/>
      <c r="O779" s="20"/>
      <c r="P779" s="20"/>
      <c r="Q779" s="20"/>
      <c r="R779" s="20"/>
      <c r="S779" s="20"/>
      <c r="T779" s="20"/>
      <c r="U779" s="20"/>
      <c r="V779" s="20"/>
      <c r="W779" s="20"/>
      <c r="X779" s="20"/>
      <c r="Y779" s="20"/>
      <c r="Z779" s="20"/>
      <c r="AA779" s="20"/>
    </row>
    <row r="780" spans="1:27" ht="139.19999999999999" x14ac:dyDescent="0.25">
      <c r="A780" s="16"/>
      <c r="B780" s="20" t="b">
        <f ca="1">IFERROR(__xludf.DUMMYFUNCTION("if(D780=iferror(filter('Character Sheet'!D$13:D3002,'Character Sheet'!D$13:D3002=D780),""""),True,False)"),FALSE)</f>
        <v>0</v>
      </c>
      <c r="C780" s="20">
        <v>100</v>
      </c>
      <c r="D780" s="2" t="s">
        <v>1750</v>
      </c>
      <c r="E780" s="2" t="s">
        <v>139</v>
      </c>
      <c r="F780" s="20" t="s">
        <v>57</v>
      </c>
      <c r="G780" s="2" t="s">
        <v>1751</v>
      </c>
      <c r="H780" s="16"/>
      <c r="I780" s="20"/>
      <c r="J780" s="20"/>
      <c r="K780" s="20"/>
      <c r="L780" s="20"/>
      <c r="M780" s="20"/>
      <c r="N780" s="20"/>
      <c r="O780" s="20"/>
      <c r="P780" s="20"/>
      <c r="Q780" s="20"/>
      <c r="R780" s="20"/>
      <c r="S780" s="20"/>
      <c r="T780" s="20"/>
      <c r="U780" s="20"/>
      <c r="V780" s="20"/>
      <c r="W780" s="20"/>
      <c r="X780" s="20"/>
      <c r="Y780" s="20"/>
      <c r="Z780" s="20"/>
      <c r="AA780" s="20"/>
    </row>
    <row r="781" spans="1:27" ht="121.8" x14ac:dyDescent="0.25">
      <c r="A781" s="16"/>
      <c r="B781" s="20" t="b">
        <f ca="1">IFERROR(__xludf.DUMMYFUNCTION("if(D781=iferror(filter('Character Sheet'!D$13:D3002,'Character Sheet'!D$13:D3002=D781),""""),True,False)"),FALSE)</f>
        <v>0</v>
      </c>
      <c r="C781" s="20">
        <v>100</v>
      </c>
      <c r="D781" s="2" t="s">
        <v>1752</v>
      </c>
      <c r="E781" s="2" t="s">
        <v>311</v>
      </c>
      <c r="F781" s="20" t="s">
        <v>57</v>
      </c>
      <c r="G781" s="2" t="s">
        <v>1753</v>
      </c>
      <c r="H781" s="16"/>
      <c r="I781" s="20"/>
      <c r="J781" s="20"/>
      <c r="K781" s="20"/>
      <c r="L781" s="20"/>
      <c r="M781" s="20"/>
      <c r="N781" s="20"/>
      <c r="O781" s="20"/>
      <c r="P781" s="20"/>
      <c r="Q781" s="20"/>
      <c r="R781" s="20"/>
      <c r="S781" s="20"/>
      <c r="T781" s="20"/>
      <c r="U781" s="20"/>
      <c r="V781" s="20"/>
      <c r="W781" s="20"/>
      <c r="X781" s="20"/>
      <c r="Y781" s="20"/>
      <c r="Z781" s="20"/>
      <c r="AA781" s="20"/>
    </row>
    <row r="782" spans="1:27" ht="156.6" x14ac:dyDescent="0.25">
      <c r="A782" s="16"/>
      <c r="B782" s="20" t="b">
        <f ca="1">IFERROR(__xludf.DUMMYFUNCTION("if(D782=iferror(filter('Character Sheet'!D$13:D3002,'Character Sheet'!D$13:D3002=D782),""""),True,False)"),FALSE)</f>
        <v>0</v>
      </c>
      <c r="C782" s="20">
        <v>100</v>
      </c>
      <c r="D782" s="2" t="s">
        <v>1754</v>
      </c>
      <c r="E782" s="2" t="s">
        <v>973</v>
      </c>
      <c r="F782" s="20" t="s">
        <v>57</v>
      </c>
      <c r="G782" s="2" t="s">
        <v>1755</v>
      </c>
      <c r="H782" s="16"/>
      <c r="I782" s="20"/>
      <c r="J782" s="20"/>
      <c r="K782" s="20"/>
      <c r="L782" s="20"/>
      <c r="M782" s="20"/>
      <c r="N782" s="20"/>
      <c r="O782" s="20"/>
      <c r="P782" s="20"/>
      <c r="Q782" s="20"/>
      <c r="R782" s="20"/>
      <c r="S782" s="20"/>
      <c r="T782" s="20"/>
      <c r="U782" s="20"/>
      <c r="V782" s="20"/>
      <c r="W782" s="20"/>
      <c r="X782" s="20"/>
      <c r="Y782" s="20"/>
      <c r="Z782" s="20"/>
      <c r="AA782" s="20"/>
    </row>
    <row r="783" spans="1:27" ht="156.6" x14ac:dyDescent="0.25">
      <c r="A783" s="16"/>
      <c r="B783" s="20" t="b">
        <f ca="1">IFERROR(__xludf.DUMMYFUNCTION("if(D783=iferror(filter('Character Sheet'!D$13:D3002,'Character Sheet'!D$13:D3002=D783),""""),True,False)"),FALSE)</f>
        <v>0</v>
      </c>
      <c r="C783" s="20">
        <v>100</v>
      </c>
      <c r="D783" s="2" t="s">
        <v>1756</v>
      </c>
      <c r="E783" s="2" t="s">
        <v>253</v>
      </c>
      <c r="F783" s="20" t="s">
        <v>57</v>
      </c>
      <c r="G783" s="2" t="s">
        <v>1757</v>
      </c>
      <c r="H783" s="16"/>
      <c r="I783" s="20"/>
      <c r="J783" s="20"/>
      <c r="K783" s="20"/>
      <c r="L783" s="20"/>
      <c r="M783" s="20"/>
      <c r="N783" s="20"/>
      <c r="O783" s="20"/>
      <c r="P783" s="20"/>
      <c r="Q783" s="20"/>
      <c r="R783" s="20"/>
      <c r="S783" s="20"/>
      <c r="T783" s="20"/>
      <c r="U783" s="20"/>
      <c r="V783" s="20"/>
      <c r="W783" s="20"/>
      <c r="X783" s="20"/>
      <c r="Y783" s="20"/>
      <c r="Z783" s="20"/>
      <c r="AA783" s="20"/>
    </row>
    <row r="784" spans="1:27" ht="104.4" x14ac:dyDescent="0.25">
      <c r="A784" s="16"/>
      <c r="B784" s="20" t="b">
        <f ca="1">IFERROR(__xludf.DUMMYFUNCTION("if(D784=iferror(filter('Character Sheet'!D$13:D3002,'Character Sheet'!D$13:D3002=D784),""""),True,False)"),FALSE)</f>
        <v>0</v>
      </c>
      <c r="C784" s="20">
        <v>100</v>
      </c>
      <c r="D784" s="2" t="s">
        <v>1758</v>
      </c>
      <c r="E784" s="2" t="s">
        <v>253</v>
      </c>
      <c r="F784" s="20" t="s">
        <v>57</v>
      </c>
      <c r="G784" s="2" t="s">
        <v>1759</v>
      </c>
      <c r="H784" s="16"/>
      <c r="I784" s="20"/>
      <c r="J784" s="20"/>
      <c r="K784" s="20"/>
      <c r="L784" s="20"/>
      <c r="M784" s="20"/>
      <c r="N784" s="20"/>
      <c r="O784" s="20"/>
      <c r="P784" s="20"/>
      <c r="Q784" s="20"/>
      <c r="R784" s="20"/>
      <c r="S784" s="20"/>
      <c r="T784" s="20"/>
      <c r="U784" s="20"/>
      <c r="V784" s="20"/>
      <c r="W784" s="20"/>
      <c r="X784" s="20"/>
      <c r="Y784" s="20"/>
      <c r="Z784" s="20"/>
      <c r="AA784" s="20"/>
    </row>
    <row r="785" spans="1:27" ht="121.8" x14ac:dyDescent="0.25">
      <c r="A785" s="16"/>
      <c r="B785" s="20" t="b">
        <f ca="1">IFERROR(__xludf.DUMMYFUNCTION("if(D785=iferror(filter('Character Sheet'!D$13:D3002,'Character Sheet'!D$13:D3002=D785),""""),True,False)"),FALSE)</f>
        <v>0</v>
      </c>
      <c r="C785" s="20">
        <v>100</v>
      </c>
      <c r="D785" s="2" t="s">
        <v>1760</v>
      </c>
      <c r="E785" s="2" t="s">
        <v>428</v>
      </c>
      <c r="F785" s="20" t="s">
        <v>57</v>
      </c>
      <c r="G785" s="2" t="s">
        <v>1761</v>
      </c>
      <c r="H785" s="16"/>
      <c r="I785" s="20"/>
      <c r="J785" s="20"/>
      <c r="K785" s="20"/>
      <c r="L785" s="20"/>
      <c r="M785" s="20"/>
      <c r="N785" s="20"/>
      <c r="O785" s="20"/>
      <c r="P785" s="20"/>
      <c r="Q785" s="20"/>
      <c r="R785" s="20"/>
      <c r="S785" s="20"/>
      <c r="T785" s="20"/>
      <c r="U785" s="20"/>
      <c r="V785" s="20"/>
      <c r="W785" s="20"/>
      <c r="X785" s="20"/>
      <c r="Y785" s="20"/>
      <c r="Z785" s="20"/>
      <c r="AA785" s="20"/>
    </row>
    <row r="786" spans="1:27" ht="52.2" x14ac:dyDescent="0.25">
      <c r="A786" s="16"/>
      <c r="B786" s="20" t="b">
        <f ca="1">IFERROR(__xludf.DUMMYFUNCTION("if(D786=iferror(filter('Character Sheet'!D$13:D3002,'Character Sheet'!D$13:D3002=D786),""""),True,False)"),FALSE)</f>
        <v>0</v>
      </c>
      <c r="C786" s="20">
        <v>100</v>
      </c>
      <c r="D786" s="2" t="s">
        <v>1762</v>
      </c>
      <c r="E786" s="2" t="s">
        <v>501</v>
      </c>
      <c r="F786" s="20" t="s">
        <v>57</v>
      </c>
      <c r="G786" s="2" t="s">
        <v>1763</v>
      </c>
      <c r="H786" s="16"/>
      <c r="I786" s="20"/>
      <c r="J786" s="20"/>
      <c r="K786" s="20"/>
      <c r="L786" s="20"/>
      <c r="M786" s="20"/>
      <c r="N786" s="20"/>
      <c r="O786" s="20"/>
      <c r="P786" s="20"/>
      <c r="Q786" s="20"/>
      <c r="R786" s="20"/>
      <c r="S786" s="20"/>
      <c r="T786" s="20"/>
      <c r="U786" s="20"/>
      <c r="V786" s="20"/>
      <c r="W786" s="20"/>
      <c r="X786" s="20"/>
      <c r="Y786" s="20"/>
      <c r="Z786" s="20"/>
      <c r="AA786" s="20"/>
    </row>
    <row r="787" spans="1:27" ht="121.8" x14ac:dyDescent="0.25">
      <c r="A787" s="16"/>
      <c r="B787" s="20" t="b">
        <f ca="1">IFERROR(__xludf.DUMMYFUNCTION("if(D787=iferror(filter('Character Sheet'!D$13:D3002,'Character Sheet'!D$13:D3002=D787),""""),True,False)"),FALSE)</f>
        <v>0</v>
      </c>
      <c r="C787" s="20">
        <v>100</v>
      </c>
      <c r="D787" s="2" t="s">
        <v>1764</v>
      </c>
      <c r="E787" s="2" t="s">
        <v>69</v>
      </c>
      <c r="F787" s="20" t="s">
        <v>57</v>
      </c>
      <c r="G787" s="2" t="s">
        <v>1765</v>
      </c>
      <c r="H787" s="16"/>
      <c r="I787" s="20"/>
      <c r="J787" s="20"/>
      <c r="K787" s="20"/>
      <c r="L787" s="20"/>
      <c r="M787" s="20"/>
      <c r="N787" s="20"/>
      <c r="O787" s="20"/>
      <c r="P787" s="20"/>
      <c r="Q787" s="20"/>
      <c r="R787" s="20"/>
      <c r="S787" s="20"/>
      <c r="T787" s="20"/>
      <c r="U787" s="20"/>
      <c r="V787" s="20"/>
      <c r="W787" s="20"/>
      <c r="X787" s="20"/>
      <c r="Y787" s="20"/>
      <c r="Z787" s="20"/>
      <c r="AA787" s="20"/>
    </row>
    <row r="788" spans="1:27" ht="121.8" x14ac:dyDescent="0.25">
      <c r="A788" s="16"/>
      <c r="B788" s="20" t="b">
        <f ca="1">IFERROR(__xludf.DUMMYFUNCTION("if(D788=iferror(filter('Character Sheet'!D$13:D3002,'Character Sheet'!D$13:D3002=D788),""""),True,False)"),FALSE)</f>
        <v>0</v>
      </c>
      <c r="C788" s="20">
        <v>100</v>
      </c>
      <c r="D788" s="2" t="s">
        <v>1766</v>
      </c>
      <c r="E788" s="2" t="s">
        <v>253</v>
      </c>
      <c r="F788" s="20" t="s">
        <v>57</v>
      </c>
      <c r="G788" s="2" t="s">
        <v>1767</v>
      </c>
      <c r="H788" s="16"/>
      <c r="I788" s="20"/>
      <c r="J788" s="20"/>
      <c r="K788" s="20"/>
      <c r="L788" s="20"/>
      <c r="M788" s="20"/>
      <c r="N788" s="20"/>
      <c r="O788" s="20"/>
      <c r="P788" s="20"/>
      <c r="Q788" s="20"/>
      <c r="R788" s="20"/>
      <c r="S788" s="20"/>
      <c r="T788" s="20"/>
      <c r="U788" s="20"/>
      <c r="V788" s="20"/>
      <c r="W788" s="20"/>
      <c r="X788" s="20"/>
      <c r="Y788" s="20"/>
      <c r="Z788" s="20"/>
      <c r="AA788" s="20"/>
    </row>
    <row r="789" spans="1:27" ht="139.19999999999999" x14ac:dyDescent="0.25">
      <c r="A789" s="16"/>
      <c r="B789" s="20" t="b">
        <f ca="1">IFERROR(__xludf.DUMMYFUNCTION("if(D789=iferror(filter('Character Sheet'!D$13:D3002,'Character Sheet'!D$13:D3002=D789),""""),True,False)"),FALSE)</f>
        <v>0</v>
      </c>
      <c r="C789" s="20">
        <v>100</v>
      </c>
      <c r="D789" s="2" t="s">
        <v>1768</v>
      </c>
      <c r="E789" s="2" t="s">
        <v>576</v>
      </c>
      <c r="F789" s="20" t="s">
        <v>57</v>
      </c>
      <c r="G789" s="2" t="s">
        <v>1769</v>
      </c>
      <c r="H789" s="16"/>
      <c r="I789" s="20"/>
      <c r="J789" s="20"/>
      <c r="K789" s="20"/>
      <c r="L789" s="20"/>
      <c r="M789" s="20"/>
      <c r="N789" s="20"/>
      <c r="O789" s="20"/>
      <c r="P789" s="20"/>
      <c r="Q789" s="20"/>
      <c r="R789" s="20"/>
      <c r="S789" s="20"/>
      <c r="T789" s="20"/>
      <c r="U789" s="20"/>
      <c r="V789" s="20"/>
      <c r="W789" s="20"/>
      <c r="X789" s="20"/>
      <c r="Y789" s="20"/>
      <c r="Z789" s="20"/>
      <c r="AA789" s="20"/>
    </row>
    <row r="790" spans="1:27" ht="69.599999999999994" x14ac:dyDescent="0.25">
      <c r="A790" s="16"/>
      <c r="B790" s="20" t="b">
        <f ca="1">IFERROR(__xludf.DUMMYFUNCTION("if(D790=iferror(filter('Character Sheet'!D$13:D3002,'Character Sheet'!D$13:D3002=D790),""""),True,False)"),FALSE)</f>
        <v>0</v>
      </c>
      <c r="C790" s="20">
        <v>100</v>
      </c>
      <c r="D790" s="2" t="s">
        <v>1770</v>
      </c>
      <c r="E790" s="2" t="s">
        <v>100</v>
      </c>
      <c r="F790" s="20" t="s">
        <v>57</v>
      </c>
      <c r="G790" s="2" t="s">
        <v>1771</v>
      </c>
      <c r="H790" s="16"/>
      <c r="I790" s="20"/>
      <c r="J790" s="20"/>
      <c r="K790" s="20"/>
      <c r="L790" s="20"/>
      <c r="M790" s="20"/>
      <c r="N790" s="20"/>
      <c r="O790" s="20"/>
      <c r="P790" s="20"/>
      <c r="Q790" s="20"/>
      <c r="R790" s="20"/>
      <c r="S790" s="20"/>
      <c r="T790" s="20"/>
      <c r="U790" s="20"/>
      <c r="V790" s="20"/>
      <c r="W790" s="20"/>
      <c r="X790" s="20"/>
      <c r="Y790" s="20"/>
      <c r="Z790" s="20"/>
      <c r="AA790" s="20"/>
    </row>
    <row r="791" spans="1:27" ht="69.599999999999994" x14ac:dyDescent="0.25">
      <c r="A791" s="16"/>
      <c r="B791" s="20" t="b">
        <f ca="1">IFERROR(__xludf.DUMMYFUNCTION("if(D791=iferror(filter('Character Sheet'!D$13:D3002,'Character Sheet'!D$13:D3002=D791),""""),True,False)"),FALSE)</f>
        <v>0</v>
      </c>
      <c r="C791" s="20">
        <v>100</v>
      </c>
      <c r="D791" s="2" t="s">
        <v>1772</v>
      </c>
      <c r="E791" s="2" t="s">
        <v>162</v>
      </c>
      <c r="F791" s="20" t="s">
        <v>57</v>
      </c>
      <c r="G791" s="2" t="s">
        <v>1773</v>
      </c>
      <c r="H791" s="16"/>
      <c r="I791" s="20"/>
      <c r="J791" s="20"/>
      <c r="K791" s="20"/>
      <c r="L791" s="20"/>
      <c r="M791" s="20"/>
      <c r="N791" s="20"/>
      <c r="O791" s="20"/>
      <c r="P791" s="20"/>
      <c r="Q791" s="20"/>
      <c r="R791" s="20"/>
      <c r="S791" s="20"/>
      <c r="T791" s="20"/>
      <c r="U791" s="20"/>
      <c r="V791" s="20"/>
      <c r="W791" s="20"/>
      <c r="X791" s="20"/>
      <c r="Y791" s="20"/>
      <c r="Z791" s="20"/>
      <c r="AA791" s="20"/>
    </row>
    <row r="792" spans="1:27" ht="139.19999999999999" x14ac:dyDescent="0.25">
      <c r="A792" s="16"/>
      <c r="B792" s="20" t="b">
        <f ca="1">IFERROR(__xludf.DUMMYFUNCTION("if(D792=iferror(filter('Character Sheet'!D$13:D3002,'Character Sheet'!D$13:D3002=D792),""""),True,False)"),FALSE)</f>
        <v>0</v>
      </c>
      <c r="C792" s="20">
        <v>100</v>
      </c>
      <c r="D792" s="2" t="s">
        <v>1774</v>
      </c>
      <c r="E792" s="2" t="s">
        <v>298</v>
      </c>
      <c r="F792" s="20" t="s">
        <v>57</v>
      </c>
      <c r="G792" s="2" t="s">
        <v>1775</v>
      </c>
      <c r="H792" s="16"/>
      <c r="I792" s="20"/>
      <c r="J792" s="20"/>
      <c r="K792" s="20"/>
      <c r="L792" s="20"/>
      <c r="M792" s="20"/>
      <c r="N792" s="20"/>
      <c r="O792" s="20"/>
      <c r="P792" s="20"/>
      <c r="Q792" s="20"/>
      <c r="R792" s="20"/>
      <c r="S792" s="20"/>
      <c r="T792" s="20"/>
      <c r="U792" s="20"/>
      <c r="V792" s="20"/>
      <c r="W792" s="20"/>
      <c r="X792" s="20"/>
      <c r="Y792" s="20"/>
      <c r="Z792" s="20"/>
      <c r="AA792" s="20"/>
    </row>
    <row r="793" spans="1:27" ht="87" x14ac:dyDescent="0.25">
      <c r="A793" s="16"/>
      <c r="B793" s="20" t="b">
        <f ca="1">IFERROR(__xludf.DUMMYFUNCTION("if(D793=iferror(filter('Character Sheet'!D$13:D3002,'Character Sheet'!D$13:D3002=D793),""""),True,False)"),FALSE)</f>
        <v>0</v>
      </c>
      <c r="C793" s="20">
        <v>100</v>
      </c>
      <c r="D793" s="2" t="s">
        <v>1776</v>
      </c>
      <c r="E793" s="2" t="s">
        <v>394</v>
      </c>
      <c r="F793" s="20" t="s">
        <v>57</v>
      </c>
      <c r="G793" s="2" t="s">
        <v>1777</v>
      </c>
      <c r="H793" s="16"/>
      <c r="I793" s="20"/>
      <c r="J793" s="20"/>
      <c r="K793" s="20"/>
      <c r="L793" s="20"/>
      <c r="M793" s="20"/>
      <c r="N793" s="20"/>
      <c r="O793" s="20"/>
      <c r="P793" s="20"/>
      <c r="Q793" s="20"/>
      <c r="R793" s="20"/>
      <c r="S793" s="20"/>
      <c r="T793" s="20"/>
      <c r="U793" s="20"/>
      <c r="V793" s="20"/>
      <c r="W793" s="20"/>
      <c r="X793" s="20"/>
      <c r="Y793" s="20"/>
      <c r="Z793" s="20"/>
      <c r="AA793" s="20"/>
    </row>
    <row r="794" spans="1:27" ht="121.8" x14ac:dyDescent="0.25">
      <c r="A794" s="16"/>
      <c r="B794" s="20" t="b">
        <f ca="1">IFERROR(__xludf.DUMMYFUNCTION("if(D794=iferror(filter('Character Sheet'!D$13:D3002,'Character Sheet'!D$13:D3002=D794),""""),True,False)"),FALSE)</f>
        <v>0</v>
      </c>
      <c r="C794" s="20">
        <v>100</v>
      </c>
      <c r="D794" s="2" t="s">
        <v>1778</v>
      </c>
      <c r="E794" s="2" t="s">
        <v>369</v>
      </c>
      <c r="F794" s="20" t="s">
        <v>57</v>
      </c>
      <c r="G794" s="2" t="s">
        <v>1779</v>
      </c>
      <c r="H794" s="16"/>
      <c r="I794" s="20"/>
      <c r="J794" s="20"/>
      <c r="K794" s="20"/>
      <c r="L794" s="20"/>
      <c r="M794" s="20"/>
      <c r="N794" s="20"/>
      <c r="O794" s="20"/>
      <c r="P794" s="20"/>
      <c r="Q794" s="20"/>
      <c r="R794" s="20"/>
      <c r="S794" s="20"/>
      <c r="T794" s="20"/>
      <c r="U794" s="20"/>
      <c r="V794" s="20"/>
      <c r="W794" s="20"/>
      <c r="X794" s="20"/>
      <c r="Y794" s="20"/>
      <c r="Z794" s="20"/>
      <c r="AA794" s="20"/>
    </row>
    <row r="795" spans="1:27" ht="87" x14ac:dyDescent="0.25">
      <c r="A795" s="16"/>
      <c r="B795" s="20" t="b">
        <f ca="1">IFERROR(__xludf.DUMMYFUNCTION("if(D795=iferror(filter('Character Sheet'!D$13:D3002,'Character Sheet'!D$13:D3002=D795),""""),True,False)"),FALSE)</f>
        <v>0</v>
      </c>
      <c r="C795" s="20">
        <v>200</v>
      </c>
      <c r="D795" s="2" t="s">
        <v>1780</v>
      </c>
      <c r="E795" s="2" t="s">
        <v>534</v>
      </c>
      <c r="F795" s="20" t="s">
        <v>57</v>
      </c>
      <c r="G795" s="2" t="s">
        <v>1781</v>
      </c>
      <c r="H795" s="16"/>
      <c r="I795" s="20"/>
      <c r="J795" s="20"/>
      <c r="K795" s="20"/>
      <c r="L795" s="20"/>
      <c r="M795" s="20"/>
      <c r="N795" s="20"/>
      <c r="O795" s="20"/>
      <c r="P795" s="20"/>
      <c r="Q795" s="20"/>
      <c r="R795" s="20"/>
      <c r="S795" s="20"/>
      <c r="T795" s="20"/>
      <c r="U795" s="20"/>
      <c r="V795" s="20"/>
      <c r="W795" s="20"/>
      <c r="X795" s="20"/>
      <c r="Y795" s="20"/>
      <c r="Z795" s="20"/>
      <c r="AA795" s="20"/>
    </row>
    <row r="796" spans="1:27" ht="208.8" x14ac:dyDescent="0.25">
      <c r="A796" s="16"/>
      <c r="B796" s="20" t="b">
        <f ca="1">IFERROR(__xludf.DUMMYFUNCTION("if(D796=iferror(filter('Character Sheet'!D$13:D3002,'Character Sheet'!D$13:D3002=D796),""""),True,False)"),FALSE)</f>
        <v>0</v>
      </c>
      <c r="C796" s="20">
        <v>200</v>
      </c>
      <c r="D796" s="2" t="s">
        <v>1782</v>
      </c>
      <c r="E796" s="2" t="s">
        <v>75</v>
      </c>
      <c r="F796" s="20" t="s">
        <v>57</v>
      </c>
      <c r="G796" s="2" t="s">
        <v>1783</v>
      </c>
      <c r="H796" s="16"/>
      <c r="I796" s="20"/>
      <c r="J796" s="20"/>
      <c r="K796" s="20"/>
      <c r="L796" s="20"/>
      <c r="M796" s="20"/>
      <c r="N796" s="20"/>
      <c r="O796" s="20"/>
      <c r="P796" s="20"/>
      <c r="Q796" s="20"/>
      <c r="R796" s="20"/>
      <c r="S796" s="20"/>
      <c r="T796" s="20"/>
      <c r="U796" s="20"/>
      <c r="V796" s="20"/>
      <c r="W796" s="20"/>
      <c r="X796" s="20"/>
      <c r="Y796" s="20"/>
      <c r="Z796" s="20"/>
      <c r="AA796" s="20"/>
    </row>
    <row r="797" spans="1:27" ht="121.8" x14ac:dyDescent="0.25">
      <c r="A797" s="16"/>
      <c r="B797" s="20" t="b">
        <f ca="1">IFERROR(__xludf.DUMMYFUNCTION("if(D797=iferror(filter('Character Sheet'!D$13:D3002,'Character Sheet'!D$13:D3002=D797),""""),True,False)"),FALSE)</f>
        <v>0</v>
      </c>
      <c r="C797" s="20">
        <v>200</v>
      </c>
      <c r="D797" s="2" t="s">
        <v>1784</v>
      </c>
      <c r="E797" s="2" t="s">
        <v>344</v>
      </c>
      <c r="F797" s="20" t="s">
        <v>57</v>
      </c>
      <c r="G797" s="2" t="s">
        <v>1785</v>
      </c>
      <c r="H797" s="16"/>
      <c r="I797" s="20"/>
      <c r="J797" s="20"/>
      <c r="K797" s="20"/>
      <c r="L797" s="20"/>
      <c r="M797" s="20"/>
      <c r="N797" s="20"/>
      <c r="O797" s="20"/>
      <c r="P797" s="20"/>
      <c r="Q797" s="20"/>
      <c r="R797" s="20"/>
      <c r="S797" s="20"/>
      <c r="T797" s="20"/>
      <c r="U797" s="20"/>
      <c r="V797" s="20"/>
      <c r="W797" s="20"/>
      <c r="X797" s="20"/>
      <c r="Y797" s="20"/>
      <c r="Z797" s="20"/>
      <c r="AA797" s="20"/>
    </row>
    <row r="798" spans="1:27" ht="104.4" x14ac:dyDescent="0.25">
      <c r="A798" s="16"/>
      <c r="B798" s="20" t="b">
        <f ca="1">IFERROR(__xludf.DUMMYFUNCTION("if(D798=iferror(filter('Character Sheet'!D$13:D3002,'Character Sheet'!D$13:D3002=D798),""""),True,False)"),FALSE)</f>
        <v>0</v>
      </c>
      <c r="C798" s="20">
        <v>200</v>
      </c>
      <c r="D798" s="2" t="s">
        <v>1786</v>
      </c>
      <c r="E798" s="2" t="s">
        <v>1787</v>
      </c>
      <c r="F798" s="20" t="s">
        <v>57</v>
      </c>
      <c r="G798" s="2" t="s">
        <v>1788</v>
      </c>
      <c r="H798" s="16"/>
      <c r="I798" s="20"/>
      <c r="J798" s="20"/>
      <c r="K798" s="20"/>
      <c r="L798" s="20"/>
      <c r="M798" s="20"/>
      <c r="N798" s="20"/>
      <c r="O798" s="20"/>
      <c r="P798" s="20"/>
      <c r="Q798" s="20"/>
      <c r="R798" s="20"/>
      <c r="S798" s="20"/>
      <c r="T798" s="20"/>
      <c r="U798" s="20"/>
      <c r="V798" s="20"/>
      <c r="W798" s="20"/>
      <c r="X798" s="20"/>
      <c r="Y798" s="20"/>
      <c r="Z798" s="20"/>
      <c r="AA798" s="20"/>
    </row>
    <row r="799" spans="1:27" ht="87" x14ac:dyDescent="0.25">
      <c r="A799" s="16"/>
      <c r="B799" s="20" t="b">
        <f ca="1">IFERROR(__xludf.DUMMYFUNCTION("if(D799=iferror(filter('Character Sheet'!D$13:D3002,'Character Sheet'!D$13:D3002=D799),""""),True,False)"),FALSE)</f>
        <v>0</v>
      </c>
      <c r="C799" s="20">
        <v>200</v>
      </c>
      <c r="D799" s="2" t="s">
        <v>1789</v>
      </c>
      <c r="E799" s="2" t="s">
        <v>285</v>
      </c>
      <c r="F799" s="20" t="s">
        <v>57</v>
      </c>
      <c r="G799" s="2" t="s">
        <v>1790</v>
      </c>
      <c r="H799" s="16"/>
      <c r="I799" s="20"/>
      <c r="J799" s="20"/>
      <c r="K799" s="20"/>
      <c r="L799" s="20"/>
      <c r="M799" s="20"/>
      <c r="N799" s="20"/>
      <c r="O799" s="20"/>
      <c r="P799" s="20"/>
      <c r="Q799" s="20"/>
      <c r="R799" s="20"/>
      <c r="S799" s="20"/>
      <c r="T799" s="20"/>
      <c r="U799" s="20"/>
      <c r="V799" s="20"/>
      <c r="W799" s="20"/>
      <c r="X799" s="20"/>
      <c r="Y799" s="20"/>
      <c r="Z799" s="20"/>
      <c r="AA799" s="20"/>
    </row>
    <row r="800" spans="1:27" ht="69.599999999999994" x14ac:dyDescent="0.25">
      <c r="A800" s="16"/>
      <c r="B800" s="20" t="b">
        <f ca="1">IFERROR(__xludf.DUMMYFUNCTION("if(D800=iferror(filter('Character Sheet'!D$13:D3002,'Character Sheet'!D$13:D3002=D800),""""),True,False)"),FALSE)</f>
        <v>0</v>
      </c>
      <c r="C800" s="20">
        <v>200</v>
      </c>
      <c r="D800" s="2" t="s">
        <v>1791</v>
      </c>
      <c r="E800" s="2" t="s">
        <v>277</v>
      </c>
      <c r="F800" s="20" t="s">
        <v>57</v>
      </c>
      <c r="G800" s="2" t="s">
        <v>1792</v>
      </c>
      <c r="H800" s="16"/>
      <c r="I800" s="20"/>
      <c r="J800" s="20"/>
      <c r="K800" s="20"/>
      <c r="L800" s="20"/>
      <c r="M800" s="20"/>
      <c r="N800" s="20"/>
      <c r="O800" s="20"/>
      <c r="P800" s="20"/>
      <c r="Q800" s="20"/>
      <c r="R800" s="20"/>
      <c r="S800" s="20"/>
      <c r="T800" s="20"/>
      <c r="U800" s="20"/>
      <c r="V800" s="20"/>
      <c r="W800" s="20"/>
      <c r="X800" s="20"/>
      <c r="Y800" s="20"/>
      <c r="Z800" s="20"/>
      <c r="AA800" s="20"/>
    </row>
    <row r="801" spans="1:27" ht="121.8" x14ac:dyDescent="0.25">
      <c r="A801" s="16"/>
      <c r="B801" s="20" t="b">
        <f ca="1">IFERROR(__xludf.DUMMYFUNCTION("if(D801=iferror(filter('Character Sheet'!D$13:D3002,'Character Sheet'!D$13:D3002=D801),""""),True,False)"),FALSE)</f>
        <v>0</v>
      </c>
      <c r="C801" s="20">
        <v>200</v>
      </c>
      <c r="D801" s="2" t="s">
        <v>1793</v>
      </c>
      <c r="E801" s="2" t="s">
        <v>306</v>
      </c>
      <c r="F801" s="20" t="s">
        <v>57</v>
      </c>
      <c r="G801" s="2" t="s">
        <v>1794</v>
      </c>
      <c r="H801" s="16"/>
      <c r="I801" s="20"/>
      <c r="J801" s="20"/>
      <c r="K801" s="20"/>
      <c r="L801" s="20"/>
      <c r="M801" s="20"/>
      <c r="N801" s="20"/>
      <c r="O801" s="20"/>
      <c r="P801" s="20"/>
      <c r="Q801" s="20"/>
      <c r="R801" s="20"/>
      <c r="S801" s="20"/>
      <c r="T801" s="20"/>
      <c r="U801" s="20"/>
      <c r="V801" s="20"/>
      <c r="W801" s="20"/>
      <c r="X801" s="20"/>
      <c r="Y801" s="20"/>
      <c r="Z801" s="20"/>
      <c r="AA801" s="20"/>
    </row>
    <row r="802" spans="1:27" ht="69.599999999999994" x14ac:dyDescent="0.25">
      <c r="A802" s="16"/>
      <c r="B802" s="20" t="b">
        <f ca="1">IFERROR(__xludf.DUMMYFUNCTION("if(D802=iferror(filter('Character Sheet'!D$13:D3002,'Character Sheet'!D$13:D3002=D802),""""),True,False)"),FALSE)</f>
        <v>0</v>
      </c>
      <c r="C802" s="20">
        <v>200</v>
      </c>
      <c r="D802" s="2" t="s">
        <v>1795</v>
      </c>
      <c r="E802" s="2" t="s">
        <v>298</v>
      </c>
      <c r="F802" s="20" t="s">
        <v>57</v>
      </c>
      <c r="G802" s="2" t="s">
        <v>1796</v>
      </c>
      <c r="H802" s="16"/>
      <c r="I802" s="20"/>
      <c r="J802" s="20"/>
      <c r="K802" s="20"/>
      <c r="L802" s="20"/>
      <c r="M802" s="20"/>
      <c r="N802" s="20"/>
      <c r="O802" s="20"/>
      <c r="P802" s="20"/>
      <c r="Q802" s="20"/>
      <c r="R802" s="20"/>
      <c r="S802" s="20"/>
      <c r="T802" s="20"/>
      <c r="U802" s="20"/>
      <c r="V802" s="20"/>
      <c r="W802" s="20"/>
      <c r="X802" s="20"/>
      <c r="Y802" s="20"/>
      <c r="Z802" s="20"/>
      <c r="AA802" s="20"/>
    </row>
    <row r="803" spans="1:27" ht="139.19999999999999" x14ac:dyDescent="0.25">
      <c r="A803" s="16"/>
      <c r="B803" s="20" t="b">
        <f ca="1">IFERROR(__xludf.DUMMYFUNCTION("if(D803=iferror(filter('Character Sheet'!D$13:D3002,'Character Sheet'!D$13:D3002=D803),""""),True,False)"),FALSE)</f>
        <v>0</v>
      </c>
      <c r="C803" s="20">
        <v>200</v>
      </c>
      <c r="D803" s="2" t="s">
        <v>1797</v>
      </c>
      <c r="E803" s="2" t="s">
        <v>119</v>
      </c>
      <c r="F803" s="20" t="s">
        <v>57</v>
      </c>
      <c r="G803" s="2" t="s">
        <v>1798</v>
      </c>
      <c r="H803" s="16"/>
      <c r="I803" s="20"/>
      <c r="J803" s="20"/>
      <c r="K803" s="20"/>
      <c r="L803" s="20"/>
      <c r="M803" s="20"/>
      <c r="N803" s="20"/>
      <c r="O803" s="20"/>
      <c r="P803" s="20"/>
      <c r="Q803" s="20"/>
      <c r="R803" s="20"/>
      <c r="S803" s="20"/>
      <c r="T803" s="20"/>
      <c r="U803" s="20"/>
      <c r="V803" s="20"/>
      <c r="W803" s="20"/>
      <c r="X803" s="20"/>
      <c r="Y803" s="20"/>
      <c r="Z803" s="20"/>
      <c r="AA803" s="20"/>
    </row>
    <row r="804" spans="1:27" ht="87" x14ac:dyDescent="0.25">
      <c r="A804" s="16"/>
      <c r="B804" s="20" t="b">
        <f ca="1">IFERROR(__xludf.DUMMYFUNCTION("if(D804=iferror(filter('Character Sheet'!D$13:D3002,'Character Sheet'!D$13:D3002=D804),""""),True,False)"),FALSE)</f>
        <v>0</v>
      </c>
      <c r="C804" s="20">
        <v>200</v>
      </c>
      <c r="D804" s="2" t="s">
        <v>1799</v>
      </c>
      <c r="E804" s="2" t="s">
        <v>475</v>
      </c>
      <c r="F804" s="20" t="s">
        <v>57</v>
      </c>
      <c r="G804" s="2" t="s">
        <v>1800</v>
      </c>
      <c r="H804" s="16"/>
      <c r="I804" s="20"/>
      <c r="J804" s="20"/>
      <c r="K804" s="20"/>
      <c r="L804" s="20"/>
      <c r="M804" s="20"/>
      <c r="N804" s="20"/>
      <c r="O804" s="20"/>
      <c r="P804" s="20"/>
      <c r="Q804" s="20"/>
      <c r="R804" s="20"/>
      <c r="S804" s="20"/>
      <c r="T804" s="20"/>
      <c r="U804" s="20"/>
      <c r="V804" s="20"/>
      <c r="W804" s="20"/>
      <c r="X804" s="20"/>
      <c r="Y804" s="20"/>
      <c r="Z804" s="20"/>
      <c r="AA804" s="20"/>
    </row>
    <row r="805" spans="1:27" ht="208.8" x14ac:dyDescent="0.25">
      <c r="A805" s="16"/>
      <c r="B805" s="20" t="b">
        <f ca="1">IFERROR(__xludf.DUMMYFUNCTION("if(D805=iferror(filter('Character Sheet'!D$13:D3002,'Character Sheet'!D$13:D3002=D805),""""),True,False)"),FALSE)</f>
        <v>0</v>
      </c>
      <c r="C805" s="20">
        <v>200</v>
      </c>
      <c r="D805" s="2" t="s">
        <v>1801</v>
      </c>
      <c r="E805" s="2" t="s">
        <v>119</v>
      </c>
      <c r="F805" s="20" t="s">
        <v>57</v>
      </c>
      <c r="G805" s="2" t="s">
        <v>1802</v>
      </c>
      <c r="H805" s="16"/>
      <c r="I805" s="20"/>
      <c r="J805" s="20"/>
      <c r="K805" s="20"/>
      <c r="L805" s="20"/>
      <c r="M805" s="20"/>
      <c r="N805" s="20"/>
      <c r="O805" s="20"/>
      <c r="P805" s="20"/>
      <c r="Q805" s="20"/>
      <c r="R805" s="20"/>
      <c r="S805" s="20"/>
      <c r="T805" s="20"/>
      <c r="U805" s="20"/>
      <c r="V805" s="20"/>
      <c r="W805" s="20"/>
      <c r="X805" s="20"/>
      <c r="Y805" s="20"/>
      <c r="Z805" s="20"/>
      <c r="AA805" s="20"/>
    </row>
    <row r="806" spans="1:27" ht="104.4" x14ac:dyDescent="0.25">
      <c r="A806" s="16"/>
      <c r="B806" s="20" t="b">
        <f ca="1">IFERROR(__xludf.DUMMYFUNCTION("if(D806=iferror(filter('Character Sheet'!D$13:D3002,'Character Sheet'!D$13:D3002=D806),""""),True,False)"),FALSE)</f>
        <v>0</v>
      </c>
      <c r="C806" s="20">
        <v>200</v>
      </c>
      <c r="D806" s="2" t="s">
        <v>1803</v>
      </c>
      <c r="E806" s="2" t="s">
        <v>100</v>
      </c>
      <c r="F806" s="20" t="s">
        <v>57</v>
      </c>
      <c r="G806" s="2" t="s">
        <v>1804</v>
      </c>
      <c r="H806" s="16"/>
      <c r="I806" s="20"/>
      <c r="J806" s="20"/>
      <c r="K806" s="20"/>
      <c r="L806" s="20"/>
      <c r="M806" s="20"/>
      <c r="N806" s="20"/>
      <c r="O806" s="20"/>
      <c r="P806" s="20"/>
      <c r="Q806" s="20"/>
      <c r="R806" s="20"/>
      <c r="S806" s="20"/>
      <c r="T806" s="20"/>
      <c r="U806" s="20"/>
      <c r="V806" s="20"/>
      <c r="W806" s="20"/>
      <c r="X806" s="20"/>
      <c r="Y806" s="20"/>
      <c r="Z806" s="20"/>
      <c r="AA806" s="20"/>
    </row>
    <row r="807" spans="1:27" ht="87" x14ac:dyDescent="0.25">
      <c r="A807" s="16"/>
      <c r="B807" s="20" t="b">
        <f ca="1">IFERROR(__xludf.DUMMYFUNCTION("if(D807=iferror(filter('Character Sheet'!D$13:D3002,'Character Sheet'!D$13:D3002=D807),""""),True,False)"),FALSE)</f>
        <v>0</v>
      </c>
      <c r="C807" s="20">
        <v>200</v>
      </c>
      <c r="D807" s="2" t="s">
        <v>1805</v>
      </c>
      <c r="E807" s="2" t="s">
        <v>334</v>
      </c>
      <c r="F807" s="20" t="s">
        <v>57</v>
      </c>
      <c r="G807" s="2" t="s">
        <v>1806</v>
      </c>
      <c r="H807" s="16"/>
      <c r="I807" s="20"/>
      <c r="J807" s="20"/>
      <c r="K807" s="20"/>
      <c r="L807" s="20"/>
      <c r="M807" s="20"/>
      <c r="N807" s="20"/>
      <c r="O807" s="20"/>
      <c r="P807" s="20"/>
      <c r="Q807" s="20"/>
      <c r="R807" s="20"/>
      <c r="S807" s="20"/>
      <c r="T807" s="20"/>
      <c r="U807" s="20"/>
      <c r="V807" s="20"/>
      <c r="W807" s="20"/>
      <c r="X807" s="20"/>
      <c r="Y807" s="20"/>
      <c r="Z807" s="20"/>
      <c r="AA807" s="20"/>
    </row>
    <row r="808" spans="1:27" ht="104.4" x14ac:dyDescent="0.25">
      <c r="A808" s="16"/>
      <c r="B808" s="20" t="b">
        <f ca="1">IFERROR(__xludf.DUMMYFUNCTION("if(D808=iferror(filter('Character Sheet'!D$13:D3002,'Character Sheet'!D$13:D3002=D808),""""),True,False)"),FALSE)</f>
        <v>0</v>
      </c>
      <c r="C808" s="20">
        <v>200</v>
      </c>
      <c r="D808" s="2" t="s">
        <v>1807</v>
      </c>
      <c r="E808" s="2" t="s">
        <v>576</v>
      </c>
      <c r="F808" s="20" t="s">
        <v>57</v>
      </c>
      <c r="G808" s="2" t="s">
        <v>1808</v>
      </c>
      <c r="H808" s="16"/>
      <c r="I808" s="20"/>
      <c r="J808" s="20"/>
      <c r="K808" s="20"/>
      <c r="L808" s="20"/>
      <c r="M808" s="20"/>
      <c r="N808" s="20"/>
      <c r="O808" s="20"/>
      <c r="P808" s="20"/>
      <c r="Q808" s="20"/>
      <c r="R808" s="20"/>
      <c r="S808" s="20"/>
      <c r="T808" s="20"/>
      <c r="U808" s="20"/>
      <c r="V808" s="20"/>
      <c r="W808" s="20"/>
      <c r="X808" s="20"/>
      <c r="Y808" s="20"/>
      <c r="Z808" s="20"/>
      <c r="AA808" s="20"/>
    </row>
    <row r="809" spans="1:27" ht="87" x14ac:dyDescent="0.25">
      <c r="A809" s="16"/>
      <c r="B809" s="20" t="b">
        <f ca="1">IFERROR(__xludf.DUMMYFUNCTION("if(D809=iferror(filter('Character Sheet'!D$13:D3002,'Character Sheet'!D$13:D3002=D809),""""),True,False)"),FALSE)</f>
        <v>0</v>
      </c>
      <c r="C809" s="20">
        <v>200</v>
      </c>
      <c r="D809" s="2" t="s">
        <v>1809</v>
      </c>
      <c r="E809" s="2" t="s">
        <v>274</v>
      </c>
      <c r="F809" s="20" t="s">
        <v>57</v>
      </c>
      <c r="G809" s="2" t="s">
        <v>1810</v>
      </c>
      <c r="H809" s="16"/>
      <c r="I809" s="20"/>
      <c r="J809" s="20"/>
      <c r="K809" s="20"/>
      <c r="L809" s="20"/>
      <c r="M809" s="20"/>
      <c r="N809" s="20"/>
      <c r="O809" s="20"/>
      <c r="P809" s="20"/>
      <c r="Q809" s="20"/>
      <c r="R809" s="20"/>
      <c r="S809" s="20"/>
      <c r="T809" s="20"/>
      <c r="U809" s="20"/>
      <c r="V809" s="20"/>
      <c r="W809" s="20"/>
      <c r="X809" s="20"/>
      <c r="Y809" s="20"/>
      <c r="Z809" s="20"/>
      <c r="AA809" s="20"/>
    </row>
    <row r="810" spans="1:27" ht="261" x14ac:dyDescent="0.25">
      <c r="A810" s="16"/>
      <c r="B810" s="20" t="b">
        <f ca="1">IFERROR(__xludf.DUMMYFUNCTION("if(D810=iferror(filter('Character Sheet'!D$13:D3002,'Character Sheet'!D$13:D3002=D810),""""),True,False)"),FALSE)</f>
        <v>0</v>
      </c>
      <c r="C810" s="20">
        <v>200</v>
      </c>
      <c r="D810" s="2" t="s">
        <v>1811</v>
      </c>
      <c r="E810" s="2" t="s">
        <v>230</v>
      </c>
      <c r="F810" s="20" t="s">
        <v>57</v>
      </c>
      <c r="G810" s="2" t="s">
        <v>1812</v>
      </c>
      <c r="H810" s="16"/>
      <c r="I810" s="20"/>
      <c r="J810" s="20"/>
      <c r="K810" s="20"/>
      <c r="L810" s="20"/>
      <c r="M810" s="20"/>
      <c r="N810" s="20"/>
      <c r="O810" s="20"/>
      <c r="P810" s="20"/>
      <c r="Q810" s="20"/>
      <c r="R810" s="20"/>
      <c r="S810" s="20"/>
      <c r="T810" s="20"/>
      <c r="U810" s="20"/>
      <c r="V810" s="20"/>
      <c r="W810" s="20"/>
      <c r="X810" s="20"/>
      <c r="Y810" s="20"/>
      <c r="Z810" s="20"/>
      <c r="AA810" s="20"/>
    </row>
    <row r="811" spans="1:27" ht="104.4" x14ac:dyDescent="0.25">
      <c r="A811" s="16"/>
      <c r="B811" s="20" t="b">
        <f ca="1">IFERROR(__xludf.DUMMYFUNCTION("if(D811=iferror(filter('Character Sheet'!D$13:D3002,'Character Sheet'!D$13:D3002=D811),""""),True,False)"),FALSE)</f>
        <v>0</v>
      </c>
      <c r="C811" s="20">
        <v>200</v>
      </c>
      <c r="D811" s="2" t="s">
        <v>1813</v>
      </c>
      <c r="E811" s="2" t="s">
        <v>159</v>
      </c>
      <c r="F811" s="20" t="s">
        <v>57</v>
      </c>
      <c r="G811" s="2" t="s">
        <v>1814</v>
      </c>
      <c r="H811" s="16"/>
      <c r="I811" s="20"/>
      <c r="J811" s="20"/>
      <c r="K811" s="20"/>
      <c r="L811" s="20"/>
      <c r="M811" s="20"/>
      <c r="N811" s="20"/>
      <c r="O811" s="20"/>
      <c r="P811" s="20"/>
      <c r="Q811" s="20"/>
      <c r="R811" s="20"/>
      <c r="S811" s="20"/>
      <c r="T811" s="20"/>
      <c r="U811" s="20"/>
      <c r="V811" s="20"/>
      <c r="W811" s="20"/>
      <c r="X811" s="20"/>
      <c r="Y811" s="20"/>
      <c r="Z811" s="20"/>
      <c r="AA811" s="20"/>
    </row>
    <row r="812" spans="1:27" ht="87" x14ac:dyDescent="0.25">
      <c r="A812" s="16"/>
      <c r="B812" s="20" t="b">
        <f ca="1">IFERROR(__xludf.DUMMYFUNCTION("if(D812=iferror(filter('Character Sheet'!D$13:D3002,'Character Sheet'!D$13:D3002=D812),""""),True,False)"),FALSE)</f>
        <v>0</v>
      </c>
      <c r="C812" s="20">
        <v>200</v>
      </c>
      <c r="D812" s="2" t="s">
        <v>1815</v>
      </c>
      <c r="E812" s="2" t="s">
        <v>435</v>
      </c>
      <c r="F812" s="20" t="s">
        <v>57</v>
      </c>
      <c r="G812" s="2" t="s">
        <v>1816</v>
      </c>
      <c r="H812" s="16"/>
      <c r="I812" s="20"/>
      <c r="J812" s="20"/>
      <c r="K812" s="20"/>
      <c r="L812" s="20"/>
      <c r="M812" s="20"/>
      <c r="N812" s="20"/>
      <c r="O812" s="20"/>
      <c r="P812" s="20"/>
      <c r="Q812" s="20"/>
      <c r="R812" s="20"/>
      <c r="S812" s="20"/>
      <c r="T812" s="20"/>
      <c r="U812" s="20"/>
      <c r="V812" s="20"/>
      <c r="W812" s="20"/>
      <c r="X812" s="20"/>
      <c r="Y812" s="20"/>
      <c r="Z812" s="20"/>
      <c r="AA812" s="20"/>
    </row>
    <row r="813" spans="1:27" ht="87" x14ac:dyDescent="0.25">
      <c r="A813" s="16"/>
      <c r="B813" s="20" t="b">
        <f ca="1">IFERROR(__xludf.DUMMYFUNCTION("if(D813=iferror(filter('Character Sheet'!D$13:D3002,'Character Sheet'!D$13:D3002=D813),""""),True,False)"),FALSE)</f>
        <v>0</v>
      </c>
      <c r="C813" s="20">
        <v>200</v>
      </c>
      <c r="D813" s="2" t="s">
        <v>1817</v>
      </c>
      <c r="E813" s="2" t="s">
        <v>848</v>
      </c>
      <c r="F813" s="20" t="s">
        <v>57</v>
      </c>
      <c r="G813" s="2" t="s">
        <v>1818</v>
      </c>
      <c r="H813" s="16"/>
      <c r="I813" s="20"/>
      <c r="J813" s="20"/>
      <c r="K813" s="20"/>
      <c r="L813" s="20"/>
      <c r="M813" s="20"/>
      <c r="N813" s="20"/>
      <c r="O813" s="20"/>
      <c r="P813" s="20"/>
      <c r="Q813" s="20"/>
      <c r="R813" s="20"/>
      <c r="S813" s="20"/>
      <c r="T813" s="20"/>
      <c r="U813" s="20"/>
      <c r="V813" s="20"/>
      <c r="W813" s="20"/>
      <c r="X813" s="20"/>
      <c r="Y813" s="20"/>
      <c r="Z813" s="20"/>
      <c r="AA813" s="20"/>
    </row>
    <row r="814" spans="1:27" ht="139.19999999999999" x14ac:dyDescent="0.25">
      <c r="A814" s="16"/>
      <c r="B814" s="20" t="b">
        <f ca="1">IFERROR(__xludf.DUMMYFUNCTION("if(D814=iferror(filter('Character Sheet'!D$13:D3002,'Character Sheet'!D$13:D3002=D814),""""),True,False)"),FALSE)</f>
        <v>0</v>
      </c>
      <c r="C814" s="20">
        <v>200</v>
      </c>
      <c r="D814" s="2" t="s">
        <v>1819</v>
      </c>
      <c r="E814" s="2" t="s">
        <v>119</v>
      </c>
      <c r="F814" s="20" t="s">
        <v>57</v>
      </c>
      <c r="G814" s="2" t="s">
        <v>1820</v>
      </c>
      <c r="H814" s="16"/>
      <c r="I814" s="20"/>
      <c r="J814" s="20"/>
      <c r="K814" s="20"/>
      <c r="L814" s="20"/>
      <c r="M814" s="20"/>
      <c r="N814" s="20"/>
      <c r="O814" s="20"/>
      <c r="P814" s="20"/>
      <c r="Q814" s="20"/>
      <c r="R814" s="20"/>
      <c r="S814" s="20"/>
      <c r="T814" s="20"/>
      <c r="U814" s="20"/>
      <c r="V814" s="20"/>
      <c r="W814" s="20"/>
      <c r="X814" s="20"/>
      <c r="Y814" s="20"/>
      <c r="Z814" s="20"/>
      <c r="AA814" s="20"/>
    </row>
    <row r="815" spans="1:27" ht="87" x14ac:dyDescent="0.25">
      <c r="A815" s="16"/>
      <c r="B815" s="20" t="b">
        <f ca="1">IFERROR(__xludf.DUMMYFUNCTION("if(D815=iferror(filter('Character Sheet'!D$13:D3002,'Character Sheet'!D$13:D3002=D815),""""),True,False)"),FALSE)</f>
        <v>0</v>
      </c>
      <c r="C815" s="20">
        <v>200</v>
      </c>
      <c r="D815" s="2" t="s">
        <v>1821</v>
      </c>
      <c r="E815" s="2" t="s">
        <v>401</v>
      </c>
      <c r="F815" s="20" t="s">
        <v>57</v>
      </c>
      <c r="G815" s="2" t="s">
        <v>1822</v>
      </c>
      <c r="H815" s="16"/>
      <c r="I815" s="20"/>
      <c r="J815" s="20"/>
      <c r="K815" s="20"/>
      <c r="L815" s="20"/>
      <c r="M815" s="20"/>
      <c r="N815" s="20"/>
      <c r="O815" s="20"/>
      <c r="P815" s="20"/>
      <c r="Q815" s="20"/>
      <c r="R815" s="20"/>
      <c r="S815" s="20"/>
      <c r="T815" s="20"/>
      <c r="U815" s="20"/>
      <c r="V815" s="20"/>
      <c r="W815" s="20"/>
      <c r="X815" s="20"/>
      <c r="Y815" s="20"/>
      <c r="Z815" s="20"/>
      <c r="AA815" s="20"/>
    </row>
    <row r="816" spans="1:27" ht="104.4" x14ac:dyDescent="0.25">
      <c r="A816" s="16"/>
      <c r="B816" s="20" t="b">
        <f ca="1">IFERROR(__xludf.DUMMYFUNCTION("if(D816=iferror(filter('Character Sheet'!D$13:D3002,'Character Sheet'!D$13:D3002=D816),""""),True,False)"),FALSE)</f>
        <v>0</v>
      </c>
      <c r="C816" s="20">
        <v>200</v>
      </c>
      <c r="D816" s="2" t="s">
        <v>1823</v>
      </c>
      <c r="E816" s="2" t="s">
        <v>282</v>
      </c>
      <c r="F816" s="20" t="s">
        <v>57</v>
      </c>
      <c r="G816" s="2" t="s">
        <v>1824</v>
      </c>
      <c r="H816" s="16"/>
      <c r="I816" s="20"/>
      <c r="J816" s="20"/>
      <c r="K816" s="20"/>
      <c r="L816" s="20"/>
      <c r="M816" s="20"/>
      <c r="N816" s="20"/>
      <c r="O816" s="20"/>
      <c r="P816" s="20"/>
      <c r="Q816" s="20"/>
      <c r="R816" s="20"/>
      <c r="S816" s="20"/>
      <c r="T816" s="20"/>
      <c r="U816" s="20"/>
      <c r="V816" s="20"/>
      <c r="W816" s="20"/>
      <c r="X816" s="20"/>
      <c r="Y816" s="20"/>
      <c r="Z816" s="20"/>
      <c r="AA816" s="20"/>
    </row>
    <row r="817" spans="1:27" ht="139.19999999999999" x14ac:dyDescent="0.25">
      <c r="A817" s="16"/>
      <c r="B817" s="20" t="b">
        <f ca="1">IFERROR(__xludf.DUMMYFUNCTION("if(D817=iferror(filter('Character Sheet'!D$13:D3002,'Character Sheet'!D$13:D3002=D817),""""),True,False)"),FALSE)</f>
        <v>0</v>
      </c>
      <c r="C817" s="20">
        <v>200</v>
      </c>
      <c r="D817" s="2" t="s">
        <v>1825</v>
      </c>
      <c r="E817" s="2" t="s">
        <v>369</v>
      </c>
      <c r="F817" s="20" t="s">
        <v>57</v>
      </c>
      <c r="G817" s="2" t="s">
        <v>1826</v>
      </c>
      <c r="H817" s="16"/>
      <c r="I817" s="20"/>
      <c r="J817" s="20"/>
      <c r="K817" s="20"/>
      <c r="L817" s="20"/>
      <c r="M817" s="20"/>
      <c r="N817" s="20"/>
      <c r="O817" s="20"/>
      <c r="P817" s="20"/>
      <c r="Q817" s="20"/>
      <c r="R817" s="20"/>
      <c r="S817" s="20"/>
      <c r="T817" s="20"/>
      <c r="U817" s="20"/>
      <c r="V817" s="20"/>
      <c r="W817" s="20"/>
      <c r="X817" s="20"/>
      <c r="Y817" s="20"/>
      <c r="Z817" s="20"/>
      <c r="AA817" s="20"/>
    </row>
    <row r="818" spans="1:27" ht="104.4" x14ac:dyDescent="0.25">
      <c r="A818" s="16"/>
      <c r="B818" s="20" t="b">
        <f ca="1">IFERROR(__xludf.DUMMYFUNCTION("if(D818=iferror(filter('Character Sheet'!D$13:D3002,'Character Sheet'!D$13:D3002=D818),""""),True,False)"),FALSE)</f>
        <v>0</v>
      </c>
      <c r="C818" s="20">
        <v>200</v>
      </c>
      <c r="D818" s="2" t="s">
        <v>1827</v>
      </c>
      <c r="E818" s="2" t="s">
        <v>1828</v>
      </c>
      <c r="F818" s="20" t="s">
        <v>57</v>
      </c>
      <c r="G818" s="2" t="s">
        <v>1829</v>
      </c>
      <c r="H818" s="16"/>
      <c r="I818" s="20"/>
      <c r="J818" s="20"/>
      <c r="K818" s="20"/>
      <c r="L818" s="20"/>
      <c r="M818" s="20"/>
      <c r="N818" s="20"/>
      <c r="O818" s="20"/>
      <c r="P818" s="20"/>
      <c r="Q818" s="20"/>
      <c r="R818" s="20"/>
      <c r="S818" s="20"/>
      <c r="T818" s="20"/>
      <c r="U818" s="20"/>
      <c r="V818" s="20"/>
      <c r="W818" s="20"/>
      <c r="X818" s="20"/>
      <c r="Y818" s="20"/>
      <c r="Z818" s="20"/>
      <c r="AA818" s="20"/>
    </row>
    <row r="819" spans="1:27" ht="121.8" x14ac:dyDescent="0.25">
      <c r="A819" s="16"/>
      <c r="B819" s="20" t="b">
        <f ca="1">IFERROR(__xludf.DUMMYFUNCTION("if(D819=iferror(filter('Character Sheet'!D$13:D3002,'Character Sheet'!D$13:D3002=D819),""""),True,False)"),FALSE)</f>
        <v>0</v>
      </c>
      <c r="C819" s="20">
        <v>200</v>
      </c>
      <c r="D819" s="2" t="s">
        <v>1830</v>
      </c>
      <c r="E819" s="2" t="s">
        <v>139</v>
      </c>
      <c r="F819" s="20" t="s">
        <v>57</v>
      </c>
      <c r="G819" s="2" t="s">
        <v>1831</v>
      </c>
      <c r="H819" s="16"/>
      <c r="I819" s="20"/>
      <c r="J819" s="20"/>
      <c r="K819" s="20"/>
      <c r="L819" s="20"/>
      <c r="M819" s="20"/>
      <c r="N819" s="20"/>
      <c r="O819" s="20"/>
      <c r="P819" s="20"/>
      <c r="Q819" s="20"/>
      <c r="R819" s="20"/>
      <c r="S819" s="20"/>
      <c r="T819" s="20"/>
      <c r="U819" s="20"/>
      <c r="V819" s="20"/>
      <c r="W819" s="20"/>
      <c r="X819" s="20"/>
      <c r="Y819" s="20"/>
      <c r="Z819" s="20"/>
      <c r="AA819" s="20"/>
    </row>
    <row r="820" spans="1:27" ht="104.4" x14ac:dyDescent="0.25">
      <c r="A820" s="16"/>
      <c r="B820" s="20" t="b">
        <f ca="1">IFERROR(__xludf.DUMMYFUNCTION("if(D820=iferror(filter('Character Sheet'!D$13:D3002,'Character Sheet'!D$13:D3002=D820),""""),True,False)"),FALSE)</f>
        <v>0</v>
      </c>
      <c r="C820" s="20">
        <v>200</v>
      </c>
      <c r="D820" s="2" t="s">
        <v>1832</v>
      </c>
      <c r="E820" s="2" t="s">
        <v>225</v>
      </c>
      <c r="F820" s="20" t="s">
        <v>57</v>
      </c>
      <c r="G820" s="2" t="s">
        <v>1833</v>
      </c>
      <c r="H820" s="16"/>
      <c r="I820" s="20"/>
      <c r="J820" s="20"/>
      <c r="K820" s="20"/>
      <c r="L820" s="20"/>
      <c r="M820" s="20"/>
      <c r="N820" s="20"/>
      <c r="O820" s="20"/>
      <c r="P820" s="20"/>
      <c r="Q820" s="20"/>
      <c r="R820" s="20"/>
      <c r="S820" s="20"/>
      <c r="T820" s="20"/>
      <c r="U820" s="20"/>
      <c r="V820" s="20"/>
      <c r="W820" s="20"/>
      <c r="X820" s="20"/>
      <c r="Y820" s="20"/>
      <c r="Z820" s="20"/>
      <c r="AA820" s="20"/>
    </row>
    <row r="821" spans="1:27" ht="87" x14ac:dyDescent="0.25">
      <c r="A821" s="16"/>
      <c r="B821" s="20" t="b">
        <f ca="1">IFERROR(__xludf.DUMMYFUNCTION("if(D821=iferror(filter('Character Sheet'!D$13:D3002,'Character Sheet'!D$13:D3002=D821),""""),True,False)"),FALSE)</f>
        <v>0</v>
      </c>
      <c r="C821" s="20">
        <v>200</v>
      </c>
      <c r="D821" s="2" t="s">
        <v>1834</v>
      </c>
      <c r="E821" s="2" t="s">
        <v>103</v>
      </c>
      <c r="F821" s="20" t="s">
        <v>57</v>
      </c>
      <c r="G821" s="2" t="s">
        <v>1835</v>
      </c>
      <c r="H821" s="16"/>
      <c r="I821" s="20"/>
      <c r="J821" s="20"/>
      <c r="K821" s="20"/>
      <c r="L821" s="20"/>
      <c r="M821" s="20"/>
      <c r="N821" s="20"/>
      <c r="O821" s="20"/>
      <c r="P821" s="20"/>
      <c r="Q821" s="20"/>
      <c r="R821" s="20"/>
      <c r="S821" s="20"/>
      <c r="T821" s="20"/>
      <c r="U821" s="20"/>
      <c r="V821" s="20"/>
      <c r="W821" s="20"/>
      <c r="X821" s="20"/>
      <c r="Y821" s="20"/>
      <c r="Z821" s="20"/>
      <c r="AA821" s="20"/>
    </row>
    <row r="822" spans="1:27" ht="226.2" x14ac:dyDescent="0.25">
      <c r="A822" s="16"/>
      <c r="B822" s="20" t="b">
        <f ca="1">IFERROR(__xludf.DUMMYFUNCTION("if(D822=iferror(filter('Character Sheet'!D$13:D3002,'Character Sheet'!D$13:D3002=D822),""""),True,False)"),FALSE)</f>
        <v>0</v>
      </c>
      <c r="C822" s="20">
        <v>200</v>
      </c>
      <c r="D822" s="2" t="s">
        <v>1836</v>
      </c>
      <c r="E822" s="2" t="s">
        <v>1015</v>
      </c>
      <c r="F822" s="20" t="s">
        <v>57</v>
      </c>
      <c r="G822" s="2" t="s">
        <v>1837</v>
      </c>
      <c r="H822" s="16"/>
      <c r="I822" s="20"/>
      <c r="J822" s="20"/>
      <c r="K822" s="20"/>
      <c r="L822" s="20"/>
      <c r="M822" s="20"/>
      <c r="N822" s="20"/>
      <c r="O822" s="20"/>
      <c r="P822" s="20"/>
      <c r="Q822" s="20"/>
      <c r="R822" s="20"/>
      <c r="S822" s="20"/>
      <c r="T822" s="20"/>
      <c r="U822" s="20"/>
      <c r="V822" s="20"/>
      <c r="W822" s="20"/>
      <c r="X822" s="20"/>
      <c r="Y822" s="20"/>
      <c r="Z822" s="20"/>
      <c r="AA822" s="20"/>
    </row>
    <row r="823" spans="1:27" ht="87" x14ac:dyDescent="0.25">
      <c r="A823" s="16"/>
      <c r="B823" s="20" t="b">
        <f ca="1">IFERROR(__xludf.DUMMYFUNCTION("if(D823=iferror(filter('Character Sheet'!D$13:D3002,'Character Sheet'!D$13:D3002=D823),""""),True,False)"),FALSE)</f>
        <v>0</v>
      </c>
      <c r="C823" s="20">
        <v>200</v>
      </c>
      <c r="D823" s="2" t="s">
        <v>1838</v>
      </c>
      <c r="E823" s="2" t="s">
        <v>214</v>
      </c>
      <c r="F823" s="20" t="s">
        <v>57</v>
      </c>
      <c r="G823" s="2" t="s">
        <v>1839</v>
      </c>
      <c r="H823" s="16"/>
      <c r="I823" s="20"/>
      <c r="J823" s="20"/>
      <c r="K823" s="20"/>
      <c r="L823" s="20"/>
      <c r="M823" s="20"/>
      <c r="N823" s="20"/>
      <c r="O823" s="20"/>
      <c r="P823" s="20"/>
      <c r="Q823" s="20"/>
      <c r="R823" s="20"/>
      <c r="S823" s="20"/>
      <c r="T823" s="20"/>
      <c r="U823" s="20"/>
      <c r="V823" s="20"/>
      <c r="W823" s="20"/>
      <c r="X823" s="20"/>
      <c r="Y823" s="20"/>
      <c r="Z823" s="20"/>
      <c r="AA823" s="20"/>
    </row>
    <row r="824" spans="1:27" ht="191.4" x14ac:dyDescent="0.25">
      <c r="A824" s="16"/>
      <c r="B824" s="20" t="b">
        <f ca="1">IFERROR(__xludf.DUMMYFUNCTION("if(D824=iferror(filter('Character Sheet'!D$13:D3002,'Character Sheet'!D$13:D3002=D824),""""),True,False)"),FALSE)</f>
        <v>0</v>
      </c>
      <c r="C824" s="20">
        <v>200</v>
      </c>
      <c r="D824" s="2" t="s">
        <v>1840</v>
      </c>
      <c r="E824" s="2" t="s">
        <v>1093</v>
      </c>
      <c r="F824" s="20" t="s">
        <v>57</v>
      </c>
      <c r="G824" s="2" t="s">
        <v>1841</v>
      </c>
      <c r="H824" s="16"/>
      <c r="I824" s="20"/>
      <c r="J824" s="20"/>
      <c r="K824" s="20"/>
      <c r="L824" s="20"/>
      <c r="M824" s="20"/>
      <c r="N824" s="20"/>
      <c r="O824" s="20"/>
      <c r="P824" s="20"/>
      <c r="Q824" s="20"/>
      <c r="R824" s="20"/>
      <c r="S824" s="20"/>
      <c r="T824" s="20"/>
      <c r="U824" s="20"/>
      <c r="V824" s="20"/>
      <c r="W824" s="20"/>
      <c r="X824" s="20"/>
      <c r="Y824" s="20"/>
      <c r="Z824" s="20"/>
      <c r="AA824" s="20"/>
    </row>
    <row r="825" spans="1:27" ht="226.2" x14ac:dyDescent="0.25">
      <c r="A825" s="16"/>
      <c r="B825" s="20" t="b">
        <f ca="1">IFERROR(__xludf.DUMMYFUNCTION("if(D825=iferror(filter('Character Sheet'!D$13:D3002,'Character Sheet'!D$13:D3002=D825),""""),True,False)"),FALSE)</f>
        <v>0</v>
      </c>
      <c r="C825" s="20">
        <v>200</v>
      </c>
      <c r="D825" s="2" t="s">
        <v>1842</v>
      </c>
      <c r="E825" s="2" t="s">
        <v>649</v>
      </c>
      <c r="F825" s="20" t="s">
        <v>57</v>
      </c>
      <c r="G825" s="2" t="s">
        <v>1843</v>
      </c>
      <c r="H825" s="16"/>
      <c r="I825" s="20"/>
      <c r="J825" s="20"/>
      <c r="K825" s="20"/>
      <c r="L825" s="20"/>
      <c r="M825" s="20"/>
      <c r="N825" s="20"/>
      <c r="O825" s="20"/>
      <c r="P825" s="20"/>
      <c r="Q825" s="20"/>
      <c r="R825" s="20"/>
      <c r="S825" s="20"/>
      <c r="T825" s="20"/>
      <c r="U825" s="20"/>
      <c r="V825" s="20"/>
      <c r="W825" s="20"/>
      <c r="X825" s="20"/>
      <c r="Y825" s="20"/>
      <c r="Z825" s="20"/>
      <c r="AA825" s="20"/>
    </row>
    <row r="826" spans="1:27" ht="87" x14ac:dyDescent="0.25">
      <c r="A826" s="16"/>
      <c r="B826" s="20" t="b">
        <f ca="1">IFERROR(__xludf.DUMMYFUNCTION("if(D826=iferror(filter('Character Sheet'!D$13:D3002,'Character Sheet'!D$13:D3002=D826),""""),True,False)"),FALSE)</f>
        <v>0</v>
      </c>
      <c r="C826" s="20">
        <v>200</v>
      </c>
      <c r="D826" s="2" t="s">
        <v>1844</v>
      </c>
      <c r="E826" s="2" t="s">
        <v>943</v>
      </c>
      <c r="F826" s="20" t="s">
        <v>57</v>
      </c>
      <c r="G826" s="2" t="s">
        <v>1845</v>
      </c>
      <c r="H826" s="16"/>
      <c r="I826" s="20"/>
      <c r="J826" s="20"/>
      <c r="K826" s="20"/>
      <c r="L826" s="20"/>
      <c r="M826" s="20"/>
      <c r="N826" s="20"/>
      <c r="O826" s="20"/>
      <c r="P826" s="20"/>
      <c r="Q826" s="20"/>
      <c r="R826" s="20"/>
      <c r="S826" s="20"/>
      <c r="T826" s="20"/>
      <c r="U826" s="20"/>
      <c r="V826" s="20"/>
      <c r="W826" s="20"/>
      <c r="X826" s="20"/>
      <c r="Y826" s="20"/>
      <c r="Z826" s="20"/>
      <c r="AA826" s="20"/>
    </row>
    <row r="827" spans="1:27" ht="156.6" x14ac:dyDescent="0.25">
      <c r="A827" s="16"/>
      <c r="B827" s="20" t="b">
        <f ca="1">IFERROR(__xludf.DUMMYFUNCTION("if(D827=iferror(filter('Character Sheet'!D$13:D3002,'Character Sheet'!D$13:D3002=D827),""""),True,False)"),FALSE)</f>
        <v>0</v>
      </c>
      <c r="C827" s="20">
        <v>200</v>
      </c>
      <c r="D827" s="2" t="s">
        <v>1846</v>
      </c>
      <c r="E827" s="2" t="s">
        <v>863</v>
      </c>
      <c r="F827" s="20" t="s">
        <v>57</v>
      </c>
      <c r="G827" s="2" t="s">
        <v>1847</v>
      </c>
      <c r="H827" s="16"/>
      <c r="I827" s="20"/>
      <c r="J827" s="20"/>
      <c r="K827" s="20"/>
      <c r="L827" s="20"/>
      <c r="M827" s="20"/>
      <c r="N827" s="20"/>
      <c r="O827" s="20"/>
      <c r="P827" s="20"/>
      <c r="Q827" s="20"/>
      <c r="R827" s="20"/>
      <c r="S827" s="20"/>
      <c r="T827" s="20"/>
      <c r="U827" s="20"/>
      <c r="V827" s="20"/>
      <c r="W827" s="20"/>
      <c r="X827" s="20"/>
      <c r="Y827" s="20"/>
      <c r="Z827" s="20"/>
      <c r="AA827" s="20"/>
    </row>
    <row r="828" spans="1:27" ht="174" x14ac:dyDescent="0.25">
      <c r="A828" s="16"/>
      <c r="B828" s="20" t="b">
        <f ca="1">IFERROR(__xludf.DUMMYFUNCTION("if(D828=iferror(filter('Character Sheet'!D$13:D3002,'Character Sheet'!D$13:D3002=D828),""""),True,False)"),FALSE)</f>
        <v>0</v>
      </c>
      <c r="C828" s="20">
        <v>200</v>
      </c>
      <c r="D828" s="2" t="s">
        <v>1848</v>
      </c>
      <c r="E828" s="2" t="s">
        <v>159</v>
      </c>
      <c r="F828" s="20" t="s">
        <v>57</v>
      </c>
      <c r="G828" s="2" t="s">
        <v>1849</v>
      </c>
      <c r="H828" s="16"/>
      <c r="I828" s="20"/>
      <c r="J828" s="20"/>
      <c r="K828" s="20"/>
      <c r="L828" s="20"/>
      <c r="M828" s="20"/>
      <c r="N828" s="20"/>
      <c r="O828" s="20"/>
      <c r="P828" s="20"/>
      <c r="Q828" s="20"/>
      <c r="R828" s="20"/>
      <c r="S828" s="20"/>
      <c r="T828" s="20"/>
      <c r="U828" s="20"/>
      <c r="V828" s="20"/>
      <c r="W828" s="20"/>
      <c r="X828" s="20"/>
      <c r="Y828" s="20"/>
      <c r="Z828" s="20"/>
      <c r="AA828" s="20"/>
    </row>
    <row r="829" spans="1:27" ht="156.6" x14ac:dyDescent="0.25">
      <c r="A829" s="16"/>
      <c r="B829" s="20" t="b">
        <f ca="1">IFERROR(__xludf.DUMMYFUNCTION("if(D829=iferror(filter('Character Sheet'!D$13:D3002,'Character Sheet'!D$13:D3002=D829),""""),True,False)"),FALSE)</f>
        <v>0</v>
      </c>
      <c r="C829" s="20">
        <v>200</v>
      </c>
      <c r="D829" s="2" t="s">
        <v>1850</v>
      </c>
      <c r="E829" s="2" t="s">
        <v>576</v>
      </c>
      <c r="F829" s="20" t="s">
        <v>57</v>
      </c>
      <c r="G829" s="2" t="s">
        <v>1851</v>
      </c>
      <c r="H829" s="16"/>
      <c r="I829" s="20"/>
      <c r="J829" s="20"/>
      <c r="K829" s="20"/>
      <c r="L829" s="20"/>
      <c r="M829" s="20"/>
      <c r="N829" s="20"/>
      <c r="O829" s="20"/>
      <c r="P829" s="20"/>
      <c r="Q829" s="20"/>
      <c r="R829" s="20"/>
      <c r="S829" s="20"/>
      <c r="T829" s="20"/>
      <c r="U829" s="20"/>
      <c r="V829" s="20"/>
      <c r="W829" s="20"/>
      <c r="X829" s="20"/>
      <c r="Y829" s="20"/>
      <c r="Z829" s="20"/>
      <c r="AA829" s="20"/>
    </row>
    <row r="830" spans="1:27" ht="104.4" x14ac:dyDescent="0.25">
      <c r="A830" s="16"/>
      <c r="B830" s="20" t="b">
        <f ca="1">IFERROR(__xludf.DUMMYFUNCTION("if(D830=iferror(filter('Character Sheet'!D$13:D3002,'Character Sheet'!D$13:D3002=D830),""""),True,False)"),FALSE)</f>
        <v>0</v>
      </c>
      <c r="C830" s="20">
        <v>200</v>
      </c>
      <c r="D830" s="2" t="s">
        <v>1852</v>
      </c>
      <c r="E830" s="2" t="s">
        <v>642</v>
      </c>
      <c r="F830" s="20" t="s">
        <v>57</v>
      </c>
      <c r="G830" s="2" t="s">
        <v>1853</v>
      </c>
      <c r="H830" s="16"/>
      <c r="I830" s="20"/>
      <c r="J830" s="20"/>
      <c r="K830" s="20"/>
      <c r="L830" s="20"/>
      <c r="M830" s="20"/>
      <c r="N830" s="20"/>
      <c r="O830" s="20"/>
      <c r="P830" s="20"/>
      <c r="Q830" s="20"/>
      <c r="R830" s="20"/>
      <c r="S830" s="20"/>
      <c r="T830" s="20"/>
      <c r="U830" s="20"/>
      <c r="V830" s="20"/>
      <c r="W830" s="20"/>
      <c r="X830" s="20"/>
      <c r="Y830" s="20"/>
      <c r="Z830" s="20"/>
      <c r="AA830" s="20"/>
    </row>
    <row r="831" spans="1:27" ht="208.8" x14ac:dyDescent="0.25">
      <c r="A831" s="16"/>
      <c r="B831" s="20" t="b">
        <f ca="1">IFERROR(__xludf.DUMMYFUNCTION("if(D831=iferror(filter('Character Sheet'!D$13:D3002,'Character Sheet'!D$13:D3002=D831),""""),True,False)"),FALSE)</f>
        <v>0</v>
      </c>
      <c r="C831" s="20">
        <v>200</v>
      </c>
      <c r="D831" s="2" t="s">
        <v>1854</v>
      </c>
      <c r="E831" s="2" t="s">
        <v>119</v>
      </c>
      <c r="F831" s="20" t="s">
        <v>57</v>
      </c>
      <c r="G831" s="2" t="s">
        <v>1855</v>
      </c>
      <c r="H831" s="16"/>
      <c r="I831" s="20"/>
      <c r="J831" s="20"/>
      <c r="K831" s="20"/>
      <c r="L831" s="20"/>
      <c r="M831" s="20"/>
      <c r="N831" s="20"/>
      <c r="O831" s="20"/>
      <c r="P831" s="20"/>
      <c r="Q831" s="20"/>
      <c r="R831" s="20"/>
      <c r="S831" s="20"/>
      <c r="T831" s="20"/>
      <c r="U831" s="20"/>
      <c r="V831" s="20"/>
      <c r="W831" s="20"/>
      <c r="X831" s="20"/>
      <c r="Y831" s="20"/>
      <c r="Z831" s="20"/>
      <c r="AA831" s="20"/>
    </row>
    <row r="832" spans="1:27" ht="156.6" x14ac:dyDescent="0.25">
      <c r="A832" s="16"/>
      <c r="B832" s="20" t="b">
        <f ca="1">IFERROR(__xludf.DUMMYFUNCTION("if(D832=iferror(filter('Character Sheet'!D$13:D3002,'Character Sheet'!D$13:D3002=D832),""""),True,False)"),FALSE)</f>
        <v>0</v>
      </c>
      <c r="C832" s="20">
        <v>200</v>
      </c>
      <c r="D832" s="2" t="s">
        <v>1856</v>
      </c>
      <c r="E832" s="2" t="s">
        <v>996</v>
      </c>
      <c r="F832" s="20" t="s">
        <v>57</v>
      </c>
      <c r="G832" s="2" t="s">
        <v>1857</v>
      </c>
      <c r="H832" s="16"/>
      <c r="I832" s="20"/>
      <c r="J832" s="20"/>
      <c r="K832" s="20"/>
      <c r="L832" s="20"/>
      <c r="M832" s="20"/>
      <c r="N832" s="20"/>
      <c r="O832" s="20"/>
      <c r="P832" s="20"/>
      <c r="Q832" s="20"/>
      <c r="R832" s="20"/>
      <c r="S832" s="20"/>
      <c r="T832" s="20"/>
      <c r="U832" s="20"/>
      <c r="V832" s="20"/>
      <c r="W832" s="20"/>
      <c r="X832" s="20"/>
      <c r="Y832" s="20"/>
      <c r="Z832" s="20"/>
      <c r="AA832" s="20"/>
    </row>
    <row r="833" spans="1:27" ht="69.599999999999994" x14ac:dyDescent="0.25">
      <c r="A833" s="16"/>
      <c r="B833" s="20" t="b">
        <f ca="1">IFERROR(__xludf.DUMMYFUNCTION("if(D833=iferror(filter('Character Sheet'!D$13:D3002,'Character Sheet'!D$13:D3002=D833),""""),True,False)"),FALSE)</f>
        <v>0</v>
      </c>
      <c r="C833" s="20">
        <v>200</v>
      </c>
      <c r="D833" s="2" t="s">
        <v>1858</v>
      </c>
      <c r="E833" s="2" t="s">
        <v>288</v>
      </c>
      <c r="F833" s="20" t="s">
        <v>57</v>
      </c>
      <c r="G833" s="2" t="s">
        <v>1859</v>
      </c>
      <c r="H833" s="16"/>
      <c r="I833" s="20"/>
      <c r="J833" s="20"/>
      <c r="K833" s="20"/>
      <c r="L833" s="20"/>
      <c r="M833" s="20"/>
      <c r="N833" s="20"/>
      <c r="O833" s="20"/>
      <c r="P833" s="20"/>
      <c r="Q833" s="20"/>
      <c r="R833" s="20"/>
      <c r="S833" s="20"/>
      <c r="T833" s="20"/>
      <c r="U833" s="20"/>
      <c r="V833" s="20"/>
      <c r="W833" s="20"/>
      <c r="X833" s="20"/>
      <c r="Y833" s="20"/>
      <c r="Z833" s="20"/>
      <c r="AA833" s="20"/>
    </row>
    <row r="834" spans="1:27" ht="69.599999999999994" x14ac:dyDescent="0.25">
      <c r="A834" s="16"/>
      <c r="B834" s="20" t="b">
        <f ca="1">IFERROR(__xludf.DUMMYFUNCTION("if(D834=iferror(filter('Character Sheet'!D$13:D3002,'Character Sheet'!D$13:D3002=D834),""""),True,False)"),FALSE)</f>
        <v>0</v>
      </c>
      <c r="C834" s="20">
        <v>200</v>
      </c>
      <c r="D834" s="2" t="s">
        <v>1860</v>
      </c>
      <c r="E834" s="2" t="s">
        <v>451</v>
      </c>
      <c r="F834" s="20" t="s">
        <v>57</v>
      </c>
      <c r="G834" s="2" t="s">
        <v>1861</v>
      </c>
      <c r="H834" s="16"/>
      <c r="I834" s="20"/>
      <c r="J834" s="20"/>
      <c r="K834" s="20"/>
      <c r="L834" s="20"/>
      <c r="M834" s="20"/>
      <c r="N834" s="20"/>
      <c r="O834" s="20"/>
      <c r="P834" s="20"/>
      <c r="Q834" s="20"/>
      <c r="R834" s="20"/>
      <c r="S834" s="20"/>
      <c r="T834" s="20"/>
      <c r="U834" s="20"/>
      <c r="V834" s="20"/>
      <c r="W834" s="20"/>
      <c r="X834" s="20"/>
      <c r="Y834" s="20"/>
      <c r="Z834" s="20"/>
      <c r="AA834" s="20"/>
    </row>
    <row r="835" spans="1:27" ht="139.19999999999999" x14ac:dyDescent="0.25">
      <c r="A835" s="16"/>
      <c r="B835" s="20" t="b">
        <f ca="1">IFERROR(__xludf.DUMMYFUNCTION("if(D835=iferror(filter('Character Sheet'!D$13:D3002,'Character Sheet'!D$13:D3002=D835),""""),True,False)"),FALSE)</f>
        <v>0</v>
      </c>
      <c r="C835" s="20">
        <v>200</v>
      </c>
      <c r="D835" s="2" t="s">
        <v>1862</v>
      </c>
      <c r="E835" s="2" t="s">
        <v>838</v>
      </c>
      <c r="F835" s="20" t="s">
        <v>57</v>
      </c>
      <c r="G835" s="2" t="s">
        <v>1863</v>
      </c>
      <c r="H835" s="16"/>
      <c r="I835" s="20"/>
      <c r="J835" s="20"/>
      <c r="K835" s="20"/>
      <c r="L835" s="20"/>
      <c r="M835" s="20"/>
      <c r="N835" s="20"/>
      <c r="O835" s="20"/>
      <c r="P835" s="20"/>
      <c r="Q835" s="20"/>
      <c r="R835" s="20"/>
      <c r="S835" s="20"/>
      <c r="T835" s="20"/>
      <c r="U835" s="20"/>
      <c r="V835" s="20"/>
      <c r="W835" s="20"/>
      <c r="X835" s="20"/>
      <c r="Y835" s="20"/>
      <c r="Z835" s="20"/>
      <c r="AA835" s="20"/>
    </row>
    <row r="836" spans="1:27" ht="156.6" x14ac:dyDescent="0.25">
      <c r="A836" s="16"/>
      <c r="B836" s="20" t="b">
        <f ca="1">IFERROR(__xludf.DUMMYFUNCTION("if(D836=iferror(filter('Character Sheet'!D$13:D3002,'Character Sheet'!D$13:D3002=D836),""""),True,False)"),FALSE)</f>
        <v>0</v>
      </c>
      <c r="C836" s="20">
        <v>200</v>
      </c>
      <c r="D836" s="2" t="s">
        <v>1864</v>
      </c>
      <c r="E836" s="2" t="s">
        <v>610</v>
      </c>
      <c r="F836" s="20" t="s">
        <v>57</v>
      </c>
      <c r="G836" s="2" t="s">
        <v>1865</v>
      </c>
      <c r="H836" s="16"/>
      <c r="I836" s="20"/>
      <c r="J836" s="20"/>
      <c r="K836" s="20"/>
      <c r="L836" s="20"/>
      <c r="M836" s="20"/>
      <c r="N836" s="20"/>
      <c r="O836" s="20"/>
      <c r="P836" s="20"/>
      <c r="Q836" s="20"/>
      <c r="R836" s="20"/>
      <c r="S836" s="20"/>
      <c r="T836" s="20"/>
      <c r="U836" s="20"/>
      <c r="V836" s="20"/>
      <c r="W836" s="20"/>
      <c r="X836" s="20"/>
      <c r="Y836" s="20"/>
      <c r="Z836" s="20"/>
      <c r="AA836" s="20"/>
    </row>
    <row r="837" spans="1:27" ht="174" x14ac:dyDescent="0.25">
      <c r="A837" s="16"/>
      <c r="B837" s="20" t="b">
        <f ca="1">IFERROR(__xludf.DUMMYFUNCTION("if(D837=iferror(filter('Character Sheet'!D$13:D3002,'Character Sheet'!D$13:D3002=D837),""""),True,False)"),FALSE)</f>
        <v>0</v>
      </c>
      <c r="C837" s="20">
        <v>200</v>
      </c>
      <c r="D837" s="2" t="s">
        <v>1866</v>
      </c>
      <c r="E837" s="2" t="s">
        <v>253</v>
      </c>
      <c r="F837" s="20" t="s">
        <v>57</v>
      </c>
      <c r="G837" s="2" t="s">
        <v>1867</v>
      </c>
      <c r="H837" s="16"/>
      <c r="I837" s="20"/>
      <c r="J837" s="20"/>
      <c r="K837" s="20"/>
      <c r="L837" s="20"/>
      <c r="M837" s="20"/>
      <c r="N837" s="20"/>
      <c r="O837" s="20"/>
      <c r="P837" s="20"/>
      <c r="Q837" s="20"/>
      <c r="R837" s="20"/>
      <c r="S837" s="20"/>
      <c r="T837" s="20"/>
      <c r="U837" s="20"/>
      <c r="V837" s="20"/>
      <c r="W837" s="20"/>
      <c r="X837" s="20"/>
      <c r="Y837" s="20"/>
      <c r="Z837" s="20"/>
      <c r="AA837" s="20"/>
    </row>
    <row r="838" spans="1:27" ht="104.4" x14ac:dyDescent="0.25">
      <c r="A838" s="16"/>
      <c r="B838" s="20" t="b">
        <f ca="1">IFERROR(__xludf.DUMMYFUNCTION("if(D838=iferror(filter('Character Sheet'!D$13:D3002,'Character Sheet'!D$13:D3002=D838),""""),True,False)"),FALSE)</f>
        <v>0</v>
      </c>
      <c r="C838" s="20">
        <v>200</v>
      </c>
      <c r="D838" s="2" t="s">
        <v>1868</v>
      </c>
      <c r="E838" s="2" t="s">
        <v>877</v>
      </c>
      <c r="F838" s="20" t="s">
        <v>57</v>
      </c>
      <c r="G838" s="2" t="s">
        <v>1869</v>
      </c>
      <c r="H838" s="16"/>
      <c r="I838" s="20"/>
      <c r="J838" s="20"/>
      <c r="K838" s="20"/>
      <c r="L838" s="20"/>
      <c r="M838" s="20"/>
      <c r="N838" s="20"/>
      <c r="O838" s="20"/>
      <c r="P838" s="20"/>
      <c r="Q838" s="20"/>
      <c r="R838" s="20"/>
      <c r="S838" s="20"/>
      <c r="T838" s="20"/>
      <c r="U838" s="20"/>
      <c r="V838" s="20"/>
      <c r="W838" s="20"/>
      <c r="X838" s="20"/>
      <c r="Y838" s="20"/>
      <c r="Z838" s="20"/>
      <c r="AA838" s="20"/>
    </row>
    <row r="839" spans="1:27" ht="156.6" x14ac:dyDescent="0.25">
      <c r="A839" s="16"/>
      <c r="B839" s="20" t="b">
        <f ca="1">IFERROR(__xludf.DUMMYFUNCTION("if(D839=iferror(filter('Character Sheet'!D$13:D3002,'Character Sheet'!D$13:D3002=D839),""""),True,False)"),FALSE)</f>
        <v>0</v>
      </c>
      <c r="C839" s="20">
        <v>200</v>
      </c>
      <c r="D839" s="2" t="s">
        <v>1870</v>
      </c>
      <c r="E839" s="2" t="s">
        <v>720</v>
      </c>
      <c r="F839" s="20" t="s">
        <v>57</v>
      </c>
      <c r="G839" s="2" t="s">
        <v>1871</v>
      </c>
      <c r="H839" s="16"/>
      <c r="I839" s="20"/>
      <c r="J839" s="20"/>
      <c r="K839" s="20"/>
      <c r="L839" s="20"/>
      <c r="M839" s="20"/>
      <c r="N839" s="20"/>
      <c r="O839" s="20"/>
      <c r="P839" s="20"/>
      <c r="Q839" s="20"/>
      <c r="R839" s="20"/>
      <c r="S839" s="20"/>
      <c r="T839" s="20"/>
      <c r="U839" s="20"/>
      <c r="V839" s="20"/>
      <c r="W839" s="20"/>
      <c r="X839" s="20"/>
      <c r="Y839" s="20"/>
      <c r="Z839" s="20"/>
      <c r="AA839" s="20"/>
    </row>
    <row r="840" spans="1:27" ht="261" x14ac:dyDescent="0.25">
      <c r="A840" s="16"/>
      <c r="B840" s="20" t="b">
        <f ca="1">IFERROR(__xludf.DUMMYFUNCTION("if(D840=iferror(filter('Character Sheet'!D$13:D3002,'Character Sheet'!D$13:D3002=D840),""""),True,False)"),FALSE)</f>
        <v>0</v>
      </c>
      <c r="C840" s="20">
        <v>200</v>
      </c>
      <c r="D840" s="2" t="s">
        <v>1872</v>
      </c>
      <c r="E840" s="2" t="s">
        <v>220</v>
      </c>
      <c r="F840" s="20" t="s">
        <v>57</v>
      </c>
      <c r="G840" s="2" t="s">
        <v>1873</v>
      </c>
      <c r="H840" s="16"/>
      <c r="I840" s="20"/>
      <c r="J840" s="20"/>
      <c r="K840" s="20"/>
      <c r="L840" s="20"/>
      <c r="M840" s="20"/>
      <c r="N840" s="20"/>
      <c r="O840" s="20"/>
      <c r="P840" s="20"/>
      <c r="Q840" s="20"/>
      <c r="R840" s="20"/>
      <c r="S840" s="20"/>
      <c r="T840" s="20"/>
      <c r="U840" s="20"/>
      <c r="V840" s="20"/>
      <c r="W840" s="20"/>
      <c r="X840" s="20"/>
      <c r="Y840" s="20"/>
      <c r="Z840" s="20"/>
      <c r="AA840" s="20"/>
    </row>
    <row r="841" spans="1:27" ht="34.799999999999997" x14ac:dyDescent="0.25">
      <c r="A841" s="16"/>
      <c r="B841" s="20" t="b">
        <f ca="1">IFERROR(__xludf.DUMMYFUNCTION("if(D841=iferror(filter('Character Sheet'!D$13:D3002,'Character Sheet'!D$13:D3002=D841),""""),True,False)"),FALSE)</f>
        <v>0</v>
      </c>
      <c r="C841" s="20">
        <v>200</v>
      </c>
      <c r="D841" s="2" t="s">
        <v>1874</v>
      </c>
      <c r="E841" s="2" t="s">
        <v>274</v>
      </c>
      <c r="F841" s="20" t="s">
        <v>57</v>
      </c>
      <c r="G841" s="2" t="s">
        <v>1875</v>
      </c>
      <c r="H841" s="16"/>
      <c r="I841" s="20"/>
      <c r="J841" s="20"/>
      <c r="K841" s="20"/>
      <c r="L841" s="20"/>
      <c r="M841" s="20"/>
      <c r="N841" s="20"/>
      <c r="O841" s="20"/>
      <c r="P841" s="20"/>
      <c r="Q841" s="20"/>
      <c r="R841" s="20"/>
      <c r="S841" s="20"/>
      <c r="T841" s="20"/>
      <c r="U841" s="20"/>
      <c r="V841" s="20"/>
      <c r="W841" s="20"/>
      <c r="X841" s="20"/>
      <c r="Y841" s="20"/>
      <c r="Z841" s="20"/>
      <c r="AA841" s="20"/>
    </row>
    <row r="842" spans="1:27" ht="121.8" x14ac:dyDescent="0.25">
      <c r="A842" s="16"/>
      <c r="B842" s="20" t="b">
        <f ca="1">IFERROR(__xludf.DUMMYFUNCTION("if(D842=iferror(filter('Character Sheet'!D$13:D3002,'Character Sheet'!D$13:D3002=D842),""""),True,False)"),FALSE)</f>
        <v>0</v>
      </c>
      <c r="C842" s="20">
        <v>200</v>
      </c>
      <c r="D842" s="2" t="s">
        <v>1876</v>
      </c>
      <c r="E842" s="2" t="s">
        <v>350</v>
      </c>
      <c r="F842" s="20" t="s">
        <v>57</v>
      </c>
      <c r="G842" s="2" t="s">
        <v>1877</v>
      </c>
      <c r="H842" s="16"/>
      <c r="I842" s="20"/>
      <c r="J842" s="20"/>
      <c r="K842" s="20"/>
      <c r="L842" s="20"/>
      <c r="M842" s="20"/>
      <c r="N842" s="20"/>
      <c r="O842" s="20"/>
      <c r="P842" s="20"/>
      <c r="Q842" s="20"/>
      <c r="R842" s="20"/>
      <c r="S842" s="20"/>
      <c r="T842" s="20"/>
      <c r="U842" s="20"/>
      <c r="V842" s="20"/>
      <c r="W842" s="20"/>
      <c r="X842" s="20"/>
      <c r="Y842" s="20"/>
      <c r="Z842" s="20"/>
      <c r="AA842" s="20"/>
    </row>
    <row r="843" spans="1:27" ht="174" x14ac:dyDescent="0.25">
      <c r="A843" s="16"/>
      <c r="B843" s="20" t="b">
        <f ca="1">IFERROR(__xludf.DUMMYFUNCTION("if(D843=iferror(filter('Character Sheet'!D$13:D3002,'Character Sheet'!D$13:D3002=D843),""""),True,False)"),FALSE)</f>
        <v>0</v>
      </c>
      <c r="C843" s="20">
        <v>200</v>
      </c>
      <c r="D843" s="2" t="s">
        <v>1878</v>
      </c>
      <c r="E843" s="2" t="s">
        <v>435</v>
      </c>
      <c r="F843" s="20" t="s">
        <v>57</v>
      </c>
      <c r="G843" s="2" t="s">
        <v>1879</v>
      </c>
      <c r="H843" s="16"/>
      <c r="I843" s="20"/>
      <c r="J843" s="20"/>
      <c r="K843" s="20"/>
      <c r="L843" s="20"/>
      <c r="M843" s="20"/>
      <c r="N843" s="20"/>
      <c r="O843" s="20"/>
      <c r="P843" s="20"/>
      <c r="Q843" s="20"/>
      <c r="R843" s="20"/>
      <c r="S843" s="20"/>
      <c r="T843" s="20"/>
      <c r="U843" s="20"/>
      <c r="V843" s="20"/>
      <c r="W843" s="20"/>
      <c r="X843" s="20"/>
      <c r="Y843" s="20"/>
      <c r="Z843" s="20"/>
      <c r="AA843" s="20"/>
    </row>
    <row r="844" spans="1:27" ht="121.8" x14ac:dyDescent="0.25">
      <c r="A844" s="16"/>
      <c r="B844" s="20" t="b">
        <f ca="1">IFERROR(__xludf.DUMMYFUNCTION("if(D844=iferror(filter('Character Sheet'!D$13:D3002,'Character Sheet'!D$13:D3002=D844),""""),True,False)"),FALSE)</f>
        <v>0</v>
      </c>
      <c r="C844" s="20">
        <v>200</v>
      </c>
      <c r="D844" s="2" t="s">
        <v>1880</v>
      </c>
      <c r="E844" s="2" t="s">
        <v>845</v>
      </c>
      <c r="F844" s="20" t="s">
        <v>57</v>
      </c>
      <c r="G844" s="2" t="s">
        <v>1881</v>
      </c>
      <c r="H844" s="16"/>
      <c r="I844" s="20"/>
      <c r="J844" s="20"/>
      <c r="K844" s="20"/>
      <c r="L844" s="20"/>
      <c r="M844" s="20"/>
      <c r="N844" s="20"/>
      <c r="O844" s="20"/>
      <c r="P844" s="20"/>
      <c r="Q844" s="20"/>
      <c r="R844" s="20"/>
      <c r="S844" s="20"/>
      <c r="T844" s="20"/>
      <c r="U844" s="20"/>
      <c r="V844" s="20"/>
      <c r="W844" s="20"/>
      <c r="X844" s="20"/>
      <c r="Y844" s="20"/>
      <c r="Z844" s="20"/>
      <c r="AA844" s="20"/>
    </row>
    <row r="845" spans="1:27" ht="156.6" x14ac:dyDescent="0.25">
      <c r="A845" s="16"/>
      <c r="B845" s="20" t="b">
        <f ca="1">IFERROR(__xludf.DUMMYFUNCTION("if(D845=iferror(filter('Character Sheet'!D$13:D3002,'Character Sheet'!D$13:D3002=D845),""""),True,False)"),FALSE)</f>
        <v>0</v>
      </c>
      <c r="C845" s="20">
        <v>200</v>
      </c>
      <c r="D845" s="2" t="s">
        <v>1882</v>
      </c>
      <c r="E845" s="2" t="s">
        <v>970</v>
      </c>
      <c r="F845" s="20" t="s">
        <v>57</v>
      </c>
      <c r="G845" s="2" t="s">
        <v>1883</v>
      </c>
      <c r="H845" s="16"/>
      <c r="I845" s="20"/>
      <c r="J845" s="20"/>
      <c r="K845" s="20"/>
      <c r="L845" s="20"/>
      <c r="M845" s="20"/>
      <c r="N845" s="20"/>
      <c r="O845" s="20"/>
      <c r="P845" s="20"/>
      <c r="Q845" s="20"/>
      <c r="R845" s="20"/>
      <c r="S845" s="20"/>
      <c r="T845" s="20"/>
      <c r="U845" s="20"/>
      <c r="V845" s="20"/>
      <c r="W845" s="20"/>
      <c r="X845" s="20"/>
      <c r="Y845" s="20"/>
      <c r="Z845" s="20"/>
      <c r="AA845" s="20"/>
    </row>
    <row r="846" spans="1:27" ht="139.19999999999999" x14ac:dyDescent="0.25">
      <c r="A846" s="16"/>
      <c r="B846" s="20" t="b">
        <f ca="1">IFERROR(__xludf.DUMMYFUNCTION("if(D846=iferror(filter('Character Sheet'!D$13:D3002,'Character Sheet'!D$13:D3002=D846),""""),True,False)"),FALSE)</f>
        <v>0</v>
      </c>
      <c r="C846" s="20">
        <v>200</v>
      </c>
      <c r="D846" s="2" t="s">
        <v>1884</v>
      </c>
      <c r="E846" s="2" t="s">
        <v>139</v>
      </c>
      <c r="F846" s="20" t="s">
        <v>57</v>
      </c>
      <c r="G846" s="2" t="s">
        <v>1885</v>
      </c>
      <c r="H846" s="16"/>
      <c r="I846" s="20"/>
      <c r="J846" s="20"/>
      <c r="K846" s="20"/>
      <c r="L846" s="20"/>
      <c r="M846" s="20"/>
      <c r="N846" s="20"/>
      <c r="O846" s="20"/>
      <c r="P846" s="20"/>
      <c r="Q846" s="20"/>
      <c r="R846" s="20"/>
      <c r="S846" s="20"/>
      <c r="T846" s="20"/>
      <c r="U846" s="20"/>
      <c r="V846" s="20"/>
      <c r="W846" s="20"/>
      <c r="X846" s="20"/>
      <c r="Y846" s="20"/>
      <c r="Z846" s="20"/>
      <c r="AA846" s="20"/>
    </row>
    <row r="847" spans="1:27" ht="156.6" x14ac:dyDescent="0.25">
      <c r="A847" s="16"/>
      <c r="B847" s="20" t="b">
        <f ca="1">IFERROR(__xludf.DUMMYFUNCTION("if(D847=iferror(filter('Character Sheet'!D$13:D3002,'Character Sheet'!D$13:D3002=D847),""""),True,False)"),FALSE)</f>
        <v>0</v>
      </c>
      <c r="C847" s="20">
        <v>200</v>
      </c>
      <c r="D847" s="2" t="s">
        <v>1886</v>
      </c>
      <c r="E847" s="2" t="s">
        <v>914</v>
      </c>
      <c r="F847" s="20" t="s">
        <v>57</v>
      </c>
      <c r="G847" s="2" t="s">
        <v>1887</v>
      </c>
      <c r="H847" s="16"/>
      <c r="I847" s="20"/>
      <c r="J847" s="20"/>
      <c r="K847" s="20"/>
      <c r="L847" s="20"/>
      <c r="M847" s="20"/>
      <c r="N847" s="20"/>
      <c r="O847" s="20"/>
      <c r="P847" s="20"/>
      <c r="Q847" s="20"/>
      <c r="R847" s="20"/>
      <c r="S847" s="20"/>
      <c r="T847" s="20"/>
      <c r="U847" s="20"/>
      <c r="V847" s="20"/>
      <c r="W847" s="20"/>
      <c r="X847" s="20"/>
      <c r="Y847" s="20"/>
      <c r="Z847" s="20"/>
      <c r="AA847" s="20"/>
    </row>
    <row r="848" spans="1:27" ht="87" x14ac:dyDescent="0.25">
      <c r="A848" s="16"/>
      <c r="B848" s="20" t="b">
        <f ca="1">IFERROR(__xludf.DUMMYFUNCTION("if(D848=iferror(filter('Character Sheet'!D$13:D3002,'Character Sheet'!D$13:D3002=D848),""""),True,False)"),FALSE)</f>
        <v>0</v>
      </c>
      <c r="C848" s="20">
        <v>200</v>
      </c>
      <c r="D848" s="2" t="s">
        <v>1888</v>
      </c>
      <c r="E848" s="2" t="s">
        <v>100</v>
      </c>
      <c r="F848" s="20" t="s">
        <v>57</v>
      </c>
      <c r="G848" s="2" t="s">
        <v>1889</v>
      </c>
      <c r="H848" s="16"/>
      <c r="I848" s="20"/>
      <c r="J848" s="20"/>
      <c r="K848" s="20"/>
      <c r="L848" s="20"/>
      <c r="M848" s="20"/>
      <c r="N848" s="20"/>
      <c r="O848" s="20"/>
      <c r="P848" s="20"/>
      <c r="Q848" s="20"/>
      <c r="R848" s="20"/>
      <c r="S848" s="20"/>
      <c r="T848" s="20"/>
      <c r="U848" s="20"/>
      <c r="V848" s="20"/>
      <c r="W848" s="20"/>
      <c r="X848" s="20"/>
      <c r="Y848" s="20"/>
      <c r="Z848" s="20"/>
      <c r="AA848" s="20"/>
    </row>
    <row r="849" spans="1:27" ht="278.39999999999998" x14ac:dyDescent="0.25">
      <c r="A849" s="16"/>
      <c r="B849" s="20" t="b">
        <f ca="1">IFERROR(__xludf.DUMMYFUNCTION("if(D849=iferror(filter('Character Sheet'!D$13:D3002,'Character Sheet'!D$13:D3002=D849),""""),True,False)"),FALSE)</f>
        <v>0</v>
      </c>
      <c r="C849" s="20">
        <v>200</v>
      </c>
      <c r="D849" s="2" t="s">
        <v>1890</v>
      </c>
      <c r="E849" s="2" t="s">
        <v>93</v>
      </c>
      <c r="F849" s="20" t="s">
        <v>57</v>
      </c>
      <c r="G849" s="2" t="s">
        <v>1891</v>
      </c>
      <c r="H849" s="16"/>
      <c r="I849" s="20"/>
      <c r="J849" s="20"/>
      <c r="K849" s="20"/>
      <c r="L849" s="20"/>
      <c r="M849" s="20"/>
      <c r="N849" s="20"/>
      <c r="O849" s="20"/>
      <c r="P849" s="20"/>
      <c r="Q849" s="20"/>
      <c r="R849" s="20"/>
      <c r="S849" s="20"/>
      <c r="T849" s="20"/>
      <c r="U849" s="20"/>
      <c r="V849" s="20"/>
      <c r="W849" s="20"/>
      <c r="X849" s="20"/>
      <c r="Y849" s="20"/>
      <c r="Z849" s="20"/>
      <c r="AA849" s="20"/>
    </row>
    <row r="850" spans="1:27" ht="104.4" x14ac:dyDescent="0.25">
      <c r="A850" s="16"/>
      <c r="B850" s="20" t="b">
        <f ca="1">IFERROR(__xludf.DUMMYFUNCTION("if(D850=iferror(filter('Character Sheet'!D$13:D3002,'Character Sheet'!D$13:D3002=D850),""""),True,False)"),FALSE)</f>
        <v>0</v>
      </c>
      <c r="C850" s="20">
        <v>200</v>
      </c>
      <c r="D850" s="2" t="s">
        <v>1892</v>
      </c>
      <c r="E850" s="2" t="s">
        <v>583</v>
      </c>
      <c r="F850" s="20" t="s">
        <v>57</v>
      </c>
      <c r="G850" s="2" t="s">
        <v>1893</v>
      </c>
      <c r="H850" s="16"/>
      <c r="I850" s="20"/>
      <c r="J850" s="20"/>
      <c r="K850" s="20"/>
      <c r="L850" s="20"/>
      <c r="M850" s="20"/>
      <c r="N850" s="20"/>
      <c r="O850" s="20"/>
      <c r="P850" s="20"/>
      <c r="Q850" s="20"/>
      <c r="R850" s="20"/>
      <c r="S850" s="20"/>
      <c r="T850" s="20"/>
      <c r="U850" s="20"/>
      <c r="V850" s="20"/>
      <c r="W850" s="20"/>
      <c r="X850" s="20"/>
      <c r="Y850" s="20"/>
      <c r="Z850" s="20"/>
      <c r="AA850" s="20"/>
    </row>
    <row r="851" spans="1:27" ht="87" x14ac:dyDescent="0.25">
      <c r="A851" s="16"/>
      <c r="B851" s="20" t="b">
        <f ca="1">IFERROR(__xludf.DUMMYFUNCTION("if(D851=iferror(filter('Character Sheet'!D$13:D3002,'Character Sheet'!D$13:D3002=D851),""""),True,False)"),FALSE)</f>
        <v>0</v>
      </c>
      <c r="C851" s="20">
        <v>200</v>
      </c>
      <c r="D851" s="2" t="s">
        <v>1894</v>
      </c>
      <c r="E851" s="2" t="s">
        <v>311</v>
      </c>
      <c r="F851" s="20" t="s">
        <v>57</v>
      </c>
      <c r="G851" s="2" t="s">
        <v>1895</v>
      </c>
      <c r="H851" s="16"/>
      <c r="I851" s="20"/>
      <c r="J851" s="20"/>
      <c r="K851" s="20"/>
      <c r="L851" s="20"/>
      <c r="M851" s="20"/>
      <c r="N851" s="20"/>
      <c r="O851" s="20"/>
      <c r="P851" s="20"/>
      <c r="Q851" s="20"/>
      <c r="R851" s="20"/>
      <c r="S851" s="20"/>
      <c r="T851" s="20"/>
      <c r="U851" s="20"/>
      <c r="V851" s="20"/>
      <c r="W851" s="20"/>
      <c r="X851" s="20"/>
      <c r="Y851" s="20"/>
      <c r="Z851" s="20"/>
      <c r="AA851" s="20"/>
    </row>
    <row r="852" spans="1:27" ht="52.2" x14ac:dyDescent="0.25">
      <c r="A852" s="16"/>
      <c r="B852" s="20" t="b">
        <f ca="1">IFERROR(__xludf.DUMMYFUNCTION("if(D852=iferror(filter('Character Sheet'!D$13:D3002,'Character Sheet'!D$13:D3002=D852),""""),True,False)"),FALSE)</f>
        <v>0</v>
      </c>
      <c r="C852" s="20">
        <v>200</v>
      </c>
      <c r="D852" s="2" t="s">
        <v>1896</v>
      </c>
      <c r="E852" s="2" t="s">
        <v>1897</v>
      </c>
      <c r="F852" s="20" t="s">
        <v>57</v>
      </c>
      <c r="G852" s="2" t="s">
        <v>1898</v>
      </c>
      <c r="H852" s="16"/>
      <c r="I852" s="20"/>
      <c r="J852" s="20"/>
      <c r="K852" s="20"/>
      <c r="L852" s="20"/>
      <c r="M852" s="20"/>
      <c r="N852" s="20"/>
      <c r="O852" s="20"/>
      <c r="P852" s="20"/>
      <c r="Q852" s="20"/>
      <c r="R852" s="20"/>
      <c r="S852" s="20"/>
      <c r="T852" s="20"/>
      <c r="U852" s="20"/>
      <c r="V852" s="20"/>
      <c r="W852" s="20"/>
      <c r="X852" s="20"/>
      <c r="Y852" s="20"/>
      <c r="Z852" s="20"/>
      <c r="AA852" s="20"/>
    </row>
    <row r="853" spans="1:27" ht="87" x14ac:dyDescent="0.25">
      <c r="A853" s="16"/>
      <c r="B853" s="20" t="b">
        <f ca="1">IFERROR(__xludf.DUMMYFUNCTION("if(D853=iferror(filter('Character Sheet'!D$13:D3002,'Character Sheet'!D$13:D3002=D853),""""),True,False)"),FALSE)</f>
        <v>0</v>
      </c>
      <c r="C853" s="20">
        <v>300</v>
      </c>
      <c r="D853" s="2" t="s">
        <v>1899</v>
      </c>
      <c r="E853" s="2" t="s">
        <v>93</v>
      </c>
      <c r="F853" s="20" t="s">
        <v>57</v>
      </c>
      <c r="G853" s="2" t="s">
        <v>1900</v>
      </c>
      <c r="H853" s="16"/>
      <c r="I853" s="20"/>
      <c r="J853" s="20"/>
      <c r="K853" s="20"/>
      <c r="L853" s="20"/>
      <c r="M853" s="20"/>
      <c r="N853" s="20"/>
      <c r="O853" s="20"/>
      <c r="P853" s="20"/>
      <c r="Q853" s="20"/>
      <c r="R853" s="20"/>
      <c r="S853" s="20"/>
      <c r="T853" s="20"/>
      <c r="U853" s="20"/>
      <c r="V853" s="20"/>
      <c r="W853" s="20"/>
      <c r="X853" s="20"/>
      <c r="Y853" s="20"/>
      <c r="Z853" s="20"/>
      <c r="AA853" s="20"/>
    </row>
    <row r="854" spans="1:27" ht="121.8" x14ac:dyDescent="0.25">
      <c r="A854" s="16"/>
      <c r="B854" s="20" t="b">
        <f ca="1">IFERROR(__xludf.DUMMYFUNCTION("if(D854=iferror(filter('Character Sheet'!D$13:D3002,'Character Sheet'!D$13:D3002=D854),""""),True,False)"),FALSE)</f>
        <v>0</v>
      </c>
      <c r="C854" s="20">
        <v>300</v>
      </c>
      <c r="D854" s="2" t="s">
        <v>1901</v>
      </c>
      <c r="E854" s="2" t="s">
        <v>369</v>
      </c>
      <c r="F854" s="20" t="s">
        <v>57</v>
      </c>
      <c r="G854" s="2" t="s">
        <v>1902</v>
      </c>
      <c r="H854" s="16"/>
      <c r="I854" s="20"/>
      <c r="J854" s="20"/>
      <c r="K854" s="20"/>
      <c r="L854" s="20"/>
      <c r="M854" s="20"/>
      <c r="N854" s="20"/>
      <c r="O854" s="20"/>
      <c r="P854" s="20"/>
      <c r="Q854" s="20"/>
      <c r="R854" s="20"/>
      <c r="S854" s="20"/>
      <c r="T854" s="20"/>
      <c r="U854" s="20"/>
      <c r="V854" s="20"/>
      <c r="W854" s="20"/>
      <c r="X854" s="20"/>
      <c r="Y854" s="20"/>
      <c r="Z854" s="20"/>
      <c r="AA854" s="20"/>
    </row>
    <row r="855" spans="1:27" ht="261" x14ac:dyDescent="0.25">
      <c r="A855" s="16"/>
      <c r="B855" s="20" t="b">
        <f ca="1">IFERROR(__xludf.DUMMYFUNCTION("if(D855=iferror(filter('Character Sheet'!D$13:D3002,'Character Sheet'!D$13:D3002=D855),""""),True,False)"),FALSE)</f>
        <v>0</v>
      </c>
      <c r="C855" s="20">
        <v>300</v>
      </c>
      <c r="D855" s="2" t="s">
        <v>1903</v>
      </c>
      <c r="E855" s="2" t="s">
        <v>731</v>
      </c>
      <c r="F855" s="20" t="s">
        <v>57</v>
      </c>
      <c r="G855" s="2" t="s">
        <v>1904</v>
      </c>
      <c r="H855" s="16"/>
      <c r="I855" s="20"/>
      <c r="J855" s="20"/>
      <c r="K855" s="20"/>
      <c r="L855" s="20"/>
      <c r="M855" s="20"/>
      <c r="N855" s="20"/>
      <c r="O855" s="20"/>
      <c r="P855" s="20"/>
      <c r="Q855" s="20"/>
      <c r="R855" s="20"/>
      <c r="S855" s="20"/>
      <c r="T855" s="20"/>
      <c r="U855" s="20"/>
      <c r="V855" s="20"/>
      <c r="W855" s="20"/>
      <c r="X855" s="20"/>
      <c r="Y855" s="20"/>
      <c r="Z855" s="20"/>
      <c r="AA855" s="20"/>
    </row>
    <row r="856" spans="1:27" ht="87" x14ac:dyDescent="0.25">
      <c r="A856" s="16"/>
      <c r="B856" s="20" t="b">
        <f ca="1">IFERROR(__xludf.DUMMYFUNCTION("if(D856=iferror(filter('Character Sheet'!D$13:D3002,'Character Sheet'!D$13:D3002=D856),""""),True,False)"),FALSE)</f>
        <v>0</v>
      </c>
      <c r="C856" s="20">
        <v>300</v>
      </c>
      <c r="D856" s="2" t="s">
        <v>1905</v>
      </c>
      <c r="E856" s="2" t="s">
        <v>435</v>
      </c>
      <c r="F856" s="20" t="s">
        <v>57</v>
      </c>
      <c r="G856" s="2" t="s">
        <v>1906</v>
      </c>
      <c r="H856" s="16"/>
      <c r="I856" s="20"/>
      <c r="J856" s="20"/>
      <c r="K856" s="20"/>
      <c r="L856" s="20"/>
      <c r="M856" s="20"/>
      <c r="N856" s="20"/>
      <c r="O856" s="20"/>
      <c r="P856" s="20"/>
      <c r="Q856" s="20"/>
      <c r="R856" s="20"/>
      <c r="S856" s="20"/>
      <c r="T856" s="20"/>
      <c r="U856" s="20"/>
      <c r="V856" s="20"/>
      <c r="W856" s="20"/>
      <c r="X856" s="20"/>
      <c r="Y856" s="20"/>
      <c r="Z856" s="20"/>
      <c r="AA856" s="20"/>
    </row>
    <row r="857" spans="1:27" ht="104.4" x14ac:dyDescent="0.25">
      <c r="A857" s="16"/>
      <c r="B857" s="20" t="b">
        <f ca="1">IFERROR(__xludf.DUMMYFUNCTION("if(D857=iferror(filter('Character Sheet'!D$13:D3002,'Character Sheet'!D$13:D3002=D857),""""),True,False)"),FALSE)</f>
        <v>0</v>
      </c>
      <c r="C857" s="20">
        <v>300</v>
      </c>
      <c r="D857" s="2" t="s">
        <v>1907</v>
      </c>
      <c r="E857" s="2" t="s">
        <v>253</v>
      </c>
      <c r="F857" s="20" t="s">
        <v>57</v>
      </c>
      <c r="G857" s="2" t="s">
        <v>1908</v>
      </c>
      <c r="H857" s="16"/>
      <c r="I857" s="20"/>
      <c r="J857" s="20"/>
      <c r="K857" s="20"/>
      <c r="L857" s="20"/>
      <c r="M857" s="20"/>
      <c r="N857" s="20"/>
      <c r="O857" s="20"/>
      <c r="P857" s="20"/>
      <c r="Q857" s="20"/>
      <c r="R857" s="20"/>
      <c r="S857" s="20"/>
      <c r="T857" s="20"/>
      <c r="U857" s="20"/>
      <c r="V857" s="20"/>
      <c r="W857" s="20"/>
      <c r="X857" s="20"/>
      <c r="Y857" s="20"/>
      <c r="Z857" s="20"/>
      <c r="AA857" s="20"/>
    </row>
    <row r="858" spans="1:27" ht="69.599999999999994" x14ac:dyDescent="0.25">
      <c r="A858" s="16"/>
      <c r="B858" s="20" t="b">
        <f ca="1">IFERROR(__xludf.DUMMYFUNCTION("if(D858=iferror(filter('Character Sheet'!D$13:D3002,'Character Sheet'!D$13:D3002=D858),""""),True,False)"),FALSE)</f>
        <v>0</v>
      </c>
      <c r="C858" s="20">
        <v>300</v>
      </c>
      <c r="D858" s="2" t="s">
        <v>1909</v>
      </c>
      <c r="E858" s="2" t="s">
        <v>475</v>
      </c>
      <c r="F858" s="20" t="s">
        <v>57</v>
      </c>
      <c r="G858" s="2" t="s">
        <v>1910</v>
      </c>
      <c r="H858" s="16"/>
      <c r="I858" s="20"/>
      <c r="J858" s="20"/>
      <c r="K858" s="20"/>
      <c r="L858" s="20"/>
      <c r="M858" s="20"/>
      <c r="N858" s="20"/>
      <c r="O858" s="20"/>
      <c r="P858" s="20"/>
      <c r="Q858" s="20"/>
      <c r="R858" s="20"/>
      <c r="S858" s="20"/>
      <c r="T858" s="20"/>
      <c r="U858" s="20"/>
      <c r="V858" s="20"/>
      <c r="W858" s="20"/>
      <c r="X858" s="20"/>
      <c r="Y858" s="20"/>
      <c r="Z858" s="20"/>
      <c r="AA858" s="20"/>
    </row>
    <row r="859" spans="1:27" ht="121.8" x14ac:dyDescent="0.25">
      <c r="A859" s="16"/>
      <c r="B859" s="20" t="b">
        <f ca="1">IFERROR(__xludf.DUMMYFUNCTION("if(D859=iferror(filter('Character Sheet'!D$13:D3002,'Character Sheet'!D$13:D3002=D859),""""),True,False)"),FALSE)</f>
        <v>0</v>
      </c>
      <c r="C859" s="20">
        <v>300</v>
      </c>
      <c r="D859" s="2" t="s">
        <v>1911</v>
      </c>
      <c r="E859" s="2" t="s">
        <v>401</v>
      </c>
      <c r="F859" s="20" t="s">
        <v>57</v>
      </c>
      <c r="G859" s="2" t="s">
        <v>1912</v>
      </c>
      <c r="H859" s="16"/>
      <c r="I859" s="20"/>
      <c r="J859" s="20"/>
      <c r="K859" s="20"/>
      <c r="L859" s="20"/>
      <c r="M859" s="20"/>
      <c r="N859" s="20"/>
      <c r="O859" s="20"/>
      <c r="P859" s="20"/>
      <c r="Q859" s="20"/>
      <c r="R859" s="20"/>
      <c r="S859" s="20"/>
      <c r="T859" s="20"/>
      <c r="U859" s="20"/>
      <c r="V859" s="20"/>
      <c r="W859" s="20"/>
      <c r="X859" s="20"/>
      <c r="Y859" s="20"/>
      <c r="Z859" s="20"/>
      <c r="AA859" s="20"/>
    </row>
    <row r="860" spans="1:27" ht="104.4" x14ac:dyDescent="0.25">
      <c r="A860" s="16"/>
      <c r="B860" s="20" t="b">
        <f ca="1">IFERROR(__xludf.DUMMYFUNCTION("if(D860=iferror(filter('Character Sheet'!D$13:D3002,'Character Sheet'!D$13:D3002=D860),""""),True,False)"),FALSE)</f>
        <v>0</v>
      </c>
      <c r="C860" s="20">
        <v>300</v>
      </c>
      <c r="D860" s="2" t="s">
        <v>1913</v>
      </c>
      <c r="E860" s="2" t="s">
        <v>84</v>
      </c>
      <c r="F860" s="20" t="s">
        <v>57</v>
      </c>
      <c r="G860" s="2" t="s">
        <v>1914</v>
      </c>
      <c r="H860" s="16"/>
      <c r="I860" s="20"/>
      <c r="J860" s="20"/>
      <c r="K860" s="20"/>
      <c r="L860" s="20"/>
      <c r="M860" s="20"/>
      <c r="N860" s="20"/>
      <c r="O860" s="20"/>
      <c r="P860" s="20"/>
      <c r="Q860" s="20"/>
      <c r="R860" s="20"/>
      <c r="S860" s="20"/>
      <c r="T860" s="20"/>
      <c r="U860" s="20"/>
      <c r="V860" s="20"/>
      <c r="W860" s="20"/>
      <c r="X860" s="20"/>
      <c r="Y860" s="20"/>
      <c r="Z860" s="20"/>
      <c r="AA860" s="20"/>
    </row>
    <row r="861" spans="1:27" ht="121.8" x14ac:dyDescent="0.25">
      <c r="A861" s="16"/>
      <c r="B861" s="20" t="b">
        <f ca="1">IFERROR(__xludf.DUMMYFUNCTION("if(D861=iferror(filter('Character Sheet'!D$13:D3002,'Character Sheet'!D$13:D3002=D861),""""),True,False)"),FALSE)</f>
        <v>0</v>
      </c>
      <c r="C861" s="20">
        <v>300</v>
      </c>
      <c r="D861" s="2" t="s">
        <v>1915</v>
      </c>
      <c r="E861" s="2" t="s">
        <v>78</v>
      </c>
      <c r="F861" s="20" t="s">
        <v>57</v>
      </c>
      <c r="G861" s="2" t="s">
        <v>1916</v>
      </c>
      <c r="H861" s="16"/>
      <c r="I861" s="20"/>
      <c r="J861" s="20"/>
      <c r="K861" s="20"/>
      <c r="L861" s="20"/>
      <c r="M861" s="20"/>
      <c r="N861" s="20"/>
      <c r="O861" s="20"/>
      <c r="P861" s="20"/>
      <c r="Q861" s="20"/>
      <c r="R861" s="20"/>
      <c r="S861" s="20"/>
      <c r="T861" s="20"/>
      <c r="U861" s="20"/>
      <c r="V861" s="20"/>
      <c r="W861" s="20"/>
      <c r="X861" s="20"/>
      <c r="Y861" s="20"/>
      <c r="Z861" s="20"/>
      <c r="AA861" s="20"/>
    </row>
    <row r="862" spans="1:27" ht="104.4" x14ac:dyDescent="0.25">
      <c r="A862" s="16"/>
      <c r="B862" s="20" t="b">
        <f ca="1">IFERROR(__xludf.DUMMYFUNCTION("if(D862=iferror(filter('Character Sheet'!D$13:D3002,'Character Sheet'!D$13:D3002=D862),""""),True,False)"),FALSE)</f>
        <v>0</v>
      </c>
      <c r="C862" s="20">
        <v>300</v>
      </c>
      <c r="D862" s="2" t="s">
        <v>1917</v>
      </c>
      <c r="E862" s="2" t="s">
        <v>159</v>
      </c>
      <c r="F862" s="20" t="s">
        <v>57</v>
      </c>
      <c r="G862" s="2" t="s">
        <v>1918</v>
      </c>
      <c r="H862" s="16"/>
      <c r="I862" s="20"/>
      <c r="J862" s="20"/>
      <c r="K862" s="20"/>
      <c r="L862" s="20"/>
      <c r="M862" s="20"/>
      <c r="N862" s="20"/>
      <c r="O862" s="20"/>
      <c r="P862" s="20"/>
      <c r="Q862" s="20"/>
      <c r="R862" s="20"/>
      <c r="S862" s="20"/>
      <c r="T862" s="20"/>
      <c r="U862" s="20"/>
      <c r="V862" s="20"/>
      <c r="W862" s="20"/>
      <c r="X862" s="20"/>
      <c r="Y862" s="20"/>
      <c r="Z862" s="20"/>
      <c r="AA862" s="20"/>
    </row>
    <row r="863" spans="1:27" ht="69.599999999999994" x14ac:dyDescent="0.25">
      <c r="A863" s="16"/>
      <c r="B863" s="20" t="b">
        <f ca="1">IFERROR(__xludf.DUMMYFUNCTION("if(D863=iferror(filter('Character Sheet'!D$13:D3002,'Character Sheet'!D$13:D3002=D863),""""),True,False)"),FALSE)</f>
        <v>0</v>
      </c>
      <c r="C863" s="20">
        <v>300</v>
      </c>
      <c r="D863" s="2" t="s">
        <v>1919</v>
      </c>
      <c r="E863" s="2" t="s">
        <v>277</v>
      </c>
      <c r="F863" s="20" t="s">
        <v>57</v>
      </c>
      <c r="G863" s="2" t="s">
        <v>1920</v>
      </c>
      <c r="H863" s="16"/>
      <c r="I863" s="20"/>
      <c r="J863" s="20"/>
      <c r="K863" s="20"/>
      <c r="L863" s="20"/>
      <c r="M863" s="20"/>
      <c r="N863" s="20"/>
      <c r="O863" s="20"/>
      <c r="P863" s="20"/>
      <c r="Q863" s="20"/>
      <c r="R863" s="20"/>
      <c r="S863" s="20"/>
      <c r="T863" s="20"/>
      <c r="U863" s="20"/>
      <c r="V863" s="20"/>
      <c r="W863" s="20"/>
      <c r="X863" s="20"/>
      <c r="Y863" s="20"/>
      <c r="Z863" s="20"/>
      <c r="AA863" s="20"/>
    </row>
    <row r="864" spans="1:27" ht="87" x14ac:dyDescent="0.25">
      <c r="A864" s="16"/>
      <c r="B864" s="20" t="b">
        <f ca="1">IFERROR(__xludf.DUMMYFUNCTION("if(D864=iferror(filter('Character Sheet'!D$13:D3002,'Character Sheet'!D$13:D3002=D864),""""),True,False)"),FALSE)</f>
        <v>0</v>
      </c>
      <c r="C864" s="20">
        <v>300</v>
      </c>
      <c r="D864" s="2" t="s">
        <v>1921</v>
      </c>
      <c r="E864" s="2" t="s">
        <v>288</v>
      </c>
      <c r="F864" s="20" t="s">
        <v>57</v>
      </c>
      <c r="G864" s="2" t="s">
        <v>1922</v>
      </c>
      <c r="H864" s="16"/>
      <c r="I864" s="20"/>
      <c r="J864" s="20"/>
      <c r="K864" s="20"/>
      <c r="L864" s="20"/>
      <c r="M864" s="20"/>
      <c r="N864" s="20"/>
      <c r="O864" s="20"/>
      <c r="P864" s="20"/>
      <c r="Q864" s="20"/>
      <c r="R864" s="20"/>
      <c r="S864" s="20"/>
      <c r="T864" s="20"/>
      <c r="U864" s="20"/>
      <c r="V864" s="20"/>
      <c r="W864" s="20"/>
      <c r="X864" s="20"/>
      <c r="Y864" s="20"/>
      <c r="Z864" s="20"/>
      <c r="AA864" s="20"/>
    </row>
    <row r="865" spans="1:27" ht="34.799999999999997" x14ac:dyDescent="0.25">
      <c r="A865" s="16"/>
      <c r="B865" s="20" t="b">
        <f ca="1">IFERROR(__xludf.DUMMYFUNCTION("if(D865=iferror(filter('Character Sheet'!D$13:D3002,'Character Sheet'!D$13:D3002=D865),""""),True,False)"),FALSE)</f>
        <v>0</v>
      </c>
      <c r="C865" s="20">
        <v>300</v>
      </c>
      <c r="D865" s="2" t="s">
        <v>1923</v>
      </c>
      <c r="E865" s="2" t="s">
        <v>1924</v>
      </c>
      <c r="F865" s="20" t="s">
        <v>57</v>
      </c>
      <c r="G865" s="2" t="s">
        <v>1925</v>
      </c>
      <c r="H865" s="16"/>
      <c r="I865" s="20"/>
      <c r="J865" s="20"/>
      <c r="K865" s="20"/>
      <c r="L865" s="20"/>
      <c r="M865" s="20"/>
      <c r="N865" s="20"/>
      <c r="O865" s="20"/>
      <c r="P865" s="20"/>
      <c r="Q865" s="20"/>
      <c r="R865" s="20"/>
      <c r="S865" s="20"/>
      <c r="T865" s="20"/>
      <c r="U865" s="20"/>
      <c r="V865" s="20"/>
      <c r="W865" s="20"/>
      <c r="X865" s="20"/>
      <c r="Y865" s="20"/>
      <c r="Z865" s="20"/>
      <c r="AA865" s="20"/>
    </row>
    <row r="866" spans="1:27" ht="226.2" x14ac:dyDescent="0.25">
      <c r="A866" s="16"/>
      <c r="B866" s="20" t="b">
        <f ca="1">IFERROR(__xludf.DUMMYFUNCTION("if(D866=iferror(filter('Character Sheet'!D$13:D3002,'Character Sheet'!D$13:D3002=D866),""""),True,False)"),FALSE)</f>
        <v>0</v>
      </c>
      <c r="C866" s="20">
        <v>300</v>
      </c>
      <c r="D866" s="2" t="s">
        <v>1926</v>
      </c>
      <c r="E866" s="2" t="s">
        <v>615</v>
      </c>
      <c r="F866" s="20" t="s">
        <v>57</v>
      </c>
      <c r="G866" s="2" t="s">
        <v>1927</v>
      </c>
      <c r="H866" s="16"/>
      <c r="I866" s="20"/>
      <c r="J866" s="20"/>
      <c r="K866" s="20"/>
      <c r="L866" s="20"/>
      <c r="M866" s="20"/>
      <c r="N866" s="20"/>
      <c r="O866" s="20"/>
      <c r="P866" s="20"/>
      <c r="Q866" s="20"/>
      <c r="R866" s="20"/>
      <c r="S866" s="20"/>
      <c r="T866" s="20"/>
      <c r="U866" s="20"/>
      <c r="V866" s="20"/>
      <c r="W866" s="20"/>
      <c r="X866" s="20"/>
      <c r="Y866" s="20"/>
      <c r="Z866" s="20"/>
      <c r="AA866" s="20"/>
    </row>
    <row r="867" spans="1:27" ht="52.2" x14ac:dyDescent="0.25">
      <c r="A867" s="16"/>
      <c r="B867" s="20" t="b">
        <f ca="1">IFERROR(__xludf.DUMMYFUNCTION("if(D867=iferror(filter('Character Sheet'!D$13:D3002,'Character Sheet'!D$13:D3002=D867),""""),True,False)"),FALSE)</f>
        <v>0</v>
      </c>
      <c r="C867" s="20">
        <v>300</v>
      </c>
      <c r="D867" s="2" t="s">
        <v>1928</v>
      </c>
      <c r="E867" s="2" t="s">
        <v>1693</v>
      </c>
      <c r="F867" s="20" t="s">
        <v>57</v>
      </c>
      <c r="G867" s="2" t="s">
        <v>1929</v>
      </c>
      <c r="H867" s="16"/>
      <c r="I867" s="20"/>
      <c r="J867" s="20"/>
      <c r="K867" s="20"/>
      <c r="L867" s="20"/>
      <c r="M867" s="20"/>
      <c r="N867" s="20"/>
      <c r="O867" s="20"/>
      <c r="P867" s="20"/>
      <c r="Q867" s="20"/>
      <c r="R867" s="20"/>
      <c r="S867" s="20"/>
      <c r="T867" s="20"/>
      <c r="U867" s="20"/>
      <c r="V867" s="20"/>
      <c r="W867" s="20"/>
      <c r="X867" s="20"/>
      <c r="Y867" s="20"/>
      <c r="Z867" s="20"/>
      <c r="AA867" s="20"/>
    </row>
    <row r="868" spans="1:27" ht="208.8" x14ac:dyDescent="0.25">
      <c r="A868" s="16"/>
      <c r="B868" s="20" t="b">
        <f ca="1">IFERROR(__xludf.DUMMYFUNCTION("if(D868=iferror(filter('Character Sheet'!D$13:D3002,'Character Sheet'!D$13:D3002=D868),""""),True,False)"),FALSE)</f>
        <v>0</v>
      </c>
      <c r="C868" s="20">
        <v>300</v>
      </c>
      <c r="D868" s="2" t="s">
        <v>1930</v>
      </c>
      <c r="E868" s="2" t="s">
        <v>211</v>
      </c>
      <c r="F868" s="20" t="s">
        <v>57</v>
      </c>
      <c r="G868" s="2" t="s">
        <v>1931</v>
      </c>
      <c r="H868" s="16"/>
      <c r="I868" s="20"/>
      <c r="J868" s="20"/>
      <c r="K868" s="20"/>
      <c r="L868" s="20"/>
      <c r="M868" s="20"/>
      <c r="N868" s="20"/>
      <c r="O868" s="20"/>
      <c r="P868" s="20"/>
      <c r="Q868" s="20"/>
      <c r="R868" s="20"/>
      <c r="S868" s="20"/>
      <c r="T868" s="20"/>
      <c r="U868" s="20"/>
      <c r="V868" s="20"/>
      <c r="W868" s="20"/>
      <c r="X868" s="20"/>
      <c r="Y868" s="20"/>
      <c r="Z868" s="20"/>
      <c r="AA868" s="20"/>
    </row>
    <row r="869" spans="1:27" ht="104.4" x14ac:dyDescent="0.25">
      <c r="A869" s="16"/>
      <c r="B869" s="20" t="b">
        <f ca="1">IFERROR(__xludf.DUMMYFUNCTION("if(D869=iferror(filter('Character Sheet'!D$13:D3002,'Character Sheet'!D$13:D3002=D869),""""),True,False)"),FALSE)</f>
        <v>0</v>
      </c>
      <c r="C869" s="20">
        <v>300</v>
      </c>
      <c r="D869" s="2" t="s">
        <v>1932</v>
      </c>
      <c r="E869" s="2" t="s">
        <v>1677</v>
      </c>
      <c r="F869" s="20" t="s">
        <v>57</v>
      </c>
      <c r="G869" s="2" t="s">
        <v>1933</v>
      </c>
      <c r="H869" s="16"/>
      <c r="I869" s="20"/>
      <c r="J869" s="20"/>
      <c r="K869" s="20"/>
      <c r="L869" s="20"/>
      <c r="M869" s="20"/>
      <c r="N869" s="20"/>
      <c r="O869" s="20"/>
      <c r="P869" s="20"/>
      <c r="Q869" s="20"/>
      <c r="R869" s="20"/>
      <c r="S869" s="20"/>
      <c r="T869" s="20"/>
      <c r="U869" s="20"/>
      <c r="V869" s="20"/>
      <c r="W869" s="20"/>
      <c r="X869" s="20"/>
      <c r="Y869" s="20"/>
      <c r="Z869" s="20"/>
      <c r="AA869" s="20"/>
    </row>
    <row r="870" spans="1:27" ht="52.2" x14ac:dyDescent="0.25">
      <c r="A870" s="16"/>
      <c r="B870" s="20" t="b">
        <f ca="1">IFERROR(__xludf.DUMMYFUNCTION("if(D870=iferror(filter('Character Sheet'!D$13:D3002,'Character Sheet'!D$13:D3002=D870),""""),True,False)"),FALSE)</f>
        <v>0</v>
      </c>
      <c r="C870" s="20">
        <v>300</v>
      </c>
      <c r="D870" s="2" t="s">
        <v>1934</v>
      </c>
      <c r="E870" s="2" t="s">
        <v>248</v>
      </c>
      <c r="F870" s="20" t="s">
        <v>57</v>
      </c>
      <c r="G870" s="2" t="s">
        <v>1935</v>
      </c>
      <c r="H870" s="16"/>
      <c r="I870" s="20"/>
      <c r="J870" s="20"/>
      <c r="K870" s="20"/>
      <c r="L870" s="20"/>
      <c r="M870" s="20"/>
      <c r="N870" s="20"/>
      <c r="O870" s="20"/>
      <c r="P870" s="20"/>
      <c r="Q870" s="20"/>
      <c r="R870" s="20"/>
      <c r="S870" s="20"/>
      <c r="T870" s="20"/>
      <c r="U870" s="20"/>
      <c r="V870" s="20"/>
      <c r="W870" s="20"/>
      <c r="X870" s="20"/>
      <c r="Y870" s="20"/>
      <c r="Z870" s="20"/>
      <c r="AA870" s="20"/>
    </row>
    <row r="871" spans="1:27" ht="121.8" x14ac:dyDescent="0.25">
      <c r="A871" s="16"/>
      <c r="B871" s="20" t="b">
        <f ca="1">IFERROR(__xludf.DUMMYFUNCTION("if(D871=iferror(filter('Character Sheet'!D$13:D3002,'Character Sheet'!D$13:D3002=D871),""""),True,False)"),FALSE)</f>
        <v>0</v>
      </c>
      <c r="C871" s="20">
        <v>300</v>
      </c>
      <c r="D871" s="2" t="s">
        <v>1936</v>
      </c>
      <c r="E871" s="2" t="s">
        <v>288</v>
      </c>
      <c r="F871" s="20" t="s">
        <v>57</v>
      </c>
      <c r="G871" s="2" t="s">
        <v>1937</v>
      </c>
      <c r="H871" s="16"/>
      <c r="I871" s="20"/>
      <c r="J871" s="20"/>
      <c r="K871" s="20"/>
      <c r="L871" s="20"/>
      <c r="M871" s="20"/>
      <c r="N871" s="20"/>
      <c r="O871" s="20"/>
      <c r="P871" s="20"/>
      <c r="Q871" s="20"/>
      <c r="R871" s="20"/>
      <c r="S871" s="20"/>
      <c r="T871" s="20"/>
      <c r="U871" s="20"/>
      <c r="V871" s="20"/>
      <c r="W871" s="20"/>
      <c r="X871" s="20"/>
      <c r="Y871" s="20"/>
      <c r="Z871" s="20"/>
      <c r="AA871" s="20"/>
    </row>
    <row r="872" spans="1:27" ht="261" x14ac:dyDescent="0.25">
      <c r="A872" s="16"/>
      <c r="B872" s="20" t="b">
        <f ca="1">IFERROR(__xludf.DUMMYFUNCTION("if(D872=iferror(filter('Character Sheet'!D$13:D3002,'Character Sheet'!D$13:D3002=D872),""""),True,False)"),FALSE)</f>
        <v>0</v>
      </c>
      <c r="C872" s="20">
        <v>300</v>
      </c>
      <c r="D872" s="2" t="s">
        <v>1938</v>
      </c>
      <c r="E872" s="2" t="s">
        <v>131</v>
      </c>
      <c r="F872" s="20" t="s">
        <v>57</v>
      </c>
      <c r="G872" s="2" t="s">
        <v>1939</v>
      </c>
      <c r="H872" s="16"/>
      <c r="I872" s="20"/>
      <c r="J872" s="20"/>
      <c r="K872" s="20"/>
      <c r="L872" s="20"/>
      <c r="M872" s="20"/>
      <c r="N872" s="20"/>
      <c r="O872" s="20"/>
      <c r="P872" s="20"/>
      <c r="Q872" s="20"/>
      <c r="R872" s="20"/>
      <c r="S872" s="20"/>
      <c r="T872" s="20"/>
      <c r="U872" s="20"/>
      <c r="V872" s="20"/>
      <c r="W872" s="20"/>
      <c r="X872" s="20"/>
      <c r="Y872" s="20"/>
      <c r="Z872" s="20"/>
      <c r="AA872" s="20"/>
    </row>
    <row r="873" spans="1:27" ht="104.4" x14ac:dyDescent="0.25">
      <c r="A873" s="16"/>
      <c r="B873" s="20" t="b">
        <f ca="1">IFERROR(__xludf.DUMMYFUNCTION("if(D873=iferror(filter('Character Sheet'!D$13:D3002,'Character Sheet'!D$13:D3002=D873),""""),True,False)"),FALSE)</f>
        <v>0</v>
      </c>
      <c r="C873" s="20">
        <v>300</v>
      </c>
      <c r="D873" s="2" t="s">
        <v>1940</v>
      </c>
      <c r="E873" s="2" t="s">
        <v>1941</v>
      </c>
      <c r="F873" s="20" t="s">
        <v>57</v>
      </c>
      <c r="G873" s="2" t="s">
        <v>1942</v>
      </c>
      <c r="H873" s="16"/>
      <c r="I873" s="20"/>
      <c r="J873" s="20"/>
      <c r="K873" s="20"/>
      <c r="L873" s="20"/>
      <c r="M873" s="20"/>
      <c r="N873" s="20"/>
      <c r="O873" s="20"/>
      <c r="P873" s="20"/>
      <c r="Q873" s="20"/>
      <c r="R873" s="20"/>
      <c r="S873" s="20"/>
      <c r="T873" s="20"/>
      <c r="U873" s="20"/>
      <c r="V873" s="20"/>
      <c r="W873" s="20"/>
      <c r="X873" s="20"/>
      <c r="Y873" s="20"/>
      <c r="Z873" s="20"/>
      <c r="AA873" s="20"/>
    </row>
    <row r="874" spans="1:27" ht="243.6" x14ac:dyDescent="0.25">
      <c r="A874" s="16"/>
      <c r="B874" s="20" t="b">
        <f ca="1">IFERROR(__xludf.DUMMYFUNCTION("if(D874=iferror(filter('Character Sheet'!D$13:D3002,'Character Sheet'!D$13:D3002=D874),""""),True,False)"),FALSE)</f>
        <v>0</v>
      </c>
      <c r="C874" s="20">
        <v>300</v>
      </c>
      <c r="D874" s="2" t="s">
        <v>1943</v>
      </c>
      <c r="E874" s="2" t="s">
        <v>413</v>
      </c>
      <c r="F874" s="20" t="s">
        <v>57</v>
      </c>
      <c r="G874" s="2" t="s">
        <v>1944</v>
      </c>
      <c r="H874" s="16"/>
      <c r="I874" s="20"/>
      <c r="J874" s="20"/>
      <c r="K874" s="20"/>
      <c r="L874" s="20"/>
      <c r="M874" s="20"/>
      <c r="N874" s="20"/>
      <c r="O874" s="20"/>
      <c r="P874" s="20"/>
      <c r="Q874" s="20"/>
      <c r="R874" s="20"/>
      <c r="S874" s="20"/>
      <c r="T874" s="20"/>
      <c r="U874" s="20"/>
      <c r="V874" s="20"/>
      <c r="W874" s="20"/>
      <c r="X874" s="20"/>
      <c r="Y874" s="20"/>
      <c r="Z874" s="20"/>
      <c r="AA874" s="20"/>
    </row>
    <row r="875" spans="1:27" ht="174" x14ac:dyDescent="0.25">
      <c r="A875" s="16"/>
      <c r="B875" s="20" t="b">
        <f ca="1">IFERROR(__xludf.DUMMYFUNCTION("if(D875=iferror(filter('Character Sheet'!D$13:D3002,'Character Sheet'!D$13:D3002=D875),""""),True,False)"),FALSE)</f>
        <v>0</v>
      </c>
      <c r="C875" s="20">
        <v>300</v>
      </c>
      <c r="D875" s="2" t="s">
        <v>1945</v>
      </c>
      <c r="E875" s="2" t="s">
        <v>303</v>
      </c>
      <c r="F875" s="20" t="s">
        <v>57</v>
      </c>
      <c r="G875" s="2" t="s">
        <v>1946</v>
      </c>
      <c r="H875" s="16"/>
      <c r="I875" s="20"/>
      <c r="J875" s="20"/>
      <c r="K875" s="20"/>
      <c r="L875" s="20"/>
      <c r="M875" s="20"/>
      <c r="N875" s="20"/>
      <c r="O875" s="20"/>
      <c r="P875" s="20"/>
      <c r="Q875" s="20"/>
      <c r="R875" s="20"/>
      <c r="S875" s="20"/>
      <c r="T875" s="20"/>
      <c r="U875" s="20"/>
      <c r="V875" s="20"/>
      <c r="W875" s="20"/>
      <c r="X875" s="20"/>
      <c r="Y875" s="20"/>
      <c r="Z875" s="20"/>
      <c r="AA875" s="20"/>
    </row>
    <row r="876" spans="1:27" ht="226.2" x14ac:dyDescent="0.25">
      <c r="A876" s="16"/>
      <c r="B876" s="20" t="b">
        <f ca="1">IFERROR(__xludf.DUMMYFUNCTION("if(D876=iferror(filter('Character Sheet'!D$13:D3002,'Character Sheet'!D$13:D3002=D876),""""),True,False)"),FALSE)</f>
        <v>0</v>
      </c>
      <c r="C876" s="20">
        <v>300</v>
      </c>
      <c r="D876" s="2" t="s">
        <v>1947</v>
      </c>
      <c r="E876" s="2" t="s">
        <v>413</v>
      </c>
      <c r="F876" s="20" t="s">
        <v>57</v>
      </c>
      <c r="G876" s="2" t="s">
        <v>1948</v>
      </c>
      <c r="H876" s="16"/>
      <c r="I876" s="20"/>
      <c r="J876" s="20"/>
      <c r="K876" s="20"/>
      <c r="L876" s="20"/>
      <c r="M876" s="20"/>
      <c r="N876" s="20"/>
      <c r="O876" s="20"/>
      <c r="P876" s="20"/>
      <c r="Q876" s="20"/>
      <c r="R876" s="20"/>
      <c r="S876" s="20"/>
      <c r="T876" s="20"/>
      <c r="U876" s="20"/>
      <c r="V876" s="20"/>
      <c r="W876" s="20"/>
      <c r="X876" s="20"/>
      <c r="Y876" s="20"/>
      <c r="Z876" s="20"/>
      <c r="AA876" s="20"/>
    </row>
    <row r="877" spans="1:27" ht="174" x14ac:dyDescent="0.25">
      <c r="A877" s="16"/>
      <c r="B877" s="20" t="b">
        <f ca="1">IFERROR(__xludf.DUMMYFUNCTION("if(D877=iferror(filter('Character Sheet'!D$13:D3002,'Character Sheet'!D$13:D3002=D877),""""),True,False)"),FALSE)</f>
        <v>0</v>
      </c>
      <c r="C877" s="20">
        <v>400</v>
      </c>
      <c r="D877" s="2" t="s">
        <v>1949</v>
      </c>
      <c r="E877" s="2" t="s">
        <v>973</v>
      </c>
      <c r="F877" s="20" t="s">
        <v>57</v>
      </c>
      <c r="G877" s="2" t="s">
        <v>1950</v>
      </c>
      <c r="H877" s="16"/>
      <c r="I877" s="20"/>
      <c r="J877" s="20"/>
      <c r="K877" s="20"/>
      <c r="L877" s="20"/>
      <c r="M877" s="20"/>
      <c r="N877" s="20"/>
      <c r="O877" s="20"/>
      <c r="P877" s="20"/>
      <c r="Q877" s="20"/>
      <c r="R877" s="20"/>
      <c r="S877" s="20"/>
      <c r="T877" s="20"/>
      <c r="U877" s="20"/>
      <c r="V877" s="20"/>
      <c r="W877" s="20"/>
      <c r="X877" s="20"/>
      <c r="Y877" s="20"/>
      <c r="Z877" s="20"/>
      <c r="AA877" s="20"/>
    </row>
    <row r="878" spans="1:27" ht="156.6" x14ac:dyDescent="0.25">
      <c r="A878" s="16"/>
      <c r="B878" s="20" t="b">
        <f ca="1">IFERROR(__xludf.DUMMYFUNCTION("if(D878=iferror(filter('Character Sheet'!D$13:D3002,'Character Sheet'!D$13:D3002=D878),""""),True,False)"),FALSE)</f>
        <v>0</v>
      </c>
      <c r="C878" s="20">
        <v>400</v>
      </c>
      <c r="D878" s="2" t="s">
        <v>1951</v>
      </c>
      <c r="E878" s="2" t="s">
        <v>845</v>
      </c>
      <c r="F878" s="20" t="s">
        <v>57</v>
      </c>
      <c r="G878" s="2" t="s">
        <v>1952</v>
      </c>
      <c r="H878" s="16"/>
      <c r="I878" s="20"/>
      <c r="J878" s="20"/>
      <c r="K878" s="20"/>
      <c r="L878" s="20"/>
      <c r="M878" s="20"/>
      <c r="N878" s="20"/>
      <c r="O878" s="20"/>
      <c r="P878" s="20"/>
      <c r="Q878" s="20"/>
      <c r="R878" s="20"/>
      <c r="S878" s="20"/>
      <c r="T878" s="20"/>
      <c r="U878" s="20"/>
      <c r="V878" s="20"/>
      <c r="W878" s="20"/>
      <c r="X878" s="20"/>
      <c r="Y878" s="20"/>
      <c r="Z878" s="20"/>
      <c r="AA878" s="20"/>
    </row>
    <row r="879" spans="1:27" ht="104.4" x14ac:dyDescent="0.25">
      <c r="A879" s="16"/>
      <c r="B879" s="20" t="b">
        <f ca="1">IFERROR(__xludf.DUMMYFUNCTION("if(D879=iferror(filter('Character Sheet'!D$13:D3002,'Character Sheet'!D$13:D3002=D879),""""),True,False)"),FALSE)</f>
        <v>0</v>
      </c>
      <c r="C879" s="20">
        <v>400</v>
      </c>
      <c r="D879" s="2" t="s">
        <v>1953</v>
      </c>
      <c r="E879" s="2" t="s">
        <v>208</v>
      </c>
      <c r="F879" s="20" t="s">
        <v>57</v>
      </c>
      <c r="G879" s="2" t="s">
        <v>1954</v>
      </c>
      <c r="H879" s="16"/>
      <c r="I879" s="20"/>
      <c r="J879" s="20"/>
      <c r="K879" s="20"/>
      <c r="L879" s="20"/>
      <c r="M879" s="20"/>
      <c r="N879" s="20"/>
      <c r="O879" s="20"/>
      <c r="P879" s="20"/>
      <c r="Q879" s="20"/>
      <c r="R879" s="20"/>
      <c r="S879" s="20"/>
      <c r="T879" s="20"/>
      <c r="U879" s="20"/>
      <c r="V879" s="20"/>
      <c r="W879" s="20"/>
      <c r="X879" s="20"/>
      <c r="Y879" s="20"/>
      <c r="Z879" s="20"/>
      <c r="AA879" s="20"/>
    </row>
    <row r="880" spans="1:27" ht="69.599999999999994" x14ac:dyDescent="0.25">
      <c r="A880" s="16"/>
      <c r="B880" s="20" t="b">
        <f ca="1">IFERROR(__xludf.DUMMYFUNCTION("if(D880=iferror(filter('Character Sheet'!D$13:D3002,'Character Sheet'!D$13:D3002=D880),""""),True,False)"),FALSE)</f>
        <v>0</v>
      </c>
      <c r="C880" s="20">
        <v>400</v>
      </c>
      <c r="D880" s="2" t="s">
        <v>1955</v>
      </c>
      <c r="E880" s="2" t="s">
        <v>277</v>
      </c>
      <c r="F880" s="20" t="s">
        <v>57</v>
      </c>
      <c r="G880" s="2" t="s">
        <v>1956</v>
      </c>
      <c r="H880" s="16"/>
      <c r="I880" s="20"/>
      <c r="J880" s="20"/>
      <c r="K880" s="20"/>
      <c r="L880" s="20"/>
      <c r="M880" s="20"/>
      <c r="N880" s="20"/>
      <c r="O880" s="20"/>
      <c r="P880" s="20"/>
      <c r="Q880" s="20"/>
      <c r="R880" s="20"/>
      <c r="S880" s="20"/>
      <c r="T880" s="20"/>
      <c r="U880" s="20"/>
      <c r="V880" s="20"/>
      <c r="W880" s="20"/>
      <c r="X880" s="20"/>
      <c r="Y880" s="20"/>
      <c r="Z880" s="20"/>
      <c r="AA880" s="20"/>
    </row>
    <row r="881" spans="1:27" ht="87" x14ac:dyDescent="0.25">
      <c r="A881" s="16"/>
      <c r="B881" s="20" t="b">
        <f ca="1">IFERROR(__xludf.DUMMYFUNCTION("if(D881=iferror(filter('Character Sheet'!D$13:D3002,'Character Sheet'!D$13:D3002=D881),""""),True,False)"),FALSE)</f>
        <v>0</v>
      </c>
      <c r="C881" s="20">
        <v>400</v>
      </c>
      <c r="D881" s="2" t="s">
        <v>1957</v>
      </c>
      <c r="E881" s="2" t="s">
        <v>103</v>
      </c>
      <c r="F881" s="20" t="s">
        <v>57</v>
      </c>
      <c r="G881" s="2" t="s">
        <v>1958</v>
      </c>
      <c r="H881" s="16"/>
      <c r="I881" s="20"/>
      <c r="J881" s="20"/>
      <c r="K881" s="20"/>
      <c r="L881" s="20"/>
      <c r="M881" s="20"/>
      <c r="N881" s="20"/>
      <c r="O881" s="20"/>
      <c r="P881" s="20"/>
      <c r="Q881" s="20"/>
      <c r="R881" s="20"/>
      <c r="S881" s="20"/>
      <c r="T881" s="20"/>
      <c r="U881" s="20"/>
      <c r="V881" s="20"/>
      <c r="W881" s="20"/>
      <c r="X881" s="20"/>
      <c r="Y881" s="20"/>
      <c r="Z881" s="20"/>
      <c r="AA881" s="20"/>
    </row>
    <row r="882" spans="1:27" ht="174" x14ac:dyDescent="0.25">
      <c r="A882" s="16"/>
      <c r="B882" s="20" t="b">
        <f ca="1">IFERROR(__xludf.DUMMYFUNCTION("if(D882=iferror(filter('Character Sheet'!D$13:D3002,'Character Sheet'!D$13:D3002=D882),""""),True,False)"),FALSE)</f>
        <v>0</v>
      </c>
      <c r="C882" s="20">
        <v>400</v>
      </c>
      <c r="D882" s="2" t="s">
        <v>1959</v>
      </c>
      <c r="E882" s="2" t="s">
        <v>159</v>
      </c>
      <c r="F882" s="20" t="s">
        <v>57</v>
      </c>
      <c r="G882" s="2" t="s">
        <v>1960</v>
      </c>
      <c r="H882" s="16"/>
      <c r="I882" s="20"/>
      <c r="J882" s="20"/>
      <c r="K882" s="20"/>
      <c r="L882" s="20"/>
      <c r="M882" s="20"/>
      <c r="N882" s="20"/>
      <c r="O882" s="20"/>
      <c r="P882" s="20"/>
      <c r="Q882" s="20"/>
      <c r="R882" s="20"/>
      <c r="S882" s="20"/>
      <c r="T882" s="20"/>
      <c r="U882" s="20"/>
      <c r="V882" s="20"/>
      <c r="W882" s="20"/>
      <c r="X882" s="20"/>
      <c r="Y882" s="20"/>
      <c r="Z882" s="20"/>
      <c r="AA882" s="20"/>
    </row>
    <row r="883" spans="1:27" ht="243.6" x14ac:dyDescent="0.25">
      <c r="A883" s="16"/>
      <c r="B883" s="20" t="b">
        <f ca="1">IFERROR(__xludf.DUMMYFUNCTION("if(D883=iferror(filter('Character Sheet'!D$13:D3002,'Character Sheet'!D$13:D3002=D883),""""),True,False)"),FALSE)</f>
        <v>0</v>
      </c>
      <c r="C883" s="20">
        <v>400</v>
      </c>
      <c r="D883" s="2" t="s">
        <v>1961</v>
      </c>
      <c r="E883" s="2" t="s">
        <v>265</v>
      </c>
      <c r="F883" s="20" t="s">
        <v>57</v>
      </c>
      <c r="G883" s="2" t="s">
        <v>1962</v>
      </c>
      <c r="H883" s="16"/>
      <c r="I883" s="20"/>
      <c r="J883" s="20"/>
      <c r="K883" s="20"/>
      <c r="L883" s="20"/>
      <c r="M883" s="20"/>
      <c r="N883" s="20"/>
      <c r="O883" s="20"/>
      <c r="P883" s="20"/>
      <c r="Q883" s="20"/>
      <c r="R883" s="20"/>
      <c r="S883" s="20"/>
      <c r="T883" s="20"/>
      <c r="U883" s="20"/>
      <c r="V883" s="20"/>
      <c r="W883" s="20"/>
      <c r="X883" s="20"/>
      <c r="Y883" s="20"/>
      <c r="Z883" s="20"/>
      <c r="AA883" s="20"/>
    </row>
    <row r="884" spans="1:27" ht="278.39999999999998" x14ac:dyDescent="0.25">
      <c r="A884" s="16"/>
      <c r="B884" s="20" t="b">
        <f ca="1">IFERROR(__xludf.DUMMYFUNCTION("if(D884=iferror(filter('Character Sheet'!D$13:D3002,'Character Sheet'!D$13:D3002=D884),""""),True,False)"),FALSE)</f>
        <v>0</v>
      </c>
      <c r="C884" s="20">
        <v>400</v>
      </c>
      <c r="D884" s="2" t="s">
        <v>1963</v>
      </c>
      <c r="E884" s="2" t="s">
        <v>838</v>
      </c>
      <c r="F884" s="20" t="s">
        <v>57</v>
      </c>
      <c r="G884" s="2" t="s">
        <v>1964</v>
      </c>
      <c r="H884" s="16"/>
      <c r="I884" s="20"/>
      <c r="J884" s="20"/>
      <c r="K884" s="20"/>
      <c r="L884" s="20"/>
      <c r="M884" s="20"/>
      <c r="N884" s="20"/>
      <c r="O884" s="20"/>
      <c r="P884" s="20"/>
      <c r="Q884" s="20"/>
      <c r="R884" s="20"/>
      <c r="S884" s="20"/>
      <c r="T884" s="20"/>
      <c r="U884" s="20"/>
      <c r="V884" s="20"/>
      <c r="W884" s="20"/>
      <c r="X884" s="20"/>
      <c r="Y884" s="20"/>
      <c r="Z884" s="20"/>
      <c r="AA884" s="20"/>
    </row>
    <row r="885" spans="1:27" ht="121.8" x14ac:dyDescent="0.25">
      <c r="A885" s="16"/>
      <c r="B885" s="20" t="b">
        <f ca="1">IFERROR(__xludf.DUMMYFUNCTION("if(D885=iferror(filter('Character Sheet'!D$13:D3002,'Character Sheet'!D$13:D3002=D885),""""),True,False)"),FALSE)</f>
        <v>0</v>
      </c>
      <c r="C885" s="20">
        <v>400</v>
      </c>
      <c r="D885" s="2" t="s">
        <v>1965</v>
      </c>
      <c r="E885" s="2" t="s">
        <v>322</v>
      </c>
      <c r="F885" s="20" t="s">
        <v>57</v>
      </c>
      <c r="G885" s="2" t="s">
        <v>1966</v>
      </c>
      <c r="H885" s="16"/>
      <c r="I885" s="20"/>
      <c r="J885" s="20"/>
      <c r="K885" s="20"/>
      <c r="L885" s="20"/>
      <c r="M885" s="20"/>
      <c r="N885" s="20"/>
      <c r="O885" s="20"/>
      <c r="P885" s="20"/>
      <c r="Q885" s="20"/>
      <c r="R885" s="20"/>
      <c r="S885" s="20"/>
      <c r="T885" s="20"/>
      <c r="U885" s="20"/>
      <c r="V885" s="20"/>
      <c r="W885" s="20"/>
      <c r="X885" s="20"/>
      <c r="Y885" s="20"/>
      <c r="Z885" s="20"/>
      <c r="AA885" s="20"/>
    </row>
    <row r="886" spans="1:27" ht="139.19999999999999" x14ac:dyDescent="0.25">
      <c r="A886" s="16"/>
      <c r="B886" s="20" t="b">
        <f ca="1">IFERROR(__xludf.DUMMYFUNCTION("if(D886=iferror(filter('Character Sheet'!D$13:D3002,'Character Sheet'!D$13:D3002=D886),""""),True,False)"),FALSE)</f>
        <v>0</v>
      </c>
      <c r="C886" s="20">
        <v>400</v>
      </c>
      <c r="D886" s="2" t="s">
        <v>1967</v>
      </c>
      <c r="E886" s="2" t="s">
        <v>894</v>
      </c>
      <c r="F886" s="20" t="s">
        <v>57</v>
      </c>
      <c r="G886" s="2" t="s">
        <v>1968</v>
      </c>
      <c r="H886" s="16"/>
      <c r="I886" s="20"/>
      <c r="J886" s="20"/>
      <c r="K886" s="20"/>
      <c r="L886" s="20"/>
      <c r="M886" s="20"/>
      <c r="N886" s="20"/>
      <c r="O886" s="20"/>
      <c r="P886" s="20"/>
      <c r="Q886" s="20"/>
      <c r="R886" s="20"/>
      <c r="S886" s="20"/>
      <c r="T886" s="20"/>
      <c r="U886" s="20"/>
      <c r="V886" s="20"/>
      <c r="W886" s="20"/>
      <c r="X886" s="20"/>
      <c r="Y886" s="20"/>
      <c r="Z886" s="20"/>
      <c r="AA886" s="20"/>
    </row>
    <row r="887" spans="1:27" ht="121.8" x14ac:dyDescent="0.25">
      <c r="A887" s="16"/>
      <c r="B887" s="20" t="b">
        <f ca="1">IFERROR(__xludf.DUMMYFUNCTION("if(D887=iferror(filter('Character Sheet'!D$13:D3002,'Character Sheet'!D$13:D3002=D887),""""),True,False)"),FALSE)</f>
        <v>0</v>
      </c>
      <c r="C887" s="20">
        <v>400</v>
      </c>
      <c r="D887" s="2" t="s">
        <v>1969</v>
      </c>
      <c r="E887" s="2" t="s">
        <v>1970</v>
      </c>
      <c r="F887" s="20" t="s">
        <v>57</v>
      </c>
      <c r="G887" s="2" t="s">
        <v>1971</v>
      </c>
      <c r="H887" s="16"/>
      <c r="I887" s="20"/>
      <c r="J887" s="20"/>
      <c r="K887" s="20"/>
      <c r="L887" s="20"/>
      <c r="M887" s="20"/>
      <c r="N887" s="20"/>
      <c r="O887" s="20"/>
      <c r="P887" s="20"/>
      <c r="Q887" s="20"/>
      <c r="R887" s="20"/>
      <c r="S887" s="20"/>
      <c r="T887" s="20"/>
      <c r="U887" s="20"/>
      <c r="V887" s="20"/>
      <c r="W887" s="20"/>
      <c r="X887" s="20"/>
      <c r="Y887" s="20"/>
      <c r="Z887" s="20"/>
      <c r="AA887" s="20"/>
    </row>
    <row r="888" spans="1:27" ht="139.19999999999999" x14ac:dyDescent="0.25">
      <c r="A888" s="16"/>
      <c r="B888" s="20" t="b">
        <f ca="1">IFERROR(__xludf.DUMMYFUNCTION("if(D888=iferror(filter('Character Sheet'!D$13:D3002,'Character Sheet'!D$13:D3002=D888),""""),True,False)"),FALSE)</f>
        <v>0</v>
      </c>
      <c r="C888" s="20">
        <v>400</v>
      </c>
      <c r="D888" s="2" t="s">
        <v>1972</v>
      </c>
      <c r="E888" s="2" t="s">
        <v>786</v>
      </c>
      <c r="F888" s="20" t="s">
        <v>57</v>
      </c>
      <c r="G888" s="2" t="s">
        <v>1973</v>
      </c>
      <c r="H888" s="16"/>
      <c r="I888" s="20"/>
      <c r="J888" s="20"/>
      <c r="K888" s="20"/>
      <c r="L888" s="20"/>
      <c r="M888" s="20"/>
      <c r="N888" s="20"/>
      <c r="O888" s="20"/>
      <c r="P888" s="20"/>
      <c r="Q888" s="20"/>
      <c r="R888" s="20"/>
      <c r="S888" s="20"/>
      <c r="T888" s="20"/>
      <c r="U888" s="20"/>
      <c r="V888" s="20"/>
      <c r="W888" s="20"/>
      <c r="X888" s="20"/>
      <c r="Y888" s="20"/>
      <c r="Z888" s="20"/>
      <c r="AA888" s="20"/>
    </row>
    <row r="889" spans="1:27" ht="69.599999999999994" x14ac:dyDescent="0.25">
      <c r="A889" s="16"/>
      <c r="B889" s="20" t="b">
        <f ca="1">IFERROR(__xludf.DUMMYFUNCTION("if(D889=iferror(filter('Character Sheet'!D$13:D3002,'Character Sheet'!D$13:D3002=D889),""""),True,False)"),FALSE)</f>
        <v>0</v>
      </c>
      <c r="C889" s="20">
        <v>400</v>
      </c>
      <c r="D889" s="2" t="s">
        <v>1974</v>
      </c>
      <c r="E889" s="2" t="s">
        <v>1975</v>
      </c>
      <c r="F889" s="20" t="s">
        <v>57</v>
      </c>
      <c r="G889" s="2" t="s">
        <v>1976</v>
      </c>
      <c r="H889" s="16"/>
      <c r="I889" s="20"/>
      <c r="J889" s="20"/>
      <c r="K889" s="20"/>
      <c r="L889" s="20"/>
      <c r="M889" s="20"/>
      <c r="N889" s="20"/>
      <c r="O889" s="20"/>
      <c r="P889" s="20"/>
      <c r="Q889" s="20"/>
      <c r="R889" s="20"/>
      <c r="S889" s="20"/>
      <c r="T889" s="20"/>
      <c r="U889" s="20"/>
      <c r="V889" s="20"/>
      <c r="W889" s="20"/>
      <c r="X889" s="20"/>
      <c r="Y889" s="20"/>
      <c r="Z889" s="20"/>
      <c r="AA889" s="20"/>
    </row>
    <row r="890" spans="1:27" ht="191.4" x14ac:dyDescent="0.25">
      <c r="A890" s="16"/>
      <c r="B890" s="20" t="b">
        <f ca="1">IFERROR(__xludf.DUMMYFUNCTION("if(D890=iferror(filter('Character Sheet'!D$13:D3002,'Character Sheet'!D$13:D3002=D890),""""),True,False)"),FALSE)</f>
        <v>0</v>
      </c>
      <c r="C890" s="20">
        <v>400</v>
      </c>
      <c r="D890" s="2" t="s">
        <v>1977</v>
      </c>
      <c r="E890" s="2" t="s">
        <v>103</v>
      </c>
      <c r="F890" s="20" t="s">
        <v>57</v>
      </c>
      <c r="G890" s="2" t="s">
        <v>1978</v>
      </c>
      <c r="H890" s="16"/>
      <c r="I890" s="20"/>
      <c r="J890" s="20"/>
      <c r="K890" s="20"/>
      <c r="L890" s="20"/>
      <c r="M890" s="20"/>
      <c r="N890" s="20"/>
      <c r="O890" s="20"/>
      <c r="P890" s="20"/>
      <c r="Q890" s="20"/>
      <c r="R890" s="20"/>
      <c r="S890" s="20"/>
      <c r="T890" s="20"/>
      <c r="U890" s="20"/>
      <c r="V890" s="20"/>
      <c r="W890" s="20"/>
      <c r="X890" s="20"/>
      <c r="Y890" s="20"/>
      <c r="Z890" s="20"/>
      <c r="AA890" s="20"/>
    </row>
    <row r="891" spans="1:27" ht="104.4" x14ac:dyDescent="0.25">
      <c r="A891" s="16"/>
      <c r="B891" s="20" t="b">
        <f ca="1">IFERROR(__xludf.DUMMYFUNCTION("if(D891=iferror(filter('Character Sheet'!D$13:D3002,'Character Sheet'!D$13:D3002=D891),""""),True,False)"),FALSE)</f>
        <v>0</v>
      </c>
      <c r="C891" s="20">
        <v>400</v>
      </c>
      <c r="D891" s="2" t="s">
        <v>1979</v>
      </c>
      <c r="E891" s="2" t="s">
        <v>225</v>
      </c>
      <c r="F891" s="20" t="s">
        <v>57</v>
      </c>
      <c r="G891" s="2" t="s">
        <v>1980</v>
      </c>
      <c r="H891" s="16"/>
      <c r="I891" s="20"/>
      <c r="J891" s="20"/>
      <c r="K891" s="20"/>
      <c r="L891" s="20"/>
      <c r="M891" s="20"/>
      <c r="N891" s="20"/>
      <c r="O891" s="20"/>
      <c r="P891" s="20"/>
      <c r="Q891" s="20"/>
      <c r="R891" s="20"/>
      <c r="S891" s="20"/>
      <c r="T891" s="20"/>
      <c r="U891" s="20"/>
      <c r="V891" s="20"/>
      <c r="W891" s="20"/>
      <c r="X891" s="20"/>
      <c r="Y891" s="20"/>
      <c r="Z891" s="20"/>
      <c r="AA891" s="20"/>
    </row>
    <row r="892" spans="1:27" ht="121.8" x14ac:dyDescent="0.25">
      <c r="A892" s="16"/>
      <c r="B892" s="20" t="b">
        <f ca="1">IFERROR(__xludf.DUMMYFUNCTION("if(D892=iferror(filter('Character Sheet'!D$13:D3002,'Character Sheet'!D$13:D3002=D892),""""),True,False)"),FALSE)</f>
        <v>0</v>
      </c>
      <c r="C892" s="20">
        <v>400</v>
      </c>
      <c r="D892" s="2" t="s">
        <v>1981</v>
      </c>
      <c r="E892" s="2" t="s">
        <v>214</v>
      </c>
      <c r="F892" s="20" t="s">
        <v>57</v>
      </c>
      <c r="G892" s="2" t="s">
        <v>1982</v>
      </c>
      <c r="H892" s="16"/>
      <c r="I892" s="20"/>
      <c r="J892" s="20"/>
      <c r="K892" s="20"/>
      <c r="L892" s="20"/>
      <c r="M892" s="20"/>
      <c r="N892" s="20"/>
      <c r="O892" s="20"/>
      <c r="P892" s="20"/>
      <c r="Q892" s="20"/>
      <c r="R892" s="20"/>
      <c r="S892" s="20"/>
      <c r="T892" s="20"/>
      <c r="U892" s="20"/>
      <c r="V892" s="20"/>
      <c r="W892" s="20"/>
      <c r="X892" s="20"/>
      <c r="Y892" s="20"/>
      <c r="Z892" s="20"/>
      <c r="AA892" s="20"/>
    </row>
    <row r="893" spans="1:27" ht="156.6" x14ac:dyDescent="0.25">
      <c r="A893" s="16"/>
      <c r="B893" s="20" t="b">
        <f ca="1">IFERROR(__xludf.DUMMYFUNCTION("if(D893=iferror(filter('Character Sheet'!D$13:D3002,'Character Sheet'!D$13:D3002=D893),""""),True,False)"),FALSE)</f>
        <v>0</v>
      </c>
      <c r="C893" s="20">
        <v>400</v>
      </c>
      <c r="D893" s="2" t="s">
        <v>1983</v>
      </c>
      <c r="E893" s="2" t="s">
        <v>124</v>
      </c>
      <c r="F893" s="20" t="s">
        <v>57</v>
      </c>
      <c r="G893" s="2" t="s">
        <v>1984</v>
      </c>
      <c r="H893" s="16"/>
      <c r="I893" s="20"/>
      <c r="J893" s="20"/>
      <c r="K893" s="20"/>
      <c r="L893" s="20"/>
      <c r="M893" s="20"/>
      <c r="N893" s="20"/>
      <c r="O893" s="20"/>
      <c r="P893" s="20"/>
      <c r="Q893" s="20"/>
      <c r="R893" s="20"/>
      <c r="S893" s="20"/>
      <c r="T893" s="20"/>
      <c r="U893" s="20"/>
      <c r="V893" s="20"/>
      <c r="W893" s="20"/>
      <c r="X893" s="20"/>
      <c r="Y893" s="20"/>
      <c r="Z893" s="20"/>
      <c r="AA893" s="20"/>
    </row>
    <row r="894" spans="1:27" ht="104.4" x14ac:dyDescent="0.25">
      <c r="A894" s="16"/>
      <c r="B894" s="20" t="b">
        <f ca="1">IFERROR(__xludf.DUMMYFUNCTION("if(D894=iferror(filter('Character Sheet'!D$13:D3002,'Character Sheet'!D$13:D3002=D894),""""),True,False)"),FALSE)</f>
        <v>0</v>
      </c>
      <c r="C894" s="20">
        <v>400</v>
      </c>
      <c r="D894" s="2" t="s">
        <v>1985</v>
      </c>
      <c r="E894" s="2" t="s">
        <v>317</v>
      </c>
      <c r="F894" s="20" t="s">
        <v>57</v>
      </c>
      <c r="G894" s="2" t="s">
        <v>1986</v>
      </c>
      <c r="H894" s="16"/>
      <c r="I894" s="20"/>
      <c r="J894" s="20"/>
      <c r="K894" s="20"/>
      <c r="L894" s="20"/>
      <c r="M894" s="20"/>
      <c r="N894" s="20"/>
      <c r="O894" s="20"/>
      <c r="P894" s="20"/>
      <c r="Q894" s="20"/>
      <c r="R894" s="20"/>
      <c r="S894" s="20"/>
      <c r="T894" s="20"/>
      <c r="U894" s="20"/>
      <c r="V894" s="20"/>
      <c r="W894" s="20"/>
      <c r="X894" s="20"/>
      <c r="Y894" s="20"/>
      <c r="Z894" s="20"/>
      <c r="AA894" s="20"/>
    </row>
    <row r="895" spans="1:27" ht="104.4" x14ac:dyDescent="0.25">
      <c r="A895" s="16"/>
      <c r="B895" s="20" t="b">
        <f ca="1">IFERROR(__xludf.DUMMYFUNCTION("if(D895=iferror(filter('Character Sheet'!D$13:D3002,'Character Sheet'!D$13:D3002=D895),""""),True,False)"),FALSE)</f>
        <v>0</v>
      </c>
      <c r="C895" s="20">
        <v>400</v>
      </c>
      <c r="D895" s="2" t="s">
        <v>1987</v>
      </c>
      <c r="E895" s="2" t="s">
        <v>652</v>
      </c>
      <c r="F895" s="20" t="s">
        <v>57</v>
      </c>
      <c r="G895" s="2" t="s">
        <v>1988</v>
      </c>
      <c r="H895" s="16"/>
      <c r="I895" s="20"/>
      <c r="J895" s="20"/>
      <c r="K895" s="20"/>
      <c r="L895" s="20"/>
      <c r="M895" s="20"/>
      <c r="N895" s="20"/>
      <c r="O895" s="20"/>
      <c r="P895" s="20"/>
      <c r="Q895" s="20"/>
      <c r="R895" s="20"/>
      <c r="S895" s="20"/>
      <c r="T895" s="20"/>
      <c r="U895" s="20"/>
      <c r="V895" s="20"/>
      <c r="W895" s="20"/>
      <c r="X895" s="20"/>
      <c r="Y895" s="20"/>
      <c r="Z895" s="20"/>
      <c r="AA895" s="20"/>
    </row>
    <row r="896" spans="1:27" ht="104.4" x14ac:dyDescent="0.25">
      <c r="A896" s="16"/>
      <c r="B896" s="20" t="b">
        <f ca="1">IFERROR(__xludf.DUMMYFUNCTION("if(D896=iferror(filter('Character Sheet'!D$13:D3002,'Character Sheet'!D$13:D3002=D896),""""),True,False)"),FALSE)</f>
        <v>0</v>
      </c>
      <c r="C896" s="20">
        <v>400</v>
      </c>
      <c r="D896" s="2" t="s">
        <v>1989</v>
      </c>
      <c r="E896" s="2" t="s">
        <v>442</v>
      </c>
      <c r="F896" s="20" t="s">
        <v>57</v>
      </c>
      <c r="G896" s="2" t="s">
        <v>1990</v>
      </c>
      <c r="H896" s="16"/>
      <c r="I896" s="20"/>
      <c r="J896" s="20"/>
      <c r="K896" s="20"/>
      <c r="L896" s="20"/>
      <c r="M896" s="20"/>
      <c r="N896" s="20"/>
      <c r="O896" s="20"/>
      <c r="P896" s="20"/>
      <c r="Q896" s="20"/>
      <c r="R896" s="20"/>
      <c r="S896" s="20"/>
      <c r="T896" s="20"/>
      <c r="U896" s="20"/>
      <c r="V896" s="20"/>
      <c r="W896" s="20"/>
      <c r="X896" s="20"/>
      <c r="Y896" s="20"/>
      <c r="Z896" s="20"/>
      <c r="AA896" s="20"/>
    </row>
    <row r="897" spans="1:27" ht="69.599999999999994" x14ac:dyDescent="0.25">
      <c r="A897" s="16"/>
      <c r="B897" s="20" t="b">
        <f ca="1">IFERROR(__xludf.DUMMYFUNCTION("if(D897=iferror(filter('Character Sheet'!D$13:D3002,'Character Sheet'!D$13:D3002=D897),""""),True,False)"),FALSE)</f>
        <v>0</v>
      </c>
      <c r="C897" s="20">
        <v>400</v>
      </c>
      <c r="D897" s="2" t="s">
        <v>1991</v>
      </c>
      <c r="E897" s="2" t="s">
        <v>772</v>
      </c>
      <c r="F897" s="20" t="s">
        <v>57</v>
      </c>
      <c r="G897" s="2" t="s">
        <v>1992</v>
      </c>
      <c r="H897" s="16"/>
      <c r="I897" s="20"/>
      <c r="J897" s="20"/>
      <c r="K897" s="20"/>
      <c r="L897" s="20"/>
      <c r="M897" s="20"/>
      <c r="N897" s="20"/>
      <c r="O897" s="20"/>
      <c r="P897" s="20"/>
      <c r="Q897" s="20"/>
      <c r="R897" s="20"/>
      <c r="S897" s="20"/>
      <c r="T897" s="20"/>
      <c r="U897" s="20"/>
      <c r="V897" s="20"/>
      <c r="W897" s="20"/>
      <c r="X897" s="20"/>
      <c r="Y897" s="20"/>
      <c r="Z897" s="20"/>
      <c r="AA897" s="20"/>
    </row>
    <row r="898" spans="1:27" ht="156.6" x14ac:dyDescent="0.25">
      <c r="A898" s="16"/>
      <c r="B898" s="20" t="b">
        <f ca="1">IFERROR(__xludf.DUMMYFUNCTION("if(D898=iferror(filter('Character Sheet'!D$13:D3002,'Character Sheet'!D$13:D3002=D898),""""),True,False)"),FALSE)</f>
        <v>0</v>
      </c>
      <c r="C898" s="20">
        <v>400</v>
      </c>
      <c r="D898" s="2" t="s">
        <v>1993</v>
      </c>
      <c r="E898" s="2" t="s">
        <v>159</v>
      </c>
      <c r="F898" s="20" t="s">
        <v>57</v>
      </c>
      <c r="G898" s="2" t="s">
        <v>1994</v>
      </c>
      <c r="H898" s="16"/>
      <c r="I898" s="20"/>
      <c r="J898" s="20"/>
      <c r="K898" s="20"/>
      <c r="L898" s="20"/>
      <c r="M898" s="20"/>
      <c r="N898" s="20"/>
      <c r="O898" s="20"/>
      <c r="P898" s="20"/>
      <c r="Q898" s="20"/>
      <c r="R898" s="20"/>
      <c r="S898" s="20"/>
      <c r="T898" s="20"/>
      <c r="U898" s="20"/>
      <c r="V898" s="20"/>
      <c r="W898" s="20"/>
      <c r="X898" s="20"/>
      <c r="Y898" s="20"/>
      <c r="Z898" s="20"/>
      <c r="AA898" s="20"/>
    </row>
    <row r="899" spans="1:27" ht="139.19999999999999" x14ac:dyDescent="0.25">
      <c r="A899" s="16"/>
      <c r="B899" s="20" t="b">
        <f ca="1">IFERROR(__xludf.DUMMYFUNCTION("if(D899=iferror(filter('Character Sheet'!D$13:D3002,'Character Sheet'!D$13:D3002=D899),""""),True,False)"),FALSE)</f>
        <v>0</v>
      </c>
      <c r="C899" s="20">
        <v>400</v>
      </c>
      <c r="D899" s="2" t="s">
        <v>1995</v>
      </c>
      <c r="E899" s="2" t="s">
        <v>103</v>
      </c>
      <c r="F899" s="20" t="s">
        <v>57</v>
      </c>
      <c r="G899" s="2" t="s">
        <v>1996</v>
      </c>
      <c r="H899" s="16"/>
      <c r="I899" s="20"/>
      <c r="J899" s="20"/>
      <c r="K899" s="20"/>
      <c r="L899" s="20"/>
      <c r="M899" s="20"/>
      <c r="N899" s="20"/>
      <c r="O899" s="20"/>
      <c r="P899" s="20"/>
      <c r="Q899" s="20"/>
      <c r="R899" s="20"/>
      <c r="S899" s="20"/>
      <c r="T899" s="20"/>
      <c r="U899" s="20"/>
      <c r="V899" s="20"/>
      <c r="W899" s="20"/>
      <c r="X899" s="20"/>
      <c r="Y899" s="20"/>
      <c r="Z899" s="20"/>
      <c r="AA899" s="20"/>
    </row>
    <row r="900" spans="1:27" ht="69.599999999999994" x14ac:dyDescent="0.25">
      <c r="A900" s="16"/>
      <c r="B900" s="20" t="b">
        <f ca="1">IFERROR(__xludf.DUMMYFUNCTION("if(D900=iferror(filter('Character Sheet'!D$13:D3002,'Character Sheet'!D$13:D3002=D900),""""),True,False)"),FALSE)</f>
        <v>0</v>
      </c>
      <c r="C900" s="20">
        <v>400</v>
      </c>
      <c r="D900" s="2" t="s">
        <v>1997</v>
      </c>
      <c r="E900" s="2" t="s">
        <v>637</v>
      </c>
      <c r="F900" s="20" t="s">
        <v>57</v>
      </c>
      <c r="G900" s="2" t="s">
        <v>1998</v>
      </c>
      <c r="H900" s="16"/>
      <c r="I900" s="20"/>
      <c r="J900" s="20"/>
      <c r="K900" s="20"/>
      <c r="L900" s="20"/>
      <c r="M900" s="20"/>
      <c r="N900" s="20"/>
      <c r="O900" s="20"/>
      <c r="P900" s="20"/>
      <c r="Q900" s="20"/>
      <c r="R900" s="20"/>
      <c r="S900" s="20"/>
      <c r="T900" s="20"/>
      <c r="U900" s="20"/>
      <c r="V900" s="20"/>
      <c r="W900" s="20"/>
      <c r="X900" s="20"/>
      <c r="Y900" s="20"/>
      <c r="Z900" s="20"/>
      <c r="AA900" s="20"/>
    </row>
    <row r="901" spans="1:27" ht="104.4" x14ac:dyDescent="0.25">
      <c r="A901" s="16"/>
      <c r="B901" s="20" t="b">
        <f ca="1">IFERROR(__xludf.DUMMYFUNCTION("if(D901=iferror(filter('Character Sheet'!D$13:D3002,'Character Sheet'!D$13:D3002=D901),""""),True,False)"),FALSE)</f>
        <v>0</v>
      </c>
      <c r="C901" s="20">
        <v>400</v>
      </c>
      <c r="D901" s="2" t="s">
        <v>1999</v>
      </c>
      <c r="E901" s="2" t="s">
        <v>514</v>
      </c>
      <c r="F901" s="20" t="s">
        <v>57</v>
      </c>
      <c r="G901" s="2" t="s">
        <v>2000</v>
      </c>
      <c r="H901" s="16"/>
      <c r="I901" s="20"/>
      <c r="J901" s="20"/>
      <c r="K901" s="20"/>
      <c r="L901" s="20"/>
      <c r="M901" s="20"/>
      <c r="N901" s="20"/>
      <c r="O901" s="20"/>
      <c r="P901" s="20"/>
      <c r="Q901" s="20"/>
      <c r="R901" s="20"/>
      <c r="S901" s="20"/>
      <c r="T901" s="20"/>
      <c r="U901" s="20"/>
      <c r="V901" s="20"/>
      <c r="W901" s="20"/>
      <c r="X901" s="20"/>
      <c r="Y901" s="20"/>
      <c r="Z901" s="20"/>
      <c r="AA901" s="20"/>
    </row>
    <row r="902" spans="1:27" ht="104.4" x14ac:dyDescent="0.25">
      <c r="A902" s="16"/>
      <c r="B902" s="20" t="b">
        <f ca="1">IFERROR(__xludf.DUMMYFUNCTION("if(D902=iferror(filter('Character Sheet'!D$13:D3002,'Character Sheet'!D$13:D3002=D902),""""),True,False)"),FALSE)</f>
        <v>0</v>
      </c>
      <c r="C902" s="20">
        <v>400</v>
      </c>
      <c r="D902" s="2" t="s">
        <v>2001</v>
      </c>
      <c r="E902" s="2" t="s">
        <v>378</v>
      </c>
      <c r="F902" s="20" t="s">
        <v>57</v>
      </c>
      <c r="G902" s="2" t="s">
        <v>2002</v>
      </c>
      <c r="H902" s="16"/>
      <c r="I902" s="20"/>
      <c r="J902" s="20"/>
      <c r="K902" s="20"/>
      <c r="L902" s="20"/>
      <c r="M902" s="20"/>
      <c r="N902" s="20"/>
      <c r="O902" s="20"/>
      <c r="P902" s="20"/>
      <c r="Q902" s="20"/>
      <c r="R902" s="20"/>
      <c r="S902" s="20"/>
      <c r="T902" s="20"/>
      <c r="U902" s="20"/>
      <c r="V902" s="20"/>
      <c r="W902" s="20"/>
      <c r="X902" s="20"/>
      <c r="Y902" s="20"/>
      <c r="Z902" s="20"/>
      <c r="AA902" s="20"/>
    </row>
    <row r="903" spans="1:27" ht="278.39999999999998" x14ac:dyDescent="0.25">
      <c r="A903" s="16"/>
      <c r="B903" s="20" t="b">
        <f ca="1">IFERROR(__xludf.DUMMYFUNCTION("if(D903=iferror(filter('Character Sheet'!D$13:D3002,'Character Sheet'!D$13:D3002=D903),""""),True,False)"),FALSE)</f>
        <v>0</v>
      </c>
      <c r="C903" s="20">
        <v>400</v>
      </c>
      <c r="D903" s="2" t="s">
        <v>2003</v>
      </c>
      <c r="E903" s="2" t="s">
        <v>253</v>
      </c>
      <c r="F903" s="20" t="s">
        <v>57</v>
      </c>
      <c r="G903" s="2" t="s">
        <v>2004</v>
      </c>
      <c r="H903" s="16"/>
      <c r="I903" s="20"/>
      <c r="J903" s="20"/>
      <c r="K903" s="20"/>
      <c r="L903" s="20"/>
      <c r="M903" s="20"/>
      <c r="N903" s="20"/>
      <c r="O903" s="20"/>
      <c r="P903" s="20"/>
      <c r="Q903" s="20"/>
      <c r="R903" s="20"/>
      <c r="S903" s="20"/>
      <c r="T903" s="20"/>
      <c r="U903" s="20"/>
      <c r="V903" s="20"/>
      <c r="W903" s="20"/>
      <c r="X903" s="20"/>
      <c r="Y903" s="20"/>
      <c r="Z903" s="20"/>
      <c r="AA903" s="20"/>
    </row>
    <row r="904" spans="1:27" ht="121.8" x14ac:dyDescent="0.25">
      <c r="A904" s="16"/>
      <c r="B904" s="20" t="b">
        <f ca="1">IFERROR(__xludf.DUMMYFUNCTION("if(D904=iferror(filter('Character Sheet'!D$13:D3002,'Character Sheet'!D$13:D3002=D904),""""),True,False)"),FALSE)</f>
        <v>0</v>
      </c>
      <c r="C904" s="20">
        <v>400</v>
      </c>
      <c r="D904" s="2" t="s">
        <v>2005</v>
      </c>
      <c r="E904" s="2" t="s">
        <v>344</v>
      </c>
      <c r="F904" s="20" t="s">
        <v>57</v>
      </c>
      <c r="G904" s="2" t="s">
        <v>2006</v>
      </c>
      <c r="H904" s="16"/>
      <c r="I904" s="20"/>
      <c r="J904" s="20"/>
      <c r="K904" s="20"/>
      <c r="L904" s="20"/>
      <c r="M904" s="20"/>
      <c r="N904" s="20"/>
      <c r="O904" s="20"/>
      <c r="P904" s="20"/>
      <c r="Q904" s="20"/>
      <c r="R904" s="20"/>
      <c r="S904" s="20"/>
      <c r="T904" s="20"/>
      <c r="U904" s="20"/>
      <c r="V904" s="20"/>
      <c r="W904" s="20"/>
      <c r="X904" s="20"/>
      <c r="Y904" s="20"/>
      <c r="Z904" s="20"/>
      <c r="AA904" s="20"/>
    </row>
    <row r="905" spans="1:27" ht="208.8" x14ac:dyDescent="0.25">
      <c r="A905" s="16"/>
      <c r="B905" s="20" t="b">
        <f ca="1">IFERROR(__xludf.DUMMYFUNCTION("if(D905=iferror(filter('Character Sheet'!D$13:D3002,'Character Sheet'!D$13:D3002=D905),""""),True,False)"),FALSE)</f>
        <v>0</v>
      </c>
      <c r="C905" s="20">
        <v>400</v>
      </c>
      <c r="D905" s="2" t="s">
        <v>2007</v>
      </c>
      <c r="E905" s="2" t="s">
        <v>1244</v>
      </c>
      <c r="F905" s="20" t="s">
        <v>57</v>
      </c>
      <c r="G905" s="2" t="s">
        <v>2008</v>
      </c>
      <c r="H905" s="16"/>
      <c r="I905" s="20"/>
      <c r="J905" s="20"/>
      <c r="K905" s="20"/>
      <c r="L905" s="20"/>
      <c r="M905" s="20"/>
      <c r="N905" s="20"/>
      <c r="O905" s="20"/>
      <c r="P905" s="20"/>
      <c r="Q905" s="20"/>
      <c r="R905" s="20"/>
      <c r="S905" s="20"/>
      <c r="T905" s="20"/>
      <c r="U905" s="20"/>
      <c r="V905" s="20"/>
      <c r="W905" s="20"/>
      <c r="X905" s="20"/>
      <c r="Y905" s="20"/>
      <c r="Z905" s="20"/>
      <c r="AA905" s="20"/>
    </row>
    <row r="906" spans="1:27" ht="87" x14ac:dyDescent="0.25">
      <c r="A906" s="16"/>
      <c r="B906" s="20" t="b">
        <f ca="1">IFERROR(__xludf.DUMMYFUNCTION("if(D906=iferror(filter('Character Sheet'!D$13:D3002,'Character Sheet'!D$13:D3002=D906),""""),True,False)"),FALSE)</f>
        <v>0</v>
      </c>
      <c r="C906" s="20">
        <v>400</v>
      </c>
      <c r="D906" s="2" t="s">
        <v>2009</v>
      </c>
      <c r="E906" s="2" t="s">
        <v>534</v>
      </c>
      <c r="F906" s="20" t="s">
        <v>57</v>
      </c>
      <c r="G906" s="2" t="s">
        <v>2010</v>
      </c>
      <c r="H906" s="16"/>
      <c r="I906" s="20"/>
      <c r="J906" s="20"/>
      <c r="K906" s="20"/>
      <c r="L906" s="20"/>
      <c r="M906" s="20"/>
      <c r="N906" s="20"/>
      <c r="O906" s="20"/>
      <c r="P906" s="20"/>
      <c r="Q906" s="20"/>
      <c r="R906" s="20"/>
      <c r="S906" s="20"/>
      <c r="T906" s="20"/>
      <c r="U906" s="20"/>
      <c r="V906" s="20"/>
      <c r="W906" s="20"/>
      <c r="X906" s="20"/>
      <c r="Y906" s="20"/>
      <c r="Z906" s="20"/>
      <c r="AA906" s="20"/>
    </row>
    <row r="907" spans="1:27" ht="121.8" x14ac:dyDescent="0.25">
      <c r="A907" s="16"/>
      <c r="B907" s="20" t="b">
        <f ca="1">IFERROR(__xludf.DUMMYFUNCTION("if(D907=iferror(filter('Character Sheet'!D$13:D3002,'Character Sheet'!D$13:D3002=D907),""""),True,False)"),FALSE)</f>
        <v>0</v>
      </c>
      <c r="C907" s="20">
        <v>400</v>
      </c>
      <c r="D907" s="2" t="s">
        <v>2011</v>
      </c>
      <c r="E907" s="2" t="s">
        <v>298</v>
      </c>
      <c r="F907" s="20" t="s">
        <v>57</v>
      </c>
      <c r="G907" s="2" t="s">
        <v>2012</v>
      </c>
      <c r="H907" s="16"/>
      <c r="I907" s="20"/>
      <c r="J907" s="20"/>
      <c r="K907" s="20"/>
      <c r="L907" s="20"/>
      <c r="M907" s="20"/>
      <c r="N907" s="20"/>
      <c r="O907" s="20"/>
      <c r="P907" s="20"/>
      <c r="Q907" s="20"/>
      <c r="R907" s="20"/>
      <c r="S907" s="20"/>
      <c r="T907" s="20"/>
      <c r="U907" s="20"/>
      <c r="V907" s="20"/>
      <c r="W907" s="20"/>
      <c r="X907" s="20"/>
      <c r="Y907" s="20"/>
      <c r="Z907" s="20"/>
      <c r="AA907" s="20"/>
    </row>
    <row r="908" spans="1:27" ht="104.4" x14ac:dyDescent="0.25">
      <c r="A908" s="16"/>
      <c r="B908" s="20" t="b">
        <f ca="1">IFERROR(__xludf.DUMMYFUNCTION("if(D908=iferror(filter('Character Sheet'!D$13:D3002,'Character Sheet'!D$13:D3002=D908),""""),True,False)"),FALSE)</f>
        <v>0</v>
      </c>
      <c r="C908" s="20">
        <v>400</v>
      </c>
      <c r="D908" s="2" t="s">
        <v>2013</v>
      </c>
      <c r="E908" s="2" t="s">
        <v>2014</v>
      </c>
      <c r="F908" s="20" t="s">
        <v>57</v>
      </c>
      <c r="G908" s="2" t="s">
        <v>2015</v>
      </c>
      <c r="H908" s="16"/>
      <c r="I908" s="20"/>
      <c r="J908" s="20"/>
      <c r="K908" s="20"/>
      <c r="L908" s="20"/>
      <c r="M908" s="20"/>
      <c r="N908" s="20"/>
      <c r="O908" s="20"/>
      <c r="P908" s="20"/>
      <c r="Q908" s="20"/>
      <c r="R908" s="20"/>
      <c r="S908" s="20"/>
      <c r="T908" s="20"/>
      <c r="U908" s="20"/>
      <c r="V908" s="20"/>
      <c r="W908" s="20"/>
      <c r="X908" s="20"/>
      <c r="Y908" s="20"/>
      <c r="Z908" s="20"/>
      <c r="AA908" s="20"/>
    </row>
    <row r="909" spans="1:27" ht="121.8" x14ac:dyDescent="0.25">
      <c r="A909" s="16"/>
      <c r="B909" s="20" t="b">
        <f ca="1">IFERROR(__xludf.DUMMYFUNCTION("if(D909=iferror(filter('Character Sheet'!D$13:D3002,'Character Sheet'!D$13:D3002=D909),""""),True,False)"),FALSE)</f>
        <v>0</v>
      </c>
      <c r="C909" s="20">
        <v>400</v>
      </c>
      <c r="D909" s="2" t="s">
        <v>2016</v>
      </c>
      <c r="E909" s="2" t="s">
        <v>478</v>
      </c>
      <c r="F909" s="20" t="s">
        <v>57</v>
      </c>
      <c r="G909" s="2" t="s">
        <v>2017</v>
      </c>
      <c r="H909" s="16"/>
      <c r="I909" s="20"/>
      <c r="J909" s="20"/>
      <c r="K909" s="20"/>
      <c r="L909" s="20"/>
      <c r="M909" s="20"/>
      <c r="N909" s="20"/>
      <c r="O909" s="20"/>
      <c r="P909" s="20"/>
      <c r="Q909" s="20"/>
      <c r="R909" s="20"/>
      <c r="S909" s="20"/>
      <c r="T909" s="20"/>
      <c r="U909" s="20"/>
      <c r="V909" s="20"/>
      <c r="W909" s="20"/>
      <c r="X909" s="20"/>
      <c r="Y909" s="20"/>
      <c r="Z909" s="20"/>
      <c r="AA909" s="20"/>
    </row>
    <row r="910" spans="1:27" ht="191.4" x14ac:dyDescent="0.25">
      <c r="A910" s="16"/>
      <c r="B910" s="20" t="b">
        <f ca="1">IFERROR(__xludf.DUMMYFUNCTION("if(D910=iferror(filter('Character Sheet'!D$13:D3002,'Character Sheet'!D$13:D3002=D910),""""),True,False)"),FALSE)</f>
        <v>0</v>
      </c>
      <c r="C910" s="20">
        <v>400</v>
      </c>
      <c r="D910" s="2" t="s">
        <v>2018</v>
      </c>
      <c r="E910" s="2" t="s">
        <v>1015</v>
      </c>
      <c r="F910" s="20" t="s">
        <v>57</v>
      </c>
      <c r="G910" s="2" t="s">
        <v>2019</v>
      </c>
      <c r="H910" s="16"/>
      <c r="I910" s="20"/>
      <c r="J910" s="20"/>
      <c r="K910" s="20"/>
      <c r="L910" s="20"/>
      <c r="M910" s="20"/>
      <c r="N910" s="20"/>
      <c r="O910" s="20"/>
      <c r="P910" s="20"/>
      <c r="Q910" s="20"/>
      <c r="R910" s="20"/>
      <c r="S910" s="20"/>
      <c r="T910" s="20"/>
      <c r="U910" s="20"/>
      <c r="V910" s="20"/>
      <c r="W910" s="20"/>
      <c r="X910" s="20"/>
      <c r="Y910" s="20"/>
      <c r="Z910" s="20"/>
      <c r="AA910" s="20"/>
    </row>
    <row r="911" spans="1:27" ht="139.19999999999999" x14ac:dyDescent="0.25">
      <c r="A911" s="16"/>
      <c r="B911" s="20" t="b">
        <f ca="1">IFERROR(__xludf.DUMMYFUNCTION("if(D911=iferror(filter('Character Sheet'!D$13:D3002,'Character Sheet'!D$13:D3002=D911),""""),True,False)"),FALSE)</f>
        <v>0</v>
      </c>
      <c r="C911" s="20">
        <v>400</v>
      </c>
      <c r="D911" s="2" t="s">
        <v>2020</v>
      </c>
      <c r="E911" s="2" t="s">
        <v>119</v>
      </c>
      <c r="F911" s="20" t="s">
        <v>57</v>
      </c>
      <c r="G911" s="2" t="s">
        <v>2021</v>
      </c>
      <c r="H911" s="16"/>
      <c r="I911" s="20"/>
      <c r="J911" s="20"/>
      <c r="K911" s="20"/>
      <c r="L911" s="20"/>
      <c r="M911" s="20"/>
      <c r="N911" s="20"/>
      <c r="O911" s="20"/>
      <c r="P911" s="20"/>
      <c r="Q911" s="20"/>
      <c r="R911" s="20"/>
      <c r="S911" s="20"/>
      <c r="T911" s="20"/>
      <c r="U911" s="20"/>
      <c r="V911" s="20"/>
      <c r="W911" s="20"/>
      <c r="X911" s="20"/>
      <c r="Y911" s="20"/>
      <c r="Z911" s="20"/>
      <c r="AA911" s="20"/>
    </row>
    <row r="912" spans="1:27" ht="87" x14ac:dyDescent="0.25">
      <c r="A912" s="16"/>
      <c r="B912" s="20" t="b">
        <f ca="1">IFERROR(__xludf.DUMMYFUNCTION("if(D912=iferror(filter('Character Sheet'!D$13:D3002,'Character Sheet'!D$13:D3002=D912),""""),True,False)"),FALSE)</f>
        <v>0</v>
      </c>
      <c r="C912" s="20">
        <v>400</v>
      </c>
      <c r="D912" s="2" t="s">
        <v>2022</v>
      </c>
      <c r="E912" s="2" t="s">
        <v>214</v>
      </c>
      <c r="F912" s="20" t="s">
        <v>57</v>
      </c>
      <c r="G912" s="2" t="s">
        <v>2023</v>
      </c>
      <c r="H912" s="16"/>
      <c r="I912" s="20"/>
      <c r="J912" s="20"/>
      <c r="K912" s="20"/>
      <c r="L912" s="20"/>
      <c r="M912" s="20"/>
      <c r="N912" s="20"/>
      <c r="O912" s="20"/>
      <c r="P912" s="20"/>
      <c r="Q912" s="20"/>
      <c r="R912" s="20"/>
      <c r="S912" s="20"/>
      <c r="T912" s="20"/>
      <c r="U912" s="20"/>
      <c r="V912" s="20"/>
      <c r="W912" s="20"/>
      <c r="X912" s="20"/>
      <c r="Y912" s="20"/>
      <c r="Z912" s="20"/>
      <c r="AA912" s="20"/>
    </row>
    <row r="913" spans="1:27" ht="156.6" x14ac:dyDescent="0.25">
      <c r="A913" s="16"/>
      <c r="B913" s="20" t="b">
        <f ca="1">IFERROR(__xludf.DUMMYFUNCTION("if(D913=iferror(filter('Character Sheet'!D$13:D3002,'Character Sheet'!D$13:D3002=D913),""""),True,False)"),FALSE)</f>
        <v>0</v>
      </c>
      <c r="C913" s="20">
        <v>400</v>
      </c>
      <c r="D913" s="2" t="s">
        <v>2024</v>
      </c>
      <c r="E913" s="2" t="s">
        <v>311</v>
      </c>
      <c r="F913" s="20" t="s">
        <v>57</v>
      </c>
      <c r="G913" s="2" t="s">
        <v>2025</v>
      </c>
      <c r="H913" s="16"/>
      <c r="I913" s="20"/>
      <c r="J913" s="20"/>
      <c r="K913" s="20"/>
      <c r="L913" s="20"/>
      <c r="M913" s="20"/>
      <c r="N913" s="20"/>
      <c r="O913" s="20"/>
      <c r="P913" s="20"/>
      <c r="Q913" s="20"/>
      <c r="R913" s="20"/>
      <c r="S913" s="20"/>
      <c r="T913" s="20"/>
      <c r="U913" s="20"/>
      <c r="V913" s="20"/>
      <c r="W913" s="20"/>
      <c r="X913" s="20"/>
      <c r="Y913" s="20"/>
      <c r="Z913" s="20"/>
      <c r="AA913" s="20"/>
    </row>
    <row r="914" spans="1:27" ht="208.8" x14ac:dyDescent="0.25">
      <c r="A914" s="16"/>
      <c r="B914" s="20" t="b">
        <f ca="1">IFERROR(__xludf.DUMMYFUNCTION("if(D914=iferror(filter('Character Sheet'!D$13:D3002,'Character Sheet'!D$13:D3002=D914),""""),True,False)"),FALSE)</f>
        <v>0</v>
      </c>
      <c r="C914" s="20">
        <v>400</v>
      </c>
      <c r="D914" s="2" t="s">
        <v>2026</v>
      </c>
      <c r="E914" s="2" t="s">
        <v>1285</v>
      </c>
      <c r="F914" s="20" t="s">
        <v>57</v>
      </c>
      <c r="G914" s="2" t="s">
        <v>2027</v>
      </c>
      <c r="H914" s="16"/>
      <c r="I914" s="20"/>
      <c r="J914" s="20"/>
      <c r="K914" s="20"/>
      <c r="L914" s="20"/>
      <c r="M914" s="20"/>
      <c r="N914" s="20"/>
      <c r="O914" s="20"/>
      <c r="P914" s="20"/>
      <c r="Q914" s="20"/>
      <c r="R914" s="20"/>
      <c r="S914" s="20"/>
      <c r="T914" s="20"/>
      <c r="U914" s="20"/>
      <c r="V914" s="20"/>
      <c r="W914" s="20"/>
      <c r="X914" s="20"/>
      <c r="Y914" s="20"/>
      <c r="Z914" s="20"/>
      <c r="AA914" s="20"/>
    </row>
    <row r="915" spans="1:27" ht="87" x14ac:dyDescent="0.25">
      <c r="A915" s="16"/>
      <c r="B915" s="20" t="b">
        <f ca="1">IFERROR(__xludf.DUMMYFUNCTION("if(D915=iferror(filter('Character Sheet'!D$13:D3002,'Character Sheet'!D$13:D3002=D915),""""),True,False)"),FALSE)</f>
        <v>0</v>
      </c>
      <c r="C915" s="20">
        <v>400</v>
      </c>
      <c r="D915" s="2" t="s">
        <v>2028</v>
      </c>
      <c r="E915" s="2" t="s">
        <v>583</v>
      </c>
      <c r="F915" s="20" t="s">
        <v>57</v>
      </c>
      <c r="G915" s="2" t="s">
        <v>2029</v>
      </c>
      <c r="H915" s="16"/>
      <c r="I915" s="20"/>
      <c r="J915" s="20"/>
      <c r="K915" s="20"/>
      <c r="L915" s="20"/>
      <c r="M915" s="20"/>
      <c r="N915" s="20"/>
      <c r="O915" s="20"/>
      <c r="P915" s="20"/>
      <c r="Q915" s="20"/>
      <c r="R915" s="20"/>
      <c r="S915" s="20"/>
      <c r="T915" s="20"/>
      <c r="U915" s="20"/>
      <c r="V915" s="20"/>
      <c r="W915" s="20"/>
      <c r="X915" s="20"/>
      <c r="Y915" s="20"/>
      <c r="Z915" s="20"/>
      <c r="AA915" s="20"/>
    </row>
    <row r="916" spans="1:27" ht="104.4" x14ac:dyDescent="0.25">
      <c r="A916" s="16"/>
      <c r="B916" s="20" t="b">
        <f ca="1">IFERROR(__xludf.DUMMYFUNCTION("if(D916=iferror(filter('Character Sheet'!D$13:D3002,'Character Sheet'!D$13:D3002=D916),""""),True,False)"),FALSE)</f>
        <v>0</v>
      </c>
      <c r="C916" s="20">
        <v>400</v>
      </c>
      <c r="D916" s="2" t="s">
        <v>2030</v>
      </c>
      <c r="E916" s="2" t="s">
        <v>109</v>
      </c>
      <c r="F916" s="20" t="s">
        <v>57</v>
      </c>
      <c r="G916" s="2" t="s">
        <v>2031</v>
      </c>
      <c r="H916" s="16"/>
      <c r="I916" s="20"/>
      <c r="J916" s="20"/>
      <c r="K916" s="20"/>
      <c r="L916" s="20"/>
      <c r="M916" s="20"/>
      <c r="N916" s="20"/>
      <c r="O916" s="20"/>
      <c r="P916" s="20"/>
      <c r="Q916" s="20"/>
      <c r="R916" s="20"/>
      <c r="S916" s="20"/>
      <c r="T916" s="20"/>
      <c r="U916" s="20"/>
      <c r="V916" s="20"/>
      <c r="W916" s="20"/>
      <c r="X916" s="20"/>
      <c r="Y916" s="20"/>
      <c r="Z916" s="20"/>
      <c r="AA916" s="20"/>
    </row>
    <row r="917" spans="1:27" ht="156.6" x14ac:dyDescent="0.25">
      <c r="A917" s="16"/>
      <c r="B917" s="20" t="b">
        <f ca="1">IFERROR(__xludf.DUMMYFUNCTION("if(D917=iferror(filter('Character Sheet'!D$13:D3002,'Character Sheet'!D$13:D3002=D917),""""),True,False)"),FALSE)</f>
        <v>0</v>
      </c>
      <c r="C917" s="20">
        <v>400</v>
      </c>
      <c r="D917" s="2" t="s">
        <v>2032</v>
      </c>
      <c r="E917" s="2" t="s">
        <v>139</v>
      </c>
      <c r="F917" s="20" t="s">
        <v>57</v>
      </c>
      <c r="G917" s="2" t="s">
        <v>2033</v>
      </c>
      <c r="H917" s="16"/>
      <c r="I917" s="20"/>
      <c r="J917" s="20"/>
      <c r="K917" s="20"/>
      <c r="L917" s="20"/>
      <c r="M917" s="20"/>
      <c r="N917" s="20"/>
      <c r="O917" s="20"/>
      <c r="P917" s="20"/>
      <c r="Q917" s="20"/>
      <c r="R917" s="20"/>
      <c r="S917" s="20"/>
      <c r="T917" s="20"/>
      <c r="U917" s="20"/>
      <c r="V917" s="20"/>
      <c r="W917" s="20"/>
      <c r="X917" s="20"/>
      <c r="Y917" s="20"/>
      <c r="Z917" s="20"/>
      <c r="AA917" s="20"/>
    </row>
    <row r="918" spans="1:27" ht="226.2" x14ac:dyDescent="0.25">
      <c r="A918" s="16"/>
      <c r="B918" s="20" t="b">
        <f ca="1">IFERROR(__xludf.DUMMYFUNCTION("if(D918=iferror(filter('Character Sheet'!D$13:D3002,'Character Sheet'!D$13:D3002=D918),""""),True,False)"),FALSE)</f>
        <v>0</v>
      </c>
      <c r="C918" s="20">
        <v>400</v>
      </c>
      <c r="D918" s="2" t="s">
        <v>2034</v>
      </c>
      <c r="E918" s="2" t="s">
        <v>311</v>
      </c>
      <c r="F918" s="20" t="s">
        <v>57</v>
      </c>
      <c r="G918" s="2" t="s">
        <v>2035</v>
      </c>
      <c r="H918" s="16"/>
      <c r="I918" s="20"/>
      <c r="J918" s="20"/>
      <c r="K918" s="20"/>
      <c r="L918" s="20"/>
      <c r="M918" s="20"/>
      <c r="N918" s="20"/>
      <c r="O918" s="20"/>
      <c r="P918" s="20"/>
      <c r="Q918" s="20"/>
      <c r="R918" s="20"/>
      <c r="S918" s="20"/>
      <c r="T918" s="20"/>
      <c r="U918" s="20"/>
      <c r="V918" s="20"/>
      <c r="W918" s="20"/>
      <c r="X918" s="20"/>
      <c r="Y918" s="20"/>
      <c r="Z918" s="20"/>
      <c r="AA918" s="20"/>
    </row>
    <row r="919" spans="1:27" ht="87" x14ac:dyDescent="0.25">
      <c r="A919" s="16"/>
      <c r="B919" s="20" t="b">
        <f ca="1">IFERROR(__xludf.DUMMYFUNCTION("if(D919=iferror(filter('Character Sheet'!D$13:D3002,'Character Sheet'!D$13:D3002=D919),""""),True,False)"),FALSE)</f>
        <v>0</v>
      </c>
      <c r="C919" s="20">
        <v>400</v>
      </c>
      <c r="D919" s="2" t="s">
        <v>2036</v>
      </c>
      <c r="E919" s="2" t="s">
        <v>478</v>
      </c>
      <c r="F919" s="20" t="s">
        <v>57</v>
      </c>
      <c r="G919" s="2" t="s">
        <v>2037</v>
      </c>
      <c r="H919" s="16"/>
      <c r="I919" s="20"/>
      <c r="J919" s="20"/>
      <c r="K919" s="20"/>
      <c r="L919" s="20"/>
      <c r="M919" s="20"/>
      <c r="N919" s="20"/>
      <c r="O919" s="20"/>
      <c r="P919" s="20"/>
      <c r="Q919" s="20"/>
      <c r="R919" s="20"/>
      <c r="S919" s="20"/>
      <c r="T919" s="20"/>
      <c r="U919" s="20"/>
      <c r="V919" s="20"/>
      <c r="W919" s="20"/>
      <c r="X919" s="20"/>
      <c r="Y919" s="20"/>
      <c r="Z919" s="20"/>
      <c r="AA919" s="20"/>
    </row>
    <row r="920" spans="1:27" ht="121.8" x14ac:dyDescent="0.25">
      <c r="A920" s="16"/>
      <c r="B920" s="20" t="b">
        <f ca="1">IFERROR(__xludf.DUMMYFUNCTION("if(D920=iferror(filter('Character Sheet'!D$13:D3002,'Character Sheet'!D$13:D3002=D920),""""),True,False)"),FALSE)</f>
        <v>0</v>
      </c>
      <c r="C920" s="20">
        <v>400</v>
      </c>
      <c r="D920" s="2" t="s">
        <v>2038</v>
      </c>
      <c r="E920" s="2" t="s">
        <v>1093</v>
      </c>
      <c r="F920" s="20" t="s">
        <v>57</v>
      </c>
      <c r="G920" s="2" t="s">
        <v>2039</v>
      </c>
      <c r="H920" s="16"/>
      <c r="I920" s="20"/>
      <c r="J920" s="20"/>
      <c r="K920" s="20"/>
      <c r="L920" s="20"/>
      <c r="M920" s="20"/>
      <c r="N920" s="20"/>
      <c r="O920" s="20"/>
      <c r="P920" s="20"/>
      <c r="Q920" s="20"/>
      <c r="R920" s="20"/>
      <c r="S920" s="20"/>
      <c r="T920" s="20"/>
      <c r="U920" s="20"/>
      <c r="V920" s="20"/>
      <c r="W920" s="20"/>
      <c r="X920" s="20"/>
      <c r="Y920" s="20"/>
      <c r="Z920" s="20"/>
      <c r="AA920" s="20"/>
    </row>
    <row r="921" spans="1:27" ht="208.8" x14ac:dyDescent="0.25">
      <c r="A921" s="16"/>
      <c r="B921" s="20" t="b">
        <f ca="1">IFERROR(__xludf.DUMMYFUNCTION("if(D921=iferror(filter('Character Sheet'!D$13:D3002,'Character Sheet'!D$13:D3002=D921),""""),True,False)"),FALSE)</f>
        <v>0</v>
      </c>
      <c r="C921" s="20">
        <v>400</v>
      </c>
      <c r="D921" s="2" t="s">
        <v>2040</v>
      </c>
      <c r="E921" s="2" t="s">
        <v>610</v>
      </c>
      <c r="F921" s="20" t="s">
        <v>57</v>
      </c>
      <c r="G921" s="2" t="s">
        <v>2041</v>
      </c>
      <c r="H921" s="16"/>
      <c r="I921" s="20"/>
      <c r="J921" s="20"/>
      <c r="K921" s="20"/>
      <c r="L921" s="20"/>
      <c r="M921" s="20"/>
      <c r="N921" s="20"/>
      <c r="O921" s="20"/>
      <c r="P921" s="20"/>
      <c r="Q921" s="20"/>
      <c r="R921" s="20"/>
      <c r="S921" s="20"/>
      <c r="T921" s="20"/>
      <c r="U921" s="20"/>
      <c r="V921" s="20"/>
      <c r="W921" s="20"/>
      <c r="X921" s="20"/>
      <c r="Y921" s="20"/>
      <c r="Z921" s="20"/>
      <c r="AA921" s="20"/>
    </row>
    <row r="922" spans="1:27" ht="121.8" x14ac:dyDescent="0.25">
      <c r="A922" s="16"/>
      <c r="B922" s="20" t="b">
        <f ca="1">IFERROR(__xludf.DUMMYFUNCTION("if(D922=iferror(filter('Character Sheet'!D$13:D3002,'Character Sheet'!D$13:D3002=D922),""""),True,False)"),FALSE)</f>
        <v>0</v>
      </c>
      <c r="C922" s="20">
        <v>400</v>
      </c>
      <c r="D922" s="2" t="s">
        <v>2042</v>
      </c>
      <c r="E922" s="2" t="s">
        <v>225</v>
      </c>
      <c r="F922" s="20" t="s">
        <v>57</v>
      </c>
      <c r="G922" s="2" t="s">
        <v>2043</v>
      </c>
      <c r="H922" s="16"/>
      <c r="I922" s="20"/>
      <c r="J922" s="20"/>
      <c r="K922" s="20"/>
      <c r="L922" s="20"/>
      <c r="M922" s="20"/>
      <c r="N922" s="20"/>
      <c r="O922" s="20"/>
      <c r="P922" s="20"/>
      <c r="Q922" s="20"/>
      <c r="R922" s="20"/>
      <c r="S922" s="20"/>
      <c r="T922" s="20"/>
      <c r="U922" s="20"/>
      <c r="V922" s="20"/>
      <c r="W922" s="20"/>
      <c r="X922" s="20"/>
      <c r="Y922" s="20"/>
      <c r="Z922" s="20"/>
      <c r="AA922" s="20"/>
    </row>
    <row r="923" spans="1:27" ht="365.4" x14ac:dyDescent="0.25">
      <c r="A923" s="16"/>
      <c r="B923" s="20" t="b">
        <f ca="1">IFERROR(__xludf.DUMMYFUNCTION("if(D923=iferror(filter('Character Sheet'!D$13:D3002,'Character Sheet'!D$13:D3002=D923),""""),True,False)"),FALSE)</f>
        <v>0</v>
      </c>
      <c r="C923" s="20">
        <v>500</v>
      </c>
      <c r="D923" s="2" t="s">
        <v>2044</v>
      </c>
      <c r="E923" s="2" t="s">
        <v>265</v>
      </c>
      <c r="F923" s="20" t="s">
        <v>57</v>
      </c>
      <c r="G923" s="2" t="s">
        <v>2045</v>
      </c>
      <c r="H923" s="16"/>
      <c r="I923" s="20"/>
      <c r="J923" s="20"/>
      <c r="K923" s="20"/>
      <c r="L923" s="20"/>
      <c r="M923" s="20"/>
      <c r="N923" s="20"/>
      <c r="O923" s="20"/>
      <c r="P923" s="20"/>
      <c r="Q923" s="20"/>
      <c r="R923" s="20"/>
      <c r="S923" s="20"/>
      <c r="T923" s="20"/>
      <c r="U923" s="20"/>
      <c r="V923" s="20"/>
      <c r="W923" s="20"/>
      <c r="X923" s="20"/>
      <c r="Y923" s="20"/>
      <c r="Z923" s="20"/>
      <c r="AA923" s="20"/>
    </row>
    <row r="924" spans="1:27" ht="87" x14ac:dyDescent="0.25">
      <c r="A924" s="16"/>
      <c r="B924" s="20" t="b">
        <f ca="1">IFERROR(__xludf.DUMMYFUNCTION("if(D924=iferror(filter('Character Sheet'!D$13:D3002,'Character Sheet'!D$13:D3002=D924),""""),True,False)"),FALSE)</f>
        <v>0</v>
      </c>
      <c r="C924" s="20">
        <v>500</v>
      </c>
      <c r="D924" s="2" t="s">
        <v>2046</v>
      </c>
      <c r="E924" s="2" t="s">
        <v>165</v>
      </c>
      <c r="F924" s="20" t="s">
        <v>57</v>
      </c>
      <c r="G924" s="2" t="s">
        <v>2047</v>
      </c>
      <c r="H924" s="16"/>
      <c r="I924" s="20"/>
      <c r="J924" s="20"/>
      <c r="K924" s="20"/>
      <c r="L924" s="20"/>
      <c r="M924" s="20"/>
      <c r="N924" s="20"/>
      <c r="O924" s="20"/>
      <c r="P924" s="20"/>
      <c r="Q924" s="20"/>
      <c r="R924" s="20"/>
      <c r="S924" s="20"/>
      <c r="T924" s="20"/>
      <c r="U924" s="20"/>
      <c r="V924" s="20"/>
      <c r="W924" s="20"/>
      <c r="X924" s="20"/>
      <c r="Y924" s="20"/>
      <c r="Z924" s="20"/>
      <c r="AA924" s="20"/>
    </row>
    <row r="925" spans="1:27" ht="69.599999999999994" x14ac:dyDescent="0.25">
      <c r="A925" s="16"/>
      <c r="B925" s="20" t="b">
        <f ca="1">IFERROR(__xludf.DUMMYFUNCTION("if(D925=iferror(filter('Character Sheet'!D$13:D3002,'Character Sheet'!D$13:D3002=D925),""""),True,False)"),FALSE)</f>
        <v>0</v>
      </c>
      <c r="C925" s="20">
        <v>500</v>
      </c>
      <c r="D925" s="2" t="s">
        <v>2048</v>
      </c>
      <c r="E925" s="2" t="s">
        <v>775</v>
      </c>
      <c r="F925" s="20" t="s">
        <v>57</v>
      </c>
      <c r="G925" s="2" t="s">
        <v>2049</v>
      </c>
      <c r="H925" s="16"/>
      <c r="I925" s="20"/>
      <c r="J925" s="20"/>
      <c r="K925" s="20"/>
      <c r="L925" s="20"/>
      <c r="M925" s="20"/>
      <c r="N925" s="20"/>
      <c r="O925" s="20"/>
      <c r="P925" s="20"/>
      <c r="Q925" s="20"/>
      <c r="R925" s="20"/>
      <c r="S925" s="20"/>
      <c r="T925" s="20"/>
      <c r="U925" s="20"/>
      <c r="V925" s="20"/>
      <c r="W925" s="20"/>
      <c r="X925" s="20"/>
      <c r="Y925" s="20"/>
      <c r="Z925" s="20"/>
      <c r="AA925" s="20"/>
    </row>
    <row r="926" spans="1:27" ht="156.6" x14ac:dyDescent="0.25">
      <c r="A926" s="16"/>
      <c r="B926" s="20" t="b">
        <f ca="1">IFERROR(__xludf.DUMMYFUNCTION("if(D926=iferror(filter('Character Sheet'!D$13:D3002,'Character Sheet'!D$13:D3002=D926),""""),True,False)"),FALSE)</f>
        <v>0</v>
      </c>
      <c r="C926" s="20">
        <v>500</v>
      </c>
      <c r="D926" s="2" t="s">
        <v>2050</v>
      </c>
      <c r="E926" s="2" t="s">
        <v>322</v>
      </c>
      <c r="F926" s="20" t="s">
        <v>57</v>
      </c>
      <c r="G926" s="2" t="s">
        <v>2051</v>
      </c>
      <c r="H926" s="16"/>
      <c r="I926" s="20"/>
      <c r="J926" s="20"/>
      <c r="K926" s="20"/>
      <c r="L926" s="20"/>
      <c r="M926" s="20"/>
      <c r="N926" s="20"/>
      <c r="O926" s="20"/>
      <c r="P926" s="20"/>
      <c r="Q926" s="20"/>
      <c r="R926" s="20"/>
      <c r="S926" s="20"/>
      <c r="T926" s="20"/>
      <c r="U926" s="20"/>
      <c r="V926" s="20"/>
      <c r="W926" s="20"/>
      <c r="X926" s="20"/>
      <c r="Y926" s="20"/>
      <c r="Z926" s="20"/>
      <c r="AA926" s="20"/>
    </row>
    <row r="927" spans="1:27" ht="121.8" x14ac:dyDescent="0.25">
      <c r="A927" s="16"/>
      <c r="B927" s="20" t="b">
        <f ca="1">IFERROR(__xludf.DUMMYFUNCTION("if(D927=iferror(filter('Character Sheet'!D$13:D3002,'Character Sheet'!D$13:D3002=D927),""""),True,False)"),FALSE)</f>
        <v>0</v>
      </c>
      <c r="C927" s="20">
        <v>500</v>
      </c>
      <c r="D927" s="2" t="s">
        <v>2052</v>
      </c>
      <c r="E927" s="2" t="s">
        <v>106</v>
      </c>
      <c r="F927" s="20" t="s">
        <v>57</v>
      </c>
      <c r="G927" s="2" t="s">
        <v>2053</v>
      </c>
      <c r="H927" s="16"/>
      <c r="I927" s="20"/>
      <c r="J927" s="20"/>
      <c r="K927" s="20"/>
      <c r="L927" s="20"/>
      <c r="M927" s="20"/>
      <c r="N927" s="20"/>
      <c r="O927" s="20"/>
      <c r="P927" s="20"/>
      <c r="Q927" s="20"/>
      <c r="R927" s="20"/>
      <c r="S927" s="20"/>
      <c r="T927" s="20"/>
      <c r="U927" s="20"/>
      <c r="V927" s="20"/>
      <c r="W927" s="20"/>
      <c r="X927" s="20"/>
      <c r="Y927" s="20"/>
      <c r="Z927" s="20"/>
      <c r="AA927" s="20"/>
    </row>
    <row r="928" spans="1:27" ht="87" x14ac:dyDescent="0.25">
      <c r="A928" s="16"/>
      <c r="B928" s="20" t="b">
        <f ca="1">IFERROR(__xludf.DUMMYFUNCTION("if(D928=iferror(filter('Character Sheet'!D$13:D3002,'Character Sheet'!D$13:D3002=D928),""""),True,False)"),FALSE)</f>
        <v>0</v>
      </c>
      <c r="C928" s="20">
        <v>500</v>
      </c>
      <c r="D928" s="2" t="s">
        <v>2054</v>
      </c>
      <c r="E928" s="2" t="s">
        <v>325</v>
      </c>
      <c r="F928" s="20" t="s">
        <v>57</v>
      </c>
      <c r="G928" s="2" t="s">
        <v>2055</v>
      </c>
      <c r="H928" s="16"/>
      <c r="I928" s="20"/>
      <c r="J928" s="20"/>
      <c r="K928" s="20"/>
      <c r="L928" s="20"/>
      <c r="M928" s="20"/>
      <c r="N928" s="20"/>
      <c r="O928" s="20"/>
      <c r="P928" s="20"/>
      <c r="Q928" s="20"/>
      <c r="R928" s="20"/>
      <c r="S928" s="20"/>
      <c r="T928" s="20"/>
      <c r="U928" s="20"/>
      <c r="V928" s="20"/>
      <c r="W928" s="20"/>
      <c r="X928" s="20"/>
      <c r="Y928" s="20"/>
      <c r="Z928" s="20"/>
      <c r="AA928" s="20"/>
    </row>
    <row r="929" spans="1:27" ht="121.8" x14ac:dyDescent="0.25">
      <c r="A929" s="16"/>
      <c r="B929" s="20" t="b">
        <f ca="1">IFERROR(__xludf.DUMMYFUNCTION("if(D929=iferror(filter('Character Sheet'!D$13:D3002,'Character Sheet'!D$13:D3002=D929),""""),True,False)"),FALSE)</f>
        <v>0</v>
      </c>
      <c r="C929" s="20">
        <v>500</v>
      </c>
      <c r="D929" s="2" t="s">
        <v>2056</v>
      </c>
      <c r="E929" s="2" t="s">
        <v>282</v>
      </c>
      <c r="F929" s="20" t="s">
        <v>57</v>
      </c>
      <c r="G929" s="2" t="s">
        <v>2057</v>
      </c>
      <c r="H929" s="16"/>
      <c r="I929" s="20"/>
      <c r="J929" s="20"/>
      <c r="K929" s="20"/>
      <c r="L929" s="20"/>
      <c r="M929" s="20"/>
      <c r="N929" s="20"/>
      <c r="O929" s="20"/>
      <c r="P929" s="20"/>
      <c r="Q929" s="20"/>
      <c r="R929" s="20"/>
      <c r="S929" s="20"/>
      <c r="T929" s="20"/>
      <c r="U929" s="20"/>
      <c r="V929" s="20"/>
      <c r="W929" s="20"/>
      <c r="X929" s="20"/>
      <c r="Y929" s="20"/>
      <c r="Z929" s="20"/>
      <c r="AA929" s="20"/>
    </row>
    <row r="930" spans="1:27" ht="156.6" x14ac:dyDescent="0.25">
      <c r="A930" s="16"/>
      <c r="B930" s="20" t="b">
        <f ca="1">IFERROR(__xludf.DUMMYFUNCTION("if(D930=iferror(filter('Character Sheet'!D$13:D3002,'Character Sheet'!D$13:D3002=D930),""""),True,False)"),FALSE)</f>
        <v>0</v>
      </c>
      <c r="C930" s="20">
        <v>500</v>
      </c>
      <c r="D930" s="2" t="s">
        <v>2058</v>
      </c>
      <c r="E930" s="2" t="s">
        <v>435</v>
      </c>
      <c r="F930" s="20" t="s">
        <v>57</v>
      </c>
      <c r="G930" s="2" t="s">
        <v>2059</v>
      </c>
      <c r="H930" s="16"/>
      <c r="I930" s="20"/>
      <c r="J930" s="20"/>
      <c r="K930" s="20"/>
      <c r="L930" s="20"/>
      <c r="M930" s="20"/>
      <c r="N930" s="20"/>
      <c r="O930" s="20"/>
      <c r="P930" s="20"/>
      <c r="Q930" s="20"/>
      <c r="R930" s="20"/>
      <c r="S930" s="20"/>
      <c r="T930" s="20"/>
      <c r="U930" s="20"/>
      <c r="V930" s="20"/>
      <c r="W930" s="20"/>
      <c r="X930" s="20"/>
      <c r="Y930" s="20"/>
      <c r="Z930" s="20"/>
      <c r="AA930" s="20"/>
    </row>
    <row r="931" spans="1:27" ht="191.4" x14ac:dyDescent="0.25">
      <c r="A931" s="16"/>
      <c r="B931" s="20" t="b">
        <f ca="1">IFERROR(__xludf.DUMMYFUNCTION("if(D931=iferror(filter('Character Sheet'!D$13:D3002,'Character Sheet'!D$13:D3002=D931),""""),True,False)"),FALSE)</f>
        <v>0</v>
      </c>
      <c r="C931" s="20">
        <v>500</v>
      </c>
      <c r="D931" s="2" t="s">
        <v>2060</v>
      </c>
      <c r="E931" s="2" t="s">
        <v>350</v>
      </c>
      <c r="F931" s="20" t="s">
        <v>57</v>
      </c>
      <c r="G931" s="2" t="s">
        <v>2061</v>
      </c>
      <c r="H931" s="16"/>
      <c r="I931" s="20"/>
      <c r="J931" s="20"/>
      <c r="K931" s="20"/>
      <c r="L931" s="20"/>
      <c r="M931" s="20"/>
      <c r="N931" s="20"/>
      <c r="O931" s="20"/>
      <c r="P931" s="20"/>
      <c r="Q931" s="20"/>
      <c r="R931" s="20"/>
      <c r="S931" s="20"/>
      <c r="T931" s="20"/>
      <c r="U931" s="20"/>
      <c r="V931" s="20"/>
      <c r="W931" s="20"/>
      <c r="X931" s="20"/>
      <c r="Y931" s="20"/>
      <c r="Z931" s="20"/>
      <c r="AA931" s="20"/>
    </row>
    <row r="932" spans="1:27" ht="174" x14ac:dyDescent="0.25">
      <c r="A932" s="16"/>
      <c r="B932" s="20" t="b">
        <f ca="1">IFERROR(__xludf.DUMMYFUNCTION("if(D932=iferror(filter('Character Sheet'!D$13:D3002,'Character Sheet'!D$13:D3002=D932),""""),True,False)"),FALSE)</f>
        <v>0</v>
      </c>
      <c r="C932" s="20">
        <v>500</v>
      </c>
      <c r="D932" s="2" t="s">
        <v>2062</v>
      </c>
      <c r="E932" s="2" t="s">
        <v>268</v>
      </c>
      <c r="F932" s="20" t="s">
        <v>57</v>
      </c>
      <c r="G932" s="2" t="s">
        <v>2063</v>
      </c>
      <c r="H932" s="16"/>
      <c r="I932" s="20"/>
      <c r="J932" s="20"/>
      <c r="K932" s="20"/>
      <c r="L932" s="20"/>
      <c r="M932" s="20"/>
      <c r="N932" s="20"/>
      <c r="O932" s="20"/>
      <c r="P932" s="20"/>
      <c r="Q932" s="20"/>
      <c r="R932" s="20"/>
      <c r="S932" s="20"/>
      <c r="T932" s="20"/>
      <c r="U932" s="20"/>
      <c r="V932" s="20"/>
      <c r="W932" s="20"/>
      <c r="X932" s="20"/>
      <c r="Y932" s="20"/>
      <c r="Z932" s="20"/>
      <c r="AA932" s="20"/>
    </row>
    <row r="933" spans="1:27" ht="139.19999999999999" x14ac:dyDescent="0.25">
      <c r="A933" s="16"/>
      <c r="B933" s="20" t="b">
        <f ca="1">IFERROR(__xludf.DUMMYFUNCTION("if(D933=iferror(filter('Character Sheet'!D$13:D3002,'Character Sheet'!D$13:D3002=D933),""""),True,False)"),FALSE)</f>
        <v>0</v>
      </c>
      <c r="C933" s="20">
        <v>600</v>
      </c>
      <c r="D933" s="2" t="s">
        <v>2064</v>
      </c>
      <c r="E933" s="2" t="s">
        <v>282</v>
      </c>
      <c r="F933" s="20" t="s">
        <v>57</v>
      </c>
      <c r="G933" s="2" t="s">
        <v>2065</v>
      </c>
      <c r="H933" s="16"/>
      <c r="I933" s="20"/>
      <c r="J933" s="20"/>
      <c r="K933" s="20"/>
      <c r="L933" s="20"/>
      <c r="M933" s="20"/>
      <c r="N933" s="20"/>
      <c r="O933" s="20"/>
      <c r="P933" s="20"/>
      <c r="Q933" s="20"/>
      <c r="R933" s="20"/>
      <c r="S933" s="20"/>
      <c r="T933" s="20"/>
      <c r="U933" s="20"/>
      <c r="V933" s="20"/>
      <c r="W933" s="20"/>
      <c r="X933" s="20"/>
      <c r="Y933" s="20"/>
      <c r="Z933" s="20"/>
      <c r="AA933" s="20"/>
    </row>
    <row r="934" spans="1:27" ht="69.599999999999994" x14ac:dyDescent="0.25">
      <c r="A934" s="16"/>
      <c r="B934" s="20" t="b">
        <f ca="1">IFERROR(__xludf.DUMMYFUNCTION("if(D934=iferror(filter('Character Sheet'!D$13:D3002,'Character Sheet'!D$13:D3002=D934),""""),True,False)"),FALSE)</f>
        <v>0</v>
      </c>
      <c r="C934" s="20">
        <v>600</v>
      </c>
      <c r="D934" s="2" t="s">
        <v>2066</v>
      </c>
      <c r="E934" s="2" t="s">
        <v>253</v>
      </c>
      <c r="F934" s="20" t="s">
        <v>57</v>
      </c>
      <c r="G934" s="2" t="s">
        <v>2067</v>
      </c>
      <c r="H934" s="16"/>
      <c r="I934" s="20"/>
      <c r="J934" s="20"/>
      <c r="K934" s="20"/>
      <c r="L934" s="20"/>
      <c r="M934" s="20"/>
      <c r="N934" s="20"/>
      <c r="O934" s="20"/>
      <c r="P934" s="20"/>
      <c r="Q934" s="20"/>
      <c r="R934" s="20"/>
      <c r="S934" s="20"/>
      <c r="T934" s="20"/>
      <c r="U934" s="20"/>
      <c r="V934" s="20"/>
      <c r="W934" s="20"/>
      <c r="X934" s="20"/>
      <c r="Y934" s="20"/>
      <c r="Z934" s="20"/>
      <c r="AA934" s="20"/>
    </row>
    <row r="935" spans="1:27" ht="174" x14ac:dyDescent="0.25">
      <c r="A935" s="16"/>
      <c r="B935" s="20" t="b">
        <f ca="1">IFERROR(__xludf.DUMMYFUNCTION("if(D935=iferror(filter('Character Sheet'!D$13:D3002,'Character Sheet'!D$13:D3002=D935),""""),True,False)"),FALSE)</f>
        <v>0</v>
      </c>
      <c r="C935" s="20">
        <v>600</v>
      </c>
      <c r="D935" s="2" t="s">
        <v>2068</v>
      </c>
      <c r="E935" s="2" t="s">
        <v>478</v>
      </c>
      <c r="F935" s="20" t="s">
        <v>57</v>
      </c>
      <c r="G935" s="2" t="s">
        <v>2069</v>
      </c>
      <c r="H935" s="16"/>
      <c r="I935" s="20"/>
      <c r="J935" s="20"/>
      <c r="K935" s="20"/>
      <c r="L935" s="20"/>
      <c r="M935" s="20"/>
      <c r="N935" s="20"/>
      <c r="O935" s="20"/>
      <c r="P935" s="20"/>
      <c r="Q935" s="20"/>
      <c r="R935" s="20"/>
      <c r="S935" s="20"/>
      <c r="T935" s="20"/>
      <c r="U935" s="20"/>
      <c r="V935" s="20"/>
      <c r="W935" s="20"/>
      <c r="X935" s="20"/>
      <c r="Y935" s="20"/>
      <c r="Z935" s="20"/>
      <c r="AA935" s="20"/>
    </row>
    <row r="936" spans="1:27" ht="174" x14ac:dyDescent="0.25">
      <c r="A936" s="16"/>
      <c r="B936" s="20" t="b">
        <f ca="1">IFERROR(__xludf.DUMMYFUNCTION("if(D936=iferror(filter('Character Sheet'!D$13:D3002,'Character Sheet'!D$13:D3002=D936),""""),True,False)"),FALSE)</f>
        <v>0</v>
      </c>
      <c r="C936" s="20">
        <v>600</v>
      </c>
      <c r="D936" s="2" t="s">
        <v>2070</v>
      </c>
      <c r="E936" s="2" t="s">
        <v>369</v>
      </c>
      <c r="F936" s="20" t="s">
        <v>57</v>
      </c>
      <c r="G936" s="2" t="s">
        <v>2071</v>
      </c>
      <c r="H936" s="16"/>
      <c r="I936" s="20"/>
      <c r="J936" s="20"/>
      <c r="K936" s="20"/>
      <c r="L936" s="20"/>
      <c r="M936" s="20"/>
      <c r="N936" s="20"/>
      <c r="O936" s="20"/>
      <c r="P936" s="20"/>
      <c r="Q936" s="20"/>
      <c r="R936" s="20"/>
      <c r="S936" s="20"/>
      <c r="T936" s="20"/>
      <c r="U936" s="20"/>
      <c r="V936" s="20"/>
      <c r="W936" s="20"/>
      <c r="X936" s="20"/>
      <c r="Y936" s="20"/>
      <c r="Z936" s="20"/>
      <c r="AA936" s="20"/>
    </row>
    <row r="937" spans="1:27" ht="208.8" x14ac:dyDescent="0.25">
      <c r="A937" s="16"/>
      <c r="B937" s="20" t="b">
        <f ca="1">IFERROR(__xludf.DUMMYFUNCTION("if(D937=iferror(filter('Character Sheet'!D$13:D3002,'Character Sheet'!D$13:D3002=D937),""""),True,False)"),FALSE)</f>
        <v>0</v>
      </c>
      <c r="C937" s="20">
        <v>600</v>
      </c>
      <c r="D937" s="2" t="s">
        <v>2072</v>
      </c>
      <c r="E937" s="2" t="s">
        <v>124</v>
      </c>
      <c r="F937" s="20" t="s">
        <v>57</v>
      </c>
      <c r="G937" s="2" t="s">
        <v>2073</v>
      </c>
      <c r="H937" s="16"/>
      <c r="I937" s="20"/>
      <c r="J937" s="20"/>
      <c r="K937" s="20"/>
      <c r="L937" s="20"/>
      <c r="M937" s="20"/>
      <c r="N937" s="20"/>
      <c r="O937" s="20"/>
      <c r="P937" s="20"/>
      <c r="Q937" s="20"/>
      <c r="R937" s="20"/>
      <c r="S937" s="20"/>
      <c r="T937" s="20"/>
      <c r="U937" s="20"/>
      <c r="V937" s="20"/>
      <c r="W937" s="20"/>
      <c r="X937" s="20"/>
      <c r="Y937" s="20"/>
      <c r="Z937" s="20"/>
      <c r="AA937" s="20"/>
    </row>
    <row r="938" spans="1:27" ht="174" x14ac:dyDescent="0.25">
      <c r="A938" s="16"/>
      <c r="B938" s="20" t="b">
        <f ca="1">IFERROR(__xludf.DUMMYFUNCTION("if(D938=iferror(filter('Character Sheet'!D$13:D3002,'Character Sheet'!D$13:D3002=D938),""""),True,False)"),FALSE)</f>
        <v>0</v>
      </c>
      <c r="C938" s="20">
        <v>600</v>
      </c>
      <c r="D938" s="2" t="s">
        <v>2074</v>
      </c>
      <c r="E938" s="2" t="s">
        <v>750</v>
      </c>
      <c r="F938" s="20" t="s">
        <v>57</v>
      </c>
      <c r="G938" s="2" t="s">
        <v>2075</v>
      </c>
      <c r="H938" s="16"/>
      <c r="I938" s="20"/>
      <c r="J938" s="20"/>
      <c r="K938" s="20"/>
      <c r="L938" s="20"/>
      <c r="M938" s="20"/>
      <c r="N938" s="20"/>
      <c r="O938" s="20"/>
      <c r="P938" s="20"/>
      <c r="Q938" s="20"/>
      <c r="R938" s="20"/>
      <c r="S938" s="20"/>
      <c r="T938" s="20"/>
      <c r="U938" s="20"/>
      <c r="V938" s="20"/>
      <c r="W938" s="20"/>
      <c r="X938" s="20"/>
      <c r="Y938" s="20"/>
      <c r="Z938" s="20"/>
      <c r="AA938" s="20"/>
    </row>
    <row r="939" spans="1:27" ht="69.599999999999994" x14ac:dyDescent="0.25">
      <c r="A939" s="16"/>
      <c r="B939" s="20" t="b">
        <f ca="1">IFERROR(__xludf.DUMMYFUNCTION("if(D939=iferror(filter('Character Sheet'!D$13:D3002,'Character Sheet'!D$13:D3002=D939),""""),True,False)"),FALSE)</f>
        <v>0</v>
      </c>
      <c r="C939" s="20">
        <v>600</v>
      </c>
      <c r="D939" s="2" t="s">
        <v>2076</v>
      </c>
      <c r="E939" s="2" t="s">
        <v>248</v>
      </c>
      <c r="F939" s="20" t="s">
        <v>57</v>
      </c>
      <c r="G939" s="2" t="s">
        <v>2077</v>
      </c>
      <c r="H939" s="16"/>
      <c r="I939" s="20"/>
      <c r="J939" s="20"/>
      <c r="K939" s="20"/>
      <c r="L939" s="20"/>
      <c r="M939" s="20"/>
      <c r="N939" s="20"/>
      <c r="O939" s="20"/>
      <c r="P939" s="20"/>
      <c r="Q939" s="20"/>
      <c r="R939" s="20"/>
      <c r="S939" s="20"/>
      <c r="T939" s="20"/>
      <c r="U939" s="20"/>
      <c r="V939" s="20"/>
      <c r="W939" s="20"/>
      <c r="X939" s="20"/>
      <c r="Y939" s="20"/>
      <c r="Z939" s="20"/>
      <c r="AA939" s="20"/>
    </row>
    <row r="940" spans="1:27" ht="261" x14ac:dyDescent="0.25">
      <c r="A940" s="16"/>
      <c r="B940" s="20" t="b">
        <f ca="1">IFERROR(__xludf.DUMMYFUNCTION("if(D940=iferror(filter('Character Sheet'!D$13:D3002,'Character Sheet'!D$13:D3002=D940),""""),True,False)"),FALSE)</f>
        <v>0</v>
      </c>
      <c r="C940" s="20">
        <v>600</v>
      </c>
      <c r="D940" s="2" t="s">
        <v>2078</v>
      </c>
      <c r="E940" s="2" t="s">
        <v>253</v>
      </c>
      <c r="F940" s="20" t="s">
        <v>57</v>
      </c>
      <c r="G940" s="2" t="s">
        <v>2079</v>
      </c>
      <c r="H940" s="16"/>
      <c r="I940" s="20"/>
      <c r="J940" s="20"/>
      <c r="K940" s="20"/>
      <c r="L940" s="20"/>
      <c r="M940" s="20"/>
      <c r="N940" s="20"/>
      <c r="O940" s="20"/>
      <c r="P940" s="20"/>
      <c r="Q940" s="20"/>
      <c r="R940" s="20"/>
      <c r="S940" s="20"/>
      <c r="T940" s="20"/>
      <c r="U940" s="20"/>
      <c r="V940" s="20"/>
      <c r="W940" s="20"/>
      <c r="X940" s="20"/>
      <c r="Y940" s="20"/>
      <c r="Z940" s="20"/>
      <c r="AA940" s="20"/>
    </row>
    <row r="941" spans="1:27" ht="87" x14ac:dyDescent="0.25">
      <c r="A941" s="16"/>
      <c r="B941" s="20" t="b">
        <f ca="1">IFERROR(__xludf.DUMMYFUNCTION("if(D941=iferror(filter('Character Sheet'!D$13:D3002,'Character Sheet'!D$13:D3002=D941),""""),True,False)"),FALSE)</f>
        <v>0</v>
      </c>
      <c r="C941" s="20">
        <v>600</v>
      </c>
      <c r="D941" s="2" t="s">
        <v>2080</v>
      </c>
      <c r="E941" s="2" t="s">
        <v>534</v>
      </c>
      <c r="F941" s="20" t="s">
        <v>57</v>
      </c>
      <c r="G941" s="2" t="s">
        <v>2081</v>
      </c>
      <c r="H941" s="16"/>
      <c r="I941" s="20"/>
      <c r="J941" s="20"/>
      <c r="K941" s="20"/>
      <c r="L941" s="20"/>
      <c r="M941" s="20"/>
      <c r="N941" s="20"/>
      <c r="O941" s="20"/>
      <c r="P941" s="20"/>
      <c r="Q941" s="20"/>
      <c r="R941" s="20"/>
      <c r="S941" s="20"/>
      <c r="T941" s="20"/>
      <c r="U941" s="20"/>
      <c r="V941" s="20"/>
      <c r="W941" s="20"/>
      <c r="X941" s="20"/>
      <c r="Y941" s="20"/>
      <c r="Z941" s="20"/>
      <c r="AA941" s="20"/>
    </row>
    <row r="942" spans="1:27" ht="69.599999999999994" x14ac:dyDescent="0.25">
      <c r="A942" s="16"/>
      <c r="B942" s="20" t="b">
        <f ca="1">IFERROR(__xludf.DUMMYFUNCTION("if(D942=iferror(filter('Character Sheet'!D$13:D3002,'Character Sheet'!D$13:D3002=D942),""""),True,False)"),FALSE)</f>
        <v>0</v>
      </c>
      <c r="C942" s="20">
        <v>600</v>
      </c>
      <c r="D942" s="2" t="s">
        <v>2082</v>
      </c>
      <c r="E942" s="2" t="s">
        <v>652</v>
      </c>
      <c r="F942" s="20" t="s">
        <v>57</v>
      </c>
      <c r="G942" s="2" t="s">
        <v>2083</v>
      </c>
      <c r="H942" s="16"/>
      <c r="I942" s="20"/>
      <c r="J942" s="20"/>
      <c r="K942" s="20"/>
      <c r="L942" s="20"/>
      <c r="M942" s="20"/>
      <c r="N942" s="20"/>
      <c r="O942" s="20"/>
      <c r="P942" s="20"/>
      <c r="Q942" s="20"/>
      <c r="R942" s="20"/>
      <c r="S942" s="20"/>
      <c r="T942" s="20"/>
      <c r="U942" s="20"/>
      <c r="V942" s="20"/>
      <c r="W942" s="20"/>
      <c r="X942" s="20"/>
      <c r="Y942" s="20"/>
      <c r="Z942" s="20"/>
      <c r="AA942" s="20"/>
    </row>
    <row r="943" spans="1:27" ht="174" x14ac:dyDescent="0.25">
      <c r="A943" s="16"/>
      <c r="B943" s="20" t="b">
        <f ca="1">IFERROR(__xludf.DUMMYFUNCTION("if(D943=iferror(filter('Character Sheet'!D$13:D3002,'Character Sheet'!D$13:D3002=D943),""""),True,False)"),FALSE)</f>
        <v>0</v>
      </c>
      <c r="C943" s="20">
        <v>600</v>
      </c>
      <c r="D943" s="2" t="s">
        <v>2084</v>
      </c>
      <c r="E943" s="2" t="s">
        <v>720</v>
      </c>
      <c r="F943" s="20" t="s">
        <v>57</v>
      </c>
      <c r="G943" s="2" t="s">
        <v>2085</v>
      </c>
      <c r="H943" s="16"/>
      <c r="I943" s="20"/>
      <c r="J943" s="20"/>
      <c r="K943" s="20"/>
      <c r="L943" s="20"/>
      <c r="M943" s="20"/>
      <c r="N943" s="20"/>
      <c r="O943" s="20"/>
      <c r="P943" s="20"/>
      <c r="Q943" s="20"/>
      <c r="R943" s="20"/>
      <c r="S943" s="20"/>
      <c r="T943" s="20"/>
      <c r="U943" s="20"/>
      <c r="V943" s="20"/>
      <c r="W943" s="20"/>
      <c r="X943" s="20"/>
      <c r="Y943" s="20"/>
      <c r="Z943" s="20"/>
      <c r="AA943" s="20"/>
    </row>
    <row r="944" spans="1:27" ht="191.4" x14ac:dyDescent="0.25">
      <c r="A944" s="16"/>
      <c r="B944" s="20" t="b">
        <f ca="1">IFERROR(__xludf.DUMMYFUNCTION("if(D944=iferror(filter('Character Sheet'!D$13:D3002,'Character Sheet'!D$13:D3002=D944),""""),True,False)"),FALSE)</f>
        <v>0</v>
      </c>
      <c r="C944" s="20">
        <v>600</v>
      </c>
      <c r="D944" s="2" t="s">
        <v>2086</v>
      </c>
      <c r="E944" s="2" t="s">
        <v>2014</v>
      </c>
      <c r="F944" s="20" t="s">
        <v>57</v>
      </c>
      <c r="G944" s="2" t="s">
        <v>2087</v>
      </c>
      <c r="H944" s="16"/>
      <c r="I944" s="20"/>
      <c r="J944" s="20"/>
      <c r="K944" s="20"/>
      <c r="L944" s="20"/>
      <c r="M944" s="20"/>
      <c r="N944" s="20"/>
      <c r="O944" s="20"/>
      <c r="P944" s="20"/>
      <c r="Q944" s="20"/>
      <c r="R944" s="20"/>
      <c r="S944" s="20"/>
      <c r="T944" s="20"/>
      <c r="U944" s="20"/>
      <c r="V944" s="20"/>
      <c r="W944" s="20"/>
      <c r="X944" s="20"/>
      <c r="Y944" s="20"/>
      <c r="Z944" s="20"/>
      <c r="AA944" s="20"/>
    </row>
    <row r="945" spans="1:27" ht="121.8" x14ac:dyDescent="0.25">
      <c r="A945" s="16"/>
      <c r="B945" s="20" t="b">
        <f ca="1">IFERROR(__xludf.DUMMYFUNCTION("if(D945=iferror(filter('Character Sheet'!D$13:D3002,'Character Sheet'!D$13:D3002=D945),""""),True,False)"),FALSE)</f>
        <v>0</v>
      </c>
      <c r="C945" s="20">
        <v>600</v>
      </c>
      <c r="D945" s="2" t="s">
        <v>2088</v>
      </c>
      <c r="E945" s="2" t="s">
        <v>1206</v>
      </c>
      <c r="F945" s="20" t="s">
        <v>57</v>
      </c>
      <c r="G945" s="2" t="s">
        <v>2089</v>
      </c>
      <c r="H945" s="16"/>
      <c r="I945" s="20"/>
      <c r="J945" s="20"/>
      <c r="K945" s="20"/>
      <c r="L945" s="20"/>
      <c r="M945" s="20"/>
      <c r="N945" s="20"/>
      <c r="O945" s="20"/>
      <c r="P945" s="20"/>
      <c r="Q945" s="20"/>
      <c r="R945" s="20"/>
      <c r="S945" s="20"/>
      <c r="T945" s="20"/>
      <c r="U945" s="20"/>
      <c r="V945" s="20"/>
      <c r="W945" s="20"/>
      <c r="X945" s="20"/>
      <c r="Y945" s="20"/>
      <c r="Z945" s="20"/>
      <c r="AA945" s="20"/>
    </row>
    <row r="946" spans="1:27" ht="226.2" x14ac:dyDescent="0.25">
      <c r="A946" s="16"/>
      <c r="B946" s="20" t="b">
        <f ca="1">IFERROR(__xludf.DUMMYFUNCTION("if(D946=iferror(filter('Character Sheet'!D$13:D3002,'Character Sheet'!D$13:D3002=D946),""""),True,False)"),FALSE)</f>
        <v>0</v>
      </c>
      <c r="C946" s="20">
        <v>600</v>
      </c>
      <c r="D946" s="2" t="s">
        <v>2090</v>
      </c>
      <c r="E946" s="2" t="s">
        <v>253</v>
      </c>
      <c r="F946" s="20" t="s">
        <v>57</v>
      </c>
      <c r="G946" s="2" t="s">
        <v>2091</v>
      </c>
      <c r="H946" s="16"/>
      <c r="I946" s="20"/>
      <c r="J946" s="20"/>
      <c r="K946" s="20"/>
      <c r="L946" s="20"/>
      <c r="M946" s="20"/>
      <c r="N946" s="20"/>
      <c r="O946" s="20"/>
      <c r="P946" s="20"/>
      <c r="Q946" s="20"/>
      <c r="R946" s="20"/>
      <c r="S946" s="20"/>
      <c r="T946" s="20"/>
      <c r="U946" s="20"/>
      <c r="V946" s="20"/>
      <c r="W946" s="20"/>
      <c r="X946" s="20"/>
      <c r="Y946" s="20"/>
      <c r="Z946" s="20"/>
      <c r="AA946" s="20"/>
    </row>
    <row r="947" spans="1:27" ht="208.8" x14ac:dyDescent="0.25">
      <c r="A947" s="16"/>
      <c r="B947" s="20" t="b">
        <f ca="1">IFERROR(__xludf.DUMMYFUNCTION("if(D947=iferror(filter('Character Sheet'!D$13:D3002,'Character Sheet'!D$13:D3002=D947),""""),True,False)"),FALSE)</f>
        <v>0</v>
      </c>
      <c r="C947" s="20">
        <v>600</v>
      </c>
      <c r="D947" s="2" t="s">
        <v>2092</v>
      </c>
      <c r="E947" s="2" t="s">
        <v>413</v>
      </c>
      <c r="F947" s="20" t="s">
        <v>57</v>
      </c>
      <c r="G947" s="2" t="s">
        <v>2093</v>
      </c>
      <c r="H947" s="16"/>
      <c r="I947" s="20"/>
      <c r="J947" s="20"/>
      <c r="K947" s="20"/>
      <c r="L947" s="20"/>
      <c r="M947" s="20"/>
      <c r="N947" s="20"/>
      <c r="O947" s="20"/>
      <c r="P947" s="20"/>
      <c r="Q947" s="20"/>
      <c r="R947" s="20"/>
      <c r="S947" s="20"/>
      <c r="T947" s="20"/>
      <c r="U947" s="20"/>
      <c r="V947" s="20"/>
      <c r="W947" s="20"/>
      <c r="X947" s="20"/>
      <c r="Y947" s="20"/>
      <c r="Z947" s="20"/>
      <c r="AA947" s="20"/>
    </row>
    <row r="948" spans="1:27" ht="261" x14ac:dyDescent="0.25">
      <c r="A948" s="16"/>
      <c r="B948" s="20" t="b">
        <f ca="1">IFERROR(__xludf.DUMMYFUNCTION("if(D948=iferror(filter('Character Sheet'!D$13:D3002,'Character Sheet'!D$13:D3002=D948),""""),True,False)"),FALSE)</f>
        <v>0</v>
      </c>
      <c r="C948" s="20">
        <v>600</v>
      </c>
      <c r="D948" s="2" t="s">
        <v>2094</v>
      </c>
      <c r="E948" s="2" t="s">
        <v>1015</v>
      </c>
      <c r="F948" s="20" t="s">
        <v>57</v>
      </c>
      <c r="G948" s="2" t="s">
        <v>2095</v>
      </c>
      <c r="H948" s="16"/>
      <c r="I948" s="20"/>
      <c r="J948" s="20"/>
      <c r="K948" s="20"/>
      <c r="L948" s="20"/>
      <c r="M948" s="20"/>
      <c r="N948" s="20"/>
      <c r="O948" s="20"/>
      <c r="P948" s="20"/>
      <c r="Q948" s="20"/>
      <c r="R948" s="20"/>
      <c r="S948" s="20"/>
      <c r="T948" s="20"/>
      <c r="U948" s="20"/>
      <c r="V948" s="20"/>
      <c r="W948" s="20"/>
      <c r="X948" s="20"/>
      <c r="Y948" s="20"/>
      <c r="Z948" s="20"/>
      <c r="AA948" s="20"/>
    </row>
    <row r="949" spans="1:27" ht="104.4" x14ac:dyDescent="0.25">
      <c r="A949" s="16"/>
      <c r="B949" s="20" t="b">
        <f ca="1">IFERROR(__xludf.DUMMYFUNCTION("if(D949=iferror(filter('Character Sheet'!D$13:D3002,'Character Sheet'!D$13:D3002=D949),""""),True,False)"),FALSE)</f>
        <v>0</v>
      </c>
      <c r="C949" s="20">
        <v>600</v>
      </c>
      <c r="D949" s="2" t="s">
        <v>2096</v>
      </c>
      <c r="E949" s="2" t="s">
        <v>475</v>
      </c>
      <c r="F949" s="20" t="s">
        <v>57</v>
      </c>
      <c r="G949" s="2" t="s">
        <v>2097</v>
      </c>
      <c r="H949" s="16"/>
      <c r="I949" s="20"/>
      <c r="J949" s="20"/>
      <c r="K949" s="20"/>
      <c r="L949" s="20"/>
      <c r="M949" s="20"/>
      <c r="N949" s="20"/>
      <c r="O949" s="20"/>
      <c r="P949" s="20"/>
      <c r="Q949" s="20"/>
      <c r="R949" s="20"/>
      <c r="S949" s="20"/>
      <c r="T949" s="20"/>
      <c r="U949" s="20"/>
      <c r="V949" s="20"/>
      <c r="W949" s="20"/>
      <c r="X949" s="20"/>
      <c r="Y949" s="20"/>
      <c r="Z949" s="20"/>
      <c r="AA949" s="20"/>
    </row>
    <row r="950" spans="1:27" ht="191.4" x14ac:dyDescent="0.25">
      <c r="A950" s="16"/>
      <c r="B950" s="20" t="b">
        <f ca="1">IFERROR(__xludf.DUMMYFUNCTION("if(D950=iferror(filter('Character Sheet'!D$13:D3002,'Character Sheet'!D$13:D3002=D950),""""),True,False)"),FALSE)</f>
        <v>0</v>
      </c>
      <c r="C950" s="20">
        <v>700</v>
      </c>
      <c r="D950" s="2" t="s">
        <v>2098</v>
      </c>
      <c r="E950" s="2" t="s">
        <v>521</v>
      </c>
      <c r="F950" s="20" t="s">
        <v>57</v>
      </c>
      <c r="G950" s="2" t="s">
        <v>2099</v>
      </c>
      <c r="H950" s="16"/>
      <c r="I950" s="20"/>
      <c r="J950" s="20"/>
      <c r="K950" s="20"/>
      <c r="L950" s="20"/>
      <c r="M950" s="20"/>
      <c r="N950" s="20"/>
      <c r="O950" s="20"/>
      <c r="P950" s="20"/>
      <c r="Q950" s="20"/>
      <c r="R950" s="20"/>
      <c r="S950" s="20"/>
      <c r="T950" s="20"/>
      <c r="U950" s="20"/>
      <c r="V950" s="20"/>
      <c r="W950" s="20"/>
      <c r="X950" s="20"/>
      <c r="Y950" s="20"/>
      <c r="Z950" s="20"/>
      <c r="AA950" s="20"/>
    </row>
    <row r="951" spans="1:27" ht="365.4" x14ac:dyDescent="0.25">
      <c r="A951" s="16"/>
      <c r="B951" s="20" t="b">
        <f ca="1">IFERROR(__xludf.DUMMYFUNCTION("if(D951=iferror(filter('Character Sheet'!D$13:D3002,'Character Sheet'!D$13:D3002=D951),""""),True,False)"),FALSE)</f>
        <v>0</v>
      </c>
      <c r="C951" s="20">
        <v>700</v>
      </c>
      <c r="D951" s="2" t="s">
        <v>2100</v>
      </c>
      <c r="E951" s="2" t="s">
        <v>848</v>
      </c>
      <c r="F951" s="20" t="s">
        <v>57</v>
      </c>
      <c r="G951" s="2" t="s">
        <v>2101</v>
      </c>
      <c r="H951" s="16"/>
      <c r="I951" s="20"/>
      <c r="J951" s="20"/>
      <c r="K951" s="20"/>
      <c r="L951" s="20"/>
      <c r="M951" s="20"/>
      <c r="N951" s="20"/>
      <c r="O951" s="20"/>
      <c r="P951" s="20"/>
      <c r="Q951" s="20"/>
      <c r="R951" s="20"/>
      <c r="S951" s="20"/>
      <c r="T951" s="20"/>
      <c r="U951" s="20"/>
      <c r="V951" s="20"/>
      <c r="W951" s="20"/>
      <c r="X951" s="20"/>
      <c r="Y951" s="20"/>
      <c r="Z951" s="20"/>
      <c r="AA951" s="20"/>
    </row>
    <row r="952" spans="1:27" ht="191.4" x14ac:dyDescent="0.25">
      <c r="A952" s="16"/>
      <c r="B952" s="20" t="b">
        <f ca="1">IFERROR(__xludf.DUMMYFUNCTION("if(D952=iferror(filter('Character Sheet'!D$13:D3002,'Character Sheet'!D$13:D3002=D952),""""),True,False)"),FALSE)</f>
        <v>0</v>
      </c>
      <c r="C952" s="20">
        <v>800</v>
      </c>
      <c r="D952" s="2" t="s">
        <v>2102</v>
      </c>
      <c r="E952" s="2" t="s">
        <v>334</v>
      </c>
      <c r="F952" s="20" t="s">
        <v>57</v>
      </c>
      <c r="G952" s="2" t="s">
        <v>2103</v>
      </c>
      <c r="H952" s="16"/>
      <c r="I952" s="20"/>
      <c r="J952" s="20"/>
      <c r="K952" s="20"/>
      <c r="L952" s="20"/>
      <c r="M952" s="20"/>
      <c r="N952" s="20"/>
      <c r="O952" s="20"/>
      <c r="P952" s="20"/>
      <c r="Q952" s="20"/>
      <c r="R952" s="20"/>
      <c r="S952" s="20"/>
      <c r="T952" s="20"/>
      <c r="U952" s="20"/>
      <c r="V952" s="20"/>
      <c r="W952" s="20"/>
      <c r="X952" s="20"/>
      <c r="Y952" s="20"/>
      <c r="Z952" s="20"/>
      <c r="AA952" s="20"/>
    </row>
    <row r="953" spans="1:27" ht="243.6" x14ac:dyDescent="0.25">
      <c r="A953" s="16"/>
      <c r="B953" s="20" t="b">
        <f ca="1">IFERROR(__xludf.DUMMYFUNCTION("if(D953=iferror(filter('Character Sheet'!D$13:D3002,'Character Sheet'!D$13:D3002=D953),""""),True,False)"),FALSE)</f>
        <v>0</v>
      </c>
      <c r="C953" s="20">
        <v>100</v>
      </c>
      <c r="D953" s="2" t="s">
        <v>2104</v>
      </c>
      <c r="E953" s="2" t="s">
        <v>371</v>
      </c>
      <c r="F953" s="20" t="s">
        <v>58</v>
      </c>
      <c r="G953" s="2" t="s">
        <v>2105</v>
      </c>
      <c r="H953" s="16"/>
      <c r="I953" s="20"/>
      <c r="J953" s="20"/>
      <c r="K953" s="20"/>
      <c r="L953" s="20"/>
      <c r="M953" s="20"/>
      <c r="N953" s="20"/>
      <c r="O953" s="20"/>
      <c r="P953" s="20"/>
      <c r="Q953" s="20"/>
      <c r="R953" s="20"/>
      <c r="S953" s="20"/>
      <c r="T953" s="20"/>
      <c r="U953" s="20"/>
      <c r="V953" s="20"/>
      <c r="W953" s="20"/>
      <c r="X953" s="20"/>
      <c r="Y953" s="20"/>
      <c r="Z953" s="20"/>
      <c r="AA953" s="20"/>
    </row>
    <row r="954" spans="1:27" ht="104.4" x14ac:dyDescent="0.25">
      <c r="A954" s="16"/>
      <c r="B954" s="20" t="b">
        <f ca="1">IFERROR(__xludf.DUMMYFUNCTION("if(D954=iferror(filter('Character Sheet'!D$13:D3002,'Character Sheet'!D$13:D3002=D954),""""),True,False)"),FALSE)</f>
        <v>0</v>
      </c>
      <c r="C954" s="20">
        <v>100</v>
      </c>
      <c r="D954" s="2" t="s">
        <v>2106</v>
      </c>
      <c r="E954" s="2" t="s">
        <v>109</v>
      </c>
      <c r="F954" s="20" t="s">
        <v>58</v>
      </c>
      <c r="G954" s="2" t="s">
        <v>2107</v>
      </c>
      <c r="H954" s="16"/>
      <c r="I954" s="20"/>
      <c r="J954" s="20"/>
      <c r="K954" s="20"/>
      <c r="L954" s="20"/>
      <c r="M954" s="20"/>
      <c r="N954" s="20"/>
      <c r="O954" s="20"/>
      <c r="P954" s="20"/>
      <c r="Q954" s="20"/>
      <c r="R954" s="20"/>
      <c r="S954" s="20"/>
      <c r="T954" s="20"/>
      <c r="U954" s="20"/>
      <c r="V954" s="20"/>
      <c r="W954" s="20"/>
      <c r="X954" s="20"/>
      <c r="Y954" s="20"/>
      <c r="Z954" s="20"/>
      <c r="AA954" s="20"/>
    </row>
    <row r="955" spans="1:27" ht="52.2" x14ac:dyDescent="0.25">
      <c r="A955" s="16"/>
      <c r="B955" s="20" t="b">
        <f ca="1">IFERROR(__xludf.DUMMYFUNCTION("if(D955=iferror(filter('Character Sheet'!D$13:D3002,'Character Sheet'!D$13:D3002=D955),""""),True,False)"),FALSE)</f>
        <v>0</v>
      </c>
      <c r="C955" s="20">
        <v>200</v>
      </c>
      <c r="D955" s="2" t="s">
        <v>2108</v>
      </c>
      <c r="E955" s="2" t="s">
        <v>344</v>
      </c>
      <c r="F955" s="20" t="s">
        <v>58</v>
      </c>
      <c r="G955" s="2" t="s">
        <v>2109</v>
      </c>
      <c r="H955" s="16"/>
      <c r="I955" s="20"/>
      <c r="J955" s="20"/>
      <c r="K955" s="20"/>
      <c r="L955" s="20"/>
      <c r="M955" s="20"/>
      <c r="N955" s="20"/>
      <c r="O955" s="20"/>
      <c r="P955" s="20"/>
      <c r="Q955" s="20"/>
      <c r="R955" s="20"/>
      <c r="S955" s="20"/>
      <c r="T955" s="20"/>
      <c r="U955" s="20"/>
      <c r="V955" s="20"/>
      <c r="W955" s="20"/>
      <c r="X955" s="20"/>
      <c r="Y955" s="20"/>
      <c r="Z955" s="20"/>
      <c r="AA955" s="20"/>
    </row>
    <row r="956" spans="1:27" ht="87" x14ac:dyDescent="0.25">
      <c r="A956" s="16"/>
      <c r="B956" s="20" t="b">
        <f ca="1">IFERROR(__xludf.DUMMYFUNCTION("if(D956=iferror(filter('Character Sheet'!D$13:D3002,'Character Sheet'!D$13:D3002=D956),""""),True,False)"),FALSE)</f>
        <v>0</v>
      </c>
      <c r="C956" s="20">
        <v>200</v>
      </c>
      <c r="D956" s="2" t="s">
        <v>2110</v>
      </c>
      <c r="E956" s="2" t="s">
        <v>325</v>
      </c>
      <c r="F956" s="20" t="s">
        <v>58</v>
      </c>
      <c r="G956" s="2" t="s">
        <v>2111</v>
      </c>
      <c r="H956" s="16"/>
      <c r="I956" s="20"/>
      <c r="J956" s="20"/>
      <c r="K956" s="20"/>
      <c r="L956" s="20"/>
      <c r="M956" s="20"/>
      <c r="N956" s="20"/>
      <c r="O956" s="20"/>
      <c r="P956" s="20"/>
      <c r="Q956" s="20"/>
      <c r="R956" s="20"/>
      <c r="S956" s="20"/>
      <c r="T956" s="20"/>
      <c r="U956" s="20"/>
      <c r="V956" s="20"/>
      <c r="W956" s="20"/>
      <c r="X956" s="20"/>
      <c r="Y956" s="20"/>
      <c r="Z956" s="20"/>
      <c r="AA956" s="20"/>
    </row>
    <row r="957" spans="1:27" ht="87" x14ac:dyDescent="0.25">
      <c r="A957" s="16"/>
      <c r="B957" s="20" t="b">
        <f ca="1">IFERROR(__xludf.DUMMYFUNCTION("if(D957=iferror(filter('Character Sheet'!D$13:D3002,'Character Sheet'!D$13:D3002=D957),""""),True,False)"),FALSE)</f>
        <v>0</v>
      </c>
      <c r="C957" s="20">
        <v>200</v>
      </c>
      <c r="D957" s="2" t="s">
        <v>2112</v>
      </c>
      <c r="E957" s="2" t="s">
        <v>425</v>
      </c>
      <c r="F957" s="20" t="s">
        <v>58</v>
      </c>
      <c r="G957" s="2" t="s">
        <v>2113</v>
      </c>
      <c r="H957" s="16"/>
      <c r="I957" s="20"/>
      <c r="J957" s="20"/>
      <c r="K957" s="20"/>
      <c r="L957" s="20"/>
      <c r="M957" s="20"/>
      <c r="N957" s="20"/>
      <c r="O957" s="20"/>
      <c r="P957" s="20"/>
      <c r="Q957" s="20"/>
      <c r="R957" s="20"/>
      <c r="S957" s="20"/>
      <c r="T957" s="20"/>
      <c r="U957" s="20"/>
      <c r="V957" s="20"/>
      <c r="W957" s="20"/>
      <c r="X957" s="20"/>
      <c r="Y957" s="20"/>
      <c r="Z957" s="20"/>
      <c r="AA957" s="20"/>
    </row>
    <row r="958" spans="1:27" ht="191.4" x14ac:dyDescent="0.25">
      <c r="A958" s="16"/>
      <c r="B958" s="20" t="b">
        <f ca="1">IFERROR(__xludf.DUMMYFUNCTION("if(D958=iferror(filter('Character Sheet'!D$13:D3002,'Character Sheet'!D$13:D3002=D958),""""),True,False)"),FALSE)</f>
        <v>0</v>
      </c>
      <c r="C958" s="20">
        <v>200</v>
      </c>
      <c r="D958" s="2" t="s">
        <v>2114</v>
      </c>
      <c r="E958" s="2" t="s">
        <v>265</v>
      </c>
      <c r="F958" s="20" t="s">
        <v>58</v>
      </c>
      <c r="G958" s="2" t="s">
        <v>2115</v>
      </c>
      <c r="H958" s="16"/>
      <c r="I958" s="20"/>
      <c r="J958" s="20"/>
      <c r="K958" s="20"/>
      <c r="L958" s="20"/>
      <c r="M958" s="20"/>
      <c r="N958" s="20"/>
      <c r="O958" s="20"/>
      <c r="P958" s="20"/>
      <c r="Q958" s="20"/>
      <c r="R958" s="20"/>
      <c r="S958" s="20"/>
      <c r="T958" s="20"/>
      <c r="U958" s="20"/>
      <c r="V958" s="20"/>
      <c r="W958" s="20"/>
      <c r="X958" s="20"/>
      <c r="Y958" s="20"/>
      <c r="Z958" s="20"/>
      <c r="AA958" s="20"/>
    </row>
    <row r="959" spans="1:27" ht="191.4" x14ac:dyDescent="0.25">
      <c r="A959" s="16"/>
      <c r="B959" s="20" t="b">
        <f ca="1">IFERROR(__xludf.DUMMYFUNCTION("if(D959=iferror(filter('Character Sheet'!D$13:D3002,'Character Sheet'!D$13:D3002=D959),""""),True,False)"),FALSE)</f>
        <v>0</v>
      </c>
      <c r="C959" s="20">
        <v>200</v>
      </c>
      <c r="D959" s="2" t="s">
        <v>2116</v>
      </c>
      <c r="E959" s="2" t="s">
        <v>75</v>
      </c>
      <c r="F959" s="20" t="s">
        <v>58</v>
      </c>
      <c r="G959" s="2" t="s">
        <v>2117</v>
      </c>
      <c r="H959" s="16"/>
      <c r="I959" s="20"/>
      <c r="J959" s="20"/>
      <c r="K959" s="20"/>
      <c r="L959" s="20"/>
      <c r="M959" s="20"/>
      <c r="N959" s="20"/>
      <c r="O959" s="20"/>
      <c r="P959" s="20"/>
      <c r="Q959" s="20"/>
      <c r="R959" s="20"/>
      <c r="S959" s="20"/>
      <c r="T959" s="20"/>
      <c r="U959" s="20"/>
      <c r="V959" s="20"/>
      <c r="W959" s="20"/>
      <c r="X959" s="20"/>
      <c r="Y959" s="20"/>
      <c r="Z959" s="20"/>
      <c r="AA959" s="20"/>
    </row>
    <row r="960" spans="1:27" ht="313.2" x14ac:dyDescent="0.25">
      <c r="A960" s="16"/>
      <c r="B960" s="20" t="b">
        <f ca="1">IFERROR(__xludf.DUMMYFUNCTION("if(D960=iferror(filter('Character Sheet'!D$13:D3002,'Character Sheet'!D$13:D3002=D960),""""),True,False)"),FALSE)</f>
        <v>0</v>
      </c>
      <c r="C960" s="20">
        <v>200</v>
      </c>
      <c r="D960" s="2" t="s">
        <v>2118</v>
      </c>
      <c r="E960" s="20" t="s">
        <v>291</v>
      </c>
      <c r="F960" s="20" t="s">
        <v>58</v>
      </c>
      <c r="G960" s="2" t="s">
        <v>2119</v>
      </c>
      <c r="H960" s="16"/>
      <c r="I960" s="20"/>
      <c r="J960" s="20"/>
      <c r="K960" s="20"/>
      <c r="L960" s="20"/>
      <c r="M960" s="20"/>
      <c r="N960" s="20"/>
      <c r="O960" s="20"/>
      <c r="P960" s="20"/>
      <c r="Q960" s="20"/>
      <c r="R960" s="20"/>
      <c r="S960" s="20"/>
      <c r="T960" s="20"/>
      <c r="U960" s="20"/>
      <c r="V960" s="20"/>
      <c r="W960" s="20"/>
      <c r="X960" s="20"/>
      <c r="Y960" s="20"/>
      <c r="Z960" s="20"/>
      <c r="AA960" s="20"/>
    </row>
    <row r="961" spans="1:27" ht="121.8" x14ac:dyDescent="0.25">
      <c r="A961" s="16"/>
      <c r="B961" s="20" t="b">
        <f ca="1">IFERROR(__xludf.DUMMYFUNCTION("if(D961=iferror(filter('Character Sheet'!D$13:D3002,'Character Sheet'!D$13:D3002=D961),""""),True,False)"),FALSE)</f>
        <v>0</v>
      </c>
      <c r="C961" s="20">
        <v>200</v>
      </c>
      <c r="D961" s="2" t="s">
        <v>2120</v>
      </c>
      <c r="E961" s="2" t="s">
        <v>69</v>
      </c>
      <c r="F961" s="20" t="s">
        <v>58</v>
      </c>
      <c r="G961" s="2" t="s">
        <v>2121</v>
      </c>
      <c r="H961" s="16"/>
      <c r="I961" s="20"/>
      <c r="J961" s="20"/>
      <c r="K961" s="20"/>
      <c r="L961" s="20"/>
      <c r="M961" s="20"/>
      <c r="N961" s="20"/>
      <c r="O961" s="20"/>
      <c r="P961" s="20"/>
      <c r="Q961" s="20"/>
      <c r="R961" s="20"/>
      <c r="S961" s="20"/>
      <c r="T961" s="20"/>
      <c r="U961" s="20"/>
      <c r="V961" s="20"/>
      <c r="W961" s="20"/>
      <c r="X961" s="20"/>
      <c r="Y961" s="20"/>
      <c r="Z961" s="20"/>
      <c r="AA961" s="20"/>
    </row>
    <row r="962" spans="1:27" ht="295.8" x14ac:dyDescent="0.25">
      <c r="A962" s="16"/>
      <c r="B962" s="20" t="b">
        <f ca="1">IFERROR(__xludf.DUMMYFUNCTION("if(D962=iferror(filter('Character Sheet'!D$13:D3002,'Character Sheet'!D$13:D3002=D962),""""),True,False)"),FALSE)</f>
        <v>0</v>
      </c>
      <c r="C962" s="20">
        <v>300</v>
      </c>
      <c r="D962" s="2" t="s">
        <v>2122</v>
      </c>
      <c r="E962" s="2" t="s">
        <v>265</v>
      </c>
      <c r="F962" s="20" t="s">
        <v>58</v>
      </c>
      <c r="G962" s="2" t="s">
        <v>2123</v>
      </c>
      <c r="H962" s="16"/>
      <c r="I962" s="20"/>
      <c r="J962" s="20"/>
      <c r="K962" s="20"/>
      <c r="L962" s="20"/>
      <c r="M962" s="20"/>
      <c r="N962" s="20"/>
      <c r="O962" s="20"/>
      <c r="P962" s="20"/>
      <c r="Q962" s="20"/>
      <c r="R962" s="20"/>
      <c r="S962" s="20"/>
      <c r="T962" s="20"/>
      <c r="U962" s="20"/>
      <c r="V962" s="20"/>
      <c r="W962" s="20"/>
      <c r="X962" s="20"/>
      <c r="Y962" s="20"/>
      <c r="Z962" s="20"/>
      <c r="AA962" s="20"/>
    </row>
    <row r="963" spans="1:27" ht="69.599999999999994" x14ac:dyDescent="0.25">
      <c r="A963" s="16"/>
      <c r="B963" s="20" t="b">
        <f ca="1">IFERROR(__xludf.DUMMYFUNCTION("if(D963=iferror(filter('Character Sheet'!D$13:D3002,'Character Sheet'!D$13:D3002=D963),""""),True,False)"),FALSE)</f>
        <v>0</v>
      </c>
      <c r="C963" s="20">
        <v>300</v>
      </c>
      <c r="D963" s="2" t="s">
        <v>2124</v>
      </c>
      <c r="E963" s="2" t="s">
        <v>1693</v>
      </c>
      <c r="F963" s="20" t="s">
        <v>58</v>
      </c>
      <c r="G963" s="2" t="s">
        <v>2125</v>
      </c>
      <c r="H963" s="16"/>
      <c r="I963" s="20"/>
      <c r="J963" s="20"/>
      <c r="K963" s="20"/>
      <c r="L963" s="20"/>
      <c r="M963" s="20"/>
      <c r="N963" s="20"/>
      <c r="O963" s="20"/>
      <c r="P963" s="20"/>
      <c r="Q963" s="20"/>
      <c r="R963" s="20"/>
      <c r="S963" s="20"/>
      <c r="T963" s="20"/>
      <c r="U963" s="20"/>
      <c r="V963" s="20"/>
      <c r="W963" s="20"/>
      <c r="X963" s="20"/>
      <c r="Y963" s="20"/>
      <c r="Z963" s="20"/>
      <c r="AA963" s="20"/>
    </row>
    <row r="964" spans="1:27" ht="174" x14ac:dyDescent="0.25">
      <c r="A964" s="16"/>
      <c r="B964" s="20" t="b">
        <f ca="1">IFERROR(__xludf.DUMMYFUNCTION("if(D964=iferror(filter('Character Sheet'!D$13:D3002,'Character Sheet'!D$13:D3002=D964),""""),True,False)"),FALSE)</f>
        <v>0</v>
      </c>
      <c r="C964" s="20">
        <v>300</v>
      </c>
      <c r="D964" s="2" t="s">
        <v>2126</v>
      </c>
      <c r="E964" s="2" t="s">
        <v>124</v>
      </c>
      <c r="F964" s="20" t="s">
        <v>58</v>
      </c>
      <c r="G964" s="2" t="s">
        <v>2127</v>
      </c>
      <c r="H964" s="16"/>
      <c r="I964" s="20"/>
      <c r="J964" s="20"/>
      <c r="K964" s="20"/>
      <c r="L964" s="20"/>
      <c r="M964" s="20"/>
      <c r="N964" s="20"/>
      <c r="O964" s="20"/>
      <c r="P964" s="20"/>
      <c r="Q964" s="20"/>
      <c r="R964" s="20"/>
      <c r="S964" s="20"/>
      <c r="T964" s="20"/>
      <c r="U964" s="20"/>
      <c r="V964" s="20"/>
      <c r="W964" s="20"/>
      <c r="X964" s="20"/>
      <c r="Y964" s="20"/>
      <c r="Z964" s="20"/>
      <c r="AA964" s="20"/>
    </row>
    <row r="965" spans="1:27" ht="156.6" x14ac:dyDescent="0.25">
      <c r="A965" s="16"/>
      <c r="B965" s="20" t="b">
        <f ca="1">IFERROR(__xludf.DUMMYFUNCTION("if(D965=iferror(filter('Character Sheet'!D$13:D3002,'Character Sheet'!D$13:D3002=D965),""""),True,False)"),FALSE)</f>
        <v>0</v>
      </c>
      <c r="C965" s="20">
        <v>300</v>
      </c>
      <c r="D965" s="2" t="s">
        <v>2128</v>
      </c>
      <c r="E965" s="2" t="s">
        <v>344</v>
      </c>
      <c r="F965" s="20" t="s">
        <v>58</v>
      </c>
      <c r="G965" s="2" t="s">
        <v>2129</v>
      </c>
      <c r="H965" s="16"/>
      <c r="I965" s="20"/>
      <c r="J965" s="20"/>
      <c r="K965" s="20"/>
      <c r="L965" s="20"/>
      <c r="M965" s="20"/>
      <c r="N965" s="20"/>
      <c r="O965" s="20"/>
      <c r="P965" s="20"/>
      <c r="Q965" s="20"/>
      <c r="R965" s="20"/>
      <c r="S965" s="20"/>
      <c r="T965" s="20"/>
      <c r="U965" s="20"/>
      <c r="V965" s="20"/>
      <c r="W965" s="20"/>
      <c r="X965" s="20"/>
      <c r="Y965" s="20"/>
      <c r="Z965" s="20"/>
      <c r="AA965" s="20"/>
    </row>
    <row r="966" spans="1:27" ht="121.8" x14ac:dyDescent="0.25">
      <c r="A966" s="16"/>
      <c r="B966" s="20" t="b">
        <f ca="1">IFERROR(__xludf.DUMMYFUNCTION("if(D966=iferror(filter('Character Sheet'!D$13:D3002,'Character Sheet'!D$13:D3002=D966),""""),True,False)"),FALSE)</f>
        <v>0</v>
      </c>
      <c r="C966" s="20">
        <v>300</v>
      </c>
      <c r="D966" s="2" t="s">
        <v>2130</v>
      </c>
      <c r="E966" s="2" t="s">
        <v>93</v>
      </c>
      <c r="F966" s="20" t="s">
        <v>58</v>
      </c>
      <c r="G966" s="2" t="s">
        <v>2131</v>
      </c>
      <c r="H966" s="16"/>
      <c r="I966" s="20"/>
      <c r="J966" s="20"/>
      <c r="K966" s="20"/>
      <c r="L966" s="20"/>
      <c r="M966" s="20"/>
      <c r="N966" s="20"/>
      <c r="O966" s="20"/>
      <c r="P966" s="20"/>
      <c r="Q966" s="20"/>
      <c r="R966" s="20"/>
      <c r="S966" s="20"/>
      <c r="T966" s="20"/>
      <c r="U966" s="20"/>
      <c r="V966" s="20"/>
      <c r="W966" s="20"/>
      <c r="X966" s="20"/>
      <c r="Y966" s="20"/>
      <c r="Z966" s="20"/>
      <c r="AA966" s="20"/>
    </row>
    <row r="967" spans="1:27" ht="104.4" x14ac:dyDescent="0.25">
      <c r="A967" s="16"/>
      <c r="B967" s="20" t="b">
        <f ca="1">IFERROR(__xludf.DUMMYFUNCTION("if(D967=iferror(filter('Character Sheet'!D$13:D3002,'Character Sheet'!D$13:D3002=D967),""""),True,False)"),FALSE)</f>
        <v>0</v>
      </c>
      <c r="C967" s="20">
        <v>400</v>
      </c>
      <c r="D967" s="2" t="s">
        <v>2132</v>
      </c>
      <c r="E967" s="2" t="s">
        <v>514</v>
      </c>
      <c r="F967" s="20" t="s">
        <v>58</v>
      </c>
      <c r="G967" s="2" t="s">
        <v>2133</v>
      </c>
      <c r="H967" s="16"/>
      <c r="I967" s="20"/>
      <c r="J967" s="20"/>
      <c r="K967" s="20"/>
      <c r="L967" s="20"/>
      <c r="M967" s="20"/>
      <c r="N967" s="20"/>
      <c r="O967" s="20"/>
      <c r="P967" s="20"/>
      <c r="Q967" s="20"/>
      <c r="R967" s="20"/>
      <c r="S967" s="20"/>
      <c r="T967" s="20"/>
      <c r="U967" s="20"/>
      <c r="V967" s="20"/>
      <c r="W967" s="20"/>
      <c r="X967" s="20"/>
      <c r="Y967" s="20"/>
      <c r="Z967" s="20"/>
      <c r="AA967" s="20"/>
    </row>
    <row r="968" spans="1:27" ht="409.6" x14ac:dyDescent="0.25">
      <c r="A968" s="16"/>
      <c r="B968" s="20" t="b">
        <f ca="1">IFERROR(__xludf.DUMMYFUNCTION("if(D968=iferror(filter('Character Sheet'!D$13:D3002,'Character Sheet'!D$13:D3002=D968),""""),True,False)"),FALSE)</f>
        <v>0</v>
      </c>
      <c r="C968" s="20">
        <v>400</v>
      </c>
      <c r="D968" s="2" t="s">
        <v>2134</v>
      </c>
      <c r="E968" s="2" t="s">
        <v>230</v>
      </c>
      <c r="F968" s="20" t="s">
        <v>58</v>
      </c>
      <c r="G968" s="2" t="s">
        <v>2135</v>
      </c>
      <c r="H968" s="16"/>
      <c r="I968" s="20"/>
      <c r="J968" s="20"/>
      <c r="K968" s="20"/>
      <c r="L968" s="20"/>
      <c r="M968" s="20"/>
      <c r="N968" s="20"/>
      <c r="O968" s="20"/>
      <c r="P968" s="20"/>
      <c r="Q968" s="20"/>
      <c r="R968" s="20"/>
      <c r="S968" s="20"/>
      <c r="T968" s="20"/>
      <c r="U968" s="20"/>
      <c r="V968" s="20"/>
      <c r="W968" s="20"/>
      <c r="X968" s="20"/>
      <c r="Y968" s="20"/>
      <c r="Z968" s="20"/>
      <c r="AA968" s="20"/>
    </row>
    <row r="969" spans="1:27" ht="87" x14ac:dyDescent="0.25">
      <c r="A969" s="16"/>
      <c r="B969" s="20" t="b">
        <f ca="1">IFERROR(__xludf.DUMMYFUNCTION("if(D969=iferror(filter('Character Sheet'!D$13:D3002,'Character Sheet'!D$13:D3002=D969),""""),True,False)"),FALSE)</f>
        <v>0</v>
      </c>
      <c r="C969" s="20">
        <v>400</v>
      </c>
      <c r="D969" s="2" t="s">
        <v>2136</v>
      </c>
      <c r="E969" s="2" t="s">
        <v>378</v>
      </c>
      <c r="F969" s="20" t="s">
        <v>58</v>
      </c>
      <c r="G969" s="2" t="s">
        <v>2137</v>
      </c>
      <c r="H969" s="16"/>
      <c r="I969" s="20"/>
      <c r="J969" s="20"/>
      <c r="K969" s="20"/>
      <c r="L969" s="20"/>
      <c r="M969" s="20"/>
      <c r="N969" s="20"/>
      <c r="O969" s="20"/>
      <c r="P969" s="20"/>
      <c r="Q969" s="20"/>
      <c r="R969" s="20"/>
      <c r="S969" s="20"/>
      <c r="T969" s="20"/>
      <c r="U969" s="20"/>
      <c r="V969" s="20"/>
      <c r="W969" s="20"/>
      <c r="X969" s="20"/>
      <c r="Y969" s="20"/>
      <c r="Z969" s="20"/>
      <c r="AA969" s="20"/>
    </row>
    <row r="970" spans="1:27" ht="174" x14ac:dyDescent="0.25">
      <c r="A970" s="16"/>
      <c r="B970" s="20" t="b">
        <f ca="1">IFERROR(__xludf.DUMMYFUNCTION("if(D970=iferror(filter('Character Sheet'!D$13:D3002,'Character Sheet'!D$13:D3002=D970),""""),True,False)"),FALSE)</f>
        <v>0</v>
      </c>
      <c r="C970" s="20">
        <v>400</v>
      </c>
      <c r="D970" s="2" t="s">
        <v>2138</v>
      </c>
      <c r="E970" s="2" t="s">
        <v>815</v>
      </c>
      <c r="F970" s="20" t="s">
        <v>58</v>
      </c>
      <c r="G970" s="2" t="s">
        <v>2139</v>
      </c>
      <c r="H970" s="16"/>
      <c r="I970" s="20"/>
      <c r="J970" s="20"/>
      <c r="K970" s="20"/>
      <c r="L970" s="20"/>
      <c r="M970" s="20"/>
      <c r="N970" s="20"/>
      <c r="O970" s="20"/>
      <c r="P970" s="20"/>
      <c r="Q970" s="20"/>
      <c r="R970" s="20"/>
      <c r="S970" s="20"/>
      <c r="T970" s="20"/>
      <c r="U970" s="20"/>
      <c r="V970" s="20"/>
      <c r="W970" s="20"/>
      <c r="X970" s="20"/>
      <c r="Y970" s="20"/>
      <c r="Z970" s="20"/>
      <c r="AA970" s="20"/>
    </row>
    <row r="971" spans="1:27" ht="139.19999999999999" x14ac:dyDescent="0.25">
      <c r="A971" s="16"/>
      <c r="B971" s="20" t="b">
        <f ca="1">IFERROR(__xludf.DUMMYFUNCTION("if(D971=iferror(filter('Character Sheet'!D$13:D3002,'Character Sheet'!D$13:D3002=D971),""""),True,False)"),FALSE)</f>
        <v>0</v>
      </c>
      <c r="C971" s="20">
        <v>400</v>
      </c>
      <c r="D971" s="2" t="s">
        <v>2140</v>
      </c>
      <c r="E971" s="2" t="s">
        <v>87</v>
      </c>
      <c r="F971" s="20" t="s">
        <v>58</v>
      </c>
      <c r="G971" s="2" t="s">
        <v>2141</v>
      </c>
      <c r="H971" s="16"/>
      <c r="I971" s="20"/>
      <c r="J971" s="20"/>
      <c r="K971" s="20"/>
      <c r="L971" s="20"/>
      <c r="M971" s="20"/>
      <c r="N971" s="20"/>
      <c r="O971" s="20"/>
      <c r="P971" s="20"/>
      <c r="Q971" s="20"/>
      <c r="R971" s="20"/>
      <c r="S971" s="20"/>
      <c r="T971" s="20"/>
      <c r="U971" s="20"/>
      <c r="V971" s="20"/>
      <c r="W971" s="20"/>
      <c r="X971" s="20"/>
      <c r="Y971" s="20"/>
      <c r="Z971" s="20"/>
      <c r="AA971" s="20"/>
    </row>
    <row r="972" spans="1:27" ht="156.6" x14ac:dyDescent="0.25">
      <c r="A972" s="16"/>
      <c r="B972" s="20" t="b">
        <f ca="1">IFERROR(__xludf.DUMMYFUNCTION("if(D972=iferror(filter('Character Sheet'!D$13:D3002,'Character Sheet'!D$13:D3002=D972),""""),True,False)"),FALSE)</f>
        <v>0</v>
      </c>
      <c r="C972" s="20">
        <v>400</v>
      </c>
      <c r="D972" s="2" t="s">
        <v>2142</v>
      </c>
      <c r="E972" s="2" t="s">
        <v>369</v>
      </c>
      <c r="F972" s="20" t="s">
        <v>58</v>
      </c>
      <c r="G972" s="2" t="s">
        <v>2143</v>
      </c>
      <c r="H972" s="16"/>
      <c r="I972" s="20"/>
      <c r="J972" s="20"/>
      <c r="K972" s="20"/>
      <c r="L972" s="20"/>
      <c r="M972" s="20"/>
      <c r="N972" s="20"/>
      <c r="O972" s="20"/>
      <c r="P972" s="20"/>
      <c r="Q972" s="20"/>
      <c r="R972" s="20"/>
      <c r="S972" s="20"/>
      <c r="T972" s="20"/>
      <c r="U972" s="20"/>
      <c r="V972" s="20"/>
      <c r="W972" s="20"/>
      <c r="X972" s="20"/>
      <c r="Y972" s="20"/>
      <c r="Z972" s="20"/>
      <c r="AA972" s="20"/>
    </row>
    <row r="973" spans="1:27" ht="121.8" x14ac:dyDescent="0.25">
      <c r="A973" s="16"/>
      <c r="B973" s="20" t="b">
        <f ca="1">IFERROR(__xludf.DUMMYFUNCTION("if(D973=iferror(filter('Character Sheet'!D$13:D3002,'Character Sheet'!D$13:D3002=D973),""""),True,False)"),FALSE)</f>
        <v>0</v>
      </c>
      <c r="C973" s="20">
        <v>400</v>
      </c>
      <c r="D973" s="2" t="s">
        <v>2144</v>
      </c>
      <c r="E973" s="2" t="s">
        <v>772</v>
      </c>
      <c r="F973" s="20" t="s">
        <v>58</v>
      </c>
      <c r="G973" s="2" t="s">
        <v>2145</v>
      </c>
      <c r="H973" s="16"/>
      <c r="I973" s="20"/>
      <c r="J973" s="20"/>
      <c r="K973" s="20"/>
      <c r="L973" s="20"/>
      <c r="M973" s="20"/>
      <c r="N973" s="20"/>
      <c r="O973" s="20"/>
      <c r="P973" s="20"/>
      <c r="Q973" s="20"/>
      <c r="R973" s="20"/>
      <c r="S973" s="20"/>
      <c r="T973" s="20"/>
      <c r="U973" s="20"/>
      <c r="V973" s="20"/>
      <c r="W973" s="20"/>
      <c r="X973" s="20"/>
      <c r="Y973" s="20"/>
      <c r="Z973" s="20"/>
      <c r="AA973" s="20"/>
    </row>
    <row r="974" spans="1:27" ht="156.6" x14ac:dyDescent="0.25">
      <c r="A974" s="16"/>
      <c r="B974" s="20" t="b">
        <f ca="1">IFERROR(__xludf.DUMMYFUNCTION("if(D974=iferror(filter('Character Sheet'!D$13:D3002,'Character Sheet'!D$13:D3002=D974),""""),True,False)"),FALSE)</f>
        <v>0</v>
      </c>
      <c r="C974" s="20">
        <v>400</v>
      </c>
      <c r="D974" s="2" t="s">
        <v>2146</v>
      </c>
      <c r="E974" s="2" t="s">
        <v>863</v>
      </c>
      <c r="F974" s="20" t="s">
        <v>58</v>
      </c>
      <c r="G974" s="2" t="s">
        <v>2147</v>
      </c>
      <c r="H974" s="16"/>
      <c r="I974" s="20"/>
      <c r="J974" s="20"/>
      <c r="K974" s="20"/>
      <c r="L974" s="20"/>
      <c r="M974" s="20"/>
      <c r="N974" s="20"/>
      <c r="O974" s="20"/>
      <c r="P974" s="20"/>
      <c r="Q974" s="20"/>
      <c r="R974" s="20"/>
      <c r="S974" s="20"/>
      <c r="T974" s="20"/>
      <c r="U974" s="20"/>
      <c r="V974" s="20"/>
      <c r="W974" s="20"/>
      <c r="X974" s="20"/>
      <c r="Y974" s="20"/>
      <c r="Z974" s="20"/>
      <c r="AA974" s="20"/>
    </row>
    <row r="975" spans="1:27" ht="243.6" x14ac:dyDescent="0.25">
      <c r="A975" s="16"/>
      <c r="B975" s="20" t="b">
        <f ca="1">IFERROR(__xludf.DUMMYFUNCTION("if(D975=iferror(filter('Character Sheet'!D$13:D3002,'Character Sheet'!D$13:D3002=D975),""""),True,False)"),FALSE)</f>
        <v>0</v>
      </c>
      <c r="C975" s="20">
        <v>400</v>
      </c>
      <c r="D975" s="2" t="s">
        <v>2148</v>
      </c>
      <c r="E975" s="2" t="s">
        <v>124</v>
      </c>
      <c r="F975" s="20" t="s">
        <v>58</v>
      </c>
      <c r="G975" s="2" t="s">
        <v>2149</v>
      </c>
      <c r="H975" s="16"/>
      <c r="I975" s="20"/>
      <c r="J975" s="20"/>
      <c r="K975" s="20"/>
      <c r="L975" s="20"/>
      <c r="M975" s="20"/>
      <c r="N975" s="20"/>
      <c r="O975" s="20"/>
      <c r="P975" s="20"/>
      <c r="Q975" s="20"/>
      <c r="R975" s="20"/>
      <c r="S975" s="20"/>
      <c r="T975" s="20"/>
      <c r="U975" s="20"/>
      <c r="V975" s="20"/>
      <c r="W975" s="20"/>
      <c r="X975" s="20"/>
      <c r="Y975" s="20"/>
      <c r="Z975" s="20"/>
      <c r="AA975" s="20"/>
    </row>
    <row r="976" spans="1:27" ht="174" x14ac:dyDescent="0.25">
      <c r="A976" s="16"/>
      <c r="B976" s="20" t="b">
        <f ca="1">IFERROR(__xludf.DUMMYFUNCTION("if(D976=iferror(filter('Character Sheet'!D$13:D3002,'Character Sheet'!D$13:D3002=D976),""""),True,False)"),FALSE)</f>
        <v>0</v>
      </c>
      <c r="C976" s="20">
        <v>400</v>
      </c>
      <c r="D976" s="2" t="s">
        <v>2150</v>
      </c>
      <c r="E976" s="2" t="s">
        <v>576</v>
      </c>
      <c r="F976" s="20" t="s">
        <v>58</v>
      </c>
      <c r="G976" s="2" t="s">
        <v>2151</v>
      </c>
      <c r="H976" s="16"/>
      <c r="I976" s="20"/>
      <c r="J976" s="20"/>
      <c r="K976" s="20"/>
      <c r="L976" s="20"/>
      <c r="M976" s="20"/>
      <c r="N976" s="20"/>
      <c r="O976" s="20"/>
      <c r="P976" s="20"/>
      <c r="Q976" s="20"/>
      <c r="R976" s="20"/>
      <c r="S976" s="20"/>
      <c r="T976" s="20"/>
      <c r="U976" s="20"/>
      <c r="V976" s="20"/>
      <c r="W976" s="20"/>
      <c r="X976" s="20"/>
      <c r="Y976" s="20"/>
      <c r="Z976" s="20"/>
      <c r="AA976" s="20"/>
    </row>
    <row r="977" spans="1:27" ht="139.19999999999999" x14ac:dyDescent="0.25">
      <c r="A977" s="16"/>
      <c r="B977" s="20" t="b">
        <f ca="1">IFERROR(__xludf.DUMMYFUNCTION("if(D977=iferror(filter('Character Sheet'!D$13:D3002,'Character Sheet'!D$13:D3002=D977),""""),True,False)"),FALSE)</f>
        <v>0</v>
      </c>
      <c r="C977" s="20">
        <v>400</v>
      </c>
      <c r="D977" s="2" t="s">
        <v>2152</v>
      </c>
      <c r="E977" s="2" t="s">
        <v>750</v>
      </c>
      <c r="F977" s="20" t="s">
        <v>58</v>
      </c>
      <c r="G977" s="2" t="s">
        <v>2153</v>
      </c>
      <c r="H977" s="16"/>
      <c r="I977" s="20"/>
      <c r="J977" s="20"/>
      <c r="K977" s="20"/>
      <c r="L977" s="20"/>
      <c r="M977" s="20"/>
      <c r="N977" s="20"/>
      <c r="O977" s="20"/>
      <c r="P977" s="20"/>
      <c r="Q977" s="20"/>
      <c r="R977" s="20"/>
      <c r="S977" s="20"/>
      <c r="T977" s="20"/>
      <c r="U977" s="20"/>
      <c r="V977" s="20"/>
      <c r="W977" s="20"/>
      <c r="X977" s="20"/>
      <c r="Y977" s="20"/>
      <c r="Z977" s="20"/>
      <c r="AA977" s="20"/>
    </row>
    <row r="978" spans="1:27" ht="261" x14ac:dyDescent="0.25">
      <c r="A978" s="16"/>
      <c r="B978" s="20" t="b">
        <f ca="1">IFERROR(__xludf.DUMMYFUNCTION("if(D978=iferror(filter('Character Sheet'!D$13:D3002,'Character Sheet'!D$13:D3002=D978),""""),True,False)"),TRUE)</f>
        <v>1</v>
      </c>
      <c r="C978" s="20">
        <v>400</v>
      </c>
      <c r="D978" s="2" t="s">
        <v>45</v>
      </c>
      <c r="E978" s="2" t="s">
        <v>265</v>
      </c>
      <c r="F978" s="20" t="s">
        <v>58</v>
      </c>
      <c r="G978" s="2" t="s">
        <v>2154</v>
      </c>
      <c r="H978" s="16"/>
      <c r="I978" s="20"/>
      <c r="J978" s="20"/>
      <c r="K978" s="20"/>
      <c r="L978" s="20"/>
      <c r="M978" s="20"/>
      <c r="N978" s="20"/>
      <c r="O978" s="20"/>
      <c r="P978" s="20"/>
      <c r="Q978" s="20"/>
      <c r="R978" s="20"/>
      <c r="S978" s="20"/>
      <c r="T978" s="20"/>
      <c r="U978" s="20"/>
      <c r="V978" s="20"/>
      <c r="W978" s="20"/>
      <c r="X978" s="20"/>
      <c r="Y978" s="20"/>
      <c r="Z978" s="20"/>
      <c r="AA978" s="20"/>
    </row>
    <row r="979" spans="1:27" ht="208.8" x14ac:dyDescent="0.25">
      <c r="A979" s="16"/>
      <c r="B979" s="20" t="b">
        <f ca="1">IFERROR(__xludf.DUMMYFUNCTION("if(D979=iferror(filter('Character Sheet'!D$13:D3002,'Character Sheet'!D$13:D3002=D979),""""),True,False)"),FALSE)</f>
        <v>0</v>
      </c>
      <c r="C979" s="20">
        <v>500</v>
      </c>
      <c r="D979" s="2" t="s">
        <v>2155</v>
      </c>
      <c r="E979" s="2" t="s">
        <v>268</v>
      </c>
      <c r="F979" s="20" t="s">
        <v>58</v>
      </c>
      <c r="G979" s="2" t="s">
        <v>2156</v>
      </c>
      <c r="H979" s="16"/>
      <c r="I979" s="20"/>
      <c r="J979" s="20"/>
      <c r="K979" s="20"/>
      <c r="L979" s="20"/>
      <c r="M979" s="20"/>
      <c r="N979" s="20"/>
      <c r="O979" s="20"/>
      <c r="P979" s="20"/>
      <c r="Q979" s="20"/>
      <c r="R979" s="20"/>
      <c r="S979" s="20"/>
      <c r="T979" s="20"/>
      <c r="U979" s="20"/>
      <c r="V979" s="20"/>
      <c r="W979" s="20"/>
      <c r="X979" s="20"/>
      <c r="Y979" s="20"/>
      <c r="Z979" s="20"/>
      <c r="AA979" s="20"/>
    </row>
    <row r="980" spans="1:27" ht="261" x14ac:dyDescent="0.25">
      <c r="A980" s="16"/>
      <c r="B980" s="20" t="b">
        <f ca="1">IFERROR(__xludf.DUMMYFUNCTION("if(D980=iferror(filter('Character Sheet'!D$13:D3002,'Character Sheet'!D$13:D3002=D980),""""),True,False)"),FALSE)</f>
        <v>0</v>
      </c>
      <c r="C980" s="20">
        <v>600</v>
      </c>
      <c r="D980" s="2" t="s">
        <v>2157</v>
      </c>
      <c r="E980" s="2" t="s">
        <v>124</v>
      </c>
      <c r="F980" s="20" t="s">
        <v>58</v>
      </c>
      <c r="G980" s="2" t="s">
        <v>2158</v>
      </c>
      <c r="H980" s="16"/>
      <c r="I980" s="20"/>
      <c r="J980" s="20"/>
      <c r="K980" s="20"/>
      <c r="L980" s="20"/>
      <c r="M980" s="20"/>
      <c r="N980" s="20"/>
      <c r="O980" s="20"/>
      <c r="P980" s="20"/>
      <c r="Q980" s="20"/>
      <c r="R980" s="20"/>
      <c r="S980" s="20"/>
      <c r="T980" s="20"/>
      <c r="U980" s="20"/>
      <c r="V980" s="20"/>
      <c r="W980" s="20"/>
      <c r="X980" s="20"/>
      <c r="Y980" s="20"/>
      <c r="Z980" s="20"/>
      <c r="AA980" s="20"/>
    </row>
    <row r="981" spans="1:27" ht="191.4" x14ac:dyDescent="0.25">
      <c r="A981" s="16"/>
      <c r="B981" s="20" t="b">
        <f ca="1">IFERROR(__xludf.DUMMYFUNCTION("if(D981=iferror(filter('Character Sheet'!D$13:D3002,'Character Sheet'!D$13:D3002=D981),""""),True,False)"),FALSE)</f>
        <v>0</v>
      </c>
      <c r="C981" s="20">
        <v>600</v>
      </c>
      <c r="D981" s="2" t="s">
        <v>2159</v>
      </c>
      <c r="E981" s="2" t="s">
        <v>825</v>
      </c>
      <c r="F981" s="20" t="s">
        <v>58</v>
      </c>
      <c r="G981" s="2" t="s">
        <v>2160</v>
      </c>
      <c r="H981" s="16"/>
      <c r="I981" s="20"/>
      <c r="J981" s="20"/>
      <c r="K981" s="20"/>
      <c r="L981" s="20"/>
      <c r="M981" s="20"/>
      <c r="N981" s="20"/>
      <c r="O981" s="20"/>
      <c r="P981" s="20"/>
      <c r="Q981" s="20"/>
      <c r="R981" s="20"/>
      <c r="S981" s="20"/>
      <c r="T981" s="20"/>
      <c r="U981" s="20"/>
      <c r="V981" s="20"/>
      <c r="W981" s="20"/>
      <c r="X981" s="20"/>
      <c r="Y981" s="20"/>
      <c r="Z981" s="20"/>
      <c r="AA981" s="20"/>
    </row>
    <row r="982" spans="1:27" ht="295.8" x14ac:dyDescent="0.25">
      <c r="A982" s="16"/>
      <c r="B982" s="20" t="b">
        <f ca="1">IFERROR(__xludf.DUMMYFUNCTION("if(D982=iferror(filter('Character Sheet'!D$13:D3002,'Character Sheet'!D$13:D3002=D982),""""),True,False)"),FALSE)</f>
        <v>0</v>
      </c>
      <c r="C982" s="20">
        <v>600</v>
      </c>
      <c r="D982" s="2" t="s">
        <v>2161</v>
      </c>
      <c r="E982" s="20" t="s">
        <v>291</v>
      </c>
      <c r="F982" s="20" t="s">
        <v>58</v>
      </c>
      <c r="G982" s="2" t="s">
        <v>2162</v>
      </c>
      <c r="H982" s="16"/>
      <c r="I982" s="20"/>
      <c r="J982" s="20"/>
      <c r="K982" s="20"/>
      <c r="L982" s="20"/>
      <c r="M982" s="20"/>
      <c r="N982" s="20"/>
      <c r="O982" s="20"/>
      <c r="P982" s="20"/>
      <c r="Q982" s="20"/>
      <c r="R982" s="20"/>
      <c r="S982" s="20"/>
      <c r="T982" s="20"/>
      <c r="U982" s="20"/>
      <c r="V982" s="20"/>
      <c r="W982" s="20"/>
      <c r="X982" s="20"/>
      <c r="Y982" s="20"/>
      <c r="Z982" s="20"/>
      <c r="AA982" s="20"/>
    </row>
    <row r="983" spans="1:27" ht="174" x14ac:dyDescent="0.25">
      <c r="A983" s="16"/>
      <c r="B983" s="20" t="b">
        <f ca="1">IFERROR(__xludf.DUMMYFUNCTION("if(D983=iferror(filter('Character Sheet'!D$13:D3002,'Character Sheet'!D$13:D3002=D983),""""),True,False)"),FALSE)</f>
        <v>0</v>
      </c>
      <c r="C983" s="20">
        <v>600</v>
      </c>
      <c r="D983" s="2" t="s">
        <v>2163</v>
      </c>
      <c r="E983" s="2" t="s">
        <v>122</v>
      </c>
      <c r="F983" s="20" t="s">
        <v>58</v>
      </c>
      <c r="G983" s="2" t="s">
        <v>2164</v>
      </c>
      <c r="H983" s="16"/>
      <c r="I983" s="20"/>
      <c r="J983" s="20"/>
      <c r="K983" s="20"/>
      <c r="L983" s="20"/>
      <c r="M983" s="20"/>
      <c r="N983" s="20"/>
      <c r="O983" s="20"/>
      <c r="P983" s="20"/>
      <c r="Q983" s="20"/>
      <c r="R983" s="20"/>
      <c r="S983" s="20"/>
      <c r="T983" s="20"/>
      <c r="U983" s="20"/>
      <c r="V983" s="20"/>
      <c r="W983" s="20"/>
      <c r="X983" s="20"/>
      <c r="Y983" s="20"/>
      <c r="Z983" s="20"/>
      <c r="AA983" s="20"/>
    </row>
    <row r="984" spans="1:27" ht="191.4" x14ac:dyDescent="0.25">
      <c r="A984" s="16"/>
      <c r="B984" s="20" t="b">
        <f ca="1">IFERROR(__xludf.DUMMYFUNCTION("if(D984=iferror(filter('Character Sheet'!D$13:D3002,'Character Sheet'!D$13:D3002=D984),""""),True,False)"),FALSE)</f>
        <v>0</v>
      </c>
      <c r="C984" s="20">
        <v>600</v>
      </c>
      <c r="D984" s="20" t="s">
        <v>2165</v>
      </c>
      <c r="E984" s="2" t="s">
        <v>845</v>
      </c>
      <c r="F984" s="20" t="s">
        <v>58</v>
      </c>
      <c r="G984" s="2" t="s">
        <v>2166</v>
      </c>
      <c r="H984" s="16"/>
      <c r="I984" s="20"/>
      <c r="J984" s="20"/>
      <c r="K984" s="20"/>
      <c r="L984" s="20"/>
      <c r="M984" s="20"/>
      <c r="N984" s="20"/>
      <c r="O984" s="20"/>
      <c r="P984" s="20"/>
      <c r="Q984" s="20"/>
      <c r="R984" s="20"/>
      <c r="S984" s="20"/>
      <c r="T984" s="20"/>
      <c r="U984" s="20"/>
      <c r="V984" s="20"/>
      <c r="W984" s="20"/>
      <c r="X984" s="20"/>
      <c r="Y984" s="20"/>
      <c r="Z984" s="20"/>
      <c r="AA984" s="20"/>
    </row>
    <row r="985" spans="1:27" ht="174" x14ac:dyDescent="0.25">
      <c r="A985" s="16"/>
      <c r="B985" s="20" t="b">
        <f ca="1">IFERROR(__xludf.DUMMYFUNCTION("if(D985=iferror(filter('Character Sheet'!D$13:D3002,'Character Sheet'!D$13:D3002=D985),""""),True,False)"),FALSE)</f>
        <v>0</v>
      </c>
      <c r="C985" s="20">
        <v>600</v>
      </c>
      <c r="D985" s="2" t="s">
        <v>2167</v>
      </c>
      <c r="E985" s="2" t="s">
        <v>720</v>
      </c>
      <c r="F985" s="20" t="s">
        <v>58</v>
      </c>
      <c r="G985" s="2" t="s">
        <v>2168</v>
      </c>
      <c r="H985" s="16"/>
      <c r="I985" s="20"/>
      <c r="J985" s="20"/>
      <c r="K985" s="20"/>
      <c r="L985" s="20"/>
      <c r="M985" s="20"/>
      <c r="N985" s="20"/>
      <c r="O985" s="20"/>
      <c r="P985" s="20"/>
      <c r="Q985" s="20"/>
      <c r="R985" s="20"/>
      <c r="S985" s="20"/>
      <c r="T985" s="20"/>
      <c r="U985" s="20"/>
      <c r="V985" s="20"/>
      <c r="W985" s="20"/>
      <c r="X985" s="20"/>
      <c r="Y985" s="20"/>
      <c r="Z985" s="20"/>
      <c r="AA985" s="20"/>
    </row>
    <row r="986" spans="1:27" ht="87" x14ac:dyDescent="0.25">
      <c r="A986" s="16"/>
      <c r="B986" s="20" t="b">
        <f ca="1">IFERROR(__xludf.DUMMYFUNCTION("if(D986=iferror(filter('Character Sheet'!D$13:D3002,'Character Sheet'!D$13:D3002=D986),""""),True,False)"),FALSE)</f>
        <v>0</v>
      </c>
      <c r="C986" s="20">
        <v>600</v>
      </c>
      <c r="D986" s="2" t="s">
        <v>2169</v>
      </c>
      <c r="E986" s="2" t="s">
        <v>173</v>
      </c>
      <c r="F986" s="20" t="s">
        <v>58</v>
      </c>
      <c r="G986" s="2" t="s">
        <v>2170</v>
      </c>
      <c r="H986" s="16"/>
      <c r="I986" s="20"/>
      <c r="J986" s="20"/>
      <c r="K986" s="20"/>
      <c r="L986" s="20"/>
      <c r="M986" s="20"/>
      <c r="N986" s="20"/>
      <c r="O986" s="20"/>
      <c r="P986" s="20"/>
      <c r="Q986" s="20"/>
      <c r="R986" s="20"/>
      <c r="S986" s="20"/>
      <c r="T986" s="20"/>
      <c r="U986" s="20"/>
      <c r="V986" s="20"/>
      <c r="W986" s="20"/>
      <c r="X986" s="20"/>
      <c r="Y986" s="20"/>
      <c r="Z986" s="20"/>
      <c r="AA986" s="20"/>
    </row>
    <row r="987" spans="1:27" ht="156.6" x14ac:dyDescent="0.25">
      <c r="A987" s="16"/>
      <c r="B987" s="20" t="b">
        <f ca="1">IFERROR(__xludf.DUMMYFUNCTION("if(D987=iferror(filter('Character Sheet'!D$13:D3002,'Character Sheet'!D$13:D3002=D987),""""),True,False)"),FALSE)</f>
        <v>0</v>
      </c>
      <c r="C987" s="20">
        <v>600</v>
      </c>
      <c r="D987" s="2" t="s">
        <v>2171</v>
      </c>
      <c r="E987" s="2" t="s">
        <v>369</v>
      </c>
      <c r="F987" s="20" t="s">
        <v>58</v>
      </c>
      <c r="G987" s="2" t="s">
        <v>2172</v>
      </c>
      <c r="H987" s="16"/>
      <c r="I987" s="20"/>
      <c r="J987" s="20"/>
      <c r="K987" s="20"/>
      <c r="L987" s="20"/>
      <c r="M987" s="20"/>
      <c r="N987" s="20"/>
      <c r="O987" s="20"/>
      <c r="P987" s="20"/>
      <c r="Q987" s="20"/>
      <c r="R987" s="20"/>
      <c r="S987" s="20"/>
      <c r="T987" s="20"/>
      <c r="U987" s="20"/>
      <c r="V987" s="20"/>
      <c r="W987" s="20"/>
      <c r="X987" s="20"/>
      <c r="Y987" s="20"/>
      <c r="Z987" s="20"/>
      <c r="AA987" s="20"/>
    </row>
    <row r="988" spans="1:27" ht="156.6" x14ac:dyDescent="0.25">
      <c r="A988" s="16"/>
      <c r="B988" s="20" t="b">
        <f ca="1">IFERROR(__xludf.DUMMYFUNCTION("if(D988=iferror(filter('Character Sheet'!D$13:D3002,'Character Sheet'!D$13:D3002=D988),""""),True,False)"),FALSE)</f>
        <v>0</v>
      </c>
      <c r="C988" s="20">
        <v>600</v>
      </c>
      <c r="D988" s="2" t="s">
        <v>2173</v>
      </c>
      <c r="E988" s="2" t="s">
        <v>124</v>
      </c>
      <c r="F988" s="20" t="s">
        <v>58</v>
      </c>
      <c r="G988" s="2" t="s">
        <v>2174</v>
      </c>
      <c r="H988" s="16"/>
      <c r="I988" s="20"/>
      <c r="J988" s="20"/>
      <c r="K988" s="20"/>
      <c r="L988" s="20"/>
      <c r="M988" s="20"/>
      <c r="N988" s="20"/>
      <c r="O988" s="20"/>
      <c r="P988" s="20"/>
      <c r="Q988" s="20"/>
      <c r="R988" s="20"/>
      <c r="S988" s="20"/>
      <c r="T988" s="20"/>
      <c r="U988" s="20"/>
      <c r="V988" s="20"/>
      <c r="W988" s="20"/>
      <c r="X988" s="20"/>
      <c r="Y988" s="20"/>
      <c r="Z988" s="20"/>
      <c r="AA988" s="20"/>
    </row>
    <row r="989" spans="1:27" ht="87" x14ac:dyDescent="0.25">
      <c r="A989" s="16"/>
      <c r="B989" s="20" t="b">
        <f ca="1">IFERROR(__xludf.DUMMYFUNCTION("if(D989=iferror(filter('Character Sheet'!D$13:D3002,'Character Sheet'!D$13:D3002=D989),""""),True,False)"),FALSE)</f>
        <v>0</v>
      </c>
      <c r="C989" s="20">
        <v>600</v>
      </c>
      <c r="D989" s="2" t="s">
        <v>2175</v>
      </c>
      <c r="E989" s="2" t="s">
        <v>652</v>
      </c>
      <c r="F989" s="20" t="s">
        <v>58</v>
      </c>
      <c r="G989" s="2" t="s">
        <v>2176</v>
      </c>
      <c r="H989" s="16"/>
      <c r="I989" s="20"/>
      <c r="J989" s="20"/>
      <c r="K989" s="20"/>
      <c r="L989" s="20"/>
      <c r="M989" s="20"/>
      <c r="N989" s="20"/>
      <c r="O989" s="20"/>
      <c r="P989" s="20"/>
      <c r="Q989" s="20"/>
      <c r="R989" s="20"/>
      <c r="S989" s="20"/>
      <c r="T989" s="20"/>
      <c r="U989" s="20"/>
      <c r="V989" s="20"/>
      <c r="W989" s="20"/>
      <c r="X989" s="20"/>
      <c r="Y989" s="20"/>
      <c r="Z989" s="20"/>
      <c r="AA989" s="20"/>
    </row>
    <row r="990" spans="1:27" ht="139.19999999999999" x14ac:dyDescent="0.25">
      <c r="A990" s="16"/>
      <c r="B990" s="20" t="b">
        <f ca="1">IFERROR(__xludf.DUMMYFUNCTION("if(D990=iferror(filter('Character Sheet'!D$13:D3002,'Character Sheet'!D$13:D3002=D990),""""),True,False)"),FALSE)</f>
        <v>0</v>
      </c>
      <c r="C990" s="20">
        <v>0</v>
      </c>
      <c r="D990" s="22" t="s">
        <v>2177</v>
      </c>
      <c r="E990" s="2" t="s">
        <v>1093</v>
      </c>
      <c r="F990" s="20" t="s">
        <v>59</v>
      </c>
      <c r="G990" s="2" t="s">
        <v>2178</v>
      </c>
      <c r="H990" s="16"/>
      <c r="I990" s="20"/>
      <c r="J990" s="20"/>
      <c r="K990" s="20"/>
      <c r="L990" s="20"/>
      <c r="M990" s="20"/>
      <c r="N990" s="20"/>
      <c r="O990" s="20"/>
      <c r="P990" s="20"/>
      <c r="Q990" s="20"/>
      <c r="R990" s="20"/>
      <c r="S990" s="20"/>
      <c r="T990" s="20"/>
      <c r="U990" s="20"/>
      <c r="V990" s="20"/>
      <c r="W990" s="20"/>
      <c r="X990" s="20"/>
      <c r="Y990" s="20"/>
      <c r="Z990" s="20"/>
      <c r="AA990" s="20"/>
    </row>
    <row r="991" spans="1:27" ht="52.2" x14ac:dyDescent="0.25">
      <c r="A991" s="16"/>
      <c r="B991" s="20" t="b">
        <f ca="1">IFERROR(__xludf.DUMMYFUNCTION("if(D991=iferror(filter('Character Sheet'!D$13:D3002,'Character Sheet'!D$13:D3002=D991),""""),True,False)"),FALSE)</f>
        <v>0</v>
      </c>
      <c r="C991" s="20">
        <v>0</v>
      </c>
      <c r="D991" s="2" t="s">
        <v>2179</v>
      </c>
      <c r="E991" s="2" t="s">
        <v>469</v>
      </c>
      <c r="F991" s="20" t="s">
        <v>59</v>
      </c>
      <c r="G991" s="2" t="s">
        <v>2180</v>
      </c>
      <c r="H991" s="16"/>
      <c r="I991" s="20"/>
      <c r="J991" s="20"/>
      <c r="K991" s="20"/>
      <c r="L991" s="20"/>
      <c r="M991" s="20"/>
      <c r="N991" s="20"/>
      <c r="O991" s="20"/>
      <c r="P991" s="20"/>
      <c r="Q991" s="20"/>
      <c r="R991" s="20"/>
      <c r="S991" s="20"/>
      <c r="T991" s="20"/>
      <c r="U991" s="20"/>
      <c r="V991" s="20"/>
      <c r="W991" s="20"/>
      <c r="X991" s="20"/>
      <c r="Y991" s="20"/>
      <c r="Z991" s="20"/>
      <c r="AA991" s="20"/>
    </row>
    <row r="992" spans="1:27" ht="139.19999999999999" x14ac:dyDescent="0.25">
      <c r="A992" s="16"/>
      <c r="B992" s="20" t="b">
        <f ca="1">IFERROR(__xludf.DUMMYFUNCTION("if(D992=iferror(filter('Character Sheet'!D$13:D3002,'Character Sheet'!D$13:D3002=D992),""""),True,False)"),FALSE)</f>
        <v>0</v>
      </c>
      <c r="C992" s="20">
        <v>0</v>
      </c>
      <c r="D992" s="2" t="s">
        <v>2181</v>
      </c>
      <c r="E992" s="2" t="s">
        <v>1206</v>
      </c>
      <c r="F992" s="20" t="s">
        <v>59</v>
      </c>
      <c r="G992" s="2" t="s">
        <v>2182</v>
      </c>
      <c r="H992" s="16"/>
      <c r="I992" s="20"/>
      <c r="J992" s="20"/>
      <c r="K992" s="20"/>
      <c r="L992" s="20"/>
      <c r="M992" s="20"/>
      <c r="N992" s="20"/>
      <c r="O992" s="20"/>
      <c r="P992" s="20"/>
      <c r="Q992" s="20"/>
      <c r="R992" s="20"/>
      <c r="S992" s="20"/>
      <c r="T992" s="20"/>
      <c r="U992" s="20"/>
      <c r="V992" s="20"/>
      <c r="W992" s="20"/>
      <c r="X992" s="20"/>
      <c r="Y992" s="20"/>
      <c r="Z992" s="20"/>
      <c r="AA992" s="20"/>
    </row>
    <row r="993" spans="1:27" ht="52.2" x14ac:dyDescent="0.25">
      <c r="A993" s="16"/>
      <c r="B993" s="20" t="b">
        <f ca="1">IFERROR(__xludf.DUMMYFUNCTION("if(D993=iferror(filter('Character Sheet'!D$13:D3002,'Character Sheet'!D$13:D3002=D993),""""),True,False)"),FALSE)</f>
        <v>0</v>
      </c>
      <c r="C993" s="20">
        <v>0</v>
      </c>
      <c r="D993" s="2" t="s">
        <v>2183</v>
      </c>
      <c r="E993" s="2" t="s">
        <v>917</v>
      </c>
      <c r="F993" s="20" t="s">
        <v>59</v>
      </c>
      <c r="G993" s="2" t="s">
        <v>2184</v>
      </c>
      <c r="H993" s="16"/>
      <c r="I993" s="20"/>
      <c r="J993" s="20"/>
      <c r="K993" s="20"/>
      <c r="L993" s="20"/>
      <c r="M993" s="20"/>
      <c r="N993" s="20"/>
      <c r="O993" s="20"/>
      <c r="P993" s="20"/>
      <c r="Q993" s="20"/>
      <c r="R993" s="20"/>
      <c r="S993" s="20"/>
      <c r="T993" s="20"/>
      <c r="U993" s="20"/>
      <c r="V993" s="20"/>
      <c r="W993" s="20"/>
      <c r="X993" s="20"/>
      <c r="Y993" s="20"/>
      <c r="Z993" s="20"/>
      <c r="AA993" s="20"/>
    </row>
    <row r="994" spans="1:27" ht="69.599999999999994" x14ac:dyDescent="0.25">
      <c r="A994" s="16"/>
      <c r="B994" s="20" t="b">
        <f ca="1">IFERROR(__xludf.DUMMYFUNCTION("if(D994=iferror(filter('Character Sheet'!D$13:D3002,'Character Sheet'!D$13:D3002=D994),""""),True,False)"),FALSE)</f>
        <v>0</v>
      </c>
      <c r="C994" s="20">
        <v>0</v>
      </c>
      <c r="D994" s="2" t="s">
        <v>2185</v>
      </c>
      <c r="E994" s="2" t="s">
        <v>1690</v>
      </c>
      <c r="F994" s="20" t="s">
        <v>59</v>
      </c>
      <c r="G994" s="2" t="s">
        <v>2186</v>
      </c>
      <c r="H994" s="16"/>
      <c r="I994" s="20"/>
      <c r="J994" s="20"/>
      <c r="K994" s="20"/>
      <c r="L994" s="20"/>
      <c r="M994" s="20"/>
      <c r="N994" s="20"/>
      <c r="O994" s="20"/>
      <c r="P994" s="20"/>
      <c r="Q994" s="20"/>
      <c r="R994" s="20"/>
      <c r="S994" s="20"/>
      <c r="T994" s="20"/>
      <c r="U994" s="20"/>
      <c r="V994" s="20"/>
      <c r="W994" s="20"/>
      <c r="X994" s="20"/>
      <c r="Y994" s="20"/>
      <c r="Z994" s="20"/>
      <c r="AA994" s="20"/>
    </row>
    <row r="995" spans="1:27" ht="104.4" x14ac:dyDescent="0.25">
      <c r="A995" s="16"/>
      <c r="B995" s="20" t="b">
        <f ca="1">IFERROR(__xludf.DUMMYFUNCTION("if(D995=iferror(filter('Character Sheet'!D$13:D3002,'Character Sheet'!D$13:D3002=D995),""""),True,False)"),FALSE)</f>
        <v>0</v>
      </c>
      <c r="C995" s="20">
        <v>0</v>
      </c>
      <c r="D995" s="2" t="s">
        <v>2187</v>
      </c>
      <c r="E995" s="2" t="s">
        <v>603</v>
      </c>
      <c r="F995" s="20" t="s">
        <v>59</v>
      </c>
      <c r="G995" s="2" t="s">
        <v>2188</v>
      </c>
      <c r="H995" s="16"/>
      <c r="I995" s="20"/>
      <c r="J995" s="20"/>
      <c r="K995" s="20"/>
      <c r="L995" s="20"/>
      <c r="M995" s="20"/>
      <c r="N995" s="20"/>
      <c r="O995" s="20"/>
      <c r="P995" s="20"/>
      <c r="Q995" s="20"/>
      <c r="R995" s="20"/>
      <c r="S995" s="20"/>
      <c r="T995" s="20"/>
      <c r="U995" s="20"/>
      <c r="V995" s="20"/>
      <c r="W995" s="20"/>
      <c r="X995" s="20"/>
      <c r="Y995" s="20"/>
      <c r="Z995" s="20"/>
      <c r="AA995" s="20"/>
    </row>
    <row r="996" spans="1:27" ht="34.799999999999997" x14ac:dyDescent="0.25">
      <c r="A996" s="16"/>
      <c r="B996" s="20" t="b">
        <f ca="1">IFERROR(__xludf.DUMMYFUNCTION("if(D996=iferror(filter('Character Sheet'!D$13:D3002,'Character Sheet'!D$13:D3002=D996),""""),True,False)"),FALSE)</f>
        <v>0</v>
      </c>
      <c r="C996" s="20">
        <v>50</v>
      </c>
      <c r="D996" s="2" t="s">
        <v>2189</v>
      </c>
      <c r="E996" s="2" t="s">
        <v>84</v>
      </c>
      <c r="F996" s="20" t="s">
        <v>59</v>
      </c>
      <c r="G996" s="2" t="s">
        <v>2190</v>
      </c>
      <c r="H996" s="16"/>
      <c r="I996" s="20"/>
      <c r="J996" s="20"/>
      <c r="K996" s="20"/>
      <c r="L996" s="20"/>
      <c r="M996" s="20"/>
      <c r="N996" s="20"/>
      <c r="O996" s="20"/>
      <c r="P996" s="20"/>
      <c r="Q996" s="20"/>
      <c r="R996" s="20"/>
      <c r="S996" s="20"/>
      <c r="T996" s="20"/>
      <c r="U996" s="20"/>
      <c r="V996" s="20"/>
      <c r="W996" s="20"/>
      <c r="X996" s="20"/>
      <c r="Y996" s="20"/>
      <c r="Z996" s="20"/>
      <c r="AA996" s="20"/>
    </row>
    <row r="997" spans="1:27" ht="69.599999999999994" x14ac:dyDescent="0.25">
      <c r="A997" s="16"/>
      <c r="B997" s="20" t="b">
        <f ca="1">IFERROR(__xludf.DUMMYFUNCTION("if(D997=iferror(filter('Character Sheet'!D$13:D3002,'Character Sheet'!D$13:D3002=D997),""""),True,False)"),FALSE)</f>
        <v>0</v>
      </c>
      <c r="C997" s="20">
        <v>50</v>
      </c>
      <c r="D997" s="2" t="s">
        <v>2191</v>
      </c>
      <c r="E997" s="2" t="s">
        <v>75</v>
      </c>
      <c r="F997" s="20" t="s">
        <v>59</v>
      </c>
      <c r="G997" s="2" t="s">
        <v>2192</v>
      </c>
      <c r="H997" s="16"/>
      <c r="I997" s="20"/>
      <c r="J997" s="20"/>
      <c r="K997" s="20"/>
      <c r="L997" s="20"/>
      <c r="M997" s="20"/>
      <c r="N997" s="20"/>
      <c r="O997" s="20"/>
      <c r="P997" s="20"/>
      <c r="Q997" s="20"/>
      <c r="R997" s="20"/>
      <c r="S997" s="20"/>
      <c r="T997" s="20"/>
      <c r="U997" s="20"/>
      <c r="V997" s="20"/>
      <c r="W997" s="20"/>
      <c r="X997" s="20"/>
      <c r="Y997" s="20"/>
      <c r="Z997" s="20"/>
      <c r="AA997" s="20"/>
    </row>
    <row r="998" spans="1:27" ht="156.6" x14ac:dyDescent="0.25">
      <c r="A998" s="16"/>
      <c r="B998" s="20" t="b">
        <f ca="1">IFERROR(__xludf.DUMMYFUNCTION("if(D998=iferror(filter('Character Sheet'!D$13:D3002,'Character Sheet'!D$13:D3002=D998),""""),True,False)"),FALSE)</f>
        <v>0</v>
      </c>
      <c r="C998" s="20">
        <v>50</v>
      </c>
      <c r="D998" s="2" t="s">
        <v>2193</v>
      </c>
      <c r="E998" s="2" t="s">
        <v>1015</v>
      </c>
      <c r="F998" s="20" t="s">
        <v>59</v>
      </c>
      <c r="G998" s="2" t="s">
        <v>2194</v>
      </c>
      <c r="H998" s="16"/>
      <c r="I998" s="20"/>
      <c r="J998" s="20"/>
      <c r="K998" s="20"/>
      <c r="L998" s="20"/>
      <c r="M998" s="20"/>
      <c r="N998" s="20"/>
      <c r="O998" s="20"/>
      <c r="P998" s="20"/>
      <c r="Q998" s="20"/>
      <c r="R998" s="20"/>
      <c r="S998" s="20"/>
      <c r="T998" s="20"/>
      <c r="U998" s="20"/>
      <c r="V998" s="20"/>
      <c r="W998" s="20"/>
      <c r="X998" s="20"/>
      <c r="Y998" s="20"/>
      <c r="Z998" s="20"/>
      <c r="AA998" s="20"/>
    </row>
    <row r="999" spans="1:27" ht="52.2" x14ac:dyDescent="0.25">
      <c r="A999" s="16"/>
      <c r="B999" s="20" t="b">
        <f ca="1">IFERROR(__xludf.DUMMYFUNCTION("if(D999=iferror(filter('Character Sheet'!D$13:D3002,'Character Sheet'!D$13:D3002=D999),""""),True,False)"),FALSE)</f>
        <v>0</v>
      </c>
      <c r="C999" s="20">
        <v>50</v>
      </c>
      <c r="D999" s="2" t="s">
        <v>2195</v>
      </c>
      <c r="E999" s="2" t="s">
        <v>534</v>
      </c>
      <c r="F999" s="20" t="s">
        <v>59</v>
      </c>
      <c r="G999" s="2" t="s">
        <v>2196</v>
      </c>
      <c r="H999" s="16"/>
      <c r="I999" s="20"/>
      <c r="J999" s="20"/>
      <c r="K999" s="20"/>
      <c r="L999" s="20"/>
      <c r="M999" s="20"/>
      <c r="N999" s="20"/>
      <c r="O999" s="20"/>
      <c r="P999" s="20"/>
      <c r="Q999" s="20"/>
      <c r="R999" s="20"/>
      <c r="S999" s="20"/>
      <c r="T999" s="20"/>
      <c r="U999" s="20"/>
      <c r="V999" s="20"/>
      <c r="W999" s="20"/>
      <c r="X999" s="20"/>
      <c r="Y999" s="20"/>
      <c r="Z999" s="20"/>
      <c r="AA999" s="20"/>
    </row>
    <row r="1000" spans="1:27" ht="104.4" x14ac:dyDescent="0.25">
      <c r="A1000" s="16"/>
      <c r="B1000" s="20" t="b">
        <f ca="1">IFERROR(__xludf.DUMMYFUNCTION("if(D1000=iferror(filter('Character Sheet'!D$13:D3002,'Character Sheet'!D$13:D3002=D1000),""""),True,False)"),FALSE)</f>
        <v>0</v>
      </c>
      <c r="C1000" s="20">
        <v>50</v>
      </c>
      <c r="D1000" s="2" t="s">
        <v>2197</v>
      </c>
      <c r="E1000" s="2" t="s">
        <v>603</v>
      </c>
      <c r="F1000" s="20" t="s">
        <v>59</v>
      </c>
      <c r="G1000" s="2" t="s">
        <v>2198</v>
      </c>
      <c r="H1000" s="16"/>
      <c r="I1000" s="20"/>
      <c r="J1000" s="20"/>
      <c r="K1000" s="20"/>
      <c r="L1000" s="20"/>
      <c r="M1000" s="20"/>
      <c r="N1000" s="20"/>
      <c r="O1000" s="20"/>
      <c r="P1000" s="20"/>
      <c r="Q1000" s="20"/>
      <c r="R1000" s="20"/>
      <c r="S1000" s="20"/>
      <c r="T1000" s="20"/>
      <c r="U1000" s="20"/>
      <c r="V1000" s="20"/>
      <c r="W1000" s="20"/>
      <c r="X1000" s="20"/>
      <c r="Y1000" s="20"/>
      <c r="Z1000" s="20"/>
      <c r="AA1000" s="20"/>
    </row>
    <row r="1001" spans="1:27" ht="104.4" x14ac:dyDescent="0.25">
      <c r="A1001" s="16"/>
      <c r="B1001" s="20" t="b">
        <f ca="1">IFERROR(__xludf.DUMMYFUNCTION("if(D1001=iferror(filter('Character Sheet'!D$13:D3002,'Character Sheet'!D$13:D3002=D1001),""""),True,False)"),FALSE)</f>
        <v>0</v>
      </c>
      <c r="C1001" s="20">
        <v>50</v>
      </c>
      <c r="D1001" s="2" t="s">
        <v>2199</v>
      </c>
      <c r="E1001" s="2" t="s">
        <v>119</v>
      </c>
      <c r="F1001" s="20" t="s">
        <v>59</v>
      </c>
      <c r="G1001" s="2" t="s">
        <v>2200</v>
      </c>
      <c r="H1001" s="16"/>
      <c r="I1001" s="20"/>
      <c r="J1001" s="20"/>
      <c r="K1001" s="20"/>
      <c r="L1001" s="20"/>
      <c r="M1001" s="20"/>
      <c r="N1001" s="20"/>
      <c r="O1001" s="20"/>
      <c r="P1001" s="20"/>
      <c r="Q1001" s="20"/>
      <c r="R1001" s="20"/>
      <c r="S1001" s="20"/>
      <c r="T1001" s="20"/>
      <c r="U1001" s="20"/>
      <c r="V1001" s="20"/>
      <c r="W1001" s="20"/>
      <c r="X1001" s="20"/>
      <c r="Y1001" s="20"/>
      <c r="Z1001" s="20"/>
      <c r="AA1001" s="20"/>
    </row>
    <row r="1002" spans="1:27" ht="87" x14ac:dyDescent="0.25">
      <c r="A1002" s="16"/>
      <c r="B1002" s="20" t="b">
        <f ca="1">IFERROR(__xludf.DUMMYFUNCTION("if(D1002=iferror(filter('Character Sheet'!D$13:D3002,'Character Sheet'!D$13:D3002=D1002),""""),True,False)"),FALSE)</f>
        <v>0</v>
      </c>
      <c r="C1002" s="20">
        <v>50</v>
      </c>
      <c r="D1002" s="2" t="s">
        <v>2201</v>
      </c>
      <c r="E1002" s="2" t="s">
        <v>1702</v>
      </c>
      <c r="F1002" s="20" t="s">
        <v>59</v>
      </c>
      <c r="G1002" s="2" t="s">
        <v>2202</v>
      </c>
      <c r="H1002" s="16"/>
      <c r="I1002" s="20"/>
      <c r="J1002" s="20"/>
      <c r="K1002" s="20"/>
      <c r="L1002" s="20"/>
      <c r="M1002" s="20"/>
      <c r="N1002" s="20"/>
      <c r="O1002" s="20"/>
      <c r="P1002" s="20"/>
      <c r="Q1002" s="20"/>
      <c r="R1002" s="20"/>
      <c r="S1002" s="20"/>
      <c r="T1002" s="20"/>
      <c r="U1002" s="20"/>
      <c r="V1002" s="20"/>
      <c r="W1002" s="20"/>
      <c r="X1002" s="20"/>
      <c r="Y1002" s="20"/>
      <c r="Z1002" s="20"/>
      <c r="AA1002" s="20"/>
    </row>
    <row r="1003" spans="1:27" ht="243.6" x14ac:dyDescent="0.25">
      <c r="A1003" s="16"/>
      <c r="B1003" s="20" t="b">
        <f ca="1">IFERROR(__xludf.DUMMYFUNCTION("if(D1003=iferror(filter('Character Sheet'!D$13:D3002,'Character Sheet'!D$13:D3002=D1003),""""),True,False)"),FALSE)</f>
        <v>0</v>
      </c>
      <c r="C1003" s="20">
        <v>50</v>
      </c>
      <c r="D1003" s="2" t="s">
        <v>2203</v>
      </c>
      <c r="E1003" s="2" t="s">
        <v>230</v>
      </c>
      <c r="F1003" s="20" t="s">
        <v>59</v>
      </c>
      <c r="G1003" s="2" t="s">
        <v>2204</v>
      </c>
      <c r="H1003" s="16"/>
      <c r="I1003" s="20"/>
      <c r="J1003" s="20"/>
      <c r="K1003" s="20"/>
      <c r="L1003" s="20"/>
      <c r="M1003" s="20"/>
      <c r="N1003" s="20"/>
      <c r="O1003" s="20"/>
      <c r="P1003" s="20"/>
      <c r="Q1003" s="20"/>
      <c r="R1003" s="20"/>
      <c r="S1003" s="20"/>
      <c r="T1003" s="20"/>
      <c r="U1003" s="20"/>
      <c r="V1003" s="20"/>
      <c r="W1003" s="20"/>
      <c r="X1003" s="20"/>
      <c r="Y1003" s="20"/>
      <c r="Z1003" s="20"/>
      <c r="AA1003" s="20"/>
    </row>
    <row r="1004" spans="1:27" ht="34.799999999999997" x14ac:dyDescent="0.25">
      <c r="A1004" s="16"/>
      <c r="B1004" s="20" t="b">
        <f ca="1">IFERROR(__xludf.DUMMYFUNCTION("if(D1004=iferror(filter('Character Sheet'!D$13:D3002,'Character Sheet'!D$13:D3002=D1004),""""),True,False)"),FALSE)</f>
        <v>0</v>
      </c>
      <c r="C1004" s="20">
        <v>50</v>
      </c>
      <c r="D1004" s="2" t="s">
        <v>2205</v>
      </c>
      <c r="E1004" s="2" t="s">
        <v>521</v>
      </c>
      <c r="F1004" s="20" t="s">
        <v>59</v>
      </c>
      <c r="G1004" s="2" t="s">
        <v>2206</v>
      </c>
      <c r="H1004" s="16"/>
      <c r="I1004" s="20"/>
      <c r="J1004" s="20"/>
      <c r="K1004" s="20"/>
      <c r="L1004" s="20"/>
      <c r="M1004" s="20"/>
      <c r="N1004" s="20"/>
      <c r="O1004" s="20"/>
      <c r="P1004" s="20"/>
      <c r="Q1004" s="20"/>
      <c r="R1004" s="20"/>
      <c r="S1004" s="20"/>
      <c r="T1004" s="20"/>
      <c r="U1004" s="20"/>
      <c r="V1004" s="20"/>
      <c r="W1004" s="20"/>
      <c r="X1004" s="20"/>
      <c r="Y1004" s="20"/>
      <c r="Z1004" s="20"/>
      <c r="AA1004" s="20"/>
    </row>
    <row r="1005" spans="1:27" ht="139.19999999999999" x14ac:dyDescent="0.25">
      <c r="A1005" s="16"/>
      <c r="B1005" s="20" t="b">
        <f ca="1">IFERROR(__xludf.DUMMYFUNCTION("if(D1005=iferror(filter('Character Sheet'!D$13:D3002,'Character Sheet'!D$13:D3002=D1005),""""),True,False)"),FALSE)</f>
        <v>0</v>
      </c>
      <c r="C1005" s="20">
        <v>50</v>
      </c>
      <c r="D1005" s="2" t="s">
        <v>2207</v>
      </c>
      <c r="E1005" s="2" t="s">
        <v>576</v>
      </c>
      <c r="F1005" s="20" t="s">
        <v>59</v>
      </c>
      <c r="G1005" s="2" t="s">
        <v>2208</v>
      </c>
      <c r="H1005" s="16"/>
      <c r="I1005" s="20"/>
      <c r="J1005" s="20"/>
      <c r="K1005" s="20"/>
      <c r="L1005" s="20"/>
      <c r="M1005" s="20"/>
      <c r="N1005" s="20"/>
      <c r="O1005" s="20"/>
      <c r="P1005" s="20"/>
      <c r="Q1005" s="20"/>
      <c r="R1005" s="20"/>
      <c r="S1005" s="20"/>
      <c r="T1005" s="20"/>
      <c r="U1005" s="20"/>
      <c r="V1005" s="20"/>
      <c r="W1005" s="20"/>
      <c r="X1005" s="20"/>
      <c r="Y1005" s="20"/>
      <c r="Z1005" s="20"/>
      <c r="AA1005" s="20"/>
    </row>
    <row r="1006" spans="1:27" ht="174" x14ac:dyDescent="0.25">
      <c r="A1006" s="16"/>
      <c r="B1006" s="20" t="b">
        <f ca="1">IFERROR(__xludf.DUMMYFUNCTION("if(D1006=iferror(filter('Character Sheet'!D$13:D3002,'Character Sheet'!D$13:D3002=D1006),""""),True,False)"),FALSE)</f>
        <v>0</v>
      </c>
      <c r="C1006" s="20">
        <v>50</v>
      </c>
      <c r="D1006" s="2" t="s">
        <v>2209</v>
      </c>
      <c r="E1006" s="2" t="s">
        <v>576</v>
      </c>
      <c r="F1006" s="20" t="s">
        <v>59</v>
      </c>
      <c r="G1006" s="2" t="s">
        <v>2210</v>
      </c>
      <c r="H1006" s="16"/>
      <c r="I1006" s="20"/>
      <c r="J1006" s="20"/>
      <c r="K1006" s="20"/>
      <c r="L1006" s="20"/>
      <c r="M1006" s="20"/>
      <c r="N1006" s="20"/>
      <c r="O1006" s="20"/>
      <c r="P1006" s="20"/>
      <c r="Q1006" s="20"/>
      <c r="R1006" s="20"/>
      <c r="S1006" s="20"/>
      <c r="T1006" s="20"/>
      <c r="U1006" s="20"/>
      <c r="V1006" s="20"/>
      <c r="W1006" s="20"/>
      <c r="X1006" s="20"/>
      <c r="Y1006" s="20"/>
      <c r="Z1006" s="20"/>
      <c r="AA1006" s="20"/>
    </row>
    <row r="1007" spans="1:27" ht="34.799999999999997" x14ac:dyDescent="0.25">
      <c r="A1007" s="16"/>
      <c r="B1007" s="20" t="b">
        <f ca="1">IFERROR(__xludf.DUMMYFUNCTION("if(D1007=iferror(filter('Character Sheet'!D$13:D3002,'Character Sheet'!D$13:D3002=D1007),""""),True,False)"),FALSE)</f>
        <v>0</v>
      </c>
      <c r="C1007" s="20">
        <v>50</v>
      </c>
      <c r="D1007" s="2" t="s">
        <v>2211</v>
      </c>
      <c r="E1007" s="2" t="s">
        <v>93</v>
      </c>
      <c r="F1007" s="20" t="s">
        <v>59</v>
      </c>
      <c r="G1007" s="2" t="s">
        <v>2212</v>
      </c>
      <c r="H1007" s="16"/>
      <c r="I1007" s="20"/>
      <c r="J1007" s="20"/>
      <c r="K1007" s="20"/>
      <c r="L1007" s="20"/>
      <c r="M1007" s="20"/>
      <c r="N1007" s="20"/>
      <c r="O1007" s="20"/>
      <c r="P1007" s="20"/>
      <c r="Q1007" s="20"/>
      <c r="R1007" s="20"/>
      <c r="S1007" s="20"/>
      <c r="T1007" s="20"/>
      <c r="U1007" s="20"/>
      <c r="V1007" s="20"/>
      <c r="W1007" s="20"/>
      <c r="X1007" s="20"/>
      <c r="Y1007" s="20"/>
      <c r="Z1007" s="20"/>
      <c r="AA1007" s="20"/>
    </row>
    <row r="1008" spans="1:27" ht="121.8" x14ac:dyDescent="0.25">
      <c r="A1008" s="16"/>
      <c r="B1008" s="20" t="b">
        <f ca="1">IFERROR(__xludf.DUMMYFUNCTION("if(D1008=iferror(filter('Character Sheet'!D$13:D3002,'Character Sheet'!D$13:D3002=D1008),""""),True,False)"),FALSE)</f>
        <v>0</v>
      </c>
      <c r="C1008" s="20">
        <v>100</v>
      </c>
      <c r="D1008" s="2" t="s">
        <v>2213</v>
      </c>
      <c r="E1008" s="2" t="s">
        <v>2214</v>
      </c>
      <c r="F1008" s="20" t="s">
        <v>59</v>
      </c>
      <c r="G1008" s="2" t="s">
        <v>2215</v>
      </c>
      <c r="H1008" s="16"/>
      <c r="I1008" s="20"/>
      <c r="J1008" s="20"/>
      <c r="K1008" s="20"/>
      <c r="L1008" s="20"/>
      <c r="M1008" s="20"/>
      <c r="N1008" s="20"/>
      <c r="O1008" s="20"/>
      <c r="P1008" s="20"/>
      <c r="Q1008" s="20"/>
      <c r="R1008" s="20"/>
      <c r="S1008" s="20"/>
      <c r="T1008" s="20"/>
      <c r="U1008" s="20"/>
      <c r="V1008" s="20"/>
      <c r="W1008" s="20"/>
      <c r="X1008" s="20"/>
      <c r="Y1008" s="20"/>
      <c r="Z1008" s="20"/>
      <c r="AA1008" s="20"/>
    </row>
    <row r="1009" spans="1:27" ht="156.6" x14ac:dyDescent="0.25">
      <c r="A1009" s="16"/>
      <c r="B1009" s="20" t="b">
        <f ca="1">IFERROR(__xludf.DUMMYFUNCTION("if(D1009=iferror(filter('Character Sheet'!D$13:D3002,'Character Sheet'!D$13:D3002=D1009),""""),True,False)"),FALSE)</f>
        <v>0</v>
      </c>
      <c r="C1009" s="20">
        <v>100</v>
      </c>
      <c r="D1009" s="2" t="s">
        <v>2216</v>
      </c>
      <c r="E1009" s="2" t="s">
        <v>863</v>
      </c>
      <c r="F1009" s="20" t="s">
        <v>59</v>
      </c>
      <c r="G1009" s="2" t="s">
        <v>2217</v>
      </c>
      <c r="H1009" s="16"/>
      <c r="I1009" s="20"/>
      <c r="J1009" s="20"/>
      <c r="K1009" s="20"/>
      <c r="L1009" s="20"/>
      <c r="M1009" s="20"/>
      <c r="N1009" s="20"/>
      <c r="O1009" s="20"/>
      <c r="P1009" s="20"/>
      <c r="Q1009" s="20"/>
      <c r="R1009" s="20"/>
      <c r="S1009" s="20"/>
      <c r="T1009" s="20"/>
      <c r="U1009" s="20"/>
      <c r="V1009" s="20"/>
      <c r="W1009" s="20"/>
      <c r="X1009" s="20"/>
      <c r="Y1009" s="20"/>
      <c r="Z1009" s="20"/>
      <c r="AA1009" s="20"/>
    </row>
    <row r="1010" spans="1:27" ht="139.19999999999999" x14ac:dyDescent="0.25">
      <c r="A1010" s="16"/>
      <c r="B1010" s="20" t="b">
        <f ca="1">IFERROR(__xludf.DUMMYFUNCTION("if(D1010=iferror(filter('Character Sheet'!D$13:D3002,'Character Sheet'!D$13:D3002=D1010),""""),True,False)"),FALSE)</f>
        <v>0</v>
      </c>
      <c r="C1010" s="20">
        <v>100</v>
      </c>
      <c r="D1010" s="2" t="s">
        <v>2218</v>
      </c>
      <c r="E1010" s="2" t="s">
        <v>124</v>
      </c>
      <c r="F1010" s="20" t="s">
        <v>59</v>
      </c>
      <c r="G1010" s="2" t="s">
        <v>2219</v>
      </c>
      <c r="H1010" s="16"/>
      <c r="I1010" s="20"/>
      <c r="J1010" s="20"/>
      <c r="K1010" s="20"/>
      <c r="L1010" s="20"/>
      <c r="M1010" s="20"/>
      <c r="N1010" s="20"/>
      <c r="O1010" s="20"/>
      <c r="P1010" s="20"/>
      <c r="Q1010" s="20"/>
      <c r="R1010" s="20"/>
      <c r="S1010" s="20"/>
      <c r="T1010" s="20"/>
      <c r="U1010" s="20"/>
      <c r="V1010" s="20"/>
      <c r="W1010" s="20"/>
      <c r="X1010" s="20"/>
      <c r="Y1010" s="20"/>
      <c r="Z1010" s="20"/>
      <c r="AA1010" s="20"/>
    </row>
    <row r="1011" spans="1:27" ht="139.19999999999999" x14ac:dyDescent="0.25">
      <c r="A1011" s="16"/>
      <c r="B1011" s="20" t="b">
        <f ca="1">IFERROR(__xludf.DUMMYFUNCTION("if(D1011=iferror(filter('Character Sheet'!D$13:D3002,'Character Sheet'!D$13:D3002=D1011),""""),True,False)"),FALSE)</f>
        <v>0</v>
      </c>
      <c r="C1011" s="20">
        <v>100</v>
      </c>
      <c r="D1011" s="2" t="s">
        <v>2220</v>
      </c>
      <c r="E1011" s="2" t="s">
        <v>124</v>
      </c>
      <c r="F1011" s="20" t="s">
        <v>59</v>
      </c>
      <c r="G1011" s="2" t="s">
        <v>2221</v>
      </c>
      <c r="H1011" s="16"/>
      <c r="I1011" s="20"/>
      <c r="J1011" s="20"/>
      <c r="K1011" s="20"/>
      <c r="L1011" s="20"/>
      <c r="M1011" s="20"/>
      <c r="N1011" s="20"/>
      <c r="O1011" s="20"/>
      <c r="P1011" s="20"/>
      <c r="Q1011" s="20"/>
      <c r="R1011" s="20"/>
      <c r="S1011" s="20"/>
      <c r="T1011" s="20"/>
      <c r="U1011" s="20"/>
      <c r="V1011" s="20"/>
      <c r="W1011" s="20"/>
      <c r="X1011" s="20"/>
      <c r="Y1011" s="20"/>
      <c r="Z1011" s="20"/>
      <c r="AA1011" s="20"/>
    </row>
    <row r="1012" spans="1:27" ht="52.2" x14ac:dyDescent="0.25">
      <c r="A1012" s="16"/>
      <c r="B1012" s="20" t="b">
        <f ca="1">IFERROR(__xludf.DUMMYFUNCTION("if(D1012=iferror(filter('Character Sheet'!D$13:D3002,'Character Sheet'!D$13:D3002=D1012),""""),True,False)"),FALSE)</f>
        <v>0</v>
      </c>
      <c r="C1012" s="20">
        <v>100</v>
      </c>
      <c r="D1012" s="2" t="s">
        <v>2222</v>
      </c>
      <c r="E1012" s="2" t="s">
        <v>472</v>
      </c>
      <c r="F1012" s="20" t="s">
        <v>59</v>
      </c>
      <c r="G1012" s="2" t="s">
        <v>2223</v>
      </c>
      <c r="H1012" s="16"/>
      <c r="I1012" s="20"/>
      <c r="J1012" s="20"/>
      <c r="K1012" s="20"/>
      <c r="L1012" s="20"/>
      <c r="M1012" s="20"/>
      <c r="N1012" s="20"/>
      <c r="O1012" s="20"/>
      <c r="P1012" s="20"/>
      <c r="Q1012" s="20"/>
      <c r="R1012" s="20"/>
      <c r="S1012" s="20"/>
      <c r="T1012" s="20"/>
      <c r="U1012" s="20"/>
      <c r="V1012" s="20"/>
      <c r="W1012" s="20"/>
      <c r="X1012" s="20"/>
      <c r="Y1012" s="20"/>
      <c r="Z1012" s="20"/>
      <c r="AA1012" s="20"/>
    </row>
    <row r="1013" spans="1:27" ht="191.4" x14ac:dyDescent="0.25">
      <c r="A1013" s="16"/>
      <c r="B1013" s="20" t="b">
        <f ca="1">IFERROR(__xludf.DUMMYFUNCTION("if(D1013=iferror(filter('Character Sheet'!D$13:D3002,'Character Sheet'!D$13:D3002=D1013),""""),True,False)"),FALSE)</f>
        <v>0</v>
      </c>
      <c r="C1013" s="20">
        <v>100</v>
      </c>
      <c r="D1013" s="2" t="s">
        <v>2224</v>
      </c>
      <c r="E1013" s="2" t="s">
        <v>381</v>
      </c>
      <c r="F1013" s="20" t="s">
        <v>59</v>
      </c>
      <c r="G1013" s="2" t="s">
        <v>2225</v>
      </c>
      <c r="H1013" s="16"/>
      <c r="I1013" s="20"/>
      <c r="J1013" s="20"/>
      <c r="K1013" s="20"/>
      <c r="L1013" s="20"/>
      <c r="M1013" s="20"/>
      <c r="N1013" s="20"/>
      <c r="O1013" s="20"/>
      <c r="P1013" s="20"/>
      <c r="Q1013" s="20"/>
      <c r="R1013" s="20"/>
      <c r="S1013" s="20"/>
      <c r="T1013" s="20"/>
      <c r="U1013" s="20"/>
      <c r="V1013" s="20"/>
      <c r="W1013" s="20"/>
      <c r="X1013" s="20"/>
      <c r="Y1013" s="20"/>
      <c r="Z1013" s="20"/>
      <c r="AA1013" s="20"/>
    </row>
    <row r="1014" spans="1:27" ht="69.599999999999994" x14ac:dyDescent="0.25">
      <c r="A1014" s="16"/>
      <c r="B1014" s="20" t="b">
        <f ca="1">IFERROR(__xludf.DUMMYFUNCTION("if(D1014=iferror(filter('Character Sheet'!D$13:D3002,'Character Sheet'!D$13:D3002=D1014),""""),True,False)"),FALSE)</f>
        <v>0</v>
      </c>
      <c r="C1014" s="20">
        <v>100</v>
      </c>
      <c r="D1014" s="2" t="s">
        <v>2226</v>
      </c>
      <c r="E1014" s="2" t="s">
        <v>325</v>
      </c>
      <c r="F1014" s="20" t="s">
        <v>59</v>
      </c>
      <c r="G1014" s="2" t="s">
        <v>2227</v>
      </c>
      <c r="H1014" s="16"/>
      <c r="I1014" s="20"/>
      <c r="J1014" s="20"/>
      <c r="K1014" s="20"/>
      <c r="L1014" s="20"/>
      <c r="M1014" s="20"/>
      <c r="N1014" s="20"/>
      <c r="O1014" s="20"/>
      <c r="P1014" s="20"/>
      <c r="Q1014" s="20"/>
      <c r="R1014" s="20"/>
      <c r="S1014" s="20"/>
      <c r="T1014" s="20"/>
      <c r="U1014" s="20"/>
      <c r="V1014" s="20"/>
      <c r="W1014" s="20"/>
      <c r="X1014" s="20"/>
      <c r="Y1014" s="20"/>
      <c r="Z1014" s="20"/>
      <c r="AA1014" s="20"/>
    </row>
    <row r="1015" spans="1:27" ht="104.4" x14ac:dyDescent="0.25">
      <c r="A1015" s="16"/>
      <c r="B1015" s="20" t="b">
        <f ca="1">IFERROR(__xludf.DUMMYFUNCTION("if(D1015=iferror(filter('Character Sheet'!D$13:D3002,'Character Sheet'!D$13:D3002=D1015),""""),True,False)"),FALSE)</f>
        <v>0</v>
      </c>
      <c r="C1015" s="20">
        <v>100</v>
      </c>
      <c r="D1015" s="2" t="s">
        <v>2228</v>
      </c>
      <c r="E1015" s="2" t="s">
        <v>122</v>
      </c>
      <c r="F1015" s="20" t="s">
        <v>59</v>
      </c>
      <c r="G1015" s="2" t="s">
        <v>2229</v>
      </c>
      <c r="H1015" s="16"/>
      <c r="I1015" s="20"/>
      <c r="J1015" s="20"/>
      <c r="K1015" s="20"/>
      <c r="L1015" s="20"/>
      <c r="M1015" s="20"/>
      <c r="N1015" s="20"/>
      <c r="O1015" s="20"/>
      <c r="P1015" s="20"/>
      <c r="Q1015" s="20"/>
      <c r="R1015" s="20"/>
      <c r="S1015" s="20"/>
      <c r="T1015" s="20"/>
      <c r="U1015" s="20"/>
      <c r="V1015" s="20"/>
      <c r="W1015" s="20"/>
      <c r="X1015" s="20"/>
      <c r="Y1015" s="20"/>
      <c r="Z1015" s="20"/>
      <c r="AA1015" s="20"/>
    </row>
    <row r="1016" spans="1:27" ht="156.6" x14ac:dyDescent="0.25">
      <c r="A1016" s="16"/>
      <c r="B1016" s="20" t="b">
        <f ca="1">IFERROR(__xludf.DUMMYFUNCTION("if(D1016=iferror(filter('Character Sheet'!D$13:D3002,'Character Sheet'!D$13:D3002=D1016),""""),True,False)"),FALSE)</f>
        <v>0</v>
      </c>
      <c r="C1016" s="20">
        <v>100</v>
      </c>
      <c r="D1016" s="2" t="s">
        <v>2230</v>
      </c>
      <c r="E1016" s="2" t="s">
        <v>217</v>
      </c>
      <c r="F1016" s="20" t="s">
        <v>59</v>
      </c>
      <c r="G1016" s="2" t="s">
        <v>2231</v>
      </c>
      <c r="H1016" s="16"/>
      <c r="I1016" s="20"/>
      <c r="J1016" s="20"/>
      <c r="K1016" s="20"/>
      <c r="L1016" s="20"/>
      <c r="M1016" s="20"/>
      <c r="N1016" s="20"/>
      <c r="O1016" s="20"/>
      <c r="P1016" s="20"/>
      <c r="Q1016" s="20"/>
      <c r="R1016" s="20"/>
      <c r="S1016" s="20"/>
      <c r="T1016" s="20"/>
      <c r="U1016" s="20"/>
      <c r="V1016" s="20"/>
      <c r="W1016" s="20"/>
      <c r="X1016" s="20"/>
      <c r="Y1016" s="20"/>
      <c r="Z1016" s="20"/>
      <c r="AA1016" s="20"/>
    </row>
    <row r="1017" spans="1:27" ht="52.2" x14ac:dyDescent="0.25">
      <c r="A1017" s="16"/>
      <c r="B1017" s="20" t="b">
        <f ca="1">IFERROR(__xludf.DUMMYFUNCTION("if(D1017=iferror(filter('Character Sheet'!D$13:D3002,'Character Sheet'!D$13:D3002=D1017),""""),True,False)"),FALSE)</f>
        <v>0</v>
      </c>
      <c r="C1017" s="20">
        <v>100</v>
      </c>
      <c r="D1017" s="2" t="s">
        <v>2232</v>
      </c>
      <c r="E1017" s="2" t="s">
        <v>358</v>
      </c>
      <c r="F1017" s="20" t="s">
        <v>59</v>
      </c>
      <c r="G1017" s="2" t="s">
        <v>2233</v>
      </c>
      <c r="H1017" s="16"/>
      <c r="I1017" s="20"/>
      <c r="J1017" s="20"/>
      <c r="K1017" s="20"/>
      <c r="L1017" s="20"/>
      <c r="M1017" s="20"/>
      <c r="N1017" s="20"/>
      <c r="O1017" s="20"/>
      <c r="P1017" s="20"/>
      <c r="Q1017" s="20"/>
      <c r="R1017" s="20"/>
      <c r="S1017" s="20"/>
      <c r="T1017" s="20"/>
      <c r="U1017" s="20"/>
      <c r="V1017" s="20"/>
      <c r="W1017" s="20"/>
      <c r="X1017" s="20"/>
      <c r="Y1017" s="20"/>
      <c r="Z1017" s="20"/>
      <c r="AA1017" s="20"/>
    </row>
    <row r="1018" spans="1:27" ht="52.2" x14ac:dyDescent="0.25">
      <c r="A1018" s="16"/>
      <c r="B1018" s="20" t="b">
        <f ca="1">IFERROR(__xludf.DUMMYFUNCTION("if(D1018=iferror(filter('Character Sheet'!D$13:D3002,'Character Sheet'!D$13:D3002=D1018),""""),True,False)"),FALSE)</f>
        <v>0</v>
      </c>
      <c r="C1018" s="20">
        <v>100</v>
      </c>
      <c r="D1018" s="2" t="s">
        <v>2234</v>
      </c>
      <c r="E1018" s="2" t="s">
        <v>1330</v>
      </c>
      <c r="F1018" s="20" t="s">
        <v>59</v>
      </c>
      <c r="G1018" s="2" t="s">
        <v>2235</v>
      </c>
      <c r="H1018" s="16"/>
      <c r="I1018" s="20"/>
      <c r="J1018" s="20"/>
      <c r="K1018" s="20"/>
      <c r="L1018" s="20"/>
      <c r="M1018" s="20"/>
      <c r="N1018" s="20"/>
      <c r="O1018" s="20"/>
      <c r="P1018" s="20"/>
      <c r="Q1018" s="20"/>
      <c r="R1018" s="20"/>
      <c r="S1018" s="20"/>
      <c r="T1018" s="20"/>
      <c r="U1018" s="20"/>
      <c r="V1018" s="20"/>
      <c r="W1018" s="20"/>
      <c r="X1018" s="20"/>
      <c r="Y1018" s="20"/>
      <c r="Z1018" s="20"/>
      <c r="AA1018" s="20"/>
    </row>
    <row r="1019" spans="1:27" ht="121.8" x14ac:dyDescent="0.25">
      <c r="A1019" s="16"/>
      <c r="B1019" s="20" t="b">
        <f ca="1">IFERROR(__xludf.DUMMYFUNCTION("if(D1019=iferror(filter('Character Sheet'!D$13:D3002,'Character Sheet'!D$13:D3002=D1019),""""),True,False)"),FALSE)</f>
        <v>0</v>
      </c>
      <c r="C1019" s="20">
        <v>100</v>
      </c>
      <c r="D1019" s="2" t="s">
        <v>2236</v>
      </c>
      <c r="E1019" s="2" t="s">
        <v>168</v>
      </c>
      <c r="F1019" s="20" t="s">
        <v>59</v>
      </c>
      <c r="G1019" s="2" t="s">
        <v>2237</v>
      </c>
      <c r="H1019" s="16"/>
      <c r="I1019" s="20"/>
      <c r="J1019" s="20"/>
      <c r="K1019" s="20"/>
      <c r="L1019" s="20"/>
      <c r="M1019" s="20"/>
      <c r="N1019" s="20"/>
      <c r="O1019" s="20"/>
      <c r="P1019" s="20"/>
      <c r="Q1019" s="20"/>
      <c r="R1019" s="20"/>
      <c r="S1019" s="20"/>
      <c r="T1019" s="20"/>
      <c r="U1019" s="20"/>
      <c r="V1019" s="20"/>
      <c r="W1019" s="20"/>
      <c r="X1019" s="20"/>
      <c r="Y1019" s="20"/>
      <c r="Z1019" s="20"/>
      <c r="AA1019" s="20"/>
    </row>
    <row r="1020" spans="1:27" ht="313.2" x14ac:dyDescent="0.25">
      <c r="A1020" s="16"/>
      <c r="B1020" s="20" t="b">
        <f ca="1">IFERROR(__xludf.DUMMYFUNCTION("if(D1020=iferror(filter('Character Sheet'!D$13:D3002,'Character Sheet'!D$13:D3002=D1020),""""),True,False)"),FALSE)</f>
        <v>0</v>
      </c>
      <c r="C1020" s="20">
        <v>100</v>
      </c>
      <c r="D1020" s="2" t="s">
        <v>2238</v>
      </c>
      <c r="E1020" s="2" t="s">
        <v>66</v>
      </c>
      <c r="F1020" s="20" t="s">
        <v>59</v>
      </c>
      <c r="G1020" s="2" t="s">
        <v>2239</v>
      </c>
      <c r="H1020" s="16"/>
      <c r="I1020" s="20"/>
      <c r="J1020" s="20"/>
      <c r="K1020" s="20"/>
      <c r="L1020" s="20"/>
      <c r="M1020" s="20"/>
      <c r="N1020" s="20"/>
      <c r="O1020" s="20"/>
      <c r="P1020" s="20"/>
      <c r="Q1020" s="20"/>
      <c r="R1020" s="20"/>
      <c r="S1020" s="20"/>
      <c r="T1020" s="20"/>
      <c r="U1020" s="20"/>
      <c r="V1020" s="20"/>
      <c r="W1020" s="20"/>
      <c r="X1020" s="20"/>
      <c r="Y1020" s="20"/>
      <c r="Z1020" s="20"/>
      <c r="AA1020" s="20"/>
    </row>
    <row r="1021" spans="1:27" ht="52.2" x14ac:dyDescent="0.25">
      <c r="A1021" s="16"/>
      <c r="B1021" s="20" t="b">
        <f ca="1">IFERROR(__xludf.DUMMYFUNCTION("if(D1021=iferror(filter('Character Sheet'!D$13:D3002,'Character Sheet'!D$13:D3002=D1021),""""),True,False)"),FALSE)</f>
        <v>0</v>
      </c>
      <c r="C1021" s="20">
        <v>100</v>
      </c>
      <c r="D1021" s="2" t="s">
        <v>2240</v>
      </c>
      <c r="E1021" s="2" t="s">
        <v>78</v>
      </c>
      <c r="F1021" s="20" t="s">
        <v>59</v>
      </c>
      <c r="G1021" s="2" t="s">
        <v>2241</v>
      </c>
      <c r="H1021" s="16"/>
      <c r="I1021" s="20"/>
      <c r="J1021" s="20"/>
      <c r="K1021" s="20"/>
      <c r="L1021" s="20"/>
      <c r="M1021" s="20"/>
      <c r="N1021" s="20"/>
      <c r="O1021" s="20"/>
      <c r="P1021" s="20"/>
      <c r="Q1021" s="20"/>
      <c r="R1021" s="20"/>
      <c r="S1021" s="20"/>
      <c r="T1021" s="20"/>
      <c r="U1021" s="20"/>
      <c r="V1021" s="20"/>
      <c r="W1021" s="20"/>
      <c r="X1021" s="20"/>
      <c r="Y1021" s="20"/>
      <c r="Z1021" s="20"/>
      <c r="AA1021" s="20"/>
    </row>
    <row r="1022" spans="1:27" ht="69.599999999999994" x14ac:dyDescent="0.25">
      <c r="A1022" s="16"/>
      <c r="B1022" s="20" t="b">
        <f ca="1">IFERROR(__xludf.DUMMYFUNCTION("if(D1022=iferror(filter('Character Sheet'!D$13:D3002,'Character Sheet'!D$13:D3002=D1022),""""),True,False)"),FALSE)</f>
        <v>0</v>
      </c>
      <c r="C1022" s="20">
        <v>100</v>
      </c>
      <c r="D1022" s="2" t="s">
        <v>2242</v>
      </c>
      <c r="E1022" s="2" t="s">
        <v>894</v>
      </c>
      <c r="F1022" s="20" t="s">
        <v>59</v>
      </c>
      <c r="G1022" s="2" t="s">
        <v>2243</v>
      </c>
      <c r="H1022" s="16"/>
      <c r="I1022" s="20"/>
      <c r="J1022" s="20"/>
      <c r="K1022" s="20"/>
      <c r="L1022" s="20"/>
      <c r="M1022" s="20"/>
      <c r="N1022" s="20"/>
      <c r="O1022" s="20"/>
      <c r="P1022" s="20"/>
      <c r="Q1022" s="20"/>
      <c r="R1022" s="20"/>
      <c r="S1022" s="20"/>
      <c r="T1022" s="20"/>
      <c r="U1022" s="20"/>
      <c r="V1022" s="20"/>
      <c r="W1022" s="20"/>
      <c r="X1022" s="20"/>
      <c r="Y1022" s="20"/>
      <c r="Z1022" s="20"/>
      <c r="AA1022" s="20"/>
    </row>
    <row r="1023" spans="1:27" ht="69.599999999999994" x14ac:dyDescent="0.25">
      <c r="A1023" s="16"/>
      <c r="B1023" s="20" t="b">
        <f ca="1">IFERROR(__xludf.DUMMYFUNCTION("if(D1023=iferror(filter('Character Sheet'!D$13:D3002,'Character Sheet'!D$13:D3002=D1023),""""),True,False)"),FALSE)</f>
        <v>0</v>
      </c>
      <c r="C1023" s="20">
        <v>100</v>
      </c>
      <c r="D1023" s="2" t="s">
        <v>2244</v>
      </c>
      <c r="E1023" s="2" t="s">
        <v>344</v>
      </c>
      <c r="F1023" s="20" t="s">
        <v>59</v>
      </c>
      <c r="G1023" s="2" t="s">
        <v>2245</v>
      </c>
      <c r="H1023" s="16"/>
      <c r="I1023" s="20"/>
      <c r="J1023" s="20"/>
      <c r="K1023" s="20"/>
      <c r="L1023" s="20"/>
      <c r="M1023" s="20"/>
      <c r="N1023" s="20"/>
      <c r="O1023" s="20"/>
      <c r="P1023" s="20"/>
      <c r="Q1023" s="20"/>
      <c r="R1023" s="20"/>
      <c r="S1023" s="20"/>
      <c r="T1023" s="20"/>
      <c r="U1023" s="20"/>
      <c r="V1023" s="20"/>
      <c r="W1023" s="20"/>
      <c r="X1023" s="20"/>
      <c r="Y1023" s="20"/>
      <c r="Z1023" s="20"/>
      <c r="AA1023" s="20"/>
    </row>
    <row r="1024" spans="1:27" ht="69.599999999999994" x14ac:dyDescent="0.25">
      <c r="A1024" s="16"/>
      <c r="B1024" s="20" t="b">
        <f ca="1">IFERROR(__xludf.DUMMYFUNCTION("if(D1024=iferror(filter('Character Sheet'!D$13:D3002,'Character Sheet'!D$13:D3002=D1024),""""),True,False)"),FALSE)</f>
        <v>0</v>
      </c>
      <c r="C1024" s="20">
        <v>100</v>
      </c>
      <c r="D1024" s="2" t="s">
        <v>2246</v>
      </c>
      <c r="E1024" s="2" t="s">
        <v>924</v>
      </c>
      <c r="F1024" s="20" t="s">
        <v>59</v>
      </c>
      <c r="G1024" s="2" t="s">
        <v>2247</v>
      </c>
      <c r="H1024" s="16"/>
      <c r="I1024" s="20"/>
      <c r="J1024" s="20"/>
      <c r="K1024" s="20"/>
      <c r="L1024" s="20"/>
      <c r="M1024" s="20"/>
      <c r="N1024" s="20"/>
      <c r="O1024" s="20"/>
      <c r="P1024" s="20"/>
      <c r="Q1024" s="20"/>
      <c r="R1024" s="20"/>
      <c r="S1024" s="20"/>
      <c r="T1024" s="20"/>
      <c r="U1024" s="20"/>
      <c r="V1024" s="20"/>
      <c r="W1024" s="20"/>
      <c r="X1024" s="20"/>
      <c r="Y1024" s="20"/>
      <c r="Z1024" s="20"/>
      <c r="AA1024" s="20"/>
    </row>
    <row r="1025" spans="1:27" ht="121.8" x14ac:dyDescent="0.25">
      <c r="A1025" s="16"/>
      <c r="B1025" s="20" t="b">
        <f ca="1">IFERROR(__xludf.DUMMYFUNCTION("if(D1025=iferror(filter('Character Sheet'!D$13:D3002,'Character Sheet'!D$13:D3002=D1025),""""),True,False)"),FALSE)</f>
        <v>0</v>
      </c>
      <c r="C1025" s="20">
        <v>100</v>
      </c>
      <c r="D1025" s="2" t="s">
        <v>2248</v>
      </c>
      <c r="E1025" s="2" t="s">
        <v>317</v>
      </c>
      <c r="F1025" s="20" t="s">
        <v>59</v>
      </c>
      <c r="G1025" s="2" t="s">
        <v>2249</v>
      </c>
      <c r="H1025" s="16"/>
      <c r="I1025" s="20"/>
      <c r="J1025" s="20"/>
      <c r="K1025" s="20"/>
      <c r="L1025" s="20"/>
      <c r="M1025" s="20"/>
      <c r="N1025" s="20"/>
      <c r="O1025" s="20"/>
      <c r="P1025" s="20"/>
      <c r="Q1025" s="20"/>
      <c r="R1025" s="20"/>
      <c r="S1025" s="20"/>
      <c r="T1025" s="20"/>
      <c r="U1025" s="20"/>
      <c r="V1025" s="20"/>
      <c r="W1025" s="20"/>
      <c r="X1025" s="20"/>
      <c r="Y1025" s="20"/>
      <c r="Z1025" s="20"/>
      <c r="AA1025" s="20"/>
    </row>
    <row r="1026" spans="1:27" ht="121.8" x14ac:dyDescent="0.25">
      <c r="A1026" s="16"/>
      <c r="B1026" s="20" t="b">
        <f ca="1">IFERROR(__xludf.DUMMYFUNCTION("if(D1026=iferror(filter('Character Sheet'!D$13:D3002,'Character Sheet'!D$13:D3002=D1026),""""),True,False)"),FALSE)</f>
        <v>0</v>
      </c>
      <c r="C1026" s="20">
        <v>100</v>
      </c>
      <c r="D1026" s="2" t="s">
        <v>2250</v>
      </c>
      <c r="E1026" s="2" t="s">
        <v>72</v>
      </c>
      <c r="F1026" s="20" t="s">
        <v>59</v>
      </c>
      <c r="G1026" s="2" t="s">
        <v>2251</v>
      </c>
      <c r="H1026" s="16"/>
      <c r="I1026" s="20"/>
      <c r="J1026" s="20"/>
      <c r="K1026" s="20"/>
      <c r="L1026" s="20"/>
      <c r="M1026" s="20"/>
      <c r="N1026" s="20"/>
      <c r="O1026" s="20"/>
      <c r="P1026" s="20"/>
      <c r="Q1026" s="20"/>
      <c r="R1026" s="20"/>
      <c r="S1026" s="20"/>
      <c r="T1026" s="20"/>
      <c r="U1026" s="20"/>
      <c r="V1026" s="20"/>
      <c r="W1026" s="20"/>
      <c r="X1026" s="20"/>
      <c r="Y1026" s="20"/>
      <c r="Z1026" s="20"/>
      <c r="AA1026" s="20"/>
    </row>
    <row r="1027" spans="1:27" ht="34.799999999999997" x14ac:dyDescent="0.25">
      <c r="A1027" s="16"/>
      <c r="B1027" s="20" t="b">
        <f ca="1">IFERROR(__xludf.DUMMYFUNCTION("if(D1027=iferror(filter('Character Sheet'!D$13:D3002,'Character Sheet'!D$13:D3002=D1027),""""),True,False)"),FALSE)</f>
        <v>0</v>
      </c>
      <c r="C1027" s="20">
        <v>100</v>
      </c>
      <c r="D1027" s="2" t="s">
        <v>2252</v>
      </c>
      <c r="E1027" s="2" t="s">
        <v>277</v>
      </c>
      <c r="F1027" s="20" t="s">
        <v>59</v>
      </c>
      <c r="G1027" s="2" t="s">
        <v>2253</v>
      </c>
      <c r="H1027" s="16"/>
      <c r="I1027" s="20"/>
      <c r="J1027" s="20"/>
      <c r="K1027" s="20"/>
      <c r="L1027" s="20"/>
      <c r="M1027" s="20"/>
      <c r="N1027" s="20"/>
      <c r="O1027" s="20"/>
      <c r="P1027" s="20"/>
      <c r="Q1027" s="20"/>
      <c r="R1027" s="20"/>
      <c r="S1027" s="20"/>
      <c r="T1027" s="20"/>
      <c r="U1027" s="20"/>
      <c r="V1027" s="20"/>
      <c r="W1027" s="20"/>
      <c r="X1027" s="20"/>
      <c r="Y1027" s="20"/>
      <c r="Z1027" s="20"/>
      <c r="AA1027" s="20"/>
    </row>
    <row r="1028" spans="1:27" ht="34.799999999999997" x14ac:dyDescent="0.25">
      <c r="A1028" s="16"/>
      <c r="B1028" s="20" t="b">
        <f ca="1">IFERROR(__xludf.DUMMYFUNCTION("if(D1028=iferror(filter('Character Sheet'!D$13:D3002,'Character Sheet'!D$13:D3002=D1028),""""),True,False)"),FALSE)</f>
        <v>0</v>
      </c>
      <c r="C1028" s="20">
        <v>100</v>
      </c>
      <c r="D1028" s="2" t="s">
        <v>2254</v>
      </c>
      <c r="E1028" s="2" t="s">
        <v>328</v>
      </c>
      <c r="F1028" s="20" t="s">
        <v>59</v>
      </c>
      <c r="G1028" s="2" t="s">
        <v>2255</v>
      </c>
      <c r="H1028" s="16"/>
      <c r="I1028" s="20"/>
      <c r="J1028" s="20"/>
      <c r="K1028" s="20"/>
      <c r="L1028" s="20"/>
      <c r="M1028" s="20"/>
      <c r="N1028" s="20"/>
      <c r="O1028" s="20"/>
      <c r="P1028" s="20"/>
      <c r="Q1028" s="20"/>
      <c r="R1028" s="20"/>
      <c r="S1028" s="20"/>
      <c r="T1028" s="20"/>
      <c r="U1028" s="20"/>
      <c r="V1028" s="20"/>
      <c r="W1028" s="20"/>
      <c r="X1028" s="20"/>
      <c r="Y1028" s="20"/>
      <c r="Z1028" s="20"/>
      <c r="AA1028" s="20"/>
    </row>
    <row r="1029" spans="1:27" ht="52.2" x14ac:dyDescent="0.25">
      <c r="A1029" s="16"/>
      <c r="B1029" s="20" t="b">
        <f ca="1">IFERROR(__xludf.DUMMYFUNCTION("if(D1029=iferror(filter('Character Sheet'!D$13:D3002,'Character Sheet'!D$13:D3002=D1029),""""),True,False)"),FALSE)</f>
        <v>0</v>
      </c>
      <c r="C1029" s="20">
        <v>100</v>
      </c>
      <c r="D1029" s="2" t="s">
        <v>2256</v>
      </c>
      <c r="E1029" s="2" t="s">
        <v>328</v>
      </c>
      <c r="F1029" s="20" t="s">
        <v>59</v>
      </c>
      <c r="G1029" s="2" t="s">
        <v>2257</v>
      </c>
      <c r="H1029" s="16"/>
      <c r="I1029" s="20"/>
      <c r="J1029" s="20"/>
      <c r="K1029" s="20"/>
      <c r="L1029" s="20"/>
      <c r="M1029" s="20"/>
      <c r="N1029" s="20"/>
      <c r="O1029" s="20"/>
      <c r="P1029" s="20"/>
      <c r="Q1029" s="20"/>
      <c r="R1029" s="20"/>
      <c r="S1029" s="20"/>
      <c r="T1029" s="20"/>
      <c r="U1029" s="20"/>
      <c r="V1029" s="20"/>
      <c r="W1029" s="20"/>
      <c r="X1029" s="20"/>
      <c r="Y1029" s="20"/>
      <c r="Z1029" s="20"/>
      <c r="AA1029" s="20"/>
    </row>
    <row r="1030" spans="1:27" ht="34.799999999999997" x14ac:dyDescent="0.25">
      <c r="A1030" s="16"/>
      <c r="B1030" s="20" t="b">
        <f ca="1">IFERROR(__xludf.DUMMYFUNCTION("if(D1030=iferror(filter('Character Sheet'!D$13:D3002,'Character Sheet'!D$13:D3002=D1030),""""),True,False)"),FALSE)</f>
        <v>0</v>
      </c>
      <c r="C1030" s="20">
        <v>100</v>
      </c>
      <c r="D1030" s="2" t="s">
        <v>2258</v>
      </c>
      <c r="E1030" s="2" t="s">
        <v>149</v>
      </c>
      <c r="F1030" s="20" t="s">
        <v>59</v>
      </c>
      <c r="G1030" s="2" t="s">
        <v>2259</v>
      </c>
      <c r="H1030" s="16"/>
      <c r="I1030" s="20"/>
      <c r="J1030" s="20"/>
      <c r="K1030" s="20"/>
      <c r="L1030" s="20"/>
      <c r="M1030" s="20"/>
      <c r="N1030" s="20"/>
      <c r="O1030" s="20"/>
      <c r="P1030" s="20"/>
      <c r="Q1030" s="20"/>
      <c r="R1030" s="20"/>
      <c r="S1030" s="20"/>
      <c r="T1030" s="20"/>
      <c r="U1030" s="20"/>
      <c r="V1030" s="20"/>
      <c r="W1030" s="20"/>
      <c r="X1030" s="20"/>
      <c r="Y1030" s="20"/>
      <c r="Z1030" s="20"/>
      <c r="AA1030" s="20"/>
    </row>
    <row r="1031" spans="1:27" ht="87" x14ac:dyDescent="0.25">
      <c r="A1031" s="16"/>
      <c r="B1031" s="20" t="b">
        <f ca="1">IFERROR(__xludf.DUMMYFUNCTION("if(D1031=iferror(filter('Character Sheet'!D$13:D3002,'Character Sheet'!D$13:D3002=D1031),""""),True,False)"),FALSE)</f>
        <v>0</v>
      </c>
      <c r="C1031" s="20">
        <v>100</v>
      </c>
      <c r="D1031" s="2" t="s">
        <v>2260</v>
      </c>
      <c r="E1031" s="2" t="s">
        <v>369</v>
      </c>
      <c r="F1031" s="20" t="s">
        <v>59</v>
      </c>
      <c r="G1031" s="2" t="s">
        <v>2261</v>
      </c>
      <c r="H1031" s="16"/>
      <c r="I1031" s="20"/>
      <c r="J1031" s="20"/>
      <c r="K1031" s="20"/>
      <c r="L1031" s="20"/>
      <c r="M1031" s="20"/>
      <c r="N1031" s="20"/>
      <c r="O1031" s="20"/>
      <c r="P1031" s="20"/>
      <c r="Q1031" s="20"/>
      <c r="R1031" s="20"/>
      <c r="S1031" s="20"/>
      <c r="T1031" s="20"/>
      <c r="U1031" s="20"/>
      <c r="V1031" s="20"/>
      <c r="W1031" s="20"/>
      <c r="X1031" s="20"/>
      <c r="Y1031" s="20"/>
      <c r="Z1031" s="20"/>
      <c r="AA1031" s="20"/>
    </row>
    <row r="1032" spans="1:27" ht="34.799999999999997" x14ac:dyDescent="0.25">
      <c r="A1032" s="16"/>
      <c r="B1032" s="20" t="b">
        <f ca="1">IFERROR(__xludf.DUMMYFUNCTION("if(D1032=iferror(filter('Character Sheet'!D$13:D3002,'Character Sheet'!D$13:D3002=D1032),""""),True,False)"),FALSE)</f>
        <v>0</v>
      </c>
      <c r="C1032" s="20">
        <v>100</v>
      </c>
      <c r="D1032" s="2" t="s">
        <v>2262</v>
      </c>
      <c r="E1032" s="2" t="s">
        <v>652</v>
      </c>
      <c r="F1032" s="20" t="s">
        <v>59</v>
      </c>
      <c r="G1032" s="2" t="s">
        <v>2263</v>
      </c>
      <c r="H1032" s="16"/>
      <c r="I1032" s="20"/>
      <c r="J1032" s="20"/>
      <c r="K1032" s="20"/>
      <c r="L1032" s="20"/>
      <c r="M1032" s="20"/>
      <c r="N1032" s="20"/>
      <c r="O1032" s="20"/>
      <c r="P1032" s="20"/>
      <c r="Q1032" s="20"/>
      <c r="R1032" s="20"/>
      <c r="S1032" s="20"/>
      <c r="T1032" s="20"/>
      <c r="U1032" s="20"/>
      <c r="V1032" s="20"/>
      <c r="W1032" s="20"/>
      <c r="X1032" s="20"/>
      <c r="Y1032" s="20"/>
      <c r="Z1032" s="20"/>
      <c r="AA1032" s="20"/>
    </row>
    <row r="1033" spans="1:27" ht="104.4" x14ac:dyDescent="0.25">
      <c r="A1033" s="16"/>
      <c r="B1033" s="20" t="b">
        <f ca="1">IFERROR(__xludf.DUMMYFUNCTION("if(D1033=iferror(filter('Character Sheet'!D$13:D3002,'Character Sheet'!D$13:D3002=D1033),""""),True,False)"),FALSE)</f>
        <v>0</v>
      </c>
      <c r="C1033" s="20">
        <v>100</v>
      </c>
      <c r="D1033" s="2" t="s">
        <v>2264</v>
      </c>
      <c r="E1033" s="2" t="s">
        <v>214</v>
      </c>
      <c r="F1033" s="20" t="s">
        <v>59</v>
      </c>
      <c r="G1033" s="2" t="s">
        <v>2265</v>
      </c>
      <c r="H1033" s="16"/>
      <c r="I1033" s="20"/>
      <c r="J1033" s="20"/>
      <c r="K1033" s="20"/>
      <c r="L1033" s="20"/>
      <c r="M1033" s="20"/>
      <c r="N1033" s="20"/>
      <c r="O1033" s="20"/>
      <c r="P1033" s="20"/>
      <c r="Q1033" s="20"/>
      <c r="R1033" s="20"/>
      <c r="S1033" s="20"/>
      <c r="T1033" s="20"/>
      <c r="U1033" s="20"/>
      <c r="V1033" s="20"/>
      <c r="W1033" s="20"/>
      <c r="X1033" s="20"/>
      <c r="Y1033" s="20"/>
      <c r="Z1033" s="20"/>
      <c r="AA1033" s="20"/>
    </row>
    <row r="1034" spans="1:27" ht="104.4" x14ac:dyDescent="0.25">
      <c r="A1034" s="16"/>
      <c r="B1034" s="20" t="b">
        <f ca="1">IFERROR(__xludf.DUMMYFUNCTION("if(D1034=iferror(filter('Character Sheet'!D$13:D3002,'Character Sheet'!D$13:D3002=D1034),""""),True,False)"),FALSE)</f>
        <v>0</v>
      </c>
      <c r="C1034" s="20">
        <v>100</v>
      </c>
      <c r="D1034" s="2" t="s">
        <v>2266</v>
      </c>
      <c r="E1034" s="2" t="s">
        <v>311</v>
      </c>
      <c r="F1034" s="20" t="s">
        <v>59</v>
      </c>
      <c r="G1034" s="2" t="s">
        <v>2267</v>
      </c>
      <c r="H1034" s="16"/>
      <c r="I1034" s="20"/>
      <c r="J1034" s="20"/>
      <c r="K1034" s="20"/>
      <c r="L1034" s="20"/>
      <c r="M1034" s="20"/>
      <c r="N1034" s="20"/>
      <c r="O1034" s="20"/>
      <c r="P1034" s="20"/>
      <c r="Q1034" s="20"/>
      <c r="R1034" s="20"/>
      <c r="S1034" s="20"/>
      <c r="T1034" s="20"/>
      <c r="U1034" s="20"/>
      <c r="V1034" s="20"/>
      <c r="W1034" s="20"/>
      <c r="X1034" s="20"/>
      <c r="Y1034" s="20"/>
      <c r="Z1034" s="20"/>
      <c r="AA1034" s="20"/>
    </row>
    <row r="1035" spans="1:27" ht="52.2" x14ac:dyDescent="0.25">
      <c r="A1035" s="16"/>
      <c r="B1035" s="20" t="b">
        <f ca="1">IFERROR(__xludf.DUMMYFUNCTION("if(D1035=iferror(filter('Character Sheet'!D$13:D3002,'Character Sheet'!D$13:D3002=D1035),""""),True,False)"),FALSE)</f>
        <v>0</v>
      </c>
      <c r="C1035" s="20">
        <v>100</v>
      </c>
      <c r="D1035" s="2" t="s">
        <v>2268</v>
      </c>
      <c r="E1035" s="2" t="s">
        <v>1285</v>
      </c>
      <c r="F1035" s="20" t="s">
        <v>59</v>
      </c>
      <c r="G1035" s="2" t="s">
        <v>2269</v>
      </c>
      <c r="H1035" s="16"/>
      <c r="I1035" s="20"/>
      <c r="J1035" s="20"/>
      <c r="K1035" s="20"/>
      <c r="L1035" s="20"/>
      <c r="M1035" s="20"/>
      <c r="N1035" s="20"/>
      <c r="O1035" s="20"/>
      <c r="P1035" s="20"/>
      <c r="Q1035" s="20"/>
      <c r="R1035" s="20"/>
      <c r="S1035" s="20"/>
      <c r="T1035" s="20"/>
      <c r="U1035" s="20"/>
      <c r="V1035" s="20"/>
      <c r="W1035" s="20"/>
      <c r="X1035" s="20"/>
      <c r="Y1035" s="20"/>
      <c r="Z1035" s="20"/>
      <c r="AA1035" s="20"/>
    </row>
    <row r="1036" spans="1:27" ht="174" x14ac:dyDescent="0.25">
      <c r="A1036" s="16"/>
      <c r="B1036" s="20" t="b">
        <f ca="1">IFERROR(__xludf.DUMMYFUNCTION("if(D1036=iferror(filter('Character Sheet'!D$13:D3002,'Character Sheet'!D$13:D3002=D1036),""""),True,False)"),FALSE)</f>
        <v>0</v>
      </c>
      <c r="C1036" s="20">
        <v>100</v>
      </c>
      <c r="D1036" s="2" t="s">
        <v>2270</v>
      </c>
      <c r="E1036" s="2" t="s">
        <v>124</v>
      </c>
      <c r="F1036" s="20" t="s">
        <v>59</v>
      </c>
      <c r="G1036" s="2" t="s">
        <v>2271</v>
      </c>
      <c r="H1036" s="16"/>
      <c r="I1036" s="20"/>
      <c r="J1036" s="20"/>
      <c r="K1036" s="20"/>
      <c r="L1036" s="20"/>
      <c r="M1036" s="20"/>
      <c r="N1036" s="20"/>
      <c r="O1036" s="20"/>
      <c r="P1036" s="20"/>
      <c r="Q1036" s="20"/>
      <c r="R1036" s="20"/>
      <c r="S1036" s="20"/>
      <c r="T1036" s="20"/>
      <c r="U1036" s="20"/>
      <c r="V1036" s="20"/>
      <c r="W1036" s="20"/>
      <c r="X1036" s="20"/>
      <c r="Y1036" s="20"/>
      <c r="Z1036" s="20"/>
      <c r="AA1036" s="20"/>
    </row>
    <row r="1037" spans="1:27" ht="87" x14ac:dyDescent="0.25">
      <c r="A1037" s="16"/>
      <c r="B1037" s="20" t="b">
        <f ca="1">IFERROR(__xludf.DUMMYFUNCTION("if(D1037=iferror(filter('Character Sheet'!D$13:D3002,'Character Sheet'!D$13:D3002=D1037),""""),True,False)"),FALSE)</f>
        <v>0</v>
      </c>
      <c r="C1037" s="20">
        <v>100</v>
      </c>
      <c r="D1037" s="2" t="s">
        <v>2272</v>
      </c>
      <c r="E1037" s="2" t="s">
        <v>442</v>
      </c>
      <c r="F1037" s="20" t="s">
        <v>59</v>
      </c>
      <c r="G1037" s="2" t="s">
        <v>2273</v>
      </c>
      <c r="H1037" s="16"/>
      <c r="I1037" s="20"/>
      <c r="J1037" s="20"/>
      <c r="K1037" s="20"/>
      <c r="L1037" s="20"/>
      <c r="M1037" s="20"/>
      <c r="N1037" s="20"/>
      <c r="O1037" s="20"/>
      <c r="P1037" s="20"/>
      <c r="Q1037" s="20"/>
      <c r="R1037" s="20"/>
      <c r="S1037" s="20"/>
      <c r="T1037" s="20"/>
      <c r="U1037" s="20"/>
      <c r="V1037" s="20"/>
      <c r="W1037" s="20"/>
      <c r="X1037" s="20"/>
      <c r="Y1037" s="20"/>
      <c r="Z1037" s="20"/>
      <c r="AA1037" s="20"/>
    </row>
    <row r="1038" spans="1:27" ht="121.8" x14ac:dyDescent="0.25">
      <c r="A1038" s="16"/>
      <c r="B1038" s="20" t="b">
        <f ca="1">IFERROR(__xludf.DUMMYFUNCTION("if(D1038=iferror(filter('Character Sheet'!D$13:D3002,'Character Sheet'!D$13:D3002=D1038),""""),True,False)"),FALSE)</f>
        <v>0</v>
      </c>
      <c r="C1038" s="20">
        <v>100</v>
      </c>
      <c r="D1038" s="2" t="s">
        <v>2274</v>
      </c>
      <c r="E1038" s="2" t="s">
        <v>369</v>
      </c>
      <c r="F1038" s="20" t="s">
        <v>59</v>
      </c>
      <c r="G1038" s="2" t="s">
        <v>2275</v>
      </c>
      <c r="H1038" s="16"/>
      <c r="I1038" s="20"/>
      <c r="J1038" s="20"/>
      <c r="K1038" s="20"/>
      <c r="L1038" s="20"/>
      <c r="M1038" s="20"/>
      <c r="N1038" s="20"/>
      <c r="O1038" s="20"/>
      <c r="P1038" s="20"/>
      <c r="Q1038" s="20"/>
      <c r="R1038" s="20"/>
      <c r="S1038" s="20"/>
      <c r="T1038" s="20"/>
      <c r="U1038" s="20"/>
      <c r="V1038" s="20"/>
      <c r="W1038" s="20"/>
      <c r="X1038" s="20"/>
      <c r="Y1038" s="20"/>
      <c r="Z1038" s="20"/>
      <c r="AA1038" s="20"/>
    </row>
    <row r="1039" spans="1:27" ht="69.599999999999994" x14ac:dyDescent="0.25">
      <c r="A1039" s="16"/>
      <c r="B1039" s="20" t="b">
        <f ca="1">IFERROR(__xludf.DUMMYFUNCTION("if(D1039=iferror(filter('Character Sheet'!D$13:D3002,'Character Sheet'!D$13:D3002=D1039),""""),True,False)"),FALSE)</f>
        <v>0</v>
      </c>
      <c r="C1039" s="20">
        <v>100</v>
      </c>
      <c r="D1039" s="2" t="s">
        <v>2276</v>
      </c>
      <c r="E1039" s="2" t="s">
        <v>501</v>
      </c>
      <c r="F1039" s="20" t="s">
        <v>59</v>
      </c>
      <c r="G1039" s="2" t="s">
        <v>2277</v>
      </c>
      <c r="H1039" s="16"/>
      <c r="I1039" s="20"/>
      <c r="J1039" s="20"/>
      <c r="K1039" s="20"/>
      <c r="L1039" s="20"/>
      <c r="M1039" s="20"/>
      <c r="N1039" s="20"/>
      <c r="O1039" s="20"/>
      <c r="P1039" s="20"/>
      <c r="Q1039" s="20"/>
      <c r="R1039" s="20"/>
      <c r="S1039" s="20"/>
      <c r="T1039" s="20"/>
      <c r="U1039" s="20"/>
      <c r="V1039" s="20"/>
      <c r="W1039" s="20"/>
      <c r="X1039" s="20"/>
      <c r="Y1039" s="20"/>
      <c r="Z1039" s="20"/>
      <c r="AA1039" s="20"/>
    </row>
    <row r="1040" spans="1:27" ht="156.6" x14ac:dyDescent="0.25">
      <c r="A1040" s="16"/>
      <c r="B1040" s="20" t="b">
        <f ca="1">IFERROR(__xludf.DUMMYFUNCTION("if(D1040=iferror(filter('Character Sheet'!D$13:D3002,'Character Sheet'!D$13:D3002=D1040),""""),True,False)"),FALSE)</f>
        <v>0</v>
      </c>
      <c r="C1040" s="20">
        <v>100</v>
      </c>
      <c r="D1040" s="2" t="s">
        <v>2278</v>
      </c>
      <c r="E1040" s="2" t="s">
        <v>369</v>
      </c>
      <c r="F1040" s="20" t="s">
        <v>59</v>
      </c>
      <c r="G1040" s="2" t="s">
        <v>2279</v>
      </c>
      <c r="H1040" s="16"/>
      <c r="I1040" s="20"/>
      <c r="J1040" s="20"/>
      <c r="K1040" s="20"/>
      <c r="L1040" s="20"/>
      <c r="M1040" s="20"/>
      <c r="N1040" s="20"/>
      <c r="O1040" s="20"/>
      <c r="P1040" s="20"/>
      <c r="Q1040" s="20"/>
      <c r="R1040" s="20"/>
      <c r="S1040" s="20"/>
      <c r="T1040" s="20"/>
      <c r="U1040" s="20"/>
      <c r="V1040" s="20"/>
      <c r="W1040" s="20"/>
      <c r="X1040" s="20"/>
      <c r="Y1040" s="20"/>
      <c r="Z1040" s="20"/>
      <c r="AA1040" s="20"/>
    </row>
    <row r="1041" spans="1:27" ht="69.599999999999994" x14ac:dyDescent="0.25">
      <c r="A1041" s="16"/>
      <c r="B1041" s="20" t="b">
        <f ca="1">IFERROR(__xludf.DUMMYFUNCTION("if(D1041=iferror(filter('Character Sheet'!D$13:D3002,'Character Sheet'!D$13:D3002=D1041),""""),True,False)"),FALSE)</f>
        <v>0</v>
      </c>
      <c r="C1041" s="20">
        <v>100</v>
      </c>
      <c r="D1041" s="2" t="s">
        <v>2280</v>
      </c>
      <c r="E1041" s="2" t="s">
        <v>109</v>
      </c>
      <c r="F1041" s="20" t="s">
        <v>59</v>
      </c>
      <c r="G1041" s="2" t="s">
        <v>2281</v>
      </c>
      <c r="H1041" s="16"/>
      <c r="I1041" s="20"/>
      <c r="J1041" s="20"/>
      <c r="K1041" s="20"/>
      <c r="L1041" s="20"/>
      <c r="M1041" s="20"/>
      <c r="N1041" s="20"/>
      <c r="O1041" s="20"/>
      <c r="P1041" s="20"/>
      <c r="Q1041" s="20"/>
      <c r="R1041" s="20"/>
      <c r="S1041" s="20"/>
      <c r="T1041" s="20"/>
      <c r="U1041" s="20"/>
      <c r="V1041" s="20"/>
      <c r="W1041" s="20"/>
      <c r="X1041" s="20"/>
      <c r="Y1041" s="20"/>
      <c r="Z1041" s="20"/>
      <c r="AA1041" s="20"/>
    </row>
    <row r="1042" spans="1:27" ht="104.4" x14ac:dyDescent="0.25">
      <c r="A1042" s="16"/>
      <c r="B1042" s="20" t="b">
        <f ca="1">IFERROR(__xludf.DUMMYFUNCTION("if(D1042=iferror(filter('Character Sheet'!D$13:D3002,'Character Sheet'!D$13:D3002=D1042),""""),True,False)"),FALSE)</f>
        <v>0</v>
      </c>
      <c r="C1042" s="20">
        <v>100</v>
      </c>
      <c r="D1042" s="2" t="s">
        <v>2282</v>
      </c>
      <c r="E1042" s="2" t="s">
        <v>268</v>
      </c>
      <c r="F1042" s="20" t="s">
        <v>59</v>
      </c>
      <c r="G1042" s="2" t="s">
        <v>2283</v>
      </c>
      <c r="H1042" s="16"/>
      <c r="I1042" s="20"/>
      <c r="J1042" s="20"/>
      <c r="K1042" s="20"/>
      <c r="L1042" s="20"/>
      <c r="M1042" s="20"/>
      <c r="N1042" s="20"/>
      <c r="O1042" s="20"/>
      <c r="P1042" s="20"/>
      <c r="Q1042" s="20"/>
      <c r="R1042" s="20"/>
      <c r="S1042" s="20"/>
      <c r="T1042" s="20"/>
      <c r="U1042" s="20"/>
      <c r="V1042" s="20"/>
      <c r="W1042" s="20"/>
      <c r="X1042" s="20"/>
      <c r="Y1042" s="20"/>
      <c r="Z1042" s="20"/>
      <c r="AA1042" s="20"/>
    </row>
    <row r="1043" spans="1:27" ht="87" x14ac:dyDescent="0.25">
      <c r="A1043" s="16"/>
      <c r="B1043" s="20" t="b">
        <f ca="1">IFERROR(__xludf.DUMMYFUNCTION("if(D1043=iferror(filter('Character Sheet'!D$13:D3002,'Character Sheet'!D$13:D3002=D1043),""""),True,False)"),FALSE)</f>
        <v>0</v>
      </c>
      <c r="C1043" s="20">
        <v>100</v>
      </c>
      <c r="D1043" s="2" t="s">
        <v>2284</v>
      </c>
      <c r="E1043" s="2" t="s">
        <v>331</v>
      </c>
      <c r="F1043" s="20" t="s">
        <v>59</v>
      </c>
      <c r="G1043" s="2" t="s">
        <v>2285</v>
      </c>
      <c r="H1043" s="16"/>
      <c r="I1043" s="20"/>
      <c r="J1043" s="20"/>
      <c r="K1043" s="20"/>
      <c r="L1043" s="20"/>
      <c r="M1043" s="20"/>
      <c r="N1043" s="20"/>
      <c r="O1043" s="20"/>
      <c r="P1043" s="20"/>
      <c r="Q1043" s="20"/>
      <c r="R1043" s="20"/>
      <c r="S1043" s="20"/>
      <c r="T1043" s="20"/>
      <c r="U1043" s="20"/>
      <c r="V1043" s="20"/>
      <c r="W1043" s="20"/>
      <c r="X1043" s="20"/>
      <c r="Y1043" s="20"/>
      <c r="Z1043" s="20"/>
      <c r="AA1043" s="20"/>
    </row>
    <row r="1044" spans="1:27" ht="121.8" x14ac:dyDescent="0.25">
      <c r="A1044" s="16"/>
      <c r="B1044" s="20" t="b">
        <f ca="1">IFERROR(__xludf.DUMMYFUNCTION("if(D1044=iferror(filter('Character Sheet'!D$13:D3002,'Character Sheet'!D$13:D3002=D1044),""""),True,False)"),FALSE)</f>
        <v>0</v>
      </c>
      <c r="C1044" s="20">
        <v>100</v>
      </c>
      <c r="D1044" s="2" t="s">
        <v>2286</v>
      </c>
      <c r="E1044" s="2" t="s">
        <v>306</v>
      </c>
      <c r="F1044" s="20" t="s">
        <v>59</v>
      </c>
      <c r="G1044" s="2" t="s">
        <v>2287</v>
      </c>
      <c r="H1044" s="16"/>
      <c r="I1044" s="20"/>
      <c r="J1044" s="20"/>
      <c r="K1044" s="20"/>
      <c r="L1044" s="20"/>
      <c r="M1044" s="20"/>
      <c r="N1044" s="20"/>
      <c r="O1044" s="20"/>
      <c r="P1044" s="20"/>
      <c r="Q1044" s="20"/>
      <c r="R1044" s="20"/>
      <c r="S1044" s="20"/>
      <c r="T1044" s="20"/>
      <c r="U1044" s="20"/>
      <c r="V1044" s="20"/>
      <c r="W1044" s="20"/>
      <c r="X1044" s="20"/>
      <c r="Y1044" s="20"/>
      <c r="Z1044" s="20"/>
      <c r="AA1044" s="20"/>
    </row>
    <row r="1045" spans="1:27" ht="87" x14ac:dyDescent="0.25">
      <c r="A1045" s="16"/>
      <c r="B1045" s="20" t="b">
        <f ca="1">IFERROR(__xludf.DUMMYFUNCTION("if(D1045=iferror(filter('Character Sheet'!D$13:D3002,'Character Sheet'!D$13:D3002=D1045),""""),True,False)"),FALSE)</f>
        <v>0</v>
      </c>
      <c r="C1045" s="20">
        <v>100</v>
      </c>
      <c r="D1045" s="2" t="s">
        <v>2288</v>
      </c>
      <c r="E1045" s="2" t="s">
        <v>652</v>
      </c>
      <c r="F1045" s="20" t="s">
        <v>59</v>
      </c>
      <c r="G1045" s="2" t="s">
        <v>2289</v>
      </c>
      <c r="H1045" s="16"/>
      <c r="I1045" s="20"/>
      <c r="J1045" s="20"/>
      <c r="K1045" s="20"/>
      <c r="L1045" s="20"/>
      <c r="M1045" s="20"/>
      <c r="N1045" s="20"/>
      <c r="O1045" s="20"/>
      <c r="P1045" s="20"/>
      <c r="Q1045" s="20"/>
      <c r="R1045" s="20"/>
      <c r="S1045" s="20"/>
      <c r="T1045" s="20"/>
      <c r="U1045" s="20"/>
      <c r="V1045" s="20"/>
      <c r="W1045" s="20"/>
      <c r="X1045" s="20"/>
      <c r="Y1045" s="20"/>
      <c r="Z1045" s="20"/>
      <c r="AA1045" s="20"/>
    </row>
    <row r="1046" spans="1:27" ht="52.2" x14ac:dyDescent="0.25">
      <c r="A1046" s="16"/>
      <c r="B1046" s="20" t="b">
        <f ca="1">IFERROR(__xludf.DUMMYFUNCTION("if(D1046=iferror(filter('Character Sheet'!D$13:D3002,'Character Sheet'!D$13:D3002=D1046),""""),True,False)"),FALSE)</f>
        <v>0</v>
      </c>
      <c r="C1046" s="20">
        <v>100</v>
      </c>
      <c r="D1046" s="2" t="s">
        <v>2290</v>
      </c>
      <c r="E1046" s="2" t="s">
        <v>238</v>
      </c>
      <c r="F1046" s="20" t="s">
        <v>59</v>
      </c>
      <c r="G1046" s="2" t="s">
        <v>2291</v>
      </c>
      <c r="H1046" s="16"/>
      <c r="I1046" s="20"/>
      <c r="J1046" s="20"/>
      <c r="K1046" s="20"/>
      <c r="L1046" s="20"/>
      <c r="M1046" s="20"/>
      <c r="N1046" s="20"/>
      <c r="O1046" s="20"/>
      <c r="P1046" s="20"/>
      <c r="Q1046" s="20"/>
      <c r="R1046" s="20"/>
      <c r="S1046" s="20"/>
      <c r="T1046" s="20"/>
      <c r="U1046" s="20"/>
      <c r="V1046" s="20"/>
      <c r="W1046" s="20"/>
      <c r="X1046" s="20"/>
      <c r="Y1046" s="20"/>
      <c r="Z1046" s="20"/>
      <c r="AA1046" s="20"/>
    </row>
    <row r="1047" spans="1:27" ht="208.8" x14ac:dyDescent="0.25">
      <c r="A1047" s="16"/>
      <c r="B1047" s="20" t="b">
        <f ca="1">IFERROR(__xludf.DUMMYFUNCTION("if(D1047=iferror(filter('Character Sheet'!D$13:D3002,'Character Sheet'!D$13:D3002=D1047),""""),True,False)"),FALSE)</f>
        <v>0</v>
      </c>
      <c r="C1047" s="20">
        <v>100</v>
      </c>
      <c r="D1047" s="2" t="s">
        <v>2292</v>
      </c>
      <c r="E1047" s="2" t="s">
        <v>381</v>
      </c>
      <c r="F1047" s="20" t="s">
        <v>59</v>
      </c>
      <c r="G1047" s="2" t="s">
        <v>2293</v>
      </c>
      <c r="H1047" s="16"/>
      <c r="I1047" s="20"/>
      <c r="J1047" s="20"/>
      <c r="K1047" s="20"/>
      <c r="L1047" s="20"/>
      <c r="M1047" s="20"/>
      <c r="N1047" s="20"/>
      <c r="O1047" s="20"/>
      <c r="P1047" s="20"/>
      <c r="Q1047" s="20"/>
      <c r="R1047" s="20"/>
      <c r="S1047" s="20"/>
      <c r="T1047" s="20"/>
      <c r="U1047" s="20"/>
      <c r="V1047" s="20"/>
      <c r="W1047" s="20"/>
      <c r="X1047" s="20"/>
      <c r="Y1047" s="20"/>
      <c r="Z1047" s="20"/>
      <c r="AA1047" s="20"/>
    </row>
    <row r="1048" spans="1:27" ht="261" x14ac:dyDescent="0.25">
      <c r="A1048" s="16"/>
      <c r="B1048" s="20" t="b">
        <f ca="1">IFERROR(__xludf.DUMMYFUNCTION("if(D1048=iferror(filter('Character Sheet'!D$13:D3002,'Character Sheet'!D$13:D3002=D1048),""""),True,False)"),FALSE)</f>
        <v>0</v>
      </c>
      <c r="C1048" s="20">
        <v>100</v>
      </c>
      <c r="D1048" s="2" t="s">
        <v>2294</v>
      </c>
      <c r="E1048" s="2" t="s">
        <v>230</v>
      </c>
      <c r="F1048" s="20" t="s">
        <v>59</v>
      </c>
      <c r="G1048" s="2" t="s">
        <v>2295</v>
      </c>
      <c r="H1048" s="16"/>
      <c r="I1048" s="20"/>
      <c r="J1048" s="20"/>
      <c r="K1048" s="20"/>
      <c r="L1048" s="20"/>
      <c r="M1048" s="20"/>
      <c r="N1048" s="20"/>
      <c r="O1048" s="20"/>
      <c r="P1048" s="20"/>
      <c r="Q1048" s="20"/>
      <c r="R1048" s="20"/>
      <c r="S1048" s="20"/>
      <c r="T1048" s="20"/>
      <c r="U1048" s="20"/>
      <c r="V1048" s="20"/>
      <c r="W1048" s="20"/>
      <c r="X1048" s="20"/>
      <c r="Y1048" s="20"/>
      <c r="Z1048" s="20"/>
      <c r="AA1048" s="20"/>
    </row>
    <row r="1049" spans="1:27" ht="191.4" x14ac:dyDescent="0.25">
      <c r="A1049" s="16"/>
      <c r="B1049" s="20" t="b">
        <f ca="1">IFERROR(__xludf.DUMMYFUNCTION("if(D1049=iferror(filter('Character Sheet'!D$13:D3002,'Character Sheet'!D$13:D3002=D1049),""""),True,False)"),FALSE)</f>
        <v>0</v>
      </c>
      <c r="C1049" s="20">
        <v>100</v>
      </c>
      <c r="D1049" s="2" t="s">
        <v>2296</v>
      </c>
      <c r="E1049" s="2" t="s">
        <v>381</v>
      </c>
      <c r="F1049" s="20" t="s">
        <v>59</v>
      </c>
      <c r="G1049" s="2" t="s">
        <v>2297</v>
      </c>
      <c r="H1049" s="16"/>
      <c r="I1049" s="20"/>
      <c r="J1049" s="20"/>
      <c r="K1049" s="20"/>
      <c r="L1049" s="20"/>
      <c r="M1049" s="20"/>
      <c r="N1049" s="20"/>
      <c r="O1049" s="20"/>
      <c r="P1049" s="20"/>
      <c r="Q1049" s="20"/>
      <c r="R1049" s="20"/>
      <c r="S1049" s="20"/>
      <c r="T1049" s="20"/>
      <c r="U1049" s="20"/>
      <c r="V1049" s="20"/>
      <c r="W1049" s="20"/>
      <c r="X1049" s="20"/>
      <c r="Y1049" s="20"/>
      <c r="Z1049" s="20"/>
      <c r="AA1049" s="20"/>
    </row>
    <row r="1050" spans="1:27" ht="87" x14ac:dyDescent="0.25">
      <c r="A1050" s="16"/>
      <c r="B1050" s="20" t="b">
        <f ca="1">IFERROR(__xludf.DUMMYFUNCTION("if(D1050=iferror(filter('Character Sheet'!D$13:D3002,'Character Sheet'!D$13:D3002=D1050),""""),True,False)"),FALSE)</f>
        <v>0</v>
      </c>
      <c r="C1050" s="20">
        <v>100</v>
      </c>
      <c r="D1050" s="2" t="s">
        <v>2298</v>
      </c>
      <c r="E1050" s="2" t="s">
        <v>772</v>
      </c>
      <c r="F1050" s="20" t="s">
        <v>59</v>
      </c>
      <c r="G1050" s="2" t="s">
        <v>2299</v>
      </c>
      <c r="H1050" s="16"/>
      <c r="I1050" s="20"/>
      <c r="J1050" s="20"/>
      <c r="K1050" s="20"/>
      <c r="L1050" s="20"/>
      <c r="M1050" s="20"/>
      <c r="N1050" s="20"/>
      <c r="O1050" s="20"/>
      <c r="P1050" s="20"/>
      <c r="Q1050" s="20"/>
      <c r="R1050" s="20"/>
      <c r="S1050" s="20"/>
      <c r="T1050" s="20"/>
      <c r="U1050" s="20"/>
      <c r="V1050" s="20"/>
      <c r="W1050" s="20"/>
      <c r="X1050" s="20"/>
      <c r="Y1050" s="20"/>
      <c r="Z1050" s="20"/>
      <c r="AA1050" s="20"/>
    </row>
    <row r="1051" spans="1:27" ht="34.799999999999997" x14ac:dyDescent="0.25">
      <c r="A1051" s="16"/>
      <c r="B1051" s="20" t="b">
        <f ca="1">IFERROR(__xludf.DUMMYFUNCTION("if(D1051=iferror(filter('Character Sheet'!D$13:D3002,'Character Sheet'!D$13:D3002=D1051),""""),True,False)"),FALSE)</f>
        <v>0</v>
      </c>
      <c r="C1051" s="20">
        <v>100</v>
      </c>
      <c r="D1051" s="2" t="s">
        <v>2300</v>
      </c>
      <c r="E1051" s="2" t="s">
        <v>248</v>
      </c>
      <c r="F1051" s="20" t="s">
        <v>59</v>
      </c>
      <c r="G1051" s="2" t="s">
        <v>2301</v>
      </c>
      <c r="H1051" s="16"/>
      <c r="I1051" s="20"/>
      <c r="J1051" s="20"/>
      <c r="K1051" s="20"/>
      <c r="L1051" s="20"/>
      <c r="M1051" s="20"/>
      <c r="N1051" s="20"/>
      <c r="O1051" s="20"/>
      <c r="P1051" s="20"/>
      <c r="Q1051" s="20"/>
      <c r="R1051" s="20"/>
      <c r="S1051" s="20"/>
      <c r="T1051" s="20"/>
      <c r="U1051" s="20"/>
      <c r="V1051" s="20"/>
      <c r="W1051" s="20"/>
      <c r="X1051" s="20"/>
      <c r="Y1051" s="20"/>
      <c r="Z1051" s="20"/>
      <c r="AA1051" s="20"/>
    </row>
    <row r="1052" spans="1:27" ht="121.8" x14ac:dyDescent="0.25">
      <c r="A1052" s="16"/>
      <c r="B1052" s="20" t="b">
        <f ca="1">IFERROR(__xludf.DUMMYFUNCTION("if(D1052=iferror(filter('Character Sheet'!D$13:D3002,'Character Sheet'!D$13:D3002=D1052),""""),True,False)"),FALSE)</f>
        <v>0</v>
      </c>
      <c r="C1052" s="20">
        <v>100</v>
      </c>
      <c r="D1052" s="2" t="s">
        <v>2302</v>
      </c>
      <c r="E1052" s="2" t="s">
        <v>288</v>
      </c>
      <c r="F1052" s="20" t="s">
        <v>59</v>
      </c>
      <c r="G1052" s="2" t="s">
        <v>2303</v>
      </c>
      <c r="H1052" s="16"/>
      <c r="I1052" s="20"/>
      <c r="J1052" s="20"/>
      <c r="K1052" s="20"/>
      <c r="L1052" s="20"/>
      <c r="M1052" s="20"/>
      <c r="N1052" s="20"/>
      <c r="O1052" s="20"/>
      <c r="P1052" s="20"/>
      <c r="Q1052" s="20"/>
      <c r="R1052" s="20"/>
      <c r="S1052" s="20"/>
      <c r="T1052" s="20"/>
      <c r="U1052" s="20"/>
      <c r="V1052" s="20"/>
      <c r="W1052" s="20"/>
      <c r="X1052" s="20"/>
      <c r="Y1052" s="20"/>
      <c r="Z1052" s="20"/>
      <c r="AA1052" s="20"/>
    </row>
    <row r="1053" spans="1:27" ht="87" x14ac:dyDescent="0.25">
      <c r="A1053" s="16"/>
      <c r="B1053" s="20" t="b">
        <f ca="1">IFERROR(__xludf.DUMMYFUNCTION("if(D1053=iferror(filter('Character Sheet'!D$13:D3002,'Character Sheet'!D$13:D3002=D1053),""""),True,False)"),FALSE)</f>
        <v>0</v>
      </c>
      <c r="C1053" s="20">
        <v>100</v>
      </c>
      <c r="D1053" s="2" t="s">
        <v>2304</v>
      </c>
      <c r="E1053" s="2" t="s">
        <v>238</v>
      </c>
      <c r="F1053" s="20" t="s">
        <v>59</v>
      </c>
      <c r="G1053" s="2" t="s">
        <v>2305</v>
      </c>
      <c r="H1053" s="16"/>
      <c r="I1053" s="20"/>
      <c r="J1053" s="20"/>
      <c r="K1053" s="20"/>
      <c r="L1053" s="20"/>
      <c r="M1053" s="20"/>
      <c r="N1053" s="20"/>
      <c r="O1053" s="20"/>
      <c r="P1053" s="20"/>
      <c r="Q1053" s="20"/>
      <c r="R1053" s="20"/>
      <c r="S1053" s="20"/>
      <c r="T1053" s="20"/>
      <c r="U1053" s="20"/>
      <c r="V1053" s="20"/>
      <c r="W1053" s="20"/>
      <c r="X1053" s="20"/>
      <c r="Y1053" s="20"/>
      <c r="Z1053" s="20"/>
      <c r="AA1053" s="20"/>
    </row>
    <row r="1054" spans="1:27" ht="104.4" x14ac:dyDescent="0.25">
      <c r="A1054" s="16"/>
      <c r="B1054" s="20" t="b">
        <f ca="1">IFERROR(__xludf.DUMMYFUNCTION("if(D1054=iferror(filter('Character Sheet'!D$13:D3002,'Character Sheet'!D$13:D3002=D1054),""""),True,False)"),FALSE)</f>
        <v>0</v>
      </c>
      <c r="C1054" s="20">
        <v>100</v>
      </c>
      <c r="D1054" s="2" t="s">
        <v>2306</v>
      </c>
      <c r="E1054" s="2" t="s">
        <v>268</v>
      </c>
      <c r="F1054" s="20" t="s">
        <v>59</v>
      </c>
      <c r="G1054" s="2" t="s">
        <v>2307</v>
      </c>
      <c r="H1054" s="16"/>
      <c r="I1054" s="20"/>
      <c r="J1054" s="20"/>
      <c r="K1054" s="20"/>
      <c r="L1054" s="20"/>
      <c r="M1054" s="20"/>
      <c r="N1054" s="20"/>
      <c r="O1054" s="20"/>
      <c r="P1054" s="20"/>
      <c r="Q1054" s="20"/>
      <c r="R1054" s="20"/>
      <c r="S1054" s="20"/>
      <c r="T1054" s="20"/>
      <c r="U1054" s="20"/>
      <c r="V1054" s="20"/>
      <c r="W1054" s="20"/>
      <c r="X1054" s="20"/>
      <c r="Y1054" s="20"/>
      <c r="Z1054" s="20"/>
      <c r="AA1054" s="20"/>
    </row>
    <row r="1055" spans="1:27" ht="104.4" x14ac:dyDescent="0.25">
      <c r="A1055" s="16"/>
      <c r="B1055" s="20" t="b">
        <f ca="1">IFERROR(__xludf.DUMMYFUNCTION("if(D1055=iferror(filter('Character Sheet'!D$13:D3002,'Character Sheet'!D$13:D3002=D1055),""""),True,False)"),FALSE)</f>
        <v>0</v>
      </c>
      <c r="C1055" s="20">
        <v>100</v>
      </c>
      <c r="D1055" s="2" t="s">
        <v>2308</v>
      </c>
      <c r="E1055" s="2" t="s">
        <v>642</v>
      </c>
      <c r="F1055" s="20" t="s">
        <v>59</v>
      </c>
      <c r="G1055" s="2" t="s">
        <v>2309</v>
      </c>
      <c r="H1055" s="16"/>
      <c r="I1055" s="20"/>
      <c r="J1055" s="20"/>
      <c r="K1055" s="20"/>
      <c r="L1055" s="20"/>
      <c r="M1055" s="20"/>
      <c r="N1055" s="20"/>
      <c r="O1055" s="20"/>
      <c r="P1055" s="20"/>
      <c r="Q1055" s="20"/>
      <c r="R1055" s="20"/>
      <c r="S1055" s="20"/>
      <c r="T1055" s="20"/>
      <c r="U1055" s="20"/>
      <c r="V1055" s="20"/>
      <c r="W1055" s="20"/>
      <c r="X1055" s="20"/>
      <c r="Y1055" s="20"/>
      <c r="Z1055" s="20"/>
      <c r="AA1055" s="20"/>
    </row>
    <row r="1056" spans="1:27" ht="52.2" x14ac:dyDescent="0.25">
      <c r="A1056" s="16"/>
      <c r="B1056" s="20" t="b">
        <f ca="1">IFERROR(__xludf.DUMMYFUNCTION("if(D1056=iferror(filter('Character Sheet'!D$13:D3002,'Character Sheet'!D$13:D3002=D1056),""""),True,False)"),FALSE)</f>
        <v>0</v>
      </c>
      <c r="C1056" s="20">
        <v>100</v>
      </c>
      <c r="D1056" s="2" t="s">
        <v>2310</v>
      </c>
      <c r="E1056" s="2" t="s">
        <v>958</v>
      </c>
      <c r="F1056" s="20" t="s">
        <v>59</v>
      </c>
      <c r="G1056" s="2" t="s">
        <v>2311</v>
      </c>
      <c r="H1056" s="16"/>
      <c r="I1056" s="20"/>
      <c r="J1056" s="20"/>
      <c r="K1056" s="20"/>
      <c r="L1056" s="20"/>
      <c r="M1056" s="20"/>
      <c r="N1056" s="20"/>
      <c r="O1056" s="20"/>
      <c r="P1056" s="20"/>
      <c r="Q1056" s="20"/>
      <c r="R1056" s="20"/>
      <c r="S1056" s="20"/>
      <c r="T1056" s="20"/>
      <c r="U1056" s="20"/>
      <c r="V1056" s="20"/>
      <c r="W1056" s="20"/>
      <c r="X1056" s="20"/>
      <c r="Y1056" s="20"/>
      <c r="Z1056" s="20"/>
      <c r="AA1056" s="20"/>
    </row>
    <row r="1057" spans="1:27" ht="69.599999999999994" x14ac:dyDescent="0.25">
      <c r="A1057" s="16"/>
      <c r="B1057" s="20" t="b">
        <f ca="1">IFERROR(__xludf.DUMMYFUNCTION("if(D1057=iferror(filter('Character Sheet'!D$13:D3002,'Character Sheet'!D$13:D3002=D1057),""""),True,False)"),FALSE)</f>
        <v>0</v>
      </c>
      <c r="C1057" s="20">
        <v>100</v>
      </c>
      <c r="D1057" s="2" t="s">
        <v>2312</v>
      </c>
      <c r="E1057" s="2" t="s">
        <v>610</v>
      </c>
      <c r="F1057" s="20" t="s">
        <v>59</v>
      </c>
      <c r="G1057" s="2" t="s">
        <v>2313</v>
      </c>
      <c r="H1057" s="16"/>
      <c r="I1057" s="20"/>
      <c r="J1057" s="20"/>
      <c r="K1057" s="20"/>
      <c r="L1057" s="20"/>
      <c r="M1057" s="20"/>
      <c r="N1057" s="20"/>
      <c r="O1057" s="20"/>
      <c r="P1057" s="20"/>
      <c r="Q1057" s="20"/>
      <c r="R1057" s="20"/>
      <c r="S1057" s="20"/>
      <c r="T1057" s="20"/>
      <c r="U1057" s="20"/>
      <c r="V1057" s="20"/>
      <c r="W1057" s="20"/>
      <c r="X1057" s="20"/>
      <c r="Y1057" s="20"/>
      <c r="Z1057" s="20"/>
      <c r="AA1057" s="20"/>
    </row>
    <row r="1058" spans="1:27" ht="34.799999999999997" x14ac:dyDescent="0.25">
      <c r="A1058" s="16"/>
      <c r="B1058" s="20" t="b">
        <f ca="1">IFERROR(__xludf.DUMMYFUNCTION("if(D1058=iferror(filter('Character Sheet'!D$13:D3002,'Character Sheet'!D$13:D3002=D1058),""""),True,False)"),FALSE)</f>
        <v>0</v>
      </c>
      <c r="C1058" s="20">
        <v>100</v>
      </c>
      <c r="D1058" s="2" t="s">
        <v>2314</v>
      </c>
      <c r="E1058" s="2" t="s">
        <v>943</v>
      </c>
      <c r="F1058" s="20" t="s">
        <v>59</v>
      </c>
      <c r="G1058" s="2" t="s">
        <v>2315</v>
      </c>
      <c r="H1058" s="16"/>
      <c r="I1058" s="20"/>
      <c r="J1058" s="20"/>
      <c r="K1058" s="20"/>
      <c r="L1058" s="20"/>
      <c r="M1058" s="20"/>
      <c r="N1058" s="20"/>
      <c r="O1058" s="20"/>
      <c r="P1058" s="20"/>
      <c r="Q1058" s="20"/>
      <c r="R1058" s="20"/>
      <c r="S1058" s="20"/>
      <c r="T1058" s="20"/>
      <c r="U1058" s="20"/>
      <c r="V1058" s="20"/>
      <c r="W1058" s="20"/>
      <c r="X1058" s="20"/>
      <c r="Y1058" s="20"/>
      <c r="Z1058" s="20"/>
      <c r="AA1058" s="20"/>
    </row>
    <row r="1059" spans="1:27" ht="69.599999999999994" x14ac:dyDescent="0.25">
      <c r="A1059" s="16"/>
      <c r="B1059" s="20" t="b">
        <f ca="1">IFERROR(__xludf.DUMMYFUNCTION("if(D1059=iferror(filter('Character Sheet'!D$13:D3002,'Character Sheet'!D$13:D3002=D1059),""""),True,False)"),FALSE)</f>
        <v>0</v>
      </c>
      <c r="C1059" s="20">
        <v>100</v>
      </c>
      <c r="D1059" s="2" t="s">
        <v>2316</v>
      </c>
      <c r="E1059" s="2" t="s">
        <v>848</v>
      </c>
      <c r="F1059" s="20" t="s">
        <v>59</v>
      </c>
      <c r="G1059" s="2" t="s">
        <v>2317</v>
      </c>
      <c r="H1059" s="16"/>
      <c r="I1059" s="20"/>
      <c r="J1059" s="20"/>
      <c r="K1059" s="20"/>
      <c r="L1059" s="20"/>
      <c r="M1059" s="20"/>
      <c r="N1059" s="20"/>
      <c r="O1059" s="20"/>
      <c r="P1059" s="20"/>
      <c r="Q1059" s="20"/>
      <c r="R1059" s="20"/>
      <c r="S1059" s="20"/>
      <c r="T1059" s="20"/>
      <c r="U1059" s="20"/>
      <c r="V1059" s="20"/>
      <c r="W1059" s="20"/>
      <c r="X1059" s="20"/>
      <c r="Y1059" s="20"/>
      <c r="Z1059" s="20"/>
      <c r="AA1059" s="20"/>
    </row>
    <row r="1060" spans="1:27" ht="87" x14ac:dyDescent="0.25">
      <c r="A1060" s="16"/>
      <c r="B1060" s="20" t="b">
        <f ca="1">IFERROR(__xludf.DUMMYFUNCTION("if(D1060=iferror(filter('Character Sheet'!D$13:D3002,'Character Sheet'!D$13:D3002=D1060),""""),True,False)"),FALSE)</f>
        <v>0</v>
      </c>
      <c r="C1060" s="20">
        <v>100</v>
      </c>
      <c r="D1060" s="2" t="s">
        <v>2318</v>
      </c>
      <c r="E1060" s="2" t="s">
        <v>401</v>
      </c>
      <c r="F1060" s="20" t="s">
        <v>59</v>
      </c>
      <c r="G1060" s="2" t="s">
        <v>2319</v>
      </c>
      <c r="H1060" s="16"/>
      <c r="I1060" s="20"/>
      <c r="J1060" s="20"/>
      <c r="K1060" s="20"/>
      <c r="L1060" s="20"/>
      <c r="M1060" s="20"/>
      <c r="N1060" s="20"/>
      <c r="O1060" s="20"/>
      <c r="P1060" s="20"/>
      <c r="Q1060" s="20"/>
      <c r="R1060" s="20"/>
      <c r="S1060" s="20"/>
      <c r="T1060" s="20"/>
      <c r="U1060" s="20"/>
      <c r="V1060" s="20"/>
      <c r="W1060" s="20"/>
      <c r="X1060" s="20"/>
      <c r="Y1060" s="20"/>
      <c r="Z1060" s="20"/>
      <c r="AA1060" s="20"/>
    </row>
    <row r="1061" spans="1:27" ht="52.2" x14ac:dyDescent="0.25">
      <c r="A1061" s="16"/>
      <c r="B1061" s="20" t="b">
        <f ca="1">IFERROR(__xludf.DUMMYFUNCTION("if(D1061=iferror(filter('Character Sheet'!D$13:D3002,'Character Sheet'!D$13:D3002=D1061),""""),True,False)"),FALSE)</f>
        <v>0</v>
      </c>
      <c r="C1061" s="20">
        <v>100</v>
      </c>
      <c r="D1061" s="2" t="s">
        <v>2320</v>
      </c>
      <c r="E1061" s="2" t="s">
        <v>943</v>
      </c>
      <c r="F1061" s="20" t="s">
        <v>59</v>
      </c>
      <c r="G1061" s="2" t="s">
        <v>2321</v>
      </c>
      <c r="H1061" s="16"/>
      <c r="I1061" s="20"/>
      <c r="J1061" s="20"/>
      <c r="K1061" s="20"/>
      <c r="L1061" s="20"/>
      <c r="M1061" s="20"/>
      <c r="N1061" s="20"/>
      <c r="O1061" s="20"/>
      <c r="P1061" s="20"/>
      <c r="Q1061" s="20"/>
      <c r="R1061" s="20"/>
      <c r="S1061" s="20"/>
      <c r="T1061" s="20"/>
      <c r="U1061" s="20"/>
      <c r="V1061" s="20"/>
      <c r="W1061" s="20"/>
      <c r="X1061" s="20"/>
      <c r="Y1061" s="20"/>
      <c r="Z1061" s="20"/>
      <c r="AA1061" s="20"/>
    </row>
    <row r="1062" spans="1:27" ht="69.599999999999994" x14ac:dyDescent="0.25">
      <c r="A1062" s="16"/>
      <c r="B1062" s="20" t="b">
        <f ca="1">IFERROR(__xludf.DUMMYFUNCTION("if(D1062=iferror(filter('Character Sheet'!D$13:D3002,'Character Sheet'!D$13:D3002=D1062),""""),True,False)"),FALSE)</f>
        <v>0</v>
      </c>
      <c r="C1062" s="20">
        <v>100</v>
      </c>
      <c r="D1062" s="2" t="s">
        <v>2322</v>
      </c>
      <c r="E1062" s="2" t="s">
        <v>475</v>
      </c>
      <c r="F1062" s="20" t="s">
        <v>59</v>
      </c>
      <c r="G1062" s="2" t="s">
        <v>2323</v>
      </c>
      <c r="H1062" s="16"/>
      <c r="I1062" s="20"/>
      <c r="J1062" s="20"/>
      <c r="K1062" s="20"/>
      <c r="L1062" s="20"/>
      <c r="M1062" s="20"/>
      <c r="N1062" s="20"/>
      <c r="O1062" s="20"/>
      <c r="P1062" s="20"/>
      <c r="Q1062" s="20"/>
      <c r="R1062" s="20"/>
      <c r="S1062" s="20"/>
      <c r="T1062" s="20"/>
      <c r="U1062" s="20"/>
      <c r="V1062" s="20"/>
      <c r="W1062" s="20"/>
      <c r="X1062" s="20"/>
      <c r="Y1062" s="20"/>
      <c r="Z1062" s="20"/>
      <c r="AA1062" s="20"/>
    </row>
    <row r="1063" spans="1:27" ht="121.8" x14ac:dyDescent="0.25">
      <c r="A1063" s="16"/>
      <c r="B1063" s="20" t="b">
        <f ca="1">IFERROR(__xludf.DUMMYFUNCTION("if(D1063=iferror(filter('Character Sheet'!D$13:D3002,'Character Sheet'!D$13:D3002=D1063),""""),True,False)"),FALSE)</f>
        <v>0</v>
      </c>
      <c r="C1063" s="20">
        <v>100</v>
      </c>
      <c r="D1063" s="2" t="s">
        <v>2324</v>
      </c>
      <c r="E1063" s="2" t="s">
        <v>2325</v>
      </c>
      <c r="F1063" s="20" t="s">
        <v>59</v>
      </c>
      <c r="G1063" s="2" t="s">
        <v>2326</v>
      </c>
      <c r="H1063" s="16"/>
      <c r="I1063" s="20"/>
      <c r="J1063" s="20"/>
      <c r="K1063" s="20"/>
      <c r="L1063" s="20"/>
      <c r="M1063" s="20"/>
      <c r="N1063" s="20"/>
      <c r="O1063" s="20"/>
      <c r="P1063" s="20"/>
      <c r="Q1063" s="20"/>
      <c r="R1063" s="20"/>
      <c r="S1063" s="20"/>
      <c r="T1063" s="20"/>
      <c r="U1063" s="20"/>
      <c r="V1063" s="20"/>
      <c r="W1063" s="20"/>
      <c r="X1063" s="20"/>
      <c r="Y1063" s="20"/>
      <c r="Z1063" s="20"/>
      <c r="AA1063" s="20"/>
    </row>
    <row r="1064" spans="1:27" ht="87" x14ac:dyDescent="0.25">
      <c r="A1064" s="16"/>
      <c r="B1064" s="20" t="b">
        <f ca="1">IFERROR(__xludf.DUMMYFUNCTION("if(D1064=iferror(filter('Character Sheet'!D$13:D3002,'Character Sheet'!D$13:D3002=D1064),""""),True,False)"),FALSE)</f>
        <v>0</v>
      </c>
      <c r="C1064" s="20">
        <v>100</v>
      </c>
      <c r="D1064" s="2" t="s">
        <v>2327</v>
      </c>
      <c r="E1064" s="2" t="s">
        <v>378</v>
      </c>
      <c r="F1064" s="20" t="s">
        <v>59</v>
      </c>
      <c r="G1064" s="2" t="s">
        <v>2328</v>
      </c>
      <c r="H1064" s="16"/>
      <c r="I1064" s="20"/>
      <c r="J1064" s="20"/>
      <c r="K1064" s="20"/>
      <c r="L1064" s="20"/>
      <c r="M1064" s="20"/>
      <c r="N1064" s="20"/>
      <c r="O1064" s="20"/>
      <c r="P1064" s="20"/>
      <c r="Q1064" s="20"/>
      <c r="R1064" s="20"/>
      <c r="S1064" s="20"/>
      <c r="T1064" s="20"/>
      <c r="U1064" s="20"/>
      <c r="V1064" s="20"/>
      <c r="W1064" s="20"/>
      <c r="X1064" s="20"/>
      <c r="Y1064" s="20"/>
      <c r="Z1064" s="20"/>
      <c r="AA1064" s="20"/>
    </row>
    <row r="1065" spans="1:27" ht="87" x14ac:dyDescent="0.25">
      <c r="A1065" s="16"/>
      <c r="B1065" s="20" t="b">
        <f ca="1">IFERROR(__xludf.DUMMYFUNCTION("if(D1065=iferror(filter('Character Sheet'!D$13:D3002,'Character Sheet'!D$13:D3002=D1065),""""),True,False)"),FALSE)</f>
        <v>0</v>
      </c>
      <c r="C1065" s="20">
        <v>100</v>
      </c>
      <c r="D1065" s="2" t="s">
        <v>2329</v>
      </c>
      <c r="E1065" s="2" t="s">
        <v>451</v>
      </c>
      <c r="F1065" s="20" t="s">
        <v>59</v>
      </c>
      <c r="G1065" s="2" t="s">
        <v>2330</v>
      </c>
      <c r="H1065" s="16"/>
      <c r="I1065" s="20"/>
      <c r="J1065" s="20"/>
      <c r="K1065" s="20"/>
      <c r="L1065" s="20"/>
      <c r="M1065" s="20"/>
      <c r="N1065" s="20"/>
      <c r="O1065" s="20"/>
      <c r="P1065" s="20"/>
      <c r="Q1065" s="20"/>
      <c r="R1065" s="20"/>
      <c r="S1065" s="20"/>
      <c r="T1065" s="20"/>
      <c r="U1065" s="20"/>
      <c r="V1065" s="20"/>
      <c r="W1065" s="20"/>
      <c r="X1065" s="20"/>
      <c r="Y1065" s="20"/>
      <c r="Z1065" s="20"/>
      <c r="AA1065" s="20"/>
    </row>
    <row r="1066" spans="1:27" ht="87" x14ac:dyDescent="0.25">
      <c r="A1066" s="16"/>
      <c r="B1066" s="20" t="b">
        <f ca="1">IFERROR(__xludf.DUMMYFUNCTION("if(D1066=iferror(filter('Character Sheet'!D$13:D3002,'Character Sheet'!D$13:D3002=D1066),""""),True,False)"),FALSE)</f>
        <v>0</v>
      </c>
      <c r="C1066" s="20">
        <v>200</v>
      </c>
      <c r="D1066" s="2" t="s">
        <v>2331</v>
      </c>
      <c r="E1066" s="2" t="s">
        <v>442</v>
      </c>
      <c r="F1066" s="20" t="s">
        <v>59</v>
      </c>
      <c r="G1066" s="2" t="s">
        <v>2332</v>
      </c>
      <c r="H1066" s="16"/>
      <c r="I1066" s="20"/>
      <c r="J1066" s="20"/>
      <c r="K1066" s="20"/>
      <c r="L1066" s="20"/>
      <c r="M1066" s="20"/>
      <c r="N1066" s="20"/>
      <c r="O1066" s="20"/>
      <c r="P1066" s="20"/>
      <c r="Q1066" s="20"/>
      <c r="R1066" s="20"/>
      <c r="S1066" s="20"/>
      <c r="T1066" s="20"/>
      <c r="U1066" s="20"/>
      <c r="V1066" s="20"/>
      <c r="W1066" s="20"/>
      <c r="X1066" s="20"/>
      <c r="Y1066" s="20"/>
      <c r="Z1066" s="20"/>
      <c r="AA1066" s="20"/>
    </row>
    <row r="1067" spans="1:27" ht="87" x14ac:dyDescent="0.25">
      <c r="A1067" s="16"/>
      <c r="B1067" s="20" t="b">
        <f ca="1">IFERROR(__xludf.DUMMYFUNCTION("if(D1067=iferror(filter('Character Sheet'!D$13:D3002,'Character Sheet'!D$13:D3002=D1067),""""),True,False)"),FALSE)</f>
        <v>0</v>
      </c>
      <c r="C1067" s="20">
        <v>200</v>
      </c>
      <c r="D1067" s="2" t="s">
        <v>2333</v>
      </c>
      <c r="E1067" s="2" t="s">
        <v>848</v>
      </c>
      <c r="F1067" s="20" t="s">
        <v>59</v>
      </c>
      <c r="G1067" s="2" t="s">
        <v>2334</v>
      </c>
      <c r="H1067" s="16"/>
      <c r="I1067" s="20"/>
      <c r="J1067" s="20"/>
      <c r="K1067" s="20"/>
      <c r="L1067" s="20"/>
      <c r="M1067" s="20"/>
      <c r="N1067" s="20"/>
      <c r="O1067" s="20"/>
      <c r="P1067" s="20"/>
      <c r="Q1067" s="20"/>
      <c r="R1067" s="20"/>
      <c r="S1067" s="20"/>
      <c r="T1067" s="20"/>
      <c r="U1067" s="20"/>
      <c r="V1067" s="20"/>
      <c r="W1067" s="20"/>
      <c r="X1067" s="20"/>
      <c r="Y1067" s="20"/>
      <c r="Z1067" s="20"/>
      <c r="AA1067" s="20"/>
    </row>
    <row r="1068" spans="1:27" ht="139.19999999999999" x14ac:dyDescent="0.25">
      <c r="A1068" s="16"/>
      <c r="B1068" s="20" t="b">
        <f ca="1">IFERROR(__xludf.DUMMYFUNCTION("if(D1068=iferror(filter('Character Sheet'!D$13:D3002,'Character Sheet'!D$13:D3002=D1068),""""),True,False)"),FALSE)</f>
        <v>0</v>
      </c>
      <c r="C1068" s="20">
        <v>200</v>
      </c>
      <c r="D1068" s="2" t="s">
        <v>2335</v>
      </c>
      <c r="E1068" s="2" t="s">
        <v>610</v>
      </c>
      <c r="F1068" s="20" t="s">
        <v>59</v>
      </c>
      <c r="G1068" s="2" t="s">
        <v>2336</v>
      </c>
      <c r="H1068" s="16"/>
      <c r="I1068" s="20"/>
      <c r="J1068" s="20"/>
      <c r="K1068" s="20"/>
      <c r="L1068" s="20"/>
      <c r="M1068" s="20"/>
      <c r="N1068" s="20"/>
      <c r="O1068" s="20"/>
      <c r="P1068" s="20"/>
      <c r="Q1068" s="20"/>
      <c r="R1068" s="20"/>
      <c r="S1068" s="20"/>
      <c r="T1068" s="20"/>
      <c r="U1068" s="20"/>
      <c r="V1068" s="20"/>
      <c r="W1068" s="20"/>
      <c r="X1068" s="20"/>
      <c r="Y1068" s="20"/>
      <c r="Z1068" s="20"/>
      <c r="AA1068" s="20"/>
    </row>
    <row r="1069" spans="1:27" ht="104.4" x14ac:dyDescent="0.25">
      <c r="A1069" s="16"/>
      <c r="B1069" s="20" t="b">
        <f ca="1">IFERROR(__xludf.DUMMYFUNCTION("if(D1069=iferror(filter('Character Sheet'!D$13:D3002,'Character Sheet'!D$13:D3002=D1069),""""),True,False)"),FALSE)</f>
        <v>0</v>
      </c>
      <c r="C1069" s="20">
        <v>200</v>
      </c>
      <c r="D1069" s="2" t="s">
        <v>2337</v>
      </c>
      <c r="E1069" s="2" t="s">
        <v>90</v>
      </c>
      <c r="F1069" s="20" t="s">
        <v>59</v>
      </c>
      <c r="G1069" s="2" t="s">
        <v>2338</v>
      </c>
      <c r="H1069" s="16"/>
      <c r="I1069" s="20"/>
      <c r="J1069" s="20"/>
      <c r="K1069" s="20"/>
      <c r="L1069" s="20"/>
      <c r="M1069" s="20"/>
      <c r="N1069" s="20"/>
      <c r="O1069" s="20"/>
      <c r="P1069" s="20"/>
      <c r="Q1069" s="20"/>
      <c r="R1069" s="20"/>
      <c r="S1069" s="20"/>
      <c r="T1069" s="20"/>
      <c r="U1069" s="20"/>
      <c r="V1069" s="20"/>
      <c r="W1069" s="20"/>
      <c r="X1069" s="20"/>
      <c r="Y1069" s="20"/>
      <c r="Z1069" s="20"/>
      <c r="AA1069" s="20"/>
    </row>
    <row r="1070" spans="1:27" ht="69.599999999999994" x14ac:dyDescent="0.25">
      <c r="A1070" s="16"/>
      <c r="B1070" s="20" t="b">
        <f ca="1">IFERROR(__xludf.DUMMYFUNCTION("if(D1070=iferror(filter('Character Sheet'!D$13:D3002,'Character Sheet'!D$13:D3002=D1070),""""),True,False)"),FALSE)</f>
        <v>0</v>
      </c>
      <c r="C1070" s="20">
        <v>200</v>
      </c>
      <c r="D1070" s="2" t="s">
        <v>2339</v>
      </c>
      <c r="E1070" s="2" t="s">
        <v>2340</v>
      </c>
      <c r="F1070" s="20" t="s">
        <v>59</v>
      </c>
      <c r="G1070" s="2" t="s">
        <v>2341</v>
      </c>
      <c r="H1070" s="16"/>
      <c r="I1070" s="20"/>
      <c r="J1070" s="20"/>
      <c r="K1070" s="20"/>
      <c r="L1070" s="20"/>
      <c r="M1070" s="20"/>
      <c r="N1070" s="20"/>
      <c r="O1070" s="20"/>
      <c r="P1070" s="20"/>
      <c r="Q1070" s="20"/>
      <c r="R1070" s="20"/>
      <c r="S1070" s="20"/>
      <c r="T1070" s="20"/>
      <c r="U1070" s="20"/>
      <c r="V1070" s="20"/>
      <c r="W1070" s="20"/>
      <c r="X1070" s="20"/>
      <c r="Y1070" s="20"/>
      <c r="Z1070" s="20"/>
      <c r="AA1070" s="20"/>
    </row>
    <row r="1071" spans="1:27" ht="104.4" x14ac:dyDescent="0.25">
      <c r="A1071" s="16"/>
      <c r="B1071" s="20" t="b">
        <f ca="1">IFERROR(__xludf.DUMMYFUNCTION("if(D1071=iferror(filter('Character Sheet'!D$13:D3002,'Character Sheet'!D$13:D3002=D1071),""""),True,False)"),FALSE)</f>
        <v>0</v>
      </c>
      <c r="C1071" s="20">
        <v>200</v>
      </c>
      <c r="D1071" s="2" t="s">
        <v>2342</v>
      </c>
      <c r="E1071" s="2" t="s">
        <v>317</v>
      </c>
      <c r="F1071" s="20" t="s">
        <v>59</v>
      </c>
      <c r="G1071" s="2" t="s">
        <v>2343</v>
      </c>
      <c r="H1071" s="16"/>
      <c r="I1071" s="20"/>
      <c r="J1071" s="20"/>
      <c r="K1071" s="20"/>
      <c r="L1071" s="20"/>
      <c r="M1071" s="20"/>
      <c r="N1071" s="20"/>
      <c r="O1071" s="20"/>
      <c r="P1071" s="20"/>
      <c r="Q1071" s="20"/>
      <c r="R1071" s="20"/>
      <c r="S1071" s="20"/>
      <c r="T1071" s="20"/>
      <c r="U1071" s="20"/>
      <c r="V1071" s="20"/>
      <c r="W1071" s="20"/>
      <c r="X1071" s="20"/>
      <c r="Y1071" s="20"/>
      <c r="Z1071" s="20"/>
      <c r="AA1071" s="20"/>
    </row>
    <row r="1072" spans="1:27" ht="52.2" x14ac:dyDescent="0.25">
      <c r="A1072" s="16"/>
      <c r="B1072" s="20" t="b">
        <f ca="1">IFERROR(__xludf.DUMMYFUNCTION("if(D1072=iferror(filter('Character Sheet'!D$13:D3002,'Character Sheet'!D$13:D3002=D1072),""""),True,False)"),FALSE)</f>
        <v>0</v>
      </c>
      <c r="C1072" s="20">
        <v>200</v>
      </c>
      <c r="D1072" s="2" t="s">
        <v>2344</v>
      </c>
      <c r="E1072" s="2" t="s">
        <v>534</v>
      </c>
      <c r="F1072" s="20" t="s">
        <v>59</v>
      </c>
      <c r="G1072" s="2" t="s">
        <v>2345</v>
      </c>
      <c r="H1072" s="16"/>
      <c r="I1072" s="20"/>
      <c r="J1072" s="20"/>
      <c r="K1072" s="20"/>
      <c r="L1072" s="20"/>
      <c r="M1072" s="20"/>
      <c r="N1072" s="20"/>
      <c r="O1072" s="20"/>
      <c r="P1072" s="20"/>
      <c r="Q1072" s="20"/>
      <c r="R1072" s="20"/>
      <c r="S1072" s="20"/>
      <c r="T1072" s="20"/>
      <c r="U1072" s="20"/>
      <c r="V1072" s="20"/>
      <c r="W1072" s="20"/>
      <c r="X1072" s="20"/>
      <c r="Y1072" s="20"/>
      <c r="Z1072" s="20"/>
      <c r="AA1072" s="20"/>
    </row>
    <row r="1073" spans="1:27" ht="121.8" x14ac:dyDescent="0.25">
      <c r="A1073" s="16"/>
      <c r="B1073" s="20" t="b">
        <f ca="1">IFERROR(__xludf.DUMMYFUNCTION("if(D1073=iferror(filter('Character Sheet'!D$13:D3002,'Character Sheet'!D$13:D3002=D1073),""""),True,False)"),FALSE)</f>
        <v>0</v>
      </c>
      <c r="C1073" s="20">
        <v>200</v>
      </c>
      <c r="D1073" s="2" t="s">
        <v>2346</v>
      </c>
      <c r="E1073" s="2" t="s">
        <v>334</v>
      </c>
      <c r="F1073" s="20" t="s">
        <v>59</v>
      </c>
      <c r="G1073" s="2" t="s">
        <v>2347</v>
      </c>
      <c r="H1073" s="16"/>
      <c r="I1073" s="20"/>
      <c r="J1073" s="20"/>
      <c r="K1073" s="20"/>
      <c r="L1073" s="20"/>
      <c r="M1073" s="20"/>
      <c r="N1073" s="20"/>
      <c r="O1073" s="20"/>
      <c r="P1073" s="20"/>
      <c r="Q1073" s="20"/>
      <c r="R1073" s="20"/>
      <c r="S1073" s="20"/>
      <c r="T1073" s="20"/>
      <c r="U1073" s="20"/>
      <c r="V1073" s="20"/>
      <c r="W1073" s="20"/>
      <c r="X1073" s="20"/>
      <c r="Y1073" s="20"/>
      <c r="Z1073" s="20"/>
      <c r="AA1073" s="20"/>
    </row>
    <row r="1074" spans="1:27" ht="69.599999999999994" x14ac:dyDescent="0.25">
      <c r="A1074" s="16"/>
      <c r="B1074" s="20" t="b">
        <f ca="1">IFERROR(__xludf.DUMMYFUNCTION("if(D1074=iferror(filter('Character Sheet'!D$13:D3002,'Character Sheet'!D$13:D3002=D1074),""""),True,False)"),FALSE)</f>
        <v>0</v>
      </c>
      <c r="C1074" s="20">
        <v>200</v>
      </c>
      <c r="D1074" s="2" t="s">
        <v>2348</v>
      </c>
      <c r="E1074" s="2" t="s">
        <v>217</v>
      </c>
      <c r="F1074" s="20" t="s">
        <v>59</v>
      </c>
      <c r="G1074" s="2" t="s">
        <v>2349</v>
      </c>
      <c r="H1074" s="16"/>
      <c r="I1074" s="20"/>
      <c r="J1074" s="20"/>
      <c r="K1074" s="20"/>
      <c r="L1074" s="20"/>
      <c r="M1074" s="20"/>
      <c r="N1074" s="20"/>
      <c r="O1074" s="20"/>
      <c r="P1074" s="20"/>
      <c r="Q1074" s="20"/>
      <c r="R1074" s="20"/>
      <c r="S1074" s="20"/>
      <c r="T1074" s="20"/>
      <c r="U1074" s="20"/>
      <c r="V1074" s="20"/>
      <c r="W1074" s="20"/>
      <c r="X1074" s="20"/>
      <c r="Y1074" s="20"/>
      <c r="Z1074" s="20"/>
      <c r="AA1074" s="20"/>
    </row>
    <row r="1075" spans="1:27" ht="139.19999999999999" x14ac:dyDescent="0.25">
      <c r="A1075" s="16"/>
      <c r="B1075" s="20" t="b">
        <f ca="1">IFERROR(__xludf.DUMMYFUNCTION("if(D1075=iferror(filter('Character Sheet'!D$13:D3002,'Character Sheet'!D$13:D3002=D1075),""""),True,False)"),FALSE)</f>
        <v>0</v>
      </c>
      <c r="C1075" s="20">
        <v>200</v>
      </c>
      <c r="D1075" s="2" t="s">
        <v>2350</v>
      </c>
      <c r="E1075" s="20" t="s">
        <v>291</v>
      </c>
      <c r="F1075" s="20" t="s">
        <v>59</v>
      </c>
      <c r="G1075" s="2" t="s">
        <v>2351</v>
      </c>
      <c r="H1075" s="16"/>
      <c r="I1075" s="20"/>
      <c r="J1075" s="20"/>
      <c r="K1075" s="20"/>
      <c r="L1075" s="20"/>
      <c r="M1075" s="20"/>
      <c r="N1075" s="20"/>
      <c r="O1075" s="20"/>
      <c r="P1075" s="20"/>
      <c r="Q1075" s="20"/>
      <c r="R1075" s="20"/>
      <c r="S1075" s="20"/>
      <c r="T1075" s="20"/>
      <c r="U1075" s="20"/>
      <c r="V1075" s="20"/>
      <c r="W1075" s="20"/>
      <c r="X1075" s="20"/>
      <c r="Y1075" s="20"/>
      <c r="Z1075" s="20"/>
      <c r="AA1075" s="20"/>
    </row>
    <row r="1076" spans="1:27" ht="261" x14ac:dyDescent="0.25">
      <c r="A1076" s="16"/>
      <c r="B1076" s="20" t="b">
        <f ca="1">IFERROR(__xludf.DUMMYFUNCTION("if(D1076=iferror(filter('Character Sheet'!D$13:D3002,'Character Sheet'!D$13:D3002=D1076),""""),True,False)"),FALSE)</f>
        <v>0</v>
      </c>
      <c r="C1076" s="20">
        <v>200</v>
      </c>
      <c r="D1076" s="2" t="s">
        <v>2352</v>
      </c>
      <c r="E1076" s="2" t="s">
        <v>265</v>
      </c>
      <c r="F1076" s="20" t="s">
        <v>59</v>
      </c>
      <c r="G1076" s="2" t="s">
        <v>2353</v>
      </c>
      <c r="H1076" s="16"/>
      <c r="I1076" s="20"/>
      <c r="J1076" s="20"/>
      <c r="K1076" s="20"/>
      <c r="L1076" s="20"/>
      <c r="M1076" s="20"/>
      <c r="N1076" s="20"/>
      <c r="O1076" s="20"/>
      <c r="P1076" s="20"/>
      <c r="Q1076" s="20"/>
      <c r="R1076" s="20"/>
      <c r="S1076" s="20"/>
      <c r="T1076" s="20"/>
      <c r="U1076" s="20"/>
      <c r="V1076" s="20"/>
      <c r="W1076" s="20"/>
      <c r="X1076" s="20"/>
      <c r="Y1076" s="20"/>
      <c r="Z1076" s="20"/>
      <c r="AA1076" s="20"/>
    </row>
    <row r="1077" spans="1:27" ht="208.8" x14ac:dyDescent="0.25">
      <c r="A1077" s="16"/>
      <c r="B1077" s="20" t="b">
        <f ca="1">IFERROR(__xludf.DUMMYFUNCTION("if(D1077=iferror(filter('Character Sheet'!D$13:D3002,'Character Sheet'!D$13:D3002=D1077),""""),True,False)"),FALSE)</f>
        <v>0</v>
      </c>
      <c r="C1077" s="20">
        <v>200</v>
      </c>
      <c r="D1077" s="2" t="s">
        <v>2354</v>
      </c>
      <c r="E1077" s="2" t="s">
        <v>268</v>
      </c>
      <c r="F1077" s="20" t="s">
        <v>59</v>
      </c>
      <c r="G1077" s="2" t="s">
        <v>2355</v>
      </c>
      <c r="H1077" s="16"/>
      <c r="I1077" s="20"/>
      <c r="J1077" s="20"/>
      <c r="K1077" s="20"/>
      <c r="L1077" s="20"/>
      <c r="M1077" s="20"/>
      <c r="N1077" s="20"/>
      <c r="O1077" s="20"/>
      <c r="P1077" s="20"/>
      <c r="Q1077" s="20"/>
      <c r="R1077" s="20"/>
      <c r="S1077" s="20"/>
      <c r="T1077" s="20"/>
      <c r="U1077" s="20"/>
      <c r="V1077" s="20"/>
      <c r="W1077" s="20"/>
      <c r="X1077" s="20"/>
      <c r="Y1077" s="20"/>
      <c r="Z1077" s="20"/>
      <c r="AA1077" s="20"/>
    </row>
    <row r="1078" spans="1:27" ht="69.599999999999994" x14ac:dyDescent="0.25">
      <c r="A1078" s="16"/>
      <c r="B1078" s="20" t="b">
        <f ca="1">IFERROR(__xludf.DUMMYFUNCTION("if(D1078=iferror(filter('Character Sheet'!D$13:D3002,'Character Sheet'!D$13:D3002=D1078),""""),True,False)"),FALSE)</f>
        <v>0</v>
      </c>
      <c r="C1078" s="20">
        <v>200</v>
      </c>
      <c r="D1078" s="2" t="s">
        <v>2356</v>
      </c>
      <c r="E1078" s="2" t="s">
        <v>451</v>
      </c>
      <c r="F1078" s="20" t="s">
        <v>59</v>
      </c>
      <c r="G1078" s="2" t="s">
        <v>2357</v>
      </c>
      <c r="H1078" s="16"/>
      <c r="I1078" s="20"/>
      <c r="J1078" s="20"/>
      <c r="K1078" s="20"/>
      <c r="L1078" s="20"/>
      <c r="M1078" s="20"/>
      <c r="N1078" s="20"/>
      <c r="O1078" s="20"/>
      <c r="P1078" s="20"/>
      <c r="Q1078" s="20"/>
      <c r="R1078" s="20"/>
      <c r="S1078" s="20"/>
      <c r="T1078" s="20"/>
      <c r="U1078" s="20"/>
      <c r="V1078" s="20"/>
      <c r="W1078" s="20"/>
      <c r="X1078" s="20"/>
      <c r="Y1078" s="20"/>
      <c r="Z1078" s="20"/>
      <c r="AA1078" s="20"/>
    </row>
    <row r="1079" spans="1:27" ht="87" x14ac:dyDescent="0.25">
      <c r="A1079" s="16"/>
      <c r="B1079" s="20" t="b">
        <f ca="1">IFERROR(__xludf.DUMMYFUNCTION("if(D1079=iferror(filter('Character Sheet'!D$13:D3002,'Character Sheet'!D$13:D3002=D1079),""""),True,False)"),FALSE)</f>
        <v>0</v>
      </c>
      <c r="C1079" s="20">
        <v>200</v>
      </c>
      <c r="D1079" s="2" t="s">
        <v>2358</v>
      </c>
      <c r="E1079" s="2" t="s">
        <v>576</v>
      </c>
      <c r="F1079" s="20" t="s">
        <v>59</v>
      </c>
      <c r="G1079" s="2" t="s">
        <v>2359</v>
      </c>
      <c r="H1079" s="16"/>
      <c r="I1079" s="20"/>
      <c r="J1079" s="20"/>
      <c r="K1079" s="20"/>
      <c r="L1079" s="20"/>
      <c r="M1079" s="20"/>
      <c r="N1079" s="20"/>
      <c r="O1079" s="20"/>
      <c r="P1079" s="20"/>
      <c r="Q1079" s="20"/>
      <c r="R1079" s="20"/>
      <c r="S1079" s="20"/>
      <c r="T1079" s="20"/>
      <c r="U1079" s="20"/>
      <c r="V1079" s="20"/>
      <c r="W1079" s="20"/>
      <c r="X1079" s="20"/>
      <c r="Y1079" s="20"/>
      <c r="Z1079" s="20"/>
      <c r="AA1079" s="20"/>
    </row>
    <row r="1080" spans="1:27" ht="104.4" x14ac:dyDescent="0.25">
      <c r="A1080" s="16"/>
      <c r="B1080" s="20" t="b">
        <f ca="1">IFERROR(__xludf.DUMMYFUNCTION("if(D1080=iferror(filter('Character Sheet'!D$13:D3002,'Character Sheet'!D$13:D3002=D1080),""""),True,False)"),FALSE)</f>
        <v>0</v>
      </c>
      <c r="C1080" s="20">
        <v>200</v>
      </c>
      <c r="D1080" s="2" t="s">
        <v>2360</v>
      </c>
      <c r="E1080" s="2" t="s">
        <v>848</v>
      </c>
      <c r="F1080" s="20" t="s">
        <v>59</v>
      </c>
      <c r="G1080" s="2" t="s">
        <v>2361</v>
      </c>
      <c r="H1080" s="16"/>
      <c r="I1080" s="20"/>
      <c r="J1080" s="20"/>
      <c r="K1080" s="20"/>
      <c r="L1080" s="20"/>
      <c r="M1080" s="20"/>
      <c r="N1080" s="20"/>
      <c r="O1080" s="20"/>
      <c r="P1080" s="20"/>
      <c r="Q1080" s="20"/>
      <c r="R1080" s="20"/>
      <c r="S1080" s="20"/>
      <c r="T1080" s="20"/>
      <c r="U1080" s="20"/>
      <c r="V1080" s="20"/>
      <c r="W1080" s="20"/>
      <c r="X1080" s="20"/>
      <c r="Y1080" s="20"/>
      <c r="Z1080" s="20"/>
      <c r="AA1080" s="20"/>
    </row>
    <row r="1081" spans="1:27" ht="87" x14ac:dyDescent="0.25">
      <c r="A1081" s="16"/>
      <c r="B1081" s="20" t="b">
        <f ca="1">IFERROR(__xludf.DUMMYFUNCTION("if(D1081=iferror(filter('Character Sheet'!D$13:D3002,'Character Sheet'!D$13:D3002=D1081),""""),True,False)"),FALSE)</f>
        <v>0</v>
      </c>
      <c r="C1081" s="20">
        <v>200</v>
      </c>
      <c r="D1081" s="2" t="s">
        <v>2362</v>
      </c>
      <c r="E1081" s="2" t="s">
        <v>100</v>
      </c>
      <c r="F1081" s="20" t="s">
        <v>59</v>
      </c>
      <c r="G1081" s="2" t="s">
        <v>2363</v>
      </c>
      <c r="H1081" s="16"/>
      <c r="I1081" s="20"/>
      <c r="J1081" s="20"/>
      <c r="K1081" s="20"/>
      <c r="L1081" s="20"/>
      <c r="M1081" s="20"/>
      <c r="N1081" s="20"/>
      <c r="O1081" s="20"/>
      <c r="P1081" s="20"/>
      <c r="Q1081" s="20"/>
      <c r="R1081" s="20"/>
      <c r="S1081" s="20"/>
      <c r="T1081" s="20"/>
      <c r="U1081" s="20"/>
      <c r="V1081" s="20"/>
      <c r="W1081" s="20"/>
      <c r="X1081" s="20"/>
      <c r="Y1081" s="20"/>
      <c r="Z1081" s="20"/>
      <c r="AA1081" s="20"/>
    </row>
    <row r="1082" spans="1:27" ht="52.2" x14ac:dyDescent="0.25">
      <c r="A1082" s="16"/>
      <c r="B1082" s="20" t="b">
        <f ca="1">IFERROR(__xludf.DUMMYFUNCTION("if(D1082=iferror(filter('Character Sheet'!D$13:D3002,'Character Sheet'!D$13:D3002=D1082),""""),True,False)"),FALSE)</f>
        <v>0</v>
      </c>
      <c r="C1082" s="20">
        <v>200</v>
      </c>
      <c r="D1082" s="2" t="s">
        <v>2364</v>
      </c>
      <c r="E1082" s="2" t="s">
        <v>2340</v>
      </c>
      <c r="F1082" s="20" t="s">
        <v>59</v>
      </c>
      <c r="G1082" s="2" t="s">
        <v>2365</v>
      </c>
      <c r="H1082" s="16"/>
      <c r="I1082" s="20"/>
      <c r="J1082" s="20"/>
      <c r="K1082" s="20"/>
      <c r="L1082" s="20"/>
      <c r="M1082" s="20"/>
      <c r="N1082" s="20"/>
      <c r="O1082" s="20"/>
      <c r="P1082" s="20"/>
      <c r="Q1082" s="20"/>
      <c r="R1082" s="20"/>
      <c r="S1082" s="20"/>
      <c r="T1082" s="20"/>
      <c r="U1082" s="20"/>
      <c r="V1082" s="20"/>
      <c r="W1082" s="20"/>
      <c r="X1082" s="20"/>
      <c r="Y1082" s="20"/>
      <c r="Z1082" s="20"/>
      <c r="AA1082" s="20"/>
    </row>
    <row r="1083" spans="1:27" ht="87" x14ac:dyDescent="0.25">
      <c r="A1083" s="16"/>
      <c r="B1083" s="20" t="b">
        <f ca="1">IFERROR(__xludf.DUMMYFUNCTION("if(D1083=iferror(filter('Character Sheet'!D$13:D3002,'Character Sheet'!D$13:D3002=D1083),""""),True,False)"),FALSE)</f>
        <v>0</v>
      </c>
      <c r="C1083" s="20">
        <v>200</v>
      </c>
      <c r="D1083" s="2" t="s">
        <v>2366</v>
      </c>
      <c r="E1083" s="2" t="s">
        <v>238</v>
      </c>
      <c r="F1083" s="20" t="s">
        <v>59</v>
      </c>
      <c r="G1083" s="2" t="s">
        <v>2367</v>
      </c>
      <c r="H1083" s="16"/>
      <c r="I1083" s="20"/>
      <c r="J1083" s="20"/>
      <c r="K1083" s="20"/>
      <c r="L1083" s="20"/>
      <c r="M1083" s="20"/>
      <c r="N1083" s="20"/>
      <c r="O1083" s="20"/>
      <c r="P1083" s="20"/>
      <c r="Q1083" s="20"/>
      <c r="R1083" s="20"/>
      <c r="S1083" s="20"/>
      <c r="T1083" s="20"/>
      <c r="U1083" s="20"/>
      <c r="V1083" s="20"/>
      <c r="W1083" s="20"/>
      <c r="X1083" s="20"/>
      <c r="Y1083" s="20"/>
      <c r="Z1083" s="20"/>
      <c r="AA1083" s="20"/>
    </row>
    <row r="1084" spans="1:27" ht="156.6" x14ac:dyDescent="0.25">
      <c r="A1084" s="16"/>
      <c r="B1084" s="20" t="b">
        <f ca="1">IFERROR(__xludf.DUMMYFUNCTION("if(D1084=iferror(filter('Character Sheet'!D$13:D3002,'Character Sheet'!D$13:D3002=D1084),""""),True,False)"),FALSE)</f>
        <v>0</v>
      </c>
      <c r="C1084" s="20">
        <v>200</v>
      </c>
      <c r="D1084" s="2" t="s">
        <v>2368</v>
      </c>
      <c r="E1084" s="2" t="s">
        <v>124</v>
      </c>
      <c r="F1084" s="20" t="s">
        <v>59</v>
      </c>
      <c r="G1084" s="2" t="s">
        <v>2369</v>
      </c>
      <c r="H1084" s="16"/>
      <c r="I1084" s="20"/>
      <c r="J1084" s="20"/>
      <c r="K1084" s="20"/>
      <c r="L1084" s="20"/>
      <c r="M1084" s="20"/>
      <c r="N1084" s="20"/>
      <c r="O1084" s="20"/>
      <c r="P1084" s="20"/>
      <c r="Q1084" s="20"/>
      <c r="R1084" s="20"/>
      <c r="S1084" s="20"/>
      <c r="T1084" s="20"/>
      <c r="U1084" s="20"/>
      <c r="V1084" s="20"/>
      <c r="W1084" s="20"/>
      <c r="X1084" s="20"/>
      <c r="Y1084" s="20"/>
      <c r="Z1084" s="20"/>
      <c r="AA1084" s="20"/>
    </row>
    <row r="1085" spans="1:27" ht="104.4" x14ac:dyDescent="0.25">
      <c r="A1085" s="16"/>
      <c r="B1085" s="20" t="b">
        <f ca="1">IFERROR(__xludf.DUMMYFUNCTION("if(D1085=iferror(filter('Character Sheet'!D$13:D3002,'Character Sheet'!D$13:D3002=D1085),""""),True,False)"),FALSE)</f>
        <v>0</v>
      </c>
      <c r="C1085" s="20">
        <v>200</v>
      </c>
      <c r="D1085" s="2" t="s">
        <v>2370</v>
      </c>
      <c r="E1085" s="2" t="s">
        <v>369</v>
      </c>
      <c r="F1085" s="20" t="s">
        <v>59</v>
      </c>
      <c r="G1085" s="2" t="s">
        <v>2371</v>
      </c>
      <c r="H1085" s="16"/>
      <c r="I1085" s="20"/>
      <c r="J1085" s="20"/>
      <c r="K1085" s="20"/>
      <c r="L1085" s="20"/>
      <c r="M1085" s="20"/>
      <c r="N1085" s="20"/>
      <c r="O1085" s="20"/>
      <c r="P1085" s="20"/>
      <c r="Q1085" s="20"/>
      <c r="R1085" s="20"/>
      <c r="S1085" s="20"/>
      <c r="T1085" s="20"/>
      <c r="U1085" s="20"/>
      <c r="V1085" s="20"/>
      <c r="W1085" s="20"/>
      <c r="X1085" s="20"/>
      <c r="Y1085" s="20"/>
      <c r="Z1085" s="20"/>
      <c r="AA1085" s="20"/>
    </row>
    <row r="1086" spans="1:27" ht="104.4" x14ac:dyDescent="0.25">
      <c r="A1086" s="16"/>
      <c r="B1086" s="20" t="b">
        <f ca="1">IFERROR(__xludf.DUMMYFUNCTION("if(D1086=iferror(filter('Character Sheet'!D$13:D3002,'Character Sheet'!D$13:D3002=D1086),""""),True,False)"),FALSE)</f>
        <v>0</v>
      </c>
      <c r="C1086" s="20">
        <v>200</v>
      </c>
      <c r="D1086" s="2" t="s">
        <v>2372</v>
      </c>
      <c r="E1086" s="2" t="s">
        <v>475</v>
      </c>
      <c r="F1086" s="20" t="s">
        <v>59</v>
      </c>
      <c r="G1086" s="2" t="s">
        <v>2373</v>
      </c>
      <c r="H1086" s="16"/>
      <c r="I1086" s="20"/>
      <c r="J1086" s="20"/>
      <c r="K1086" s="20"/>
      <c r="L1086" s="20"/>
      <c r="M1086" s="20"/>
      <c r="N1086" s="20"/>
      <c r="O1086" s="20"/>
      <c r="P1086" s="20"/>
      <c r="Q1086" s="20"/>
      <c r="R1086" s="20"/>
      <c r="S1086" s="20"/>
      <c r="T1086" s="20"/>
      <c r="U1086" s="20"/>
      <c r="V1086" s="20"/>
      <c r="W1086" s="20"/>
      <c r="X1086" s="20"/>
      <c r="Y1086" s="20"/>
      <c r="Z1086" s="20"/>
      <c r="AA1086" s="20"/>
    </row>
    <row r="1087" spans="1:27" ht="87" x14ac:dyDescent="0.25">
      <c r="A1087" s="16"/>
      <c r="B1087" s="20" t="b">
        <f ca="1">IFERROR(__xludf.DUMMYFUNCTION("if(D1087=iferror(filter('Character Sheet'!D$13:D3002,'Character Sheet'!D$13:D3002=D1087),""""),True,False)"),FALSE)</f>
        <v>0</v>
      </c>
      <c r="C1087" s="23">
        <v>200</v>
      </c>
      <c r="D1087" s="24" t="s">
        <v>2374</v>
      </c>
      <c r="E1087" s="24" t="s">
        <v>1554</v>
      </c>
      <c r="F1087" s="20" t="s">
        <v>59</v>
      </c>
      <c r="G1087" s="24" t="s">
        <v>2375</v>
      </c>
      <c r="H1087" s="16"/>
      <c r="I1087" s="20"/>
      <c r="J1087" s="20"/>
      <c r="K1087" s="20"/>
      <c r="L1087" s="20"/>
      <c r="M1087" s="20"/>
      <c r="N1087" s="20"/>
      <c r="O1087" s="20"/>
      <c r="P1087" s="20"/>
      <c r="Q1087" s="20"/>
      <c r="R1087" s="20"/>
      <c r="S1087" s="20"/>
      <c r="T1087" s="20"/>
      <c r="U1087" s="20"/>
      <c r="V1087" s="20"/>
      <c r="W1087" s="20"/>
      <c r="X1087" s="20"/>
      <c r="Y1087" s="20"/>
      <c r="Z1087" s="20"/>
      <c r="AA1087" s="20"/>
    </row>
    <row r="1088" spans="1:27" ht="69.599999999999994" x14ac:dyDescent="0.25">
      <c r="A1088" s="16"/>
      <c r="B1088" s="20" t="b">
        <f ca="1">IFERROR(__xludf.DUMMYFUNCTION("if(D1088=iferror(filter('Character Sheet'!D$13:D3002,'Character Sheet'!D$13:D3002=D1088),""""),True,False)"),FALSE)</f>
        <v>0</v>
      </c>
      <c r="C1088" s="20">
        <v>200</v>
      </c>
      <c r="D1088" s="2" t="s">
        <v>2376</v>
      </c>
      <c r="E1088" s="2" t="s">
        <v>149</v>
      </c>
      <c r="F1088" s="20" t="s">
        <v>59</v>
      </c>
      <c r="G1088" s="2" t="s">
        <v>2377</v>
      </c>
      <c r="H1088" s="16"/>
      <c r="I1088" s="20"/>
      <c r="J1088" s="20"/>
      <c r="K1088" s="20"/>
      <c r="L1088" s="20"/>
      <c r="M1088" s="20"/>
      <c r="N1088" s="20"/>
      <c r="O1088" s="20"/>
      <c r="P1088" s="20"/>
      <c r="Q1088" s="20"/>
      <c r="R1088" s="20"/>
      <c r="S1088" s="20"/>
      <c r="T1088" s="20"/>
      <c r="U1088" s="20"/>
      <c r="V1088" s="20"/>
      <c r="W1088" s="20"/>
      <c r="X1088" s="20"/>
      <c r="Y1088" s="20"/>
      <c r="Z1088" s="20"/>
      <c r="AA1088" s="20"/>
    </row>
    <row r="1089" spans="1:27" ht="69.599999999999994" x14ac:dyDescent="0.25">
      <c r="A1089" s="16"/>
      <c r="B1089" s="20" t="b">
        <f ca="1">IFERROR(__xludf.DUMMYFUNCTION("if(D1089=iferror(filter('Character Sheet'!D$13:D3002,'Character Sheet'!D$13:D3002=D1089),""""),True,False)"),FALSE)</f>
        <v>0</v>
      </c>
      <c r="C1089" s="20">
        <v>200</v>
      </c>
      <c r="D1089" s="2" t="s">
        <v>2378</v>
      </c>
      <c r="E1089" s="2" t="s">
        <v>328</v>
      </c>
      <c r="F1089" s="20" t="s">
        <v>59</v>
      </c>
      <c r="G1089" s="2" t="s">
        <v>2379</v>
      </c>
      <c r="H1089" s="16"/>
      <c r="I1089" s="20"/>
      <c r="J1089" s="20"/>
      <c r="K1089" s="20"/>
      <c r="L1089" s="20"/>
      <c r="M1089" s="20"/>
      <c r="N1089" s="20"/>
      <c r="O1089" s="20"/>
      <c r="P1089" s="20"/>
      <c r="Q1089" s="20"/>
      <c r="R1089" s="20"/>
      <c r="S1089" s="20"/>
      <c r="T1089" s="20"/>
      <c r="U1089" s="20"/>
      <c r="V1089" s="20"/>
      <c r="W1089" s="20"/>
      <c r="X1089" s="20"/>
      <c r="Y1089" s="20"/>
      <c r="Z1089" s="20"/>
      <c r="AA1089" s="20"/>
    </row>
    <row r="1090" spans="1:27" ht="139.19999999999999" x14ac:dyDescent="0.25">
      <c r="A1090" s="16"/>
      <c r="B1090" s="20" t="b">
        <f ca="1">IFERROR(__xludf.DUMMYFUNCTION("if(D1090=iferror(filter('Character Sheet'!D$13:D3002,'Character Sheet'!D$13:D3002=D1090),""""),True,False)"),FALSE)</f>
        <v>0</v>
      </c>
      <c r="C1090" s="20">
        <v>200</v>
      </c>
      <c r="D1090" s="2" t="s">
        <v>2380</v>
      </c>
      <c r="E1090" s="2" t="s">
        <v>534</v>
      </c>
      <c r="F1090" s="20" t="s">
        <v>59</v>
      </c>
      <c r="G1090" s="2" t="s">
        <v>2381</v>
      </c>
      <c r="H1090" s="16"/>
      <c r="I1090" s="20"/>
      <c r="J1090" s="20"/>
      <c r="K1090" s="20"/>
      <c r="L1090" s="20"/>
      <c r="M1090" s="20"/>
      <c r="N1090" s="20"/>
      <c r="O1090" s="20"/>
      <c r="P1090" s="20"/>
      <c r="Q1090" s="20"/>
      <c r="R1090" s="20"/>
      <c r="S1090" s="20"/>
      <c r="T1090" s="20"/>
      <c r="U1090" s="20"/>
      <c r="V1090" s="20"/>
      <c r="W1090" s="20"/>
      <c r="X1090" s="20"/>
      <c r="Y1090" s="20"/>
      <c r="Z1090" s="20"/>
      <c r="AA1090" s="20"/>
    </row>
    <row r="1091" spans="1:27" ht="34.799999999999997" x14ac:dyDescent="0.25">
      <c r="A1091" s="16"/>
      <c r="B1091" s="20" t="b">
        <f ca="1">IFERROR(__xludf.DUMMYFUNCTION("if(D1091=iferror(filter('Character Sheet'!D$13:D3002,'Character Sheet'!D$13:D3002=D1091),""""),True,False)"),FALSE)</f>
        <v>0</v>
      </c>
      <c r="C1091" s="20">
        <v>200</v>
      </c>
      <c r="D1091" s="2" t="s">
        <v>2382</v>
      </c>
      <c r="E1091" s="2" t="s">
        <v>534</v>
      </c>
      <c r="F1091" s="20" t="s">
        <v>59</v>
      </c>
      <c r="G1091" s="2" t="s">
        <v>2383</v>
      </c>
      <c r="H1091" s="16"/>
      <c r="I1091" s="20"/>
      <c r="J1091" s="20"/>
      <c r="K1091" s="20"/>
      <c r="L1091" s="20"/>
      <c r="M1091" s="20"/>
      <c r="N1091" s="20"/>
      <c r="O1091" s="20"/>
      <c r="P1091" s="20"/>
      <c r="Q1091" s="20"/>
      <c r="R1091" s="20"/>
      <c r="S1091" s="20"/>
      <c r="T1091" s="20"/>
      <c r="U1091" s="20"/>
      <c r="V1091" s="20"/>
      <c r="W1091" s="20"/>
      <c r="X1091" s="20"/>
      <c r="Y1091" s="20"/>
      <c r="Z1091" s="20"/>
      <c r="AA1091" s="20"/>
    </row>
    <row r="1092" spans="1:27" ht="87" x14ac:dyDescent="0.25">
      <c r="A1092" s="16"/>
      <c r="B1092" s="20" t="b">
        <f ca="1">IFERROR(__xludf.DUMMYFUNCTION("if(D1092=iferror(filter('Character Sheet'!D$13:D3002,'Character Sheet'!D$13:D3002=D1092),""""),True,False)"),FALSE)</f>
        <v>0</v>
      </c>
      <c r="C1092" s="20">
        <v>200</v>
      </c>
      <c r="D1092" s="2" t="s">
        <v>2384</v>
      </c>
      <c r="E1092" s="2" t="s">
        <v>2340</v>
      </c>
      <c r="F1092" s="20" t="s">
        <v>59</v>
      </c>
      <c r="G1092" s="2" t="s">
        <v>2385</v>
      </c>
      <c r="H1092" s="16"/>
      <c r="I1092" s="20"/>
      <c r="J1092" s="20"/>
      <c r="K1092" s="20"/>
      <c r="L1092" s="20"/>
      <c r="M1092" s="20"/>
      <c r="N1092" s="20"/>
      <c r="O1092" s="20"/>
      <c r="P1092" s="20"/>
      <c r="Q1092" s="20"/>
      <c r="R1092" s="20"/>
      <c r="S1092" s="20"/>
      <c r="T1092" s="20"/>
      <c r="U1092" s="20"/>
      <c r="V1092" s="20"/>
      <c r="W1092" s="20"/>
      <c r="X1092" s="20"/>
      <c r="Y1092" s="20"/>
      <c r="Z1092" s="20"/>
      <c r="AA1092" s="20"/>
    </row>
    <row r="1093" spans="1:27" ht="104.4" x14ac:dyDescent="0.25">
      <c r="A1093" s="16"/>
      <c r="B1093" s="20" t="b">
        <f ca="1">IFERROR(__xludf.DUMMYFUNCTION("if(D1093=iferror(filter('Character Sheet'!D$13:D3002,'Character Sheet'!D$13:D3002=D1093),""""),True,False)"),FALSE)</f>
        <v>0</v>
      </c>
      <c r="C1093" s="20">
        <v>200</v>
      </c>
      <c r="D1093" s="2" t="s">
        <v>2386</v>
      </c>
      <c r="E1093" s="2" t="s">
        <v>1693</v>
      </c>
      <c r="F1093" s="20" t="s">
        <v>59</v>
      </c>
      <c r="G1093" s="2" t="s">
        <v>2387</v>
      </c>
      <c r="H1093" s="16"/>
      <c r="I1093" s="20"/>
      <c r="J1093" s="20"/>
      <c r="K1093" s="20"/>
      <c r="L1093" s="20"/>
      <c r="M1093" s="20"/>
      <c r="N1093" s="20"/>
      <c r="O1093" s="20"/>
      <c r="P1093" s="20"/>
      <c r="Q1093" s="20"/>
      <c r="R1093" s="20"/>
      <c r="S1093" s="20"/>
      <c r="T1093" s="20"/>
      <c r="U1093" s="20"/>
      <c r="V1093" s="20"/>
      <c r="W1093" s="20"/>
      <c r="X1093" s="20"/>
      <c r="Y1093" s="20"/>
      <c r="Z1093" s="20"/>
      <c r="AA1093" s="20"/>
    </row>
    <row r="1094" spans="1:27" ht="87" x14ac:dyDescent="0.25">
      <c r="A1094" s="16"/>
      <c r="B1094" s="20" t="b">
        <f ca="1">IFERROR(__xludf.DUMMYFUNCTION("if(D1094=iferror(filter('Character Sheet'!D$13:D3002,'Character Sheet'!D$13:D3002=D1094),""""),True,False)"),FALSE)</f>
        <v>0</v>
      </c>
      <c r="C1094" s="20">
        <v>200</v>
      </c>
      <c r="D1094" s="2" t="s">
        <v>2388</v>
      </c>
      <c r="E1094" s="2" t="s">
        <v>238</v>
      </c>
      <c r="F1094" s="20" t="s">
        <v>59</v>
      </c>
      <c r="G1094" s="2" t="s">
        <v>2389</v>
      </c>
      <c r="H1094" s="16"/>
      <c r="I1094" s="20"/>
      <c r="J1094" s="20"/>
      <c r="K1094" s="20"/>
      <c r="L1094" s="20"/>
      <c r="M1094" s="20"/>
      <c r="N1094" s="20"/>
      <c r="O1094" s="20"/>
      <c r="P1094" s="20"/>
      <c r="Q1094" s="20"/>
      <c r="R1094" s="20"/>
      <c r="S1094" s="20"/>
      <c r="T1094" s="20"/>
      <c r="U1094" s="20"/>
      <c r="V1094" s="20"/>
      <c r="W1094" s="20"/>
      <c r="X1094" s="20"/>
      <c r="Y1094" s="20"/>
      <c r="Z1094" s="20"/>
      <c r="AA1094" s="20"/>
    </row>
    <row r="1095" spans="1:27" ht="87" x14ac:dyDescent="0.25">
      <c r="A1095" s="16"/>
      <c r="B1095" s="20" t="b">
        <f ca="1">IFERROR(__xludf.DUMMYFUNCTION("if(D1095=iferror(filter('Character Sheet'!D$13:D3002,'Character Sheet'!D$13:D3002=D1095),""""),True,False)"),FALSE)</f>
        <v>0</v>
      </c>
      <c r="C1095" s="20">
        <v>200</v>
      </c>
      <c r="D1095" s="2" t="s">
        <v>2390</v>
      </c>
      <c r="E1095" s="2" t="s">
        <v>285</v>
      </c>
      <c r="F1095" s="20" t="s">
        <v>59</v>
      </c>
      <c r="G1095" s="2" t="s">
        <v>2391</v>
      </c>
      <c r="H1095" s="16"/>
      <c r="I1095" s="20"/>
      <c r="J1095" s="20"/>
      <c r="K1095" s="20"/>
      <c r="L1095" s="20"/>
      <c r="M1095" s="20"/>
      <c r="N1095" s="20"/>
      <c r="O1095" s="20"/>
      <c r="P1095" s="20"/>
      <c r="Q1095" s="20"/>
      <c r="R1095" s="20"/>
      <c r="S1095" s="20"/>
      <c r="T1095" s="20"/>
      <c r="U1095" s="20"/>
      <c r="V1095" s="20"/>
      <c r="W1095" s="20"/>
      <c r="X1095" s="20"/>
      <c r="Y1095" s="20"/>
      <c r="Z1095" s="20"/>
      <c r="AA1095" s="20"/>
    </row>
    <row r="1096" spans="1:27" ht="104.4" x14ac:dyDescent="0.25">
      <c r="A1096" s="16"/>
      <c r="B1096" s="20" t="b">
        <f ca="1">IFERROR(__xludf.DUMMYFUNCTION("if(D1096=iferror(filter('Character Sheet'!D$13:D3002,'Character Sheet'!D$13:D3002=D1096),""""),True,False)"),FALSE)</f>
        <v>0</v>
      </c>
      <c r="C1096" s="20">
        <v>200</v>
      </c>
      <c r="D1096" s="2" t="s">
        <v>2392</v>
      </c>
      <c r="E1096" s="2" t="s">
        <v>711</v>
      </c>
      <c r="F1096" s="20" t="s">
        <v>59</v>
      </c>
      <c r="G1096" s="2" t="s">
        <v>2393</v>
      </c>
      <c r="H1096" s="16"/>
      <c r="I1096" s="20"/>
      <c r="J1096" s="20"/>
      <c r="K1096" s="20"/>
      <c r="L1096" s="20"/>
      <c r="M1096" s="20"/>
      <c r="N1096" s="20"/>
      <c r="O1096" s="20"/>
      <c r="P1096" s="20"/>
      <c r="Q1096" s="20"/>
      <c r="R1096" s="20"/>
      <c r="S1096" s="20"/>
      <c r="T1096" s="20"/>
      <c r="U1096" s="20"/>
      <c r="V1096" s="20"/>
      <c r="W1096" s="20"/>
      <c r="X1096" s="20"/>
      <c r="Y1096" s="20"/>
      <c r="Z1096" s="20"/>
      <c r="AA1096" s="20"/>
    </row>
    <row r="1097" spans="1:27" ht="87" x14ac:dyDescent="0.25">
      <c r="A1097" s="16"/>
      <c r="B1097" s="20" t="b">
        <f ca="1">IFERROR(__xludf.DUMMYFUNCTION("if(D1097=iferror(filter('Character Sheet'!D$13:D3002,'Character Sheet'!D$13:D3002=D1097),""""),True,False)"),FALSE)</f>
        <v>0</v>
      </c>
      <c r="C1097" s="20">
        <v>200</v>
      </c>
      <c r="D1097" s="2" t="s">
        <v>2394</v>
      </c>
      <c r="E1097" s="2" t="s">
        <v>652</v>
      </c>
      <c r="F1097" s="20" t="s">
        <v>59</v>
      </c>
      <c r="G1097" s="2" t="s">
        <v>2395</v>
      </c>
      <c r="H1097" s="16"/>
      <c r="I1097" s="20"/>
      <c r="J1097" s="20"/>
      <c r="K1097" s="20"/>
      <c r="L1097" s="20"/>
      <c r="M1097" s="20"/>
      <c r="N1097" s="20"/>
      <c r="O1097" s="20"/>
      <c r="P1097" s="20"/>
      <c r="Q1097" s="20"/>
      <c r="R1097" s="20"/>
      <c r="S1097" s="20"/>
      <c r="T1097" s="20"/>
      <c r="U1097" s="20"/>
      <c r="V1097" s="20"/>
      <c r="W1097" s="20"/>
      <c r="X1097" s="20"/>
      <c r="Y1097" s="20"/>
      <c r="Z1097" s="20"/>
      <c r="AA1097" s="20"/>
    </row>
    <row r="1098" spans="1:27" ht="87" x14ac:dyDescent="0.25">
      <c r="A1098" s="16"/>
      <c r="B1098" s="20" t="b">
        <f ca="1">IFERROR(__xludf.DUMMYFUNCTION("if(D1098=iferror(filter('Character Sheet'!D$13:D3002,'Character Sheet'!D$13:D3002=D1098),""""),True,False)"),FALSE)</f>
        <v>0</v>
      </c>
      <c r="C1098" s="20">
        <v>200</v>
      </c>
      <c r="D1098" s="2" t="s">
        <v>2396</v>
      </c>
      <c r="E1098" s="2" t="s">
        <v>214</v>
      </c>
      <c r="F1098" s="20" t="s">
        <v>59</v>
      </c>
      <c r="G1098" s="2" t="s">
        <v>2397</v>
      </c>
      <c r="H1098" s="16"/>
      <c r="I1098" s="20"/>
      <c r="J1098" s="20"/>
      <c r="K1098" s="20"/>
      <c r="L1098" s="20"/>
      <c r="M1098" s="20"/>
      <c r="N1098" s="20"/>
      <c r="O1098" s="20"/>
      <c r="P1098" s="20"/>
      <c r="Q1098" s="20"/>
      <c r="R1098" s="20"/>
      <c r="S1098" s="20"/>
      <c r="T1098" s="20"/>
      <c r="U1098" s="20"/>
      <c r="V1098" s="20"/>
      <c r="W1098" s="20"/>
      <c r="X1098" s="20"/>
      <c r="Y1098" s="20"/>
      <c r="Z1098" s="20"/>
      <c r="AA1098" s="20"/>
    </row>
    <row r="1099" spans="1:27" ht="69.599999999999994" x14ac:dyDescent="0.25">
      <c r="A1099" s="16"/>
      <c r="B1099" s="20" t="b">
        <f ca="1">IFERROR(__xludf.DUMMYFUNCTION("if(D1099=iferror(filter('Character Sheet'!D$13:D3002,'Character Sheet'!D$13:D3002=D1099),""""),True,False)"),FALSE)</f>
        <v>0</v>
      </c>
      <c r="C1099" s="20">
        <v>200</v>
      </c>
      <c r="D1099" s="2" t="s">
        <v>2398</v>
      </c>
      <c r="E1099" s="2" t="s">
        <v>451</v>
      </c>
      <c r="F1099" s="20" t="s">
        <v>59</v>
      </c>
      <c r="G1099" s="2" t="s">
        <v>2399</v>
      </c>
      <c r="H1099" s="16"/>
      <c r="I1099" s="20"/>
      <c r="J1099" s="20"/>
      <c r="K1099" s="20"/>
      <c r="L1099" s="20"/>
      <c r="M1099" s="20"/>
      <c r="N1099" s="20"/>
      <c r="O1099" s="20"/>
      <c r="P1099" s="20"/>
      <c r="Q1099" s="20"/>
      <c r="R1099" s="20"/>
      <c r="S1099" s="20"/>
      <c r="T1099" s="20"/>
      <c r="U1099" s="20"/>
      <c r="V1099" s="20"/>
      <c r="W1099" s="20"/>
      <c r="X1099" s="20"/>
      <c r="Y1099" s="20"/>
      <c r="Z1099" s="20"/>
      <c r="AA1099" s="20"/>
    </row>
    <row r="1100" spans="1:27" ht="52.2" x14ac:dyDescent="0.25">
      <c r="A1100" s="16"/>
      <c r="B1100" s="20" t="b">
        <f ca="1">IFERROR(__xludf.DUMMYFUNCTION("if(D1100=iferror(filter('Character Sheet'!D$13:D3002,'Character Sheet'!D$13:D3002=D1100),""""),True,False)"),FALSE)</f>
        <v>0</v>
      </c>
      <c r="C1100" s="20">
        <v>200</v>
      </c>
      <c r="D1100" s="2" t="s">
        <v>2400</v>
      </c>
      <c r="E1100" s="2" t="s">
        <v>358</v>
      </c>
      <c r="F1100" s="20" t="s">
        <v>59</v>
      </c>
      <c r="G1100" s="2" t="s">
        <v>2401</v>
      </c>
      <c r="H1100" s="16"/>
      <c r="I1100" s="20"/>
      <c r="J1100" s="20"/>
      <c r="K1100" s="20"/>
      <c r="L1100" s="20"/>
      <c r="M1100" s="20"/>
      <c r="N1100" s="20"/>
      <c r="O1100" s="20"/>
      <c r="P1100" s="20"/>
      <c r="Q1100" s="20"/>
      <c r="R1100" s="20"/>
      <c r="S1100" s="20"/>
      <c r="T1100" s="20"/>
      <c r="U1100" s="20"/>
      <c r="V1100" s="20"/>
      <c r="W1100" s="20"/>
      <c r="X1100" s="20"/>
      <c r="Y1100" s="20"/>
      <c r="Z1100" s="20"/>
      <c r="AA1100" s="20"/>
    </row>
    <row r="1101" spans="1:27" ht="87" x14ac:dyDescent="0.25">
      <c r="A1101" s="16"/>
      <c r="B1101" s="20" t="b">
        <f ca="1">IFERROR(__xludf.DUMMYFUNCTION("if(D1101=iferror(filter('Character Sheet'!D$13:D3002,'Character Sheet'!D$13:D3002=D1101),""""),True,False)"),FALSE)</f>
        <v>0</v>
      </c>
      <c r="C1101" s="20">
        <v>200</v>
      </c>
      <c r="D1101" s="2" t="s">
        <v>2402</v>
      </c>
      <c r="E1101" s="2" t="s">
        <v>1693</v>
      </c>
      <c r="F1101" s="20" t="s">
        <v>59</v>
      </c>
      <c r="G1101" s="2" t="s">
        <v>2403</v>
      </c>
      <c r="H1101" s="16"/>
      <c r="I1101" s="20"/>
      <c r="J1101" s="20"/>
      <c r="K1101" s="20"/>
      <c r="L1101" s="20"/>
      <c r="M1101" s="20"/>
      <c r="N1101" s="20"/>
      <c r="O1101" s="20"/>
      <c r="P1101" s="20"/>
      <c r="Q1101" s="20"/>
      <c r="R1101" s="20"/>
      <c r="S1101" s="20"/>
      <c r="T1101" s="20"/>
      <c r="U1101" s="20"/>
      <c r="V1101" s="20"/>
      <c r="W1101" s="20"/>
      <c r="X1101" s="20"/>
      <c r="Y1101" s="20"/>
      <c r="Z1101" s="20"/>
      <c r="AA1101" s="20"/>
    </row>
    <row r="1102" spans="1:27" ht="121.8" x14ac:dyDescent="0.25">
      <c r="A1102" s="16"/>
      <c r="B1102" s="20" t="b">
        <f ca="1">IFERROR(__xludf.DUMMYFUNCTION("if(D1102=iferror(filter('Character Sheet'!D$13:D3002,'Character Sheet'!D$13:D3002=D1102),""""),True,False)"),FALSE)</f>
        <v>0</v>
      </c>
      <c r="C1102" s="20">
        <v>200</v>
      </c>
      <c r="D1102" s="2" t="s">
        <v>2404</v>
      </c>
      <c r="E1102" s="2" t="s">
        <v>288</v>
      </c>
      <c r="F1102" s="20" t="s">
        <v>59</v>
      </c>
      <c r="G1102" s="2" t="s">
        <v>2405</v>
      </c>
      <c r="H1102" s="16"/>
      <c r="I1102" s="20"/>
      <c r="J1102" s="20"/>
      <c r="K1102" s="20"/>
      <c r="L1102" s="20"/>
      <c r="M1102" s="20"/>
      <c r="N1102" s="20"/>
      <c r="O1102" s="20"/>
      <c r="P1102" s="20"/>
      <c r="Q1102" s="20"/>
      <c r="R1102" s="20"/>
      <c r="S1102" s="20"/>
      <c r="T1102" s="20"/>
      <c r="U1102" s="20"/>
      <c r="V1102" s="20"/>
      <c r="W1102" s="20"/>
      <c r="X1102" s="20"/>
      <c r="Y1102" s="20"/>
      <c r="Z1102" s="20"/>
      <c r="AA1102" s="20"/>
    </row>
    <row r="1103" spans="1:27" ht="174" x14ac:dyDescent="0.25">
      <c r="A1103" s="16"/>
      <c r="B1103" s="20" t="b">
        <f ca="1">IFERROR(__xludf.DUMMYFUNCTION("if(D1103=iferror(filter('Character Sheet'!D$13:D3002,'Character Sheet'!D$13:D3002=D1103),""""),True,False)"),FALSE)</f>
        <v>0</v>
      </c>
      <c r="C1103" s="20">
        <v>200</v>
      </c>
      <c r="D1103" s="2" t="s">
        <v>2406</v>
      </c>
      <c r="E1103" s="2" t="s">
        <v>139</v>
      </c>
      <c r="F1103" s="20" t="s">
        <v>59</v>
      </c>
      <c r="G1103" s="2" t="s">
        <v>2407</v>
      </c>
      <c r="H1103" s="16"/>
      <c r="I1103" s="20"/>
      <c r="J1103" s="20"/>
      <c r="K1103" s="20"/>
      <c r="L1103" s="20"/>
      <c r="M1103" s="20"/>
      <c r="N1103" s="20"/>
      <c r="O1103" s="20"/>
      <c r="P1103" s="20"/>
      <c r="Q1103" s="20"/>
      <c r="R1103" s="20"/>
      <c r="S1103" s="20"/>
      <c r="T1103" s="20"/>
      <c r="U1103" s="20"/>
      <c r="V1103" s="20"/>
      <c r="W1103" s="20"/>
      <c r="X1103" s="20"/>
      <c r="Y1103" s="20"/>
      <c r="Z1103" s="20"/>
      <c r="AA1103" s="20"/>
    </row>
    <row r="1104" spans="1:27" ht="52.2" x14ac:dyDescent="0.25">
      <c r="A1104" s="16"/>
      <c r="B1104" s="20" t="b">
        <f ca="1">IFERROR(__xludf.DUMMYFUNCTION("if(D1104=iferror(filter('Character Sheet'!D$13:D3002,'Character Sheet'!D$13:D3002=D1104),""""),True,False)"),FALSE)</f>
        <v>0</v>
      </c>
      <c r="C1104" s="20">
        <v>200</v>
      </c>
      <c r="D1104" s="2" t="s">
        <v>2408</v>
      </c>
      <c r="E1104" s="2" t="s">
        <v>328</v>
      </c>
      <c r="F1104" s="20" t="s">
        <v>59</v>
      </c>
      <c r="G1104" s="2" t="s">
        <v>2409</v>
      </c>
      <c r="H1104" s="16"/>
      <c r="I1104" s="20"/>
      <c r="J1104" s="20"/>
      <c r="K1104" s="20"/>
      <c r="L1104" s="20"/>
      <c r="M1104" s="20"/>
      <c r="N1104" s="20"/>
      <c r="O1104" s="20"/>
      <c r="P1104" s="20"/>
      <c r="Q1104" s="20"/>
      <c r="R1104" s="20"/>
      <c r="S1104" s="20"/>
      <c r="T1104" s="20"/>
      <c r="U1104" s="20"/>
      <c r="V1104" s="20"/>
      <c r="W1104" s="20"/>
      <c r="X1104" s="20"/>
      <c r="Y1104" s="20"/>
      <c r="Z1104" s="20"/>
      <c r="AA1104" s="20"/>
    </row>
    <row r="1105" spans="1:27" ht="156.6" x14ac:dyDescent="0.25">
      <c r="A1105" s="16"/>
      <c r="B1105" s="20" t="b">
        <f ca="1">IFERROR(__xludf.DUMMYFUNCTION("if(D1105=iferror(filter('Character Sheet'!D$13:D3002,'Character Sheet'!D$13:D3002=D1105),""""),True,False)"),FALSE)</f>
        <v>0</v>
      </c>
      <c r="C1105" s="20">
        <v>200</v>
      </c>
      <c r="D1105" s="2" t="s">
        <v>2410</v>
      </c>
      <c r="E1105" s="2" t="s">
        <v>87</v>
      </c>
      <c r="F1105" s="20" t="s">
        <v>59</v>
      </c>
      <c r="G1105" s="2" t="s">
        <v>2411</v>
      </c>
      <c r="H1105" s="16"/>
      <c r="I1105" s="20"/>
      <c r="J1105" s="20"/>
      <c r="K1105" s="20"/>
      <c r="L1105" s="20"/>
      <c r="M1105" s="20"/>
      <c r="N1105" s="20"/>
      <c r="O1105" s="20"/>
      <c r="P1105" s="20"/>
      <c r="Q1105" s="20"/>
      <c r="R1105" s="20"/>
      <c r="S1105" s="20"/>
      <c r="T1105" s="20"/>
      <c r="U1105" s="20"/>
      <c r="V1105" s="20"/>
      <c r="W1105" s="20"/>
      <c r="X1105" s="20"/>
      <c r="Y1105" s="20"/>
      <c r="Z1105" s="20"/>
      <c r="AA1105" s="20"/>
    </row>
    <row r="1106" spans="1:27" ht="87" x14ac:dyDescent="0.25">
      <c r="A1106" s="16"/>
      <c r="B1106" s="20" t="b">
        <f ca="1">IFERROR(__xludf.DUMMYFUNCTION("if(D1106=iferror(filter('Character Sheet'!D$13:D3002,'Character Sheet'!D$13:D3002=D1106),""""),True,False)"),FALSE)</f>
        <v>0</v>
      </c>
      <c r="C1106" s="20">
        <v>200</v>
      </c>
      <c r="D1106" s="2" t="s">
        <v>2412</v>
      </c>
      <c r="E1106" s="2" t="s">
        <v>347</v>
      </c>
      <c r="F1106" s="20" t="s">
        <v>59</v>
      </c>
      <c r="G1106" s="2" t="s">
        <v>2413</v>
      </c>
      <c r="H1106" s="16"/>
      <c r="I1106" s="20"/>
      <c r="J1106" s="20"/>
      <c r="K1106" s="20"/>
      <c r="L1106" s="20"/>
      <c r="M1106" s="20"/>
      <c r="N1106" s="20"/>
      <c r="O1106" s="20"/>
      <c r="P1106" s="20"/>
      <c r="Q1106" s="20"/>
      <c r="R1106" s="20"/>
      <c r="S1106" s="20"/>
      <c r="T1106" s="20"/>
      <c r="U1106" s="20"/>
      <c r="V1106" s="20"/>
      <c r="W1106" s="20"/>
      <c r="X1106" s="20"/>
      <c r="Y1106" s="20"/>
      <c r="Z1106" s="20"/>
      <c r="AA1106" s="20"/>
    </row>
    <row r="1107" spans="1:27" ht="87" x14ac:dyDescent="0.25">
      <c r="A1107" s="16"/>
      <c r="B1107" s="20" t="b">
        <f ca="1">IFERROR(__xludf.DUMMYFUNCTION("if(D1107=iferror(filter('Character Sheet'!D$13:D3002,'Character Sheet'!D$13:D3002=D1107),""""),True,False)"),FALSE)</f>
        <v>0</v>
      </c>
      <c r="C1107" s="20">
        <v>200</v>
      </c>
      <c r="D1107" s="2" t="s">
        <v>2414</v>
      </c>
      <c r="E1107" s="2" t="s">
        <v>103</v>
      </c>
      <c r="F1107" s="20" t="s">
        <v>59</v>
      </c>
      <c r="G1107" s="2" t="s">
        <v>2415</v>
      </c>
      <c r="H1107" s="16"/>
      <c r="I1107" s="20"/>
      <c r="J1107" s="20"/>
      <c r="K1107" s="20"/>
      <c r="L1107" s="20"/>
      <c r="M1107" s="20"/>
      <c r="N1107" s="20"/>
      <c r="O1107" s="20"/>
      <c r="P1107" s="20"/>
      <c r="Q1107" s="20"/>
      <c r="R1107" s="20"/>
      <c r="S1107" s="20"/>
      <c r="T1107" s="20"/>
      <c r="U1107" s="20"/>
      <c r="V1107" s="20"/>
      <c r="W1107" s="20"/>
      <c r="X1107" s="20"/>
      <c r="Y1107" s="20"/>
      <c r="Z1107" s="20"/>
      <c r="AA1107" s="20"/>
    </row>
    <row r="1108" spans="1:27" ht="278.39999999999998" x14ac:dyDescent="0.25">
      <c r="A1108" s="16"/>
      <c r="B1108" s="20" t="b">
        <f ca="1">IFERROR(__xludf.DUMMYFUNCTION("if(D1108=iferror(filter('Character Sheet'!D$13:D3002,'Character Sheet'!D$13:D3002=D1108),""""),True,False)"),FALSE)</f>
        <v>0</v>
      </c>
      <c r="C1108" s="20">
        <v>200</v>
      </c>
      <c r="D1108" s="2" t="s">
        <v>2416</v>
      </c>
      <c r="E1108" s="2" t="s">
        <v>265</v>
      </c>
      <c r="F1108" s="20" t="s">
        <v>59</v>
      </c>
      <c r="G1108" s="2" t="s">
        <v>2417</v>
      </c>
      <c r="H1108" s="16"/>
      <c r="I1108" s="20"/>
      <c r="J1108" s="20"/>
      <c r="K1108" s="20"/>
      <c r="L1108" s="20"/>
      <c r="M1108" s="20"/>
      <c r="N1108" s="20"/>
      <c r="O1108" s="20"/>
      <c r="P1108" s="20"/>
      <c r="Q1108" s="20"/>
      <c r="R1108" s="20"/>
      <c r="S1108" s="20"/>
      <c r="T1108" s="20"/>
      <c r="U1108" s="20"/>
      <c r="V1108" s="20"/>
      <c r="W1108" s="20"/>
      <c r="X1108" s="20"/>
      <c r="Y1108" s="20"/>
      <c r="Z1108" s="20"/>
      <c r="AA1108" s="20"/>
    </row>
    <row r="1109" spans="1:27" ht="104.4" x14ac:dyDescent="0.25">
      <c r="A1109" s="16"/>
      <c r="B1109" s="20" t="b">
        <f ca="1">IFERROR(__xludf.DUMMYFUNCTION("if(D1109=iferror(filter('Character Sheet'!D$13:D3002,'Character Sheet'!D$13:D3002=D1109),""""),True,False)"),FALSE)</f>
        <v>0</v>
      </c>
      <c r="C1109" s="20">
        <v>300</v>
      </c>
      <c r="D1109" s="2" t="s">
        <v>2418</v>
      </c>
      <c r="E1109" s="2" t="s">
        <v>2340</v>
      </c>
      <c r="F1109" s="20" t="s">
        <v>59</v>
      </c>
      <c r="G1109" s="2" t="s">
        <v>2419</v>
      </c>
      <c r="H1109" s="16"/>
      <c r="I1109" s="20"/>
      <c r="J1109" s="20"/>
      <c r="K1109" s="20"/>
      <c r="L1109" s="20"/>
      <c r="M1109" s="20"/>
      <c r="N1109" s="20"/>
      <c r="O1109" s="20"/>
      <c r="P1109" s="20"/>
      <c r="Q1109" s="20"/>
      <c r="R1109" s="20"/>
      <c r="S1109" s="20"/>
      <c r="T1109" s="20"/>
      <c r="U1109" s="20"/>
      <c r="V1109" s="20"/>
      <c r="W1109" s="20"/>
      <c r="X1109" s="20"/>
      <c r="Y1109" s="20"/>
      <c r="Z1109" s="20"/>
      <c r="AA1109" s="20"/>
    </row>
    <row r="1110" spans="1:27" ht="34.799999999999997" x14ac:dyDescent="0.25">
      <c r="A1110" s="16"/>
      <c r="B1110" s="20" t="b">
        <f ca="1">IFERROR(__xludf.DUMMYFUNCTION("if(D1110=iferror(filter('Character Sheet'!D$13:D3002,'Character Sheet'!D$13:D3002=D1110),""""),True,False)"),FALSE)</f>
        <v>0</v>
      </c>
      <c r="C1110" s="20">
        <v>300</v>
      </c>
      <c r="D1110" s="2" t="s">
        <v>2420</v>
      </c>
      <c r="E1110" s="2" t="s">
        <v>277</v>
      </c>
      <c r="F1110" s="20" t="s">
        <v>59</v>
      </c>
      <c r="G1110" s="2" t="s">
        <v>2421</v>
      </c>
      <c r="H1110" s="16"/>
      <c r="I1110" s="20"/>
      <c r="J1110" s="20"/>
      <c r="K1110" s="20"/>
      <c r="L1110" s="20"/>
      <c r="M1110" s="20"/>
      <c r="N1110" s="20"/>
      <c r="O1110" s="20"/>
      <c r="P1110" s="20"/>
      <c r="Q1110" s="20"/>
      <c r="R1110" s="20"/>
      <c r="S1110" s="20"/>
      <c r="T1110" s="20"/>
      <c r="U1110" s="20"/>
      <c r="V1110" s="20"/>
      <c r="W1110" s="20"/>
      <c r="X1110" s="20"/>
      <c r="Y1110" s="20"/>
      <c r="Z1110" s="20"/>
      <c r="AA1110" s="20"/>
    </row>
    <row r="1111" spans="1:27" ht="87" x14ac:dyDescent="0.25">
      <c r="A1111" s="16"/>
      <c r="B1111" s="20" t="b">
        <f ca="1">IFERROR(__xludf.DUMMYFUNCTION("if(D1111=iferror(filter('Character Sheet'!D$13:D3002,'Character Sheet'!D$13:D3002=D1111),""""),True,False)"),FALSE)</f>
        <v>0</v>
      </c>
      <c r="C1111" s="20">
        <v>300</v>
      </c>
      <c r="D1111" s="2" t="s">
        <v>2422</v>
      </c>
      <c r="E1111" s="2" t="s">
        <v>472</v>
      </c>
      <c r="F1111" s="20" t="s">
        <v>59</v>
      </c>
      <c r="G1111" s="2" t="s">
        <v>2423</v>
      </c>
      <c r="H1111" s="16"/>
      <c r="I1111" s="20"/>
      <c r="J1111" s="20"/>
      <c r="K1111" s="20"/>
      <c r="L1111" s="20"/>
      <c r="M1111" s="20"/>
      <c r="N1111" s="20"/>
      <c r="O1111" s="20"/>
      <c r="P1111" s="20"/>
      <c r="Q1111" s="20"/>
      <c r="R1111" s="20"/>
      <c r="S1111" s="20"/>
      <c r="T1111" s="20"/>
      <c r="U1111" s="20"/>
      <c r="V1111" s="20"/>
      <c r="W1111" s="20"/>
      <c r="X1111" s="20"/>
      <c r="Y1111" s="20"/>
      <c r="Z1111" s="20"/>
      <c r="AA1111" s="20"/>
    </row>
    <row r="1112" spans="1:27" ht="226.2" x14ac:dyDescent="0.25">
      <c r="A1112" s="16"/>
      <c r="B1112" s="20" t="b">
        <f ca="1">IFERROR(__xludf.DUMMYFUNCTION("if(D1112=iferror(filter('Character Sheet'!D$13:D3002,'Character Sheet'!D$13:D3002=D1112),""""),True,False)"),FALSE)</f>
        <v>0</v>
      </c>
      <c r="C1112" s="20">
        <v>300</v>
      </c>
      <c r="D1112" s="2" t="s">
        <v>2424</v>
      </c>
      <c r="E1112" s="2" t="s">
        <v>265</v>
      </c>
      <c r="F1112" s="20" t="s">
        <v>59</v>
      </c>
      <c r="G1112" s="2" t="s">
        <v>2425</v>
      </c>
      <c r="H1112" s="16"/>
      <c r="I1112" s="20"/>
      <c r="J1112" s="20"/>
      <c r="K1112" s="20"/>
      <c r="L1112" s="20"/>
      <c r="M1112" s="20"/>
      <c r="N1112" s="20"/>
      <c r="O1112" s="20"/>
      <c r="P1112" s="20"/>
      <c r="Q1112" s="20"/>
      <c r="R1112" s="20"/>
      <c r="S1112" s="20"/>
      <c r="T1112" s="20"/>
      <c r="U1112" s="20"/>
      <c r="V1112" s="20"/>
      <c r="W1112" s="20"/>
      <c r="X1112" s="20"/>
      <c r="Y1112" s="20"/>
      <c r="Z1112" s="20"/>
      <c r="AA1112" s="20"/>
    </row>
    <row r="1113" spans="1:27" ht="121.8" x14ac:dyDescent="0.25">
      <c r="A1113" s="16"/>
      <c r="B1113" s="20" t="b">
        <f ca="1">IFERROR(__xludf.DUMMYFUNCTION("if(D1113=iferror(filter('Character Sheet'!D$13:D3002,'Character Sheet'!D$13:D3002=D1113),""""),True,False)"),FALSE)</f>
        <v>0</v>
      </c>
      <c r="C1113" s="20">
        <v>300</v>
      </c>
      <c r="D1113" s="2" t="s">
        <v>2426</v>
      </c>
      <c r="E1113" s="2" t="s">
        <v>100</v>
      </c>
      <c r="F1113" s="20" t="s">
        <v>59</v>
      </c>
      <c r="G1113" s="2" t="s">
        <v>2427</v>
      </c>
      <c r="H1113" s="16"/>
      <c r="I1113" s="20"/>
      <c r="J1113" s="20"/>
      <c r="K1113" s="20"/>
      <c r="L1113" s="20"/>
      <c r="M1113" s="20"/>
      <c r="N1113" s="20"/>
      <c r="O1113" s="20"/>
      <c r="P1113" s="20"/>
      <c r="Q1113" s="20"/>
      <c r="R1113" s="20"/>
      <c r="S1113" s="20"/>
      <c r="T1113" s="20"/>
      <c r="U1113" s="20"/>
      <c r="V1113" s="20"/>
      <c r="W1113" s="20"/>
      <c r="X1113" s="20"/>
      <c r="Y1113" s="20"/>
      <c r="Z1113" s="20"/>
      <c r="AA1113" s="20"/>
    </row>
    <row r="1114" spans="1:27" ht="121.8" x14ac:dyDescent="0.25">
      <c r="A1114" s="16"/>
      <c r="B1114" s="20" t="b">
        <f ca="1">IFERROR(__xludf.DUMMYFUNCTION("if(D1114=iferror(filter('Character Sheet'!D$13:D3002,'Character Sheet'!D$13:D3002=D1114),""""),True,False)"),FALSE)</f>
        <v>0</v>
      </c>
      <c r="C1114" s="20">
        <v>300</v>
      </c>
      <c r="D1114" s="2" t="s">
        <v>2428</v>
      </c>
      <c r="E1114" s="2" t="s">
        <v>100</v>
      </c>
      <c r="F1114" s="20" t="s">
        <v>59</v>
      </c>
      <c r="G1114" s="2" t="s">
        <v>2429</v>
      </c>
      <c r="H1114" s="16"/>
      <c r="I1114" s="20"/>
      <c r="J1114" s="20"/>
      <c r="K1114" s="20"/>
      <c r="L1114" s="20"/>
      <c r="M1114" s="20"/>
      <c r="N1114" s="20"/>
      <c r="O1114" s="20"/>
      <c r="P1114" s="20"/>
      <c r="Q1114" s="20"/>
      <c r="R1114" s="20"/>
      <c r="S1114" s="20"/>
      <c r="T1114" s="20"/>
      <c r="U1114" s="20"/>
      <c r="V1114" s="20"/>
      <c r="W1114" s="20"/>
      <c r="X1114" s="20"/>
      <c r="Y1114" s="20"/>
      <c r="Z1114" s="20"/>
      <c r="AA1114" s="20"/>
    </row>
    <row r="1115" spans="1:27" ht="52.2" x14ac:dyDescent="0.25">
      <c r="A1115" s="16"/>
      <c r="B1115" s="20" t="b">
        <f ca="1">IFERROR(__xludf.DUMMYFUNCTION("if(D1115=iferror(filter('Character Sheet'!D$13:D3002,'Character Sheet'!D$13:D3002=D1115),""""),True,False)"),FALSE)</f>
        <v>0</v>
      </c>
      <c r="C1115" s="20">
        <v>300</v>
      </c>
      <c r="D1115" s="2" t="s">
        <v>2430</v>
      </c>
      <c r="E1115" s="2" t="s">
        <v>1693</v>
      </c>
      <c r="F1115" s="20" t="s">
        <v>59</v>
      </c>
      <c r="G1115" s="2" t="s">
        <v>2431</v>
      </c>
      <c r="H1115" s="16"/>
      <c r="I1115" s="20"/>
      <c r="J1115" s="20"/>
      <c r="K1115" s="20"/>
      <c r="L1115" s="20"/>
      <c r="M1115" s="20"/>
      <c r="N1115" s="20"/>
      <c r="O1115" s="20"/>
      <c r="P1115" s="20"/>
      <c r="Q1115" s="20"/>
      <c r="R1115" s="20"/>
      <c r="S1115" s="20"/>
      <c r="T1115" s="20"/>
      <c r="U1115" s="20"/>
      <c r="V1115" s="20"/>
      <c r="W1115" s="20"/>
      <c r="X1115" s="20"/>
      <c r="Y1115" s="20"/>
      <c r="Z1115" s="20"/>
      <c r="AA1115" s="20"/>
    </row>
    <row r="1116" spans="1:27" ht="104.4" x14ac:dyDescent="0.25">
      <c r="A1116" s="16"/>
      <c r="B1116" s="20" t="b">
        <f ca="1">IFERROR(__xludf.DUMMYFUNCTION("if(D1116=iferror(filter('Character Sheet'!D$13:D3002,'Character Sheet'!D$13:D3002=D1116),""""),True,False)"),FALSE)</f>
        <v>0</v>
      </c>
      <c r="C1116" s="20">
        <v>300</v>
      </c>
      <c r="D1116" s="2" t="s">
        <v>2432</v>
      </c>
      <c r="E1116" s="2" t="s">
        <v>943</v>
      </c>
      <c r="F1116" s="20" t="s">
        <v>59</v>
      </c>
      <c r="G1116" s="2" t="s">
        <v>2433</v>
      </c>
      <c r="H1116" s="16"/>
      <c r="I1116" s="20"/>
      <c r="J1116" s="20"/>
      <c r="K1116" s="20"/>
      <c r="L1116" s="20"/>
      <c r="M1116" s="20"/>
      <c r="N1116" s="20"/>
      <c r="O1116" s="20"/>
      <c r="P1116" s="20"/>
      <c r="Q1116" s="20"/>
      <c r="R1116" s="20"/>
      <c r="S1116" s="20"/>
      <c r="T1116" s="20"/>
      <c r="U1116" s="20"/>
      <c r="V1116" s="20"/>
      <c r="W1116" s="20"/>
      <c r="X1116" s="20"/>
      <c r="Y1116" s="20"/>
      <c r="Z1116" s="20"/>
      <c r="AA1116" s="20"/>
    </row>
    <row r="1117" spans="1:27" ht="121.8" x14ac:dyDescent="0.25">
      <c r="A1117" s="16"/>
      <c r="B1117" s="20" t="b">
        <f ca="1">IFERROR(__xludf.DUMMYFUNCTION("if(D1117=iferror(filter('Character Sheet'!D$13:D3002,'Character Sheet'!D$13:D3002=D1117),""""),True,False)"),FALSE)</f>
        <v>0</v>
      </c>
      <c r="C1117" s="20">
        <v>400</v>
      </c>
      <c r="D1117" s="2" t="s">
        <v>2434</v>
      </c>
      <c r="E1117" s="2" t="s">
        <v>521</v>
      </c>
      <c r="F1117" s="20" t="s">
        <v>59</v>
      </c>
      <c r="G1117" s="2" t="s">
        <v>2435</v>
      </c>
      <c r="H1117" s="16"/>
      <c r="I1117" s="20"/>
      <c r="J1117" s="20"/>
      <c r="K1117" s="20"/>
      <c r="L1117" s="20"/>
      <c r="M1117" s="20"/>
      <c r="N1117" s="20"/>
      <c r="O1117" s="20"/>
      <c r="P1117" s="20"/>
      <c r="Q1117" s="20"/>
      <c r="R1117" s="20"/>
      <c r="S1117" s="20"/>
      <c r="T1117" s="20"/>
      <c r="U1117" s="20"/>
      <c r="V1117" s="20"/>
      <c r="W1117" s="20"/>
      <c r="X1117" s="20"/>
      <c r="Y1117" s="20"/>
      <c r="Z1117" s="20"/>
      <c r="AA1117" s="20"/>
    </row>
    <row r="1118" spans="1:27" ht="52.2" x14ac:dyDescent="0.25">
      <c r="A1118" s="16"/>
      <c r="B1118" s="20" t="b">
        <f ca="1">IFERROR(__xludf.DUMMYFUNCTION("if(D1118=iferror(filter('Character Sheet'!D$13:D3002,'Character Sheet'!D$13:D3002=D1118),""""),True,False)"),FALSE)</f>
        <v>0</v>
      </c>
      <c r="C1118" s="20">
        <v>400</v>
      </c>
      <c r="D1118" s="2" t="s">
        <v>2436</v>
      </c>
      <c r="E1118" s="2" t="s">
        <v>1828</v>
      </c>
      <c r="F1118" s="20" t="s">
        <v>59</v>
      </c>
      <c r="G1118" s="2" t="s">
        <v>2437</v>
      </c>
      <c r="H1118" s="16"/>
      <c r="I1118" s="20"/>
      <c r="J1118" s="20"/>
      <c r="K1118" s="20"/>
      <c r="L1118" s="20"/>
      <c r="M1118" s="20"/>
      <c r="N1118" s="20"/>
      <c r="O1118" s="20"/>
      <c r="P1118" s="20"/>
      <c r="Q1118" s="20"/>
      <c r="R1118" s="20"/>
      <c r="S1118" s="20"/>
      <c r="T1118" s="20"/>
      <c r="U1118" s="20"/>
      <c r="V1118" s="20"/>
      <c r="W1118" s="20"/>
      <c r="X1118" s="20"/>
      <c r="Y1118" s="20"/>
      <c r="Z1118" s="20"/>
      <c r="AA1118" s="20"/>
    </row>
    <row r="1119" spans="1:27" ht="104.4" x14ac:dyDescent="0.25">
      <c r="A1119" s="16"/>
      <c r="B1119" s="20" t="b">
        <f ca="1">IFERROR(__xludf.DUMMYFUNCTION("if(D1119=iferror(filter('Character Sheet'!D$13:D3002,'Character Sheet'!D$13:D3002=D1119),""""),True,False)"),FALSE)</f>
        <v>0</v>
      </c>
      <c r="C1119" s="20">
        <v>400</v>
      </c>
      <c r="D1119" s="2" t="s">
        <v>2438</v>
      </c>
      <c r="E1119" s="2" t="s">
        <v>131</v>
      </c>
      <c r="F1119" s="20" t="s">
        <v>59</v>
      </c>
      <c r="G1119" s="2" t="s">
        <v>2439</v>
      </c>
      <c r="H1119" s="16"/>
      <c r="I1119" s="20"/>
      <c r="J1119" s="20"/>
      <c r="K1119" s="20"/>
      <c r="L1119" s="20"/>
      <c r="M1119" s="20"/>
      <c r="N1119" s="20"/>
      <c r="O1119" s="20"/>
      <c r="P1119" s="20"/>
      <c r="Q1119" s="20"/>
      <c r="R1119" s="20"/>
      <c r="S1119" s="20"/>
      <c r="T1119" s="20"/>
      <c r="U1119" s="20"/>
      <c r="V1119" s="20"/>
      <c r="W1119" s="20"/>
      <c r="X1119" s="20"/>
      <c r="Y1119" s="20"/>
      <c r="Z1119" s="20"/>
      <c r="AA1119" s="20"/>
    </row>
    <row r="1120" spans="1:27" ht="87" x14ac:dyDescent="0.25">
      <c r="A1120" s="16"/>
      <c r="B1120" s="20" t="b">
        <f ca="1">IFERROR(__xludf.DUMMYFUNCTION("if(D1120=iferror(filter('Character Sheet'!D$13:D3002,'Character Sheet'!D$13:D3002=D1120),""""),True,False)"),FALSE)</f>
        <v>0</v>
      </c>
      <c r="C1120" s="20">
        <v>400</v>
      </c>
      <c r="D1120" s="2" t="s">
        <v>2440</v>
      </c>
      <c r="E1120" s="2" t="s">
        <v>262</v>
      </c>
      <c r="F1120" s="20" t="s">
        <v>59</v>
      </c>
      <c r="G1120" s="2" t="s">
        <v>2441</v>
      </c>
      <c r="H1120" s="16"/>
      <c r="I1120" s="20"/>
      <c r="J1120" s="20"/>
      <c r="K1120" s="20"/>
      <c r="L1120" s="20"/>
      <c r="M1120" s="20"/>
      <c r="N1120" s="20"/>
      <c r="O1120" s="20"/>
      <c r="P1120" s="20"/>
      <c r="Q1120" s="20"/>
      <c r="R1120" s="20"/>
      <c r="S1120" s="20"/>
      <c r="T1120" s="20"/>
      <c r="U1120" s="20"/>
      <c r="V1120" s="20"/>
      <c r="W1120" s="20"/>
      <c r="X1120" s="20"/>
      <c r="Y1120" s="20"/>
      <c r="Z1120" s="20"/>
      <c r="AA1120" s="20"/>
    </row>
    <row r="1121" spans="1:27" ht="87" x14ac:dyDescent="0.25">
      <c r="A1121" s="16"/>
      <c r="B1121" s="20" t="b">
        <f ca="1">IFERROR(__xludf.DUMMYFUNCTION("if(D1121=iferror(filter('Character Sheet'!D$13:D3002,'Character Sheet'!D$13:D3002=D1121),""""),True,False)"),FALSE)</f>
        <v>0</v>
      </c>
      <c r="C1121" s="20">
        <v>400</v>
      </c>
      <c r="D1121" s="2" t="s">
        <v>2442</v>
      </c>
      <c r="E1121" s="2" t="s">
        <v>442</v>
      </c>
      <c r="F1121" s="20" t="s">
        <v>59</v>
      </c>
      <c r="G1121" s="2" t="s">
        <v>2443</v>
      </c>
      <c r="H1121" s="16"/>
      <c r="I1121" s="20"/>
      <c r="J1121" s="20"/>
      <c r="K1121" s="20"/>
      <c r="L1121" s="20"/>
      <c r="M1121" s="20"/>
      <c r="N1121" s="20"/>
      <c r="O1121" s="20"/>
      <c r="P1121" s="20"/>
      <c r="Q1121" s="20"/>
      <c r="R1121" s="20"/>
      <c r="S1121" s="20"/>
      <c r="T1121" s="20"/>
      <c r="U1121" s="20"/>
      <c r="V1121" s="20"/>
      <c r="W1121" s="20"/>
      <c r="X1121" s="20"/>
      <c r="Y1121" s="20"/>
      <c r="Z1121" s="20"/>
      <c r="AA1121" s="20"/>
    </row>
    <row r="1122" spans="1:27" ht="156.6" x14ac:dyDescent="0.25">
      <c r="A1122" s="16"/>
      <c r="B1122" s="20" t="b">
        <f ca="1">IFERROR(__xludf.DUMMYFUNCTION("if(D1122=iferror(filter('Character Sheet'!D$13:D3002,'Character Sheet'!D$13:D3002=D1122),""""),True,False)"),FALSE)</f>
        <v>0</v>
      </c>
      <c r="C1122" s="20">
        <v>400</v>
      </c>
      <c r="D1122" s="2" t="s">
        <v>2444</v>
      </c>
      <c r="E1122" s="2" t="s">
        <v>341</v>
      </c>
      <c r="F1122" s="20" t="s">
        <v>59</v>
      </c>
      <c r="G1122" s="2" t="s">
        <v>2445</v>
      </c>
      <c r="H1122" s="16"/>
      <c r="I1122" s="20"/>
      <c r="J1122" s="20"/>
      <c r="K1122" s="20"/>
      <c r="L1122" s="20"/>
      <c r="M1122" s="20"/>
      <c r="N1122" s="20"/>
      <c r="O1122" s="20"/>
      <c r="P1122" s="20"/>
      <c r="Q1122" s="20"/>
      <c r="R1122" s="20"/>
      <c r="S1122" s="20"/>
      <c r="T1122" s="20"/>
      <c r="U1122" s="20"/>
      <c r="V1122" s="20"/>
      <c r="W1122" s="20"/>
      <c r="X1122" s="20"/>
      <c r="Y1122" s="20"/>
      <c r="Z1122" s="20"/>
      <c r="AA1122" s="20"/>
    </row>
    <row r="1123" spans="1:27" ht="69.599999999999994" x14ac:dyDescent="0.25">
      <c r="A1123" s="16"/>
      <c r="B1123" s="20" t="b">
        <f ca="1">IFERROR(__xludf.DUMMYFUNCTION("if(D1123=iferror(filter('Character Sheet'!D$13:D3002,'Character Sheet'!D$13:D3002=D1123),""""),True,False)"),FALSE)</f>
        <v>0</v>
      </c>
      <c r="C1123" s="20">
        <v>400</v>
      </c>
      <c r="D1123" s="2" t="s">
        <v>2446</v>
      </c>
      <c r="E1123" s="2" t="s">
        <v>358</v>
      </c>
      <c r="F1123" s="20" t="s">
        <v>59</v>
      </c>
      <c r="G1123" s="2" t="s">
        <v>2447</v>
      </c>
      <c r="H1123" s="16"/>
      <c r="I1123" s="20"/>
      <c r="J1123" s="20"/>
      <c r="K1123" s="20"/>
      <c r="L1123" s="20"/>
      <c r="M1123" s="20"/>
      <c r="N1123" s="20"/>
      <c r="O1123" s="20"/>
      <c r="P1123" s="20"/>
      <c r="Q1123" s="20"/>
      <c r="R1123" s="20"/>
      <c r="S1123" s="20"/>
      <c r="T1123" s="20"/>
      <c r="U1123" s="20"/>
      <c r="V1123" s="20"/>
      <c r="W1123" s="20"/>
      <c r="X1123" s="20"/>
      <c r="Y1123" s="20"/>
      <c r="Z1123" s="20"/>
      <c r="AA1123" s="20"/>
    </row>
    <row r="1124" spans="1:27" ht="156.6" x14ac:dyDescent="0.25">
      <c r="A1124" s="16"/>
      <c r="B1124" s="20" t="b">
        <f ca="1">IFERROR(__xludf.DUMMYFUNCTION("if(D1124=iferror(filter('Character Sheet'!D$13:D3002,'Character Sheet'!D$13:D3002=D1124),""""),True,False)"),FALSE)</f>
        <v>0</v>
      </c>
      <c r="C1124" s="20">
        <v>400</v>
      </c>
      <c r="D1124" s="2" t="s">
        <v>2448</v>
      </c>
      <c r="E1124" s="2" t="s">
        <v>124</v>
      </c>
      <c r="F1124" s="20" t="s">
        <v>59</v>
      </c>
      <c r="G1124" s="2" t="s">
        <v>2449</v>
      </c>
      <c r="H1124" s="16"/>
      <c r="I1124" s="20"/>
      <c r="J1124" s="20"/>
      <c r="K1124" s="20"/>
      <c r="L1124" s="20"/>
      <c r="M1124" s="20"/>
      <c r="N1124" s="20"/>
      <c r="O1124" s="20"/>
      <c r="P1124" s="20"/>
      <c r="Q1124" s="20"/>
      <c r="R1124" s="20"/>
      <c r="S1124" s="20"/>
      <c r="T1124" s="20"/>
      <c r="U1124" s="20"/>
      <c r="V1124" s="20"/>
      <c r="W1124" s="20"/>
      <c r="X1124" s="20"/>
      <c r="Y1124" s="20"/>
      <c r="Z1124" s="20"/>
      <c r="AA1124" s="20"/>
    </row>
    <row r="1125" spans="1:27" ht="104.4" x14ac:dyDescent="0.25">
      <c r="A1125" s="16"/>
      <c r="B1125" s="20" t="b">
        <f ca="1">IFERROR(__xludf.DUMMYFUNCTION("if(D1125=iferror(filter('Character Sheet'!D$13:D3002,'Character Sheet'!D$13:D3002=D1125),""""),True,False)"),FALSE)</f>
        <v>0</v>
      </c>
      <c r="C1125" s="20">
        <v>400</v>
      </c>
      <c r="D1125" s="2" t="s">
        <v>2450</v>
      </c>
      <c r="E1125" s="2" t="s">
        <v>1130</v>
      </c>
      <c r="F1125" s="20" t="s">
        <v>59</v>
      </c>
      <c r="G1125" s="2" t="s">
        <v>2451</v>
      </c>
      <c r="H1125" s="16"/>
      <c r="I1125" s="20"/>
      <c r="J1125" s="20"/>
      <c r="K1125" s="20"/>
      <c r="L1125" s="20"/>
      <c r="M1125" s="20"/>
      <c r="N1125" s="20"/>
      <c r="O1125" s="20"/>
      <c r="P1125" s="20"/>
      <c r="Q1125" s="20"/>
      <c r="R1125" s="20"/>
      <c r="S1125" s="20"/>
      <c r="T1125" s="20"/>
      <c r="U1125" s="20"/>
      <c r="V1125" s="20"/>
      <c r="W1125" s="20"/>
      <c r="X1125" s="20"/>
      <c r="Y1125" s="20"/>
      <c r="Z1125" s="20"/>
      <c r="AA1125" s="20"/>
    </row>
    <row r="1126" spans="1:27" ht="261" x14ac:dyDescent="0.25">
      <c r="A1126" s="16"/>
      <c r="B1126" s="20" t="b">
        <f ca="1">IFERROR(__xludf.DUMMYFUNCTION("if(D1126=iferror(filter('Character Sheet'!D$13:D3002,'Character Sheet'!D$13:D3002=D1126),""""),True,False)"),FALSE)</f>
        <v>0</v>
      </c>
      <c r="C1126" s="20">
        <v>400</v>
      </c>
      <c r="D1126" s="2" t="s">
        <v>2452</v>
      </c>
      <c r="E1126" s="2" t="s">
        <v>285</v>
      </c>
      <c r="F1126" s="20" t="s">
        <v>59</v>
      </c>
      <c r="G1126" s="2" t="s">
        <v>2453</v>
      </c>
      <c r="H1126" s="16"/>
      <c r="I1126" s="20"/>
      <c r="J1126" s="20"/>
      <c r="K1126" s="20"/>
      <c r="L1126" s="20"/>
      <c r="M1126" s="20"/>
      <c r="N1126" s="20"/>
      <c r="O1126" s="20"/>
      <c r="P1126" s="20"/>
      <c r="Q1126" s="20"/>
      <c r="R1126" s="20"/>
      <c r="S1126" s="20"/>
      <c r="T1126" s="20"/>
      <c r="U1126" s="20"/>
      <c r="V1126" s="20"/>
      <c r="W1126" s="20"/>
      <c r="X1126" s="20"/>
      <c r="Y1126" s="20"/>
      <c r="Z1126" s="20"/>
      <c r="AA1126" s="20"/>
    </row>
    <row r="1127" spans="1:27" ht="87" x14ac:dyDescent="0.25">
      <c r="A1127" s="16"/>
      <c r="B1127" s="20" t="b">
        <f ca="1">IFERROR(__xludf.DUMMYFUNCTION("if(D1127=iferror(filter('Character Sheet'!D$13:D3002,'Character Sheet'!D$13:D3002=D1127),""""),True,False)"),FALSE)</f>
        <v>0</v>
      </c>
      <c r="C1127" s="20">
        <v>400</v>
      </c>
      <c r="D1127" s="2" t="s">
        <v>2454</v>
      </c>
      <c r="E1127" s="2" t="s">
        <v>534</v>
      </c>
      <c r="F1127" s="20" t="s">
        <v>59</v>
      </c>
      <c r="G1127" s="2" t="s">
        <v>2455</v>
      </c>
      <c r="H1127" s="16"/>
      <c r="I1127" s="20"/>
      <c r="J1127" s="20"/>
      <c r="K1127" s="20"/>
      <c r="L1127" s="20"/>
      <c r="M1127" s="20"/>
      <c r="N1127" s="20"/>
      <c r="O1127" s="20"/>
      <c r="P1127" s="20"/>
      <c r="Q1127" s="20"/>
      <c r="R1127" s="20"/>
      <c r="S1127" s="20"/>
      <c r="T1127" s="20"/>
      <c r="U1127" s="20"/>
      <c r="V1127" s="20"/>
      <c r="W1127" s="20"/>
      <c r="X1127" s="20"/>
      <c r="Y1127" s="20"/>
      <c r="Z1127" s="20"/>
      <c r="AA1127" s="20"/>
    </row>
    <row r="1128" spans="1:27" ht="69.599999999999994" x14ac:dyDescent="0.25">
      <c r="A1128" s="16"/>
      <c r="B1128" s="20" t="b">
        <f ca="1">IFERROR(__xludf.DUMMYFUNCTION("if(D1128=iferror(filter('Character Sheet'!D$13:D3002,'Character Sheet'!D$13:D3002=D1128),""""),True,False)"),FALSE)</f>
        <v>0</v>
      </c>
      <c r="C1128" s="20">
        <v>400</v>
      </c>
      <c r="D1128" s="2" t="s">
        <v>2456</v>
      </c>
      <c r="E1128" s="2" t="s">
        <v>1693</v>
      </c>
      <c r="F1128" s="20" t="s">
        <v>59</v>
      </c>
      <c r="G1128" s="2" t="s">
        <v>2457</v>
      </c>
      <c r="H1128" s="16"/>
      <c r="I1128" s="20"/>
      <c r="J1128" s="20"/>
      <c r="K1128" s="20"/>
      <c r="L1128" s="20"/>
      <c r="M1128" s="20"/>
      <c r="N1128" s="20"/>
      <c r="O1128" s="20"/>
      <c r="P1128" s="20"/>
      <c r="Q1128" s="20"/>
      <c r="R1128" s="20"/>
      <c r="S1128" s="20"/>
      <c r="T1128" s="20"/>
      <c r="U1128" s="20"/>
      <c r="V1128" s="20"/>
      <c r="W1128" s="20"/>
      <c r="X1128" s="20"/>
      <c r="Y1128" s="20"/>
      <c r="Z1128" s="20"/>
      <c r="AA1128" s="20"/>
    </row>
    <row r="1129" spans="1:27" ht="139.19999999999999" x14ac:dyDescent="0.25">
      <c r="A1129" s="16"/>
      <c r="B1129" s="20" t="b">
        <f ca="1">IFERROR(__xludf.DUMMYFUNCTION("if(D1129=iferror(filter('Character Sheet'!D$13:D3002,'Character Sheet'!D$13:D3002=D1129),""""),True,False)"),FALSE)</f>
        <v>0</v>
      </c>
      <c r="C1129" s="20">
        <v>400</v>
      </c>
      <c r="D1129" s="2" t="s">
        <v>2458</v>
      </c>
      <c r="E1129" s="2" t="s">
        <v>250</v>
      </c>
      <c r="F1129" s="20" t="s">
        <v>59</v>
      </c>
      <c r="G1129" s="2" t="s">
        <v>2459</v>
      </c>
      <c r="H1129" s="16"/>
      <c r="I1129" s="20"/>
      <c r="J1129" s="20"/>
      <c r="K1129" s="20"/>
      <c r="L1129" s="20"/>
      <c r="M1129" s="20"/>
      <c r="N1129" s="20"/>
      <c r="O1129" s="20"/>
      <c r="P1129" s="20"/>
      <c r="Q1129" s="20"/>
      <c r="R1129" s="20"/>
      <c r="S1129" s="20"/>
      <c r="T1129" s="20"/>
      <c r="U1129" s="20"/>
      <c r="V1129" s="20"/>
      <c r="W1129" s="20"/>
      <c r="X1129" s="20"/>
      <c r="Y1129" s="20"/>
      <c r="Z1129" s="20"/>
      <c r="AA1129" s="20"/>
    </row>
    <row r="1130" spans="1:27" ht="104.4" x14ac:dyDescent="0.25">
      <c r="A1130" s="16"/>
      <c r="B1130" s="20" t="b">
        <f ca="1">IFERROR(__xludf.DUMMYFUNCTION("if(D1130=iferror(filter('Character Sheet'!D$13:D3002,'Character Sheet'!D$13:D3002=D1130),""""),True,False)"),FALSE)</f>
        <v>0</v>
      </c>
      <c r="C1130" s="20">
        <v>400</v>
      </c>
      <c r="D1130" s="2" t="s">
        <v>2460</v>
      </c>
      <c r="E1130" s="2" t="s">
        <v>442</v>
      </c>
      <c r="F1130" s="20" t="s">
        <v>59</v>
      </c>
      <c r="G1130" s="2" t="s">
        <v>2461</v>
      </c>
      <c r="H1130" s="16"/>
      <c r="I1130" s="20"/>
      <c r="J1130" s="20"/>
      <c r="K1130" s="20"/>
      <c r="L1130" s="20"/>
      <c r="M1130" s="20"/>
      <c r="N1130" s="20"/>
      <c r="O1130" s="20"/>
      <c r="P1130" s="20"/>
      <c r="Q1130" s="20"/>
      <c r="R1130" s="20"/>
      <c r="S1130" s="20"/>
      <c r="T1130" s="20"/>
      <c r="U1130" s="20"/>
      <c r="V1130" s="20"/>
      <c r="W1130" s="20"/>
      <c r="X1130" s="20"/>
      <c r="Y1130" s="20"/>
      <c r="Z1130" s="20"/>
      <c r="AA1130" s="20"/>
    </row>
    <row r="1131" spans="1:27" ht="121.8" x14ac:dyDescent="0.25">
      <c r="A1131" s="16"/>
      <c r="B1131" s="20" t="b">
        <f ca="1">IFERROR(__xludf.DUMMYFUNCTION("if(D1131=iferror(filter('Character Sheet'!D$13:D3002,'Character Sheet'!D$13:D3002=D1131),""""),True,False)"),FALSE)</f>
        <v>0</v>
      </c>
      <c r="C1131" s="20">
        <v>400</v>
      </c>
      <c r="D1131" s="2" t="s">
        <v>2462</v>
      </c>
      <c r="E1131" s="2" t="s">
        <v>187</v>
      </c>
      <c r="F1131" s="20" t="s">
        <v>59</v>
      </c>
      <c r="G1131" s="2" t="s">
        <v>2463</v>
      </c>
      <c r="H1131" s="16"/>
      <c r="I1131" s="20"/>
      <c r="J1131" s="20"/>
      <c r="K1131" s="20"/>
      <c r="L1131" s="20"/>
      <c r="M1131" s="20"/>
      <c r="N1131" s="20"/>
      <c r="O1131" s="20"/>
      <c r="P1131" s="20"/>
      <c r="Q1131" s="20"/>
      <c r="R1131" s="20"/>
      <c r="S1131" s="20"/>
      <c r="T1131" s="20"/>
      <c r="U1131" s="20"/>
      <c r="V1131" s="20"/>
      <c r="W1131" s="20"/>
      <c r="X1131" s="20"/>
      <c r="Y1131" s="20"/>
      <c r="Z1131" s="20"/>
      <c r="AA1131" s="20"/>
    </row>
    <row r="1132" spans="1:27" ht="156.6" x14ac:dyDescent="0.25">
      <c r="A1132" s="16"/>
      <c r="B1132" s="20" t="b">
        <f ca="1">IFERROR(__xludf.DUMMYFUNCTION("if(D1132=iferror(filter('Character Sheet'!D$13:D3002,'Character Sheet'!D$13:D3002=D1132),""""),True,False)"),FALSE)</f>
        <v>0</v>
      </c>
      <c r="C1132" s="20">
        <v>400</v>
      </c>
      <c r="D1132" s="2" t="s">
        <v>2464</v>
      </c>
      <c r="E1132" s="2" t="s">
        <v>652</v>
      </c>
      <c r="F1132" s="20" t="s">
        <v>59</v>
      </c>
      <c r="G1132" s="2" t="s">
        <v>2465</v>
      </c>
      <c r="H1132" s="16"/>
      <c r="I1132" s="20"/>
      <c r="J1132" s="20"/>
      <c r="K1132" s="20"/>
      <c r="L1132" s="20"/>
      <c r="M1132" s="20"/>
      <c r="N1132" s="20"/>
      <c r="O1132" s="20"/>
      <c r="P1132" s="20"/>
      <c r="Q1132" s="20"/>
      <c r="R1132" s="20"/>
      <c r="S1132" s="20"/>
      <c r="T1132" s="20"/>
      <c r="U1132" s="20"/>
      <c r="V1132" s="20"/>
      <c r="W1132" s="20"/>
      <c r="X1132" s="20"/>
      <c r="Y1132" s="20"/>
      <c r="Z1132" s="20"/>
      <c r="AA1132" s="20"/>
    </row>
    <row r="1133" spans="1:27" ht="69.599999999999994" x14ac:dyDescent="0.25">
      <c r="A1133" s="16"/>
      <c r="B1133" s="20" t="b">
        <f ca="1">IFERROR(__xludf.DUMMYFUNCTION("if(D1133=iferror(filter('Character Sheet'!D$13:D3002,'Character Sheet'!D$13:D3002=D1133),""""),True,False)"),FALSE)</f>
        <v>0</v>
      </c>
      <c r="C1133" s="20">
        <v>500</v>
      </c>
      <c r="D1133" s="2" t="s">
        <v>2466</v>
      </c>
      <c r="E1133" s="2" t="s">
        <v>652</v>
      </c>
      <c r="F1133" s="20" t="s">
        <v>59</v>
      </c>
      <c r="G1133" s="2" t="s">
        <v>2467</v>
      </c>
      <c r="H1133" s="16"/>
      <c r="I1133" s="20"/>
      <c r="J1133" s="20"/>
      <c r="K1133" s="20"/>
      <c r="L1133" s="20"/>
      <c r="M1133" s="20"/>
      <c r="N1133" s="20"/>
      <c r="O1133" s="20"/>
      <c r="P1133" s="20"/>
      <c r="Q1133" s="20"/>
      <c r="R1133" s="20"/>
      <c r="S1133" s="20"/>
      <c r="T1133" s="20"/>
      <c r="U1133" s="20"/>
      <c r="V1133" s="20"/>
      <c r="W1133" s="20"/>
      <c r="X1133" s="20"/>
      <c r="Y1133" s="20"/>
      <c r="Z1133" s="20"/>
      <c r="AA1133" s="20"/>
    </row>
    <row r="1134" spans="1:27" ht="156.6" x14ac:dyDescent="0.25">
      <c r="A1134" s="16"/>
      <c r="B1134" s="20" t="b">
        <f ca="1">IFERROR(__xludf.DUMMYFUNCTION("if(D1134=iferror(filter('Character Sheet'!D$13:D3002,'Character Sheet'!D$13:D3002=D1134),""""),True,False)"),FALSE)</f>
        <v>0</v>
      </c>
      <c r="C1134" s="20">
        <v>600</v>
      </c>
      <c r="D1134" s="2" t="s">
        <v>2468</v>
      </c>
      <c r="E1134" s="2" t="s">
        <v>2325</v>
      </c>
      <c r="F1134" s="20" t="s">
        <v>59</v>
      </c>
      <c r="G1134" s="2" t="s">
        <v>2469</v>
      </c>
      <c r="H1134" s="16"/>
      <c r="I1134" s="20"/>
      <c r="J1134" s="20"/>
      <c r="K1134" s="20"/>
      <c r="L1134" s="20"/>
      <c r="M1134" s="20"/>
      <c r="N1134" s="20"/>
      <c r="O1134" s="20"/>
      <c r="P1134" s="20"/>
      <c r="Q1134" s="20"/>
      <c r="R1134" s="20"/>
      <c r="S1134" s="20"/>
      <c r="T1134" s="20"/>
      <c r="U1134" s="20"/>
      <c r="V1134" s="20"/>
      <c r="W1134" s="20"/>
      <c r="X1134" s="20"/>
      <c r="Y1134" s="20"/>
      <c r="Z1134" s="20"/>
      <c r="AA1134" s="20"/>
    </row>
    <row r="1135" spans="1:27" ht="295.8" x14ac:dyDescent="0.25">
      <c r="A1135" s="16"/>
      <c r="B1135" s="20" t="b">
        <f ca="1">IFERROR(__xludf.DUMMYFUNCTION("if(D1135=iferror(filter('Character Sheet'!D$13:D3002,'Character Sheet'!D$13:D3002=D1135),""""),True,False)"),FALSE)</f>
        <v>0</v>
      </c>
      <c r="C1135" s="20">
        <v>600</v>
      </c>
      <c r="D1135" s="2" t="s">
        <v>2470</v>
      </c>
      <c r="E1135" s="2" t="s">
        <v>268</v>
      </c>
      <c r="F1135" s="20" t="s">
        <v>59</v>
      </c>
      <c r="G1135" s="2" t="s">
        <v>2471</v>
      </c>
      <c r="H1135" s="16"/>
      <c r="I1135" s="20"/>
      <c r="J1135" s="20"/>
      <c r="K1135" s="20"/>
      <c r="L1135" s="20"/>
      <c r="M1135" s="20"/>
      <c r="N1135" s="20"/>
      <c r="O1135" s="20"/>
      <c r="P1135" s="20"/>
      <c r="Q1135" s="20"/>
      <c r="R1135" s="20"/>
      <c r="S1135" s="20"/>
      <c r="T1135" s="20"/>
      <c r="U1135" s="20"/>
      <c r="V1135" s="20"/>
      <c r="W1135" s="20"/>
      <c r="X1135" s="20"/>
      <c r="Y1135" s="20"/>
      <c r="Z1135" s="20"/>
      <c r="AA1135" s="20"/>
    </row>
    <row r="1136" spans="1:27" ht="330.6" x14ac:dyDescent="0.25">
      <c r="A1136" s="16"/>
      <c r="B1136" s="20" t="b">
        <f ca="1">IFERROR(__xludf.DUMMYFUNCTION("if(D1136=iferror(filter('Character Sheet'!D$13:D3002,'Character Sheet'!D$13:D3002=D1136),""""),True,False)"),FALSE)</f>
        <v>0</v>
      </c>
      <c r="C1136" s="20">
        <v>600</v>
      </c>
      <c r="D1136" s="2" t="s">
        <v>2472</v>
      </c>
      <c r="E1136" s="2" t="s">
        <v>285</v>
      </c>
      <c r="F1136" s="20" t="s">
        <v>59</v>
      </c>
      <c r="G1136" s="2" t="s">
        <v>2473</v>
      </c>
      <c r="H1136" s="16"/>
      <c r="I1136" s="20"/>
      <c r="J1136" s="20"/>
      <c r="K1136" s="20"/>
      <c r="L1136" s="20"/>
      <c r="M1136" s="20"/>
      <c r="N1136" s="20"/>
      <c r="O1136" s="20"/>
      <c r="P1136" s="20"/>
      <c r="Q1136" s="20"/>
      <c r="R1136" s="20"/>
      <c r="S1136" s="20"/>
      <c r="T1136" s="20"/>
      <c r="U1136" s="20"/>
      <c r="V1136" s="20"/>
      <c r="W1136" s="20"/>
      <c r="X1136" s="20"/>
      <c r="Y1136" s="20"/>
      <c r="Z1136" s="20"/>
      <c r="AA1136" s="20"/>
    </row>
    <row r="1137" spans="1:27" ht="191.4" x14ac:dyDescent="0.25">
      <c r="A1137" s="16"/>
      <c r="B1137" s="20" t="b">
        <f ca="1">IFERROR(__xludf.DUMMYFUNCTION("if(D1137=iferror(filter('Character Sheet'!D$13:D3002,'Character Sheet'!D$13:D3002=D1137),""""),True,False)"),FALSE)</f>
        <v>0</v>
      </c>
      <c r="C1137" s="20">
        <v>600</v>
      </c>
      <c r="D1137" s="2" t="s">
        <v>2474</v>
      </c>
      <c r="E1137" s="2" t="s">
        <v>285</v>
      </c>
      <c r="F1137" s="20" t="s">
        <v>59</v>
      </c>
      <c r="G1137" s="2" t="s">
        <v>2475</v>
      </c>
      <c r="H1137" s="16"/>
      <c r="I1137" s="20"/>
      <c r="J1137" s="20"/>
      <c r="K1137" s="20"/>
      <c r="L1137" s="20"/>
      <c r="M1137" s="20"/>
      <c r="N1137" s="20"/>
      <c r="O1137" s="20"/>
      <c r="P1137" s="20"/>
      <c r="Q1137" s="20"/>
      <c r="R1137" s="20"/>
      <c r="S1137" s="20"/>
      <c r="T1137" s="20"/>
      <c r="U1137" s="20"/>
      <c r="V1137" s="20"/>
      <c r="W1137" s="20"/>
      <c r="X1137" s="20"/>
      <c r="Y1137" s="20"/>
      <c r="Z1137" s="20"/>
      <c r="AA1137" s="20"/>
    </row>
    <row r="1138" spans="1:27" ht="87" x14ac:dyDescent="0.25">
      <c r="A1138" s="16"/>
      <c r="B1138" s="20" t="b">
        <f ca="1">IFERROR(__xludf.DUMMYFUNCTION("if(D1138=iferror(filter('Character Sheet'!D$13:D3002,'Character Sheet'!D$13:D3002=D1138),""""),True,False)"),FALSE)</f>
        <v>0</v>
      </c>
      <c r="C1138" s="20">
        <v>600</v>
      </c>
      <c r="D1138" s="2" t="s">
        <v>2476</v>
      </c>
      <c r="E1138" s="2" t="s">
        <v>358</v>
      </c>
      <c r="F1138" s="20" t="s">
        <v>59</v>
      </c>
      <c r="G1138" s="2" t="s">
        <v>2477</v>
      </c>
      <c r="H1138" s="16"/>
      <c r="I1138" s="20"/>
      <c r="J1138" s="20"/>
      <c r="K1138" s="20"/>
      <c r="L1138" s="20"/>
      <c r="M1138" s="20"/>
      <c r="N1138" s="20"/>
      <c r="O1138" s="20"/>
      <c r="P1138" s="20"/>
      <c r="Q1138" s="20"/>
      <c r="R1138" s="20"/>
      <c r="S1138" s="20"/>
      <c r="T1138" s="20"/>
      <c r="U1138" s="20"/>
      <c r="V1138" s="20"/>
      <c r="W1138" s="20"/>
      <c r="X1138" s="20"/>
      <c r="Y1138" s="20"/>
      <c r="Z1138" s="20"/>
      <c r="AA1138" s="20"/>
    </row>
    <row r="1139" spans="1:27" ht="52.2" x14ac:dyDescent="0.25">
      <c r="A1139" s="16"/>
      <c r="B1139" s="20" t="b">
        <f ca="1">IFERROR(__xludf.DUMMYFUNCTION("if(D1139=iferror(filter('Character Sheet'!D$13:D3002,'Character Sheet'!D$13:D3002=D1139),""""),True,False)"),FALSE)</f>
        <v>0</v>
      </c>
      <c r="C1139" s="20">
        <v>0</v>
      </c>
      <c r="D1139" s="2" t="s">
        <v>2478</v>
      </c>
      <c r="E1139" s="2" t="s">
        <v>747</v>
      </c>
      <c r="F1139" s="20" t="s">
        <v>60</v>
      </c>
      <c r="G1139" s="2" t="s">
        <v>2479</v>
      </c>
      <c r="H1139" s="16"/>
      <c r="I1139" s="20"/>
      <c r="J1139" s="20"/>
      <c r="K1139" s="20"/>
      <c r="L1139" s="20"/>
      <c r="M1139" s="20"/>
      <c r="N1139" s="20"/>
      <c r="O1139" s="20"/>
      <c r="P1139" s="20"/>
      <c r="Q1139" s="20"/>
      <c r="R1139" s="20"/>
      <c r="S1139" s="20"/>
      <c r="T1139" s="20"/>
      <c r="U1139" s="20"/>
      <c r="V1139" s="20"/>
      <c r="W1139" s="20"/>
      <c r="X1139" s="20"/>
      <c r="Y1139" s="20"/>
      <c r="Z1139" s="20"/>
      <c r="AA1139" s="20"/>
    </row>
    <row r="1140" spans="1:27" ht="104.4" x14ac:dyDescent="0.25">
      <c r="A1140" s="16"/>
      <c r="B1140" s="20" t="b">
        <f ca="1">IFERROR(__xludf.DUMMYFUNCTION("if(D1140=iferror(filter('Character Sheet'!D$13:D3002,'Character Sheet'!D$13:D3002=D1140),""""),True,False)"),FALSE)</f>
        <v>0</v>
      </c>
      <c r="C1140" s="20">
        <v>50</v>
      </c>
      <c r="D1140" s="2" t="s">
        <v>2480</v>
      </c>
      <c r="E1140" s="2" t="s">
        <v>401</v>
      </c>
      <c r="F1140" s="20" t="s">
        <v>60</v>
      </c>
      <c r="G1140" s="2" t="s">
        <v>2481</v>
      </c>
      <c r="H1140" s="16"/>
      <c r="I1140" s="20"/>
      <c r="J1140" s="20"/>
      <c r="K1140" s="20"/>
      <c r="L1140" s="20"/>
      <c r="M1140" s="20"/>
      <c r="N1140" s="20"/>
      <c r="O1140" s="20"/>
      <c r="P1140" s="20"/>
      <c r="Q1140" s="20"/>
      <c r="R1140" s="20"/>
      <c r="S1140" s="20"/>
      <c r="T1140" s="20"/>
      <c r="U1140" s="20"/>
      <c r="V1140" s="20"/>
      <c r="W1140" s="20"/>
      <c r="X1140" s="20"/>
      <c r="Y1140" s="20"/>
      <c r="Z1140" s="20"/>
      <c r="AA1140" s="20"/>
    </row>
    <row r="1141" spans="1:27" ht="121.8" x14ac:dyDescent="0.25">
      <c r="A1141" s="16"/>
      <c r="B1141" s="20" t="b">
        <f ca="1">IFERROR(__xludf.DUMMYFUNCTION("if(D1141=iferror(filter('Character Sheet'!D$13:D3002,'Character Sheet'!D$13:D3002=D1141),""""),True,False)"),FALSE)</f>
        <v>0</v>
      </c>
      <c r="C1141" s="20">
        <v>50</v>
      </c>
      <c r="D1141" s="2" t="s">
        <v>2482</v>
      </c>
      <c r="E1141" s="2" t="s">
        <v>298</v>
      </c>
      <c r="F1141" s="20" t="s">
        <v>60</v>
      </c>
      <c r="G1141" s="2" t="s">
        <v>2483</v>
      </c>
      <c r="H1141" s="16"/>
      <c r="I1141" s="20"/>
      <c r="J1141" s="20"/>
      <c r="K1141" s="20"/>
      <c r="L1141" s="20"/>
      <c r="M1141" s="20"/>
      <c r="N1141" s="20"/>
      <c r="O1141" s="20"/>
      <c r="P1141" s="20"/>
      <c r="Q1141" s="20"/>
      <c r="R1141" s="20"/>
      <c r="S1141" s="20"/>
      <c r="T1141" s="20"/>
      <c r="U1141" s="20"/>
      <c r="V1141" s="20"/>
      <c r="W1141" s="20"/>
      <c r="X1141" s="20"/>
      <c r="Y1141" s="20"/>
      <c r="Z1141" s="20"/>
      <c r="AA1141" s="20"/>
    </row>
    <row r="1142" spans="1:27" ht="34.799999999999997" x14ac:dyDescent="0.25">
      <c r="A1142" s="16"/>
      <c r="B1142" s="20" t="b">
        <f ca="1">IFERROR(__xludf.DUMMYFUNCTION("if(D1142=iferror(filter('Character Sheet'!D$13:D3002,'Character Sheet'!D$13:D3002=D1142),""""),True,False)"),FALSE)</f>
        <v>0</v>
      </c>
      <c r="C1142" s="20">
        <v>50</v>
      </c>
      <c r="D1142" s="2" t="s">
        <v>2484</v>
      </c>
      <c r="E1142" s="2" t="s">
        <v>248</v>
      </c>
      <c r="F1142" s="20" t="s">
        <v>60</v>
      </c>
      <c r="G1142" s="2" t="s">
        <v>2485</v>
      </c>
      <c r="H1142" s="16"/>
      <c r="I1142" s="20"/>
      <c r="J1142" s="20"/>
      <c r="K1142" s="20"/>
      <c r="L1142" s="20"/>
      <c r="M1142" s="20"/>
      <c r="N1142" s="20"/>
      <c r="O1142" s="20"/>
      <c r="P1142" s="20"/>
      <c r="Q1142" s="20"/>
      <c r="R1142" s="20"/>
      <c r="S1142" s="20"/>
      <c r="T1142" s="20"/>
      <c r="U1142" s="20"/>
      <c r="V1142" s="20"/>
      <c r="W1142" s="20"/>
      <c r="X1142" s="20"/>
      <c r="Y1142" s="20"/>
      <c r="Z1142" s="20"/>
      <c r="AA1142" s="20"/>
    </row>
    <row r="1143" spans="1:27" ht="87" x14ac:dyDescent="0.25">
      <c r="A1143" s="16"/>
      <c r="B1143" s="20" t="b">
        <f ca="1">IFERROR(__xludf.DUMMYFUNCTION("if(D1143=iferror(filter('Character Sheet'!D$13:D3002,'Character Sheet'!D$13:D3002=D1143),""""),True,False)"),FALSE)</f>
        <v>0</v>
      </c>
      <c r="C1143" s="20">
        <v>50</v>
      </c>
      <c r="D1143" s="2" t="s">
        <v>2486</v>
      </c>
      <c r="E1143" s="2" t="s">
        <v>119</v>
      </c>
      <c r="F1143" s="20" t="s">
        <v>60</v>
      </c>
      <c r="G1143" s="2" t="s">
        <v>2487</v>
      </c>
      <c r="H1143" s="16"/>
      <c r="I1143" s="20"/>
      <c r="J1143" s="20"/>
      <c r="K1143" s="20"/>
      <c r="L1143" s="20"/>
      <c r="M1143" s="20"/>
      <c r="N1143" s="20"/>
      <c r="O1143" s="20"/>
      <c r="P1143" s="20"/>
      <c r="Q1143" s="20"/>
      <c r="R1143" s="20"/>
      <c r="S1143" s="20"/>
      <c r="T1143" s="20"/>
      <c r="U1143" s="20"/>
      <c r="V1143" s="20"/>
      <c r="W1143" s="20"/>
      <c r="X1143" s="20"/>
      <c r="Y1143" s="20"/>
      <c r="Z1143" s="20"/>
      <c r="AA1143" s="20"/>
    </row>
    <row r="1144" spans="1:27" ht="409.6" x14ac:dyDescent="0.25">
      <c r="A1144" s="16"/>
      <c r="B1144" s="20" t="b">
        <f ca="1">IFERROR(__xludf.DUMMYFUNCTION("if(D1144=iferror(filter('Character Sheet'!D$13:D3002,'Character Sheet'!D$13:D3002=D1144),""""),True,False)"),FALSE)</f>
        <v>0</v>
      </c>
      <c r="C1144" s="20">
        <v>50</v>
      </c>
      <c r="D1144" s="2" t="s">
        <v>2488</v>
      </c>
      <c r="E1144" s="2" t="s">
        <v>109</v>
      </c>
      <c r="F1144" s="20" t="s">
        <v>60</v>
      </c>
      <c r="G1144" s="2" t="s">
        <v>2489</v>
      </c>
      <c r="H1144" s="16"/>
      <c r="I1144" s="20"/>
      <c r="J1144" s="20"/>
      <c r="K1144" s="20"/>
      <c r="L1144" s="20"/>
      <c r="M1144" s="20"/>
      <c r="N1144" s="20"/>
      <c r="O1144" s="20"/>
      <c r="P1144" s="20"/>
      <c r="Q1144" s="20"/>
      <c r="R1144" s="20"/>
      <c r="S1144" s="20"/>
      <c r="T1144" s="20"/>
      <c r="U1144" s="20"/>
      <c r="V1144" s="20"/>
      <c r="W1144" s="20"/>
      <c r="X1144" s="20"/>
      <c r="Y1144" s="20"/>
      <c r="Z1144" s="20"/>
      <c r="AA1144" s="20"/>
    </row>
    <row r="1145" spans="1:27" ht="69.599999999999994" x14ac:dyDescent="0.25">
      <c r="A1145" s="16"/>
      <c r="B1145" s="20" t="b">
        <f ca="1">IFERROR(__xludf.DUMMYFUNCTION("if(D1145=iferror(filter('Character Sheet'!D$13:D3002,'Character Sheet'!D$13:D3002=D1145),""""),True,False)"),FALSE)</f>
        <v>0</v>
      </c>
      <c r="C1145" s="20">
        <v>50</v>
      </c>
      <c r="D1145" s="2" t="s">
        <v>2490</v>
      </c>
      <c r="E1145" s="2" t="s">
        <v>325</v>
      </c>
      <c r="F1145" s="20" t="s">
        <v>60</v>
      </c>
      <c r="G1145" s="2" t="s">
        <v>2491</v>
      </c>
      <c r="H1145" s="16"/>
      <c r="I1145" s="20"/>
      <c r="J1145" s="20"/>
      <c r="K1145" s="20"/>
      <c r="L1145" s="20"/>
      <c r="M1145" s="20"/>
      <c r="N1145" s="20"/>
      <c r="O1145" s="20"/>
      <c r="P1145" s="20"/>
      <c r="Q1145" s="20"/>
      <c r="R1145" s="20"/>
      <c r="S1145" s="20"/>
      <c r="T1145" s="20"/>
      <c r="U1145" s="20"/>
      <c r="V1145" s="20"/>
      <c r="W1145" s="20"/>
      <c r="X1145" s="20"/>
      <c r="Y1145" s="20"/>
      <c r="Z1145" s="20"/>
      <c r="AA1145" s="20"/>
    </row>
    <row r="1146" spans="1:27" ht="87" x14ac:dyDescent="0.25">
      <c r="A1146" s="16"/>
      <c r="B1146" s="20" t="b">
        <f ca="1">IFERROR(__xludf.DUMMYFUNCTION("if(D1146=iferror(filter('Character Sheet'!D$13:D3002,'Character Sheet'!D$13:D3002=D1146),""""),True,False)"),FALSE)</f>
        <v>0</v>
      </c>
      <c r="C1146" s="20">
        <v>50</v>
      </c>
      <c r="D1146" s="2" t="s">
        <v>2492</v>
      </c>
      <c r="E1146" s="2" t="s">
        <v>182</v>
      </c>
      <c r="F1146" s="20" t="s">
        <v>60</v>
      </c>
      <c r="G1146" s="2" t="s">
        <v>2493</v>
      </c>
      <c r="H1146" s="16"/>
      <c r="I1146" s="20"/>
      <c r="J1146" s="20"/>
      <c r="K1146" s="20"/>
      <c r="L1146" s="20"/>
      <c r="M1146" s="20"/>
      <c r="N1146" s="20"/>
      <c r="O1146" s="20"/>
      <c r="P1146" s="20"/>
      <c r="Q1146" s="20"/>
      <c r="R1146" s="20"/>
      <c r="S1146" s="20"/>
      <c r="T1146" s="20"/>
      <c r="U1146" s="20"/>
      <c r="V1146" s="20"/>
      <c r="W1146" s="20"/>
      <c r="X1146" s="20"/>
      <c r="Y1146" s="20"/>
      <c r="Z1146" s="20"/>
      <c r="AA1146" s="20"/>
    </row>
    <row r="1147" spans="1:27" ht="121.8" x14ac:dyDescent="0.25">
      <c r="A1147" s="16"/>
      <c r="B1147" s="20" t="b">
        <f ca="1">IFERROR(__xludf.DUMMYFUNCTION("if(D1147=iferror(filter('Character Sheet'!D$13:D3002,'Character Sheet'!D$13:D3002=D1147),""""),True,False)"),FALSE)</f>
        <v>0</v>
      </c>
      <c r="C1147" s="20">
        <v>100</v>
      </c>
      <c r="D1147" s="2" t="s">
        <v>2494</v>
      </c>
      <c r="E1147" s="2" t="s">
        <v>615</v>
      </c>
      <c r="F1147" s="20" t="s">
        <v>60</v>
      </c>
      <c r="G1147" s="2" t="s">
        <v>2495</v>
      </c>
      <c r="H1147" s="16"/>
      <c r="I1147" s="20"/>
      <c r="J1147" s="20"/>
      <c r="K1147" s="20"/>
      <c r="L1147" s="20"/>
      <c r="M1147" s="20"/>
      <c r="N1147" s="20"/>
      <c r="O1147" s="20"/>
      <c r="P1147" s="20"/>
      <c r="Q1147" s="20"/>
      <c r="R1147" s="20"/>
      <c r="S1147" s="20"/>
      <c r="T1147" s="20"/>
      <c r="U1147" s="20"/>
      <c r="V1147" s="20"/>
      <c r="W1147" s="20"/>
      <c r="X1147" s="20"/>
      <c r="Y1147" s="20"/>
      <c r="Z1147" s="20"/>
      <c r="AA1147" s="20"/>
    </row>
    <row r="1148" spans="1:27" ht="52.2" x14ac:dyDescent="0.25">
      <c r="A1148" s="16"/>
      <c r="B1148" s="20" t="b">
        <f ca="1">IFERROR(__xludf.DUMMYFUNCTION("if(D1148=iferror(filter('Character Sheet'!D$13:D3002,'Character Sheet'!D$13:D3002=D1148),""""),True,False)"),FALSE)</f>
        <v>0</v>
      </c>
      <c r="C1148" s="20">
        <v>100</v>
      </c>
      <c r="D1148" s="2" t="s">
        <v>2496</v>
      </c>
      <c r="E1148" s="2" t="s">
        <v>469</v>
      </c>
      <c r="F1148" s="20" t="s">
        <v>60</v>
      </c>
      <c r="G1148" s="2" t="s">
        <v>2497</v>
      </c>
      <c r="H1148" s="16"/>
      <c r="I1148" s="20"/>
      <c r="J1148" s="20"/>
      <c r="K1148" s="20"/>
      <c r="L1148" s="20"/>
      <c r="M1148" s="20"/>
      <c r="N1148" s="20"/>
      <c r="O1148" s="20"/>
      <c r="P1148" s="20"/>
      <c r="Q1148" s="20"/>
      <c r="R1148" s="20"/>
      <c r="S1148" s="20"/>
      <c r="T1148" s="20"/>
      <c r="U1148" s="20"/>
      <c r="V1148" s="20"/>
      <c r="W1148" s="20"/>
      <c r="X1148" s="20"/>
      <c r="Y1148" s="20"/>
      <c r="Z1148" s="20"/>
      <c r="AA1148" s="20"/>
    </row>
    <row r="1149" spans="1:27" ht="52.2" x14ac:dyDescent="0.25">
      <c r="A1149" s="16"/>
      <c r="B1149" s="20" t="b">
        <f ca="1">IFERROR(__xludf.DUMMYFUNCTION("if(D1149=iferror(filter('Character Sheet'!D$13:D3002,'Character Sheet'!D$13:D3002=D1149),""""),True,False)"),FALSE)</f>
        <v>0</v>
      </c>
      <c r="C1149" s="20">
        <v>100</v>
      </c>
      <c r="D1149" s="2" t="s">
        <v>2498</v>
      </c>
      <c r="E1149" s="2" t="s">
        <v>1787</v>
      </c>
      <c r="F1149" s="20" t="s">
        <v>60</v>
      </c>
      <c r="G1149" s="2" t="s">
        <v>2499</v>
      </c>
      <c r="H1149" s="16"/>
      <c r="I1149" s="20"/>
      <c r="J1149" s="20"/>
      <c r="K1149" s="20"/>
      <c r="L1149" s="20"/>
      <c r="M1149" s="20"/>
      <c r="N1149" s="20"/>
      <c r="O1149" s="20"/>
      <c r="P1149" s="20"/>
      <c r="Q1149" s="20"/>
      <c r="R1149" s="20"/>
      <c r="S1149" s="20"/>
      <c r="T1149" s="20"/>
      <c r="U1149" s="20"/>
      <c r="V1149" s="20"/>
      <c r="W1149" s="20"/>
      <c r="X1149" s="20"/>
      <c r="Y1149" s="20"/>
      <c r="Z1149" s="20"/>
      <c r="AA1149" s="20"/>
    </row>
    <row r="1150" spans="1:27" ht="121.8" x14ac:dyDescent="0.25">
      <c r="A1150" s="16"/>
      <c r="B1150" s="20" t="b">
        <f ca="1">IFERROR(__xludf.DUMMYFUNCTION("if(D1150=iferror(filter('Character Sheet'!D$13:D3002,'Character Sheet'!D$13:D3002=D1150),""""),True,False)"),FALSE)</f>
        <v>0</v>
      </c>
      <c r="C1150" s="20">
        <v>100</v>
      </c>
      <c r="D1150" s="2" t="s">
        <v>2500</v>
      </c>
      <c r="E1150" s="2" t="s">
        <v>845</v>
      </c>
      <c r="F1150" s="20" t="s">
        <v>60</v>
      </c>
      <c r="G1150" s="2" t="s">
        <v>2501</v>
      </c>
      <c r="H1150" s="16"/>
      <c r="I1150" s="20"/>
      <c r="J1150" s="20"/>
      <c r="K1150" s="20"/>
      <c r="L1150" s="20"/>
      <c r="M1150" s="20"/>
      <c r="N1150" s="20"/>
      <c r="O1150" s="20"/>
      <c r="P1150" s="20"/>
      <c r="Q1150" s="20"/>
      <c r="R1150" s="20"/>
      <c r="S1150" s="20"/>
      <c r="T1150" s="20"/>
      <c r="U1150" s="20"/>
      <c r="V1150" s="20"/>
      <c r="W1150" s="20"/>
      <c r="X1150" s="20"/>
      <c r="Y1150" s="20"/>
      <c r="Z1150" s="20"/>
      <c r="AA1150" s="20"/>
    </row>
    <row r="1151" spans="1:27" ht="69.599999999999994" x14ac:dyDescent="0.25">
      <c r="A1151" s="16"/>
      <c r="B1151" s="20" t="b">
        <f ca="1">IFERROR(__xludf.DUMMYFUNCTION("if(D1151=iferror(filter('Character Sheet'!D$13:D3002,'Character Sheet'!D$13:D3002=D1151),""""),True,False)"),FALSE)</f>
        <v>0</v>
      </c>
      <c r="C1151" s="20">
        <v>100</v>
      </c>
      <c r="D1151" s="2" t="s">
        <v>2502</v>
      </c>
      <c r="E1151" s="2" t="s">
        <v>355</v>
      </c>
      <c r="F1151" s="20" t="s">
        <v>60</v>
      </c>
      <c r="G1151" s="2" t="s">
        <v>2503</v>
      </c>
      <c r="H1151" s="16"/>
      <c r="I1151" s="20"/>
      <c r="J1151" s="20"/>
      <c r="K1151" s="20"/>
      <c r="L1151" s="20"/>
      <c r="M1151" s="20"/>
      <c r="N1151" s="20"/>
      <c r="O1151" s="20"/>
      <c r="P1151" s="20"/>
      <c r="Q1151" s="20"/>
      <c r="R1151" s="20"/>
      <c r="S1151" s="20"/>
      <c r="T1151" s="20"/>
      <c r="U1151" s="20"/>
      <c r="V1151" s="20"/>
      <c r="W1151" s="20"/>
      <c r="X1151" s="20"/>
      <c r="Y1151" s="20"/>
      <c r="Z1151" s="20"/>
      <c r="AA1151" s="20"/>
    </row>
    <row r="1152" spans="1:27" ht="104.4" x14ac:dyDescent="0.25">
      <c r="A1152" s="16"/>
      <c r="B1152" s="20" t="b">
        <f ca="1">IFERROR(__xludf.DUMMYFUNCTION("if(D1152=iferror(filter('Character Sheet'!D$13:D3002,'Character Sheet'!D$13:D3002=D1152),""""),True,False)"),FALSE)</f>
        <v>0</v>
      </c>
      <c r="C1152" s="20">
        <v>100</v>
      </c>
      <c r="D1152" s="2" t="s">
        <v>2504</v>
      </c>
      <c r="E1152" s="2" t="s">
        <v>122</v>
      </c>
      <c r="F1152" s="20" t="s">
        <v>60</v>
      </c>
      <c r="G1152" s="2" t="s">
        <v>2505</v>
      </c>
      <c r="H1152" s="16"/>
      <c r="I1152" s="20"/>
      <c r="J1152" s="20"/>
      <c r="K1152" s="20"/>
      <c r="L1152" s="20"/>
      <c r="M1152" s="20"/>
      <c r="N1152" s="20"/>
      <c r="O1152" s="20"/>
      <c r="P1152" s="20"/>
      <c r="Q1152" s="20"/>
      <c r="R1152" s="20"/>
      <c r="S1152" s="20"/>
      <c r="T1152" s="20"/>
      <c r="U1152" s="20"/>
      <c r="V1152" s="20"/>
      <c r="W1152" s="20"/>
      <c r="X1152" s="20"/>
      <c r="Y1152" s="20"/>
      <c r="Z1152" s="20"/>
      <c r="AA1152" s="20"/>
    </row>
    <row r="1153" spans="1:27" ht="87" x14ac:dyDescent="0.25">
      <c r="A1153" s="16"/>
      <c r="B1153" s="20" t="b">
        <f ca="1">IFERROR(__xludf.DUMMYFUNCTION("if(D1153=iferror(filter('Character Sheet'!D$13:D3002,'Character Sheet'!D$13:D3002=D1153),""""),True,False)"),FALSE)</f>
        <v>0</v>
      </c>
      <c r="C1153" s="20">
        <v>100</v>
      </c>
      <c r="D1153" s="2" t="s">
        <v>2506</v>
      </c>
      <c r="E1153" s="2" t="s">
        <v>214</v>
      </c>
      <c r="F1153" s="20" t="s">
        <v>60</v>
      </c>
      <c r="G1153" s="2" t="s">
        <v>2507</v>
      </c>
      <c r="H1153" s="16"/>
      <c r="I1153" s="20"/>
      <c r="J1153" s="20"/>
      <c r="K1153" s="20"/>
      <c r="L1153" s="20"/>
      <c r="M1153" s="20"/>
      <c r="N1153" s="20"/>
      <c r="O1153" s="20"/>
      <c r="P1153" s="20"/>
      <c r="Q1153" s="20"/>
      <c r="R1153" s="20"/>
      <c r="S1153" s="20"/>
      <c r="T1153" s="20"/>
      <c r="U1153" s="20"/>
      <c r="V1153" s="20"/>
      <c r="W1153" s="20"/>
      <c r="X1153" s="20"/>
      <c r="Y1153" s="20"/>
      <c r="Z1153" s="20"/>
      <c r="AA1153" s="20"/>
    </row>
    <row r="1154" spans="1:27" ht="174" x14ac:dyDescent="0.25">
      <c r="A1154" s="16"/>
      <c r="B1154" s="20" t="b">
        <f ca="1">IFERROR(__xludf.DUMMYFUNCTION("if(D1154=iferror(filter('Character Sheet'!D$13:D3002,'Character Sheet'!D$13:D3002=D1154),""""),True,False)"),FALSE)</f>
        <v>0</v>
      </c>
      <c r="C1154" s="20">
        <v>100</v>
      </c>
      <c r="D1154" s="2" t="s">
        <v>2508</v>
      </c>
      <c r="E1154" s="2" t="s">
        <v>162</v>
      </c>
      <c r="F1154" s="20" t="s">
        <v>60</v>
      </c>
      <c r="G1154" s="2" t="s">
        <v>2509</v>
      </c>
      <c r="H1154" s="16"/>
      <c r="I1154" s="20"/>
      <c r="J1154" s="20"/>
      <c r="K1154" s="20"/>
      <c r="L1154" s="20"/>
      <c r="M1154" s="20"/>
      <c r="N1154" s="20"/>
      <c r="O1154" s="20"/>
      <c r="P1154" s="20"/>
      <c r="Q1154" s="20"/>
      <c r="R1154" s="20"/>
      <c r="S1154" s="20"/>
      <c r="T1154" s="20"/>
      <c r="U1154" s="20"/>
      <c r="V1154" s="20"/>
      <c r="W1154" s="20"/>
      <c r="X1154" s="20"/>
      <c r="Y1154" s="20"/>
      <c r="Z1154" s="20"/>
      <c r="AA1154" s="20"/>
    </row>
    <row r="1155" spans="1:27" ht="69.599999999999994" x14ac:dyDescent="0.25">
      <c r="A1155" s="16"/>
      <c r="B1155" s="20" t="b">
        <f ca="1">IFERROR(__xludf.DUMMYFUNCTION("if(D1155=iferror(filter('Character Sheet'!D$13:D3002,'Character Sheet'!D$13:D3002=D1155),""""),True,False)"),FALSE)</f>
        <v>0</v>
      </c>
      <c r="C1155" s="20">
        <v>100</v>
      </c>
      <c r="D1155" s="2" t="s">
        <v>2510</v>
      </c>
      <c r="E1155" s="2" t="s">
        <v>451</v>
      </c>
      <c r="F1155" s="20" t="s">
        <v>60</v>
      </c>
      <c r="G1155" s="2" t="s">
        <v>2511</v>
      </c>
      <c r="H1155" s="16"/>
      <c r="I1155" s="20"/>
      <c r="J1155" s="20"/>
      <c r="K1155" s="20"/>
      <c r="L1155" s="20"/>
      <c r="M1155" s="20"/>
      <c r="N1155" s="20"/>
      <c r="O1155" s="20"/>
      <c r="P1155" s="20"/>
      <c r="Q1155" s="20"/>
      <c r="R1155" s="20"/>
      <c r="S1155" s="20"/>
      <c r="T1155" s="20"/>
      <c r="U1155" s="20"/>
      <c r="V1155" s="20"/>
      <c r="W1155" s="20"/>
      <c r="X1155" s="20"/>
      <c r="Y1155" s="20"/>
      <c r="Z1155" s="20"/>
      <c r="AA1155" s="20"/>
    </row>
    <row r="1156" spans="1:27" ht="208.8" x14ac:dyDescent="0.25">
      <c r="A1156" s="16"/>
      <c r="B1156" s="20" t="b">
        <f ca="1">IFERROR(__xludf.DUMMYFUNCTION("if(D1156=iferror(filter('Character Sheet'!D$13:D3002,'Character Sheet'!D$13:D3002=D1156),""""),True,False)"),FALSE)</f>
        <v>0</v>
      </c>
      <c r="C1156" s="20">
        <v>100</v>
      </c>
      <c r="D1156" s="2" t="s">
        <v>2512</v>
      </c>
      <c r="E1156" s="2" t="s">
        <v>381</v>
      </c>
      <c r="F1156" s="20" t="s">
        <v>60</v>
      </c>
      <c r="G1156" s="2" t="s">
        <v>2513</v>
      </c>
      <c r="H1156" s="16"/>
      <c r="I1156" s="20"/>
      <c r="J1156" s="20"/>
      <c r="K1156" s="20"/>
      <c r="L1156" s="20"/>
      <c r="M1156" s="20"/>
      <c r="N1156" s="20"/>
      <c r="O1156" s="20"/>
      <c r="P1156" s="20"/>
      <c r="Q1156" s="20"/>
      <c r="R1156" s="20"/>
      <c r="S1156" s="20"/>
      <c r="T1156" s="20"/>
      <c r="U1156" s="20"/>
      <c r="V1156" s="20"/>
      <c r="W1156" s="20"/>
      <c r="X1156" s="20"/>
      <c r="Y1156" s="20"/>
      <c r="Z1156" s="20"/>
      <c r="AA1156" s="20"/>
    </row>
    <row r="1157" spans="1:27" ht="87" x14ac:dyDescent="0.25">
      <c r="A1157" s="16"/>
      <c r="B1157" s="20" t="b">
        <f ca="1">IFERROR(__xludf.DUMMYFUNCTION("if(D1157=iferror(filter('Character Sheet'!D$13:D3002,'Character Sheet'!D$13:D3002=D1157),""""),True,False)"),FALSE)</f>
        <v>0</v>
      </c>
      <c r="C1157" s="20">
        <v>100</v>
      </c>
      <c r="D1157" s="2" t="s">
        <v>2514</v>
      </c>
      <c r="E1157" s="2" t="s">
        <v>1130</v>
      </c>
      <c r="F1157" s="20" t="s">
        <v>60</v>
      </c>
      <c r="G1157" s="2" t="s">
        <v>2515</v>
      </c>
      <c r="H1157" s="16"/>
      <c r="I1157" s="20"/>
      <c r="J1157" s="20"/>
      <c r="K1157" s="20"/>
      <c r="L1157" s="20"/>
      <c r="M1157" s="20"/>
      <c r="N1157" s="20"/>
      <c r="O1157" s="20"/>
      <c r="P1157" s="20"/>
      <c r="Q1157" s="20"/>
      <c r="R1157" s="20"/>
      <c r="S1157" s="20"/>
      <c r="T1157" s="20"/>
      <c r="U1157" s="20"/>
      <c r="V1157" s="20"/>
      <c r="W1157" s="20"/>
      <c r="X1157" s="20"/>
      <c r="Y1157" s="20"/>
      <c r="Z1157" s="20"/>
      <c r="AA1157" s="20"/>
    </row>
    <row r="1158" spans="1:27" ht="69.599999999999994" x14ac:dyDescent="0.25">
      <c r="A1158" s="16"/>
      <c r="B1158" s="20" t="b">
        <f ca="1">IFERROR(__xludf.DUMMYFUNCTION("if(D1158=iferror(filter('Character Sheet'!D$13:D3002,'Character Sheet'!D$13:D3002=D1158),""""),True,False)"),FALSE)</f>
        <v>0</v>
      </c>
      <c r="C1158" s="20">
        <v>100</v>
      </c>
      <c r="D1158" s="2" t="s">
        <v>2516</v>
      </c>
      <c r="E1158" s="2" t="s">
        <v>2340</v>
      </c>
      <c r="F1158" s="20" t="s">
        <v>60</v>
      </c>
      <c r="G1158" s="2" t="s">
        <v>2517</v>
      </c>
      <c r="H1158" s="16"/>
      <c r="I1158" s="20"/>
      <c r="J1158" s="20"/>
      <c r="K1158" s="20"/>
      <c r="L1158" s="20"/>
      <c r="M1158" s="20"/>
      <c r="N1158" s="20"/>
      <c r="O1158" s="20"/>
      <c r="P1158" s="20"/>
      <c r="Q1158" s="20"/>
      <c r="R1158" s="20"/>
      <c r="S1158" s="20"/>
      <c r="T1158" s="20"/>
      <c r="U1158" s="20"/>
      <c r="V1158" s="20"/>
      <c r="W1158" s="20"/>
      <c r="X1158" s="20"/>
      <c r="Y1158" s="20"/>
      <c r="Z1158" s="20"/>
      <c r="AA1158" s="20"/>
    </row>
    <row r="1159" spans="1:27" ht="156.6" x14ac:dyDescent="0.25">
      <c r="A1159" s="16"/>
      <c r="B1159" s="20" t="b">
        <f ca="1">IFERROR(__xludf.DUMMYFUNCTION("if(D1159=iferror(filter('Character Sheet'!D$13:D3002,'Character Sheet'!D$13:D3002=D1159),""""),True,False)"),FALSE)</f>
        <v>0</v>
      </c>
      <c r="C1159" s="20">
        <v>100</v>
      </c>
      <c r="D1159" s="2" t="s">
        <v>2518</v>
      </c>
      <c r="E1159" s="2" t="s">
        <v>615</v>
      </c>
      <c r="F1159" s="20" t="s">
        <v>60</v>
      </c>
      <c r="G1159" s="2" t="s">
        <v>2519</v>
      </c>
      <c r="H1159" s="16"/>
      <c r="I1159" s="20"/>
      <c r="J1159" s="20"/>
      <c r="K1159" s="20"/>
      <c r="L1159" s="20"/>
      <c r="M1159" s="20"/>
      <c r="N1159" s="20"/>
      <c r="O1159" s="20"/>
      <c r="P1159" s="20"/>
      <c r="Q1159" s="20"/>
      <c r="R1159" s="20"/>
      <c r="S1159" s="20"/>
      <c r="T1159" s="20"/>
      <c r="U1159" s="20"/>
      <c r="V1159" s="20"/>
      <c r="W1159" s="20"/>
      <c r="X1159" s="20"/>
      <c r="Y1159" s="20"/>
      <c r="Z1159" s="20"/>
      <c r="AA1159" s="20"/>
    </row>
    <row r="1160" spans="1:27" ht="139.19999999999999" x14ac:dyDescent="0.25">
      <c r="A1160" s="16"/>
      <c r="B1160" s="20" t="b">
        <f ca="1">IFERROR(__xludf.DUMMYFUNCTION("if(D1160=iferror(filter('Character Sheet'!D$13:D3002,'Character Sheet'!D$13:D3002=D1160),""""),True,False)"),FALSE)</f>
        <v>0</v>
      </c>
      <c r="C1160" s="20">
        <v>100</v>
      </c>
      <c r="D1160" s="2" t="s">
        <v>2520</v>
      </c>
      <c r="E1160" s="2" t="s">
        <v>1093</v>
      </c>
      <c r="F1160" s="20" t="s">
        <v>60</v>
      </c>
      <c r="G1160" s="2" t="s">
        <v>2521</v>
      </c>
      <c r="H1160" s="16"/>
      <c r="I1160" s="20"/>
      <c r="J1160" s="20"/>
      <c r="K1160" s="20"/>
      <c r="L1160" s="20"/>
      <c r="M1160" s="20"/>
      <c r="N1160" s="20"/>
      <c r="O1160" s="20"/>
      <c r="P1160" s="20"/>
      <c r="Q1160" s="20"/>
      <c r="R1160" s="20"/>
      <c r="S1160" s="20"/>
      <c r="T1160" s="20"/>
      <c r="U1160" s="20"/>
      <c r="V1160" s="20"/>
      <c r="W1160" s="20"/>
      <c r="X1160" s="20"/>
      <c r="Y1160" s="20"/>
      <c r="Z1160" s="20"/>
      <c r="AA1160" s="20"/>
    </row>
    <row r="1161" spans="1:27" ht="52.2" x14ac:dyDescent="0.25">
      <c r="A1161" s="16"/>
      <c r="B1161" s="20" t="b">
        <f ca="1">IFERROR(__xludf.DUMMYFUNCTION("if(D1161=iferror(filter('Character Sheet'!D$13:D3002,'Character Sheet'!D$13:D3002=D1161),""""),True,False)"),FALSE)</f>
        <v>0</v>
      </c>
      <c r="C1161" s="20">
        <v>100</v>
      </c>
      <c r="D1161" s="2" t="s">
        <v>2522</v>
      </c>
      <c r="E1161" s="2" t="s">
        <v>159</v>
      </c>
      <c r="F1161" s="20" t="s">
        <v>60</v>
      </c>
      <c r="G1161" s="2" t="s">
        <v>2523</v>
      </c>
      <c r="H1161" s="16"/>
      <c r="I1161" s="20"/>
      <c r="J1161" s="20"/>
      <c r="K1161" s="20"/>
      <c r="L1161" s="20"/>
      <c r="M1161" s="20"/>
      <c r="N1161" s="20"/>
      <c r="O1161" s="20"/>
      <c r="P1161" s="20"/>
      <c r="Q1161" s="20"/>
      <c r="R1161" s="20"/>
      <c r="S1161" s="20"/>
      <c r="T1161" s="20"/>
      <c r="U1161" s="20"/>
      <c r="V1161" s="20"/>
      <c r="W1161" s="20"/>
      <c r="X1161" s="20"/>
      <c r="Y1161" s="20"/>
      <c r="Z1161" s="20"/>
      <c r="AA1161" s="20"/>
    </row>
    <row r="1162" spans="1:27" ht="87" x14ac:dyDescent="0.25">
      <c r="A1162" s="16"/>
      <c r="B1162" s="20" t="b">
        <f ca="1">IFERROR(__xludf.DUMMYFUNCTION("if(D1162=iferror(filter('Character Sheet'!D$13:D3002,'Character Sheet'!D$13:D3002=D1162),""""),True,False)"),FALSE)</f>
        <v>0</v>
      </c>
      <c r="C1162" s="20">
        <v>100</v>
      </c>
      <c r="D1162" s="2" t="s">
        <v>2524</v>
      </c>
      <c r="E1162" s="2" t="s">
        <v>615</v>
      </c>
      <c r="F1162" s="20" t="s">
        <v>60</v>
      </c>
      <c r="G1162" s="2" t="s">
        <v>2525</v>
      </c>
      <c r="H1162" s="16"/>
      <c r="I1162" s="20"/>
      <c r="J1162" s="20"/>
      <c r="K1162" s="20"/>
      <c r="L1162" s="20"/>
      <c r="M1162" s="20"/>
      <c r="N1162" s="20"/>
      <c r="O1162" s="20"/>
      <c r="P1162" s="20"/>
      <c r="Q1162" s="20"/>
      <c r="R1162" s="20"/>
      <c r="S1162" s="20"/>
      <c r="T1162" s="20"/>
      <c r="U1162" s="20"/>
      <c r="V1162" s="20"/>
      <c r="W1162" s="20"/>
      <c r="X1162" s="20"/>
      <c r="Y1162" s="20"/>
      <c r="Z1162" s="20"/>
      <c r="AA1162" s="20"/>
    </row>
    <row r="1163" spans="1:27" ht="121.8" x14ac:dyDescent="0.25">
      <c r="A1163" s="16"/>
      <c r="B1163" s="20" t="b">
        <f ca="1">IFERROR(__xludf.DUMMYFUNCTION("if(D1163=iferror(filter('Character Sheet'!D$13:D3002,'Character Sheet'!D$13:D3002=D1163),""""),True,False)"),FALSE)</f>
        <v>0</v>
      </c>
      <c r="C1163" s="20">
        <v>100</v>
      </c>
      <c r="D1163" s="2" t="s">
        <v>2526</v>
      </c>
      <c r="E1163" s="2" t="s">
        <v>863</v>
      </c>
      <c r="F1163" s="20" t="s">
        <v>60</v>
      </c>
      <c r="G1163" s="2" t="s">
        <v>2527</v>
      </c>
      <c r="H1163" s="16"/>
      <c r="I1163" s="20"/>
      <c r="J1163" s="20"/>
      <c r="K1163" s="20"/>
      <c r="L1163" s="20"/>
      <c r="M1163" s="20"/>
      <c r="N1163" s="20"/>
      <c r="O1163" s="20"/>
      <c r="P1163" s="20"/>
      <c r="Q1163" s="20"/>
      <c r="R1163" s="20"/>
      <c r="S1163" s="20"/>
      <c r="T1163" s="20"/>
      <c r="U1163" s="20"/>
      <c r="V1163" s="20"/>
      <c r="W1163" s="20"/>
      <c r="X1163" s="20"/>
      <c r="Y1163" s="20"/>
      <c r="Z1163" s="20"/>
      <c r="AA1163" s="20"/>
    </row>
    <row r="1164" spans="1:27" ht="139.19999999999999" x14ac:dyDescent="0.25">
      <c r="A1164" s="16"/>
      <c r="B1164" s="20" t="b">
        <f ca="1">IFERROR(__xludf.DUMMYFUNCTION("if(D1164=iferror(filter('Character Sheet'!D$13:D3002,'Character Sheet'!D$13:D3002=D1164),""""),True,False)"),FALSE)</f>
        <v>0</v>
      </c>
      <c r="C1164" s="20">
        <v>100</v>
      </c>
      <c r="D1164" s="2" t="s">
        <v>2528</v>
      </c>
      <c r="E1164" s="2" t="s">
        <v>845</v>
      </c>
      <c r="F1164" s="20" t="s">
        <v>60</v>
      </c>
      <c r="G1164" s="2" t="s">
        <v>2529</v>
      </c>
      <c r="H1164" s="16"/>
      <c r="I1164" s="20"/>
      <c r="J1164" s="20"/>
      <c r="K1164" s="20"/>
      <c r="L1164" s="20"/>
      <c r="M1164" s="20"/>
      <c r="N1164" s="20"/>
      <c r="O1164" s="20"/>
      <c r="P1164" s="20"/>
      <c r="Q1164" s="20"/>
      <c r="R1164" s="20"/>
      <c r="S1164" s="20"/>
      <c r="T1164" s="20"/>
      <c r="U1164" s="20"/>
      <c r="V1164" s="20"/>
      <c r="W1164" s="20"/>
      <c r="X1164" s="20"/>
      <c r="Y1164" s="20"/>
      <c r="Z1164" s="20"/>
      <c r="AA1164" s="20"/>
    </row>
    <row r="1165" spans="1:27" ht="87" x14ac:dyDescent="0.25">
      <c r="A1165" s="16"/>
      <c r="B1165" s="20" t="b">
        <f ca="1">IFERROR(__xludf.DUMMYFUNCTION("if(D1165=iferror(filter('Character Sheet'!D$13:D3002,'Character Sheet'!D$13:D3002=D1165),""""),True,False)"),FALSE)</f>
        <v>0</v>
      </c>
      <c r="C1165" s="20">
        <v>100</v>
      </c>
      <c r="D1165" s="2" t="s">
        <v>2530</v>
      </c>
      <c r="E1165" s="2" t="s">
        <v>501</v>
      </c>
      <c r="F1165" s="20" t="s">
        <v>60</v>
      </c>
      <c r="G1165" s="2" t="s">
        <v>2531</v>
      </c>
      <c r="H1165" s="16"/>
      <c r="I1165" s="20"/>
      <c r="J1165" s="20"/>
      <c r="K1165" s="20"/>
      <c r="L1165" s="20"/>
      <c r="M1165" s="20"/>
      <c r="N1165" s="20"/>
      <c r="O1165" s="20"/>
      <c r="P1165" s="20"/>
      <c r="Q1165" s="20"/>
      <c r="R1165" s="20"/>
      <c r="S1165" s="20"/>
      <c r="T1165" s="20"/>
      <c r="U1165" s="20"/>
      <c r="V1165" s="20"/>
      <c r="W1165" s="20"/>
      <c r="X1165" s="20"/>
      <c r="Y1165" s="20"/>
      <c r="Z1165" s="20"/>
      <c r="AA1165" s="20"/>
    </row>
    <row r="1166" spans="1:27" ht="191.4" x14ac:dyDescent="0.25">
      <c r="A1166" s="16"/>
      <c r="B1166" s="20" t="b">
        <f ca="1">IFERROR(__xludf.DUMMYFUNCTION("if(D1166=iferror(filter('Character Sheet'!D$13:D3002,'Character Sheet'!D$13:D3002=D1166),""""),True,False)"),FALSE)</f>
        <v>0</v>
      </c>
      <c r="C1166" s="20">
        <v>100</v>
      </c>
      <c r="D1166" s="2" t="s">
        <v>2532</v>
      </c>
      <c r="E1166" s="2" t="s">
        <v>298</v>
      </c>
      <c r="F1166" s="20" t="s">
        <v>60</v>
      </c>
      <c r="G1166" s="2" t="s">
        <v>2533</v>
      </c>
      <c r="H1166" s="16"/>
      <c r="I1166" s="20"/>
      <c r="J1166" s="20"/>
      <c r="K1166" s="20"/>
      <c r="L1166" s="20"/>
      <c r="M1166" s="20"/>
      <c r="N1166" s="20"/>
      <c r="O1166" s="20"/>
      <c r="P1166" s="20"/>
      <c r="Q1166" s="20"/>
      <c r="R1166" s="20"/>
      <c r="S1166" s="20"/>
      <c r="T1166" s="20"/>
      <c r="U1166" s="20"/>
      <c r="V1166" s="20"/>
      <c r="W1166" s="20"/>
      <c r="X1166" s="20"/>
      <c r="Y1166" s="20"/>
      <c r="Z1166" s="20"/>
      <c r="AA1166" s="20"/>
    </row>
    <row r="1167" spans="1:27" ht="139.19999999999999" x14ac:dyDescent="0.25">
      <c r="A1167" s="16"/>
      <c r="B1167" s="20" t="b">
        <f ca="1">IFERROR(__xludf.DUMMYFUNCTION("if(D1167=iferror(filter('Character Sheet'!D$13:D3002,'Character Sheet'!D$13:D3002=D1167),""""),True,False)"),FALSE)</f>
        <v>0</v>
      </c>
      <c r="C1167" s="20">
        <v>100</v>
      </c>
      <c r="D1167" s="2" t="s">
        <v>2534</v>
      </c>
      <c r="E1167" s="2" t="s">
        <v>159</v>
      </c>
      <c r="F1167" s="20" t="s">
        <v>60</v>
      </c>
      <c r="G1167" s="2" t="s">
        <v>2535</v>
      </c>
      <c r="H1167" s="16"/>
      <c r="I1167" s="20"/>
      <c r="J1167" s="20"/>
      <c r="K1167" s="20"/>
      <c r="L1167" s="20"/>
      <c r="M1167" s="20"/>
      <c r="N1167" s="20"/>
      <c r="O1167" s="20"/>
      <c r="P1167" s="20"/>
      <c r="Q1167" s="20"/>
      <c r="R1167" s="20"/>
      <c r="S1167" s="20"/>
      <c r="T1167" s="20"/>
      <c r="U1167" s="20"/>
      <c r="V1167" s="20"/>
      <c r="W1167" s="20"/>
      <c r="X1167" s="20"/>
      <c r="Y1167" s="20"/>
      <c r="Z1167" s="20"/>
      <c r="AA1167" s="20"/>
    </row>
    <row r="1168" spans="1:27" ht="87" x14ac:dyDescent="0.25">
      <c r="A1168" s="16"/>
      <c r="B1168" s="20" t="b">
        <f ca="1">IFERROR(__xludf.DUMMYFUNCTION("if(D1168=iferror(filter('Character Sheet'!D$13:D3002,'Character Sheet'!D$13:D3002=D1168),""""),True,False)"),FALSE)</f>
        <v>0</v>
      </c>
      <c r="C1168" s="20">
        <v>100</v>
      </c>
      <c r="D1168" s="2" t="s">
        <v>2536</v>
      </c>
      <c r="E1168" s="2" t="s">
        <v>93</v>
      </c>
      <c r="F1168" s="20" t="s">
        <v>60</v>
      </c>
      <c r="G1168" s="2" t="s">
        <v>2537</v>
      </c>
      <c r="H1168" s="16"/>
      <c r="I1168" s="20"/>
      <c r="J1168" s="20"/>
      <c r="K1168" s="20"/>
      <c r="L1168" s="20"/>
      <c r="M1168" s="20"/>
      <c r="N1168" s="20"/>
      <c r="O1168" s="20"/>
      <c r="P1168" s="20"/>
      <c r="Q1168" s="20"/>
      <c r="R1168" s="20"/>
      <c r="S1168" s="20"/>
      <c r="T1168" s="20"/>
      <c r="U1168" s="20"/>
      <c r="V1168" s="20"/>
      <c r="W1168" s="20"/>
      <c r="X1168" s="20"/>
      <c r="Y1168" s="20"/>
      <c r="Z1168" s="20"/>
      <c r="AA1168" s="20"/>
    </row>
    <row r="1169" spans="1:27" ht="69.599999999999994" x14ac:dyDescent="0.25">
      <c r="A1169" s="16"/>
      <c r="B1169" s="20" t="b">
        <f ca="1">IFERROR(__xludf.DUMMYFUNCTION("if(D1169=iferror(filter('Character Sheet'!D$13:D3002,'Character Sheet'!D$13:D3002=D1169),""""),True,False)"),FALSE)</f>
        <v>0</v>
      </c>
      <c r="C1169" s="20">
        <v>100</v>
      </c>
      <c r="D1169" s="2" t="s">
        <v>2538</v>
      </c>
      <c r="E1169" s="2" t="s">
        <v>425</v>
      </c>
      <c r="F1169" s="20" t="s">
        <v>60</v>
      </c>
      <c r="G1169" s="2" t="s">
        <v>2539</v>
      </c>
      <c r="H1169" s="16"/>
      <c r="I1169" s="20"/>
      <c r="J1169" s="20"/>
      <c r="K1169" s="20"/>
      <c r="L1169" s="20"/>
      <c r="M1169" s="20"/>
      <c r="N1169" s="20"/>
      <c r="O1169" s="20"/>
      <c r="P1169" s="20"/>
      <c r="Q1169" s="20"/>
      <c r="R1169" s="20"/>
      <c r="S1169" s="20"/>
      <c r="T1169" s="20"/>
      <c r="U1169" s="20"/>
      <c r="V1169" s="20"/>
      <c r="W1169" s="20"/>
      <c r="X1169" s="20"/>
      <c r="Y1169" s="20"/>
      <c r="Z1169" s="20"/>
      <c r="AA1169" s="20"/>
    </row>
    <row r="1170" spans="1:27" ht="174" x14ac:dyDescent="0.25">
      <c r="A1170" s="16"/>
      <c r="B1170" s="20" t="b">
        <f ca="1">IFERROR(__xludf.DUMMYFUNCTION("if(D1170=iferror(filter('Character Sheet'!D$13:D3002,'Character Sheet'!D$13:D3002=D1170),""""),True,False)"),FALSE)</f>
        <v>0</v>
      </c>
      <c r="C1170" s="20">
        <v>100</v>
      </c>
      <c r="D1170" s="2" t="s">
        <v>2540</v>
      </c>
      <c r="E1170" s="2" t="s">
        <v>72</v>
      </c>
      <c r="F1170" s="20" t="s">
        <v>60</v>
      </c>
      <c r="G1170" s="2" t="s">
        <v>2541</v>
      </c>
      <c r="H1170" s="16"/>
      <c r="I1170" s="20"/>
      <c r="J1170" s="20"/>
      <c r="K1170" s="20"/>
      <c r="L1170" s="20"/>
      <c r="M1170" s="20"/>
      <c r="N1170" s="20"/>
      <c r="O1170" s="20"/>
      <c r="P1170" s="20"/>
      <c r="Q1170" s="20"/>
      <c r="R1170" s="20"/>
      <c r="S1170" s="20"/>
      <c r="T1170" s="20"/>
      <c r="U1170" s="20"/>
      <c r="V1170" s="20"/>
      <c r="W1170" s="20"/>
      <c r="X1170" s="20"/>
      <c r="Y1170" s="20"/>
      <c r="Z1170" s="20"/>
      <c r="AA1170" s="20"/>
    </row>
    <row r="1171" spans="1:27" ht="69.599999999999994" x14ac:dyDescent="0.25">
      <c r="A1171" s="16"/>
      <c r="B1171" s="20" t="b">
        <f ca="1">IFERROR(__xludf.DUMMYFUNCTION("if(D1171=iferror(filter('Character Sheet'!D$13:D3002,'Character Sheet'!D$13:D3002=D1171),""""),True,False)"),FALSE)</f>
        <v>0</v>
      </c>
      <c r="C1171" s="20">
        <v>100</v>
      </c>
      <c r="D1171" s="2" t="s">
        <v>2542</v>
      </c>
      <c r="E1171" s="2" t="s">
        <v>1970</v>
      </c>
      <c r="F1171" s="20" t="s">
        <v>60</v>
      </c>
      <c r="G1171" s="2" t="s">
        <v>2543</v>
      </c>
      <c r="H1171" s="16"/>
      <c r="I1171" s="20"/>
      <c r="J1171" s="20"/>
      <c r="K1171" s="20"/>
      <c r="L1171" s="20"/>
      <c r="M1171" s="20"/>
      <c r="N1171" s="20"/>
      <c r="O1171" s="20"/>
      <c r="P1171" s="20"/>
      <c r="Q1171" s="20"/>
      <c r="R1171" s="20"/>
      <c r="S1171" s="20"/>
      <c r="T1171" s="20"/>
      <c r="U1171" s="20"/>
      <c r="V1171" s="20"/>
      <c r="W1171" s="20"/>
      <c r="X1171" s="20"/>
      <c r="Y1171" s="20"/>
      <c r="Z1171" s="20"/>
      <c r="AA1171" s="20"/>
    </row>
    <row r="1172" spans="1:27" ht="313.2" x14ac:dyDescent="0.25">
      <c r="A1172" s="16"/>
      <c r="B1172" s="20" t="b">
        <f ca="1">IFERROR(__xludf.DUMMYFUNCTION("if(D1172=iferror(filter('Character Sheet'!D$13:D3002,'Character Sheet'!D$13:D3002=D1172),""""),True,False)"),FALSE)</f>
        <v>0</v>
      </c>
      <c r="C1172" s="20">
        <v>100</v>
      </c>
      <c r="D1172" s="2" t="s">
        <v>2544</v>
      </c>
      <c r="E1172" s="2" t="s">
        <v>371</v>
      </c>
      <c r="F1172" s="20" t="s">
        <v>60</v>
      </c>
      <c r="G1172" s="2" t="s">
        <v>2545</v>
      </c>
      <c r="H1172" s="16"/>
      <c r="I1172" s="20"/>
      <c r="J1172" s="20"/>
      <c r="K1172" s="20"/>
      <c r="L1172" s="20"/>
      <c r="M1172" s="20"/>
      <c r="N1172" s="20"/>
      <c r="O1172" s="20"/>
      <c r="P1172" s="20"/>
      <c r="Q1172" s="20"/>
      <c r="R1172" s="20"/>
      <c r="S1172" s="20"/>
      <c r="T1172" s="20"/>
      <c r="U1172" s="20"/>
      <c r="V1172" s="20"/>
      <c r="W1172" s="20"/>
      <c r="X1172" s="20"/>
      <c r="Y1172" s="20"/>
      <c r="Z1172" s="20"/>
      <c r="AA1172" s="20"/>
    </row>
    <row r="1173" spans="1:27" ht="69.599999999999994" x14ac:dyDescent="0.25">
      <c r="A1173" s="16"/>
      <c r="B1173" s="20" t="b">
        <f ca="1">IFERROR(__xludf.DUMMYFUNCTION("if(D1173=iferror(filter('Character Sheet'!D$13:D3002,'Character Sheet'!D$13:D3002=D1173),""""),True,False)"),FALSE)</f>
        <v>0</v>
      </c>
      <c r="C1173" s="20">
        <v>100</v>
      </c>
      <c r="D1173" s="2" t="s">
        <v>2546</v>
      </c>
      <c r="E1173" s="2" t="s">
        <v>534</v>
      </c>
      <c r="F1173" s="20" t="s">
        <v>60</v>
      </c>
      <c r="G1173" s="2" t="s">
        <v>2547</v>
      </c>
      <c r="H1173" s="16"/>
      <c r="I1173" s="20"/>
      <c r="J1173" s="20"/>
      <c r="K1173" s="20"/>
      <c r="L1173" s="20"/>
      <c r="M1173" s="20"/>
      <c r="N1173" s="20"/>
      <c r="O1173" s="20"/>
      <c r="P1173" s="20"/>
      <c r="Q1173" s="20"/>
      <c r="R1173" s="20"/>
      <c r="S1173" s="20"/>
      <c r="T1173" s="20"/>
      <c r="U1173" s="20"/>
      <c r="V1173" s="20"/>
      <c r="W1173" s="20"/>
      <c r="X1173" s="20"/>
      <c r="Y1173" s="20"/>
      <c r="Z1173" s="20"/>
      <c r="AA1173" s="20"/>
    </row>
    <row r="1174" spans="1:27" ht="34.799999999999997" x14ac:dyDescent="0.25">
      <c r="A1174" s="16"/>
      <c r="B1174" s="20" t="b">
        <f ca="1">IFERROR(__xludf.DUMMYFUNCTION("if(D1174=iferror(filter('Character Sheet'!D$13:D3002,'Character Sheet'!D$13:D3002=D1174),""""),True,False)"),FALSE)</f>
        <v>0</v>
      </c>
      <c r="C1174" s="20">
        <v>100</v>
      </c>
      <c r="D1174" s="2" t="s">
        <v>2548</v>
      </c>
      <c r="E1174" s="2" t="s">
        <v>2340</v>
      </c>
      <c r="F1174" s="20" t="s">
        <v>60</v>
      </c>
      <c r="G1174" s="2" t="s">
        <v>2549</v>
      </c>
      <c r="H1174" s="16"/>
      <c r="I1174" s="20"/>
      <c r="J1174" s="20"/>
      <c r="K1174" s="20"/>
      <c r="L1174" s="20"/>
      <c r="M1174" s="20"/>
      <c r="N1174" s="20"/>
      <c r="O1174" s="20"/>
      <c r="P1174" s="20"/>
      <c r="Q1174" s="20"/>
      <c r="R1174" s="20"/>
      <c r="S1174" s="20"/>
      <c r="T1174" s="20"/>
      <c r="U1174" s="20"/>
      <c r="V1174" s="20"/>
      <c r="W1174" s="20"/>
      <c r="X1174" s="20"/>
      <c r="Y1174" s="20"/>
      <c r="Z1174" s="20"/>
      <c r="AA1174" s="20"/>
    </row>
    <row r="1175" spans="1:27" ht="87" x14ac:dyDescent="0.25">
      <c r="A1175" s="16"/>
      <c r="B1175" s="20" t="b">
        <f ca="1">IFERROR(__xludf.DUMMYFUNCTION("if(D1175=iferror(filter('Character Sheet'!D$13:D3002,'Character Sheet'!D$13:D3002=D1175),""""),True,False)"),FALSE)</f>
        <v>0</v>
      </c>
      <c r="C1175" s="20">
        <v>100</v>
      </c>
      <c r="D1175" s="2" t="s">
        <v>2550</v>
      </c>
      <c r="E1175" s="2" t="s">
        <v>72</v>
      </c>
      <c r="F1175" s="20" t="s">
        <v>60</v>
      </c>
      <c r="G1175" s="2" t="s">
        <v>2551</v>
      </c>
      <c r="H1175" s="16"/>
      <c r="I1175" s="20"/>
      <c r="J1175" s="20"/>
      <c r="K1175" s="20"/>
      <c r="L1175" s="20"/>
      <c r="M1175" s="20"/>
      <c r="N1175" s="20"/>
      <c r="O1175" s="20"/>
      <c r="P1175" s="20"/>
      <c r="Q1175" s="20"/>
      <c r="R1175" s="20"/>
      <c r="S1175" s="20"/>
      <c r="T1175" s="20"/>
      <c r="U1175" s="20"/>
      <c r="V1175" s="20"/>
      <c r="W1175" s="20"/>
      <c r="X1175" s="20"/>
      <c r="Y1175" s="20"/>
      <c r="Z1175" s="20"/>
      <c r="AA1175" s="20"/>
    </row>
    <row r="1176" spans="1:27" ht="139.19999999999999" x14ac:dyDescent="0.25">
      <c r="A1176" s="16"/>
      <c r="B1176" s="20" t="b">
        <f ca="1">IFERROR(__xludf.DUMMYFUNCTION("if(D1176=iferror(filter('Character Sheet'!D$13:D3002,'Character Sheet'!D$13:D3002=D1176),""""),True,False)"),FALSE)</f>
        <v>0</v>
      </c>
      <c r="C1176" s="20">
        <v>100</v>
      </c>
      <c r="D1176" s="2" t="s">
        <v>2552</v>
      </c>
      <c r="E1176" s="2" t="s">
        <v>924</v>
      </c>
      <c r="F1176" s="20" t="s">
        <v>60</v>
      </c>
      <c r="G1176" s="2" t="s">
        <v>2553</v>
      </c>
      <c r="H1176" s="16"/>
      <c r="I1176" s="20"/>
      <c r="J1176" s="20"/>
      <c r="K1176" s="20"/>
      <c r="L1176" s="20"/>
      <c r="M1176" s="20"/>
      <c r="N1176" s="20"/>
      <c r="O1176" s="20"/>
      <c r="P1176" s="20"/>
      <c r="Q1176" s="20"/>
      <c r="R1176" s="20"/>
      <c r="S1176" s="20"/>
      <c r="T1176" s="20"/>
      <c r="U1176" s="20"/>
      <c r="V1176" s="20"/>
      <c r="W1176" s="20"/>
      <c r="X1176" s="20"/>
      <c r="Y1176" s="20"/>
      <c r="Z1176" s="20"/>
      <c r="AA1176" s="20"/>
    </row>
    <row r="1177" spans="1:27" ht="52.2" x14ac:dyDescent="0.25">
      <c r="A1177" s="16"/>
      <c r="B1177" s="20" t="b">
        <f ca="1">IFERROR(__xludf.DUMMYFUNCTION("if(D1177=iferror(filter('Character Sheet'!D$13:D3002,'Character Sheet'!D$13:D3002=D1177),""""),True,False)"),FALSE)</f>
        <v>0</v>
      </c>
      <c r="C1177" s="20">
        <v>100</v>
      </c>
      <c r="D1177" s="2" t="s">
        <v>2554</v>
      </c>
      <c r="E1177" s="2" t="s">
        <v>241</v>
      </c>
      <c r="F1177" s="20" t="s">
        <v>60</v>
      </c>
      <c r="G1177" s="2" t="s">
        <v>2555</v>
      </c>
      <c r="H1177" s="16"/>
      <c r="I1177" s="20"/>
      <c r="J1177" s="20"/>
      <c r="K1177" s="20"/>
      <c r="L1177" s="20"/>
      <c r="M1177" s="20"/>
      <c r="N1177" s="20"/>
      <c r="O1177" s="20"/>
      <c r="P1177" s="20"/>
      <c r="Q1177" s="20"/>
      <c r="R1177" s="20"/>
      <c r="S1177" s="20"/>
      <c r="T1177" s="20"/>
      <c r="U1177" s="20"/>
      <c r="V1177" s="20"/>
      <c r="W1177" s="20"/>
      <c r="X1177" s="20"/>
      <c r="Y1177" s="20"/>
      <c r="Z1177" s="20"/>
      <c r="AA1177" s="20"/>
    </row>
    <row r="1178" spans="1:27" ht="208.8" x14ac:dyDescent="0.25">
      <c r="A1178" s="16"/>
      <c r="B1178" s="20" t="b">
        <f ca="1">IFERROR(__xludf.DUMMYFUNCTION("if(D1178=iferror(filter('Character Sheet'!D$13:D3002,'Character Sheet'!D$13:D3002=D1178),""""),True,False)"),FALSE)</f>
        <v>0</v>
      </c>
      <c r="C1178" s="20">
        <v>100</v>
      </c>
      <c r="D1178" s="2" t="s">
        <v>2556</v>
      </c>
      <c r="E1178" s="2" t="s">
        <v>325</v>
      </c>
      <c r="F1178" s="20" t="s">
        <v>60</v>
      </c>
      <c r="G1178" s="2" t="s">
        <v>2557</v>
      </c>
      <c r="H1178" s="16"/>
      <c r="I1178" s="20"/>
      <c r="J1178" s="20"/>
      <c r="K1178" s="20"/>
      <c r="L1178" s="20"/>
      <c r="M1178" s="20"/>
      <c r="N1178" s="20"/>
      <c r="O1178" s="20"/>
      <c r="P1178" s="20"/>
      <c r="Q1178" s="20"/>
      <c r="R1178" s="20"/>
      <c r="S1178" s="20"/>
      <c r="T1178" s="20"/>
      <c r="U1178" s="20"/>
      <c r="V1178" s="20"/>
      <c r="W1178" s="20"/>
      <c r="X1178" s="20"/>
      <c r="Y1178" s="20"/>
      <c r="Z1178" s="20"/>
      <c r="AA1178" s="20"/>
    </row>
    <row r="1179" spans="1:27" ht="121.8" x14ac:dyDescent="0.25">
      <c r="A1179" s="16"/>
      <c r="B1179" s="20" t="b">
        <f ca="1">IFERROR(__xludf.DUMMYFUNCTION("if(D1179=iferror(filter('Character Sheet'!D$13:D3002,'Character Sheet'!D$13:D3002=D1179),""""),True,False)"),FALSE)</f>
        <v>0</v>
      </c>
      <c r="C1179" s="20">
        <v>100</v>
      </c>
      <c r="D1179" s="2" t="s">
        <v>2558</v>
      </c>
      <c r="E1179" s="2" t="s">
        <v>845</v>
      </c>
      <c r="F1179" s="20" t="s">
        <v>60</v>
      </c>
      <c r="G1179" s="2" t="s">
        <v>2559</v>
      </c>
      <c r="H1179" s="16"/>
      <c r="I1179" s="20"/>
      <c r="J1179" s="20"/>
      <c r="K1179" s="20"/>
      <c r="L1179" s="20"/>
      <c r="M1179" s="20"/>
      <c r="N1179" s="20"/>
      <c r="O1179" s="20"/>
      <c r="P1179" s="20"/>
      <c r="Q1179" s="20"/>
      <c r="R1179" s="20"/>
      <c r="S1179" s="20"/>
      <c r="T1179" s="20"/>
      <c r="U1179" s="20"/>
      <c r="V1179" s="20"/>
      <c r="W1179" s="20"/>
      <c r="X1179" s="20"/>
      <c r="Y1179" s="20"/>
      <c r="Z1179" s="20"/>
      <c r="AA1179" s="20"/>
    </row>
    <row r="1180" spans="1:27" ht="87" x14ac:dyDescent="0.25">
      <c r="A1180" s="16"/>
      <c r="B1180" s="20" t="b">
        <f ca="1">IFERROR(__xludf.DUMMYFUNCTION("if(D1180=iferror(filter('Character Sheet'!D$13:D3002,'Character Sheet'!D$13:D3002=D1180),""""),True,False)"),FALSE)</f>
        <v>0</v>
      </c>
      <c r="C1180" s="20">
        <v>100</v>
      </c>
      <c r="D1180" s="2" t="s">
        <v>2560</v>
      </c>
      <c r="E1180" s="2" t="s">
        <v>845</v>
      </c>
      <c r="F1180" s="20" t="s">
        <v>60</v>
      </c>
      <c r="G1180" s="2" t="s">
        <v>2561</v>
      </c>
      <c r="H1180" s="16"/>
      <c r="I1180" s="20"/>
      <c r="J1180" s="20"/>
      <c r="K1180" s="20"/>
      <c r="L1180" s="20"/>
      <c r="M1180" s="20"/>
      <c r="N1180" s="20"/>
      <c r="O1180" s="20"/>
      <c r="P1180" s="20"/>
      <c r="Q1180" s="20"/>
      <c r="R1180" s="20"/>
      <c r="S1180" s="20"/>
      <c r="T1180" s="20"/>
      <c r="U1180" s="20"/>
      <c r="V1180" s="20"/>
      <c r="W1180" s="20"/>
      <c r="X1180" s="20"/>
      <c r="Y1180" s="20"/>
      <c r="Z1180" s="20"/>
      <c r="AA1180" s="20"/>
    </row>
    <row r="1181" spans="1:27" ht="191.4" x14ac:dyDescent="0.25">
      <c r="A1181" s="16"/>
      <c r="B1181" s="20" t="b">
        <f ca="1">IFERROR(__xludf.DUMMYFUNCTION("if(D1181=iferror(filter('Character Sheet'!D$13:D3002,'Character Sheet'!D$13:D3002=D1181),""""),True,False)"),FALSE)</f>
        <v>0</v>
      </c>
      <c r="C1181" s="20">
        <v>100</v>
      </c>
      <c r="D1181" s="2" t="s">
        <v>2562</v>
      </c>
      <c r="E1181" s="2" t="s">
        <v>381</v>
      </c>
      <c r="F1181" s="20" t="s">
        <v>60</v>
      </c>
      <c r="G1181" s="2" t="s">
        <v>2563</v>
      </c>
      <c r="H1181" s="16"/>
      <c r="I1181" s="20"/>
      <c r="J1181" s="20"/>
      <c r="K1181" s="20"/>
      <c r="L1181" s="20"/>
      <c r="M1181" s="20"/>
      <c r="N1181" s="20"/>
      <c r="O1181" s="20"/>
      <c r="P1181" s="20"/>
      <c r="Q1181" s="20"/>
      <c r="R1181" s="20"/>
      <c r="S1181" s="20"/>
      <c r="T1181" s="20"/>
      <c r="U1181" s="20"/>
      <c r="V1181" s="20"/>
      <c r="W1181" s="20"/>
      <c r="X1181" s="20"/>
      <c r="Y1181" s="20"/>
      <c r="Z1181" s="20"/>
      <c r="AA1181" s="20"/>
    </row>
    <row r="1182" spans="1:27" ht="104.4" x14ac:dyDescent="0.25">
      <c r="A1182" s="16"/>
      <c r="B1182" s="20" t="b">
        <f ca="1">IFERROR(__xludf.DUMMYFUNCTION("if(D1182=iferror(filter('Character Sheet'!D$13:D3002,'Character Sheet'!D$13:D3002=D1182),""""),True,False)"),FALSE)</f>
        <v>0</v>
      </c>
      <c r="C1182" s="20">
        <v>100</v>
      </c>
      <c r="D1182" s="2" t="s">
        <v>2564</v>
      </c>
      <c r="E1182" s="2" t="s">
        <v>750</v>
      </c>
      <c r="F1182" s="20" t="s">
        <v>60</v>
      </c>
      <c r="G1182" s="2" t="s">
        <v>2565</v>
      </c>
      <c r="H1182" s="16"/>
      <c r="I1182" s="20"/>
      <c r="J1182" s="20"/>
      <c r="K1182" s="20"/>
      <c r="L1182" s="20"/>
      <c r="M1182" s="20"/>
      <c r="N1182" s="20"/>
      <c r="O1182" s="20"/>
      <c r="P1182" s="20"/>
      <c r="Q1182" s="20"/>
      <c r="R1182" s="20"/>
      <c r="S1182" s="20"/>
      <c r="T1182" s="20"/>
      <c r="U1182" s="20"/>
      <c r="V1182" s="20"/>
      <c r="W1182" s="20"/>
      <c r="X1182" s="20"/>
      <c r="Y1182" s="20"/>
      <c r="Z1182" s="20"/>
      <c r="AA1182" s="20"/>
    </row>
    <row r="1183" spans="1:27" ht="69.599999999999994" x14ac:dyDescent="0.25">
      <c r="A1183" s="16"/>
      <c r="B1183" s="20" t="b">
        <f ca="1">IFERROR(__xludf.DUMMYFUNCTION("if(D1183=iferror(filter('Character Sheet'!D$13:D3002,'Character Sheet'!D$13:D3002=D1183),""""),True,False)"),FALSE)</f>
        <v>0</v>
      </c>
      <c r="C1183" s="20">
        <v>100</v>
      </c>
      <c r="D1183" s="2" t="s">
        <v>2566</v>
      </c>
      <c r="E1183" s="2" t="s">
        <v>2567</v>
      </c>
      <c r="F1183" s="20" t="s">
        <v>60</v>
      </c>
      <c r="G1183" s="2" t="s">
        <v>2568</v>
      </c>
      <c r="H1183" s="16"/>
      <c r="I1183" s="20"/>
      <c r="J1183" s="20"/>
      <c r="K1183" s="20"/>
      <c r="L1183" s="20"/>
      <c r="M1183" s="20"/>
      <c r="N1183" s="20"/>
      <c r="O1183" s="20"/>
      <c r="P1183" s="20"/>
      <c r="Q1183" s="20"/>
      <c r="R1183" s="20"/>
      <c r="S1183" s="20"/>
      <c r="T1183" s="20"/>
      <c r="U1183" s="20"/>
      <c r="V1183" s="20"/>
      <c r="W1183" s="20"/>
      <c r="X1183" s="20"/>
      <c r="Y1183" s="20"/>
      <c r="Z1183" s="20"/>
      <c r="AA1183" s="20"/>
    </row>
    <row r="1184" spans="1:27" ht="104.4" x14ac:dyDescent="0.25">
      <c r="A1184" s="16"/>
      <c r="B1184" s="20" t="b">
        <f ca="1">IFERROR(__xludf.DUMMYFUNCTION("if(D1184=iferror(filter('Character Sheet'!D$13:D3002,'Character Sheet'!D$13:D3002=D1184),""""),True,False)"),FALSE)</f>
        <v>0</v>
      </c>
      <c r="C1184" s="20">
        <v>100</v>
      </c>
      <c r="D1184" s="2" t="s">
        <v>2569</v>
      </c>
      <c r="E1184" s="2" t="s">
        <v>311</v>
      </c>
      <c r="F1184" s="20" t="s">
        <v>60</v>
      </c>
      <c r="G1184" s="2" t="s">
        <v>2570</v>
      </c>
      <c r="H1184" s="16"/>
      <c r="I1184" s="20"/>
      <c r="J1184" s="20"/>
      <c r="K1184" s="20"/>
      <c r="L1184" s="20"/>
      <c r="M1184" s="20"/>
      <c r="N1184" s="20"/>
      <c r="O1184" s="20"/>
      <c r="P1184" s="20"/>
      <c r="Q1184" s="20"/>
      <c r="R1184" s="20"/>
      <c r="S1184" s="20"/>
      <c r="T1184" s="20"/>
      <c r="U1184" s="20"/>
      <c r="V1184" s="20"/>
      <c r="W1184" s="20"/>
      <c r="X1184" s="20"/>
      <c r="Y1184" s="20"/>
      <c r="Z1184" s="20"/>
      <c r="AA1184" s="20"/>
    </row>
    <row r="1185" spans="1:27" ht="69.599999999999994" x14ac:dyDescent="0.25">
      <c r="A1185" s="16"/>
      <c r="B1185" s="20" t="b">
        <f ca="1">IFERROR(__xludf.DUMMYFUNCTION("if(D1185=iferror(filter('Character Sheet'!D$13:D3002,'Character Sheet'!D$13:D3002=D1185),""""),True,False)"),FALSE)</f>
        <v>0</v>
      </c>
      <c r="C1185" s="20">
        <v>100</v>
      </c>
      <c r="D1185" s="2" t="s">
        <v>2571</v>
      </c>
      <c r="E1185" s="2" t="s">
        <v>425</v>
      </c>
      <c r="F1185" s="20" t="s">
        <v>60</v>
      </c>
      <c r="G1185" s="2" t="s">
        <v>2572</v>
      </c>
      <c r="H1185" s="16"/>
      <c r="I1185" s="20"/>
      <c r="J1185" s="20"/>
      <c r="K1185" s="20"/>
      <c r="L1185" s="20"/>
      <c r="M1185" s="20"/>
      <c r="N1185" s="20"/>
      <c r="O1185" s="20"/>
      <c r="P1185" s="20"/>
      <c r="Q1185" s="20"/>
      <c r="R1185" s="20"/>
      <c r="S1185" s="20"/>
      <c r="T1185" s="20"/>
      <c r="U1185" s="20"/>
      <c r="V1185" s="20"/>
      <c r="W1185" s="20"/>
      <c r="X1185" s="20"/>
      <c r="Y1185" s="20"/>
      <c r="Z1185" s="20"/>
      <c r="AA1185" s="20"/>
    </row>
    <row r="1186" spans="1:27" ht="87" x14ac:dyDescent="0.25">
      <c r="A1186" s="16"/>
      <c r="B1186" s="20" t="b">
        <f ca="1">IFERROR(__xludf.DUMMYFUNCTION("if(D1186=iferror(filter('Character Sheet'!D$13:D3002,'Character Sheet'!D$13:D3002=D1186),""""),True,False)"),FALSE)</f>
        <v>0</v>
      </c>
      <c r="C1186" s="20">
        <v>100</v>
      </c>
      <c r="D1186" s="2" t="s">
        <v>2573</v>
      </c>
      <c r="E1186" s="2" t="s">
        <v>464</v>
      </c>
      <c r="F1186" s="20" t="s">
        <v>60</v>
      </c>
      <c r="G1186" s="2" t="s">
        <v>2574</v>
      </c>
      <c r="H1186" s="16"/>
      <c r="I1186" s="20"/>
      <c r="J1186" s="20"/>
      <c r="K1186" s="20"/>
      <c r="L1186" s="20"/>
      <c r="M1186" s="20"/>
      <c r="N1186" s="20"/>
      <c r="O1186" s="20"/>
      <c r="P1186" s="20"/>
      <c r="Q1186" s="20"/>
      <c r="R1186" s="20"/>
      <c r="S1186" s="20"/>
      <c r="T1186" s="20"/>
      <c r="U1186" s="20"/>
      <c r="V1186" s="20"/>
      <c r="W1186" s="20"/>
      <c r="X1186" s="20"/>
      <c r="Y1186" s="20"/>
      <c r="Z1186" s="20"/>
      <c r="AA1186" s="20"/>
    </row>
    <row r="1187" spans="1:27" ht="104.4" x14ac:dyDescent="0.25">
      <c r="A1187" s="16"/>
      <c r="B1187" s="20" t="b">
        <f ca="1">IFERROR(__xludf.DUMMYFUNCTION("if(D1187=iferror(filter('Character Sheet'!D$13:D3002,'Character Sheet'!D$13:D3002=D1187),""""),True,False)"),FALSE)</f>
        <v>0</v>
      </c>
      <c r="C1187" s="20">
        <v>100</v>
      </c>
      <c r="D1187" s="2" t="s">
        <v>2575</v>
      </c>
      <c r="E1187" s="2" t="s">
        <v>69</v>
      </c>
      <c r="F1187" s="20" t="s">
        <v>60</v>
      </c>
      <c r="G1187" s="2" t="s">
        <v>2576</v>
      </c>
      <c r="H1187" s="16"/>
      <c r="I1187" s="20"/>
      <c r="J1187" s="20"/>
      <c r="K1187" s="20"/>
      <c r="L1187" s="20"/>
      <c r="M1187" s="20"/>
      <c r="N1187" s="20"/>
      <c r="O1187" s="20"/>
      <c r="P1187" s="20"/>
      <c r="Q1187" s="20"/>
      <c r="R1187" s="20"/>
      <c r="S1187" s="20"/>
      <c r="T1187" s="20"/>
      <c r="U1187" s="20"/>
      <c r="V1187" s="20"/>
      <c r="W1187" s="20"/>
      <c r="X1187" s="20"/>
      <c r="Y1187" s="20"/>
      <c r="Z1187" s="20"/>
      <c r="AA1187" s="20"/>
    </row>
    <row r="1188" spans="1:27" ht="52.2" x14ac:dyDescent="0.25">
      <c r="A1188" s="16"/>
      <c r="B1188" s="20" t="b">
        <f ca="1">IFERROR(__xludf.DUMMYFUNCTION("if(D1188=iferror(filter('Character Sheet'!D$13:D3002,'Character Sheet'!D$13:D3002=D1188),""""),True,False)"),FALSE)</f>
        <v>0</v>
      </c>
      <c r="C1188" s="20">
        <v>100</v>
      </c>
      <c r="D1188" s="2" t="s">
        <v>2577</v>
      </c>
      <c r="E1188" s="2" t="s">
        <v>325</v>
      </c>
      <c r="F1188" s="20" t="s">
        <v>60</v>
      </c>
      <c r="G1188" s="2" t="s">
        <v>2578</v>
      </c>
      <c r="H1188" s="16"/>
      <c r="I1188" s="20"/>
      <c r="J1188" s="20"/>
      <c r="K1188" s="20"/>
      <c r="L1188" s="20"/>
      <c r="M1188" s="20"/>
      <c r="N1188" s="20"/>
      <c r="O1188" s="20"/>
      <c r="P1188" s="20"/>
      <c r="Q1188" s="20"/>
      <c r="R1188" s="20"/>
      <c r="S1188" s="20"/>
      <c r="T1188" s="20"/>
      <c r="U1188" s="20"/>
      <c r="V1188" s="20"/>
      <c r="W1188" s="20"/>
      <c r="X1188" s="20"/>
      <c r="Y1188" s="20"/>
      <c r="Z1188" s="20"/>
      <c r="AA1188" s="20"/>
    </row>
    <row r="1189" spans="1:27" ht="52.2" x14ac:dyDescent="0.25">
      <c r="A1189" s="16"/>
      <c r="B1189" s="20" t="b">
        <f ca="1">IFERROR(__xludf.DUMMYFUNCTION("if(D1189=iferror(filter('Character Sheet'!D$13:D3002,'Character Sheet'!D$13:D3002=D1189),""""),True,False)"),FALSE)</f>
        <v>0</v>
      </c>
      <c r="C1189" s="20">
        <v>100</v>
      </c>
      <c r="D1189" s="2" t="s">
        <v>2579</v>
      </c>
      <c r="E1189" s="2" t="s">
        <v>274</v>
      </c>
      <c r="F1189" s="20" t="s">
        <v>60</v>
      </c>
      <c r="G1189" s="2" t="s">
        <v>2580</v>
      </c>
      <c r="H1189" s="16"/>
      <c r="I1189" s="20"/>
      <c r="J1189" s="20"/>
      <c r="K1189" s="20"/>
      <c r="L1189" s="20"/>
      <c r="M1189" s="20"/>
      <c r="N1189" s="20"/>
      <c r="O1189" s="20"/>
      <c r="P1189" s="20"/>
      <c r="Q1189" s="20"/>
      <c r="R1189" s="20"/>
      <c r="S1189" s="20"/>
      <c r="T1189" s="20"/>
      <c r="U1189" s="20"/>
      <c r="V1189" s="20"/>
      <c r="W1189" s="20"/>
      <c r="X1189" s="20"/>
      <c r="Y1189" s="20"/>
      <c r="Z1189" s="20"/>
      <c r="AA1189" s="20"/>
    </row>
    <row r="1190" spans="1:27" ht="121.8" x14ac:dyDescent="0.25">
      <c r="A1190" s="16"/>
      <c r="B1190" s="20" t="b">
        <f ca="1">IFERROR(__xludf.DUMMYFUNCTION("if(D1190=iferror(filter('Character Sheet'!D$13:D3002,'Character Sheet'!D$13:D3002=D1190),""""),True,False)"),FALSE)</f>
        <v>0</v>
      </c>
      <c r="C1190" s="20">
        <v>100</v>
      </c>
      <c r="D1190" s="2" t="s">
        <v>2581</v>
      </c>
      <c r="E1190" s="2" t="s">
        <v>642</v>
      </c>
      <c r="F1190" s="20" t="s">
        <v>60</v>
      </c>
      <c r="G1190" s="2" t="s">
        <v>2582</v>
      </c>
      <c r="H1190" s="16"/>
      <c r="I1190" s="20"/>
      <c r="J1190" s="20"/>
      <c r="K1190" s="20"/>
      <c r="L1190" s="20"/>
      <c r="M1190" s="20"/>
      <c r="N1190" s="20"/>
      <c r="O1190" s="20"/>
      <c r="P1190" s="20"/>
      <c r="Q1190" s="20"/>
      <c r="R1190" s="20"/>
      <c r="S1190" s="20"/>
      <c r="T1190" s="20"/>
      <c r="U1190" s="20"/>
      <c r="V1190" s="20"/>
      <c r="W1190" s="20"/>
      <c r="X1190" s="20"/>
      <c r="Y1190" s="20"/>
      <c r="Z1190" s="20"/>
      <c r="AA1190" s="20"/>
    </row>
    <row r="1191" spans="1:27" ht="104.4" x14ac:dyDescent="0.25">
      <c r="A1191" s="16"/>
      <c r="B1191" s="20" t="b">
        <f ca="1">IFERROR(__xludf.DUMMYFUNCTION("if(D1191=iferror(filter('Character Sheet'!D$13:D3002,'Character Sheet'!D$13:D3002=D1191),""""),True,False)"),FALSE)</f>
        <v>0</v>
      </c>
      <c r="C1191" s="20">
        <v>100</v>
      </c>
      <c r="D1191" s="2" t="s">
        <v>2583</v>
      </c>
      <c r="E1191" s="2" t="s">
        <v>576</v>
      </c>
      <c r="F1191" s="20" t="s">
        <v>60</v>
      </c>
      <c r="G1191" s="2" t="s">
        <v>2584</v>
      </c>
      <c r="H1191" s="16"/>
      <c r="I1191" s="20"/>
      <c r="J1191" s="20"/>
      <c r="K1191" s="20"/>
      <c r="L1191" s="20"/>
      <c r="M1191" s="20"/>
      <c r="N1191" s="20"/>
      <c r="O1191" s="20"/>
      <c r="P1191" s="20"/>
      <c r="Q1191" s="20"/>
      <c r="R1191" s="20"/>
      <c r="S1191" s="20"/>
      <c r="T1191" s="20"/>
      <c r="U1191" s="20"/>
      <c r="V1191" s="20"/>
      <c r="W1191" s="20"/>
      <c r="X1191" s="20"/>
      <c r="Y1191" s="20"/>
      <c r="Z1191" s="20"/>
      <c r="AA1191" s="20"/>
    </row>
    <row r="1192" spans="1:27" ht="121.8" x14ac:dyDescent="0.25">
      <c r="A1192" s="16"/>
      <c r="B1192" s="20" t="b">
        <f ca="1">IFERROR(__xludf.DUMMYFUNCTION("if(D1192=iferror(filter('Character Sheet'!D$13:D3002,'Character Sheet'!D$13:D3002=D1192),""""),True,False)"),FALSE)</f>
        <v>0</v>
      </c>
      <c r="C1192" s="20">
        <v>100</v>
      </c>
      <c r="D1192" s="2" t="s">
        <v>2585</v>
      </c>
      <c r="E1192" s="2" t="s">
        <v>350</v>
      </c>
      <c r="F1192" s="20" t="s">
        <v>60</v>
      </c>
      <c r="G1192" s="2" t="s">
        <v>2586</v>
      </c>
      <c r="H1192" s="16"/>
      <c r="I1192" s="20"/>
      <c r="J1192" s="20"/>
      <c r="K1192" s="20"/>
      <c r="L1192" s="20"/>
      <c r="M1192" s="20"/>
      <c r="N1192" s="20"/>
      <c r="O1192" s="20"/>
      <c r="P1192" s="20"/>
      <c r="Q1192" s="20"/>
      <c r="R1192" s="20"/>
      <c r="S1192" s="20"/>
      <c r="T1192" s="20"/>
      <c r="U1192" s="20"/>
      <c r="V1192" s="20"/>
      <c r="W1192" s="20"/>
      <c r="X1192" s="20"/>
      <c r="Y1192" s="20"/>
      <c r="Z1192" s="20"/>
      <c r="AA1192" s="20"/>
    </row>
    <row r="1193" spans="1:27" ht="121.8" x14ac:dyDescent="0.25">
      <c r="A1193" s="16"/>
      <c r="B1193" s="20" t="b">
        <f ca="1">IFERROR(__xludf.DUMMYFUNCTION("if(D1193=iferror(filter('Character Sheet'!D$13:D3002,'Character Sheet'!D$13:D3002=D1193),""""),True,False)"),FALSE)</f>
        <v>0</v>
      </c>
      <c r="C1193" s="20">
        <v>100</v>
      </c>
      <c r="D1193" s="2" t="s">
        <v>2587</v>
      </c>
      <c r="E1193" s="2" t="s">
        <v>119</v>
      </c>
      <c r="F1193" s="20" t="s">
        <v>60</v>
      </c>
      <c r="G1193" s="2" t="s">
        <v>2588</v>
      </c>
      <c r="H1193" s="16"/>
      <c r="I1193" s="20"/>
      <c r="J1193" s="20"/>
      <c r="K1193" s="20"/>
      <c r="L1193" s="20"/>
      <c r="M1193" s="20"/>
      <c r="N1193" s="20"/>
      <c r="O1193" s="20"/>
      <c r="P1193" s="20"/>
      <c r="Q1193" s="20"/>
      <c r="R1193" s="20"/>
      <c r="S1193" s="20"/>
      <c r="T1193" s="20"/>
      <c r="U1193" s="20"/>
      <c r="V1193" s="20"/>
      <c r="W1193" s="20"/>
      <c r="X1193" s="20"/>
      <c r="Y1193" s="20"/>
      <c r="Z1193" s="20"/>
      <c r="AA1193" s="20"/>
    </row>
    <row r="1194" spans="1:27" ht="87" x14ac:dyDescent="0.25">
      <c r="A1194" s="16"/>
      <c r="B1194" s="20" t="b">
        <f ca="1">IFERROR(__xludf.DUMMYFUNCTION("if(D1194=iferror(filter('Character Sheet'!D$13:D3002,'Character Sheet'!D$13:D3002=D1194),""""),True,False)"),FALSE)</f>
        <v>0</v>
      </c>
      <c r="C1194" s="20">
        <v>100</v>
      </c>
      <c r="D1194" s="2" t="s">
        <v>2589</v>
      </c>
      <c r="E1194" s="2" t="s">
        <v>334</v>
      </c>
      <c r="F1194" s="20" t="s">
        <v>60</v>
      </c>
      <c r="G1194" s="2" t="s">
        <v>2590</v>
      </c>
      <c r="H1194" s="16"/>
      <c r="I1194" s="20"/>
      <c r="J1194" s="20"/>
      <c r="K1194" s="20"/>
      <c r="L1194" s="20"/>
      <c r="M1194" s="20"/>
      <c r="N1194" s="20"/>
      <c r="O1194" s="20"/>
      <c r="P1194" s="20"/>
      <c r="Q1194" s="20"/>
      <c r="R1194" s="20"/>
      <c r="S1194" s="20"/>
      <c r="T1194" s="20"/>
      <c r="U1194" s="20"/>
      <c r="V1194" s="20"/>
      <c r="W1194" s="20"/>
      <c r="X1194" s="20"/>
      <c r="Y1194" s="20"/>
      <c r="Z1194" s="20"/>
      <c r="AA1194" s="20"/>
    </row>
    <row r="1195" spans="1:27" ht="69.599999999999994" x14ac:dyDescent="0.25">
      <c r="A1195" s="16"/>
      <c r="B1195" s="20" t="b">
        <f ca="1">IFERROR(__xludf.DUMMYFUNCTION("if(D1195=iferror(filter('Character Sheet'!D$13:D3002,'Character Sheet'!D$13:D3002=D1195),""""),True,False)"),FALSE)</f>
        <v>0</v>
      </c>
      <c r="C1195" s="20">
        <v>100</v>
      </c>
      <c r="D1195" s="2" t="s">
        <v>2591</v>
      </c>
      <c r="E1195" s="2" t="s">
        <v>630</v>
      </c>
      <c r="F1195" s="20" t="s">
        <v>60</v>
      </c>
      <c r="G1195" s="2" t="s">
        <v>2592</v>
      </c>
      <c r="H1195" s="16"/>
      <c r="I1195" s="20"/>
      <c r="J1195" s="20"/>
      <c r="K1195" s="20"/>
      <c r="L1195" s="20"/>
      <c r="M1195" s="20"/>
      <c r="N1195" s="20"/>
      <c r="O1195" s="20"/>
      <c r="P1195" s="20"/>
      <c r="Q1195" s="20"/>
      <c r="R1195" s="20"/>
      <c r="S1195" s="20"/>
      <c r="T1195" s="20"/>
      <c r="U1195" s="20"/>
      <c r="V1195" s="20"/>
      <c r="W1195" s="20"/>
      <c r="X1195" s="20"/>
      <c r="Y1195" s="20"/>
      <c r="Z1195" s="20"/>
      <c r="AA1195" s="20"/>
    </row>
    <row r="1196" spans="1:27" ht="87" x14ac:dyDescent="0.25">
      <c r="A1196" s="16"/>
      <c r="B1196" s="20" t="b">
        <f ca="1">IFERROR(__xludf.DUMMYFUNCTION("if(D1196=iferror(filter('Character Sheet'!D$13:D3002,'Character Sheet'!D$13:D3002=D1196),""""),True,False)"),FALSE)</f>
        <v>0</v>
      </c>
      <c r="C1196" s="20">
        <v>200</v>
      </c>
      <c r="D1196" s="2" t="s">
        <v>2593</v>
      </c>
      <c r="E1196" s="2" t="s">
        <v>442</v>
      </c>
      <c r="F1196" s="20" t="s">
        <v>60</v>
      </c>
      <c r="G1196" s="2" t="s">
        <v>2594</v>
      </c>
      <c r="H1196" s="16"/>
      <c r="I1196" s="20"/>
      <c r="J1196" s="20"/>
      <c r="K1196" s="20"/>
      <c r="L1196" s="20"/>
      <c r="M1196" s="20"/>
      <c r="N1196" s="20"/>
      <c r="O1196" s="20"/>
      <c r="P1196" s="20"/>
      <c r="Q1196" s="20"/>
      <c r="R1196" s="20"/>
      <c r="S1196" s="20"/>
      <c r="T1196" s="20"/>
      <c r="U1196" s="20"/>
      <c r="V1196" s="20"/>
      <c r="W1196" s="20"/>
      <c r="X1196" s="20"/>
      <c r="Y1196" s="20"/>
      <c r="Z1196" s="20"/>
      <c r="AA1196" s="20"/>
    </row>
    <row r="1197" spans="1:27" ht="139.19999999999999" x14ac:dyDescent="0.25">
      <c r="A1197" s="16"/>
      <c r="B1197" s="20" t="b">
        <f ca="1">IFERROR(__xludf.DUMMYFUNCTION("if(D1197=iferror(filter('Character Sheet'!D$13:D3002,'Character Sheet'!D$13:D3002=D1197),""""),True,False)"),FALSE)</f>
        <v>0</v>
      </c>
      <c r="C1197" s="20">
        <v>200</v>
      </c>
      <c r="D1197" s="2" t="s">
        <v>2595</v>
      </c>
      <c r="E1197" s="2" t="s">
        <v>521</v>
      </c>
      <c r="F1197" s="20" t="s">
        <v>60</v>
      </c>
      <c r="G1197" s="2" t="s">
        <v>2596</v>
      </c>
      <c r="H1197" s="16"/>
      <c r="I1197" s="20"/>
      <c r="J1197" s="20"/>
      <c r="K1197" s="20"/>
      <c r="L1197" s="20"/>
      <c r="M1197" s="20"/>
      <c r="N1197" s="20"/>
      <c r="O1197" s="20"/>
      <c r="P1197" s="20"/>
      <c r="Q1197" s="20"/>
      <c r="R1197" s="20"/>
      <c r="S1197" s="20"/>
      <c r="T1197" s="20"/>
      <c r="U1197" s="20"/>
      <c r="V1197" s="20"/>
      <c r="W1197" s="20"/>
      <c r="X1197" s="20"/>
      <c r="Y1197" s="20"/>
      <c r="Z1197" s="20"/>
      <c r="AA1197" s="20"/>
    </row>
    <row r="1198" spans="1:27" ht="174" x14ac:dyDescent="0.25">
      <c r="A1198" s="16"/>
      <c r="B1198" s="20" t="b">
        <f ca="1">IFERROR(__xludf.DUMMYFUNCTION("if(D1198=iferror(filter('Character Sheet'!D$13:D3002,'Character Sheet'!D$13:D3002=D1198),""""),True,False)"),FALSE)</f>
        <v>0</v>
      </c>
      <c r="C1198" s="20">
        <v>200</v>
      </c>
      <c r="D1198" s="2" t="s">
        <v>2597</v>
      </c>
      <c r="E1198" s="2" t="s">
        <v>124</v>
      </c>
      <c r="F1198" s="20" t="s">
        <v>60</v>
      </c>
      <c r="G1198" s="2" t="s">
        <v>2598</v>
      </c>
      <c r="H1198" s="16"/>
      <c r="I1198" s="20"/>
      <c r="J1198" s="20"/>
      <c r="K1198" s="20"/>
      <c r="L1198" s="20"/>
      <c r="M1198" s="20"/>
      <c r="N1198" s="20"/>
      <c r="O1198" s="20"/>
      <c r="P1198" s="20"/>
      <c r="Q1198" s="20"/>
      <c r="R1198" s="20"/>
      <c r="S1198" s="20"/>
      <c r="T1198" s="20"/>
      <c r="U1198" s="20"/>
      <c r="V1198" s="20"/>
      <c r="W1198" s="20"/>
      <c r="X1198" s="20"/>
      <c r="Y1198" s="20"/>
      <c r="Z1198" s="20"/>
      <c r="AA1198" s="20"/>
    </row>
    <row r="1199" spans="1:27" ht="52.2" x14ac:dyDescent="0.25">
      <c r="A1199" s="16"/>
      <c r="B1199" s="20" t="b">
        <f ca="1">IFERROR(__xludf.DUMMYFUNCTION("if(D1199=iferror(filter('Character Sheet'!D$13:D3002,'Character Sheet'!D$13:D3002=D1199),""""),True,False)"),FALSE)</f>
        <v>0</v>
      </c>
      <c r="C1199" s="20">
        <v>200</v>
      </c>
      <c r="D1199" s="2" t="s">
        <v>2599</v>
      </c>
      <c r="E1199" s="2" t="s">
        <v>958</v>
      </c>
      <c r="F1199" s="20" t="s">
        <v>60</v>
      </c>
      <c r="G1199" s="2" t="s">
        <v>2600</v>
      </c>
      <c r="H1199" s="16"/>
      <c r="I1199" s="20"/>
      <c r="J1199" s="20"/>
      <c r="K1199" s="20"/>
      <c r="L1199" s="20"/>
      <c r="M1199" s="20"/>
      <c r="N1199" s="20"/>
      <c r="O1199" s="20"/>
      <c r="P1199" s="20"/>
      <c r="Q1199" s="20"/>
      <c r="R1199" s="20"/>
      <c r="S1199" s="20"/>
      <c r="T1199" s="20"/>
      <c r="U1199" s="20"/>
      <c r="V1199" s="20"/>
      <c r="W1199" s="20"/>
      <c r="X1199" s="20"/>
      <c r="Y1199" s="20"/>
      <c r="Z1199" s="20"/>
      <c r="AA1199" s="20"/>
    </row>
    <row r="1200" spans="1:27" ht="87" x14ac:dyDescent="0.25">
      <c r="A1200" s="16"/>
      <c r="B1200" s="20" t="b">
        <f ca="1">IFERROR(__xludf.DUMMYFUNCTION("if(D1200=iferror(filter('Character Sheet'!D$13:D3002,'Character Sheet'!D$13:D3002=D1200),""""),True,False)"),FALSE)</f>
        <v>0</v>
      </c>
      <c r="C1200" s="20">
        <v>200</v>
      </c>
      <c r="D1200" s="2" t="s">
        <v>2601</v>
      </c>
      <c r="E1200" s="2" t="s">
        <v>478</v>
      </c>
      <c r="F1200" s="20" t="s">
        <v>60</v>
      </c>
      <c r="G1200" s="2" t="s">
        <v>2602</v>
      </c>
      <c r="H1200" s="16"/>
      <c r="I1200" s="20"/>
      <c r="J1200" s="20"/>
      <c r="K1200" s="20"/>
      <c r="L1200" s="20"/>
      <c r="M1200" s="20"/>
      <c r="N1200" s="20"/>
      <c r="O1200" s="20"/>
      <c r="P1200" s="20"/>
      <c r="Q1200" s="20"/>
      <c r="R1200" s="20"/>
      <c r="S1200" s="20"/>
      <c r="T1200" s="20"/>
      <c r="U1200" s="20"/>
      <c r="V1200" s="20"/>
      <c r="W1200" s="20"/>
      <c r="X1200" s="20"/>
      <c r="Y1200" s="20"/>
      <c r="Z1200" s="20"/>
      <c r="AA1200" s="20"/>
    </row>
    <row r="1201" spans="1:27" ht="156.6" x14ac:dyDescent="0.25">
      <c r="A1201" s="16"/>
      <c r="B1201" s="20" t="b">
        <f ca="1">IFERROR(__xludf.DUMMYFUNCTION("if(D1201=iferror(filter('Character Sheet'!D$13:D3002,'Character Sheet'!D$13:D3002=D1201),""""),True,False)"),FALSE)</f>
        <v>0</v>
      </c>
      <c r="C1201" s="20">
        <v>200</v>
      </c>
      <c r="D1201" s="2" t="s">
        <v>2603</v>
      </c>
      <c r="E1201" s="2" t="s">
        <v>478</v>
      </c>
      <c r="F1201" s="20" t="s">
        <v>60</v>
      </c>
      <c r="G1201" s="2" t="s">
        <v>2604</v>
      </c>
      <c r="H1201" s="16"/>
      <c r="I1201" s="20"/>
      <c r="J1201" s="20"/>
      <c r="K1201" s="20"/>
      <c r="L1201" s="20"/>
      <c r="M1201" s="20"/>
      <c r="N1201" s="20"/>
      <c r="O1201" s="20"/>
      <c r="P1201" s="20"/>
      <c r="Q1201" s="20"/>
      <c r="R1201" s="20"/>
      <c r="S1201" s="20"/>
      <c r="T1201" s="20"/>
      <c r="U1201" s="20"/>
      <c r="V1201" s="20"/>
      <c r="W1201" s="20"/>
      <c r="X1201" s="20"/>
      <c r="Y1201" s="20"/>
      <c r="Z1201" s="20"/>
      <c r="AA1201" s="20"/>
    </row>
    <row r="1202" spans="1:27" ht="156.6" x14ac:dyDescent="0.25">
      <c r="A1202" s="16"/>
      <c r="B1202" s="20" t="b">
        <f ca="1">IFERROR(__xludf.DUMMYFUNCTION("if(D1202=iferror(filter('Character Sheet'!D$13:D3002,'Character Sheet'!D$13:D3002=D1202),""""),True,False)"),FALSE)</f>
        <v>0</v>
      </c>
      <c r="C1202" s="20">
        <v>200</v>
      </c>
      <c r="D1202" s="2" t="s">
        <v>2605</v>
      </c>
      <c r="E1202" s="2" t="s">
        <v>217</v>
      </c>
      <c r="F1202" s="20" t="s">
        <v>60</v>
      </c>
      <c r="G1202" s="2" t="s">
        <v>2606</v>
      </c>
      <c r="H1202" s="16"/>
      <c r="I1202" s="20"/>
      <c r="J1202" s="20"/>
      <c r="K1202" s="20"/>
      <c r="L1202" s="20"/>
      <c r="M1202" s="20"/>
      <c r="N1202" s="20"/>
      <c r="O1202" s="20"/>
      <c r="P1202" s="20"/>
      <c r="Q1202" s="20"/>
      <c r="R1202" s="20"/>
      <c r="S1202" s="20"/>
      <c r="T1202" s="20"/>
      <c r="U1202" s="20"/>
      <c r="V1202" s="20"/>
      <c r="W1202" s="20"/>
      <c r="X1202" s="20"/>
      <c r="Y1202" s="20"/>
      <c r="Z1202" s="20"/>
      <c r="AA1202" s="20"/>
    </row>
    <row r="1203" spans="1:27" ht="156.6" x14ac:dyDescent="0.25">
      <c r="A1203" s="16"/>
      <c r="B1203" s="20" t="b">
        <f ca="1">IFERROR(__xludf.DUMMYFUNCTION("if(D1203=iferror(filter('Character Sheet'!D$13:D3002,'Character Sheet'!D$13:D3002=D1203),""""),True,False)"),FALSE)</f>
        <v>0</v>
      </c>
      <c r="C1203" s="20">
        <v>200</v>
      </c>
      <c r="D1203" s="2" t="s">
        <v>2607</v>
      </c>
      <c r="E1203" s="2" t="s">
        <v>298</v>
      </c>
      <c r="F1203" s="20" t="s">
        <v>60</v>
      </c>
      <c r="G1203" s="2" t="s">
        <v>2608</v>
      </c>
      <c r="H1203" s="16"/>
      <c r="I1203" s="20"/>
      <c r="J1203" s="20"/>
      <c r="K1203" s="20"/>
      <c r="L1203" s="20"/>
      <c r="M1203" s="20"/>
      <c r="N1203" s="20"/>
      <c r="O1203" s="20"/>
      <c r="P1203" s="20"/>
      <c r="Q1203" s="20"/>
      <c r="R1203" s="20"/>
      <c r="S1203" s="20"/>
      <c r="T1203" s="20"/>
      <c r="U1203" s="20"/>
      <c r="V1203" s="20"/>
      <c r="W1203" s="20"/>
      <c r="X1203" s="20"/>
      <c r="Y1203" s="20"/>
      <c r="Z1203" s="20"/>
      <c r="AA1203" s="20"/>
    </row>
    <row r="1204" spans="1:27" ht="69.599999999999994" x14ac:dyDescent="0.25">
      <c r="A1204" s="16"/>
      <c r="B1204" s="20" t="b">
        <f ca="1">IFERROR(__xludf.DUMMYFUNCTION("if(D1204=iferror(filter('Character Sheet'!D$13:D3002,'Character Sheet'!D$13:D3002=D1204),""""),True,False)"),FALSE)</f>
        <v>0</v>
      </c>
      <c r="C1204" s="20">
        <v>200</v>
      </c>
      <c r="D1204" s="2" t="s">
        <v>2609</v>
      </c>
      <c r="E1204" s="2" t="s">
        <v>475</v>
      </c>
      <c r="F1204" s="20" t="s">
        <v>60</v>
      </c>
      <c r="G1204" s="2" t="s">
        <v>2610</v>
      </c>
      <c r="H1204" s="16"/>
      <c r="I1204" s="20"/>
      <c r="J1204" s="20"/>
      <c r="K1204" s="20"/>
      <c r="L1204" s="20"/>
      <c r="M1204" s="20"/>
      <c r="N1204" s="20"/>
      <c r="O1204" s="20"/>
      <c r="P1204" s="20"/>
      <c r="Q1204" s="20"/>
      <c r="R1204" s="20"/>
      <c r="S1204" s="20"/>
      <c r="T1204" s="20"/>
      <c r="U1204" s="20"/>
      <c r="V1204" s="20"/>
      <c r="W1204" s="20"/>
      <c r="X1204" s="20"/>
      <c r="Y1204" s="20"/>
      <c r="Z1204" s="20"/>
      <c r="AA1204" s="20"/>
    </row>
    <row r="1205" spans="1:27" ht="69.599999999999994" x14ac:dyDescent="0.25">
      <c r="A1205" s="16"/>
      <c r="B1205" s="20" t="b">
        <f ca="1">IFERROR(__xludf.DUMMYFUNCTION("if(D1205=iferror(filter('Character Sheet'!D$13:D3002,'Character Sheet'!D$13:D3002=D1205),""""),True,False)"),FALSE)</f>
        <v>0</v>
      </c>
      <c r="C1205" s="20">
        <v>200</v>
      </c>
      <c r="D1205" s="2" t="s">
        <v>2611</v>
      </c>
      <c r="E1205" s="2" t="s">
        <v>162</v>
      </c>
      <c r="F1205" s="20" t="s">
        <v>60</v>
      </c>
      <c r="G1205" s="2" t="s">
        <v>2612</v>
      </c>
      <c r="H1205" s="16"/>
      <c r="I1205" s="20"/>
      <c r="J1205" s="20"/>
      <c r="K1205" s="20"/>
      <c r="L1205" s="20"/>
      <c r="M1205" s="20"/>
      <c r="N1205" s="20"/>
      <c r="O1205" s="20"/>
      <c r="P1205" s="20"/>
      <c r="Q1205" s="20"/>
      <c r="R1205" s="20"/>
      <c r="S1205" s="20"/>
      <c r="T1205" s="20"/>
      <c r="U1205" s="20"/>
      <c r="V1205" s="20"/>
      <c r="W1205" s="20"/>
      <c r="X1205" s="20"/>
      <c r="Y1205" s="20"/>
      <c r="Z1205" s="20"/>
      <c r="AA1205" s="20"/>
    </row>
    <row r="1206" spans="1:27" ht="243.6" x14ac:dyDescent="0.25">
      <c r="A1206" s="16"/>
      <c r="B1206" s="20" t="b">
        <f ca="1">IFERROR(__xludf.DUMMYFUNCTION("if(D1206=iferror(filter('Character Sheet'!D$13:D3002,'Character Sheet'!D$13:D3002=D1206),""""),True,False)"),FALSE)</f>
        <v>0</v>
      </c>
      <c r="C1206" s="20">
        <v>200</v>
      </c>
      <c r="D1206" s="2" t="s">
        <v>2613</v>
      </c>
      <c r="E1206" s="2" t="s">
        <v>220</v>
      </c>
      <c r="F1206" s="20" t="s">
        <v>60</v>
      </c>
      <c r="G1206" s="2" t="s">
        <v>2614</v>
      </c>
      <c r="H1206" s="16"/>
      <c r="I1206" s="20"/>
      <c r="J1206" s="20"/>
      <c r="K1206" s="20"/>
      <c r="L1206" s="20"/>
      <c r="M1206" s="20"/>
      <c r="N1206" s="20"/>
      <c r="O1206" s="20"/>
      <c r="P1206" s="20"/>
      <c r="Q1206" s="20"/>
      <c r="R1206" s="20"/>
      <c r="S1206" s="20"/>
      <c r="T1206" s="20"/>
      <c r="U1206" s="20"/>
      <c r="V1206" s="20"/>
      <c r="W1206" s="20"/>
      <c r="X1206" s="20"/>
      <c r="Y1206" s="20"/>
      <c r="Z1206" s="20"/>
      <c r="AA1206" s="20"/>
    </row>
    <row r="1207" spans="1:27" ht="121.8" x14ac:dyDescent="0.25">
      <c r="A1207" s="16"/>
      <c r="B1207" s="20" t="b">
        <f ca="1">IFERROR(__xludf.DUMMYFUNCTION("if(D1207=iferror(filter('Character Sheet'!D$13:D3002,'Character Sheet'!D$13:D3002=D1207),""""),True,False)"),FALSE)</f>
        <v>0</v>
      </c>
      <c r="C1207" s="20">
        <v>200</v>
      </c>
      <c r="D1207" s="2" t="s">
        <v>2615</v>
      </c>
      <c r="E1207" s="2" t="s">
        <v>1093</v>
      </c>
      <c r="F1207" s="20" t="s">
        <v>60</v>
      </c>
      <c r="G1207" s="2" t="s">
        <v>2616</v>
      </c>
      <c r="H1207" s="16"/>
      <c r="I1207" s="20"/>
      <c r="J1207" s="20"/>
      <c r="K1207" s="20"/>
      <c r="L1207" s="20"/>
      <c r="M1207" s="20"/>
      <c r="N1207" s="20"/>
      <c r="O1207" s="20"/>
      <c r="P1207" s="20"/>
      <c r="Q1207" s="20"/>
      <c r="R1207" s="20"/>
      <c r="S1207" s="20"/>
      <c r="T1207" s="20"/>
      <c r="U1207" s="20"/>
      <c r="V1207" s="20"/>
      <c r="W1207" s="20"/>
      <c r="X1207" s="20"/>
      <c r="Y1207" s="20"/>
      <c r="Z1207" s="20"/>
      <c r="AA1207" s="20"/>
    </row>
    <row r="1208" spans="1:27" ht="69.599999999999994" x14ac:dyDescent="0.25">
      <c r="A1208" s="16"/>
      <c r="B1208" s="20" t="b">
        <f ca="1">IFERROR(__xludf.DUMMYFUNCTION("if(D1208=iferror(filter('Character Sheet'!D$13:D3002,'Character Sheet'!D$13:D3002=D1208),""""),True,False)"),FALSE)</f>
        <v>0</v>
      </c>
      <c r="C1208" s="20">
        <v>200</v>
      </c>
      <c r="D1208" s="2" t="s">
        <v>2617</v>
      </c>
      <c r="E1208" s="2" t="s">
        <v>277</v>
      </c>
      <c r="F1208" s="20" t="s">
        <v>60</v>
      </c>
      <c r="G1208" s="2" t="s">
        <v>2618</v>
      </c>
      <c r="H1208" s="16"/>
      <c r="I1208" s="20"/>
      <c r="J1208" s="20"/>
      <c r="K1208" s="20"/>
      <c r="L1208" s="20"/>
      <c r="M1208" s="20"/>
      <c r="N1208" s="20"/>
      <c r="O1208" s="20"/>
      <c r="P1208" s="20"/>
      <c r="Q1208" s="20"/>
      <c r="R1208" s="20"/>
      <c r="S1208" s="20"/>
      <c r="T1208" s="20"/>
      <c r="U1208" s="20"/>
      <c r="V1208" s="20"/>
      <c r="W1208" s="20"/>
      <c r="X1208" s="20"/>
      <c r="Y1208" s="20"/>
      <c r="Z1208" s="20"/>
      <c r="AA1208" s="20"/>
    </row>
    <row r="1209" spans="1:27" ht="121.8" x14ac:dyDescent="0.25">
      <c r="A1209" s="16"/>
      <c r="B1209" s="20" t="b">
        <f ca="1">IFERROR(__xludf.DUMMYFUNCTION("if(D1209=iferror(filter('Character Sheet'!D$13:D3002,'Character Sheet'!D$13:D3002=D1209),""""),True,False)"),FALSE)</f>
        <v>0</v>
      </c>
      <c r="C1209" s="20">
        <v>200</v>
      </c>
      <c r="D1209" s="2" t="s">
        <v>2619</v>
      </c>
      <c r="E1209" s="2" t="s">
        <v>521</v>
      </c>
      <c r="F1209" s="20" t="s">
        <v>60</v>
      </c>
      <c r="G1209" s="2" t="s">
        <v>2620</v>
      </c>
      <c r="H1209" s="16"/>
      <c r="I1209" s="20"/>
      <c r="J1209" s="20"/>
      <c r="K1209" s="20"/>
      <c r="L1209" s="20"/>
      <c r="M1209" s="20"/>
      <c r="N1209" s="20"/>
      <c r="O1209" s="20"/>
      <c r="P1209" s="20"/>
      <c r="Q1209" s="20"/>
      <c r="R1209" s="20"/>
      <c r="S1209" s="20"/>
      <c r="T1209" s="20"/>
      <c r="U1209" s="20"/>
      <c r="V1209" s="20"/>
      <c r="W1209" s="20"/>
      <c r="X1209" s="20"/>
      <c r="Y1209" s="20"/>
      <c r="Z1209" s="20"/>
      <c r="AA1209" s="20"/>
    </row>
    <row r="1210" spans="1:27" ht="104.4" x14ac:dyDescent="0.25">
      <c r="A1210" s="16"/>
      <c r="B1210" s="20" t="b">
        <f ca="1">IFERROR(__xludf.DUMMYFUNCTION("if(D1210=iferror(filter('Character Sheet'!D$13:D3002,'Character Sheet'!D$13:D3002=D1210),""""),True,False)"),FALSE)</f>
        <v>0</v>
      </c>
      <c r="C1210" s="20">
        <v>200</v>
      </c>
      <c r="D1210" s="2" t="s">
        <v>2621</v>
      </c>
      <c r="E1210" s="2" t="s">
        <v>214</v>
      </c>
      <c r="F1210" s="20" t="s">
        <v>60</v>
      </c>
      <c r="G1210" s="2" t="s">
        <v>2622</v>
      </c>
      <c r="H1210" s="16"/>
      <c r="I1210" s="20"/>
      <c r="J1210" s="20"/>
      <c r="K1210" s="20"/>
      <c r="L1210" s="20"/>
      <c r="M1210" s="20"/>
      <c r="N1210" s="20"/>
      <c r="O1210" s="20"/>
      <c r="P1210" s="20"/>
      <c r="Q1210" s="20"/>
      <c r="R1210" s="20"/>
      <c r="S1210" s="20"/>
      <c r="T1210" s="20"/>
      <c r="U1210" s="20"/>
      <c r="V1210" s="20"/>
      <c r="W1210" s="20"/>
      <c r="X1210" s="20"/>
      <c r="Y1210" s="20"/>
      <c r="Z1210" s="20"/>
      <c r="AA1210" s="20"/>
    </row>
    <row r="1211" spans="1:27" ht="139.19999999999999" x14ac:dyDescent="0.25">
      <c r="A1211" s="16"/>
      <c r="B1211" s="20" t="b">
        <f ca="1">IFERROR(__xludf.DUMMYFUNCTION("if(D1211=iferror(filter('Character Sheet'!D$13:D3002,'Character Sheet'!D$13:D3002=D1211),""""),True,False)"),FALSE)</f>
        <v>0</v>
      </c>
      <c r="C1211" s="20">
        <v>200</v>
      </c>
      <c r="D1211" s="2" t="s">
        <v>2623</v>
      </c>
      <c r="E1211" s="2" t="s">
        <v>119</v>
      </c>
      <c r="F1211" s="20" t="s">
        <v>60</v>
      </c>
      <c r="G1211" s="2" t="s">
        <v>2624</v>
      </c>
      <c r="H1211" s="16"/>
      <c r="I1211" s="20"/>
      <c r="J1211" s="20"/>
      <c r="K1211" s="20"/>
      <c r="L1211" s="20"/>
      <c r="M1211" s="20"/>
      <c r="N1211" s="20"/>
      <c r="O1211" s="20"/>
      <c r="P1211" s="20"/>
      <c r="Q1211" s="20"/>
      <c r="R1211" s="20"/>
      <c r="S1211" s="20"/>
      <c r="T1211" s="20"/>
      <c r="U1211" s="20"/>
      <c r="V1211" s="20"/>
      <c r="W1211" s="20"/>
      <c r="X1211" s="20"/>
      <c r="Y1211" s="20"/>
      <c r="Z1211" s="20"/>
      <c r="AA1211" s="20"/>
    </row>
    <row r="1212" spans="1:27" ht="139.19999999999999" x14ac:dyDescent="0.25">
      <c r="A1212" s="16"/>
      <c r="B1212" s="20" t="b">
        <f ca="1">IFERROR(__xludf.DUMMYFUNCTION("if(D1212=iferror(filter('Character Sheet'!D$13:D3002,'Character Sheet'!D$13:D3002=D1212),""""),True,False)"),FALSE)</f>
        <v>0</v>
      </c>
      <c r="C1212" s="20">
        <v>200</v>
      </c>
      <c r="D1212" s="2" t="s">
        <v>2625</v>
      </c>
      <c r="E1212" s="20" t="s">
        <v>291</v>
      </c>
      <c r="F1212" s="20" t="s">
        <v>60</v>
      </c>
      <c r="G1212" s="2" t="s">
        <v>2626</v>
      </c>
      <c r="H1212" s="16"/>
      <c r="I1212" s="20"/>
      <c r="J1212" s="20"/>
      <c r="K1212" s="20"/>
      <c r="L1212" s="20"/>
      <c r="M1212" s="20"/>
      <c r="N1212" s="20"/>
      <c r="O1212" s="20"/>
      <c r="P1212" s="20"/>
      <c r="Q1212" s="20"/>
      <c r="R1212" s="20"/>
      <c r="S1212" s="20"/>
      <c r="T1212" s="20"/>
      <c r="U1212" s="20"/>
      <c r="V1212" s="20"/>
      <c r="W1212" s="20"/>
      <c r="X1212" s="20"/>
      <c r="Y1212" s="20"/>
      <c r="Z1212" s="20"/>
      <c r="AA1212" s="20"/>
    </row>
    <row r="1213" spans="1:27" ht="226.2" x14ac:dyDescent="0.25">
      <c r="A1213" s="16"/>
      <c r="B1213" s="20" t="b">
        <f ca="1">IFERROR(__xludf.DUMMYFUNCTION("if(D1213=iferror(filter('Character Sheet'!D$13:D3002,'Character Sheet'!D$13:D3002=D1213),""""),True,False)"),FALSE)</f>
        <v>0</v>
      </c>
      <c r="C1213" s="20">
        <v>200</v>
      </c>
      <c r="D1213" s="2" t="s">
        <v>2627</v>
      </c>
      <c r="E1213" s="2" t="s">
        <v>220</v>
      </c>
      <c r="F1213" s="20" t="s">
        <v>60</v>
      </c>
      <c r="G1213" s="2" t="s">
        <v>2628</v>
      </c>
      <c r="H1213" s="16"/>
      <c r="I1213" s="20"/>
      <c r="J1213" s="20"/>
      <c r="K1213" s="20"/>
      <c r="L1213" s="20"/>
      <c r="M1213" s="20"/>
      <c r="N1213" s="20"/>
      <c r="O1213" s="20"/>
      <c r="P1213" s="20"/>
      <c r="Q1213" s="20"/>
      <c r="R1213" s="20"/>
      <c r="S1213" s="20"/>
      <c r="T1213" s="20"/>
      <c r="U1213" s="20"/>
      <c r="V1213" s="20"/>
      <c r="W1213" s="20"/>
      <c r="X1213" s="20"/>
      <c r="Y1213" s="20"/>
      <c r="Z1213" s="20"/>
      <c r="AA1213" s="20"/>
    </row>
    <row r="1214" spans="1:27" ht="104.4" x14ac:dyDescent="0.25">
      <c r="A1214" s="16"/>
      <c r="B1214" s="20" t="b">
        <f ca="1">IFERROR(__xludf.DUMMYFUNCTION("if(D1214=iferror(filter('Character Sheet'!D$13:D3002,'Character Sheet'!D$13:D3002=D1214),""""),True,False)"),FALSE)</f>
        <v>0</v>
      </c>
      <c r="C1214" s="20">
        <v>200</v>
      </c>
      <c r="D1214" s="2" t="s">
        <v>2629</v>
      </c>
      <c r="E1214" s="2" t="s">
        <v>358</v>
      </c>
      <c r="F1214" s="20" t="s">
        <v>60</v>
      </c>
      <c r="G1214" s="2" t="s">
        <v>2630</v>
      </c>
      <c r="H1214" s="16"/>
      <c r="I1214" s="20"/>
      <c r="J1214" s="20"/>
      <c r="K1214" s="20"/>
      <c r="L1214" s="20"/>
      <c r="M1214" s="20"/>
      <c r="N1214" s="20"/>
      <c r="O1214" s="20"/>
      <c r="P1214" s="20"/>
      <c r="Q1214" s="20"/>
      <c r="R1214" s="20"/>
      <c r="S1214" s="20"/>
      <c r="T1214" s="20"/>
      <c r="U1214" s="20"/>
      <c r="V1214" s="20"/>
      <c r="W1214" s="20"/>
      <c r="X1214" s="20"/>
      <c r="Y1214" s="20"/>
      <c r="Z1214" s="20"/>
      <c r="AA1214" s="20"/>
    </row>
    <row r="1215" spans="1:27" ht="87" x14ac:dyDescent="0.25">
      <c r="A1215" s="16"/>
      <c r="B1215" s="20" t="b">
        <f ca="1">IFERROR(__xludf.DUMMYFUNCTION("if(D1215=iferror(filter('Character Sheet'!D$13:D3002,'Character Sheet'!D$13:D3002=D1215),""""),True,False)"),FALSE)</f>
        <v>0</v>
      </c>
      <c r="C1215" s="20">
        <v>200</v>
      </c>
      <c r="D1215" s="2" t="s">
        <v>2631</v>
      </c>
      <c r="E1215" s="2" t="s">
        <v>442</v>
      </c>
      <c r="F1215" s="20" t="s">
        <v>60</v>
      </c>
      <c r="G1215" s="2" t="s">
        <v>2632</v>
      </c>
      <c r="H1215" s="16"/>
      <c r="I1215" s="20"/>
      <c r="J1215" s="20"/>
      <c r="K1215" s="20"/>
      <c r="L1215" s="20"/>
      <c r="M1215" s="20"/>
      <c r="N1215" s="20"/>
      <c r="O1215" s="20"/>
      <c r="P1215" s="20"/>
      <c r="Q1215" s="20"/>
      <c r="R1215" s="20"/>
      <c r="S1215" s="20"/>
      <c r="T1215" s="20"/>
      <c r="U1215" s="20"/>
      <c r="V1215" s="20"/>
      <c r="W1215" s="20"/>
      <c r="X1215" s="20"/>
      <c r="Y1215" s="20"/>
      <c r="Z1215" s="20"/>
      <c r="AA1215" s="20"/>
    </row>
    <row r="1216" spans="1:27" ht="121.8" x14ac:dyDescent="0.25">
      <c r="A1216" s="16"/>
      <c r="B1216" s="20" t="b">
        <f ca="1">IFERROR(__xludf.DUMMYFUNCTION("if(D1216=iferror(filter('Character Sheet'!D$13:D3002,'Character Sheet'!D$13:D3002=D1216),""""),True,False)"),FALSE)</f>
        <v>0</v>
      </c>
      <c r="C1216" s="20">
        <v>200</v>
      </c>
      <c r="D1216" s="2" t="s">
        <v>2633</v>
      </c>
      <c r="E1216" s="2" t="s">
        <v>159</v>
      </c>
      <c r="F1216" s="20" t="s">
        <v>60</v>
      </c>
      <c r="G1216" s="2" t="s">
        <v>2634</v>
      </c>
      <c r="H1216" s="16"/>
      <c r="I1216" s="20"/>
      <c r="J1216" s="20"/>
      <c r="K1216" s="20"/>
      <c r="L1216" s="20"/>
      <c r="M1216" s="20"/>
      <c r="N1216" s="20"/>
      <c r="O1216" s="20"/>
      <c r="P1216" s="20"/>
      <c r="Q1216" s="20"/>
      <c r="R1216" s="20"/>
      <c r="S1216" s="20"/>
      <c r="T1216" s="20"/>
      <c r="U1216" s="20"/>
      <c r="V1216" s="20"/>
      <c r="W1216" s="20"/>
      <c r="X1216" s="20"/>
      <c r="Y1216" s="20"/>
      <c r="Z1216" s="20"/>
      <c r="AA1216" s="20"/>
    </row>
    <row r="1217" spans="1:27" ht="69.599999999999994" x14ac:dyDescent="0.25">
      <c r="A1217" s="16"/>
      <c r="B1217" s="20" t="b">
        <f ca="1">IFERROR(__xludf.DUMMYFUNCTION("if(D1217=iferror(filter('Character Sheet'!D$13:D3002,'Character Sheet'!D$13:D3002=D1217),""""),True,False)"),FALSE)</f>
        <v>0</v>
      </c>
      <c r="C1217" s="20">
        <v>200</v>
      </c>
      <c r="D1217" s="2" t="s">
        <v>2635</v>
      </c>
      <c r="E1217" s="2" t="s">
        <v>2636</v>
      </c>
      <c r="F1217" s="20" t="s">
        <v>60</v>
      </c>
      <c r="G1217" s="2" t="s">
        <v>2637</v>
      </c>
      <c r="H1217" s="16"/>
      <c r="I1217" s="20"/>
      <c r="J1217" s="20"/>
      <c r="K1217" s="20"/>
      <c r="L1217" s="20"/>
      <c r="M1217" s="20"/>
      <c r="N1217" s="20"/>
      <c r="O1217" s="20"/>
      <c r="P1217" s="20"/>
      <c r="Q1217" s="20"/>
      <c r="R1217" s="20"/>
      <c r="S1217" s="20"/>
      <c r="T1217" s="20"/>
      <c r="U1217" s="20"/>
      <c r="V1217" s="20"/>
      <c r="W1217" s="20"/>
      <c r="X1217" s="20"/>
      <c r="Y1217" s="20"/>
      <c r="Z1217" s="20"/>
      <c r="AA1217" s="20"/>
    </row>
    <row r="1218" spans="1:27" ht="104.4" x14ac:dyDescent="0.25">
      <c r="A1218" s="16"/>
      <c r="B1218" s="20" t="b">
        <f ca="1">IFERROR(__xludf.DUMMYFUNCTION("if(D1218=iferror(filter('Character Sheet'!D$13:D3002,'Character Sheet'!D$13:D3002=D1218),""""),True,False)"),FALSE)</f>
        <v>0</v>
      </c>
      <c r="C1218" s="20">
        <v>200</v>
      </c>
      <c r="D1218" s="2" t="s">
        <v>2638</v>
      </c>
      <c r="E1218" s="2" t="s">
        <v>514</v>
      </c>
      <c r="F1218" s="20" t="s">
        <v>60</v>
      </c>
      <c r="G1218" s="2" t="s">
        <v>2639</v>
      </c>
      <c r="H1218" s="16"/>
      <c r="I1218" s="20"/>
      <c r="J1218" s="20"/>
      <c r="K1218" s="20"/>
      <c r="L1218" s="20"/>
      <c r="M1218" s="20"/>
      <c r="N1218" s="20"/>
      <c r="O1218" s="20"/>
      <c r="P1218" s="20"/>
      <c r="Q1218" s="20"/>
      <c r="R1218" s="20"/>
      <c r="S1218" s="20"/>
      <c r="T1218" s="20"/>
      <c r="U1218" s="20"/>
      <c r="V1218" s="20"/>
      <c r="W1218" s="20"/>
      <c r="X1218" s="20"/>
      <c r="Y1218" s="20"/>
      <c r="Z1218" s="20"/>
      <c r="AA1218" s="20"/>
    </row>
    <row r="1219" spans="1:27" ht="87" x14ac:dyDescent="0.25">
      <c r="A1219" s="16"/>
      <c r="B1219" s="20" t="b">
        <f ca="1">IFERROR(__xludf.DUMMYFUNCTION("if(D1219=iferror(filter('Character Sheet'!D$13:D3002,'Character Sheet'!D$13:D3002=D1219),""""),True,False)"),FALSE)</f>
        <v>0</v>
      </c>
      <c r="C1219" s="20">
        <v>200</v>
      </c>
      <c r="D1219" s="2" t="s">
        <v>2640</v>
      </c>
      <c r="E1219" s="2" t="s">
        <v>592</v>
      </c>
      <c r="F1219" s="20" t="s">
        <v>60</v>
      </c>
      <c r="G1219" s="2" t="s">
        <v>2641</v>
      </c>
      <c r="H1219" s="16"/>
      <c r="I1219" s="20"/>
      <c r="J1219" s="20"/>
      <c r="K1219" s="20"/>
      <c r="L1219" s="20"/>
      <c r="M1219" s="20"/>
      <c r="N1219" s="20"/>
      <c r="O1219" s="20"/>
      <c r="P1219" s="20"/>
      <c r="Q1219" s="20"/>
      <c r="R1219" s="20"/>
      <c r="S1219" s="20"/>
      <c r="T1219" s="20"/>
      <c r="U1219" s="20"/>
      <c r="V1219" s="20"/>
      <c r="W1219" s="20"/>
      <c r="X1219" s="20"/>
      <c r="Y1219" s="20"/>
      <c r="Z1219" s="20"/>
      <c r="AA1219" s="20"/>
    </row>
    <row r="1220" spans="1:27" ht="139.19999999999999" x14ac:dyDescent="0.25">
      <c r="A1220" s="16"/>
      <c r="B1220" s="20" t="b">
        <f ca="1">IFERROR(__xludf.DUMMYFUNCTION("if(D1220=iferror(filter('Character Sheet'!D$13:D3002,'Character Sheet'!D$13:D3002=D1220),""""),True,False)"),FALSE)</f>
        <v>0</v>
      </c>
      <c r="C1220" s="20">
        <v>200</v>
      </c>
      <c r="D1220" s="2" t="s">
        <v>2642</v>
      </c>
      <c r="E1220" s="2" t="s">
        <v>610</v>
      </c>
      <c r="F1220" s="20" t="s">
        <v>60</v>
      </c>
      <c r="G1220" s="2" t="s">
        <v>2643</v>
      </c>
      <c r="H1220" s="16"/>
      <c r="I1220" s="20"/>
      <c r="J1220" s="20"/>
      <c r="K1220" s="20"/>
      <c r="L1220" s="20"/>
      <c r="M1220" s="20"/>
      <c r="N1220" s="20"/>
      <c r="O1220" s="20"/>
      <c r="P1220" s="20"/>
      <c r="Q1220" s="20"/>
      <c r="R1220" s="20"/>
      <c r="S1220" s="20"/>
      <c r="T1220" s="20"/>
      <c r="U1220" s="20"/>
      <c r="V1220" s="20"/>
      <c r="W1220" s="20"/>
      <c r="X1220" s="20"/>
      <c r="Y1220" s="20"/>
      <c r="Z1220" s="20"/>
      <c r="AA1220" s="20"/>
    </row>
    <row r="1221" spans="1:27" ht="87" x14ac:dyDescent="0.25">
      <c r="A1221" s="16"/>
      <c r="B1221" s="20" t="b">
        <f ca="1">IFERROR(__xludf.DUMMYFUNCTION("if(D1221=iferror(filter('Character Sheet'!D$13:D3002,'Character Sheet'!D$13:D3002=D1221),""""),True,False)"),FALSE)</f>
        <v>0</v>
      </c>
      <c r="C1221" s="20">
        <v>200</v>
      </c>
      <c r="D1221" s="2" t="s">
        <v>2644</v>
      </c>
      <c r="E1221" s="2" t="s">
        <v>214</v>
      </c>
      <c r="F1221" s="20" t="s">
        <v>60</v>
      </c>
      <c r="G1221" s="2" t="s">
        <v>2645</v>
      </c>
      <c r="H1221" s="16"/>
      <c r="I1221" s="20"/>
      <c r="J1221" s="20"/>
      <c r="K1221" s="20"/>
      <c r="L1221" s="20"/>
      <c r="M1221" s="20"/>
      <c r="N1221" s="20"/>
      <c r="O1221" s="20"/>
      <c r="P1221" s="20"/>
      <c r="Q1221" s="20"/>
      <c r="R1221" s="20"/>
      <c r="S1221" s="20"/>
      <c r="T1221" s="20"/>
      <c r="U1221" s="20"/>
      <c r="V1221" s="20"/>
      <c r="W1221" s="20"/>
      <c r="X1221" s="20"/>
      <c r="Y1221" s="20"/>
      <c r="Z1221" s="20"/>
      <c r="AA1221" s="20"/>
    </row>
    <row r="1222" spans="1:27" ht="87" x14ac:dyDescent="0.25">
      <c r="A1222" s="16"/>
      <c r="B1222" s="20" t="b">
        <f ca="1">IFERROR(__xludf.DUMMYFUNCTION("if(D1222=iferror(filter('Character Sheet'!D$13:D3002,'Character Sheet'!D$13:D3002=D1222),""""),True,False)"),FALSE)</f>
        <v>0</v>
      </c>
      <c r="C1222" s="20">
        <v>200</v>
      </c>
      <c r="D1222" s="2" t="s">
        <v>2646</v>
      </c>
      <c r="E1222" s="2" t="s">
        <v>1693</v>
      </c>
      <c r="F1222" s="20" t="s">
        <v>60</v>
      </c>
      <c r="G1222" s="2" t="s">
        <v>2647</v>
      </c>
      <c r="H1222" s="16"/>
      <c r="I1222" s="20"/>
      <c r="J1222" s="20"/>
      <c r="K1222" s="20"/>
      <c r="L1222" s="20"/>
      <c r="M1222" s="20"/>
      <c r="N1222" s="20"/>
      <c r="O1222" s="20"/>
      <c r="P1222" s="20"/>
      <c r="Q1222" s="20"/>
      <c r="R1222" s="20"/>
      <c r="S1222" s="20"/>
      <c r="T1222" s="20"/>
      <c r="U1222" s="20"/>
      <c r="V1222" s="20"/>
      <c r="W1222" s="20"/>
      <c r="X1222" s="20"/>
      <c r="Y1222" s="20"/>
      <c r="Z1222" s="20"/>
      <c r="AA1222" s="20"/>
    </row>
    <row r="1223" spans="1:27" ht="69.599999999999994" x14ac:dyDescent="0.25">
      <c r="A1223" s="16"/>
      <c r="B1223" s="20" t="b">
        <f ca="1">IFERROR(__xludf.DUMMYFUNCTION("if(D1223=iferror(filter('Character Sheet'!D$13:D3002,'Character Sheet'!D$13:D3002=D1223),""""),True,False)"),FALSE)</f>
        <v>0</v>
      </c>
      <c r="C1223" s="20">
        <v>200</v>
      </c>
      <c r="D1223" s="2" t="s">
        <v>2648</v>
      </c>
      <c r="E1223" s="2" t="s">
        <v>442</v>
      </c>
      <c r="F1223" s="20" t="s">
        <v>60</v>
      </c>
      <c r="G1223" s="2" t="s">
        <v>2649</v>
      </c>
      <c r="H1223" s="16"/>
      <c r="I1223" s="20"/>
      <c r="J1223" s="20"/>
      <c r="K1223" s="20"/>
      <c r="L1223" s="20"/>
      <c r="M1223" s="20"/>
      <c r="N1223" s="20"/>
      <c r="O1223" s="20"/>
      <c r="P1223" s="20"/>
      <c r="Q1223" s="20"/>
      <c r="R1223" s="20"/>
      <c r="S1223" s="20"/>
      <c r="T1223" s="20"/>
      <c r="U1223" s="20"/>
      <c r="V1223" s="20"/>
      <c r="W1223" s="20"/>
      <c r="X1223" s="20"/>
      <c r="Y1223" s="20"/>
      <c r="Z1223" s="20"/>
      <c r="AA1223" s="20"/>
    </row>
    <row r="1224" spans="1:27" ht="87" x14ac:dyDescent="0.25">
      <c r="A1224" s="16"/>
      <c r="B1224" s="20" t="b">
        <f ca="1">IFERROR(__xludf.DUMMYFUNCTION("if(D1224=iferror(filter('Character Sheet'!D$13:D3002,'Character Sheet'!D$13:D3002=D1224),""""),True,False)"),FALSE)</f>
        <v>0</v>
      </c>
      <c r="C1224" s="20">
        <v>200</v>
      </c>
      <c r="D1224" s="2" t="s">
        <v>2650</v>
      </c>
      <c r="E1224" s="2" t="s">
        <v>2651</v>
      </c>
      <c r="F1224" s="20" t="s">
        <v>60</v>
      </c>
      <c r="G1224" s="2" t="s">
        <v>2652</v>
      </c>
      <c r="H1224" s="16"/>
      <c r="I1224" s="20"/>
      <c r="J1224" s="20"/>
      <c r="K1224" s="20"/>
      <c r="L1224" s="20"/>
      <c r="M1224" s="20"/>
      <c r="N1224" s="20"/>
      <c r="O1224" s="20"/>
      <c r="P1224" s="20"/>
      <c r="Q1224" s="20"/>
      <c r="R1224" s="20"/>
      <c r="S1224" s="20"/>
      <c r="T1224" s="20"/>
      <c r="U1224" s="20"/>
      <c r="V1224" s="20"/>
      <c r="W1224" s="20"/>
      <c r="X1224" s="20"/>
      <c r="Y1224" s="20"/>
      <c r="Z1224" s="20"/>
      <c r="AA1224" s="20"/>
    </row>
    <row r="1225" spans="1:27" ht="69.599999999999994" x14ac:dyDescent="0.25">
      <c r="A1225" s="16"/>
      <c r="B1225" s="20" t="b">
        <f ca="1">IFERROR(__xludf.DUMMYFUNCTION("if(D1225=iferror(filter('Character Sheet'!D$13:D3002,'Character Sheet'!D$13:D3002=D1225),""""),True,False)"),FALSE)</f>
        <v>0</v>
      </c>
      <c r="C1225" s="20">
        <v>200</v>
      </c>
      <c r="D1225" s="2" t="s">
        <v>2653</v>
      </c>
      <c r="E1225" s="2" t="s">
        <v>159</v>
      </c>
      <c r="F1225" s="20" t="s">
        <v>60</v>
      </c>
      <c r="G1225" s="2" t="s">
        <v>2654</v>
      </c>
      <c r="H1225" s="16"/>
      <c r="I1225" s="20"/>
      <c r="J1225" s="20"/>
      <c r="K1225" s="20"/>
      <c r="L1225" s="20"/>
      <c r="M1225" s="20"/>
      <c r="N1225" s="20"/>
      <c r="O1225" s="20"/>
      <c r="P1225" s="20"/>
      <c r="Q1225" s="20"/>
      <c r="R1225" s="20"/>
      <c r="S1225" s="20"/>
      <c r="T1225" s="20"/>
      <c r="U1225" s="20"/>
      <c r="V1225" s="20"/>
      <c r="W1225" s="20"/>
      <c r="X1225" s="20"/>
      <c r="Y1225" s="20"/>
      <c r="Z1225" s="20"/>
      <c r="AA1225" s="20"/>
    </row>
    <row r="1226" spans="1:27" ht="104.4" x14ac:dyDescent="0.25">
      <c r="A1226" s="16"/>
      <c r="B1226" s="20" t="b">
        <f ca="1">IFERROR(__xludf.DUMMYFUNCTION("if(D1226=iferror(filter('Character Sheet'!D$13:D3002,'Character Sheet'!D$13:D3002=D1226),""""),True,False)"),FALSE)</f>
        <v>0</v>
      </c>
      <c r="C1226" s="20">
        <v>200</v>
      </c>
      <c r="D1226" s="2" t="s">
        <v>2655</v>
      </c>
      <c r="E1226" s="2" t="s">
        <v>711</v>
      </c>
      <c r="F1226" s="20" t="s">
        <v>60</v>
      </c>
      <c r="G1226" s="2" t="s">
        <v>2656</v>
      </c>
      <c r="H1226" s="16"/>
      <c r="I1226" s="20"/>
      <c r="J1226" s="20"/>
      <c r="K1226" s="20"/>
      <c r="L1226" s="20"/>
      <c r="M1226" s="20"/>
      <c r="N1226" s="20"/>
      <c r="O1226" s="20"/>
      <c r="P1226" s="20"/>
      <c r="Q1226" s="20"/>
      <c r="R1226" s="20"/>
      <c r="S1226" s="20"/>
      <c r="T1226" s="20"/>
      <c r="U1226" s="20"/>
      <c r="V1226" s="20"/>
      <c r="W1226" s="20"/>
      <c r="X1226" s="20"/>
      <c r="Y1226" s="20"/>
      <c r="Z1226" s="20"/>
      <c r="AA1226" s="20"/>
    </row>
    <row r="1227" spans="1:27" ht="87" x14ac:dyDescent="0.25">
      <c r="A1227" s="16"/>
      <c r="B1227" s="20" t="b">
        <f ca="1">IFERROR(__xludf.DUMMYFUNCTION("if(D1227=iferror(filter('Character Sheet'!D$13:D3002,'Character Sheet'!D$13:D3002=D1227),""""),True,False)"),FALSE)</f>
        <v>0</v>
      </c>
      <c r="C1227" s="20">
        <v>200</v>
      </c>
      <c r="D1227" s="2" t="s">
        <v>2657</v>
      </c>
      <c r="E1227" s="2" t="s">
        <v>845</v>
      </c>
      <c r="F1227" s="20" t="s">
        <v>60</v>
      </c>
      <c r="G1227" s="2" t="s">
        <v>2658</v>
      </c>
      <c r="H1227" s="16"/>
      <c r="I1227" s="20"/>
      <c r="J1227" s="20"/>
      <c r="K1227" s="20"/>
      <c r="L1227" s="20"/>
      <c r="M1227" s="20"/>
      <c r="N1227" s="20"/>
      <c r="O1227" s="20"/>
      <c r="P1227" s="20"/>
      <c r="Q1227" s="20"/>
      <c r="R1227" s="20"/>
      <c r="S1227" s="20"/>
      <c r="T1227" s="20"/>
      <c r="U1227" s="20"/>
      <c r="V1227" s="20"/>
      <c r="W1227" s="20"/>
      <c r="X1227" s="20"/>
      <c r="Y1227" s="20"/>
      <c r="Z1227" s="20"/>
      <c r="AA1227" s="20"/>
    </row>
    <row r="1228" spans="1:27" ht="104.4" x14ac:dyDescent="0.25">
      <c r="A1228" s="16"/>
      <c r="B1228" s="20" t="b">
        <f ca="1">IFERROR(__xludf.DUMMYFUNCTION("if(D1228=iferror(filter('Character Sheet'!D$13:D3002,'Character Sheet'!D$13:D3002=D1228),""""),True,False)"),FALSE)</f>
        <v>0</v>
      </c>
      <c r="C1228" s="20">
        <v>200</v>
      </c>
      <c r="D1228" s="2" t="s">
        <v>2659</v>
      </c>
      <c r="E1228" s="2" t="s">
        <v>378</v>
      </c>
      <c r="F1228" s="20" t="s">
        <v>60</v>
      </c>
      <c r="G1228" s="2" t="s">
        <v>2660</v>
      </c>
      <c r="H1228" s="16"/>
      <c r="I1228" s="20"/>
      <c r="J1228" s="20"/>
      <c r="K1228" s="20"/>
      <c r="L1228" s="20"/>
      <c r="M1228" s="20"/>
      <c r="N1228" s="20"/>
      <c r="O1228" s="20"/>
      <c r="P1228" s="20"/>
      <c r="Q1228" s="20"/>
      <c r="R1228" s="20"/>
      <c r="S1228" s="20"/>
      <c r="T1228" s="20"/>
      <c r="U1228" s="20"/>
      <c r="V1228" s="20"/>
      <c r="W1228" s="20"/>
      <c r="X1228" s="20"/>
      <c r="Y1228" s="20"/>
      <c r="Z1228" s="20"/>
      <c r="AA1228" s="20"/>
    </row>
    <row r="1229" spans="1:27" ht="139.19999999999999" x14ac:dyDescent="0.25">
      <c r="A1229" s="16"/>
      <c r="B1229" s="20" t="b">
        <f ca="1">IFERROR(__xludf.DUMMYFUNCTION("if(D1229=iferror(filter('Character Sheet'!D$13:D3002,'Character Sheet'!D$13:D3002=D1229),""""),True,False)"),FALSE)</f>
        <v>0</v>
      </c>
      <c r="C1229" s="20">
        <v>200</v>
      </c>
      <c r="D1229" s="2" t="s">
        <v>2661</v>
      </c>
      <c r="E1229" s="2" t="s">
        <v>331</v>
      </c>
      <c r="F1229" s="20" t="s">
        <v>60</v>
      </c>
      <c r="G1229" s="2" t="s">
        <v>2662</v>
      </c>
      <c r="H1229" s="16"/>
      <c r="I1229" s="20"/>
      <c r="J1229" s="20"/>
      <c r="K1229" s="20"/>
      <c r="L1229" s="20"/>
      <c r="M1229" s="20"/>
      <c r="N1229" s="20"/>
      <c r="O1229" s="20"/>
      <c r="P1229" s="20"/>
      <c r="Q1229" s="20"/>
      <c r="R1229" s="20"/>
      <c r="S1229" s="20"/>
      <c r="T1229" s="20"/>
      <c r="U1229" s="20"/>
      <c r="V1229" s="20"/>
      <c r="W1229" s="20"/>
      <c r="X1229" s="20"/>
      <c r="Y1229" s="20"/>
      <c r="Z1229" s="20"/>
      <c r="AA1229" s="20"/>
    </row>
    <row r="1230" spans="1:27" ht="226.2" x14ac:dyDescent="0.25">
      <c r="A1230" s="16"/>
      <c r="B1230" s="20" t="b">
        <f ca="1">IFERROR(__xludf.DUMMYFUNCTION("if(D1230=iferror(filter('Character Sheet'!D$13:D3002,'Character Sheet'!D$13:D3002=D1230),""""),True,False)"),FALSE)</f>
        <v>0</v>
      </c>
      <c r="C1230" s="20">
        <v>200</v>
      </c>
      <c r="D1230" s="2" t="s">
        <v>2663</v>
      </c>
      <c r="E1230" s="2" t="s">
        <v>176</v>
      </c>
      <c r="F1230" s="20" t="s">
        <v>60</v>
      </c>
      <c r="G1230" s="2" t="s">
        <v>2664</v>
      </c>
      <c r="H1230" s="16"/>
      <c r="I1230" s="20"/>
      <c r="J1230" s="20"/>
      <c r="K1230" s="20"/>
      <c r="L1230" s="20"/>
      <c r="M1230" s="20"/>
      <c r="N1230" s="20"/>
      <c r="O1230" s="20"/>
      <c r="P1230" s="20"/>
      <c r="Q1230" s="20"/>
      <c r="R1230" s="20"/>
      <c r="S1230" s="20"/>
      <c r="T1230" s="20"/>
      <c r="U1230" s="20"/>
      <c r="V1230" s="20"/>
      <c r="W1230" s="20"/>
      <c r="X1230" s="20"/>
      <c r="Y1230" s="20"/>
      <c r="Z1230" s="20"/>
      <c r="AA1230" s="20"/>
    </row>
    <row r="1231" spans="1:27" ht="139.19999999999999" x14ac:dyDescent="0.25">
      <c r="A1231" s="16"/>
      <c r="B1231" s="20" t="b">
        <f ca="1">IFERROR(__xludf.DUMMYFUNCTION("if(D1231=iferror(filter('Character Sheet'!D$13:D3002,'Character Sheet'!D$13:D3002=D1231),""""),True,False)"),FALSE)</f>
        <v>0</v>
      </c>
      <c r="C1231" s="20">
        <v>200</v>
      </c>
      <c r="D1231" s="2" t="s">
        <v>2665</v>
      </c>
      <c r="E1231" s="2" t="s">
        <v>176</v>
      </c>
      <c r="F1231" s="20" t="s">
        <v>60</v>
      </c>
      <c r="G1231" s="2" t="s">
        <v>2666</v>
      </c>
      <c r="H1231" s="16"/>
      <c r="I1231" s="20"/>
      <c r="J1231" s="20"/>
      <c r="K1231" s="20"/>
      <c r="L1231" s="20"/>
      <c r="M1231" s="20"/>
      <c r="N1231" s="20"/>
      <c r="O1231" s="20"/>
      <c r="P1231" s="20"/>
      <c r="Q1231" s="20"/>
      <c r="R1231" s="20"/>
      <c r="S1231" s="20"/>
      <c r="T1231" s="20"/>
      <c r="U1231" s="20"/>
      <c r="V1231" s="20"/>
      <c r="W1231" s="20"/>
      <c r="X1231" s="20"/>
      <c r="Y1231" s="20"/>
      <c r="Z1231" s="20"/>
      <c r="AA1231" s="20"/>
    </row>
    <row r="1232" spans="1:27" ht="139.19999999999999" x14ac:dyDescent="0.25">
      <c r="A1232" s="16"/>
      <c r="B1232" s="20" t="b">
        <f ca="1">IFERROR(__xludf.DUMMYFUNCTION("if(D1232=iferror(filter('Character Sheet'!D$13:D3002,'Character Sheet'!D$13:D3002=D1232),""""),True,False)"),FALSE)</f>
        <v>0</v>
      </c>
      <c r="C1232" s="20">
        <v>200</v>
      </c>
      <c r="D1232" s="2" t="s">
        <v>2667</v>
      </c>
      <c r="E1232" s="2" t="s">
        <v>642</v>
      </c>
      <c r="F1232" s="20" t="s">
        <v>60</v>
      </c>
      <c r="G1232" s="2" t="s">
        <v>2668</v>
      </c>
      <c r="H1232" s="16"/>
      <c r="I1232" s="20"/>
      <c r="J1232" s="20"/>
      <c r="K1232" s="20"/>
      <c r="L1232" s="20"/>
      <c r="M1232" s="20"/>
      <c r="N1232" s="20"/>
      <c r="O1232" s="20"/>
      <c r="P1232" s="20"/>
      <c r="Q1232" s="20"/>
      <c r="R1232" s="20"/>
      <c r="S1232" s="20"/>
      <c r="T1232" s="20"/>
      <c r="U1232" s="20"/>
      <c r="V1232" s="20"/>
      <c r="W1232" s="20"/>
      <c r="X1232" s="20"/>
      <c r="Y1232" s="20"/>
      <c r="Z1232" s="20"/>
      <c r="AA1232" s="20"/>
    </row>
    <row r="1233" spans="1:27" ht="87" x14ac:dyDescent="0.25">
      <c r="A1233" s="16"/>
      <c r="B1233" s="20" t="b">
        <f ca="1">IFERROR(__xludf.DUMMYFUNCTION("if(D1233=iferror(filter('Character Sheet'!D$13:D3002,'Character Sheet'!D$13:D3002=D1233),""""),True,False)"),FALSE)</f>
        <v>0</v>
      </c>
      <c r="C1233" s="20">
        <v>200</v>
      </c>
      <c r="D1233" s="2" t="s">
        <v>2669</v>
      </c>
      <c r="E1233" s="2" t="s">
        <v>478</v>
      </c>
      <c r="F1233" s="20" t="s">
        <v>60</v>
      </c>
      <c r="G1233" s="2" t="s">
        <v>2670</v>
      </c>
      <c r="H1233" s="16"/>
      <c r="I1233" s="20"/>
      <c r="J1233" s="20"/>
      <c r="K1233" s="20"/>
      <c r="L1233" s="20"/>
      <c r="M1233" s="20"/>
      <c r="N1233" s="20"/>
      <c r="O1233" s="20"/>
      <c r="P1233" s="20"/>
      <c r="Q1233" s="20"/>
      <c r="R1233" s="20"/>
      <c r="S1233" s="20"/>
      <c r="T1233" s="20"/>
      <c r="U1233" s="20"/>
      <c r="V1233" s="20"/>
      <c r="W1233" s="20"/>
      <c r="X1233" s="20"/>
      <c r="Y1233" s="20"/>
      <c r="Z1233" s="20"/>
      <c r="AA1233" s="20"/>
    </row>
    <row r="1234" spans="1:27" ht="104.4" x14ac:dyDescent="0.25">
      <c r="A1234" s="16"/>
      <c r="B1234" s="20" t="b">
        <f ca="1">IFERROR(__xludf.DUMMYFUNCTION("if(D1234=iferror(filter('Character Sheet'!D$13:D3002,'Character Sheet'!D$13:D3002=D1234),""""),True,False)"),FALSE)</f>
        <v>0</v>
      </c>
      <c r="C1234" s="20">
        <v>200</v>
      </c>
      <c r="D1234" s="2" t="s">
        <v>2671</v>
      </c>
      <c r="E1234" s="2" t="s">
        <v>539</v>
      </c>
      <c r="F1234" s="20" t="s">
        <v>60</v>
      </c>
      <c r="G1234" s="2" t="s">
        <v>2672</v>
      </c>
      <c r="H1234" s="16"/>
      <c r="I1234" s="20"/>
      <c r="J1234" s="20"/>
      <c r="K1234" s="20"/>
      <c r="L1234" s="20"/>
      <c r="M1234" s="20"/>
      <c r="N1234" s="20"/>
      <c r="O1234" s="20"/>
      <c r="P1234" s="20"/>
      <c r="Q1234" s="20"/>
      <c r="R1234" s="20"/>
      <c r="S1234" s="20"/>
      <c r="T1234" s="20"/>
      <c r="U1234" s="20"/>
      <c r="V1234" s="20"/>
      <c r="W1234" s="20"/>
      <c r="X1234" s="20"/>
      <c r="Y1234" s="20"/>
      <c r="Z1234" s="20"/>
      <c r="AA1234" s="20"/>
    </row>
    <row r="1235" spans="1:27" ht="104.4" x14ac:dyDescent="0.25">
      <c r="A1235" s="16"/>
      <c r="B1235" s="20" t="b">
        <f ca="1">IFERROR(__xludf.DUMMYFUNCTION("if(D1235=iferror(filter('Character Sheet'!D$13:D3002,'Character Sheet'!D$13:D3002=D1235),""""),True,False)"),FALSE)</f>
        <v>0</v>
      </c>
      <c r="C1235" s="20">
        <v>200</v>
      </c>
      <c r="D1235" s="2" t="s">
        <v>2673</v>
      </c>
      <c r="E1235" s="2" t="s">
        <v>924</v>
      </c>
      <c r="F1235" s="20" t="s">
        <v>60</v>
      </c>
      <c r="G1235" s="2" t="s">
        <v>2674</v>
      </c>
      <c r="H1235" s="16"/>
      <c r="I1235" s="20"/>
      <c r="J1235" s="20"/>
      <c r="K1235" s="20"/>
      <c r="L1235" s="20"/>
      <c r="M1235" s="20"/>
      <c r="N1235" s="20"/>
      <c r="O1235" s="20"/>
      <c r="P1235" s="20"/>
      <c r="Q1235" s="20"/>
      <c r="R1235" s="20"/>
      <c r="S1235" s="20"/>
      <c r="T1235" s="20"/>
      <c r="U1235" s="20"/>
      <c r="V1235" s="20"/>
      <c r="W1235" s="20"/>
      <c r="X1235" s="20"/>
      <c r="Y1235" s="20"/>
      <c r="Z1235" s="20"/>
      <c r="AA1235" s="20"/>
    </row>
    <row r="1236" spans="1:27" ht="104.4" x14ac:dyDescent="0.25">
      <c r="A1236" s="16"/>
      <c r="B1236" s="20" t="b">
        <f ca="1">IFERROR(__xludf.DUMMYFUNCTION("if(D1236=iferror(filter('Character Sheet'!D$13:D3002,'Character Sheet'!D$13:D3002=D1236),""""),True,False)"),FALSE)</f>
        <v>0</v>
      </c>
      <c r="C1236" s="20">
        <v>200</v>
      </c>
      <c r="D1236" s="2" t="s">
        <v>2675</v>
      </c>
      <c r="E1236" s="2" t="s">
        <v>534</v>
      </c>
      <c r="F1236" s="20" t="s">
        <v>60</v>
      </c>
      <c r="G1236" s="2" t="s">
        <v>2676</v>
      </c>
      <c r="H1236" s="16"/>
      <c r="I1236" s="20"/>
      <c r="J1236" s="20"/>
      <c r="K1236" s="20"/>
      <c r="L1236" s="20"/>
      <c r="M1236" s="20"/>
      <c r="N1236" s="20"/>
      <c r="O1236" s="20"/>
      <c r="P1236" s="20"/>
      <c r="Q1236" s="20"/>
      <c r="R1236" s="20"/>
      <c r="S1236" s="20"/>
      <c r="T1236" s="20"/>
      <c r="U1236" s="20"/>
      <c r="V1236" s="20"/>
      <c r="W1236" s="20"/>
      <c r="X1236" s="20"/>
      <c r="Y1236" s="20"/>
      <c r="Z1236" s="20"/>
      <c r="AA1236" s="20"/>
    </row>
    <row r="1237" spans="1:27" ht="156.6" x14ac:dyDescent="0.25">
      <c r="A1237" s="16"/>
      <c r="B1237" s="20" t="b">
        <f ca="1">IFERROR(__xludf.DUMMYFUNCTION("if(D1237=iferror(filter('Character Sheet'!D$13:D3002,'Character Sheet'!D$13:D3002=D1237),""""),True,False)"),FALSE)</f>
        <v>0</v>
      </c>
      <c r="C1237" s="20">
        <v>200</v>
      </c>
      <c r="D1237" s="2" t="s">
        <v>2677</v>
      </c>
      <c r="E1237" s="2" t="s">
        <v>845</v>
      </c>
      <c r="F1237" s="20" t="s">
        <v>60</v>
      </c>
      <c r="G1237" s="2" t="s">
        <v>2678</v>
      </c>
      <c r="H1237" s="16"/>
      <c r="I1237" s="20"/>
      <c r="J1237" s="20"/>
      <c r="K1237" s="20"/>
      <c r="L1237" s="20"/>
      <c r="M1237" s="20"/>
      <c r="N1237" s="20"/>
      <c r="O1237" s="20"/>
      <c r="P1237" s="20"/>
      <c r="Q1237" s="20"/>
      <c r="R1237" s="20"/>
      <c r="S1237" s="20"/>
      <c r="T1237" s="20"/>
      <c r="U1237" s="20"/>
      <c r="V1237" s="20"/>
      <c r="W1237" s="20"/>
      <c r="X1237" s="20"/>
      <c r="Y1237" s="20"/>
      <c r="Z1237" s="20"/>
      <c r="AA1237" s="20"/>
    </row>
    <row r="1238" spans="1:27" ht="52.2" x14ac:dyDescent="0.25">
      <c r="A1238" s="16"/>
      <c r="B1238" s="20" t="b">
        <f ca="1">IFERROR(__xludf.DUMMYFUNCTION("if(D1238=iferror(filter('Character Sheet'!D$13:D3002,'Character Sheet'!D$13:D3002=D1238),""""),True,False)"),FALSE)</f>
        <v>0</v>
      </c>
      <c r="C1238" s="20">
        <v>200</v>
      </c>
      <c r="D1238" s="2" t="s">
        <v>2679</v>
      </c>
      <c r="E1238" s="2" t="s">
        <v>630</v>
      </c>
      <c r="F1238" s="20" t="s">
        <v>60</v>
      </c>
      <c r="G1238" s="2" t="s">
        <v>2680</v>
      </c>
      <c r="H1238" s="16"/>
      <c r="I1238" s="20"/>
      <c r="J1238" s="20"/>
      <c r="K1238" s="20"/>
      <c r="L1238" s="20"/>
      <c r="M1238" s="20"/>
      <c r="N1238" s="20"/>
      <c r="O1238" s="20"/>
      <c r="P1238" s="20"/>
      <c r="Q1238" s="20"/>
      <c r="R1238" s="20"/>
      <c r="S1238" s="20"/>
      <c r="T1238" s="20"/>
      <c r="U1238" s="20"/>
      <c r="V1238" s="20"/>
      <c r="W1238" s="20"/>
      <c r="X1238" s="20"/>
      <c r="Y1238" s="20"/>
      <c r="Z1238" s="20"/>
      <c r="AA1238" s="20"/>
    </row>
    <row r="1239" spans="1:27" ht="121.8" x14ac:dyDescent="0.25">
      <c r="A1239" s="16"/>
      <c r="B1239" s="20" t="b">
        <f ca="1">IFERROR(__xludf.DUMMYFUNCTION("if(D1239=iferror(filter('Character Sheet'!D$13:D3002,'Character Sheet'!D$13:D3002=D1239),""""),True,False)"),FALSE)</f>
        <v>0</v>
      </c>
      <c r="C1239" s="20">
        <v>200</v>
      </c>
      <c r="D1239" s="2" t="s">
        <v>2681</v>
      </c>
      <c r="E1239" s="2" t="s">
        <v>106</v>
      </c>
      <c r="F1239" s="20" t="s">
        <v>60</v>
      </c>
      <c r="G1239" s="2" t="s">
        <v>2682</v>
      </c>
      <c r="H1239" s="16"/>
      <c r="I1239" s="20"/>
      <c r="J1239" s="20"/>
      <c r="K1239" s="20"/>
      <c r="L1239" s="20"/>
      <c r="M1239" s="20"/>
      <c r="N1239" s="20"/>
      <c r="O1239" s="20"/>
      <c r="P1239" s="20"/>
      <c r="Q1239" s="20"/>
      <c r="R1239" s="20"/>
      <c r="S1239" s="20"/>
      <c r="T1239" s="20"/>
      <c r="U1239" s="20"/>
      <c r="V1239" s="20"/>
      <c r="W1239" s="20"/>
      <c r="X1239" s="20"/>
      <c r="Y1239" s="20"/>
      <c r="Z1239" s="20"/>
      <c r="AA1239" s="20"/>
    </row>
    <row r="1240" spans="1:27" ht="121.8" x14ac:dyDescent="0.25">
      <c r="A1240" s="16"/>
      <c r="B1240" s="20" t="b">
        <f ca="1">IFERROR(__xludf.DUMMYFUNCTION("if(D1240=iferror(filter('Character Sheet'!D$13:D3002,'Character Sheet'!D$13:D3002=D1240),""""),True,False)"),FALSE)</f>
        <v>0</v>
      </c>
      <c r="C1240" s="20">
        <v>200</v>
      </c>
      <c r="D1240" s="2" t="s">
        <v>2683</v>
      </c>
      <c r="E1240" s="2" t="s">
        <v>475</v>
      </c>
      <c r="F1240" s="20" t="s">
        <v>60</v>
      </c>
      <c r="G1240" s="2" t="s">
        <v>2684</v>
      </c>
      <c r="H1240" s="16"/>
      <c r="I1240" s="20"/>
      <c r="J1240" s="20"/>
      <c r="K1240" s="20"/>
      <c r="L1240" s="20"/>
      <c r="M1240" s="20"/>
      <c r="N1240" s="20"/>
      <c r="O1240" s="20"/>
      <c r="P1240" s="20"/>
      <c r="Q1240" s="20"/>
      <c r="R1240" s="20"/>
      <c r="S1240" s="20"/>
      <c r="T1240" s="20"/>
      <c r="U1240" s="20"/>
      <c r="V1240" s="20"/>
      <c r="W1240" s="20"/>
      <c r="X1240" s="20"/>
      <c r="Y1240" s="20"/>
      <c r="Z1240" s="20"/>
      <c r="AA1240" s="20"/>
    </row>
    <row r="1241" spans="1:27" ht="104.4" x14ac:dyDescent="0.25">
      <c r="A1241" s="16"/>
      <c r="B1241" s="20" t="b">
        <f ca="1">IFERROR(__xludf.DUMMYFUNCTION("if(D1241=iferror(filter('Character Sheet'!D$13:D3002,'Character Sheet'!D$13:D3002=D1241),""""),True,False)"),FALSE)</f>
        <v>0</v>
      </c>
      <c r="C1241" s="20">
        <v>200</v>
      </c>
      <c r="D1241" s="2" t="s">
        <v>2685</v>
      </c>
      <c r="E1241" s="2" t="s">
        <v>268</v>
      </c>
      <c r="F1241" s="20" t="s">
        <v>60</v>
      </c>
      <c r="G1241" s="2" t="s">
        <v>2686</v>
      </c>
      <c r="H1241" s="16"/>
      <c r="I1241" s="20"/>
      <c r="J1241" s="20"/>
      <c r="K1241" s="20"/>
      <c r="L1241" s="20"/>
      <c r="M1241" s="20"/>
      <c r="N1241" s="20"/>
      <c r="O1241" s="20"/>
      <c r="P1241" s="20"/>
      <c r="Q1241" s="20"/>
      <c r="R1241" s="20"/>
      <c r="S1241" s="20"/>
      <c r="T1241" s="20"/>
      <c r="U1241" s="20"/>
      <c r="V1241" s="20"/>
      <c r="W1241" s="20"/>
      <c r="X1241" s="20"/>
      <c r="Y1241" s="20"/>
      <c r="Z1241" s="20"/>
      <c r="AA1241" s="20"/>
    </row>
    <row r="1242" spans="1:27" ht="104.4" x14ac:dyDescent="0.25">
      <c r="A1242" s="16"/>
      <c r="B1242" s="20" t="b">
        <f ca="1">IFERROR(__xludf.DUMMYFUNCTION("if(D1242=iferror(filter('Character Sheet'!D$13:D3002,'Character Sheet'!D$13:D3002=D1242),""""),True,False)"),FALSE)</f>
        <v>0</v>
      </c>
      <c r="C1242" s="20">
        <v>200</v>
      </c>
      <c r="D1242" s="2" t="s">
        <v>2687</v>
      </c>
      <c r="E1242" s="2" t="s">
        <v>192</v>
      </c>
      <c r="F1242" s="20" t="s">
        <v>60</v>
      </c>
      <c r="G1242" s="2" t="s">
        <v>2688</v>
      </c>
      <c r="H1242" s="16"/>
      <c r="I1242" s="20"/>
      <c r="J1242" s="20"/>
      <c r="K1242" s="20"/>
      <c r="L1242" s="20"/>
      <c r="M1242" s="20"/>
      <c r="N1242" s="20"/>
      <c r="O1242" s="20"/>
      <c r="P1242" s="20"/>
      <c r="Q1242" s="20"/>
      <c r="R1242" s="20"/>
      <c r="S1242" s="20"/>
      <c r="T1242" s="20"/>
      <c r="U1242" s="20"/>
      <c r="V1242" s="20"/>
      <c r="W1242" s="20"/>
      <c r="X1242" s="20"/>
      <c r="Y1242" s="20"/>
      <c r="Z1242" s="20"/>
      <c r="AA1242" s="20"/>
    </row>
    <row r="1243" spans="1:27" ht="243.6" x14ac:dyDescent="0.25">
      <c r="A1243" s="16"/>
      <c r="B1243" s="20" t="b">
        <f ca="1">IFERROR(__xludf.DUMMYFUNCTION("if(D1243=iferror(filter('Character Sheet'!D$13:D3002,'Character Sheet'!D$13:D3002=D1243),""""),True,False)"),FALSE)</f>
        <v>0</v>
      </c>
      <c r="C1243" s="20">
        <v>200</v>
      </c>
      <c r="D1243" s="2" t="s">
        <v>2689</v>
      </c>
      <c r="E1243" s="2" t="s">
        <v>149</v>
      </c>
      <c r="F1243" s="20" t="s">
        <v>60</v>
      </c>
      <c r="G1243" s="2" t="s">
        <v>2690</v>
      </c>
      <c r="H1243" s="16"/>
      <c r="I1243" s="20"/>
      <c r="J1243" s="20"/>
      <c r="K1243" s="20"/>
      <c r="L1243" s="20"/>
      <c r="M1243" s="20"/>
      <c r="N1243" s="20"/>
      <c r="O1243" s="20"/>
      <c r="P1243" s="20"/>
      <c r="Q1243" s="20"/>
      <c r="R1243" s="20"/>
      <c r="S1243" s="20"/>
      <c r="T1243" s="20"/>
      <c r="U1243" s="20"/>
      <c r="V1243" s="20"/>
      <c r="W1243" s="20"/>
      <c r="X1243" s="20"/>
      <c r="Y1243" s="20"/>
      <c r="Z1243" s="20"/>
      <c r="AA1243" s="20"/>
    </row>
    <row r="1244" spans="1:27" ht="69.599999999999994" x14ac:dyDescent="0.25">
      <c r="A1244" s="16"/>
      <c r="B1244" s="20" t="b">
        <f ca="1">IFERROR(__xludf.DUMMYFUNCTION("if(D1244=iferror(filter('Character Sheet'!D$13:D3002,'Character Sheet'!D$13:D3002=D1244),""""),True,False)"),FALSE)</f>
        <v>0</v>
      </c>
      <c r="C1244" s="20">
        <v>300</v>
      </c>
      <c r="D1244" s="2" t="s">
        <v>2691</v>
      </c>
      <c r="E1244" s="2" t="s">
        <v>1116</v>
      </c>
      <c r="F1244" s="20" t="s">
        <v>60</v>
      </c>
      <c r="G1244" s="2" t="s">
        <v>2692</v>
      </c>
      <c r="H1244" s="16"/>
      <c r="I1244" s="20"/>
      <c r="J1244" s="20"/>
      <c r="K1244" s="20"/>
      <c r="L1244" s="20"/>
      <c r="M1244" s="20"/>
      <c r="N1244" s="20"/>
      <c r="O1244" s="20"/>
      <c r="P1244" s="20"/>
      <c r="Q1244" s="20"/>
      <c r="R1244" s="20"/>
      <c r="S1244" s="20"/>
      <c r="T1244" s="20"/>
      <c r="U1244" s="20"/>
      <c r="V1244" s="20"/>
      <c r="W1244" s="20"/>
      <c r="X1244" s="20"/>
      <c r="Y1244" s="20"/>
      <c r="Z1244" s="20"/>
      <c r="AA1244" s="20"/>
    </row>
    <row r="1245" spans="1:27" ht="104.4" x14ac:dyDescent="0.25">
      <c r="A1245" s="16"/>
      <c r="B1245" s="20" t="b">
        <f ca="1">IFERROR(__xludf.DUMMYFUNCTION("if(D1245=iferror(filter('Character Sheet'!D$13:D3002,'Character Sheet'!D$13:D3002=D1245),""""),True,False)"),FALSE)</f>
        <v>0</v>
      </c>
      <c r="C1245" s="20">
        <v>300</v>
      </c>
      <c r="D1245" s="2" t="s">
        <v>2693</v>
      </c>
      <c r="E1245" s="2" t="s">
        <v>394</v>
      </c>
      <c r="F1245" s="20" t="s">
        <v>60</v>
      </c>
      <c r="G1245" s="2" t="s">
        <v>2694</v>
      </c>
      <c r="H1245" s="16"/>
      <c r="I1245" s="20"/>
      <c r="J1245" s="20"/>
      <c r="K1245" s="20"/>
      <c r="L1245" s="20"/>
      <c r="M1245" s="20"/>
      <c r="N1245" s="20"/>
      <c r="O1245" s="20"/>
      <c r="P1245" s="20"/>
      <c r="Q1245" s="20"/>
      <c r="R1245" s="20"/>
      <c r="S1245" s="20"/>
      <c r="T1245" s="20"/>
      <c r="U1245" s="20"/>
      <c r="V1245" s="20"/>
      <c r="W1245" s="20"/>
      <c r="X1245" s="20"/>
      <c r="Y1245" s="20"/>
      <c r="Z1245" s="20"/>
      <c r="AA1245" s="20"/>
    </row>
    <row r="1246" spans="1:27" ht="208.8" x14ac:dyDescent="0.25">
      <c r="A1246" s="16"/>
      <c r="B1246" s="20" t="b">
        <f ca="1">IFERROR(__xludf.DUMMYFUNCTION("if(D1246=iferror(filter('Character Sheet'!D$13:D3002,'Character Sheet'!D$13:D3002=D1246),""""),True,False)"),FALSE)</f>
        <v>0</v>
      </c>
      <c r="C1246" s="20">
        <v>300</v>
      </c>
      <c r="D1246" s="2" t="s">
        <v>2695</v>
      </c>
      <c r="E1246" s="2" t="s">
        <v>731</v>
      </c>
      <c r="F1246" s="20" t="s">
        <v>60</v>
      </c>
      <c r="G1246" s="2" t="s">
        <v>2696</v>
      </c>
      <c r="H1246" s="16"/>
      <c r="I1246" s="20"/>
      <c r="J1246" s="20"/>
      <c r="K1246" s="20"/>
      <c r="L1246" s="20"/>
      <c r="M1246" s="20"/>
      <c r="N1246" s="20"/>
      <c r="O1246" s="20"/>
      <c r="P1246" s="20"/>
      <c r="Q1246" s="20"/>
      <c r="R1246" s="20"/>
      <c r="S1246" s="20"/>
      <c r="T1246" s="20"/>
      <c r="U1246" s="20"/>
      <c r="V1246" s="20"/>
      <c r="W1246" s="20"/>
      <c r="X1246" s="20"/>
      <c r="Y1246" s="20"/>
      <c r="Z1246" s="20"/>
      <c r="AA1246" s="20"/>
    </row>
    <row r="1247" spans="1:27" ht="87" x14ac:dyDescent="0.25">
      <c r="A1247" s="16"/>
      <c r="B1247" s="20" t="b">
        <f ca="1">IFERROR(__xludf.DUMMYFUNCTION("if(D1247=iferror(filter('Character Sheet'!D$13:D3002,'Character Sheet'!D$13:D3002=D1247),""""),True,False)"),FALSE)</f>
        <v>0</v>
      </c>
      <c r="C1247" s="20">
        <v>300</v>
      </c>
      <c r="D1247" s="2" t="s">
        <v>2697</v>
      </c>
      <c r="E1247" s="2" t="s">
        <v>469</v>
      </c>
      <c r="F1247" s="20" t="s">
        <v>60</v>
      </c>
      <c r="G1247" s="2" t="s">
        <v>2698</v>
      </c>
      <c r="H1247" s="16"/>
      <c r="I1247" s="20"/>
      <c r="J1247" s="20"/>
      <c r="K1247" s="20"/>
      <c r="L1247" s="20"/>
      <c r="M1247" s="20"/>
      <c r="N1247" s="20"/>
      <c r="O1247" s="20"/>
      <c r="P1247" s="20"/>
      <c r="Q1247" s="20"/>
      <c r="R1247" s="20"/>
      <c r="S1247" s="20"/>
      <c r="T1247" s="20"/>
      <c r="U1247" s="20"/>
      <c r="V1247" s="20"/>
      <c r="W1247" s="20"/>
      <c r="X1247" s="20"/>
      <c r="Y1247" s="20"/>
      <c r="Z1247" s="20"/>
      <c r="AA1247" s="20"/>
    </row>
    <row r="1248" spans="1:27" ht="139.19999999999999" x14ac:dyDescent="0.25">
      <c r="A1248" s="16"/>
      <c r="B1248" s="20" t="b">
        <f ca="1">IFERROR(__xludf.DUMMYFUNCTION("if(D1248=iferror(filter('Character Sheet'!D$13:D3002,'Character Sheet'!D$13:D3002=D1248),""""),True,False)"),FALSE)</f>
        <v>0</v>
      </c>
      <c r="C1248" s="20">
        <v>300</v>
      </c>
      <c r="D1248" s="2" t="s">
        <v>2699</v>
      </c>
      <c r="E1248" s="2" t="s">
        <v>845</v>
      </c>
      <c r="F1248" s="20" t="s">
        <v>60</v>
      </c>
      <c r="G1248" s="2" t="s">
        <v>2700</v>
      </c>
      <c r="H1248" s="16"/>
      <c r="I1248" s="20"/>
      <c r="J1248" s="20"/>
      <c r="K1248" s="20"/>
      <c r="L1248" s="20"/>
      <c r="M1248" s="20"/>
      <c r="N1248" s="20"/>
      <c r="O1248" s="20"/>
      <c r="P1248" s="20"/>
      <c r="Q1248" s="20"/>
      <c r="R1248" s="20"/>
      <c r="S1248" s="20"/>
      <c r="T1248" s="20"/>
      <c r="U1248" s="20"/>
      <c r="V1248" s="20"/>
      <c r="W1248" s="20"/>
      <c r="X1248" s="20"/>
      <c r="Y1248" s="20"/>
      <c r="Z1248" s="20"/>
      <c r="AA1248" s="20"/>
    </row>
    <row r="1249" spans="1:27" ht="121.8" x14ac:dyDescent="0.25">
      <c r="A1249" s="16"/>
      <c r="B1249" s="20" t="b">
        <f ca="1">IFERROR(__xludf.DUMMYFUNCTION("if(D1249=iferror(filter('Character Sheet'!D$13:D3002,'Character Sheet'!D$13:D3002=D1249),""""),True,False)"),FALSE)</f>
        <v>0</v>
      </c>
      <c r="C1249" s="20">
        <v>300</v>
      </c>
      <c r="D1249" s="2" t="s">
        <v>2701</v>
      </c>
      <c r="E1249" s="2" t="s">
        <v>93</v>
      </c>
      <c r="F1249" s="20" t="s">
        <v>60</v>
      </c>
      <c r="G1249" s="2" t="s">
        <v>2702</v>
      </c>
      <c r="H1249" s="16"/>
      <c r="I1249" s="20"/>
      <c r="J1249" s="20"/>
      <c r="K1249" s="20"/>
      <c r="L1249" s="20"/>
      <c r="M1249" s="20"/>
      <c r="N1249" s="20"/>
      <c r="O1249" s="20"/>
      <c r="P1249" s="20"/>
      <c r="Q1249" s="20"/>
      <c r="R1249" s="20"/>
      <c r="S1249" s="20"/>
      <c r="T1249" s="20"/>
      <c r="U1249" s="20"/>
      <c r="V1249" s="20"/>
      <c r="W1249" s="20"/>
      <c r="X1249" s="20"/>
      <c r="Y1249" s="20"/>
      <c r="Z1249" s="20"/>
      <c r="AA1249" s="20"/>
    </row>
    <row r="1250" spans="1:27" ht="104.4" x14ac:dyDescent="0.25">
      <c r="A1250" s="16"/>
      <c r="B1250" s="20" t="b">
        <f ca="1">IFERROR(__xludf.DUMMYFUNCTION("if(D1250=iferror(filter('Character Sheet'!D$13:D3002,'Character Sheet'!D$13:D3002=D1250),""""),True,False)"),FALSE)</f>
        <v>0</v>
      </c>
      <c r="C1250" s="20">
        <v>300</v>
      </c>
      <c r="D1250" s="2" t="s">
        <v>2703</v>
      </c>
      <c r="E1250" s="2" t="s">
        <v>775</v>
      </c>
      <c r="F1250" s="20" t="s">
        <v>60</v>
      </c>
      <c r="G1250" s="2" t="s">
        <v>2704</v>
      </c>
      <c r="H1250" s="16"/>
      <c r="I1250" s="20"/>
      <c r="J1250" s="20"/>
      <c r="K1250" s="20"/>
      <c r="L1250" s="20"/>
      <c r="M1250" s="20"/>
      <c r="N1250" s="20"/>
      <c r="O1250" s="20"/>
      <c r="P1250" s="20"/>
      <c r="Q1250" s="20"/>
      <c r="R1250" s="20"/>
      <c r="S1250" s="20"/>
      <c r="T1250" s="20"/>
      <c r="U1250" s="20"/>
      <c r="V1250" s="20"/>
      <c r="W1250" s="20"/>
      <c r="X1250" s="20"/>
      <c r="Y1250" s="20"/>
      <c r="Z1250" s="20"/>
      <c r="AA1250" s="20"/>
    </row>
    <row r="1251" spans="1:27" ht="104.4" x14ac:dyDescent="0.25">
      <c r="A1251" s="16"/>
      <c r="B1251" s="20" t="b">
        <f ca="1">IFERROR(__xludf.DUMMYFUNCTION("if(D1251=iferror(filter('Character Sheet'!D$13:D3002,'Character Sheet'!D$13:D3002=D1251),""""),True,False)"),FALSE)</f>
        <v>0</v>
      </c>
      <c r="C1251" s="20">
        <v>300</v>
      </c>
      <c r="D1251" s="2" t="s">
        <v>2705</v>
      </c>
      <c r="E1251" s="2" t="s">
        <v>1554</v>
      </c>
      <c r="F1251" s="20" t="s">
        <v>60</v>
      </c>
      <c r="G1251" s="2" t="s">
        <v>2706</v>
      </c>
      <c r="H1251" s="16"/>
      <c r="I1251" s="20"/>
      <c r="J1251" s="20"/>
      <c r="K1251" s="20"/>
      <c r="L1251" s="20"/>
      <c r="M1251" s="20"/>
      <c r="N1251" s="20"/>
      <c r="O1251" s="20"/>
      <c r="P1251" s="20"/>
      <c r="Q1251" s="20"/>
      <c r="R1251" s="20"/>
      <c r="S1251" s="20"/>
      <c r="T1251" s="20"/>
      <c r="U1251" s="20"/>
      <c r="V1251" s="20"/>
      <c r="W1251" s="20"/>
      <c r="X1251" s="20"/>
      <c r="Y1251" s="20"/>
      <c r="Z1251" s="20"/>
      <c r="AA1251" s="20"/>
    </row>
    <row r="1252" spans="1:27" ht="121.8" x14ac:dyDescent="0.25">
      <c r="A1252" s="16"/>
      <c r="B1252" s="20" t="b">
        <f ca="1">IFERROR(__xludf.DUMMYFUNCTION("if(D1252=iferror(filter('Character Sheet'!D$13:D3002,'Character Sheet'!D$13:D3002=D1252),""""),True,False)"),FALSE)</f>
        <v>0</v>
      </c>
      <c r="C1252" s="20">
        <v>300</v>
      </c>
      <c r="D1252" s="2" t="s">
        <v>2707</v>
      </c>
      <c r="E1252" s="2" t="s">
        <v>355</v>
      </c>
      <c r="F1252" s="20" t="s">
        <v>60</v>
      </c>
      <c r="G1252" s="2" t="s">
        <v>2708</v>
      </c>
      <c r="H1252" s="16"/>
      <c r="I1252" s="20"/>
      <c r="J1252" s="20"/>
      <c r="K1252" s="20"/>
      <c r="L1252" s="20"/>
      <c r="M1252" s="20"/>
      <c r="N1252" s="20"/>
      <c r="O1252" s="20"/>
      <c r="P1252" s="20"/>
      <c r="Q1252" s="20"/>
      <c r="R1252" s="20"/>
      <c r="S1252" s="20"/>
      <c r="T1252" s="20"/>
      <c r="U1252" s="20"/>
      <c r="V1252" s="20"/>
      <c r="W1252" s="20"/>
      <c r="X1252" s="20"/>
      <c r="Y1252" s="20"/>
      <c r="Z1252" s="20"/>
      <c r="AA1252" s="20"/>
    </row>
    <row r="1253" spans="1:27" ht="69.599999999999994" x14ac:dyDescent="0.25">
      <c r="A1253" s="16"/>
      <c r="B1253" s="20" t="b">
        <f ca="1">IFERROR(__xludf.DUMMYFUNCTION("if(D1253=iferror(filter('Character Sheet'!D$13:D3002,'Character Sheet'!D$13:D3002=D1253),""""),True,False)"),FALSE)</f>
        <v>0</v>
      </c>
      <c r="C1253" s="20">
        <v>300</v>
      </c>
      <c r="D1253" s="2" t="s">
        <v>2709</v>
      </c>
      <c r="E1253" s="2" t="s">
        <v>475</v>
      </c>
      <c r="F1253" s="20" t="s">
        <v>60</v>
      </c>
      <c r="G1253" s="2" t="s">
        <v>2710</v>
      </c>
      <c r="H1253" s="16"/>
      <c r="I1253" s="20"/>
      <c r="J1253" s="20"/>
      <c r="K1253" s="20"/>
      <c r="L1253" s="20"/>
      <c r="M1253" s="20"/>
      <c r="N1253" s="20"/>
      <c r="O1253" s="20"/>
      <c r="P1253" s="20"/>
      <c r="Q1253" s="20"/>
      <c r="R1253" s="20"/>
      <c r="S1253" s="20"/>
      <c r="T1253" s="20"/>
      <c r="U1253" s="20"/>
      <c r="V1253" s="20"/>
      <c r="W1253" s="20"/>
      <c r="X1253" s="20"/>
      <c r="Y1253" s="20"/>
      <c r="Z1253" s="20"/>
      <c r="AA1253" s="20"/>
    </row>
    <row r="1254" spans="1:27" ht="104.4" x14ac:dyDescent="0.25">
      <c r="A1254" s="16"/>
      <c r="B1254" s="20" t="b">
        <f ca="1">IFERROR(__xludf.DUMMYFUNCTION("if(D1254=iferror(filter('Character Sheet'!D$13:D3002,'Character Sheet'!D$13:D3002=D1254),""""),True,False)"),FALSE)</f>
        <v>0</v>
      </c>
      <c r="C1254" s="20">
        <v>300</v>
      </c>
      <c r="D1254" s="2" t="s">
        <v>2711</v>
      </c>
      <c r="E1254" s="2" t="s">
        <v>241</v>
      </c>
      <c r="F1254" s="20" t="s">
        <v>60</v>
      </c>
      <c r="G1254" s="2" t="s">
        <v>2712</v>
      </c>
      <c r="H1254" s="16"/>
      <c r="I1254" s="20"/>
      <c r="J1254" s="20"/>
      <c r="K1254" s="20"/>
      <c r="L1254" s="20"/>
      <c r="M1254" s="20"/>
      <c r="N1254" s="20"/>
      <c r="O1254" s="20"/>
      <c r="P1254" s="20"/>
      <c r="Q1254" s="20"/>
      <c r="R1254" s="20"/>
      <c r="S1254" s="20"/>
      <c r="T1254" s="20"/>
      <c r="U1254" s="20"/>
      <c r="V1254" s="20"/>
      <c r="W1254" s="20"/>
      <c r="X1254" s="20"/>
      <c r="Y1254" s="20"/>
      <c r="Z1254" s="20"/>
      <c r="AA1254" s="20"/>
    </row>
    <row r="1255" spans="1:27" ht="87" x14ac:dyDescent="0.25">
      <c r="A1255" s="16"/>
      <c r="B1255" s="20" t="b">
        <f ca="1">IFERROR(__xludf.DUMMYFUNCTION("if(D1255=iferror(filter('Character Sheet'!D$13:D3002,'Character Sheet'!D$13:D3002=D1255),""""),True,False)"),FALSE)</f>
        <v>0</v>
      </c>
      <c r="C1255" s="20">
        <v>300</v>
      </c>
      <c r="D1255" s="2" t="s">
        <v>2713</v>
      </c>
      <c r="E1255" s="2" t="s">
        <v>943</v>
      </c>
      <c r="F1255" s="20" t="s">
        <v>60</v>
      </c>
      <c r="G1255" s="2" t="s">
        <v>2714</v>
      </c>
      <c r="H1255" s="16"/>
      <c r="I1255" s="20"/>
      <c r="J1255" s="20"/>
      <c r="K1255" s="20"/>
      <c r="L1255" s="20"/>
      <c r="M1255" s="20"/>
      <c r="N1255" s="20"/>
      <c r="O1255" s="20"/>
      <c r="P1255" s="20"/>
      <c r="Q1255" s="20"/>
      <c r="R1255" s="20"/>
      <c r="S1255" s="20"/>
      <c r="T1255" s="20"/>
      <c r="U1255" s="20"/>
      <c r="V1255" s="20"/>
      <c r="W1255" s="20"/>
      <c r="X1255" s="20"/>
      <c r="Y1255" s="20"/>
      <c r="Z1255" s="20"/>
      <c r="AA1255" s="20"/>
    </row>
    <row r="1256" spans="1:27" ht="156.6" x14ac:dyDescent="0.25">
      <c r="A1256" s="16"/>
      <c r="B1256" s="20" t="b">
        <f ca="1">IFERROR(__xludf.DUMMYFUNCTION("if(D1256=iferror(filter('Character Sheet'!D$13:D3002,'Character Sheet'!D$13:D3002=D1256),""""),True,False)"),FALSE)</f>
        <v>0</v>
      </c>
      <c r="C1256" s="20">
        <v>300</v>
      </c>
      <c r="D1256" s="2" t="s">
        <v>2715</v>
      </c>
      <c r="E1256" s="2" t="s">
        <v>165</v>
      </c>
      <c r="F1256" s="20" t="s">
        <v>60</v>
      </c>
      <c r="G1256" s="2" t="s">
        <v>2716</v>
      </c>
      <c r="H1256" s="16"/>
      <c r="I1256" s="20"/>
      <c r="J1256" s="20"/>
      <c r="K1256" s="20"/>
      <c r="L1256" s="20"/>
      <c r="M1256" s="20"/>
      <c r="N1256" s="20"/>
      <c r="O1256" s="20"/>
      <c r="P1256" s="20"/>
      <c r="Q1256" s="20"/>
      <c r="R1256" s="20"/>
      <c r="S1256" s="20"/>
      <c r="T1256" s="20"/>
      <c r="U1256" s="20"/>
      <c r="V1256" s="20"/>
      <c r="W1256" s="20"/>
      <c r="X1256" s="20"/>
      <c r="Y1256" s="20"/>
      <c r="Z1256" s="20"/>
      <c r="AA1256" s="20"/>
    </row>
    <row r="1257" spans="1:27" ht="139.19999999999999" x14ac:dyDescent="0.25">
      <c r="A1257" s="16"/>
      <c r="B1257" s="20" t="b">
        <f ca="1">IFERROR(__xludf.DUMMYFUNCTION("if(D1257=iferror(filter('Character Sheet'!D$13:D3002,'Character Sheet'!D$13:D3002=D1257),""""),True,False)"),FALSE)</f>
        <v>0</v>
      </c>
      <c r="C1257" s="20">
        <v>300</v>
      </c>
      <c r="D1257" s="2" t="s">
        <v>2717</v>
      </c>
      <c r="E1257" s="2" t="s">
        <v>704</v>
      </c>
      <c r="F1257" s="20" t="s">
        <v>60</v>
      </c>
      <c r="G1257" s="2" t="s">
        <v>2718</v>
      </c>
      <c r="H1257" s="16"/>
      <c r="I1257" s="20"/>
      <c r="J1257" s="20"/>
      <c r="K1257" s="20"/>
      <c r="L1257" s="20"/>
      <c r="M1257" s="20"/>
      <c r="N1257" s="20"/>
      <c r="O1257" s="20"/>
      <c r="P1257" s="20"/>
      <c r="Q1257" s="20"/>
      <c r="R1257" s="20"/>
      <c r="S1257" s="20"/>
      <c r="T1257" s="20"/>
      <c r="U1257" s="20"/>
      <c r="V1257" s="20"/>
      <c r="W1257" s="20"/>
      <c r="X1257" s="20"/>
      <c r="Y1257" s="20"/>
      <c r="Z1257" s="20"/>
      <c r="AA1257" s="20"/>
    </row>
    <row r="1258" spans="1:27" ht="121.8" x14ac:dyDescent="0.25">
      <c r="A1258" s="16"/>
      <c r="B1258" s="20" t="b">
        <f ca="1">IFERROR(__xludf.DUMMYFUNCTION("if(D1258=iferror(filter('Character Sheet'!D$13:D3002,'Character Sheet'!D$13:D3002=D1258),""""),True,False)"),FALSE)</f>
        <v>0</v>
      </c>
      <c r="C1258" s="20">
        <v>300</v>
      </c>
      <c r="D1258" s="2" t="s">
        <v>2719</v>
      </c>
      <c r="E1258" s="2" t="s">
        <v>366</v>
      </c>
      <c r="F1258" s="20" t="s">
        <v>60</v>
      </c>
      <c r="G1258" s="2" t="s">
        <v>2720</v>
      </c>
      <c r="H1258" s="16"/>
      <c r="I1258" s="20"/>
      <c r="J1258" s="20"/>
      <c r="K1258" s="20"/>
      <c r="L1258" s="20"/>
      <c r="M1258" s="20"/>
      <c r="N1258" s="20"/>
      <c r="O1258" s="20"/>
      <c r="P1258" s="20"/>
      <c r="Q1258" s="20"/>
      <c r="R1258" s="20"/>
      <c r="S1258" s="20"/>
      <c r="T1258" s="20"/>
      <c r="U1258" s="20"/>
      <c r="V1258" s="20"/>
      <c r="W1258" s="20"/>
      <c r="X1258" s="20"/>
      <c r="Y1258" s="20"/>
      <c r="Z1258" s="20"/>
      <c r="AA1258" s="20"/>
    </row>
    <row r="1259" spans="1:27" ht="208.8" x14ac:dyDescent="0.25">
      <c r="A1259" s="16"/>
      <c r="B1259" s="20" t="b">
        <f ca="1">IFERROR(__xludf.DUMMYFUNCTION("if(D1259=iferror(filter('Character Sheet'!D$13:D3002,'Character Sheet'!D$13:D3002=D1259),""""),True,False)"),FALSE)</f>
        <v>0</v>
      </c>
      <c r="C1259" s="20">
        <v>300</v>
      </c>
      <c r="D1259" s="2" t="s">
        <v>2721</v>
      </c>
      <c r="E1259" s="2" t="s">
        <v>413</v>
      </c>
      <c r="F1259" s="20" t="s">
        <v>60</v>
      </c>
      <c r="G1259" s="2" t="s">
        <v>2722</v>
      </c>
      <c r="H1259" s="16"/>
      <c r="I1259" s="20"/>
      <c r="J1259" s="20"/>
      <c r="K1259" s="20"/>
      <c r="L1259" s="20"/>
      <c r="M1259" s="20"/>
      <c r="N1259" s="20"/>
      <c r="O1259" s="20"/>
      <c r="P1259" s="20"/>
      <c r="Q1259" s="20"/>
      <c r="R1259" s="20"/>
      <c r="S1259" s="20"/>
      <c r="T1259" s="20"/>
      <c r="U1259" s="20"/>
      <c r="V1259" s="20"/>
      <c r="W1259" s="20"/>
      <c r="X1259" s="20"/>
      <c r="Y1259" s="20"/>
      <c r="Z1259" s="20"/>
      <c r="AA1259" s="20"/>
    </row>
    <row r="1260" spans="1:27" ht="139.19999999999999" x14ac:dyDescent="0.25">
      <c r="A1260" s="16"/>
      <c r="B1260" s="20" t="b">
        <f ca="1">IFERROR(__xludf.DUMMYFUNCTION("if(D1260=iferror(filter('Character Sheet'!D$13:D3002,'Character Sheet'!D$13:D3002=D1260),""""),True,False)"),FALSE)</f>
        <v>0</v>
      </c>
      <c r="C1260" s="20">
        <v>300</v>
      </c>
      <c r="D1260" s="2" t="s">
        <v>2723</v>
      </c>
      <c r="E1260" s="2" t="s">
        <v>159</v>
      </c>
      <c r="F1260" s="20" t="s">
        <v>60</v>
      </c>
      <c r="G1260" s="2" t="s">
        <v>2724</v>
      </c>
      <c r="H1260" s="16"/>
      <c r="I1260" s="20"/>
      <c r="J1260" s="20"/>
      <c r="K1260" s="20"/>
      <c r="L1260" s="20"/>
      <c r="M1260" s="20"/>
      <c r="N1260" s="20"/>
      <c r="O1260" s="20"/>
      <c r="P1260" s="20"/>
      <c r="Q1260" s="20"/>
      <c r="R1260" s="20"/>
      <c r="S1260" s="20"/>
      <c r="T1260" s="20"/>
      <c r="U1260" s="20"/>
      <c r="V1260" s="20"/>
      <c r="W1260" s="20"/>
      <c r="X1260" s="20"/>
      <c r="Y1260" s="20"/>
      <c r="Z1260" s="20"/>
      <c r="AA1260" s="20"/>
    </row>
    <row r="1261" spans="1:27" ht="69.599999999999994" x14ac:dyDescent="0.25">
      <c r="A1261" s="16"/>
      <c r="B1261" s="20" t="b">
        <f ca="1">IFERROR(__xludf.DUMMYFUNCTION("if(D1261=iferror(filter('Character Sheet'!D$13:D3002,'Character Sheet'!D$13:D3002=D1261),""""),True,False)"),FALSE)</f>
        <v>0</v>
      </c>
      <c r="C1261" s="20">
        <v>300</v>
      </c>
      <c r="D1261" s="2" t="s">
        <v>2725</v>
      </c>
      <c r="E1261" s="2" t="s">
        <v>394</v>
      </c>
      <c r="F1261" s="20" t="s">
        <v>60</v>
      </c>
      <c r="G1261" s="2" t="s">
        <v>2726</v>
      </c>
      <c r="H1261" s="16"/>
      <c r="I1261" s="20"/>
      <c r="J1261" s="20"/>
      <c r="K1261" s="20"/>
      <c r="L1261" s="20"/>
      <c r="M1261" s="20"/>
      <c r="N1261" s="20"/>
      <c r="O1261" s="20"/>
      <c r="P1261" s="20"/>
      <c r="Q1261" s="20"/>
      <c r="R1261" s="20"/>
      <c r="S1261" s="20"/>
      <c r="T1261" s="20"/>
      <c r="U1261" s="20"/>
      <c r="V1261" s="20"/>
      <c r="W1261" s="20"/>
      <c r="X1261" s="20"/>
      <c r="Y1261" s="20"/>
      <c r="Z1261" s="20"/>
      <c r="AA1261" s="20"/>
    </row>
    <row r="1262" spans="1:27" ht="156.6" x14ac:dyDescent="0.25">
      <c r="A1262" s="16"/>
      <c r="B1262" s="20" t="b">
        <f ca="1">IFERROR(__xludf.DUMMYFUNCTION("if(D1262=iferror(filter('Character Sheet'!D$13:D3002,'Character Sheet'!D$13:D3002=D1262),""""),True,False)"),FALSE)</f>
        <v>0</v>
      </c>
      <c r="C1262" s="20">
        <v>300</v>
      </c>
      <c r="D1262" s="2" t="s">
        <v>2727</v>
      </c>
      <c r="E1262" s="2" t="s">
        <v>322</v>
      </c>
      <c r="F1262" s="20" t="s">
        <v>60</v>
      </c>
      <c r="G1262" s="2" t="s">
        <v>2728</v>
      </c>
      <c r="H1262" s="16"/>
      <c r="I1262" s="20"/>
      <c r="J1262" s="20"/>
      <c r="K1262" s="20"/>
      <c r="L1262" s="20"/>
      <c r="M1262" s="20"/>
      <c r="N1262" s="20"/>
      <c r="O1262" s="20"/>
      <c r="P1262" s="20"/>
      <c r="Q1262" s="20"/>
      <c r="R1262" s="20"/>
      <c r="S1262" s="20"/>
      <c r="T1262" s="20"/>
      <c r="U1262" s="20"/>
      <c r="V1262" s="20"/>
      <c r="W1262" s="20"/>
      <c r="X1262" s="20"/>
      <c r="Y1262" s="20"/>
      <c r="Z1262" s="20"/>
      <c r="AA1262" s="20"/>
    </row>
    <row r="1263" spans="1:27" ht="226.2" x14ac:dyDescent="0.25">
      <c r="A1263" s="16"/>
      <c r="B1263" s="20" t="b">
        <f ca="1">IFERROR(__xludf.DUMMYFUNCTION("if(D1263=iferror(filter('Character Sheet'!D$13:D3002,'Character Sheet'!D$13:D3002=D1263),""""),True,False)"),FALSE)</f>
        <v>0</v>
      </c>
      <c r="C1263" s="20">
        <v>300</v>
      </c>
      <c r="D1263" s="2" t="s">
        <v>2729</v>
      </c>
      <c r="E1263" s="2" t="s">
        <v>413</v>
      </c>
      <c r="F1263" s="20" t="s">
        <v>60</v>
      </c>
      <c r="G1263" s="2" t="s">
        <v>2730</v>
      </c>
      <c r="H1263" s="16"/>
      <c r="I1263" s="20"/>
      <c r="J1263" s="20"/>
      <c r="K1263" s="20"/>
      <c r="L1263" s="20"/>
      <c r="M1263" s="20"/>
      <c r="N1263" s="20"/>
      <c r="O1263" s="20"/>
      <c r="P1263" s="20"/>
      <c r="Q1263" s="20"/>
      <c r="R1263" s="20"/>
      <c r="S1263" s="20"/>
      <c r="T1263" s="20"/>
      <c r="U1263" s="20"/>
      <c r="V1263" s="20"/>
      <c r="W1263" s="20"/>
      <c r="X1263" s="20"/>
      <c r="Y1263" s="20"/>
      <c r="Z1263" s="20"/>
      <c r="AA1263" s="20"/>
    </row>
    <row r="1264" spans="1:27" ht="69.599999999999994" x14ac:dyDescent="0.25">
      <c r="A1264" s="16"/>
      <c r="B1264" s="20" t="b">
        <f ca="1">IFERROR(__xludf.DUMMYFUNCTION("if(D1264=iferror(filter('Character Sheet'!D$13:D3002,'Character Sheet'!D$13:D3002=D1264),""""),True,False)"),FALSE)</f>
        <v>0</v>
      </c>
      <c r="C1264" s="20">
        <v>300</v>
      </c>
      <c r="D1264" s="2" t="s">
        <v>2731</v>
      </c>
      <c r="E1264" s="2" t="s">
        <v>2567</v>
      </c>
      <c r="F1264" s="20" t="s">
        <v>60</v>
      </c>
      <c r="G1264" s="2" t="s">
        <v>2732</v>
      </c>
      <c r="H1264" s="16"/>
      <c r="I1264" s="20"/>
      <c r="J1264" s="20"/>
      <c r="K1264" s="20"/>
      <c r="L1264" s="20"/>
      <c r="M1264" s="20"/>
      <c r="N1264" s="20"/>
      <c r="O1264" s="20"/>
      <c r="P1264" s="20"/>
      <c r="Q1264" s="20"/>
      <c r="R1264" s="20"/>
      <c r="S1264" s="20"/>
      <c r="T1264" s="20"/>
      <c r="U1264" s="20"/>
      <c r="V1264" s="20"/>
      <c r="W1264" s="20"/>
      <c r="X1264" s="20"/>
      <c r="Y1264" s="20"/>
      <c r="Z1264" s="20"/>
      <c r="AA1264" s="20"/>
    </row>
    <row r="1265" spans="1:27" ht="295.8" x14ac:dyDescent="0.25">
      <c r="A1265" s="16"/>
      <c r="B1265" s="20" t="b">
        <f ca="1">IFERROR(__xludf.DUMMYFUNCTION("if(D1265=iferror(filter('Character Sheet'!D$13:D3002,'Character Sheet'!D$13:D3002=D1265),""""),True,False)"),FALSE)</f>
        <v>0</v>
      </c>
      <c r="C1265" s="20">
        <v>300</v>
      </c>
      <c r="D1265" s="2" t="s">
        <v>2733</v>
      </c>
      <c r="E1265" s="2" t="s">
        <v>250</v>
      </c>
      <c r="F1265" s="20" t="s">
        <v>60</v>
      </c>
      <c r="G1265" s="2" t="s">
        <v>2734</v>
      </c>
      <c r="H1265" s="16"/>
      <c r="I1265" s="20"/>
      <c r="J1265" s="20"/>
      <c r="K1265" s="20"/>
      <c r="L1265" s="20"/>
      <c r="M1265" s="20"/>
      <c r="N1265" s="20"/>
      <c r="O1265" s="20"/>
      <c r="P1265" s="20"/>
      <c r="Q1265" s="20"/>
      <c r="R1265" s="20"/>
      <c r="S1265" s="20"/>
      <c r="T1265" s="20"/>
      <c r="U1265" s="20"/>
      <c r="V1265" s="20"/>
      <c r="W1265" s="20"/>
      <c r="X1265" s="20"/>
      <c r="Y1265" s="20"/>
      <c r="Z1265" s="20"/>
      <c r="AA1265" s="20"/>
    </row>
    <row r="1266" spans="1:27" ht="208.8" x14ac:dyDescent="0.25">
      <c r="A1266" s="16"/>
      <c r="B1266" s="20" t="b">
        <f ca="1">IFERROR(__xludf.DUMMYFUNCTION("if(D1266=iferror(filter('Character Sheet'!D$13:D3002,'Character Sheet'!D$13:D3002=D1266),""""),True,False)"),FALSE)</f>
        <v>0</v>
      </c>
      <c r="C1266" s="20">
        <v>300</v>
      </c>
      <c r="D1266" s="2" t="s">
        <v>2735</v>
      </c>
      <c r="E1266" s="2" t="s">
        <v>958</v>
      </c>
      <c r="F1266" s="20" t="s">
        <v>60</v>
      </c>
      <c r="G1266" s="2" t="s">
        <v>2736</v>
      </c>
      <c r="H1266" s="16"/>
      <c r="I1266" s="20"/>
      <c r="J1266" s="20"/>
      <c r="K1266" s="20"/>
      <c r="L1266" s="20"/>
      <c r="M1266" s="20"/>
      <c r="N1266" s="20"/>
      <c r="O1266" s="20"/>
      <c r="P1266" s="20"/>
      <c r="Q1266" s="20"/>
      <c r="R1266" s="20"/>
      <c r="S1266" s="20"/>
      <c r="T1266" s="20"/>
      <c r="U1266" s="20"/>
      <c r="V1266" s="20"/>
      <c r="W1266" s="20"/>
      <c r="X1266" s="20"/>
      <c r="Y1266" s="20"/>
      <c r="Z1266" s="20"/>
      <c r="AA1266" s="20"/>
    </row>
    <row r="1267" spans="1:27" ht="104.4" x14ac:dyDescent="0.25">
      <c r="A1267" s="16"/>
      <c r="B1267" s="20" t="b">
        <f ca="1">IFERROR(__xludf.DUMMYFUNCTION("if(D1267=iferror(filter('Character Sheet'!D$13:D3002,'Character Sheet'!D$13:D3002=D1267),""""),True,False)"),FALSE)</f>
        <v>0</v>
      </c>
      <c r="C1267" s="20">
        <v>300</v>
      </c>
      <c r="D1267" s="2" t="s">
        <v>2737</v>
      </c>
      <c r="E1267" s="2" t="s">
        <v>162</v>
      </c>
      <c r="F1267" s="20" t="s">
        <v>60</v>
      </c>
      <c r="G1267" s="2" t="s">
        <v>2738</v>
      </c>
      <c r="H1267" s="16"/>
      <c r="I1267" s="20"/>
      <c r="J1267" s="20"/>
      <c r="K1267" s="20"/>
      <c r="L1267" s="20"/>
      <c r="M1267" s="20"/>
      <c r="N1267" s="20"/>
      <c r="O1267" s="20"/>
      <c r="P1267" s="20"/>
      <c r="Q1267" s="20"/>
      <c r="R1267" s="20"/>
      <c r="S1267" s="20"/>
      <c r="T1267" s="20"/>
      <c r="U1267" s="20"/>
      <c r="V1267" s="20"/>
      <c r="W1267" s="20"/>
      <c r="X1267" s="20"/>
      <c r="Y1267" s="20"/>
      <c r="Z1267" s="20"/>
      <c r="AA1267" s="20"/>
    </row>
    <row r="1268" spans="1:27" ht="208.8" x14ac:dyDescent="0.25">
      <c r="A1268" s="16"/>
      <c r="B1268" s="20" t="b">
        <f ca="1">IFERROR(__xludf.DUMMYFUNCTION("if(D1268=iferror(filter('Character Sheet'!D$13:D3002,'Character Sheet'!D$13:D3002=D1268),""""),True,False)"),FALSE)</f>
        <v>0</v>
      </c>
      <c r="C1268" s="20">
        <v>300</v>
      </c>
      <c r="D1268" s="2" t="s">
        <v>2739</v>
      </c>
      <c r="E1268" s="2" t="s">
        <v>331</v>
      </c>
      <c r="F1268" s="20" t="s">
        <v>60</v>
      </c>
      <c r="G1268" s="2" t="s">
        <v>2740</v>
      </c>
      <c r="H1268" s="16"/>
      <c r="I1268" s="20"/>
      <c r="J1268" s="20"/>
      <c r="K1268" s="20"/>
      <c r="L1268" s="20"/>
      <c r="M1268" s="20"/>
      <c r="N1268" s="20"/>
      <c r="O1268" s="20"/>
      <c r="P1268" s="20"/>
      <c r="Q1268" s="20"/>
      <c r="R1268" s="20"/>
      <c r="S1268" s="20"/>
      <c r="T1268" s="20"/>
      <c r="U1268" s="20"/>
      <c r="V1268" s="20"/>
      <c r="W1268" s="20"/>
      <c r="X1268" s="20"/>
      <c r="Y1268" s="20"/>
      <c r="Z1268" s="20"/>
      <c r="AA1268" s="20"/>
    </row>
    <row r="1269" spans="1:27" ht="278.39999999999998" x14ac:dyDescent="0.25">
      <c r="A1269" s="16"/>
      <c r="B1269" s="20" t="b">
        <f ca="1">IFERROR(__xludf.DUMMYFUNCTION("if(D1269=iferror(filter('Character Sheet'!D$13:D3002,'Character Sheet'!D$13:D3002=D1269),""""),True,False)"),FALSE)</f>
        <v>0</v>
      </c>
      <c r="C1269" s="20">
        <v>300</v>
      </c>
      <c r="D1269" s="2" t="s">
        <v>2741</v>
      </c>
      <c r="E1269" s="2" t="s">
        <v>298</v>
      </c>
      <c r="F1269" s="20" t="s">
        <v>60</v>
      </c>
      <c r="G1269" s="2" t="s">
        <v>2742</v>
      </c>
      <c r="H1269" s="16"/>
      <c r="I1269" s="20"/>
      <c r="J1269" s="20"/>
      <c r="K1269" s="20"/>
      <c r="L1269" s="20"/>
      <c r="M1269" s="20"/>
      <c r="N1269" s="20"/>
      <c r="O1269" s="20"/>
      <c r="P1269" s="20"/>
      <c r="Q1269" s="20"/>
      <c r="R1269" s="20"/>
      <c r="S1269" s="20"/>
      <c r="T1269" s="20"/>
      <c r="U1269" s="20"/>
      <c r="V1269" s="20"/>
      <c r="W1269" s="20"/>
      <c r="X1269" s="20"/>
      <c r="Y1269" s="20"/>
      <c r="Z1269" s="20"/>
      <c r="AA1269" s="20"/>
    </row>
    <row r="1270" spans="1:27" ht="156.6" x14ac:dyDescent="0.25">
      <c r="A1270" s="16"/>
      <c r="B1270" s="20" t="b">
        <f ca="1">IFERROR(__xludf.DUMMYFUNCTION("if(D1270=iferror(filter('Character Sheet'!D$13:D3002,'Character Sheet'!D$13:D3002=D1270),""""),True,False)"),FALSE)</f>
        <v>0</v>
      </c>
      <c r="C1270" s="20">
        <v>300</v>
      </c>
      <c r="D1270" s="2" t="s">
        <v>2743</v>
      </c>
      <c r="E1270" s="2" t="s">
        <v>159</v>
      </c>
      <c r="F1270" s="20" t="s">
        <v>60</v>
      </c>
      <c r="G1270" s="2" t="s">
        <v>2744</v>
      </c>
      <c r="H1270" s="16"/>
      <c r="I1270" s="20"/>
      <c r="J1270" s="20"/>
      <c r="K1270" s="20"/>
      <c r="L1270" s="20"/>
      <c r="M1270" s="20"/>
      <c r="N1270" s="20"/>
      <c r="O1270" s="20"/>
      <c r="P1270" s="20"/>
      <c r="Q1270" s="20"/>
      <c r="R1270" s="20"/>
      <c r="S1270" s="20"/>
      <c r="T1270" s="20"/>
      <c r="U1270" s="20"/>
      <c r="V1270" s="20"/>
      <c r="W1270" s="20"/>
      <c r="X1270" s="20"/>
      <c r="Y1270" s="20"/>
      <c r="Z1270" s="20"/>
      <c r="AA1270" s="20"/>
    </row>
    <row r="1271" spans="1:27" ht="104.4" x14ac:dyDescent="0.25">
      <c r="A1271" s="16"/>
      <c r="B1271" s="20" t="b">
        <f ca="1">IFERROR(__xludf.DUMMYFUNCTION("if(D1271=iferror(filter('Character Sheet'!D$13:D3002,'Character Sheet'!D$13:D3002=D1271),""""),True,False)"),FALSE)</f>
        <v>0</v>
      </c>
      <c r="C1271" s="20">
        <v>300</v>
      </c>
      <c r="D1271" s="2" t="s">
        <v>2745</v>
      </c>
      <c r="E1271" s="2" t="s">
        <v>475</v>
      </c>
      <c r="F1271" s="20" t="s">
        <v>60</v>
      </c>
      <c r="G1271" s="2" t="s">
        <v>2746</v>
      </c>
      <c r="H1271" s="16"/>
      <c r="I1271" s="20"/>
      <c r="J1271" s="20"/>
      <c r="K1271" s="20"/>
      <c r="L1271" s="20"/>
      <c r="M1271" s="20"/>
      <c r="N1271" s="20"/>
      <c r="O1271" s="20"/>
      <c r="P1271" s="20"/>
      <c r="Q1271" s="20"/>
      <c r="R1271" s="20"/>
      <c r="S1271" s="20"/>
      <c r="T1271" s="20"/>
      <c r="U1271" s="20"/>
      <c r="V1271" s="20"/>
      <c r="W1271" s="20"/>
      <c r="X1271" s="20"/>
      <c r="Y1271" s="20"/>
      <c r="Z1271" s="20"/>
      <c r="AA1271" s="20"/>
    </row>
    <row r="1272" spans="1:27" ht="87" x14ac:dyDescent="0.25">
      <c r="A1272" s="16"/>
      <c r="B1272" s="20" t="b">
        <f ca="1">IFERROR(__xludf.DUMMYFUNCTION("if(D1272=iferror(filter('Character Sheet'!D$13:D3002,'Character Sheet'!D$13:D3002=D1272),""""),True,False)"),FALSE)</f>
        <v>0</v>
      </c>
      <c r="C1272" s="20">
        <v>300</v>
      </c>
      <c r="D1272" s="2" t="s">
        <v>2747</v>
      </c>
      <c r="E1272" s="2" t="s">
        <v>442</v>
      </c>
      <c r="F1272" s="20" t="s">
        <v>60</v>
      </c>
      <c r="G1272" s="2" t="s">
        <v>2748</v>
      </c>
      <c r="H1272" s="16"/>
      <c r="I1272" s="20"/>
      <c r="J1272" s="20"/>
      <c r="K1272" s="20"/>
      <c r="L1272" s="20"/>
      <c r="M1272" s="20"/>
      <c r="N1272" s="20"/>
      <c r="O1272" s="20"/>
      <c r="P1272" s="20"/>
      <c r="Q1272" s="20"/>
      <c r="R1272" s="20"/>
      <c r="S1272" s="20"/>
      <c r="T1272" s="20"/>
      <c r="U1272" s="20"/>
      <c r="V1272" s="20"/>
      <c r="W1272" s="20"/>
      <c r="X1272" s="20"/>
      <c r="Y1272" s="20"/>
      <c r="Z1272" s="20"/>
      <c r="AA1272" s="20"/>
    </row>
    <row r="1273" spans="1:27" ht="87" x14ac:dyDescent="0.25">
      <c r="A1273" s="16"/>
      <c r="B1273" s="20" t="b">
        <f ca="1">IFERROR(__xludf.DUMMYFUNCTION("if(D1273=iferror(filter('Character Sheet'!D$13:D3002,'Character Sheet'!D$13:D3002=D1273),""""),True,False)"),FALSE)</f>
        <v>0</v>
      </c>
      <c r="C1273" s="20">
        <v>300</v>
      </c>
      <c r="D1273" s="2" t="s">
        <v>2749</v>
      </c>
      <c r="E1273" s="2" t="s">
        <v>253</v>
      </c>
      <c r="F1273" s="20" t="s">
        <v>60</v>
      </c>
      <c r="G1273" s="2" t="s">
        <v>2750</v>
      </c>
      <c r="H1273" s="16"/>
      <c r="I1273" s="20"/>
      <c r="J1273" s="20"/>
      <c r="K1273" s="20"/>
      <c r="L1273" s="20"/>
      <c r="M1273" s="20"/>
      <c r="N1273" s="20"/>
      <c r="O1273" s="20"/>
      <c r="P1273" s="20"/>
      <c r="Q1273" s="20"/>
      <c r="R1273" s="20"/>
      <c r="S1273" s="20"/>
      <c r="T1273" s="20"/>
      <c r="U1273" s="20"/>
      <c r="V1273" s="20"/>
      <c r="W1273" s="20"/>
      <c r="X1273" s="20"/>
      <c r="Y1273" s="20"/>
      <c r="Z1273" s="20"/>
      <c r="AA1273" s="20"/>
    </row>
    <row r="1274" spans="1:27" ht="104.4" x14ac:dyDescent="0.25">
      <c r="A1274" s="16"/>
      <c r="B1274" s="20" t="b">
        <f ca="1">IFERROR(__xludf.DUMMYFUNCTION("if(D1274=iferror(filter('Character Sheet'!D$13:D3002,'Character Sheet'!D$13:D3002=D1274),""""),True,False)"),FALSE)</f>
        <v>0</v>
      </c>
      <c r="C1274" s="20">
        <v>300</v>
      </c>
      <c r="D1274" s="2" t="s">
        <v>2751</v>
      </c>
      <c r="E1274" s="2" t="s">
        <v>277</v>
      </c>
      <c r="F1274" s="20" t="s">
        <v>60</v>
      </c>
      <c r="G1274" s="2" t="s">
        <v>2752</v>
      </c>
      <c r="H1274" s="16"/>
      <c r="I1274" s="20"/>
      <c r="J1274" s="20"/>
      <c r="K1274" s="20"/>
      <c r="L1274" s="20"/>
      <c r="M1274" s="20"/>
      <c r="N1274" s="20"/>
      <c r="O1274" s="20"/>
      <c r="P1274" s="20"/>
      <c r="Q1274" s="20"/>
      <c r="R1274" s="20"/>
      <c r="S1274" s="20"/>
      <c r="T1274" s="20"/>
      <c r="U1274" s="20"/>
      <c r="V1274" s="20"/>
      <c r="W1274" s="20"/>
      <c r="X1274" s="20"/>
      <c r="Y1274" s="20"/>
      <c r="Z1274" s="20"/>
      <c r="AA1274" s="20"/>
    </row>
    <row r="1275" spans="1:27" ht="174" x14ac:dyDescent="0.25">
      <c r="A1275" s="16"/>
      <c r="B1275" s="20" t="b">
        <f ca="1">IFERROR(__xludf.DUMMYFUNCTION("if(D1275=iferror(filter('Character Sheet'!D$13:D3002,'Character Sheet'!D$13:D3002=D1275),""""),True,False)"),FALSE)</f>
        <v>0</v>
      </c>
      <c r="C1275" s="20">
        <v>400</v>
      </c>
      <c r="D1275" s="2" t="s">
        <v>2753</v>
      </c>
      <c r="E1275" s="2" t="s">
        <v>303</v>
      </c>
      <c r="F1275" s="20" t="s">
        <v>60</v>
      </c>
      <c r="G1275" s="2" t="s">
        <v>2754</v>
      </c>
      <c r="H1275" s="16"/>
      <c r="I1275" s="20"/>
      <c r="J1275" s="20"/>
      <c r="K1275" s="20"/>
      <c r="L1275" s="20"/>
      <c r="M1275" s="20"/>
      <c r="N1275" s="20"/>
      <c r="O1275" s="20"/>
      <c r="P1275" s="20"/>
      <c r="Q1275" s="20"/>
      <c r="R1275" s="20"/>
      <c r="S1275" s="20"/>
      <c r="T1275" s="20"/>
      <c r="U1275" s="20"/>
      <c r="V1275" s="20"/>
      <c r="W1275" s="20"/>
      <c r="X1275" s="20"/>
      <c r="Y1275" s="20"/>
      <c r="Z1275" s="20"/>
      <c r="AA1275" s="20"/>
    </row>
    <row r="1276" spans="1:27" ht="104.4" x14ac:dyDescent="0.25">
      <c r="A1276" s="16"/>
      <c r="B1276" s="20" t="b">
        <f ca="1">IFERROR(__xludf.DUMMYFUNCTION("if(D1276=iferror(filter('Character Sheet'!D$13:D3002,'Character Sheet'!D$13:D3002=D1276),""""),True,False)"),FALSE)</f>
        <v>0</v>
      </c>
      <c r="C1276" s="20">
        <v>400</v>
      </c>
      <c r="D1276" s="2" t="s">
        <v>2755</v>
      </c>
      <c r="E1276" s="2" t="s">
        <v>208</v>
      </c>
      <c r="F1276" s="20" t="s">
        <v>60</v>
      </c>
      <c r="G1276" s="2" t="s">
        <v>2756</v>
      </c>
      <c r="H1276" s="16"/>
      <c r="I1276" s="20"/>
      <c r="J1276" s="20"/>
      <c r="K1276" s="20"/>
      <c r="L1276" s="20"/>
      <c r="M1276" s="20"/>
      <c r="N1276" s="20"/>
      <c r="O1276" s="20"/>
      <c r="P1276" s="20"/>
      <c r="Q1276" s="20"/>
      <c r="R1276" s="20"/>
      <c r="S1276" s="20"/>
      <c r="T1276" s="20"/>
      <c r="U1276" s="20"/>
      <c r="V1276" s="20"/>
      <c r="W1276" s="20"/>
      <c r="X1276" s="20"/>
      <c r="Y1276" s="20"/>
      <c r="Z1276" s="20"/>
      <c r="AA1276" s="20"/>
    </row>
    <row r="1277" spans="1:27" ht="139.19999999999999" x14ac:dyDescent="0.25">
      <c r="A1277" s="16"/>
      <c r="B1277" s="20" t="b">
        <f ca="1">IFERROR(__xludf.DUMMYFUNCTION("if(D1277=iferror(filter('Character Sheet'!D$13:D3002,'Character Sheet'!D$13:D3002=D1277),""""),True,False)"),FALSE)</f>
        <v>0</v>
      </c>
      <c r="C1277" s="20">
        <v>400</v>
      </c>
      <c r="D1277" s="2" t="s">
        <v>2757</v>
      </c>
      <c r="E1277" s="2" t="s">
        <v>87</v>
      </c>
      <c r="F1277" s="20" t="s">
        <v>60</v>
      </c>
      <c r="G1277" s="2" t="s">
        <v>2758</v>
      </c>
      <c r="H1277" s="16"/>
      <c r="I1277" s="20"/>
      <c r="J1277" s="20"/>
      <c r="K1277" s="20"/>
      <c r="L1277" s="20"/>
      <c r="M1277" s="20"/>
      <c r="N1277" s="20"/>
      <c r="O1277" s="20"/>
      <c r="P1277" s="20"/>
      <c r="Q1277" s="20"/>
      <c r="R1277" s="20"/>
      <c r="S1277" s="20"/>
      <c r="T1277" s="20"/>
      <c r="U1277" s="20"/>
      <c r="V1277" s="20"/>
      <c r="W1277" s="20"/>
      <c r="X1277" s="20"/>
      <c r="Y1277" s="20"/>
      <c r="Z1277" s="20"/>
      <c r="AA1277" s="20"/>
    </row>
    <row r="1278" spans="1:27" ht="139.19999999999999" x14ac:dyDescent="0.25">
      <c r="A1278" s="16"/>
      <c r="B1278" s="20" t="b">
        <f ca="1">IFERROR(__xludf.DUMMYFUNCTION("if(D1278=iferror(filter('Character Sheet'!D$13:D3002,'Character Sheet'!D$13:D3002=D1278),""""),True,False)"),FALSE)</f>
        <v>0</v>
      </c>
      <c r="C1278" s="20">
        <v>400</v>
      </c>
      <c r="D1278" s="2" t="s">
        <v>2759</v>
      </c>
      <c r="E1278" s="2" t="s">
        <v>603</v>
      </c>
      <c r="F1278" s="20" t="s">
        <v>60</v>
      </c>
      <c r="G1278" s="2" t="s">
        <v>2760</v>
      </c>
      <c r="H1278" s="16"/>
      <c r="I1278" s="20"/>
      <c r="J1278" s="20"/>
      <c r="K1278" s="20"/>
      <c r="L1278" s="20"/>
      <c r="M1278" s="20"/>
      <c r="N1278" s="20"/>
      <c r="O1278" s="20"/>
      <c r="P1278" s="20"/>
      <c r="Q1278" s="20"/>
      <c r="R1278" s="20"/>
      <c r="S1278" s="20"/>
      <c r="T1278" s="20"/>
      <c r="U1278" s="20"/>
      <c r="V1278" s="20"/>
      <c r="W1278" s="20"/>
      <c r="X1278" s="20"/>
      <c r="Y1278" s="20"/>
      <c r="Z1278" s="20"/>
      <c r="AA1278" s="20"/>
    </row>
    <row r="1279" spans="1:27" ht="69.599999999999994" x14ac:dyDescent="0.25">
      <c r="A1279" s="16"/>
      <c r="B1279" s="20" t="b">
        <f ca="1">IFERROR(__xludf.DUMMYFUNCTION("if(D1279=iferror(filter('Character Sheet'!D$13:D3002,'Character Sheet'!D$13:D3002=D1279),""""),True,False)"),FALSE)</f>
        <v>0</v>
      </c>
      <c r="C1279" s="20">
        <v>400</v>
      </c>
      <c r="D1279" s="2" t="s">
        <v>2761</v>
      </c>
      <c r="E1279" s="2" t="s">
        <v>391</v>
      </c>
      <c r="F1279" s="20" t="s">
        <v>60</v>
      </c>
      <c r="G1279" s="2" t="s">
        <v>2762</v>
      </c>
      <c r="H1279" s="16"/>
      <c r="I1279" s="20"/>
      <c r="J1279" s="20"/>
      <c r="K1279" s="20"/>
      <c r="L1279" s="20"/>
      <c r="M1279" s="20"/>
      <c r="N1279" s="20"/>
      <c r="O1279" s="20"/>
      <c r="P1279" s="20"/>
      <c r="Q1279" s="20"/>
      <c r="R1279" s="20"/>
      <c r="S1279" s="20"/>
      <c r="T1279" s="20"/>
      <c r="U1279" s="20"/>
      <c r="V1279" s="20"/>
      <c r="W1279" s="20"/>
      <c r="X1279" s="20"/>
      <c r="Y1279" s="20"/>
      <c r="Z1279" s="20"/>
      <c r="AA1279" s="20"/>
    </row>
    <row r="1280" spans="1:27" ht="174" x14ac:dyDescent="0.25">
      <c r="A1280" s="16"/>
      <c r="B1280" s="20" t="b">
        <f ca="1">IFERROR(__xludf.DUMMYFUNCTION("if(D1280=iferror(filter('Character Sheet'!D$13:D3002,'Character Sheet'!D$13:D3002=D1280),""""),True,False)"),FALSE)</f>
        <v>0</v>
      </c>
      <c r="C1280" s="20">
        <v>400</v>
      </c>
      <c r="D1280" s="2" t="s">
        <v>2763</v>
      </c>
      <c r="E1280" s="2" t="s">
        <v>124</v>
      </c>
      <c r="F1280" s="20" t="s">
        <v>60</v>
      </c>
      <c r="G1280" s="2" t="s">
        <v>2764</v>
      </c>
      <c r="H1280" s="16"/>
      <c r="I1280" s="20"/>
      <c r="J1280" s="20"/>
      <c r="K1280" s="20"/>
      <c r="L1280" s="20"/>
      <c r="M1280" s="20"/>
      <c r="N1280" s="20"/>
      <c r="O1280" s="20"/>
      <c r="P1280" s="20"/>
      <c r="Q1280" s="20"/>
      <c r="R1280" s="20"/>
      <c r="S1280" s="20"/>
      <c r="T1280" s="20"/>
      <c r="U1280" s="20"/>
      <c r="V1280" s="20"/>
      <c r="W1280" s="20"/>
      <c r="X1280" s="20"/>
      <c r="Y1280" s="20"/>
      <c r="Z1280" s="20"/>
      <c r="AA1280" s="20"/>
    </row>
    <row r="1281" spans="1:27" ht="295.8" x14ac:dyDescent="0.25">
      <c r="A1281" s="16"/>
      <c r="B1281" s="20" t="b">
        <f ca="1">IFERROR(__xludf.DUMMYFUNCTION("if(D1281=iferror(filter('Character Sheet'!D$13:D3002,'Character Sheet'!D$13:D3002=D1281),""""),True,False)"),FALSE)</f>
        <v>0</v>
      </c>
      <c r="C1281" s="20">
        <v>400</v>
      </c>
      <c r="D1281" s="2" t="s">
        <v>2765</v>
      </c>
      <c r="E1281" s="2" t="s">
        <v>344</v>
      </c>
      <c r="F1281" s="20" t="s">
        <v>60</v>
      </c>
      <c r="G1281" s="2" t="s">
        <v>2766</v>
      </c>
      <c r="H1281" s="16"/>
      <c r="I1281" s="20"/>
      <c r="J1281" s="20"/>
      <c r="K1281" s="20"/>
      <c r="L1281" s="20"/>
      <c r="M1281" s="20"/>
      <c r="N1281" s="20"/>
      <c r="O1281" s="20"/>
      <c r="P1281" s="20"/>
      <c r="Q1281" s="20"/>
      <c r="R1281" s="20"/>
      <c r="S1281" s="20"/>
      <c r="T1281" s="20"/>
      <c r="U1281" s="20"/>
      <c r="V1281" s="20"/>
      <c r="W1281" s="20"/>
      <c r="X1281" s="20"/>
      <c r="Y1281" s="20"/>
      <c r="Z1281" s="20"/>
      <c r="AA1281" s="20"/>
    </row>
    <row r="1282" spans="1:27" ht="191.4" x14ac:dyDescent="0.25">
      <c r="A1282" s="16"/>
      <c r="B1282" s="20" t="b">
        <f ca="1">IFERROR(__xludf.DUMMYFUNCTION("if(D1282=iferror(filter('Character Sheet'!D$13:D3002,'Character Sheet'!D$13:D3002=D1282),""""),True,False)"),FALSE)</f>
        <v>0</v>
      </c>
      <c r="C1282" s="20">
        <v>400</v>
      </c>
      <c r="D1282" s="2" t="s">
        <v>2767</v>
      </c>
      <c r="E1282" s="2" t="s">
        <v>124</v>
      </c>
      <c r="F1282" s="20" t="s">
        <v>60</v>
      </c>
      <c r="G1282" s="2" t="s">
        <v>2768</v>
      </c>
      <c r="H1282" s="16"/>
      <c r="I1282" s="20"/>
      <c r="J1282" s="20"/>
      <c r="K1282" s="20"/>
      <c r="L1282" s="20"/>
      <c r="M1282" s="20"/>
      <c r="N1282" s="20"/>
      <c r="O1282" s="20"/>
      <c r="P1282" s="20"/>
      <c r="Q1282" s="20"/>
      <c r="R1282" s="20"/>
      <c r="S1282" s="20"/>
      <c r="T1282" s="20"/>
      <c r="U1282" s="20"/>
      <c r="V1282" s="20"/>
      <c r="W1282" s="20"/>
      <c r="X1282" s="20"/>
      <c r="Y1282" s="20"/>
      <c r="Z1282" s="20"/>
      <c r="AA1282" s="20"/>
    </row>
    <row r="1283" spans="1:27" ht="226.2" x14ac:dyDescent="0.25">
      <c r="A1283" s="16"/>
      <c r="B1283" s="20" t="b">
        <f ca="1">IFERROR(__xludf.DUMMYFUNCTION("if(D1283=iferror(filter('Character Sheet'!D$13:D3002,'Character Sheet'!D$13:D3002=D1283),""""),True,False)"),FALSE)</f>
        <v>0</v>
      </c>
      <c r="C1283" s="20">
        <v>400</v>
      </c>
      <c r="D1283" s="2" t="s">
        <v>2769</v>
      </c>
      <c r="E1283" s="2" t="s">
        <v>662</v>
      </c>
      <c r="F1283" s="20" t="s">
        <v>60</v>
      </c>
      <c r="G1283" s="2" t="s">
        <v>2770</v>
      </c>
      <c r="H1283" s="16"/>
      <c r="I1283" s="20"/>
      <c r="J1283" s="20"/>
      <c r="K1283" s="20"/>
      <c r="L1283" s="20"/>
      <c r="M1283" s="20"/>
      <c r="N1283" s="20"/>
      <c r="O1283" s="20"/>
      <c r="P1283" s="20"/>
      <c r="Q1283" s="20"/>
      <c r="R1283" s="20"/>
      <c r="S1283" s="20"/>
      <c r="T1283" s="20"/>
      <c r="U1283" s="20"/>
      <c r="V1283" s="20"/>
      <c r="W1283" s="20"/>
      <c r="X1283" s="20"/>
      <c r="Y1283" s="20"/>
      <c r="Z1283" s="20"/>
      <c r="AA1283" s="20"/>
    </row>
    <row r="1284" spans="1:27" ht="104.4" x14ac:dyDescent="0.25">
      <c r="A1284" s="16"/>
      <c r="B1284" s="20" t="b">
        <f ca="1">IFERROR(__xludf.DUMMYFUNCTION("if(D1284=iferror(filter('Character Sheet'!D$13:D3002,'Character Sheet'!D$13:D3002=D1284),""""),True,False)"),FALSE)</f>
        <v>0</v>
      </c>
      <c r="C1284" s="20">
        <v>400</v>
      </c>
      <c r="D1284" s="2" t="s">
        <v>2771</v>
      </c>
      <c r="E1284" s="2" t="s">
        <v>366</v>
      </c>
      <c r="F1284" s="20" t="s">
        <v>60</v>
      </c>
      <c r="G1284" s="2" t="s">
        <v>2772</v>
      </c>
      <c r="H1284" s="16"/>
      <c r="I1284" s="20"/>
      <c r="J1284" s="20"/>
      <c r="K1284" s="20"/>
      <c r="L1284" s="20"/>
      <c r="M1284" s="20"/>
      <c r="N1284" s="20"/>
      <c r="O1284" s="20"/>
      <c r="P1284" s="20"/>
      <c r="Q1284" s="20"/>
      <c r="R1284" s="20"/>
      <c r="S1284" s="20"/>
      <c r="T1284" s="20"/>
      <c r="U1284" s="20"/>
      <c r="V1284" s="20"/>
      <c r="W1284" s="20"/>
      <c r="X1284" s="20"/>
      <c r="Y1284" s="20"/>
      <c r="Z1284" s="20"/>
      <c r="AA1284" s="20"/>
    </row>
    <row r="1285" spans="1:27" ht="121.8" x14ac:dyDescent="0.25">
      <c r="A1285" s="16"/>
      <c r="B1285" s="20" t="b">
        <f ca="1">IFERROR(__xludf.DUMMYFUNCTION("if(D1285=iferror(filter('Character Sheet'!D$13:D3002,'Character Sheet'!D$13:D3002=D1285),""""),True,False)"),FALSE)</f>
        <v>0</v>
      </c>
      <c r="C1285" s="20">
        <v>400</v>
      </c>
      <c r="D1285" s="2" t="s">
        <v>2773</v>
      </c>
      <c r="E1285" s="2" t="s">
        <v>253</v>
      </c>
      <c r="F1285" s="20" t="s">
        <v>60</v>
      </c>
      <c r="G1285" s="2" t="s">
        <v>2774</v>
      </c>
      <c r="H1285" s="16"/>
      <c r="I1285" s="20"/>
      <c r="J1285" s="20"/>
      <c r="K1285" s="20"/>
      <c r="L1285" s="20"/>
      <c r="M1285" s="20"/>
      <c r="N1285" s="20"/>
      <c r="O1285" s="20"/>
      <c r="P1285" s="20"/>
      <c r="Q1285" s="20"/>
      <c r="R1285" s="20"/>
      <c r="S1285" s="20"/>
      <c r="T1285" s="20"/>
      <c r="U1285" s="20"/>
      <c r="V1285" s="20"/>
      <c r="W1285" s="20"/>
      <c r="X1285" s="20"/>
      <c r="Y1285" s="20"/>
      <c r="Z1285" s="20"/>
      <c r="AA1285" s="20"/>
    </row>
    <row r="1286" spans="1:27" ht="208.8" x14ac:dyDescent="0.25">
      <c r="A1286" s="16"/>
      <c r="B1286" s="20" t="b">
        <f ca="1">IFERROR(__xludf.DUMMYFUNCTION("if(D1286=iferror(filter('Character Sheet'!D$13:D3002,'Character Sheet'!D$13:D3002=D1286),""""),True,False)"),FALSE)</f>
        <v>0</v>
      </c>
      <c r="C1286" s="20">
        <v>400</v>
      </c>
      <c r="D1286" s="2" t="s">
        <v>2775</v>
      </c>
      <c r="E1286" s="2" t="s">
        <v>306</v>
      </c>
      <c r="F1286" s="20" t="s">
        <v>60</v>
      </c>
      <c r="G1286" s="2" t="s">
        <v>2776</v>
      </c>
      <c r="H1286" s="16"/>
      <c r="I1286" s="20"/>
      <c r="J1286" s="20"/>
      <c r="K1286" s="20"/>
      <c r="L1286" s="20"/>
      <c r="M1286" s="20"/>
      <c r="N1286" s="20"/>
      <c r="O1286" s="20"/>
      <c r="P1286" s="20"/>
      <c r="Q1286" s="20"/>
      <c r="R1286" s="20"/>
      <c r="S1286" s="20"/>
      <c r="T1286" s="20"/>
      <c r="U1286" s="20"/>
      <c r="V1286" s="20"/>
      <c r="W1286" s="20"/>
      <c r="X1286" s="20"/>
      <c r="Y1286" s="20"/>
      <c r="Z1286" s="20"/>
      <c r="AA1286" s="20"/>
    </row>
    <row r="1287" spans="1:27" ht="156.6" x14ac:dyDescent="0.25">
      <c r="A1287" s="16"/>
      <c r="B1287" s="20" t="b">
        <f ca="1">IFERROR(__xludf.DUMMYFUNCTION("if(D1287=iferror(filter('Character Sheet'!D$13:D3002,'Character Sheet'!D$13:D3002=D1287),""""),True,False)"),FALSE)</f>
        <v>0</v>
      </c>
      <c r="C1287" s="20">
        <v>400</v>
      </c>
      <c r="D1287" s="2" t="s">
        <v>2777</v>
      </c>
      <c r="E1287" s="2" t="s">
        <v>331</v>
      </c>
      <c r="F1287" s="20" t="s">
        <v>60</v>
      </c>
      <c r="G1287" s="2" t="s">
        <v>2778</v>
      </c>
      <c r="H1287" s="16"/>
      <c r="I1287" s="20"/>
      <c r="J1287" s="20"/>
      <c r="K1287" s="20"/>
      <c r="L1287" s="20"/>
      <c r="M1287" s="20"/>
      <c r="N1287" s="20"/>
      <c r="O1287" s="20"/>
      <c r="P1287" s="20"/>
      <c r="Q1287" s="20"/>
      <c r="R1287" s="20"/>
      <c r="S1287" s="20"/>
      <c r="T1287" s="20"/>
      <c r="U1287" s="20"/>
      <c r="V1287" s="20"/>
      <c r="W1287" s="20"/>
      <c r="X1287" s="20"/>
      <c r="Y1287" s="20"/>
      <c r="Z1287" s="20"/>
      <c r="AA1287" s="20"/>
    </row>
    <row r="1288" spans="1:27" ht="87" x14ac:dyDescent="0.25">
      <c r="A1288" s="16"/>
      <c r="B1288" s="20" t="b">
        <f ca="1">IFERROR(__xludf.DUMMYFUNCTION("if(D1288=iferror(filter('Character Sheet'!D$13:D3002,'Character Sheet'!D$13:D3002=D1288),""""),True,False)"),FALSE)</f>
        <v>0</v>
      </c>
      <c r="C1288" s="20">
        <v>400</v>
      </c>
      <c r="D1288" s="2" t="s">
        <v>2779</v>
      </c>
      <c r="E1288" s="2" t="s">
        <v>162</v>
      </c>
      <c r="F1288" s="20" t="s">
        <v>60</v>
      </c>
      <c r="G1288" s="2" t="s">
        <v>2780</v>
      </c>
      <c r="H1288" s="16"/>
      <c r="I1288" s="20"/>
      <c r="J1288" s="20"/>
      <c r="K1288" s="20"/>
      <c r="L1288" s="20"/>
      <c r="M1288" s="20"/>
      <c r="N1288" s="20"/>
      <c r="O1288" s="20"/>
      <c r="P1288" s="20"/>
      <c r="Q1288" s="20"/>
      <c r="R1288" s="20"/>
      <c r="S1288" s="20"/>
      <c r="T1288" s="20"/>
      <c r="U1288" s="20"/>
      <c r="V1288" s="20"/>
      <c r="W1288" s="20"/>
      <c r="X1288" s="20"/>
      <c r="Y1288" s="20"/>
      <c r="Z1288" s="20"/>
      <c r="AA1288" s="20"/>
    </row>
    <row r="1289" spans="1:27" ht="139.19999999999999" x14ac:dyDescent="0.25">
      <c r="A1289" s="16"/>
      <c r="B1289" s="20" t="b">
        <f ca="1">IFERROR(__xludf.DUMMYFUNCTION("if(D1289=iferror(filter('Character Sheet'!D$13:D3002,'Character Sheet'!D$13:D3002=D1289),""""),True,False)"),FALSE)</f>
        <v>0</v>
      </c>
      <c r="C1289" s="20">
        <v>400</v>
      </c>
      <c r="D1289" s="2" t="s">
        <v>2781</v>
      </c>
      <c r="E1289" s="20" t="s">
        <v>291</v>
      </c>
      <c r="F1289" s="20" t="s">
        <v>60</v>
      </c>
      <c r="G1289" s="2" t="s">
        <v>2782</v>
      </c>
      <c r="H1289" s="16"/>
      <c r="I1289" s="20"/>
      <c r="J1289" s="20"/>
      <c r="K1289" s="20"/>
      <c r="L1289" s="20"/>
      <c r="M1289" s="20"/>
      <c r="N1289" s="20"/>
      <c r="O1289" s="20"/>
      <c r="P1289" s="20"/>
      <c r="Q1289" s="20"/>
      <c r="R1289" s="20"/>
      <c r="S1289" s="20"/>
      <c r="T1289" s="20"/>
      <c r="U1289" s="20"/>
      <c r="V1289" s="20"/>
      <c r="W1289" s="20"/>
      <c r="X1289" s="20"/>
      <c r="Y1289" s="20"/>
      <c r="Z1289" s="20"/>
      <c r="AA1289" s="20"/>
    </row>
    <row r="1290" spans="1:27" ht="156.6" x14ac:dyDescent="0.25">
      <c r="A1290" s="16"/>
      <c r="B1290" s="20" t="b">
        <f ca="1">IFERROR(__xludf.DUMMYFUNCTION("if(D1290=iferror(filter('Character Sheet'!D$13:D3002,'Character Sheet'!D$13:D3002=D1290),""""),True,False)"),FALSE)</f>
        <v>0</v>
      </c>
      <c r="C1290" s="20">
        <v>400</v>
      </c>
      <c r="D1290" s="2" t="s">
        <v>2783</v>
      </c>
      <c r="E1290" s="2" t="s">
        <v>381</v>
      </c>
      <c r="F1290" s="20" t="s">
        <v>60</v>
      </c>
      <c r="G1290" s="2" t="s">
        <v>2784</v>
      </c>
      <c r="H1290" s="16"/>
      <c r="I1290" s="20"/>
      <c r="J1290" s="20"/>
      <c r="K1290" s="20"/>
      <c r="L1290" s="20"/>
      <c r="M1290" s="20"/>
      <c r="N1290" s="20"/>
      <c r="O1290" s="20"/>
      <c r="P1290" s="20"/>
      <c r="Q1290" s="20"/>
      <c r="R1290" s="20"/>
      <c r="S1290" s="20"/>
      <c r="T1290" s="20"/>
      <c r="U1290" s="20"/>
      <c r="V1290" s="20"/>
      <c r="W1290" s="20"/>
      <c r="X1290" s="20"/>
      <c r="Y1290" s="20"/>
      <c r="Z1290" s="20"/>
      <c r="AA1290" s="20"/>
    </row>
    <row r="1291" spans="1:27" ht="139.19999999999999" x14ac:dyDescent="0.25">
      <c r="A1291" s="16"/>
      <c r="B1291" s="20" t="b">
        <f ca="1">IFERROR(__xludf.DUMMYFUNCTION("if(D1291=iferror(filter('Character Sheet'!D$13:D3002,'Character Sheet'!D$13:D3002=D1291),""""),True,False)"),FALSE)</f>
        <v>0</v>
      </c>
      <c r="C1291" s="20">
        <v>400</v>
      </c>
      <c r="D1291" s="2" t="s">
        <v>2785</v>
      </c>
      <c r="E1291" s="2" t="s">
        <v>924</v>
      </c>
      <c r="F1291" s="20" t="s">
        <v>60</v>
      </c>
      <c r="G1291" s="2" t="s">
        <v>2786</v>
      </c>
      <c r="H1291" s="16"/>
      <c r="I1291" s="20"/>
      <c r="J1291" s="20"/>
      <c r="K1291" s="20"/>
      <c r="L1291" s="20"/>
      <c r="M1291" s="20"/>
      <c r="N1291" s="20"/>
      <c r="O1291" s="20"/>
      <c r="P1291" s="20"/>
      <c r="Q1291" s="20"/>
      <c r="R1291" s="20"/>
      <c r="S1291" s="20"/>
      <c r="T1291" s="20"/>
      <c r="U1291" s="20"/>
      <c r="V1291" s="20"/>
      <c r="W1291" s="20"/>
      <c r="X1291" s="20"/>
      <c r="Y1291" s="20"/>
      <c r="Z1291" s="20"/>
      <c r="AA1291" s="20"/>
    </row>
    <row r="1292" spans="1:27" ht="87" x14ac:dyDescent="0.25">
      <c r="A1292" s="16"/>
      <c r="B1292" s="20" t="b">
        <f ca="1">IFERROR(__xludf.DUMMYFUNCTION("if(D1292=iferror(filter('Character Sheet'!D$13:D3002,'Character Sheet'!D$13:D3002=D1292),""""),True,False)"),FALSE)</f>
        <v>0</v>
      </c>
      <c r="C1292" s="20">
        <v>400</v>
      </c>
      <c r="D1292" s="2" t="s">
        <v>2787</v>
      </c>
      <c r="E1292" s="2" t="s">
        <v>401</v>
      </c>
      <c r="F1292" s="20" t="s">
        <v>60</v>
      </c>
      <c r="G1292" s="2" t="s">
        <v>2788</v>
      </c>
      <c r="H1292" s="16"/>
      <c r="I1292" s="20"/>
      <c r="J1292" s="20"/>
      <c r="K1292" s="20"/>
      <c r="L1292" s="20"/>
      <c r="M1292" s="20"/>
      <c r="N1292" s="20"/>
      <c r="O1292" s="20"/>
      <c r="P1292" s="20"/>
      <c r="Q1292" s="20"/>
      <c r="R1292" s="20"/>
      <c r="S1292" s="20"/>
      <c r="T1292" s="20"/>
      <c r="U1292" s="20"/>
      <c r="V1292" s="20"/>
      <c r="W1292" s="20"/>
      <c r="X1292" s="20"/>
      <c r="Y1292" s="20"/>
      <c r="Z1292" s="20"/>
      <c r="AA1292" s="20"/>
    </row>
    <row r="1293" spans="1:27" ht="156.6" x14ac:dyDescent="0.25">
      <c r="A1293" s="16"/>
      <c r="B1293" s="20" t="b">
        <f ca="1">IFERROR(__xludf.DUMMYFUNCTION("if(D1293=iferror(filter('Character Sheet'!D$13:D3002,'Character Sheet'!D$13:D3002=D1293),""""),True,False)"),FALSE)</f>
        <v>0</v>
      </c>
      <c r="C1293" s="20">
        <v>400</v>
      </c>
      <c r="D1293" s="2" t="s">
        <v>2789</v>
      </c>
      <c r="E1293" s="2" t="s">
        <v>381</v>
      </c>
      <c r="F1293" s="20" t="s">
        <v>60</v>
      </c>
      <c r="G1293" s="2" t="s">
        <v>2790</v>
      </c>
      <c r="H1293" s="16"/>
      <c r="I1293" s="20"/>
      <c r="J1293" s="20"/>
      <c r="K1293" s="20"/>
      <c r="L1293" s="20"/>
      <c r="M1293" s="20"/>
      <c r="N1293" s="20"/>
      <c r="O1293" s="20"/>
      <c r="P1293" s="20"/>
      <c r="Q1293" s="20"/>
      <c r="R1293" s="20"/>
      <c r="S1293" s="20"/>
      <c r="T1293" s="20"/>
      <c r="U1293" s="20"/>
      <c r="V1293" s="20"/>
      <c r="W1293" s="20"/>
      <c r="X1293" s="20"/>
      <c r="Y1293" s="20"/>
      <c r="Z1293" s="20"/>
      <c r="AA1293" s="20"/>
    </row>
    <row r="1294" spans="1:27" ht="139.19999999999999" x14ac:dyDescent="0.25">
      <c r="A1294" s="16"/>
      <c r="B1294" s="20" t="b">
        <f ca="1">IFERROR(__xludf.DUMMYFUNCTION("if(D1294=iferror(filter('Character Sheet'!D$13:D3002,'Character Sheet'!D$13:D3002=D1294),""""),True,False)"),FALSE)</f>
        <v>0</v>
      </c>
      <c r="C1294" s="20">
        <v>400</v>
      </c>
      <c r="D1294" s="2" t="s">
        <v>2791</v>
      </c>
      <c r="E1294" s="2" t="s">
        <v>469</v>
      </c>
      <c r="F1294" s="20" t="s">
        <v>60</v>
      </c>
      <c r="G1294" s="2" t="s">
        <v>2792</v>
      </c>
      <c r="H1294" s="16"/>
      <c r="I1294" s="20"/>
      <c r="J1294" s="20"/>
      <c r="K1294" s="20"/>
      <c r="L1294" s="20"/>
      <c r="M1294" s="20"/>
      <c r="N1294" s="20"/>
      <c r="O1294" s="20"/>
      <c r="P1294" s="20"/>
      <c r="Q1294" s="20"/>
      <c r="R1294" s="20"/>
      <c r="S1294" s="20"/>
      <c r="T1294" s="20"/>
      <c r="U1294" s="20"/>
      <c r="V1294" s="20"/>
      <c r="W1294" s="20"/>
      <c r="X1294" s="20"/>
      <c r="Y1294" s="20"/>
      <c r="Z1294" s="20"/>
      <c r="AA1294" s="20"/>
    </row>
    <row r="1295" spans="1:27" ht="87" x14ac:dyDescent="0.25">
      <c r="A1295" s="16"/>
      <c r="B1295" s="20" t="b">
        <f ca="1">IFERROR(__xludf.DUMMYFUNCTION("if(D1295=iferror(filter('Character Sheet'!D$13:D3002,'Character Sheet'!D$13:D3002=D1295),""""),True,False)"),FALSE)</f>
        <v>0</v>
      </c>
      <c r="C1295" s="20">
        <v>400</v>
      </c>
      <c r="D1295" s="2" t="s">
        <v>2793</v>
      </c>
      <c r="E1295" s="2" t="s">
        <v>442</v>
      </c>
      <c r="F1295" s="20" t="s">
        <v>60</v>
      </c>
      <c r="G1295" s="2" t="s">
        <v>2794</v>
      </c>
      <c r="H1295" s="16"/>
      <c r="I1295" s="20"/>
      <c r="J1295" s="20"/>
      <c r="K1295" s="20"/>
      <c r="L1295" s="20"/>
      <c r="M1295" s="20"/>
      <c r="N1295" s="20"/>
      <c r="O1295" s="20"/>
      <c r="P1295" s="20"/>
      <c r="Q1295" s="20"/>
      <c r="R1295" s="20"/>
      <c r="S1295" s="20"/>
      <c r="T1295" s="20"/>
      <c r="U1295" s="20"/>
      <c r="V1295" s="20"/>
      <c r="W1295" s="20"/>
      <c r="X1295" s="20"/>
      <c r="Y1295" s="20"/>
      <c r="Z1295" s="20"/>
      <c r="AA1295" s="20"/>
    </row>
    <row r="1296" spans="1:27" ht="104.4" x14ac:dyDescent="0.25">
      <c r="A1296" s="16"/>
      <c r="B1296" s="20" t="b">
        <f ca="1">IFERROR(__xludf.DUMMYFUNCTION("if(D1296=iferror(filter('Character Sheet'!D$13:D3002,'Character Sheet'!D$13:D3002=D1296),""""),True,False)"),FALSE)</f>
        <v>0</v>
      </c>
      <c r="C1296" s="20">
        <v>400</v>
      </c>
      <c r="D1296" s="2" t="s">
        <v>2795</v>
      </c>
      <c r="E1296" s="2" t="s">
        <v>1554</v>
      </c>
      <c r="F1296" s="20" t="s">
        <v>60</v>
      </c>
      <c r="G1296" s="2" t="s">
        <v>2796</v>
      </c>
      <c r="H1296" s="16"/>
      <c r="I1296" s="20"/>
      <c r="J1296" s="20"/>
      <c r="K1296" s="20"/>
      <c r="L1296" s="20"/>
      <c r="M1296" s="20"/>
      <c r="N1296" s="20"/>
      <c r="O1296" s="20"/>
      <c r="P1296" s="20"/>
      <c r="Q1296" s="20"/>
      <c r="R1296" s="20"/>
      <c r="S1296" s="20"/>
      <c r="T1296" s="20"/>
      <c r="U1296" s="20"/>
      <c r="V1296" s="20"/>
      <c r="W1296" s="20"/>
      <c r="X1296" s="20"/>
      <c r="Y1296" s="20"/>
      <c r="Z1296" s="20"/>
      <c r="AA1296" s="20"/>
    </row>
    <row r="1297" spans="1:27" ht="121.8" x14ac:dyDescent="0.25">
      <c r="A1297" s="16"/>
      <c r="B1297" s="20" t="b">
        <f ca="1">IFERROR(__xludf.DUMMYFUNCTION("if(D1297=iferror(filter('Character Sheet'!D$13:D3002,'Character Sheet'!D$13:D3002=D1297),""""),True,False)"),FALSE)</f>
        <v>0</v>
      </c>
      <c r="C1297" s="20">
        <v>400</v>
      </c>
      <c r="D1297" s="2" t="s">
        <v>2797</v>
      </c>
      <c r="E1297" s="2" t="s">
        <v>2325</v>
      </c>
      <c r="F1297" s="20" t="s">
        <v>60</v>
      </c>
      <c r="G1297" s="2" t="s">
        <v>2798</v>
      </c>
      <c r="H1297" s="16"/>
      <c r="I1297" s="20"/>
      <c r="J1297" s="20"/>
      <c r="K1297" s="20"/>
      <c r="L1297" s="20"/>
      <c r="M1297" s="20"/>
      <c r="N1297" s="20"/>
      <c r="O1297" s="20"/>
      <c r="P1297" s="20"/>
      <c r="Q1297" s="20"/>
      <c r="R1297" s="20"/>
      <c r="S1297" s="20"/>
      <c r="T1297" s="20"/>
      <c r="U1297" s="20"/>
      <c r="V1297" s="20"/>
      <c r="W1297" s="20"/>
      <c r="X1297" s="20"/>
      <c r="Y1297" s="20"/>
      <c r="Z1297" s="20"/>
      <c r="AA1297" s="20"/>
    </row>
    <row r="1298" spans="1:27" ht="87" x14ac:dyDescent="0.25">
      <c r="A1298" s="16"/>
      <c r="B1298" s="20" t="b">
        <f ca="1">IFERROR(__xludf.DUMMYFUNCTION("if(D1298=iferror(filter('Character Sheet'!D$13:D3002,'Character Sheet'!D$13:D3002=D1298),""""),True,False)"),FALSE)</f>
        <v>0</v>
      </c>
      <c r="C1298" s="20">
        <v>400</v>
      </c>
      <c r="D1298" s="2" t="s">
        <v>2799</v>
      </c>
      <c r="E1298" s="2" t="s">
        <v>1554</v>
      </c>
      <c r="F1298" s="20" t="s">
        <v>60</v>
      </c>
      <c r="G1298" s="2" t="s">
        <v>2800</v>
      </c>
      <c r="H1298" s="16"/>
      <c r="I1298" s="20"/>
      <c r="J1298" s="20"/>
      <c r="K1298" s="20"/>
      <c r="L1298" s="20"/>
      <c r="M1298" s="20"/>
      <c r="N1298" s="20"/>
      <c r="O1298" s="20"/>
      <c r="P1298" s="20"/>
      <c r="Q1298" s="20"/>
      <c r="R1298" s="20"/>
      <c r="S1298" s="20"/>
      <c r="T1298" s="20"/>
      <c r="U1298" s="20"/>
      <c r="V1298" s="20"/>
      <c r="W1298" s="20"/>
      <c r="X1298" s="20"/>
      <c r="Y1298" s="20"/>
      <c r="Z1298" s="20"/>
      <c r="AA1298" s="20"/>
    </row>
    <row r="1299" spans="1:27" ht="69.599999999999994" x14ac:dyDescent="0.25">
      <c r="A1299" s="16"/>
      <c r="B1299" s="20" t="b">
        <f ca="1">IFERROR(__xludf.DUMMYFUNCTION("if(D1299=iferror(filter('Character Sheet'!D$13:D3002,'Character Sheet'!D$13:D3002=D1299),""""),True,False)"),FALSE)</f>
        <v>0</v>
      </c>
      <c r="C1299" s="20">
        <v>400</v>
      </c>
      <c r="D1299" s="2" t="s">
        <v>2801</v>
      </c>
      <c r="E1299" s="2" t="s">
        <v>451</v>
      </c>
      <c r="F1299" s="20" t="s">
        <v>60</v>
      </c>
      <c r="G1299" s="2" t="s">
        <v>2802</v>
      </c>
      <c r="H1299" s="16"/>
      <c r="I1299" s="20"/>
      <c r="J1299" s="20"/>
      <c r="K1299" s="20"/>
      <c r="L1299" s="20"/>
      <c r="M1299" s="20"/>
      <c r="N1299" s="20"/>
      <c r="O1299" s="20"/>
      <c r="P1299" s="20"/>
      <c r="Q1299" s="20"/>
      <c r="R1299" s="20"/>
      <c r="S1299" s="20"/>
      <c r="T1299" s="20"/>
      <c r="U1299" s="20"/>
      <c r="V1299" s="20"/>
      <c r="W1299" s="20"/>
      <c r="X1299" s="20"/>
      <c r="Y1299" s="20"/>
      <c r="Z1299" s="20"/>
      <c r="AA1299" s="20"/>
    </row>
    <row r="1300" spans="1:27" ht="69.599999999999994" x14ac:dyDescent="0.25">
      <c r="A1300" s="16"/>
      <c r="B1300" s="20" t="b">
        <f ca="1">IFERROR(__xludf.DUMMYFUNCTION("if(D1300=iferror(filter('Character Sheet'!D$13:D3002,'Character Sheet'!D$13:D3002=D1300),""""),True,False)"),FALSE)</f>
        <v>0</v>
      </c>
      <c r="C1300" s="20">
        <v>400</v>
      </c>
      <c r="D1300" s="2" t="s">
        <v>2803</v>
      </c>
      <c r="E1300" s="2" t="s">
        <v>298</v>
      </c>
      <c r="F1300" s="20" t="s">
        <v>60</v>
      </c>
      <c r="G1300" s="2" t="s">
        <v>2804</v>
      </c>
      <c r="H1300" s="16"/>
      <c r="I1300" s="20"/>
      <c r="J1300" s="20"/>
      <c r="K1300" s="20"/>
      <c r="L1300" s="20"/>
      <c r="M1300" s="20"/>
      <c r="N1300" s="20"/>
      <c r="O1300" s="20"/>
      <c r="P1300" s="20"/>
      <c r="Q1300" s="20"/>
      <c r="R1300" s="20"/>
      <c r="S1300" s="20"/>
      <c r="T1300" s="20"/>
      <c r="U1300" s="20"/>
      <c r="V1300" s="20"/>
      <c r="W1300" s="20"/>
      <c r="X1300" s="20"/>
      <c r="Y1300" s="20"/>
      <c r="Z1300" s="20"/>
      <c r="AA1300" s="20"/>
    </row>
    <row r="1301" spans="1:27" ht="87" x14ac:dyDescent="0.25">
      <c r="A1301" s="16"/>
      <c r="B1301" s="20" t="b">
        <f ca="1">IFERROR(__xludf.DUMMYFUNCTION("if(D1301=iferror(filter('Character Sheet'!D$13:D3002,'Character Sheet'!D$13:D3002=D1301),""""),True,False)"),FALSE)</f>
        <v>0</v>
      </c>
      <c r="C1301" s="20">
        <v>400</v>
      </c>
      <c r="D1301" s="2" t="s">
        <v>2805</v>
      </c>
      <c r="E1301" s="2" t="s">
        <v>165</v>
      </c>
      <c r="F1301" s="20" t="s">
        <v>60</v>
      </c>
      <c r="G1301" s="2" t="s">
        <v>2806</v>
      </c>
      <c r="H1301" s="16"/>
      <c r="I1301" s="20"/>
      <c r="J1301" s="20"/>
      <c r="K1301" s="20"/>
      <c r="L1301" s="20"/>
      <c r="M1301" s="20"/>
      <c r="N1301" s="20"/>
      <c r="O1301" s="20"/>
      <c r="P1301" s="20"/>
      <c r="Q1301" s="20"/>
      <c r="R1301" s="20"/>
      <c r="S1301" s="20"/>
      <c r="T1301" s="20"/>
      <c r="U1301" s="20"/>
      <c r="V1301" s="20"/>
      <c r="W1301" s="20"/>
      <c r="X1301" s="20"/>
      <c r="Y1301" s="20"/>
      <c r="Z1301" s="20"/>
      <c r="AA1301" s="20"/>
    </row>
    <row r="1302" spans="1:27" ht="104.4" x14ac:dyDescent="0.25">
      <c r="A1302" s="16"/>
      <c r="B1302" s="20" t="b">
        <f ca="1">IFERROR(__xludf.DUMMYFUNCTION("if(D1302=iferror(filter('Character Sheet'!D$13:D3002,'Character Sheet'!D$13:D3002=D1302),""""),True,False)"),FALSE)</f>
        <v>0</v>
      </c>
      <c r="C1302" s="20">
        <v>400</v>
      </c>
      <c r="D1302" s="2" t="s">
        <v>2807</v>
      </c>
      <c r="E1302" s="2" t="s">
        <v>1677</v>
      </c>
      <c r="F1302" s="20" t="s">
        <v>60</v>
      </c>
      <c r="G1302" s="2" t="s">
        <v>2808</v>
      </c>
      <c r="H1302" s="16"/>
      <c r="I1302" s="20"/>
      <c r="J1302" s="20"/>
      <c r="K1302" s="20"/>
      <c r="L1302" s="20"/>
      <c r="M1302" s="20"/>
      <c r="N1302" s="20"/>
      <c r="O1302" s="20"/>
      <c r="P1302" s="20"/>
      <c r="Q1302" s="20"/>
      <c r="R1302" s="20"/>
      <c r="S1302" s="20"/>
      <c r="T1302" s="20"/>
      <c r="U1302" s="20"/>
      <c r="V1302" s="20"/>
      <c r="W1302" s="20"/>
      <c r="X1302" s="20"/>
      <c r="Y1302" s="20"/>
      <c r="Z1302" s="20"/>
      <c r="AA1302" s="20"/>
    </row>
    <row r="1303" spans="1:27" ht="104.4" x14ac:dyDescent="0.25">
      <c r="A1303" s="16"/>
      <c r="B1303" s="20" t="b">
        <f ca="1">IFERROR(__xludf.DUMMYFUNCTION("if(D1303=iferror(filter('Character Sheet'!D$13:D3002,'Character Sheet'!D$13:D3002=D1303),""""),True,False)"),FALSE)</f>
        <v>0</v>
      </c>
      <c r="C1303" s="20">
        <v>400</v>
      </c>
      <c r="D1303" s="2" t="s">
        <v>2809</v>
      </c>
      <c r="E1303" s="2" t="s">
        <v>378</v>
      </c>
      <c r="F1303" s="20" t="s">
        <v>60</v>
      </c>
      <c r="G1303" s="2" t="s">
        <v>2810</v>
      </c>
      <c r="H1303" s="16"/>
      <c r="I1303" s="20"/>
      <c r="J1303" s="20"/>
      <c r="K1303" s="20"/>
      <c r="L1303" s="20"/>
      <c r="M1303" s="20"/>
      <c r="N1303" s="20"/>
      <c r="O1303" s="20"/>
      <c r="P1303" s="20"/>
      <c r="Q1303" s="20"/>
      <c r="R1303" s="20"/>
      <c r="S1303" s="20"/>
      <c r="T1303" s="20"/>
      <c r="U1303" s="20"/>
      <c r="V1303" s="20"/>
      <c r="W1303" s="20"/>
      <c r="X1303" s="20"/>
      <c r="Y1303" s="20"/>
      <c r="Z1303" s="20"/>
      <c r="AA1303" s="20"/>
    </row>
    <row r="1304" spans="1:27" ht="156.6" x14ac:dyDescent="0.25">
      <c r="A1304" s="16"/>
      <c r="B1304" s="20" t="b">
        <f ca="1">IFERROR(__xludf.DUMMYFUNCTION("if(D1304=iferror(filter('Character Sheet'!D$13:D3002,'Character Sheet'!D$13:D3002=D1304),""""),True,False)"),FALSE)</f>
        <v>0</v>
      </c>
      <c r="C1304" s="20">
        <v>400</v>
      </c>
      <c r="D1304" s="2" t="s">
        <v>2811</v>
      </c>
      <c r="E1304" s="2" t="s">
        <v>970</v>
      </c>
      <c r="F1304" s="20" t="s">
        <v>60</v>
      </c>
      <c r="G1304" s="2" t="s">
        <v>2812</v>
      </c>
      <c r="H1304" s="16"/>
      <c r="I1304" s="20"/>
      <c r="J1304" s="20"/>
      <c r="K1304" s="20"/>
      <c r="L1304" s="20"/>
      <c r="M1304" s="20"/>
      <c r="N1304" s="20"/>
      <c r="O1304" s="20"/>
      <c r="P1304" s="20"/>
      <c r="Q1304" s="20"/>
      <c r="R1304" s="20"/>
      <c r="S1304" s="20"/>
      <c r="T1304" s="20"/>
      <c r="U1304" s="20"/>
      <c r="V1304" s="20"/>
      <c r="W1304" s="20"/>
      <c r="X1304" s="20"/>
      <c r="Y1304" s="20"/>
      <c r="Z1304" s="20"/>
      <c r="AA1304" s="20"/>
    </row>
    <row r="1305" spans="1:27" ht="87" x14ac:dyDescent="0.25">
      <c r="A1305" s="16"/>
      <c r="B1305" s="20" t="b">
        <f ca="1">IFERROR(__xludf.DUMMYFUNCTION("if(D1305=iferror(filter('Character Sheet'!D$13:D3002,'Character Sheet'!D$13:D3002=D1305),""""),True,False)"),FALSE)</f>
        <v>0</v>
      </c>
      <c r="C1305" s="20">
        <v>400</v>
      </c>
      <c r="D1305" s="2" t="s">
        <v>2813</v>
      </c>
      <c r="E1305" s="2" t="s">
        <v>162</v>
      </c>
      <c r="F1305" s="20" t="s">
        <v>60</v>
      </c>
      <c r="G1305" s="2" t="s">
        <v>2814</v>
      </c>
      <c r="H1305" s="16"/>
      <c r="I1305" s="20"/>
      <c r="J1305" s="20"/>
      <c r="K1305" s="20"/>
      <c r="L1305" s="20"/>
      <c r="M1305" s="20"/>
      <c r="N1305" s="20"/>
      <c r="O1305" s="20"/>
      <c r="P1305" s="20"/>
      <c r="Q1305" s="20"/>
      <c r="R1305" s="20"/>
      <c r="S1305" s="20"/>
      <c r="T1305" s="20"/>
      <c r="U1305" s="20"/>
      <c r="V1305" s="20"/>
      <c r="W1305" s="20"/>
      <c r="X1305" s="20"/>
      <c r="Y1305" s="20"/>
      <c r="Z1305" s="20"/>
      <c r="AA1305" s="20"/>
    </row>
    <row r="1306" spans="1:27" ht="174" x14ac:dyDescent="0.25">
      <c r="A1306" s="16"/>
      <c r="B1306" s="20" t="b">
        <f ca="1">IFERROR(__xludf.DUMMYFUNCTION("if(D1306=iferror(filter('Character Sheet'!D$13:D3002,'Character Sheet'!D$13:D3002=D1306),""""),True,False)"),FALSE)</f>
        <v>0</v>
      </c>
      <c r="C1306" s="20">
        <v>400</v>
      </c>
      <c r="D1306" s="2" t="s">
        <v>2815</v>
      </c>
      <c r="E1306" s="2" t="s">
        <v>413</v>
      </c>
      <c r="F1306" s="20" t="s">
        <v>60</v>
      </c>
      <c r="G1306" s="2" t="s">
        <v>2816</v>
      </c>
      <c r="H1306" s="16"/>
      <c r="I1306" s="20"/>
      <c r="J1306" s="20"/>
      <c r="K1306" s="20"/>
      <c r="L1306" s="20"/>
      <c r="M1306" s="20"/>
      <c r="N1306" s="20"/>
      <c r="O1306" s="20"/>
      <c r="P1306" s="20"/>
      <c r="Q1306" s="20"/>
      <c r="R1306" s="20"/>
      <c r="S1306" s="20"/>
      <c r="T1306" s="20"/>
      <c r="U1306" s="20"/>
      <c r="V1306" s="20"/>
      <c r="W1306" s="20"/>
      <c r="X1306" s="20"/>
      <c r="Y1306" s="20"/>
      <c r="Z1306" s="20"/>
      <c r="AA1306" s="20"/>
    </row>
    <row r="1307" spans="1:27" ht="139.19999999999999" x14ac:dyDescent="0.25">
      <c r="A1307" s="16"/>
      <c r="B1307" s="20" t="b">
        <f ca="1">IFERROR(__xludf.DUMMYFUNCTION("if(D1307=iferror(filter('Character Sheet'!D$13:D3002,'Character Sheet'!D$13:D3002=D1307),""""),True,False)"),FALSE)</f>
        <v>0</v>
      </c>
      <c r="C1307" s="20">
        <v>400</v>
      </c>
      <c r="D1307" s="2" t="s">
        <v>2817</v>
      </c>
      <c r="E1307" s="2" t="s">
        <v>451</v>
      </c>
      <c r="F1307" s="20" t="s">
        <v>60</v>
      </c>
      <c r="G1307" s="2" t="s">
        <v>2818</v>
      </c>
      <c r="H1307" s="16"/>
      <c r="I1307" s="20"/>
      <c r="J1307" s="20"/>
      <c r="K1307" s="20"/>
      <c r="L1307" s="20"/>
      <c r="M1307" s="20"/>
      <c r="N1307" s="20"/>
      <c r="O1307" s="20"/>
      <c r="P1307" s="20"/>
      <c r="Q1307" s="20"/>
      <c r="R1307" s="20"/>
      <c r="S1307" s="20"/>
      <c r="T1307" s="20"/>
      <c r="U1307" s="20"/>
      <c r="V1307" s="20"/>
      <c r="W1307" s="20"/>
      <c r="X1307" s="20"/>
      <c r="Y1307" s="20"/>
      <c r="Z1307" s="20"/>
      <c r="AA1307" s="20"/>
    </row>
    <row r="1308" spans="1:27" ht="104.4" x14ac:dyDescent="0.25">
      <c r="A1308" s="16"/>
      <c r="B1308" s="20" t="b">
        <f ca="1">IFERROR(__xludf.DUMMYFUNCTION("if(D1308=iferror(filter('Character Sheet'!D$13:D3002,'Character Sheet'!D$13:D3002=D1308),""""),True,False)"),FALSE)</f>
        <v>0</v>
      </c>
      <c r="C1308" s="20">
        <v>400</v>
      </c>
      <c r="D1308" s="2" t="s">
        <v>2819</v>
      </c>
      <c r="E1308" s="2" t="s">
        <v>378</v>
      </c>
      <c r="F1308" s="20" t="s">
        <v>60</v>
      </c>
      <c r="G1308" s="2" t="s">
        <v>2820</v>
      </c>
      <c r="H1308" s="16"/>
      <c r="I1308" s="20"/>
      <c r="J1308" s="20"/>
      <c r="K1308" s="20"/>
      <c r="L1308" s="20"/>
      <c r="M1308" s="20"/>
      <c r="N1308" s="20"/>
      <c r="O1308" s="20"/>
      <c r="P1308" s="20"/>
      <c r="Q1308" s="20"/>
      <c r="R1308" s="20"/>
      <c r="S1308" s="20"/>
      <c r="T1308" s="20"/>
      <c r="U1308" s="20"/>
      <c r="V1308" s="20"/>
      <c r="W1308" s="20"/>
      <c r="X1308" s="20"/>
      <c r="Y1308" s="20"/>
      <c r="Z1308" s="20"/>
      <c r="AA1308" s="20"/>
    </row>
    <row r="1309" spans="1:27" ht="121.8" x14ac:dyDescent="0.25">
      <c r="A1309" s="16"/>
      <c r="B1309" s="20" t="b">
        <f ca="1">IFERROR(__xludf.DUMMYFUNCTION("if(D1309=iferror(filter('Character Sheet'!D$13:D3002,'Character Sheet'!D$13:D3002=D1309),""""),True,False)"),FALSE)</f>
        <v>0</v>
      </c>
      <c r="C1309" s="20">
        <v>400</v>
      </c>
      <c r="D1309" s="2" t="s">
        <v>2821</v>
      </c>
      <c r="E1309" s="2" t="s">
        <v>435</v>
      </c>
      <c r="F1309" s="20" t="s">
        <v>60</v>
      </c>
      <c r="G1309" s="2" t="s">
        <v>2822</v>
      </c>
      <c r="H1309" s="16"/>
      <c r="I1309" s="20"/>
      <c r="J1309" s="20"/>
      <c r="K1309" s="20"/>
      <c r="L1309" s="20"/>
      <c r="M1309" s="20"/>
      <c r="N1309" s="20"/>
      <c r="O1309" s="20"/>
      <c r="P1309" s="20"/>
      <c r="Q1309" s="20"/>
      <c r="R1309" s="20"/>
      <c r="S1309" s="20"/>
      <c r="T1309" s="20"/>
      <c r="U1309" s="20"/>
      <c r="V1309" s="20"/>
      <c r="W1309" s="20"/>
      <c r="X1309" s="20"/>
      <c r="Y1309" s="20"/>
      <c r="Z1309" s="20"/>
      <c r="AA1309" s="20"/>
    </row>
    <row r="1310" spans="1:27" ht="69.599999999999994" x14ac:dyDescent="0.25">
      <c r="A1310" s="16"/>
      <c r="B1310" s="20" t="b">
        <f ca="1">IFERROR(__xludf.DUMMYFUNCTION("if(D1310=iferror(filter('Character Sheet'!D$13:D3002,'Character Sheet'!D$13:D3002=D1310),""""),True,False)"),FALSE)</f>
        <v>0</v>
      </c>
      <c r="C1310" s="20">
        <v>400</v>
      </c>
      <c r="D1310" s="2" t="s">
        <v>2823</v>
      </c>
      <c r="E1310" s="2" t="s">
        <v>442</v>
      </c>
      <c r="F1310" s="20" t="s">
        <v>60</v>
      </c>
      <c r="G1310" s="2" t="s">
        <v>2824</v>
      </c>
      <c r="H1310" s="16"/>
      <c r="I1310" s="20"/>
      <c r="J1310" s="20"/>
      <c r="K1310" s="20"/>
      <c r="L1310" s="20"/>
      <c r="M1310" s="20"/>
      <c r="N1310" s="20"/>
      <c r="O1310" s="20"/>
      <c r="P1310" s="20"/>
      <c r="Q1310" s="20"/>
      <c r="R1310" s="20"/>
      <c r="S1310" s="20"/>
      <c r="T1310" s="20"/>
      <c r="U1310" s="20"/>
      <c r="V1310" s="20"/>
      <c r="W1310" s="20"/>
      <c r="X1310" s="20"/>
      <c r="Y1310" s="20"/>
      <c r="Z1310" s="20"/>
      <c r="AA1310" s="20"/>
    </row>
    <row r="1311" spans="1:27" ht="87" x14ac:dyDescent="0.25">
      <c r="A1311" s="16"/>
      <c r="B1311" s="20" t="b">
        <f ca="1">IFERROR(__xludf.DUMMYFUNCTION("if(D1311=iferror(filter('Character Sheet'!D$13:D3002,'Character Sheet'!D$13:D3002=D1311),""""),True,False)"),FALSE)</f>
        <v>0</v>
      </c>
      <c r="C1311" s="20">
        <v>400</v>
      </c>
      <c r="D1311" s="2" t="s">
        <v>2825</v>
      </c>
      <c r="E1311" s="2" t="s">
        <v>475</v>
      </c>
      <c r="F1311" s="20" t="s">
        <v>60</v>
      </c>
      <c r="G1311" s="2" t="s">
        <v>2826</v>
      </c>
      <c r="H1311" s="16"/>
      <c r="I1311" s="20"/>
      <c r="J1311" s="20"/>
      <c r="K1311" s="20"/>
      <c r="L1311" s="20"/>
      <c r="M1311" s="20"/>
      <c r="N1311" s="20"/>
      <c r="O1311" s="20"/>
      <c r="P1311" s="20"/>
      <c r="Q1311" s="20"/>
      <c r="R1311" s="20"/>
      <c r="S1311" s="20"/>
      <c r="T1311" s="20"/>
      <c r="U1311" s="20"/>
      <c r="V1311" s="20"/>
      <c r="W1311" s="20"/>
      <c r="X1311" s="20"/>
      <c r="Y1311" s="20"/>
      <c r="Z1311" s="20"/>
      <c r="AA1311" s="20"/>
    </row>
    <row r="1312" spans="1:27" ht="174" x14ac:dyDescent="0.25">
      <c r="A1312" s="16"/>
      <c r="B1312" s="20" t="b">
        <f ca="1">IFERROR(__xludf.DUMMYFUNCTION("if(D1312=iferror(filter('Character Sheet'!D$13:D3002,'Character Sheet'!D$13:D3002=D1312),""""),True,False)"),FALSE)</f>
        <v>0</v>
      </c>
      <c r="C1312" s="20">
        <v>400</v>
      </c>
      <c r="D1312" s="2" t="s">
        <v>2827</v>
      </c>
      <c r="E1312" s="2" t="s">
        <v>381</v>
      </c>
      <c r="F1312" s="20" t="s">
        <v>60</v>
      </c>
      <c r="G1312" s="2" t="s">
        <v>2828</v>
      </c>
      <c r="H1312" s="16"/>
      <c r="I1312" s="20"/>
      <c r="J1312" s="20"/>
      <c r="K1312" s="20"/>
      <c r="L1312" s="20"/>
      <c r="M1312" s="20"/>
      <c r="N1312" s="20"/>
      <c r="O1312" s="20"/>
      <c r="P1312" s="20"/>
      <c r="Q1312" s="20"/>
      <c r="R1312" s="20"/>
      <c r="S1312" s="20"/>
      <c r="T1312" s="20"/>
      <c r="U1312" s="20"/>
      <c r="V1312" s="20"/>
      <c r="W1312" s="20"/>
      <c r="X1312" s="20"/>
      <c r="Y1312" s="20"/>
      <c r="Z1312" s="20"/>
      <c r="AA1312" s="20"/>
    </row>
    <row r="1313" spans="1:27" ht="208.8" x14ac:dyDescent="0.25">
      <c r="A1313" s="16"/>
      <c r="B1313" s="20" t="b">
        <f ca="1">IFERROR(__xludf.DUMMYFUNCTION("if(D1313=iferror(filter('Character Sheet'!D$13:D3002,'Character Sheet'!D$13:D3002=D1313),""""),True,False)"),FALSE)</f>
        <v>0</v>
      </c>
      <c r="C1313" s="20">
        <v>400</v>
      </c>
      <c r="D1313" s="2" t="s">
        <v>2829</v>
      </c>
      <c r="E1313" s="2" t="s">
        <v>1130</v>
      </c>
      <c r="F1313" s="20" t="s">
        <v>60</v>
      </c>
      <c r="G1313" s="2" t="s">
        <v>2830</v>
      </c>
      <c r="H1313" s="16"/>
      <c r="I1313" s="20"/>
      <c r="J1313" s="20"/>
      <c r="K1313" s="20"/>
      <c r="L1313" s="20"/>
      <c r="M1313" s="20"/>
      <c r="N1313" s="20"/>
      <c r="O1313" s="20"/>
      <c r="P1313" s="20"/>
      <c r="Q1313" s="20"/>
      <c r="R1313" s="20"/>
      <c r="S1313" s="20"/>
      <c r="T1313" s="20"/>
      <c r="U1313" s="20"/>
      <c r="V1313" s="20"/>
      <c r="W1313" s="20"/>
      <c r="X1313" s="20"/>
      <c r="Y1313" s="20"/>
      <c r="Z1313" s="20"/>
      <c r="AA1313" s="20"/>
    </row>
    <row r="1314" spans="1:27" ht="69.599999999999994" x14ac:dyDescent="0.25">
      <c r="A1314" s="16"/>
      <c r="B1314" s="20" t="b">
        <f ca="1">IFERROR(__xludf.DUMMYFUNCTION("if(D1314=iferror(filter('Character Sheet'!D$13:D3002,'Character Sheet'!D$13:D3002=D1314),""""),True,False)"),FALSE)</f>
        <v>0</v>
      </c>
      <c r="C1314" s="20">
        <v>400</v>
      </c>
      <c r="D1314" s="2" t="s">
        <v>2831</v>
      </c>
      <c r="E1314" s="2" t="s">
        <v>451</v>
      </c>
      <c r="F1314" s="20" t="s">
        <v>60</v>
      </c>
      <c r="G1314" s="2" t="s">
        <v>2832</v>
      </c>
      <c r="H1314" s="16"/>
      <c r="I1314" s="20"/>
      <c r="J1314" s="20"/>
      <c r="K1314" s="20"/>
      <c r="L1314" s="20"/>
      <c r="M1314" s="20"/>
      <c r="N1314" s="20"/>
      <c r="O1314" s="20"/>
      <c r="P1314" s="20"/>
      <c r="Q1314" s="20"/>
      <c r="R1314" s="20"/>
      <c r="S1314" s="20"/>
      <c r="T1314" s="20"/>
      <c r="U1314" s="20"/>
      <c r="V1314" s="20"/>
      <c r="W1314" s="20"/>
      <c r="X1314" s="20"/>
      <c r="Y1314" s="20"/>
      <c r="Z1314" s="20"/>
      <c r="AA1314" s="20"/>
    </row>
    <row r="1315" spans="1:27" ht="191.4" x14ac:dyDescent="0.25">
      <c r="A1315" s="16"/>
      <c r="B1315" s="20" t="b">
        <f ca="1">IFERROR(__xludf.DUMMYFUNCTION("if(D1315=iferror(filter('Character Sheet'!D$13:D3002,'Character Sheet'!D$13:D3002=D1315),""""),True,False)"),FALSE)</f>
        <v>0</v>
      </c>
      <c r="C1315" s="20">
        <v>400</v>
      </c>
      <c r="D1315" s="2" t="s">
        <v>2833</v>
      </c>
      <c r="E1315" s="2" t="s">
        <v>1677</v>
      </c>
      <c r="F1315" s="20" t="s">
        <v>60</v>
      </c>
      <c r="G1315" s="2" t="s">
        <v>2834</v>
      </c>
      <c r="H1315" s="16"/>
      <c r="I1315" s="20"/>
      <c r="J1315" s="20"/>
      <c r="K1315" s="20"/>
      <c r="L1315" s="20"/>
      <c r="M1315" s="20"/>
      <c r="N1315" s="20"/>
      <c r="O1315" s="20"/>
      <c r="P1315" s="20"/>
      <c r="Q1315" s="20"/>
      <c r="R1315" s="20"/>
      <c r="S1315" s="20"/>
      <c r="T1315" s="20"/>
      <c r="U1315" s="20"/>
      <c r="V1315" s="20"/>
      <c r="W1315" s="20"/>
      <c r="X1315" s="20"/>
      <c r="Y1315" s="20"/>
      <c r="Z1315" s="20"/>
      <c r="AA1315" s="20"/>
    </row>
    <row r="1316" spans="1:27" ht="174" x14ac:dyDescent="0.25">
      <c r="A1316" s="16"/>
      <c r="B1316" s="20" t="b">
        <f ca="1">IFERROR(__xludf.DUMMYFUNCTION("if(D1316=iferror(filter('Character Sheet'!D$13:D3002,'Character Sheet'!D$13:D3002=D1316),""""),True,False)"),FALSE)</f>
        <v>0</v>
      </c>
      <c r="C1316" s="20">
        <v>400</v>
      </c>
      <c r="D1316" s="2" t="s">
        <v>2835</v>
      </c>
      <c r="E1316" s="2" t="s">
        <v>109</v>
      </c>
      <c r="F1316" s="20" t="s">
        <v>60</v>
      </c>
      <c r="G1316" s="2" t="s">
        <v>2836</v>
      </c>
      <c r="H1316" s="16"/>
      <c r="I1316" s="20"/>
      <c r="J1316" s="20"/>
      <c r="K1316" s="20"/>
      <c r="L1316" s="20"/>
      <c r="M1316" s="20"/>
      <c r="N1316" s="20"/>
      <c r="O1316" s="20"/>
      <c r="P1316" s="20"/>
      <c r="Q1316" s="20"/>
      <c r="R1316" s="20"/>
      <c r="S1316" s="20"/>
      <c r="T1316" s="20"/>
      <c r="U1316" s="20"/>
      <c r="V1316" s="20"/>
      <c r="W1316" s="20"/>
      <c r="X1316" s="20"/>
      <c r="Y1316" s="20"/>
      <c r="Z1316" s="20"/>
      <c r="AA1316" s="20"/>
    </row>
    <row r="1317" spans="1:27" ht="208.8" x14ac:dyDescent="0.25">
      <c r="A1317" s="16"/>
      <c r="B1317" s="20" t="b">
        <f ca="1">IFERROR(__xludf.DUMMYFUNCTION("if(D1317=iferror(filter('Character Sheet'!D$13:D3002,'Character Sheet'!D$13:D3002=D1317),""""),True,False)"),FALSE)</f>
        <v>0</v>
      </c>
      <c r="C1317" s="20">
        <v>400</v>
      </c>
      <c r="D1317" s="2" t="s">
        <v>2837</v>
      </c>
      <c r="E1317" s="2" t="s">
        <v>136</v>
      </c>
      <c r="F1317" s="20" t="s">
        <v>60</v>
      </c>
      <c r="G1317" s="2" t="s">
        <v>2838</v>
      </c>
      <c r="H1317" s="16"/>
      <c r="I1317" s="20"/>
      <c r="J1317" s="20"/>
      <c r="K1317" s="20"/>
      <c r="L1317" s="20"/>
      <c r="M1317" s="20"/>
      <c r="N1317" s="20"/>
      <c r="O1317" s="20"/>
      <c r="P1317" s="20"/>
      <c r="Q1317" s="20"/>
      <c r="R1317" s="20"/>
      <c r="S1317" s="20"/>
      <c r="T1317" s="20"/>
      <c r="U1317" s="20"/>
      <c r="V1317" s="20"/>
      <c r="W1317" s="20"/>
      <c r="X1317" s="20"/>
      <c r="Y1317" s="20"/>
      <c r="Z1317" s="20"/>
      <c r="AA1317" s="20"/>
    </row>
    <row r="1318" spans="1:27" ht="156.6" x14ac:dyDescent="0.25">
      <c r="A1318" s="16"/>
      <c r="B1318" s="20" t="b">
        <f ca="1">IFERROR(__xludf.DUMMYFUNCTION("if(D1318=iferror(filter('Character Sheet'!D$13:D3002,'Character Sheet'!D$13:D3002=D1318),""""),True,False)"),FALSE)</f>
        <v>0</v>
      </c>
      <c r="C1318" s="20">
        <v>400</v>
      </c>
      <c r="D1318" s="2" t="s">
        <v>2839</v>
      </c>
      <c r="E1318" s="2" t="s">
        <v>963</v>
      </c>
      <c r="F1318" s="20" t="s">
        <v>60</v>
      </c>
      <c r="G1318" s="2" t="s">
        <v>2840</v>
      </c>
      <c r="H1318" s="16"/>
      <c r="I1318" s="20"/>
      <c r="J1318" s="20"/>
      <c r="K1318" s="20"/>
      <c r="L1318" s="20"/>
      <c r="M1318" s="20"/>
      <c r="N1318" s="20"/>
      <c r="O1318" s="20"/>
      <c r="P1318" s="20"/>
      <c r="Q1318" s="20"/>
      <c r="R1318" s="20"/>
      <c r="S1318" s="20"/>
      <c r="T1318" s="20"/>
      <c r="U1318" s="20"/>
      <c r="V1318" s="20"/>
      <c r="W1318" s="20"/>
      <c r="X1318" s="20"/>
      <c r="Y1318" s="20"/>
      <c r="Z1318" s="20"/>
      <c r="AA1318" s="20"/>
    </row>
    <row r="1319" spans="1:27" ht="208.8" x14ac:dyDescent="0.25">
      <c r="A1319" s="16"/>
      <c r="B1319" s="20" t="b">
        <f ca="1">IFERROR(__xludf.DUMMYFUNCTION("if(D1319=iferror(filter('Character Sheet'!D$13:D3002,'Character Sheet'!D$13:D3002=D1319),""""),True,False)"),FALSE)</f>
        <v>0</v>
      </c>
      <c r="C1319" s="20">
        <v>400</v>
      </c>
      <c r="D1319" s="2" t="s">
        <v>2841</v>
      </c>
      <c r="E1319" s="2" t="s">
        <v>662</v>
      </c>
      <c r="F1319" s="20" t="s">
        <v>60</v>
      </c>
      <c r="G1319" s="2" t="s">
        <v>2842</v>
      </c>
      <c r="H1319" s="16"/>
      <c r="I1319" s="20"/>
      <c r="J1319" s="20"/>
      <c r="K1319" s="20"/>
      <c r="L1319" s="20"/>
      <c r="M1319" s="20"/>
      <c r="N1319" s="20"/>
      <c r="O1319" s="20"/>
      <c r="P1319" s="20"/>
      <c r="Q1319" s="20"/>
      <c r="R1319" s="20"/>
      <c r="S1319" s="20"/>
      <c r="T1319" s="20"/>
      <c r="U1319" s="20"/>
      <c r="V1319" s="20"/>
      <c r="W1319" s="20"/>
      <c r="X1319" s="20"/>
      <c r="Y1319" s="20"/>
      <c r="Z1319" s="20"/>
      <c r="AA1319" s="20"/>
    </row>
    <row r="1320" spans="1:27" ht="226.2" x14ac:dyDescent="0.25">
      <c r="A1320" s="16"/>
      <c r="B1320" s="20" t="b">
        <f ca="1">IFERROR(__xludf.DUMMYFUNCTION("if(D1320=iferror(filter('Character Sheet'!D$13:D3002,'Character Sheet'!D$13:D3002=D1320),""""),True,False)"),FALSE)</f>
        <v>0</v>
      </c>
      <c r="C1320" s="20">
        <v>400</v>
      </c>
      <c r="D1320" s="2" t="s">
        <v>2843</v>
      </c>
      <c r="E1320" s="2" t="s">
        <v>649</v>
      </c>
      <c r="F1320" s="20" t="s">
        <v>60</v>
      </c>
      <c r="G1320" s="2" t="s">
        <v>2844</v>
      </c>
      <c r="H1320" s="16"/>
      <c r="I1320" s="20"/>
      <c r="J1320" s="20"/>
      <c r="K1320" s="20"/>
      <c r="L1320" s="20"/>
      <c r="M1320" s="20"/>
      <c r="N1320" s="20"/>
      <c r="O1320" s="20"/>
      <c r="P1320" s="20"/>
      <c r="Q1320" s="20"/>
      <c r="R1320" s="20"/>
      <c r="S1320" s="20"/>
      <c r="T1320" s="20"/>
      <c r="U1320" s="20"/>
      <c r="V1320" s="20"/>
      <c r="W1320" s="20"/>
      <c r="X1320" s="20"/>
      <c r="Y1320" s="20"/>
      <c r="Z1320" s="20"/>
      <c r="AA1320" s="20"/>
    </row>
    <row r="1321" spans="1:27" ht="191.4" x14ac:dyDescent="0.25">
      <c r="A1321" s="16"/>
      <c r="B1321" s="20" t="b">
        <f ca="1">IFERROR(__xludf.DUMMYFUNCTION("if(D1321=iferror(filter('Character Sheet'!D$13:D3002,'Character Sheet'!D$13:D3002=D1321),""""),True,False)"),FALSE)</f>
        <v>0</v>
      </c>
      <c r="C1321" s="20">
        <v>400</v>
      </c>
      <c r="D1321" s="2" t="s">
        <v>2845</v>
      </c>
      <c r="E1321" s="2" t="s">
        <v>106</v>
      </c>
      <c r="F1321" s="20" t="s">
        <v>60</v>
      </c>
      <c r="G1321" s="2" t="s">
        <v>2846</v>
      </c>
      <c r="H1321" s="16"/>
      <c r="I1321" s="20"/>
      <c r="J1321" s="20"/>
      <c r="K1321" s="20"/>
      <c r="L1321" s="20"/>
      <c r="M1321" s="20"/>
      <c r="N1321" s="20"/>
      <c r="O1321" s="20"/>
      <c r="P1321" s="20"/>
      <c r="Q1321" s="20"/>
      <c r="R1321" s="20"/>
      <c r="S1321" s="20"/>
      <c r="T1321" s="20"/>
      <c r="U1321" s="20"/>
      <c r="V1321" s="20"/>
      <c r="W1321" s="20"/>
      <c r="X1321" s="20"/>
      <c r="Y1321" s="20"/>
      <c r="Z1321" s="20"/>
      <c r="AA1321" s="20"/>
    </row>
    <row r="1322" spans="1:27" ht="191.4" x14ac:dyDescent="0.25">
      <c r="A1322" s="16"/>
      <c r="B1322" s="20" t="b">
        <f ca="1">IFERROR(__xludf.DUMMYFUNCTION("if(D1322=iferror(filter('Character Sheet'!D$13:D3002,'Character Sheet'!D$13:D3002=D1322),""""),True,False)"),FALSE)</f>
        <v>0</v>
      </c>
      <c r="C1322" s="20">
        <v>400</v>
      </c>
      <c r="D1322" s="2" t="s">
        <v>2847</v>
      </c>
      <c r="E1322" s="2" t="s">
        <v>478</v>
      </c>
      <c r="F1322" s="20" t="s">
        <v>60</v>
      </c>
      <c r="G1322" s="2" t="s">
        <v>2848</v>
      </c>
      <c r="H1322" s="16"/>
      <c r="I1322" s="20"/>
      <c r="J1322" s="20"/>
      <c r="K1322" s="20"/>
      <c r="L1322" s="20"/>
      <c r="M1322" s="20"/>
      <c r="N1322" s="20"/>
      <c r="O1322" s="20"/>
      <c r="P1322" s="20"/>
      <c r="Q1322" s="20"/>
      <c r="R1322" s="20"/>
      <c r="S1322" s="20"/>
      <c r="T1322" s="20"/>
      <c r="U1322" s="20"/>
      <c r="V1322" s="20"/>
      <c r="W1322" s="20"/>
      <c r="X1322" s="20"/>
      <c r="Y1322" s="20"/>
      <c r="Z1322" s="20"/>
      <c r="AA1322" s="20"/>
    </row>
    <row r="1323" spans="1:27" ht="69.599999999999994" x14ac:dyDescent="0.25">
      <c r="A1323" s="16"/>
      <c r="B1323" s="20" t="b">
        <f ca="1">IFERROR(__xludf.DUMMYFUNCTION("if(D1323=iferror(filter('Character Sheet'!D$13:D3002,'Character Sheet'!D$13:D3002=D1323),""""),True,False)"),FALSE)</f>
        <v>0</v>
      </c>
      <c r="C1323" s="20">
        <v>400</v>
      </c>
      <c r="D1323" s="2" t="s">
        <v>2849</v>
      </c>
      <c r="E1323" s="2" t="s">
        <v>583</v>
      </c>
      <c r="F1323" s="20" t="s">
        <v>60</v>
      </c>
      <c r="G1323" s="2" t="s">
        <v>2850</v>
      </c>
      <c r="H1323" s="16"/>
      <c r="I1323" s="20"/>
      <c r="J1323" s="20"/>
      <c r="K1323" s="20"/>
      <c r="L1323" s="20"/>
      <c r="M1323" s="20"/>
      <c r="N1323" s="20"/>
      <c r="O1323" s="20"/>
      <c r="P1323" s="20"/>
      <c r="Q1323" s="20"/>
      <c r="R1323" s="20"/>
      <c r="S1323" s="20"/>
      <c r="T1323" s="20"/>
      <c r="U1323" s="20"/>
      <c r="V1323" s="20"/>
      <c r="W1323" s="20"/>
      <c r="X1323" s="20"/>
      <c r="Y1323" s="20"/>
      <c r="Z1323" s="20"/>
      <c r="AA1323" s="20"/>
    </row>
    <row r="1324" spans="1:27" ht="139.19999999999999" x14ac:dyDescent="0.25">
      <c r="A1324" s="16"/>
      <c r="B1324" s="20" t="b">
        <f ca="1">IFERROR(__xludf.DUMMYFUNCTION("if(D1324=iferror(filter('Character Sheet'!D$13:D3002,'Character Sheet'!D$13:D3002=D1324),""""),True,False)"),FALSE)</f>
        <v>0</v>
      </c>
      <c r="C1324" s="20">
        <v>400</v>
      </c>
      <c r="D1324" s="2" t="s">
        <v>2851</v>
      </c>
      <c r="E1324" s="2" t="s">
        <v>863</v>
      </c>
      <c r="F1324" s="20" t="s">
        <v>60</v>
      </c>
      <c r="G1324" s="2" t="s">
        <v>2852</v>
      </c>
      <c r="H1324" s="16"/>
      <c r="I1324" s="20"/>
      <c r="J1324" s="20"/>
      <c r="K1324" s="20"/>
      <c r="L1324" s="20"/>
      <c r="M1324" s="20"/>
      <c r="N1324" s="20"/>
      <c r="O1324" s="20"/>
      <c r="P1324" s="20"/>
      <c r="Q1324" s="20"/>
      <c r="R1324" s="20"/>
      <c r="S1324" s="20"/>
      <c r="T1324" s="20"/>
      <c r="U1324" s="20"/>
      <c r="V1324" s="20"/>
      <c r="W1324" s="20"/>
      <c r="X1324" s="20"/>
      <c r="Y1324" s="20"/>
      <c r="Z1324" s="20"/>
      <c r="AA1324" s="20"/>
    </row>
    <row r="1325" spans="1:27" ht="139.19999999999999" x14ac:dyDescent="0.25">
      <c r="A1325" s="16"/>
      <c r="B1325" s="20" t="b">
        <f ca="1">IFERROR(__xludf.DUMMYFUNCTION("if(D1325=iferror(filter('Character Sheet'!D$13:D3002,'Character Sheet'!D$13:D3002=D1325),""""),True,False)"),FALSE)</f>
        <v>0</v>
      </c>
      <c r="C1325" s="20">
        <v>400</v>
      </c>
      <c r="D1325" s="2" t="s">
        <v>2853</v>
      </c>
      <c r="E1325" s="2" t="s">
        <v>220</v>
      </c>
      <c r="F1325" s="20" t="s">
        <v>60</v>
      </c>
      <c r="G1325" s="2" t="s">
        <v>2854</v>
      </c>
      <c r="H1325" s="16"/>
      <c r="I1325" s="20"/>
      <c r="J1325" s="20"/>
      <c r="K1325" s="20"/>
      <c r="L1325" s="20"/>
      <c r="M1325" s="20"/>
      <c r="N1325" s="20"/>
      <c r="O1325" s="20"/>
      <c r="P1325" s="20"/>
      <c r="Q1325" s="20"/>
      <c r="R1325" s="20"/>
      <c r="S1325" s="20"/>
      <c r="T1325" s="20"/>
      <c r="U1325" s="20"/>
      <c r="V1325" s="20"/>
      <c r="W1325" s="20"/>
      <c r="X1325" s="20"/>
      <c r="Y1325" s="20"/>
      <c r="Z1325" s="20"/>
      <c r="AA1325" s="20"/>
    </row>
    <row r="1326" spans="1:27" ht="104.4" x14ac:dyDescent="0.25">
      <c r="A1326" s="16"/>
      <c r="B1326" s="20" t="b">
        <f ca="1">IFERROR(__xludf.DUMMYFUNCTION("if(D1326=iferror(filter('Character Sheet'!D$13:D3002,'Character Sheet'!D$13:D3002=D1326),""""),True,False)"),FALSE)</f>
        <v>0</v>
      </c>
      <c r="C1326" s="20">
        <v>400</v>
      </c>
      <c r="D1326" s="2" t="s">
        <v>2855</v>
      </c>
      <c r="E1326" s="2" t="s">
        <v>610</v>
      </c>
      <c r="F1326" s="20" t="s">
        <v>60</v>
      </c>
      <c r="G1326" s="2" t="s">
        <v>2856</v>
      </c>
      <c r="H1326" s="16"/>
      <c r="I1326" s="20"/>
      <c r="J1326" s="20"/>
      <c r="K1326" s="20"/>
      <c r="L1326" s="20"/>
      <c r="M1326" s="20"/>
      <c r="N1326" s="20"/>
      <c r="O1326" s="20"/>
      <c r="P1326" s="20"/>
      <c r="Q1326" s="20"/>
      <c r="R1326" s="20"/>
      <c r="S1326" s="20"/>
      <c r="T1326" s="20"/>
      <c r="U1326" s="20"/>
      <c r="V1326" s="20"/>
      <c r="W1326" s="20"/>
      <c r="X1326" s="20"/>
      <c r="Y1326" s="20"/>
      <c r="Z1326" s="20"/>
      <c r="AA1326" s="20"/>
    </row>
    <row r="1327" spans="1:27" ht="87" x14ac:dyDescent="0.25">
      <c r="A1327" s="16"/>
      <c r="B1327" s="20" t="b">
        <f ca="1">IFERROR(__xludf.DUMMYFUNCTION("if(D1327=iferror(filter('Character Sheet'!D$13:D3002,'Character Sheet'!D$13:D3002=D1327),""""),True,False)"),FALSE)</f>
        <v>0</v>
      </c>
      <c r="C1327" s="20">
        <v>400</v>
      </c>
      <c r="D1327" s="2" t="s">
        <v>2857</v>
      </c>
      <c r="E1327" s="2" t="s">
        <v>451</v>
      </c>
      <c r="F1327" s="20" t="s">
        <v>60</v>
      </c>
      <c r="G1327" s="2" t="s">
        <v>2858</v>
      </c>
      <c r="H1327" s="16"/>
      <c r="I1327" s="20"/>
      <c r="J1327" s="20"/>
      <c r="K1327" s="20"/>
      <c r="L1327" s="20"/>
      <c r="M1327" s="20"/>
      <c r="N1327" s="20"/>
      <c r="O1327" s="20"/>
      <c r="P1327" s="20"/>
      <c r="Q1327" s="20"/>
      <c r="R1327" s="20"/>
      <c r="S1327" s="20"/>
      <c r="T1327" s="20"/>
      <c r="U1327" s="20"/>
      <c r="V1327" s="20"/>
      <c r="W1327" s="20"/>
      <c r="X1327" s="20"/>
      <c r="Y1327" s="20"/>
      <c r="Z1327" s="20"/>
      <c r="AA1327" s="20"/>
    </row>
    <row r="1328" spans="1:27" ht="156.6" x14ac:dyDescent="0.25">
      <c r="A1328" s="16"/>
      <c r="B1328" s="20" t="b">
        <f ca="1">IFERROR(__xludf.DUMMYFUNCTION("if(D1328=iferror(filter('Character Sheet'!D$13:D3002,'Character Sheet'!D$13:D3002=D1328),""""),True,False)"),FALSE)</f>
        <v>0</v>
      </c>
      <c r="C1328" s="20">
        <v>400</v>
      </c>
      <c r="D1328" s="2" t="s">
        <v>2859</v>
      </c>
      <c r="E1328" s="2" t="s">
        <v>69</v>
      </c>
      <c r="F1328" s="20" t="s">
        <v>60</v>
      </c>
      <c r="G1328" s="2" t="s">
        <v>2860</v>
      </c>
      <c r="H1328" s="16"/>
      <c r="I1328" s="20"/>
      <c r="J1328" s="20"/>
      <c r="K1328" s="20"/>
      <c r="L1328" s="20"/>
      <c r="M1328" s="20"/>
      <c r="N1328" s="20"/>
      <c r="O1328" s="20"/>
      <c r="P1328" s="20"/>
      <c r="Q1328" s="20"/>
      <c r="R1328" s="20"/>
      <c r="S1328" s="20"/>
      <c r="T1328" s="20"/>
      <c r="U1328" s="20"/>
      <c r="V1328" s="20"/>
      <c r="W1328" s="20"/>
      <c r="X1328" s="20"/>
      <c r="Y1328" s="20"/>
      <c r="Z1328" s="20"/>
      <c r="AA1328" s="20"/>
    </row>
    <row r="1329" spans="1:27" ht="156.6" x14ac:dyDescent="0.25">
      <c r="A1329" s="16"/>
      <c r="B1329" s="20" t="b">
        <f ca="1">IFERROR(__xludf.DUMMYFUNCTION("if(D1329=iferror(filter('Character Sheet'!D$13:D3002,'Character Sheet'!D$13:D3002=D1329),""""),True,False)"),FALSE)</f>
        <v>0</v>
      </c>
      <c r="C1329" s="20">
        <v>400</v>
      </c>
      <c r="D1329" s="2" t="s">
        <v>2861</v>
      </c>
      <c r="E1329" s="2" t="s">
        <v>863</v>
      </c>
      <c r="F1329" s="20" t="s">
        <v>60</v>
      </c>
      <c r="G1329" s="2" t="s">
        <v>2862</v>
      </c>
      <c r="H1329" s="16"/>
      <c r="I1329" s="20"/>
      <c r="J1329" s="20"/>
      <c r="K1329" s="20"/>
      <c r="L1329" s="20"/>
      <c r="M1329" s="20"/>
      <c r="N1329" s="20"/>
      <c r="O1329" s="20"/>
      <c r="P1329" s="20"/>
      <c r="Q1329" s="20"/>
      <c r="R1329" s="20"/>
      <c r="S1329" s="20"/>
      <c r="T1329" s="20"/>
      <c r="U1329" s="20"/>
      <c r="V1329" s="20"/>
      <c r="W1329" s="20"/>
      <c r="X1329" s="20"/>
      <c r="Y1329" s="20"/>
      <c r="Z1329" s="20"/>
      <c r="AA1329" s="20"/>
    </row>
    <row r="1330" spans="1:27" ht="87" x14ac:dyDescent="0.25">
      <c r="A1330" s="16"/>
      <c r="B1330" s="20" t="b">
        <f ca="1">IFERROR(__xludf.DUMMYFUNCTION("if(D1330=iferror(filter('Character Sheet'!D$13:D3002,'Character Sheet'!D$13:D3002=D1330),""""),True,False)"),FALSE)</f>
        <v>0</v>
      </c>
      <c r="C1330" s="20">
        <v>400</v>
      </c>
      <c r="D1330" s="2" t="s">
        <v>2863</v>
      </c>
      <c r="E1330" s="2" t="s">
        <v>338</v>
      </c>
      <c r="F1330" s="20" t="s">
        <v>60</v>
      </c>
      <c r="G1330" s="2" t="s">
        <v>2864</v>
      </c>
      <c r="H1330" s="16"/>
      <c r="I1330" s="20"/>
      <c r="J1330" s="20"/>
      <c r="K1330" s="20"/>
      <c r="L1330" s="20"/>
      <c r="M1330" s="20"/>
      <c r="N1330" s="20"/>
      <c r="O1330" s="20"/>
      <c r="P1330" s="20"/>
      <c r="Q1330" s="20"/>
      <c r="R1330" s="20"/>
      <c r="S1330" s="20"/>
      <c r="T1330" s="20"/>
      <c r="U1330" s="20"/>
      <c r="V1330" s="20"/>
      <c r="W1330" s="20"/>
      <c r="X1330" s="20"/>
      <c r="Y1330" s="20"/>
      <c r="Z1330" s="20"/>
      <c r="AA1330" s="20"/>
    </row>
    <row r="1331" spans="1:27" ht="174" x14ac:dyDescent="0.25">
      <c r="A1331" s="16"/>
      <c r="B1331" s="20" t="b">
        <f ca="1">IFERROR(__xludf.DUMMYFUNCTION("if(D1331=iferror(filter('Character Sheet'!D$13:D3002,'Character Sheet'!D$13:D3002=D1331),""""),True,False)"),FALSE)</f>
        <v>0</v>
      </c>
      <c r="C1331" s="20">
        <v>400</v>
      </c>
      <c r="D1331" s="2" t="s">
        <v>2865</v>
      </c>
      <c r="E1331" s="2" t="s">
        <v>963</v>
      </c>
      <c r="F1331" s="20" t="s">
        <v>60</v>
      </c>
      <c r="G1331" s="2" t="s">
        <v>2866</v>
      </c>
      <c r="H1331" s="16"/>
      <c r="I1331" s="20"/>
      <c r="J1331" s="20"/>
      <c r="K1331" s="20"/>
      <c r="L1331" s="20"/>
      <c r="M1331" s="20"/>
      <c r="N1331" s="20"/>
      <c r="O1331" s="20"/>
      <c r="P1331" s="20"/>
      <c r="Q1331" s="20"/>
      <c r="R1331" s="20"/>
      <c r="S1331" s="20"/>
      <c r="T1331" s="20"/>
      <c r="U1331" s="20"/>
      <c r="V1331" s="20"/>
      <c r="W1331" s="20"/>
      <c r="X1331" s="20"/>
      <c r="Y1331" s="20"/>
      <c r="Z1331" s="20"/>
      <c r="AA1331" s="20"/>
    </row>
    <row r="1332" spans="1:27" ht="52.2" x14ac:dyDescent="0.25">
      <c r="A1332" s="16"/>
      <c r="B1332" s="20" t="b">
        <f ca="1">IFERROR(__xludf.DUMMYFUNCTION("if(D1332=iferror(filter('Character Sheet'!D$13:D3002,'Character Sheet'!D$13:D3002=D1332),""""),True,False)"),FALSE)</f>
        <v>0</v>
      </c>
      <c r="C1332" s="20">
        <v>400</v>
      </c>
      <c r="D1332" s="2" t="s">
        <v>2867</v>
      </c>
      <c r="E1332" s="2" t="s">
        <v>248</v>
      </c>
      <c r="F1332" s="20" t="s">
        <v>60</v>
      </c>
      <c r="G1332" s="2" t="s">
        <v>2868</v>
      </c>
      <c r="H1332" s="16"/>
      <c r="I1332" s="20"/>
      <c r="J1332" s="20"/>
      <c r="K1332" s="20"/>
      <c r="L1332" s="20"/>
      <c r="M1332" s="20"/>
      <c r="N1332" s="20"/>
      <c r="O1332" s="20"/>
      <c r="P1332" s="20"/>
      <c r="Q1332" s="20"/>
      <c r="R1332" s="20"/>
      <c r="S1332" s="20"/>
      <c r="T1332" s="20"/>
      <c r="U1332" s="20"/>
      <c r="V1332" s="20"/>
      <c r="W1332" s="20"/>
      <c r="X1332" s="20"/>
      <c r="Y1332" s="20"/>
      <c r="Z1332" s="20"/>
      <c r="AA1332" s="20"/>
    </row>
    <row r="1333" spans="1:27" ht="226.2" x14ac:dyDescent="0.25">
      <c r="A1333" s="16"/>
      <c r="B1333" s="20" t="b">
        <f ca="1">IFERROR(__xludf.DUMMYFUNCTION("if(D1333=iferror(filter('Character Sheet'!D$13:D3002,'Character Sheet'!D$13:D3002=D1333),""""),True,False)"),FALSE)</f>
        <v>0</v>
      </c>
      <c r="C1333" s="20">
        <v>400</v>
      </c>
      <c r="D1333" s="2" t="s">
        <v>2869</v>
      </c>
      <c r="E1333" s="2" t="s">
        <v>924</v>
      </c>
      <c r="F1333" s="20" t="s">
        <v>60</v>
      </c>
      <c r="G1333" s="2" t="s">
        <v>2870</v>
      </c>
      <c r="H1333" s="16"/>
      <c r="I1333" s="20"/>
      <c r="J1333" s="20"/>
      <c r="K1333" s="20"/>
      <c r="L1333" s="20"/>
      <c r="M1333" s="20"/>
      <c r="N1333" s="20"/>
      <c r="O1333" s="20"/>
      <c r="P1333" s="20"/>
      <c r="Q1333" s="20"/>
      <c r="R1333" s="20"/>
      <c r="S1333" s="20"/>
      <c r="T1333" s="20"/>
      <c r="U1333" s="20"/>
      <c r="V1333" s="20"/>
      <c r="W1333" s="20"/>
      <c r="X1333" s="20"/>
      <c r="Y1333" s="20"/>
      <c r="Z1333" s="20"/>
      <c r="AA1333" s="20"/>
    </row>
    <row r="1334" spans="1:27" ht="174" x14ac:dyDescent="0.25">
      <c r="A1334" s="16"/>
      <c r="B1334" s="20" t="b">
        <f ca="1">IFERROR(__xludf.DUMMYFUNCTION("if(D1334=iferror(filter('Character Sheet'!D$13:D3002,'Character Sheet'!D$13:D3002=D1334),""""),True,False)"),FALSE)</f>
        <v>0</v>
      </c>
      <c r="C1334" s="20">
        <v>400</v>
      </c>
      <c r="D1334" s="2" t="s">
        <v>2871</v>
      </c>
      <c r="E1334" s="2" t="s">
        <v>720</v>
      </c>
      <c r="F1334" s="20" t="s">
        <v>60</v>
      </c>
      <c r="G1334" s="2" t="s">
        <v>2872</v>
      </c>
      <c r="H1334" s="16"/>
      <c r="I1334" s="20"/>
      <c r="J1334" s="20"/>
      <c r="K1334" s="20"/>
      <c r="L1334" s="20"/>
      <c r="M1334" s="20"/>
      <c r="N1334" s="20"/>
      <c r="O1334" s="20"/>
      <c r="P1334" s="20"/>
      <c r="Q1334" s="20"/>
      <c r="R1334" s="20"/>
      <c r="S1334" s="20"/>
      <c r="T1334" s="20"/>
      <c r="U1334" s="20"/>
      <c r="V1334" s="20"/>
      <c r="W1334" s="20"/>
      <c r="X1334" s="20"/>
      <c r="Y1334" s="20"/>
      <c r="Z1334" s="20"/>
      <c r="AA1334" s="20"/>
    </row>
    <row r="1335" spans="1:27" ht="121.8" x14ac:dyDescent="0.25">
      <c r="A1335" s="16"/>
      <c r="B1335" s="20" t="b">
        <f ca="1">IFERROR(__xludf.DUMMYFUNCTION("if(D1335=iferror(filter('Character Sheet'!D$13:D3002,'Character Sheet'!D$13:D3002=D1335),""""),True,False)"),FALSE)</f>
        <v>0</v>
      </c>
      <c r="C1335" s="20">
        <v>500</v>
      </c>
      <c r="D1335" s="2" t="s">
        <v>2873</v>
      </c>
      <c r="E1335" s="2" t="s">
        <v>469</v>
      </c>
      <c r="F1335" s="20" t="s">
        <v>60</v>
      </c>
      <c r="G1335" s="2" t="s">
        <v>2874</v>
      </c>
      <c r="H1335" s="16"/>
      <c r="I1335" s="20"/>
      <c r="J1335" s="20"/>
      <c r="K1335" s="20"/>
      <c r="L1335" s="20"/>
      <c r="M1335" s="20"/>
      <c r="N1335" s="20"/>
      <c r="O1335" s="20"/>
      <c r="P1335" s="20"/>
      <c r="Q1335" s="20"/>
      <c r="R1335" s="20"/>
      <c r="S1335" s="20"/>
      <c r="T1335" s="20"/>
      <c r="U1335" s="20"/>
      <c r="V1335" s="20"/>
      <c r="W1335" s="20"/>
      <c r="X1335" s="20"/>
      <c r="Y1335" s="20"/>
      <c r="Z1335" s="20"/>
      <c r="AA1335" s="20"/>
    </row>
    <row r="1336" spans="1:27" ht="87" x14ac:dyDescent="0.25">
      <c r="A1336" s="16"/>
      <c r="B1336" s="20" t="b">
        <f ca="1">IFERROR(__xludf.DUMMYFUNCTION("if(D1336=iferror(filter('Character Sheet'!D$13:D3002,'Character Sheet'!D$13:D3002=D1336),""""),True,False)"),FALSE)</f>
        <v>0</v>
      </c>
      <c r="C1336" s="20">
        <v>500</v>
      </c>
      <c r="D1336" s="2" t="s">
        <v>2875</v>
      </c>
      <c r="E1336" s="2" t="s">
        <v>704</v>
      </c>
      <c r="F1336" s="20" t="s">
        <v>60</v>
      </c>
      <c r="G1336" s="2" t="s">
        <v>2876</v>
      </c>
      <c r="H1336" s="16"/>
      <c r="I1336" s="20"/>
      <c r="J1336" s="20"/>
      <c r="K1336" s="20"/>
      <c r="L1336" s="20"/>
      <c r="M1336" s="20"/>
      <c r="N1336" s="20"/>
      <c r="O1336" s="20"/>
      <c r="P1336" s="20"/>
      <c r="Q1336" s="20"/>
      <c r="R1336" s="20"/>
      <c r="S1336" s="20"/>
      <c r="T1336" s="20"/>
      <c r="U1336" s="20"/>
      <c r="V1336" s="20"/>
      <c r="W1336" s="20"/>
      <c r="X1336" s="20"/>
      <c r="Y1336" s="20"/>
      <c r="Z1336" s="20"/>
      <c r="AA1336" s="20"/>
    </row>
    <row r="1337" spans="1:27" ht="226.2" x14ac:dyDescent="0.25">
      <c r="A1337" s="16"/>
      <c r="B1337" s="20" t="b">
        <f ca="1">IFERROR(__xludf.DUMMYFUNCTION("if(D1337=iferror(filter('Character Sheet'!D$13:D3002,'Character Sheet'!D$13:D3002=D1337),""""),True,False)"),FALSE)</f>
        <v>0</v>
      </c>
      <c r="C1337" s="20">
        <v>500</v>
      </c>
      <c r="D1337" s="2" t="s">
        <v>2877</v>
      </c>
      <c r="E1337" s="2" t="s">
        <v>963</v>
      </c>
      <c r="F1337" s="20" t="s">
        <v>60</v>
      </c>
      <c r="G1337" s="2" t="s">
        <v>2878</v>
      </c>
      <c r="H1337" s="16"/>
      <c r="I1337" s="20"/>
      <c r="J1337" s="20"/>
      <c r="K1337" s="20"/>
      <c r="L1337" s="20"/>
      <c r="M1337" s="20"/>
      <c r="N1337" s="20"/>
      <c r="O1337" s="20"/>
      <c r="P1337" s="20"/>
      <c r="Q1337" s="20"/>
      <c r="R1337" s="20"/>
      <c r="S1337" s="20"/>
      <c r="T1337" s="20"/>
      <c r="U1337" s="20"/>
      <c r="V1337" s="20"/>
      <c r="W1337" s="20"/>
      <c r="X1337" s="20"/>
      <c r="Y1337" s="20"/>
      <c r="Z1337" s="20"/>
      <c r="AA1337" s="20"/>
    </row>
    <row r="1338" spans="1:27" ht="208.8" x14ac:dyDescent="0.25">
      <c r="A1338" s="16"/>
      <c r="B1338" s="20" t="b">
        <f ca="1">IFERROR(__xludf.DUMMYFUNCTION("if(D1338=iferror(filter('Character Sheet'!D$13:D3002,'Character Sheet'!D$13:D3002=D1338),""""),True,False)"),FALSE)</f>
        <v>0</v>
      </c>
      <c r="C1338" s="20">
        <v>500</v>
      </c>
      <c r="D1338" s="2" t="s">
        <v>2879</v>
      </c>
      <c r="E1338" s="2" t="s">
        <v>996</v>
      </c>
      <c r="F1338" s="20" t="s">
        <v>60</v>
      </c>
      <c r="G1338" s="2" t="s">
        <v>2880</v>
      </c>
      <c r="H1338" s="16"/>
      <c r="I1338" s="20"/>
      <c r="J1338" s="20"/>
      <c r="K1338" s="20"/>
      <c r="L1338" s="20"/>
      <c r="M1338" s="20"/>
      <c r="N1338" s="20"/>
      <c r="O1338" s="20"/>
      <c r="P1338" s="20"/>
      <c r="Q1338" s="20"/>
      <c r="R1338" s="20"/>
      <c r="S1338" s="20"/>
      <c r="T1338" s="20"/>
      <c r="U1338" s="20"/>
      <c r="V1338" s="20"/>
      <c r="W1338" s="20"/>
      <c r="X1338" s="20"/>
      <c r="Y1338" s="20"/>
      <c r="Z1338" s="20"/>
      <c r="AA1338" s="20"/>
    </row>
    <row r="1339" spans="1:27" ht="69.599999999999994" x14ac:dyDescent="0.25">
      <c r="A1339" s="16"/>
      <c r="B1339" s="20" t="b">
        <f ca="1">IFERROR(__xludf.DUMMYFUNCTION("if(D1339=iferror(filter('Character Sheet'!D$13:D3002,'Character Sheet'!D$13:D3002=D1339),""""),True,False)"),FALSE)</f>
        <v>0</v>
      </c>
      <c r="C1339" s="20">
        <v>500</v>
      </c>
      <c r="D1339" s="2" t="s">
        <v>2881</v>
      </c>
      <c r="E1339" s="2" t="s">
        <v>469</v>
      </c>
      <c r="F1339" s="20" t="s">
        <v>60</v>
      </c>
      <c r="G1339" s="2" t="s">
        <v>2882</v>
      </c>
      <c r="H1339" s="16"/>
      <c r="I1339" s="20"/>
      <c r="J1339" s="20"/>
      <c r="K1339" s="20"/>
      <c r="L1339" s="20"/>
      <c r="M1339" s="20"/>
      <c r="N1339" s="20"/>
      <c r="O1339" s="20"/>
      <c r="P1339" s="20"/>
      <c r="Q1339" s="20"/>
      <c r="R1339" s="20"/>
      <c r="S1339" s="20"/>
      <c r="T1339" s="20"/>
      <c r="U1339" s="20"/>
      <c r="V1339" s="20"/>
      <c r="W1339" s="20"/>
      <c r="X1339" s="20"/>
      <c r="Y1339" s="20"/>
      <c r="Z1339" s="20"/>
      <c r="AA1339" s="20"/>
    </row>
    <row r="1340" spans="1:27" ht="261" x14ac:dyDescent="0.25">
      <c r="A1340" s="16"/>
      <c r="B1340" s="20" t="b">
        <f ca="1">IFERROR(__xludf.DUMMYFUNCTION("if(D1340=iferror(filter('Character Sheet'!D$13:D3002,'Character Sheet'!D$13:D3002=D1340),""""),True,False)"),FALSE)</f>
        <v>0</v>
      </c>
      <c r="C1340" s="20">
        <v>500</v>
      </c>
      <c r="D1340" s="2" t="s">
        <v>2883</v>
      </c>
      <c r="E1340" s="2" t="s">
        <v>469</v>
      </c>
      <c r="F1340" s="20" t="s">
        <v>60</v>
      </c>
      <c r="G1340" s="2" t="s">
        <v>2884</v>
      </c>
      <c r="H1340" s="16"/>
      <c r="I1340" s="20"/>
      <c r="J1340" s="20"/>
      <c r="K1340" s="20"/>
      <c r="L1340" s="20"/>
      <c r="M1340" s="20"/>
      <c r="N1340" s="20"/>
      <c r="O1340" s="20"/>
      <c r="P1340" s="20"/>
      <c r="Q1340" s="20"/>
      <c r="R1340" s="20"/>
      <c r="S1340" s="20"/>
      <c r="T1340" s="20"/>
      <c r="U1340" s="20"/>
      <c r="V1340" s="20"/>
      <c r="W1340" s="20"/>
      <c r="X1340" s="20"/>
      <c r="Y1340" s="20"/>
      <c r="Z1340" s="20"/>
      <c r="AA1340" s="20"/>
    </row>
    <row r="1341" spans="1:27" ht="278.39999999999998" x14ac:dyDescent="0.25">
      <c r="A1341" s="16"/>
      <c r="B1341" s="20" t="b">
        <f ca="1">IFERROR(__xludf.DUMMYFUNCTION("if(D1341=iferror(filter('Character Sheet'!D$13:D3002,'Character Sheet'!D$13:D3002=D1341),""""),True,False)"),FALSE)</f>
        <v>0</v>
      </c>
      <c r="C1341" s="20">
        <v>500</v>
      </c>
      <c r="D1341" s="2" t="s">
        <v>2885</v>
      </c>
      <c r="E1341" s="2" t="s">
        <v>165</v>
      </c>
      <c r="F1341" s="20" t="s">
        <v>60</v>
      </c>
      <c r="G1341" s="2" t="s">
        <v>2886</v>
      </c>
      <c r="H1341" s="16"/>
      <c r="I1341" s="20"/>
      <c r="J1341" s="20"/>
      <c r="K1341" s="20"/>
      <c r="L1341" s="20"/>
      <c r="M1341" s="20"/>
      <c r="N1341" s="20"/>
      <c r="O1341" s="20"/>
      <c r="P1341" s="20"/>
      <c r="Q1341" s="20"/>
      <c r="R1341" s="20"/>
      <c r="S1341" s="20"/>
      <c r="T1341" s="20"/>
      <c r="U1341" s="20"/>
      <c r="V1341" s="20"/>
      <c r="W1341" s="20"/>
      <c r="X1341" s="20"/>
      <c r="Y1341" s="20"/>
      <c r="Z1341" s="20"/>
      <c r="AA1341" s="20"/>
    </row>
    <row r="1342" spans="1:27" ht="226.2" x14ac:dyDescent="0.25">
      <c r="A1342" s="16"/>
      <c r="B1342" s="20" t="b">
        <f ca="1">IFERROR(__xludf.DUMMYFUNCTION("if(D1342=iferror(filter('Character Sheet'!D$13:D3002,'Character Sheet'!D$13:D3002=D1342),""""),True,False)"),FALSE)</f>
        <v>0</v>
      </c>
      <c r="C1342" s="20">
        <v>500</v>
      </c>
      <c r="D1342" s="2" t="s">
        <v>2887</v>
      </c>
      <c r="E1342" s="2" t="s">
        <v>815</v>
      </c>
      <c r="F1342" s="20" t="s">
        <v>60</v>
      </c>
      <c r="G1342" s="2" t="s">
        <v>2888</v>
      </c>
      <c r="H1342" s="16"/>
      <c r="I1342" s="20"/>
      <c r="J1342" s="20"/>
      <c r="K1342" s="20"/>
      <c r="L1342" s="20"/>
      <c r="M1342" s="20"/>
      <c r="N1342" s="20"/>
      <c r="O1342" s="20"/>
      <c r="P1342" s="20"/>
      <c r="Q1342" s="20"/>
      <c r="R1342" s="20"/>
      <c r="S1342" s="20"/>
      <c r="T1342" s="20"/>
      <c r="U1342" s="20"/>
      <c r="V1342" s="20"/>
      <c r="W1342" s="20"/>
      <c r="X1342" s="20"/>
      <c r="Y1342" s="20"/>
      <c r="Z1342" s="20"/>
      <c r="AA1342" s="20"/>
    </row>
    <row r="1343" spans="1:27" ht="69.599999999999994" x14ac:dyDescent="0.25">
      <c r="A1343" s="16"/>
      <c r="B1343" s="20" t="b">
        <f ca="1">IFERROR(__xludf.DUMMYFUNCTION("if(D1343=iferror(filter('Character Sheet'!D$13:D3002,'Character Sheet'!D$13:D3002=D1343),""""),True,False)"),FALSE)</f>
        <v>0</v>
      </c>
      <c r="C1343" s="20">
        <v>500</v>
      </c>
      <c r="D1343" s="2" t="s">
        <v>2889</v>
      </c>
      <c r="E1343" s="2" t="s">
        <v>451</v>
      </c>
      <c r="F1343" s="20" t="s">
        <v>60</v>
      </c>
      <c r="G1343" s="2" t="s">
        <v>2890</v>
      </c>
      <c r="H1343" s="16"/>
      <c r="I1343" s="20"/>
      <c r="J1343" s="20"/>
      <c r="K1343" s="20"/>
      <c r="L1343" s="20"/>
      <c r="M1343" s="20"/>
      <c r="N1343" s="20"/>
      <c r="O1343" s="20"/>
      <c r="P1343" s="20"/>
      <c r="Q1343" s="20"/>
      <c r="R1343" s="20"/>
      <c r="S1343" s="20"/>
      <c r="T1343" s="20"/>
      <c r="U1343" s="20"/>
      <c r="V1343" s="20"/>
      <c r="W1343" s="20"/>
      <c r="X1343" s="20"/>
      <c r="Y1343" s="20"/>
      <c r="Z1343" s="20"/>
      <c r="AA1343" s="20"/>
    </row>
    <row r="1344" spans="1:27" ht="104.4" x14ac:dyDescent="0.25">
      <c r="A1344" s="16"/>
      <c r="B1344" s="20" t="b">
        <f ca="1">IFERROR(__xludf.DUMMYFUNCTION("if(D1344=iferror(filter('Character Sheet'!D$13:D3002,'Character Sheet'!D$13:D3002=D1344),""""),True,False)"),FALSE)</f>
        <v>0</v>
      </c>
      <c r="C1344" s="20">
        <v>500</v>
      </c>
      <c r="D1344" s="2" t="s">
        <v>2891</v>
      </c>
      <c r="E1344" s="2" t="s">
        <v>271</v>
      </c>
      <c r="F1344" s="20" t="s">
        <v>60</v>
      </c>
      <c r="G1344" s="2" t="s">
        <v>2892</v>
      </c>
      <c r="H1344" s="16"/>
      <c r="I1344" s="20"/>
      <c r="J1344" s="20"/>
      <c r="K1344" s="20"/>
      <c r="L1344" s="20"/>
      <c r="M1344" s="20"/>
      <c r="N1344" s="20"/>
      <c r="O1344" s="20"/>
      <c r="P1344" s="20"/>
      <c r="Q1344" s="20"/>
      <c r="R1344" s="20"/>
      <c r="S1344" s="20"/>
      <c r="T1344" s="20"/>
      <c r="U1344" s="20"/>
      <c r="V1344" s="20"/>
      <c r="W1344" s="20"/>
      <c r="X1344" s="20"/>
      <c r="Y1344" s="20"/>
      <c r="Z1344" s="20"/>
      <c r="AA1344" s="20"/>
    </row>
    <row r="1345" spans="1:27" ht="156.6" x14ac:dyDescent="0.25">
      <c r="A1345" s="16"/>
      <c r="B1345" s="20" t="b">
        <f ca="1">IFERROR(__xludf.DUMMYFUNCTION("if(D1345=iferror(filter('Character Sheet'!D$13:D3002,'Character Sheet'!D$13:D3002=D1345),""""),True,False)"),FALSE)</f>
        <v>0</v>
      </c>
      <c r="C1345" s="20">
        <v>500</v>
      </c>
      <c r="D1345" s="2" t="s">
        <v>2893</v>
      </c>
      <c r="E1345" s="2" t="s">
        <v>576</v>
      </c>
      <c r="F1345" s="20" t="s">
        <v>60</v>
      </c>
      <c r="G1345" s="2" t="s">
        <v>2894</v>
      </c>
      <c r="H1345" s="16"/>
      <c r="I1345" s="20"/>
      <c r="J1345" s="20"/>
      <c r="K1345" s="20"/>
      <c r="L1345" s="20"/>
      <c r="M1345" s="20"/>
      <c r="N1345" s="20"/>
      <c r="O1345" s="20"/>
      <c r="P1345" s="20"/>
      <c r="Q1345" s="20"/>
      <c r="R1345" s="20"/>
      <c r="S1345" s="20"/>
      <c r="T1345" s="20"/>
      <c r="U1345" s="20"/>
      <c r="V1345" s="20"/>
      <c r="W1345" s="20"/>
      <c r="X1345" s="20"/>
      <c r="Y1345" s="20"/>
      <c r="Z1345" s="20"/>
      <c r="AA1345" s="20"/>
    </row>
    <row r="1346" spans="1:27" ht="69.599999999999994" x14ac:dyDescent="0.25">
      <c r="A1346" s="16"/>
      <c r="B1346" s="20" t="b">
        <f ca="1">IFERROR(__xludf.DUMMYFUNCTION("if(D1346=iferror(filter('Character Sheet'!D$13:D3002,'Character Sheet'!D$13:D3002=D1346),""""),True,False)"),FALSE)</f>
        <v>0</v>
      </c>
      <c r="C1346" s="20">
        <v>500</v>
      </c>
      <c r="D1346" s="2" t="s">
        <v>2895</v>
      </c>
      <c r="E1346" s="2" t="s">
        <v>93</v>
      </c>
      <c r="F1346" s="20" t="s">
        <v>60</v>
      </c>
      <c r="G1346" s="2" t="s">
        <v>2896</v>
      </c>
      <c r="H1346" s="16"/>
      <c r="I1346" s="20"/>
      <c r="J1346" s="20"/>
      <c r="K1346" s="20"/>
      <c r="L1346" s="20"/>
      <c r="M1346" s="20"/>
      <c r="N1346" s="20"/>
      <c r="O1346" s="20"/>
      <c r="P1346" s="20"/>
      <c r="Q1346" s="20"/>
      <c r="R1346" s="20"/>
      <c r="S1346" s="20"/>
      <c r="T1346" s="20"/>
      <c r="U1346" s="20"/>
      <c r="V1346" s="20"/>
      <c r="W1346" s="20"/>
      <c r="X1346" s="20"/>
      <c r="Y1346" s="20"/>
      <c r="Z1346" s="20"/>
      <c r="AA1346" s="20"/>
    </row>
    <row r="1347" spans="1:27" ht="87" x14ac:dyDescent="0.25">
      <c r="A1347" s="16"/>
      <c r="B1347" s="20" t="b">
        <f ca="1">IFERROR(__xludf.DUMMYFUNCTION("if(D1347=iferror(filter('Character Sheet'!D$13:D3002,'Character Sheet'!D$13:D3002=D1347),""""),True,False)"),FALSE)</f>
        <v>0</v>
      </c>
      <c r="C1347" s="20">
        <v>600</v>
      </c>
      <c r="D1347" s="2" t="s">
        <v>2897</v>
      </c>
      <c r="E1347" s="2" t="s">
        <v>401</v>
      </c>
      <c r="F1347" s="20" t="s">
        <v>60</v>
      </c>
      <c r="G1347" s="2" t="s">
        <v>2898</v>
      </c>
      <c r="H1347" s="16"/>
      <c r="I1347" s="20"/>
      <c r="J1347" s="20"/>
      <c r="K1347" s="20"/>
      <c r="L1347" s="20"/>
      <c r="M1347" s="20"/>
      <c r="N1347" s="20"/>
      <c r="O1347" s="20"/>
      <c r="P1347" s="20"/>
      <c r="Q1347" s="20"/>
      <c r="R1347" s="20"/>
      <c r="S1347" s="20"/>
      <c r="T1347" s="20"/>
      <c r="U1347" s="20"/>
      <c r="V1347" s="20"/>
      <c r="W1347" s="20"/>
      <c r="X1347" s="20"/>
      <c r="Y1347" s="20"/>
      <c r="Z1347" s="20"/>
      <c r="AA1347" s="20"/>
    </row>
    <row r="1348" spans="1:27" ht="208.8" x14ac:dyDescent="0.25">
      <c r="A1348" s="16"/>
      <c r="B1348" s="20" t="b">
        <f ca="1">IFERROR(__xludf.DUMMYFUNCTION("if(D1348=iferror(filter('Character Sheet'!D$13:D3002,'Character Sheet'!D$13:D3002=D1348),""""),True,False)"),FALSE)</f>
        <v>0</v>
      </c>
      <c r="C1348" s="20">
        <v>600</v>
      </c>
      <c r="D1348" s="2" t="s">
        <v>2899</v>
      </c>
      <c r="E1348" s="2" t="s">
        <v>87</v>
      </c>
      <c r="F1348" s="20" t="s">
        <v>60</v>
      </c>
      <c r="G1348" s="2" t="s">
        <v>2900</v>
      </c>
      <c r="H1348" s="16"/>
      <c r="I1348" s="20"/>
      <c r="J1348" s="20"/>
      <c r="K1348" s="20"/>
      <c r="L1348" s="20"/>
      <c r="M1348" s="20"/>
      <c r="N1348" s="20"/>
      <c r="O1348" s="20"/>
      <c r="P1348" s="20"/>
      <c r="Q1348" s="20"/>
      <c r="R1348" s="20"/>
      <c r="S1348" s="20"/>
      <c r="T1348" s="20"/>
      <c r="U1348" s="20"/>
      <c r="V1348" s="20"/>
      <c r="W1348" s="20"/>
      <c r="X1348" s="20"/>
      <c r="Y1348" s="20"/>
      <c r="Z1348" s="20"/>
      <c r="AA1348" s="20"/>
    </row>
    <row r="1349" spans="1:27" ht="208.8" x14ac:dyDescent="0.25">
      <c r="A1349" s="16"/>
      <c r="B1349" s="20" t="b">
        <f ca="1">IFERROR(__xludf.DUMMYFUNCTION("if(D1349=iferror(filter('Character Sheet'!D$13:D3002,'Character Sheet'!D$13:D3002=D1349),""""),True,False)"),FALSE)</f>
        <v>0</v>
      </c>
      <c r="C1349" s="20">
        <v>600</v>
      </c>
      <c r="D1349" s="2" t="s">
        <v>2901</v>
      </c>
      <c r="E1349" s="2" t="s">
        <v>413</v>
      </c>
      <c r="F1349" s="20" t="s">
        <v>60</v>
      </c>
      <c r="G1349" s="2" t="s">
        <v>2902</v>
      </c>
      <c r="H1349" s="16"/>
      <c r="I1349" s="20"/>
      <c r="J1349" s="20"/>
      <c r="K1349" s="20"/>
      <c r="L1349" s="20"/>
      <c r="M1349" s="20"/>
      <c r="N1349" s="20"/>
      <c r="O1349" s="20"/>
      <c r="P1349" s="20"/>
      <c r="Q1349" s="20"/>
      <c r="R1349" s="20"/>
      <c r="S1349" s="20"/>
      <c r="T1349" s="20"/>
      <c r="U1349" s="20"/>
      <c r="V1349" s="20"/>
      <c r="W1349" s="20"/>
      <c r="X1349" s="20"/>
      <c r="Y1349" s="20"/>
      <c r="Z1349" s="20"/>
      <c r="AA1349" s="20"/>
    </row>
    <row r="1350" spans="1:27" ht="174" x14ac:dyDescent="0.25">
      <c r="A1350" s="16"/>
      <c r="B1350" s="20" t="b">
        <f ca="1">IFERROR(__xludf.DUMMYFUNCTION("if(D1350=iferror(filter('Character Sheet'!D$13:D3002,'Character Sheet'!D$13:D3002=D1350),""""),True,False)"),FALSE)</f>
        <v>0</v>
      </c>
      <c r="C1350" s="20">
        <v>600</v>
      </c>
      <c r="D1350" s="2" t="s">
        <v>2903</v>
      </c>
      <c r="E1350" s="2" t="s">
        <v>1093</v>
      </c>
      <c r="F1350" s="20" t="s">
        <v>60</v>
      </c>
      <c r="G1350" s="2" t="s">
        <v>2904</v>
      </c>
      <c r="H1350" s="16"/>
      <c r="I1350" s="20"/>
      <c r="J1350" s="20"/>
      <c r="K1350" s="20"/>
      <c r="L1350" s="20"/>
      <c r="M1350" s="20"/>
      <c r="N1350" s="20"/>
      <c r="O1350" s="20"/>
      <c r="P1350" s="20"/>
      <c r="Q1350" s="20"/>
      <c r="R1350" s="20"/>
      <c r="S1350" s="20"/>
      <c r="T1350" s="20"/>
      <c r="U1350" s="20"/>
      <c r="V1350" s="20"/>
      <c r="W1350" s="20"/>
      <c r="X1350" s="20"/>
      <c r="Y1350" s="20"/>
      <c r="Z1350" s="20"/>
      <c r="AA1350" s="20"/>
    </row>
    <row r="1351" spans="1:27" ht="278.39999999999998" x14ac:dyDescent="0.25">
      <c r="A1351" s="16"/>
      <c r="B1351" s="20" t="b">
        <f ca="1">IFERROR(__xludf.DUMMYFUNCTION("if(D1351=iferror(filter('Character Sheet'!D$13:D3002,'Character Sheet'!D$13:D3002=D1351),""""),True,False)"),FALSE)</f>
        <v>0</v>
      </c>
      <c r="C1351" s="20">
        <v>600</v>
      </c>
      <c r="D1351" s="2" t="s">
        <v>2905</v>
      </c>
      <c r="E1351" s="2" t="s">
        <v>838</v>
      </c>
      <c r="F1351" s="20" t="s">
        <v>60</v>
      </c>
      <c r="G1351" s="2" t="s">
        <v>2906</v>
      </c>
      <c r="H1351" s="16"/>
      <c r="I1351" s="20"/>
      <c r="J1351" s="20"/>
      <c r="K1351" s="20"/>
      <c r="L1351" s="20"/>
      <c r="M1351" s="20"/>
      <c r="N1351" s="20"/>
      <c r="O1351" s="20"/>
      <c r="P1351" s="20"/>
      <c r="Q1351" s="20"/>
      <c r="R1351" s="20"/>
      <c r="S1351" s="20"/>
      <c r="T1351" s="20"/>
      <c r="U1351" s="20"/>
      <c r="V1351" s="20"/>
      <c r="W1351" s="20"/>
      <c r="X1351" s="20"/>
      <c r="Y1351" s="20"/>
      <c r="Z1351" s="20"/>
      <c r="AA1351" s="20"/>
    </row>
    <row r="1352" spans="1:27" ht="243.6" x14ac:dyDescent="0.25">
      <c r="A1352" s="16"/>
      <c r="B1352" s="20" t="b">
        <f ca="1">IFERROR(__xludf.DUMMYFUNCTION("if(D1352=iferror(filter('Character Sheet'!D$13:D3002,'Character Sheet'!D$13:D3002=D1352),""""),True,False)"),FALSE)</f>
        <v>0</v>
      </c>
      <c r="C1352" s="20">
        <v>600</v>
      </c>
      <c r="D1352" s="2" t="s">
        <v>2907</v>
      </c>
      <c r="E1352" s="2" t="s">
        <v>576</v>
      </c>
      <c r="F1352" s="20" t="s">
        <v>60</v>
      </c>
      <c r="G1352" s="2" t="s">
        <v>2908</v>
      </c>
      <c r="H1352" s="16"/>
      <c r="I1352" s="20"/>
      <c r="J1352" s="20"/>
      <c r="K1352" s="20"/>
      <c r="L1352" s="20"/>
      <c r="M1352" s="20"/>
      <c r="N1352" s="20"/>
      <c r="O1352" s="20"/>
      <c r="P1352" s="20"/>
      <c r="Q1352" s="20"/>
      <c r="R1352" s="20"/>
      <c r="S1352" s="20"/>
      <c r="T1352" s="20"/>
      <c r="U1352" s="20"/>
      <c r="V1352" s="20"/>
      <c r="W1352" s="20"/>
      <c r="X1352" s="20"/>
      <c r="Y1352" s="20"/>
      <c r="Z1352" s="20"/>
      <c r="AA1352" s="20"/>
    </row>
    <row r="1353" spans="1:27" ht="87" x14ac:dyDescent="0.25">
      <c r="A1353" s="16"/>
      <c r="B1353" s="20" t="b">
        <f ca="1">IFERROR(__xludf.DUMMYFUNCTION("if(D1353=iferror(filter('Character Sheet'!D$13:D3002,'Character Sheet'!D$13:D3002=D1353),""""),True,False)"),FALSE)</f>
        <v>0</v>
      </c>
      <c r="C1353" s="20">
        <v>600</v>
      </c>
      <c r="D1353" s="2" t="s">
        <v>2909</v>
      </c>
      <c r="E1353" s="2" t="s">
        <v>2910</v>
      </c>
      <c r="F1353" s="20" t="s">
        <v>60</v>
      </c>
      <c r="G1353" s="2" t="s">
        <v>2911</v>
      </c>
      <c r="H1353" s="16"/>
      <c r="I1353" s="20"/>
      <c r="J1353" s="20"/>
      <c r="K1353" s="20"/>
      <c r="L1353" s="20"/>
      <c r="M1353" s="20"/>
      <c r="N1353" s="20"/>
      <c r="O1353" s="20"/>
      <c r="P1353" s="20"/>
      <c r="Q1353" s="20"/>
      <c r="R1353" s="20"/>
      <c r="S1353" s="20"/>
      <c r="T1353" s="20"/>
      <c r="U1353" s="20"/>
      <c r="V1353" s="20"/>
      <c r="W1353" s="20"/>
      <c r="X1353" s="20"/>
      <c r="Y1353" s="20"/>
      <c r="Z1353" s="20"/>
      <c r="AA1353" s="20"/>
    </row>
    <row r="1354" spans="1:27" ht="139.19999999999999" x14ac:dyDescent="0.25">
      <c r="A1354" s="16"/>
      <c r="B1354" s="20" t="b">
        <f ca="1">IFERROR(__xludf.DUMMYFUNCTION("if(D1354=iferror(filter('Character Sheet'!D$13:D3002,'Character Sheet'!D$13:D3002=D1354),""""),True,False)"),FALSE)</f>
        <v>0</v>
      </c>
      <c r="C1354" s="20">
        <v>600</v>
      </c>
      <c r="D1354" s="2" t="s">
        <v>2912</v>
      </c>
      <c r="E1354" s="2" t="s">
        <v>2214</v>
      </c>
      <c r="F1354" s="20" t="s">
        <v>60</v>
      </c>
      <c r="G1354" s="2" t="s">
        <v>2913</v>
      </c>
      <c r="H1354" s="16"/>
      <c r="I1354" s="20"/>
      <c r="J1354" s="20"/>
      <c r="K1354" s="20"/>
      <c r="L1354" s="20"/>
      <c r="M1354" s="20"/>
      <c r="N1354" s="20"/>
      <c r="O1354" s="20"/>
      <c r="P1354" s="20"/>
      <c r="Q1354" s="20"/>
      <c r="R1354" s="20"/>
      <c r="S1354" s="20"/>
      <c r="T1354" s="20"/>
      <c r="U1354" s="20"/>
      <c r="V1354" s="20"/>
      <c r="W1354" s="20"/>
      <c r="X1354" s="20"/>
      <c r="Y1354" s="20"/>
      <c r="Z1354" s="20"/>
      <c r="AA1354" s="20"/>
    </row>
    <row r="1355" spans="1:27" ht="87" x14ac:dyDescent="0.25">
      <c r="A1355" s="16"/>
      <c r="B1355" s="20" t="b">
        <f ca="1">IFERROR(__xludf.DUMMYFUNCTION("if(D1355=iferror(filter('Character Sheet'!D$13:D3002,'Character Sheet'!D$13:D3002=D1355),""""),True,False)"),FALSE)</f>
        <v>0</v>
      </c>
      <c r="C1355" s="20">
        <v>600</v>
      </c>
      <c r="D1355" s="2" t="s">
        <v>2914</v>
      </c>
      <c r="E1355" s="2" t="s">
        <v>109</v>
      </c>
      <c r="F1355" s="20" t="s">
        <v>60</v>
      </c>
      <c r="G1355" s="2" t="s">
        <v>2915</v>
      </c>
      <c r="H1355" s="16"/>
      <c r="I1355" s="20"/>
      <c r="J1355" s="20"/>
      <c r="K1355" s="20"/>
      <c r="L1355" s="20"/>
      <c r="M1355" s="20"/>
      <c r="N1355" s="20"/>
      <c r="O1355" s="20"/>
      <c r="P1355" s="20"/>
      <c r="Q1355" s="20"/>
      <c r="R1355" s="20"/>
      <c r="S1355" s="20"/>
      <c r="T1355" s="20"/>
      <c r="U1355" s="20"/>
      <c r="V1355" s="20"/>
      <c r="W1355" s="20"/>
      <c r="X1355" s="20"/>
      <c r="Y1355" s="20"/>
      <c r="Z1355" s="20"/>
      <c r="AA1355" s="20"/>
    </row>
    <row r="1356" spans="1:27" ht="243.6" x14ac:dyDescent="0.25">
      <c r="A1356" s="16"/>
      <c r="B1356" s="20" t="b">
        <f ca="1">IFERROR(__xludf.DUMMYFUNCTION("if(D1356=iferror(filter('Character Sheet'!D$13:D3002,'Character Sheet'!D$13:D3002=D1356),""""),True,False)"),FALSE)</f>
        <v>0</v>
      </c>
      <c r="C1356" s="20">
        <v>600</v>
      </c>
      <c r="D1356" s="2" t="s">
        <v>2916</v>
      </c>
      <c r="E1356" s="2" t="s">
        <v>253</v>
      </c>
      <c r="F1356" s="20" t="s">
        <v>60</v>
      </c>
      <c r="G1356" s="2" t="s">
        <v>2917</v>
      </c>
      <c r="H1356" s="16"/>
      <c r="I1356" s="20"/>
      <c r="J1356" s="20"/>
      <c r="K1356" s="20"/>
      <c r="L1356" s="20"/>
      <c r="M1356" s="20"/>
      <c r="N1356" s="20"/>
      <c r="O1356" s="20"/>
      <c r="P1356" s="20"/>
      <c r="Q1356" s="20"/>
      <c r="R1356" s="20"/>
      <c r="S1356" s="20"/>
      <c r="T1356" s="20"/>
      <c r="U1356" s="20"/>
      <c r="V1356" s="20"/>
      <c r="W1356" s="20"/>
      <c r="X1356" s="20"/>
      <c r="Y1356" s="20"/>
      <c r="Z1356" s="20"/>
      <c r="AA1356" s="20"/>
    </row>
    <row r="1357" spans="1:27" ht="104.4" x14ac:dyDescent="0.25">
      <c r="A1357" s="16"/>
      <c r="B1357" s="20" t="b">
        <f ca="1">IFERROR(__xludf.DUMMYFUNCTION("if(D1357=iferror(filter('Character Sheet'!D$13:D3002,'Character Sheet'!D$13:D3002=D1357),""""),True,False)"),FALSE)</f>
        <v>0</v>
      </c>
      <c r="C1357" s="20">
        <v>600</v>
      </c>
      <c r="D1357" s="2" t="s">
        <v>2918</v>
      </c>
      <c r="E1357" s="2" t="s">
        <v>322</v>
      </c>
      <c r="F1357" s="20" t="s">
        <v>60</v>
      </c>
      <c r="G1357" s="2" t="s">
        <v>2919</v>
      </c>
      <c r="H1357" s="16"/>
      <c r="I1357" s="20"/>
      <c r="J1357" s="20"/>
      <c r="K1357" s="20"/>
      <c r="L1357" s="20"/>
      <c r="M1357" s="20"/>
      <c r="N1357" s="20"/>
      <c r="O1357" s="20"/>
      <c r="P1357" s="20"/>
      <c r="Q1357" s="20"/>
      <c r="R1357" s="20"/>
      <c r="S1357" s="20"/>
      <c r="T1357" s="20"/>
      <c r="U1357" s="20"/>
      <c r="V1357" s="20"/>
      <c r="W1357" s="20"/>
      <c r="X1357" s="20"/>
      <c r="Y1357" s="20"/>
      <c r="Z1357" s="20"/>
      <c r="AA1357" s="20"/>
    </row>
    <row r="1358" spans="1:27" ht="174" x14ac:dyDescent="0.25">
      <c r="A1358" s="16"/>
      <c r="B1358" s="20" t="b">
        <f ca="1">IFERROR(__xludf.DUMMYFUNCTION("if(D1358=iferror(filter('Character Sheet'!D$13:D3002,'Character Sheet'!D$13:D3002=D1358),""""),True,False)"),FALSE)</f>
        <v>0</v>
      </c>
      <c r="C1358" s="20">
        <v>600</v>
      </c>
      <c r="D1358" s="2" t="s">
        <v>2920</v>
      </c>
      <c r="E1358" s="2" t="s">
        <v>1052</v>
      </c>
      <c r="F1358" s="20" t="s">
        <v>60</v>
      </c>
      <c r="G1358" s="2" t="s">
        <v>2921</v>
      </c>
      <c r="H1358" s="16"/>
      <c r="I1358" s="20"/>
      <c r="J1358" s="20"/>
      <c r="K1358" s="20"/>
      <c r="L1358" s="20"/>
      <c r="M1358" s="20"/>
      <c r="N1358" s="20"/>
      <c r="O1358" s="20"/>
      <c r="P1358" s="20"/>
      <c r="Q1358" s="20"/>
      <c r="R1358" s="20"/>
      <c r="S1358" s="20"/>
      <c r="T1358" s="20"/>
      <c r="U1358" s="20"/>
      <c r="V1358" s="20"/>
      <c r="W1358" s="20"/>
      <c r="X1358" s="20"/>
      <c r="Y1358" s="20"/>
      <c r="Z1358" s="20"/>
      <c r="AA1358" s="20"/>
    </row>
    <row r="1359" spans="1:27" ht="191.4" x14ac:dyDescent="0.25">
      <c r="A1359" s="16"/>
      <c r="B1359" s="20" t="b">
        <f ca="1">IFERROR(__xludf.DUMMYFUNCTION("if(D1359=iferror(filter('Character Sheet'!D$13:D3002,'Character Sheet'!D$13:D3002=D1359),""""),True,False)"),FALSE)</f>
        <v>0</v>
      </c>
      <c r="C1359" s="20">
        <v>600</v>
      </c>
      <c r="D1359" s="2" t="s">
        <v>2922</v>
      </c>
      <c r="E1359" s="2" t="s">
        <v>381</v>
      </c>
      <c r="F1359" s="20" t="s">
        <v>60</v>
      </c>
      <c r="G1359" s="2" t="s">
        <v>2923</v>
      </c>
      <c r="H1359" s="16"/>
      <c r="I1359" s="20"/>
      <c r="J1359" s="20"/>
      <c r="K1359" s="20"/>
      <c r="L1359" s="20"/>
      <c r="M1359" s="20"/>
      <c r="N1359" s="20"/>
      <c r="O1359" s="20"/>
      <c r="P1359" s="20"/>
      <c r="Q1359" s="20"/>
      <c r="R1359" s="20"/>
      <c r="S1359" s="20"/>
      <c r="T1359" s="20"/>
      <c r="U1359" s="20"/>
      <c r="V1359" s="20"/>
      <c r="W1359" s="20"/>
      <c r="X1359" s="20"/>
      <c r="Y1359" s="20"/>
      <c r="Z1359" s="20"/>
      <c r="AA1359" s="20"/>
    </row>
    <row r="1360" spans="1:27" ht="139.19999999999999" x14ac:dyDescent="0.25">
      <c r="A1360" s="16"/>
      <c r="B1360" s="20" t="b">
        <f ca="1">IFERROR(__xludf.DUMMYFUNCTION("if(D1360=iferror(filter('Character Sheet'!D$13:D3002,'Character Sheet'!D$13:D3002=D1360),""""),True,False)"),FALSE)</f>
        <v>0</v>
      </c>
      <c r="C1360" s="20">
        <v>600</v>
      </c>
      <c r="D1360" s="2" t="s">
        <v>2924</v>
      </c>
      <c r="E1360" s="2" t="s">
        <v>478</v>
      </c>
      <c r="F1360" s="20" t="s">
        <v>60</v>
      </c>
      <c r="G1360" s="2" t="s">
        <v>2925</v>
      </c>
      <c r="H1360" s="16"/>
      <c r="I1360" s="20"/>
      <c r="J1360" s="20"/>
      <c r="K1360" s="20"/>
      <c r="L1360" s="20"/>
      <c r="M1360" s="20"/>
      <c r="N1360" s="20"/>
      <c r="O1360" s="20"/>
      <c r="P1360" s="20"/>
      <c r="Q1360" s="20"/>
      <c r="R1360" s="20"/>
      <c r="S1360" s="20"/>
      <c r="T1360" s="20"/>
      <c r="U1360" s="20"/>
      <c r="V1360" s="20"/>
      <c r="W1360" s="20"/>
      <c r="X1360" s="20"/>
      <c r="Y1360" s="20"/>
      <c r="Z1360" s="20"/>
      <c r="AA1360" s="20"/>
    </row>
    <row r="1361" spans="1:27" ht="313.2" x14ac:dyDescent="0.25">
      <c r="A1361" s="16"/>
      <c r="B1361" s="20" t="b">
        <f ca="1">IFERROR(__xludf.DUMMYFUNCTION("if(D1361=iferror(filter('Character Sheet'!D$13:D3002,'Character Sheet'!D$13:D3002=D1361),""""),True,False)"),FALSE)</f>
        <v>0</v>
      </c>
      <c r="C1361" s="20">
        <v>600</v>
      </c>
      <c r="D1361" s="2" t="s">
        <v>2926</v>
      </c>
      <c r="E1361" s="2" t="s">
        <v>603</v>
      </c>
      <c r="F1361" s="20" t="s">
        <v>60</v>
      </c>
      <c r="G1361" s="2" t="s">
        <v>2927</v>
      </c>
      <c r="H1361" s="16"/>
      <c r="I1361" s="20"/>
      <c r="J1361" s="20"/>
      <c r="K1361" s="20"/>
      <c r="L1361" s="20"/>
      <c r="M1361" s="20"/>
      <c r="N1361" s="20"/>
      <c r="O1361" s="20"/>
      <c r="P1361" s="20"/>
      <c r="Q1361" s="20"/>
      <c r="R1361" s="20"/>
      <c r="S1361" s="20"/>
      <c r="T1361" s="20"/>
      <c r="U1361" s="20"/>
      <c r="V1361" s="20"/>
      <c r="W1361" s="20"/>
      <c r="X1361" s="20"/>
      <c r="Y1361" s="20"/>
      <c r="Z1361" s="20"/>
      <c r="AA1361" s="20"/>
    </row>
    <row r="1362" spans="1:27" ht="104.4" x14ac:dyDescent="0.25">
      <c r="A1362" s="16"/>
      <c r="B1362" s="20" t="b">
        <f ca="1">IFERROR(__xludf.DUMMYFUNCTION("if(D1362=iferror(filter('Character Sheet'!D$13:D3002,'Character Sheet'!D$13:D3002=D1362),""""),True,False)"),FALSE)</f>
        <v>0</v>
      </c>
      <c r="C1362" s="20">
        <v>600</v>
      </c>
      <c r="D1362" s="2" t="s">
        <v>2928</v>
      </c>
      <c r="E1362" s="2" t="s">
        <v>344</v>
      </c>
      <c r="F1362" s="20" t="s">
        <v>60</v>
      </c>
      <c r="G1362" s="2" t="s">
        <v>2929</v>
      </c>
      <c r="H1362" s="16"/>
      <c r="I1362" s="20"/>
      <c r="J1362" s="20"/>
      <c r="K1362" s="20"/>
      <c r="L1362" s="20"/>
      <c r="M1362" s="20"/>
      <c r="N1362" s="20"/>
      <c r="O1362" s="20"/>
      <c r="P1362" s="20"/>
      <c r="Q1362" s="20"/>
      <c r="R1362" s="20"/>
      <c r="S1362" s="20"/>
      <c r="T1362" s="20"/>
      <c r="U1362" s="20"/>
      <c r="V1362" s="20"/>
      <c r="W1362" s="20"/>
      <c r="X1362" s="20"/>
      <c r="Y1362" s="20"/>
      <c r="Z1362" s="20"/>
      <c r="AA1362" s="20"/>
    </row>
    <row r="1363" spans="1:27" ht="191.4" x14ac:dyDescent="0.25">
      <c r="A1363" s="16"/>
      <c r="B1363" s="20" t="b">
        <f ca="1">IFERROR(__xludf.DUMMYFUNCTION("if(D1363=iferror(filter('Character Sheet'!D$13:D3002,'Character Sheet'!D$13:D3002=D1363),""""),True,False)"),FALSE)</f>
        <v>0</v>
      </c>
      <c r="C1363" s="20">
        <v>600</v>
      </c>
      <c r="D1363" s="2" t="s">
        <v>2930</v>
      </c>
      <c r="E1363" s="2" t="s">
        <v>311</v>
      </c>
      <c r="F1363" s="20" t="s">
        <v>60</v>
      </c>
      <c r="G1363" s="2" t="s">
        <v>2931</v>
      </c>
      <c r="H1363" s="16"/>
      <c r="I1363" s="20"/>
      <c r="J1363" s="20"/>
      <c r="K1363" s="20"/>
      <c r="L1363" s="20"/>
      <c r="M1363" s="20"/>
      <c r="N1363" s="20"/>
      <c r="O1363" s="20"/>
      <c r="P1363" s="20"/>
      <c r="Q1363" s="20"/>
      <c r="R1363" s="20"/>
      <c r="S1363" s="20"/>
      <c r="T1363" s="20"/>
      <c r="U1363" s="20"/>
      <c r="V1363" s="20"/>
      <c r="W1363" s="20"/>
      <c r="X1363" s="20"/>
      <c r="Y1363" s="20"/>
      <c r="Z1363" s="20"/>
      <c r="AA1363" s="20"/>
    </row>
    <row r="1364" spans="1:27" ht="121.8" x14ac:dyDescent="0.25">
      <c r="A1364" s="16"/>
      <c r="B1364" s="20" t="b">
        <f ca="1">IFERROR(__xludf.DUMMYFUNCTION("if(D1364=iferror(filter('Character Sheet'!D$13:D3002,'Character Sheet'!D$13:D3002=D1364),""""),True,False)"),FALSE)</f>
        <v>0</v>
      </c>
      <c r="C1364" s="20">
        <v>600</v>
      </c>
      <c r="D1364" s="2" t="s">
        <v>2932</v>
      </c>
      <c r="E1364" s="2" t="s">
        <v>401</v>
      </c>
      <c r="F1364" s="20" t="s">
        <v>60</v>
      </c>
      <c r="G1364" s="2" t="s">
        <v>2933</v>
      </c>
      <c r="H1364" s="16"/>
      <c r="I1364" s="20"/>
      <c r="J1364" s="20"/>
      <c r="K1364" s="20"/>
      <c r="L1364" s="20"/>
      <c r="M1364" s="20"/>
      <c r="N1364" s="20"/>
      <c r="O1364" s="20"/>
      <c r="P1364" s="20"/>
      <c r="Q1364" s="20"/>
      <c r="R1364" s="20"/>
      <c r="S1364" s="20"/>
      <c r="T1364" s="20"/>
      <c r="U1364" s="20"/>
      <c r="V1364" s="20"/>
      <c r="W1364" s="20"/>
      <c r="X1364" s="20"/>
      <c r="Y1364" s="20"/>
      <c r="Z1364" s="20"/>
      <c r="AA1364" s="20"/>
    </row>
    <row r="1365" spans="1:27" ht="104.4" x14ac:dyDescent="0.25">
      <c r="A1365" s="16"/>
      <c r="B1365" s="20" t="b">
        <f ca="1">IFERROR(__xludf.DUMMYFUNCTION("if(D1365=iferror(filter('Character Sheet'!D$13:D3002,'Character Sheet'!D$13:D3002=D1365),""""),True,False)"),FALSE)</f>
        <v>0</v>
      </c>
      <c r="C1365" s="20">
        <v>600</v>
      </c>
      <c r="D1365" s="2" t="s">
        <v>2934</v>
      </c>
      <c r="E1365" s="2" t="s">
        <v>534</v>
      </c>
      <c r="F1365" s="20" t="s">
        <v>60</v>
      </c>
      <c r="G1365" s="2" t="s">
        <v>2935</v>
      </c>
      <c r="H1365" s="16"/>
      <c r="I1365" s="20"/>
      <c r="J1365" s="20"/>
      <c r="K1365" s="20"/>
      <c r="L1365" s="20"/>
      <c r="M1365" s="20"/>
      <c r="N1365" s="20"/>
      <c r="O1365" s="20"/>
      <c r="P1365" s="20"/>
      <c r="Q1365" s="20"/>
      <c r="R1365" s="20"/>
      <c r="S1365" s="20"/>
      <c r="T1365" s="20"/>
      <c r="U1365" s="20"/>
      <c r="V1365" s="20"/>
      <c r="W1365" s="20"/>
      <c r="X1365" s="20"/>
      <c r="Y1365" s="20"/>
      <c r="Z1365" s="20"/>
      <c r="AA1365" s="20"/>
    </row>
    <row r="1366" spans="1:27" ht="121.8" x14ac:dyDescent="0.25">
      <c r="A1366" s="16"/>
      <c r="B1366" s="20" t="b">
        <f ca="1">IFERROR(__xludf.DUMMYFUNCTION("if(D1366=iferror(filter('Character Sheet'!D$13:D3002,'Character Sheet'!D$13:D3002=D1366),""""),True,False)"),FALSE)</f>
        <v>0</v>
      </c>
      <c r="C1366" s="20">
        <v>600</v>
      </c>
      <c r="D1366" s="2" t="s">
        <v>2936</v>
      </c>
      <c r="E1366" s="2" t="s">
        <v>366</v>
      </c>
      <c r="F1366" s="20" t="s">
        <v>60</v>
      </c>
      <c r="G1366" s="2" t="s">
        <v>2937</v>
      </c>
      <c r="H1366" s="16"/>
      <c r="I1366" s="20"/>
      <c r="J1366" s="20"/>
      <c r="K1366" s="20"/>
      <c r="L1366" s="20"/>
      <c r="M1366" s="20"/>
      <c r="N1366" s="20"/>
      <c r="O1366" s="20"/>
      <c r="P1366" s="20"/>
      <c r="Q1366" s="20"/>
      <c r="R1366" s="20"/>
      <c r="S1366" s="20"/>
      <c r="T1366" s="20"/>
      <c r="U1366" s="20"/>
      <c r="V1366" s="20"/>
      <c r="W1366" s="20"/>
      <c r="X1366" s="20"/>
      <c r="Y1366" s="20"/>
      <c r="Z1366" s="20"/>
      <c r="AA1366" s="20"/>
    </row>
    <row r="1367" spans="1:27" ht="139.19999999999999" x14ac:dyDescent="0.25">
      <c r="A1367" s="16"/>
      <c r="B1367" s="20" t="b">
        <f ca="1">IFERROR(__xludf.DUMMYFUNCTION("if(D1367=iferror(filter('Character Sheet'!D$13:D3002,'Character Sheet'!D$13:D3002=D1367),""""),True,False)"),FALSE)</f>
        <v>0</v>
      </c>
      <c r="C1367" s="20">
        <v>600</v>
      </c>
      <c r="D1367" s="2" t="s">
        <v>2938</v>
      </c>
      <c r="E1367" s="2" t="s">
        <v>514</v>
      </c>
      <c r="F1367" s="20" t="s">
        <v>60</v>
      </c>
      <c r="G1367" s="2" t="s">
        <v>2939</v>
      </c>
      <c r="H1367" s="16"/>
      <c r="I1367" s="20"/>
      <c r="J1367" s="20"/>
      <c r="K1367" s="20"/>
      <c r="L1367" s="20"/>
      <c r="M1367" s="20"/>
      <c r="N1367" s="20"/>
      <c r="O1367" s="20"/>
      <c r="P1367" s="20"/>
      <c r="Q1367" s="20"/>
      <c r="R1367" s="20"/>
      <c r="S1367" s="20"/>
      <c r="T1367" s="20"/>
      <c r="U1367" s="20"/>
      <c r="V1367" s="20"/>
      <c r="W1367" s="20"/>
      <c r="X1367" s="20"/>
      <c r="Y1367" s="20"/>
      <c r="Z1367" s="20"/>
      <c r="AA1367" s="20"/>
    </row>
    <row r="1368" spans="1:27" ht="208.8" x14ac:dyDescent="0.25">
      <c r="A1368" s="16"/>
      <c r="B1368" s="20" t="b">
        <f ca="1">IFERROR(__xludf.DUMMYFUNCTION("if(D1368=iferror(filter('Character Sheet'!D$13:D3002,'Character Sheet'!D$13:D3002=D1368),""""),True,False)"),FALSE)</f>
        <v>0</v>
      </c>
      <c r="C1368" s="20">
        <v>600</v>
      </c>
      <c r="D1368" s="2" t="s">
        <v>2940</v>
      </c>
      <c r="E1368" s="2" t="s">
        <v>277</v>
      </c>
      <c r="F1368" s="20" t="s">
        <v>60</v>
      </c>
      <c r="G1368" s="25" t="s">
        <v>2941</v>
      </c>
      <c r="H1368" s="16"/>
      <c r="I1368" s="20"/>
      <c r="J1368" s="20"/>
      <c r="K1368" s="20"/>
      <c r="L1368" s="20"/>
      <c r="M1368" s="20"/>
      <c r="N1368" s="20"/>
      <c r="O1368" s="20"/>
      <c r="P1368" s="20"/>
      <c r="Q1368" s="20"/>
      <c r="R1368" s="20"/>
      <c r="S1368" s="20"/>
      <c r="T1368" s="20"/>
      <c r="U1368" s="20"/>
      <c r="V1368" s="20"/>
      <c r="W1368" s="20"/>
      <c r="X1368" s="20"/>
      <c r="Y1368" s="20"/>
      <c r="Z1368" s="20"/>
      <c r="AA1368" s="20"/>
    </row>
    <row r="1369" spans="1:27" ht="226.2" x14ac:dyDescent="0.25">
      <c r="A1369" s="16"/>
      <c r="B1369" s="20" t="b">
        <f ca="1">IFERROR(__xludf.DUMMYFUNCTION("if(D1369=iferror(filter('Character Sheet'!D$13:D3002,'Character Sheet'!D$13:D3002=D1369),""""),True,False)"),FALSE)</f>
        <v>0</v>
      </c>
      <c r="C1369" s="20">
        <v>600</v>
      </c>
      <c r="D1369" s="2" t="s">
        <v>2942</v>
      </c>
      <c r="E1369" s="2" t="s">
        <v>124</v>
      </c>
      <c r="F1369" s="20" t="s">
        <v>60</v>
      </c>
      <c r="G1369" s="2" t="s">
        <v>2943</v>
      </c>
      <c r="H1369" s="16"/>
      <c r="I1369" s="20"/>
      <c r="J1369" s="20"/>
      <c r="K1369" s="20"/>
      <c r="L1369" s="20"/>
      <c r="M1369" s="20"/>
      <c r="N1369" s="20"/>
      <c r="O1369" s="20"/>
      <c r="P1369" s="20"/>
      <c r="Q1369" s="20"/>
      <c r="R1369" s="20"/>
      <c r="S1369" s="20"/>
      <c r="T1369" s="20"/>
      <c r="U1369" s="20"/>
      <c r="V1369" s="20"/>
      <c r="W1369" s="20"/>
      <c r="X1369" s="20"/>
      <c r="Y1369" s="20"/>
      <c r="Z1369" s="20"/>
      <c r="AA1369" s="20"/>
    </row>
    <row r="1370" spans="1:27" ht="278.39999999999998" x14ac:dyDescent="0.25">
      <c r="A1370" s="16"/>
      <c r="B1370" s="20" t="b">
        <f ca="1">IFERROR(__xludf.DUMMYFUNCTION("if(D1370=iferror(filter('Character Sheet'!D$13:D3002,'Character Sheet'!D$13:D3002=D1370),""""),True,False)"),FALSE)</f>
        <v>0</v>
      </c>
      <c r="C1370" s="20">
        <v>600</v>
      </c>
      <c r="D1370" s="2" t="s">
        <v>2944</v>
      </c>
      <c r="E1370" s="2" t="s">
        <v>610</v>
      </c>
      <c r="F1370" s="20" t="s">
        <v>60</v>
      </c>
      <c r="G1370" s="2" t="s">
        <v>2945</v>
      </c>
      <c r="H1370" s="16"/>
      <c r="I1370" s="20"/>
      <c r="J1370" s="20"/>
      <c r="K1370" s="20"/>
      <c r="L1370" s="20"/>
      <c r="M1370" s="20"/>
      <c r="N1370" s="20"/>
      <c r="O1370" s="20"/>
      <c r="P1370" s="20"/>
      <c r="Q1370" s="20"/>
      <c r="R1370" s="20"/>
      <c r="S1370" s="20"/>
      <c r="T1370" s="20"/>
      <c r="U1370" s="20"/>
      <c r="V1370" s="20"/>
      <c r="W1370" s="20"/>
      <c r="X1370" s="20"/>
      <c r="Y1370" s="20"/>
      <c r="Z1370" s="20"/>
      <c r="AA1370" s="20"/>
    </row>
    <row r="1371" spans="1:27" ht="87" x14ac:dyDescent="0.25">
      <c r="A1371" s="16"/>
      <c r="B1371" s="20" t="b">
        <f ca="1">IFERROR(__xludf.DUMMYFUNCTION("if(D1371=iferror(filter('Character Sheet'!D$13:D3002,'Character Sheet'!D$13:D3002=D1371),""""),True,False)"),FALSE)</f>
        <v>0</v>
      </c>
      <c r="C1371" s="20">
        <v>600</v>
      </c>
      <c r="D1371" s="2" t="s">
        <v>2946</v>
      </c>
      <c r="E1371" s="2" t="s">
        <v>347</v>
      </c>
      <c r="F1371" s="20" t="s">
        <v>60</v>
      </c>
      <c r="G1371" s="2" t="s">
        <v>2947</v>
      </c>
      <c r="H1371" s="16"/>
      <c r="I1371" s="20"/>
      <c r="J1371" s="20"/>
      <c r="K1371" s="20"/>
      <c r="L1371" s="20"/>
      <c r="M1371" s="20"/>
      <c r="N1371" s="20"/>
      <c r="O1371" s="20"/>
      <c r="P1371" s="20"/>
      <c r="Q1371" s="20"/>
      <c r="R1371" s="20"/>
      <c r="S1371" s="20"/>
      <c r="T1371" s="20"/>
      <c r="U1371" s="20"/>
      <c r="V1371" s="20"/>
      <c r="W1371" s="20"/>
      <c r="X1371" s="20"/>
      <c r="Y1371" s="20"/>
      <c r="Z1371" s="20"/>
      <c r="AA1371" s="20"/>
    </row>
    <row r="1372" spans="1:27" ht="208.8" x14ac:dyDescent="0.25">
      <c r="A1372" s="16"/>
      <c r="B1372" s="20" t="b">
        <f ca="1">IFERROR(__xludf.DUMMYFUNCTION("if(D1372=iferror(filter('Character Sheet'!D$13:D3002,'Character Sheet'!D$13:D3002=D1372),""""),True,False)"),FALSE)</f>
        <v>0</v>
      </c>
      <c r="C1372" s="20">
        <v>600</v>
      </c>
      <c r="D1372" s="2" t="s">
        <v>2948</v>
      </c>
      <c r="E1372" s="2" t="s">
        <v>271</v>
      </c>
      <c r="F1372" s="20" t="s">
        <v>60</v>
      </c>
      <c r="G1372" s="2" t="s">
        <v>2949</v>
      </c>
      <c r="H1372" s="16"/>
      <c r="I1372" s="20"/>
      <c r="J1372" s="20"/>
      <c r="K1372" s="20"/>
      <c r="L1372" s="20"/>
      <c r="M1372" s="20"/>
      <c r="N1372" s="20"/>
      <c r="O1372" s="20"/>
      <c r="P1372" s="20"/>
      <c r="Q1372" s="20"/>
      <c r="R1372" s="20"/>
      <c r="S1372" s="20"/>
      <c r="T1372" s="20"/>
      <c r="U1372" s="20"/>
      <c r="V1372" s="20"/>
      <c r="W1372" s="20"/>
      <c r="X1372" s="20"/>
      <c r="Y1372" s="20"/>
      <c r="Z1372" s="20"/>
      <c r="AA1372" s="20"/>
    </row>
    <row r="1373" spans="1:27" ht="121.8" x14ac:dyDescent="0.25">
      <c r="A1373" s="16"/>
      <c r="B1373" s="20" t="b">
        <f ca="1">IFERROR(__xludf.DUMMYFUNCTION("if(D1373=iferror(filter('Character Sheet'!D$13:D3002,'Character Sheet'!D$13:D3002=D1373),""""),True,False)"),FALSE)</f>
        <v>0</v>
      </c>
      <c r="C1373" s="20">
        <v>600</v>
      </c>
      <c r="D1373" s="2" t="s">
        <v>2950</v>
      </c>
      <c r="E1373" s="2" t="s">
        <v>2951</v>
      </c>
      <c r="F1373" s="20" t="s">
        <v>60</v>
      </c>
      <c r="G1373" s="2" t="s">
        <v>2952</v>
      </c>
      <c r="H1373" s="16"/>
      <c r="I1373" s="20"/>
      <c r="J1373" s="20"/>
      <c r="K1373" s="20"/>
      <c r="L1373" s="20"/>
      <c r="M1373" s="20"/>
      <c r="N1373" s="20"/>
      <c r="O1373" s="20"/>
      <c r="P1373" s="20"/>
      <c r="Q1373" s="20"/>
      <c r="R1373" s="20"/>
      <c r="S1373" s="20"/>
      <c r="T1373" s="20"/>
      <c r="U1373" s="20"/>
      <c r="V1373" s="20"/>
      <c r="W1373" s="20"/>
      <c r="X1373" s="20"/>
      <c r="Y1373" s="20"/>
      <c r="Z1373" s="20"/>
      <c r="AA1373" s="20"/>
    </row>
    <row r="1374" spans="1:27" ht="121.8" x14ac:dyDescent="0.25">
      <c r="A1374" s="16"/>
      <c r="B1374" s="20" t="b">
        <f ca="1">IFERROR(__xludf.DUMMYFUNCTION("if(D1374=iferror(filter('Character Sheet'!D$13:D3002,'Character Sheet'!D$13:D3002=D1374),""""),True,False)"),FALSE)</f>
        <v>0</v>
      </c>
      <c r="C1374" s="20">
        <v>600</v>
      </c>
      <c r="D1374" s="2" t="s">
        <v>2953</v>
      </c>
      <c r="E1374" s="2" t="s">
        <v>435</v>
      </c>
      <c r="F1374" s="20" t="s">
        <v>60</v>
      </c>
      <c r="G1374" s="2" t="s">
        <v>2954</v>
      </c>
      <c r="H1374" s="16"/>
      <c r="I1374" s="20"/>
      <c r="J1374" s="20"/>
      <c r="K1374" s="20"/>
      <c r="L1374" s="20"/>
      <c r="M1374" s="20"/>
      <c r="N1374" s="20"/>
      <c r="O1374" s="20"/>
      <c r="P1374" s="20"/>
      <c r="Q1374" s="20"/>
      <c r="R1374" s="20"/>
      <c r="S1374" s="20"/>
      <c r="T1374" s="20"/>
      <c r="U1374" s="20"/>
      <c r="V1374" s="20"/>
      <c r="W1374" s="20"/>
      <c r="X1374" s="20"/>
      <c r="Y1374" s="20"/>
      <c r="Z1374" s="20"/>
      <c r="AA1374" s="20"/>
    </row>
    <row r="1375" spans="1:27" ht="191.4" x14ac:dyDescent="0.25">
      <c r="A1375" s="16"/>
      <c r="B1375" s="20" t="b">
        <f ca="1">IFERROR(__xludf.DUMMYFUNCTION("if(D1375=iferror(filter('Character Sheet'!D$13:D3002,'Character Sheet'!D$13:D3002=D1375),""""),True,False)"),FALSE)</f>
        <v>0</v>
      </c>
      <c r="C1375" s="20">
        <v>600</v>
      </c>
      <c r="D1375" s="2" t="s">
        <v>2955</v>
      </c>
      <c r="E1375" s="2" t="s">
        <v>662</v>
      </c>
      <c r="F1375" s="20" t="s">
        <v>60</v>
      </c>
      <c r="G1375" s="2" t="s">
        <v>2956</v>
      </c>
      <c r="H1375" s="16"/>
      <c r="I1375" s="20"/>
      <c r="J1375" s="20"/>
      <c r="K1375" s="20"/>
      <c r="L1375" s="20"/>
      <c r="M1375" s="20"/>
      <c r="N1375" s="20"/>
      <c r="O1375" s="20"/>
      <c r="P1375" s="20"/>
      <c r="Q1375" s="20"/>
      <c r="R1375" s="20"/>
      <c r="S1375" s="20"/>
      <c r="T1375" s="20"/>
      <c r="U1375" s="20"/>
      <c r="V1375" s="20"/>
      <c r="W1375" s="20"/>
      <c r="X1375" s="20"/>
      <c r="Y1375" s="20"/>
      <c r="Z1375" s="20"/>
      <c r="AA1375" s="20"/>
    </row>
    <row r="1376" spans="1:27" ht="191.4" x14ac:dyDescent="0.25">
      <c r="A1376" s="16"/>
      <c r="B1376" s="20" t="b">
        <f ca="1">IFERROR(__xludf.DUMMYFUNCTION("if(D1376=iferror(filter('Character Sheet'!D$13:D3002,'Character Sheet'!D$13:D3002=D1376),""""),True,False)"),FALSE)</f>
        <v>0</v>
      </c>
      <c r="C1376" s="20">
        <v>600</v>
      </c>
      <c r="D1376" s="2" t="s">
        <v>2957</v>
      </c>
      <c r="E1376" s="2" t="s">
        <v>786</v>
      </c>
      <c r="F1376" s="20" t="s">
        <v>60</v>
      </c>
      <c r="G1376" s="2" t="s">
        <v>2958</v>
      </c>
      <c r="H1376" s="16"/>
      <c r="I1376" s="20"/>
      <c r="J1376" s="20"/>
      <c r="K1376" s="20"/>
      <c r="L1376" s="20"/>
      <c r="M1376" s="20"/>
      <c r="N1376" s="20"/>
      <c r="O1376" s="20"/>
      <c r="P1376" s="20"/>
      <c r="Q1376" s="20"/>
      <c r="R1376" s="20"/>
      <c r="S1376" s="20"/>
      <c r="T1376" s="20"/>
      <c r="U1376" s="20"/>
      <c r="V1376" s="20"/>
      <c r="W1376" s="20"/>
      <c r="X1376" s="20"/>
      <c r="Y1376" s="20"/>
      <c r="Z1376" s="20"/>
      <c r="AA1376" s="20"/>
    </row>
    <row r="1377" spans="1:27" ht="87" x14ac:dyDescent="0.25">
      <c r="A1377" s="16"/>
      <c r="B1377" s="20" t="b">
        <f ca="1">IFERROR(__xludf.DUMMYFUNCTION("if(D1377=iferror(filter('Character Sheet'!D$13:D3002,'Character Sheet'!D$13:D3002=D1377),""""),True,False)"),FALSE)</f>
        <v>0</v>
      </c>
      <c r="C1377" s="20">
        <v>600</v>
      </c>
      <c r="D1377" s="2" t="s">
        <v>2959</v>
      </c>
      <c r="E1377" s="2" t="s">
        <v>277</v>
      </c>
      <c r="F1377" s="20" t="s">
        <v>60</v>
      </c>
      <c r="G1377" s="2" t="s">
        <v>2960</v>
      </c>
      <c r="H1377" s="16"/>
      <c r="I1377" s="20"/>
      <c r="J1377" s="20"/>
      <c r="K1377" s="20"/>
      <c r="L1377" s="20"/>
      <c r="M1377" s="20"/>
      <c r="N1377" s="20"/>
      <c r="O1377" s="20"/>
      <c r="P1377" s="20"/>
      <c r="Q1377" s="20"/>
      <c r="R1377" s="20"/>
      <c r="S1377" s="20"/>
      <c r="T1377" s="20"/>
      <c r="U1377" s="20"/>
      <c r="V1377" s="20"/>
      <c r="W1377" s="20"/>
      <c r="X1377" s="20"/>
      <c r="Y1377" s="20"/>
      <c r="Z1377" s="20"/>
      <c r="AA1377" s="20"/>
    </row>
    <row r="1378" spans="1:27" ht="104.4" x14ac:dyDescent="0.25">
      <c r="A1378" s="16"/>
      <c r="B1378" s="20" t="b">
        <f ca="1">IFERROR(__xludf.DUMMYFUNCTION("if(D1378=iferror(filter('Character Sheet'!D$13:D3002,'Character Sheet'!D$13:D3002=D1378),""""),True,False)"),FALSE)</f>
        <v>0</v>
      </c>
      <c r="C1378" s="20">
        <v>600</v>
      </c>
      <c r="D1378" s="2" t="s">
        <v>2961</v>
      </c>
      <c r="E1378" s="2" t="s">
        <v>331</v>
      </c>
      <c r="F1378" s="20" t="s">
        <v>60</v>
      </c>
      <c r="G1378" s="2" t="s">
        <v>2962</v>
      </c>
      <c r="H1378" s="16"/>
      <c r="I1378" s="20"/>
      <c r="J1378" s="20"/>
      <c r="K1378" s="20"/>
      <c r="L1378" s="20"/>
      <c r="M1378" s="20"/>
      <c r="N1378" s="20"/>
      <c r="O1378" s="20"/>
      <c r="P1378" s="20"/>
      <c r="Q1378" s="20"/>
      <c r="R1378" s="20"/>
      <c r="S1378" s="20"/>
      <c r="T1378" s="20"/>
      <c r="U1378" s="20"/>
      <c r="V1378" s="20"/>
      <c r="W1378" s="20"/>
      <c r="X1378" s="20"/>
      <c r="Y1378" s="20"/>
      <c r="Z1378" s="20"/>
      <c r="AA1378" s="20"/>
    </row>
    <row r="1379" spans="1:27" ht="174" x14ac:dyDescent="0.25">
      <c r="A1379" s="16"/>
      <c r="B1379" s="20" t="b">
        <f ca="1">IFERROR(__xludf.DUMMYFUNCTION("if(D1379=iferror(filter('Character Sheet'!D$13:D3002,'Character Sheet'!D$13:D3002=D1379),""""),True,False)"),FALSE)</f>
        <v>0</v>
      </c>
      <c r="C1379" s="20">
        <v>600</v>
      </c>
      <c r="D1379" s="2" t="s">
        <v>2963</v>
      </c>
      <c r="E1379" s="2" t="s">
        <v>838</v>
      </c>
      <c r="F1379" s="20" t="s">
        <v>60</v>
      </c>
      <c r="G1379" s="2" t="s">
        <v>2964</v>
      </c>
      <c r="H1379" s="16"/>
      <c r="I1379" s="20"/>
      <c r="J1379" s="20"/>
      <c r="K1379" s="20"/>
      <c r="L1379" s="20"/>
      <c r="M1379" s="20"/>
      <c r="N1379" s="20"/>
      <c r="O1379" s="20"/>
      <c r="P1379" s="20"/>
      <c r="Q1379" s="20"/>
      <c r="R1379" s="20"/>
      <c r="S1379" s="20"/>
      <c r="T1379" s="20"/>
      <c r="U1379" s="20"/>
      <c r="V1379" s="20"/>
      <c r="W1379" s="20"/>
      <c r="X1379" s="20"/>
      <c r="Y1379" s="20"/>
      <c r="Z1379" s="20"/>
      <c r="AA1379" s="20"/>
    </row>
    <row r="1380" spans="1:27" ht="156.6" x14ac:dyDescent="0.25">
      <c r="A1380" s="16"/>
      <c r="B1380" s="20" t="b">
        <f ca="1">IFERROR(__xludf.DUMMYFUNCTION("if(D1380=iferror(filter('Character Sheet'!D$13:D3002,'Character Sheet'!D$13:D3002=D1380),""""),True,False)"),FALSE)</f>
        <v>0</v>
      </c>
      <c r="C1380" s="20">
        <v>600</v>
      </c>
      <c r="D1380" s="2" t="s">
        <v>2965</v>
      </c>
      <c r="E1380" s="2" t="s">
        <v>416</v>
      </c>
      <c r="F1380" s="20" t="s">
        <v>60</v>
      </c>
      <c r="G1380" s="2" t="s">
        <v>2966</v>
      </c>
      <c r="H1380" s="16"/>
      <c r="I1380" s="20"/>
      <c r="J1380" s="20"/>
      <c r="K1380" s="20"/>
      <c r="L1380" s="20"/>
      <c r="M1380" s="20"/>
      <c r="N1380" s="20"/>
      <c r="O1380" s="20"/>
      <c r="P1380" s="20"/>
      <c r="Q1380" s="20"/>
      <c r="R1380" s="20"/>
      <c r="S1380" s="20"/>
      <c r="T1380" s="20"/>
      <c r="U1380" s="20"/>
      <c r="V1380" s="20"/>
      <c r="W1380" s="20"/>
      <c r="X1380" s="20"/>
      <c r="Y1380" s="20"/>
      <c r="Z1380" s="20"/>
      <c r="AA1380" s="20"/>
    </row>
    <row r="1381" spans="1:27" ht="156.6" x14ac:dyDescent="0.25">
      <c r="A1381" s="16"/>
      <c r="B1381" s="20" t="b">
        <f ca="1">IFERROR(__xludf.DUMMYFUNCTION("if(D1381=iferror(filter('Character Sheet'!D$13:D3002,'Character Sheet'!D$13:D3002=D1381),""""),True,False)"),FALSE)</f>
        <v>0</v>
      </c>
      <c r="C1381" s="20">
        <v>600</v>
      </c>
      <c r="D1381" s="2" t="s">
        <v>2967</v>
      </c>
      <c r="E1381" s="2" t="s">
        <v>478</v>
      </c>
      <c r="F1381" s="20" t="s">
        <v>60</v>
      </c>
      <c r="G1381" s="2" t="s">
        <v>2968</v>
      </c>
      <c r="H1381" s="16"/>
      <c r="I1381" s="20"/>
      <c r="J1381" s="20"/>
      <c r="K1381" s="20"/>
      <c r="L1381" s="20"/>
      <c r="M1381" s="20"/>
      <c r="N1381" s="20"/>
      <c r="O1381" s="20"/>
      <c r="P1381" s="20"/>
      <c r="Q1381" s="20"/>
      <c r="R1381" s="20"/>
      <c r="S1381" s="20"/>
      <c r="T1381" s="20"/>
      <c r="U1381" s="20"/>
      <c r="V1381" s="20"/>
      <c r="W1381" s="20"/>
      <c r="X1381" s="20"/>
      <c r="Y1381" s="20"/>
      <c r="Z1381" s="20"/>
      <c r="AA1381" s="20"/>
    </row>
    <row r="1382" spans="1:27" ht="139.19999999999999" x14ac:dyDescent="0.25">
      <c r="A1382" s="16"/>
      <c r="B1382" s="20" t="b">
        <f ca="1">IFERROR(__xludf.DUMMYFUNCTION("if(D1382=iferror(filter('Character Sheet'!D$13:D3002,'Character Sheet'!D$13:D3002=D1382),""""),True,False)"),FALSE)</f>
        <v>0</v>
      </c>
      <c r="C1382" s="20">
        <v>600</v>
      </c>
      <c r="D1382" s="2" t="s">
        <v>2969</v>
      </c>
      <c r="E1382" s="2" t="s">
        <v>469</v>
      </c>
      <c r="F1382" s="20" t="s">
        <v>60</v>
      </c>
      <c r="G1382" s="2" t="s">
        <v>2970</v>
      </c>
      <c r="H1382" s="16"/>
      <c r="I1382" s="20"/>
      <c r="J1382" s="20"/>
      <c r="K1382" s="20"/>
      <c r="L1382" s="20"/>
      <c r="M1382" s="20"/>
      <c r="N1382" s="20"/>
      <c r="O1382" s="20"/>
      <c r="P1382" s="20"/>
      <c r="Q1382" s="20"/>
      <c r="R1382" s="20"/>
      <c r="S1382" s="20"/>
      <c r="T1382" s="20"/>
      <c r="U1382" s="20"/>
      <c r="V1382" s="20"/>
      <c r="W1382" s="20"/>
      <c r="X1382" s="20"/>
      <c r="Y1382" s="20"/>
      <c r="Z1382" s="20"/>
      <c r="AA1382" s="20"/>
    </row>
    <row r="1383" spans="1:27" ht="121.8" x14ac:dyDescent="0.25">
      <c r="A1383" s="16"/>
      <c r="B1383" s="20" t="b">
        <f ca="1">IFERROR(__xludf.DUMMYFUNCTION("if(D1383=iferror(filter('Character Sheet'!D$13:D3002,'Character Sheet'!D$13:D3002=D1383),""""),True,False)"),FALSE)</f>
        <v>0</v>
      </c>
      <c r="C1383" s="20">
        <v>700</v>
      </c>
      <c r="D1383" s="2" t="s">
        <v>2971</v>
      </c>
      <c r="E1383" s="2" t="s">
        <v>317</v>
      </c>
      <c r="F1383" s="20" t="s">
        <v>60</v>
      </c>
      <c r="G1383" s="2" t="s">
        <v>2972</v>
      </c>
      <c r="H1383" s="16"/>
      <c r="I1383" s="20"/>
      <c r="J1383" s="20"/>
      <c r="K1383" s="20"/>
      <c r="L1383" s="20"/>
      <c r="M1383" s="20"/>
      <c r="N1383" s="20"/>
      <c r="O1383" s="20"/>
      <c r="P1383" s="20"/>
      <c r="Q1383" s="20"/>
      <c r="R1383" s="20"/>
      <c r="S1383" s="20"/>
      <c r="T1383" s="20"/>
      <c r="U1383" s="20"/>
      <c r="V1383" s="20"/>
      <c r="W1383" s="20"/>
      <c r="X1383" s="20"/>
      <c r="Y1383" s="20"/>
      <c r="Z1383" s="20"/>
      <c r="AA1383" s="20"/>
    </row>
    <row r="1384" spans="1:27" ht="87" x14ac:dyDescent="0.25">
      <c r="A1384" s="16"/>
      <c r="B1384" s="20" t="b">
        <f ca="1">IFERROR(__xludf.DUMMYFUNCTION("if(D1384=iferror(filter('Character Sheet'!D$13:D3002,'Character Sheet'!D$13:D3002=D1384),""""),True,False)"),FALSE)</f>
        <v>0</v>
      </c>
      <c r="C1384" s="20">
        <v>700</v>
      </c>
      <c r="D1384" s="2" t="s">
        <v>2973</v>
      </c>
      <c r="E1384" s="2" t="s">
        <v>1941</v>
      </c>
      <c r="F1384" s="20" t="s">
        <v>60</v>
      </c>
      <c r="G1384" s="2" t="s">
        <v>2974</v>
      </c>
      <c r="H1384" s="16"/>
      <c r="I1384" s="20"/>
      <c r="J1384" s="20"/>
      <c r="K1384" s="20"/>
      <c r="L1384" s="20"/>
      <c r="M1384" s="20"/>
      <c r="N1384" s="20"/>
      <c r="O1384" s="20"/>
      <c r="P1384" s="20"/>
      <c r="Q1384" s="20"/>
      <c r="R1384" s="20"/>
      <c r="S1384" s="20"/>
      <c r="T1384" s="20"/>
      <c r="U1384" s="20"/>
      <c r="V1384" s="20"/>
      <c r="W1384" s="20"/>
      <c r="X1384" s="20"/>
      <c r="Y1384" s="20"/>
      <c r="Z1384" s="20"/>
      <c r="AA1384" s="20"/>
    </row>
    <row r="1385" spans="1:27" ht="156.6" x14ac:dyDescent="0.25">
      <c r="A1385" s="16"/>
      <c r="B1385" s="20" t="b">
        <f ca="1">IFERROR(__xludf.DUMMYFUNCTION("if(D1385=iferror(filter('Character Sheet'!D$13:D3002,'Character Sheet'!D$13:D3002=D1385),""""),True,False)"),FALSE)</f>
        <v>0</v>
      </c>
      <c r="C1385" s="20">
        <v>700</v>
      </c>
      <c r="D1385" s="2" t="s">
        <v>2975</v>
      </c>
      <c r="E1385" s="2" t="s">
        <v>475</v>
      </c>
      <c r="F1385" s="20" t="s">
        <v>60</v>
      </c>
      <c r="G1385" s="2" t="s">
        <v>2976</v>
      </c>
      <c r="H1385" s="16"/>
      <c r="I1385" s="20"/>
      <c r="J1385" s="20"/>
      <c r="K1385" s="20"/>
      <c r="L1385" s="20"/>
      <c r="M1385" s="20"/>
      <c r="N1385" s="20"/>
      <c r="O1385" s="20"/>
      <c r="P1385" s="20"/>
      <c r="Q1385" s="20"/>
      <c r="R1385" s="20"/>
      <c r="S1385" s="20"/>
      <c r="T1385" s="20"/>
      <c r="U1385" s="20"/>
      <c r="V1385" s="20"/>
      <c r="W1385" s="20"/>
      <c r="X1385" s="20"/>
      <c r="Y1385" s="20"/>
      <c r="Z1385" s="20"/>
      <c r="AA1385" s="20"/>
    </row>
    <row r="1386" spans="1:27" ht="243.6" x14ac:dyDescent="0.25">
      <c r="A1386" s="16"/>
      <c r="B1386" s="20" t="b">
        <f ca="1">IFERROR(__xludf.DUMMYFUNCTION("if(D1386=iferror(filter('Character Sheet'!D$13:D3002,'Character Sheet'!D$13:D3002=D1386),""""),True,False)"),FALSE)</f>
        <v>0</v>
      </c>
      <c r="C1386" s="20">
        <v>800</v>
      </c>
      <c r="D1386" s="2" t="s">
        <v>2977</v>
      </c>
      <c r="E1386" s="2" t="s">
        <v>583</v>
      </c>
      <c r="F1386" s="20" t="s">
        <v>60</v>
      </c>
      <c r="G1386" s="2" t="s">
        <v>2978</v>
      </c>
      <c r="H1386" s="16"/>
      <c r="I1386" s="20"/>
      <c r="J1386" s="20"/>
      <c r="K1386" s="20"/>
      <c r="L1386" s="20"/>
      <c r="M1386" s="20"/>
      <c r="N1386" s="20"/>
      <c r="O1386" s="20"/>
      <c r="P1386" s="20"/>
      <c r="Q1386" s="20"/>
      <c r="R1386" s="20"/>
      <c r="S1386" s="20"/>
      <c r="T1386" s="20"/>
      <c r="U1386" s="20"/>
      <c r="V1386" s="20"/>
      <c r="W1386" s="20"/>
      <c r="X1386" s="20"/>
      <c r="Y1386" s="20"/>
      <c r="Z1386" s="20"/>
      <c r="AA1386" s="20"/>
    </row>
    <row r="1387" spans="1:27" ht="295.8" x14ac:dyDescent="0.25">
      <c r="A1387" s="16"/>
      <c r="B1387" s="20" t="b">
        <f ca="1">IFERROR(__xludf.DUMMYFUNCTION("if(D1387=iferror(filter('Character Sheet'!D$13:D3002,'Character Sheet'!D$13:D3002=D1387),""""),True,False)"),FALSE)</f>
        <v>0</v>
      </c>
      <c r="C1387" s="20">
        <v>800</v>
      </c>
      <c r="D1387" s="2" t="s">
        <v>2979</v>
      </c>
      <c r="E1387" s="2" t="s">
        <v>425</v>
      </c>
      <c r="F1387" s="20" t="s">
        <v>60</v>
      </c>
      <c r="G1387" s="2" t="s">
        <v>2980</v>
      </c>
      <c r="H1387" s="16"/>
      <c r="I1387" s="20"/>
      <c r="J1387" s="20"/>
      <c r="K1387" s="20"/>
      <c r="L1387" s="20"/>
      <c r="M1387" s="20"/>
      <c r="N1387" s="20"/>
      <c r="O1387" s="20"/>
      <c r="P1387" s="20"/>
      <c r="Q1387" s="20"/>
      <c r="R1387" s="20"/>
      <c r="S1387" s="20"/>
      <c r="T1387" s="20"/>
      <c r="U1387" s="20"/>
      <c r="V1387" s="20"/>
      <c r="W1387" s="20"/>
      <c r="X1387" s="20"/>
      <c r="Y1387" s="20"/>
      <c r="Z1387" s="20"/>
      <c r="AA1387" s="20"/>
    </row>
    <row r="1388" spans="1:27" ht="156.6" x14ac:dyDescent="0.25">
      <c r="A1388" s="16"/>
      <c r="B1388" s="20" t="b">
        <f ca="1">IFERROR(__xludf.DUMMYFUNCTION("if(D1388=iferror(filter('Character Sheet'!D$13:D3002,'Character Sheet'!D$13:D3002=D1388),""""),True,False)"),FALSE)</f>
        <v>0</v>
      </c>
      <c r="C1388" s="20">
        <v>800</v>
      </c>
      <c r="D1388" s="2" t="s">
        <v>2981</v>
      </c>
      <c r="E1388" s="2" t="s">
        <v>285</v>
      </c>
      <c r="F1388" s="20" t="s">
        <v>60</v>
      </c>
      <c r="G1388" s="2" t="s">
        <v>2982</v>
      </c>
      <c r="H1388" s="16"/>
      <c r="I1388" s="20"/>
      <c r="J1388" s="20"/>
      <c r="K1388" s="20"/>
      <c r="L1388" s="20"/>
      <c r="M1388" s="20"/>
      <c r="N1388" s="20"/>
      <c r="O1388" s="20"/>
      <c r="P1388" s="20"/>
      <c r="Q1388" s="20"/>
      <c r="R1388" s="20"/>
      <c r="S1388" s="20"/>
      <c r="T1388" s="20"/>
      <c r="U1388" s="20"/>
      <c r="V1388" s="20"/>
      <c r="W1388" s="20"/>
      <c r="X1388" s="20"/>
      <c r="Y1388" s="20"/>
      <c r="Z1388" s="20"/>
      <c r="AA1388" s="20"/>
    </row>
    <row r="1389" spans="1:27" ht="226.2" x14ac:dyDescent="0.25">
      <c r="A1389" s="16"/>
      <c r="B1389" s="20" t="b">
        <f ca="1">IFERROR(__xludf.DUMMYFUNCTION("if(D1389=iferror(filter('Character Sheet'!D$13:D3002,'Character Sheet'!D$13:D3002=D1389),""""),True,False)"),FALSE)</f>
        <v>0</v>
      </c>
      <c r="C1389" s="20">
        <v>800</v>
      </c>
      <c r="D1389" s="2" t="s">
        <v>2983</v>
      </c>
      <c r="E1389" s="2" t="s">
        <v>1244</v>
      </c>
      <c r="F1389" s="20" t="s">
        <v>60</v>
      </c>
      <c r="G1389" s="2" t="s">
        <v>2984</v>
      </c>
      <c r="H1389" s="16"/>
      <c r="I1389" s="20"/>
      <c r="J1389" s="20"/>
      <c r="K1389" s="20"/>
      <c r="L1389" s="20"/>
      <c r="M1389" s="20"/>
      <c r="N1389" s="20"/>
      <c r="O1389" s="20"/>
      <c r="P1389" s="20"/>
      <c r="Q1389" s="20"/>
      <c r="R1389" s="20"/>
      <c r="S1389" s="20"/>
      <c r="T1389" s="20"/>
      <c r="U1389" s="20"/>
      <c r="V1389" s="20"/>
      <c r="W1389" s="20"/>
      <c r="X1389" s="20"/>
      <c r="Y1389" s="20"/>
      <c r="Z1389" s="20"/>
      <c r="AA1389" s="20"/>
    </row>
    <row r="1390" spans="1:27" ht="104.4" x14ac:dyDescent="0.25">
      <c r="A1390" s="16"/>
      <c r="B1390" s="20" t="b">
        <f ca="1">IFERROR(__xludf.DUMMYFUNCTION("if(D1390=iferror(filter('Character Sheet'!D$13:D3002,'Character Sheet'!D$13:D3002=D1390),""""),True,False)"),FALSE)</f>
        <v>0</v>
      </c>
      <c r="C1390" s="20">
        <v>800</v>
      </c>
      <c r="D1390" s="2" t="s">
        <v>2985</v>
      </c>
      <c r="E1390" s="2" t="s">
        <v>1924</v>
      </c>
      <c r="F1390" s="20" t="s">
        <v>60</v>
      </c>
      <c r="G1390" s="2" t="s">
        <v>2986</v>
      </c>
      <c r="H1390" s="16"/>
      <c r="I1390" s="20"/>
      <c r="J1390" s="20"/>
      <c r="K1390" s="20"/>
      <c r="L1390" s="20"/>
      <c r="M1390" s="20"/>
      <c r="N1390" s="20"/>
      <c r="O1390" s="20"/>
      <c r="P1390" s="20"/>
      <c r="Q1390" s="20"/>
      <c r="R1390" s="20"/>
      <c r="S1390" s="20"/>
      <c r="T1390" s="20"/>
      <c r="U1390" s="20"/>
      <c r="V1390" s="20"/>
      <c r="W1390" s="20"/>
      <c r="X1390" s="20"/>
      <c r="Y1390" s="20"/>
      <c r="Z1390" s="20"/>
      <c r="AA1390" s="20"/>
    </row>
    <row r="1391" spans="1:27" ht="121.8" x14ac:dyDescent="0.25">
      <c r="A1391" s="16"/>
      <c r="B1391" s="20" t="b">
        <f ca="1">IFERROR(__xludf.DUMMYFUNCTION("if(D1391=iferror(filter('Character Sheet'!D$13:D3002,'Character Sheet'!D$13:D3002=D1391),""""),True,False)"),FALSE)</f>
        <v>0</v>
      </c>
      <c r="C1391" s="20">
        <v>100</v>
      </c>
      <c r="D1391" s="2" t="s">
        <v>2987</v>
      </c>
      <c r="E1391" s="2" t="s">
        <v>344</v>
      </c>
      <c r="F1391" s="20" t="s">
        <v>61</v>
      </c>
      <c r="G1391" s="2" t="s">
        <v>2988</v>
      </c>
      <c r="H1391" s="16"/>
      <c r="I1391" s="20"/>
      <c r="J1391" s="20"/>
      <c r="K1391" s="20"/>
      <c r="L1391" s="20"/>
      <c r="M1391" s="20"/>
      <c r="N1391" s="20"/>
      <c r="O1391" s="20"/>
      <c r="P1391" s="20"/>
      <c r="Q1391" s="20"/>
      <c r="R1391" s="20"/>
      <c r="S1391" s="20"/>
      <c r="T1391" s="20"/>
      <c r="U1391" s="20"/>
      <c r="V1391" s="20"/>
      <c r="W1391" s="20"/>
      <c r="X1391" s="20"/>
      <c r="Y1391" s="20"/>
      <c r="Z1391" s="20"/>
      <c r="AA1391" s="20"/>
    </row>
    <row r="1392" spans="1:27" ht="69.599999999999994" x14ac:dyDescent="0.25">
      <c r="A1392" s="16"/>
      <c r="B1392" s="20" t="b">
        <f ca="1">IFERROR(__xludf.DUMMYFUNCTION("if(D1392=iferror(filter('Character Sheet'!D$13:D3002,'Character Sheet'!D$13:D3002=D1392),""""),True,False)"),FALSE)</f>
        <v>0</v>
      </c>
      <c r="C1392" s="20">
        <v>100</v>
      </c>
      <c r="D1392" s="2" t="s">
        <v>2989</v>
      </c>
      <c r="E1392" s="2" t="s">
        <v>75</v>
      </c>
      <c r="F1392" s="20" t="s">
        <v>61</v>
      </c>
      <c r="G1392" s="2" t="s">
        <v>2990</v>
      </c>
      <c r="H1392" s="16"/>
      <c r="I1392" s="20"/>
      <c r="J1392" s="20"/>
      <c r="K1392" s="20"/>
      <c r="L1392" s="20"/>
      <c r="M1392" s="20"/>
      <c r="N1392" s="20"/>
      <c r="O1392" s="20"/>
      <c r="P1392" s="20"/>
      <c r="Q1392" s="20"/>
      <c r="R1392" s="20"/>
      <c r="S1392" s="20"/>
      <c r="T1392" s="20"/>
      <c r="U1392" s="20"/>
      <c r="V1392" s="20"/>
      <c r="W1392" s="20"/>
      <c r="X1392" s="20"/>
      <c r="Y1392" s="20"/>
      <c r="Z1392" s="20"/>
      <c r="AA1392" s="20"/>
    </row>
    <row r="1393" spans="1:27" ht="69.599999999999994" x14ac:dyDescent="0.25">
      <c r="A1393" s="16"/>
      <c r="B1393" s="20" t="b">
        <f ca="1">IFERROR(__xludf.DUMMYFUNCTION("if(D1393=iferror(filter('Character Sheet'!D$13:D3002,'Character Sheet'!D$13:D3002=D1393),""""),True,False)"),FALSE)</f>
        <v>0</v>
      </c>
      <c r="C1393" s="20">
        <v>100</v>
      </c>
      <c r="D1393" s="2" t="s">
        <v>2991</v>
      </c>
      <c r="E1393" s="2" t="s">
        <v>391</v>
      </c>
      <c r="F1393" s="20" t="s">
        <v>61</v>
      </c>
      <c r="G1393" s="2" t="s">
        <v>2992</v>
      </c>
      <c r="H1393" s="16"/>
      <c r="I1393" s="20"/>
      <c r="J1393" s="20"/>
      <c r="K1393" s="20"/>
      <c r="L1393" s="20"/>
      <c r="M1393" s="20"/>
      <c r="N1393" s="20"/>
      <c r="O1393" s="20"/>
      <c r="P1393" s="20"/>
      <c r="Q1393" s="20"/>
      <c r="R1393" s="20"/>
      <c r="S1393" s="20"/>
      <c r="T1393" s="20"/>
      <c r="U1393" s="20"/>
      <c r="V1393" s="20"/>
      <c r="W1393" s="20"/>
      <c r="X1393" s="20"/>
      <c r="Y1393" s="20"/>
      <c r="Z1393" s="20"/>
      <c r="AA1393" s="20"/>
    </row>
    <row r="1394" spans="1:27" ht="139.19999999999999" x14ac:dyDescent="0.25">
      <c r="A1394" s="16"/>
      <c r="B1394" s="20" t="b">
        <f ca="1">IFERROR(__xludf.DUMMYFUNCTION("if(D1394=iferror(filter('Character Sheet'!D$13:D3002,'Character Sheet'!D$13:D3002=D1394),""""),True,False)"),FALSE)</f>
        <v>0</v>
      </c>
      <c r="C1394" s="20">
        <v>100</v>
      </c>
      <c r="D1394" s="2" t="s">
        <v>2993</v>
      </c>
      <c r="E1394" s="2" t="s">
        <v>1052</v>
      </c>
      <c r="F1394" s="20" t="s">
        <v>61</v>
      </c>
      <c r="G1394" s="2" t="s">
        <v>2994</v>
      </c>
      <c r="H1394" s="16"/>
      <c r="I1394" s="20"/>
      <c r="J1394" s="20"/>
      <c r="K1394" s="20"/>
      <c r="L1394" s="20"/>
      <c r="M1394" s="20"/>
      <c r="N1394" s="20"/>
      <c r="O1394" s="20"/>
      <c r="P1394" s="20"/>
      <c r="Q1394" s="20"/>
      <c r="R1394" s="20"/>
      <c r="S1394" s="20"/>
      <c r="T1394" s="20"/>
      <c r="U1394" s="20"/>
      <c r="V1394" s="20"/>
      <c r="W1394" s="20"/>
      <c r="X1394" s="20"/>
      <c r="Y1394" s="20"/>
      <c r="Z1394" s="20"/>
      <c r="AA1394" s="20"/>
    </row>
    <row r="1395" spans="1:27" ht="69.599999999999994" x14ac:dyDescent="0.25">
      <c r="A1395" s="16"/>
      <c r="B1395" s="20" t="b">
        <f ca="1">IFERROR(__xludf.DUMMYFUNCTION("if(D1395=iferror(filter('Character Sheet'!D$13:D3002,'Character Sheet'!D$13:D3002=D1395),""""),True,False)"),FALSE)</f>
        <v>0</v>
      </c>
      <c r="C1395" s="20">
        <v>100</v>
      </c>
      <c r="D1395" s="2" t="s">
        <v>2995</v>
      </c>
      <c r="E1395" s="2" t="s">
        <v>288</v>
      </c>
      <c r="F1395" s="20" t="s">
        <v>61</v>
      </c>
      <c r="G1395" s="2" t="s">
        <v>2996</v>
      </c>
      <c r="H1395" s="16"/>
      <c r="I1395" s="20"/>
      <c r="J1395" s="20"/>
      <c r="K1395" s="20"/>
      <c r="L1395" s="20"/>
      <c r="M1395" s="20"/>
      <c r="N1395" s="20"/>
      <c r="O1395" s="20"/>
      <c r="P1395" s="20"/>
      <c r="Q1395" s="20"/>
      <c r="R1395" s="20"/>
      <c r="S1395" s="20"/>
      <c r="T1395" s="20"/>
      <c r="U1395" s="20"/>
      <c r="V1395" s="20"/>
      <c r="W1395" s="20"/>
      <c r="X1395" s="20"/>
      <c r="Y1395" s="20"/>
      <c r="Z1395" s="20"/>
      <c r="AA1395" s="20"/>
    </row>
    <row r="1396" spans="1:27" ht="139.19999999999999" x14ac:dyDescent="0.25">
      <c r="A1396" s="16"/>
      <c r="B1396" s="20" t="b">
        <f ca="1">IFERROR(__xludf.DUMMYFUNCTION("if(D1396=iferror(filter('Character Sheet'!D$13:D3002,'Character Sheet'!D$13:D3002=D1396),""""),True,False)"),FALSE)</f>
        <v>0</v>
      </c>
      <c r="C1396" s="20">
        <v>100</v>
      </c>
      <c r="D1396" s="2" t="s">
        <v>2997</v>
      </c>
      <c r="E1396" s="2" t="s">
        <v>369</v>
      </c>
      <c r="F1396" s="20" t="s">
        <v>61</v>
      </c>
      <c r="G1396" s="2" t="s">
        <v>2998</v>
      </c>
      <c r="H1396" s="16"/>
      <c r="I1396" s="20"/>
      <c r="J1396" s="20"/>
      <c r="K1396" s="20"/>
      <c r="L1396" s="20"/>
      <c r="M1396" s="20"/>
      <c r="N1396" s="20"/>
      <c r="O1396" s="20"/>
      <c r="P1396" s="20"/>
      <c r="Q1396" s="20"/>
      <c r="R1396" s="20"/>
      <c r="S1396" s="20"/>
      <c r="T1396" s="20"/>
      <c r="U1396" s="20"/>
      <c r="V1396" s="20"/>
      <c r="W1396" s="20"/>
      <c r="X1396" s="20"/>
      <c r="Y1396" s="20"/>
      <c r="Z1396" s="20"/>
      <c r="AA1396" s="20"/>
    </row>
    <row r="1397" spans="1:27" ht="104.4" x14ac:dyDescent="0.25">
      <c r="A1397" s="16"/>
      <c r="B1397" s="20" t="b">
        <f ca="1">IFERROR(__xludf.DUMMYFUNCTION("if(D1397=iferror(filter('Character Sheet'!D$13:D3002,'Character Sheet'!D$13:D3002=D1397),""""),True,False)"),FALSE)</f>
        <v>0</v>
      </c>
      <c r="C1397" s="20">
        <v>100</v>
      </c>
      <c r="D1397" s="2" t="s">
        <v>2999</v>
      </c>
      <c r="E1397" s="2" t="s">
        <v>298</v>
      </c>
      <c r="F1397" s="20" t="s">
        <v>61</v>
      </c>
      <c r="G1397" s="2" t="s">
        <v>3000</v>
      </c>
      <c r="H1397" s="16"/>
      <c r="I1397" s="20"/>
      <c r="J1397" s="20"/>
      <c r="K1397" s="20"/>
      <c r="L1397" s="20"/>
      <c r="M1397" s="20"/>
      <c r="N1397" s="20"/>
      <c r="O1397" s="20"/>
      <c r="P1397" s="20"/>
      <c r="Q1397" s="20"/>
      <c r="R1397" s="20"/>
      <c r="S1397" s="20"/>
      <c r="T1397" s="20"/>
      <c r="U1397" s="20"/>
      <c r="V1397" s="20"/>
      <c r="W1397" s="20"/>
      <c r="X1397" s="20"/>
      <c r="Y1397" s="20"/>
      <c r="Z1397" s="20"/>
      <c r="AA1397" s="20"/>
    </row>
    <row r="1398" spans="1:27" ht="104.4" x14ac:dyDescent="0.25">
      <c r="A1398" s="16"/>
      <c r="B1398" s="20" t="b">
        <f ca="1">IFERROR(__xludf.DUMMYFUNCTION("if(D1398=iferror(filter('Character Sheet'!D$13:D3002,'Character Sheet'!D$13:D3002=D1398),""""),True,False)"),FALSE)</f>
        <v>0</v>
      </c>
      <c r="C1398" s="20">
        <v>100</v>
      </c>
      <c r="D1398" s="2" t="s">
        <v>3001</v>
      </c>
      <c r="E1398" s="2" t="s">
        <v>322</v>
      </c>
      <c r="F1398" s="20" t="s">
        <v>61</v>
      </c>
      <c r="G1398" s="2" t="s">
        <v>3002</v>
      </c>
      <c r="H1398" s="16"/>
      <c r="I1398" s="20"/>
      <c r="J1398" s="20"/>
      <c r="K1398" s="20"/>
      <c r="L1398" s="20"/>
      <c r="M1398" s="20"/>
      <c r="N1398" s="20"/>
      <c r="O1398" s="20"/>
      <c r="P1398" s="20"/>
      <c r="Q1398" s="20"/>
      <c r="R1398" s="20"/>
      <c r="S1398" s="20"/>
      <c r="T1398" s="20"/>
      <c r="U1398" s="20"/>
      <c r="V1398" s="20"/>
      <c r="W1398" s="20"/>
      <c r="X1398" s="20"/>
      <c r="Y1398" s="20"/>
      <c r="Z1398" s="20"/>
      <c r="AA1398" s="20"/>
    </row>
    <row r="1399" spans="1:27" ht="104.4" x14ac:dyDescent="0.25">
      <c r="A1399" s="16"/>
      <c r="B1399" s="20" t="b">
        <f ca="1">IFERROR(__xludf.DUMMYFUNCTION("if(D1399=iferror(filter('Character Sheet'!D$13:D3002,'Character Sheet'!D$13:D3002=D1399),""""),True,False)"),FALSE)</f>
        <v>0</v>
      </c>
      <c r="C1399" s="20">
        <v>100</v>
      </c>
      <c r="D1399" s="2" t="s">
        <v>3003</v>
      </c>
      <c r="E1399" s="2" t="s">
        <v>119</v>
      </c>
      <c r="F1399" s="20" t="s">
        <v>61</v>
      </c>
      <c r="G1399" s="2" t="s">
        <v>3004</v>
      </c>
      <c r="H1399" s="16"/>
      <c r="I1399" s="20"/>
      <c r="J1399" s="20"/>
      <c r="K1399" s="20"/>
      <c r="L1399" s="20"/>
      <c r="M1399" s="20"/>
      <c r="N1399" s="20"/>
      <c r="O1399" s="20"/>
      <c r="P1399" s="20"/>
      <c r="Q1399" s="20"/>
      <c r="R1399" s="20"/>
      <c r="S1399" s="20"/>
      <c r="T1399" s="20"/>
      <c r="U1399" s="20"/>
      <c r="V1399" s="20"/>
      <c r="W1399" s="20"/>
      <c r="X1399" s="20"/>
      <c r="Y1399" s="20"/>
      <c r="Z1399" s="20"/>
      <c r="AA1399" s="20"/>
    </row>
    <row r="1400" spans="1:27" ht="156.6" x14ac:dyDescent="0.25">
      <c r="A1400" s="16"/>
      <c r="B1400" s="20" t="b">
        <f ca="1">IFERROR(__xludf.DUMMYFUNCTION("if(D1400=iferror(filter('Character Sheet'!D$13:D3002,'Character Sheet'!D$13:D3002=D1400),""""),True,False)"),FALSE)</f>
        <v>0</v>
      </c>
      <c r="C1400" s="20">
        <v>100</v>
      </c>
      <c r="D1400" s="2" t="s">
        <v>3005</v>
      </c>
      <c r="E1400" s="2" t="s">
        <v>924</v>
      </c>
      <c r="F1400" s="20" t="s">
        <v>61</v>
      </c>
      <c r="G1400" s="2" t="s">
        <v>3006</v>
      </c>
      <c r="H1400" s="16"/>
      <c r="I1400" s="20"/>
      <c r="J1400" s="20"/>
      <c r="K1400" s="20"/>
      <c r="L1400" s="20"/>
      <c r="M1400" s="20"/>
      <c r="N1400" s="20"/>
      <c r="O1400" s="20"/>
      <c r="P1400" s="20"/>
      <c r="Q1400" s="20"/>
      <c r="R1400" s="20"/>
      <c r="S1400" s="20"/>
      <c r="T1400" s="20"/>
      <c r="U1400" s="20"/>
      <c r="V1400" s="20"/>
      <c r="W1400" s="20"/>
      <c r="X1400" s="20"/>
      <c r="Y1400" s="20"/>
      <c r="Z1400" s="20"/>
      <c r="AA1400" s="20"/>
    </row>
    <row r="1401" spans="1:27" ht="69.599999999999994" x14ac:dyDescent="0.25">
      <c r="A1401" s="16"/>
      <c r="B1401" s="20" t="b">
        <f ca="1">IFERROR(__xludf.DUMMYFUNCTION("if(D1401=iferror(filter('Character Sheet'!D$13:D3002,'Character Sheet'!D$13:D3002=D1401),""""),True,False)"),FALSE)</f>
        <v>0</v>
      </c>
      <c r="C1401" s="20">
        <v>100</v>
      </c>
      <c r="D1401" s="2" t="s">
        <v>3007</v>
      </c>
      <c r="E1401" s="2" t="s">
        <v>277</v>
      </c>
      <c r="F1401" s="20" t="s">
        <v>61</v>
      </c>
      <c r="G1401" s="2" t="s">
        <v>3008</v>
      </c>
      <c r="H1401" s="16"/>
      <c r="I1401" s="20"/>
      <c r="J1401" s="20"/>
      <c r="K1401" s="20"/>
      <c r="L1401" s="20"/>
      <c r="M1401" s="20"/>
      <c r="N1401" s="20"/>
      <c r="O1401" s="20"/>
      <c r="P1401" s="20"/>
      <c r="Q1401" s="20"/>
      <c r="R1401" s="20"/>
      <c r="S1401" s="20"/>
      <c r="T1401" s="20"/>
      <c r="U1401" s="20"/>
      <c r="V1401" s="20"/>
      <c r="W1401" s="20"/>
      <c r="X1401" s="20"/>
      <c r="Y1401" s="20"/>
      <c r="Z1401" s="20"/>
      <c r="AA1401" s="20"/>
    </row>
    <row r="1402" spans="1:27" ht="52.2" x14ac:dyDescent="0.25">
      <c r="A1402" s="16"/>
      <c r="B1402" s="20" t="b">
        <f ca="1">IFERROR(__xludf.DUMMYFUNCTION("if(D1402=iferror(filter('Character Sheet'!D$13:D3002,'Character Sheet'!D$13:D3002=D1402),""""),True,False)"),FALSE)</f>
        <v>0</v>
      </c>
      <c r="C1402" s="20">
        <v>100</v>
      </c>
      <c r="D1402" s="2" t="s">
        <v>3009</v>
      </c>
      <c r="E1402" s="2" t="s">
        <v>442</v>
      </c>
      <c r="F1402" s="20" t="s">
        <v>61</v>
      </c>
      <c r="G1402" s="2" t="s">
        <v>3010</v>
      </c>
      <c r="H1402" s="16"/>
      <c r="I1402" s="20"/>
      <c r="J1402" s="20"/>
      <c r="K1402" s="20"/>
      <c r="L1402" s="20"/>
      <c r="M1402" s="20"/>
      <c r="N1402" s="20"/>
      <c r="O1402" s="20"/>
      <c r="P1402" s="20"/>
      <c r="Q1402" s="20"/>
      <c r="R1402" s="20"/>
      <c r="S1402" s="20"/>
      <c r="T1402" s="20"/>
      <c r="U1402" s="20"/>
      <c r="V1402" s="20"/>
      <c r="W1402" s="20"/>
      <c r="X1402" s="20"/>
      <c r="Y1402" s="20"/>
      <c r="Z1402" s="20"/>
      <c r="AA1402" s="20"/>
    </row>
    <row r="1403" spans="1:27" ht="52.2" x14ac:dyDescent="0.25">
      <c r="A1403" s="16"/>
      <c r="B1403" s="20" t="b">
        <f ca="1">IFERROR(__xludf.DUMMYFUNCTION("if(D1403=iferror(filter('Character Sheet'!D$13:D3002,'Character Sheet'!D$13:D3002=D1403),""""),True,False)"),FALSE)</f>
        <v>0</v>
      </c>
      <c r="C1403" s="20">
        <v>100</v>
      </c>
      <c r="D1403" s="2" t="s">
        <v>3011</v>
      </c>
      <c r="E1403" s="2" t="s">
        <v>501</v>
      </c>
      <c r="F1403" s="20" t="s">
        <v>61</v>
      </c>
      <c r="G1403" s="2" t="s">
        <v>3012</v>
      </c>
      <c r="H1403" s="16"/>
      <c r="I1403" s="20"/>
      <c r="J1403" s="20"/>
      <c r="K1403" s="20"/>
      <c r="L1403" s="20"/>
      <c r="M1403" s="20"/>
      <c r="N1403" s="20"/>
      <c r="O1403" s="20"/>
      <c r="P1403" s="20"/>
      <c r="Q1403" s="20"/>
      <c r="R1403" s="20"/>
      <c r="S1403" s="20"/>
      <c r="T1403" s="20"/>
      <c r="U1403" s="20"/>
      <c r="V1403" s="20"/>
      <c r="W1403" s="20"/>
      <c r="X1403" s="20"/>
      <c r="Y1403" s="20"/>
      <c r="Z1403" s="20"/>
      <c r="AA1403" s="20"/>
    </row>
    <row r="1404" spans="1:27" ht="52.2" x14ac:dyDescent="0.25">
      <c r="A1404" s="16"/>
      <c r="B1404" s="20" t="b">
        <f ca="1">IFERROR(__xludf.DUMMYFUNCTION("if(D1404=iferror(filter('Character Sheet'!D$13:D3002,'Character Sheet'!D$13:D3002=D1404),""""),True,False)"),FALSE)</f>
        <v>0</v>
      </c>
      <c r="C1404" s="20">
        <v>100</v>
      </c>
      <c r="D1404" s="2" t="s">
        <v>3013</v>
      </c>
      <c r="E1404" s="2" t="s">
        <v>630</v>
      </c>
      <c r="F1404" s="20" t="s">
        <v>61</v>
      </c>
      <c r="G1404" s="2" t="s">
        <v>3014</v>
      </c>
      <c r="H1404" s="16"/>
      <c r="I1404" s="20"/>
      <c r="J1404" s="20"/>
      <c r="K1404" s="20"/>
      <c r="L1404" s="20"/>
      <c r="M1404" s="20"/>
      <c r="N1404" s="20"/>
      <c r="O1404" s="20"/>
      <c r="P1404" s="20"/>
      <c r="Q1404" s="20"/>
      <c r="R1404" s="20"/>
      <c r="S1404" s="20"/>
      <c r="T1404" s="20"/>
      <c r="U1404" s="20"/>
      <c r="V1404" s="20"/>
      <c r="W1404" s="20"/>
      <c r="X1404" s="20"/>
      <c r="Y1404" s="20"/>
      <c r="Z1404" s="20"/>
      <c r="AA1404" s="20"/>
    </row>
    <row r="1405" spans="1:27" ht="87" x14ac:dyDescent="0.25">
      <c r="A1405" s="16"/>
      <c r="B1405" s="20" t="b">
        <f ca="1">IFERROR(__xludf.DUMMYFUNCTION("if(D1405=iferror(filter('Character Sheet'!D$13:D3002,'Character Sheet'!D$13:D3002=D1405),""""),True,False)"),FALSE)</f>
        <v>0</v>
      </c>
      <c r="C1405" s="20">
        <v>100</v>
      </c>
      <c r="D1405" s="2" t="s">
        <v>3015</v>
      </c>
      <c r="E1405" s="2" t="s">
        <v>442</v>
      </c>
      <c r="F1405" s="20" t="s">
        <v>61</v>
      </c>
      <c r="G1405" s="2" t="s">
        <v>3016</v>
      </c>
      <c r="H1405" s="16"/>
      <c r="I1405" s="20"/>
      <c r="J1405" s="20"/>
      <c r="K1405" s="20"/>
      <c r="L1405" s="20"/>
      <c r="M1405" s="20"/>
      <c r="N1405" s="20"/>
      <c r="O1405" s="20"/>
      <c r="P1405" s="20"/>
      <c r="Q1405" s="20"/>
      <c r="R1405" s="20"/>
      <c r="S1405" s="20"/>
      <c r="T1405" s="20"/>
      <c r="U1405" s="20"/>
      <c r="V1405" s="20"/>
      <c r="W1405" s="20"/>
      <c r="X1405" s="20"/>
      <c r="Y1405" s="20"/>
      <c r="Z1405" s="20"/>
      <c r="AA1405" s="20"/>
    </row>
    <row r="1406" spans="1:27" ht="87" x14ac:dyDescent="0.25">
      <c r="A1406" s="16"/>
      <c r="B1406" s="20" t="b">
        <f ca="1">IFERROR(__xludf.DUMMYFUNCTION("if(D1406=iferror(filter('Character Sheet'!D$13:D3002,'Character Sheet'!D$13:D3002=D1406),""""),True,False)"),FALSE)</f>
        <v>0</v>
      </c>
      <c r="C1406" s="20">
        <v>100</v>
      </c>
      <c r="D1406" s="2" t="s">
        <v>3017</v>
      </c>
      <c r="E1406" s="2" t="s">
        <v>514</v>
      </c>
      <c r="F1406" s="20" t="s">
        <v>61</v>
      </c>
      <c r="G1406" s="2" t="s">
        <v>3018</v>
      </c>
      <c r="H1406" s="16"/>
      <c r="I1406" s="20"/>
      <c r="J1406" s="20"/>
      <c r="K1406" s="20"/>
      <c r="L1406" s="20"/>
      <c r="M1406" s="20"/>
      <c r="N1406" s="20"/>
      <c r="O1406" s="20"/>
      <c r="P1406" s="20"/>
      <c r="Q1406" s="20"/>
      <c r="R1406" s="20"/>
      <c r="S1406" s="20"/>
      <c r="T1406" s="20"/>
      <c r="U1406" s="20"/>
      <c r="V1406" s="20"/>
      <c r="W1406" s="20"/>
      <c r="X1406" s="20"/>
      <c r="Y1406" s="20"/>
      <c r="Z1406" s="20"/>
      <c r="AA1406" s="20"/>
    </row>
    <row r="1407" spans="1:27" ht="139.19999999999999" x14ac:dyDescent="0.25">
      <c r="A1407" s="16"/>
      <c r="B1407" s="20" t="b">
        <f ca="1">IFERROR(__xludf.DUMMYFUNCTION("if(D1407=iferror(filter('Character Sheet'!D$13:D3002,'Character Sheet'!D$13:D3002=D1407),""""),True,False)"),FALSE)</f>
        <v>0</v>
      </c>
      <c r="C1407" s="20">
        <v>100</v>
      </c>
      <c r="D1407" s="2" t="s">
        <v>3019</v>
      </c>
      <c r="E1407" s="2" t="s">
        <v>369</v>
      </c>
      <c r="F1407" s="20" t="s">
        <v>61</v>
      </c>
      <c r="G1407" s="2" t="s">
        <v>3020</v>
      </c>
      <c r="H1407" s="16"/>
      <c r="I1407" s="20"/>
      <c r="J1407" s="20"/>
      <c r="K1407" s="20"/>
      <c r="L1407" s="20"/>
      <c r="M1407" s="20"/>
      <c r="N1407" s="20"/>
      <c r="O1407" s="20"/>
      <c r="P1407" s="20"/>
      <c r="Q1407" s="20"/>
      <c r="R1407" s="20"/>
      <c r="S1407" s="20"/>
      <c r="T1407" s="20"/>
      <c r="U1407" s="20"/>
      <c r="V1407" s="20"/>
      <c r="W1407" s="20"/>
      <c r="X1407" s="20"/>
      <c r="Y1407" s="20"/>
      <c r="Z1407" s="20"/>
      <c r="AA1407" s="20"/>
    </row>
    <row r="1408" spans="1:27" ht="121.8" x14ac:dyDescent="0.25">
      <c r="A1408" s="16"/>
      <c r="B1408" s="20" t="b">
        <f ca="1">IFERROR(__xludf.DUMMYFUNCTION("if(D1408=iferror(filter('Character Sheet'!D$13:D3002,'Character Sheet'!D$13:D3002=D1408),""""),True,False)"),FALSE)</f>
        <v>0</v>
      </c>
      <c r="C1408" s="20">
        <v>100</v>
      </c>
      <c r="D1408" s="2" t="s">
        <v>3021</v>
      </c>
      <c r="E1408" s="20" t="s">
        <v>3022</v>
      </c>
      <c r="F1408" s="20" t="s">
        <v>61</v>
      </c>
      <c r="G1408" s="2" t="s">
        <v>3023</v>
      </c>
      <c r="H1408" s="16"/>
      <c r="I1408" s="20"/>
      <c r="J1408" s="20"/>
      <c r="K1408" s="20"/>
      <c r="L1408" s="20"/>
      <c r="M1408" s="20"/>
      <c r="N1408" s="20"/>
      <c r="O1408" s="20"/>
      <c r="P1408" s="20"/>
      <c r="Q1408" s="20"/>
      <c r="R1408" s="20"/>
      <c r="S1408" s="20"/>
      <c r="T1408" s="20"/>
      <c r="U1408" s="20"/>
      <c r="V1408" s="20"/>
      <c r="W1408" s="20"/>
      <c r="X1408" s="20"/>
      <c r="Y1408" s="20"/>
      <c r="Z1408" s="20"/>
      <c r="AA1408" s="20"/>
    </row>
    <row r="1409" spans="1:27" ht="87" x14ac:dyDescent="0.25">
      <c r="A1409" s="16"/>
      <c r="B1409" s="20" t="b">
        <f ca="1">IFERROR(__xludf.DUMMYFUNCTION("if(D1409=iferror(filter('Character Sheet'!D$13:D3002,'Character Sheet'!D$13:D3002=D1409),""""),True,False)"),FALSE)</f>
        <v>0</v>
      </c>
      <c r="C1409" s="20">
        <v>100</v>
      </c>
      <c r="D1409" s="2" t="s">
        <v>3024</v>
      </c>
      <c r="E1409" s="2" t="s">
        <v>924</v>
      </c>
      <c r="F1409" s="20" t="s">
        <v>61</v>
      </c>
      <c r="G1409" s="2" t="s">
        <v>3025</v>
      </c>
      <c r="H1409" s="16"/>
      <c r="I1409" s="20"/>
      <c r="J1409" s="20"/>
      <c r="K1409" s="20"/>
      <c r="L1409" s="20"/>
      <c r="M1409" s="20"/>
      <c r="N1409" s="20"/>
      <c r="O1409" s="20"/>
      <c r="P1409" s="20"/>
      <c r="Q1409" s="20"/>
      <c r="R1409" s="20"/>
      <c r="S1409" s="20"/>
      <c r="T1409" s="20"/>
      <c r="U1409" s="20"/>
      <c r="V1409" s="20"/>
      <c r="W1409" s="20"/>
      <c r="X1409" s="20"/>
      <c r="Y1409" s="20"/>
      <c r="Z1409" s="20"/>
      <c r="AA1409" s="20"/>
    </row>
    <row r="1410" spans="1:27" ht="69.599999999999994" x14ac:dyDescent="0.25">
      <c r="A1410" s="16"/>
      <c r="B1410" s="20" t="b">
        <f ca="1">IFERROR(__xludf.DUMMYFUNCTION("if(D1410=iferror(filter('Character Sheet'!D$13:D3002,'Character Sheet'!D$13:D3002=D1410),""""),True,False)"),FALSE)</f>
        <v>0</v>
      </c>
      <c r="C1410" s="20">
        <v>100</v>
      </c>
      <c r="D1410" s="2" t="s">
        <v>3026</v>
      </c>
      <c r="E1410" s="2" t="s">
        <v>877</v>
      </c>
      <c r="F1410" s="20" t="s">
        <v>61</v>
      </c>
      <c r="G1410" s="2" t="s">
        <v>3027</v>
      </c>
      <c r="H1410" s="16"/>
      <c r="I1410" s="20"/>
      <c r="J1410" s="20"/>
      <c r="K1410" s="20"/>
      <c r="L1410" s="20"/>
      <c r="M1410" s="20"/>
      <c r="N1410" s="20"/>
      <c r="O1410" s="20"/>
      <c r="P1410" s="20"/>
      <c r="Q1410" s="20"/>
      <c r="R1410" s="20"/>
      <c r="S1410" s="20"/>
      <c r="T1410" s="20"/>
      <c r="U1410" s="20"/>
      <c r="V1410" s="20"/>
      <c r="W1410" s="20"/>
      <c r="X1410" s="20"/>
      <c r="Y1410" s="20"/>
      <c r="Z1410" s="20"/>
      <c r="AA1410" s="20"/>
    </row>
    <row r="1411" spans="1:27" ht="191.4" x14ac:dyDescent="0.25">
      <c r="A1411" s="16"/>
      <c r="B1411" s="20" t="b">
        <f ca="1">IFERROR(__xludf.DUMMYFUNCTION("if(D1411=iferror(filter('Character Sheet'!D$13:D3002,'Character Sheet'!D$13:D3002=D1411),""""),True,False)"),FALSE)</f>
        <v>0</v>
      </c>
      <c r="C1411" s="20">
        <v>100</v>
      </c>
      <c r="D1411" s="2" t="s">
        <v>3028</v>
      </c>
      <c r="E1411" s="2" t="s">
        <v>863</v>
      </c>
      <c r="F1411" s="20" t="s">
        <v>61</v>
      </c>
      <c r="G1411" s="2" t="s">
        <v>3029</v>
      </c>
      <c r="H1411" s="16"/>
      <c r="I1411" s="20"/>
      <c r="J1411" s="20"/>
      <c r="K1411" s="20"/>
      <c r="L1411" s="20"/>
      <c r="M1411" s="20"/>
      <c r="N1411" s="20"/>
      <c r="O1411" s="20"/>
      <c r="P1411" s="20"/>
      <c r="Q1411" s="20"/>
      <c r="R1411" s="20"/>
      <c r="S1411" s="20"/>
      <c r="T1411" s="20"/>
      <c r="U1411" s="20"/>
      <c r="V1411" s="20"/>
      <c r="W1411" s="20"/>
      <c r="X1411" s="20"/>
      <c r="Y1411" s="20"/>
      <c r="Z1411" s="20"/>
      <c r="AA1411" s="20"/>
    </row>
    <row r="1412" spans="1:27" ht="139.19999999999999" x14ac:dyDescent="0.25">
      <c r="A1412" s="16"/>
      <c r="B1412" s="20" t="b">
        <f ca="1">IFERROR(__xludf.DUMMYFUNCTION("if(D1412=iferror(filter('Character Sheet'!D$13:D3002,'Character Sheet'!D$13:D3002=D1412),""""),True,False)"),FALSE)</f>
        <v>0</v>
      </c>
      <c r="C1412" s="20">
        <v>100</v>
      </c>
      <c r="D1412" s="2" t="s">
        <v>3030</v>
      </c>
      <c r="E1412" s="2" t="s">
        <v>1052</v>
      </c>
      <c r="F1412" s="20" t="s">
        <v>61</v>
      </c>
      <c r="G1412" s="2" t="s">
        <v>3031</v>
      </c>
      <c r="H1412" s="16"/>
      <c r="I1412" s="20"/>
      <c r="J1412" s="20"/>
      <c r="K1412" s="20"/>
      <c r="L1412" s="20"/>
      <c r="M1412" s="20"/>
      <c r="N1412" s="20"/>
      <c r="O1412" s="20"/>
      <c r="P1412" s="20"/>
      <c r="Q1412" s="20"/>
      <c r="R1412" s="20"/>
      <c r="S1412" s="20"/>
      <c r="T1412" s="20"/>
      <c r="U1412" s="20"/>
      <c r="V1412" s="20"/>
      <c r="W1412" s="20"/>
      <c r="X1412" s="20"/>
      <c r="Y1412" s="20"/>
      <c r="Z1412" s="20"/>
      <c r="AA1412" s="20"/>
    </row>
    <row r="1413" spans="1:27" ht="52.2" x14ac:dyDescent="0.25">
      <c r="A1413" s="16"/>
      <c r="B1413" s="20" t="b">
        <f ca="1">IFERROR(__xludf.DUMMYFUNCTION("if(D1413=iferror(filter('Character Sheet'!D$13:D3002,'Character Sheet'!D$13:D3002=D1413),""""),True,False)"),FALSE)</f>
        <v>0</v>
      </c>
      <c r="C1413" s="20">
        <v>100</v>
      </c>
      <c r="D1413" s="2" t="s">
        <v>3032</v>
      </c>
      <c r="E1413" s="2" t="s">
        <v>501</v>
      </c>
      <c r="F1413" s="20" t="s">
        <v>61</v>
      </c>
      <c r="G1413" s="2" t="s">
        <v>3033</v>
      </c>
      <c r="H1413" s="16"/>
      <c r="I1413" s="20"/>
      <c r="J1413" s="20"/>
      <c r="K1413" s="20"/>
      <c r="L1413" s="20"/>
      <c r="M1413" s="20"/>
      <c r="N1413" s="20"/>
      <c r="O1413" s="20"/>
      <c r="P1413" s="20"/>
      <c r="Q1413" s="20"/>
      <c r="R1413" s="20"/>
      <c r="S1413" s="20"/>
      <c r="T1413" s="20"/>
      <c r="U1413" s="20"/>
      <c r="V1413" s="20"/>
      <c r="W1413" s="20"/>
      <c r="X1413" s="20"/>
      <c r="Y1413" s="20"/>
      <c r="Z1413" s="20"/>
      <c r="AA1413" s="20"/>
    </row>
    <row r="1414" spans="1:27" ht="139.19999999999999" x14ac:dyDescent="0.25">
      <c r="A1414" s="16"/>
      <c r="B1414" s="20" t="b">
        <f ca="1">IFERROR(__xludf.DUMMYFUNCTION("if(D1414=iferror(filter('Character Sheet'!D$13:D3002,'Character Sheet'!D$13:D3002=D1414),""""),True,False)"),FALSE)</f>
        <v>0</v>
      </c>
      <c r="C1414" s="20">
        <v>100</v>
      </c>
      <c r="D1414" s="2" t="s">
        <v>3034</v>
      </c>
      <c r="E1414" s="2" t="s">
        <v>87</v>
      </c>
      <c r="F1414" s="20" t="s">
        <v>61</v>
      </c>
      <c r="G1414" s="2" t="s">
        <v>3035</v>
      </c>
      <c r="H1414" s="16"/>
      <c r="I1414" s="20"/>
      <c r="J1414" s="20"/>
      <c r="K1414" s="20"/>
      <c r="L1414" s="20"/>
      <c r="M1414" s="20"/>
      <c r="N1414" s="20"/>
      <c r="O1414" s="20"/>
      <c r="P1414" s="20"/>
      <c r="Q1414" s="20"/>
      <c r="R1414" s="20"/>
      <c r="S1414" s="20"/>
      <c r="T1414" s="20"/>
      <c r="U1414" s="20"/>
      <c r="V1414" s="20"/>
      <c r="W1414" s="20"/>
      <c r="X1414" s="20"/>
      <c r="Y1414" s="20"/>
      <c r="Z1414" s="20"/>
      <c r="AA1414" s="20"/>
    </row>
    <row r="1415" spans="1:27" ht="87" x14ac:dyDescent="0.25">
      <c r="A1415" s="16"/>
      <c r="B1415" s="20" t="b">
        <f ca="1">IFERROR(__xludf.DUMMYFUNCTION("if(D1415=iferror(filter('Character Sheet'!D$13:D3002,'Character Sheet'!D$13:D3002=D1415),""""),True,False)"),FALSE)</f>
        <v>0</v>
      </c>
      <c r="C1415" s="20">
        <v>100</v>
      </c>
      <c r="D1415" s="2" t="s">
        <v>3036</v>
      </c>
      <c r="E1415" s="2" t="s">
        <v>136</v>
      </c>
      <c r="F1415" s="20" t="s">
        <v>61</v>
      </c>
      <c r="G1415" s="2" t="s">
        <v>3037</v>
      </c>
      <c r="H1415" s="16"/>
      <c r="I1415" s="20"/>
      <c r="J1415" s="20"/>
      <c r="K1415" s="20"/>
      <c r="L1415" s="20"/>
      <c r="M1415" s="20"/>
      <c r="N1415" s="20"/>
      <c r="O1415" s="20"/>
      <c r="P1415" s="20"/>
      <c r="Q1415" s="20"/>
      <c r="R1415" s="20"/>
      <c r="S1415" s="20"/>
      <c r="T1415" s="20"/>
      <c r="U1415" s="20"/>
      <c r="V1415" s="20"/>
      <c r="W1415" s="20"/>
      <c r="X1415" s="20"/>
      <c r="Y1415" s="20"/>
      <c r="Z1415" s="20"/>
      <c r="AA1415" s="20"/>
    </row>
    <row r="1416" spans="1:27" ht="121.8" x14ac:dyDescent="0.25">
      <c r="A1416" s="16"/>
      <c r="B1416" s="20" t="b">
        <f ca="1">IFERROR(__xludf.DUMMYFUNCTION("if(D1416=iferror(filter('Character Sheet'!D$13:D3002,'Character Sheet'!D$13:D3002=D1416),""""),True,False)"),FALSE)</f>
        <v>0</v>
      </c>
      <c r="C1416" s="20">
        <v>200</v>
      </c>
      <c r="D1416" s="2" t="s">
        <v>3038</v>
      </c>
      <c r="E1416" s="2" t="s">
        <v>69</v>
      </c>
      <c r="F1416" s="20" t="s">
        <v>61</v>
      </c>
      <c r="G1416" s="2" t="s">
        <v>3039</v>
      </c>
      <c r="H1416" s="16"/>
      <c r="I1416" s="20"/>
      <c r="J1416" s="20"/>
      <c r="K1416" s="20"/>
      <c r="L1416" s="20"/>
      <c r="M1416" s="20"/>
      <c r="N1416" s="20"/>
      <c r="O1416" s="20"/>
      <c r="P1416" s="20"/>
      <c r="Q1416" s="20"/>
      <c r="R1416" s="20"/>
      <c r="S1416" s="20"/>
      <c r="T1416" s="20"/>
      <c r="U1416" s="20"/>
      <c r="V1416" s="20"/>
      <c r="W1416" s="20"/>
      <c r="X1416" s="20"/>
      <c r="Y1416" s="20"/>
      <c r="Z1416" s="20"/>
      <c r="AA1416" s="20"/>
    </row>
    <row r="1417" spans="1:27" ht="69.599999999999994" x14ac:dyDescent="0.25">
      <c r="A1417" s="16"/>
      <c r="B1417" s="20" t="b">
        <f ca="1">IFERROR(__xludf.DUMMYFUNCTION("if(D1417=iferror(filter('Character Sheet'!D$13:D3002,'Character Sheet'!D$13:D3002=D1417),""""),True,False)"),FALSE)</f>
        <v>0</v>
      </c>
      <c r="C1417" s="20">
        <v>200</v>
      </c>
      <c r="D1417" s="2" t="s">
        <v>3040</v>
      </c>
      <c r="E1417" s="2" t="s">
        <v>298</v>
      </c>
      <c r="F1417" s="20" t="s">
        <v>61</v>
      </c>
      <c r="G1417" s="2" t="s">
        <v>3041</v>
      </c>
      <c r="H1417" s="16"/>
      <c r="I1417" s="20"/>
      <c r="J1417" s="20"/>
      <c r="K1417" s="20"/>
      <c r="L1417" s="20"/>
      <c r="M1417" s="20"/>
      <c r="N1417" s="20"/>
      <c r="O1417" s="20"/>
      <c r="P1417" s="20"/>
      <c r="Q1417" s="20"/>
      <c r="R1417" s="20"/>
      <c r="S1417" s="20"/>
      <c r="T1417" s="20"/>
      <c r="U1417" s="20"/>
      <c r="V1417" s="20"/>
      <c r="W1417" s="20"/>
      <c r="X1417" s="20"/>
      <c r="Y1417" s="20"/>
      <c r="Z1417" s="20"/>
      <c r="AA1417" s="20"/>
    </row>
    <row r="1418" spans="1:27" ht="69.599999999999994" x14ac:dyDescent="0.25">
      <c r="A1418" s="16"/>
      <c r="B1418" s="20" t="b">
        <f ca="1">IFERROR(__xludf.DUMMYFUNCTION("if(D1418=iferror(filter('Character Sheet'!D$13:D3002,'Character Sheet'!D$13:D3002=D1418),""""),True,False)"),FALSE)</f>
        <v>0</v>
      </c>
      <c r="C1418" s="20">
        <v>200</v>
      </c>
      <c r="D1418" s="2" t="s">
        <v>3042</v>
      </c>
      <c r="E1418" s="2" t="s">
        <v>100</v>
      </c>
      <c r="F1418" s="20" t="s">
        <v>61</v>
      </c>
      <c r="G1418" s="2" t="s">
        <v>3043</v>
      </c>
      <c r="H1418" s="16"/>
      <c r="I1418" s="20"/>
      <c r="J1418" s="20"/>
      <c r="K1418" s="20"/>
      <c r="L1418" s="20"/>
      <c r="M1418" s="20"/>
      <c r="N1418" s="20"/>
      <c r="O1418" s="20"/>
      <c r="P1418" s="20"/>
      <c r="Q1418" s="20"/>
      <c r="R1418" s="20"/>
      <c r="S1418" s="20"/>
      <c r="T1418" s="20"/>
      <c r="U1418" s="20"/>
      <c r="V1418" s="20"/>
      <c r="W1418" s="20"/>
      <c r="X1418" s="20"/>
      <c r="Y1418" s="20"/>
      <c r="Z1418" s="20"/>
      <c r="AA1418" s="20"/>
    </row>
    <row r="1419" spans="1:27" ht="87" x14ac:dyDescent="0.25">
      <c r="A1419" s="16"/>
      <c r="B1419" s="20" t="b">
        <f ca="1">IFERROR(__xludf.DUMMYFUNCTION("if(D1419=iferror(filter('Character Sheet'!D$13:D3002,'Character Sheet'!D$13:D3002=D1419),""""),True,False)"),FALSE)</f>
        <v>0</v>
      </c>
      <c r="C1419" s="20">
        <v>200</v>
      </c>
      <c r="D1419" s="2" t="s">
        <v>3044</v>
      </c>
      <c r="E1419" s="2" t="s">
        <v>288</v>
      </c>
      <c r="F1419" s="20" t="s">
        <v>61</v>
      </c>
      <c r="G1419" s="2" t="s">
        <v>3045</v>
      </c>
      <c r="H1419" s="16"/>
      <c r="I1419" s="20"/>
      <c r="J1419" s="20"/>
      <c r="K1419" s="20"/>
      <c r="L1419" s="20"/>
      <c r="M1419" s="20"/>
      <c r="N1419" s="20"/>
      <c r="O1419" s="20"/>
      <c r="P1419" s="20"/>
      <c r="Q1419" s="20"/>
      <c r="R1419" s="20"/>
      <c r="S1419" s="20"/>
      <c r="T1419" s="20"/>
      <c r="U1419" s="20"/>
      <c r="V1419" s="20"/>
      <c r="W1419" s="20"/>
      <c r="X1419" s="20"/>
      <c r="Y1419" s="20"/>
      <c r="Z1419" s="20"/>
      <c r="AA1419" s="20"/>
    </row>
    <row r="1420" spans="1:27" ht="104.4" x14ac:dyDescent="0.25">
      <c r="A1420" s="16"/>
      <c r="B1420" s="20" t="b">
        <f ca="1">IFERROR(__xludf.DUMMYFUNCTION("if(D1420=iferror(filter('Character Sheet'!D$13:D3002,'Character Sheet'!D$13:D3002=D1420),""""),True,False)"),FALSE)</f>
        <v>0</v>
      </c>
      <c r="C1420" s="20">
        <v>200</v>
      </c>
      <c r="D1420" s="2" t="s">
        <v>3046</v>
      </c>
      <c r="E1420" s="2" t="s">
        <v>442</v>
      </c>
      <c r="F1420" s="20" t="s">
        <v>61</v>
      </c>
      <c r="G1420" s="2" t="s">
        <v>3047</v>
      </c>
      <c r="H1420" s="16"/>
      <c r="I1420" s="20"/>
      <c r="J1420" s="20"/>
      <c r="K1420" s="20"/>
      <c r="L1420" s="20"/>
      <c r="M1420" s="20"/>
      <c r="N1420" s="20"/>
      <c r="O1420" s="20"/>
      <c r="P1420" s="20"/>
      <c r="Q1420" s="20"/>
      <c r="R1420" s="20"/>
      <c r="S1420" s="20"/>
      <c r="T1420" s="20"/>
      <c r="U1420" s="20"/>
      <c r="V1420" s="20"/>
      <c r="W1420" s="20"/>
      <c r="X1420" s="20"/>
      <c r="Y1420" s="20"/>
      <c r="Z1420" s="20"/>
      <c r="AA1420" s="20"/>
    </row>
    <row r="1421" spans="1:27" ht="139.19999999999999" x14ac:dyDescent="0.25">
      <c r="A1421" s="16"/>
      <c r="B1421" s="20" t="b">
        <f ca="1">IFERROR(__xludf.DUMMYFUNCTION("if(D1421=iferror(filter('Character Sheet'!D$13:D3002,'Character Sheet'!D$13:D3002=D1421),""""),True,False)"),FALSE)</f>
        <v>0</v>
      </c>
      <c r="C1421" s="20">
        <v>200</v>
      </c>
      <c r="D1421" s="2" t="s">
        <v>3048</v>
      </c>
      <c r="E1421" s="2" t="s">
        <v>1244</v>
      </c>
      <c r="F1421" s="20" t="s">
        <v>61</v>
      </c>
      <c r="G1421" s="2" t="s">
        <v>3049</v>
      </c>
      <c r="H1421" s="16"/>
      <c r="I1421" s="20"/>
      <c r="J1421" s="20"/>
      <c r="K1421" s="20"/>
      <c r="L1421" s="20"/>
      <c r="M1421" s="20"/>
      <c r="N1421" s="20"/>
      <c r="O1421" s="20"/>
      <c r="P1421" s="20"/>
      <c r="Q1421" s="20"/>
      <c r="R1421" s="20"/>
      <c r="S1421" s="20"/>
      <c r="T1421" s="20"/>
      <c r="U1421" s="20"/>
      <c r="V1421" s="20"/>
      <c r="W1421" s="20"/>
      <c r="X1421" s="20"/>
      <c r="Y1421" s="20"/>
      <c r="Z1421" s="20"/>
      <c r="AA1421" s="20"/>
    </row>
    <row r="1422" spans="1:27" ht="87" x14ac:dyDescent="0.25">
      <c r="A1422" s="16"/>
      <c r="B1422" s="20" t="b">
        <f ca="1">IFERROR(__xludf.DUMMYFUNCTION("if(D1422=iferror(filter('Character Sheet'!D$13:D3002,'Character Sheet'!D$13:D3002=D1422),""""),True,False)"),FALSE)</f>
        <v>0</v>
      </c>
      <c r="C1422" s="20">
        <v>200</v>
      </c>
      <c r="D1422" s="2" t="s">
        <v>3050</v>
      </c>
      <c r="E1422" s="2" t="s">
        <v>69</v>
      </c>
      <c r="F1422" s="20" t="s">
        <v>61</v>
      </c>
      <c r="G1422" s="2" t="s">
        <v>3051</v>
      </c>
      <c r="H1422" s="16"/>
      <c r="I1422" s="20"/>
      <c r="J1422" s="20"/>
      <c r="K1422" s="20"/>
      <c r="L1422" s="20"/>
      <c r="M1422" s="20"/>
      <c r="N1422" s="20"/>
      <c r="O1422" s="20"/>
      <c r="P1422" s="20"/>
      <c r="Q1422" s="20"/>
      <c r="R1422" s="20"/>
      <c r="S1422" s="20"/>
      <c r="T1422" s="20"/>
      <c r="U1422" s="20"/>
      <c r="V1422" s="20"/>
      <c r="W1422" s="20"/>
      <c r="X1422" s="20"/>
      <c r="Y1422" s="20"/>
      <c r="Z1422" s="20"/>
      <c r="AA1422" s="20"/>
    </row>
    <row r="1423" spans="1:27" ht="139.19999999999999" x14ac:dyDescent="0.25">
      <c r="A1423" s="16"/>
      <c r="B1423" s="20" t="b">
        <f ca="1">IFERROR(__xludf.DUMMYFUNCTION("if(D1423=iferror(filter('Character Sheet'!D$13:D3002,'Character Sheet'!D$13:D3002=D1423),""""),True,False)"),FALSE)</f>
        <v>0</v>
      </c>
      <c r="C1423" s="20">
        <v>200</v>
      </c>
      <c r="D1423" s="2" t="s">
        <v>3052</v>
      </c>
      <c r="E1423" s="2" t="s">
        <v>1052</v>
      </c>
      <c r="F1423" s="20" t="s">
        <v>61</v>
      </c>
      <c r="G1423" s="2" t="s">
        <v>3053</v>
      </c>
      <c r="H1423" s="16"/>
      <c r="I1423" s="20"/>
      <c r="J1423" s="20"/>
      <c r="K1423" s="20"/>
      <c r="L1423" s="20"/>
      <c r="M1423" s="20"/>
      <c r="N1423" s="20"/>
      <c r="O1423" s="20"/>
      <c r="P1423" s="20"/>
      <c r="Q1423" s="20"/>
      <c r="R1423" s="20"/>
      <c r="S1423" s="20"/>
      <c r="T1423" s="20"/>
      <c r="U1423" s="20"/>
      <c r="V1423" s="20"/>
      <c r="W1423" s="20"/>
      <c r="X1423" s="20"/>
      <c r="Y1423" s="20"/>
      <c r="Z1423" s="20"/>
      <c r="AA1423" s="20"/>
    </row>
    <row r="1424" spans="1:27" ht="156.6" x14ac:dyDescent="0.25">
      <c r="A1424" s="16"/>
      <c r="B1424" s="20" t="b">
        <f ca="1">IFERROR(__xludf.DUMMYFUNCTION("if(D1424=iferror(filter('Character Sheet'!D$13:D3002,'Character Sheet'!D$13:D3002=D1424),""""),True,False)"),FALSE)</f>
        <v>0</v>
      </c>
      <c r="C1424" s="20">
        <v>200</v>
      </c>
      <c r="D1424" s="2" t="s">
        <v>3054</v>
      </c>
      <c r="E1424" s="2" t="s">
        <v>973</v>
      </c>
      <c r="F1424" s="20" t="s">
        <v>61</v>
      </c>
      <c r="G1424" s="2" t="s">
        <v>3055</v>
      </c>
      <c r="H1424" s="16"/>
      <c r="I1424" s="20"/>
      <c r="J1424" s="20"/>
      <c r="K1424" s="20"/>
      <c r="L1424" s="20"/>
      <c r="M1424" s="20"/>
      <c r="N1424" s="20"/>
      <c r="O1424" s="20"/>
      <c r="P1424" s="20"/>
      <c r="Q1424" s="20"/>
      <c r="R1424" s="20"/>
      <c r="S1424" s="20"/>
      <c r="T1424" s="20"/>
      <c r="U1424" s="20"/>
      <c r="V1424" s="20"/>
      <c r="W1424" s="20"/>
      <c r="X1424" s="20"/>
      <c r="Y1424" s="20"/>
      <c r="Z1424" s="20"/>
      <c r="AA1424" s="20"/>
    </row>
    <row r="1425" spans="1:27" ht="121.8" x14ac:dyDescent="0.25">
      <c r="A1425" s="16"/>
      <c r="B1425" s="20" t="b">
        <f ca="1">IFERROR(__xludf.DUMMYFUNCTION("if(D1425=iferror(filter('Character Sheet'!D$13:D3002,'Character Sheet'!D$13:D3002=D1425),""""),True,False)"),FALSE)</f>
        <v>0</v>
      </c>
      <c r="C1425" s="20">
        <v>200</v>
      </c>
      <c r="D1425" s="2" t="s">
        <v>3056</v>
      </c>
      <c r="E1425" s="2" t="s">
        <v>845</v>
      </c>
      <c r="F1425" s="20" t="s">
        <v>61</v>
      </c>
      <c r="G1425" s="2" t="s">
        <v>3057</v>
      </c>
      <c r="H1425" s="16"/>
      <c r="I1425" s="20"/>
      <c r="J1425" s="20"/>
      <c r="K1425" s="20"/>
      <c r="L1425" s="20"/>
      <c r="M1425" s="20"/>
      <c r="N1425" s="20"/>
      <c r="O1425" s="20"/>
      <c r="P1425" s="20"/>
      <c r="Q1425" s="20"/>
      <c r="R1425" s="20"/>
      <c r="S1425" s="20"/>
      <c r="T1425" s="20"/>
      <c r="U1425" s="20"/>
      <c r="V1425" s="20"/>
      <c r="W1425" s="20"/>
      <c r="X1425" s="20"/>
      <c r="Y1425" s="20"/>
      <c r="Z1425" s="20"/>
      <c r="AA1425" s="20"/>
    </row>
    <row r="1426" spans="1:27" ht="208.8" x14ac:dyDescent="0.25">
      <c r="A1426" s="16"/>
      <c r="B1426" s="20" t="b">
        <f ca="1">IFERROR(__xludf.DUMMYFUNCTION("if(D1426=iferror(filter('Character Sheet'!D$13:D3002,'Character Sheet'!D$13:D3002=D1426),""""),True,False)"),FALSE)</f>
        <v>0</v>
      </c>
      <c r="C1426" s="20">
        <v>200</v>
      </c>
      <c r="D1426" s="2" t="s">
        <v>3058</v>
      </c>
      <c r="E1426" s="2" t="s">
        <v>75</v>
      </c>
      <c r="F1426" s="20" t="s">
        <v>61</v>
      </c>
      <c r="G1426" s="2" t="s">
        <v>3059</v>
      </c>
      <c r="H1426" s="16"/>
      <c r="I1426" s="20"/>
      <c r="J1426" s="20"/>
      <c r="K1426" s="20"/>
      <c r="L1426" s="20"/>
      <c r="M1426" s="20"/>
      <c r="N1426" s="20"/>
      <c r="O1426" s="20"/>
      <c r="P1426" s="20"/>
      <c r="Q1426" s="20"/>
      <c r="R1426" s="20"/>
      <c r="S1426" s="20"/>
      <c r="T1426" s="20"/>
      <c r="U1426" s="20"/>
      <c r="V1426" s="20"/>
      <c r="W1426" s="20"/>
      <c r="X1426" s="20"/>
      <c r="Y1426" s="20"/>
      <c r="Z1426" s="20"/>
      <c r="AA1426" s="20"/>
    </row>
    <row r="1427" spans="1:27" ht="139.19999999999999" x14ac:dyDescent="0.25">
      <c r="A1427" s="16"/>
      <c r="B1427" s="20" t="b">
        <f ca="1">IFERROR(__xludf.DUMMYFUNCTION("if(D1427=iferror(filter('Character Sheet'!D$13:D3002,'Character Sheet'!D$13:D3002=D1427),""""),True,False)"),FALSE)</f>
        <v>0</v>
      </c>
      <c r="C1427" s="20">
        <v>200</v>
      </c>
      <c r="D1427" s="2" t="s">
        <v>3060</v>
      </c>
      <c r="E1427" s="2" t="s">
        <v>168</v>
      </c>
      <c r="F1427" s="20" t="s">
        <v>61</v>
      </c>
      <c r="G1427" s="2" t="s">
        <v>3061</v>
      </c>
      <c r="H1427" s="16"/>
      <c r="I1427" s="20"/>
      <c r="J1427" s="20"/>
      <c r="K1427" s="20"/>
      <c r="L1427" s="20"/>
      <c r="M1427" s="20"/>
      <c r="N1427" s="20"/>
      <c r="O1427" s="20"/>
      <c r="P1427" s="20"/>
      <c r="Q1427" s="20"/>
      <c r="R1427" s="20"/>
      <c r="S1427" s="20"/>
      <c r="T1427" s="20"/>
      <c r="U1427" s="20"/>
      <c r="V1427" s="20"/>
      <c r="W1427" s="20"/>
      <c r="X1427" s="20"/>
      <c r="Y1427" s="20"/>
      <c r="Z1427" s="20"/>
      <c r="AA1427" s="20"/>
    </row>
    <row r="1428" spans="1:27" ht="87" x14ac:dyDescent="0.25">
      <c r="A1428" s="16"/>
      <c r="B1428" s="20" t="b">
        <f ca="1">IFERROR(__xludf.DUMMYFUNCTION("if(D1428=iferror(filter('Character Sheet'!D$13:D3002,'Character Sheet'!D$13:D3002=D1428),""""),True,False)"),FALSE)</f>
        <v>0</v>
      </c>
      <c r="C1428" s="20">
        <v>200</v>
      </c>
      <c r="D1428" s="2" t="s">
        <v>3062</v>
      </c>
      <c r="E1428" s="2" t="s">
        <v>344</v>
      </c>
      <c r="F1428" s="20" t="s">
        <v>61</v>
      </c>
      <c r="G1428" s="2" t="s">
        <v>3063</v>
      </c>
      <c r="H1428" s="16"/>
      <c r="I1428" s="20"/>
      <c r="J1428" s="20"/>
      <c r="K1428" s="20"/>
      <c r="L1428" s="20"/>
      <c r="M1428" s="20"/>
      <c r="N1428" s="20"/>
      <c r="O1428" s="20"/>
      <c r="P1428" s="20"/>
      <c r="Q1428" s="20"/>
      <c r="R1428" s="20"/>
      <c r="S1428" s="20"/>
      <c r="T1428" s="20"/>
      <c r="U1428" s="20"/>
      <c r="V1428" s="20"/>
      <c r="W1428" s="20"/>
      <c r="X1428" s="20"/>
      <c r="Y1428" s="20"/>
      <c r="Z1428" s="20"/>
      <c r="AA1428" s="20"/>
    </row>
    <row r="1429" spans="1:27" ht="121.8" x14ac:dyDescent="0.25">
      <c r="A1429" s="16"/>
      <c r="B1429" s="20" t="b">
        <f ca="1">IFERROR(__xludf.DUMMYFUNCTION("if(D1429=iferror(filter('Character Sheet'!D$13:D3002,'Character Sheet'!D$13:D3002=D1429),""""),True,False)"),FALSE)</f>
        <v>0</v>
      </c>
      <c r="C1429" s="20">
        <v>200</v>
      </c>
      <c r="D1429" s="2" t="s">
        <v>3064</v>
      </c>
      <c r="E1429" s="2" t="s">
        <v>2014</v>
      </c>
      <c r="F1429" s="20" t="s">
        <v>61</v>
      </c>
      <c r="G1429" s="2" t="s">
        <v>3065</v>
      </c>
      <c r="H1429" s="16"/>
      <c r="I1429" s="20"/>
      <c r="J1429" s="20"/>
      <c r="K1429" s="20"/>
      <c r="L1429" s="20"/>
      <c r="M1429" s="20"/>
      <c r="N1429" s="20"/>
      <c r="O1429" s="20"/>
      <c r="P1429" s="20"/>
      <c r="Q1429" s="20"/>
      <c r="R1429" s="20"/>
      <c r="S1429" s="20"/>
      <c r="T1429" s="20"/>
      <c r="U1429" s="20"/>
      <c r="V1429" s="20"/>
      <c r="W1429" s="20"/>
      <c r="X1429" s="20"/>
      <c r="Y1429" s="20"/>
      <c r="Z1429" s="20"/>
      <c r="AA1429" s="20"/>
    </row>
    <row r="1430" spans="1:27" ht="121.8" x14ac:dyDescent="0.25">
      <c r="A1430" s="16"/>
      <c r="B1430" s="20" t="b">
        <f ca="1">IFERROR(__xludf.DUMMYFUNCTION("if(D1430=iferror(filter('Character Sheet'!D$13:D3002,'Character Sheet'!D$13:D3002=D1430),""""),True,False)"),TRUE)</f>
        <v>1</v>
      </c>
      <c r="C1430" s="20">
        <v>200</v>
      </c>
      <c r="D1430" s="2" t="s">
        <v>40</v>
      </c>
      <c r="E1430" s="2" t="s">
        <v>3066</v>
      </c>
      <c r="F1430" s="20" t="s">
        <v>61</v>
      </c>
      <c r="G1430" s="2" t="s">
        <v>3067</v>
      </c>
      <c r="H1430" s="16"/>
      <c r="I1430" s="20"/>
      <c r="J1430" s="20"/>
      <c r="K1430" s="20"/>
      <c r="L1430" s="20"/>
      <c r="M1430" s="20"/>
      <c r="N1430" s="20"/>
      <c r="O1430" s="20"/>
      <c r="P1430" s="20"/>
      <c r="Q1430" s="20"/>
      <c r="R1430" s="20"/>
      <c r="S1430" s="20"/>
      <c r="T1430" s="20"/>
      <c r="U1430" s="20"/>
      <c r="V1430" s="20"/>
      <c r="W1430" s="20"/>
      <c r="X1430" s="20"/>
      <c r="Y1430" s="20"/>
      <c r="Z1430" s="20"/>
      <c r="AA1430" s="20"/>
    </row>
    <row r="1431" spans="1:27" ht="156.6" x14ac:dyDescent="0.25">
      <c r="A1431" s="16"/>
      <c r="B1431" s="20" t="b">
        <f ca="1">IFERROR(__xludf.DUMMYFUNCTION("if(D1431=iferror(filter('Character Sheet'!D$13:D3002,'Character Sheet'!D$13:D3002=D1431),""""),True,False)"),FALSE)</f>
        <v>0</v>
      </c>
      <c r="C1431" s="20">
        <v>200</v>
      </c>
      <c r="D1431" s="2" t="s">
        <v>3068</v>
      </c>
      <c r="E1431" s="2" t="s">
        <v>136</v>
      </c>
      <c r="F1431" s="20" t="s">
        <v>61</v>
      </c>
      <c r="G1431" s="2" t="s">
        <v>3069</v>
      </c>
      <c r="H1431" s="16"/>
      <c r="I1431" s="20"/>
      <c r="J1431" s="20"/>
      <c r="K1431" s="20"/>
      <c r="L1431" s="20"/>
      <c r="M1431" s="20"/>
      <c r="N1431" s="20"/>
      <c r="O1431" s="20"/>
      <c r="P1431" s="20"/>
      <c r="Q1431" s="20"/>
      <c r="R1431" s="20"/>
      <c r="S1431" s="20"/>
      <c r="T1431" s="20"/>
      <c r="U1431" s="20"/>
      <c r="V1431" s="20"/>
      <c r="W1431" s="20"/>
      <c r="X1431" s="20"/>
      <c r="Y1431" s="20"/>
      <c r="Z1431" s="20"/>
      <c r="AA1431" s="20"/>
    </row>
    <row r="1432" spans="1:27" ht="208.8" x14ac:dyDescent="0.25">
      <c r="A1432" s="16"/>
      <c r="B1432" s="20" t="b">
        <f ca="1">IFERROR(__xludf.DUMMYFUNCTION("if(D1432=iferror(filter('Character Sheet'!D$13:D3002,'Character Sheet'!D$13:D3002=D1432),""""),True,False)"),FALSE)</f>
        <v>0</v>
      </c>
      <c r="C1432" s="20">
        <v>200</v>
      </c>
      <c r="D1432" s="2" t="s">
        <v>3070</v>
      </c>
      <c r="E1432" s="2" t="s">
        <v>408</v>
      </c>
      <c r="F1432" s="20" t="s">
        <v>61</v>
      </c>
      <c r="G1432" s="2" t="s">
        <v>3071</v>
      </c>
      <c r="H1432" s="16"/>
      <c r="I1432" s="20"/>
      <c r="J1432" s="20"/>
      <c r="K1432" s="20"/>
      <c r="L1432" s="20"/>
      <c r="M1432" s="20"/>
      <c r="N1432" s="20"/>
      <c r="O1432" s="20"/>
      <c r="P1432" s="20"/>
      <c r="Q1432" s="20"/>
      <c r="R1432" s="20"/>
      <c r="S1432" s="20"/>
      <c r="T1432" s="20"/>
      <c r="U1432" s="20"/>
      <c r="V1432" s="20"/>
      <c r="W1432" s="20"/>
      <c r="X1432" s="20"/>
      <c r="Y1432" s="20"/>
      <c r="Z1432" s="20"/>
      <c r="AA1432" s="20"/>
    </row>
    <row r="1433" spans="1:27" ht="121.8" x14ac:dyDescent="0.25">
      <c r="A1433" s="16"/>
      <c r="B1433" s="20" t="b">
        <f ca="1">IFERROR(__xludf.DUMMYFUNCTION("if(D1433=iferror(filter('Character Sheet'!D$13:D3002,'Character Sheet'!D$13:D3002=D1433),""""),True,False)"),FALSE)</f>
        <v>0</v>
      </c>
      <c r="C1433" s="20">
        <v>200</v>
      </c>
      <c r="D1433" s="2" t="s">
        <v>3072</v>
      </c>
      <c r="E1433" s="2" t="s">
        <v>845</v>
      </c>
      <c r="F1433" s="20" t="s">
        <v>61</v>
      </c>
      <c r="G1433" s="2" t="s">
        <v>3073</v>
      </c>
      <c r="H1433" s="16"/>
      <c r="I1433" s="20"/>
      <c r="J1433" s="20"/>
      <c r="K1433" s="20"/>
      <c r="L1433" s="20"/>
      <c r="M1433" s="20"/>
      <c r="N1433" s="20"/>
      <c r="O1433" s="20"/>
      <c r="P1433" s="20"/>
      <c r="Q1433" s="20"/>
      <c r="R1433" s="20"/>
      <c r="S1433" s="20"/>
      <c r="T1433" s="20"/>
      <c r="U1433" s="20"/>
      <c r="V1433" s="20"/>
      <c r="W1433" s="20"/>
      <c r="X1433" s="20"/>
      <c r="Y1433" s="20"/>
      <c r="Z1433" s="20"/>
      <c r="AA1433" s="20"/>
    </row>
    <row r="1434" spans="1:27" ht="69.599999999999994" x14ac:dyDescent="0.25">
      <c r="A1434" s="16"/>
      <c r="B1434" s="20" t="b">
        <f ca="1">IFERROR(__xludf.DUMMYFUNCTION("if(D1434=iferror(filter('Character Sheet'!D$13:D3002,'Character Sheet'!D$13:D3002=D1434),""""),True,False)"),FALSE)</f>
        <v>0</v>
      </c>
      <c r="C1434" s="20">
        <v>200</v>
      </c>
      <c r="D1434" s="2" t="s">
        <v>3074</v>
      </c>
      <c r="E1434" s="2" t="s">
        <v>277</v>
      </c>
      <c r="F1434" s="20" t="s">
        <v>61</v>
      </c>
      <c r="G1434" s="2" t="s">
        <v>3075</v>
      </c>
      <c r="H1434" s="16"/>
      <c r="I1434" s="20"/>
      <c r="J1434" s="20"/>
      <c r="K1434" s="20"/>
      <c r="L1434" s="20"/>
      <c r="M1434" s="20"/>
      <c r="N1434" s="20"/>
      <c r="O1434" s="20"/>
      <c r="P1434" s="20"/>
      <c r="Q1434" s="20"/>
      <c r="R1434" s="20"/>
      <c r="S1434" s="20"/>
      <c r="T1434" s="20"/>
      <c r="U1434" s="20"/>
      <c r="V1434" s="20"/>
      <c r="W1434" s="20"/>
      <c r="X1434" s="20"/>
      <c r="Y1434" s="20"/>
      <c r="Z1434" s="20"/>
      <c r="AA1434" s="20"/>
    </row>
    <row r="1435" spans="1:27" ht="52.2" x14ac:dyDescent="0.25">
      <c r="A1435" s="16"/>
      <c r="B1435" s="20" t="b">
        <f ca="1">IFERROR(__xludf.DUMMYFUNCTION("if(D1435=iferror(filter('Character Sheet'!D$13:D3002,'Character Sheet'!D$13:D3002=D1435),""""),True,False)"),FALSE)</f>
        <v>0</v>
      </c>
      <c r="C1435" s="20">
        <v>200</v>
      </c>
      <c r="D1435" s="2" t="s">
        <v>3076</v>
      </c>
      <c r="E1435" s="2" t="s">
        <v>288</v>
      </c>
      <c r="F1435" s="20" t="s">
        <v>61</v>
      </c>
      <c r="G1435" s="2" t="s">
        <v>3077</v>
      </c>
      <c r="H1435" s="16"/>
      <c r="I1435" s="20"/>
      <c r="J1435" s="20"/>
      <c r="K1435" s="20"/>
      <c r="L1435" s="20"/>
      <c r="M1435" s="20"/>
      <c r="N1435" s="20"/>
      <c r="O1435" s="20"/>
      <c r="P1435" s="20"/>
      <c r="Q1435" s="20"/>
      <c r="R1435" s="20"/>
      <c r="S1435" s="20"/>
      <c r="T1435" s="20"/>
      <c r="U1435" s="20"/>
      <c r="V1435" s="20"/>
      <c r="W1435" s="20"/>
      <c r="X1435" s="20"/>
      <c r="Y1435" s="20"/>
      <c r="Z1435" s="20"/>
      <c r="AA1435" s="20"/>
    </row>
    <row r="1436" spans="1:27" ht="174" x14ac:dyDescent="0.25">
      <c r="A1436" s="16"/>
      <c r="B1436" s="20" t="b">
        <f ca="1">IFERROR(__xludf.DUMMYFUNCTION("if(D1436=iferror(filter('Character Sheet'!D$13:D3002,'Character Sheet'!D$13:D3002=D1436),""""),True,False)"),FALSE)</f>
        <v>0</v>
      </c>
      <c r="C1436" s="20">
        <v>200</v>
      </c>
      <c r="D1436" s="2" t="s">
        <v>3078</v>
      </c>
      <c r="E1436" s="2" t="s">
        <v>124</v>
      </c>
      <c r="F1436" s="20" t="s">
        <v>61</v>
      </c>
      <c r="G1436" s="2" t="s">
        <v>3079</v>
      </c>
      <c r="H1436" s="16"/>
      <c r="I1436" s="20"/>
      <c r="J1436" s="20"/>
      <c r="K1436" s="20"/>
      <c r="L1436" s="20"/>
      <c r="M1436" s="20"/>
      <c r="N1436" s="20"/>
      <c r="O1436" s="20"/>
      <c r="P1436" s="20"/>
      <c r="Q1436" s="20"/>
      <c r="R1436" s="20"/>
      <c r="S1436" s="20"/>
      <c r="T1436" s="20"/>
      <c r="U1436" s="20"/>
      <c r="V1436" s="20"/>
      <c r="W1436" s="20"/>
      <c r="X1436" s="20"/>
      <c r="Y1436" s="20"/>
      <c r="Z1436" s="20"/>
      <c r="AA1436" s="20"/>
    </row>
    <row r="1437" spans="1:27" ht="87" x14ac:dyDescent="0.25">
      <c r="A1437" s="16"/>
      <c r="B1437" s="20" t="b">
        <f ca="1">IFERROR(__xludf.DUMMYFUNCTION("if(D1437=iferror(filter('Character Sheet'!D$13:D3002,'Character Sheet'!D$13:D3002=D1437),""""),True,False)"),FALSE)</f>
        <v>0</v>
      </c>
      <c r="C1437" s="20">
        <v>200</v>
      </c>
      <c r="D1437" s="2" t="s">
        <v>3080</v>
      </c>
      <c r="E1437" s="2" t="s">
        <v>475</v>
      </c>
      <c r="F1437" s="20" t="s">
        <v>61</v>
      </c>
      <c r="G1437" s="2" t="s">
        <v>3081</v>
      </c>
      <c r="H1437" s="16"/>
      <c r="I1437" s="20"/>
      <c r="J1437" s="20"/>
      <c r="K1437" s="20"/>
      <c r="L1437" s="20"/>
      <c r="M1437" s="20"/>
      <c r="N1437" s="20"/>
      <c r="O1437" s="20"/>
      <c r="P1437" s="20"/>
      <c r="Q1437" s="20"/>
      <c r="R1437" s="20"/>
      <c r="S1437" s="20"/>
      <c r="T1437" s="20"/>
      <c r="U1437" s="20"/>
      <c r="V1437" s="20"/>
      <c r="W1437" s="20"/>
      <c r="X1437" s="20"/>
      <c r="Y1437" s="20"/>
      <c r="Z1437" s="20"/>
      <c r="AA1437" s="20"/>
    </row>
    <row r="1438" spans="1:27" ht="104.4" x14ac:dyDescent="0.25">
      <c r="A1438" s="16"/>
      <c r="B1438" s="20" t="b">
        <f ca="1">IFERROR(__xludf.DUMMYFUNCTION("if(D1438=iferror(filter('Character Sheet'!D$13:D3002,'Character Sheet'!D$13:D3002=D1438),""""),True,False)"),FALSE)</f>
        <v>0</v>
      </c>
      <c r="C1438" s="20">
        <v>200</v>
      </c>
      <c r="D1438" s="2" t="s">
        <v>3082</v>
      </c>
      <c r="E1438" s="2" t="s">
        <v>845</v>
      </c>
      <c r="F1438" s="20" t="s">
        <v>61</v>
      </c>
      <c r="G1438" s="2" t="s">
        <v>3083</v>
      </c>
      <c r="H1438" s="16"/>
      <c r="I1438" s="20"/>
      <c r="J1438" s="20"/>
      <c r="K1438" s="20"/>
      <c r="L1438" s="20"/>
      <c r="M1438" s="20"/>
      <c r="N1438" s="20"/>
      <c r="O1438" s="20"/>
      <c r="P1438" s="20"/>
      <c r="Q1438" s="20"/>
      <c r="R1438" s="20"/>
      <c r="S1438" s="20"/>
      <c r="T1438" s="20"/>
      <c r="U1438" s="20"/>
      <c r="V1438" s="20"/>
      <c r="W1438" s="20"/>
      <c r="X1438" s="20"/>
      <c r="Y1438" s="20"/>
      <c r="Z1438" s="20"/>
      <c r="AA1438" s="20"/>
    </row>
    <row r="1439" spans="1:27" ht="104.4" x14ac:dyDescent="0.25">
      <c r="A1439" s="16"/>
      <c r="B1439" s="20" t="b">
        <f ca="1">IFERROR(__xludf.DUMMYFUNCTION("if(D1439=iferror(filter('Character Sheet'!D$13:D3002,'Character Sheet'!D$13:D3002=D1439),""""),True,False)"),FALSE)</f>
        <v>0</v>
      </c>
      <c r="C1439" s="20">
        <v>200</v>
      </c>
      <c r="D1439" s="2" t="s">
        <v>3084</v>
      </c>
      <c r="E1439" s="2" t="s">
        <v>469</v>
      </c>
      <c r="F1439" s="20" t="s">
        <v>61</v>
      </c>
      <c r="G1439" s="2" t="s">
        <v>3085</v>
      </c>
      <c r="H1439" s="16"/>
      <c r="I1439" s="20"/>
      <c r="J1439" s="20"/>
      <c r="K1439" s="20"/>
      <c r="L1439" s="20"/>
      <c r="M1439" s="20"/>
      <c r="N1439" s="20"/>
      <c r="O1439" s="20"/>
      <c r="P1439" s="20"/>
      <c r="Q1439" s="20"/>
      <c r="R1439" s="20"/>
      <c r="S1439" s="20"/>
      <c r="T1439" s="20"/>
      <c r="U1439" s="20"/>
      <c r="V1439" s="20"/>
      <c r="W1439" s="20"/>
      <c r="X1439" s="20"/>
      <c r="Y1439" s="20"/>
      <c r="Z1439" s="20"/>
      <c r="AA1439" s="20"/>
    </row>
    <row r="1440" spans="1:27" ht="121.8" x14ac:dyDescent="0.25">
      <c r="A1440" s="16"/>
      <c r="B1440" s="20" t="b">
        <f ca="1">IFERROR(__xludf.DUMMYFUNCTION("if(D1440=iferror(filter('Character Sheet'!D$13:D3002,'Character Sheet'!D$13:D3002=D1440),""""),True,False)"),FALSE)</f>
        <v>0</v>
      </c>
      <c r="C1440" s="20">
        <v>200</v>
      </c>
      <c r="D1440" s="2" t="s">
        <v>3086</v>
      </c>
      <c r="E1440" s="2" t="s">
        <v>317</v>
      </c>
      <c r="F1440" s="20" t="s">
        <v>61</v>
      </c>
      <c r="G1440" s="2" t="s">
        <v>3087</v>
      </c>
      <c r="H1440" s="16"/>
      <c r="I1440" s="20"/>
      <c r="J1440" s="20"/>
      <c r="K1440" s="20"/>
      <c r="L1440" s="20"/>
      <c r="M1440" s="20"/>
      <c r="N1440" s="20"/>
      <c r="O1440" s="20"/>
      <c r="P1440" s="20"/>
      <c r="Q1440" s="20"/>
      <c r="R1440" s="20"/>
      <c r="S1440" s="20"/>
      <c r="T1440" s="20"/>
      <c r="U1440" s="20"/>
      <c r="V1440" s="20"/>
      <c r="W1440" s="20"/>
      <c r="X1440" s="20"/>
      <c r="Y1440" s="20"/>
      <c r="Z1440" s="20"/>
      <c r="AA1440" s="20"/>
    </row>
    <row r="1441" spans="1:27" ht="139.19999999999999" x14ac:dyDescent="0.25">
      <c r="A1441" s="16"/>
      <c r="B1441" s="20" t="b">
        <f ca="1">IFERROR(__xludf.DUMMYFUNCTION("if(D1441=iferror(filter('Character Sheet'!D$13:D3002,'Character Sheet'!D$13:D3002=D1441),""""),True,False)"),FALSE)</f>
        <v>0</v>
      </c>
      <c r="C1441" s="20">
        <v>300</v>
      </c>
      <c r="D1441" s="2" t="s">
        <v>3088</v>
      </c>
      <c r="E1441" s="2" t="s">
        <v>845</v>
      </c>
      <c r="F1441" s="20" t="s">
        <v>61</v>
      </c>
      <c r="G1441" s="2" t="s">
        <v>3089</v>
      </c>
      <c r="H1441" s="16"/>
      <c r="I1441" s="20"/>
      <c r="J1441" s="20"/>
      <c r="K1441" s="20"/>
      <c r="L1441" s="20"/>
      <c r="M1441" s="20"/>
      <c r="N1441" s="20"/>
      <c r="O1441" s="20"/>
      <c r="P1441" s="20"/>
      <c r="Q1441" s="20"/>
      <c r="R1441" s="20"/>
      <c r="S1441" s="20"/>
      <c r="T1441" s="20"/>
      <c r="U1441" s="20"/>
      <c r="V1441" s="20"/>
      <c r="W1441" s="20"/>
      <c r="X1441" s="20"/>
      <c r="Y1441" s="20"/>
      <c r="Z1441" s="20"/>
      <c r="AA1441" s="20"/>
    </row>
    <row r="1442" spans="1:27" ht="174" x14ac:dyDescent="0.25">
      <c r="A1442" s="16"/>
      <c r="B1442" s="20" t="b">
        <f ca="1">IFERROR(__xludf.DUMMYFUNCTION("if(D1442=iferror(filter('Character Sheet'!D$13:D3002,'Character Sheet'!D$13:D3002=D1442),""""),True,False)"),FALSE)</f>
        <v>0</v>
      </c>
      <c r="C1442" s="20">
        <v>300</v>
      </c>
      <c r="D1442" s="2" t="s">
        <v>3090</v>
      </c>
      <c r="E1442" s="2" t="s">
        <v>394</v>
      </c>
      <c r="F1442" s="20" t="s">
        <v>61</v>
      </c>
      <c r="G1442" s="2" t="s">
        <v>3091</v>
      </c>
      <c r="H1442" s="16"/>
      <c r="I1442" s="20"/>
      <c r="J1442" s="20"/>
      <c r="K1442" s="20"/>
      <c r="L1442" s="20"/>
      <c r="M1442" s="20"/>
      <c r="N1442" s="20"/>
      <c r="O1442" s="20"/>
      <c r="P1442" s="20"/>
      <c r="Q1442" s="20"/>
      <c r="R1442" s="20"/>
      <c r="S1442" s="20"/>
      <c r="T1442" s="20"/>
      <c r="U1442" s="20"/>
      <c r="V1442" s="20"/>
      <c r="W1442" s="20"/>
      <c r="X1442" s="20"/>
      <c r="Y1442" s="20"/>
      <c r="Z1442" s="20"/>
      <c r="AA1442" s="20"/>
    </row>
    <row r="1443" spans="1:27" ht="104.4" x14ac:dyDescent="0.25">
      <c r="A1443" s="16"/>
      <c r="B1443" s="20" t="b">
        <f ca="1">IFERROR(__xludf.DUMMYFUNCTION("if(D1443=iferror(filter('Character Sheet'!D$13:D3002,'Character Sheet'!D$13:D3002=D1443),""""),True,False)"),FALSE)</f>
        <v>0</v>
      </c>
      <c r="C1443" s="20">
        <v>300</v>
      </c>
      <c r="D1443" s="2" t="s">
        <v>3092</v>
      </c>
      <c r="E1443" s="2" t="s">
        <v>610</v>
      </c>
      <c r="F1443" s="20" t="s">
        <v>61</v>
      </c>
      <c r="G1443" s="2" t="s">
        <v>3093</v>
      </c>
      <c r="H1443" s="16"/>
      <c r="I1443" s="20"/>
      <c r="J1443" s="20"/>
      <c r="K1443" s="20"/>
      <c r="L1443" s="20"/>
      <c r="M1443" s="20"/>
      <c r="N1443" s="20"/>
      <c r="O1443" s="20"/>
      <c r="P1443" s="20"/>
      <c r="Q1443" s="20"/>
      <c r="R1443" s="20"/>
      <c r="S1443" s="20"/>
      <c r="T1443" s="20"/>
      <c r="U1443" s="20"/>
      <c r="V1443" s="20"/>
      <c r="W1443" s="20"/>
      <c r="X1443" s="20"/>
      <c r="Y1443" s="20"/>
      <c r="Z1443" s="20"/>
      <c r="AA1443" s="20"/>
    </row>
    <row r="1444" spans="1:27" ht="174" x14ac:dyDescent="0.25">
      <c r="A1444" s="16"/>
      <c r="B1444" s="20" t="b">
        <f ca="1">IFERROR(__xludf.DUMMYFUNCTION("if(D1444=iferror(filter('Character Sheet'!D$13:D3002,'Character Sheet'!D$13:D3002=D1444),""""),True,False)"),FALSE)</f>
        <v>0</v>
      </c>
      <c r="C1444" s="20">
        <v>300</v>
      </c>
      <c r="D1444" s="2" t="s">
        <v>3094</v>
      </c>
      <c r="E1444" s="2" t="s">
        <v>1052</v>
      </c>
      <c r="F1444" s="20" t="s">
        <v>61</v>
      </c>
      <c r="G1444" s="2" t="s">
        <v>3095</v>
      </c>
      <c r="H1444" s="16"/>
      <c r="I1444" s="20"/>
      <c r="J1444" s="20"/>
      <c r="K1444" s="20"/>
      <c r="L1444" s="20"/>
      <c r="M1444" s="20"/>
      <c r="N1444" s="20"/>
      <c r="O1444" s="20"/>
      <c r="P1444" s="20"/>
      <c r="Q1444" s="20"/>
      <c r="R1444" s="20"/>
      <c r="S1444" s="20"/>
      <c r="T1444" s="20"/>
      <c r="U1444" s="20"/>
      <c r="V1444" s="20"/>
      <c r="W1444" s="20"/>
      <c r="X1444" s="20"/>
      <c r="Y1444" s="20"/>
      <c r="Z1444" s="20"/>
      <c r="AA1444" s="20"/>
    </row>
    <row r="1445" spans="1:27" ht="104.4" x14ac:dyDescent="0.25">
      <c r="A1445" s="16"/>
      <c r="B1445" s="20" t="b">
        <f ca="1">IFERROR(__xludf.DUMMYFUNCTION("if(D1445=iferror(filter('Character Sheet'!D$13:D3002,'Character Sheet'!D$13:D3002=D1445),""""),True,False)"),FALSE)</f>
        <v>0</v>
      </c>
      <c r="C1445" s="20">
        <v>300</v>
      </c>
      <c r="D1445" s="2" t="s">
        <v>3096</v>
      </c>
      <c r="E1445" s="2" t="s">
        <v>845</v>
      </c>
      <c r="F1445" s="20" t="s">
        <v>61</v>
      </c>
      <c r="G1445" s="2" t="s">
        <v>3097</v>
      </c>
      <c r="H1445" s="16"/>
      <c r="I1445" s="20"/>
      <c r="J1445" s="20"/>
      <c r="K1445" s="20"/>
      <c r="L1445" s="20"/>
      <c r="M1445" s="20"/>
      <c r="N1445" s="20"/>
      <c r="O1445" s="20"/>
      <c r="P1445" s="20"/>
      <c r="Q1445" s="20"/>
      <c r="R1445" s="20"/>
      <c r="S1445" s="20"/>
      <c r="T1445" s="20"/>
      <c r="U1445" s="20"/>
      <c r="V1445" s="20"/>
      <c r="W1445" s="20"/>
      <c r="X1445" s="20"/>
      <c r="Y1445" s="20"/>
      <c r="Z1445" s="20"/>
      <c r="AA1445" s="20"/>
    </row>
    <row r="1446" spans="1:27" ht="34.799999999999997" x14ac:dyDescent="0.25">
      <c r="A1446" s="16"/>
      <c r="B1446" s="20" t="b">
        <f ca="1">IFERROR(__xludf.DUMMYFUNCTION("if(D1446=iferror(filter('Character Sheet'!D$13:D3002,'Character Sheet'!D$13:D3002=D1446),""""),True,False)"),FALSE)</f>
        <v>0</v>
      </c>
      <c r="C1446" s="20">
        <v>300</v>
      </c>
      <c r="D1446" s="2" t="s">
        <v>3098</v>
      </c>
      <c r="E1446" s="2" t="s">
        <v>3099</v>
      </c>
      <c r="F1446" s="20" t="s">
        <v>61</v>
      </c>
      <c r="G1446" s="2" t="s">
        <v>3100</v>
      </c>
      <c r="H1446" s="16"/>
      <c r="I1446" s="20"/>
      <c r="J1446" s="20"/>
      <c r="K1446" s="20"/>
      <c r="L1446" s="20"/>
      <c r="M1446" s="20"/>
      <c r="N1446" s="20"/>
      <c r="O1446" s="20"/>
      <c r="P1446" s="20"/>
      <c r="Q1446" s="20"/>
      <c r="R1446" s="20"/>
      <c r="S1446" s="20"/>
      <c r="T1446" s="20"/>
      <c r="U1446" s="20"/>
      <c r="V1446" s="20"/>
      <c r="W1446" s="20"/>
      <c r="X1446" s="20"/>
      <c r="Y1446" s="20"/>
      <c r="Z1446" s="20"/>
      <c r="AA1446" s="20"/>
    </row>
    <row r="1447" spans="1:27" ht="69.599999999999994" x14ac:dyDescent="0.25">
      <c r="A1447" s="16"/>
      <c r="B1447" s="20" t="b">
        <f ca="1">IFERROR(__xludf.DUMMYFUNCTION("if(D1447=iferror(filter('Character Sheet'!D$13:D3002,'Character Sheet'!D$13:D3002=D1447),""""),True,False)"),FALSE)</f>
        <v>0</v>
      </c>
      <c r="C1447" s="20">
        <v>300</v>
      </c>
      <c r="D1447" s="2" t="s">
        <v>3101</v>
      </c>
      <c r="E1447" s="2" t="s">
        <v>173</v>
      </c>
      <c r="F1447" s="20" t="s">
        <v>61</v>
      </c>
      <c r="G1447" s="2" t="s">
        <v>3102</v>
      </c>
      <c r="H1447" s="16"/>
      <c r="I1447" s="20"/>
      <c r="J1447" s="20"/>
      <c r="K1447" s="20"/>
      <c r="L1447" s="20"/>
      <c r="M1447" s="20"/>
      <c r="N1447" s="20"/>
      <c r="O1447" s="20"/>
      <c r="P1447" s="20"/>
      <c r="Q1447" s="20"/>
      <c r="R1447" s="20"/>
      <c r="S1447" s="20"/>
      <c r="T1447" s="20"/>
      <c r="U1447" s="20"/>
      <c r="V1447" s="20"/>
      <c r="W1447" s="20"/>
      <c r="X1447" s="20"/>
      <c r="Y1447" s="20"/>
      <c r="Z1447" s="20"/>
      <c r="AA1447" s="20"/>
    </row>
    <row r="1448" spans="1:27" ht="191.4" x14ac:dyDescent="0.25">
      <c r="A1448" s="16"/>
      <c r="B1448" s="20" t="b">
        <f ca="1">IFERROR(__xludf.DUMMYFUNCTION("if(D1448=iferror(filter('Character Sheet'!D$13:D3002,'Character Sheet'!D$13:D3002=D1448),""""),True,False)"),FALSE)</f>
        <v>0</v>
      </c>
      <c r="C1448" s="20">
        <v>300</v>
      </c>
      <c r="D1448" s="2" t="s">
        <v>3103</v>
      </c>
      <c r="E1448" s="2" t="s">
        <v>720</v>
      </c>
      <c r="F1448" s="20" t="s">
        <v>61</v>
      </c>
      <c r="G1448" s="2" t="s">
        <v>3104</v>
      </c>
      <c r="H1448" s="16"/>
      <c r="I1448" s="20"/>
      <c r="J1448" s="20"/>
      <c r="K1448" s="20"/>
      <c r="L1448" s="20"/>
      <c r="M1448" s="20"/>
      <c r="N1448" s="20"/>
      <c r="O1448" s="20"/>
      <c r="P1448" s="20"/>
      <c r="Q1448" s="20"/>
      <c r="R1448" s="20"/>
      <c r="S1448" s="20"/>
      <c r="T1448" s="20"/>
      <c r="U1448" s="20"/>
      <c r="V1448" s="20"/>
      <c r="W1448" s="20"/>
      <c r="X1448" s="20"/>
      <c r="Y1448" s="20"/>
      <c r="Z1448" s="20"/>
      <c r="AA1448" s="20"/>
    </row>
    <row r="1449" spans="1:27" ht="52.2" x14ac:dyDescent="0.25">
      <c r="A1449" s="16"/>
      <c r="B1449" s="20" t="b">
        <f ca="1">IFERROR(__xludf.DUMMYFUNCTION("if(D1449=iferror(filter('Character Sheet'!D$13:D3002,'Character Sheet'!D$13:D3002=D1449),""""),True,False)"),FALSE)</f>
        <v>0</v>
      </c>
      <c r="C1449" s="20">
        <v>300</v>
      </c>
      <c r="D1449" s="2" t="s">
        <v>3105</v>
      </c>
      <c r="E1449" s="2" t="s">
        <v>355</v>
      </c>
      <c r="F1449" s="20" t="s">
        <v>61</v>
      </c>
      <c r="G1449" s="2" t="s">
        <v>3106</v>
      </c>
      <c r="H1449" s="16"/>
      <c r="I1449" s="20"/>
      <c r="J1449" s="20"/>
      <c r="K1449" s="20"/>
      <c r="L1449" s="20"/>
      <c r="M1449" s="20"/>
      <c r="N1449" s="20"/>
      <c r="O1449" s="20"/>
      <c r="P1449" s="20"/>
      <c r="Q1449" s="20"/>
      <c r="R1449" s="20"/>
      <c r="S1449" s="20"/>
      <c r="T1449" s="20"/>
      <c r="U1449" s="20"/>
      <c r="V1449" s="20"/>
      <c r="W1449" s="20"/>
      <c r="X1449" s="20"/>
      <c r="Y1449" s="20"/>
      <c r="Z1449" s="20"/>
      <c r="AA1449" s="20"/>
    </row>
    <row r="1450" spans="1:27" ht="121.8" x14ac:dyDescent="0.25">
      <c r="A1450" s="16"/>
      <c r="B1450" s="20" t="b">
        <f ca="1">IFERROR(__xludf.DUMMYFUNCTION("if(D1450=iferror(filter('Character Sheet'!D$13:D3002,'Character Sheet'!D$13:D3002=D1450),""""),True,False)"),FALSE)</f>
        <v>0</v>
      </c>
      <c r="C1450" s="20">
        <v>300</v>
      </c>
      <c r="D1450" s="2" t="s">
        <v>3107</v>
      </c>
      <c r="E1450" s="2" t="s">
        <v>322</v>
      </c>
      <c r="F1450" s="20" t="s">
        <v>61</v>
      </c>
      <c r="G1450" s="2" t="s">
        <v>3108</v>
      </c>
      <c r="H1450" s="16"/>
      <c r="I1450" s="20"/>
      <c r="J1450" s="20"/>
      <c r="K1450" s="20"/>
      <c r="L1450" s="20"/>
      <c r="M1450" s="20"/>
      <c r="N1450" s="20"/>
      <c r="O1450" s="20"/>
      <c r="P1450" s="20"/>
      <c r="Q1450" s="20"/>
      <c r="R1450" s="20"/>
      <c r="S1450" s="20"/>
      <c r="T1450" s="20"/>
      <c r="U1450" s="20"/>
      <c r="V1450" s="20"/>
      <c r="W1450" s="20"/>
      <c r="X1450" s="20"/>
      <c r="Y1450" s="20"/>
      <c r="Z1450" s="20"/>
      <c r="AA1450" s="20"/>
    </row>
    <row r="1451" spans="1:27" ht="156.6" x14ac:dyDescent="0.25">
      <c r="A1451" s="16"/>
      <c r="B1451" s="20" t="b">
        <f ca="1">IFERROR(__xludf.DUMMYFUNCTION("if(D1451=iferror(filter('Character Sheet'!D$13:D3002,'Character Sheet'!D$13:D3002=D1451),""""),True,False)"),FALSE)</f>
        <v>0</v>
      </c>
      <c r="C1451" s="20">
        <v>300</v>
      </c>
      <c r="D1451" s="2" t="s">
        <v>3109</v>
      </c>
      <c r="E1451" s="2" t="s">
        <v>334</v>
      </c>
      <c r="F1451" s="20" t="s">
        <v>61</v>
      </c>
      <c r="G1451" s="2" t="s">
        <v>3110</v>
      </c>
      <c r="H1451" s="16"/>
      <c r="I1451" s="20"/>
      <c r="J1451" s="20"/>
      <c r="K1451" s="20"/>
      <c r="L1451" s="20"/>
      <c r="M1451" s="20"/>
      <c r="N1451" s="20"/>
      <c r="O1451" s="20"/>
      <c r="P1451" s="20"/>
      <c r="Q1451" s="20"/>
      <c r="R1451" s="20"/>
      <c r="S1451" s="20"/>
      <c r="T1451" s="20"/>
      <c r="U1451" s="20"/>
      <c r="V1451" s="20"/>
      <c r="W1451" s="20"/>
      <c r="X1451" s="20"/>
      <c r="Y1451" s="20"/>
      <c r="Z1451" s="20"/>
      <c r="AA1451" s="20"/>
    </row>
    <row r="1452" spans="1:27" ht="104.4" x14ac:dyDescent="0.25">
      <c r="A1452" s="16"/>
      <c r="B1452" s="20" t="b">
        <f ca="1">IFERROR(__xludf.DUMMYFUNCTION("if(D1452=iferror(filter('Character Sheet'!D$13:D3002,'Character Sheet'!D$13:D3002=D1452),""""),True,False)"),FALSE)</f>
        <v>0</v>
      </c>
      <c r="C1452" s="20">
        <v>400</v>
      </c>
      <c r="D1452" s="2" t="s">
        <v>3111</v>
      </c>
      <c r="E1452" s="2" t="s">
        <v>1970</v>
      </c>
      <c r="F1452" s="20" t="s">
        <v>61</v>
      </c>
      <c r="G1452" s="2" t="s">
        <v>3112</v>
      </c>
      <c r="H1452" s="16"/>
      <c r="I1452" s="20"/>
      <c r="J1452" s="20"/>
      <c r="K1452" s="20"/>
      <c r="L1452" s="20"/>
      <c r="M1452" s="20"/>
      <c r="N1452" s="20"/>
      <c r="O1452" s="20"/>
      <c r="P1452" s="20"/>
      <c r="Q1452" s="20"/>
      <c r="R1452" s="20"/>
      <c r="S1452" s="20"/>
      <c r="T1452" s="20"/>
      <c r="U1452" s="20"/>
      <c r="V1452" s="20"/>
      <c r="W1452" s="20"/>
      <c r="X1452" s="20"/>
      <c r="Y1452" s="20"/>
      <c r="Z1452" s="20"/>
      <c r="AA1452" s="20"/>
    </row>
    <row r="1453" spans="1:27" ht="104.4" x14ac:dyDescent="0.25">
      <c r="A1453" s="16"/>
      <c r="B1453" s="20" t="b">
        <f ca="1">IFERROR(__xludf.DUMMYFUNCTION("if(D1453=iferror(filter('Character Sheet'!D$13:D3002,'Character Sheet'!D$13:D3002=D1453),""""),True,False)"),FALSE)</f>
        <v>0</v>
      </c>
      <c r="C1453" s="20">
        <v>400</v>
      </c>
      <c r="D1453" s="2" t="s">
        <v>3113</v>
      </c>
      <c r="E1453" s="2" t="s">
        <v>1970</v>
      </c>
      <c r="F1453" s="20" t="s">
        <v>61</v>
      </c>
      <c r="G1453" s="2" t="s">
        <v>3114</v>
      </c>
      <c r="H1453" s="16"/>
      <c r="I1453" s="20"/>
      <c r="J1453" s="20"/>
      <c r="K1453" s="20"/>
      <c r="L1453" s="20"/>
      <c r="M1453" s="20"/>
      <c r="N1453" s="20"/>
      <c r="O1453" s="20"/>
      <c r="P1453" s="20"/>
      <c r="Q1453" s="20"/>
      <c r="R1453" s="20"/>
      <c r="S1453" s="20"/>
      <c r="T1453" s="20"/>
      <c r="U1453" s="20"/>
      <c r="V1453" s="20"/>
      <c r="W1453" s="20"/>
      <c r="X1453" s="20"/>
      <c r="Y1453" s="20"/>
      <c r="Z1453" s="20"/>
      <c r="AA1453" s="20"/>
    </row>
    <row r="1454" spans="1:27" ht="191.4" x14ac:dyDescent="0.25">
      <c r="A1454" s="16"/>
      <c r="B1454" s="20" t="b">
        <f ca="1">IFERROR(__xludf.DUMMYFUNCTION("if(D1454=iferror(filter('Character Sheet'!D$13:D3002,'Character Sheet'!D$13:D3002=D1454),""""),True,False)"),FALSE)</f>
        <v>0</v>
      </c>
      <c r="C1454" s="20">
        <v>400</v>
      </c>
      <c r="D1454" s="2" t="s">
        <v>3115</v>
      </c>
      <c r="E1454" s="2" t="s">
        <v>662</v>
      </c>
      <c r="F1454" s="20" t="s">
        <v>61</v>
      </c>
      <c r="G1454" s="2" t="s">
        <v>3116</v>
      </c>
      <c r="H1454" s="16"/>
      <c r="I1454" s="20"/>
      <c r="J1454" s="20"/>
      <c r="K1454" s="20"/>
      <c r="L1454" s="20"/>
      <c r="M1454" s="20"/>
      <c r="N1454" s="20"/>
      <c r="O1454" s="20"/>
      <c r="P1454" s="20"/>
      <c r="Q1454" s="20"/>
      <c r="R1454" s="20"/>
      <c r="S1454" s="20"/>
      <c r="T1454" s="20"/>
      <c r="U1454" s="20"/>
      <c r="V1454" s="20"/>
      <c r="W1454" s="20"/>
      <c r="X1454" s="20"/>
      <c r="Y1454" s="20"/>
      <c r="Z1454" s="20"/>
      <c r="AA1454" s="20"/>
    </row>
    <row r="1455" spans="1:27" ht="243.6" x14ac:dyDescent="0.25">
      <c r="A1455" s="16"/>
      <c r="B1455" s="20" t="b">
        <f ca="1">IFERROR(__xludf.DUMMYFUNCTION("if(D1455=iferror(filter('Character Sheet'!D$13:D3002,'Character Sheet'!D$13:D3002=D1455),""""),True,False)"),FALSE)</f>
        <v>0</v>
      </c>
      <c r="C1455" s="20">
        <v>400</v>
      </c>
      <c r="D1455" s="2" t="s">
        <v>3117</v>
      </c>
      <c r="E1455" s="2" t="s">
        <v>334</v>
      </c>
      <c r="F1455" s="20" t="s">
        <v>61</v>
      </c>
      <c r="G1455" s="2" t="s">
        <v>3118</v>
      </c>
      <c r="H1455" s="16"/>
      <c r="I1455" s="20"/>
      <c r="J1455" s="20"/>
      <c r="K1455" s="20"/>
      <c r="L1455" s="20"/>
      <c r="M1455" s="20"/>
      <c r="N1455" s="20"/>
      <c r="O1455" s="20"/>
      <c r="P1455" s="20"/>
      <c r="Q1455" s="20"/>
      <c r="R1455" s="20"/>
      <c r="S1455" s="20"/>
      <c r="T1455" s="20"/>
      <c r="U1455" s="20"/>
      <c r="V1455" s="20"/>
      <c r="W1455" s="20"/>
      <c r="X1455" s="20"/>
      <c r="Y1455" s="20"/>
      <c r="Z1455" s="20"/>
      <c r="AA1455" s="20"/>
    </row>
    <row r="1456" spans="1:27" ht="174" x14ac:dyDescent="0.25">
      <c r="A1456" s="16"/>
      <c r="B1456" s="20" t="b">
        <f ca="1">IFERROR(__xludf.DUMMYFUNCTION("if(D1456=iferror(filter('Character Sheet'!D$13:D3002,'Character Sheet'!D$13:D3002=D1456),""""),True,False)"),FALSE)</f>
        <v>0</v>
      </c>
      <c r="C1456" s="20">
        <v>400</v>
      </c>
      <c r="D1456" s="2" t="s">
        <v>3119</v>
      </c>
      <c r="E1456" s="2" t="s">
        <v>845</v>
      </c>
      <c r="F1456" s="20" t="s">
        <v>61</v>
      </c>
      <c r="G1456" s="2" t="s">
        <v>3120</v>
      </c>
      <c r="H1456" s="16"/>
      <c r="I1456" s="20"/>
      <c r="J1456" s="20"/>
      <c r="K1456" s="20"/>
      <c r="L1456" s="20"/>
      <c r="M1456" s="20"/>
      <c r="N1456" s="20"/>
      <c r="O1456" s="20"/>
      <c r="P1456" s="20"/>
      <c r="Q1456" s="20"/>
      <c r="R1456" s="20"/>
      <c r="S1456" s="20"/>
      <c r="T1456" s="20"/>
      <c r="U1456" s="20"/>
      <c r="V1456" s="20"/>
      <c r="W1456" s="20"/>
      <c r="X1456" s="20"/>
      <c r="Y1456" s="20"/>
      <c r="Z1456" s="20"/>
      <c r="AA1456" s="20"/>
    </row>
    <row r="1457" spans="1:27" ht="174" x14ac:dyDescent="0.25">
      <c r="A1457" s="16"/>
      <c r="B1457" s="20" t="b">
        <f ca="1">IFERROR(__xludf.DUMMYFUNCTION("if(D1457=iferror(filter('Character Sheet'!D$13:D3002,'Character Sheet'!D$13:D3002=D1457),""""),True,False)"),FALSE)</f>
        <v>0</v>
      </c>
      <c r="C1457" s="20">
        <v>400</v>
      </c>
      <c r="D1457" s="2" t="s">
        <v>3121</v>
      </c>
      <c r="E1457" s="2" t="s">
        <v>369</v>
      </c>
      <c r="F1457" s="20" t="s">
        <v>61</v>
      </c>
      <c r="G1457" s="2" t="s">
        <v>3122</v>
      </c>
      <c r="H1457" s="16"/>
      <c r="I1457" s="20"/>
      <c r="J1457" s="20"/>
      <c r="K1457" s="20"/>
      <c r="L1457" s="20"/>
      <c r="M1457" s="20"/>
      <c r="N1457" s="20"/>
      <c r="O1457" s="20"/>
      <c r="P1457" s="20"/>
      <c r="Q1457" s="20"/>
      <c r="R1457" s="20"/>
      <c r="S1457" s="20"/>
      <c r="T1457" s="20"/>
      <c r="U1457" s="20"/>
      <c r="V1457" s="20"/>
      <c r="W1457" s="20"/>
      <c r="X1457" s="20"/>
      <c r="Y1457" s="20"/>
      <c r="Z1457" s="20"/>
      <c r="AA1457" s="20"/>
    </row>
    <row r="1458" spans="1:27" ht="139.19999999999999" x14ac:dyDescent="0.25">
      <c r="A1458" s="16"/>
      <c r="B1458" s="20" t="b">
        <f ca="1">IFERROR(__xludf.DUMMYFUNCTION("if(D1458=iferror(filter('Character Sheet'!D$13:D3002,'Character Sheet'!D$13:D3002=D1458),""""),True,False)"),FALSE)</f>
        <v>0</v>
      </c>
      <c r="C1458" s="20">
        <v>400</v>
      </c>
      <c r="D1458" s="2" t="s">
        <v>3123</v>
      </c>
      <c r="E1458" s="2" t="s">
        <v>350</v>
      </c>
      <c r="F1458" s="20" t="s">
        <v>61</v>
      </c>
      <c r="G1458" s="2" t="s">
        <v>3124</v>
      </c>
      <c r="H1458" s="16"/>
      <c r="I1458" s="20"/>
      <c r="J1458" s="20"/>
      <c r="K1458" s="20"/>
      <c r="L1458" s="20"/>
      <c r="M1458" s="20"/>
      <c r="N1458" s="20"/>
      <c r="O1458" s="20"/>
      <c r="P1458" s="20"/>
      <c r="Q1458" s="20"/>
      <c r="R1458" s="20"/>
      <c r="S1458" s="20"/>
      <c r="T1458" s="20"/>
      <c r="U1458" s="20"/>
      <c r="V1458" s="20"/>
      <c r="W1458" s="20"/>
      <c r="X1458" s="20"/>
      <c r="Y1458" s="20"/>
      <c r="Z1458" s="20"/>
      <c r="AA1458" s="20"/>
    </row>
    <row r="1459" spans="1:27" ht="174" x14ac:dyDescent="0.25">
      <c r="A1459" s="16"/>
      <c r="B1459" s="20" t="b">
        <f ca="1">IFERROR(__xludf.DUMMYFUNCTION("if(D1459=iferror(filter('Character Sheet'!D$13:D3002,'Character Sheet'!D$13:D3002=D1459),""""),True,False)"),FALSE)</f>
        <v>0</v>
      </c>
      <c r="C1459" s="20">
        <v>400</v>
      </c>
      <c r="D1459" s="2" t="s">
        <v>3125</v>
      </c>
      <c r="E1459" s="2" t="s">
        <v>124</v>
      </c>
      <c r="F1459" s="20" t="s">
        <v>61</v>
      </c>
      <c r="G1459" s="2" t="s">
        <v>3126</v>
      </c>
      <c r="H1459" s="16"/>
      <c r="I1459" s="20"/>
      <c r="J1459" s="20"/>
      <c r="K1459" s="20"/>
      <c r="L1459" s="20"/>
      <c r="M1459" s="20"/>
      <c r="N1459" s="20"/>
      <c r="O1459" s="20"/>
      <c r="P1459" s="20"/>
      <c r="Q1459" s="20"/>
      <c r="R1459" s="20"/>
      <c r="S1459" s="20"/>
      <c r="T1459" s="20"/>
      <c r="U1459" s="20"/>
      <c r="V1459" s="20"/>
      <c r="W1459" s="20"/>
      <c r="X1459" s="20"/>
      <c r="Y1459" s="20"/>
      <c r="Z1459" s="20"/>
      <c r="AA1459" s="20"/>
    </row>
    <row r="1460" spans="1:27" ht="174" x14ac:dyDescent="0.25">
      <c r="A1460" s="16"/>
      <c r="B1460" s="20" t="b">
        <f ca="1">IFERROR(__xludf.DUMMYFUNCTION("if(D1460=iferror(filter('Character Sheet'!D$13:D3002,'Character Sheet'!D$13:D3002=D1460),""""),True,False)"),FALSE)</f>
        <v>0</v>
      </c>
      <c r="C1460" s="20">
        <v>400</v>
      </c>
      <c r="D1460" s="2" t="s">
        <v>3127</v>
      </c>
      <c r="E1460" s="2" t="s">
        <v>322</v>
      </c>
      <c r="F1460" s="20" t="s">
        <v>61</v>
      </c>
      <c r="G1460" s="2" t="s">
        <v>3128</v>
      </c>
      <c r="H1460" s="16"/>
      <c r="I1460" s="20"/>
      <c r="J1460" s="20"/>
      <c r="K1460" s="20"/>
      <c r="L1460" s="20"/>
      <c r="M1460" s="20"/>
      <c r="N1460" s="20"/>
      <c r="O1460" s="20"/>
      <c r="P1460" s="20"/>
      <c r="Q1460" s="20"/>
      <c r="R1460" s="20"/>
      <c r="S1460" s="20"/>
      <c r="T1460" s="20"/>
      <c r="U1460" s="20"/>
      <c r="V1460" s="20"/>
      <c r="W1460" s="20"/>
      <c r="X1460" s="20"/>
      <c r="Y1460" s="20"/>
      <c r="Z1460" s="20"/>
      <c r="AA1460" s="20"/>
    </row>
    <row r="1461" spans="1:27" ht="69.599999999999994" x14ac:dyDescent="0.25">
      <c r="A1461" s="16"/>
      <c r="B1461" s="20" t="b">
        <f ca="1">IFERROR(__xludf.DUMMYFUNCTION("if(D1461=iferror(filter('Character Sheet'!D$13:D3002,'Character Sheet'!D$13:D3002=D1461),""""),True,False)"),FALSE)</f>
        <v>0</v>
      </c>
      <c r="C1461" s="20">
        <v>400</v>
      </c>
      <c r="D1461" s="2" t="s">
        <v>3129</v>
      </c>
      <c r="E1461" s="2" t="s">
        <v>753</v>
      </c>
      <c r="F1461" s="20" t="s">
        <v>61</v>
      </c>
      <c r="G1461" s="2" t="s">
        <v>3130</v>
      </c>
      <c r="H1461" s="16"/>
      <c r="I1461" s="20"/>
      <c r="J1461" s="20"/>
      <c r="K1461" s="20"/>
      <c r="L1461" s="20"/>
      <c r="M1461" s="20"/>
      <c r="N1461" s="20"/>
      <c r="O1461" s="20"/>
      <c r="P1461" s="20"/>
      <c r="Q1461" s="20"/>
      <c r="R1461" s="20"/>
      <c r="S1461" s="20"/>
      <c r="T1461" s="20"/>
      <c r="U1461" s="20"/>
      <c r="V1461" s="20"/>
      <c r="W1461" s="20"/>
      <c r="X1461" s="20"/>
      <c r="Y1461" s="20"/>
      <c r="Z1461" s="20"/>
      <c r="AA1461" s="20"/>
    </row>
    <row r="1462" spans="1:27" ht="121.8" x14ac:dyDescent="0.25">
      <c r="A1462" s="16"/>
      <c r="B1462" s="20" t="b">
        <f ca="1">IFERROR(__xludf.DUMMYFUNCTION("if(D1462=iferror(filter('Character Sheet'!D$13:D3002,'Character Sheet'!D$13:D3002=D1462),""""),True,False)"),FALSE)</f>
        <v>0</v>
      </c>
      <c r="C1462" s="20">
        <v>400</v>
      </c>
      <c r="D1462" s="2" t="s">
        <v>3131</v>
      </c>
      <c r="E1462" s="2" t="s">
        <v>1787</v>
      </c>
      <c r="F1462" s="20" t="s">
        <v>61</v>
      </c>
      <c r="G1462" s="2" t="s">
        <v>3132</v>
      </c>
      <c r="H1462" s="16"/>
      <c r="I1462" s="20"/>
      <c r="J1462" s="20"/>
      <c r="K1462" s="20"/>
      <c r="L1462" s="20"/>
      <c r="M1462" s="20"/>
      <c r="N1462" s="20"/>
      <c r="O1462" s="20"/>
      <c r="P1462" s="20"/>
      <c r="Q1462" s="20"/>
      <c r="R1462" s="20"/>
      <c r="S1462" s="20"/>
      <c r="T1462" s="20"/>
      <c r="U1462" s="20"/>
      <c r="V1462" s="20"/>
      <c r="W1462" s="20"/>
      <c r="X1462" s="20"/>
      <c r="Y1462" s="20"/>
      <c r="Z1462" s="20"/>
      <c r="AA1462" s="20"/>
    </row>
    <row r="1463" spans="1:27" ht="69.599999999999994" x14ac:dyDescent="0.25">
      <c r="A1463" s="16"/>
      <c r="B1463" s="20" t="b">
        <f ca="1">IFERROR(__xludf.DUMMYFUNCTION("if(D1463=iferror(filter('Character Sheet'!D$13:D3002,'Character Sheet'!D$13:D3002=D1463),""""),True,False)"),FALSE)</f>
        <v>0</v>
      </c>
      <c r="C1463" s="20">
        <v>400</v>
      </c>
      <c r="D1463" s="2" t="s">
        <v>3133</v>
      </c>
      <c r="E1463" s="2" t="s">
        <v>288</v>
      </c>
      <c r="F1463" s="20" t="s">
        <v>61</v>
      </c>
      <c r="G1463" s="2" t="s">
        <v>3134</v>
      </c>
      <c r="H1463" s="16"/>
      <c r="I1463" s="20"/>
      <c r="J1463" s="20"/>
      <c r="K1463" s="20"/>
      <c r="L1463" s="20"/>
      <c r="M1463" s="20"/>
      <c r="N1463" s="20"/>
      <c r="O1463" s="20"/>
      <c r="P1463" s="20"/>
      <c r="Q1463" s="20"/>
      <c r="R1463" s="20"/>
      <c r="S1463" s="20"/>
      <c r="T1463" s="20"/>
      <c r="U1463" s="20"/>
      <c r="V1463" s="20"/>
      <c r="W1463" s="20"/>
      <c r="X1463" s="20"/>
      <c r="Y1463" s="20"/>
      <c r="Z1463" s="20"/>
      <c r="AA1463" s="20"/>
    </row>
    <row r="1464" spans="1:27" ht="121.8" x14ac:dyDescent="0.25">
      <c r="A1464" s="16"/>
      <c r="B1464" s="20" t="b">
        <f ca="1">IFERROR(__xludf.DUMMYFUNCTION("if(D1464=iferror(filter('Character Sheet'!D$13:D3002,'Character Sheet'!D$13:D3002=D1464),""""),True,False)"),FALSE)</f>
        <v>0</v>
      </c>
      <c r="C1464" s="20">
        <v>400</v>
      </c>
      <c r="D1464" s="2" t="s">
        <v>3135</v>
      </c>
      <c r="E1464" s="2" t="s">
        <v>109</v>
      </c>
      <c r="F1464" s="20" t="s">
        <v>61</v>
      </c>
      <c r="G1464" s="2" t="s">
        <v>3136</v>
      </c>
      <c r="H1464" s="16"/>
      <c r="I1464" s="20"/>
      <c r="J1464" s="20"/>
      <c r="K1464" s="20"/>
      <c r="L1464" s="20"/>
      <c r="M1464" s="20"/>
      <c r="N1464" s="20"/>
      <c r="O1464" s="20"/>
      <c r="P1464" s="20"/>
      <c r="Q1464" s="20"/>
      <c r="R1464" s="20"/>
      <c r="S1464" s="20"/>
      <c r="T1464" s="20"/>
      <c r="U1464" s="20"/>
      <c r="V1464" s="20"/>
      <c r="W1464" s="20"/>
      <c r="X1464" s="20"/>
      <c r="Y1464" s="20"/>
      <c r="Z1464" s="20"/>
      <c r="AA1464" s="20"/>
    </row>
    <row r="1465" spans="1:27" ht="104.4" x14ac:dyDescent="0.25">
      <c r="A1465" s="16"/>
      <c r="B1465" s="20" t="b">
        <f ca="1">IFERROR(__xludf.DUMMYFUNCTION("if(D1465=iferror(filter('Character Sheet'!D$13:D3002,'Character Sheet'!D$13:D3002=D1465),""""),True,False)"),FALSE)</f>
        <v>0</v>
      </c>
      <c r="C1465" s="20">
        <v>400</v>
      </c>
      <c r="D1465" s="2" t="s">
        <v>3137</v>
      </c>
      <c r="E1465" s="2" t="s">
        <v>334</v>
      </c>
      <c r="F1465" s="20" t="s">
        <v>61</v>
      </c>
      <c r="G1465" s="2" t="s">
        <v>3138</v>
      </c>
      <c r="H1465" s="16"/>
      <c r="I1465" s="20"/>
      <c r="J1465" s="20"/>
      <c r="K1465" s="20"/>
      <c r="L1465" s="20"/>
      <c r="M1465" s="20"/>
      <c r="N1465" s="20"/>
      <c r="O1465" s="20"/>
      <c r="P1465" s="20"/>
      <c r="Q1465" s="20"/>
      <c r="R1465" s="20"/>
      <c r="S1465" s="20"/>
      <c r="T1465" s="20"/>
      <c r="U1465" s="20"/>
      <c r="V1465" s="20"/>
      <c r="W1465" s="20"/>
      <c r="X1465" s="20"/>
      <c r="Y1465" s="20"/>
      <c r="Z1465" s="20"/>
      <c r="AA1465" s="20"/>
    </row>
    <row r="1466" spans="1:27" ht="139.19999999999999" x14ac:dyDescent="0.25">
      <c r="A1466" s="16"/>
      <c r="B1466" s="20" t="b">
        <f ca="1">IFERROR(__xludf.DUMMYFUNCTION("if(D1466=iferror(filter('Character Sheet'!D$13:D3002,'Character Sheet'!D$13:D3002=D1466),""""),True,False)"),FALSE)</f>
        <v>0</v>
      </c>
      <c r="C1466" s="20">
        <v>400</v>
      </c>
      <c r="D1466" s="2" t="s">
        <v>3139</v>
      </c>
      <c r="E1466" s="2" t="s">
        <v>2214</v>
      </c>
      <c r="F1466" s="20" t="s">
        <v>61</v>
      </c>
      <c r="G1466" s="2" t="s">
        <v>3140</v>
      </c>
      <c r="H1466" s="16"/>
      <c r="I1466" s="20"/>
      <c r="J1466" s="20"/>
      <c r="K1466" s="20"/>
      <c r="L1466" s="20"/>
      <c r="M1466" s="20"/>
      <c r="N1466" s="20"/>
      <c r="O1466" s="20"/>
      <c r="P1466" s="20"/>
      <c r="Q1466" s="20"/>
      <c r="R1466" s="20"/>
      <c r="S1466" s="20"/>
      <c r="T1466" s="20"/>
      <c r="U1466" s="20"/>
      <c r="V1466" s="20"/>
      <c r="W1466" s="20"/>
      <c r="X1466" s="20"/>
      <c r="Y1466" s="20"/>
      <c r="Z1466" s="20"/>
      <c r="AA1466" s="20"/>
    </row>
    <row r="1467" spans="1:27" ht="139.19999999999999" x14ac:dyDescent="0.25">
      <c r="A1467" s="16"/>
      <c r="B1467" s="20" t="b">
        <f ca="1">IFERROR(__xludf.DUMMYFUNCTION("if(D1467=iferror(filter('Character Sheet'!D$13:D3002,'Character Sheet'!D$13:D3002=D1467),""""),True,False)"),FALSE)</f>
        <v>0</v>
      </c>
      <c r="C1467" s="20">
        <v>400</v>
      </c>
      <c r="D1467" s="2" t="s">
        <v>3141</v>
      </c>
      <c r="E1467" s="2" t="s">
        <v>1244</v>
      </c>
      <c r="F1467" s="20" t="s">
        <v>61</v>
      </c>
      <c r="G1467" s="2" t="s">
        <v>3142</v>
      </c>
      <c r="H1467" s="16"/>
      <c r="I1467" s="20"/>
      <c r="J1467" s="20"/>
      <c r="K1467" s="20"/>
      <c r="L1467" s="20"/>
      <c r="M1467" s="20"/>
      <c r="N1467" s="20"/>
      <c r="O1467" s="20"/>
      <c r="P1467" s="20"/>
      <c r="Q1467" s="20"/>
      <c r="R1467" s="20"/>
      <c r="S1467" s="20"/>
      <c r="T1467" s="20"/>
      <c r="U1467" s="20"/>
      <c r="V1467" s="20"/>
      <c r="W1467" s="20"/>
      <c r="X1467" s="20"/>
      <c r="Y1467" s="20"/>
      <c r="Z1467" s="20"/>
      <c r="AA1467" s="20"/>
    </row>
    <row r="1468" spans="1:27" ht="87" x14ac:dyDescent="0.25">
      <c r="A1468" s="16"/>
      <c r="B1468" s="20" t="b">
        <f ca="1">IFERROR(__xludf.DUMMYFUNCTION("if(D1468=iferror(filter('Character Sheet'!D$13:D3002,'Character Sheet'!D$13:D3002=D1468),""""),True,False)"),FALSE)</f>
        <v>0</v>
      </c>
      <c r="C1468" s="20">
        <v>400</v>
      </c>
      <c r="D1468" s="2" t="s">
        <v>3143</v>
      </c>
      <c r="E1468" s="2" t="s">
        <v>253</v>
      </c>
      <c r="F1468" s="20" t="s">
        <v>61</v>
      </c>
      <c r="G1468" s="2" t="s">
        <v>3144</v>
      </c>
      <c r="H1468" s="16"/>
      <c r="I1468" s="20"/>
      <c r="J1468" s="20"/>
      <c r="K1468" s="20"/>
      <c r="L1468" s="20"/>
      <c r="M1468" s="20"/>
      <c r="N1468" s="20"/>
      <c r="O1468" s="20"/>
      <c r="P1468" s="20"/>
      <c r="Q1468" s="20"/>
      <c r="R1468" s="20"/>
      <c r="S1468" s="20"/>
      <c r="T1468" s="20"/>
      <c r="U1468" s="20"/>
      <c r="V1468" s="20"/>
      <c r="W1468" s="20"/>
      <c r="X1468" s="20"/>
      <c r="Y1468" s="20"/>
      <c r="Z1468" s="20"/>
      <c r="AA1468" s="20"/>
    </row>
    <row r="1469" spans="1:27" ht="156.6" x14ac:dyDescent="0.25">
      <c r="A1469" s="16"/>
      <c r="B1469" s="20" t="b">
        <f ca="1">IFERROR(__xludf.DUMMYFUNCTION("if(D1469=iferror(filter('Character Sheet'!D$13:D3002,'Character Sheet'!D$13:D3002=D1469),""""),True,False)"),FALSE)</f>
        <v>0</v>
      </c>
      <c r="C1469" s="20">
        <v>400</v>
      </c>
      <c r="D1469" s="2" t="s">
        <v>3145</v>
      </c>
      <c r="E1469" s="2" t="s">
        <v>369</v>
      </c>
      <c r="F1469" s="20" t="s">
        <v>61</v>
      </c>
      <c r="G1469" s="2" t="s">
        <v>3146</v>
      </c>
      <c r="H1469" s="16"/>
      <c r="I1469" s="20"/>
      <c r="J1469" s="20"/>
      <c r="K1469" s="20"/>
      <c r="L1469" s="20"/>
      <c r="M1469" s="20"/>
      <c r="N1469" s="20"/>
      <c r="O1469" s="20"/>
      <c r="P1469" s="20"/>
      <c r="Q1469" s="20"/>
      <c r="R1469" s="20"/>
      <c r="S1469" s="20"/>
      <c r="T1469" s="20"/>
      <c r="U1469" s="20"/>
      <c r="V1469" s="20"/>
      <c r="W1469" s="20"/>
      <c r="X1469" s="20"/>
      <c r="Y1469" s="20"/>
      <c r="Z1469" s="20"/>
      <c r="AA1469" s="20"/>
    </row>
    <row r="1470" spans="1:27" ht="243.6" x14ac:dyDescent="0.25">
      <c r="A1470" s="16"/>
      <c r="B1470" s="20" t="b">
        <f ca="1">IFERROR(__xludf.DUMMYFUNCTION("if(D1470=iferror(filter('Character Sheet'!D$13:D3002,'Character Sheet'!D$13:D3002=D1470),""""),True,False)"),FALSE)</f>
        <v>0</v>
      </c>
      <c r="C1470" s="20">
        <v>400</v>
      </c>
      <c r="D1470" s="2" t="s">
        <v>3147</v>
      </c>
      <c r="E1470" s="2" t="s">
        <v>334</v>
      </c>
      <c r="F1470" s="20" t="s">
        <v>61</v>
      </c>
      <c r="G1470" s="2" t="s">
        <v>3148</v>
      </c>
      <c r="H1470" s="16"/>
      <c r="I1470" s="20"/>
      <c r="J1470" s="20"/>
      <c r="K1470" s="20"/>
      <c r="L1470" s="20"/>
      <c r="M1470" s="20"/>
      <c r="N1470" s="20"/>
      <c r="O1470" s="20"/>
      <c r="P1470" s="20"/>
      <c r="Q1470" s="20"/>
      <c r="R1470" s="20"/>
      <c r="S1470" s="20"/>
      <c r="T1470" s="20"/>
      <c r="U1470" s="20"/>
      <c r="V1470" s="20"/>
      <c r="W1470" s="20"/>
      <c r="X1470" s="20"/>
      <c r="Y1470" s="20"/>
      <c r="Z1470" s="20"/>
      <c r="AA1470" s="20"/>
    </row>
    <row r="1471" spans="1:27" ht="174" x14ac:dyDescent="0.25">
      <c r="A1471" s="16"/>
      <c r="B1471" s="20" t="b">
        <f ca="1">IFERROR(__xludf.DUMMYFUNCTION("if(D1471=iferror(filter('Character Sheet'!D$13:D3002,'Character Sheet'!D$13:D3002=D1471),""""),True,False)"),FALSE)</f>
        <v>0</v>
      </c>
      <c r="C1471" s="20">
        <v>400</v>
      </c>
      <c r="D1471" s="2" t="s">
        <v>3149</v>
      </c>
      <c r="E1471" s="2" t="s">
        <v>369</v>
      </c>
      <c r="F1471" s="20" t="s">
        <v>61</v>
      </c>
      <c r="G1471" s="2" t="s">
        <v>3150</v>
      </c>
      <c r="H1471" s="16"/>
      <c r="I1471" s="20"/>
      <c r="J1471" s="20"/>
      <c r="K1471" s="20"/>
      <c r="L1471" s="20"/>
      <c r="M1471" s="20"/>
      <c r="N1471" s="20"/>
      <c r="O1471" s="20"/>
      <c r="P1471" s="20"/>
      <c r="Q1471" s="20"/>
      <c r="R1471" s="20"/>
      <c r="S1471" s="20"/>
      <c r="T1471" s="20"/>
      <c r="U1471" s="20"/>
      <c r="V1471" s="20"/>
      <c r="W1471" s="20"/>
      <c r="X1471" s="20"/>
      <c r="Y1471" s="20"/>
      <c r="Z1471" s="20"/>
      <c r="AA1471" s="20"/>
    </row>
    <row r="1472" spans="1:27" ht="52.2" x14ac:dyDescent="0.25">
      <c r="A1472" s="16"/>
      <c r="B1472" s="20" t="b">
        <f ca="1">IFERROR(__xludf.DUMMYFUNCTION("if(D1472=iferror(filter('Character Sheet'!D$13:D3002,'Character Sheet'!D$13:D3002=D1472),""""),True,False)"),FALSE)</f>
        <v>0</v>
      </c>
      <c r="C1472" s="20">
        <v>400</v>
      </c>
      <c r="D1472" s="2" t="s">
        <v>3151</v>
      </c>
      <c r="E1472" s="2" t="s">
        <v>943</v>
      </c>
      <c r="F1472" s="20" t="s">
        <v>61</v>
      </c>
      <c r="G1472" s="2" t="s">
        <v>3152</v>
      </c>
      <c r="H1472" s="16"/>
      <c r="I1472" s="20"/>
      <c r="J1472" s="20"/>
      <c r="K1472" s="20"/>
      <c r="L1472" s="20"/>
      <c r="M1472" s="20"/>
      <c r="N1472" s="20"/>
      <c r="O1472" s="20"/>
      <c r="P1472" s="20"/>
      <c r="Q1472" s="20"/>
      <c r="R1472" s="20"/>
      <c r="S1472" s="20"/>
      <c r="T1472" s="20"/>
      <c r="U1472" s="20"/>
      <c r="V1472" s="20"/>
      <c r="W1472" s="20"/>
      <c r="X1472" s="20"/>
      <c r="Y1472" s="20"/>
      <c r="Z1472" s="20"/>
      <c r="AA1472" s="20"/>
    </row>
    <row r="1473" spans="1:27" ht="87" x14ac:dyDescent="0.25">
      <c r="A1473" s="16"/>
      <c r="B1473" s="20" t="b">
        <f ca="1">IFERROR(__xludf.DUMMYFUNCTION("if(D1473=iferror(filter('Character Sheet'!D$13:D3002,'Character Sheet'!D$13:D3002=D1473),""""),True,False)"),FALSE)</f>
        <v>0</v>
      </c>
      <c r="C1473" s="20">
        <v>400</v>
      </c>
      <c r="D1473" s="2" t="s">
        <v>3153</v>
      </c>
      <c r="E1473" s="2" t="s">
        <v>469</v>
      </c>
      <c r="F1473" s="20" t="s">
        <v>61</v>
      </c>
      <c r="G1473" s="2" t="s">
        <v>3154</v>
      </c>
      <c r="H1473" s="16"/>
      <c r="I1473" s="20"/>
      <c r="J1473" s="20"/>
      <c r="K1473" s="20"/>
      <c r="L1473" s="20"/>
      <c r="M1473" s="20"/>
      <c r="N1473" s="20"/>
      <c r="O1473" s="20"/>
      <c r="P1473" s="20"/>
      <c r="Q1473" s="20"/>
      <c r="R1473" s="20"/>
      <c r="S1473" s="20"/>
      <c r="T1473" s="20"/>
      <c r="U1473" s="20"/>
      <c r="V1473" s="20"/>
      <c r="W1473" s="20"/>
      <c r="X1473" s="20"/>
      <c r="Y1473" s="20"/>
      <c r="Z1473" s="20"/>
      <c r="AA1473" s="20"/>
    </row>
    <row r="1474" spans="1:27" ht="174" x14ac:dyDescent="0.25">
      <c r="A1474" s="16"/>
      <c r="B1474" s="20" t="b">
        <f ca="1">IFERROR(__xludf.DUMMYFUNCTION("if(D1474=iferror(filter('Character Sheet'!D$13:D3002,'Character Sheet'!D$13:D3002=D1474),""""),True,False)"),FALSE)</f>
        <v>0</v>
      </c>
      <c r="C1474" s="20">
        <v>500</v>
      </c>
      <c r="D1474" s="2" t="s">
        <v>3155</v>
      </c>
      <c r="E1474" s="2" t="s">
        <v>369</v>
      </c>
      <c r="F1474" s="20" t="s">
        <v>61</v>
      </c>
      <c r="G1474" s="2" t="s">
        <v>3156</v>
      </c>
      <c r="H1474" s="16"/>
      <c r="I1474" s="20"/>
      <c r="J1474" s="20"/>
      <c r="K1474" s="20"/>
      <c r="L1474" s="20"/>
      <c r="M1474" s="20"/>
      <c r="N1474" s="20"/>
      <c r="O1474" s="20"/>
      <c r="P1474" s="20"/>
      <c r="Q1474" s="20"/>
      <c r="R1474" s="20"/>
      <c r="S1474" s="20"/>
      <c r="T1474" s="20"/>
      <c r="U1474" s="20"/>
      <c r="V1474" s="20"/>
      <c r="W1474" s="20"/>
      <c r="X1474" s="20"/>
      <c r="Y1474" s="20"/>
      <c r="Z1474" s="20"/>
      <c r="AA1474" s="20"/>
    </row>
    <row r="1475" spans="1:27" ht="52.2" x14ac:dyDescent="0.25">
      <c r="A1475" s="16"/>
      <c r="B1475" s="20" t="b">
        <f ca="1">IFERROR(__xludf.DUMMYFUNCTION("if(D1475=iferror(filter('Character Sheet'!D$13:D3002,'Character Sheet'!D$13:D3002=D1475),""""),True,False)"),FALSE)</f>
        <v>0</v>
      </c>
      <c r="C1475" s="20">
        <v>500</v>
      </c>
      <c r="D1475" s="2" t="s">
        <v>3157</v>
      </c>
      <c r="E1475" s="2" t="s">
        <v>248</v>
      </c>
      <c r="F1475" s="20" t="s">
        <v>61</v>
      </c>
      <c r="G1475" s="2" t="s">
        <v>3158</v>
      </c>
      <c r="H1475" s="16"/>
      <c r="I1475" s="20"/>
      <c r="J1475" s="20"/>
      <c r="K1475" s="20"/>
      <c r="L1475" s="20"/>
      <c r="M1475" s="20"/>
      <c r="N1475" s="20"/>
      <c r="O1475" s="20"/>
      <c r="P1475" s="20"/>
      <c r="Q1475" s="20"/>
      <c r="R1475" s="20"/>
      <c r="S1475" s="20"/>
      <c r="T1475" s="20"/>
      <c r="U1475" s="20"/>
      <c r="V1475" s="20"/>
      <c r="W1475" s="20"/>
      <c r="X1475" s="20"/>
      <c r="Y1475" s="20"/>
      <c r="Z1475" s="20"/>
      <c r="AA1475" s="20"/>
    </row>
    <row r="1476" spans="1:27" ht="174" x14ac:dyDescent="0.25">
      <c r="A1476" s="16"/>
      <c r="B1476" s="20" t="b">
        <f ca="1">IFERROR(__xludf.DUMMYFUNCTION("if(D1476=iferror(filter('Character Sheet'!D$13:D3002,'Character Sheet'!D$13:D3002=D1476),""""),True,False)"),FALSE)</f>
        <v>0</v>
      </c>
      <c r="C1476" s="20">
        <v>500</v>
      </c>
      <c r="D1476" s="2" t="s">
        <v>3159</v>
      </c>
      <c r="E1476" s="2" t="s">
        <v>413</v>
      </c>
      <c r="F1476" s="20" t="s">
        <v>61</v>
      </c>
      <c r="G1476" s="2" t="s">
        <v>3160</v>
      </c>
      <c r="H1476" s="16"/>
      <c r="I1476" s="20"/>
      <c r="J1476" s="20"/>
      <c r="K1476" s="20"/>
      <c r="L1476" s="20"/>
      <c r="M1476" s="20"/>
      <c r="N1476" s="20"/>
      <c r="O1476" s="20"/>
      <c r="P1476" s="20"/>
      <c r="Q1476" s="20"/>
      <c r="R1476" s="20"/>
      <c r="S1476" s="20"/>
      <c r="T1476" s="20"/>
      <c r="U1476" s="20"/>
      <c r="V1476" s="20"/>
      <c r="W1476" s="20"/>
      <c r="X1476" s="20"/>
      <c r="Y1476" s="20"/>
      <c r="Z1476" s="20"/>
      <c r="AA1476" s="20"/>
    </row>
    <row r="1477" spans="1:27" ht="226.2" x14ac:dyDescent="0.25">
      <c r="A1477" s="16"/>
      <c r="B1477" s="20" t="b">
        <f ca="1">IFERROR(__xludf.DUMMYFUNCTION("if(D1477=iferror(filter('Character Sheet'!D$13:D3002,'Character Sheet'!D$13:D3002=D1477),""""),True,False)"),FALSE)</f>
        <v>0</v>
      </c>
      <c r="C1477" s="20">
        <v>500</v>
      </c>
      <c r="D1477" s="2" t="s">
        <v>3161</v>
      </c>
      <c r="E1477" s="2" t="s">
        <v>72</v>
      </c>
      <c r="F1477" s="20" t="s">
        <v>61</v>
      </c>
      <c r="G1477" s="2" t="s">
        <v>3162</v>
      </c>
      <c r="H1477" s="16"/>
      <c r="I1477" s="20"/>
      <c r="J1477" s="20"/>
      <c r="K1477" s="20"/>
      <c r="L1477" s="20"/>
      <c r="M1477" s="20"/>
      <c r="N1477" s="20"/>
      <c r="O1477" s="20"/>
      <c r="P1477" s="20"/>
      <c r="Q1477" s="20"/>
      <c r="R1477" s="20"/>
      <c r="S1477" s="20"/>
      <c r="T1477" s="20"/>
      <c r="U1477" s="20"/>
      <c r="V1477" s="20"/>
      <c r="W1477" s="20"/>
      <c r="X1477" s="20"/>
      <c r="Y1477" s="20"/>
      <c r="Z1477" s="20"/>
      <c r="AA1477" s="20"/>
    </row>
    <row r="1478" spans="1:27" ht="104.4" x14ac:dyDescent="0.25">
      <c r="A1478" s="16"/>
      <c r="B1478" s="20" t="b">
        <f ca="1">IFERROR(__xludf.DUMMYFUNCTION("if(D1478=iferror(filter('Character Sheet'!D$13:D3002,'Character Sheet'!D$13:D3002=D1478),""""),True,False)"),FALSE)</f>
        <v>0</v>
      </c>
      <c r="C1478" s="20">
        <v>500</v>
      </c>
      <c r="D1478" s="2" t="s">
        <v>3163</v>
      </c>
      <c r="E1478" s="2" t="s">
        <v>156</v>
      </c>
      <c r="F1478" s="20" t="s">
        <v>61</v>
      </c>
      <c r="G1478" s="2" t="s">
        <v>3164</v>
      </c>
      <c r="H1478" s="16"/>
      <c r="I1478" s="20"/>
      <c r="J1478" s="20"/>
      <c r="K1478" s="20"/>
      <c r="L1478" s="20"/>
      <c r="M1478" s="20"/>
      <c r="N1478" s="20"/>
      <c r="O1478" s="20"/>
      <c r="P1478" s="20"/>
      <c r="Q1478" s="20"/>
      <c r="R1478" s="20"/>
      <c r="S1478" s="20"/>
      <c r="T1478" s="20"/>
      <c r="U1478" s="20"/>
      <c r="V1478" s="20"/>
      <c r="W1478" s="20"/>
      <c r="X1478" s="20"/>
      <c r="Y1478" s="20"/>
      <c r="Z1478" s="20"/>
      <c r="AA1478" s="20"/>
    </row>
    <row r="1479" spans="1:27" ht="139.19999999999999" x14ac:dyDescent="0.25">
      <c r="A1479" s="16"/>
      <c r="B1479" s="20" t="b">
        <f ca="1">IFERROR(__xludf.DUMMYFUNCTION("if(D1479=iferror(filter('Character Sheet'!D$13:D3002,'Character Sheet'!D$13:D3002=D1479),""""),True,False)"),FALSE)</f>
        <v>0</v>
      </c>
      <c r="C1479" s="20">
        <v>500</v>
      </c>
      <c r="D1479" s="2" t="s">
        <v>3165</v>
      </c>
      <c r="E1479" s="2" t="s">
        <v>334</v>
      </c>
      <c r="F1479" s="20" t="s">
        <v>61</v>
      </c>
      <c r="G1479" s="2" t="s">
        <v>3166</v>
      </c>
      <c r="H1479" s="16"/>
      <c r="I1479" s="20"/>
      <c r="J1479" s="20"/>
      <c r="K1479" s="20"/>
      <c r="L1479" s="20"/>
      <c r="M1479" s="20"/>
      <c r="N1479" s="20"/>
      <c r="O1479" s="20"/>
      <c r="P1479" s="20"/>
      <c r="Q1479" s="20"/>
      <c r="R1479" s="20"/>
      <c r="S1479" s="20"/>
      <c r="T1479" s="20"/>
      <c r="U1479" s="20"/>
      <c r="V1479" s="20"/>
      <c r="W1479" s="20"/>
      <c r="X1479" s="20"/>
      <c r="Y1479" s="20"/>
      <c r="Z1479" s="20"/>
      <c r="AA1479" s="20"/>
    </row>
    <row r="1480" spans="1:27" ht="191.4" x14ac:dyDescent="0.25">
      <c r="A1480" s="16"/>
      <c r="B1480" s="20" t="b">
        <f ca="1">IFERROR(__xludf.DUMMYFUNCTION("if(D1480=iferror(filter('Character Sheet'!D$13:D3002,'Character Sheet'!D$13:D3002=D1480),""""),True,False)"),FALSE)</f>
        <v>0</v>
      </c>
      <c r="C1480" s="20">
        <v>600</v>
      </c>
      <c r="D1480" s="2" t="s">
        <v>3167</v>
      </c>
      <c r="E1480" s="2" t="s">
        <v>176</v>
      </c>
      <c r="F1480" s="20" t="s">
        <v>61</v>
      </c>
      <c r="G1480" s="2" t="s">
        <v>3168</v>
      </c>
      <c r="H1480" s="16"/>
      <c r="I1480" s="20"/>
      <c r="J1480" s="20"/>
      <c r="K1480" s="20"/>
      <c r="L1480" s="20"/>
      <c r="M1480" s="20"/>
      <c r="N1480" s="20"/>
      <c r="O1480" s="20"/>
      <c r="P1480" s="20"/>
      <c r="Q1480" s="20"/>
      <c r="R1480" s="20"/>
      <c r="S1480" s="20"/>
      <c r="T1480" s="20"/>
      <c r="U1480" s="20"/>
      <c r="V1480" s="20"/>
      <c r="W1480" s="20"/>
      <c r="X1480" s="20"/>
      <c r="Y1480" s="20"/>
      <c r="Z1480" s="20"/>
      <c r="AA1480" s="20"/>
    </row>
    <row r="1481" spans="1:27" ht="121.8" x14ac:dyDescent="0.25">
      <c r="A1481" s="16"/>
      <c r="B1481" s="20" t="b">
        <f ca="1">IFERROR(__xludf.DUMMYFUNCTION("if(D1481=iferror(filter('Character Sheet'!D$13:D3002,'Character Sheet'!D$13:D3002=D1481),""""),True,False)"),FALSE)</f>
        <v>0</v>
      </c>
      <c r="C1481" s="20">
        <v>600</v>
      </c>
      <c r="D1481" s="2" t="s">
        <v>3169</v>
      </c>
      <c r="E1481" s="2" t="s">
        <v>401</v>
      </c>
      <c r="F1481" s="20" t="s">
        <v>61</v>
      </c>
      <c r="G1481" s="2" t="s">
        <v>3170</v>
      </c>
      <c r="H1481" s="16"/>
      <c r="I1481" s="20"/>
      <c r="J1481" s="20"/>
      <c r="K1481" s="20"/>
      <c r="L1481" s="20"/>
      <c r="M1481" s="20"/>
      <c r="N1481" s="20"/>
      <c r="O1481" s="20"/>
      <c r="P1481" s="20"/>
      <c r="Q1481" s="20"/>
      <c r="R1481" s="20"/>
      <c r="S1481" s="20"/>
      <c r="T1481" s="20"/>
      <c r="U1481" s="20"/>
      <c r="V1481" s="20"/>
      <c r="W1481" s="20"/>
      <c r="X1481" s="20"/>
      <c r="Y1481" s="20"/>
      <c r="Z1481" s="20"/>
      <c r="AA1481" s="20"/>
    </row>
    <row r="1482" spans="1:27" ht="174" x14ac:dyDescent="0.25">
      <c r="A1482" s="16"/>
      <c r="B1482" s="20" t="b">
        <f ca="1">IFERROR(__xludf.DUMMYFUNCTION("if(D1482=iferror(filter('Character Sheet'!D$13:D3002,'Character Sheet'!D$13:D3002=D1482),""""),True,False)"),FALSE)</f>
        <v>0</v>
      </c>
      <c r="C1482" s="20">
        <v>600</v>
      </c>
      <c r="D1482" s="2" t="s">
        <v>3171</v>
      </c>
      <c r="E1482" s="2" t="s">
        <v>845</v>
      </c>
      <c r="F1482" s="20" t="s">
        <v>61</v>
      </c>
      <c r="G1482" s="2" t="s">
        <v>3172</v>
      </c>
      <c r="H1482" s="16"/>
      <c r="I1482" s="20"/>
      <c r="J1482" s="20"/>
      <c r="K1482" s="20"/>
      <c r="L1482" s="20"/>
      <c r="M1482" s="20"/>
      <c r="N1482" s="20"/>
      <c r="O1482" s="20"/>
      <c r="P1482" s="20"/>
      <c r="Q1482" s="20"/>
      <c r="R1482" s="20"/>
      <c r="S1482" s="20"/>
      <c r="T1482" s="20"/>
      <c r="U1482" s="20"/>
      <c r="V1482" s="20"/>
      <c r="W1482" s="20"/>
      <c r="X1482" s="20"/>
      <c r="Y1482" s="20"/>
      <c r="Z1482" s="20"/>
      <c r="AA1482" s="20"/>
    </row>
    <row r="1483" spans="1:27" ht="156.6" x14ac:dyDescent="0.25">
      <c r="A1483" s="16"/>
      <c r="B1483" s="20" t="b">
        <f ca="1">IFERROR(__xludf.DUMMYFUNCTION("if(D1483=iferror(filter('Character Sheet'!D$13:D3002,'Character Sheet'!D$13:D3002=D1483),""""),True,False)"),FALSE)</f>
        <v>0</v>
      </c>
      <c r="C1483" s="20">
        <v>600</v>
      </c>
      <c r="D1483" s="2" t="s">
        <v>3173</v>
      </c>
      <c r="E1483" s="2" t="s">
        <v>238</v>
      </c>
      <c r="F1483" s="20" t="s">
        <v>61</v>
      </c>
      <c r="G1483" s="2" t="s">
        <v>3174</v>
      </c>
      <c r="H1483" s="16"/>
      <c r="I1483" s="20"/>
      <c r="J1483" s="20"/>
      <c r="K1483" s="20"/>
      <c r="L1483" s="20"/>
      <c r="M1483" s="20"/>
      <c r="N1483" s="20"/>
      <c r="O1483" s="20"/>
      <c r="P1483" s="20"/>
      <c r="Q1483" s="20"/>
      <c r="R1483" s="20"/>
      <c r="S1483" s="20"/>
      <c r="T1483" s="20"/>
      <c r="U1483" s="20"/>
      <c r="V1483" s="20"/>
      <c r="W1483" s="20"/>
      <c r="X1483" s="20"/>
      <c r="Y1483" s="20"/>
      <c r="Z1483" s="20"/>
      <c r="AA1483" s="20"/>
    </row>
    <row r="1484" spans="1:27" ht="191.4" x14ac:dyDescent="0.25">
      <c r="A1484" s="16"/>
      <c r="B1484" s="20" t="b">
        <f ca="1">IFERROR(__xludf.DUMMYFUNCTION("if(D1484=iferror(filter('Character Sheet'!D$13:D3002,'Character Sheet'!D$13:D3002=D1484),""""),True,False)"),FALSE)</f>
        <v>0</v>
      </c>
      <c r="C1484" s="20">
        <v>600</v>
      </c>
      <c r="D1484" s="2" t="s">
        <v>3175</v>
      </c>
      <c r="E1484" s="2" t="s">
        <v>87</v>
      </c>
      <c r="F1484" s="20" t="s">
        <v>61</v>
      </c>
      <c r="G1484" s="2" t="s">
        <v>3176</v>
      </c>
      <c r="H1484" s="16"/>
      <c r="I1484" s="20"/>
      <c r="J1484" s="20"/>
      <c r="K1484" s="20"/>
      <c r="L1484" s="20"/>
      <c r="M1484" s="20"/>
      <c r="N1484" s="20"/>
      <c r="O1484" s="20"/>
      <c r="P1484" s="20"/>
      <c r="Q1484" s="20"/>
      <c r="R1484" s="20"/>
      <c r="S1484" s="20"/>
      <c r="T1484" s="20"/>
      <c r="U1484" s="20"/>
      <c r="V1484" s="20"/>
      <c r="W1484" s="20"/>
      <c r="X1484" s="20"/>
      <c r="Y1484" s="20"/>
      <c r="Z1484" s="20"/>
      <c r="AA1484" s="20"/>
    </row>
    <row r="1485" spans="1:27" ht="104.4" x14ac:dyDescent="0.25">
      <c r="A1485" s="16"/>
      <c r="B1485" s="20" t="b">
        <f ca="1">IFERROR(__xludf.DUMMYFUNCTION("if(D1485=iferror(filter('Character Sheet'!D$13:D3002,'Character Sheet'!D$13:D3002=D1485),""""),True,False)"),FALSE)</f>
        <v>0</v>
      </c>
      <c r="C1485" s="20">
        <v>600</v>
      </c>
      <c r="D1485" s="2" t="s">
        <v>3177</v>
      </c>
      <c r="E1485" s="2" t="s">
        <v>344</v>
      </c>
      <c r="F1485" s="20" t="s">
        <v>61</v>
      </c>
      <c r="G1485" s="2" t="s">
        <v>3178</v>
      </c>
      <c r="H1485" s="16"/>
      <c r="I1485" s="20"/>
      <c r="J1485" s="20"/>
      <c r="K1485" s="20"/>
      <c r="L1485" s="20"/>
      <c r="M1485" s="20"/>
      <c r="N1485" s="20"/>
      <c r="O1485" s="20"/>
      <c r="P1485" s="20"/>
      <c r="Q1485" s="20"/>
      <c r="R1485" s="20"/>
      <c r="S1485" s="20"/>
      <c r="T1485" s="20"/>
      <c r="U1485" s="20"/>
      <c r="V1485" s="20"/>
      <c r="W1485" s="20"/>
      <c r="X1485" s="20"/>
      <c r="Y1485" s="20"/>
      <c r="Z1485" s="20"/>
      <c r="AA1485" s="20"/>
    </row>
    <row r="1486" spans="1:27" ht="139.19999999999999" x14ac:dyDescent="0.25">
      <c r="A1486" s="16"/>
      <c r="B1486" s="20" t="b">
        <f ca="1">IFERROR(__xludf.DUMMYFUNCTION("if(D1486=iferror(filter('Character Sheet'!D$13:D3002,'Character Sheet'!D$13:D3002=D1486),""""),True,False)"),FALSE)</f>
        <v>0</v>
      </c>
      <c r="C1486" s="20">
        <v>600</v>
      </c>
      <c r="D1486" s="2" t="s">
        <v>3179</v>
      </c>
      <c r="E1486" s="2" t="s">
        <v>369</v>
      </c>
      <c r="F1486" s="20" t="s">
        <v>61</v>
      </c>
      <c r="G1486" s="2" t="s">
        <v>3180</v>
      </c>
      <c r="H1486" s="16"/>
      <c r="I1486" s="20"/>
      <c r="J1486" s="20"/>
      <c r="K1486" s="20"/>
      <c r="L1486" s="20"/>
      <c r="M1486" s="20"/>
      <c r="N1486" s="20"/>
      <c r="O1486" s="20"/>
      <c r="P1486" s="20"/>
      <c r="Q1486" s="20"/>
      <c r="R1486" s="20"/>
      <c r="S1486" s="20"/>
      <c r="T1486" s="20"/>
      <c r="U1486" s="20"/>
      <c r="V1486" s="20"/>
      <c r="W1486" s="20"/>
      <c r="X1486" s="20"/>
      <c r="Y1486" s="20"/>
      <c r="Z1486" s="20"/>
      <c r="AA1486" s="20"/>
    </row>
    <row r="1487" spans="1:27" ht="278.39999999999998" x14ac:dyDescent="0.25">
      <c r="A1487" s="16"/>
      <c r="B1487" s="20" t="b">
        <f ca="1">IFERROR(__xludf.DUMMYFUNCTION("if(D1487=iferror(filter('Character Sheet'!D$13:D3002,'Character Sheet'!D$13:D3002=D1487),""""),True,False)"),FALSE)</f>
        <v>0</v>
      </c>
      <c r="C1487" s="20">
        <v>600</v>
      </c>
      <c r="D1487" s="2" t="s">
        <v>3181</v>
      </c>
      <c r="E1487" s="2" t="s">
        <v>211</v>
      </c>
      <c r="F1487" s="20" t="s">
        <v>61</v>
      </c>
      <c r="G1487" s="2" t="s">
        <v>3182</v>
      </c>
      <c r="H1487" s="16"/>
      <c r="I1487" s="20"/>
      <c r="J1487" s="20"/>
      <c r="K1487" s="20"/>
      <c r="L1487" s="20"/>
      <c r="M1487" s="20"/>
      <c r="N1487" s="20"/>
      <c r="O1487" s="20"/>
      <c r="P1487" s="20"/>
      <c r="Q1487" s="20"/>
      <c r="R1487" s="20"/>
      <c r="S1487" s="20"/>
      <c r="T1487" s="20"/>
      <c r="U1487" s="20"/>
      <c r="V1487" s="20"/>
      <c r="W1487" s="20"/>
      <c r="X1487" s="20"/>
      <c r="Y1487" s="20"/>
      <c r="Z1487" s="20"/>
      <c r="AA1487" s="20"/>
    </row>
    <row r="1488" spans="1:27" ht="191.4" x14ac:dyDescent="0.25">
      <c r="A1488" s="16"/>
      <c r="B1488" s="20" t="b">
        <f ca="1">IFERROR(__xludf.DUMMYFUNCTION("if(D1488=iferror(filter('Character Sheet'!D$13:D3002,'Character Sheet'!D$13:D3002=D1488),""""),True,False)"),FALSE)</f>
        <v>0</v>
      </c>
      <c r="C1488" s="20">
        <v>600</v>
      </c>
      <c r="D1488" s="2" t="s">
        <v>3183</v>
      </c>
      <c r="E1488" s="2" t="s">
        <v>176</v>
      </c>
      <c r="F1488" s="20" t="s">
        <v>61</v>
      </c>
      <c r="G1488" s="2" t="s">
        <v>3184</v>
      </c>
      <c r="H1488" s="16"/>
      <c r="I1488" s="20"/>
      <c r="J1488" s="20"/>
      <c r="K1488" s="20"/>
      <c r="L1488" s="20"/>
      <c r="M1488" s="20"/>
      <c r="N1488" s="20"/>
      <c r="O1488" s="20"/>
      <c r="P1488" s="20"/>
      <c r="Q1488" s="20"/>
      <c r="R1488" s="20"/>
      <c r="S1488" s="20"/>
      <c r="T1488" s="20"/>
      <c r="U1488" s="20"/>
      <c r="V1488" s="20"/>
      <c r="W1488" s="20"/>
      <c r="X1488" s="20"/>
      <c r="Y1488" s="20"/>
      <c r="Z1488" s="20"/>
      <c r="AA1488" s="20"/>
    </row>
    <row r="1489" spans="1:27" ht="139.19999999999999" x14ac:dyDescent="0.25">
      <c r="A1489" s="16"/>
      <c r="B1489" s="20" t="b">
        <f ca="1">IFERROR(__xludf.DUMMYFUNCTION("if(D1489=iferror(filter('Character Sheet'!D$13:D3002,'Character Sheet'!D$13:D3002=D1489),""""),True,False)"),FALSE)</f>
        <v>0</v>
      </c>
      <c r="C1489" s="20">
        <v>600</v>
      </c>
      <c r="D1489" s="2" t="s">
        <v>3185</v>
      </c>
      <c r="E1489" s="2" t="s">
        <v>750</v>
      </c>
      <c r="F1489" s="20" t="s">
        <v>61</v>
      </c>
      <c r="G1489" s="2" t="s">
        <v>3186</v>
      </c>
      <c r="H1489" s="16"/>
      <c r="I1489" s="20"/>
      <c r="J1489" s="20"/>
      <c r="K1489" s="20"/>
      <c r="L1489" s="20"/>
      <c r="M1489" s="20"/>
      <c r="N1489" s="20"/>
      <c r="O1489" s="20"/>
      <c r="P1489" s="20"/>
      <c r="Q1489" s="20"/>
      <c r="R1489" s="20"/>
      <c r="S1489" s="20"/>
      <c r="T1489" s="20"/>
      <c r="U1489" s="20"/>
      <c r="V1489" s="20"/>
      <c r="W1489" s="20"/>
      <c r="X1489" s="20"/>
      <c r="Y1489" s="20"/>
      <c r="Z1489" s="20"/>
      <c r="AA1489" s="20"/>
    </row>
    <row r="1490" spans="1:27" ht="156.6" x14ac:dyDescent="0.25">
      <c r="A1490" s="16"/>
      <c r="B1490" s="20" t="b">
        <f ca="1">IFERROR(__xludf.DUMMYFUNCTION("if(D1490=iferror(filter('Character Sheet'!D$13:D3002,'Character Sheet'!D$13:D3002=D1490),""""),True,False)"),FALSE)</f>
        <v>0</v>
      </c>
      <c r="C1490" s="20">
        <v>600</v>
      </c>
      <c r="D1490" s="2" t="s">
        <v>3187</v>
      </c>
      <c r="E1490" s="2" t="s">
        <v>845</v>
      </c>
      <c r="F1490" s="20" t="s">
        <v>61</v>
      </c>
      <c r="G1490" s="2" t="s">
        <v>3188</v>
      </c>
      <c r="H1490" s="16"/>
      <c r="I1490" s="20"/>
      <c r="J1490" s="20"/>
      <c r="K1490" s="20"/>
      <c r="L1490" s="20"/>
      <c r="M1490" s="20"/>
      <c r="N1490" s="20"/>
      <c r="O1490" s="20"/>
      <c r="P1490" s="20"/>
      <c r="Q1490" s="20"/>
      <c r="R1490" s="20"/>
      <c r="S1490" s="20"/>
      <c r="T1490" s="20"/>
      <c r="U1490" s="20"/>
      <c r="V1490" s="20"/>
      <c r="W1490" s="20"/>
      <c r="X1490" s="20"/>
      <c r="Y1490" s="20"/>
      <c r="Z1490" s="20"/>
      <c r="AA1490" s="20"/>
    </row>
    <row r="1491" spans="1:27" ht="191.4" x14ac:dyDescent="0.25">
      <c r="A1491" s="16"/>
      <c r="B1491" s="20" t="b">
        <f ca="1">IFERROR(__xludf.DUMMYFUNCTION("if(D1491=iferror(filter('Character Sheet'!D$13:D3002,'Character Sheet'!D$13:D3002=D1491),""""),True,False)"),FALSE)</f>
        <v>0</v>
      </c>
      <c r="C1491" s="20">
        <v>600</v>
      </c>
      <c r="D1491" s="2" t="s">
        <v>3189</v>
      </c>
      <c r="E1491" s="2" t="s">
        <v>87</v>
      </c>
      <c r="F1491" s="20" t="s">
        <v>61</v>
      </c>
      <c r="G1491" s="2" t="s">
        <v>3190</v>
      </c>
      <c r="H1491" s="16"/>
      <c r="I1491" s="20"/>
      <c r="J1491" s="20"/>
      <c r="K1491" s="20"/>
      <c r="L1491" s="20"/>
      <c r="M1491" s="20"/>
      <c r="N1491" s="20"/>
      <c r="O1491" s="20"/>
      <c r="P1491" s="20"/>
      <c r="Q1491" s="20"/>
      <c r="R1491" s="20"/>
      <c r="S1491" s="20"/>
      <c r="T1491" s="20"/>
      <c r="U1491" s="20"/>
      <c r="V1491" s="20"/>
      <c r="W1491" s="20"/>
      <c r="X1491" s="20"/>
      <c r="Y1491" s="20"/>
      <c r="Z1491" s="20"/>
      <c r="AA1491" s="20"/>
    </row>
    <row r="1492" spans="1:27" ht="243.6" x14ac:dyDescent="0.25">
      <c r="A1492" s="16"/>
      <c r="B1492" s="20" t="b">
        <f ca="1">IFERROR(__xludf.DUMMYFUNCTION("if(D1492=iferror(filter('Character Sheet'!D$13:D3002,'Character Sheet'!D$13:D3002=D1492),""""),True,False)"),FALSE)</f>
        <v>0</v>
      </c>
      <c r="C1492" s="20">
        <v>600</v>
      </c>
      <c r="D1492" s="2" t="s">
        <v>3191</v>
      </c>
      <c r="E1492" s="2" t="s">
        <v>615</v>
      </c>
      <c r="F1492" s="20" t="s">
        <v>61</v>
      </c>
      <c r="G1492" s="2" t="s">
        <v>3192</v>
      </c>
      <c r="H1492" s="16"/>
      <c r="I1492" s="20"/>
      <c r="J1492" s="20"/>
      <c r="K1492" s="20"/>
      <c r="L1492" s="20"/>
      <c r="M1492" s="20"/>
      <c r="N1492" s="20"/>
      <c r="O1492" s="20"/>
      <c r="P1492" s="20"/>
      <c r="Q1492" s="20"/>
      <c r="R1492" s="20"/>
      <c r="S1492" s="20"/>
      <c r="T1492" s="20"/>
      <c r="U1492" s="20"/>
      <c r="V1492" s="20"/>
      <c r="W1492" s="20"/>
      <c r="X1492" s="20"/>
      <c r="Y1492" s="20"/>
      <c r="Z1492" s="20"/>
      <c r="AA1492" s="20"/>
    </row>
    <row r="1493" spans="1:27" ht="156.6" x14ac:dyDescent="0.25">
      <c r="A1493" s="16"/>
      <c r="B1493" s="20" t="b">
        <f ca="1">IFERROR(__xludf.DUMMYFUNCTION("if(D1493=iferror(filter('Character Sheet'!D$13:D3002,'Character Sheet'!D$13:D3002=D1493),""""),True,False)"),FALSE)</f>
        <v>0</v>
      </c>
      <c r="C1493" s="20">
        <v>600</v>
      </c>
      <c r="D1493" s="2" t="s">
        <v>3193</v>
      </c>
      <c r="E1493" s="2" t="s">
        <v>214</v>
      </c>
      <c r="F1493" s="20" t="s">
        <v>61</v>
      </c>
      <c r="G1493" s="2" t="s">
        <v>3194</v>
      </c>
      <c r="H1493" s="16"/>
      <c r="I1493" s="20"/>
      <c r="J1493" s="20"/>
      <c r="K1493" s="20"/>
      <c r="L1493" s="20"/>
      <c r="M1493" s="20"/>
      <c r="N1493" s="20"/>
      <c r="O1493" s="20"/>
      <c r="P1493" s="20"/>
      <c r="Q1493" s="20"/>
      <c r="R1493" s="20"/>
      <c r="S1493" s="20"/>
      <c r="T1493" s="20"/>
      <c r="U1493" s="20"/>
      <c r="V1493" s="20"/>
      <c r="W1493" s="20"/>
      <c r="X1493" s="20"/>
      <c r="Y1493" s="20"/>
      <c r="Z1493" s="20"/>
      <c r="AA1493" s="20"/>
    </row>
    <row r="1494" spans="1:27" ht="139.19999999999999" x14ac:dyDescent="0.25">
      <c r="A1494" s="16"/>
      <c r="B1494" s="20" t="b">
        <f ca="1">IFERROR(__xludf.DUMMYFUNCTION("if(D1494=iferror(filter('Character Sheet'!D$13:D3002,'Character Sheet'!D$13:D3002=D1494),""""),True,False)"),FALSE)</f>
        <v>0</v>
      </c>
      <c r="C1494" s="20">
        <v>600</v>
      </c>
      <c r="D1494" s="2" t="s">
        <v>3195</v>
      </c>
      <c r="E1494" s="2" t="s">
        <v>288</v>
      </c>
      <c r="F1494" s="20" t="s">
        <v>61</v>
      </c>
      <c r="G1494" s="2" t="s">
        <v>3196</v>
      </c>
      <c r="H1494" s="16"/>
      <c r="I1494" s="20"/>
      <c r="J1494" s="20"/>
      <c r="K1494" s="20"/>
      <c r="L1494" s="20"/>
      <c r="M1494" s="20"/>
      <c r="N1494" s="20"/>
      <c r="O1494" s="20"/>
      <c r="P1494" s="20"/>
      <c r="Q1494" s="20"/>
      <c r="R1494" s="20"/>
      <c r="S1494" s="20"/>
      <c r="T1494" s="20"/>
      <c r="U1494" s="20"/>
      <c r="V1494" s="20"/>
      <c r="W1494" s="20"/>
      <c r="X1494" s="20"/>
      <c r="Y1494" s="20"/>
      <c r="Z1494" s="20"/>
      <c r="AA1494" s="20"/>
    </row>
    <row r="1495" spans="1:27" ht="139.19999999999999" x14ac:dyDescent="0.25">
      <c r="A1495" s="16"/>
      <c r="B1495" s="20" t="b">
        <f ca="1">IFERROR(__xludf.DUMMYFUNCTION("if(D1495=iferror(filter('Character Sheet'!D$13:D3002,'Character Sheet'!D$13:D3002=D1495),""""),True,False)"),FALSE)</f>
        <v>0</v>
      </c>
      <c r="C1495" s="20">
        <v>600</v>
      </c>
      <c r="D1495" s="2" t="s">
        <v>3197</v>
      </c>
      <c r="E1495" s="2" t="s">
        <v>539</v>
      </c>
      <c r="F1495" s="20" t="s">
        <v>61</v>
      </c>
      <c r="G1495" s="2" t="s">
        <v>3198</v>
      </c>
      <c r="H1495" s="16"/>
      <c r="I1495" s="20"/>
      <c r="J1495" s="20"/>
      <c r="K1495" s="20"/>
      <c r="L1495" s="20"/>
      <c r="M1495" s="20"/>
      <c r="N1495" s="20"/>
      <c r="O1495" s="20"/>
      <c r="P1495" s="20"/>
      <c r="Q1495" s="20"/>
      <c r="R1495" s="20"/>
      <c r="S1495" s="20"/>
      <c r="T1495" s="20"/>
      <c r="U1495" s="20"/>
      <c r="V1495" s="20"/>
      <c r="W1495" s="20"/>
      <c r="X1495" s="20"/>
      <c r="Y1495" s="20"/>
      <c r="Z1495" s="20"/>
      <c r="AA1495" s="20"/>
    </row>
    <row r="1496" spans="1:27" ht="191.4" x14ac:dyDescent="0.25">
      <c r="A1496" s="16"/>
      <c r="B1496" s="20" t="b">
        <f ca="1">IFERROR(__xludf.DUMMYFUNCTION("if(D1496=iferror(filter('Character Sheet'!D$13:D3002,'Character Sheet'!D$13:D3002=D1496),""""),True,False)"),FALSE)</f>
        <v>0</v>
      </c>
      <c r="C1496" s="20">
        <v>600</v>
      </c>
      <c r="D1496" s="2" t="s">
        <v>3199</v>
      </c>
      <c r="E1496" s="2" t="s">
        <v>381</v>
      </c>
      <c r="F1496" s="20" t="s">
        <v>61</v>
      </c>
      <c r="G1496" s="2" t="s">
        <v>3200</v>
      </c>
      <c r="H1496" s="16"/>
      <c r="I1496" s="20"/>
      <c r="J1496" s="20"/>
      <c r="K1496" s="20"/>
      <c r="L1496" s="20"/>
      <c r="M1496" s="20"/>
      <c r="N1496" s="20"/>
      <c r="O1496" s="20"/>
      <c r="P1496" s="20"/>
      <c r="Q1496" s="20"/>
      <c r="R1496" s="20"/>
      <c r="S1496" s="20"/>
      <c r="T1496" s="20"/>
      <c r="U1496" s="20"/>
      <c r="V1496" s="20"/>
      <c r="W1496" s="20"/>
      <c r="X1496" s="20"/>
      <c r="Y1496" s="20"/>
      <c r="Z1496" s="20"/>
      <c r="AA1496" s="20"/>
    </row>
    <row r="1497" spans="1:27" ht="104.4" x14ac:dyDescent="0.25">
      <c r="A1497" s="16"/>
      <c r="B1497" s="20" t="b">
        <f ca="1">IFERROR(__xludf.DUMMYFUNCTION("if(D1497=iferror(filter('Character Sheet'!D$13:D3002,'Character Sheet'!D$13:D3002=D1497),""""),True,False)"),FALSE)</f>
        <v>0</v>
      </c>
      <c r="C1497" s="20">
        <v>600</v>
      </c>
      <c r="D1497" s="2" t="s">
        <v>3201</v>
      </c>
      <c r="E1497" s="2" t="s">
        <v>863</v>
      </c>
      <c r="F1497" s="20" t="s">
        <v>61</v>
      </c>
      <c r="G1497" s="2" t="s">
        <v>3202</v>
      </c>
      <c r="H1497" s="16"/>
      <c r="I1497" s="20"/>
      <c r="J1497" s="20"/>
      <c r="K1497" s="20"/>
      <c r="L1497" s="20"/>
      <c r="M1497" s="20"/>
      <c r="N1497" s="20"/>
      <c r="O1497" s="20"/>
      <c r="P1497" s="20"/>
      <c r="Q1497" s="20"/>
      <c r="R1497" s="20"/>
      <c r="S1497" s="20"/>
      <c r="T1497" s="20"/>
      <c r="U1497" s="20"/>
      <c r="V1497" s="20"/>
      <c r="W1497" s="20"/>
      <c r="X1497" s="20"/>
      <c r="Y1497" s="20"/>
      <c r="Z1497" s="20"/>
      <c r="AA1497" s="20"/>
    </row>
    <row r="1498" spans="1:27" ht="156.6" x14ac:dyDescent="0.25">
      <c r="A1498" s="16"/>
      <c r="B1498" s="20" t="b">
        <f ca="1">IFERROR(__xludf.DUMMYFUNCTION("if(D1498=iferror(filter('Character Sheet'!D$13:D3002,'Character Sheet'!D$13:D3002=D1498),""""),True,False)"),FALSE)</f>
        <v>0</v>
      </c>
      <c r="C1498" s="20">
        <v>600</v>
      </c>
      <c r="D1498" s="2" t="s">
        <v>3203</v>
      </c>
      <c r="E1498" s="2" t="s">
        <v>124</v>
      </c>
      <c r="F1498" s="20" t="s">
        <v>61</v>
      </c>
      <c r="G1498" s="2" t="s">
        <v>3204</v>
      </c>
      <c r="H1498" s="16"/>
      <c r="I1498" s="20"/>
      <c r="J1498" s="20"/>
      <c r="K1498" s="20"/>
      <c r="L1498" s="20"/>
      <c r="M1498" s="20"/>
      <c r="N1498" s="20"/>
      <c r="O1498" s="20"/>
      <c r="P1498" s="20"/>
      <c r="Q1498" s="20"/>
      <c r="R1498" s="20"/>
      <c r="S1498" s="20"/>
      <c r="T1498" s="20"/>
      <c r="U1498" s="20"/>
      <c r="V1498" s="20"/>
      <c r="W1498" s="20"/>
      <c r="X1498" s="20"/>
      <c r="Y1498" s="20"/>
      <c r="Z1498" s="20"/>
      <c r="AA1498" s="20"/>
    </row>
    <row r="1499" spans="1:27" ht="226.2" x14ac:dyDescent="0.25">
      <c r="A1499" s="16"/>
      <c r="B1499" s="20" t="b">
        <f ca="1">IFERROR(__xludf.DUMMYFUNCTION("if(D1499=iferror(filter('Character Sheet'!D$13:D3002,'Character Sheet'!D$13:D3002=D1499),""""),True,False)"),FALSE)</f>
        <v>0</v>
      </c>
      <c r="C1499" s="20">
        <v>600</v>
      </c>
      <c r="D1499" s="2" t="s">
        <v>3205</v>
      </c>
      <c r="E1499" s="2" t="s">
        <v>124</v>
      </c>
      <c r="F1499" s="20" t="s">
        <v>61</v>
      </c>
      <c r="G1499" s="2" t="s">
        <v>3206</v>
      </c>
      <c r="H1499" s="16"/>
      <c r="I1499" s="20"/>
      <c r="J1499" s="20"/>
      <c r="K1499" s="20"/>
      <c r="L1499" s="20"/>
      <c r="M1499" s="20"/>
      <c r="N1499" s="20"/>
      <c r="O1499" s="20"/>
      <c r="P1499" s="20"/>
      <c r="Q1499" s="20"/>
      <c r="R1499" s="20"/>
      <c r="S1499" s="20"/>
      <c r="T1499" s="20"/>
      <c r="U1499" s="20"/>
      <c r="V1499" s="20"/>
      <c r="W1499" s="20"/>
      <c r="X1499" s="20"/>
      <c r="Y1499" s="20"/>
      <c r="Z1499" s="20"/>
      <c r="AA1499" s="20"/>
    </row>
    <row r="1500" spans="1:27" ht="261" x14ac:dyDescent="0.25">
      <c r="A1500" s="16"/>
      <c r="B1500" s="20" t="b">
        <f ca="1">IFERROR(__xludf.DUMMYFUNCTION("if(D1500=iferror(filter('Character Sheet'!D$13:D3002,'Character Sheet'!D$13:D3002=D1500),""""),True,False)"),FALSE)</f>
        <v>0</v>
      </c>
      <c r="C1500" s="20">
        <v>600</v>
      </c>
      <c r="D1500" s="2" t="s">
        <v>3207</v>
      </c>
      <c r="E1500" s="2" t="s">
        <v>124</v>
      </c>
      <c r="F1500" s="20" t="s">
        <v>61</v>
      </c>
      <c r="G1500" s="2" t="s">
        <v>3208</v>
      </c>
      <c r="H1500" s="16"/>
      <c r="I1500" s="20"/>
      <c r="J1500" s="20"/>
      <c r="K1500" s="20"/>
      <c r="L1500" s="20"/>
      <c r="M1500" s="20"/>
      <c r="N1500" s="20"/>
      <c r="O1500" s="20"/>
      <c r="P1500" s="20"/>
      <c r="Q1500" s="20"/>
      <c r="R1500" s="20"/>
      <c r="S1500" s="20"/>
      <c r="T1500" s="20"/>
      <c r="U1500" s="20"/>
      <c r="V1500" s="20"/>
      <c r="W1500" s="20"/>
      <c r="X1500" s="20"/>
      <c r="Y1500" s="20"/>
      <c r="Z1500" s="20"/>
      <c r="AA1500" s="20"/>
    </row>
    <row r="1501" spans="1:27" ht="139.19999999999999" x14ac:dyDescent="0.25">
      <c r="A1501" s="16"/>
      <c r="B1501" s="20" t="b">
        <f ca="1">IFERROR(__xludf.DUMMYFUNCTION("if(D1501=iferror(filter('Character Sheet'!D$13:D3002,'Character Sheet'!D$13:D3002=D1501),""""),True,False)"),FALSE)</f>
        <v>0</v>
      </c>
      <c r="C1501" s="20">
        <v>600</v>
      </c>
      <c r="D1501" s="2" t="s">
        <v>3209</v>
      </c>
      <c r="E1501" s="2" t="s">
        <v>253</v>
      </c>
      <c r="F1501" s="20" t="s">
        <v>61</v>
      </c>
      <c r="G1501" s="2" t="s">
        <v>3210</v>
      </c>
      <c r="H1501" s="16"/>
      <c r="I1501" s="20"/>
      <c r="J1501" s="20"/>
      <c r="K1501" s="20"/>
      <c r="L1501" s="20"/>
      <c r="M1501" s="20"/>
      <c r="N1501" s="20"/>
      <c r="O1501" s="20"/>
      <c r="P1501" s="20"/>
      <c r="Q1501" s="20"/>
      <c r="R1501" s="20"/>
      <c r="S1501" s="20"/>
      <c r="T1501" s="20"/>
      <c r="U1501" s="20"/>
      <c r="V1501" s="20"/>
      <c r="W1501" s="20"/>
      <c r="X1501" s="20"/>
      <c r="Y1501" s="20"/>
      <c r="Z1501" s="20"/>
      <c r="AA1501" s="20"/>
    </row>
    <row r="1502" spans="1:27" ht="261" x14ac:dyDescent="0.25">
      <c r="A1502" s="16"/>
      <c r="B1502" s="20" t="b">
        <f ca="1">IFERROR(__xludf.DUMMYFUNCTION("if(D1502=iferror(filter('Character Sheet'!D$13:D3002,'Character Sheet'!D$13:D3002=D1502),""""),True,False)"),FALSE)</f>
        <v>0</v>
      </c>
      <c r="C1502" s="20">
        <v>600</v>
      </c>
      <c r="D1502" s="2" t="s">
        <v>3211</v>
      </c>
      <c r="E1502" s="2" t="s">
        <v>1052</v>
      </c>
      <c r="F1502" s="20" t="s">
        <v>61</v>
      </c>
      <c r="G1502" s="2" t="s">
        <v>3212</v>
      </c>
      <c r="H1502" s="16"/>
      <c r="I1502" s="20"/>
      <c r="J1502" s="20"/>
      <c r="K1502" s="20"/>
      <c r="L1502" s="20"/>
      <c r="M1502" s="20"/>
      <c r="N1502" s="20"/>
      <c r="O1502" s="20"/>
      <c r="P1502" s="20"/>
      <c r="Q1502" s="20"/>
      <c r="R1502" s="20"/>
      <c r="S1502" s="20"/>
      <c r="T1502" s="20"/>
      <c r="U1502" s="20"/>
      <c r="V1502" s="20"/>
      <c r="W1502" s="20"/>
      <c r="X1502" s="20"/>
      <c r="Y1502" s="20"/>
      <c r="Z1502" s="20"/>
      <c r="AA1502" s="20"/>
    </row>
    <row r="1503" spans="1:27" ht="156.6" x14ac:dyDescent="0.25">
      <c r="A1503" s="16"/>
      <c r="B1503" s="20" t="b">
        <f ca="1">IFERROR(__xludf.DUMMYFUNCTION("if(D1503=iferror(filter('Character Sheet'!D$13:D3002,'Character Sheet'!D$13:D3002=D1503),""""),True,False)"),FALSE)</f>
        <v>0</v>
      </c>
      <c r="C1503" s="20">
        <v>700</v>
      </c>
      <c r="D1503" s="2" t="s">
        <v>3213</v>
      </c>
      <c r="E1503" s="2" t="s">
        <v>87</v>
      </c>
      <c r="F1503" s="20" t="s">
        <v>61</v>
      </c>
      <c r="G1503" s="2" t="s">
        <v>3214</v>
      </c>
      <c r="H1503" s="16"/>
      <c r="I1503" s="20"/>
      <c r="J1503" s="20"/>
      <c r="K1503" s="20"/>
      <c r="L1503" s="20"/>
      <c r="M1503" s="20"/>
      <c r="N1503" s="20"/>
      <c r="O1503" s="20"/>
      <c r="P1503" s="20"/>
      <c r="Q1503" s="20"/>
      <c r="R1503" s="20"/>
      <c r="S1503" s="20"/>
      <c r="T1503" s="20"/>
      <c r="U1503" s="20"/>
      <c r="V1503" s="20"/>
      <c r="W1503" s="20"/>
      <c r="X1503" s="20"/>
      <c r="Y1503" s="20"/>
      <c r="Z1503" s="20"/>
      <c r="AA1503" s="20"/>
    </row>
    <row r="1504" spans="1:27" ht="156.6" x14ac:dyDescent="0.25">
      <c r="A1504" s="16"/>
      <c r="B1504" s="20" t="b">
        <f ca="1">IFERROR(__xludf.DUMMYFUNCTION("if(D1504=iferror(filter('Character Sheet'!D$13:D3002,'Character Sheet'!D$13:D3002=D1504),""""),True,False)"),FALSE)</f>
        <v>0</v>
      </c>
      <c r="C1504" s="20">
        <v>700</v>
      </c>
      <c r="D1504" s="2" t="s">
        <v>3215</v>
      </c>
      <c r="E1504" s="2" t="s">
        <v>970</v>
      </c>
      <c r="F1504" s="20" t="s">
        <v>61</v>
      </c>
      <c r="G1504" s="2" t="s">
        <v>3216</v>
      </c>
      <c r="H1504" s="16"/>
      <c r="I1504" s="20"/>
      <c r="J1504" s="20"/>
      <c r="K1504" s="20"/>
      <c r="L1504" s="20"/>
      <c r="M1504" s="20"/>
      <c r="N1504" s="20"/>
      <c r="O1504" s="20"/>
      <c r="P1504" s="20"/>
      <c r="Q1504" s="20"/>
      <c r="R1504" s="20"/>
      <c r="S1504" s="20"/>
      <c r="T1504" s="20"/>
      <c r="U1504" s="20"/>
      <c r="V1504" s="20"/>
      <c r="W1504" s="20"/>
      <c r="X1504" s="20"/>
      <c r="Y1504" s="20"/>
      <c r="Z1504" s="20"/>
      <c r="AA1504" s="20"/>
    </row>
    <row r="1505" spans="1:27" ht="156.6" x14ac:dyDescent="0.25">
      <c r="A1505" s="16"/>
      <c r="B1505" s="20" t="b">
        <f ca="1">IFERROR(__xludf.DUMMYFUNCTION("if(D1505=iferror(filter('Character Sheet'!D$13:D3002,'Character Sheet'!D$13:D3002=D1505),""""),True,False)"),FALSE)</f>
        <v>0</v>
      </c>
      <c r="C1505" s="20">
        <v>700</v>
      </c>
      <c r="D1505" s="2" t="s">
        <v>3217</v>
      </c>
      <c r="E1505" s="2" t="s">
        <v>845</v>
      </c>
      <c r="F1505" s="20" t="s">
        <v>61</v>
      </c>
      <c r="G1505" s="2" t="s">
        <v>3218</v>
      </c>
      <c r="H1505" s="16"/>
      <c r="I1505" s="20"/>
      <c r="J1505" s="20"/>
      <c r="K1505" s="20"/>
      <c r="L1505" s="20"/>
      <c r="M1505" s="20"/>
      <c r="N1505" s="20"/>
      <c r="O1505" s="20"/>
      <c r="P1505" s="20"/>
      <c r="Q1505" s="20"/>
      <c r="R1505" s="20"/>
      <c r="S1505" s="20"/>
      <c r="T1505" s="20"/>
      <c r="U1505" s="20"/>
      <c r="V1505" s="20"/>
      <c r="W1505" s="20"/>
      <c r="X1505" s="20"/>
      <c r="Y1505" s="20"/>
      <c r="Z1505" s="20"/>
      <c r="AA1505" s="20"/>
    </row>
    <row r="1506" spans="1:27" ht="104.4" x14ac:dyDescent="0.25">
      <c r="A1506" s="16"/>
      <c r="B1506" s="20" t="b">
        <f ca="1">IFERROR(__xludf.DUMMYFUNCTION("if(D1506=iferror(filter('Character Sheet'!D$13:D3002,'Character Sheet'!D$13:D3002=D1506),""""),True,False)"),FALSE)</f>
        <v>0</v>
      </c>
      <c r="C1506" s="20">
        <v>0</v>
      </c>
      <c r="D1506" s="2" t="s">
        <v>3219</v>
      </c>
      <c r="E1506" s="2" t="s">
        <v>131</v>
      </c>
      <c r="F1506" s="20" t="s">
        <v>62</v>
      </c>
      <c r="G1506" s="2" t="s">
        <v>3220</v>
      </c>
      <c r="H1506" s="16"/>
      <c r="I1506" s="20"/>
      <c r="J1506" s="20"/>
      <c r="K1506" s="20"/>
      <c r="L1506" s="20"/>
      <c r="M1506" s="20"/>
      <c r="N1506" s="20"/>
      <c r="O1506" s="20"/>
      <c r="P1506" s="20"/>
      <c r="Q1506" s="20"/>
      <c r="R1506" s="20"/>
      <c r="S1506" s="20"/>
      <c r="T1506" s="20"/>
      <c r="U1506" s="20"/>
      <c r="V1506" s="20"/>
      <c r="W1506" s="20"/>
      <c r="X1506" s="20"/>
      <c r="Y1506" s="20"/>
      <c r="Z1506" s="20"/>
      <c r="AA1506" s="20"/>
    </row>
    <row r="1507" spans="1:27" ht="104.4" x14ac:dyDescent="0.25">
      <c r="A1507" s="16"/>
      <c r="B1507" s="20" t="b">
        <f ca="1">IFERROR(__xludf.DUMMYFUNCTION("if(D1507=iferror(filter('Character Sheet'!D$13:D3002,'Character Sheet'!D$13:D3002=D1507),""""),True,False)"),FALSE)</f>
        <v>0</v>
      </c>
      <c r="C1507" s="20">
        <v>0</v>
      </c>
      <c r="D1507" s="2" t="s">
        <v>3221</v>
      </c>
      <c r="E1507" s="2" t="s">
        <v>328</v>
      </c>
      <c r="F1507" s="20" t="s">
        <v>62</v>
      </c>
      <c r="G1507" s="2" t="s">
        <v>3222</v>
      </c>
      <c r="H1507" s="16"/>
      <c r="I1507" s="20"/>
      <c r="J1507" s="20"/>
      <c r="K1507" s="20"/>
      <c r="L1507" s="20"/>
      <c r="M1507" s="20"/>
      <c r="N1507" s="20"/>
      <c r="O1507" s="20"/>
      <c r="P1507" s="20"/>
      <c r="Q1507" s="20"/>
      <c r="R1507" s="20"/>
      <c r="S1507" s="20"/>
      <c r="T1507" s="20"/>
      <c r="U1507" s="20"/>
      <c r="V1507" s="20"/>
      <c r="W1507" s="20"/>
      <c r="X1507" s="20"/>
      <c r="Y1507" s="20"/>
      <c r="Z1507" s="20"/>
      <c r="AA1507" s="20"/>
    </row>
    <row r="1508" spans="1:27" ht="69.599999999999994" x14ac:dyDescent="0.25">
      <c r="A1508" s="16"/>
      <c r="B1508" s="20" t="b">
        <f ca="1">IFERROR(__xludf.DUMMYFUNCTION("if(D1508=iferror(filter('Character Sheet'!D$13:D3002,'Character Sheet'!D$13:D3002=D1508),""""),True,False)"),FALSE)</f>
        <v>0</v>
      </c>
      <c r="C1508" s="20">
        <v>50</v>
      </c>
      <c r="D1508" s="2" t="s">
        <v>3223</v>
      </c>
      <c r="E1508" s="2" t="s">
        <v>277</v>
      </c>
      <c r="F1508" s="20" t="s">
        <v>62</v>
      </c>
      <c r="G1508" s="2" t="s">
        <v>3224</v>
      </c>
      <c r="H1508" s="16"/>
      <c r="I1508" s="20"/>
      <c r="J1508" s="20"/>
      <c r="K1508" s="20"/>
      <c r="L1508" s="20"/>
      <c r="M1508" s="20"/>
      <c r="N1508" s="20"/>
      <c r="O1508" s="20"/>
      <c r="P1508" s="20"/>
      <c r="Q1508" s="20"/>
      <c r="R1508" s="20"/>
      <c r="S1508" s="20"/>
      <c r="T1508" s="20"/>
      <c r="U1508" s="20"/>
      <c r="V1508" s="20"/>
      <c r="W1508" s="20"/>
      <c r="X1508" s="20"/>
      <c r="Y1508" s="20"/>
      <c r="Z1508" s="20"/>
      <c r="AA1508" s="20"/>
    </row>
    <row r="1509" spans="1:27" ht="121.8" x14ac:dyDescent="0.25">
      <c r="A1509" s="16"/>
      <c r="B1509" s="20" t="b">
        <f ca="1">IFERROR(__xludf.DUMMYFUNCTION("if(D1509=iferror(filter('Character Sheet'!D$13:D3002,'Character Sheet'!D$13:D3002=D1509),""""),True,False)"),FALSE)</f>
        <v>0</v>
      </c>
      <c r="C1509" s="20">
        <v>50</v>
      </c>
      <c r="D1509" s="2" t="s">
        <v>3225</v>
      </c>
      <c r="E1509" s="2" t="s">
        <v>220</v>
      </c>
      <c r="F1509" s="20" t="s">
        <v>62</v>
      </c>
      <c r="G1509" s="2" t="s">
        <v>3226</v>
      </c>
      <c r="H1509" s="16"/>
      <c r="I1509" s="20"/>
      <c r="J1509" s="20"/>
      <c r="K1509" s="20"/>
      <c r="L1509" s="20"/>
      <c r="M1509" s="20"/>
      <c r="N1509" s="20"/>
      <c r="O1509" s="20"/>
      <c r="P1509" s="20"/>
      <c r="Q1509" s="20"/>
      <c r="R1509" s="20"/>
      <c r="S1509" s="20"/>
      <c r="T1509" s="20"/>
      <c r="U1509" s="20"/>
      <c r="V1509" s="20"/>
      <c r="W1509" s="20"/>
      <c r="X1509" s="20"/>
      <c r="Y1509" s="20"/>
      <c r="Z1509" s="20"/>
      <c r="AA1509" s="20"/>
    </row>
    <row r="1510" spans="1:27" ht="121.8" x14ac:dyDescent="0.25">
      <c r="A1510" s="16"/>
      <c r="B1510" s="20" t="b">
        <f ca="1">IFERROR(__xludf.DUMMYFUNCTION("if(D1510=iferror(filter('Character Sheet'!D$13:D3002,'Character Sheet'!D$13:D3002=D1510),""""),True,False)"),FALSE)</f>
        <v>0</v>
      </c>
      <c r="C1510" s="20">
        <v>50</v>
      </c>
      <c r="D1510" s="2" t="s">
        <v>3227</v>
      </c>
      <c r="E1510" s="2" t="s">
        <v>331</v>
      </c>
      <c r="F1510" s="20" t="s">
        <v>62</v>
      </c>
      <c r="G1510" s="2" t="s">
        <v>3228</v>
      </c>
      <c r="H1510" s="16"/>
      <c r="I1510" s="20"/>
      <c r="J1510" s="20"/>
      <c r="K1510" s="20"/>
      <c r="L1510" s="20"/>
      <c r="M1510" s="20"/>
      <c r="N1510" s="20"/>
      <c r="O1510" s="20"/>
      <c r="P1510" s="20"/>
      <c r="Q1510" s="20"/>
      <c r="R1510" s="20"/>
      <c r="S1510" s="20"/>
      <c r="T1510" s="20"/>
      <c r="U1510" s="20"/>
      <c r="V1510" s="20"/>
      <c r="W1510" s="20"/>
      <c r="X1510" s="20"/>
      <c r="Y1510" s="20"/>
      <c r="Z1510" s="20"/>
      <c r="AA1510" s="20"/>
    </row>
    <row r="1511" spans="1:27" ht="69.599999999999994" x14ac:dyDescent="0.25">
      <c r="A1511" s="16"/>
      <c r="B1511" s="20" t="b">
        <f ca="1">IFERROR(__xludf.DUMMYFUNCTION("if(D1511=iferror(filter('Character Sheet'!D$13:D3002,'Character Sheet'!D$13:D3002=D1511),""""),True,False)"),FALSE)</f>
        <v>0</v>
      </c>
      <c r="C1511" s="20">
        <v>50</v>
      </c>
      <c r="D1511" s="2" t="s">
        <v>3229</v>
      </c>
      <c r="E1511" s="2" t="s">
        <v>1206</v>
      </c>
      <c r="F1511" s="20" t="s">
        <v>62</v>
      </c>
      <c r="G1511" s="2" t="s">
        <v>3230</v>
      </c>
      <c r="H1511" s="16"/>
      <c r="I1511" s="20"/>
      <c r="J1511" s="20"/>
      <c r="K1511" s="20"/>
      <c r="L1511" s="20"/>
      <c r="M1511" s="20"/>
      <c r="N1511" s="20"/>
      <c r="O1511" s="20"/>
      <c r="P1511" s="20"/>
      <c r="Q1511" s="20"/>
      <c r="R1511" s="20"/>
      <c r="S1511" s="20"/>
      <c r="T1511" s="20"/>
      <c r="U1511" s="20"/>
      <c r="V1511" s="20"/>
      <c r="W1511" s="20"/>
      <c r="X1511" s="20"/>
      <c r="Y1511" s="20"/>
      <c r="Z1511" s="20"/>
      <c r="AA1511" s="20"/>
    </row>
    <row r="1512" spans="1:27" ht="69.599999999999994" x14ac:dyDescent="0.25">
      <c r="A1512" s="16"/>
      <c r="B1512" s="20" t="b">
        <f ca="1">IFERROR(__xludf.DUMMYFUNCTION("if(D1512=iferror(filter('Character Sheet'!D$13:D3002,'Character Sheet'!D$13:D3002=D1512),""""),True,False)"),FALSE)</f>
        <v>0</v>
      </c>
      <c r="C1512" s="20">
        <v>100</v>
      </c>
      <c r="D1512" s="2" t="s">
        <v>3231</v>
      </c>
      <c r="E1512" s="2" t="s">
        <v>344</v>
      </c>
      <c r="F1512" s="20" t="s">
        <v>62</v>
      </c>
      <c r="G1512" s="2" t="s">
        <v>3232</v>
      </c>
      <c r="H1512" s="16"/>
      <c r="I1512" s="20"/>
      <c r="J1512" s="20"/>
      <c r="K1512" s="20"/>
      <c r="L1512" s="20"/>
      <c r="M1512" s="20"/>
      <c r="N1512" s="20"/>
      <c r="O1512" s="20"/>
      <c r="P1512" s="20"/>
      <c r="Q1512" s="20"/>
      <c r="R1512" s="20"/>
      <c r="S1512" s="20"/>
      <c r="T1512" s="20"/>
      <c r="U1512" s="20"/>
      <c r="V1512" s="20"/>
      <c r="W1512" s="20"/>
      <c r="X1512" s="20"/>
      <c r="Y1512" s="20"/>
      <c r="Z1512" s="20"/>
      <c r="AA1512" s="20"/>
    </row>
    <row r="1513" spans="1:27" ht="156.6" x14ac:dyDescent="0.25">
      <c r="A1513" s="16"/>
      <c r="B1513" s="20" t="b">
        <f ca="1">IFERROR(__xludf.DUMMYFUNCTION("if(D1513=iferror(filter('Character Sheet'!D$13:D3002,'Character Sheet'!D$13:D3002=D1513),""""),True,False)"),FALSE)</f>
        <v>0</v>
      </c>
      <c r="C1513" s="20">
        <v>100</v>
      </c>
      <c r="D1513" s="2" t="s">
        <v>3233</v>
      </c>
      <c r="E1513" s="2" t="s">
        <v>306</v>
      </c>
      <c r="F1513" s="20" t="s">
        <v>62</v>
      </c>
      <c r="G1513" s="2" t="s">
        <v>3234</v>
      </c>
      <c r="H1513" s="16"/>
      <c r="I1513" s="20"/>
      <c r="J1513" s="20"/>
      <c r="K1513" s="20"/>
      <c r="L1513" s="20"/>
      <c r="M1513" s="20"/>
      <c r="N1513" s="20"/>
      <c r="O1513" s="20"/>
      <c r="P1513" s="20"/>
      <c r="Q1513" s="20"/>
      <c r="R1513" s="20"/>
      <c r="S1513" s="20"/>
      <c r="T1513" s="20"/>
      <c r="U1513" s="20"/>
      <c r="V1513" s="20"/>
      <c r="W1513" s="20"/>
      <c r="X1513" s="20"/>
      <c r="Y1513" s="20"/>
      <c r="Z1513" s="20"/>
      <c r="AA1513" s="20"/>
    </row>
    <row r="1514" spans="1:27" ht="87" x14ac:dyDescent="0.25">
      <c r="A1514" s="16"/>
      <c r="B1514" s="20" t="b">
        <f ca="1">IFERROR(__xludf.DUMMYFUNCTION("if(D1514=iferror(filter('Character Sheet'!D$13:D3002,'Character Sheet'!D$13:D3002=D1514),""""),True,False)"),FALSE)</f>
        <v>0</v>
      </c>
      <c r="C1514" s="20">
        <v>100</v>
      </c>
      <c r="D1514" s="2" t="s">
        <v>3235</v>
      </c>
      <c r="E1514" s="2" t="s">
        <v>238</v>
      </c>
      <c r="F1514" s="20" t="s">
        <v>62</v>
      </c>
      <c r="G1514" s="2" t="s">
        <v>3236</v>
      </c>
      <c r="H1514" s="16"/>
      <c r="I1514" s="20"/>
      <c r="J1514" s="20"/>
      <c r="K1514" s="20"/>
      <c r="L1514" s="20"/>
      <c r="M1514" s="20"/>
      <c r="N1514" s="20"/>
      <c r="O1514" s="20"/>
      <c r="P1514" s="20"/>
      <c r="Q1514" s="20"/>
      <c r="R1514" s="20"/>
      <c r="S1514" s="20"/>
      <c r="T1514" s="20"/>
      <c r="U1514" s="20"/>
      <c r="V1514" s="20"/>
      <c r="W1514" s="20"/>
      <c r="X1514" s="20"/>
      <c r="Y1514" s="20"/>
      <c r="Z1514" s="20"/>
      <c r="AA1514" s="20"/>
    </row>
    <row r="1515" spans="1:27" ht="69.599999999999994" x14ac:dyDescent="0.25">
      <c r="A1515" s="16"/>
      <c r="B1515" s="20" t="b">
        <f ca="1">IFERROR(__xludf.DUMMYFUNCTION("if(D1515=iferror(filter('Character Sheet'!D$13:D3002,'Character Sheet'!D$13:D3002=D1515),""""),True,False)"),FALSE)</f>
        <v>0</v>
      </c>
      <c r="C1515" s="20">
        <v>100</v>
      </c>
      <c r="D1515" s="2" t="s">
        <v>3237</v>
      </c>
      <c r="E1515" s="2" t="s">
        <v>845</v>
      </c>
      <c r="F1515" s="20" t="s">
        <v>62</v>
      </c>
      <c r="G1515" s="2" t="s">
        <v>3238</v>
      </c>
      <c r="H1515" s="16"/>
      <c r="I1515" s="20"/>
      <c r="J1515" s="20"/>
      <c r="K1515" s="20"/>
      <c r="L1515" s="20"/>
      <c r="M1515" s="20"/>
      <c r="N1515" s="20"/>
      <c r="O1515" s="20"/>
      <c r="P1515" s="20"/>
      <c r="Q1515" s="20"/>
      <c r="R1515" s="20"/>
      <c r="S1515" s="20"/>
      <c r="T1515" s="20"/>
      <c r="U1515" s="20"/>
      <c r="V1515" s="20"/>
      <c r="W1515" s="20"/>
      <c r="X1515" s="20"/>
      <c r="Y1515" s="20"/>
      <c r="Z1515" s="20"/>
      <c r="AA1515" s="20"/>
    </row>
    <row r="1516" spans="1:27" ht="69.599999999999994" x14ac:dyDescent="0.25">
      <c r="A1516" s="16"/>
      <c r="B1516" s="20" t="b">
        <f ca="1">IFERROR(__xludf.DUMMYFUNCTION("if(D1516=iferror(filter('Character Sheet'!D$13:D3002,'Character Sheet'!D$13:D3002=D1516),""""),True,False)"),FALSE)</f>
        <v>0</v>
      </c>
      <c r="C1516" s="20">
        <v>100</v>
      </c>
      <c r="D1516" s="2" t="s">
        <v>3239</v>
      </c>
      <c r="E1516" s="2" t="s">
        <v>521</v>
      </c>
      <c r="F1516" s="20" t="s">
        <v>62</v>
      </c>
      <c r="G1516" s="2" t="s">
        <v>3240</v>
      </c>
      <c r="H1516" s="16"/>
      <c r="I1516" s="20"/>
      <c r="J1516" s="20"/>
      <c r="K1516" s="20"/>
      <c r="L1516" s="20"/>
      <c r="M1516" s="20"/>
      <c r="N1516" s="20"/>
      <c r="O1516" s="20"/>
      <c r="P1516" s="20"/>
      <c r="Q1516" s="20"/>
      <c r="R1516" s="20"/>
      <c r="S1516" s="20"/>
      <c r="T1516" s="20"/>
      <c r="U1516" s="20"/>
      <c r="V1516" s="20"/>
      <c r="W1516" s="20"/>
      <c r="X1516" s="20"/>
      <c r="Y1516" s="20"/>
      <c r="Z1516" s="20"/>
      <c r="AA1516" s="20"/>
    </row>
    <row r="1517" spans="1:27" ht="139.19999999999999" x14ac:dyDescent="0.25">
      <c r="A1517" s="16"/>
      <c r="B1517" s="20" t="b">
        <f ca="1">IFERROR(__xludf.DUMMYFUNCTION("if(D1517=iferror(filter('Character Sheet'!D$13:D3002,'Character Sheet'!D$13:D3002=D1517),""""),True,False)"),FALSE)</f>
        <v>0</v>
      </c>
      <c r="C1517" s="20">
        <v>100</v>
      </c>
      <c r="D1517" s="2" t="s">
        <v>3241</v>
      </c>
      <c r="E1517" s="2" t="s">
        <v>863</v>
      </c>
      <c r="F1517" s="20" t="s">
        <v>62</v>
      </c>
      <c r="G1517" s="2" t="s">
        <v>3242</v>
      </c>
      <c r="H1517" s="16"/>
      <c r="I1517" s="20"/>
      <c r="J1517" s="20"/>
      <c r="K1517" s="20"/>
      <c r="L1517" s="20"/>
      <c r="M1517" s="20"/>
      <c r="N1517" s="20"/>
      <c r="O1517" s="20"/>
      <c r="P1517" s="20"/>
      <c r="Q1517" s="20"/>
      <c r="R1517" s="20"/>
      <c r="S1517" s="20"/>
      <c r="T1517" s="20"/>
      <c r="U1517" s="20"/>
      <c r="V1517" s="20"/>
      <c r="W1517" s="20"/>
      <c r="X1517" s="20"/>
      <c r="Y1517" s="20"/>
      <c r="Z1517" s="20"/>
      <c r="AA1517" s="20"/>
    </row>
    <row r="1518" spans="1:27" ht="104.4" x14ac:dyDescent="0.25">
      <c r="A1518" s="16"/>
      <c r="B1518" s="20" t="b">
        <f ca="1">IFERROR(__xludf.DUMMYFUNCTION("if(D1518=iferror(filter('Character Sheet'!D$13:D3002,'Character Sheet'!D$13:D3002=D1518),""""),True,False)"),FALSE)</f>
        <v>0</v>
      </c>
      <c r="C1518" s="20">
        <v>100</v>
      </c>
      <c r="D1518" s="2" t="s">
        <v>3243</v>
      </c>
      <c r="E1518" s="2" t="s">
        <v>3244</v>
      </c>
      <c r="F1518" s="20" t="s">
        <v>62</v>
      </c>
      <c r="G1518" s="2" t="s">
        <v>3245</v>
      </c>
      <c r="H1518" s="16"/>
      <c r="I1518" s="20"/>
      <c r="J1518" s="20"/>
      <c r="K1518" s="20"/>
      <c r="L1518" s="20"/>
      <c r="M1518" s="20"/>
      <c r="N1518" s="20"/>
      <c r="O1518" s="20"/>
      <c r="P1518" s="20"/>
      <c r="Q1518" s="20"/>
      <c r="R1518" s="20"/>
      <c r="S1518" s="20"/>
      <c r="T1518" s="20"/>
      <c r="U1518" s="20"/>
      <c r="V1518" s="20"/>
      <c r="W1518" s="20"/>
      <c r="X1518" s="20"/>
      <c r="Y1518" s="20"/>
      <c r="Z1518" s="20"/>
      <c r="AA1518" s="20"/>
    </row>
    <row r="1519" spans="1:27" ht="139.19999999999999" x14ac:dyDescent="0.25">
      <c r="A1519" s="16"/>
      <c r="B1519" s="20" t="b">
        <f ca="1">IFERROR(__xludf.DUMMYFUNCTION("if(D1519=iferror(filter('Character Sheet'!D$13:D3002,'Character Sheet'!D$13:D3002=D1519),""""),True,False)"),FALSE)</f>
        <v>0</v>
      </c>
      <c r="C1519" s="20">
        <v>100</v>
      </c>
      <c r="D1519" s="2" t="s">
        <v>3246</v>
      </c>
      <c r="E1519" s="2" t="s">
        <v>87</v>
      </c>
      <c r="F1519" s="20" t="s">
        <v>62</v>
      </c>
      <c r="G1519" s="2" t="s">
        <v>3247</v>
      </c>
      <c r="H1519" s="16"/>
      <c r="I1519" s="20"/>
      <c r="J1519" s="20"/>
      <c r="K1519" s="20"/>
      <c r="L1519" s="20"/>
      <c r="M1519" s="20"/>
      <c r="N1519" s="20"/>
      <c r="O1519" s="20"/>
      <c r="P1519" s="20"/>
      <c r="Q1519" s="20"/>
      <c r="R1519" s="20"/>
      <c r="S1519" s="20"/>
      <c r="T1519" s="20"/>
      <c r="U1519" s="20"/>
      <c r="V1519" s="20"/>
      <c r="W1519" s="20"/>
      <c r="X1519" s="20"/>
      <c r="Y1519" s="20"/>
      <c r="Z1519" s="20"/>
      <c r="AA1519" s="20"/>
    </row>
    <row r="1520" spans="1:27" ht="156.6" x14ac:dyDescent="0.25">
      <c r="A1520" s="16"/>
      <c r="B1520" s="20" t="b">
        <f ca="1">IFERROR(__xludf.DUMMYFUNCTION("if(D1520=iferror(filter('Character Sheet'!D$13:D3002,'Character Sheet'!D$13:D3002=D1520),""""),True,False)"),FALSE)</f>
        <v>0</v>
      </c>
      <c r="C1520" s="20">
        <v>100</v>
      </c>
      <c r="D1520" s="2" t="s">
        <v>3248</v>
      </c>
      <c r="E1520" s="2" t="s">
        <v>731</v>
      </c>
      <c r="F1520" s="20" t="s">
        <v>62</v>
      </c>
      <c r="G1520" s="2" t="s">
        <v>3249</v>
      </c>
      <c r="H1520" s="16"/>
      <c r="I1520" s="20"/>
      <c r="J1520" s="20"/>
      <c r="K1520" s="20"/>
      <c r="L1520" s="20"/>
      <c r="M1520" s="20"/>
      <c r="N1520" s="20"/>
      <c r="O1520" s="20"/>
      <c r="P1520" s="20"/>
      <c r="Q1520" s="20"/>
      <c r="R1520" s="20"/>
      <c r="S1520" s="20"/>
      <c r="T1520" s="20"/>
      <c r="U1520" s="20"/>
      <c r="V1520" s="20"/>
      <c r="W1520" s="20"/>
      <c r="X1520" s="20"/>
      <c r="Y1520" s="20"/>
      <c r="Z1520" s="20"/>
      <c r="AA1520" s="20"/>
    </row>
    <row r="1521" spans="1:27" ht="69.599999999999994" x14ac:dyDescent="0.25">
      <c r="A1521" s="16"/>
      <c r="B1521" s="20" t="b">
        <f ca="1">IFERROR(__xludf.DUMMYFUNCTION("if(D1521=iferror(filter('Character Sheet'!D$13:D3002,'Character Sheet'!D$13:D3002=D1521),""""),True,False)"),FALSE)</f>
        <v>0</v>
      </c>
      <c r="C1521" s="20">
        <v>100</v>
      </c>
      <c r="D1521" s="2" t="s">
        <v>3250</v>
      </c>
      <c r="E1521" s="2" t="s">
        <v>328</v>
      </c>
      <c r="F1521" s="20" t="s">
        <v>62</v>
      </c>
      <c r="G1521" s="2" t="s">
        <v>3251</v>
      </c>
      <c r="H1521" s="16"/>
      <c r="I1521" s="20"/>
      <c r="J1521" s="20"/>
      <c r="K1521" s="20"/>
      <c r="L1521" s="20"/>
      <c r="M1521" s="20"/>
      <c r="N1521" s="20"/>
      <c r="O1521" s="20"/>
      <c r="P1521" s="20"/>
      <c r="Q1521" s="20"/>
      <c r="R1521" s="20"/>
      <c r="S1521" s="20"/>
      <c r="T1521" s="20"/>
      <c r="U1521" s="20"/>
      <c r="V1521" s="20"/>
      <c r="W1521" s="20"/>
      <c r="X1521" s="20"/>
      <c r="Y1521" s="20"/>
      <c r="Z1521" s="20"/>
      <c r="AA1521" s="20"/>
    </row>
    <row r="1522" spans="1:27" ht="87" x14ac:dyDescent="0.25">
      <c r="A1522" s="16"/>
      <c r="B1522" s="20" t="b">
        <f ca="1">IFERROR(__xludf.DUMMYFUNCTION("if(D1522=iferror(filter('Character Sheet'!D$13:D3002,'Character Sheet'!D$13:D3002=D1522),""""),True,False)"),FALSE)</f>
        <v>0</v>
      </c>
      <c r="C1522" s="20">
        <v>100</v>
      </c>
      <c r="D1522" s="2" t="s">
        <v>3252</v>
      </c>
      <c r="E1522" s="2" t="s">
        <v>168</v>
      </c>
      <c r="F1522" s="20" t="s">
        <v>62</v>
      </c>
      <c r="G1522" s="2" t="s">
        <v>3253</v>
      </c>
      <c r="H1522" s="16"/>
      <c r="I1522" s="20"/>
      <c r="J1522" s="20"/>
      <c r="K1522" s="20"/>
      <c r="L1522" s="20"/>
      <c r="M1522" s="20"/>
      <c r="N1522" s="20"/>
      <c r="O1522" s="20"/>
      <c r="P1522" s="20"/>
      <c r="Q1522" s="20"/>
      <c r="R1522" s="20"/>
      <c r="S1522" s="20"/>
      <c r="T1522" s="20"/>
      <c r="U1522" s="20"/>
      <c r="V1522" s="20"/>
      <c r="W1522" s="20"/>
      <c r="X1522" s="20"/>
      <c r="Y1522" s="20"/>
      <c r="Z1522" s="20"/>
      <c r="AA1522" s="20"/>
    </row>
    <row r="1523" spans="1:27" ht="104.4" x14ac:dyDescent="0.25">
      <c r="A1523" s="16"/>
      <c r="B1523" s="20" t="b">
        <f ca="1">IFERROR(__xludf.DUMMYFUNCTION("if(D1523=iferror(filter('Character Sheet'!D$13:D3002,'Character Sheet'!D$13:D3002=D1523),""""),True,False)"),FALSE)</f>
        <v>0</v>
      </c>
      <c r="C1523" s="20">
        <v>100</v>
      </c>
      <c r="D1523" s="2" t="s">
        <v>3254</v>
      </c>
      <c r="E1523" s="2" t="s">
        <v>478</v>
      </c>
      <c r="F1523" s="20" t="s">
        <v>62</v>
      </c>
      <c r="G1523" s="2" t="s">
        <v>3255</v>
      </c>
      <c r="H1523" s="16"/>
      <c r="I1523" s="20"/>
      <c r="J1523" s="20"/>
      <c r="K1523" s="20"/>
      <c r="L1523" s="20"/>
      <c r="M1523" s="20"/>
      <c r="N1523" s="20"/>
      <c r="O1523" s="20"/>
      <c r="P1523" s="20"/>
      <c r="Q1523" s="20"/>
      <c r="R1523" s="20"/>
      <c r="S1523" s="20"/>
      <c r="T1523" s="20"/>
      <c r="U1523" s="20"/>
      <c r="V1523" s="20"/>
      <c r="W1523" s="20"/>
      <c r="X1523" s="20"/>
      <c r="Y1523" s="20"/>
      <c r="Z1523" s="20"/>
      <c r="AA1523" s="20"/>
    </row>
    <row r="1524" spans="1:27" ht="69.599999999999994" x14ac:dyDescent="0.25">
      <c r="A1524" s="16"/>
      <c r="B1524" s="20" t="b">
        <f ca="1">IFERROR(__xludf.DUMMYFUNCTION("if(D1524=iferror(filter('Character Sheet'!D$13:D3002,'Character Sheet'!D$13:D3002=D1524),""""),True,False)"),FALSE)</f>
        <v>0</v>
      </c>
      <c r="C1524" s="20">
        <v>100</v>
      </c>
      <c r="D1524" s="2" t="s">
        <v>3256</v>
      </c>
      <c r="E1524" s="2" t="s">
        <v>328</v>
      </c>
      <c r="F1524" s="20" t="s">
        <v>62</v>
      </c>
      <c r="G1524" s="2" t="s">
        <v>3257</v>
      </c>
      <c r="H1524" s="16"/>
      <c r="I1524" s="20"/>
      <c r="J1524" s="20"/>
      <c r="K1524" s="20"/>
      <c r="L1524" s="20"/>
      <c r="M1524" s="20"/>
      <c r="N1524" s="20"/>
      <c r="O1524" s="20"/>
      <c r="P1524" s="20"/>
      <c r="Q1524" s="20"/>
      <c r="R1524" s="20"/>
      <c r="S1524" s="20"/>
      <c r="T1524" s="20"/>
      <c r="U1524" s="20"/>
      <c r="V1524" s="20"/>
      <c r="W1524" s="20"/>
      <c r="X1524" s="20"/>
      <c r="Y1524" s="20"/>
      <c r="Z1524" s="20"/>
      <c r="AA1524" s="20"/>
    </row>
    <row r="1525" spans="1:27" ht="87" x14ac:dyDescent="0.25">
      <c r="A1525" s="16"/>
      <c r="B1525" s="20" t="b">
        <f ca="1">IFERROR(__xludf.DUMMYFUNCTION("if(D1525=iferror(filter('Character Sheet'!D$13:D3002,'Character Sheet'!D$13:D3002=D1525),""""),True,False)"),FALSE)</f>
        <v>0</v>
      </c>
      <c r="C1525" s="20">
        <v>100</v>
      </c>
      <c r="D1525" s="2" t="s">
        <v>3258</v>
      </c>
      <c r="E1525" s="2" t="s">
        <v>478</v>
      </c>
      <c r="F1525" s="20" t="s">
        <v>62</v>
      </c>
      <c r="G1525" s="2" t="s">
        <v>3259</v>
      </c>
      <c r="H1525" s="16"/>
      <c r="I1525" s="20"/>
      <c r="J1525" s="20"/>
      <c r="K1525" s="20"/>
      <c r="L1525" s="20"/>
      <c r="M1525" s="20"/>
      <c r="N1525" s="20"/>
      <c r="O1525" s="20"/>
      <c r="P1525" s="20"/>
      <c r="Q1525" s="20"/>
      <c r="R1525" s="20"/>
      <c r="S1525" s="20"/>
      <c r="T1525" s="20"/>
      <c r="U1525" s="20"/>
      <c r="V1525" s="20"/>
      <c r="W1525" s="20"/>
      <c r="X1525" s="20"/>
      <c r="Y1525" s="20"/>
      <c r="Z1525" s="20"/>
      <c r="AA1525" s="20"/>
    </row>
    <row r="1526" spans="1:27" ht="121.8" x14ac:dyDescent="0.25">
      <c r="A1526" s="16"/>
      <c r="B1526" s="20" t="b">
        <f ca="1">IFERROR(__xludf.DUMMYFUNCTION("if(D1526=iferror(filter('Character Sheet'!D$13:D3002,'Character Sheet'!D$13:D3002=D1526),""""),True,False)"),FALSE)</f>
        <v>0</v>
      </c>
      <c r="C1526" s="20">
        <v>100</v>
      </c>
      <c r="D1526" s="2" t="s">
        <v>3260</v>
      </c>
      <c r="E1526" s="2" t="s">
        <v>298</v>
      </c>
      <c r="F1526" s="20" t="s">
        <v>62</v>
      </c>
      <c r="G1526" s="2" t="s">
        <v>3261</v>
      </c>
      <c r="H1526" s="16"/>
      <c r="I1526" s="20"/>
      <c r="J1526" s="20"/>
      <c r="K1526" s="20"/>
      <c r="L1526" s="20"/>
      <c r="M1526" s="20"/>
      <c r="N1526" s="20"/>
      <c r="O1526" s="20"/>
      <c r="P1526" s="20"/>
      <c r="Q1526" s="20"/>
      <c r="R1526" s="20"/>
      <c r="S1526" s="20"/>
      <c r="T1526" s="20"/>
      <c r="U1526" s="20"/>
      <c r="V1526" s="20"/>
      <c r="W1526" s="20"/>
      <c r="X1526" s="20"/>
      <c r="Y1526" s="20"/>
      <c r="Z1526" s="20"/>
      <c r="AA1526" s="20"/>
    </row>
    <row r="1527" spans="1:27" ht="87" x14ac:dyDescent="0.25">
      <c r="A1527" s="16"/>
      <c r="B1527" s="20" t="b">
        <f ca="1">IFERROR(__xludf.DUMMYFUNCTION("if(D1527=iferror(filter('Character Sheet'!D$13:D3002,'Character Sheet'!D$13:D3002=D1527),""""),True,False)"),FALSE)</f>
        <v>0</v>
      </c>
      <c r="C1527" s="20">
        <v>100</v>
      </c>
      <c r="D1527" s="2" t="s">
        <v>3262</v>
      </c>
      <c r="E1527" s="2" t="s">
        <v>208</v>
      </c>
      <c r="F1527" s="20" t="s">
        <v>62</v>
      </c>
      <c r="G1527" s="2" t="s">
        <v>3263</v>
      </c>
      <c r="H1527" s="16"/>
      <c r="I1527" s="20"/>
      <c r="J1527" s="20"/>
      <c r="K1527" s="20"/>
      <c r="L1527" s="20"/>
      <c r="M1527" s="20"/>
      <c r="N1527" s="20"/>
      <c r="O1527" s="20"/>
      <c r="P1527" s="20"/>
      <c r="Q1527" s="20"/>
      <c r="R1527" s="20"/>
      <c r="S1527" s="20"/>
      <c r="T1527" s="20"/>
      <c r="U1527" s="20"/>
      <c r="V1527" s="20"/>
      <c r="W1527" s="20"/>
      <c r="X1527" s="20"/>
      <c r="Y1527" s="20"/>
      <c r="Z1527" s="20"/>
      <c r="AA1527" s="20"/>
    </row>
    <row r="1528" spans="1:27" ht="87" x14ac:dyDescent="0.25">
      <c r="A1528" s="16"/>
      <c r="B1528" s="20" t="b">
        <f ca="1">IFERROR(__xludf.DUMMYFUNCTION("if(D1528=iferror(filter('Character Sheet'!D$13:D3002,'Character Sheet'!D$13:D3002=D1528),""""),True,False)"),FALSE)</f>
        <v>0</v>
      </c>
      <c r="C1528" s="20">
        <v>100</v>
      </c>
      <c r="D1528" s="2" t="s">
        <v>3264</v>
      </c>
      <c r="E1528" s="2" t="s">
        <v>69</v>
      </c>
      <c r="F1528" s="20" t="s">
        <v>62</v>
      </c>
      <c r="G1528" s="2" t="s">
        <v>3265</v>
      </c>
      <c r="H1528" s="16"/>
      <c r="I1528" s="20"/>
      <c r="J1528" s="20"/>
      <c r="K1528" s="20"/>
      <c r="L1528" s="20"/>
      <c r="M1528" s="20"/>
      <c r="N1528" s="20"/>
      <c r="O1528" s="20"/>
      <c r="P1528" s="20"/>
      <c r="Q1528" s="20"/>
      <c r="R1528" s="20"/>
      <c r="S1528" s="20"/>
      <c r="T1528" s="20"/>
      <c r="U1528" s="20"/>
      <c r="V1528" s="20"/>
      <c r="W1528" s="20"/>
      <c r="X1528" s="20"/>
      <c r="Y1528" s="20"/>
      <c r="Z1528" s="20"/>
      <c r="AA1528" s="20"/>
    </row>
    <row r="1529" spans="1:27" ht="52.2" x14ac:dyDescent="0.25">
      <c r="A1529" s="16"/>
      <c r="B1529" s="20" t="b">
        <f ca="1">IFERROR(__xludf.DUMMYFUNCTION("if(D1529=iferror(filter('Character Sheet'!D$13:D3002,'Character Sheet'!D$13:D3002=D1529),""""),True,False)"),FALSE)</f>
        <v>0</v>
      </c>
      <c r="C1529" s="20">
        <v>100</v>
      </c>
      <c r="D1529" s="2" t="s">
        <v>3266</v>
      </c>
      <c r="E1529" s="2" t="s">
        <v>93</v>
      </c>
      <c r="F1529" s="20" t="s">
        <v>62</v>
      </c>
      <c r="G1529" s="2" t="s">
        <v>3267</v>
      </c>
      <c r="H1529" s="16"/>
      <c r="I1529" s="20"/>
      <c r="J1529" s="20"/>
      <c r="K1529" s="20"/>
      <c r="L1529" s="20"/>
      <c r="M1529" s="20"/>
      <c r="N1529" s="20"/>
      <c r="O1529" s="20"/>
      <c r="P1529" s="20"/>
      <c r="Q1529" s="20"/>
      <c r="R1529" s="20"/>
      <c r="S1529" s="20"/>
      <c r="T1529" s="20"/>
      <c r="U1529" s="20"/>
      <c r="V1529" s="20"/>
      <c r="W1529" s="20"/>
      <c r="X1529" s="20"/>
      <c r="Y1529" s="20"/>
      <c r="Z1529" s="20"/>
      <c r="AA1529" s="20"/>
    </row>
    <row r="1530" spans="1:27" ht="348" x14ac:dyDescent="0.25">
      <c r="A1530" s="16"/>
      <c r="B1530" s="20" t="b">
        <f ca="1">IFERROR(__xludf.DUMMYFUNCTION("if(D1530=iferror(filter('Character Sheet'!D$13:D3002,'Character Sheet'!D$13:D3002=D1530),""""),True,False)"),FALSE)</f>
        <v>0</v>
      </c>
      <c r="C1530" s="20">
        <v>100</v>
      </c>
      <c r="D1530" s="2" t="s">
        <v>3268</v>
      </c>
      <c r="E1530" s="2" t="s">
        <v>371</v>
      </c>
      <c r="F1530" s="20" t="s">
        <v>62</v>
      </c>
      <c r="G1530" s="2" t="s">
        <v>3269</v>
      </c>
      <c r="H1530" s="16"/>
      <c r="I1530" s="20"/>
      <c r="J1530" s="20"/>
      <c r="K1530" s="20"/>
      <c r="L1530" s="20"/>
      <c r="M1530" s="20"/>
      <c r="N1530" s="20"/>
      <c r="O1530" s="20"/>
      <c r="P1530" s="20"/>
      <c r="Q1530" s="20"/>
      <c r="R1530" s="20"/>
      <c r="S1530" s="20"/>
      <c r="T1530" s="20"/>
      <c r="U1530" s="20"/>
      <c r="V1530" s="20"/>
      <c r="W1530" s="20"/>
      <c r="X1530" s="20"/>
      <c r="Y1530" s="20"/>
      <c r="Z1530" s="20"/>
      <c r="AA1530" s="20"/>
    </row>
    <row r="1531" spans="1:27" ht="104.4" x14ac:dyDescent="0.25">
      <c r="A1531" s="16"/>
      <c r="B1531" s="20" t="b">
        <f ca="1">IFERROR(__xludf.DUMMYFUNCTION("if(D1531=iferror(filter('Character Sheet'!D$13:D3002,'Character Sheet'!D$13:D3002=D1531),""""),True,False)"),FALSE)</f>
        <v>0</v>
      </c>
      <c r="C1531" s="20">
        <v>100</v>
      </c>
      <c r="D1531" s="2" t="s">
        <v>3270</v>
      </c>
      <c r="E1531" s="2" t="s">
        <v>214</v>
      </c>
      <c r="F1531" s="20" t="s">
        <v>62</v>
      </c>
      <c r="G1531" s="2" t="s">
        <v>3271</v>
      </c>
      <c r="H1531" s="16"/>
      <c r="I1531" s="20"/>
      <c r="J1531" s="20"/>
      <c r="K1531" s="20"/>
      <c r="L1531" s="20"/>
      <c r="M1531" s="20"/>
      <c r="N1531" s="20"/>
      <c r="O1531" s="20"/>
      <c r="P1531" s="20"/>
      <c r="Q1531" s="20"/>
      <c r="R1531" s="20"/>
      <c r="S1531" s="20"/>
      <c r="T1531" s="20"/>
      <c r="U1531" s="20"/>
      <c r="V1531" s="20"/>
      <c r="W1531" s="20"/>
      <c r="X1531" s="20"/>
      <c r="Y1531" s="20"/>
      <c r="Z1531" s="20"/>
      <c r="AA1531" s="20"/>
    </row>
    <row r="1532" spans="1:27" ht="156.6" x14ac:dyDescent="0.25">
      <c r="A1532" s="16"/>
      <c r="B1532" s="20" t="b">
        <f ca="1">IFERROR(__xludf.DUMMYFUNCTION("if(D1532=iferror(filter('Character Sheet'!D$13:D3002,'Character Sheet'!D$13:D3002=D1532),""""),True,False)"),FALSE)</f>
        <v>0</v>
      </c>
      <c r="C1532" s="20">
        <v>100</v>
      </c>
      <c r="D1532" s="2" t="s">
        <v>3272</v>
      </c>
      <c r="E1532" s="2" t="s">
        <v>87</v>
      </c>
      <c r="F1532" s="20" t="s">
        <v>62</v>
      </c>
      <c r="G1532" s="2" t="s">
        <v>3273</v>
      </c>
      <c r="H1532" s="16"/>
      <c r="I1532" s="20"/>
      <c r="J1532" s="20"/>
      <c r="K1532" s="20"/>
      <c r="L1532" s="20"/>
      <c r="M1532" s="20"/>
      <c r="N1532" s="20"/>
      <c r="O1532" s="20"/>
      <c r="P1532" s="20"/>
      <c r="Q1532" s="20"/>
      <c r="R1532" s="20"/>
      <c r="S1532" s="20"/>
      <c r="T1532" s="20"/>
      <c r="U1532" s="20"/>
      <c r="V1532" s="20"/>
      <c r="W1532" s="20"/>
      <c r="X1532" s="20"/>
      <c r="Y1532" s="20"/>
      <c r="Z1532" s="20"/>
      <c r="AA1532" s="20"/>
    </row>
    <row r="1533" spans="1:27" ht="69.599999999999994" x14ac:dyDescent="0.25">
      <c r="A1533" s="16"/>
      <c r="B1533" s="20" t="b">
        <f ca="1">IFERROR(__xludf.DUMMYFUNCTION("if(D1533=iferror(filter('Character Sheet'!D$13:D3002,'Character Sheet'!D$13:D3002=D1533),""""),True,False)"),FALSE)</f>
        <v>0</v>
      </c>
      <c r="C1533" s="20">
        <v>100</v>
      </c>
      <c r="D1533" s="2" t="s">
        <v>3274</v>
      </c>
      <c r="E1533" s="2" t="s">
        <v>168</v>
      </c>
      <c r="F1533" s="20" t="s">
        <v>62</v>
      </c>
      <c r="G1533" s="2" t="s">
        <v>3275</v>
      </c>
      <c r="H1533" s="16"/>
      <c r="I1533" s="20"/>
      <c r="J1533" s="20"/>
      <c r="K1533" s="20"/>
      <c r="L1533" s="20"/>
      <c r="M1533" s="20"/>
      <c r="N1533" s="20"/>
      <c r="O1533" s="20"/>
      <c r="P1533" s="20"/>
      <c r="Q1533" s="20"/>
      <c r="R1533" s="20"/>
      <c r="S1533" s="20"/>
      <c r="T1533" s="20"/>
      <c r="U1533" s="20"/>
      <c r="V1533" s="20"/>
      <c r="W1533" s="20"/>
      <c r="X1533" s="20"/>
      <c r="Y1533" s="20"/>
      <c r="Z1533" s="20"/>
      <c r="AA1533" s="20"/>
    </row>
    <row r="1534" spans="1:27" ht="139.19999999999999" x14ac:dyDescent="0.25">
      <c r="A1534" s="16"/>
      <c r="B1534" s="20" t="b">
        <f ca="1">IFERROR(__xludf.DUMMYFUNCTION("if(D1534=iferror(filter('Character Sheet'!D$13:D3002,'Character Sheet'!D$13:D3002=D1534),""""),True,False)"),FALSE)</f>
        <v>0</v>
      </c>
      <c r="C1534" s="20">
        <v>100</v>
      </c>
      <c r="D1534" s="2" t="s">
        <v>3276</v>
      </c>
      <c r="E1534" s="2" t="s">
        <v>845</v>
      </c>
      <c r="F1534" s="20" t="s">
        <v>62</v>
      </c>
      <c r="G1534" s="2" t="s">
        <v>3277</v>
      </c>
      <c r="H1534" s="16"/>
      <c r="I1534" s="20"/>
      <c r="J1534" s="20"/>
      <c r="K1534" s="20"/>
      <c r="L1534" s="20"/>
      <c r="M1534" s="20"/>
      <c r="N1534" s="20"/>
      <c r="O1534" s="20"/>
      <c r="P1534" s="20"/>
      <c r="Q1534" s="20"/>
      <c r="R1534" s="20"/>
      <c r="S1534" s="20"/>
      <c r="T1534" s="20"/>
      <c r="U1534" s="20"/>
      <c r="V1534" s="20"/>
      <c r="W1534" s="20"/>
      <c r="X1534" s="20"/>
      <c r="Y1534" s="20"/>
      <c r="Z1534" s="20"/>
      <c r="AA1534" s="20"/>
    </row>
    <row r="1535" spans="1:27" ht="87" x14ac:dyDescent="0.25">
      <c r="A1535" s="16"/>
      <c r="B1535" s="20" t="b">
        <f ca="1">IFERROR(__xludf.DUMMYFUNCTION("if(D1535=iferror(filter('Character Sheet'!D$13:D3002,'Character Sheet'!D$13:D3002=D1535),""""),True,False)"),FALSE)</f>
        <v>0</v>
      </c>
      <c r="C1535" s="20">
        <v>100</v>
      </c>
      <c r="D1535" s="2" t="s">
        <v>3278</v>
      </c>
      <c r="E1535" s="2" t="s">
        <v>277</v>
      </c>
      <c r="F1535" s="20" t="s">
        <v>62</v>
      </c>
      <c r="G1535" s="2" t="s">
        <v>3279</v>
      </c>
      <c r="H1535" s="16"/>
      <c r="I1535" s="20"/>
      <c r="J1535" s="20"/>
      <c r="K1535" s="20"/>
      <c r="L1535" s="20"/>
      <c r="M1535" s="20"/>
      <c r="N1535" s="20"/>
      <c r="O1535" s="20"/>
      <c r="P1535" s="20"/>
      <c r="Q1535" s="20"/>
      <c r="R1535" s="20"/>
      <c r="S1535" s="20"/>
      <c r="T1535" s="20"/>
      <c r="U1535" s="20"/>
      <c r="V1535" s="20"/>
      <c r="W1535" s="20"/>
      <c r="X1535" s="20"/>
      <c r="Y1535" s="20"/>
      <c r="Z1535" s="20"/>
      <c r="AA1535" s="20"/>
    </row>
    <row r="1536" spans="1:27" ht="104.4" x14ac:dyDescent="0.25">
      <c r="A1536" s="16"/>
      <c r="B1536" s="20" t="b">
        <f ca="1">IFERROR(__xludf.DUMMYFUNCTION("if(D1536=iferror(filter('Character Sheet'!D$13:D3002,'Character Sheet'!D$13:D3002=D1536),""""),True,False)"),FALSE)</f>
        <v>0</v>
      </c>
      <c r="C1536" s="20">
        <v>100</v>
      </c>
      <c r="D1536" s="2" t="s">
        <v>3280</v>
      </c>
      <c r="E1536" s="2" t="s">
        <v>391</v>
      </c>
      <c r="F1536" s="20" t="s">
        <v>62</v>
      </c>
      <c r="G1536" s="2" t="s">
        <v>3281</v>
      </c>
      <c r="H1536" s="16"/>
      <c r="I1536" s="20"/>
      <c r="J1536" s="20"/>
      <c r="K1536" s="20"/>
      <c r="L1536" s="20"/>
      <c r="M1536" s="20"/>
      <c r="N1536" s="20"/>
      <c r="O1536" s="20"/>
      <c r="P1536" s="20"/>
      <c r="Q1536" s="20"/>
      <c r="R1536" s="20"/>
      <c r="S1536" s="20"/>
      <c r="T1536" s="20"/>
      <c r="U1536" s="20"/>
      <c r="V1536" s="20"/>
      <c r="W1536" s="20"/>
      <c r="X1536" s="20"/>
      <c r="Y1536" s="20"/>
      <c r="Z1536" s="20"/>
      <c r="AA1536" s="20"/>
    </row>
    <row r="1537" spans="1:27" ht="87" x14ac:dyDescent="0.25">
      <c r="A1537" s="16"/>
      <c r="B1537" s="20" t="b">
        <f ca="1">IFERROR(__xludf.DUMMYFUNCTION("if(D1537=iferror(filter('Character Sheet'!D$13:D3002,'Character Sheet'!D$13:D3002=D1537),""""),True,False)"),FALSE)</f>
        <v>0</v>
      </c>
      <c r="C1537" s="20">
        <v>100</v>
      </c>
      <c r="D1537" s="2" t="s">
        <v>3282</v>
      </c>
      <c r="E1537" s="2" t="s">
        <v>93</v>
      </c>
      <c r="F1537" s="20" t="s">
        <v>62</v>
      </c>
      <c r="G1537" s="2" t="s">
        <v>3283</v>
      </c>
      <c r="H1537" s="16"/>
      <c r="I1537" s="20"/>
      <c r="J1537" s="20"/>
      <c r="K1537" s="20"/>
      <c r="L1537" s="20"/>
      <c r="M1537" s="20"/>
      <c r="N1537" s="20"/>
      <c r="O1537" s="20"/>
      <c r="P1537" s="20"/>
      <c r="Q1537" s="20"/>
      <c r="R1537" s="20"/>
      <c r="S1537" s="20"/>
      <c r="T1537" s="20"/>
      <c r="U1537" s="20"/>
      <c r="V1537" s="20"/>
      <c r="W1537" s="20"/>
      <c r="X1537" s="20"/>
      <c r="Y1537" s="20"/>
      <c r="Z1537" s="20"/>
      <c r="AA1537" s="20"/>
    </row>
    <row r="1538" spans="1:27" ht="52.2" x14ac:dyDescent="0.25">
      <c r="A1538" s="16"/>
      <c r="B1538" s="20" t="b">
        <f ca="1">IFERROR(__xludf.DUMMYFUNCTION("if(D1538=iferror(filter('Character Sheet'!D$13:D3002,'Character Sheet'!D$13:D3002=D1538),""""),True,False)"),FALSE)</f>
        <v>0</v>
      </c>
      <c r="C1538" s="20">
        <v>100</v>
      </c>
      <c r="D1538" s="2" t="s">
        <v>3284</v>
      </c>
      <c r="E1538" s="2" t="s">
        <v>288</v>
      </c>
      <c r="F1538" s="20" t="s">
        <v>62</v>
      </c>
      <c r="G1538" s="2" t="s">
        <v>3285</v>
      </c>
      <c r="H1538" s="16"/>
      <c r="I1538" s="20"/>
      <c r="J1538" s="20"/>
      <c r="K1538" s="20"/>
      <c r="L1538" s="20"/>
      <c r="M1538" s="20"/>
      <c r="N1538" s="20"/>
      <c r="O1538" s="20"/>
      <c r="P1538" s="20"/>
      <c r="Q1538" s="20"/>
      <c r="R1538" s="20"/>
      <c r="S1538" s="20"/>
      <c r="T1538" s="20"/>
      <c r="U1538" s="20"/>
      <c r="V1538" s="20"/>
      <c r="W1538" s="20"/>
      <c r="X1538" s="20"/>
      <c r="Y1538" s="20"/>
      <c r="Z1538" s="20"/>
      <c r="AA1538" s="20"/>
    </row>
    <row r="1539" spans="1:27" ht="104.4" x14ac:dyDescent="0.25">
      <c r="A1539" s="16"/>
      <c r="B1539" s="20" t="b">
        <f ca="1">IFERROR(__xludf.DUMMYFUNCTION("if(D1539=iferror(filter('Character Sheet'!D$13:D3002,'Character Sheet'!D$13:D3002=D1539),""""),True,False)"),FALSE)</f>
        <v>0</v>
      </c>
      <c r="C1539" s="20">
        <v>100</v>
      </c>
      <c r="D1539" s="2" t="s">
        <v>3286</v>
      </c>
      <c r="E1539" s="2" t="s">
        <v>378</v>
      </c>
      <c r="F1539" s="20" t="s">
        <v>62</v>
      </c>
      <c r="G1539" s="2" t="s">
        <v>3287</v>
      </c>
      <c r="H1539" s="16"/>
      <c r="I1539" s="20"/>
      <c r="J1539" s="20"/>
      <c r="K1539" s="20"/>
      <c r="L1539" s="20"/>
      <c r="M1539" s="20"/>
      <c r="N1539" s="20"/>
      <c r="O1539" s="20"/>
      <c r="P1539" s="20"/>
      <c r="Q1539" s="20"/>
      <c r="R1539" s="20"/>
      <c r="S1539" s="20"/>
      <c r="T1539" s="20"/>
      <c r="U1539" s="20"/>
      <c r="V1539" s="20"/>
      <c r="W1539" s="20"/>
      <c r="X1539" s="20"/>
      <c r="Y1539" s="20"/>
      <c r="Z1539" s="20"/>
      <c r="AA1539" s="20"/>
    </row>
    <row r="1540" spans="1:27" ht="69.599999999999994" x14ac:dyDescent="0.25">
      <c r="A1540" s="16"/>
      <c r="B1540" s="20" t="b">
        <f ca="1">IFERROR(__xludf.DUMMYFUNCTION("if(D1540=iferror(filter('Character Sheet'!D$13:D3002,'Character Sheet'!D$13:D3002=D1540),""""),True,False)"),FALSE)</f>
        <v>0</v>
      </c>
      <c r="C1540" s="20">
        <v>100</v>
      </c>
      <c r="D1540" s="2" t="s">
        <v>3288</v>
      </c>
      <c r="E1540" s="2" t="s">
        <v>630</v>
      </c>
      <c r="F1540" s="20" t="s">
        <v>62</v>
      </c>
      <c r="G1540" s="2" t="s">
        <v>3289</v>
      </c>
      <c r="H1540" s="16"/>
      <c r="I1540" s="20"/>
      <c r="J1540" s="20"/>
      <c r="K1540" s="20"/>
      <c r="L1540" s="20"/>
      <c r="M1540" s="20"/>
      <c r="N1540" s="20"/>
      <c r="O1540" s="20"/>
      <c r="P1540" s="20"/>
      <c r="Q1540" s="20"/>
      <c r="R1540" s="20"/>
      <c r="S1540" s="20"/>
      <c r="T1540" s="20"/>
      <c r="U1540" s="20"/>
      <c r="V1540" s="20"/>
      <c r="W1540" s="20"/>
      <c r="X1540" s="20"/>
      <c r="Y1540" s="20"/>
      <c r="Z1540" s="20"/>
      <c r="AA1540" s="20"/>
    </row>
    <row r="1541" spans="1:27" ht="104.4" x14ac:dyDescent="0.25">
      <c r="A1541" s="16"/>
      <c r="B1541" s="20" t="b">
        <f ca="1">IFERROR(__xludf.DUMMYFUNCTION("if(D1541=iferror(filter('Character Sheet'!D$13:D3002,'Character Sheet'!D$13:D3002=D1541),""""),True,False)"),FALSE)</f>
        <v>0</v>
      </c>
      <c r="C1541" s="20">
        <v>100</v>
      </c>
      <c r="D1541" s="2" t="s">
        <v>3290</v>
      </c>
      <c r="E1541" s="2" t="s">
        <v>435</v>
      </c>
      <c r="F1541" s="20" t="s">
        <v>62</v>
      </c>
      <c r="G1541" s="2" t="s">
        <v>3291</v>
      </c>
      <c r="H1541" s="16"/>
      <c r="I1541" s="20"/>
      <c r="J1541" s="20"/>
      <c r="K1541" s="20"/>
      <c r="L1541" s="20"/>
      <c r="M1541" s="20"/>
      <c r="N1541" s="20"/>
      <c r="O1541" s="20"/>
      <c r="P1541" s="20"/>
      <c r="Q1541" s="20"/>
      <c r="R1541" s="20"/>
      <c r="S1541" s="20"/>
      <c r="T1541" s="20"/>
      <c r="U1541" s="20"/>
      <c r="V1541" s="20"/>
      <c r="W1541" s="20"/>
      <c r="X1541" s="20"/>
      <c r="Y1541" s="20"/>
      <c r="Z1541" s="20"/>
      <c r="AA1541" s="20"/>
    </row>
    <row r="1542" spans="1:27" ht="121.8" x14ac:dyDescent="0.25">
      <c r="A1542" s="16"/>
      <c r="B1542" s="20" t="b">
        <f ca="1">IFERROR(__xludf.DUMMYFUNCTION("if(D1542=iferror(filter('Character Sheet'!D$13:D3002,'Character Sheet'!D$13:D3002=D1542),""""),True,False)"),FALSE)</f>
        <v>0</v>
      </c>
      <c r="C1542" s="20">
        <v>100</v>
      </c>
      <c r="D1542" s="2" t="s">
        <v>3292</v>
      </c>
      <c r="E1542" s="2" t="s">
        <v>317</v>
      </c>
      <c r="F1542" s="20" t="s">
        <v>62</v>
      </c>
      <c r="G1542" s="2" t="s">
        <v>3293</v>
      </c>
      <c r="H1542" s="16"/>
      <c r="I1542" s="20"/>
      <c r="J1542" s="20"/>
      <c r="K1542" s="20"/>
      <c r="L1542" s="20"/>
      <c r="M1542" s="20"/>
      <c r="N1542" s="20"/>
      <c r="O1542" s="20"/>
      <c r="P1542" s="20"/>
      <c r="Q1542" s="20"/>
      <c r="R1542" s="20"/>
      <c r="S1542" s="20"/>
      <c r="T1542" s="20"/>
      <c r="U1542" s="20"/>
      <c r="V1542" s="20"/>
      <c r="W1542" s="20"/>
      <c r="X1542" s="20"/>
      <c r="Y1542" s="20"/>
      <c r="Z1542" s="20"/>
      <c r="AA1542" s="20"/>
    </row>
    <row r="1543" spans="1:27" ht="87" x14ac:dyDescent="0.25">
      <c r="A1543" s="16"/>
      <c r="B1543" s="20" t="b">
        <f ca="1">IFERROR(__xludf.DUMMYFUNCTION("if(D1543=iferror(filter('Character Sheet'!D$13:D3002,'Character Sheet'!D$13:D3002=D1543),""""),True,False)"),FALSE)</f>
        <v>0</v>
      </c>
      <c r="C1543" s="20">
        <v>100</v>
      </c>
      <c r="D1543" s="2" t="s">
        <v>3294</v>
      </c>
      <c r="E1543" s="2" t="s">
        <v>214</v>
      </c>
      <c r="F1543" s="20" t="s">
        <v>62</v>
      </c>
      <c r="G1543" s="2" t="s">
        <v>3295</v>
      </c>
      <c r="H1543" s="16"/>
      <c r="I1543" s="20"/>
      <c r="J1543" s="20"/>
      <c r="K1543" s="20"/>
      <c r="L1543" s="20"/>
      <c r="M1543" s="20"/>
      <c r="N1543" s="20"/>
      <c r="O1543" s="20"/>
      <c r="P1543" s="20"/>
      <c r="Q1543" s="20"/>
      <c r="R1543" s="20"/>
      <c r="S1543" s="20"/>
      <c r="T1543" s="20"/>
      <c r="U1543" s="20"/>
      <c r="V1543" s="20"/>
      <c r="W1543" s="20"/>
      <c r="X1543" s="20"/>
      <c r="Y1543" s="20"/>
      <c r="Z1543" s="20"/>
      <c r="AA1543" s="20"/>
    </row>
    <row r="1544" spans="1:27" ht="52.2" x14ac:dyDescent="0.25">
      <c r="A1544" s="16"/>
      <c r="B1544" s="20" t="b">
        <f ca="1">IFERROR(__xludf.DUMMYFUNCTION("if(D1544=iferror(filter('Character Sheet'!D$13:D3002,'Character Sheet'!D$13:D3002=D1544),""""),True,False)"),FALSE)</f>
        <v>0</v>
      </c>
      <c r="C1544" s="20">
        <v>100</v>
      </c>
      <c r="D1544" s="2" t="s">
        <v>3296</v>
      </c>
      <c r="E1544" s="2" t="s">
        <v>334</v>
      </c>
      <c r="F1544" s="20" t="s">
        <v>62</v>
      </c>
      <c r="G1544" s="2" t="s">
        <v>3297</v>
      </c>
      <c r="H1544" s="16"/>
      <c r="I1544" s="20"/>
      <c r="J1544" s="20"/>
      <c r="K1544" s="20"/>
      <c r="L1544" s="20"/>
      <c r="M1544" s="20"/>
      <c r="N1544" s="20"/>
      <c r="O1544" s="20"/>
      <c r="P1544" s="20"/>
      <c r="Q1544" s="20"/>
      <c r="R1544" s="20"/>
      <c r="S1544" s="20"/>
      <c r="T1544" s="20"/>
      <c r="U1544" s="20"/>
      <c r="V1544" s="20"/>
      <c r="W1544" s="20"/>
      <c r="X1544" s="20"/>
      <c r="Y1544" s="20"/>
      <c r="Z1544" s="20"/>
      <c r="AA1544" s="20"/>
    </row>
    <row r="1545" spans="1:27" ht="139.19999999999999" x14ac:dyDescent="0.25">
      <c r="A1545" s="16"/>
      <c r="B1545" s="20" t="b">
        <f ca="1">IFERROR(__xludf.DUMMYFUNCTION("if(D1545=iferror(filter('Character Sheet'!D$13:D3002,'Character Sheet'!D$13:D3002=D1545),""""),True,False)"),FALSE)</f>
        <v>0</v>
      </c>
      <c r="C1545" s="20">
        <v>100</v>
      </c>
      <c r="D1545" s="2" t="s">
        <v>3298</v>
      </c>
      <c r="E1545" s="2" t="s">
        <v>69</v>
      </c>
      <c r="F1545" s="20" t="s">
        <v>62</v>
      </c>
      <c r="G1545" s="2" t="s">
        <v>3299</v>
      </c>
      <c r="H1545" s="16"/>
      <c r="I1545" s="20"/>
      <c r="J1545" s="20"/>
      <c r="K1545" s="20"/>
      <c r="L1545" s="20"/>
      <c r="M1545" s="20"/>
      <c r="N1545" s="20"/>
      <c r="O1545" s="20"/>
      <c r="P1545" s="20"/>
      <c r="Q1545" s="20"/>
      <c r="R1545" s="20"/>
      <c r="S1545" s="20"/>
      <c r="T1545" s="20"/>
      <c r="U1545" s="20"/>
      <c r="V1545" s="20"/>
      <c r="W1545" s="20"/>
      <c r="X1545" s="20"/>
      <c r="Y1545" s="20"/>
      <c r="Z1545" s="20"/>
      <c r="AA1545" s="20"/>
    </row>
    <row r="1546" spans="1:27" ht="34.799999999999997" x14ac:dyDescent="0.25">
      <c r="A1546" s="16"/>
      <c r="B1546" s="20" t="b">
        <f ca="1">IFERROR(__xludf.DUMMYFUNCTION("if(D1546=iferror(filter('Character Sheet'!D$13:D3002,'Character Sheet'!D$13:D3002=D1546),""""),True,False)"),FALSE)</f>
        <v>0</v>
      </c>
      <c r="C1546" s="20">
        <v>100</v>
      </c>
      <c r="D1546" s="2" t="s">
        <v>3300</v>
      </c>
      <c r="E1546" s="2" t="s">
        <v>288</v>
      </c>
      <c r="F1546" s="20" t="s">
        <v>62</v>
      </c>
      <c r="G1546" s="2" t="s">
        <v>3301</v>
      </c>
      <c r="H1546" s="16"/>
      <c r="I1546" s="20"/>
      <c r="J1546" s="20"/>
      <c r="K1546" s="20"/>
      <c r="L1546" s="20"/>
      <c r="M1546" s="20"/>
      <c r="N1546" s="20"/>
      <c r="O1546" s="20"/>
      <c r="P1546" s="20"/>
      <c r="Q1546" s="20"/>
      <c r="R1546" s="20"/>
      <c r="S1546" s="20"/>
      <c r="T1546" s="20"/>
      <c r="U1546" s="20"/>
      <c r="V1546" s="20"/>
      <c r="W1546" s="20"/>
      <c r="X1546" s="20"/>
      <c r="Y1546" s="20"/>
      <c r="Z1546" s="20"/>
      <c r="AA1546" s="20"/>
    </row>
    <row r="1547" spans="1:27" ht="87" x14ac:dyDescent="0.25">
      <c r="A1547" s="16"/>
      <c r="B1547" s="20" t="b">
        <f ca="1">IFERROR(__xludf.DUMMYFUNCTION("if(D1547=iferror(filter('Character Sheet'!D$13:D3002,'Character Sheet'!D$13:D3002=D1547),""""),True,False)"),FALSE)</f>
        <v>0</v>
      </c>
      <c r="C1547" s="20">
        <v>100</v>
      </c>
      <c r="D1547" s="2" t="s">
        <v>3302</v>
      </c>
      <c r="E1547" s="2" t="s">
        <v>69</v>
      </c>
      <c r="F1547" s="20" t="s">
        <v>62</v>
      </c>
      <c r="G1547" s="2" t="s">
        <v>3303</v>
      </c>
      <c r="H1547" s="16"/>
      <c r="I1547" s="20"/>
      <c r="J1547" s="20"/>
      <c r="K1547" s="20"/>
      <c r="L1547" s="20"/>
      <c r="M1547" s="20"/>
      <c r="N1547" s="20"/>
      <c r="O1547" s="20"/>
      <c r="P1547" s="20"/>
      <c r="Q1547" s="20"/>
      <c r="R1547" s="20"/>
      <c r="S1547" s="20"/>
      <c r="T1547" s="20"/>
      <c r="U1547" s="20"/>
      <c r="V1547" s="20"/>
      <c r="W1547" s="20"/>
      <c r="X1547" s="20"/>
      <c r="Y1547" s="20"/>
      <c r="Z1547" s="20"/>
      <c r="AA1547" s="20"/>
    </row>
    <row r="1548" spans="1:27" ht="121.8" x14ac:dyDescent="0.25">
      <c r="A1548" s="16"/>
      <c r="B1548" s="20" t="b">
        <f ca="1">IFERROR(__xludf.DUMMYFUNCTION("if(D1548=iferror(filter('Character Sheet'!D$13:D3002,'Character Sheet'!D$13:D3002=D1548),""""),True,False)"),FALSE)</f>
        <v>0</v>
      </c>
      <c r="C1548" s="20">
        <v>100</v>
      </c>
      <c r="D1548" s="2" t="s">
        <v>3304</v>
      </c>
      <c r="E1548" s="2" t="s">
        <v>435</v>
      </c>
      <c r="F1548" s="20" t="s">
        <v>62</v>
      </c>
      <c r="G1548" s="2" t="s">
        <v>3305</v>
      </c>
      <c r="H1548" s="16"/>
      <c r="I1548" s="20"/>
      <c r="J1548" s="20"/>
      <c r="K1548" s="20"/>
      <c r="L1548" s="20"/>
      <c r="M1548" s="20"/>
      <c r="N1548" s="20"/>
      <c r="O1548" s="20"/>
      <c r="P1548" s="20"/>
      <c r="Q1548" s="20"/>
      <c r="R1548" s="20"/>
      <c r="S1548" s="20"/>
      <c r="T1548" s="20"/>
      <c r="U1548" s="20"/>
      <c r="V1548" s="20"/>
      <c r="W1548" s="20"/>
      <c r="X1548" s="20"/>
      <c r="Y1548" s="20"/>
      <c r="Z1548" s="20"/>
      <c r="AA1548" s="20"/>
    </row>
    <row r="1549" spans="1:27" ht="139.19999999999999" x14ac:dyDescent="0.25">
      <c r="A1549" s="16"/>
      <c r="B1549" s="20" t="b">
        <f ca="1">IFERROR(__xludf.DUMMYFUNCTION("if(D1549=iferror(filter('Character Sheet'!D$13:D3002,'Character Sheet'!D$13:D3002=D1549),""""),True,False)"),FALSE)</f>
        <v>0</v>
      </c>
      <c r="C1549" s="20">
        <v>100</v>
      </c>
      <c r="D1549" s="2" t="s">
        <v>3306</v>
      </c>
      <c r="E1549" s="2" t="s">
        <v>845</v>
      </c>
      <c r="F1549" s="20" t="s">
        <v>62</v>
      </c>
      <c r="G1549" s="2" t="s">
        <v>3307</v>
      </c>
      <c r="H1549" s="16"/>
      <c r="I1549" s="20"/>
      <c r="J1549" s="20"/>
      <c r="K1549" s="20"/>
      <c r="L1549" s="20"/>
      <c r="M1549" s="20"/>
      <c r="N1549" s="20"/>
      <c r="O1549" s="20"/>
      <c r="P1549" s="20"/>
      <c r="Q1549" s="20"/>
      <c r="R1549" s="20"/>
      <c r="S1549" s="20"/>
      <c r="T1549" s="20"/>
      <c r="U1549" s="20"/>
      <c r="V1549" s="20"/>
      <c r="W1549" s="20"/>
      <c r="X1549" s="20"/>
      <c r="Y1549" s="20"/>
      <c r="Z1549" s="20"/>
      <c r="AA1549" s="20"/>
    </row>
    <row r="1550" spans="1:27" ht="104.4" x14ac:dyDescent="0.25">
      <c r="A1550" s="16"/>
      <c r="B1550" s="20" t="b">
        <f ca="1">IFERROR(__xludf.DUMMYFUNCTION("if(D1550=iferror(filter('Character Sheet'!D$13:D3002,'Character Sheet'!D$13:D3002=D1550),""""),True,False)"),FALSE)</f>
        <v>0</v>
      </c>
      <c r="C1550" s="20">
        <v>100</v>
      </c>
      <c r="D1550" s="2" t="s">
        <v>3308</v>
      </c>
      <c r="E1550" s="2" t="s">
        <v>268</v>
      </c>
      <c r="F1550" s="20" t="s">
        <v>62</v>
      </c>
      <c r="G1550" s="2" t="s">
        <v>3309</v>
      </c>
      <c r="H1550" s="16"/>
      <c r="I1550" s="20"/>
      <c r="J1550" s="20"/>
      <c r="K1550" s="20"/>
      <c r="L1550" s="20"/>
      <c r="M1550" s="20"/>
      <c r="N1550" s="20"/>
      <c r="O1550" s="20"/>
      <c r="P1550" s="20"/>
      <c r="Q1550" s="20"/>
      <c r="R1550" s="20"/>
      <c r="S1550" s="20"/>
      <c r="T1550" s="20"/>
      <c r="U1550" s="20"/>
      <c r="V1550" s="20"/>
      <c r="W1550" s="20"/>
      <c r="X1550" s="20"/>
      <c r="Y1550" s="20"/>
      <c r="Z1550" s="20"/>
      <c r="AA1550" s="20"/>
    </row>
    <row r="1551" spans="1:27" ht="104.4" x14ac:dyDescent="0.25">
      <c r="A1551" s="16"/>
      <c r="B1551" s="20" t="b">
        <f ca="1">IFERROR(__xludf.DUMMYFUNCTION("if(D1551=iferror(filter('Character Sheet'!D$13:D3002,'Character Sheet'!D$13:D3002=D1551),""""),True,False)"),FALSE)</f>
        <v>0</v>
      </c>
      <c r="C1551" s="20">
        <v>100</v>
      </c>
      <c r="D1551" s="2" t="s">
        <v>3310</v>
      </c>
      <c r="E1551" s="2" t="s">
        <v>2014</v>
      </c>
      <c r="F1551" s="20" t="s">
        <v>62</v>
      </c>
      <c r="G1551" s="2" t="s">
        <v>3311</v>
      </c>
      <c r="H1551" s="16"/>
      <c r="I1551" s="20"/>
      <c r="J1551" s="20"/>
      <c r="K1551" s="20"/>
      <c r="L1551" s="20"/>
      <c r="M1551" s="20"/>
      <c r="N1551" s="20"/>
      <c r="O1551" s="20"/>
      <c r="P1551" s="20"/>
      <c r="Q1551" s="20"/>
      <c r="R1551" s="20"/>
      <c r="S1551" s="20"/>
      <c r="T1551" s="20"/>
      <c r="U1551" s="20"/>
      <c r="V1551" s="20"/>
      <c r="W1551" s="20"/>
      <c r="X1551" s="20"/>
      <c r="Y1551" s="20"/>
      <c r="Z1551" s="20"/>
      <c r="AA1551" s="20"/>
    </row>
    <row r="1552" spans="1:27" ht="34.799999999999997" x14ac:dyDescent="0.25">
      <c r="A1552" s="16"/>
      <c r="B1552" s="20" t="b">
        <f ca="1">IFERROR(__xludf.DUMMYFUNCTION("if(D1552=iferror(filter('Character Sheet'!D$13:D3002,'Character Sheet'!D$13:D3002=D1552),""""),True,False)"),FALSE)</f>
        <v>0</v>
      </c>
      <c r="C1552" s="20">
        <v>100</v>
      </c>
      <c r="D1552" s="2" t="s">
        <v>3312</v>
      </c>
      <c r="E1552" s="2" t="s">
        <v>361</v>
      </c>
      <c r="F1552" s="20" t="s">
        <v>62</v>
      </c>
      <c r="G1552" s="2" t="s">
        <v>3313</v>
      </c>
      <c r="H1552" s="16"/>
      <c r="I1552" s="20"/>
      <c r="J1552" s="20"/>
      <c r="K1552" s="20"/>
      <c r="L1552" s="20"/>
      <c r="M1552" s="20"/>
      <c r="N1552" s="20"/>
      <c r="O1552" s="20"/>
      <c r="P1552" s="20"/>
      <c r="Q1552" s="20"/>
      <c r="R1552" s="20"/>
      <c r="S1552" s="20"/>
      <c r="T1552" s="20"/>
      <c r="U1552" s="20"/>
      <c r="V1552" s="20"/>
      <c r="W1552" s="20"/>
      <c r="X1552" s="20"/>
      <c r="Y1552" s="20"/>
      <c r="Z1552" s="20"/>
      <c r="AA1552" s="20"/>
    </row>
    <row r="1553" spans="1:27" ht="69.599999999999994" x14ac:dyDescent="0.25">
      <c r="A1553" s="16"/>
      <c r="B1553" s="20" t="b">
        <f ca="1">IFERROR(__xludf.DUMMYFUNCTION("if(D1553=iferror(filter('Character Sheet'!D$13:D3002,'Character Sheet'!D$13:D3002=D1553),""""),True,False)"),FALSE)</f>
        <v>0</v>
      </c>
      <c r="C1553" s="20">
        <v>100</v>
      </c>
      <c r="D1553" s="2" t="s">
        <v>3314</v>
      </c>
      <c r="E1553" s="2" t="s">
        <v>173</v>
      </c>
      <c r="F1553" s="20" t="s">
        <v>62</v>
      </c>
      <c r="G1553" s="2" t="s">
        <v>3315</v>
      </c>
      <c r="H1553" s="16"/>
      <c r="I1553" s="20"/>
      <c r="J1553" s="20"/>
      <c r="K1553" s="20"/>
      <c r="L1553" s="20"/>
      <c r="M1553" s="20"/>
      <c r="N1553" s="20"/>
      <c r="O1553" s="20"/>
      <c r="P1553" s="20"/>
      <c r="Q1553" s="20"/>
      <c r="R1553" s="20"/>
      <c r="S1553" s="20"/>
      <c r="T1553" s="20"/>
      <c r="U1553" s="20"/>
      <c r="V1553" s="20"/>
      <c r="W1553" s="20"/>
      <c r="X1553" s="20"/>
      <c r="Y1553" s="20"/>
      <c r="Z1553" s="20"/>
      <c r="AA1553" s="20"/>
    </row>
    <row r="1554" spans="1:27" ht="139.19999999999999" x14ac:dyDescent="0.25">
      <c r="A1554" s="16"/>
      <c r="B1554" s="20" t="b">
        <f ca="1">IFERROR(__xludf.DUMMYFUNCTION("if(D1554=iferror(filter('Character Sheet'!D$13:D3002,'Character Sheet'!D$13:D3002=D1554),""""),True,False)"),FALSE)</f>
        <v>0</v>
      </c>
      <c r="C1554" s="20">
        <v>100</v>
      </c>
      <c r="D1554" s="2" t="s">
        <v>3316</v>
      </c>
      <c r="E1554" s="2" t="s">
        <v>3317</v>
      </c>
      <c r="F1554" s="20" t="s">
        <v>62</v>
      </c>
      <c r="G1554" s="2" t="s">
        <v>3318</v>
      </c>
      <c r="H1554" s="16"/>
      <c r="I1554" s="20"/>
      <c r="J1554" s="20"/>
      <c r="K1554" s="20"/>
      <c r="L1554" s="20"/>
      <c r="M1554" s="20"/>
      <c r="N1554" s="20"/>
      <c r="O1554" s="20"/>
      <c r="P1554" s="20"/>
      <c r="Q1554" s="20"/>
      <c r="R1554" s="20"/>
      <c r="S1554" s="20"/>
      <c r="T1554" s="20"/>
      <c r="U1554" s="20"/>
      <c r="V1554" s="20"/>
      <c r="W1554" s="20"/>
      <c r="X1554" s="20"/>
      <c r="Y1554" s="20"/>
      <c r="Z1554" s="20"/>
      <c r="AA1554" s="20"/>
    </row>
    <row r="1555" spans="1:27" ht="139.19999999999999" x14ac:dyDescent="0.25">
      <c r="A1555" s="16"/>
      <c r="B1555" s="20" t="b">
        <f ca="1">IFERROR(__xludf.DUMMYFUNCTION("if(D1555=iferror(filter('Character Sheet'!D$13:D3002,'Character Sheet'!D$13:D3002=D1555),""""),True,False)"),FALSE)</f>
        <v>0</v>
      </c>
      <c r="C1555" s="20">
        <v>200</v>
      </c>
      <c r="D1555" s="2" t="s">
        <v>3319</v>
      </c>
      <c r="E1555" s="2" t="s">
        <v>298</v>
      </c>
      <c r="F1555" s="20" t="s">
        <v>62</v>
      </c>
      <c r="G1555" s="2" t="s">
        <v>3320</v>
      </c>
      <c r="H1555" s="16"/>
      <c r="I1555" s="20"/>
      <c r="J1555" s="20"/>
      <c r="K1555" s="20"/>
      <c r="L1555" s="20"/>
      <c r="M1555" s="20"/>
      <c r="N1555" s="20"/>
      <c r="O1555" s="20"/>
      <c r="P1555" s="20"/>
      <c r="Q1555" s="20"/>
      <c r="R1555" s="20"/>
      <c r="S1555" s="20"/>
      <c r="T1555" s="20"/>
      <c r="U1555" s="20"/>
      <c r="V1555" s="20"/>
      <c r="W1555" s="20"/>
      <c r="X1555" s="20"/>
      <c r="Y1555" s="20"/>
      <c r="Z1555" s="20"/>
      <c r="AA1555" s="20"/>
    </row>
    <row r="1556" spans="1:27" ht="156.6" x14ac:dyDescent="0.25">
      <c r="A1556" s="16"/>
      <c r="B1556" s="20" t="b">
        <f ca="1">IFERROR(__xludf.DUMMYFUNCTION("if(D1556=iferror(filter('Character Sheet'!D$13:D3002,'Character Sheet'!D$13:D3002=D1556),""""),True,False)"),FALSE)</f>
        <v>0</v>
      </c>
      <c r="C1556" s="20">
        <v>200</v>
      </c>
      <c r="D1556" s="2" t="s">
        <v>3321</v>
      </c>
      <c r="E1556" s="2" t="s">
        <v>1015</v>
      </c>
      <c r="F1556" s="20" t="s">
        <v>62</v>
      </c>
      <c r="G1556" s="2" t="s">
        <v>3322</v>
      </c>
      <c r="H1556" s="16"/>
      <c r="I1556" s="20"/>
      <c r="J1556" s="20"/>
      <c r="K1556" s="20"/>
      <c r="L1556" s="20"/>
      <c r="M1556" s="20"/>
      <c r="N1556" s="20"/>
      <c r="O1556" s="20"/>
      <c r="P1556" s="20"/>
      <c r="Q1556" s="20"/>
      <c r="R1556" s="20"/>
      <c r="S1556" s="20"/>
      <c r="T1556" s="20"/>
      <c r="U1556" s="20"/>
      <c r="V1556" s="20"/>
      <c r="W1556" s="20"/>
      <c r="X1556" s="20"/>
      <c r="Y1556" s="20"/>
      <c r="Z1556" s="20"/>
      <c r="AA1556" s="20"/>
    </row>
    <row r="1557" spans="1:27" ht="191.4" x14ac:dyDescent="0.25">
      <c r="A1557" s="16"/>
      <c r="B1557" s="20" t="b">
        <f ca="1">IFERROR(__xludf.DUMMYFUNCTION("if(D1557=iferror(filter('Character Sheet'!D$13:D3002,'Character Sheet'!D$13:D3002=D1557),""""),True,False)"),FALSE)</f>
        <v>0</v>
      </c>
      <c r="C1557" s="20">
        <v>200</v>
      </c>
      <c r="D1557" s="2" t="s">
        <v>3323</v>
      </c>
      <c r="E1557" s="2" t="s">
        <v>87</v>
      </c>
      <c r="F1557" s="20" t="s">
        <v>62</v>
      </c>
      <c r="G1557" s="2" t="s">
        <v>3324</v>
      </c>
      <c r="H1557" s="16"/>
      <c r="I1557" s="20"/>
      <c r="J1557" s="20"/>
      <c r="K1557" s="20"/>
      <c r="L1557" s="20"/>
      <c r="M1557" s="20"/>
      <c r="N1557" s="20"/>
      <c r="O1557" s="20"/>
      <c r="P1557" s="20"/>
      <c r="Q1557" s="20"/>
      <c r="R1557" s="20"/>
      <c r="S1557" s="20"/>
      <c r="T1557" s="20"/>
      <c r="U1557" s="20"/>
      <c r="V1557" s="20"/>
      <c r="W1557" s="20"/>
      <c r="X1557" s="20"/>
      <c r="Y1557" s="20"/>
      <c r="Z1557" s="20"/>
      <c r="AA1557" s="20"/>
    </row>
    <row r="1558" spans="1:27" ht="104.4" x14ac:dyDescent="0.25">
      <c r="A1558" s="16"/>
      <c r="B1558" s="20" t="b">
        <f ca="1">IFERROR(__xludf.DUMMYFUNCTION("if(D1558=iferror(filter('Character Sheet'!D$13:D3002,'Character Sheet'!D$13:D3002=D1558),""""),True,False)"),FALSE)</f>
        <v>0</v>
      </c>
      <c r="C1558" s="20">
        <v>200</v>
      </c>
      <c r="D1558" s="2" t="s">
        <v>3325</v>
      </c>
      <c r="E1558" s="2" t="s">
        <v>268</v>
      </c>
      <c r="F1558" s="20" t="s">
        <v>62</v>
      </c>
      <c r="G1558" s="2" t="s">
        <v>3326</v>
      </c>
      <c r="H1558" s="16"/>
      <c r="I1558" s="20"/>
      <c r="J1558" s="20"/>
      <c r="K1558" s="20"/>
      <c r="L1558" s="20"/>
      <c r="M1558" s="20"/>
      <c r="N1558" s="20"/>
      <c r="O1558" s="20"/>
      <c r="P1558" s="20"/>
      <c r="Q1558" s="20"/>
      <c r="R1558" s="20"/>
      <c r="S1558" s="20"/>
      <c r="T1558" s="20"/>
      <c r="U1558" s="20"/>
      <c r="V1558" s="20"/>
      <c r="W1558" s="20"/>
      <c r="X1558" s="20"/>
      <c r="Y1558" s="20"/>
      <c r="Z1558" s="20"/>
      <c r="AA1558" s="20"/>
    </row>
    <row r="1559" spans="1:27" ht="174" x14ac:dyDescent="0.25">
      <c r="A1559" s="16"/>
      <c r="B1559" s="20" t="b">
        <f ca="1">IFERROR(__xludf.DUMMYFUNCTION("if(D1559=iferror(filter('Character Sheet'!D$13:D3002,'Character Sheet'!D$13:D3002=D1559),""""),True,False)"),FALSE)</f>
        <v>0</v>
      </c>
      <c r="C1559" s="20">
        <v>200</v>
      </c>
      <c r="D1559" s="2" t="s">
        <v>3327</v>
      </c>
      <c r="E1559" s="2" t="s">
        <v>87</v>
      </c>
      <c r="F1559" s="20" t="s">
        <v>62</v>
      </c>
      <c r="G1559" s="2" t="s">
        <v>3328</v>
      </c>
      <c r="H1559" s="16"/>
      <c r="I1559" s="20"/>
      <c r="J1559" s="20"/>
      <c r="K1559" s="20"/>
      <c r="L1559" s="20"/>
      <c r="M1559" s="20"/>
      <c r="N1559" s="20"/>
      <c r="O1559" s="20"/>
      <c r="P1559" s="20"/>
      <c r="Q1559" s="20"/>
      <c r="R1559" s="20"/>
      <c r="S1559" s="20"/>
      <c r="T1559" s="20"/>
      <c r="U1559" s="20"/>
      <c r="V1559" s="20"/>
      <c r="W1559" s="20"/>
      <c r="X1559" s="20"/>
      <c r="Y1559" s="20"/>
      <c r="Z1559" s="20"/>
      <c r="AA1559" s="20"/>
    </row>
    <row r="1560" spans="1:27" ht="87" x14ac:dyDescent="0.25">
      <c r="A1560" s="16"/>
      <c r="B1560" s="20" t="b">
        <f ca="1">IFERROR(__xludf.DUMMYFUNCTION("if(D1560=iferror(filter('Character Sheet'!D$13:D3002,'Character Sheet'!D$13:D3002=D1560),""""),True,False)"),FALSE)</f>
        <v>0</v>
      </c>
      <c r="C1560" s="20">
        <v>200</v>
      </c>
      <c r="D1560" s="2" t="s">
        <v>3329</v>
      </c>
      <c r="E1560" s="2" t="s">
        <v>69</v>
      </c>
      <c r="F1560" s="20" t="s">
        <v>62</v>
      </c>
      <c r="G1560" s="2" t="s">
        <v>3330</v>
      </c>
      <c r="H1560" s="16"/>
      <c r="I1560" s="20"/>
      <c r="J1560" s="20"/>
      <c r="K1560" s="20"/>
      <c r="L1560" s="20"/>
      <c r="M1560" s="20"/>
      <c r="N1560" s="20"/>
      <c r="O1560" s="20"/>
      <c r="P1560" s="20"/>
      <c r="Q1560" s="20"/>
      <c r="R1560" s="20"/>
      <c r="S1560" s="20"/>
      <c r="T1560" s="20"/>
      <c r="U1560" s="20"/>
      <c r="V1560" s="20"/>
      <c r="W1560" s="20"/>
      <c r="X1560" s="20"/>
      <c r="Y1560" s="20"/>
      <c r="Z1560" s="20"/>
      <c r="AA1560" s="20"/>
    </row>
    <row r="1561" spans="1:27" ht="104.4" x14ac:dyDescent="0.25">
      <c r="A1561" s="16"/>
      <c r="B1561" s="20" t="b">
        <f ca="1">IFERROR(__xludf.DUMMYFUNCTION("if(D1561=iferror(filter('Character Sheet'!D$13:D3002,'Character Sheet'!D$13:D3002=D1561),""""),True,False)"),FALSE)</f>
        <v>0</v>
      </c>
      <c r="C1561" s="20">
        <v>200</v>
      </c>
      <c r="D1561" s="2" t="s">
        <v>3331</v>
      </c>
      <c r="E1561" s="2" t="s">
        <v>100</v>
      </c>
      <c r="F1561" s="20" t="s">
        <v>62</v>
      </c>
      <c r="G1561" s="2" t="s">
        <v>3332</v>
      </c>
      <c r="H1561" s="16"/>
      <c r="I1561" s="20"/>
      <c r="J1561" s="20"/>
      <c r="K1561" s="20"/>
      <c r="L1561" s="20"/>
      <c r="M1561" s="20"/>
      <c r="N1561" s="20"/>
      <c r="O1561" s="20"/>
      <c r="P1561" s="20"/>
      <c r="Q1561" s="20"/>
      <c r="R1561" s="20"/>
      <c r="S1561" s="20"/>
      <c r="T1561" s="20"/>
      <c r="U1561" s="20"/>
      <c r="V1561" s="20"/>
      <c r="W1561" s="20"/>
      <c r="X1561" s="20"/>
      <c r="Y1561" s="20"/>
      <c r="Z1561" s="20"/>
      <c r="AA1561" s="20"/>
    </row>
    <row r="1562" spans="1:27" ht="121.8" x14ac:dyDescent="0.25">
      <c r="A1562" s="16"/>
      <c r="B1562" s="20" t="b">
        <f ca="1">IFERROR(__xludf.DUMMYFUNCTION("if(D1562=iferror(filter('Character Sheet'!D$13:D3002,'Character Sheet'!D$13:D3002=D1562),""""),True,False)"),FALSE)</f>
        <v>0</v>
      </c>
      <c r="C1562" s="20">
        <v>200</v>
      </c>
      <c r="D1562" s="2" t="s">
        <v>3333</v>
      </c>
      <c r="E1562" s="2" t="s">
        <v>176</v>
      </c>
      <c r="F1562" s="20" t="s">
        <v>62</v>
      </c>
      <c r="G1562" s="2" t="s">
        <v>3334</v>
      </c>
      <c r="H1562" s="16"/>
      <c r="I1562" s="20"/>
      <c r="J1562" s="20"/>
      <c r="K1562" s="20"/>
      <c r="L1562" s="20"/>
      <c r="M1562" s="20"/>
      <c r="N1562" s="20"/>
      <c r="O1562" s="20"/>
      <c r="P1562" s="20"/>
      <c r="Q1562" s="20"/>
      <c r="R1562" s="20"/>
      <c r="S1562" s="20"/>
      <c r="T1562" s="20"/>
      <c r="U1562" s="20"/>
      <c r="V1562" s="20"/>
      <c r="W1562" s="20"/>
      <c r="X1562" s="20"/>
      <c r="Y1562" s="20"/>
      <c r="Z1562" s="20"/>
      <c r="AA1562" s="20"/>
    </row>
    <row r="1563" spans="1:27" ht="87" x14ac:dyDescent="0.25">
      <c r="A1563" s="16"/>
      <c r="B1563" s="20" t="b">
        <f ca="1">IFERROR(__xludf.DUMMYFUNCTION("if(D1563=iferror(filter('Character Sheet'!D$13:D3002,'Character Sheet'!D$13:D3002=D1563),""""),True,False)"),FALSE)</f>
        <v>0</v>
      </c>
      <c r="C1563" s="20">
        <v>200</v>
      </c>
      <c r="D1563" s="2" t="s">
        <v>3335</v>
      </c>
      <c r="E1563" s="2" t="s">
        <v>775</v>
      </c>
      <c r="F1563" s="20" t="s">
        <v>62</v>
      </c>
      <c r="G1563" s="2" t="s">
        <v>3336</v>
      </c>
      <c r="H1563" s="16"/>
      <c r="I1563" s="20"/>
      <c r="J1563" s="20"/>
      <c r="K1563" s="20"/>
      <c r="L1563" s="20"/>
      <c r="M1563" s="20"/>
      <c r="N1563" s="20"/>
      <c r="O1563" s="20"/>
      <c r="P1563" s="20"/>
      <c r="Q1563" s="20"/>
      <c r="R1563" s="20"/>
      <c r="S1563" s="20"/>
      <c r="T1563" s="20"/>
      <c r="U1563" s="20"/>
      <c r="V1563" s="20"/>
      <c r="W1563" s="20"/>
      <c r="X1563" s="20"/>
      <c r="Y1563" s="20"/>
      <c r="Z1563" s="20"/>
      <c r="AA1563" s="20"/>
    </row>
    <row r="1564" spans="1:27" ht="104.4" x14ac:dyDescent="0.25">
      <c r="A1564" s="16"/>
      <c r="B1564" s="20" t="b">
        <f ca="1">IFERROR(__xludf.DUMMYFUNCTION("if(D1564=iferror(filter('Character Sheet'!D$13:D3002,'Character Sheet'!D$13:D3002=D1564),""""),True,False)"),FALSE)</f>
        <v>0</v>
      </c>
      <c r="C1564" s="20">
        <v>200</v>
      </c>
      <c r="D1564" s="2" t="s">
        <v>3337</v>
      </c>
      <c r="E1564" s="2" t="s">
        <v>317</v>
      </c>
      <c r="F1564" s="20" t="s">
        <v>62</v>
      </c>
      <c r="G1564" s="2" t="s">
        <v>3338</v>
      </c>
      <c r="H1564" s="16"/>
      <c r="I1564" s="20"/>
      <c r="J1564" s="20"/>
      <c r="K1564" s="20"/>
      <c r="L1564" s="20"/>
      <c r="M1564" s="20"/>
      <c r="N1564" s="20"/>
      <c r="O1564" s="20"/>
      <c r="P1564" s="20"/>
      <c r="Q1564" s="20"/>
      <c r="R1564" s="20"/>
      <c r="S1564" s="20"/>
      <c r="T1564" s="20"/>
      <c r="U1564" s="20"/>
      <c r="V1564" s="20"/>
      <c r="W1564" s="20"/>
      <c r="X1564" s="20"/>
      <c r="Y1564" s="20"/>
      <c r="Z1564" s="20"/>
      <c r="AA1564" s="20"/>
    </row>
    <row r="1565" spans="1:27" ht="52.2" x14ac:dyDescent="0.25">
      <c r="A1565" s="16"/>
      <c r="B1565" s="20" t="b">
        <f ca="1">IFERROR(__xludf.DUMMYFUNCTION("if(D1565=iferror(filter('Character Sheet'!D$13:D3002,'Character Sheet'!D$13:D3002=D1565),""""),True,False)"),FALSE)</f>
        <v>0</v>
      </c>
      <c r="C1565" s="20">
        <v>200</v>
      </c>
      <c r="D1565" s="2" t="s">
        <v>3339</v>
      </c>
      <c r="E1565" s="2" t="s">
        <v>576</v>
      </c>
      <c r="F1565" s="20" t="s">
        <v>62</v>
      </c>
      <c r="G1565" s="2" t="s">
        <v>3340</v>
      </c>
      <c r="H1565" s="16"/>
      <c r="I1565" s="20"/>
      <c r="J1565" s="20"/>
      <c r="K1565" s="20"/>
      <c r="L1565" s="20"/>
      <c r="M1565" s="20"/>
      <c r="N1565" s="20"/>
      <c r="O1565" s="20"/>
      <c r="P1565" s="20"/>
      <c r="Q1565" s="20"/>
      <c r="R1565" s="20"/>
      <c r="S1565" s="20"/>
      <c r="T1565" s="20"/>
      <c r="U1565" s="20"/>
      <c r="V1565" s="20"/>
      <c r="W1565" s="20"/>
      <c r="X1565" s="20"/>
      <c r="Y1565" s="20"/>
      <c r="Z1565" s="20"/>
      <c r="AA1565" s="20"/>
    </row>
    <row r="1566" spans="1:27" ht="226.2" x14ac:dyDescent="0.25">
      <c r="A1566" s="16"/>
      <c r="B1566" s="20" t="b">
        <f ca="1">IFERROR(__xludf.DUMMYFUNCTION("if(D1566=iferror(filter('Character Sheet'!D$13:D3002,'Character Sheet'!D$13:D3002=D1566),""""),True,False)"),TRUE)</f>
        <v>1</v>
      </c>
      <c r="C1566" s="20">
        <v>200</v>
      </c>
      <c r="D1566" s="2" t="s">
        <v>38</v>
      </c>
      <c r="E1566" s="2" t="s">
        <v>124</v>
      </c>
      <c r="F1566" s="20" t="s">
        <v>62</v>
      </c>
      <c r="G1566" s="2" t="s">
        <v>3341</v>
      </c>
      <c r="H1566" s="16"/>
      <c r="I1566" s="20"/>
      <c r="J1566" s="20"/>
      <c r="K1566" s="20"/>
      <c r="L1566" s="20"/>
      <c r="M1566" s="20"/>
      <c r="N1566" s="20"/>
      <c r="O1566" s="20"/>
      <c r="P1566" s="20"/>
      <c r="Q1566" s="20"/>
      <c r="R1566" s="20"/>
      <c r="S1566" s="20"/>
      <c r="T1566" s="20"/>
      <c r="U1566" s="20"/>
      <c r="V1566" s="20"/>
      <c r="W1566" s="20"/>
      <c r="X1566" s="20"/>
      <c r="Y1566" s="20"/>
      <c r="Z1566" s="20"/>
      <c r="AA1566" s="20"/>
    </row>
    <row r="1567" spans="1:27" ht="156.6" x14ac:dyDescent="0.25">
      <c r="A1567" s="16"/>
      <c r="B1567" s="20" t="b">
        <f ca="1">IFERROR(__xludf.DUMMYFUNCTION("if(D1567=iferror(filter('Character Sheet'!D$13:D3002,'Character Sheet'!D$13:D3002=D1567),""""),True,False)"),FALSE)</f>
        <v>0</v>
      </c>
      <c r="C1567" s="20">
        <v>200</v>
      </c>
      <c r="D1567" s="2" t="s">
        <v>3342</v>
      </c>
      <c r="E1567" s="2" t="s">
        <v>139</v>
      </c>
      <c r="F1567" s="20" t="s">
        <v>62</v>
      </c>
      <c r="G1567" s="2" t="s">
        <v>3343</v>
      </c>
      <c r="H1567" s="16"/>
      <c r="I1567" s="20"/>
      <c r="J1567" s="20"/>
      <c r="K1567" s="20"/>
      <c r="L1567" s="20"/>
      <c r="M1567" s="20"/>
      <c r="N1567" s="20"/>
      <c r="O1567" s="20"/>
      <c r="P1567" s="20"/>
      <c r="Q1567" s="20"/>
      <c r="R1567" s="20"/>
      <c r="S1567" s="20"/>
      <c r="T1567" s="20"/>
      <c r="U1567" s="20"/>
      <c r="V1567" s="20"/>
      <c r="W1567" s="20"/>
      <c r="X1567" s="20"/>
      <c r="Y1567" s="20"/>
      <c r="Z1567" s="20"/>
      <c r="AA1567" s="20"/>
    </row>
    <row r="1568" spans="1:27" ht="52.2" x14ac:dyDescent="0.25">
      <c r="A1568" s="16"/>
      <c r="B1568" s="20" t="b">
        <f ca="1">IFERROR(__xludf.DUMMYFUNCTION("if(D1568=iferror(filter('Character Sheet'!D$13:D3002,'Character Sheet'!D$13:D3002=D1568),""""),True,False)"),FALSE)</f>
        <v>0</v>
      </c>
      <c r="C1568" s="20">
        <v>200</v>
      </c>
      <c r="D1568" s="2" t="s">
        <v>3344</v>
      </c>
      <c r="E1568" s="2" t="s">
        <v>461</v>
      </c>
      <c r="F1568" s="20" t="s">
        <v>62</v>
      </c>
      <c r="G1568" s="2" t="s">
        <v>3345</v>
      </c>
      <c r="H1568" s="16"/>
      <c r="I1568" s="20"/>
      <c r="J1568" s="20"/>
      <c r="K1568" s="20"/>
      <c r="L1568" s="20"/>
      <c r="M1568" s="20"/>
      <c r="N1568" s="20"/>
      <c r="O1568" s="20"/>
      <c r="P1568" s="20"/>
      <c r="Q1568" s="20"/>
      <c r="R1568" s="20"/>
      <c r="S1568" s="20"/>
      <c r="T1568" s="20"/>
      <c r="U1568" s="20"/>
      <c r="V1568" s="20"/>
      <c r="W1568" s="20"/>
      <c r="X1568" s="20"/>
      <c r="Y1568" s="20"/>
      <c r="Z1568" s="20"/>
      <c r="AA1568" s="20"/>
    </row>
    <row r="1569" spans="1:27" ht="69.599999999999994" x14ac:dyDescent="0.25">
      <c r="A1569" s="16"/>
      <c r="B1569" s="20" t="b">
        <f ca="1">IFERROR(__xludf.DUMMYFUNCTION("if(D1569=iferror(filter('Character Sheet'!D$13:D3002,'Character Sheet'!D$13:D3002=D1569),""""),True,False)"),FALSE)</f>
        <v>0</v>
      </c>
      <c r="C1569" s="20">
        <v>200</v>
      </c>
      <c r="D1569" s="2" t="s">
        <v>3346</v>
      </c>
      <c r="E1569" s="2" t="s">
        <v>943</v>
      </c>
      <c r="F1569" s="20" t="s">
        <v>62</v>
      </c>
      <c r="G1569" s="2" t="s">
        <v>3347</v>
      </c>
      <c r="H1569" s="16"/>
      <c r="I1569" s="20"/>
      <c r="J1569" s="20"/>
      <c r="K1569" s="20"/>
      <c r="L1569" s="20"/>
      <c r="M1569" s="20"/>
      <c r="N1569" s="20"/>
      <c r="O1569" s="20"/>
      <c r="P1569" s="20"/>
      <c r="Q1569" s="20"/>
      <c r="R1569" s="20"/>
      <c r="S1569" s="20"/>
      <c r="T1569" s="20"/>
      <c r="U1569" s="20"/>
      <c r="V1569" s="20"/>
      <c r="W1569" s="20"/>
      <c r="X1569" s="20"/>
      <c r="Y1569" s="20"/>
      <c r="Z1569" s="20"/>
      <c r="AA1569" s="20"/>
    </row>
    <row r="1570" spans="1:27" ht="104.4" x14ac:dyDescent="0.25">
      <c r="A1570" s="16"/>
      <c r="B1570" s="20" t="b">
        <f ca="1">IFERROR(__xludf.DUMMYFUNCTION("if(D1570=iferror(filter('Character Sheet'!D$13:D3002,'Character Sheet'!D$13:D3002=D1570),""""),True,False)"),FALSE)</f>
        <v>0</v>
      </c>
      <c r="C1570" s="20">
        <v>200</v>
      </c>
      <c r="D1570" s="2" t="s">
        <v>3348</v>
      </c>
      <c r="E1570" s="2" t="s">
        <v>159</v>
      </c>
      <c r="F1570" s="20" t="s">
        <v>62</v>
      </c>
      <c r="G1570" s="2" t="s">
        <v>3349</v>
      </c>
      <c r="H1570" s="16"/>
      <c r="I1570" s="20"/>
      <c r="J1570" s="20"/>
      <c r="K1570" s="20"/>
      <c r="L1570" s="20"/>
      <c r="M1570" s="20"/>
      <c r="N1570" s="20"/>
      <c r="O1570" s="20"/>
      <c r="P1570" s="20"/>
      <c r="Q1570" s="20"/>
      <c r="R1570" s="20"/>
      <c r="S1570" s="20"/>
      <c r="T1570" s="20"/>
      <c r="U1570" s="20"/>
      <c r="V1570" s="20"/>
      <c r="W1570" s="20"/>
      <c r="X1570" s="20"/>
      <c r="Y1570" s="20"/>
      <c r="Z1570" s="20"/>
      <c r="AA1570" s="20"/>
    </row>
    <row r="1571" spans="1:27" ht="69.599999999999994" x14ac:dyDescent="0.25">
      <c r="A1571" s="16"/>
      <c r="B1571" s="20" t="b">
        <f ca="1">IFERROR(__xludf.DUMMYFUNCTION("if(D1571=iferror(filter('Character Sheet'!D$13:D3002,'Character Sheet'!D$13:D3002=D1571),""""),True,False)"),FALSE)</f>
        <v>0</v>
      </c>
      <c r="C1571" s="20">
        <v>200</v>
      </c>
      <c r="D1571" s="2" t="s">
        <v>3350</v>
      </c>
      <c r="E1571" s="2" t="s">
        <v>109</v>
      </c>
      <c r="F1571" s="20" t="s">
        <v>62</v>
      </c>
      <c r="G1571" s="2" t="s">
        <v>3351</v>
      </c>
      <c r="H1571" s="16"/>
      <c r="I1571" s="20"/>
      <c r="J1571" s="20"/>
      <c r="K1571" s="20"/>
      <c r="L1571" s="20"/>
      <c r="M1571" s="20"/>
      <c r="N1571" s="20"/>
      <c r="O1571" s="20"/>
      <c r="P1571" s="20"/>
      <c r="Q1571" s="20"/>
      <c r="R1571" s="20"/>
      <c r="S1571" s="20"/>
      <c r="T1571" s="20"/>
      <c r="U1571" s="20"/>
      <c r="V1571" s="20"/>
      <c r="W1571" s="20"/>
      <c r="X1571" s="20"/>
      <c r="Y1571" s="20"/>
      <c r="Z1571" s="20"/>
      <c r="AA1571" s="20"/>
    </row>
    <row r="1572" spans="1:27" ht="87" x14ac:dyDescent="0.25">
      <c r="A1572" s="16"/>
      <c r="B1572" s="20" t="b">
        <f ca="1">IFERROR(__xludf.DUMMYFUNCTION("if(D1572=iferror(filter('Character Sheet'!D$13:D3002,'Character Sheet'!D$13:D3002=D1572),""""),True,False)"),FALSE)</f>
        <v>0</v>
      </c>
      <c r="C1572" s="20">
        <v>200</v>
      </c>
      <c r="D1572" s="2" t="s">
        <v>3352</v>
      </c>
      <c r="E1572" s="2" t="s">
        <v>1052</v>
      </c>
      <c r="F1572" s="20" t="s">
        <v>62</v>
      </c>
      <c r="G1572" s="2" t="s">
        <v>3353</v>
      </c>
      <c r="H1572" s="16"/>
      <c r="I1572" s="20"/>
      <c r="J1572" s="20"/>
      <c r="K1572" s="20"/>
      <c r="L1572" s="20"/>
      <c r="M1572" s="20"/>
      <c r="N1572" s="20"/>
      <c r="O1572" s="20"/>
      <c r="P1572" s="20"/>
      <c r="Q1572" s="20"/>
      <c r="R1572" s="20"/>
      <c r="S1572" s="20"/>
      <c r="T1572" s="20"/>
      <c r="U1572" s="20"/>
      <c r="V1572" s="20"/>
      <c r="W1572" s="20"/>
      <c r="X1572" s="20"/>
      <c r="Y1572" s="20"/>
      <c r="Z1572" s="20"/>
      <c r="AA1572" s="20"/>
    </row>
    <row r="1573" spans="1:27" ht="87" x14ac:dyDescent="0.25">
      <c r="A1573" s="16"/>
      <c r="B1573" s="20" t="b">
        <f ca="1">IFERROR(__xludf.DUMMYFUNCTION("if(D1573=iferror(filter('Character Sheet'!D$13:D3002,'Character Sheet'!D$13:D3002=D1573),""""),True,False)"),FALSE)</f>
        <v>0</v>
      </c>
      <c r="C1573" s="20">
        <v>200</v>
      </c>
      <c r="D1573" s="2" t="s">
        <v>3354</v>
      </c>
      <c r="E1573" s="2" t="s">
        <v>366</v>
      </c>
      <c r="F1573" s="20" t="s">
        <v>62</v>
      </c>
      <c r="G1573" s="2" t="s">
        <v>3355</v>
      </c>
      <c r="H1573" s="16"/>
      <c r="I1573" s="20"/>
      <c r="J1573" s="20"/>
      <c r="K1573" s="20"/>
      <c r="L1573" s="20"/>
      <c r="M1573" s="20"/>
      <c r="N1573" s="20"/>
      <c r="O1573" s="20"/>
      <c r="P1573" s="20"/>
      <c r="Q1573" s="20"/>
      <c r="R1573" s="20"/>
      <c r="S1573" s="20"/>
      <c r="T1573" s="20"/>
      <c r="U1573" s="20"/>
      <c r="V1573" s="20"/>
      <c r="W1573" s="20"/>
      <c r="X1573" s="20"/>
      <c r="Y1573" s="20"/>
      <c r="Z1573" s="20"/>
      <c r="AA1573" s="20"/>
    </row>
    <row r="1574" spans="1:27" ht="104.4" x14ac:dyDescent="0.25">
      <c r="A1574" s="16"/>
      <c r="B1574" s="20" t="b">
        <f ca="1">IFERROR(__xludf.DUMMYFUNCTION("if(D1574=iferror(filter('Character Sheet'!D$13:D3002,'Character Sheet'!D$13:D3002=D1574),""""),True,False)"),FALSE)</f>
        <v>0</v>
      </c>
      <c r="C1574" s="20">
        <v>200</v>
      </c>
      <c r="D1574" s="2" t="s">
        <v>3356</v>
      </c>
      <c r="E1574" s="2" t="s">
        <v>106</v>
      </c>
      <c r="F1574" s="20" t="s">
        <v>62</v>
      </c>
      <c r="G1574" s="2" t="s">
        <v>3357</v>
      </c>
      <c r="H1574" s="16"/>
      <c r="I1574" s="20"/>
      <c r="J1574" s="20"/>
      <c r="K1574" s="20"/>
      <c r="L1574" s="20"/>
      <c r="M1574" s="20"/>
      <c r="N1574" s="20"/>
      <c r="O1574" s="20"/>
      <c r="P1574" s="20"/>
      <c r="Q1574" s="20"/>
      <c r="R1574" s="20"/>
      <c r="S1574" s="20"/>
      <c r="T1574" s="20"/>
      <c r="U1574" s="20"/>
      <c r="V1574" s="20"/>
      <c r="W1574" s="20"/>
      <c r="X1574" s="20"/>
      <c r="Y1574" s="20"/>
      <c r="Z1574" s="20"/>
      <c r="AA1574" s="20"/>
    </row>
    <row r="1575" spans="1:27" ht="34.799999999999997" x14ac:dyDescent="0.25">
      <c r="A1575" s="16"/>
      <c r="B1575" s="20" t="b">
        <f ca="1">IFERROR(__xludf.DUMMYFUNCTION("if(D1575=iferror(filter('Character Sheet'!D$13:D3002,'Character Sheet'!D$13:D3002=D1575),""""),True,False)"),FALSE)</f>
        <v>0</v>
      </c>
      <c r="C1575" s="20">
        <v>200</v>
      </c>
      <c r="D1575" s="2" t="s">
        <v>3358</v>
      </c>
      <c r="E1575" s="2" t="s">
        <v>149</v>
      </c>
      <c r="F1575" s="20" t="s">
        <v>62</v>
      </c>
      <c r="G1575" s="2" t="s">
        <v>3359</v>
      </c>
      <c r="H1575" s="16"/>
      <c r="I1575" s="20"/>
      <c r="J1575" s="20"/>
      <c r="K1575" s="20"/>
      <c r="L1575" s="20"/>
      <c r="M1575" s="20"/>
      <c r="N1575" s="20"/>
      <c r="O1575" s="20"/>
      <c r="P1575" s="20"/>
      <c r="Q1575" s="20"/>
      <c r="R1575" s="20"/>
      <c r="S1575" s="20"/>
      <c r="T1575" s="20"/>
      <c r="U1575" s="20"/>
      <c r="V1575" s="20"/>
      <c r="W1575" s="20"/>
      <c r="X1575" s="20"/>
      <c r="Y1575" s="20"/>
      <c r="Z1575" s="20"/>
      <c r="AA1575" s="20"/>
    </row>
    <row r="1576" spans="1:27" ht="69.599999999999994" x14ac:dyDescent="0.25">
      <c r="A1576" s="16"/>
      <c r="B1576" s="20" t="b">
        <f ca="1">IFERROR(__xludf.DUMMYFUNCTION("if(D1576=iferror(filter('Character Sheet'!D$13:D3002,'Character Sheet'!D$13:D3002=D1576),""""),True,False)"),FALSE)</f>
        <v>0</v>
      </c>
      <c r="C1576" s="20">
        <v>200</v>
      </c>
      <c r="D1576" s="2" t="s">
        <v>3360</v>
      </c>
      <c r="E1576" s="2" t="s">
        <v>277</v>
      </c>
      <c r="F1576" s="20" t="s">
        <v>62</v>
      </c>
      <c r="G1576" s="2" t="s">
        <v>3361</v>
      </c>
      <c r="H1576" s="16"/>
      <c r="I1576" s="20"/>
      <c r="J1576" s="20"/>
      <c r="K1576" s="20"/>
      <c r="L1576" s="20"/>
      <c r="M1576" s="20"/>
      <c r="N1576" s="20"/>
      <c r="O1576" s="20"/>
      <c r="P1576" s="20"/>
      <c r="Q1576" s="20"/>
      <c r="R1576" s="20"/>
      <c r="S1576" s="20"/>
      <c r="T1576" s="20"/>
      <c r="U1576" s="20"/>
      <c r="V1576" s="20"/>
      <c r="W1576" s="20"/>
      <c r="X1576" s="20"/>
      <c r="Y1576" s="20"/>
      <c r="Z1576" s="20"/>
      <c r="AA1576" s="20"/>
    </row>
    <row r="1577" spans="1:27" ht="34.799999999999997" x14ac:dyDescent="0.25">
      <c r="A1577" s="16"/>
      <c r="B1577" s="20" t="b">
        <f ca="1">IFERROR(__xludf.DUMMYFUNCTION("if(D1577=iferror(filter('Character Sheet'!D$13:D3002,'Character Sheet'!D$13:D3002=D1577),""""),True,False)"),FALSE)</f>
        <v>0</v>
      </c>
      <c r="C1577" s="20">
        <v>200</v>
      </c>
      <c r="D1577" s="2" t="s">
        <v>3362</v>
      </c>
      <c r="E1577" s="2" t="s">
        <v>501</v>
      </c>
      <c r="F1577" s="20" t="s">
        <v>62</v>
      </c>
      <c r="G1577" s="2" t="s">
        <v>3363</v>
      </c>
      <c r="H1577" s="16"/>
      <c r="I1577" s="20"/>
      <c r="J1577" s="20"/>
      <c r="K1577" s="20"/>
      <c r="L1577" s="20"/>
      <c r="M1577" s="20"/>
      <c r="N1577" s="20"/>
      <c r="O1577" s="20"/>
      <c r="P1577" s="20"/>
      <c r="Q1577" s="20"/>
      <c r="R1577" s="20"/>
      <c r="S1577" s="20"/>
      <c r="T1577" s="20"/>
      <c r="U1577" s="20"/>
      <c r="V1577" s="20"/>
      <c r="W1577" s="20"/>
      <c r="X1577" s="20"/>
      <c r="Y1577" s="20"/>
      <c r="Z1577" s="20"/>
      <c r="AA1577" s="20"/>
    </row>
    <row r="1578" spans="1:27" ht="87" x14ac:dyDescent="0.25">
      <c r="A1578" s="16"/>
      <c r="B1578" s="20" t="b">
        <f ca="1">IFERROR(__xludf.DUMMYFUNCTION("if(D1578=iferror(filter('Character Sheet'!D$13:D3002,'Character Sheet'!D$13:D3002=D1578),""""),True,False)"),FALSE)</f>
        <v>0</v>
      </c>
      <c r="C1578" s="20">
        <v>200</v>
      </c>
      <c r="D1578" s="2" t="s">
        <v>3364</v>
      </c>
      <c r="E1578" s="2" t="s">
        <v>475</v>
      </c>
      <c r="F1578" s="20" t="s">
        <v>62</v>
      </c>
      <c r="G1578" s="2" t="s">
        <v>3365</v>
      </c>
      <c r="H1578" s="16"/>
      <c r="I1578" s="20"/>
      <c r="J1578" s="20"/>
      <c r="K1578" s="20"/>
      <c r="L1578" s="20"/>
      <c r="M1578" s="20"/>
      <c r="N1578" s="20"/>
      <c r="O1578" s="20"/>
      <c r="P1578" s="20"/>
      <c r="Q1578" s="20"/>
      <c r="R1578" s="20"/>
      <c r="S1578" s="20"/>
      <c r="T1578" s="20"/>
      <c r="U1578" s="20"/>
      <c r="V1578" s="20"/>
      <c r="W1578" s="20"/>
      <c r="X1578" s="20"/>
      <c r="Y1578" s="20"/>
      <c r="Z1578" s="20"/>
      <c r="AA1578" s="20"/>
    </row>
    <row r="1579" spans="1:27" ht="69.599999999999994" x14ac:dyDescent="0.25">
      <c r="A1579" s="16"/>
      <c r="B1579" s="20" t="b">
        <f ca="1">IFERROR(__xludf.DUMMYFUNCTION("if(D1579=iferror(filter('Character Sheet'!D$13:D3002,'Character Sheet'!D$13:D3002=D1579),""""),True,False)"),FALSE)</f>
        <v>0</v>
      </c>
      <c r="C1579" s="20">
        <v>200</v>
      </c>
      <c r="D1579" s="2" t="s">
        <v>3366</v>
      </c>
      <c r="E1579" s="2" t="s">
        <v>501</v>
      </c>
      <c r="F1579" s="20" t="s">
        <v>62</v>
      </c>
      <c r="G1579" s="2" t="s">
        <v>3367</v>
      </c>
      <c r="H1579" s="16"/>
      <c r="I1579" s="20"/>
      <c r="J1579" s="20"/>
      <c r="K1579" s="20"/>
      <c r="L1579" s="20"/>
      <c r="M1579" s="20"/>
      <c r="N1579" s="20"/>
      <c r="O1579" s="20"/>
      <c r="P1579" s="20"/>
      <c r="Q1579" s="20"/>
      <c r="R1579" s="20"/>
      <c r="S1579" s="20"/>
      <c r="T1579" s="20"/>
      <c r="U1579" s="20"/>
      <c r="V1579" s="20"/>
      <c r="W1579" s="20"/>
      <c r="X1579" s="20"/>
      <c r="Y1579" s="20"/>
      <c r="Z1579" s="20"/>
      <c r="AA1579" s="20"/>
    </row>
    <row r="1580" spans="1:27" ht="208.8" x14ac:dyDescent="0.25">
      <c r="A1580" s="16"/>
      <c r="B1580" s="20" t="b">
        <f ca="1">IFERROR(__xludf.DUMMYFUNCTION("if(D1580=iferror(filter('Character Sheet'!D$13:D3002,'Character Sheet'!D$13:D3002=D1580),""""),True,False)"),FALSE)</f>
        <v>0</v>
      </c>
      <c r="C1580" s="20">
        <v>200</v>
      </c>
      <c r="D1580" s="2" t="s">
        <v>3368</v>
      </c>
      <c r="E1580" s="2" t="s">
        <v>1052</v>
      </c>
      <c r="F1580" s="20" t="s">
        <v>62</v>
      </c>
      <c r="G1580" s="2" t="s">
        <v>3369</v>
      </c>
      <c r="H1580" s="16"/>
      <c r="I1580" s="20"/>
      <c r="J1580" s="20"/>
      <c r="K1580" s="20"/>
      <c r="L1580" s="20"/>
      <c r="M1580" s="20"/>
      <c r="N1580" s="20"/>
      <c r="O1580" s="20"/>
      <c r="P1580" s="20"/>
      <c r="Q1580" s="20"/>
      <c r="R1580" s="20"/>
      <c r="S1580" s="20"/>
      <c r="T1580" s="20"/>
      <c r="U1580" s="20"/>
      <c r="V1580" s="20"/>
      <c r="W1580" s="20"/>
      <c r="X1580" s="20"/>
      <c r="Y1580" s="20"/>
      <c r="Z1580" s="20"/>
      <c r="AA1580" s="20"/>
    </row>
    <row r="1581" spans="1:27" ht="104.4" x14ac:dyDescent="0.25">
      <c r="A1581" s="16"/>
      <c r="B1581" s="20" t="b">
        <f ca="1">IFERROR(__xludf.DUMMYFUNCTION("if(D1581=iferror(filter('Character Sheet'!D$13:D3002,'Character Sheet'!D$13:D3002=D1581),""""),True,False)"),FALSE)</f>
        <v>0</v>
      </c>
      <c r="C1581" s="20">
        <v>200</v>
      </c>
      <c r="D1581" s="2" t="s">
        <v>3370</v>
      </c>
      <c r="E1581" s="2" t="s">
        <v>750</v>
      </c>
      <c r="F1581" s="20" t="s">
        <v>62</v>
      </c>
      <c r="G1581" s="2" t="s">
        <v>3371</v>
      </c>
      <c r="H1581" s="16"/>
      <c r="I1581" s="20"/>
      <c r="J1581" s="20"/>
      <c r="K1581" s="20"/>
      <c r="L1581" s="20"/>
      <c r="M1581" s="20"/>
      <c r="N1581" s="20"/>
      <c r="O1581" s="20"/>
      <c r="P1581" s="20"/>
      <c r="Q1581" s="20"/>
      <c r="R1581" s="20"/>
      <c r="S1581" s="20"/>
      <c r="T1581" s="20"/>
      <c r="U1581" s="20"/>
      <c r="V1581" s="20"/>
      <c r="W1581" s="20"/>
      <c r="X1581" s="20"/>
      <c r="Y1581" s="20"/>
      <c r="Z1581" s="20"/>
      <c r="AA1581" s="20"/>
    </row>
    <row r="1582" spans="1:27" ht="69.599999999999994" x14ac:dyDescent="0.25">
      <c r="A1582" s="16"/>
      <c r="B1582" s="20" t="b">
        <f ca="1">IFERROR(__xludf.DUMMYFUNCTION("if(D1582=iferror(filter('Character Sheet'!D$13:D3002,'Character Sheet'!D$13:D3002=D1582),""""),True,False)"),FALSE)</f>
        <v>0</v>
      </c>
      <c r="C1582" s="20">
        <v>200</v>
      </c>
      <c r="D1582" s="2" t="s">
        <v>3372</v>
      </c>
      <c r="E1582" s="2" t="s">
        <v>366</v>
      </c>
      <c r="F1582" s="20" t="s">
        <v>62</v>
      </c>
      <c r="G1582" s="2" t="s">
        <v>3373</v>
      </c>
      <c r="H1582" s="16"/>
      <c r="I1582" s="20"/>
      <c r="J1582" s="20"/>
      <c r="K1582" s="20"/>
      <c r="L1582" s="20"/>
      <c r="M1582" s="20"/>
      <c r="N1582" s="20"/>
      <c r="O1582" s="20"/>
      <c r="P1582" s="20"/>
      <c r="Q1582" s="20"/>
      <c r="R1582" s="20"/>
      <c r="S1582" s="20"/>
      <c r="T1582" s="20"/>
      <c r="U1582" s="20"/>
      <c r="V1582" s="20"/>
      <c r="W1582" s="20"/>
      <c r="X1582" s="20"/>
      <c r="Y1582" s="20"/>
      <c r="Z1582" s="20"/>
      <c r="AA1582" s="20"/>
    </row>
    <row r="1583" spans="1:27" ht="121.8" x14ac:dyDescent="0.25">
      <c r="A1583" s="16"/>
      <c r="B1583" s="20" t="b">
        <f ca="1">IFERROR(__xludf.DUMMYFUNCTION("if(D1583=iferror(filter('Character Sheet'!D$13:D3002,'Character Sheet'!D$13:D3002=D1583),""""),True,False)"),FALSE)</f>
        <v>0</v>
      </c>
      <c r="C1583" s="20">
        <v>200</v>
      </c>
      <c r="D1583" s="2" t="s">
        <v>3374</v>
      </c>
      <c r="E1583" s="2" t="s">
        <v>144</v>
      </c>
      <c r="F1583" s="20" t="s">
        <v>62</v>
      </c>
      <c r="G1583" s="2" t="s">
        <v>3375</v>
      </c>
      <c r="H1583" s="16"/>
      <c r="I1583" s="20"/>
      <c r="J1583" s="20"/>
      <c r="K1583" s="20"/>
      <c r="L1583" s="20"/>
      <c r="M1583" s="20"/>
      <c r="N1583" s="20"/>
      <c r="O1583" s="20"/>
      <c r="P1583" s="20"/>
      <c r="Q1583" s="20"/>
      <c r="R1583" s="20"/>
      <c r="S1583" s="20"/>
      <c r="T1583" s="20"/>
      <c r="U1583" s="20"/>
      <c r="V1583" s="20"/>
      <c r="W1583" s="20"/>
      <c r="X1583" s="20"/>
      <c r="Y1583" s="20"/>
      <c r="Z1583" s="20"/>
      <c r="AA1583" s="20"/>
    </row>
    <row r="1584" spans="1:27" ht="52.2" x14ac:dyDescent="0.25">
      <c r="A1584" s="16"/>
      <c r="B1584" s="20" t="b">
        <f ca="1">IFERROR(__xludf.DUMMYFUNCTION("if(D1584=iferror(filter('Character Sheet'!D$13:D3002,'Character Sheet'!D$13:D3002=D1584),""""),True,False)"),FALSE)</f>
        <v>0</v>
      </c>
      <c r="C1584" s="20">
        <v>200</v>
      </c>
      <c r="D1584" s="2" t="s">
        <v>3376</v>
      </c>
      <c r="E1584" s="2" t="s">
        <v>652</v>
      </c>
      <c r="F1584" s="20" t="s">
        <v>62</v>
      </c>
      <c r="G1584" s="2" t="s">
        <v>3377</v>
      </c>
      <c r="H1584" s="16"/>
      <c r="I1584" s="20"/>
      <c r="J1584" s="20"/>
      <c r="K1584" s="20"/>
      <c r="L1584" s="20"/>
      <c r="M1584" s="20"/>
      <c r="N1584" s="20"/>
      <c r="O1584" s="20"/>
      <c r="P1584" s="20"/>
      <c r="Q1584" s="20"/>
      <c r="R1584" s="20"/>
      <c r="S1584" s="20"/>
      <c r="T1584" s="20"/>
      <c r="U1584" s="20"/>
      <c r="V1584" s="20"/>
      <c r="W1584" s="20"/>
      <c r="X1584" s="20"/>
      <c r="Y1584" s="20"/>
      <c r="Z1584" s="20"/>
      <c r="AA1584" s="20"/>
    </row>
    <row r="1585" spans="1:27" ht="104.4" x14ac:dyDescent="0.25">
      <c r="A1585" s="16"/>
      <c r="B1585" s="20" t="b">
        <f ca="1">IFERROR(__xludf.DUMMYFUNCTION("if(D1585=iferror(filter('Character Sheet'!D$13:D3002,'Character Sheet'!D$13:D3002=D1585),""""),True,False)"),FALSE)</f>
        <v>0</v>
      </c>
      <c r="C1585" s="20">
        <v>200</v>
      </c>
      <c r="D1585" s="2" t="s">
        <v>3378</v>
      </c>
      <c r="E1585" s="2" t="s">
        <v>100</v>
      </c>
      <c r="F1585" s="20" t="s">
        <v>62</v>
      </c>
      <c r="G1585" s="2" t="s">
        <v>3379</v>
      </c>
      <c r="H1585" s="16"/>
      <c r="I1585" s="20"/>
      <c r="J1585" s="20"/>
      <c r="K1585" s="20"/>
      <c r="L1585" s="20"/>
      <c r="M1585" s="20"/>
      <c r="N1585" s="20"/>
      <c r="O1585" s="20"/>
      <c r="P1585" s="20"/>
      <c r="Q1585" s="20"/>
      <c r="R1585" s="20"/>
      <c r="S1585" s="20"/>
      <c r="T1585" s="20"/>
      <c r="U1585" s="20"/>
      <c r="V1585" s="20"/>
      <c r="W1585" s="20"/>
      <c r="X1585" s="20"/>
      <c r="Y1585" s="20"/>
      <c r="Z1585" s="20"/>
      <c r="AA1585" s="20"/>
    </row>
    <row r="1586" spans="1:27" ht="121.8" x14ac:dyDescent="0.25">
      <c r="A1586" s="16"/>
      <c r="B1586" s="20" t="b">
        <f ca="1">IFERROR(__xludf.DUMMYFUNCTION("if(D1586=iferror(filter('Character Sheet'!D$13:D3002,'Character Sheet'!D$13:D3002=D1586),""""),True,False)"),FALSE)</f>
        <v>0</v>
      </c>
      <c r="C1586" s="20">
        <v>200</v>
      </c>
      <c r="D1586" s="2" t="s">
        <v>3380</v>
      </c>
      <c r="E1586" s="2" t="s">
        <v>303</v>
      </c>
      <c r="F1586" s="20" t="s">
        <v>62</v>
      </c>
      <c r="G1586" s="2" t="s">
        <v>3381</v>
      </c>
      <c r="H1586" s="16"/>
      <c r="I1586" s="20"/>
      <c r="J1586" s="20"/>
      <c r="K1586" s="20"/>
      <c r="L1586" s="20"/>
      <c r="M1586" s="20"/>
      <c r="N1586" s="20"/>
      <c r="O1586" s="20"/>
      <c r="P1586" s="20"/>
      <c r="Q1586" s="20"/>
      <c r="R1586" s="20"/>
      <c r="S1586" s="20"/>
      <c r="T1586" s="20"/>
      <c r="U1586" s="20"/>
      <c r="V1586" s="20"/>
      <c r="W1586" s="20"/>
      <c r="X1586" s="20"/>
      <c r="Y1586" s="20"/>
      <c r="Z1586" s="20"/>
      <c r="AA1586" s="20"/>
    </row>
    <row r="1587" spans="1:27" ht="156.6" x14ac:dyDescent="0.25">
      <c r="A1587" s="16"/>
      <c r="B1587" s="20" t="b">
        <f ca="1">IFERROR(__xludf.DUMMYFUNCTION("if(D1587=iferror(filter('Character Sheet'!D$13:D3002,'Character Sheet'!D$13:D3002=D1587),""""),True,False)"),FALSE)</f>
        <v>0</v>
      </c>
      <c r="C1587" s="20">
        <v>200</v>
      </c>
      <c r="D1587" s="2" t="s">
        <v>3382</v>
      </c>
      <c r="E1587" s="2" t="s">
        <v>662</v>
      </c>
      <c r="F1587" s="20" t="s">
        <v>62</v>
      </c>
      <c r="G1587" s="2" t="s">
        <v>3383</v>
      </c>
      <c r="H1587" s="16"/>
      <c r="I1587" s="20"/>
      <c r="J1587" s="20"/>
      <c r="K1587" s="20"/>
      <c r="L1587" s="20"/>
      <c r="M1587" s="20"/>
      <c r="N1587" s="20"/>
      <c r="O1587" s="20"/>
      <c r="P1587" s="20"/>
      <c r="Q1587" s="20"/>
      <c r="R1587" s="20"/>
      <c r="S1587" s="20"/>
      <c r="T1587" s="20"/>
      <c r="U1587" s="20"/>
      <c r="V1587" s="20"/>
      <c r="W1587" s="20"/>
      <c r="X1587" s="20"/>
      <c r="Y1587" s="20"/>
      <c r="Z1587" s="20"/>
      <c r="AA1587" s="20"/>
    </row>
    <row r="1588" spans="1:27" ht="104.4" x14ac:dyDescent="0.25">
      <c r="A1588" s="16"/>
      <c r="B1588" s="20" t="b">
        <f ca="1">IFERROR(__xludf.DUMMYFUNCTION("if(D1588=iferror(filter('Character Sheet'!D$13:D3002,'Character Sheet'!D$13:D3002=D1588),""""),True,False)"),FALSE)</f>
        <v>0</v>
      </c>
      <c r="C1588" s="20">
        <v>200</v>
      </c>
      <c r="D1588" s="2" t="s">
        <v>3384</v>
      </c>
      <c r="E1588" s="2" t="s">
        <v>775</v>
      </c>
      <c r="F1588" s="20" t="s">
        <v>62</v>
      </c>
      <c r="G1588" s="2" t="s">
        <v>3385</v>
      </c>
      <c r="H1588" s="16"/>
      <c r="I1588" s="20"/>
      <c r="J1588" s="20"/>
      <c r="K1588" s="20"/>
      <c r="L1588" s="20"/>
      <c r="M1588" s="20"/>
      <c r="N1588" s="20"/>
      <c r="O1588" s="20"/>
      <c r="P1588" s="20"/>
      <c r="Q1588" s="20"/>
      <c r="R1588" s="20"/>
      <c r="S1588" s="20"/>
      <c r="T1588" s="20"/>
      <c r="U1588" s="20"/>
      <c r="V1588" s="20"/>
      <c r="W1588" s="20"/>
      <c r="X1588" s="20"/>
      <c r="Y1588" s="20"/>
      <c r="Z1588" s="20"/>
      <c r="AA1588" s="20"/>
    </row>
    <row r="1589" spans="1:27" ht="156.6" x14ac:dyDescent="0.25">
      <c r="A1589" s="16"/>
      <c r="B1589" s="20" t="b">
        <f ca="1">IFERROR(__xludf.DUMMYFUNCTION("if(D1589=iferror(filter('Character Sheet'!D$13:D3002,'Character Sheet'!D$13:D3002=D1589),""""),True,False)"),FALSE)</f>
        <v>0</v>
      </c>
      <c r="C1589" s="20">
        <v>200</v>
      </c>
      <c r="D1589" s="2" t="s">
        <v>3386</v>
      </c>
      <c r="E1589" s="2" t="s">
        <v>845</v>
      </c>
      <c r="F1589" s="20" t="s">
        <v>62</v>
      </c>
      <c r="G1589" s="2" t="s">
        <v>3387</v>
      </c>
      <c r="H1589" s="16"/>
      <c r="I1589" s="20"/>
      <c r="J1589" s="20"/>
      <c r="K1589" s="20"/>
      <c r="L1589" s="20"/>
      <c r="M1589" s="20"/>
      <c r="N1589" s="20"/>
      <c r="O1589" s="20"/>
      <c r="P1589" s="20"/>
      <c r="Q1589" s="20"/>
      <c r="R1589" s="20"/>
      <c r="S1589" s="20"/>
      <c r="T1589" s="20"/>
      <c r="U1589" s="20"/>
      <c r="V1589" s="20"/>
      <c r="W1589" s="20"/>
      <c r="X1589" s="20"/>
      <c r="Y1589" s="20"/>
      <c r="Z1589" s="20"/>
      <c r="AA1589" s="20"/>
    </row>
    <row r="1590" spans="1:27" ht="156.6" x14ac:dyDescent="0.25">
      <c r="A1590" s="16"/>
      <c r="B1590" s="20" t="b">
        <f ca="1">IFERROR(__xludf.DUMMYFUNCTION("if(D1590=iferror(filter('Character Sheet'!D$13:D3002,'Character Sheet'!D$13:D3002=D1590),""""),True,False)"),FALSE)</f>
        <v>0</v>
      </c>
      <c r="C1590" s="20">
        <v>200</v>
      </c>
      <c r="D1590" s="2" t="s">
        <v>3388</v>
      </c>
      <c r="E1590" s="2" t="s">
        <v>863</v>
      </c>
      <c r="F1590" s="20" t="s">
        <v>62</v>
      </c>
      <c r="G1590" s="2" t="s">
        <v>3389</v>
      </c>
      <c r="H1590" s="16"/>
      <c r="I1590" s="20"/>
      <c r="J1590" s="20"/>
      <c r="K1590" s="20"/>
      <c r="L1590" s="20"/>
      <c r="M1590" s="20"/>
      <c r="N1590" s="20"/>
      <c r="O1590" s="20"/>
      <c r="P1590" s="20"/>
      <c r="Q1590" s="20"/>
      <c r="R1590" s="20"/>
      <c r="S1590" s="20"/>
      <c r="T1590" s="20"/>
      <c r="U1590" s="20"/>
      <c r="V1590" s="20"/>
      <c r="W1590" s="20"/>
      <c r="X1590" s="20"/>
      <c r="Y1590" s="20"/>
      <c r="Z1590" s="20"/>
      <c r="AA1590" s="20"/>
    </row>
    <row r="1591" spans="1:27" ht="139.19999999999999" x14ac:dyDescent="0.25">
      <c r="A1591" s="16"/>
      <c r="B1591" s="20" t="b">
        <f ca="1">IFERROR(__xludf.DUMMYFUNCTION("if(D1591=iferror(filter('Character Sheet'!D$13:D3002,'Character Sheet'!D$13:D3002=D1591),""""),True,False)"),FALSE)</f>
        <v>0</v>
      </c>
      <c r="C1591" s="20">
        <v>200</v>
      </c>
      <c r="D1591" s="2" t="s">
        <v>3390</v>
      </c>
      <c r="E1591" s="2" t="s">
        <v>87</v>
      </c>
      <c r="F1591" s="20" t="s">
        <v>62</v>
      </c>
      <c r="G1591" s="2" t="s">
        <v>3391</v>
      </c>
      <c r="H1591" s="16"/>
      <c r="I1591" s="20"/>
      <c r="J1591" s="20"/>
      <c r="K1591" s="20"/>
      <c r="L1591" s="20"/>
      <c r="M1591" s="20"/>
      <c r="N1591" s="20"/>
      <c r="O1591" s="20"/>
      <c r="P1591" s="20"/>
      <c r="Q1591" s="20"/>
      <c r="R1591" s="20"/>
      <c r="S1591" s="20"/>
      <c r="T1591" s="20"/>
      <c r="U1591" s="20"/>
      <c r="V1591" s="20"/>
      <c r="W1591" s="20"/>
      <c r="X1591" s="20"/>
      <c r="Y1591" s="20"/>
      <c r="Z1591" s="20"/>
      <c r="AA1591" s="20"/>
    </row>
    <row r="1592" spans="1:27" ht="87" x14ac:dyDescent="0.25">
      <c r="A1592" s="16"/>
      <c r="B1592" s="20" t="b">
        <f ca="1">IFERROR(__xludf.DUMMYFUNCTION("if(D1592=iferror(filter('Character Sheet'!D$13:D3002,'Character Sheet'!D$13:D3002=D1592),""""),True,False)"),FALSE)</f>
        <v>0</v>
      </c>
      <c r="C1592" s="20">
        <v>200</v>
      </c>
      <c r="D1592" s="2" t="s">
        <v>3392</v>
      </c>
      <c r="E1592" s="2" t="s">
        <v>238</v>
      </c>
      <c r="F1592" s="20" t="s">
        <v>62</v>
      </c>
      <c r="G1592" s="2" t="s">
        <v>3393</v>
      </c>
      <c r="H1592" s="16"/>
      <c r="I1592" s="20"/>
      <c r="J1592" s="20"/>
      <c r="K1592" s="20"/>
      <c r="L1592" s="20"/>
      <c r="M1592" s="20"/>
      <c r="N1592" s="20"/>
      <c r="O1592" s="20"/>
      <c r="P1592" s="20"/>
      <c r="Q1592" s="20"/>
      <c r="R1592" s="20"/>
      <c r="S1592" s="20"/>
      <c r="T1592" s="20"/>
      <c r="U1592" s="20"/>
      <c r="V1592" s="20"/>
      <c r="W1592" s="20"/>
      <c r="X1592" s="20"/>
      <c r="Y1592" s="20"/>
      <c r="Z1592" s="20"/>
      <c r="AA1592" s="20"/>
    </row>
    <row r="1593" spans="1:27" ht="69.599999999999994" x14ac:dyDescent="0.25">
      <c r="A1593" s="16"/>
      <c r="B1593" s="20" t="b">
        <f ca="1">IFERROR(__xludf.DUMMYFUNCTION("if(D1593=iferror(filter('Character Sheet'!D$13:D3002,'Character Sheet'!D$13:D3002=D1593),""""),True,False)"),FALSE)</f>
        <v>0</v>
      </c>
      <c r="C1593" s="20">
        <v>200</v>
      </c>
      <c r="D1593" s="2" t="s">
        <v>3394</v>
      </c>
      <c r="E1593" s="2" t="s">
        <v>394</v>
      </c>
      <c r="F1593" s="20" t="s">
        <v>62</v>
      </c>
      <c r="G1593" s="2" t="s">
        <v>3395</v>
      </c>
      <c r="H1593" s="16"/>
      <c r="I1593" s="20"/>
      <c r="J1593" s="20"/>
      <c r="K1593" s="20"/>
      <c r="L1593" s="20"/>
      <c r="M1593" s="20"/>
      <c r="N1593" s="20"/>
      <c r="O1593" s="20"/>
      <c r="P1593" s="20"/>
      <c r="Q1593" s="20"/>
      <c r="R1593" s="20"/>
      <c r="S1593" s="20"/>
      <c r="T1593" s="20"/>
      <c r="U1593" s="20"/>
      <c r="V1593" s="20"/>
      <c r="W1593" s="20"/>
      <c r="X1593" s="20"/>
      <c r="Y1593" s="20"/>
      <c r="Z1593" s="20"/>
      <c r="AA1593" s="20"/>
    </row>
    <row r="1594" spans="1:27" ht="52.2" x14ac:dyDescent="0.25">
      <c r="A1594" s="16"/>
      <c r="B1594" s="20" t="b">
        <f ca="1">IFERROR(__xludf.DUMMYFUNCTION("if(D1594=iferror(filter('Character Sheet'!D$13:D3002,'Character Sheet'!D$13:D3002=D1594),""""),True,False)"),FALSE)</f>
        <v>0</v>
      </c>
      <c r="C1594" s="20">
        <v>200</v>
      </c>
      <c r="D1594" s="2" t="s">
        <v>3396</v>
      </c>
      <c r="E1594" s="2" t="s">
        <v>630</v>
      </c>
      <c r="F1594" s="20" t="s">
        <v>62</v>
      </c>
      <c r="G1594" s="2" t="s">
        <v>3397</v>
      </c>
      <c r="H1594" s="16"/>
      <c r="I1594" s="20"/>
      <c r="J1594" s="20"/>
      <c r="K1594" s="20"/>
      <c r="L1594" s="20"/>
      <c r="M1594" s="20"/>
      <c r="N1594" s="20"/>
      <c r="O1594" s="20"/>
      <c r="P1594" s="20"/>
      <c r="Q1594" s="20"/>
      <c r="R1594" s="20"/>
      <c r="S1594" s="20"/>
      <c r="T1594" s="20"/>
      <c r="U1594" s="20"/>
      <c r="V1594" s="20"/>
      <c r="W1594" s="20"/>
      <c r="X1594" s="20"/>
      <c r="Y1594" s="20"/>
      <c r="Z1594" s="20"/>
      <c r="AA1594" s="20"/>
    </row>
    <row r="1595" spans="1:27" ht="208.8" x14ac:dyDescent="0.25">
      <c r="A1595" s="16"/>
      <c r="B1595" s="20" t="b">
        <f ca="1">IFERROR(__xludf.DUMMYFUNCTION("if(D1595=iferror(filter('Character Sheet'!D$13:D3002,'Character Sheet'!D$13:D3002=D1595),""""),True,False)"),FALSE)</f>
        <v>0</v>
      </c>
      <c r="C1595" s="20">
        <v>200</v>
      </c>
      <c r="D1595" s="2" t="s">
        <v>3398</v>
      </c>
      <c r="E1595" s="2" t="s">
        <v>124</v>
      </c>
      <c r="F1595" s="20" t="s">
        <v>62</v>
      </c>
      <c r="G1595" s="2" t="s">
        <v>3399</v>
      </c>
      <c r="H1595" s="16"/>
      <c r="I1595" s="20"/>
      <c r="J1595" s="20"/>
      <c r="K1595" s="20"/>
      <c r="L1595" s="20"/>
      <c r="M1595" s="20"/>
      <c r="N1595" s="20"/>
      <c r="O1595" s="20"/>
      <c r="P1595" s="20"/>
      <c r="Q1595" s="20"/>
      <c r="R1595" s="20"/>
      <c r="S1595" s="20"/>
      <c r="T1595" s="20"/>
      <c r="U1595" s="20"/>
      <c r="V1595" s="20"/>
      <c r="W1595" s="20"/>
      <c r="X1595" s="20"/>
      <c r="Y1595" s="20"/>
      <c r="Z1595" s="20"/>
      <c r="AA1595" s="20"/>
    </row>
    <row r="1596" spans="1:27" ht="208.8" x14ac:dyDescent="0.25">
      <c r="A1596" s="16"/>
      <c r="B1596" s="20" t="b">
        <f ca="1">IFERROR(__xludf.DUMMYFUNCTION("if(D1596=iferror(filter('Character Sheet'!D$13:D3002,'Character Sheet'!D$13:D3002=D1596),""""),True,False)"),FALSE)</f>
        <v>0</v>
      </c>
      <c r="C1596" s="20">
        <v>200</v>
      </c>
      <c r="D1596" s="2" t="s">
        <v>3400</v>
      </c>
      <c r="E1596" s="2" t="s">
        <v>119</v>
      </c>
      <c r="F1596" s="20" t="s">
        <v>62</v>
      </c>
      <c r="G1596" s="2" t="s">
        <v>3401</v>
      </c>
      <c r="H1596" s="16"/>
      <c r="I1596" s="20"/>
      <c r="J1596" s="20"/>
      <c r="K1596" s="20"/>
      <c r="L1596" s="20"/>
      <c r="M1596" s="20"/>
      <c r="N1596" s="20"/>
      <c r="O1596" s="20"/>
      <c r="P1596" s="20"/>
      <c r="Q1596" s="20"/>
      <c r="R1596" s="20"/>
      <c r="S1596" s="20"/>
      <c r="T1596" s="20"/>
      <c r="U1596" s="20"/>
      <c r="V1596" s="20"/>
      <c r="W1596" s="20"/>
      <c r="X1596" s="20"/>
      <c r="Y1596" s="20"/>
      <c r="Z1596" s="20"/>
      <c r="AA1596" s="20"/>
    </row>
    <row r="1597" spans="1:27" ht="87" x14ac:dyDescent="0.25">
      <c r="A1597" s="16"/>
      <c r="B1597" s="20" t="b">
        <f ca="1">IFERROR(__xludf.DUMMYFUNCTION("if(D1597=iferror(filter('Character Sheet'!D$13:D3002,'Character Sheet'!D$13:D3002=D1597),""""),True,False)"),FALSE)</f>
        <v>0</v>
      </c>
      <c r="C1597" s="20">
        <v>200</v>
      </c>
      <c r="D1597" s="2" t="s">
        <v>3402</v>
      </c>
      <c r="E1597" s="2" t="s">
        <v>958</v>
      </c>
      <c r="F1597" s="20" t="s">
        <v>62</v>
      </c>
      <c r="G1597" s="2" t="s">
        <v>3403</v>
      </c>
      <c r="H1597" s="16"/>
      <c r="I1597" s="20"/>
      <c r="J1597" s="20"/>
      <c r="K1597" s="20"/>
      <c r="L1597" s="20"/>
      <c r="M1597" s="20"/>
      <c r="N1597" s="20"/>
      <c r="O1597" s="20"/>
      <c r="P1597" s="20"/>
      <c r="Q1597" s="20"/>
      <c r="R1597" s="20"/>
      <c r="S1597" s="20"/>
      <c r="T1597" s="20"/>
      <c r="U1597" s="20"/>
      <c r="V1597" s="20"/>
      <c r="W1597" s="20"/>
      <c r="X1597" s="20"/>
      <c r="Y1597" s="20"/>
      <c r="Z1597" s="20"/>
      <c r="AA1597" s="20"/>
    </row>
    <row r="1598" spans="1:27" ht="69.599999999999994" x14ac:dyDescent="0.25">
      <c r="A1598" s="16"/>
      <c r="B1598" s="20" t="b">
        <f ca="1">IFERROR(__xludf.DUMMYFUNCTION("if(D1598=iferror(filter('Character Sheet'!D$13:D3002,'Character Sheet'!D$13:D3002=D1598),""""),True,False)"),FALSE)</f>
        <v>0</v>
      </c>
      <c r="C1598" s="20">
        <v>200</v>
      </c>
      <c r="D1598" s="2" t="s">
        <v>3404</v>
      </c>
      <c r="E1598" s="2" t="s">
        <v>1828</v>
      </c>
      <c r="F1598" s="20" t="s">
        <v>62</v>
      </c>
      <c r="G1598" s="2" t="s">
        <v>3405</v>
      </c>
      <c r="H1598" s="16"/>
      <c r="I1598" s="20"/>
      <c r="J1598" s="20"/>
      <c r="K1598" s="20"/>
      <c r="L1598" s="20"/>
      <c r="M1598" s="20"/>
      <c r="N1598" s="20"/>
      <c r="O1598" s="20"/>
      <c r="P1598" s="20"/>
      <c r="Q1598" s="20"/>
      <c r="R1598" s="20"/>
      <c r="S1598" s="20"/>
      <c r="T1598" s="20"/>
      <c r="U1598" s="20"/>
      <c r="V1598" s="20"/>
      <c r="W1598" s="20"/>
      <c r="X1598" s="20"/>
      <c r="Y1598" s="20"/>
      <c r="Z1598" s="20"/>
      <c r="AA1598" s="20"/>
    </row>
    <row r="1599" spans="1:27" ht="104.4" x14ac:dyDescent="0.25">
      <c r="A1599" s="16"/>
      <c r="B1599" s="20" t="b">
        <f ca="1">IFERROR(__xludf.DUMMYFUNCTION("if(D1599=iferror(filter('Character Sheet'!D$13:D3002,'Character Sheet'!D$13:D3002=D1599),""""),True,False)"),FALSE)</f>
        <v>0</v>
      </c>
      <c r="C1599" s="20">
        <v>200</v>
      </c>
      <c r="D1599" s="2" t="s">
        <v>3406</v>
      </c>
      <c r="E1599" s="2" t="s">
        <v>331</v>
      </c>
      <c r="F1599" s="20" t="s">
        <v>62</v>
      </c>
      <c r="G1599" s="2" t="s">
        <v>3407</v>
      </c>
      <c r="H1599" s="16"/>
      <c r="I1599" s="20"/>
      <c r="J1599" s="20"/>
      <c r="K1599" s="20"/>
      <c r="L1599" s="20"/>
      <c r="M1599" s="20"/>
      <c r="N1599" s="20"/>
      <c r="O1599" s="20"/>
      <c r="P1599" s="20"/>
      <c r="Q1599" s="20"/>
      <c r="R1599" s="20"/>
      <c r="S1599" s="20"/>
      <c r="T1599" s="20"/>
      <c r="U1599" s="20"/>
      <c r="V1599" s="20"/>
      <c r="W1599" s="20"/>
      <c r="X1599" s="20"/>
      <c r="Y1599" s="20"/>
      <c r="Z1599" s="20"/>
      <c r="AA1599" s="20"/>
    </row>
    <row r="1600" spans="1:27" ht="52.2" x14ac:dyDescent="0.25">
      <c r="A1600" s="16"/>
      <c r="B1600" s="20" t="b">
        <f ca="1">IFERROR(__xludf.DUMMYFUNCTION("if(D1600=iferror(filter('Character Sheet'!D$13:D3002,'Character Sheet'!D$13:D3002=D1600),""""),True,False)"),FALSE)</f>
        <v>0</v>
      </c>
      <c r="C1600" s="20">
        <v>200</v>
      </c>
      <c r="D1600" s="2" t="s">
        <v>3408</v>
      </c>
      <c r="E1600" s="2" t="s">
        <v>1787</v>
      </c>
      <c r="F1600" s="20" t="s">
        <v>62</v>
      </c>
      <c r="G1600" s="2" t="s">
        <v>3409</v>
      </c>
      <c r="H1600" s="16"/>
      <c r="I1600" s="20"/>
      <c r="J1600" s="20"/>
      <c r="K1600" s="20"/>
      <c r="L1600" s="20"/>
      <c r="M1600" s="20"/>
      <c r="N1600" s="20"/>
      <c r="O1600" s="20"/>
      <c r="P1600" s="20"/>
      <c r="Q1600" s="20"/>
      <c r="R1600" s="20"/>
      <c r="S1600" s="20"/>
      <c r="T1600" s="20"/>
      <c r="U1600" s="20"/>
      <c r="V1600" s="20"/>
      <c r="W1600" s="20"/>
      <c r="X1600" s="20"/>
      <c r="Y1600" s="20"/>
      <c r="Z1600" s="20"/>
      <c r="AA1600" s="20"/>
    </row>
    <row r="1601" spans="1:27" ht="87" x14ac:dyDescent="0.25">
      <c r="A1601" s="16"/>
      <c r="B1601" s="20" t="b">
        <f ca="1">IFERROR(__xludf.DUMMYFUNCTION("if(D1601=iferror(filter('Character Sheet'!D$13:D3002,'Character Sheet'!D$13:D3002=D1601),""""),True,False)"),FALSE)</f>
        <v>0</v>
      </c>
      <c r="C1601" s="20">
        <v>200</v>
      </c>
      <c r="D1601" s="2" t="s">
        <v>3410</v>
      </c>
      <c r="E1601" s="2" t="s">
        <v>501</v>
      </c>
      <c r="F1601" s="20" t="s">
        <v>62</v>
      </c>
      <c r="G1601" s="2" t="s">
        <v>3411</v>
      </c>
      <c r="H1601" s="16"/>
      <c r="I1601" s="20"/>
      <c r="J1601" s="20"/>
      <c r="K1601" s="20"/>
      <c r="L1601" s="20"/>
      <c r="M1601" s="20"/>
      <c r="N1601" s="20"/>
      <c r="O1601" s="20"/>
      <c r="P1601" s="20"/>
      <c r="Q1601" s="20"/>
      <c r="R1601" s="20"/>
      <c r="S1601" s="20"/>
      <c r="T1601" s="20"/>
      <c r="U1601" s="20"/>
      <c r="V1601" s="20"/>
      <c r="W1601" s="20"/>
      <c r="X1601" s="20"/>
      <c r="Y1601" s="20"/>
      <c r="Z1601" s="20"/>
      <c r="AA1601" s="20"/>
    </row>
    <row r="1602" spans="1:27" ht="121.8" x14ac:dyDescent="0.25">
      <c r="A1602" s="16"/>
      <c r="B1602" s="20" t="b">
        <f ca="1">IFERROR(__xludf.DUMMYFUNCTION("if(D1602=iferror(filter('Character Sheet'!D$13:D3002,'Character Sheet'!D$13:D3002=D1602),""""),True,False)"),FALSE)</f>
        <v>0</v>
      </c>
      <c r="C1602" s="20">
        <v>200</v>
      </c>
      <c r="D1602" s="2" t="s">
        <v>3412</v>
      </c>
      <c r="E1602" s="2" t="s">
        <v>1130</v>
      </c>
      <c r="F1602" s="20" t="s">
        <v>62</v>
      </c>
      <c r="G1602" s="2" t="s">
        <v>3413</v>
      </c>
      <c r="H1602" s="16"/>
      <c r="I1602" s="20"/>
      <c r="J1602" s="20"/>
      <c r="K1602" s="20"/>
      <c r="L1602" s="20"/>
      <c r="M1602" s="20"/>
      <c r="N1602" s="20"/>
      <c r="O1602" s="20"/>
      <c r="P1602" s="20"/>
      <c r="Q1602" s="20"/>
      <c r="R1602" s="20"/>
      <c r="S1602" s="20"/>
      <c r="T1602" s="20"/>
      <c r="U1602" s="20"/>
      <c r="V1602" s="20"/>
      <c r="W1602" s="20"/>
      <c r="X1602" s="20"/>
      <c r="Y1602" s="20"/>
      <c r="Z1602" s="20"/>
      <c r="AA1602" s="20"/>
    </row>
    <row r="1603" spans="1:27" ht="87" x14ac:dyDescent="0.25">
      <c r="A1603" s="16"/>
      <c r="B1603" s="20" t="b">
        <f ca="1">IFERROR(__xludf.DUMMYFUNCTION("if(D1603=iferror(filter('Character Sheet'!D$13:D3002,'Character Sheet'!D$13:D3002=D1603),""""),True,False)"),FALSE)</f>
        <v>0</v>
      </c>
      <c r="C1603" s="20">
        <v>300</v>
      </c>
      <c r="D1603" s="2" t="s">
        <v>3414</v>
      </c>
      <c r="E1603" s="2" t="s">
        <v>2567</v>
      </c>
      <c r="F1603" s="20" t="s">
        <v>62</v>
      </c>
      <c r="G1603" s="2" t="s">
        <v>3415</v>
      </c>
      <c r="H1603" s="16"/>
      <c r="I1603" s="20"/>
      <c r="J1603" s="20"/>
      <c r="K1603" s="20"/>
      <c r="L1603" s="20"/>
      <c r="M1603" s="20"/>
      <c r="N1603" s="20"/>
      <c r="O1603" s="20"/>
      <c r="P1603" s="20"/>
      <c r="Q1603" s="20"/>
      <c r="R1603" s="20"/>
      <c r="S1603" s="20"/>
      <c r="T1603" s="20"/>
      <c r="U1603" s="20"/>
      <c r="V1603" s="20"/>
      <c r="W1603" s="20"/>
      <c r="X1603" s="20"/>
      <c r="Y1603" s="20"/>
      <c r="Z1603" s="20"/>
      <c r="AA1603" s="20"/>
    </row>
    <row r="1604" spans="1:27" ht="87" x14ac:dyDescent="0.25">
      <c r="A1604" s="16"/>
      <c r="B1604" s="20" t="b">
        <f ca="1">IFERROR(__xludf.DUMMYFUNCTION("if(D1604=iferror(filter('Character Sheet'!D$13:D3002,'Character Sheet'!D$13:D3002=D1604),""""),True,False)"),FALSE)</f>
        <v>0</v>
      </c>
      <c r="C1604" s="20">
        <v>300</v>
      </c>
      <c r="D1604" s="2" t="s">
        <v>3416</v>
      </c>
      <c r="E1604" s="2" t="s">
        <v>435</v>
      </c>
      <c r="F1604" s="20" t="s">
        <v>62</v>
      </c>
      <c r="G1604" s="2" t="s">
        <v>3417</v>
      </c>
      <c r="H1604" s="16"/>
      <c r="I1604" s="20"/>
      <c r="J1604" s="20"/>
      <c r="K1604" s="20"/>
      <c r="L1604" s="20"/>
      <c r="M1604" s="20"/>
      <c r="N1604" s="20"/>
      <c r="O1604" s="20"/>
      <c r="P1604" s="20"/>
      <c r="Q1604" s="20"/>
      <c r="R1604" s="20"/>
      <c r="S1604" s="20"/>
      <c r="T1604" s="20"/>
      <c r="U1604" s="20"/>
      <c r="V1604" s="20"/>
      <c r="W1604" s="20"/>
      <c r="X1604" s="20"/>
      <c r="Y1604" s="20"/>
      <c r="Z1604" s="20"/>
      <c r="AA1604" s="20"/>
    </row>
    <row r="1605" spans="1:27" ht="69.599999999999994" x14ac:dyDescent="0.25">
      <c r="A1605" s="16"/>
      <c r="B1605" s="20" t="b">
        <f ca="1">IFERROR(__xludf.DUMMYFUNCTION("if(D1605=iferror(filter('Character Sheet'!D$13:D3002,'Character Sheet'!D$13:D3002=D1605),""""),True,False)"),FALSE)</f>
        <v>0</v>
      </c>
      <c r="C1605" s="20">
        <v>300</v>
      </c>
      <c r="D1605" s="2" t="s">
        <v>3418</v>
      </c>
      <c r="E1605" s="2" t="s">
        <v>3419</v>
      </c>
      <c r="F1605" s="20" t="s">
        <v>62</v>
      </c>
      <c r="G1605" s="2" t="s">
        <v>3420</v>
      </c>
      <c r="H1605" s="16"/>
      <c r="I1605" s="20"/>
      <c r="J1605" s="20"/>
      <c r="K1605" s="20"/>
      <c r="L1605" s="20"/>
      <c r="M1605" s="20"/>
      <c r="N1605" s="20"/>
      <c r="O1605" s="20"/>
      <c r="P1605" s="20"/>
      <c r="Q1605" s="20"/>
      <c r="R1605" s="20"/>
      <c r="S1605" s="20"/>
      <c r="T1605" s="20"/>
      <c r="U1605" s="20"/>
      <c r="V1605" s="20"/>
      <c r="W1605" s="20"/>
      <c r="X1605" s="20"/>
      <c r="Y1605" s="20"/>
      <c r="Z1605" s="20"/>
      <c r="AA1605" s="20"/>
    </row>
    <row r="1606" spans="1:27" ht="104.4" x14ac:dyDescent="0.25">
      <c r="A1606" s="16"/>
      <c r="B1606" s="20" t="b">
        <f ca="1">IFERROR(__xludf.DUMMYFUNCTION("if(D1606=iferror(filter('Character Sheet'!D$13:D3002,'Character Sheet'!D$13:D3002=D1606),""""),True,False)"),FALSE)</f>
        <v>0</v>
      </c>
      <c r="C1606" s="20">
        <v>300</v>
      </c>
      <c r="D1606" s="2" t="s">
        <v>3421</v>
      </c>
      <c r="E1606" s="2" t="s">
        <v>344</v>
      </c>
      <c r="F1606" s="20" t="s">
        <v>62</v>
      </c>
      <c r="G1606" s="2" t="s">
        <v>3422</v>
      </c>
      <c r="H1606" s="16"/>
      <c r="I1606" s="20"/>
      <c r="J1606" s="20"/>
      <c r="K1606" s="20"/>
      <c r="L1606" s="20"/>
      <c r="M1606" s="20"/>
      <c r="N1606" s="20"/>
      <c r="O1606" s="20"/>
      <c r="P1606" s="20"/>
      <c r="Q1606" s="20"/>
      <c r="R1606" s="20"/>
      <c r="S1606" s="20"/>
      <c r="T1606" s="20"/>
      <c r="U1606" s="20"/>
      <c r="V1606" s="20"/>
      <c r="W1606" s="20"/>
      <c r="X1606" s="20"/>
      <c r="Y1606" s="20"/>
      <c r="Z1606" s="20"/>
      <c r="AA1606" s="20"/>
    </row>
    <row r="1607" spans="1:27" ht="69.599999999999994" x14ac:dyDescent="0.25">
      <c r="A1607" s="16"/>
      <c r="B1607" s="20" t="b">
        <f ca="1">IFERROR(__xludf.DUMMYFUNCTION("if(D1607=iferror(filter('Character Sheet'!D$13:D3002,'Character Sheet'!D$13:D3002=D1607),""""),True,False)"),FALSE)</f>
        <v>0</v>
      </c>
      <c r="C1607" s="20">
        <v>300</v>
      </c>
      <c r="D1607" s="2" t="s">
        <v>3423</v>
      </c>
      <c r="E1607" s="2" t="s">
        <v>652</v>
      </c>
      <c r="F1607" s="20" t="s">
        <v>62</v>
      </c>
      <c r="G1607" s="2" t="s">
        <v>3424</v>
      </c>
      <c r="H1607" s="16"/>
      <c r="I1607" s="20"/>
      <c r="J1607" s="20"/>
      <c r="K1607" s="20"/>
      <c r="L1607" s="20"/>
      <c r="M1607" s="20"/>
      <c r="N1607" s="20"/>
      <c r="O1607" s="20"/>
      <c r="P1607" s="20"/>
      <c r="Q1607" s="20"/>
      <c r="R1607" s="20"/>
      <c r="S1607" s="20"/>
      <c r="T1607" s="20"/>
      <c r="U1607" s="20"/>
      <c r="V1607" s="20"/>
      <c r="W1607" s="20"/>
      <c r="X1607" s="20"/>
      <c r="Y1607" s="20"/>
      <c r="Z1607" s="20"/>
      <c r="AA1607" s="20"/>
    </row>
    <row r="1608" spans="1:27" ht="121.8" x14ac:dyDescent="0.25">
      <c r="A1608" s="16"/>
      <c r="B1608" s="20" t="b">
        <f ca="1">IFERROR(__xludf.DUMMYFUNCTION("if(D1608=iferror(filter('Character Sheet'!D$13:D3002,'Character Sheet'!D$13:D3002=D1608),""""),True,False)"),FALSE)</f>
        <v>0</v>
      </c>
      <c r="C1608" s="20">
        <v>300</v>
      </c>
      <c r="D1608" s="2" t="s">
        <v>3425</v>
      </c>
      <c r="E1608" s="2" t="s">
        <v>425</v>
      </c>
      <c r="F1608" s="20" t="s">
        <v>62</v>
      </c>
      <c r="G1608" s="2" t="s">
        <v>3426</v>
      </c>
      <c r="H1608" s="16"/>
      <c r="I1608" s="20"/>
      <c r="J1608" s="20"/>
      <c r="K1608" s="20"/>
      <c r="L1608" s="20"/>
      <c r="M1608" s="20"/>
      <c r="N1608" s="20"/>
      <c r="O1608" s="20"/>
      <c r="P1608" s="20"/>
      <c r="Q1608" s="20"/>
      <c r="R1608" s="20"/>
      <c r="S1608" s="20"/>
      <c r="T1608" s="20"/>
      <c r="U1608" s="20"/>
      <c r="V1608" s="20"/>
      <c r="W1608" s="20"/>
      <c r="X1608" s="20"/>
      <c r="Y1608" s="20"/>
      <c r="Z1608" s="20"/>
      <c r="AA1608" s="20"/>
    </row>
    <row r="1609" spans="1:27" ht="69.599999999999994" x14ac:dyDescent="0.25">
      <c r="A1609" s="16"/>
      <c r="B1609" s="20" t="b">
        <f ca="1">IFERROR(__xludf.DUMMYFUNCTION("if(D1609=iferror(filter('Character Sheet'!D$13:D3002,'Character Sheet'!D$13:D3002=D1609),""""),True,False)"),FALSE)</f>
        <v>0</v>
      </c>
      <c r="C1609" s="20">
        <v>300</v>
      </c>
      <c r="D1609" s="2" t="s">
        <v>3427</v>
      </c>
      <c r="E1609" s="2" t="s">
        <v>109</v>
      </c>
      <c r="F1609" s="20" t="s">
        <v>62</v>
      </c>
      <c r="G1609" s="2" t="s">
        <v>3428</v>
      </c>
      <c r="H1609" s="16"/>
      <c r="I1609" s="20"/>
      <c r="J1609" s="20"/>
      <c r="K1609" s="20"/>
      <c r="L1609" s="20"/>
      <c r="M1609" s="20"/>
      <c r="N1609" s="20"/>
      <c r="O1609" s="20"/>
      <c r="P1609" s="20"/>
      <c r="Q1609" s="20"/>
      <c r="R1609" s="20"/>
      <c r="S1609" s="20"/>
      <c r="T1609" s="20"/>
      <c r="U1609" s="20"/>
      <c r="V1609" s="20"/>
      <c r="W1609" s="20"/>
      <c r="X1609" s="20"/>
      <c r="Y1609" s="20"/>
      <c r="Z1609" s="20"/>
      <c r="AA1609" s="20"/>
    </row>
    <row r="1610" spans="1:27" ht="156.6" x14ac:dyDescent="0.25">
      <c r="A1610" s="16"/>
      <c r="B1610" s="20" t="b">
        <f ca="1">IFERROR(__xludf.DUMMYFUNCTION("if(D1610=iferror(filter('Character Sheet'!D$13:D3002,'Character Sheet'!D$13:D3002=D1610),""""),True,False)"),FALSE)</f>
        <v>0</v>
      </c>
      <c r="C1610" s="20">
        <v>300</v>
      </c>
      <c r="D1610" s="2" t="s">
        <v>3429</v>
      </c>
      <c r="E1610" s="2" t="s">
        <v>3430</v>
      </c>
      <c r="F1610" s="20" t="s">
        <v>62</v>
      </c>
      <c r="G1610" s="2" t="s">
        <v>3431</v>
      </c>
      <c r="H1610" s="16"/>
      <c r="I1610" s="20"/>
      <c r="J1610" s="20"/>
      <c r="K1610" s="20"/>
      <c r="L1610" s="20"/>
      <c r="M1610" s="20"/>
      <c r="N1610" s="20"/>
      <c r="O1610" s="20"/>
      <c r="P1610" s="20"/>
      <c r="Q1610" s="20"/>
      <c r="R1610" s="20"/>
      <c r="S1610" s="20"/>
      <c r="T1610" s="20"/>
      <c r="U1610" s="20"/>
      <c r="V1610" s="20"/>
      <c r="W1610" s="20"/>
      <c r="X1610" s="20"/>
      <c r="Y1610" s="20"/>
      <c r="Z1610" s="20"/>
      <c r="AA1610" s="20"/>
    </row>
    <row r="1611" spans="1:27" ht="87" x14ac:dyDescent="0.25">
      <c r="A1611" s="16"/>
      <c r="B1611" s="20" t="b">
        <f ca="1">IFERROR(__xludf.DUMMYFUNCTION("if(D1611=iferror(filter('Character Sheet'!D$13:D3002,'Character Sheet'!D$13:D3002=D1611),""""),True,False)"),FALSE)</f>
        <v>0</v>
      </c>
      <c r="C1611" s="20">
        <v>300</v>
      </c>
      <c r="D1611" s="2" t="s">
        <v>3432</v>
      </c>
      <c r="E1611" s="2" t="s">
        <v>93</v>
      </c>
      <c r="F1611" s="20" t="s">
        <v>62</v>
      </c>
      <c r="G1611" s="2" t="s">
        <v>3433</v>
      </c>
      <c r="H1611" s="16"/>
      <c r="I1611" s="20"/>
      <c r="J1611" s="20"/>
      <c r="K1611" s="20"/>
      <c r="L1611" s="20"/>
      <c r="M1611" s="20"/>
      <c r="N1611" s="20"/>
      <c r="O1611" s="20"/>
      <c r="P1611" s="20"/>
      <c r="Q1611" s="20"/>
      <c r="R1611" s="20"/>
      <c r="S1611" s="20"/>
      <c r="T1611" s="20"/>
      <c r="U1611" s="20"/>
      <c r="V1611" s="20"/>
      <c r="W1611" s="20"/>
      <c r="X1611" s="20"/>
      <c r="Y1611" s="20"/>
      <c r="Z1611" s="20"/>
      <c r="AA1611" s="20"/>
    </row>
    <row r="1612" spans="1:27" ht="139.19999999999999" x14ac:dyDescent="0.25">
      <c r="A1612" s="16"/>
      <c r="B1612" s="20" t="b">
        <f ca="1">IFERROR(__xludf.DUMMYFUNCTION("if(D1612=iferror(filter('Character Sheet'!D$13:D3002,'Character Sheet'!D$13:D3002=D1612),""""),True,False)"),FALSE)</f>
        <v>0</v>
      </c>
      <c r="C1612" s="20">
        <v>300</v>
      </c>
      <c r="D1612" s="2" t="s">
        <v>3434</v>
      </c>
      <c r="E1612" s="2" t="s">
        <v>610</v>
      </c>
      <c r="F1612" s="20" t="s">
        <v>62</v>
      </c>
      <c r="G1612" s="2" t="s">
        <v>3435</v>
      </c>
      <c r="H1612" s="16"/>
      <c r="I1612" s="20"/>
      <c r="J1612" s="20"/>
      <c r="K1612" s="20"/>
      <c r="L1612" s="20"/>
      <c r="M1612" s="20"/>
      <c r="N1612" s="20"/>
      <c r="O1612" s="20"/>
      <c r="P1612" s="20"/>
      <c r="Q1612" s="20"/>
      <c r="R1612" s="20"/>
      <c r="S1612" s="20"/>
      <c r="T1612" s="20"/>
      <c r="U1612" s="20"/>
      <c r="V1612" s="20"/>
      <c r="W1612" s="20"/>
      <c r="X1612" s="20"/>
      <c r="Y1612" s="20"/>
      <c r="Z1612" s="20"/>
      <c r="AA1612" s="20"/>
    </row>
    <row r="1613" spans="1:27" ht="174" x14ac:dyDescent="0.25">
      <c r="A1613" s="16"/>
      <c r="B1613" s="20" t="b">
        <f ca="1">IFERROR(__xludf.DUMMYFUNCTION("if(D1613=iferror(filter('Character Sheet'!D$13:D3002,'Character Sheet'!D$13:D3002=D1613),""""),True,False)"),FALSE)</f>
        <v>0</v>
      </c>
      <c r="C1613" s="20">
        <v>300</v>
      </c>
      <c r="D1613" s="2" t="s">
        <v>3436</v>
      </c>
      <c r="E1613" s="2" t="s">
        <v>253</v>
      </c>
      <c r="F1613" s="20" t="s">
        <v>62</v>
      </c>
      <c r="G1613" s="2" t="s">
        <v>3437</v>
      </c>
      <c r="H1613" s="16"/>
      <c r="I1613" s="20"/>
      <c r="J1613" s="20"/>
      <c r="K1613" s="20"/>
      <c r="L1613" s="20"/>
      <c r="M1613" s="20"/>
      <c r="N1613" s="20"/>
      <c r="O1613" s="20"/>
      <c r="P1613" s="20"/>
      <c r="Q1613" s="20"/>
      <c r="R1613" s="20"/>
      <c r="S1613" s="20"/>
      <c r="T1613" s="20"/>
      <c r="U1613" s="20"/>
      <c r="V1613" s="20"/>
      <c r="W1613" s="20"/>
      <c r="X1613" s="20"/>
      <c r="Y1613" s="20"/>
      <c r="Z1613" s="20"/>
      <c r="AA1613" s="20"/>
    </row>
    <row r="1614" spans="1:27" ht="69.599999999999994" x14ac:dyDescent="0.25">
      <c r="A1614" s="16"/>
      <c r="B1614" s="20" t="b">
        <f ca="1">IFERROR(__xludf.DUMMYFUNCTION("if(D1614=iferror(filter('Character Sheet'!D$13:D3002,'Character Sheet'!D$13:D3002=D1614),""""),True,False)"),FALSE)</f>
        <v>0</v>
      </c>
      <c r="C1614" s="20">
        <v>300</v>
      </c>
      <c r="D1614" s="2" t="s">
        <v>3438</v>
      </c>
      <c r="E1614" s="2" t="s">
        <v>238</v>
      </c>
      <c r="F1614" s="20" t="s">
        <v>62</v>
      </c>
      <c r="G1614" s="2" t="s">
        <v>3439</v>
      </c>
      <c r="H1614" s="16"/>
      <c r="I1614" s="20"/>
      <c r="J1614" s="20"/>
      <c r="K1614" s="20"/>
      <c r="L1614" s="20"/>
      <c r="M1614" s="20"/>
      <c r="N1614" s="20"/>
      <c r="O1614" s="20"/>
      <c r="P1614" s="20"/>
      <c r="Q1614" s="20"/>
      <c r="R1614" s="20"/>
      <c r="S1614" s="20"/>
      <c r="T1614" s="20"/>
      <c r="U1614" s="20"/>
      <c r="V1614" s="20"/>
      <c r="W1614" s="20"/>
      <c r="X1614" s="20"/>
      <c r="Y1614" s="20"/>
      <c r="Z1614" s="20"/>
      <c r="AA1614" s="20"/>
    </row>
    <row r="1615" spans="1:27" ht="69.599999999999994" x14ac:dyDescent="0.25">
      <c r="A1615" s="16"/>
      <c r="B1615" s="20" t="b">
        <f ca="1">IFERROR(__xludf.DUMMYFUNCTION("if(D1615=iferror(filter('Character Sheet'!D$13:D3002,'Character Sheet'!D$13:D3002=D1615),""""),True,False)"),FALSE)</f>
        <v>0</v>
      </c>
      <c r="C1615" s="20">
        <v>300</v>
      </c>
      <c r="D1615" s="2" t="s">
        <v>3440</v>
      </c>
      <c r="E1615" s="2" t="s">
        <v>501</v>
      </c>
      <c r="F1615" s="20" t="s">
        <v>62</v>
      </c>
      <c r="G1615" s="2" t="s">
        <v>3441</v>
      </c>
      <c r="H1615" s="16"/>
      <c r="I1615" s="20"/>
      <c r="J1615" s="20"/>
      <c r="K1615" s="20"/>
      <c r="L1615" s="20"/>
      <c r="M1615" s="20"/>
      <c r="N1615" s="20"/>
      <c r="O1615" s="20"/>
      <c r="P1615" s="20"/>
      <c r="Q1615" s="20"/>
      <c r="R1615" s="20"/>
      <c r="S1615" s="20"/>
      <c r="T1615" s="20"/>
      <c r="U1615" s="20"/>
      <c r="V1615" s="20"/>
      <c r="W1615" s="20"/>
      <c r="X1615" s="20"/>
      <c r="Y1615" s="20"/>
      <c r="Z1615" s="20"/>
      <c r="AA1615" s="20"/>
    </row>
    <row r="1616" spans="1:27" ht="69.599999999999994" x14ac:dyDescent="0.25">
      <c r="A1616" s="16"/>
      <c r="B1616" s="20" t="b">
        <f ca="1">IFERROR(__xludf.DUMMYFUNCTION("if(D1616=iferror(filter('Character Sheet'!D$13:D3002,'Character Sheet'!D$13:D3002=D1616),""""),True,False)"),FALSE)</f>
        <v>0</v>
      </c>
      <c r="C1616" s="20">
        <v>300</v>
      </c>
      <c r="D1616" s="2" t="s">
        <v>3442</v>
      </c>
      <c r="E1616" s="2" t="s">
        <v>401</v>
      </c>
      <c r="F1616" s="20" t="s">
        <v>62</v>
      </c>
      <c r="G1616" s="2" t="s">
        <v>3443</v>
      </c>
      <c r="H1616" s="16"/>
      <c r="I1616" s="20"/>
      <c r="J1616" s="20"/>
      <c r="K1616" s="20"/>
      <c r="L1616" s="20"/>
      <c r="M1616" s="20"/>
      <c r="N1616" s="20"/>
      <c r="O1616" s="20"/>
      <c r="P1616" s="20"/>
      <c r="Q1616" s="20"/>
      <c r="R1616" s="20"/>
      <c r="S1616" s="20"/>
      <c r="T1616" s="20"/>
      <c r="U1616" s="20"/>
      <c r="V1616" s="20"/>
      <c r="W1616" s="20"/>
      <c r="X1616" s="20"/>
      <c r="Y1616" s="20"/>
      <c r="Z1616" s="20"/>
      <c r="AA1616" s="20"/>
    </row>
    <row r="1617" spans="1:27" ht="104.4" x14ac:dyDescent="0.25">
      <c r="A1617" s="16"/>
      <c r="B1617" s="20" t="b">
        <f ca="1">IFERROR(__xludf.DUMMYFUNCTION("if(D1617=iferror(filter('Character Sheet'!D$13:D3002,'Character Sheet'!D$13:D3002=D1617),""""),True,False)"),FALSE)</f>
        <v>0</v>
      </c>
      <c r="C1617" s="20">
        <v>300</v>
      </c>
      <c r="D1617" s="2" t="s">
        <v>3444</v>
      </c>
      <c r="E1617" s="2" t="s">
        <v>165</v>
      </c>
      <c r="F1617" s="20" t="s">
        <v>62</v>
      </c>
      <c r="G1617" s="2" t="s">
        <v>3445</v>
      </c>
      <c r="H1617" s="16"/>
      <c r="I1617" s="20"/>
      <c r="J1617" s="20"/>
      <c r="K1617" s="20"/>
      <c r="L1617" s="20"/>
      <c r="M1617" s="20"/>
      <c r="N1617" s="20"/>
      <c r="O1617" s="20"/>
      <c r="P1617" s="20"/>
      <c r="Q1617" s="20"/>
      <c r="R1617" s="20"/>
      <c r="S1617" s="20"/>
      <c r="T1617" s="20"/>
      <c r="U1617" s="20"/>
      <c r="V1617" s="20"/>
      <c r="W1617" s="20"/>
      <c r="X1617" s="20"/>
      <c r="Y1617" s="20"/>
      <c r="Z1617" s="20"/>
      <c r="AA1617" s="20"/>
    </row>
    <row r="1618" spans="1:27" ht="191.4" x14ac:dyDescent="0.25">
      <c r="A1618" s="16"/>
      <c r="B1618" s="20" t="b">
        <f ca="1">IFERROR(__xludf.DUMMYFUNCTION("if(D1618=iferror(filter('Character Sheet'!D$13:D3002,'Character Sheet'!D$13:D3002=D1618),""""),True,False)"),FALSE)</f>
        <v>0</v>
      </c>
      <c r="C1618" s="20">
        <v>400</v>
      </c>
      <c r="D1618" s="2" t="s">
        <v>3446</v>
      </c>
      <c r="E1618" s="2" t="s">
        <v>610</v>
      </c>
      <c r="F1618" s="20" t="s">
        <v>62</v>
      </c>
      <c r="G1618" s="2" t="s">
        <v>3447</v>
      </c>
      <c r="H1618" s="16"/>
      <c r="I1618" s="20"/>
      <c r="J1618" s="20"/>
      <c r="K1618" s="20"/>
      <c r="L1618" s="20"/>
      <c r="M1618" s="20"/>
      <c r="N1618" s="20"/>
      <c r="O1618" s="20"/>
      <c r="P1618" s="20"/>
      <c r="Q1618" s="20"/>
      <c r="R1618" s="20"/>
      <c r="S1618" s="20"/>
      <c r="T1618" s="20"/>
      <c r="U1618" s="20"/>
      <c r="V1618" s="20"/>
      <c r="W1618" s="20"/>
      <c r="X1618" s="20"/>
      <c r="Y1618" s="20"/>
      <c r="Z1618" s="20"/>
      <c r="AA1618" s="20"/>
    </row>
    <row r="1619" spans="1:27" ht="69.599999999999994" x14ac:dyDescent="0.25">
      <c r="A1619" s="16"/>
      <c r="B1619" s="20" t="b">
        <f ca="1">IFERROR(__xludf.DUMMYFUNCTION("if(D1619=iferror(filter('Character Sheet'!D$13:D3002,'Character Sheet'!D$13:D3002=D1619),""""),True,False)"),FALSE)</f>
        <v>0</v>
      </c>
      <c r="C1619" s="20">
        <v>400</v>
      </c>
      <c r="D1619" s="2" t="s">
        <v>3448</v>
      </c>
      <c r="E1619" s="2" t="s">
        <v>845</v>
      </c>
      <c r="F1619" s="20" t="s">
        <v>62</v>
      </c>
      <c r="G1619" s="2" t="s">
        <v>3449</v>
      </c>
      <c r="H1619" s="16"/>
      <c r="I1619" s="20"/>
      <c r="J1619" s="20"/>
      <c r="K1619" s="20"/>
      <c r="L1619" s="20"/>
      <c r="M1619" s="20"/>
      <c r="N1619" s="20"/>
      <c r="O1619" s="20"/>
      <c r="P1619" s="20"/>
      <c r="Q1619" s="20"/>
      <c r="R1619" s="20"/>
      <c r="S1619" s="20"/>
      <c r="T1619" s="20"/>
      <c r="U1619" s="20"/>
      <c r="V1619" s="20"/>
      <c r="W1619" s="20"/>
      <c r="X1619" s="20"/>
      <c r="Y1619" s="20"/>
      <c r="Z1619" s="20"/>
      <c r="AA1619" s="20"/>
    </row>
    <row r="1620" spans="1:27" ht="156.6" x14ac:dyDescent="0.25">
      <c r="A1620" s="16"/>
      <c r="B1620" s="20" t="b">
        <f ca="1">IFERROR(__xludf.DUMMYFUNCTION("if(D1620=iferror(filter('Character Sheet'!D$13:D3002,'Character Sheet'!D$13:D3002=D1620),""""),True,False)"),FALSE)</f>
        <v>0</v>
      </c>
      <c r="C1620" s="20">
        <v>400</v>
      </c>
      <c r="D1620" s="2" t="str">
        <f>"+MUSK"</f>
        <v>+MUSK</v>
      </c>
      <c r="E1620" s="2" t="s">
        <v>109</v>
      </c>
      <c r="F1620" s="20" t="s">
        <v>62</v>
      </c>
      <c r="G1620" s="2" t="s">
        <v>3450</v>
      </c>
      <c r="H1620" s="16"/>
      <c r="I1620" s="20"/>
      <c r="J1620" s="20"/>
      <c r="K1620" s="20"/>
      <c r="L1620" s="20"/>
      <c r="M1620" s="20"/>
      <c r="N1620" s="20"/>
      <c r="O1620" s="20"/>
      <c r="P1620" s="20"/>
      <c r="Q1620" s="20"/>
      <c r="R1620" s="20"/>
      <c r="S1620" s="20"/>
      <c r="T1620" s="20"/>
      <c r="U1620" s="20"/>
      <c r="V1620" s="20"/>
      <c r="W1620" s="20"/>
      <c r="X1620" s="20"/>
      <c r="Y1620" s="20"/>
      <c r="Z1620" s="20"/>
      <c r="AA1620" s="20"/>
    </row>
    <row r="1621" spans="1:27" ht="191.4" x14ac:dyDescent="0.25">
      <c r="A1621" s="16"/>
      <c r="B1621" s="20" t="b">
        <f ca="1">IFERROR(__xludf.DUMMYFUNCTION("if(D1621=iferror(filter('Character Sheet'!D$13:D3002,'Character Sheet'!D$13:D3002=D1621),""""),True,False)"),FALSE)</f>
        <v>0</v>
      </c>
      <c r="C1621" s="20">
        <v>400</v>
      </c>
      <c r="D1621" s="2" t="s">
        <v>3451</v>
      </c>
      <c r="E1621" s="2" t="s">
        <v>87</v>
      </c>
      <c r="F1621" s="20" t="s">
        <v>62</v>
      </c>
      <c r="G1621" s="2" t="s">
        <v>3452</v>
      </c>
      <c r="H1621" s="16"/>
      <c r="I1621" s="20"/>
      <c r="J1621" s="20"/>
      <c r="K1621" s="20"/>
      <c r="L1621" s="20"/>
      <c r="M1621" s="20"/>
      <c r="N1621" s="20"/>
      <c r="O1621" s="20"/>
      <c r="P1621" s="20"/>
      <c r="Q1621" s="20"/>
      <c r="R1621" s="20"/>
      <c r="S1621" s="20"/>
      <c r="T1621" s="20"/>
      <c r="U1621" s="20"/>
      <c r="V1621" s="20"/>
      <c r="W1621" s="20"/>
      <c r="X1621" s="20"/>
      <c r="Y1621" s="20"/>
      <c r="Z1621" s="20"/>
      <c r="AA1621" s="20"/>
    </row>
    <row r="1622" spans="1:27" ht="174" x14ac:dyDescent="0.25">
      <c r="A1622" s="16"/>
      <c r="B1622" s="20" t="b">
        <f ca="1">IFERROR(__xludf.DUMMYFUNCTION("if(D1622=iferror(filter('Character Sheet'!D$13:D3002,'Character Sheet'!D$13:D3002=D1622),""""),True,False)"),FALSE)</f>
        <v>0</v>
      </c>
      <c r="C1622" s="20">
        <v>400</v>
      </c>
      <c r="D1622" s="2" t="s">
        <v>3453</v>
      </c>
      <c r="E1622" s="2" t="s">
        <v>369</v>
      </c>
      <c r="F1622" s="20" t="s">
        <v>62</v>
      </c>
      <c r="G1622" s="2" t="s">
        <v>3454</v>
      </c>
      <c r="H1622" s="16"/>
      <c r="I1622" s="20"/>
      <c r="J1622" s="20"/>
      <c r="K1622" s="20"/>
      <c r="L1622" s="20"/>
      <c r="M1622" s="20"/>
      <c r="N1622" s="20"/>
      <c r="O1622" s="20"/>
      <c r="P1622" s="20"/>
      <c r="Q1622" s="20"/>
      <c r="R1622" s="20"/>
      <c r="S1622" s="20"/>
      <c r="T1622" s="20"/>
      <c r="U1622" s="20"/>
      <c r="V1622" s="20"/>
      <c r="W1622" s="20"/>
      <c r="X1622" s="20"/>
      <c r="Y1622" s="20"/>
      <c r="Z1622" s="20"/>
      <c r="AA1622" s="20"/>
    </row>
    <row r="1623" spans="1:27" ht="87" x14ac:dyDescent="0.25">
      <c r="A1623" s="16"/>
      <c r="B1623" s="20" t="b">
        <f ca="1">IFERROR(__xludf.DUMMYFUNCTION("if(D1623=iferror(filter('Character Sheet'!D$13:D3002,'Character Sheet'!D$13:D3002=D1623),""""),True,False)"),FALSE)</f>
        <v>0</v>
      </c>
      <c r="C1623" s="20">
        <v>400</v>
      </c>
      <c r="D1623" s="2" t="s">
        <v>3455</v>
      </c>
      <c r="E1623" s="2" t="s">
        <v>100</v>
      </c>
      <c r="F1623" s="20" t="s">
        <v>62</v>
      </c>
      <c r="G1623" s="2" t="s">
        <v>3456</v>
      </c>
      <c r="H1623" s="16"/>
      <c r="I1623" s="20"/>
      <c r="J1623" s="20"/>
      <c r="K1623" s="20"/>
      <c r="L1623" s="20"/>
      <c r="M1623" s="20"/>
      <c r="N1623" s="20"/>
      <c r="O1623" s="20"/>
      <c r="P1623" s="20"/>
      <c r="Q1623" s="20"/>
      <c r="R1623" s="20"/>
      <c r="S1623" s="20"/>
      <c r="T1623" s="20"/>
      <c r="U1623" s="20"/>
      <c r="V1623" s="20"/>
      <c r="W1623" s="20"/>
      <c r="X1623" s="20"/>
      <c r="Y1623" s="20"/>
      <c r="Z1623" s="20"/>
      <c r="AA1623" s="20"/>
    </row>
    <row r="1624" spans="1:27" ht="104.4" x14ac:dyDescent="0.25">
      <c r="A1624" s="16"/>
      <c r="B1624" s="20" t="b">
        <f ca="1">IFERROR(__xludf.DUMMYFUNCTION("if(D1624=iferror(filter('Character Sheet'!D$13:D3002,'Character Sheet'!D$13:D3002=D1624),""""),True,False)"),FALSE)</f>
        <v>0</v>
      </c>
      <c r="C1624" s="20">
        <v>400</v>
      </c>
      <c r="D1624" s="2" t="s">
        <v>3457</v>
      </c>
      <c r="E1624" s="2" t="s">
        <v>652</v>
      </c>
      <c r="F1624" s="20" t="s">
        <v>62</v>
      </c>
      <c r="G1624" s="2" t="s">
        <v>3458</v>
      </c>
      <c r="H1624" s="16"/>
      <c r="I1624" s="20"/>
      <c r="J1624" s="20"/>
      <c r="K1624" s="20"/>
      <c r="L1624" s="20"/>
      <c r="M1624" s="20"/>
      <c r="N1624" s="20"/>
      <c r="O1624" s="20"/>
      <c r="P1624" s="20"/>
      <c r="Q1624" s="20"/>
      <c r="R1624" s="20"/>
      <c r="S1624" s="20"/>
      <c r="T1624" s="20"/>
      <c r="U1624" s="20"/>
      <c r="V1624" s="20"/>
      <c r="W1624" s="20"/>
      <c r="X1624" s="20"/>
      <c r="Y1624" s="20"/>
      <c r="Z1624" s="20"/>
      <c r="AA1624" s="20"/>
    </row>
    <row r="1625" spans="1:27" ht="191.4" x14ac:dyDescent="0.25">
      <c r="A1625" s="16"/>
      <c r="B1625" s="20" t="b">
        <f ca="1">IFERROR(__xludf.DUMMYFUNCTION("if(D1625=iferror(filter('Character Sheet'!D$13:D3002,'Character Sheet'!D$13:D3002=D1625),""""),True,False)"),FALSE)</f>
        <v>0</v>
      </c>
      <c r="C1625" s="20">
        <v>400</v>
      </c>
      <c r="D1625" s="2" t="s">
        <v>3459</v>
      </c>
      <c r="E1625" s="2" t="s">
        <v>1052</v>
      </c>
      <c r="F1625" s="20" t="s">
        <v>62</v>
      </c>
      <c r="G1625" s="2" t="s">
        <v>3460</v>
      </c>
      <c r="H1625" s="16"/>
      <c r="I1625" s="20"/>
      <c r="J1625" s="20"/>
      <c r="K1625" s="20"/>
      <c r="L1625" s="20"/>
      <c r="M1625" s="20"/>
      <c r="N1625" s="20"/>
      <c r="O1625" s="20"/>
      <c r="P1625" s="20"/>
      <c r="Q1625" s="20"/>
      <c r="R1625" s="20"/>
      <c r="S1625" s="20"/>
      <c r="T1625" s="20"/>
      <c r="U1625" s="20"/>
      <c r="V1625" s="20"/>
      <c r="W1625" s="20"/>
      <c r="X1625" s="20"/>
      <c r="Y1625" s="20"/>
      <c r="Z1625" s="20"/>
      <c r="AA1625" s="20"/>
    </row>
    <row r="1626" spans="1:27" ht="191.4" x14ac:dyDescent="0.25">
      <c r="A1626" s="16"/>
      <c r="B1626" s="20" t="b">
        <f ca="1">IFERROR(__xludf.DUMMYFUNCTION("if(D1626=iferror(filter('Character Sheet'!D$13:D3002,'Character Sheet'!D$13:D3002=D1626),""""),True,False)"),FALSE)</f>
        <v>0</v>
      </c>
      <c r="C1626" s="20">
        <v>400</v>
      </c>
      <c r="D1626" s="2" t="s">
        <v>3461</v>
      </c>
      <c r="E1626" s="2" t="s">
        <v>603</v>
      </c>
      <c r="F1626" s="20" t="s">
        <v>62</v>
      </c>
      <c r="G1626" s="2" t="s">
        <v>3462</v>
      </c>
      <c r="H1626" s="16"/>
      <c r="I1626" s="20"/>
      <c r="J1626" s="20"/>
      <c r="K1626" s="20"/>
      <c r="L1626" s="20"/>
      <c r="M1626" s="20"/>
      <c r="N1626" s="20"/>
      <c r="O1626" s="20"/>
      <c r="P1626" s="20"/>
      <c r="Q1626" s="20"/>
      <c r="R1626" s="20"/>
      <c r="S1626" s="20"/>
      <c r="T1626" s="20"/>
      <c r="U1626" s="20"/>
      <c r="V1626" s="20"/>
      <c r="W1626" s="20"/>
      <c r="X1626" s="20"/>
      <c r="Y1626" s="20"/>
      <c r="Z1626" s="20"/>
      <c r="AA1626" s="20"/>
    </row>
    <row r="1627" spans="1:27" ht="139.19999999999999" x14ac:dyDescent="0.25">
      <c r="A1627" s="16"/>
      <c r="B1627" s="20" t="b">
        <f ca="1">IFERROR(__xludf.DUMMYFUNCTION("if(D1627=iferror(filter('Character Sheet'!D$13:D3002,'Character Sheet'!D$13:D3002=D1627),""""),True,False)"),FALSE)</f>
        <v>0</v>
      </c>
      <c r="C1627" s="20">
        <v>400</v>
      </c>
      <c r="D1627" s="2" t="s">
        <v>3463</v>
      </c>
      <c r="E1627" s="2" t="s">
        <v>514</v>
      </c>
      <c r="F1627" s="20" t="s">
        <v>62</v>
      </c>
      <c r="G1627" s="2" t="s">
        <v>3464</v>
      </c>
      <c r="H1627" s="16"/>
      <c r="I1627" s="20"/>
      <c r="J1627" s="20"/>
      <c r="K1627" s="20"/>
      <c r="L1627" s="20"/>
      <c r="M1627" s="20"/>
      <c r="N1627" s="20"/>
      <c r="O1627" s="20"/>
      <c r="P1627" s="20"/>
      <c r="Q1627" s="20"/>
      <c r="R1627" s="20"/>
      <c r="S1627" s="20"/>
      <c r="T1627" s="20"/>
      <c r="U1627" s="20"/>
      <c r="V1627" s="20"/>
      <c r="W1627" s="20"/>
      <c r="X1627" s="20"/>
      <c r="Y1627" s="20"/>
      <c r="Z1627" s="20"/>
      <c r="AA1627" s="20"/>
    </row>
    <row r="1628" spans="1:27" ht="121.8" x14ac:dyDescent="0.25">
      <c r="A1628" s="16"/>
      <c r="B1628" s="20" t="b">
        <f ca="1">IFERROR(__xludf.DUMMYFUNCTION("if(D1628=iferror(filter('Character Sheet'!D$13:D3002,'Character Sheet'!D$13:D3002=D1628),""""),True,False)"),FALSE)</f>
        <v>0</v>
      </c>
      <c r="C1628" s="20">
        <v>400</v>
      </c>
      <c r="D1628" s="2" t="s">
        <v>3465</v>
      </c>
      <c r="E1628" s="2" t="s">
        <v>317</v>
      </c>
      <c r="F1628" s="20" t="s">
        <v>62</v>
      </c>
      <c r="G1628" s="2" t="s">
        <v>3466</v>
      </c>
      <c r="H1628" s="16"/>
      <c r="I1628" s="20"/>
      <c r="J1628" s="20"/>
      <c r="K1628" s="20"/>
      <c r="L1628" s="20"/>
      <c r="M1628" s="20"/>
      <c r="N1628" s="20"/>
      <c r="O1628" s="20"/>
      <c r="P1628" s="20"/>
      <c r="Q1628" s="20"/>
      <c r="R1628" s="20"/>
      <c r="S1628" s="20"/>
      <c r="T1628" s="20"/>
      <c r="U1628" s="20"/>
      <c r="V1628" s="20"/>
      <c r="W1628" s="20"/>
      <c r="X1628" s="20"/>
      <c r="Y1628" s="20"/>
      <c r="Z1628" s="20"/>
      <c r="AA1628" s="20"/>
    </row>
    <row r="1629" spans="1:27" ht="156.6" x14ac:dyDescent="0.25">
      <c r="A1629" s="16"/>
      <c r="B1629" s="20" t="b">
        <f ca="1">IFERROR(__xludf.DUMMYFUNCTION("if(D1629=iferror(filter('Character Sheet'!D$13:D3002,'Character Sheet'!D$13:D3002=D1629),""""),True,False)"),FALSE)</f>
        <v>0</v>
      </c>
      <c r="C1629" s="20">
        <v>400</v>
      </c>
      <c r="D1629" s="2" t="s">
        <v>3467</v>
      </c>
      <c r="E1629" s="2" t="s">
        <v>344</v>
      </c>
      <c r="F1629" s="20" t="s">
        <v>62</v>
      </c>
      <c r="G1629" s="2" t="s">
        <v>3468</v>
      </c>
      <c r="H1629" s="16"/>
      <c r="I1629" s="20"/>
      <c r="J1629" s="20"/>
      <c r="K1629" s="20"/>
      <c r="L1629" s="20"/>
      <c r="M1629" s="20"/>
      <c r="N1629" s="20"/>
      <c r="O1629" s="20"/>
      <c r="P1629" s="20"/>
      <c r="Q1629" s="20"/>
      <c r="R1629" s="20"/>
      <c r="S1629" s="20"/>
      <c r="T1629" s="20"/>
      <c r="U1629" s="20"/>
      <c r="V1629" s="20"/>
      <c r="W1629" s="20"/>
      <c r="X1629" s="20"/>
      <c r="Y1629" s="20"/>
      <c r="Z1629" s="20"/>
      <c r="AA1629" s="20"/>
    </row>
    <row r="1630" spans="1:27" ht="121.8" x14ac:dyDescent="0.25">
      <c r="A1630" s="16"/>
      <c r="B1630" s="20" t="b">
        <f ca="1">IFERROR(__xludf.DUMMYFUNCTION("if(D1630=iferror(filter('Character Sheet'!D$13:D3002,'Character Sheet'!D$13:D3002=D1630),""""),True,False)"),FALSE)</f>
        <v>0</v>
      </c>
      <c r="C1630" s="20">
        <v>400</v>
      </c>
      <c r="D1630" s="2" t="s">
        <v>3469</v>
      </c>
      <c r="E1630" s="2" t="s">
        <v>775</v>
      </c>
      <c r="F1630" s="20" t="s">
        <v>62</v>
      </c>
      <c r="G1630" s="2" t="s">
        <v>3470</v>
      </c>
      <c r="H1630" s="16"/>
      <c r="I1630" s="20"/>
      <c r="J1630" s="20"/>
      <c r="K1630" s="20"/>
      <c r="L1630" s="20"/>
      <c r="M1630" s="20"/>
      <c r="N1630" s="20"/>
      <c r="O1630" s="20"/>
      <c r="P1630" s="20"/>
      <c r="Q1630" s="20"/>
      <c r="R1630" s="20"/>
      <c r="S1630" s="20"/>
      <c r="T1630" s="20"/>
      <c r="U1630" s="20"/>
      <c r="V1630" s="20"/>
      <c r="W1630" s="20"/>
      <c r="X1630" s="20"/>
      <c r="Y1630" s="20"/>
      <c r="Z1630" s="20"/>
      <c r="AA1630" s="20"/>
    </row>
    <row r="1631" spans="1:27" ht="69.599999999999994" x14ac:dyDescent="0.25">
      <c r="A1631" s="16"/>
      <c r="B1631" s="20" t="b">
        <f ca="1">IFERROR(__xludf.DUMMYFUNCTION("if(D1631=iferror(filter('Character Sheet'!D$13:D3002,'Character Sheet'!D$13:D3002=D1631),""""),True,False)"),FALSE)</f>
        <v>0</v>
      </c>
      <c r="C1631" s="20">
        <v>400</v>
      </c>
      <c r="D1631" s="2" t="s">
        <v>3471</v>
      </c>
      <c r="E1631" s="2" t="s">
        <v>277</v>
      </c>
      <c r="F1631" s="20" t="s">
        <v>62</v>
      </c>
      <c r="G1631" s="2" t="s">
        <v>3472</v>
      </c>
      <c r="H1631" s="16"/>
      <c r="I1631" s="20"/>
      <c r="J1631" s="20"/>
      <c r="K1631" s="20"/>
      <c r="L1631" s="20"/>
      <c r="M1631" s="20"/>
      <c r="N1631" s="20"/>
      <c r="O1631" s="20"/>
      <c r="P1631" s="20"/>
      <c r="Q1631" s="20"/>
      <c r="R1631" s="20"/>
      <c r="S1631" s="20"/>
      <c r="T1631" s="20"/>
      <c r="U1631" s="20"/>
      <c r="V1631" s="20"/>
      <c r="W1631" s="20"/>
      <c r="X1631" s="20"/>
      <c r="Y1631" s="20"/>
      <c r="Z1631" s="20"/>
      <c r="AA1631" s="20"/>
    </row>
    <row r="1632" spans="1:27" ht="121.8" x14ac:dyDescent="0.25">
      <c r="A1632" s="16"/>
      <c r="B1632" s="20" t="b">
        <f ca="1">IFERROR(__xludf.DUMMYFUNCTION("if(D1632=iferror(filter('Character Sheet'!D$13:D3002,'Character Sheet'!D$13:D3002=D1632),""""),True,False)"),FALSE)</f>
        <v>0</v>
      </c>
      <c r="C1632" s="20">
        <v>400</v>
      </c>
      <c r="D1632" s="2" t="s">
        <v>3473</v>
      </c>
      <c r="E1632" s="2" t="s">
        <v>122</v>
      </c>
      <c r="F1632" s="20" t="s">
        <v>62</v>
      </c>
      <c r="G1632" s="2" t="s">
        <v>3474</v>
      </c>
      <c r="H1632" s="16"/>
      <c r="I1632" s="20"/>
      <c r="J1632" s="20"/>
      <c r="K1632" s="20"/>
      <c r="L1632" s="20"/>
      <c r="M1632" s="20"/>
      <c r="N1632" s="20"/>
      <c r="O1632" s="20"/>
      <c r="P1632" s="20"/>
      <c r="Q1632" s="20"/>
      <c r="R1632" s="20"/>
      <c r="S1632" s="20"/>
      <c r="T1632" s="20"/>
      <c r="U1632" s="20"/>
      <c r="V1632" s="20"/>
      <c r="W1632" s="20"/>
      <c r="X1632" s="20"/>
      <c r="Y1632" s="20"/>
      <c r="Z1632" s="20"/>
      <c r="AA1632" s="20"/>
    </row>
    <row r="1633" spans="1:27" ht="174" x14ac:dyDescent="0.25">
      <c r="A1633" s="16"/>
      <c r="B1633" s="20" t="b">
        <f ca="1">IFERROR(__xludf.DUMMYFUNCTION("if(D1633=iferror(filter('Character Sheet'!D$13:D3002,'Character Sheet'!D$13:D3002=D1633),""""),True,False)"),FALSE)</f>
        <v>0</v>
      </c>
      <c r="C1633" s="20">
        <v>400</v>
      </c>
      <c r="D1633" s="2" t="s">
        <v>3475</v>
      </c>
      <c r="E1633" s="2" t="s">
        <v>369</v>
      </c>
      <c r="F1633" s="20" t="s">
        <v>62</v>
      </c>
      <c r="G1633" s="2" t="s">
        <v>3476</v>
      </c>
      <c r="H1633" s="16"/>
      <c r="I1633" s="20"/>
      <c r="J1633" s="20"/>
      <c r="K1633" s="20"/>
      <c r="L1633" s="20"/>
      <c r="M1633" s="20"/>
      <c r="N1633" s="20"/>
      <c r="O1633" s="20"/>
      <c r="P1633" s="20"/>
      <c r="Q1633" s="20"/>
      <c r="R1633" s="20"/>
      <c r="S1633" s="20"/>
      <c r="T1633" s="20"/>
      <c r="U1633" s="20"/>
      <c r="V1633" s="20"/>
      <c r="W1633" s="20"/>
      <c r="X1633" s="20"/>
      <c r="Y1633" s="20"/>
      <c r="Z1633" s="20"/>
      <c r="AA1633" s="20"/>
    </row>
    <row r="1634" spans="1:27" ht="191.4" x14ac:dyDescent="0.25">
      <c r="A1634" s="16"/>
      <c r="B1634" s="20" t="b">
        <f ca="1">IFERROR(__xludf.DUMMYFUNCTION("if(D1634=iferror(filter('Character Sheet'!D$13:D3002,'Character Sheet'!D$13:D3002=D1634),""""),True,False)"),FALSE)</f>
        <v>0</v>
      </c>
      <c r="C1634" s="20">
        <v>400</v>
      </c>
      <c r="D1634" s="2" t="s">
        <v>3477</v>
      </c>
      <c r="E1634" s="2" t="s">
        <v>87</v>
      </c>
      <c r="F1634" s="20" t="s">
        <v>62</v>
      </c>
      <c r="G1634" s="2" t="s">
        <v>3478</v>
      </c>
      <c r="H1634" s="16"/>
      <c r="I1634" s="20"/>
      <c r="J1634" s="20"/>
      <c r="K1634" s="20"/>
      <c r="L1634" s="20"/>
      <c r="M1634" s="20"/>
      <c r="N1634" s="20"/>
      <c r="O1634" s="20"/>
      <c r="P1634" s="20"/>
      <c r="Q1634" s="20"/>
      <c r="R1634" s="20"/>
      <c r="S1634" s="20"/>
      <c r="T1634" s="20"/>
      <c r="U1634" s="20"/>
      <c r="V1634" s="20"/>
      <c r="W1634" s="20"/>
      <c r="X1634" s="20"/>
      <c r="Y1634" s="20"/>
      <c r="Z1634" s="20"/>
      <c r="AA1634" s="20"/>
    </row>
    <row r="1635" spans="1:27" ht="104.4" x14ac:dyDescent="0.25">
      <c r="A1635" s="16"/>
      <c r="B1635" s="20" t="b">
        <f ca="1">IFERROR(__xludf.DUMMYFUNCTION("if(D1635=iferror(filter('Character Sheet'!D$13:D3002,'Character Sheet'!D$13:D3002=D1635),""""),True,False)"),FALSE)</f>
        <v>0</v>
      </c>
      <c r="C1635" s="20">
        <v>400</v>
      </c>
      <c r="D1635" s="2" t="s">
        <v>3479</v>
      </c>
      <c r="E1635" s="2" t="s">
        <v>464</v>
      </c>
      <c r="F1635" s="20" t="s">
        <v>62</v>
      </c>
      <c r="G1635" s="2" t="s">
        <v>3480</v>
      </c>
      <c r="H1635" s="16"/>
      <c r="I1635" s="20"/>
      <c r="J1635" s="20"/>
      <c r="K1635" s="20"/>
      <c r="L1635" s="20"/>
      <c r="M1635" s="20"/>
      <c r="N1635" s="20"/>
      <c r="O1635" s="20"/>
      <c r="P1635" s="20"/>
      <c r="Q1635" s="20"/>
      <c r="R1635" s="20"/>
      <c r="S1635" s="20"/>
      <c r="T1635" s="20"/>
      <c r="U1635" s="20"/>
      <c r="V1635" s="20"/>
      <c r="W1635" s="20"/>
      <c r="X1635" s="20"/>
      <c r="Y1635" s="20"/>
      <c r="Z1635" s="20"/>
      <c r="AA1635" s="20"/>
    </row>
    <row r="1636" spans="1:27" ht="191.4" x14ac:dyDescent="0.25">
      <c r="A1636" s="16"/>
      <c r="B1636" s="20" t="b">
        <f ca="1">IFERROR(__xludf.DUMMYFUNCTION("if(D1636=iferror(filter('Character Sheet'!D$13:D3002,'Character Sheet'!D$13:D3002=D1636),""""),True,False)"),FALSE)</f>
        <v>0</v>
      </c>
      <c r="C1636" s="20">
        <v>400</v>
      </c>
      <c r="D1636" s="2" t="s">
        <v>3481</v>
      </c>
      <c r="E1636" s="2" t="s">
        <v>469</v>
      </c>
      <c r="F1636" s="20" t="s">
        <v>62</v>
      </c>
      <c r="G1636" s="2" t="s">
        <v>3482</v>
      </c>
      <c r="H1636" s="16"/>
      <c r="I1636" s="20"/>
      <c r="J1636" s="20"/>
      <c r="K1636" s="20"/>
      <c r="L1636" s="20"/>
      <c r="M1636" s="20"/>
      <c r="N1636" s="20"/>
      <c r="O1636" s="20"/>
      <c r="P1636" s="20"/>
      <c r="Q1636" s="20"/>
      <c r="R1636" s="20"/>
      <c r="S1636" s="20"/>
      <c r="T1636" s="20"/>
      <c r="U1636" s="20"/>
      <c r="V1636" s="20"/>
      <c r="W1636" s="20"/>
      <c r="X1636" s="20"/>
      <c r="Y1636" s="20"/>
      <c r="Z1636" s="20"/>
      <c r="AA1636" s="20"/>
    </row>
    <row r="1637" spans="1:27" ht="52.2" x14ac:dyDescent="0.25">
      <c r="A1637" s="16"/>
      <c r="B1637" s="20" t="b">
        <f ca="1">IFERROR(__xludf.DUMMYFUNCTION("if(D1637=iferror(filter('Character Sheet'!D$13:D3002,'Character Sheet'!D$13:D3002=D1637),""""),True,False)"),FALSE)</f>
        <v>0</v>
      </c>
      <c r="C1637" s="20">
        <v>400</v>
      </c>
      <c r="D1637" s="2" t="s">
        <v>3483</v>
      </c>
      <c r="E1637" s="2" t="s">
        <v>238</v>
      </c>
      <c r="F1637" s="20" t="s">
        <v>62</v>
      </c>
      <c r="G1637" s="2" t="s">
        <v>3484</v>
      </c>
      <c r="H1637" s="16"/>
      <c r="I1637" s="20"/>
      <c r="J1637" s="20"/>
      <c r="K1637" s="20"/>
      <c r="L1637" s="20"/>
      <c r="M1637" s="20"/>
      <c r="N1637" s="20"/>
      <c r="O1637" s="20"/>
      <c r="P1637" s="20"/>
      <c r="Q1637" s="20"/>
      <c r="R1637" s="20"/>
      <c r="S1637" s="20"/>
      <c r="T1637" s="20"/>
      <c r="U1637" s="20"/>
      <c r="V1637" s="20"/>
      <c r="W1637" s="20"/>
      <c r="X1637" s="20"/>
      <c r="Y1637" s="20"/>
      <c r="Z1637" s="20"/>
      <c r="AA1637" s="20"/>
    </row>
    <row r="1638" spans="1:27" ht="69.599999999999994" x14ac:dyDescent="0.25">
      <c r="A1638" s="16"/>
      <c r="B1638" s="20" t="b">
        <f ca="1">IFERROR(__xludf.DUMMYFUNCTION("if(D1638=iferror(filter('Character Sheet'!D$13:D3002,'Character Sheet'!D$13:D3002=D1638),""""),True,False)"),FALSE)</f>
        <v>0</v>
      </c>
      <c r="C1638" s="20">
        <v>400</v>
      </c>
      <c r="D1638" s="2" t="s">
        <v>3485</v>
      </c>
      <c r="E1638" s="2" t="s">
        <v>93</v>
      </c>
      <c r="F1638" s="20" t="s">
        <v>62</v>
      </c>
      <c r="G1638" s="2" t="s">
        <v>3486</v>
      </c>
      <c r="H1638" s="16"/>
      <c r="I1638" s="20"/>
      <c r="J1638" s="20"/>
      <c r="K1638" s="20"/>
      <c r="L1638" s="20"/>
      <c r="M1638" s="20"/>
      <c r="N1638" s="20"/>
      <c r="O1638" s="20"/>
      <c r="P1638" s="20"/>
      <c r="Q1638" s="20"/>
      <c r="R1638" s="20"/>
      <c r="S1638" s="20"/>
      <c r="T1638" s="20"/>
      <c r="U1638" s="20"/>
      <c r="V1638" s="20"/>
      <c r="W1638" s="20"/>
      <c r="X1638" s="20"/>
      <c r="Y1638" s="20"/>
      <c r="Z1638" s="20"/>
      <c r="AA1638" s="20"/>
    </row>
    <row r="1639" spans="1:27" ht="191.4" x14ac:dyDescent="0.25">
      <c r="A1639" s="16"/>
      <c r="B1639" s="20" t="b">
        <f ca="1">IFERROR(__xludf.DUMMYFUNCTION("if(D1639=iferror(filter('Character Sheet'!D$13:D3002,'Character Sheet'!D$13:D3002=D1639),""""),True,False)"),FALSE)</f>
        <v>0</v>
      </c>
      <c r="C1639" s="20">
        <v>400</v>
      </c>
      <c r="D1639" s="2" t="s">
        <v>3487</v>
      </c>
      <c r="E1639" s="2" t="s">
        <v>220</v>
      </c>
      <c r="F1639" s="20" t="s">
        <v>62</v>
      </c>
      <c r="G1639" s="2" t="s">
        <v>3488</v>
      </c>
      <c r="H1639" s="16"/>
      <c r="I1639" s="20"/>
      <c r="J1639" s="20"/>
      <c r="K1639" s="20"/>
      <c r="L1639" s="20"/>
      <c r="M1639" s="20"/>
      <c r="N1639" s="20"/>
      <c r="O1639" s="20"/>
      <c r="P1639" s="20"/>
      <c r="Q1639" s="20"/>
      <c r="R1639" s="20"/>
      <c r="S1639" s="20"/>
      <c r="T1639" s="20"/>
      <c r="U1639" s="20"/>
      <c r="V1639" s="20"/>
      <c r="W1639" s="20"/>
      <c r="X1639" s="20"/>
      <c r="Y1639" s="20"/>
      <c r="Z1639" s="20"/>
      <c r="AA1639" s="20"/>
    </row>
    <row r="1640" spans="1:27" ht="191.4" x14ac:dyDescent="0.25">
      <c r="A1640" s="16"/>
      <c r="B1640" s="20" t="b">
        <f ca="1">IFERROR(__xludf.DUMMYFUNCTION("if(D1640=iferror(filter('Character Sheet'!D$13:D3002,'Character Sheet'!D$13:D3002=D1640),""""),True,False)"),FALSE)</f>
        <v>0</v>
      </c>
      <c r="C1640" s="20">
        <v>400</v>
      </c>
      <c r="D1640" s="2" t="s">
        <v>3489</v>
      </c>
      <c r="E1640" s="2" t="s">
        <v>220</v>
      </c>
      <c r="F1640" s="20" t="s">
        <v>62</v>
      </c>
      <c r="G1640" s="2" t="s">
        <v>3490</v>
      </c>
      <c r="H1640" s="16"/>
      <c r="I1640" s="20"/>
      <c r="J1640" s="20"/>
      <c r="K1640" s="20"/>
      <c r="L1640" s="20"/>
      <c r="M1640" s="20"/>
      <c r="N1640" s="20"/>
      <c r="O1640" s="20"/>
      <c r="P1640" s="20"/>
      <c r="Q1640" s="20"/>
      <c r="R1640" s="20"/>
      <c r="S1640" s="20"/>
      <c r="T1640" s="20"/>
      <c r="U1640" s="20"/>
      <c r="V1640" s="20"/>
      <c r="W1640" s="20"/>
      <c r="X1640" s="20"/>
      <c r="Y1640" s="20"/>
      <c r="Z1640" s="20"/>
      <c r="AA1640" s="20"/>
    </row>
    <row r="1641" spans="1:27" ht="104.4" x14ac:dyDescent="0.25">
      <c r="A1641" s="16"/>
      <c r="B1641" s="20" t="b">
        <f ca="1">IFERROR(__xludf.DUMMYFUNCTION("if(D1641=iferror(filter('Character Sheet'!D$13:D3002,'Character Sheet'!D$13:D3002=D1641),""""),True,False)"),FALSE)</f>
        <v>0</v>
      </c>
      <c r="C1641" s="20">
        <v>400</v>
      </c>
      <c r="D1641" s="2" t="s">
        <v>3491</v>
      </c>
      <c r="E1641" s="2" t="s">
        <v>848</v>
      </c>
      <c r="F1641" s="20" t="s">
        <v>62</v>
      </c>
      <c r="G1641" s="2" t="s">
        <v>3492</v>
      </c>
      <c r="H1641" s="16"/>
      <c r="I1641" s="20"/>
      <c r="J1641" s="20"/>
      <c r="K1641" s="20"/>
      <c r="L1641" s="20"/>
      <c r="M1641" s="20"/>
      <c r="N1641" s="20"/>
      <c r="O1641" s="20"/>
      <c r="P1641" s="20"/>
      <c r="Q1641" s="20"/>
      <c r="R1641" s="20"/>
      <c r="S1641" s="20"/>
      <c r="T1641" s="20"/>
      <c r="U1641" s="20"/>
      <c r="V1641" s="20"/>
      <c r="W1641" s="20"/>
      <c r="X1641" s="20"/>
      <c r="Y1641" s="20"/>
      <c r="Z1641" s="20"/>
      <c r="AA1641" s="20"/>
    </row>
    <row r="1642" spans="1:27" ht="87" x14ac:dyDescent="0.25">
      <c r="A1642" s="16"/>
      <c r="B1642" s="20" t="b">
        <f ca="1">IFERROR(__xludf.DUMMYFUNCTION("if(D1642=iferror(filter('Character Sheet'!D$13:D3002,'Character Sheet'!D$13:D3002=D1642),""""),True,False)"),FALSE)</f>
        <v>0</v>
      </c>
      <c r="C1642" s="20">
        <v>400</v>
      </c>
      <c r="D1642" s="2" t="s">
        <v>3493</v>
      </c>
      <c r="E1642" s="2" t="s">
        <v>2951</v>
      </c>
      <c r="F1642" s="20" t="s">
        <v>62</v>
      </c>
      <c r="G1642" s="2" t="s">
        <v>3494</v>
      </c>
      <c r="H1642" s="16"/>
      <c r="I1642" s="20"/>
      <c r="J1642" s="20"/>
      <c r="K1642" s="20"/>
      <c r="L1642" s="20"/>
      <c r="M1642" s="20"/>
      <c r="N1642" s="20"/>
      <c r="O1642" s="20"/>
      <c r="P1642" s="20"/>
      <c r="Q1642" s="20"/>
      <c r="R1642" s="20"/>
      <c r="S1642" s="20"/>
      <c r="T1642" s="20"/>
      <c r="U1642" s="20"/>
      <c r="V1642" s="20"/>
      <c r="W1642" s="20"/>
      <c r="X1642" s="20"/>
      <c r="Y1642" s="20"/>
      <c r="Z1642" s="20"/>
      <c r="AA1642" s="20"/>
    </row>
    <row r="1643" spans="1:27" ht="87" x14ac:dyDescent="0.25">
      <c r="A1643" s="16"/>
      <c r="B1643" s="20" t="b">
        <f ca="1">IFERROR(__xludf.DUMMYFUNCTION("if(D1643=iferror(filter('Character Sheet'!D$13:D3002,'Character Sheet'!D$13:D3002=D1643),""""),True,False)"),FALSE)</f>
        <v>0</v>
      </c>
      <c r="C1643" s="20">
        <v>500</v>
      </c>
      <c r="D1643" s="2" t="s">
        <v>3495</v>
      </c>
      <c r="E1643" s="2" t="s">
        <v>652</v>
      </c>
      <c r="F1643" s="20" t="s">
        <v>62</v>
      </c>
      <c r="G1643" s="2" t="s">
        <v>3496</v>
      </c>
      <c r="H1643" s="16"/>
      <c r="I1643" s="20"/>
      <c r="J1643" s="20"/>
      <c r="K1643" s="20"/>
      <c r="L1643" s="20"/>
      <c r="M1643" s="20"/>
      <c r="N1643" s="20"/>
      <c r="O1643" s="20"/>
      <c r="P1643" s="20"/>
      <c r="Q1643" s="20"/>
      <c r="R1643" s="20"/>
      <c r="S1643" s="20"/>
      <c r="T1643" s="20"/>
      <c r="U1643" s="20"/>
      <c r="V1643" s="20"/>
      <c r="W1643" s="20"/>
      <c r="X1643" s="20"/>
      <c r="Y1643" s="20"/>
      <c r="Z1643" s="20"/>
      <c r="AA1643" s="20"/>
    </row>
    <row r="1644" spans="1:27" ht="191.4" x14ac:dyDescent="0.25">
      <c r="A1644" s="16"/>
      <c r="B1644" s="20" t="b">
        <f ca="1">IFERROR(__xludf.DUMMYFUNCTION("if(D1644=iferror(filter('Character Sheet'!D$13:D3002,'Character Sheet'!D$13:D3002=D1644),""""),True,False)"),FALSE)</f>
        <v>0</v>
      </c>
      <c r="C1644" s="20">
        <v>500</v>
      </c>
      <c r="D1644" s="2" t="s">
        <v>3497</v>
      </c>
      <c r="E1644" s="2" t="s">
        <v>845</v>
      </c>
      <c r="F1644" s="20" t="s">
        <v>62</v>
      </c>
      <c r="G1644" s="2" t="s">
        <v>3498</v>
      </c>
      <c r="H1644" s="16"/>
      <c r="I1644" s="20"/>
      <c r="J1644" s="20"/>
      <c r="K1644" s="20"/>
      <c r="L1644" s="20"/>
      <c r="M1644" s="20"/>
      <c r="N1644" s="20"/>
      <c r="O1644" s="20"/>
      <c r="P1644" s="20"/>
      <c r="Q1644" s="20"/>
      <c r="R1644" s="20"/>
      <c r="S1644" s="20"/>
      <c r="T1644" s="20"/>
      <c r="U1644" s="20"/>
      <c r="V1644" s="20"/>
      <c r="W1644" s="20"/>
      <c r="X1644" s="20"/>
      <c r="Y1644" s="20"/>
      <c r="Z1644" s="20"/>
      <c r="AA1644" s="20"/>
    </row>
    <row r="1645" spans="1:27" ht="87" x14ac:dyDescent="0.25">
      <c r="A1645" s="16"/>
      <c r="B1645" s="20" t="b">
        <f ca="1">IFERROR(__xludf.DUMMYFUNCTION("if(D1645=iferror(filter('Character Sheet'!D$13:D3002,'Character Sheet'!D$13:D3002=D1645),""""),True,False)"),FALSE)</f>
        <v>0</v>
      </c>
      <c r="C1645" s="20">
        <v>500</v>
      </c>
      <c r="D1645" s="2" t="s">
        <v>3499</v>
      </c>
      <c r="E1645" s="2" t="s">
        <v>583</v>
      </c>
      <c r="F1645" s="20" t="s">
        <v>62</v>
      </c>
      <c r="G1645" s="2" t="s">
        <v>3500</v>
      </c>
      <c r="H1645" s="16"/>
      <c r="I1645" s="20"/>
      <c r="J1645" s="20"/>
      <c r="K1645" s="20"/>
      <c r="L1645" s="20"/>
      <c r="M1645" s="20"/>
      <c r="N1645" s="20"/>
      <c r="O1645" s="20"/>
      <c r="P1645" s="20"/>
      <c r="Q1645" s="20"/>
      <c r="R1645" s="20"/>
      <c r="S1645" s="20"/>
      <c r="T1645" s="20"/>
      <c r="U1645" s="20"/>
      <c r="V1645" s="20"/>
      <c r="W1645" s="20"/>
      <c r="X1645" s="20"/>
      <c r="Y1645" s="20"/>
      <c r="Z1645" s="20"/>
      <c r="AA1645" s="20"/>
    </row>
    <row r="1646" spans="1:27" ht="104.4" x14ac:dyDescent="0.25">
      <c r="A1646" s="16"/>
      <c r="B1646" s="20" t="b">
        <f ca="1">IFERROR(__xludf.DUMMYFUNCTION("if(D1646=iferror(filter('Character Sheet'!D$13:D3002,'Character Sheet'!D$13:D3002=D1646),""""),True,False)"),FALSE)</f>
        <v>0</v>
      </c>
      <c r="C1646" s="20">
        <v>500</v>
      </c>
      <c r="D1646" s="2" t="s">
        <v>3501</v>
      </c>
      <c r="E1646" s="2" t="s">
        <v>288</v>
      </c>
      <c r="F1646" s="20" t="s">
        <v>62</v>
      </c>
      <c r="G1646" s="2" t="s">
        <v>3502</v>
      </c>
      <c r="H1646" s="16"/>
      <c r="I1646" s="20"/>
      <c r="J1646" s="20"/>
      <c r="K1646" s="20"/>
      <c r="L1646" s="20"/>
      <c r="M1646" s="20"/>
      <c r="N1646" s="20"/>
      <c r="O1646" s="20"/>
      <c r="P1646" s="20"/>
      <c r="Q1646" s="20"/>
      <c r="R1646" s="20"/>
      <c r="S1646" s="20"/>
      <c r="T1646" s="20"/>
      <c r="U1646" s="20"/>
      <c r="V1646" s="20"/>
      <c r="W1646" s="20"/>
      <c r="X1646" s="20"/>
      <c r="Y1646" s="20"/>
      <c r="Z1646" s="20"/>
      <c r="AA1646" s="20"/>
    </row>
    <row r="1647" spans="1:27" ht="139.19999999999999" x14ac:dyDescent="0.25">
      <c r="A1647" s="16"/>
      <c r="B1647" s="20" t="b">
        <f ca="1">IFERROR(__xludf.DUMMYFUNCTION("if(D1647=iferror(filter('Character Sheet'!D$13:D3002,'Character Sheet'!D$13:D3002=D1647),""""),True,False)"),FALSE)</f>
        <v>0</v>
      </c>
      <c r="C1647" s="20">
        <v>600</v>
      </c>
      <c r="D1647" s="2" t="s">
        <v>3503</v>
      </c>
      <c r="E1647" s="2" t="s">
        <v>534</v>
      </c>
      <c r="F1647" s="20" t="s">
        <v>62</v>
      </c>
      <c r="G1647" s="2" t="s">
        <v>3504</v>
      </c>
      <c r="H1647" s="16"/>
      <c r="I1647" s="20"/>
      <c r="J1647" s="20"/>
      <c r="K1647" s="20"/>
      <c r="L1647" s="20"/>
      <c r="M1647" s="20"/>
      <c r="N1647" s="20"/>
      <c r="O1647" s="20"/>
      <c r="P1647" s="20"/>
      <c r="Q1647" s="20"/>
      <c r="R1647" s="20"/>
      <c r="S1647" s="20"/>
      <c r="T1647" s="20"/>
      <c r="U1647" s="20"/>
      <c r="V1647" s="20"/>
      <c r="W1647" s="20"/>
      <c r="X1647" s="20"/>
      <c r="Y1647" s="20"/>
      <c r="Z1647" s="20"/>
      <c r="AA1647" s="20"/>
    </row>
    <row r="1648" spans="1:27" ht="104.4" x14ac:dyDescent="0.25">
      <c r="A1648" s="16"/>
      <c r="B1648" s="20" t="b">
        <f ca="1">IFERROR(__xludf.DUMMYFUNCTION("if(D1648=iferror(filter('Character Sheet'!D$13:D3002,'Character Sheet'!D$13:D3002=D1648),""""),True,False)"),FALSE)</f>
        <v>0</v>
      </c>
      <c r="C1648" s="20">
        <v>600</v>
      </c>
      <c r="D1648" s="2" t="s">
        <v>3505</v>
      </c>
      <c r="E1648" s="2" t="s">
        <v>3506</v>
      </c>
      <c r="F1648" s="20" t="s">
        <v>62</v>
      </c>
      <c r="G1648" s="2" t="s">
        <v>3507</v>
      </c>
      <c r="H1648" s="16"/>
      <c r="I1648" s="20"/>
      <c r="J1648" s="20"/>
      <c r="K1648" s="20"/>
      <c r="L1648" s="20"/>
      <c r="M1648" s="20"/>
      <c r="N1648" s="20"/>
      <c r="O1648" s="20"/>
      <c r="P1648" s="20"/>
      <c r="Q1648" s="20"/>
      <c r="R1648" s="20"/>
      <c r="S1648" s="20"/>
      <c r="T1648" s="20"/>
      <c r="U1648" s="20"/>
      <c r="V1648" s="20"/>
      <c r="W1648" s="20"/>
      <c r="X1648" s="20"/>
      <c r="Y1648" s="20"/>
      <c r="Z1648" s="20"/>
      <c r="AA1648" s="20"/>
    </row>
    <row r="1649" spans="1:27" ht="104.4" x14ac:dyDescent="0.25">
      <c r="A1649" s="16"/>
      <c r="B1649" s="20" t="b">
        <f ca="1">IFERROR(__xludf.DUMMYFUNCTION("if(D1649=iferror(filter('Character Sheet'!D$13:D3002,'Character Sheet'!D$13:D3002=D1649),""""),True,False)"),FALSE)</f>
        <v>0</v>
      </c>
      <c r="C1649" s="20">
        <v>600</v>
      </c>
      <c r="D1649" s="2" t="s">
        <v>3508</v>
      </c>
      <c r="E1649" s="2" t="s">
        <v>442</v>
      </c>
      <c r="F1649" s="20" t="s">
        <v>62</v>
      </c>
      <c r="G1649" s="2" t="s">
        <v>3509</v>
      </c>
      <c r="H1649" s="16"/>
      <c r="I1649" s="20"/>
      <c r="J1649" s="20"/>
      <c r="K1649" s="20"/>
      <c r="L1649" s="20"/>
      <c r="M1649" s="20"/>
      <c r="N1649" s="20"/>
      <c r="O1649" s="20"/>
      <c r="P1649" s="20"/>
      <c r="Q1649" s="20"/>
      <c r="R1649" s="20"/>
      <c r="S1649" s="20"/>
      <c r="T1649" s="20"/>
      <c r="U1649" s="20"/>
      <c r="V1649" s="20"/>
      <c r="W1649" s="20"/>
      <c r="X1649" s="20"/>
      <c r="Y1649" s="20"/>
      <c r="Z1649" s="20"/>
      <c r="AA1649" s="20"/>
    </row>
    <row r="1650" spans="1:27" ht="104.4" x14ac:dyDescent="0.25">
      <c r="A1650" s="16"/>
      <c r="B1650" s="20" t="b">
        <f ca="1">IFERROR(__xludf.DUMMYFUNCTION("if(D1650=iferror(filter('Character Sheet'!D$13:D3002,'Character Sheet'!D$13:D3002=D1650),""""),True,False)"),FALSE)</f>
        <v>0</v>
      </c>
      <c r="C1650" s="20">
        <v>600</v>
      </c>
      <c r="D1650" s="2" t="s">
        <v>3510</v>
      </c>
      <c r="E1650" s="2" t="s">
        <v>328</v>
      </c>
      <c r="F1650" s="20" t="s">
        <v>62</v>
      </c>
      <c r="G1650" s="2" t="s">
        <v>3511</v>
      </c>
      <c r="H1650" s="16"/>
      <c r="I1650" s="20"/>
      <c r="J1650" s="20"/>
      <c r="K1650" s="20"/>
      <c r="L1650" s="20"/>
      <c r="M1650" s="20"/>
      <c r="N1650" s="20"/>
      <c r="O1650" s="20"/>
      <c r="P1650" s="20"/>
      <c r="Q1650" s="20"/>
      <c r="R1650" s="20"/>
      <c r="S1650" s="20"/>
      <c r="T1650" s="20"/>
      <c r="U1650" s="20"/>
      <c r="V1650" s="20"/>
      <c r="W1650" s="20"/>
      <c r="X1650" s="20"/>
      <c r="Y1650" s="20"/>
      <c r="Z1650" s="20"/>
      <c r="AA1650" s="20"/>
    </row>
    <row r="1651" spans="1:27" ht="208.8" x14ac:dyDescent="0.25">
      <c r="A1651" s="16"/>
      <c r="B1651" s="20" t="b">
        <f ca="1">IFERROR(__xludf.DUMMYFUNCTION("if(D1651=iferror(filter('Character Sheet'!D$13:D3002,'Character Sheet'!D$13:D3002=D1651),""""),True,False)"),FALSE)</f>
        <v>0</v>
      </c>
      <c r="C1651" s="20">
        <v>600</v>
      </c>
      <c r="D1651" s="2" t="s">
        <v>3512</v>
      </c>
      <c r="E1651" s="2" t="s">
        <v>863</v>
      </c>
      <c r="F1651" s="20" t="s">
        <v>62</v>
      </c>
      <c r="G1651" s="2" t="s">
        <v>3513</v>
      </c>
      <c r="H1651" s="16"/>
      <c r="I1651" s="20"/>
      <c r="J1651" s="20"/>
      <c r="K1651" s="20"/>
      <c r="L1651" s="20"/>
      <c r="M1651" s="20"/>
      <c r="N1651" s="20"/>
      <c r="O1651" s="20"/>
      <c r="P1651" s="20"/>
      <c r="Q1651" s="20"/>
      <c r="R1651" s="20"/>
      <c r="S1651" s="20"/>
      <c r="T1651" s="20"/>
      <c r="U1651" s="20"/>
      <c r="V1651" s="20"/>
      <c r="W1651" s="20"/>
      <c r="X1651" s="20"/>
      <c r="Y1651" s="20"/>
      <c r="Z1651" s="20"/>
      <c r="AA1651" s="20"/>
    </row>
    <row r="1652" spans="1:27" ht="191.4" x14ac:dyDescent="0.25">
      <c r="A1652" s="16"/>
      <c r="B1652" s="20" t="b">
        <f ca="1">IFERROR(__xludf.DUMMYFUNCTION("if(D1652=iferror(filter('Character Sheet'!D$13:D3002,'Character Sheet'!D$13:D3002=D1652),""""),True,False)"),FALSE)</f>
        <v>0</v>
      </c>
      <c r="C1652" s="20">
        <v>600</v>
      </c>
      <c r="D1652" s="2" t="s">
        <v>3514</v>
      </c>
      <c r="E1652" s="2" t="s">
        <v>970</v>
      </c>
      <c r="F1652" s="20" t="s">
        <v>62</v>
      </c>
      <c r="G1652" s="2" t="s">
        <v>3515</v>
      </c>
      <c r="H1652" s="16"/>
      <c r="I1652" s="20"/>
      <c r="J1652" s="20"/>
      <c r="K1652" s="20"/>
      <c r="L1652" s="20"/>
      <c r="M1652" s="20"/>
      <c r="N1652" s="20"/>
      <c r="O1652" s="20"/>
      <c r="P1652" s="20"/>
      <c r="Q1652" s="20"/>
      <c r="R1652" s="20"/>
      <c r="S1652" s="20"/>
      <c r="T1652" s="20"/>
      <c r="U1652" s="20"/>
      <c r="V1652" s="20"/>
      <c r="W1652" s="20"/>
      <c r="X1652" s="20"/>
      <c r="Y1652" s="20"/>
      <c r="Z1652" s="20"/>
      <c r="AA1652" s="20"/>
    </row>
    <row r="1653" spans="1:27" ht="104.4" x14ac:dyDescent="0.25">
      <c r="A1653" s="16"/>
      <c r="B1653" s="20" t="b">
        <f ca="1">IFERROR(__xludf.DUMMYFUNCTION("if(D1653=iferror(filter('Character Sheet'!D$13:D3002,'Character Sheet'!D$13:D3002=D1653),""""),True,False)"),FALSE)</f>
        <v>0</v>
      </c>
      <c r="C1653" s="20">
        <v>600</v>
      </c>
      <c r="D1653" s="2" t="s">
        <v>3516</v>
      </c>
      <c r="E1653" s="2" t="s">
        <v>442</v>
      </c>
      <c r="F1653" s="20" t="s">
        <v>62</v>
      </c>
      <c r="G1653" s="2" t="s">
        <v>3517</v>
      </c>
      <c r="H1653" s="16"/>
      <c r="I1653" s="20"/>
      <c r="J1653" s="20"/>
      <c r="K1653" s="20"/>
      <c r="L1653" s="20"/>
      <c r="M1653" s="20"/>
      <c r="N1653" s="20"/>
      <c r="O1653" s="20"/>
      <c r="P1653" s="20"/>
      <c r="Q1653" s="20"/>
      <c r="R1653" s="20"/>
      <c r="S1653" s="20"/>
      <c r="T1653" s="20"/>
      <c r="U1653" s="20"/>
      <c r="V1653" s="20"/>
      <c r="W1653" s="20"/>
      <c r="X1653" s="20"/>
      <c r="Y1653" s="20"/>
      <c r="Z1653" s="20"/>
      <c r="AA1653" s="20"/>
    </row>
    <row r="1654" spans="1:27" ht="104.4" x14ac:dyDescent="0.25">
      <c r="A1654" s="16"/>
      <c r="B1654" s="20" t="b">
        <f ca="1">IFERROR(__xludf.DUMMYFUNCTION("if(D1654=iferror(filter('Character Sheet'!D$13:D3002,'Character Sheet'!D$13:D3002=D1654),""""),True,False)"),FALSE)</f>
        <v>0</v>
      </c>
      <c r="C1654" s="20">
        <v>700</v>
      </c>
      <c r="D1654" s="2" t="s">
        <v>3518</v>
      </c>
      <c r="E1654" s="2" t="s">
        <v>425</v>
      </c>
      <c r="F1654" s="20" t="s">
        <v>62</v>
      </c>
      <c r="G1654" s="2" t="s">
        <v>3519</v>
      </c>
      <c r="H1654" s="16"/>
      <c r="I1654" s="20"/>
      <c r="J1654" s="20"/>
      <c r="K1654" s="20"/>
      <c r="L1654" s="20"/>
      <c r="M1654" s="20"/>
      <c r="N1654" s="20"/>
      <c r="O1654" s="20"/>
      <c r="P1654" s="20"/>
      <c r="Q1654" s="20"/>
      <c r="R1654" s="20"/>
      <c r="S1654" s="20"/>
      <c r="T1654" s="20"/>
      <c r="U1654" s="20"/>
      <c r="V1654" s="20"/>
      <c r="W1654" s="20"/>
      <c r="X1654" s="20"/>
      <c r="Y1654" s="20"/>
      <c r="Z1654" s="20"/>
      <c r="AA1654" s="20"/>
    </row>
    <row r="1655" spans="1:27" ht="69.599999999999994" x14ac:dyDescent="0.25">
      <c r="A1655" s="16"/>
      <c r="B1655" s="20" t="b">
        <f ca="1">IFERROR(__xludf.DUMMYFUNCTION("if(D1655=iferror(filter('Character Sheet'!D$13:D3002,'Character Sheet'!D$13:D3002=D1655),""""),True,False)"),FALSE)</f>
        <v>0</v>
      </c>
      <c r="C1655" s="20">
        <v>0</v>
      </c>
      <c r="D1655" s="2" t="s">
        <v>3520</v>
      </c>
      <c r="E1655" s="2" t="s">
        <v>277</v>
      </c>
      <c r="F1655" s="20" t="s">
        <v>63</v>
      </c>
      <c r="G1655" s="2" t="s">
        <v>3521</v>
      </c>
      <c r="H1655" s="16"/>
      <c r="I1655" s="20"/>
      <c r="J1655" s="20"/>
      <c r="K1655" s="20"/>
      <c r="L1655" s="20"/>
      <c r="M1655" s="20"/>
      <c r="N1655" s="20"/>
      <c r="O1655" s="20"/>
      <c r="P1655" s="20"/>
      <c r="Q1655" s="20"/>
      <c r="R1655" s="20"/>
      <c r="S1655" s="20"/>
      <c r="T1655" s="20"/>
      <c r="U1655" s="20"/>
      <c r="V1655" s="20"/>
      <c r="W1655" s="20"/>
      <c r="X1655" s="20"/>
      <c r="Y1655" s="20"/>
      <c r="Z1655" s="20"/>
      <c r="AA1655" s="20"/>
    </row>
    <row r="1656" spans="1:27" ht="69.599999999999994" x14ac:dyDescent="0.25">
      <c r="A1656" s="16"/>
      <c r="B1656" s="20" t="b">
        <f ca="1">IFERROR(__xludf.DUMMYFUNCTION("if(D1656=iferror(filter('Character Sheet'!D$13:D3002,'Character Sheet'!D$13:D3002=D1656),""""),True,False)"),FALSE)</f>
        <v>0</v>
      </c>
      <c r="C1656" s="20">
        <v>0</v>
      </c>
      <c r="D1656" s="2" t="s">
        <v>3522</v>
      </c>
      <c r="E1656" s="2" t="s">
        <v>159</v>
      </c>
      <c r="F1656" s="20" t="s">
        <v>63</v>
      </c>
      <c r="G1656" s="2" t="s">
        <v>3523</v>
      </c>
      <c r="H1656" s="16"/>
      <c r="I1656" s="20"/>
      <c r="J1656" s="20"/>
      <c r="K1656" s="20"/>
      <c r="L1656" s="20"/>
      <c r="M1656" s="20"/>
      <c r="N1656" s="20"/>
      <c r="O1656" s="20"/>
      <c r="P1656" s="20"/>
      <c r="Q1656" s="20"/>
      <c r="R1656" s="20"/>
      <c r="S1656" s="20"/>
      <c r="T1656" s="20"/>
      <c r="U1656" s="20"/>
      <c r="V1656" s="20"/>
      <c r="W1656" s="20"/>
      <c r="X1656" s="20"/>
      <c r="Y1656" s="20"/>
      <c r="Z1656" s="20"/>
      <c r="AA1656" s="20"/>
    </row>
    <row r="1657" spans="1:27" ht="52.2" x14ac:dyDescent="0.25">
      <c r="A1657" s="16"/>
      <c r="B1657" s="20" t="b">
        <f ca="1">IFERROR(__xludf.DUMMYFUNCTION("if(D1657=iferror(filter('Character Sheet'!D$13:D3002,'Character Sheet'!D$13:D3002=D1657),""""),True,False)"),FALSE)</f>
        <v>0</v>
      </c>
      <c r="C1657" s="20">
        <v>0</v>
      </c>
      <c r="D1657" s="2" t="s">
        <v>3524</v>
      </c>
      <c r="E1657" s="2" t="s">
        <v>958</v>
      </c>
      <c r="F1657" s="20" t="s">
        <v>63</v>
      </c>
      <c r="G1657" s="2" t="s">
        <v>3525</v>
      </c>
      <c r="H1657" s="16"/>
      <c r="I1657" s="20"/>
      <c r="J1657" s="20"/>
      <c r="K1657" s="20"/>
      <c r="L1657" s="20"/>
      <c r="M1657" s="20"/>
      <c r="N1657" s="20"/>
      <c r="O1657" s="20"/>
      <c r="P1657" s="20"/>
      <c r="Q1657" s="20"/>
      <c r="R1657" s="20"/>
      <c r="S1657" s="20"/>
      <c r="T1657" s="20"/>
      <c r="U1657" s="20"/>
      <c r="V1657" s="20"/>
      <c r="W1657" s="20"/>
      <c r="X1657" s="20"/>
      <c r="Y1657" s="20"/>
      <c r="Z1657" s="20"/>
      <c r="AA1657" s="20"/>
    </row>
    <row r="1658" spans="1:27" ht="156.6" x14ac:dyDescent="0.25">
      <c r="A1658" s="16"/>
      <c r="B1658" s="20" t="b">
        <f ca="1">IFERROR(__xludf.DUMMYFUNCTION("if(D1658=iferror(filter('Character Sheet'!D$13:D3002,'Character Sheet'!D$13:D3002=D1658),""""),True,False)"),FALSE)</f>
        <v>0</v>
      </c>
      <c r="C1658" s="20">
        <v>0</v>
      </c>
      <c r="D1658" s="2" t="s">
        <v>3526</v>
      </c>
      <c r="E1658" s="2" t="s">
        <v>381</v>
      </c>
      <c r="F1658" s="20" t="s">
        <v>63</v>
      </c>
      <c r="G1658" s="2" t="s">
        <v>3527</v>
      </c>
      <c r="H1658" s="16"/>
      <c r="I1658" s="20"/>
      <c r="J1658" s="20"/>
      <c r="K1658" s="20"/>
      <c r="L1658" s="20"/>
      <c r="M1658" s="20"/>
      <c r="N1658" s="20"/>
      <c r="O1658" s="20"/>
      <c r="P1658" s="20"/>
      <c r="Q1658" s="20"/>
      <c r="R1658" s="20"/>
      <c r="S1658" s="20"/>
      <c r="T1658" s="20"/>
      <c r="U1658" s="20"/>
      <c r="V1658" s="20"/>
      <c r="W1658" s="20"/>
      <c r="X1658" s="20"/>
      <c r="Y1658" s="20"/>
      <c r="Z1658" s="20"/>
      <c r="AA1658" s="20"/>
    </row>
    <row r="1659" spans="1:27" ht="69.599999999999994" x14ac:dyDescent="0.25">
      <c r="A1659" s="16"/>
      <c r="B1659" s="20" t="b">
        <f ca="1">IFERROR(__xludf.DUMMYFUNCTION("if(D1659=iferror(filter('Character Sheet'!D$13:D3002,'Character Sheet'!D$13:D3002=D1659),""""),True,False)"),FALSE)</f>
        <v>0</v>
      </c>
      <c r="C1659" s="20">
        <v>50</v>
      </c>
      <c r="D1659" s="2" t="s">
        <v>3528</v>
      </c>
      <c r="E1659" s="2" t="s">
        <v>576</v>
      </c>
      <c r="F1659" s="20" t="s">
        <v>63</v>
      </c>
      <c r="G1659" s="2" t="s">
        <v>3529</v>
      </c>
      <c r="H1659" s="16"/>
      <c r="I1659" s="20"/>
      <c r="J1659" s="20"/>
      <c r="K1659" s="20"/>
      <c r="L1659" s="20"/>
      <c r="M1659" s="20"/>
      <c r="N1659" s="20"/>
      <c r="O1659" s="20"/>
      <c r="P1659" s="20"/>
      <c r="Q1659" s="20"/>
      <c r="R1659" s="20"/>
      <c r="S1659" s="20"/>
      <c r="T1659" s="20"/>
      <c r="U1659" s="20"/>
      <c r="V1659" s="20"/>
      <c r="W1659" s="20"/>
      <c r="X1659" s="20"/>
      <c r="Y1659" s="20"/>
      <c r="Z1659" s="20"/>
      <c r="AA1659" s="20"/>
    </row>
    <row r="1660" spans="1:27" ht="52.2" x14ac:dyDescent="0.25">
      <c r="A1660" s="16"/>
      <c r="B1660" s="20" t="b">
        <f ca="1">IFERROR(__xludf.DUMMYFUNCTION("if(D1660=iferror(filter('Character Sheet'!D$13:D3002,'Character Sheet'!D$13:D3002=D1660),""""),True,False)"),FALSE)</f>
        <v>0</v>
      </c>
      <c r="C1660" s="20">
        <v>50</v>
      </c>
      <c r="D1660" s="2" t="s">
        <v>3530</v>
      </c>
      <c r="E1660" s="2" t="s">
        <v>93</v>
      </c>
      <c r="F1660" s="20" t="s">
        <v>63</v>
      </c>
      <c r="G1660" s="2" t="s">
        <v>3531</v>
      </c>
      <c r="H1660" s="16"/>
      <c r="I1660" s="20"/>
      <c r="J1660" s="20"/>
      <c r="K1660" s="20"/>
      <c r="L1660" s="20"/>
      <c r="M1660" s="20"/>
      <c r="N1660" s="20"/>
      <c r="O1660" s="20"/>
      <c r="P1660" s="20"/>
      <c r="Q1660" s="20"/>
      <c r="R1660" s="20"/>
      <c r="S1660" s="20"/>
      <c r="T1660" s="20"/>
      <c r="U1660" s="20"/>
      <c r="V1660" s="20"/>
      <c r="W1660" s="20"/>
      <c r="X1660" s="20"/>
      <c r="Y1660" s="20"/>
      <c r="Z1660" s="20"/>
      <c r="AA1660" s="20"/>
    </row>
    <row r="1661" spans="1:27" ht="156.6" x14ac:dyDescent="0.25">
      <c r="A1661" s="16"/>
      <c r="B1661" s="20" t="b">
        <f ca="1">IFERROR(__xludf.DUMMYFUNCTION("if(D1661=iferror(filter('Character Sheet'!D$13:D3002,'Character Sheet'!D$13:D3002=D1661),""""),True,False)"),FALSE)</f>
        <v>0</v>
      </c>
      <c r="C1661" s="20">
        <v>50</v>
      </c>
      <c r="D1661" s="2" t="s">
        <v>3532</v>
      </c>
      <c r="E1661" s="2" t="s">
        <v>1052</v>
      </c>
      <c r="F1661" s="20" t="s">
        <v>63</v>
      </c>
      <c r="G1661" s="2" t="s">
        <v>3533</v>
      </c>
      <c r="H1661" s="16"/>
      <c r="I1661" s="20"/>
      <c r="J1661" s="20"/>
      <c r="K1661" s="20"/>
      <c r="L1661" s="20"/>
      <c r="M1661" s="20"/>
      <c r="N1661" s="20"/>
      <c r="O1661" s="20"/>
      <c r="P1661" s="20"/>
      <c r="Q1661" s="20"/>
      <c r="R1661" s="20"/>
      <c r="S1661" s="20"/>
      <c r="T1661" s="20"/>
      <c r="U1661" s="20"/>
      <c r="V1661" s="20"/>
      <c r="W1661" s="20"/>
      <c r="X1661" s="20"/>
      <c r="Y1661" s="20"/>
      <c r="Z1661" s="20"/>
      <c r="AA1661" s="20"/>
    </row>
    <row r="1662" spans="1:27" ht="52.2" x14ac:dyDescent="0.25">
      <c r="A1662" s="16"/>
      <c r="B1662" s="20" t="b">
        <f ca="1">IFERROR(__xludf.DUMMYFUNCTION("if(D1662=iferror(filter('Character Sheet'!D$13:D3002,'Character Sheet'!D$13:D3002=D1662),""""),True,False)"),FALSE)</f>
        <v>0</v>
      </c>
      <c r="C1662" s="20">
        <v>50</v>
      </c>
      <c r="D1662" s="2" t="s">
        <v>3534</v>
      </c>
      <c r="E1662" s="2" t="s">
        <v>84</v>
      </c>
      <c r="F1662" s="20" t="s">
        <v>63</v>
      </c>
      <c r="G1662" s="2" t="s">
        <v>3535</v>
      </c>
      <c r="H1662" s="16"/>
      <c r="I1662" s="20"/>
      <c r="J1662" s="20"/>
      <c r="K1662" s="20"/>
      <c r="L1662" s="20"/>
      <c r="M1662" s="20"/>
      <c r="N1662" s="20"/>
      <c r="O1662" s="20"/>
      <c r="P1662" s="20"/>
      <c r="Q1662" s="20"/>
      <c r="R1662" s="20"/>
      <c r="S1662" s="20"/>
      <c r="T1662" s="20"/>
      <c r="U1662" s="20"/>
      <c r="V1662" s="20"/>
      <c r="W1662" s="20"/>
      <c r="X1662" s="20"/>
      <c r="Y1662" s="20"/>
      <c r="Z1662" s="20"/>
      <c r="AA1662" s="20"/>
    </row>
    <row r="1663" spans="1:27" ht="52.2" x14ac:dyDescent="0.25">
      <c r="A1663" s="16"/>
      <c r="B1663" s="20" t="b">
        <f ca="1">IFERROR(__xludf.DUMMYFUNCTION("if(D1663=iferror(filter('Character Sheet'!D$13:D3002,'Character Sheet'!D$13:D3002=D1663),""""),True,False)"),FALSE)</f>
        <v>0</v>
      </c>
      <c r="C1663" s="20">
        <v>50</v>
      </c>
      <c r="D1663" s="2" t="s">
        <v>3536</v>
      </c>
      <c r="E1663" s="2" t="s">
        <v>277</v>
      </c>
      <c r="F1663" s="20" t="s">
        <v>63</v>
      </c>
      <c r="G1663" s="2" t="s">
        <v>3537</v>
      </c>
      <c r="H1663" s="16"/>
      <c r="I1663" s="20"/>
      <c r="J1663" s="20"/>
      <c r="K1663" s="20"/>
      <c r="L1663" s="20"/>
      <c r="M1663" s="20"/>
      <c r="N1663" s="20"/>
      <c r="O1663" s="20"/>
      <c r="P1663" s="20"/>
      <c r="Q1663" s="20"/>
      <c r="R1663" s="20"/>
      <c r="S1663" s="20"/>
      <c r="T1663" s="20"/>
      <c r="U1663" s="20"/>
      <c r="V1663" s="20"/>
      <c r="W1663" s="20"/>
      <c r="X1663" s="20"/>
      <c r="Y1663" s="20"/>
      <c r="Z1663" s="20"/>
      <c r="AA1663" s="20"/>
    </row>
    <row r="1664" spans="1:27" ht="87" x14ac:dyDescent="0.25">
      <c r="A1664" s="16"/>
      <c r="B1664" s="20" t="b">
        <f ca="1">IFERROR(__xludf.DUMMYFUNCTION("if(D1664=iferror(filter('Character Sheet'!D$13:D3002,'Character Sheet'!D$13:D3002=D1664),""""),True,False)"),FALSE)</f>
        <v>0</v>
      </c>
      <c r="C1664" s="20">
        <v>50</v>
      </c>
      <c r="D1664" s="2" t="s">
        <v>3538</v>
      </c>
      <c r="E1664" s="2" t="s">
        <v>534</v>
      </c>
      <c r="F1664" s="20" t="s">
        <v>63</v>
      </c>
      <c r="G1664" s="2" t="s">
        <v>3539</v>
      </c>
      <c r="H1664" s="16"/>
      <c r="I1664" s="20"/>
      <c r="J1664" s="20"/>
      <c r="K1664" s="20"/>
      <c r="L1664" s="20"/>
      <c r="M1664" s="20"/>
      <c r="N1664" s="20"/>
      <c r="O1664" s="20"/>
      <c r="P1664" s="20"/>
      <c r="Q1664" s="20"/>
      <c r="R1664" s="20"/>
      <c r="S1664" s="20"/>
      <c r="T1664" s="20"/>
      <c r="U1664" s="20"/>
      <c r="V1664" s="20"/>
      <c r="W1664" s="20"/>
      <c r="X1664" s="20"/>
      <c r="Y1664" s="20"/>
      <c r="Z1664" s="20"/>
      <c r="AA1664" s="20"/>
    </row>
    <row r="1665" spans="1:27" ht="52.2" x14ac:dyDescent="0.25">
      <c r="A1665" s="16"/>
      <c r="B1665" s="20" t="b">
        <f ca="1">IFERROR(__xludf.DUMMYFUNCTION("if(D1665=iferror(filter('Character Sheet'!D$13:D3002,'Character Sheet'!D$13:D3002=D1665),""""),True,False)"),FALSE)</f>
        <v>0</v>
      </c>
      <c r="C1665" s="20">
        <v>50</v>
      </c>
      <c r="D1665" s="2" t="s">
        <v>3540</v>
      </c>
      <c r="E1665" s="2" t="s">
        <v>93</v>
      </c>
      <c r="F1665" s="20" t="s">
        <v>63</v>
      </c>
      <c r="G1665" s="2" t="s">
        <v>3541</v>
      </c>
      <c r="H1665" s="16"/>
      <c r="I1665" s="20"/>
      <c r="J1665" s="20"/>
      <c r="K1665" s="20"/>
      <c r="L1665" s="20"/>
      <c r="M1665" s="20"/>
      <c r="N1665" s="20"/>
      <c r="O1665" s="20"/>
      <c r="P1665" s="20"/>
      <c r="Q1665" s="20"/>
      <c r="R1665" s="20"/>
      <c r="S1665" s="20"/>
      <c r="T1665" s="20"/>
      <c r="U1665" s="20"/>
      <c r="V1665" s="20"/>
      <c r="W1665" s="20"/>
      <c r="X1665" s="20"/>
      <c r="Y1665" s="20"/>
      <c r="Z1665" s="20"/>
      <c r="AA1665" s="20"/>
    </row>
    <row r="1666" spans="1:27" ht="139.19999999999999" x14ac:dyDescent="0.25">
      <c r="A1666" s="16"/>
      <c r="B1666" s="20" t="b">
        <f ca="1">IFERROR(__xludf.DUMMYFUNCTION("if(D1666=iferror(filter('Character Sheet'!D$13:D3002,'Character Sheet'!D$13:D3002=D1666),""""),True,False)"),FALSE)</f>
        <v>0</v>
      </c>
      <c r="C1666" s="20">
        <v>50</v>
      </c>
      <c r="D1666" s="2" t="s">
        <v>3542</v>
      </c>
      <c r="E1666" s="2" t="s">
        <v>93</v>
      </c>
      <c r="F1666" s="20" t="s">
        <v>63</v>
      </c>
      <c r="G1666" s="2" t="s">
        <v>3543</v>
      </c>
      <c r="H1666" s="16"/>
      <c r="I1666" s="20"/>
      <c r="J1666" s="20"/>
      <c r="K1666" s="20"/>
      <c r="L1666" s="20"/>
      <c r="M1666" s="20"/>
      <c r="N1666" s="20"/>
      <c r="O1666" s="20"/>
      <c r="P1666" s="20"/>
      <c r="Q1666" s="20"/>
      <c r="R1666" s="20"/>
      <c r="S1666" s="20"/>
      <c r="T1666" s="20"/>
      <c r="U1666" s="20"/>
      <c r="V1666" s="20"/>
      <c r="W1666" s="20"/>
      <c r="X1666" s="20"/>
      <c r="Y1666" s="20"/>
      <c r="Z1666" s="20"/>
      <c r="AA1666" s="20"/>
    </row>
    <row r="1667" spans="1:27" ht="52.2" x14ac:dyDescent="0.25">
      <c r="A1667" s="16"/>
      <c r="B1667" s="20" t="b">
        <f ca="1">IFERROR(__xludf.DUMMYFUNCTION("if(D1667=iferror(filter('Character Sheet'!D$13:D3002,'Character Sheet'!D$13:D3002=D1667),""""),True,False)"),FALSE)</f>
        <v>0</v>
      </c>
      <c r="C1667" s="20">
        <v>100</v>
      </c>
      <c r="D1667" s="2" t="s">
        <v>3544</v>
      </c>
      <c r="E1667" s="2" t="s">
        <v>344</v>
      </c>
      <c r="F1667" s="20" t="s">
        <v>63</v>
      </c>
      <c r="G1667" s="2" t="s">
        <v>3545</v>
      </c>
      <c r="H1667" s="16"/>
      <c r="I1667" s="20"/>
      <c r="J1667" s="20"/>
      <c r="K1667" s="20"/>
      <c r="L1667" s="20"/>
      <c r="M1667" s="20"/>
      <c r="N1667" s="20"/>
      <c r="O1667" s="20"/>
      <c r="P1667" s="20"/>
      <c r="Q1667" s="20"/>
      <c r="R1667" s="20"/>
      <c r="S1667" s="20"/>
      <c r="T1667" s="20"/>
      <c r="U1667" s="20"/>
      <c r="V1667" s="20"/>
      <c r="W1667" s="20"/>
      <c r="X1667" s="20"/>
      <c r="Y1667" s="20"/>
      <c r="Z1667" s="20"/>
      <c r="AA1667" s="20"/>
    </row>
    <row r="1668" spans="1:27" ht="156.6" x14ac:dyDescent="0.25">
      <c r="A1668" s="16"/>
      <c r="B1668" s="20" t="b">
        <f ca="1">IFERROR(__xludf.DUMMYFUNCTION("if(D1668=iferror(filter('Character Sheet'!D$13:D3002,'Character Sheet'!D$13:D3002=D1668),""""),True,False)"),FALSE)</f>
        <v>0</v>
      </c>
      <c r="C1668" s="20">
        <v>100</v>
      </c>
      <c r="D1668" s="2" t="s">
        <v>3546</v>
      </c>
      <c r="E1668" s="2" t="s">
        <v>87</v>
      </c>
      <c r="F1668" s="20" t="s">
        <v>63</v>
      </c>
      <c r="G1668" s="2" t="s">
        <v>3547</v>
      </c>
      <c r="H1668" s="16"/>
      <c r="I1668" s="20"/>
      <c r="J1668" s="20"/>
      <c r="K1668" s="20"/>
      <c r="L1668" s="20"/>
      <c r="M1668" s="20"/>
      <c r="N1668" s="20"/>
      <c r="O1668" s="20"/>
      <c r="P1668" s="20"/>
      <c r="Q1668" s="20"/>
      <c r="R1668" s="20"/>
      <c r="S1668" s="20"/>
      <c r="T1668" s="20"/>
      <c r="U1668" s="20"/>
      <c r="V1668" s="20"/>
      <c r="W1668" s="20"/>
      <c r="X1668" s="20"/>
      <c r="Y1668" s="20"/>
      <c r="Z1668" s="20"/>
      <c r="AA1668" s="20"/>
    </row>
    <row r="1669" spans="1:27" ht="69.599999999999994" x14ac:dyDescent="0.25">
      <c r="A1669" s="16"/>
      <c r="B1669" s="20" t="b">
        <f ca="1">IFERROR(__xludf.DUMMYFUNCTION("if(D1669=iferror(filter('Character Sheet'!D$13:D3002,'Character Sheet'!D$13:D3002=D1669),""""),True,False)"),FALSE)</f>
        <v>0</v>
      </c>
      <c r="C1669" s="20">
        <v>100</v>
      </c>
      <c r="D1669" s="2" t="s">
        <v>3548</v>
      </c>
      <c r="E1669" s="2" t="s">
        <v>1941</v>
      </c>
      <c r="F1669" s="20" t="s">
        <v>63</v>
      </c>
      <c r="G1669" s="2" t="s">
        <v>3549</v>
      </c>
      <c r="H1669" s="16"/>
      <c r="I1669" s="20"/>
      <c r="J1669" s="20"/>
      <c r="K1669" s="20"/>
      <c r="L1669" s="20"/>
      <c r="M1669" s="20"/>
      <c r="N1669" s="20"/>
      <c r="O1669" s="20"/>
      <c r="P1669" s="20"/>
      <c r="Q1669" s="20"/>
      <c r="R1669" s="20"/>
      <c r="S1669" s="20"/>
      <c r="T1669" s="20"/>
      <c r="U1669" s="20"/>
      <c r="V1669" s="20"/>
      <c r="W1669" s="20"/>
      <c r="X1669" s="20"/>
      <c r="Y1669" s="20"/>
      <c r="Z1669" s="20"/>
      <c r="AA1669" s="20"/>
    </row>
    <row r="1670" spans="1:27" ht="104.4" x14ac:dyDescent="0.25">
      <c r="A1670" s="16"/>
      <c r="B1670" s="20" t="b">
        <f ca="1">IFERROR(__xludf.DUMMYFUNCTION("if(D1670=iferror(filter('Character Sheet'!D$13:D3002,'Character Sheet'!D$13:D3002=D1670),""""),True,False)"),FALSE)</f>
        <v>0</v>
      </c>
      <c r="C1670" s="20">
        <v>100</v>
      </c>
      <c r="D1670" s="2" t="s">
        <v>3550</v>
      </c>
      <c r="E1670" s="2" t="s">
        <v>435</v>
      </c>
      <c r="F1670" s="20" t="s">
        <v>63</v>
      </c>
      <c r="G1670" s="2" t="s">
        <v>3291</v>
      </c>
      <c r="H1670" s="16"/>
      <c r="I1670" s="20"/>
      <c r="J1670" s="20"/>
      <c r="K1670" s="20"/>
      <c r="L1670" s="20"/>
      <c r="M1670" s="20"/>
      <c r="N1670" s="20"/>
      <c r="O1670" s="20"/>
      <c r="P1670" s="20"/>
      <c r="Q1670" s="20"/>
      <c r="R1670" s="20"/>
      <c r="S1670" s="20"/>
      <c r="T1670" s="20"/>
      <c r="U1670" s="20"/>
      <c r="V1670" s="20"/>
      <c r="W1670" s="20"/>
      <c r="X1670" s="20"/>
      <c r="Y1670" s="20"/>
      <c r="Z1670" s="20"/>
      <c r="AA1670" s="20"/>
    </row>
    <row r="1671" spans="1:27" ht="87" x14ac:dyDescent="0.25">
      <c r="A1671" s="16"/>
      <c r="B1671" s="20" t="b">
        <f ca="1">IFERROR(__xludf.DUMMYFUNCTION("if(D1671=iferror(filter('Character Sheet'!D$13:D3002,'Character Sheet'!D$13:D3002=D1671),""""),True,False)"),FALSE)</f>
        <v>0</v>
      </c>
      <c r="C1671" s="20">
        <v>100</v>
      </c>
      <c r="D1671" s="2" t="s">
        <v>3551</v>
      </c>
      <c r="E1671" s="2" t="s">
        <v>534</v>
      </c>
      <c r="F1671" s="20" t="s">
        <v>63</v>
      </c>
      <c r="G1671" s="2" t="s">
        <v>3552</v>
      </c>
      <c r="H1671" s="16"/>
      <c r="I1671" s="20"/>
      <c r="J1671" s="20"/>
      <c r="K1671" s="20"/>
      <c r="L1671" s="20"/>
      <c r="M1671" s="20"/>
      <c r="N1671" s="20"/>
      <c r="O1671" s="20"/>
      <c r="P1671" s="20"/>
      <c r="Q1671" s="20"/>
      <c r="R1671" s="20"/>
      <c r="S1671" s="20"/>
      <c r="T1671" s="20"/>
      <c r="U1671" s="20"/>
      <c r="V1671" s="20"/>
      <c r="W1671" s="20"/>
      <c r="X1671" s="20"/>
      <c r="Y1671" s="20"/>
      <c r="Z1671" s="20"/>
      <c r="AA1671" s="20"/>
    </row>
    <row r="1672" spans="1:27" ht="261" x14ac:dyDescent="0.25">
      <c r="A1672" s="16"/>
      <c r="B1672" s="20" t="b">
        <f ca="1">IFERROR(__xludf.DUMMYFUNCTION("if(D1672=iferror(filter('Character Sheet'!D$13:D3002,'Character Sheet'!D$13:D3002=D1672),""""),True,False)"),FALSE)</f>
        <v>0</v>
      </c>
      <c r="C1672" s="20">
        <v>100</v>
      </c>
      <c r="D1672" s="2" t="s">
        <v>3553</v>
      </c>
      <c r="E1672" s="2" t="s">
        <v>311</v>
      </c>
      <c r="F1672" s="20" t="s">
        <v>63</v>
      </c>
      <c r="G1672" s="2" t="s">
        <v>3554</v>
      </c>
      <c r="H1672" s="16"/>
      <c r="I1672" s="20"/>
      <c r="J1672" s="20"/>
      <c r="K1672" s="20"/>
      <c r="L1672" s="20"/>
      <c r="M1672" s="20"/>
      <c r="N1672" s="20"/>
      <c r="O1672" s="20"/>
      <c r="P1672" s="20"/>
      <c r="Q1672" s="20"/>
      <c r="R1672" s="20"/>
      <c r="S1672" s="20"/>
      <c r="T1672" s="20"/>
      <c r="U1672" s="20"/>
      <c r="V1672" s="20"/>
      <c r="W1672" s="20"/>
      <c r="X1672" s="20"/>
      <c r="Y1672" s="20"/>
      <c r="Z1672" s="20"/>
      <c r="AA1672" s="20"/>
    </row>
    <row r="1673" spans="1:27" ht="69.599999999999994" x14ac:dyDescent="0.25">
      <c r="A1673" s="16"/>
      <c r="B1673" s="20" t="b">
        <f ca="1">IFERROR(__xludf.DUMMYFUNCTION("if(D1673=iferror(filter('Character Sheet'!D$13:D3002,'Character Sheet'!D$13:D3002=D1673),""""),True,False)"),FALSE)</f>
        <v>0</v>
      </c>
      <c r="C1673" s="20">
        <v>100</v>
      </c>
      <c r="D1673" s="2" t="s">
        <v>3555</v>
      </c>
      <c r="E1673" s="2" t="s">
        <v>442</v>
      </c>
      <c r="F1673" s="20" t="s">
        <v>63</v>
      </c>
      <c r="G1673" s="2" t="s">
        <v>3556</v>
      </c>
      <c r="H1673" s="16"/>
      <c r="I1673" s="20"/>
      <c r="J1673" s="20"/>
      <c r="K1673" s="20"/>
      <c r="L1673" s="20"/>
      <c r="M1673" s="20"/>
      <c r="N1673" s="20"/>
      <c r="O1673" s="20"/>
      <c r="P1673" s="20"/>
      <c r="Q1673" s="20"/>
      <c r="R1673" s="20"/>
      <c r="S1673" s="20"/>
      <c r="T1673" s="20"/>
      <c r="U1673" s="20"/>
      <c r="V1673" s="20"/>
      <c r="W1673" s="20"/>
      <c r="X1673" s="20"/>
      <c r="Y1673" s="20"/>
      <c r="Z1673" s="20"/>
      <c r="AA1673" s="20"/>
    </row>
    <row r="1674" spans="1:27" ht="87" x14ac:dyDescent="0.25">
      <c r="A1674" s="16"/>
      <c r="B1674" s="20" t="b">
        <f ca="1">IFERROR(__xludf.DUMMYFUNCTION("if(D1674=iferror(filter('Character Sheet'!D$13:D3002,'Character Sheet'!D$13:D3002=D1674),""""),True,False)"),FALSE)</f>
        <v>0</v>
      </c>
      <c r="C1674" s="20">
        <v>100</v>
      </c>
      <c r="D1674" s="2" t="s">
        <v>3557</v>
      </c>
      <c r="E1674" s="2" t="s">
        <v>262</v>
      </c>
      <c r="F1674" s="20" t="s">
        <v>63</v>
      </c>
      <c r="G1674" s="2" t="s">
        <v>3558</v>
      </c>
      <c r="H1674" s="16"/>
      <c r="I1674" s="20"/>
      <c r="J1674" s="20"/>
      <c r="K1674" s="20"/>
      <c r="L1674" s="20"/>
      <c r="M1674" s="20"/>
      <c r="N1674" s="20"/>
      <c r="O1674" s="20"/>
      <c r="P1674" s="20"/>
      <c r="Q1674" s="20"/>
      <c r="R1674" s="20"/>
      <c r="S1674" s="20"/>
      <c r="T1674" s="20"/>
      <c r="U1674" s="20"/>
      <c r="V1674" s="20"/>
      <c r="W1674" s="20"/>
      <c r="X1674" s="20"/>
      <c r="Y1674" s="20"/>
      <c r="Z1674" s="20"/>
      <c r="AA1674" s="20"/>
    </row>
    <row r="1675" spans="1:27" ht="69.599999999999994" x14ac:dyDescent="0.25">
      <c r="A1675" s="16"/>
      <c r="B1675" s="20" t="b">
        <f ca="1">IFERROR(__xludf.DUMMYFUNCTION("if(D1675=iferror(filter('Character Sheet'!D$13:D3002,'Character Sheet'!D$13:D3002=D1675),""""),True,False)"),FALSE)</f>
        <v>0</v>
      </c>
      <c r="C1675" s="20">
        <v>100</v>
      </c>
      <c r="D1675" s="2" t="s">
        <v>3559</v>
      </c>
      <c r="E1675" s="2" t="s">
        <v>603</v>
      </c>
      <c r="F1675" s="20" t="s">
        <v>63</v>
      </c>
      <c r="G1675" s="2" t="s">
        <v>3560</v>
      </c>
      <c r="H1675" s="16"/>
      <c r="I1675" s="20"/>
      <c r="J1675" s="20"/>
      <c r="K1675" s="20"/>
      <c r="L1675" s="20"/>
      <c r="M1675" s="20"/>
      <c r="N1675" s="20"/>
      <c r="O1675" s="20"/>
      <c r="P1675" s="20"/>
      <c r="Q1675" s="20"/>
      <c r="R1675" s="20"/>
      <c r="S1675" s="20"/>
      <c r="T1675" s="20"/>
      <c r="U1675" s="20"/>
      <c r="V1675" s="20"/>
      <c r="W1675" s="20"/>
      <c r="X1675" s="20"/>
      <c r="Y1675" s="20"/>
      <c r="Z1675" s="20"/>
      <c r="AA1675" s="20"/>
    </row>
    <row r="1676" spans="1:27" ht="52.2" x14ac:dyDescent="0.25">
      <c r="A1676" s="16"/>
      <c r="B1676" s="20" t="b">
        <f ca="1">IFERROR(__xludf.DUMMYFUNCTION("if(D1676=iferror(filter('Character Sheet'!D$13:D3002,'Character Sheet'!D$13:D3002=D1676),""""),True,False)"),FALSE)</f>
        <v>0</v>
      </c>
      <c r="C1676" s="20">
        <v>100</v>
      </c>
      <c r="D1676" s="2" t="s">
        <v>3561</v>
      </c>
      <c r="E1676" s="2" t="s">
        <v>649</v>
      </c>
      <c r="F1676" s="20" t="s">
        <v>63</v>
      </c>
      <c r="G1676" s="2" t="s">
        <v>3562</v>
      </c>
      <c r="H1676" s="16"/>
      <c r="I1676" s="20"/>
      <c r="J1676" s="20"/>
      <c r="K1676" s="20"/>
      <c r="L1676" s="20"/>
      <c r="M1676" s="20"/>
      <c r="N1676" s="20"/>
      <c r="O1676" s="20"/>
      <c r="P1676" s="20"/>
      <c r="Q1676" s="20"/>
      <c r="R1676" s="20"/>
      <c r="S1676" s="20"/>
      <c r="T1676" s="20"/>
      <c r="U1676" s="20"/>
      <c r="V1676" s="20"/>
      <c r="W1676" s="20"/>
      <c r="X1676" s="20"/>
      <c r="Y1676" s="20"/>
      <c r="Z1676" s="20"/>
      <c r="AA1676" s="20"/>
    </row>
    <row r="1677" spans="1:27" ht="69.599999999999994" x14ac:dyDescent="0.25">
      <c r="A1677" s="16"/>
      <c r="B1677" s="20" t="b">
        <f ca="1">IFERROR(__xludf.DUMMYFUNCTION("if(D1677=iferror(filter('Character Sheet'!D$13:D3002,'Character Sheet'!D$13:D3002=D1677),""""),True,False)"),FALSE)</f>
        <v>0</v>
      </c>
      <c r="C1677" s="20">
        <v>100</v>
      </c>
      <c r="D1677" s="2" t="s">
        <v>3563</v>
      </c>
      <c r="E1677" s="2" t="s">
        <v>159</v>
      </c>
      <c r="F1677" s="20" t="s">
        <v>63</v>
      </c>
      <c r="G1677" s="2" t="s">
        <v>3564</v>
      </c>
      <c r="H1677" s="16"/>
      <c r="I1677" s="20"/>
      <c r="J1677" s="20"/>
      <c r="K1677" s="20"/>
      <c r="L1677" s="20"/>
      <c r="M1677" s="20"/>
      <c r="N1677" s="20"/>
      <c r="O1677" s="20"/>
      <c r="P1677" s="20"/>
      <c r="Q1677" s="20"/>
      <c r="R1677" s="20"/>
      <c r="S1677" s="20"/>
      <c r="T1677" s="20"/>
      <c r="U1677" s="20"/>
      <c r="V1677" s="20"/>
      <c r="W1677" s="20"/>
      <c r="X1677" s="20"/>
      <c r="Y1677" s="20"/>
      <c r="Z1677" s="20"/>
      <c r="AA1677" s="20"/>
    </row>
    <row r="1678" spans="1:27" ht="52.2" x14ac:dyDescent="0.25">
      <c r="A1678" s="16"/>
      <c r="B1678" s="20" t="b">
        <f ca="1">IFERROR(__xludf.DUMMYFUNCTION("if(D1678=iferror(filter('Character Sheet'!D$13:D3002,'Character Sheet'!D$13:D3002=D1678),""""),True,False)"),FALSE)</f>
        <v>0</v>
      </c>
      <c r="C1678" s="20">
        <v>100</v>
      </c>
      <c r="D1678" s="2" t="s">
        <v>3565</v>
      </c>
      <c r="E1678" s="2" t="s">
        <v>325</v>
      </c>
      <c r="F1678" s="20" t="s">
        <v>63</v>
      </c>
      <c r="G1678" s="2" t="s">
        <v>3566</v>
      </c>
      <c r="H1678" s="16"/>
      <c r="I1678" s="20"/>
      <c r="J1678" s="20"/>
      <c r="K1678" s="20"/>
      <c r="L1678" s="20"/>
      <c r="M1678" s="20"/>
      <c r="N1678" s="20"/>
      <c r="O1678" s="20"/>
      <c r="P1678" s="20"/>
      <c r="Q1678" s="20"/>
      <c r="R1678" s="20"/>
      <c r="S1678" s="20"/>
      <c r="T1678" s="20"/>
      <c r="U1678" s="20"/>
      <c r="V1678" s="20"/>
      <c r="W1678" s="20"/>
      <c r="X1678" s="20"/>
      <c r="Y1678" s="20"/>
      <c r="Z1678" s="20"/>
      <c r="AA1678" s="20"/>
    </row>
    <row r="1679" spans="1:27" ht="191.4" x14ac:dyDescent="0.25">
      <c r="A1679" s="16"/>
      <c r="B1679" s="20" t="b">
        <f ca="1">IFERROR(__xludf.DUMMYFUNCTION("if(D1679=iferror(filter('Character Sheet'!D$13:D3002,'Character Sheet'!D$13:D3002=D1679),""""),True,False)"),FALSE)</f>
        <v>0</v>
      </c>
      <c r="C1679" s="20">
        <v>100</v>
      </c>
      <c r="D1679" s="2" t="s">
        <v>3567</v>
      </c>
      <c r="E1679" s="2" t="s">
        <v>265</v>
      </c>
      <c r="F1679" s="20" t="s">
        <v>63</v>
      </c>
      <c r="G1679" s="2" t="s">
        <v>3568</v>
      </c>
      <c r="H1679" s="16"/>
      <c r="I1679" s="20"/>
      <c r="J1679" s="20"/>
      <c r="K1679" s="20"/>
      <c r="L1679" s="20"/>
      <c r="M1679" s="20"/>
      <c r="N1679" s="20"/>
      <c r="O1679" s="20"/>
      <c r="P1679" s="20"/>
      <c r="Q1679" s="20"/>
      <c r="R1679" s="20"/>
      <c r="S1679" s="20"/>
      <c r="T1679" s="20"/>
      <c r="U1679" s="20"/>
      <c r="V1679" s="20"/>
      <c r="W1679" s="20"/>
      <c r="X1679" s="20"/>
      <c r="Y1679" s="20"/>
      <c r="Z1679" s="20"/>
      <c r="AA1679" s="20"/>
    </row>
    <row r="1680" spans="1:27" ht="261" x14ac:dyDescent="0.25">
      <c r="A1680" s="16"/>
      <c r="B1680" s="20" t="b">
        <f ca="1">IFERROR(__xludf.DUMMYFUNCTION("if(D1680=iferror(filter('Character Sheet'!D$13:D3002,'Character Sheet'!D$13:D3002=D1680),""""),True,False)"),FALSE)</f>
        <v>0</v>
      </c>
      <c r="C1680" s="20">
        <v>100</v>
      </c>
      <c r="D1680" s="2" t="s">
        <v>3569</v>
      </c>
      <c r="E1680" s="2" t="s">
        <v>265</v>
      </c>
      <c r="F1680" s="20" t="s">
        <v>63</v>
      </c>
      <c r="G1680" s="2" t="s">
        <v>3570</v>
      </c>
      <c r="H1680" s="16"/>
      <c r="I1680" s="20"/>
      <c r="J1680" s="20"/>
      <c r="K1680" s="20"/>
      <c r="L1680" s="20"/>
      <c r="M1680" s="20"/>
      <c r="N1680" s="20"/>
      <c r="O1680" s="20"/>
      <c r="P1680" s="20"/>
      <c r="Q1680" s="20"/>
      <c r="R1680" s="20"/>
      <c r="S1680" s="20"/>
      <c r="T1680" s="20"/>
      <c r="U1680" s="20"/>
      <c r="V1680" s="20"/>
      <c r="W1680" s="20"/>
      <c r="X1680" s="20"/>
      <c r="Y1680" s="20"/>
      <c r="Z1680" s="20"/>
      <c r="AA1680" s="20"/>
    </row>
    <row r="1681" spans="1:27" ht="69.599999999999994" x14ac:dyDescent="0.25">
      <c r="A1681" s="16"/>
      <c r="B1681" s="20" t="b">
        <f ca="1">IFERROR(__xludf.DUMMYFUNCTION("if(D1681=iferror(filter('Character Sheet'!D$13:D3002,'Character Sheet'!D$13:D3002=D1681),""""),True,False)"),FALSE)</f>
        <v>0</v>
      </c>
      <c r="C1681" s="20">
        <v>100</v>
      </c>
      <c r="D1681" s="2" t="s">
        <v>3571</v>
      </c>
      <c r="E1681" s="2" t="s">
        <v>282</v>
      </c>
      <c r="F1681" s="20" t="s">
        <v>63</v>
      </c>
      <c r="G1681" s="2" t="s">
        <v>3572</v>
      </c>
      <c r="H1681" s="16"/>
      <c r="I1681" s="20"/>
      <c r="J1681" s="20"/>
      <c r="K1681" s="20"/>
      <c r="L1681" s="20"/>
      <c r="M1681" s="20"/>
      <c r="N1681" s="20"/>
      <c r="O1681" s="20"/>
      <c r="P1681" s="20"/>
      <c r="Q1681" s="20"/>
      <c r="R1681" s="20"/>
      <c r="S1681" s="20"/>
      <c r="T1681" s="20"/>
      <c r="U1681" s="20"/>
      <c r="V1681" s="20"/>
      <c r="W1681" s="20"/>
      <c r="X1681" s="20"/>
      <c r="Y1681" s="20"/>
      <c r="Z1681" s="20"/>
      <c r="AA1681" s="20"/>
    </row>
    <row r="1682" spans="1:27" ht="87" x14ac:dyDescent="0.25">
      <c r="A1682" s="16"/>
      <c r="B1682" s="20" t="b">
        <f ca="1">IFERROR(__xludf.DUMMYFUNCTION("if(D1682=iferror(filter('Character Sheet'!D$13:D3002,'Character Sheet'!D$13:D3002=D1682),""""),True,False)"),FALSE)</f>
        <v>0</v>
      </c>
      <c r="C1682" s="20">
        <v>100</v>
      </c>
      <c r="D1682" s="2" t="s">
        <v>3573</v>
      </c>
      <c r="E1682" s="2" t="s">
        <v>285</v>
      </c>
      <c r="F1682" s="20" t="s">
        <v>63</v>
      </c>
      <c r="G1682" s="2" t="s">
        <v>3574</v>
      </c>
      <c r="H1682" s="16"/>
      <c r="I1682" s="20"/>
      <c r="J1682" s="20"/>
      <c r="K1682" s="20"/>
      <c r="L1682" s="20"/>
      <c r="M1682" s="20"/>
      <c r="N1682" s="20"/>
      <c r="O1682" s="20"/>
      <c r="P1682" s="20"/>
      <c r="Q1682" s="20"/>
      <c r="R1682" s="20"/>
      <c r="S1682" s="20"/>
      <c r="T1682" s="20"/>
      <c r="U1682" s="20"/>
      <c r="V1682" s="20"/>
      <c r="W1682" s="20"/>
      <c r="X1682" s="20"/>
      <c r="Y1682" s="20"/>
      <c r="Z1682" s="20"/>
      <c r="AA1682" s="20"/>
    </row>
    <row r="1683" spans="1:27" ht="69.599999999999994" x14ac:dyDescent="0.25">
      <c r="A1683" s="16"/>
      <c r="B1683" s="20" t="b">
        <f ca="1">IFERROR(__xludf.DUMMYFUNCTION("if(D1683=iferror(filter('Character Sheet'!D$13:D3002,'Character Sheet'!D$13:D3002=D1683),""""),True,False)"),FALSE)</f>
        <v>0</v>
      </c>
      <c r="C1683" s="20">
        <v>100</v>
      </c>
      <c r="D1683" s="2" t="s">
        <v>3575</v>
      </c>
      <c r="E1683" s="2" t="s">
        <v>442</v>
      </c>
      <c r="F1683" s="20" t="s">
        <v>63</v>
      </c>
      <c r="G1683" s="2" t="s">
        <v>3576</v>
      </c>
      <c r="H1683" s="16"/>
      <c r="I1683" s="20"/>
      <c r="J1683" s="20"/>
      <c r="K1683" s="20"/>
      <c r="L1683" s="20"/>
      <c r="M1683" s="20"/>
      <c r="N1683" s="20"/>
      <c r="O1683" s="20"/>
      <c r="P1683" s="20"/>
      <c r="Q1683" s="20"/>
      <c r="R1683" s="20"/>
      <c r="S1683" s="20"/>
      <c r="T1683" s="20"/>
      <c r="U1683" s="20"/>
      <c r="V1683" s="20"/>
      <c r="W1683" s="20"/>
      <c r="X1683" s="20"/>
      <c r="Y1683" s="20"/>
      <c r="Z1683" s="20"/>
      <c r="AA1683" s="20"/>
    </row>
    <row r="1684" spans="1:27" ht="104.4" x14ac:dyDescent="0.25">
      <c r="A1684" s="16"/>
      <c r="B1684" s="20" t="b">
        <f ca="1">IFERROR(__xludf.DUMMYFUNCTION("if(D1684=iferror(filter('Character Sheet'!D$13:D3002,'Character Sheet'!D$13:D3002=D1684),""""),True,False)"),FALSE)</f>
        <v>0</v>
      </c>
      <c r="C1684" s="20">
        <v>100</v>
      </c>
      <c r="D1684" s="2" t="s">
        <v>3577</v>
      </c>
      <c r="E1684" s="2" t="s">
        <v>84</v>
      </c>
      <c r="F1684" s="20" t="s">
        <v>63</v>
      </c>
      <c r="G1684" s="2" t="s">
        <v>3578</v>
      </c>
      <c r="H1684" s="16"/>
      <c r="I1684" s="20"/>
      <c r="J1684" s="20"/>
      <c r="K1684" s="20"/>
      <c r="L1684" s="20"/>
      <c r="M1684" s="20"/>
      <c r="N1684" s="20"/>
      <c r="O1684" s="20"/>
      <c r="P1684" s="20"/>
      <c r="Q1684" s="20"/>
      <c r="R1684" s="20"/>
      <c r="S1684" s="20"/>
      <c r="T1684" s="20"/>
      <c r="U1684" s="20"/>
      <c r="V1684" s="20"/>
      <c r="W1684" s="20"/>
      <c r="X1684" s="20"/>
      <c r="Y1684" s="20"/>
      <c r="Z1684" s="20"/>
      <c r="AA1684" s="20"/>
    </row>
    <row r="1685" spans="1:27" ht="87" x14ac:dyDescent="0.25">
      <c r="A1685" s="16"/>
      <c r="B1685" s="20" t="b">
        <f ca="1">IFERROR(__xludf.DUMMYFUNCTION("if(D1685=iferror(filter('Character Sheet'!D$13:D3002,'Character Sheet'!D$13:D3002=D1685),""""),True,False)"),FALSE)</f>
        <v>0</v>
      </c>
      <c r="C1685" s="20">
        <v>100</v>
      </c>
      <c r="D1685" s="2" t="s">
        <v>3579</v>
      </c>
      <c r="E1685" s="2" t="s">
        <v>775</v>
      </c>
      <c r="F1685" s="20" t="s">
        <v>63</v>
      </c>
      <c r="G1685" s="2" t="s">
        <v>3580</v>
      </c>
      <c r="H1685" s="16"/>
      <c r="I1685" s="20"/>
      <c r="J1685" s="20"/>
      <c r="K1685" s="20"/>
      <c r="L1685" s="20"/>
      <c r="M1685" s="20"/>
      <c r="N1685" s="20"/>
      <c r="O1685" s="20"/>
      <c r="P1685" s="20"/>
      <c r="Q1685" s="20"/>
      <c r="R1685" s="20"/>
      <c r="S1685" s="20"/>
      <c r="T1685" s="20"/>
      <c r="U1685" s="20"/>
      <c r="V1685" s="20"/>
      <c r="W1685" s="20"/>
      <c r="X1685" s="20"/>
      <c r="Y1685" s="20"/>
      <c r="Z1685" s="20"/>
      <c r="AA1685" s="20"/>
    </row>
    <row r="1686" spans="1:27" ht="226.2" x14ac:dyDescent="0.25">
      <c r="A1686" s="16"/>
      <c r="B1686" s="20" t="b">
        <f ca="1">IFERROR(__xludf.DUMMYFUNCTION("if(D1686=iferror(filter('Character Sheet'!D$13:D3002,'Character Sheet'!D$13:D3002=D1686),""""),True,False)"),FALSE)</f>
        <v>0</v>
      </c>
      <c r="C1686" s="20">
        <v>100</v>
      </c>
      <c r="D1686" s="2" t="s">
        <v>3581</v>
      </c>
      <c r="E1686" s="2" t="s">
        <v>1015</v>
      </c>
      <c r="F1686" s="20" t="s">
        <v>63</v>
      </c>
      <c r="G1686" s="2" t="s">
        <v>3582</v>
      </c>
      <c r="H1686" s="16"/>
      <c r="I1686" s="20"/>
      <c r="J1686" s="20"/>
      <c r="K1686" s="20"/>
      <c r="L1686" s="20"/>
      <c r="M1686" s="20"/>
      <c r="N1686" s="20"/>
      <c r="O1686" s="20"/>
      <c r="P1686" s="20"/>
      <c r="Q1686" s="20"/>
      <c r="R1686" s="20"/>
      <c r="S1686" s="20"/>
      <c r="T1686" s="20"/>
      <c r="U1686" s="20"/>
      <c r="V1686" s="20"/>
      <c r="W1686" s="20"/>
      <c r="X1686" s="20"/>
      <c r="Y1686" s="20"/>
      <c r="Z1686" s="20"/>
      <c r="AA1686" s="20"/>
    </row>
    <row r="1687" spans="1:27" ht="87" x14ac:dyDescent="0.25">
      <c r="A1687" s="16"/>
      <c r="B1687" s="20" t="b">
        <f ca="1">IFERROR(__xludf.DUMMYFUNCTION("if(D1687=iferror(filter('Character Sheet'!D$13:D3002,'Character Sheet'!D$13:D3002=D1687),""""),True,False)"),FALSE)</f>
        <v>0</v>
      </c>
      <c r="C1687" s="20">
        <v>100</v>
      </c>
      <c r="D1687" s="2" t="s">
        <v>3583</v>
      </c>
      <c r="E1687" s="2" t="s">
        <v>187</v>
      </c>
      <c r="F1687" s="20" t="s">
        <v>63</v>
      </c>
      <c r="G1687" s="2" t="s">
        <v>3584</v>
      </c>
      <c r="H1687" s="16"/>
      <c r="I1687" s="20"/>
      <c r="J1687" s="20"/>
      <c r="K1687" s="20"/>
      <c r="L1687" s="20"/>
      <c r="M1687" s="20"/>
      <c r="N1687" s="20"/>
      <c r="O1687" s="20"/>
      <c r="P1687" s="20"/>
      <c r="Q1687" s="20"/>
      <c r="R1687" s="20"/>
      <c r="S1687" s="20"/>
      <c r="T1687" s="20"/>
      <c r="U1687" s="20"/>
      <c r="V1687" s="20"/>
      <c r="W1687" s="20"/>
      <c r="X1687" s="20"/>
      <c r="Y1687" s="20"/>
      <c r="Z1687" s="20"/>
      <c r="AA1687" s="20"/>
    </row>
    <row r="1688" spans="1:27" ht="69.599999999999994" x14ac:dyDescent="0.25">
      <c r="A1688" s="16"/>
      <c r="B1688" s="20" t="b">
        <f ca="1">IFERROR(__xludf.DUMMYFUNCTION("if(D1688=iferror(filter('Character Sheet'!D$13:D3002,'Character Sheet'!D$13:D3002=D1688),""""),True,False)"),FALSE)</f>
        <v>0</v>
      </c>
      <c r="C1688" s="20">
        <v>100</v>
      </c>
      <c r="D1688" s="2" t="s">
        <v>3585</v>
      </c>
      <c r="E1688" s="2" t="s">
        <v>1828</v>
      </c>
      <c r="F1688" s="20" t="s">
        <v>63</v>
      </c>
      <c r="G1688" s="2" t="s">
        <v>3586</v>
      </c>
      <c r="H1688" s="16"/>
      <c r="I1688" s="20"/>
      <c r="J1688" s="20"/>
      <c r="K1688" s="20"/>
      <c r="L1688" s="20"/>
      <c r="M1688" s="20"/>
      <c r="N1688" s="20"/>
      <c r="O1688" s="20"/>
      <c r="P1688" s="20"/>
      <c r="Q1688" s="20"/>
      <c r="R1688" s="20"/>
      <c r="S1688" s="20"/>
      <c r="T1688" s="20"/>
      <c r="U1688" s="20"/>
      <c r="V1688" s="20"/>
      <c r="W1688" s="20"/>
      <c r="X1688" s="20"/>
      <c r="Y1688" s="20"/>
      <c r="Z1688" s="20"/>
      <c r="AA1688" s="20"/>
    </row>
    <row r="1689" spans="1:27" ht="69.599999999999994" x14ac:dyDescent="0.25">
      <c r="A1689" s="16"/>
      <c r="B1689" s="20" t="b">
        <f ca="1">IFERROR(__xludf.DUMMYFUNCTION("if(D1689=iferror(filter('Character Sheet'!D$13:D3002,'Character Sheet'!D$13:D3002=D1689),""""),True,False)"),FALSE)</f>
        <v>0</v>
      </c>
      <c r="C1689" s="20">
        <v>100</v>
      </c>
      <c r="D1689" s="2" t="s">
        <v>3587</v>
      </c>
      <c r="E1689" s="2" t="s">
        <v>131</v>
      </c>
      <c r="F1689" s="20" t="s">
        <v>63</v>
      </c>
      <c r="G1689" s="2" t="s">
        <v>3588</v>
      </c>
      <c r="H1689" s="16"/>
      <c r="I1689" s="20"/>
      <c r="J1689" s="20"/>
      <c r="K1689" s="20"/>
      <c r="L1689" s="20"/>
      <c r="M1689" s="20"/>
      <c r="N1689" s="20"/>
      <c r="O1689" s="20"/>
      <c r="P1689" s="20"/>
      <c r="Q1689" s="20"/>
      <c r="R1689" s="20"/>
      <c r="S1689" s="20"/>
      <c r="T1689" s="20"/>
      <c r="U1689" s="20"/>
      <c r="V1689" s="20"/>
      <c r="W1689" s="20"/>
      <c r="X1689" s="20"/>
      <c r="Y1689" s="20"/>
      <c r="Z1689" s="20"/>
      <c r="AA1689" s="20"/>
    </row>
    <row r="1690" spans="1:27" ht="104.4" x14ac:dyDescent="0.25">
      <c r="A1690" s="16"/>
      <c r="B1690" s="20" t="b">
        <f ca="1">IFERROR(__xludf.DUMMYFUNCTION("if(D1690=iferror(filter('Character Sheet'!D$13:D3002,'Character Sheet'!D$13:D3002=D1690),""""),True,False)"),FALSE)</f>
        <v>0</v>
      </c>
      <c r="C1690" s="20">
        <v>100</v>
      </c>
      <c r="D1690" s="2" t="s">
        <v>3589</v>
      </c>
      <c r="E1690" s="2" t="s">
        <v>3317</v>
      </c>
      <c r="F1690" s="20" t="s">
        <v>63</v>
      </c>
      <c r="G1690" s="2" t="s">
        <v>3590</v>
      </c>
      <c r="H1690" s="16"/>
      <c r="I1690" s="20"/>
      <c r="J1690" s="20"/>
      <c r="K1690" s="20"/>
      <c r="L1690" s="20"/>
      <c r="M1690" s="20"/>
      <c r="N1690" s="20"/>
      <c r="O1690" s="20"/>
      <c r="P1690" s="20"/>
      <c r="Q1690" s="20"/>
      <c r="R1690" s="20"/>
      <c r="S1690" s="20"/>
      <c r="T1690" s="20"/>
      <c r="U1690" s="20"/>
      <c r="V1690" s="20"/>
      <c r="W1690" s="20"/>
      <c r="X1690" s="20"/>
      <c r="Y1690" s="20"/>
      <c r="Z1690" s="20"/>
      <c r="AA1690" s="20"/>
    </row>
    <row r="1691" spans="1:27" ht="139.19999999999999" x14ac:dyDescent="0.25">
      <c r="A1691" s="16"/>
      <c r="B1691" s="20" t="b">
        <f ca="1">IFERROR(__xludf.DUMMYFUNCTION("if(D1691=iferror(filter('Character Sheet'!D$13:D3002,'Character Sheet'!D$13:D3002=D1691),""""),True,False)"),FALSE)</f>
        <v>0</v>
      </c>
      <c r="C1691" s="20">
        <v>100</v>
      </c>
      <c r="D1691" s="2" t="s">
        <v>3591</v>
      </c>
      <c r="E1691" s="2" t="s">
        <v>69</v>
      </c>
      <c r="F1691" s="20" t="s">
        <v>63</v>
      </c>
      <c r="G1691" s="2" t="s">
        <v>3592</v>
      </c>
      <c r="H1691" s="16"/>
      <c r="I1691" s="20"/>
      <c r="J1691" s="20"/>
      <c r="K1691" s="20"/>
      <c r="L1691" s="20"/>
      <c r="M1691" s="20"/>
      <c r="N1691" s="20"/>
      <c r="O1691" s="20"/>
      <c r="P1691" s="20"/>
      <c r="Q1691" s="20"/>
      <c r="R1691" s="20"/>
      <c r="S1691" s="20"/>
      <c r="T1691" s="20"/>
      <c r="U1691" s="20"/>
      <c r="V1691" s="20"/>
      <c r="W1691" s="20"/>
      <c r="X1691" s="20"/>
      <c r="Y1691" s="20"/>
      <c r="Z1691" s="20"/>
      <c r="AA1691" s="20"/>
    </row>
    <row r="1692" spans="1:27" ht="191.4" x14ac:dyDescent="0.25">
      <c r="A1692" s="16"/>
      <c r="B1692" s="20" t="b">
        <f ca="1">IFERROR(__xludf.DUMMYFUNCTION("if(D1692=iferror(filter('Character Sheet'!D$13:D3002,'Character Sheet'!D$13:D3002=D1692),""""),True,False)"),FALSE)</f>
        <v>0</v>
      </c>
      <c r="C1692" s="20">
        <v>100</v>
      </c>
      <c r="D1692" s="2" t="s">
        <v>3593</v>
      </c>
      <c r="E1692" s="2" t="s">
        <v>124</v>
      </c>
      <c r="F1692" s="20" t="s">
        <v>63</v>
      </c>
      <c r="G1692" s="2" t="s">
        <v>3594</v>
      </c>
      <c r="H1692" s="16"/>
      <c r="I1692" s="20"/>
      <c r="J1692" s="20"/>
      <c r="K1692" s="20"/>
      <c r="L1692" s="20"/>
      <c r="M1692" s="20"/>
      <c r="N1692" s="20"/>
      <c r="O1692" s="20"/>
      <c r="P1692" s="20"/>
      <c r="Q1692" s="20"/>
      <c r="R1692" s="20"/>
      <c r="S1692" s="20"/>
      <c r="T1692" s="20"/>
      <c r="U1692" s="20"/>
      <c r="V1692" s="20"/>
      <c r="W1692" s="20"/>
      <c r="X1692" s="20"/>
      <c r="Y1692" s="20"/>
      <c r="Z1692" s="20"/>
      <c r="AA1692" s="20"/>
    </row>
    <row r="1693" spans="1:27" ht="121.8" x14ac:dyDescent="0.25">
      <c r="A1693" s="16"/>
      <c r="B1693" s="20" t="b">
        <f ca="1">IFERROR(__xludf.DUMMYFUNCTION("if(D1693=iferror(filter('Character Sheet'!D$13:D3002,'Character Sheet'!D$13:D3002=D1693),""""),True,False)"),FALSE)</f>
        <v>0</v>
      </c>
      <c r="C1693" s="20">
        <v>100</v>
      </c>
      <c r="D1693" s="2" t="s">
        <v>3595</v>
      </c>
      <c r="E1693" s="2" t="s">
        <v>1093</v>
      </c>
      <c r="F1693" s="20" t="s">
        <v>63</v>
      </c>
      <c r="G1693" s="2" t="s">
        <v>3596</v>
      </c>
      <c r="H1693" s="16"/>
      <c r="I1693" s="20"/>
      <c r="J1693" s="20"/>
      <c r="K1693" s="20"/>
      <c r="L1693" s="20"/>
      <c r="M1693" s="20"/>
      <c r="N1693" s="20"/>
      <c r="O1693" s="20"/>
      <c r="P1693" s="20"/>
      <c r="Q1693" s="20"/>
      <c r="R1693" s="20"/>
      <c r="S1693" s="20"/>
      <c r="T1693" s="20"/>
      <c r="U1693" s="20"/>
      <c r="V1693" s="20"/>
      <c r="W1693" s="20"/>
      <c r="X1693" s="20"/>
      <c r="Y1693" s="20"/>
      <c r="Z1693" s="20"/>
      <c r="AA1693" s="20"/>
    </row>
    <row r="1694" spans="1:27" ht="87" x14ac:dyDescent="0.25">
      <c r="A1694" s="16"/>
      <c r="B1694" s="20" t="b">
        <f ca="1">IFERROR(__xludf.DUMMYFUNCTION("if(D1694=iferror(filter('Character Sheet'!D$13:D3002,'Character Sheet'!D$13:D3002=D1694),""""),True,False)"),FALSE)</f>
        <v>0</v>
      </c>
      <c r="C1694" s="20">
        <v>100</v>
      </c>
      <c r="D1694" s="2" t="s">
        <v>3597</v>
      </c>
      <c r="E1694" s="2" t="s">
        <v>391</v>
      </c>
      <c r="F1694" s="20" t="s">
        <v>63</v>
      </c>
      <c r="G1694" s="2" t="s">
        <v>3598</v>
      </c>
      <c r="H1694" s="16"/>
      <c r="I1694" s="20"/>
      <c r="J1694" s="20"/>
      <c r="K1694" s="20"/>
      <c r="L1694" s="20"/>
      <c r="M1694" s="20"/>
      <c r="N1694" s="20"/>
      <c r="O1694" s="20"/>
      <c r="P1694" s="20"/>
      <c r="Q1694" s="20"/>
      <c r="R1694" s="20"/>
      <c r="S1694" s="20"/>
      <c r="T1694" s="20"/>
      <c r="U1694" s="20"/>
      <c r="V1694" s="20"/>
      <c r="W1694" s="20"/>
      <c r="X1694" s="20"/>
      <c r="Y1694" s="20"/>
      <c r="Z1694" s="20"/>
      <c r="AA1694" s="20"/>
    </row>
    <row r="1695" spans="1:27" ht="52.2" x14ac:dyDescent="0.25">
      <c r="A1695" s="16"/>
      <c r="B1695" s="20" t="b">
        <f ca="1">IFERROR(__xludf.DUMMYFUNCTION("if(D1695=iferror(filter('Character Sheet'!D$13:D3002,'Character Sheet'!D$13:D3002=D1695),""""),True,False)"),FALSE)</f>
        <v>0</v>
      </c>
      <c r="C1695" s="20">
        <v>100</v>
      </c>
      <c r="D1695" s="2" t="s">
        <v>3599</v>
      </c>
      <c r="E1695" s="2" t="s">
        <v>328</v>
      </c>
      <c r="F1695" s="20" t="s">
        <v>63</v>
      </c>
      <c r="G1695" s="2" t="s">
        <v>3600</v>
      </c>
      <c r="H1695" s="16"/>
      <c r="I1695" s="20"/>
      <c r="J1695" s="20"/>
      <c r="K1695" s="20"/>
      <c r="L1695" s="20"/>
      <c r="M1695" s="20"/>
      <c r="N1695" s="20"/>
      <c r="O1695" s="20"/>
      <c r="P1695" s="20"/>
      <c r="Q1695" s="20"/>
      <c r="R1695" s="20"/>
      <c r="S1695" s="20"/>
      <c r="T1695" s="20"/>
      <c r="U1695" s="20"/>
      <c r="V1695" s="20"/>
      <c r="W1695" s="20"/>
      <c r="X1695" s="20"/>
      <c r="Y1695" s="20"/>
      <c r="Z1695" s="20"/>
      <c r="AA1695" s="20"/>
    </row>
    <row r="1696" spans="1:27" ht="69.599999999999994" x14ac:dyDescent="0.25">
      <c r="A1696" s="16"/>
      <c r="B1696" s="20" t="b">
        <f ca="1">IFERROR(__xludf.DUMMYFUNCTION("if(D1696=iferror(filter('Character Sheet'!D$13:D3002,'Character Sheet'!D$13:D3002=D1696),""""),True,False)"),FALSE)</f>
        <v>0</v>
      </c>
      <c r="C1696" s="20">
        <v>100</v>
      </c>
      <c r="D1696" s="2" t="s">
        <v>3601</v>
      </c>
      <c r="E1696" s="2" t="s">
        <v>159</v>
      </c>
      <c r="F1696" s="20" t="s">
        <v>63</v>
      </c>
      <c r="G1696" s="2" t="s">
        <v>3602</v>
      </c>
      <c r="H1696" s="16"/>
      <c r="I1696" s="20"/>
      <c r="J1696" s="20"/>
      <c r="K1696" s="20"/>
      <c r="L1696" s="20"/>
      <c r="M1696" s="20"/>
      <c r="N1696" s="20"/>
      <c r="O1696" s="20"/>
      <c r="P1696" s="20"/>
      <c r="Q1696" s="20"/>
      <c r="R1696" s="20"/>
      <c r="S1696" s="20"/>
      <c r="T1696" s="20"/>
      <c r="U1696" s="20"/>
      <c r="V1696" s="20"/>
      <c r="W1696" s="20"/>
      <c r="X1696" s="20"/>
      <c r="Y1696" s="20"/>
      <c r="Z1696" s="20"/>
      <c r="AA1696" s="20"/>
    </row>
    <row r="1697" spans="1:27" ht="69.599999999999994" x14ac:dyDescent="0.25">
      <c r="A1697" s="16"/>
      <c r="B1697" s="20" t="b">
        <f ca="1">IFERROR(__xludf.DUMMYFUNCTION("if(D1697=iferror(filter('Character Sheet'!D$13:D3002,'Character Sheet'!D$13:D3002=D1697),""""),True,False)"),FALSE)</f>
        <v>0</v>
      </c>
      <c r="C1697" s="20">
        <v>100</v>
      </c>
      <c r="D1697" s="2" t="s">
        <v>3603</v>
      </c>
      <c r="E1697" s="2" t="s">
        <v>534</v>
      </c>
      <c r="F1697" s="20" t="s">
        <v>63</v>
      </c>
      <c r="G1697" s="2" t="s">
        <v>3604</v>
      </c>
      <c r="H1697" s="16"/>
      <c r="I1697" s="20"/>
      <c r="J1697" s="20"/>
      <c r="K1697" s="20"/>
      <c r="L1697" s="20"/>
      <c r="M1697" s="20"/>
      <c r="N1697" s="20"/>
      <c r="O1697" s="20"/>
      <c r="P1697" s="20"/>
      <c r="Q1697" s="20"/>
      <c r="R1697" s="20"/>
      <c r="S1697" s="20"/>
      <c r="T1697" s="20"/>
      <c r="U1697" s="20"/>
      <c r="V1697" s="20"/>
      <c r="W1697" s="20"/>
      <c r="X1697" s="20"/>
      <c r="Y1697" s="20"/>
      <c r="Z1697" s="20"/>
      <c r="AA1697" s="20"/>
    </row>
    <row r="1698" spans="1:27" ht="121.8" x14ac:dyDescent="0.25">
      <c r="A1698" s="16"/>
      <c r="B1698" s="20" t="b">
        <f ca="1">IFERROR(__xludf.DUMMYFUNCTION("if(D1698=iferror(filter('Character Sheet'!D$13:D3002,'Character Sheet'!D$13:D3002=D1698),""""),True,False)"),FALSE)</f>
        <v>0</v>
      </c>
      <c r="C1698" s="20">
        <v>100</v>
      </c>
      <c r="D1698" s="2" t="s">
        <v>3605</v>
      </c>
      <c r="E1698" s="2" t="s">
        <v>408</v>
      </c>
      <c r="F1698" s="20" t="s">
        <v>63</v>
      </c>
      <c r="G1698" s="2" t="s">
        <v>3606</v>
      </c>
      <c r="H1698" s="16"/>
      <c r="I1698" s="20"/>
      <c r="J1698" s="20"/>
      <c r="K1698" s="20"/>
      <c r="L1698" s="20"/>
      <c r="M1698" s="20"/>
      <c r="N1698" s="20"/>
      <c r="O1698" s="20"/>
      <c r="P1698" s="20"/>
      <c r="Q1698" s="20"/>
      <c r="R1698" s="20"/>
      <c r="S1698" s="20"/>
      <c r="T1698" s="20"/>
      <c r="U1698" s="20"/>
      <c r="V1698" s="20"/>
      <c r="W1698" s="20"/>
      <c r="X1698" s="20"/>
      <c r="Y1698" s="20"/>
      <c r="Z1698" s="20"/>
      <c r="AA1698" s="20"/>
    </row>
    <row r="1699" spans="1:27" ht="121.8" x14ac:dyDescent="0.25">
      <c r="A1699" s="16"/>
      <c r="B1699" s="20" t="b">
        <f ca="1">IFERROR(__xludf.DUMMYFUNCTION("if(D1699=iferror(filter('Character Sheet'!D$13:D3002,'Character Sheet'!D$13:D3002=D1699),""""),True,False)"),FALSE)</f>
        <v>0</v>
      </c>
      <c r="C1699" s="20">
        <v>100</v>
      </c>
      <c r="D1699" s="2" t="s">
        <v>3607</v>
      </c>
      <c r="E1699" s="2" t="s">
        <v>649</v>
      </c>
      <c r="F1699" s="20" t="s">
        <v>63</v>
      </c>
      <c r="G1699" s="2" t="s">
        <v>3608</v>
      </c>
      <c r="H1699" s="16"/>
      <c r="I1699" s="20"/>
      <c r="J1699" s="20"/>
      <c r="K1699" s="20"/>
      <c r="L1699" s="20"/>
      <c r="M1699" s="20"/>
      <c r="N1699" s="20"/>
      <c r="O1699" s="20"/>
      <c r="P1699" s="20"/>
      <c r="Q1699" s="20"/>
      <c r="R1699" s="20"/>
      <c r="S1699" s="20"/>
      <c r="T1699" s="20"/>
      <c r="U1699" s="20"/>
      <c r="V1699" s="20"/>
      <c r="W1699" s="20"/>
      <c r="X1699" s="20"/>
      <c r="Y1699" s="20"/>
      <c r="Z1699" s="20"/>
      <c r="AA1699" s="20"/>
    </row>
    <row r="1700" spans="1:27" ht="34.799999999999997" x14ac:dyDescent="0.25">
      <c r="A1700" s="16"/>
      <c r="B1700" s="20" t="b">
        <f ca="1">IFERROR(__xludf.DUMMYFUNCTION("if(D1700=iferror(filter('Character Sheet'!D$13:D3002,'Character Sheet'!D$13:D3002=D1700),""""),True,False)"),FALSE)</f>
        <v>0</v>
      </c>
      <c r="C1700" s="20">
        <v>100</v>
      </c>
      <c r="D1700" s="2" t="s">
        <v>3609</v>
      </c>
      <c r="E1700" s="2" t="s">
        <v>274</v>
      </c>
      <c r="F1700" s="20" t="s">
        <v>63</v>
      </c>
      <c r="G1700" s="2" t="s">
        <v>3610</v>
      </c>
      <c r="H1700" s="16"/>
      <c r="I1700" s="20"/>
      <c r="J1700" s="20"/>
      <c r="K1700" s="20"/>
      <c r="L1700" s="20"/>
      <c r="M1700" s="20"/>
      <c r="N1700" s="20"/>
      <c r="O1700" s="20"/>
      <c r="P1700" s="20"/>
      <c r="Q1700" s="20"/>
      <c r="R1700" s="20"/>
      <c r="S1700" s="20"/>
      <c r="T1700" s="20"/>
      <c r="U1700" s="20"/>
      <c r="V1700" s="20"/>
      <c r="W1700" s="20"/>
      <c r="X1700" s="20"/>
      <c r="Y1700" s="20"/>
      <c r="Z1700" s="20"/>
      <c r="AA1700" s="20"/>
    </row>
    <row r="1701" spans="1:27" ht="174" x14ac:dyDescent="0.25">
      <c r="A1701" s="16"/>
      <c r="B1701" s="20" t="b">
        <f ca="1">IFERROR(__xludf.DUMMYFUNCTION("if(D1701=iferror(filter('Character Sheet'!D$13:D3002,'Character Sheet'!D$13:D3002=D1701),""""),True,False)"),FALSE)</f>
        <v>0</v>
      </c>
      <c r="C1701" s="20">
        <v>100</v>
      </c>
      <c r="D1701" s="2" t="s">
        <v>3611</v>
      </c>
      <c r="E1701" s="2" t="s">
        <v>958</v>
      </c>
      <c r="F1701" s="20" t="s">
        <v>63</v>
      </c>
      <c r="G1701" s="2" t="s">
        <v>3612</v>
      </c>
      <c r="H1701" s="16"/>
      <c r="I1701" s="20"/>
      <c r="J1701" s="20"/>
      <c r="K1701" s="20"/>
      <c r="L1701" s="20"/>
      <c r="M1701" s="20"/>
      <c r="N1701" s="20"/>
      <c r="O1701" s="20"/>
      <c r="P1701" s="20"/>
      <c r="Q1701" s="20"/>
      <c r="R1701" s="20"/>
      <c r="S1701" s="20"/>
      <c r="T1701" s="20"/>
      <c r="U1701" s="20"/>
      <c r="V1701" s="20"/>
      <c r="W1701" s="20"/>
      <c r="X1701" s="20"/>
      <c r="Y1701" s="20"/>
      <c r="Z1701" s="20"/>
      <c r="AA1701" s="20"/>
    </row>
    <row r="1702" spans="1:27" ht="52.2" x14ac:dyDescent="0.25">
      <c r="A1702" s="16"/>
      <c r="B1702" s="20" t="b">
        <f ca="1">IFERROR(__xludf.DUMMYFUNCTION("if(D1702=iferror(filter('Character Sheet'!D$13:D3002,'Character Sheet'!D$13:D3002=D1702),""""),True,False)"),FALSE)</f>
        <v>0</v>
      </c>
      <c r="C1702" s="20">
        <v>100</v>
      </c>
      <c r="D1702" s="2" t="s">
        <v>3613</v>
      </c>
      <c r="E1702" s="2" t="s">
        <v>182</v>
      </c>
      <c r="F1702" s="20" t="s">
        <v>63</v>
      </c>
      <c r="G1702" s="2" t="s">
        <v>3614</v>
      </c>
      <c r="H1702" s="16"/>
      <c r="I1702" s="20"/>
      <c r="J1702" s="20"/>
      <c r="K1702" s="20"/>
      <c r="L1702" s="20"/>
      <c r="M1702" s="20"/>
      <c r="N1702" s="20"/>
      <c r="O1702" s="20"/>
      <c r="P1702" s="20"/>
      <c r="Q1702" s="20"/>
      <c r="R1702" s="20"/>
      <c r="S1702" s="20"/>
      <c r="T1702" s="20"/>
      <c r="U1702" s="20"/>
      <c r="V1702" s="20"/>
      <c r="W1702" s="20"/>
      <c r="X1702" s="20"/>
      <c r="Y1702" s="20"/>
      <c r="Z1702" s="20"/>
      <c r="AA1702" s="20"/>
    </row>
    <row r="1703" spans="1:27" ht="69.599999999999994" x14ac:dyDescent="0.25">
      <c r="A1703" s="16"/>
      <c r="B1703" s="20" t="b">
        <f ca="1">IFERROR(__xludf.DUMMYFUNCTION("if(D1703=iferror(filter('Character Sheet'!D$13:D3002,'Character Sheet'!D$13:D3002=D1703),""""),True,False)"),FALSE)</f>
        <v>0</v>
      </c>
      <c r="C1703" s="20">
        <v>100</v>
      </c>
      <c r="D1703" s="2" t="s">
        <v>3615</v>
      </c>
      <c r="E1703" s="2" t="s">
        <v>347</v>
      </c>
      <c r="F1703" s="20" t="s">
        <v>63</v>
      </c>
      <c r="G1703" s="2" t="s">
        <v>3616</v>
      </c>
      <c r="H1703" s="16"/>
      <c r="I1703" s="20"/>
      <c r="J1703" s="20"/>
      <c r="K1703" s="20"/>
      <c r="L1703" s="20"/>
      <c r="M1703" s="20"/>
      <c r="N1703" s="20"/>
      <c r="O1703" s="20"/>
      <c r="P1703" s="20"/>
      <c r="Q1703" s="20"/>
      <c r="R1703" s="20"/>
      <c r="S1703" s="20"/>
      <c r="T1703" s="20"/>
      <c r="U1703" s="20"/>
      <c r="V1703" s="20"/>
      <c r="W1703" s="20"/>
      <c r="X1703" s="20"/>
      <c r="Y1703" s="20"/>
      <c r="Z1703" s="20"/>
      <c r="AA1703" s="20"/>
    </row>
    <row r="1704" spans="1:27" ht="261" x14ac:dyDescent="0.25">
      <c r="A1704" s="16"/>
      <c r="B1704" s="20" t="b">
        <f ca="1">IFERROR(__xludf.DUMMYFUNCTION("if(D1704=iferror(filter('Character Sheet'!D$13:D3002,'Character Sheet'!D$13:D3002=D1704),""""),True,False)"),FALSE)</f>
        <v>0</v>
      </c>
      <c r="C1704" s="20">
        <v>100</v>
      </c>
      <c r="D1704" s="2" t="s">
        <v>3617</v>
      </c>
      <c r="E1704" s="2" t="s">
        <v>230</v>
      </c>
      <c r="F1704" s="20" t="s">
        <v>63</v>
      </c>
      <c r="G1704" s="2" t="s">
        <v>3618</v>
      </c>
      <c r="H1704" s="16"/>
      <c r="I1704" s="20"/>
      <c r="J1704" s="20"/>
      <c r="K1704" s="20"/>
      <c r="L1704" s="20"/>
      <c r="M1704" s="20"/>
      <c r="N1704" s="20"/>
      <c r="O1704" s="20"/>
      <c r="P1704" s="20"/>
      <c r="Q1704" s="20"/>
      <c r="R1704" s="20"/>
      <c r="S1704" s="20"/>
      <c r="T1704" s="20"/>
      <c r="U1704" s="20"/>
      <c r="V1704" s="20"/>
      <c r="W1704" s="20"/>
      <c r="X1704" s="20"/>
      <c r="Y1704" s="20"/>
      <c r="Z1704" s="20"/>
      <c r="AA1704" s="20"/>
    </row>
    <row r="1705" spans="1:27" ht="104.4" x14ac:dyDescent="0.25">
      <c r="A1705" s="16"/>
      <c r="B1705" s="20" t="b">
        <f ca="1">IFERROR(__xludf.DUMMYFUNCTION("if(D1705=iferror(filter('Character Sheet'!D$13:D3002,'Character Sheet'!D$13:D3002=D1705),""""),True,False)"),FALSE)</f>
        <v>0</v>
      </c>
      <c r="C1705" s="20">
        <v>100</v>
      </c>
      <c r="D1705" s="2" t="s">
        <v>3619</v>
      </c>
      <c r="E1705" s="2" t="s">
        <v>268</v>
      </c>
      <c r="F1705" s="20" t="s">
        <v>63</v>
      </c>
      <c r="G1705" s="2" t="s">
        <v>3620</v>
      </c>
      <c r="H1705" s="16"/>
      <c r="I1705" s="20"/>
      <c r="J1705" s="20"/>
      <c r="K1705" s="20"/>
      <c r="L1705" s="20"/>
      <c r="M1705" s="20"/>
      <c r="N1705" s="20"/>
      <c r="O1705" s="20"/>
      <c r="P1705" s="20"/>
      <c r="Q1705" s="20"/>
      <c r="R1705" s="20"/>
      <c r="S1705" s="20"/>
      <c r="T1705" s="20"/>
      <c r="U1705" s="20"/>
      <c r="V1705" s="20"/>
      <c r="W1705" s="20"/>
      <c r="X1705" s="20"/>
      <c r="Y1705" s="20"/>
      <c r="Z1705" s="20"/>
      <c r="AA1705" s="20"/>
    </row>
    <row r="1706" spans="1:27" ht="104.4" x14ac:dyDescent="0.25">
      <c r="A1706" s="16"/>
      <c r="B1706" s="20" t="b">
        <f ca="1">IFERROR(__xludf.DUMMYFUNCTION("if(D1706=iferror(filter('Character Sheet'!D$13:D3002,'Character Sheet'!D$13:D3002=D1706),""""),True,False)"),FALSE)</f>
        <v>0</v>
      </c>
      <c r="C1706" s="20">
        <v>100</v>
      </c>
      <c r="D1706" s="2" t="s">
        <v>3621</v>
      </c>
      <c r="E1706" s="2" t="s">
        <v>317</v>
      </c>
      <c r="F1706" s="20" t="s">
        <v>63</v>
      </c>
      <c r="G1706" s="2" t="s">
        <v>3622</v>
      </c>
      <c r="H1706" s="16"/>
      <c r="I1706" s="20"/>
      <c r="J1706" s="20"/>
      <c r="K1706" s="20"/>
      <c r="L1706" s="20"/>
      <c r="M1706" s="20"/>
      <c r="N1706" s="20"/>
      <c r="O1706" s="20"/>
      <c r="P1706" s="20"/>
      <c r="Q1706" s="20"/>
      <c r="R1706" s="20"/>
      <c r="S1706" s="20"/>
      <c r="T1706" s="20"/>
      <c r="U1706" s="20"/>
      <c r="V1706" s="20"/>
      <c r="W1706" s="20"/>
      <c r="X1706" s="20"/>
      <c r="Y1706" s="20"/>
      <c r="Z1706" s="20"/>
      <c r="AA1706" s="20"/>
    </row>
    <row r="1707" spans="1:27" ht="87" x14ac:dyDescent="0.25">
      <c r="A1707" s="16"/>
      <c r="B1707" s="20" t="b">
        <f ca="1">IFERROR(__xludf.DUMMYFUNCTION("if(D1707=iferror(filter('Character Sheet'!D$13:D3002,'Character Sheet'!D$13:D3002=D1707),""""),True,False)"),FALSE)</f>
        <v>0</v>
      </c>
      <c r="C1707" s="20">
        <v>100</v>
      </c>
      <c r="D1707" s="2" t="s">
        <v>3623</v>
      </c>
      <c r="E1707" s="2" t="s">
        <v>451</v>
      </c>
      <c r="F1707" s="20" t="s">
        <v>63</v>
      </c>
      <c r="G1707" s="2" t="s">
        <v>3624</v>
      </c>
      <c r="H1707" s="16"/>
      <c r="I1707" s="20"/>
      <c r="J1707" s="20"/>
      <c r="K1707" s="20"/>
      <c r="L1707" s="20"/>
      <c r="M1707" s="20"/>
      <c r="N1707" s="20"/>
      <c r="O1707" s="20"/>
      <c r="P1707" s="20"/>
      <c r="Q1707" s="20"/>
      <c r="R1707" s="20"/>
      <c r="S1707" s="20"/>
      <c r="T1707" s="20"/>
      <c r="U1707" s="20"/>
      <c r="V1707" s="20"/>
      <c r="W1707" s="20"/>
      <c r="X1707" s="20"/>
      <c r="Y1707" s="20"/>
      <c r="Z1707" s="20"/>
      <c r="AA1707" s="20"/>
    </row>
    <row r="1708" spans="1:27" ht="69.599999999999994" x14ac:dyDescent="0.25">
      <c r="A1708" s="16"/>
      <c r="B1708" s="20" t="b">
        <f ca="1">IFERROR(__xludf.DUMMYFUNCTION("if(D1708=iferror(filter('Character Sheet'!D$13:D3002,'Character Sheet'!D$13:D3002=D1708),""""),True,False)"),FALSE)</f>
        <v>0</v>
      </c>
      <c r="C1708" s="20">
        <v>100</v>
      </c>
      <c r="D1708" s="2" t="s">
        <v>3625</v>
      </c>
      <c r="E1708" s="2" t="s">
        <v>325</v>
      </c>
      <c r="F1708" s="20" t="s">
        <v>63</v>
      </c>
      <c r="G1708" s="2" t="s">
        <v>3626</v>
      </c>
      <c r="H1708" s="16"/>
      <c r="I1708" s="20"/>
      <c r="J1708" s="20"/>
      <c r="K1708" s="20"/>
      <c r="L1708" s="20"/>
      <c r="M1708" s="20"/>
      <c r="N1708" s="20"/>
      <c r="O1708" s="20"/>
      <c r="P1708" s="20"/>
      <c r="Q1708" s="20"/>
      <c r="R1708" s="20"/>
      <c r="S1708" s="20"/>
      <c r="T1708" s="20"/>
      <c r="U1708" s="20"/>
      <c r="V1708" s="20"/>
      <c r="W1708" s="20"/>
      <c r="X1708" s="20"/>
      <c r="Y1708" s="20"/>
      <c r="Z1708" s="20"/>
      <c r="AA1708" s="20"/>
    </row>
    <row r="1709" spans="1:27" ht="191.4" x14ac:dyDescent="0.25">
      <c r="A1709" s="16"/>
      <c r="B1709" s="20" t="b">
        <f ca="1">IFERROR(__xludf.DUMMYFUNCTION("if(D1709=iferror(filter('Character Sheet'!D$13:D3002,'Character Sheet'!D$13:D3002=D1709),""""),True,False)"),FALSE)</f>
        <v>0</v>
      </c>
      <c r="C1709" s="20">
        <v>100</v>
      </c>
      <c r="D1709" s="2" t="s">
        <v>3627</v>
      </c>
      <c r="E1709" s="2" t="s">
        <v>408</v>
      </c>
      <c r="F1709" s="20" t="s">
        <v>63</v>
      </c>
      <c r="G1709" s="2" t="s">
        <v>3628</v>
      </c>
      <c r="H1709" s="16"/>
      <c r="I1709" s="20"/>
      <c r="J1709" s="20"/>
      <c r="K1709" s="20"/>
      <c r="L1709" s="20"/>
      <c r="M1709" s="20"/>
      <c r="N1709" s="20"/>
      <c r="O1709" s="20"/>
      <c r="P1709" s="20"/>
      <c r="Q1709" s="20"/>
      <c r="R1709" s="20"/>
      <c r="S1709" s="20"/>
      <c r="T1709" s="20"/>
      <c r="U1709" s="20"/>
      <c r="V1709" s="20"/>
      <c r="W1709" s="20"/>
      <c r="X1709" s="20"/>
      <c r="Y1709" s="20"/>
      <c r="Z1709" s="20"/>
      <c r="AA1709" s="20"/>
    </row>
    <row r="1710" spans="1:27" ht="104.4" x14ac:dyDescent="0.25">
      <c r="A1710" s="16"/>
      <c r="B1710" s="20" t="b">
        <f ca="1">IFERROR(__xludf.DUMMYFUNCTION("if(D1710=iferror(filter('Character Sheet'!D$13:D3002,'Character Sheet'!D$13:D3002=D1710),""""),True,False)"),FALSE)</f>
        <v>0</v>
      </c>
      <c r="C1710" s="20">
        <v>100</v>
      </c>
      <c r="D1710" s="2" t="s">
        <v>3629</v>
      </c>
      <c r="E1710" s="2" t="s">
        <v>514</v>
      </c>
      <c r="F1710" s="20" t="s">
        <v>63</v>
      </c>
      <c r="G1710" s="2" t="s">
        <v>3630</v>
      </c>
      <c r="H1710" s="16"/>
      <c r="I1710" s="20"/>
      <c r="J1710" s="20"/>
      <c r="K1710" s="20"/>
      <c r="L1710" s="20"/>
      <c r="M1710" s="20"/>
      <c r="N1710" s="20"/>
      <c r="O1710" s="20"/>
      <c r="P1710" s="20"/>
      <c r="Q1710" s="20"/>
      <c r="R1710" s="20"/>
      <c r="S1710" s="20"/>
      <c r="T1710" s="20"/>
      <c r="U1710" s="20"/>
      <c r="V1710" s="20"/>
      <c r="W1710" s="20"/>
      <c r="X1710" s="20"/>
      <c r="Y1710" s="20"/>
      <c r="Z1710" s="20"/>
      <c r="AA1710" s="20"/>
    </row>
    <row r="1711" spans="1:27" ht="104.4" x14ac:dyDescent="0.25">
      <c r="A1711" s="16"/>
      <c r="B1711" s="20" t="b">
        <f ca="1">IFERROR(__xludf.DUMMYFUNCTION("if(D1711=iferror(filter('Character Sheet'!D$13:D3002,'Character Sheet'!D$13:D3002=D1711),""""),True,False)"),FALSE)</f>
        <v>0</v>
      </c>
      <c r="C1711" s="20">
        <v>100</v>
      </c>
      <c r="D1711" s="2" t="s">
        <v>3631</v>
      </c>
      <c r="E1711" s="2" t="s">
        <v>192</v>
      </c>
      <c r="F1711" s="20" t="s">
        <v>63</v>
      </c>
      <c r="G1711" s="2" t="s">
        <v>3632</v>
      </c>
      <c r="H1711" s="16"/>
      <c r="I1711" s="20"/>
      <c r="J1711" s="20"/>
      <c r="K1711" s="20"/>
      <c r="L1711" s="20"/>
      <c r="M1711" s="20"/>
      <c r="N1711" s="20"/>
      <c r="O1711" s="20"/>
      <c r="P1711" s="20"/>
      <c r="Q1711" s="20"/>
      <c r="R1711" s="20"/>
      <c r="S1711" s="20"/>
      <c r="T1711" s="20"/>
      <c r="U1711" s="20"/>
      <c r="V1711" s="20"/>
      <c r="W1711" s="20"/>
      <c r="X1711" s="20"/>
      <c r="Y1711" s="20"/>
      <c r="Z1711" s="20"/>
      <c r="AA1711" s="20"/>
    </row>
    <row r="1712" spans="1:27" ht="156.6" x14ac:dyDescent="0.25">
      <c r="A1712" s="16"/>
      <c r="B1712" s="20" t="b">
        <f ca="1">IFERROR(__xludf.DUMMYFUNCTION("if(D1712=iferror(filter('Character Sheet'!D$13:D3002,'Character Sheet'!D$13:D3002=D1712),""""),True,False)"),FALSE)</f>
        <v>0</v>
      </c>
      <c r="C1712" s="20">
        <v>100</v>
      </c>
      <c r="D1712" s="2" t="s">
        <v>3633</v>
      </c>
      <c r="E1712" s="2" t="s">
        <v>331</v>
      </c>
      <c r="F1712" s="20" t="s">
        <v>63</v>
      </c>
      <c r="G1712" s="2" t="s">
        <v>3634</v>
      </c>
      <c r="H1712" s="16"/>
      <c r="I1712" s="20"/>
      <c r="J1712" s="20"/>
      <c r="K1712" s="20"/>
      <c r="L1712" s="20"/>
      <c r="M1712" s="20"/>
      <c r="N1712" s="20"/>
      <c r="O1712" s="20"/>
      <c r="P1712" s="20"/>
      <c r="Q1712" s="20"/>
      <c r="R1712" s="20"/>
      <c r="S1712" s="20"/>
      <c r="T1712" s="20"/>
      <c r="U1712" s="20"/>
      <c r="V1712" s="20"/>
      <c r="W1712" s="20"/>
      <c r="X1712" s="20"/>
      <c r="Y1712" s="20"/>
      <c r="Z1712" s="20"/>
      <c r="AA1712" s="20"/>
    </row>
    <row r="1713" spans="1:27" ht="156.6" x14ac:dyDescent="0.25">
      <c r="A1713" s="16"/>
      <c r="B1713" s="20" t="b">
        <f ca="1">IFERROR(__xludf.DUMMYFUNCTION("if(D1713=iferror(filter('Character Sheet'!D$13:D3002,'Character Sheet'!D$13:D3002=D1713),""""),True,False)"),FALSE)</f>
        <v>0</v>
      </c>
      <c r="C1713" s="20">
        <v>100</v>
      </c>
      <c r="D1713" s="2" t="s">
        <v>3635</v>
      </c>
      <c r="E1713" s="2" t="s">
        <v>87</v>
      </c>
      <c r="F1713" s="20" t="s">
        <v>63</v>
      </c>
      <c r="G1713" s="2" t="s">
        <v>3636</v>
      </c>
      <c r="H1713" s="16"/>
      <c r="I1713" s="20"/>
      <c r="J1713" s="20"/>
      <c r="K1713" s="20"/>
      <c r="L1713" s="20"/>
      <c r="M1713" s="20"/>
      <c r="N1713" s="20"/>
      <c r="O1713" s="20"/>
      <c r="P1713" s="20"/>
      <c r="Q1713" s="20"/>
      <c r="R1713" s="20"/>
      <c r="S1713" s="20"/>
      <c r="T1713" s="20"/>
      <c r="U1713" s="20"/>
      <c r="V1713" s="20"/>
      <c r="W1713" s="20"/>
      <c r="X1713" s="20"/>
      <c r="Y1713" s="20"/>
      <c r="Z1713" s="20"/>
      <c r="AA1713" s="20"/>
    </row>
    <row r="1714" spans="1:27" ht="52.2" x14ac:dyDescent="0.25">
      <c r="A1714" s="16"/>
      <c r="B1714" s="20" t="b">
        <f ca="1">IFERROR(__xludf.DUMMYFUNCTION("if(D1714=iferror(filter('Character Sheet'!D$13:D3002,'Character Sheet'!D$13:D3002=D1714),""""),True,False)"),FALSE)</f>
        <v>0</v>
      </c>
      <c r="C1714" s="20">
        <v>100</v>
      </c>
      <c r="D1714" s="2" t="s">
        <v>3637</v>
      </c>
      <c r="E1714" s="2" t="s">
        <v>475</v>
      </c>
      <c r="F1714" s="20" t="s">
        <v>63</v>
      </c>
      <c r="G1714" s="2" t="s">
        <v>3638</v>
      </c>
      <c r="H1714" s="16"/>
      <c r="I1714" s="20"/>
      <c r="J1714" s="20"/>
      <c r="K1714" s="20"/>
      <c r="L1714" s="20"/>
      <c r="M1714" s="20"/>
      <c r="N1714" s="20"/>
      <c r="O1714" s="20"/>
      <c r="P1714" s="20"/>
      <c r="Q1714" s="20"/>
      <c r="R1714" s="20"/>
      <c r="S1714" s="20"/>
      <c r="T1714" s="20"/>
      <c r="U1714" s="20"/>
      <c r="V1714" s="20"/>
      <c r="W1714" s="20"/>
      <c r="X1714" s="20"/>
      <c r="Y1714" s="20"/>
      <c r="Z1714" s="20"/>
      <c r="AA1714" s="20"/>
    </row>
    <row r="1715" spans="1:27" ht="121.8" x14ac:dyDescent="0.25">
      <c r="A1715" s="16"/>
      <c r="B1715" s="20" t="b">
        <f ca="1">IFERROR(__xludf.DUMMYFUNCTION("if(D1715=iferror(filter('Character Sheet'!D$13:D3002,'Character Sheet'!D$13:D3002=D1715),""""),True,False)"),FALSE)</f>
        <v>0</v>
      </c>
      <c r="C1715" s="20">
        <v>100</v>
      </c>
      <c r="D1715" s="2" t="s">
        <v>3639</v>
      </c>
      <c r="E1715" s="2" t="s">
        <v>72</v>
      </c>
      <c r="F1715" s="20" t="s">
        <v>63</v>
      </c>
      <c r="G1715" s="2" t="s">
        <v>3640</v>
      </c>
      <c r="H1715" s="16"/>
      <c r="I1715" s="20"/>
      <c r="J1715" s="20"/>
      <c r="K1715" s="20"/>
      <c r="L1715" s="20"/>
      <c r="M1715" s="20"/>
      <c r="N1715" s="20"/>
      <c r="O1715" s="20"/>
      <c r="P1715" s="20"/>
      <c r="Q1715" s="20"/>
      <c r="R1715" s="20"/>
      <c r="S1715" s="20"/>
      <c r="T1715" s="20"/>
      <c r="U1715" s="20"/>
      <c r="V1715" s="20"/>
      <c r="W1715" s="20"/>
      <c r="X1715" s="20"/>
      <c r="Y1715" s="20"/>
      <c r="Z1715" s="20"/>
      <c r="AA1715" s="20"/>
    </row>
    <row r="1716" spans="1:27" ht="52.2" x14ac:dyDescent="0.25">
      <c r="A1716" s="16"/>
      <c r="B1716" s="20" t="b">
        <f ca="1">IFERROR(__xludf.DUMMYFUNCTION("if(D1716=iferror(filter('Character Sheet'!D$13:D3002,'Character Sheet'!D$13:D3002=D1716),""""),True,False)"),FALSE)</f>
        <v>0</v>
      </c>
      <c r="C1716" s="20">
        <v>100</v>
      </c>
      <c r="D1716" s="2" t="s">
        <v>3641</v>
      </c>
      <c r="E1716" s="2" t="s">
        <v>298</v>
      </c>
      <c r="F1716" s="20" t="s">
        <v>63</v>
      </c>
      <c r="G1716" s="2" t="s">
        <v>3642</v>
      </c>
      <c r="H1716" s="16"/>
      <c r="I1716" s="20"/>
      <c r="J1716" s="20"/>
      <c r="K1716" s="20"/>
      <c r="L1716" s="20"/>
      <c r="M1716" s="20"/>
      <c r="N1716" s="20"/>
      <c r="O1716" s="20"/>
      <c r="P1716" s="20"/>
      <c r="Q1716" s="20"/>
      <c r="R1716" s="20"/>
      <c r="S1716" s="20"/>
      <c r="T1716" s="20"/>
      <c r="U1716" s="20"/>
      <c r="V1716" s="20"/>
      <c r="W1716" s="20"/>
      <c r="X1716" s="20"/>
      <c r="Y1716" s="20"/>
      <c r="Z1716" s="20"/>
      <c r="AA1716" s="20"/>
    </row>
    <row r="1717" spans="1:27" ht="174" x14ac:dyDescent="0.25">
      <c r="A1717" s="16"/>
      <c r="B1717" s="20" t="b">
        <f ca="1">IFERROR(__xludf.DUMMYFUNCTION("if(D1717=iferror(filter('Character Sheet'!D$13:D3002,'Character Sheet'!D$13:D3002=D1717),""""),True,False)"),FALSE)</f>
        <v>0</v>
      </c>
      <c r="C1717" s="20">
        <v>100</v>
      </c>
      <c r="D1717" s="2" t="s">
        <v>3643</v>
      </c>
      <c r="E1717" s="2" t="s">
        <v>211</v>
      </c>
      <c r="F1717" s="20" t="s">
        <v>63</v>
      </c>
      <c r="G1717" s="2" t="s">
        <v>3644</v>
      </c>
      <c r="H1717" s="16"/>
      <c r="I1717" s="20"/>
      <c r="J1717" s="20"/>
      <c r="K1717" s="20"/>
      <c r="L1717" s="20"/>
      <c r="M1717" s="20"/>
      <c r="N1717" s="20"/>
      <c r="O1717" s="20"/>
      <c r="P1717" s="20"/>
      <c r="Q1717" s="20"/>
      <c r="R1717" s="20"/>
      <c r="S1717" s="20"/>
      <c r="T1717" s="20"/>
      <c r="U1717" s="20"/>
      <c r="V1717" s="20"/>
      <c r="W1717" s="20"/>
      <c r="X1717" s="20"/>
      <c r="Y1717" s="20"/>
      <c r="Z1717" s="20"/>
      <c r="AA1717" s="20"/>
    </row>
    <row r="1718" spans="1:27" ht="69.599999999999994" x14ac:dyDescent="0.25">
      <c r="A1718" s="16"/>
      <c r="B1718" s="20" t="b">
        <f ca="1">IFERROR(__xludf.DUMMYFUNCTION("if(D1718=iferror(filter('Character Sheet'!D$13:D3002,'Character Sheet'!D$13:D3002=D1718),""""),True,False)"),FALSE)</f>
        <v>0</v>
      </c>
      <c r="C1718" s="20">
        <v>100</v>
      </c>
      <c r="D1718" s="2" t="s">
        <v>3645</v>
      </c>
      <c r="E1718" s="2" t="s">
        <v>253</v>
      </c>
      <c r="F1718" s="20" t="s">
        <v>63</v>
      </c>
      <c r="G1718" s="2" t="s">
        <v>3646</v>
      </c>
      <c r="H1718" s="16"/>
      <c r="I1718" s="20"/>
      <c r="J1718" s="20"/>
      <c r="K1718" s="20"/>
      <c r="L1718" s="20"/>
      <c r="M1718" s="20"/>
      <c r="N1718" s="20"/>
      <c r="O1718" s="20"/>
      <c r="P1718" s="20"/>
      <c r="Q1718" s="20"/>
      <c r="R1718" s="20"/>
      <c r="S1718" s="20"/>
      <c r="T1718" s="20"/>
      <c r="U1718" s="20"/>
      <c r="V1718" s="20"/>
      <c r="W1718" s="20"/>
      <c r="X1718" s="20"/>
      <c r="Y1718" s="20"/>
      <c r="Z1718" s="20"/>
      <c r="AA1718" s="20"/>
    </row>
    <row r="1719" spans="1:27" ht="139.19999999999999" x14ac:dyDescent="0.25">
      <c r="A1719" s="16"/>
      <c r="B1719" s="20" t="b">
        <f ca="1">IFERROR(__xludf.DUMMYFUNCTION("if(D1719=iferror(filter('Character Sheet'!D$13:D3002,'Character Sheet'!D$13:D3002=D1719),""""),True,False)"),FALSE)</f>
        <v>0</v>
      </c>
      <c r="C1719" s="20">
        <v>100</v>
      </c>
      <c r="D1719" s="2" t="s">
        <v>3647</v>
      </c>
      <c r="E1719" s="2" t="s">
        <v>973</v>
      </c>
      <c r="F1719" s="20" t="s">
        <v>63</v>
      </c>
      <c r="G1719" s="2" t="s">
        <v>3648</v>
      </c>
      <c r="H1719" s="16"/>
      <c r="I1719" s="20"/>
      <c r="J1719" s="20"/>
      <c r="K1719" s="20"/>
      <c r="L1719" s="20"/>
      <c r="M1719" s="20"/>
      <c r="N1719" s="20"/>
      <c r="O1719" s="20"/>
      <c r="P1719" s="20"/>
      <c r="Q1719" s="20"/>
      <c r="R1719" s="20"/>
      <c r="S1719" s="20"/>
      <c r="T1719" s="20"/>
      <c r="U1719" s="20"/>
      <c r="V1719" s="20"/>
      <c r="W1719" s="20"/>
      <c r="X1719" s="20"/>
      <c r="Y1719" s="20"/>
      <c r="Z1719" s="20"/>
      <c r="AA1719" s="20"/>
    </row>
    <row r="1720" spans="1:27" ht="139.19999999999999" x14ac:dyDescent="0.25">
      <c r="A1720" s="16"/>
      <c r="B1720" s="20" t="b">
        <f ca="1">IFERROR(__xludf.DUMMYFUNCTION("if(D1720=iferror(filter('Character Sheet'!D$13:D3002,'Character Sheet'!D$13:D3002=D1720),""""),True,False)"),FALSE)</f>
        <v>0</v>
      </c>
      <c r="C1720" s="20">
        <v>100</v>
      </c>
      <c r="D1720" s="2" t="s">
        <v>3649</v>
      </c>
      <c r="E1720" s="2" t="s">
        <v>1217</v>
      </c>
      <c r="F1720" s="20" t="s">
        <v>63</v>
      </c>
      <c r="G1720" s="2" t="s">
        <v>3650</v>
      </c>
      <c r="H1720" s="16"/>
      <c r="I1720" s="20"/>
      <c r="J1720" s="20"/>
      <c r="K1720" s="20"/>
      <c r="L1720" s="20"/>
      <c r="M1720" s="20"/>
      <c r="N1720" s="20"/>
      <c r="O1720" s="20"/>
      <c r="P1720" s="20"/>
      <c r="Q1720" s="20"/>
      <c r="R1720" s="20"/>
      <c r="S1720" s="20"/>
      <c r="T1720" s="20"/>
      <c r="U1720" s="20"/>
      <c r="V1720" s="20"/>
      <c r="W1720" s="20"/>
      <c r="X1720" s="20"/>
      <c r="Y1720" s="20"/>
      <c r="Z1720" s="20"/>
      <c r="AA1720" s="20"/>
    </row>
    <row r="1721" spans="1:27" ht="69.599999999999994" x14ac:dyDescent="0.25">
      <c r="A1721" s="16"/>
      <c r="B1721" s="20" t="b">
        <f ca="1">IFERROR(__xludf.DUMMYFUNCTION("if(D1721=iferror(filter('Character Sheet'!D$13:D3002,'Character Sheet'!D$13:D3002=D1721),""""),True,False)"),FALSE)</f>
        <v>0</v>
      </c>
      <c r="C1721" s="20">
        <v>100</v>
      </c>
      <c r="D1721" s="2" t="s">
        <v>3651</v>
      </c>
      <c r="E1721" s="2" t="s">
        <v>451</v>
      </c>
      <c r="F1721" s="20" t="s">
        <v>63</v>
      </c>
      <c r="G1721" s="2" t="s">
        <v>3652</v>
      </c>
      <c r="H1721" s="16"/>
      <c r="I1721" s="20"/>
      <c r="J1721" s="20"/>
      <c r="K1721" s="20"/>
      <c r="L1721" s="20"/>
      <c r="M1721" s="20"/>
      <c r="N1721" s="20"/>
      <c r="O1721" s="20"/>
      <c r="P1721" s="20"/>
      <c r="Q1721" s="20"/>
      <c r="R1721" s="20"/>
      <c r="S1721" s="20"/>
      <c r="T1721" s="20"/>
      <c r="U1721" s="20"/>
      <c r="V1721" s="20"/>
      <c r="W1721" s="20"/>
      <c r="X1721" s="20"/>
      <c r="Y1721" s="20"/>
      <c r="Z1721" s="20"/>
      <c r="AA1721" s="20"/>
    </row>
    <row r="1722" spans="1:27" ht="208.8" x14ac:dyDescent="0.25">
      <c r="A1722" s="16"/>
      <c r="B1722" s="20" t="b">
        <f ca="1">IFERROR(__xludf.DUMMYFUNCTION("if(D1722=iferror(filter('Character Sheet'!D$13:D3002,'Character Sheet'!D$13:D3002=D1722),""""),True,False)"),FALSE)</f>
        <v>0</v>
      </c>
      <c r="C1722" s="20">
        <v>200</v>
      </c>
      <c r="D1722" s="2" t="s">
        <v>3653</v>
      </c>
      <c r="E1722" s="2" t="s">
        <v>408</v>
      </c>
      <c r="F1722" s="20" t="s">
        <v>63</v>
      </c>
      <c r="G1722" s="2" t="s">
        <v>3654</v>
      </c>
      <c r="H1722" s="16"/>
      <c r="I1722" s="20"/>
      <c r="J1722" s="20"/>
      <c r="K1722" s="20"/>
      <c r="L1722" s="20"/>
      <c r="M1722" s="20"/>
      <c r="N1722" s="20"/>
      <c r="O1722" s="20"/>
      <c r="P1722" s="20"/>
      <c r="Q1722" s="20"/>
      <c r="R1722" s="20"/>
      <c r="S1722" s="20"/>
      <c r="T1722" s="20"/>
      <c r="U1722" s="20"/>
      <c r="V1722" s="20"/>
      <c r="W1722" s="20"/>
      <c r="X1722" s="20"/>
      <c r="Y1722" s="20"/>
      <c r="Z1722" s="20"/>
      <c r="AA1722" s="20"/>
    </row>
    <row r="1723" spans="1:27" ht="121.8" x14ac:dyDescent="0.25">
      <c r="A1723" s="16"/>
      <c r="B1723" s="20" t="b">
        <f ca="1">IFERROR(__xludf.DUMMYFUNCTION("if(D1723=iferror(filter('Character Sheet'!D$13:D3002,'Character Sheet'!D$13:D3002=D1723),""""),True,False)"),FALSE)</f>
        <v>0</v>
      </c>
      <c r="C1723" s="20">
        <v>200</v>
      </c>
      <c r="D1723" s="2" t="s">
        <v>3655</v>
      </c>
      <c r="E1723" s="2" t="s">
        <v>277</v>
      </c>
      <c r="F1723" s="20" t="s">
        <v>63</v>
      </c>
      <c r="G1723" s="2" t="s">
        <v>3656</v>
      </c>
      <c r="H1723" s="16"/>
      <c r="I1723" s="20"/>
      <c r="J1723" s="20"/>
      <c r="K1723" s="20"/>
      <c r="L1723" s="20"/>
      <c r="M1723" s="20"/>
      <c r="N1723" s="20"/>
      <c r="O1723" s="20"/>
      <c r="P1723" s="20"/>
      <c r="Q1723" s="20"/>
      <c r="R1723" s="20"/>
      <c r="S1723" s="20"/>
      <c r="T1723" s="20"/>
      <c r="U1723" s="20"/>
      <c r="V1723" s="20"/>
      <c r="W1723" s="20"/>
      <c r="X1723" s="20"/>
      <c r="Y1723" s="20"/>
      <c r="Z1723" s="20"/>
      <c r="AA1723" s="20"/>
    </row>
    <row r="1724" spans="1:27" ht="139.19999999999999" x14ac:dyDescent="0.25">
      <c r="A1724" s="16"/>
      <c r="B1724" s="20" t="b">
        <f ca="1">IFERROR(__xludf.DUMMYFUNCTION("if(D1724=iferror(filter('Character Sheet'!D$13:D3002,'Character Sheet'!D$13:D3002=D1724),""""),True,False)"),FALSE)</f>
        <v>0</v>
      </c>
      <c r="C1724" s="20">
        <v>200</v>
      </c>
      <c r="D1724" s="2" t="s">
        <v>3657</v>
      </c>
      <c r="E1724" s="2" t="s">
        <v>2325</v>
      </c>
      <c r="F1724" s="20" t="s">
        <v>63</v>
      </c>
      <c r="G1724" s="2" t="s">
        <v>3658</v>
      </c>
      <c r="H1724" s="16"/>
      <c r="I1724" s="20"/>
      <c r="J1724" s="20"/>
      <c r="K1724" s="20"/>
      <c r="L1724" s="20"/>
      <c r="M1724" s="20"/>
      <c r="N1724" s="20"/>
      <c r="O1724" s="20"/>
      <c r="P1724" s="20"/>
      <c r="Q1724" s="20"/>
      <c r="R1724" s="20"/>
      <c r="S1724" s="20"/>
      <c r="T1724" s="20"/>
      <c r="U1724" s="20"/>
      <c r="V1724" s="20"/>
      <c r="W1724" s="20"/>
      <c r="X1724" s="20"/>
      <c r="Y1724" s="20"/>
      <c r="Z1724" s="20"/>
      <c r="AA1724" s="20"/>
    </row>
    <row r="1725" spans="1:27" ht="156.6" x14ac:dyDescent="0.25">
      <c r="A1725" s="16"/>
      <c r="B1725" s="20" t="b">
        <f ca="1">IFERROR(__xludf.DUMMYFUNCTION("if(D1725=iferror(filter('Character Sheet'!D$13:D3002,'Character Sheet'!D$13:D3002=D1725),""""),True,False)"),FALSE)</f>
        <v>0</v>
      </c>
      <c r="C1725" s="20">
        <v>200</v>
      </c>
      <c r="D1725" s="2" t="s">
        <v>3659</v>
      </c>
      <c r="E1725" s="2" t="s">
        <v>369</v>
      </c>
      <c r="F1725" s="20" t="s">
        <v>63</v>
      </c>
      <c r="G1725" s="2" t="s">
        <v>3660</v>
      </c>
      <c r="H1725" s="16"/>
      <c r="I1725" s="20"/>
      <c r="J1725" s="20"/>
      <c r="K1725" s="20"/>
      <c r="L1725" s="20"/>
      <c r="M1725" s="20"/>
      <c r="N1725" s="20"/>
      <c r="O1725" s="20"/>
      <c r="P1725" s="20"/>
      <c r="Q1725" s="20"/>
      <c r="R1725" s="20"/>
      <c r="S1725" s="20"/>
      <c r="T1725" s="20"/>
      <c r="U1725" s="20"/>
      <c r="V1725" s="20"/>
      <c r="W1725" s="20"/>
      <c r="X1725" s="20"/>
      <c r="Y1725" s="20"/>
      <c r="Z1725" s="20"/>
      <c r="AA1725" s="20"/>
    </row>
    <row r="1726" spans="1:27" ht="104.4" x14ac:dyDescent="0.25">
      <c r="A1726" s="16"/>
      <c r="B1726" s="20" t="b">
        <f ca="1">IFERROR(__xludf.DUMMYFUNCTION("if(D1726=iferror(filter('Character Sheet'!D$13:D3002,'Character Sheet'!D$13:D3002=D1726),""""),True,False)"),FALSE)</f>
        <v>0</v>
      </c>
      <c r="C1726" s="20">
        <v>200</v>
      </c>
      <c r="D1726" s="2" t="s">
        <v>3661</v>
      </c>
      <c r="E1726" s="2" t="s">
        <v>478</v>
      </c>
      <c r="F1726" s="20" t="s">
        <v>63</v>
      </c>
      <c r="G1726" s="2" t="s">
        <v>3662</v>
      </c>
      <c r="H1726" s="16"/>
      <c r="I1726" s="20"/>
      <c r="J1726" s="20"/>
      <c r="K1726" s="20"/>
      <c r="L1726" s="20"/>
      <c r="M1726" s="20"/>
      <c r="N1726" s="20"/>
      <c r="O1726" s="20"/>
      <c r="P1726" s="20"/>
      <c r="Q1726" s="20"/>
      <c r="R1726" s="20"/>
      <c r="S1726" s="20"/>
      <c r="T1726" s="20"/>
      <c r="U1726" s="20"/>
      <c r="V1726" s="20"/>
      <c r="W1726" s="20"/>
      <c r="X1726" s="20"/>
      <c r="Y1726" s="20"/>
      <c r="Z1726" s="20"/>
      <c r="AA1726" s="20"/>
    </row>
    <row r="1727" spans="1:27" ht="87" x14ac:dyDescent="0.25">
      <c r="A1727" s="16"/>
      <c r="B1727" s="20" t="b">
        <f ca="1">IFERROR(__xludf.DUMMYFUNCTION("if(D1727=iferror(filter('Character Sheet'!D$13:D3002,'Character Sheet'!D$13:D3002=D1727),""""),True,False)"),FALSE)</f>
        <v>0</v>
      </c>
      <c r="C1727" s="20">
        <v>200</v>
      </c>
      <c r="D1727" s="2" t="s">
        <v>3663</v>
      </c>
      <c r="E1727" s="2" t="s">
        <v>347</v>
      </c>
      <c r="F1727" s="20" t="s">
        <v>63</v>
      </c>
      <c r="G1727" s="2" t="s">
        <v>3664</v>
      </c>
      <c r="H1727" s="16"/>
      <c r="I1727" s="20"/>
      <c r="J1727" s="20"/>
      <c r="K1727" s="20"/>
      <c r="L1727" s="20"/>
      <c r="M1727" s="20"/>
      <c r="N1727" s="20"/>
      <c r="O1727" s="20"/>
      <c r="P1727" s="20"/>
      <c r="Q1727" s="20"/>
      <c r="R1727" s="20"/>
      <c r="S1727" s="20"/>
      <c r="T1727" s="20"/>
      <c r="U1727" s="20"/>
      <c r="V1727" s="20"/>
      <c r="W1727" s="20"/>
      <c r="X1727" s="20"/>
      <c r="Y1727" s="20"/>
      <c r="Z1727" s="20"/>
      <c r="AA1727" s="20"/>
    </row>
    <row r="1728" spans="1:27" ht="52.2" x14ac:dyDescent="0.25">
      <c r="A1728" s="16"/>
      <c r="B1728" s="20" t="b">
        <f ca="1">IFERROR(__xludf.DUMMYFUNCTION("if(D1728=iferror(filter('Character Sheet'!D$13:D3002,'Character Sheet'!D$13:D3002=D1728),""""),True,False)"),FALSE)</f>
        <v>0</v>
      </c>
      <c r="C1728" s="20">
        <v>200</v>
      </c>
      <c r="D1728" s="2" t="s">
        <v>3665</v>
      </c>
      <c r="E1728" s="2" t="s">
        <v>917</v>
      </c>
      <c r="F1728" s="20" t="s">
        <v>63</v>
      </c>
      <c r="G1728" s="2" t="s">
        <v>3666</v>
      </c>
      <c r="H1728" s="16"/>
      <c r="I1728" s="20"/>
      <c r="J1728" s="20"/>
      <c r="K1728" s="20"/>
      <c r="L1728" s="20"/>
      <c r="M1728" s="20"/>
      <c r="N1728" s="20"/>
      <c r="O1728" s="20"/>
      <c r="P1728" s="20"/>
      <c r="Q1728" s="20"/>
      <c r="R1728" s="20"/>
      <c r="S1728" s="20"/>
      <c r="T1728" s="20"/>
      <c r="U1728" s="20"/>
      <c r="V1728" s="20"/>
      <c r="W1728" s="20"/>
      <c r="X1728" s="20"/>
      <c r="Y1728" s="20"/>
      <c r="Z1728" s="20"/>
      <c r="AA1728" s="20"/>
    </row>
    <row r="1729" spans="1:27" ht="243.6" x14ac:dyDescent="0.25">
      <c r="A1729" s="16"/>
      <c r="B1729" s="20" t="b">
        <f ca="1">IFERROR(__xludf.DUMMYFUNCTION("if(D1729=iferror(filter('Character Sheet'!D$13:D3002,'Character Sheet'!D$13:D3002=D1729),""""),True,False)"),FALSE)</f>
        <v>0</v>
      </c>
      <c r="C1729" s="20">
        <v>200</v>
      </c>
      <c r="D1729" s="2" t="s">
        <v>3667</v>
      </c>
      <c r="E1729" s="2" t="s">
        <v>230</v>
      </c>
      <c r="F1729" s="20" t="s">
        <v>63</v>
      </c>
      <c r="G1729" s="2" t="s">
        <v>3668</v>
      </c>
      <c r="H1729" s="16"/>
      <c r="I1729" s="20"/>
      <c r="J1729" s="20"/>
      <c r="K1729" s="20"/>
      <c r="L1729" s="20"/>
      <c r="M1729" s="20"/>
      <c r="N1729" s="20"/>
      <c r="O1729" s="20"/>
      <c r="P1729" s="20"/>
      <c r="Q1729" s="20"/>
      <c r="R1729" s="20"/>
      <c r="S1729" s="20"/>
      <c r="T1729" s="20"/>
      <c r="U1729" s="20"/>
      <c r="V1729" s="20"/>
      <c r="W1729" s="20"/>
      <c r="X1729" s="20"/>
      <c r="Y1729" s="20"/>
      <c r="Z1729" s="20"/>
      <c r="AA1729" s="20"/>
    </row>
    <row r="1730" spans="1:27" ht="69.599999999999994" x14ac:dyDescent="0.25">
      <c r="A1730" s="16"/>
      <c r="B1730" s="20" t="b">
        <f ca="1">IFERROR(__xludf.DUMMYFUNCTION("if(D1730=iferror(filter('Character Sheet'!D$13:D3002,'Character Sheet'!D$13:D3002=D1730),""""),True,False)"),FALSE)</f>
        <v>0</v>
      </c>
      <c r="C1730" s="20">
        <v>200</v>
      </c>
      <c r="D1730" s="2" t="s">
        <v>3669</v>
      </c>
      <c r="E1730" s="2" t="s">
        <v>288</v>
      </c>
      <c r="F1730" s="20" t="s">
        <v>63</v>
      </c>
      <c r="G1730" s="2" t="s">
        <v>3670</v>
      </c>
      <c r="H1730" s="16"/>
      <c r="I1730" s="20"/>
      <c r="J1730" s="20"/>
      <c r="K1730" s="20"/>
      <c r="L1730" s="20"/>
      <c r="M1730" s="20"/>
      <c r="N1730" s="20"/>
      <c r="O1730" s="20"/>
      <c r="P1730" s="20"/>
      <c r="Q1730" s="20"/>
      <c r="R1730" s="20"/>
      <c r="S1730" s="20"/>
      <c r="T1730" s="20"/>
      <c r="U1730" s="20"/>
      <c r="V1730" s="20"/>
      <c r="W1730" s="20"/>
      <c r="X1730" s="20"/>
      <c r="Y1730" s="20"/>
      <c r="Z1730" s="20"/>
      <c r="AA1730" s="20"/>
    </row>
    <row r="1731" spans="1:27" ht="69.599999999999994" x14ac:dyDescent="0.25">
      <c r="A1731" s="16"/>
      <c r="B1731" s="20" t="b">
        <f ca="1">IFERROR(__xludf.DUMMYFUNCTION("if(D1731=iferror(filter('Character Sheet'!D$13:D3002,'Character Sheet'!D$13:D3002=D1731),""""),True,False)"),FALSE)</f>
        <v>0</v>
      </c>
      <c r="C1731" s="20">
        <v>200</v>
      </c>
      <c r="D1731" s="2" t="s">
        <v>3671</v>
      </c>
      <c r="E1731" s="2" t="s">
        <v>361</v>
      </c>
      <c r="F1731" s="20" t="s">
        <v>63</v>
      </c>
      <c r="G1731" s="2" t="s">
        <v>3672</v>
      </c>
      <c r="H1731" s="16"/>
      <c r="I1731" s="20"/>
      <c r="J1731" s="20"/>
      <c r="K1731" s="20"/>
      <c r="L1731" s="20"/>
      <c r="M1731" s="20"/>
      <c r="N1731" s="20"/>
      <c r="O1731" s="20"/>
      <c r="P1731" s="20"/>
      <c r="Q1731" s="20"/>
      <c r="R1731" s="20"/>
      <c r="S1731" s="20"/>
      <c r="T1731" s="20"/>
      <c r="U1731" s="20"/>
      <c r="V1731" s="20"/>
      <c r="W1731" s="20"/>
      <c r="X1731" s="20"/>
      <c r="Y1731" s="20"/>
      <c r="Z1731" s="20"/>
      <c r="AA1731" s="20"/>
    </row>
    <row r="1732" spans="1:27" ht="69.599999999999994" x14ac:dyDescent="0.25">
      <c r="A1732" s="16"/>
      <c r="B1732" s="20" t="b">
        <f ca="1">IFERROR(__xludf.DUMMYFUNCTION("if(D1732=iferror(filter('Character Sheet'!D$13:D3002,'Character Sheet'!D$13:D3002=D1732),""""),True,False)"),FALSE)</f>
        <v>0</v>
      </c>
      <c r="C1732" s="20">
        <v>200</v>
      </c>
      <c r="D1732" s="2" t="s">
        <v>3673</v>
      </c>
      <c r="E1732" s="2" t="s">
        <v>711</v>
      </c>
      <c r="F1732" s="20" t="s">
        <v>63</v>
      </c>
      <c r="G1732" s="2" t="s">
        <v>3674</v>
      </c>
      <c r="H1732" s="16"/>
      <c r="I1732" s="20"/>
      <c r="J1732" s="20"/>
      <c r="K1732" s="20"/>
      <c r="L1732" s="20"/>
      <c r="M1732" s="20"/>
      <c r="N1732" s="20"/>
      <c r="O1732" s="20"/>
      <c r="P1732" s="20"/>
      <c r="Q1732" s="20"/>
      <c r="R1732" s="20"/>
      <c r="S1732" s="20"/>
      <c r="T1732" s="20"/>
      <c r="U1732" s="20"/>
      <c r="V1732" s="20"/>
      <c r="W1732" s="20"/>
      <c r="X1732" s="20"/>
      <c r="Y1732" s="20"/>
      <c r="Z1732" s="20"/>
      <c r="AA1732" s="20"/>
    </row>
    <row r="1733" spans="1:27" ht="191.4" x14ac:dyDescent="0.25">
      <c r="A1733" s="16"/>
      <c r="B1733" s="20" t="b">
        <f ca="1">IFERROR(__xludf.DUMMYFUNCTION("if(D1733=iferror(filter('Character Sheet'!D$13:D3002,'Character Sheet'!D$13:D3002=D1733),""""),True,False)"),FALSE)</f>
        <v>0</v>
      </c>
      <c r="C1733" s="20">
        <v>200</v>
      </c>
      <c r="D1733" s="2" t="s">
        <v>3675</v>
      </c>
      <c r="E1733" s="2" t="s">
        <v>124</v>
      </c>
      <c r="F1733" s="20" t="s">
        <v>63</v>
      </c>
      <c r="G1733" s="2" t="s">
        <v>3676</v>
      </c>
      <c r="H1733" s="16"/>
      <c r="I1733" s="20"/>
      <c r="J1733" s="20"/>
      <c r="K1733" s="20"/>
      <c r="L1733" s="20"/>
      <c r="M1733" s="20"/>
      <c r="N1733" s="20"/>
      <c r="O1733" s="20"/>
      <c r="P1733" s="20"/>
      <c r="Q1733" s="20"/>
      <c r="R1733" s="20"/>
      <c r="S1733" s="20"/>
      <c r="T1733" s="20"/>
      <c r="U1733" s="20"/>
      <c r="V1733" s="20"/>
      <c r="W1733" s="20"/>
      <c r="X1733" s="20"/>
      <c r="Y1733" s="20"/>
      <c r="Z1733" s="20"/>
      <c r="AA1733" s="20"/>
    </row>
    <row r="1734" spans="1:27" ht="174" x14ac:dyDescent="0.25">
      <c r="A1734" s="16"/>
      <c r="B1734" s="20" t="b">
        <f ca="1">IFERROR(__xludf.DUMMYFUNCTION("if(D1734=iferror(filter('Character Sheet'!D$13:D3002,'Character Sheet'!D$13:D3002=D1734),""""),True,False)"),FALSE)</f>
        <v>0</v>
      </c>
      <c r="C1734" s="20">
        <v>200</v>
      </c>
      <c r="D1734" s="2" t="s">
        <v>3677</v>
      </c>
      <c r="E1734" s="2" t="s">
        <v>970</v>
      </c>
      <c r="F1734" s="20" t="s">
        <v>63</v>
      </c>
      <c r="G1734" s="2" t="s">
        <v>3678</v>
      </c>
      <c r="H1734" s="16"/>
      <c r="I1734" s="20"/>
      <c r="J1734" s="20"/>
      <c r="K1734" s="20"/>
      <c r="L1734" s="20"/>
      <c r="M1734" s="20"/>
      <c r="N1734" s="20"/>
      <c r="O1734" s="20"/>
      <c r="P1734" s="20"/>
      <c r="Q1734" s="20"/>
      <c r="R1734" s="20"/>
      <c r="S1734" s="20"/>
      <c r="T1734" s="20"/>
      <c r="U1734" s="20"/>
      <c r="V1734" s="20"/>
      <c r="W1734" s="20"/>
      <c r="X1734" s="20"/>
      <c r="Y1734" s="20"/>
      <c r="Z1734" s="20"/>
      <c r="AA1734" s="20"/>
    </row>
    <row r="1735" spans="1:27" ht="226.2" x14ac:dyDescent="0.25">
      <c r="A1735" s="16"/>
      <c r="B1735" s="20" t="b">
        <f ca="1">IFERROR(__xludf.DUMMYFUNCTION("if(D1735=iferror(filter('Character Sheet'!D$13:D3002,'Character Sheet'!D$13:D3002=D1735),""""),True,False)"),FALSE)</f>
        <v>0</v>
      </c>
      <c r="C1735" s="20">
        <v>200</v>
      </c>
      <c r="D1735" s="2" t="s">
        <v>3679</v>
      </c>
      <c r="E1735" s="2" t="s">
        <v>124</v>
      </c>
      <c r="F1735" s="20" t="s">
        <v>63</v>
      </c>
      <c r="G1735" s="2" t="s">
        <v>3680</v>
      </c>
      <c r="H1735" s="16"/>
      <c r="I1735" s="20"/>
      <c r="J1735" s="20"/>
      <c r="K1735" s="20"/>
      <c r="L1735" s="20"/>
      <c r="M1735" s="20"/>
      <c r="N1735" s="20"/>
      <c r="O1735" s="20"/>
      <c r="P1735" s="20"/>
      <c r="Q1735" s="20"/>
      <c r="R1735" s="20"/>
      <c r="S1735" s="20"/>
      <c r="T1735" s="20"/>
      <c r="U1735" s="20"/>
      <c r="V1735" s="20"/>
      <c r="W1735" s="20"/>
      <c r="X1735" s="20"/>
      <c r="Y1735" s="20"/>
      <c r="Z1735" s="20"/>
      <c r="AA1735" s="20"/>
    </row>
    <row r="1736" spans="1:27" ht="208.8" x14ac:dyDescent="0.25">
      <c r="A1736" s="16"/>
      <c r="B1736" s="20" t="b">
        <f ca="1">IFERROR(__xludf.DUMMYFUNCTION("if(D1736=iferror(filter('Character Sheet'!D$13:D3002,'Character Sheet'!D$13:D3002=D1736),""""),True,False)"),FALSE)</f>
        <v>0</v>
      </c>
      <c r="C1736" s="20">
        <v>200</v>
      </c>
      <c r="D1736" s="2" t="s">
        <v>3681</v>
      </c>
      <c r="E1736" s="2" t="s">
        <v>924</v>
      </c>
      <c r="F1736" s="20" t="s">
        <v>63</v>
      </c>
      <c r="G1736" s="2" t="s">
        <v>3682</v>
      </c>
      <c r="H1736" s="16"/>
      <c r="I1736" s="20"/>
      <c r="J1736" s="20"/>
      <c r="K1736" s="20"/>
      <c r="L1736" s="20"/>
      <c r="M1736" s="20"/>
      <c r="N1736" s="20"/>
      <c r="O1736" s="20"/>
      <c r="P1736" s="20"/>
      <c r="Q1736" s="20"/>
      <c r="R1736" s="20"/>
      <c r="S1736" s="20"/>
      <c r="T1736" s="20"/>
      <c r="U1736" s="20"/>
      <c r="V1736" s="20"/>
      <c r="W1736" s="20"/>
      <c r="X1736" s="20"/>
      <c r="Y1736" s="20"/>
      <c r="Z1736" s="20"/>
      <c r="AA1736" s="20"/>
    </row>
    <row r="1737" spans="1:27" ht="69.599999999999994" x14ac:dyDescent="0.25">
      <c r="A1737" s="16"/>
      <c r="B1737" s="20" t="b">
        <f ca="1">IFERROR(__xludf.DUMMYFUNCTION("if(D1737=iferror(filter('Character Sheet'!D$13:D3002,'Character Sheet'!D$13:D3002=D1737),""""),True,False)"),FALSE)</f>
        <v>0</v>
      </c>
      <c r="C1737" s="20">
        <v>200</v>
      </c>
      <c r="D1737" s="2" t="s">
        <v>3683</v>
      </c>
      <c r="E1737" s="2" t="s">
        <v>391</v>
      </c>
      <c r="F1737" s="20" t="s">
        <v>63</v>
      </c>
      <c r="G1737" s="2" t="s">
        <v>3684</v>
      </c>
      <c r="H1737" s="16"/>
      <c r="I1737" s="20"/>
      <c r="J1737" s="20"/>
      <c r="K1737" s="20"/>
      <c r="L1737" s="20"/>
      <c r="M1737" s="20"/>
      <c r="N1737" s="20"/>
      <c r="O1737" s="20"/>
      <c r="P1737" s="20"/>
      <c r="Q1737" s="20"/>
      <c r="R1737" s="20"/>
      <c r="S1737" s="20"/>
      <c r="T1737" s="20"/>
      <c r="U1737" s="20"/>
      <c r="V1737" s="20"/>
      <c r="W1737" s="20"/>
      <c r="X1737" s="20"/>
      <c r="Y1737" s="20"/>
      <c r="Z1737" s="20"/>
      <c r="AA1737" s="20"/>
    </row>
    <row r="1738" spans="1:27" ht="174" x14ac:dyDescent="0.25">
      <c r="A1738" s="16"/>
      <c r="B1738" s="20" t="b">
        <f ca="1">IFERROR(__xludf.DUMMYFUNCTION("if(D1738=iferror(filter('Character Sheet'!D$13:D3002,'Character Sheet'!D$13:D3002=D1738),""""),True,False)"),FALSE)</f>
        <v>0</v>
      </c>
      <c r="C1738" s="20">
        <v>200</v>
      </c>
      <c r="D1738" s="2" t="s">
        <v>3685</v>
      </c>
      <c r="E1738" s="2" t="s">
        <v>3317</v>
      </c>
      <c r="F1738" s="20" t="s">
        <v>63</v>
      </c>
      <c r="G1738" s="2" t="s">
        <v>3686</v>
      </c>
      <c r="H1738" s="16"/>
      <c r="I1738" s="20"/>
      <c r="J1738" s="20"/>
      <c r="K1738" s="20"/>
      <c r="L1738" s="20"/>
      <c r="M1738" s="20"/>
      <c r="N1738" s="20"/>
      <c r="O1738" s="20"/>
      <c r="P1738" s="20"/>
      <c r="Q1738" s="20"/>
      <c r="R1738" s="20"/>
      <c r="S1738" s="20"/>
      <c r="T1738" s="20"/>
      <c r="U1738" s="20"/>
      <c r="V1738" s="20"/>
      <c r="W1738" s="20"/>
      <c r="X1738" s="20"/>
      <c r="Y1738" s="20"/>
      <c r="Z1738" s="20"/>
      <c r="AA1738" s="20"/>
    </row>
    <row r="1739" spans="1:27" ht="69.599999999999994" x14ac:dyDescent="0.25">
      <c r="A1739" s="16"/>
      <c r="B1739" s="20" t="b">
        <f ca="1">IFERROR(__xludf.DUMMYFUNCTION("if(D1739=iferror(filter('Character Sheet'!D$13:D3002,'Character Sheet'!D$13:D3002=D1739),""""),True,False)"),FALSE)</f>
        <v>0</v>
      </c>
      <c r="C1739" s="20">
        <v>200</v>
      </c>
      <c r="D1739" s="2" t="s">
        <v>3687</v>
      </c>
      <c r="E1739" s="2" t="s">
        <v>637</v>
      </c>
      <c r="F1739" s="20" t="s">
        <v>63</v>
      </c>
      <c r="G1739" s="2" t="s">
        <v>3688</v>
      </c>
      <c r="H1739" s="16"/>
      <c r="I1739" s="20"/>
      <c r="J1739" s="20"/>
      <c r="K1739" s="20"/>
      <c r="L1739" s="20"/>
      <c r="M1739" s="20"/>
      <c r="N1739" s="20"/>
      <c r="O1739" s="20"/>
      <c r="P1739" s="20"/>
      <c r="Q1739" s="20"/>
      <c r="R1739" s="20"/>
      <c r="S1739" s="20"/>
      <c r="T1739" s="20"/>
      <c r="U1739" s="20"/>
      <c r="V1739" s="20"/>
      <c r="W1739" s="20"/>
      <c r="X1739" s="20"/>
      <c r="Y1739" s="20"/>
      <c r="Z1739" s="20"/>
      <c r="AA1739" s="20"/>
    </row>
    <row r="1740" spans="1:27" ht="87" x14ac:dyDescent="0.25">
      <c r="A1740" s="16"/>
      <c r="B1740" s="20" t="b">
        <f ca="1">IFERROR(__xludf.DUMMYFUNCTION("if(D1740=iferror(filter('Character Sheet'!D$13:D3002,'Character Sheet'!D$13:D3002=D1740),""""),True,False)"),FALSE)</f>
        <v>0</v>
      </c>
      <c r="C1740" s="20">
        <v>200</v>
      </c>
      <c r="D1740" s="2" t="s">
        <v>3689</v>
      </c>
      <c r="E1740" s="2" t="s">
        <v>262</v>
      </c>
      <c r="F1740" s="20" t="s">
        <v>63</v>
      </c>
      <c r="G1740" s="2" t="s">
        <v>3690</v>
      </c>
      <c r="H1740" s="16"/>
      <c r="I1740" s="20"/>
      <c r="J1740" s="20"/>
      <c r="K1740" s="20"/>
      <c r="L1740" s="20"/>
      <c r="M1740" s="20"/>
      <c r="N1740" s="20"/>
      <c r="O1740" s="20"/>
      <c r="P1740" s="20"/>
      <c r="Q1740" s="20"/>
      <c r="R1740" s="20"/>
      <c r="S1740" s="20"/>
      <c r="T1740" s="20"/>
      <c r="U1740" s="20"/>
      <c r="V1740" s="20"/>
      <c r="W1740" s="20"/>
      <c r="X1740" s="20"/>
      <c r="Y1740" s="20"/>
      <c r="Z1740" s="20"/>
      <c r="AA1740" s="20"/>
    </row>
    <row r="1741" spans="1:27" ht="104.4" x14ac:dyDescent="0.25">
      <c r="A1741" s="16"/>
      <c r="B1741" s="20" t="b">
        <f ca="1">IFERROR(__xludf.DUMMYFUNCTION("if(D1741=iferror(filter('Character Sheet'!D$13:D3002,'Character Sheet'!D$13:D3002=D1741),""""),True,False)"),FALSE)</f>
        <v>0</v>
      </c>
      <c r="C1741" s="20">
        <v>200</v>
      </c>
      <c r="D1741" s="2" t="s">
        <v>3691</v>
      </c>
      <c r="E1741" s="2" t="s">
        <v>268</v>
      </c>
      <c r="F1741" s="20" t="s">
        <v>63</v>
      </c>
      <c r="G1741" s="2" t="s">
        <v>3692</v>
      </c>
      <c r="H1741" s="16"/>
      <c r="I1741" s="20"/>
      <c r="J1741" s="20"/>
      <c r="K1741" s="20"/>
      <c r="L1741" s="20"/>
      <c r="M1741" s="20"/>
      <c r="N1741" s="20"/>
      <c r="O1741" s="20"/>
      <c r="P1741" s="20"/>
      <c r="Q1741" s="20"/>
      <c r="R1741" s="20"/>
      <c r="S1741" s="20"/>
      <c r="T1741" s="20"/>
      <c r="U1741" s="20"/>
      <c r="V1741" s="20"/>
      <c r="W1741" s="20"/>
      <c r="X1741" s="20"/>
      <c r="Y1741" s="20"/>
      <c r="Z1741" s="20"/>
      <c r="AA1741" s="20"/>
    </row>
    <row r="1742" spans="1:27" ht="121.8" x14ac:dyDescent="0.25">
      <c r="A1742" s="16"/>
      <c r="B1742" s="20" t="b">
        <f ca="1">IFERROR(__xludf.DUMMYFUNCTION("if(D1742=iferror(filter('Character Sheet'!D$13:D3002,'Character Sheet'!D$13:D3002=D1742),""""),True,False)"),FALSE)</f>
        <v>0</v>
      </c>
      <c r="C1742" s="20">
        <v>200</v>
      </c>
      <c r="D1742" s="2" t="s">
        <v>3693</v>
      </c>
      <c r="E1742" s="2" t="s">
        <v>894</v>
      </c>
      <c r="F1742" s="20" t="s">
        <v>63</v>
      </c>
      <c r="G1742" s="2" t="s">
        <v>3694</v>
      </c>
      <c r="H1742" s="16"/>
      <c r="I1742" s="20"/>
      <c r="J1742" s="20"/>
      <c r="K1742" s="20"/>
      <c r="L1742" s="20"/>
      <c r="M1742" s="20"/>
      <c r="N1742" s="20"/>
      <c r="O1742" s="20"/>
      <c r="P1742" s="20"/>
      <c r="Q1742" s="20"/>
      <c r="R1742" s="20"/>
      <c r="S1742" s="20"/>
      <c r="T1742" s="20"/>
      <c r="U1742" s="20"/>
      <c r="V1742" s="20"/>
      <c r="W1742" s="20"/>
      <c r="X1742" s="20"/>
      <c r="Y1742" s="20"/>
      <c r="Z1742" s="20"/>
      <c r="AA1742" s="20"/>
    </row>
    <row r="1743" spans="1:27" ht="174" x14ac:dyDescent="0.25">
      <c r="A1743" s="16"/>
      <c r="B1743" s="20" t="b">
        <f ca="1">IFERROR(__xludf.DUMMYFUNCTION("if(D1743=iferror(filter('Character Sheet'!D$13:D3002,'Character Sheet'!D$13:D3002=D1743),""""),True,False)"),FALSE)</f>
        <v>0</v>
      </c>
      <c r="C1743" s="20">
        <v>200</v>
      </c>
      <c r="D1743" s="2" t="s">
        <v>3695</v>
      </c>
      <c r="E1743" s="2" t="s">
        <v>924</v>
      </c>
      <c r="F1743" s="20" t="s">
        <v>63</v>
      </c>
      <c r="G1743" s="2" t="s">
        <v>3696</v>
      </c>
      <c r="H1743" s="16"/>
      <c r="I1743" s="20"/>
      <c r="J1743" s="20"/>
      <c r="K1743" s="20"/>
      <c r="L1743" s="20"/>
      <c r="M1743" s="20"/>
      <c r="N1743" s="20"/>
      <c r="O1743" s="20"/>
      <c r="P1743" s="20"/>
      <c r="Q1743" s="20"/>
      <c r="R1743" s="20"/>
      <c r="S1743" s="20"/>
      <c r="T1743" s="20"/>
      <c r="U1743" s="20"/>
      <c r="V1743" s="20"/>
      <c r="W1743" s="20"/>
      <c r="X1743" s="20"/>
      <c r="Y1743" s="20"/>
      <c r="Z1743" s="20"/>
      <c r="AA1743" s="20"/>
    </row>
    <row r="1744" spans="1:27" ht="121.8" x14ac:dyDescent="0.25">
      <c r="A1744" s="16"/>
      <c r="B1744" s="20" t="b">
        <f ca="1">IFERROR(__xludf.DUMMYFUNCTION("if(D1744=iferror(filter('Character Sheet'!D$13:D3002,'Character Sheet'!D$13:D3002=D1744),""""),True,False)"),FALSE)</f>
        <v>0</v>
      </c>
      <c r="C1744" s="20">
        <v>200</v>
      </c>
      <c r="D1744" s="2" t="s">
        <v>3697</v>
      </c>
      <c r="E1744" s="2" t="s">
        <v>539</v>
      </c>
      <c r="F1744" s="20" t="s">
        <v>63</v>
      </c>
      <c r="G1744" s="2" t="s">
        <v>3698</v>
      </c>
      <c r="H1744" s="16"/>
      <c r="I1744" s="20"/>
      <c r="J1744" s="20"/>
      <c r="K1744" s="20"/>
      <c r="L1744" s="20"/>
      <c r="M1744" s="20"/>
      <c r="N1744" s="20"/>
      <c r="O1744" s="20"/>
      <c r="P1744" s="20"/>
      <c r="Q1744" s="20"/>
      <c r="R1744" s="20"/>
      <c r="S1744" s="20"/>
      <c r="T1744" s="20"/>
      <c r="U1744" s="20"/>
      <c r="V1744" s="20"/>
      <c r="W1744" s="20"/>
      <c r="X1744" s="20"/>
      <c r="Y1744" s="20"/>
      <c r="Z1744" s="20"/>
      <c r="AA1744" s="20"/>
    </row>
    <row r="1745" spans="1:27" ht="87" x14ac:dyDescent="0.25">
      <c r="A1745" s="16"/>
      <c r="B1745" s="20" t="b">
        <f ca="1">IFERROR(__xludf.DUMMYFUNCTION("if(D1745=iferror(filter('Character Sheet'!D$13:D3002,'Character Sheet'!D$13:D3002=D1745),""""),True,False)"),FALSE)</f>
        <v>0</v>
      </c>
      <c r="C1745" s="20">
        <v>200</v>
      </c>
      <c r="D1745" s="2" t="s">
        <v>3699</v>
      </c>
      <c r="E1745" s="2" t="s">
        <v>238</v>
      </c>
      <c r="F1745" s="20" t="s">
        <v>63</v>
      </c>
      <c r="G1745" s="2" t="s">
        <v>3700</v>
      </c>
      <c r="H1745" s="16"/>
      <c r="I1745" s="20"/>
      <c r="J1745" s="20"/>
      <c r="K1745" s="20"/>
      <c r="L1745" s="20"/>
      <c r="M1745" s="20"/>
      <c r="N1745" s="20"/>
      <c r="O1745" s="20"/>
      <c r="P1745" s="20"/>
      <c r="Q1745" s="20"/>
      <c r="R1745" s="20"/>
      <c r="S1745" s="20"/>
      <c r="T1745" s="20"/>
      <c r="U1745" s="20"/>
      <c r="V1745" s="20"/>
      <c r="W1745" s="20"/>
      <c r="X1745" s="20"/>
      <c r="Y1745" s="20"/>
      <c r="Z1745" s="20"/>
      <c r="AA1745" s="20"/>
    </row>
    <row r="1746" spans="1:27" ht="313.2" x14ac:dyDescent="0.25">
      <c r="A1746" s="16"/>
      <c r="B1746" s="20" t="b">
        <f ca="1">IFERROR(__xludf.DUMMYFUNCTION("if(D1746=iferror(filter('Character Sheet'!D$13:D3002,'Character Sheet'!D$13:D3002=D1746),""""),True,False)"),FALSE)</f>
        <v>0</v>
      </c>
      <c r="C1746" s="20">
        <v>200</v>
      </c>
      <c r="D1746" s="2" t="s">
        <v>3701</v>
      </c>
      <c r="E1746" s="2" t="s">
        <v>253</v>
      </c>
      <c r="F1746" s="20" t="s">
        <v>63</v>
      </c>
      <c r="G1746" s="2" t="s">
        <v>3702</v>
      </c>
      <c r="H1746" s="16"/>
      <c r="I1746" s="20"/>
      <c r="J1746" s="20"/>
      <c r="K1746" s="20"/>
      <c r="L1746" s="20"/>
      <c r="M1746" s="20"/>
      <c r="N1746" s="20"/>
      <c r="O1746" s="20"/>
      <c r="P1746" s="20"/>
      <c r="Q1746" s="20"/>
      <c r="R1746" s="20"/>
      <c r="S1746" s="20"/>
      <c r="T1746" s="20"/>
      <c r="U1746" s="20"/>
      <c r="V1746" s="20"/>
      <c r="W1746" s="20"/>
      <c r="X1746" s="20"/>
      <c r="Y1746" s="20"/>
      <c r="Z1746" s="20"/>
      <c r="AA1746" s="20"/>
    </row>
    <row r="1747" spans="1:27" ht="174" x14ac:dyDescent="0.25">
      <c r="A1747" s="16"/>
      <c r="B1747" s="20" t="b">
        <f ca="1">IFERROR(__xludf.DUMMYFUNCTION("if(D1747=iferror(filter('Character Sheet'!D$13:D3002,'Character Sheet'!D$13:D3002=D1747),""""),True,False)"),FALSE)</f>
        <v>0</v>
      </c>
      <c r="C1747" s="20">
        <v>200</v>
      </c>
      <c r="D1747" s="2" t="s">
        <v>3703</v>
      </c>
      <c r="E1747" s="2" t="s">
        <v>381</v>
      </c>
      <c r="F1747" s="20" t="s">
        <v>63</v>
      </c>
      <c r="G1747" s="2" t="s">
        <v>3704</v>
      </c>
      <c r="H1747" s="16"/>
      <c r="I1747" s="20"/>
      <c r="J1747" s="20"/>
      <c r="K1747" s="20"/>
      <c r="L1747" s="20"/>
      <c r="M1747" s="20"/>
      <c r="N1747" s="20"/>
      <c r="O1747" s="20"/>
      <c r="P1747" s="20"/>
      <c r="Q1747" s="20"/>
      <c r="R1747" s="20"/>
      <c r="S1747" s="20"/>
      <c r="T1747" s="20"/>
      <c r="U1747" s="20"/>
      <c r="V1747" s="20"/>
      <c r="W1747" s="20"/>
      <c r="X1747" s="20"/>
      <c r="Y1747" s="20"/>
      <c r="Z1747" s="20"/>
      <c r="AA1747" s="20"/>
    </row>
    <row r="1748" spans="1:27" ht="156.6" x14ac:dyDescent="0.25">
      <c r="A1748" s="16"/>
      <c r="B1748" s="20" t="b">
        <f ca="1">IFERROR(__xludf.DUMMYFUNCTION("if(D1748=iferror(filter('Character Sheet'!D$13:D3002,'Character Sheet'!D$13:D3002=D1748),""""),True,False)"),FALSE)</f>
        <v>0</v>
      </c>
      <c r="C1748" s="20">
        <v>200</v>
      </c>
      <c r="D1748" s="2" t="s">
        <v>3705</v>
      </c>
      <c r="E1748" s="2" t="s">
        <v>534</v>
      </c>
      <c r="F1748" s="20" t="s">
        <v>63</v>
      </c>
      <c r="G1748" s="2" t="s">
        <v>3706</v>
      </c>
      <c r="H1748" s="16"/>
      <c r="I1748" s="20"/>
      <c r="J1748" s="20"/>
      <c r="K1748" s="20"/>
      <c r="L1748" s="20"/>
      <c r="M1748" s="20"/>
      <c r="N1748" s="20"/>
      <c r="O1748" s="20"/>
      <c r="P1748" s="20"/>
      <c r="Q1748" s="20"/>
      <c r="R1748" s="20"/>
      <c r="S1748" s="20"/>
      <c r="T1748" s="20"/>
      <c r="U1748" s="20"/>
      <c r="V1748" s="20"/>
      <c r="W1748" s="20"/>
      <c r="X1748" s="20"/>
      <c r="Y1748" s="20"/>
      <c r="Z1748" s="20"/>
      <c r="AA1748" s="20"/>
    </row>
    <row r="1749" spans="1:27" ht="87" x14ac:dyDescent="0.25">
      <c r="A1749" s="16"/>
      <c r="B1749" s="20" t="b">
        <f ca="1">IFERROR(__xludf.DUMMYFUNCTION("if(D1749=iferror(filter('Character Sheet'!D$13:D3002,'Character Sheet'!D$13:D3002=D1749),""""),True,False)"),FALSE)</f>
        <v>0</v>
      </c>
      <c r="C1749" s="20">
        <v>200</v>
      </c>
      <c r="D1749" s="2" t="s">
        <v>3707</v>
      </c>
      <c r="E1749" s="2" t="s">
        <v>358</v>
      </c>
      <c r="F1749" s="20" t="s">
        <v>63</v>
      </c>
      <c r="G1749" s="2" t="s">
        <v>3708</v>
      </c>
      <c r="H1749" s="16"/>
      <c r="I1749" s="20"/>
      <c r="J1749" s="20"/>
      <c r="K1749" s="20"/>
      <c r="L1749" s="20"/>
      <c r="M1749" s="20"/>
      <c r="N1749" s="20"/>
      <c r="O1749" s="20"/>
      <c r="P1749" s="20"/>
      <c r="Q1749" s="20"/>
      <c r="R1749" s="20"/>
      <c r="S1749" s="20"/>
      <c r="T1749" s="20"/>
      <c r="U1749" s="20"/>
      <c r="V1749" s="20"/>
      <c r="W1749" s="20"/>
      <c r="X1749" s="20"/>
      <c r="Y1749" s="20"/>
      <c r="Z1749" s="20"/>
      <c r="AA1749" s="20"/>
    </row>
    <row r="1750" spans="1:27" ht="104.4" x14ac:dyDescent="0.25">
      <c r="A1750" s="16"/>
      <c r="B1750" s="20" t="b">
        <f ca="1">IFERROR(__xludf.DUMMYFUNCTION("if(D1750=iferror(filter('Character Sheet'!D$13:D3002,'Character Sheet'!D$13:D3002=D1750),""""),True,False)"),FALSE)</f>
        <v>0</v>
      </c>
      <c r="C1750" s="20">
        <v>200</v>
      </c>
      <c r="D1750" s="2" t="s">
        <v>3709</v>
      </c>
      <c r="E1750" s="2" t="s">
        <v>285</v>
      </c>
      <c r="F1750" s="20" t="s">
        <v>63</v>
      </c>
      <c r="G1750" s="2" t="s">
        <v>3710</v>
      </c>
      <c r="H1750" s="16"/>
      <c r="I1750" s="20"/>
      <c r="J1750" s="20"/>
      <c r="K1750" s="20"/>
      <c r="L1750" s="20"/>
      <c r="M1750" s="20"/>
      <c r="N1750" s="20"/>
      <c r="O1750" s="20"/>
      <c r="P1750" s="20"/>
      <c r="Q1750" s="20"/>
      <c r="R1750" s="20"/>
      <c r="S1750" s="20"/>
      <c r="T1750" s="20"/>
      <c r="U1750" s="20"/>
      <c r="V1750" s="20"/>
      <c r="W1750" s="20"/>
      <c r="X1750" s="20"/>
      <c r="Y1750" s="20"/>
      <c r="Z1750" s="20"/>
      <c r="AA1750" s="20"/>
    </row>
    <row r="1751" spans="1:27" ht="121.8" x14ac:dyDescent="0.25">
      <c r="A1751" s="16"/>
      <c r="B1751" s="20" t="b">
        <f ca="1">IFERROR(__xludf.DUMMYFUNCTION("if(D1751=iferror(filter('Character Sheet'!D$13:D3002,'Character Sheet'!D$13:D3002=D1751),""""),True,False)"),FALSE)</f>
        <v>0</v>
      </c>
      <c r="C1751" s="20">
        <v>200</v>
      </c>
      <c r="D1751" s="2" t="s">
        <v>3711</v>
      </c>
      <c r="E1751" s="2" t="s">
        <v>311</v>
      </c>
      <c r="F1751" s="20" t="s">
        <v>63</v>
      </c>
      <c r="G1751" s="2" t="s">
        <v>3712</v>
      </c>
      <c r="H1751" s="16"/>
      <c r="I1751" s="20"/>
      <c r="J1751" s="20"/>
      <c r="K1751" s="20"/>
      <c r="L1751" s="20"/>
      <c r="M1751" s="20"/>
      <c r="N1751" s="20"/>
      <c r="O1751" s="20"/>
      <c r="P1751" s="20"/>
      <c r="Q1751" s="20"/>
      <c r="R1751" s="20"/>
      <c r="S1751" s="20"/>
      <c r="T1751" s="20"/>
      <c r="U1751" s="20"/>
      <c r="V1751" s="20"/>
      <c r="W1751" s="20"/>
      <c r="X1751" s="20"/>
      <c r="Y1751" s="20"/>
      <c r="Z1751" s="20"/>
      <c r="AA1751" s="20"/>
    </row>
    <row r="1752" spans="1:27" ht="52.2" x14ac:dyDescent="0.25">
      <c r="A1752" s="16"/>
      <c r="B1752" s="20" t="b">
        <f ca="1">IFERROR(__xludf.DUMMYFUNCTION("if(D1752=iferror(filter('Character Sheet'!D$13:D3002,'Character Sheet'!D$13:D3002=D1752),""""),True,False)"),FALSE)</f>
        <v>0</v>
      </c>
      <c r="C1752" s="20">
        <v>200</v>
      </c>
      <c r="D1752" s="2" t="s">
        <v>3713</v>
      </c>
      <c r="E1752" s="2" t="s">
        <v>1924</v>
      </c>
      <c r="F1752" s="20" t="s">
        <v>63</v>
      </c>
      <c r="G1752" s="2" t="s">
        <v>3714</v>
      </c>
      <c r="H1752" s="16"/>
      <c r="I1752" s="20"/>
      <c r="J1752" s="20"/>
      <c r="K1752" s="20"/>
      <c r="L1752" s="20"/>
      <c r="M1752" s="20"/>
      <c r="N1752" s="20"/>
      <c r="O1752" s="20"/>
      <c r="P1752" s="20"/>
      <c r="Q1752" s="20"/>
      <c r="R1752" s="20"/>
      <c r="S1752" s="20"/>
      <c r="T1752" s="20"/>
      <c r="U1752" s="20"/>
      <c r="V1752" s="20"/>
      <c r="W1752" s="20"/>
      <c r="X1752" s="20"/>
      <c r="Y1752" s="20"/>
      <c r="Z1752" s="20"/>
      <c r="AA1752" s="20"/>
    </row>
    <row r="1753" spans="1:27" ht="69.599999999999994" x14ac:dyDescent="0.25">
      <c r="A1753" s="16"/>
      <c r="B1753" s="20" t="b">
        <f ca="1">IFERROR(__xludf.DUMMYFUNCTION("if(D1753=iferror(filter('Character Sheet'!D$13:D3002,'Character Sheet'!D$13:D3002=D1753),""""),True,False)"),FALSE)</f>
        <v>0</v>
      </c>
      <c r="C1753" s="20">
        <v>200</v>
      </c>
      <c r="D1753" s="2" t="s">
        <v>3715</v>
      </c>
      <c r="E1753" s="2" t="s">
        <v>358</v>
      </c>
      <c r="F1753" s="20" t="s">
        <v>63</v>
      </c>
      <c r="G1753" s="2" t="s">
        <v>3716</v>
      </c>
      <c r="H1753" s="16"/>
      <c r="I1753" s="20"/>
      <c r="J1753" s="20"/>
      <c r="K1753" s="20"/>
      <c r="L1753" s="20"/>
      <c r="M1753" s="20"/>
      <c r="N1753" s="20"/>
      <c r="O1753" s="20"/>
      <c r="P1753" s="20"/>
      <c r="Q1753" s="20"/>
      <c r="R1753" s="20"/>
      <c r="S1753" s="20"/>
      <c r="T1753" s="20"/>
      <c r="U1753" s="20"/>
      <c r="V1753" s="20"/>
      <c r="W1753" s="20"/>
      <c r="X1753" s="20"/>
      <c r="Y1753" s="20"/>
      <c r="Z1753" s="20"/>
      <c r="AA1753" s="20"/>
    </row>
    <row r="1754" spans="1:27" ht="121.8" x14ac:dyDescent="0.25">
      <c r="A1754" s="16"/>
      <c r="B1754" s="20" t="b">
        <f ca="1">IFERROR(__xludf.DUMMYFUNCTION("if(D1754=iferror(filter('Character Sheet'!D$13:D3002,'Character Sheet'!D$13:D3002=D1754),""""),True,False)"),FALSE)</f>
        <v>0</v>
      </c>
      <c r="C1754" s="20">
        <v>200</v>
      </c>
      <c r="D1754" s="2" t="s">
        <v>3717</v>
      </c>
      <c r="E1754" s="2" t="s">
        <v>317</v>
      </c>
      <c r="F1754" s="20" t="s">
        <v>63</v>
      </c>
      <c r="G1754" s="2" t="s">
        <v>3718</v>
      </c>
      <c r="H1754" s="16"/>
      <c r="I1754" s="20"/>
      <c r="J1754" s="20"/>
      <c r="K1754" s="20"/>
      <c r="L1754" s="20"/>
      <c r="M1754" s="20"/>
      <c r="N1754" s="20"/>
      <c r="O1754" s="20"/>
      <c r="P1754" s="20"/>
      <c r="Q1754" s="20"/>
      <c r="R1754" s="20"/>
      <c r="S1754" s="20"/>
      <c r="T1754" s="20"/>
      <c r="U1754" s="20"/>
      <c r="V1754" s="20"/>
      <c r="W1754" s="20"/>
      <c r="X1754" s="20"/>
      <c r="Y1754" s="20"/>
      <c r="Z1754" s="20"/>
      <c r="AA1754" s="20"/>
    </row>
    <row r="1755" spans="1:27" ht="69.599999999999994" x14ac:dyDescent="0.25">
      <c r="A1755" s="16"/>
      <c r="B1755" s="20" t="b">
        <f ca="1">IFERROR(__xludf.DUMMYFUNCTION("if(D1755=iferror(filter('Character Sheet'!D$13:D3002,'Character Sheet'!D$13:D3002=D1755),""""),True,False)"),FALSE)</f>
        <v>0</v>
      </c>
      <c r="C1755" s="20">
        <v>200</v>
      </c>
      <c r="D1755" s="2" t="s">
        <v>3719</v>
      </c>
      <c r="E1755" s="2" t="s">
        <v>772</v>
      </c>
      <c r="F1755" s="20" t="s">
        <v>63</v>
      </c>
      <c r="G1755" s="2" t="s">
        <v>3720</v>
      </c>
      <c r="H1755" s="16"/>
      <c r="I1755" s="20"/>
      <c r="J1755" s="20"/>
      <c r="K1755" s="20"/>
      <c r="L1755" s="20"/>
      <c r="M1755" s="20"/>
      <c r="N1755" s="20"/>
      <c r="O1755" s="20"/>
      <c r="P1755" s="20"/>
      <c r="Q1755" s="20"/>
      <c r="R1755" s="20"/>
      <c r="S1755" s="20"/>
      <c r="T1755" s="20"/>
      <c r="U1755" s="20"/>
      <c r="V1755" s="20"/>
      <c r="W1755" s="20"/>
      <c r="X1755" s="20"/>
      <c r="Y1755" s="20"/>
      <c r="Z1755" s="20"/>
      <c r="AA1755" s="20"/>
    </row>
    <row r="1756" spans="1:27" ht="121.8" x14ac:dyDescent="0.25">
      <c r="A1756" s="16"/>
      <c r="B1756" s="20" t="b">
        <f ca="1">IFERROR(__xludf.DUMMYFUNCTION("if(D1756=iferror(filter('Character Sheet'!D$13:D3002,'Character Sheet'!D$13:D3002=D1756),""""),True,False)"),FALSE)</f>
        <v>0</v>
      </c>
      <c r="C1756" s="20">
        <v>200</v>
      </c>
      <c r="D1756" s="2" t="s">
        <v>3721</v>
      </c>
      <c r="E1756" s="2" t="s">
        <v>848</v>
      </c>
      <c r="F1756" s="20" t="s">
        <v>63</v>
      </c>
      <c r="G1756" s="2" t="s">
        <v>3722</v>
      </c>
      <c r="H1756" s="16"/>
      <c r="I1756" s="20"/>
      <c r="J1756" s="20"/>
      <c r="K1756" s="20"/>
      <c r="L1756" s="20"/>
      <c r="M1756" s="20"/>
      <c r="N1756" s="20"/>
      <c r="O1756" s="20"/>
      <c r="P1756" s="20"/>
      <c r="Q1756" s="20"/>
      <c r="R1756" s="20"/>
      <c r="S1756" s="20"/>
      <c r="T1756" s="20"/>
      <c r="U1756" s="20"/>
      <c r="V1756" s="20"/>
      <c r="W1756" s="20"/>
      <c r="X1756" s="20"/>
      <c r="Y1756" s="20"/>
      <c r="Z1756" s="20"/>
      <c r="AA1756" s="20"/>
    </row>
    <row r="1757" spans="1:27" ht="104.4" x14ac:dyDescent="0.25">
      <c r="A1757" s="16"/>
      <c r="B1757" s="20" t="b">
        <f ca="1">IFERROR(__xludf.DUMMYFUNCTION("if(D1757=iferror(filter('Character Sheet'!D$13:D3002,'Character Sheet'!D$13:D3002=D1757),""""),True,False)"),FALSE)</f>
        <v>0</v>
      </c>
      <c r="C1757" s="20">
        <v>200</v>
      </c>
      <c r="D1757" s="2" t="s">
        <v>3723</v>
      </c>
      <c r="E1757" s="2" t="s">
        <v>1206</v>
      </c>
      <c r="F1757" s="20" t="s">
        <v>63</v>
      </c>
      <c r="G1757" s="2" t="s">
        <v>3724</v>
      </c>
      <c r="H1757" s="16"/>
      <c r="I1757" s="20"/>
      <c r="J1757" s="20"/>
      <c r="K1757" s="20"/>
      <c r="L1757" s="20"/>
      <c r="M1757" s="20"/>
      <c r="N1757" s="20"/>
      <c r="O1757" s="20"/>
      <c r="P1757" s="20"/>
      <c r="Q1757" s="20"/>
      <c r="R1757" s="20"/>
      <c r="S1757" s="20"/>
      <c r="T1757" s="20"/>
      <c r="U1757" s="20"/>
      <c r="V1757" s="20"/>
      <c r="W1757" s="20"/>
      <c r="X1757" s="20"/>
      <c r="Y1757" s="20"/>
      <c r="Z1757" s="20"/>
      <c r="AA1757" s="20"/>
    </row>
    <row r="1758" spans="1:27" ht="104.4" x14ac:dyDescent="0.25">
      <c r="A1758" s="16"/>
      <c r="B1758" s="20" t="b">
        <f ca="1">IFERROR(__xludf.DUMMYFUNCTION("if(D1758=iferror(filter('Character Sheet'!D$13:D3002,'Character Sheet'!D$13:D3002=D1758),""""),True,False)"),FALSE)</f>
        <v>0</v>
      </c>
      <c r="C1758" s="20">
        <v>200</v>
      </c>
      <c r="D1758" s="2" t="s">
        <v>3725</v>
      </c>
      <c r="E1758" s="2" t="s">
        <v>84</v>
      </c>
      <c r="F1758" s="20" t="s">
        <v>63</v>
      </c>
      <c r="G1758" s="2" t="s">
        <v>3726</v>
      </c>
      <c r="H1758" s="16"/>
      <c r="I1758" s="20"/>
      <c r="J1758" s="20"/>
      <c r="K1758" s="20"/>
      <c r="L1758" s="20"/>
      <c r="M1758" s="20"/>
      <c r="N1758" s="20"/>
      <c r="O1758" s="20"/>
      <c r="P1758" s="20"/>
      <c r="Q1758" s="20"/>
      <c r="R1758" s="20"/>
      <c r="S1758" s="20"/>
      <c r="T1758" s="20"/>
      <c r="U1758" s="20"/>
      <c r="V1758" s="20"/>
      <c r="W1758" s="20"/>
      <c r="X1758" s="20"/>
      <c r="Y1758" s="20"/>
      <c r="Z1758" s="20"/>
      <c r="AA1758" s="20"/>
    </row>
    <row r="1759" spans="1:27" ht="87" x14ac:dyDescent="0.25">
      <c r="A1759" s="16"/>
      <c r="B1759" s="20" t="b">
        <f ca="1">IFERROR(__xludf.DUMMYFUNCTION("if(D1759=iferror(filter('Character Sheet'!D$13:D3002,'Character Sheet'!D$13:D3002=D1759),""""),True,False)"),FALSE)</f>
        <v>0</v>
      </c>
      <c r="C1759" s="20">
        <v>200</v>
      </c>
      <c r="D1759" s="2" t="s">
        <v>3727</v>
      </c>
      <c r="E1759" s="2" t="s">
        <v>583</v>
      </c>
      <c r="F1759" s="20" t="s">
        <v>63</v>
      </c>
      <c r="G1759" s="2" t="s">
        <v>3728</v>
      </c>
      <c r="H1759" s="16"/>
      <c r="I1759" s="20"/>
      <c r="J1759" s="20"/>
      <c r="K1759" s="20"/>
      <c r="L1759" s="20"/>
      <c r="M1759" s="20"/>
      <c r="N1759" s="20"/>
      <c r="O1759" s="20"/>
      <c r="P1759" s="20"/>
      <c r="Q1759" s="20"/>
      <c r="R1759" s="20"/>
      <c r="S1759" s="20"/>
      <c r="T1759" s="20"/>
      <c r="U1759" s="20"/>
      <c r="V1759" s="20"/>
      <c r="W1759" s="20"/>
      <c r="X1759" s="20"/>
      <c r="Y1759" s="20"/>
      <c r="Z1759" s="20"/>
      <c r="AA1759" s="20"/>
    </row>
    <row r="1760" spans="1:27" ht="174" x14ac:dyDescent="0.25">
      <c r="A1760" s="16"/>
      <c r="B1760" s="20" t="b">
        <f ca="1">IFERROR(__xludf.DUMMYFUNCTION("if(D1760=iferror(filter('Character Sheet'!D$13:D3002,'Character Sheet'!D$13:D3002=D1760),""""),True,False)"),FALSE)</f>
        <v>0</v>
      </c>
      <c r="C1760" s="20">
        <v>200</v>
      </c>
      <c r="D1760" s="2" t="s">
        <v>3729</v>
      </c>
      <c r="E1760" s="2" t="s">
        <v>124</v>
      </c>
      <c r="F1760" s="20" t="s">
        <v>63</v>
      </c>
      <c r="G1760" s="2" t="s">
        <v>3730</v>
      </c>
      <c r="H1760" s="16"/>
      <c r="I1760" s="20"/>
      <c r="J1760" s="20"/>
      <c r="K1760" s="20"/>
      <c r="L1760" s="20"/>
      <c r="M1760" s="20"/>
      <c r="N1760" s="20"/>
      <c r="O1760" s="20"/>
      <c r="P1760" s="20"/>
      <c r="Q1760" s="20"/>
      <c r="R1760" s="20"/>
      <c r="S1760" s="20"/>
      <c r="T1760" s="20"/>
      <c r="U1760" s="20"/>
      <c r="V1760" s="20"/>
      <c r="W1760" s="20"/>
      <c r="X1760" s="20"/>
      <c r="Y1760" s="20"/>
      <c r="Z1760" s="20"/>
      <c r="AA1760" s="20"/>
    </row>
    <row r="1761" spans="1:27" ht="156.6" x14ac:dyDescent="0.25">
      <c r="A1761" s="16"/>
      <c r="B1761" s="20" t="b">
        <f ca="1">IFERROR(__xludf.DUMMYFUNCTION("if(D1761=iferror(filter('Character Sheet'!D$13:D3002,'Character Sheet'!D$13:D3002=D1761),""""),True,False)"),FALSE)</f>
        <v>0</v>
      </c>
      <c r="C1761" s="20">
        <v>200</v>
      </c>
      <c r="D1761" s="2" t="s">
        <v>3731</v>
      </c>
      <c r="E1761" s="2" t="s">
        <v>124</v>
      </c>
      <c r="F1761" s="20" t="s">
        <v>63</v>
      </c>
      <c r="G1761" s="2" t="s">
        <v>3732</v>
      </c>
      <c r="H1761" s="16"/>
      <c r="I1761" s="20"/>
      <c r="J1761" s="20"/>
      <c r="K1761" s="20"/>
      <c r="L1761" s="20"/>
      <c r="M1761" s="20"/>
      <c r="N1761" s="20"/>
      <c r="O1761" s="20"/>
      <c r="P1761" s="20"/>
      <c r="Q1761" s="20"/>
      <c r="R1761" s="20"/>
      <c r="S1761" s="20"/>
      <c r="T1761" s="20"/>
      <c r="U1761" s="20"/>
      <c r="V1761" s="20"/>
      <c r="W1761" s="20"/>
      <c r="X1761" s="20"/>
      <c r="Y1761" s="20"/>
      <c r="Z1761" s="20"/>
      <c r="AA1761" s="20"/>
    </row>
    <row r="1762" spans="1:27" ht="87" x14ac:dyDescent="0.25">
      <c r="A1762" s="16"/>
      <c r="B1762" s="20" t="b">
        <f ca="1">IFERROR(__xludf.DUMMYFUNCTION("if(D1762=iferror(filter('Character Sheet'!D$13:D3002,'Character Sheet'!D$13:D3002=D1762),""""),True,False)"),FALSE)</f>
        <v>0</v>
      </c>
      <c r="C1762" s="20">
        <v>200</v>
      </c>
      <c r="D1762" s="2" t="s">
        <v>3733</v>
      </c>
      <c r="E1762" s="2" t="s">
        <v>464</v>
      </c>
      <c r="F1762" s="20" t="s">
        <v>63</v>
      </c>
      <c r="G1762" s="2" t="s">
        <v>3734</v>
      </c>
      <c r="H1762" s="16"/>
      <c r="I1762" s="20"/>
      <c r="J1762" s="20"/>
      <c r="K1762" s="20"/>
      <c r="L1762" s="20"/>
      <c r="M1762" s="20"/>
      <c r="N1762" s="20"/>
      <c r="O1762" s="20"/>
      <c r="P1762" s="20"/>
      <c r="Q1762" s="20"/>
      <c r="R1762" s="20"/>
      <c r="S1762" s="20"/>
      <c r="T1762" s="20"/>
      <c r="U1762" s="20"/>
      <c r="V1762" s="20"/>
      <c r="W1762" s="20"/>
      <c r="X1762" s="20"/>
      <c r="Y1762" s="20"/>
      <c r="Z1762" s="20"/>
      <c r="AA1762" s="20"/>
    </row>
    <row r="1763" spans="1:27" ht="139.19999999999999" x14ac:dyDescent="0.25">
      <c r="A1763" s="16"/>
      <c r="B1763" s="20" t="b">
        <f ca="1">IFERROR(__xludf.DUMMYFUNCTION("if(D1763=iferror(filter('Character Sheet'!D$13:D3002,'Character Sheet'!D$13:D3002=D1763),""""),True,False)"),FALSE)</f>
        <v>0</v>
      </c>
      <c r="C1763" s="20">
        <v>200</v>
      </c>
      <c r="D1763" s="2" t="s">
        <v>3735</v>
      </c>
      <c r="E1763" s="2" t="s">
        <v>750</v>
      </c>
      <c r="F1763" s="20" t="s">
        <v>63</v>
      </c>
      <c r="G1763" s="2" t="s">
        <v>3736</v>
      </c>
      <c r="H1763" s="16"/>
      <c r="I1763" s="20"/>
      <c r="J1763" s="20"/>
      <c r="K1763" s="20"/>
      <c r="L1763" s="20"/>
      <c r="M1763" s="20"/>
      <c r="N1763" s="20"/>
      <c r="O1763" s="20"/>
      <c r="P1763" s="20"/>
      <c r="Q1763" s="20"/>
      <c r="R1763" s="20"/>
      <c r="S1763" s="20"/>
      <c r="T1763" s="20"/>
      <c r="U1763" s="20"/>
      <c r="V1763" s="20"/>
      <c r="W1763" s="20"/>
      <c r="X1763" s="20"/>
      <c r="Y1763" s="20"/>
      <c r="Z1763" s="20"/>
      <c r="AA1763" s="20"/>
    </row>
    <row r="1764" spans="1:27" ht="69.599999999999994" x14ac:dyDescent="0.25">
      <c r="A1764" s="16"/>
      <c r="B1764" s="20" t="b">
        <f ca="1">IFERROR(__xludf.DUMMYFUNCTION("if(D1764=iferror(filter('Character Sheet'!D$13:D3002,'Character Sheet'!D$13:D3002=D1764),""""),True,False)"),FALSE)</f>
        <v>0</v>
      </c>
      <c r="C1764" s="20">
        <v>200</v>
      </c>
      <c r="D1764" s="2" t="s">
        <v>3737</v>
      </c>
      <c r="E1764" s="2" t="s">
        <v>738</v>
      </c>
      <c r="F1764" s="20" t="s">
        <v>63</v>
      </c>
      <c r="G1764" s="2" t="s">
        <v>3738</v>
      </c>
      <c r="H1764" s="16"/>
      <c r="I1764" s="20"/>
      <c r="J1764" s="20"/>
      <c r="K1764" s="20"/>
      <c r="L1764" s="20"/>
      <c r="M1764" s="20"/>
      <c r="N1764" s="20"/>
      <c r="O1764" s="20"/>
      <c r="P1764" s="20"/>
      <c r="Q1764" s="20"/>
      <c r="R1764" s="20"/>
      <c r="S1764" s="20"/>
      <c r="T1764" s="20"/>
      <c r="U1764" s="20"/>
      <c r="V1764" s="20"/>
      <c r="W1764" s="20"/>
      <c r="X1764" s="20"/>
      <c r="Y1764" s="20"/>
      <c r="Z1764" s="20"/>
      <c r="AA1764" s="20"/>
    </row>
    <row r="1765" spans="1:27" ht="121.8" x14ac:dyDescent="0.25">
      <c r="A1765" s="16"/>
      <c r="B1765" s="20" t="b">
        <f ca="1">IFERROR(__xludf.DUMMYFUNCTION("if(D1765=iferror(filter('Character Sheet'!D$13:D3002,'Character Sheet'!D$13:D3002=D1765),""""),True,False)"),FALSE)</f>
        <v>0</v>
      </c>
      <c r="C1765" s="20">
        <v>200</v>
      </c>
      <c r="D1765" s="2" t="s">
        <v>3739</v>
      </c>
      <c r="E1765" s="2" t="s">
        <v>72</v>
      </c>
      <c r="F1765" s="20" t="s">
        <v>63</v>
      </c>
      <c r="G1765" s="2" t="s">
        <v>3740</v>
      </c>
      <c r="H1765" s="16"/>
      <c r="I1765" s="20"/>
      <c r="J1765" s="20"/>
      <c r="K1765" s="20"/>
      <c r="L1765" s="20"/>
      <c r="M1765" s="20"/>
      <c r="N1765" s="20"/>
      <c r="O1765" s="20"/>
      <c r="P1765" s="20"/>
      <c r="Q1765" s="20"/>
      <c r="R1765" s="20"/>
      <c r="S1765" s="20"/>
      <c r="T1765" s="20"/>
      <c r="U1765" s="20"/>
      <c r="V1765" s="20"/>
      <c r="W1765" s="20"/>
      <c r="X1765" s="20"/>
      <c r="Y1765" s="20"/>
      <c r="Z1765" s="20"/>
      <c r="AA1765" s="20"/>
    </row>
    <row r="1766" spans="1:27" ht="69.599999999999994" x14ac:dyDescent="0.25">
      <c r="A1766" s="16"/>
      <c r="B1766" s="20" t="b">
        <f ca="1">IFERROR(__xludf.DUMMYFUNCTION("if(D1766=iferror(filter('Character Sheet'!D$13:D3002,'Character Sheet'!D$13:D3002=D1766),""""),True,False)"),FALSE)</f>
        <v>0</v>
      </c>
      <c r="C1766" s="20">
        <v>200</v>
      </c>
      <c r="D1766" s="2" t="s">
        <v>3741</v>
      </c>
      <c r="E1766" s="2" t="s">
        <v>917</v>
      </c>
      <c r="F1766" s="20" t="s">
        <v>63</v>
      </c>
      <c r="G1766" s="2" t="s">
        <v>3742</v>
      </c>
      <c r="H1766" s="16"/>
      <c r="I1766" s="20"/>
      <c r="J1766" s="20"/>
      <c r="K1766" s="20"/>
      <c r="L1766" s="20"/>
      <c r="M1766" s="20"/>
      <c r="N1766" s="20"/>
      <c r="O1766" s="20"/>
      <c r="P1766" s="20"/>
      <c r="Q1766" s="20"/>
      <c r="R1766" s="20"/>
      <c r="S1766" s="20"/>
      <c r="T1766" s="20"/>
      <c r="U1766" s="20"/>
      <c r="V1766" s="20"/>
      <c r="W1766" s="20"/>
      <c r="X1766" s="20"/>
      <c r="Y1766" s="20"/>
      <c r="Z1766" s="20"/>
      <c r="AA1766" s="20"/>
    </row>
    <row r="1767" spans="1:27" ht="87" x14ac:dyDescent="0.25">
      <c r="A1767" s="16"/>
      <c r="B1767" s="20" t="b">
        <f ca="1">IFERROR(__xludf.DUMMYFUNCTION("if(D1767=iferror(filter('Character Sheet'!D$13:D3002,'Character Sheet'!D$13:D3002=D1767),""""),True,False)"),FALSE)</f>
        <v>0</v>
      </c>
      <c r="C1767" s="20">
        <v>200</v>
      </c>
      <c r="D1767" s="2" t="s">
        <v>3743</v>
      </c>
      <c r="E1767" s="2" t="s">
        <v>610</v>
      </c>
      <c r="F1767" s="20" t="s">
        <v>63</v>
      </c>
      <c r="G1767" s="2" t="s">
        <v>3744</v>
      </c>
      <c r="H1767" s="16"/>
      <c r="I1767" s="20"/>
      <c r="J1767" s="20"/>
      <c r="K1767" s="20"/>
      <c r="L1767" s="20"/>
      <c r="M1767" s="20"/>
      <c r="N1767" s="20"/>
      <c r="O1767" s="20"/>
      <c r="P1767" s="20"/>
      <c r="Q1767" s="20"/>
      <c r="R1767" s="20"/>
      <c r="S1767" s="20"/>
      <c r="T1767" s="20"/>
      <c r="U1767" s="20"/>
      <c r="V1767" s="20"/>
      <c r="W1767" s="20"/>
      <c r="X1767" s="20"/>
      <c r="Y1767" s="20"/>
      <c r="Z1767" s="20"/>
      <c r="AA1767" s="20"/>
    </row>
    <row r="1768" spans="1:27" ht="121.8" x14ac:dyDescent="0.25">
      <c r="A1768" s="16"/>
      <c r="B1768" s="20" t="b">
        <f ca="1">IFERROR(__xludf.DUMMYFUNCTION("if(D1768=iferror(filter('Character Sheet'!D$13:D3002,'Character Sheet'!D$13:D3002=D1768),""""),True,False)"),FALSE)</f>
        <v>0</v>
      </c>
      <c r="C1768" s="20">
        <v>200</v>
      </c>
      <c r="D1768" s="2" t="s">
        <v>3745</v>
      </c>
      <c r="E1768" s="2" t="s">
        <v>655</v>
      </c>
      <c r="F1768" s="20" t="s">
        <v>63</v>
      </c>
      <c r="G1768" s="2" t="s">
        <v>3746</v>
      </c>
      <c r="H1768" s="16"/>
      <c r="I1768" s="20"/>
      <c r="J1768" s="20"/>
      <c r="K1768" s="20"/>
      <c r="L1768" s="20"/>
      <c r="M1768" s="20"/>
      <c r="N1768" s="20"/>
      <c r="O1768" s="20"/>
      <c r="P1768" s="20"/>
      <c r="Q1768" s="20"/>
      <c r="R1768" s="20"/>
      <c r="S1768" s="20"/>
      <c r="T1768" s="20"/>
      <c r="U1768" s="20"/>
      <c r="V1768" s="20"/>
      <c r="W1768" s="20"/>
      <c r="X1768" s="20"/>
      <c r="Y1768" s="20"/>
      <c r="Z1768" s="20"/>
      <c r="AA1768" s="20"/>
    </row>
    <row r="1769" spans="1:27" ht="139.19999999999999" x14ac:dyDescent="0.25">
      <c r="A1769" s="16"/>
      <c r="B1769" s="20" t="b">
        <f ca="1">IFERROR(__xludf.DUMMYFUNCTION("if(D1769=iferror(filter('Character Sheet'!D$13:D3002,'Character Sheet'!D$13:D3002=D1769),""""),True,False)"),FALSE)</f>
        <v>0</v>
      </c>
      <c r="C1769" s="20">
        <v>200</v>
      </c>
      <c r="D1769" s="2" t="s">
        <v>3747</v>
      </c>
      <c r="E1769" s="2" t="s">
        <v>1239</v>
      </c>
      <c r="F1769" s="20" t="s">
        <v>63</v>
      </c>
      <c r="G1769" s="2" t="s">
        <v>3748</v>
      </c>
      <c r="H1769" s="16"/>
      <c r="I1769" s="20"/>
      <c r="J1769" s="20"/>
      <c r="K1769" s="20"/>
      <c r="L1769" s="20"/>
      <c r="M1769" s="20"/>
      <c r="N1769" s="20"/>
      <c r="O1769" s="20"/>
      <c r="P1769" s="20"/>
      <c r="Q1769" s="20"/>
      <c r="R1769" s="20"/>
      <c r="S1769" s="20"/>
      <c r="T1769" s="20"/>
      <c r="U1769" s="20"/>
      <c r="V1769" s="20"/>
      <c r="W1769" s="20"/>
      <c r="X1769" s="20"/>
      <c r="Y1769" s="20"/>
      <c r="Z1769" s="20"/>
      <c r="AA1769" s="20"/>
    </row>
    <row r="1770" spans="1:27" ht="104.4" x14ac:dyDescent="0.25">
      <c r="A1770" s="16"/>
      <c r="B1770" s="20" t="b">
        <f ca="1">IFERROR(__xludf.DUMMYFUNCTION("if(D1770=iferror(filter('Character Sheet'!D$13:D3002,'Character Sheet'!D$13:D3002=D1770),""""),True,False)"),FALSE)</f>
        <v>0</v>
      </c>
      <c r="C1770" s="20">
        <v>200</v>
      </c>
      <c r="D1770" s="2" t="s">
        <v>3749</v>
      </c>
      <c r="E1770" s="2" t="s">
        <v>924</v>
      </c>
      <c r="F1770" s="20" t="s">
        <v>63</v>
      </c>
      <c r="G1770" s="2" t="s">
        <v>3750</v>
      </c>
      <c r="H1770" s="16"/>
      <c r="I1770" s="20"/>
      <c r="J1770" s="20"/>
      <c r="K1770" s="20"/>
      <c r="L1770" s="20"/>
      <c r="M1770" s="20"/>
      <c r="N1770" s="20"/>
      <c r="O1770" s="20"/>
      <c r="P1770" s="20"/>
      <c r="Q1770" s="20"/>
      <c r="R1770" s="20"/>
      <c r="S1770" s="20"/>
      <c r="T1770" s="20"/>
      <c r="U1770" s="20"/>
      <c r="V1770" s="20"/>
      <c r="W1770" s="20"/>
      <c r="X1770" s="20"/>
      <c r="Y1770" s="20"/>
      <c r="Z1770" s="20"/>
      <c r="AA1770" s="20"/>
    </row>
    <row r="1771" spans="1:27" ht="69.599999999999994" x14ac:dyDescent="0.25">
      <c r="A1771" s="16"/>
      <c r="B1771" s="20" t="b">
        <f ca="1">IFERROR(__xludf.DUMMYFUNCTION("if(D1771=iferror(filter('Character Sheet'!D$13:D3002,'Character Sheet'!D$13:D3002=D1771),""""),True,False)"),FALSE)</f>
        <v>0</v>
      </c>
      <c r="C1771" s="20">
        <v>200</v>
      </c>
      <c r="D1771" s="2" t="s">
        <v>3751</v>
      </c>
      <c r="E1771" s="2" t="s">
        <v>451</v>
      </c>
      <c r="F1771" s="20" t="s">
        <v>63</v>
      </c>
      <c r="G1771" s="2" t="s">
        <v>3752</v>
      </c>
      <c r="H1771" s="16"/>
      <c r="I1771" s="20"/>
      <c r="J1771" s="20"/>
      <c r="K1771" s="20"/>
      <c r="L1771" s="20"/>
      <c r="M1771" s="20"/>
      <c r="N1771" s="20"/>
      <c r="O1771" s="20"/>
      <c r="P1771" s="20"/>
      <c r="Q1771" s="20"/>
      <c r="R1771" s="20"/>
      <c r="S1771" s="20"/>
      <c r="T1771" s="20"/>
      <c r="U1771" s="20"/>
      <c r="V1771" s="20"/>
      <c r="W1771" s="20"/>
      <c r="X1771" s="20"/>
      <c r="Y1771" s="20"/>
      <c r="Z1771" s="20"/>
      <c r="AA1771" s="20"/>
    </row>
    <row r="1772" spans="1:27" ht="174" x14ac:dyDescent="0.25">
      <c r="A1772" s="16"/>
      <c r="B1772" s="20" t="b">
        <f ca="1">IFERROR(__xludf.DUMMYFUNCTION("if(D1772=iferror(filter('Character Sheet'!D$13:D3002,'Character Sheet'!D$13:D3002=D1772),""""),True,False)"),FALSE)</f>
        <v>0</v>
      </c>
      <c r="C1772" s="20">
        <v>200</v>
      </c>
      <c r="D1772" s="2" t="s">
        <v>3753</v>
      </c>
      <c r="E1772" s="2" t="s">
        <v>303</v>
      </c>
      <c r="F1772" s="20" t="s">
        <v>63</v>
      </c>
      <c r="G1772" s="2" t="s">
        <v>3754</v>
      </c>
      <c r="H1772" s="16"/>
      <c r="I1772" s="20"/>
      <c r="J1772" s="20"/>
      <c r="K1772" s="20"/>
      <c r="L1772" s="20"/>
      <c r="M1772" s="20"/>
      <c r="N1772" s="20"/>
      <c r="O1772" s="20"/>
      <c r="P1772" s="20"/>
      <c r="Q1772" s="20"/>
      <c r="R1772" s="20"/>
      <c r="S1772" s="20"/>
      <c r="T1772" s="20"/>
      <c r="U1772" s="20"/>
      <c r="V1772" s="20"/>
      <c r="W1772" s="20"/>
      <c r="X1772" s="20"/>
      <c r="Y1772" s="20"/>
      <c r="Z1772" s="20"/>
      <c r="AA1772" s="20"/>
    </row>
    <row r="1773" spans="1:27" ht="104.4" x14ac:dyDescent="0.25">
      <c r="A1773" s="16"/>
      <c r="B1773" s="20" t="b">
        <f ca="1">IFERROR(__xludf.DUMMYFUNCTION("if(D1773=iferror(filter('Character Sheet'!D$13:D3002,'Character Sheet'!D$13:D3002=D1773),""""),True,False)"),FALSE)</f>
        <v>0</v>
      </c>
      <c r="C1773" s="20">
        <v>200</v>
      </c>
      <c r="D1773" s="2" t="s">
        <v>3755</v>
      </c>
      <c r="E1773" s="2" t="s">
        <v>238</v>
      </c>
      <c r="F1773" s="20" t="s">
        <v>63</v>
      </c>
      <c r="G1773" s="2" t="s">
        <v>3756</v>
      </c>
      <c r="H1773" s="16"/>
      <c r="I1773" s="20"/>
      <c r="J1773" s="20"/>
      <c r="K1773" s="20"/>
      <c r="L1773" s="20"/>
      <c r="M1773" s="20"/>
      <c r="N1773" s="20"/>
      <c r="O1773" s="20"/>
      <c r="P1773" s="20"/>
      <c r="Q1773" s="20"/>
      <c r="R1773" s="20"/>
      <c r="S1773" s="20"/>
      <c r="T1773" s="20"/>
      <c r="U1773" s="20"/>
      <c r="V1773" s="20"/>
      <c r="W1773" s="20"/>
      <c r="X1773" s="20"/>
      <c r="Y1773" s="20"/>
      <c r="Z1773" s="20"/>
      <c r="AA1773" s="20"/>
    </row>
    <row r="1774" spans="1:27" ht="121.8" x14ac:dyDescent="0.25">
      <c r="A1774" s="16"/>
      <c r="B1774" s="20" t="b">
        <f ca="1">IFERROR(__xludf.DUMMYFUNCTION("if(D1774=iferror(filter('Character Sheet'!D$13:D3002,'Character Sheet'!D$13:D3002=D1774),""""),True,False)"),FALSE)</f>
        <v>0</v>
      </c>
      <c r="C1774" s="20">
        <v>200</v>
      </c>
      <c r="D1774" s="2" t="s">
        <v>3757</v>
      </c>
      <c r="E1774" s="2" t="s">
        <v>165</v>
      </c>
      <c r="F1774" s="20" t="s">
        <v>63</v>
      </c>
      <c r="G1774" s="2" t="s">
        <v>3758</v>
      </c>
      <c r="H1774" s="16"/>
      <c r="I1774" s="20"/>
      <c r="J1774" s="20"/>
      <c r="K1774" s="20"/>
      <c r="L1774" s="20"/>
      <c r="M1774" s="20"/>
      <c r="N1774" s="20"/>
      <c r="O1774" s="20"/>
      <c r="P1774" s="20"/>
      <c r="Q1774" s="20"/>
      <c r="R1774" s="20"/>
      <c r="S1774" s="20"/>
      <c r="T1774" s="20"/>
      <c r="U1774" s="20"/>
      <c r="V1774" s="20"/>
      <c r="W1774" s="20"/>
      <c r="X1774" s="20"/>
      <c r="Y1774" s="20"/>
      <c r="Z1774" s="20"/>
      <c r="AA1774" s="20"/>
    </row>
    <row r="1775" spans="1:27" ht="104.4" x14ac:dyDescent="0.25">
      <c r="A1775" s="16"/>
      <c r="B1775" s="20" t="b">
        <f ca="1">IFERROR(__xludf.DUMMYFUNCTION("if(D1775=iferror(filter('Character Sheet'!D$13:D3002,'Character Sheet'!D$13:D3002=D1775),""""),True,False)"),FALSE)</f>
        <v>0</v>
      </c>
      <c r="C1775" s="20">
        <v>200</v>
      </c>
      <c r="D1775" s="2" t="s">
        <v>3759</v>
      </c>
      <c r="E1775" s="2" t="s">
        <v>317</v>
      </c>
      <c r="F1775" s="20" t="s">
        <v>63</v>
      </c>
      <c r="G1775" s="2" t="s">
        <v>3760</v>
      </c>
      <c r="H1775" s="16"/>
      <c r="I1775" s="20"/>
      <c r="J1775" s="20"/>
      <c r="K1775" s="20"/>
      <c r="L1775" s="20"/>
      <c r="M1775" s="20"/>
      <c r="N1775" s="20"/>
      <c r="O1775" s="20"/>
      <c r="P1775" s="20"/>
      <c r="Q1775" s="20"/>
      <c r="R1775" s="20"/>
      <c r="S1775" s="20"/>
      <c r="T1775" s="20"/>
      <c r="U1775" s="20"/>
      <c r="V1775" s="20"/>
      <c r="W1775" s="20"/>
      <c r="X1775" s="20"/>
      <c r="Y1775" s="20"/>
      <c r="Z1775" s="20"/>
      <c r="AA1775" s="20"/>
    </row>
    <row r="1776" spans="1:27" ht="69.599999999999994" x14ac:dyDescent="0.25">
      <c r="A1776" s="16"/>
      <c r="B1776" s="20" t="b">
        <f ca="1">IFERROR(__xludf.DUMMYFUNCTION("if(D1776=iferror(filter('Character Sheet'!D$13:D3002,'Character Sheet'!D$13:D3002=D1776),""""),True,False)"),FALSE)</f>
        <v>0</v>
      </c>
      <c r="C1776" s="20">
        <v>200</v>
      </c>
      <c r="D1776" s="2" t="s">
        <v>3761</v>
      </c>
      <c r="E1776" s="2" t="s">
        <v>328</v>
      </c>
      <c r="F1776" s="20" t="s">
        <v>63</v>
      </c>
      <c r="G1776" s="2" t="s">
        <v>3762</v>
      </c>
      <c r="H1776" s="16"/>
      <c r="I1776" s="20"/>
      <c r="J1776" s="20"/>
      <c r="K1776" s="20"/>
      <c r="L1776" s="20"/>
      <c r="M1776" s="20"/>
      <c r="N1776" s="20"/>
      <c r="O1776" s="20"/>
      <c r="P1776" s="20"/>
      <c r="Q1776" s="20"/>
      <c r="R1776" s="20"/>
      <c r="S1776" s="20"/>
      <c r="T1776" s="20"/>
      <c r="U1776" s="20"/>
      <c r="V1776" s="20"/>
      <c r="W1776" s="20"/>
      <c r="X1776" s="20"/>
      <c r="Y1776" s="20"/>
      <c r="Z1776" s="20"/>
      <c r="AA1776" s="20"/>
    </row>
    <row r="1777" spans="1:27" ht="208.8" x14ac:dyDescent="0.25">
      <c r="A1777" s="16"/>
      <c r="B1777" s="20" t="b">
        <f ca="1">IFERROR(__xludf.DUMMYFUNCTION("if(D1777=iferror(filter('Character Sheet'!D$13:D3002,'Character Sheet'!D$13:D3002=D1777),""""),True,False)"),FALSE)</f>
        <v>0</v>
      </c>
      <c r="C1777" s="20">
        <v>300</v>
      </c>
      <c r="D1777" s="2" t="s">
        <v>3763</v>
      </c>
      <c r="E1777" s="2" t="s">
        <v>268</v>
      </c>
      <c r="F1777" s="20" t="s">
        <v>63</v>
      </c>
      <c r="G1777" s="2" t="s">
        <v>3764</v>
      </c>
      <c r="H1777" s="16"/>
      <c r="I1777" s="20"/>
      <c r="J1777" s="20"/>
      <c r="K1777" s="20"/>
      <c r="L1777" s="20"/>
      <c r="M1777" s="20"/>
      <c r="N1777" s="20"/>
      <c r="O1777" s="20"/>
      <c r="P1777" s="20"/>
      <c r="Q1777" s="20"/>
      <c r="R1777" s="20"/>
      <c r="S1777" s="20"/>
      <c r="T1777" s="20"/>
      <c r="U1777" s="20"/>
      <c r="V1777" s="20"/>
      <c r="W1777" s="20"/>
      <c r="X1777" s="20"/>
      <c r="Y1777" s="20"/>
      <c r="Z1777" s="20"/>
      <c r="AA1777" s="20"/>
    </row>
    <row r="1778" spans="1:27" ht="87" x14ac:dyDescent="0.25">
      <c r="A1778" s="16"/>
      <c r="B1778" s="20" t="b">
        <f ca="1">IFERROR(__xludf.DUMMYFUNCTION("if(D1778=iferror(filter('Character Sheet'!D$13:D3002,'Character Sheet'!D$13:D3002=D1778),""""),True,False)"),FALSE)</f>
        <v>0</v>
      </c>
      <c r="C1778" s="20">
        <v>300</v>
      </c>
      <c r="D1778" s="2" t="s">
        <v>3765</v>
      </c>
      <c r="E1778" s="2" t="s">
        <v>478</v>
      </c>
      <c r="F1778" s="20" t="s">
        <v>63</v>
      </c>
      <c r="G1778" s="2" t="s">
        <v>3766</v>
      </c>
      <c r="H1778" s="16"/>
      <c r="I1778" s="20"/>
      <c r="J1778" s="20"/>
      <c r="K1778" s="20"/>
      <c r="L1778" s="20"/>
      <c r="M1778" s="20"/>
      <c r="N1778" s="20"/>
      <c r="O1778" s="20"/>
      <c r="P1778" s="20"/>
      <c r="Q1778" s="20"/>
      <c r="R1778" s="20"/>
      <c r="S1778" s="20"/>
      <c r="T1778" s="20"/>
      <c r="U1778" s="20"/>
      <c r="V1778" s="20"/>
      <c r="W1778" s="20"/>
      <c r="X1778" s="20"/>
      <c r="Y1778" s="20"/>
      <c r="Z1778" s="20"/>
      <c r="AA1778" s="20"/>
    </row>
    <row r="1779" spans="1:27" ht="156.6" x14ac:dyDescent="0.25">
      <c r="A1779" s="16"/>
      <c r="B1779" s="20" t="b">
        <f ca="1">IFERROR(__xludf.DUMMYFUNCTION("if(D1779=iferror(filter('Character Sheet'!D$13:D3002,'Character Sheet'!D$13:D3002=D1779),""""),True,False)"),FALSE)</f>
        <v>0</v>
      </c>
      <c r="C1779" s="20">
        <v>300</v>
      </c>
      <c r="D1779" s="2" t="s">
        <v>3767</v>
      </c>
      <c r="E1779" s="2" t="s">
        <v>75</v>
      </c>
      <c r="F1779" s="20" t="s">
        <v>63</v>
      </c>
      <c r="G1779" s="2" t="s">
        <v>3768</v>
      </c>
      <c r="H1779" s="16"/>
      <c r="I1779" s="20"/>
      <c r="J1779" s="20"/>
      <c r="K1779" s="20"/>
      <c r="L1779" s="20"/>
      <c r="M1779" s="20"/>
      <c r="N1779" s="20"/>
      <c r="O1779" s="20"/>
      <c r="P1779" s="20"/>
      <c r="Q1779" s="20"/>
      <c r="R1779" s="20"/>
      <c r="S1779" s="20"/>
      <c r="T1779" s="20"/>
      <c r="U1779" s="20"/>
      <c r="V1779" s="20"/>
      <c r="W1779" s="20"/>
      <c r="X1779" s="20"/>
      <c r="Y1779" s="20"/>
      <c r="Z1779" s="20"/>
      <c r="AA1779" s="20"/>
    </row>
    <row r="1780" spans="1:27" ht="139.19999999999999" x14ac:dyDescent="0.25">
      <c r="A1780" s="16"/>
      <c r="B1780" s="20" t="b">
        <f ca="1">IFERROR(__xludf.DUMMYFUNCTION("if(D1780=iferror(filter('Character Sheet'!D$13:D3002,'Character Sheet'!D$13:D3002=D1780),""""),True,False)"),FALSE)</f>
        <v>0</v>
      </c>
      <c r="C1780" s="20">
        <v>300</v>
      </c>
      <c r="D1780" s="2" t="s">
        <v>3769</v>
      </c>
      <c r="E1780" s="2" t="s">
        <v>1677</v>
      </c>
      <c r="F1780" s="20" t="s">
        <v>63</v>
      </c>
      <c r="G1780" s="2" t="s">
        <v>3770</v>
      </c>
      <c r="H1780" s="16"/>
      <c r="I1780" s="20"/>
      <c r="J1780" s="20"/>
      <c r="K1780" s="20"/>
      <c r="L1780" s="20"/>
      <c r="M1780" s="20"/>
      <c r="N1780" s="20"/>
      <c r="O1780" s="20"/>
      <c r="P1780" s="20"/>
      <c r="Q1780" s="20"/>
      <c r="R1780" s="20"/>
      <c r="S1780" s="20"/>
      <c r="T1780" s="20"/>
      <c r="U1780" s="20"/>
      <c r="V1780" s="20"/>
      <c r="W1780" s="20"/>
      <c r="X1780" s="20"/>
      <c r="Y1780" s="20"/>
      <c r="Z1780" s="20"/>
      <c r="AA1780" s="20"/>
    </row>
    <row r="1781" spans="1:27" ht="69.599999999999994" x14ac:dyDescent="0.25">
      <c r="A1781" s="16"/>
      <c r="B1781" s="20" t="b">
        <f ca="1">IFERROR(__xludf.DUMMYFUNCTION("if(D1781=iferror(filter('Character Sheet'!D$13:D3002,'Character Sheet'!D$13:D3002=D1781),""""),True,False)"),FALSE)</f>
        <v>0</v>
      </c>
      <c r="C1781" s="20">
        <v>300</v>
      </c>
      <c r="D1781" s="2" t="s">
        <v>3771</v>
      </c>
      <c r="E1781" s="2" t="s">
        <v>451</v>
      </c>
      <c r="F1781" s="20" t="s">
        <v>63</v>
      </c>
      <c r="G1781" s="2" t="s">
        <v>3772</v>
      </c>
      <c r="H1781" s="16"/>
      <c r="I1781" s="20"/>
      <c r="J1781" s="20"/>
      <c r="K1781" s="20"/>
      <c r="L1781" s="20"/>
      <c r="M1781" s="20"/>
      <c r="N1781" s="20"/>
      <c r="O1781" s="20"/>
      <c r="P1781" s="20"/>
      <c r="Q1781" s="20"/>
      <c r="R1781" s="20"/>
      <c r="S1781" s="20"/>
      <c r="T1781" s="20"/>
      <c r="U1781" s="20"/>
      <c r="V1781" s="20"/>
      <c r="W1781" s="20"/>
      <c r="X1781" s="20"/>
      <c r="Y1781" s="20"/>
      <c r="Z1781" s="20"/>
      <c r="AA1781" s="20"/>
    </row>
    <row r="1782" spans="1:27" ht="104.4" x14ac:dyDescent="0.25">
      <c r="A1782" s="16"/>
      <c r="B1782" s="20" t="b">
        <f ca="1">IFERROR(__xludf.DUMMYFUNCTION("if(D1782=iferror(filter('Character Sheet'!D$13:D3002,'Character Sheet'!D$13:D3002=D1782),""""),True,False)"),FALSE)</f>
        <v>0</v>
      </c>
      <c r="C1782" s="20">
        <v>300</v>
      </c>
      <c r="D1782" s="2" t="s">
        <v>3773</v>
      </c>
      <c r="E1782" s="2" t="s">
        <v>3774</v>
      </c>
      <c r="F1782" s="20" t="s">
        <v>63</v>
      </c>
      <c r="G1782" s="2" t="s">
        <v>3775</v>
      </c>
      <c r="H1782" s="16"/>
      <c r="I1782" s="20"/>
      <c r="J1782" s="20"/>
      <c r="K1782" s="20"/>
      <c r="L1782" s="20"/>
      <c r="M1782" s="20"/>
      <c r="N1782" s="20"/>
      <c r="O1782" s="20"/>
      <c r="P1782" s="20"/>
      <c r="Q1782" s="20"/>
      <c r="R1782" s="20"/>
      <c r="S1782" s="20"/>
      <c r="T1782" s="20"/>
      <c r="U1782" s="20"/>
      <c r="V1782" s="20"/>
      <c r="W1782" s="20"/>
      <c r="X1782" s="20"/>
      <c r="Y1782" s="20"/>
      <c r="Z1782" s="20"/>
      <c r="AA1782" s="20"/>
    </row>
    <row r="1783" spans="1:27" ht="69.599999999999994" x14ac:dyDescent="0.25">
      <c r="A1783" s="16"/>
      <c r="B1783" s="20" t="b">
        <f ca="1">IFERROR(__xludf.DUMMYFUNCTION("if(D1783=iferror(filter('Character Sheet'!D$13:D3002,'Character Sheet'!D$13:D3002=D1783),""""),True,False)"),FALSE)</f>
        <v>0</v>
      </c>
      <c r="C1783" s="20">
        <v>300</v>
      </c>
      <c r="D1783" s="2" t="s">
        <v>3776</v>
      </c>
      <c r="E1783" s="2" t="s">
        <v>2651</v>
      </c>
      <c r="F1783" s="20" t="s">
        <v>63</v>
      </c>
      <c r="G1783" s="2" t="s">
        <v>3777</v>
      </c>
      <c r="H1783" s="16"/>
      <c r="I1783" s="20"/>
      <c r="J1783" s="20"/>
      <c r="K1783" s="20"/>
      <c r="L1783" s="20"/>
      <c r="M1783" s="20"/>
      <c r="N1783" s="20"/>
      <c r="O1783" s="20"/>
      <c r="P1783" s="20"/>
      <c r="Q1783" s="20"/>
      <c r="R1783" s="20"/>
      <c r="S1783" s="20"/>
      <c r="T1783" s="20"/>
      <c r="U1783" s="20"/>
      <c r="V1783" s="20"/>
      <c r="W1783" s="20"/>
      <c r="X1783" s="20"/>
      <c r="Y1783" s="20"/>
      <c r="Z1783" s="20"/>
      <c r="AA1783" s="20"/>
    </row>
    <row r="1784" spans="1:27" ht="52.2" x14ac:dyDescent="0.25">
      <c r="A1784" s="16"/>
      <c r="B1784" s="20" t="b">
        <f ca="1">IFERROR(__xludf.DUMMYFUNCTION("if(D1784=iferror(filter('Character Sheet'!D$13:D3002,'Character Sheet'!D$13:D3002=D1784),""""),True,False)"),FALSE)</f>
        <v>0</v>
      </c>
      <c r="C1784" s="20">
        <v>300</v>
      </c>
      <c r="D1784" s="2" t="s">
        <v>3778</v>
      </c>
      <c r="E1784" s="2" t="s">
        <v>958</v>
      </c>
      <c r="F1784" s="20" t="s">
        <v>63</v>
      </c>
      <c r="G1784" s="2" t="s">
        <v>3779</v>
      </c>
      <c r="H1784" s="16"/>
      <c r="I1784" s="20"/>
      <c r="J1784" s="20"/>
      <c r="K1784" s="20"/>
      <c r="L1784" s="20"/>
      <c r="M1784" s="20"/>
      <c r="N1784" s="20"/>
      <c r="O1784" s="20"/>
      <c r="P1784" s="20"/>
      <c r="Q1784" s="20"/>
      <c r="R1784" s="20"/>
      <c r="S1784" s="20"/>
      <c r="T1784" s="20"/>
      <c r="U1784" s="20"/>
      <c r="V1784" s="20"/>
      <c r="W1784" s="20"/>
      <c r="X1784" s="20"/>
      <c r="Y1784" s="20"/>
      <c r="Z1784" s="20"/>
      <c r="AA1784" s="20"/>
    </row>
    <row r="1785" spans="1:27" ht="174" x14ac:dyDescent="0.25">
      <c r="A1785" s="16"/>
      <c r="B1785" s="20" t="b">
        <f ca="1">IFERROR(__xludf.DUMMYFUNCTION("if(D1785=iferror(filter('Character Sheet'!D$13:D3002,'Character Sheet'!D$13:D3002=D1785),""""),True,False)"),FALSE)</f>
        <v>0</v>
      </c>
      <c r="C1785" s="20">
        <v>300</v>
      </c>
      <c r="D1785" s="2" t="s">
        <v>3780</v>
      </c>
      <c r="E1785" s="2" t="s">
        <v>361</v>
      </c>
      <c r="F1785" s="20" t="s">
        <v>63</v>
      </c>
      <c r="G1785" s="2" t="s">
        <v>3781</v>
      </c>
      <c r="H1785" s="16"/>
      <c r="I1785" s="20"/>
      <c r="J1785" s="20"/>
      <c r="K1785" s="20"/>
      <c r="L1785" s="20"/>
      <c r="M1785" s="20"/>
      <c r="N1785" s="20"/>
      <c r="O1785" s="20"/>
      <c r="P1785" s="20"/>
      <c r="Q1785" s="20"/>
      <c r="R1785" s="20"/>
      <c r="S1785" s="20"/>
      <c r="T1785" s="20"/>
      <c r="U1785" s="20"/>
      <c r="V1785" s="20"/>
      <c r="W1785" s="20"/>
      <c r="X1785" s="20"/>
      <c r="Y1785" s="20"/>
      <c r="Z1785" s="20"/>
      <c r="AA1785" s="20"/>
    </row>
    <row r="1786" spans="1:27" ht="365.4" x14ac:dyDescent="0.25">
      <c r="A1786" s="16"/>
      <c r="B1786" s="20" t="b">
        <f ca="1">IFERROR(__xludf.DUMMYFUNCTION("if(D1786=iferror(filter('Character Sheet'!D$13:D3002,'Character Sheet'!D$13:D3002=D1786),""""),True,False)"),FALSE)</f>
        <v>0</v>
      </c>
      <c r="C1786" s="20">
        <v>300</v>
      </c>
      <c r="D1786" s="2" t="s">
        <v>3782</v>
      </c>
      <c r="E1786" s="2" t="s">
        <v>265</v>
      </c>
      <c r="F1786" s="20" t="s">
        <v>63</v>
      </c>
      <c r="G1786" s="2" t="s">
        <v>3783</v>
      </c>
      <c r="H1786" s="16"/>
      <c r="I1786" s="20"/>
      <c r="J1786" s="20"/>
      <c r="K1786" s="20"/>
      <c r="L1786" s="20"/>
      <c r="M1786" s="20"/>
      <c r="N1786" s="20"/>
      <c r="O1786" s="20"/>
      <c r="P1786" s="20"/>
      <c r="Q1786" s="20"/>
      <c r="R1786" s="20"/>
      <c r="S1786" s="20"/>
      <c r="T1786" s="20"/>
      <c r="U1786" s="20"/>
      <c r="V1786" s="20"/>
      <c r="W1786" s="20"/>
      <c r="X1786" s="20"/>
      <c r="Y1786" s="20"/>
      <c r="Z1786" s="20"/>
      <c r="AA1786" s="20"/>
    </row>
    <row r="1787" spans="1:27" ht="52.2" x14ac:dyDescent="0.25">
      <c r="A1787" s="16"/>
      <c r="B1787" s="20" t="b">
        <f ca="1">IFERROR(__xludf.DUMMYFUNCTION("if(D1787=iferror(filter('Character Sheet'!D$13:D3002,'Character Sheet'!D$13:D3002=D1787),""""),True,False)"),FALSE)</f>
        <v>0</v>
      </c>
      <c r="C1787" s="20">
        <v>300</v>
      </c>
      <c r="D1787" s="2" t="s">
        <v>3784</v>
      </c>
      <c r="E1787" s="2" t="s">
        <v>84</v>
      </c>
      <c r="F1787" s="20" t="s">
        <v>63</v>
      </c>
      <c r="G1787" s="2" t="s">
        <v>3785</v>
      </c>
      <c r="H1787" s="16"/>
      <c r="I1787" s="20"/>
      <c r="J1787" s="20"/>
      <c r="K1787" s="20"/>
      <c r="L1787" s="20"/>
      <c r="M1787" s="20"/>
      <c r="N1787" s="20"/>
      <c r="O1787" s="20"/>
      <c r="P1787" s="20"/>
      <c r="Q1787" s="20"/>
      <c r="R1787" s="20"/>
      <c r="S1787" s="20"/>
      <c r="T1787" s="20"/>
      <c r="U1787" s="20"/>
      <c r="V1787" s="20"/>
      <c r="W1787" s="20"/>
      <c r="X1787" s="20"/>
      <c r="Y1787" s="20"/>
      <c r="Z1787" s="20"/>
      <c r="AA1787" s="20"/>
    </row>
    <row r="1788" spans="1:27" ht="104.4" x14ac:dyDescent="0.25">
      <c r="A1788" s="16"/>
      <c r="B1788" s="20" t="b">
        <f ca="1">IFERROR(__xludf.DUMMYFUNCTION("if(D1788=iferror(filter('Character Sheet'!D$13:D3002,'Character Sheet'!D$13:D3002=D1788),""""),True,False)"),FALSE)</f>
        <v>0</v>
      </c>
      <c r="C1788" s="20">
        <v>300</v>
      </c>
      <c r="D1788" s="2" t="s">
        <v>3786</v>
      </c>
      <c r="E1788" s="2" t="s">
        <v>3787</v>
      </c>
      <c r="F1788" s="20" t="s">
        <v>63</v>
      </c>
      <c r="G1788" s="2" t="s">
        <v>3788</v>
      </c>
      <c r="H1788" s="16"/>
      <c r="I1788" s="20"/>
      <c r="J1788" s="20"/>
      <c r="K1788" s="20"/>
      <c r="L1788" s="20"/>
      <c r="M1788" s="20"/>
      <c r="N1788" s="20"/>
      <c r="O1788" s="20"/>
      <c r="P1788" s="20"/>
      <c r="Q1788" s="20"/>
      <c r="R1788" s="20"/>
      <c r="S1788" s="20"/>
      <c r="T1788" s="20"/>
      <c r="U1788" s="20"/>
      <c r="V1788" s="20"/>
      <c r="W1788" s="20"/>
      <c r="X1788" s="20"/>
      <c r="Y1788" s="20"/>
      <c r="Z1788" s="20"/>
      <c r="AA1788" s="20"/>
    </row>
    <row r="1789" spans="1:27" ht="121.8" x14ac:dyDescent="0.25">
      <c r="A1789" s="16"/>
      <c r="B1789" s="20" t="b">
        <f ca="1">IFERROR(__xludf.DUMMYFUNCTION("if(D1789=iferror(filter('Character Sheet'!D$13:D3002,'Character Sheet'!D$13:D3002=D1789),""""),True,False)"),FALSE)</f>
        <v>0</v>
      </c>
      <c r="C1789" s="20">
        <v>300</v>
      </c>
      <c r="D1789" s="2" t="s">
        <v>3789</v>
      </c>
      <c r="E1789" s="2" t="s">
        <v>69</v>
      </c>
      <c r="F1789" s="20" t="s">
        <v>63</v>
      </c>
      <c r="G1789" s="2" t="s">
        <v>3790</v>
      </c>
      <c r="H1789" s="16"/>
      <c r="I1789" s="20"/>
      <c r="J1789" s="20"/>
      <c r="K1789" s="20"/>
      <c r="L1789" s="20"/>
      <c r="M1789" s="20"/>
      <c r="N1789" s="20"/>
      <c r="O1789" s="20"/>
      <c r="P1789" s="20"/>
      <c r="Q1789" s="20"/>
      <c r="R1789" s="20"/>
      <c r="S1789" s="20"/>
      <c r="T1789" s="20"/>
      <c r="U1789" s="20"/>
      <c r="V1789" s="20"/>
      <c r="W1789" s="20"/>
      <c r="X1789" s="20"/>
      <c r="Y1789" s="20"/>
      <c r="Z1789" s="20"/>
      <c r="AA1789" s="20"/>
    </row>
    <row r="1790" spans="1:27" ht="156.6" x14ac:dyDescent="0.25">
      <c r="A1790" s="16"/>
      <c r="B1790" s="20" t="b">
        <f ca="1">IFERROR(__xludf.DUMMYFUNCTION("if(D1790=iferror(filter('Character Sheet'!D$13:D3002,'Character Sheet'!D$13:D3002=D1790),""""),True,False)"),FALSE)</f>
        <v>0</v>
      </c>
      <c r="C1790" s="20">
        <v>300</v>
      </c>
      <c r="D1790" s="2" t="s">
        <v>3791</v>
      </c>
      <c r="E1790" s="2" t="s">
        <v>124</v>
      </c>
      <c r="F1790" s="20" t="s">
        <v>63</v>
      </c>
      <c r="G1790" s="2" t="s">
        <v>3792</v>
      </c>
      <c r="H1790" s="16"/>
      <c r="I1790" s="20"/>
      <c r="J1790" s="20"/>
      <c r="K1790" s="20"/>
      <c r="L1790" s="20"/>
      <c r="M1790" s="20"/>
      <c r="N1790" s="20"/>
      <c r="O1790" s="20"/>
      <c r="P1790" s="20"/>
      <c r="Q1790" s="20"/>
      <c r="R1790" s="20"/>
      <c r="S1790" s="20"/>
      <c r="T1790" s="20"/>
      <c r="U1790" s="20"/>
      <c r="V1790" s="20"/>
      <c r="W1790" s="20"/>
      <c r="X1790" s="20"/>
      <c r="Y1790" s="20"/>
      <c r="Z1790" s="20"/>
      <c r="AA1790" s="20"/>
    </row>
    <row r="1791" spans="1:27" ht="104.4" x14ac:dyDescent="0.25">
      <c r="A1791" s="16"/>
      <c r="B1791" s="20" t="b">
        <f ca="1">IFERROR(__xludf.DUMMYFUNCTION("if(D1791=iferror(filter('Character Sheet'!D$13:D3002,'Character Sheet'!D$13:D3002=D1791),""""),True,False)"),FALSE)</f>
        <v>0</v>
      </c>
      <c r="C1791" s="20">
        <v>300</v>
      </c>
      <c r="D1791" s="2" t="s">
        <v>3793</v>
      </c>
      <c r="E1791" s="2" t="s">
        <v>478</v>
      </c>
      <c r="F1791" s="20" t="s">
        <v>63</v>
      </c>
      <c r="G1791" s="2" t="s">
        <v>3794</v>
      </c>
      <c r="H1791" s="16"/>
      <c r="I1791" s="20"/>
      <c r="J1791" s="20"/>
      <c r="K1791" s="20"/>
      <c r="L1791" s="20"/>
      <c r="M1791" s="20"/>
      <c r="N1791" s="20"/>
      <c r="O1791" s="20"/>
      <c r="P1791" s="20"/>
      <c r="Q1791" s="20"/>
      <c r="R1791" s="20"/>
      <c r="S1791" s="20"/>
      <c r="T1791" s="20"/>
      <c r="U1791" s="20"/>
      <c r="V1791" s="20"/>
      <c r="W1791" s="20"/>
      <c r="X1791" s="20"/>
      <c r="Y1791" s="20"/>
      <c r="Z1791" s="20"/>
      <c r="AA1791" s="20"/>
    </row>
    <row r="1792" spans="1:27" ht="121.8" x14ac:dyDescent="0.25">
      <c r="A1792" s="16"/>
      <c r="B1792" s="20" t="b">
        <f ca="1">IFERROR(__xludf.DUMMYFUNCTION("if(D1792=iferror(filter('Character Sheet'!D$13:D3002,'Character Sheet'!D$13:D3002=D1792),""""),True,False)"),FALSE)</f>
        <v>0</v>
      </c>
      <c r="C1792" s="20">
        <v>300</v>
      </c>
      <c r="D1792" s="2" t="s">
        <v>3795</v>
      </c>
      <c r="E1792" s="2" t="s">
        <v>282</v>
      </c>
      <c r="F1792" s="20" t="s">
        <v>63</v>
      </c>
      <c r="G1792" s="2" t="s">
        <v>3796</v>
      </c>
      <c r="H1792" s="16"/>
      <c r="I1792" s="20"/>
      <c r="J1792" s="20"/>
      <c r="K1792" s="20"/>
      <c r="L1792" s="20"/>
      <c r="M1792" s="20"/>
      <c r="N1792" s="20"/>
      <c r="O1792" s="20"/>
      <c r="P1792" s="20"/>
      <c r="Q1792" s="20"/>
      <c r="R1792" s="20"/>
      <c r="S1792" s="20"/>
      <c r="T1792" s="20"/>
      <c r="U1792" s="20"/>
      <c r="V1792" s="20"/>
      <c r="W1792" s="20"/>
      <c r="X1792" s="20"/>
      <c r="Y1792" s="20"/>
      <c r="Z1792" s="20"/>
      <c r="AA1792" s="20"/>
    </row>
    <row r="1793" spans="1:27" ht="174" x14ac:dyDescent="0.25">
      <c r="A1793" s="16"/>
      <c r="B1793" s="20" t="b">
        <f ca="1">IFERROR(__xludf.DUMMYFUNCTION("if(D1793=iferror(filter('Character Sheet'!D$13:D3002,'Character Sheet'!D$13:D3002=D1793),""""),True,False)"),FALSE)</f>
        <v>0</v>
      </c>
      <c r="C1793" s="20">
        <v>300</v>
      </c>
      <c r="D1793" s="2" t="s">
        <v>3797</v>
      </c>
      <c r="E1793" s="2" t="s">
        <v>615</v>
      </c>
      <c r="F1793" s="20" t="s">
        <v>63</v>
      </c>
      <c r="G1793" s="2" t="s">
        <v>3798</v>
      </c>
      <c r="H1793" s="16"/>
      <c r="I1793" s="20"/>
      <c r="J1793" s="20"/>
      <c r="K1793" s="20"/>
      <c r="L1793" s="20"/>
      <c r="M1793" s="20"/>
      <c r="N1793" s="20"/>
      <c r="O1793" s="20"/>
      <c r="P1793" s="20"/>
      <c r="Q1793" s="20"/>
      <c r="R1793" s="20"/>
      <c r="S1793" s="20"/>
      <c r="T1793" s="20"/>
      <c r="U1793" s="20"/>
      <c r="V1793" s="20"/>
      <c r="W1793" s="20"/>
      <c r="X1793" s="20"/>
      <c r="Y1793" s="20"/>
      <c r="Z1793" s="20"/>
      <c r="AA1793" s="20"/>
    </row>
    <row r="1794" spans="1:27" ht="226.2" x14ac:dyDescent="0.25">
      <c r="A1794" s="16"/>
      <c r="B1794" s="20" t="b">
        <f ca="1">IFERROR(__xludf.DUMMYFUNCTION("if(D1794=iferror(filter('Character Sheet'!D$13:D3002,'Character Sheet'!D$13:D3002=D1794),""""),True,False)"),FALSE)</f>
        <v>0</v>
      </c>
      <c r="C1794" s="20">
        <v>300</v>
      </c>
      <c r="D1794" s="2" t="s">
        <v>3799</v>
      </c>
      <c r="E1794" s="2" t="s">
        <v>265</v>
      </c>
      <c r="F1794" s="20" t="s">
        <v>63</v>
      </c>
      <c r="G1794" s="2" t="s">
        <v>3800</v>
      </c>
      <c r="H1794" s="16"/>
      <c r="I1794" s="20"/>
      <c r="J1794" s="20"/>
      <c r="K1794" s="20"/>
      <c r="L1794" s="20"/>
      <c r="M1794" s="20"/>
      <c r="N1794" s="20"/>
      <c r="O1794" s="20"/>
      <c r="P1794" s="20"/>
      <c r="Q1794" s="20"/>
      <c r="R1794" s="20"/>
      <c r="S1794" s="20"/>
      <c r="T1794" s="20"/>
      <c r="U1794" s="20"/>
      <c r="V1794" s="20"/>
      <c r="W1794" s="20"/>
      <c r="X1794" s="20"/>
      <c r="Y1794" s="20"/>
      <c r="Z1794" s="20"/>
      <c r="AA1794" s="20"/>
    </row>
    <row r="1795" spans="1:27" ht="226.2" x14ac:dyDescent="0.25">
      <c r="A1795" s="16"/>
      <c r="B1795" s="20" t="b">
        <f ca="1">IFERROR(__xludf.DUMMYFUNCTION("if(D1795=iferror(filter('Character Sheet'!D$13:D3002,'Character Sheet'!D$13:D3002=D1795),""""),True,False)"),FALSE)</f>
        <v>0</v>
      </c>
      <c r="C1795" s="20">
        <v>300</v>
      </c>
      <c r="D1795" s="2" t="s">
        <v>3801</v>
      </c>
      <c r="E1795" s="2" t="s">
        <v>381</v>
      </c>
      <c r="F1795" s="20" t="s">
        <v>63</v>
      </c>
      <c r="G1795" s="2" t="s">
        <v>3802</v>
      </c>
      <c r="H1795" s="16"/>
      <c r="I1795" s="20"/>
      <c r="J1795" s="20"/>
      <c r="K1795" s="20"/>
      <c r="L1795" s="20"/>
      <c r="M1795" s="20"/>
      <c r="N1795" s="20"/>
      <c r="O1795" s="20"/>
      <c r="P1795" s="20"/>
      <c r="Q1795" s="20"/>
      <c r="R1795" s="20"/>
      <c r="S1795" s="20"/>
      <c r="T1795" s="20"/>
      <c r="U1795" s="20"/>
      <c r="V1795" s="20"/>
      <c r="W1795" s="20"/>
      <c r="X1795" s="20"/>
      <c r="Y1795" s="20"/>
      <c r="Z1795" s="20"/>
      <c r="AA1795" s="20"/>
    </row>
    <row r="1796" spans="1:27" ht="243.6" x14ac:dyDescent="0.25">
      <c r="A1796" s="16"/>
      <c r="B1796" s="20" t="b">
        <f ca="1">IFERROR(__xludf.DUMMYFUNCTION("if(D1796=iferror(filter('Character Sheet'!D$13:D3002,'Character Sheet'!D$13:D3002=D1796),""""),True,False)"),FALSE)</f>
        <v>0</v>
      </c>
      <c r="C1796" s="20">
        <v>300</v>
      </c>
      <c r="D1796" s="2" t="s">
        <v>3803</v>
      </c>
      <c r="E1796" s="2" t="s">
        <v>265</v>
      </c>
      <c r="F1796" s="20" t="s">
        <v>63</v>
      </c>
      <c r="G1796" s="2" t="s">
        <v>3804</v>
      </c>
      <c r="H1796" s="16"/>
      <c r="I1796" s="20"/>
      <c r="J1796" s="20"/>
      <c r="K1796" s="20"/>
      <c r="L1796" s="20"/>
      <c r="M1796" s="20"/>
      <c r="N1796" s="20"/>
      <c r="O1796" s="20"/>
      <c r="P1796" s="20"/>
      <c r="Q1796" s="20"/>
      <c r="R1796" s="20"/>
      <c r="S1796" s="20"/>
      <c r="T1796" s="20"/>
      <c r="U1796" s="20"/>
      <c r="V1796" s="20"/>
      <c r="W1796" s="20"/>
      <c r="X1796" s="20"/>
      <c r="Y1796" s="20"/>
      <c r="Z1796" s="20"/>
      <c r="AA1796" s="20"/>
    </row>
    <row r="1797" spans="1:27" ht="139.19999999999999" x14ac:dyDescent="0.25">
      <c r="A1797" s="16"/>
      <c r="B1797" s="20" t="b">
        <f ca="1">IFERROR(__xludf.DUMMYFUNCTION("if(D1797=iferror(filter('Character Sheet'!D$13:D3002,'Character Sheet'!D$13:D3002=D1797),""""),True,False)"),FALSE)</f>
        <v>0</v>
      </c>
      <c r="C1797" s="20">
        <v>400</v>
      </c>
      <c r="D1797" s="2" t="s">
        <v>3805</v>
      </c>
      <c r="E1797" s="2" t="s">
        <v>2325</v>
      </c>
      <c r="F1797" s="20" t="s">
        <v>63</v>
      </c>
      <c r="G1797" s="2" t="s">
        <v>3806</v>
      </c>
      <c r="H1797" s="16"/>
      <c r="I1797" s="20"/>
      <c r="J1797" s="20"/>
      <c r="K1797" s="20"/>
      <c r="L1797" s="20"/>
      <c r="M1797" s="20"/>
      <c r="N1797" s="20"/>
      <c r="O1797" s="20"/>
      <c r="P1797" s="20"/>
      <c r="Q1797" s="20"/>
      <c r="R1797" s="20"/>
      <c r="S1797" s="20"/>
      <c r="T1797" s="20"/>
      <c r="U1797" s="20"/>
      <c r="V1797" s="20"/>
      <c r="W1797" s="20"/>
      <c r="X1797" s="20"/>
      <c r="Y1797" s="20"/>
      <c r="Z1797" s="20"/>
      <c r="AA1797" s="20"/>
    </row>
    <row r="1798" spans="1:27" ht="156.6" x14ac:dyDescent="0.25">
      <c r="A1798" s="16"/>
      <c r="B1798" s="20" t="b">
        <f ca="1">IFERROR(__xludf.DUMMYFUNCTION("if(D1798=iferror(filter('Character Sheet'!D$13:D3002,'Character Sheet'!D$13:D3002=D1798),""""),True,False)"),FALSE)</f>
        <v>0</v>
      </c>
      <c r="C1798" s="20">
        <v>400</v>
      </c>
      <c r="D1798" s="2" t="s">
        <v>3807</v>
      </c>
      <c r="E1798" s="2" t="s">
        <v>268</v>
      </c>
      <c r="F1798" s="20" t="s">
        <v>63</v>
      </c>
      <c r="G1798" s="2" t="s">
        <v>3808</v>
      </c>
      <c r="H1798" s="16"/>
      <c r="I1798" s="20"/>
      <c r="J1798" s="20"/>
      <c r="K1798" s="20"/>
      <c r="L1798" s="20"/>
      <c r="M1798" s="20"/>
      <c r="N1798" s="20"/>
      <c r="O1798" s="20"/>
      <c r="P1798" s="20"/>
      <c r="Q1798" s="20"/>
      <c r="R1798" s="20"/>
      <c r="S1798" s="20"/>
      <c r="T1798" s="20"/>
      <c r="U1798" s="20"/>
      <c r="V1798" s="20"/>
      <c r="W1798" s="20"/>
      <c r="X1798" s="20"/>
      <c r="Y1798" s="20"/>
      <c r="Z1798" s="20"/>
      <c r="AA1798" s="20"/>
    </row>
    <row r="1799" spans="1:27" ht="121.8" x14ac:dyDescent="0.25">
      <c r="A1799" s="16"/>
      <c r="B1799" s="20" t="b">
        <f ca="1">IFERROR(__xludf.DUMMYFUNCTION("if(D1799=iferror(filter('Character Sheet'!D$13:D3002,'Character Sheet'!D$13:D3002=D1799),""""),True,False)"),FALSE)</f>
        <v>0</v>
      </c>
      <c r="C1799" s="20">
        <v>400</v>
      </c>
      <c r="D1799" s="2" t="s">
        <v>3809</v>
      </c>
      <c r="E1799" s="2" t="s">
        <v>277</v>
      </c>
      <c r="F1799" s="20" t="s">
        <v>63</v>
      </c>
      <c r="G1799" s="25" t="s">
        <v>3810</v>
      </c>
      <c r="H1799" s="16"/>
      <c r="I1799" s="20"/>
      <c r="J1799" s="20"/>
      <c r="K1799" s="20"/>
      <c r="L1799" s="20"/>
      <c r="M1799" s="20"/>
      <c r="N1799" s="20"/>
      <c r="O1799" s="20"/>
      <c r="P1799" s="20"/>
      <c r="Q1799" s="20"/>
      <c r="R1799" s="20"/>
      <c r="S1799" s="20"/>
      <c r="T1799" s="20"/>
      <c r="U1799" s="20"/>
      <c r="V1799" s="20"/>
      <c r="W1799" s="20"/>
      <c r="X1799" s="20"/>
      <c r="Y1799" s="20"/>
      <c r="Z1799" s="20"/>
      <c r="AA1799" s="20"/>
    </row>
    <row r="1800" spans="1:27" ht="69.599999999999994" x14ac:dyDescent="0.25">
      <c r="A1800" s="16"/>
      <c r="B1800" s="20" t="b">
        <f ca="1">IFERROR(__xludf.DUMMYFUNCTION("if(D1800=iferror(filter('Character Sheet'!D$13:D3002,'Character Sheet'!D$13:D3002=D1800),""""),True,False)"),FALSE)</f>
        <v>0</v>
      </c>
      <c r="C1800" s="20">
        <v>400</v>
      </c>
      <c r="D1800" s="2" t="s">
        <v>3811</v>
      </c>
      <c r="E1800" s="2" t="s">
        <v>277</v>
      </c>
      <c r="F1800" s="20" t="s">
        <v>63</v>
      </c>
      <c r="G1800" s="2" t="s">
        <v>3812</v>
      </c>
      <c r="H1800" s="16"/>
      <c r="I1800" s="20"/>
      <c r="J1800" s="20"/>
      <c r="K1800" s="20"/>
      <c r="L1800" s="20"/>
      <c r="M1800" s="20"/>
      <c r="N1800" s="20"/>
      <c r="O1800" s="20"/>
      <c r="P1800" s="20"/>
      <c r="Q1800" s="20"/>
      <c r="R1800" s="20"/>
      <c r="S1800" s="20"/>
      <c r="T1800" s="20"/>
      <c r="U1800" s="20"/>
      <c r="V1800" s="20"/>
      <c r="W1800" s="20"/>
      <c r="X1800" s="20"/>
      <c r="Y1800" s="20"/>
      <c r="Z1800" s="20"/>
      <c r="AA1800" s="20"/>
    </row>
    <row r="1801" spans="1:27" ht="52.2" x14ac:dyDescent="0.25">
      <c r="A1801" s="16"/>
      <c r="B1801" s="20" t="b">
        <f ca="1">IFERROR(__xludf.DUMMYFUNCTION("if(D1801=iferror(filter('Character Sheet'!D$13:D3002,'Character Sheet'!D$13:D3002=D1801),""""),True,False)"),FALSE)</f>
        <v>0</v>
      </c>
      <c r="C1801" s="20">
        <v>400</v>
      </c>
      <c r="D1801" s="2" t="s">
        <v>3813</v>
      </c>
      <c r="E1801" s="2" t="s">
        <v>149</v>
      </c>
      <c r="F1801" s="20" t="s">
        <v>63</v>
      </c>
      <c r="G1801" s="2" t="s">
        <v>3814</v>
      </c>
      <c r="H1801" s="16"/>
      <c r="I1801" s="20"/>
      <c r="J1801" s="20"/>
      <c r="K1801" s="20"/>
      <c r="L1801" s="20"/>
      <c r="M1801" s="20"/>
      <c r="N1801" s="20"/>
      <c r="O1801" s="20"/>
      <c r="P1801" s="20"/>
      <c r="Q1801" s="20"/>
      <c r="R1801" s="20"/>
      <c r="S1801" s="20"/>
      <c r="T1801" s="20"/>
      <c r="U1801" s="20"/>
      <c r="V1801" s="20"/>
      <c r="W1801" s="20"/>
      <c r="X1801" s="20"/>
      <c r="Y1801" s="20"/>
      <c r="Z1801" s="20"/>
      <c r="AA1801" s="20"/>
    </row>
    <row r="1802" spans="1:27" ht="261" x14ac:dyDescent="0.25">
      <c r="A1802" s="16"/>
      <c r="B1802" s="20" t="b">
        <f ca="1">IFERROR(__xludf.DUMMYFUNCTION("if(D1802=iferror(filter('Character Sheet'!D$13:D3002,'Character Sheet'!D$13:D3002=D1802),""""),True,False)"),FALSE)</f>
        <v>0</v>
      </c>
      <c r="C1802" s="20">
        <v>400</v>
      </c>
      <c r="D1802" s="2" t="s">
        <v>3815</v>
      </c>
      <c r="E1802" s="2" t="s">
        <v>815</v>
      </c>
      <c r="F1802" s="20" t="s">
        <v>63</v>
      </c>
      <c r="G1802" s="2" t="s">
        <v>3816</v>
      </c>
      <c r="H1802" s="16"/>
      <c r="I1802" s="20"/>
      <c r="J1802" s="20"/>
      <c r="K1802" s="20"/>
      <c r="L1802" s="20"/>
      <c r="M1802" s="20"/>
      <c r="N1802" s="20"/>
      <c r="O1802" s="20"/>
      <c r="P1802" s="20"/>
      <c r="Q1802" s="20"/>
      <c r="R1802" s="20"/>
      <c r="S1802" s="20"/>
      <c r="T1802" s="20"/>
      <c r="U1802" s="20"/>
      <c r="V1802" s="20"/>
      <c r="W1802" s="20"/>
      <c r="X1802" s="20"/>
      <c r="Y1802" s="20"/>
      <c r="Z1802" s="20"/>
      <c r="AA1802" s="20"/>
    </row>
    <row r="1803" spans="1:27" ht="226.2" x14ac:dyDescent="0.25">
      <c r="A1803" s="16"/>
      <c r="B1803" s="20" t="b">
        <f ca="1">IFERROR(__xludf.DUMMYFUNCTION("if(D1803=iferror(filter('Character Sheet'!D$13:D3002,'Character Sheet'!D$13:D3002=D1803),""""),True,False)"),FALSE)</f>
        <v>0</v>
      </c>
      <c r="C1803" s="20">
        <v>400</v>
      </c>
      <c r="D1803" s="2" t="s">
        <v>3817</v>
      </c>
      <c r="E1803" s="2" t="s">
        <v>176</v>
      </c>
      <c r="F1803" s="20" t="s">
        <v>63</v>
      </c>
      <c r="G1803" s="2" t="s">
        <v>3818</v>
      </c>
      <c r="H1803" s="16"/>
      <c r="I1803" s="20"/>
      <c r="J1803" s="20"/>
      <c r="K1803" s="20"/>
      <c r="L1803" s="20"/>
      <c r="M1803" s="20"/>
      <c r="N1803" s="20"/>
      <c r="O1803" s="20"/>
      <c r="P1803" s="20"/>
      <c r="Q1803" s="20"/>
      <c r="R1803" s="20"/>
      <c r="S1803" s="20"/>
      <c r="T1803" s="20"/>
      <c r="U1803" s="20"/>
      <c r="V1803" s="20"/>
      <c r="W1803" s="20"/>
      <c r="X1803" s="20"/>
      <c r="Y1803" s="20"/>
      <c r="Z1803" s="20"/>
      <c r="AA1803" s="20"/>
    </row>
    <row r="1804" spans="1:27" ht="87" x14ac:dyDescent="0.25">
      <c r="A1804" s="16"/>
      <c r="B1804" s="20" t="b">
        <f ca="1">IFERROR(__xludf.DUMMYFUNCTION("if(D1804=iferror(filter('Character Sheet'!D$13:D3002,'Character Sheet'!D$13:D3002=D1804),""""),True,False)"),FALSE)</f>
        <v>0</v>
      </c>
      <c r="C1804" s="20">
        <v>400</v>
      </c>
      <c r="D1804" s="2" t="s">
        <v>3819</v>
      </c>
      <c r="E1804" s="2" t="s">
        <v>451</v>
      </c>
      <c r="F1804" s="20" t="s">
        <v>63</v>
      </c>
      <c r="G1804" s="2" t="s">
        <v>3820</v>
      </c>
      <c r="H1804" s="16"/>
      <c r="I1804" s="20"/>
      <c r="J1804" s="20"/>
      <c r="K1804" s="20"/>
      <c r="L1804" s="20"/>
      <c r="M1804" s="20"/>
      <c r="N1804" s="20"/>
      <c r="O1804" s="20"/>
      <c r="P1804" s="20"/>
      <c r="Q1804" s="20"/>
      <c r="R1804" s="20"/>
      <c r="S1804" s="20"/>
      <c r="T1804" s="20"/>
      <c r="U1804" s="20"/>
      <c r="V1804" s="20"/>
      <c r="W1804" s="20"/>
      <c r="X1804" s="20"/>
      <c r="Y1804" s="20"/>
      <c r="Z1804" s="20"/>
      <c r="AA1804" s="20"/>
    </row>
    <row r="1805" spans="1:27" ht="174" x14ac:dyDescent="0.25">
      <c r="A1805" s="16"/>
      <c r="B1805" s="20" t="b">
        <f ca="1">IFERROR(__xludf.DUMMYFUNCTION("if(D1805=iferror(filter('Character Sheet'!D$13:D3002,'Character Sheet'!D$13:D3002=D1805),""""),True,False)"),FALSE)</f>
        <v>0</v>
      </c>
      <c r="C1805" s="20">
        <v>400</v>
      </c>
      <c r="D1805" s="2" t="s">
        <v>3821</v>
      </c>
      <c r="E1805" s="2" t="s">
        <v>369</v>
      </c>
      <c r="F1805" s="20" t="s">
        <v>63</v>
      </c>
      <c r="G1805" s="2" t="s">
        <v>3822</v>
      </c>
      <c r="H1805" s="16"/>
      <c r="I1805" s="20"/>
      <c r="J1805" s="20"/>
      <c r="K1805" s="20"/>
      <c r="L1805" s="20"/>
      <c r="M1805" s="20"/>
      <c r="N1805" s="20"/>
      <c r="O1805" s="20"/>
      <c r="P1805" s="20"/>
      <c r="Q1805" s="20"/>
      <c r="R1805" s="20"/>
      <c r="S1805" s="20"/>
      <c r="T1805" s="20"/>
      <c r="U1805" s="20"/>
      <c r="V1805" s="20"/>
      <c r="W1805" s="20"/>
      <c r="X1805" s="20"/>
      <c r="Y1805" s="20"/>
      <c r="Z1805" s="20"/>
      <c r="AA1805" s="20"/>
    </row>
    <row r="1806" spans="1:27" ht="87" x14ac:dyDescent="0.25">
      <c r="A1806" s="16"/>
      <c r="B1806" s="20" t="b">
        <f ca="1">IFERROR(__xludf.DUMMYFUNCTION("if(D1806=iferror(filter('Character Sheet'!D$13:D3002,'Character Sheet'!D$13:D3002=D1806),""""),True,False)"),FALSE)</f>
        <v>0</v>
      </c>
      <c r="C1806" s="20">
        <v>400</v>
      </c>
      <c r="D1806" s="2" t="s">
        <v>3823</v>
      </c>
      <c r="E1806" s="2" t="s">
        <v>914</v>
      </c>
      <c r="F1806" s="20" t="s">
        <v>63</v>
      </c>
      <c r="G1806" s="2" t="s">
        <v>3824</v>
      </c>
      <c r="H1806" s="16"/>
      <c r="I1806" s="20"/>
      <c r="J1806" s="20"/>
      <c r="K1806" s="20"/>
      <c r="L1806" s="20"/>
      <c r="M1806" s="20"/>
      <c r="N1806" s="20"/>
      <c r="O1806" s="20"/>
      <c r="P1806" s="20"/>
      <c r="Q1806" s="20"/>
      <c r="R1806" s="20"/>
      <c r="S1806" s="20"/>
      <c r="T1806" s="20"/>
      <c r="U1806" s="20"/>
      <c r="V1806" s="20"/>
      <c r="W1806" s="20"/>
      <c r="X1806" s="20"/>
      <c r="Y1806" s="20"/>
      <c r="Z1806" s="20"/>
      <c r="AA1806" s="20"/>
    </row>
    <row r="1807" spans="1:27" ht="139.19999999999999" x14ac:dyDescent="0.25">
      <c r="A1807" s="16"/>
      <c r="B1807" s="20" t="b">
        <f ca="1">IFERROR(__xludf.DUMMYFUNCTION("if(D1807=iferror(filter('Character Sheet'!D$13:D3002,'Character Sheet'!D$13:D3002=D1807),""""),True,False)"),FALSE)</f>
        <v>0</v>
      </c>
      <c r="C1807" s="20">
        <v>400</v>
      </c>
      <c r="D1807" s="2" t="s">
        <v>3825</v>
      </c>
      <c r="E1807" s="2" t="s">
        <v>863</v>
      </c>
      <c r="F1807" s="20" t="s">
        <v>63</v>
      </c>
      <c r="G1807" s="2" t="s">
        <v>3826</v>
      </c>
      <c r="H1807" s="16"/>
      <c r="I1807" s="20"/>
      <c r="J1807" s="20"/>
      <c r="K1807" s="20"/>
      <c r="L1807" s="20"/>
      <c r="M1807" s="20"/>
      <c r="N1807" s="20"/>
      <c r="O1807" s="20"/>
      <c r="P1807" s="20"/>
      <c r="Q1807" s="20"/>
      <c r="R1807" s="20"/>
      <c r="S1807" s="20"/>
      <c r="T1807" s="20"/>
      <c r="U1807" s="20"/>
      <c r="V1807" s="20"/>
      <c r="W1807" s="20"/>
      <c r="X1807" s="20"/>
      <c r="Y1807" s="20"/>
      <c r="Z1807" s="20"/>
      <c r="AA1807" s="20"/>
    </row>
    <row r="1808" spans="1:27" ht="174" x14ac:dyDescent="0.25">
      <c r="A1808" s="16"/>
      <c r="B1808" s="20" t="b">
        <f ca="1">IFERROR(__xludf.DUMMYFUNCTION("if(D1808=iferror(filter('Character Sheet'!D$13:D3002,'Character Sheet'!D$13:D3002=D1808),""""),True,False)"),FALSE)</f>
        <v>0</v>
      </c>
      <c r="C1808" s="20">
        <v>400</v>
      </c>
      <c r="D1808" s="2" t="s">
        <v>3827</v>
      </c>
      <c r="E1808" s="2" t="s">
        <v>655</v>
      </c>
      <c r="F1808" s="20" t="s">
        <v>63</v>
      </c>
      <c r="G1808" s="2" t="s">
        <v>3828</v>
      </c>
      <c r="H1808" s="16"/>
      <c r="I1808" s="20"/>
      <c r="J1808" s="20"/>
      <c r="K1808" s="20"/>
      <c r="L1808" s="20"/>
      <c r="M1808" s="20"/>
      <c r="N1808" s="20"/>
      <c r="O1808" s="20"/>
      <c r="P1808" s="20"/>
      <c r="Q1808" s="20"/>
      <c r="R1808" s="20"/>
      <c r="S1808" s="20"/>
      <c r="T1808" s="20"/>
      <c r="U1808" s="20"/>
      <c r="V1808" s="20"/>
      <c r="W1808" s="20"/>
      <c r="X1808" s="20"/>
      <c r="Y1808" s="20"/>
      <c r="Z1808" s="20"/>
      <c r="AA1808" s="20"/>
    </row>
    <row r="1809" spans="1:27" ht="87" x14ac:dyDescent="0.25">
      <c r="A1809" s="16"/>
      <c r="B1809" s="20" t="b">
        <f ca="1">IFERROR(__xludf.DUMMYFUNCTION("if(D1809=iferror(filter('Character Sheet'!D$13:D3002,'Character Sheet'!D$13:D3002=D1809),""""),True,False)"),FALSE)</f>
        <v>0</v>
      </c>
      <c r="C1809" s="20">
        <v>400</v>
      </c>
      <c r="D1809" s="2" t="s">
        <v>3829</v>
      </c>
      <c r="E1809" s="2" t="s">
        <v>877</v>
      </c>
      <c r="F1809" s="20" t="s">
        <v>63</v>
      </c>
      <c r="G1809" s="2" t="s">
        <v>3830</v>
      </c>
      <c r="H1809" s="16"/>
      <c r="I1809" s="20"/>
      <c r="J1809" s="20"/>
      <c r="K1809" s="20"/>
      <c r="L1809" s="20"/>
      <c r="M1809" s="20"/>
      <c r="N1809" s="20"/>
      <c r="O1809" s="20"/>
      <c r="P1809" s="20"/>
      <c r="Q1809" s="20"/>
      <c r="R1809" s="20"/>
      <c r="S1809" s="20"/>
      <c r="T1809" s="20"/>
      <c r="U1809" s="20"/>
      <c r="V1809" s="20"/>
      <c r="W1809" s="20"/>
      <c r="X1809" s="20"/>
      <c r="Y1809" s="20"/>
      <c r="Z1809" s="20"/>
      <c r="AA1809" s="20"/>
    </row>
    <row r="1810" spans="1:27" ht="139.19999999999999" x14ac:dyDescent="0.25">
      <c r="A1810" s="16"/>
      <c r="B1810" s="20" t="b">
        <f ca="1">IFERROR(__xludf.DUMMYFUNCTION("if(D1810=iferror(filter('Character Sheet'!D$13:D3002,'Character Sheet'!D$13:D3002=D1810),""""),True,False)"),FALSE)</f>
        <v>0</v>
      </c>
      <c r="C1810" s="20">
        <v>400</v>
      </c>
      <c r="D1810" s="2" t="s">
        <v>3831</v>
      </c>
      <c r="E1810" s="2" t="s">
        <v>863</v>
      </c>
      <c r="F1810" s="20" t="s">
        <v>63</v>
      </c>
      <c r="G1810" s="2" t="s">
        <v>3832</v>
      </c>
      <c r="H1810" s="16"/>
      <c r="I1810" s="20"/>
      <c r="J1810" s="20"/>
      <c r="K1810" s="20"/>
      <c r="L1810" s="20"/>
      <c r="M1810" s="20"/>
      <c r="N1810" s="20"/>
      <c r="O1810" s="20"/>
      <c r="P1810" s="20"/>
      <c r="Q1810" s="20"/>
      <c r="R1810" s="20"/>
      <c r="S1810" s="20"/>
      <c r="T1810" s="20"/>
      <c r="U1810" s="20"/>
      <c r="V1810" s="20"/>
      <c r="W1810" s="20"/>
      <c r="X1810" s="20"/>
      <c r="Y1810" s="20"/>
      <c r="Z1810" s="20"/>
      <c r="AA1810" s="20"/>
    </row>
    <row r="1811" spans="1:27" ht="348" x14ac:dyDescent="0.25">
      <c r="A1811" s="16"/>
      <c r="B1811" s="20" t="b">
        <f ca="1">IFERROR(__xludf.DUMMYFUNCTION("if(D1811=iferror(filter('Character Sheet'!D$13:D3002,'Character Sheet'!D$13:D3002=D1811),""""),True,False)"),FALSE)</f>
        <v>0</v>
      </c>
      <c r="C1811" s="20">
        <v>400</v>
      </c>
      <c r="D1811" s="2" t="s">
        <v>3833</v>
      </c>
      <c r="E1811" s="2" t="s">
        <v>75</v>
      </c>
      <c r="F1811" s="20" t="s">
        <v>63</v>
      </c>
      <c r="G1811" s="2" t="s">
        <v>3834</v>
      </c>
      <c r="H1811" s="16"/>
      <c r="I1811" s="20"/>
      <c r="J1811" s="20"/>
      <c r="K1811" s="20"/>
      <c r="L1811" s="20"/>
      <c r="M1811" s="20"/>
      <c r="N1811" s="20"/>
      <c r="O1811" s="20"/>
      <c r="P1811" s="20"/>
      <c r="Q1811" s="20"/>
      <c r="R1811" s="20"/>
      <c r="S1811" s="20"/>
      <c r="T1811" s="20"/>
      <c r="U1811" s="20"/>
      <c r="V1811" s="20"/>
      <c r="W1811" s="20"/>
      <c r="X1811" s="20"/>
      <c r="Y1811" s="20"/>
      <c r="Z1811" s="20"/>
      <c r="AA1811" s="20"/>
    </row>
    <row r="1812" spans="1:27" ht="226.2" x14ac:dyDescent="0.25">
      <c r="A1812" s="16"/>
      <c r="B1812" s="20" t="b">
        <f ca="1">IFERROR(__xludf.DUMMYFUNCTION("if(D1812=iferror(filter('Character Sheet'!D$13:D3002,'Character Sheet'!D$13:D3002=D1812),""""),True,False)"),FALSE)</f>
        <v>0</v>
      </c>
      <c r="C1812" s="20">
        <v>400</v>
      </c>
      <c r="D1812" s="2" t="s">
        <v>3835</v>
      </c>
      <c r="E1812" s="2" t="s">
        <v>963</v>
      </c>
      <c r="F1812" s="20" t="s">
        <v>63</v>
      </c>
      <c r="G1812" s="2" t="s">
        <v>3836</v>
      </c>
      <c r="H1812" s="16"/>
      <c r="I1812" s="20"/>
      <c r="J1812" s="20"/>
      <c r="K1812" s="20"/>
      <c r="L1812" s="20"/>
      <c r="M1812" s="20"/>
      <c r="N1812" s="20"/>
      <c r="O1812" s="20"/>
      <c r="P1812" s="20"/>
      <c r="Q1812" s="20"/>
      <c r="R1812" s="20"/>
      <c r="S1812" s="20"/>
      <c r="T1812" s="20"/>
      <c r="U1812" s="20"/>
      <c r="V1812" s="20"/>
      <c r="W1812" s="20"/>
      <c r="X1812" s="20"/>
      <c r="Y1812" s="20"/>
      <c r="Z1812" s="20"/>
      <c r="AA1812" s="20"/>
    </row>
    <row r="1813" spans="1:27" ht="139.19999999999999" x14ac:dyDescent="0.25">
      <c r="A1813" s="16"/>
      <c r="B1813" s="20" t="b">
        <f ca="1">IFERROR(__xludf.DUMMYFUNCTION("if(D1813=iferror(filter('Character Sheet'!D$13:D3002,'Character Sheet'!D$13:D3002=D1813),""""),True,False)"),FALSE)</f>
        <v>0</v>
      </c>
      <c r="C1813" s="20">
        <v>400</v>
      </c>
      <c r="D1813" s="2" t="s">
        <v>3837</v>
      </c>
      <c r="E1813" s="2" t="s">
        <v>100</v>
      </c>
      <c r="F1813" s="20" t="s">
        <v>63</v>
      </c>
      <c r="G1813" s="2" t="s">
        <v>3838</v>
      </c>
      <c r="H1813" s="16"/>
      <c r="I1813" s="20"/>
      <c r="J1813" s="20"/>
      <c r="K1813" s="20"/>
      <c r="L1813" s="20"/>
      <c r="M1813" s="20"/>
      <c r="N1813" s="20"/>
      <c r="O1813" s="20"/>
      <c r="P1813" s="20"/>
      <c r="Q1813" s="20"/>
      <c r="R1813" s="20"/>
      <c r="S1813" s="20"/>
      <c r="T1813" s="20"/>
      <c r="U1813" s="20"/>
      <c r="V1813" s="20"/>
      <c r="W1813" s="20"/>
      <c r="X1813" s="20"/>
      <c r="Y1813" s="20"/>
      <c r="Z1813" s="20"/>
      <c r="AA1813" s="20"/>
    </row>
    <row r="1814" spans="1:27" ht="208.8" x14ac:dyDescent="0.25">
      <c r="A1814" s="16"/>
      <c r="B1814" s="20" t="b">
        <f ca="1">IFERROR(__xludf.DUMMYFUNCTION("if(D1814=iferror(filter('Character Sheet'!D$13:D3002,'Character Sheet'!D$13:D3002=D1814),""""),True,False)"),FALSE)</f>
        <v>0</v>
      </c>
      <c r="C1814" s="20">
        <v>400</v>
      </c>
      <c r="D1814" s="2" t="s">
        <v>3839</v>
      </c>
      <c r="E1814" s="2" t="s">
        <v>662</v>
      </c>
      <c r="F1814" s="20" t="s">
        <v>63</v>
      </c>
      <c r="G1814" s="2" t="s">
        <v>3840</v>
      </c>
      <c r="H1814" s="16"/>
      <c r="I1814" s="20"/>
      <c r="J1814" s="20"/>
      <c r="K1814" s="20"/>
      <c r="L1814" s="20"/>
      <c r="M1814" s="20"/>
      <c r="N1814" s="20"/>
      <c r="O1814" s="20"/>
      <c r="P1814" s="20"/>
      <c r="Q1814" s="20"/>
      <c r="R1814" s="20"/>
      <c r="S1814" s="20"/>
      <c r="T1814" s="20"/>
      <c r="U1814" s="20"/>
      <c r="V1814" s="20"/>
      <c r="W1814" s="20"/>
      <c r="X1814" s="20"/>
      <c r="Y1814" s="20"/>
      <c r="Z1814" s="20"/>
      <c r="AA1814" s="20"/>
    </row>
    <row r="1815" spans="1:27" ht="139.19999999999999" x14ac:dyDescent="0.25">
      <c r="A1815" s="16"/>
      <c r="B1815" s="20" t="b">
        <f ca="1">IFERROR(__xludf.DUMMYFUNCTION("if(D1815=iferror(filter('Character Sheet'!D$13:D3002,'Character Sheet'!D$13:D3002=D1815),""""),True,False)"),FALSE)</f>
        <v>0</v>
      </c>
      <c r="C1815" s="20">
        <v>400</v>
      </c>
      <c r="D1815" s="2" t="s">
        <v>3841</v>
      </c>
      <c r="E1815" s="2" t="s">
        <v>173</v>
      </c>
      <c r="F1815" s="20" t="s">
        <v>63</v>
      </c>
      <c r="G1815" s="2" t="s">
        <v>3842</v>
      </c>
      <c r="H1815" s="16"/>
      <c r="I1815" s="20"/>
      <c r="J1815" s="20"/>
      <c r="K1815" s="20"/>
      <c r="L1815" s="20"/>
      <c r="M1815" s="20"/>
      <c r="N1815" s="20"/>
      <c r="O1815" s="20"/>
      <c r="P1815" s="20"/>
      <c r="Q1815" s="20"/>
      <c r="R1815" s="20"/>
      <c r="S1815" s="20"/>
      <c r="T1815" s="20"/>
      <c r="U1815" s="20"/>
      <c r="V1815" s="20"/>
      <c r="W1815" s="20"/>
      <c r="X1815" s="20"/>
      <c r="Y1815" s="20"/>
      <c r="Z1815" s="20"/>
      <c r="AA1815" s="20"/>
    </row>
    <row r="1816" spans="1:27" ht="174" x14ac:dyDescent="0.25">
      <c r="A1816" s="16"/>
      <c r="B1816" s="20" t="b">
        <f ca="1">IFERROR(__xludf.DUMMYFUNCTION("if(D1816=iferror(filter('Character Sheet'!D$13:D3002,'Character Sheet'!D$13:D3002=D1816),""""),True,False)"),FALSE)</f>
        <v>0</v>
      </c>
      <c r="C1816" s="20">
        <v>400</v>
      </c>
      <c r="D1816" s="2" t="s">
        <v>3843</v>
      </c>
      <c r="E1816" s="2" t="s">
        <v>268</v>
      </c>
      <c r="F1816" s="20" t="s">
        <v>63</v>
      </c>
      <c r="G1816" s="2" t="s">
        <v>3844</v>
      </c>
      <c r="H1816" s="16"/>
      <c r="I1816" s="20"/>
      <c r="J1816" s="20"/>
      <c r="K1816" s="20"/>
      <c r="L1816" s="20"/>
      <c r="M1816" s="20"/>
      <c r="N1816" s="20"/>
      <c r="O1816" s="20"/>
      <c r="P1816" s="20"/>
      <c r="Q1816" s="20"/>
      <c r="R1816" s="20"/>
      <c r="S1816" s="20"/>
      <c r="T1816" s="20"/>
      <c r="U1816" s="20"/>
      <c r="V1816" s="20"/>
      <c r="W1816" s="20"/>
      <c r="X1816" s="20"/>
      <c r="Y1816" s="20"/>
      <c r="Z1816" s="20"/>
      <c r="AA1816" s="20"/>
    </row>
    <row r="1817" spans="1:27" ht="243.6" x14ac:dyDescent="0.25">
      <c r="A1817" s="16"/>
      <c r="B1817" s="20" t="b">
        <f ca="1">IFERROR(__xludf.DUMMYFUNCTION("if(D1817=iferror(filter('Character Sheet'!D$13:D3002,'Character Sheet'!D$13:D3002=D1817),""""),True,False)"),FALSE)</f>
        <v>0</v>
      </c>
      <c r="C1817" s="20">
        <v>400</v>
      </c>
      <c r="D1817" s="2" t="s">
        <v>3845</v>
      </c>
      <c r="E1817" s="2" t="s">
        <v>253</v>
      </c>
      <c r="F1817" s="20" t="s">
        <v>63</v>
      </c>
      <c r="G1817" s="2" t="s">
        <v>3846</v>
      </c>
      <c r="H1817" s="16"/>
      <c r="I1817" s="20"/>
      <c r="J1817" s="20"/>
      <c r="K1817" s="20"/>
      <c r="L1817" s="20"/>
      <c r="M1817" s="20"/>
      <c r="N1817" s="20"/>
      <c r="O1817" s="20"/>
      <c r="P1817" s="20"/>
      <c r="Q1817" s="20"/>
      <c r="R1817" s="20"/>
      <c r="S1817" s="20"/>
      <c r="T1817" s="20"/>
      <c r="U1817" s="20"/>
      <c r="V1817" s="20"/>
      <c r="W1817" s="20"/>
      <c r="X1817" s="20"/>
      <c r="Y1817" s="20"/>
      <c r="Z1817" s="20"/>
      <c r="AA1817" s="20"/>
    </row>
    <row r="1818" spans="1:27" ht="69.599999999999994" x14ac:dyDescent="0.25">
      <c r="A1818" s="16"/>
      <c r="B1818" s="20" t="b">
        <f ca="1">IFERROR(__xludf.DUMMYFUNCTION("if(D1818=iferror(filter('Character Sheet'!D$13:D3002,'Character Sheet'!D$13:D3002=D1818),""""),True,False)"),FALSE)</f>
        <v>0</v>
      </c>
      <c r="C1818" s="20">
        <v>400</v>
      </c>
      <c r="D1818" s="2" t="s">
        <v>3847</v>
      </c>
      <c r="E1818" s="2" t="s">
        <v>3774</v>
      </c>
      <c r="F1818" s="20" t="s">
        <v>63</v>
      </c>
      <c r="G1818" s="2" t="s">
        <v>3848</v>
      </c>
      <c r="H1818" s="16"/>
      <c r="I1818" s="20"/>
      <c r="J1818" s="20"/>
      <c r="K1818" s="20"/>
      <c r="L1818" s="20"/>
      <c r="M1818" s="20"/>
      <c r="N1818" s="20"/>
      <c r="O1818" s="20"/>
      <c r="P1818" s="20"/>
      <c r="Q1818" s="20"/>
      <c r="R1818" s="20"/>
      <c r="S1818" s="20"/>
      <c r="T1818" s="20"/>
      <c r="U1818" s="20"/>
      <c r="V1818" s="20"/>
      <c r="W1818" s="20"/>
      <c r="X1818" s="20"/>
      <c r="Y1818" s="20"/>
      <c r="Z1818" s="20"/>
      <c r="AA1818" s="20"/>
    </row>
    <row r="1819" spans="1:27" ht="191.4" x14ac:dyDescent="0.25">
      <c r="A1819" s="16"/>
      <c r="B1819" s="20" t="b">
        <f ca="1">IFERROR(__xludf.DUMMYFUNCTION("if(D1819=iferror(filter('Character Sheet'!D$13:D3002,'Character Sheet'!D$13:D3002=D1819),""""),True,False)"),FALSE)</f>
        <v>0</v>
      </c>
      <c r="C1819" s="20">
        <v>400</v>
      </c>
      <c r="D1819" s="2" t="s">
        <v>3849</v>
      </c>
      <c r="E1819" s="2" t="s">
        <v>615</v>
      </c>
      <c r="F1819" s="20" t="s">
        <v>63</v>
      </c>
      <c r="G1819" s="2" t="s">
        <v>3850</v>
      </c>
      <c r="H1819" s="16"/>
      <c r="I1819" s="20"/>
      <c r="J1819" s="20"/>
      <c r="K1819" s="20"/>
      <c r="L1819" s="20"/>
      <c r="M1819" s="20"/>
      <c r="N1819" s="20"/>
      <c r="O1819" s="20"/>
      <c r="P1819" s="20"/>
      <c r="Q1819" s="20"/>
      <c r="R1819" s="20"/>
      <c r="S1819" s="20"/>
      <c r="T1819" s="20"/>
      <c r="U1819" s="20"/>
      <c r="V1819" s="20"/>
      <c r="W1819" s="20"/>
      <c r="X1819" s="20"/>
      <c r="Y1819" s="20"/>
      <c r="Z1819" s="20"/>
      <c r="AA1819" s="20"/>
    </row>
    <row r="1820" spans="1:27" ht="104.4" x14ac:dyDescent="0.25">
      <c r="A1820" s="16"/>
      <c r="B1820" s="20" t="b">
        <f ca="1">IFERROR(__xludf.DUMMYFUNCTION("if(D1820=iferror(filter('Character Sheet'!D$13:D3002,'Character Sheet'!D$13:D3002=D1820),""""),True,False)"),FALSE)</f>
        <v>0</v>
      </c>
      <c r="C1820" s="20">
        <v>400</v>
      </c>
      <c r="D1820" s="2" t="s">
        <v>3851</v>
      </c>
      <c r="E1820" s="2" t="s">
        <v>325</v>
      </c>
      <c r="F1820" s="20" t="s">
        <v>63</v>
      </c>
      <c r="G1820" s="2" t="s">
        <v>3852</v>
      </c>
      <c r="H1820" s="16"/>
      <c r="I1820" s="20"/>
      <c r="J1820" s="20"/>
      <c r="K1820" s="20"/>
      <c r="L1820" s="20"/>
      <c r="M1820" s="20"/>
      <c r="N1820" s="20"/>
      <c r="O1820" s="20"/>
      <c r="P1820" s="20"/>
      <c r="Q1820" s="20"/>
      <c r="R1820" s="20"/>
      <c r="S1820" s="20"/>
      <c r="T1820" s="20"/>
      <c r="U1820" s="20"/>
      <c r="V1820" s="20"/>
      <c r="W1820" s="20"/>
      <c r="X1820" s="20"/>
      <c r="Y1820" s="20"/>
      <c r="Z1820" s="20"/>
      <c r="AA1820" s="20"/>
    </row>
    <row r="1821" spans="1:27" ht="243.6" x14ac:dyDescent="0.25">
      <c r="A1821" s="16"/>
      <c r="B1821" s="20" t="b">
        <f ca="1">IFERROR(__xludf.DUMMYFUNCTION("if(D1821=iferror(filter('Character Sheet'!D$13:D3002,'Character Sheet'!D$13:D3002=D1821),""""),True,False)"),FALSE)</f>
        <v>0</v>
      </c>
      <c r="C1821" s="20">
        <v>400</v>
      </c>
      <c r="D1821" s="2" t="s">
        <v>3853</v>
      </c>
      <c r="E1821" s="2" t="s">
        <v>350</v>
      </c>
      <c r="F1821" s="20" t="s">
        <v>63</v>
      </c>
      <c r="G1821" s="2" t="s">
        <v>3854</v>
      </c>
      <c r="H1821" s="16"/>
      <c r="I1821" s="20"/>
      <c r="J1821" s="20"/>
      <c r="K1821" s="20"/>
      <c r="L1821" s="20"/>
      <c r="M1821" s="20"/>
      <c r="N1821" s="20"/>
      <c r="O1821" s="20"/>
      <c r="P1821" s="20"/>
      <c r="Q1821" s="20"/>
      <c r="R1821" s="20"/>
      <c r="S1821" s="20"/>
      <c r="T1821" s="20"/>
      <c r="U1821" s="20"/>
      <c r="V1821" s="20"/>
      <c r="W1821" s="20"/>
      <c r="X1821" s="20"/>
      <c r="Y1821" s="20"/>
      <c r="Z1821" s="20"/>
      <c r="AA1821" s="20"/>
    </row>
    <row r="1822" spans="1:27" ht="226.2" x14ac:dyDescent="0.25">
      <c r="A1822" s="16"/>
      <c r="B1822" s="20" t="b">
        <f ca="1">IFERROR(__xludf.DUMMYFUNCTION("if(D1822=iferror(filter('Character Sheet'!D$13:D3002,'Character Sheet'!D$13:D3002=D1822),""""),True,False)"),FALSE)</f>
        <v>0</v>
      </c>
      <c r="C1822" s="20">
        <v>400</v>
      </c>
      <c r="D1822" s="2" t="s">
        <v>3855</v>
      </c>
      <c r="E1822" s="2" t="s">
        <v>963</v>
      </c>
      <c r="F1822" s="20" t="s">
        <v>63</v>
      </c>
      <c r="G1822" s="2" t="s">
        <v>3856</v>
      </c>
      <c r="H1822" s="16"/>
      <c r="I1822" s="20"/>
      <c r="J1822" s="20"/>
      <c r="K1822" s="20"/>
      <c r="L1822" s="20"/>
      <c r="M1822" s="20"/>
      <c r="N1822" s="20"/>
      <c r="O1822" s="20"/>
      <c r="P1822" s="20"/>
      <c r="Q1822" s="20"/>
      <c r="R1822" s="20"/>
      <c r="S1822" s="20"/>
      <c r="T1822" s="20"/>
      <c r="U1822" s="20"/>
      <c r="V1822" s="20"/>
      <c r="W1822" s="20"/>
      <c r="X1822" s="20"/>
      <c r="Y1822" s="20"/>
      <c r="Z1822" s="20"/>
      <c r="AA1822" s="20"/>
    </row>
    <row r="1823" spans="1:27" ht="104.4" x14ac:dyDescent="0.25">
      <c r="A1823" s="16"/>
      <c r="B1823" s="20" t="b">
        <f ca="1">IFERROR(__xludf.DUMMYFUNCTION("if(D1823=iferror(filter('Character Sheet'!D$13:D3002,'Character Sheet'!D$13:D3002=D1823),""""),True,False)"),FALSE)</f>
        <v>0</v>
      </c>
      <c r="C1823" s="20">
        <v>400</v>
      </c>
      <c r="D1823" s="2" t="s">
        <v>3857</v>
      </c>
      <c r="E1823" s="2" t="s">
        <v>109</v>
      </c>
      <c r="F1823" s="20" t="s">
        <v>63</v>
      </c>
      <c r="G1823" s="2" t="s">
        <v>3858</v>
      </c>
      <c r="H1823" s="16"/>
      <c r="I1823" s="20"/>
      <c r="J1823" s="20"/>
      <c r="K1823" s="20"/>
      <c r="L1823" s="20"/>
      <c r="M1823" s="20"/>
      <c r="N1823" s="20"/>
      <c r="O1823" s="20"/>
      <c r="P1823" s="20"/>
      <c r="Q1823" s="20"/>
      <c r="R1823" s="20"/>
      <c r="S1823" s="20"/>
      <c r="T1823" s="20"/>
      <c r="U1823" s="20"/>
      <c r="V1823" s="20"/>
      <c r="W1823" s="20"/>
      <c r="X1823" s="20"/>
      <c r="Y1823" s="20"/>
      <c r="Z1823" s="20"/>
      <c r="AA1823" s="20"/>
    </row>
    <row r="1824" spans="1:27" ht="330.6" x14ac:dyDescent="0.25">
      <c r="A1824" s="16"/>
      <c r="B1824" s="20" t="b">
        <f ca="1">IFERROR(__xludf.DUMMYFUNCTION("if(D1824=iferror(filter('Character Sheet'!D$13:D3002,'Character Sheet'!D$13:D3002=D1824),""""),True,False)"),FALSE)</f>
        <v>0</v>
      </c>
      <c r="C1824" s="20">
        <v>400</v>
      </c>
      <c r="D1824" s="2" t="s">
        <v>3859</v>
      </c>
      <c r="E1824" s="2" t="s">
        <v>66</v>
      </c>
      <c r="F1824" s="20" t="s">
        <v>63</v>
      </c>
      <c r="G1824" s="2" t="s">
        <v>3860</v>
      </c>
      <c r="H1824" s="16"/>
      <c r="I1824" s="20"/>
      <c r="J1824" s="20"/>
      <c r="K1824" s="20"/>
      <c r="L1824" s="20"/>
      <c r="M1824" s="20"/>
      <c r="N1824" s="20"/>
      <c r="O1824" s="20"/>
      <c r="P1824" s="20"/>
      <c r="Q1824" s="20"/>
      <c r="R1824" s="20"/>
      <c r="S1824" s="20"/>
      <c r="T1824" s="20"/>
      <c r="U1824" s="20"/>
      <c r="V1824" s="20"/>
      <c r="W1824" s="20"/>
      <c r="X1824" s="20"/>
      <c r="Y1824" s="20"/>
      <c r="Z1824" s="20"/>
      <c r="AA1824" s="20"/>
    </row>
    <row r="1825" spans="1:27" ht="139.19999999999999" x14ac:dyDescent="0.25">
      <c r="A1825" s="16"/>
      <c r="B1825" s="20" t="b">
        <f ca="1">IFERROR(__xludf.DUMMYFUNCTION("if(D1825=iferror(filter('Character Sheet'!D$13:D3002,'Character Sheet'!D$13:D3002=D1825),""""),True,False)"),FALSE)</f>
        <v>0</v>
      </c>
      <c r="C1825" s="20">
        <v>400</v>
      </c>
      <c r="D1825" s="2" t="s">
        <v>3861</v>
      </c>
      <c r="E1825" s="2" t="s">
        <v>753</v>
      </c>
      <c r="F1825" s="20" t="s">
        <v>63</v>
      </c>
      <c r="G1825" s="2" t="s">
        <v>3862</v>
      </c>
      <c r="H1825" s="16"/>
      <c r="I1825" s="20"/>
      <c r="J1825" s="20"/>
      <c r="K1825" s="20"/>
      <c r="L1825" s="20"/>
      <c r="M1825" s="20"/>
      <c r="N1825" s="20"/>
      <c r="O1825" s="20"/>
      <c r="P1825" s="20"/>
      <c r="Q1825" s="20"/>
      <c r="R1825" s="20"/>
      <c r="S1825" s="20"/>
      <c r="T1825" s="20"/>
      <c r="U1825" s="20"/>
      <c r="V1825" s="20"/>
      <c r="W1825" s="20"/>
      <c r="X1825" s="20"/>
      <c r="Y1825" s="20"/>
      <c r="Z1825" s="20"/>
      <c r="AA1825" s="20"/>
    </row>
    <row r="1826" spans="1:27" ht="191.4" x14ac:dyDescent="0.25">
      <c r="A1826" s="16"/>
      <c r="B1826" s="20" t="b">
        <f ca="1">IFERROR(__xludf.DUMMYFUNCTION("if(D1826=iferror(filter('Character Sheet'!D$13:D3002,'Character Sheet'!D$13:D3002=D1826),""""),True,False)"),FALSE)</f>
        <v>0</v>
      </c>
      <c r="C1826" s="20">
        <v>400</v>
      </c>
      <c r="D1826" s="2" t="s">
        <v>3863</v>
      </c>
      <c r="E1826" s="2" t="s">
        <v>124</v>
      </c>
      <c r="F1826" s="20" t="s">
        <v>63</v>
      </c>
      <c r="G1826" s="2" t="s">
        <v>3864</v>
      </c>
      <c r="H1826" s="16"/>
      <c r="I1826" s="20"/>
      <c r="J1826" s="20"/>
      <c r="K1826" s="20"/>
      <c r="L1826" s="20"/>
      <c r="M1826" s="20"/>
      <c r="N1826" s="20"/>
      <c r="O1826" s="20"/>
      <c r="P1826" s="20"/>
      <c r="Q1826" s="20"/>
      <c r="R1826" s="20"/>
      <c r="S1826" s="20"/>
      <c r="T1826" s="20"/>
      <c r="U1826" s="20"/>
      <c r="V1826" s="20"/>
      <c r="W1826" s="20"/>
      <c r="X1826" s="20"/>
      <c r="Y1826" s="20"/>
      <c r="Z1826" s="20"/>
      <c r="AA1826" s="20"/>
    </row>
    <row r="1827" spans="1:27" ht="121.8" x14ac:dyDescent="0.25">
      <c r="A1827" s="16"/>
      <c r="B1827" s="20" t="b">
        <f ca="1">IFERROR(__xludf.DUMMYFUNCTION("if(D1827=iferror(filter('Character Sheet'!D$13:D3002,'Character Sheet'!D$13:D3002=D1827),""""),True,False)"),FALSE)</f>
        <v>0</v>
      </c>
      <c r="C1827" s="20">
        <v>500</v>
      </c>
      <c r="D1827" s="2" t="s">
        <v>3865</v>
      </c>
      <c r="E1827" s="2" t="s">
        <v>391</v>
      </c>
      <c r="F1827" s="20" t="s">
        <v>63</v>
      </c>
      <c r="G1827" s="2" t="s">
        <v>3866</v>
      </c>
      <c r="H1827" s="16"/>
      <c r="I1827" s="20"/>
      <c r="J1827" s="20"/>
      <c r="K1827" s="20"/>
      <c r="L1827" s="20"/>
      <c r="M1827" s="20"/>
      <c r="N1827" s="20"/>
      <c r="O1827" s="20"/>
      <c r="P1827" s="20"/>
      <c r="Q1827" s="20"/>
      <c r="R1827" s="20"/>
      <c r="S1827" s="20"/>
      <c r="T1827" s="20"/>
      <c r="U1827" s="20"/>
      <c r="V1827" s="20"/>
      <c r="W1827" s="20"/>
      <c r="X1827" s="20"/>
      <c r="Y1827" s="20"/>
      <c r="Z1827" s="20"/>
      <c r="AA1827" s="20"/>
    </row>
    <row r="1828" spans="1:27" ht="69.599999999999994" x14ac:dyDescent="0.25">
      <c r="A1828" s="16"/>
      <c r="B1828" s="20" t="b">
        <f ca="1">IFERROR(__xludf.DUMMYFUNCTION("if(D1828=iferror(filter('Character Sheet'!D$13:D3002,'Character Sheet'!D$13:D3002=D1828),""""),True,False)"),FALSE)</f>
        <v>0</v>
      </c>
      <c r="C1828" s="20">
        <v>500</v>
      </c>
      <c r="D1828" s="2" t="s">
        <v>3867</v>
      </c>
      <c r="E1828" s="2" t="s">
        <v>1787</v>
      </c>
      <c r="F1828" s="20" t="s">
        <v>63</v>
      </c>
      <c r="G1828" s="2" t="s">
        <v>3868</v>
      </c>
      <c r="H1828" s="16"/>
      <c r="I1828" s="20"/>
      <c r="J1828" s="20"/>
      <c r="K1828" s="20"/>
      <c r="L1828" s="20"/>
      <c r="M1828" s="20"/>
      <c r="N1828" s="20"/>
      <c r="O1828" s="20"/>
      <c r="P1828" s="20"/>
      <c r="Q1828" s="20"/>
      <c r="R1828" s="20"/>
      <c r="S1828" s="20"/>
      <c r="T1828" s="20"/>
      <c r="U1828" s="20"/>
      <c r="V1828" s="20"/>
      <c r="W1828" s="20"/>
      <c r="X1828" s="20"/>
      <c r="Y1828" s="20"/>
      <c r="Z1828" s="20"/>
      <c r="AA1828" s="20"/>
    </row>
    <row r="1829" spans="1:27" ht="121.8" x14ac:dyDescent="0.25">
      <c r="A1829" s="16"/>
      <c r="B1829" s="20" t="b">
        <f ca="1">IFERROR(__xludf.DUMMYFUNCTION("if(D1829=iferror(filter('Character Sheet'!D$13:D3002,'Character Sheet'!D$13:D3002=D1829),""""),True,False)"),FALSE)</f>
        <v>0</v>
      </c>
      <c r="C1829" s="20">
        <v>500</v>
      </c>
      <c r="D1829" s="2" t="s">
        <v>3869</v>
      </c>
      <c r="E1829" s="2" t="s">
        <v>478</v>
      </c>
      <c r="F1829" s="20" t="s">
        <v>63</v>
      </c>
      <c r="G1829" s="2" t="s">
        <v>3870</v>
      </c>
      <c r="H1829" s="16"/>
      <c r="I1829" s="20"/>
      <c r="J1829" s="20"/>
      <c r="K1829" s="20"/>
      <c r="L1829" s="20"/>
      <c r="M1829" s="20"/>
      <c r="N1829" s="20"/>
      <c r="O1829" s="20"/>
      <c r="P1829" s="20"/>
      <c r="Q1829" s="20"/>
      <c r="R1829" s="20"/>
      <c r="S1829" s="20"/>
      <c r="T1829" s="20"/>
      <c r="U1829" s="20"/>
      <c r="V1829" s="20"/>
      <c r="W1829" s="20"/>
      <c r="X1829" s="20"/>
      <c r="Y1829" s="20"/>
      <c r="Z1829" s="20"/>
      <c r="AA1829" s="20"/>
    </row>
    <row r="1830" spans="1:27" ht="121.8" x14ac:dyDescent="0.25">
      <c r="A1830" s="16"/>
      <c r="B1830" s="20" t="b">
        <f ca="1">IFERROR(__xludf.DUMMYFUNCTION("if(D1830=iferror(filter('Character Sheet'!D$13:D3002,'Character Sheet'!D$13:D3002=D1830),""""),True,False)"),FALSE)</f>
        <v>0</v>
      </c>
      <c r="C1830" s="20">
        <v>600</v>
      </c>
      <c r="D1830" s="2" t="s">
        <v>3871</v>
      </c>
      <c r="E1830" s="2" t="s">
        <v>202</v>
      </c>
      <c r="F1830" s="20" t="s">
        <v>63</v>
      </c>
      <c r="G1830" s="2" t="s">
        <v>3872</v>
      </c>
      <c r="H1830" s="16"/>
      <c r="I1830" s="20"/>
      <c r="J1830" s="20"/>
      <c r="K1830" s="20"/>
      <c r="L1830" s="20"/>
      <c r="M1830" s="20"/>
      <c r="N1830" s="20"/>
      <c r="O1830" s="20"/>
      <c r="P1830" s="20"/>
      <c r="Q1830" s="20"/>
      <c r="R1830" s="20"/>
      <c r="S1830" s="20"/>
      <c r="T1830" s="20"/>
      <c r="U1830" s="20"/>
      <c r="V1830" s="20"/>
      <c r="W1830" s="20"/>
      <c r="X1830" s="20"/>
      <c r="Y1830" s="20"/>
      <c r="Z1830" s="20"/>
      <c r="AA1830" s="20"/>
    </row>
    <row r="1831" spans="1:27" ht="382.8" x14ac:dyDescent="0.25">
      <c r="A1831" s="16"/>
      <c r="B1831" s="20" t="b">
        <f ca="1">IFERROR(__xludf.DUMMYFUNCTION("if(D1831=iferror(filter('Character Sheet'!D$13:D3002,'Character Sheet'!D$13:D3002=D1831),""""),True,False)"),FALSE)</f>
        <v>0</v>
      </c>
      <c r="C1831" s="20">
        <v>600</v>
      </c>
      <c r="D1831" s="2" t="s">
        <v>3873</v>
      </c>
      <c r="E1831" s="2" t="s">
        <v>265</v>
      </c>
      <c r="F1831" s="20" t="s">
        <v>63</v>
      </c>
      <c r="G1831" s="2" t="s">
        <v>3874</v>
      </c>
      <c r="H1831" s="16"/>
      <c r="I1831" s="20"/>
      <c r="J1831" s="20"/>
      <c r="K1831" s="20"/>
      <c r="L1831" s="20"/>
      <c r="M1831" s="20"/>
      <c r="N1831" s="20"/>
      <c r="O1831" s="20"/>
      <c r="P1831" s="20"/>
      <c r="Q1831" s="20"/>
      <c r="R1831" s="20"/>
      <c r="S1831" s="20"/>
      <c r="T1831" s="20"/>
      <c r="U1831" s="20"/>
      <c r="V1831" s="20"/>
      <c r="W1831" s="20"/>
      <c r="X1831" s="20"/>
      <c r="Y1831" s="20"/>
      <c r="Z1831" s="20"/>
      <c r="AA1831" s="20"/>
    </row>
    <row r="1832" spans="1:27" ht="226.2" x14ac:dyDescent="0.25">
      <c r="A1832" s="16"/>
      <c r="B1832" s="20" t="b">
        <f ca="1">IFERROR(__xludf.DUMMYFUNCTION("if(D1832=iferror(filter('Character Sheet'!D$13:D3002,'Character Sheet'!D$13:D3002=D1832),""""),True,False)"),FALSE)</f>
        <v>0</v>
      </c>
      <c r="C1832" s="20">
        <v>600</v>
      </c>
      <c r="D1832" s="2" t="s">
        <v>3875</v>
      </c>
      <c r="E1832" s="2" t="s">
        <v>124</v>
      </c>
      <c r="F1832" s="20" t="s">
        <v>63</v>
      </c>
      <c r="G1832" s="2" t="s">
        <v>3876</v>
      </c>
      <c r="H1832" s="16"/>
      <c r="I1832" s="20"/>
      <c r="J1832" s="20"/>
      <c r="K1832" s="20"/>
      <c r="L1832" s="20"/>
      <c r="M1832" s="20"/>
      <c r="N1832" s="20"/>
      <c r="O1832" s="20"/>
      <c r="P1832" s="20"/>
      <c r="Q1832" s="20"/>
      <c r="R1832" s="20"/>
      <c r="S1832" s="20"/>
      <c r="T1832" s="20"/>
      <c r="U1832" s="20"/>
      <c r="V1832" s="20"/>
      <c r="W1832" s="20"/>
      <c r="X1832" s="20"/>
      <c r="Y1832" s="20"/>
      <c r="Z1832" s="20"/>
      <c r="AA1832" s="20"/>
    </row>
    <row r="1833" spans="1:27" ht="156.6" x14ac:dyDescent="0.25">
      <c r="A1833" s="16"/>
      <c r="B1833" s="20" t="b">
        <f ca="1">IFERROR(__xludf.DUMMYFUNCTION("if(D1833=iferror(filter('Character Sheet'!D$13:D3002,'Character Sheet'!D$13:D3002=D1833),""""),True,False)"),FALSE)</f>
        <v>0</v>
      </c>
      <c r="C1833" s="20">
        <v>600</v>
      </c>
      <c r="D1833" s="2" t="s">
        <v>3877</v>
      </c>
      <c r="E1833" s="2" t="s">
        <v>1116</v>
      </c>
      <c r="F1833" s="20" t="s">
        <v>63</v>
      </c>
      <c r="G1833" s="2" t="s">
        <v>3878</v>
      </c>
      <c r="H1833" s="16"/>
      <c r="I1833" s="20"/>
      <c r="J1833" s="20"/>
      <c r="K1833" s="20"/>
      <c r="L1833" s="20"/>
      <c r="M1833" s="20"/>
      <c r="N1833" s="20"/>
      <c r="O1833" s="20"/>
      <c r="P1833" s="20"/>
      <c r="Q1833" s="20"/>
      <c r="R1833" s="20"/>
      <c r="S1833" s="20"/>
      <c r="T1833" s="20"/>
      <c r="U1833" s="20"/>
      <c r="V1833" s="20"/>
      <c r="W1833" s="20"/>
      <c r="X1833" s="20"/>
      <c r="Y1833" s="20"/>
      <c r="Z1833" s="20"/>
      <c r="AA1833" s="20"/>
    </row>
    <row r="1834" spans="1:27" ht="121.8" x14ac:dyDescent="0.25">
      <c r="A1834" s="16"/>
      <c r="B1834" s="20" t="b">
        <f ca="1">IFERROR(__xludf.DUMMYFUNCTION("if(D1834=iferror(filter('Character Sheet'!D$13:D3002,'Character Sheet'!D$13:D3002=D1834),""""),True,False)"),FALSE)</f>
        <v>0</v>
      </c>
      <c r="C1834" s="20">
        <v>600</v>
      </c>
      <c r="D1834" s="2" t="s">
        <v>3879</v>
      </c>
      <c r="E1834" s="2" t="s">
        <v>478</v>
      </c>
      <c r="F1834" s="20" t="s">
        <v>63</v>
      </c>
      <c r="G1834" s="2" t="s">
        <v>3880</v>
      </c>
      <c r="H1834" s="16"/>
      <c r="I1834" s="20"/>
      <c r="J1834" s="20"/>
      <c r="K1834" s="20"/>
      <c r="L1834" s="20"/>
      <c r="M1834" s="20"/>
      <c r="N1834" s="20"/>
      <c r="O1834" s="20"/>
      <c r="P1834" s="20"/>
      <c r="Q1834" s="20"/>
      <c r="R1834" s="20"/>
      <c r="S1834" s="20"/>
      <c r="T1834" s="20"/>
      <c r="U1834" s="20"/>
      <c r="V1834" s="20"/>
      <c r="W1834" s="20"/>
      <c r="X1834" s="20"/>
      <c r="Y1834" s="20"/>
      <c r="Z1834" s="20"/>
      <c r="AA1834" s="20"/>
    </row>
    <row r="1835" spans="1:27" ht="208.8" x14ac:dyDescent="0.25">
      <c r="A1835" s="16"/>
      <c r="B1835" s="20" t="b">
        <f ca="1">IFERROR(__xludf.DUMMYFUNCTION("if(D1835=iferror(filter('Character Sheet'!D$13:D3002,'Character Sheet'!D$13:D3002=D1835),""""),True,False)"),FALSE)</f>
        <v>0</v>
      </c>
      <c r="C1835" s="20">
        <v>600</v>
      </c>
      <c r="D1835" s="2" t="s">
        <v>3881</v>
      </c>
      <c r="E1835" s="2" t="s">
        <v>69</v>
      </c>
      <c r="F1835" s="20" t="s">
        <v>63</v>
      </c>
      <c r="G1835" s="2" t="s">
        <v>3882</v>
      </c>
      <c r="H1835" s="16"/>
      <c r="I1835" s="20"/>
      <c r="J1835" s="20"/>
      <c r="K1835" s="20"/>
      <c r="L1835" s="20"/>
      <c r="M1835" s="20"/>
      <c r="N1835" s="20"/>
      <c r="O1835" s="20"/>
      <c r="P1835" s="20"/>
      <c r="Q1835" s="20"/>
      <c r="R1835" s="20"/>
      <c r="S1835" s="20"/>
      <c r="T1835" s="20"/>
      <c r="U1835" s="20"/>
      <c r="V1835" s="20"/>
      <c r="W1835" s="20"/>
      <c r="X1835" s="20"/>
      <c r="Y1835" s="20"/>
      <c r="Z1835" s="20"/>
      <c r="AA1835" s="20"/>
    </row>
    <row r="1836" spans="1:27" ht="243.6" x14ac:dyDescent="0.25">
      <c r="A1836" s="16"/>
      <c r="B1836" s="20" t="b">
        <f ca="1">IFERROR(__xludf.DUMMYFUNCTION("if(D1836=iferror(filter('Character Sheet'!D$13:D3002,'Character Sheet'!D$13:D3002=D1836),""""),True,False)"),FALSE)</f>
        <v>0</v>
      </c>
      <c r="C1836" s="20">
        <v>600</v>
      </c>
      <c r="D1836" s="2" t="s">
        <v>3883</v>
      </c>
      <c r="E1836" s="2" t="s">
        <v>268</v>
      </c>
      <c r="F1836" s="20" t="s">
        <v>63</v>
      </c>
      <c r="G1836" s="2" t="s">
        <v>3884</v>
      </c>
      <c r="H1836" s="16"/>
      <c r="I1836" s="20"/>
      <c r="J1836" s="20"/>
      <c r="K1836" s="20"/>
      <c r="L1836" s="20"/>
      <c r="M1836" s="20"/>
      <c r="N1836" s="20"/>
      <c r="O1836" s="20"/>
      <c r="P1836" s="20"/>
      <c r="Q1836" s="20"/>
      <c r="R1836" s="20"/>
      <c r="S1836" s="20"/>
      <c r="T1836" s="20"/>
      <c r="U1836" s="20"/>
      <c r="V1836" s="20"/>
      <c r="W1836" s="20"/>
      <c r="X1836" s="20"/>
      <c r="Y1836" s="20"/>
      <c r="Z1836" s="20"/>
      <c r="AA1836" s="20"/>
    </row>
    <row r="1837" spans="1:27" ht="191.4" x14ac:dyDescent="0.25">
      <c r="A1837" s="16"/>
      <c r="B1837" s="20" t="b">
        <f ca="1">IFERROR(__xludf.DUMMYFUNCTION("if(D1837=iferror(filter('Character Sheet'!D$13:D3002,'Character Sheet'!D$13:D3002=D1837),""""),True,False)"),FALSE)</f>
        <v>0</v>
      </c>
      <c r="C1837" s="20">
        <v>600</v>
      </c>
      <c r="D1837" s="2" t="s">
        <v>3885</v>
      </c>
      <c r="E1837" s="2" t="s">
        <v>139</v>
      </c>
      <c r="F1837" s="20" t="s">
        <v>63</v>
      </c>
      <c r="G1837" s="2" t="s">
        <v>3886</v>
      </c>
      <c r="H1837" s="16"/>
      <c r="I1837" s="20"/>
      <c r="J1837" s="20"/>
      <c r="K1837" s="20"/>
      <c r="L1837" s="20"/>
      <c r="M1837" s="20"/>
      <c r="N1837" s="20"/>
      <c r="O1837" s="20"/>
      <c r="P1837" s="20"/>
      <c r="Q1837" s="20"/>
      <c r="R1837" s="20"/>
      <c r="S1837" s="20"/>
      <c r="T1837" s="20"/>
      <c r="U1837" s="20"/>
      <c r="V1837" s="20"/>
      <c r="W1837" s="20"/>
      <c r="X1837" s="20"/>
      <c r="Y1837" s="20"/>
      <c r="Z1837" s="20"/>
      <c r="AA1837" s="20"/>
    </row>
    <row r="1838" spans="1:27" ht="191.4" x14ac:dyDescent="0.25">
      <c r="A1838" s="16"/>
      <c r="B1838" s="20" t="b">
        <f ca="1">IFERROR(__xludf.DUMMYFUNCTION("if(D1838=iferror(filter('Character Sheet'!D$13:D3002,'Character Sheet'!D$13:D3002=D1838),""""),True,False)"),FALSE)</f>
        <v>0</v>
      </c>
      <c r="C1838" s="20">
        <v>600</v>
      </c>
      <c r="D1838" s="2" t="s">
        <v>3887</v>
      </c>
      <c r="E1838" s="2" t="s">
        <v>786</v>
      </c>
      <c r="F1838" s="20" t="s">
        <v>63</v>
      </c>
      <c r="G1838" s="2" t="s">
        <v>3888</v>
      </c>
      <c r="H1838" s="16"/>
      <c r="I1838" s="20"/>
      <c r="J1838" s="20"/>
      <c r="K1838" s="20"/>
      <c r="L1838" s="20"/>
      <c r="M1838" s="20"/>
      <c r="N1838" s="20"/>
      <c r="O1838" s="20"/>
      <c r="P1838" s="20"/>
      <c r="Q1838" s="20"/>
      <c r="R1838" s="20"/>
      <c r="S1838" s="20"/>
      <c r="T1838" s="20"/>
      <c r="U1838" s="20"/>
      <c r="V1838" s="20"/>
      <c r="W1838" s="20"/>
      <c r="X1838" s="20"/>
      <c r="Y1838" s="20"/>
      <c r="Z1838" s="20"/>
      <c r="AA1838" s="20"/>
    </row>
    <row r="1839" spans="1:27" ht="87" x14ac:dyDescent="0.25">
      <c r="A1839" s="16"/>
      <c r="B1839" s="20" t="b">
        <f ca="1">IFERROR(__xludf.DUMMYFUNCTION("if(D1839=iferror(filter('Character Sheet'!D$13:D3002,'Character Sheet'!D$13:D3002=D1839),""""),True,False)"),FALSE)</f>
        <v>0</v>
      </c>
      <c r="C1839" s="20">
        <v>600</v>
      </c>
      <c r="D1839" s="2" t="s">
        <v>3889</v>
      </c>
      <c r="E1839" s="2" t="s">
        <v>1693</v>
      </c>
      <c r="F1839" s="20" t="s">
        <v>63</v>
      </c>
      <c r="G1839" s="2" t="s">
        <v>3890</v>
      </c>
      <c r="H1839" s="16"/>
      <c r="I1839" s="20"/>
      <c r="J1839" s="20"/>
      <c r="K1839" s="20"/>
      <c r="L1839" s="20"/>
      <c r="M1839" s="20"/>
      <c r="N1839" s="20"/>
      <c r="O1839" s="20"/>
      <c r="P1839" s="20"/>
      <c r="Q1839" s="20"/>
      <c r="R1839" s="20"/>
      <c r="S1839" s="20"/>
      <c r="T1839" s="20"/>
      <c r="U1839" s="20"/>
      <c r="V1839" s="20"/>
      <c r="W1839" s="20"/>
      <c r="X1839" s="20"/>
      <c r="Y1839" s="20"/>
      <c r="Z1839" s="20"/>
      <c r="AA1839" s="20"/>
    </row>
    <row r="1840" spans="1:27" ht="139.19999999999999" x14ac:dyDescent="0.25">
      <c r="A1840" s="16"/>
      <c r="B1840" s="20" t="b">
        <f ca="1">IFERROR(__xludf.DUMMYFUNCTION("if(D1840=iferror(filter('Character Sheet'!D$13:D3002,'Character Sheet'!D$13:D3002=D1840),""""),True,False)"),FALSE)</f>
        <v>0</v>
      </c>
      <c r="C1840" s="20">
        <v>0</v>
      </c>
      <c r="D1840" s="2" t="s">
        <v>3891</v>
      </c>
      <c r="E1840" s="2" t="s">
        <v>66</v>
      </c>
      <c r="F1840" s="20" t="s">
        <v>64</v>
      </c>
      <c r="G1840" s="2" t="s">
        <v>3892</v>
      </c>
      <c r="H1840" s="16"/>
      <c r="I1840" s="20"/>
      <c r="J1840" s="20"/>
      <c r="K1840" s="20"/>
      <c r="L1840" s="20"/>
      <c r="M1840" s="20"/>
      <c r="N1840" s="20"/>
      <c r="O1840" s="20"/>
      <c r="P1840" s="20"/>
      <c r="Q1840" s="20"/>
      <c r="R1840" s="20"/>
      <c r="S1840" s="20"/>
      <c r="T1840" s="20"/>
      <c r="U1840" s="20"/>
      <c r="V1840" s="20"/>
      <c r="W1840" s="20"/>
      <c r="X1840" s="20"/>
      <c r="Y1840" s="20"/>
      <c r="Z1840" s="20"/>
      <c r="AA1840" s="20"/>
    </row>
    <row r="1841" spans="1:27" ht="156.6" x14ac:dyDescent="0.25">
      <c r="A1841" s="16"/>
      <c r="B1841" s="20" t="b">
        <f ca="1">IFERROR(__xludf.DUMMYFUNCTION("if(D1841=iferror(filter('Character Sheet'!D$13:D3002,'Character Sheet'!D$13:D3002=D1841),""""),True,False)"),FALSE)</f>
        <v>0</v>
      </c>
      <c r="C1841" s="20">
        <v>0</v>
      </c>
      <c r="D1841" s="2" t="s">
        <v>3893</v>
      </c>
      <c r="E1841" s="2" t="s">
        <v>3894</v>
      </c>
      <c r="F1841" s="20" t="s">
        <v>64</v>
      </c>
      <c r="G1841" s="2" t="s">
        <v>3895</v>
      </c>
      <c r="H1841" s="16"/>
      <c r="I1841" s="20"/>
      <c r="J1841" s="20"/>
      <c r="K1841" s="20"/>
      <c r="L1841" s="20"/>
      <c r="M1841" s="20"/>
      <c r="N1841" s="20"/>
      <c r="O1841" s="20"/>
      <c r="P1841" s="20"/>
      <c r="Q1841" s="20"/>
      <c r="R1841" s="20"/>
      <c r="S1841" s="20"/>
      <c r="T1841" s="20"/>
      <c r="U1841" s="20"/>
      <c r="V1841" s="20"/>
      <c r="W1841" s="20"/>
      <c r="X1841" s="20"/>
      <c r="Y1841" s="20"/>
      <c r="Z1841" s="20"/>
      <c r="AA1841" s="20"/>
    </row>
    <row r="1842" spans="1:27" ht="52.2" x14ac:dyDescent="0.25">
      <c r="A1842" s="16"/>
      <c r="B1842" s="20" t="b">
        <f ca="1">IFERROR(__xludf.DUMMYFUNCTION("if(D1842=iferror(filter('Character Sheet'!D$13:D3002,'Character Sheet'!D$13:D3002=D1842),""""),True,False)"),FALSE)</f>
        <v>0</v>
      </c>
      <c r="C1842" s="20">
        <v>50</v>
      </c>
      <c r="D1842" s="2" t="s">
        <v>3896</v>
      </c>
      <c r="E1842" s="2" t="s">
        <v>3774</v>
      </c>
      <c r="F1842" s="20" t="s">
        <v>64</v>
      </c>
      <c r="G1842" s="2" t="s">
        <v>3897</v>
      </c>
      <c r="H1842" s="16"/>
      <c r="I1842" s="20"/>
      <c r="J1842" s="20"/>
      <c r="K1842" s="20"/>
      <c r="L1842" s="20"/>
      <c r="M1842" s="20"/>
      <c r="N1842" s="20"/>
      <c r="O1842" s="20"/>
      <c r="P1842" s="20"/>
      <c r="Q1842" s="20"/>
      <c r="R1842" s="20"/>
      <c r="S1842" s="20"/>
      <c r="T1842" s="20"/>
      <c r="U1842" s="20"/>
      <c r="V1842" s="20"/>
      <c r="W1842" s="20"/>
      <c r="X1842" s="20"/>
      <c r="Y1842" s="20"/>
      <c r="Z1842" s="20"/>
      <c r="AA1842" s="20"/>
    </row>
    <row r="1843" spans="1:27" ht="174" x14ac:dyDescent="0.25">
      <c r="A1843" s="16"/>
      <c r="B1843" s="20" t="b">
        <f ca="1">IFERROR(__xludf.DUMMYFUNCTION("if(D1843=iferror(filter('Character Sheet'!D$13:D3002,'Character Sheet'!D$13:D3002=D1843),""""),True,False)"),FALSE)</f>
        <v>0</v>
      </c>
      <c r="C1843" s="20">
        <v>50</v>
      </c>
      <c r="D1843" s="2" t="s">
        <v>3898</v>
      </c>
      <c r="E1843" s="2" t="s">
        <v>124</v>
      </c>
      <c r="F1843" s="20" t="s">
        <v>64</v>
      </c>
      <c r="G1843" s="2" t="s">
        <v>3899</v>
      </c>
      <c r="H1843" s="16"/>
      <c r="I1843" s="20"/>
      <c r="J1843" s="20"/>
      <c r="K1843" s="20"/>
      <c r="L1843" s="20"/>
      <c r="M1843" s="20"/>
      <c r="N1843" s="20"/>
      <c r="O1843" s="20"/>
      <c r="P1843" s="20"/>
      <c r="Q1843" s="20"/>
      <c r="R1843" s="20"/>
      <c r="S1843" s="20"/>
      <c r="T1843" s="20"/>
      <c r="U1843" s="20"/>
      <c r="V1843" s="20"/>
      <c r="W1843" s="20"/>
      <c r="X1843" s="20"/>
      <c r="Y1843" s="20"/>
      <c r="Z1843" s="20"/>
      <c r="AA1843" s="20"/>
    </row>
    <row r="1844" spans="1:27" ht="191.4" x14ac:dyDescent="0.25">
      <c r="A1844" s="16"/>
      <c r="B1844" s="20" t="b">
        <f ca="1">IFERROR(__xludf.DUMMYFUNCTION("if(D1844=iferror(filter('Character Sheet'!D$13:D3002,'Character Sheet'!D$13:D3002=D1844),""""),True,False)"),FALSE)</f>
        <v>0</v>
      </c>
      <c r="C1844" s="20">
        <v>50</v>
      </c>
      <c r="D1844" s="2" t="s">
        <v>3900</v>
      </c>
      <c r="E1844" s="2" t="s">
        <v>271</v>
      </c>
      <c r="F1844" s="20" t="s">
        <v>64</v>
      </c>
      <c r="G1844" s="2" t="s">
        <v>3901</v>
      </c>
      <c r="H1844" s="16"/>
      <c r="I1844" s="20"/>
      <c r="J1844" s="20"/>
      <c r="K1844" s="20"/>
      <c r="L1844" s="20"/>
      <c r="M1844" s="20"/>
      <c r="N1844" s="20"/>
      <c r="O1844" s="20"/>
      <c r="P1844" s="20"/>
      <c r="Q1844" s="20"/>
      <c r="R1844" s="20"/>
      <c r="S1844" s="20"/>
      <c r="T1844" s="20"/>
      <c r="U1844" s="20"/>
      <c r="V1844" s="20"/>
      <c r="W1844" s="20"/>
      <c r="X1844" s="20"/>
      <c r="Y1844" s="20"/>
      <c r="Z1844" s="20"/>
      <c r="AA1844" s="20"/>
    </row>
    <row r="1845" spans="1:27" ht="139.19999999999999" x14ac:dyDescent="0.25">
      <c r="A1845" s="16"/>
      <c r="B1845" s="20" t="b">
        <f ca="1">IFERROR(__xludf.DUMMYFUNCTION("if(D1845=iferror(filter('Character Sheet'!D$13:D3002,'Character Sheet'!D$13:D3002=D1845),""""),True,False)"),FALSE)</f>
        <v>0</v>
      </c>
      <c r="C1845" s="20">
        <v>100</v>
      </c>
      <c r="D1845" s="2" t="s">
        <v>3902</v>
      </c>
      <c r="E1845" s="2" t="s">
        <v>1130</v>
      </c>
      <c r="F1845" s="20" t="s">
        <v>64</v>
      </c>
      <c r="G1845" s="2" t="s">
        <v>3903</v>
      </c>
      <c r="H1845" s="16"/>
      <c r="I1845" s="20"/>
      <c r="J1845" s="20"/>
      <c r="K1845" s="20"/>
      <c r="L1845" s="20"/>
      <c r="M1845" s="20"/>
      <c r="N1845" s="20"/>
      <c r="O1845" s="20"/>
      <c r="P1845" s="20"/>
      <c r="Q1845" s="20"/>
      <c r="R1845" s="20"/>
      <c r="S1845" s="20"/>
      <c r="T1845" s="20"/>
      <c r="U1845" s="20"/>
      <c r="V1845" s="20"/>
      <c r="W1845" s="20"/>
      <c r="X1845" s="20"/>
      <c r="Y1845" s="20"/>
      <c r="Z1845" s="20"/>
      <c r="AA1845" s="20"/>
    </row>
    <row r="1846" spans="1:27" ht="104.4" x14ac:dyDescent="0.25">
      <c r="A1846" s="16"/>
      <c r="B1846" s="20" t="b">
        <f ca="1">IFERROR(__xludf.DUMMYFUNCTION("if(D1846=iferror(filter('Character Sheet'!D$13:D3002,'Character Sheet'!D$13:D3002=D1846),""""),True,False)"),FALSE)</f>
        <v>0</v>
      </c>
      <c r="C1846" s="20">
        <v>100</v>
      </c>
      <c r="D1846" s="2" t="s">
        <v>3904</v>
      </c>
      <c r="E1846" s="2" t="s">
        <v>1116</v>
      </c>
      <c r="F1846" s="20" t="s">
        <v>64</v>
      </c>
      <c r="G1846" s="2" t="s">
        <v>3905</v>
      </c>
      <c r="H1846" s="16"/>
      <c r="I1846" s="20"/>
      <c r="J1846" s="20"/>
      <c r="K1846" s="20"/>
      <c r="L1846" s="20"/>
      <c r="M1846" s="20"/>
      <c r="N1846" s="20"/>
      <c r="O1846" s="20"/>
      <c r="P1846" s="20"/>
      <c r="Q1846" s="20"/>
      <c r="R1846" s="20"/>
      <c r="S1846" s="20"/>
      <c r="T1846" s="20"/>
      <c r="U1846" s="20"/>
      <c r="V1846" s="20"/>
      <c r="W1846" s="20"/>
      <c r="X1846" s="20"/>
      <c r="Y1846" s="20"/>
      <c r="Z1846" s="20"/>
      <c r="AA1846" s="20"/>
    </row>
    <row r="1847" spans="1:27" ht="69.599999999999994" x14ac:dyDescent="0.25">
      <c r="A1847" s="16"/>
      <c r="B1847" s="20" t="b">
        <f ca="1">IFERROR(__xludf.DUMMYFUNCTION("if(D1847=iferror(filter('Character Sheet'!D$13:D3002,'Character Sheet'!D$13:D3002=D1847),""""),True,False)"),FALSE)</f>
        <v>0</v>
      </c>
      <c r="C1847" s="20">
        <v>100</v>
      </c>
      <c r="D1847" s="2" t="s">
        <v>3906</v>
      </c>
      <c r="E1847" s="2" t="s">
        <v>149</v>
      </c>
      <c r="F1847" s="20" t="s">
        <v>64</v>
      </c>
      <c r="G1847" s="2" t="s">
        <v>3907</v>
      </c>
      <c r="H1847" s="16"/>
      <c r="I1847" s="20"/>
      <c r="J1847" s="20"/>
      <c r="K1847" s="20"/>
      <c r="L1847" s="20"/>
      <c r="M1847" s="20"/>
      <c r="N1847" s="20"/>
      <c r="O1847" s="20"/>
      <c r="P1847" s="20"/>
      <c r="Q1847" s="20"/>
      <c r="R1847" s="20"/>
      <c r="S1847" s="20"/>
      <c r="T1847" s="20"/>
      <c r="U1847" s="20"/>
      <c r="V1847" s="20"/>
      <c r="W1847" s="20"/>
      <c r="X1847" s="20"/>
      <c r="Y1847" s="20"/>
      <c r="Z1847" s="20"/>
      <c r="AA1847" s="20"/>
    </row>
    <row r="1848" spans="1:27" ht="156.6" x14ac:dyDescent="0.25">
      <c r="A1848" s="16"/>
      <c r="B1848" s="20" t="b">
        <f ca="1">IFERROR(__xludf.DUMMYFUNCTION("if(D1848=iferror(filter('Character Sheet'!D$13:D3002,'Character Sheet'!D$13:D3002=D1848),""""),True,False)"),FALSE)</f>
        <v>0</v>
      </c>
      <c r="C1848" s="20">
        <v>100</v>
      </c>
      <c r="D1848" s="2" t="s">
        <v>3908</v>
      </c>
      <c r="E1848" s="2" t="s">
        <v>139</v>
      </c>
      <c r="F1848" s="20" t="s">
        <v>64</v>
      </c>
      <c r="G1848" s="2" t="s">
        <v>3909</v>
      </c>
      <c r="H1848" s="16"/>
      <c r="I1848" s="20"/>
      <c r="J1848" s="20"/>
      <c r="K1848" s="20"/>
      <c r="L1848" s="20"/>
      <c r="M1848" s="20"/>
      <c r="N1848" s="20"/>
      <c r="O1848" s="20"/>
      <c r="P1848" s="20"/>
      <c r="Q1848" s="20"/>
      <c r="R1848" s="20"/>
      <c r="S1848" s="20"/>
      <c r="T1848" s="20"/>
      <c r="U1848" s="20"/>
      <c r="V1848" s="20"/>
      <c r="W1848" s="20"/>
      <c r="X1848" s="20"/>
      <c r="Y1848" s="20"/>
      <c r="Z1848" s="20"/>
      <c r="AA1848" s="20"/>
    </row>
    <row r="1849" spans="1:27" ht="104.4" x14ac:dyDescent="0.25">
      <c r="A1849" s="16"/>
      <c r="B1849" s="20" t="b">
        <f ca="1">IFERROR(__xludf.DUMMYFUNCTION("if(D1849=iferror(filter('Character Sheet'!D$13:D3002,'Character Sheet'!D$13:D3002=D1849),""""),True,False)"),FALSE)</f>
        <v>0</v>
      </c>
      <c r="C1849" s="20">
        <v>100</v>
      </c>
      <c r="D1849" s="2" t="s">
        <v>3910</v>
      </c>
      <c r="E1849" s="2" t="s">
        <v>262</v>
      </c>
      <c r="F1849" s="20" t="s">
        <v>64</v>
      </c>
      <c r="G1849" s="2" t="s">
        <v>3911</v>
      </c>
      <c r="H1849" s="16"/>
      <c r="I1849" s="20"/>
      <c r="J1849" s="20"/>
      <c r="K1849" s="20"/>
      <c r="L1849" s="20"/>
      <c r="M1849" s="20"/>
      <c r="N1849" s="20"/>
      <c r="O1849" s="20"/>
      <c r="P1849" s="20"/>
      <c r="Q1849" s="20"/>
      <c r="R1849" s="20"/>
      <c r="S1849" s="20"/>
      <c r="T1849" s="20"/>
      <c r="U1849" s="20"/>
      <c r="V1849" s="20"/>
      <c r="W1849" s="20"/>
      <c r="X1849" s="20"/>
      <c r="Y1849" s="20"/>
      <c r="Z1849" s="20"/>
      <c r="AA1849" s="20"/>
    </row>
    <row r="1850" spans="1:27" ht="52.2" x14ac:dyDescent="0.25">
      <c r="A1850" s="16"/>
      <c r="B1850" s="20" t="b">
        <f ca="1">IFERROR(__xludf.DUMMYFUNCTION("if(D1850=iferror(filter('Character Sheet'!D$13:D3002,'Character Sheet'!D$13:D3002=D1850),""""),True,False)"),FALSE)</f>
        <v>0</v>
      </c>
      <c r="C1850" s="20">
        <v>100</v>
      </c>
      <c r="D1850" s="2" t="s">
        <v>3912</v>
      </c>
      <c r="E1850" s="2" t="s">
        <v>149</v>
      </c>
      <c r="F1850" s="20" t="s">
        <v>64</v>
      </c>
      <c r="G1850" s="2" t="s">
        <v>3913</v>
      </c>
      <c r="H1850" s="16"/>
      <c r="I1850" s="20"/>
      <c r="J1850" s="20"/>
      <c r="K1850" s="20"/>
      <c r="L1850" s="20"/>
      <c r="M1850" s="20"/>
      <c r="N1850" s="20"/>
      <c r="O1850" s="20"/>
      <c r="P1850" s="20"/>
      <c r="Q1850" s="20"/>
      <c r="R1850" s="20"/>
      <c r="S1850" s="20"/>
      <c r="T1850" s="20"/>
      <c r="U1850" s="20"/>
      <c r="V1850" s="20"/>
      <c r="W1850" s="20"/>
      <c r="X1850" s="20"/>
      <c r="Y1850" s="20"/>
      <c r="Z1850" s="20"/>
      <c r="AA1850" s="20"/>
    </row>
    <row r="1851" spans="1:27" ht="69.599999999999994" x14ac:dyDescent="0.25">
      <c r="A1851" s="16"/>
      <c r="B1851" s="20" t="b">
        <f ca="1">IFERROR(__xludf.DUMMYFUNCTION("if(D1851=iferror(filter('Character Sheet'!D$13:D3002,'Character Sheet'!D$13:D3002=D1851),""""),True,False)"),FALSE)</f>
        <v>0</v>
      </c>
      <c r="C1851" s="20">
        <v>100</v>
      </c>
      <c r="D1851" s="2" t="s">
        <v>3914</v>
      </c>
      <c r="E1851" s="2" t="s">
        <v>3915</v>
      </c>
      <c r="F1851" s="20" t="s">
        <v>64</v>
      </c>
      <c r="G1851" s="2" t="s">
        <v>3916</v>
      </c>
      <c r="H1851" s="16"/>
      <c r="I1851" s="20"/>
      <c r="J1851" s="20"/>
      <c r="K1851" s="20"/>
      <c r="L1851" s="20"/>
      <c r="M1851" s="20"/>
      <c r="N1851" s="20"/>
      <c r="O1851" s="20"/>
      <c r="P1851" s="20"/>
      <c r="Q1851" s="20"/>
      <c r="R1851" s="20"/>
      <c r="S1851" s="20"/>
      <c r="T1851" s="20"/>
      <c r="U1851" s="20"/>
      <c r="V1851" s="20"/>
      <c r="W1851" s="20"/>
      <c r="X1851" s="20"/>
      <c r="Y1851" s="20"/>
      <c r="Z1851" s="20"/>
      <c r="AA1851" s="20"/>
    </row>
    <row r="1852" spans="1:27" ht="104.4" x14ac:dyDescent="0.25">
      <c r="A1852" s="16"/>
      <c r="B1852" s="20" t="b">
        <f ca="1">IFERROR(__xludf.DUMMYFUNCTION("if(D1852=iferror(filter('Character Sheet'!D$13:D3002,'Character Sheet'!D$13:D3002=D1852),""""),True,False)"),FALSE)</f>
        <v>0</v>
      </c>
      <c r="C1852" s="20">
        <v>100</v>
      </c>
      <c r="D1852" s="2" t="s">
        <v>3917</v>
      </c>
      <c r="E1852" s="2" t="s">
        <v>825</v>
      </c>
      <c r="F1852" s="20" t="s">
        <v>64</v>
      </c>
      <c r="G1852" s="2" t="s">
        <v>3918</v>
      </c>
      <c r="H1852" s="16"/>
      <c r="I1852" s="20"/>
      <c r="J1852" s="20"/>
      <c r="K1852" s="20"/>
      <c r="L1852" s="20"/>
      <c r="M1852" s="20"/>
      <c r="N1852" s="20"/>
      <c r="O1852" s="20"/>
      <c r="P1852" s="20"/>
      <c r="Q1852" s="20"/>
      <c r="R1852" s="20"/>
      <c r="S1852" s="20"/>
      <c r="T1852" s="20"/>
      <c r="U1852" s="20"/>
      <c r="V1852" s="20"/>
      <c r="W1852" s="20"/>
      <c r="X1852" s="20"/>
      <c r="Y1852" s="20"/>
      <c r="Z1852" s="20"/>
      <c r="AA1852" s="20"/>
    </row>
    <row r="1853" spans="1:27" ht="52.2" x14ac:dyDescent="0.25">
      <c r="A1853" s="16"/>
      <c r="B1853" s="20" t="b">
        <f ca="1">IFERROR(__xludf.DUMMYFUNCTION("if(D1853=iferror(filter('Character Sheet'!D$13:D3002,'Character Sheet'!D$13:D3002=D1853),""""),True,False)"),FALSE)</f>
        <v>0</v>
      </c>
      <c r="C1853" s="20">
        <v>100</v>
      </c>
      <c r="D1853" s="2" t="s">
        <v>3919</v>
      </c>
      <c r="E1853" s="2" t="s">
        <v>325</v>
      </c>
      <c r="F1853" s="20" t="s">
        <v>64</v>
      </c>
      <c r="G1853" s="2" t="s">
        <v>3920</v>
      </c>
      <c r="H1853" s="16"/>
      <c r="I1853" s="20"/>
      <c r="J1853" s="20"/>
      <c r="K1853" s="20"/>
      <c r="L1853" s="20"/>
      <c r="M1853" s="20"/>
      <c r="N1853" s="20"/>
      <c r="O1853" s="20"/>
      <c r="P1853" s="20"/>
      <c r="Q1853" s="20"/>
      <c r="R1853" s="20"/>
      <c r="S1853" s="20"/>
      <c r="T1853" s="20"/>
      <c r="U1853" s="20"/>
      <c r="V1853" s="20"/>
      <c r="W1853" s="20"/>
      <c r="X1853" s="20"/>
      <c r="Y1853" s="20"/>
      <c r="Z1853" s="20"/>
      <c r="AA1853" s="20"/>
    </row>
    <row r="1854" spans="1:27" ht="156.6" x14ac:dyDescent="0.25">
      <c r="A1854" s="16"/>
      <c r="B1854" s="20" t="b">
        <f ca="1">IFERROR(__xludf.DUMMYFUNCTION("if(D1854=iferror(filter('Character Sheet'!D$13:D3002,'Character Sheet'!D$13:D3002=D1854),""""),True,False)"),FALSE)</f>
        <v>0</v>
      </c>
      <c r="C1854" s="20">
        <v>100</v>
      </c>
      <c r="D1854" s="2" t="s">
        <v>3921</v>
      </c>
      <c r="E1854" s="2" t="s">
        <v>322</v>
      </c>
      <c r="F1854" s="20" t="s">
        <v>64</v>
      </c>
      <c r="G1854" s="2" t="s">
        <v>3922</v>
      </c>
      <c r="H1854" s="16"/>
      <c r="I1854" s="20"/>
      <c r="J1854" s="20"/>
      <c r="K1854" s="20"/>
      <c r="L1854" s="20"/>
      <c r="M1854" s="20"/>
      <c r="N1854" s="20"/>
      <c r="O1854" s="20"/>
      <c r="P1854" s="20"/>
      <c r="Q1854" s="20"/>
      <c r="R1854" s="20"/>
      <c r="S1854" s="20"/>
      <c r="T1854" s="20"/>
      <c r="U1854" s="20"/>
      <c r="V1854" s="20"/>
      <c r="W1854" s="20"/>
      <c r="X1854" s="20"/>
      <c r="Y1854" s="20"/>
      <c r="Z1854" s="20"/>
      <c r="AA1854" s="20"/>
    </row>
    <row r="1855" spans="1:27" ht="52.2" x14ac:dyDescent="0.25">
      <c r="A1855" s="16"/>
      <c r="B1855" s="20" t="b">
        <f ca="1">IFERROR(__xludf.DUMMYFUNCTION("if(D1855=iferror(filter('Character Sheet'!D$13:D3002,'Character Sheet'!D$13:D3002=D1855),""""),True,False)"),FALSE)</f>
        <v>0</v>
      </c>
      <c r="C1855" s="20">
        <v>100</v>
      </c>
      <c r="D1855" s="2" t="s">
        <v>3923</v>
      </c>
      <c r="E1855" s="2" t="s">
        <v>159</v>
      </c>
      <c r="F1855" s="20" t="s">
        <v>64</v>
      </c>
      <c r="G1855" s="2" t="s">
        <v>3924</v>
      </c>
      <c r="H1855" s="16"/>
      <c r="I1855" s="20"/>
      <c r="J1855" s="20"/>
      <c r="K1855" s="20"/>
      <c r="L1855" s="20"/>
      <c r="M1855" s="20"/>
      <c r="N1855" s="20"/>
      <c r="O1855" s="20"/>
      <c r="P1855" s="20"/>
      <c r="Q1855" s="20"/>
      <c r="R1855" s="20"/>
      <c r="S1855" s="20"/>
      <c r="T1855" s="20"/>
      <c r="U1855" s="20"/>
      <c r="V1855" s="20"/>
      <c r="W1855" s="20"/>
      <c r="X1855" s="20"/>
      <c r="Y1855" s="20"/>
      <c r="Z1855" s="20"/>
      <c r="AA1855" s="20"/>
    </row>
    <row r="1856" spans="1:27" ht="87" x14ac:dyDescent="0.25">
      <c r="A1856" s="16"/>
      <c r="B1856" s="20" t="b">
        <f ca="1">IFERROR(__xludf.DUMMYFUNCTION("if(D1856=iferror(filter('Character Sheet'!D$13:D3002,'Character Sheet'!D$13:D3002=D1856),""""),True,False)"),FALSE)</f>
        <v>0</v>
      </c>
      <c r="C1856" s="20">
        <v>100</v>
      </c>
      <c r="D1856" s="2" t="s">
        <v>3925</v>
      </c>
      <c r="E1856" s="2" t="s">
        <v>2951</v>
      </c>
      <c r="F1856" s="20" t="s">
        <v>64</v>
      </c>
      <c r="G1856" s="2" t="s">
        <v>3926</v>
      </c>
      <c r="H1856" s="16"/>
      <c r="I1856" s="20"/>
      <c r="J1856" s="20"/>
      <c r="K1856" s="20"/>
      <c r="L1856" s="20"/>
      <c r="M1856" s="20"/>
      <c r="N1856" s="20"/>
      <c r="O1856" s="20"/>
      <c r="P1856" s="20"/>
      <c r="Q1856" s="20"/>
      <c r="R1856" s="20"/>
      <c r="S1856" s="20"/>
      <c r="T1856" s="20"/>
      <c r="U1856" s="20"/>
      <c r="V1856" s="20"/>
      <c r="W1856" s="20"/>
      <c r="X1856" s="20"/>
      <c r="Y1856" s="20"/>
      <c r="Z1856" s="20"/>
      <c r="AA1856" s="20"/>
    </row>
    <row r="1857" spans="1:27" ht="34.799999999999997" x14ac:dyDescent="0.25">
      <c r="A1857" s="16"/>
      <c r="B1857" s="20" t="b">
        <f ca="1">IFERROR(__xludf.DUMMYFUNCTION("if(D1857=iferror(filter('Character Sheet'!D$13:D3002,'Character Sheet'!D$13:D3002=D1857),""""),True,False)"),FALSE)</f>
        <v>0</v>
      </c>
      <c r="C1857" s="20">
        <v>100</v>
      </c>
      <c r="D1857" s="2" t="s">
        <v>3927</v>
      </c>
      <c r="E1857" s="2" t="s">
        <v>1116</v>
      </c>
      <c r="F1857" s="20" t="s">
        <v>64</v>
      </c>
      <c r="G1857" s="2" t="s">
        <v>3928</v>
      </c>
      <c r="H1857" s="16"/>
      <c r="I1857" s="20"/>
      <c r="J1857" s="20"/>
      <c r="K1857" s="20"/>
      <c r="L1857" s="20"/>
      <c r="M1857" s="20"/>
      <c r="N1857" s="20"/>
      <c r="O1857" s="20"/>
      <c r="P1857" s="20"/>
      <c r="Q1857" s="20"/>
      <c r="R1857" s="20"/>
      <c r="S1857" s="20"/>
      <c r="T1857" s="20"/>
      <c r="U1857" s="20"/>
      <c r="V1857" s="20"/>
      <c r="W1857" s="20"/>
      <c r="X1857" s="20"/>
      <c r="Y1857" s="20"/>
      <c r="Z1857" s="20"/>
      <c r="AA1857" s="20"/>
    </row>
    <row r="1858" spans="1:27" ht="121.8" x14ac:dyDescent="0.25">
      <c r="A1858" s="16"/>
      <c r="B1858" s="20" t="b">
        <f ca="1">IFERROR(__xludf.DUMMYFUNCTION("if(D1858=iferror(filter('Character Sheet'!D$13:D3002,'Character Sheet'!D$13:D3002=D1858),""""),True,False)"),FALSE)</f>
        <v>0</v>
      </c>
      <c r="C1858" s="20">
        <v>100</v>
      </c>
      <c r="D1858" s="2" t="s">
        <v>3929</v>
      </c>
      <c r="E1858" s="2" t="s">
        <v>539</v>
      </c>
      <c r="F1858" s="20" t="s">
        <v>64</v>
      </c>
      <c r="G1858" s="2" t="s">
        <v>3930</v>
      </c>
      <c r="H1858" s="16"/>
      <c r="I1858" s="20"/>
      <c r="J1858" s="20"/>
      <c r="K1858" s="20"/>
      <c r="L1858" s="20"/>
      <c r="M1858" s="20"/>
      <c r="N1858" s="20"/>
      <c r="O1858" s="20"/>
      <c r="P1858" s="20"/>
      <c r="Q1858" s="20"/>
      <c r="R1858" s="20"/>
      <c r="S1858" s="20"/>
      <c r="T1858" s="20"/>
      <c r="U1858" s="20"/>
      <c r="V1858" s="20"/>
      <c r="W1858" s="20"/>
      <c r="X1858" s="20"/>
      <c r="Y1858" s="20"/>
      <c r="Z1858" s="20"/>
      <c r="AA1858" s="20"/>
    </row>
    <row r="1859" spans="1:27" ht="139.19999999999999" x14ac:dyDescent="0.25">
      <c r="A1859" s="16"/>
      <c r="B1859" s="20" t="b">
        <f ca="1">IFERROR(__xludf.DUMMYFUNCTION("if(D1859=iferror(filter('Character Sheet'!D$13:D3002,'Character Sheet'!D$13:D3002=D1859),""""),True,False)"),FALSE)</f>
        <v>0</v>
      </c>
      <c r="C1859" s="20">
        <v>100</v>
      </c>
      <c r="D1859" s="2" t="s">
        <v>3931</v>
      </c>
      <c r="E1859" s="2" t="s">
        <v>165</v>
      </c>
      <c r="F1859" s="20" t="s">
        <v>64</v>
      </c>
      <c r="G1859" s="2" t="s">
        <v>3932</v>
      </c>
      <c r="H1859" s="16"/>
      <c r="I1859" s="20"/>
      <c r="J1859" s="20"/>
      <c r="K1859" s="20"/>
      <c r="L1859" s="20"/>
      <c r="M1859" s="20"/>
      <c r="N1859" s="20"/>
      <c r="O1859" s="20"/>
      <c r="P1859" s="20"/>
      <c r="Q1859" s="20"/>
      <c r="R1859" s="20"/>
      <c r="S1859" s="20"/>
      <c r="T1859" s="20"/>
      <c r="U1859" s="20"/>
      <c r="V1859" s="20"/>
      <c r="W1859" s="20"/>
      <c r="X1859" s="20"/>
      <c r="Y1859" s="20"/>
      <c r="Z1859" s="20"/>
      <c r="AA1859" s="20"/>
    </row>
    <row r="1860" spans="1:27" ht="104.4" x14ac:dyDescent="0.25">
      <c r="A1860" s="16"/>
      <c r="B1860" s="20" t="b">
        <f ca="1">IFERROR(__xludf.DUMMYFUNCTION("if(D1860=iferror(filter('Character Sheet'!D$13:D3002,'Character Sheet'!D$13:D3002=D1860),""""),True,False)"),FALSE)</f>
        <v>0</v>
      </c>
      <c r="C1860" s="20">
        <v>100</v>
      </c>
      <c r="D1860" s="2" t="s">
        <v>3933</v>
      </c>
      <c r="E1860" s="2" t="s">
        <v>187</v>
      </c>
      <c r="F1860" s="20" t="s">
        <v>64</v>
      </c>
      <c r="G1860" s="2" t="s">
        <v>3934</v>
      </c>
      <c r="H1860" s="16"/>
      <c r="I1860" s="20"/>
      <c r="J1860" s="20"/>
      <c r="K1860" s="20"/>
      <c r="L1860" s="20"/>
      <c r="M1860" s="20"/>
      <c r="N1860" s="20"/>
      <c r="O1860" s="20"/>
      <c r="P1860" s="20"/>
      <c r="Q1860" s="20"/>
      <c r="R1860" s="20"/>
      <c r="S1860" s="20"/>
      <c r="T1860" s="20"/>
      <c r="U1860" s="20"/>
      <c r="V1860" s="20"/>
      <c r="W1860" s="20"/>
      <c r="X1860" s="20"/>
      <c r="Y1860" s="20"/>
      <c r="Z1860" s="20"/>
      <c r="AA1860" s="20"/>
    </row>
    <row r="1861" spans="1:27" ht="121.8" x14ac:dyDescent="0.25">
      <c r="A1861" s="16"/>
      <c r="B1861" s="20" t="b">
        <f ca="1">IFERROR(__xludf.DUMMYFUNCTION("if(D1861=iferror(filter('Character Sheet'!D$13:D3002,'Character Sheet'!D$13:D3002=D1861),""""),True,False)"),FALSE)</f>
        <v>0</v>
      </c>
      <c r="C1861" s="20">
        <v>100</v>
      </c>
      <c r="D1861" s="2" t="s">
        <v>3935</v>
      </c>
      <c r="E1861" s="2" t="s">
        <v>84</v>
      </c>
      <c r="F1861" s="20" t="s">
        <v>64</v>
      </c>
      <c r="G1861" s="2" t="s">
        <v>3936</v>
      </c>
      <c r="H1861" s="16"/>
      <c r="I1861" s="20"/>
      <c r="J1861" s="20"/>
      <c r="K1861" s="20"/>
      <c r="L1861" s="20"/>
      <c r="M1861" s="20"/>
      <c r="N1861" s="20"/>
      <c r="O1861" s="20"/>
      <c r="P1861" s="20"/>
      <c r="Q1861" s="20"/>
      <c r="R1861" s="20"/>
      <c r="S1861" s="20"/>
      <c r="T1861" s="20"/>
      <c r="U1861" s="20"/>
      <c r="V1861" s="20"/>
      <c r="W1861" s="20"/>
      <c r="X1861" s="20"/>
      <c r="Y1861" s="20"/>
      <c r="Z1861" s="20"/>
      <c r="AA1861" s="20"/>
    </row>
    <row r="1862" spans="1:27" ht="174" x14ac:dyDescent="0.25">
      <c r="A1862" s="16"/>
      <c r="B1862" s="20" t="b">
        <f ca="1">IFERROR(__xludf.DUMMYFUNCTION("if(D1862=iferror(filter('Character Sheet'!D$13:D3002,'Character Sheet'!D$13:D3002=D1862),""""),True,False)"),FALSE)</f>
        <v>0</v>
      </c>
      <c r="C1862" s="20">
        <v>100</v>
      </c>
      <c r="D1862" s="2" t="s">
        <v>3937</v>
      </c>
      <c r="E1862" s="2" t="s">
        <v>136</v>
      </c>
      <c r="F1862" s="20" t="s">
        <v>64</v>
      </c>
      <c r="G1862" s="2" t="s">
        <v>3938</v>
      </c>
      <c r="H1862" s="16"/>
      <c r="I1862" s="20"/>
      <c r="J1862" s="20"/>
      <c r="K1862" s="20"/>
      <c r="L1862" s="20"/>
      <c r="M1862" s="20"/>
      <c r="N1862" s="20"/>
      <c r="O1862" s="20"/>
      <c r="P1862" s="20"/>
      <c r="Q1862" s="20"/>
      <c r="R1862" s="20"/>
      <c r="S1862" s="20"/>
      <c r="T1862" s="20"/>
      <c r="U1862" s="20"/>
      <c r="V1862" s="20"/>
      <c r="W1862" s="20"/>
      <c r="X1862" s="20"/>
      <c r="Y1862" s="20"/>
      <c r="Z1862" s="20"/>
      <c r="AA1862" s="20"/>
    </row>
    <row r="1863" spans="1:27" ht="52.2" x14ac:dyDescent="0.25">
      <c r="A1863" s="16"/>
      <c r="B1863" s="20" t="b">
        <f ca="1">IFERROR(__xludf.DUMMYFUNCTION("if(D1863=iferror(filter('Character Sheet'!D$13:D3002,'Character Sheet'!D$13:D3002=D1863),""""),True,False)"),FALSE)</f>
        <v>0</v>
      </c>
      <c r="C1863" s="20">
        <v>100</v>
      </c>
      <c r="D1863" s="2" t="s">
        <v>3939</v>
      </c>
      <c r="E1863" s="2" t="s">
        <v>131</v>
      </c>
      <c r="F1863" s="20" t="s">
        <v>64</v>
      </c>
      <c r="G1863" s="2" t="s">
        <v>3940</v>
      </c>
      <c r="H1863" s="16"/>
      <c r="I1863" s="20"/>
      <c r="J1863" s="20"/>
      <c r="K1863" s="20"/>
      <c r="L1863" s="20"/>
      <c r="M1863" s="20"/>
      <c r="N1863" s="20"/>
      <c r="O1863" s="20"/>
      <c r="P1863" s="20"/>
      <c r="Q1863" s="20"/>
      <c r="R1863" s="20"/>
      <c r="S1863" s="20"/>
      <c r="T1863" s="20"/>
      <c r="U1863" s="20"/>
      <c r="V1863" s="20"/>
      <c r="W1863" s="20"/>
      <c r="X1863" s="20"/>
      <c r="Y1863" s="20"/>
      <c r="Z1863" s="20"/>
      <c r="AA1863" s="20"/>
    </row>
    <row r="1864" spans="1:27" ht="104.4" x14ac:dyDescent="0.25">
      <c r="A1864" s="16"/>
      <c r="B1864" s="20" t="b">
        <f ca="1">IFERROR(__xludf.DUMMYFUNCTION("if(D1864=iferror(filter('Character Sheet'!D$13:D3002,'Character Sheet'!D$13:D3002=D1864),""""),True,False)"),FALSE)</f>
        <v>0</v>
      </c>
      <c r="C1864" s="20">
        <v>100</v>
      </c>
      <c r="D1864" s="2" t="s">
        <v>3941</v>
      </c>
      <c r="E1864" s="2" t="s">
        <v>238</v>
      </c>
      <c r="F1864" s="20" t="s">
        <v>64</v>
      </c>
      <c r="G1864" s="2" t="s">
        <v>3942</v>
      </c>
      <c r="H1864" s="16"/>
      <c r="I1864" s="20"/>
      <c r="J1864" s="20"/>
      <c r="K1864" s="20"/>
      <c r="L1864" s="20"/>
      <c r="M1864" s="20"/>
      <c r="N1864" s="20"/>
      <c r="O1864" s="20"/>
      <c r="P1864" s="20"/>
      <c r="Q1864" s="20"/>
      <c r="R1864" s="20"/>
      <c r="S1864" s="20"/>
      <c r="T1864" s="20"/>
      <c r="U1864" s="20"/>
      <c r="V1864" s="20"/>
      <c r="W1864" s="20"/>
      <c r="X1864" s="20"/>
      <c r="Y1864" s="20"/>
      <c r="Z1864" s="20"/>
      <c r="AA1864" s="20"/>
    </row>
    <row r="1865" spans="1:27" ht="139.19999999999999" x14ac:dyDescent="0.25">
      <c r="A1865" s="16"/>
      <c r="B1865" s="20" t="b">
        <f ca="1">IFERROR(__xludf.DUMMYFUNCTION("if(D1865=iferror(filter('Character Sheet'!D$13:D3002,'Character Sheet'!D$13:D3002=D1865),""""),True,False)"),FALSE)</f>
        <v>0</v>
      </c>
      <c r="C1865" s="20">
        <v>100</v>
      </c>
      <c r="D1865" s="2" t="s">
        <v>3943</v>
      </c>
      <c r="E1865" s="2" t="s">
        <v>750</v>
      </c>
      <c r="F1865" s="20" t="s">
        <v>64</v>
      </c>
      <c r="G1865" s="2" t="s">
        <v>3944</v>
      </c>
      <c r="H1865" s="16"/>
      <c r="I1865" s="20"/>
      <c r="J1865" s="20"/>
      <c r="K1865" s="20"/>
      <c r="L1865" s="20"/>
      <c r="M1865" s="20"/>
      <c r="N1865" s="20"/>
      <c r="O1865" s="20"/>
      <c r="P1865" s="20"/>
      <c r="Q1865" s="20"/>
      <c r="R1865" s="20"/>
      <c r="S1865" s="20"/>
      <c r="T1865" s="20"/>
      <c r="U1865" s="20"/>
      <c r="V1865" s="20"/>
      <c r="W1865" s="20"/>
      <c r="X1865" s="20"/>
      <c r="Y1865" s="20"/>
      <c r="Z1865" s="20"/>
      <c r="AA1865" s="20"/>
    </row>
    <row r="1866" spans="1:27" ht="191.4" x14ac:dyDescent="0.25">
      <c r="A1866" s="16"/>
      <c r="B1866" s="20" t="b">
        <f ca="1">IFERROR(__xludf.DUMMYFUNCTION("if(D1866=iferror(filter('Character Sheet'!D$13:D3002,'Character Sheet'!D$13:D3002=D1866),""""),True,False)"),FALSE)</f>
        <v>0</v>
      </c>
      <c r="C1866" s="20">
        <v>200</v>
      </c>
      <c r="D1866" s="2" t="s">
        <v>3945</v>
      </c>
      <c r="E1866" s="2" t="s">
        <v>119</v>
      </c>
      <c r="F1866" s="20" t="s">
        <v>64</v>
      </c>
      <c r="G1866" s="2" t="s">
        <v>3946</v>
      </c>
      <c r="H1866" s="16"/>
      <c r="I1866" s="20"/>
      <c r="J1866" s="20"/>
      <c r="K1866" s="20"/>
      <c r="L1866" s="20"/>
      <c r="M1866" s="20"/>
      <c r="N1866" s="20"/>
      <c r="O1866" s="20"/>
      <c r="P1866" s="20"/>
      <c r="Q1866" s="20"/>
      <c r="R1866" s="20"/>
      <c r="S1866" s="20"/>
      <c r="T1866" s="20"/>
      <c r="U1866" s="20"/>
      <c r="V1866" s="20"/>
      <c r="W1866" s="20"/>
      <c r="X1866" s="20"/>
      <c r="Y1866" s="20"/>
      <c r="Z1866" s="20"/>
      <c r="AA1866" s="20"/>
    </row>
    <row r="1867" spans="1:27" ht="121.8" x14ac:dyDescent="0.25">
      <c r="A1867" s="16"/>
      <c r="B1867" s="20" t="b">
        <f ca="1">IFERROR(__xludf.DUMMYFUNCTION("if(D1867=iferror(filter('Character Sheet'!D$13:D3002,'Character Sheet'!D$13:D3002=D1867),""""),True,False)"),FALSE)</f>
        <v>0</v>
      </c>
      <c r="C1867" s="20">
        <v>200</v>
      </c>
      <c r="D1867" s="2" t="s">
        <v>3947</v>
      </c>
      <c r="E1867" s="2" t="s">
        <v>350</v>
      </c>
      <c r="F1867" s="20" t="s">
        <v>64</v>
      </c>
      <c r="G1867" s="2" t="s">
        <v>3948</v>
      </c>
      <c r="H1867" s="16"/>
      <c r="I1867" s="20"/>
      <c r="J1867" s="20"/>
      <c r="K1867" s="20"/>
      <c r="L1867" s="20"/>
      <c r="M1867" s="20"/>
      <c r="N1867" s="20"/>
      <c r="O1867" s="20"/>
      <c r="P1867" s="20"/>
      <c r="Q1867" s="20"/>
      <c r="R1867" s="20"/>
      <c r="S1867" s="20"/>
      <c r="T1867" s="20"/>
      <c r="U1867" s="20"/>
      <c r="V1867" s="20"/>
      <c r="W1867" s="20"/>
      <c r="X1867" s="20"/>
      <c r="Y1867" s="20"/>
      <c r="Z1867" s="20"/>
      <c r="AA1867" s="20"/>
    </row>
    <row r="1868" spans="1:27" ht="87" x14ac:dyDescent="0.25">
      <c r="A1868" s="16"/>
      <c r="B1868" s="20" t="b">
        <f ca="1">IFERROR(__xludf.DUMMYFUNCTION("if(D1868=iferror(filter('Character Sheet'!D$13:D3002,'Character Sheet'!D$13:D3002=D1868),""""),True,False)"),FALSE)</f>
        <v>0</v>
      </c>
      <c r="C1868" s="20">
        <v>200</v>
      </c>
      <c r="D1868" s="2" t="s">
        <v>3949</v>
      </c>
      <c r="E1868" s="2" t="s">
        <v>325</v>
      </c>
      <c r="F1868" s="20" t="s">
        <v>64</v>
      </c>
      <c r="G1868" s="2" t="s">
        <v>3950</v>
      </c>
      <c r="H1868" s="16"/>
      <c r="I1868" s="20"/>
      <c r="J1868" s="20"/>
      <c r="K1868" s="20"/>
      <c r="L1868" s="20"/>
      <c r="M1868" s="20"/>
      <c r="N1868" s="20"/>
      <c r="O1868" s="20"/>
      <c r="P1868" s="20"/>
      <c r="Q1868" s="20"/>
      <c r="R1868" s="20"/>
      <c r="S1868" s="20"/>
      <c r="T1868" s="20"/>
      <c r="U1868" s="20"/>
      <c r="V1868" s="20"/>
      <c r="W1868" s="20"/>
      <c r="X1868" s="20"/>
      <c r="Y1868" s="20"/>
      <c r="Z1868" s="20"/>
      <c r="AA1868" s="20"/>
    </row>
    <row r="1869" spans="1:27" ht="87" x14ac:dyDescent="0.25">
      <c r="A1869" s="16"/>
      <c r="B1869" s="20" t="b">
        <f ca="1">IFERROR(__xludf.DUMMYFUNCTION("if(D1869=iferror(filter('Character Sheet'!D$13:D3002,'Character Sheet'!D$13:D3002=D1869),""""),True,False)"),FALSE)</f>
        <v>0</v>
      </c>
      <c r="C1869" s="20">
        <v>200</v>
      </c>
      <c r="D1869" s="2" t="s">
        <v>3951</v>
      </c>
      <c r="E1869" s="2" t="s">
        <v>100</v>
      </c>
      <c r="F1869" s="20" t="s">
        <v>64</v>
      </c>
      <c r="G1869" s="2" t="s">
        <v>3952</v>
      </c>
      <c r="H1869" s="16"/>
      <c r="I1869" s="20"/>
      <c r="J1869" s="20"/>
      <c r="K1869" s="20"/>
      <c r="L1869" s="20"/>
      <c r="M1869" s="20"/>
      <c r="N1869" s="20"/>
      <c r="O1869" s="20"/>
      <c r="P1869" s="20"/>
      <c r="Q1869" s="20"/>
      <c r="R1869" s="20"/>
      <c r="S1869" s="20"/>
      <c r="T1869" s="20"/>
      <c r="U1869" s="20"/>
      <c r="V1869" s="20"/>
      <c r="W1869" s="20"/>
      <c r="X1869" s="20"/>
      <c r="Y1869" s="20"/>
      <c r="Z1869" s="20"/>
      <c r="AA1869" s="20"/>
    </row>
    <row r="1870" spans="1:27" ht="104.4" x14ac:dyDescent="0.25">
      <c r="A1870" s="16"/>
      <c r="B1870" s="20" t="b">
        <f ca="1">IFERROR(__xludf.DUMMYFUNCTION("if(D1870=iferror(filter('Character Sheet'!D$13:D3002,'Character Sheet'!D$13:D3002=D1870),""""),True,False)"),FALSE)</f>
        <v>0</v>
      </c>
      <c r="C1870" s="20">
        <v>200</v>
      </c>
      <c r="D1870" s="2" t="s">
        <v>3953</v>
      </c>
      <c r="E1870" s="2" t="s">
        <v>469</v>
      </c>
      <c r="F1870" s="20" t="s">
        <v>64</v>
      </c>
      <c r="G1870" s="2" t="s">
        <v>3954</v>
      </c>
      <c r="H1870" s="16"/>
      <c r="I1870" s="20"/>
      <c r="J1870" s="20"/>
      <c r="K1870" s="20"/>
      <c r="L1870" s="20"/>
      <c r="M1870" s="20"/>
      <c r="N1870" s="20"/>
      <c r="O1870" s="20"/>
      <c r="P1870" s="20"/>
      <c r="Q1870" s="20"/>
      <c r="R1870" s="20"/>
      <c r="S1870" s="20"/>
      <c r="T1870" s="20"/>
      <c r="U1870" s="20"/>
      <c r="V1870" s="20"/>
      <c r="W1870" s="20"/>
      <c r="X1870" s="20"/>
      <c r="Y1870" s="20"/>
      <c r="Z1870" s="20"/>
      <c r="AA1870" s="20"/>
    </row>
    <row r="1871" spans="1:27" ht="87" x14ac:dyDescent="0.25">
      <c r="A1871" s="16"/>
      <c r="B1871" s="20" t="b">
        <f ca="1">IFERROR(__xludf.DUMMYFUNCTION("if(D1871=iferror(filter('Character Sheet'!D$13:D3002,'Character Sheet'!D$13:D3002=D1871),""""),True,False)"),FALSE)</f>
        <v>0</v>
      </c>
      <c r="C1871" s="20">
        <v>200</v>
      </c>
      <c r="D1871" s="2" t="s">
        <v>3955</v>
      </c>
      <c r="E1871" s="2" t="s">
        <v>100</v>
      </c>
      <c r="F1871" s="20" t="s">
        <v>64</v>
      </c>
      <c r="G1871" s="2" t="s">
        <v>3956</v>
      </c>
      <c r="H1871" s="16"/>
      <c r="I1871" s="20"/>
      <c r="J1871" s="20"/>
      <c r="K1871" s="20"/>
      <c r="L1871" s="20"/>
      <c r="M1871" s="20"/>
      <c r="N1871" s="20"/>
      <c r="O1871" s="20"/>
      <c r="P1871" s="20"/>
      <c r="Q1871" s="20"/>
      <c r="R1871" s="20"/>
      <c r="S1871" s="20"/>
      <c r="T1871" s="20"/>
      <c r="U1871" s="20"/>
      <c r="V1871" s="20"/>
      <c r="W1871" s="20"/>
      <c r="X1871" s="20"/>
      <c r="Y1871" s="20"/>
      <c r="Z1871" s="20"/>
      <c r="AA1871" s="20"/>
    </row>
    <row r="1872" spans="1:27" ht="52.2" x14ac:dyDescent="0.25">
      <c r="A1872" s="16"/>
      <c r="B1872" s="20" t="b">
        <f ca="1">IFERROR(__xludf.DUMMYFUNCTION("if(D1872=iferror(filter('Character Sheet'!D$13:D3002,'Character Sheet'!D$13:D3002=D1872),""""),True,False)"),FALSE)</f>
        <v>0</v>
      </c>
      <c r="C1872" s="20">
        <v>200</v>
      </c>
      <c r="D1872" s="2" t="s">
        <v>3957</v>
      </c>
      <c r="E1872" s="2" t="s">
        <v>285</v>
      </c>
      <c r="F1872" s="20" t="s">
        <v>64</v>
      </c>
      <c r="G1872" s="2" t="s">
        <v>3958</v>
      </c>
      <c r="H1872" s="16"/>
      <c r="I1872" s="20"/>
      <c r="J1872" s="20"/>
      <c r="K1872" s="20"/>
      <c r="L1872" s="20"/>
      <c r="M1872" s="20"/>
      <c r="N1872" s="20"/>
      <c r="O1872" s="20"/>
      <c r="P1872" s="20"/>
      <c r="Q1872" s="20"/>
      <c r="R1872" s="20"/>
      <c r="S1872" s="20"/>
      <c r="T1872" s="20"/>
      <c r="U1872" s="20"/>
      <c r="V1872" s="20"/>
      <c r="W1872" s="20"/>
      <c r="X1872" s="20"/>
      <c r="Y1872" s="20"/>
      <c r="Z1872" s="20"/>
      <c r="AA1872" s="20"/>
    </row>
    <row r="1873" spans="1:27" ht="104.4" x14ac:dyDescent="0.25">
      <c r="A1873" s="16"/>
      <c r="B1873" s="20" t="b">
        <f ca="1">IFERROR(__xludf.DUMMYFUNCTION("if(D1873=iferror(filter('Character Sheet'!D$13:D3002,'Character Sheet'!D$13:D3002=D1873),""""),True,False)"),FALSE)</f>
        <v>0</v>
      </c>
      <c r="C1873" s="20">
        <v>200</v>
      </c>
      <c r="D1873" s="2" t="s">
        <v>3959</v>
      </c>
      <c r="E1873" s="2" t="s">
        <v>652</v>
      </c>
      <c r="F1873" s="20" t="s">
        <v>64</v>
      </c>
      <c r="G1873" s="2" t="s">
        <v>3960</v>
      </c>
      <c r="H1873" s="16"/>
      <c r="I1873" s="20"/>
      <c r="J1873" s="20"/>
      <c r="K1873" s="20"/>
      <c r="L1873" s="20"/>
      <c r="M1873" s="20"/>
      <c r="N1873" s="20"/>
      <c r="O1873" s="20"/>
      <c r="P1873" s="20"/>
      <c r="Q1873" s="20"/>
      <c r="R1873" s="20"/>
      <c r="S1873" s="20"/>
      <c r="T1873" s="20"/>
      <c r="U1873" s="20"/>
      <c r="V1873" s="20"/>
      <c r="W1873" s="20"/>
      <c r="X1873" s="20"/>
      <c r="Y1873" s="20"/>
      <c r="Z1873" s="20"/>
      <c r="AA1873" s="20"/>
    </row>
    <row r="1874" spans="1:27" ht="34.799999999999997" x14ac:dyDescent="0.25">
      <c r="A1874" s="16"/>
      <c r="B1874" s="20" t="b">
        <f ca="1">IFERROR(__xludf.DUMMYFUNCTION("if(D1874=iferror(filter('Character Sheet'!D$13:D3002,'Character Sheet'!D$13:D3002=D1874),""""),True,False)"),FALSE)</f>
        <v>0</v>
      </c>
      <c r="C1874" s="20">
        <v>200</v>
      </c>
      <c r="D1874" s="2" t="s">
        <v>3961</v>
      </c>
      <c r="E1874" s="2" t="s">
        <v>75</v>
      </c>
      <c r="F1874" s="20" t="s">
        <v>64</v>
      </c>
      <c r="G1874" s="2" t="s">
        <v>3962</v>
      </c>
      <c r="H1874" s="16"/>
      <c r="I1874" s="20"/>
      <c r="J1874" s="20"/>
      <c r="K1874" s="20"/>
      <c r="L1874" s="20"/>
      <c r="M1874" s="20"/>
      <c r="N1874" s="20"/>
      <c r="O1874" s="20"/>
      <c r="P1874" s="20"/>
      <c r="Q1874" s="20"/>
      <c r="R1874" s="20"/>
      <c r="S1874" s="20"/>
      <c r="T1874" s="20"/>
      <c r="U1874" s="20"/>
      <c r="V1874" s="20"/>
      <c r="W1874" s="20"/>
      <c r="X1874" s="20"/>
      <c r="Y1874" s="20"/>
      <c r="Z1874" s="20"/>
      <c r="AA1874" s="20"/>
    </row>
    <row r="1875" spans="1:27" ht="121.8" x14ac:dyDescent="0.25">
      <c r="A1875" s="16"/>
      <c r="B1875" s="20" t="b">
        <f ca="1">IFERROR(__xludf.DUMMYFUNCTION("if(D1875=iferror(filter('Character Sheet'!D$13:D3002,'Character Sheet'!D$13:D3002=D1875),""""),True,False)"),FALSE)</f>
        <v>0</v>
      </c>
      <c r="C1875" s="20">
        <v>200</v>
      </c>
      <c r="D1875" s="2" t="s">
        <v>3963</v>
      </c>
      <c r="E1875" s="2" t="s">
        <v>119</v>
      </c>
      <c r="F1875" s="20" t="s">
        <v>64</v>
      </c>
      <c r="G1875" s="2" t="s">
        <v>3964</v>
      </c>
      <c r="H1875" s="16"/>
      <c r="I1875" s="20"/>
      <c r="J1875" s="20"/>
      <c r="K1875" s="20"/>
      <c r="L1875" s="20"/>
      <c r="M1875" s="20"/>
      <c r="N1875" s="20"/>
      <c r="O1875" s="20"/>
      <c r="P1875" s="20"/>
      <c r="Q1875" s="20"/>
      <c r="R1875" s="20"/>
      <c r="S1875" s="20"/>
      <c r="T1875" s="20"/>
      <c r="U1875" s="20"/>
      <c r="V1875" s="20"/>
      <c r="W1875" s="20"/>
      <c r="X1875" s="20"/>
      <c r="Y1875" s="20"/>
      <c r="Z1875" s="20"/>
      <c r="AA1875" s="20"/>
    </row>
    <row r="1876" spans="1:27" ht="87" x14ac:dyDescent="0.25">
      <c r="A1876" s="16"/>
      <c r="B1876" s="20" t="b">
        <f ca="1">IFERROR(__xludf.DUMMYFUNCTION("if(D1876=iferror(filter('Character Sheet'!D$13:D3002,'Character Sheet'!D$13:D3002=D1876),""""),True,False)"),FALSE)</f>
        <v>0</v>
      </c>
      <c r="C1876" s="20">
        <v>200</v>
      </c>
      <c r="D1876" s="2" t="s">
        <v>3965</v>
      </c>
      <c r="E1876" s="2" t="s">
        <v>1693</v>
      </c>
      <c r="F1876" s="20" t="s">
        <v>64</v>
      </c>
      <c r="G1876" s="2" t="s">
        <v>3966</v>
      </c>
      <c r="H1876" s="16"/>
      <c r="I1876" s="20"/>
      <c r="J1876" s="20"/>
      <c r="K1876" s="20"/>
      <c r="L1876" s="20"/>
      <c r="M1876" s="20"/>
      <c r="N1876" s="20"/>
      <c r="O1876" s="20"/>
      <c r="P1876" s="20"/>
      <c r="Q1876" s="20"/>
      <c r="R1876" s="20"/>
      <c r="S1876" s="20"/>
      <c r="T1876" s="20"/>
      <c r="U1876" s="20"/>
      <c r="V1876" s="20"/>
      <c r="W1876" s="20"/>
      <c r="X1876" s="20"/>
      <c r="Y1876" s="20"/>
      <c r="Z1876" s="20"/>
      <c r="AA1876" s="20"/>
    </row>
    <row r="1877" spans="1:27" ht="121.8" x14ac:dyDescent="0.25">
      <c r="A1877" s="16"/>
      <c r="B1877" s="20" t="b">
        <f ca="1">IFERROR(__xludf.DUMMYFUNCTION("if(D1877=iferror(filter('Character Sheet'!D$13:D3002,'Character Sheet'!D$13:D3002=D1877),""""),True,False)"),FALSE)</f>
        <v>0</v>
      </c>
      <c r="C1877" s="20">
        <v>200</v>
      </c>
      <c r="D1877" s="2" t="s">
        <v>3967</v>
      </c>
      <c r="E1877" s="2" t="s">
        <v>1130</v>
      </c>
      <c r="F1877" s="20" t="s">
        <v>64</v>
      </c>
      <c r="G1877" s="2" t="s">
        <v>3968</v>
      </c>
      <c r="H1877" s="16"/>
      <c r="I1877" s="20"/>
      <c r="J1877" s="20"/>
      <c r="K1877" s="20"/>
      <c r="L1877" s="20"/>
      <c r="M1877" s="20"/>
      <c r="N1877" s="20"/>
      <c r="O1877" s="20"/>
      <c r="P1877" s="20"/>
      <c r="Q1877" s="20"/>
      <c r="R1877" s="20"/>
      <c r="S1877" s="20"/>
      <c r="T1877" s="20"/>
      <c r="U1877" s="20"/>
      <c r="V1877" s="20"/>
      <c r="W1877" s="20"/>
      <c r="X1877" s="20"/>
      <c r="Y1877" s="20"/>
      <c r="Z1877" s="20"/>
      <c r="AA1877" s="20"/>
    </row>
    <row r="1878" spans="1:27" ht="87" x14ac:dyDescent="0.25">
      <c r="A1878" s="16"/>
      <c r="B1878" s="20" t="b">
        <f ca="1">IFERROR(__xludf.DUMMYFUNCTION("if(D1878=iferror(filter('Character Sheet'!D$13:D3002,'Character Sheet'!D$13:D3002=D1878),""""),True,False)"),FALSE)</f>
        <v>0</v>
      </c>
      <c r="C1878" s="20">
        <v>200</v>
      </c>
      <c r="D1878" s="2" t="s">
        <v>3969</v>
      </c>
      <c r="E1878" s="2" t="s">
        <v>358</v>
      </c>
      <c r="F1878" s="20" t="s">
        <v>64</v>
      </c>
      <c r="G1878" s="2" t="s">
        <v>3970</v>
      </c>
      <c r="H1878" s="16"/>
      <c r="I1878" s="20"/>
      <c r="J1878" s="20"/>
      <c r="K1878" s="20"/>
      <c r="L1878" s="20"/>
      <c r="M1878" s="20"/>
      <c r="N1878" s="20"/>
      <c r="O1878" s="20"/>
      <c r="P1878" s="20"/>
      <c r="Q1878" s="20"/>
      <c r="R1878" s="20"/>
      <c r="S1878" s="20"/>
      <c r="T1878" s="20"/>
      <c r="U1878" s="20"/>
      <c r="V1878" s="20"/>
      <c r="W1878" s="20"/>
      <c r="X1878" s="20"/>
      <c r="Y1878" s="20"/>
      <c r="Z1878" s="20"/>
      <c r="AA1878" s="20"/>
    </row>
    <row r="1879" spans="1:27" ht="104.4" x14ac:dyDescent="0.25">
      <c r="A1879" s="16"/>
      <c r="B1879" s="20" t="b">
        <f ca="1">IFERROR(__xludf.DUMMYFUNCTION("if(D1879=iferror(filter('Character Sheet'!D$13:D3002,'Character Sheet'!D$13:D3002=D1879),""""),True,False)"),FALSE)</f>
        <v>0</v>
      </c>
      <c r="C1879" s="20">
        <v>200</v>
      </c>
      <c r="D1879" s="2" t="s">
        <v>3971</v>
      </c>
      <c r="E1879" s="2" t="s">
        <v>391</v>
      </c>
      <c r="F1879" s="20" t="s">
        <v>64</v>
      </c>
      <c r="G1879" s="2" t="s">
        <v>3972</v>
      </c>
      <c r="H1879" s="16"/>
      <c r="I1879" s="20"/>
      <c r="J1879" s="20"/>
      <c r="K1879" s="20"/>
      <c r="L1879" s="20"/>
      <c r="M1879" s="20"/>
      <c r="N1879" s="20"/>
      <c r="O1879" s="20"/>
      <c r="P1879" s="20"/>
      <c r="Q1879" s="20"/>
      <c r="R1879" s="20"/>
      <c r="S1879" s="20"/>
      <c r="T1879" s="20"/>
      <c r="U1879" s="20"/>
      <c r="V1879" s="20"/>
      <c r="W1879" s="20"/>
      <c r="X1879" s="20"/>
      <c r="Y1879" s="20"/>
      <c r="Z1879" s="20"/>
      <c r="AA1879" s="20"/>
    </row>
    <row r="1880" spans="1:27" ht="104.4" x14ac:dyDescent="0.25">
      <c r="A1880" s="16"/>
      <c r="B1880" s="20" t="b">
        <f ca="1">IFERROR(__xludf.DUMMYFUNCTION("if(D1880=iferror(filter('Character Sheet'!D$13:D3002,'Character Sheet'!D$13:D3002=D1880),""""),True,False)"),FALSE)</f>
        <v>0</v>
      </c>
      <c r="C1880" s="20">
        <v>200</v>
      </c>
      <c r="D1880" s="2" t="s">
        <v>3973</v>
      </c>
      <c r="E1880" s="2" t="s">
        <v>139</v>
      </c>
      <c r="F1880" s="20" t="s">
        <v>64</v>
      </c>
      <c r="G1880" s="2" t="s">
        <v>3974</v>
      </c>
      <c r="H1880" s="16"/>
      <c r="I1880" s="20"/>
      <c r="J1880" s="20"/>
      <c r="K1880" s="20"/>
      <c r="L1880" s="20"/>
      <c r="M1880" s="20"/>
      <c r="N1880" s="20"/>
      <c r="O1880" s="20"/>
      <c r="P1880" s="20"/>
      <c r="Q1880" s="20"/>
      <c r="R1880" s="20"/>
      <c r="S1880" s="20"/>
      <c r="T1880" s="20"/>
      <c r="U1880" s="20"/>
      <c r="V1880" s="20"/>
      <c r="W1880" s="20"/>
      <c r="X1880" s="20"/>
      <c r="Y1880" s="20"/>
      <c r="Z1880" s="20"/>
      <c r="AA1880" s="20"/>
    </row>
    <row r="1881" spans="1:27" ht="69.599999999999994" x14ac:dyDescent="0.25">
      <c r="A1881" s="16"/>
      <c r="B1881" s="20" t="b">
        <f ca="1">IFERROR(__xludf.DUMMYFUNCTION("if(D1881=iferror(filter('Character Sheet'!D$13:D3002,'Character Sheet'!D$13:D3002=D1881),""""),True,False)"),FALSE)</f>
        <v>0</v>
      </c>
      <c r="C1881" s="20">
        <v>200</v>
      </c>
      <c r="D1881" s="2" t="s">
        <v>3975</v>
      </c>
      <c r="E1881" s="2" t="s">
        <v>334</v>
      </c>
      <c r="F1881" s="20" t="s">
        <v>64</v>
      </c>
      <c r="G1881" s="2" t="s">
        <v>3976</v>
      </c>
      <c r="H1881" s="16"/>
      <c r="I1881" s="20"/>
      <c r="J1881" s="20"/>
      <c r="K1881" s="20"/>
      <c r="L1881" s="20"/>
      <c r="M1881" s="20"/>
      <c r="N1881" s="20"/>
      <c r="O1881" s="20"/>
      <c r="P1881" s="20"/>
      <c r="Q1881" s="20"/>
      <c r="R1881" s="20"/>
      <c r="S1881" s="20"/>
      <c r="T1881" s="20"/>
      <c r="U1881" s="20"/>
      <c r="V1881" s="20"/>
      <c r="W1881" s="20"/>
      <c r="X1881" s="20"/>
      <c r="Y1881" s="20"/>
      <c r="Z1881" s="20"/>
      <c r="AA1881" s="20"/>
    </row>
    <row r="1882" spans="1:27" ht="69.599999999999994" x14ac:dyDescent="0.25">
      <c r="A1882" s="16"/>
      <c r="B1882" s="20" t="b">
        <f ca="1">IFERROR(__xludf.DUMMYFUNCTION("if(D1882=iferror(filter('Character Sheet'!D$13:D3002,'Character Sheet'!D$13:D3002=D1882),""""),True,False)"),FALSE)</f>
        <v>0</v>
      </c>
      <c r="C1882" s="20">
        <v>200</v>
      </c>
      <c r="D1882" s="2" t="s">
        <v>3977</v>
      </c>
      <c r="E1882" s="2" t="s">
        <v>93</v>
      </c>
      <c r="F1882" s="20" t="s">
        <v>64</v>
      </c>
      <c r="G1882" s="2" t="s">
        <v>3978</v>
      </c>
      <c r="H1882" s="16"/>
      <c r="I1882" s="20"/>
      <c r="J1882" s="20"/>
      <c r="K1882" s="20"/>
      <c r="L1882" s="20"/>
      <c r="M1882" s="20"/>
      <c r="N1882" s="20"/>
      <c r="O1882" s="20"/>
      <c r="P1882" s="20"/>
      <c r="Q1882" s="20"/>
      <c r="R1882" s="20"/>
      <c r="S1882" s="20"/>
      <c r="T1882" s="20"/>
      <c r="U1882" s="20"/>
      <c r="V1882" s="20"/>
      <c r="W1882" s="20"/>
      <c r="X1882" s="20"/>
      <c r="Y1882" s="20"/>
      <c r="Z1882" s="20"/>
      <c r="AA1882" s="20"/>
    </row>
    <row r="1883" spans="1:27" ht="104.4" x14ac:dyDescent="0.25">
      <c r="A1883" s="16"/>
      <c r="B1883" s="20" t="b">
        <f ca="1">IFERROR(__xludf.DUMMYFUNCTION("if(D1883=iferror(filter('Character Sheet'!D$13:D3002,'Character Sheet'!D$13:D3002=D1883),""""),True,False)"),FALSE)</f>
        <v>0</v>
      </c>
      <c r="C1883" s="20">
        <v>200</v>
      </c>
      <c r="D1883" s="2" t="s">
        <v>3979</v>
      </c>
      <c r="E1883" s="2" t="s">
        <v>202</v>
      </c>
      <c r="F1883" s="20" t="s">
        <v>64</v>
      </c>
      <c r="G1883" s="2" t="s">
        <v>3980</v>
      </c>
      <c r="H1883" s="16"/>
      <c r="I1883" s="20"/>
      <c r="J1883" s="20"/>
      <c r="K1883" s="20"/>
      <c r="L1883" s="20"/>
      <c r="M1883" s="20"/>
      <c r="N1883" s="20"/>
      <c r="O1883" s="20"/>
      <c r="P1883" s="20"/>
      <c r="Q1883" s="20"/>
      <c r="R1883" s="20"/>
      <c r="S1883" s="20"/>
      <c r="T1883" s="20"/>
      <c r="U1883" s="20"/>
      <c r="V1883" s="20"/>
      <c r="W1883" s="20"/>
      <c r="X1883" s="20"/>
      <c r="Y1883" s="20"/>
      <c r="Z1883" s="20"/>
      <c r="AA1883" s="20"/>
    </row>
    <row r="1884" spans="1:27" ht="87" x14ac:dyDescent="0.25">
      <c r="A1884" s="16"/>
      <c r="B1884" s="20" t="b">
        <f ca="1">IFERROR(__xludf.DUMMYFUNCTION("if(D1884=iferror(filter('Character Sheet'!D$13:D3002,'Character Sheet'!D$13:D3002=D1884),""""),True,False)"),FALSE)</f>
        <v>0</v>
      </c>
      <c r="C1884" s="20">
        <v>200</v>
      </c>
      <c r="D1884" s="2" t="s">
        <v>3981</v>
      </c>
      <c r="E1884" s="2" t="s">
        <v>347</v>
      </c>
      <c r="F1884" s="20" t="s">
        <v>64</v>
      </c>
      <c r="G1884" s="2" t="s">
        <v>3982</v>
      </c>
      <c r="H1884" s="16"/>
      <c r="I1884" s="20"/>
      <c r="J1884" s="20"/>
      <c r="K1884" s="20"/>
      <c r="L1884" s="20"/>
      <c r="M1884" s="20"/>
      <c r="N1884" s="20"/>
      <c r="O1884" s="20"/>
      <c r="P1884" s="20"/>
      <c r="Q1884" s="20"/>
      <c r="R1884" s="20"/>
      <c r="S1884" s="20"/>
      <c r="T1884" s="20"/>
      <c r="U1884" s="20"/>
      <c r="V1884" s="20"/>
      <c r="W1884" s="20"/>
      <c r="X1884" s="20"/>
      <c r="Y1884" s="20"/>
      <c r="Z1884" s="20"/>
      <c r="AA1884" s="20"/>
    </row>
    <row r="1885" spans="1:27" ht="208.8" x14ac:dyDescent="0.25">
      <c r="A1885" s="16"/>
      <c r="B1885" s="20" t="b">
        <f ca="1">IFERROR(__xludf.DUMMYFUNCTION("if(D1885=iferror(filter('Character Sheet'!D$13:D3002,'Character Sheet'!D$13:D3002=D1885),""""),True,False)"),FALSE)</f>
        <v>0</v>
      </c>
      <c r="C1885" s="20">
        <v>200</v>
      </c>
      <c r="D1885" s="2" t="s">
        <v>3983</v>
      </c>
      <c r="E1885" s="2" t="s">
        <v>230</v>
      </c>
      <c r="F1885" s="20" t="s">
        <v>64</v>
      </c>
      <c r="G1885" s="2" t="s">
        <v>3984</v>
      </c>
      <c r="H1885" s="16"/>
      <c r="I1885" s="20"/>
      <c r="J1885" s="20"/>
      <c r="K1885" s="20"/>
      <c r="L1885" s="20"/>
      <c r="M1885" s="20"/>
      <c r="N1885" s="20"/>
      <c r="O1885" s="20"/>
      <c r="P1885" s="20"/>
      <c r="Q1885" s="20"/>
      <c r="R1885" s="20"/>
      <c r="S1885" s="20"/>
      <c r="T1885" s="20"/>
      <c r="U1885" s="20"/>
      <c r="V1885" s="20"/>
      <c r="W1885" s="20"/>
      <c r="X1885" s="20"/>
      <c r="Y1885" s="20"/>
      <c r="Z1885" s="20"/>
      <c r="AA1885" s="20"/>
    </row>
    <row r="1886" spans="1:27" ht="87" x14ac:dyDescent="0.25">
      <c r="A1886" s="16"/>
      <c r="B1886" s="20" t="b">
        <f ca="1">IFERROR(__xludf.DUMMYFUNCTION("if(D1886=iferror(filter('Character Sheet'!D$13:D3002,'Character Sheet'!D$13:D3002=D1886),""""),True,False)"),FALSE)</f>
        <v>0</v>
      </c>
      <c r="C1886" s="20">
        <v>200</v>
      </c>
      <c r="D1886" s="2" t="s">
        <v>3985</v>
      </c>
      <c r="E1886" s="2" t="s">
        <v>230</v>
      </c>
      <c r="F1886" s="20" t="s">
        <v>64</v>
      </c>
      <c r="G1886" s="2" t="s">
        <v>3986</v>
      </c>
      <c r="H1886" s="16"/>
      <c r="I1886" s="20"/>
      <c r="J1886" s="20"/>
      <c r="K1886" s="20"/>
      <c r="L1886" s="20"/>
      <c r="M1886" s="20"/>
      <c r="N1886" s="20"/>
      <c r="O1886" s="20"/>
      <c r="P1886" s="20"/>
      <c r="Q1886" s="20"/>
      <c r="R1886" s="20"/>
      <c r="S1886" s="20"/>
      <c r="T1886" s="20"/>
      <c r="U1886" s="20"/>
      <c r="V1886" s="20"/>
      <c r="W1886" s="20"/>
      <c r="X1886" s="20"/>
      <c r="Y1886" s="20"/>
      <c r="Z1886" s="20"/>
      <c r="AA1886" s="20"/>
    </row>
    <row r="1887" spans="1:27" ht="87" x14ac:dyDescent="0.25">
      <c r="A1887" s="16"/>
      <c r="B1887" s="20" t="b">
        <f ca="1">IFERROR(__xludf.DUMMYFUNCTION("if(D1887=iferror(filter('Character Sheet'!D$13:D3002,'Character Sheet'!D$13:D3002=D1887),""""),True,False)"),FALSE)</f>
        <v>0</v>
      </c>
      <c r="C1887" s="20">
        <v>200</v>
      </c>
      <c r="D1887" s="2" t="s">
        <v>3987</v>
      </c>
      <c r="E1887" s="2" t="s">
        <v>100</v>
      </c>
      <c r="F1887" s="20" t="s">
        <v>64</v>
      </c>
      <c r="G1887" s="2" t="s">
        <v>3988</v>
      </c>
      <c r="H1887" s="16"/>
      <c r="I1887" s="20"/>
      <c r="J1887" s="20"/>
      <c r="K1887" s="20"/>
      <c r="L1887" s="20"/>
      <c r="M1887" s="20"/>
      <c r="N1887" s="20"/>
      <c r="O1887" s="20"/>
      <c r="P1887" s="20"/>
      <c r="Q1887" s="20"/>
      <c r="R1887" s="20"/>
      <c r="S1887" s="20"/>
      <c r="T1887" s="20"/>
      <c r="U1887" s="20"/>
      <c r="V1887" s="20"/>
      <c r="W1887" s="20"/>
      <c r="X1887" s="20"/>
      <c r="Y1887" s="20"/>
      <c r="Z1887" s="20"/>
      <c r="AA1887" s="20"/>
    </row>
    <row r="1888" spans="1:27" ht="243.6" x14ac:dyDescent="0.25">
      <c r="A1888" s="16"/>
      <c r="B1888" s="20" t="b">
        <f ca="1">IFERROR(__xludf.DUMMYFUNCTION("if(D1888=iferror(filter('Character Sheet'!D$13:D3002,'Character Sheet'!D$13:D3002=D1888),""""),True,False)"),FALSE)</f>
        <v>0</v>
      </c>
      <c r="C1888" s="20">
        <v>300</v>
      </c>
      <c r="D1888" s="2" t="s">
        <v>3989</v>
      </c>
      <c r="E1888" s="2" t="s">
        <v>1116</v>
      </c>
      <c r="F1888" s="20" t="s">
        <v>64</v>
      </c>
      <c r="G1888" s="2" t="s">
        <v>3990</v>
      </c>
      <c r="H1888" s="16"/>
      <c r="I1888" s="20"/>
      <c r="J1888" s="20"/>
      <c r="K1888" s="20"/>
      <c r="L1888" s="20"/>
      <c r="M1888" s="20"/>
      <c r="N1888" s="20"/>
      <c r="O1888" s="20"/>
      <c r="P1888" s="20"/>
      <c r="Q1888" s="20"/>
      <c r="R1888" s="20"/>
      <c r="S1888" s="20"/>
      <c r="T1888" s="20"/>
      <c r="U1888" s="20"/>
      <c r="V1888" s="20"/>
      <c r="W1888" s="20"/>
      <c r="X1888" s="20"/>
      <c r="Y1888" s="20"/>
      <c r="Z1888" s="20"/>
      <c r="AA1888" s="20"/>
    </row>
    <row r="1889" spans="1:27" ht="156.6" x14ac:dyDescent="0.25">
      <c r="A1889" s="16"/>
      <c r="B1889" s="20" t="b">
        <f ca="1">IFERROR(__xludf.DUMMYFUNCTION("if(D1889=iferror(filter('Character Sheet'!D$13:D3002,'Character Sheet'!D$13:D3002=D1889),""""),True,False)"),FALSE)</f>
        <v>0</v>
      </c>
      <c r="C1889" s="20">
        <v>300</v>
      </c>
      <c r="D1889" s="2" t="s">
        <v>3991</v>
      </c>
      <c r="E1889" s="2" t="s">
        <v>233</v>
      </c>
      <c r="F1889" s="20" t="s">
        <v>64</v>
      </c>
      <c r="G1889" s="2" t="s">
        <v>3992</v>
      </c>
      <c r="H1889" s="16"/>
      <c r="I1889" s="20"/>
      <c r="J1889" s="20"/>
      <c r="K1889" s="20"/>
      <c r="L1889" s="20"/>
      <c r="M1889" s="20"/>
      <c r="N1889" s="20"/>
      <c r="O1889" s="20"/>
      <c r="P1889" s="20"/>
      <c r="Q1889" s="20"/>
      <c r="R1889" s="20"/>
      <c r="S1889" s="20"/>
      <c r="T1889" s="20"/>
      <c r="U1889" s="20"/>
      <c r="V1889" s="20"/>
      <c r="W1889" s="20"/>
      <c r="X1889" s="20"/>
      <c r="Y1889" s="20"/>
      <c r="Z1889" s="20"/>
      <c r="AA1889" s="20"/>
    </row>
    <row r="1890" spans="1:27" ht="191.4" x14ac:dyDescent="0.25">
      <c r="A1890" s="16"/>
      <c r="B1890" s="20" t="b">
        <f ca="1">IFERROR(__xludf.DUMMYFUNCTION("if(D1890=iferror(filter('Character Sheet'!D$13:D3002,'Character Sheet'!D$13:D3002=D1890),""""),True,False)"),FALSE)</f>
        <v>0</v>
      </c>
      <c r="C1890" s="20">
        <v>300</v>
      </c>
      <c r="D1890" s="2" t="s">
        <v>3993</v>
      </c>
      <c r="E1890" s="2" t="s">
        <v>662</v>
      </c>
      <c r="F1890" s="20" t="s">
        <v>64</v>
      </c>
      <c r="G1890" s="2" t="s">
        <v>3994</v>
      </c>
      <c r="H1890" s="16"/>
      <c r="I1890" s="20"/>
      <c r="J1890" s="20"/>
      <c r="K1890" s="20"/>
      <c r="L1890" s="20"/>
      <c r="M1890" s="20"/>
      <c r="N1890" s="20"/>
      <c r="O1890" s="20"/>
      <c r="P1890" s="20"/>
      <c r="Q1890" s="20"/>
      <c r="R1890" s="20"/>
      <c r="S1890" s="20"/>
      <c r="T1890" s="20"/>
      <c r="U1890" s="20"/>
      <c r="V1890" s="20"/>
      <c r="W1890" s="20"/>
      <c r="X1890" s="20"/>
      <c r="Y1890" s="20"/>
      <c r="Z1890" s="20"/>
      <c r="AA1890" s="20"/>
    </row>
    <row r="1891" spans="1:27" ht="278.39999999999998" x14ac:dyDescent="0.25">
      <c r="A1891" s="16"/>
      <c r="B1891" s="20" t="b">
        <f ca="1">IFERROR(__xludf.DUMMYFUNCTION("if(D1891=iferror(filter('Character Sheet'!D$13:D3002,'Character Sheet'!D$13:D3002=D1891),""""),True,False)"),FALSE)</f>
        <v>0</v>
      </c>
      <c r="C1891" s="20">
        <v>300</v>
      </c>
      <c r="D1891" s="2" t="s">
        <v>3995</v>
      </c>
      <c r="E1891" s="2" t="s">
        <v>66</v>
      </c>
      <c r="F1891" s="20" t="s">
        <v>64</v>
      </c>
      <c r="G1891" s="2" t="s">
        <v>3996</v>
      </c>
      <c r="H1891" s="16"/>
      <c r="I1891" s="20"/>
      <c r="J1891" s="20"/>
      <c r="K1891" s="20"/>
      <c r="L1891" s="20"/>
      <c r="M1891" s="20"/>
      <c r="N1891" s="20"/>
      <c r="O1891" s="20"/>
      <c r="P1891" s="20"/>
      <c r="Q1891" s="20"/>
      <c r="R1891" s="20"/>
      <c r="S1891" s="20"/>
      <c r="T1891" s="20"/>
      <c r="U1891" s="20"/>
      <c r="V1891" s="20"/>
      <c r="W1891" s="20"/>
      <c r="X1891" s="20"/>
      <c r="Y1891" s="20"/>
      <c r="Z1891" s="20"/>
      <c r="AA1891" s="20"/>
    </row>
    <row r="1892" spans="1:27" ht="156.6" x14ac:dyDescent="0.25">
      <c r="A1892" s="16"/>
      <c r="B1892" s="20" t="b">
        <f ca="1">IFERROR(__xludf.DUMMYFUNCTION("if(D1892=iferror(filter('Character Sheet'!D$13:D3002,'Character Sheet'!D$13:D3002=D1892),""""),True,False)"),FALSE)</f>
        <v>0</v>
      </c>
      <c r="C1892" s="20">
        <v>300</v>
      </c>
      <c r="D1892" s="2" t="s">
        <v>3997</v>
      </c>
      <c r="E1892" s="2" t="s">
        <v>100</v>
      </c>
      <c r="F1892" s="20" t="s">
        <v>64</v>
      </c>
      <c r="G1892" s="2" t="s">
        <v>3998</v>
      </c>
      <c r="H1892" s="16"/>
      <c r="I1892" s="20"/>
      <c r="J1892" s="20"/>
      <c r="K1892" s="20"/>
      <c r="L1892" s="20"/>
      <c r="M1892" s="20"/>
      <c r="N1892" s="20"/>
      <c r="O1892" s="20"/>
      <c r="P1892" s="20"/>
      <c r="Q1892" s="20"/>
      <c r="R1892" s="20"/>
      <c r="S1892" s="20"/>
      <c r="T1892" s="20"/>
      <c r="U1892" s="20"/>
      <c r="V1892" s="20"/>
      <c r="W1892" s="20"/>
      <c r="X1892" s="20"/>
      <c r="Y1892" s="20"/>
      <c r="Z1892" s="20"/>
      <c r="AA1892" s="20"/>
    </row>
    <row r="1893" spans="1:27" ht="365.4" x14ac:dyDescent="0.25">
      <c r="A1893" s="16"/>
      <c r="B1893" s="20" t="b">
        <f ca="1">IFERROR(__xludf.DUMMYFUNCTION("if(D1893=iferror(filter('Character Sheet'!D$13:D3002,'Character Sheet'!D$13:D3002=D1893),""""),True,False)"),FALSE)</f>
        <v>0</v>
      </c>
      <c r="C1893" s="20">
        <v>500</v>
      </c>
      <c r="D1893" s="2" t="s">
        <v>3999</v>
      </c>
      <c r="E1893" s="2" t="s">
        <v>165</v>
      </c>
      <c r="F1893" s="20" t="s">
        <v>64</v>
      </c>
      <c r="G1893" s="2" t="s">
        <v>4000</v>
      </c>
      <c r="H1893" s="16"/>
      <c r="I1893" s="20"/>
      <c r="J1893" s="20"/>
      <c r="K1893" s="20"/>
      <c r="L1893" s="20"/>
      <c r="M1893" s="20"/>
      <c r="N1893" s="20"/>
      <c r="O1893" s="20"/>
      <c r="P1893" s="20"/>
      <c r="Q1893" s="20"/>
      <c r="R1893" s="20"/>
      <c r="S1893" s="20"/>
      <c r="T1893" s="20"/>
      <c r="U1893" s="20"/>
      <c r="V1893" s="20"/>
      <c r="W1893" s="20"/>
      <c r="X1893" s="20"/>
      <c r="Y1893" s="20"/>
      <c r="Z1893" s="20"/>
      <c r="AA1893" s="20"/>
    </row>
    <row r="1894" spans="1:27" ht="243.6" x14ac:dyDescent="0.25">
      <c r="A1894" s="16"/>
      <c r="B1894" s="20" t="b">
        <f ca="1">IFERROR(__xludf.DUMMYFUNCTION("if(D1894=iferror(filter('Character Sheet'!D$13:D3002,'Character Sheet'!D$13:D3002=D1894),""""),True,False)"),FALSE)</f>
        <v>0</v>
      </c>
      <c r="C1894" s="20">
        <v>300</v>
      </c>
      <c r="D1894" s="2" t="s">
        <v>4001</v>
      </c>
      <c r="E1894" s="2" t="s">
        <v>475</v>
      </c>
      <c r="F1894" s="20" t="s">
        <v>64</v>
      </c>
      <c r="G1894" s="2" t="s">
        <v>4002</v>
      </c>
      <c r="H1894" s="16"/>
      <c r="I1894" s="20"/>
      <c r="J1894" s="20"/>
      <c r="K1894" s="20"/>
      <c r="L1894" s="20"/>
      <c r="M1894" s="20"/>
      <c r="N1894" s="20"/>
      <c r="O1894" s="20"/>
      <c r="P1894" s="20"/>
      <c r="Q1894" s="20"/>
      <c r="R1894" s="20"/>
      <c r="S1894" s="20"/>
      <c r="T1894" s="20"/>
      <c r="U1894" s="20"/>
      <c r="V1894" s="20"/>
      <c r="W1894" s="20"/>
      <c r="X1894" s="20"/>
      <c r="Y1894" s="20"/>
      <c r="Z1894" s="20"/>
      <c r="AA1894" s="20"/>
    </row>
    <row r="1895" spans="1:27" ht="208.8" x14ac:dyDescent="0.25">
      <c r="A1895" s="16"/>
      <c r="B1895" s="20" t="b">
        <f ca="1">IFERROR(__xludf.DUMMYFUNCTION("if(D1895=iferror(filter('Character Sheet'!D$13:D3002,'Character Sheet'!D$13:D3002=D1895),""""),True,False)"),FALSE)</f>
        <v>0</v>
      </c>
      <c r="C1895" s="20">
        <v>300</v>
      </c>
      <c r="D1895" s="2" t="s">
        <v>4003</v>
      </c>
      <c r="E1895" s="2" t="s">
        <v>720</v>
      </c>
      <c r="F1895" s="20" t="s">
        <v>64</v>
      </c>
      <c r="G1895" s="2" t="s">
        <v>4004</v>
      </c>
      <c r="H1895" s="16"/>
      <c r="I1895" s="20"/>
      <c r="J1895" s="20"/>
      <c r="K1895" s="20"/>
      <c r="L1895" s="20"/>
      <c r="M1895" s="20"/>
      <c r="N1895" s="20"/>
      <c r="O1895" s="20"/>
      <c r="P1895" s="20"/>
      <c r="Q1895" s="20"/>
      <c r="R1895" s="20"/>
      <c r="S1895" s="20"/>
      <c r="T1895" s="20"/>
      <c r="U1895" s="20"/>
      <c r="V1895" s="20"/>
      <c r="W1895" s="20"/>
      <c r="X1895" s="20"/>
      <c r="Y1895" s="20"/>
      <c r="Z1895" s="20"/>
      <c r="AA1895" s="20"/>
    </row>
    <row r="1896" spans="1:27" ht="121.8" x14ac:dyDescent="0.25">
      <c r="A1896" s="16"/>
      <c r="B1896" s="20" t="b">
        <f ca="1">IFERROR(__xludf.DUMMYFUNCTION("if(D1896=iferror(filter('Character Sheet'!D$13:D3002,'Character Sheet'!D$13:D3002=D1896),""""),True,False)"),FALSE)</f>
        <v>0</v>
      </c>
      <c r="C1896" s="20">
        <v>300</v>
      </c>
      <c r="D1896" s="2" t="s">
        <v>4005</v>
      </c>
      <c r="E1896" s="2" t="s">
        <v>165</v>
      </c>
      <c r="F1896" s="20" t="s">
        <v>64</v>
      </c>
      <c r="G1896" s="2" t="s">
        <v>4006</v>
      </c>
      <c r="H1896" s="16"/>
      <c r="I1896" s="20"/>
      <c r="J1896" s="20"/>
      <c r="K1896" s="20"/>
      <c r="L1896" s="20"/>
      <c r="M1896" s="20"/>
      <c r="N1896" s="20"/>
      <c r="O1896" s="20"/>
      <c r="P1896" s="20"/>
      <c r="Q1896" s="20"/>
      <c r="R1896" s="20"/>
      <c r="S1896" s="20"/>
      <c r="T1896" s="20"/>
      <c r="U1896" s="20"/>
      <c r="V1896" s="20"/>
      <c r="W1896" s="20"/>
      <c r="X1896" s="20"/>
      <c r="Y1896" s="20"/>
      <c r="Z1896" s="20"/>
      <c r="AA1896" s="20"/>
    </row>
    <row r="1897" spans="1:27" ht="87" x14ac:dyDescent="0.25">
      <c r="A1897" s="16"/>
      <c r="B1897" s="20" t="b">
        <f ca="1">IFERROR(__xludf.DUMMYFUNCTION("if(D1897=iferror(filter('Character Sheet'!D$13:D3002,'Character Sheet'!D$13:D3002=D1897),""""),True,False)"),FALSE)</f>
        <v>0</v>
      </c>
      <c r="C1897" s="20">
        <v>300</v>
      </c>
      <c r="D1897" s="2" t="s">
        <v>4007</v>
      </c>
      <c r="E1897" s="2" t="s">
        <v>475</v>
      </c>
      <c r="F1897" s="20" t="s">
        <v>64</v>
      </c>
      <c r="G1897" s="2" t="s">
        <v>4008</v>
      </c>
      <c r="H1897" s="16"/>
      <c r="I1897" s="20"/>
      <c r="J1897" s="20"/>
      <c r="K1897" s="20"/>
      <c r="L1897" s="20"/>
      <c r="M1897" s="20"/>
      <c r="N1897" s="20"/>
      <c r="O1897" s="20"/>
      <c r="P1897" s="20"/>
      <c r="Q1897" s="20"/>
      <c r="R1897" s="20"/>
      <c r="S1897" s="20"/>
      <c r="T1897" s="20"/>
      <c r="U1897" s="20"/>
      <c r="V1897" s="20"/>
      <c r="W1897" s="20"/>
      <c r="X1897" s="20"/>
      <c r="Y1897" s="20"/>
      <c r="Z1897" s="20"/>
      <c r="AA1897" s="20"/>
    </row>
    <row r="1898" spans="1:27" ht="87" x14ac:dyDescent="0.25">
      <c r="A1898" s="16"/>
      <c r="B1898" s="20" t="b">
        <f ca="1">IFERROR(__xludf.DUMMYFUNCTION("if(D1898=iferror(filter('Character Sheet'!D$13:D3002,'Character Sheet'!D$13:D3002=D1898),""""),True,False)"),FALSE)</f>
        <v>0</v>
      </c>
      <c r="C1898" s="20">
        <v>300</v>
      </c>
      <c r="D1898" s="2" t="s">
        <v>4009</v>
      </c>
      <c r="E1898" s="2" t="s">
        <v>4010</v>
      </c>
      <c r="F1898" s="20" t="s">
        <v>64</v>
      </c>
      <c r="G1898" s="2" t="s">
        <v>4011</v>
      </c>
      <c r="H1898" s="16"/>
      <c r="I1898" s="20"/>
      <c r="J1898" s="20"/>
      <c r="K1898" s="20"/>
      <c r="L1898" s="20"/>
      <c r="M1898" s="20"/>
      <c r="N1898" s="20"/>
      <c r="O1898" s="20"/>
      <c r="P1898" s="20"/>
      <c r="Q1898" s="20"/>
      <c r="R1898" s="20"/>
      <c r="S1898" s="20"/>
      <c r="T1898" s="20"/>
      <c r="U1898" s="20"/>
      <c r="V1898" s="20"/>
      <c r="W1898" s="20"/>
      <c r="X1898" s="20"/>
      <c r="Y1898" s="20"/>
      <c r="Z1898" s="20"/>
      <c r="AA1898" s="20"/>
    </row>
    <row r="1899" spans="1:27" ht="121.8" x14ac:dyDescent="0.25">
      <c r="A1899" s="16"/>
      <c r="B1899" s="20" t="b">
        <f ca="1">IFERROR(__xludf.DUMMYFUNCTION("if(D1899=iferror(filter('Character Sheet'!D$13:D3002,'Character Sheet'!D$13:D3002=D1899),""""),True,False)"),FALSE)</f>
        <v>0</v>
      </c>
      <c r="C1899" s="20">
        <v>400</v>
      </c>
      <c r="D1899" s="2" t="s">
        <v>4012</v>
      </c>
      <c r="E1899" s="2" t="s">
        <v>534</v>
      </c>
      <c r="F1899" s="20" t="s">
        <v>64</v>
      </c>
      <c r="G1899" s="2" t="s">
        <v>4013</v>
      </c>
      <c r="H1899" s="16"/>
      <c r="I1899" s="20"/>
      <c r="J1899" s="20"/>
      <c r="K1899" s="20"/>
      <c r="L1899" s="20"/>
      <c r="M1899" s="20"/>
      <c r="N1899" s="20"/>
      <c r="O1899" s="20"/>
      <c r="P1899" s="20"/>
      <c r="Q1899" s="20"/>
      <c r="R1899" s="20"/>
      <c r="S1899" s="20"/>
      <c r="T1899" s="20"/>
      <c r="U1899" s="20"/>
      <c r="V1899" s="20"/>
      <c r="W1899" s="20"/>
      <c r="X1899" s="20"/>
      <c r="Y1899" s="20"/>
      <c r="Z1899" s="20"/>
      <c r="AA1899" s="20"/>
    </row>
    <row r="1900" spans="1:27" ht="139.19999999999999" x14ac:dyDescent="0.25">
      <c r="A1900" s="16"/>
      <c r="B1900" s="20" t="b">
        <f ca="1">IFERROR(__xludf.DUMMYFUNCTION("if(D1900=iferror(filter('Character Sheet'!D$13:D3002,'Character Sheet'!D$13:D3002=D1900),""""),True,False)"),FALSE)</f>
        <v>0</v>
      </c>
      <c r="C1900" s="20">
        <v>400</v>
      </c>
      <c r="D1900" s="2" t="s">
        <v>4014</v>
      </c>
      <c r="E1900" s="2" t="s">
        <v>192</v>
      </c>
      <c r="F1900" s="20" t="s">
        <v>64</v>
      </c>
      <c r="G1900" s="2" t="s">
        <v>4015</v>
      </c>
      <c r="H1900" s="16"/>
      <c r="I1900" s="20"/>
      <c r="J1900" s="20"/>
      <c r="K1900" s="20"/>
      <c r="L1900" s="20"/>
      <c r="M1900" s="20"/>
      <c r="N1900" s="20"/>
      <c r="O1900" s="20"/>
      <c r="P1900" s="20"/>
      <c r="Q1900" s="20"/>
      <c r="R1900" s="20"/>
      <c r="S1900" s="20"/>
      <c r="T1900" s="20"/>
      <c r="U1900" s="20"/>
      <c r="V1900" s="20"/>
      <c r="W1900" s="20"/>
      <c r="X1900" s="20"/>
      <c r="Y1900" s="20"/>
      <c r="Z1900" s="20"/>
      <c r="AA1900" s="20"/>
    </row>
    <row r="1901" spans="1:27" ht="121.8" x14ac:dyDescent="0.25">
      <c r="A1901" s="16"/>
      <c r="B1901" s="20" t="b">
        <f ca="1">IFERROR(__xludf.DUMMYFUNCTION("if(D1901=iferror(filter('Character Sheet'!D$13:D3002,'Character Sheet'!D$13:D3002=D1901),""""),True,False)"),FALSE)</f>
        <v>0</v>
      </c>
      <c r="C1901" s="20">
        <v>400</v>
      </c>
      <c r="D1901" s="2" t="s">
        <v>4016</v>
      </c>
      <c r="E1901" s="2" t="s">
        <v>168</v>
      </c>
      <c r="F1901" s="20" t="s">
        <v>64</v>
      </c>
      <c r="G1901" s="2" t="s">
        <v>4017</v>
      </c>
      <c r="H1901" s="16"/>
      <c r="I1901" s="20"/>
      <c r="J1901" s="20"/>
      <c r="K1901" s="20"/>
      <c r="L1901" s="20"/>
      <c r="M1901" s="20"/>
      <c r="N1901" s="20"/>
      <c r="O1901" s="20"/>
      <c r="P1901" s="20"/>
      <c r="Q1901" s="20"/>
      <c r="R1901" s="20"/>
      <c r="S1901" s="20"/>
      <c r="T1901" s="20"/>
      <c r="U1901" s="20"/>
      <c r="V1901" s="20"/>
      <c r="W1901" s="20"/>
      <c r="X1901" s="20"/>
      <c r="Y1901" s="20"/>
      <c r="Z1901" s="20"/>
      <c r="AA1901" s="20"/>
    </row>
    <row r="1902" spans="1:27" ht="87" x14ac:dyDescent="0.25">
      <c r="A1902" s="16"/>
      <c r="B1902" s="20" t="b">
        <f ca="1">IFERROR(__xludf.DUMMYFUNCTION("if(D1902=iferror(filter('Character Sheet'!D$13:D3002,'Character Sheet'!D$13:D3002=D1902),""""),True,False)"),FALSE)</f>
        <v>0</v>
      </c>
      <c r="C1902" s="20">
        <v>400</v>
      </c>
      <c r="D1902" s="2" t="s">
        <v>4018</v>
      </c>
      <c r="E1902" s="2" t="s">
        <v>391</v>
      </c>
      <c r="F1902" s="20" t="s">
        <v>64</v>
      </c>
      <c r="G1902" s="2" t="s">
        <v>4019</v>
      </c>
      <c r="H1902" s="16"/>
      <c r="I1902" s="20"/>
      <c r="J1902" s="20"/>
      <c r="K1902" s="20"/>
      <c r="L1902" s="20"/>
      <c r="M1902" s="20"/>
      <c r="N1902" s="20"/>
      <c r="O1902" s="20"/>
      <c r="P1902" s="20"/>
      <c r="Q1902" s="20"/>
      <c r="R1902" s="20"/>
      <c r="S1902" s="20"/>
      <c r="T1902" s="20"/>
      <c r="U1902" s="20"/>
      <c r="V1902" s="20"/>
      <c r="W1902" s="20"/>
      <c r="X1902" s="20"/>
      <c r="Y1902" s="20"/>
      <c r="Z1902" s="20"/>
      <c r="AA1902" s="20"/>
    </row>
    <row r="1903" spans="1:27" ht="69.599999999999994" x14ac:dyDescent="0.25">
      <c r="A1903" s="16"/>
      <c r="B1903" s="20" t="b">
        <f ca="1">IFERROR(__xludf.DUMMYFUNCTION("if(D1903=iferror(filter('Character Sheet'!D$13:D3002,'Character Sheet'!D$13:D3002=D1903),""""),True,False)"),FALSE)</f>
        <v>0</v>
      </c>
      <c r="C1903" s="20">
        <v>400</v>
      </c>
      <c r="D1903" s="2" t="s">
        <v>4020</v>
      </c>
      <c r="E1903" s="2" t="s">
        <v>469</v>
      </c>
      <c r="F1903" s="20" t="s">
        <v>64</v>
      </c>
      <c r="G1903" s="2" t="s">
        <v>4021</v>
      </c>
      <c r="H1903" s="16"/>
      <c r="I1903" s="20"/>
      <c r="J1903" s="20"/>
      <c r="K1903" s="20"/>
      <c r="L1903" s="20"/>
      <c r="M1903" s="20"/>
      <c r="N1903" s="20"/>
      <c r="O1903" s="20"/>
      <c r="P1903" s="20"/>
      <c r="Q1903" s="20"/>
      <c r="R1903" s="20"/>
      <c r="S1903" s="20"/>
      <c r="T1903" s="20"/>
      <c r="U1903" s="20"/>
      <c r="V1903" s="20"/>
      <c r="W1903" s="20"/>
      <c r="X1903" s="20"/>
      <c r="Y1903" s="20"/>
      <c r="Z1903" s="20"/>
      <c r="AA1903" s="20"/>
    </row>
    <row r="1904" spans="1:27" ht="174" x14ac:dyDescent="0.25">
      <c r="A1904" s="16"/>
      <c r="B1904" s="20" t="b">
        <f ca="1">IFERROR(__xludf.DUMMYFUNCTION("if(D1904=iferror(filter('Character Sheet'!D$13:D3002,'Character Sheet'!D$13:D3002=D1904),""""),True,False)"),FALSE)</f>
        <v>0</v>
      </c>
      <c r="C1904" s="20">
        <v>400</v>
      </c>
      <c r="D1904" s="2" t="s">
        <v>4022</v>
      </c>
      <c r="E1904" s="2" t="s">
        <v>124</v>
      </c>
      <c r="F1904" s="20" t="s">
        <v>64</v>
      </c>
      <c r="G1904" s="2" t="s">
        <v>4023</v>
      </c>
      <c r="H1904" s="16"/>
      <c r="I1904" s="20"/>
      <c r="J1904" s="20"/>
      <c r="K1904" s="20"/>
      <c r="L1904" s="20"/>
      <c r="M1904" s="20"/>
      <c r="N1904" s="20"/>
      <c r="O1904" s="20"/>
      <c r="P1904" s="20"/>
      <c r="Q1904" s="20"/>
      <c r="R1904" s="20"/>
      <c r="S1904" s="20"/>
      <c r="T1904" s="20"/>
      <c r="U1904" s="20"/>
      <c r="V1904" s="20"/>
      <c r="W1904" s="20"/>
      <c r="X1904" s="20"/>
      <c r="Y1904" s="20"/>
      <c r="Z1904" s="20"/>
      <c r="AA1904" s="20"/>
    </row>
    <row r="1905" spans="1:27" ht="261" x14ac:dyDescent="0.25">
      <c r="A1905" s="16"/>
      <c r="B1905" s="20" t="b">
        <f ca="1">IFERROR(__xludf.DUMMYFUNCTION("if(D1905=iferror(filter('Character Sheet'!D$13:D3002,'Character Sheet'!D$13:D3002=D1905),""""),True,False)"),FALSE)</f>
        <v>0</v>
      </c>
      <c r="C1905" s="20">
        <v>400</v>
      </c>
      <c r="D1905" s="2" t="s">
        <v>4024</v>
      </c>
      <c r="E1905" s="2" t="s">
        <v>996</v>
      </c>
      <c r="F1905" s="20" t="s">
        <v>64</v>
      </c>
      <c r="G1905" s="2" t="s">
        <v>4025</v>
      </c>
      <c r="H1905" s="16"/>
      <c r="I1905" s="20"/>
      <c r="J1905" s="20"/>
      <c r="K1905" s="20"/>
      <c r="L1905" s="20"/>
      <c r="M1905" s="20"/>
      <c r="N1905" s="20"/>
      <c r="O1905" s="20"/>
      <c r="P1905" s="20"/>
      <c r="Q1905" s="20"/>
      <c r="R1905" s="20"/>
      <c r="S1905" s="20"/>
      <c r="T1905" s="20"/>
      <c r="U1905" s="20"/>
      <c r="V1905" s="20"/>
      <c r="W1905" s="20"/>
      <c r="X1905" s="20"/>
      <c r="Y1905" s="20"/>
      <c r="Z1905" s="20"/>
      <c r="AA1905" s="20"/>
    </row>
    <row r="1906" spans="1:27" ht="139.19999999999999" x14ac:dyDescent="0.25">
      <c r="A1906" s="16"/>
      <c r="B1906" s="20" t="b">
        <f ca="1">IFERROR(__xludf.DUMMYFUNCTION("if(D1906=iferror(filter('Character Sheet'!D$13:D3002,'Character Sheet'!D$13:D3002=D1906),""""),True,False)"),FALSE)</f>
        <v>0</v>
      </c>
      <c r="C1906" s="20">
        <v>400</v>
      </c>
      <c r="D1906" s="2" t="s">
        <v>4026</v>
      </c>
      <c r="E1906" s="2" t="s">
        <v>838</v>
      </c>
      <c r="F1906" s="20" t="s">
        <v>64</v>
      </c>
      <c r="G1906" s="2" t="s">
        <v>4027</v>
      </c>
      <c r="H1906" s="16"/>
      <c r="I1906" s="20"/>
      <c r="J1906" s="20"/>
      <c r="K1906" s="20"/>
      <c r="L1906" s="20"/>
      <c r="M1906" s="20"/>
      <c r="N1906" s="20"/>
      <c r="O1906" s="20"/>
      <c r="P1906" s="20"/>
      <c r="Q1906" s="20"/>
      <c r="R1906" s="20"/>
      <c r="S1906" s="20"/>
      <c r="T1906" s="20"/>
      <c r="U1906" s="20"/>
      <c r="V1906" s="20"/>
      <c r="W1906" s="20"/>
      <c r="X1906" s="20"/>
      <c r="Y1906" s="20"/>
      <c r="Z1906" s="20"/>
      <c r="AA1906" s="20"/>
    </row>
    <row r="1907" spans="1:27" ht="156.6" x14ac:dyDescent="0.25">
      <c r="A1907" s="16"/>
      <c r="B1907" s="20" t="b">
        <f ca="1">IFERROR(__xludf.DUMMYFUNCTION("if(D1907=iferror(filter('Character Sheet'!D$13:D3002,'Character Sheet'!D$13:D3002=D1907),""""),True,False)"),FALSE)</f>
        <v>0</v>
      </c>
      <c r="C1907" s="20">
        <v>400</v>
      </c>
      <c r="D1907" s="2" t="s">
        <v>4028</v>
      </c>
      <c r="E1907" s="2" t="s">
        <v>576</v>
      </c>
      <c r="F1907" s="20" t="s">
        <v>64</v>
      </c>
      <c r="G1907" s="2" t="s">
        <v>4029</v>
      </c>
      <c r="H1907" s="16"/>
      <c r="I1907" s="20"/>
      <c r="J1907" s="20"/>
      <c r="K1907" s="20"/>
      <c r="L1907" s="20"/>
      <c r="M1907" s="20"/>
      <c r="N1907" s="20"/>
      <c r="O1907" s="20"/>
      <c r="P1907" s="20"/>
      <c r="Q1907" s="20"/>
      <c r="R1907" s="20"/>
      <c r="S1907" s="20"/>
      <c r="T1907" s="20"/>
      <c r="U1907" s="20"/>
      <c r="V1907" s="20"/>
      <c r="W1907" s="20"/>
      <c r="X1907" s="20"/>
      <c r="Y1907" s="20"/>
      <c r="Z1907" s="20"/>
      <c r="AA1907" s="20"/>
    </row>
    <row r="1908" spans="1:27" ht="191.4" x14ac:dyDescent="0.25">
      <c r="A1908" s="16"/>
      <c r="B1908" s="20" t="b">
        <f ca="1">IFERROR(__xludf.DUMMYFUNCTION("if(D1908=iferror(filter('Character Sheet'!D$13:D3002,'Character Sheet'!D$13:D3002=D1908),""""),True,False)"),FALSE)</f>
        <v>0</v>
      </c>
      <c r="C1908" s="20">
        <v>400</v>
      </c>
      <c r="D1908" s="2" t="s">
        <v>4030</v>
      </c>
      <c r="E1908" s="2" t="s">
        <v>350</v>
      </c>
      <c r="F1908" s="20" t="s">
        <v>64</v>
      </c>
      <c r="G1908" s="2" t="s">
        <v>4031</v>
      </c>
      <c r="H1908" s="16"/>
      <c r="I1908" s="20"/>
      <c r="J1908" s="20"/>
      <c r="K1908" s="20"/>
      <c r="L1908" s="20"/>
      <c r="M1908" s="20"/>
      <c r="N1908" s="20"/>
      <c r="O1908" s="20"/>
      <c r="P1908" s="20"/>
      <c r="Q1908" s="20"/>
      <c r="R1908" s="20"/>
      <c r="S1908" s="20"/>
      <c r="T1908" s="20"/>
      <c r="U1908" s="20"/>
      <c r="V1908" s="20"/>
      <c r="W1908" s="20"/>
      <c r="X1908" s="20"/>
      <c r="Y1908" s="20"/>
      <c r="Z1908" s="20"/>
      <c r="AA1908" s="20"/>
    </row>
    <row r="1909" spans="1:27" ht="104.4" x14ac:dyDescent="0.25">
      <c r="A1909" s="16"/>
      <c r="B1909" s="20" t="b">
        <f ca="1">IFERROR(__xludf.DUMMYFUNCTION("if(D1909=iferror(filter('Character Sheet'!D$13:D3002,'Character Sheet'!D$13:D3002=D1909),""""),True,False)"),FALSE)</f>
        <v>0</v>
      </c>
      <c r="C1909" s="20">
        <v>400</v>
      </c>
      <c r="D1909" s="2" t="s">
        <v>4032</v>
      </c>
      <c r="E1909" s="2" t="s">
        <v>165</v>
      </c>
      <c r="F1909" s="20" t="s">
        <v>64</v>
      </c>
      <c r="G1909" s="2" t="s">
        <v>4033</v>
      </c>
      <c r="H1909" s="16"/>
      <c r="I1909" s="20"/>
      <c r="J1909" s="20"/>
      <c r="K1909" s="20"/>
      <c r="L1909" s="20"/>
      <c r="M1909" s="20"/>
      <c r="N1909" s="20"/>
      <c r="O1909" s="20"/>
      <c r="P1909" s="20"/>
      <c r="Q1909" s="20"/>
      <c r="R1909" s="20"/>
      <c r="S1909" s="20"/>
      <c r="T1909" s="20"/>
      <c r="U1909" s="20"/>
      <c r="V1909" s="20"/>
      <c r="W1909" s="20"/>
      <c r="X1909" s="20"/>
      <c r="Y1909" s="20"/>
      <c r="Z1909" s="20"/>
      <c r="AA1909" s="20"/>
    </row>
    <row r="1910" spans="1:27" ht="278.39999999999998" x14ac:dyDescent="0.25">
      <c r="A1910" s="16"/>
      <c r="B1910" s="20" t="b">
        <f ca="1">IFERROR(__xludf.DUMMYFUNCTION("if(D1910=iferror(filter('Character Sheet'!D$13:D3002,'Character Sheet'!D$13:D3002=D1910),""""),True,False)"),FALSE)</f>
        <v>0</v>
      </c>
      <c r="C1910" s="20">
        <v>400</v>
      </c>
      <c r="D1910" s="2" t="s">
        <v>4034</v>
      </c>
      <c r="E1910" s="2" t="s">
        <v>911</v>
      </c>
      <c r="F1910" s="20" t="s">
        <v>64</v>
      </c>
      <c r="G1910" s="2" t="s">
        <v>4035</v>
      </c>
      <c r="H1910" s="16"/>
      <c r="I1910" s="20"/>
      <c r="J1910" s="20"/>
      <c r="K1910" s="20"/>
      <c r="L1910" s="20"/>
      <c r="M1910" s="20"/>
      <c r="N1910" s="20"/>
      <c r="O1910" s="20"/>
      <c r="P1910" s="20"/>
      <c r="Q1910" s="20"/>
      <c r="R1910" s="20"/>
      <c r="S1910" s="20"/>
      <c r="T1910" s="20"/>
      <c r="U1910" s="20"/>
      <c r="V1910" s="20"/>
      <c r="W1910" s="20"/>
      <c r="X1910" s="20"/>
      <c r="Y1910" s="20"/>
      <c r="Z1910" s="20"/>
      <c r="AA1910" s="20"/>
    </row>
    <row r="1911" spans="1:27" ht="191.4" x14ac:dyDescent="0.25">
      <c r="A1911" s="16"/>
      <c r="B1911" s="20" t="b">
        <f ca="1">IFERROR(__xludf.DUMMYFUNCTION("if(D1911=iferror(filter('Character Sheet'!D$13:D3002,'Character Sheet'!D$13:D3002=D1911),""""),True,False)"),FALSE)</f>
        <v>0</v>
      </c>
      <c r="C1911" s="20">
        <v>400</v>
      </c>
      <c r="D1911" s="2" t="s">
        <v>4036</v>
      </c>
      <c r="E1911" s="2" t="s">
        <v>662</v>
      </c>
      <c r="F1911" s="20" t="s">
        <v>64</v>
      </c>
      <c r="G1911" s="2" t="s">
        <v>4037</v>
      </c>
      <c r="H1911" s="16"/>
      <c r="I1911" s="20"/>
      <c r="J1911" s="20"/>
      <c r="K1911" s="20"/>
      <c r="L1911" s="20"/>
      <c r="M1911" s="20"/>
      <c r="N1911" s="20"/>
      <c r="O1911" s="20"/>
      <c r="P1911" s="20"/>
      <c r="Q1911" s="20"/>
      <c r="R1911" s="20"/>
      <c r="S1911" s="20"/>
      <c r="T1911" s="20"/>
      <c r="U1911" s="20"/>
      <c r="V1911" s="20"/>
      <c r="W1911" s="20"/>
      <c r="X1911" s="20"/>
      <c r="Y1911" s="20"/>
      <c r="Z1911" s="20"/>
      <c r="AA1911" s="20"/>
    </row>
    <row r="1912" spans="1:27" ht="87" x14ac:dyDescent="0.25">
      <c r="A1912" s="16"/>
      <c r="B1912" s="20" t="b">
        <f ca="1">IFERROR(__xludf.DUMMYFUNCTION("if(D1912=iferror(filter('Character Sheet'!D$13:D3002,'Character Sheet'!D$13:D3002=D1912),""""),True,False)"),FALSE)</f>
        <v>0</v>
      </c>
      <c r="C1912" s="20">
        <v>400</v>
      </c>
      <c r="D1912" s="2" t="s">
        <v>4038</v>
      </c>
      <c r="E1912" s="2" t="s">
        <v>401</v>
      </c>
      <c r="F1912" s="20" t="s">
        <v>64</v>
      </c>
      <c r="G1912" s="2" t="s">
        <v>4039</v>
      </c>
      <c r="H1912" s="16"/>
      <c r="I1912" s="20"/>
      <c r="J1912" s="20"/>
      <c r="K1912" s="20"/>
      <c r="L1912" s="20"/>
      <c r="M1912" s="20"/>
      <c r="N1912" s="20"/>
      <c r="O1912" s="20"/>
      <c r="P1912" s="20"/>
      <c r="Q1912" s="20"/>
      <c r="R1912" s="20"/>
      <c r="S1912" s="20"/>
      <c r="T1912" s="20"/>
      <c r="U1912" s="20"/>
      <c r="V1912" s="20"/>
      <c r="W1912" s="20"/>
      <c r="X1912" s="20"/>
      <c r="Y1912" s="20"/>
      <c r="Z1912" s="20"/>
      <c r="AA1912" s="20"/>
    </row>
    <row r="1913" spans="1:27" ht="87" x14ac:dyDescent="0.25">
      <c r="A1913" s="16"/>
      <c r="B1913" s="20" t="b">
        <f ca="1">IFERROR(__xludf.DUMMYFUNCTION("if(D1913=iferror(filter('Character Sheet'!D$13:D3002,'Character Sheet'!D$13:D3002=D1913),""""),True,False)"),FALSE)</f>
        <v>0</v>
      </c>
      <c r="C1913" s="20">
        <v>400</v>
      </c>
      <c r="D1913" s="2" t="s">
        <v>4040</v>
      </c>
      <c r="E1913" s="2" t="s">
        <v>442</v>
      </c>
      <c r="F1913" s="20" t="s">
        <v>64</v>
      </c>
      <c r="G1913" s="2" t="s">
        <v>4041</v>
      </c>
      <c r="H1913" s="16"/>
      <c r="I1913" s="20"/>
      <c r="J1913" s="20"/>
      <c r="K1913" s="20"/>
      <c r="L1913" s="20"/>
      <c r="M1913" s="20"/>
      <c r="N1913" s="20"/>
      <c r="O1913" s="20"/>
      <c r="P1913" s="20"/>
      <c r="Q1913" s="20"/>
      <c r="R1913" s="20"/>
      <c r="S1913" s="20"/>
      <c r="T1913" s="20"/>
      <c r="U1913" s="20"/>
      <c r="V1913" s="20"/>
      <c r="W1913" s="20"/>
      <c r="X1913" s="20"/>
      <c r="Y1913" s="20"/>
      <c r="Z1913" s="20"/>
      <c r="AA1913" s="20"/>
    </row>
    <row r="1914" spans="1:27" ht="69.599999999999994" x14ac:dyDescent="0.25">
      <c r="A1914" s="16"/>
      <c r="B1914" s="20" t="b">
        <f ca="1">IFERROR(__xludf.DUMMYFUNCTION("if(D1914=iferror(filter('Character Sheet'!D$13:D3002,'Character Sheet'!D$13:D3002=D1914),""""),True,False)"),FALSE)</f>
        <v>0</v>
      </c>
      <c r="C1914" s="20">
        <v>500</v>
      </c>
      <c r="D1914" s="2" t="s">
        <v>4042</v>
      </c>
      <c r="E1914" s="2" t="s">
        <v>285</v>
      </c>
      <c r="F1914" s="20" t="s">
        <v>64</v>
      </c>
      <c r="G1914" s="2" t="s">
        <v>4043</v>
      </c>
      <c r="H1914" s="16"/>
      <c r="I1914" s="20"/>
      <c r="J1914" s="20"/>
      <c r="K1914" s="20"/>
      <c r="L1914" s="20"/>
      <c r="M1914" s="20"/>
      <c r="N1914" s="20"/>
      <c r="O1914" s="20"/>
      <c r="P1914" s="20"/>
      <c r="Q1914" s="20"/>
      <c r="R1914" s="20"/>
      <c r="S1914" s="20"/>
      <c r="T1914" s="20"/>
      <c r="U1914" s="20"/>
      <c r="V1914" s="20"/>
      <c r="W1914" s="20"/>
      <c r="X1914" s="20"/>
      <c r="Y1914" s="20"/>
      <c r="Z1914" s="20"/>
      <c r="AA1914" s="20"/>
    </row>
    <row r="1915" spans="1:27" ht="156.6" x14ac:dyDescent="0.25">
      <c r="A1915" s="16"/>
      <c r="B1915" s="20" t="b">
        <f ca="1">IFERROR(__xludf.DUMMYFUNCTION("if(D1915=iferror(filter('Character Sheet'!D$13:D3002,'Character Sheet'!D$13:D3002=D1915),""""),True,False)"),FALSE)</f>
        <v>0</v>
      </c>
      <c r="C1915" s="20">
        <v>500</v>
      </c>
      <c r="D1915" s="2" t="s">
        <v>4044</v>
      </c>
      <c r="E1915" s="2" t="s">
        <v>943</v>
      </c>
      <c r="F1915" s="20" t="s">
        <v>64</v>
      </c>
      <c r="G1915" s="2" t="s">
        <v>4045</v>
      </c>
      <c r="H1915" s="16"/>
      <c r="I1915" s="20"/>
      <c r="J1915" s="20"/>
      <c r="K1915" s="20"/>
      <c r="L1915" s="20"/>
      <c r="M1915" s="20"/>
      <c r="N1915" s="20"/>
      <c r="O1915" s="20"/>
      <c r="P1915" s="20"/>
      <c r="Q1915" s="20"/>
      <c r="R1915" s="20"/>
      <c r="S1915" s="20"/>
      <c r="T1915" s="20"/>
      <c r="U1915" s="20"/>
      <c r="V1915" s="20"/>
      <c r="W1915" s="20"/>
      <c r="X1915" s="20"/>
      <c r="Y1915" s="20"/>
      <c r="Z1915" s="20"/>
      <c r="AA1915" s="20"/>
    </row>
    <row r="1916" spans="1:27" ht="191.4" x14ac:dyDescent="0.25">
      <c r="A1916" s="16"/>
      <c r="B1916" s="20" t="b">
        <f ca="1">IFERROR(__xludf.DUMMYFUNCTION("if(D1916=iferror(filter('Character Sheet'!D$13:D3002,'Character Sheet'!D$13:D3002=D1916),""""),True,False)"),FALSE)</f>
        <v>0</v>
      </c>
      <c r="C1916" s="20">
        <v>500</v>
      </c>
      <c r="D1916" s="2" t="s">
        <v>4046</v>
      </c>
      <c r="E1916" s="2" t="s">
        <v>576</v>
      </c>
      <c r="F1916" s="20" t="s">
        <v>64</v>
      </c>
      <c r="G1916" s="2" t="s">
        <v>4047</v>
      </c>
      <c r="H1916" s="16"/>
      <c r="I1916" s="20"/>
      <c r="J1916" s="20"/>
      <c r="K1916" s="20"/>
      <c r="L1916" s="20"/>
      <c r="M1916" s="20"/>
      <c r="N1916" s="20"/>
      <c r="O1916" s="20"/>
      <c r="P1916" s="20"/>
      <c r="Q1916" s="20"/>
      <c r="R1916" s="20"/>
      <c r="S1916" s="20"/>
      <c r="T1916" s="20"/>
      <c r="U1916" s="20"/>
      <c r="V1916" s="20"/>
      <c r="W1916" s="20"/>
      <c r="X1916" s="20"/>
      <c r="Y1916" s="20"/>
      <c r="Z1916" s="20"/>
      <c r="AA1916" s="20"/>
    </row>
    <row r="1917" spans="1:27" ht="104.4" x14ac:dyDescent="0.25">
      <c r="A1917" s="16"/>
      <c r="B1917" s="20" t="b">
        <f ca="1">IFERROR(__xludf.DUMMYFUNCTION("if(D1917=iferror(filter('Character Sheet'!D$13:D3002,'Character Sheet'!D$13:D3002=D1917),""""),True,False)"),FALSE)</f>
        <v>0</v>
      </c>
      <c r="C1917" s="20">
        <v>500</v>
      </c>
      <c r="D1917" s="2" t="s">
        <v>4048</v>
      </c>
      <c r="E1917" s="2" t="s">
        <v>514</v>
      </c>
      <c r="F1917" s="20" t="s">
        <v>64</v>
      </c>
      <c r="G1917" s="2" t="s">
        <v>4049</v>
      </c>
      <c r="H1917" s="16"/>
      <c r="I1917" s="20"/>
      <c r="J1917" s="20"/>
      <c r="K1917" s="20"/>
      <c r="L1917" s="20"/>
      <c r="M1917" s="20"/>
      <c r="N1917" s="20"/>
      <c r="O1917" s="20"/>
      <c r="P1917" s="20"/>
      <c r="Q1917" s="20"/>
      <c r="R1917" s="20"/>
      <c r="S1917" s="20"/>
      <c r="T1917" s="20"/>
      <c r="U1917" s="20"/>
      <c r="V1917" s="20"/>
      <c r="W1917" s="20"/>
      <c r="X1917" s="20"/>
      <c r="Y1917" s="20"/>
      <c r="Z1917" s="20"/>
      <c r="AA1917" s="20"/>
    </row>
    <row r="1918" spans="1:27" ht="121.8" x14ac:dyDescent="0.25">
      <c r="A1918" s="16"/>
      <c r="B1918" s="20" t="b">
        <f ca="1">IFERROR(__xludf.DUMMYFUNCTION("if(D1918=iferror(filter('Character Sheet'!D$13:D3002,'Character Sheet'!D$13:D3002=D1918),""""),True,False)"),FALSE)</f>
        <v>0</v>
      </c>
      <c r="C1918" s="20">
        <v>500</v>
      </c>
      <c r="D1918" s="2" t="s">
        <v>4050</v>
      </c>
      <c r="E1918" s="2" t="s">
        <v>208</v>
      </c>
      <c r="F1918" s="20" t="s">
        <v>64</v>
      </c>
      <c r="G1918" s="2" t="s">
        <v>4051</v>
      </c>
      <c r="H1918" s="16"/>
      <c r="I1918" s="20"/>
      <c r="J1918" s="20"/>
      <c r="K1918" s="20"/>
      <c r="L1918" s="20"/>
      <c r="M1918" s="20"/>
      <c r="N1918" s="20"/>
      <c r="O1918" s="20"/>
      <c r="P1918" s="20"/>
      <c r="Q1918" s="20"/>
      <c r="R1918" s="20"/>
      <c r="S1918" s="20"/>
      <c r="T1918" s="20"/>
      <c r="U1918" s="20"/>
      <c r="V1918" s="20"/>
      <c r="W1918" s="20"/>
      <c r="X1918" s="20"/>
      <c r="Y1918" s="20"/>
      <c r="Z1918" s="20"/>
      <c r="AA1918" s="20"/>
    </row>
    <row r="1919" spans="1:27" ht="104.4" x14ac:dyDescent="0.25">
      <c r="A1919" s="16"/>
      <c r="B1919" s="20" t="b">
        <f ca="1">IFERROR(__xludf.DUMMYFUNCTION("if(D1919=iferror(filter('Character Sheet'!D$13:D3002,'Character Sheet'!D$13:D3002=D1919),""""),True,False)"),FALSE)</f>
        <v>0</v>
      </c>
      <c r="C1919" s="20">
        <v>500</v>
      </c>
      <c r="D1919" s="2" t="s">
        <v>4052</v>
      </c>
      <c r="E1919" s="2" t="s">
        <v>355</v>
      </c>
      <c r="F1919" s="20" t="s">
        <v>64</v>
      </c>
      <c r="G1919" s="2" t="s">
        <v>4053</v>
      </c>
      <c r="H1919" s="16"/>
      <c r="I1919" s="20"/>
      <c r="J1919" s="20"/>
      <c r="K1919" s="20"/>
      <c r="L1919" s="20"/>
      <c r="M1919" s="20"/>
      <c r="N1919" s="20"/>
      <c r="O1919" s="20"/>
      <c r="P1919" s="20"/>
      <c r="Q1919" s="20"/>
      <c r="R1919" s="20"/>
      <c r="S1919" s="20"/>
      <c r="T1919" s="20"/>
      <c r="U1919" s="20"/>
      <c r="V1919" s="20"/>
      <c r="W1919" s="20"/>
      <c r="X1919" s="20"/>
      <c r="Y1919" s="20"/>
      <c r="Z1919" s="20"/>
      <c r="AA1919" s="20"/>
    </row>
    <row r="1920" spans="1:27" ht="156.6" x14ac:dyDescent="0.25">
      <c r="A1920" s="16"/>
      <c r="B1920" s="20" t="b">
        <f ca="1">IFERROR(__xludf.DUMMYFUNCTION("if(D1920=iferror(filter('Character Sheet'!D$13:D3002,'Character Sheet'!D$13:D3002=D1920),""""),True,False)"),FALSE)</f>
        <v>0</v>
      </c>
      <c r="C1920" s="20">
        <v>500</v>
      </c>
      <c r="D1920" s="2" t="s">
        <v>4054</v>
      </c>
      <c r="E1920" s="2" t="s">
        <v>539</v>
      </c>
      <c r="F1920" s="20" t="s">
        <v>64</v>
      </c>
      <c r="G1920" s="2" t="s">
        <v>4055</v>
      </c>
      <c r="H1920" s="16"/>
      <c r="I1920" s="20"/>
      <c r="J1920" s="20"/>
      <c r="K1920" s="20"/>
      <c r="L1920" s="20"/>
      <c r="M1920" s="20"/>
      <c r="N1920" s="20"/>
      <c r="O1920" s="20"/>
      <c r="P1920" s="20"/>
      <c r="Q1920" s="20"/>
      <c r="R1920" s="20"/>
      <c r="S1920" s="20"/>
      <c r="T1920" s="20"/>
      <c r="U1920" s="20"/>
      <c r="V1920" s="20"/>
      <c r="W1920" s="20"/>
      <c r="X1920" s="20"/>
      <c r="Y1920" s="20"/>
      <c r="Z1920" s="20"/>
      <c r="AA1920" s="20"/>
    </row>
    <row r="1921" spans="1:27" ht="121.8" x14ac:dyDescent="0.25">
      <c r="A1921" s="16"/>
      <c r="B1921" s="20" t="b">
        <f ca="1">IFERROR(__xludf.DUMMYFUNCTION("if(D1921=iferror(filter('Character Sheet'!D$13:D3002,'Character Sheet'!D$13:D3002=D1921),""""),True,False)"),FALSE)</f>
        <v>0</v>
      </c>
      <c r="C1921" s="20">
        <v>500</v>
      </c>
      <c r="D1921" s="2" t="s">
        <v>4056</v>
      </c>
      <c r="E1921" s="2" t="s">
        <v>401</v>
      </c>
      <c r="F1921" s="20" t="s">
        <v>64</v>
      </c>
      <c r="G1921" s="2" t="s">
        <v>4057</v>
      </c>
      <c r="H1921" s="16"/>
      <c r="I1921" s="20"/>
      <c r="J1921" s="20"/>
      <c r="K1921" s="20"/>
      <c r="L1921" s="20"/>
      <c r="M1921" s="20"/>
      <c r="N1921" s="20"/>
      <c r="O1921" s="20"/>
      <c r="P1921" s="20"/>
      <c r="Q1921" s="20"/>
      <c r="R1921" s="20"/>
      <c r="S1921" s="20"/>
      <c r="T1921" s="20"/>
      <c r="U1921" s="20"/>
      <c r="V1921" s="20"/>
      <c r="W1921" s="20"/>
      <c r="X1921" s="20"/>
      <c r="Y1921" s="20"/>
      <c r="Z1921" s="20"/>
      <c r="AA1921" s="20"/>
    </row>
    <row r="1922" spans="1:27" ht="313.2" x14ac:dyDescent="0.25">
      <c r="A1922" s="16"/>
      <c r="B1922" s="20" t="b">
        <f ca="1">IFERROR(__xludf.DUMMYFUNCTION("if(D1922=iferror(filter('Character Sheet'!D$13:D3002,'Character Sheet'!D$13:D3002=D1922),""""),True,False)"),FALSE)</f>
        <v>0</v>
      </c>
      <c r="C1922" s="20">
        <v>500</v>
      </c>
      <c r="D1922" s="2" t="s">
        <v>4058</v>
      </c>
      <c r="E1922" s="2" t="s">
        <v>66</v>
      </c>
      <c r="F1922" s="20" t="s">
        <v>64</v>
      </c>
      <c r="G1922" s="2" t="s">
        <v>4059</v>
      </c>
      <c r="H1922" s="16"/>
      <c r="I1922" s="20"/>
      <c r="J1922" s="20"/>
      <c r="K1922" s="20"/>
      <c r="L1922" s="20"/>
      <c r="M1922" s="20"/>
      <c r="N1922" s="20"/>
      <c r="O1922" s="20"/>
      <c r="P1922" s="20"/>
      <c r="Q1922" s="20"/>
      <c r="R1922" s="20"/>
      <c r="S1922" s="20"/>
      <c r="T1922" s="20"/>
      <c r="U1922" s="20"/>
      <c r="V1922" s="20"/>
      <c r="W1922" s="20"/>
      <c r="X1922" s="20"/>
      <c r="Y1922" s="20"/>
      <c r="Z1922" s="20"/>
      <c r="AA1922" s="20"/>
    </row>
    <row r="1923" spans="1:27" ht="243.6" x14ac:dyDescent="0.25">
      <c r="A1923" s="16"/>
      <c r="B1923" s="20" t="b">
        <f ca="1">IFERROR(__xludf.DUMMYFUNCTION("if(D1923=iferror(filter('Character Sheet'!D$13:D3002,'Character Sheet'!D$13:D3002=D1923),""""),True,False)"),FALSE)</f>
        <v>0</v>
      </c>
      <c r="C1923" s="20">
        <v>500</v>
      </c>
      <c r="D1923" s="2" t="s">
        <v>4060</v>
      </c>
      <c r="E1923" s="2" t="s">
        <v>943</v>
      </c>
      <c r="F1923" s="20" t="s">
        <v>64</v>
      </c>
      <c r="G1923" s="2" t="s">
        <v>4061</v>
      </c>
      <c r="H1923" s="16"/>
      <c r="I1923" s="20"/>
      <c r="J1923" s="20"/>
      <c r="K1923" s="20"/>
      <c r="L1923" s="20"/>
      <c r="M1923" s="20"/>
      <c r="N1923" s="20"/>
      <c r="O1923" s="20"/>
      <c r="P1923" s="20"/>
      <c r="Q1923" s="20"/>
      <c r="R1923" s="20"/>
      <c r="S1923" s="20"/>
      <c r="T1923" s="20"/>
      <c r="U1923" s="20"/>
      <c r="V1923" s="20"/>
      <c r="W1923" s="20"/>
      <c r="X1923" s="20"/>
      <c r="Y1923" s="20"/>
      <c r="Z1923" s="20"/>
      <c r="AA1923" s="20"/>
    </row>
    <row r="1924" spans="1:27" ht="313.2" x14ac:dyDescent="0.25">
      <c r="A1924" s="16"/>
      <c r="B1924" s="20" t="b">
        <f ca="1">IFERROR(__xludf.DUMMYFUNCTION("if(D1924=iferror(filter('Character Sheet'!D$13:D3002,'Character Sheet'!D$13:D3002=D1924),""""),True,False)"),FALSE)</f>
        <v>0</v>
      </c>
      <c r="C1924" s="20">
        <v>600</v>
      </c>
      <c r="D1924" s="2" t="s">
        <v>4062</v>
      </c>
      <c r="E1924" s="2" t="s">
        <v>3787</v>
      </c>
      <c r="F1924" s="20" t="s">
        <v>64</v>
      </c>
      <c r="G1924" s="2" t="s">
        <v>4063</v>
      </c>
      <c r="H1924" s="16"/>
      <c r="I1924" s="20"/>
      <c r="J1924" s="20"/>
      <c r="K1924" s="20"/>
      <c r="L1924" s="20"/>
      <c r="M1924" s="20"/>
      <c r="N1924" s="20"/>
      <c r="O1924" s="20"/>
      <c r="P1924" s="20"/>
      <c r="Q1924" s="20"/>
      <c r="R1924" s="20"/>
      <c r="S1924" s="20"/>
      <c r="T1924" s="20"/>
      <c r="U1924" s="20"/>
      <c r="V1924" s="20"/>
      <c r="W1924" s="20"/>
      <c r="X1924" s="20"/>
      <c r="Y1924" s="20"/>
      <c r="Z1924" s="20"/>
      <c r="AA1924" s="20"/>
    </row>
    <row r="1925" spans="1:27" ht="121.8" x14ac:dyDescent="0.25">
      <c r="A1925" s="16"/>
      <c r="B1925" s="20" t="b">
        <f ca="1">IFERROR(__xludf.DUMMYFUNCTION("if(D1925=iferror(filter('Character Sheet'!D$13:D3002,'Character Sheet'!D$13:D3002=D1925),""""),True,False)"),FALSE)</f>
        <v>0</v>
      </c>
      <c r="C1925" s="20">
        <v>600</v>
      </c>
      <c r="D1925" s="2" t="s">
        <v>4064</v>
      </c>
      <c r="E1925" s="2" t="s">
        <v>3894</v>
      </c>
      <c r="F1925" s="20" t="s">
        <v>64</v>
      </c>
      <c r="G1925" s="2" t="s">
        <v>4065</v>
      </c>
      <c r="H1925" s="16"/>
      <c r="I1925" s="20"/>
      <c r="J1925" s="20"/>
      <c r="K1925" s="20"/>
      <c r="L1925" s="20"/>
      <c r="M1925" s="20"/>
      <c r="N1925" s="20"/>
      <c r="O1925" s="20"/>
      <c r="P1925" s="20"/>
      <c r="Q1925" s="20"/>
      <c r="R1925" s="20"/>
      <c r="S1925" s="20"/>
      <c r="T1925" s="20"/>
      <c r="U1925" s="20"/>
      <c r="V1925" s="20"/>
      <c r="W1925" s="20"/>
      <c r="X1925" s="20"/>
      <c r="Y1925" s="20"/>
      <c r="Z1925" s="20"/>
      <c r="AA1925" s="20"/>
    </row>
    <row r="1926" spans="1:27" ht="191.4" x14ac:dyDescent="0.25">
      <c r="A1926" s="16"/>
      <c r="B1926" s="20" t="b">
        <f ca="1">IFERROR(__xludf.DUMMYFUNCTION("if(D1926=iferror(filter('Character Sheet'!D$13:D3002,'Character Sheet'!D$13:D3002=D1926),""""),True,False)"),FALSE)</f>
        <v>0</v>
      </c>
      <c r="C1926" s="20">
        <v>600</v>
      </c>
      <c r="D1926" s="2" t="s">
        <v>4066</v>
      </c>
      <c r="E1926" s="2" t="s">
        <v>119</v>
      </c>
      <c r="F1926" s="20" t="s">
        <v>64</v>
      </c>
      <c r="G1926" s="2" t="s">
        <v>4067</v>
      </c>
      <c r="H1926" s="16"/>
      <c r="I1926" s="20"/>
      <c r="J1926" s="20"/>
      <c r="K1926" s="20"/>
      <c r="L1926" s="20"/>
      <c r="M1926" s="20"/>
      <c r="N1926" s="20"/>
      <c r="O1926" s="20"/>
      <c r="P1926" s="20"/>
      <c r="Q1926" s="20"/>
      <c r="R1926" s="20"/>
      <c r="S1926" s="20"/>
      <c r="T1926" s="20"/>
      <c r="U1926" s="20"/>
      <c r="V1926" s="20"/>
      <c r="W1926" s="20"/>
      <c r="X1926" s="20"/>
      <c r="Y1926" s="20"/>
      <c r="Z1926" s="20"/>
      <c r="AA1926" s="20"/>
    </row>
    <row r="1927" spans="1:27" ht="174" x14ac:dyDescent="0.25">
      <c r="A1927" s="16"/>
      <c r="B1927" s="20" t="b">
        <f ca="1">IFERROR(__xludf.DUMMYFUNCTION("if(D1927=iferror(filter('Character Sheet'!D$13:D3002,'Character Sheet'!D$13:D3002=D1927),""""),True,False)"),FALSE)</f>
        <v>0</v>
      </c>
      <c r="C1927" s="20">
        <v>600</v>
      </c>
      <c r="D1927" s="2" t="s">
        <v>4068</v>
      </c>
      <c r="E1927" s="2" t="s">
        <v>165</v>
      </c>
      <c r="F1927" s="20" t="s">
        <v>64</v>
      </c>
      <c r="G1927" s="2" t="s">
        <v>4069</v>
      </c>
      <c r="H1927" s="16"/>
      <c r="I1927" s="20"/>
      <c r="J1927" s="20"/>
      <c r="K1927" s="20"/>
      <c r="L1927" s="20"/>
      <c r="M1927" s="20"/>
      <c r="N1927" s="20"/>
      <c r="O1927" s="20"/>
      <c r="P1927" s="20"/>
      <c r="Q1927" s="20"/>
      <c r="R1927" s="20"/>
      <c r="S1927" s="20"/>
      <c r="T1927" s="20"/>
      <c r="U1927" s="20"/>
      <c r="V1927" s="20"/>
      <c r="W1927" s="20"/>
      <c r="X1927" s="20"/>
      <c r="Y1927" s="20"/>
      <c r="Z1927" s="20"/>
      <c r="AA1927" s="20"/>
    </row>
    <row r="1928" spans="1:27" ht="156.6" x14ac:dyDescent="0.25">
      <c r="A1928" s="16"/>
      <c r="B1928" s="20" t="b">
        <f ca="1">IFERROR(__xludf.DUMMYFUNCTION("if(D1928=iferror(filter('Character Sheet'!D$13:D3002,'Character Sheet'!D$13:D3002=D1928),""""),True,False)"),FALSE)</f>
        <v>0</v>
      </c>
      <c r="C1928" s="20">
        <v>600</v>
      </c>
      <c r="D1928" s="2" t="s">
        <v>4070</v>
      </c>
      <c r="E1928" s="2" t="s">
        <v>119</v>
      </c>
      <c r="F1928" s="20" t="s">
        <v>64</v>
      </c>
      <c r="G1928" s="2" t="s">
        <v>4071</v>
      </c>
      <c r="H1928" s="16"/>
      <c r="I1928" s="20"/>
      <c r="J1928" s="20"/>
      <c r="K1928" s="20"/>
      <c r="L1928" s="20"/>
      <c r="M1928" s="20"/>
      <c r="N1928" s="20"/>
      <c r="O1928" s="20"/>
      <c r="P1928" s="20"/>
      <c r="Q1928" s="20"/>
      <c r="R1928" s="20"/>
      <c r="S1928" s="20"/>
      <c r="T1928" s="20"/>
      <c r="U1928" s="20"/>
      <c r="V1928" s="20"/>
      <c r="W1928" s="20"/>
      <c r="X1928" s="20"/>
      <c r="Y1928" s="20"/>
      <c r="Z1928" s="20"/>
      <c r="AA1928" s="20"/>
    </row>
    <row r="1929" spans="1:27" ht="261" x14ac:dyDescent="0.25">
      <c r="A1929" s="16"/>
      <c r="B1929" s="20" t="b">
        <f ca="1">IFERROR(__xludf.DUMMYFUNCTION("if(D1929=iferror(filter('Character Sheet'!D$13:D3002,'Character Sheet'!D$13:D3002=D1929),""""),True,False)"),FALSE)</f>
        <v>0</v>
      </c>
      <c r="C1929" s="20">
        <v>600</v>
      </c>
      <c r="D1929" s="2" t="s">
        <v>4072</v>
      </c>
      <c r="E1929" s="2" t="s">
        <v>615</v>
      </c>
      <c r="F1929" s="20" t="s">
        <v>64</v>
      </c>
      <c r="G1929" s="2" t="s">
        <v>4073</v>
      </c>
      <c r="H1929" s="16"/>
      <c r="I1929" s="20"/>
      <c r="J1929" s="20"/>
      <c r="K1929" s="20"/>
      <c r="L1929" s="20"/>
      <c r="M1929" s="20"/>
      <c r="N1929" s="20"/>
      <c r="O1929" s="20"/>
      <c r="P1929" s="20"/>
      <c r="Q1929" s="20"/>
      <c r="R1929" s="20"/>
      <c r="S1929" s="20"/>
      <c r="T1929" s="20"/>
      <c r="U1929" s="20"/>
      <c r="V1929" s="20"/>
      <c r="W1929" s="20"/>
      <c r="X1929" s="20"/>
      <c r="Y1929" s="20"/>
      <c r="Z1929" s="20"/>
      <c r="AA1929" s="20"/>
    </row>
    <row r="1930" spans="1:27" ht="261" x14ac:dyDescent="0.25">
      <c r="A1930" s="16"/>
      <c r="B1930" s="20" t="b">
        <f ca="1">IFERROR(__xludf.DUMMYFUNCTION("if(D1930=iferror(filter('Character Sheet'!D$13:D3002,'Character Sheet'!D$13:D3002=D1930),""""),True,False)"),FALSE)</f>
        <v>0</v>
      </c>
      <c r="C1930" s="20">
        <v>600</v>
      </c>
      <c r="D1930" s="2" t="s">
        <v>4074</v>
      </c>
      <c r="E1930" s="2" t="s">
        <v>220</v>
      </c>
      <c r="F1930" s="20" t="s">
        <v>64</v>
      </c>
      <c r="G1930" s="2" t="s">
        <v>4075</v>
      </c>
      <c r="H1930" s="16"/>
      <c r="I1930" s="20"/>
      <c r="J1930" s="20"/>
      <c r="K1930" s="20"/>
      <c r="L1930" s="20"/>
      <c r="M1930" s="20"/>
      <c r="N1930" s="20"/>
      <c r="O1930" s="20"/>
      <c r="P1930" s="20"/>
      <c r="Q1930" s="20"/>
      <c r="R1930" s="20"/>
      <c r="S1930" s="20"/>
      <c r="T1930" s="20"/>
      <c r="U1930" s="20"/>
      <c r="V1930" s="20"/>
      <c r="W1930" s="20"/>
      <c r="X1930" s="20"/>
      <c r="Y1930" s="20"/>
      <c r="Z1930" s="20"/>
      <c r="AA1930" s="20"/>
    </row>
    <row r="1931" spans="1:27" ht="278.39999999999998" x14ac:dyDescent="0.25">
      <c r="A1931" s="16"/>
      <c r="B1931" s="20" t="b">
        <f ca="1">IFERROR(__xludf.DUMMYFUNCTION("if(D1931=iferror(filter('Character Sheet'!D$13:D3002,'Character Sheet'!D$13:D3002=D1931),""""),True,False)"),FALSE)</f>
        <v>0</v>
      </c>
      <c r="C1931" s="20">
        <v>600</v>
      </c>
      <c r="D1931" s="2" t="s">
        <v>4076</v>
      </c>
      <c r="E1931" s="2" t="s">
        <v>253</v>
      </c>
      <c r="F1931" s="20" t="s">
        <v>64</v>
      </c>
      <c r="G1931" s="2" t="s">
        <v>4077</v>
      </c>
      <c r="H1931" s="16"/>
      <c r="I1931" s="20"/>
      <c r="J1931" s="20"/>
      <c r="K1931" s="20"/>
      <c r="L1931" s="20"/>
      <c r="M1931" s="20"/>
      <c r="N1931" s="20"/>
      <c r="O1931" s="20"/>
      <c r="P1931" s="20"/>
      <c r="Q1931" s="20"/>
      <c r="R1931" s="20"/>
      <c r="S1931" s="20"/>
      <c r="T1931" s="20"/>
      <c r="U1931" s="20"/>
      <c r="V1931" s="20"/>
      <c r="W1931" s="20"/>
      <c r="X1931" s="20"/>
      <c r="Y1931" s="20"/>
      <c r="Z1931" s="20"/>
      <c r="AA1931" s="20"/>
    </row>
    <row r="1932" spans="1:27" ht="156.6" x14ac:dyDescent="0.25">
      <c r="A1932" s="16"/>
      <c r="B1932" s="20" t="b">
        <f ca="1">IFERROR(__xludf.DUMMYFUNCTION("if(D1932=iferror(filter('Character Sheet'!D$13:D3002,'Character Sheet'!D$13:D3002=D1932),""""),True,False)"),FALSE)</f>
        <v>0</v>
      </c>
      <c r="C1932" s="20">
        <v>600</v>
      </c>
      <c r="D1932" s="2" t="s">
        <v>4078</v>
      </c>
      <c r="E1932" s="2" t="s">
        <v>331</v>
      </c>
      <c r="F1932" s="20" t="s">
        <v>64</v>
      </c>
      <c r="G1932" s="2" t="s">
        <v>4079</v>
      </c>
      <c r="H1932" s="16"/>
      <c r="I1932" s="20"/>
      <c r="J1932" s="20"/>
      <c r="K1932" s="20"/>
      <c r="L1932" s="20"/>
      <c r="M1932" s="20"/>
      <c r="N1932" s="20"/>
      <c r="O1932" s="20"/>
      <c r="P1932" s="20"/>
      <c r="Q1932" s="20"/>
      <c r="R1932" s="20"/>
      <c r="S1932" s="20"/>
      <c r="T1932" s="20"/>
      <c r="U1932" s="20"/>
      <c r="V1932" s="20"/>
      <c r="W1932" s="20"/>
      <c r="X1932" s="20"/>
      <c r="Y1932" s="20"/>
      <c r="Z1932" s="20"/>
      <c r="AA1932" s="20"/>
    </row>
    <row r="1933" spans="1:27" ht="69.599999999999994" x14ac:dyDescent="0.25">
      <c r="A1933" s="16"/>
      <c r="B1933" s="20" t="b">
        <f ca="1">IFERROR(__xludf.DUMMYFUNCTION("if(D1933=iferror(filter('Character Sheet'!D$13:D3002,'Character Sheet'!D$13:D3002=D1933),""""),True,False)"),TRUE)</f>
        <v>1</v>
      </c>
      <c r="C1933" s="20">
        <v>600</v>
      </c>
      <c r="D1933" s="2" t="s">
        <v>39</v>
      </c>
      <c r="E1933" s="2" t="s">
        <v>1116</v>
      </c>
      <c r="F1933" s="20" t="s">
        <v>64</v>
      </c>
      <c r="G1933" s="2" t="s">
        <v>4080</v>
      </c>
      <c r="H1933" s="16"/>
      <c r="I1933" s="20"/>
      <c r="J1933" s="20"/>
      <c r="K1933" s="20"/>
      <c r="L1933" s="20"/>
      <c r="M1933" s="20"/>
      <c r="N1933" s="20"/>
      <c r="O1933" s="20"/>
      <c r="P1933" s="20"/>
      <c r="Q1933" s="20"/>
      <c r="R1933" s="20"/>
      <c r="S1933" s="20"/>
      <c r="T1933" s="20"/>
      <c r="U1933" s="20"/>
      <c r="V1933" s="20"/>
      <c r="W1933" s="20"/>
      <c r="X1933" s="20"/>
      <c r="Y1933" s="20"/>
      <c r="Z1933" s="20"/>
      <c r="AA1933" s="20"/>
    </row>
    <row r="1934" spans="1:27" ht="104.4" x14ac:dyDescent="0.25">
      <c r="A1934" s="16"/>
      <c r="B1934" s="20" t="b">
        <f ca="1">IFERROR(__xludf.DUMMYFUNCTION("if(D1934=iferror(filter('Character Sheet'!D$13:D3002,'Character Sheet'!D$13:D3002=D1934),""""),True,False)"),FALSE)</f>
        <v>0</v>
      </c>
      <c r="C1934" s="20">
        <v>600</v>
      </c>
      <c r="D1934" s="2" t="s">
        <v>4081</v>
      </c>
      <c r="E1934" s="2" t="s">
        <v>615</v>
      </c>
      <c r="F1934" s="20" t="s">
        <v>64</v>
      </c>
      <c r="G1934" s="2" t="s">
        <v>4082</v>
      </c>
      <c r="H1934" s="16"/>
      <c r="I1934" s="20"/>
      <c r="J1934" s="20"/>
      <c r="K1934" s="20"/>
      <c r="L1934" s="20"/>
      <c r="M1934" s="20"/>
      <c r="N1934" s="20"/>
      <c r="O1934" s="20"/>
      <c r="P1934" s="20"/>
      <c r="Q1934" s="20"/>
      <c r="R1934" s="20"/>
      <c r="S1934" s="20"/>
      <c r="T1934" s="20"/>
      <c r="U1934" s="20"/>
      <c r="V1934" s="20"/>
      <c r="W1934" s="20"/>
      <c r="X1934" s="20"/>
      <c r="Y1934" s="20"/>
      <c r="Z1934" s="20"/>
      <c r="AA1934" s="20"/>
    </row>
    <row r="1935" spans="1:27" ht="139.19999999999999" x14ac:dyDescent="0.25">
      <c r="A1935" s="16"/>
      <c r="B1935" s="20" t="b">
        <f ca="1">IFERROR(__xludf.DUMMYFUNCTION("if(D1935=iferror(filter('Character Sheet'!D$13:D3002,'Character Sheet'!D$13:D3002=D1935),""""),True,False)"),FALSE)</f>
        <v>0</v>
      </c>
      <c r="C1935" s="20">
        <v>700</v>
      </c>
      <c r="D1935" s="2" t="s">
        <v>4083</v>
      </c>
      <c r="E1935" s="2" t="s">
        <v>877</v>
      </c>
      <c r="F1935" s="20" t="s">
        <v>64</v>
      </c>
      <c r="G1935" s="2" t="s">
        <v>4084</v>
      </c>
      <c r="H1935" s="16"/>
      <c r="I1935" s="20"/>
      <c r="J1935" s="20"/>
      <c r="K1935" s="20"/>
      <c r="L1935" s="20"/>
      <c r="M1935" s="20"/>
      <c r="N1935" s="20"/>
      <c r="O1935" s="20"/>
      <c r="P1935" s="20"/>
      <c r="Q1935" s="20"/>
      <c r="R1935" s="20"/>
      <c r="S1935" s="20"/>
      <c r="T1935" s="20"/>
      <c r="U1935" s="20"/>
      <c r="V1935" s="20"/>
      <c r="W1935" s="20"/>
      <c r="X1935" s="20"/>
      <c r="Y1935" s="20"/>
      <c r="Z1935" s="20"/>
      <c r="AA1935" s="20"/>
    </row>
    <row r="1936" spans="1:27" ht="52.2" x14ac:dyDescent="0.25">
      <c r="A1936" s="16"/>
      <c r="B1936" s="20" t="b">
        <v>0</v>
      </c>
      <c r="C1936" s="20">
        <v>100</v>
      </c>
      <c r="D1936" s="2" t="s">
        <v>4085</v>
      </c>
      <c r="E1936" s="2" t="s">
        <v>4086</v>
      </c>
      <c r="F1936" s="20" t="s">
        <v>53</v>
      </c>
      <c r="G1936" s="2" t="s">
        <v>4087</v>
      </c>
      <c r="H1936" s="16"/>
      <c r="I1936" s="20"/>
      <c r="J1936" s="20"/>
      <c r="K1936" s="20"/>
      <c r="L1936" s="20"/>
      <c r="M1936" s="20"/>
      <c r="N1936" s="20"/>
      <c r="O1936" s="20"/>
      <c r="P1936" s="20"/>
      <c r="Q1936" s="20"/>
      <c r="R1936" s="20"/>
      <c r="S1936" s="20"/>
      <c r="T1936" s="20"/>
      <c r="U1936" s="20"/>
      <c r="V1936" s="20"/>
      <c r="W1936" s="20"/>
      <c r="X1936" s="20"/>
      <c r="Y1936" s="20"/>
      <c r="Z1936" s="20"/>
      <c r="AA1936" s="20"/>
    </row>
    <row r="1937" spans="1:27" ht="52.2" x14ac:dyDescent="0.25">
      <c r="A1937" s="16"/>
      <c r="B1937" s="20" t="b">
        <v>0</v>
      </c>
      <c r="C1937" s="20">
        <v>100</v>
      </c>
      <c r="D1937" s="2" t="s">
        <v>4088</v>
      </c>
      <c r="E1937" s="2" t="s">
        <v>4086</v>
      </c>
      <c r="F1937" s="20" t="s">
        <v>61</v>
      </c>
      <c r="G1937" s="2" t="s">
        <v>4089</v>
      </c>
      <c r="H1937" s="16"/>
      <c r="I1937" s="20"/>
      <c r="J1937" s="20"/>
      <c r="K1937" s="20"/>
      <c r="L1937" s="20"/>
      <c r="M1937" s="20"/>
      <c r="N1937" s="20"/>
      <c r="O1937" s="20"/>
      <c r="P1937" s="20"/>
      <c r="Q1937" s="20"/>
      <c r="R1937" s="20"/>
      <c r="S1937" s="20"/>
      <c r="T1937" s="20"/>
      <c r="U1937" s="20"/>
      <c r="V1937" s="20"/>
      <c r="W1937" s="20"/>
      <c r="X1937" s="20"/>
      <c r="Y1937" s="20"/>
      <c r="Z1937" s="20"/>
      <c r="AA1937" s="20"/>
    </row>
    <row r="1938" spans="1:27" ht="52.2" x14ac:dyDescent="0.25">
      <c r="A1938" s="16"/>
      <c r="B1938" s="20" t="b">
        <v>0</v>
      </c>
      <c r="C1938" s="20">
        <v>100</v>
      </c>
      <c r="D1938" s="2" t="s">
        <v>4090</v>
      </c>
      <c r="E1938" s="2" t="s">
        <v>4086</v>
      </c>
      <c r="F1938" s="20" t="s">
        <v>61</v>
      </c>
      <c r="G1938" s="2" t="s">
        <v>4091</v>
      </c>
      <c r="H1938" s="16"/>
      <c r="I1938" s="20"/>
      <c r="J1938" s="20"/>
      <c r="K1938" s="20"/>
      <c r="L1938" s="20"/>
      <c r="M1938" s="20"/>
      <c r="N1938" s="20"/>
      <c r="O1938" s="20"/>
      <c r="P1938" s="20"/>
      <c r="Q1938" s="20"/>
      <c r="R1938" s="20"/>
      <c r="S1938" s="20"/>
      <c r="T1938" s="20"/>
      <c r="U1938" s="20"/>
      <c r="V1938" s="20"/>
      <c r="W1938" s="20"/>
      <c r="X1938" s="20"/>
      <c r="Y1938" s="20"/>
      <c r="Z1938" s="20"/>
      <c r="AA1938" s="20"/>
    </row>
    <row r="1939" spans="1:27" ht="52.2" x14ac:dyDescent="0.25">
      <c r="A1939" s="16"/>
      <c r="B1939" s="20" t="b">
        <v>0</v>
      </c>
      <c r="C1939" s="20">
        <v>100</v>
      </c>
      <c r="D1939" s="2" t="s">
        <v>4092</v>
      </c>
      <c r="E1939" s="2" t="s">
        <v>4086</v>
      </c>
      <c r="F1939" s="3" t="s">
        <v>57</v>
      </c>
      <c r="G1939" s="2" t="s">
        <v>4093</v>
      </c>
      <c r="H1939" s="16"/>
      <c r="I1939" s="20"/>
      <c r="J1939" s="20"/>
      <c r="K1939" s="20"/>
      <c r="L1939" s="20"/>
      <c r="M1939" s="20"/>
      <c r="N1939" s="20"/>
      <c r="O1939" s="20"/>
      <c r="P1939" s="20"/>
      <c r="Q1939" s="20"/>
      <c r="R1939" s="20"/>
      <c r="S1939" s="20"/>
      <c r="T1939" s="20"/>
      <c r="U1939" s="20"/>
      <c r="V1939" s="20"/>
      <c r="W1939" s="20"/>
      <c r="X1939" s="20"/>
      <c r="Y1939" s="20"/>
      <c r="Z1939" s="20"/>
      <c r="AA1939" s="20"/>
    </row>
    <row r="1940" spans="1:27" ht="52.2" x14ac:dyDescent="0.25">
      <c r="A1940" s="16"/>
      <c r="B1940" s="20" t="b">
        <v>0</v>
      </c>
      <c r="C1940" s="20">
        <v>100</v>
      </c>
      <c r="D1940" s="2" t="s">
        <v>4094</v>
      </c>
      <c r="E1940" s="2" t="s">
        <v>4086</v>
      </c>
      <c r="F1940" s="20" t="s">
        <v>61</v>
      </c>
      <c r="G1940" s="2" t="s">
        <v>4095</v>
      </c>
      <c r="H1940" s="16"/>
      <c r="I1940" s="20"/>
      <c r="J1940" s="20"/>
      <c r="K1940" s="20"/>
      <c r="L1940" s="20"/>
      <c r="M1940" s="20"/>
      <c r="N1940" s="20"/>
      <c r="O1940" s="20"/>
      <c r="P1940" s="20"/>
      <c r="Q1940" s="20"/>
      <c r="R1940" s="20"/>
      <c r="S1940" s="20"/>
      <c r="T1940" s="20"/>
      <c r="U1940" s="20"/>
      <c r="V1940" s="20"/>
      <c r="W1940" s="20"/>
      <c r="X1940" s="20"/>
      <c r="Y1940" s="20"/>
      <c r="Z1940" s="20"/>
      <c r="AA1940" s="20"/>
    </row>
    <row r="1941" spans="1:27" ht="52.2" x14ac:dyDescent="0.25">
      <c r="A1941" s="16"/>
      <c r="B1941" s="20" t="b">
        <v>0</v>
      </c>
      <c r="C1941" s="20">
        <v>200</v>
      </c>
      <c r="D1941" s="2" t="s">
        <v>4096</v>
      </c>
      <c r="E1941" s="2" t="s">
        <v>4086</v>
      </c>
      <c r="F1941" s="3" t="s">
        <v>57</v>
      </c>
      <c r="G1941" s="2" t="s">
        <v>4097</v>
      </c>
      <c r="H1941" s="16"/>
      <c r="I1941" s="20"/>
      <c r="J1941" s="20"/>
      <c r="K1941" s="20"/>
      <c r="L1941" s="20"/>
      <c r="M1941" s="20"/>
      <c r="N1941" s="20"/>
      <c r="O1941" s="20"/>
      <c r="P1941" s="20"/>
      <c r="Q1941" s="20"/>
      <c r="R1941" s="20"/>
      <c r="S1941" s="20"/>
      <c r="T1941" s="20"/>
      <c r="U1941" s="20"/>
      <c r="V1941" s="20"/>
      <c r="W1941" s="20"/>
      <c r="X1941" s="20"/>
      <c r="Y1941" s="20"/>
      <c r="Z1941" s="20"/>
      <c r="AA1941" s="20"/>
    </row>
    <row r="1942" spans="1:27" ht="52.2" x14ac:dyDescent="0.25">
      <c r="A1942" s="16"/>
      <c r="B1942" s="20" t="b">
        <v>0</v>
      </c>
      <c r="C1942" s="20">
        <v>200</v>
      </c>
      <c r="D1942" s="2" t="s">
        <v>4098</v>
      </c>
      <c r="E1942" s="2" t="s">
        <v>4086</v>
      </c>
      <c r="F1942" s="20" t="s">
        <v>53</v>
      </c>
      <c r="G1942" s="2" t="s">
        <v>4099</v>
      </c>
      <c r="H1942" s="16"/>
      <c r="I1942" s="20"/>
      <c r="J1942" s="20"/>
      <c r="K1942" s="20"/>
      <c r="L1942" s="20"/>
      <c r="M1942" s="20"/>
      <c r="N1942" s="20"/>
      <c r="O1942" s="20"/>
      <c r="P1942" s="20"/>
      <c r="Q1942" s="20"/>
      <c r="R1942" s="20"/>
      <c r="S1942" s="20"/>
      <c r="T1942" s="20"/>
      <c r="U1942" s="20"/>
      <c r="V1942" s="20"/>
      <c r="W1942" s="20"/>
      <c r="X1942" s="20"/>
      <c r="Y1942" s="20"/>
      <c r="Z1942" s="20"/>
      <c r="AA1942" s="20"/>
    </row>
    <row r="1943" spans="1:27" ht="52.2" x14ac:dyDescent="0.25">
      <c r="A1943" s="16"/>
      <c r="B1943" s="20" t="b">
        <v>0</v>
      </c>
      <c r="C1943" s="20">
        <v>200</v>
      </c>
      <c r="D1943" s="2" t="s">
        <v>4100</v>
      </c>
      <c r="E1943" s="2" t="s">
        <v>4086</v>
      </c>
      <c r="F1943" s="20" t="s">
        <v>61</v>
      </c>
      <c r="G1943" s="2" t="s">
        <v>4101</v>
      </c>
      <c r="H1943" s="16"/>
      <c r="I1943" s="20"/>
      <c r="J1943" s="20"/>
      <c r="K1943" s="20"/>
      <c r="L1943" s="20"/>
      <c r="M1943" s="20"/>
      <c r="N1943" s="20"/>
      <c r="O1943" s="20"/>
      <c r="P1943" s="20"/>
      <c r="Q1943" s="20"/>
      <c r="R1943" s="20"/>
      <c r="S1943" s="20"/>
      <c r="T1943" s="20"/>
      <c r="U1943" s="20"/>
      <c r="V1943" s="20"/>
      <c r="W1943" s="20"/>
      <c r="X1943" s="20"/>
      <c r="Y1943" s="20"/>
      <c r="Z1943" s="20"/>
      <c r="AA1943" s="20"/>
    </row>
    <row r="1944" spans="1:27" ht="69.599999999999994" x14ac:dyDescent="0.25">
      <c r="A1944" s="16"/>
      <c r="B1944" s="20" t="b">
        <v>0</v>
      </c>
      <c r="C1944" s="20">
        <v>400</v>
      </c>
      <c r="D1944" s="2" t="s">
        <v>4102</v>
      </c>
      <c r="E1944" s="2" t="s">
        <v>4086</v>
      </c>
      <c r="F1944" s="20" t="s">
        <v>56</v>
      </c>
      <c r="G1944" s="2" t="s">
        <v>4103</v>
      </c>
      <c r="H1944" s="16"/>
      <c r="I1944" s="20"/>
      <c r="J1944" s="20"/>
      <c r="K1944" s="20"/>
      <c r="L1944" s="20"/>
      <c r="M1944" s="20"/>
      <c r="N1944" s="20"/>
      <c r="O1944" s="20"/>
      <c r="P1944" s="20"/>
      <c r="Q1944" s="20"/>
      <c r="R1944" s="20"/>
      <c r="S1944" s="20"/>
      <c r="T1944" s="20"/>
      <c r="U1944" s="20"/>
      <c r="V1944" s="20"/>
      <c r="W1944" s="20"/>
      <c r="X1944" s="20"/>
      <c r="Y1944" s="20"/>
      <c r="Z1944" s="20"/>
      <c r="AA1944" s="20"/>
    </row>
    <row r="1945" spans="1:27" ht="69.599999999999994" x14ac:dyDescent="0.25">
      <c r="A1945" s="16"/>
      <c r="B1945" s="20" t="b">
        <v>0</v>
      </c>
      <c r="C1945" s="20">
        <v>400</v>
      </c>
      <c r="D1945" s="2" t="s">
        <v>4104</v>
      </c>
      <c r="E1945" s="2" t="s">
        <v>4086</v>
      </c>
      <c r="F1945" s="20" t="s">
        <v>61</v>
      </c>
      <c r="G1945" s="2" t="s">
        <v>4105</v>
      </c>
      <c r="H1945" s="16"/>
      <c r="I1945" s="20"/>
      <c r="J1945" s="20"/>
      <c r="K1945" s="20"/>
      <c r="L1945" s="20"/>
      <c r="M1945" s="20"/>
      <c r="N1945" s="20"/>
      <c r="O1945" s="20"/>
      <c r="P1945" s="20"/>
      <c r="Q1945" s="20"/>
      <c r="R1945" s="20"/>
      <c r="S1945" s="20"/>
      <c r="T1945" s="20"/>
      <c r="U1945" s="20"/>
      <c r="V1945" s="20"/>
      <c r="W1945" s="20"/>
      <c r="X1945" s="20"/>
      <c r="Y1945" s="20"/>
      <c r="Z1945" s="20"/>
      <c r="AA1945" s="20"/>
    </row>
    <row r="1946" spans="1:27" ht="69.599999999999994" x14ac:dyDescent="0.25">
      <c r="A1946" s="16"/>
      <c r="B1946" s="20" t="b">
        <v>0</v>
      </c>
      <c r="C1946" s="20">
        <v>400</v>
      </c>
      <c r="D1946" s="2" t="s">
        <v>4106</v>
      </c>
      <c r="E1946" s="2" t="s">
        <v>4086</v>
      </c>
      <c r="F1946" s="20" t="s">
        <v>52</v>
      </c>
      <c r="G1946" s="2" t="s">
        <v>4107</v>
      </c>
      <c r="H1946" s="16"/>
      <c r="I1946" s="20"/>
      <c r="J1946" s="20"/>
      <c r="K1946" s="20"/>
      <c r="L1946" s="20"/>
      <c r="M1946" s="20"/>
      <c r="N1946" s="20"/>
      <c r="O1946" s="20"/>
      <c r="P1946" s="20"/>
      <c r="Q1946" s="20"/>
      <c r="R1946" s="20"/>
      <c r="S1946" s="20"/>
      <c r="T1946" s="20"/>
      <c r="U1946" s="20"/>
      <c r="V1946" s="20"/>
      <c r="W1946" s="20"/>
      <c r="X1946" s="20"/>
      <c r="Y1946" s="20"/>
      <c r="Z1946" s="20"/>
      <c r="AA1946" s="20"/>
    </row>
    <row r="1947" spans="1:27" ht="69.599999999999994" x14ac:dyDescent="0.25">
      <c r="A1947" s="16"/>
      <c r="B1947" s="20" t="b">
        <v>0</v>
      </c>
      <c r="C1947" s="20">
        <v>400</v>
      </c>
      <c r="D1947" s="2" t="s">
        <v>4108</v>
      </c>
      <c r="E1947" s="2" t="s">
        <v>4086</v>
      </c>
      <c r="F1947" s="20" t="s">
        <v>61</v>
      </c>
      <c r="G1947" s="2" t="s">
        <v>4109</v>
      </c>
      <c r="H1947" s="16"/>
      <c r="I1947" s="20"/>
      <c r="J1947" s="20"/>
      <c r="K1947" s="20"/>
      <c r="L1947" s="20"/>
      <c r="M1947" s="20"/>
      <c r="N1947" s="20"/>
      <c r="O1947" s="20"/>
      <c r="P1947" s="20"/>
      <c r="Q1947" s="20"/>
      <c r="R1947" s="20"/>
      <c r="S1947" s="20"/>
      <c r="T1947" s="20"/>
      <c r="U1947" s="20"/>
      <c r="V1947" s="20"/>
      <c r="W1947" s="20"/>
      <c r="X1947" s="20"/>
      <c r="Y1947" s="20"/>
      <c r="Z1947" s="20"/>
      <c r="AA1947" s="20"/>
    </row>
    <row r="1948" spans="1:27" ht="69.599999999999994" x14ac:dyDescent="0.25">
      <c r="A1948" s="16"/>
      <c r="B1948" s="20" t="b">
        <v>0</v>
      </c>
      <c r="C1948" s="20">
        <v>400</v>
      </c>
      <c r="D1948" s="2" t="s">
        <v>4110</v>
      </c>
      <c r="E1948" s="2" t="s">
        <v>4086</v>
      </c>
      <c r="F1948" s="20" t="s">
        <v>53</v>
      </c>
      <c r="G1948" s="2" t="s">
        <v>4111</v>
      </c>
      <c r="H1948" s="16"/>
      <c r="I1948" s="20"/>
      <c r="J1948" s="20"/>
      <c r="K1948" s="20"/>
      <c r="L1948" s="20"/>
      <c r="M1948" s="20"/>
      <c r="N1948" s="20"/>
      <c r="O1948" s="20"/>
      <c r="P1948" s="20"/>
      <c r="Q1948" s="20"/>
      <c r="R1948" s="20"/>
      <c r="S1948" s="20"/>
      <c r="T1948" s="20"/>
      <c r="U1948" s="20"/>
      <c r="V1948" s="20"/>
      <c r="W1948" s="20"/>
      <c r="X1948" s="20"/>
      <c r="Y1948" s="20"/>
      <c r="Z1948" s="20"/>
      <c r="AA1948" s="20"/>
    </row>
    <row r="1949" spans="1:27" ht="69.599999999999994" x14ac:dyDescent="0.25">
      <c r="A1949" s="16"/>
      <c r="B1949" s="20" t="b">
        <v>0</v>
      </c>
      <c r="C1949" s="20">
        <v>600</v>
      </c>
      <c r="D1949" s="2" t="s">
        <v>4112</v>
      </c>
      <c r="E1949" s="2" t="s">
        <v>4086</v>
      </c>
      <c r="F1949" s="20" t="s">
        <v>61</v>
      </c>
      <c r="G1949" s="2" t="s">
        <v>4113</v>
      </c>
      <c r="H1949" s="16"/>
      <c r="I1949" s="20"/>
      <c r="J1949" s="20"/>
      <c r="K1949" s="20"/>
      <c r="L1949" s="20"/>
      <c r="M1949" s="20"/>
      <c r="N1949" s="20"/>
      <c r="O1949" s="20"/>
      <c r="P1949" s="20"/>
      <c r="Q1949" s="20"/>
      <c r="R1949" s="20"/>
      <c r="S1949" s="20"/>
      <c r="T1949" s="20"/>
      <c r="U1949" s="20"/>
      <c r="V1949" s="20"/>
      <c r="W1949" s="20"/>
      <c r="X1949" s="20"/>
      <c r="Y1949" s="20"/>
      <c r="Z1949" s="20"/>
      <c r="AA1949" s="20"/>
    </row>
    <row r="1950" spans="1:27" ht="87" x14ac:dyDescent="0.25">
      <c r="A1950" s="16"/>
      <c r="B1950" s="20" t="b">
        <v>0</v>
      </c>
      <c r="C1950" s="20">
        <v>600</v>
      </c>
      <c r="D1950" s="2" t="s">
        <v>4114</v>
      </c>
      <c r="E1950" s="2" t="s">
        <v>4086</v>
      </c>
      <c r="F1950" s="20" t="s">
        <v>56</v>
      </c>
      <c r="G1950" s="2" t="s">
        <v>4115</v>
      </c>
      <c r="H1950" s="16"/>
      <c r="I1950" s="20"/>
      <c r="J1950" s="20"/>
      <c r="K1950" s="20"/>
      <c r="L1950" s="20"/>
      <c r="M1950" s="20"/>
      <c r="N1950" s="20"/>
      <c r="O1950" s="20"/>
      <c r="P1950" s="20"/>
      <c r="Q1950" s="20"/>
      <c r="R1950" s="20"/>
      <c r="S1950" s="20"/>
      <c r="T1950" s="20"/>
      <c r="U1950" s="20"/>
      <c r="V1950" s="20"/>
      <c r="W1950" s="20"/>
      <c r="X1950" s="20"/>
      <c r="Y1950" s="20"/>
      <c r="Z1950" s="20"/>
      <c r="AA1950" s="20"/>
    </row>
    <row r="1951" spans="1:27" ht="69.599999999999994" x14ac:dyDescent="0.25">
      <c r="A1951" s="16"/>
      <c r="B1951" s="20" t="b">
        <v>0</v>
      </c>
      <c r="C1951" s="20">
        <v>600</v>
      </c>
      <c r="D1951" s="2" t="s">
        <v>4116</v>
      </c>
      <c r="E1951" s="2" t="s">
        <v>4086</v>
      </c>
      <c r="F1951" s="20" t="s">
        <v>56</v>
      </c>
      <c r="G1951" s="2" t="s">
        <v>4117</v>
      </c>
      <c r="H1951" s="16"/>
      <c r="I1951" s="20"/>
      <c r="J1951" s="20"/>
      <c r="K1951" s="20"/>
      <c r="L1951" s="20"/>
      <c r="M1951" s="20"/>
      <c r="N1951" s="20"/>
      <c r="O1951" s="20"/>
      <c r="P1951" s="20"/>
      <c r="Q1951" s="20"/>
      <c r="R1951" s="20"/>
      <c r="S1951" s="20"/>
      <c r="T1951" s="20"/>
      <c r="U1951" s="20"/>
      <c r="V1951" s="20"/>
      <c r="W1951" s="20"/>
      <c r="X1951" s="20"/>
      <c r="Y1951" s="20"/>
      <c r="Z1951" s="20"/>
      <c r="AA1951" s="20"/>
    </row>
    <row r="1952" spans="1:27" ht="208.8" x14ac:dyDescent="0.25">
      <c r="A1952" s="16"/>
      <c r="B1952" s="20" t="b">
        <v>0</v>
      </c>
      <c r="C1952" s="20">
        <v>600</v>
      </c>
      <c r="D1952" s="2" t="s">
        <v>4118</v>
      </c>
      <c r="E1952" s="2" t="s">
        <v>4086</v>
      </c>
      <c r="F1952" s="3" t="s">
        <v>57</v>
      </c>
      <c r="G1952" s="2" t="s">
        <v>4119</v>
      </c>
      <c r="H1952" s="16"/>
      <c r="I1952" s="20"/>
      <c r="J1952" s="20"/>
      <c r="K1952" s="20"/>
      <c r="L1952" s="20"/>
      <c r="M1952" s="20"/>
      <c r="N1952" s="20"/>
      <c r="O1952" s="20"/>
      <c r="P1952" s="20"/>
      <c r="Q1952" s="20"/>
      <c r="R1952" s="20"/>
      <c r="S1952" s="20"/>
      <c r="T1952" s="20"/>
      <c r="U1952" s="20"/>
      <c r="V1952" s="20"/>
      <c r="W1952" s="20"/>
      <c r="X1952" s="20"/>
      <c r="Y1952" s="20"/>
      <c r="Z1952" s="20"/>
      <c r="AA1952" s="20"/>
    </row>
    <row r="1953" spans="1:27" ht="69.599999999999994" x14ac:dyDescent="0.25">
      <c r="A1953" s="16"/>
      <c r="B1953" s="20" t="b">
        <v>0</v>
      </c>
      <c r="C1953" s="20">
        <v>200</v>
      </c>
      <c r="D1953" s="2" t="s">
        <v>4120</v>
      </c>
      <c r="E1953" s="2" t="s">
        <v>4086</v>
      </c>
      <c r="F1953" s="20" t="s">
        <v>56</v>
      </c>
      <c r="G1953" s="2" t="s">
        <v>4121</v>
      </c>
      <c r="H1953" s="16"/>
      <c r="I1953" s="20"/>
      <c r="J1953" s="20"/>
      <c r="K1953" s="20"/>
      <c r="L1953" s="20"/>
      <c r="M1953" s="20"/>
      <c r="N1953" s="20"/>
      <c r="O1953" s="20"/>
      <c r="P1953" s="20"/>
      <c r="Q1953" s="20"/>
      <c r="R1953" s="20"/>
      <c r="S1953" s="20"/>
      <c r="T1953" s="20"/>
      <c r="U1953" s="20"/>
      <c r="V1953" s="20"/>
      <c r="W1953" s="20"/>
      <c r="X1953" s="20"/>
      <c r="Y1953" s="20"/>
      <c r="Z1953" s="20"/>
      <c r="AA1953" s="20"/>
    </row>
    <row r="1954" spans="1:27" ht="69.599999999999994" x14ac:dyDescent="0.25">
      <c r="A1954" s="16"/>
      <c r="B1954" s="20" t="b">
        <v>0</v>
      </c>
      <c r="C1954" s="20">
        <v>200</v>
      </c>
      <c r="D1954" s="2" t="s">
        <v>4122</v>
      </c>
      <c r="E1954" s="2" t="s">
        <v>4086</v>
      </c>
      <c r="F1954" s="20" t="s">
        <v>56</v>
      </c>
      <c r="G1954" s="2" t="s">
        <v>4123</v>
      </c>
      <c r="H1954" s="16"/>
      <c r="I1954" s="20"/>
      <c r="J1954" s="20"/>
      <c r="K1954" s="20"/>
      <c r="L1954" s="20"/>
      <c r="M1954" s="20"/>
      <c r="N1954" s="20"/>
      <c r="O1954" s="20"/>
      <c r="P1954" s="20"/>
      <c r="Q1954" s="20"/>
      <c r="R1954" s="20"/>
      <c r="S1954" s="20"/>
      <c r="T1954" s="20"/>
      <c r="U1954" s="20"/>
      <c r="V1954" s="20"/>
      <c r="W1954" s="20"/>
      <c r="X1954" s="20"/>
      <c r="Y1954" s="20"/>
      <c r="Z1954" s="20"/>
      <c r="AA1954" s="20"/>
    </row>
    <row r="1955" spans="1:27" ht="69.599999999999994" x14ac:dyDescent="0.25">
      <c r="A1955" s="16"/>
      <c r="B1955" s="20" t="b">
        <v>0</v>
      </c>
      <c r="C1955" s="20">
        <v>200</v>
      </c>
      <c r="D1955" s="2" t="s">
        <v>4124</v>
      </c>
      <c r="E1955" s="2" t="s">
        <v>4086</v>
      </c>
      <c r="F1955" s="20" t="s">
        <v>56</v>
      </c>
      <c r="G1955" s="2" t="s">
        <v>4125</v>
      </c>
      <c r="H1955" s="16"/>
      <c r="I1955" s="20"/>
      <c r="J1955" s="20"/>
      <c r="K1955" s="20"/>
      <c r="L1955" s="20"/>
      <c r="M1955" s="20"/>
      <c r="N1955" s="20"/>
      <c r="O1955" s="20"/>
      <c r="P1955" s="20"/>
      <c r="Q1955" s="20"/>
      <c r="R1955" s="20"/>
      <c r="S1955" s="20"/>
      <c r="T1955" s="20"/>
      <c r="U1955" s="20"/>
      <c r="V1955" s="20"/>
      <c r="W1955" s="20"/>
      <c r="X1955" s="20"/>
      <c r="Y1955" s="20"/>
      <c r="Z1955" s="20"/>
      <c r="AA1955" s="20"/>
    </row>
    <row r="1956" spans="1:27" ht="121.8" x14ac:dyDescent="0.25">
      <c r="A1956" s="16"/>
      <c r="B1956" s="20" t="b">
        <v>0</v>
      </c>
      <c r="C1956" s="20">
        <v>400</v>
      </c>
      <c r="D1956" s="2" t="s">
        <v>4126</v>
      </c>
      <c r="E1956" s="2" t="s">
        <v>4086</v>
      </c>
      <c r="F1956" s="20" t="s">
        <v>64</v>
      </c>
      <c r="G1956" s="2" t="s">
        <v>4127</v>
      </c>
      <c r="H1956" s="16"/>
      <c r="I1956" s="20"/>
      <c r="J1956" s="20"/>
      <c r="K1956" s="20"/>
      <c r="L1956" s="20"/>
      <c r="M1956" s="20"/>
      <c r="N1956" s="20"/>
      <c r="O1956" s="20"/>
      <c r="P1956" s="20"/>
      <c r="Q1956" s="20"/>
      <c r="R1956" s="20"/>
      <c r="S1956" s="20"/>
      <c r="T1956" s="20"/>
      <c r="U1956" s="20"/>
      <c r="V1956" s="20"/>
      <c r="W1956" s="20"/>
      <c r="X1956" s="20"/>
      <c r="Y1956" s="20"/>
      <c r="Z1956" s="20"/>
      <c r="AA1956" s="20"/>
    </row>
    <row r="1957" spans="1:27" ht="69.599999999999994" x14ac:dyDescent="0.25">
      <c r="A1957" s="16"/>
      <c r="B1957" s="20" t="b">
        <v>0</v>
      </c>
      <c r="C1957" s="20">
        <v>400</v>
      </c>
      <c r="D1957" s="2" t="s">
        <v>4128</v>
      </c>
      <c r="E1957" s="2" t="s">
        <v>4086</v>
      </c>
      <c r="F1957" s="20" t="s">
        <v>56</v>
      </c>
      <c r="G1957" s="2" t="s">
        <v>4129</v>
      </c>
      <c r="H1957" s="16"/>
      <c r="I1957" s="20"/>
      <c r="J1957" s="20"/>
      <c r="K1957" s="20"/>
      <c r="L1957" s="20"/>
      <c r="M1957" s="20"/>
      <c r="N1957" s="20"/>
      <c r="O1957" s="20"/>
      <c r="P1957" s="20"/>
      <c r="Q1957" s="20"/>
      <c r="R1957" s="20"/>
      <c r="S1957" s="20"/>
      <c r="T1957" s="20"/>
      <c r="U1957" s="20"/>
      <c r="V1957" s="20"/>
      <c r="W1957" s="20"/>
      <c r="X1957" s="20"/>
      <c r="Y1957" s="20"/>
      <c r="Z1957" s="20"/>
      <c r="AA1957" s="20"/>
    </row>
    <row r="1958" spans="1:27" ht="156.6" x14ac:dyDescent="0.25">
      <c r="A1958" s="16"/>
      <c r="B1958" s="20" t="b">
        <v>0</v>
      </c>
      <c r="C1958" s="20">
        <v>0</v>
      </c>
      <c r="D1958" s="2" t="s">
        <v>4130</v>
      </c>
      <c r="E1958" s="2" t="s">
        <v>4086</v>
      </c>
      <c r="F1958" s="20" t="s">
        <v>53</v>
      </c>
      <c r="G1958" s="2" t="s">
        <v>4131</v>
      </c>
      <c r="H1958" s="16"/>
      <c r="I1958" s="20"/>
      <c r="J1958" s="20"/>
      <c r="K1958" s="20"/>
      <c r="L1958" s="20"/>
      <c r="M1958" s="20"/>
      <c r="N1958" s="20"/>
      <c r="O1958" s="20"/>
      <c r="P1958" s="20"/>
      <c r="Q1958" s="20"/>
      <c r="R1958" s="20"/>
      <c r="S1958" s="20"/>
      <c r="T1958" s="20"/>
      <c r="U1958" s="20"/>
      <c r="V1958" s="20"/>
      <c r="W1958" s="20"/>
      <c r="X1958" s="20"/>
      <c r="Y1958" s="20"/>
      <c r="Z1958" s="20"/>
      <c r="AA1958" s="20"/>
    </row>
    <row r="1959" spans="1:27" ht="87" x14ac:dyDescent="0.25">
      <c r="A1959" s="16"/>
      <c r="B1959" s="20" t="b">
        <v>0</v>
      </c>
      <c r="C1959" s="20">
        <v>0</v>
      </c>
      <c r="D1959" s="2" t="s">
        <v>4132</v>
      </c>
      <c r="E1959" s="2" t="s">
        <v>4086</v>
      </c>
      <c r="F1959" s="20" t="s">
        <v>63</v>
      </c>
      <c r="G1959" s="2" t="s">
        <v>4133</v>
      </c>
      <c r="H1959" s="16"/>
      <c r="I1959" s="20"/>
      <c r="J1959" s="20"/>
      <c r="K1959" s="20"/>
      <c r="L1959" s="20"/>
      <c r="M1959" s="20"/>
      <c r="N1959" s="20"/>
      <c r="O1959" s="20"/>
      <c r="P1959" s="20"/>
      <c r="Q1959" s="20"/>
      <c r="R1959" s="20"/>
      <c r="S1959" s="20"/>
      <c r="T1959" s="20"/>
      <c r="U1959" s="20"/>
      <c r="V1959" s="20"/>
      <c r="W1959" s="20"/>
      <c r="X1959" s="20"/>
      <c r="Y1959" s="20"/>
      <c r="Z1959" s="20"/>
      <c r="AA1959" s="20"/>
    </row>
    <row r="1960" spans="1:27" ht="121.8" x14ac:dyDescent="0.25">
      <c r="A1960" s="16"/>
      <c r="B1960" s="20" t="b">
        <v>0</v>
      </c>
      <c r="C1960" s="20">
        <v>100</v>
      </c>
      <c r="D1960" s="2" t="s">
        <v>4134</v>
      </c>
      <c r="E1960" s="2" t="s">
        <v>4086</v>
      </c>
      <c r="F1960" s="20" t="s">
        <v>60</v>
      </c>
      <c r="G1960" s="2" t="s">
        <v>4135</v>
      </c>
      <c r="H1960" s="16"/>
      <c r="I1960" s="20"/>
      <c r="J1960" s="20"/>
      <c r="K1960" s="20"/>
      <c r="L1960" s="20"/>
      <c r="M1960" s="20"/>
      <c r="N1960" s="20"/>
      <c r="O1960" s="20"/>
      <c r="P1960" s="20"/>
      <c r="Q1960" s="20"/>
      <c r="R1960" s="20"/>
      <c r="S1960" s="20"/>
      <c r="T1960" s="20"/>
      <c r="U1960" s="20"/>
      <c r="V1960" s="20"/>
      <c r="W1960" s="20"/>
      <c r="X1960" s="20"/>
      <c r="Y1960" s="20"/>
      <c r="Z1960" s="20"/>
      <c r="AA1960" s="20"/>
    </row>
    <row r="1961" spans="1:27" ht="243.6" x14ac:dyDescent="0.25">
      <c r="A1961" s="16"/>
      <c r="B1961" s="20" t="b">
        <v>0</v>
      </c>
      <c r="C1961" s="20">
        <v>200</v>
      </c>
      <c r="D1961" s="2" t="s">
        <v>4136</v>
      </c>
      <c r="E1961" s="2" t="s">
        <v>4086</v>
      </c>
      <c r="F1961" s="20" t="s">
        <v>60</v>
      </c>
      <c r="G1961" s="2" t="s">
        <v>4137</v>
      </c>
      <c r="H1961" s="16"/>
      <c r="I1961" s="20"/>
      <c r="J1961" s="20"/>
      <c r="K1961" s="20"/>
      <c r="L1961" s="20"/>
      <c r="M1961" s="20"/>
      <c r="N1961" s="20"/>
      <c r="O1961" s="20"/>
      <c r="P1961" s="20"/>
      <c r="Q1961" s="20"/>
      <c r="R1961" s="20"/>
      <c r="S1961" s="20"/>
      <c r="T1961" s="20"/>
      <c r="U1961" s="20"/>
      <c r="V1961" s="20"/>
      <c r="W1961" s="20"/>
      <c r="X1961" s="20"/>
      <c r="Y1961" s="20"/>
      <c r="Z1961" s="20"/>
      <c r="AA1961" s="20"/>
    </row>
    <row r="1962" spans="1:27" ht="156.6" x14ac:dyDescent="0.25">
      <c r="A1962" s="16"/>
      <c r="B1962" s="20" t="b">
        <v>0</v>
      </c>
      <c r="C1962" s="20">
        <v>100</v>
      </c>
      <c r="D1962" s="2" t="s">
        <v>4138</v>
      </c>
      <c r="E1962" s="2" t="s">
        <v>4086</v>
      </c>
      <c r="F1962" s="3" t="s">
        <v>57</v>
      </c>
      <c r="G1962" s="2" t="s">
        <v>4139</v>
      </c>
      <c r="H1962" s="16"/>
      <c r="I1962" s="20"/>
      <c r="J1962" s="20"/>
      <c r="K1962" s="20"/>
      <c r="L1962" s="20"/>
      <c r="M1962" s="20"/>
      <c r="N1962" s="20"/>
      <c r="O1962" s="20"/>
      <c r="P1962" s="20"/>
      <c r="Q1962" s="20"/>
      <c r="R1962" s="20"/>
      <c r="S1962" s="20"/>
      <c r="T1962" s="20"/>
      <c r="U1962" s="20"/>
      <c r="V1962" s="20"/>
      <c r="W1962" s="20"/>
      <c r="X1962" s="20"/>
      <c r="Y1962" s="20"/>
      <c r="Z1962" s="20"/>
      <c r="AA1962" s="20"/>
    </row>
    <row r="1963" spans="1:27" ht="226.2" x14ac:dyDescent="0.25">
      <c r="A1963" s="16"/>
      <c r="B1963" s="20" t="b">
        <v>0</v>
      </c>
      <c r="C1963" s="20">
        <v>200</v>
      </c>
      <c r="D1963" s="2" t="s">
        <v>4140</v>
      </c>
      <c r="E1963" s="2" t="s">
        <v>4086</v>
      </c>
      <c r="F1963" s="20" t="s">
        <v>53</v>
      </c>
      <c r="G1963" s="2" t="s">
        <v>4141</v>
      </c>
      <c r="H1963" s="16"/>
      <c r="I1963" s="20"/>
      <c r="J1963" s="20"/>
      <c r="K1963" s="20"/>
      <c r="L1963" s="20"/>
      <c r="M1963" s="20"/>
      <c r="N1963" s="20"/>
      <c r="O1963" s="20"/>
      <c r="P1963" s="20"/>
      <c r="Q1963" s="20"/>
      <c r="R1963" s="20"/>
      <c r="S1963" s="20"/>
      <c r="T1963" s="20"/>
      <c r="U1963" s="20"/>
      <c r="V1963" s="20"/>
      <c r="W1963" s="20"/>
      <c r="X1963" s="20"/>
      <c r="Y1963" s="20"/>
      <c r="Z1963" s="20"/>
      <c r="AA1963" s="20"/>
    </row>
    <row r="1964" spans="1:27" ht="139.19999999999999" x14ac:dyDescent="0.25">
      <c r="A1964" s="16"/>
      <c r="B1964" s="20" t="b">
        <v>0</v>
      </c>
      <c r="C1964" s="20">
        <v>400</v>
      </c>
      <c r="D1964" s="2" t="s">
        <v>4142</v>
      </c>
      <c r="E1964" s="2" t="s">
        <v>4086</v>
      </c>
      <c r="F1964" s="20" t="s">
        <v>53</v>
      </c>
      <c r="G1964" s="2" t="s">
        <v>4143</v>
      </c>
      <c r="H1964" s="16"/>
      <c r="I1964" s="20"/>
      <c r="J1964" s="20"/>
      <c r="K1964" s="20"/>
      <c r="L1964" s="20"/>
      <c r="M1964" s="20"/>
      <c r="N1964" s="20"/>
      <c r="O1964" s="20"/>
      <c r="P1964" s="20"/>
      <c r="Q1964" s="20"/>
      <c r="R1964" s="20"/>
      <c r="S1964" s="20"/>
      <c r="T1964" s="20"/>
      <c r="U1964" s="20"/>
      <c r="V1964" s="20"/>
      <c r="W1964" s="20"/>
      <c r="X1964" s="20"/>
      <c r="Y1964" s="20"/>
      <c r="Z1964" s="20"/>
      <c r="AA1964" s="20"/>
    </row>
    <row r="1965" spans="1:27" ht="261" x14ac:dyDescent="0.25">
      <c r="A1965" s="16"/>
      <c r="B1965" s="20" t="b">
        <v>0</v>
      </c>
      <c r="C1965" s="20">
        <v>600</v>
      </c>
      <c r="D1965" s="2" t="s">
        <v>4144</v>
      </c>
      <c r="E1965" s="2" t="s">
        <v>4086</v>
      </c>
      <c r="F1965" s="20" t="s">
        <v>56</v>
      </c>
      <c r="G1965" s="2" t="s">
        <v>4145</v>
      </c>
      <c r="H1965" s="16"/>
      <c r="I1965" s="20"/>
      <c r="J1965" s="20"/>
      <c r="K1965" s="20"/>
      <c r="L1965" s="20"/>
      <c r="M1965" s="20"/>
      <c r="N1965" s="20"/>
      <c r="O1965" s="20"/>
      <c r="P1965" s="20"/>
      <c r="Q1965" s="20"/>
      <c r="R1965" s="20"/>
      <c r="S1965" s="20"/>
      <c r="T1965" s="20"/>
      <c r="U1965" s="20"/>
      <c r="V1965" s="20"/>
      <c r="W1965" s="20"/>
      <c r="X1965" s="20"/>
      <c r="Y1965" s="20"/>
      <c r="Z1965" s="20"/>
      <c r="AA1965" s="20"/>
    </row>
    <row r="1966" spans="1:27" ht="121.8" x14ac:dyDescent="0.25">
      <c r="A1966" s="16"/>
      <c r="B1966" s="20" t="b">
        <v>0</v>
      </c>
      <c r="C1966" s="20">
        <v>100</v>
      </c>
      <c r="D1966" s="2" t="s">
        <v>4146</v>
      </c>
      <c r="E1966" s="2" t="s">
        <v>4086</v>
      </c>
      <c r="F1966" s="20" t="s">
        <v>64</v>
      </c>
      <c r="G1966" s="2" t="s">
        <v>4147</v>
      </c>
      <c r="H1966" s="16"/>
      <c r="I1966" s="20"/>
      <c r="J1966" s="20"/>
      <c r="K1966" s="20"/>
      <c r="L1966" s="20"/>
      <c r="M1966" s="20"/>
      <c r="N1966" s="20"/>
      <c r="O1966" s="20"/>
      <c r="P1966" s="20"/>
      <c r="Q1966" s="20"/>
      <c r="R1966" s="20"/>
      <c r="S1966" s="20"/>
      <c r="T1966" s="20"/>
      <c r="U1966" s="20"/>
      <c r="V1966" s="20"/>
      <c r="W1966" s="20"/>
      <c r="X1966" s="20"/>
      <c r="Y1966" s="20"/>
      <c r="Z1966" s="20"/>
      <c r="AA1966" s="20"/>
    </row>
    <row r="1967" spans="1:27" ht="156.6" x14ac:dyDescent="0.25">
      <c r="A1967" s="16"/>
      <c r="B1967" s="20" t="b">
        <v>0</v>
      </c>
      <c r="C1967" s="20">
        <v>200</v>
      </c>
      <c r="D1967" s="2" t="s">
        <v>4148</v>
      </c>
      <c r="E1967" s="2" t="s">
        <v>4086</v>
      </c>
      <c r="F1967" s="20" t="s">
        <v>56</v>
      </c>
      <c r="G1967" s="2" t="s">
        <v>4149</v>
      </c>
      <c r="H1967" s="16"/>
      <c r="I1967" s="20"/>
      <c r="J1967" s="20"/>
      <c r="K1967" s="20"/>
      <c r="L1967" s="20"/>
      <c r="M1967" s="20"/>
      <c r="N1967" s="20"/>
      <c r="O1967" s="20"/>
      <c r="P1967" s="20"/>
      <c r="Q1967" s="20"/>
      <c r="R1967" s="20"/>
      <c r="S1967" s="20"/>
      <c r="T1967" s="20"/>
      <c r="U1967" s="20"/>
      <c r="V1967" s="20"/>
      <c r="W1967" s="20"/>
      <c r="X1967" s="20"/>
      <c r="Y1967" s="20"/>
      <c r="Z1967" s="20"/>
      <c r="AA1967" s="20"/>
    </row>
    <row r="1968" spans="1:27" ht="226.2" x14ac:dyDescent="0.25">
      <c r="A1968" s="16"/>
      <c r="B1968" s="20" t="b">
        <v>0</v>
      </c>
      <c r="C1968" s="20">
        <v>400</v>
      </c>
      <c r="D1968" s="2" t="s">
        <v>4150</v>
      </c>
      <c r="E1968" s="2" t="s">
        <v>4086</v>
      </c>
      <c r="F1968" s="20" t="s">
        <v>56</v>
      </c>
      <c r="G1968" s="2" t="s">
        <v>4151</v>
      </c>
      <c r="H1968" s="16"/>
      <c r="I1968" s="20"/>
      <c r="J1968" s="20"/>
      <c r="K1968" s="20"/>
      <c r="L1968" s="20"/>
      <c r="M1968" s="20"/>
      <c r="N1968" s="20"/>
      <c r="O1968" s="20"/>
      <c r="P1968" s="20"/>
      <c r="Q1968" s="20"/>
      <c r="R1968" s="20"/>
      <c r="S1968" s="20"/>
      <c r="T1968" s="20"/>
      <c r="U1968" s="20"/>
      <c r="V1968" s="20"/>
      <c r="W1968" s="20"/>
      <c r="X1968" s="20"/>
      <c r="Y1968" s="20"/>
      <c r="Z1968" s="20"/>
      <c r="AA1968" s="20"/>
    </row>
    <row r="1969" spans="1:27" ht="261" x14ac:dyDescent="0.25">
      <c r="A1969" s="16"/>
      <c r="B1969" s="20" t="b">
        <v>0</v>
      </c>
      <c r="C1969" s="20">
        <v>600</v>
      </c>
      <c r="D1969" s="2" t="s">
        <v>4152</v>
      </c>
      <c r="E1969" s="2" t="s">
        <v>4086</v>
      </c>
      <c r="F1969" s="20" t="s">
        <v>64</v>
      </c>
      <c r="G1969" s="2" t="s">
        <v>4153</v>
      </c>
      <c r="H1969" s="16"/>
      <c r="I1969" s="20"/>
      <c r="J1969" s="20"/>
      <c r="K1969" s="20"/>
      <c r="L1969" s="20"/>
      <c r="M1969" s="20"/>
      <c r="N1969" s="20"/>
      <c r="O1969" s="20"/>
      <c r="P1969" s="20"/>
      <c r="Q1969" s="20"/>
      <c r="R1969" s="20"/>
      <c r="S1969" s="20"/>
      <c r="T1969" s="20"/>
      <c r="U1969" s="20"/>
      <c r="V1969" s="20"/>
      <c r="W1969" s="20"/>
      <c r="X1969" s="20"/>
      <c r="Y1969" s="20"/>
      <c r="Z1969" s="20"/>
      <c r="AA1969" s="20"/>
    </row>
    <row r="1970" spans="1:27" ht="104.4" x14ac:dyDescent="0.25">
      <c r="A1970" s="16"/>
      <c r="B1970" s="20" t="b">
        <v>0</v>
      </c>
      <c r="C1970" s="20">
        <v>100</v>
      </c>
      <c r="D1970" s="2" t="s">
        <v>4154</v>
      </c>
      <c r="E1970" s="2" t="s">
        <v>4086</v>
      </c>
      <c r="F1970" s="20" t="s">
        <v>58</v>
      </c>
      <c r="G1970" s="2" t="s">
        <v>4155</v>
      </c>
      <c r="H1970" s="16"/>
      <c r="I1970" s="20"/>
      <c r="J1970" s="20"/>
      <c r="K1970" s="20"/>
      <c r="L1970" s="20"/>
      <c r="M1970" s="20"/>
      <c r="N1970" s="20"/>
      <c r="O1970" s="20"/>
      <c r="P1970" s="20"/>
      <c r="Q1970" s="20"/>
      <c r="R1970" s="20"/>
      <c r="S1970" s="20"/>
      <c r="T1970" s="20"/>
      <c r="U1970" s="20"/>
      <c r="V1970" s="20"/>
      <c r="W1970" s="20"/>
      <c r="X1970" s="20"/>
      <c r="Y1970" s="20"/>
      <c r="Z1970" s="20"/>
      <c r="AA1970" s="20"/>
    </row>
    <row r="1971" spans="1:27" ht="139.19999999999999" x14ac:dyDescent="0.25">
      <c r="A1971" s="16"/>
      <c r="B1971" s="20" t="b">
        <v>0</v>
      </c>
      <c r="C1971" s="20">
        <v>400</v>
      </c>
      <c r="D1971" s="2" t="s">
        <v>4156</v>
      </c>
      <c r="E1971" s="2" t="s">
        <v>4086</v>
      </c>
      <c r="F1971" s="20" t="s">
        <v>58</v>
      </c>
      <c r="G1971" s="2" t="s">
        <v>4157</v>
      </c>
      <c r="H1971" s="16"/>
      <c r="I1971" s="20"/>
      <c r="J1971" s="20"/>
      <c r="K1971" s="20"/>
      <c r="L1971" s="20"/>
      <c r="M1971" s="20"/>
      <c r="N1971" s="20"/>
      <c r="O1971" s="20"/>
      <c r="P1971" s="20"/>
      <c r="Q1971" s="20"/>
      <c r="R1971" s="20"/>
      <c r="S1971" s="20"/>
      <c r="T1971" s="20"/>
      <c r="U1971" s="20"/>
      <c r="V1971" s="20"/>
      <c r="W1971" s="20"/>
      <c r="X1971" s="20"/>
      <c r="Y1971" s="20"/>
      <c r="Z1971" s="20"/>
      <c r="AA1971" s="20"/>
    </row>
    <row r="1972" spans="1:27" ht="348" x14ac:dyDescent="0.25">
      <c r="A1972" s="16"/>
      <c r="B1972" s="20" t="b">
        <v>0</v>
      </c>
      <c r="C1972" s="20">
        <v>600</v>
      </c>
      <c r="D1972" s="2" t="s">
        <v>4158</v>
      </c>
      <c r="E1972" s="2" t="s">
        <v>4086</v>
      </c>
      <c r="F1972" s="20" t="s">
        <v>56</v>
      </c>
      <c r="G1972" s="2" t="s">
        <v>4159</v>
      </c>
      <c r="H1972" s="16"/>
      <c r="I1972" s="20"/>
      <c r="J1972" s="20"/>
      <c r="K1972" s="20"/>
      <c r="L1972" s="20"/>
      <c r="M1972" s="20"/>
      <c r="N1972" s="20"/>
      <c r="O1972" s="20"/>
      <c r="P1972" s="20"/>
      <c r="Q1972" s="20"/>
      <c r="R1972" s="20"/>
      <c r="S1972" s="20"/>
      <c r="T1972" s="20"/>
      <c r="U1972" s="20"/>
      <c r="V1972" s="20"/>
      <c r="W1972" s="20"/>
      <c r="X1972" s="20"/>
      <c r="Y1972" s="20"/>
      <c r="Z1972" s="20"/>
      <c r="AA1972" s="20"/>
    </row>
    <row r="1973" spans="1:27" ht="104.4" x14ac:dyDescent="0.25">
      <c r="A1973" s="16"/>
      <c r="B1973" s="20" t="b">
        <v>0</v>
      </c>
      <c r="C1973" s="20">
        <v>100</v>
      </c>
      <c r="D1973" s="2" t="s">
        <v>4160</v>
      </c>
      <c r="E1973" s="2" t="s">
        <v>4086</v>
      </c>
      <c r="F1973" s="20" t="s">
        <v>56</v>
      </c>
      <c r="G1973" s="2" t="s">
        <v>4161</v>
      </c>
      <c r="H1973" s="16"/>
      <c r="I1973" s="20"/>
      <c r="J1973" s="20"/>
      <c r="K1973" s="20"/>
      <c r="L1973" s="20"/>
      <c r="M1973" s="20"/>
      <c r="N1973" s="20"/>
      <c r="O1973" s="20"/>
      <c r="P1973" s="20"/>
      <c r="Q1973" s="20"/>
      <c r="R1973" s="20"/>
      <c r="S1973" s="20"/>
      <c r="T1973" s="20"/>
      <c r="U1973" s="20"/>
      <c r="V1973" s="20"/>
      <c r="W1973" s="20"/>
      <c r="X1973" s="20"/>
      <c r="Y1973" s="20"/>
      <c r="Z1973" s="20"/>
      <c r="AA1973" s="20"/>
    </row>
    <row r="1974" spans="1:27" ht="191.4" x14ac:dyDescent="0.25">
      <c r="A1974" s="16"/>
      <c r="B1974" s="20" t="b">
        <v>0</v>
      </c>
      <c r="C1974" s="20">
        <v>200</v>
      </c>
      <c r="D1974" s="2" t="s">
        <v>4162</v>
      </c>
      <c r="E1974" s="2" t="s">
        <v>4086</v>
      </c>
      <c r="F1974" s="20" t="s">
        <v>56</v>
      </c>
      <c r="G1974" s="2" t="s">
        <v>4163</v>
      </c>
      <c r="H1974" s="16"/>
      <c r="I1974" s="20"/>
      <c r="J1974" s="20"/>
      <c r="K1974" s="20"/>
      <c r="L1974" s="20"/>
      <c r="M1974" s="20"/>
      <c r="N1974" s="20"/>
      <c r="O1974" s="20"/>
      <c r="P1974" s="20"/>
      <c r="Q1974" s="20"/>
      <c r="R1974" s="20"/>
      <c r="S1974" s="20"/>
      <c r="T1974" s="20"/>
      <c r="U1974" s="20"/>
      <c r="V1974" s="20"/>
      <c r="W1974" s="20"/>
      <c r="X1974" s="20"/>
      <c r="Y1974" s="20"/>
      <c r="Z1974" s="20"/>
      <c r="AA1974" s="20"/>
    </row>
    <row r="1975" spans="1:27" ht="174" x14ac:dyDescent="0.25">
      <c r="A1975" s="16"/>
      <c r="B1975" s="20" t="b">
        <v>0</v>
      </c>
      <c r="C1975" s="20">
        <v>400</v>
      </c>
      <c r="D1975" s="2" t="s">
        <v>4164</v>
      </c>
      <c r="E1975" s="2" t="s">
        <v>4086</v>
      </c>
      <c r="F1975" s="20" t="s">
        <v>59</v>
      </c>
      <c r="G1975" s="2" t="s">
        <v>4165</v>
      </c>
      <c r="H1975" s="16"/>
      <c r="I1975" s="20"/>
      <c r="J1975" s="20"/>
      <c r="K1975" s="20"/>
      <c r="L1975" s="20"/>
      <c r="M1975" s="20"/>
      <c r="N1975" s="20"/>
      <c r="O1975" s="20"/>
      <c r="P1975" s="20"/>
      <c r="Q1975" s="20"/>
      <c r="R1975" s="20"/>
      <c r="S1975" s="20"/>
      <c r="T1975" s="20"/>
      <c r="U1975" s="20"/>
      <c r="V1975" s="20"/>
      <c r="W1975" s="20"/>
      <c r="X1975" s="20"/>
      <c r="Y1975" s="20"/>
      <c r="Z1975" s="20"/>
      <c r="AA1975" s="20"/>
    </row>
    <row r="1976" spans="1:27" ht="139.19999999999999" x14ac:dyDescent="0.25">
      <c r="A1976" s="16"/>
      <c r="B1976" s="20" t="b">
        <v>0</v>
      </c>
      <c r="C1976" s="20">
        <v>600</v>
      </c>
      <c r="D1976" s="2" t="s">
        <v>4166</v>
      </c>
      <c r="E1976" s="2" t="s">
        <v>4086</v>
      </c>
      <c r="F1976" s="20" t="s">
        <v>58</v>
      </c>
      <c r="G1976" s="2" t="s">
        <v>4167</v>
      </c>
      <c r="H1976" s="16"/>
      <c r="I1976" s="20"/>
      <c r="J1976" s="20"/>
      <c r="K1976" s="20"/>
      <c r="L1976" s="20"/>
      <c r="M1976" s="20"/>
      <c r="N1976" s="20"/>
      <c r="O1976" s="20"/>
      <c r="P1976" s="20"/>
      <c r="Q1976" s="20"/>
      <c r="R1976" s="20"/>
      <c r="S1976" s="20"/>
      <c r="T1976" s="20"/>
      <c r="U1976" s="20"/>
      <c r="V1976" s="20"/>
      <c r="W1976" s="20"/>
      <c r="X1976" s="20"/>
      <c r="Y1976" s="20"/>
      <c r="Z1976" s="20"/>
      <c r="AA1976" s="20"/>
    </row>
    <row r="1977" spans="1:27" ht="69.599999999999994" x14ac:dyDescent="0.25">
      <c r="A1977" s="16"/>
      <c r="B1977" s="20" t="b">
        <v>0</v>
      </c>
      <c r="C1977" s="20">
        <v>100</v>
      </c>
      <c r="D1977" s="2" t="s">
        <v>4168</v>
      </c>
      <c r="E1977" s="2" t="s">
        <v>4086</v>
      </c>
      <c r="F1977" s="20" t="s">
        <v>60</v>
      </c>
      <c r="G1977" s="2" t="s">
        <v>4169</v>
      </c>
      <c r="H1977" s="16"/>
      <c r="I1977" s="20"/>
      <c r="J1977" s="20"/>
      <c r="K1977" s="20"/>
      <c r="L1977" s="20"/>
      <c r="M1977" s="20"/>
      <c r="N1977" s="20"/>
      <c r="O1977" s="20"/>
      <c r="P1977" s="20"/>
      <c r="Q1977" s="20"/>
      <c r="R1977" s="20"/>
      <c r="S1977" s="20"/>
      <c r="T1977" s="20"/>
      <c r="U1977" s="20"/>
      <c r="V1977" s="20"/>
      <c r="W1977" s="20"/>
      <c r="X1977" s="20"/>
      <c r="Y1977" s="20"/>
      <c r="Z1977" s="20"/>
      <c r="AA1977" s="20"/>
    </row>
    <row r="1978" spans="1:27" ht="121.8" x14ac:dyDescent="0.25">
      <c r="A1978" s="16"/>
      <c r="B1978" s="20" t="b">
        <v>0</v>
      </c>
      <c r="C1978" s="20">
        <v>200</v>
      </c>
      <c r="D1978" s="2" t="s">
        <v>4170</v>
      </c>
      <c r="E1978" s="2" t="s">
        <v>4086</v>
      </c>
      <c r="F1978" s="20" t="s">
        <v>60</v>
      </c>
      <c r="G1978" s="2" t="s">
        <v>4171</v>
      </c>
      <c r="H1978" s="16"/>
      <c r="I1978" s="20"/>
      <c r="J1978" s="20"/>
      <c r="K1978" s="20"/>
      <c r="L1978" s="20"/>
      <c r="M1978" s="20"/>
      <c r="N1978" s="20"/>
      <c r="O1978" s="20"/>
      <c r="P1978" s="20"/>
      <c r="Q1978" s="20"/>
      <c r="R1978" s="20"/>
      <c r="S1978" s="20"/>
      <c r="T1978" s="20"/>
      <c r="U1978" s="20"/>
      <c r="V1978" s="20"/>
      <c r="W1978" s="20"/>
      <c r="X1978" s="20"/>
      <c r="Y1978" s="20"/>
      <c r="Z1978" s="20"/>
      <c r="AA1978" s="20"/>
    </row>
    <row r="1979" spans="1:27" ht="348" x14ac:dyDescent="0.25">
      <c r="A1979" s="16"/>
      <c r="B1979" s="20" t="b">
        <v>0</v>
      </c>
      <c r="C1979" s="20">
        <v>300</v>
      </c>
      <c r="D1979" s="2" t="s">
        <v>4172</v>
      </c>
      <c r="E1979" s="2" t="s">
        <v>4086</v>
      </c>
      <c r="F1979" s="20" t="s">
        <v>60</v>
      </c>
      <c r="G1979" s="2" t="s">
        <v>4173</v>
      </c>
      <c r="H1979" s="16"/>
      <c r="I1979" s="20"/>
      <c r="J1979" s="20"/>
      <c r="K1979" s="20"/>
      <c r="L1979" s="20"/>
      <c r="M1979" s="20"/>
      <c r="N1979" s="20"/>
      <c r="O1979" s="20"/>
      <c r="P1979" s="20"/>
      <c r="Q1979" s="20"/>
      <c r="R1979" s="20"/>
      <c r="S1979" s="20"/>
      <c r="T1979" s="20"/>
      <c r="U1979" s="20"/>
      <c r="V1979" s="20"/>
      <c r="W1979" s="20"/>
      <c r="X1979" s="20"/>
      <c r="Y1979" s="20"/>
      <c r="Z1979" s="20"/>
      <c r="AA1979" s="20"/>
    </row>
    <row r="1980" spans="1:27" ht="191.4" x14ac:dyDescent="0.25">
      <c r="A1980" s="16"/>
      <c r="B1980" s="20" t="b">
        <v>0</v>
      </c>
      <c r="C1980" s="20">
        <v>400</v>
      </c>
      <c r="D1980" s="2" t="s">
        <v>4174</v>
      </c>
      <c r="E1980" s="2" t="s">
        <v>4086</v>
      </c>
      <c r="F1980" s="20" t="s">
        <v>60</v>
      </c>
      <c r="G1980" s="2" t="s">
        <v>4175</v>
      </c>
      <c r="H1980" s="16"/>
      <c r="I1980" s="20"/>
      <c r="J1980" s="20"/>
      <c r="K1980" s="20"/>
      <c r="L1980" s="20"/>
      <c r="M1980" s="20"/>
      <c r="N1980" s="20"/>
      <c r="O1980" s="20"/>
      <c r="P1980" s="20"/>
      <c r="Q1980" s="20"/>
      <c r="R1980" s="20"/>
      <c r="S1980" s="20"/>
      <c r="T1980" s="20"/>
      <c r="U1980" s="20"/>
      <c r="V1980" s="20"/>
      <c r="W1980" s="20"/>
      <c r="X1980" s="20"/>
      <c r="Y1980" s="20"/>
      <c r="Z1980" s="20"/>
      <c r="AA1980" s="20"/>
    </row>
    <row r="1981" spans="1:27" ht="409.6" x14ac:dyDescent="0.25">
      <c r="A1981" s="16"/>
      <c r="B1981" s="20" t="b">
        <v>0</v>
      </c>
      <c r="C1981" s="20">
        <v>500</v>
      </c>
      <c r="D1981" s="2" t="s">
        <v>4176</v>
      </c>
      <c r="E1981" s="2" t="s">
        <v>4086</v>
      </c>
      <c r="F1981" s="20" t="s">
        <v>60</v>
      </c>
      <c r="G1981" s="2" t="s">
        <v>4177</v>
      </c>
      <c r="H1981" s="16"/>
      <c r="I1981" s="20"/>
      <c r="J1981" s="20"/>
      <c r="K1981" s="20"/>
      <c r="L1981" s="20"/>
      <c r="M1981" s="20"/>
      <c r="N1981" s="20"/>
      <c r="O1981" s="20"/>
      <c r="P1981" s="20"/>
      <c r="Q1981" s="20"/>
      <c r="R1981" s="20"/>
      <c r="S1981" s="20"/>
      <c r="T1981" s="20"/>
      <c r="U1981" s="20"/>
      <c r="V1981" s="20"/>
      <c r="W1981" s="20"/>
      <c r="X1981" s="20"/>
      <c r="Y1981" s="20"/>
      <c r="Z1981" s="20"/>
      <c r="AA1981" s="20"/>
    </row>
    <row r="1982" spans="1:27" ht="400.2" x14ac:dyDescent="0.25">
      <c r="A1982" s="16"/>
      <c r="B1982" s="20" t="b">
        <v>0</v>
      </c>
      <c r="C1982" s="20">
        <v>200</v>
      </c>
      <c r="D1982" s="2" t="s">
        <v>4178</v>
      </c>
      <c r="E1982" s="2" t="s">
        <v>4086</v>
      </c>
      <c r="F1982" s="20" t="s">
        <v>60</v>
      </c>
      <c r="G1982" s="2" t="s">
        <v>4179</v>
      </c>
      <c r="H1982" s="16"/>
      <c r="I1982" s="20"/>
      <c r="J1982" s="20"/>
      <c r="K1982" s="20"/>
      <c r="L1982" s="20"/>
      <c r="M1982" s="20"/>
      <c r="N1982" s="20"/>
      <c r="O1982" s="20"/>
      <c r="P1982" s="20"/>
      <c r="Q1982" s="20"/>
      <c r="R1982" s="20"/>
      <c r="S1982" s="20"/>
      <c r="T1982" s="20"/>
      <c r="U1982" s="20"/>
      <c r="V1982" s="20"/>
      <c r="W1982" s="20"/>
      <c r="X1982" s="20"/>
      <c r="Y1982" s="20"/>
      <c r="Z1982" s="20"/>
      <c r="AA1982" s="20"/>
    </row>
    <row r="1983" spans="1:27" ht="69.599999999999994" x14ac:dyDescent="0.25">
      <c r="A1983" s="16"/>
      <c r="B1983" s="20" t="b">
        <v>0</v>
      </c>
      <c r="C1983" s="20">
        <v>200</v>
      </c>
      <c r="D1983" s="2" t="s">
        <v>4180</v>
      </c>
      <c r="E1983" s="2" t="s">
        <v>4010</v>
      </c>
      <c r="F1983" s="20" t="s">
        <v>59</v>
      </c>
      <c r="G1983" s="2" t="s">
        <v>4181</v>
      </c>
      <c r="H1983" s="16"/>
      <c r="I1983" s="20"/>
      <c r="J1983" s="20"/>
      <c r="K1983" s="20"/>
      <c r="L1983" s="20"/>
      <c r="M1983" s="20"/>
      <c r="N1983" s="20"/>
      <c r="O1983" s="20"/>
      <c r="P1983" s="20"/>
      <c r="Q1983" s="20"/>
      <c r="R1983" s="20"/>
      <c r="S1983" s="20"/>
      <c r="T1983" s="20"/>
      <c r="U1983" s="20"/>
      <c r="V1983" s="20"/>
      <c r="W1983" s="20"/>
      <c r="X1983" s="20"/>
      <c r="Y1983" s="20"/>
      <c r="Z1983" s="20"/>
      <c r="AA1983" s="20"/>
    </row>
    <row r="1984" spans="1:27" ht="104.4" x14ac:dyDescent="0.25">
      <c r="A1984" s="16"/>
      <c r="B1984" s="20" t="b">
        <v>0</v>
      </c>
      <c r="C1984" s="20">
        <v>400</v>
      </c>
      <c r="D1984" s="2" t="s">
        <v>4182</v>
      </c>
      <c r="E1984" s="2" t="s">
        <v>4010</v>
      </c>
      <c r="F1984" s="20" t="s">
        <v>56</v>
      </c>
      <c r="G1984" s="2" t="s">
        <v>4183</v>
      </c>
      <c r="H1984" s="16"/>
      <c r="I1984" s="20"/>
      <c r="J1984" s="20"/>
      <c r="K1984" s="20"/>
      <c r="L1984" s="20"/>
      <c r="M1984" s="20"/>
      <c r="N1984" s="20"/>
      <c r="O1984" s="20"/>
      <c r="P1984" s="20"/>
      <c r="Q1984" s="20"/>
      <c r="R1984" s="20"/>
      <c r="S1984" s="20"/>
      <c r="T1984" s="20"/>
      <c r="U1984" s="20"/>
      <c r="V1984" s="20"/>
      <c r="W1984" s="20"/>
      <c r="X1984" s="20"/>
      <c r="Y1984" s="20"/>
      <c r="Z1984" s="20"/>
      <c r="AA1984" s="20"/>
    </row>
    <row r="1985" spans="1:27" ht="69.599999999999994" x14ac:dyDescent="0.25">
      <c r="A1985" s="16"/>
      <c r="B1985" s="20" t="b">
        <v>0</v>
      </c>
      <c r="C1985" s="20">
        <v>100</v>
      </c>
      <c r="D1985" s="2" t="s">
        <v>4184</v>
      </c>
      <c r="E1985" s="2" t="s">
        <v>4010</v>
      </c>
      <c r="F1985" s="20" t="s">
        <v>59</v>
      </c>
      <c r="G1985" s="2" t="s">
        <v>4185</v>
      </c>
      <c r="H1985" s="16"/>
      <c r="I1985" s="20"/>
      <c r="J1985" s="20"/>
      <c r="K1985" s="20"/>
      <c r="L1985" s="20"/>
      <c r="M1985" s="20"/>
      <c r="N1985" s="20"/>
      <c r="O1985" s="20"/>
      <c r="P1985" s="20"/>
      <c r="Q1985" s="20"/>
      <c r="R1985" s="20"/>
      <c r="S1985" s="20"/>
      <c r="T1985" s="20"/>
      <c r="U1985" s="20"/>
      <c r="V1985" s="20"/>
      <c r="W1985" s="20"/>
      <c r="X1985" s="20"/>
      <c r="Y1985" s="20"/>
      <c r="Z1985" s="20"/>
      <c r="AA1985" s="20"/>
    </row>
    <row r="1986" spans="1:27" ht="174" x14ac:dyDescent="0.25">
      <c r="A1986" s="16"/>
      <c r="B1986" s="20" t="b">
        <v>0</v>
      </c>
      <c r="C1986" s="20">
        <v>200</v>
      </c>
      <c r="D1986" s="2" t="s">
        <v>4186</v>
      </c>
      <c r="E1986" s="2" t="s">
        <v>4010</v>
      </c>
      <c r="F1986" s="20" t="s">
        <v>64</v>
      </c>
      <c r="G1986" s="2" t="s">
        <v>4187</v>
      </c>
      <c r="H1986" s="16"/>
      <c r="I1986" s="20"/>
      <c r="J1986" s="20"/>
      <c r="K1986" s="20"/>
      <c r="L1986" s="20"/>
      <c r="M1986" s="20"/>
      <c r="N1986" s="20"/>
      <c r="O1986" s="20"/>
      <c r="P1986" s="20"/>
      <c r="Q1986" s="20"/>
      <c r="R1986" s="20"/>
      <c r="S1986" s="20"/>
      <c r="T1986" s="20"/>
      <c r="U1986" s="20"/>
      <c r="V1986" s="20"/>
      <c r="W1986" s="20"/>
      <c r="X1986" s="20"/>
      <c r="Y1986" s="20"/>
      <c r="Z1986" s="20"/>
      <c r="AA1986" s="20"/>
    </row>
    <row r="1987" spans="1:27" ht="121.8" x14ac:dyDescent="0.25">
      <c r="A1987" s="16"/>
      <c r="B1987" s="20" t="b">
        <v>0</v>
      </c>
      <c r="C1987" s="20">
        <v>400</v>
      </c>
      <c r="D1987" s="2" t="s">
        <v>4188</v>
      </c>
      <c r="E1987" s="2" t="s">
        <v>4010</v>
      </c>
      <c r="F1987" s="20" t="s">
        <v>58</v>
      </c>
      <c r="G1987" s="2" t="s">
        <v>4189</v>
      </c>
      <c r="H1987" s="16"/>
      <c r="I1987" s="20"/>
      <c r="J1987" s="20"/>
      <c r="K1987" s="20"/>
      <c r="L1987" s="20"/>
      <c r="M1987" s="20"/>
      <c r="N1987" s="20"/>
      <c r="O1987" s="20"/>
      <c r="P1987" s="20"/>
      <c r="Q1987" s="20"/>
      <c r="R1987" s="20"/>
      <c r="S1987" s="20"/>
      <c r="T1987" s="20"/>
      <c r="U1987" s="20"/>
      <c r="V1987" s="20"/>
      <c r="W1987" s="20"/>
      <c r="X1987" s="20"/>
      <c r="Y1987" s="20"/>
      <c r="Z1987" s="20"/>
      <c r="AA1987" s="20"/>
    </row>
    <row r="1988" spans="1:27" ht="156.6" x14ac:dyDescent="0.25">
      <c r="A1988" s="16"/>
      <c r="B1988" s="20" t="b">
        <v>0</v>
      </c>
      <c r="C1988" s="20">
        <v>600</v>
      </c>
      <c r="D1988" s="2" t="s">
        <v>4190</v>
      </c>
      <c r="E1988" s="2" t="s">
        <v>4010</v>
      </c>
      <c r="F1988" s="20" t="s">
        <v>64</v>
      </c>
      <c r="G1988" s="2" t="s">
        <v>4191</v>
      </c>
      <c r="H1988" s="16"/>
      <c r="I1988" s="20"/>
      <c r="J1988" s="20"/>
      <c r="K1988" s="20"/>
      <c r="L1988" s="20"/>
      <c r="M1988" s="20"/>
      <c r="N1988" s="20"/>
      <c r="O1988" s="20"/>
      <c r="P1988" s="20"/>
      <c r="Q1988" s="20"/>
      <c r="R1988" s="20"/>
      <c r="S1988" s="20"/>
      <c r="T1988" s="20"/>
      <c r="U1988" s="20"/>
      <c r="V1988" s="20"/>
      <c r="W1988" s="20"/>
      <c r="X1988" s="20"/>
      <c r="Y1988" s="20"/>
      <c r="Z1988" s="20"/>
      <c r="AA1988" s="20"/>
    </row>
    <row r="1989" spans="1:27" ht="87" x14ac:dyDescent="0.25">
      <c r="A1989" s="16"/>
      <c r="B1989" s="20" t="b">
        <v>0</v>
      </c>
      <c r="C1989" s="20">
        <v>800</v>
      </c>
      <c r="D1989" s="2" t="s">
        <v>4192</v>
      </c>
      <c r="E1989" s="2" t="s">
        <v>4010</v>
      </c>
      <c r="F1989" s="20" t="s">
        <v>64</v>
      </c>
      <c r="G1989" s="2" t="s">
        <v>4193</v>
      </c>
      <c r="H1989" s="16"/>
      <c r="I1989" s="20"/>
      <c r="J1989" s="20"/>
      <c r="K1989" s="20"/>
      <c r="L1989" s="20"/>
      <c r="M1989" s="20"/>
      <c r="N1989" s="20"/>
      <c r="O1989" s="20"/>
      <c r="P1989" s="20"/>
      <c r="Q1989" s="20"/>
      <c r="R1989" s="20"/>
      <c r="S1989" s="20"/>
      <c r="T1989" s="20"/>
      <c r="U1989" s="20"/>
      <c r="V1989" s="20"/>
      <c r="W1989" s="20"/>
      <c r="X1989" s="20"/>
      <c r="Y1989" s="20"/>
      <c r="Z1989" s="20"/>
      <c r="AA1989" s="20"/>
    </row>
    <row r="1990" spans="1:27" ht="87" x14ac:dyDescent="0.25">
      <c r="A1990" s="16"/>
      <c r="B1990" s="20" t="b">
        <v>0</v>
      </c>
      <c r="C1990" s="20">
        <v>100</v>
      </c>
      <c r="D1990" s="2" t="s">
        <v>4194</v>
      </c>
      <c r="E1990" s="2" t="s">
        <v>4195</v>
      </c>
      <c r="F1990" s="20" t="s">
        <v>52</v>
      </c>
      <c r="G1990" s="2" t="s">
        <v>4196</v>
      </c>
      <c r="H1990" s="16"/>
      <c r="I1990" s="20"/>
      <c r="J1990" s="20"/>
      <c r="K1990" s="20"/>
      <c r="L1990" s="20"/>
      <c r="M1990" s="20"/>
      <c r="N1990" s="20"/>
      <c r="O1990" s="20"/>
      <c r="P1990" s="20"/>
      <c r="Q1990" s="20"/>
      <c r="R1990" s="20"/>
      <c r="S1990" s="20"/>
      <c r="T1990" s="20"/>
      <c r="U1990" s="20"/>
      <c r="V1990" s="20"/>
      <c r="W1990" s="20"/>
      <c r="X1990" s="20"/>
      <c r="Y1990" s="20"/>
      <c r="Z1990" s="20"/>
      <c r="AA1990" s="20"/>
    </row>
    <row r="1991" spans="1:27" ht="121.8" x14ac:dyDescent="0.25">
      <c r="A1991" s="16"/>
      <c r="B1991" s="20" t="b">
        <v>0</v>
      </c>
      <c r="C1991" s="20">
        <v>300</v>
      </c>
      <c r="D1991" s="2" t="s">
        <v>4197</v>
      </c>
      <c r="E1991" s="2" t="s">
        <v>4195</v>
      </c>
      <c r="F1991" s="20" t="s">
        <v>52</v>
      </c>
      <c r="G1991" s="2" t="s">
        <v>4198</v>
      </c>
      <c r="H1991" s="16"/>
      <c r="I1991" s="20"/>
      <c r="J1991" s="20"/>
      <c r="K1991" s="20"/>
      <c r="L1991" s="20"/>
      <c r="M1991" s="20"/>
      <c r="N1991" s="20"/>
      <c r="O1991" s="20"/>
      <c r="P1991" s="20"/>
      <c r="Q1991" s="20"/>
      <c r="R1991" s="20"/>
      <c r="S1991" s="20"/>
      <c r="T1991" s="20"/>
      <c r="U1991" s="20"/>
      <c r="V1991" s="20"/>
      <c r="W1991" s="20"/>
      <c r="X1991" s="20"/>
      <c r="Y1991" s="20"/>
      <c r="Z1991" s="20"/>
      <c r="AA1991" s="20"/>
    </row>
    <row r="1992" spans="1:27" ht="87" x14ac:dyDescent="0.25">
      <c r="A1992" s="16"/>
      <c r="B1992" s="20" t="b">
        <v>0</v>
      </c>
      <c r="C1992" s="20">
        <v>0</v>
      </c>
      <c r="D1992" s="2" t="s">
        <v>4199</v>
      </c>
      <c r="E1992" s="2" t="s">
        <v>4195</v>
      </c>
      <c r="F1992" s="20" t="s">
        <v>53</v>
      </c>
      <c r="G1992" s="2" t="s">
        <v>4200</v>
      </c>
      <c r="H1992" s="16"/>
      <c r="I1992" s="20"/>
      <c r="J1992" s="20"/>
      <c r="K1992" s="20"/>
      <c r="L1992" s="20"/>
      <c r="M1992" s="20"/>
      <c r="N1992" s="20"/>
      <c r="O1992" s="20"/>
      <c r="P1992" s="20"/>
      <c r="Q1992" s="20"/>
      <c r="R1992" s="20"/>
      <c r="S1992" s="20"/>
      <c r="T1992" s="20"/>
      <c r="U1992" s="20"/>
      <c r="V1992" s="20"/>
      <c r="W1992" s="20"/>
      <c r="X1992" s="20"/>
      <c r="Y1992" s="20"/>
      <c r="Z1992" s="20"/>
      <c r="AA1992" s="20"/>
    </row>
    <row r="1993" spans="1:27" ht="121.8" x14ac:dyDescent="0.25">
      <c r="A1993" s="16"/>
      <c r="B1993" s="20" t="b">
        <v>0</v>
      </c>
      <c r="C1993" s="20">
        <v>100</v>
      </c>
      <c r="D1993" s="2" t="s">
        <v>4201</v>
      </c>
      <c r="E1993" s="2" t="s">
        <v>4195</v>
      </c>
      <c r="F1993" s="20" t="s">
        <v>60</v>
      </c>
      <c r="G1993" s="2" t="s">
        <v>4202</v>
      </c>
      <c r="H1993" s="16"/>
      <c r="I1993" s="20"/>
      <c r="J1993" s="20"/>
      <c r="K1993" s="20"/>
      <c r="L1993" s="20"/>
      <c r="M1993" s="20"/>
      <c r="N1993" s="20"/>
      <c r="O1993" s="20"/>
      <c r="P1993" s="20"/>
      <c r="Q1993" s="20"/>
      <c r="R1993" s="20"/>
      <c r="S1993" s="20"/>
      <c r="T1993" s="20"/>
      <c r="U1993" s="20"/>
      <c r="V1993" s="20"/>
      <c r="W1993" s="20"/>
      <c r="X1993" s="20"/>
      <c r="Y1993" s="20"/>
      <c r="Z1993" s="20"/>
      <c r="AA1993" s="20"/>
    </row>
    <row r="1994" spans="1:27" ht="69.599999999999994" x14ac:dyDescent="0.25">
      <c r="A1994" s="16"/>
      <c r="B1994" s="20" t="b">
        <v>0</v>
      </c>
      <c r="C1994" s="20">
        <v>300</v>
      </c>
      <c r="D1994" s="2" t="s">
        <v>4203</v>
      </c>
      <c r="E1994" s="2" t="s">
        <v>4195</v>
      </c>
      <c r="F1994" s="20" t="s">
        <v>60</v>
      </c>
      <c r="G1994" s="2" t="s">
        <v>4204</v>
      </c>
      <c r="H1994" s="16"/>
      <c r="I1994" s="20"/>
      <c r="J1994" s="20"/>
      <c r="K1994" s="20"/>
      <c r="L1994" s="20"/>
      <c r="M1994" s="20"/>
      <c r="N1994" s="20"/>
      <c r="O1994" s="20"/>
      <c r="P1994" s="20"/>
      <c r="Q1994" s="20"/>
      <c r="R1994" s="20"/>
      <c r="S1994" s="20"/>
      <c r="T1994" s="20"/>
      <c r="U1994" s="20"/>
      <c r="V1994" s="20"/>
      <c r="W1994" s="20"/>
      <c r="X1994" s="20"/>
      <c r="Y1994" s="20"/>
      <c r="Z1994" s="20"/>
      <c r="AA1994" s="20"/>
    </row>
    <row r="1995" spans="1:27" ht="104.4" x14ac:dyDescent="0.25">
      <c r="A1995" s="16"/>
      <c r="B1995" s="20" t="b">
        <v>0</v>
      </c>
      <c r="C1995" s="20">
        <v>100</v>
      </c>
      <c r="D1995" s="2" t="s">
        <v>4205</v>
      </c>
      <c r="E1995" s="2" t="s">
        <v>4195</v>
      </c>
      <c r="F1995" s="20" t="s">
        <v>60</v>
      </c>
      <c r="G1995" s="2" t="s">
        <v>4206</v>
      </c>
      <c r="H1995" s="16"/>
      <c r="I1995" s="20"/>
      <c r="J1995" s="20"/>
      <c r="K1995" s="20"/>
      <c r="L1995" s="20"/>
      <c r="M1995" s="20"/>
      <c r="N1995" s="20"/>
      <c r="O1995" s="20"/>
      <c r="P1995" s="20"/>
      <c r="Q1995" s="20"/>
      <c r="R1995" s="20"/>
      <c r="S1995" s="20"/>
      <c r="T1995" s="20"/>
      <c r="U1995" s="20"/>
      <c r="V1995" s="20"/>
      <c r="W1995" s="20"/>
      <c r="X1995" s="20"/>
      <c r="Y1995" s="20"/>
      <c r="Z1995" s="20"/>
      <c r="AA1995" s="20"/>
    </row>
    <row r="1996" spans="1:27" ht="104.4" x14ac:dyDescent="0.25">
      <c r="A1996" s="16"/>
      <c r="B1996" s="20" t="b">
        <v>0</v>
      </c>
      <c r="C1996" s="20">
        <v>100</v>
      </c>
      <c r="D1996" s="2" t="s">
        <v>4207</v>
      </c>
      <c r="E1996" s="2" t="s">
        <v>4195</v>
      </c>
      <c r="F1996" s="20" t="s">
        <v>60</v>
      </c>
      <c r="G1996" s="2" t="s">
        <v>4208</v>
      </c>
      <c r="H1996" s="16"/>
      <c r="I1996" s="20"/>
      <c r="J1996" s="20"/>
      <c r="K1996" s="20"/>
      <c r="L1996" s="20"/>
      <c r="M1996" s="20"/>
      <c r="N1996" s="20"/>
      <c r="O1996" s="20"/>
      <c r="P1996" s="20"/>
      <c r="Q1996" s="20"/>
      <c r="R1996" s="20"/>
      <c r="S1996" s="20"/>
      <c r="T1996" s="20"/>
      <c r="U1996" s="20"/>
      <c r="V1996" s="20"/>
      <c r="W1996" s="20"/>
      <c r="X1996" s="20"/>
      <c r="Y1996" s="20"/>
      <c r="Z1996" s="20"/>
      <c r="AA1996" s="20"/>
    </row>
    <row r="1997" spans="1:27" ht="69.599999999999994" x14ac:dyDescent="0.25">
      <c r="A1997" s="16"/>
      <c r="B1997" s="20" t="b">
        <v>0</v>
      </c>
      <c r="C1997" s="20">
        <v>100</v>
      </c>
      <c r="D1997" s="2" t="s">
        <v>4209</v>
      </c>
      <c r="E1997" s="2" t="s">
        <v>4195</v>
      </c>
      <c r="F1997" s="20" t="s">
        <v>63</v>
      </c>
      <c r="G1997" s="2" t="s">
        <v>4210</v>
      </c>
      <c r="H1997" s="16"/>
      <c r="I1997" s="20"/>
      <c r="J1997" s="20"/>
      <c r="K1997" s="20"/>
      <c r="L1997" s="20"/>
      <c r="M1997" s="20"/>
      <c r="N1997" s="20"/>
      <c r="O1997" s="20"/>
      <c r="P1997" s="20"/>
      <c r="Q1997" s="20"/>
      <c r="R1997" s="20"/>
      <c r="S1997" s="20"/>
      <c r="T1997" s="20"/>
      <c r="U1997" s="20"/>
      <c r="V1997" s="20"/>
      <c r="W1997" s="20"/>
      <c r="X1997" s="20"/>
      <c r="Y1997" s="20"/>
      <c r="Z1997" s="20"/>
      <c r="AA1997" s="20"/>
    </row>
    <row r="1998" spans="1:27" ht="87" x14ac:dyDescent="0.25">
      <c r="A1998" s="16"/>
      <c r="B1998" s="20" t="b">
        <v>0</v>
      </c>
      <c r="C1998" s="20">
        <v>100</v>
      </c>
      <c r="D1998" s="2" t="s">
        <v>4211</v>
      </c>
      <c r="E1998" s="2" t="s">
        <v>4195</v>
      </c>
      <c r="F1998" s="20" t="s">
        <v>60</v>
      </c>
      <c r="G1998" s="2" t="s">
        <v>4212</v>
      </c>
      <c r="H1998" s="16"/>
      <c r="I1998" s="20"/>
      <c r="J1998" s="20"/>
      <c r="K1998" s="20"/>
      <c r="L1998" s="20"/>
      <c r="M1998" s="20"/>
      <c r="N1998" s="20"/>
      <c r="O1998" s="20"/>
      <c r="P1998" s="20"/>
      <c r="Q1998" s="20"/>
      <c r="R1998" s="20"/>
      <c r="S1998" s="20"/>
      <c r="T1998" s="20"/>
      <c r="U1998" s="20"/>
      <c r="V1998" s="20"/>
      <c r="W1998" s="20"/>
      <c r="X1998" s="20"/>
      <c r="Y1998" s="20"/>
      <c r="Z1998" s="20"/>
      <c r="AA1998" s="20"/>
    </row>
    <row r="1999" spans="1:27" ht="69.599999999999994" x14ac:dyDescent="0.25">
      <c r="A1999" s="16"/>
      <c r="B1999" s="20" t="b">
        <v>0</v>
      </c>
      <c r="C1999" s="20">
        <v>100</v>
      </c>
      <c r="D1999" s="2" t="s">
        <v>4213</v>
      </c>
      <c r="E1999" s="2" t="s">
        <v>4195</v>
      </c>
      <c r="F1999" s="20" t="s">
        <v>59</v>
      </c>
      <c r="G1999" s="2" t="s">
        <v>4214</v>
      </c>
      <c r="H1999" s="16"/>
      <c r="I1999" s="20"/>
      <c r="J1999" s="20"/>
      <c r="K1999" s="20"/>
      <c r="L1999" s="20"/>
      <c r="M1999" s="20"/>
      <c r="N1999" s="20"/>
      <c r="O1999" s="20"/>
      <c r="P1999" s="20"/>
      <c r="Q1999" s="20"/>
      <c r="R1999" s="20"/>
      <c r="S1999" s="20"/>
      <c r="T1999" s="20"/>
      <c r="U1999" s="20"/>
      <c r="V1999" s="20"/>
      <c r="W1999" s="20"/>
      <c r="X1999" s="20"/>
      <c r="Y1999" s="20"/>
      <c r="Z1999" s="20"/>
      <c r="AA1999" s="20"/>
    </row>
    <row r="2000" spans="1:27" ht="104.4" x14ac:dyDescent="0.25">
      <c r="A2000" s="16"/>
      <c r="B2000" s="20" t="b">
        <v>0</v>
      </c>
      <c r="C2000" s="20">
        <v>100</v>
      </c>
      <c r="D2000" s="2" t="s">
        <v>4215</v>
      </c>
      <c r="E2000" s="2" t="s">
        <v>4195</v>
      </c>
      <c r="F2000" s="20" t="s">
        <v>59</v>
      </c>
      <c r="G2000" s="2" t="s">
        <v>4216</v>
      </c>
      <c r="H2000" s="16"/>
      <c r="I2000" s="20"/>
      <c r="J2000" s="20"/>
      <c r="K2000" s="20"/>
      <c r="L2000" s="20"/>
      <c r="M2000" s="20"/>
      <c r="N2000" s="20"/>
      <c r="O2000" s="20"/>
      <c r="P2000" s="20"/>
      <c r="Q2000" s="20"/>
      <c r="R2000" s="20"/>
      <c r="S2000" s="20"/>
      <c r="T2000" s="20"/>
      <c r="U2000" s="20"/>
      <c r="V2000" s="20"/>
      <c r="W2000" s="20"/>
      <c r="X2000" s="20"/>
      <c r="Y2000" s="20"/>
      <c r="Z2000" s="20"/>
      <c r="AA2000" s="20"/>
    </row>
    <row r="2001" spans="1:27" ht="104.4" x14ac:dyDescent="0.25">
      <c r="A2001" s="16"/>
      <c r="B2001" s="20" t="b">
        <v>0</v>
      </c>
      <c r="C2001" s="20">
        <v>200</v>
      </c>
      <c r="D2001" s="2" t="s">
        <v>657</v>
      </c>
      <c r="E2001" s="2" t="s">
        <v>4195</v>
      </c>
      <c r="F2001" s="20" t="s">
        <v>53</v>
      </c>
      <c r="G2001" s="2" t="s">
        <v>4217</v>
      </c>
      <c r="H2001" s="16"/>
      <c r="I2001" s="20"/>
      <c r="J2001" s="20"/>
      <c r="K2001" s="20"/>
      <c r="L2001" s="20"/>
      <c r="M2001" s="20"/>
      <c r="N2001" s="20"/>
      <c r="O2001" s="20"/>
      <c r="P2001" s="20"/>
      <c r="Q2001" s="20"/>
      <c r="R2001" s="20"/>
      <c r="S2001" s="20"/>
      <c r="T2001" s="20"/>
      <c r="U2001" s="20"/>
      <c r="V2001" s="20"/>
      <c r="W2001" s="20"/>
      <c r="X2001" s="20"/>
      <c r="Y2001" s="20"/>
      <c r="Z2001" s="20"/>
      <c r="AA2001" s="20"/>
    </row>
    <row r="2002" spans="1:27" ht="139.19999999999999" x14ac:dyDescent="0.25">
      <c r="A2002" s="16"/>
      <c r="B2002" s="20" t="b">
        <v>0</v>
      </c>
      <c r="C2002" s="20">
        <v>200</v>
      </c>
      <c r="D2002" s="2" t="s">
        <v>4218</v>
      </c>
      <c r="E2002" s="2" t="s">
        <v>4195</v>
      </c>
      <c r="F2002" s="20" t="s">
        <v>60</v>
      </c>
      <c r="G2002" s="2" t="s">
        <v>4219</v>
      </c>
      <c r="H2002" s="16"/>
      <c r="I2002" s="20"/>
      <c r="J2002" s="20"/>
      <c r="K2002" s="20"/>
      <c r="L2002" s="20"/>
      <c r="M2002" s="20"/>
      <c r="N2002" s="20"/>
      <c r="O2002" s="20"/>
      <c r="P2002" s="20"/>
      <c r="Q2002" s="20"/>
      <c r="R2002" s="20"/>
      <c r="S2002" s="20"/>
      <c r="T2002" s="20"/>
      <c r="U2002" s="20"/>
      <c r="V2002" s="20"/>
      <c r="W2002" s="20"/>
      <c r="X2002" s="20"/>
      <c r="Y2002" s="20"/>
      <c r="Z2002" s="20"/>
      <c r="AA2002" s="20"/>
    </row>
    <row r="2003" spans="1:27" ht="69.599999999999994" x14ac:dyDescent="0.25">
      <c r="A2003" s="16"/>
      <c r="B2003" s="20" t="b">
        <v>0</v>
      </c>
      <c r="C2003" s="20">
        <v>200</v>
      </c>
      <c r="D2003" s="2" t="s">
        <v>4220</v>
      </c>
      <c r="E2003" s="2" t="s">
        <v>4195</v>
      </c>
      <c r="F2003" s="20" t="s">
        <v>56</v>
      </c>
      <c r="G2003" s="2" t="s">
        <v>4221</v>
      </c>
      <c r="H2003" s="16"/>
      <c r="I2003" s="20"/>
      <c r="J2003" s="20"/>
      <c r="K2003" s="20"/>
      <c r="L2003" s="20"/>
      <c r="M2003" s="20"/>
      <c r="N2003" s="20"/>
      <c r="O2003" s="20"/>
      <c r="P2003" s="20"/>
      <c r="Q2003" s="20"/>
      <c r="R2003" s="20"/>
      <c r="S2003" s="20"/>
      <c r="T2003" s="20"/>
      <c r="U2003" s="20"/>
      <c r="V2003" s="20"/>
      <c r="W2003" s="20"/>
      <c r="X2003" s="20"/>
      <c r="Y2003" s="20"/>
      <c r="Z2003" s="20"/>
      <c r="AA2003" s="20"/>
    </row>
    <row r="2004" spans="1:27" ht="104.4" x14ac:dyDescent="0.25">
      <c r="A2004" s="16"/>
      <c r="B2004" s="20" t="b">
        <v>0</v>
      </c>
      <c r="C2004" s="20">
        <v>200</v>
      </c>
      <c r="D2004" s="2" t="s">
        <v>4222</v>
      </c>
      <c r="E2004" s="2" t="s">
        <v>4195</v>
      </c>
      <c r="F2004" s="20" t="s">
        <v>57</v>
      </c>
      <c r="G2004" s="2" t="s">
        <v>4223</v>
      </c>
      <c r="H2004" s="16"/>
      <c r="I2004" s="20"/>
      <c r="J2004" s="20"/>
      <c r="K2004" s="20"/>
      <c r="L2004" s="20"/>
      <c r="M2004" s="20"/>
      <c r="N2004" s="20"/>
      <c r="O2004" s="20"/>
      <c r="P2004" s="20"/>
      <c r="Q2004" s="20"/>
      <c r="R2004" s="20"/>
      <c r="S2004" s="20"/>
      <c r="T2004" s="20"/>
      <c r="U2004" s="20"/>
      <c r="V2004" s="20"/>
      <c r="W2004" s="20"/>
      <c r="X2004" s="20"/>
      <c r="Y2004" s="20"/>
      <c r="Z2004" s="20"/>
      <c r="AA2004" s="20"/>
    </row>
    <row r="2005" spans="1:27" ht="104.4" x14ac:dyDescent="0.25">
      <c r="A2005" s="16"/>
      <c r="B2005" s="20" t="b">
        <v>0</v>
      </c>
      <c r="C2005" s="20">
        <v>200</v>
      </c>
      <c r="D2005" s="2" t="s">
        <v>4224</v>
      </c>
      <c r="E2005" s="2" t="s">
        <v>4195</v>
      </c>
      <c r="F2005" s="20" t="s">
        <v>59</v>
      </c>
      <c r="G2005" s="2" t="s">
        <v>4225</v>
      </c>
      <c r="H2005" s="16"/>
      <c r="I2005" s="20"/>
      <c r="J2005" s="20"/>
      <c r="K2005" s="20"/>
      <c r="L2005" s="20"/>
      <c r="M2005" s="20"/>
      <c r="N2005" s="20"/>
      <c r="O2005" s="20"/>
      <c r="P2005" s="20"/>
      <c r="Q2005" s="20"/>
      <c r="R2005" s="20"/>
      <c r="S2005" s="20"/>
      <c r="T2005" s="20"/>
      <c r="U2005" s="20"/>
      <c r="V2005" s="20"/>
      <c r="W2005" s="20"/>
      <c r="X2005" s="20"/>
      <c r="Y2005" s="20"/>
      <c r="Z2005" s="20"/>
      <c r="AA2005" s="20"/>
    </row>
    <row r="2006" spans="1:27" ht="104.4" x14ac:dyDescent="0.25">
      <c r="A2006" s="16"/>
      <c r="B2006" s="20" t="b">
        <v>0</v>
      </c>
      <c r="C2006" s="20">
        <v>200</v>
      </c>
      <c r="D2006" s="2" t="s">
        <v>4226</v>
      </c>
      <c r="E2006" s="2" t="s">
        <v>4195</v>
      </c>
      <c r="F2006" s="20" t="s">
        <v>59</v>
      </c>
      <c r="G2006" s="2" t="s">
        <v>4227</v>
      </c>
      <c r="H2006" s="16"/>
      <c r="I2006" s="20"/>
      <c r="J2006" s="20"/>
      <c r="K2006" s="20"/>
      <c r="L2006" s="20"/>
      <c r="M2006" s="20"/>
      <c r="N2006" s="20"/>
      <c r="O2006" s="20"/>
      <c r="P2006" s="20"/>
      <c r="Q2006" s="20"/>
      <c r="R2006" s="20"/>
      <c r="S2006" s="20"/>
      <c r="T2006" s="20"/>
      <c r="U2006" s="20"/>
      <c r="V2006" s="20"/>
      <c r="W2006" s="20"/>
      <c r="X2006" s="20"/>
      <c r="Y2006" s="20"/>
      <c r="Z2006" s="20"/>
      <c r="AA2006" s="20"/>
    </row>
    <row r="2007" spans="1:27" ht="87" x14ac:dyDescent="0.25">
      <c r="A2007" s="16"/>
      <c r="B2007" s="20" t="b">
        <v>0</v>
      </c>
      <c r="C2007" s="20">
        <v>200</v>
      </c>
      <c r="D2007" s="2" t="s">
        <v>4228</v>
      </c>
      <c r="E2007" s="2" t="s">
        <v>4195</v>
      </c>
      <c r="F2007" s="20" t="s">
        <v>58</v>
      </c>
      <c r="G2007" s="2" t="s">
        <v>4229</v>
      </c>
      <c r="H2007" s="16"/>
      <c r="I2007" s="20"/>
      <c r="J2007" s="20"/>
      <c r="K2007" s="20"/>
      <c r="L2007" s="20"/>
      <c r="M2007" s="20"/>
      <c r="N2007" s="20"/>
      <c r="O2007" s="20"/>
      <c r="P2007" s="20"/>
      <c r="Q2007" s="20"/>
      <c r="R2007" s="20"/>
      <c r="S2007" s="20"/>
      <c r="T2007" s="20"/>
      <c r="U2007" s="20"/>
      <c r="V2007" s="20"/>
      <c r="W2007" s="20"/>
      <c r="X2007" s="20"/>
      <c r="Y2007" s="20"/>
      <c r="Z2007" s="20"/>
      <c r="AA2007" s="20"/>
    </row>
    <row r="2008" spans="1:27" ht="121.8" x14ac:dyDescent="0.25">
      <c r="A2008" s="16"/>
      <c r="B2008" s="20" t="b">
        <v>0</v>
      </c>
      <c r="C2008" s="20">
        <v>400</v>
      </c>
      <c r="D2008" s="2" t="s">
        <v>4230</v>
      </c>
      <c r="E2008" s="2" t="s">
        <v>4195</v>
      </c>
      <c r="F2008" s="20" t="s">
        <v>63</v>
      </c>
      <c r="G2008" s="2" t="s">
        <v>4231</v>
      </c>
      <c r="H2008" s="16"/>
      <c r="I2008" s="20"/>
      <c r="J2008" s="20"/>
      <c r="K2008" s="20"/>
      <c r="L2008" s="20"/>
      <c r="M2008" s="20"/>
      <c r="N2008" s="20"/>
      <c r="O2008" s="20"/>
      <c r="P2008" s="20"/>
      <c r="Q2008" s="20"/>
      <c r="R2008" s="20"/>
      <c r="S2008" s="20"/>
      <c r="T2008" s="20"/>
      <c r="U2008" s="20"/>
      <c r="V2008" s="20"/>
      <c r="W2008" s="20"/>
      <c r="X2008" s="20"/>
      <c r="Y2008" s="20"/>
      <c r="Z2008" s="20"/>
      <c r="AA2008" s="20"/>
    </row>
    <row r="2009" spans="1:27" ht="87" x14ac:dyDescent="0.25">
      <c r="A2009" s="16"/>
      <c r="B2009" s="20" t="b">
        <v>0</v>
      </c>
      <c r="C2009" s="20">
        <v>400</v>
      </c>
      <c r="D2009" s="2" t="s">
        <v>4232</v>
      </c>
      <c r="E2009" s="2" t="s">
        <v>4195</v>
      </c>
      <c r="F2009" s="20" t="s">
        <v>53</v>
      </c>
      <c r="G2009" s="2" t="s">
        <v>4233</v>
      </c>
      <c r="H2009" s="16"/>
      <c r="I2009" s="20"/>
      <c r="J2009" s="20"/>
      <c r="K2009" s="20"/>
      <c r="L2009" s="20"/>
      <c r="M2009" s="20"/>
      <c r="N2009" s="20"/>
      <c r="O2009" s="20"/>
      <c r="P2009" s="20"/>
      <c r="Q2009" s="20"/>
      <c r="R2009" s="20"/>
      <c r="S2009" s="20"/>
      <c r="T2009" s="20"/>
      <c r="U2009" s="20"/>
      <c r="V2009" s="20"/>
      <c r="W2009" s="20"/>
      <c r="X2009" s="20"/>
      <c r="Y2009" s="20"/>
      <c r="Z2009" s="20"/>
      <c r="AA2009" s="20"/>
    </row>
    <row r="2010" spans="1:27" ht="121.8" x14ac:dyDescent="0.25">
      <c r="A2010" s="16"/>
      <c r="B2010" s="20" t="b">
        <v>0</v>
      </c>
      <c r="C2010" s="20">
        <v>400</v>
      </c>
      <c r="D2010" s="2" t="s">
        <v>4234</v>
      </c>
      <c r="E2010" s="2" t="s">
        <v>4195</v>
      </c>
      <c r="F2010" s="20" t="s">
        <v>64</v>
      </c>
      <c r="G2010" s="2" t="s">
        <v>4235</v>
      </c>
      <c r="H2010" s="16"/>
      <c r="I2010" s="20"/>
      <c r="J2010" s="20"/>
      <c r="K2010" s="20"/>
      <c r="L2010" s="20"/>
      <c r="M2010" s="20"/>
      <c r="N2010" s="20"/>
      <c r="O2010" s="20"/>
      <c r="P2010" s="20"/>
      <c r="Q2010" s="20"/>
      <c r="R2010" s="20"/>
      <c r="S2010" s="20"/>
      <c r="T2010" s="20"/>
      <c r="U2010" s="20"/>
      <c r="V2010" s="20"/>
      <c r="W2010" s="20"/>
      <c r="X2010" s="20"/>
      <c r="Y2010" s="20"/>
      <c r="Z2010" s="20"/>
      <c r="AA2010" s="20"/>
    </row>
    <row r="2011" spans="1:27" ht="87" x14ac:dyDescent="0.25">
      <c r="A2011" s="16"/>
      <c r="B2011" s="20" t="b">
        <v>0</v>
      </c>
      <c r="C2011" s="20">
        <v>400</v>
      </c>
      <c r="D2011" s="2" t="s">
        <v>4236</v>
      </c>
      <c r="E2011" s="2" t="s">
        <v>4195</v>
      </c>
      <c r="F2011" s="20" t="s">
        <v>56</v>
      </c>
      <c r="G2011" s="2" t="s">
        <v>4237</v>
      </c>
      <c r="H2011" s="16"/>
      <c r="I2011" s="20"/>
      <c r="J2011" s="20"/>
      <c r="K2011" s="20"/>
      <c r="L2011" s="20"/>
      <c r="M2011" s="20"/>
      <c r="N2011" s="20"/>
      <c r="O2011" s="20"/>
      <c r="P2011" s="20"/>
      <c r="Q2011" s="20"/>
      <c r="R2011" s="20"/>
      <c r="S2011" s="20"/>
      <c r="T2011" s="20"/>
      <c r="U2011" s="20"/>
      <c r="V2011" s="20"/>
      <c r="W2011" s="20"/>
      <c r="X2011" s="20"/>
      <c r="Y2011" s="20"/>
      <c r="Z2011" s="20"/>
      <c r="AA2011" s="20"/>
    </row>
    <row r="2012" spans="1:27" ht="69.599999999999994" x14ac:dyDescent="0.25">
      <c r="A2012" s="16"/>
      <c r="B2012" s="20" t="b">
        <v>0</v>
      </c>
      <c r="C2012" s="20">
        <v>400</v>
      </c>
      <c r="D2012" s="2" t="s">
        <v>4238</v>
      </c>
      <c r="E2012" s="2" t="s">
        <v>4195</v>
      </c>
      <c r="F2012" s="20" t="s">
        <v>59</v>
      </c>
      <c r="G2012" s="2" t="s">
        <v>4239</v>
      </c>
      <c r="H2012" s="16"/>
      <c r="I2012" s="20"/>
      <c r="J2012" s="20"/>
      <c r="K2012" s="20"/>
      <c r="L2012" s="20"/>
      <c r="M2012" s="20"/>
      <c r="N2012" s="20"/>
      <c r="O2012" s="20"/>
      <c r="P2012" s="20"/>
      <c r="Q2012" s="20"/>
      <c r="R2012" s="20"/>
      <c r="S2012" s="20"/>
      <c r="T2012" s="20"/>
      <c r="U2012" s="20"/>
      <c r="V2012" s="20"/>
      <c r="W2012" s="20"/>
      <c r="X2012" s="20"/>
      <c r="Y2012" s="20"/>
      <c r="Z2012" s="20"/>
      <c r="AA2012" s="20"/>
    </row>
    <row r="2013" spans="1:27" ht="87" x14ac:dyDescent="0.25">
      <c r="A2013" s="16"/>
      <c r="B2013" s="20" t="b">
        <v>0</v>
      </c>
      <c r="C2013" s="20">
        <v>400</v>
      </c>
      <c r="D2013" s="2" t="s">
        <v>4240</v>
      </c>
      <c r="E2013" s="2" t="s">
        <v>4195</v>
      </c>
      <c r="F2013" s="20" t="s">
        <v>56</v>
      </c>
      <c r="G2013" s="2" t="s">
        <v>4241</v>
      </c>
      <c r="H2013" s="16"/>
      <c r="I2013" s="20"/>
      <c r="J2013" s="20"/>
      <c r="K2013" s="20"/>
      <c r="L2013" s="20"/>
      <c r="M2013" s="20"/>
      <c r="N2013" s="20"/>
      <c r="O2013" s="20"/>
      <c r="P2013" s="20"/>
      <c r="Q2013" s="20"/>
      <c r="R2013" s="20"/>
      <c r="S2013" s="20"/>
      <c r="T2013" s="20"/>
      <c r="U2013" s="20"/>
      <c r="V2013" s="20"/>
      <c r="W2013" s="20"/>
      <c r="X2013" s="20"/>
      <c r="Y2013" s="20"/>
      <c r="Z2013" s="20"/>
      <c r="AA2013" s="20"/>
    </row>
    <row r="2014" spans="1:27" ht="121.8" x14ac:dyDescent="0.25">
      <c r="A2014" s="16"/>
      <c r="B2014" s="20" t="b">
        <v>0</v>
      </c>
      <c r="C2014" s="20">
        <v>600</v>
      </c>
      <c r="D2014" s="2" t="s">
        <v>4242</v>
      </c>
      <c r="E2014" s="2" t="s">
        <v>4195</v>
      </c>
      <c r="F2014" s="20" t="s">
        <v>53</v>
      </c>
      <c r="G2014" s="2" t="s">
        <v>4243</v>
      </c>
      <c r="H2014" s="16"/>
      <c r="I2014" s="20"/>
      <c r="J2014" s="20"/>
      <c r="K2014" s="20"/>
      <c r="L2014" s="20"/>
      <c r="M2014" s="20"/>
      <c r="N2014" s="20"/>
      <c r="O2014" s="20"/>
      <c r="P2014" s="20"/>
      <c r="Q2014" s="20"/>
      <c r="R2014" s="20"/>
      <c r="S2014" s="20"/>
      <c r="T2014" s="20"/>
      <c r="U2014" s="20"/>
      <c r="V2014" s="20"/>
      <c r="W2014" s="20"/>
      <c r="X2014" s="20"/>
      <c r="Y2014" s="20"/>
      <c r="Z2014" s="20"/>
      <c r="AA2014" s="20"/>
    </row>
    <row r="2015" spans="1:27" ht="104.4" x14ac:dyDescent="0.25">
      <c r="A2015" s="16"/>
      <c r="B2015" s="20" t="b">
        <v>0</v>
      </c>
      <c r="C2015" s="20">
        <v>600</v>
      </c>
      <c r="D2015" s="2" t="s">
        <v>4244</v>
      </c>
      <c r="E2015" s="2" t="s">
        <v>4195</v>
      </c>
      <c r="F2015" s="20" t="s">
        <v>60</v>
      </c>
      <c r="G2015" s="2" t="s">
        <v>4245</v>
      </c>
      <c r="H2015" s="16"/>
      <c r="I2015" s="20"/>
      <c r="J2015" s="20"/>
      <c r="K2015" s="20"/>
      <c r="L2015" s="20"/>
      <c r="M2015" s="20"/>
      <c r="N2015" s="20"/>
      <c r="O2015" s="20"/>
      <c r="P2015" s="20"/>
      <c r="Q2015" s="20"/>
      <c r="R2015" s="20"/>
      <c r="S2015" s="20"/>
      <c r="T2015" s="20"/>
      <c r="U2015" s="20"/>
      <c r="V2015" s="20"/>
      <c r="W2015" s="20"/>
      <c r="X2015" s="20"/>
      <c r="Y2015" s="20"/>
      <c r="Z2015" s="20"/>
      <c r="AA2015" s="20"/>
    </row>
    <row r="2016" spans="1:27" ht="156.6" x14ac:dyDescent="0.25">
      <c r="A2016" s="16"/>
      <c r="B2016" s="20" t="b">
        <v>0</v>
      </c>
      <c r="C2016" s="20">
        <v>600</v>
      </c>
      <c r="D2016" s="2" t="s">
        <v>4246</v>
      </c>
      <c r="E2016" s="2" t="s">
        <v>4195</v>
      </c>
      <c r="F2016" s="20" t="s">
        <v>58</v>
      </c>
      <c r="G2016" s="2" t="s">
        <v>4247</v>
      </c>
      <c r="H2016" s="16"/>
      <c r="I2016" s="20"/>
      <c r="J2016" s="20"/>
      <c r="K2016" s="20"/>
      <c r="L2016" s="20"/>
      <c r="M2016" s="20"/>
      <c r="N2016" s="20"/>
      <c r="O2016" s="20"/>
      <c r="P2016" s="20"/>
      <c r="Q2016" s="20"/>
      <c r="R2016" s="20"/>
      <c r="S2016" s="20"/>
      <c r="T2016" s="20"/>
      <c r="U2016" s="20"/>
      <c r="V2016" s="20"/>
      <c r="W2016" s="20"/>
      <c r="X2016" s="20"/>
      <c r="Y2016" s="20"/>
      <c r="Z2016" s="20"/>
      <c r="AA2016" s="20"/>
    </row>
    <row r="2017" spans="1:27" ht="295.8" x14ac:dyDescent="0.25">
      <c r="A2017" s="16"/>
      <c r="B2017" s="20" t="b">
        <v>0</v>
      </c>
      <c r="C2017" s="20">
        <v>600</v>
      </c>
      <c r="D2017" s="2" t="s">
        <v>4248</v>
      </c>
      <c r="E2017" s="2" t="s">
        <v>4195</v>
      </c>
      <c r="F2017" s="20" t="s">
        <v>59</v>
      </c>
      <c r="G2017" s="2" t="s">
        <v>4249</v>
      </c>
      <c r="H2017" s="16"/>
      <c r="I2017" s="20"/>
      <c r="J2017" s="20"/>
      <c r="K2017" s="20"/>
      <c r="L2017" s="20"/>
      <c r="M2017" s="20"/>
      <c r="N2017" s="20"/>
      <c r="O2017" s="20"/>
      <c r="P2017" s="20"/>
      <c r="Q2017" s="20"/>
      <c r="R2017" s="20"/>
      <c r="S2017" s="20"/>
      <c r="T2017" s="20"/>
      <c r="U2017" s="20"/>
      <c r="V2017" s="20"/>
      <c r="W2017" s="20"/>
      <c r="X2017" s="20"/>
      <c r="Y2017" s="20"/>
      <c r="Z2017" s="20"/>
      <c r="AA2017" s="20"/>
    </row>
    <row r="2018" spans="1:27" ht="208.8" x14ac:dyDescent="0.25">
      <c r="A2018" s="16"/>
      <c r="B2018" s="20" t="b">
        <v>0</v>
      </c>
      <c r="C2018" s="20">
        <v>600</v>
      </c>
      <c r="D2018" s="2" t="s">
        <v>4250</v>
      </c>
      <c r="E2018" s="2" t="s">
        <v>4195</v>
      </c>
      <c r="F2018" s="20" t="s">
        <v>59</v>
      </c>
      <c r="G2018" s="2" t="s">
        <v>4251</v>
      </c>
      <c r="H2018" s="16"/>
      <c r="I2018" s="20"/>
      <c r="J2018" s="20"/>
      <c r="K2018" s="20"/>
      <c r="L2018" s="20"/>
      <c r="M2018" s="20"/>
      <c r="N2018" s="20"/>
      <c r="O2018" s="20"/>
      <c r="P2018" s="20"/>
      <c r="Q2018" s="20"/>
      <c r="R2018" s="20"/>
      <c r="S2018" s="20"/>
      <c r="T2018" s="20"/>
      <c r="U2018" s="20"/>
      <c r="V2018" s="20"/>
      <c r="W2018" s="20"/>
      <c r="X2018" s="20"/>
      <c r="Y2018" s="20"/>
      <c r="Z2018" s="20"/>
      <c r="AA2018" s="20"/>
    </row>
    <row r="2019" spans="1:27" ht="69.599999999999994" x14ac:dyDescent="0.25">
      <c r="A2019" s="16"/>
      <c r="B2019" s="20" t="b">
        <v>0</v>
      </c>
      <c r="C2019" s="20">
        <v>0</v>
      </c>
      <c r="D2019" s="2" t="s">
        <v>4252</v>
      </c>
      <c r="E2019" s="2" t="s">
        <v>4253</v>
      </c>
      <c r="F2019" s="20" t="s">
        <v>64</v>
      </c>
      <c r="G2019" s="2" t="s">
        <v>4254</v>
      </c>
      <c r="H2019" s="16"/>
      <c r="I2019" s="20"/>
      <c r="J2019" s="20"/>
      <c r="K2019" s="20"/>
      <c r="L2019" s="20"/>
      <c r="M2019" s="20"/>
      <c r="N2019" s="20"/>
      <c r="O2019" s="20"/>
      <c r="P2019" s="20"/>
      <c r="Q2019" s="20"/>
      <c r="R2019" s="20"/>
      <c r="S2019" s="20"/>
      <c r="T2019" s="20"/>
      <c r="U2019" s="20"/>
      <c r="V2019" s="20"/>
      <c r="W2019" s="20"/>
      <c r="X2019" s="20"/>
      <c r="Y2019" s="20"/>
      <c r="Z2019" s="20"/>
      <c r="AA2019" s="20"/>
    </row>
    <row r="2020" spans="1:27" ht="121.8" x14ac:dyDescent="0.25">
      <c r="A2020" s="16"/>
      <c r="B2020" s="20" t="b">
        <v>0</v>
      </c>
      <c r="C2020" s="20">
        <v>200</v>
      </c>
      <c r="D2020" s="2" t="s">
        <v>4255</v>
      </c>
      <c r="E2020" s="2" t="s">
        <v>4253</v>
      </c>
      <c r="F2020" s="20" t="s">
        <v>64</v>
      </c>
      <c r="G2020" s="2" t="s">
        <v>4256</v>
      </c>
      <c r="H2020" s="16"/>
      <c r="I2020" s="20"/>
      <c r="J2020" s="20"/>
      <c r="K2020" s="20"/>
      <c r="L2020" s="20"/>
      <c r="M2020" s="20"/>
      <c r="N2020" s="20"/>
      <c r="O2020" s="20"/>
      <c r="P2020" s="20"/>
      <c r="Q2020" s="20"/>
      <c r="R2020" s="20"/>
      <c r="S2020" s="20"/>
      <c r="T2020" s="20"/>
      <c r="U2020" s="20"/>
      <c r="V2020" s="20"/>
      <c r="W2020" s="20"/>
      <c r="X2020" s="20"/>
      <c r="Y2020" s="20"/>
      <c r="Z2020" s="20"/>
      <c r="AA2020" s="20"/>
    </row>
    <row r="2021" spans="1:27" ht="121.8" x14ac:dyDescent="0.25">
      <c r="A2021" s="16"/>
      <c r="B2021" s="20" t="b">
        <v>0</v>
      </c>
      <c r="C2021" s="20">
        <v>400</v>
      </c>
      <c r="D2021" s="2" t="s">
        <v>4257</v>
      </c>
      <c r="E2021" s="2" t="s">
        <v>4253</v>
      </c>
      <c r="F2021" s="20" t="s">
        <v>64</v>
      </c>
      <c r="G2021" s="2" t="s">
        <v>4258</v>
      </c>
      <c r="H2021" s="16"/>
      <c r="I2021" s="20"/>
      <c r="J2021" s="20"/>
      <c r="K2021" s="20"/>
      <c r="L2021" s="20"/>
      <c r="M2021" s="20"/>
      <c r="N2021" s="20"/>
      <c r="O2021" s="20"/>
      <c r="P2021" s="20"/>
      <c r="Q2021" s="20"/>
      <c r="R2021" s="20"/>
      <c r="S2021" s="20"/>
      <c r="T2021" s="20"/>
      <c r="U2021" s="20"/>
      <c r="V2021" s="20"/>
      <c r="W2021" s="20"/>
      <c r="X2021" s="20"/>
      <c r="Y2021" s="20"/>
      <c r="Z2021" s="20"/>
      <c r="AA2021" s="20"/>
    </row>
    <row r="2022" spans="1:27" ht="87" x14ac:dyDescent="0.25">
      <c r="A2022" s="16"/>
      <c r="B2022" s="20" t="b">
        <v>0</v>
      </c>
      <c r="C2022" s="20">
        <v>100</v>
      </c>
      <c r="D2022" s="2" t="s">
        <v>4259</v>
      </c>
      <c r="E2022" s="2" t="s">
        <v>4253</v>
      </c>
      <c r="F2022" s="20" t="s">
        <v>53</v>
      </c>
      <c r="G2022" s="2" t="s">
        <v>4260</v>
      </c>
      <c r="H2022" s="16"/>
      <c r="I2022" s="20"/>
      <c r="J2022" s="20"/>
      <c r="K2022" s="20"/>
      <c r="L2022" s="20"/>
      <c r="M2022" s="20"/>
      <c r="N2022" s="20"/>
      <c r="O2022" s="20"/>
      <c r="P2022" s="20"/>
      <c r="Q2022" s="20"/>
      <c r="R2022" s="20"/>
      <c r="S2022" s="20"/>
      <c r="T2022" s="20"/>
      <c r="U2022" s="20"/>
      <c r="V2022" s="20"/>
      <c r="W2022" s="20"/>
      <c r="X2022" s="20"/>
      <c r="Y2022" s="20"/>
      <c r="Z2022" s="20"/>
      <c r="AA2022" s="20"/>
    </row>
    <row r="2023" spans="1:27" ht="191.4" x14ac:dyDescent="0.25">
      <c r="A2023" s="16"/>
      <c r="B2023" s="20" t="b">
        <v>0</v>
      </c>
      <c r="C2023" s="20">
        <v>200</v>
      </c>
      <c r="D2023" s="2" t="s">
        <v>4261</v>
      </c>
      <c r="E2023" s="2" t="s">
        <v>4253</v>
      </c>
      <c r="F2023" s="20" t="s">
        <v>53</v>
      </c>
      <c r="G2023" s="2" t="s">
        <v>4262</v>
      </c>
      <c r="H2023" s="16"/>
      <c r="I2023" s="20"/>
      <c r="J2023" s="20"/>
      <c r="K2023" s="20"/>
      <c r="L2023" s="20"/>
      <c r="M2023" s="20"/>
      <c r="N2023" s="20"/>
      <c r="O2023" s="20"/>
      <c r="P2023" s="20"/>
      <c r="Q2023" s="20"/>
      <c r="R2023" s="20"/>
      <c r="S2023" s="20"/>
      <c r="T2023" s="20"/>
      <c r="U2023" s="20"/>
      <c r="V2023" s="20"/>
      <c r="W2023" s="20"/>
      <c r="X2023" s="20"/>
      <c r="Y2023" s="20"/>
      <c r="Z2023" s="20"/>
      <c r="AA2023" s="20"/>
    </row>
    <row r="2024" spans="1:27" ht="156.6" x14ac:dyDescent="0.25">
      <c r="A2024" s="16"/>
      <c r="B2024" s="20" t="b">
        <v>0</v>
      </c>
      <c r="C2024" s="20">
        <v>400</v>
      </c>
      <c r="D2024" s="2" t="s">
        <v>4263</v>
      </c>
      <c r="E2024" s="2" t="s">
        <v>4253</v>
      </c>
      <c r="F2024" s="20" t="s">
        <v>60</v>
      </c>
      <c r="G2024" s="2" t="s">
        <v>4264</v>
      </c>
      <c r="H2024" s="16"/>
      <c r="I2024" s="20"/>
      <c r="J2024" s="20"/>
      <c r="K2024" s="20"/>
      <c r="L2024" s="20"/>
      <c r="M2024" s="20"/>
      <c r="N2024" s="20"/>
      <c r="O2024" s="20"/>
      <c r="P2024" s="20"/>
      <c r="Q2024" s="20"/>
      <c r="R2024" s="20"/>
      <c r="S2024" s="20"/>
      <c r="T2024" s="20"/>
      <c r="U2024" s="20"/>
      <c r="V2024" s="20"/>
      <c r="W2024" s="20"/>
      <c r="X2024" s="20"/>
      <c r="Y2024" s="20"/>
      <c r="Z2024" s="20"/>
      <c r="AA2024" s="20"/>
    </row>
    <row r="2025" spans="1:27" ht="139.19999999999999" x14ac:dyDescent="0.25">
      <c r="A2025" s="16"/>
      <c r="B2025" s="20" t="b">
        <v>0</v>
      </c>
      <c r="C2025" s="20">
        <v>200</v>
      </c>
      <c r="D2025" s="2" t="s">
        <v>4265</v>
      </c>
      <c r="E2025" s="2" t="s">
        <v>4253</v>
      </c>
      <c r="F2025" s="20" t="s">
        <v>63</v>
      </c>
      <c r="G2025" s="2" t="s">
        <v>4266</v>
      </c>
      <c r="H2025" s="16"/>
      <c r="I2025" s="20"/>
      <c r="J2025" s="20"/>
      <c r="K2025" s="20"/>
      <c r="L2025" s="20"/>
      <c r="M2025" s="20"/>
      <c r="N2025" s="20"/>
      <c r="O2025" s="20"/>
      <c r="P2025" s="20"/>
      <c r="Q2025" s="20"/>
      <c r="R2025" s="20"/>
      <c r="S2025" s="20"/>
      <c r="T2025" s="20"/>
      <c r="U2025" s="20"/>
      <c r="V2025" s="20"/>
      <c r="W2025" s="20"/>
      <c r="X2025" s="20"/>
      <c r="Y2025" s="20"/>
      <c r="Z2025" s="20"/>
      <c r="AA2025" s="20"/>
    </row>
    <row r="2026" spans="1:27" ht="87" x14ac:dyDescent="0.25">
      <c r="A2026" s="16"/>
      <c r="B2026" s="20" t="b">
        <v>0</v>
      </c>
      <c r="C2026" s="20">
        <v>100</v>
      </c>
      <c r="D2026" s="2" t="s">
        <v>4267</v>
      </c>
      <c r="E2026" s="2" t="s">
        <v>4253</v>
      </c>
      <c r="F2026" s="20" t="s">
        <v>57</v>
      </c>
      <c r="G2026" s="2" t="s">
        <v>4268</v>
      </c>
      <c r="H2026" s="16"/>
      <c r="I2026" s="20"/>
      <c r="J2026" s="20"/>
      <c r="K2026" s="20"/>
      <c r="L2026" s="20"/>
      <c r="M2026" s="20"/>
      <c r="N2026" s="20"/>
      <c r="O2026" s="20"/>
      <c r="P2026" s="20"/>
      <c r="Q2026" s="20"/>
      <c r="R2026" s="20"/>
      <c r="S2026" s="20"/>
      <c r="T2026" s="20"/>
      <c r="U2026" s="20"/>
      <c r="V2026" s="20"/>
      <c r="W2026" s="20"/>
      <c r="X2026" s="20"/>
      <c r="Y2026" s="20"/>
      <c r="Z2026" s="20"/>
      <c r="AA2026" s="20"/>
    </row>
    <row r="2027" spans="1:27" ht="104.4" x14ac:dyDescent="0.25">
      <c r="A2027" s="16"/>
      <c r="B2027" s="20" t="b">
        <v>0</v>
      </c>
      <c r="C2027" s="20">
        <v>100</v>
      </c>
      <c r="D2027" s="2" t="s">
        <v>4269</v>
      </c>
      <c r="E2027" s="2" t="s">
        <v>4253</v>
      </c>
      <c r="F2027" s="20" t="s">
        <v>64</v>
      </c>
      <c r="G2027" s="2" t="s">
        <v>4270</v>
      </c>
      <c r="H2027" s="16"/>
      <c r="I2027" s="20"/>
      <c r="J2027" s="20"/>
      <c r="K2027" s="20"/>
      <c r="L2027" s="20"/>
      <c r="M2027" s="20"/>
      <c r="N2027" s="20"/>
      <c r="O2027" s="20"/>
      <c r="P2027" s="20"/>
      <c r="Q2027" s="20"/>
      <c r="R2027" s="20"/>
      <c r="S2027" s="20"/>
      <c r="T2027" s="20"/>
      <c r="U2027" s="20"/>
      <c r="V2027" s="20"/>
      <c r="W2027" s="20"/>
      <c r="X2027" s="20"/>
      <c r="Y2027" s="20"/>
      <c r="Z2027" s="20"/>
      <c r="AA2027" s="20"/>
    </row>
    <row r="2028" spans="1:27" ht="104.4" x14ac:dyDescent="0.25">
      <c r="A2028" s="16"/>
      <c r="B2028" s="20" t="b">
        <v>0</v>
      </c>
      <c r="C2028" s="20">
        <v>200</v>
      </c>
      <c r="D2028" s="2" t="s">
        <v>4271</v>
      </c>
      <c r="E2028" s="2" t="s">
        <v>4253</v>
      </c>
      <c r="F2028" s="20" t="s">
        <v>53</v>
      </c>
      <c r="G2028" s="2" t="s">
        <v>4272</v>
      </c>
      <c r="H2028" s="16"/>
      <c r="I2028" s="20"/>
      <c r="J2028" s="20"/>
      <c r="K2028" s="20"/>
      <c r="L2028" s="20"/>
      <c r="M2028" s="20"/>
      <c r="N2028" s="20"/>
      <c r="O2028" s="20"/>
      <c r="P2028" s="20"/>
      <c r="Q2028" s="20"/>
      <c r="R2028" s="20"/>
      <c r="S2028" s="20"/>
      <c r="T2028" s="20"/>
      <c r="U2028" s="20"/>
      <c r="V2028" s="20"/>
      <c r="W2028" s="20"/>
      <c r="X2028" s="20"/>
      <c r="Y2028" s="20"/>
      <c r="Z2028" s="20"/>
      <c r="AA2028" s="20"/>
    </row>
    <row r="2029" spans="1:27" ht="191.4" x14ac:dyDescent="0.25">
      <c r="A2029" s="16"/>
      <c r="B2029" s="20" t="b">
        <v>0</v>
      </c>
      <c r="C2029" s="20">
        <v>200</v>
      </c>
      <c r="D2029" s="2" t="s">
        <v>4273</v>
      </c>
      <c r="E2029" s="2" t="s">
        <v>4253</v>
      </c>
      <c r="F2029" s="20" t="s">
        <v>53</v>
      </c>
      <c r="G2029" s="2" t="s">
        <v>4274</v>
      </c>
      <c r="H2029" s="16"/>
      <c r="I2029" s="20"/>
      <c r="J2029" s="20"/>
      <c r="K2029" s="20"/>
      <c r="L2029" s="20"/>
      <c r="M2029" s="20"/>
      <c r="N2029" s="20"/>
      <c r="O2029" s="20"/>
      <c r="P2029" s="20"/>
      <c r="Q2029" s="20"/>
      <c r="R2029" s="20"/>
      <c r="S2029" s="20"/>
      <c r="T2029" s="20"/>
      <c r="U2029" s="20"/>
      <c r="V2029" s="20"/>
      <c r="W2029" s="20"/>
      <c r="X2029" s="20"/>
      <c r="Y2029" s="20"/>
      <c r="Z2029" s="20"/>
      <c r="AA2029" s="20"/>
    </row>
    <row r="2030" spans="1:27" ht="156.6" x14ac:dyDescent="0.25">
      <c r="A2030" s="16"/>
      <c r="B2030" s="20" t="b">
        <v>0</v>
      </c>
      <c r="C2030" s="20">
        <v>300</v>
      </c>
      <c r="D2030" s="2" t="s">
        <v>4275</v>
      </c>
      <c r="E2030" s="2" t="s">
        <v>4253</v>
      </c>
      <c r="F2030" s="20" t="s">
        <v>53</v>
      </c>
      <c r="G2030" s="2" t="s">
        <v>4276</v>
      </c>
      <c r="H2030" s="16"/>
      <c r="I2030" s="20"/>
      <c r="J2030" s="20"/>
      <c r="K2030" s="20"/>
      <c r="L2030" s="20"/>
      <c r="M2030" s="20"/>
      <c r="N2030" s="20"/>
      <c r="O2030" s="20"/>
      <c r="P2030" s="20"/>
      <c r="Q2030" s="20"/>
      <c r="R2030" s="20"/>
      <c r="S2030" s="20"/>
      <c r="T2030" s="20"/>
      <c r="U2030" s="20"/>
      <c r="V2030" s="20"/>
      <c r="W2030" s="20"/>
      <c r="X2030" s="20"/>
      <c r="Y2030" s="20"/>
      <c r="Z2030" s="20"/>
      <c r="AA2030" s="20"/>
    </row>
    <row r="2031" spans="1:27" ht="156.6" x14ac:dyDescent="0.25">
      <c r="A2031" s="16"/>
      <c r="B2031" s="20" t="b">
        <v>0</v>
      </c>
      <c r="C2031" s="20">
        <v>400</v>
      </c>
      <c r="D2031" s="2" t="s">
        <v>4277</v>
      </c>
      <c r="E2031" s="2" t="s">
        <v>4253</v>
      </c>
      <c r="F2031" s="20" t="s">
        <v>64</v>
      </c>
      <c r="G2031" s="2" t="s">
        <v>4278</v>
      </c>
      <c r="H2031" s="16"/>
      <c r="I2031" s="20"/>
      <c r="J2031" s="20"/>
      <c r="K2031" s="20"/>
      <c r="L2031" s="20"/>
      <c r="M2031" s="20"/>
      <c r="N2031" s="20"/>
      <c r="O2031" s="20"/>
      <c r="P2031" s="20"/>
      <c r="Q2031" s="20"/>
      <c r="R2031" s="20"/>
      <c r="S2031" s="20"/>
      <c r="T2031" s="20"/>
      <c r="U2031" s="20"/>
      <c r="V2031" s="20"/>
      <c r="W2031" s="20"/>
      <c r="X2031" s="20"/>
      <c r="Y2031" s="20"/>
      <c r="Z2031" s="20"/>
      <c r="AA2031" s="20"/>
    </row>
    <row r="2032" spans="1:27" ht="69.599999999999994" x14ac:dyDescent="0.25">
      <c r="A2032" s="16"/>
      <c r="B2032" s="20" t="b">
        <v>0</v>
      </c>
      <c r="C2032" s="20">
        <v>100</v>
      </c>
      <c r="D2032" s="2" t="s">
        <v>4279</v>
      </c>
      <c r="E2032" s="2" t="s">
        <v>4253</v>
      </c>
      <c r="F2032" s="20" t="s">
        <v>59</v>
      </c>
      <c r="G2032" s="2" t="s">
        <v>4280</v>
      </c>
      <c r="H2032" s="16"/>
      <c r="I2032" s="20"/>
      <c r="J2032" s="20"/>
      <c r="K2032" s="20"/>
      <c r="L2032" s="20"/>
      <c r="M2032" s="20"/>
      <c r="N2032" s="20"/>
      <c r="O2032" s="20"/>
      <c r="P2032" s="20"/>
      <c r="Q2032" s="20"/>
      <c r="R2032" s="20"/>
      <c r="S2032" s="20"/>
      <c r="T2032" s="20"/>
      <c r="U2032" s="20"/>
      <c r="V2032" s="20"/>
      <c r="W2032" s="20"/>
      <c r="X2032" s="20"/>
      <c r="Y2032" s="20"/>
      <c r="Z2032" s="20"/>
      <c r="AA2032" s="20"/>
    </row>
    <row r="2033" spans="1:27" ht="104.4" x14ac:dyDescent="0.25">
      <c r="A2033" s="16"/>
      <c r="B2033" s="20" t="b">
        <v>0</v>
      </c>
      <c r="C2033" s="20">
        <v>600</v>
      </c>
      <c r="D2033" s="2" t="s">
        <v>4281</v>
      </c>
      <c r="E2033" s="2" t="s">
        <v>4253</v>
      </c>
      <c r="F2033" s="20" t="s">
        <v>59</v>
      </c>
      <c r="G2033" s="2" t="s">
        <v>4282</v>
      </c>
      <c r="H2033" s="16"/>
      <c r="I2033" s="20"/>
      <c r="J2033" s="20"/>
      <c r="K2033" s="20"/>
      <c r="L2033" s="20"/>
      <c r="M2033" s="20"/>
      <c r="N2033" s="20"/>
      <c r="O2033" s="20"/>
      <c r="P2033" s="20"/>
      <c r="Q2033" s="20"/>
      <c r="R2033" s="20"/>
      <c r="S2033" s="20"/>
      <c r="T2033" s="20"/>
      <c r="U2033" s="20"/>
      <c r="V2033" s="20"/>
      <c r="W2033" s="20"/>
      <c r="X2033" s="20"/>
      <c r="Y2033" s="20"/>
      <c r="Z2033" s="20"/>
      <c r="AA2033" s="20"/>
    </row>
    <row r="2034" spans="1:27" ht="121.8" x14ac:dyDescent="0.25">
      <c r="A2034" s="16"/>
      <c r="B2034" s="20" t="b">
        <v>0</v>
      </c>
      <c r="C2034" s="20">
        <v>200</v>
      </c>
      <c r="D2034" s="2" t="s">
        <v>4283</v>
      </c>
      <c r="E2034" s="2" t="s">
        <v>4253</v>
      </c>
      <c r="F2034" s="20" t="s">
        <v>59</v>
      </c>
      <c r="G2034" s="2" t="s">
        <v>4284</v>
      </c>
      <c r="H2034" s="16"/>
      <c r="I2034" s="20"/>
      <c r="J2034" s="20"/>
      <c r="K2034" s="20"/>
      <c r="L2034" s="20"/>
      <c r="M2034" s="20"/>
      <c r="N2034" s="20"/>
      <c r="O2034" s="20"/>
      <c r="P2034" s="20"/>
      <c r="Q2034" s="20"/>
      <c r="R2034" s="20"/>
      <c r="S2034" s="20"/>
      <c r="T2034" s="20"/>
      <c r="U2034" s="20"/>
      <c r="V2034" s="20"/>
      <c r="W2034" s="20"/>
      <c r="X2034" s="20"/>
      <c r="Y2034" s="20"/>
      <c r="Z2034" s="20"/>
      <c r="AA2034" s="20"/>
    </row>
    <row r="2035" spans="1:27" ht="104.4" x14ac:dyDescent="0.25">
      <c r="A2035" s="16"/>
      <c r="B2035" s="20" t="b">
        <v>0</v>
      </c>
      <c r="C2035" s="20">
        <v>1200</v>
      </c>
      <c r="D2035" s="2" t="s">
        <v>4285</v>
      </c>
      <c r="E2035" s="2" t="s">
        <v>4286</v>
      </c>
      <c r="F2035" s="20" t="s">
        <v>52</v>
      </c>
      <c r="G2035" s="2" t="s">
        <v>4287</v>
      </c>
      <c r="H2035" s="16"/>
      <c r="I2035" s="20"/>
      <c r="J2035" s="20"/>
      <c r="K2035" s="20"/>
      <c r="L2035" s="20"/>
      <c r="M2035" s="20"/>
      <c r="N2035" s="20"/>
      <c r="O2035" s="20"/>
      <c r="P2035" s="20"/>
      <c r="Q2035" s="20"/>
      <c r="R2035" s="20"/>
      <c r="S2035" s="20"/>
      <c r="T2035" s="20"/>
      <c r="U2035" s="20"/>
      <c r="V2035" s="20"/>
      <c r="W2035" s="20"/>
      <c r="X2035" s="20"/>
      <c r="Y2035" s="20"/>
      <c r="Z2035" s="20"/>
      <c r="AA2035" s="20"/>
    </row>
    <row r="2036" spans="1:27" ht="87" x14ac:dyDescent="0.25">
      <c r="A2036" s="16"/>
      <c r="B2036" s="20" t="b">
        <v>0</v>
      </c>
      <c r="C2036" s="20">
        <v>1200</v>
      </c>
      <c r="D2036" s="2" t="s">
        <v>4288</v>
      </c>
      <c r="E2036" s="2" t="s">
        <v>4286</v>
      </c>
      <c r="F2036" s="20" t="s">
        <v>52</v>
      </c>
      <c r="G2036" s="2" t="s">
        <v>4289</v>
      </c>
      <c r="H2036" s="16"/>
      <c r="I2036" s="20"/>
      <c r="J2036" s="20"/>
      <c r="K2036" s="20"/>
      <c r="L2036" s="20"/>
      <c r="M2036" s="20"/>
      <c r="N2036" s="20"/>
      <c r="O2036" s="20"/>
      <c r="P2036" s="20"/>
      <c r="Q2036" s="20"/>
      <c r="R2036" s="20"/>
      <c r="S2036" s="20"/>
      <c r="T2036" s="20"/>
      <c r="U2036" s="20"/>
      <c r="V2036" s="20"/>
      <c r="W2036" s="20"/>
      <c r="X2036" s="20"/>
      <c r="Y2036" s="20"/>
      <c r="Z2036" s="20"/>
      <c r="AA2036" s="20"/>
    </row>
    <row r="2037" spans="1:27" ht="52.2" x14ac:dyDescent="0.25">
      <c r="A2037" s="16"/>
      <c r="B2037" s="20" t="b">
        <v>0</v>
      </c>
      <c r="C2037" s="20">
        <v>0</v>
      </c>
      <c r="D2037" s="2" t="s">
        <v>4290</v>
      </c>
      <c r="E2037" s="2" t="s">
        <v>4286</v>
      </c>
      <c r="F2037" s="20" t="s">
        <v>56</v>
      </c>
      <c r="G2037" s="2" t="s">
        <v>4291</v>
      </c>
      <c r="H2037" s="16"/>
      <c r="I2037" s="20"/>
      <c r="J2037" s="20"/>
      <c r="K2037" s="20"/>
      <c r="L2037" s="20"/>
      <c r="M2037" s="20"/>
      <c r="N2037" s="20"/>
      <c r="O2037" s="20"/>
      <c r="P2037" s="20"/>
      <c r="Q2037" s="20"/>
      <c r="R2037" s="20"/>
      <c r="S2037" s="20"/>
      <c r="T2037" s="20"/>
      <c r="U2037" s="20"/>
      <c r="V2037" s="20"/>
      <c r="W2037" s="20"/>
      <c r="X2037" s="20"/>
      <c r="Y2037" s="20"/>
      <c r="Z2037" s="20"/>
      <c r="AA2037" s="20"/>
    </row>
    <row r="2038" spans="1:27" ht="104.4" x14ac:dyDescent="0.25">
      <c r="A2038" s="16"/>
      <c r="B2038" s="20" t="b">
        <v>0</v>
      </c>
      <c r="C2038" s="20">
        <v>100</v>
      </c>
      <c r="D2038" s="2" t="s">
        <v>4292</v>
      </c>
      <c r="E2038" s="2" t="s">
        <v>4286</v>
      </c>
      <c r="F2038" s="20" t="s">
        <v>56</v>
      </c>
      <c r="G2038" s="2" t="s">
        <v>4293</v>
      </c>
      <c r="H2038" s="16"/>
      <c r="I2038" s="20"/>
      <c r="J2038" s="20"/>
      <c r="K2038" s="20"/>
      <c r="L2038" s="20"/>
      <c r="M2038" s="20"/>
      <c r="N2038" s="20"/>
      <c r="O2038" s="20"/>
      <c r="P2038" s="20"/>
      <c r="Q2038" s="20"/>
      <c r="R2038" s="20"/>
      <c r="S2038" s="20"/>
      <c r="T2038" s="20"/>
      <c r="U2038" s="20"/>
      <c r="V2038" s="20"/>
      <c r="W2038" s="20"/>
      <c r="X2038" s="20"/>
      <c r="Y2038" s="20"/>
      <c r="Z2038" s="20"/>
      <c r="AA2038" s="20"/>
    </row>
    <row r="2039" spans="1:27" ht="121.8" x14ac:dyDescent="0.25">
      <c r="A2039" s="16"/>
      <c r="B2039" s="20" t="b">
        <v>0</v>
      </c>
      <c r="C2039" s="20" t="s">
        <v>4294</v>
      </c>
      <c r="D2039" s="2" t="s">
        <v>34</v>
      </c>
      <c r="E2039" s="2" t="s">
        <v>4286</v>
      </c>
      <c r="F2039" s="20" t="s">
        <v>53</v>
      </c>
      <c r="G2039" s="2" t="s">
        <v>4295</v>
      </c>
      <c r="H2039" s="16"/>
      <c r="I2039" s="20"/>
      <c r="J2039" s="20"/>
      <c r="K2039" s="20"/>
      <c r="L2039" s="20"/>
      <c r="M2039" s="20"/>
      <c r="N2039" s="20"/>
      <c r="O2039" s="20"/>
      <c r="P2039" s="20"/>
      <c r="Q2039" s="20"/>
      <c r="R2039" s="20"/>
      <c r="S2039" s="20"/>
      <c r="T2039" s="20"/>
      <c r="U2039" s="20"/>
      <c r="V2039" s="20"/>
      <c r="W2039" s="20"/>
      <c r="X2039" s="20"/>
      <c r="Y2039" s="20"/>
      <c r="Z2039" s="20"/>
      <c r="AA2039" s="20"/>
    </row>
    <row r="2040" spans="1:27" ht="208.8" x14ac:dyDescent="0.25">
      <c r="A2040" s="16"/>
      <c r="B2040" s="20" t="b">
        <v>0</v>
      </c>
      <c r="C2040" s="20">
        <v>300</v>
      </c>
      <c r="D2040" s="2" t="s">
        <v>4296</v>
      </c>
      <c r="E2040" s="2" t="s">
        <v>4286</v>
      </c>
      <c r="F2040" s="20" t="s">
        <v>57</v>
      </c>
      <c r="G2040" s="2" t="s">
        <v>4297</v>
      </c>
      <c r="H2040" s="16"/>
      <c r="I2040" s="20"/>
      <c r="J2040" s="20"/>
      <c r="K2040" s="20"/>
      <c r="L2040" s="20"/>
      <c r="M2040" s="20"/>
      <c r="N2040" s="20"/>
      <c r="O2040" s="20"/>
      <c r="P2040" s="20"/>
      <c r="Q2040" s="20"/>
      <c r="R2040" s="20"/>
      <c r="S2040" s="20"/>
      <c r="T2040" s="20"/>
      <c r="U2040" s="20"/>
      <c r="V2040" s="20"/>
      <c r="W2040" s="20"/>
      <c r="X2040" s="20"/>
      <c r="Y2040" s="20"/>
      <c r="Z2040" s="20"/>
      <c r="AA2040" s="20"/>
    </row>
    <row r="2041" spans="1:27" ht="208.8" x14ac:dyDescent="0.25">
      <c r="A2041" s="16"/>
      <c r="B2041" s="20" t="b">
        <v>0</v>
      </c>
      <c r="C2041" s="20" t="s">
        <v>4298</v>
      </c>
      <c r="D2041" s="2" t="s">
        <v>4299</v>
      </c>
      <c r="E2041" s="2" t="s">
        <v>4286</v>
      </c>
      <c r="F2041" s="20" t="s">
        <v>56</v>
      </c>
      <c r="G2041" s="2" t="s">
        <v>4300</v>
      </c>
      <c r="H2041" s="16"/>
      <c r="I2041" s="20"/>
      <c r="J2041" s="20"/>
      <c r="K2041" s="20"/>
      <c r="L2041" s="20"/>
      <c r="M2041" s="20"/>
      <c r="N2041" s="20"/>
      <c r="O2041" s="20"/>
      <c r="P2041" s="20"/>
      <c r="Q2041" s="20"/>
      <c r="R2041" s="20"/>
      <c r="S2041" s="20"/>
      <c r="T2041" s="20"/>
      <c r="U2041" s="20"/>
      <c r="V2041" s="20"/>
      <c r="W2041" s="20"/>
      <c r="X2041" s="20"/>
      <c r="Y2041" s="20"/>
      <c r="Z2041" s="20"/>
      <c r="AA2041" s="20"/>
    </row>
    <row r="2042" spans="1:27" ht="34.799999999999997" x14ac:dyDescent="0.25">
      <c r="A2042" s="16"/>
      <c r="B2042" s="20" t="b">
        <v>0</v>
      </c>
      <c r="C2042" s="20">
        <v>100</v>
      </c>
      <c r="D2042" s="2" t="s">
        <v>4301</v>
      </c>
      <c r="E2042" s="2" t="s">
        <v>4302</v>
      </c>
      <c r="F2042" s="20" t="s">
        <v>52</v>
      </c>
      <c r="G2042" s="2" t="s">
        <v>4303</v>
      </c>
      <c r="H2042" s="16"/>
      <c r="I2042" s="20"/>
      <c r="J2042" s="20"/>
      <c r="K2042" s="20"/>
      <c r="L2042" s="20"/>
      <c r="M2042" s="20"/>
      <c r="N2042" s="20"/>
      <c r="O2042" s="20"/>
      <c r="P2042" s="20"/>
      <c r="Q2042" s="20"/>
      <c r="R2042" s="20"/>
      <c r="S2042" s="20"/>
      <c r="T2042" s="20"/>
      <c r="U2042" s="20"/>
      <c r="V2042" s="20"/>
      <c r="W2042" s="20"/>
      <c r="X2042" s="20"/>
      <c r="Y2042" s="20"/>
      <c r="Z2042" s="20"/>
      <c r="AA2042" s="20"/>
    </row>
    <row r="2043" spans="1:27" ht="52.2" x14ac:dyDescent="0.25">
      <c r="A2043" s="16"/>
      <c r="B2043" s="20" t="b">
        <v>0</v>
      </c>
      <c r="C2043" s="20">
        <v>100</v>
      </c>
      <c r="D2043" s="2" t="s">
        <v>4304</v>
      </c>
      <c r="E2043" s="2" t="s">
        <v>4302</v>
      </c>
      <c r="F2043" s="20" t="s">
        <v>52</v>
      </c>
      <c r="G2043" s="2" t="s">
        <v>4305</v>
      </c>
      <c r="H2043" s="16"/>
      <c r="I2043" s="20"/>
      <c r="J2043" s="20"/>
      <c r="K2043" s="20"/>
      <c r="L2043" s="20"/>
      <c r="M2043" s="20"/>
      <c r="N2043" s="20"/>
      <c r="O2043" s="20"/>
      <c r="P2043" s="20"/>
      <c r="Q2043" s="20"/>
      <c r="R2043" s="20"/>
      <c r="S2043" s="20"/>
      <c r="T2043" s="20"/>
      <c r="U2043" s="20"/>
      <c r="V2043" s="20"/>
      <c r="W2043" s="20"/>
      <c r="X2043" s="20"/>
      <c r="Y2043" s="20"/>
      <c r="Z2043" s="20"/>
      <c r="AA2043" s="20"/>
    </row>
    <row r="2044" spans="1:27" ht="52.2" x14ac:dyDescent="0.25">
      <c r="A2044" s="16"/>
      <c r="B2044" s="20" t="b">
        <v>0</v>
      </c>
      <c r="C2044" s="20">
        <v>100</v>
      </c>
      <c r="D2044" s="2" t="s">
        <v>4306</v>
      </c>
      <c r="E2044" s="2" t="s">
        <v>4302</v>
      </c>
      <c r="F2044" s="20" t="s">
        <v>52</v>
      </c>
      <c r="G2044" s="2" t="s">
        <v>4307</v>
      </c>
      <c r="H2044" s="16"/>
      <c r="I2044" s="20"/>
      <c r="J2044" s="20"/>
      <c r="K2044" s="20"/>
      <c r="L2044" s="20"/>
      <c r="M2044" s="20"/>
      <c r="N2044" s="20"/>
      <c r="O2044" s="20"/>
      <c r="P2044" s="20"/>
      <c r="Q2044" s="20"/>
      <c r="R2044" s="20"/>
      <c r="S2044" s="20"/>
      <c r="T2044" s="20"/>
      <c r="U2044" s="20"/>
      <c r="V2044" s="20"/>
      <c r="W2044" s="20"/>
      <c r="X2044" s="20"/>
      <c r="Y2044" s="20"/>
      <c r="Z2044" s="20"/>
      <c r="AA2044" s="20"/>
    </row>
    <row r="2045" spans="1:27" ht="69.599999999999994" x14ac:dyDescent="0.25">
      <c r="A2045" s="16"/>
      <c r="B2045" s="20" t="b">
        <v>0</v>
      </c>
      <c r="C2045" s="20">
        <v>100</v>
      </c>
      <c r="D2045" s="2" t="s">
        <v>4308</v>
      </c>
      <c r="E2045" s="2" t="s">
        <v>4302</v>
      </c>
      <c r="F2045" s="20" t="s">
        <v>52</v>
      </c>
      <c r="G2045" s="2" t="s">
        <v>4309</v>
      </c>
      <c r="H2045" s="16"/>
      <c r="I2045" s="20"/>
      <c r="J2045" s="20"/>
      <c r="K2045" s="20"/>
      <c r="L2045" s="20"/>
      <c r="M2045" s="20"/>
      <c r="N2045" s="20"/>
      <c r="O2045" s="20"/>
      <c r="P2045" s="20"/>
      <c r="Q2045" s="20"/>
      <c r="R2045" s="20"/>
      <c r="S2045" s="20"/>
      <c r="T2045" s="20"/>
      <c r="U2045" s="20"/>
      <c r="V2045" s="20"/>
      <c r="W2045" s="20"/>
      <c r="X2045" s="20"/>
      <c r="Y2045" s="20"/>
      <c r="Z2045" s="20"/>
      <c r="AA2045" s="20"/>
    </row>
    <row r="2046" spans="1:27" ht="69.599999999999994" x14ac:dyDescent="0.25">
      <c r="A2046" s="16"/>
      <c r="B2046" s="20" t="b">
        <v>0</v>
      </c>
      <c r="C2046" s="20">
        <v>100</v>
      </c>
      <c r="D2046" s="2" t="s">
        <v>4310</v>
      </c>
      <c r="E2046" s="2" t="s">
        <v>4302</v>
      </c>
      <c r="F2046" s="20" t="s">
        <v>52</v>
      </c>
      <c r="G2046" s="2" t="s">
        <v>4311</v>
      </c>
      <c r="H2046" s="16"/>
      <c r="I2046" s="20"/>
      <c r="J2046" s="20"/>
      <c r="K2046" s="20"/>
      <c r="L2046" s="20"/>
      <c r="M2046" s="20"/>
      <c r="N2046" s="20"/>
      <c r="O2046" s="20"/>
      <c r="P2046" s="20"/>
      <c r="Q2046" s="20"/>
      <c r="R2046" s="20"/>
      <c r="S2046" s="20"/>
      <c r="T2046" s="20"/>
      <c r="U2046" s="20"/>
      <c r="V2046" s="20"/>
      <c r="W2046" s="20"/>
      <c r="X2046" s="20"/>
      <c r="Y2046" s="20"/>
      <c r="Z2046" s="20"/>
      <c r="AA2046" s="20"/>
    </row>
    <row r="2047" spans="1:27" ht="121.8" x14ac:dyDescent="0.25">
      <c r="A2047" s="16"/>
      <c r="B2047" s="20" t="b">
        <v>0</v>
      </c>
      <c r="C2047" s="20" t="s">
        <v>4312</v>
      </c>
      <c r="D2047" s="2" t="s">
        <v>33</v>
      </c>
      <c r="E2047" s="2" t="s">
        <v>4302</v>
      </c>
      <c r="F2047" s="20" t="s">
        <v>64</v>
      </c>
      <c r="G2047" s="2" t="s">
        <v>4313</v>
      </c>
      <c r="H2047" s="16"/>
      <c r="I2047" s="20"/>
      <c r="J2047" s="20"/>
      <c r="K2047" s="20"/>
      <c r="L2047" s="20"/>
      <c r="M2047" s="20"/>
      <c r="N2047" s="20"/>
      <c r="O2047" s="20"/>
      <c r="P2047" s="20"/>
      <c r="Q2047" s="20"/>
      <c r="R2047" s="20"/>
      <c r="S2047" s="20"/>
      <c r="T2047" s="20"/>
      <c r="U2047" s="20"/>
      <c r="V2047" s="20"/>
      <c r="W2047" s="20"/>
      <c r="X2047" s="20"/>
      <c r="Y2047" s="20"/>
      <c r="Z2047" s="20"/>
      <c r="AA2047" s="20"/>
    </row>
    <row r="2048" spans="1:27" ht="174" x14ac:dyDescent="0.25">
      <c r="A2048" s="16"/>
      <c r="B2048" s="20" t="b">
        <v>0</v>
      </c>
      <c r="C2048" s="20">
        <v>600</v>
      </c>
      <c r="D2048" s="2" t="s">
        <v>4314</v>
      </c>
      <c r="E2048" s="2" t="s">
        <v>4302</v>
      </c>
      <c r="F2048" s="20" t="s">
        <v>58</v>
      </c>
      <c r="G2048" s="2" t="s">
        <v>4315</v>
      </c>
      <c r="H2048" s="16"/>
      <c r="I2048" s="20"/>
      <c r="J2048" s="20"/>
      <c r="K2048" s="20"/>
      <c r="L2048" s="20"/>
      <c r="M2048" s="20"/>
      <c r="N2048" s="20"/>
      <c r="O2048" s="20"/>
      <c r="P2048" s="20"/>
      <c r="Q2048" s="20"/>
      <c r="R2048" s="20"/>
      <c r="S2048" s="20"/>
      <c r="T2048" s="20"/>
      <c r="U2048" s="20"/>
      <c r="V2048" s="20"/>
      <c r="W2048" s="20"/>
      <c r="X2048" s="20"/>
      <c r="Y2048" s="20"/>
      <c r="Z2048" s="20"/>
      <c r="AA2048" s="20"/>
    </row>
    <row r="2049" spans="1:27" ht="174" x14ac:dyDescent="0.25">
      <c r="A2049" s="16"/>
      <c r="B2049" s="20" t="b">
        <v>0</v>
      </c>
      <c r="C2049" s="20">
        <v>100</v>
      </c>
      <c r="D2049" s="2" t="s">
        <v>4316</v>
      </c>
      <c r="E2049" s="2" t="s">
        <v>4302</v>
      </c>
      <c r="F2049" s="20" t="s">
        <v>58</v>
      </c>
      <c r="G2049" s="2" t="s">
        <v>4317</v>
      </c>
      <c r="H2049" s="16"/>
      <c r="I2049" s="20"/>
      <c r="J2049" s="20"/>
      <c r="K2049" s="20"/>
      <c r="L2049" s="20"/>
      <c r="M2049" s="20"/>
      <c r="N2049" s="20"/>
      <c r="O2049" s="20"/>
      <c r="P2049" s="20"/>
      <c r="Q2049" s="20"/>
      <c r="R2049" s="20"/>
      <c r="S2049" s="20"/>
      <c r="T2049" s="20"/>
      <c r="U2049" s="20"/>
      <c r="V2049" s="20"/>
      <c r="W2049" s="20"/>
      <c r="X2049" s="20"/>
      <c r="Y2049" s="20"/>
      <c r="Z2049" s="20"/>
      <c r="AA2049" s="20"/>
    </row>
    <row r="2050" spans="1:27" ht="156.6" x14ac:dyDescent="0.25">
      <c r="A2050" s="16"/>
      <c r="B2050" s="20" t="b">
        <v>0</v>
      </c>
      <c r="C2050" s="20">
        <v>100</v>
      </c>
      <c r="D2050" s="2" t="s">
        <v>4318</v>
      </c>
      <c r="E2050" s="2" t="s">
        <v>4302</v>
      </c>
      <c r="F2050" s="20" t="s">
        <v>58</v>
      </c>
      <c r="G2050" s="2" t="s">
        <v>4319</v>
      </c>
      <c r="H2050" s="16"/>
      <c r="I2050" s="20"/>
      <c r="J2050" s="20"/>
      <c r="K2050" s="20"/>
      <c r="L2050" s="20"/>
      <c r="M2050" s="20"/>
      <c r="N2050" s="20"/>
      <c r="O2050" s="20"/>
      <c r="P2050" s="20"/>
      <c r="Q2050" s="20"/>
      <c r="R2050" s="20"/>
      <c r="S2050" s="20"/>
      <c r="T2050" s="20"/>
      <c r="U2050" s="20"/>
      <c r="V2050" s="20"/>
      <c r="W2050" s="20"/>
      <c r="X2050" s="20"/>
      <c r="Y2050" s="20"/>
      <c r="Z2050" s="20"/>
      <c r="AA2050" s="20"/>
    </row>
    <row r="2051" spans="1:27" ht="156.6" x14ac:dyDescent="0.25">
      <c r="A2051" s="16"/>
      <c r="B2051" s="20" t="b">
        <v>0</v>
      </c>
      <c r="C2051" s="20">
        <v>200</v>
      </c>
      <c r="D2051" s="2" t="s">
        <v>4320</v>
      </c>
      <c r="E2051" s="2" t="s">
        <v>4302</v>
      </c>
      <c r="F2051" s="20" t="s">
        <v>58</v>
      </c>
      <c r="G2051" s="2" t="s">
        <v>4321</v>
      </c>
      <c r="H2051" s="16"/>
      <c r="I2051" s="20"/>
      <c r="J2051" s="20"/>
      <c r="K2051" s="20"/>
      <c r="L2051" s="20"/>
      <c r="M2051" s="20"/>
      <c r="N2051" s="20"/>
      <c r="O2051" s="20"/>
      <c r="P2051" s="20"/>
      <c r="Q2051" s="20"/>
      <c r="R2051" s="20"/>
      <c r="S2051" s="20"/>
      <c r="T2051" s="20"/>
      <c r="U2051" s="20"/>
      <c r="V2051" s="20"/>
      <c r="W2051" s="20"/>
      <c r="X2051" s="20"/>
      <c r="Y2051" s="20"/>
      <c r="Z2051" s="20"/>
      <c r="AA2051" s="20"/>
    </row>
    <row r="2052" spans="1:27" ht="243.6" x14ac:dyDescent="0.25">
      <c r="A2052" s="16"/>
      <c r="B2052" s="20" t="b">
        <v>0</v>
      </c>
      <c r="C2052" s="20">
        <v>400</v>
      </c>
      <c r="D2052" s="2" t="s">
        <v>4322</v>
      </c>
      <c r="E2052" s="2" t="s">
        <v>4302</v>
      </c>
      <c r="F2052" s="20" t="s">
        <v>58</v>
      </c>
      <c r="G2052" s="2" t="s">
        <v>4323</v>
      </c>
      <c r="H2052" s="16"/>
      <c r="I2052" s="20"/>
      <c r="J2052" s="20"/>
      <c r="K2052" s="20"/>
      <c r="L2052" s="20"/>
      <c r="M2052" s="20"/>
      <c r="N2052" s="20"/>
      <c r="O2052" s="20"/>
      <c r="P2052" s="20"/>
      <c r="Q2052" s="20"/>
      <c r="R2052" s="20"/>
      <c r="S2052" s="20"/>
      <c r="T2052" s="20"/>
      <c r="U2052" s="20"/>
      <c r="V2052" s="20"/>
      <c r="W2052" s="20"/>
      <c r="X2052" s="20"/>
      <c r="Y2052" s="20"/>
      <c r="Z2052" s="20"/>
      <c r="AA2052" s="20"/>
    </row>
    <row r="2053" spans="1:27" ht="139.19999999999999" x14ac:dyDescent="0.25">
      <c r="A2053" s="16"/>
      <c r="B2053" s="20" t="b">
        <v>0</v>
      </c>
      <c r="C2053" s="20">
        <v>100</v>
      </c>
      <c r="D2053" s="2" t="s">
        <v>4324</v>
      </c>
      <c r="E2053" s="2" t="s">
        <v>4302</v>
      </c>
      <c r="F2053" s="20" t="s">
        <v>64</v>
      </c>
      <c r="G2053" s="2" t="s">
        <v>4325</v>
      </c>
      <c r="H2053" s="16"/>
      <c r="I2053" s="20"/>
      <c r="J2053" s="20"/>
      <c r="K2053" s="20"/>
      <c r="L2053" s="20"/>
      <c r="M2053" s="20"/>
      <c r="N2053" s="20"/>
      <c r="O2053" s="20"/>
      <c r="P2053" s="20"/>
      <c r="Q2053" s="20"/>
      <c r="R2053" s="20"/>
      <c r="S2053" s="20"/>
      <c r="T2053" s="20"/>
      <c r="U2053" s="20"/>
      <c r="V2053" s="20"/>
      <c r="W2053" s="20"/>
      <c r="X2053" s="20"/>
      <c r="Y2053" s="20"/>
      <c r="Z2053" s="20"/>
      <c r="AA2053" s="20"/>
    </row>
    <row r="2054" spans="1:27" ht="121.8" x14ac:dyDescent="0.25">
      <c r="A2054" s="16"/>
      <c r="B2054" s="20" t="b">
        <v>0</v>
      </c>
      <c r="C2054" s="20">
        <v>100</v>
      </c>
      <c r="D2054" s="2" t="s">
        <v>4326</v>
      </c>
      <c r="E2054" s="2" t="s">
        <v>4302</v>
      </c>
      <c r="F2054" s="20" t="s">
        <v>57</v>
      </c>
      <c r="G2054" s="2" t="s">
        <v>4327</v>
      </c>
      <c r="H2054" s="16"/>
      <c r="I2054" s="20"/>
      <c r="J2054" s="20"/>
      <c r="K2054" s="20"/>
      <c r="L2054" s="20"/>
      <c r="M2054" s="20"/>
      <c r="N2054" s="20"/>
      <c r="O2054" s="20"/>
      <c r="P2054" s="20"/>
      <c r="Q2054" s="20"/>
      <c r="R2054" s="20"/>
      <c r="S2054" s="20"/>
      <c r="T2054" s="20"/>
      <c r="U2054" s="20"/>
      <c r="V2054" s="20"/>
      <c r="W2054" s="20"/>
      <c r="X2054" s="20"/>
      <c r="Y2054" s="20"/>
      <c r="Z2054" s="20"/>
      <c r="AA2054" s="20"/>
    </row>
    <row r="2055" spans="1:27" ht="121.8" x14ac:dyDescent="0.25">
      <c r="A2055" s="16"/>
      <c r="B2055" s="20" t="b">
        <v>0</v>
      </c>
      <c r="C2055" s="20">
        <v>200</v>
      </c>
      <c r="D2055" s="2" t="s">
        <v>4328</v>
      </c>
      <c r="E2055" s="2" t="s">
        <v>4302</v>
      </c>
      <c r="F2055" s="20" t="s">
        <v>64</v>
      </c>
      <c r="G2055" s="2" t="s">
        <v>4329</v>
      </c>
      <c r="H2055" s="16"/>
      <c r="I2055" s="20"/>
      <c r="J2055" s="20"/>
      <c r="K2055" s="20"/>
      <c r="L2055" s="20"/>
      <c r="M2055" s="20"/>
      <c r="N2055" s="20"/>
      <c r="O2055" s="20"/>
      <c r="P2055" s="20"/>
      <c r="Q2055" s="20"/>
      <c r="R2055" s="20"/>
      <c r="S2055" s="20"/>
      <c r="T2055" s="20"/>
      <c r="U2055" s="20"/>
      <c r="V2055" s="20"/>
      <c r="W2055" s="20"/>
      <c r="X2055" s="20"/>
      <c r="Y2055" s="20"/>
      <c r="Z2055" s="20"/>
      <c r="AA2055" s="20"/>
    </row>
    <row r="2056" spans="1:27" ht="121.8" x14ac:dyDescent="0.25">
      <c r="A2056" s="16"/>
      <c r="B2056" s="20" t="b">
        <v>0</v>
      </c>
      <c r="C2056" s="20">
        <v>400</v>
      </c>
      <c r="D2056" s="2" t="s">
        <v>4330</v>
      </c>
      <c r="E2056" s="2" t="s">
        <v>4302</v>
      </c>
      <c r="F2056" s="20" t="s">
        <v>63</v>
      </c>
      <c r="G2056" s="2" t="s">
        <v>4331</v>
      </c>
      <c r="H2056" s="16"/>
      <c r="I2056" s="20"/>
      <c r="J2056" s="20"/>
      <c r="K2056" s="20"/>
      <c r="L2056" s="20"/>
      <c r="M2056" s="20"/>
      <c r="N2056" s="20"/>
      <c r="O2056" s="20"/>
      <c r="P2056" s="20"/>
      <c r="Q2056" s="20"/>
      <c r="R2056" s="20"/>
      <c r="S2056" s="20"/>
      <c r="T2056" s="20"/>
      <c r="U2056" s="20"/>
      <c r="V2056" s="20"/>
      <c r="W2056" s="20"/>
      <c r="X2056" s="20"/>
      <c r="Y2056" s="20"/>
      <c r="Z2056" s="20"/>
      <c r="AA2056" s="20"/>
    </row>
    <row r="2057" spans="1:27" ht="156.6" x14ac:dyDescent="0.25">
      <c r="A2057" s="16"/>
      <c r="B2057" s="20" t="b">
        <v>0</v>
      </c>
      <c r="C2057" s="20">
        <v>400</v>
      </c>
      <c r="D2057" s="2" t="s">
        <v>4332</v>
      </c>
      <c r="E2057" s="2" t="s">
        <v>4302</v>
      </c>
      <c r="F2057" s="20" t="s">
        <v>60</v>
      </c>
      <c r="G2057" s="2" t="s">
        <v>4333</v>
      </c>
      <c r="H2057" s="16"/>
      <c r="I2057" s="20"/>
      <c r="J2057" s="20"/>
      <c r="K2057" s="20"/>
      <c r="L2057" s="20"/>
      <c r="M2057" s="20"/>
      <c r="N2057" s="20"/>
      <c r="O2057" s="20"/>
      <c r="P2057" s="20"/>
      <c r="Q2057" s="20"/>
      <c r="R2057" s="20"/>
      <c r="S2057" s="20"/>
      <c r="T2057" s="20"/>
      <c r="U2057" s="20"/>
      <c r="V2057" s="20"/>
      <c r="W2057" s="20"/>
      <c r="X2057" s="20"/>
      <c r="Y2057" s="20"/>
      <c r="Z2057" s="20"/>
      <c r="AA2057" s="20"/>
    </row>
    <row r="2058" spans="1:27" ht="121.8" x14ac:dyDescent="0.25">
      <c r="A2058" s="16"/>
      <c r="B2058" s="20" t="b">
        <v>0</v>
      </c>
      <c r="C2058" s="20">
        <v>600</v>
      </c>
      <c r="D2058" s="2" t="s">
        <v>4334</v>
      </c>
      <c r="E2058" s="2" t="s">
        <v>4302</v>
      </c>
      <c r="F2058" s="20" t="s">
        <v>64</v>
      </c>
      <c r="G2058" s="2" t="s">
        <v>4335</v>
      </c>
      <c r="H2058" s="16"/>
      <c r="I2058" s="20"/>
      <c r="J2058" s="20"/>
      <c r="K2058" s="20"/>
      <c r="L2058" s="20"/>
      <c r="M2058" s="20"/>
      <c r="N2058" s="20"/>
      <c r="O2058" s="20"/>
      <c r="P2058" s="20"/>
      <c r="Q2058" s="20"/>
      <c r="R2058" s="20"/>
      <c r="S2058" s="20"/>
      <c r="T2058" s="20"/>
      <c r="U2058" s="20"/>
      <c r="V2058" s="20"/>
      <c r="W2058" s="20"/>
      <c r="X2058" s="20"/>
      <c r="Y2058" s="20"/>
      <c r="Z2058" s="20"/>
      <c r="AA2058" s="20"/>
    </row>
    <row r="2059" spans="1:27" ht="121.8" x14ac:dyDescent="0.25">
      <c r="A2059" s="16"/>
      <c r="B2059" s="20" t="b">
        <v>0</v>
      </c>
      <c r="C2059" s="20">
        <v>600</v>
      </c>
      <c r="D2059" s="2" t="s">
        <v>4336</v>
      </c>
      <c r="E2059" s="2" t="s">
        <v>4302</v>
      </c>
      <c r="F2059" s="20" t="s">
        <v>59</v>
      </c>
      <c r="G2059" s="2" t="s">
        <v>4337</v>
      </c>
      <c r="H2059" s="16"/>
      <c r="I2059" s="20"/>
      <c r="J2059" s="20"/>
      <c r="K2059" s="20"/>
      <c r="L2059" s="20"/>
      <c r="M2059" s="20"/>
      <c r="N2059" s="20"/>
      <c r="O2059" s="20"/>
      <c r="P2059" s="20"/>
      <c r="Q2059" s="20"/>
      <c r="R2059" s="20"/>
      <c r="S2059" s="20"/>
      <c r="T2059" s="20"/>
      <c r="U2059" s="20"/>
      <c r="V2059" s="20"/>
      <c r="W2059" s="20"/>
      <c r="X2059" s="20"/>
      <c r="Y2059" s="20"/>
      <c r="Z2059" s="20"/>
      <c r="AA2059" s="20"/>
    </row>
    <row r="2060" spans="1:27" ht="139.19999999999999" x14ac:dyDescent="0.25">
      <c r="A2060" s="16"/>
      <c r="B2060" s="20" t="b">
        <v>0</v>
      </c>
      <c r="C2060" s="20">
        <v>100</v>
      </c>
      <c r="D2060" s="2" t="s">
        <v>4338</v>
      </c>
      <c r="E2060" s="2" t="s">
        <v>4302</v>
      </c>
      <c r="F2060" s="20" t="s">
        <v>54</v>
      </c>
      <c r="G2060" s="2" t="s">
        <v>4339</v>
      </c>
      <c r="H2060" s="16"/>
      <c r="I2060" s="20"/>
      <c r="J2060" s="20"/>
      <c r="K2060" s="20"/>
      <c r="L2060" s="20"/>
      <c r="M2060" s="20"/>
      <c r="N2060" s="20"/>
      <c r="O2060" s="20"/>
      <c r="P2060" s="20"/>
      <c r="Q2060" s="20"/>
      <c r="R2060" s="20"/>
      <c r="S2060" s="20"/>
      <c r="T2060" s="20"/>
      <c r="U2060" s="20"/>
      <c r="V2060" s="20"/>
      <c r="W2060" s="20"/>
      <c r="X2060" s="20"/>
      <c r="Y2060" s="20"/>
      <c r="Z2060" s="20"/>
      <c r="AA2060" s="20"/>
    </row>
    <row r="2061" spans="1:27" ht="121.8" x14ac:dyDescent="0.25">
      <c r="A2061" s="16"/>
      <c r="B2061" s="20" t="b">
        <v>0</v>
      </c>
      <c r="C2061" s="20">
        <v>100</v>
      </c>
      <c r="D2061" s="2" t="s">
        <v>4340</v>
      </c>
      <c r="E2061" s="2" t="s">
        <v>4302</v>
      </c>
      <c r="F2061" s="20" t="s">
        <v>61</v>
      </c>
      <c r="G2061" s="2" t="s">
        <v>4341</v>
      </c>
      <c r="H2061" s="16"/>
      <c r="I2061" s="20"/>
      <c r="J2061" s="20"/>
      <c r="K2061" s="20"/>
      <c r="L2061" s="20"/>
      <c r="M2061" s="20"/>
      <c r="N2061" s="20"/>
      <c r="O2061" s="20"/>
      <c r="P2061" s="20"/>
      <c r="Q2061" s="20"/>
      <c r="R2061" s="20"/>
      <c r="S2061" s="20"/>
      <c r="T2061" s="20"/>
      <c r="U2061" s="20"/>
      <c r="V2061" s="20"/>
      <c r="W2061" s="20"/>
      <c r="X2061" s="20"/>
      <c r="Y2061" s="20"/>
      <c r="Z2061" s="20"/>
      <c r="AA2061" s="20"/>
    </row>
    <row r="2062" spans="1:27" ht="87" x14ac:dyDescent="0.25">
      <c r="A2062" s="16"/>
      <c r="B2062" s="20" t="b">
        <v>0</v>
      </c>
      <c r="C2062" s="20">
        <v>200</v>
      </c>
      <c r="D2062" s="2" t="s">
        <v>4342</v>
      </c>
      <c r="E2062" s="2" t="s">
        <v>4302</v>
      </c>
      <c r="F2062" s="20" t="s">
        <v>61</v>
      </c>
      <c r="G2062" s="2" t="s">
        <v>4343</v>
      </c>
      <c r="H2062" s="16"/>
      <c r="I2062" s="20"/>
      <c r="J2062" s="20"/>
      <c r="K2062" s="20"/>
      <c r="L2062" s="20"/>
      <c r="M2062" s="20"/>
      <c r="N2062" s="20"/>
      <c r="O2062" s="20"/>
      <c r="P2062" s="20"/>
      <c r="Q2062" s="20"/>
      <c r="R2062" s="20"/>
      <c r="S2062" s="20"/>
      <c r="T2062" s="20"/>
      <c r="U2062" s="20"/>
      <c r="V2062" s="20"/>
      <c r="W2062" s="20"/>
      <c r="X2062" s="20"/>
      <c r="Y2062" s="20"/>
      <c r="Z2062" s="20"/>
      <c r="AA2062" s="20"/>
    </row>
    <row r="2063" spans="1:27" ht="139.19999999999999" x14ac:dyDescent="0.25">
      <c r="A2063" s="16"/>
      <c r="B2063" s="20" t="b">
        <v>0</v>
      </c>
      <c r="C2063" s="20">
        <v>200</v>
      </c>
      <c r="D2063" s="2" t="s">
        <v>4344</v>
      </c>
      <c r="E2063" s="2" t="s">
        <v>4302</v>
      </c>
      <c r="F2063" s="20" t="s">
        <v>54</v>
      </c>
      <c r="G2063" s="2" t="s">
        <v>4345</v>
      </c>
      <c r="H2063" s="16"/>
      <c r="I2063" s="20"/>
      <c r="J2063" s="20"/>
      <c r="K2063" s="20"/>
      <c r="L2063" s="20"/>
      <c r="M2063" s="20"/>
      <c r="N2063" s="20"/>
      <c r="O2063" s="20"/>
      <c r="P2063" s="20"/>
      <c r="Q2063" s="20"/>
      <c r="R2063" s="20"/>
      <c r="S2063" s="20"/>
      <c r="T2063" s="20"/>
      <c r="U2063" s="20"/>
      <c r="V2063" s="20"/>
      <c r="W2063" s="20"/>
      <c r="X2063" s="20"/>
      <c r="Y2063" s="20"/>
      <c r="Z2063" s="20"/>
      <c r="AA2063" s="20"/>
    </row>
    <row r="2064" spans="1:27" ht="174" x14ac:dyDescent="0.25">
      <c r="A2064" s="16"/>
      <c r="B2064" s="20" t="b">
        <v>0</v>
      </c>
      <c r="C2064" s="20">
        <v>400</v>
      </c>
      <c r="D2064" s="2" t="s">
        <v>4346</v>
      </c>
      <c r="E2064" s="2" t="s">
        <v>4302</v>
      </c>
      <c r="F2064" s="20" t="s">
        <v>60</v>
      </c>
      <c r="G2064" s="2" t="s">
        <v>4347</v>
      </c>
      <c r="H2064" s="16"/>
      <c r="I2064" s="20"/>
      <c r="J2064" s="20"/>
      <c r="K2064" s="20"/>
      <c r="L2064" s="20"/>
      <c r="M2064" s="20"/>
      <c r="N2064" s="20"/>
      <c r="O2064" s="20"/>
      <c r="P2064" s="20"/>
      <c r="Q2064" s="20"/>
      <c r="R2064" s="20"/>
      <c r="S2064" s="20"/>
      <c r="T2064" s="20"/>
      <c r="U2064" s="20"/>
      <c r="V2064" s="20"/>
      <c r="W2064" s="20"/>
      <c r="X2064" s="20"/>
      <c r="Y2064" s="20"/>
      <c r="Z2064" s="20"/>
      <c r="AA2064" s="20"/>
    </row>
    <row r="2065" spans="1:27" ht="121.8" x14ac:dyDescent="0.25">
      <c r="A2065" s="16"/>
      <c r="B2065" s="20" t="b">
        <v>0</v>
      </c>
      <c r="C2065" s="20">
        <v>400</v>
      </c>
      <c r="D2065" s="2" t="s">
        <v>4348</v>
      </c>
      <c r="E2065" s="2" t="s">
        <v>4302</v>
      </c>
      <c r="F2065" s="20" t="s">
        <v>63</v>
      </c>
      <c r="G2065" s="2" t="s">
        <v>4349</v>
      </c>
      <c r="H2065" s="16"/>
      <c r="I2065" s="20"/>
      <c r="J2065" s="20"/>
      <c r="K2065" s="20"/>
      <c r="L2065" s="20"/>
      <c r="M2065" s="20"/>
      <c r="N2065" s="20"/>
      <c r="O2065" s="20"/>
      <c r="P2065" s="20"/>
      <c r="Q2065" s="20"/>
      <c r="R2065" s="20"/>
      <c r="S2065" s="20"/>
      <c r="T2065" s="20"/>
      <c r="U2065" s="20"/>
      <c r="V2065" s="20"/>
      <c r="W2065" s="20"/>
      <c r="X2065" s="20"/>
      <c r="Y2065" s="20"/>
      <c r="Z2065" s="20"/>
      <c r="AA2065" s="20"/>
    </row>
    <row r="2066" spans="1:27" ht="139.19999999999999" x14ac:dyDescent="0.25">
      <c r="A2066" s="16"/>
      <c r="B2066" s="20" t="b">
        <v>0</v>
      </c>
      <c r="C2066" s="20">
        <v>600</v>
      </c>
      <c r="D2066" s="2" t="s">
        <v>4350</v>
      </c>
      <c r="E2066" s="2" t="s">
        <v>4302</v>
      </c>
      <c r="F2066" s="20" t="s">
        <v>60</v>
      </c>
      <c r="G2066" s="2" t="s">
        <v>4351</v>
      </c>
      <c r="H2066" s="16"/>
      <c r="I2066" s="20"/>
      <c r="J2066" s="20"/>
      <c r="K2066" s="20"/>
      <c r="L2066" s="20"/>
      <c r="M2066" s="20"/>
      <c r="N2066" s="20"/>
      <c r="O2066" s="20"/>
      <c r="P2066" s="20"/>
      <c r="Q2066" s="20"/>
      <c r="R2066" s="20"/>
      <c r="S2066" s="20"/>
      <c r="T2066" s="20"/>
      <c r="U2066" s="20"/>
      <c r="V2066" s="20"/>
      <c r="W2066" s="20"/>
      <c r="X2066" s="20"/>
      <c r="Y2066" s="20"/>
      <c r="Z2066" s="20"/>
      <c r="AA2066" s="20"/>
    </row>
    <row r="2067" spans="1:27" ht="104.4" x14ac:dyDescent="0.25">
      <c r="A2067" s="16"/>
      <c r="B2067" s="20" t="b">
        <v>0</v>
      </c>
      <c r="C2067" s="20">
        <v>600</v>
      </c>
      <c r="D2067" s="2" t="s">
        <v>4352</v>
      </c>
      <c r="E2067" s="2" t="s">
        <v>4302</v>
      </c>
      <c r="F2067" s="20" t="s">
        <v>61</v>
      </c>
      <c r="G2067" s="2" t="s">
        <v>4353</v>
      </c>
      <c r="H2067" s="16"/>
      <c r="I2067" s="20"/>
      <c r="J2067" s="20"/>
      <c r="K2067" s="20"/>
      <c r="L2067" s="20"/>
      <c r="M2067" s="20"/>
      <c r="N2067" s="20"/>
      <c r="O2067" s="20"/>
      <c r="P2067" s="20"/>
      <c r="Q2067" s="20"/>
      <c r="R2067" s="20"/>
      <c r="S2067" s="20"/>
      <c r="T2067" s="20"/>
      <c r="U2067" s="20"/>
      <c r="V2067" s="20"/>
      <c r="W2067" s="20"/>
      <c r="X2067" s="20"/>
      <c r="Y2067" s="20"/>
      <c r="Z2067" s="20"/>
      <c r="AA2067" s="20"/>
    </row>
    <row r="2068" spans="1:27" ht="87" x14ac:dyDescent="0.25">
      <c r="A2068" s="16"/>
      <c r="B2068" s="20" t="b">
        <v>0</v>
      </c>
      <c r="C2068" s="20">
        <v>100</v>
      </c>
      <c r="D2068" s="2" t="s">
        <v>4354</v>
      </c>
      <c r="E2068" s="2" t="s">
        <v>4302</v>
      </c>
      <c r="F2068" s="20" t="s">
        <v>53</v>
      </c>
      <c r="G2068" s="2" t="s">
        <v>4355</v>
      </c>
      <c r="H2068" s="16"/>
      <c r="I2068" s="20"/>
      <c r="J2068" s="20"/>
      <c r="K2068" s="20"/>
      <c r="L2068" s="20"/>
      <c r="M2068" s="20"/>
      <c r="N2068" s="20"/>
      <c r="O2068" s="20"/>
      <c r="P2068" s="20"/>
      <c r="Q2068" s="20"/>
      <c r="R2068" s="20"/>
      <c r="S2068" s="20"/>
      <c r="T2068" s="20"/>
      <c r="U2068" s="20"/>
      <c r="V2068" s="20"/>
      <c r="W2068" s="20"/>
      <c r="X2068" s="20"/>
      <c r="Y2068" s="20"/>
      <c r="Z2068" s="20"/>
      <c r="AA2068" s="20"/>
    </row>
    <row r="2069" spans="1:27" ht="69.599999999999994" x14ac:dyDescent="0.25">
      <c r="A2069" s="16"/>
      <c r="B2069" s="20" t="b">
        <v>0</v>
      </c>
      <c r="C2069" s="20">
        <v>100</v>
      </c>
      <c r="D2069" s="2" t="s">
        <v>4356</v>
      </c>
      <c r="E2069" s="2" t="s">
        <v>4302</v>
      </c>
      <c r="F2069" s="20" t="s">
        <v>60</v>
      </c>
      <c r="G2069" s="2" t="s">
        <v>4357</v>
      </c>
      <c r="H2069" s="16"/>
      <c r="I2069" s="20"/>
      <c r="J2069" s="20"/>
      <c r="K2069" s="20"/>
      <c r="L2069" s="20"/>
      <c r="M2069" s="20"/>
      <c r="N2069" s="20"/>
      <c r="O2069" s="20"/>
      <c r="P2069" s="20"/>
      <c r="Q2069" s="20"/>
      <c r="R2069" s="20"/>
      <c r="S2069" s="20"/>
      <c r="T2069" s="20"/>
      <c r="U2069" s="20"/>
      <c r="V2069" s="20"/>
      <c r="W2069" s="20"/>
      <c r="X2069" s="20"/>
      <c r="Y2069" s="20"/>
      <c r="Z2069" s="20"/>
      <c r="AA2069" s="20"/>
    </row>
    <row r="2070" spans="1:27" ht="121.8" x14ac:dyDescent="0.25">
      <c r="A2070" s="16"/>
      <c r="B2070" s="20" t="b">
        <v>0</v>
      </c>
      <c r="C2070" s="20">
        <v>200</v>
      </c>
      <c r="D2070" s="2" t="s">
        <v>4358</v>
      </c>
      <c r="E2070" s="2" t="s">
        <v>4302</v>
      </c>
      <c r="F2070" s="20" t="s">
        <v>55</v>
      </c>
      <c r="G2070" s="2" t="s">
        <v>4359</v>
      </c>
      <c r="H2070" s="16"/>
      <c r="I2070" s="20"/>
      <c r="J2070" s="20"/>
      <c r="K2070" s="20"/>
      <c r="L2070" s="20"/>
      <c r="M2070" s="20"/>
      <c r="N2070" s="20"/>
      <c r="O2070" s="20"/>
      <c r="P2070" s="20"/>
      <c r="Q2070" s="20"/>
      <c r="R2070" s="20"/>
      <c r="S2070" s="20"/>
      <c r="T2070" s="20"/>
      <c r="U2070" s="20"/>
      <c r="V2070" s="20"/>
      <c r="W2070" s="20"/>
      <c r="X2070" s="20"/>
      <c r="Y2070" s="20"/>
      <c r="Z2070" s="20"/>
      <c r="AA2070" s="20"/>
    </row>
    <row r="2071" spans="1:27" ht="87" x14ac:dyDescent="0.25">
      <c r="A2071" s="16"/>
      <c r="B2071" s="20" t="b">
        <v>0</v>
      </c>
      <c r="C2071" s="20">
        <v>200</v>
      </c>
      <c r="D2071" s="2" t="s">
        <v>4360</v>
      </c>
      <c r="E2071" s="2" t="s">
        <v>4302</v>
      </c>
      <c r="F2071" s="20" t="s">
        <v>55</v>
      </c>
      <c r="G2071" s="2" t="s">
        <v>4361</v>
      </c>
      <c r="H2071" s="16"/>
      <c r="I2071" s="20"/>
      <c r="J2071" s="20"/>
      <c r="K2071" s="20"/>
      <c r="L2071" s="20"/>
      <c r="M2071" s="20"/>
      <c r="N2071" s="20"/>
      <c r="O2071" s="20"/>
      <c r="P2071" s="20"/>
      <c r="Q2071" s="20"/>
      <c r="R2071" s="20"/>
      <c r="S2071" s="20"/>
      <c r="T2071" s="20"/>
      <c r="U2071" s="20"/>
      <c r="V2071" s="20"/>
      <c r="W2071" s="20"/>
      <c r="X2071" s="20"/>
      <c r="Y2071" s="20"/>
      <c r="Z2071" s="20"/>
      <c r="AA2071" s="20"/>
    </row>
    <row r="2072" spans="1:27" ht="139.19999999999999" x14ac:dyDescent="0.25">
      <c r="A2072" s="16"/>
      <c r="B2072" s="20" t="b">
        <v>0</v>
      </c>
      <c r="C2072" s="20">
        <v>400</v>
      </c>
      <c r="D2072" s="2" t="s">
        <v>4362</v>
      </c>
      <c r="E2072" s="2" t="s">
        <v>4302</v>
      </c>
      <c r="F2072" s="20" t="s">
        <v>57</v>
      </c>
      <c r="G2072" s="2" t="s">
        <v>4363</v>
      </c>
      <c r="H2072" s="16"/>
      <c r="I2072" s="20"/>
      <c r="J2072" s="20"/>
      <c r="K2072" s="20"/>
      <c r="L2072" s="20"/>
      <c r="M2072" s="20"/>
      <c r="N2072" s="20"/>
      <c r="O2072" s="20"/>
      <c r="P2072" s="20"/>
      <c r="Q2072" s="20"/>
      <c r="R2072" s="20"/>
      <c r="S2072" s="20"/>
      <c r="T2072" s="20"/>
      <c r="U2072" s="20"/>
      <c r="V2072" s="20"/>
      <c r="W2072" s="20"/>
      <c r="X2072" s="20"/>
      <c r="Y2072" s="20"/>
      <c r="Z2072" s="20"/>
      <c r="AA2072" s="20"/>
    </row>
    <row r="2073" spans="1:27" ht="87" x14ac:dyDescent="0.25">
      <c r="A2073" s="16"/>
      <c r="B2073" s="20" t="b">
        <v>0</v>
      </c>
      <c r="C2073" s="20">
        <v>400</v>
      </c>
      <c r="D2073" s="2" t="s">
        <v>4364</v>
      </c>
      <c r="E2073" s="2" t="s">
        <v>4302</v>
      </c>
      <c r="F2073" s="20" t="s">
        <v>60</v>
      </c>
      <c r="G2073" s="2" t="s">
        <v>4365</v>
      </c>
      <c r="H2073" s="16"/>
      <c r="I2073" s="20"/>
      <c r="J2073" s="20"/>
      <c r="K2073" s="20"/>
      <c r="L2073" s="20"/>
      <c r="M2073" s="20"/>
      <c r="N2073" s="20"/>
      <c r="O2073" s="20"/>
      <c r="P2073" s="20"/>
      <c r="Q2073" s="20"/>
      <c r="R2073" s="20"/>
      <c r="S2073" s="20"/>
      <c r="T2073" s="20"/>
      <c r="U2073" s="20"/>
      <c r="V2073" s="20"/>
      <c r="W2073" s="20"/>
      <c r="X2073" s="20"/>
      <c r="Y2073" s="20"/>
      <c r="Z2073" s="20"/>
      <c r="AA2073" s="20"/>
    </row>
    <row r="2074" spans="1:27" ht="139.19999999999999" x14ac:dyDescent="0.25">
      <c r="A2074" s="16"/>
      <c r="B2074" s="20" t="b">
        <v>0</v>
      </c>
      <c r="C2074" s="20">
        <v>600</v>
      </c>
      <c r="D2074" s="2" t="s">
        <v>4366</v>
      </c>
      <c r="E2074" s="2" t="s">
        <v>4302</v>
      </c>
      <c r="F2074" s="20" t="s">
        <v>56</v>
      </c>
      <c r="G2074" s="2" t="s">
        <v>4367</v>
      </c>
      <c r="H2074" s="16"/>
      <c r="I2074" s="20"/>
      <c r="J2074" s="20"/>
      <c r="K2074" s="20"/>
      <c r="L2074" s="20"/>
      <c r="M2074" s="20"/>
      <c r="N2074" s="20"/>
      <c r="O2074" s="20"/>
      <c r="P2074" s="20"/>
      <c r="Q2074" s="20"/>
      <c r="R2074" s="20"/>
      <c r="S2074" s="20"/>
      <c r="T2074" s="20"/>
      <c r="U2074" s="20"/>
      <c r="V2074" s="20"/>
      <c r="W2074" s="20"/>
      <c r="X2074" s="20"/>
      <c r="Y2074" s="20"/>
      <c r="Z2074" s="20"/>
      <c r="AA2074" s="20"/>
    </row>
    <row r="2075" spans="1:27" ht="104.4" x14ac:dyDescent="0.25">
      <c r="A2075" s="16"/>
      <c r="B2075" s="20" t="b">
        <v>0</v>
      </c>
      <c r="C2075" s="20">
        <v>600</v>
      </c>
      <c r="D2075" s="2" t="s">
        <v>4368</v>
      </c>
      <c r="E2075" s="2" t="s">
        <v>4302</v>
      </c>
      <c r="F2075" s="20" t="s">
        <v>56</v>
      </c>
      <c r="G2075" s="2" t="s">
        <v>4369</v>
      </c>
      <c r="H2075" s="16"/>
      <c r="I2075" s="20"/>
      <c r="J2075" s="20"/>
      <c r="K2075" s="20"/>
      <c r="L2075" s="20"/>
      <c r="M2075" s="20"/>
      <c r="N2075" s="20"/>
      <c r="O2075" s="20"/>
      <c r="P2075" s="20"/>
      <c r="Q2075" s="20"/>
      <c r="R2075" s="20"/>
      <c r="S2075" s="20"/>
      <c r="T2075" s="20"/>
      <c r="U2075" s="20"/>
      <c r="V2075" s="20"/>
      <c r="W2075" s="20"/>
      <c r="X2075" s="20"/>
      <c r="Y2075" s="20"/>
      <c r="Z2075" s="20"/>
      <c r="AA2075" s="20"/>
    </row>
    <row r="2076" spans="1:27" ht="156.6" x14ac:dyDescent="0.25">
      <c r="A2076" s="16"/>
      <c r="B2076" s="20" t="b">
        <v>0</v>
      </c>
      <c r="C2076" s="20">
        <v>100</v>
      </c>
      <c r="D2076" s="2" t="s">
        <v>4370</v>
      </c>
      <c r="E2076" s="2" t="s">
        <v>4302</v>
      </c>
      <c r="F2076" s="20" t="s">
        <v>59</v>
      </c>
      <c r="G2076" s="2" t="s">
        <v>4371</v>
      </c>
      <c r="H2076" s="16"/>
      <c r="I2076" s="20"/>
      <c r="J2076" s="20"/>
      <c r="K2076" s="20"/>
      <c r="L2076" s="20"/>
      <c r="M2076" s="20"/>
      <c r="N2076" s="20"/>
      <c r="O2076" s="20"/>
      <c r="P2076" s="20"/>
      <c r="Q2076" s="20"/>
      <c r="R2076" s="20"/>
      <c r="S2076" s="20"/>
      <c r="T2076" s="20"/>
      <c r="U2076" s="20"/>
      <c r="V2076" s="20"/>
      <c r="W2076" s="20"/>
      <c r="X2076" s="20"/>
      <c r="Y2076" s="20"/>
      <c r="Z2076" s="20"/>
      <c r="AA2076" s="20"/>
    </row>
    <row r="2077" spans="1:27" ht="87" x14ac:dyDescent="0.25">
      <c r="A2077" s="16"/>
      <c r="B2077" s="20" t="b">
        <v>0</v>
      </c>
      <c r="C2077" s="20">
        <v>200</v>
      </c>
      <c r="D2077" s="2" t="s">
        <v>4372</v>
      </c>
      <c r="E2077" s="2" t="s">
        <v>4302</v>
      </c>
      <c r="F2077" s="20" t="s">
        <v>64</v>
      </c>
      <c r="G2077" s="2" t="s">
        <v>4373</v>
      </c>
      <c r="H2077" s="16"/>
      <c r="I2077" s="20"/>
      <c r="J2077" s="20"/>
      <c r="K2077" s="20"/>
      <c r="L2077" s="20"/>
      <c r="M2077" s="20"/>
      <c r="N2077" s="20"/>
      <c r="O2077" s="20"/>
      <c r="P2077" s="20"/>
      <c r="Q2077" s="20"/>
      <c r="R2077" s="20"/>
      <c r="S2077" s="20"/>
      <c r="T2077" s="20"/>
      <c r="U2077" s="20"/>
      <c r="V2077" s="20"/>
      <c r="W2077" s="20"/>
      <c r="X2077" s="20"/>
      <c r="Y2077" s="20"/>
      <c r="Z2077" s="20"/>
      <c r="AA2077" s="20"/>
    </row>
    <row r="2078" spans="1:27" ht="104.4" x14ac:dyDescent="0.25">
      <c r="A2078" s="16"/>
      <c r="B2078" s="20" t="b">
        <v>0</v>
      </c>
      <c r="C2078" s="20">
        <v>100</v>
      </c>
      <c r="D2078" s="2" t="s">
        <v>4374</v>
      </c>
      <c r="E2078" s="2" t="s">
        <v>4302</v>
      </c>
      <c r="F2078" s="20" t="s">
        <v>54</v>
      </c>
      <c r="G2078" s="2" t="s">
        <v>4375</v>
      </c>
      <c r="H2078" s="16"/>
      <c r="I2078" s="20"/>
      <c r="J2078" s="20"/>
      <c r="K2078" s="20"/>
      <c r="L2078" s="20"/>
      <c r="M2078" s="20"/>
      <c r="N2078" s="20"/>
      <c r="O2078" s="20"/>
      <c r="P2078" s="20"/>
      <c r="Q2078" s="20"/>
      <c r="R2078" s="20"/>
      <c r="S2078" s="20"/>
      <c r="T2078" s="20"/>
      <c r="U2078" s="20"/>
      <c r="V2078" s="20"/>
      <c r="W2078" s="20"/>
      <c r="X2078" s="20"/>
      <c r="Y2078" s="20"/>
      <c r="Z2078" s="20"/>
      <c r="AA2078" s="20"/>
    </row>
    <row r="2079" spans="1:27" ht="87" x14ac:dyDescent="0.25">
      <c r="A2079" s="16"/>
      <c r="B2079" s="20" t="b">
        <v>0</v>
      </c>
      <c r="C2079" s="20">
        <v>200</v>
      </c>
      <c r="D2079" s="2" t="s">
        <v>4376</v>
      </c>
      <c r="E2079" s="2" t="s">
        <v>4302</v>
      </c>
      <c r="F2079" s="20" t="s">
        <v>64</v>
      </c>
      <c r="G2079" s="2" t="s">
        <v>4377</v>
      </c>
      <c r="H2079" s="16"/>
      <c r="I2079" s="20"/>
      <c r="J2079" s="20"/>
      <c r="K2079" s="20"/>
      <c r="L2079" s="20"/>
      <c r="M2079" s="20"/>
      <c r="N2079" s="20"/>
      <c r="O2079" s="20"/>
      <c r="P2079" s="20"/>
      <c r="Q2079" s="20"/>
      <c r="R2079" s="20"/>
      <c r="S2079" s="20"/>
      <c r="T2079" s="20"/>
      <c r="U2079" s="20"/>
      <c r="V2079" s="20"/>
      <c r="W2079" s="20"/>
      <c r="X2079" s="20"/>
      <c r="Y2079" s="20"/>
      <c r="Z2079" s="20"/>
      <c r="AA2079" s="20"/>
    </row>
    <row r="2080" spans="1:27" ht="191.4" x14ac:dyDescent="0.25">
      <c r="A2080" s="16"/>
      <c r="B2080" s="20" t="b">
        <v>0</v>
      </c>
      <c r="C2080" s="20">
        <v>600</v>
      </c>
      <c r="D2080" s="2" t="s">
        <v>4378</v>
      </c>
      <c r="E2080" s="2" t="s">
        <v>4302</v>
      </c>
      <c r="F2080" s="20" t="s">
        <v>64</v>
      </c>
      <c r="G2080" s="2" t="s">
        <v>4379</v>
      </c>
      <c r="H2080" s="16"/>
      <c r="I2080" s="20"/>
      <c r="J2080" s="20"/>
      <c r="K2080" s="20"/>
      <c r="L2080" s="20"/>
      <c r="M2080" s="20"/>
      <c r="N2080" s="20"/>
      <c r="O2080" s="20"/>
      <c r="P2080" s="20"/>
      <c r="Q2080" s="20"/>
      <c r="R2080" s="20"/>
      <c r="S2080" s="20"/>
      <c r="T2080" s="20"/>
      <c r="U2080" s="20"/>
      <c r="V2080" s="20"/>
      <c r="W2080" s="20"/>
      <c r="X2080" s="20"/>
      <c r="Y2080" s="20"/>
      <c r="Z2080" s="20"/>
      <c r="AA2080" s="20"/>
    </row>
    <row r="2081" spans="1:27" ht="121.8" x14ac:dyDescent="0.25">
      <c r="A2081" s="16"/>
      <c r="B2081" s="20" t="b">
        <v>0</v>
      </c>
      <c r="C2081" s="20">
        <v>400</v>
      </c>
      <c r="D2081" s="2" t="s">
        <v>4380</v>
      </c>
      <c r="E2081" s="2" t="s">
        <v>4302</v>
      </c>
      <c r="F2081" s="20" t="s">
        <v>58</v>
      </c>
      <c r="G2081" s="2" t="s">
        <v>4381</v>
      </c>
      <c r="H2081" s="16"/>
      <c r="I2081" s="20"/>
      <c r="J2081" s="20"/>
      <c r="K2081" s="20"/>
      <c r="L2081" s="20"/>
      <c r="M2081" s="20"/>
      <c r="N2081" s="20"/>
      <c r="O2081" s="20"/>
      <c r="P2081" s="20"/>
      <c r="Q2081" s="20"/>
      <c r="R2081" s="20"/>
      <c r="S2081" s="20"/>
      <c r="T2081" s="20"/>
      <c r="U2081" s="20"/>
      <c r="V2081" s="20"/>
      <c r="W2081" s="20"/>
      <c r="X2081" s="20"/>
      <c r="Y2081" s="20"/>
      <c r="Z2081" s="20"/>
      <c r="AA2081" s="20"/>
    </row>
    <row r="2082" spans="1:27" ht="121.8" x14ac:dyDescent="0.25">
      <c r="A2082" s="16"/>
      <c r="B2082" s="20" t="b">
        <v>0</v>
      </c>
      <c r="C2082" s="20">
        <v>600</v>
      </c>
      <c r="D2082" s="2" t="s">
        <v>4382</v>
      </c>
      <c r="E2082" s="2" t="s">
        <v>4302</v>
      </c>
      <c r="F2082" s="20" t="s">
        <v>60</v>
      </c>
      <c r="G2082" s="2" t="s">
        <v>4383</v>
      </c>
      <c r="H2082" s="16"/>
      <c r="I2082" s="20"/>
      <c r="J2082" s="20"/>
      <c r="K2082" s="20"/>
      <c r="L2082" s="20"/>
      <c r="M2082" s="20"/>
      <c r="N2082" s="20"/>
      <c r="O2082" s="20"/>
      <c r="P2082" s="20"/>
      <c r="Q2082" s="20"/>
      <c r="R2082" s="20"/>
      <c r="S2082" s="20"/>
      <c r="T2082" s="20"/>
      <c r="U2082" s="20"/>
      <c r="V2082" s="20"/>
      <c r="W2082" s="20"/>
      <c r="X2082" s="20"/>
      <c r="Y2082" s="20"/>
      <c r="Z2082" s="20"/>
      <c r="AA2082" s="20"/>
    </row>
    <row r="2083" spans="1:27" ht="69.599999999999994" x14ac:dyDescent="0.25">
      <c r="A2083" s="16"/>
      <c r="B2083" s="20" t="b">
        <v>0</v>
      </c>
      <c r="C2083" s="20">
        <v>0</v>
      </c>
      <c r="D2083" s="2" t="s">
        <v>4384</v>
      </c>
      <c r="E2083" s="2" t="s">
        <v>4385</v>
      </c>
      <c r="F2083" s="20" t="s">
        <v>53</v>
      </c>
      <c r="G2083" s="2" t="s">
        <v>4386</v>
      </c>
      <c r="H2083" s="16"/>
      <c r="I2083" s="20"/>
      <c r="J2083" s="20"/>
      <c r="K2083" s="20"/>
      <c r="L2083" s="20"/>
      <c r="M2083" s="20"/>
      <c r="N2083" s="20"/>
      <c r="O2083" s="20"/>
      <c r="P2083" s="20"/>
      <c r="Q2083" s="20"/>
      <c r="R2083" s="20"/>
      <c r="S2083" s="20"/>
      <c r="T2083" s="20"/>
      <c r="U2083" s="20"/>
      <c r="V2083" s="20"/>
      <c r="W2083" s="20"/>
      <c r="X2083" s="20"/>
      <c r="Y2083" s="20"/>
      <c r="Z2083" s="20"/>
      <c r="AA2083" s="20"/>
    </row>
    <row r="2084" spans="1:27" ht="121.8" x14ac:dyDescent="0.25">
      <c r="A2084" s="16"/>
      <c r="B2084" s="20" t="b">
        <v>0</v>
      </c>
      <c r="C2084" s="20">
        <v>100</v>
      </c>
      <c r="D2084" s="2" t="s">
        <v>4387</v>
      </c>
      <c r="E2084" s="2" t="s">
        <v>4385</v>
      </c>
      <c r="F2084" s="20" t="s">
        <v>57</v>
      </c>
      <c r="G2084" s="2" t="s">
        <v>4388</v>
      </c>
      <c r="H2084" s="16"/>
      <c r="I2084" s="20"/>
      <c r="J2084" s="20"/>
      <c r="K2084" s="20"/>
      <c r="L2084" s="20"/>
      <c r="M2084" s="20"/>
      <c r="N2084" s="20"/>
      <c r="O2084" s="20"/>
      <c r="P2084" s="20"/>
      <c r="Q2084" s="20"/>
      <c r="R2084" s="20"/>
      <c r="S2084" s="20"/>
      <c r="T2084" s="20"/>
      <c r="U2084" s="20"/>
      <c r="V2084" s="20"/>
      <c r="W2084" s="20"/>
      <c r="X2084" s="20"/>
      <c r="Y2084" s="20"/>
      <c r="Z2084" s="20"/>
      <c r="AA2084" s="20"/>
    </row>
    <row r="2085" spans="1:27" ht="104.4" x14ac:dyDescent="0.25">
      <c r="A2085" s="16"/>
      <c r="B2085" s="20" t="b">
        <v>0</v>
      </c>
      <c r="C2085" s="20">
        <v>600</v>
      </c>
      <c r="D2085" s="2" t="s">
        <v>4389</v>
      </c>
      <c r="E2085" s="2" t="s">
        <v>4385</v>
      </c>
      <c r="F2085" s="20" t="s">
        <v>61</v>
      </c>
      <c r="G2085" s="2" t="s">
        <v>4390</v>
      </c>
      <c r="H2085" s="16"/>
      <c r="I2085" s="20"/>
      <c r="J2085" s="20"/>
      <c r="K2085" s="20"/>
      <c r="L2085" s="20"/>
      <c r="M2085" s="20"/>
      <c r="N2085" s="20"/>
      <c r="O2085" s="20"/>
      <c r="P2085" s="20"/>
      <c r="Q2085" s="20"/>
      <c r="R2085" s="20"/>
      <c r="S2085" s="20"/>
      <c r="T2085" s="20"/>
      <c r="U2085" s="20"/>
      <c r="V2085" s="20"/>
      <c r="W2085" s="20"/>
      <c r="X2085" s="20"/>
      <c r="Y2085" s="20"/>
      <c r="Z2085" s="20"/>
      <c r="AA2085" s="20"/>
    </row>
    <row r="2086" spans="1:27" ht="409.6" x14ac:dyDescent="0.25">
      <c r="A2086" s="16"/>
      <c r="B2086" s="20" t="b">
        <v>0</v>
      </c>
      <c r="C2086" s="20">
        <v>600</v>
      </c>
      <c r="D2086" s="2" t="s">
        <v>4391</v>
      </c>
      <c r="E2086" s="2" t="s">
        <v>4385</v>
      </c>
      <c r="F2086" s="20" t="s">
        <v>56</v>
      </c>
      <c r="G2086" s="2" t="s">
        <v>4392</v>
      </c>
      <c r="H2086" s="16"/>
      <c r="I2086" s="20"/>
      <c r="J2086" s="20"/>
      <c r="K2086" s="20"/>
      <c r="L2086" s="20"/>
      <c r="M2086" s="20"/>
      <c r="N2086" s="20"/>
      <c r="O2086" s="20"/>
      <c r="P2086" s="20"/>
      <c r="Q2086" s="20"/>
      <c r="R2086" s="20"/>
      <c r="S2086" s="20"/>
      <c r="T2086" s="20"/>
      <c r="U2086" s="20"/>
      <c r="V2086" s="20"/>
      <c r="W2086" s="20"/>
      <c r="X2086" s="20"/>
      <c r="Y2086" s="20"/>
      <c r="Z2086" s="20"/>
      <c r="AA2086" s="20"/>
    </row>
    <row r="2087" spans="1:27" ht="174" x14ac:dyDescent="0.25">
      <c r="A2087" s="16"/>
      <c r="B2087" s="20" t="b">
        <v>0</v>
      </c>
      <c r="C2087" s="20">
        <v>600</v>
      </c>
      <c r="D2087" s="2" t="s">
        <v>4393</v>
      </c>
      <c r="E2087" s="2" t="s">
        <v>4385</v>
      </c>
      <c r="F2087" s="20" t="s">
        <v>54</v>
      </c>
      <c r="G2087" s="2" t="s">
        <v>4394</v>
      </c>
      <c r="H2087" s="16"/>
      <c r="I2087" s="20"/>
      <c r="J2087" s="20"/>
      <c r="K2087" s="20"/>
      <c r="L2087" s="20"/>
      <c r="M2087" s="20"/>
      <c r="N2087" s="20"/>
      <c r="O2087" s="20"/>
      <c r="P2087" s="20"/>
      <c r="Q2087" s="20"/>
      <c r="R2087" s="20"/>
      <c r="S2087" s="20"/>
      <c r="T2087" s="20"/>
      <c r="U2087" s="20"/>
      <c r="V2087" s="20"/>
      <c r="W2087" s="20"/>
      <c r="X2087" s="20"/>
      <c r="Y2087" s="20"/>
      <c r="Z2087" s="20"/>
      <c r="AA2087" s="20"/>
    </row>
    <row r="2088" spans="1:27" ht="87" x14ac:dyDescent="0.25">
      <c r="A2088" s="16"/>
      <c r="B2088" s="20" t="b">
        <v>0</v>
      </c>
      <c r="C2088" s="20">
        <v>600</v>
      </c>
      <c r="D2088" s="2" t="s">
        <v>4395</v>
      </c>
      <c r="E2088" s="2" t="s">
        <v>4385</v>
      </c>
      <c r="F2088" s="20" t="s">
        <v>56</v>
      </c>
      <c r="G2088" s="2" t="s">
        <v>4396</v>
      </c>
      <c r="H2088" s="16"/>
      <c r="I2088" s="20"/>
      <c r="J2088" s="20"/>
      <c r="K2088" s="20"/>
      <c r="L2088" s="20"/>
      <c r="M2088" s="20"/>
      <c r="N2088" s="20"/>
      <c r="O2088" s="20"/>
      <c r="P2088" s="20"/>
      <c r="Q2088" s="20"/>
      <c r="R2088" s="20"/>
      <c r="S2088" s="20"/>
      <c r="T2088" s="20"/>
      <c r="U2088" s="20"/>
      <c r="V2088" s="20"/>
      <c r="W2088" s="20"/>
      <c r="X2088" s="20"/>
      <c r="Y2088" s="20"/>
      <c r="Z2088" s="20"/>
      <c r="AA2088" s="20"/>
    </row>
    <row r="2089" spans="1:27" ht="409.6" x14ac:dyDescent="0.25">
      <c r="A2089" s="16"/>
      <c r="B2089" s="20" t="b">
        <v>0</v>
      </c>
      <c r="C2089" s="20">
        <v>600</v>
      </c>
      <c r="D2089" s="2" t="s">
        <v>4397</v>
      </c>
      <c r="E2089" s="2" t="s">
        <v>4385</v>
      </c>
      <c r="F2089" s="20" t="s">
        <v>64</v>
      </c>
      <c r="G2089" s="2" t="s">
        <v>4398</v>
      </c>
      <c r="H2089" s="16"/>
      <c r="I2089" s="20"/>
      <c r="J2089" s="20"/>
      <c r="K2089" s="20"/>
      <c r="L2089" s="20"/>
      <c r="M2089" s="20"/>
      <c r="N2089" s="20"/>
      <c r="O2089" s="20"/>
      <c r="P2089" s="20"/>
      <c r="Q2089" s="20"/>
      <c r="R2089" s="20"/>
      <c r="S2089" s="20"/>
      <c r="T2089" s="20"/>
      <c r="U2089" s="20"/>
      <c r="V2089" s="20"/>
      <c r="W2089" s="20"/>
      <c r="X2089" s="20"/>
      <c r="Y2089" s="20"/>
      <c r="Z2089" s="20"/>
      <c r="AA2089" s="20"/>
    </row>
    <row r="2090" spans="1:27" ht="409.6" x14ac:dyDescent="0.25">
      <c r="A2090" s="16"/>
      <c r="B2090" s="20" t="b">
        <v>0</v>
      </c>
      <c r="C2090" s="20">
        <v>600</v>
      </c>
      <c r="D2090" s="2" t="s">
        <v>4399</v>
      </c>
      <c r="E2090" s="2" t="s">
        <v>4385</v>
      </c>
      <c r="F2090" s="20" t="s">
        <v>63</v>
      </c>
      <c r="G2090" s="2" t="s">
        <v>4400</v>
      </c>
      <c r="H2090" s="16"/>
      <c r="I2090" s="20"/>
      <c r="J2090" s="20"/>
      <c r="K2090" s="20"/>
      <c r="L2090" s="20"/>
      <c r="M2090" s="20"/>
      <c r="N2090" s="20"/>
      <c r="O2090" s="20"/>
      <c r="P2090" s="20"/>
      <c r="Q2090" s="20"/>
      <c r="R2090" s="20"/>
      <c r="S2090" s="20"/>
      <c r="T2090" s="20"/>
      <c r="U2090" s="20"/>
      <c r="V2090" s="20"/>
      <c r="W2090" s="20"/>
      <c r="X2090" s="20"/>
      <c r="Y2090" s="20"/>
      <c r="Z2090" s="20"/>
      <c r="AA2090" s="20"/>
    </row>
    <row r="2091" spans="1:27" ht="87" x14ac:dyDescent="0.25">
      <c r="A2091" s="16"/>
      <c r="B2091" s="20" t="b">
        <v>0</v>
      </c>
      <c r="C2091" s="20">
        <v>100</v>
      </c>
      <c r="D2091" s="2" t="s">
        <v>4401</v>
      </c>
      <c r="E2091" s="2" t="s">
        <v>4385</v>
      </c>
      <c r="F2091" s="20" t="s">
        <v>53</v>
      </c>
      <c r="G2091" s="2" t="s">
        <v>4402</v>
      </c>
      <c r="H2091" s="16"/>
      <c r="I2091" s="20"/>
      <c r="J2091" s="20"/>
      <c r="K2091" s="20"/>
      <c r="L2091" s="20"/>
      <c r="M2091" s="20"/>
      <c r="N2091" s="20"/>
      <c r="O2091" s="20"/>
      <c r="P2091" s="20"/>
      <c r="Q2091" s="20"/>
      <c r="R2091" s="20"/>
      <c r="S2091" s="20"/>
      <c r="T2091" s="20"/>
      <c r="U2091" s="20"/>
      <c r="V2091" s="20"/>
      <c r="W2091" s="20"/>
      <c r="X2091" s="20"/>
      <c r="Y2091" s="20"/>
      <c r="Z2091" s="20"/>
      <c r="AA2091" s="20"/>
    </row>
    <row r="2092" spans="1:27" ht="69.599999999999994" x14ac:dyDescent="0.25">
      <c r="A2092" s="16"/>
      <c r="B2092" s="20" t="b">
        <v>0</v>
      </c>
      <c r="C2092" s="20">
        <v>100</v>
      </c>
      <c r="D2092" s="2" t="s">
        <v>4403</v>
      </c>
      <c r="E2092" s="2" t="s">
        <v>4385</v>
      </c>
      <c r="F2092" s="20" t="s">
        <v>53</v>
      </c>
      <c r="G2092" s="2" t="s">
        <v>4404</v>
      </c>
      <c r="H2092" s="16"/>
      <c r="I2092" s="20"/>
      <c r="J2092" s="20"/>
      <c r="K2092" s="20"/>
      <c r="L2092" s="20"/>
      <c r="M2092" s="20"/>
      <c r="N2092" s="20"/>
      <c r="O2092" s="20"/>
      <c r="P2092" s="20"/>
      <c r="Q2092" s="20"/>
      <c r="R2092" s="20"/>
      <c r="S2092" s="20"/>
      <c r="T2092" s="20"/>
      <c r="U2092" s="20"/>
      <c r="V2092" s="20"/>
      <c r="W2092" s="20"/>
      <c r="X2092" s="20"/>
      <c r="Y2092" s="20"/>
      <c r="Z2092" s="20"/>
      <c r="AA2092" s="20"/>
    </row>
    <row r="2093" spans="1:27" ht="69.599999999999994" x14ac:dyDescent="0.25">
      <c r="A2093" s="16"/>
      <c r="B2093" s="20" t="b">
        <v>0</v>
      </c>
      <c r="C2093" s="20">
        <v>100</v>
      </c>
      <c r="D2093" s="2" t="s">
        <v>4405</v>
      </c>
      <c r="E2093" s="2" t="s">
        <v>4385</v>
      </c>
      <c r="F2093" s="20" t="s">
        <v>62</v>
      </c>
      <c r="G2093" s="2" t="s">
        <v>4406</v>
      </c>
      <c r="H2093" s="16"/>
      <c r="I2093" s="20"/>
      <c r="J2093" s="20"/>
      <c r="K2093" s="20"/>
      <c r="L2093" s="20"/>
      <c r="M2093" s="20"/>
      <c r="N2093" s="20"/>
      <c r="O2093" s="20"/>
      <c r="P2093" s="20"/>
      <c r="Q2093" s="20"/>
      <c r="R2093" s="20"/>
      <c r="S2093" s="20"/>
      <c r="T2093" s="20"/>
      <c r="U2093" s="20"/>
      <c r="V2093" s="20"/>
      <c r="W2093" s="20"/>
      <c r="X2093" s="20"/>
      <c r="Y2093" s="20"/>
      <c r="Z2093" s="20"/>
      <c r="AA2093" s="20"/>
    </row>
    <row r="2094" spans="1:27" ht="104.4" x14ac:dyDescent="0.25">
      <c r="A2094" s="16"/>
      <c r="B2094" s="20" t="b">
        <v>0</v>
      </c>
      <c r="C2094" s="20">
        <v>200</v>
      </c>
      <c r="D2094" s="2" t="s">
        <v>4407</v>
      </c>
      <c r="E2094" s="2" t="s">
        <v>4385</v>
      </c>
      <c r="F2094" s="20" t="s">
        <v>53</v>
      </c>
      <c r="G2094" s="2" t="s">
        <v>4408</v>
      </c>
      <c r="H2094" s="16"/>
      <c r="I2094" s="20"/>
      <c r="J2094" s="20"/>
      <c r="K2094" s="20"/>
      <c r="L2094" s="20"/>
      <c r="M2094" s="20"/>
      <c r="N2094" s="20"/>
      <c r="O2094" s="20"/>
      <c r="P2094" s="20"/>
      <c r="Q2094" s="20"/>
      <c r="R2094" s="20"/>
      <c r="S2094" s="20"/>
      <c r="T2094" s="20"/>
      <c r="U2094" s="20"/>
      <c r="V2094" s="20"/>
      <c r="W2094" s="20"/>
      <c r="X2094" s="20"/>
      <c r="Y2094" s="20"/>
      <c r="Z2094" s="20"/>
      <c r="AA2094" s="20"/>
    </row>
    <row r="2095" spans="1:27" ht="87" x14ac:dyDescent="0.25">
      <c r="A2095" s="16"/>
      <c r="B2095" s="20" t="b">
        <v>0</v>
      </c>
      <c r="C2095" s="20">
        <v>200</v>
      </c>
      <c r="D2095" s="2" t="s">
        <v>4409</v>
      </c>
      <c r="E2095" s="2" t="s">
        <v>4385</v>
      </c>
      <c r="F2095" s="20" t="s">
        <v>63</v>
      </c>
      <c r="G2095" s="2" t="s">
        <v>4410</v>
      </c>
      <c r="H2095" s="16"/>
      <c r="I2095" s="20"/>
      <c r="J2095" s="20"/>
      <c r="K2095" s="20"/>
      <c r="L2095" s="20"/>
      <c r="M2095" s="20"/>
      <c r="N2095" s="20"/>
      <c r="O2095" s="20"/>
      <c r="P2095" s="20"/>
      <c r="Q2095" s="20"/>
      <c r="R2095" s="20"/>
      <c r="S2095" s="20"/>
      <c r="T2095" s="20"/>
      <c r="U2095" s="20"/>
      <c r="V2095" s="20"/>
      <c r="W2095" s="20"/>
      <c r="X2095" s="20"/>
      <c r="Y2095" s="20"/>
      <c r="Z2095" s="20"/>
      <c r="AA2095" s="20"/>
    </row>
    <row r="2096" spans="1:27" ht="52.2" x14ac:dyDescent="0.25">
      <c r="A2096" s="16"/>
      <c r="B2096" s="20" t="b">
        <v>0</v>
      </c>
      <c r="C2096" s="20">
        <v>200</v>
      </c>
      <c r="D2096" s="2" t="s">
        <v>4411</v>
      </c>
      <c r="E2096" s="2" t="s">
        <v>4385</v>
      </c>
      <c r="F2096" s="20" t="s">
        <v>53</v>
      </c>
      <c r="G2096" s="2" t="s">
        <v>4412</v>
      </c>
      <c r="H2096" s="16"/>
      <c r="I2096" s="20"/>
      <c r="J2096" s="20"/>
      <c r="K2096" s="20"/>
      <c r="L2096" s="20"/>
      <c r="M2096" s="20"/>
      <c r="N2096" s="20"/>
      <c r="O2096" s="20"/>
      <c r="P2096" s="20"/>
      <c r="Q2096" s="20"/>
      <c r="R2096" s="20"/>
      <c r="S2096" s="20"/>
      <c r="T2096" s="20"/>
      <c r="U2096" s="20"/>
      <c r="V2096" s="20"/>
      <c r="W2096" s="20"/>
      <c r="X2096" s="20"/>
      <c r="Y2096" s="20"/>
      <c r="Z2096" s="20"/>
      <c r="AA2096" s="20"/>
    </row>
    <row r="2097" spans="1:27" ht="104.4" x14ac:dyDescent="0.25">
      <c r="A2097" s="16"/>
      <c r="B2097" s="20" t="b">
        <v>0</v>
      </c>
      <c r="C2097" s="20">
        <v>200</v>
      </c>
      <c r="D2097" s="2" t="s">
        <v>4413</v>
      </c>
      <c r="E2097" s="2" t="s">
        <v>4385</v>
      </c>
      <c r="F2097" s="20" t="s">
        <v>63</v>
      </c>
      <c r="G2097" s="2" t="s">
        <v>4414</v>
      </c>
      <c r="H2097" s="16"/>
      <c r="I2097" s="20"/>
      <c r="J2097" s="20"/>
      <c r="K2097" s="20"/>
      <c r="L2097" s="20"/>
      <c r="M2097" s="20"/>
      <c r="N2097" s="20"/>
      <c r="O2097" s="20"/>
      <c r="P2097" s="20"/>
      <c r="Q2097" s="20"/>
      <c r="R2097" s="20"/>
      <c r="S2097" s="20"/>
      <c r="T2097" s="20"/>
      <c r="U2097" s="20"/>
      <c r="V2097" s="20"/>
      <c r="W2097" s="20"/>
      <c r="X2097" s="20"/>
      <c r="Y2097" s="20"/>
      <c r="Z2097" s="20"/>
      <c r="AA2097" s="20"/>
    </row>
    <row r="2098" spans="1:27" ht="121.8" x14ac:dyDescent="0.25">
      <c r="A2098" s="16"/>
      <c r="B2098" s="20" t="b">
        <v>0</v>
      </c>
      <c r="C2098" s="20">
        <v>200</v>
      </c>
      <c r="D2098" s="2" t="s">
        <v>4415</v>
      </c>
      <c r="E2098" s="2" t="s">
        <v>4385</v>
      </c>
      <c r="F2098" s="20" t="s">
        <v>53</v>
      </c>
      <c r="G2098" s="2" t="s">
        <v>4416</v>
      </c>
      <c r="H2098" s="16"/>
      <c r="I2098" s="20"/>
      <c r="J2098" s="20"/>
      <c r="K2098" s="20"/>
      <c r="L2098" s="20"/>
      <c r="M2098" s="20"/>
      <c r="N2098" s="20"/>
      <c r="O2098" s="20"/>
      <c r="P2098" s="20"/>
      <c r="Q2098" s="20"/>
      <c r="R2098" s="20"/>
      <c r="S2098" s="20"/>
      <c r="T2098" s="20"/>
      <c r="U2098" s="20"/>
      <c r="V2098" s="20"/>
      <c r="W2098" s="20"/>
      <c r="X2098" s="20"/>
      <c r="Y2098" s="20"/>
      <c r="Z2098" s="20"/>
      <c r="AA2098" s="20"/>
    </row>
    <row r="2099" spans="1:27" ht="69.599999999999994" x14ac:dyDescent="0.25">
      <c r="A2099" s="16"/>
      <c r="B2099" s="20" t="b">
        <v>0</v>
      </c>
      <c r="C2099" s="20">
        <v>200</v>
      </c>
      <c r="D2099" s="2" t="s">
        <v>4417</v>
      </c>
      <c r="E2099" s="2" t="s">
        <v>4385</v>
      </c>
      <c r="F2099" s="20" t="s">
        <v>56</v>
      </c>
      <c r="G2099" s="2" t="s">
        <v>4418</v>
      </c>
      <c r="H2099" s="16"/>
      <c r="I2099" s="20"/>
      <c r="J2099" s="20"/>
      <c r="K2099" s="20"/>
      <c r="L2099" s="20"/>
      <c r="M2099" s="20"/>
      <c r="N2099" s="20"/>
      <c r="O2099" s="20"/>
      <c r="P2099" s="20"/>
      <c r="Q2099" s="20"/>
      <c r="R2099" s="20"/>
      <c r="S2099" s="20"/>
      <c r="T2099" s="20"/>
      <c r="U2099" s="20"/>
      <c r="V2099" s="20"/>
      <c r="W2099" s="20"/>
      <c r="X2099" s="20"/>
      <c r="Y2099" s="20"/>
      <c r="Z2099" s="20"/>
      <c r="AA2099" s="20"/>
    </row>
    <row r="2100" spans="1:27" ht="104.4" x14ac:dyDescent="0.25">
      <c r="A2100" s="16"/>
      <c r="B2100" s="20" t="b">
        <v>0</v>
      </c>
      <c r="C2100" s="20">
        <v>200</v>
      </c>
      <c r="D2100" s="2" t="s">
        <v>4419</v>
      </c>
      <c r="E2100" s="2" t="s">
        <v>4385</v>
      </c>
      <c r="F2100" s="20" t="s">
        <v>57</v>
      </c>
      <c r="G2100" s="2" t="s">
        <v>4420</v>
      </c>
      <c r="H2100" s="16"/>
      <c r="I2100" s="20"/>
      <c r="J2100" s="20"/>
      <c r="K2100" s="20"/>
      <c r="L2100" s="20"/>
      <c r="M2100" s="20"/>
      <c r="N2100" s="20"/>
      <c r="O2100" s="20"/>
      <c r="P2100" s="20"/>
      <c r="Q2100" s="20"/>
      <c r="R2100" s="20"/>
      <c r="S2100" s="20"/>
      <c r="T2100" s="20"/>
      <c r="U2100" s="20"/>
      <c r="V2100" s="20"/>
      <c r="W2100" s="20"/>
      <c r="X2100" s="20"/>
      <c r="Y2100" s="20"/>
      <c r="Z2100" s="20"/>
      <c r="AA2100" s="20"/>
    </row>
    <row r="2101" spans="1:27" ht="121.8" x14ac:dyDescent="0.25">
      <c r="A2101" s="16"/>
      <c r="B2101" s="20" t="b">
        <v>0</v>
      </c>
      <c r="C2101" s="20">
        <v>300</v>
      </c>
      <c r="D2101" s="2" t="s">
        <v>4421</v>
      </c>
      <c r="E2101" s="2" t="s">
        <v>4385</v>
      </c>
      <c r="F2101" s="20" t="s">
        <v>56</v>
      </c>
      <c r="G2101" s="2" t="s">
        <v>4422</v>
      </c>
      <c r="H2101" s="16"/>
      <c r="I2101" s="20"/>
      <c r="J2101" s="20"/>
      <c r="K2101" s="20"/>
      <c r="L2101" s="20"/>
      <c r="M2101" s="20"/>
      <c r="N2101" s="20"/>
      <c r="O2101" s="20"/>
      <c r="P2101" s="20"/>
      <c r="Q2101" s="20"/>
      <c r="R2101" s="20"/>
      <c r="S2101" s="20"/>
      <c r="T2101" s="20"/>
      <c r="U2101" s="20"/>
      <c r="V2101" s="20"/>
      <c r="W2101" s="20"/>
      <c r="X2101" s="20"/>
      <c r="Y2101" s="20"/>
      <c r="Z2101" s="20"/>
      <c r="AA2101" s="20"/>
    </row>
    <row r="2102" spans="1:27" ht="174" x14ac:dyDescent="0.25">
      <c r="A2102" s="16"/>
      <c r="B2102" s="20" t="b">
        <v>0</v>
      </c>
      <c r="C2102" s="20">
        <v>300</v>
      </c>
      <c r="D2102" s="2" t="s">
        <v>4423</v>
      </c>
      <c r="E2102" s="2" t="s">
        <v>4385</v>
      </c>
      <c r="F2102" s="20" t="s">
        <v>54</v>
      </c>
      <c r="G2102" s="2" t="s">
        <v>4424</v>
      </c>
      <c r="H2102" s="16"/>
      <c r="I2102" s="20"/>
      <c r="J2102" s="20"/>
      <c r="K2102" s="20"/>
      <c r="L2102" s="20"/>
      <c r="M2102" s="20"/>
      <c r="N2102" s="20"/>
      <c r="O2102" s="20"/>
      <c r="P2102" s="20"/>
      <c r="Q2102" s="20"/>
      <c r="R2102" s="20"/>
      <c r="S2102" s="20"/>
      <c r="T2102" s="20"/>
      <c r="U2102" s="20"/>
      <c r="V2102" s="20"/>
      <c r="W2102" s="20"/>
      <c r="X2102" s="20"/>
      <c r="Y2102" s="20"/>
      <c r="Z2102" s="20"/>
      <c r="AA2102" s="20"/>
    </row>
    <row r="2103" spans="1:27" ht="191.4" x14ac:dyDescent="0.25">
      <c r="A2103" s="16"/>
      <c r="B2103" s="20" t="b">
        <v>0</v>
      </c>
      <c r="C2103" s="20">
        <v>300</v>
      </c>
      <c r="D2103" s="2" t="s">
        <v>4425</v>
      </c>
      <c r="E2103" s="2" t="s">
        <v>4385</v>
      </c>
      <c r="F2103" s="20" t="s">
        <v>63</v>
      </c>
      <c r="G2103" s="2" t="s">
        <v>4426</v>
      </c>
      <c r="H2103" s="16"/>
      <c r="I2103" s="20"/>
      <c r="J2103" s="20"/>
      <c r="K2103" s="20"/>
      <c r="L2103" s="20"/>
      <c r="M2103" s="20"/>
      <c r="N2103" s="20"/>
      <c r="O2103" s="20"/>
      <c r="P2103" s="20"/>
      <c r="Q2103" s="20"/>
      <c r="R2103" s="20"/>
      <c r="S2103" s="20"/>
      <c r="T2103" s="20"/>
      <c r="U2103" s="20"/>
      <c r="V2103" s="20"/>
      <c r="W2103" s="20"/>
      <c r="X2103" s="20"/>
      <c r="Y2103" s="20"/>
      <c r="Z2103" s="20"/>
      <c r="AA2103" s="20"/>
    </row>
    <row r="2104" spans="1:27" ht="87" x14ac:dyDescent="0.25">
      <c r="A2104" s="16"/>
      <c r="B2104" s="20" t="b">
        <v>0</v>
      </c>
      <c r="C2104" s="20">
        <v>300</v>
      </c>
      <c r="D2104" s="2" t="s">
        <v>4427</v>
      </c>
      <c r="E2104" s="2" t="s">
        <v>4385</v>
      </c>
      <c r="F2104" s="20" t="s">
        <v>53</v>
      </c>
      <c r="G2104" s="2" t="s">
        <v>4428</v>
      </c>
      <c r="H2104" s="16"/>
      <c r="I2104" s="20"/>
      <c r="J2104" s="20"/>
      <c r="K2104" s="20"/>
      <c r="L2104" s="20"/>
      <c r="M2104" s="20"/>
      <c r="N2104" s="20"/>
      <c r="O2104" s="20"/>
      <c r="P2104" s="20"/>
      <c r="Q2104" s="20"/>
      <c r="R2104" s="20"/>
      <c r="S2104" s="20"/>
      <c r="T2104" s="20"/>
      <c r="U2104" s="20"/>
      <c r="V2104" s="20"/>
      <c r="W2104" s="20"/>
      <c r="X2104" s="20"/>
      <c r="Y2104" s="20"/>
      <c r="Z2104" s="20"/>
      <c r="AA2104" s="20"/>
    </row>
    <row r="2105" spans="1:27" ht="87" x14ac:dyDescent="0.25">
      <c r="A2105" s="16"/>
      <c r="B2105" s="20" t="b">
        <v>0</v>
      </c>
      <c r="C2105" s="20">
        <v>300</v>
      </c>
      <c r="D2105" s="2" t="s">
        <v>4429</v>
      </c>
      <c r="E2105" s="2" t="s">
        <v>4385</v>
      </c>
      <c r="F2105" s="20" t="s">
        <v>56</v>
      </c>
      <c r="G2105" s="2" t="s">
        <v>4430</v>
      </c>
      <c r="H2105" s="16"/>
      <c r="I2105" s="20"/>
      <c r="J2105" s="20"/>
      <c r="K2105" s="20"/>
      <c r="L2105" s="20"/>
      <c r="M2105" s="20"/>
      <c r="N2105" s="20"/>
      <c r="O2105" s="20"/>
      <c r="P2105" s="20"/>
      <c r="Q2105" s="20"/>
      <c r="R2105" s="20"/>
      <c r="S2105" s="20"/>
      <c r="T2105" s="20"/>
      <c r="U2105" s="20"/>
      <c r="V2105" s="20"/>
      <c r="W2105" s="20"/>
      <c r="X2105" s="20"/>
      <c r="Y2105" s="20"/>
      <c r="Z2105" s="20"/>
      <c r="AA2105" s="20"/>
    </row>
    <row r="2106" spans="1:27" ht="87" x14ac:dyDescent="0.25">
      <c r="A2106" s="16"/>
      <c r="B2106" s="20" t="b">
        <v>0</v>
      </c>
      <c r="C2106" s="20">
        <v>300</v>
      </c>
      <c r="D2106" s="2" t="s">
        <v>4431</v>
      </c>
      <c r="E2106" s="2" t="s">
        <v>4385</v>
      </c>
      <c r="F2106" s="20" t="s">
        <v>56</v>
      </c>
      <c r="G2106" s="2" t="s">
        <v>4432</v>
      </c>
      <c r="H2106" s="16"/>
      <c r="I2106" s="20"/>
      <c r="J2106" s="20"/>
      <c r="K2106" s="20"/>
      <c r="L2106" s="20"/>
      <c r="M2106" s="20"/>
      <c r="N2106" s="20"/>
      <c r="O2106" s="20"/>
      <c r="P2106" s="20"/>
      <c r="Q2106" s="20"/>
      <c r="R2106" s="20"/>
      <c r="S2106" s="20"/>
      <c r="T2106" s="20"/>
      <c r="U2106" s="20"/>
      <c r="V2106" s="20"/>
      <c r="W2106" s="20"/>
      <c r="X2106" s="20"/>
      <c r="Y2106" s="20"/>
      <c r="Z2106" s="20"/>
      <c r="AA2106" s="20"/>
    </row>
    <row r="2107" spans="1:27" ht="409.6" x14ac:dyDescent="0.25">
      <c r="A2107" s="16"/>
      <c r="B2107" s="20" t="b">
        <v>0</v>
      </c>
      <c r="C2107" s="20">
        <v>400</v>
      </c>
      <c r="D2107" s="2" t="s">
        <v>4433</v>
      </c>
      <c r="E2107" s="2" t="s">
        <v>4385</v>
      </c>
      <c r="F2107" s="20" t="s">
        <v>56</v>
      </c>
      <c r="G2107" s="2" t="s">
        <v>4434</v>
      </c>
      <c r="H2107" s="16"/>
      <c r="I2107" s="20"/>
      <c r="J2107" s="20"/>
      <c r="K2107" s="20"/>
      <c r="L2107" s="20"/>
      <c r="M2107" s="20"/>
      <c r="N2107" s="20"/>
      <c r="O2107" s="20"/>
      <c r="P2107" s="20"/>
      <c r="Q2107" s="20"/>
      <c r="R2107" s="20"/>
      <c r="S2107" s="20"/>
      <c r="T2107" s="20"/>
      <c r="U2107" s="20"/>
      <c r="V2107" s="20"/>
      <c r="W2107" s="20"/>
      <c r="X2107" s="20"/>
      <c r="Y2107" s="20"/>
      <c r="Z2107" s="20"/>
      <c r="AA2107" s="20"/>
    </row>
    <row r="2108" spans="1:27" ht="243.6" x14ac:dyDescent="0.25">
      <c r="A2108" s="16"/>
      <c r="B2108" s="20" t="b">
        <v>0</v>
      </c>
      <c r="C2108" s="20">
        <v>400</v>
      </c>
      <c r="D2108" s="2" t="s">
        <v>4435</v>
      </c>
      <c r="E2108" s="2" t="s">
        <v>4385</v>
      </c>
      <c r="F2108" s="20" t="s">
        <v>56</v>
      </c>
      <c r="G2108" s="2" t="s">
        <v>4436</v>
      </c>
      <c r="H2108" s="16"/>
      <c r="I2108" s="20"/>
      <c r="J2108" s="20"/>
      <c r="K2108" s="20"/>
      <c r="L2108" s="20"/>
      <c r="M2108" s="20"/>
      <c r="N2108" s="20"/>
      <c r="O2108" s="20"/>
      <c r="P2108" s="20"/>
      <c r="Q2108" s="20"/>
      <c r="R2108" s="20"/>
      <c r="S2108" s="20"/>
      <c r="T2108" s="20"/>
      <c r="U2108" s="20"/>
      <c r="V2108" s="20"/>
      <c r="W2108" s="20"/>
      <c r="X2108" s="20"/>
      <c r="Y2108" s="20"/>
      <c r="Z2108" s="20"/>
      <c r="AA2108" s="20"/>
    </row>
    <row r="2109" spans="1:27" ht="278.39999999999998" x14ac:dyDescent="0.25">
      <c r="A2109" s="16"/>
      <c r="B2109" s="20" t="b">
        <v>0</v>
      </c>
      <c r="C2109" s="20">
        <v>400</v>
      </c>
      <c r="D2109" s="2" t="s">
        <v>4437</v>
      </c>
      <c r="E2109" s="2" t="s">
        <v>4385</v>
      </c>
      <c r="F2109" s="20" t="s">
        <v>60</v>
      </c>
      <c r="G2109" s="2" t="s">
        <v>4438</v>
      </c>
      <c r="H2109" s="16"/>
      <c r="I2109" s="20"/>
      <c r="J2109" s="20"/>
      <c r="K2109" s="20"/>
      <c r="L2109" s="20"/>
      <c r="M2109" s="20"/>
      <c r="N2109" s="20"/>
      <c r="O2109" s="20"/>
      <c r="P2109" s="20"/>
      <c r="Q2109" s="20"/>
      <c r="R2109" s="20"/>
      <c r="S2109" s="20"/>
      <c r="T2109" s="20"/>
      <c r="U2109" s="20"/>
      <c r="V2109" s="20"/>
      <c r="W2109" s="20"/>
      <c r="X2109" s="20"/>
      <c r="Y2109" s="20"/>
      <c r="Z2109" s="20"/>
      <c r="AA2109" s="20"/>
    </row>
    <row r="2110" spans="1:27" ht="139.19999999999999" x14ac:dyDescent="0.25">
      <c r="A2110" s="16"/>
      <c r="B2110" s="20" t="b">
        <v>0</v>
      </c>
      <c r="C2110" s="20">
        <v>400</v>
      </c>
      <c r="D2110" s="2" t="s">
        <v>4439</v>
      </c>
      <c r="E2110" s="2" t="s">
        <v>4385</v>
      </c>
      <c r="F2110" s="20" t="s">
        <v>60</v>
      </c>
      <c r="G2110" s="2" t="s">
        <v>4440</v>
      </c>
      <c r="H2110" s="16"/>
      <c r="I2110" s="20"/>
      <c r="J2110" s="20"/>
      <c r="K2110" s="20"/>
      <c r="L2110" s="20"/>
      <c r="M2110" s="20"/>
      <c r="N2110" s="20"/>
      <c r="O2110" s="20"/>
      <c r="P2110" s="20"/>
      <c r="Q2110" s="20"/>
      <c r="R2110" s="20"/>
      <c r="S2110" s="20"/>
      <c r="T2110" s="20"/>
      <c r="U2110" s="20"/>
      <c r="V2110" s="20"/>
      <c r="W2110" s="20"/>
      <c r="X2110" s="20"/>
      <c r="Y2110" s="20"/>
      <c r="Z2110" s="20"/>
      <c r="AA2110" s="20"/>
    </row>
    <row r="2111" spans="1:27" ht="121.8" x14ac:dyDescent="0.25">
      <c r="A2111" s="16"/>
      <c r="B2111" s="20" t="b">
        <v>0</v>
      </c>
      <c r="C2111" s="20">
        <v>400</v>
      </c>
      <c r="D2111" s="2" t="s">
        <v>4441</v>
      </c>
      <c r="E2111" s="2" t="s">
        <v>4385</v>
      </c>
      <c r="F2111" s="20" t="s">
        <v>63</v>
      </c>
      <c r="G2111" s="2" t="s">
        <v>4442</v>
      </c>
      <c r="H2111" s="16"/>
      <c r="I2111" s="20"/>
      <c r="J2111" s="20"/>
      <c r="K2111" s="20"/>
      <c r="L2111" s="20"/>
      <c r="M2111" s="20"/>
      <c r="N2111" s="20"/>
      <c r="O2111" s="20"/>
      <c r="P2111" s="20"/>
      <c r="Q2111" s="20"/>
      <c r="R2111" s="20"/>
      <c r="S2111" s="20"/>
      <c r="T2111" s="20"/>
      <c r="U2111" s="20"/>
      <c r="V2111" s="20"/>
      <c r="W2111" s="20"/>
      <c r="X2111" s="20"/>
      <c r="Y2111" s="20"/>
      <c r="Z2111" s="20"/>
      <c r="AA2111" s="20"/>
    </row>
    <row r="2112" spans="1:27" ht="156.6" x14ac:dyDescent="0.25">
      <c r="A2112" s="16"/>
      <c r="B2112" s="20" t="b">
        <v>0</v>
      </c>
      <c r="C2112" s="20">
        <v>400</v>
      </c>
      <c r="D2112" s="2" t="s">
        <v>4443</v>
      </c>
      <c r="E2112" s="2" t="s">
        <v>4385</v>
      </c>
      <c r="F2112" s="20" t="s">
        <v>60</v>
      </c>
      <c r="G2112" s="2" t="s">
        <v>4444</v>
      </c>
      <c r="H2112" s="16"/>
      <c r="I2112" s="20"/>
      <c r="J2112" s="20"/>
      <c r="K2112" s="20"/>
      <c r="L2112" s="20"/>
      <c r="M2112" s="20"/>
      <c r="N2112" s="20"/>
      <c r="O2112" s="20"/>
      <c r="P2112" s="20"/>
      <c r="Q2112" s="20"/>
      <c r="R2112" s="20"/>
      <c r="S2112" s="20"/>
      <c r="T2112" s="20"/>
      <c r="U2112" s="20"/>
      <c r="V2112" s="20"/>
      <c r="W2112" s="20"/>
      <c r="X2112" s="20"/>
      <c r="Y2112" s="20"/>
      <c r="Z2112" s="20"/>
      <c r="AA2112" s="20"/>
    </row>
    <row r="2113" spans="1:27" ht="226.2" x14ac:dyDescent="0.25">
      <c r="A2113" s="16"/>
      <c r="B2113" s="20" t="b">
        <v>0</v>
      </c>
      <c r="C2113" s="20">
        <v>400</v>
      </c>
      <c r="D2113" s="2" t="s">
        <v>4445</v>
      </c>
      <c r="E2113" s="2" t="s">
        <v>4385</v>
      </c>
      <c r="F2113" s="20" t="s">
        <v>63</v>
      </c>
      <c r="G2113" s="2" t="s">
        <v>4446</v>
      </c>
      <c r="H2113" s="16"/>
      <c r="I2113" s="20"/>
      <c r="J2113" s="20"/>
      <c r="K2113" s="20"/>
      <c r="L2113" s="20"/>
      <c r="M2113" s="20"/>
      <c r="N2113" s="20"/>
      <c r="O2113" s="20"/>
      <c r="P2113" s="20"/>
      <c r="Q2113" s="20"/>
      <c r="R2113" s="20"/>
      <c r="S2113" s="20"/>
      <c r="T2113" s="20"/>
      <c r="U2113" s="20"/>
      <c r="V2113" s="20"/>
      <c r="W2113" s="20"/>
      <c r="X2113" s="20"/>
      <c r="Y2113" s="20"/>
      <c r="Z2113" s="20"/>
      <c r="AA2113" s="20"/>
    </row>
    <row r="2114" spans="1:27" ht="156.6" x14ac:dyDescent="0.25">
      <c r="A2114" s="16"/>
      <c r="B2114" s="20" t="b">
        <v>0</v>
      </c>
      <c r="C2114" s="20">
        <v>400</v>
      </c>
      <c r="D2114" s="2" t="s">
        <v>4348</v>
      </c>
      <c r="E2114" s="2" t="s">
        <v>4385</v>
      </c>
      <c r="F2114" s="20" t="s">
        <v>63</v>
      </c>
      <c r="G2114" s="2" t="s">
        <v>4447</v>
      </c>
      <c r="H2114" s="16"/>
      <c r="I2114" s="20"/>
      <c r="J2114" s="20"/>
      <c r="K2114" s="20"/>
      <c r="L2114" s="20"/>
      <c r="M2114" s="20"/>
      <c r="N2114" s="20"/>
      <c r="O2114" s="20"/>
      <c r="P2114" s="20"/>
      <c r="Q2114" s="20"/>
      <c r="R2114" s="20"/>
      <c r="S2114" s="20"/>
      <c r="T2114" s="20"/>
      <c r="U2114" s="20"/>
      <c r="V2114" s="20"/>
      <c r="W2114" s="20"/>
      <c r="X2114" s="20"/>
      <c r="Y2114" s="20"/>
      <c r="Z2114" s="20"/>
      <c r="AA2114" s="20"/>
    </row>
    <row r="2115" spans="1:27" ht="278.39999999999998" x14ac:dyDescent="0.25">
      <c r="A2115" s="16"/>
      <c r="B2115" s="20" t="b">
        <v>0</v>
      </c>
      <c r="C2115" s="20">
        <v>400</v>
      </c>
      <c r="D2115" s="2" t="s">
        <v>4448</v>
      </c>
      <c r="E2115" s="2" t="s">
        <v>4385</v>
      </c>
      <c r="F2115" s="20" t="s">
        <v>64</v>
      </c>
      <c r="G2115" s="2" t="s">
        <v>4449</v>
      </c>
      <c r="H2115" s="16"/>
      <c r="I2115" s="20"/>
      <c r="J2115" s="20"/>
      <c r="K2115" s="20"/>
      <c r="L2115" s="20"/>
      <c r="M2115" s="20"/>
      <c r="N2115" s="20"/>
      <c r="O2115" s="20"/>
      <c r="P2115" s="20"/>
      <c r="Q2115" s="20"/>
      <c r="R2115" s="20"/>
      <c r="S2115" s="20"/>
      <c r="T2115" s="20"/>
      <c r="U2115" s="20"/>
      <c r="V2115" s="20"/>
      <c r="W2115" s="20"/>
      <c r="X2115" s="20"/>
      <c r="Y2115" s="20"/>
      <c r="Z2115" s="20"/>
      <c r="AA2115" s="20"/>
    </row>
    <row r="2116" spans="1:27" ht="409.6" x14ac:dyDescent="0.25">
      <c r="A2116" s="16"/>
      <c r="B2116" s="20" t="b">
        <v>0</v>
      </c>
      <c r="C2116" s="20">
        <v>600</v>
      </c>
      <c r="D2116" s="2" t="s">
        <v>4450</v>
      </c>
      <c r="E2116" s="2" t="s">
        <v>4385</v>
      </c>
      <c r="F2116" s="20" t="s">
        <v>52</v>
      </c>
      <c r="G2116" s="2" t="s">
        <v>4451</v>
      </c>
      <c r="H2116" s="16"/>
      <c r="I2116" s="20"/>
      <c r="J2116" s="20"/>
      <c r="K2116" s="20"/>
      <c r="L2116" s="20"/>
      <c r="M2116" s="20"/>
      <c r="N2116" s="20"/>
      <c r="O2116" s="20"/>
      <c r="P2116" s="20"/>
      <c r="Q2116" s="20"/>
      <c r="R2116" s="20"/>
      <c r="S2116" s="20"/>
      <c r="T2116" s="20"/>
      <c r="U2116" s="20"/>
      <c r="V2116" s="20"/>
      <c r="W2116" s="20"/>
      <c r="X2116" s="20"/>
      <c r="Y2116" s="20"/>
      <c r="Z2116" s="20"/>
      <c r="AA2116" s="20"/>
    </row>
    <row r="2117" spans="1:27" ht="365.4" x14ac:dyDescent="0.25">
      <c r="A2117" s="16"/>
      <c r="B2117" s="20" t="b">
        <v>0</v>
      </c>
      <c r="C2117" s="20">
        <v>600</v>
      </c>
      <c r="D2117" s="2" t="s">
        <v>4452</v>
      </c>
      <c r="E2117" s="2" t="s">
        <v>4385</v>
      </c>
      <c r="F2117" s="20" t="s">
        <v>52</v>
      </c>
      <c r="G2117" s="2" t="s">
        <v>4453</v>
      </c>
      <c r="H2117" s="16"/>
      <c r="I2117" s="20"/>
      <c r="J2117" s="20"/>
      <c r="K2117" s="20"/>
      <c r="L2117" s="20"/>
      <c r="M2117" s="20"/>
      <c r="N2117" s="20"/>
      <c r="O2117" s="20"/>
      <c r="P2117" s="20"/>
      <c r="Q2117" s="20"/>
      <c r="R2117" s="20"/>
      <c r="S2117" s="20"/>
      <c r="T2117" s="20"/>
      <c r="U2117" s="20"/>
      <c r="V2117" s="20"/>
      <c r="W2117" s="20"/>
      <c r="X2117" s="20"/>
      <c r="Y2117" s="20"/>
      <c r="Z2117" s="20"/>
      <c r="AA2117" s="20"/>
    </row>
    <row r="2118" spans="1:27" ht="313.2" x14ac:dyDescent="0.25">
      <c r="A2118" s="16"/>
      <c r="B2118" s="20" t="b">
        <v>0</v>
      </c>
      <c r="C2118" s="20">
        <v>600</v>
      </c>
      <c r="D2118" s="2" t="s">
        <v>4454</v>
      </c>
      <c r="E2118" s="2" t="s">
        <v>4385</v>
      </c>
      <c r="F2118" s="20" t="s">
        <v>52</v>
      </c>
      <c r="G2118" s="2" t="s">
        <v>4455</v>
      </c>
      <c r="H2118" s="16"/>
      <c r="I2118" s="20"/>
      <c r="J2118" s="20"/>
      <c r="K2118" s="20"/>
      <c r="L2118" s="20"/>
      <c r="M2118" s="20"/>
      <c r="N2118" s="20"/>
      <c r="O2118" s="20"/>
      <c r="P2118" s="20"/>
      <c r="Q2118" s="20"/>
      <c r="R2118" s="20"/>
      <c r="S2118" s="20"/>
      <c r="T2118" s="20"/>
      <c r="U2118" s="20"/>
      <c r="V2118" s="20"/>
      <c r="W2118" s="20"/>
      <c r="X2118" s="20"/>
      <c r="Y2118" s="20"/>
      <c r="Z2118" s="20"/>
      <c r="AA2118" s="20"/>
    </row>
    <row r="2119" spans="1:27" ht="365.4" x14ac:dyDescent="0.25">
      <c r="A2119" s="16"/>
      <c r="B2119" s="20" t="b">
        <v>0</v>
      </c>
      <c r="C2119" s="20">
        <v>600</v>
      </c>
      <c r="D2119" s="2" t="s">
        <v>4456</v>
      </c>
      <c r="E2119" s="2" t="s">
        <v>4385</v>
      </c>
      <c r="F2119" s="20" t="s">
        <v>52</v>
      </c>
      <c r="G2119" s="2" t="s">
        <v>4457</v>
      </c>
      <c r="H2119" s="16"/>
      <c r="I2119" s="20"/>
      <c r="J2119" s="20"/>
      <c r="K2119" s="20"/>
      <c r="L2119" s="20"/>
      <c r="M2119" s="20"/>
      <c r="N2119" s="20"/>
      <c r="O2119" s="20"/>
      <c r="P2119" s="20"/>
      <c r="Q2119" s="20"/>
      <c r="R2119" s="20"/>
      <c r="S2119" s="20"/>
      <c r="T2119" s="20"/>
      <c r="U2119" s="20"/>
      <c r="V2119" s="20"/>
      <c r="W2119" s="20"/>
      <c r="X2119" s="20"/>
      <c r="Y2119" s="20"/>
      <c r="Z2119" s="20"/>
      <c r="AA2119" s="20"/>
    </row>
    <row r="2120" spans="1:27" ht="295.8" x14ac:dyDescent="0.25">
      <c r="A2120" s="16"/>
      <c r="B2120" s="20" t="b">
        <v>0</v>
      </c>
      <c r="C2120" s="20">
        <v>600</v>
      </c>
      <c r="D2120" s="2" t="s">
        <v>4234</v>
      </c>
      <c r="E2120" s="2" t="s">
        <v>4385</v>
      </c>
      <c r="F2120" s="20" t="s">
        <v>52</v>
      </c>
      <c r="G2120" s="2" t="s">
        <v>4458</v>
      </c>
      <c r="H2120" s="16"/>
      <c r="I2120" s="20"/>
      <c r="J2120" s="20"/>
      <c r="K2120" s="20"/>
      <c r="L2120" s="20"/>
      <c r="M2120" s="20"/>
      <c r="N2120" s="20"/>
      <c r="O2120" s="20"/>
      <c r="P2120" s="20"/>
      <c r="Q2120" s="20"/>
      <c r="R2120" s="20"/>
      <c r="S2120" s="20"/>
      <c r="T2120" s="20"/>
      <c r="U2120" s="20"/>
      <c r="V2120" s="20"/>
      <c r="W2120" s="20"/>
      <c r="X2120" s="20"/>
      <c r="Y2120" s="20"/>
      <c r="Z2120" s="20"/>
      <c r="AA2120" s="20"/>
    </row>
    <row r="2121" spans="1:27" ht="313.2" x14ac:dyDescent="0.25">
      <c r="A2121" s="16"/>
      <c r="B2121" s="20" t="b">
        <v>0</v>
      </c>
      <c r="C2121" s="20">
        <v>600</v>
      </c>
      <c r="D2121" s="2" t="s">
        <v>4459</v>
      </c>
      <c r="E2121" s="2" t="s">
        <v>4385</v>
      </c>
      <c r="F2121" s="20" t="s">
        <v>52</v>
      </c>
      <c r="G2121" s="2" t="s">
        <v>4460</v>
      </c>
      <c r="H2121" s="16"/>
      <c r="I2121" s="20"/>
      <c r="J2121" s="20"/>
      <c r="K2121" s="20"/>
      <c r="L2121" s="20"/>
      <c r="M2121" s="20"/>
      <c r="N2121" s="20"/>
      <c r="O2121" s="20"/>
      <c r="P2121" s="20"/>
      <c r="Q2121" s="20"/>
      <c r="R2121" s="20"/>
      <c r="S2121" s="20"/>
      <c r="T2121" s="20"/>
      <c r="U2121" s="20"/>
      <c r="V2121" s="20"/>
      <c r="W2121" s="20"/>
      <c r="X2121" s="20"/>
      <c r="Y2121" s="20"/>
      <c r="Z2121" s="20"/>
      <c r="AA2121" s="20"/>
    </row>
    <row r="2122" spans="1:27" ht="365.4" x14ac:dyDescent="0.25">
      <c r="A2122" s="16"/>
      <c r="B2122" s="20" t="b">
        <v>0</v>
      </c>
      <c r="C2122" s="20">
        <v>600</v>
      </c>
      <c r="D2122" s="2" t="s">
        <v>4461</v>
      </c>
      <c r="E2122" s="2" t="s">
        <v>4385</v>
      </c>
      <c r="F2122" s="20" t="s">
        <v>52</v>
      </c>
      <c r="G2122" s="2" t="s">
        <v>4462</v>
      </c>
      <c r="H2122" s="16"/>
      <c r="I2122" s="20"/>
      <c r="J2122" s="20"/>
      <c r="K2122" s="20"/>
      <c r="L2122" s="20"/>
      <c r="M2122" s="20"/>
      <c r="N2122" s="20"/>
      <c r="O2122" s="20"/>
      <c r="P2122" s="20"/>
      <c r="Q2122" s="20"/>
      <c r="R2122" s="20"/>
      <c r="S2122" s="20"/>
      <c r="T2122" s="20"/>
      <c r="U2122" s="20"/>
      <c r="V2122" s="20"/>
      <c r="W2122" s="20"/>
      <c r="X2122" s="20"/>
      <c r="Y2122" s="20"/>
      <c r="Z2122" s="20"/>
      <c r="AA2122" s="20"/>
    </row>
    <row r="2123" spans="1:27" ht="208.8" x14ac:dyDescent="0.25">
      <c r="A2123" s="16"/>
      <c r="B2123" s="20" t="b">
        <v>0</v>
      </c>
      <c r="C2123" s="20">
        <v>100</v>
      </c>
      <c r="D2123" s="2" t="s">
        <v>4463</v>
      </c>
      <c r="E2123" s="2" t="s">
        <v>4385</v>
      </c>
      <c r="F2123" s="20" t="s">
        <v>60</v>
      </c>
      <c r="G2123" s="2" t="s">
        <v>4464</v>
      </c>
      <c r="H2123" s="16"/>
      <c r="I2123" s="20"/>
      <c r="J2123" s="20"/>
      <c r="K2123" s="20"/>
      <c r="L2123" s="20"/>
      <c r="M2123" s="20"/>
      <c r="N2123" s="20"/>
      <c r="O2123" s="20"/>
      <c r="P2123" s="20"/>
      <c r="Q2123" s="20"/>
      <c r="R2123" s="20"/>
      <c r="S2123" s="20"/>
      <c r="T2123" s="20"/>
      <c r="U2123" s="20"/>
      <c r="V2123" s="20"/>
      <c r="W2123" s="20"/>
      <c r="X2123" s="20"/>
      <c r="Y2123" s="20"/>
      <c r="Z2123" s="20"/>
      <c r="AA2123" s="20"/>
    </row>
    <row r="2124" spans="1:27" ht="87" x14ac:dyDescent="0.25">
      <c r="A2124" s="16"/>
      <c r="B2124" s="20" t="b">
        <v>0</v>
      </c>
      <c r="C2124" s="20">
        <v>100</v>
      </c>
      <c r="D2124" s="2" t="s">
        <v>4465</v>
      </c>
      <c r="E2124" s="2" t="s">
        <v>4385</v>
      </c>
      <c r="F2124" s="20" t="s">
        <v>60</v>
      </c>
      <c r="G2124" s="2" t="s">
        <v>4466</v>
      </c>
      <c r="H2124" s="16"/>
      <c r="I2124" s="20"/>
      <c r="J2124" s="20"/>
      <c r="K2124" s="20"/>
      <c r="L2124" s="20"/>
      <c r="M2124" s="20"/>
      <c r="N2124" s="20"/>
      <c r="O2124" s="20"/>
      <c r="P2124" s="20"/>
      <c r="Q2124" s="20"/>
      <c r="R2124" s="20"/>
      <c r="S2124" s="20"/>
      <c r="T2124" s="20"/>
      <c r="U2124" s="20"/>
      <c r="V2124" s="20"/>
      <c r="W2124" s="20"/>
      <c r="X2124" s="20"/>
      <c r="Y2124" s="20"/>
      <c r="Z2124" s="20"/>
      <c r="AA2124" s="20"/>
    </row>
    <row r="2125" spans="1:27" ht="226.2" x14ac:dyDescent="0.25">
      <c r="A2125" s="16"/>
      <c r="B2125" s="20" t="b">
        <v>0</v>
      </c>
      <c r="C2125" s="20">
        <v>100</v>
      </c>
      <c r="D2125" s="2" t="s">
        <v>4467</v>
      </c>
      <c r="E2125" s="2" t="s">
        <v>4385</v>
      </c>
      <c r="F2125" s="20" t="s">
        <v>60</v>
      </c>
      <c r="G2125" s="2" t="s">
        <v>4468</v>
      </c>
      <c r="H2125" s="16"/>
      <c r="I2125" s="20"/>
      <c r="J2125" s="20"/>
      <c r="K2125" s="20"/>
      <c r="L2125" s="20"/>
      <c r="M2125" s="20"/>
      <c r="N2125" s="20"/>
      <c r="O2125" s="20"/>
      <c r="P2125" s="20"/>
      <c r="Q2125" s="20"/>
      <c r="R2125" s="20"/>
      <c r="S2125" s="20"/>
      <c r="T2125" s="20"/>
      <c r="U2125" s="20"/>
      <c r="V2125" s="20"/>
      <c r="W2125" s="20"/>
      <c r="X2125" s="20"/>
      <c r="Y2125" s="20"/>
      <c r="Z2125" s="20"/>
      <c r="AA2125" s="20"/>
    </row>
    <row r="2126" spans="1:27" ht="191.4" x14ac:dyDescent="0.25">
      <c r="A2126" s="16"/>
      <c r="B2126" s="20" t="b">
        <v>0</v>
      </c>
      <c r="C2126" s="20">
        <v>200</v>
      </c>
      <c r="D2126" s="2" t="s">
        <v>4469</v>
      </c>
      <c r="E2126" s="2" t="s">
        <v>4385</v>
      </c>
      <c r="F2126" s="20" t="s">
        <v>53</v>
      </c>
      <c r="G2126" s="2" t="s">
        <v>4470</v>
      </c>
      <c r="H2126" s="16"/>
      <c r="I2126" s="20"/>
      <c r="J2126" s="20"/>
      <c r="K2126" s="20"/>
      <c r="L2126" s="20"/>
      <c r="M2126" s="20"/>
      <c r="N2126" s="20"/>
      <c r="O2126" s="20"/>
      <c r="P2126" s="20"/>
      <c r="Q2126" s="20"/>
      <c r="R2126" s="20"/>
      <c r="S2126" s="20"/>
      <c r="T2126" s="20"/>
      <c r="U2126" s="20"/>
      <c r="V2126" s="20"/>
      <c r="W2126" s="20"/>
      <c r="X2126" s="20"/>
      <c r="Y2126" s="20"/>
      <c r="Z2126" s="20"/>
      <c r="AA2126" s="20"/>
    </row>
    <row r="2127" spans="1:27" ht="104.4" x14ac:dyDescent="0.25">
      <c r="A2127" s="16"/>
      <c r="B2127" s="20" t="b">
        <v>0</v>
      </c>
      <c r="C2127" s="20">
        <v>200</v>
      </c>
      <c r="D2127" s="2" t="s">
        <v>4471</v>
      </c>
      <c r="E2127" s="2" t="s">
        <v>4385</v>
      </c>
      <c r="F2127" s="20" t="s">
        <v>54</v>
      </c>
      <c r="G2127" s="2" t="s">
        <v>4472</v>
      </c>
      <c r="H2127" s="16"/>
      <c r="I2127" s="20"/>
      <c r="J2127" s="20"/>
      <c r="K2127" s="20"/>
      <c r="L2127" s="20"/>
      <c r="M2127" s="20"/>
      <c r="N2127" s="20"/>
      <c r="O2127" s="20"/>
      <c r="P2127" s="20"/>
      <c r="Q2127" s="20"/>
      <c r="R2127" s="20"/>
      <c r="S2127" s="20"/>
      <c r="T2127" s="20"/>
      <c r="U2127" s="20"/>
      <c r="V2127" s="20"/>
      <c r="W2127" s="20"/>
      <c r="X2127" s="20"/>
      <c r="Y2127" s="20"/>
      <c r="Z2127" s="20"/>
      <c r="AA2127" s="20"/>
    </row>
    <row r="2128" spans="1:27" ht="121.8" x14ac:dyDescent="0.25">
      <c r="A2128" s="16"/>
      <c r="B2128" s="20" t="b">
        <v>0</v>
      </c>
      <c r="C2128" s="20">
        <v>200</v>
      </c>
      <c r="D2128" s="2" t="s">
        <v>4473</v>
      </c>
      <c r="E2128" s="2" t="s">
        <v>4385</v>
      </c>
      <c r="F2128" s="20" t="s">
        <v>61</v>
      </c>
      <c r="G2128" s="2" t="s">
        <v>4474</v>
      </c>
      <c r="H2128" s="16"/>
      <c r="I2128" s="20"/>
      <c r="J2128" s="20"/>
      <c r="K2128" s="20"/>
      <c r="L2128" s="20"/>
      <c r="M2128" s="20"/>
      <c r="N2128" s="20"/>
      <c r="O2128" s="20"/>
      <c r="P2128" s="20"/>
      <c r="Q2128" s="20"/>
      <c r="R2128" s="20"/>
      <c r="S2128" s="20"/>
      <c r="T2128" s="20"/>
      <c r="U2128" s="20"/>
      <c r="V2128" s="20"/>
      <c r="W2128" s="20"/>
      <c r="X2128" s="20"/>
      <c r="Y2128" s="20"/>
      <c r="Z2128" s="20"/>
      <c r="AA2128" s="20"/>
    </row>
    <row r="2129" spans="1:27" ht="174" x14ac:dyDescent="0.25">
      <c r="A2129" s="16"/>
      <c r="B2129" s="20" t="b">
        <v>0</v>
      </c>
      <c r="C2129" s="20">
        <v>300</v>
      </c>
      <c r="D2129" s="2" t="s">
        <v>4475</v>
      </c>
      <c r="E2129" s="2" t="s">
        <v>4385</v>
      </c>
      <c r="F2129" s="20" t="s">
        <v>60</v>
      </c>
      <c r="G2129" s="2" t="s">
        <v>4476</v>
      </c>
      <c r="H2129" s="16"/>
      <c r="I2129" s="20"/>
      <c r="J2129" s="20"/>
      <c r="K2129" s="20"/>
      <c r="L2129" s="20"/>
      <c r="M2129" s="20"/>
      <c r="N2129" s="20"/>
      <c r="O2129" s="20"/>
      <c r="P2129" s="20"/>
      <c r="Q2129" s="20"/>
      <c r="R2129" s="20"/>
      <c r="S2129" s="20"/>
      <c r="T2129" s="20"/>
      <c r="U2129" s="20"/>
      <c r="V2129" s="20"/>
      <c r="W2129" s="20"/>
      <c r="X2129" s="20"/>
      <c r="Y2129" s="20"/>
      <c r="Z2129" s="20"/>
      <c r="AA2129" s="20"/>
    </row>
    <row r="2130" spans="1:27" ht="208.8" x14ac:dyDescent="0.25">
      <c r="A2130" s="16"/>
      <c r="B2130" s="20" t="b">
        <v>0</v>
      </c>
      <c r="C2130" s="20">
        <v>300</v>
      </c>
      <c r="D2130" s="2" t="s">
        <v>4477</v>
      </c>
      <c r="E2130" s="2" t="s">
        <v>4385</v>
      </c>
      <c r="F2130" s="20" t="s">
        <v>60</v>
      </c>
      <c r="G2130" s="2" t="s">
        <v>4478</v>
      </c>
      <c r="H2130" s="16"/>
      <c r="I2130" s="20"/>
      <c r="J2130" s="20"/>
      <c r="K2130" s="20"/>
      <c r="L2130" s="20"/>
      <c r="M2130" s="20"/>
      <c r="N2130" s="20"/>
      <c r="O2130" s="20"/>
      <c r="P2130" s="20"/>
      <c r="Q2130" s="20"/>
      <c r="R2130" s="20"/>
      <c r="S2130" s="20"/>
      <c r="T2130" s="20"/>
      <c r="U2130" s="20"/>
      <c r="V2130" s="20"/>
      <c r="W2130" s="20"/>
      <c r="X2130" s="20"/>
      <c r="Y2130" s="20"/>
      <c r="Z2130" s="20"/>
      <c r="AA2130" s="20"/>
    </row>
    <row r="2131" spans="1:27" ht="174" x14ac:dyDescent="0.25">
      <c r="A2131" s="16"/>
      <c r="B2131" s="20" t="b">
        <v>0</v>
      </c>
      <c r="C2131" s="20">
        <v>300</v>
      </c>
      <c r="D2131" s="2" t="s">
        <v>4479</v>
      </c>
      <c r="E2131" s="2" t="s">
        <v>4385</v>
      </c>
      <c r="F2131" s="20" t="s">
        <v>61</v>
      </c>
      <c r="G2131" s="2" t="s">
        <v>4480</v>
      </c>
      <c r="H2131" s="16"/>
      <c r="I2131" s="20"/>
      <c r="J2131" s="20"/>
      <c r="K2131" s="20"/>
      <c r="L2131" s="20"/>
      <c r="M2131" s="20"/>
      <c r="N2131" s="20"/>
      <c r="O2131" s="20"/>
      <c r="P2131" s="20"/>
      <c r="Q2131" s="20"/>
      <c r="R2131" s="20"/>
      <c r="S2131" s="20"/>
      <c r="T2131" s="20"/>
      <c r="U2131" s="20"/>
      <c r="V2131" s="20"/>
      <c r="W2131" s="20"/>
      <c r="X2131" s="20"/>
      <c r="Y2131" s="20"/>
      <c r="Z2131" s="20"/>
      <c r="AA2131" s="20"/>
    </row>
    <row r="2132" spans="1:27" ht="208.8" x14ac:dyDescent="0.25">
      <c r="A2132" s="16"/>
      <c r="B2132" s="20" t="b">
        <v>0</v>
      </c>
      <c r="C2132" s="20">
        <v>300</v>
      </c>
      <c r="D2132" s="2" t="s">
        <v>4481</v>
      </c>
      <c r="E2132" s="2" t="s">
        <v>4385</v>
      </c>
      <c r="F2132" s="20" t="s">
        <v>60</v>
      </c>
      <c r="G2132" s="2" t="s">
        <v>4482</v>
      </c>
      <c r="H2132" s="16"/>
      <c r="I2132" s="20"/>
      <c r="J2132" s="20"/>
      <c r="K2132" s="20"/>
      <c r="L2132" s="20"/>
      <c r="M2132" s="20"/>
      <c r="N2132" s="20"/>
      <c r="O2132" s="20"/>
      <c r="P2132" s="20"/>
      <c r="Q2132" s="20"/>
      <c r="R2132" s="20"/>
      <c r="S2132" s="20"/>
      <c r="T2132" s="20"/>
      <c r="U2132" s="20"/>
      <c r="V2132" s="20"/>
      <c r="W2132" s="20"/>
      <c r="X2132" s="20"/>
      <c r="Y2132" s="20"/>
      <c r="Z2132" s="20"/>
      <c r="AA2132" s="20"/>
    </row>
    <row r="2133" spans="1:27" ht="156.6" x14ac:dyDescent="0.25">
      <c r="A2133" s="16"/>
      <c r="B2133" s="20" t="b">
        <v>0</v>
      </c>
      <c r="C2133" s="20">
        <v>400</v>
      </c>
      <c r="D2133" s="2" t="s">
        <v>4483</v>
      </c>
      <c r="E2133" s="2" t="s">
        <v>4385</v>
      </c>
      <c r="F2133" s="20" t="s">
        <v>60</v>
      </c>
      <c r="G2133" s="2" t="s">
        <v>4484</v>
      </c>
      <c r="H2133" s="16"/>
      <c r="I2133" s="20"/>
      <c r="J2133" s="20"/>
      <c r="K2133" s="20"/>
      <c r="L2133" s="20"/>
      <c r="M2133" s="20"/>
      <c r="N2133" s="20"/>
      <c r="O2133" s="20"/>
      <c r="P2133" s="20"/>
      <c r="Q2133" s="20"/>
      <c r="R2133" s="20"/>
      <c r="S2133" s="20"/>
      <c r="T2133" s="20"/>
      <c r="U2133" s="20"/>
      <c r="V2133" s="20"/>
      <c r="W2133" s="20"/>
      <c r="X2133" s="20"/>
      <c r="Y2133" s="20"/>
      <c r="Z2133" s="20"/>
      <c r="AA2133" s="20"/>
    </row>
    <row r="2134" spans="1:27" ht="121.8" x14ac:dyDescent="0.25">
      <c r="A2134" s="16"/>
      <c r="B2134" s="20" t="b">
        <v>0</v>
      </c>
      <c r="C2134" s="20">
        <v>400</v>
      </c>
      <c r="D2134" s="2" t="s">
        <v>4485</v>
      </c>
      <c r="E2134" s="2" t="s">
        <v>4385</v>
      </c>
      <c r="F2134" s="20" t="s">
        <v>60</v>
      </c>
      <c r="G2134" s="2" t="s">
        <v>4486</v>
      </c>
      <c r="H2134" s="16"/>
      <c r="I2134" s="20"/>
      <c r="J2134" s="20"/>
      <c r="K2134" s="20"/>
      <c r="L2134" s="20"/>
      <c r="M2134" s="20"/>
      <c r="N2134" s="20"/>
      <c r="O2134" s="20"/>
      <c r="P2134" s="20"/>
      <c r="Q2134" s="20"/>
      <c r="R2134" s="20"/>
      <c r="S2134" s="20"/>
      <c r="T2134" s="20"/>
      <c r="U2134" s="20"/>
      <c r="V2134" s="20"/>
      <c r="W2134" s="20"/>
      <c r="X2134" s="20"/>
      <c r="Y2134" s="20"/>
      <c r="Z2134" s="20"/>
      <c r="AA2134" s="20"/>
    </row>
    <row r="2135" spans="1:27" ht="191.4" x14ac:dyDescent="0.25">
      <c r="A2135" s="16"/>
      <c r="B2135" s="20" t="b">
        <v>0</v>
      </c>
      <c r="C2135" s="20">
        <v>400</v>
      </c>
      <c r="D2135" s="2" t="s">
        <v>4487</v>
      </c>
      <c r="E2135" s="2" t="s">
        <v>4385</v>
      </c>
      <c r="F2135" s="20" t="s">
        <v>53</v>
      </c>
      <c r="G2135" s="2" t="s">
        <v>4488</v>
      </c>
      <c r="H2135" s="16"/>
      <c r="I2135" s="20"/>
      <c r="J2135" s="20"/>
      <c r="K2135" s="20"/>
      <c r="L2135" s="20"/>
      <c r="M2135" s="20"/>
      <c r="N2135" s="20"/>
      <c r="O2135" s="20"/>
      <c r="P2135" s="20"/>
      <c r="Q2135" s="20"/>
      <c r="R2135" s="20"/>
      <c r="S2135" s="20"/>
      <c r="T2135" s="20"/>
      <c r="U2135" s="20"/>
      <c r="V2135" s="20"/>
      <c r="W2135" s="20"/>
      <c r="X2135" s="20"/>
      <c r="Y2135" s="20"/>
      <c r="Z2135" s="20"/>
      <c r="AA2135" s="20"/>
    </row>
    <row r="2136" spans="1:27" ht="174" x14ac:dyDescent="0.25">
      <c r="A2136" s="16"/>
      <c r="B2136" s="20" t="b">
        <v>0</v>
      </c>
      <c r="C2136" s="20">
        <v>400</v>
      </c>
      <c r="D2136" s="2" t="s">
        <v>4489</v>
      </c>
      <c r="E2136" s="2" t="s">
        <v>4385</v>
      </c>
      <c r="F2136" s="20" t="s">
        <v>60</v>
      </c>
      <c r="G2136" s="2" t="s">
        <v>4490</v>
      </c>
      <c r="H2136" s="16"/>
      <c r="I2136" s="20"/>
      <c r="J2136" s="20"/>
      <c r="K2136" s="20"/>
      <c r="L2136" s="20"/>
      <c r="M2136" s="20"/>
      <c r="N2136" s="20"/>
      <c r="O2136" s="20"/>
      <c r="P2136" s="20"/>
      <c r="Q2136" s="20"/>
      <c r="R2136" s="20"/>
      <c r="S2136" s="20"/>
      <c r="T2136" s="20"/>
      <c r="U2136" s="20"/>
      <c r="V2136" s="20"/>
      <c r="W2136" s="20"/>
      <c r="X2136" s="20"/>
      <c r="Y2136" s="20"/>
      <c r="Z2136" s="20"/>
      <c r="AA2136" s="20"/>
    </row>
    <row r="2137" spans="1:27" ht="409.6" x14ac:dyDescent="0.25">
      <c r="A2137" s="16"/>
      <c r="B2137" s="20" t="b">
        <v>0</v>
      </c>
      <c r="C2137" s="20" t="s">
        <v>4491</v>
      </c>
      <c r="D2137" s="2" t="s">
        <v>4492</v>
      </c>
      <c r="E2137" s="2" t="s">
        <v>4385</v>
      </c>
      <c r="F2137" s="20" t="s">
        <v>59</v>
      </c>
      <c r="G2137" s="2" t="s">
        <v>4493</v>
      </c>
      <c r="H2137" s="16"/>
      <c r="I2137" s="20"/>
      <c r="J2137" s="20"/>
      <c r="K2137" s="20"/>
      <c r="L2137" s="20"/>
      <c r="M2137" s="20"/>
      <c r="N2137" s="20"/>
      <c r="O2137" s="20"/>
      <c r="P2137" s="20"/>
      <c r="Q2137" s="20"/>
      <c r="R2137" s="20"/>
      <c r="S2137" s="20"/>
      <c r="T2137" s="20"/>
      <c r="U2137" s="20"/>
      <c r="V2137" s="20"/>
      <c r="W2137" s="20"/>
      <c r="X2137" s="20"/>
      <c r="Y2137" s="20"/>
      <c r="Z2137" s="20"/>
      <c r="AA2137" s="20"/>
    </row>
    <row r="2138" spans="1:27" ht="409.6" x14ac:dyDescent="0.25">
      <c r="A2138" s="16"/>
      <c r="B2138" s="20" t="b">
        <v>0</v>
      </c>
      <c r="C2138" s="20" t="s">
        <v>4491</v>
      </c>
      <c r="D2138" s="2" t="s">
        <v>4494</v>
      </c>
      <c r="E2138" s="2" t="s">
        <v>4385</v>
      </c>
      <c r="F2138" s="20" t="s">
        <v>59</v>
      </c>
      <c r="G2138" s="2" t="s">
        <v>4495</v>
      </c>
      <c r="H2138" s="16"/>
      <c r="I2138" s="20"/>
      <c r="J2138" s="20"/>
      <c r="K2138" s="20"/>
      <c r="L2138" s="20"/>
      <c r="M2138" s="20"/>
      <c r="N2138" s="20"/>
      <c r="O2138" s="20"/>
      <c r="P2138" s="20"/>
      <c r="Q2138" s="20"/>
      <c r="R2138" s="20"/>
      <c r="S2138" s="20"/>
      <c r="T2138" s="20"/>
      <c r="U2138" s="20"/>
      <c r="V2138" s="20"/>
      <c r="W2138" s="20"/>
      <c r="X2138" s="20"/>
      <c r="Y2138" s="20"/>
      <c r="Z2138" s="20"/>
      <c r="AA2138" s="20"/>
    </row>
    <row r="2139" spans="1:27" ht="191.4" x14ac:dyDescent="0.25">
      <c r="A2139" s="16"/>
      <c r="B2139" s="20" t="b">
        <v>0</v>
      </c>
      <c r="C2139" s="20">
        <v>600</v>
      </c>
      <c r="D2139" s="2" t="s">
        <v>4496</v>
      </c>
      <c r="E2139" s="2" t="s">
        <v>4385</v>
      </c>
      <c r="F2139" s="20" t="s">
        <v>59</v>
      </c>
      <c r="G2139" s="2" t="s">
        <v>4497</v>
      </c>
      <c r="H2139" s="16"/>
      <c r="I2139" s="20"/>
      <c r="J2139" s="20"/>
      <c r="K2139" s="20"/>
      <c r="L2139" s="20"/>
      <c r="M2139" s="20"/>
      <c r="N2139" s="20"/>
      <c r="O2139" s="20"/>
      <c r="P2139" s="20"/>
      <c r="Q2139" s="20"/>
      <c r="R2139" s="20"/>
      <c r="S2139" s="20"/>
      <c r="T2139" s="20"/>
      <c r="U2139" s="20"/>
      <c r="V2139" s="20"/>
      <c r="W2139" s="20"/>
      <c r="X2139" s="20"/>
      <c r="Y2139" s="20"/>
      <c r="Z2139" s="20"/>
      <c r="AA2139" s="20"/>
    </row>
    <row r="2140" spans="1:27" ht="156.6" x14ac:dyDescent="0.25">
      <c r="A2140" s="16"/>
      <c r="B2140" s="20" t="b">
        <v>0</v>
      </c>
      <c r="C2140" s="20">
        <v>600</v>
      </c>
      <c r="D2140" s="2" t="s">
        <v>4498</v>
      </c>
      <c r="E2140" s="2" t="s">
        <v>4385</v>
      </c>
      <c r="F2140" s="20" t="s">
        <v>59</v>
      </c>
      <c r="G2140" s="2" t="s">
        <v>4499</v>
      </c>
      <c r="H2140" s="16"/>
      <c r="I2140" s="20"/>
      <c r="J2140" s="20"/>
      <c r="K2140" s="20"/>
      <c r="L2140" s="20"/>
      <c r="M2140" s="20"/>
      <c r="N2140" s="20"/>
      <c r="O2140" s="20"/>
      <c r="P2140" s="20"/>
      <c r="Q2140" s="20"/>
      <c r="R2140" s="20"/>
      <c r="S2140" s="20"/>
      <c r="T2140" s="20"/>
      <c r="U2140" s="20"/>
      <c r="V2140" s="20"/>
      <c r="W2140" s="20"/>
      <c r="X2140" s="20"/>
      <c r="Y2140" s="20"/>
      <c r="Z2140" s="20"/>
      <c r="AA2140" s="20"/>
    </row>
    <row r="2141" spans="1:27" ht="156.6" x14ac:dyDescent="0.25">
      <c r="A2141" s="16"/>
      <c r="B2141" s="20" t="b">
        <v>0</v>
      </c>
      <c r="C2141" s="20">
        <v>600</v>
      </c>
      <c r="D2141" s="2" t="s">
        <v>4500</v>
      </c>
      <c r="E2141" s="2" t="s">
        <v>4385</v>
      </c>
      <c r="F2141" s="20" t="s">
        <v>59</v>
      </c>
      <c r="G2141" s="2" t="s">
        <v>4501</v>
      </c>
      <c r="H2141" s="16"/>
      <c r="I2141" s="20"/>
      <c r="J2141" s="20"/>
      <c r="K2141" s="20"/>
      <c r="L2141" s="20"/>
      <c r="M2141" s="20"/>
      <c r="N2141" s="20"/>
      <c r="O2141" s="20"/>
      <c r="P2141" s="20"/>
      <c r="Q2141" s="20"/>
      <c r="R2141" s="20"/>
      <c r="S2141" s="20"/>
      <c r="T2141" s="20"/>
      <c r="U2141" s="20"/>
      <c r="V2141" s="20"/>
      <c r="W2141" s="20"/>
      <c r="X2141" s="20"/>
      <c r="Y2141" s="20"/>
      <c r="Z2141" s="20"/>
      <c r="AA2141" s="20"/>
    </row>
    <row r="2142" spans="1:27" ht="121.8" x14ac:dyDescent="0.25">
      <c r="A2142" s="16"/>
      <c r="B2142" s="20" t="b">
        <v>0</v>
      </c>
      <c r="C2142" s="20">
        <v>100</v>
      </c>
      <c r="D2142" s="2" t="s">
        <v>4502</v>
      </c>
      <c r="E2142" s="2" t="s">
        <v>4385</v>
      </c>
      <c r="F2142" s="20" t="s">
        <v>59</v>
      </c>
      <c r="G2142" s="2" t="s">
        <v>4503</v>
      </c>
      <c r="H2142" s="16"/>
      <c r="I2142" s="20"/>
      <c r="J2142" s="20"/>
      <c r="K2142" s="20"/>
      <c r="L2142" s="20"/>
      <c r="M2142" s="20"/>
      <c r="N2142" s="20"/>
      <c r="O2142" s="20"/>
      <c r="P2142" s="20"/>
      <c r="Q2142" s="20"/>
      <c r="R2142" s="20"/>
      <c r="S2142" s="20"/>
      <c r="T2142" s="20"/>
      <c r="U2142" s="20"/>
      <c r="V2142" s="20"/>
      <c r="W2142" s="20"/>
      <c r="X2142" s="20"/>
      <c r="Y2142" s="20"/>
      <c r="Z2142" s="20"/>
      <c r="AA2142" s="20"/>
    </row>
    <row r="2143" spans="1:27" ht="191.4" x14ac:dyDescent="0.25">
      <c r="A2143" s="16"/>
      <c r="B2143" s="20" t="b">
        <v>0</v>
      </c>
      <c r="C2143" s="20">
        <v>400</v>
      </c>
      <c r="D2143" s="2" t="s">
        <v>4504</v>
      </c>
      <c r="E2143" s="2" t="s">
        <v>4505</v>
      </c>
      <c r="F2143" s="20" t="s">
        <v>64</v>
      </c>
      <c r="G2143" s="2" t="s">
        <v>4506</v>
      </c>
      <c r="H2143" s="16"/>
      <c r="I2143" s="20"/>
      <c r="J2143" s="20"/>
      <c r="K2143" s="20"/>
      <c r="L2143" s="20"/>
      <c r="M2143" s="20"/>
      <c r="N2143" s="20"/>
      <c r="O2143" s="20"/>
      <c r="P2143" s="20"/>
      <c r="Q2143" s="20"/>
      <c r="R2143" s="20"/>
      <c r="S2143" s="20"/>
      <c r="T2143" s="20"/>
      <c r="U2143" s="20"/>
      <c r="V2143" s="20"/>
      <c r="W2143" s="20"/>
      <c r="X2143" s="20"/>
      <c r="Y2143" s="20"/>
      <c r="Z2143" s="20"/>
      <c r="AA2143" s="20"/>
    </row>
    <row r="2144" spans="1:27" ht="243.6" x14ac:dyDescent="0.25">
      <c r="A2144" s="16"/>
      <c r="B2144" s="20" t="b">
        <v>0</v>
      </c>
      <c r="C2144" s="20">
        <v>100</v>
      </c>
      <c r="D2144" s="2" t="s">
        <v>4507</v>
      </c>
      <c r="E2144" s="2" t="s">
        <v>4505</v>
      </c>
      <c r="F2144" s="20" t="s">
        <v>52</v>
      </c>
      <c r="G2144" s="2" t="s">
        <v>4508</v>
      </c>
      <c r="H2144" s="16"/>
      <c r="I2144" s="20"/>
      <c r="J2144" s="20"/>
      <c r="K2144" s="20"/>
      <c r="L2144" s="20"/>
      <c r="M2144" s="20"/>
      <c r="N2144" s="20"/>
      <c r="O2144" s="20"/>
      <c r="P2144" s="20"/>
      <c r="Q2144" s="20"/>
      <c r="R2144" s="20"/>
      <c r="S2144" s="20"/>
      <c r="T2144" s="20"/>
      <c r="U2144" s="20"/>
      <c r="V2144" s="20"/>
      <c r="W2144" s="20"/>
      <c r="X2144" s="20"/>
      <c r="Y2144" s="20"/>
      <c r="Z2144" s="20"/>
      <c r="AA2144" s="20"/>
    </row>
    <row r="2145" spans="1:27" ht="139.19999999999999" x14ac:dyDescent="0.25">
      <c r="A2145" s="16"/>
      <c r="B2145" s="20" t="b">
        <v>0</v>
      </c>
      <c r="C2145" s="20" t="s">
        <v>4509</v>
      </c>
      <c r="D2145" s="2" t="s">
        <v>4510</v>
      </c>
      <c r="E2145" s="2" t="s">
        <v>4505</v>
      </c>
      <c r="F2145" s="20" t="s">
        <v>64</v>
      </c>
      <c r="G2145" s="2" t="s">
        <v>4511</v>
      </c>
      <c r="H2145" s="16"/>
      <c r="I2145" s="20"/>
      <c r="J2145" s="20"/>
      <c r="K2145" s="20"/>
      <c r="L2145" s="20"/>
      <c r="M2145" s="20"/>
      <c r="N2145" s="20"/>
      <c r="O2145" s="20"/>
      <c r="P2145" s="20"/>
      <c r="Q2145" s="20"/>
      <c r="R2145" s="20"/>
      <c r="S2145" s="20"/>
      <c r="T2145" s="20"/>
      <c r="U2145" s="20"/>
      <c r="V2145" s="20"/>
      <c r="W2145" s="20"/>
      <c r="X2145" s="20"/>
      <c r="Y2145" s="20"/>
      <c r="Z2145" s="20"/>
      <c r="AA2145" s="20"/>
    </row>
    <row r="2146" spans="1:27" ht="348" x14ac:dyDescent="0.25">
      <c r="A2146" s="16"/>
      <c r="B2146" s="20" t="b">
        <v>0</v>
      </c>
      <c r="C2146" s="20" t="s">
        <v>4512</v>
      </c>
      <c r="D2146" s="2" t="s">
        <v>4513</v>
      </c>
      <c r="E2146" s="2" t="s">
        <v>4505</v>
      </c>
      <c r="F2146" s="20" t="s">
        <v>60</v>
      </c>
      <c r="G2146" s="2" t="s">
        <v>4514</v>
      </c>
      <c r="H2146" s="16"/>
      <c r="I2146" s="20"/>
      <c r="J2146" s="20"/>
      <c r="K2146" s="20"/>
      <c r="L2146" s="20"/>
      <c r="M2146" s="20"/>
      <c r="N2146" s="20"/>
      <c r="O2146" s="20"/>
      <c r="P2146" s="20"/>
      <c r="Q2146" s="20"/>
      <c r="R2146" s="20"/>
      <c r="S2146" s="20"/>
      <c r="T2146" s="20"/>
      <c r="U2146" s="20"/>
      <c r="V2146" s="20"/>
      <c r="W2146" s="20"/>
      <c r="X2146" s="20"/>
      <c r="Y2146" s="20"/>
      <c r="Z2146" s="20"/>
      <c r="AA2146" s="20"/>
    </row>
    <row r="2147" spans="1:27" ht="243.6" x14ac:dyDescent="0.25">
      <c r="A2147" s="16"/>
      <c r="B2147" s="20" t="b">
        <v>0</v>
      </c>
      <c r="C2147" s="20">
        <v>0</v>
      </c>
      <c r="D2147" s="2" t="s">
        <v>4515</v>
      </c>
      <c r="E2147" s="2" t="s">
        <v>4505</v>
      </c>
      <c r="F2147" s="20" t="s">
        <v>52</v>
      </c>
      <c r="G2147" s="2" t="s">
        <v>4516</v>
      </c>
      <c r="H2147" s="16"/>
      <c r="I2147" s="20"/>
      <c r="J2147" s="20"/>
      <c r="K2147" s="20"/>
      <c r="L2147" s="20"/>
      <c r="M2147" s="20"/>
      <c r="N2147" s="20"/>
      <c r="O2147" s="20"/>
      <c r="P2147" s="20"/>
      <c r="Q2147" s="20"/>
      <c r="R2147" s="20"/>
      <c r="S2147" s="20"/>
      <c r="T2147" s="20"/>
      <c r="U2147" s="20"/>
      <c r="V2147" s="20"/>
      <c r="W2147" s="20"/>
      <c r="X2147" s="20"/>
      <c r="Y2147" s="20"/>
      <c r="Z2147" s="20"/>
      <c r="AA2147" s="20"/>
    </row>
    <row r="2148" spans="1:27" ht="104.4" x14ac:dyDescent="0.25">
      <c r="A2148" s="16"/>
      <c r="B2148" s="20" t="b">
        <v>0</v>
      </c>
      <c r="C2148" s="20">
        <v>100</v>
      </c>
      <c r="D2148" s="2" t="s">
        <v>4517</v>
      </c>
      <c r="E2148" s="2" t="s">
        <v>4505</v>
      </c>
      <c r="F2148" s="20" t="s">
        <v>52</v>
      </c>
      <c r="G2148" s="2" t="s">
        <v>4518</v>
      </c>
      <c r="H2148" s="16"/>
      <c r="I2148" s="20"/>
      <c r="J2148" s="20"/>
      <c r="K2148" s="20"/>
      <c r="L2148" s="20"/>
      <c r="M2148" s="20"/>
      <c r="N2148" s="20"/>
      <c r="O2148" s="20"/>
      <c r="P2148" s="20"/>
      <c r="Q2148" s="20"/>
      <c r="R2148" s="20"/>
      <c r="S2148" s="20"/>
      <c r="T2148" s="20"/>
      <c r="U2148" s="20"/>
      <c r="V2148" s="20"/>
      <c r="W2148" s="20"/>
      <c r="X2148" s="20"/>
      <c r="Y2148" s="20"/>
      <c r="Z2148" s="20"/>
      <c r="AA2148" s="20"/>
    </row>
    <row r="2149" spans="1:27" ht="104.4" x14ac:dyDescent="0.25">
      <c r="A2149" s="16"/>
      <c r="B2149" s="20" t="b">
        <v>0</v>
      </c>
      <c r="C2149" s="20">
        <v>400</v>
      </c>
      <c r="D2149" s="2" t="s">
        <v>4519</v>
      </c>
      <c r="E2149" s="2" t="s">
        <v>4505</v>
      </c>
      <c r="F2149" s="20" t="s">
        <v>64</v>
      </c>
      <c r="G2149" s="2" t="s">
        <v>4520</v>
      </c>
      <c r="H2149" s="16"/>
      <c r="I2149" s="20"/>
      <c r="J2149" s="20"/>
      <c r="K2149" s="20"/>
      <c r="L2149" s="20"/>
      <c r="M2149" s="20"/>
      <c r="N2149" s="20"/>
      <c r="O2149" s="20"/>
      <c r="P2149" s="20"/>
      <c r="Q2149" s="20"/>
      <c r="R2149" s="20"/>
      <c r="S2149" s="20"/>
      <c r="T2149" s="20"/>
      <c r="U2149" s="20"/>
      <c r="V2149" s="20"/>
      <c r="W2149" s="20"/>
      <c r="X2149" s="20"/>
      <c r="Y2149" s="20"/>
      <c r="Z2149" s="20"/>
      <c r="AA2149" s="20"/>
    </row>
    <row r="2150" spans="1:27" ht="139.19999999999999" x14ac:dyDescent="0.25">
      <c r="A2150" s="16"/>
      <c r="B2150" s="20" t="b">
        <v>0</v>
      </c>
      <c r="C2150" s="20" t="s">
        <v>4521</v>
      </c>
      <c r="D2150" s="2" t="s">
        <v>4522</v>
      </c>
      <c r="E2150" s="2" t="s">
        <v>4505</v>
      </c>
      <c r="F2150" s="20" t="s">
        <v>57</v>
      </c>
      <c r="G2150" s="2" t="s">
        <v>4523</v>
      </c>
      <c r="H2150" s="16"/>
      <c r="I2150" s="20"/>
      <c r="J2150" s="20"/>
      <c r="K2150" s="20"/>
      <c r="L2150" s="20"/>
      <c r="M2150" s="20"/>
      <c r="N2150" s="20"/>
      <c r="O2150" s="20"/>
      <c r="P2150" s="20"/>
      <c r="Q2150" s="20"/>
      <c r="R2150" s="20"/>
      <c r="S2150" s="20"/>
      <c r="T2150" s="20"/>
      <c r="U2150" s="20"/>
      <c r="V2150" s="20"/>
      <c r="W2150" s="20"/>
      <c r="X2150" s="20"/>
      <c r="Y2150" s="20"/>
      <c r="Z2150" s="20"/>
      <c r="AA2150" s="20"/>
    </row>
    <row r="2151" spans="1:27" ht="104.4" x14ac:dyDescent="0.25">
      <c r="A2151" s="16"/>
      <c r="B2151" s="20" t="b">
        <v>0</v>
      </c>
      <c r="C2151" s="20">
        <v>200</v>
      </c>
      <c r="D2151" s="2" t="s">
        <v>4524</v>
      </c>
      <c r="E2151" s="2" t="s">
        <v>4505</v>
      </c>
      <c r="F2151" s="20" t="s">
        <v>53</v>
      </c>
      <c r="G2151" s="2" t="s">
        <v>4525</v>
      </c>
      <c r="H2151" s="16"/>
      <c r="I2151" s="20"/>
      <c r="J2151" s="20"/>
      <c r="K2151" s="20"/>
      <c r="L2151" s="20"/>
      <c r="M2151" s="20"/>
      <c r="N2151" s="20"/>
      <c r="O2151" s="20"/>
      <c r="P2151" s="20"/>
      <c r="Q2151" s="20"/>
      <c r="R2151" s="20"/>
      <c r="S2151" s="20"/>
      <c r="T2151" s="20"/>
      <c r="U2151" s="20"/>
      <c r="V2151" s="20"/>
      <c r="W2151" s="20"/>
      <c r="X2151" s="20"/>
      <c r="Y2151" s="20"/>
      <c r="Z2151" s="20"/>
      <c r="AA2151" s="20"/>
    </row>
    <row r="2152" spans="1:27" ht="191.4" x14ac:dyDescent="0.25">
      <c r="A2152" s="16"/>
      <c r="B2152" s="20" t="b">
        <v>0</v>
      </c>
      <c r="C2152" s="20">
        <v>400</v>
      </c>
      <c r="D2152" s="2" t="s">
        <v>4526</v>
      </c>
      <c r="E2152" s="2" t="s">
        <v>4505</v>
      </c>
      <c r="F2152" s="20" t="s">
        <v>60</v>
      </c>
      <c r="G2152" s="2" t="s">
        <v>4527</v>
      </c>
      <c r="H2152" s="16"/>
      <c r="I2152" s="20"/>
      <c r="J2152" s="20"/>
      <c r="K2152" s="20"/>
      <c r="L2152" s="20"/>
      <c r="M2152" s="20"/>
      <c r="N2152" s="20"/>
      <c r="O2152" s="20"/>
      <c r="P2152" s="20"/>
      <c r="Q2152" s="20"/>
      <c r="R2152" s="20"/>
      <c r="S2152" s="20"/>
      <c r="T2152" s="20"/>
      <c r="U2152" s="20"/>
      <c r="V2152" s="20"/>
      <c r="W2152" s="20"/>
      <c r="X2152" s="20"/>
      <c r="Y2152" s="20"/>
      <c r="Z2152" s="20"/>
      <c r="AA2152" s="20"/>
    </row>
    <row r="2153" spans="1:27" ht="226.2" x14ac:dyDescent="0.25">
      <c r="A2153" s="16"/>
      <c r="B2153" s="20" t="b">
        <v>0</v>
      </c>
      <c r="C2153" s="20">
        <v>600</v>
      </c>
      <c r="D2153" s="2" t="s">
        <v>4528</v>
      </c>
      <c r="E2153" s="2" t="s">
        <v>4505</v>
      </c>
      <c r="F2153" s="20" t="s">
        <v>64</v>
      </c>
      <c r="G2153" s="2" t="s">
        <v>4529</v>
      </c>
      <c r="H2153" s="16"/>
      <c r="I2153" s="20"/>
      <c r="J2153" s="20"/>
      <c r="K2153" s="20"/>
      <c r="L2153" s="20"/>
      <c r="M2153" s="20"/>
      <c r="N2153" s="20"/>
      <c r="O2153" s="20"/>
      <c r="P2153" s="20"/>
      <c r="Q2153" s="20"/>
      <c r="R2153" s="20"/>
      <c r="S2153" s="20"/>
      <c r="T2153" s="20"/>
      <c r="U2153" s="20"/>
      <c r="V2153" s="20"/>
      <c r="W2153" s="20"/>
      <c r="X2153" s="20"/>
      <c r="Y2153" s="20"/>
      <c r="Z2153" s="20"/>
      <c r="AA2153" s="20"/>
    </row>
    <row r="2154" spans="1:27" ht="139.19999999999999" x14ac:dyDescent="0.25">
      <c r="A2154" s="16"/>
      <c r="B2154" s="20" t="b">
        <v>0</v>
      </c>
      <c r="C2154" s="20">
        <v>200</v>
      </c>
      <c r="D2154" s="2" t="s">
        <v>4530</v>
      </c>
      <c r="E2154" s="2" t="s">
        <v>4505</v>
      </c>
      <c r="F2154" s="20" t="s">
        <v>60</v>
      </c>
      <c r="G2154" s="2" t="s">
        <v>4531</v>
      </c>
      <c r="H2154" s="16"/>
      <c r="I2154" s="20"/>
      <c r="J2154" s="20"/>
      <c r="K2154" s="20"/>
      <c r="L2154" s="20"/>
      <c r="M2154" s="20"/>
      <c r="N2154" s="20"/>
      <c r="O2154" s="20"/>
      <c r="P2154" s="20"/>
      <c r="Q2154" s="20"/>
      <c r="R2154" s="20"/>
      <c r="S2154" s="20"/>
      <c r="T2154" s="20"/>
      <c r="U2154" s="20"/>
      <c r="V2154" s="20"/>
      <c r="W2154" s="20"/>
      <c r="X2154" s="20"/>
      <c r="Y2154" s="20"/>
      <c r="Z2154" s="20"/>
      <c r="AA2154" s="20"/>
    </row>
    <row r="2155" spans="1:27" ht="409.6" x14ac:dyDescent="0.25">
      <c r="A2155" s="16"/>
      <c r="B2155" s="20" t="b">
        <v>0</v>
      </c>
      <c r="C2155" s="20">
        <v>600</v>
      </c>
      <c r="D2155" s="2" t="s">
        <v>4532</v>
      </c>
      <c r="E2155" s="2" t="s">
        <v>4505</v>
      </c>
      <c r="F2155" s="20" t="s">
        <v>60</v>
      </c>
      <c r="G2155" s="2" t="s">
        <v>4533</v>
      </c>
      <c r="H2155" s="16"/>
      <c r="I2155" s="20"/>
      <c r="J2155" s="20"/>
      <c r="K2155" s="20"/>
      <c r="L2155" s="20"/>
      <c r="M2155" s="20"/>
      <c r="N2155" s="20"/>
      <c r="O2155" s="20"/>
      <c r="P2155" s="20"/>
      <c r="Q2155" s="20"/>
      <c r="R2155" s="20"/>
      <c r="S2155" s="20"/>
      <c r="T2155" s="20"/>
      <c r="U2155" s="20"/>
      <c r="V2155" s="20"/>
      <c r="W2155" s="20"/>
      <c r="X2155" s="20"/>
      <c r="Y2155" s="20"/>
      <c r="Z2155" s="20"/>
      <c r="AA2155" s="20"/>
    </row>
    <row r="2156" spans="1:27" ht="261" x14ac:dyDescent="0.25">
      <c r="A2156" s="16"/>
      <c r="B2156" s="20" t="b">
        <v>0</v>
      </c>
      <c r="C2156" s="20" t="s">
        <v>4534</v>
      </c>
      <c r="D2156" s="2" t="s">
        <v>4535</v>
      </c>
      <c r="E2156" s="2" t="s">
        <v>4505</v>
      </c>
      <c r="F2156" s="20" t="s">
        <v>60</v>
      </c>
      <c r="G2156" s="2" t="s">
        <v>4536</v>
      </c>
      <c r="H2156" s="16"/>
      <c r="I2156" s="20"/>
      <c r="J2156" s="20"/>
      <c r="K2156" s="20"/>
      <c r="L2156" s="20"/>
      <c r="M2156" s="20"/>
      <c r="N2156" s="20"/>
      <c r="O2156" s="20"/>
      <c r="P2156" s="20"/>
      <c r="Q2156" s="20"/>
      <c r="R2156" s="20"/>
      <c r="S2156" s="20"/>
      <c r="T2156" s="20"/>
      <c r="U2156" s="20"/>
      <c r="V2156" s="20"/>
      <c r="W2156" s="20"/>
      <c r="X2156" s="20"/>
      <c r="Y2156" s="20"/>
      <c r="Z2156" s="20"/>
      <c r="AA2156" s="20"/>
    </row>
    <row r="2157" spans="1:27" ht="121.8" x14ac:dyDescent="0.25">
      <c r="A2157" s="16"/>
      <c r="B2157" s="20" t="b">
        <v>0</v>
      </c>
      <c r="C2157" s="20">
        <v>100</v>
      </c>
      <c r="D2157" s="2" t="s">
        <v>4537</v>
      </c>
      <c r="E2157" s="2" t="s">
        <v>4505</v>
      </c>
      <c r="F2157" s="20" t="s">
        <v>63</v>
      </c>
      <c r="G2157" s="2" t="s">
        <v>4538</v>
      </c>
      <c r="H2157" s="16"/>
      <c r="I2157" s="20"/>
      <c r="J2157" s="20"/>
      <c r="K2157" s="20"/>
      <c r="L2157" s="20"/>
      <c r="M2157" s="20"/>
      <c r="N2157" s="20"/>
      <c r="O2157" s="20"/>
      <c r="P2157" s="20"/>
      <c r="Q2157" s="20"/>
      <c r="R2157" s="20"/>
      <c r="S2157" s="20"/>
      <c r="T2157" s="20"/>
      <c r="U2157" s="20"/>
      <c r="V2157" s="20"/>
      <c r="W2157" s="20"/>
      <c r="X2157" s="20"/>
      <c r="Y2157" s="20"/>
      <c r="Z2157" s="20"/>
      <c r="AA2157" s="20"/>
    </row>
    <row r="2158" spans="1:27" ht="139.19999999999999" x14ac:dyDescent="0.25">
      <c r="A2158" s="16"/>
      <c r="B2158" s="20" t="b">
        <v>0</v>
      </c>
      <c r="C2158" s="20">
        <v>200</v>
      </c>
      <c r="D2158" s="2" t="s">
        <v>4539</v>
      </c>
      <c r="E2158" s="2" t="s">
        <v>4505</v>
      </c>
      <c r="F2158" s="20" t="s">
        <v>61</v>
      </c>
      <c r="G2158" s="2" t="s">
        <v>4540</v>
      </c>
      <c r="H2158" s="16"/>
      <c r="I2158" s="20"/>
      <c r="J2158" s="20"/>
      <c r="K2158" s="20"/>
      <c r="L2158" s="20"/>
      <c r="M2158" s="20"/>
      <c r="N2158" s="20"/>
      <c r="O2158" s="20"/>
      <c r="P2158" s="20"/>
      <c r="Q2158" s="20"/>
      <c r="R2158" s="20"/>
      <c r="S2158" s="20"/>
      <c r="T2158" s="20"/>
      <c r="U2158" s="20"/>
      <c r="V2158" s="20"/>
      <c r="W2158" s="20"/>
      <c r="X2158" s="20"/>
      <c r="Y2158" s="20"/>
      <c r="Z2158" s="20"/>
      <c r="AA2158" s="20"/>
    </row>
    <row r="2159" spans="1:27" ht="409.6" x14ac:dyDescent="0.25">
      <c r="A2159" s="16"/>
      <c r="B2159" s="20" t="b">
        <v>0</v>
      </c>
      <c r="C2159" s="20">
        <v>600</v>
      </c>
      <c r="D2159" s="2" t="s">
        <v>4541</v>
      </c>
      <c r="E2159" s="2" t="s">
        <v>4505</v>
      </c>
      <c r="F2159" s="20" t="s">
        <v>61</v>
      </c>
      <c r="G2159" s="2" t="s">
        <v>4542</v>
      </c>
      <c r="H2159" s="16"/>
      <c r="I2159" s="20"/>
      <c r="J2159" s="20"/>
      <c r="K2159" s="20"/>
      <c r="L2159" s="20"/>
      <c r="M2159" s="20"/>
      <c r="N2159" s="20"/>
      <c r="O2159" s="20"/>
      <c r="P2159" s="20"/>
      <c r="Q2159" s="20"/>
      <c r="R2159" s="20"/>
      <c r="S2159" s="20"/>
      <c r="T2159" s="20"/>
      <c r="U2159" s="20"/>
      <c r="V2159" s="20"/>
      <c r="W2159" s="20"/>
      <c r="X2159" s="20"/>
      <c r="Y2159" s="20"/>
      <c r="Z2159" s="20"/>
      <c r="AA2159" s="20"/>
    </row>
    <row r="2160" spans="1:27" ht="382.8" x14ac:dyDescent="0.25">
      <c r="A2160" s="16"/>
      <c r="B2160" s="20" t="b">
        <v>0</v>
      </c>
      <c r="C2160" s="20">
        <v>600</v>
      </c>
      <c r="D2160" s="2" t="s">
        <v>4543</v>
      </c>
      <c r="E2160" s="2" t="s">
        <v>4505</v>
      </c>
      <c r="F2160" s="20" t="s">
        <v>53</v>
      </c>
      <c r="G2160" s="2" t="s">
        <v>4544</v>
      </c>
      <c r="H2160" s="16"/>
      <c r="I2160" s="20"/>
      <c r="J2160" s="20"/>
      <c r="K2160" s="20"/>
      <c r="L2160" s="20"/>
      <c r="M2160" s="20"/>
      <c r="N2160" s="20"/>
      <c r="O2160" s="20"/>
      <c r="P2160" s="20"/>
      <c r="Q2160" s="20"/>
      <c r="R2160" s="20"/>
      <c r="S2160" s="20"/>
      <c r="T2160" s="20"/>
      <c r="U2160" s="20"/>
      <c r="V2160" s="20"/>
      <c r="W2160" s="20"/>
      <c r="X2160" s="20"/>
      <c r="Y2160" s="20"/>
      <c r="Z2160" s="20"/>
      <c r="AA2160" s="20"/>
    </row>
    <row r="2161" spans="1:27" ht="409.6" x14ac:dyDescent="0.25">
      <c r="A2161" s="16"/>
      <c r="B2161" s="20" t="b">
        <v>0</v>
      </c>
      <c r="C2161" s="20">
        <v>600</v>
      </c>
      <c r="D2161" s="2" t="s">
        <v>4545</v>
      </c>
      <c r="E2161" s="2" t="s">
        <v>4505</v>
      </c>
      <c r="F2161" s="20" t="s">
        <v>60</v>
      </c>
      <c r="G2161" s="2" t="s">
        <v>4546</v>
      </c>
      <c r="H2161" s="16"/>
      <c r="I2161" s="20"/>
      <c r="J2161" s="20"/>
      <c r="K2161" s="20"/>
      <c r="L2161" s="20"/>
      <c r="M2161" s="20"/>
      <c r="N2161" s="20"/>
      <c r="O2161" s="20"/>
      <c r="P2161" s="20"/>
      <c r="Q2161" s="20"/>
      <c r="R2161" s="20"/>
      <c r="S2161" s="20"/>
      <c r="T2161" s="20"/>
      <c r="U2161" s="20"/>
      <c r="V2161" s="20"/>
      <c r="W2161" s="20"/>
      <c r="X2161" s="20"/>
      <c r="Y2161" s="20"/>
      <c r="Z2161" s="20"/>
      <c r="AA2161" s="20"/>
    </row>
    <row r="2162" spans="1:27" ht="156.6" x14ac:dyDescent="0.25">
      <c r="A2162" s="16"/>
      <c r="B2162" s="20" t="b">
        <v>0</v>
      </c>
      <c r="C2162" s="20">
        <v>600</v>
      </c>
      <c r="D2162" s="2" t="s">
        <v>4547</v>
      </c>
      <c r="E2162" s="2" t="s">
        <v>4505</v>
      </c>
      <c r="F2162" s="20" t="s">
        <v>59</v>
      </c>
      <c r="G2162" s="2" t="s">
        <v>4548</v>
      </c>
      <c r="H2162" s="16"/>
      <c r="I2162" s="20"/>
      <c r="J2162" s="20"/>
      <c r="K2162" s="20"/>
      <c r="L2162" s="20"/>
      <c r="M2162" s="20"/>
      <c r="N2162" s="20"/>
      <c r="O2162" s="20"/>
      <c r="P2162" s="20"/>
      <c r="Q2162" s="20"/>
      <c r="R2162" s="20"/>
      <c r="S2162" s="20"/>
      <c r="T2162" s="20"/>
      <c r="U2162" s="20"/>
      <c r="V2162" s="20"/>
      <c r="W2162" s="20"/>
      <c r="X2162" s="20"/>
      <c r="Y2162" s="20"/>
      <c r="Z2162" s="20"/>
      <c r="AA2162" s="20"/>
    </row>
    <row r="2163" spans="1:27" ht="156.6" x14ac:dyDescent="0.25">
      <c r="A2163" s="16"/>
      <c r="B2163" s="20" t="b">
        <v>0</v>
      </c>
      <c r="C2163" s="20">
        <v>200</v>
      </c>
      <c r="D2163" s="2" t="s">
        <v>4549</v>
      </c>
      <c r="E2163" s="2" t="s">
        <v>4505</v>
      </c>
      <c r="F2163" s="20" t="s">
        <v>59</v>
      </c>
      <c r="G2163" s="2" t="s">
        <v>4550</v>
      </c>
      <c r="H2163" s="16"/>
      <c r="I2163" s="20"/>
      <c r="J2163" s="20"/>
      <c r="K2163" s="20"/>
      <c r="L2163" s="20"/>
      <c r="M2163" s="20"/>
      <c r="N2163" s="20"/>
      <c r="O2163" s="20"/>
      <c r="P2163" s="20"/>
      <c r="Q2163" s="20"/>
      <c r="R2163" s="20"/>
      <c r="S2163" s="20"/>
      <c r="T2163" s="20"/>
      <c r="U2163" s="20"/>
      <c r="V2163" s="20"/>
      <c r="W2163" s="20"/>
      <c r="X2163" s="20"/>
      <c r="Y2163" s="20"/>
      <c r="Z2163" s="20"/>
      <c r="AA2163" s="20"/>
    </row>
    <row r="2164" spans="1:27" ht="174" x14ac:dyDescent="0.25">
      <c r="A2164" s="16"/>
      <c r="B2164" s="20" t="b">
        <v>0</v>
      </c>
      <c r="C2164" s="20">
        <v>600</v>
      </c>
      <c r="D2164" s="2" t="s">
        <v>4551</v>
      </c>
      <c r="E2164" s="2" t="s">
        <v>4505</v>
      </c>
      <c r="F2164" s="20" t="s">
        <v>59</v>
      </c>
      <c r="G2164" s="2" t="s">
        <v>4552</v>
      </c>
      <c r="H2164" s="16"/>
      <c r="I2164" s="20"/>
      <c r="J2164" s="20"/>
      <c r="K2164" s="20"/>
      <c r="L2164" s="20"/>
      <c r="M2164" s="20"/>
      <c r="N2164" s="20"/>
      <c r="O2164" s="20"/>
      <c r="P2164" s="20"/>
      <c r="Q2164" s="20"/>
      <c r="R2164" s="20"/>
      <c r="S2164" s="20"/>
      <c r="T2164" s="20"/>
      <c r="U2164" s="20"/>
      <c r="V2164" s="20"/>
      <c r="W2164" s="20"/>
      <c r="X2164" s="20"/>
      <c r="Y2164" s="20"/>
      <c r="Z2164" s="20"/>
      <c r="AA2164" s="20"/>
    </row>
    <row r="2165" spans="1:27" ht="191.4" x14ac:dyDescent="0.25">
      <c r="A2165" s="16"/>
      <c r="B2165" s="20" t="b">
        <v>0</v>
      </c>
      <c r="C2165" s="20">
        <v>100</v>
      </c>
      <c r="D2165" s="2" t="s">
        <v>4553</v>
      </c>
      <c r="E2165" s="2" t="s">
        <v>4505</v>
      </c>
      <c r="F2165" s="20" t="s">
        <v>59</v>
      </c>
      <c r="G2165" s="2" t="s">
        <v>4554</v>
      </c>
      <c r="H2165" s="16"/>
      <c r="I2165" s="20"/>
      <c r="J2165" s="20"/>
      <c r="K2165" s="20"/>
      <c r="L2165" s="20"/>
      <c r="M2165" s="20"/>
      <c r="N2165" s="20"/>
      <c r="O2165" s="20"/>
      <c r="P2165" s="20"/>
      <c r="Q2165" s="20"/>
      <c r="R2165" s="20"/>
      <c r="S2165" s="20"/>
      <c r="T2165" s="20"/>
      <c r="U2165" s="20"/>
      <c r="V2165" s="20"/>
      <c r="W2165" s="20"/>
      <c r="X2165" s="20"/>
      <c r="Y2165" s="20"/>
      <c r="Z2165" s="20"/>
      <c r="AA2165" s="20"/>
    </row>
    <row r="2166" spans="1:27" ht="174" x14ac:dyDescent="0.25">
      <c r="A2166" s="16"/>
      <c r="B2166" s="20" t="b">
        <v>0</v>
      </c>
      <c r="C2166" s="20">
        <v>400</v>
      </c>
      <c r="D2166" s="2" t="s">
        <v>4555</v>
      </c>
      <c r="E2166" s="2" t="s">
        <v>4505</v>
      </c>
      <c r="F2166" s="20" t="s">
        <v>59</v>
      </c>
      <c r="G2166" s="2" t="s">
        <v>4556</v>
      </c>
      <c r="H2166" s="16"/>
      <c r="I2166" s="20"/>
      <c r="J2166" s="20"/>
      <c r="K2166" s="20"/>
      <c r="L2166" s="20"/>
      <c r="M2166" s="20"/>
      <c r="N2166" s="20"/>
      <c r="O2166" s="20"/>
      <c r="P2166" s="20"/>
      <c r="Q2166" s="20"/>
      <c r="R2166" s="20"/>
      <c r="S2166" s="20"/>
      <c r="T2166" s="20"/>
      <c r="U2166" s="20"/>
      <c r="V2166" s="20"/>
      <c r="W2166" s="20"/>
      <c r="X2166" s="20"/>
      <c r="Y2166" s="20"/>
      <c r="Z2166" s="20"/>
      <c r="AA2166" s="20"/>
    </row>
    <row r="2167" spans="1:27" ht="139.19999999999999" x14ac:dyDescent="0.25">
      <c r="A2167" s="16"/>
      <c r="B2167" s="20" t="b">
        <v>0</v>
      </c>
      <c r="C2167" s="20">
        <v>400</v>
      </c>
      <c r="D2167" s="2" t="s">
        <v>4557</v>
      </c>
      <c r="E2167" s="2" t="s">
        <v>4505</v>
      </c>
      <c r="F2167" s="20" t="s">
        <v>59</v>
      </c>
      <c r="G2167" s="2" t="s">
        <v>4558</v>
      </c>
      <c r="H2167" s="16"/>
      <c r="I2167" s="20"/>
      <c r="J2167" s="20"/>
      <c r="K2167" s="20"/>
      <c r="L2167" s="20"/>
      <c r="M2167" s="20"/>
      <c r="N2167" s="20"/>
      <c r="O2167" s="20"/>
      <c r="P2167" s="20"/>
      <c r="Q2167" s="20"/>
      <c r="R2167" s="20"/>
      <c r="S2167" s="20"/>
      <c r="T2167" s="20"/>
      <c r="U2167" s="20"/>
      <c r="V2167" s="20"/>
      <c r="W2167" s="20"/>
      <c r="X2167" s="20"/>
      <c r="Y2167" s="20"/>
      <c r="Z2167" s="20"/>
      <c r="AA2167" s="20"/>
    </row>
    <row r="2168" spans="1:27" ht="174" x14ac:dyDescent="0.25">
      <c r="A2168" s="16"/>
      <c r="B2168" s="20" t="b">
        <v>0</v>
      </c>
      <c r="C2168" s="20">
        <v>600</v>
      </c>
      <c r="D2168" s="2" t="s">
        <v>4559</v>
      </c>
      <c r="E2168" s="2" t="s">
        <v>4505</v>
      </c>
      <c r="F2168" s="20" t="s">
        <v>59</v>
      </c>
      <c r="G2168" s="2" t="s">
        <v>4560</v>
      </c>
      <c r="H2168" s="16"/>
      <c r="I2168" s="20"/>
      <c r="J2168" s="20"/>
      <c r="K2168" s="20"/>
      <c r="L2168" s="20"/>
      <c r="M2168" s="20"/>
      <c r="N2168" s="20"/>
      <c r="O2168" s="20"/>
      <c r="P2168" s="20"/>
      <c r="Q2168" s="20"/>
      <c r="R2168" s="20"/>
      <c r="S2168" s="20"/>
      <c r="T2168" s="20"/>
      <c r="U2168" s="20"/>
      <c r="V2168" s="20"/>
      <c r="W2168" s="20"/>
      <c r="X2168" s="20"/>
      <c r="Y2168" s="20"/>
      <c r="Z2168" s="20"/>
      <c r="AA2168" s="20"/>
    </row>
    <row r="2169" spans="1:27" ht="104.4" x14ac:dyDescent="0.25">
      <c r="A2169" s="16"/>
      <c r="B2169" s="20" t="b">
        <v>0</v>
      </c>
      <c r="C2169" s="20">
        <v>0</v>
      </c>
      <c r="D2169" s="2" t="s">
        <v>4561</v>
      </c>
      <c r="E2169" s="2" t="s">
        <v>4505</v>
      </c>
      <c r="F2169" s="20" t="s">
        <v>53</v>
      </c>
      <c r="G2169" s="2" t="s">
        <v>4562</v>
      </c>
      <c r="H2169" s="16"/>
      <c r="I2169" s="20"/>
      <c r="J2169" s="20"/>
      <c r="K2169" s="20"/>
      <c r="L2169" s="20"/>
      <c r="M2169" s="20"/>
      <c r="N2169" s="20"/>
      <c r="O2169" s="20"/>
      <c r="P2169" s="20"/>
      <c r="Q2169" s="20"/>
      <c r="R2169" s="20"/>
      <c r="S2169" s="20"/>
      <c r="T2169" s="20"/>
      <c r="U2169" s="20"/>
      <c r="V2169" s="20"/>
      <c r="W2169" s="20"/>
      <c r="X2169" s="20"/>
      <c r="Y2169" s="20"/>
      <c r="Z2169" s="20"/>
      <c r="AA2169" s="20"/>
    </row>
    <row r="2170" spans="1:27" ht="208.8" x14ac:dyDescent="0.25">
      <c r="A2170" s="16"/>
      <c r="B2170" s="20" t="b">
        <v>0</v>
      </c>
      <c r="C2170" s="20" t="s">
        <v>4563</v>
      </c>
      <c r="D2170" s="2" t="s">
        <v>4564</v>
      </c>
      <c r="E2170" s="2" t="s">
        <v>4505</v>
      </c>
      <c r="F2170" s="20" t="s">
        <v>60</v>
      </c>
      <c r="G2170" s="2" t="s">
        <v>4565</v>
      </c>
      <c r="H2170" s="16"/>
      <c r="I2170" s="20"/>
      <c r="J2170" s="20"/>
      <c r="K2170" s="20"/>
      <c r="L2170" s="20"/>
      <c r="M2170" s="20"/>
      <c r="N2170" s="20"/>
      <c r="O2170" s="20"/>
      <c r="P2170" s="20"/>
      <c r="Q2170" s="20"/>
      <c r="R2170" s="20"/>
      <c r="S2170" s="20"/>
      <c r="T2170" s="20"/>
      <c r="U2170" s="20"/>
      <c r="V2170" s="20"/>
      <c r="W2170" s="20"/>
      <c r="X2170" s="20"/>
      <c r="Y2170" s="20"/>
      <c r="Z2170" s="20"/>
      <c r="AA2170" s="20"/>
    </row>
    <row r="2171" spans="1:27" ht="409.6" x14ac:dyDescent="0.25">
      <c r="A2171" s="16"/>
      <c r="B2171" s="20" t="b">
        <v>0</v>
      </c>
      <c r="C2171" s="20" t="s">
        <v>4566</v>
      </c>
      <c r="D2171" s="2" t="s">
        <v>4567</v>
      </c>
      <c r="E2171" s="2" t="s">
        <v>4505</v>
      </c>
      <c r="F2171" s="2" t="s">
        <v>61</v>
      </c>
      <c r="G2171" s="2" t="s">
        <v>4568</v>
      </c>
      <c r="H2171" s="16"/>
      <c r="I2171" s="20"/>
      <c r="J2171" s="20"/>
      <c r="K2171" s="20"/>
      <c r="L2171" s="20"/>
      <c r="M2171" s="20"/>
      <c r="N2171" s="20"/>
      <c r="O2171" s="20"/>
      <c r="P2171" s="20"/>
      <c r="Q2171" s="20"/>
      <c r="R2171" s="20"/>
      <c r="S2171" s="20"/>
      <c r="T2171" s="20"/>
      <c r="U2171" s="20"/>
      <c r="V2171" s="20"/>
      <c r="W2171" s="20"/>
      <c r="X2171" s="20"/>
      <c r="Y2171" s="20"/>
      <c r="Z2171" s="20"/>
      <c r="AA2171" s="20"/>
    </row>
    <row r="2172" spans="1:27" ht="409.6" x14ac:dyDescent="0.25">
      <c r="A2172" s="16"/>
      <c r="B2172" s="20"/>
      <c r="C2172" s="20" t="s">
        <v>4569</v>
      </c>
      <c r="D2172" s="2" t="s">
        <v>4570</v>
      </c>
      <c r="E2172" s="2" t="s">
        <v>4571</v>
      </c>
      <c r="F2172" s="20" t="s">
        <v>64</v>
      </c>
      <c r="G2172" s="2" t="s">
        <v>4572</v>
      </c>
      <c r="H2172" s="16"/>
      <c r="I2172" s="20"/>
      <c r="J2172" s="20"/>
      <c r="K2172" s="20"/>
      <c r="L2172" s="20"/>
      <c r="M2172" s="20"/>
      <c r="N2172" s="20"/>
      <c r="O2172" s="20"/>
      <c r="P2172" s="20"/>
      <c r="Q2172" s="20"/>
      <c r="R2172" s="20"/>
      <c r="S2172" s="20"/>
      <c r="T2172" s="20"/>
      <c r="U2172" s="20"/>
      <c r="V2172" s="20"/>
      <c r="W2172" s="20"/>
      <c r="X2172" s="20"/>
      <c r="Y2172" s="20"/>
      <c r="Z2172" s="20"/>
      <c r="AA2172" s="20"/>
    </row>
    <row r="2173" spans="1:27" ht="409.6" x14ac:dyDescent="0.25">
      <c r="A2173" s="16"/>
      <c r="B2173" s="20"/>
      <c r="C2173" s="20">
        <v>100</v>
      </c>
      <c r="D2173" s="2" t="s">
        <v>4573</v>
      </c>
      <c r="E2173" s="2" t="s">
        <v>4571</v>
      </c>
      <c r="F2173" s="20" t="s">
        <v>61</v>
      </c>
      <c r="G2173" s="2" t="s">
        <v>4574</v>
      </c>
      <c r="H2173" s="16"/>
      <c r="I2173" s="20"/>
      <c r="J2173" s="20"/>
      <c r="K2173" s="20"/>
      <c r="L2173" s="20"/>
      <c r="M2173" s="20"/>
      <c r="N2173" s="20"/>
      <c r="O2173" s="20"/>
      <c r="P2173" s="20"/>
      <c r="Q2173" s="20"/>
      <c r="R2173" s="20"/>
      <c r="S2173" s="20"/>
      <c r="T2173" s="20"/>
      <c r="U2173" s="20"/>
      <c r="V2173" s="20"/>
      <c r="W2173" s="20"/>
      <c r="X2173" s="20"/>
      <c r="Y2173" s="20"/>
      <c r="Z2173" s="20"/>
      <c r="AA2173" s="20"/>
    </row>
    <row r="2174" spans="1:27" ht="156.6" x14ac:dyDescent="0.25">
      <c r="A2174" s="16"/>
      <c r="B2174" s="20"/>
      <c r="C2174" s="20">
        <v>50</v>
      </c>
      <c r="D2174" s="2" t="s">
        <v>4575</v>
      </c>
      <c r="E2174" s="2" t="s">
        <v>4571</v>
      </c>
      <c r="F2174" s="20" t="s">
        <v>57</v>
      </c>
      <c r="G2174" s="2" t="s">
        <v>4576</v>
      </c>
      <c r="H2174" s="16"/>
      <c r="I2174" s="20"/>
      <c r="J2174" s="20"/>
      <c r="K2174" s="20"/>
      <c r="L2174" s="20"/>
      <c r="M2174" s="20"/>
      <c r="N2174" s="20"/>
      <c r="O2174" s="20"/>
      <c r="P2174" s="20"/>
      <c r="Q2174" s="20"/>
      <c r="R2174" s="20"/>
      <c r="S2174" s="20"/>
      <c r="T2174" s="20"/>
      <c r="U2174" s="20"/>
      <c r="V2174" s="20"/>
      <c r="W2174" s="20"/>
      <c r="X2174" s="20"/>
      <c r="Y2174" s="20"/>
      <c r="Z2174" s="20"/>
      <c r="AA2174" s="20"/>
    </row>
    <row r="2175" spans="1:27" ht="313.2" x14ac:dyDescent="0.25">
      <c r="A2175" s="16"/>
      <c r="B2175" s="20"/>
      <c r="C2175" s="20" t="s">
        <v>4577</v>
      </c>
      <c r="D2175" s="2" t="s">
        <v>4578</v>
      </c>
      <c r="E2175" s="2" t="s">
        <v>4571</v>
      </c>
      <c r="F2175" s="20" t="s">
        <v>53</v>
      </c>
      <c r="G2175" s="2" t="s">
        <v>4579</v>
      </c>
      <c r="H2175" s="16"/>
      <c r="I2175" s="20"/>
      <c r="J2175" s="20"/>
      <c r="K2175" s="20"/>
      <c r="L2175" s="20"/>
      <c r="M2175" s="20"/>
      <c r="N2175" s="20"/>
      <c r="O2175" s="20"/>
      <c r="P2175" s="20"/>
      <c r="Q2175" s="20"/>
      <c r="R2175" s="20"/>
      <c r="S2175" s="20"/>
      <c r="T2175" s="20"/>
      <c r="U2175" s="20"/>
      <c r="V2175" s="20"/>
      <c r="W2175" s="20"/>
      <c r="X2175" s="20"/>
      <c r="Y2175" s="20"/>
      <c r="Z2175" s="20"/>
      <c r="AA2175" s="20"/>
    </row>
    <row r="2176" spans="1:27" ht="313.2" x14ac:dyDescent="0.25">
      <c r="A2176" s="16"/>
      <c r="B2176" s="20" t="b">
        <v>0</v>
      </c>
      <c r="C2176" s="20">
        <v>100</v>
      </c>
      <c r="D2176" s="2" t="s">
        <v>4580</v>
      </c>
      <c r="E2176" s="2" t="s">
        <v>4571</v>
      </c>
      <c r="F2176" s="20" t="s">
        <v>54</v>
      </c>
      <c r="G2176" s="2" t="s">
        <v>4581</v>
      </c>
      <c r="H2176" s="16"/>
      <c r="I2176" s="20"/>
      <c r="J2176" s="20"/>
      <c r="K2176" s="20"/>
      <c r="L2176" s="20"/>
      <c r="M2176" s="20"/>
      <c r="N2176" s="20"/>
      <c r="O2176" s="20"/>
      <c r="P2176" s="20"/>
      <c r="Q2176" s="20"/>
      <c r="R2176" s="20"/>
      <c r="S2176" s="20"/>
      <c r="T2176" s="20"/>
      <c r="U2176" s="20"/>
      <c r="V2176" s="20"/>
      <c r="W2176" s="20"/>
      <c r="X2176" s="20"/>
      <c r="Y2176" s="20"/>
      <c r="Z2176" s="20"/>
      <c r="AA2176" s="20"/>
    </row>
    <row r="2177" spans="1:27" ht="409.6" x14ac:dyDescent="0.25">
      <c r="A2177" s="16"/>
      <c r="B2177" s="20" t="b">
        <v>0</v>
      </c>
      <c r="C2177" s="20">
        <v>200</v>
      </c>
      <c r="D2177" s="2" t="s">
        <v>4582</v>
      </c>
      <c r="E2177" s="2" t="s">
        <v>4571</v>
      </c>
      <c r="F2177" s="20" t="s">
        <v>56</v>
      </c>
      <c r="G2177" s="2" t="s">
        <v>4583</v>
      </c>
      <c r="H2177" s="16"/>
      <c r="I2177" s="20"/>
      <c r="J2177" s="20"/>
      <c r="K2177" s="20"/>
      <c r="L2177" s="20"/>
      <c r="M2177" s="20"/>
      <c r="N2177" s="20"/>
      <c r="O2177" s="20"/>
      <c r="P2177" s="20"/>
      <c r="Q2177" s="20"/>
      <c r="R2177" s="20"/>
      <c r="S2177" s="20"/>
      <c r="T2177" s="20"/>
      <c r="U2177" s="20"/>
      <c r="V2177" s="20"/>
      <c r="W2177" s="20"/>
      <c r="X2177" s="20"/>
      <c r="Y2177" s="20"/>
      <c r="Z2177" s="20"/>
      <c r="AA2177" s="20"/>
    </row>
    <row r="2178" spans="1:27" ht="400.2" x14ac:dyDescent="0.25">
      <c r="A2178" s="16"/>
      <c r="B2178" s="20" t="b">
        <v>0</v>
      </c>
      <c r="C2178" s="20" t="s">
        <v>4584</v>
      </c>
      <c r="D2178" s="2" t="s">
        <v>4585</v>
      </c>
      <c r="E2178" s="2" t="s">
        <v>4571</v>
      </c>
      <c r="F2178" s="20" t="s">
        <v>56</v>
      </c>
      <c r="G2178" s="2" t="s">
        <v>4586</v>
      </c>
      <c r="H2178" s="16"/>
      <c r="I2178" s="20"/>
      <c r="J2178" s="20"/>
      <c r="K2178" s="20"/>
      <c r="L2178" s="20"/>
      <c r="M2178" s="20"/>
      <c r="N2178" s="20"/>
      <c r="O2178" s="20"/>
      <c r="P2178" s="20"/>
      <c r="Q2178" s="20"/>
      <c r="R2178" s="20"/>
      <c r="S2178" s="20"/>
      <c r="T2178" s="20"/>
      <c r="U2178" s="20"/>
      <c r="V2178" s="20"/>
      <c r="W2178" s="20"/>
      <c r="X2178" s="20"/>
      <c r="Y2178" s="20"/>
      <c r="Z2178" s="20"/>
      <c r="AA2178" s="20"/>
    </row>
    <row r="2179" spans="1:27" ht="243.6" x14ac:dyDescent="0.25">
      <c r="A2179" s="16"/>
      <c r="B2179" s="20" t="b">
        <v>0</v>
      </c>
      <c r="C2179" s="20">
        <v>500</v>
      </c>
      <c r="D2179" s="2" t="s">
        <v>4587</v>
      </c>
      <c r="E2179" s="2" t="s">
        <v>4571</v>
      </c>
      <c r="F2179" s="20" t="s">
        <v>64</v>
      </c>
      <c r="G2179" s="2" t="s">
        <v>4588</v>
      </c>
      <c r="H2179" s="16"/>
      <c r="I2179" s="20"/>
      <c r="J2179" s="20"/>
      <c r="K2179" s="20"/>
      <c r="L2179" s="20"/>
      <c r="M2179" s="20"/>
      <c r="N2179" s="20"/>
      <c r="O2179" s="20"/>
      <c r="P2179" s="20"/>
      <c r="Q2179" s="20"/>
      <c r="R2179" s="20"/>
      <c r="S2179" s="20"/>
      <c r="T2179" s="20"/>
      <c r="U2179" s="20"/>
      <c r="V2179" s="20"/>
      <c r="W2179" s="20"/>
      <c r="X2179" s="20"/>
      <c r="Y2179" s="20"/>
      <c r="Z2179" s="20"/>
      <c r="AA2179" s="20"/>
    </row>
    <row r="2180" spans="1:27" ht="121.8" x14ac:dyDescent="0.25">
      <c r="A2180" s="16"/>
      <c r="B2180" s="20" t="b">
        <v>0</v>
      </c>
      <c r="C2180" s="20">
        <v>300</v>
      </c>
      <c r="D2180" s="2" t="s">
        <v>4589</v>
      </c>
      <c r="E2180" s="2" t="s">
        <v>4571</v>
      </c>
      <c r="F2180" s="20" t="s">
        <v>60</v>
      </c>
      <c r="G2180" s="2" t="s">
        <v>4590</v>
      </c>
      <c r="H2180" s="16"/>
      <c r="I2180" s="20"/>
      <c r="J2180" s="20"/>
      <c r="K2180" s="20"/>
      <c r="L2180" s="20"/>
      <c r="M2180" s="20"/>
      <c r="N2180" s="20"/>
      <c r="O2180" s="20"/>
      <c r="P2180" s="20"/>
      <c r="Q2180" s="20"/>
      <c r="R2180" s="20"/>
      <c r="S2180" s="20"/>
      <c r="T2180" s="20"/>
      <c r="U2180" s="20"/>
      <c r="V2180" s="20"/>
      <c r="W2180" s="20"/>
      <c r="X2180" s="20"/>
      <c r="Y2180" s="20"/>
      <c r="Z2180" s="20"/>
      <c r="AA2180" s="20"/>
    </row>
    <row r="2181" spans="1:27" ht="330.6" x14ac:dyDescent="0.25">
      <c r="A2181" s="16"/>
      <c r="B2181" s="20" t="b">
        <v>0</v>
      </c>
      <c r="C2181" s="20">
        <v>400</v>
      </c>
      <c r="D2181" s="2" t="s">
        <v>4591</v>
      </c>
      <c r="E2181" s="2" t="s">
        <v>4571</v>
      </c>
      <c r="F2181" s="20" t="s">
        <v>53</v>
      </c>
      <c r="G2181" s="2" t="s">
        <v>4592</v>
      </c>
      <c r="H2181" s="16"/>
      <c r="I2181" s="20"/>
      <c r="J2181" s="20"/>
      <c r="K2181" s="20"/>
      <c r="L2181" s="20"/>
      <c r="M2181" s="20"/>
      <c r="N2181" s="20"/>
      <c r="O2181" s="20"/>
      <c r="P2181" s="20"/>
      <c r="Q2181" s="20"/>
      <c r="R2181" s="20"/>
      <c r="S2181" s="20"/>
      <c r="T2181" s="20"/>
      <c r="U2181" s="20"/>
      <c r="V2181" s="20"/>
      <c r="W2181" s="20"/>
      <c r="X2181" s="20"/>
      <c r="Y2181" s="20"/>
      <c r="Z2181" s="20"/>
      <c r="AA2181" s="20"/>
    </row>
    <row r="2182" spans="1:27" ht="409.6" x14ac:dyDescent="0.25">
      <c r="A2182" s="16"/>
      <c r="B2182" s="20" t="b">
        <v>0</v>
      </c>
      <c r="C2182" s="20">
        <v>600</v>
      </c>
      <c r="D2182" s="2" t="s">
        <v>4593</v>
      </c>
      <c r="E2182" s="2" t="s">
        <v>4571</v>
      </c>
      <c r="F2182" s="20" t="s">
        <v>64</v>
      </c>
      <c r="G2182" s="2" t="s">
        <v>4594</v>
      </c>
      <c r="H2182" s="16"/>
      <c r="I2182" s="20"/>
      <c r="J2182" s="20"/>
      <c r="K2182" s="20"/>
      <c r="L2182" s="20"/>
      <c r="M2182" s="20"/>
      <c r="N2182" s="20"/>
      <c r="O2182" s="20"/>
      <c r="P2182" s="20"/>
      <c r="Q2182" s="20"/>
      <c r="R2182" s="20"/>
      <c r="S2182" s="20"/>
      <c r="T2182" s="20"/>
      <c r="U2182" s="20"/>
      <c r="V2182" s="20"/>
      <c r="W2182" s="20"/>
      <c r="X2182" s="20"/>
      <c r="Y2182" s="20"/>
      <c r="Z2182" s="20"/>
      <c r="AA2182" s="20"/>
    </row>
    <row r="2183" spans="1:27" ht="69.599999999999994" x14ac:dyDescent="0.25">
      <c r="A2183" s="16"/>
      <c r="B2183" s="20" t="b">
        <v>0</v>
      </c>
      <c r="C2183" s="20">
        <v>100</v>
      </c>
      <c r="D2183" s="2" t="s">
        <v>4595</v>
      </c>
      <c r="E2183" s="2" t="s">
        <v>4571</v>
      </c>
      <c r="F2183" s="20" t="s">
        <v>54</v>
      </c>
      <c r="G2183" s="2" t="s">
        <v>4596</v>
      </c>
      <c r="H2183" s="16"/>
      <c r="I2183" s="20"/>
      <c r="J2183" s="20"/>
      <c r="K2183" s="20"/>
      <c r="L2183" s="20"/>
      <c r="M2183" s="20"/>
      <c r="N2183" s="20"/>
      <c r="O2183" s="20"/>
      <c r="P2183" s="20"/>
      <c r="Q2183" s="20"/>
      <c r="R2183" s="20"/>
      <c r="S2183" s="20"/>
      <c r="T2183" s="20"/>
      <c r="U2183" s="20"/>
      <c r="V2183" s="20"/>
      <c r="W2183" s="20"/>
      <c r="X2183" s="20"/>
      <c r="Y2183" s="20"/>
      <c r="Z2183" s="20"/>
      <c r="AA2183" s="20"/>
    </row>
    <row r="2184" spans="1:27" ht="261" x14ac:dyDescent="0.25">
      <c r="A2184" s="16"/>
      <c r="B2184" s="20" t="b">
        <v>0</v>
      </c>
      <c r="C2184" s="20">
        <v>200</v>
      </c>
      <c r="D2184" s="2" t="s">
        <v>4597</v>
      </c>
      <c r="E2184" s="2" t="s">
        <v>4571</v>
      </c>
      <c r="F2184" s="20" t="s">
        <v>61</v>
      </c>
      <c r="G2184" s="2" t="s">
        <v>4598</v>
      </c>
      <c r="H2184" s="16"/>
      <c r="I2184" s="20"/>
      <c r="J2184" s="20"/>
      <c r="K2184" s="20"/>
      <c r="L2184" s="20"/>
      <c r="M2184" s="20"/>
      <c r="N2184" s="20"/>
      <c r="O2184" s="20"/>
      <c r="P2184" s="20"/>
      <c r="Q2184" s="20"/>
      <c r="R2184" s="20"/>
      <c r="S2184" s="20"/>
      <c r="T2184" s="20"/>
      <c r="U2184" s="20"/>
      <c r="V2184" s="20"/>
      <c r="W2184" s="20"/>
      <c r="X2184" s="20"/>
      <c r="Y2184" s="20"/>
      <c r="Z2184" s="20"/>
      <c r="AA2184" s="20"/>
    </row>
    <row r="2185" spans="1:27" ht="104.4" x14ac:dyDescent="0.25">
      <c r="A2185" s="16"/>
      <c r="B2185" s="20" t="b">
        <v>0</v>
      </c>
      <c r="C2185" s="20">
        <v>300</v>
      </c>
      <c r="D2185" s="2" t="s">
        <v>4599</v>
      </c>
      <c r="E2185" s="2" t="s">
        <v>4571</v>
      </c>
      <c r="F2185" s="20" t="s">
        <v>57</v>
      </c>
      <c r="G2185" s="2" t="s">
        <v>4600</v>
      </c>
      <c r="H2185" s="16"/>
      <c r="I2185" s="20"/>
      <c r="J2185" s="20"/>
      <c r="K2185" s="20"/>
      <c r="L2185" s="20"/>
      <c r="M2185" s="20"/>
      <c r="N2185" s="20"/>
      <c r="O2185" s="20"/>
      <c r="P2185" s="20"/>
      <c r="Q2185" s="20"/>
      <c r="R2185" s="20"/>
      <c r="S2185" s="20"/>
      <c r="T2185" s="20"/>
      <c r="U2185" s="20"/>
      <c r="V2185" s="20"/>
      <c r="W2185" s="20"/>
      <c r="X2185" s="20"/>
      <c r="Y2185" s="20"/>
      <c r="Z2185" s="20"/>
      <c r="AA2185" s="20"/>
    </row>
    <row r="2186" spans="1:27" ht="348" x14ac:dyDescent="0.25">
      <c r="A2186" s="16"/>
      <c r="B2186" s="20" t="b">
        <v>0</v>
      </c>
      <c r="C2186" s="20">
        <v>400</v>
      </c>
      <c r="D2186" s="2" t="s">
        <v>4601</v>
      </c>
      <c r="E2186" s="2" t="s">
        <v>4571</v>
      </c>
      <c r="F2186" s="20" t="s">
        <v>63</v>
      </c>
      <c r="G2186" s="2" t="s">
        <v>4602</v>
      </c>
      <c r="H2186" s="16"/>
      <c r="I2186" s="20"/>
      <c r="J2186" s="20"/>
      <c r="K2186" s="20"/>
      <c r="L2186" s="20"/>
      <c r="M2186" s="20"/>
      <c r="N2186" s="20"/>
      <c r="O2186" s="20"/>
      <c r="P2186" s="20"/>
      <c r="Q2186" s="20"/>
      <c r="R2186" s="20"/>
      <c r="S2186" s="20"/>
      <c r="T2186" s="20"/>
      <c r="U2186" s="20"/>
      <c r="V2186" s="20"/>
      <c r="W2186" s="20"/>
      <c r="X2186" s="20"/>
      <c r="Y2186" s="20"/>
      <c r="Z2186" s="20"/>
      <c r="AA2186" s="20"/>
    </row>
    <row r="2187" spans="1:27" ht="226.2" x14ac:dyDescent="0.25">
      <c r="A2187" s="16"/>
      <c r="B2187" s="20" t="b">
        <v>0</v>
      </c>
      <c r="C2187" s="20">
        <v>600</v>
      </c>
      <c r="D2187" s="2" t="s">
        <v>4603</v>
      </c>
      <c r="E2187" s="2" t="s">
        <v>4571</v>
      </c>
      <c r="F2187" s="20" t="s">
        <v>54</v>
      </c>
      <c r="G2187" s="2" t="s">
        <v>4604</v>
      </c>
      <c r="H2187" s="16"/>
      <c r="I2187" s="20"/>
      <c r="J2187" s="20"/>
      <c r="K2187" s="20"/>
      <c r="L2187" s="20"/>
      <c r="M2187" s="20"/>
      <c r="N2187" s="20"/>
      <c r="O2187" s="20"/>
      <c r="P2187" s="20"/>
      <c r="Q2187" s="20"/>
      <c r="R2187" s="20"/>
      <c r="S2187" s="20"/>
      <c r="T2187" s="20"/>
      <c r="U2187" s="20"/>
      <c r="V2187" s="20"/>
      <c r="W2187" s="20"/>
      <c r="X2187" s="20"/>
      <c r="Y2187" s="20"/>
      <c r="Z2187" s="20"/>
      <c r="AA2187" s="20"/>
    </row>
    <row r="2188" spans="1:27" ht="409.6" x14ac:dyDescent="0.25">
      <c r="A2188" s="16"/>
      <c r="B2188" s="20" t="b">
        <v>0</v>
      </c>
      <c r="C2188" s="20">
        <v>100</v>
      </c>
      <c r="D2188" s="2" t="s">
        <v>4605</v>
      </c>
      <c r="E2188" s="2" t="s">
        <v>4571</v>
      </c>
      <c r="F2188" s="20" t="s">
        <v>56</v>
      </c>
      <c r="G2188" s="2" t="s">
        <v>4606</v>
      </c>
      <c r="H2188" s="16"/>
      <c r="I2188" s="20"/>
      <c r="J2188" s="20"/>
      <c r="K2188" s="20"/>
      <c r="L2188" s="20"/>
      <c r="M2188" s="20"/>
      <c r="N2188" s="20"/>
      <c r="O2188" s="20"/>
      <c r="P2188" s="20"/>
      <c r="Q2188" s="20"/>
      <c r="R2188" s="20"/>
      <c r="S2188" s="20"/>
      <c r="T2188" s="20"/>
      <c r="U2188" s="20"/>
      <c r="V2188" s="20"/>
      <c r="W2188" s="20"/>
      <c r="X2188" s="20"/>
      <c r="Y2188" s="20"/>
      <c r="Z2188" s="20"/>
      <c r="AA2188" s="20"/>
    </row>
    <row r="2189" spans="1:27" ht="121.8" x14ac:dyDescent="0.25">
      <c r="A2189" s="16"/>
      <c r="B2189" s="20" t="b">
        <v>0</v>
      </c>
      <c r="C2189" s="20">
        <v>200</v>
      </c>
      <c r="D2189" s="2" t="s">
        <v>2058</v>
      </c>
      <c r="E2189" s="2" t="s">
        <v>4571</v>
      </c>
      <c r="F2189" s="20" t="s">
        <v>57</v>
      </c>
      <c r="G2189" s="2" t="s">
        <v>4607</v>
      </c>
      <c r="H2189" s="16"/>
      <c r="I2189" s="20"/>
      <c r="J2189" s="20"/>
      <c r="K2189" s="20"/>
      <c r="L2189" s="20"/>
      <c r="M2189" s="20"/>
      <c r="N2189" s="20"/>
      <c r="O2189" s="20"/>
      <c r="P2189" s="20"/>
      <c r="Q2189" s="20"/>
      <c r="R2189" s="20"/>
      <c r="S2189" s="20"/>
      <c r="T2189" s="20"/>
      <c r="U2189" s="20"/>
      <c r="V2189" s="20"/>
      <c r="W2189" s="20"/>
      <c r="X2189" s="20"/>
      <c r="Y2189" s="20"/>
      <c r="Z2189" s="20"/>
      <c r="AA2189" s="20"/>
    </row>
    <row r="2190" spans="1:27" ht="156.6" x14ac:dyDescent="0.25">
      <c r="A2190" s="16"/>
      <c r="B2190" s="20" t="b">
        <v>0</v>
      </c>
      <c r="C2190" s="20">
        <v>300</v>
      </c>
      <c r="D2190" s="2" t="s">
        <v>4608</v>
      </c>
      <c r="E2190" s="2" t="s">
        <v>4571</v>
      </c>
      <c r="F2190" s="20" t="s">
        <v>57</v>
      </c>
      <c r="G2190" s="2" t="s">
        <v>4609</v>
      </c>
      <c r="H2190" s="16"/>
      <c r="I2190" s="20"/>
      <c r="J2190" s="20"/>
      <c r="K2190" s="20"/>
      <c r="L2190" s="20"/>
      <c r="M2190" s="20"/>
      <c r="N2190" s="20"/>
      <c r="O2190" s="20"/>
      <c r="P2190" s="20"/>
      <c r="Q2190" s="20"/>
      <c r="R2190" s="20"/>
      <c r="S2190" s="20"/>
      <c r="T2190" s="20"/>
      <c r="U2190" s="20"/>
      <c r="V2190" s="20"/>
      <c r="W2190" s="20"/>
      <c r="X2190" s="20"/>
      <c r="Y2190" s="20"/>
      <c r="Z2190" s="20"/>
      <c r="AA2190" s="20"/>
    </row>
    <row r="2191" spans="1:27" ht="156.6" x14ac:dyDescent="0.25">
      <c r="A2191" s="16"/>
      <c r="B2191" s="20" t="b">
        <v>0</v>
      </c>
      <c r="C2191" s="20">
        <v>400</v>
      </c>
      <c r="D2191" s="2" t="s">
        <v>4610</v>
      </c>
      <c r="E2191" s="2" t="s">
        <v>4571</v>
      </c>
      <c r="F2191" s="20" t="s">
        <v>61</v>
      </c>
      <c r="G2191" s="2" t="s">
        <v>4611</v>
      </c>
      <c r="H2191" s="16"/>
      <c r="I2191" s="20"/>
      <c r="J2191" s="20"/>
      <c r="K2191" s="20"/>
      <c r="L2191" s="20"/>
      <c r="M2191" s="20"/>
      <c r="N2191" s="20"/>
      <c r="O2191" s="20"/>
      <c r="P2191" s="20"/>
      <c r="Q2191" s="20"/>
      <c r="R2191" s="20"/>
      <c r="S2191" s="20"/>
      <c r="T2191" s="20"/>
      <c r="U2191" s="20"/>
      <c r="V2191" s="20"/>
      <c r="W2191" s="20"/>
      <c r="X2191" s="20"/>
      <c r="Y2191" s="20"/>
      <c r="Z2191" s="20"/>
      <c r="AA2191" s="20"/>
    </row>
    <row r="2192" spans="1:27" ht="348" x14ac:dyDescent="0.25">
      <c r="A2192" s="16"/>
      <c r="B2192" s="20" t="b">
        <v>0</v>
      </c>
      <c r="C2192" s="20">
        <v>600</v>
      </c>
      <c r="D2192" s="2" t="s">
        <v>4612</v>
      </c>
      <c r="E2192" s="2" t="s">
        <v>4571</v>
      </c>
      <c r="F2192" s="20" t="s">
        <v>52</v>
      </c>
      <c r="G2192" s="2" t="s">
        <v>4613</v>
      </c>
      <c r="H2192" s="16"/>
      <c r="I2192" s="20"/>
      <c r="J2192" s="20"/>
      <c r="K2192" s="20"/>
      <c r="L2192" s="20"/>
      <c r="M2192" s="20"/>
      <c r="N2192" s="20"/>
      <c r="O2192" s="20"/>
      <c r="P2192" s="20"/>
      <c r="Q2192" s="20"/>
      <c r="R2192" s="20"/>
      <c r="S2192" s="20"/>
      <c r="T2192" s="20"/>
      <c r="U2192" s="20"/>
      <c r="V2192" s="20"/>
      <c r="W2192" s="20"/>
      <c r="X2192" s="20"/>
      <c r="Y2192" s="20"/>
      <c r="Z2192" s="20"/>
      <c r="AA2192" s="20"/>
    </row>
    <row r="2193" spans="1:27" ht="174" x14ac:dyDescent="0.25">
      <c r="A2193" s="16"/>
      <c r="B2193" s="20" t="b">
        <v>0</v>
      </c>
      <c r="C2193" s="20">
        <v>100</v>
      </c>
      <c r="D2193" s="2" t="s">
        <v>4614</v>
      </c>
      <c r="E2193" s="2" t="s">
        <v>4571</v>
      </c>
      <c r="F2193" s="20" t="s">
        <v>57</v>
      </c>
      <c r="G2193" s="2" t="s">
        <v>4615</v>
      </c>
      <c r="H2193" s="16"/>
      <c r="I2193" s="20"/>
      <c r="J2193" s="20"/>
      <c r="K2193" s="20"/>
      <c r="L2193" s="20"/>
      <c r="M2193" s="20"/>
      <c r="N2193" s="20"/>
      <c r="O2193" s="20"/>
      <c r="P2193" s="20"/>
      <c r="Q2193" s="20"/>
      <c r="R2193" s="20"/>
      <c r="S2193" s="20"/>
      <c r="T2193" s="20"/>
      <c r="U2193" s="20"/>
      <c r="V2193" s="20"/>
      <c r="W2193" s="20"/>
      <c r="X2193" s="20"/>
      <c r="Y2193" s="20"/>
      <c r="Z2193" s="20"/>
      <c r="AA2193" s="20"/>
    </row>
    <row r="2194" spans="1:27" ht="174" x14ac:dyDescent="0.25">
      <c r="A2194" s="16"/>
      <c r="B2194" s="20" t="b">
        <v>0</v>
      </c>
      <c r="C2194" s="20">
        <v>200</v>
      </c>
      <c r="D2194" s="2" t="s">
        <v>4616</v>
      </c>
      <c r="E2194" s="2" t="s">
        <v>4571</v>
      </c>
      <c r="F2194" s="20" t="s">
        <v>61</v>
      </c>
      <c r="G2194" s="2" t="s">
        <v>4617</v>
      </c>
      <c r="H2194" s="16"/>
      <c r="I2194" s="20"/>
      <c r="J2194" s="20"/>
      <c r="K2194" s="20"/>
      <c r="L2194" s="20"/>
      <c r="M2194" s="20"/>
      <c r="N2194" s="20"/>
      <c r="O2194" s="20"/>
      <c r="P2194" s="20"/>
      <c r="Q2194" s="20"/>
      <c r="R2194" s="20"/>
      <c r="S2194" s="20"/>
      <c r="T2194" s="20"/>
      <c r="U2194" s="20"/>
      <c r="V2194" s="20"/>
      <c r="W2194" s="20"/>
      <c r="X2194" s="20"/>
      <c r="Y2194" s="20"/>
      <c r="Z2194" s="20"/>
      <c r="AA2194" s="20"/>
    </row>
    <row r="2195" spans="1:27" ht="409.6" x14ac:dyDescent="0.25">
      <c r="A2195" s="16"/>
      <c r="B2195" s="20" t="b">
        <v>0</v>
      </c>
      <c r="C2195" s="20">
        <v>300</v>
      </c>
      <c r="D2195" s="2" t="s">
        <v>4618</v>
      </c>
      <c r="E2195" s="2" t="s">
        <v>4571</v>
      </c>
      <c r="F2195" s="20" t="s">
        <v>56</v>
      </c>
      <c r="G2195" s="2" t="s">
        <v>4619</v>
      </c>
      <c r="H2195" s="16"/>
      <c r="I2195" s="20"/>
      <c r="J2195" s="20"/>
      <c r="K2195" s="20"/>
      <c r="L2195" s="20"/>
      <c r="M2195" s="20"/>
      <c r="N2195" s="20"/>
      <c r="O2195" s="20"/>
      <c r="P2195" s="20"/>
      <c r="Q2195" s="20"/>
      <c r="R2195" s="20"/>
      <c r="S2195" s="20"/>
      <c r="T2195" s="20"/>
      <c r="U2195" s="20"/>
      <c r="V2195" s="20"/>
      <c r="W2195" s="20"/>
      <c r="X2195" s="20"/>
      <c r="Y2195" s="20"/>
      <c r="Z2195" s="20"/>
      <c r="AA2195" s="20"/>
    </row>
    <row r="2196" spans="1:27" ht="295.8" x14ac:dyDescent="0.25">
      <c r="A2196" s="16"/>
      <c r="B2196" s="20" t="b">
        <v>0</v>
      </c>
      <c r="C2196" s="20">
        <v>400</v>
      </c>
      <c r="D2196" s="2" t="s">
        <v>4620</v>
      </c>
      <c r="E2196" s="2" t="s">
        <v>4571</v>
      </c>
      <c r="F2196" s="20" t="s">
        <v>53</v>
      </c>
      <c r="G2196" s="2" t="s">
        <v>4621</v>
      </c>
      <c r="H2196" s="16"/>
      <c r="I2196" s="20"/>
      <c r="J2196" s="20"/>
      <c r="K2196" s="20"/>
      <c r="L2196" s="20"/>
      <c r="M2196" s="20"/>
      <c r="N2196" s="20"/>
      <c r="O2196" s="20"/>
      <c r="P2196" s="20"/>
      <c r="Q2196" s="20"/>
      <c r="R2196" s="20"/>
      <c r="S2196" s="20"/>
      <c r="T2196" s="20"/>
      <c r="U2196" s="20"/>
      <c r="V2196" s="20"/>
      <c r="W2196" s="20"/>
      <c r="X2196" s="20"/>
      <c r="Y2196" s="20"/>
      <c r="Z2196" s="20"/>
      <c r="AA2196" s="20"/>
    </row>
    <row r="2197" spans="1:27" ht="400.2" x14ac:dyDescent="0.25">
      <c r="A2197" s="16"/>
      <c r="B2197" s="20" t="b">
        <v>0</v>
      </c>
      <c r="C2197" s="20">
        <v>600</v>
      </c>
      <c r="D2197" s="2" t="s">
        <v>4622</v>
      </c>
      <c r="E2197" s="2" t="s">
        <v>4571</v>
      </c>
      <c r="F2197" s="20" t="s">
        <v>63</v>
      </c>
      <c r="G2197" s="2" t="s">
        <v>4623</v>
      </c>
      <c r="H2197" s="16"/>
      <c r="I2197" s="20"/>
      <c r="J2197" s="20"/>
      <c r="K2197" s="20"/>
      <c r="L2197" s="20"/>
      <c r="M2197" s="20"/>
      <c r="N2197" s="20"/>
      <c r="O2197" s="20"/>
      <c r="P2197" s="20"/>
      <c r="Q2197" s="20"/>
      <c r="R2197" s="20"/>
      <c r="S2197" s="20"/>
      <c r="T2197" s="20"/>
      <c r="U2197" s="20"/>
      <c r="V2197" s="20"/>
      <c r="W2197" s="20"/>
      <c r="X2197" s="20"/>
      <c r="Y2197" s="20"/>
      <c r="Z2197" s="20"/>
      <c r="AA2197" s="20"/>
    </row>
    <row r="2198" spans="1:27" ht="69.599999999999994" x14ac:dyDescent="0.25">
      <c r="A2198" s="16"/>
      <c r="B2198" s="20" t="b">
        <v>0</v>
      </c>
      <c r="C2198" s="20">
        <v>200</v>
      </c>
      <c r="D2198" s="2" t="s">
        <v>4624</v>
      </c>
      <c r="E2198" s="2" t="s">
        <v>4571</v>
      </c>
      <c r="F2198" s="20" t="s">
        <v>63</v>
      </c>
      <c r="G2198" s="2" t="s">
        <v>4625</v>
      </c>
      <c r="H2198" s="16"/>
      <c r="I2198" s="20"/>
      <c r="J2198" s="20"/>
      <c r="K2198" s="20"/>
      <c r="L2198" s="20"/>
      <c r="M2198" s="20"/>
      <c r="N2198" s="20"/>
      <c r="O2198" s="20"/>
      <c r="P2198" s="20"/>
      <c r="Q2198" s="20"/>
      <c r="R2198" s="20"/>
      <c r="S2198" s="20"/>
      <c r="T2198" s="20"/>
      <c r="U2198" s="20"/>
      <c r="V2198" s="20"/>
      <c r="W2198" s="20"/>
      <c r="X2198" s="20"/>
      <c r="Y2198" s="20"/>
      <c r="Z2198" s="20"/>
      <c r="AA2198" s="20"/>
    </row>
    <row r="2199" spans="1:27" ht="174" x14ac:dyDescent="0.25">
      <c r="A2199" s="16"/>
      <c r="B2199" s="20" t="b">
        <v>0</v>
      </c>
      <c r="C2199" s="20">
        <v>300</v>
      </c>
      <c r="D2199" s="2" t="s">
        <v>4626</v>
      </c>
      <c r="E2199" s="2" t="s">
        <v>4571</v>
      </c>
      <c r="F2199" s="20" t="s">
        <v>61</v>
      </c>
      <c r="G2199" s="2" t="s">
        <v>4627</v>
      </c>
      <c r="H2199" s="16"/>
      <c r="I2199" s="20"/>
      <c r="J2199" s="20"/>
      <c r="K2199" s="20"/>
      <c r="L2199" s="20"/>
      <c r="M2199" s="20"/>
      <c r="N2199" s="20"/>
      <c r="O2199" s="20"/>
      <c r="P2199" s="20"/>
      <c r="Q2199" s="20"/>
      <c r="R2199" s="20"/>
      <c r="S2199" s="20"/>
      <c r="T2199" s="20"/>
      <c r="U2199" s="20"/>
      <c r="V2199" s="20"/>
      <c r="W2199" s="20"/>
      <c r="X2199" s="20"/>
      <c r="Y2199" s="20"/>
      <c r="Z2199" s="20"/>
      <c r="AA2199" s="20"/>
    </row>
    <row r="2200" spans="1:27" ht="226.2" x14ac:dyDescent="0.25">
      <c r="A2200" s="16"/>
      <c r="B2200" s="20" t="b">
        <v>0</v>
      </c>
      <c r="C2200" s="20">
        <v>100</v>
      </c>
      <c r="D2200" s="2" t="s">
        <v>4628</v>
      </c>
      <c r="E2200" s="2" t="s">
        <v>4571</v>
      </c>
      <c r="F2200" s="20" t="s">
        <v>61</v>
      </c>
      <c r="G2200" s="2" t="s">
        <v>4629</v>
      </c>
      <c r="H2200" s="16"/>
      <c r="I2200" s="20"/>
      <c r="J2200" s="20"/>
      <c r="K2200" s="20"/>
      <c r="L2200" s="20"/>
      <c r="M2200" s="20"/>
      <c r="N2200" s="20"/>
      <c r="O2200" s="20"/>
      <c r="P2200" s="20"/>
      <c r="Q2200" s="20"/>
      <c r="R2200" s="20"/>
      <c r="S2200" s="20"/>
      <c r="T2200" s="20"/>
      <c r="U2200" s="20"/>
      <c r="V2200" s="20"/>
      <c r="W2200" s="20"/>
      <c r="X2200" s="20"/>
      <c r="Y2200" s="20"/>
      <c r="Z2200" s="20"/>
      <c r="AA2200" s="20"/>
    </row>
    <row r="2201" spans="1:27" ht="348" x14ac:dyDescent="0.25">
      <c r="A2201" s="16"/>
      <c r="B2201" s="20" t="b">
        <v>0</v>
      </c>
      <c r="C2201" s="20">
        <v>200</v>
      </c>
      <c r="D2201" s="2" t="s">
        <v>4630</v>
      </c>
      <c r="E2201" s="2" t="s">
        <v>4571</v>
      </c>
      <c r="F2201" s="20" t="s">
        <v>54</v>
      </c>
      <c r="G2201" s="2" t="s">
        <v>4631</v>
      </c>
      <c r="H2201" s="16"/>
      <c r="I2201" s="20"/>
      <c r="J2201" s="20"/>
      <c r="K2201" s="20"/>
      <c r="L2201" s="20"/>
      <c r="M2201" s="20"/>
      <c r="N2201" s="20"/>
      <c r="O2201" s="20"/>
      <c r="P2201" s="20"/>
      <c r="Q2201" s="20"/>
      <c r="R2201" s="20"/>
      <c r="S2201" s="20"/>
      <c r="T2201" s="20"/>
      <c r="U2201" s="20"/>
      <c r="V2201" s="20"/>
      <c r="W2201" s="20"/>
      <c r="X2201" s="20"/>
      <c r="Y2201" s="20"/>
      <c r="Z2201" s="20"/>
      <c r="AA2201" s="20"/>
    </row>
    <row r="2202" spans="1:27" ht="382.8" x14ac:dyDescent="0.25">
      <c r="A2202" s="16"/>
      <c r="B2202" s="20" t="b">
        <v>0</v>
      </c>
      <c r="C2202" s="20">
        <v>300</v>
      </c>
      <c r="D2202" s="2" t="s">
        <v>4632</v>
      </c>
      <c r="E2202" s="2" t="s">
        <v>4571</v>
      </c>
      <c r="F2202" s="20" t="s">
        <v>54</v>
      </c>
      <c r="G2202" s="2" t="s">
        <v>4633</v>
      </c>
      <c r="H2202" s="16"/>
      <c r="I2202" s="20"/>
      <c r="J2202" s="20"/>
      <c r="K2202" s="20"/>
      <c r="L2202" s="20"/>
      <c r="M2202" s="20"/>
      <c r="N2202" s="20"/>
      <c r="O2202" s="20"/>
      <c r="P2202" s="20"/>
      <c r="Q2202" s="20"/>
      <c r="R2202" s="20"/>
      <c r="S2202" s="20"/>
      <c r="T2202" s="20"/>
      <c r="U2202" s="20"/>
      <c r="V2202" s="20"/>
      <c r="W2202" s="20"/>
      <c r="X2202" s="20"/>
      <c r="Y2202" s="20"/>
      <c r="Z2202" s="20"/>
      <c r="AA2202" s="20"/>
    </row>
    <row r="2203" spans="1:27" ht="409.6" x14ac:dyDescent="0.25">
      <c r="A2203" s="16"/>
      <c r="B2203" s="20" t="b">
        <v>0</v>
      </c>
      <c r="C2203" s="20">
        <v>400</v>
      </c>
      <c r="D2203" s="2" t="s">
        <v>4634</v>
      </c>
      <c r="E2203" s="2" t="s">
        <v>4571</v>
      </c>
      <c r="F2203" s="20" t="s">
        <v>53</v>
      </c>
      <c r="G2203" s="2" t="s">
        <v>4635</v>
      </c>
      <c r="H2203" s="16"/>
      <c r="I2203" s="20"/>
      <c r="J2203" s="20"/>
      <c r="K2203" s="20"/>
      <c r="L2203" s="20"/>
      <c r="M2203" s="20"/>
      <c r="N2203" s="20"/>
      <c r="O2203" s="20"/>
      <c r="P2203" s="20"/>
      <c r="Q2203" s="20"/>
      <c r="R2203" s="20"/>
      <c r="S2203" s="20"/>
      <c r="T2203" s="20"/>
      <c r="U2203" s="20"/>
      <c r="V2203" s="20"/>
      <c r="W2203" s="20"/>
      <c r="X2203" s="20"/>
      <c r="Y2203" s="20"/>
      <c r="Z2203" s="20"/>
      <c r="AA2203" s="20"/>
    </row>
    <row r="2204" spans="1:27" ht="409.6" x14ac:dyDescent="0.25">
      <c r="A2204" s="16"/>
      <c r="B2204" s="20" t="b">
        <v>0</v>
      </c>
      <c r="C2204" s="20">
        <v>600</v>
      </c>
      <c r="D2204" s="2" t="s">
        <v>4636</v>
      </c>
      <c r="E2204" s="2" t="s">
        <v>4571</v>
      </c>
      <c r="F2204" s="20" t="s">
        <v>54</v>
      </c>
      <c r="G2204" s="2" t="s">
        <v>4637</v>
      </c>
      <c r="H2204" s="16"/>
      <c r="I2204" s="20"/>
      <c r="J2204" s="20"/>
      <c r="K2204" s="20"/>
      <c r="L2204" s="20"/>
      <c r="M2204" s="20"/>
      <c r="N2204" s="20"/>
      <c r="O2204" s="20"/>
      <c r="P2204" s="20"/>
      <c r="Q2204" s="20"/>
      <c r="R2204" s="20"/>
      <c r="S2204" s="20"/>
      <c r="T2204" s="20"/>
      <c r="U2204" s="20"/>
      <c r="V2204" s="20"/>
      <c r="W2204" s="20"/>
      <c r="X2204" s="20"/>
      <c r="Y2204" s="20"/>
      <c r="Z2204" s="20"/>
      <c r="AA2204" s="20"/>
    </row>
    <row r="2205" spans="1:27" ht="243.6" x14ac:dyDescent="0.25">
      <c r="A2205" s="16"/>
      <c r="B2205" s="20" t="b">
        <v>0</v>
      </c>
      <c r="C2205" s="20">
        <v>200</v>
      </c>
      <c r="D2205" s="2" t="s">
        <v>4638</v>
      </c>
      <c r="E2205" s="2" t="s">
        <v>4571</v>
      </c>
      <c r="F2205" s="20" t="s">
        <v>53</v>
      </c>
      <c r="G2205" s="2" t="s">
        <v>4639</v>
      </c>
      <c r="H2205" s="16"/>
      <c r="I2205" s="20"/>
      <c r="J2205" s="20"/>
      <c r="K2205" s="20"/>
      <c r="L2205" s="20"/>
      <c r="M2205" s="20"/>
      <c r="N2205" s="20"/>
      <c r="O2205" s="20"/>
      <c r="P2205" s="20"/>
      <c r="Q2205" s="20"/>
      <c r="R2205" s="20"/>
      <c r="S2205" s="20"/>
      <c r="T2205" s="20"/>
      <c r="U2205" s="20"/>
      <c r="V2205" s="20"/>
      <c r="W2205" s="20"/>
      <c r="X2205" s="20"/>
      <c r="Y2205" s="20"/>
      <c r="Z2205" s="20"/>
      <c r="AA2205" s="20"/>
    </row>
    <row r="2206" spans="1:27" ht="409.6" x14ac:dyDescent="0.25">
      <c r="A2206" s="16"/>
      <c r="B2206" s="20" t="b">
        <v>0</v>
      </c>
      <c r="C2206" s="20">
        <v>300</v>
      </c>
      <c r="D2206" s="2" t="s">
        <v>4640</v>
      </c>
      <c r="E2206" s="2" t="s">
        <v>4571</v>
      </c>
      <c r="F2206" s="20" t="s">
        <v>56</v>
      </c>
      <c r="G2206" s="2" t="s">
        <v>4641</v>
      </c>
      <c r="H2206" s="16"/>
      <c r="I2206" s="20"/>
      <c r="J2206" s="20"/>
      <c r="K2206" s="20"/>
      <c r="L2206" s="20"/>
      <c r="M2206" s="20"/>
      <c r="N2206" s="20"/>
      <c r="O2206" s="20"/>
      <c r="P2206" s="20"/>
      <c r="Q2206" s="20"/>
      <c r="R2206" s="20"/>
      <c r="S2206" s="20"/>
      <c r="T2206" s="20"/>
      <c r="U2206" s="20"/>
      <c r="V2206" s="20"/>
      <c r="W2206" s="20"/>
      <c r="X2206" s="20"/>
      <c r="Y2206" s="20"/>
      <c r="Z2206" s="20"/>
      <c r="AA2206" s="20"/>
    </row>
    <row r="2207" spans="1:27" ht="348" x14ac:dyDescent="0.25">
      <c r="A2207" s="16"/>
      <c r="B2207" s="20" t="b">
        <v>0</v>
      </c>
      <c r="C2207" s="20">
        <v>400</v>
      </c>
      <c r="D2207" s="2" t="s">
        <v>4642</v>
      </c>
      <c r="E2207" s="2" t="s">
        <v>4571</v>
      </c>
      <c r="F2207" s="20" t="s">
        <v>56</v>
      </c>
      <c r="G2207" s="2" t="s">
        <v>4643</v>
      </c>
      <c r="H2207" s="16"/>
      <c r="I2207" s="20"/>
      <c r="J2207" s="20"/>
      <c r="K2207" s="20"/>
      <c r="L2207" s="20"/>
      <c r="M2207" s="20"/>
      <c r="N2207" s="20"/>
      <c r="O2207" s="20"/>
      <c r="P2207" s="20"/>
      <c r="Q2207" s="20"/>
      <c r="R2207" s="20"/>
      <c r="S2207" s="20"/>
      <c r="T2207" s="20"/>
      <c r="U2207" s="20"/>
      <c r="V2207" s="20"/>
      <c r="W2207" s="20"/>
      <c r="X2207" s="20"/>
      <c r="Y2207" s="20"/>
      <c r="Z2207" s="20"/>
      <c r="AA2207" s="20"/>
    </row>
    <row r="2208" spans="1:27" ht="243.6" x14ac:dyDescent="0.25">
      <c r="A2208" s="16"/>
      <c r="B2208" s="20" t="b">
        <v>0</v>
      </c>
      <c r="C2208" s="20">
        <v>600</v>
      </c>
      <c r="D2208" s="2" t="s">
        <v>4644</v>
      </c>
      <c r="E2208" s="2" t="s">
        <v>4571</v>
      </c>
      <c r="F2208" s="20" t="s">
        <v>56</v>
      </c>
      <c r="G2208" s="2" t="s">
        <v>4645</v>
      </c>
      <c r="H2208" s="16"/>
      <c r="I2208" s="20"/>
      <c r="J2208" s="20"/>
      <c r="K2208" s="20"/>
      <c r="L2208" s="20"/>
      <c r="M2208" s="20"/>
      <c r="N2208" s="20"/>
      <c r="O2208" s="20"/>
      <c r="P2208" s="20"/>
      <c r="Q2208" s="20"/>
      <c r="R2208" s="20"/>
      <c r="S2208" s="20"/>
      <c r="T2208" s="20"/>
      <c r="U2208" s="20"/>
      <c r="V2208" s="20"/>
      <c r="W2208" s="20"/>
      <c r="X2208" s="20"/>
      <c r="Y2208" s="20"/>
      <c r="Z2208" s="20"/>
      <c r="AA2208" s="20"/>
    </row>
    <row r="2209" spans="1:27" ht="208.8" x14ac:dyDescent="0.25">
      <c r="A2209" s="16"/>
      <c r="B2209" s="20" t="b">
        <v>0</v>
      </c>
      <c r="C2209" s="20">
        <v>300</v>
      </c>
      <c r="D2209" s="2" t="s">
        <v>4646</v>
      </c>
      <c r="E2209" s="2" t="s">
        <v>4571</v>
      </c>
      <c r="F2209" s="20" t="s">
        <v>60</v>
      </c>
      <c r="G2209" s="2" t="s">
        <v>4647</v>
      </c>
      <c r="H2209" s="16"/>
      <c r="I2209" s="20"/>
      <c r="J2209" s="20"/>
      <c r="K2209" s="20"/>
      <c r="L2209" s="20"/>
      <c r="M2209" s="20"/>
      <c r="N2209" s="20"/>
      <c r="O2209" s="20"/>
      <c r="P2209" s="20"/>
      <c r="Q2209" s="20"/>
      <c r="R2209" s="20"/>
      <c r="S2209" s="20"/>
      <c r="T2209" s="20"/>
      <c r="U2209" s="20"/>
      <c r="V2209" s="20"/>
      <c r="W2209" s="20"/>
      <c r="X2209" s="20"/>
      <c r="Y2209" s="20"/>
      <c r="Z2209" s="20"/>
      <c r="AA2209" s="20"/>
    </row>
    <row r="2210" spans="1:27" ht="208.8" x14ac:dyDescent="0.25">
      <c r="A2210" s="16"/>
      <c r="B2210" s="20" t="b">
        <v>0</v>
      </c>
      <c r="C2210" s="20">
        <v>400</v>
      </c>
      <c r="D2210" s="2" t="s">
        <v>4648</v>
      </c>
      <c r="E2210" s="2" t="s">
        <v>4571</v>
      </c>
      <c r="F2210" s="20" t="s">
        <v>54</v>
      </c>
      <c r="G2210" s="2" t="s">
        <v>4649</v>
      </c>
      <c r="H2210" s="16"/>
      <c r="I2210" s="20"/>
      <c r="J2210" s="20"/>
      <c r="K2210" s="20"/>
      <c r="L2210" s="20"/>
      <c r="M2210" s="20"/>
      <c r="N2210" s="20"/>
      <c r="O2210" s="20"/>
      <c r="P2210" s="20"/>
      <c r="Q2210" s="20"/>
      <c r="R2210" s="20"/>
      <c r="S2210" s="20"/>
      <c r="T2210" s="20"/>
      <c r="U2210" s="20"/>
      <c r="V2210" s="20"/>
      <c r="W2210" s="20"/>
      <c r="X2210" s="20"/>
      <c r="Y2210" s="20"/>
      <c r="Z2210" s="20"/>
      <c r="AA2210" s="20"/>
    </row>
    <row r="2211" spans="1:27" ht="208.8" x14ac:dyDescent="0.25">
      <c r="A2211" s="16"/>
      <c r="B2211" s="20" t="b">
        <v>0</v>
      </c>
      <c r="C2211" s="20">
        <v>100</v>
      </c>
      <c r="D2211" s="2" t="s">
        <v>4650</v>
      </c>
      <c r="E2211" s="2" t="s">
        <v>4571</v>
      </c>
      <c r="F2211" s="20" t="s">
        <v>60</v>
      </c>
      <c r="G2211" s="2" t="s">
        <v>4651</v>
      </c>
      <c r="H2211" s="16"/>
      <c r="I2211" s="20"/>
      <c r="J2211" s="20"/>
      <c r="K2211" s="20"/>
      <c r="L2211" s="20"/>
      <c r="M2211" s="20"/>
      <c r="N2211" s="20"/>
      <c r="O2211" s="20"/>
      <c r="P2211" s="20"/>
      <c r="Q2211" s="20"/>
      <c r="R2211" s="20"/>
      <c r="S2211" s="20"/>
      <c r="T2211" s="20"/>
      <c r="U2211" s="20"/>
      <c r="V2211" s="20"/>
      <c r="W2211" s="20"/>
      <c r="X2211" s="20"/>
      <c r="Y2211" s="20"/>
      <c r="Z2211" s="20"/>
      <c r="AA2211" s="20"/>
    </row>
    <row r="2212" spans="1:27" ht="409.6" x14ac:dyDescent="0.25">
      <c r="A2212" s="16"/>
      <c r="B2212" s="20" t="b">
        <v>0</v>
      </c>
      <c r="C2212" s="20">
        <v>200</v>
      </c>
      <c r="D2212" s="2" t="s">
        <v>4652</v>
      </c>
      <c r="E2212" s="2" t="s">
        <v>4571</v>
      </c>
      <c r="F2212" s="20" t="s">
        <v>60</v>
      </c>
      <c r="G2212" s="2" t="s">
        <v>4653</v>
      </c>
      <c r="H2212" s="16"/>
      <c r="I2212" s="20"/>
      <c r="J2212" s="20"/>
      <c r="K2212" s="20"/>
      <c r="L2212" s="20"/>
      <c r="M2212" s="20"/>
      <c r="N2212" s="20"/>
      <c r="O2212" s="20"/>
      <c r="P2212" s="20"/>
      <c r="Q2212" s="20"/>
      <c r="R2212" s="20"/>
      <c r="S2212" s="20"/>
      <c r="T2212" s="20"/>
      <c r="U2212" s="20"/>
      <c r="V2212" s="20"/>
      <c r="W2212" s="20"/>
      <c r="X2212" s="20"/>
      <c r="Y2212" s="20"/>
      <c r="Z2212" s="20"/>
      <c r="AA2212" s="20"/>
    </row>
    <row r="2213" spans="1:27" ht="261" x14ac:dyDescent="0.25">
      <c r="A2213" s="16"/>
      <c r="B2213" s="20" t="b">
        <v>0</v>
      </c>
      <c r="C2213" s="20">
        <v>300</v>
      </c>
      <c r="D2213" s="2" t="s">
        <v>4654</v>
      </c>
      <c r="E2213" s="2" t="s">
        <v>4571</v>
      </c>
      <c r="F2213" s="20" t="s">
        <v>60</v>
      </c>
      <c r="G2213" s="2" t="s">
        <v>4655</v>
      </c>
      <c r="H2213" s="16"/>
      <c r="I2213" s="20"/>
      <c r="J2213" s="20"/>
      <c r="K2213" s="20"/>
      <c r="L2213" s="20"/>
      <c r="M2213" s="20"/>
      <c r="N2213" s="20"/>
      <c r="O2213" s="20"/>
      <c r="P2213" s="20"/>
      <c r="Q2213" s="20"/>
      <c r="R2213" s="20"/>
      <c r="S2213" s="20"/>
      <c r="T2213" s="20"/>
      <c r="U2213" s="20"/>
      <c r="V2213" s="20"/>
      <c r="W2213" s="20"/>
      <c r="X2213" s="20"/>
      <c r="Y2213" s="20"/>
      <c r="Z2213" s="20"/>
      <c r="AA2213" s="20"/>
    </row>
    <row r="2214" spans="1:27" ht="409.6" x14ac:dyDescent="0.25">
      <c r="A2214" s="16"/>
      <c r="B2214" s="20" t="b">
        <v>0</v>
      </c>
      <c r="C2214" s="20">
        <v>400</v>
      </c>
      <c r="D2214" s="2" t="s">
        <v>4656</v>
      </c>
      <c r="E2214" s="2" t="s">
        <v>4571</v>
      </c>
      <c r="F2214" s="20" t="s">
        <v>60</v>
      </c>
      <c r="G2214" s="2" t="s">
        <v>4657</v>
      </c>
      <c r="H2214" s="16"/>
      <c r="I2214" s="20"/>
      <c r="J2214" s="20"/>
      <c r="K2214" s="20"/>
      <c r="L2214" s="20"/>
      <c r="M2214" s="20"/>
      <c r="N2214" s="20"/>
      <c r="O2214" s="20"/>
      <c r="P2214" s="20"/>
      <c r="Q2214" s="20"/>
      <c r="R2214" s="20"/>
      <c r="S2214" s="20"/>
      <c r="T2214" s="20"/>
      <c r="U2214" s="20"/>
      <c r="V2214" s="20"/>
      <c r="W2214" s="20"/>
      <c r="X2214" s="20"/>
      <c r="Y2214" s="20"/>
      <c r="Z2214" s="20"/>
      <c r="AA2214" s="20"/>
    </row>
    <row r="2215" spans="1:27" ht="409.6" x14ac:dyDescent="0.25">
      <c r="A2215" s="16"/>
      <c r="B2215" s="20" t="b">
        <v>0</v>
      </c>
      <c r="C2215" s="20">
        <v>600</v>
      </c>
      <c r="D2215" s="2" t="s">
        <v>4658</v>
      </c>
      <c r="E2215" s="2" t="s">
        <v>4571</v>
      </c>
      <c r="F2215" s="20" t="s">
        <v>60</v>
      </c>
      <c r="G2215" s="2" t="s">
        <v>4659</v>
      </c>
      <c r="H2215" s="16"/>
      <c r="I2215" s="20"/>
      <c r="J2215" s="20"/>
      <c r="K2215" s="20"/>
      <c r="L2215" s="20"/>
      <c r="M2215" s="20"/>
      <c r="N2215" s="20"/>
      <c r="O2215" s="20"/>
      <c r="P2215" s="20"/>
      <c r="Q2215" s="20"/>
      <c r="R2215" s="20"/>
      <c r="S2215" s="20"/>
      <c r="T2215" s="20"/>
      <c r="U2215" s="20"/>
      <c r="V2215" s="20"/>
      <c r="W2215" s="20"/>
      <c r="X2215" s="20"/>
      <c r="Y2215" s="20"/>
      <c r="Z2215" s="20"/>
      <c r="AA2215" s="20"/>
    </row>
    <row r="2216" spans="1:27" ht="409.6" x14ac:dyDescent="0.25">
      <c r="A2216" s="16"/>
      <c r="B2216" s="20" t="b">
        <v>0</v>
      </c>
      <c r="C2216" s="20">
        <v>600</v>
      </c>
      <c r="D2216" s="2" t="s">
        <v>4660</v>
      </c>
      <c r="E2216" s="2" t="s">
        <v>4571</v>
      </c>
      <c r="F2216" s="20" t="s">
        <v>64</v>
      </c>
      <c r="G2216" s="2" t="s">
        <v>4661</v>
      </c>
      <c r="H2216" s="16"/>
      <c r="I2216" s="20"/>
      <c r="J2216" s="20"/>
      <c r="K2216" s="20"/>
      <c r="L2216" s="20"/>
      <c r="M2216" s="20"/>
      <c r="N2216" s="20"/>
      <c r="O2216" s="20"/>
      <c r="P2216" s="20"/>
      <c r="Q2216" s="20"/>
      <c r="R2216" s="20"/>
      <c r="S2216" s="20"/>
      <c r="T2216" s="20"/>
      <c r="U2216" s="20"/>
      <c r="V2216" s="20"/>
      <c r="W2216" s="20"/>
      <c r="X2216" s="20"/>
      <c r="Y2216" s="20"/>
      <c r="Z2216" s="20"/>
      <c r="AA2216" s="20"/>
    </row>
    <row r="2217" spans="1:27" ht="174" x14ac:dyDescent="0.25">
      <c r="A2217" s="16"/>
      <c r="B2217" s="20" t="b">
        <v>0</v>
      </c>
      <c r="C2217" s="20">
        <v>200</v>
      </c>
      <c r="D2217" s="2" t="s">
        <v>4662</v>
      </c>
      <c r="E2217" s="2" t="s">
        <v>4571</v>
      </c>
      <c r="F2217" s="20" t="s">
        <v>60</v>
      </c>
      <c r="G2217" s="2" t="s">
        <v>4663</v>
      </c>
      <c r="H2217" s="16"/>
      <c r="I2217" s="20"/>
      <c r="J2217" s="20"/>
      <c r="K2217" s="20"/>
      <c r="L2217" s="20"/>
      <c r="M2217" s="20"/>
      <c r="N2217" s="20"/>
      <c r="O2217" s="20"/>
      <c r="P2217" s="20"/>
      <c r="Q2217" s="20"/>
      <c r="R2217" s="20"/>
      <c r="S2217" s="20"/>
      <c r="T2217" s="20"/>
      <c r="U2217" s="20"/>
      <c r="V2217" s="20"/>
      <c r="W2217" s="20"/>
      <c r="X2217" s="20"/>
      <c r="Y2217" s="20"/>
      <c r="Z2217" s="20"/>
      <c r="AA2217" s="20"/>
    </row>
    <row r="2218" spans="1:27" ht="139.19999999999999" x14ac:dyDescent="0.25">
      <c r="A2218" s="16"/>
      <c r="B2218" s="20" t="b">
        <v>0</v>
      </c>
      <c r="C2218" s="20">
        <v>300</v>
      </c>
      <c r="D2218" s="2" t="s">
        <v>4664</v>
      </c>
      <c r="E2218" s="2" t="s">
        <v>4571</v>
      </c>
      <c r="F2218" s="20" t="s">
        <v>60</v>
      </c>
      <c r="G2218" s="2" t="s">
        <v>4665</v>
      </c>
      <c r="H2218" s="16"/>
      <c r="I2218" s="20"/>
      <c r="J2218" s="20"/>
      <c r="K2218" s="20"/>
      <c r="L2218" s="20"/>
      <c r="M2218" s="20"/>
      <c r="N2218" s="20"/>
      <c r="O2218" s="20"/>
      <c r="P2218" s="20"/>
      <c r="Q2218" s="20"/>
      <c r="R2218" s="20"/>
      <c r="S2218" s="20"/>
      <c r="T2218" s="20"/>
      <c r="U2218" s="20"/>
      <c r="V2218" s="20"/>
      <c r="W2218" s="20"/>
      <c r="X2218" s="20"/>
      <c r="Y2218" s="20"/>
      <c r="Z2218" s="20"/>
      <c r="AA2218" s="20"/>
    </row>
    <row r="2219" spans="1:27" ht="409.6" x14ac:dyDescent="0.25">
      <c r="A2219" s="16"/>
      <c r="B2219" s="20" t="b">
        <v>0</v>
      </c>
      <c r="C2219" s="20" t="s">
        <v>4298</v>
      </c>
      <c r="D2219" s="2" t="s">
        <v>4666</v>
      </c>
      <c r="E2219" s="2" t="s">
        <v>4571</v>
      </c>
      <c r="F2219" s="20" t="s">
        <v>56</v>
      </c>
      <c r="G2219" s="2" t="s">
        <v>4667</v>
      </c>
      <c r="H2219" s="16"/>
      <c r="I2219" s="20"/>
      <c r="J2219" s="20"/>
      <c r="K2219" s="20"/>
      <c r="L2219" s="20"/>
      <c r="M2219" s="20"/>
      <c r="N2219" s="20"/>
      <c r="O2219" s="20"/>
      <c r="P2219" s="20"/>
      <c r="Q2219" s="20"/>
      <c r="R2219" s="20"/>
      <c r="S2219" s="20"/>
      <c r="T2219" s="20"/>
      <c r="U2219" s="20"/>
      <c r="V2219" s="20"/>
      <c r="W2219" s="20"/>
      <c r="X2219" s="20"/>
      <c r="Y2219" s="20"/>
      <c r="Z2219" s="20"/>
      <c r="AA2219" s="20"/>
    </row>
    <row r="2220" spans="1:27" ht="208.8" x14ac:dyDescent="0.25">
      <c r="A2220" s="16"/>
      <c r="B2220" s="20" t="b">
        <v>0</v>
      </c>
      <c r="C2220" s="20">
        <v>200</v>
      </c>
      <c r="D2220" s="2" t="s">
        <v>4668</v>
      </c>
      <c r="E2220" s="2" t="s">
        <v>4571</v>
      </c>
      <c r="F2220" s="20" t="s">
        <v>64</v>
      </c>
      <c r="G2220" s="2" t="s">
        <v>4669</v>
      </c>
      <c r="H2220" s="16"/>
      <c r="I2220" s="20"/>
      <c r="J2220" s="20"/>
      <c r="K2220" s="20"/>
      <c r="L2220" s="20"/>
      <c r="M2220" s="20"/>
      <c r="N2220" s="20"/>
      <c r="O2220" s="20"/>
      <c r="P2220" s="20"/>
      <c r="Q2220" s="20"/>
      <c r="R2220" s="20"/>
      <c r="S2220" s="20"/>
      <c r="T2220" s="20"/>
      <c r="U2220" s="20"/>
      <c r="V2220" s="20"/>
      <c r="W2220" s="20"/>
      <c r="X2220" s="20"/>
      <c r="Y2220" s="20"/>
      <c r="Z2220" s="20"/>
      <c r="AA2220" s="20"/>
    </row>
    <row r="2221" spans="1:27" ht="400.2" x14ac:dyDescent="0.25">
      <c r="A2221" s="16"/>
      <c r="B2221" s="20" t="b">
        <v>0</v>
      </c>
      <c r="C2221" s="20">
        <v>300</v>
      </c>
      <c r="D2221" s="2" t="s">
        <v>4670</v>
      </c>
      <c r="E2221" s="2" t="s">
        <v>4571</v>
      </c>
      <c r="F2221" s="20" t="s">
        <v>60</v>
      </c>
      <c r="G2221" s="2" t="s">
        <v>4671</v>
      </c>
      <c r="H2221" s="16"/>
      <c r="I2221" s="20"/>
      <c r="J2221" s="20"/>
      <c r="K2221" s="20"/>
      <c r="L2221" s="20"/>
      <c r="M2221" s="20"/>
      <c r="N2221" s="20"/>
      <c r="O2221" s="20"/>
      <c r="P2221" s="20"/>
      <c r="Q2221" s="20"/>
      <c r="R2221" s="20"/>
      <c r="S2221" s="20"/>
      <c r="T2221" s="20"/>
      <c r="U2221" s="20"/>
      <c r="V2221" s="20"/>
      <c r="W2221" s="20"/>
      <c r="X2221" s="20"/>
      <c r="Y2221" s="20"/>
      <c r="Z2221" s="20"/>
      <c r="AA2221" s="20"/>
    </row>
    <row r="2222" spans="1:27" ht="409.6" x14ac:dyDescent="0.25">
      <c r="A2222" s="16"/>
      <c r="B2222" s="20" t="b">
        <v>0</v>
      </c>
      <c r="C2222" s="20">
        <v>400</v>
      </c>
      <c r="D2222" s="2" t="s">
        <v>4672</v>
      </c>
      <c r="E2222" s="2" t="s">
        <v>4571</v>
      </c>
      <c r="F2222" s="20" t="s">
        <v>54</v>
      </c>
      <c r="G2222" s="2" t="s">
        <v>4673</v>
      </c>
      <c r="H2222" s="16"/>
      <c r="I2222" s="20"/>
      <c r="J2222" s="20"/>
      <c r="K2222" s="20"/>
      <c r="L2222" s="20"/>
      <c r="M2222" s="20"/>
      <c r="N2222" s="20"/>
      <c r="O2222" s="20"/>
      <c r="P2222" s="20"/>
      <c r="Q2222" s="20"/>
      <c r="R2222" s="20"/>
      <c r="S2222" s="20"/>
      <c r="T2222" s="20"/>
      <c r="U2222" s="20"/>
      <c r="V2222" s="20"/>
      <c r="W2222" s="20"/>
      <c r="X2222" s="20"/>
      <c r="Y2222" s="20"/>
      <c r="Z2222" s="20"/>
      <c r="AA2222" s="20"/>
    </row>
    <row r="2223" spans="1:27" ht="409.6" x14ac:dyDescent="0.25">
      <c r="A2223" s="16"/>
      <c r="B2223" s="20" t="b">
        <v>0</v>
      </c>
      <c r="C2223" s="20">
        <v>600</v>
      </c>
      <c r="D2223" s="2" t="s">
        <v>4674</v>
      </c>
      <c r="E2223" s="2" t="s">
        <v>4571</v>
      </c>
      <c r="F2223" s="20" t="s">
        <v>56</v>
      </c>
      <c r="G2223" s="2" t="s">
        <v>4675</v>
      </c>
      <c r="H2223" s="16"/>
      <c r="I2223" s="20"/>
      <c r="J2223" s="20"/>
      <c r="K2223" s="20"/>
      <c r="L2223" s="20"/>
      <c r="M2223" s="20"/>
      <c r="N2223" s="20"/>
      <c r="O2223" s="20"/>
      <c r="P2223" s="20"/>
      <c r="Q2223" s="20"/>
      <c r="R2223" s="20"/>
      <c r="S2223" s="20"/>
      <c r="T2223" s="20"/>
      <c r="U2223" s="20"/>
      <c r="V2223" s="20"/>
      <c r="W2223" s="20"/>
      <c r="X2223" s="20"/>
      <c r="Y2223" s="20"/>
      <c r="Z2223" s="20"/>
      <c r="AA2223" s="20"/>
    </row>
    <row r="2224" spans="1:27" ht="278.39999999999998" x14ac:dyDescent="0.25">
      <c r="A2224" s="16"/>
      <c r="B2224" s="20" t="b">
        <v>0</v>
      </c>
      <c r="C2224" s="20">
        <v>100</v>
      </c>
      <c r="D2224" s="2" t="s">
        <v>4676</v>
      </c>
      <c r="E2224" s="2" t="s">
        <v>4571</v>
      </c>
      <c r="F2224" s="20" t="s">
        <v>53</v>
      </c>
      <c r="G2224" s="2" t="s">
        <v>4677</v>
      </c>
      <c r="H2224" s="16"/>
      <c r="I2224" s="20"/>
      <c r="J2224" s="20"/>
      <c r="K2224" s="20"/>
      <c r="L2224" s="20"/>
      <c r="M2224" s="20"/>
      <c r="N2224" s="20"/>
      <c r="O2224" s="20"/>
      <c r="P2224" s="20"/>
      <c r="Q2224" s="20"/>
      <c r="R2224" s="20"/>
      <c r="S2224" s="20"/>
      <c r="T2224" s="20"/>
      <c r="U2224" s="20"/>
      <c r="V2224" s="20"/>
      <c r="W2224" s="20"/>
      <c r="X2224" s="20"/>
      <c r="Y2224" s="20"/>
      <c r="Z2224" s="20"/>
      <c r="AA2224" s="20"/>
    </row>
    <row r="2225" spans="1:27" ht="278.39999999999998" x14ac:dyDescent="0.25">
      <c r="A2225" s="16"/>
      <c r="B2225" s="20" t="b">
        <v>0</v>
      </c>
      <c r="C2225" s="20">
        <v>200</v>
      </c>
      <c r="D2225" s="2" t="s">
        <v>4678</v>
      </c>
      <c r="E2225" s="2" t="s">
        <v>4571</v>
      </c>
      <c r="F2225" s="20" t="s">
        <v>64</v>
      </c>
      <c r="G2225" s="2" t="s">
        <v>4679</v>
      </c>
      <c r="H2225" s="16"/>
      <c r="I2225" s="20"/>
      <c r="J2225" s="20"/>
      <c r="K2225" s="20"/>
      <c r="L2225" s="20"/>
      <c r="M2225" s="20"/>
      <c r="N2225" s="20"/>
      <c r="O2225" s="20"/>
      <c r="P2225" s="20"/>
      <c r="Q2225" s="20"/>
      <c r="R2225" s="20"/>
      <c r="S2225" s="20"/>
      <c r="T2225" s="20"/>
      <c r="U2225" s="20"/>
      <c r="V2225" s="20"/>
      <c r="W2225" s="20"/>
      <c r="X2225" s="20"/>
      <c r="Y2225" s="20"/>
      <c r="Z2225" s="20"/>
      <c r="AA2225" s="20"/>
    </row>
    <row r="2226" spans="1:27" ht="409.6" x14ac:dyDescent="0.25">
      <c r="A2226" s="16"/>
      <c r="B2226" s="20" t="b">
        <v>0</v>
      </c>
      <c r="C2226" s="20">
        <v>300</v>
      </c>
      <c r="D2226" s="2" t="s">
        <v>4680</v>
      </c>
      <c r="E2226" s="2" t="s">
        <v>4571</v>
      </c>
      <c r="F2226" s="20" t="s">
        <v>60</v>
      </c>
      <c r="G2226" s="2" t="s">
        <v>4681</v>
      </c>
      <c r="H2226" s="16"/>
      <c r="I2226" s="20"/>
      <c r="J2226" s="20"/>
      <c r="K2226" s="20"/>
      <c r="L2226" s="20"/>
      <c r="M2226" s="20"/>
      <c r="N2226" s="20"/>
      <c r="O2226" s="20"/>
      <c r="P2226" s="20"/>
      <c r="Q2226" s="20"/>
      <c r="R2226" s="20"/>
      <c r="S2226" s="20"/>
      <c r="T2226" s="20"/>
      <c r="U2226" s="20"/>
      <c r="V2226" s="20"/>
      <c r="W2226" s="20"/>
      <c r="X2226" s="20"/>
      <c r="Y2226" s="20"/>
      <c r="Z2226" s="20"/>
      <c r="AA2226" s="20"/>
    </row>
    <row r="2227" spans="1:27" ht="409.6" x14ac:dyDescent="0.25">
      <c r="A2227" s="16"/>
      <c r="B2227" s="20" t="b">
        <v>0</v>
      </c>
      <c r="C2227" s="20">
        <v>400</v>
      </c>
      <c r="D2227" s="2" t="s">
        <v>4682</v>
      </c>
      <c r="E2227" s="2" t="s">
        <v>4571</v>
      </c>
      <c r="F2227" s="20" t="s">
        <v>64</v>
      </c>
      <c r="G2227" s="2" t="s">
        <v>4683</v>
      </c>
      <c r="H2227" s="16"/>
      <c r="I2227" s="20"/>
      <c r="J2227" s="20"/>
      <c r="K2227" s="20"/>
      <c r="L2227" s="20"/>
      <c r="M2227" s="20"/>
      <c r="N2227" s="20"/>
      <c r="O2227" s="20"/>
      <c r="P2227" s="20"/>
      <c r="Q2227" s="20"/>
      <c r="R2227" s="20"/>
      <c r="S2227" s="20"/>
      <c r="T2227" s="20"/>
      <c r="U2227" s="20"/>
      <c r="V2227" s="20"/>
      <c r="W2227" s="20"/>
      <c r="X2227" s="20"/>
      <c r="Y2227" s="20"/>
      <c r="Z2227" s="20"/>
      <c r="AA2227" s="20"/>
    </row>
    <row r="2228" spans="1:27" ht="409.6" x14ac:dyDescent="0.25">
      <c r="A2228" s="16"/>
      <c r="B2228" s="20" t="b">
        <v>0</v>
      </c>
      <c r="C2228" s="20">
        <v>600</v>
      </c>
      <c r="D2228" s="2" t="s">
        <v>1179</v>
      </c>
      <c r="E2228" s="2" t="s">
        <v>4571</v>
      </c>
      <c r="F2228" s="20" t="s">
        <v>55</v>
      </c>
      <c r="G2228" s="2" t="s">
        <v>4684</v>
      </c>
      <c r="H2228" s="16"/>
      <c r="I2228" s="20"/>
      <c r="J2228" s="20"/>
      <c r="K2228" s="20"/>
      <c r="L2228" s="20"/>
      <c r="M2228" s="20"/>
      <c r="N2228" s="20"/>
      <c r="O2228" s="20"/>
      <c r="P2228" s="20"/>
      <c r="Q2228" s="20"/>
      <c r="R2228" s="20"/>
      <c r="S2228" s="20"/>
      <c r="T2228" s="20"/>
      <c r="U2228" s="20"/>
      <c r="V2228" s="20"/>
      <c r="W2228" s="20"/>
      <c r="X2228" s="20"/>
      <c r="Y2228" s="20"/>
      <c r="Z2228" s="20"/>
      <c r="AA2228" s="20"/>
    </row>
    <row r="2229" spans="1:27" ht="174" x14ac:dyDescent="0.25">
      <c r="A2229" s="16"/>
      <c r="B2229" s="20" t="b">
        <v>0</v>
      </c>
      <c r="C2229" s="20">
        <v>200</v>
      </c>
      <c r="D2229" s="2" t="s">
        <v>4685</v>
      </c>
      <c r="E2229" s="2" t="s">
        <v>4571</v>
      </c>
      <c r="F2229" s="20" t="s">
        <v>61</v>
      </c>
      <c r="G2229" s="2" t="s">
        <v>4686</v>
      </c>
      <c r="H2229" s="16"/>
      <c r="I2229" s="20"/>
      <c r="J2229" s="20"/>
      <c r="K2229" s="20"/>
      <c r="L2229" s="20"/>
      <c r="M2229" s="20"/>
      <c r="N2229" s="20"/>
      <c r="O2229" s="20"/>
      <c r="P2229" s="20"/>
      <c r="Q2229" s="20"/>
      <c r="R2229" s="20"/>
      <c r="S2229" s="20"/>
      <c r="T2229" s="20"/>
      <c r="U2229" s="20"/>
      <c r="V2229" s="20"/>
      <c r="W2229" s="20"/>
      <c r="X2229" s="20"/>
      <c r="Y2229" s="20"/>
      <c r="Z2229" s="20"/>
      <c r="AA2229" s="20"/>
    </row>
    <row r="2230" spans="1:27" ht="409.6" x14ac:dyDescent="0.25">
      <c r="A2230" s="16"/>
      <c r="B2230" s="20" t="b">
        <v>0</v>
      </c>
      <c r="C2230" s="20">
        <v>400</v>
      </c>
      <c r="D2230" s="2" t="s">
        <v>4687</v>
      </c>
      <c r="E2230" s="2" t="s">
        <v>4571</v>
      </c>
      <c r="F2230" s="20" t="s">
        <v>64</v>
      </c>
      <c r="G2230" s="2" t="s">
        <v>4688</v>
      </c>
      <c r="H2230" s="16"/>
      <c r="I2230" s="20"/>
      <c r="J2230" s="20"/>
      <c r="K2230" s="20"/>
      <c r="L2230" s="20"/>
      <c r="M2230" s="20"/>
      <c r="N2230" s="20"/>
      <c r="O2230" s="20"/>
      <c r="P2230" s="20"/>
      <c r="Q2230" s="20"/>
      <c r="R2230" s="20"/>
      <c r="S2230" s="20"/>
      <c r="T2230" s="20"/>
      <c r="U2230" s="20"/>
      <c r="V2230" s="20"/>
      <c r="W2230" s="20"/>
      <c r="X2230" s="20"/>
      <c r="Y2230" s="20"/>
      <c r="Z2230" s="20"/>
      <c r="AA2230" s="20"/>
    </row>
    <row r="2231" spans="1:27" ht="243.6" x14ac:dyDescent="0.25">
      <c r="A2231" s="16"/>
      <c r="B2231" s="20" t="b">
        <v>0</v>
      </c>
      <c r="C2231" s="20">
        <v>200</v>
      </c>
      <c r="D2231" s="2" t="s">
        <v>4689</v>
      </c>
      <c r="E2231" s="2" t="s">
        <v>4571</v>
      </c>
      <c r="F2231" s="20" t="s">
        <v>56</v>
      </c>
      <c r="G2231" s="2" t="s">
        <v>4690</v>
      </c>
      <c r="H2231" s="16"/>
      <c r="I2231" s="20"/>
      <c r="J2231" s="20"/>
      <c r="K2231" s="20"/>
      <c r="L2231" s="20"/>
      <c r="M2231" s="20"/>
      <c r="N2231" s="20"/>
      <c r="O2231" s="20"/>
      <c r="P2231" s="20"/>
      <c r="Q2231" s="20"/>
      <c r="R2231" s="20"/>
      <c r="S2231" s="20"/>
      <c r="T2231" s="20"/>
      <c r="U2231" s="20"/>
      <c r="V2231" s="20"/>
      <c r="W2231" s="20"/>
      <c r="X2231" s="20"/>
      <c r="Y2231" s="20"/>
      <c r="Z2231" s="20"/>
      <c r="AA2231" s="20"/>
    </row>
    <row r="2232" spans="1:27" ht="191.4" x14ac:dyDescent="0.25">
      <c r="A2232" s="16"/>
      <c r="B2232" s="20" t="b">
        <v>0</v>
      </c>
      <c r="C2232" s="20">
        <v>300</v>
      </c>
      <c r="D2232" s="2" t="s">
        <v>4691</v>
      </c>
      <c r="E2232" s="2" t="s">
        <v>4571</v>
      </c>
      <c r="F2232" s="20" t="s">
        <v>57</v>
      </c>
      <c r="G2232" s="2" t="s">
        <v>4692</v>
      </c>
      <c r="H2232" s="16"/>
      <c r="I2232" s="20"/>
      <c r="J2232" s="20"/>
      <c r="K2232" s="20"/>
      <c r="L2232" s="20"/>
      <c r="M2232" s="20"/>
      <c r="N2232" s="20"/>
      <c r="O2232" s="20"/>
      <c r="P2232" s="20"/>
      <c r="Q2232" s="20"/>
      <c r="R2232" s="20"/>
      <c r="S2232" s="20"/>
      <c r="T2232" s="20"/>
      <c r="U2232" s="20"/>
      <c r="V2232" s="20"/>
      <c r="W2232" s="20"/>
      <c r="X2232" s="20"/>
      <c r="Y2232" s="20"/>
      <c r="Z2232" s="20"/>
      <c r="AA2232" s="20"/>
    </row>
    <row r="2233" spans="1:27" ht="243.6" x14ac:dyDescent="0.25">
      <c r="A2233" s="16"/>
      <c r="B2233" s="20" t="b">
        <v>0</v>
      </c>
      <c r="C2233" s="20">
        <v>600</v>
      </c>
      <c r="D2233" s="2" t="s">
        <v>4693</v>
      </c>
      <c r="E2233" s="2" t="s">
        <v>4571</v>
      </c>
      <c r="F2233" s="20" t="s">
        <v>60</v>
      </c>
      <c r="G2233" s="2" t="s">
        <v>4694</v>
      </c>
      <c r="H2233" s="16"/>
      <c r="I2233" s="20"/>
      <c r="J2233" s="20"/>
      <c r="K2233" s="20"/>
      <c r="L2233" s="20"/>
      <c r="M2233" s="20"/>
      <c r="N2233" s="20"/>
      <c r="O2233" s="20"/>
      <c r="P2233" s="20"/>
      <c r="Q2233" s="20"/>
      <c r="R2233" s="20"/>
      <c r="S2233" s="20"/>
      <c r="T2233" s="20"/>
      <c r="U2233" s="20"/>
      <c r="V2233" s="20"/>
      <c r="W2233" s="20"/>
      <c r="X2233" s="20"/>
      <c r="Y2233" s="20"/>
      <c r="Z2233" s="20"/>
      <c r="AA2233" s="20"/>
    </row>
    <row r="2234" spans="1:27" ht="174" x14ac:dyDescent="0.25">
      <c r="A2234" s="16"/>
      <c r="B2234" s="20" t="b">
        <v>0</v>
      </c>
      <c r="C2234" s="20">
        <v>200</v>
      </c>
      <c r="D2234" s="2" t="s">
        <v>4695</v>
      </c>
      <c r="E2234" s="2" t="s">
        <v>4571</v>
      </c>
      <c r="F2234" s="20" t="s">
        <v>53</v>
      </c>
      <c r="G2234" s="2" t="s">
        <v>4696</v>
      </c>
      <c r="H2234" s="16"/>
      <c r="I2234" s="20"/>
      <c r="J2234" s="20"/>
      <c r="K2234" s="20"/>
      <c r="L2234" s="20"/>
      <c r="M2234" s="20"/>
      <c r="N2234" s="20"/>
      <c r="O2234" s="20"/>
      <c r="P2234" s="20"/>
      <c r="Q2234" s="20"/>
      <c r="R2234" s="20"/>
      <c r="S2234" s="20"/>
      <c r="T2234" s="20"/>
      <c r="U2234" s="20"/>
      <c r="V2234" s="20"/>
      <c r="W2234" s="20"/>
      <c r="X2234" s="20"/>
      <c r="Y2234" s="20"/>
      <c r="Z2234" s="20"/>
      <c r="AA2234" s="20"/>
    </row>
    <row r="2235" spans="1:27" ht="278.39999999999998" x14ac:dyDescent="0.25">
      <c r="A2235" s="16"/>
      <c r="B2235" s="20" t="b">
        <v>0</v>
      </c>
      <c r="C2235" s="20">
        <v>400</v>
      </c>
      <c r="D2235" s="2" t="s">
        <v>4697</v>
      </c>
      <c r="E2235" s="2" t="s">
        <v>4571</v>
      </c>
      <c r="F2235" s="20" t="s">
        <v>62</v>
      </c>
      <c r="G2235" s="2" t="s">
        <v>4698</v>
      </c>
      <c r="H2235" s="16"/>
      <c r="I2235" s="20"/>
      <c r="J2235" s="20"/>
      <c r="K2235" s="20"/>
      <c r="L2235" s="20"/>
      <c r="M2235" s="20"/>
      <c r="N2235" s="20"/>
      <c r="O2235" s="20"/>
      <c r="P2235" s="20"/>
      <c r="Q2235" s="20"/>
      <c r="R2235" s="20"/>
      <c r="S2235" s="20"/>
      <c r="T2235" s="20"/>
      <c r="U2235" s="20"/>
      <c r="V2235" s="20"/>
      <c r="W2235" s="20"/>
      <c r="X2235" s="20"/>
      <c r="Y2235" s="20"/>
      <c r="Z2235" s="20"/>
      <c r="AA2235" s="20"/>
    </row>
    <row r="2236" spans="1:27" ht="409.6" x14ac:dyDescent="0.25">
      <c r="A2236" s="16"/>
      <c r="B2236" s="20" t="b">
        <v>0</v>
      </c>
      <c r="C2236" s="20">
        <v>600</v>
      </c>
      <c r="D2236" s="2" t="s">
        <v>4699</v>
      </c>
      <c r="E2236" s="2" t="s">
        <v>4571</v>
      </c>
      <c r="F2236" s="20" t="s">
        <v>60</v>
      </c>
      <c r="G2236" s="2" t="s">
        <v>4700</v>
      </c>
      <c r="H2236" s="16"/>
      <c r="I2236" s="20"/>
      <c r="J2236" s="20"/>
      <c r="K2236" s="20"/>
      <c r="L2236" s="20"/>
      <c r="M2236" s="20"/>
      <c r="N2236" s="20"/>
      <c r="O2236" s="20"/>
      <c r="P2236" s="20"/>
      <c r="Q2236" s="20"/>
      <c r="R2236" s="20"/>
      <c r="S2236" s="20"/>
      <c r="T2236" s="20"/>
      <c r="U2236" s="20"/>
      <c r="V2236" s="20"/>
      <c r="W2236" s="20"/>
      <c r="X2236" s="20"/>
      <c r="Y2236" s="20"/>
      <c r="Z2236" s="20"/>
      <c r="AA2236" s="20"/>
    </row>
    <row r="2237" spans="1:27" ht="208.8" x14ac:dyDescent="0.25">
      <c r="A2237" s="16"/>
      <c r="B2237" s="20" t="b">
        <v>0</v>
      </c>
      <c r="C2237" s="20">
        <v>100</v>
      </c>
      <c r="D2237" s="2" t="s">
        <v>4701</v>
      </c>
      <c r="E2237" s="2" t="s">
        <v>4571</v>
      </c>
      <c r="F2237" s="20" t="s">
        <v>63</v>
      </c>
      <c r="G2237" s="2" t="s">
        <v>4702</v>
      </c>
      <c r="H2237" s="16"/>
      <c r="I2237" s="20"/>
      <c r="J2237" s="20"/>
      <c r="K2237" s="20"/>
      <c r="L2237" s="20"/>
      <c r="M2237" s="20"/>
      <c r="N2237" s="20"/>
      <c r="O2237" s="20"/>
      <c r="P2237" s="20"/>
      <c r="Q2237" s="20"/>
      <c r="R2237" s="20"/>
      <c r="S2237" s="20"/>
      <c r="T2237" s="20"/>
      <c r="U2237" s="20"/>
      <c r="V2237" s="20"/>
      <c r="W2237" s="20"/>
      <c r="X2237" s="20"/>
      <c r="Y2237" s="20"/>
      <c r="Z2237" s="20"/>
      <c r="AA2237" s="20"/>
    </row>
    <row r="2238" spans="1:27" ht="243.6" x14ac:dyDescent="0.25">
      <c r="A2238" s="16"/>
      <c r="B2238" s="20" t="b">
        <v>0</v>
      </c>
      <c r="C2238" s="20">
        <v>200</v>
      </c>
      <c r="D2238" s="2" t="s">
        <v>4703</v>
      </c>
      <c r="E2238" s="2" t="s">
        <v>4571</v>
      </c>
      <c r="F2238" s="20" t="s">
        <v>60</v>
      </c>
      <c r="G2238" s="2" t="s">
        <v>4704</v>
      </c>
      <c r="H2238" s="16"/>
      <c r="I2238" s="20"/>
      <c r="J2238" s="20"/>
      <c r="K2238" s="20"/>
      <c r="L2238" s="20"/>
      <c r="M2238" s="20"/>
      <c r="N2238" s="20"/>
      <c r="O2238" s="20"/>
      <c r="P2238" s="20"/>
      <c r="Q2238" s="20"/>
      <c r="R2238" s="20"/>
      <c r="S2238" s="20"/>
      <c r="T2238" s="20"/>
      <c r="U2238" s="20"/>
      <c r="V2238" s="20"/>
      <c r="W2238" s="20"/>
      <c r="X2238" s="20"/>
      <c r="Y2238" s="20"/>
      <c r="Z2238" s="20"/>
      <c r="AA2238" s="20"/>
    </row>
    <row r="2239" spans="1:27" ht="313.2" x14ac:dyDescent="0.25">
      <c r="A2239" s="16"/>
      <c r="B2239" s="20" t="b">
        <v>0</v>
      </c>
      <c r="C2239" s="20">
        <v>300</v>
      </c>
      <c r="D2239" s="2" t="s">
        <v>4705</v>
      </c>
      <c r="E2239" s="2" t="s">
        <v>4571</v>
      </c>
      <c r="F2239" s="20" t="s">
        <v>60</v>
      </c>
      <c r="G2239" s="2" t="s">
        <v>4706</v>
      </c>
      <c r="H2239" s="16"/>
      <c r="I2239" s="20"/>
      <c r="J2239" s="20"/>
      <c r="K2239" s="20"/>
      <c r="L2239" s="20"/>
      <c r="M2239" s="20"/>
      <c r="N2239" s="20"/>
      <c r="O2239" s="20"/>
      <c r="P2239" s="20"/>
      <c r="Q2239" s="20"/>
      <c r="R2239" s="20"/>
      <c r="S2239" s="20"/>
      <c r="T2239" s="20"/>
      <c r="U2239" s="20"/>
      <c r="V2239" s="20"/>
      <c r="W2239" s="20"/>
      <c r="X2239" s="20"/>
      <c r="Y2239" s="20"/>
      <c r="Z2239" s="20"/>
      <c r="AA2239" s="20"/>
    </row>
    <row r="2240" spans="1:27" ht="243.6" x14ac:dyDescent="0.25">
      <c r="A2240" s="16"/>
      <c r="B2240" s="20" t="b">
        <v>0</v>
      </c>
      <c r="C2240" s="20">
        <v>400</v>
      </c>
      <c r="D2240" s="2" t="s">
        <v>4707</v>
      </c>
      <c r="E2240" s="2" t="s">
        <v>4571</v>
      </c>
      <c r="F2240" s="20" t="s">
        <v>60</v>
      </c>
      <c r="G2240" s="2" t="s">
        <v>4708</v>
      </c>
      <c r="H2240" s="16"/>
      <c r="I2240" s="20"/>
      <c r="J2240" s="20"/>
      <c r="K2240" s="20"/>
      <c r="L2240" s="20"/>
      <c r="M2240" s="20"/>
      <c r="N2240" s="20"/>
      <c r="O2240" s="20"/>
      <c r="P2240" s="20"/>
      <c r="Q2240" s="20"/>
      <c r="R2240" s="20"/>
      <c r="S2240" s="20"/>
      <c r="T2240" s="20"/>
      <c r="U2240" s="20"/>
      <c r="V2240" s="20"/>
      <c r="W2240" s="20"/>
      <c r="X2240" s="20"/>
      <c r="Y2240" s="20"/>
      <c r="Z2240" s="20"/>
      <c r="AA2240" s="20"/>
    </row>
    <row r="2241" spans="1:27" ht="409.6" x14ac:dyDescent="0.25">
      <c r="A2241" s="16"/>
      <c r="B2241" s="20" t="b">
        <v>0</v>
      </c>
      <c r="C2241" s="20">
        <v>600</v>
      </c>
      <c r="D2241" s="2" t="s">
        <v>4709</v>
      </c>
      <c r="E2241" s="2" t="s">
        <v>4571</v>
      </c>
      <c r="F2241" s="20" t="s">
        <v>57</v>
      </c>
      <c r="G2241" s="2" t="s">
        <v>4710</v>
      </c>
      <c r="H2241" s="16"/>
      <c r="I2241" s="20"/>
      <c r="J2241" s="20"/>
      <c r="K2241" s="20"/>
      <c r="L2241" s="20"/>
      <c r="M2241" s="20"/>
      <c r="N2241" s="20"/>
      <c r="O2241" s="20"/>
      <c r="P2241" s="20"/>
      <c r="Q2241" s="20"/>
      <c r="R2241" s="20"/>
      <c r="S2241" s="20"/>
      <c r="T2241" s="20"/>
      <c r="U2241" s="20"/>
      <c r="V2241" s="20"/>
      <c r="W2241" s="20"/>
      <c r="X2241" s="20"/>
      <c r="Y2241" s="20"/>
      <c r="Z2241" s="20"/>
      <c r="AA2241" s="20"/>
    </row>
    <row r="2242" spans="1:27" ht="348" x14ac:dyDescent="0.25">
      <c r="A2242" s="16"/>
      <c r="B2242" s="20" t="b">
        <v>0</v>
      </c>
      <c r="C2242" s="20">
        <v>100</v>
      </c>
      <c r="D2242" s="2" t="s">
        <v>4711</v>
      </c>
      <c r="E2242" s="2" t="s">
        <v>4571</v>
      </c>
      <c r="F2242" s="20" t="s">
        <v>57</v>
      </c>
      <c r="G2242" s="2" t="s">
        <v>4712</v>
      </c>
      <c r="H2242" s="16"/>
      <c r="I2242" s="20"/>
      <c r="J2242" s="20"/>
      <c r="K2242" s="20"/>
      <c r="L2242" s="20"/>
      <c r="M2242" s="20"/>
      <c r="N2242" s="20"/>
      <c r="O2242" s="20"/>
      <c r="P2242" s="20"/>
      <c r="Q2242" s="20"/>
      <c r="R2242" s="20"/>
      <c r="S2242" s="20"/>
      <c r="T2242" s="20"/>
      <c r="U2242" s="20"/>
      <c r="V2242" s="20"/>
      <c r="W2242" s="20"/>
      <c r="X2242" s="20"/>
      <c r="Y2242" s="20"/>
      <c r="Z2242" s="20"/>
      <c r="AA2242" s="20"/>
    </row>
    <row r="2243" spans="1:27" ht="243.6" x14ac:dyDescent="0.25">
      <c r="A2243" s="16"/>
      <c r="B2243" s="20" t="b">
        <v>0</v>
      </c>
      <c r="C2243" s="20">
        <v>200</v>
      </c>
      <c r="D2243" s="2" t="s">
        <v>4713</v>
      </c>
      <c r="E2243" s="2" t="s">
        <v>4571</v>
      </c>
      <c r="F2243" s="20" t="s">
        <v>56</v>
      </c>
      <c r="G2243" s="2" t="s">
        <v>4714</v>
      </c>
      <c r="H2243" s="16"/>
      <c r="I2243" s="20"/>
      <c r="J2243" s="20"/>
      <c r="K2243" s="20"/>
      <c r="L2243" s="20"/>
      <c r="M2243" s="20"/>
      <c r="N2243" s="20"/>
      <c r="O2243" s="20"/>
      <c r="P2243" s="20"/>
      <c r="Q2243" s="20"/>
      <c r="R2243" s="20"/>
      <c r="S2243" s="20"/>
      <c r="T2243" s="20"/>
      <c r="U2243" s="20"/>
      <c r="V2243" s="20"/>
      <c r="W2243" s="20"/>
      <c r="X2243" s="20"/>
      <c r="Y2243" s="20"/>
      <c r="Z2243" s="20"/>
      <c r="AA2243" s="20"/>
    </row>
    <row r="2244" spans="1:27" ht="208.8" x14ac:dyDescent="0.25">
      <c r="A2244" s="16"/>
      <c r="B2244" s="20" t="b">
        <v>0</v>
      </c>
      <c r="C2244" s="20">
        <v>300</v>
      </c>
      <c r="D2244" s="2" t="s">
        <v>4715</v>
      </c>
      <c r="E2244" s="2" t="s">
        <v>4571</v>
      </c>
      <c r="F2244" s="20" t="s">
        <v>60</v>
      </c>
      <c r="G2244" s="2" t="s">
        <v>4716</v>
      </c>
      <c r="H2244" s="16"/>
      <c r="I2244" s="20"/>
      <c r="J2244" s="20"/>
      <c r="K2244" s="20"/>
      <c r="L2244" s="20"/>
      <c r="M2244" s="20"/>
      <c r="N2244" s="20"/>
      <c r="O2244" s="20"/>
      <c r="P2244" s="20"/>
      <c r="Q2244" s="20"/>
      <c r="R2244" s="20"/>
      <c r="S2244" s="20"/>
      <c r="T2244" s="20"/>
      <c r="U2244" s="20"/>
      <c r="V2244" s="20"/>
      <c r="W2244" s="20"/>
      <c r="X2244" s="20"/>
      <c r="Y2244" s="20"/>
      <c r="Z2244" s="20"/>
      <c r="AA2244" s="20"/>
    </row>
    <row r="2245" spans="1:27" ht="313.2" x14ac:dyDescent="0.25">
      <c r="A2245" s="16"/>
      <c r="B2245" s="20" t="b">
        <v>0</v>
      </c>
      <c r="C2245" s="20">
        <v>400</v>
      </c>
      <c r="D2245" s="2" t="s">
        <v>4717</v>
      </c>
      <c r="E2245" s="2" t="s">
        <v>4571</v>
      </c>
      <c r="F2245" s="20" t="s">
        <v>53</v>
      </c>
      <c r="G2245" s="2" t="s">
        <v>4718</v>
      </c>
      <c r="H2245" s="16"/>
      <c r="I2245" s="20"/>
      <c r="J2245" s="20"/>
      <c r="K2245" s="20"/>
      <c r="L2245" s="20"/>
      <c r="M2245" s="20"/>
      <c r="N2245" s="20"/>
      <c r="O2245" s="20"/>
      <c r="P2245" s="20"/>
      <c r="Q2245" s="20"/>
      <c r="R2245" s="20"/>
      <c r="S2245" s="20"/>
      <c r="T2245" s="20"/>
      <c r="U2245" s="20"/>
      <c r="V2245" s="20"/>
      <c r="W2245" s="20"/>
      <c r="X2245" s="20"/>
      <c r="Y2245" s="20"/>
      <c r="Z2245" s="20"/>
      <c r="AA2245" s="20"/>
    </row>
    <row r="2246" spans="1:27" ht="409.6" x14ac:dyDescent="0.25">
      <c r="A2246" s="16"/>
      <c r="B2246" s="20" t="b">
        <v>0</v>
      </c>
      <c r="C2246" s="20">
        <v>600</v>
      </c>
      <c r="D2246" s="2" t="s">
        <v>4719</v>
      </c>
      <c r="E2246" s="2" t="s">
        <v>4571</v>
      </c>
      <c r="F2246" s="20" t="s">
        <v>62</v>
      </c>
      <c r="G2246" s="2" t="s">
        <v>4720</v>
      </c>
      <c r="H2246" s="16"/>
      <c r="I2246" s="20"/>
      <c r="J2246" s="20"/>
      <c r="K2246" s="20"/>
      <c r="L2246" s="20"/>
      <c r="M2246" s="20"/>
      <c r="N2246" s="20"/>
      <c r="O2246" s="20"/>
      <c r="P2246" s="20"/>
      <c r="Q2246" s="20"/>
      <c r="R2246" s="20"/>
      <c r="S2246" s="20"/>
      <c r="T2246" s="20"/>
      <c r="U2246" s="20"/>
      <c r="V2246" s="20"/>
      <c r="W2246" s="20"/>
      <c r="X2246" s="20"/>
      <c r="Y2246" s="20"/>
      <c r="Z2246" s="20"/>
      <c r="AA2246" s="20"/>
    </row>
    <row r="2247" spans="1:27" ht="330.6" x14ac:dyDescent="0.25">
      <c r="A2247" s="16"/>
      <c r="B2247" s="20" t="b">
        <v>0</v>
      </c>
      <c r="C2247" s="20">
        <v>200</v>
      </c>
      <c r="D2247" s="2" t="s">
        <v>4721</v>
      </c>
      <c r="E2247" s="2" t="s">
        <v>4571</v>
      </c>
      <c r="F2247" s="20" t="s">
        <v>60</v>
      </c>
      <c r="G2247" s="2" t="s">
        <v>4722</v>
      </c>
      <c r="H2247" s="16"/>
      <c r="I2247" s="20"/>
      <c r="J2247" s="20"/>
      <c r="K2247" s="20"/>
      <c r="L2247" s="20"/>
      <c r="M2247" s="20"/>
      <c r="N2247" s="20"/>
      <c r="O2247" s="20"/>
      <c r="P2247" s="20"/>
      <c r="Q2247" s="20"/>
      <c r="R2247" s="20"/>
      <c r="S2247" s="20"/>
      <c r="T2247" s="20"/>
      <c r="U2247" s="20"/>
      <c r="V2247" s="20"/>
      <c r="W2247" s="20"/>
      <c r="X2247" s="20"/>
      <c r="Y2247" s="20"/>
      <c r="Z2247" s="20"/>
      <c r="AA2247" s="20"/>
    </row>
    <row r="2248" spans="1:27" ht="208.8" x14ac:dyDescent="0.25">
      <c r="A2248" s="16"/>
      <c r="B2248" s="20" t="b">
        <v>0</v>
      </c>
      <c r="C2248" s="20">
        <v>300</v>
      </c>
      <c r="D2248" s="2" t="s">
        <v>4723</v>
      </c>
      <c r="E2248" s="2" t="s">
        <v>4571</v>
      </c>
      <c r="F2248" s="20" t="s">
        <v>57</v>
      </c>
      <c r="G2248" s="2" t="s">
        <v>4724</v>
      </c>
      <c r="H2248" s="16"/>
      <c r="I2248" s="20"/>
      <c r="J2248" s="20"/>
      <c r="K2248" s="20"/>
      <c r="L2248" s="20"/>
      <c r="M2248" s="20"/>
      <c r="N2248" s="20"/>
      <c r="O2248" s="20"/>
      <c r="P2248" s="20"/>
      <c r="Q2248" s="20"/>
      <c r="R2248" s="20"/>
      <c r="S2248" s="20"/>
      <c r="T2248" s="20"/>
      <c r="U2248" s="20"/>
      <c r="V2248" s="20"/>
      <c r="W2248" s="20"/>
      <c r="X2248" s="20"/>
      <c r="Y2248" s="20"/>
      <c r="Z2248" s="20"/>
      <c r="AA2248" s="20"/>
    </row>
    <row r="2249" spans="1:27" ht="409.6" x14ac:dyDescent="0.25">
      <c r="A2249" s="16"/>
      <c r="B2249" s="20" t="b">
        <v>0</v>
      </c>
      <c r="C2249" s="20">
        <v>600</v>
      </c>
      <c r="D2249" s="2" t="s">
        <v>4725</v>
      </c>
      <c r="E2249" s="2" t="s">
        <v>4571</v>
      </c>
      <c r="F2249" s="20" t="s">
        <v>60</v>
      </c>
      <c r="G2249" s="2" t="s">
        <v>4726</v>
      </c>
      <c r="H2249" s="16"/>
      <c r="I2249" s="20"/>
      <c r="J2249" s="20"/>
      <c r="K2249" s="20"/>
      <c r="L2249" s="20"/>
      <c r="M2249" s="20"/>
      <c r="N2249" s="20"/>
      <c r="O2249" s="20"/>
      <c r="P2249" s="20"/>
      <c r="Q2249" s="20"/>
      <c r="R2249" s="20"/>
      <c r="S2249" s="20"/>
      <c r="T2249" s="20"/>
      <c r="U2249" s="20"/>
      <c r="V2249" s="20"/>
      <c r="W2249" s="20"/>
      <c r="X2249" s="20"/>
      <c r="Y2249" s="20"/>
      <c r="Z2249" s="20"/>
      <c r="AA2249" s="20"/>
    </row>
    <row r="2250" spans="1:27" ht="243.6" x14ac:dyDescent="0.25">
      <c r="A2250" s="16"/>
      <c r="B2250" s="20" t="b">
        <v>0</v>
      </c>
      <c r="C2250" s="20">
        <v>100</v>
      </c>
      <c r="D2250" s="2" t="s">
        <v>4727</v>
      </c>
      <c r="E2250" s="2" t="s">
        <v>4571</v>
      </c>
      <c r="F2250" s="20" t="s">
        <v>61</v>
      </c>
      <c r="G2250" s="2" t="s">
        <v>4728</v>
      </c>
      <c r="H2250" s="16"/>
      <c r="I2250" s="20"/>
      <c r="J2250" s="20"/>
      <c r="K2250" s="20"/>
      <c r="L2250" s="20"/>
      <c r="M2250" s="20"/>
      <c r="N2250" s="20"/>
      <c r="O2250" s="20"/>
      <c r="P2250" s="20"/>
      <c r="Q2250" s="20"/>
      <c r="R2250" s="20"/>
      <c r="S2250" s="20"/>
      <c r="T2250" s="20"/>
      <c r="U2250" s="20"/>
      <c r="V2250" s="20"/>
      <c r="W2250" s="20"/>
      <c r="X2250" s="20"/>
      <c r="Y2250" s="20"/>
      <c r="Z2250" s="20"/>
      <c r="AA2250" s="20"/>
    </row>
    <row r="2251" spans="1:27" ht="409.6" x14ac:dyDescent="0.25">
      <c r="A2251" s="16"/>
      <c r="B2251" s="20" t="b">
        <v>0</v>
      </c>
      <c r="C2251" s="20">
        <v>400</v>
      </c>
      <c r="D2251" s="2" t="s">
        <v>4729</v>
      </c>
      <c r="E2251" s="2" t="s">
        <v>4571</v>
      </c>
      <c r="F2251" s="20" t="s">
        <v>57</v>
      </c>
      <c r="G2251" s="2" t="s">
        <v>4730</v>
      </c>
      <c r="H2251" s="16"/>
      <c r="I2251" s="20"/>
      <c r="J2251" s="20"/>
      <c r="K2251" s="20"/>
      <c r="L2251" s="20"/>
      <c r="M2251" s="20"/>
      <c r="N2251" s="20"/>
      <c r="O2251" s="20"/>
      <c r="P2251" s="20"/>
      <c r="Q2251" s="20"/>
      <c r="R2251" s="20"/>
      <c r="S2251" s="20"/>
      <c r="T2251" s="20"/>
      <c r="U2251" s="20"/>
      <c r="V2251" s="20"/>
      <c r="W2251" s="20"/>
      <c r="X2251" s="20"/>
      <c r="Y2251" s="20"/>
      <c r="Z2251" s="20"/>
      <c r="AA2251" s="20"/>
    </row>
    <row r="2252" spans="1:27" ht="313.2" x14ac:dyDescent="0.25">
      <c r="A2252" s="16"/>
      <c r="B2252" s="20" t="b">
        <v>0</v>
      </c>
      <c r="C2252" s="20">
        <v>600</v>
      </c>
      <c r="D2252" s="2" t="s">
        <v>4731</v>
      </c>
      <c r="E2252" s="2" t="s">
        <v>4571</v>
      </c>
      <c r="F2252" s="20" t="s">
        <v>60</v>
      </c>
      <c r="G2252" s="2" t="s">
        <v>4732</v>
      </c>
      <c r="H2252" s="16"/>
      <c r="I2252" s="20"/>
      <c r="J2252" s="20"/>
      <c r="K2252" s="20"/>
      <c r="L2252" s="20"/>
      <c r="M2252" s="20"/>
      <c r="N2252" s="20"/>
      <c r="O2252" s="20"/>
      <c r="P2252" s="20"/>
      <c r="Q2252" s="20"/>
      <c r="R2252" s="20"/>
      <c r="S2252" s="20"/>
      <c r="T2252" s="20"/>
      <c r="U2252" s="20"/>
      <c r="V2252" s="20"/>
      <c r="W2252" s="20"/>
      <c r="X2252" s="20"/>
      <c r="Y2252" s="20"/>
      <c r="Z2252" s="20"/>
      <c r="AA2252" s="20"/>
    </row>
    <row r="2253" spans="1:27" ht="208.8" x14ac:dyDescent="0.25">
      <c r="A2253" s="16"/>
      <c r="B2253" s="20" t="b">
        <v>0</v>
      </c>
      <c r="C2253" s="20">
        <v>100</v>
      </c>
      <c r="D2253" s="2" t="s">
        <v>4733</v>
      </c>
      <c r="E2253" s="2" t="s">
        <v>4571</v>
      </c>
      <c r="F2253" s="20" t="s">
        <v>53</v>
      </c>
      <c r="G2253" s="2" t="s">
        <v>4734</v>
      </c>
      <c r="H2253" s="16"/>
      <c r="I2253" s="20"/>
      <c r="J2253" s="20"/>
      <c r="K2253" s="20"/>
      <c r="L2253" s="20"/>
      <c r="M2253" s="20"/>
      <c r="N2253" s="20"/>
      <c r="O2253" s="20"/>
      <c r="P2253" s="20"/>
      <c r="Q2253" s="20"/>
      <c r="R2253" s="20"/>
      <c r="S2253" s="20"/>
      <c r="T2253" s="20"/>
      <c r="U2253" s="20"/>
      <c r="V2253" s="20"/>
      <c r="W2253" s="20"/>
      <c r="X2253" s="20"/>
      <c r="Y2253" s="20"/>
      <c r="Z2253" s="20"/>
      <c r="AA2253" s="20"/>
    </row>
    <row r="2254" spans="1:27" ht="139.19999999999999" x14ac:dyDescent="0.25">
      <c r="A2254" s="16"/>
      <c r="B2254" s="20" t="b">
        <v>0</v>
      </c>
      <c r="C2254" s="20">
        <v>200</v>
      </c>
      <c r="D2254" s="2" t="s">
        <v>4735</v>
      </c>
      <c r="E2254" s="2" t="s">
        <v>4571</v>
      </c>
      <c r="F2254" s="20" t="s">
        <v>60</v>
      </c>
      <c r="G2254" s="2" t="s">
        <v>4736</v>
      </c>
      <c r="H2254" s="16"/>
      <c r="I2254" s="20"/>
      <c r="J2254" s="20"/>
      <c r="K2254" s="20"/>
      <c r="L2254" s="20"/>
      <c r="M2254" s="20"/>
      <c r="N2254" s="20"/>
      <c r="O2254" s="20"/>
      <c r="P2254" s="20"/>
      <c r="Q2254" s="20"/>
      <c r="R2254" s="20"/>
      <c r="S2254" s="20"/>
      <c r="T2254" s="20"/>
      <c r="U2254" s="20"/>
      <c r="V2254" s="20"/>
      <c r="W2254" s="20"/>
      <c r="X2254" s="20"/>
      <c r="Y2254" s="20"/>
      <c r="Z2254" s="20"/>
      <c r="AA2254" s="20"/>
    </row>
    <row r="2255" spans="1:27" ht="278.39999999999998" x14ac:dyDescent="0.25">
      <c r="A2255" s="16"/>
      <c r="B2255" s="20" t="b">
        <v>0</v>
      </c>
      <c r="C2255" s="20">
        <v>300</v>
      </c>
      <c r="D2255" s="2" t="s">
        <v>4737</v>
      </c>
      <c r="E2255" s="2" t="s">
        <v>4571</v>
      </c>
      <c r="F2255" s="20" t="s">
        <v>53</v>
      </c>
      <c r="G2255" s="2" t="s">
        <v>4738</v>
      </c>
      <c r="H2255" s="16"/>
      <c r="I2255" s="20"/>
      <c r="J2255" s="20"/>
      <c r="K2255" s="20"/>
      <c r="L2255" s="20"/>
      <c r="M2255" s="20"/>
      <c r="N2255" s="20"/>
      <c r="O2255" s="20"/>
      <c r="P2255" s="20"/>
      <c r="Q2255" s="20"/>
      <c r="R2255" s="20"/>
      <c r="S2255" s="20"/>
      <c r="T2255" s="20"/>
      <c r="U2255" s="20"/>
      <c r="V2255" s="20"/>
      <c r="W2255" s="20"/>
      <c r="X2255" s="20"/>
      <c r="Y2255" s="20"/>
      <c r="Z2255" s="20"/>
      <c r="AA2255" s="20"/>
    </row>
    <row r="2256" spans="1:27" ht="278.39999999999998" x14ac:dyDescent="0.25">
      <c r="A2256" s="16"/>
      <c r="B2256" s="20" t="b">
        <v>0</v>
      </c>
      <c r="C2256" s="20">
        <v>400</v>
      </c>
      <c r="D2256" s="2" t="s">
        <v>4739</v>
      </c>
      <c r="E2256" s="2" t="s">
        <v>4571</v>
      </c>
      <c r="F2256" s="20" t="s">
        <v>60</v>
      </c>
      <c r="G2256" s="2" t="s">
        <v>4740</v>
      </c>
      <c r="H2256" s="16"/>
      <c r="I2256" s="20"/>
      <c r="J2256" s="20"/>
      <c r="K2256" s="20"/>
      <c r="L2256" s="20"/>
      <c r="M2256" s="20"/>
      <c r="N2256" s="20"/>
      <c r="O2256" s="20"/>
      <c r="P2256" s="20"/>
      <c r="Q2256" s="20"/>
      <c r="R2256" s="20"/>
      <c r="S2256" s="20"/>
      <c r="T2256" s="20"/>
      <c r="U2256" s="20"/>
      <c r="V2256" s="20"/>
      <c r="W2256" s="20"/>
      <c r="X2256" s="20"/>
      <c r="Y2256" s="20"/>
      <c r="Z2256" s="20"/>
      <c r="AA2256" s="20"/>
    </row>
    <row r="2257" spans="1:27" ht="243.6" x14ac:dyDescent="0.25">
      <c r="A2257" s="16"/>
      <c r="B2257" s="20" t="b">
        <v>0</v>
      </c>
      <c r="C2257" s="20">
        <v>600</v>
      </c>
      <c r="D2257" s="2" t="s">
        <v>4741</v>
      </c>
      <c r="E2257" s="2" t="s">
        <v>4571</v>
      </c>
      <c r="F2257" s="20" t="s">
        <v>60</v>
      </c>
      <c r="G2257" s="2" t="s">
        <v>4742</v>
      </c>
      <c r="H2257" s="16"/>
      <c r="I2257" s="20"/>
      <c r="J2257" s="20"/>
      <c r="K2257" s="20"/>
      <c r="L2257" s="20"/>
      <c r="M2257" s="20"/>
      <c r="N2257" s="20"/>
      <c r="O2257" s="20"/>
      <c r="P2257" s="20"/>
      <c r="Q2257" s="20"/>
      <c r="R2257" s="20"/>
      <c r="S2257" s="20"/>
      <c r="T2257" s="20"/>
      <c r="U2257" s="20"/>
      <c r="V2257" s="20"/>
      <c r="W2257" s="20"/>
      <c r="X2257" s="20"/>
      <c r="Y2257" s="20"/>
      <c r="Z2257" s="20"/>
      <c r="AA2257" s="20"/>
    </row>
    <row r="2258" spans="1:27" ht="139.19999999999999" x14ac:dyDescent="0.25">
      <c r="A2258" s="16"/>
      <c r="B2258" s="20" t="b">
        <v>0</v>
      </c>
      <c r="C2258" s="20">
        <v>100</v>
      </c>
      <c r="D2258" s="2" t="s">
        <v>4743</v>
      </c>
      <c r="E2258" s="2" t="s">
        <v>4571</v>
      </c>
      <c r="F2258" s="20" t="s">
        <v>53</v>
      </c>
      <c r="G2258" s="2" t="s">
        <v>4744</v>
      </c>
      <c r="H2258" s="16"/>
      <c r="I2258" s="20"/>
      <c r="J2258" s="20"/>
      <c r="K2258" s="20"/>
      <c r="L2258" s="20"/>
      <c r="M2258" s="20"/>
      <c r="N2258" s="20"/>
      <c r="O2258" s="20"/>
      <c r="P2258" s="20"/>
      <c r="Q2258" s="20"/>
      <c r="R2258" s="20"/>
      <c r="S2258" s="20"/>
      <c r="T2258" s="20"/>
      <c r="U2258" s="20"/>
      <c r="V2258" s="20"/>
      <c r="W2258" s="20"/>
      <c r="X2258" s="20"/>
      <c r="Y2258" s="20"/>
      <c r="Z2258" s="20"/>
      <c r="AA2258" s="20"/>
    </row>
    <row r="2259" spans="1:27" ht="208.8" x14ac:dyDescent="0.25">
      <c r="A2259" s="16"/>
      <c r="B2259" s="20" t="b">
        <v>0</v>
      </c>
      <c r="C2259" s="20">
        <v>300</v>
      </c>
      <c r="D2259" s="2" t="s">
        <v>4745</v>
      </c>
      <c r="E2259" s="2" t="s">
        <v>4571</v>
      </c>
      <c r="F2259" s="20" t="s">
        <v>57</v>
      </c>
      <c r="G2259" s="2" t="s">
        <v>4746</v>
      </c>
      <c r="H2259" s="16"/>
      <c r="I2259" s="20"/>
      <c r="J2259" s="20"/>
      <c r="K2259" s="20"/>
      <c r="L2259" s="20"/>
      <c r="M2259" s="20"/>
      <c r="N2259" s="20"/>
      <c r="O2259" s="20"/>
      <c r="P2259" s="20"/>
      <c r="Q2259" s="20"/>
      <c r="R2259" s="20"/>
      <c r="S2259" s="20"/>
      <c r="T2259" s="20"/>
      <c r="U2259" s="20"/>
      <c r="V2259" s="20"/>
      <c r="W2259" s="20"/>
      <c r="X2259" s="20"/>
      <c r="Y2259" s="20"/>
      <c r="Z2259" s="20"/>
      <c r="AA2259" s="20"/>
    </row>
    <row r="2260" spans="1:27" ht="191.4" x14ac:dyDescent="0.25">
      <c r="A2260" s="16"/>
      <c r="B2260" s="20" t="b">
        <v>0</v>
      </c>
      <c r="C2260" s="20">
        <v>400</v>
      </c>
      <c r="D2260" s="2" t="s">
        <v>4747</v>
      </c>
      <c r="E2260" s="2" t="s">
        <v>4571</v>
      </c>
      <c r="F2260" s="20" t="s">
        <v>54</v>
      </c>
      <c r="G2260" s="2" t="s">
        <v>4748</v>
      </c>
      <c r="H2260" s="16"/>
      <c r="I2260" s="20"/>
      <c r="J2260" s="20"/>
      <c r="K2260" s="20"/>
      <c r="L2260" s="20"/>
      <c r="M2260" s="20"/>
      <c r="N2260" s="20"/>
      <c r="O2260" s="20"/>
      <c r="P2260" s="20"/>
      <c r="Q2260" s="20"/>
      <c r="R2260" s="20"/>
      <c r="S2260" s="20"/>
      <c r="T2260" s="20"/>
      <c r="U2260" s="20"/>
      <c r="V2260" s="20"/>
      <c r="W2260" s="20"/>
      <c r="X2260" s="20"/>
      <c r="Y2260" s="20"/>
      <c r="Z2260" s="20"/>
      <c r="AA2260" s="20"/>
    </row>
    <row r="2261" spans="1:27" ht="313.2" x14ac:dyDescent="0.25">
      <c r="A2261" s="16"/>
      <c r="B2261" s="20" t="b">
        <v>0</v>
      </c>
      <c r="C2261" s="20">
        <v>600</v>
      </c>
      <c r="D2261" s="2" t="s">
        <v>4749</v>
      </c>
      <c r="E2261" s="2" t="s">
        <v>4571</v>
      </c>
      <c r="F2261" s="20" t="s">
        <v>61</v>
      </c>
      <c r="G2261" s="2" t="s">
        <v>4750</v>
      </c>
      <c r="H2261" s="16"/>
      <c r="I2261" s="20"/>
      <c r="J2261" s="20"/>
      <c r="K2261" s="20"/>
      <c r="L2261" s="20"/>
      <c r="M2261" s="20"/>
      <c r="N2261" s="20"/>
      <c r="O2261" s="20"/>
      <c r="P2261" s="20"/>
      <c r="Q2261" s="20"/>
      <c r="R2261" s="20"/>
      <c r="S2261" s="20"/>
      <c r="T2261" s="20"/>
      <c r="U2261" s="20"/>
      <c r="V2261" s="20"/>
      <c r="W2261" s="20"/>
      <c r="X2261" s="20"/>
      <c r="Y2261" s="20"/>
      <c r="Z2261" s="20"/>
      <c r="AA2261" s="20"/>
    </row>
    <row r="2262" spans="1:27" ht="139.19999999999999" x14ac:dyDescent="0.25">
      <c r="A2262" s="16"/>
      <c r="B2262" s="20" t="b">
        <v>0</v>
      </c>
      <c r="C2262" s="20">
        <v>100</v>
      </c>
      <c r="D2262" s="2" t="s">
        <v>4751</v>
      </c>
      <c r="E2262" s="2" t="s">
        <v>4571</v>
      </c>
      <c r="F2262" s="20" t="s">
        <v>62</v>
      </c>
      <c r="G2262" s="2" t="s">
        <v>4752</v>
      </c>
      <c r="H2262" s="16"/>
      <c r="I2262" s="20"/>
      <c r="J2262" s="20"/>
      <c r="K2262" s="20"/>
      <c r="L2262" s="20"/>
      <c r="M2262" s="20"/>
      <c r="N2262" s="20"/>
      <c r="O2262" s="20"/>
      <c r="P2262" s="20"/>
      <c r="Q2262" s="20"/>
      <c r="R2262" s="20"/>
      <c r="S2262" s="20"/>
      <c r="T2262" s="20"/>
      <c r="U2262" s="20"/>
      <c r="V2262" s="20"/>
      <c r="W2262" s="20"/>
      <c r="X2262" s="20"/>
      <c r="Y2262" s="20"/>
      <c r="Z2262" s="20"/>
      <c r="AA2262" s="20"/>
    </row>
    <row r="2263" spans="1:27" ht="104.4" x14ac:dyDescent="0.25">
      <c r="A2263" s="16"/>
      <c r="B2263" s="20" t="b">
        <v>0</v>
      </c>
      <c r="C2263" s="20">
        <v>300</v>
      </c>
      <c r="D2263" s="2" t="s">
        <v>4753</v>
      </c>
      <c r="E2263" s="2" t="s">
        <v>4571</v>
      </c>
      <c r="F2263" s="20" t="s">
        <v>61</v>
      </c>
      <c r="G2263" s="2" t="s">
        <v>4754</v>
      </c>
      <c r="H2263" s="16"/>
      <c r="I2263" s="20"/>
      <c r="J2263" s="20"/>
      <c r="K2263" s="20"/>
      <c r="L2263" s="20"/>
      <c r="M2263" s="20"/>
      <c r="N2263" s="20"/>
      <c r="O2263" s="20"/>
      <c r="P2263" s="20"/>
      <c r="Q2263" s="20"/>
      <c r="R2263" s="20"/>
      <c r="S2263" s="20"/>
      <c r="T2263" s="20"/>
      <c r="U2263" s="20"/>
      <c r="V2263" s="20"/>
      <c r="W2263" s="20"/>
      <c r="X2263" s="20"/>
      <c r="Y2263" s="20"/>
      <c r="Z2263" s="20"/>
      <c r="AA2263" s="20"/>
    </row>
    <row r="2264" spans="1:27" ht="208.8" x14ac:dyDescent="0.25">
      <c r="A2264" s="16"/>
      <c r="B2264" s="20" t="b">
        <v>0</v>
      </c>
      <c r="C2264" s="20">
        <v>600</v>
      </c>
      <c r="D2264" s="2" t="s">
        <v>4755</v>
      </c>
      <c r="E2264" s="2" t="s">
        <v>4571</v>
      </c>
      <c r="F2264" s="20" t="s">
        <v>60</v>
      </c>
      <c r="G2264" s="2" t="s">
        <v>4756</v>
      </c>
      <c r="H2264" s="16"/>
      <c r="I2264" s="20"/>
      <c r="J2264" s="20"/>
      <c r="K2264" s="20"/>
      <c r="L2264" s="20"/>
      <c r="M2264" s="20"/>
      <c r="N2264" s="20"/>
      <c r="O2264" s="20"/>
      <c r="P2264" s="20"/>
      <c r="Q2264" s="20"/>
      <c r="R2264" s="20"/>
      <c r="S2264" s="20"/>
      <c r="T2264" s="20"/>
      <c r="U2264" s="20"/>
      <c r="V2264" s="20"/>
      <c r="W2264" s="20"/>
      <c r="X2264" s="20"/>
      <c r="Y2264" s="20"/>
      <c r="Z2264" s="20"/>
      <c r="AA2264" s="20"/>
    </row>
    <row r="2265" spans="1:27" ht="104.4" x14ac:dyDescent="0.25">
      <c r="A2265" s="16"/>
      <c r="B2265" s="20" t="b">
        <v>0</v>
      </c>
      <c r="C2265" s="20">
        <v>200</v>
      </c>
      <c r="D2265" s="2" t="s">
        <v>4757</v>
      </c>
      <c r="E2265" s="2" t="s">
        <v>4571</v>
      </c>
      <c r="F2265" s="20" t="s">
        <v>53</v>
      </c>
      <c r="G2265" s="2" t="s">
        <v>4758</v>
      </c>
      <c r="H2265" s="16"/>
      <c r="I2265" s="20"/>
      <c r="J2265" s="20"/>
      <c r="K2265" s="20"/>
      <c r="L2265" s="20"/>
      <c r="M2265" s="20"/>
      <c r="N2265" s="20"/>
      <c r="O2265" s="20"/>
      <c r="P2265" s="20"/>
      <c r="Q2265" s="20"/>
      <c r="R2265" s="20"/>
      <c r="S2265" s="20"/>
      <c r="T2265" s="20"/>
      <c r="U2265" s="20"/>
      <c r="V2265" s="20"/>
      <c r="W2265" s="20"/>
      <c r="X2265" s="20"/>
      <c r="Y2265" s="20"/>
      <c r="Z2265" s="20"/>
      <c r="AA2265" s="20"/>
    </row>
    <row r="2266" spans="1:27" ht="365.4" x14ac:dyDescent="0.25">
      <c r="A2266" s="16"/>
      <c r="B2266" s="20" t="b">
        <v>0</v>
      </c>
      <c r="C2266" s="20">
        <v>400</v>
      </c>
      <c r="D2266" s="2" t="s">
        <v>4759</v>
      </c>
      <c r="E2266" s="2" t="s">
        <v>4571</v>
      </c>
      <c r="F2266" s="20" t="s">
        <v>55</v>
      </c>
      <c r="G2266" s="2" t="s">
        <v>4760</v>
      </c>
      <c r="H2266" s="16"/>
      <c r="I2266" s="20"/>
      <c r="J2266" s="20"/>
      <c r="K2266" s="20"/>
      <c r="L2266" s="20"/>
      <c r="M2266" s="20"/>
      <c r="N2266" s="20"/>
      <c r="O2266" s="20"/>
      <c r="P2266" s="20"/>
      <c r="Q2266" s="20"/>
      <c r="R2266" s="20"/>
      <c r="S2266" s="20"/>
      <c r="T2266" s="20"/>
      <c r="U2266" s="20"/>
      <c r="V2266" s="20"/>
      <c r="W2266" s="20"/>
      <c r="X2266" s="20"/>
      <c r="Y2266" s="20"/>
      <c r="Z2266" s="20"/>
      <c r="AA2266" s="20"/>
    </row>
    <row r="2267" spans="1:27" ht="278.39999999999998" x14ac:dyDescent="0.25">
      <c r="A2267" s="16"/>
      <c r="B2267" s="20" t="b">
        <v>0</v>
      </c>
      <c r="C2267" s="20">
        <v>600</v>
      </c>
      <c r="D2267" s="2" t="s">
        <v>4761</v>
      </c>
      <c r="E2267" s="2" t="s">
        <v>4571</v>
      </c>
      <c r="F2267" s="20" t="s">
        <v>60</v>
      </c>
      <c r="G2267" s="2" t="s">
        <v>4762</v>
      </c>
      <c r="H2267" s="16"/>
      <c r="I2267" s="20"/>
      <c r="J2267" s="20"/>
      <c r="K2267" s="20"/>
      <c r="L2267" s="20"/>
      <c r="M2267" s="20"/>
      <c r="N2267" s="20"/>
      <c r="O2267" s="20"/>
      <c r="P2267" s="20"/>
      <c r="Q2267" s="20"/>
      <c r="R2267" s="20"/>
      <c r="S2267" s="20"/>
      <c r="T2267" s="20"/>
      <c r="U2267" s="20"/>
      <c r="V2267" s="20"/>
      <c r="W2267" s="20"/>
      <c r="X2267" s="20"/>
      <c r="Y2267" s="20"/>
      <c r="Z2267" s="20"/>
      <c r="AA2267" s="20"/>
    </row>
    <row r="2268" spans="1:27" ht="174" x14ac:dyDescent="0.25">
      <c r="A2268" s="16"/>
      <c r="B2268" s="20" t="b">
        <v>0</v>
      </c>
      <c r="C2268" s="20">
        <v>100</v>
      </c>
      <c r="D2268" s="2" t="s">
        <v>4763</v>
      </c>
      <c r="E2268" s="2" t="s">
        <v>4571</v>
      </c>
      <c r="F2268" s="20" t="s">
        <v>62</v>
      </c>
      <c r="G2268" s="2" t="s">
        <v>4764</v>
      </c>
      <c r="H2268" s="16"/>
      <c r="I2268" s="20"/>
      <c r="J2268" s="20"/>
      <c r="K2268" s="20"/>
      <c r="L2268" s="20"/>
      <c r="M2268" s="20"/>
      <c r="N2268" s="20"/>
      <c r="O2268" s="20"/>
      <c r="P2268" s="20"/>
      <c r="Q2268" s="20"/>
      <c r="R2268" s="20"/>
      <c r="S2268" s="20"/>
      <c r="T2268" s="20"/>
      <c r="U2268" s="20"/>
      <c r="V2268" s="20"/>
      <c r="W2268" s="20"/>
      <c r="X2268" s="20"/>
      <c r="Y2268" s="20"/>
      <c r="Z2268" s="20"/>
      <c r="AA2268" s="20"/>
    </row>
    <row r="2269" spans="1:27" ht="243.6" x14ac:dyDescent="0.25">
      <c r="A2269" s="16"/>
      <c r="B2269" s="20" t="b">
        <v>0</v>
      </c>
      <c r="C2269" s="20">
        <v>200</v>
      </c>
      <c r="D2269" s="2" t="s">
        <v>4765</v>
      </c>
      <c r="E2269" s="2" t="s">
        <v>4571</v>
      </c>
      <c r="F2269" s="20" t="s">
        <v>56</v>
      </c>
      <c r="G2269" s="2" t="s">
        <v>4766</v>
      </c>
      <c r="H2269" s="16"/>
      <c r="I2269" s="20"/>
      <c r="J2269" s="20"/>
      <c r="K2269" s="20"/>
      <c r="L2269" s="20"/>
      <c r="M2269" s="20"/>
      <c r="N2269" s="20"/>
      <c r="O2269" s="20"/>
      <c r="P2269" s="20"/>
      <c r="Q2269" s="20"/>
      <c r="R2269" s="20"/>
      <c r="S2269" s="20"/>
      <c r="T2269" s="20"/>
      <c r="U2269" s="20"/>
      <c r="V2269" s="20"/>
      <c r="W2269" s="20"/>
      <c r="X2269" s="20"/>
      <c r="Y2269" s="20"/>
      <c r="Z2269" s="20"/>
      <c r="AA2269" s="20"/>
    </row>
    <row r="2270" spans="1:27" ht="409.6" x14ac:dyDescent="0.25">
      <c r="A2270" s="16"/>
      <c r="B2270" s="20" t="b">
        <v>0</v>
      </c>
      <c r="C2270" s="20">
        <v>300</v>
      </c>
      <c r="D2270" s="2" t="s">
        <v>4767</v>
      </c>
      <c r="E2270" s="2" t="s">
        <v>4571</v>
      </c>
      <c r="F2270" s="20" t="s">
        <v>60</v>
      </c>
      <c r="G2270" s="2" t="s">
        <v>4768</v>
      </c>
      <c r="H2270" s="16"/>
      <c r="I2270" s="20"/>
      <c r="J2270" s="20"/>
      <c r="K2270" s="20"/>
      <c r="L2270" s="20"/>
      <c r="M2270" s="20"/>
      <c r="N2270" s="20"/>
      <c r="O2270" s="20"/>
      <c r="P2270" s="20"/>
      <c r="Q2270" s="20"/>
      <c r="R2270" s="20"/>
      <c r="S2270" s="20"/>
      <c r="T2270" s="20"/>
      <c r="U2270" s="20"/>
      <c r="V2270" s="20"/>
      <c r="W2270" s="20"/>
      <c r="X2270" s="20"/>
      <c r="Y2270" s="20"/>
      <c r="Z2270" s="20"/>
      <c r="AA2270" s="20"/>
    </row>
    <row r="2271" spans="1:27" ht="409.6" x14ac:dyDescent="0.25">
      <c r="A2271" s="16"/>
      <c r="B2271" s="20" t="b">
        <v>0</v>
      </c>
      <c r="C2271" s="20">
        <v>400</v>
      </c>
      <c r="D2271" s="2" t="s">
        <v>4769</v>
      </c>
      <c r="E2271" s="2" t="s">
        <v>4571</v>
      </c>
      <c r="F2271" s="20" t="s">
        <v>61</v>
      </c>
      <c r="G2271" s="2" t="s">
        <v>4770</v>
      </c>
      <c r="H2271" s="16"/>
      <c r="I2271" s="20"/>
      <c r="J2271" s="20"/>
      <c r="K2271" s="20"/>
      <c r="L2271" s="20"/>
      <c r="M2271" s="20"/>
      <c r="N2271" s="20"/>
      <c r="O2271" s="20"/>
      <c r="P2271" s="20"/>
      <c r="Q2271" s="20"/>
      <c r="R2271" s="20"/>
      <c r="S2271" s="20"/>
      <c r="T2271" s="20"/>
      <c r="U2271" s="20"/>
      <c r="V2271" s="20"/>
      <c r="W2271" s="20"/>
      <c r="X2271" s="20"/>
      <c r="Y2271" s="20"/>
      <c r="Z2271" s="20"/>
      <c r="AA2271" s="20"/>
    </row>
    <row r="2272" spans="1:27" ht="174" x14ac:dyDescent="0.25">
      <c r="A2272" s="16"/>
      <c r="B2272" s="20" t="b">
        <v>0</v>
      </c>
      <c r="C2272" s="20">
        <v>100</v>
      </c>
      <c r="D2272" s="2" t="s">
        <v>4771</v>
      </c>
      <c r="E2272" s="2" t="s">
        <v>4571</v>
      </c>
      <c r="F2272" s="20" t="s">
        <v>57</v>
      </c>
      <c r="G2272" s="2" t="s">
        <v>4772</v>
      </c>
      <c r="H2272" s="16"/>
      <c r="I2272" s="20"/>
      <c r="J2272" s="20"/>
      <c r="K2272" s="20"/>
      <c r="L2272" s="20"/>
      <c r="M2272" s="20"/>
      <c r="N2272" s="20"/>
      <c r="O2272" s="20"/>
      <c r="P2272" s="20"/>
      <c r="Q2272" s="20"/>
      <c r="R2272" s="20"/>
      <c r="S2272" s="20"/>
      <c r="T2272" s="20"/>
      <c r="U2272" s="20"/>
      <c r="V2272" s="20"/>
      <c r="W2272" s="20"/>
      <c r="X2272" s="20"/>
      <c r="Y2272" s="20"/>
      <c r="Z2272" s="20"/>
      <c r="AA2272" s="20"/>
    </row>
    <row r="2273" spans="1:27" ht="313.2" x14ac:dyDescent="0.25">
      <c r="A2273" s="16"/>
      <c r="B2273" s="20" t="b">
        <v>0</v>
      </c>
      <c r="C2273" s="20">
        <v>200</v>
      </c>
      <c r="D2273" s="2" t="s">
        <v>4773</v>
      </c>
      <c r="E2273" s="2" t="s">
        <v>4571</v>
      </c>
      <c r="F2273" s="20" t="s">
        <v>64</v>
      </c>
      <c r="G2273" s="2" t="s">
        <v>4774</v>
      </c>
      <c r="H2273" s="16"/>
      <c r="I2273" s="20"/>
      <c r="J2273" s="20"/>
      <c r="K2273" s="20"/>
      <c r="L2273" s="20"/>
      <c r="M2273" s="20"/>
      <c r="N2273" s="20"/>
      <c r="O2273" s="20"/>
      <c r="P2273" s="20"/>
      <c r="Q2273" s="20"/>
      <c r="R2273" s="20"/>
      <c r="S2273" s="20"/>
      <c r="T2273" s="20"/>
      <c r="U2273" s="20"/>
      <c r="V2273" s="20"/>
      <c r="W2273" s="20"/>
      <c r="X2273" s="20"/>
      <c r="Y2273" s="20"/>
      <c r="Z2273" s="20"/>
      <c r="AA2273" s="20"/>
    </row>
    <row r="2274" spans="1:27" ht="243.6" x14ac:dyDescent="0.25">
      <c r="A2274" s="16"/>
      <c r="B2274" s="20" t="b">
        <v>0</v>
      </c>
      <c r="C2274" s="20">
        <v>300</v>
      </c>
      <c r="D2274" s="2" t="s">
        <v>4775</v>
      </c>
      <c r="E2274" s="2" t="s">
        <v>4571</v>
      </c>
      <c r="F2274" s="20" t="s">
        <v>57</v>
      </c>
      <c r="G2274" s="2" t="s">
        <v>4776</v>
      </c>
      <c r="H2274" s="16"/>
      <c r="I2274" s="20"/>
      <c r="J2274" s="20"/>
      <c r="K2274" s="20"/>
      <c r="L2274" s="20"/>
      <c r="M2274" s="20"/>
      <c r="N2274" s="20"/>
      <c r="O2274" s="20"/>
      <c r="P2274" s="20"/>
      <c r="Q2274" s="20"/>
      <c r="R2274" s="20"/>
      <c r="S2274" s="20"/>
      <c r="T2274" s="20"/>
      <c r="U2274" s="20"/>
      <c r="V2274" s="20"/>
      <c r="W2274" s="20"/>
      <c r="X2274" s="20"/>
      <c r="Y2274" s="20"/>
      <c r="Z2274" s="20"/>
      <c r="AA2274" s="20"/>
    </row>
    <row r="2275" spans="1:27" ht="409.6" x14ac:dyDescent="0.25">
      <c r="A2275" s="16"/>
      <c r="B2275" s="20" t="b">
        <v>0</v>
      </c>
      <c r="C2275" s="20">
        <v>400</v>
      </c>
      <c r="D2275" s="2" t="s">
        <v>4777</v>
      </c>
      <c r="E2275" s="2" t="s">
        <v>4571</v>
      </c>
      <c r="F2275" s="20" t="s">
        <v>60</v>
      </c>
      <c r="G2275" s="2" t="s">
        <v>4778</v>
      </c>
      <c r="H2275" s="16"/>
      <c r="I2275" s="20"/>
      <c r="J2275" s="20"/>
      <c r="K2275" s="20"/>
      <c r="L2275" s="20"/>
      <c r="M2275" s="20"/>
      <c r="N2275" s="20"/>
      <c r="O2275" s="20"/>
      <c r="P2275" s="20"/>
      <c r="Q2275" s="20"/>
      <c r="R2275" s="20"/>
      <c r="S2275" s="20"/>
      <c r="T2275" s="20"/>
      <c r="U2275" s="20"/>
      <c r="V2275" s="20"/>
      <c r="W2275" s="20"/>
      <c r="X2275" s="20"/>
      <c r="Y2275" s="20"/>
      <c r="Z2275" s="20"/>
      <c r="AA2275" s="20"/>
    </row>
    <row r="2276" spans="1:27" ht="365.4" x14ac:dyDescent="0.25">
      <c r="A2276" s="16"/>
      <c r="B2276" s="20" t="b">
        <v>0</v>
      </c>
      <c r="C2276" s="20">
        <v>600</v>
      </c>
      <c r="D2276" s="2" t="s">
        <v>4779</v>
      </c>
      <c r="E2276" s="2" t="s">
        <v>4571</v>
      </c>
      <c r="F2276" s="20" t="s">
        <v>53</v>
      </c>
      <c r="G2276" s="2" t="s">
        <v>4780</v>
      </c>
      <c r="H2276" s="16"/>
      <c r="I2276" s="20"/>
      <c r="J2276" s="20"/>
      <c r="K2276" s="20"/>
      <c r="L2276" s="20"/>
      <c r="M2276" s="20"/>
      <c r="N2276" s="20"/>
      <c r="O2276" s="20"/>
      <c r="P2276" s="20"/>
      <c r="Q2276" s="20"/>
      <c r="R2276" s="20"/>
      <c r="S2276" s="20"/>
      <c r="T2276" s="20"/>
      <c r="U2276" s="20"/>
      <c r="V2276" s="20"/>
      <c r="W2276" s="20"/>
      <c r="X2276" s="20"/>
      <c r="Y2276" s="20"/>
      <c r="Z2276" s="20"/>
      <c r="AA2276" s="20"/>
    </row>
    <row r="2277" spans="1:27" ht="121.8" x14ac:dyDescent="0.25">
      <c r="A2277" s="16"/>
      <c r="B2277" s="20" t="b">
        <v>0</v>
      </c>
      <c r="C2277" s="20">
        <v>100</v>
      </c>
      <c r="D2277" s="2" t="s">
        <v>4781</v>
      </c>
      <c r="E2277" s="2" t="s">
        <v>4571</v>
      </c>
      <c r="F2277" s="20" t="s">
        <v>53</v>
      </c>
      <c r="G2277" s="2" t="s">
        <v>4782</v>
      </c>
      <c r="H2277" s="16"/>
      <c r="I2277" s="20"/>
      <c r="J2277" s="20"/>
      <c r="K2277" s="20"/>
      <c r="L2277" s="20"/>
      <c r="M2277" s="20"/>
      <c r="N2277" s="20"/>
      <c r="O2277" s="20"/>
      <c r="P2277" s="20"/>
      <c r="Q2277" s="20"/>
      <c r="R2277" s="20"/>
      <c r="S2277" s="20"/>
      <c r="T2277" s="20"/>
      <c r="U2277" s="20"/>
      <c r="V2277" s="20"/>
      <c r="W2277" s="20"/>
      <c r="X2277" s="20"/>
      <c r="Y2277" s="20"/>
      <c r="Z2277" s="20"/>
      <c r="AA2277" s="20"/>
    </row>
    <row r="2278" spans="1:27" ht="139.19999999999999" x14ac:dyDescent="0.25">
      <c r="A2278" s="16"/>
      <c r="B2278" s="20" t="b">
        <v>0</v>
      </c>
      <c r="C2278" s="20">
        <v>200</v>
      </c>
      <c r="D2278" s="2" t="s">
        <v>4783</v>
      </c>
      <c r="E2278" s="2" t="s">
        <v>4571</v>
      </c>
      <c r="F2278" s="20" t="s">
        <v>54</v>
      </c>
      <c r="G2278" s="2" t="s">
        <v>4784</v>
      </c>
      <c r="H2278" s="16"/>
      <c r="I2278" s="20"/>
      <c r="J2278" s="20"/>
      <c r="K2278" s="20"/>
      <c r="L2278" s="20"/>
      <c r="M2278" s="20"/>
      <c r="N2278" s="20"/>
      <c r="O2278" s="20"/>
      <c r="P2278" s="20"/>
      <c r="Q2278" s="20"/>
      <c r="R2278" s="20"/>
      <c r="S2278" s="20"/>
      <c r="T2278" s="20"/>
      <c r="U2278" s="20"/>
      <c r="V2278" s="20"/>
      <c r="W2278" s="20"/>
      <c r="X2278" s="20"/>
      <c r="Y2278" s="20"/>
      <c r="Z2278" s="20"/>
      <c r="AA2278" s="20"/>
    </row>
    <row r="2279" spans="1:27" ht="139.19999999999999" x14ac:dyDescent="0.25">
      <c r="A2279" s="16"/>
      <c r="B2279" s="20" t="b">
        <v>0</v>
      </c>
      <c r="C2279" s="20">
        <v>400</v>
      </c>
      <c r="D2279" s="2" t="s">
        <v>4785</v>
      </c>
      <c r="E2279" s="2" t="s">
        <v>4571</v>
      </c>
      <c r="F2279" s="20" t="s">
        <v>54</v>
      </c>
      <c r="G2279" s="2" t="s">
        <v>4786</v>
      </c>
      <c r="H2279" s="16"/>
      <c r="I2279" s="20"/>
      <c r="J2279" s="20"/>
      <c r="K2279" s="20"/>
      <c r="L2279" s="20"/>
      <c r="M2279" s="20"/>
      <c r="N2279" s="20"/>
      <c r="O2279" s="20"/>
      <c r="P2279" s="20"/>
      <c r="Q2279" s="20"/>
      <c r="R2279" s="20"/>
      <c r="S2279" s="20"/>
      <c r="T2279" s="20"/>
      <c r="U2279" s="20"/>
      <c r="V2279" s="20"/>
      <c r="W2279" s="20"/>
      <c r="X2279" s="20"/>
      <c r="Y2279" s="20"/>
      <c r="Z2279" s="20"/>
      <c r="AA2279" s="20"/>
    </row>
    <row r="2280" spans="1:27" ht="104.4" x14ac:dyDescent="0.25">
      <c r="A2280" s="16"/>
      <c r="B2280" s="20" t="b">
        <v>0</v>
      </c>
      <c r="C2280" s="20">
        <v>100</v>
      </c>
      <c r="D2280" s="2" t="s">
        <v>4787</v>
      </c>
      <c r="E2280" s="2" t="s">
        <v>4571</v>
      </c>
      <c r="F2280" s="20" t="s">
        <v>57</v>
      </c>
      <c r="G2280" s="2" t="s">
        <v>4788</v>
      </c>
      <c r="H2280" s="16"/>
      <c r="I2280" s="20"/>
      <c r="J2280" s="20"/>
      <c r="K2280" s="20"/>
      <c r="L2280" s="20"/>
      <c r="M2280" s="20"/>
      <c r="N2280" s="20"/>
      <c r="O2280" s="20"/>
      <c r="P2280" s="20"/>
      <c r="Q2280" s="20"/>
      <c r="R2280" s="20"/>
      <c r="S2280" s="20"/>
      <c r="T2280" s="20"/>
      <c r="U2280" s="20"/>
      <c r="V2280" s="20"/>
      <c r="W2280" s="20"/>
      <c r="X2280" s="20"/>
      <c r="Y2280" s="20"/>
      <c r="Z2280" s="20"/>
      <c r="AA2280" s="20"/>
    </row>
    <row r="2281" spans="1:27" ht="104.4" x14ac:dyDescent="0.25">
      <c r="A2281" s="16"/>
      <c r="B2281" s="20" t="b">
        <v>0</v>
      </c>
      <c r="C2281" s="20">
        <v>200</v>
      </c>
      <c r="D2281" s="2" t="s">
        <v>4789</v>
      </c>
      <c r="E2281" s="2" t="s">
        <v>4571</v>
      </c>
      <c r="F2281" s="20" t="s">
        <v>53</v>
      </c>
      <c r="G2281" s="2" t="s">
        <v>4790</v>
      </c>
      <c r="H2281" s="16"/>
      <c r="I2281" s="20"/>
      <c r="J2281" s="20"/>
      <c r="K2281" s="20"/>
      <c r="L2281" s="20"/>
      <c r="M2281" s="20"/>
      <c r="N2281" s="20"/>
      <c r="O2281" s="20"/>
      <c r="P2281" s="20"/>
      <c r="Q2281" s="20"/>
      <c r="R2281" s="20"/>
      <c r="S2281" s="20"/>
      <c r="T2281" s="20"/>
      <c r="U2281" s="20"/>
      <c r="V2281" s="20"/>
      <c r="W2281" s="20"/>
      <c r="X2281" s="20"/>
      <c r="Y2281" s="20"/>
      <c r="Z2281" s="20"/>
      <c r="AA2281" s="20"/>
    </row>
    <row r="2282" spans="1:27" ht="313.2" x14ac:dyDescent="0.25">
      <c r="A2282" s="16"/>
      <c r="B2282" s="20" t="b">
        <v>0</v>
      </c>
      <c r="C2282" s="20">
        <v>400</v>
      </c>
      <c r="D2282" s="2" t="s">
        <v>4791</v>
      </c>
      <c r="E2282" s="2" t="s">
        <v>4571</v>
      </c>
      <c r="F2282" s="20" t="s">
        <v>60</v>
      </c>
      <c r="G2282" s="2" t="s">
        <v>4792</v>
      </c>
      <c r="H2282" s="16"/>
      <c r="I2282" s="20"/>
      <c r="J2282" s="20"/>
      <c r="K2282" s="20"/>
      <c r="L2282" s="20"/>
      <c r="M2282" s="20"/>
      <c r="N2282" s="20"/>
      <c r="O2282" s="20"/>
      <c r="P2282" s="20"/>
      <c r="Q2282" s="20"/>
      <c r="R2282" s="20"/>
      <c r="S2282" s="20"/>
      <c r="T2282" s="20"/>
      <c r="U2282" s="20"/>
      <c r="V2282" s="20"/>
      <c r="W2282" s="20"/>
      <c r="X2282" s="20"/>
      <c r="Y2282" s="20"/>
      <c r="Z2282" s="20"/>
      <c r="AA2282" s="20"/>
    </row>
    <row r="2283" spans="1:27" ht="348" x14ac:dyDescent="0.25">
      <c r="A2283" s="16"/>
      <c r="B2283" s="20" t="b">
        <v>0</v>
      </c>
      <c r="C2283" s="20">
        <v>600</v>
      </c>
      <c r="D2283" s="2" t="s">
        <v>4793</v>
      </c>
      <c r="E2283" s="2" t="s">
        <v>4571</v>
      </c>
      <c r="F2283" s="20" t="s">
        <v>64</v>
      </c>
      <c r="G2283" s="2" t="s">
        <v>4794</v>
      </c>
      <c r="H2283" s="16"/>
      <c r="I2283" s="20"/>
      <c r="J2283" s="20"/>
      <c r="K2283" s="20"/>
      <c r="L2283" s="20"/>
      <c r="M2283" s="20"/>
      <c r="N2283" s="20"/>
      <c r="O2283" s="20"/>
      <c r="P2283" s="20"/>
      <c r="Q2283" s="20"/>
      <c r="R2283" s="20"/>
      <c r="S2283" s="20"/>
      <c r="T2283" s="20"/>
      <c r="U2283" s="20"/>
      <c r="V2283" s="20"/>
      <c r="W2283" s="20"/>
      <c r="X2283" s="20"/>
      <c r="Y2283" s="20"/>
      <c r="Z2283" s="20"/>
      <c r="AA2283" s="20"/>
    </row>
    <row r="2284" spans="1:27" ht="409.6" x14ac:dyDescent="0.25">
      <c r="A2284" s="16"/>
      <c r="B2284" s="20" t="b">
        <v>0</v>
      </c>
      <c r="C2284" s="20">
        <v>200</v>
      </c>
      <c r="D2284" s="2" t="s">
        <v>4795</v>
      </c>
      <c r="E2284" s="2" t="s">
        <v>4571</v>
      </c>
      <c r="F2284" s="20" t="s">
        <v>53</v>
      </c>
      <c r="G2284" s="2" t="s">
        <v>4796</v>
      </c>
      <c r="H2284" s="16"/>
      <c r="I2284" s="20"/>
      <c r="J2284" s="20"/>
      <c r="K2284" s="20"/>
      <c r="L2284" s="20"/>
      <c r="M2284" s="20"/>
      <c r="N2284" s="20"/>
      <c r="O2284" s="20"/>
      <c r="P2284" s="20"/>
      <c r="Q2284" s="20"/>
      <c r="R2284" s="20"/>
      <c r="S2284" s="20"/>
      <c r="T2284" s="20"/>
      <c r="U2284" s="20"/>
      <c r="V2284" s="20"/>
      <c r="W2284" s="20"/>
      <c r="X2284" s="20"/>
      <c r="Y2284" s="20"/>
      <c r="Z2284" s="20"/>
      <c r="AA2284" s="20"/>
    </row>
    <row r="2285" spans="1:27" ht="409.6" x14ac:dyDescent="0.25">
      <c r="A2285" s="16"/>
      <c r="B2285" s="20" t="b">
        <v>0</v>
      </c>
      <c r="C2285" s="20">
        <v>300</v>
      </c>
      <c r="D2285" s="2" t="s">
        <v>4797</v>
      </c>
      <c r="E2285" s="2" t="s">
        <v>4571</v>
      </c>
      <c r="F2285" s="20" t="s">
        <v>54</v>
      </c>
      <c r="G2285" s="2" t="s">
        <v>4798</v>
      </c>
      <c r="H2285" s="16"/>
      <c r="I2285" s="20"/>
      <c r="J2285" s="20"/>
      <c r="K2285" s="20"/>
      <c r="L2285" s="20"/>
      <c r="M2285" s="20"/>
      <c r="N2285" s="20"/>
      <c r="O2285" s="20"/>
      <c r="P2285" s="20"/>
      <c r="Q2285" s="20"/>
      <c r="R2285" s="20"/>
      <c r="S2285" s="20"/>
      <c r="T2285" s="20"/>
      <c r="U2285" s="20"/>
      <c r="V2285" s="20"/>
      <c r="W2285" s="20"/>
      <c r="X2285" s="20"/>
      <c r="Y2285" s="20"/>
      <c r="Z2285" s="20"/>
      <c r="AA2285" s="20"/>
    </row>
    <row r="2286" spans="1:27" ht="243.6" x14ac:dyDescent="0.25">
      <c r="A2286" s="16"/>
      <c r="B2286" s="20" t="b">
        <v>0</v>
      </c>
      <c r="C2286" s="20">
        <v>400</v>
      </c>
      <c r="D2286" s="2" t="s">
        <v>4799</v>
      </c>
      <c r="E2286" s="2" t="s">
        <v>4571</v>
      </c>
      <c r="F2286" s="20" t="s">
        <v>53</v>
      </c>
      <c r="G2286" s="2" t="s">
        <v>4800</v>
      </c>
      <c r="H2286" s="16"/>
      <c r="I2286" s="20"/>
      <c r="J2286" s="20"/>
      <c r="K2286" s="20"/>
      <c r="L2286" s="20"/>
      <c r="M2286" s="20"/>
      <c r="N2286" s="20"/>
      <c r="O2286" s="20"/>
      <c r="P2286" s="20"/>
      <c r="Q2286" s="20"/>
      <c r="R2286" s="20"/>
      <c r="S2286" s="20"/>
      <c r="T2286" s="20"/>
      <c r="U2286" s="20"/>
      <c r="V2286" s="20"/>
      <c r="W2286" s="20"/>
      <c r="X2286" s="20"/>
      <c r="Y2286" s="20"/>
      <c r="Z2286" s="20"/>
      <c r="AA2286" s="20"/>
    </row>
    <row r="2287" spans="1:27" ht="409.6" x14ac:dyDescent="0.25">
      <c r="A2287" s="16"/>
      <c r="B2287" s="20" t="b">
        <v>0</v>
      </c>
      <c r="C2287" s="20" t="s">
        <v>4801</v>
      </c>
      <c r="D2287" s="2" t="s">
        <v>4802</v>
      </c>
      <c r="E2287" s="2" t="s">
        <v>4571</v>
      </c>
      <c r="F2287" s="20" t="s">
        <v>64</v>
      </c>
      <c r="G2287" s="2" t="s">
        <v>4803</v>
      </c>
      <c r="H2287" s="16"/>
      <c r="I2287" s="20"/>
      <c r="J2287" s="20"/>
      <c r="K2287" s="20"/>
      <c r="L2287" s="20"/>
      <c r="M2287" s="20"/>
      <c r="N2287" s="20"/>
      <c r="O2287" s="20"/>
      <c r="P2287" s="20"/>
      <c r="Q2287" s="20"/>
      <c r="R2287" s="20"/>
      <c r="S2287" s="20"/>
      <c r="T2287" s="20"/>
      <c r="U2287" s="20"/>
      <c r="V2287" s="20"/>
      <c r="W2287" s="20"/>
      <c r="X2287" s="20"/>
      <c r="Y2287" s="20"/>
      <c r="Z2287" s="20"/>
      <c r="AA2287" s="20"/>
    </row>
    <row r="2288" spans="1:27" ht="69.599999999999994" x14ac:dyDescent="0.25">
      <c r="A2288" s="16"/>
      <c r="B2288" s="20" t="b">
        <v>0</v>
      </c>
      <c r="C2288" s="20">
        <v>100</v>
      </c>
      <c r="D2288" s="2" t="s">
        <v>4804</v>
      </c>
      <c r="E2288" s="2" t="s">
        <v>4571</v>
      </c>
      <c r="F2288" s="20" t="s">
        <v>62</v>
      </c>
      <c r="G2288" s="2" t="s">
        <v>4805</v>
      </c>
      <c r="H2288" s="16"/>
      <c r="I2288" s="20"/>
      <c r="J2288" s="20"/>
      <c r="K2288" s="20"/>
      <c r="L2288" s="20"/>
      <c r="M2288" s="20"/>
      <c r="N2288" s="20"/>
      <c r="O2288" s="20"/>
      <c r="P2288" s="20"/>
      <c r="Q2288" s="20"/>
      <c r="R2288" s="20"/>
      <c r="S2288" s="20"/>
      <c r="T2288" s="20"/>
      <c r="U2288" s="20"/>
      <c r="V2288" s="20"/>
      <c r="W2288" s="20"/>
      <c r="X2288" s="20"/>
      <c r="Y2288" s="20"/>
      <c r="Z2288" s="20"/>
      <c r="AA2288" s="20"/>
    </row>
    <row r="2289" spans="1:27" ht="121.8" x14ac:dyDescent="0.25">
      <c r="A2289" s="16"/>
      <c r="B2289" s="20" t="b">
        <v>0</v>
      </c>
      <c r="C2289" s="20">
        <v>200</v>
      </c>
      <c r="D2289" s="2" t="s">
        <v>4806</v>
      </c>
      <c r="E2289" s="2" t="s">
        <v>4571</v>
      </c>
      <c r="F2289" s="20" t="s">
        <v>60</v>
      </c>
      <c r="G2289" s="2" t="s">
        <v>4807</v>
      </c>
      <c r="H2289" s="16"/>
      <c r="I2289" s="20"/>
      <c r="J2289" s="20"/>
      <c r="K2289" s="20"/>
      <c r="L2289" s="20"/>
      <c r="M2289" s="20"/>
      <c r="N2289" s="20"/>
      <c r="O2289" s="20"/>
      <c r="P2289" s="20"/>
      <c r="Q2289" s="20"/>
      <c r="R2289" s="20"/>
      <c r="S2289" s="20"/>
      <c r="T2289" s="20"/>
      <c r="U2289" s="20"/>
      <c r="V2289" s="20"/>
      <c r="W2289" s="20"/>
      <c r="X2289" s="20"/>
      <c r="Y2289" s="20"/>
      <c r="Z2289" s="20"/>
      <c r="AA2289" s="20"/>
    </row>
    <row r="2290" spans="1:27" ht="139.19999999999999" x14ac:dyDescent="0.25">
      <c r="A2290" s="16"/>
      <c r="B2290" s="20" t="b">
        <v>0</v>
      </c>
      <c r="C2290" s="20">
        <v>300</v>
      </c>
      <c r="D2290" s="2" t="s">
        <v>4808</v>
      </c>
      <c r="E2290" s="2" t="s">
        <v>4571</v>
      </c>
      <c r="F2290" s="20" t="s">
        <v>56</v>
      </c>
      <c r="G2290" s="2" t="s">
        <v>4809</v>
      </c>
      <c r="H2290" s="16"/>
      <c r="I2290" s="20"/>
      <c r="J2290" s="20"/>
      <c r="K2290" s="20"/>
      <c r="L2290" s="20"/>
      <c r="M2290" s="20"/>
      <c r="N2290" s="20"/>
      <c r="O2290" s="20"/>
      <c r="P2290" s="20"/>
      <c r="Q2290" s="20"/>
      <c r="R2290" s="20"/>
      <c r="S2290" s="20"/>
      <c r="T2290" s="20"/>
      <c r="U2290" s="20"/>
      <c r="V2290" s="20"/>
      <c r="W2290" s="20"/>
      <c r="X2290" s="20"/>
      <c r="Y2290" s="20"/>
      <c r="Z2290" s="20"/>
      <c r="AA2290" s="20"/>
    </row>
    <row r="2291" spans="1:27" ht="208.8" x14ac:dyDescent="0.25">
      <c r="A2291" s="16"/>
      <c r="B2291" s="20" t="b">
        <v>0</v>
      </c>
      <c r="C2291" s="20">
        <v>100</v>
      </c>
      <c r="D2291" s="2" t="s">
        <v>4810</v>
      </c>
      <c r="E2291" s="2" t="s">
        <v>4571</v>
      </c>
      <c r="F2291" s="20" t="s">
        <v>63</v>
      </c>
      <c r="G2291" s="2" t="s">
        <v>4811</v>
      </c>
      <c r="H2291" s="16"/>
      <c r="I2291" s="20"/>
      <c r="J2291" s="20"/>
      <c r="K2291" s="20"/>
      <c r="L2291" s="20"/>
      <c r="M2291" s="20"/>
      <c r="N2291" s="20"/>
      <c r="O2291" s="20"/>
      <c r="P2291" s="20"/>
      <c r="Q2291" s="20"/>
      <c r="R2291" s="20"/>
      <c r="S2291" s="20"/>
      <c r="T2291" s="20"/>
      <c r="U2291" s="20"/>
      <c r="V2291" s="20"/>
      <c r="W2291" s="20"/>
      <c r="X2291" s="20"/>
      <c r="Y2291" s="20"/>
      <c r="Z2291" s="20"/>
      <c r="AA2291" s="20"/>
    </row>
    <row r="2292" spans="1:27" ht="208.8" x14ac:dyDescent="0.25">
      <c r="A2292" s="16"/>
      <c r="B2292" s="20" t="b">
        <v>0</v>
      </c>
      <c r="C2292" s="20">
        <v>400</v>
      </c>
      <c r="D2292" s="2" t="s">
        <v>4812</v>
      </c>
      <c r="E2292" s="2" t="s">
        <v>4571</v>
      </c>
      <c r="F2292" s="20" t="s">
        <v>60</v>
      </c>
      <c r="G2292" s="2" t="s">
        <v>4813</v>
      </c>
      <c r="H2292" s="16"/>
      <c r="I2292" s="20"/>
      <c r="J2292" s="20"/>
      <c r="K2292" s="20"/>
      <c r="L2292" s="20"/>
      <c r="M2292" s="20"/>
      <c r="N2292" s="20"/>
      <c r="O2292" s="20"/>
      <c r="P2292" s="20"/>
      <c r="Q2292" s="20"/>
      <c r="R2292" s="20"/>
      <c r="S2292" s="20"/>
      <c r="T2292" s="20"/>
      <c r="U2292" s="20"/>
      <c r="V2292" s="20"/>
      <c r="W2292" s="20"/>
      <c r="X2292" s="20"/>
      <c r="Y2292" s="20"/>
      <c r="Z2292" s="20"/>
      <c r="AA2292" s="20"/>
    </row>
    <row r="2293" spans="1:27" ht="409.6" x14ac:dyDescent="0.25">
      <c r="A2293" s="16"/>
      <c r="B2293" s="20" t="b">
        <v>0</v>
      </c>
      <c r="C2293" s="20">
        <v>600</v>
      </c>
      <c r="D2293" s="2" t="s">
        <v>4814</v>
      </c>
      <c r="E2293" s="2" t="s">
        <v>4571</v>
      </c>
      <c r="F2293" s="20" t="s">
        <v>60</v>
      </c>
      <c r="G2293" s="2" t="s">
        <v>4815</v>
      </c>
      <c r="H2293" s="16"/>
      <c r="I2293" s="20"/>
      <c r="J2293" s="20"/>
      <c r="K2293" s="20"/>
      <c r="L2293" s="20"/>
      <c r="M2293" s="20"/>
      <c r="N2293" s="20"/>
      <c r="O2293" s="20"/>
      <c r="P2293" s="20"/>
      <c r="Q2293" s="20"/>
      <c r="R2293" s="20"/>
      <c r="S2293" s="20"/>
      <c r="T2293" s="20"/>
      <c r="U2293" s="20"/>
      <c r="V2293" s="20"/>
      <c r="W2293" s="20"/>
      <c r="X2293" s="20"/>
      <c r="Y2293" s="20"/>
      <c r="Z2293" s="20"/>
      <c r="AA2293" s="20"/>
    </row>
    <row r="2294" spans="1:27" ht="278.39999999999998" x14ac:dyDescent="0.25">
      <c r="A2294" s="16"/>
      <c r="B2294" s="20" t="b">
        <v>0</v>
      </c>
      <c r="C2294" s="20">
        <v>100</v>
      </c>
      <c r="D2294" s="2" t="s">
        <v>4816</v>
      </c>
      <c r="E2294" s="2" t="s">
        <v>4571</v>
      </c>
      <c r="F2294" s="20" t="s">
        <v>61</v>
      </c>
      <c r="G2294" s="2" t="s">
        <v>4817</v>
      </c>
      <c r="H2294" s="16"/>
      <c r="I2294" s="20"/>
      <c r="J2294" s="20"/>
      <c r="K2294" s="20"/>
      <c r="L2294" s="20"/>
      <c r="M2294" s="20"/>
      <c r="N2294" s="20"/>
      <c r="O2294" s="20"/>
      <c r="P2294" s="20"/>
      <c r="Q2294" s="20"/>
      <c r="R2294" s="20"/>
      <c r="S2294" s="20"/>
      <c r="T2294" s="20"/>
      <c r="U2294" s="20"/>
      <c r="V2294" s="20"/>
      <c r="W2294" s="20"/>
      <c r="X2294" s="20"/>
      <c r="Y2294" s="20"/>
      <c r="Z2294" s="20"/>
      <c r="AA2294" s="20"/>
    </row>
    <row r="2295" spans="1:27" ht="174" x14ac:dyDescent="0.25">
      <c r="A2295" s="16"/>
      <c r="B2295" s="20" t="b">
        <v>0</v>
      </c>
      <c r="C2295" s="20">
        <v>200</v>
      </c>
      <c r="D2295" s="2" t="s">
        <v>4818</v>
      </c>
      <c r="E2295" s="2" t="s">
        <v>4571</v>
      </c>
      <c r="F2295" s="20" t="s">
        <v>57</v>
      </c>
      <c r="G2295" s="2" t="s">
        <v>4819</v>
      </c>
      <c r="H2295" s="16"/>
      <c r="I2295" s="20"/>
      <c r="J2295" s="20"/>
      <c r="K2295" s="20"/>
      <c r="L2295" s="20"/>
      <c r="M2295" s="20"/>
      <c r="N2295" s="20"/>
      <c r="O2295" s="20"/>
      <c r="P2295" s="20"/>
      <c r="Q2295" s="20"/>
      <c r="R2295" s="20"/>
      <c r="S2295" s="20"/>
      <c r="T2295" s="20"/>
      <c r="U2295" s="20"/>
      <c r="V2295" s="20"/>
      <c r="W2295" s="20"/>
      <c r="X2295" s="20"/>
      <c r="Y2295" s="20"/>
      <c r="Z2295" s="20"/>
      <c r="AA2295" s="20"/>
    </row>
    <row r="2296" spans="1:27" ht="208.8" x14ac:dyDescent="0.25">
      <c r="A2296" s="16"/>
      <c r="B2296" s="20" t="b">
        <v>0</v>
      </c>
      <c r="C2296" s="20">
        <v>300</v>
      </c>
      <c r="D2296" s="2" t="s">
        <v>4820</v>
      </c>
      <c r="E2296" s="2" t="s">
        <v>4571</v>
      </c>
      <c r="F2296" s="20" t="s">
        <v>62</v>
      </c>
      <c r="G2296" s="2" t="s">
        <v>4821</v>
      </c>
      <c r="H2296" s="16"/>
      <c r="I2296" s="20"/>
      <c r="J2296" s="20"/>
      <c r="K2296" s="20"/>
      <c r="L2296" s="20"/>
      <c r="M2296" s="20"/>
      <c r="N2296" s="20"/>
      <c r="O2296" s="20"/>
      <c r="P2296" s="20"/>
      <c r="Q2296" s="20"/>
      <c r="R2296" s="20"/>
      <c r="S2296" s="20"/>
      <c r="T2296" s="20"/>
      <c r="U2296" s="20"/>
      <c r="V2296" s="20"/>
      <c r="W2296" s="20"/>
      <c r="X2296" s="20"/>
      <c r="Y2296" s="20"/>
      <c r="Z2296" s="20"/>
      <c r="AA2296" s="20"/>
    </row>
    <row r="2297" spans="1:27" ht="313.2" x14ac:dyDescent="0.25">
      <c r="A2297" s="16"/>
      <c r="B2297" s="20" t="b">
        <v>0</v>
      </c>
      <c r="C2297" s="20">
        <v>400</v>
      </c>
      <c r="D2297" s="2" t="s">
        <v>4822</v>
      </c>
      <c r="E2297" s="2" t="s">
        <v>4571</v>
      </c>
      <c r="F2297" s="20" t="s">
        <v>62</v>
      </c>
      <c r="G2297" s="2" t="s">
        <v>4823</v>
      </c>
      <c r="H2297" s="16"/>
      <c r="I2297" s="20"/>
      <c r="J2297" s="20"/>
      <c r="K2297" s="20"/>
      <c r="L2297" s="20"/>
      <c r="M2297" s="20"/>
      <c r="N2297" s="20"/>
      <c r="O2297" s="20"/>
      <c r="P2297" s="20"/>
      <c r="Q2297" s="20"/>
      <c r="R2297" s="20"/>
      <c r="S2297" s="20"/>
      <c r="T2297" s="20"/>
      <c r="U2297" s="20"/>
      <c r="V2297" s="20"/>
      <c r="W2297" s="20"/>
      <c r="X2297" s="20"/>
      <c r="Y2297" s="20"/>
      <c r="Z2297" s="20"/>
      <c r="AA2297" s="20"/>
    </row>
    <row r="2298" spans="1:27" ht="409.6" x14ac:dyDescent="0.25">
      <c r="A2298" s="16"/>
      <c r="B2298" s="20" t="b">
        <v>0</v>
      </c>
      <c r="C2298" s="20">
        <v>600</v>
      </c>
      <c r="D2298" s="2" t="s">
        <v>4824</v>
      </c>
      <c r="E2298" s="2" t="s">
        <v>4571</v>
      </c>
      <c r="F2298" s="20" t="s">
        <v>61</v>
      </c>
      <c r="G2298" s="2" t="s">
        <v>4825</v>
      </c>
      <c r="H2298" s="16"/>
      <c r="I2298" s="20"/>
      <c r="J2298" s="20"/>
      <c r="K2298" s="20"/>
      <c r="L2298" s="20"/>
      <c r="M2298" s="20"/>
      <c r="N2298" s="20"/>
      <c r="O2298" s="20"/>
      <c r="P2298" s="20"/>
      <c r="Q2298" s="20"/>
      <c r="R2298" s="20"/>
      <c r="S2298" s="20"/>
      <c r="T2298" s="20"/>
      <c r="U2298" s="20"/>
      <c r="V2298" s="20"/>
      <c r="W2298" s="20"/>
      <c r="X2298" s="20"/>
      <c r="Y2298" s="20"/>
      <c r="Z2298" s="20"/>
      <c r="AA2298" s="20"/>
    </row>
    <row r="2299" spans="1:27" ht="409.6" x14ac:dyDescent="0.25">
      <c r="A2299" s="16"/>
      <c r="B2299" s="20" t="b">
        <v>0</v>
      </c>
      <c r="C2299" s="20">
        <v>100</v>
      </c>
      <c r="D2299" s="2" t="s">
        <v>4826</v>
      </c>
      <c r="E2299" s="2" t="s">
        <v>4571</v>
      </c>
      <c r="F2299" s="20" t="s">
        <v>57</v>
      </c>
      <c r="G2299" s="2" t="s">
        <v>4827</v>
      </c>
      <c r="H2299" s="16"/>
      <c r="I2299" s="20"/>
      <c r="J2299" s="20"/>
      <c r="K2299" s="20"/>
      <c r="L2299" s="20"/>
      <c r="M2299" s="20"/>
      <c r="N2299" s="20"/>
      <c r="O2299" s="20"/>
      <c r="P2299" s="20"/>
      <c r="Q2299" s="20"/>
      <c r="R2299" s="20"/>
      <c r="S2299" s="20"/>
      <c r="T2299" s="20"/>
      <c r="U2299" s="20"/>
      <c r="V2299" s="20"/>
      <c r="W2299" s="20"/>
      <c r="X2299" s="20"/>
      <c r="Y2299" s="20"/>
      <c r="Z2299" s="20"/>
      <c r="AA2299" s="20"/>
    </row>
    <row r="2300" spans="1:27" ht="409.6" x14ac:dyDescent="0.25">
      <c r="A2300" s="16"/>
      <c r="B2300" s="20" t="b">
        <v>0</v>
      </c>
      <c r="C2300" s="20">
        <v>200</v>
      </c>
      <c r="D2300" s="2" t="s">
        <v>4828</v>
      </c>
      <c r="E2300" s="2" t="s">
        <v>4571</v>
      </c>
      <c r="F2300" s="20" t="s">
        <v>60</v>
      </c>
      <c r="G2300" s="2" t="s">
        <v>4829</v>
      </c>
      <c r="H2300" s="16"/>
      <c r="I2300" s="20"/>
      <c r="J2300" s="20"/>
      <c r="K2300" s="20"/>
      <c r="L2300" s="20"/>
      <c r="M2300" s="20"/>
      <c r="N2300" s="20"/>
      <c r="O2300" s="20"/>
      <c r="P2300" s="20"/>
      <c r="Q2300" s="20"/>
      <c r="R2300" s="20"/>
      <c r="S2300" s="20"/>
      <c r="T2300" s="20"/>
      <c r="U2300" s="20"/>
      <c r="V2300" s="20"/>
      <c r="W2300" s="20"/>
      <c r="X2300" s="20"/>
      <c r="Y2300" s="20"/>
      <c r="Z2300" s="20"/>
      <c r="AA2300" s="20"/>
    </row>
    <row r="2301" spans="1:27" ht="409.6" x14ac:dyDescent="0.25">
      <c r="A2301" s="16"/>
      <c r="B2301" s="20" t="b">
        <v>0</v>
      </c>
      <c r="C2301" s="20">
        <v>300</v>
      </c>
      <c r="D2301" s="2" t="s">
        <v>4830</v>
      </c>
      <c r="E2301" s="2" t="s">
        <v>4571</v>
      </c>
      <c r="F2301" s="20" t="s">
        <v>61</v>
      </c>
      <c r="G2301" s="2" t="s">
        <v>4831</v>
      </c>
      <c r="H2301" s="16"/>
      <c r="I2301" s="20"/>
      <c r="J2301" s="20"/>
      <c r="K2301" s="20"/>
      <c r="L2301" s="20"/>
      <c r="M2301" s="20"/>
      <c r="N2301" s="20"/>
      <c r="O2301" s="20"/>
      <c r="P2301" s="20"/>
      <c r="Q2301" s="20"/>
      <c r="R2301" s="20"/>
      <c r="S2301" s="20"/>
      <c r="T2301" s="20"/>
      <c r="U2301" s="20"/>
      <c r="V2301" s="20"/>
      <c r="W2301" s="20"/>
      <c r="X2301" s="20"/>
      <c r="Y2301" s="20"/>
      <c r="Z2301" s="20"/>
      <c r="AA2301" s="20"/>
    </row>
    <row r="2302" spans="1:27" ht="409.6" x14ac:dyDescent="0.25">
      <c r="A2302" s="16"/>
      <c r="B2302" s="20" t="b">
        <v>0</v>
      </c>
      <c r="C2302" s="20">
        <v>400</v>
      </c>
      <c r="D2302" s="2" t="s">
        <v>4832</v>
      </c>
      <c r="E2302" s="2" t="s">
        <v>4571</v>
      </c>
      <c r="F2302" s="20" t="s">
        <v>60</v>
      </c>
      <c r="G2302" s="2" t="s">
        <v>4833</v>
      </c>
      <c r="H2302" s="16"/>
      <c r="I2302" s="20"/>
      <c r="J2302" s="20"/>
      <c r="K2302" s="20"/>
      <c r="L2302" s="20"/>
      <c r="M2302" s="20"/>
      <c r="N2302" s="20"/>
      <c r="O2302" s="20"/>
      <c r="P2302" s="20"/>
      <c r="Q2302" s="20"/>
      <c r="R2302" s="20"/>
      <c r="S2302" s="20"/>
      <c r="T2302" s="20"/>
      <c r="U2302" s="20"/>
      <c r="V2302" s="20"/>
      <c r="W2302" s="20"/>
      <c r="X2302" s="20"/>
      <c r="Y2302" s="20"/>
      <c r="Z2302" s="20"/>
      <c r="AA2302" s="20"/>
    </row>
    <row r="2303" spans="1:27" ht="409.6" x14ac:dyDescent="0.25">
      <c r="A2303" s="16"/>
      <c r="B2303" s="20" t="b">
        <v>0</v>
      </c>
      <c r="C2303" s="20">
        <v>100</v>
      </c>
      <c r="D2303" s="2" t="s">
        <v>4834</v>
      </c>
      <c r="E2303" s="2" t="s">
        <v>4571</v>
      </c>
      <c r="F2303" s="20" t="s">
        <v>61</v>
      </c>
      <c r="G2303" s="2" t="s">
        <v>4835</v>
      </c>
      <c r="H2303" s="16"/>
      <c r="I2303" s="20"/>
      <c r="J2303" s="20"/>
      <c r="K2303" s="20"/>
      <c r="L2303" s="20"/>
      <c r="M2303" s="20"/>
      <c r="N2303" s="20"/>
      <c r="O2303" s="20"/>
      <c r="P2303" s="20"/>
      <c r="Q2303" s="20"/>
      <c r="R2303" s="20"/>
      <c r="S2303" s="20"/>
      <c r="T2303" s="20"/>
      <c r="U2303" s="20"/>
      <c r="V2303" s="20"/>
      <c r="W2303" s="20"/>
      <c r="X2303" s="20"/>
      <c r="Y2303" s="20"/>
      <c r="Z2303" s="20"/>
      <c r="AA2303" s="20"/>
    </row>
    <row r="2304" spans="1:27" ht="313.2" x14ac:dyDescent="0.25">
      <c r="A2304" s="16"/>
      <c r="B2304" s="20" t="b">
        <v>0</v>
      </c>
      <c r="C2304" s="20">
        <v>200</v>
      </c>
      <c r="D2304" s="2" t="s">
        <v>4836</v>
      </c>
      <c r="E2304" s="2" t="s">
        <v>4571</v>
      </c>
      <c r="F2304" s="20" t="s">
        <v>61</v>
      </c>
      <c r="G2304" s="2" t="s">
        <v>4837</v>
      </c>
      <c r="H2304" s="16"/>
      <c r="I2304" s="20"/>
      <c r="J2304" s="20"/>
      <c r="K2304" s="20"/>
      <c r="L2304" s="20"/>
      <c r="M2304" s="20"/>
      <c r="N2304" s="20"/>
      <c r="O2304" s="20"/>
      <c r="P2304" s="20"/>
      <c r="Q2304" s="20"/>
      <c r="R2304" s="20"/>
      <c r="S2304" s="20"/>
      <c r="T2304" s="20"/>
      <c r="U2304" s="20"/>
      <c r="V2304" s="20"/>
      <c r="W2304" s="20"/>
      <c r="X2304" s="20"/>
      <c r="Y2304" s="20"/>
      <c r="Z2304" s="20"/>
      <c r="AA2304" s="20"/>
    </row>
    <row r="2305" spans="1:27" ht="409.6" x14ac:dyDescent="0.25">
      <c r="A2305" s="16"/>
      <c r="B2305" s="20" t="b">
        <v>0</v>
      </c>
      <c r="C2305" s="20">
        <v>300</v>
      </c>
      <c r="D2305" s="2" t="s">
        <v>4838</v>
      </c>
      <c r="E2305" s="2" t="s">
        <v>4571</v>
      </c>
      <c r="F2305" s="20" t="s">
        <v>56</v>
      </c>
      <c r="G2305" s="2" t="s">
        <v>4839</v>
      </c>
      <c r="H2305" s="16"/>
      <c r="I2305" s="20"/>
      <c r="J2305" s="20"/>
      <c r="K2305" s="20"/>
      <c r="L2305" s="20"/>
      <c r="M2305" s="20"/>
      <c r="N2305" s="20"/>
      <c r="O2305" s="20"/>
      <c r="P2305" s="20"/>
      <c r="Q2305" s="20"/>
      <c r="R2305" s="20"/>
      <c r="S2305" s="20"/>
      <c r="T2305" s="20"/>
      <c r="U2305" s="20"/>
      <c r="V2305" s="20"/>
      <c r="W2305" s="20"/>
      <c r="X2305" s="20"/>
      <c r="Y2305" s="20"/>
      <c r="Z2305" s="20"/>
      <c r="AA2305" s="20"/>
    </row>
    <row r="2306" spans="1:27" ht="409.6" x14ac:dyDescent="0.25">
      <c r="A2306" s="16"/>
      <c r="B2306" s="20" t="b">
        <v>0</v>
      </c>
      <c r="C2306" s="20">
        <v>600</v>
      </c>
      <c r="D2306" s="2" t="s">
        <v>4840</v>
      </c>
      <c r="E2306" s="2" t="s">
        <v>4571</v>
      </c>
      <c r="F2306" s="20" t="s">
        <v>56</v>
      </c>
      <c r="G2306" s="2" t="s">
        <v>4841</v>
      </c>
      <c r="H2306" s="16"/>
      <c r="I2306" s="20"/>
      <c r="J2306" s="20"/>
      <c r="K2306" s="20"/>
      <c r="L2306" s="20"/>
      <c r="M2306" s="20"/>
      <c r="N2306" s="20"/>
      <c r="O2306" s="20"/>
      <c r="P2306" s="20"/>
      <c r="Q2306" s="20"/>
      <c r="R2306" s="20"/>
      <c r="S2306" s="20"/>
      <c r="T2306" s="20"/>
      <c r="U2306" s="20"/>
      <c r="V2306" s="20"/>
      <c r="W2306" s="20"/>
      <c r="X2306" s="20"/>
      <c r="Y2306" s="20"/>
      <c r="Z2306" s="20"/>
      <c r="AA2306" s="20"/>
    </row>
    <row r="2307" spans="1:27" ht="330.6" x14ac:dyDescent="0.25">
      <c r="A2307" s="16"/>
      <c r="B2307" s="20" t="b">
        <v>0</v>
      </c>
      <c r="C2307" s="20">
        <v>0</v>
      </c>
      <c r="D2307" s="2" t="s">
        <v>4842</v>
      </c>
      <c r="E2307" s="2" t="s">
        <v>4571</v>
      </c>
      <c r="F2307" s="20" t="s">
        <v>59</v>
      </c>
      <c r="G2307" s="2" t="s">
        <v>4843</v>
      </c>
      <c r="H2307" s="16"/>
      <c r="I2307" s="20"/>
      <c r="J2307" s="20"/>
      <c r="K2307" s="20"/>
      <c r="L2307" s="20"/>
      <c r="M2307" s="20"/>
      <c r="N2307" s="20"/>
      <c r="O2307" s="20"/>
      <c r="P2307" s="20"/>
      <c r="Q2307" s="20"/>
      <c r="R2307" s="20"/>
      <c r="S2307" s="20"/>
      <c r="T2307" s="20"/>
      <c r="U2307" s="20"/>
      <c r="V2307" s="20"/>
      <c r="W2307" s="20"/>
      <c r="X2307" s="20"/>
      <c r="Y2307" s="20"/>
      <c r="Z2307" s="20"/>
      <c r="AA2307" s="20"/>
    </row>
    <row r="2308" spans="1:27" ht="139.19999999999999" x14ac:dyDescent="0.25">
      <c r="A2308" s="16"/>
      <c r="B2308" s="20" t="b">
        <v>0</v>
      </c>
      <c r="C2308" s="20">
        <v>0</v>
      </c>
      <c r="D2308" s="2" t="s">
        <v>4844</v>
      </c>
      <c r="E2308" s="2" t="s">
        <v>4571</v>
      </c>
      <c r="F2308" s="20" t="s">
        <v>59</v>
      </c>
      <c r="G2308" s="2" t="s">
        <v>4845</v>
      </c>
      <c r="H2308" s="16"/>
      <c r="I2308" s="20"/>
      <c r="J2308" s="20"/>
      <c r="K2308" s="20"/>
      <c r="L2308" s="20"/>
      <c r="M2308" s="20"/>
      <c r="N2308" s="20"/>
      <c r="O2308" s="20"/>
      <c r="P2308" s="20"/>
      <c r="Q2308" s="20"/>
      <c r="R2308" s="20"/>
      <c r="S2308" s="20"/>
      <c r="T2308" s="20"/>
      <c r="U2308" s="20"/>
      <c r="V2308" s="20"/>
      <c r="W2308" s="20"/>
      <c r="X2308" s="20"/>
      <c r="Y2308" s="20"/>
      <c r="Z2308" s="20"/>
      <c r="AA2308" s="20"/>
    </row>
    <row r="2309" spans="1:27" ht="226.2" x14ac:dyDescent="0.25">
      <c r="A2309" s="16"/>
      <c r="B2309" s="20" t="b">
        <v>0</v>
      </c>
      <c r="C2309" s="20" t="s">
        <v>4846</v>
      </c>
      <c r="D2309" s="2" t="s">
        <v>4847</v>
      </c>
      <c r="E2309" s="2" t="s">
        <v>4571</v>
      </c>
      <c r="F2309" s="20" t="s">
        <v>59</v>
      </c>
      <c r="G2309" s="2" t="s">
        <v>4848</v>
      </c>
      <c r="H2309" s="16"/>
      <c r="I2309" s="20"/>
      <c r="J2309" s="20"/>
      <c r="K2309" s="20"/>
      <c r="L2309" s="20"/>
      <c r="M2309" s="20"/>
      <c r="N2309" s="20"/>
      <c r="O2309" s="20"/>
      <c r="P2309" s="20"/>
      <c r="Q2309" s="20"/>
      <c r="R2309" s="20"/>
      <c r="S2309" s="20"/>
      <c r="T2309" s="20"/>
      <c r="U2309" s="20"/>
      <c r="V2309" s="20"/>
      <c r="W2309" s="20"/>
      <c r="X2309" s="20"/>
      <c r="Y2309" s="20"/>
      <c r="Z2309" s="20"/>
      <c r="AA2309" s="20"/>
    </row>
    <row r="2310" spans="1:27" ht="104.4" x14ac:dyDescent="0.25">
      <c r="A2310" s="16"/>
      <c r="B2310" s="20" t="b">
        <v>0</v>
      </c>
      <c r="C2310" s="20">
        <v>50</v>
      </c>
      <c r="D2310" s="2" t="s">
        <v>4849</v>
      </c>
      <c r="E2310" s="2" t="s">
        <v>4571</v>
      </c>
      <c r="F2310" s="20" t="s">
        <v>59</v>
      </c>
      <c r="G2310" s="2" t="s">
        <v>4850</v>
      </c>
      <c r="H2310" s="16"/>
      <c r="I2310" s="20"/>
      <c r="J2310" s="20"/>
      <c r="K2310" s="20"/>
      <c r="L2310" s="20"/>
      <c r="M2310" s="20"/>
      <c r="N2310" s="20"/>
      <c r="O2310" s="20"/>
      <c r="P2310" s="20"/>
      <c r="Q2310" s="20"/>
      <c r="R2310" s="20"/>
      <c r="S2310" s="20"/>
      <c r="T2310" s="20"/>
      <c r="U2310" s="20"/>
      <c r="V2310" s="20"/>
      <c r="W2310" s="20"/>
      <c r="X2310" s="20"/>
      <c r="Y2310" s="20"/>
      <c r="Z2310" s="20"/>
      <c r="AA2310" s="20"/>
    </row>
    <row r="2311" spans="1:27" ht="174" x14ac:dyDescent="0.25">
      <c r="A2311" s="16"/>
      <c r="B2311" s="20" t="b">
        <v>0</v>
      </c>
      <c r="C2311" s="20">
        <v>50</v>
      </c>
      <c r="D2311" s="2" t="s">
        <v>4851</v>
      </c>
      <c r="E2311" s="2" t="s">
        <v>4571</v>
      </c>
      <c r="F2311" s="20" t="s">
        <v>62</v>
      </c>
      <c r="G2311" s="2" t="s">
        <v>4852</v>
      </c>
      <c r="H2311" s="16"/>
      <c r="I2311" s="20"/>
      <c r="J2311" s="20"/>
      <c r="K2311" s="20"/>
      <c r="L2311" s="20"/>
      <c r="M2311" s="20"/>
      <c r="N2311" s="20"/>
      <c r="O2311" s="20"/>
      <c r="P2311" s="20"/>
      <c r="Q2311" s="20"/>
      <c r="R2311" s="20"/>
      <c r="S2311" s="20"/>
      <c r="T2311" s="20"/>
      <c r="U2311" s="20"/>
      <c r="V2311" s="20"/>
      <c r="W2311" s="20"/>
      <c r="X2311" s="20"/>
      <c r="Y2311" s="20"/>
      <c r="Z2311" s="20"/>
      <c r="AA2311" s="20"/>
    </row>
    <row r="2312" spans="1:27" ht="278.39999999999998" x14ac:dyDescent="0.25">
      <c r="A2312" s="16"/>
      <c r="B2312" s="20" t="b">
        <v>0</v>
      </c>
      <c r="C2312" s="20">
        <v>50</v>
      </c>
      <c r="D2312" s="2" t="s">
        <v>4853</v>
      </c>
      <c r="E2312" s="2" t="s">
        <v>4571</v>
      </c>
      <c r="F2312" s="20" t="s">
        <v>56</v>
      </c>
      <c r="G2312" s="2" t="s">
        <v>4854</v>
      </c>
      <c r="H2312" s="16"/>
      <c r="I2312" s="20"/>
      <c r="J2312" s="20"/>
      <c r="K2312" s="20"/>
      <c r="L2312" s="20"/>
      <c r="M2312" s="20"/>
      <c r="N2312" s="20"/>
      <c r="O2312" s="20"/>
      <c r="P2312" s="20"/>
      <c r="Q2312" s="20"/>
      <c r="R2312" s="20"/>
      <c r="S2312" s="20"/>
      <c r="T2312" s="20"/>
      <c r="U2312" s="20"/>
      <c r="V2312" s="20"/>
      <c r="W2312" s="20"/>
      <c r="X2312" s="20"/>
      <c r="Y2312" s="20"/>
      <c r="Z2312" s="20"/>
      <c r="AA2312" s="20"/>
    </row>
    <row r="2313" spans="1:27" ht="34.799999999999997" x14ac:dyDescent="0.25">
      <c r="A2313" s="16"/>
      <c r="B2313" s="20" t="b">
        <v>0</v>
      </c>
      <c r="C2313" s="20">
        <v>100</v>
      </c>
      <c r="D2313" s="2" t="s">
        <v>4855</v>
      </c>
      <c r="E2313" s="2" t="s">
        <v>4571</v>
      </c>
      <c r="F2313" s="20" t="s">
        <v>64</v>
      </c>
      <c r="G2313" s="2" t="s">
        <v>4856</v>
      </c>
      <c r="H2313" s="16"/>
      <c r="I2313" s="20"/>
      <c r="J2313" s="20"/>
      <c r="K2313" s="20"/>
      <c r="L2313" s="20"/>
      <c r="M2313" s="20"/>
      <c r="N2313" s="20"/>
      <c r="O2313" s="20"/>
      <c r="P2313" s="20"/>
      <c r="Q2313" s="20"/>
      <c r="R2313" s="20"/>
      <c r="S2313" s="20"/>
      <c r="T2313" s="20"/>
      <c r="U2313" s="20"/>
      <c r="V2313" s="20"/>
      <c r="W2313" s="20"/>
      <c r="X2313" s="20"/>
      <c r="Y2313" s="20"/>
      <c r="Z2313" s="20"/>
      <c r="AA2313" s="20"/>
    </row>
    <row r="2314" spans="1:27" ht="139.19999999999999" x14ac:dyDescent="0.25">
      <c r="A2314" s="16"/>
      <c r="B2314" s="20" t="b">
        <v>0</v>
      </c>
      <c r="C2314" s="20">
        <v>100</v>
      </c>
      <c r="D2314" s="2" t="s">
        <v>4857</v>
      </c>
      <c r="E2314" s="2" t="s">
        <v>4571</v>
      </c>
      <c r="F2314" s="20" t="s">
        <v>57</v>
      </c>
      <c r="G2314" s="2" t="s">
        <v>4858</v>
      </c>
      <c r="H2314" s="16"/>
      <c r="I2314" s="20"/>
      <c r="J2314" s="20"/>
      <c r="K2314" s="20"/>
      <c r="L2314" s="20"/>
      <c r="M2314" s="20"/>
      <c r="N2314" s="20"/>
      <c r="O2314" s="20"/>
      <c r="P2314" s="20"/>
      <c r="Q2314" s="20"/>
      <c r="R2314" s="20"/>
      <c r="S2314" s="20"/>
      <c r="T2314" s="20"/>
      <c r="U2314" s="20"/>
      <c r="V2314" s="20"/>
      <c r="W2314" s="20"/>
      <c r="X2314" s="20"/>
      <c r="Y2314" s="20"/>
      <c r="Z2314" s="20"/>
      <c r="AA2314" s="20"/>
    </row>
    <row r="2315" spans="1:27" ht="409.6" x14ac:dyDescent="0.25">
      <c r="A2315" s="16"/>
      <c r="B2315" s="20" t="b">
        <v>0</v>
      </c>
      <c r="C2315" s="20" t="s">
        <v>4859</v>
      </c>
      <c r="D2315" s="2" t="s">
        <v>4860</v>
      </c>
      <c r="E2315" s="2" t="s">
        <v>4571</v>
      </c>
      <c r="F2315" s="20" t="s">
        <v>59</v>
      </c>
      <c r="G2315" s="2" t="s">
        <v>4861</v>
      </c>
      <c r="H2315" s="16"/>
      <c r="I2315" s="20"/>
      <c r="J2315" s="20"/>
      <c r="K2315" s="20"/>
      <c r="L2315" s="20"/>
      <c r="M2315" s="20"/>
      <c r="N2315" s="20"/>
      <c r="O2315" s="20"/>
      <c r="P2315" s="20"/>
      <c r="Q2315" s="20"/>
      <c r="R2315" s="20"/>
      <c r="S2315" s="20"/>
      <c r="T2315" s="20"/>
      <c r="U2315" s="20"/>
      <c r="V2315" s="20"/>
      <c r="W2315" s="20"/>
      <c r="X2315" s="20"/>
      <c r="Y2315" s="20"/>
      <c r="Z2315" s="20"/>
      <c r="AA2315" s="20"/>
    </row>
    <row r="2316" spans="1:27" ht="313.2" x14ac:dyDescent="0.25">
      <c r="A2316" s="16"/>
      <c r="B2316" s="20" t="b">
        <v>0</v>
      </c>
      <c r="C2316" s="20">
        <v>150</v>
      </c>
      <c r="D2316" s="2" t="s">
        <v>4862</v>
      </c>
      <c r="E2316" s="2" t="s">
        <v>4571</v>
      </c>
      <c r="F2316" s="20" t="s">
        <v>58</v>
      </c>
      <c r="G2316" s="2" t="s">
        <v>4863</v>
      </c>
      <c r="H2316" s="16"/>
      <c r="I2316" s="20"/>
      <c r="J2316" s="20"/>
      <c r="K2316" s="20"/>
      <c r="L2316" s="20"/>
      <c r="M2316" s="20"/>
      <c r="N2316" s="20"/>
      <c r="O2316" s="20"/>
      <c r="P2316" s="20"/>
      <c r="Q2316" s="20"/>
      <c r="R2316" s="20"/>
      <c r="S2316" s="20"/>
      <c r="T2316" s="20"/>
      <c r="U2316" s="20"/>
      <c r="V2316" s="20"/>
      <c r="W2316" s="20"/>
      <c r="X2316" s="20"/>
      <c r="Y2316" s="20"/>
      <c r="Z2316" s="20"/>
      <c r="AA2316" s="20"/>
    </row>
    <row r="2317" spans="1:27" ht="156.6" x14ac:dyDescent="0.25">
      <c r="A2317" s="16"/>
      <c r="B2317" s="20" t="b">
        <v>0</v>
      </c>
      <c r="C2317" s="20">
        <v>150</v>
      </c>
      <c r="D2317" s="2" t="s">
        <v>4864</v>
      </c>
      <c r="E2317" s="2" t="s">
        <v>4571</v>
      </c>
      <c r="F2317" s="20" t="s">
        <v>64</v>
      </c>
      <c r="G2317" s="2" t="s">
        <v>4865</v>
      </c>
      <c r="H2317" s="16"/>
      <c r="I2317" s="20"/>
      <c r="J2317" s="20"/>
      <c r="K2317" s="20"/>
      <c r="L2317" s="20"/>
      <c r="M2317" s="20"/>
      <c r="N2317" s="20"/>
      <c r="O2317" s="20"/>
      <c r="P2317" s="20"/>
      <c r="Q2317" s="20"/>
      <c r="R2317" s="20"/>
      <c r="S2317" s="20"/>
      <c r="T2317" s="20"/>
      <c r="U2317" s="20"/>
      <c r="V2317" s="20"/>
      <c r="W2317" s="20"/>
      <c r="X2317" s="20"/>
      <c r="Y2317" s="20"/>
      <c r="Z2317" s="20"/>
      <c r="AA2317" s="20"/>
    </row>
    <row r="2318" spans="1:27" ht="313.2" x14ac:dyDescent="0.25">
      <c r="A2318" s="16"/>
      <c r="B2318" s="20" t="b">
        <v>0</v>
      </c>
      <c r="C2318" s="20">
        <v>150</v>
      </c>
      <c r="D2318" s="2" t="s">
        <v>4866</v>
      </c>
      <c r="E2318" s="2" t="s">
        <v>4571</v>
      </c>
      <c r="F2318" s="20" t="s">
        <v>59</v>
      </c>
      <c r="G2318" s="2" t="s">
        <v>4867</v>
      </c>
      <c r="H2318" s="16"/>
      <c r="I2318" s="20"/>
      <c r="J2318" s="20"/>
      <c r="K2318" s="20"/>
      <c r="L2318" s="20"/>
      <c r="M2318" s="20"/>
      <c r="N2318" s="20"/>
      <c r="O2318" s="20"/>
      <c r="P2318" s="20"/>
      <c r="Q2318" s="20"/>
      <c r="R2318" s="20"/>
      <c r="S2318" s="20"/>
      <c r="T2318" s="20"/>
      <c r="U2318" s="20"/>
      <c r="V2318" s="20"/>
      <c r="W2318" s="20"/>
      <c r="X2318" s="20"/>
      <c r="Y2318" s="20"/>
      <c r="Z2318" s="20"/>
      <c r="AA2318" s="20"/>
    </row>
    <row r="2319" spans="1:27" ht="400.2" x14ac:dyDescent="0.25">
      <c r="A2319" s="16"/>
      <c r="B2319" s="20" t="b">
        <v>0</v>
      </c>
      <c r="C2319" s="20">
        <v>150</v>
      </c>
      <c r="D2319" s="2" t="s">
        <v>4868</v>
      </c>
      <c r="E2319" s="2" t="s">
        <v>4571</v>
      </c>
      <c r="F2319" s="20" t="s">
        <v>61</v>
      </c>
      <c r="G2319" s="2" t="s">
        <v>4869</v>
      </c>
      <c r="H2319" s="16"/>
      <c r="I2319" s="20"/>
      <c r="J2319" s="20"/>
      <c r="K2319" s="20"/>
      <c r="L2319" s="20"/>
      <c r="M2319" s="20"/>
      <c r="N2319" s="20"/>
      <c r="O2319" s="20"/>
      <c r="P2319" s="20"/>
      <c r="Q2319" s="20"/>
      <c r="R2319" s="20"/>
      <c r="S2319" s="20"/>
      <c r="T2319" s="20"/>
      <c r="U2319" s="20"/>
      <c r="V2319" s="20"/>
      <c r="W2319" s="20"/>
      <c r="X2319" s="20"/>
      <c r="Y2319" s="20"/>
      <c r="Z2319" s="20"/>
      <c r="AA2319" s="20"/>
    </row>
    <row r="2320" spans="1:27" ht="261" x14ac:dyDescent="0.25">
      <c r="A2320" s="16"/>
      <c r="B2320" s="20" t="b">
        <v>0</v>
      </c>
      <c r="C2320" s="20">
        <v>150</v>
      </c>
      <c r="D2320" s="2" t="s">
        <v>4870</v>
      </c>
      <c r="E2320" s="2" t="s">
        <v>4571</v>
      </c>
      <c r="F2320" s="20" t="s">
        <v>62</v>
      </c>
      <c r="G2320" s="2" t="s">
        <v>4871</v>
      </c>
      <c r="H2320" s="16"/>
      <c r="I2320" s="20"/>
      <c r="J2320" s="20"/>
      <c r="K2320" s="20"/>
      <c r="L2320" s="20"/>
      <c r="M2320" s="20"/>
      <c r="N2320" s="20"/>
      <c r="O2320" s="20"/>
      <c r="P2320" s="20"/>
      <c r="Q2320" s="20"/>
      <c r="R2320" s="20"/>
      <c r="S2320" s="20"/>
      <c r="T2320" s="20"/>
      <c r="U2320" s="20"/>
      <c r="V2320" s="20"/>
      <c r="W2320" s="20"/>
      <c r="X2320" s="20"/>
      <c r="Y2320" s="20"/>
      <c r="Z2320" s="20"/>
      <c r="AA2320" s="20"/>
    </row>
    <row r="2321" spans="1:27" ht="365.4" x14ac:dyDescent="0.25">
      <c r="A2321" s="16"/>
      <c r="B2321" s="20" t="b">
        <v>0</v>
      </c>
      <c r="C2321" s="20">
        <v>150</v>
      </c>
      <c r="D2321" s="2" t="s">
        <v>4872</v>
      </c>
      <c r="E2321" s="2" t="s">
        <v>4571</v>
      </c>
      <c r="F2321" s="20" t="s">
        <v>59</v>
      </c>
      <c r="G2321" s="2" t="s">
        <v>4873</v>
      </c>
      <c r="H2321" s="16"/>
      <c r="I2321" s="20"/>
      <c r="J2321" s="20"/>
      <c r="K2321" s="20"/>
      <c r="L2321" s="20"/>
      <c r="M2321" s="20"/>
      <c r="N2321" s="20"/>
      <c r="O2321" s="20"/>
      <c r="P2321" s="20"/>
      <c r="Q2321" s="20"/>
      <c r="R2321" s="20"/>
      <c r="S2321" s="20"/>
      <c r="T2321" s="20"/>
      <c r="U2321" s="20"/>
      <c r="V2321" s="20"/>
      <c r="W2321" s="20"/>
      <c r="X2321" s="20"/>
      <c r="Y2321" s="20"/>
      <c r="Z2321" s="20"/>
      <c r="AA2321" s="20"/>
    </row>
    <row r="2322" spans="1:27" ht="87" x14ac:dyDescent="0.25">
      <c r="A2322" s="16"/>
      <c r="B2322" s="20" t="b">
        <v>0</v>
      </c>
      <c r="C2322" s="20">
        <v>150</v>
      </c>
      <c r="D2322" s="2" t="s">
        <v>4874</v>
      </c>
      <c r="E2322" s="2" t="s">
        <v>4571</v>
      </c>
      <c r="F2322" s="20" t="s">
        <v>59</v>
      </c>
      <c r="G2322" s="2" t="s">
        <v>4875</v>
      </c>
      <c r="H2322" s="16"/>
      <c r="I2322" s="20"/>
      <c r="J2322" s="20"/>
      <c r="K2322" s="20"/>
      <c r="L2322" s="20"/>
      <c r="M2322" s="20"/>
      <c r="N2322" s="20"/>
      <c r="O2322" s="20"/>
      <c r="P2322" s="20"/>
      <c r="Q2322" s="20"/>
      <c r="R2322" s="20"/>
      <c r="S2322" s="20"/>
      <c r="T2322" s="20"/>
      <c r="U2322" s="20"/>
      <c r="V2322" s="20"/>
      <c r="W2322" s="20"/>
      <c r="X2322" s="20"/>
      <c r="Y2322" s="20"/>
      <c r="Z2322" s="20"/>
      <c r="AA2322" s="20"/>
    </row>
    <row r="2323" spans="1:27" ht="313.2" x14ac:dyDescent="0.25">
      <c r="A2323" s="16"/>
      <c r="B2323" s="20" t="b">
        <v>0</v>
      </c>
      <c r="C2323" s="20">
        <v>150</v>
      </c>
      <c r="D2323" s="2" t="s">
        <v>4876</v>
      </c>
      <c r="E2323" s="2" t="s">
        <v>4571</v>
      </c>
      <c r="F2323" s="20" t="s">
        <v>62</v>
      </c>
      <c r="G2323" s="2" t="s">
        <v>4877</v>
      </c>
      <c r="H2323" s="16"/>
      <c r="I2323" s="20"/>
      <c r="J2323" s="20"/>
      <c r="K2323" s="20"/>
      <c r="L2323" s="20"/>
      <c r="M2323" s="20"/>
      <c r="N2323" s="20"/>
      <c r="O2323" s="20"/>
      <c r="P2323" s="20"/>
      <c r="Q2323" s="20"/>
      <c r="R2323" s="20"/>
      <c r="S2323" s="20"/>
      <c r="T2323" s="20"/>
      <c r="U2323" s="20"/>
      <c r="V2323" s="20"/>
      <c r="W2323" s="20"/>
      <c r="X2323" s="20"/>
      <c r="Y2323" s="20"/>
      <c r="Z2323" s="20"/>
      <c r="AA2323" s="20"/>
    </row>
    <row r="2324" spans="1:27" ht="278.39999999999998" x14ac:dyDescent="0.25">
      <c r="A2324" s="16"/>
      <c r="B2324" s="20" t="b">
        <v>0</v>
      </c>
      <c r="C2324" s="20">
        <v>200</v>
      </c>
      <c r="D2324" s="2" t="s">
        <v>4878</v>
      </c>
      <c r="E2324" s="2" t="s">
        <v>4571</v>
      </c>
      <c r="F2324" s="20" t="s">
        <v>64</v>
      </c>
      <c r="G2324" s="2" t="s">
        <v>4879</v>
      </c>
      <c r="H2324" s="16"/>
      <c r="I2324" s="20"/>
      <c r="J2324" s="20"/>
      <c r="K2324" s="20"/>
      <c r="L2324" s="20"/>
      <c r="M2324" s="20"/>
      <c r="N2324" s="20"/>
      <c r="O2324" s="20"/>
      <c r="P2324" s="20"/>
      <c r="Q2324" s="20"/>
      <c r="R2324" s="20"/>
      <c r="S2324" s="20"/>
      <c r="T2324" s="20"/>
      <c r="U2324" s="20"/>
      <c r="V2324" s="20"/>
      <c r="W2324" s="20"/>
      <c r="X2324" s="20"/>
      <c r="Y2324" s="20"/>
      <c r="Z2324" s="20"/>
      <c r="AA2324" s="20"/>
    </row>
    <row r="2325" spans="1:27" ht="278.39999999999998" x14ac:dyDescent="0.25">
      <c r="A2325" s="16"/>
      <c r="B2325" s="20" t="b">
        <v>0</v>
      </c>
      <c r="C2325" s="20">
        <v>200</v>
      </c>
      <c r="D2325" s="2" t="s">
        <v>4880</v>
      </c>
      <c r="E2325" s="2" t="s">
        <v>4571</v>
      </c>
      <c r="F2325" s="20" t="s">
        <v>59</v>
      </c>
      <c r="G2325" s="2" t="s">
        <v>4881</v>
      </c>
      <c r="H2325" s="16"/>
      <c r="I2325" s="20"/>
      <c r="J2325" s="20"/>
      <c r="K2325" s="20"/>
      <c r="L2325" s="20"/>
      <c r="M2325" s="20"/>
      <c r="N2325" s="20"/>
      <c r="O2325" s="20"/>
      <c r="P2325" s="20"/>
      <c r="Q2325" s="20"/>
      <c r="R2325" s="20"/>
      <c r="S2325" s="20"/>
      <c r="T2325" s="20"/>
      <c r="U2325" s="20"/>
      <c r="V2325" s="20"/>
      <c r="W2325" s="20"/>
      <c r="X2325" s="20"/>
      <c r="Y2325" s="20"/>
      <c r="Z2325" s="20"/>
      <c r="AA2325" s="20"/>
    </row>
    <row r="2326" spans="1:27" ht="313.2" x14ac:dyDescent="0.25">
      <c r="A2326" s="16"/>
      <c r="B2326" s="20" t="b">
        <v>0</v>
      </c>
      <c r="C2326" s="20">
        <v>200</v>
      </c>
      <c r="D2326" s="2" t="s">
        <v>4882</v>
      </c>
      <c r="E2326" s="2" t="s">
        <v>4571</v>
      </c>
      <c r="F2326" s="20" t="s">
        <v>59</v>
      </c>
      <c r="G2326" s="2" t="s">
        <v>4883</v>
      </c>
      <c r="H2326" s="16"/>
      <c r="I2326" s="20"/>
      <c r="J2326" s="20"/>
      <c r="K2326" s="20"/>
      <c r="L2326" s="20"/>
      <c r="M2326" s="20"/>
      <c r="N2326" s="20"/>
      <c r="O2326" s="20"/>
      <c r="P2326" s="20"/>
      <c r="Q2326" s="20"/>
      <c r="R2326" s="20"/>
      <c r="S2326" s="20"/>
      <c r="T2326" s="20"/>
      <c r="U2326" s="20"/>
      <c r="V2326" s="20"/>
      <c r="W2326" s="20"/>
      <c r="X2326" s="20"/>
      <c r="Y2326" s="20"/>
      <c r="Z2326" s="20"/>
      <c r="AA2326" s="20"/>
    </row>
    <row r="2327" spans="1:27" ht="191.4" x14ac:dyDescent="0.25">
      <c r="A2327" s="16"/>
      <c r="B2327" s="20" t="b">
        <v>0</v>
      </c>
      <c r="C2327" s="20">
        <v>200</v>
      </c>
      <c r="D2327" s="2" t="s">
        <v>4884</v>
      </c>
      <c r="E2327" s="2" t="s">
        <v>4571</v>
      </c>
      <c r="F2327" s="20" t="s">
        <v>59</v>
      </c>
      <c r="G2327" s="2" t="s">
        <v>4885</v>
      </c>
      <c r="H2327" s="16"/>
      <c r="I2327" s="20"/>
      <c r="J2327" s="20"/>
      <c r="K2327" s="20"/>
      <c r="L2327" s="20"/>
      <c r="M2327" s="20"/>
      <c r="N2327" s="20"/>
      <c r="O2327" s="20"/>
      <c r="P2327" s="20"/>
      <c r="Q2327" s="20"/>
      <c r="R2327" s="20"/>
      <c r="S2327" s="20"/>
      <c r="T2327" s="20"/>
      <c r="U2327" s="20"/>
      <c r="V2327" s="20"/>
      <c r="W2327" s="20"/>
      <c r="X2327" s="20"/>
      <c r="Y2327" s="20"/>
      <c r="Z2327" s="20"/>
      <c r="AA2327" s="20"/>
    </row>
    <row r="2328" spans="1:27" ht="409.6" x14ac:dyDescent="0.25">
      <c r="A2328" s="16"/>
      <c r="B2328" s="20" t="b">
        <v>0</v>
      </c>
      <c r="C2328" s="20">
        <v>200</v>
      </c>
      <c r="D2328" s="2" t="s">
        <v>4886</v>
      </c>
      <c r="E2328" s="2" t="s">
        <v>4571</v>
      </c>
      <c r="F2328" s="20" t="s">
        <v>64</v>
      </c>
      <c r="G2328" s="2" t="s">
        <v>4887</v>
      </c>
      <c r="H2328" s="16"/>
      <c r="I2328" s="20"/>
      <c r="J2328" s="20"/>
      <c r="K2328" s="20"/>
      <c r="L2328" s="20"/>
      <c r="M2328" s="20"/>
      <c r="N2328" s="20"/>
      <c r="O2328" s="20"/>
      <c r="P2328" s="20"/>
      <c r="Q2328" s="20"/>
      <c r="R2328" s="20"/>
      <c r="S2328" s="20"/>
      <c r="T2328" s="20"/>
      <c r="U2328" s="20"/>
      <c r="V2328" s="20"/>
      <c r="W2328" s="20"/>
      <c r="X2328" s="20"/>
      <c r="Y2328" s="20"/>
      <c r="Z2328" s="20"/>
      <c r="AA2328" s="20"/>
    </row>
    <row r="2329" spans="1:27" ht="348" x14ac:dyDescent="0.25">
      <c r="A2329" s="16"/>
      <c r="B2329" s="20" t="b">
        <v>0</v>
      </c>
      <c r="C2329" s="20">
        <v>250</v>
      </c>
      <c r="D2329" s="2" t="s">
        <v>4888</v>
      </c>
      <c r="E2329" s="2" t="s">
        <v>4571</v>
      </c>
      <c r="F2329" s="20" t="s">
        <v>64</v>
      </c>
      <c r="G2329" s="2" t="s">
        <v>4889</v>
      </c>
      <c r="H2329" s="16"/>
      <c r="I2329" s="20"/>
      <c r="J2329" s="20"/>
      <c r="K2329" s="20"/>
      <c r="L2329" s="20"/>
      <c r="M2329" s="20"/>
      <c r="N2329" s="20"/>
      <c r="O2329" s="20"/>
      <c r="P2329" s="20"/>
      <c r="Q2329" s="20"/>
      <c r="R2329" s="20"/>
      <c r="S2329" s="20"/>
      <c r="T2329" s="20"/>
      <c r="U2329" s="20"/>
      <c r="V2329" s="20"/>
      <c r="W2329" s="20"/>
      <c r="X2329" s="20"/>
      <c r="Y2329" s="20"/>
      <c r="Z2329" s="20"/>
      <c r="AA2329" s="20"/>
    </row>
    <row r="2330" spans="1:27" ht="348" x14ac:dyDescent="0.25">
      <c r="A2330" s="16"/>
      <c r="B2330" s="20" t="b">
        <v>0</v>
      </c>
      <c r="C2330" s="20">
        <v>250</v>
      </c>
      <c r="D2330" s="2" t="s">
        <v>4890</v>
      </c>
      <c r="E2330" s="2" t="s">
        <v>4571</v>
      </c>
      <c r="F2330" s="20" t="s">
        <v>60</v>
      </c>
      <c r="G2330" s="2" t="s">
        <v>4891</v>
      </c>
      <c r="H2330" s="16"/>
      <c r="I2330" s="20"/>
      <c r="J2330" s="20"/>
      <c r="K2330" s="20"/>
      <c r="L2330" s="20"/>
      <c r="M2330" s="20"/>
      <c r="N2330" s="20"/>
      <c r="O2330" s="20"/>
      <c r="P2330" s="20"/>
      <c r="Q2330" s="20"/>
      <c r="R2330" s="20"/>
      <c r="S2330" s="20"/>
      <c r="T2330" s="20"/>
      <c r="U2330" s="20"/>
      <c r="V2330" s="20"/>
      <c r="W2330" s="20"/>
      <c r="X2330" s="20"/>
      <c r="Y2330" s="20"/>
      <c r="Z2330" s="20"/>
      <c r="AA2330" s="20"/>
    </row>
    <row r="2331" spans="1:27" ht="278.39999999999998" x14ac:dyDescent="0.25">
      <c r="A2331" s="16"/>
      <c r="B2331" s="20" t="b">
        <v>0</v>
      </c>
      <c r="C2331" s="20">
        <v>250</v>
      </c>
      <c r="D2331" s="2" t="s">
        <v>4892</v>
      </c>
      <c r="E2331" s="2" t="s">
        <v>4571</v>
      </c>
      <c r="F2331" s="20" t="s">
        <v>58</v>
      </c>
      <c r="G2331" s="2" t="s">
        <v>4893</v>
      </c>
      <c r="H2331" s="16"/>
      <c r="I2331" s="20"/>
      <c r="J2331" s="20"/>
      <c r="K2331" s="20"/>
      <c r="L2331" s="20"/>
      <c r="M2331" s="20"/>
      <c r="N2331" s="20"/>
      <c r="O2331" s="20"/>
      <c r="P2331" s="20"/>
      <c r="Q2331" s="20"/>
      <c r="R2331" s="20"/>
      <c r="S2331" s="20"/>
      <c r="T2331" s="20"/>
      <c r="U2331" s="20"/>
      <c r="V2331" s="20"/>
      <c r="W2331" s="20"/>
      <c r="X2331" s="20"/>
      <c r="Y2331" s="20"/>
      <c r="Z2331" s="20"/>
      <c r="AA2331" s="20"/>
    </row>
    <row r="2332" spans="1:27" ht="156.6" x14ac:dyDescent="0.25">
      <c r="A2332" s="16"/>
      <c r="B2332" s="20" t="b">
        <v>0</v>
      </c>
      <c r="C2332" s="20">
        <v>250</v>
      </c>
      <c r="D2332" s="2" t="s">
        <v>4894</v>
      </c>
      <c r="E2332" s="2" t="s">
        <v>4571</v>
      </c>
      <c r="F2332" s="20" t="s">
        <v>59</v>
      </c>
      <c r="G2332" s="2" t="s">
        <v>4895</v>
      </c>
      <c r="H2332" s="16"/>
      <c r="I2332" s="20"/>
      <c r="J2332" s="20"/>
      <c r="K2332" s="20"/>
      <c r="L2332" s="20"/>
      <c r="M2332" s="20"/>
      <c r="N2332" s="20"/>
      <c r="O2332" s="20"/>
      <c r="P2332" s="20"/>
      <c r="Q2332" s="20"/>
      <c r="R2332" s="20"/>
      <c r="S2332" s="20"/>
      <c r="T2332" s="20"/>
      <c r="U2332" s="20"/>
      <c r="V2332" s="20"/>
      <c r="W2332" s="20"/>
      <c r="X2332" s="20"/>
      <c r="Y2332" s="20"/>
      <c r="Z2332" s="20"/>
      <c r="AA2332" s="20"/>
    </row>
    <row r="2333" spans="1:27" ht="409.6" x14ac:dyDescent="0.25">
      <c r="A2333" s="16"/>
      <c r="B2333" s="20" t="b">
        <v>0</v>
      </c>
      <c r="C2333" s="20">
        <v>300</v>
      </c>
      <c r="D2333" s="2" t="s">
        <v>4896</v>
      </c>
      <c r="E2333" s="2" t="s">
        <v>4571</v>
      </c>
      <c r="F2333" s="20" t="s">
        <v>59</v>
      </c>
      <c r="G2333" s="2" t="s">
        <v>4897</v>
      </c>
      <c r="H2333" s="16"/>
      <c r="I2333" s="20"/>
      <c r="J2333" s="20"/>
      <c r="K2333" s="20"/>
      <c r="L2333" s="20"/>
      <c r="M2333" s="20"/>
      <c r="N2333" s="20"/>
      <c r="O2333" s="20"/>
      <c r="P2333" s="20"/>
      <c r="Q2333" s="20"/>
      <c r="R2333" s="20"/>
      <c r="S2333" s="20"/>
      <c r="T2333" s="20"/>
      <c r="U2333" s="20"/>
      <c r="V2333" s="20"/>
      <c r="W2333" s="20"/>
      <c r="X2333" s="20"/>
      <c r="Y2333" s="20"/>
      <c r="Z2333" s="20"/>
      <c r="AA2333" s="20"/>
    </row>
    <row r="2334" spans="1:27" ht="243.6" x14ac:dyDescent="0.25">
      <c r="A2334" s="16"/>
      <c r="B2334" s="20" t="b">
        <v>0</v>
      </c>
      <c r="C2334" s="20">
        <v>300</v>
      </c>
      <c r="D2334" s="2" t="s">
        <v>4898</v>
      </c>
      <c r="E2334" s="2" t="s">
        <v>4571</v>
      </c>
      <c r="F2334" s="20" t="s">
        <v>59</v>
      </c>
      <c r="G2334" s="2" t="s">
        <v>4899</v>
      </c>
      <c r="H2334" s="16"/>
      <c r="I2334" s="20"/>
      <c r="J2334" s="20"/>
      <c r="K2334" s="20"/>
      <c r="L2334" s="20"/>
      <c r="M2334" s="20"/>
      <c r="N2334" s="20"/>
      <c r="O2334" s="20"/>
      <c r="P2334" s="20"/>
      <c r="Q2334" s="20"/>
      <c r="R2334" s="20"/>
      <c r="S2334" s="20"/>
      <c r="T2334" s="20"/>
      <c r="U2334" s="20"/>
      <c r="V2334" s="20"/>
      <c r="W2334" s="20"/>
      <c r="X2334" s="20"/>
      <c r="Y2334" s="20"/>
      <c r="Z2334" s="20"/>
      <c r="AA2334" s="20"/>
    </row>
    <row r="2335" spans="1:27" ht="139.19999999999999" x14ac:dyDescent="0.25">
      <c r="A2335" s="16"/>
      <c r="B2335" s="20" t="b">
        <v>0</v>
      </c>
      <c r="C2335" s="20">
        <v>300</v>
      </c>
      <c r="D2335" s="2" t="s">
        <v>4900</v>
      </c>
      <c r="E2335" s="2" t="s">
        <v>4571</v>
      </c>
      <c r="F2335" s="20" t="s">
        <v>59</v>
      </c>
      <c r="G2335" s="2" t="s">
        <v>4901</v>
      </c>
      <c r="H2335" s="16"/>
      <c r="I2335" s="20"/>
      <c r="J2335" s="20"/>
      <c r="K2335" s="20"/>
      <c r="L2335" s="20"/>
      <c r="M2335" s="20"/>
      <c r="N2335" s="20"/>
      <c r="O2335" s="20"/>
      <c r="P2335" s="20"/>
      <c r="Q2335" s="20"/>
      <c r="R2335" s="20"/>
      <c r="S2335" s="20"/>
      <c r="T2335" s="20"/>
      <c r="U2335" s="20"/>
      <c r="V2335" s="20"/>
      <c r="W2335" s="20"/>
      <c r="X2335" s="20"/>
      <c r="Y2335" s="20"/>
      <c r="Z2335" s="20"/>
      <c r="AA2335" s="20"/>
    </row>
    <row r="2336" spans="1:27" ht="121.8" x14ac:dyDescent="0.25">
      <c r="A2336" s="16"/>
      <c r="B2336" s="20" t="b">
        <v>0</v>
      </c>
      <c r="C2336" s="20">
        <v>300</v>
      </c>
      <c r="D2336" s="2" t="s">
        <v>4902</v>
      </c>
      <c r="E2336" s="2" t="s">
        <v>4571</v>
      </c>
      <c r="F2336" s="20" t="s">
        <v>56</v>
      </c>
      <c r="G2336" s="2" t="s">
        <v>4903</v>
      </c>
      <c r="H2336" s="16"/>
      <c r="I2336" s="20"/>
      <c r="J2336" s="20"/>
      <c r="K2336" s="20"/>
      <c r="L2336" s="20"/>
      <c r="M2336" s="20"/>
      <c r="N2336" s="20"/>
      <c r="O2336" s="20"/>
      <c r="P2336" s="20"/>
      <c r="Q2336" s="20"/>
      <c r="R2336" s="20"/>
      <c r="S2336" s="20"/>
      <c r="T2336" s="20"/>
      <c r="U2336" s="20"/>
      <c r="V2336" s="20"/>
      <c r="W2336" s="20"/>
      <c r="X2336" s="20"/>
      <c r="Y2336" s="20"/>
      <c r="Z2336" s="20"/>
      <c r="AA2336" s="20"/>
    </row>
    <row r="2337" spans="1:27" ht="261" x14ac:dyDescent="0.25">
      <c r="A2337" s="16"/>
      <c r="B2337" s="20" t="b">
        <v>0</v>
      </c>
      <c r="C2337" s="20">
        <v>300</v>
      </c>
      <c r="D2337" s="2" t="s">
        <v>4904</v>
      </c>
      <c r="E2337" s="2" t="s">
        <v>4571</v>
      </c>
      <c r="F2337" s="20" t="s">
        <v>64</v>
      </c>
      <c r="G2337" s="2" t="s">
        <v>4905</v>
      </c>
      <c r="H2337" s="16"/>
      <c r="I2337" s="20"/>
      <c r="J2337" s="20"/>
      <c r="K2337" s="20"/>
      <c r="L2337" s="20"/>
      <c r="M2337" s="20"/>
      <c r="N2337" s="20"/>
      <c r="O2337" s="20"/>
      <c r="P2337" s="20"/>
      <c r="Q2337" s="20"/>
      <c r="R2337" s="20"/>
      <c r="S2337" s="20"/>
      <c r="T2337" s="20"/>
      <c r="U2337" s="20"/>
      <c r="V2337" s="20"/>
      <c r="W2337" s="20"/>
      <c r="X2337" s="20"/>
      <c r="Y2337" s="20"/>
      <c r="Z2337" s="20"/>
      <c r="AA2337" s="20"/>
    </row>
    <row r="2338" spans="1:27" ht="409.6" x14ac:dyDescent="0.25">
      <c r="A2338" s="16"/>
      <c r="B2338" s="20" t="b">
        <v>0</v>
      </c>
      <c r="C2338" s="20">
        <v>300</v>
      </c>
      <c r="D2338" s="2" t="s">
        <v>4906</v>
      </c>
      <c r="E2338" s="2" t="s">
        <v>4571</v>
      </c>
      <c r="F2338" s="20" t="s">
        <v>64</v>
      </c>
      <c r="G2338" s="2" t="s">
        <v>4907</v>
      </c>
      <c r="H2338" s="16"/>
      <c r="I2338" s="20"/>
      <c r="J2338" s="20"/>
      <c r="K2338" s="20"/>
      <c r="L2338" s="20"/>
      <c r="M2338" s="20"/>
      <c r="N2338" s="20"/>
      <c r="O2338" s="20"/>
      <c r="P2338" s="20"/>
      <c r="Q2338" s="20"/>
      <c r="R2338" s="20"/>
      <c r="S2338" s="20"/>
      <c r="T2338" s="20"/>
      <c r="U2338" s="20"/>
      <c r="V2338" s="20"/>
      <c r="W2338" s="20"/>
      <c r="X2338" s="20"/>
      <c r="Y2338" s="20"/>
      <c r="Z2338" s="20"/>
      <c r="AA2338" s="20"/>
    </row>
    <row r="2339" spans="1:27" ht="409.6" x14ac:dyDescent="0.25">
      <c r="A2339" s="16"/>
      <c r="B2339" s="20" t="b">
        <v>0</v>
      </c>
      <c r="C2339" s="20">
        <v>300</v>
      </c>
      <c r="D2339" s="2" t="s">
        <v>4908</v>
      </c>
      <c r="E2339" s="2" t="s">
        <v>4571</v>
      </c>
      <c r="F2339" s="20" t="s">
        <v>59</v>
      </c>
      <c r="G2339" s="2" t="s">
        <v>4909</v>
      </c>
      <c r="H2339" s="16"/>
      <c r="I2339" s="20"/>
      <c r="J2339" s="20"/>
      <c r="K2339" s="20"/>
      <c r="L2339" s="20"/>
      <c r="M2339" s="20"/>
      <c r="N2339" s="20"/>
      <c r="O2339" s="20"/>
      <c r="P2339" s="20"/>
      <c r="Q2339" s="20"/>
      <c r="R2339" s="20"/>
      <c r="S2339" s="20"/>
      <c r="T2339" s="20"/>
      <c r="U2339" s="20"/>
      <c r="V2339" s="20"/>
      <c r="W2339" s="20"/>
      <c r="X2339" s="20"/>
      <c r="Y2339" s="20"/>
      <c r="Z2339" s="20"/>
      <c r="AA2339" s="20"/>
    </row>
    <row r="2340" spans="1:27" ht="261" x14ac:dyDescent="0.25">
      <c r="A2340" s="16"/>
      <c r="B2340" s="20" t="b">
        <v>0</v>
      </c>
      <c r="C2340" s="20">
        <v>300</v>
      </c>
      <c r="D2340" s="2" t="s">
        <v>4910</v>
      </c>
      <c r="E2340" s="2" t="s">
        <v>4571</v>
      </c>
      <c r="F2340" s="20" t="s">
        <v>59</v>
      </c>
      <c r="G2340" s="2" t="s">
        <v>4911</v>
      </c>
      <c r="H2340" s="16"/>
      <c r="I2340" s="20"/>
      <c r="J2340" s="20"/>
      <c r="K2340" s="20"/>
      <c r="L2340" s="20"/>
      <c r="M2340" s="20"/>
      <c r="N2340" s="20"/>
      <c r="O2340" s="20"/>
      <c r="P2340" s="20"/>
      <c r="Q2340" s="20"/>
      <c r="R2340" s="20"/>
      <c r="S2340" s="20"/>
      <c r="T2340" s="20"/>
      <c r="U2340" s="20"/>
      <c r="V2340" s="20"/>
      <c r="W2340" s="20"/>
      <c r="X2340" s="20"/>
      <c r="Y2340" s="20"/>
      <c r="Z2340" s="20"/>
      <c r="AA2340" s="20"/>
    </row>
    <row r="2341" spans="1:27" ht="104.4" x14ac:dyDescent="0.25">
      <c r="A2341" s="16"/>
      <c r="B2341" s="20" t="b">
        <v>0</v>
      </c>
      <c r="C2341" s="20">
        <v>200</v>
      </c>
      <c r="D2341" s="2" t="s">
        <v>4912</v>
      </c>
      <c r="E2341" s="2" t="s">
        <v>4571</v>
      </c>
      <c r="F2341" s="20" t="s">
        <v>59</v>
      </c>
      <c r="G2341" s="2" t="s">
        <v>4913</v>
      </c>
      <c r="H2341" s="16"/>
      <c r="I2341" s="20"/>
      <c r="J2341" s="20"/>
      <c r="K2341" s="20"/>
      <c r="L2341" s="20"/>
      <c r="M2341" s="20"/>
      <c r="N2341" s="20"/>
      <c r="O2341" s="20"/>
      <c r="P2341" s="20"/>
      <c r="Q2341" s="20"/>
      <c r="R2341" s="20"/>
      <c r="S2341" s="20"/>
      <c r="T2341" s="20"/>
      <c r="U2341" s="20"/>
      <c r="V2341" s="20"/>
      <c r="W2341" s="20"/>
      <c r="X2341" s="20"/>
      <c r="Y2341" s="20"/>
      <c r="Z2341" s="20"/>
      <c r="AA2341" s="20"/>
    </row>
    <row r="2342" spans="1:27" ht="174" x14ac:dyDescent="0.25">
      <c r="A2342" s="16"/>
      <c r="B2342" s="20" t="b">
        <v>0</v>
      </c>
      <c r="C2342" s="20">
        <v>600</v>
      </c>
      <c r="D2342" s="2" t="s">
        <v>4914</v>
      </c>
      <c r="E2342" s="2" t="s">
        <v>4571</v>
      </c>
      <c r="F2342" s="20" t="s">
        <v>59</v>
      </c>
      <c r="G2342" s="2" t="s">
        <v>4915</v>
      </c>
      <c r="H2342" s="16"/>
      <c r="I2342" s="20"/>
      <c r="J2342" s="20"/>
      <c r="K2342" s="20"/>
      <c r="L2342" s="20"/>
      <c r="M2342" s="20"/>
      <c r="N2342" s="20"/>
      <c r="O2342" s="20"/>
      <c r="P2342" s="20"/>
      <c r="Q2342" s="20"/>
      <c r="R2342" s="20"/>
      <c r="S2342" s="20"/>
      <c r="T2342" s="20"/>
      <c r="U2342" s="20"/>
      <c r="V2342" s="20"/>
      <c r="W2342" s="20"/>
      <c r="X2342" s="20"/>
      <c r="Y2342" s="20"/>
      <c r="Z2342" s="20"/>
      <c r="AA2342" s="20"/>
    </row>
    <row r="2343" spans="1:27" ht="174" x14ac:dyDescent="0.25">
      <c r="A2343" s="16"/>
      <c r="B2343" s="20" t="b">
        <v>0</v>
      </c>
      <c r="C2343" s="20">
        <v>100</v>
      </c>
      <c r="D2343" s="2" t="s">
        <v>4916</v>
      </c>
      <c r="E2343" s="2" t="s">
        <v>4571</v>
      </c>
      <c r="F2343" s="20" t="s">
        <v>61</v>
      </c>
      <c r="G2343" s="2" t="s">
        <v>4917</v>
      </c>
      <c r="H2343" s="16"/>
      <c r="I2343" s="20"/>
      <c r="J2343" s="20"/>
      <c r="K2343" s="20"/>
      <c r="L2343" s="20"/>
      <c r="M2343" s="20"/>
      <c r="N2343" s="20"/>
      <c r="O2343" s="20"/>
      <c r="P2343" s="20"/>
      <c r="Q2343" s="20"/>
      <c r="R2343" s="20"/>
      <c r="S2343" s="20"/>
      <c r="T2343" s="20"/>
      <c r="U2343" s="20"/>
      <c r="V2343" s="20"/>
      <c r="W2343" s="20"/>
      <c r="X2343" s="20"/>
      <c r="Y2343" s="20"/>
      <c r="Z2343" s="20"/>
      <c r="AA2343" s="20"/>
    </row>
    <row r="2344" spans="1:27" ht="104.4" x14ac:dyDescent="0.25">
      <c r="A2344" s="16"/>
      <c r="B2344" s="20" t="b">
        <v>0</v>
      </c>
      <c r="C2344" s="20">
        <v>300</v>
      </c>
      <c r="D2344" s="2" t="s">
        <v>4918</v>
      </c>
      <c r="E2344" s="2" t="s">
        <v>4571</v>
      </c>
      <c r="F2344" s="20" t="s">
        <v>62</v>
      </c>
      <c r="G2344" s="2" t="s">
        <v>4919</v>
      </c>
      <c r="H2344" s="16"/>
      <c r="I2344" s="20"/>
      <c r="J2344" s="20"/>
      <c r="K2344" s="20"/>
      <c r="L2344" s="20"/>
      <c r="M2344" s="20"/>
      <c r="N2344" s="20"/>
      <c r="O2344" s="20"/>
      <c r="P2344" s="20"/>
      <c r="Q2344" s="20"/>
      <c r="R2344" s="20"/>
      <c r="S2344" s="20"/>
      <c r="T2344" s="20"/>
      <c r="U2344" s="20"/>
      <c r="V2344" s="20"/>
      <c r="W2344" s="20"/>
      <c r="X2344" s="20"/>
      <c r="Y2344" s="20"/>
      <c r="Z2344" s="20"/>
      <c r="AA2344" s="20"/>
    </row>
    <row r="2345" spans="1:27" ht="104.4" x14ac:dyDescent="0.25">
      <c r="A2345" s="16"/>
      <c r="B2345" s="20" t="b">
        <v>0</v>
      </c>
      <c r="C2345" s="20">
        <v>400</v>
      </c>
      <c r="D2345" s="2" t="s">
        <v>4920</v>
      </c>
      <c r="E2345" s="2" t="s">
        <v>4571</v>
      </c>
      <c r="F2345" s="20" t="s">
        <v>53</v>
      </c>
      <c r="G2345" s="2" t="s">
        <v>4921</v>
      </c>
      <c r="H2345" s="16"/>
      <c r="I2345" s="20"/>
      <c r="J2345" s="20"/>
      <c r="K2345" s="20"/>
      <c r="L2345" s="20"/>
      <c r="M2345" s="20"/>
      <c r="N2345" s="20"/>
      <c r="O2345" s="20"/>
      <c r="P2345" s="20"/>
      <c r="Q2345" s="20"/>
      <c r="R2345" s="20"/>
      <c r="S2345" s="20"/>
      <c r="T2345" s="20"/>
      <c r="U2345" s="20"/>
      <c r="V2345" s="20"/>
      <c r="W2345" s="20"/>
      <c r="X2345" s="20"/>
      <c r="Y2345" s="20"/>
      <c r="Z2345" s="20"/>
      <c r="AA2345" s="20"/>
    </row>
    <row r="2346" spans="1:27" ht="139.19999999999999" x14ac:dyDescent="0.25">
      <c r="A2346" s="16"/>
      <c r="B2346" s="20" t="b">
        <v>0</v>
      </c>
      <c r="C2346" s="20">
        <v>100</v>
      </c>
      <c r="D2346" s="2" t="s">
        <v>4922</v>
      </c>
      <c r="E2346" s="2" t="s">
        <v>4571</v>
      </c>
      <c r="F2346" s="20" t="s">
        <v>61</v>
      </c>
      <c r="G2346" s="2" t="s">
        <v>4923</v>
      </c>
      <c r="H2346" s="16"/>
      <c r="I2346" s="20"/>
      <c r="J2346" s="20"/>
      <c r="K2346" s="20"/>
      <c r="L2346" s="20"/>
      <c r="M2346" s="20"/>
      <c r="N2346" s="20"/>
      <c r="O2346" s="20"/>
      <c r="P2346" s="20"/>
      <c r="Q2346" s="20"/>
      <c r="R2346" s="20"/>
      <c r="S2346" s="20"/>
      <c r="T2346" s="20"/>
      <c r="U2346" s="20"/>
      <c r="V2346" s="20"/>
      <c r="W2346" s="20"/>
      <c r="X2346" s="20"/>
      <c r="Y2346" s="20"/>
      <c r="Z2346" s="20"/>
      <c r="AA2346" s="20"/>
    </row>
    <row r="2347" spans="1:27" ht="121.8" x14ac:dyDescent="0.25">
      <c r="A2347" s="16"/>
      <c r="B2347" s="20" t="b">
        <v>0</v>
      </c>
      <c r="C2347" s="20">
        <v>200</v>
      </c>
      <c r="D2347" s="2" t="s">
        <v>4924</v>
      </c>
      <c r="E2347" s="2" t="s">
        <v>4571</v>
      </c>
      <c r="F2347" s="20" t="s">
        <v>59</v>
      </c>
      <c r="G2347" s="2" t="s">
        <v>4925</v>
      </c>
      <c r="H2347" s="16"/>
      <c r="I2347" s="20"/>
      <c r="J2347" s="20"/>
      <c r="K2347" s="20"/>
      <c r="L2347" s="20"/>
      <c r="M2347" s="20"/>
      <c r="N2347" s="20"/>
      <c r="O2347" s="20"/>
      <c r="P2347" s="20"/>
      <c r="Q2347" s="20"/>
      <c r="R2347" s="20"/>
      <c r="S2347" s="20"/>
      <c r="T2347" s="20"/>
      <c r="U2347" s="20"/>
      <c r="V2347" s="20"/>
      <c r="W2347" s="20"/>
      <c r="X2347" s="20"/>
      <c r="Y2347" s="20"/>
      <c r="Z2347" s="20"/>
      <c r="AA2347" s="20"/>
    </row>
    <row r="2348" spans="1:27" ht="409.6" x14ac:dyDescent="0.25">
      <c r="A2348" s="16"/>
      <c r="B2348" s="20" t="b">
        <v>0</v>
      </c>
      <c r="C2348" s="20">
        <v>300</v>
      </c>
      <c r="D2348" s="2" t="s">
        <v>4926</v>
      </c>
      <c r="E2348" s="2" t="s">
        <v>4571</v>
      </c>
      <c r="F2348" s="20" t="s">
        <v>59</v>
      </c>
      <c r="G2348" s="2" t="s">
        <v>4927</v>
      </c>
      <c r="H2348" s="16"/>
      <c r="I2348" s="20"/>
      <c r="J2348" s="20"/>
      <c r="K2348" s="20"/>
      <c r="L2348" s="20"/>
      <c r="M2348" s="20"/>
      <c r="N2348" s="20"/>
      <c r="O2348" s="20"/>
      <c r="P2348" s="20"/>
      <c r="Q2348" s="20"/>
      <c r="R2348" s="20"/>
      <c r="S2348" s="20"/>
      <c r="T2348" s="20"/>
      <c r="U2348" s="20"/>
      <c r="V2348" s="20"/>
      <c r="W2348" s="20"/>
      <c r="X2348" s="20"/>
      <c r="Y2348" s="20"/>
      <c r="Z2348" s="20"/>
      <c r="AA2348" s="20"/>
    </row>
    <row r="2349" spans="1:27" ht="348" x14ac:dyDescent="0.25">
      <c r="A2349" s="16"/>
      <c r="B2349" s="20" t="b">
        <v>0</v>
      </c>
      <c r="C2349" s="20">
        <v>400</v>
      </c>
      <c r="D2349" s="2" t="s">
        <v>4928</v>
      </c>
      <c r="E2349" s="2" t="s">
        <v>4571</v>
      </c>
      <c r="F2349" s="20" t="s">
        <v>64</v>
      </c>
      <c r="G2349" s="2" t="s">
        <v>4929</v>
      </c>
      <c r="H2349" s="16"/>
      <c r="I2349" s="20"/>
      <c r="J2349" s="20"/>
      <c r="K2349" s="20"/>
      <c r="L2349" s="20"/>
      <c r="M2349" s="20"/>
      <c r="N2349" s="20"/>
      <c r="O2349" s="20"/>
      <c r="P2349" s="20"/>
      <c r="Q2349" s="20"/>
      <c r="R2349" s="20"/>
      <c r="S2349" s="20"/>
      <c r="T2349" s="20"/>
      <c r="U2349" s="20"/>
      <c r="V2349" s="20"/>
      <c r="W2349" s="20"/>
      <c r="X2349" s="20"/>
      <c r="Y2349" s="20"/>
      <c r="Z2349" s="20"/>
      <c r="AA2349" s="20"/>
    </row>
    <row r="2350" spans="1:27" ht="104.4" x14ac:dyDescent="0.25">
      <c r="A2350" s="16"/>
      <c r="B2350" s="20" t="b">
        <v>0</v>
      </c>
      <c r="C2350" s="20">
        <v>200</v>
      </c>
      <c r="D2350" s="2" t="s">
        <v>4930</v>
      </c>
      <c r="E2350" s="2" t="s">
        <v>4571</v>
      </c>
      <c r="F2350" s="20" t="s">
        <v>59</v>
      </c>
      <c r="G2350" s="2" t="s">
        <v>4931</v>
      </c>
      <c r="H2350" s="16"/>
      <c r="I2350" s="20"/>
      <c r="J2350" s="20"/>
      <c r="K2350" s="20"/>
      <c r="L2350" s="20"/>
      <c r="M2350" s="20"/>
      <c r="N2350" s="20"/>
      <c r="O2350" s="20"/>
      <c r="P2350" s="20"/>
      <c r="Q2350" s="20"/>
      <c r="R2350" s="20"/>
      <c r="S2350" s="20"/>
      <c r="T2350" s="20"/>
      <c r="U2350" s="20"/>
      <c r="V2350" s="20"/>
      <c r="W2350" s="20"/>
      <c r="X2350" s="20"/>
      <c r="Y2350" s="20"/>
      <c r="Z2350" s="20"/>
      <c r="AA2350" s="20"/>
    </row>
    <row r="2351" spans="1:27" ht="409.6" x14ac:dyDescent="0.25">
      <c r="A2351" s="16"/>
      <c r="B2351" s="20" t="b">
        <v>0</v>
      </c>
      <c r="C2351" s="20">
        <v>400</v>
      </c>
      <c r="D2351" s="2" t="s">
        <v>4932</v>
      </c>
      <c r="E2351" s="2" t="s">
        <v>4571</v>
      </c>
      <c r="F2351" s="20" t="s">
        <v>54</v>
      </c>
      <c r="G2351" s="2" t="s">
        <v>4933</v>
      </c>
      <c r="H2351" s="16"/>
      <c r="I2351" s="20"/>
      <c r="J2351" s="20"/>
      <c r="K2351" s="20"/>
      <c r="L2351" s="20"/>
      <c r="M2351" s="20"/>
      <c r="N2351" s="20"/>
      <c r="O2351" s="20"/>
      <c r="P2351" s="20"/>
      <c r="Q2351" s="20"/>
      <c r="R2351" s="20"/>
      <c r="S2351" s="20"/>
      <c r="T2351" s="20"/>
      <c r="U2351" s="20"/>
      <c r="V2351" s="20"/>
      <c r="W2351" s="20"/>
      <c r="X2351" s="20"/>
      <c r="Y2351" s="20"/>
      <c r="Z2351" s="20"/>
      <c r="AA2351" s="20"/>
    </row>
    <row r="2352" spans="1:27" ht="226.2" x14ac:dyDescent="0.25">
      <c r="A2352" s="16"/>
      <c r="B2352" s="20" t="b">
        <v>0</v>
      </c>
      <c r="C2352" s="20">
        <v>200</v>
      </c>
      <c r="D2352" s="2" t="s">
        <v>4934</v>
      </c>
      <c r="E2352" s="2" t="s">
        <v>4571</v>
      </c>
      <c r="F2352" s="20" t="s">
        <v>59</v>
      </c>
      <c r="G2352" s="2" t="s">
        <v>4935</v>
      </c>
      <c r="H2352" s="16"/>
      <c r="I2352" s="20"/>
      <c r="J2352" s="20"/>
      <c r="K2352" s="20"/>
      <c r="L2352" s="20"/>
      <c r="M2352" s="20"/>
      <c r="N2352" s="20"/>
      <c r="O2352" s="20"/>
      <c r="P2352" s="20"/>
      <c r="Q2352" s="20"/>
      <c r="R2352" s="20"/>
      <c r="S2352" s="20"/>
      <c r="T2352" s="20"/>
      <c r="U2352" s="20"/>
      <c r="V2352" s="20"/>
      <c r="W2352" s="20"/>
      <c r="X2352" s="20"/>
      <c r="Y2352" s="20"/>
      <c r="Z2352" s="20"/>
      <c r="AA2352" s="20"/>
    </row>
    <row r="2353" spans="1:27" ht="409.6" x14ac:dyDescent="0.25">
      <c r="A2353" s="16"/>
      <c r="B2353" s="20" t="b">
        <v>0</v>
      </c>
      <c r="C2353" s="20">
        <v>400</v>
      </c>
      <c r="D2353" s="2" t="s">
        <v>4936</v>
      </c>
      <c r="E2353" s="2" t="s">
        <v>4571</v>
      </c>
      <c r="F2353" s="20" t="s">
        <v>64</v>
      </c>
      <c r="G2353" s="2" t="s">
        <v>4937</v>
      </c>
      <c r="H2353" s="16"/>
      <c r="I2353" s="20"/>
      <c r="J2353" s="20"/>
      <c r="K2353" s="20"/>
      <c r="L2353" s="20"/>
      <c r="M2353" s="20"/>
      <c r="N2353" s="20"/>
      <c r="O2353" s="20"/>
      <c r="P2353" s="20"/>
      <c r="Q2353" s="20"/>
      <c r="R2353" s="20"/>
      <c r="S2353" s="20"/>
      <c r="T2353" s="20"/>
      <c r="U2353" s="20"/>
      <c r="V2353" s="20"/>
      <c r="W2353" s="20"/>
      <c r="X2353" s="20"/>
      <c r="Y2353" s="20"/>
      <c r="Z2353" s="20"/>
      <c r="AA2353" s="20"/>
    </row>
    <row r="2354" spans="1:27" ht="409.6" x14ac:dyDescent="0.25">
      <c r="A2354" s="16"/>
      <c r="B2354" s="20" t="b">
        <v>0</v>
      </c>
      <c r="C2354" s="20" t="s">
        <v>4938</v>
      </c>
      <c r="D2354" s="2" t="s">
        <v>4939</v>
      </c>
      <c r="E2354" s="2" t="s">
        <v>4571</v>
      </c>
      <c r="F2354" s="20" t="s">
        <v>59</v>
      </c>
      <c r="G2354" s="2" t="s">
        <v>4940</v>
      </c>
      <c r="H2354" s="16"/>
      <c r="I2354" s="20"/>
      <c r="J2354" s="20"/>
      <c r="K2354" s="20"/>
      <c r="L2354" s="20"/>
      <c r="M2354" s="20"/>
      <c r="N2354" s="20"/>
      <c r="O2354" s="20"/>
      <c r="P2354" s="20"/>
      <c r="Q2354" s="20"/>
      <c r="R2354" s="20"/>
      <c r="S2354" s="20"/>
      <c r="T2354" s="20"/>
      <c r="U2354" s="20"/>
      <c r="V2354" s="20"/>
      <c r="W2354" s="20"/>
      <c r="X2354" s="20"/>
      <c r="Y2354" s="20"/>
      <c r="Z2354" s="20"/>
      <c r="AA2354" s="20"/>
    </row>
    <row r="2355" spans="1:27" ht="409.6" x14ac:dyDescent="0.25">
      <c r="A2355" s="16"/>
      <c r="B2355" s="20" t="b">
        <v>0</v>
      </c>
      <c r="C2355" s="20">
        <v>400</v>
      </c>
      <c r="D2355" s="2" t="s">
        <v>4941</v>
      </c>
      <c r="E2355" s="2" t="s">
        <v>4571</v>
      </c>
      <c r="F2355" s="20" t="s">
        <v>56</v>
      </c>
      <c r="G2355" s="2" t="s">
        <v>4942</v>
      </c>
      <c r="H2355" s="16"/>
      <c r="I2355" s="20"/>
      <c r="J2355" s="20"/>
      <c r="K2355" s="20"/>
      <c r="L2355" s="20"/>
      <c r="M2355" s="20"/>
      <c r="N2355" s="20"/>
      <c r="O2355" s="20"/>
      <c r="P2355" s="20"/>
      <c r="Q2355" s="20"/>
      <c r="R2355" s="20"/>
      <c r="S2355" s="20"/>
      <c r="T2355" s="20"/>
      <c r="U2355" s="20"/>
      <c r="V2355" s="20"/>
      <c r="W2355" s="20"/>
      <c r="X2355" s="20"/>
      <c r="Y2355" s="20"/>
      <c r="Z2355" s="20"/>
      <c r="AA2355" s="20"/>
    </row>
    <row r="2356" spans="1:27" ht="104.4" x14ac:dyDescent="0.25">
      <c r="A2356" s="16"/>
      <c r="B2356" s="20" t="b">
        <v>0</v>
      </c>
      <c r="C2356" s="20">
        <v>200</v>
      </c>
      <c r="D2356" s="2" t="s">
        <v>4943</v>
      </c>
      <c r="E2356" s="2" t="s">
        <v>4571</v>
      </c>
      <c r="F2356" s="20" t="s">
        <v>64</v>
      </c>
      <c r="G2356" s="2" t="s">
        <v>4944</v>
      </c>
      <c r="H2356" s="16"/>
      <c r="I2356" s="20"/>
      <c r="J2356" s="20"/>
      <c r="K2356" s="20"/>
      <c r="L2356" s="20"/>
      <c r="M2356" s="20"/>
      <c r="N2356" s="20"/>
      <c r="O2356" s="20"/>
      <c r="P2356" s="20"/>
      <c r="Q2356" s="20"/>
      <c r="R2356" s="20"/>
      <c r="S2356" s="20"/>
      <c r="T2356" s="20"/>
      <c r="U2356" s="20"/>
      <c r="V2356" s="20"/>
      <c r="W2356" s="20"/>
      <c r="X2356" s="20"/>
      <c r="Y2356" s="20"/>
      <c r="Z2356" s="20"/>
      <c r="AA2356" s="20"/>
    </row>
    <row r="2357" spans="1:27" ht="174" x14ac:dyDescent="0.25">
      <c r="A2357" s="16"/>
      <c r="B2357" s="20" t="b">
        <v>0</v>
      </c>
      <c r="C2357" s="20">
        <v>200</v>
      </c>
      <c r="D2357" s="2" t="s">
        <v>4945</v>
      </c>
      <c r="E2357" s="2" t="s">
        <v>4571</v>
      </c>
      <c r="F2357" s="20" t="s">
        <v>59</v>
      </c>
      <c r="G2357" s="2" t="s">
        <v>4946</v>
      </c>
      <c r="H2357" s="16"/>
      <c r="I2357" s="20"/>
      <c r="J2357" s="20"/>
      <c r="K2357" s="20"/>
      <c r="L2357" s="20"/>
      <c r="M2357" s="20"/>
      <c r="N2357" s="20"/>
      <c r="O2357" s="20"/>
      <c r="P2357" s="20"/>
      <c r="Q2357" s="20"/>
      <c r="R2357" s="20"/>
      <c r="S2357" s="20"/>
      <c r="T2357" s="20"/>
      <c r="U2357" s="20"/>
      <c r="V2357" s="20"/>
      <c r="W2357" s="20"/>
      <c r="X2357" s="20"/>
      <c r="Y2357" s="20"/>
      <c r="Z2357" s="20"/>
      <c r="AA2357" s="20"/>
    </row>
    <row r="2358" spans="1:27" ht="139.19999999999999" x14ac:dyDescent="0.25">
      <c r="A2358" s="16"/>
      <c r="B2358" s="20" t="b">
        <v>0</v>
      </c>
      <c r="C2358" s="20">
        <v>400</v>
      </c>
      <c r="D2358" s="2" t="s">
        <v>4947</v>
      </c>
      <c r="E2358" s="2" t="s">
        <v>4571</v>
      </c>
      <c r="F2358" s="20" t="s">
        <v>59</v>
      </c>
      <c r="G2358" s="2" t="s">
        <v>4948</v>
      </c>
      <c r="H2358" s="16"/>
      <c r="I2358" s="20"/>
      <c r="J2358" s="20"/>
      <c r="K2358" s="20"/>
      <c r="L2358" s="20"/>
      <c r="M2358" s="20"/>
      <c r="N2358" s="20"/>
      <c r="O2358" s="20"/>
      <c r="P2358" s="20"/>
      <c r="Q2358" s="20"/>
      <c r="R2358" s="20"/>
      <c r="S2358" s="20"/>
      <c r="T2358" s="20"/>
      <c r="U2358" s="20"/>
      <c r="V2358" s="20"/>
      <c r="W2358" s="20"/>
      <c r="X2358" s="20"/>
      <c r="Y2358" s="20"/>
      <c r="Z2358" s="20"/>
      <c r="AA2358" s="20"/>
    </row>
    <row r="2359" spans="1:27" ht="208.8" x14ac:dyDescent="0.25">
      <c r="A2359" s="16"/>
      <c r="B2359" s="20" t="b">
        <v>0</v>
      </c>
      <c r="C2359" s="20">
        <v>200</v>
      </c>
      <c r="D2359" s="2" t="s">
        <v>4949</v>
      </c>
      <c r="E2359" s="2" t="s">
        <v>4571</v>
      </c>
      <c r="F2359" s="20" t="s">
        <v>64</v>
      </c>
      <c r="G2359" s="2" t="s">
        <v>4950</v>
      </c>
      <c r="H2359" s="16"/>
      <c r="I2359" s="20"/>
      <c r="J2359" s="20"/>
      <c r="K2359" s="20"/>
      <c r="L2359" s="20"/>
      <c r="M2359" s="20"/>
      <c r="N2359" s="20"/>
      <c r="O2359" s="20"/>
      <c r="P2359" s="20"/>
      <c r="Q2359" s="20"/>
      <c r="R2359" s="20"/>
      <c r="S2359" s="20"/>
      <c r="T2359" s="20"/>
      <c r="U2359" s="20"/>
      <c r="V2359" s="20"/>
      <c r="W2359" s="20"/>
      <c r="X2359" s="20"/>
      <c r="Y2359" s="20"/>
      <c r="Z2359" s="20"/>
      <c r="AA2359" s="20"/>
    </row>
    <row r="2360" spans="1:27" ht="226.2" x14ac:dyDescent="0.25">
      <c r="A2360" s="16"/>
      <c r="B2360" s="20" t="b">
        <v>0</v>
      </c>
      <c r="C2360" s="20">
        <v>400</v>
      </c>
      <c r="D2360" s="2" t="s">
        <v>4951</v>
      </c>
      <c r="E2360" s="2" t="s">
        <v>4571</v>
      </c>
      <c r="F2360" s="20" t="s">
        <v>64</v>
      </c>
      <c r="G2360" s="2" t="s">
        <v>4952</v>
      </c>
      <c r="H2360" s="16"/>
      <c r="I2360" s="20"/>
      <c r="J2360" s="20"/>
      <c r="K2360" s="20"/>
      <c r="L2360" s="20"/>
      <c r="M2360" s="20"/>
      <c r="N2360" s="20"/>
      <c r="O2360" s="20"/>
      <c r="P2360" s="20"/>
      <c r="Q2360" s="20"/>
      <c r="R2360" s="20"/>
      <c r="S2360" s="20"/>
      <c r="T2360" s="20"/>
      <c r="U2360" s="20"/>
      <c r="V2360" s="20"/>
      <c r="W2360" s="20"/>
      <c r="X2360" s="20"/>
      <c r="Y2360" s="20"/>
      <c r="Z2360" s="20"/>
      <c r="AA2360" s="20"/>
    </row>
    <row r="2361" spans="1:27" ht="139.19999999999999" x14ac:dyDescent="0.25">
      <c r="A2361" s="16"/>
      <c r="B2361" s="20" t="b">
        <v>0</v>
      </c>
      <c r="C2361" s="20">
        <v>200</v>
      </c>
      <c r="D2361" s="2" t="s">
        <v>4953</v>
      </c>
      <c r="E2361" s="2" t="s">
        <v>4571</v>
      </c>
      <c r="F2361" s="20" t="s">
        <v>62</v>
      </c>
      <c r="G2361" s="2" t="s">
        <v>4954</v>
      </c>
      <c r="H2361" s="16"/>
      <c r="I2361" s="20"/>
      <c r="J2361" s="20"/>
      <c r="K2361" s="20"/>
      <c r="L2361" s="20"/>
      <c r="M2361" s="20"/>
      <c r="N2361" s="20"/>
      <c r="O2361" s="20"/>
      <c r="P2361" s="20"/>
      <c r="Q2361" s="20"/>
      <c r="R2361" s="20"/>
      <c r="S2361" s="20"/>
      <c r="T2361" s="20"/>
      <c r="U2361" s="20"/>
      <c r="V2361" s="20"/>
      <c r="W2361" s="20"/>
      <c r="X2361" s="20"/>
      <c r="Y2361" s="20"/>
      <c r="Z2361" s="20"/>
      <c r="AA2361" s="20"/>
    </row>
    <row r="2362" spans="1:27" ht="348" x14ac:dyDescent="0.25">
      <c r="A2362" s="16"/>
      <c r="B2362" s="20" t="b">
        <v>0</v>
      </c>
      <c r="C2362" s="20">
        <v>200</v>
      </c>
      <c r="D2362" s="2" t="s">
        <v>4955</v>
      </c>
      <c r="E2362" s="2" t="s">
        <v>4571</v>
      </c>
      <c r="F2362" s="20" t="s">
        <v>54</v>
      </c>
      <c r="G2362" s="2" t="s">
        <v>4956</v>
      </c>
      <c r="H2362" s="16"/>
      <c r="I2362" s="20"/>
      <c r="J2362" s="20"/>
      <c r="K2362" s="20"/>
      <c r="L2362" s="20"/>
      <c r="M2362" s="20"/>
      <c r="N2362" s="20"/>
      <c r="O2362" s="20"/>
      <c r="P2362" s="20"/>
      <c r="Q2362" s="20"/>
      <c r="R2362" s="20"/>
      <c r="S2362" s="20"/>
      <c r="T2362" s="20"/>
      <c r="U2362" s="20"/>
      <c r="V2362" s="20"/>
      <c r="W2362" s="20"/>
      <c r="X2362" s="20"/>
      <c r="Y2362" s="20"/>
      <c r="Z2362" s="20"/>
      <c r="AA2362" s="20"/>
    </row>
    <row r="2363" spans="1:27" ht="156.6" x14ac:dyDescent="0.25">
      <c r="A2363" s="16"/>
      <c r="B2363" s="20" t="b">
        <v>0</v>
      </c>
      <c r="C2363" s="20">
        <v>200</v>
      </c>
      <c r="D2363" s="2" t="s">
        <v>4957</v>
      </c>
      <c r="E2363" s="2" t="s">
        <v>4571</v>
      </c>
      <c r="F2363" s="20" t="s">
        <v>64</v>
      </c>
      <c r="G2363" s="2" t="s">
        <v>4958</v>
      </c>
      <c r="H2363" s="16"/>
      <c r="I2363" s="20"/>
      <c r="J2363" s="20"/>
      <c r="K2363" s="20"/>
      <c r="L2363" s="20"/>
      <c r="M2363" s="20"/>
      <c r="N2363" s="20"/>
      <c r="O2363" s="20"/>
      <c r="P2363" s="20"/>
      <c r="Q2363" s="20"/>
      <c r="R2363" s="20"/>
      <c r="S2363" s="20"/>
      <c r="T2363" s="20"/>
      <c r="U2363" s="20"/>
      <c r="V2363" s="20"/>
      <c r="W2363" s="20"/>
      <c r="X2363" s="20"/>
      <c r="Y2363" s="20"/>
      <c r="Z2363" s="20"/>
      <c r="AA2363" s="20"/>
    </row>
    <row r="2364" spans="1:27" ht="409.6" x14ac:dyDescent="0.25">
      <c r="A2364" s="16"/>
      <c r="B2364" s="20" t="b">
        <v>0</v>
      </c>
      <c r="C2364" s="20">
        <v>200</v>
      </c>
      <c r="D2364" s="2" t="s">
        <v>4959</v>
      </c>
      <c r="E2364" s="2" t="s">
        <v>4571</v>
      </c>
      <c r="F2364" s="20" t="s">
        <v>64</v>
      </c>
      <c r="G2364" s="2" t="s">
        <v>4960</v>
      </c>
      <c r="H2364" s="16"/>
      <c r="I2364" s="20"/>
      <c r="J2364" s="20"/>
      <c r="K2364" s="20"/>
      <c r="L2364" s="20"/>
      <c r="M2364" s="20"/>
      <c r="N2364" s="20"/>
      <c r="O2364" s="20"/>
      <c r="P2364" s="20"/>
      <c r="Q2364" s="20"/>
      <c r="R2364" s="20"/>
      <c r="S2364" s="20"/>
      <c r="T2364" s="20"/>
      <c r="U2364" s="20"/>
      <c r="V2364" s="20"/>
      <c r="W2364" s="20"/>
      <c r="X2364" s="20"/>
      <c r="Y2364" s="20"/>
      <c r="Z2364" s="20"/>
      <c r="AA2364" s="20"/>
    </row>
    <row r="2365" spans="1:27" ht="409.6" x14ac:dyDescent="0.25">
      <c r="A2365" s="16"/>
      <c r="B2365" s="20" t="b">
        <v>0</v>
      </c>
      <c r="C2365" s="20">
        <v>400</v>
      </c>
      <c r="D2365" s="2" t="s">
        <v>4961</v>
      </c>
      <c r="E2365" s="2" t="s">
        <v>4571</v>
      </c>
      <c r="F2365" s="20" t="s">
        <v>58</v>
      </c>
      <c r="G2365" s="2" t="s">
        <v>4962</v>
      </c>
      <c r="H2365" s="16"/>
      <c r="I2365" s="20"/>
      <c r="J2365" s="20"/>
      <c r="K2365" s="20"/>
      <c r="L2365" s="20"/>
      <c r="M2365" s="20"/>
      <c r="N2365" s="20"/>
      <c r="O2365" s="20"/>
      <c r="P2365" s="20"/>
      <c r="Q2365" s="20"/>
      <c r="R2365" s="20"/>
      <c r="S2365" s="20"/>
      <c r="T2365" s="20"/>
      <c r="U2365" s="20"/>
      <c r="V2365" s="20"/>
      <c r="W2365" s="20"/>
      <c r="X2365" s="20"/>
      <c r="Y2365" s="20"/>
      <c r="Z2365" s="20"/>
      <c r="AA2365" s="20"/>
    </row>
    <row r="2366" spans="1:27" ht="409.6" x14ac:dyDescent="0.25">
      <c r="A2366" s="16"/>
      <c r="B2366" s="20" t="b">
        <v>0</v>
      </c>
      <c r="C2366" s="20" t="s">
        <v>4938</v>
      </c>
      <c r="D2366" s="2" t="s">
        <v>4963</v>
      </c>
      <c r="E2366" s="2" t="s">
        <v>4571</v>
      </c>
      <c r="F2366" s="20" t="s">
        <v>59</v>
      </c>
      <c r="G2366" s="2" t="s">
        <v>4964</v>
      </c>
      <c r="H2366" s="16"/>
      <c r="I2366" s="20"/>
      <c r="J2366" s="20"/>
      <c r="K2366" s="20"/>
      <c r="L2366" s="20"/>
      <c r="M2366" s="20"/>
      <c r="N2366" s="20"/>
      <c r="O2366" s="20"/>
      <c r="P2366" s="20"/>
      <c r="Q2366" s="20"/>
      <c r="R2366" s="20"/>
      <c r="S2366" s="20"/>
      <c r="T2366" s="20"/>
      <c r="U2366" s="20"/>
      <c r="V2366" s="20"/>
      <c r="W2366" s="20"/>
      <c r="X2366" s="20"/>
      <c r="Y2366" s="20"/>
      <c r="Z2366" s="20"/>
      <c r="AA2366" s="20"/>
    </row>
    <row r="2367" spans="1:27" ht="313.2" x14ac:dyDescent="0.25">
      <c r="A2367" s="16"/>
      <c r="B2367" s="20" t="b">
        <v>0</v>
      </c>
      <c r="C2367" s="20">
        <v>400</v>
      </c>
      <c r="D2367" s="2" t="s">
        <v>4965</v>
      </c>
      <c r="E2367" s="2" t="s">
        <v>4571</v>
      </c>
      <c r="F2367" s="20" t="s">
        <v>59</v>
      </c>
      <c r="G2367" s="2" t="s">
        <v>4966</v>
      </c>
      <c r="H2367" s="16"/>
      <c r="I2367" s="20"/>
      <c r="J2367" s="20"/>
      <c r="K2367" s="20"/>
      <c r="L2367" s="20"/>
      <c r="M2367" s="20"/>
      <c r="N2367" s="20"/>
      <c r="O2367" s="20"/>
      <c r="P2367" s="20"/>
      <c r="Q2367" s="20"/>
      <c r="R2367" s="20"/>
      <c r="S2367" s="20"/>
      <c r="T2367" s="20"/>
      <c r="U2367" s="20"/>
      <c r="V2367" s="20"/>
      <c r="W2367" s="20"/>
      <c r="X2367" s="20"/>
      <c r="Y2367" s="20"/>
      <c r="Z2367" s="20"/>
      <c r="AA2367" s="20"/>
    </row>
    <row r="2368" spans="1:27" ht="409.6" x14ac:dyDescent="0.25">
      <c r="A2368" s="16"/>
      <c r="B2368" s="20" t="b">
        <v>0</v>
      </c>
      <c r="C2368" s="20">
        <v>200</v>
      </c>
      <c r="D2368" s="2" t="s">
        <v>4967</v>
      </c>
      <c r="E2368" s="2" t="s">
        <v>4571</v>
      </c>
      <c r="F2368" s="20" t="s">
        <v>59</v>
      </c>
      <c r="G2368" s="2" t="s">
        <v>4968</v>
      </c>
      <c r="H2368" s="16"/>
      <c r="I2368" s="20"/>
      <c r="J2368" s="20"/>
      <c r="K2368" s="20"/>
      <c r="L2368" s="20"/>
      <c r="M2368" s="20"/>
      <c r="N2368" s="20"/>
      <c r="O2368" s="20"/>
      <c r="P2368" s="20"/>
      <c r="Q2368" s="20"/>
      <c r="R2368" s="20"/>
      <c r="S2368" s="20"/>
      <c r="T2368" s="20"/>
      <c r="U2368" s="20"/>
      <c r="V2368" s="20"/>
      <c r="W2368" s="20"/>
      <c r="X2368" s="20"/>
      <c r="Y2368" s="20"/>
      <c r="Z2368" s="20"/>
      <c r="AA2368" s="20"/>
    </row>
    <row r="2369" spans="1:27" ht="208.8" x14ac:dyDescent="0.25">
      <c r="A2369" s="16"/>
      <c r="B2369" s="20" t="b">
        <v>0</v>
      </c>
      <c r="C2369" s="20">
        <v>200</v>
      </c>
      <c r="D2369" s="2" t="s">
        <v>4969</v>
      </c>
      <c r="E2369" s="2" t="s">
        <v>4571</v>
      </c>
      <c r="F2369" s="20" t="s">
        <v>64</v>
      </c>
      <c r="G2369" s="2" t="s">
        <v>4970</v>
      </c>
      <c r="H2369" s="16"/>
      <c r="I2369" s="20"/>
      <c r="J2369" s="20"/>
      <c r="K2369" s="20"/>
      <c r="L2369" s="20"/>
      <c r="M2369" s="20"/>
      <c r="N2369" s="20"/>
      <c r="O2369" s="20"/>
      <c r="P2369" s="20"/>
      <c r="Q2369" s="20"/>
      <c r="R2369" s="20"/>
      <c r="S2369" s="20"/>
      <c r="T2369" s="20"/>
      <c r="U2369" s="20"/>
      <c r="V2369" s="20"/>
      <c r="W2369" s="20"/>
      <c r="X2369" s="20"/>
      <c r="Y2369" s="20"/>
      <c r="Z2369" s="20"/>
      <c r="AA2369" s="20"/>
    </row>
    <row r="2370" spans="1:27" ht="278.39999999999998" x14ac:dyDescent="0.25">
      <c r="A2370" s="16"/>
      <c r="B2370" s="20" t="b">
        <v>0</v>
      </c>
      <c r="C2370" s="20">
        <v>400</v>
      </c>
      <c r="D2370" s="2" t="s">
        <v>4971</v>
      </c>
      <c r="E2370" s="2" t="s">
        <v>4571</v>
      </c>
      <c r="F2370" s="20" t="s">
        <v>64</v>
      </c>
      <c r="G2370" s="2" t="s">
        <v>4972</v>
      </c>
      <c r="H2370" s="16"/>
      <c r="I2370" s="20"/>
      <c r="J2370" s="20"/>
      <c r="K2370" s="20"/>
      <c r="L2370" s="20"/>
      <c r="M2370" s="20"/>
      <c r="N2370" s="20"/>
      <c r="O2370" s="20"/>
      <c r="P2370" s="20"/>
      <c r="Q2370" s="20"/>
      <c r="R2370" s="20"/>
      <c r="S2370" s="20"/>
      <c r="T2370" s="20"/>
      <c r="U2370" s="20"/>
      <c r="V2370" s="20"/>
      <c r="W2370" s="20"/>
      <c r="X2370" s="20"/>
      <c r="Y2370" s="20"/>
      <c r="Z2370" s="20"/>
      <c r="AA2370" s="20"/>
    </row>
    <row r="2371" spans="1:27" ht="174" x14ac:dyDescent="0.25">
      <c r="A2371" s="16"/>
      <c r="B2371" s="20" t="b">
        <v>0</v>
      </c>
      <c r="C2371" s="20">
        <v>200</v>
      </c>
      <c r="D2371" s="2" t="s">
        <v>4973</v>
      </c>
      <c r="E2371" s="2" t="s">
        <v>4571</v>
      </c>
      <c r="F2371" s="20" t="s">
        <v>59</v>
      </c>
      <c r="G2371" s="2" t="s">
        <v>4974</v>
      </c>
      <c r="H2371" s="16"/>
      <c r="I2371" s="20"/>
      <c r="J2371" s="20"/>
      <c r="K2371" s="20"/>
      <c r="L2371" s="20"/>
      <c r="M2371" s="20"/>
      <c r="N2371" s="20"/>
      <c r="O2371" s="20"/>
      <c r="P2371" s="20"/>
      <c r="Q2371" s="20"/>
      <c r="R2371" s="20"/>
      <c r="S2371" s="20"/>
      <c r="T2371" s="20"/>
      <c r="U2371" s="20"/>
      <c r="V2371" s="20"/>
      <c r="W2371" s="20"/>
      <c r="X2371" s="20"/>
      <c r="Y2371" s="20"/>
      <c r="Z2371" s="20"/>
      <c r="AA2371" s="20"/>
    </row>
    <row r="2372" spans="1:27" ht="104.4" x14ac:dyDescent="0.25">
      <c r="A2372" s="16"/>
      <c r="B2372" s="20" t="b">
        <v>0</v>
      </c>
      <c r="C2372" s="20">
        <v>400</v>
      </c>
      <c r="D2372" s="2" t="s">
        <v>4975</v>
      </c>
      <c r="E2372" s="2" t="s">
        <v>4571</v>
      </c>
      <c r="F2372" s="20" t="s">
        <v>59</v>
      </c>
      <c r="G2372" s="2" t="s">
        <v>4976</v>
      </c>
      <c r="H2372" s="16"/>
      <c r="I2372" s="20"/>
      <c r="J2372" s="20"/>
      <c r="K2372" s="20"/>
      <c r="L2372" s="20"/>
      <c r="M2372" s="20"/>
      <c r="N2372" s="20"/>
      <c r="O2372" s="20"/>
      <c r="P2372" s="20"/>
      <c r="Q2372" s="20"/>
      <c r="R2372" s="20"/>
      <c r="S2372" s="20"/>
      <c r="T2372" s="20"/>
      <c r="U2372" s="20"/>
      <c r="V2372" s="20"/>
      <c r="W2372" s="20"/>
      <c r="X2372" s="20"/>
      <c r="Y2372" s="20"/>
      <c r="Z2372" s="20"/>
      <c r="AA2372" s="20"/>
    </row>
    <row r="2373" spans="1:27" ht="208.8" x14ac:dyDescent="0.25">
      <c r="A2373" s="16"/>
      <c r="B2373" s="20" t="b">
        <v>0</v>
      </c>
      <c r="C2373" s="20">
        <v>200</v>
      </c>
      <c r="D2373" s="2" t="s">
        <v>4977</v>
      </c>
      <c r="E2373" s="2" t="s">
        <v>4571</v>
      </c>
      <c r="F2373" s="20" t="s">
        <v>53</v>
      </c>
      <c r="G2373" s="2" t="s">
        <v>4978</v>
      </c>
      <c r="H2373" s="16"/>
      <c r="I2373" s="20"/>
      <c r="J2373" s="20"/>
      <c r="K2373" s="20"/>
      <c r="L2373" s="20"/>
      <c r="M2373" s="20"/>
      <c r="N2373" s="20"/>
      <c r="O2373" s="20"/>
      <c r="P2373" s="20"/>
      <c r="Q2373" s="20"/>
      <c r="R2373" s="20"/>
      <c r="S2373" s="20"/>
      <c r="T2373" s="20"/>
      <c r="U2373" s="20"/>
      <c r="V2373" s="20"/>
      <c r="W2373" s="20"/>
      <c r="X2373" s="20"/>
      <c r="Y2373" s="20"/>
      <c r="Z2373" s="20"/>
      <c r="AA2373" s="20"/>
    </row>
    <row r="2374" spans="1:27" ht="409.6" x14ac:dyDescent="0.25">
      <c r="A2374" s="16"/>
      <c r="B2374" s="20" t="b">
        <v>0</v>
      </c>
      <c r="C2374" s="20">
        <v>400</v>
      </c>
      <c r="D2374" s="2" t="s">
        <v>4979</v>
      </c>
      <c r="E2374" s="2" t="s">
        <v>4571</v>
      </c>
      <c r="F2374" s="20" t="s">
        <v>64</v>
      </c>
      <c r="G2374" s="2" t="s">
        <v>4980</v>
      </c>
      <c r="H2374" s="16"/>
      <c r="I2374" s="20"/>
      <c r="J2374" s="20"/>
      <c r="K2374" s="20"/>
      <c r="L2374" s="20"/>
      <c r="M2374" s="20"/>
      <c r="N2374" s="20"/>
      <c r="O2374" s="20"/>
      <c r="P2374" s="20"/>
      <c r="Q2374" s="20"/>
      <c r="R2374" s="20"/>
      <c r="S2374" s="20"/>
      <c r="T2374" s="20"/>
      <c r="U2374" s="20"/>
      <c r="V2374" s="20"/>
      <c r="W2374" s="20"/>
      <c r="X2374" s="20"/>
      <c r="Y2374" s="20"/>
      <c r="Z2374" s="20"/>
      <c r="AA2374" s="20"/>
    </row>
    <row r="2375" spans="1:27" ht="208.8" x14ac:dyDescent="0.25">
      <c r="A2375" s="16"/>
      <c r="B2375" s="20" t="b">
        <v>0</v>
      </c>
      <c r="C2375" s="20">
        <v>200</v>
      </c>
      <c r="D2375" s="2" t="s">
        <v>4981</v>
      </c>
      <c r="E2375" s="2" t="s">
        <v>4571</v>
      </c>
      <c r="F2375" s="20" t="s">
        <v>59</v>
      </c>
      <c r="G2375" s="2" t="s">
        <v>4982</v>
      </c>
      <c r="H2375" s="16"/>
      <c r="I2375" s="20"/>
      <c r="J2375" s="20"/>
      <c r="K2375" s="20"/>
      <c r="L2375" s="20"/>
      <c r="M2375" s="20"/>
      <c r="N2375" s="20"/>
      <c r="O2375" s="20"/>
      <c r="P2375" s="20"/>
      <c r="Q2375" s="20"/>
      <c r="R2375" s="20"/>
      <c r="S2375" s="20"/>
      <c r="T2375" s="20"/>
      <c r="U2375" s="20"/>
      <c r="V2375" s="20"/>
      <c r="W2375" s="20"/>
      <c r="X2375" s="20"/>
      <c r="Y2375" s="20"/>
      <c r="Z2375" s="20"/>
      <c r="AA2375" s="20"/>
    </row>
    <row r="2376" spans="1:27" ht="208.8" x14ac:dyDescent="0.25">
      <c r="A2376" s="16"/>
      <c r="B2376" s="20" t="b">
        <v>0</v>
      </c>
      <c r="C2376" s="20">
        <v>400</v>
      </c>
      <c r="D2376" s="2" t="s">
        <v>4983</v>
      </c>
      <c r="E2376" s="2" t="s">
        <v>4571</v>
      </c>
      <c r="F2376" s="20" t="s">
        <v>59</v>
      </c>
      <c r="G2376" s="2" t="s">
        <v>4984</v>
      </c>
      <c r="H2376" s="16"/>
      <c r="I2376" s="20"/>
      <c r="J2376" s="20"/>
      <c r="K2376" s="20"/>
      <c r="L2376" s="20"/>
      <c r="M2376" s="20"/>
      <c r="N2376" s="20"/>
      <c r="O2376" s="20"/>
      <c r="P2376" s="20"/>
      <c r="Q2376" s="20"/>
      <c r="R2376" s="20"/>
      <c r="S2376" s="20"/>
      <c r="T2376" s="20"/>
      <c r="U2376" s="20"/>
      <c r="V2376" s="20"/>
      <c r="W2376" s="20"/>
      <c r="X2376" s="20"/>
      <c r="Y2376" s="20"/>
      <c r="Z2376" s="20"/>
      <c r="AA2376" s="20"/>
    </row>
    <row r="2377" spans="1:27" ht="104.4" x14ac:dyDescent="0.25">
      <c r="A2377" s="16"/>
      <c r="B2377" s="20" t="b">
        <v>0</v>
      </c>
      <c r="C2377" s="20">
        <v>200</v>
      </c>
      <c r="D2377" s="2" t="s">
        <v>4985</v>
      </c>
      <c r="E2377" s="2" t="s">
        <v>4571</v>
      </c>
      <c r="F2377" s="20" t="s">
        <v>59</v>
      </c>
      <c r="G2377" s="2" t="s">
        <v>4986</v>
      </c>
      <c r="H2377" s="16"/>
      <c r="I2377" s="20"/>
      <c r="J2377" s="20"/>
      <c r="K2377" s="20"/>
      <c r="L2377" s="20"/>
      <c r="M2377" s="20"/>
      <c r="N2377" s="20"/>
      <c r="O2377" s="20"/>
      <c r="P2377" s="20"/>
      <c r="Q2377" s="20"/>
      <c r="R2377" s="20"/>
      <c r="S2377" s="20"/>
      <c r="T2377" s="20"/>
      <c r="U2377" s="20"/>
      <c r="V2377" s="20"/>
      <c r="W2377" s="20"/>
      <c r="X2377" s="20"/>
      <c r="Y2377" s="20"/>
      <c r="Z2377" s="20"/>
      <c r="AA2377" s="20"/>
    </row>
    <row r="2378" spans="1:27" ht="104.4" x14ac:dyDescent="0.25">
      <c r="A2378" s="16"/>
      <c r="B2378" s="20" t="b">
        <v>0</v>
      </c>
      <c r="C2378" s="20">
        <v>200</v>
      </c>
      <c r="D2378" s="2" t="s">
        <v>4987</v>
      </c>
      <c r="E2378" s="2" t="s">
        <v>4571</v>
      </c>
      <c r="F2378" s="20" t="s">
        <v>59</v>
      </c>
      <c r="G2378" s="2" t="s">
        <v>4988</v>
      </c>
      <c r="H2378" s="16"/>
      <c r="I2378" s="20"/>
      <c r="J2378" s="20"/>
      <c r="K2378" s="20"/>
      <c r="L2378" s="20"/>
      <c r="M2378" s="20"/>
      <c r="N2378" s="20"/>
      <c r="O2378" s="20"/>
      <c r="P2378" s="20"/>
      <c r="Q2378" s="20"/>
      <c r="R2378" s="20"/>
      <c r="S2378" s="20"/>
      <c r="T2378" s="20"/>
      <c r="U2378" s="20"/>
      <c r="V2378" s="20"/>
      <c r="W2378" s="20"/>
      <c r="X2378" s="20"/>
      <c r="Y2378" s="20"/>
      <c r="Z2378" s="20"/>
      <c r="AA2378" s="20"/>
    </row>
    <row r="2379" spans="1:27" ht="208.8" x14ac:dyDescent="0.25">
      <c r="A2379" s="16"/>
      <c r="B2379" s="20" t="b">
        <v>0</v>
      </c>
      <c r="C2379" s="20">
        <v>400</v>
      </c>
      <c r="D2379" s="2" t="s">
        <v>4989</v>
      </c>
      <c r="E2379" s="2" t="s">
        <v>4571</v>
      </c>
      <c r="F2379" s="20" t="s">
        <v>59</v>
      </c>
      <c r="G2379" s="2" t="s">
        <v>4990</v>
      </c>
      <c r="H2379" s="16"/>
      <c r="I2379" s="20"/>
      <c r="J2379" s="20"/>
      <c r="K2379" s="20"/>
      <c r="L2379" s="20"/>
      <c r="M2379" s="20"/>
      <c r="N2379" s="20"/>
      <c r="O2379" s="20"/>
      <c r="P2379" s="20"/>
      <c r="Q2379" s="20"/>
      <c r="R2379" s="20"/>
      <c r="S2379" s="20"/>
      <c r="T2379" s="20"/>
      <c r="U2379" s="20"/>
      <c r="V2379" s="20"/>
      <c r="W2379" s="20"/>
      <c r="X2379" s="20"/>
      <c r="Y2379" s="20"/>
      <c r="Z2379" s="20"/>
      <c r="AA2379" s="20"/>
    </row>
    <row r="2380" spans="1:27" ht="313.2" x14ac:dyDescent="0.25">
      <c r="A2380" s="16"/>
      <c r="B2380" s="20" t="b">
        <v>0</v>
      </c>
      <c r="C2380" s="20">
        <v>200</v>
      </c>
      <c r="D2380" s="2" t="s">
        <v>4991</v>
      </c>
      <c r="E2380" s="2" t="s">
        <v>4571</v>
      </c>
      <c r="F2380" s="20" t="s">
        <v>59</v>
      </c>
      <c r="G2380" s="2" t="s">
        <v>4992</v>
      </c>
      <c r="H2380" s="16"/>
      <c r="I2380" s="20"/>
      <c r="J2380" s="20"/>
      <c r="K2380" s="20"/>
      <c r="L2380" s="20"/>
      <c r="M2380" s="20"/>
      <c r="N2380" s="20"/>
      <c r="O2380" s="20"/>
      <c r="P2380" s="20"/>
      <c r="Q2380" s="20"/>
      <c r="R2380" s="20"/>
      <c r="S2380" s="20"/>
      <c r="T2380" s="20"/>
      <c r="U2380" s="20"/>
      <c r="V2380" s="20"/>
      <c r="W2380" s="20"/>
      <c r="X2380" s="20"/>
      <c r="Y2380" s="20"/>
      <c r="Z2380" s="20"/>
      <c r="AA2380" s="20"/>
    </row>
    <row r="2381" spans="1:27" ht="295.8" x14ac:dyDescent="0.25">
      <c r="A2381" s="16"/>
      <c r="B2381" s="20" t="b">
        <v>0</v>
      </c>
      <c r="C2381" s="20">
        <v>200</v>
      </c>
      <c r="D2381" s="2" t="s">
        <v>4993</v>
      </c>
      <c r="E2381" s="2" t="s">
        <v>4571</v>
      </c>
      <c r="F2381" s="20" t="s">
        <v>54</v>
      </c>
      <c r="G2381" s="2" t="s">
        <v>4994</v>
      </c>
      <c r="H2381" s="16"/>
      <c r="I2381" s="20"/>
      <c r="J2381" s="20"/>
      <c r="K2381" s="20"/>
      <c r="L2381" s="20"/>
      <c r="M2381" s="20"/>
      <c r="N2381" s="20"/>
      <c r="O2381" s="20"/>
      <c r="P2381" s="20"/>
      <c r="Q2381" s="20"/>
      <c r="R2381" s="20"/>
      <c r="S2381" s="20"/>
      <c r="T2381" s="20"/>
      <c r="U2381" s="20"/>
      <c r="V2381" s="20"/>
      <c r="W2381" s="20"/>
      <c r="X2381" s="20"/>
      <c r="Y2381" s="20"/>
      <c r="Z2381" s="20"/>
      <c r="AA2381" s="20"/>
    </row>
    <row r="2382" spans="1:27" ht="226.2" x14ac:dyDescent="0.25">
      <c r="A2382" s="16"/>
      <c r="B2382" s="20" t="b">
        <v>0</v>
      </c>
      <c r="C2382" s="20">
        <v>200</v>
      </c>
      <c r="D2382" s="2" t="s">
        <v>4995</v>
      </c>
      <c r="E2382" s="2" t="s">
        <v>4571</v>
      </c>
      <c r="F2382" s="20" t="s">
        <v>59</v>
      </c>
      <c r="G2382" s="2" t="s">
        <v>4996</v>
      </c>
      <c r="H2382" s="16"/>
      <c r="I2382" s="20"/>
      <c r="J2382" s="20"/>
      <c r="K2382" s="20"/>
      <c r="L2382" s="20"/>
      <c r="M2382" s="20"/>
      <c r="N2382" s="20"/>
      <c r="O2382" s="20"/>
      <c r="P2382" s="20"/>
      <c r="Q2382" s="20"/>
      <c r="R2382" s="20"/>
      <c r="S2382" s="20"/>
      <c r="T2382" s="20"/>
      <c r="U2382" s="20"/>
      <c r="V2382" s="20"/>
      <c r="W2382" s="20"/>
      <c r="X2382" s="20"/>
      <c r="Y2382" s="20"/>
      <c r="Z2382" s="20"/>
      <c r="AA2382" s="20"/>
    </row>
    <row r="2383" spans="1:27" ht="139.19999999999999" x14ac:dyDescent="0.25">
      <c r="A2383" s="16"/>
      <c r="B2383" s="20" t="b">
        <v>0</v>
      </c>
      <c r="C2383" s="20">
        <v>400</v>
      </c>
      <c r="D2383" s="2" t="s">
        <v>4997</v>
      </c>
      <c r="E2383" s="2" t="s">
        <v>4571</v>
      </c>
      <c r="F2383" s="20" t="s">
        <v>61</v>
      </c>
      <c r="G2383" s="2" t="s">
        <v>4998</v>
      </c>
      <c r="H2383" s="16"/>
      <c r="I2383" s="20"/>
      <c r="J2383" s="20"/>
      <c r="K2383" s="20"/>
      <c r="L2383" s="20"/>
      <c r="M2383" s="20"/>
      <c r="N2383" s="20"/>
      <c r="O2383" s="20"/>
      <c r="P2383" s="20"/>
      <c r="Q2383" s="20"/>
      <c r="R2383" s="20"/>
      <c r="S2383" s="20"/>
      <c r="T2383" s="20"/>
      <c r="U2383" s="20"/>
      <c r="V2383" s="20"/>
      <c r="W2383" s="20"/>
      <c r="X2383" s="20"/>
      <c r="Y2383" s="20"/>
      <c r="Z2383" s="20"/>
      <c r="AA2383" s="20"/>
    </row>
    <row r="2384" spans="1:27" ht="400.2" x14ac:dyDescent="0.25">
      <c r="A2384" s="16"/>
      <c r="B2384" s="20" t="b">
        <v>0</v>
      </c>
      <c r="C2384" s="20">
        <v>400</v>
      </c>
      <c r="D2384" s="2" t="s">
        <v>4999</v>
      </c>
      <c r="E2384" s="2" t="s">
        <v>4571</v>
      </c>
      <c r="F2384" s="20" t="s">
        <v>54</v>
      </c>
      <c r="G2384" s="2" t="s">
        <v>5000</v>
      </c>
      <c r="H2384" s="16"/>
      <c r="I2384" s="20"/>
      <c r="J2384" s="20"/>
      <c r="K2384" s="20"/>
      <c r="L2384" s="20"/>
      <c r="M2384" s="20"/>
      <c r="N2384" s="20"/>
      <c r="O2384" s="20"/>
      <c r="P2384" s="20"/>
      <c r="Q2384" s="20"/>
      <c r="R2384" s="20"/>
      <c r="S2384" s="20"/>
      <c r="T2384" s="20"/>
      <c r="U2384" s="20"/>
      <c r="V2384" s="20"/>
      <c r="W2384" s="20"/>
      <c r="X2384" s="20"/>
      <c r="Y2384" s="20"/>
      <c r="Z2384" s="20"/>
      <c r="AA2384" s="20"/>
    </row>
    <row r="2385" spans="1:27" ht="174" x14ac:dyDescent="0.25">
      <c r="A2385" s="16"/>
      <c r="B2385" s="20" t="b">
        <v>0</v>
      </c>
      <c r="C2385" s="20">
        <v>400</v>
      </c>
      <c r="D2385" s="2" t="s">
        <v>5001</v>
      </c>
      <c r="E2385" s="2" t="s">
        <v>4571</v>
      </c>
      <c r="F2385" s="20" t="s">
        <v>59</v>
      </c>
      <c r="G2385" s="2" t="s">
        <v>5002</v>
      </c>
      <c r="H2385" s="16"/>
      <c r="I2385" s="20"/>
      <c r="J2385" s="20"/>
      <c r="K2385" s="20"/>
      <c r="L2385" s="20"/>
      <c r="M2385" s="20"/>
      <c r="N2385" s="20"/>
      <c r="O2385" s="20"/>
      <c r="P2385" s="20"/>
      <c r="Q2385" s="20"/>
      <c r="R2385" s="20"/>
      <c r="S2385" s="20"/>
      <c r="T2385" s="20"/>
      <c r="U2385" s="20"/>
      <c r="V2385" s="20"/>
      <c r="W2385" s="20"/>
      <c r="X2385" s="20"/>
      <c r="Y2385" s="20"/>
      <c r="Z2385" s="20"/>
      <c r="AA2385" s="20"/>
    </row>
    <row r="2386" spans="1:27" ht="139.19999999999999" x14ac:dyDescent="0.25">
      <c r="A2386" s="16"/>
      <c r="B2386" s="20" t="b">
        <v>0</v>
      </c>
      <c r="C2386" s="20">
        <v>200</v>
      </c>
      <c r="D2386" s="2" t="s">
        <v>5003</v>
      </c>
      <c r="E2386" s="2" t="s">
        <v>4571</v>
      </c>
      <c r="F2386" s="20" t="s">
        <v>59</v>
      </c>
      <c r="G2386" s="2" t="s">
        <v>5004</v>
      </c>
      <c r="H2386" s="16"/>
      <c r="I2386" s="20"/>
      <c r="J2386" s="20"/>
      <c r="K2386" s="20"/>
      <c r="L2386" s="20"/>
      <c r="M2386" s="20"/>
      <c r="N2386" s="20"/>
      <c r="O2386" s="20"/>
      <c r="P2386" s="20"/>
      <c r="Q2386" s="20"/>
      <c r="R2386" s="20"/>
      <c r="S2386" s="20"/>
      <c r="T2386" s="20"/>
      <c r="U2386" s="20"/>
      <c r="V2386" s="20"/>
      <c r="W2386" s="20"/>
      <c r="X2386" s="20"/>
      <c r="Y2386" s="20"/>
      <c r="Z2386" s="20"/>
      <c r="AA2386" s="20"/>
    </row>
    <row r="2387" spans="1:27" ht="139.19999999999999" x14ac:dyDescent="0.25">
      <c r="A2387" s="16"/>
      <c r="B2387" s="20" t="b">
        <v>0</v>
      </c>
      <c r="C2387" s="20">
        <v>400</v>
      </c>
      <c r="D2387" s="2" t="s">
        <v>5005</v>
      </c>
      <c r="E2387" s="2" t="s">
        <v>4571</v>
      </c>
      <c r="F2387" s="20" t="s">
        <v>59</v>
      </c>
      <c r="G2387" s="2" t="s">
        <v>5006</v>
      </c>
      <c r="H2387" s="16"/>
      <c r="I2387" s="20"/>
      <c r="J2387" s="20"/>
      <c r="K2387" s="20"/>
      <c r="L2387" s="20"/>
      <c r="M2387" s="20"/>
      <c r="N2387" s="20"/>
      <c r="O2387" s="20"/>
      <c r="P2387" s="20"/>
      <c r="Q2387" s="20"/>
      <c r="R2387" s="20"/>
      <c r="S2387" s="20"/>
      <c r="T2387" s="20"/>
      <c r="U2387" s="20"/>
      <c r="V2387" s="20"/>
      <c r="W2387" s="20"/>
      <c r="X2387" s="20"/>
      <c r="Y2387" s="20"/>
      <c r="Z2387" s="20"/>
      <c r="AA2387" s="20"/>
    </row>
    <row r="2388" spans="1:27" ht="409.6" x14ac:dyDescent="0.25">
      <c r="A2388" s="16"/>
      <c r="B2388" s="20" t="b">
        <v>0</v>
      </c>
      <c r="C2388" s="20">
        <v>400</v>
      </c>
      <c r="D2388" s="2" t="s">
        <v>5007</v>
      </c>
      <c r="E2388" s="2" t="s">
        <v>4571</v>
      </c>
      <c r="F2388" s="20" t="s">
        <v>64</v>
      </c>
      <c r="G2388" s="2" t="s">
        <v>5008</v>
      </c>
      <c r="H2388" s="16"/>
      <c r="I2388" s="20"/>
      <c r="J2388" s="20"/>
      <c r="K2388" s="20"/>
      <c r="L2388" s="20"/>
      <c r="M2388" s="20"/>
      <c r="N2388" s="20"/>
      <c r="O2388" s="20"/>
      <c r="P2388" s="20"/>
      <c r="Q2388" s="20"/>
      <c r="R2388" s="20"/>
      <c r="S2388" s="20"/>
      <c r="T2388" s="20"/>
      <c r="U2388" s="20"/>
      <c r="V2388" s="20"/>
      <c r="W2388" s="20"/>
      <c r="X2388" s="20"/>
      <c r="Y2388" s="20"/>
      <c r="Z2388" s="20"/>
      <c r="AA2388" s="20"/>
    </row>
    <row r="2389" spans="1:27" ht="409.6" x14ac:dyDescent="0.25">
      <c r="A2389" s="16"/>
      <c r="B2389" s="20" t="b">
        <v>0</v>
      </c>
      <c r="C2389" s="20">
        <v>200</v>
      </c>
      <c r="D2389" s="2" t="s">
        <v>5009</v>
      </c>
      <c r="E2389" s="2" t="s">
        <v>4571</v>
      </c>
      <c r="F2389" s="20" t="s">
        <v>59</v>
      </c>
      <c r="G2389" s="2" t="s">
        <v>5010</v>
      </c>
      <c r="H2389" s="16"/>
      <c r="I2389" s="20"/>
      <c r="J2389" s="20"/>
      <c r="K2389" s="20"/>
      <c r="L2389" s="20"/>
      <c r="M2389" s="20"/>
      <c r="N2389" s="20"/>
      <c r="O2389" s="20"/>
      <c r="P2389" s="20"/>
      <c r="Q2389" s="20"/>
      <c r="R2389" s="20"/>
      <c r="S2389" s="20"/>
      <c r="T2389" s="20"/>
      <c r="U2389" s="20"/>
      <c r="V2389" s="20"/>
      <c r="W2389" s="20"/>
      <c r="X2389" s="20"/>
      <c r="Y2389" s="20"/>
      <c r="Z2389" s="20"/>
      <c r="AA2389" s="20"/>
    </row>
    <row r="2390" spans="1:27" ht="409.6" x14ac:dyDescent="0.25">
      <c r="A2390" s="16"/>
      <c r="B2390" s="20" t="b">
        <v>0</v>
      </c>
      <c r="C2390" s="20">
        <v>400</v>
      </c>
      <c r="D2390" s="2" t="s">
        <v>5011</v>
      </c>
      <c r="E2390" s="2" t="s">
        <v>4571</v>
      </c>
      <c r="F2390" s="20" t="s">
        <v>58</v>
      </c>
      <c r="G2390" s="2" t="s">
        <v>5012</v>
      </c>
      <c r="H2390" s="16"/>
      <c r="I2390" s="20"/>
      <c r="J2390" s="20"/>
      <c r="K2390" s="20"/>
      <c r="L2390" s="20"/>
      <c r="M2390" s="20"/>
      <c r="N2390" s="20"/>
      <c r="O2390" s="20"/>
      <c r="P2390" s="20"/>
      <c r="Q2390" s="20"/>
      <c r="R2390" s="20"/>
      <c r="S2390" s="20"/>
      <c r="T2390" s="20"/>
      <c r="U2390" s="20"/>
      <c r="V2390" s="20"/>
      <c r="W2390" s="20"/>
      <c r="X2390" s="20"/>
      <c r="Y2390" s="20"/>
      <c r="Z2390" s="20"/>
      <c r="AA2390" s="20"/>
    </row>
    <row r="2391" spans="1:27" ht="409.6" x14ac:dyDescent="0.25">
      <c r="A2391" s="16"/>
      <c r="B2391" s="20" t="b">
        <v>0</v>
      </c>
      <c r="C2391" s="20">
        <v>300</v>
      </c>
      <c r="D2391" s="2" t="s">
        <v>5013</v>
      </c>
      <c r="E2391" s="2" t="s">
        <v>5014</v>
      </c>
      <c r="F2391" s="20" t="s">
        <v>64</v>
      </c>
      <c r="G2391" s="2" t="s">
        <v>5015</v>
      </c>
      <c r="H2391" s="16"/>
      <c r="I2391" s="20"/>
      <c r="J2391" s="20"/>
      <c r="K2391" s="20"/>
      <c r="L2391" s="20"/>
      <c r="M2391" s="20"/>
      <c r="N2391" s="20"/>
      <c r="O2391" s="20"/>
      <c r="P2391" s="20"/>
      <c r="Q2391" s="20"/>
      <c r="R2391" s="20"/>
      <c r="S2391" s="20"/>
      <c r="T2391" s="20"/>
      <c r="U2391" s="20"/>
      <c r="V2391" s="20"/>
      <c r="W2391" s="20"/>
      <c r="X2391" s="20"/>
      <c r="Y2391" s="20"/>
      <c r="Z2391" s="20"/>
      <c r="AA2391" s="20"/>
    </row>
    <row r="2392" spans="1:27" ht="295.8" x14ac:dyDescent="0.25">
      <c r="A2392" s="16"/>
      <c r="B2392" s="20" t="b">
        <v>0</v>
      </c>
      <c r="C2392" s="20">
        <v>100</v>
      </c>
      <c r="D2392" s="2" t="s">
        <v>5016</v>
      </c>
      <c r="E2392" s="2" t="s">
        <v>5014</v>
      </c>
      <c r="F2392" s="20" t="s">
        <v>64</v>
      </c>
      <c r="G2392" s="2" t="s">
        <v>5017</v>
      </c>
      <c r="H2392" s="16"/>
      <c r="I2392" s="20"/>
      <c r="J2392" s="20"/>
      <c r="K2392" s="20"/>
      <c r="L2392" s="20"/>
      <c r="M2392" s="20"/>
      <c r="N2392" s="20"/>
      <c r="O2392" s="20"/>
      <c r="P2392" s="20"/>
      <c r="Q2392" s="20"/>
      <c r="R2392" s="20"/>
      <c r="S2392" s="20"/>
      <c r="T2392" s="20"/>
      <c r="U2392" s="20"/>
      <c r="V2392" s="20"/>
      <c r="W2392" s="20"/>
      <c r="X2392" s="20"/>
      <c r="Y2392" s="20"/>
      <c r="Z2392" s="20"/>
      <c r="AA2392" s="20"/>
    </row>
    <row r="2393" spans="1:27" ht="295.8" x14ac:dyDescent="0.25">
      <c r="A2393" s="16"/>
      <c r="B2393" s="20" t="b">
        <v>0</v>
      </c>
      <c r="C2393" s="20">
        <v>100</v>
      </c>
      <c r="D2393" s="2" t="s">
        <v>5018</v>
      </c>
      <c r="E2393" s="2" t="s">
        <v>5014</v>
      </c>
      <c r="F2393" s="20" t="s">
        <v>57</v>
      </c>
      <c r="G2393" s="2" t="s">
        <v>5019</v>
      </c>
      <c r="H2393" s="16"/>
      <c r="I2393" s="20"/>
      <c r="J2393" s="20"/>
      <c r="K2393" s="20"/>
      <c r="L2393" s="20"/>
      <c r="M2393" s="20"/>
      <c r="N2393" s="20"/>
      <c r="O2393" s="20"/>
      <c r="P2393" s="20"/>
      <c r="Q2393" s="20"/>
      <c r="R2393" s="20"/>
      <c r="S2393" s="20"/>
      <c r="T2393" s="20"/>
      <c r="U2393" s="20"/>
      <c r="V2393" s="20"/>
      <c r="W2393" s="20"/>
      <c r="X2393" s="20"/>
      <c r="Y2393" s="20"/>
      <c r="Z2393" s="20"/>
      <c r="AA2393" s="20"/>
    </row>
    <row r="2394" spans="1:27" ht="330.6" x14ac:dyDescent="0.25">
      <c r="A2394" s="16"/>
      <c r="B2394" s="20" t="b">
        <v>0</v>
      </c>
      <c r="C2394" s="20">
        <v>200</v>
      </c>
      <c r="D2394" s="2" t="s">
        <v>5020</v>
      </c>
      <c r="E2394" s="2" t="s">
        <v>5014</v>
      </c>
      <c r="F2394" s="20" t="s">
        <v>57</v>
      </c>
      <c r="G2394" s="2" t="s">
        <v>5021</v>
      </c>
      <c r="H2394" s="16"/>
      <c r="I2394" s="20"/>
      <c r="J2394" s="20"/>
      <c r="K2394" s="20"/>
      <c r="L2394" s="20"/>
      <c r="M2394" s="20"/>
      <c r="N2394" s="20"/>
      <c r="O2394" s="20"/>
      <c r="P2394" s="20"/>
      <c r="Q2394" s="20"/>
      <c r="R2394" s="20"/>
      <c r="S2394" s="20"/>
      <c r="T2394" s="20"/>
      <c r="U2394" s="20"/>
      <c r="V2394" s="20"/>
      <c r="W2394" s="20"/>
      <c r="X2394" s="20"/>
      <c r="Y2394" s="20"/>
      <c r="Z2394" s="20"/>
      <c r="AA2394" s="20"/>
    </row>
    <row r="2395" spans="1:27" ht="365.4" x14ac:dyDescent="0.25">
      <c r="A2395" s="16"/>
      <c r="B2395" s="20" t="b">
        <v>0</v>
      </c>
      <c r="C2395" s="20">
        <v>400</v>
      </c>
      <c r="D2395" s="2" t="s">
        <v>5022</v>
      </c>
      <c r="E2395" s="2" t="s">
        <v>5014</v>
      </c>
      <c r="F2395" s="20" t="s">
        <v>53</v>
      </c>
      <c r="G2395" s="2" t="s">
        <v>5023</v>
      </c>
      <c r="H2395" s="16"/>
      <c r="I2395" s="20"/>
      <c r="J2395" s="20"/>
      <c r="K2395" s="20"/>
      <c r="L2395" s="20"/>
      <c r="M2395" s="20"/>
      <c r="N2395" s="20"/>
      <c r="O2395" s="20"/>
      <c r="P2395" s="20"/>
      <c r="Q2395" s="20"/>
      <c r="R2395" s="20"/>
      <c r="S2395" s="20"/>
      <c r="T2395" s="20"/>
      <c r="U2395" s="20"/>
      <c r="V2395" s="20"/>
      <c r="W2395" s="20"/>
      <c r="X2395" s="20"/>
      <c r="Y2395" s="20"/>
      <c r="Z2395" s="20"/>
      <c r="AA2395" s="20"/>
    </row>
    <row r="2396" spans="1:27" ht="400.2" x14ac:dyDescent="0.25">
      <c r="A2396" s="16"/>
      <c r="B2396" s="20" t="b">
        <v>0</v>
      </c>
      <c r="C2396" s="20">
        <v>600</v>
      </c>
      <c r="D2396" s="2" t="s">
        <v>5024</v>
      </c>
      <c r="E2396" s="2" t="s">
        <v>5014</v>
      </c>
      <c r="F2396" s="20" t="s">
        <v>54</v>
      </c>
      <c r="G2396" s="2" t="s">
        <v>5025</v>
      </c>
      <c r="H2396" s="16"/>
      <c r="I2396" s="20"/>
      <c r="J2396" s="20"/>
      <c r="K2396" s="20"/>
      <c r="L2396" s="20"/>
      <c r="M2396" s="20"/>
      <c r="N2396" s="20"/>
      <c r="O2396" s="20"/>
      <c r="P2396" s="20"/>
      <c r="Q2396" s="20"/>
      <c r="R2396" s="20"/>
      <c r="S2396" s="20"/>
      <c r="T2396" s="20"/>
      <c r="U2396" s="20"/>
      <c r="V2396" s="20"/>
      <c r="W2396" s="20"/>
      <c r="X2396" s="20"/>
      <c r="Y2396" s="20"/>
      <c r="Z2396" s="20"/>
      <c r="AA2396" s="20"/>
    </row>
    <row r="2397" spans="1:27" ht="313.2" x14ac:dyDescent="0.25">
      <c r="A2397" s="16"/>
      <c r="B2397" s="20" t="b">
        <v>0</v>
      </c>
      <c r="C2397" s="20">
        <v>100</v>
      </c>
      <c r="D2397" s="2" t="s">
        <v>5026</v>
      </c>
      <c r="E2397" s="2" t="s">
        <v>5014</v>
      </c>
      <c r="F2397" s="20" t="s">
        <v>57</v>
      </c>
      <c r="G2397" s="2" t="s">
        <v>5027</v>
      </c>
      <c r="H2397" s="16"/>
      <c r="I2397" s="20"/>
      <c r="J2397" s="20"/>
      <c r="K2397" s="20"/>
      <c r="L2397" s="20"/>
      <c r="M2397" s="20"/>
      <c r="N2397" s="20"/>
      <c r="O2397" s="20"/>
      <c r="P2397" s="20"/>
      <c r="Q2397" s="20"/>
      <c r="R2397" s="20"/>
      <c r="S2397" s="20"/>
      <c r="T2397" s="20"/>
      <c r="U2397" s="20"/>
      <c r="V2397" s="20"/>
      <c r="W2397" s="20"/>
      <c r="X2397" s="20"/>
      <c r="Y2397" s="20"/>
      <c r="Z2397" s="20"/>
      <c r="AA2397" s="20"/>
    </row>
    <row r="2398" spans="1:27" ht="295.8" x14ac:dyDescent="0.25">
      <c r="A2398" s="16"/>
      <c r="B2398" s="20" t="b">
        <v>0</v>
      </c>
      <c r="C2398" s="20">
        <v>200</v>
      </c>
      <c r="D2398" s="2" t="s">
        <v>5028</v>
      </c>
      <c r="E2398" s="2" t="s">
        <v>5014</v>
      </c>
      <c r="F2398" s="20" t="s">
        <v>57</v>
      </c>
      <c r="G2398" s="2" t="s">
        <v>5029</v>
      </c>
      <c r="H2398" s="16"/>
      <c r="I2398" s="20"/>
      <c r="J2398" s="20"/>
      <c r="K2398" s="20"/>
      <c r="L2398" s="20"/>
      <c r="M2398" s="20"/>
      <c r="N2398" s="20"/>
      <c r="O2398" s="20"/>
      <c r="P2398" s="20"/>
      <c r="Q2398" s="20"/>
      <c r="R2398" s="20"/>
      <c r="S2398" s="20"/>
      <c r="T2398" s="20"/>
      <c r="U2398" s="20"/>
      <c r="V2398" s="20"/>
      <c r="W2398" s="20"/>
      <c r="X2398" s="20"/>
      <c r="Y2398" s="20"/>
      <c r="Z2398" s="20"/>
      <c r="AA2398" s="20"/>
    </row>
    <row r="2399" spans="1:27" ht="365.4" x14ac:dyDescent="0.25">
      <c r="A2399" s="16"/>
      <c r="B2399" s="20" t="b">
        <v>0</v>
      </c>
      <c r="C2399" s="20">
        <v>400</v>
      </c>
      <c r="D2399" s="2" t="s">
        <v>5030</v>
      </c>
      <c r="E2399" s="2" t="s">
        <v>5014</v>
      </c>
      <c r="F2399" s="20" t="s">
        <v>63</v>
      </c>
      <c r="G2399" s="2" t="s">
        <v>5031</v>
      </c>
      <c r="H2399" s="16"/>
      <c r="I2399" s="20"/>
      <c r="J2399" s="20"/>
      <c r="K2399" s="20"/>
      <c r="L2399" s="20"/>
      <c r="M2399" s="20"/>
      <c r="N2399" s="20"/>
      <c r="O2399" s="20"/>
      <c r="P2399" s="20"/>
      <c r="Q2399" s="20"/>
      <c r="R2399" s="20"/>
      <c r="S2399" s="20"/>
      <c r="T2399" s="20"/>
      <c r="U2399" s="20"/>
      <c r="V2399" s="20"/>
      <c r="W2399" s="20"/>
      <c r="X2399" s="20"/>
      <c r="Y2399" s="20"/>
      <c r="Z2399" s="20"/>
      <c r="AA2399" s="20"/>
    </row>
    <row r="2400" spans="1:27" ht="365.4" x14ac:dyDescent="0.25">
      <c r="A2400" s="16"/>
      <c r="B2400" s="20" t="b">
        <v>0</v>
      </c>
      <c r="C2400" s="20">
        <v>600</v>
      </c>
      <c r="D2400" s="2" t="s">
        <v>5032</v>
      </c>
      <c r="E2400" s="2" t="s">
        <v>5014</v>
      </c>
      <c r="F2400" s="20" t="s">
        <v>60</v>
      </c>
      <c r="G2400" s="2" t="s">
        <v>5033</v>
      </c>
      <c r="H2400" s="16"/>
      <c r="I2400" s="20"/>
      <c r="J2400" s="20"/>
      <c r="K2400" s="20"/>
      <c r="L2400" s="20"/>
      <c r="M2400" s="20"/>
      <c r="N2400" s="20"/>
      <c r="O2400" s="20"/>
      <c r="P2400" s="20"/>
      <c r="Q2400" s="20"/>
      <c r="R2400" s="20"/>
      <c r="S2400" s="20"/>
      <c r="T2400" s="20"/>
      <c r="U2400" s="20"/>
      <c r="V2400" s="20"/>
      <c r="W2400" s="20"/>
      <c r="X2400" s="20"/>
      <c r="Y2400" s="20"/>
      <c r="Z2400" s="20"/>
      <c r="AA2400" s="20"/>
    </row>
    <row r="2401" spans="1:27" ht="313.2" x14ac:dyDescent="0.25">
      <c r="A2401" s="16"/>
      <c r="B2401" s="20" t="b">
        <v>0</v>
      </c>
      <c r="C2401" s="20">
        <v>100</v>
      </c>
      <c r="D2401" s="2" t="s">
        <v>5034</v>
      </c>
      <c r="E2401" s="2" t="s">
        <v>5014</v>
      </c>
      <c r="F2401" s="20" t="s">
        <v>55</v>
      </c>
      <c r="G2401" s="2" t="s">
        <v>5035</v>
      </c>
      <c r="H2401" s="16"/>
      <c r="I2401" s="20"/>
      <c r="J2401" s="20"/>
      <c r="K2401" s="20"/>
      <c r="L2401" s="20"/>
      <c r="M2401" s="20"/>
      <c r="N2401" s="20"/>
      <c r="O2401" s="20"/>
      <c r="P2401" s="20"/>
      <c r="Q2401" s="20"/>
      <c r="R2401" s="20"/>
      <c r="S2401" s="20"/>
      <c r="T2401" s="20"/>
      <c r="U2401" s="20"/>
      <c r="V2401" s="20"/>
      <c r="W2401" s="20"/>
      <c r="X2401" s="20"/>
      <c r="Y2401" s="20"/>
      <c r="Z2401" s="20"/>
      <c r="AA2401" s="20"/>
    </row>
    <row r="2402" spans="1:27" ht="313.2" x14ac:dyDescent="0.25">
      <c r="A2402" s="16"/>
      <c r="B2402" s="20" t="b">
        <v>0</v>
      </c>
      <c r="C2402" s="20">
        <v>200</v>
      </c>
      <c r="D2402" s="2" t="s">
        <v>5036</v>
      </c>
      <c r="E2402" s="2" t="s">
        <v>5014</v>
      </c>
      <c r="F2402" s="20" t="s">
        <v>53</v>
      </c>
      <c r="G2402" s="2" t="s">
        <v>5037</v>
      </c>
      <c r="H2402" s="16"/>
      <c r="I2402" s="20"/>
      <c r="J2402" s="20"/>
      <c r="K2402" s="20"/>
      <c r="L2402" s="20"/>
      <c r="M2402" s="20"/>
      <c r="N2402" s="20"/>
      <c r="O2402" s="20"/>
      <c r="P2402" s="20"/>
      <c r="Q2402" s="20"/>
      <c r="R2402" s="20"/>
      <c r="S2402" s="20"/>
      <c r="T2402" s="20"/>
      <c r="U2402" s="20"/>
      <c r="V2402" s="20"/>
      <c r="W2402" s="20"/>
      <c r="X2402" s="20"/>
      <c r="Y2402" s="20"/>
      <c r="Z2402" s="20"/>
      <c r="AA2402" s="20"/>
    </row>
    <row r="2403" spans="1:27" ht="365.4" x14ac:dyDescent="0.25">
      <c r="A2403" s="16"/>
      <c r="B2403" s="20" t="b">
        <v>0</v>
      </c>
      <c r="C2403" s="20">
        <v>400</v>
      </c>
      <c r="D2403" s="2" t="s">
        <v>5038</v>
      </c>
      <c r="E2403" s="2" t="s">
        <v>5014</v>
      </c>
      <c r="F2403" s="20" t="s">
        <v>54</v>
      </c>
      <c r="G2403" s="2" t="s">
        <v>5039</v>
      </c>
      <c r="H2403" s="16"/>
      <c r="I2403" s="20"/>
      <c r="J2403" s="20"/>
      <c r="K2403" s="20"/>
      <c r="L2403" s="20"/>
      <c r="M2403" s="20"/>
      <c r="N2403" s="20"/>
      <c r="O2403" s="20"/>
      <c r="P2403" s="20"/>
      <c r="Q2403" s="20"/>
      <c r="R2403" s="20"/>
      <c r="S2403" s="20"/>
      <c r="T2403" s="20"/>
      <c r="U2403" s="20"/>
      <c r="V2403" s="20"/>
      <c r="W2403" s="20"/>
      <c r="X2403" s="20"/>
      <c r="Y2403" s="20"/>
      <c r="Z2403" s="20"/>
      <c r="AA2403" s="20"/>
    </row>
    <row r="2404" spans="1:27" ht="348" x14ac:dyDescent="0.25">
      <c r="A2404" s="16"/>
      <c r="B2404" s="20" t="b">
        <v>0</v>
      </c>
      <c r="C2404" s="20">
        <v>600</v>
      </c>
      <c r="D2404" s="2" t="s">
        <v>5040</v>
      </c>
      <c r="E2404" s="2" t="s">
        <v>5014</v>
      </c>
      <c r="F2404" s="20" t="s">
        <v>60</v>
      </c>
      <c r="G2404" s="2" t="s">
        <v>5041</v>
      </c>
      <c r="H2404" s="16"/>
      <c r="I2404" s="20"/>
      <c r="J2404" s="20"/>
      <c r="K2404" s="20"/>
      <c r="L2404" s="20"/>
      <c r="M2404" s="20"/>
      <c r="N2404" s="20"/>
      <c r="O2404" s="20"/>
      <c r="P2404" s="20"/>
      <c r="Q2404" s="20"/>
      <c r="R2404" s="20"/>
      <c r="S2404" s="20"/>
      <c r="T2404" s="20"/>
      <c r="U2404" s="20"/>
      <c r="V2404" s="20"/>
      <c r="W2404" s="20"/>
      <c r="X2404" s="20"/>
      <c r="Y2404" s="20"/>
      <c r="Z2404" s="20"/>
      <c r="AA2404" s="20"/>
    </row>
    <row r="2405" spans="1:27" ht="348" x14ac:dyDescent="0.25">
      <c r="A2405" s="16"/>
      <c r="B2405" s="20" t="b">
        <v>0</v>
      </c>
      <c r="C2405" s="20">
        <v>100</v>
      </c>
      <c r="D2405" s="2" t="s">
        <v>5042</v>
      </c>
      <c r="E2405" s="2" t="s">
        <v>5014</v>
      </c>
      <c r="F2405" s="20" t="s">
        <v>62</v>
      </c>
      <c r="G2405" s="2" t="s">
        <v>5043</v>
      </c>
      <c r="H2405" s="16"/>
      <c r="I2405" s="20"/>
      <c r="J2405" s="20"/>
      <c r="K2405" s="20"/>
      <c r="L2405" s="20"/>
      <c r="M2405" s="20"/>
      <c r="N2405" s="20"/>
      <c r="O2405" s="20"/>
      <c r="P2405" s="20"/>
      <c r="Q2405" s="20"/>
      <c r="R2405" s="20"/>
      <c r="S2405" s="20"/>
      <c r="T2405" s="20"/>
      <c r="U2405" s="20"/>
      <c r="V2405" s="20"/>
      <c r="W2405" s="20"/>
      <c r="X2405" s="20"/>
      <c r="Y2405" s="20"/>
      <c r="Z2405" s="20"/>
      <c r="AA2405" s="20"/>
    </row>
    <row r="2406" spans="1:27" ht="330.6" x14ac:dyDescent="0.25">
      <c r="A2406" s="16"/>
      <c r="B2406" s="20" t="b">
        <v>0</v>
      </c>
      <c r="C2406" s="20">
        <v>200</v>
      </c>
      <c r="D2406" s="2" t="s">
        <v>5044</v>
      </c>
      <c r="E2406" s="2" t="s">
        <v>5014</v>
      </c>
      <c r="F2406" s="20" t="s">
        <v>54</v>
      </c>
      <c r="G2406" s="2" t="s">
        <v>5045</v>
      </c>
      <c r="H2406" s="16"/>
      <c r="I2406" s="20"/>
      <c r="J2406" s="20"/>
      <c r="K2406" s="20"/>
      <c r="L2406" s="20"/>
      <c r="M2406" s="20"/>
      <c r="N2406" s="20"/>
      <c r="O2406" s="20"/>
      <c r="P2406" s="20"/>
      <c r="Q2406" s="20"/>
      <c r="R2406" s="20"/>
      <c r="S2406" s="20"/>
      <c r="T2406" s="20"/>
      <c r="U2406" s="20"/>
      <c r="V2406" s="20"/>
      <c r="W2406" s="20"/>
      <c r="X2406" s="20"/>
      <c r="Y2406" s="20"/>
      <c r="Z2406" s="20"/>
      <c r="AA2406" s="20"/>
    </row>
    <row r="2407" spans="1:27" ht="313.2" x14ac:dyDescent="0.25">
      <c r="A2407" s="16"/>
      <c r="B2407" s="20" t="b">
        <v>0</v>
      </c>
      <c r="C2407" s="20">
        <v>400</v>
      </c>
      <c r="D2407" s="2" t="s">
        <v>5046</v>
      </c>
      <c r="E2407" s="2" t="s">
        <v>5014</v>
      </c>
      <c r="F2407" s="20" t="s">
        <v>54</v>
      </c>
      <c r="G2407" s="2" t="s">
        <v>5047</v>
      </c>
      <c r="H2407" s="16"/>
      <c r="I2407" s="20"/>
      <c r="J2407" s="20"/>
      <c r="K2407" s="20"/>
      <c r="L2407" s="20"/>
      <c r="M2407" s="20"/>
      <c r="N2407" s="20"/>
      <c r="O2407" s="20"/>
      <c r="P2407" s="20"/>
      <c r="Q2407" s="20"/>
      <c r="R2407" s="20"/>
      <c r="S2407" s="20"/>
      <c r="T2407" s="20"/>
      <c r="U2407" s="20"/>
      <c r="V2407" s="20"/>
      <c r="W2407" s="20"/>
      <c r="X2407" s="20"/>
      <c r="Y2407" s="20"/>
      <c r="Z2407" s="20"/>
      <c r="AA2407" s="20"/>
    </row>
    <row r="2408" spans="1:27" ht="330.6" x14ac:dyDescent="0.25">
      <c r="A2408" s="16"/>
      <c r="B2408" s="20" t="b">
        <v>0</v>
      </c>
      <c r="C2408" s="20">
        <v>600</v>
      </c>
      <c r="D2408" s="2" t="s">
        <v>5048</v>
      </c>
      <c r="E2408" s="2" t="s">
        <v>5014</v>
      </c>
      <c r="F2408" s="20" t="s">
        <v>60</v>
      </c>
      <c r="G2408" s="2" t="s">
        <v>5049</v>
      </c>
      <c r="H2408" s="16"/>
      <c r="I2408" s="20"/>
      <c r="J2408" s="20"/>
      <c r="K2408" s="20"/>
      <c r="L2408" s="20"/>
      <c r="M2408" s="20"/>
      <c r="N2408" s="20"/>
      <c r="O2408" s="20"/>
      <c r="P2408" s="20"/>
      <c r="Q2408" s="20"/>
      <c r="R2408" s="20"/>
      <c r="S2408" s="20"/>
      <c r="T2408" s="20"/>
      <c r="U2408" s="20"/>
      <c r="V2408" s="20"/>
      <c r="W2408" s="20"/>
      <c r="X2408" s="20"/>
      <c r="Y2408" s="20"/>
      <c r="Z2408" s="20"/>
      <c r="AA2408" s="20"/>
    </row>
    <row r="2409" spans="1:27" ht="348" x14ac:dyDescent="0.25">
      <c r="A2409" s="16"/>
      <c r="B2409" s="20" t="b">
        <v>0</v>
      </c>
      <c r="C2409" s="20">
        <v>100</v>
      </c>
      <c r="D2409" s="2" t="s">
        <v>5050</v>
      </c>
      <c r="E2409" s="2" t="s">
        <v>5014</v>
      </c>
      <c r="F2409" s="20" t="s">
        <v>63</v>
      </c>
      <c r="G2409" s="2" t="s">
        <v>5051</v>
      </c>
      <c r="H2409" s="16"/>
      <c r="I2409" s="20"/>
      <c r="J2409" s="20"/>
      <c r="K2409" s="20"/>
      <c r="L2409" s="20"/>
      <c r="M2409" s="20"/>
      <c r="N2409" s="20"/>
      <c r="O2409" s="20"/>
      <c r="P2409" s="20"/>
      <c r="Q2409" s="20"/>
      <c r="R2409" s="20"/>
      <c r="S2409" s="20"/>
      <c r="T2409" s="20"/>
      <c r="U2409" s="20"/>
      <c r="V2409" s="20"/>
      <c r="W2409" s="20"/>
      <c r="X2409" s="20"/>
      <c r="Y2409" s="20"/>
      <c r="Z2409" s="20"/>
      <c r="AA2409" s="20"/>
    </row>
    <row r="2410" spans="1:27" ht="330.6" x14ac:dyDescent="0.25">
      <c r="A2410" s="16"/>
      <c r="B2410" s="20" t="b">
        <v>0</v>
      </c>
      <c r="C2410" s="20">
        <v>200</v>
      </c>
      <c r="D2410" s="2" t="s">
        <v>5052</v>
      </c>
      <c r="E2410" s="2" t="s">
        <v>5014</v>
      </c>
      <c r="F2410" s="20" t="s">
        <v>55</v>
      </c>
      <c r="G2410" s="2" t="s">
        <v>5053</v>
      </c>
      <c r="H2410" s="16"/>
      <c r="I2410" s="20"/>
      <c r="J2410" s="20"/>
      <c r="K2410" s="20"/>
      <c r="L2410" s="20"/>
      <c r="M2410" s="20"/>
      <c r="N2410" s="20"/>
      <c r="O2410" s="20"/>
      <c r="P2410" s="20"/>
      <c r="Q2410" s="20"/>
      <c r="R2410" s="20"/>
      <c r="S2410" s="20"/>
      <c r="T2410" s="20"/>
      <c r="U2410" s="20"/>
      <c r="V2410" s="20"/>
      <c r="W2410" s="20"/>
      <c r="X2410" s="20"/>
      <c r="Y2410" s="20"/>
      <c r="Z2410" s="20"/>
      <c r="AA2410" s="20"/>
    </row>
    <row r="2411" spans="1:27" ht="330.6" x14ac:dyDescent="0.25">
      <c r="A2411" s="16"/>
      <c r="B2411" s="20" t="b">
        <v>0</v>
      </c>
      <c r="C2411" s="20">
        <v>400</v>
      </c>
      <c r="D2411" s="2" t="s">
        <v>5054</v>
      </c>
      <c r="E2411" s="2" t="s">
        <v>5014</v>
      </c>
      <c r="F2411" s="20" t="s">
        <v>57</v>
      </c>
      <c r="G2411" s="2" t="s">
        <v>5055</v>
      </c>
      <c r="H2411" s="16"/>
      <c r="I2411" s="20"/>
      <c r="J2411" s="20"/>
      <c r="K2411" s="20"/>
      <c r="L2411" s="20"/>
      <c r="M2411" s="20"/>
      <c r="N2411" s="20"/>
      <c r="O2411" s="20"/>
      <c r="P2411" s="20"/>
      <c r="Q2411" s="20"/>
      <c r="R2411" s="20"/>
      <c r="S2411" s="20"/>
      <c r="T2411" s="20"/>
      <c r="U2411" s="20"/>
      <c r="V2411" s="20"/>
      <c r="W2411" s="20"/>
      <c r="X2411" s="20"/>
      <c r="Y2411" s="20"/>
      <c r="Z2411" s="20"/>
      <c r="AA2411" s="20"/>
    </row>
    <row r="2412" spans="1:27" ht="400.2" x14ac:dyDescent="0.25">
      <c r="A2412" s="16"/>
      <c r="B2412" s="20" t="b">
        <v>0</v>
      </c>
      <c r="C2412" s="20">
        <v>600</v>
      </c>
      <c r="D2412" s="2" t="s">
        <v>5056</v>
      </c>
      <c r="E2412" s="2" t="s">
        <v>5014</v>
      </c>
      <c r="F2412" s="20" t="s">
        <v>60</v>
      </c>
      <c r="G2412" s="2" t="s">
        <v>5057</v>
      </c>
      <c r="H2412" s="16"/>
      <c r="I2412" s="20"/>
      <c r="J2412" s="20"/>
      <c r="K2412" s="20"/>
      <c r="L2412" s="20"/>
      <c r="M2412" s="20"/>
      <c r="N2412" s="20"/>
      <c r="O2412" s="20"/>
      <c r="P2412" s="20"/>
      <c r="Q2412" s="20"/>
      <c r="R2412" s="20"/>
      <c r="S2412" s="20"/>
      <c r="T2412" s="20"/>
      <c r="U2412" s="20"/>
      <c r="V2412" s="20"/>
      <c r="W2412" s="20"/>
      <c r="X2412" s="20"/>
      <c r="Y2412" s="20"/>
      <c r="Z2412" s="20"/>
      <c r="AA2412" s="20"/>
    </row>
    <row r="2413" spans="1:27" ht="295.8" x14ac:dyDescent="0.25">
      <c r="A2413" s="16"/>
      <c r="B2413" s="20" t="b">
        <v>0</v>
      </c>
      <c r="C2413" s="20">
        <v>100</v>
      </c>
      <c r="D2413" s="2" t="s">
        <v>5058</v>
      </c>
      <c r="E2413" s="2" t="s">
        <v>5014</v>
      </c>
      <c r="F2413" s="20" t="s">
        <v>59</v>
      </c>
      <c r="G2413" s="2" t="s">
        <v>5059</v>
      </c>
      <c r="H2413" s="16"/>
      <c r="I2413" s="20"/>
      <c r="J2413" s="20"/>
      <c r="K2413" s="20"/>
      <c r="L2413" s="20"/>
      <c r="M2413" s="20"/>
      <c r="N2413" s="20"/>
      <c r="O2413" s="20"/>
      <c r="P2413" s="20"/>
      <c r="Q2413" s="20"/>
      <c r="R2413" s="20"/>
      <c r="S2413" s="20"/>
      <c r="T2413" s="20"/>
      <c r="U2413" s="20"/>
      <c r="V2413" s="20"/>
      <c r="W2413" s="20"/>
      <c r="X2413" s="20"/>
      <c r="Y2413" s="20"/>
      <c r="Z2413" s="20"/>
      <c r="AA2413" s="20"/>
    </row>
    <row r="2414" spans="1:27" ht="365.4" x14ac:dyDescent="0.25">
      <c r="A2414" s="16"/>
      <c r="B2414" s="20" t="b">
        <v>0</v>
      </c>
      <c r="C2414" s="20">
        <v>400</v>
      </c>
      <c r="D2414" s="2" t="s">
        <v>5060</v>
      </c>
      <c r="E2414" s="2" t="s">
        <v>5014</v>
      </c>
      <c r="F2414" s="20" t="s">
        <v>59</v>
      </c>
      <c r="G2414" s="2" t="s">
        <v>5061</v>
      </c>
      <c r="H2414" s="16"/>
      <c r="I2414" s="20"/>
      <c r="J2414" s="20"/>
      <c r="K2414" s="20"/>
      <c r="L2414" s="20"/>
      <c r="M2414" s="20"/>
      <c r="N2414" s="20"/>
      <c r="O2414" s="20"/>
      <c r="P2414" s="20"/>
      <c r="Q2414" s="20"/>
      <c r="R2414" s="20"/>
      <c r="S2414" s="20"/>
      <c r="T2414" s="20"/>
      <c r="U2414" s="20"/>
      <c r="V2414" s="20"/>
      <c r="W2414" s="20"/>
      <c r="X2414" s="20"/>
      <c r="Y2414" s="20"/>
      <c r="Z2414" s="20"/>
      <c r="AA2414" s="20"/>
    </row>
    <row r="2415" spans="1:27" ht="278.39999999999998" x14ac:dyDescent="0.25">
      <c r="A2415" s="16"/>
      <c r="B2415" s="20" t="b">
        <v>0</v>
      </c>
      <c r="C2415" s="20">
        <v>600</v>
      </c>
      <c r="D2415" s="2" t="s">
        <v>5062</v>
      </c>
      <c r="E2415" s="2" t="s">
        <v>5014</v>
      </c>
      <c r="F2415" s="20" t="s">
        <v>54</v>
      </c>
      <c r="G2415" s="2" t="s">
        <v>5063</v>
      </c>
      <c r="H2415" s="16"/>
      <c r="I2415" s="20"/>
      <c r="J2415" s="20"/>
      <c r="K2415" s="20"/>
      <c r="L2415" s="20"/>
      <c r="M2415" s="20"/>
      <c r="N2415" s="20"/>
      <c r="O2415" s="20"/>
      <c r="P2415" s="20"/>
      <c r="Q2415" s="20"/>
      <c r="R2415" s="20"/>
      <c r="S2415" s="20"/>
      <c r="T2415" s="20"/>
      <c r="U2415" s="20"/>
      <c r="V2415" s="20"/>
      <c r="W2415" s="20"/>
      <c r="X2415" s="20"/>
      <c r="Y2415" s="20"/>
      <c r="Z2415" s="20"/>
      <c r="AA2415" s="20"/>
    </row>
    <row r="2416" spans="1:27" ht="295.8" x14ac:dyDescent="0.25">
      <c r="A2416" s="16"/>
      <c r="B2416" s="20" t="b">
        <v>0</v>
      </c>
      <c r="C2416" s="20">
        <v>100</v>
      </c>
      <c r="D2416" s="2" t="s">
        <v>5064</v>
      </c>
      <c r="E2416" s="2" t="s">
        <v>5014</v>
      </c>
      <c r="F2416" s="20" t="s">
        <v>59</v>
      </c>
      <c r="G2416" s="2" t="s">
        <v>5065</v>
      </c>
      <c r="H2416" s="16"/>
      <c r="I2416" s="20"/>
      <c r="J2416" s="20"/>
      <c r="K2416" s="20"/>
      <c r="L2416" s="20"/>
      <c r="M2416" s="20"/>
      <c r="N2416" s="20"/>
      <c r="O2416" s="20"/>
      <c r="P2416" s="20"/>
      <c r="Q2416" s="20"/>
      <c r="R2416" s="20"/>
      <c r="S2416" s="20"/>
      <c r="T2416" s="20"/>
      <c r="U2416" s="20"/>
      <c r="V2416" s="20"/>
      <c r="W2416" s="20"/>
      <c r="X2416" s="20"/>
      <c r="Y2416" s="20"/>
      <c r="Z2416" s="20"/>
      <c r="AA2416" s="20"/>
    </row>
    <row r="2417" spans="1:27" ht="278.39999999999998" x14ac:dyDescent="0.25">
      <c r="A2417" s="16"/>
      <c r="B2417" s="20" t="b">
        <v>0</v>
      </c>
      <c r="C2417" s="20">
        <v>200</v>
      </c>
      <c r="D2417" s="2" t="s">
        <v>5066</v>
      </c>
      <c r="E2417" s="2" t="s">
        <v>5014</v>
      </c>
      <c r="F2417" s="20" t="s">
        <v>59</v>
      </c>
      <c r="G2417" s="2" t="s">
        <v>5067</v>
      </c>
      <c r="H2417" s="16"/>
      <c r="I2417" s="20"/>
      <c r="J2417" s="20"/>
      <c r="K2417" s="20"/>
      <c r="L2417" s="20"/>
      <c r="M2417" s="20"/>
      <c r="N2417" s="20"/>
      <c r="O2417" s="20"/>
      <c r="P2417" s="20"/>
      <c r="Q2417" s="20"/>
      <c r="R2417" s="20"/>
      <c r="S2417" s="20"/>
      <c r="T2417" s="20"/>
      <c r="U2417" s="20"/>
      <c r="V2417" s="20"/>
      <c r="W2417" s="20"/>
      <c r="X2417" s="20"/>
      <c r="Y2417" s="20"/>
      <c r="Z2417" s="20"/>
      <c r="AA2417" s="20"/>
    </row>
    <row r="2418" spans="1:27" ht="330.6" x14ac:dyDescent="0.25">
      <c r="A2418" s="16"/>
      <c r="B2418" s="20" t="b">
        <v>0</v>
      </c>
      <c r="C2418" s="20">
        <v>400</v>
      </c>
      <c r="D2418" s="2" t="s">
        <v>5068</v>
      </c>
      <c r="E2418" s="2" t="s">
        <v>5014</v>
      </c>
      <c r="F2418" s="20" t="s">
        <v>58</v>
      </c>
      <c r="G2418" s="2" t="s">
        <v>5069</v>
      </c>
      <c r="H2418" s="16"/>
      <c r="I2418" s="20"/>
      <c r="J2418" s="20"/>
      <c r="K2418" s="20"/>
      <c r="L2418" s="20"/>
      <c r="M2418" s="20"/>
      <c r="N2418" s="20"/>
      <c r="O2418" s="20"/>
      <c r="P2418" s="20"/>
      <c r="Q2418" s="20"/>
      <c r="R2418" s="20"/>
      <c r="S2418" s="20"/>
      <c r="T2418" s="20"/>
      <c r="U2418" s="20"/>
      <c r="V2418" s="20"/>
      <c r="W2418" s="20"/>
      <c r="X2418" s="20"/>
      <c r="Y2418" s="20"/>
      <c r="Z2418" s="20"/>
      <c r="AA2418" s="20"/>
    </row>
    <row r="2419" spans="1:27" ht="261" x14ac:dyDescent="0.25">
      <c r="A2419" s="16"/>
      <c r="B2419" s="20" t="b">
        <v>0</v>
      </c>
      <c r="C2419" s="20">
        <v>100</v>
      </c>
      <c r="D2419" s="2" t="s">
        <v>5070</v>
      </c>
      <c r="E2419" s="2" t="s">
        <v>5014</v>
      </c>
      <c r="F2419" s="20" t="s">
        <v>54</v>
      </c>
      <c r="G2419" s="2" t="s">
        <v>5071</v>
      </c>
      <c r="H2419" s="16"/>
      <c r="I2419" s="20"/>
      <c r="J2419" s="20"/>
      <c r="K2419" s="20"/>
      <c r="L2419" s="20"/>
      <c r="M2419" s="20"/>
      <c r="N2419" s="20"/>
      <c r="O2419" s="20"/>
      <c r="P2419" s="20"/>
      <c r="Q2419" s="20"/>
      <c r="R2419" s="20"/>
      <c r="S2419" s="20"/>
      <c r="T2419" s="20"/>
      <c r="U2419" s="20"/>
      <c r="V2419" s="20"/>
      <c r="W2419" s="20"/>
      <c r="X2419" s="20"/>
      <c r="Y2419" s="20"/>
      <c r="Z2419" s="20"/>
      <c r="AA2419" s="20"/>
    </row>
    <row r="2420" spans="1:27" ht="330.6" x14ac:dyDescent="0.25">
      <c r="A2420" s="16"/>
      <c r="B2420" s="20" t="b">
        <v>0</v>
      </c>
      <c r="C2420" s="20">
        <v>400</v>
      </c>
      <c r="D2420" s="2" t="s">
        <v>5072</v>
      </c>
      <c r="E2420" s="2" t="s">
        <v>5014</v>
      </c>
      <c r="F2420" s="20" t="s">
        <v>59</v>
      </c>
      <c r="G2420" s="2" t="s">
        <v>5073</v>
      </c>
      <c r="H2420" s="16"/>
      <c r="I2420" s="20"/>
      <c r="J2420" s="20"/>
      <c r="K2420" s="20"/>
      <c r="L2420" s="20"/>
      <c r="M2420" s="20"/>
      <c r="N2420" s="20"/>
      <c r="O2420" s="20"/>
      <c r="P2420" s="20"/>
      <c r="Q2420" s="20"/>
      <c r="R2420" s="20"/>
      <c r="S2420" s="20"/>
      <c r="T2420" s="20"/>
      <c r="U2420" s="20"/>
      <c r="V2420" s="20"/>
      <c r="W2420" s="20"/>
      <c r="X2420" s="20"/>
      <c r="Y2420" s="20"/>
      <c r="Z2420" s="20"/>
      <c r="AA2420" s="20"/>
    </row>
    <row r="2421" spans="1:27" ht="409.6" x14ac:dyDescent="0.25">
      <c r="A2421" s="16"/>
      <c r="B2421" s="20" t="b">
        <v>0</v>
      </c>
      <c r="C2421" s="20">
        <v>100</v>
      </c>
      <c r="D2421" s="2" t="s">
        <v>5074</v>
      </c>
      <c r="E2421" s="2" t="s">
        <v>5014</v>
      </c>
      <c r="F2421" s="20" t="s">
        <v>53</v>
      </c>
      <c r="G2421" s="2" t="s">
        <v>5075</v>
      </c>
      <c r="H2421" s="16"/>
      <c r="I2421" s="20"/>
      <c r="J2421" s="20"/>
      <c r="K2421" s="20"/>
      <c r="L2421" s="20"/>
      <c r="M2421" s="20"/>
      <c r="N2421" s="20"/>
      <c r="O2421" s="20"/>
      <c r="P2421" s="20"/>
      <c r="Q2421" s="20"/>
      <c r="R2421" s="20"/>
      <c r="S2421" s="20"/>
      <c r="T2421" s="20"/>
      <c r="U2421" s="20"/>
      <c r="V2421" s="20"/>
      <c r="W2421" s="20"/>
      <c r="X2421" s="20"/>
      <c r="Y2421" s="20"/>
      <c r="Z2421" s="20"/>
      <c r="AA2421" s="20"/>
    </row>
    <row r="2422" spans="1:27" ht="365.4" x14ac:dyDescent="0.25">
      <c r="A2422" s="16"/>
      <c r="B2422" s="20" t="b">
        <v>0</v>
      </c>
      <c r="C2422" s="20">
        <v>200</v>
      </c>
      <c r="D2422" s="2" t="s">
        <v>5076</v>
      </c>
      <c r="E2422" s="2" t="s">
        <v>5014</v>
      </c>
      <c r="F2422" s="20" t="s">
        <v>53</v>
      </c>
      <c r="G2422" s="2" t="s">
        <v>5077</v>
      </c>
      <c r="H2422" s="16"/>
      <c r="I2422" s="20"/>
      <c r="J2422" s="20"/>
      <c r="K2422" s="20"/>
      <c r="L2422" s="20"/>
      <c r="M2422" s="20"/>
      <c r="N2422" s="20"/>
      <c r="O2422" s="20"/>
      <c r="P2422" s="20"/>
      <c r="Q2422" s="20"/>
      <c r="R2422" s="20"/>
      <c r="S2422" s="20"/>
      <c r="T2422" s="20"/>
      <c r="U2422" s="20"/>
      <c r="V2422" s="20"/>
      <c r="W2422" s="20"/>
      <c r="X2422" s="20"/>
      <c r="Y2422" s="20"/>
      <c r="Z2422" s="20"/>
      <c r="AA2422" s="20"/>
    </row>
    <row r="2423" spans="1:27" ht="382.8" x14ac:dyDescent="0.25">
      <c r="A2423" s="16"/>
      <c r="B2423" s="20" t="b">
        <v>0</v>
      </c>
      <c r="C2423" s="20">
        <v>400</v>
      </c>
      <c r="D2423" s="2" t="s">
        <v>5078</v>
      </c>
      <c r="E2423" s="2" t="s">
        <v>5014</v>
      </c>
      <c r="F2423" s="20" t="s">
        <v>59</v>
      </c>
      <c r="G2423" s="2" t="s">
        <v>5079</v>
      </c>
      <c r="H2423" s="16"/>
      <c r="I2423" s="20"/>
      <c r="J2423" s="20"/>
      <c r="K2423" s="20"/>
      <c r="L2423" s="20"/>
      <c r="M2423" s="20"/>
      <c r="N2423" s="20"/>
      <c r="O2423" s="20"/>
      <c r="P2423" s="20"/>
      <c r="Q2423" s="20"/>
      <c r="R2423" s="20"/>
      <c r="S2423" s="20"/>
      <c r="T2423" s="20"/>
      <c r="U2423" s="20"/>
      <c r="V2423" s="20"/>
      <c r="W2423" s="20"/>
      <c r="X2423" s="20"/>
      <c r="Y2423" s="20"/>
      <c r="Z2423" s="20"/>
      <c r="AA2423" s="20"/>
    </row>
    <row r="2424" spans="1:27" ht="365.4" x14ac:dyDescent="0.25">
      <c r="A2424" s="16"/>
      <c r="B2424" s="20" t="b">
        <v>0</v>
      </c>
      <c r="C2424" s="20">
        <v>600</v>
      </c>
      <c r="D2424" s="2" t="s">
        <v>5080</v>
      </c>
      <c r="E2424" s="2" t="s">
        <v>5014</v>
      </c>
      <c r="F2424" s="20" t="s">
        <v>54</v>
      </c>
      <c r="G2424" s="2" t="s">
        <v>5081</v>
      </c>
      <c r="H2424" s="16"/>
      <c r="I2424" s="20"/>
      <c r="J2424" s="20"/>
      <c r="K2424" s="20"/>
      <c r="L2424" s="20"/>
      <c r="M2424" s="20"/>
      <c r="N2424" s="20"/>
      <c r="O2424" s="20"/>
      <c r="P2424" s="20"/>
      <c r="Q2424" s="20"/>
      <c r="R2424" s="20"/>
      <c r="S2424" s="20"/>
      <c r="T2424" s="20"/>
      <c r="U2424" s="20"/>
      <c r="V2424" s="20"/>
      <c r="W2424" s="20"/>
      <c r="X2424" s="20"/>
      <c r="Y2424" s="20"/>
      <c r="Z2424" s="20"/>
      <c r="AA2424" s="20"/>
    </row>
    <row r="2425" spans="1:27" ht="382.8" x14ac:dyDescent="0.25">
      <c r="A2425" s="16"/>
      <c r="B2425" s="20" t="b">
        <v>0</v>
      </c>
      <c r="C2425" s="20">
        <v>100</v>
      </c>
      <c r="D2425" s="2" t="s">
        <v>5082</v>
      </c>
      <c r="E2425" s="2" t="s">
        <v>5014</v>
      </c>
      <c r="F2425" s="20" t="s">
        <v>57</v>
      </c>
      <c r="G2425" s="2" t="s">
        <v>5083</v>
      </c>
      <c r="H2425" s="16"/>
      <c r="I2425" s="20"/>
      <c r="J2425" s="20"/>
      <c r="K2425" s="20"/>
      <c r="L2425" s="20"/>
      <c r="M2425" s="20"/>
      <c r="N2425" s="20"/>
      <c r="O2425" s="20"/>
      <c r="P2425" s="20"/>
      <c r="Q2425" s="20"/>
      <c r="R2425" s="20"/>
      <c r="S2425" s="20"/>
      <c r="T2425" s="20"/>
      <c r="U2425" s="20"/>
      <c r="V2425" s="20"/>
      <c r="W2425" s="20"/>
      <c r="X2425" s="20"/>
      <c r="Y2425" s="20"/>
      <c r="Z2425" s="20"/>
      <c r="AA2425" s="20"/>
    </row>
    <row r="2426" spans="1:27" ht="365.4" x14ac:dyDescent="0.25">
      <c r="A2426" s="16"/>
      <c r="B2426" s="20" t="b">
        <v>0</v>
      </c>
      <c r="C2426" s="20">
        <v>400</v>
      </c>
      <c r="D2426" s="2" t="s">
        <v>5084</v>
      </c>
      <c r="E2426" s="2" t="s">
        <v>5014</v>
      </c>
      <c r="F2426" s="20" t="s">
        <v>58</v>
      </c>
      <c r="G2426" s="2" t="s">
        <v>5085</v>
      </c>
      <c r="H2426" s="16"/>
      <c r="I2426" s="20"/>
      <c r="J2426" s="20"/>
      <c r="K2426" s="20"/>
      <c r="L2426" s="20"/>
      <c r="M2426" s="20"/>
      <c r="N2426" s="20"/>
      <c r="O2426" s="20"/>
      <c r="P2426" s="20"/>
      <c r="Q2426" s="20"/>
      <c r="R2426" s="20"/>
      <c r="S2426" s="20"/>
      <c r="T2426" s="20"/>
      <c r="U2426" s="20"/>
      <c r="V2426" s="20"/>
      <c r="W2426" s="20"/>
      <c r="X2426" s="20"/>
      <c r="Y2426" s="20"/>
      <c r="Z2426" s="20"/>
      <c r="AA2426" s="20"/>
    </row>
    <row r="2427" spans="1:27" ht="365.4" x14ac:dyDescent="0.25">
      <c r="A2427" s="16"/>
      <c r="B2427" s="20" t="b">
        <v>0</v>
      </c>
      <c r="C2427" s="20">
        <v>600</v>
      </c>
      <c r="D2427" s="2" t="s">
        <v>5086</v>
      </c>
      <c r="E2427" s="2" t="s">
        <v>5014</v>
      </c>
      <c r="F2427" s="20" t="s">
        <v>59</v>
      </c>
      <c r="G2427" s="2" t="s">
        <v>5087</v>
      </c>
      <c r="H2427" s="16"/>
      <c r="I2427" s="20"/>
      <c r="J2427" s="20"/>
      <c r="K2427" s="20"/>
      <c r="L2427" s="20"/>
      <c r="M2427" s="20"/>
      <c r="N2427" s="20"/>
      <c r="O2427" s="20"/>
      <c r="P2427" s="20"/>
      <c r="Q2427" s="20"/>
      <c r="R2427" s="20"/>
      <c r="S2427" s="20"/>
      <c r="T2427" s="20"/>
      <c r="U2427" s="20"/>
      <c r="V2427" s="20"/>
      <c r="W2427" s="20"/>
      <c r="X2427" s="20"/>
      <c r="Y2427" s="20"/>
      <c r="Z2427" s="20"/>
      <c r="AA2427" s="20"/>
    </row>
    <row r="2428" spans="1:27" ht="409.6" x14ac:dyDescent="0.25">
      <c r="A2428" s="16"/>
      <c r="B2428" s="20" t="b">
        <v>0</v>
      </c>
      <c r="C2428" s="20">
        <v>400</v>
      </c>
      <c r="D2428" s="2" t="s">
        <v>5088</v>
      </c>
      <c r="E2428" s="2" t="s">
        <v>5014</v>
      </c>
      <c r="F2428" s="20" t="s">
        <v>58</v>
      </c>
      <c r="G2428" s="2" t="s">
        <v>5089</v>
      </c>
      <c r="H2428" s="16"/>
      <c r="I2428" s="20"/>
      <c r="J2428" s="20"/>
      <c r="K2428" s="20"/>
      <c r="L2428" s="20"/>
      <c r="M2428" s="20"/>
      <c r="N2428" s="20"/>
      <c r="O2428" s="20"/>
      <c r="P2428" s="20"/>
      <c r="Q2428" s="20"/>
      <c r="R2428" s="20"/>
      <c r="S2428" s="20"/>
      <c r="T2428" s="20"/>
      <c r="U2428" s="20"/>
      <c r="V2428" s="20"/>
      <c r="W2428" s="20"/>
      <c r="X2428" s="20"/>
      <c r="Y2428" s="20"/>
      <c r="Z2428" s="20"/>
      <c r="AA2428" s="20"/>
    </row>
    <row r="2429" spans="1:27" ht="104.4" x14ac:dyDescent="0.25">
      <c r="A2429" s="16"/>
      <c r="B2429" s="20" t="b">
        <v>0</v>
      </c>
      <c r="C2429" s="20">
        <v>200</v>
      </c>
      <c r="D2429" s="2" t="s">
        <v>5090</v>
      </c>
      <c r="E2429" s="2" t="s">
        <v>5091</v>
      </c>
      <c r="F2429" s="20" t="s">
        <v>53</v>
      </c>
      <c r="G2429" s="2" t="s">
        <v>5092</v>
      </c>
      <c r="H2429" s="16"/>
      <c r="I2429" s="20"/>
      <c r="J2429" s="20"/>
      <c r="K2429" s="20"/>
      <c r="L2429" s="20"/>
      <c r="M2429" s="20"/>
      <c r="N2429" s="20"/>
      <c r="O2429" s="20"/>
      <c r="P2429" s="20"/>
      <c r="Q2429" s="20"/>
      <c r="R2429" s="20"/>
      <c r="S2429" s="20"/>
      <c r="T2429" s="20"/>
      <c r="U2429" s="20"/>
      <c r="V2429" s="20"/>
      <c r="W2429" s="20"/>
      <c r="X2429" s="20"/>
      <c r="Y2429" s="20"/>
      <c r="Z2429" s="20"/>
      <c r="AA2429" s="20"/>
    </row>
    <row r="2430" spans="1:27" ht="139.19999999999999" x14ac:dyDescent="0.25">
      <c r="A2430" s="16"/>
      <c r="B2430" s="20" t="b">
        <v>0</v>
      </c>
      <c r="C2430" s="20">
        <v>300</v>
      </c>
      <c r="D2430" s="2" t="s">
        <v>5093</v>
      </c>
      <c r="E2430" s="2" t="s">
        <v>5094</v>
      </c>
      <c r="F2430" s="20" t="s">
        <v>58</v>
      </c>
      <c r="G2430" s="2" t="s">
        <v>5095</v>
      </c>
      <c r="H2430" s="16"/>
      <c r="I2430" s="20"/>
      <c r="J2430" s="20"/>
      <c r="K2430" s="20"/>
      <c r="L2430" s="20"/>
      <c r="M2430" s="20"/>
      <c r="N2430" s="20"/>
      <c r="O2430" s="20"/>
      <c r="P2430" s="20"/>
      <c r="Q2430" s="20"/>
      <c r="R2430" s="20"/>
      <c r="S2430" s="20"/>
      <c r="T2430" s="20"/>
      <c r="U2430" s="20"/>
      <c r="V2430" s="20"/>
      <c r="W2430" s="20"/>
      <c r="X2430" s="20"/>
      <c r="Y2430" s="20"/>
      <c r="Z2430" s="20"/>
      <c r="AA2430" s="20"/>
    </row>
    <row r="2431" spans="1:27" ht="121.8" x14ac:dyDescent="0.25">
      <c r="A2431" s="16"/>
      <c r="B2431" s="20" t="b">
        <v>0</v>
      </c>
      <c r="C2431" s="20">
        <v>0</v>
      </c>
      <c r="D2431" s="2" t="s">
        <v>5096</v>
      </c>
      <c r="E2431" s="2" t="s">
        <v>5097</v>
      </c>
      <c r="F2431" s="20" t="s">
        <v>53</v>
      </c>
      <c r="G2431" s="2" t="s">
        <v>5098</v>
      </c>
      <c r="H2431" s="16"/>
      <c r="I2431" s="20"/>
      <c r="J2431" s="20"/>
      <c r="K2431" s="20"/>
      <c r="L2431" s="20"/>
      <c r="M2431" s="20"/>
      <c r="N2431" s="20"/>
      <c r="O2431" s="20"/>
      <c r="P2431" s="20"/>
      <c r="Q2431" s="20"/>
      <c r="R2431" s="20"/>
      <c r="S2431" s="20"/>
      <c r="T2431" s="20"/>
      <c r="U2431" s="20"/>
      <c r="V2431" s="20"/>
      <c r="W2431" s="20"/>
      <c r="X2431" s="20"/>
      <c r="Y2431" s="20"/>
      <c r="Z2431" s="20"/>
      <c r="AA2431" s="20"/>
    </row>
    <row r="2432" spans="1:27" ht="208.8" x14ac:dyDescent="0.25">
      <c r="A2432" s="16"/>
      <c r="B2432" s="20" t="b">
        <v>0</v>
      </c>
      <c r="C2432" s="20">
        <v>200</v>
      </c>
      <c r="D2432" s="2" t="s">
        <v>5099</v>
      </c>
      <c r="E2432" s="2" t="s">
        <v>5097</v>
      </c>
      <c r="F2432" s="20" t="s">
        <v>61</v>
      </c>
      <c r="G2432" s="2" t="s">
        <v>5100</v>
      </c>
      <c r="H2432" s="16"/>
      <c r="I2432" s="20"/>
      <c r="J2432" s="20"/>
      <c r="K2432" s="20"/>
      <c r="L2432" s="20"/>
      <c r="M2432" s="20"/>
      <c r="N2432" s="20"/>
      <c r="O2432" s="20"/>
      <c r="P2432" s="20"/>
      <c r="Q2432" s="20"/>
      <c r="R2432" s="20"/>
      <c r="S2432" s="20"/>
      <c r="T2432" s="20"/>
      <c r="U2432" s="20"/>
      <c r="V2432" s="20"/>
      <c r="W2432" s="20"/>
      <c r="X2432" s="20"/>
      <c r="Y2432" s="20"/>
      <c r="Z2432" s="20"/>
      <c r="AA2432" s="20"/>
    </row>
    <row r="2433" spans="1:27" ht="208.8" x14ac:dyDescent="0.25">
      <c r="A2433" s="16"/>
      <c r="B2433" s="20" t="b">
        <v>0</v>
      </c>
      <c r="C2433" s="20">
        <v>200</v>
      </c>
      <c r="D2433" s="2" t="s">
        <v>5101</v>
      </c>
      <c r="E2433" s="2" t="s">
        <v>5097</v>
      </c>
      <c r="F2433" s="20" t="s">
        <v>62</v>
      </c>
      <c r="G2433" s="2" t="s">
        <v>5102</v>
      </c>
      <c r="H2433" s="16"/>
      <c r="I2433" s="20"/>
      <c r="J2433" s="20"/>
      <c r="K2433" s="20"/>
      <c r="L2433" s="20"/>
      <c r="M2433" s="20"/>
      <c r="N2433" s="20"/>
      <c r="O2433" s="20"/>
      <c r="P2433" s="20"/>
      <c r="Q2433" s="20"/>
      <c r="R2433" s="20"/>
      <c r="S2433" s="20"/>
      <c r="T2433" s="20"/>
      <c r="U2433" s="20"/>
      <c r="V2433" s="20"/>
      <c r="W2433" s="20"/>
      <c r="X2433" s="20"/>
      <c r="Y2433" s="20"/>
      <c r="Z2433" s="20"/>
      <c r="AA2433" s="20"/>
    </row>
    <row r="2434" spans="1:27" ht="156.6" x14ac:dyDescent="0.25">
      <c r="A2434" s="16"/>
      <c r="B2434" s="20" t="b">
        <v>0</v>
      </c>
      <c r="C2434" s="20">
        <v>200</v>
      </c>
      <c r="D2434" s="2" t="s">
        <v>5103</v>
      </c>
      <c r="E2434" s="2" t="s">
        <v>5097</v>
      </c>
      <c r="F2434" s="20" t="s">
        <v>63</v>
      </c>
      <c r="G2434" s="2" t="s">
        <v>5104</v>
      </c>
      <c r="H2434" s="16"/>
      <c r="I2434" s="20"/>
      <c r="J2434" s="20"/>
      <c r="K2434" s="20"/>
      <c r="L2434" s="20"/>
      <c r="M2434" s="20"/>
      <c r="N2434" s="20"/>
      <c r="O2434" s="20"/>
      <c r="P2434" s="20"/>
      <c r="Q2434" s="20"/>
      <c r="R2434" s="20"/>
      <c r="S2434" s="20"/>
      <c r="T2434" s="20"/>
      <c r="U2434" s="20"/>
      <c r="V2434" s="20"/>
      <c r="W2434" s="20"/>
      <c r="X2434" s="20"/>
      <c r="Y2434" s="20"/>
      <c r="Z2434" s="20"/>
      <c r="AA2434" s="20"/>
    </row>
    <row r="2435" spans="1:27" ht="365.4" x14ac:dyDescent="0.25">
      <c r="A2435" s="16"/>
      <c r="B2435" s="20" t="b">
        <v>0</v>
      </c>
      <c r="C2435" s="20">
        <v>400</v>
      </c>
      <c r="D2435" s="2" t="s">
        <v>5105</v>
      </c>
      <c r="E2435" s="2" t="s">
        <v>5097</v>
      </c>
      <c r="F2435" s="20" t="s">
        <v>60</v>
      </c>
      <c r="G2435" s="2" t="s">
        <v>5106</v>
      </c>
      <c r="H2435" s="16"/>
      <c r="I2435" s="20"/>
      <c r="J2435" s="20"/>
      <c r="K2435" s="20"/>
      <c r="L2435" s="20"/>
      <c r="M2435" s="20"/>
      <c r="N2435" s="20"/>
      <c r="O2435" s="20"/>
      <c r="P2435" s="20"/>
      <c r="Q2435" s="20"/>
      <c r="R2435" s="20"/>
      <c r="S2435" s="20"/>
      <c r="T2435" s="20"/>
      <c r="U2435" s="20"/>
      <c r="V2435" s="20"/>
      <c r="W2435" s="20"/>
      <c r="X2435" s="20"/>
      <c r="Y2435" s="20"/>
      <c r="Z2435" s="20"/>
      <c r="AA2435" s="20"/>
    </row>
    <row r="2436" spans="1:27" ht="295.8" x14ac:dyDescent="0.25">
      <c r="A2436" s="16"/>
      <c r="B2436" s="20" t="b">
        <v>0</v>
      </c>
      <c r="C2436" s="20">
        <v>400</v>
      </c>
      <c r="D2436" s="2" t="s">
        <v>5107</v>
      </c>
      <c r="E2436" s="2" t="s">
        <v>5097</v>
      </c>
      <c r="F2436" s="20" t="s">
        <v>56</v>
      </c>
      <c r="G2436" s="2" t="s">
        <v>5108</v>
      </c>
      <c r="H2436" s="16"/>
      <c r="I2436" s="20"/>
      <c r="J2436" s="20"/>
      <c r="K2436" s="20"/>
      <c r="L2436" s="20"/>
      <c r="M2436" s="20"/>
      <c r="N2436" s="20"/>
      <c r="O2436" s="20"/>
      <c r="P2436" s="20"/>
      <c r="Q2436" s="20"/>
      <c r="R2436" s="20"/>
      <c r="S2436" s="20"/>
      <c r="T2436" s="20"/>
      <c r="U2436" s="20"/>
      <c r="V2436" s="20"/>
      <c r="W2436" s="20"/>
      <c r="X2436" s="20"/>
      <c r="Y2436" s="20"/>
      <c r="Z2436" s="20"/>
      <c r="AA2436" s="20"/>
    </row>
    <row r="2437" spans="1:27" ht="409.6" x14ac:dyDescent="0.25">
      <c r="A2437" s="16"/>
      <c r="B2437" s="20" t="b">
        <v>0</v>
      </c>
      <c r="C2437" s="20">
        <v>400</v>
      </c>
      <c r="D2437" s="2" t="s">
        <v>5109</v>
      </c>
      <c r="E2437" s="2" t="s">
        <v>5097</v>
      </c>
      <c r="F2437" s="20" t="s">
        <v>56</v>
      </c>
      <c r="G2437" s="2" t="s">
        <v>5110</v>
      </c>
      <c r="H2437" s="16"/>
      <c r="I2437" s="20"/>
      <c r="J2437" s="20"/>
      <c r="K2437" s="20"/>
      <c r="L2437" s="20"/>
      <c r="M2437" s="20"/>
      <c r="N2437" s="20"/>
      <c r="O2437" s="20"/>
      <c r="P2437" s="20"/>
      <c r="Q2437" s="20"/>
      <c r="R2437" s="20"/>
      <c r="S2437" s="20"/>
      <c r="T2437" s="20"/>
      <c r="U2437" s="20"/>
      <c r="V2437" s="20"/>
      <c r="W2437" s="20"/>
      <c r="X2437" s="20"/>
      <c r="Y2437" s="20"/>
      <c r="Z2437" s="20"/>
      <c r="AA2437" s="20"/>
    </row>
    <row r="2438" spans="1:27" ht="139.19999999999999" x14ac:dyDescent="0.25">
      <c r="A2438" s="16"/>
      <c r="B2438" s="20" t="b">
        <v>0</v>
      </c>
      <c r="C2438" s="20">
        <v>0</v>
      </c>
      <c r="D2438" s="2" t="s">
        <v>5111</v>
      </c>
      <c r="E2438" s="2" t="s">
        <v>5097</v>
      </c>
      <c r="F2438" s="20" t="s">
        <v>59</v>
      </c>
      <c r="G2438" s="2" t="s">
        <v>5112</v>
      </c>
      <c r="H2438" s="16"/>
      <c r="I2438" s="20"/>
      <c r="J2438" s="20"/>
      <c r="K2438" s="20"/>
      <c r="L2438" s="20"/>
      <c r="M2438" s="20"/>
      <c r="N2438" s="20"/>
      <c r="O2438" s="20"/>
      <c r="P2438" s="20"/>
      <c r="Q2438" s="20"/>
      <c r="R2438" s="20"/>
      <c r="S2438" s="20"/>
      <c r="T2438" s="20"/>
      <c r="U2438" s="20"/>
      <c r="V2438" s="20"/>
      <c r="W2438" s="20"/>
      <c r="X2438" s="20"/>
      <c r="Y2438" s="20"/>
      <c r="Z2438" s="20"/>
      <c r="AA2438" s="20"/>
    </row>
    <row r="2439" spans="1:27" ht="174" x14ac:dyDescent="0.25">
      <c r="A2439" s="16"/>
      <c r="B2439" s="20" t="b">
        <v>0</v>
      </c>
      <c r="C2439" s="20">
        <v>100</v>
      </c>
      <c r="D2439" s="2" t="s">
        <v>5113</v>
      </c>
      <c r="E2439" s="2" t="s">
        <v>5097</v>
      </c>
      <c r="F2439" s="20" t="s">
        <v>53</v>
      </c>
      <c r="G2439" s="2" t="s">
        <v>5114</v>
      </c>
      <c r="H2439" s="16"/>
      <c r="I2439" s="20"/>
      <c r="J2439" s="20"/>
      <c r="K2439" s="20"/>
      <c r="L2439" s="20"/>
      <c r="M2439" s="20"/>
      <c r="N2439" s="20"/>
      <c r="O2439" s="20"/>
      <c r="P2439" s="20"/>
      <c r="Q2439" s="20"/>
      <c r="R2439" s="20"/>
      <c r="S2439" s="20"/>
      <c r="T2439" s="20"/>
      <c r="U2439" s="20"/>
      <c r="V2439" s="20"/>
      <c r="W2439" s="20"/>
      <c r="X2439" s="20"/>
      <c r="Y2439" s="20"/>
      <c r="Z2439" s="20"/>
      <c r="AA2439" s="20"/>
    </row>
    <row r="2440" spans="1:27" ht="139.19999999999999" x14ac:dyDescent="0.25">
      <c r="A2440" s="16"/>
      <c r="B2440" s="20" t="b">
        <v>0</v>
      </c>
      <c r="C2440" s="20">
        <v>100</v>
      </c>
      <c r="D2440" s="2" t="s">
        <v>5115</v>
      </c>
      <c r="E2440" s="2" t="s">
        <v>5097</v>
      </c>
      <c r="F2440" s="20" t="s">
        <v>56</v>
      </c>
      <c r="G2440" s="2" t="s">
        <v>5116</v>
      </c>
      <c r="H2440" s="16"/>
      <c r="I2440" s="20"/>
      <c r="J2440" s="20"/>
      <c r="K2440" s="20"/>
      <c r="L2440" s="20"/>
      <c r="M2440" s="20"/>
      <c r="N2440" s="20"/>
      <c r="O2440" s="20"/>
      <c r="P2440" s="20"/>
      <c r="Q2440" s="20"/>
      <c r="R2440" s="20"/>
      <c r="S2440" s="20"/>
      <c r="T2440" s="20"/>
      <c r="U2440" s="20"/>
      <c r="V2440" s="20"/>
      <c r="W2440" s="20"/>
      <c r="X2440" s="20"/>
      <c r="Y2440" s="20"/>
      <c r="Z2440" s="20"/>
      <c r="AA2440" s="20"/>
    </row>
    <row r="2441" spans="1:27" ht="191.4" x14ac:dyDescent="0.25">
      <c r="A2441" s="16"/>
      <c r="B2441" s="20" t="b">
        <v>0</v>
      </c>
      <c r="C2441" s="20">
        <v>200</v>
      </c>
      <c r="D2441" s="2" t="s">
        <v>5117</v>
      </c>
      <c r="E2441" s="2" t="s">
        <v>5097</v>
      </c>
      <c r="F2441" s="20" t="s">
        <v>56</v>
      </c>
      <c r="G2441" s="2" t="s">
        <v>5118</v>
      </c>
      <c r="H2441" s="16"/>
      <c r="I2441" s="20"/>
      <c r="J2441" s="20"/>
      <c r="K2441" s="20"/>
      <c r="L2441" s="20"/>
      <c r="M2441" s="20"/>
      <c r="N2441" s="20"/>
      <c r="O2441" s="20"/>
      <c r="P2441" s="20"/>
      <c r="Q2441" s="20"/>
      <c r="R2441" s="20"/>
      <c r="S2441" s="20"/>
      <c r="T2441" s="20"/>
      <c r="U2441" s="20"/>
      <c r="V2441" s="20"/>
      <c r="W2441" s="20"/>
      <c r="X2441" s="20"/>
      <c r="Y2441" s="20"/>
      <c r="Z2441" s="20"/>
      <c r="AA2441" s="20"/>
    </row>
    <row r="2442" spans="1:27" ht="174" x14ac:dyDescent="0.25">
      <c r="A2442" s="16"/>
      <c r="B2442" s="20" t="b">
        <v>0</v>
      </c>
      <c r="C2442" s="20">
        <v>200</v>
      </c>
      <c r="D2442" s="2" t="s">
        <v>5119</v>
      </c>
      <c r="E2442" s="2" t="s">
        <v>5097</v>
      </c>
      <c r="F2442" s="20" t="s">
        <v>59</v>
      </c>
      <c r="G2442" s="2" t="s">
        <v>5120</v>
      </c>
      <c r="H2442" s="16"/>
      <c r="I2442" s="20"/>
      <c r="J2442" s="20"/>
      <c r="K2442" s="20"/>
      <c r="L2442" s="20"/>
      <c r="M2442" s="20"/>
      <c r="N2442" s="20"/>
      <c r="O2442" s="20"/>
      <c r="P2442" s="20"/>
      <c r="Q2442" s="20"/>
      <c r="R2442" s="20"/>
      <c r="S2442" s="20"/>
      <c r="T2442" s="20"/>
      <c r="U2442" s="20"/>
      <c r="V2442" s="20"/>
      <c r="W2442" s="20"/>
      <c r="X2442" s="20"/>
      <c r="Y2442" s="20"/>
      <c r="Z2442" s="20"/>
      <c r="AA2442" s="20"/>
    </row>
    <row r="2443" spans="1:27" ht="295.8" x14ac:dyDescent="0.25">
      <c r="A2443" s="16"/>
      <c r="B2443" s="20" t="b">
        <v>0</v>
      </c>
      <c r="C2443" s="20">
        <v>400</v>
      </c>
      <c r="D2443" s="2" t="s">
        <v>5121</v>
      </c>
      <c r="E2443" s="2" t="s">
        <v>5097</v>
      </c>
      <c r="F2443" s="20" t="s">
        <v>62</v>
      </c>
      <c r="G2443" s="2" t="s">
        <v>5122</v>
      </c>
      <c r="H2443" s="16"/>
      <c r="I2443" s="20"/>
      <c r="J2443" s="20"/>
      <c r="K2443" s="20"/>
      <c r="L2443" s="20"/>
      <c r="M2443" s="20"/>
      <c r="N2443" s="20"/>
      <c r="O2443" s="20"/>
      <c r="P2443" s="20"/>
      <c r="Q2443" s="20"/>
      <c r="R2443" s="20"/>
      <c r="S2443" s="20"/>
      <c r="T2443" s="20"/>
      <c r="U2443" s="20"/>
      <c r="V2443" s="20"/>
      <c r="W2443" s="20"/>
      <c r="X2443" s="20"/>
      <c r="Y2443" s="20"/>
      <c r="Z2443" s="20"/>
      <c r="AA2443" s="20"/>
    </row>
    <row r="2444" spans="1:27" ht="226.2" x14ac:dyDescent="0.25">
      <c r="A2444" s="16"/>
      <c r="B2444" s="20" t="b">
        <v>0</v>
      </c>
      <c r="C2444" s="20">
        <v>600</v>
      </c>
      <c r="D2444" s="2" t="s">
        <v>5123</v>
      </c>
      <c r="E2444" s="2" t="s">
        <v>5124</v>
      </c>
      <c r="F2444" s="20" t="s">
        <v>59</v>
      </c>
      <c r="G2444" s="2" t="s">
        <v>5125</v>
      </c>
      <c r="H2444" s="16"/>
      <c r="I2444" s="20"/>
      <c r="J2444" s="20"/>
      <c r="K2444" s="20"/>
      <c r="L2444" s="20"/>
      <c r="M2444" s="20"/>
      <c r="N2444" s="20"/>
      <c r="O2444" s="20"/>
      <c r="P2444" s="20"/>
      <c r="Q2444" s="20"/>
      <c r="R2444" s="20"/>
      <c r="S2444" s="20"/>
      <c r="T2444" s="20"/>
      <c r="U2444" s="20"/>
      <c r="V2444" s="20"/>
      <c r="W2444" s="20"/>
      <c r="X2444" s="20"/>
      <c r="Y2444" s="20"/>
      <c r="Z2444" s="20"/>
      <c r="AA2444" s="20"/>
    </row>
    <row r="2445" spans="1:27" ht="174" x14ac:dyDescent="0.25">
      <c r="A2445" s="16"/>
      <c r="B2445" s="20" t="b">
        <v>0</v>
      </c>
      <c r="C2445" s="20">
        <v>600</v>
      </c>
      <c r="D2445" s="2" t="s">
        <v>5126</v>
      </c>
      <c r="E2445" s="2" t="s">
        <v>5124</v>
      </c>
      <c r="F2445" s="20" t="s">
        <v>59</v>
      </c>
      <c r="G2445" s="2" t="s">
        <v>5127</v>
      </c>
      <c r="H2445" s="16"/>
      <c r="I2445" s="20"/>
      <c r="J2445" s="20"/>
      <c r="K2445" s="20"/>
      <c r="L2445" s="20"/>
      <c r="M2445" s="20"/>
      <c r="N2445" s="20"/>
      <c r="O2445" s="20"/>
      <c r="P2445" s="20"/>
      <c r="Q2445" s="20"/>
      <c r="R2445" s="20"/>
      <c r="S2445" s="20"/>
      <c r="T2445" s="20"/>
      <c r="U2445" s="20"/>
      <c r="V2445" s="20"/>
      <c r="W2445" s="20"/>
      <c r="X2445" s="20"/>
      <c r="Y2445" s="20"/>
      <c r="Z2445" s="20"/>
      <c r="AA2445" s="20"/>
    </row>
    <row r="2446" spans="1:27" ht="139.19999999999999" x14ac:dyDescent="0.25">
      <c r="A2446" s="16"/>
      <c r="B2446" s="20" t="b">
        <v>0</v>
      </c>
      <c r="C2446" s="20">
        <v>100</v>
      </c>
      <c r="D2446" s="2" t="s">
        <v>5128</v>
      </c>
      <c r="E2446" s="2" t="s">
        <v>5129</v>
      </c>
      <c r="F2446" s="20" t="s">
        <v>52</v>
      </c>
      <c r="G2446" s="2" t="s">
        <v>5130</v>
      </c>
      <c r="H2446" s="16"/>
      <c r="I2446" s="20"/>
      <c r="J2446" s="20"/>
      <c r="K2446" s="20"/>
      <c r="L2446" s="20"/>
      <c r="M2446" s="20"/>
      <c r="N2446" s="20"/>
      <c r="O2446" s="20"/>
      <c r="P2446" s="20"/>
      <c r="Q2446" s="20"/>
      <c r="R2446" s="20"/>
      <c r="S2446" s="20"/>
      <c r="T2446" s="20"/>
      <c r="U2446" s="20"/>
      <c r="V2446" s="20"/>
      <c r="W2446" s="20"/>
      <c r="X2446" s="20"/>
      <c r="Y2446" s="20"/>
      <c r="Z2446" s="20"/>
      <c r="AA2446" s="20"/>
    </row>
    <row r="2447" spans="1:27" ht="365.4" x14ac:dyDescent="0.25">
      <c r="A2447" s="16"/>
      <c r="B2447" s="20" t="b">
        <v>0</v>
      </c>
      <c r="C2447" s="20">
        <v>0</v>
      </c>
      <c r="D2447" s="2" t="s">
        <v>5131</v>
      </c>
      <c r="E2447" s="2" t="s">
        <v>5129</v>
      </c>
      <c r="F2447" s="20" t="s">
        <v>56</v>
      </c>
      <c r="G2447" s="2" t="s">
        <v>5132</v>
      </c>
      <c r="H2447" s="16"/>
      <c r="I2447" s="20"/>
      <c r="J2447" s="20"/>
      <c r="K2447" s="20"/>
      <c r="L2447" s="20"/>
      <c r="M2447" s="20"/>
      <c r="N2447" s="20"/>
      <c r="O2447" s="20"/>
      <c r="P2447" s="20"/>
      <c r="Q2447" s="20"/>
      <c r="R2447" s="20"/>
      <c r="S2447" s="20"/>
      <c r="T2447" s="20"/>
      <c r="U2447" s="20"/>
      <c r="V2447" s="20"/>
      <c r="W2447" s="20"/>
      <c r="X2447" s="20"/>
      <c r="Y2447" s="20"/>
      <c r="Z2447" s="20"/>
      <c r="AA2447" s="20"/>
    </row>
    <row r="2448" spans="1:27" ht="382.8" x14ac:dyDescent="0.25">
      <c r="A2448" s="16"/>
      <c r="B2448" s="20" t="b">
        <v>0</v>
      </c>
      <c r="C2448" s="20" t="s">
        <v>5133</v>
      </c>
      <c r="D2448" s="2" t="s">
        <v>5134</v>
      </c>
      <c r="E2448" s="2" t="s">
        <v>5129</v>
      </c>
      <c r="F2448" s="20" t="s">
        <v>53</v>
      </c>
      <c r="G2448" s="2" t="s">
        <v>5135</v>
      </c>
      <c r="H2448" s="16"/>
      <c r="I2448" s="20"/>
      <c r="J2448" s="20"/>
      <c r="K2448" s="20"/>
      <c r="L2448" s="20"/>
      <c r="M2448" s="20"/>
      <c r="N2448" s="20"/>
      <c r="O2448" s="20"/>
      <c r="P2448" s="20"/>
      <c r="Q2448" s="20"/>
      <c r="R2448" s="20"/>
      <c r="S2448" s="20"/>
      <c r="T2448" s="20"/>
      <c r="U2448" s="20"/>
      <c r="V2448" s="20"/>
      <c r="W2448" s="20"/>
      <c r="X2448" s="20"/>
      <c r="Y2448" s="20"/>
      <c r="Z2448" s="20"/>
      <c r="AA2448" s="20"/>
    </row>
    <row r="2449" spans="1:27" ht="139.19999999999999" x14ac:dyDescent="0.25">
      <c r="A2449" s="16"/>
      <c r="B2449" s="20" t="b">
        <v>0</v>
      </c>
      <c r="C2449" s="20">
        <v>200</v>
      </c>
      <c r="D2449" s="2" t="s">
        <v>5136</v>
      </c>
      <c r="E2449" s="2" t="s">
        <v>5129</v>
      </c>
      <c r="F2449" s="20" t="s">
        <v>64</v>
      </c>
      <c r="G2449" s="2" t="s">
        <v>5137</v>
      </c>
      <c r="H2449" s="16"/>
      <c r="I2449" s="20"/>
      <c r="J2449" s="20"/>
      <c r="K2449" s="20"/>
      <c r="L2449" s="20"/>
      <c r="M2449" s="20"/>
      <c r="N2449" s="20"/>
      <c r="O2449" s="20"/>
      <c r="P2449" s="20"/>
      <c r="Q2449" s="20"/>
      <c r="R2449" s="20"/>
      <c r="S2449" s="20"/>
      <c r="T2449" s="20"/>
      <c r="U2449" s="20"/>
      <c r="V2449" s="20"/>
      <c r="W2449" s="20"/>
      <c r="X2449" s="20"/>
      <c r="Y2449" s="20"/>
      <c r="Z2449" s="20"/>
      <c r="AA2449" s="20"/>
    </row>
    <row r="2450" spans="1:27" ht="104.4" x14ac:dyDescent="0.25">
      <c r="A2450" s="16"/>
      <c r="B2450" s="20" t="b">
        <v>0</v>
      </c>
      <c r="C2450" s="20">
        <v>0</v>
      </c>
      <c r="D2450" s="2" t="s">
        <v>5138</v>
      </c>
      <c r="E2450" s="2" t="s">
        <v>5139</v>
      </c>
      <c r="F2450" s="20" t="s">
        <v>53</v>
      </c>
      <c r="G2450" s="2" t="s">
        <v>5140</v>
      </c>
      <c r="H2450" s="16"/>
      <c r="I2450" s="20"/>
      <c r="J2450" s="20"/>
      <c r="K2450" s="20"/>
      <c r="L2450" s="20"/>
      <c r="M2450" s="20"/>
      <c r="N2450" s="20"/>
      <c r="O2450" s="20"/>
      <c r="P2450" s="20"/>
      <c r="Q2450" s="20"/>
      <c r="R2450" s="20"/>
      <c r="S2450" s="20"/>
      <c r="T2450" s="20"/>
      <c r="U2450" s="20"/>
      <c r="V2450" s="20"/>
      <c r="W2450" s="20"/>
      <c r="X2450" s="20"/>
      <c r="Y2450" s="20"/>
      <c r="Z2450" s="20"/>
      <c r="AA2450" s="20"/>
    </row>
    <row r="2451" spans="1:27" ht="121.8" x14ac:dyDescent="0.25">
      <c r="A2451" s="16"/>
      <c r="B2451" s="20" t="b">
        <v>0</v>
      </c>
      <c r="C2451" s="20">
        <v>100</v>
      </c>
      <c r="D2451" s="2" t="s">
        <v>5141</v>
      </c>
      <c r="E2451" s="2" t="s">
        <v>5139</v>
      </c>
      <c r="F2451" s="20" t="s">
        <v>60</v>
      </c>
      <c r="G2451" s="2" t="s">
        <v>5142</v>
      </c>
      <c r="H2451" s="16"/>
      <c r="I2451" s="20"/>
      <c r="J2451" s="20"/>
      <c r="K2451" s="20"/>
      <c r="L2451" s="20"/>
      <c r="M2451" s="20"/>
      <c r="N2451" s="20"/>
      <c r="O2451" s="20"/>
      <c r="P2451" s="20"/>
      <c r="Q2451" s="20"/>
      <c r="R2451" s="20"/>
      <c r="S2451" s="20"/>
      <c r="T2451" s="20"/>
      <c r="U2451" s="20"/>
      <c r="V2451" s="20"/>
      <c r="W2451" s="20"/>
      <c r="X2451" s="20"/>
      <c r="Y2451" s="20"/>
      <c r="Z2451" s="20"/>
      <c r="AA2451" s="20"/>
    </row>
    <row r="2452" spans="1:27" ht="69.599999999999994" x14ac:dyDescent="0.25">
      <c r="A2452" s="16"/>
      <c r="B2452" s="20" t="b">
        <v>0</v>
      </c>
      <c r="C2452" s="20">
        <v>100</v>
      </c>
      <c r="D2452" s="2" t="s">
        <v>5143</v>
      </c>
      <c r="E2452" s="2" t="s">
        <v>5139</v>
      </c>
      <c r="F2452" s="20" t="s">
        <v>53</v>
      </c>
      <c r="G2452" s="2" t="s">
        <v>5144</v>
      </c>
      <c r="H2452" s="16"/>
      <c r="I2452" s="20"/>
      <c r="J2452" s="20"/>
      <c r="K2452" s="20"/>
      <c r="L2452" s="20"/>
      <c r="M2452" s="20"/>
      <c r="N2452" s="20"/>
      <c r="O2452" s="20"/>
      <c r="P2452" s="20"/>
      <c r="Q2452" s="20"/>
      <c r="R2452" s="20"/>
      <c r="S2452" s="20"/>
      <c r="T2452" s="20"/>
      <c r="U2452" s="20"/>
      <c r="V2452" s="20"/>
      <c r="W2452" s="20"/>
      <c r="X2452" s="20"/>
      <c r="Y2452" s="20"/>
      <c r="Z2452" s="20"/>
      <c r="AA2452" s="20"/>
    </row>
    <row r="2453" spans="1:27" ht="121.8" x14ac:dyDescent="0.25">
      <c r="A2453" s="16"/>
      <c r="B2453" s="20" t="b">
        <v>0</v>
      </c>
      <c r="C2453" s="20">
        <v>200</v>
      </c>
      <c r="D2453" s="2" t="s">
        <v>5145</v>
      </c>
      <c r="E2453" s="2" t="s">
        <v>5139</v>
      </c>
      <c r="F2453" s="20" t="s">
        <v>53</v>
      </c>
      <c r="G2453" s="2" t="s">
        <v>5146</v>
      </c>
      <c r="H2453" s="16"/>
      <c r="I2453" s="20"/>
      <c r="J2453" s="20"/>
      <c r="K2453" s="20"/>
      <c r="L2453" s="20"/>
      <c r="M2453" s="20"/>
      <c r="N2453" s="20"/>
      <c r="O2453" s="20"/>
      <c r="P2453" s="20"/>
      <c r="Q2453" s="20"/>
      <c r="R2453" s="20"/>
      <c r="S2453" s="20"/>
      <c r="T2453" s="20"/>
      <c r="U2453" s="20"/>
      <c r="V2453" s="20"/>
      <c r="W2453" s="20"/>
      <c r="X2453" s="20"/>
      <c r="Y2453" s="20"/>
      <c r="Z2453" s="20"/>
      <c r="AA2453" s="20"/>
    </row>
    <row r="2454" spans="1:27" ht="104.4" x14ac:dyDescent="0.25">
      <c r="A2454" s="16"/>
      <c r="B2454" s="20" t="b">
        <v>0</v>
      </c>
      <c r="C2454" s="20">
        <v>400</v>
      </c>
      <c r="D2454" s="2" t="s">
        <v>5147</v>
      </c>
      <c r="E2454" s="2" t="s">
        <v>5139</v>
      </c>
      <c r="F2454" s="20" t="s">
        <v>56</v>
      </c>
      <c r="G2454" s="2" t="s">
        <v>5148</v>
      </c>
      <c r="H2454" s="16"/>
      <c r="I2454" s="20"/>
      <c r="J2454" s="20"/>
      <c r="K2454" s="20"/>
      <c r="L2454" s="20"/>
      <c r="M2454" s="20"/>
      <c r="N2454" s="20"/>
      <c r="O2454" s="20"/>
      <c r="P2454" s="20"/>
      <c r="Q2454" s="20"/>
      <c r="R2454" s="20"/>
      <c r="S2454" s="20"/>
      <c r="T2454" s="20"/>
      <c r="U2454" s="20"/>
      <c r="V2454" s="20"/>
      <c r="W2454" s="20"/>
      <c r="X2454" s="20"/>
      <c r="Y2454" s="20"/>
      <c r="Z2454" s="20"/>
      <c r="AA2454" s="20"/>
    </row>
    <row r="2455" spans="1:27" ht="121.8" x14ac:dyDescent="0.25">
      <c r="A2455" s="16"/>
      <c r="B2455" s="20" t="b">
        <v>0</v>
      </c>
      <c r="C2455" s="20">
        <v>600</v>
      </c>
      <c r="D2455" s="2" t="s">
        <v>5149</v>
      </c>
      <c r="E2455" s="2" t="s">
        <v>5139</v>
      </c>
      <c r="F2455" s="20" t="s">
        <v>60</v>
      </c>
      <c r="G2455" s="2" t="s">
        <v>5150</v>
      </c>
      <c r="H2455" s="16"/>
      <c r="I2455" s="20"/>
      <c r="J2455" s="20"/>
      <c r="K2455" s="20"/>
      <c r="L2455" s="20"/>
      <c r="M2455" s="20"/>
      <c r="N2455" s="20"/>
      <c r="O2455" s="20"/>
      <c r="P2455" s="20"/>
      <c r="Q2455" s="20"/>
      <c r="R2455" s="20"/>
      <c r="S2455" s="20"/>
      <c r="T2455" s="20"/>
      <c r="U2455" s="20"/>
      <c r="V2455" s="20"/>
      <c r="W2455" s="20"/>
      <c r="X2455" s="20"/>
      <c r="Y2455" s="20"/>
      <c r="Z2455" s="20"/>
      <c r="AA2455" s="20"/>
    </row>
    <row r="2456" spans="1:27" ht="139.19999999999999" x14ac:dyDescent="0.25">
      <c r="A2456" s="16"/>
      <c r="B2456" s="20" t="b">
        <v>0</v>
      </c>
      <c r="C2456" s="20" t="s">
        <v>5151</v>
      </c>
      <c r="D2456" s="2" t="s">
        <v>5152</v>
      </c>
      <c r="E2456" s="2" t="s">
        <v>5139</v>
      </c>
      <c r="F2456" s="20" t="s">
        <v>59</v>
      </c>
      <c r="G2456" s="2" t="s">
        <v>5153</v>
      </c>
      <c r="H2456" s="16"/>
      <c r="I2456" s="20"/>
      <c r="J2456" s="20"/>
      <c r="K2456" s="20"/>
      <c r="L2456" s="20"/>
      <c r="M2456" s="20"/>
      <c r="N2456" s="20"/>
      <c r="O2456" s="20"/>
      <c r="P2456" s="20"/>
      <c r="Q2456" s="20"/>
      <c r="R2456" s="20"/>
      <c r="S2456" s="20"/>
      <c r="T2456" s="20"/>
      <c r="U2456" s="20"/>
      <c r="V2456" s="20"/>
      <c r="W2456" s="20"/>
      <c r="X2456" s="20"/>
      <c r="Y2456" s="20"/>
      <c r="Z2456" s="20"/>
      <c r="AA2456" s="20"/>
    </row>
    <row r="2457" spans="1:27" ht="348" x14ac:dyDescent="0.25">
      <c r="A2457" s="16"/>
      <c r="B2457" s="20" t="b">
        <v>0</v>
      </c>
      <c r="C2457" s="20">
        <v>0</v>
      </c>
      <c r="D2457" s="2" t="s">
        <v>5154</v>
      </c>
      <c r="E2457" s="2" t="s">
        <v>5139</v>
      </c>
      <c r="F2457" s="20" t="s">
        <v>52</v>
      </c>
      <c r="G2457" s="2" t="s">
        <v>5155</v>
      </c>
      <c r="H2457" s="16"/>
      <c r="I2457" s="20"/>
      <c r="J2457" s="20"/>
      <c r="K2457" s="20"/>
      <c r="L2457" s="20"/>
      <c r="M2457" s="20"/>
      <c r="N2457" s="20"/>
      <c r="O2457" s="20"/>
      <c r="P2457" s="20"/>
      <c r="Q2457" s="20"/>
      <c r="R2457" s="20"/>
      <c r="S2457" s="20"/>
      <c r="T2457" s="20"/>
      <c r="U2457" s="20"/>
      <c r="V2457" s="20"/>
      <c r="W2457" s="20"/>
      <c r="X2457" s="20"/>
      <c r="Y2457" s="20"/>
      <c r="Z2457" s="20"/>
      <c r="AA2457" s="20"/>
    </row>
    <row r="2458" spans="1:27" ht="330.6" x14ac:dyDescent="0.25">
      <c r="A2458" s="16"/>
      <c r="B2458" s="20" t="b">
        <v>0</v>
      </c>
      <c r="C2458" s="20">
        <v>100</v>
      </c>
      <c r="D2458" s="2" t="s">
        <v>5156</v>
      </c>
      <c r="E2458" s="2" t="s">
        <v>5139</v>
      </c>
      <c r="F2458" s="20" t="s">
        <v>52</v>
      </c>
      <c r="G2458" s="2" t="s">
        <v>5157</v>
      </c>
      <c r="H2458" s="16"/>
      <c r="I2458" s="20"/>
      <c r="J2458" s="20"/>
      <c r="K2458" s="20"/>
      <c r="L2458" s="20"/>
      <c r="M2458" s="20"/>
      <c r="N2458" s="20"/>
      <c r="O2458" s="20"/>
      <c r="P2458" s="20"/>
      <c r="Q2458" s="20"/>
      <c r="R2458" s="20"/>
      <c r="S2458" s="20"/>
      <c r="T2458" s="20"/>
      <c r="U2458" s="20"/>
      <c r="V2458" s="20"/>
      <c r="W2458" s="20"/>
      <c r="X2458" s="20"/>
      <c r="Y2458" s="20"/>
      <c r="Z2458" s="20"/>
      <c r="AA2458" s="20"/>
    </row>
    <row r="2459" spans="1:27" ht="409.6" x14ac:dyDescent="0.25">
      <c r="A2459" s="16"/>
      <c r="B2459" s="20" t="b">
        <v>0</v>
      </c>
      <c r="C2459" s="20">
        <v>200</v>
      </c>
      <c r="D2459" s="2" t="s">
        <v>5158</v>
      </c>
      <c r="E2459" s="2" t="s">
        <v>5139</v>
      </c>
      <c r="F2459" s="20" t="s">
        <v>52</v>
      </c>
      <c r="G2459" s="2" t="s">
        <v>5159</v>
      </c>
      <c r="H2459" s="16"/>
      <c r="I2459" s="20"/>
      <c r="J2459" s="20"/>
      <c r="K2459" s="20"/>
      <c r="L2459" s="20"/>
      <c r="M2459" s="20"/>
      <c r="N2459" s="20"/>
      <c r="O2459" s="20"/>
      <c r="P2459" s="20"/>
      <c r="Q2459" s="20"/>
      <c r="R2459" s="20"/>
      <c r="S2459" s="20"/>
      <c r="T2459" s="20"/>
      <c r="U2459" s="20"/>
      <c r="V2459" s="20"/>
      <c r="W2459" s="20"/>
      <c r="X2459" s="20"/>
      <c r="Y2459" s="20"/>
      <c r="Z2459" s="20"/>
      <c r="AA2459" s="20"/>
    </row>
    <row r="2460" spans="1:27" ht="409.6" x14ac:dyDescent="0.25">
      <c r="A2460" s="16"/>
      <c r="B2460" s="20" t="b">
        <v>0</v>
      </c>
      <c r="C2460" s="20">
        <v>200</v>
      </c>
      <c r="D2460" s="2" t="s">
        <v>5160</v>
      </c>
      <c r="E2460" s="2" t="s">
        <v>5139</v>
      </c>
      <c r="F2460" s="20" t="s">
        <v>52</v>
      </c>
      <c r="G2460" s="2" t="s">
        <v>5161</v>
      </c>
      <c r="H2460" s="16"/>
      <c r="I2460" s="20"/>
      <c r="J2460" s="20"/>
      <c r="K2460" s="20"/>
      <c r="L2460" s="20"/>
      <c r="M2460" s="20"/>
      <c r="N2460" s="20"/>
      <c r="O2460" s="20"/>
      <c r="P2460" s="20"/>
      <c r="Q2460" s="20"/>
      <c r="R2460" s="20"/>
      <c r="S2460" s="20"/>
      <c r="T2460" s="20"/>
      <c r="U2460" s="20"/>
      <c r="V2460" s="20"/>
      <c r="W2460" s="20"/>
      <c r="X2460" s="20"/>
      <c r="Y2460" s="20"/>
      <c r="Z2460" s="20"/>
      <c r="AA2460" s="20"/>
    </row>
    <row r="2461" spans="1:27" ht="409.6" x14ac:dyDescent="0.25">
      <c r="A2461" s="16"/>
      <c r="B2461" s="20" t="b">
        <v>0</v>
      </c>
      <c r="C2461" s="20">
        <v>300</v>
      </c>
      <c r="D2461" s="2" t="s">
        <v>5162</v>
      </c>
      <c r="E2461" s="2" t="s">
        <v>5139</v>
      </c>
      <c r="F2461" s="20" t="s">
        <v>52</v>
      </c>
      <c r="G2461" s="2" t="s">
        <v>5163</v>
      </c>
      <c r="H2461" s="16"/>
      <c r="I2461" s="20"/>
      <c r="J2461" s="20"/>
      <c r="K2461" s="20"/>
      <c r="L2461" s="20"/>
      <c r="M2461" s="20"/>
      <c r="N2461" s="20"/>
      <c r="O2461" s="20"/>
      <c r="P2461" s="20"/>
      <c r="Q2461" s="20"/>
      <c r="R2461" s="20"/>
      <c r="S2461" s="20"/>
      <c r="T2461" s="20"/>
      <c r="U2461" s="20"/>
      <c r="V2461" s="20"/>
      <c r="W2461" s="20"/>
      <c r="X2461" s="20"/>
      <c r="Y2461" s="20"/>
      <c r="Z2461" s="20"/>
      <c r="AA2461" s="20"/>
    </row>
    <row r="2462" spans="1:27" ht="409.6" x14ac:dyDescent="0.25">
      <c r="A2462" s="16"/>
      <c r="B2462" s="20" t="b">
        <v>0</v>
      </c>
      <c r="C2462" s="20">
        <v>300</v>
      </c>
      <c r="D2462" s="2" t="s">
        <v>5164</v>
      </c>
      <c r="E2462" s="2" t="s">
        <v>5139</v>
      </c>
      <c r="F2462" s="20" t="s">
        <v>52</v>
      </c>
      <c r="G2462" s="2" t="s">
        <v>5165</v>
      </c>
      <c r="H2462" s="16"/>
      <c r="I2462" s="20"/>
      <c r="J2462" s="20"/>
      <c r="K2462" s="20"/>
      <c r="L2462" s="20"/>
      <c r="M2462" s="20"/>
      <c r="N2462" s="20"/>
      <c r="O2462" s="20"/>
      <c r="P2462" s="20"/>
      <c r="Q2462" s="20"/>
      <c r="R2462" s="20"/>
      <c r="S2462" s="20"/>
      <c r="T2462" s="20"/>
      <c r="U2462" s="20"/>
      <c r="V2462" s="20"/>
      <c r="W2462" s="20"/>
      <c r="X2462" s="20"/>
      <c r="Y2462" s="20"/>
      <c r="Z2462" s="20"/>
      <c r="AA2462" s="20"/>
    </row>
    <row r="2463" spans="1:27" ht="409.6" x14ac:dyDescent="0.25">
      <c r="A2463" s="16"/>
      <c r="B2463" s="20" t="b">
        <v>0</v>
      </c>
      <c r="C2463" s="20">
        <v>400</v>
      </c>
      <c r="D2463" s="2" t="s">
        <v>5166</v>
      </c>
      <c r="E2463" s="2" t="s">
        <v>5139</v>
      </c>
      <c r="F2463" s="20" t="s">
        <v>52</v>
      </c>
      <c r="G2463" s="2" t="s">
        <v>5167</v>
      </c>
      <c r="H2463" s="16"/>
      <c r="I2463" s="20"/>
      <c r="J2463" s="20"/>
      <c r="K2463" s="20"/>
      <c r="L2463" s="20"/>
      <c r="M2463" s="20"/>
      <c r="N2463" s="20"/>
      <c r="O2463" s="20"/>
      <c r="P2463" s="20"/>
      <c r="Q2463" s="20"/>
      <c r="R2463" s="20"/>
      <c r="S2463" s="20"/>
      <c r="T2463" s="20"/>
      <c r="U2463" s="20"/>
      <c r="V2463" s="20"/>
      <c r="W2463" s="20"/>
      <c r="X2463" s="20"/>
      <c r="Y2463" s="20"/>
      <c r="Z2463" s="20"/>
      <c r="AA2463" s="20"/>
    </row>
    <row r="2464" spans="1:27" ht="409.6" x14ac:dyDescent="0.25">
      <c r="A2464" s="16"/>
      <c r="B2464" s="20" t="b">
        <v>0</v>
      </c>
      <c r="C2464" s="20">
        <v>400</v>
      </c>
      <c r="D2464" s="2" t="s">
        <v>5168</v>
      </c>
      <c r="E2464" s="2" t="s">
        <v>5139</v>
      </c>
      <c r="F2464" s="20" t="s">
        <v>52</v>
      </c>
      <c r="G2464" s="2" t="s">
        <v>5169</v>
      </c>
      <c r="H2464" s="16"/>
      <c r="I2464" s="20"/>
      <c r="J2464" s="20"/>
      <c r="K2464" s="20"/>
      <c r="L2464" s="20"/>
      <c r="M2464" s="20"/>
      <c r="N2464" s="20"/>
      <c r="O2464" s="20"/>
      <c r="P2464" s="20"/>
      <c r="Q2464" s="20"/>
      <c r="R2464" s="20"/>
      <c r="S2464" s="20"/>
      <c r="T2464" s="20"/>
      <c r="U2464" s="20"/>
      <c r="V2464" s="20"/>
      <c r="W2464" s="20"/>
      <c r="X2464" s="20"/>
      <c r="Y2464" s="20"/>
      <c r="Z2464" s="20"/>
      <c r="AA2464" s="20"/>
    </row>
    <row r="2465" spans="1:27" ht="400.2" x14ac:dyDescent="0.25">
      <c r="A2465" s="16"/>
      <c r="B2465" s="20" t="b">
        <v>0</v>
      </c>
      <c r="C2465" s="20">
        <v>600</v>
      </c>
      <c r="D2465" s="2" t="s">
        <v>5170</v>
      </c>
      <c r="E2465" s="2" t="s">
        <v>5139</v>
      </c>
      <c r="F2465" s="20" t="s">
        <v>52</v>
      </c>
      <c r="G2465" s="2" t="s">
        <v>5171</v>
      </c>
      <c r="H2465" s="16"/>
      <c r="I2465" s="20"/>
      <c r="J2465" s="20"/>
      <c r="K2465" s="20"/>
      <c r="L2465" s="20"/>
      <c r="M2465" s="20"/>
      <c r="N2465" s="20"/>
      <c r="O2465" s="20"/>
      <c r="P2465" s="20"/>
      <c r="Q2465" s="20"/>
      <c r="R2465" s="20"/>
      <c r="S2465" s="20"/>
      <c r="T2465" s="20"/>
      <c r="U2465" s="20"/>
      <c r="V2465" s="20"/>
      <c r="W2465" s="20"/>
      <c r="X2465" s="20"/>
      <c r="Y2465" s="20"/>
      <c r="Z2465" s="20"/>
      <c r="AA2465" s="20"/>
    </row>
    <row r="2466" spans="1:27" ht="409.6" x14ac:dyDescent="0.25">
      <c r="A2466" s="16"/>
      <c r="B2466" s="20" t="b">
        <v>0</v>
      </c>
      <c r="C2466" s="20">
        <v>600</v>
      </c>
      <c r="D2466" s="2" t="s">
        <v>5172</v>
      </c>
      <c r="E2466" s="2" t="s">
        <v>5139</v>
      </c>
      <c r="F2466" s="20" t="s">
        <v>52</v>
      </c>
      <c r="G2466" s="2" t="s">
        <v>5173</v>
      </c>
      <c r="H2466" s="16"/>
      <c r="I2466" s="20"/>
      <c r="J2466" s="20"/>
      <c r="K2466" s="20"/>
      <c r="L2466" s="20"/>
      <c r="M2466" s="20"/>
      <c r="N2466" s="20"/>
      <c r="O2466" s="20"/>
      <c r="P2466" s="20"/>
      <c r="Q2466" s="20"/>
      <c r="R2466" s="20"/>
      <c r="S2466" s="20"/>
      <c r="T2466" s="20"/>
      <c r="U2466" s="20"/>
      <c r="V2466" s="20"/>
      <c r="W2466" s="20"/>
      <c r="X2466" s="20"/>
      <c r="Y2466" s="20"/>
      <c r="Z2466" s="20"/>
      <c r="AA2466" s="20"/>
    </row>
    <row r="2467" spans="1:27" ht="330.6" x14ac:dyDescent="0.25">
      <c r="A2467" s="16"/>
      <c r="B2467" s="20" t="b">
        <v>0</v>
      </c>
      <c r="C2467" s="20">
        <v>100</v>
      </c>
      <c r="D2467" s="2" t="s">
        <v>5174</v>
      </c>
      <c r="E2467" s="2" t="s">
        <v>5139</v>
      </c>
      <c r="F2467" s="20" t="s">
        <v>52</v>
      </c>
      <c r="G2467" s="2" t="s">
        <v>5175</v>
      </c>
      <c r="H2467" s="16"/>
      <c r="I2467" s="20"/>
      <c r="J2467" s="20"/>
      <c r="K2467" s="20"/>
      <c r="L2467" s="20"/>
      <c r="M2467" s="20"/>
      <c r="N2467" s="20"/>
      <c r="O2467" s="20"/>
      <c r="P2467" s="20"/>
      <c r="Q2467" s="20"/>
      <c r="R2467" s="20"/>
      <c r="S2467" s="20"/>
      <c r="T2467" s="20"/>
      <c r="U2467" s="20"/>
      <c r="V2467" s="20"/>
      <c r="W2467" s="20"/>
      <c r="X2467" s="20"/>
      <c r="Y2467" s="20"/>
      <c r="Z2467" s="20"/>
      <c r="AA2467" s="20"/>
    </row>
    <row r="2468" spans="1:27" ht="409.6" x14ac:dyDescent="0.25">
      <c r="A2468" s="16"/>
      <c r="B2468" s="20" t="b">
        <v>0</v>
      </c>
      <c r="C2468" s="20">
        <v>100</v>
      </c>
      <c r="D2468" s="2" t="s">
        <v>5176</v>
      </c>
      <c r="E2468" s="2" t="s">
        <v>5139</v>
      </c>
      <c r="F2468" s="20" t="s">
        <v>52</v>
      </c>
      <c r="G2468" s="2" t="s">
        <v>5177</v>
      </c>
      <c r="H2468" s="16"/>
      <c r="I2468" s="20"/>
      <c r="J2468" s="20"/>
      <c r="K2468" s="20"/>
      <c r="L2468" s="20"/>
      <c r="M2468" s="20"/>
      <c r="N2468" s="20"/>
      <c r="O2468" s="20"/>
      <c r="P2468" s="20"/>
      <c r="Q2468" s="20"/>
      <c r="R2468" s="20"/>
      <c r="S2468" s="20"/>
      <c r="T2468" s="20"/>
      <c r="U2468" s="20"/>
      <c r="V2468" s="20"/>
      <c r="W2468" s="20"/>
      <c r="X2468" s="20"/>
      <c r="Y2468" s="20"/>
      <c r="Z2468" s="20"/>
      <c r="AA2468" s="20"/>
    </row>
    <row r="2469" spans="1:27" ht="409.6" x14ac:dyDescent="0.25">
      <c r="A2469" s="16"/>
      <c r="B2469" s="20" t="b">
        <v>0</v>
      </c>
      <c r="C2469" s="20">
        <v>200</v>
      </c>
      <c r="D2469" s="2" t="s">
        <v>5178</v>
      </c>
      <c r="E2469" s="2" t="s">
        <v>5139</v>
      </c>
      <c r="F2469" s="20" t="s">
        <v>52</v>
      </c>
      <c r="G2469" s="2" t="s">
        <v>5179</v>
      </c>
      <c r="H2469" s="16"/>
      <c r="I2469" s="20"/>
      <c r="J2469" s="20"/>
      <c r="K2469" s="20"/>
      <c r="L2469" s="20"/>
      <c r="M2469" s="20"/>
      <c r="N2469" s="20"/>
      <c r="O2469" s="20"/>
      <c r="P2469" s="20"/>
      <c r="Q2469" s="20"/>
      <c r="R2469" s="20"/>
      <c r="S2469" s="20"/>
      <c r="T2469" s="20"/>
      <c r="U2469" s="20"/>
      <c r="V2469" s="20"/>
      <c r="W2469" s="20"/>
      <c r="X2469" s="20"/>
      <c r="Y2469" s="20"/>
      <c r="Z2469" s="20"/>
      <c r="AA2469" s="20"/>
    </row>
    <row r="2470" spans="1:27" ht="409.6" x14ac:dyDescent="0.25">
      <c r="A2470" s="16"/>
      <c r="B2470" s="20" t="b">
        <v>0</v>
      </c>
      <c r="C2470" s="20">
        <v>200</v>
      </c>
      <c r="D2470" s="2" t="s">
        <v>5180</v>
      </c>
      <c r="E2470" s="2" t="s">
        <v>5139</v>
      </c>
      <c r="F2470" s="20" t="s">
        <v>52</v>
      </c>
      <c r="G2470" s="2" t="s">
        <v>5181</v>
      </c>
      <c r="H2470" s="16"/>
      <c r="I2470" s="20"/>
      <c r="J2470" s="20"/>
      <c r="K2470" s="20"/>
      <c r="L2470" s="20"/>
      <c r="M2470" s="20"/>
      <c r="N2470" s="20"/>
      <c r="O2470" s="20"/>
      <c r="P2470" s="20"/>
      <c r="Q2470" s="20"/>
      <c r="R2470" s="20"/>
      <c r="S2470" s="20"/>
      <c r="T2470" s="20"/>
      <c r="U2470" s="20"/>
      <c r="V2470" s="20"/>
      <c r="W2470" s="20"/>
      <c r="X2470" s="20"/>
      <c r="Y2470" s="20"/>
      <c r="Z2470" s="20"/>
      <c r="AA2470" s="20"/>
    </row>
    <row r="2471" spans="1:27" ht="409.6" x14ac:dyDescent="0.25">
      <c r="A2471" s="16"/>
      <c r="B2471" s="20" t="b">
        <v>0</v>
      </c>
      <c r="C2471" s="20">
        <v>400</v>
      </c>
      <c r="D2471" s="2" t="s">
        <v>5182</v>
      </c>
      <c r="E2471" s="2" t="s">
        <v>5139</v>
      </c>
      <c r="F2471" s="20" t="s">
        <v>52</v>
      </c>
      <c r="G2471" s="2" t="s">
        <v>5183</v>
      </c>
      <c r="H2471" s="16"/>
      <c r="I2471" s="20"/>
      <c r="J2471" s="20"/>
      <c r="K2471" s="20"/>
      <c r="L2471" s="20"/>
      <c r="M2471" s="20"/>
      <c r="N2471" s="20"/>
      <c r="O2471" s="20"/>
      <c r="P2471" s="20"/>
      <c r="Q2471" s="20"/>
      <c r="R2471" s="20"/>
      <c r="S2471" s="20"/>
      <c r="T2471" s="20"/>
      <c r="U2471" s="20"/>
      <c r="V2471" s="20"/>
      <c r="W2471" s="20"/>
      <c r="X2471" s="20"/>
      <c r="Y2471" s="20"/>
      <c r="Z2471" s="20"/>
      <c r="AA2471" s="20"/>
    </row>
    <row r="2472" spans="1:27" ht="409.6" x14ac:dyDescent="0.25">
      <c r="A2472" s="16"/>
      <c r="B2472" s="20" t="b">
        <v>0</v>
      </c>
      <c r="C2472" s="20">
        <v>400</v>
      </c>
      <c r="D2472" s="2" t="s">
        <v>5184</v>
      </c>
      <c r="E2472" s="2" t="s">
        <v>5139</v>
      </c>
      <c r="F2472" s="20" t="s">
        <v>52</v>
      </c>
      <c r="G2472" s="2" t="s">
        <v>5185</v>
      </c>
      <c r="H2472" s="16"/>
      <c r="I2472" s="20"/>
      <c r="J2472" s="20"/>
      <c r="K2472" s="20"/>
      <c r="L2472" s="20"/>
      <c r="M2472" s="20"/>
      <c r="N2472" s="20"/>
      <c r="O2472" s="20"/>
      <c r="P2472" s="20"/>
      <c r="Q2472" s="20"/>
      <c r="R2472" s="20"/>
      <c r="S2472" s="20"/>
      <c r="T2472" s="20"/>
      <c r="U2472" s="20"/>
      <c r="V2472" s="20"/>
      <c r="W2472" s="20"/>
      <c r="X2472" s="20"/>
      <c r="Y2472" s="20"/>
      <c r="Z2472" s="20"/>
      <c r="AA2472" s="20"/>
    </row>
    <row r="2473" spans="1:27" ht="409.6" x14ac:dyDescent="0.25">
      <c r="A2473" s="16"/>
      <c r="B2473" s="20" t="b">
        <v>0</v>
      </c>
      <c r="C2473" s="20">
        <v>600</v>
      </c>
      <c r="D2473" s="2" t="s">
        <v>5186</v>
      </c>
      <c r="E2473" s="2" t="s">
        <v>5139</v>
      </c>
      <c r="F2473" s="20" t="s">
        <v>52</v>
      </c>
      <c r="G2473" s="2" t="s">
        <v>5187</v>
      </c>
      <c r="H2473" s="16"/>
      <c r="I2473" s="20"/>
      <c r="J2473" s="20"/>
      <c r="K2473" s="20"/>
      <c r="L2473" s="20"/>
      <c r="M2473" s="20"/>
      <c r="N2473" s="20"/>
      <c r="O2473" s="20"/>
      <c r="P2473" s="20"/>
      <c r="Q2473" s="20"/>
      <c r="R2473" s="20"/>
      <c r="S2473" s="20"/>
      <c r="T2473" s="20"/>
      <c r="U2473" s="20"/>
      <c r="V2473" s="20"/>
      <c r="W2473" s="20"/>
      <c r="X2473" s="20"/>
      <c r="Y2473" s="20"/>
      <c r="Z2473" s="20"/>
      <c r="AA2473" s="20"/>
    </row>
    <row r="2474" spans="1:27" ht="69.599999999999994" x14ac:dyDescent="0.25">
      <c r="A2474" s="16"/>
      <c r="B2474" s="20" t="b">
        <v>0</v>
      </c>
      <c r="C2474" s="20">
        <v>200</v>
      </c>
      <c r="D2474" s="2" t="s">
        <v>5188</v>
      </c>
      <c r="E2474" s="2" t="s">
        <v>5189</v>
      </c>
      <c r="F2474" s="20" t="s">
        <v>63</v>
      </c>
      <c r="G2474" s="2" t="s">
        <v>5190</v>
      </c>
      <c r="H2474" s="16"/>
      <c r="I2474" s="20"/>
      <c r="J2474" s="20"/>
      <c r="K2474" s="20"/>
      <c r="L2474" s="20"/>
      <c r="M2474" s="20"/>
      <c r="N2474" s="20"/>
      <c r="O2474" s="20"/>
      <c r="P2474" s="20"/>
      <c r="Q2474" s="20"/>
      <c r="R2474" s="20"/>
      <c r="S2474" s="20"/>
      <c r="T2474" s="20"/>
      <c r="U2474" s="20"/>
      <c r="V2474" s="20"/>
      <c r="W2474" s="20"/>
      <c r="X2474" s="20"/>
      <c r="Y2474" s="20"/>
      <c r="Z2474" s="20"/>
      <c r="AA2474" s="20"/>
    </row>
    <row r="2475" spans="1:27" ht="121.8" x14ac:dyDescent="0.25">
      <c r="A2475" s="16"/>
      <c r="B2475" s="20" t="b">
        <v>0</v>
      </c>
      <c r="C2475" s="20">
        <v>400</v>
      </c>
      <c r="D2475" s="2" t="s">
        <v>5191</v>
      </c>
      <c r="E2475" s="2" t="s">
        <v>5189</v>
      </c>
      <c r="F2475" s="20" t="s">
        <v>54</v>
      </c>
      <c r="G2475" s="2" t="s">
        <v>5192</v>
      </c>
      <c r="H2475" s="16"/>
      <c r="I2475" s="20"/>
      <c r="J2475" s="20"/>
      <c r="K2475" s="20"/>
      <c r="L2475" s="20"/>
      <c r="M2475" s="20"/>
      <c r="N2475" s="20"/>
      <c r="O2475" s="20"/>
      <c r="P2475" s="20"/>
      <c r="Q2475" s="20"/>
      <c r="R2475" s="20"/>
      <c r="S2475" s="20"/>
      <c r="T2475" s="20"/>
      <c r="U2475" s="20"/>
      <c r="V2475" s="20"/>
      <c r="W2475" s="20"/>
      <c r="X2475" s="20"/>
      <c r="Y2475" s="20"/>
      <c r="Z2475" s="20"/>
      <c r="AA2475" s="20"/>
    </row>
    <row r="2476" spans="1:27" ht="139.19999999999999" x14ac:dyDescent="0.25">
      <c r="A2476" s="16"/>
      <c r="B2476" s="20" t="b">
        <v>0</v>
      </c>
      <c r="C2476" s="20">
        <v>400</v>
      </c>
      <c r="D2476" s="2" t="s">
        <v>5193</v>
      </c>
      <c r="E2476" s="2" t="s">
        <v>5189</v>
      </c>
      <c r="F2476" s="20" t="s">
        <v>63</v>
      </c>
      <c r="G2476" s="2" t="s">
        <v>5194</v>
      </c>
      <c r="H2476" s="16"/>
      <c r="I2476" s="20"/>
      <c r="J2476" s="20"/>
      <c r="K2476" s="20"/>
      <c r="L2476" s="20"/>
      <c r="M2476" s="20"/>
      <c r="N2476" s="20"/>
      <c r="O2476" s="20"/>
      <c r="P2476" s="20"/>
      <c r="Q2476" s="20"/>
      <c r="R2476" s="20"/>
      <c r="S2476" s="20"/>
      <c r="T2476" s="20"/>
      <c r="U2476" s="20"/>
      <c r="V2476" s="20"/>
      <c r="W2476" s="20"/>
      <c r="X2476" s="20"/>
      <c r="Y2476" s="20"/>
      <c r="Z2476" s="20"/>
      <c r="AA2476" s="20"/>
    </row>
    <row r="2477" spans="1:27" ht="69.599999999999994" x14ac:dyDescent="0.25">
      <c r="A2477" s="16"/>
      <c r="B2477" s="20" t="b">
        <v>0</v>
      </c>
      <c r="C2477" s="20">
        <v>100</v>
      </c>
      <c r="D2477" s="2" t="s">
        <v>5195</v>
      </c>
      <c r="E2477" s="2" t="s">
        <v>5189</v>
      </c>
      <c r="F2477" s="20" t="s">
        <v>63</v>
      </c>
      <c r="G2477" s="2" t="s">
        <v>5196</v>
      </c>
      <c r="H2477" s="16"/>
      <c r="I2477" s="20"/>
      <c r="J2477" s="20"/>
      <c r="K2477" s="20"/>
      <c r="L2477" s="20"/>
      <c r="M2477" s="20"/>
      <c r="N2477" s="20"/>
      <c r="O2477" s="20"/>
      <c r="P2477" s="20"/>
      <c r="Q2477" s="20"/>
      <c r="R2477" s="20"/>
      <c r="S2477" s="20"/>
      <c r="T2477" s="20"/>
      <c r="U2477" s="20"/>
      <c r="V2477" s="20"/>
      <c r="W2477" s="20"/>
      <c r="X2477" s="20"/>
      <c r="Y2477" s="20"/>
      <c r="Z2477" s="20"/>
      <c r="AA2477" s="20"/>
    </row>
    <row r="2478" spans="1:27" ht="87" x14ac:dyDescent="0.25">
      <c r="A2478" s="16"/>
      <c r="B2478" s="20" t="b">
        <v>0</v>
      </c>
      <c r="C2478" s="20">
        <v>200</v>
      </c>
      <c r="D2478" s="2" t="s">
        <v>5197</v>
      </c>
      <c r="E2478" s="2" t="s">
        <v>5189</v>
      </c>
      <c r="F2478" s="20" t="s">
        <v>63</v>
      </c>
      <c r="G2478" s="2" t="s">
        <v>5198</v>
      </c>
      <c r="H2478" s="16"/>
      <c r="I2478" s="20"/>
      <c r="J2478" s="20"/>
      <c r="K2478" s="20"/>
      <c r="L2478" s="20"/>
      <c r="M2478" s="20"/>
      <c r="N2478" s="20"/>
      <c r="O2478" s="20"/>
      <c r="P2478" s="20"/>
      <c r="Q2478" s="20"/>
      <c r="R2478" s="20"/>
      <c r="S2478" s="20"/>
      <c r="T2478" s="20"/>
      <c r="U2478" s="20"/>
      <c r="V2478" s="20"/>
      <c r="W2478" s="20"/>
      <c r="X2478" s="20"/>
      <c r="Y2478" s="20"/>
      <c r="Z2478" s="20"/>
      <c r="AA2478" s="20"/>
    </row>
    <row r="2479" spans="1:27" ht="69.599999999999994" x14ac:dyDescent="0.25">
      <c r="A2479" s="16"/>
      <c r="B2479" s="20" t="b">
        <v>0</v>
      </c>
      <c r="C2479" s="20">
        <v>200</v>
      </c>
      <c r="D2479" s="2" t="s">
        <v>5199</v>
      </c>
      <c r="E2479" s="2" t="s">
        <v>5189</v>
      </c>
      <c r="F2479" s="20" t="s">
        <v>57</v>
      </c>
      <c r="G2479" s="2" t="s">
        <v>5200</v>
      </c>
      <c r="H2479" s="16"/>
      <c r="I2479" s="20"/>
      <c r="J2479" s="20"/>
      <c r="K2479" s="20"/>
      <c r="L2479" s="20"/>
      <c r="M2479" s="20"/>
      <c r="N2479" s="20"/>
      <c r="O2479" s="20"/>
      <c r="P2479" s="20"/>
      <c r="Q2479" s="20"/>
      <c r="R2479" s="20"/>
      <c r="S2479" s="20"/>
      <c r="T2479" s="20"/>
      <c r="U2479" s="20"/>
      <c r="V2479" s="20"/>
      <c r="W2479" s="20"/>
      <c r="X2479" s="20"/>
      <c r="Y2479" s="20"/>
      <c r="Z2479" s="20"/>
      <c r="AA2479" s="20"/>
    </row>
    <row r="2480" spans="1:27" ht="104.4" x14ac:dyDescent="0.25">
      <c r="A2480" s="16"/>
      <c r="B2480" s="20" t="b">
        <v>0</v>
      </c>
      <c r="C2480" s="20">
        <v>400</v>
      </c>
      <c r="D2480" s="2" t="s">
        <v>5201</v>
      </c>
      <c r="E2480" s="2" t="s">
        <v>5189</v>
      </c>
      <c r="F2480" s="20" t="s">
        <v>54</v>
      </c>
      <c r="G2480" s="2" t="s">
        <v>5202</v>
      </c>
      <c r="H2480" s="16"/>
      <c r="I2480" s="20"/>
      <c r="J2480" s="20"/>
      <c r="K2480" s="20"/>
      <c r="L2480" s="20"/>
      <c r="M2480" s="20"/>
      <c r="N2480" s="20"/>
      <c r="O2480" s="20"/>
      <c r="P2480" s="20"/>
      <c r="Q2480" s="20"/>
      <c r="R2480" s="20"/>
      <c r="S2480" s="20"/>
      <c r="T2480" s="20"/>
      <c r="U2480" s="20"/>
      <c r="V2480" s="20"/>
      <c r="W2480" s="20"/>
      <c r="X2480" s="20"/>
      <c r="Y2480" s="20"/>
      <c r="Z2480" s="20"/>
      <c r="AA2480" s="20"/>
    </row>
    <row r="2481" spans="1:27" ht="139.19999999999999" x14ac:dyDescent="0.25">
      <c r="A2481" s="16"/>
      <c r="B2481" s="20" t="b">
        <v>0</v>
      </c>
      <c r="C2481" s="20">
        <v>600</v>
      </c>
      <c r="D2481" s="2" t="s">
        <v>5203</v>
      </c>
      <c r="E2481" s="2" t="s">
        <v>5189</v>
      </c>
      <c r="F2481" s="20" t="s">
        <v>60</v>
      </c>
      <c r="G2481" s="2" t="s">
        <v>5204</v>
      </c>
      <c r="H2481" s="16"/>
      <c r="I2481" s="20"/>
      <c r="J2481" s="20"/>
      <c r="K2481" s="20"/>
      <c r="L2481" s="20"/>
      <c r="M2481" s="20"/>
      <c r="N2481" s="20"/>
      <c r="O2481" s="20"/>
      <c r="P2481" s="20"/>
      <c r="Q2481" s="20"/>
      <c r="R2481" s="20"/>
      <c r="S2481" s="20"/>
      <c r="T2481" s="20"/>
      <c r="U2481" s="20"/>
      <c r="V2481" s="20"/>
      <c r="W2481" s="20"/>
      <c r="X2481" s="20"/>
      <c r="Y2481" s="20"/>
      <c r="Z2481" s="20"/>
      <c r="AA2481" s="20"/>
    </row>
    <row r="2482" spans="1:27" ht="174" x14ac:dyDescent="0.25">
      <c r="A2482" s="16"/>
      <c r="B2482" s="20" t="b">
        <v>0</v>
      </c>
      <c r="C2482" s="20">
        <v>600</v>
      </c>
      <c r="D2482" s="2" t="s">
        <v>5205</v>
      </c>
      <c r="E2482" s="2" t="s">
        <v>5189</v>
      </c>
      <c r="F2482" s="20" t="s">
        <v>63</v>
      </c>
      <c r="G2482" s="2" t="s">
        <v>5206</v>
      </c>
      <c r="H2482" s="16"/>
      <c r="I2482" s="20"/>
      <c r="J2482" s="20"/>
      <c r="K2482" s="20"/>
      <c r="L2482" s="20"/>
      <c r="M2482" s="20"/>
      <c r="N2482" s="20"/>
      <c r="O2482" s="20"/>
      <c r="P2482" s="20"/>
      <c r="Q2482" s="20"/>
      <c r="R2482" s="20"/>
      <c r="S2482" s="20"/>
      <c r="T2482" s="20"/>
      <c r="U2482" s="20"/>
      <c r="V2482" s="20"/>
      <c r="W2482" s="20"/>
      <c r="X2482" s="20"/>
      <c r="Y2482" s="20"/>
      <c r="Z2482" s="20"/>
      <c r="AA2482" s="20"/>
    </row>
    <row r="2483" spans="1:27" ht="104.4" x14ac:dyDescent="0.25">
      <c r="A2483" s="16"/>
      <c r="B2483" s="20" t="b">
        <v>0</v>
      </c>
      <c r="C2483" s="20">
        <v>200</v>
      </c>
      <c r="D2483" s="2" t="s">
        <v>5207</v>
      </c>
      <c r="E2483" s="2" t="s">
        <v>5189</v>
      </c>
      <c r="F2483" s="20" t="s">
        <v>62</v>
      </c>
      <c r="G2483" s="2" t="s">
        <v>5208</v>
      </c>
      <c r="H2483" s="16"/>
      <c r="I2483" s="20"/>
      <c r="J2483" s="20"/>
      <c r="K2483" s="20"/>
      <c r="L2483" s="20"/>
      <c r="M2483" s="20"/>
      <c r="N2483" s="20"/>
      <c r="O2483" s="20"/>
      <c r="P2483" s="20"/>
      <c r="Q2483" s="20"/>
      <c r="R2483" s="20"/>
      <c r="S2483" s="20"/>
      <c r="T2483" s="20"/>
      <c r="U2483" s="20"/>
      <c r="V2483" s="20"/>
      <c r="W2483" s="20"/>
      <c r="X2483" s="20"/>
      <c r="Y2483" s="20"/>
      <c r="Z2483" s="20"/>
      <c r="AA2483" s="20"/>
    </row>
    <row r="2484" spans="1:27" ht="87" x14ac:dyDescent="0.25">
      <c r="A2484" s="16"/>
      <c r="B2484" s="20" t="b">
        <v>0</v>
      </c>
      <c r="C2484" s="20">
        <v>100</v>
      </c>
      <c r="D2484" s="2" t="s">
        <v>5209</v>
      </c>
      <c r="E2484" s="2" t="s">
        <v>5189</v>
      </c>
      <c r="F2484" s="20" t="s">
        <v>63</v>
      </c>
      <c r="G2484" s="2" t="s">
        <v>5210</v>
      </c>
      <c r="H2484" s="16"/>
      <c r="I2484" s="20"/>
      <c r="J2484" s="20"/>
      <c r="K2484" s="20"/>
      <c r="L2484" s="20"/>
      <c r="M2484" s="20"/>
      <c r="N2484" s="20"/>
      <c r="O2484" s="20"/>
      <c r="P2484" s="20"/>
      <c r="Q2484" s="20"/>
      <c r="R2484" s="20"/>
      <c r="S2484" s="20"/>
      <c r="T2484" s="20"/>
      <c r="U2484" s="20"/>
      <c r="V2484" s="20"/>
      <c r="W2484" s="20"/>
      <c r="X2484" s="20"/>
      <c r="Y2484" s="20"/>
      <c r="Z2484" s="20"/>
      <c r="AA2484" s="20"/>
    </row>
    <row r="2485" spans="1:27" ht="69.599999999999994" x14ac:dyDescent="0.25">
      <c r="A2485" s="16"/>
      <c r="B2485" s="20" t="b">
        <v>0</v>
      </c>
      <c r="C2485" s="20">
        <v>100</v>
      </c>
      <c r="D2485" s="2" t="s">
        <v>5211</v>
      </c>
      <c r="E2485" s="2" t="s">
        <v>5189</v>
      </c>
      <c r="F2485" s="20" t="s">
        <v>60</v>
      </c>
      <c r="G2485" s="2" t="s">
        <v>5212</v>
      </c>
      <c r="H2485" s="16"/>
      <c r="I2485" s="20"/>
      <c r="J2485" s="20"/>
      <c r="K2485" s="20"/>
      <c r="L2485" s="20"/>
      <c r="M2485" s="20"/>
      <c r="N2485" s="20"/>
      <c r="O2485" s="20"/>
      <c r="P2485" s="20"/>
      <c r="Q2485" s="20"/>
      <c r="R2485" s="20"/>
      <c r="S2485" s="20"/>
      <c r="T2485" s="20"/>
      <c r="U2485" s="20"/>
      <c r="V2485" s="20"/>
      <c r="W2485" s="20"/>
      <c r="X2485" s="20"/>
      <c r="Y2485" s="20"/>
      <c r="Z2485" s="20"/>
      <c r="AA2485" s="20"/>
    </row>
    <row r="2486" spans="1:27" ht="243.6" x14ac:dyDescent="0.25">
      <c r="A2486" s="16"/>
      <c r="B2486" s="20" t="b">
        <v>0</v>
      </c>
      <c r="C2486" s="20">
        <v>600</v>
      </c>
      <c r="D2486" s="2" t="s">
        <v>5213</v>
      </c>
      <c r="E2486" s="2" t="s">
        <v>5189</v>
      </c>
      <c r="F2486" s="20" t="s">
        <v>60</v>
      </c>
      <c r="G2486" s="2" t="s">
        <v>5214</v>
      </c>
      <c r="H2486" s="16"/>
      <c r="I2486" s="20"/>
      <c r="J2486" s="20"/>
      <c r="K2486" s="20"/>
      <c r="L2486" s="20"/>
      <c r="M2486" s="20"/>
      <c r="N2486" s="20"/>
      <c r="O2486" s="20"/>
      <c r="P2486" s="20"/>
      <c r="Q2486" s="20"/>
      <c r="R2486" s="20"/>
      <c r="S2486" s="20"/>
      <c r="T2486" s="20"/>
      <c r="U2486" s="20"/>
      <c r="V2486" s="20"/>
      <c r="W2486" s="20"/>
      <c r="X2486" s="20"/>
      <c r="Y2486" s="20"/>
      <c r="Z2486" s="20"/>
      <c r="AA2486" s="20"/>
    </row>
    <row r="2487" spans="1:27" ht="69.599999999999994" x14ac:dyDescent="0.25">
      <c r="A2487" s="16"/>
      <c r="B2487" s="20" t="b">
        <v>0</v>
      </c>
      <c r="C2487" s="20">
        <v>100</v>
      </c>
      <c r="D2487" s="2" t="s">
        <v>5215</v>
      </c>
      <c r="E2487" s="2" t="s">
        <v>5189</v>
      </c>
      <c r="F2487" s="20" t="s">
        <v>55</v>
      </c>
      <c r="G2487" s="2" t="s">
        <v>5216</v>
      </c>
      <c r="H2487" s="16"/>
      <c r="I2487" s="20"/>
      <c r="J2487" s="20"/>
      <c r="K2487" s="20"/>
      <c r="L2487" s="20"/>
      <c r="M2487" s="20"/>
      <c r="N2487" s="20"/>
      <c r="O2487" s="20"/>
      <c r="P2487" s="20"/>
      <c r="Q2487" s="20"/>
      <c r="R2487" s="20"/>
      <c r="S2487" s="20"/>
      <c r="T2487" s="20"/>
      <c r="U2487" s="20"/>
      <c r="V2487" s="20"/>
      <c r="W2487" s="20"/>
      <c r="X2487" s="20"/>
      <c r="Y2487" s="20"/>
      <c r="Z2487" s="20"/>
      <c r="AA2487" s="20"/>
    </row>
    <row r="2488" spans="1:27" ht="191.4" x14ac:dyDescent="0.25">
      <c r="A2488" s="16"/>
      <c r="B2488" s="20" t="b">
        <v>0</v>
      </c>
      <c r="C2488" s="20">
        <v>0</v>
      </c>
      <c r="D2488" s="2" t="s">
        <v>5217</v>
      </c>
      <c r="E2488" s="2" t="s">
        <v>5189</v>
      </c>
      <c r="F2488" s="20" t="s">
        <v>54</v>
      </c>
      <c r="G2488" s="2" t="s">
        <v>5218</v>
      </c>
      <c r="H2488" s="16"/>
      <c r="I2488" s="20"/>
      <c r="J2488" s="20"/>
      <c r="K2488" s="20"/>
      <c r="L2488" s="20"/>
      <c r="M2488" s="20"/>
      <c r="N2488" s="20"/>
      <c r="O2488" s="20"/>
      <c r="P2488" s="20"/>
      <c r="Q2488" s="20"/>
      <c r="R2488" s="20"/>
      <c r="S2488" s="20"/>
      <c r="T2488" s="20"/>
      <c r="U2488" s="20"/>
      <c r="V2488" s="20"/>
      <c r="W2488" s="20"/>
      <c r="X2488" s="20"/>
      <c r="Y2488" s="20"/>
      <c r="Z2488" s="20"/>
      <c r="AA2488" s="20"/>
    </row>
    <row r="2489" spans="1:27" ht="139.19999999999999" x14ac:dyDescent="0.25">
      <c r="A2489" s="16"/>
      <c r="B2489" s="20" t="b">
        <v>0</v>
      </c>
      <c r="C2489" s="20">
        <v>100</v>
      </c>
      <c r="D2489" s="2" t="s">
        <v>5219</v>
      </c>
      <c r="E2489" s="2" t="s">
        <v>5189</v>
      </c>
      <c r="F2489" s="20" t="s">
        <v>64</v>
      </c>
      <c r="G2489" s="2" t="s">
        <v>5220</v>
      </c>
      <c r="H2489" s="16"/>
      <c r="I2489" s="20"/>
      <c r="J2489" s="20"/>
      <c r="K2489" s="20"/>
      <c r="L2489" s="20"/>
      <c r="M2489" s="20"/>
      <c r="N2489" s="20"/>
      <c r="O2489" s="20"/>
      <c r="P2489" s="20"/>
      <c r="Q2489" s="20"/>
      <c r="R2489" s="20"/>
      <c r="S2489" s="20"/>
      <c r="T2489" s="20"/>
      <c r="U2489" s="20"/>
      <c r="V2489" s="20"/>
      <c r="W2489" s="20"/>
      <c r="X2489" s="20"/>
      <c r="Y2489" s="20"/>
      <c r="Z2489" s="20"/>
      <c r="AA2489" s="20"/>
    </row>
    <row r="2490" spans="1:27" ht="87" x14ac:dyDescent="0.25">
      <c r="A2490" s="16"/>
      <c r="B2490" s="20" t="b">
        <v>0</v>
      </c>
      <c r="C2490" s="20">
        <v>100</v>
      </c>
      <c r="D2490" s="2" t="s">
        <v>5221</v>
      </c>
      <c r="E2490" s="2" t="s">
        <v>5189</v>
      </c>
      <c r="F2490" s="20" t="s">
        <v>53</v>
      </c>
      <c r="G2490" s="2" t="s">
        <v>5222</v>
      </c>
      <c r="H2490" s="16"/>
      <c r="I2490" s="20"/>
      <c r="J2490" s="20"/>
      <c r="K2490" s="20"/>
      <c r="L2490" s="20"/>
      <c r="M2490" s="20"/>
      <c r="N2490" s="20"/>
      <c r="O2490" s="20"/>
      <c r="P2490" s="20"/>
      <c r="Q2490" s="20"/>
      <c r="R2490" s="20"/>
      <c r="S2490" s="20"/>
      <c r="T2490" s="20"/>
      <c r="U2490" s="20"/>
      <c r="V2490" s="20"/>
      <c r="W2490" s="20"/>
      <c r="X2490" s="20"/>
      <c r="Y2490" s="20"/>
      <c r="Z2490" s="20"/>
      <c r="AA2490" s="20"/>
    </row>
    <row r="2491" spans="1:27" ht="52.2" x14ac:dyDescent="0.25">
      <c r="A2491" s="16"/>
      <c r="B2491" s="20" t="b">
        <v>0</v>
      </c>
      <c r="C2491" s="20">
        <v>200</v>
      </c>
      <c r="D2491" s="2" t="s">
        <v>5223</v>
      </c>
      <c r="E2491" s="2" t="s">
        <v>5189</v>
      </c>
      <c r="F2491" s="20" t="s">
        <v>53</v>
      </c>
      <c r="G2491" s="2" t="s">
        <v>5224</v>
      </c>
      <c r="H2491" s="16"/>
      <c r="I2491" s="20"/>
      <c r="J2491" s="20"/>
      <c r="K2491" s="20"/>
      <c r="L2491" s="20"/>
      <c r="M2491" s="20"/>
      <c r="N2491" s="20"/>
      <c r="O2491" s="20"/>
      <c r="P2491" s="20"/>
      <c r="Q2491" s="20"/>
      <c r="R2491" s="20"/>
      <c r="S2491" s="20"/>
      <c r="T2491" s="20"/>
      <c r="U2491" s="20"/>
      <c r="V2491" s="20"/>
      <c r="W2491" s="20"/>
      <c r="X2491" s="20"/>
      <c r="Y2491" s="20"/>
      <c r="Z2491" s="20"/>
      <c r="AA2491" s="20"/>
    </row>
    <row r="2492" spans="1:27" ht="52.2" x14ac:dyDescent="0.25">
      <c r="A2492" s="16"/>
      <c r="B2492" s="20" t="b">
        <v>0</v>
      </c>
      <c r="C2492" s="20">
        <v>200</v>
      </c>
      <c r="D2492" s="2" t="s">
        <v>5225</v>
      </c>
      <c r="E2492" s="2" t="s">
        <v>5189</v>
      </c>
      <c r="F2492" s="20" t="s">
        <v>53</v>
      </c>
      <c r="G2492" s="2" t="s">
        <v>5226</v>
      </c>
      <c r="H2492" s="16"/>
      <c r="I2492" s="20"/>
      <c r="J2492" s="20"/>
      <c r="K2492" s="20"/>
      <c r="L2492" s="20"/>
      <c r="M2492" s="20"/>
      <c r="N2492" s="20"/>
      <c r="O2492" s="20"/>
      <c r="P2492" s="20"/>
      <c r="Q2492" s="20"/>
      <c r="R2492" s="20"/>
      <c r="S2492" s="20"/>
      <c r="T2492" s="20"/>
      <c r="U2492" s="20"/>
      <c r="V2492" s="20"/>
      <c r="W2492" s="20"/>
      <c r="X2492" s="20"/>
      <c r="Y2492" s="20"/>
      <c r="Z2492" s="20"/>
      <c r="AA2492" s="20"/>
    </row>
    <row r="2493" spans="1:27" ht="52.2" x14ac:dyDescent="0.25">
      <c r="A2493" s="16"/>
      <c r="B2493" s="20" t="b">
        <v>0</v>
      </c>
      <c r="C2493" s="20">
        <v>200</v>
      </c>
      <c r="D2493" s="2" t="s">
        <v>5227</v>
      </c>
      <c r="E2493" s="2" t="s">
        <v>5189</v>
      </c>
      <c r="F2493" s="20" t="s">
        <v>53</v>
      </c>
      <c r="G2493" s="2" t="s">
        <v>5228</v>
      </c>
      <c r="H2493" s="16"/>
      <c r="I2493" s="20"/>
      <c r="J2493" s="20"/>
      <c r="K2493" s="20"/>
      <c r="L2493" s="20"/>
      <c r="M2493" s="20"/>
      <c r="N2493" s="20"/>
      <c r="O2493" s="20"/>
      <c r="P2493" s="20"/>
      <c r="Q2493" s="20"/>
      <c r="R2493" s="20"/>
      <c r="S2493" s="20"/>
      <c r="T2493" s="20"/>
      <c r="U2493" s="20"/>
      <c r="V2493" s="20"/>
      <c r="W2493" s="20"/>
      <c r="X2493" s="20"/>
      <c r="Y2493" s="20"/>
      <c r="Z2493" s="20"/>
      <c r="AA2493" s="20"/>
    </row>
    <row r="2494" spans="1:27" ht="69.599999999999994" x14ac:dyDescent="0.25">
      <c r="A2494" s="16"/>
      <c r="B2494" s="20" t="b">
        <v>0</v>
      </c>
      <c r="C2494" s="20">
        <v>200</v>
      </c>
      <c r="D2494" s="2" t="s">
        <v>5229</v>
      </c>
      <c r="E2494" s="2" t="s">
        <v>5189</v>
      </c>
      <c r="F2494" s="20" t="s">
        <v>53</v>
      </c>
      <c r="G2494" s="2" t="s">
        <v>5230</v>
      </c>
      <c r="H2494" s="16"/>
      <c r="I2494" s="20"/>
      <c r="J2494" s="20"/>
      <c r="K2494" s="20"/>
      <c r="L2494" s="20"/>
      <c r="M2494" s="20"/>
      <c r="N2494" s="20"/>
      <c r="O2494" s="20"/>
      <c r="P2494" s="20"/>
      <c r="Q2494" s="20"/>
      <c r="R2494" s="20"/>
      <c r="S2494" s="20"/>
      <c r="T2494" s="20"/>
      <c r="U2494" s="20"/>
      <c r="V2494" s="20"/>
      <c r="W2494" s="20"/>
      <c r="X2494" s="20"/>
      <c r="Y2494" s="20"/>
      <c r="Z2494" s="20"/>
      <c r="AA2494" s="20"/>
    </row>
    <row r="2495" spans="1:27" ht="52.2" x14ac:dyDescent="0.25">
      <c r="A2495" s="16"/>
      <c r="B2495" s="20" t="b">
        <v>0</v>
      </c>
      <c r="C2495" s="20">
        <v>200</v>
      </c>
      <c r="D2495" s="2" t="s">
        <v>5231</v>
      </c>
      <c r="E2495" s="2" t="s">
        <v>5189</v>
      </c>
      <c r="F2495" s="20" t="s">
        <v>53</v>
      </c>
      <c r="G2495" s="2" t="s">
        <v>5232</v>
      </c>
      <c r="H2495" s="16"/>
      <c r="I2495" s="20"/>
      <c r="J2495" s="20"/>
      <c r="K2495" s="20"/>
      <c r="L2495" s="20"/>
      <c r="M2495" s="20"/>
      <c r="N2495" s="20"/>
      <c r="O2495" s="20"/>
      <c r="P2495" s="20"/>
      <c r="Q2495" s="20"/>
      <c r="R2495" s="20"/>
      <c r="S2495" s="20"/>
      <c r="T2495" s="20"/>
      <c r="U2495" s="20"/>
      <c r="V2495" s="20"/>
      <c r="W2495" s="20"/>
      <c r="X2495" s="20"/>
      <c r="Y2495" s="20"/>
      <c r="Z2495" s="20"/>
      <c r="AA2495" s="20"/>
    </row>
    <row r="2496" spans="1:27" ht="52.2" x14ac:dyDescent="0.25">
      <c r="A2496" s="16"/>
      <c r="B2496" s="20" t="b">
        <v>0</v>
      </c>
      <c r="C2496" s="20">
        <v>400</v>
      </c>
      <c r="D2496" s="2" t="s">
        <v>4475</v>
      </c>
      <c r="E2496" s="2" t="s">
        <v>5189</v>
      </c>
      <c r="F2496" s="20" t="s">
        <v>53</v>
      </c>
      <c r="G2496" s="2" t="s">
        <v>5233</v>
      </c>
      <c r="H2496" s="16"/>
      <c r="I2496" s="20"/>
      <c r="J2496" s="20"/>
      <c r="K2496" s="20"/>
      <c r="L2496" s="20"/>
      <c r="M2496" s="20"/>
      <c r="N2496" s="20"/>
      <c r="O2496" s="20"/>
      <c r="P2496" s="20"/>
      <c r="Q2496" s="20"/>
      <c r="R2496" s="20"/>
      <c r="S2496" s="20"/>
      <c r="T2496" s="20"/>
      <c r="U2496" s="20"/>
      <c r="V2496" s="20"/>
      <c r="W2496" s="20"/>
      <c r="X2496" s="20"/>
      <c r="Y2496" s="20"/>
      <c r="Z2496" s="20"/>
      <c r="AA2496" s="20"/>
    </row>
    <row r="2497" spans="1:27" ht="69.599999999999994" x14ac:dyDescent="0.25">
      <c r="A2497" s="16"/>
      <c r="B2497" s="20" t="b">
        <v>0</v>
      </c>
      <c r="C2497" s="20">
        <v>400</v>
      </c>
      <c r="D2497" s="2" t="s">
        <v>5234</v>
      </c>
      <c r="E2497" s="2" t="s">
        <v>5189</v>
      </c>
      <c r="F2497" s="20" t="s">
        <v>60</v>
      </c>
      <c r="G2497" s="2" t="s">
        <v>5235</v>
      </c>
      <c r="H2497" s="16"/>
      <c r="I2497" s="20"/>
      <c r="J2497" s="20"/>
      <c r="K2497" s="20"/>
      <c r="L2497" s="20"/>
      <c r="M2497" s="20"/>
      <c r="N2497" s="20"/>
      <c r="O2497" s="20"/>
      <c r="P2497" s="20"/>
      <c r="Q2497" s="20"/>
      <c r="R2497" s="20"/>
      <c r="S2497" s="20"/>
      <c r="T2497" s="20"/>
      <c r="U2497" s="20"/>
      <c r="V2497" s="20"/>
      <c r="W2497" s="20"/>
      <c r="X2497" s="20"/>
      <c r="Y2497" s="20"/>
      <c r="Z2497" s="20"/>
      <c r="AA2497" s="20"/>
    </row>
    <row r="2498" spans="1:27" ht="52.2" x14ac:dyDescent="0.25">
      <c r="A2498" s="16"/>
      <c r="B2498" s="20" t="b">
        <v>0</v>
      </c>
      <c r="C2498" s="20">
        <v>600</v>
      </c>
      <c r="D2498" s="2" t="s">
        <v>4485</v>
      </c>
      <c r="E2498" s="2" t="s">
        <v>5189</v>
      </c>
      <c r="F2498" s="20" t="s">
        <v>60</v>
      </c>
      <c r="G2498" s="2" t="s">
        <v>5236</v>
      </c>
      <c r="H2498" s="16"/>
      <c r="I2498" s="20"/>
      <c r="J2498" s="20"/>
      <c r="K2498" s="20"/>
      <c r="L2498" s="20"/>
      <c r="M2498" s="20"/>
      <c r="N2498" s="20"/>
      <c r="O2498" s="20"/>
      <c r="P2498" s="20"/>
      <c r="Q2498" s="20"/>
      <c r="R2498" s="20"/>
      <c r="S2498" s="20"/>
      <c r="T2498" s="20"/>
      <c r="U2498" s="20"/>
      <c r="V2498" s="20"/>
      <c r="W2498" s="20"/>
      <c r="X2498" s="20"/>
      <c r="Y2498" s="20"/>
      <c r="Z2498" s="20"/>
      <c r="AA2498" s="20"/>
    </row>
    <row r="2499" spans="1:27" ht="69.599999999999994" x14ac:dyDescent="0.25">
      <c r="A2499" s="16"/>
      <c r="B2499" s="20" t="b">
        <v>0</v>
      </c>
      <c r="C2499" s="20">
        <v>200</v>
      </c>
      <c r="D2499" s="2" t="s">
        <v>5237</v>
      </c>
      <c r="E2499" s="2" t="s">
        <v>5189</v>
      </c>
      <c r="F2499" s="20" t="s">
        <v>54</v>
      </c>
      <c r="G2499" s="2" t="s">
        <v>5238</v>
      </c>
      <c r="H2499" s="16"/>
      <c r="I2499" s="20"/>
      <c r="J2499" s="20"/>
      <c r="K2499" s="20"/>
      <c r="L2499" s="20"/>
      <c r="M2499" s="20"/>
      <c r="N2499" s="20"/>
      <c r="O2499" s="20"/>
      <c r="P2499" s="20"/>
      <c r="Q2499" s="20"/>
      <c r="R2499" s="20"/>
      <c r="S2499" s="20"/>
      <c r="T2499" s="20"/>
      <c r="U2499" s="20"/>
      <c r="V2499" s="20"/>
      <c r="W2499" s="20"/>
      <c r="X2499" s="20"/>
      <c r="Y2499" s="20"/>
      <c r="Z2499" s="20"/>
      <c r="AA2499" s="20"/>
    </row>
    <row r="2500" spans="1:27" ht="52.2" x14ac:dyDescent="0.25">
      <c r="A2500" s="16"/>
      <c r="B2500" s="20" t="b">
        <v>0</v>
      </c>
      <c r="C2500" s="20">
        <v>400</v>
      </c>
      <c r="D2500" s="2" t="s">
        <v>5239</v>
      </c>
      <c r="E2500" s="2" t="s">
        <v>5189</v>
      </c>
      <c r="F2500" s="20" t="s">
        <v>57</v>
      </c>
      <c r="G2500" s="2" t="s">
        <v>5240</v>
      </c>
      <c r="H2500" s="16"/>
      <c r="I2500" s="20"/>
      <c r="J2500" s="20"/>
      <c r="K2500" s="20"/>
      <c r="L2500" s="20"/>
      <c r="M2500" s="20"/>
      <c r="N2500" s="20"/>
      <c r="O2500" s="20"/>
      <c r="P2500" s="20"/>
      <c r="Q2500" s="20"/>
      <c r="R2500" s="20"/>
      <c r="S2500" s="20"/>
      <c r="T2500" s="20"/>
      <c r="U2500" s="20"/>
      <c r="V2500" s="20"/>
      <c r="W2500" s="20"/>
      <c r="X2500" s="20"/>
      <c r="Y2500" s="20"/>
      <c r="Z2500" s="20"/>
      <c r="AA2500" s="20"/>
    </row>
    <row r="2501" spans="1:27" ht="104.4" x14ac:dyDescent="0.25">
      <c r="A2501" s="16"/>
      <c r="B2501" s="20" t="b">
        <v>0</v>
      </c>
      <c r="C2501" s="20">
        <v>200</v>
      </c>
      <c r="D2501" s="2" t="s">
        <v>3201</v>
      </c>
      <c r="E2501" s="2" t="s">
        <v>5189</v>
      </c>
      <c r="F2501" s="20" t="s">
        <v>59</v>
      </c>
      <c r="G2501" s="2" t="s">
        <v>5241</v>
      </c>
      <c r="H2501" s="16"/>
      <c r="I2501" s="20"/>
      <c r="J2501" s="20"/>
      <c r="K2501" s="20"/>
      <c r="L2501" s="20"/>
      <c r="M2501" s="20"/>
      <c r="N2501" s="20"/>
      <c r="O2501" s="20"/>
      <c r="P2501" s="20"/>
      <c r="Q2501" s="20"/>
      <c r="R2501" s="20"/>
      <c r="S2501" s="20"/>
      <c r="T2501" s="20"/>
      <c r="U2501" s="20"/>
      <c r="V2501" s="20"/>
      <c r="W2501" s="20"/>
      <c r="X2501" s="20"/>
      <c r="Y2501" s="20"/>
      <c r="Z2501" s="20"/>
      <c r="AA2501" s="20"/>
    </row>
    <row r="2502" spans="1:27" ht="87" x14ac:dyDescent="0.25">
      <c r="A2502" s="16"/>
      <c r="B2502" s="20" t="b">
        <v>0</v>
      </c>
      <c r="C2502" s="20">
        <v>200</v>
      </c>
      <c r="D2502" s="2" t="s">
        <v>5242</v>
      </c>
      <c r="E2502" s="2" t="s">
        <v>5189</v>
      </c>
      <c r="F2502" s="20" t="s">
        <v>58</v>
      </c>
      <c r="G2502" s="2" t="s">
        <v>5243</v>
      </c>
      <c r="H2502" s="16"/>
      <c r="I2502" s="20"/>
      <c r="J2502" s="20"/>
      <c r="K2502" s="20"/>
      <c r="L2502" s="20"/>
      <c r="M2502" s="20"/>
      <c r="N2502" s="20"/>
      <c r="O2502" s="20"/>
      <c r="P2502" s="20"/>
      <c r="Q2502" s="20"/>
      <c r="R2502" s="20"/>
      <c r="S2502" s="20"/>
      <c r="T2502" s="20"/>
      <c r="U2502" s="20"/>
      <c r="V2502" s="20"/>
      <c r="W2502" s="20"/>
      <c r="X2502" s="20"/>
      <c r="Y2502" s="20"/>
      <c r="Z2502" s="20"/>
      <c r="AA2502" s="20"/>
    </row>
    <row r="2503" spans="1:27" ht="104.4" x14ac:dyDescent="0.25">
      <c r="A2503" s="16"/>
      <c r="B2503" s="20" t="b">
        <v>0</v>
      </c>
      <c r="C2503" s="20">
        <v>400</v>
      </c>
      <c r="D2503" s="2" t="s">
        <v>5244</v>
      </c>
      <c r="E2503" s="2" t="s">
        <v>5189</v>
      </c>
      <c r="F2503" s="20" t="s">
        <v>57</v>
      </c>
      <c r="G2503" s="2" t="s">
        <v>5245</v>
      </c>
      <c r="H2503" s="16"/>
      <c r="I2503" s="20"/>
      <c r="J2503" s="20"/>
      <c r="K2503" s="20"/>
      <c r="L2503" s="20"/>
      <c r="M2503" s="20"/>
      <c r="N2503" s="20"/>
      <c r="O2503" s="20"/>
      <c r="P2503" s="20"/>
      <c r="Q2503" s="20"/>
      <c r="R2503" s="20"/>
      <c r="S2503" s="20"/>
      <c r="T2503" s="20"/>
      <c r="U2503" s="20"/>
      <c r="V2503" s="20"/>
      <c r="W2503" s="20"/>
      <c r="X2503" s="20"/>
      <c r="Y2503" s="20"/>
      <c r="Z2503" s="20"/>
      <c r="AA2503" s="20"/>
    </row>
    <row r="2504" spans="1:27" ht="174" x14ac:dyDescent="0.25">
      <c r="A2504" s="16"/>
      <c r="B2504" s="20" t="b">
        <v>0</v>
      </c>
      <c r="C2504" s="20">
        <v>600</v>
      </c>
      <c r="D2504" s="2" t="s">
        <v>5246</v>
      </c>
      <c r="E2504" s="2" t="s">
        <v>5189</v>
      </c>
      <c r="F2504" s="20" t="s">
        <v>58</v>
      </c>
      <c r="G2504" s="2" t="s">
        <v>5247</v>
      </c>
      <c r="H2504" s="16"/>
      <c r="I2504" s="20"/>
      <c r="J2504" s="20"/>
      <c r="K2504" s="20"/>
      <c r="L2504" s="20"/>
      <c r="M2504" s="20"/>
      <c r="N2504" s="20"/>
      <c r="O2504" s="20"/>
      <c r="P2504" s="20"/>
      <c r="Q2504" s="20"/>
      <c r="R2504" s="20"/>
      <c r="S2504" s="20"/>
      <c r="T2504" s="20"/>
      <c r="U2504" s="20"/>
      <c r="V2504" s="20"/>
      <c r="W2504" s="20"/>
      <c r="X2504" s="20"/>
      <c r="Y2504" s="20"/>
      <c r="Z2504" s="20"/>
      <c r="AA2504" s="20"/>
    </row>
    <row r="2505" spans="1:27" ht="191.4" x14ac:dyDescent="0.25">
      <c r="A2505" s="16"/>
      <c r="B2505" s="20" t="b">
        <v>0</v>
      </c>
      <c r="C2505" s="20">
        <v>600</v>
      </c>
      <c r="D2505" s="2" t="s">
        <v>5248</v>
      </c>
      <c r="E2505" s="2" t="s">
        <v>5189</v>
      </c>
      <c r="F2505" s="20" t="s">
        <v>57</v>
      </c>
      <c r="G2505" s="2" t="s">
        <v>5249</v>
      </c>
      <c r="H2505" s="16"/>
      <c r="I2505" s="20"/>
      <c r="J2505" s="20"/>
      <c r="K2505" s="20"/>
      <c r="L2505" s="20"/>
      <c r="M2505" s="20"/>
      <c r="N2505" s="20"/>
      <c r="O2505" s="20"/>
      <c r="P2505" s="20"/>
      <c r="Q2505" s="20"/>
      <c r="R2505" s="20"/>
      <c r="S2505" s="20"/>
      <c r="T2505" s="20"/>
      <c r="U2505" s="20"/>
      <c r="V2505" s="20"/>
      <c r="W2505" s="20"/>
      <c r="X2505" s="20"/>
      <c r="Y2505" s="20"/>
      <c r="Z2505" s="20"/>
      <c r="AA2505" s="20"/>
    </row>
    <row r="2506" spans="1:27" ht="174" x14ac:dyDescent="0.25">
      <c r="A2506" s="16"/>
      <c r="B2506" s="20" t="b">
        <v>0</v>
      </c>
      <c r="C2506" s="20">
        <v>0</v>
      </c>
      <c r="D2506" s="2" t="s">
        <v>5250</v>
      </c>
      <c r="E2506" s="2" t="s">
        <v>5251</v>
      </c>
      <c r="F2506" s="20" t="s">
        <v>60</v>
      </c>
      <c r="G2506" s="2" t="s">
        <v>5252</v>
      </c>
      <c r="H2506" s="16"/>
      <c r="I2506" s="20"/>
      <c r="J2506" s="20"/>
      <c r="K2506" s="20"/>
      <c r="L2506" s="20"/>
      <c r="M2506" s="20"/>
      <c r="N2506" s="20"/>
      <c r="O2506" s="20"/>
      <c r="P2506" s="20"/>
      <c r="Q2506" s="20"/>
      <c r="R2506" s="20"/>
      <c r="S2506" s="20"/>
      <c r="T2506" s="20"/>
      <c r="U2506" s="20"/>
      <c r="V2506" s="20"/>
      <c r="W2506" s="20"/>
      <c r="X2506" s="20"/>
      <c r="Y2506" s="20"/>
      <c r="Z2506" s="20"/>
      <c r="AA2506" s="20"/>
    </row>
    <row r="2507" spans="1:27" ht="121.8" x14ac:dyDescent="0.25">
      <c r="A2507" s="16"/>
      <c r="B2507" s="20" t="b">
        <v>0</v>
      </c>
      <c r="C2507" s="20">
        <v>0</v>
      </c>
      <c r="D2507" s="2" t="s">
        <v>5253</v>
      </c>
      <c r="E2507" s="2" t="s">
        <v>5251</v>
      </c>
      <c r="F2507" s="20" t="s">
        <v>63</v>
      </c>
      <c r="G2507" s="2" t="s">
        <v>5254</v>
      </c>
      <c r="H2507" s="16"/>
      <c r="I2507" s="20"/>
      <c r="J2507" s="20"/>
      <c r="K2507" s="20"/>
      <c r="L2507" s="20"/>
      <c r="M2507" s="20"/>
      <c r="N2507" s="20"/>
      <c r="O2507" s="20"/>
      <c r="P2507" s="20"/>
      <c r="Q2507" s="20"/>
      <c r="R2507" s="20"/>
      <c r="S2507" s="20"/>
      <c r="T2507" s="20"/>
      <c r="U2507" s="20"/>
      <c r="V2507" s="20"/>
      <c r="W2507" s="20"/>
      <c r="X2507" s="20"/>
      <c r="Y2507" s="20"/>
      <c r="Z2507" s="20"/>
      <c r="AA2507" s="20"/>
    </row>
    <row r="2508" spans="1:27" ht="121.8" x14ac:dyDescent="0.25">
      <c r="A2508" s="16"/>
      <c r="B2508" s="20" t="b">
        <v>0</v>
      </c>
      <c r="C2508" s="20">
        <v>400</v>
      </c>
      <c r="D2508" s="2" t="s">
        <v>5255</v>
      </c>
      <c r="E2508" s="2" t="s">
        <v>5251</v>
      </c>
      <c r="F2508" s="20" t="s">
        <v>64</v>
      </c>
      <c r="G2508" s="2" t="s">
        <v>5256</v>
      </c>
      <c r="H2508" s="16"/>
      <c r="I2508" s="20"/>
      <c r="J2508" s="20"/>
      <c r="K2508" s="20"/>
      <c r="L2508" s="20"/>
      <c r="M2508" s="20"/>
      <c r="N2508" s="20"/>
      <c r="O2508" s="20"/>
      <c r="P2508" s="20"/>
      <c r="Q2508" s="20"/>
      <c r="R2508" s="20"/>
      <c r="S2508" s="20"/>
      <c r="T2508" s="20"/>
      <c r="U2508" s="20"/>
      <c r="V2508" s="20"/>
      <c r="W2508" s="20"/>
      <c r="X2508" s="20"/>
      <c r="Y2508" s="20"/>
      <c r="Z2508" s="20"/>
      <c r="AA2508" s="20"/>
    </row>
    <row r="2509" spans="1:27" ht="104.4" x14ac:dyDescent="0.25">
      <c r="A2509" s="16"/>
      <c r="B2509" s="20" t="b">
        <v>0</v>
      </c>
      <c r="C2509" s="20">
        <v>200</v>
      </c>
      <c r="D2509" s="2" t="s">
        <v>5257</v>
      </c>
      <c r="E2509" s="2" t="s">
        <v>5251</v>
      </c>
      <c r="F2509" s="20" t="s">
        <v>63</v>
      </c>
      <c r="G2509" s="2" t="s">
        <v>5258</v>
      </c>
      <c r="H2509" s="16"/>
      <c r="I2509" s="20"/>
      <c r="J2509" s="20"/>
      <c r="K2509" s="20"/>
      <c r="L2509" s="20"/>
      <c r="M2509" s="20"/>
      <c r="N2509" s="20"/>
      <c r="O2509" s="20"/>
      <c r="P2509" s="20"/>
      <c r="Q2509" s="20"/>
      <c r="R2509" s="20"/>
      <c r="S2509" s="20"/>
      <c r="T2509" s="20"/>
      <c r="U2509" s="20"/>
      <c r="V2509" s="20"/>
      <c r="W2509" s="20"/>
      <c r="X2509" s="20"/>
      <c r="Y2509" s="20"/>
      <c r="Z2509" s="20"/>
      <c r="AA2509" s="20"/>
    </row>
    <row r="2510" spans="1:27" ht="104.4" x14ac:dyDescent="0.25">
      <c r="A2510" s="16"/>
      <c r="B2510" s="20" t="b">
        <v>0</v>
      </c>
      <c r="C2510" s="20">
        <v>200</v>
      </c>
      <c r="D2510" s="2" t="s">
        <v>5259</v>
      </c>
      <c r="E2510" s="2" t="s">
        <v>5251</v>
      </c>
      <c r="F2510" s="20" t="s">
        <v>64</v>
      </c>
      <c r="G2510" s="2" t="s">
        <v>5260</v>
      </c>
      <c r="H2510" s="16"/>
      <c r="I2510" s="20"/>
      <c r="J2510" s="20"/>
      <c r="K2510" s="20"/>
      <c r="L2510" s="20"/>
      <c r="M2510" s="20"/>
      <c r="N2510" s="20"/>
      <c r="O2510" s="20"/>
      <c r="P2510" s="20"/>
      <c r="Q2510" s="20"/>
      <c r="R2510" s="20"/>
      <c r="S2510" s="20"/>
      <c r="T2510" s="20"/>
      <c r="U2510" s="20"/>
      <c r="V2510" s="20"/>
      <c r="W2510" s="20"/>
      <c r="X2510" s="20"/>
      <c r="Y2510" s="20"/>
      <c r="Z2510" s="20"/>
      <c r="AA2510" s="20"/>
    </row>
    <row r="2511" spans="1:27" ht="139.19999999999999" x14ac:dyDescent="0.25">
      <c r="A2511" s="16"/>
      <c r="B2511" s="20" t="b">
        <v>0</v>
      </c>
      <c r="C2511" s="20">
        <v>400</v>
      </c>
      <c r="D2511" s="2" t="s">
        <v>5261</v>
      </c>
      <c r="E2511" s="2" t="s">
        <v>5251</v>
      </c>
      <c r="F2511" s="20" t="s">
        <v>54</v>
      </c>
      <c r="G2511" s="2" t="s">
        <v>5262</v>
      </c>
      <c r="H2511" s="16"/>
      <c r="I2511" s="20"/>
      <c r="J2511" s="20"/>
      <c r="K2511" s="20"/>
      <c r="L2511" s="20"/>
      <c r="M2511" s="20"/>
      <c r="N2511" s="20"/>
      <c r="O2511" s="20"/>
      <c r="P2511" s="20"/>
      <c r="Q2511" s="20"/>
      <c r="R2511" s="20"/>
      <c r="S2511" s="20"/>
      <c r="T2511" s="20"/>
      <c r="U2511" s="20"/>
      <c r="V2511" s="20"/>
      <c r="W2511" s="20"/>
      <c r="X2511" s="20"/>
      <c r="Y2511" s="20"/>
      <c r="Z2511" s="20"/>
      <c r="AA2511" s="20"/>
    </row>
    <row r="2512" spans="1:27" ht="139.19999999999999" x14ac:dyDescent="0.25">
      <c r="A2512" s="16"/>
      <c r="B2512" s="20" t="b">
        <v>0</v>
      </c>
      <c r="C2512" s="20">
        <v>100</v>
      </c>
      <c r="D2512" s="2" t="s">
        <v>5263</v>
      </c>
      <c r="E2512" s="2" t="s">
        <v>5251</v>
      </c>
      <c r="F2512" s="20" t="s">
        <v>56</v>
      </c>
      <c r="G2512" s="2" t="s">
        <v>5264</v>
      </c>
      <c r="H2512" s="16"/>
      <c r="I2512" s="20"/>
      <c r="J2512" s="20"/>
      <c r="K2512" s="20"/>
      <c r="L2512" s="20"/>
      <c r="M2512" s="20"/>
      <c r="N2512" s="20"/>
      <c r="O2512" s="20"/>
      <c r="P2512" s="20"/>
      <c r="Q2512" s="20"/>
      <c r="R2512" s="20"/>
      <c r="S2512" s="20"/>
      <c r="T2512" s="20"/>
      <c r="U2512" s="20"/>
      <c r="V2512" s="20"/>
      <c r="W2512" s="20"/>
      <c r="X2512" s="20"/>
      <c r="Y2512" s="20"/>
      <c r="Z2512" s="20"/>
      <c r="AA2512" s="20"/>
    </row>
    <row r="2513" spans="1:27" ht="226.2" x14ac:dyDescent="0.25">
      <c r="A2513" s="16"/>
      <c r="B2513" s="20" t="b">
        <v>0</v>
      </c>
      <c r="C2513" s="20">
        <v>600</v>
      </c>
      <c r="D2513" s="2" t="s">
        <v>5265</v>
      </c>
      <c r="E2513" s="2" t="s">
        <v>5251</v>
      </c>
      <c r="F2513" s="20" t="s">
        <v>56</v>
      </c>
      <c r="G2513" s="2" t="s">
        <v>5266</v>
      </c>
      <c r="H2513" s="16"/>
      <c r="I2513" s="20"/>
      <c r="J2513" s="20"/>
      <c r="K2513" s="20"/>
      <c r="L2513" s="20"/>
      <c r="M2513" s="20"/>
      <c r="N2513" s="20"/>
      <c r="O2513" s="20"/>
      <c r="P2513" s="20"/>
      <c r="Q2513" s="20"/>
      <c r="R2513" s="20"/>
      <c r="S2513" s="20"/>
      <c r="T2513" s="20"/>
      <c r="U2513" s="20"/>
      <c r="V2513" s="20"/>
      <c r="W2513" s="20"/>
      <c r="X2513" s="20"/>
      <c r="Y2513" s="20"/>
      <c r="Z2513" s="20"/>
      <c r="AA2513" s="20"/>
    </row>
    <row r="2514" spans="1:27" ht="69.599999999999994" x14ac:dyDescent="0.25">
      <c r="A2514" s="16"/>
      <c r="B2514" s="20" t="b">
        <v>0</v>
      </c>
      <c r="C2514" s="20">
        <v>200</v>
      </c>
      <c r="D2514" s="2" t="s">
        <v>5267</v>
      </c>
      <c r="E2514" s="2" t="s">
        <v>5251</v>
      </c>
      <c r="F2514" s="20" t="s">
        <v>57</v>
      </c>
      <c r="G2514" s="2" t="s">
        <v>5268</v>
      </c>
      <c r="H2514" s="16"/>
      <c r="I2514" s="20"/>
      <c r="J2514" s="20"/>
      <c r="K2514" s="20"/>
      <c r="L2514" s="20"/>
      <c r="M2514" s="20"/>
      <c r="N2514" s="20"/>
      <c r="O2514" s="20"/>
      <c r="P2514" s="20"/>
      <c r="Q2514" s="20"/>
      <c r="R2514" s="20"/>
      <c r="S2514" s="20"/>
      <c r="T2514" s="20"/>
      <c r="U2514" s="20"/>
      <c r="V2514" s="20"/>
      <c r="W2514" s="20"/>
      <c r="X2514" s="20"/>
      <c r="Y2514" s="20"/>
      <c r="Z2514" s="20"/>
      <c r="AA2514" s="20"/>
    </row>
    <row r="2515" spans="1:27" ht="69.599999999999994" x14ac:dyDescent="0.25">
      <c r="A2515" s="16"/>
      <c r="B2515" s="20" t="b">
        <v>0</v>
      </c>
      <c r="C2515" s="20">
        <v>200</v>
      </c>
      <c r="D2515" s="2" t="s">
        <v>5269</v>
      </c>
      <c r="E2515" s="2" t="s">
        <v>5251</v>
      </c>
      <c r="F2515" s="20" t="s">
        <v>57</v>
      </c>
      <c r="G2515" s="2" t="s">
        <v>5270</v>
      </c>
      <c r="H2515" s="16"/>
      <c r="I2515" s="20"/>
      <c r="J2515" s="20"/>
      <c r="K2515" s="20"/>
      <c r="L2515" s="20"/>
      <c r="M2515" s="20"/>
      <c r="N2515" s="20"/>
      <c r="O2515" s="20"/>
      <c r="P2515" s="20"/>
      <c r="Q2515" s="20"/>
      <c r="R2515" s="20"/>
      <c r="S2515" s="20"/>
      <c r="T2515" s="20"/>
      <c r="U2515" s="20"/>
      <c r="V2515" s="20"/>
      <c r="W2515" s="20"/>
      <c r="X2515" s="20"/>
      <c r="Y2515" s="20"/>
      <c r="Z2515" s="20"/>
      <c r="AA2515" s="20"/>
    </row>
    <row r="2516" spans="1:27" ht="87" x14ac:dyDescent="0.25">
      <c r="A2516" s="16"/>
      <c r="B2516" s="20" t="b">
        <v>0</v>
      </c>
      <c r="C2516" s="20">
        <v>200</v>
      </c>
      <c r="D2516" s="2" t="s">
        <v>5271</v>
      </c>
      <c r="E2516" s="2" t="s">
        <v>5251</v>
      </c>
      <c r="F2516" s="20" t="s">
        <v>62</v>
      </c>
      <c r="G2516" s="2" t="s">
        <v>5272</v>
      </c>
      <c r="H2516" s="16"/>
      <c r="I2516" s="20"/>
      <c r="J2516" s="20"/>
      <c r="K2516" s="20"/>
      <c r="L2516" s="20"/>
      <c r="M2516" s="20"/>
      <c r="N2516" s="20"/>
      <c r="O2516" s="20"/>
      <c r="P2516" s="20"/>
      <c r="Q2516" s="20"/>
      <c r="R2516" s="20"/>
      <c r="S2516" s="20"/>
      <c r="T2516" s="20"/>
      <c r="U2516" s="20"/>
      <c r="V2516" s="20"/>
      <c r="W2516" s="20"/>
      <c r="X2516" s="20"/>
      <c r="Y2516" s="20"/>
      <c r="Z2516" s="20"/>
      <c r="AA2516" s="20"/>
    </row>
    <row r="2517" spans="1:27" ht="52.2" x14ac:dyDescent="0.25">
      <c r="A2517" s="16"/>
      <c r="B2517" s="20" t="b">
        <v>0</v>
      </c>
      <c r="C2517" s="20">
        <v>200</v>
      </c>
      <c r="D2517" s="2" t="s">
        <v>5273</v>
      </c>
      <c r="E2517" s="2" t="s">
        <v>5251</v>
      </c>
      <c r="F2517" s="20" t="s">
        <v>60</v>
      </c>
      <c r="G2517" s="2" t="s">
        <v>5274</v>
      </c>
      <c r="H2517" s="16"/>
      <c r="I2517" s="20"/>
      <c r="J2517" s="20"/>
      <c r="K2517" s="20"/>
      <c r="L2517" s="20"/>
      <c r="M2517" s="20"/>
      <c r="N2517" s="20"/>
      <c r="O2517" s="20"/>
      <c r="P2517" s="20"/>
      <c r="Q2517" s="20"/>
      <c r="R2517" s="20"/>
      <c r="S2517" s="20"/>
      <c r="T2517" s="20"/>
      <c r="U2517" s="20"/>
      <c r="V2517" s="20"/>
      <c r="W2517" s="20"/>
      <c r="X2517" s="20"/>
      <c r="Y2517" s="20"/>
      <c r="Z2517" s="20"/>
      <c r="AA2517" s="20"/>
    </row>
    <row r="2518" spans="1:27" ht="156.6" x14ac:dyDescent="0.25">
      <c r="A2518" s="16"/>
      <c r="B2518" s="20" t="b">
        <v>0</v>
      </c>
      <c r="C2518" s="20">
        <v>400</v>
      </c>
      <c r="D2518" s="2" t="s">
        <v>5275</v>
      </c>
      <c r="E2518" s="2" t="s">
        <v>5251</v>
      </c>
      <c r="F2518" s="20" t="s">
        <v>64</v>
      </c>
      <c r="G2518" s="2" t="s">
        <v>5276</v>
      </c>
      <c r="H2518" s="16"/>
      <c r="I2518" s="20"/>
      <c r="J2518" s="20"/>
      <c r="K2518" s="20"/>
      <c r="L2518" s="20"/>
      <c r="M2518" s="20"/>
      <c r="N2518" s="20"/>
      <c r="O2518" s="20"/>
      <c r="P2518" s="20"/>
      <c r="Q2518" s="20"/>
      <c r="R2518" s="20"/>
      <c r="S2518" s="20"/>
      <c r="T2518" s="20"/>
      <c r="U2518" s="20"/>
      <c r="V2518" s="20"/>
      <c r="W2518" s="20"/>
      <c r="X2518" s="20"/>
      <c r="Y2518" s="20"/>
      <c r="Z2518" s="20"/>
      <c r="AA2518" s="20"/>
    </row>
    <row r="2519" spans="1:27" ht="139.19999999999999" x14ac:dyDescent="0.25">
      <c r="A2519" s="16"/>
      <c r="B2519" s="20" t="b">
        <v>0</v>
      </c>
      <c r="C2519" s="20">
        <v>400</v>
      </c>
      <c r="D2519" s="2" t="s">
        <v>5277</v>
      </c>
      <c r="E2519" s="2" t="s">
        <v>5251</v>
      </c>
      <c r="F2519" s="20" t="s">
        <v>57</v>
      </c>
      <c r="G2519" s="2" t="s">
        <v>5278</v>
      </c>
      <c r="H2519" s="16"/>
      <c r="I2519" s="20"/>
      <c r="J2519" s="20"/>
      <c r="K2519" s="20"/>
      <c r="L2519" s="20"/>
      <c r="M2519" s="20"/>
      <c r="N2519" s="20"/>
      <c r="O2519" s="20"/>
      <c r="P2519" s="20"/>
      <c r="Q2519" s="20"/>
      <c r="R2519" s="20"/>
      <c r="S2519" s="20"/>
      <c r="T2519" s="20"/>
      <c r="U2519" s="20"/>
      <c r="V2519" s="20"/>
      <c r="W2519" s="20"/>
      <c r="X2519" s="20"/>
      <c r="Y2519" s="20"/>
      <c r="Z2519" s="20"/>
      <c r="AA2519" s="20"/>
    </row>
    <row r="2520" spans="1:27" ht="121.8" x14ac:dyDescent="0.25">
      <c r="A2520" s="16"/>
      <c r="B2520" s="20" t="b">
        <v>0</v>
      </c>
      <c r="C2520" s="20">
        <v>400</v>
      </c>
      <c r="D2520" s="2" t="s">
        <v>5279</v>
      </c>
      <c r="E2520" s="2" t="s">
        <v>5251</v>
      </c>
      <c r="F2520" s="20" t="s">
        <v>53</v>
      </c>
      <c r="G2520" s="2" t="s">
        <v>5280</v>
      </c>
      <c r="H2520" s="16"/>
      <c r="I2520" s="20"/>
      <c r="J2520" s="20"/>
      <c r="K2520" s="20"/>
      <c r="L2520" s="20"/>
      <c r="M2520" s="20"/>
      <c r="N2520" s="20"/>
      <c r="O2520" s="20"/>
      <c r="P2520" s="20"/>
      <c r="Q2520" s="20"/>
      <c r="R2520" s="20"/>
      <c r="S2520" s="20"/>
      <c r="T2520" s="20"/>
      <c r="U2520" s="20"/>
      <c r="V2520" s="20"/>
      <c r="W2520" s="20"/>
      <c r="X2520" s="20"/>
      <c r="Y2520" s="20"/>
      <c r="Z2520" s="20"/>
      <c r="AA2520" s="20"/>
    </row>
    <row r="2521" spans="1:27" ht="139.19999999999999" x14ac:dyDescent="0.25">
      <c r="A2521" s="16"/>
      <c r="B2521" s="20" t="b">
        <v>0</v>
      </c>
      <c r="C2521" s="20">
        <v>600</v>
      </c>
      <c r="D2521" s="2" t="s">
        <v>5281</v>
      </c>
      <c r="E2521" s="2" t="s">
        <v>5251</v>
      </c>
      <c r="F2521" s="20" t="s">
        <v>60</v>
      </c>
      <c r="G2521" s="2" t="s">
        <v>5282</v>
      </c>
      <c r="H2521" s="16"/>
      <c r="I2521" s="20"/>
      <c r="J2521" s="20"/>
      <c r="K2521" s="20"/>
      <c r="L2521" s="20"/>
      <c r="M2521" s="20"/>
      <c r="N2521" s="20"/>
      <c r="O2521" s="20"/>
      <c r="P2521" s="20"/>
      <c r="Q2521" s="20"/>
      <c r="R2521" s="20"/>
      <c r="S2521" s="20"/>
      <c r="T2521" s="20"/>
      <c r="U2521" s="20"/>
      <c r="V2521" s="20"/>
      <c r="W2521" s="20"/>
      <c r="X2521" s="20"/>
      <c r="Y2521" s="20"/>
      <c r="Z2521" s="20"/>
      <c r="AA2521" s="20"/>
    </row>
    <row r="2522" spans="1:27" ht="156.6" x14ac:dyDescent="0.25">
      <c r="A2522" s="16"/>
      <c r="B2522" s="20" t="b">
        <v>0</v>
      </c>
      <c r="C2522" s="20">
        <v>600</v>
      </c>
      <c r="D2522" s="2" t="s">
        <v>5283</v>
      </c>
      <c r="E2522" s="2" t="s">
        <v>5251</v>
      </c>
      <c r="F2522" s="20" t="s">
        <v>60</v>
      </c>
      <c r="G2522" s="2" t="s">
        <v>5284</v>
      </c>
      <c r="H2522" s="16"/>
      <c r="I2522" s="20"/>
      <c r="J2522" s="20"/>
      <c r="K2522" s="20"/>
      <c r="L2522" s="20"/>
      <c r="M2522" s="20"/>
      <c r="N2522" s="20"/>
      <c r="O2522" s="20"/>
      <c r="P2522" s="20"/>
      <c r="Q2522" s="20"/>
      <c r="R2522" s="20"/>
      <c r="S2522" s="20"/>
      <c r="T2522" s="20"/>
      <c r="U2522" s="20"/>
      <c r="V2522" s="20"/>
      <c r="W2522" s="20"/>
      <c r="X2522" s="20"/>
      <c r="Y2522" s="20"/>
      <c r="Z2522" s="20"/>
      <c r="AA2522" s="20"/>
    </row>
    <row r="2523" spans="1:27" ht="69.599999999999994" x14ac:dyDescent="0.25">
      <c r="A2523" s="16"/>
      <c r="B2523" s="20" t="b">
        <v>0</v>
      </c>
      <c r="C2523" s="20">
        <v>600</v>
      </c>
      <c r="D2523" s="2" t="s">
        <v>5285</v>
      </c>
      <c r="E2523" s="2" t="s">
        <v>5251</v>
      </c>
      <c r="F2523" s="20" t="s">
        <v>57</v>
      </c>
      <c r="G2523" s="2" t="s">
        <v>5286</v>
      </c>
      <c r="H2523" s="16"/>
      <c r="I2523" s="20"/>
      <c r="J2523" s="20"/>
      <c r="K2523" s="20"/>
      <c r="L2523" s="20"/>
      <c r="M2523" s="20"/>
      <c r="N2523" s="20"/>
      <c r="O2523" s="20"/>
      <c r="P2523" s="20"/>
      <c r="Q2523" s="20"/>
      <c r="R2523" s="20"/>
      <c r="S2523" s="20"/>
      <c r="T2523" s="20"/>
      <c r="U2523" s="20"/>
      <c r="V2523" s="20"/>
      <c r="W2523" s="20"/>
      <c r="X2523" s="20"/>
      <c r="Y2523" s="20"/>
      <c r="Z2523" s="20"/>
      <c r="AA2523" s="20"/>
    </row>
    <row r="2524" spans="1:27" ht="87" x14ac:dyDescent="0.25">
      <c r="A2524" s="16"/>
      <c r="B2524" s="20" t="b">
        <v>0</v>
      </c>
      <c r="C2524" s="20">
        <v>600</v>
      </c>
      <c r="D2524" s="2" t="s">
        <v>5287</v>
      </c>
      <c r="E2524" s="2" t="s">
        <v>5251</v>
      </c>
      <c r="F2524" s="20" t="s">
        <v>62</v>
      </c>
      <c r="G2524" s="2" t="s">
        <v>5288</v>
      </c>
      <c r="H2524" s="16"/>
      <c r="I2524" s="20"/>
      <c r="J2524" s="20"/>
      <c r="K2524" s="20"/>
      <c r="L2524" s="20"/>
      <c r="M2524" s="20"/>
      <c r="N2524" s="20"/>
      <c r="O2524" s="20"/>
      <c r="P2524" s="20"/>
      <c r="Q2524" s="20"/>
      <c r="R2524" s="20"/>
      <c r="S2524" s="20"/>
      <c r="T2524" s="20"/>
      <c r="U2524" s="20"/>
      <c r="V2524" s="20"/>
      <c r="W2524" s="20"/>
      <c r="X2524" s="20"/>
      <c r="Y2524" s="20"/>
      <c r="Z2524" s="20"/>
      <c r="AA2524" s="20"/>
    </row>
    <row r="2525" spans="1:27" ht="139.19999999999999" x14ac:dyDescent="0.25">
      <c r="A2525" s="16"/>
      <c r="B2525" s="20" t="b">
        <v>0</v>
      </c>
      <c r="C2525" s="20">
        <v>600</v>
      </c>
      <c r="D2525" s="2" t="s">
        <v>5289</v>
      </c>
      <c r="E2525" s="2" t="s">
        <v>5251</v>
      </c>
      <c r="F2525" s="20" t="s">
        <v>53</v>
      </c>
      <c r="G2525" s="2" t="s">
        <v>5290</v>
      </c>
      <c r="H2525" s="16"/>
      <c r="I2525" s="20"/>
      <c r="J2525" s="20"/>
      <c r="K2525" s="20"/>
      <c r="L2525" s="20"/>
      <c r="M2525" s="20"/>
      <c r="N2525" s="20"/>
      <c r="O2525" s="20"/>
      <c r="P2525" s="20"/>
      <c r="Q2525" s="20"/>
      <c r="R2525" s="20"/>
      <c r="S2525" s="20"/>
      <c r="T2525" s="20"/>
      <c r="U2525" s="20"/>
      <c r="V2525" s="20"/>
      <c r="W2525" s="20"/>
      <c r="X2525" s="20"/>
      <c r="Y2525" s="20"/>
      <c r="Z2525" s="20"/>
      <c r="AA2525" s="20"/>
    </row>
    <row r="2526" spans="1:27" ht="139.19999999999999" x14ac:dyDescent="0.25">
      <c r="A2526" s="16"/>
      <c r="B2526" s="20" t="b">
        <v>0</v>
      </c>
      <c r="C2526" s="20">
        <v>600</v>
      </c>
      <c r="D2526" s="2" t="s">
        <v>5291</v>
      </c>
      <c r="E2526" s="2" t="s">
        <v>5251</v>
      </c>
      <c r="F2526" s="20" t="s">
        <v>62</v>
      </c>
      <c r="G2526" s="2" t="s">
        <v>5292</v>
      </c>
      <c r="H2526" s="16"/>
      <c r="I2526" s="20"/>
      <c r="J2526" s="20"/>
      <c r="K2526" s="20"/>
      <c r="L2526" s="20"/>
      <c r="M2526" s="20"/>
      <c r="N2526" s="20"/>
      <c r="O2526" s="20"/>
      <c r="P2526" s="20"/>
      <c r="Q2526" s="20"/>
      <c r="R2526" s="20"/>
      <c r="S2526" s="20"/>
      <c r="T2526" s="20"/>
      <c r="U2526" s="20"/>
      <c r="V2526" s="20"/>
      <c r="W2526" s="20"/>
      <c r="X2526" s="20"/>
      <c r="Y2526" s="20"/>
      <c r="Z2526" s="20"/>
      <c r="AA2526" s="20"/>
    </row>
    <row r="2527" spans="1:27" ht="87" x14ac:dyDescent="0.25">
      <c r="A2527" s="16"/>
      <c r="B2527" s="20" t="b">
        <v>0</v>
      </c>
      <c r="C2527" s="20">
        <v>0</v>
      </c>
      <c r="D2527" s="2" t="s">
        <v>5293</v>
      </c>
      <c r="E2527" s="2" t="s">
        <v>5251</v>
      </c>
      <c r="F2527" s="20" t="s">
        <v>59</v>
      </c>
      <c r="G2527" s="2" t="s">
        <v>5294</v>
      </c>
      <c r="H2527" s="16"/>
      <c r="I2527" s="20"/>
      <c r="J2527" s="20"/>
      <c r="K2527" s="20"/>
      <c r="L2527" s="20"/>
      <c r="M2527" s="20"/>
      <c r="N2527" s="20"/>
      <c r="O2527" s="20"/>
      <c r="P2527" s="20"/>
      <c r="Q2527" s="20"/>
      <c r="R2527" s="20"/>
      <c r="S2527" s="20"/>
      <c r="T2527" s="20"/>
      <c r="U2527" s="20"/>
      <c r="V2527" s="20"/>
      <c r="W2527" s="20"/>
      <c r="X2527" s="20"/>
      <c r="Y2527" s="20"/>
      <c r="Z2527" s="20"/>
      <c r="AA2527" s="20"/>
    </row>
    <row r="2528" spans="1:27" ht="226.2" x14ac:dyDescent="0.25">
      <c r="A2528" s="16"/>
      <c r="B2528" s="20" t="b">
        <v>0</v>
      </c>
      <c r="C2528" s="20">
        <v>200</v>
      </c>
      <c r="D2528" s="2" t="s">
        <v>5152</v>
      </c>
      <c r="E2528" s="2" t="s">
        <v>5139</v>
      </c>
      <c r="F2528" s="20" t="s">
        <v>59</v>
      </c>
      <c r="G2528" s="2" t="s">
        <v>5295</v>
      </c>
      <c r="H2528" s="16"/>
      <c r="I2528" s="20"/>
      <c r="J2528" s="20"/>
      <c r="K2528" s="20"/>
      <c r="L2528" s="20"/>
      <c r="M2528" s="20"/>
      <c r="N2528" s="20"/>
      <c r="O2528" s="20"/>
      <c r="P2528" s="20"/>
      <c r="Q2528" s="20"/>
      <c r="R2528" s="20"/>
      <c r="S2528" s="20"/>
      <c r="T2528" s="20"/>
      <c r="U2528" s="20"/>
      <c r="V2528" s="20"/>
      <c r="W2528" s="20"/>
      <c r="X2528" s="20"/>
      <c r="Y2528" s="20"/>
      <c r="Z2528" s="20"/>
      <c r="AA2528" s="20"/>
    </row>
    <row r="2529" spans="1:27" ht="191.4" x14ac:dyDescent="0.25">
      <c r="A2529" s="16"/>
      <c r="B2529" s="20" t="b">
        <v>0</v>
      </c>
      <c r="C2529" s="20">
        <v>600</v>
      </c>
      <c r="D2529" s="2" t="s">
        <v>5296</v>
      </c>
      <c r="E2529" s="2" t="s">
        <v>5251</v>
      </c>
      <c r="F2529" s="20" t="s">
        <v>59</v>
      </c>
      <c r="G2529" s="2" t="s">
        <v>5297</v>
      </c>
      <c r="H2529" s="16"/>
      <c r="I2529" s="20"/>
      <c r="J2529" s="20"/>
      <c r="K2529" s="20"/>
      <c r="L2529" s="20"/>
      <c r="M2529" s="20"/>
      <c r="N2529" s="20"/>
      <c r="O2529" s="20"/>
      <c r="P2529" s="20"/>
      <c r="Q2529" s="20"/>
      <c r="R2529" s="20"/>
      <c r="S2529" s="20"/>
      <c r="T2529" s="20"/>
      <c r="U2529" s="20"/>
      <c r="V2529" s="20"/>
      <c r="W2529" s="20"/>
      <c r="X2529" s="20"/>
      <c r="Y2529" s="20"/>
      <c r="Z2529" s="20"/>
      <c r="AA2529" s="20"/>
    </row>
    <row r="2530" spans="1:27" ht="156.6" x14ac:dyDescent="0.25">
      <c r="A2530" s="16"/>
      <c r="B2530" s="20" t="b">
        <v>0</v>
      </c>
      <c r="C2530" s="20">
        <v>100</v>
      </c>
      <c r="D2530" s="2" t="s">
        <v>5298</v>
      </c>
      <c r="E2530" s="2" t="s">
        <v>5251</v>
      </c>
      <c r="F2530" s="20" t="s">
        <v>59</v>
      </c>
      <c r="G2530" s="2" t="s">
        <v>5299</v>
      </c>
      <c r="H2530" s="16"/>
      <c r="I2530" s="20"/>
      <c r="J2530" s="20"/>
      <c r="K2530" s="20"/>
      <c r="L2530" s="20"/>
      <c r="M2530" s="20"/>
      <c r="N2530" s="20"/>
      <c r="O2530" s="20"/>
      <c r="P2530" s="20"/>
      <c r="Q2530" s="20"/>
      <c r="R2530" s="20"/>
      <c r="S2530" s="20"/>
      <c r="T2530" s="20"/>
      <c r="U2530" s="20"/>
      <c r="V2530" s="20"/>
      <c r="W2530" s="20"/>
      <c r="X2530" s="20"/>
      <c r="Y2530" s="20"/>
      <c r="Z2530" s="20"/>
      <c r="AA2530" s="20"/>
    </row>
    <row r="2531" spans="1:27" ht="174" x14ac:dyDescent="0.25">
      <c r="A2531" s="16"/>
      <c r="B2531" s="20" t="b">
        <v>0</v>
      </c>
      <c r="C2531" s="20">
        <v>400</v>
      </c>
      <c r="D2531" s="2" t="s">
        <v>5300</v>
      </c>
      <c r="E2531" s="2" t="s">
        <v>5251</v>
      </c>
      <c r="F2531" s="20" t="s">
        <v>58</v>
      </c>
      <c r="G2531" s="2" t="s">
        <v>5301</v>
      </c>
      <c r="H2531" s="16"/>
      <c r="I2531" s="20"/>
      <c r="J2531" s="20"/>
      <c r="K2531" s="20"/>
      <c r="L2531" s="20"/>
      <c r="M2531" s="20"/>
      <c r="N2531" s="20"/>
      <c r="O2531" s="20"/>
      <c r="P2531" s="20"/>
      <c r="Q2531" s="20"/>
      <c r="R2531" s="20"/>
      <c r="S2531" s="20"/>
      <c r="T2531" s="20"/>
      <c r="U2531" s="20"/>
      <c r="V2531" s="20"/>
      <c r="W2531" s="20"/>
      <c r="X2531" s="20"/>
      <c r="Y2531" s="20"/>
      <c r="Z2531" s="20"/>
      <c r="AA2531" s="20"/>
    </row>
    <row r="2532" spans="1:27" ht="348" x14ac:dyDescent="0.25">
      <c r="A2532" s="16"/>
      <c r="B2532" s="20" t="b">
        <v>0</v>
      </c>
      <c r="C2532" s="20">
        <v>600</v>
      </c>
      <c r="D2532" s="2" t="s">
        <v>5302</v>
      </c>
      <c r="E2532" s="2" t="s">
        <v>5251</v>
      </c>
      <c r="F2532" s="20" t="s">
        <v>54</v>
      </c>
      <c r="G2532" s="2" t="s">
        <v>5303</v>
      </c>
      <c r="H2532" s="16"/>
      <c r="I2532" s="20"/>
      <c r="J2532" s="20"/>
      <c r="K2532" s="20"/>
      <c r="L2532" s="20"/>
      <c r="M2532" s="20"/>
      <c r="N2532" s="20"/>
      <c r="O2532" s="20"/>
      <c r="P2532" s="20"/>
      <c r="Q2532" s="20"/>
      <c r="R2532" s="20"/>
      <c r="S2532" s="20"/>
      <c r="T2532" s="20"/>
      <c r="U2532" s="20"/>
      <c r="V2532" s="20"/>
      <c r="W2532" s="20"/>
      <c r="X2532" s="20"/>
      <c r="Y2532" s="20"/>
      <c r="Z2532" s="20"/>
      <c r="AA2532" s="20"/>
    </row>
    <row r="2533" spans="1:27" ht="121.8" x14ac:dyDescent="0.25">
      <c r="A2533" s="16"/>
      <c r="B2533" s="20" t="b">
        <v>0</v>
      </c>
      <c r="C2533" s="20">
        <v>400</v>
      </c>
      <c r="D2533" s="2" t="s">
        <v>5304</v>
      </c>
      <c r="E2533" s="2" t="s">
        <v>5251</v>
      </c>
      <c r="F2533" s="20" t="s">
        <v>59</v>
      </c>
      <c r="G2533" s="2" t="s">
        <v>5305</v>
      </c>
      <c r="H2533" s="16"/>
      <c r="I2533" s="20"/>
      <c r="J2533" s="20"/>
      <c r="K2533" s="20"/>
      <c r="L2533" s="20"/>
      <c r="M2533" s="20"/>
      <c r="N2533" s="20"/>
      <c r="O2533" s="20"/>
      <c r="P2533" s="20"/>
      <c r="Q2533" s="20"/>
      <c r="R2533" s="20"/>
      <c r="S2533" s="20"/>
      <c r="T2533" s="20"/>
      <c r="U2533" s="20"/>
      <c r="V2533" s="20"/>
      <c r="W2533" s="20"/>
      <c r="X2533" s="20"/>
      <c r="Y2533" s="20"/>
      <c r="Z2533" s="20"/>
      <c r="AA2533" s="20"/>
    </row>
    <row r="2534" spans="1:27" ht="226.2" x14ac:dyDescent="0.25">
      <c r="A2534" s="16"/>
      <c r="B2534" s="20" t="b">
        <v>0</v>
      </c>
      <c r="C2534" s="20">
        <v>600</v>
      </c>
      <c r="D2534" s="2" t="s">
        <v>5306</v>
      </c>
      <c r="E2534" s="2" t="s">
        <v>5251</v>
      </c>
      <c r="F2534" s="20" t="s">
        <v>59</v>
      </c>
      <c r="G2534" s="2" t="s">
        <v>5307</v>
      </c>
      <c r="H2534" s="16"/>
      <c r="I2534" s="20"/>
      <c r="J2534" s="20"/>
      <c r="K2534" s="20"/>
      <c r="L2534" s="20"/>
      <c r="M2534" s="20"/>
      <c r="N2534" s="20"/>
      <c r="O2534" s="20"/>
      <c r="P2534" s="20"/>
      <c r="Q2534" s="20"/>
      <c r="R2534" s="20"/>
      <c r="S2534" s="20"/>
      <c r="T2534" s="20"/>
      <c r="U2534" s="20"/>
      <c r="V2534" s="20"/>
      <c r="W2534" s="20"/>
      <c r="X2534" s="20"/>
      <c r="Y2534" s="20"/>
      <c r="Z2534" s="20"/>
      <c r="AA2534" s="20"/>
    </row>
    <row r="2535" spans="1:27" ht="156.6" x14ac:dyDescent="0.25">
      <c r="A2535" s="16"/>
      <c r="B2535" s="20" t="b">
        <v>0</v>
      </c>
      <c r="C2535" s="20">
        <v>600</v>
      </c>
      <c r="D2535" s="2" t="s">
        <v>5308</v>
      </c>
      <c r="E2535" s="2" t="s">
        <v>5251</v>
      </c>
      <c r="F2535" s="20" t="s">
        <v>54</v>
      </c>
      <c r="G2535" s="2" t="s">
        <v>5309</v>
      </c>
      <c r="H2535" s="16"/>
      <c r="I2535" s="20"/>
      <c r="J2535" s="20"/>
      <c r="K2535" s="20"/>
      <c r="L2535" s="20"/>
      <c r="M2535" s="20"/>
      <c r="N2535" s="20"/>
      <c r="O2535" s="20"/>
      <c r="P2535" s="20"/>
      <c r="Q2535" s="20"/>
      <c r="R2535" s="20"/>
      <c r="S2535" s="20"/>
      <c r="T2535" s="20"/>
      <c r="U2535" s="20"/>
      <c r="V2535" s="20"/>
      <c r="W2535" s="20"/>
      <c r="X2535" s="20"/>
      <c r="Y2535" s="20"/>
      <c r="Z2535" s="20"/>
      <c r="AA2535" s="20"/>
    </row>
    <row r="2536" spans="1:27" ht="104.4" x14ac:dyDescent="0.25">
      <c r="A2536" s="16"/>
      <c r="B2536" s="20" t="b">
        <v>0</v>
      </c>
      <c r="C2536" s="20">
        <v>0</v>
      </c>
      <c r="D2536" s="2" t="s">
        <v>5310</v>
      </c>
      <c r="E2536" s="2" t="s">
        <v>5311</v>
      </c>
      <c r="F2536" s="20" t="s">
        <v>56</v>
      </c>
      <c r="G2536" s="2" t="s">
        <v>5312</v>
      </c>
      <c r="H2536" s="16"/>
      <c r="I2536" s="20"/>
      <c r="J2536" s="20"/>
      <c r="K2536" s="20"/>
      <c r="L2536" s="20"/>
      <c r="M2536" s="20"/>
      <c r="N2536" s="20"/>
      <c r="O2536" s="20"/>
      <c r="P2536" s="20"/>
      <c r="Q2536" s="20"/>
      <c r="R2536" s="20"/>
      <c r="S2536" s="20"/>
      <c r="T2536" s="20"/>
      <c r="U2536" s="20"/>
      <c r="V2536" s="20"/>
      <c r="W2536" s="20"/>
      <c r="X2536" s="20"/>
      <c r="Y2536" s="20"/>
      <c r="Z2536" s="20"/>
      <c r="AA2536" s="20"/>
    </row>
    <row r="2537" spans="1:27" ht="139.19999999999999" x14ac:dyDescent="0.25">
      <c r="A2537" s="16"/>
      <c r="B2537" s="20" t="b">
        <v>0</v>
      </c>
      <c r="C2537" s="20">
        <v>0</v>
      </c>
      <c r="D2537" s="2" t="s">
        <v>5313</v>
      </c>
      <c r="E2537" s="2" t="s">
        <v>5311</v>
      </c>
      <c r="F2537" s="20" t="s">
        <v>56</v>
      </c>
      <c r="G2537" s="2" t="s">
        <v>5314</v>
      </c>
      <c r="H2537" s="16"/>
      <c r="I2537" s="20"/>
      <c r="J2537" s="20"/>
      <c r="K2537" s="20"/>
      <c r="L2537" s="20"/>
      <c r="M2537" s="20"/>
      <c r="N2537" s="20"/>
      <c r="O2537" s="20"/>
      <c r="P2537" s="20"/>
      <c r="Q2537" s="20"/>
      <c r="R2537" s="20"/>
      <c r="S2537" s="20"/>
      <c r="T2537" s="20"/>
      <c r="U2537" s="20"/>
      <c r="V2537" s="20"/>
      <c r="W2537" s="20"/>
      <c r="X2537" s="20"/>
      <c r="Y2537" s="20"/>
      <c r="Z2537" s="20"/>
      <c r="AA2537" s="20"/>
    </row>
    <row r="2538" spans="1:27" ht="104.4" x14ac:dyDescent="0.25">
      <c r="A2538" s="16"/>
      <c r="B2538" s="20" t="b">
        <v>0</v>
      </c>
      <c r="C2538" s="20">
        <v>400</v>
      </c>
      <c r="D2538" s="2" t="s">
        <v>5315</v>
      </c>
      <c r="E2538" s="2" t="s">
        <v>5311</v>
      </c>
      <c r="F2538" s="20" t="s">
        <v>56</v>
      </c>
      <c r="G2538" s="2" t="s">
        <v>5316</v>
      </c>
      <c r="H2538" s="16"/>
      <c r="I2538" s="20"/>
      <c r="J2538" s="20"/>
      <c r="K2538" s="20"/>
      <c r="L2538" s="20"/>
      <c r="M2538" s="20"/>
      <c r="N2538" s="20"/>
      <c r="O2538" s="20"/>
      <c r="P2538" s="20"/>
      <c r="Q2538" s="20"/>
      <c r="R2538" s="20"/>
      <c r="S2538" s="20"/>
      <c r="T2538" s="20"/>
      <c r="U2538" s="20"/>
      <c r="V2538" s="20"/>
      <c r="W2538" s="20"/>
      <c r="X2538" s="20"/>
      <c r="Y2538" s="20"/>
      <c r="Z2538" s="20"/>
      <c r="AA2538" s="20"/>
    </row>
    <row r="2539" spans="1:27" ht="278.39999999999998" x14ac:dyDescent="0.25">
      <c r="A2539" s="16"/>
      <c r="B2539" s="20" t="b">
        <v>0</v>
      </c>
      <c r="C2539" s="20">
        <v>600</v>
      </c>
      <c r="D2539" s="2" t="s">
        <v>5317</v>
      </c>
      <c r="E2539" s="2" t="s">
        <v>5311</v>
      </c>
      <c r="F2539" s="20" t="s">
        <v>56</v>
      </c>
      <c r="G2539" s="2" t="s">
        <v>5318</v>
      </c>
      <c r="H2539" s="16"/>
      <c r="I2539" s="20"/>
      <c r="J2539" s="20"/>
      <c r="K2539" s="20"/>
      <c r="L2539" s="20"/>
      <c r="M2539" s="20"/>
      <c r="N2539" s="20"/>
      <c r="O2539" s="20"/>
      <c r="P2539" s="20"/>
      <c r="Q2539" s="20"/>
      <c r="R2539" s="20"/>
      <c r="S2539" s="20"/>
      <c r="T2539" s="20"/>
      <c r="U2539" s="20"/>
      <c r="V2539" s="20"/>
      <c r="W2539" s="20"/>
      <c r="X2539" s="20"/>
      <c r="Y2539" s="20"/>
      <c r="Z2539" s="20"/>
      <c r="AA2539" s="20"/>
    </row>
    <row r="2540" spans="1:27" ht="330.6" x14ac:dyDescent="0.25">
      <c r="A2540" s="16"/>
      <c r="B2540" s="20" t="b">
        <v>0</v>
      </c>
      <c r="C2540" s="20">
        <v>600</v>
      </c>
      <c r="D2540" s="2" t="s">
        <v>5265</v>
      </c>
      <c r="E2540" s="2" t="s">
        <v>5311</v>
      </c>
      <c r="F2540" s="20" t="s">
        <v>56</v>
      </c>
      <c r="G2540" s="2" t="s">
        <v>5319</v>
      </c>
      <c r="H2540" s="16"/>
      <c r="I2540" s="20"/>
      <c r="J2540" s="20"/>
      <c r="K2540" s="20"/>
      <c r="L2540" s="20"/>
      <c r="M2540" s="20"/>
      <c r="N2540" s="20"/>
      <c r="O2540" s="20"/>
      <c r="P2540" s="20"/>
      <c r="Q2540" s="20"/>
      <c r="R2540" s="20"/>
      <c r="S2540" s="20"/>
      <c r="T2540" s="20"/>
      <c r="U2540" s="20"/>
      <c r="V2540" s="20"/>
      <c r="W2540" s="20"/>
      <c r="X2540" s="20"/>
      <c r="Y2540" s="20"/>
      <c r="Z2540" s="20"/>
      <c r="AA2540" s="20"/>
    </row>
    <row r="2541" spans="1:27" ht="87" x14ac:dyDescent="0.25">
      <c r="A2541" s="16"/>
      <c r="B2541" s="20" t="b">
        <v>0</v>
      </c>
      <c r="C2541" s="20">
        <v>100</v>
      </c>
      <c r="D2541" s="2" t="s">
        <v>5320</v>
      </c>
      <c r="E2541" s="2" t="s">
        <v>5311</v>
      </c>
      <c r="F2541" s="20" t="s">
        <v>57</v>
      </c>
      <c r="G2541" s="2" t="s">
        <v>5321</v>
      </c>
      <c r="H2541" s="16"/>
      <c r="I2541" s="20"/>
      <c r="J2541" s="20"/>
      <c r="K2541" s="20"/>
      <c r="L2541" s="20"/>
      <c r="M2541" s="20"/>
      <c r="N2541" s="20"/>
      <c r="O2541" s="20"/>
      <c r="P2541" s="20"/>
      <c r="Q2541" s="20"/>
      <c r="R2541" s="20"/>
      <c r="S2541" s="20"/>
      <c r="T2541" s="20"/>
      <c r="U2541" s="20"/>
      <c r="V2541" s="20"/>
      <c r="W2541" s="20"/>
      <c r="X2541" s="20"/>
      <c r="Y2541" s="20"/>
      <c r="Z2541" s="20"/>
      <c r="AA2541" s="20"/>
    </row>
    <row r="2542" spans="1:27" ht="121.8" x14ac:dyDescent="0.25">
      <c r="A2542" s="16"/>
      <c r="B2542" s="20" t="b">
        <v>0</v>
      </c>
      <c r="C2542" s="20">
        <v>200</v>
      </c>
      <c r="D2542" s="2" t="s">
        <v>5322</v>
      </c>
      <c r="E2542" s="2" t="s">
        <v>5311</v>
      </c>
      <c r="F2542" s="20" t="s">
        <v>60</v>
      </c>
      <c r="G2542" s="2" t="s">
        <v>5323</v>
      </c>
      <c r="H2542" s="16"/>
      <c r="I2542" s="20"/>
      <c r="J2542" s="20"/>
      <c r="K2542" s="20"/>
      <c r="L2542" s="20"/>
      <c r="M2542" s="20"/>
      <c r="N2542" s="20"/>
      <c r="O2542" s="20"/>
      <c r="P2542" s="20"/>
      <c r="Q2542" s="20"/>
      <c r="R2542" s="20"/>
      <c r="S2542" s="20"/>
      <c r="T2542" s="20"/>
      <c r="U2542" s="20"/>
      <c r="V2542" s="20"/>
      <c r="W2542" s="20"/>
      <c r="X2542" s="20"/>
      <c r="Y2542" s="20"/>
      <c r="Z2542" s="20"/>
      <c r="AA2542" s="20"/>
    </row>
    <row r="2543" spans="1:27" ht="87" x14ac:dyDescent="0.25">
      <c r="A2543" s="16"/>
      <c r="B2543" s="20" t="b">
        <v>0</v>
      </c>
      <c r="C2543" s="20">
        <v>400</v>
      </c>
      <c r="D2543" s="2" t="s">
        <v>5324</v>
      </c>
      <c r="E2543" s="2" t="s">
        <v>5311</v>
      </c>
      <c r="F2543" s="20" t="s">
        <v>62</v>
      </c>
      <c r="G2543" s="2" t="s">
        <v>5325</v>
      </c>
      <c r="H2543" s="16"/>
      <c r="I2543" s="20"/>
      <c r="J2543" s="20"/>
      <c r="K2543" s="20"/>
      <c r="L2543" s="20"/>
      <c r="M2543" s="20"/>
      <c r="N2543" s="20"/>
      <c r="O2543" s="20"/>
      <c r="P2543" s="20"/>
      <c r="Q2543" s="20"/>
      <c r="R2543" s="20"/>
      <c r="S2543" s="20"/>
      <c r="T2543" s="20"/>
      <c r="U2543" s="20"/>
      <c r="V2543" s="20"/>
      <c r="W2543" s="20"/>
      <c r="X2543" s="20"/>
      <c r="Y2543" s="20"/>
      <c r="Z2543" s="20"/>
      <c r="AA2543" s="20"/>
    </row>
    <row r="2544" spans="1:27" ht="278.39999999999998" x14ac:dyDescent="0.25">
      <c r="A2544" s="16"/>
      <c r="B2544" s="20" t="b">
        <v>0</v>
      </c>
      <c r="C2544" s="20">
        <v>0</v>
      </c>
      <c r="D2544" s="2" t="s">
        <v>5326</v>
      </c>
      <c r="E2544" s="2" t="s">
        <v>5311</v>
      </c>
      <c r="F2544" s="20" t="s">
        <v>59</v>
      </c>
      <c r="G2544" s="2" t="s">
        <v>5327</v>
      </c>
      <c r="H2544" s="16"/>
      <c r="I2544" s="20"/>
      <c r="J2544" s="20"/>
      <c r="K2544" s="20"/>
      <c r="L2544" s="20"/>
      <c r="M2544" s="20"/>
      <c r="N2544" s="20"/>
      <c r="O2544" s="20"/>
      <c r="P2544" s="20"/>
      <c r="Q2544" s="20"/>
      <c r="R2544" s="20"/>
      <c r="S2544" s="20"/>
      <c r="T2544" s="20"/>
      <c r="U2544" s="20"/>
      <c r="V2544" s="20"/>
      <c r="W2544" s="20"/>
      <c r="X2544" s="20"/>
      <c r="Y2544" s="20"/>
      <c r="Z2544" s="20"/>
      <c r="AA2544" s="20"/>
    </row>
    <row r="2545" spans="1:27" ht="208.8" x14ac:dyDescent="0.25">
      <c r="A2545" s="16"/>
      <c r="B2545" s="20" t="b">
        <v>0</v>
      </c>
      <c r="C2545" s="20">
        <v>600</v>
      </c>
      <c r="D2545" s="2" t="s">
        <v>5328</v>
      </c>
      <c r="E2545" s="2" t="s">
        <v>5311</v>
      </c>
      <c r="F2545" s="20" t="s">
        <v>59</v>
      </c>
      <c r="G2545" s="2" t="s">
        <v>5329</v>
      </c>
      <c r="H2545" s="16"/>
      <c r="I2545" s="20"/>
      <c r="J2545" s="20"/>
      <c r="K2545" s="20"/>
      <c r="L2545" s="20"/>
      <c r="M2545" s="20"/>
      <c r="N2545" s="20"/>
      <c r="O2545" s="20"/>
      <c r="P2545" s="20"/>
      <c r="Q2545" s="20"/>
      <c r="R2545" s="20"/>
      <c r="S2545" s="20"/>
      <c r="T2545" s="20"/>
      <c r="U2545" s="20"/>
      <c r="V2545" s="20"/>
      <c r="W2545" s="20"/>
      <c r="X2545" s="20"/>
      <c r="Y2545" s="20"/>
      <c r="Z2545" s="20"/>
      <c r="AA2545" s="20"/>
    </row>
    <row r="2546" spans="1:27" ht="243.6" x14ac:dyDescent="0.25">
      <c r="A2546" s="16"/>
      <c r="B2546" s="20" t="b">
        <v>0</v>
      </c>
      <c r="C2546" s="20">
        <v>400</v>
      </c>
      <c r="D2546" s="2" t="s">
        <v>5330</v>
      </c>
      <c r="E2546" s="2" t="s">
        <v>5311</v>
      </c>
      <c r="F2546" s="20" t="s">
        <v>56</v>
      </c>
      <c r="G2546" s="2" t="s">
        <v>5331</v>
      </c>
      <c r="H2546" s="16"/>
      <c r="I2546" s="20"/>
      <c r="J2546" s="20"/>
      <c r="K2546" s="20"/>
      <c r="L2546" s="20"/>
      <c r="M2546" s="20"/>
      <c r="N2546" s="20"/>
      <c r="O2546" s="20"/>
      <c r="P2546" s="20"/>
      <c r="Q2546" s="20"/>
      <c r="R2546" s="20"/>
      <c r="S2546" s="20"/>
      <c r="T2546" s="20"/>
      <c r="U2546" s="20"/>
      <c r="V2546" s="20"/>
      <c r="W2546" s="20"/>
      <c r="X2546" s="20"/>
      <c r="Y2546" s="20"/>
      <c r="Z2546" s="20"/>
      <c r="AA2546" s="20"/>
    </row>
    <row r="2547" spans="1:27" ht="174" x14ac:dyDescent="0.25">
      <c r="A2547" s="16"/>
      <c r="B2547" s="20" t="b">
        <v>0</v>
      </c>
      <c r="C2547" s="20">
        <v>200</v>
      </c>
      <c r="D2547" s="2" t="s">
        <v>5332</v>
      </c>
      <c r="E2547" s="2" t="s">
        <v>5311</v>
      </c>
      <c r="F2547" s="20" t="s">
        <v>59</v>
      </c>
      <c r="G2547" s="2" t="s">
        <v>5333</v>
      </c>
      <c r="H2547" s="16"/>
      <c r="I2547" s="20"/>
      <c r="J2547" s="20"/>
      <c r="K2547" s="20"/>
      <c r="L2547" s="20"/>
      <c r="M2547" s="20"/>
      <c r="N2547" s="20"/>
      <c r="O2547" s="20"/>
      <c r="P2547" s="20"/>
      <c r="Q2547" s="20"/>
      <c r="R2547" s="20"/>
      <c r="S2547" s="20"/>
      <c r="T2547" s="20"/>
      <c r="U2547" s="20"/>
      <c r="V2547" s="20"/>
      <c r="W2547" s="20"/>
      <c r="X2547" s="20"/>
      <c r="Y2547" s="20"/>
      <c r="Z2547" s="20"/>
      <c r="AA2547" s="20"/>
    </row>
    <row r="2548" spans="1:27" ht="121.8" x14ac:dyDescent="0.25">
      <c r="A2548" s="16"/>
      <c r="B2548" s="20" t="b">
        <v>0</v>
      </c>
      <c r="C2548" s="20">
        <v>400</v>
      </c>
      <c r="D2548" s="2" t="s">
        <v>5334</v>
      </c>
      <c r="E2548" s="2" t="s">
        <v>5311</v>
      </c>
      <c r="F2548" s="20" t="s">
        <v>54</v>
      </c>
      <c r="G2548" s="2" t="s">
        <v>5335</v>
      </c>
      <c r="H2548" s="16"/>
      <c r="I2548" s="20"/>
      <c r="J2548" s="20"/>
      <c r="K2548" s="20"/>
      <c r="L2548" s="20"/>
      <c r="M2548" s="20"/>
      <c r="N2548" s="20"/>
      <c r="O2548" s="20"/>
      <c r="P2548" s="20"/>
      <c r="Q2548" s="20"/>
      <c r="R2548" s="20"/>
      <c r="S2548" s="20"/>
      <c r="T2548" s="20"/>
      <c r="U2548" s="20"/>
      <c r="V2548" s="20"/>
      <c r="W2548" s="20"/>
      <c r="X2548" s="20"/>
      <c r="Y2548" s="20"/>
      <c r="Z2548" s="20"/>
      <c r="AA2548" s="20"/>
    </row>
    <row r="2549" spans="1:27" ht="261" x14ac:dyDescent="0.25">
      <c r="A2549" s="16"/>
      <c r="B2549" s="20" t="b">
        <v>0</v>
      </c>
      <c r="C2549" s="20">
        <v>600</v>
      </c>
      <c r="D2549" s="2" t="s">
        <v>5336</v>
      </c>
      <c r="E2549" s="2" t="s">
        <v>5311</v>
      </c>
      <c r="F2549" s="20" t="s">
        <v>54</v>
      </c>
      <c r="G2549" s="2" t="s">
        <v>5337</v>
      </c>
      <c r="H2549" s="16"/>
      <c r="I2549" s="20"/>
      <c r="J2549" s="20"/>
      <c r="K2549" s="20"/>
      <c r="L2549" s="20"/>
      <c r="M2549" s="20"/>
      <c r="N2549" s="20"/>
      <c r="O2549" s="20"/>
      <c r="P2549" s="20"/>
      <c r="Q2549" s="20"/>
      <c r="R2549" s="20"/>
      <c r="S2549" s="20"/>
      <c r="T2549" s="20"/>
      <c r="U2549" s="20"/>
      <c r="V2549" s="20"/>
      <c r="W2549" s="20"/>
      <c r="X2549" s="20"/>
      <c r="Y2549" s="20"/>
      <c r="Z2549" s="20"/>
      <c r="AA2549" s="20"/>
    </row>
    <row r="2550" spans="1:27" ht="69.599999999999994" x14ac:dyDescent="0.25">
      <c r="A2550" s="16"/>
      <c r="B2550" s="20" t="b">
        <v>0</v>
      </c>
      <c r="C2550" s="20">
        <v>100</v>
      </c>
      <c r="D2550" s="2" t="s">
        <v>5338</v>
      </c>
      <c r="E2550" s="2" t="s">
        <v>5339</v>
      </c>
      <c r="F2550" s="20" t="s">
        <v>57</v>
      </c>
      <c r="G2550" s="2" t="s">
        <v>5340</v>
      </c>
      <c r="H2550" s="16"/>
      <c r="I2550" s="20"/>
      <c r="J2550" s="20"/>
      <c r="K2550" s="20"/>
      <c r="L2550" s="20"/>
      <c r="M2550" s="20"/>
      <c r="N2550" s="20"/>
      <c r="O2550" s="20"/>
      <c r="P2550" s="20"/>
      <c r="Q2550" s="20"/>
      <c r="R2550" s="20"/>
      <c r="S2550" s="20"/>
      <c r="T2550" s="20"/>
      <c r="U2550" s="20"/>
      <c r="V2550" s="20"/>
      <c r="W2550" s="20"/>
      <c r="X2550" s="20"/>
      <c r="Y2550" s="20"/>
      <c r="Z2550" s="20"/>
      <c r="AA2550" s="20"/>
    </row>
    <row r="2551" spans="1:27" ht="104.4" x14ac:dyDescent="0.25">
      <c r="A2551" s="16"/>
      <c r="B2551" s="20" t="b">
        <v>0</v>
      </c>
      <c r="C2551" s="20" t="s">
        <v>4298</v>
      </c>
      <c r="D2551" s="2" t="s">
        <v>5231</v>
      </c>
      <c r="E2551" s="2" t="s">
        <v>5339</v>
      </c>
      <c r="F2551" s="20" t="s">
        <v>53</v>
      </c>
      <c r="G2551" s="2" t="s">
        <v>5341</v>
      </c>
      <c r="H2551" s="16"/>
      <c r="I2551" s="20"/>
      <c r="J2551" s="20"/>
      <c r="K2551" s="20"/>
      <c r="L2551" s="20"/>
      <c r="M2551" s="20"/>
      <c r="N2551" s="20"/>
      <c r="O2551" s="20"/>
      <c r="P2551" s="20"/>
      <c r="Q2551" s="20"/>
      <c r="R2551" s="20"/>
      <c r="S2551" s="20"/>
      <c r="T2551" s="20"/>
      <c r="U2551" s="20"/>
      <c r="V2551" s="20"/>
      <c r="W2551" s="20"/>
      <c r="X2551" s="20"/>
      <c r="Y2551" s="20"/>
      <c r="Z2551" s="20"/>
      <c r="AA2551" s="20"/>
    </row>
    <row r="2552" spans="1:27" ht="87" x14ac:dyDescent="0.25">
      <c r="A2552" s="16"/>
      <c r="B2552" s="20" t="b">
        <v>0</v>
      </c>
      <c r="C2552" s="20">
        <v>200</v>
      </c>
      <c r="D2552" s="2" t="s">
        <v>5342</v>
      </c>
      <c r="E2552" s="2" t="s">
        <v>5339</v>
      </c>
      <c r="F2552" s="20" t="s">
        <v>62</v>
      </c>
      <c r="G2552" s="2" t="s">
        <v>5343</v>
      </c>
      <c r="H2552" s="16"/>
      <c r="I2552" s="20"/>
      <c r="J2552" s="20"/>
      <c r="K2552" s="20"/>
      <c r="L2552" s="20"/>
      <c r="M2552" s="20"/>
      <c r="N2552" s="20"/>
      <c r="O2552" s="20"/>
      <c r="P2552" s="20"/>
      <c r="Q2552" s="20"/>
      <c r="R2552" s="20"/>
      <c r="S2552" s="20"/>
      <c r="T2552" s="20"/>
      <c r="U2552" s="20"/>
      <c r="V2552" s="20"/>
      <c r="W2552" s="20"/>
      <c r="X2552" s="20"/>
      <c r="Y2552" s="20"/>
      <c r="Z2552" s="20"/>
      <c r="AA2552" s="20"/>
    </row>
    <row r="2553" spans="1:27" ht="243.6" x14ac:dyDescent="0.25">
      <c r="A2553" s="16"/>
      <c r="B2553" s="20" t="b">
        <v>0</v>
      </c>
      <c r="C2553" s="20">
        <v>0</v>
      </c>
      <c r="D2553" s="2" t="s">
        <v>5344</v>
      </c>
      <c r="E2553" s="2" t="s">
        <v>5345</v>
      </c>
      <c r="F2553" s="20" t="s">
        <v>64</v>
      </c>
      <c r="G2553" s="2" t="s">
        <v>5346</v>
      </c>
      <c r="H2553" s="16"/>
      <c r="I2553" s="20"/>
      <c r="J2553" s="20"/>
      <c r="K2553" s="20"/>
      <c r="L2553" s="20"/>
      <c r="M2553" s="20"/>
      <c r="N2553" s="20"/>
      <c r="O2553" s="20"/>
      <c r="P2553" s="20"/>
      <c r="Q2553" s="20"/>
      <c r="R2553" s="20"/>
      <c r="S2553" s="20"/>
      <c r="T2553" s="20"/>
      <c r="U2553" s="20"/>
      <c r="V2553" s="20"/>
      <c r="W2553" s="20"/>
      <c r="X2553" s="20"/>
      <c r="Y2553" s="20"/>
      <c r="Z2553" s="20"/>
      <c r="AA2553" s="20"/>
    </row>
    <row r="2554" spans="1:27" ht="87" x14ac:dyDescent="0.25">
      <c r="A2554" s="16"/>
      <c r="B2554" s="20" t="b">
        <v>0</v>
      </c>
      <c r="C2554" s="20">
        <v>0</v>
      </c>
      <c r="D2554" s="2" t="s">
        <v>4290</v>
      </c>
      <c r="E2554" s="2" t="s">
        <v>5345</v>
      </c>
      <c r="F2554" s="20" t="s">
        <v>56</v>
      </c>
      <c r="G2554" s="2" t="s">
        <v>5347</v>
      </c>
      <c r="H2554" s="16"/>
      <c r="I2554" s="20"/>
      <c r="J2554" s="20"/>
      <c r="K2554" s="20"/>
      <c r="L2554" s="20"/>
      <c r="M2554" s="20"/>
      <c r="N2554" s="20"/>
      <c r="O2554" s="20"/>
      <c r="P2554" s="20"/>
      <c r="Q2554" s="20"/>
      <c r="R2554" s="20"/>
      <c r="S2554" s="20"/>
      <c r="T2554" s="20"/>
      <c r="U2554" s="20"/>
      <c r="V2554" s="20"/>
      <c r="W2554" s="20"/>
      <c r="X2554" s="20"/>
      <c r="Y2554" s="20"/>
      <c r="Z2554" s="20"/>
      <c r="AA2554" s="20"/>
    </row>
    <row r="2555" spans="1:27" ht="174" x14ac:dyDescent="0.25">
      <c r="A2555" s="16"/>
      <c r="B2555" s="20" t="b">
        <v>0</v>
      </c>
      <c r="C2555" s="20">
        <v>100</v>
      </c>
      <c r="D2555" s="2" t="s">
        <v>5348</v>
      </c>
      <c r="E2555" s="2" t="s">
        <v>5345</v>
      </c>
      <c r="F2555" s="20" t="s">
        <v>53</v>
      </c>
      <c r="G2555" s="2" t="s">
        <v>5349</v>
      </c>
      <c r="H2555" s="16"/>
      <c r="I2555" s="20"/>
      <c r="J2555" s="20"/>
      <c r="K2555" s="20"/>
      <c r="L2555" s="20"/>
      <c r="M2555" s="20"/>
      <c r="N2555" s="20"/>
      <c r="O2555" s="20"/>
      <c r="P2555" s="20"/>
      <c r="Q2555" s="20"/>
      <c r="R2555" s="20"/>
      <c r="S2555" s="20"/>
      <c r="T2555" s="20"/>
      <c r="U2555" s="20"/>
      <c r="V2555" s="20"/>
      <c r="W2555" s="20"/>
      <c r="X2555" s="20"/>
      <c r="Y2555" s="20"/>
      <c r="Z2555" s="20"/>
      <c r="AA2555" s="20"/>
    </row>
    <row r="2556" spans="1:27" ht="121.8" x14ac:dyDescent="0.25">
      <c r="A2556" s="16"/>
      <c r="B2556" s="20" t="b">
        <v>0</v>
      </c>
      <c r="C2556" s="20">
        <v>100</v>
      </c>
      <c r="D2556" s="2" t="s">
        <v>5350</v>
      </c>
      <c r="E2556" s="2" t="s">
        <v>5345</v>
      </c>
      <c r="F2556" s="20" t="s">
        <v>61</v>
      </c>
      <c r="G2556" s="2" t="s">
        <v>5351</v>
      </c>
      <c r="H2556" s="16"/>
      <c r="I2556" s="20"/>
      <c r="J2556" s="20"/>
      <c r="K2556" s="20"/>
      <c r="L2556" s="20"/>
      <c r="M2556" s="20"/>
      <c r="N2556" s="20"/>
      <c r="O2556" s="20"/>
      <c r="P2556" s="20"/>
      <c r="Q2556" s="20"/>
      <c r="R2556" s="20"/>
      <c r="S2556" s="20"/>
      <c r="T2556" s="20"/>
      <c r="U2556" s="20"/>
      <c r="V2556" s="20"/>
      <c r="W2556" s="20"/>
      <c r="X2556" s="20"/>
      <c r="Y2556" s="20"/>
      <c r="Z2556" s="20"/>
      <c r="AA2556" s="20"/>
    </row>
    <row r="2557" spans="1:27" ht="121.8" x14ac:dyDescent="0.25">
      <c r="A2557" s="16"/>
      <c r="B2557" s="20" t="b">
        <v>0</v>
      </c>
      <c r="C2557" s="20">
        <v>200</v>
      </c>
      <c r="D2557" s="2" t="s">
        <v>5352</v>
      </c>
      <c r="E2557" s="2" t="s">
        <v>5345</v>
      </c>
      <c r="F2557" s="20" t="s">
        <v>61</v>
      </c>
      <c r="G2557" s="2" t="s">
        <v>5353</v>
      </c>
      <c r="H2557" s="16"/>
      <c r="I2557" s="20"/>
      <c r="J2557" s="20"/>
      <c r="K2557" s="20"/>
      <c r="L2557" s="20"/>
      <c r="M2557" s="20"/>
      <c r="N2557" s="20"/>
      <c r="O2557" s="20"/>
      <c r="P2557" s="20"/>
      <c r="Q2557" s="20"/>
      <c r="R2557" s="20"/>
      <c r="S2557" s="20"/>
      <c r="T2557" s="20"/>
      <c r="U2557" s="20"/>
      <c r="V2557" s="20"/>
      <c r="W2557" s="20"/>
      <c r="X2557" s="20"/>
      <c r="Y2557" s="20"/>
      <c r="Z2557" s="20"/>
      <c r="AA2557" s="20"/>
    </row>
    <row r="2558" spans="1:27" ht="261" x14ac:dyDescent="0.25">
      <c r="A2558" s="16"/>
      <c r="B2558" s="20" t="b">
        <v>0</v>
      </c>
      <c r="C2558" s="20">
        <v>400</v>
      </c>
      <c r="D2558" s="2" t="s">
        <v>5354</v>
      </c>
      <c r="E2558" s="2" t="s">
        <v>5345</v>
      </c>
      <c r="F2558" s="20" t="s">
        <v>60</v>
      </c>
      <c r="G2558" s="2" t="s">
        <v>5355</v>
      </c>
      <c r="H2558" s="16"/>
      <c r="I2558" s="20"/>
      <c r="J2558" s="20"/>
      <c r="K2558" s="20"/>
      <c r="L2558" s="20"/>
      <c r="M2558" s="20"/>
      <c r="N2558" s="20"/>
      <c r="O2558" s="20"/>
      <c r="P2558" s="20"/>
      <c r="Q2558" s="20"/>
      <c r="R2558" s="20"/>
      <c r="S2558" s="20"/>
      <c r="T2558" s="20"/>
      <c r="U2558" s="20"/>
      <c r="V2558" s="20"/>
      <c r="W2558" s="20"/>
      <c r="X2558" s="20"/>
      <c r="Y2558" s="20"/>
      <c r="Z2558" s="20"/>
      <c r="AA2558" s="20"/>
    </row>
    <row r="2559" spans="1:27" ht="174" x14ac:dyDescent="0.25">
      <c r="A2559" s="16"/>
      <c r="B2559" s="20" t="b">
        <v>0</v>
      </c>
      <c r="C2559" s="20">
        <v>600</v>
      </c>
      <c r="D2559" s="2" t="s">
        <v>5356</v>
      </c>
      <c r="E2559" s="2" t="s">
        <v>5345</v>
      </c>
      <c r="F2559" s="20" t="s">
        <v>64</v>
      </c>
      <c r="G2559" s="2" t="s">
        <v>5357</v>
      </c>
      <c r="H2559" s="16"/>
      <c r="I2559" s="20"/>
      <c r="J2559" s="20"/>
      <c r="K2559" s="20"/>
      <c r="L2559" s="20"/>
      <c r="M2559" s="20"/>
      <c r="N2559" s="20"/>
      <c r="O2559" s="20"/>
      <c r="P2559" s="20"/>
      <c r="Q2559" s="20"/>
      <c r="R2559" s="20"/>
      <c r="S2559" s="20"/>
      <c r="T2559" s="20"/>
      <c r="U2559" s="20"/>
      <c r="V2559" s="20"/>
      <c r="W2559" s="20"/>
      <c r="X2559" s="20"/>
      <c r="Y2559" s="20"/>
      <c r="Z2559" s="20"/>
      <c r="AA2559" s="20"/>
    </row>
    <row r="2560" spans="1:27" ht="139.19999999999999" x14ac:dyDescent="0.25">
      <c r="A2560" s="16"/>
      <c r="B2560" s="20" t="b">
        <v>0</v>
      </c>
      <c r="C2560" s="20">
        <v>600</v>
      </c>
      <c r="D2560" s="2" t="s">
        <v>5358</v>
      </c>
      <c r="E2560" s="2" t="s">
        <v>5345</v>
      </c>
      <c r="F2560" s="20" t="s">
        <v>61</v>
      </c>
      <c r="G2560" s="2" t="s">
        <v>5359</v>
      </c>
      <c r="H2560" s="16"/>
      <c r="I2560" s="20"/>
      <c r="J2560" s="20"/>
      <c r="K2560" s="20"/>
      <c r="L2560" s="20"/>
      <c r="M2560" s="20"/>
      <c r="N2560" s="20"/>
      <c r="O2560" s="20"/>
      <c r="P2560" s="20"/>
      <c r="Q2560" s="20"/>
      <c r="R2560" s="20"/>
      <c r="S2560" s="20"/>
      <c r="T2560" s="20"/>
      <c r="U2560" s="20"/>
      <c r="V2560" s="20"/>
      <c r="W2560" s="20"/>
      <c r="X2560" s="20"/>
      <c r="Y2560" s="20"/>
      <c r="Z2560" s="20"/>
      <c r="AA2560" s="20"/>
    </row>
    <row r="2561" spans="1:27" ht="191.4" x14ac:dyDescent="0.25">
      <c r="A2561" s="16"/>
      <c r="B2561" s="20" t="b">
        <v>0</v>
      </c>
      <c r="C2561" s="20">
        <v>600</v>
      </c>
      <c r="D2561" s="2" t="s">
        <v>5360</v>
      </c>
      <c r="E2561" s="2" t="s">
        <v>5345</v>
      </c>
      <c r="F2561" s="20" t="s">
        <v>64</v>
      </c>
      <c r="G2561" s="2" t="s">
        <v>5361</v>
      </c>
      <c r="H2561" s="16"/>
      <c r="I2561" s="20"/>
      <c r="J2561" s="20"/>
      <c r="K2561" s="20"/>
      <c r="L2561" s="20"/>
      <c r="M2561" s="20"/>
      <c r="N2561" s="20"/>
      <c r="O2561" s="20"/>
      <c r="P2561" s="20"/>
      <c r="Q2561" s="20"/>
      <c r="R2561" s="20"/>
      <c r="S2561" s="20"/>
      <c r="T2561" s="20"/>
      <c r="U2561" s="20"/>
      <c r="V2561" s="20"/>
      <c r="W2561" s="20"/>
      <c r="X2561" s="20"/>
      <c r="Y2561" s="20"/>
      <c r="Z2561" s="20"/>
      <c r="AA2561" s="20"/>
    </row>
    <row r="2562" spans="1:27" ht="139.19999999999999" x14ac:dyDescent="0.25">
      <c r="A2562" s="16"/>
      <c r="B2562" s="20" t="b">
        <v>0</v>
      </c>
      <c r="C2562" s="20">
        <v>600</v>
      </c>
      <c r="D2562" s="2" t="s">
        <v>5362</v>
      </c>
      <c r="E2562" s="2" t="s">
        <v>5345</v>
      </c>
      <c r="F2562" s="20" t="s">
        <v>64</v>
      </c>
      <c r="G2562" s="2" t="s">
        <v>5363</v>
      </c>
      <c r="H2562" s="16"/>
      <c r="I2562" s="20"/>
      <c r="J2562" s="20"/>
      <c r="K2562" s="20"/>
      <c r="L2562" s="20"/>
      <c r="M2562" s="20"/>
      <c r="N2562" s="20"/>
      <c r="O2562" s="20"/>
      <c r="P2562" s="20"/>
      <c r="Q2562" s="20"/>
      <c r="R2562" s="20"/>
      <c r="S2562" s="20"/>
      <c r="T2562" s="20"/>
      <c r="U2562" s="20"/>
      <c r="V2562" s="20"/>
      <c r="W2562" s="20"/>
      <c r="X2562" s="20"/>
      <c r="Y2562" s="20"/>
      <c r="Z2562" s="20"/>
      <c r="AA2562" s="20"/>
    </row>
    <row r="2563" spans="1:27" ht="156.6" x14ac:dyDescent="0.25">
      <c r="A2563" s="16"/>
      <c r="B2563" s="20" t="b">
        <v>0</v>
      </c>
      <c r="C2563" s="20">
        <v>100</v>
      </c>
      <c r="D2563" s="2" t="s">
        <v>757</v>
      </c>
      <c r="E2563" s="2" t="s">
        <v>5345</v>
      </c>
      <c r="F2563" s="20" t="s">
        <v>54</v>
      </c>
      <c r="G2563" s="2" t="s">
        <v>5364</v>
      </c>
      <c r="H2563" s="16"/>
      <c r="I2563" s="20"/>
      <c r="J2563" s="20"/>
      <c r="K2563" s="20"/>
      <c r="L2563" s="20"/>
      <c r="M2563" s="20"/>
      <c r="N2563" s="20"/>
      <c r="O2563" s="20"/>
      <c r="P2563" s="20"/>
      <c r="Q2563" s="20"/>
      <c r="R2563" s="20"/>
      <c r="S2563" s="20"/>
      <c r="T2563" s="20"/>
      <c r="U2563" s="20"/>
      <c r="V2563" s="20"/>
      <c r="W2563" s="20"/>
      <c r="X2563" s="20"/>
      <c r="Y2563" s="20"/>
      <c r="Z2563" s="20"/>
      <c r="AA2563" s="20"/>
    </row>
    <row r="2564" spans="1:27" ht="121.8" x14ac:dyDescent="0.25">
      <c r="A2564" s="16"/>
      <c r="B2564" s="20" t="b">
        <v>0</v>
      </c>
      <c r="C2564" s="20">
        <v>200</v>
      </c>
      <c r="D2564" s="2" t="s">
        <v>5365</v>
      </c>
      <c r="E2564" s="2" t="s">
        <v>5345</v>
      </c>
      <c r="F2564" s="20" t="s">
        <v>62</v>
      </c>
      <c r="G2564" s="2" t="s">
        <v>5366</v>
      </c>
      <c r="H2564" s="16"/>
      <c r="I2564" s="20"/>
      <c r="J2564" s="20"/>
      <c r="K2564" s="20"/>
      <c r="L2564" s="20"/>
      <c r="M2564" s="20"/>
      <c r="N2564" s="20"/>
      <c r="O2564" s="20"/>
      <c r="P2564" s="20"/>
      <c r="Q2564" s="20"/>
      <c r="R2564" s="20"/>
      <c r="S2564" s="20"/>
      <c r="T2564" s="20"/>
      <c r="U2564" s="20"/>
      <c r="V2564" s="20"/>
      <c r="W2564" s="20"/>
      <c r="X2564" s="20"/>
      <c r="Y2564" s="20"/>
      <c r="Z2564" s="20"/>
      <c r="AA2564" s="20"/>
    </row>
    <row r="2565" spans="1:27" ht="139.19999999999999" x14ac:dyDescent="0.25">
      <c r="A2565" s="16"/>
      <c r="B2565" s="20" t="b">
        <v>0</v>
      </c>
      <c r="C2565" s="20">
        <v>200</v>
      </c>
      <c r="D2565" s="2" t="s">
        <v>5367</v>
      </c>
      <c r="E2565" s="2" t="s">
        <v>5345</v>
      </c>
      <c r="F2565" s="20" t="s">
        <v>62</v>
      </c>
      <c r="G2565" s="2" t="s">
        <v>5368</v>
      </c>
      <c r="H2565" s="16"/>
      <c r="I2565" s="20"/>
      <c r="J2565" s="20"/>
      <c r="K2565" s="20"/>
      <c r="L2565" s="20"/>
      <c r="M2565" s="20"/>
      <c r="N2565" s="20"/>
      <c r="O2565" s="20"/>
      <c r="P2565" s="20"/>
      <c r="Q2565" s="20"/>
      <c r="R2565" s="20"/>
      <c r="S2565" s="20"/>
      <c r="T2565" s="20"/>
      <c r="U2565" s="20"/>
      <c r="V2565" s="20"/>
      <c r="W2565" s="20"/>
      <c r="X2565" s="20"/>
      <c r="Y2565" s="20"/>
      <c r="Z2565" s="20"/>
      <c r="AA2565" s="20"/>
    </row>
    <row r="2566" spans="1:27" ht="121.8" x14ac:dyDescent="0.25">
      <c r="A2566" s="16"/>
      <c r="B2566" s="20" t="b">
        <v>0</v>
      </c>
      <c r="C2566" s="20">
        <v>400</v>
      </c>
      <c r="D2566" s="2" t="s">
        <v>5369</v>
      </c>
      <c r="E2566" s="2" t="s">
        <v>5345</v>
      </c>
      <c r="F2566" s="20" t="s">
        <v>60</v>
      </c>
      <c r="G2566" s="2" t="s">
        <v>5370</v>
      </c>
      <c r="H2566" s="16"/>
      <c r="I2566" s="20"/>
      <c r="J2566" s="20"/>
      <c r="K2566" s="20"/>
      <c r="L2566" s="20"/>
      <c r="M2566" s="20"/>
      <c r="N2566" s="20"/>
      <c r="O2566" s="20"/>
      <c r="P2566" s="20"/>
      <c r="Q2566" s="20"/>
      <c r="R2566" s="20"/>
      <c r="S2566" s="20"/>
      <c r="T2566" s="20"/>
      <c r="U2566" s="20"/>
      <c r="V2566" s="20"/>
      <c r="W2566" s="20"/>
      <c r="X2566" s="20"/>
      <c r="Y2566" s="20"/>
      <c r="Z2566" s="20"/>
      <c r="AA2566" s="20"/>
    </row>
    <row r="2567" spans="1:27" ht="121.8" x14ac:dyDescent="0.25">
      <c r="A2567" s="16"/>
      <c r="B2567" s="20" t="b">
        <v>0</v>
      </c>
      <c r="C2567" s="20">
        <v>400</v>
      </c>
      <c r="D2567" s="2" t="s">
        <v>5371</v>
      </c>
      <c r="E2567" s="2" t="s">
        <v>5345</v>
      </c>
      <c r="F2567" s="20" t="s">
        <v>54</v>
      </c>
      <c r="G2567" s="2" t="s">
        <v>5372</v>
      </c>
      <c r="H2567" s="16"/>
      <c r="I2567" s="20"/>
      <c r="J2567" s="20"/>
      <c r="K2567" s="20"/>
      <c r="L2567" s="20"/>
      <c r="M2567" s="20"/>
      <c r="N2567" s="20"/>
      <c r="O2567" s="20"/>
      <c r="P2567" s="20"/>
      <c r="Q2567" s="20"/>
      <c r="R2567" s="20"/>
      <c r="S2567" s="20"/>
      <c r="T2567" s="20"/>
      <c r="U2567" s="20"/>
      <c r="V2567" s="20"/>
      <c r="W2567" s="20"/>
      <c r="X2567" s="20"/>
      <c r="Y2567" s="20"/>
      <c r="Z2567" s="20"/>
      <c r="AA2567" s="20"/>
    </row>
    <row r="2568" spans="1:27" ht="139.19999999999999" x14ac:dyDescent="0.25">
      <c r="A2568" s="16"/>
      <c r="B2568" s="20" t="b">
        <v>0</v>
      </c>
      <c r="C2568" s="20">
        <v>600</v>
      </c>
      <c r="D2568" s="2" t="s">
        <v>5373</v>
      </c>
      <c r="E2568" s="2" t="s">
        <v>5345</v>
      </c>
      <c r="F2568" s="20" t="s">
        <v>54</v>
      </c>
      <c r="G2568" s="2" t="s">
        <v>5374</v>
      </c>
      <c r="H2568" s="16"/>
      <c r="I2568" s="20"/>
      <c r="J2568" s="20"/>
      <c r="K2568" s="20"/>
      <c r="L2568" s="20"/>
      <c r="M2568" s="20"/>
      <c r="N2568" s="20"/>
      <c r="O2568" s="20"/>
      <c r="P2568" s="20"/>
      <c r="Q2568" s="20"/>
      <c r="R2568" s="20"/>
      <c r="S2568" s="20"/>
      <c r="T2568" s="20"/>
      <c r="U2568" s="20"/>
      <c r="V2568" s="20"/>
      <c r="W2568" s="20"/>
      <c r="X2568" s="20"/>
      <c r="Y2568" s="20"/>
      <c r="Z2568" s="20"/>
      <c r="AA2568" s="20"/>
    </row>
    <row r="2569" spans="1:27" ht="139.19999999999999" x14ac:dyDescent="0.25">
      <c r="A2569" s="16"/>
      <c r="B2569" s="20" t="b">
        <v>0</v>
      </c>
      <c r="C2569" s="20">
        <v>600</v>
      </c>
      <c r="D2569" s="2" t="s">
        <v>5375</v>
      </c>
      <c r="E2569" s="2" t="s">
        <v>5345</v>
      </c>
      <c r="F2569" s="20" t="s">
        <v>54</v>
      </c>
      <c r="G2569" s="2" t="s">
        <v>5376</v>
      </c>
      <c r="H2569" s="16"/>
      <c r="I2569" s="20"/>
      <c r="J2569" s="20"/>
      <c r="K2569" s="20"/>
      <c r="L2569" s="20"/>
      <c r="M2569" s="20"/>
      <c r="N2569" s="20"/>
      <c r="O2569" s="20"/>
      <c r="P2569" s="20"/>
      <c r="Q2569" s="20"/>
      <c r="R2569" s="20"/>
      <c r="S2569" s="20"/>
      <c r="T2569" s="20"/>
      <c r="U2569" s="20"/>
      <c r="V2569" s="20"/>
      <c r="W2569" s="20"/>
      <c r="X2569" s="20"/>
      <c r="Y2569" s="20"/>
      <c r="Z2569" s="20"/>
      <c r="AA2569" s="20"/>
    </row>
    <row r="2570" spans="1:27" ht="104.4" x14ac:dyDescent="0.25">
      <c r="A2570" s="16"/>
      <c r="B2570" s="20" t="b">
        <v>0</v>
      </c>
      <c r="C2570" s="20">
        <v>200</v>
      </c>
      <c r="D2570" s="2" t="s">
        <v>5377</v>
      </c>
      <c r="E2570" s="2" t="s">
        <v>5345</v>
      </c>
      <c r="F2570" s="20" t="s">
        <v>64</v>
      </c>
      <c r="G2570" s="2" t="s">
        <v>5378</v>
      </c>
      <c r="H2570" s="16"/>
      <c r="I2570" s="20"/>
      <c r="J2570" s="20"/>
      <c r="K2570" s="20"/>
      <c r="L2570" s="20"/>
      <c r="M2570" s="20"/>
      <c r="N2570" s="20"/>
      <c r="O2570" s="20"/>
      <c r="P2570" s="20"/>
      <c r="Q2570" s="20"/>
      <c r="R2570" s="20"/>
      <c r="S2570" s="20"/>
      <c r="T2570" s="20"/>
      <c r="U2570" s="20"/>
      <c r="V2570" s="20"/>
      <c r="W2570" s="20"/>
      <c r="X2570" s="20"/>
      <c r="Y2570" s="20"/>
      <c r="Z2570" s="20"/>
      <c r="AA2570" s="20"/>
    </row>
    <row r="2571" spans="1:27" ht="121.8" x14ac:dyDescent="0.25">
      <c r="A2571" s="16"/>
      <c r="B2571" s="20" t="b">
        <v>0</v>
      </c>
      <c r="C2571" s="20">
        <v>200</v>
      </c>
      <c r="D2571" s="2" t="s">
        <v>5379</v>
      </c>
      <c r="E2571" s="2" t="s">
        <v>5345</v>
      </c>
      <c r="F2571" s="20" t="s">
        <v>64</v>
      </c>
      <c r="G2571" s="2" t="s">
        <v>5380</v>
      </c>
      <c r="H2571" s="16"/>
      <c r="I2571" s="20"/>
      <c r="J2571" s="20"/>
      <c r="K2571" s="20"/>
      <c r="L2571" s="20"/>
      <c r="M2571" s="20"/>
      <c r="N2571" s="20"/>
      <c r="O2571" s="20"/>
      <c r="P2571" s="20"/>
      <c r="Q2571" s="20"/>
      <c r="R2571" s="20"/>
      <c r="S2571" s="20"/>
      <c r="T2571" s="20"/>
      <c r="U2571" s="20"/>
      <c r="V2571" s="20"/>
      <c r="W2571" s="20"/>
      <c r="X2571" s="20"/>
      <c r="Y2571" s="20"/>
      <c r="Z2571" s="20"/>
      <c r="AA2571" s="20"/>
    </row>
    <row r="2572" spans="1:27" ht="121.8" x14ac:dyDescent="0.25">
      <c r="A2572" s="16"/>
      <c r="B2572" s="20" t="b">
        <v>0</v>
      </c>
      <c r="C2572" s="20">
        <v>200</v>
      </c>
      <c r="D2572" s="2" t="s">
        <v>5381</v>
      </c>
      <c r="E2572" s="2" t="s">
        <v>5345</v>
      </c>
      <c r="F2572" s="20" t="s">
        <v>64</v>
      </c>
      <c r="G2572" s="2" t="s">
        <v>5382</v>
      </c>
      <c r="H2572" s="16"/>
      <c r="I2572" s="20"/>
      <c r="J2572" s="20"/>
      <c r="K2572" s="20"/>
      <c r="L2572" s="20"/>
      <c r="M2572" s="20"/>
      <c r="N2572" s="20"/>
      <c r="O2572" s="20"/>
      <c r="P2572" s="20"/>
      <c r="Q2572" s="20"/>
      <c r="R2572" s="20"/>
      <c r="S2572" s="20"/>
      <c r="T2572" s="20"/>
      <c r="U2572" s="20"/>
      <c r="V2572" s="20"/>
      <c r="W2572" s="20"/>
      <c r="X2572" s="20"/>
      <c r="Y2572" s="20"/>
      <c r="Z2572" s="20"/>
      <c r="AA2572" s="20"/>
    </row>
    <row r="2573" spans="1:27" ht="121.8" x14ac:dyDescent="0.25">
      <c r="A2573" s="16"/>
      <c r="B2573" s="20" t="b">
        <v>0</v>
      </c>
      <c r="C2573" s="20">
        <v>200</v>
      </c>
      <c r="D2573" s="2" t="s">
        <v>5383</v>
      </c>
      <c r="E2573" s="2" t="s">
        <v>5345</v>
      </c>
      <c r="F2573" s="20" t="s">
        <v>64</v>
      </c>
      <c r="G2573" s="2" t="s">
        <v>5384</v>
      </c>
      <c r="H2573" s="16"/>
      <c r="I2573" s="20"/>
      <c r="J2573" s="20"/>
      <c r="K2573" s="20"/>
      <c r="L2573" s="20"/>
      <c r="M2573" s="20"/>
      <c r="N2573" s="20"/>
      <c r="O2573" s="20"/>
      <c r="P2573" s="20"/>
      <c r="Q2573" s="20"/>
      <c r="R2573" s="20"/>
      <c r="S2573" s="20"/>
      <c r="T2573" s="20"/>
      <c r="U2573" s="20"/>
      <c r="V2573" s="20"/>
      <c r="W2573" s="20"/>
      <c r="X2573" s="20"/>
      <c r="Y2573" s="20"/>
      <c r="Z2573" s="20"/>
      <c r="AA2573" s="20"/>
    </row>
    <row r="2574" spans="1:27" ht="104.4" x14ac:dyDescent="0.25">
      <c r="A2574" s="16"/>
      <c r="B2574" s="20" t="b">
        <v>0</v>
      </c>
      <c r="C2574" s="20">
        <v>200</v>
      </c>
      <c r="D2574" s="2" t="s">
        <v>5385</v>
      </c>
      <c r="E2574" s="2" t="s">
        <v>5345</v>
      </c>
      <c r="F2574" s="20" t="s">
        <v>64</v>
      </c>
      <c r="G2574" s="2" t="s">
        <v>5386</v>
      </c>
      <c r="H2574" s="16"/>
      <c r="I2574" s="20"/>
      <c r="J2574" s="20"/>
      <c r="K2574" s="20"/>
      <c r="L2574" s="20"/>
      <c r="M2574" s="20"/>
      <c r="N2574" s="20"/>
      <c r="O2574" s="20"/>
      <c r="P2574" s="20"/>
      <c r="Q2574" s="20"/>
      <c r="R2574" s="20"/>
      <c r="S2574" s="20"/>
      <c r="T2574" s="20"/>
      <c r="U2574" s="20"/>
      <c r="V2574" s="20"/>
      <c r="W2574" s="20"/>
      <c r="X2574" s="20"/>
      <c r="Y2574" s="20"/>
      <c r="Z2574" s="20"/>
      <c r="AA2574" s="20"/>
    </row>
    <row r="2575" spans="1:27" ht="121.8" x14ac:dyDescent="0.25">
      <c r="A2575" s="16"/>
      <c r="B2575" s="20" t="b">
        <v>0</v>
      </c>
      <c r="C2575" s="20">
        <v>200</v>
      </c>
      <c r="D2575" s="2" t="s">
        <v>5387</v>
      </c>
      <c r="E2575" s="2" t="s">
        <v>5345</v>
      </c>
      <c r="F2575" s="20" t="s">
        <v>64</v>
      </c>
      <c r="G2575" s="2" t="s">
        <v>5388</v>
      </c>
      <c r="H2575" s="16"/>
      <c r="I2575" s="20"/>
      <c r="J2575" s="20"/>
      <c r="K2575" s="20"/>
      <c r="L2575" s="20"/>
      <c r="M2575" s="20"/>
      <c r="N2575" s="20"/>
      <c r="O2575" s="20"/>
      <c r="P2575" s="20"/>
      <c r="Q2575" s="20"/>
      <c r="R2575" s="20"/>
      <c r="S2575" s="20"/>
      <c r="T2575" s="20"/>
      <c r="U2575" s="20"/>
      <c r="V2575" s="20"/>
      <c r="W2575" s="20"/>
      <c r="X2575" s="20"/>
      <c r="Y2575" s="20"/>
      <c r="Z2575" s="20"/>
      <c r="AA2575" s="20"/>
    </row>
    <row r="2576" spans="1:27" ht="104.4" x14ac:dyDescent="0.25">
      <c r="A2576" s="16"/>
      <c r="B2576" s="20" t="b">
        <v>0</v>
      </c>
      <c r="C2576" s="20">
        <v>200</v>
      </c>
      <c r="D2576" s="2" t="s">
        <v>5389</v>
      </c>
      <c r="E2576" s="2" t="s">
        <v>5345</v>
      </c>
      <c r="F2576" s="20" t="s">
        <v>64</v>
      </c>
      <c r="G2576" s="2" t="s">
        <v>5390</v>
      </c>
      <c r="H2576" s="16"/>
      <c r="I2576" s="20"/>
      <c r="J2576" s="20"/>
      <c r="K2576" s="20"/>
      <c r="L2576" s="20"/>
      <c r="M2576" s="20"/>
      <c r="N2576" s="20"/>
      <c r="O2576" s="20"/>
      <c r="P2576" s="20"/>
      <c r="Q2576" s="20"/>
      <c r="R2576" s="20"/>
      <c r="S2576" s="20"/>
      <c r="T2576" s="20"/>
      <c r="U2576" s="20"/>
      <c r="V2576" s="20"/>
      <c r="W2576" s="20"/>
      <c r="X2576" s="20"/>
      <c r="Y2576" s="20"/>
      <c r="Z2576" s="20"/>
      <c r="AA2576" s="20"/>
    </row>
    <row r="2577" spans="1:27" ht="121.8" x14ac:dyDescent="0.25">
      <c r="A2577" s="16"/>
      <c r="B2577" s="20" t="b">
        <v>0</v>
      </c>
      <c r="C2577" s="20">
        <v>200</v>
      </c>
      <c r="D2577" s="2" t="s">
        <v>5391</v>
      </c>
      <c r="E2577" s="2" t="s">
        <v>5345</v>
      </c>
      <c r="F2577" s="20" t="s">
        <v>64</v>
      </c>
      <c r="G2577" s="2" t="s">
        <v>5392</v>
      </c>
      <c r="H2577" s="16"/>
      <c r="I2577" s="20"/>
      <c r="J2577" s="20"/>
      <c r="K2577" s="20"/>
      <c r="L2577" s="20"/>
      <c r="M2577" s="20"/>
      <c r="N2577" s="20"/>
      <c r="O2577" s="20"/>
      <c r="P2577" s="20"/>
      <c r="Q2577" s="20"/>
      <c r="R2577" s="20"/>
      <c r="S2577" s="20"/>
      <c r="T2577" s="20"/>
      <c r="U2577" s="20"/>
      <c r="V2577" s="20"/>
      <c r="W2577" s="20"/>
      <c r="X2577" s="20"/>
      <c r="Y2577" s="20"/>
      <c r="Z2577" s="20"/>
      <c r="AA2577" s="20"/>
    </row>
    <row r="2578" spans="1:27" ht="121.8" x14ac:dyDescent="0.25">
      <c r="A2578" s="16"/>
      <c r="B2578" s="20" t="b">
        <v>0</v>
      </c>
      <c r="C2578" s="20">
        <v>200</v>
      </c>
      <c r="D2578" s="2" t="s">
        <v>5393</v>
      </c>
      <c r="E2578" s="2" t="s">
        <v>5345</v>
      </c>
      <c r="F2578" s="20" t="s">
        <v>64</v>
      </c>
      <c r="G2578" s="2" t="s">
        <v>5394</v>
      </c>
      <c r="H2578" s="16"/>
      <c r="I2578" s="20"/>
      <c r="J2578" s="20"/>
      <c r="K2578" s="20"/>
      <c r="L2578" s="20"/>
      <c r="M2578" s="20"/>
      <c r="N2578" s="20"/>
      <c r="O2578" s="20"/>
      <c r="P2578" s="20"/>
      <c r="Q2578" s="20"/>
      <c r="R2578" s="20"/>
      <c r="S2578" s="20"/>
      <c r="T2578" s="20"/>
      <c r="U2578" s="20"/>
      <c r="V2578" s="20"/>
      <c r="W2578" s="20"/>
      <c r="X2578" s="20"/>
      <c r="Y2578" s="20"/>
      <c r="Z2578" s="20"/>
      <c r="AA2578" s="20"/>
    </row>
    <row r="2579" spans="1:27" ht="121.8" x14ac:dyDescent="0.25">
      <c r="A2579" s="16"/>
      <c r="B2579" s="20" t="b">
        <v>0</v>
      </c>
      <c r="C2579" s="20">
        <v>200</v>
      </c>
      <c r="D2579" s="2" t="s">
        <v>5395</v>
      </c>
      <c r="E2579" s="2" t="s">
        <v>5345</v>
      </c>
      <c r="F2579" s="20" t="s">
        <v>64</v>
      </c>
      <c r="G2579" s="2" t="s">
        <v>5396</v>
      </c>
      <c r="H2579" s="16"/>
      <c r="I2579" s="20"/>
      <c r="J2579" s="20"/>
      <c r="K2579" s="20"/>
      <c r="L2579" s="20"/>
      <c r="M2579" s="20"/>
      <c r="N2579" s="20"/>
      <c r="O2579" s="20"/>
      <c r="P2579" s="20"/>
      <c r="Q2579" s="20"/>
      <c r="R2579" s="20"/>
      <c r="S2579" s="20"/>
      <c r="T2579" s="20"/>
      <c r="U2579" s="20"/>
      <c r="V2579" s="20"/>
      <c r="W2579" s="20"/>
      <c r="X2579" s="20"/>
      <c r="Y2579" s="20"/>
      <c r="Z2579" s="20"/>
      <c r="AA2579" s="20"/>
    </row>
    <row r="2580" spans="1:27" ht="121.8" x14ac:dyDescent="0.25">
      <c r="A2580" s="16"/>
      <c r="B2580" s="20" t="b">
        <v>0</v>
      </c>
      <c r="C2580" s="20">
        <v>200</v>
      </c>
      <c r="D2580" s="2" t="s">
        <v>5397</v>
      </c>
      <c r="E2580" s="2" t="s">
        <v>5345</v>
      </c>
      <c r="F2580" s="20" t="s">
        <v>64</v>
      </c>
      <c r="G2580" s="2" t="s">
        <v>5398</v>
      </c>
      <c r="H2580" s="16"/>
      <c r="I2580" s="20"/>
      <c r="J2580" s="20"/>
      <c r="K2580" s="20"/>
      <c r="L2580" s="20"/>
      <c r="M2580" s="20"/>
      <c r="N2580" s="20"/>
      <c r="O2580" s="20"/>
      <c r="P2580" s="20"/>
      <c r="Q2580" s="20"/>
      <c r="R2580" s="20"/>
      <c r="S2580" s="20"/>
      <c r="T2580" s="20"/>
      <c r="U2580" s="20"/>
      <c r="V2580" s="20"/>
      <c r="W2580" s="20"/>
      <c r="X2580" s="20"/>
      <c r="Y2580" s="20"/>
      <c r="Z2580" s="20"/>
      <c r="AA2580" s="20"/>
    </row>
    <row r="2581" spans="1:27" ht="104.4" x14ac:dyDescent="0.25">
      <c r="A2581" s="16"/>
      <c r="B2581" s="20" t="b">
        <v>0</v>
      </c>
      <c r="C2581" s="20">
        <v>200</v>
      </c>
      <c r="D2581" s="2" t="s">
        <v>5399</v>
      </c>
      <c r="E2581" s="2" t="s">
        <v>5345</v>
      </c>
      <c r="F2581" s="20" t="s">
        <v>64</v>
      </c>
      <c r="G2581" s="2" t="s">
        <v>5400</v>
      </c>
      <c r="H2581" s="16"/>
      <c r="I2581" s="20"/>
      <c r="J2581" s="20"/>
      <c r="K2581" s="20"/>
      <c r="L2581" s="20"/>
      <c r="M2581" s="20"/>
      <c r="N2581" s="20"/>
      <c r="O2581" s="20"/>
      <c r="P2581" s="20"/>
      <c r="Q2581" s="20"/>
      <c r="R2581" s="20"/>
      <c r="S2581" s="20"/>
      <c r="T2581" s="20"/>
      <c r="U2581" s="20"/>
      <c r="V2581" s="20"/>
      <c r="W2581" s="20"/>
      <c r="X2581" s="20"/>
      <c r="Y2581" s="20"/>
      <c r="Z2581" s="20"/>
      <c r="AA2581" s="20"/>
    </row>
    <row r="2582" spans="1:27" ht="87" x14ac:dyDescent="0.25">
      <c r="A2582" s="16"/>
      <c r="B2582" s="20" t="b">
        <v>0</v>
      </c>
      <c r="C2582" s="20">
        <v>200</v>
      </c>
      <c r="D2582" s="2" t="s">
        <v>5401</v>
      </c>
      <c r="E2582" s="2" t="s">
        <v>5345</v>
      </c>
      <c r="F2582" s="20" t="s">
        <v>64</v>
      </c>
      <c r="G2582" s="2" t="s">
        <v>5402</v>
      </c>
      <c r="H2582" s="16"/>
      <c r="I2582" s="20"/>
      <c r="J2582" s="20"/>
      <c r="K2582" s="20"/>
      <c r="L2582" s="20"/>
      <c r="M2582" s="20"/>
      <c r="N2582" s="20"/>
      <c r="O2582" s="20"/>
      <c r="P2582" s="20"/>
      <c r="Q2582" s="20"/>
      <c r="R2582" s="20"/>
      <c r="S2582" s="20"/>
      <c r="T2582" s="20"/>
      <c r="U2582" s="20"/>
      <c r="V2582" s="20"/>
      <c r="W2582" s="20"/>
      <c r="X2582" s="20"/>
      <c r="Y2582" s="20"/>
      <c r="Z2582" s="20"/>
      <c r="AA2582" s="20"/>
    </row>
    <row r="2583" spans="1:27" ht="104.4" x14ac:dyDescent="0.25">
      <c r="A2583" s="16"/>
      <c r="B2583" s="20" t="b">
        <v>0</v>
      </c>
      <c r="C2583" s="20">
        <v>200</v>
      </c>
      <c r="D2583" s="2" t="s">
        <v>5403</v>
      </c>
      <c r="E2583" s="2" t="s">
        <v>5345</v>
      </c>
      <c r="F2583" s="20" t="s">
        <v>64</v>
      </c>
      <c r="G2583" s="2" t="s">
        <v>5404</v>
      </c>
      <c r="H2583" s="16"/>
      <c r="I2583" s="20"/>
      <c r="J2583" s="20"/>
      <c r="K2583" s="20"/>
      <c r="L2583" s="20"/>
      <c r="M2583" s="20"/>
      <c r="N2583" s="20"/>
      <c r="O2583" s="20"/>
      <c r="P2583" s="20"/>
      <c r="Q2583" s="20"/>
      <c r="R2583" s="20"/>
      <c r="S2583" s="20"/>
      <c r="T2583" s="20"/>
      <c r="U2583" s="20"/>
      <c r="V2583" s="20"/>
      <c r="W2583" s="20"/>
      <c r="X2583" s="20"/>
      <c r="Y2583" s="20"/>
      <c r="Z2583" s="20"/>
      <c r="AA2583" s="20"/>
    </row>
    <row r="2584" spans="1:27" ht="104.4" x14ac:dyDescent="0.25">
      <c r="A2584" s="16"/>
      <c r="B2584" s="20" t="b">
        <v>0</v>
      </c>
      <c r="C2584" s="20">
        <v>200</v>
      </c>
      <c r="D2584" s="2" t="s">
        <v>5405</v>
      </c>
      <c r="E2584" s="2" t="s">
        <v>5345</v>
      </c>
      <c r="F2584" s="20" t="s">
        <v>64</v>
      </c>
      <c r="G2584" s="2" t="s">
        <v>5406</v>
      </c>
      <c r="H2584" s="16"/>
      <c r="I2584" s="20"/>
      <c r="J2584" s="20"/>
      <c r="K2584" s="20"/>
      <c r="L2584" s="20"/>
      <c r="M2584" s="20"/>
      <c r="N2584" s="20"/>
      <c r="O2584" s="20"/>
      <c r="P2584" s="20"/>
      <c r="Q2584" s="20"/>
      <c r="R2584" s="20"/>
      <c r="S2584" s="20"/>
      <c r="T2584" s="20"/>
      <c r="U2584" s="20"/>
      <c r="V2584" s="20"/>
      <c r="W2584" s="20"/>
      <c r="X2584" s="20"/>
      <c r="Y2584" s="20"/>
      <c r="Z2584" s="20"/>
      <c r="AA2584" s="20"/>
    </row>
    <row r="2585" spans="1:27" ht="87" x14ac:dyDescent="0.25">
      <c r="A2585" s="16"/>
      <c r="B2585" s="20" t="b">
        <v>0</v>
      </c>
      <c r="C2585" s="20">
        <v>200</v>
      </c>
      <c r="D2585" s="2" t="s">
        <v>5407</v>
      </c>
      <c r="E2585" s="2" t="s">
        <v>5345</v>
      </c>
      <c r="F2585" s="20" t="s">
        <v>64</v>
      </c>
      <c r="G2585" s="2" t="s">
        <v>5408</v>
      </c>
      <c r="H2585" s="16"/>
      <c r="I2585" s="20"/>
      <c r="J2585" s="20"/>
      <c r="K2585" s="20"/>
      <c r="L2585" s="20"/>
      <c r="M2585" s="20"/>
      <c r="N2585" s="20"/>
      <c r="O2585" s="20"/>
      <c r="P2585" s="20"/>
      <c r="Q2585" s="20"/>
      <c r="R2585" s="20"/>
      <c r="S2585" s="20"/>
      <c r="T2585" s="20"/>
      <c r="U2585" s="20"/>
      <c r="V2585" s="20"/>
      <c r="W2585" s="20"/>
      <c r="X2585" s="20"/>
      <c r="Y2585" s="20"/>
      <c r="Z2585" s="20"/>
      <c r="AA2585" s="20"/>
    </row>
    <row r="2586" spans="1:27" ht="87" x14ac:dyDescent="0.25">
      <c r="A2586" s="16"/>
      <c r="B2586" s="20" t="b">
        <v>0</v>
      </c>
      <c r="C2586" s="20">
        <v>200</v>
      </c>
      <c r="D2586" s="2" t="s">
        <v>5409</v>
      </c>
      <c r="E2586" s="2" t="s">
        <v>5345</v>
      </c>
      <c r="F2586" s="20" t="s">
        <v>64</v>
      </c>
      <c r="G2586" s="2" t="s">
        <v>5410</v>
      </c>
      <c r="H2586" s="16"/>
      <c r="I2586" s="20"/>
      <c r="J2586" s="20"/>
      <c r="K2586" s="20"/>
      <c r="L2586" s="20"/>
      <c r="M2586" s="20"/>
      <c r="N2586" s="20"/>
      <c r="O2586" s="20"/>
      <c r="P2586" s="20"/>
      <c r="Q2586" s="20"/>
      <c r="R2586" s="20"/>
      <c r="S2586" s="20"/>
      <c r="T2586" s="20"/>
      <c r="U2586" s="20"/>
      <c r="V2586" s="20"/>
      <c r="W2586" s="20"/>
      <c r="X2586" s="20"/>
      <c r="Y2586" s="20"/>
      <c r="Z2586" s="20"/>
      <c r="AA2586" s="20"/>
    </row>
    <row r="2587" spans="1:27" ht="104.4" x14ac:dyDescent="0.25">
      <c r="A2587" s="16"/>
      <c r="B2587" s="20" t="b">
        <v>0</v>
      </c>
      <c r="C2587" s="20">
        <v>200</v>
      </c>
      <c r="D2587" s="2" t="s">
        <v>5411</v>
      </c>
      <c r="E2587" s="2" t="s">
        <v>5345</v>
      </c>
      <c r="F2587" s="20" t="s">
        <v>64</v>
      </c>
      <c r="G2587" s="2" t="s">
        <v>5412</v>
      </c>
      <c r="H2587" s="16"/>
      <c r="I2587" s="20"/>
      <c r="J2587" s="20"/>
      <c r="K2587" s="20"/>
      <c r="L2587" s="20"/>
      <c r="M2587" s="20"/>
      <c r="N2587" s="20"/>
      <c r="O2587" s="20"/>
      <c r="P2587" s="20"/>
      <c r="Q2587" s="20"/>
      <c r="R2587" s="20"/>
      <c r="S2587" s="20"/>
      <c r="T2587" s="20"/>
      <c r="U2587" s="20"/>
      <c r="V2587" s="20"/>
      <c r="W2587" s="20"/>
      <c r="X2587" s="20"/>
      <c r="Y2587" s="20"/>
      <c r="Z2587" s="20"/>
      <c r="AA2587" s="20"/>
    </row>
    <row r="2588" spans="1:27" ht="139.19999999999999" x14ac:dyDescent="0.25">
      <c r="A2588" s="16"/>
      <c r="B2588" s="20" t="b">
        <v>0</v>
      </c>
      <c r="C2588" s="20">
        <v>200</v>
      </c>
      <c r="D2588" s="2" t="s">
        <v>5413</v>
      </c>
      <c r="E2588" s="2" t="s">
        <v>5345</v>
      </c>
      <c r="F2588" s="20" t="s">
        <v>64</v>
      </c>
      <c r="G2588" s="2" t="s">
        <v>5414</v>
      </c>
      <c r="H2588" s="16"/>
      <c r="I2588" s="20"/>
      <c r="J2588" s="20"/>
      <c r="K2588" s="20"/>
      <c r="L2588" s="20"/>
      <c r="M2588" s="20"/>
      <c r="N2588" s="20"/>
      <c r="O2588" s="20"/>
      <c r="P2588" s="20"/>
      <c r="Q2588" s="20"/>
      <c r="R2588" s="20"/>
      <c r="S2588" s="20"/>
      <c r="T2588" s="20"/>
      <c r="U2588" s="20"/>
      <c r="V2588" s="20"/>
      <c r="W2588" s="20"/>
      <c r="X2588" s="20"/>
      <c r="Y2588" s="20"/>
      <c r="Z2588" s="20"/>
      <c r="AA2588" s="20"/>
    </row>
    <row r="2589" spans="1:27" ht="121.8" x14ac:dyDescent="0.25">
      <c r="A2589" s="16"/>
      <c r="B2589" s="20" t="b">
        <v>0</v>
      </c>
      <c r="C2589" s="20">
        <v>200</v>
      </c>
      <c r="D2589" s="2" t="s">
        <v>5415</v>
      </c>
      <c r="E2589" s="2" t="s">
        <v>5345</v>
      </c>
      <c r="F2589" s="20" t="s">
        <v>64</v>
      </c>
      <c r="G2589" s="2" t="s">
        <v>5416</v>
      </c>
      <c r="H2589" s="16"/>
      <c r="I2589" s="20"/>
      <c r="J2589" s="20"/>
      <c r="K2589" s="20"/>
      <c r="L2589" s="20"/>
      <c r="M2589" s="20"/>
      <c r="N2589" s="20"/>
      <c r="O2589" s="20"/>
      <c r="P2589" s="20"/>
      <c r="Q2589" s="20"/>
      <c r="R2589" s="20"/>
      <c r="S2589" s="20"/>
      <c r="T2589" s="20"/>
      <c r="U2589" s="20"/>
      <c r="V2589" s="20"/>
      <c r="W2589" s="20"/>
      <c r="X2589" s="20"/>
      <c r="Y2589" s="20"/>
      <c r="Z2589" s="20"/>
      <c r="AA2589" s="20"/>
    </row>
    <row r="2590" spans="1:27" ht="121.8" x14ac:dyDescent="0.25">
      <c r="A2590" s="16"/>
      <c r="B2590" s="20" t="b">
        <v>0</v>
      </c>
      <c r="C2590" s="20">
        <v>200</v>
      </c>
      <c r="D2590" s="2" t="s">
        <v>5417</v>
      </c>
      <c r="E2590" s="2" t="s">
        <v>5345</v>
      </c>
      <c r="F2590" s="20" t="s">
        <v>64</v>
      </c>
      <c r="G2590" s="2" t="s">
        <v>5418</v>
      </c>
      <c r="H2590" s="16"/>
      <c r="I2590" s="20"/>
      <c r="J2590" s="20"/>
      <c r="K2590" s="20"/>
      <c r="L2590" s="20"/>
      <c r="M2590" s="20"/>
      <c r="N2590" s="20"/>
      <c r="O2590" s="20"/>
      <c r="P2590" s="20"/>
      <c r="Q2590" s="20"/>
      <c r="R2590" s="20"/>
      <c r="S2590" s="20"/>
      <c r="T2590" s="20"/>
      <c r="U2590" s="20"/>
      <c r="V2590" s="20"/>
      <c r="W2590" s="20"/>
      <c r="X2590" s="20"/>
      <c r="Y2590" s="20"/>
      <c r="Z2590" s="20"/>
      <c r="AA2590" s="20"/>
    </row>
    <row r="2591" spans="1:27" ht="139.19999999999999" x14ac:dyDescent="0.25">
      <c r="A2591" s="16"/>
      <c r="B2591" s="20" t="b">
        <v>0</v>
      </c>
      <c r="C2591" s="20">
        <v>200</v>
      </c>
      <c r="D2591" s="2" t="s">
        <v>5419</v>
      </c>
      <c r="E2591" s="2" t="s">
        <v>5345</v>
      </c>
      <c r="F2591" s="20" t="s">
        <v>64</v>
      </c>
      <c r="G2591" s="2" t="s">
        <v>5420</v>
      </c>
      <c r="H2591" s="16"/>
      <c r="I2591" s="20"/>
      <c r="J2591" s="20"/>
      <c r="K2591" s="20"/>
      <c r="L2591" s="20"/>
      <c r="M2591" s="20"/>
      <c r="N2591" s="20"/>
      <c r="O2591" s="20"/>
      <c r="P2591" s="20"/>
      <c r="Q2591" s="20"/>
      <c r="R2591" s="20"/>
      <c r="S2591" s="20"/>
      <c r="T2591" s="20"/>
      <c r="U2591" s="20"/>
      <c r="V2591" s="20"/>
      <c r="W2591" s="20"/>
      <c r="X2591" s="20"/>
      <c r="Y2591" s="20"/>
      <c r="Z2591" s="20"/>
      <c r="AA2591" s="20"/>
    </row>
    <row r="2592" spans="1:27" ht="104.4" x14ac:dyDescent="0.25">
      <c r="A2592" s="16"/>
      <c r="B2592" s="20" t="b">
        <v>0</v>
      </c>
      <c r="C2592" s="20">
        <v>0</v>
      </c>
      <c r="D2592" s="2" t="s">
        <v>5421</v>
      </c>
      <c r="E2592" s="2" t="s">
        <v>371</v>
      </c>
      <c r="F2592" s="20" t="s">
        <v>52</v>
      </c>
      <c r="G2592" s="2" t="s">
        <v>5422</v>
      </c>
      <c r="H2592" s="16"/>
      <c r="I2592" s="20"/>
      <c r="J2592" s="20"/>
      <c r="K2592" s="20"/>
      <c r="L2592" s="20"/>
      <c r="M2592" s="20"/>
      <c r="N2592" s="20"/>
      <c r="O2592" s="20"/>
      <c r="P2592" s="20"/>
      <c r="Q2592" s="20"/>
      <c r="R2592" s="20"/>
      <c r="S2592" s="20"/>
      <c r="T2592" s="20"/>
      <c r="U2592" s="20"/>
      <c r="V2592" s="20"/>
      <c r="W2592" s="20"/>
      <c r="X2592" s="20"/>
      <c r="Y2592" s="20"/>
      <c r="Z2592" s="20"/>
      <c r="AA2592" s="20"/>
    </row>
    <row r="2593" spans="1:27" ht="156.6" x14ac:dyDescent="0.25">
      <c r="A2593" s="16"/>
      <c r="B2593" s="20" t="b">
        <v>0</v>
      </c>
      <c r="C2593" s="20">
        <v>0</v>
      </c>
      <c r="D2593" s="2" t="s">
        <v>5423</v>
      </c>
      <c r="E2593" s="2" t="s">
        <v>371</v>
      </c>
      <c r="F2593" s="20" t="s">
        <v>52</v>
      </c>
      <c r="G2593" s="2" t="s">
        <v>5424</v>
      </c>
      <c r="H2593" s="16"/>
      <c r="I2593" s="20"/>
      <c r="J2593" s="20"/>
      <c r="K2593" s="20"/>
      <c r="L2593" s="20"/>
      <c r="M2593" s="20"/>
      <c r="N2593" s="20"/>
      <c r="O2593" s="20"/>
      <c r="P2593" s="20"/>
      <c r="Q2593" s="20"/>
      <c r="R2593" s="20"/>
      <c r="S2593" s="20"/>
      <c r="T2593" s="20"/>
      <c r="U2593" s="20"/>
      <c r="V2593" s="20"/>
      <c r="W2593" s="20"/>
      <c r="X2593" s="20"/>
      <c r="Y2593" s="20"/>
      <c r="Z2593" s="20"/>
      <c r="AA2593" s="20"/>
    </row>
    <row r="2594" spans="1:27" ht="382.8" x14ac:dyDescent="0.25">
      <c r="A2594" s="16"/>
      <c r="B2594" s="20" t="b">
        <v>0</v>
      </c>
      <c r="C2594" s="20" t="s">
        <v>5133</v>
      </c>
      <c r="D2594" s="2" t="s">
        <v>5425</v>
      </c>
      <c r="E2594" s="2" t="s">
        <v>371</v>
      </c>
      <c r="F2594" s="20" t="s">
        <v>52</v>
      </c>
      <c r="G2594" s="2" t="s">
        <v>5426</v>
      </c>
      <c r="H2594" s="16"/>
      <c r="I2594" s="20"/>
      <c r="J2594" s="20"/>
      <c r="K2594" s="20"/>
      <c r="L2594" s="20"/>
      <c r="M2594" s="20"/>
      <c r="N2594" s="20"/>
      <c r="O2594" s="20"/>
      <c r="P2594" s="20"/>
      <c r="Q2594" s="20"/>
      <c r="R2594" s="20"/>
      <c r="S2594" s="20"/>
      <c r="T2594" s="20"/>
      <c r="U2594" s="20"/>
      <c r="V2594" s="20"/>
      <c r="W2594" s="20"/>
      <c r="X2594" s="20"/>
      <c r="Y2594" s="20"/>
      <c r="Z2594" s="20"/>
      <c r="AA2594" s="20"/>
    </row>
    <row r="2595" spans="1:27" ht="226.2" x14ac:dyDescent="0.25">
      <c r="A2595" s="16"/>
      <c r="B2595" s="20" t="b">
        <v>0</v>
      </c>
      <c r="C2595" s="20" t="s">
        <v>5427</v>
      </c>
      <c r="D2595" s="2" t="s">
        <v>5428</v>
      </c>
      <c r="E2595" s="2" t="s">
        <v>371</v>
      </c>
      <c r="F2595" s="20" t="s">
        <v>52</v>
      </c>
      <c r="G2595" s="2" t="s">
        <v>5429</v>
      </c>
      <c r="H2595" s="16"/>
      <c r="I2595" s="20"/>
      <c r="J2595" s="20"/>
      <c r="K2595" s="20"/>
      <c r="L2595" s="20"/>
      <c r="M2595" s="20"/>
      <c r="N2595" s="20"/>
      <c r="O2595" s="20"/>
      <c r="P2595" s="20"/>
      <c r="Q2595" s="20"/>
      <c r="R2595" s="20"/>
      <c r="S2595" s="20"/>
      <c r="T2595" s="20"/>
      <c r="U2595" s="20"/>
      <c r="V2595" s="20"/>
      <c r="W2595" s="20"/>
      <c r="X2595" s="20"/>
      <c r="Y2595" s="20"/>
      <c r="Z2595" s="20"/>
      <c r="AA2595" s="20"/>
    </row>
    <row r="2596" spans="1:27" ht="409.6" x14ac:dyDescent="0.25">
      <c r="A2596" s="16"/>
      <c r="B2596" s="20" t="b">
        <v>0</v>
      </c>
      <c r="C2596" s="20">
        <v>400</v>
      </c>
      <c r="D2596" s="2" t="s">
        <v>5430</v>
      </c>
      <c r="E2596" s="2" t="s">
        <v>371</v>
      </c>
      <c r="F2596" s="20" t="s">
        <v>54</v>
      </c>
      <c r="G2596" s="2" t="s">
        <v>5431</v>
      </c>
      <c r="H2596" s="16"/>
      <c r="I2596" s="20"/>
      <c r="J2596" s="20"/>
      <c r="K2596" s="20"/>
      <c r="L2596" s="20"/>
      <c r="M2596" s="20"/>
      <c r="N2596" s="20"/>
      <c r="O2596" s="20"/>
      <c r="P2596" s="20"/>
      <c r="Q2596" s="20"/>
      <c r="R2596" s="20"/>
      <c r="S2596" s="20"/>
      <c r="T2596" s="20"/>
      <c r="U2596" s="20"/>
      <c r="V2596" s="20"/>
      <c r="W2596" s="20"/>
      <c r="X2596" s="20"/>
      <c r="Y2596" s="20"/>
      <c r="Z2596" s="20"/>
      <c r="AA2596" s="20"/>
    </row>
    <row r="2597" spans="1:27" ht="409.6" x14ac:dyDescent="0.25">
      <c r="A2597" s="16"/>
      <c r="B2597" s="20" t="b">
        <v>0</v>
      </c>
      <c r="C2597" s="20">
        <v>400</v>
      </c>
      <c r="D2597" s="2" t="s">
        <v>5432</v>
      </c>
      <c r="E2597" s="2" t="s">
        <v>371</v>
      </c>
      <c r="F2597" s="20" t="s">
        <v>63</v>
      </c>
      <c r="G2597" s="2" t="s">
        <v>5433</v>
      </c>
      <c r="H2597" s="16"/>
      <c r="I2597" s="20"/>
      <c r="J2597" s="20"/>
      <c r="K2597" s="20"/>
      <c r="L2597" s="20"/>
      <c r="M2597" s="20"/>
      <c r="N2597" s="20"/>
      <c r="O2597" s="20"/>
      <c r="P2597" s="20"/>
      <c r="Q2597" s="20"/>
      <c r="R2597" s="20"/>
      <c r="S2597" s="20"/>
      <c r="T2597" s="20"/>
      <c r="U2597" s="20"/>
      <c r="V2597" s="20"/>
      <c r="W2597" s="20"/>
      <c r="X2597" s="20"/>
      <c r="Y2597" s="20"/>
      <c r="Z2597" s="20"/>
      <c r="AA2597" s="20"/>
    </row>
    <row r="2598" spans="1:27" ht="409.6" x14ac:dyDescent="0.25">
      <c r="A2598" s="16"/>
      <c r="B2598" s="20" t="b">
        <v>0</v>
      </c>
      <c r="C2598" s="20">
        <v>600</v>
      </c>
      <c r="D2598" s="2" t="s">
        <v>5434</v>
      </c>
      <c r="E2598" s="2" t="s">
        <v>371</v>
      </c>
      <c r="F2598" s="20" t="s">
        <v>64</v>
      </c>
      <c r="G2598" s="2" t="s">
        <v>5435</v>
      </c>
      <c r="H2598" s="16"/>
      <c r="I2598" s="20"/>
      <c r="J2598" s="20"/>
      <c r="K2598" s="20"/>
      <c r="L2598" s="20"/>
      <c r="M2598" s="20"/>
      <c r="N2598" s="20"/>
      <c r="O2598" s="20"/>
      <c r="P2598" s="20"/>
      <c r="Q2598" s="20"/>
      <c r="R2598" s="20"/>
      <c r="S2598" s="20"/>
      <c r="T2598" s="20"/>
      <c r="U2598" s="20"/>
      <c r="V2598" s="20"/>
      <c r="W2598" s="20"/>
      <c r="X2598" s="20"/>
      <c r="Y2598" s="20"/>
      <c r="Z2598" s="20"/>
      <c r="AA2598" s="20"/>
    </row>
    <row r="2599" spans="1:27" ht="409.6" x14ac:dyDescent="0.25">
      <c r="A2599" s="16"/>
      <c r="B2599" s="20" t="b">
        <v>0</v>
      </c>
      <c r="C2599" s="20">
        <v>400</v>
      </c>
      <c r="D2599" s="2" t="s">
        <v>5436</v>
      </c>
      <c r="E2599" s="2" t="s">
        <v>371</v>
      </c>
      <c r="F2599" s="20" t="s">
        <v>53</v>
      </c>
      <c r="G2599" s="2" t="s">
        <v>5437</v>
      </c>
      <c r="H2599" s="16"/>
      <c r="I2599" s="20"/>
      <c r="J2599" s="20"/>
      <c r="K2599" s="20"/>
      <c r="L2599" s="20"/>
      <c r="M2599" s="20"/>
      <c r="N2599" s="20"/>
      <c r="O2599" s="20"/>
      <c r="P2599" s="20"/>
      <c r="Q2599" s="20"/>
      <c r="R2599" s="20"/>
      <c r="S2599" s="20"/>
      <c r="T2599" s="20"/>
      <c r="U2599" s="20"/>
      <c r="V2599" s="20"/>
      <c r="W2599" s="20"/>
      <c r="X2599" s="20"/>
      <c r="Y2599" s="20"/>
      <c r="Z2599" s="20"/>
      <c r="AA2599" s="20"/>
    </row>
    <row r="2600" spans="1:27" ht="295.8" x14ac:dyDescent="0.25">
      <c r="A2600" s="16"/>
      <c r="B2600" s="20" t="b">
        <v>0</v>
      </c>
      <c r="C2600" s="20">
        <v>100</v>
      </c>
      <c r="D2600" s="2" t="s">
        <v>5438</v>
      </c>
      <c r="E2600" s="2" t="s">
        <v>371</v>
      </c>
      <c r="F2600" s="20" t="s">
        <v>53</v>
      </c>
      <c r="G2600" s="2" t="s">
        <v>5439</v>
      </c>
      <c r="H2600" s="16"/>
      <c r="I2600" s="20"/>
      <c r="J2600" s="20"/>
      <c r="K2600" s="20"/>
      <c r="L2600" s="20"/>
      <c r="M2600" s="20"/>
      <c r="N2600" s="20"/>
      <c r="O2600" s="20"/>
      <c r="P2600" s="20"/>
      <c r="Q2600" s="20"/>
      <c r="R2600" s="20"/>
      <c r="S2600" s="20"/>
      <c r="T2600" s="20"/>
      <c r="U2600" s="20"/>
      <c r="V2600" s="20"/>
      <c r="W2600" s="20"/>
      <c r="X2600" s="20"/>
      <c r="Y2600" s="20"/>
      <c r="Z2600" s="20"/>
      <c r="AA2600" s="20"/>
    </row>
    <row r="2601" spans="1:27" ht="409.6" x14ac:dyDescent="0.25">
      <c r="A2601" s="16"/>
      <c r="B2601" s="20" t="b">
        <v>0</v>
      </c>
      <c r="C2601" s="20">
        <v>400</v>
      </c>
      <c r="D2601" s="2" t="s">
        <v>5440</v>
      </c>
      <c r="E2601" s="2" t="s">
        <v>371</v>
      </c>
      <c r="F2601" s="20" t="s">
        <v>54</v>
      </c>
      <c r="G2601" s="2" t="s">
        <v>5441</v>
      </c>
      <c r="H2601" s="16"/>
      <c r="I2601" s="20"/>
      <c r="J2601" s="20"/>
      <c r="K2601" s="20"/>
      <c r="L2601" s="20"/>
      <c r="M2601" s="20"/>
      <c r="N2601" s="20"/>
      <c r="O2601" s="20"/>
      <c r="P2601" s="20"/>
      <c r="Q2601" s="20"/>
      <c r="R2601" s="20"/>
      <c r="S2601" s="20"/>
      <c r="T2601" s="20"/>
      <c r="U2601" s="20"/>
      <c r="V2601" s="20"/>
      <c r="W2601" s="20"/>
      <c r="X2601" s="20"/>
      <c r="Y2601" s="20"/>
      <c r="Z2601" s="20"/>
      <c r="AA2601" s="20"/>
    </row>
    <row r="2602" spans="1:27" ht="409.6" x14ac:dyDescent="0.25">
      <c r="A2602" s="16"/>
      <c r="B2602" s="20" t="b">
        <v>0</v>
      </c>
      <c r="C2602" s="20">
        <v>600</v>
      </c>
      <c r="D2602" s="2" t="s">
        <v>5442</v>
      </c>
      <c r="E2602" s="2" t="s">
        <v>371</v>
      </c>
      <c r="F2602" s="20" t="s">
        <v>64</v>
      </c>
      <c r="G2602" s="2" t="s">
        <v>5443</v>
      </c>
      <c r="H2602" s="16"/>
      <c r="I2602" s="20"/>
      <c r="J2602" s="20"/>
      <c r="K2602" s="20"/>
      <c r="L2602" s="20"/>
      <c r="M2602" s="20"/>
      <c r="N2602" s="20"/>
      <c r="O2602" s="20"/>
      <c r="P2602" s="20"/>
      <c r="Q2602" s="20"/>
      <c r="R2602" s="20"/>
      <c r="S2602" s="20"/>
      <c r="T2602" s="20"/>
      <c r="U2602" s="20"/>
      <c r="V2602" s="20"/>
      <c r="W2602" s="20"/>
      <c r="X2602" s="20"/>
      <c r="Y2602" s="20"/>
      <c r="Z2602" s="20"/>
      <c r="AA2602" s="20"/>
    </row>
    <row r="2603" spans="1:27" ht="409.6" x14ac:dyDescent="0.25">
      <c r="A2603" s="16"/>
      <c r="B2603" s="20" t="b">
        <v>0</v>
      </c>
      <c r="C2603" s="20">
        <v>400</v>
      </c>
      <c r="D2603" s="2" t="s">
        <v>5444</v>
      </c>
      <c r="E2603" s="2" t="s">
        <v>371</v>
      </c>
      <c r="F2603" s="20" t="s">
        <v>58</v>
      </c>
      <c r="G2603" s="2" t="s">
        <v>5445</v>
      </c>
      <c r="H2603" s="16"/>
      <c r="I2603" s="20"/>
      <c r="J2603" s="20"/>
      <c r="K2603" s="20"/>
      <c r="L2603" s="20"/>
      <c r="M2603" s="20"/>
      <c r="N2603" s="20"/>
      <c r="O2603" s="20"/>
      <c r="P2603" s="20"/>
      <c r="Q2603" s="20"/>
      <c r="R2603" s="20"/>
      <c r="S2603" s="20"/>
      <c r="T2603" s="20"/>
      <c r="U2603" s="20"/>
      <c r="V2603" s="20"/>
      <c r="W2603" s="20"/>
      <c r="X2603" s="20"/>
      <c r="Y2603" s="20"/>
      <c r="Z2603" s="20"/>
      <c r="AA2603" s="20"/>
    </row>
    <row r="2604" spans="1:27" ht="409.6" x14ac:dyDescent="0.25">
      <c r="A2604" s="16"/>
      <c r="B2604" s="20" t="b">
        <v>0</v>
      </c>
      <c r="C2604" s="20">
        <v>600</v>
      </c>
      <c r="D2604" s="2" t="s">
        <v>5446</v>
      </c>
      <c r="E2604" s="2" t="s">
        <v>371</v>
      </c>
      <c r="F2604" s="20" t="s">
        <v>59</v>
      </c>
      <c r="G2604" s="2" t="s">
        <v>5447</v>
      </c>
      <c r="H2604" s="16"/>
      <c r="I2604" s="20"/>
      <c r="J2604" s="20"/>
      <c r="K2604" s="20"/>
      <c r="L2604" s="20"/>
      <c r="M2604" s="20"/>
      <c r="N2604" s="20"/>
      <c r="O2604" s="20"/>
      <c r="P2604" s="20"/>
      <c r="Q2604" s="20"/>
      <c r="R2604" s="20"/>
      <c r="S2604" s="20"/>
      <c r="T2604" s="20"/>
      <c r="U2604" s="20"/>
      <c r="V2604" s="20"/>
      <c r="W2604" s="20"/>
      <c r="X2604" s="20"/>
      <c r="Y2604" s="20"/>
      <c r="Z2604" s="20"/>
      <c r="AA2604" s="20"/>
    </row>
    <row r="2605" spans="1:27" ht="409.6" x14ac:dyDescent="0.25">
      <c r="A2605" s="16"/>
      <c r="B2605" s="20" t="b">
        <v>0</v>
      </c>
      <c r="C2605" s="20">
        <v>600</v>
      </c>
      <c r="D2605" s="2" t="s">
        <v>5448</v>
      </c>
      <c r="E2605" s="2" t="s">
        <v>371</v>
      </c>
      <c r="F2605" s="20" t="s">
        <v>61</v>
      </c>
      <c r="G2605" s="2" t="s">
        <v>5449</v>
      </c>
      <c r="H2605" s="16"/>
      <c r="I2605" s="20"/>
      <c r="J2605" s="20"/>
      <c r="K2605" s="20"/>
      <c r="L2605" s="20"/>
      <c r="M2605" s="20"/>
      <c r="N2605" s="20"/>
      <c r="O2605" s="20"/>
      <c r="P2605" s="20"/>
      <c r="Q2605" s="20"/>
      <c r="R2605" s="20"/>
      <c r="S2605" s="20"/>
      <c r="T2605" s="20"/>
      <c r="U2605" s="20"/>
      <c r="V2605" s="20"/>
      <c r="W2605" s="20"/>
      <c r="X2605" s="20"/>
      <c r="Y2605" s="20"/>
      <c r="Z2605" s="20"/>
      <c r="AA2605" s="20"/>
    </row>
    <row r="2606" spans="1:27" ht="409.6" x14ac:dyDescent="0.25">
      <c r="A2606" s="16"/>
      <c r="B2606" s="20" t="b">
        <v>0</v>
      </c>
      <c r="C2606" s="20">
        <v>600</v>
      </c>
      <c r="D2606" s="2" t="s">
        <v>5450</v>
      </c>
      <c r="E2606" s="2" t="s">
        <v>371</v>
      </c>
      <c r="F2606" s="20" t="s">
        <v>64</v>
      </c>
      <c r="G2606" s="2" t="s">
        <v>5451</v>
      </c>
      <c r="H2606" s="16"/>
      <c r="I2606" s="20"/>
      <c r="J2606" s="20"/>
      <c r="K2606" s="20"/>
      <c r="L2606" s="20"/>
      <c r="M2606" s="20"/>
      <c r="N2606" s="20"/>
      <c r="O2606" s="20"/>
      <c r="P2606" s="20"/>
      <c r="Q2606" s="20"/>
      <c r="R2606" s="20"/>
      <c r="S2606" s="20"/>
      <c r="T2606" s="20"/>
      <c r="U2606" s="20"/>
      <c r="V2606" s="20"/>
      <c r="W2606" s="20"/>
      <c r="X2606" s="20"/>
      <c r="Y2606" s="20"/>
      <c r="Z2606" s="20"/>
      <c r="AA2606" s="20"/>
    </row>
    <row r="2607" spans="1:27" ht="409.6" x14ac:dyDescent="0.25">
      <c r="A2607" s="16"/>
      <c r="B2607" s="20" t="b">
        <v>0</v>
      </c>
      <c r="C2607" s="20">
        <v>600</v>
      </c>
      <c r="D2607" s="2" t="s">
        <v>5452</v>
      </c>
      <c r="E2607" s="2" t="s">
        <v>371</v>
      </c>
      <c r="F2607" s="20" t="s">
        <v>58</v>
      </c>
      <c r="G2607" s="2" t="s">
        <v>5453</v>
      </c>
      <c r="H2607" s="16"/>
      <c r="I2607" s="20"/>
      <c r="J2607" s="20"/>
      <c r="K2607" s="20"/>
      <c r="L2607" s="20"/>
      <c r="M2607" s="20"/>
      <c r="N2607" s="20"/>
      <c r="O2607" s="20"/>
      <c r="P2607" s="20"/>
      <c r="Q2607" s="20"/>
      <c r="R2607" s="20"/>
      <c r="S2607" s="20"/>
      <c r="T2607" s="20"/>
      <c r="U2607" s="20"/>
      <c r="V2607" s="20"/>
      <c r="W2607" s="20"/>
      <c r="X2607" s="20"/>
      <c r="Y2607" s="20"/>
      <c r="Z2607" s="20"/>
      <c r="AA2607" s="20"/>
    </row>
    <row r="2608" spans="1:27" ht="69.599999999999994" x14ac:dyDescent="0.25">
      <c r="A2608" s="16"/>
      <c r="B2608" s="20" t="b">
        <v>0</v>
      </c>
      <c r="C2608" s="20">
        <v>100</v>
      </c>
      <c r="D2608" s="2" t="s">
        <v>5454</v>
      </c>
      <c r="E2608" s="2" t="s">
        <v>5455</v>
      </c>
      <c r="F2608" s="20" t="s">
        <v>61</v>
      </c>
      <c r="G2608" s="2" t="s">
        <v>5456</v>
      </c>
      <c r="H2608" s="16"/>
      <c r="I2608" s="20"/>
      <c r="J2608" s="20"/>
      <c r="K2608" s="20"/>
      <c r="L2608" s="20"/>
      <c r="M2608" s="20"/>
      <c r="N2608" s="20"/>
      <c r="O2608" s="20"/>
      <c r="P2608" s="20"/>
      <c r="Q2608" s="20"/>
      <c r="R2608" s="20"/>
      <c r="S2608" s="20"/>
      <c r="T2608" s="20"/>
      <c r="U2608" s="20"/>
      <c r="V2608" s="20"/>
      <c r="W2608" s="20"/>
      <c r="X2608" s="20"/>
      <c r="Y2608" s="20"/>
      <c r="Z2608" s="20"/>
      <c r="AA2608" s="20"/>
    </row>
    <row r="2609" spans="1:27" ht="52.2" x14ac:dyDescent="0.25">
      <c r="A2609" s="16"/>
      <c r="B2609" s="20" t="b">
        <v>0</v>
      </c>
      <c r="C2609" s="20">
        <v>200</v>
      </c>
      <c r="D2609" s="2" t="s">
        <v>5457</v>
      </c>
      <c r="E2609" s="2" t="s">
        <v>5455</v>
      </c>
      <c r="F2609" s="20" t="s">
        <v>62</v>
      </c>
      <c r="G2609" s="2" t="s">
        <v>5458</v>
      </c>
      <c r="H2609" s="16"/>
      <c r="I2609" s="20"/>
      <c r="J2609" s="20"/>
      <c r="K2609" s="20"/>
      <c r="L2609" s="20"/>
      <c r="M2609" s="20"/>
      <c r="N2609" s="20"/>
      <c r="O2609" s="20"/>
      <c r="P2609" s="20"/>
      <c r="Q2609" s="20"/>
      <c r="R2609" s="20"/>
      <c r="S2609" s="20"/>
      <c r="T2609" s="20"/>
      <c r="U2609" s="20"/>
      <c r="V2609" s="20"/>
      <c r="W2609" s="20"/>
      <c r="X2609" s="20"/>
      <c r="Y2609" s="20"/>
      <c r="Z2609" s="20"/>
      <c r="AA2609" s="20"/>
    </row>
    <row r="2610" spans="1:27" ht="69.599999999999994" x14ac:dyDescent="0.25">
      <c r="A2610" s="16"/>
      <c r="B2610" s="20" t="b">
        <v>0</v>
      </c>
      <c r="C2610" s="20">
        <v>200</v>
      </c>
      <c r="D2610" s="2" t="s">
        <v>5459</v>
      </c>
      <c r="E2610" s="2" t="s">
        <v>5455</v>
      </c>
      <c r="F2610" s="20" t="s">
        <v>53</v>
      </c>
      <c r="G2610" s="2" t="s">
        <v>5460</v>
      </c>
      <c r="H2610" s="16"/>
      <c r="I2610" s="20"/>
      <c r="J2610" s="20"/>
      <c r="K2610" s="20"/>
      <c r="L2610" s="20"/>
      <c r="M2610" s="20"/>
      <c r="N2610" s="20"/>
      <c r="O2610" s="20"/>
      <c r="P2610" s="20"/>
      <c r="Q2610" s="20"/>
      <c r="R2610" s="20"/>
      <c r="S2610" s="20"/>
      <c r="T2610" s="20"/>
      <c r="U2610" s="20"/>
      <c r="V2610" s="20"/>
      <c r="W2610" s="20"/>
      <c r="X2610" s="20"/>
      <c r="Y2610" s="20"/>
      <c r="Z2610" s="20"/>
      <c r="AA2610" s="20"/>
    </row>
    <row r="2611" spans="1:27" ht="34.799999999999997" x14ac:dyDescent="0.25">
      <c r="A2611" s="16"/>
      <c r="B2611" s="20" t="b">
        <v>0</v>
      </c>
      <c r="C2611" s="20">
        <v>200</v>
      </c>
      <c r="D2611" s="2" t="s">
        <v>5461</v>
      </c>
      <c r="E2611" s="2" t="s">
        <v>5455</v>
      </c>
      <c r="F2611" s="20" t="s">
        <v>55</v>
      </c>
      <c r="G2611" s="2" t="s">
        <v>5462</v>
      </c>
      <c r="H2611" s="16"/>
      <c r="I2611" s="20"/>
      <c r="J2611" s="20"/>
      <c r="K2611" s="20"/>
      <c r="L2611" s="20"/>
      <c r="M2611" s="20"/>
      <c r="N2611" s="20"/>
      <c r="O2611" s="20"/>
      <c r="P2611" s="20"/>
      <c r="Q2611" s="20"/>
      <c r="R2611" s="20"/>
      <c r="S2611" s="20"/>
      <c r="T2611" s="20"/>
      <c r="U2611" s="20"/>
      <c r="V2611" s="20"/>
      <c r="W2611" s="20"/>
      <c r="X2611" s="20"/>
      <c r="Y2611" s="20"/>
      <c r="Z2611" s="20"/>
      <c r="AA2611" s="20"/>
    </row>
    <row r="2612" spans="1:27" ht="34.799999999999997" x14ac:dyDescent="0.25">
      <c r="A2612" s="16"/>
      <c r="B2612" s="20" t="b">
        <v>0</v>
      </c>
      <c r="C2612" s="20">
        <v>400</v>
      </c>
      <c r="D2612" s="2" t="s">
        <v>5463</v>
      </c>
      <c r="E2612" s="2" t="s">
        <v>5455</v>
      </c>
      <c r="F2612" s="20" t="s">
        <v>64</v>
      </c>
      <c r="G2612" s="2" t="s">
        <v>5464</v>
      </c>
      <c r="H2612" s="16"/>
      <c r="I2612" s="20"/>
      <c r="J2612" s="20"/>
      <c r="K2612" s="20"/>
      <c r="L2612" s="20"/>
      <c r="M2612" s="20"/>
      <c r="N2612" s="20"/>
      <c r="O2612" s="20"/>
      <c r="P2612" s="20"/>
      <c r="Q2612" s="20"/>
      <c r="R2612" s="20"/>
      <c r="S2612" s="20"/>
      <c r="T2612" s="20"/>
      <c r="U2612" s="20"/>
      <c r="V2612" s="20"/>
      <c r="W2612" s="20"/>
      <c r="X2612" s="20"/>
      <c r="Y2612" s="20"/>
      <c r="Z2612" s="20"/>
      <c r="AA2612" s="20"/>
    </row>
    <row r="2613" spans="1:27" ht="87" x14ac:dyDescent="0.25">
      <c r="A2613" s="16"/>
      <c r="B2613" s="20" t="b">
        <v>0</v>
      </c>
      <c r="C2613" s="20">
        <v>600</v>
      </c>
      <c r="D2613" s="2" t="s">
        <v>5465</v>
      </c>
      <c r="E2613" s="2" t="s">
        <v>5455</v>
      </c>
      <c r="F2613" s="20" t="s">
        <v>63</v>
      </c>
      <c r="G2613" s="2" t="s">
        <v>5466</v>
      </c>
      <c r="H2613" s="16"/>
      <c r="I2613" s="20"/>
      <c r="J2613" s="20"/>
      <c r="K2613" s="20"/>
      <c r="L2613" s="20"/>
      <c r="M2613" s="20"/>
      <c r="N2613" s="20"/>
      <c r="O2613" s="20"/>
      <c r="P2613" s="20"/>
      <c r="Q2613" s="20"/>
      <c r="R2613" s="20"/>
      <c r="S2613" s="20"/>
      <c r="T2613" s="20"/>
      <c r="U2613" s="20"/>
      <c r="V2613" s="20"/>
      <c r="W2613" s="20"/>
      <c r="X2613" s="20"/>
      <c r="Y2613" s="20"/>
      <c r="Z2613" s="20"/>
      <c r="AA2613" s="20"/>
    </row>
    <row r="2614" spans="1:27" ht="52.2" x14ac:dyDescent="0.25">
      <c r="A2614" s="16"/>
      <c r="B2614" s="20" t="b">
        <v>0</v>
      </c>
      <c r="C2614" s="20">
        <v>100</v>
      </c>
      <c r="D2614" s="2" t="s">
        <v>5467</v>
      </c>
      <c r="E2614" s="2" t="s">
        <v>5455</v>
      </c>
      <c r="F2614" s="20" t="s">
        <v>63</v>
      </c>
      <c r="G2614" s="2" t="s">
        <v>5468</v>
      </c>
      <c r="H2614" s="16"/>
      <c r="I2614" s="20"/>
      <c r="J2614" s="20"/>
      <c r="K2614" s="20"/>
      <c r="L2614" s="20"/>
      <c r="M2614" s="20"/>
      <c r="N2614" s="20"/>
      <c r="O2614" s="20"/>
      <c r="P2614" s="20"/>
      <c r="Q2614" s="20"/>
      <c r="R2614" s="20"/>
      <c r="S2614" s="20"/>
      <c r="T2614" s="20"/>
      <c r="U2614" s="20"/>
      <c r="V2614" s="20"/>
      <c r="W2614" s="20"/>
      <c r="X2614" s="20"/>
      <c r="Y2614" s="20"/>
      <c r="Z2614" s="20"/>
      <c r="AA2614" s="20"/>
    </row>
    <row r="2615" spans="1:27" ht="69.599999999999994" x14ac:dyDescent="0.25">
      <c r="A2615" s="16"/>
      <c r="B2615" s="20" t="b">
        <v>0</v>
      </c>
      <c r="C2615" s="20">
        <v>200</v>
      </c>
      <c r="D2615" s="2" t="s">
        <v>5469</v>
      </c>
      <c r="E2615" s="2" t="s">
        <v>5455</v>
      </c>
      <c r="F2615" s="20" t="s">
        <v>56</v>
      </c>
      <c r="G2615" s="2" t="s">
        <v>5470</v>
      </c>
      <c r="H2615" s="16"/>
      <c r="I2615" s="20"/>
      <c r="J2615" s="20"/>
      <c r="K2615" s="20"/>
      <c r="L2615" s="20"/>
      <c r="M2615" s="20"/>
      <c r="N2615" s="20"/>
      <c r="O2615" s="20"/>
      <c r="P2615" s="20"/>
      <c r="Q2615" s="20"/>
      <c r="R2615" s="20"/>
      <c r="S2615" s="20"/>
      <c r="T2615" s="20"/>
      <c r="U2615" s="20"/>
      <c r="V2615" s="20"/>
      <c r="W2615" s="20"/>
      <c r="X2615" s="20"/>
      <c r="Y2615" s="20"/>
      <c r="Z2615" s="20"/>
      <c r="AA2615" s="20"/>
    </row>
    <row r="2616" spans="1:27" ht="174" x14ac:dyDescent="0.25">
      <c r="A2616" s="16"/>
      <c r="B2616" s="20" t="b">
        <v>0</v>
      </c>
      <c r="C2616" s="20" t="s">
        <v>5471</v>
      </c>
      <c r="D2616" s="2" t="s">
        <v>5472</v>
      </c>
      <c r="E2616" s="2" t="s">
        <v>5455</v>
      </c>
      <c r="F2616" s="20" t="s">
        <v>56</v>
      </c>
      <c r="G2616" s="2" t="s">
        <v>5473</v>
      </c>
      <c r="H2616" s="16"/>
      <c r="I2616" s="20"/>
      <c r="J2616" s="20"/>
      <c r="K2616" s="20"/>
      <c r="L2616" s="20"/>
      <c r="M2616" s="20"/>
      <c r="N2616" s="20"/>
      <c r="O2616" s="20"/>
      <c r="P2616" s="20"/>
      <c r="Q2616" s="20"/>
      <c r="R2616" s="20"/>
      <c r="S2616" s="20"/>
      <c r="T2616" s="20"/>
      <c r="U2616" s="20"/>
      <c r="V2616" s="20"/>
      <c r="W2616" s="20"/>
      <c r="X2616" s="20"/>
      <c r="Y2616" s="20"/>
      <c r="Z2616" s="20"/>
      <c r="AA2616" s="20"/>
    </row>
    <row r="2617" spans="1:27" ht="87" x14ac:dyDescent="0.25">
      <c r="A2617" s="16"/>
      <c r="B2617" s="20" t="b">
        <v>0</v>
      </c>
      <c r="C2617" s="20">
        <v>600</v>
      </c>
      <c r="D2617" s="2" t="s">
        <v>5474</v>
      </c>
      <c r="E2617" s="2" t="s">
        <v>5455</v>
      </c>
      <c r="F2617" s="20" t="s">
        <v>63</v>
      </c>
      <c r="G2617" s="2" t="s">
        <v>5475</v>
      </c>
      <c r="H2617" s="16"/>
      <c r="I2617" s="20"/>
      <c r="J2617" s="20"/>
      <c r="K2617" s="20"/>
      <c r="L2617" s="20"/>
      <c r="M2617" s="20"/>
      <c r="N2617" s="20"/>
      <c r="O2617" s="20"/>
      <c r="P2617" s="20"/>
      <c r="Q2617" s="20"/>
      <c r="R2617" s="20"/>
      <c r="S2617" s="20"/>
      <c r="T2617" s="20"/>
      <c r="U2617" s="20"/>
      <c r="V2617" s="20"/>
      <c r="W2617" s="20"/>
      <c r="X2617" s="20"/>
      <c r="Y2617" s="20"/>
      <c r="Z2617" s="20"/>
      <c r="AA2617" s="20"/>
    </row>
    <row r="2618" spans="1:27" ht="52.2" x14ac:dyDescent="0.25">
      <c r="A2618" s="16"/>
      <c r="B2618" s="20" t="b">
        <v>0</v>
      </c>
      <c r="C2618" s="20">
        <v>0</v>
      </c>
      <c r="D2618" s="2" t="s">
        <v>5476</v>
      </c>
      <c r="E2618" s="2" t="s">
        <v>5455</v>
      </c>
      <c r="F2618" s="20" t="s">
        <v>59</v>
      </c>
      <c r="G2618" s="2" t="s">
        <v>5477</v>
      </c>
      <c r="H2618" s="16"/>
      <c r="I2618" s="20"/>
      <c r="J2618" s="20"/>
      <c r="K2618" s="20"/>
      <c r="L2618" s="20"/>
      <c r="M2618" s="20"/>
      <c r="N2618" s="20"/>
      <c r="O2618" s="20"/>
      <c r="P2618" s="20"/>
      <c r="Q2618" s="20"/>
      <c r="R2618" s="20"/>
      <c r="S2618" s="20"/>
      <c r="T2618" s="20"/>
      <c r="U2618" s="20"/>
      <c r="V2618" s="20"/>
      <c r="W2618" s="20"/>
      <c r="X2618" s="20"/>
      <c r="Y2618" s="20"/>
      <c r="Z2618" s="20"/>
      <c r="AA2618" s="20"/>
    </row>
    <row r="2619" spans="1:27" ht="104.4" x14ac:dyDescent="0.25">
      <c r="A2619" s="16"/>
      <c r="B2619" s="20" t="b">
        <v>0</v>
      </c>
      <c r="C2619" s="20">
        <v>100</v>
      </c>
      <c r="D2619" s="2" t="s">
        <v>5478</v>
      </c>
      <c r="E2619" s="2" t="s">
        <v>5455</v>
      </c>
      <c r="F2619" s="20" t="s">
        <v>59</v>
      </c>
      <c r="G2619" s="2" t="s">
        <v>5479</v>
      </c>
      <c r="H2619" s="16"/>
      <c r="I2619" s="20"/>
      <c r="J2619" s="20"/>
      <c r="K2619" s="20"/>
      <c r="L2619" s="20"/>
      <c r="M2619" s="20"/>
      <c r="N2619" s="20"/>
      <c r="O2619" s="20"/>
      <c r="P2619" s="20"/>
      <c r="Q2619" s="20"/>
      <c r="R2619" s="20"/>
      <c r="S2619" s="20"/>
      <c r="T2619" s="20"/>
      <c r="U2619" s="20"/>
      <c r="V2619" s="20"/>
      <c r="W2619" s="20"/>
      <c r="X2619" s="20"/>
      <c r="Y2619" s="20"/>
      <c r="Z2619" s="20"/>
      <c r="AA2619" s="20"/>
    </row>
    <row r="2620" spans="1:27" ht="34.799999999999997" x14ac:dyDescent="0.25">
      <c r="A2620" s="16"/>
      <c r="B2620" s="20" t="b">
        <v>0</v>
      </c>
      <c r="C2620" s="20">
        <v>200</v>
      </c>
      <c r="D2620" s="2" t="s">
        <v>5480</v>
      </c>
      <c r="E2620" s="2" t="s">
        <v>5455</v>
      </c>
      <c r="F2620" s="20" t="s">
        <v>59</v>
      </c>
      <c r="G2620" s="2" t="s">
        <v>5481</v>
      </c>
      <c r="H2620" s="16"/>
      <c r="I2620" s="20"/>
      <c r="J2620" s="20"/>
      <c r="K2620" s="20"/>
      <c r="L2620" s="20"/>
      <c r="M2620" s="20"/>
      <c r="N2620" s="20"/>
      <c r="O2620" s="20"/>
      <c r="P2620" s="20"/>
      <c r="Q2620" s="20"/>
      <c r="R2620" s="20"/>
      <c r="S2620" s="20"/>
      <c r="T2620" s="20"/>
      <c r="U2620" s="20"/>
      <c r="V2620" s="20"/>
      <c r="W2620" s="20"/>
      <c r="X2620" s="20"/>
      <c r="Y2620" s="20"/>
      <c r="Z2620" s="20"/>
      <c r="AA2620" s="20"/>
    </row>
    <row r="2621" spans="1:27" ht="69.599999999999994" x14ac:dyDescent="0.25">
      <c r="A2621" s="16"/>
      <c r="B2621" s="20" t="b">
        <v>0</v>
      </c>
      <c r="C2621" s="20">
        <v>400</v>
      </c>
      <c r="D2621" s="2" t="s">
        <v>5482</v>
      </c>
      <c r="E2621" s="2" t="s">
        <v>5455</v>
      </c>
      <c r="F2621" s="20" t="s">
        <v>64</v>
      </c>
      <c r="G2621" s="2" t="s">
        <v>5483</v>
      </c>
      <c r="H2621" s="16"/>
      <c r="I2621" s="20"/>
      <c r="J2621" s="20"/>
      <c r="K2621" s="20"/>
      <c r="L2621" s="20"/>
      <c r="M2621" s="20"/>
      <c r="N2621" s="20"/>
      <c r="O2621" s="20"/>
      <c r="P2621" s="20"/>
      <c r="Q2621" s="20"/>
      <c r="R2621" s="20"/>
      <c r="S2621" s="20"/>
      <c r="T2621" s="20"/>
      <c r="U2621" s="20"/>
      <c r="V2621" s="20"/>
      <c r="W2621" s="20"/>
      <c r="X2621" s="20"/>
      <c r="Y2621" s="20"/>
      <c r="Z2621" s="20"/>
      <c r="AA2621" s="20"/>
    </row>
    <row r="2622" spans="1:27" ht="104.4" x14ac:dyDescent="0.25">
      <c r="A2622" s="16"/>
      <c r="B2622" s="20" t="b">
        <v>0</v>
      </c>
      <c r="C2622" s="20">
        <v>600</v>
      </c>
      <c r="D2622" s="2" t="s">
        <v>5484</v>
      </c>
      <c r="E2622" s="2" t="s">
        <v>5455</v>
      </c>
      <c r="F2622" s="20" t="s">
        <v>59</v>
      </c>
      <c r="G2622" s="2" t="s">
        <v>5485</v>
      </c>
      <c r="H2622" s="16"/>
      <c r="I2622" s="20"/>
      <c r="J2622" s="20"/>
      <c r="K2622" s="20"/>
      <c r="L2622" s="20"/>
      <c r="M2622" s="20"/>
      <c r="N2622" s="20"/>
      <c r="O2622" s="20"/>
      <c r="P2622" s="20"/>
      <c r="Q2622" s="20"/>
      <c r="R2622" s="20"/>
      <c r="S2622" s="20"/>
      <c r="T2622" s="20"/>
      <c r="U2622" s="20"/>
      <c r="V2622" s="20"/>
      <c r="W2622" s="20"/>
      <c r="X2622" s="20"/>
      <c r="Y2622" s="20"/>
      <c r="Z2622" s="20"/>
      <c r="AA2622" s="20"/>
    </row>
    <row r="2623" spans="1:27" ht="174" x14ac:dyDescent="0.25">
      <c r="A2623" s="16"/>
      <c r="B2623" s="20" t="b">
        <v>0</v>
      </c>
      <c r="C2623" s="20">
        <v>600</v>
      </c>
      <c r="D2623" s="2" t="s">
        <v>5486</v>
      </c>
      <c r="E2623" s="2" t="s">
        <v>5455</v>
      </c>
      <c r="F2623" s="20" t="s">
        <v>58</v>
      </c>
      <c r="G2623" s="2" t="s">
        <v>5487</v>
      </c>
      <c r="H2623" s="16"/>
      <c r="I2623" s="20"/>
      <c r="J2623" s="20"/>
      <c r="K2623" s="20"/>
      <c r="L2623" s="20"/>
      <c r="M2623" s="20"/>
      <c r="N2623" s="20"/>
      <c r="O2623" s="20"/>
      <c r="P2623" s="20"/>
      <c r="Q2623" s="20"/>
      <c r="R2623" s="20"/>
      <c r="S2623" s="20"/>
      <c r="T2623" s="20"/>
      <c r="U2623" s="20"/>
      <c r="V2623" s="20"/>
      <c r="W2623" s="20"/>
      <c r="X2623" s="20"/>
      <c r="Y2623" s="20"/>
      <c r="Z2623" s="20"/>
      <c r="AA2623" s="20"/>
    </row>
    <row r="2624" spans="1:27" ht="104.4" x14ac:dyDescent="0.25">
      <c r="A2624" s="16"/>
      <c r="B2624" s="20" t="b">
        <v>0</v>
      </c>
      <c r="C2624" s="20">
        <v>400</v>
      </c>
      <c r="D2624" s="2" t="s">
        <v>5488</v>
      </c>
      <c r="E2624" s="2" t="s">
        <v>5455</v>
      </c>
      <c r="F2624" s="20" t="s">
        <v>59</v>
      </c>
      <c r="G2624" s="2" t="s">
        <v>5489</v>
      </c>
      <c r="H2624" s="16"/>
      <c r="I2624" s="20"/>
      <c r="J2624" s="20"/>
      <c r="K2624" s="20"/>
      <c r="L2624" s="20"/>
      <c r="M2624" s="20"/>
      <c r="N2624" s="20"/>
      <c r="O2624" s="20"/>
      <c r="P2624" s="20"/>
      <c r="Q2624" s="20"/>
      <c r="R2624" s="20"/>
      <c r="S2624" s="20"/>
      <c r="T2624" s="20"/>
      <c r="U2624" s="20"/>
      <c r="V2624" s="20"/>
      <c r="W2624" s="20"/>
      <c r="X2624" s="20"/>
      <c r="Y2624" s="20"/>
      <c r="Z2624" s="20"/>
      <c r="AA2624" s="20"/>
    </row>
    <row r="2625" spans="1:27" ht="261" x14ac:dyDescent="0.25">
      <c r="A2625" s="16"/>
      <c r="B2625" s="20" t="b">
        <v>0</v>
      </c>
      <c r="C2625" s="20">
        <v>400</v>
      </c>
      <c r="D2625" s="2" t="s">
        <v>5490</v>
      </c>
      <c r="E2625" s="2" t="s">
        <v>5455</v>
      </c>
      <c r="F2625" s="20" t="s">
        <v>59</v>
      </c>
      <c r="G2625" s="2" t="s">
        <v>5491</v>
      </c>
      <c r="H2625" s="16"/>
      <c r="I2625" s="20"/>
      <c r="J2625" s="20"/>
      <c r="K2625" s="20"/>
      <c r="L2625" s="20"/>
      <c r="M2625" s="20"/>
      <c r="N2625" s="20"/>
      <c r="O2625" s="20"/>
      <c r="P2625" s="20"/>
      <c r="Q2625" s="20"/>
      <c r="R2625" s="20"/>
      <c r="S2625" s="20"/>
      <c r="T2625" s="20"/>
      <c r="U2625" s="20"/>
      <c r="V2625" s="20"/>
      <c r="W2625" s="20"/>
      <c r="X2625" s="20"/>
      <c r="Y2625" s="20"/>
      <c r="Z2625" s="20"/>
      <c r="AA2625" s="20"/>
    </row>
    <row r="2626" spans="1:27" ht="295.8" x14ac:dyDescent="0.25">
      <c r="A2626" s="16"/>
      <c r="B2626" s="20" t="b">
        <v>0</v>
      </c>
      <c r="C2626" s="20">
        <v>400</v>
      </c>
      <c r="D2626" s="2" t="s">
        <v>5492</v>
      </c>
      <c r="E2626" s="2" t="s">
        <v>5455</v>
      </c>
      <c r="F2626" s="20" t="s">
        <v>55</v>
      </c>
      <c r="G2626" s="2" t="s">
        <v>5493</v>
      </c>
      <c r="H2626" s="16"/>
      <c r="I2626" s="20"/>
      <c r="J2626" s="20"/>
      <c r="K2626" s="20"/>
      <c r="L2626" s="20"/>
      <c r="M2626" s="20"/>
      <c r="N2626" s="20"/>
      <c r="O2626" s="20"/>
      <c r="P2626" s="20"/>
      <c r="Q2626" s="20"/>
      <c r="R2626" s="20"/>
      <c r="S2626" s="20"/>
      <c r="T2626" s="20"/>
      <c r="U2626" s="20"/>
      <c r="V2626" s="20"/>
      <c r="W2626" s="20"/>
      <c r="X2626" s="20"/>
      <c r="Y2626" s="20"/>
      <c r="Z2626" s="20"/>
      <c r="AA2626" s="20"/>
    </row>
    <row r="2627" spans="1:27" ht="243.6" x14ac:dyDescent="0.25">
      <c r="A2627" s="16"/>
      <c r="B2627" s="20" t="b">
        <v>0</v>
      </c>
      <c r="C2627" s="20">
        <v>400</v>
      </c>
      <c r="D2627" s="2" t="s">
        <v>5494</v>
      </c>
      <c r="E2627" s="2" t="s">
        <v>5455</v>
      </c>
      <c r="F2627" s="20" t="s">
        <v>64</v>
      </c>
      <c r="G2627" s="2" t="s">
        <v>5495</v>
      </c>
      <c r="H2627" s="16"/>
      <c r="I2627" s="20"/>
      <c r="J2627" s="20"/>
      <c r="K2627" s="20"/>
      <c r="L2627" s="20"/>
      <c r="M2627" s="20"/>
      <c r="N2627" s="20"/>
      <c r="O2627" s="20"/>
      <c r="P2627" s="20"/>
      <c r="Q2627" s="20"/>
      <c r="R2627" s="20"/>
      <c r="S2627" s="20"/>
      <c r="T2627" s="20"/>
      <c r="U2627" s="20"/>
      <c r="V2627" s="20"/>
      <c r="W2627" s="20"/>
      <c r="X2627" s="20"/>
      <c r="Y2627" s="20"/>
      <c r="Z2627" s="20"/>
      <c r="AA2627" s="20"/>
    </row>
    <row r="2628" spans="1:27" ht="139.19999999999999" x14ac:dyDescent="0.25">
      <c r="A2628" s="16"/>
      <c r="B2628" s="20" t="b">
        <v>0</v>
      </c>
      <c r="C2628" s="20">
        <v>800</v>
      </c>
      <c r="D2628" s="2" t="s">
        <v>5496</v>
      </c>
      <c r="E2628" s="2" t="s">
        <v>5455</v>
      </c>
      <c r="F2628" s="20" t="s">
        <v>54</v>
      </c>
      <c r="G2628" s="2" t="s">
        <v>5497</v>
      </c>
      <c r="H2628" s="16"/>
      <c r="I2628" s="20"/>
      <c r="J2628" s="20"/>
      <c r="K2628" s="20"/>
      <c r="L2628" s="20"/>
      <c r="M2628" s="20"/>
      <c r="N2628" s="20"/>
      <c r="O2628" s="20"/>
      <c r="P2628" s="20"/>
      <c r="Q2628" s="20"/>
      <c r="R2628" s="20"/>
      <c r="S2628" s="20"/>
      <c r="T2628" s="20"/>
      <c r="U2628" s="20"/>
      <c r="V2628" s="20"/>
      <c r="W2628" s="20"/>
      <c r="X2628" s="20"/>
      <c r="Y2628" s="20"/>
      <c r="Z2628" s="20"/>
      <c r="AA2628" s="20"/>
    </row>
    <row r="2629" spans="1:27" ht="278.39999999999998" x14ac:dyDescent="0.25">
      <c r="A2629" s="16"/>
      <c r="B2629" s="20" t="b">
        <v>0</v>
      </c>
      <c r="C2629" s="20">
        <v>400</v>
      </c>
      <c r="D2629" s="2" t="s">
        <v>5498</v>
      </c>
      <c r="E2629" s="2" t="s">
        <v>165</v>
      </c>
      <c r="F2629" s="20" t="s">
        <v>64</v>
      </c>
      <c r="G2629" s="2" t="s">
        <v>5499</v>
      </c>
      <c r="H2629" s="16"/>
      <c r="I2629" s="20"/>
      <c r="J2629" s="20"/>
      <c r="K2629" s="20"/>
      <c r="L2629" s="20"/>
      <c r="M2629" s="20"/>
      <c r="N2629" s="20"/>
      <c r="O2629" s="20"/>
      <c r="P2629" s="20"/>
      <c r="Q2629" s="20"/>
      <c r="R2629" s="20"/>
      <c r="S2629" s="20"/>
      <c r="T2629" s="20"/>
      <c r="U2629" s="20"/>
      <c r="V2629" s="20"/>
      <c r="W2629" s="20"/>
      <c r="X2629" s="20"/>
      <c r="Y2629" s="20"/>
      <c r="Z2629" s="20"/>
      <c r="AA2629" s="20"/>
    </row>
    <row r="2630" spans="1:27" ht="278.39999999999998" x14ac:dyDescent="0.25">
      <c r="A2630" s="16"/>
      <c r="B2630" s="20" t="b">
        <v>0</v>
      </c>
      <c r="C2630" s="20">
        <v>200</v>
      </c>
      <c r="D2630" s="2" t="s">
        <v>5500</v>
      </c>
      <c r="E2630" s="2" t="s">
        <v>165</v>
      </c>
      <c r="F2630" s="20" t="s">
        <v>64</v>
      </c>
      <c r="G2630" s="2" t="s">
        <v>5501</v>
      </c>
      <c r="H2630" s="16"/>
      <c r="I2630" s="20"/>
      <c r="J2630" s="20"/>
      <c r="K2630" s="20"/>
      <c r="L2630" s="20"/>
      <c r="M2630" s="20"/>
      <c r="N2630" s="20"/>
      <c r="O2630" s="20"/>
      <c r="P2630" s="20"/>
      <c r="Q2630" s="20"/>
      <c r="R2630" s="20"/>
      <c r="S2630" s="20"/>
      <c r="T2630" s="20"/>
      <c r="U2630" s="20"/>
      <c r="V2630" s="20"/>
      <c r="W2630" s="20"/>
      <c r="X2630" s="20"/>
      <c r="Y2630" s="20"/>
      <c r="Z2630" s="20"/>
      <c r="AA2630" s="20"/>
    </row>
    <row r="2631" spans="1:27" ht="409.6" x14ac:dyDescent="0.25">
      <c r="A2631" s="16"/>
      <c r="B2631" s="20" t="b">
        <v>0</v>
      </c>
      <c r="C2631" s="20">
        <v>600</v>
      </c>
      <c r="D2631" s="2" t="s">
        <v>5502</v>
      </c>
      <c r="E2631" s="2" t="s">
        <v>165</v>
      </c>
      <c r="F2631" s="20" t="s">
        <v>64</v>
      </c>
      <c r="G2631" s="2" t="s">
        <v>5503</v>
      </c>
      <c r="H2631" s="16"/>
      <c r="I2631" s="20"/>
      <c r="J2631" s="20"/>
      <c r="K2631" s="20"/>
      <c r="L2631" s="20"/>
      <c r="M2631" s="20"/>
      <c r="N2631" s="20"/>
      <c r="O2631" s="20"/>
      <c r="P2631" s="20"/>
      <c r="Q2631" s="20"/>
      <c r="R2631" s="20"/>
      <c r="S2631" s="20"/>
      <c r="T2631" s="20"/>
      <c r="U2631" s="20"/>
      <c r="V2631" s="20"/>
      <c r="W2631" s="20"/>
      <c r="X2631" s="20"/>
      <c r="Y2631" s="20"/>
      <c r="Z2631" s="20"/>
      <c r="AA2631" s="20"/>
    </row>
    <row r="2632" spans="1:27" ht="261" x14ac:dyDescent="0.25">
      <c r="A2632" s="16"/>
      <c r="B2632" s="20" t="b">
        <v>0</v>
      </c>
      <c r="C2632" s="20">
        <v>600</v>
      </c>
      <c r="D2632" s="2" t="s">
        <v>5504</v>
      </c>
      <c r="E2632" s="2" t="s">
        <v>165</v>
      </c>
      <c r="F2632" s="20" t="s">
        <v>64</v>
      </c>
      <c r="G2632" s="2" t="s">
        <v>5505</v>
      </c>
      <c r="H2632" s="16"/>
      <c r="I2632" s="20"/>
      <c r="J2632" s="20"/>
      <c r="K2632" s="20"/>
      <c r="L2632" s="20"/>
      <c r="M2632" s="20"/>
      <c r="N2632" s="20"/>
      <c r="O2632" s="20"/>
      <c r="P2632" s="20"/>
      <c r="Q2632" s="20"/>
      <c r="R2632" s="20"/>
      <c r="S2632" s="20"/>
      <c r="T2632" s="20"/>
      <c r="U2632" s="20"/>
      <c r="V2632" s="20"/>
      <c r="W2632" s="20"/>
      <c r="X2632" s="20"/>
      <c r="Y2632" s="20"/>
      <c r="Z2632" s="20"/>
      <c r="AA2632" s="20"/>
    </row>
    <row r="2633" spans="1:27" ht="121.8" x14ac:dyDescent="0.25">
      <c r="A2633" s="16"/>
      <c r="B2633" s="20" t="b">
        <v>0</v>
      </c>
      <c r="C2633" s="20">
        <v>200</v>
      </c>
      <c r="D2633" s="2" t="s">
        <v>5506</v>
      </c>
      <c r="E2633" s="2" t="s">
        <v>165</v>
      </c>
      <c r="F2633" s="20" t="s">
        <v>59</v>
      </c>
      <c r="G2633" s="2" t="s">
        <v>5507</v>
      </c>
      <c r="H2633" s="16"/>
      <c r="I2633" s="20"/>
      <c r="J2633" s="20"/>
      <c r="K2633" s="20"/>
      <c r="L2633" s="20"/>
      <c r="M2633" s="20"/>
      <c r="N2633" s="20"/>
      <c r="O2633" s="20"/>
      <c r="P2633" s="20"/>
      <c r="Q2633" s="20"/>
      <c r="R2633" s="20"/>
      <c r="S2633" s="20"/>
      <c r="T2633" s="20"/>
      <c r="U2633" s="20"/>
      <c r="V2633" s="20"/>
      <c r="W2633" s="20"/>
      <c r="X2633" s="20"/>
      <c r="Y2633" s="20"/>
      <c r="Z2633" s="20"/>
      <c r="AA2633" s="20"/>
    </row>
    <row r="2634" spans="1:27" ht="139.19999999999999" x14ac:dyDescent="0.25">
      <c r="A2634" s="16"/>
      <c r="B2634" s="20" t="b">
        <v>0</v>
      </c>
      <c r="C2634" s="20">
        <v>200</v>
      </c>
      <c r="D2634" s="2" t="s">
        <v>5508</v>
      </c>
      <c r="E2634" s="2" t="s">
        <v>165</v>
      </c>
      <c r="F2634" s="20" t="s">
        <v>54</v>
      </c>
      <c r="G2634" s="2" t="s">
        <v>5509</v>
      </c>
      <c r="H2634" s="16"/>
      <c r="I2634" s="20"/>
      <c r="J2634" s="20"/>
      <c r="K2634" s="20"/>
      <c r="L2634" s="20"/>
      <c r="M2634" s="20"/>
      <c r="N2634" s="20"/>
      <c r="O2634" s="20"/>
      <c r="P2634" s="20"/>
      <c r="Q2634" s="20"/>
      <c r="R2634" s="20"/>
      <c r="S2634" s="20"/>
      <c r="T2634" s="20"/>
      <c r="U2634" s="20"/>
      <c r="V2634" s="20"/>
      <c r="W2634" s="20"/>
      <c r="X2634" s="20"/>
      <c r="Y2634" s="20"/>
      <c r="Z2634" s="20"/>
      <c r="AA2634" s="20"/>
    </row>
    <row r="2635" spans="1:27" ht="139.19999999999999" x14ac:dyDescent="0.25">
      <c r="A2635" s="16"/>
      <c r="B2635" s="20" t="b">
        <v>0</v>
      </c>
      <c r="C2635" s="20">
        <v>400</v>
      </c>
      <c r="D2635" s="2" t="s">
        <v>5510</v>
      </c>
      <c r="E2635" s="2" t="s">
        <v>165</v>
      </c>
      <c r="F2635" s="20" t="s">
        <v>64</v>
      </c>
      <c r="G2635" s="2" t="s">
        <v>5511</v>
      </c>
      <c r="H2635" s="16"/>
      <c r="I2635" s="20"/>
      <c r="J2635" s="20"/>
      <c r="K2635" s="20"/>
      <c r="L2635" s="20"/>
      <c r="M2635" s="20"/>
      <c r="N2635" s="20"/>
      <c r="O2635" s="20"/>
      <c r="P2635" s="20"/>
      <c r="Q2635" s="20"/>
      <c r="R2635" s="20"/>
      <c r="S2635" s="20"/>
      <c r="T2635" s="20"/>
      <c r="U2635" s="20"/>
      <c r="V2635" s="20"/>
      <c r="W2635" s="20"/>
      <c r="X2635" s="20"/>
      <c r="Y2635" s="20"/>
      <c r="Z2635" s="20"/>
      <c r="AA2635" s="20"/>
    </row>
    <row r="2636" spans="1:27" ht="121.8" x14ac:dyDescent="0.25">
      <c r="A2636" s="16"/>
      <c r="B2636" s="20" t="b">
        <v>0</v>
      </c>
      <c r="C2636" s="20">
        <v>400</v>
      </c>
      <c r="D2636" s="2" t="s">
        <v>5512</v>
      </c>
      <c r="E2636" s="2" t="s">
        <v>165</v>
      </c>
      <c r="F2636" s="20" t="s">
        <v>56</v>
      </c>
      <c r="G2636" s="2" t="s">
        <v>5513</v>
      </c>
      <c r="H2636" s="16"/>
      <c r="I2636" s="20"/>
      <c r="J2636" s="20"/>
      <c r="K2636" s="20"/>
      <c r="L2636" s="20"/>
      <c r="M2636" s="20"/>
      <c r="N2636" s="20"/>
      <c r="O2636" s="20"/>
      <c r="P2636" s="20"/>
      <c r="Q2636" s="20"/>
      <c r="R2636" s="20"/>
      <c r="S2636" s="20"/>
      <c r="T2636" s="20"/>
      <c r="U2636" s="20"/>
      <c r="V2636" s="20"/>
      <c r="W2636" s="20"/>
      <c r="X2636" s="20"/>
      <c r="Y2636" s="20"/>
      <c r="Z2636" s="20"/>
      <c r="AA2636" s="20"/>
    </row>
    <row r="2637" spans="1:27" ht="226.2" x14ac:dyDescent="0.25">
      <c r="A2637" s="16"/>
      <c r="B2637" s="20" t="b">
        <v>0</v>
      </c>
      <c r="C2637" s="20">
        <v>600</v>
      </c>
      <c r="D2637" s="2" t="s">
        <v>5514</v>
      </c>
      <c r="E2637" s="2" t="s">
        <v>165</v>
      </c>
      <c r="F2637" s="20" t="s">
        <v>58</v>
      </c>
      <c r="G2637" s="2" t="s">
        <v>5515</v>
      </c>
      <c r="H2637" s="16"/>
      <c r="I2637" s="20"/>
      <c r="J2637" s="20"/>
      <c r="K2637" s="20"/>
      <c r="L2637" s="20"/>
      <c r="M2637" s="20"/>
      <c r="N2637" s="20"/>
      <c r="O2637" s="20"/>
      <c r="P2637" s="20"/>
      <c r="Q2637" s="20"/>
      <c r="R2637" s="20"/>
      <c r="S2637" s="20"/>
      <c r="T2637" s="20"/>
      <c r="U2637" s="20"/>
      <c r="V2637" s="20"/>
      <c r="W2637" s="20"/>
      <c r="X2637" s="20"/>
      <c r="Y2637" s="20"/>
      <c r="Z2637" s="20"/>
      <c r="AA2637" s="20"/>
    </row>
    <row r="2638" spans="1:27" ht="174" x14ac:dyDescent="0.25">
      <c r="A2638" s="16"/>
      <c r="B2638" s="20" t="b">
        <v>0</v>
      </c>
      <c r="C2638" s="20">
        <v>0</v>
      </c>
      <c r="D2638" s="2" t="s">
        <v>5516</v>
      </c>
      <c r="E2638" s="2" t="s">
        <v>5517</v>
      </c>
      <c r="F2638" s="20" t="s">
        <v>60</v>
      </c>
      <c r="G2638" s="2" t="s">
        <v>5518</v>
      </c>
      <c r="H2638" s="16"/>
      <c r="I2638" s="20"/>
      <c r="J2638" s="20"/>
      <c r="K2638" s="20"/>
      <c r="L2638" s="20"/>
      <c r="M2638" s="20"/>
      <c r="N2638" s="20"/>
      <c r="O2638" s="20"/>
      <c r="P2638" s="20"/>
      <c r="Q2638" s="20"/>
      <c r="R2638" s="20"/>
      <c r="S2638" s="20"/>
      <c r="T2638" s="20"/>
      <c r="U2638" s="20"/>
      <c r="V2638" s="20"/>
      <c r="W2638" s="20"/>
      <c r="X2638" s="20"/>
      <c r="Y2638" s="20"/>
      <c r="Z2638" s="20"/>
      <c r="AA2638" s="20"/>
    </row>
    <row r="2639" spans="1:27" ht="121.8" x14ac:dyDescent="0.25">
      <c r="A2639" s="16"/>
      <c r="B2639" s="20" t="b">
        <v>0</v>
      </c>
      <c r="C2639" s="20">
        <v>200</v>
      </c>
      <c r="D2639" s="2" t="s">
        <v>5519</v>
      </c>
      <c r="E2639" s="2" t="s">
        <v>5517</v>
      </c>
      <c r="F2639" s="20" t="s">
        <v>60</v>
      </c>
      <c r="G2639" s="2" t="s">
        <v>5520</v>
      </c>
      <c r="H2639" s="16"/>
      <c r="I2639" s="20"/>
      <c r="J2639" s="20"/>
      <c r="K2639" s="20"/>
      <c r="L2639" s="20"/>
      <c r="M2639" s="20"/>
      <c r="N2639" s="20"/>
      <c r="O2639" s="20"/>
      <c r="P2639" s="20"/>
      <c r="Q2639" s="20"/>
      <c r="R2639" s="20"/>
      <c r="S2639" s="20"/>
      <c r="T2639" s="20"/>
      <c r="U2639" s="20"/>
      <c r="V2639" s="20"/>
      <c r="W2639" s="20"/>
      <c r="X2639" s="20"/>
      <c r="Y2639" s="20"/>
      <c r="Z2639" s="20"/>
      <c r="AA2639" s="20"/>
    </row>
    <row r="2640" spans="1:27" ht="330.6" x14ac:dyDescent="0.25">
      <c r="A2640" s="16"/>
      <c r="B2640" s="20" t="b">
        <v>0</v>
      </c>
      <c r="C2640" s="20">
        <v>500</v>
      </c>
      <c r="D2640" s="2" t="s">
        <v>5521</v>
      </c>
      <c r="E2640" s="2" t="s">
        <v>5517</v>
      </c>
      <c r="F2640" s="20" t="s">
        <v>60</v>
      </c>
      <c r="G2640" s="2" t="s">
        <v>5522</v>
      </c>
      <c r="H2640" s="16"/>
      <c r="I2640" s="20"/>
      <c r="J2640" s="20"/>
      <c r="K2640" s="20"/>
      <c r="L2640" s="20"/>
      <c r="M2640" s="20"/>
      <c r="N2640" s="20"/>
      <c r="O2640" s="20"/>
      <c r="P2640" s="20"/>
      <c r="Q2640" s="20"/>
      <c r="R2640" s="20"/>
      <c r="S2640" s="20"/>
      <c r="T2640" s="20"/>
      <c r="U2640" s="20"/>
      <c r="V2640" s="20"/>
      <c r="W2640" s="20"/>
      <c r="X2640" s="20"/>
      <c r="Y2640" s="20"/>
      <c r="Z2640" s="20"/>
      <c r="AA2640" s="20"/>
    </row>
    <row r="2641" spans="1:27" ht="121.8" x14ac:dyDescent="0.25">
      <c r="A2641" s="16"/>
      <c r="B2641" s="20" t="b">
        <v>0</v>
      </c>
      <c r="C2641" s="20">
        <v>100</v>
      </c>
      <c r="D2641" s="2" t="s">
        <v>5523</v>
      </c>
      <c r="E2641" s="2" t="s">
        <v>5517</v>
      </c>
      <c r="F2641" s="20" t="s">
        <v>53</v>
      </c>
      <c r="G2641" s="2" t="s">
        <v>5524</v>
      </c>
      <c r="H2641" s="16"/>
      <c r="I2641" s="20"/>
      <c r="J2641" s="20"/>
      <c r="K2641" s="20"/>
      <c r="L2641" s="20"/>
      <c r="M2641" s="20"/>
      <c r="N2641" s="20"/>
      <c r="O2641" s="20"/>
      <c r="P2641" s="20"/>
      <c r="Q2641" s="20"/>
      <c r="R2641" s="20"/>
      <c r="S2641" s="20"/>
      <c r="T2641" s="20"/>
      <c r="U2641" s="20"/>
      <c r="V2641" s="20"/>
      <c r="W2641" s="20"/>
      <c r="X2641" s="20"/>
      <c r="Y2641" s="20"/>
      <c r="Z2641" s="20"/>
      <c r="AA2641" s="20"/>
    </row>
    <row r="2642" spans="1:27" ht="191.4" x14ac:dyDescent="0.25">
      <c r="A2642" s="16"/>
      <c r="B2642" s="20" t="b">
        <v>0</v>
      </c>
      <c r="C2642" s="20">
        <v>200</v>
      </c>
      <c r="D2642" s="2" t="s">
        <v>5525</v>
      </c>
      <c r="E2642" s="2" t="s">
        <v>5517</v>
      </c>
      <c r="F2642" s="20" t="s">
        <v>60</v>
      </c>
      <c r="G2642" s="2" t="s">
        <v>5526</v>
      </c>
      <c r="H2642" s="16"/>
      <c r="I2642" s="20"/>
      <c r="J2642" s="20"/>
      <c r="K2642" s="20"/>
      <c r="L2642" s="20"/>
      <c r="M2642" s="20"/>
      <c r="N2642" s="20"/>
      <c r="O2642" s="20"/>
      <c r="P2642" s="20"/>
      <c r="Q2642" s="20"/>
      <c r="R2642" s="20"/>
      <c r="S2642" s="20"/>
      <c r="T2642" s="20"/>
      <c r="U2642" s="20"/>
      <c r="V2642" s="20"/>
      <c r="W2642" s="20"/>
      <c r="X2642" s="20"/>
      <c r="Y2642" s="20"/>
      <c r="Z2642" s="20"/>
      <c r="AA2642" s="20"/>
    </row>
    <row r="2643" spans="1:27" ht="208.8" x14ac:dyDescent="0.25">
      <c r="A2643" s="16"/>
      <c r="B2643" s="20" t="b">
        <v>0</v>
      </c>
      <c r="C2643" s="20">
        <v>400</v>
      </c>
      <c r="D2643" s="2" t="s">
        <v>5527</v>
      </c>
      <c r="E2643" s="2" t="s">
        <v>5517</v>
      </c>
      <c r="F2643" s="20" t="s">
        <v>62</v>
      </c>
      <c r="G2643" s="2" t="s">
        <v>5528</v>
      </c>
      <c r="H2643" s="16"/>
      <c r="I2643" s="20"/>
      <c r="J2643" s="20"/>
      <c r="K2643" s="20"/>
      <c r="L2643" s="20"/>
      <c r="M2643" s="20"/>
      <c r="N2643" s="20"/>
      <c r="O2643" s="20"/>
      <c r="P2643" s="20"/>
      <c r="Q2643" s="20"/>
      <c r="R2643" s="20"/>
      <c r="S2643" s="20"/>
      <c r="T2643" s="20"/>
      <c r="U2643" s="20"/>
      <c r="V2643" s="20"/>
      <c r="W2643" s="20"/>
      <c r="X2643" s="20"/>
      <c r="Y2643" s="20"/>
      <c r="Z2643" s="20"/>
      <c r="AA2643" s="20"/>
    </row>
    <row r="2644" spans="1:27" ht="243.6" x14ac:dyDescent="0.25">
      <c r="A2644" s="16"/>
      <c r="B2644" s="20" t="b">
        <v>0</v>
      </c>
      <c r="C2644" s="20">
        <v>600</v>
      </c>
      <c r="D2644" s="2" t="s">
        <v>5529</v>
      </c>
      <c r="E2644" s="2" t="s">
        <v>5517</v>
      </c>
      <c r="F2644" s="20" t="s">
        <v>55</v>
      </c>
      <c r="G2644" s="2" t="s">
        <v>5530</v>
      </c>
      <c r="H2644" s="16"/>
      <c r="I2644" s="20"/>
      <c r="J2644" s="20"/>
      <c r="K2644" s="20"/>
      <c r="L2644" s="20"/>
      <c r="M2644" s="20"/>
      <c r="N2644" s="20"/>
      <c r="O2644" s="20"/>
      <c r="P2644" s="20"/>
      <c r="Q2644" s="20"/>
      <c r="R2644" s="20"/>
      <c r="S2644" s="20"/>
      <c r="T2644" s="20"/>
      <c r="U2644" s="20"/>
      <c r="V2644" s="20"/>
      <c r="W2644" s="20"/>
      <c r="X2644" s="20"/>
      <c r="Y2644" s="20"/>
      <c r="Z2644" s="20"/>
      <c r="AA2644" s="20"/>
    </row>
    <row r="2645" spans="1:27" ht="139.19999999999999" x14ac:dyDescent="0.25">
      <c r="A2645" s="16"/>
      <c r="B2645" s="20" t="b">
        <v>0</v>
      </c>
      <c r="C2645" s="20">
        <v>100</v>
      </c>
      <c r="D2645" s="2" t="s">
        <v>5531</v>
      </c>
      <c r="E2645" s="2" t="s">
        <v>5517</v>
      </c>
      <c r="F2645" s="20" t="s">
        <v>53</v>
      </c>
      <c r="G2645" s="2" t="s">
        <v>5532</v>
      </c>
      <c r="H2645" s="16"/>
      <c r="I2645" s="20"/>
      <c r="J2645" s="20"/>
      <c r="K2645" s="20"/>
      <c r="L2645" s="20"/>
      <c r="M2645" s="20"/>
      <c r="N2645" s="20"/>
      <c r="O2645" s="20"/>
      <c r="P2645" s="20"/>
      <c r="Q2645" s="20"/>
      <c r="R2645" s="20"/>
      <c r="S2645" s="20"/>
      <c r="T2645" s="20"/>
      <c r="U2645" s="20"/>
      <c r="V2645" s="20"/>
      <c r="W2645" s="20"/>
      <c r="X2645" s="20"/>
      <c r="Y2645" s="20"/>
      <c r="Z2645" s="20"/>
      <c r="AA2645" s="20"/>
    </row>
    <row r="2646" spans="1:27" ht="243.6" x14ac:dyDescent="0.25">
      <c r="A2646" s="16"/>
      <c r="B2646" s="20" t="b">
        <v>0</v>
      </c>
      <c r="C2646" s="20">
        <v>200</v>
      </c>
      <c r="D2646" s="2" t="s">
        <v>5533</v>
      </c>
      <c r="E2646" s="2" t="s">
        <v>5517</v>
      </c>
      <c r="F2646" s="20" t="s">
        <v>53</v>
      </c>
      <c r="G2646" s="2" t="s">
        <v>5534</v>
      </c>
      <c r="H2646" s="16"/>
      <c r="I2646" s="20"/>
      <c r="J2646" s="20"/>
      <c r="K2646" s="20"/>
      <c r="L2646" s="20"/>
      <c r="M2646" s="20"/>
      <c r="N2646" s="20"/>
      <c r="O2646" s="20"/>
      <c r="P2646" s="20"/>
      <c r="Q2646" s="20"/>
      <c r="R2646" s="20"/>
      <c r="S2646" s="20"/>
      <c r="T2646" s="20"/>
      <c r="U2646" s="20"/>
      <c r="V2646" s="20"/>
      <c r="W2646" s="20"/>
      <c r="X2646" s="20"/>
      <c r="Y2646" s="20"/>
      <c r="Z2646" s="20"/>
      <c r="AA2646" s="20"/>
    </row>
    <row r="2647" spans="1:27" ht="174" x14ac:dyDescent="0.25">
      <c r="A2647" s="16"/>
      <c r="B2647" s="20" t="b">
        <v>0</v>
      </c>
      <c r="C2647" s="20">
        <v>200</v>
      </c>
      <c r="D2647" s="2" t="s">
        <v>5535</v>
      </c>
      <c r="E2647" s="2" t="s">
        <v>5517</v>
      </c>
      <c r="F2647" s="20" t="s">
        <v>53</v>
      </c>
      <c r="G2647" s="2" t="s">
        <v>5536</v>
      </c>
      <c r="H2647" s="16"/>
      <c r="I2647" s="20"/>
      <c r="J2647" s="20"/>
      <c r="K2647" s="20"/>
      <c r="L2647" s="20"/>
      <c r="M2647" s="20"/>
      <c r="N2647" s="20"/>
      <c r="O2647" s="20"/>
      <c r="P2647" s="20"/>
      <c r="Q2647" s="20"/>
      <c r="R2647" s="20"/>
      <c r="S2647" s="20"/>
      <c r="T2647" s="20"/>
      <c r="U2647" s="20"/>
      <c r="V2647" s="20"/>
      <c r="W2647" s="20"/>
      <c r="X2647" s="20"/>
      <c r="Y2647" s="20"/>
      <c r="Z2647" s="20"/>
      <c r="AA2647" s="20"/>
    </row>
    <row r="2648" spans="1:27" ht="295.8" x14ac:dyDescent="0.25">
      <c r="A2648" s="16"/>
      <c r="B2648" s="20" t="b">
        <v>0</v>
      </c>
      <c r="C2648" s="20">
        <v>600</v>
      </c>
      <c r="D2648" s="2" t="s">
        <v>5537</v>
      </c>
      <c r="E2648" s="2" t="s">
        <v>5517</v>
      </c>
      <c r="F2648" s="20" t="s">
        <v>53</v>
      </c>
      <c r="G2648" s="2" t="s">
        <v>5538</v>
      </c>
      <c r="H2648" s="16"/>
      <c r="I2648" s="20"/>
      <c r="J2648" s="20"/>
      <c r="K2648" s="20"/>
      <c r="L2648" s="20"/>
      <c r="M2648" s="20"/>
      <c r="N2648" s="20"/>
      <c r="O2648" s="20"/>
      <c r="P2648" s="20"/>
      <c r="Q2648" s="20"/>
      <c r="R2648" s="20"/>
      <c r="S2648" s="20"/>
      <c r="T2648" s="20"/>
      <c r="U2648" s="20"/>
      <c r="V2648" s="20"/>
      <c r="W2648" s="20"/>
      <c r="X2648" s="20"/>
      <c r="Y2648" s="20"/>
      <c r="Z2648" s="20"/>
      <c r="AA2648" s="20"/>
    </row>
    <row r="2649" spans="1:27" ht="191.4" x14ac:dyDescent="0.25">
      <c r="A2649" s="16"/>
      <c r="B2649" s="20" t="b">
        <v>0</v>
      </c>
      <c r="C2649" s="20">
        <v>400</v>
      </c>
      <c r="D2649" s="2" t="s">
        <v>5539</v>
      </c>
      <c r="E2649" s="2" t="s">
        <v>5517</v>
      </c>
      <c r="F2649" s="20" t="s">
        <v>58</v>
      </c>
      <c r="G2649" s="2" t="s">
        <v>5540</v>
      </c>
      <c r="H2649" s="16"/>
      <c r="I2649" s="20"/>
      <c r="J2649" s="20"/>
      <c r="K2649" s="20"/>
      <c r="L2649" s="20"/>
      <c r="M2649" s="20"/>
      <c r="N2649" s="20"/>
      <c r="O2649" s="20"/>
      <c r="P2649" s="20"/>
      <c r="Q2649" s="20"/>
      <c r="R2649" s="20"/>
      <c r="S2649" s="20"/>
      <c r="T2649" s="20"/>
      <c r="U2649" s="20"/>
      <c r="V2649" s="20"/>
      <c r="W2649" s="20"/>
      <c r="X2649" s="20"/>
      <c r="Y2649" s="20"/>
      <c r="Z2649" s="20"/>
      <c r="AA2649" s="20"/>
    </row>
    <row r="2650" spans="1:27" ht="409.6" x14ac:dyDescent="0.25">
      <c r="A2650" s="16"/>
      <c r="B2650" s="20" t="b">
        <v>0</v>
      </c>
      <c r="C2650" s="20">
        <v>600</v>
      </c>
      <c r="D2650" s="2" t="s">
        <v>5541</v>
      </c>
      <c r="E2650" s="2" t="s">
        <v>5517</v>
      </c>
      <c r="F2650" s="20" t="s">
        <v>58</v>
      </c>
      <c r="G2650" s="2" t="s">
        <v>5542</v>
      </c>
      <c r="H2650" s="16"/>
      <c r="I2650" s="20"/>
      <c r="J2650" s="20"/>
      <c r="K2650" s="20"/>
      <c r="L2650" s="20"/>
      <c r="M2650" s="20"/>
      <c r="N2650" s="20"/>
      <c r="O2650" s="20"/>
      <c r="P2650" s="20"/>
      <c r="Q2650" s="20"/>
      <c r="R2650" s="20"/>
      <c r="S2650" s="20"/>
      <c r="T2650" s="20"/>
      <c r="U2650" s="20"/>
      <c r="V2650" s="20"/>
      <c r="W2650" s="20"/>
      <c r="X2650" s="20"/>
      <c r="Y2650" s="20"/>
      <c r="Z2650" s="20"/>
      <c r="AA2650" s="20"/>
    </row>
    <row r="2651" spans="1:27" ht="174" x14ac:dyDescent="0.25">
      <c r="A2651" s="16"/>
      <c r="B2651" s="20" t="b">
        <v>0</v>
      </c>
      <c r="C2651" s="20">
        <v>200</v>
      </c>
      <c r="D2651" s="2" t="s">
        <v>5543</v>
      </c>
      <c r="E2651" s="2" t="s">
        <v>5517</v>
      </c>
      <c r="F2651" s="20" t="s">
        <v>56</v>
      </c>
      <c r="G2651" s="2" t="s">
        <v>5544</v>
      </c>
      <c r="H2651" s="16"/>
      <c r="I2651" s="20"/>
      <c r="J2651" s="20"/>
      <c r="K2651" s="20"/>
      <c r="L2651" s="20"/>
      <c r="M2651" s="20"/>
      <c r="N2651" s="20"/>
      <c r="O2651" s="20"/>
      <c r="P2651" s="20"/>
      <c r="Q2651" s="20"/>
      <c r="R2651" s="20"/>
      <c r="S2651" s="20"/>
      <c r="T2651" s="20"/>
      <c r="U2651" s="20"/>
      <c r="V2651" s="20"/>
      <c r="W2651" s="20"/>
      <c r="X2651" s="20"/>
      <c r="Y2651" s="20"/>
      <c r="Z2651" s="20"/>
      <c r="AA2651" s="20"/>
    </row>
    <row r="2652" spans="1:27" ht="409.6" x14ac:dyDescent="0.25">
      <c r="A2652" s="16"/>
      <c r="B2652" s="20" t="b">
        <v>0</v>
      </c>
      <c r="C2652" s="20">
        <v>600</v>
      </c>
      <c r="D2652" s="2" t="s">
        <v>5545</v>
      </c>
      <c r="E2652" s="2" t="s">
        <v>5517</v>
      </c>
      <c r="F2652" s="20" t="s">
        <v>56</v>
      </c>
      <c r="G2652" s="2" t="s">
        <v>5546</v>
      </c>
      <c r="H2652" s="16"/>
      <c r="I2652" s="20"/>
      <c r="J2652" s="20"/>
      <c r="K2652" s="20"/>
      <c r="L2652" s="20"/>
      <c r="M2652" s="20"/>
      <c r="N2652" s="20"/>
      <c r="O2652" s="20"/>
      <c r="P2652" s="20"/>
      <c r="Q2652" s="20"/>
      <c r="R2652" s="20"/>
      <c r="S2652" s="20"/>
      <c r="T2652" s="20"/>
      <c r="U2652" s="20"/>
      <c r="V2652" s="20"/>
      <c r="W2652" s="20"/>
      <c r="X2652" s="20"/>
      <c r="Y2652" s="20"/>
      <c r="Z2652" s="20"/>
      <c r="AA2652" s="20"/>
    </row>
    <row r="2653" spans="1:27" ht="121.8" x14ac:dyDescent="0.25">
      <c r="A2653" s="16"/>
      <c r="B2653" s="20" t="b">
        <v>0</v>
      </c>
      <c r="C2653" s="20">
        <v>100</v>
      </c>
      <c r="D2653" s="2" t="s">
        <v>5547</v>
      </c>
      <c r="E2653" s="2" t="s">
        <v>5548</v>
      </c>
      <c r="F2653" s="20" t="s">
        <v>63</v>
      </c>
      <c r="G2653" s="2" t="s">
        <v>5549</v>
      </c>
      <c r="H2653" s="16"/>
      <c r="I2653" s="20"/>
      <c r="J2653" s="20"/>
      <c r="K2653" s="20"/>
      <c r="L2653" s="20"/>
      <c r="M2653" s="20"/>
      <c r="N2653" s="20"/>
      <c r="O2653" s="20"/>
      <c r="P2653" s="20"/>
      <c r="Q2653" s="20"/>
      <c r="R2653" s="20"/>
      <c r="S2653" s="20"/>
      <c r="T2653" s="20"/>
      <c r="U2653" s="20"/>
      <c r="V2653" s="20"/>
      <c r="W2653" s="20"/>
      <c r="X2653" s="20"/>
      <c r="Y2653" s="20"/>
      <c r="Z2653" s="20"/>
      <c r="AA2653" s="20"/>
    </row>
    <row r="2654" spans="1:27" ht="174" x14ac:dyDescent="0.25">
      <c r="A2654" s="16"/>
      <c r="B2654" s="20" t="b">
        <v>0</v>
      </c>
      <c r="C2654" s="20">
        <v>100</v>
      </c>
      <c r="D2654" s="2" t="s">
        <v>5550</v>
      </c>
      <c r="E2654" s="2" t="s">
        <v>5548</v>
      </c>
      <c r="F2654" s="20" t="s">
        <v>63</v>
      </c>
      <c r="G2654" s="2" t="s">
        <v>5551</v>
      </c>
      <c r="H2654" s="16"/>
      <c r="I2654" s="20"/>
      <c r="J2654" s="20"/>
      <c r="K2654" s="20"/>
      <c r="L2654" s="20"/>
      <c r="M2654" s="20"/>
      <c r="N2654" s="20"/>
      <c r="O2654" s="20"/>
      <c r="P2654" s="20"/>
      <c r="Q2654" s="20"/>
      <c r="R2654" s="20"/>
      <c r="S2654" s="20"/>
      <c r="T2654" s="20"/>
      <c r="U2654" s="20"/>
      <c r="V2654" s="20"/>
      <c r="W2654" s="20"/>
      <c r="X2654" s="20"/>
      <c r="Y2654" s="20"/>
      <c r="Z2654" s="20"/>
      <c r="AA2654" s="20"/>
    </row>
    <row r="2655" spans="1:27" ht="191.4" x14ac:dyDescent="0.25">
      <c r="A2655" s="16"/>
      <c r="B2655" s="20" t="b">
        <v>0</v>
      </c>
      <c r="C2655" s="20">
        <v>200</v>
      </c>
      <c r="D2655" s="2" t="s">
        <v>5552</v>
      </c>
      <c r="E2655" s="2" t="s">
        <v>5548</v>
      </c>
      <c r="F2655" s="20" t="s">
        <v>53</v>
      </c>
      <c r="G2655" s="2" t="s">
        <v>5553</v>
      </c>
      <c r="H2655" s="16"/>
      <c r="I2655" s="20"/>
      <c r="J2655" s="20"/>
      <c r="K2655" s="20"/>
      <c r="L2655" s="20"/>
      <c r="M2655" s="20"/>
      <c r="N2655" s="20"/>
      <c r="O2655" s="20"/>
      <c r="P2655" s="20"/>
      <c r="Q2655" s="20"/>
      <c r="R2655" s="20"/>
      <c r="S2655" s="20"/>
      <c r="T2655" s="20"/>
      <c r="U2655" s="20"/>
      <c r="V2655" s="20"/>
      <c r="W2655" s="20"/>
      <c r="X2655" s="20"/>
      <c r="Y2655" s="20"/>
      <c r="Z2655" s="20"/>
      <c r="AA2655" s="20"/>
    </row>
    <row r="2656" spans="1:27" ht="191.4" x14ac:dyDescent="0.25">
      <c r="A2656" s="16"/>
      <c r="B2656" s="20" t="b">
        <v>0</v>
      </c>
      <c r="C2656" s="20">
        <v>200</v>
      </c>
      <c r="D2656" s="2" t="s">
        <v>5554</v>
      </c>
      <c r="E2656" s="2" t="s">
        <v>5548</v>
      </c>
      <c r="F2656" s="20" t="s">
        <v>53</v>
      </c>
      <c r="G2656" s="2" t="s">
        <v>5555</v>
      </c>
      <c r="H2656" s="16"/>
      <c r="I2656" s="20"/>
      <c r="J2656" s="20"/>
      <c r="K2656" s="20"/>
      <c r="L2656" s="20"/>
      <c r="M2656" s="20"/>
      <c r="N2656" s="20"/>
      <c r="O2656" s="20"/>
      <c r="P2656" s="20"/>
      <c r="Q2656" s="20"/>
      <c r="R2656" s="20"/>
      <c r="S2656" s="20"/>
      <c r="T2656" s="20"/>
      <c r="U2656" s="20"/>
      <c r="V2656" s="20"/>
      <c r="W2656" s="20"/>
      <c r="X2656" s="20"/>
      <c r="Y2656" s="20"/>
      <c r="Z2656" s="20"/>
      <c r="AA2656" s="20"/>
    </row>
    <row r="2657" spans="1:27" ht="156.6" x14ac:dyDescent="0.25">
      <c r="A2657" s="16"/>
      <c r="B2657" s="20" t="b">
        <v>0</v>
      </c>
      <c r="C2657" s="20">
        <v>400</v>
      </c>
      <c r="D2657" s="2" t="s">
        <v>5556</v>
      </c>
      <c r="E2657" s="2" t="s">
        <v>5548</v>
      </c>
      <c r="F2657" s="20" t="s">
        <v>61</v>
      </c>
      <c r="G2657" s="2" t="s">
        <v>5557</v>
      </c>
      <c r="H2657" s="16"/>
      <c r="I2657" s="20"/>
      <c r="J2657" s="20"/>
      <c r="K2657" s="20"/>
      <c r="L2657" s="20"/>
      <c r="M2657" s="20"/>
      <c r="N2657" s="20"/>
      <c r="O2657" s="20"/>
      <c r="P2657" s="20"/>
      <c r="Q2657" s="20"/>
      <c r="R2657" s="20"/>
      <c r="S2657" s="20"/>
      <c r="T2657" s="20"/>
      <c r="U2657" s="20"/>
      <c r="V2657" s="20"/>
      <c r="W2657" s="20"/>
      <c r="X2657" s="20"/>
      <c r="Y2657" s="20"/>
      <c r="Z2657" s="20"/>
      <c r="AA2657" s="20"/>
    </row>
    <row r="2658" spans="1:27" ht="208.8" x14ac:dyDescent="0.25">
      <c r="A2658" s="16"/>
      <c r="B2658" s="20" t="b">
        <v>0</v>
      </c>
      <c r="C2658" s="20">
        <v>600</v>
      </c>
      <c r="D2658" s="2" t="s">
        <v>5558</v>
      </c>
      <c r="E2658" s="2" t="s">
        <v>5548</v>
      </c>
      <c r="F2658" s="20" t="s">
        <v>57</v>
      </c>
      <c r="G2658" s="2" t="s">
        <v>5559</v>
      </c>
      <c r="H2658" s="16"/>
      <c r="I2658" s="20"/>
      <c r="J2658" s="20"/>
      <c r="K2658" s="20"/>
      <c r="L2658" s="20"/>
      <c r="M2658" s="20"/>
      <c r="N2658" s="20"/>
      <c r="O2658" s="20"/>
      <c r="P2658" s="20"/>
      <c r="Q2658" s="20"/>
      <c r="R2658" s="20"/>
      <c r="S2658" s="20"/>
      <c r="T2658" s="20"/>
      <c r="U2658" s="20"/>
      <c r="V2658" s="20"/>
      <c r="W2658" s="20"/>
      <c r="X2658" s="20"/>
      <c r="Y2658" s="20"/>
      <c r="Z2658" s="20"/>
      <c r="AA2658" s="20"/>
    </row>
    <row r="2659" spans="1:27" ht="295.8" x14ac:dyDescent="0.25">
      <c r="A2659" s="16"/>
      <c r="B2659" s="20" t="b">
        <v>0</v>
      </c>
      <c r="C2659" s="20">
        <v>600</v>
      </c>
      <c r="D2659" s="2" t="s">
        <v>5560</v>
      </c>
      <c r="E2659" s="2" t="s">
        <v>5548</v>
      </c>
      <c r="F2659" s="20" t="s">
        <v>56</v>
      </c>
      <c r="G2659" s="2" t="s">
        <v>5561</v>
      </c>
      <c r="H2659" s="16"/>
      <c r="I2659" s="20"/>
      <c r="J2659" s="20"/>
      <c r="K2659" s="20"/>
      <c r="L2659" s="20"/>
      <c r="M2659" s="20"/>
      <c r="N2659" s="20"/>
      <c r="O2659" s="20"/>
      <c r="P2659" s="20"/>
      <c r="Q2659" s="20"/>
      <c r="R2659" s="20"/>
      <c r="S2659" s="20"/>
      <c r="T2659" s="20"/>
      <c r="U2659" s="20"/>
      <c r="V2659" s="20"/>
      <c r="W2659" s="20"/>
      <c r="X2659" s="20"/>
      <c r="Y2659" s="20"/>
      <c r="Z2659" s="20"/>
      <c r="AA2659" s="20"/>
    </row>
    <row r="2660" spans="1:27" ht="174" x14ac:dyDescent="0.25">
      <c r="A2660" s="16"/>
      <c r="B2660" s="20" t="b">
        <v>0</v>
      </c>
      <c r="C2660" s="20">
        <v>100</v>
      </c>
      <c r="D2660" s="2" t="s">
        <v>5562</v>
      </c>
      <c r="E2660" s="2" t="s">
        <v>5548</v>
      </c>
      <c r="F2660" s="20" t="s">
        <v>56</v>
      </c>
      <c r="G2660" s="2" t="s">
        <v>5563</v>
      </c>
      <c r="H2660" s="16"/>
      <c r="I2660" s="20"/>
      <c r="J2660" s="20"/>
      <c r="K2660" s="20"/>
      <c r="L2660" s="20"/>
      <c r="M2660" s="20"/>
      <c r="N2660" s="20"/>
      <c r="O2660" s="20"/>
      <c r="P2660" s="20"/>
      <c r="Q2660" s="20"/>
      <c r="R2660" s="20"/>
      <c r="S2660" s="20"/>
      <c r="T2660" s="20"/>
      <c r="U2660" s="20"/>
      <c r="V2660" s="20"/>
      <c r="W2660" s="20"/>
      <c r="X2660" s="20"/>
      <c r="Y2660" s="20"/>
      <c r="Z2660" s="20"/>
      <c r="AA2660" s="20"/>
    </row>
    <row r="2661" spans="1:27" ht="156.6" x14ac:dyDescent="0.25">
      <c r="A2661" s="16"/>
      <c r="B2661" s="20" t="b">
        <v>0</v>
      </c>
      <c r="C2661" s="20">
        <v>200</v>
      </c>
      <c r="D2661" s="2" t="s">
        <v>5564</v>
      </c>
      <c r="E2661" s="2" t="s">
        <v>5548</v>
      </c>
      <c r="F2661" s="20" t="s">
        <v>56</v>
      </c>
      <c r="G2661" s="2" t="s">
        <v>5565</v>
      </c>
      <c r="H2661" s="16"/>
      <c r="I2661" s="20"/>
      <c r="J2661" s="20"/>
      <c r="K2661" s="20"/>
      <c r="L2661" s="20"/>
      <c r="M2661" s="20"/>
      <c r="N2661" s="20"/>
      <c r="O2661" s="20"/>
      <c r="P2661" s="20"/>
      <c r="Q2661" s="20"/>
      <c r="R2661" s="20"/>
      <c r="S2661" s="20"/>
      <c r="T2661" s="20"/>
      <c r="U2661" s="20"/>
      <c r="V2661" s="20"/>
      <c r="W2661" s="20"/>
      <c r="X2661" s="20"/>
      <c r="Y2661" s="20"/>
      <c r="Z2661" s="20"/>
      <c r="AA2661" s="20"/>
    </row>
    <row r="2662" spans="1:27" ht="139.19999999999999" x14ac:dyDescent="0.25">
      <c r="A2662" s="16"/>
      <c r="B2662" s="20" t="b">
        <v>0</v>
      </c>
      <c r="C2662" s="20">
        <v>200</v>
      </c>
      <c r="D2662" s="2" t="s">
        <v>5566</v>
      </c>
      <c r="E2662" s="2" t="s">
        <v>5548</v>
      </c>
      <c r="F2662" s="20" t="s">
        <v>61</v>
      </c>
      <c r="G2662" s="2" t="s">
        <v>5567</v>
      </c>
      <c r="H2662" s="16"/>
      <c r="I2662" s="20"/>
      <c r="J2662" s="20"/>
      <c r="K2662" s="20"/>
      <c r="L2662" s="20"/>
      <c r="M2662" s="20"/>
      <c r="N2662" s="20"/>
      <c r="O2662" s="20"/>
      <c r="P2662" s="20"/>
      <c r="Q2662" s="20"/>
      <c r="R2662" s="20"/>
      <c r="S2662" s="20"/>
      <c r="T2662" s="20"/>
      <c r="U2662" s="20"/>
      <c r="V2662" s="20"/>
      <c r="W2662" s="20"/>
      <c r="X2662" s="20"/>
      <c r="Y2662" s="20"/>
      <c r="Z2662" s="20"/>
      <c r="AA2662" s="20"/>
    </row>
    <row r="2663" spans="1:27" ht="174" x14ac:dyDescent="0.25">
      <c r="A2663" s="16"/>
      <c r="B2663" s="20" t="b">
        <v>0</v>
      </c>
      <c r="C2663" s="20">
        <v>400</v>
      </c>
      <c r="D2663" s="2" t="s">
        <v>5568</v>
      </c>
      <c r="E2663" s="2" t="s">
        <v>5548</v>
      </c>
      <c r="F2663" s="20" t="s">
        <v>63</v>
      </c>
      <c r="G2663" s="2" t="s">
        <v>5569</v>
      </c>
      <c r="H2663" s="16"/>
      <c r="I2663" s="20"/>
      <c r="J2663" s="20"/>
      <c r="K2663" s="20"/>
      <c r="L2663" s="20"/>
      <c r="M2663" s="20"/>
      <c r="N2663" s="20"/>
      <c r="O2663" s="20"/>
      <c r="P2663" s="20"/>
      <c r="Q2663" s="20"/>
      <c r="R2663" s="20"/>
      <c r="S2663" s="20"/>
      <c r="T2663" s="20"/>
      <c r="U2663" s="20"/>
      <c r="V2663" s="20"/>
      <c r="W2663" s="20"/>
      <c r="X2663" s="20"/>
      <c r="Y2663" s="20"/>
      <c r="Z2663" s="20"/>
      <c r="AA2663" s="20"/>
    </row>
    <row r="2664" spans="1:27" ht="156.6" x14ac:dyDescent="0.25">
      <c r="A2664" s="16"/>
      <c r="B2664" s="20" t="b">
        <v>0</v>
      </c>
      <c r="C2664" s="20">
        <v>600</v>
      </c>
      <c r="D2664" s="2" t="s">
        <v>5570</v>
      </c>
      <c r="E2664" s="2" t="s">
        <v>5548</v>
      </c>
      <c r="F2664" s="20" t="s">
        <v>60</v>
      </c>
      <c r="G2664" s="2" t="s">
        <v>5571</v>
      </c>
      <c r="H2664" s="16"/>
      <c r="I2664" s="20"/>
      <c r="J2664" s="20"/>
      <c r="K2664" s="20"/>
      <c r="L2664" s="20"/>
      <c r="M2664" s="20"/>
      <c r="N2664" s="20"/>
      <c r="O2664" s="20"/>
      <c r="P2664" s="20"/>
      <c r="Q2664" s="20"/>
      <c r="R2664" s="20"/>
      <c r="S2664" s="20"/>
      <c r="T2664" s="20"/>
      <c r="U2664" s="20"/>
      <c r="V2664" s="20"/>
      <c r="W2664" s="20"/>
      <c r="X2664" s="20"/>
      <c r="Y2664" s="20"/>
      <c r="Z2664" s="20"/>
      <c r="AA2664" s="20"/>
    </row>
    <row r="2665" spans="1:27" ht="226.2" x14ac:dyDescent="0.25">
      <c r="A2665" s="16"/>
      <c r="B2665" s="20" t="b">
        <v>0</v>
      </c>
      <c r="C2665" s="20">
        <v>600</v>
      </c>
      <c r="D2665" s="2" t="s">
        <v>5572</v>
      </c>
      <c r="E2665" s="2" t="s">
        <v>5548</v>
      </c>
      <c r="F2665" s="20" t="s">
        <v>56</v>
      </c>
      <c r="G2665" s="2" t="s">
        <v>5573</v>
      </c>
      <c r="H2665" s="16"/>
      <c r="I2665" s="20"/>
      <c r="J2665" s="20"/>
      <c r="K2665" s="20"/>
      <c r="L2665" s="20"/>
      <c r="M2665" s="20"/>
      <c r="N2665" s="20"/>
      <c r="O2665" s="20"/>
      <c r="P2665" s="20"/>
      <c r="Q2665" s="20"/>
      <c r="R2665" s="20"/>
      <c r="S2665" s="20"/>
      <c r="T2665" s="20"/>
      <c r="U2665" s="20"/>
      <c r="V2665" s="20"/>
      <c r="W2665" s="20"/>
      <c r="X2665" s="20"/>
      <c r="Y2665" s="20"/>
      <c r="Z2665" s="20"/>
      <c r="AA2665" s="20"/>
    </row>
    <row r="2666" spans="1:27" ht="174" x14ac:dyDescent="0.25">
      <c r="A2666" s="16"/>
      <c r="B2666" s="20" t="b">
        <v>0</v>
      </c>
      <c r="C2666" s="20">
        <v>0</v>
      </c>
      <c r="D2666" s="2" t="s">
        <v>5574</v>
      </c>
      <c r="E2666" s="2" t="s">
        <v>5548</v>
      </c>
      <c r="F2666" s="20" t="s">
        <v>53</v>
      </c>
      <c r="G2666" s="2" t="s">
        <v>5575</v>
      </c>
      <c r="H2666" s="16"/>
      <c r="I2666" s="20"/>
      <c r="J2666" s="20"/>
      <c r="K2666" s="20"/>
      <c r="L2666" s="20"/>
      <c r="M2666" s="20"/>
      <c r="N2666" s="20"/>
      <c r="O2666" s="20"/>
      <c r="P2666" s="20"/>
      <c r="Q2666" s="20"/>
      <c r="R2666" s="20"/>
      <c r="S2666" s="20"/>
      <c r="T2666" s="20"/>
      <c r="U2666" s="20"/>
      <c r="V2666" s="20"/>
      <c r="W2666" s="20"/>
      <c r="X2666" s="20"/>
      <c r="Y2666" s="20"/>
      <c r="Z2666" s="20"/>
      <c r="AA2666" s="20"/>
    </row>
    <row r="2667" spans="1:27" ht="191.4" x14ac:dyDescent="0.25">
      <c r="A2667" s="16"/>
      <c r="B2667" s="20" t="b">
        <v>0</v>
      </c>
      <c r="C2667" s="20">
        <v>100</v>
      </c>
      <c r="D2667" s="2" t="s">
        <v>5576</v>
      </c>
      <c r="E2667" s="2" t="s">
        <v>5548</v>
      </c>
      <c r="F2667" s="20" t="s">
        <v>53</v>
      </c>
      <c r="G2667" s="2" t="s">
        <v>5577</v>
      </c>
      <c r="H2667" s="16"/>
      <c r="I2667" s="20"/>
      <c r="J2667" s="20"/>
      <c r="K2667" s="20"/>
      <c r="L2667" s="20"/>
      <c r="M2667" s="20"/>
      <c r="N2667" s="20"/>
      <c r="O2667" s="20"/>
      <c r="P2667" s="20"/>
      <c r="Q2667" s="20"/>
      <c r="R2667" s="20"/>
      <c r="S2667" s="20"/>
      <c r="T2667" s="20"/>
      <c r="U2667" s="20"/>
      <c r="V2667" s="20"/>
      <c r="W2667" s="20"/>
      <c r="X2667" s="20"/>
      <c r="Y2667" s="20"/>
      <c r="Z2667" s="20"/>
      <c r="AA2667" s="20"/>
    </row>
    <row r="2668" spans="1:27" ht="174" x14ac:dyDescent="0.25">
      <c r="A2668" s="16"/>
      <c r="B2668" s="20" t="b">
        <v>0</v>
      </c>
      <c r="C2668" s="20">
        <v>200</v>
      </c>
      <c r="D2668" s="2" t="s">
        <v>5578</v>
      </c>
      <c r="E2668" s="2" t="s">
        <v>5548</v>
      </c>
      <c r="F2668" s="20" t="s">
        <v>57</v>
      </c>
      <c r="G2668" s="2" t="s">
        <v>5579</v>
      </c>
      <c r="H2668" s="16"/>
      <c r="I2668" s="20"/>
      <c r="J2668" s="20"/>
      <c r="K2668" s="20"/>
      <c r="L2668" s="20"/>
      <c r="M2668" s="20"/>
      <c r="N2668" s="20"/>
      <c r="O2668" s="20"/>
      <c r="P2668" s="20"/>
      <c r="Q2668" s="20"/>
      <c r="R2668" s="20"/>
      <c r="S2668" s="20"/>
      <c r="T2668" s="20"/>
      <c r="U2668" s="20"/>
      <c r="V2668" s="20"/>
      <c r="W2668" s="20"/>
      <c r="X2668" s="20"/>
      <c r="Y2668" s="20"/>
      <c r="Z2668" s="20"/>
      <c r="AA2668" s="20"/>
    </row>
    <row r="2669" spans="1:27" ht="174" x14ac:dyDescent="0.25">
      <c r="A2669" s="16"/>
      <c r="B2669" s="20" t="b">
        <v>0</v>
      </c>
      <c r="C2669" s="20">
        <v>200</v>
      </c>
      <c r="D2669" s="2" t="s">
        <v>5580</v>
      </c>
      <c r="E2669" s="2" t="s">
        <v>5548</v>
      </c>
      <c r="F2669" s="20" t="s">
        <v>63</v>
      </c>
      <c r="G2669" s="2" t="s">
        <v>5581</v>
      </c>
      <c r="H2669" s="16"/>
      <c r="I2669" s="20"/>
      <c r="J2669" s="20"/>
      <c r="K2669" s="20"/>
      <c r="L2669" s="20"/>
      <c r="M2669" s="20"/>
      <c r="N2669" s="20"/>
      <c r="O2669" s="20"/>
      <c r="P2669" s="20"/>
      <c r="Q2669" s="20"/>
      <c r="R2669" s="20"/>
      <c r="S2669" s="20"/>
      <c r="T2669" s="20"/>
      <c r="U2669" s="20"/>
      <c r="V2669" s="20"/>
      <c r="W2669" s="20"/>
      <c r="X2669" s="20"/>
      <c r="Y2669" s="20"/>
      <c r="Z2669" s="20"/>
      <c r="AA2669" s="20"/>
    </row>
    <row r="2670" spans="1:27" ht="156.6" x14ac:dyDescent="0.25">
      <c r="A2670" s="16"/>
      <c r="B2670" s="20" t="b">
        <v>0</v>
      </c>
      <c r="C2670" s="20">
        <v>400</v>
      </c>
      <c r="D2670" s="2" t="s">
        <v>5582</v>
      </c>
      <c r="E2670" s="2" t="s">
        <v>5548</v>
      </c>
      <c r="F2670" s="20" t="s">
        <v>57</v>
      </c>
      <c r="G2670" s="2" t="s">
        <v>5583</v>
      </c>
      <c r="H2670" s="16"/>
      <c r="I2670" s="20"/>
      <c r="J2670" s="20"/>
      <c r="K2670" s="20"/>
      <c r="L2670" s="20"/>
      <c r="M2670" s="20"/>
      <c r="N2670" s="20"/>
      <c r="O2670" s="20"/>
      <c r="P2670" s="20"/>
      <c r="Q2670" s="20"/>
      <c r="R2670" s="20"/>
      <c r="S2670" s="20"/>
      <c r="T2670" s="20"/>
      <c r="U2670" s="20"/>
      <c r="V2670" s="20"/>
      <c r="W2670" s="20"/>
      <c r="X2670" s="20"/>
      <c r="Y2670" s="20"/>
      <c r="Z2670" s="20"/>
      <c r="AA2670" s="20"/>
    </row>
    <row r="2671" spans="1:27" ht="139.19999999999999" x14ac:dyDescent="0.25">
      <c r="A2671" s="16"/>
      <c r="B2671" s="20" t="b">
        <v>0</v>
      </c>
      <c r="C2671" s="20">
        <v>400</v>
      </c>
      <c r="D2671" s="2" t="s">
        <v>5584</v>
      </c>
      <c r="E2671" s="2" t="s">
        <v>5548</v>
      </c>
      <c r="F2671" s="20" t="s">
        <v>62</v>
      </c>
      <c r="G2671" s="2" t="s">
        <v>5585</v>
      </c>
      <c r="H2671" s="16"/>
      <c r="I2671" s="20"/>
      <c r="J2671" s="20"/>
      <c r="K2671" s="20"/>
      <c r="L2671" s="20"/>
      <c r="M2671" s="20"/>
      <c r="N2671" s="20"/>
      <c r="O2671" s="20"/>
      <c r="P2671" s="20"/>
      <c r="Q2671" s="20"/>
      <c r="R2671" s="20"/>
      <c r="S2671" s="20"/>
      <c r="T2671" s="20"/>
      <c r="U2671" s="20"/>
      <c r="V2671" s="20"/>
      <c r="W2671" s="20"/>
      <c r="X2671" s="20"/>
      <c r="Y2671" s="20"/>
      <c r="Z2671" s="20"/>
      <c r="AA2671" s="20"/>
    </row>
    <row r="2672" spans="1:27" ht="208.8" x14ac:dyDescent="0.25">
      <c r="A2672" s="16"/>
      <c r="B2672" s="20" t="b">
        <v>0</v>
      </c>
      <c r="C2672" s="20">
        <v>600</v>
      </c>
      <c r="D2672" s="2" t="s">
        <v>5586</v>
      </c>
      <c r="E2672" s="2" t="s">
        <v>5548</v>
      </c>
      <c r="F2672" s="20" t="s">
        <v>60</v>
      </c>
      <c r="G2672" s="2" t="s">
        <v>5587</v>
      </c>
      <c r="H2672" s="16"/>
      <c r="I2672" s="20"/>
      <c r="J2672" s="20"/>
      <c r="K2672" s="20"/>
      <c r="L2672" s="20"/>
      <c r="M2672" s="20"/>
      <c r="N2672" s="20"/>
      <c r="O2672" s="20"/>
      <c r="P2672" s="20"/>
      <c r="Q2672" s="20"/>
      <c r="R2672" s="20"/>
      <c r="S2672" s="20"/>
      <c r="T2672" s="20"/>
      <c r="U2672" s="20"/>
      <c r="V2672" s="20"/>
      <c r="W2672" s="20"/>
      <c r="X2672" s="20"/>
      <c r="Y2672" s="20"/>
      <c r="Z2672" s="20"/>
      <c r="AA2672" s="20"/>
    </row>
    <row r="2673" spans="1:27" ht="208.8" x14ac:dyDescent="0.25">
      <c r="A2673" s="16"/>
      <c r="B2673" s="20" t="b">
        <v>0</v>
      </c>
      <c r="C2673" s="20">
        <v>600</v>
      </c>
      <c r="D2673" s="2" t="s">
        <v>5588</v>
      </c>
      <c r="E2673" s="2" t="s">
        <v>5548</v>
      </c>
      <c r="F2673" s="20" t="s">
        <v>53</v>
      </c>
      <c r="G2673" s="2" t="s">
        <v>5589</v>
      </c>
      <c r="H2673" s="16"/>
      <c r="I2673" s="20"/>
      <c r="J2673" s="20"/>
      <c r="K2673" s="20"/>
      <c r="L2673" s="20"/>
      <c r="M2673" s="20"/>
      <c r="N2673" s="20"/>
      <c r="O2673" s="20"/>
      <c r="P2673" s="20"/>
      <c r="Q2673" s="20"/>
      <c r="R2673" s="20"/>
      <c r="S2673" s="20"/>
      <c r="T2673" s="20"/>
      <c r="U2673" s="20"/>
      <c r="V2673" s="20"/>
      <c r="W2673" s="20"/>
      <c r="X2673" s="20"/>
      <c r="Y2673" s="20"/>
      <c r="Z2673" s="20"/>
      <c r="AA2673" s="20"/>
    </row>
    <row r="2674" spans="1:27" ht="226.2" x14ac:dyDescent="0.25">
      <c r="A2674" s="16"/>
      <c r="B2674" s="20" t="b">
        <v>0</v>
      </c>
      <c r="C2674" s="20">
        <v>100</v>
      </c>
      <c r="D2674" s="2" t="s">
        <v>5590</v>
      </c>
      <c r="E2674" s="2" t="s">
        <v>5548</v>
      </c>
      <c r="F2674" s="20" t="s">
        <v>53</v>
      </c>
      <c r="G2674" s="2" t="s">
        <v>5591</v>
      </c>
      <c r="H2674" s="16"/>
      <c r="I2674" s="20"/>
      <c r="J2674" s="20"/>
      <c r="K2674" s="20"/>
      <c r="L2674" s="20"/>
      <c r="M2674" s="20"/>
      <c r="N2674" s="20"/>
      <c r="O2674" s="20"/>
      <c r="P2674" s="20"/>
      <c r="Q2674" s="20"/>
      <c r="R2674" s="20"/>
      <c r="S2674" s="20"/>
      <c r="T2674" s="20"/>
      <c r="U2674" s="20"/>
      <c r="V2674" s="20"/>
      <c r="W2674" s="20"/>
      <c r="X2674" s="20"/>
      <c r="Y2674" s="20"/>
      <c r="Z2674" s="20"/>
      <c r="AA2674" s="20"/>
    </row>
    <row r="2675" spans="1:27" ht="208.8" x14ac:dyDescent="0.25">
      <c r="A2675" s="16"/>
      <c r="B2675" s="20" t="b">
        <v>0</v>
      </c>
      <c r="C2675" s="20">
        <v>200</v>
      </c>
      <c r="D2675" s="2" t="s">
        <v>5592</v>
      </c>
      <c r="E2675" s="2" t="s">
        <v>5548</v>
      </c>
      <c r="F2675" s="20" t="s">
        <v>64</v>
      </c>
      <c r="G2675" s="2" t="s">
        <v>5593</v>
      </c>
      <c r="H2675" s="16"/>
      <c r="I2675" s="20"/>
      <c r="J2675" s="20"/>
      <c r="K2675" s="20"/>
      <c r="L2675" s="20"/>
      <c r="M2675" s="20"/>
      <c r="N2675" s="20"/>
      <c r="O2675" s="20"/>
      <c r="P2675" s="20"/>
      <c r="Q2675" s="20"/>
      <c r="R2675" s="20"/>
      <c r="S2675" s="20"/>
      <c r="T2675" s="20"/>
      <c r="U2675" s="20"/>
      <c r="V2675" s="20"/>
      <c r="W2675" s="20"/>
      <c r="X2675" s="20"/>
      <c r="Y2675" s="20"/>
      <c r="Z2675" s="20"/>
      <c r="AA2675" s="20"/>
    </row>
    <row r="2676" spans="1:27" ht="191.4" x14ac:dyDescent="0.25">
      <c r="A2676" s="16"/>
      <c r="B2676" s="20" t="b">
        <v>0</v>
      </c>
      <c r="C2676" s="20">
        <v>200</v>
      </c>
      <c r="D2676" s="2" t="s">
        <v>5594</v>
      </c>
      <c r="E2676" s="2" t="s">
        <v>5548</v>
      </c>
      <c r="F2676" s="20" t="s">
        <v>57</v>
      </c>
      <c r="G2676" s="2" t="s">
        <v>5595</v>
      </c>
      <c r="H2676" s="16"/>
      <c r="I2676" s="20"/>
      <c r="J2676" s="20"/>
      <c r="K2676" s="20"/>
      <c r="L2676" s="20"/>
      <c r="M2676" s="20"/>
      <c r="N2676" s="20"/>
      <c r="O2676" s="20"/>
      <c r="P2676" s="20"/>
      <c r="Q2676" s="20"/>
      <c r="R2676" s="20"/>
      <c r="S2676" s="20"/>
      <c r="T2676" s="20"/>
      <c r="U2676" s="20"/>
      <c r="V2676" s="20"/>
      <c r="W2676" s="20"/>
      <c r="X2676" s="20"/>
      <c r="Y2676" s="20"/>
      <c r="Z2676" s="20"/>
      <c r="AA2676" s="20"/>
    </row>
    <row r="2677" spans="1:27" ht="174" x14ac:dyDescent="0.25">
      <c r="A2677" s="16"/>
      <c r="B2677" s="20" t="b">
        <v>0</v>
      </c>
      <c r="C2677" s="20">
        <v>400</v>
      </c>
      <c r="D2677" s="2" t="s">
        <v>5596</v>
      </c>
      <c r="E2677" s="2" t="s">
        <v>5548</v>
      </c>
      <c r="F2677" s="20" t="s">
        <v>62</v>
      </c>
      <c r="G2677" s="2" t="s">
        <v>5597</v>
      </c>
      <c r="H2677" s="16"/>
      <c r="I2677" s="20"/>
      <c r="J2677" s="20"/>
      <c r="K2677" s="20"/>
      <c r="L2677" s="20"/>
      <c r="M2677" s="20"/>
      <c r="N2677" s="20"/>
      <c r="O2677" s="20"/>
      <c r="P2677" s="20"/>
      <c r="Q2677" s="20"/>
      <c r="R2677" s="20"/>
      <c r="S2677" s="20"/>
      <c r="T2677" s="20"/>
      <c r="U2677" s="20"/>
      <c r="V2677" s="20"/>
      <c r="W2677" s="20"/>
      <c r="X2677" s="20"/>
      <c r="Y2677" s="20"/>
      <c r="Z2677" s="20"/>
      <c r="AA2677" s="20"/>
    </row>
    <row r="2678" spans="1:27" ht="174" x14ac:dyDescent="0.25">
      <c r="A2678" s="16"/>
      <c r="B2678" s="20" t="b">
        <v>0</v>
      </c>
      <c r="C2678" s="20">
        <v>400</v>
      </c>
      <c r="D2678" s="2" t="s">
        <v>5598</v>
      </c>
      <c r="E2678" s="2" t="s">
        <v>5548</v>
      </c>
      <c r="F2678" s="20" t="s">
        <v>62</v>
      </c>
      <c r="G2678" s="2" t="s">
        <v>5599</v>
      </c>
      <c r="H2678" s="16"/>
      <c r="I2678" s="20"/>
      <c r="J2678" s="20"/>
      <c r="K2678" s="20"/>
      <c r="L2678" s="20"/>
      <c r="M2678" s="20"/>
      <c r="N2678" s="20"/>
      <c r="O2678" s="20"/>
      <c r="P2678" s="20"/>
      <c r="Q2678" s="20"/>
      <c r="R2678" s="20"/>
      <c r="S2678" s="20"/>
      <c r="T2678" s="20"/>
      <c r="U2678" s="20"/>
      <c r="V2678" s="20"/>
      <c r="W2678" s="20"/>
      <c r="X2678" s="20"/>
      <c r="Y2678" s="20"/>
      <c r="Z2678" s="20"/>
      <c r="AA2678" s="20"/>
    </row>
    <row r="2679" spans="1:27" ht="208.8" x14ac:dyDescent="0.25">
      <c r="A2679" s="16"/>
      <c r="B2679" s="20" t="b">
        <v>0</v>
      </c>
      <c r="C2679" s="20">
        <v>600</v>
      </c>
      <c r="D2679" s="2" t="s">
        <v>5600</v>
      </c>
      <c r="E2679" s="2" t="s">
        <v>5548</v>
      </c>
      <c r="F2679" s="20" t="s">
        <v>56</v>
      </c>
      <c r="G2679" s="2" t="s">
        <v>5601</v>
      </c>
      <c r="H2679" s="16"/>
      <c r="I2679" s="20"/>
      <c r="J2679" s="20"/>
      <c r="K2679" s="20"/>
      <c r="L2679" s="20"/>
      <c r="M2679" s="20"/>
      <c r="N2679" s="20"/>
      <c r="O2679" s="20"/>
      <c r="P2679" s="20"/>
      <c r="Q2679" s="20"/>
      <c r="R2679" s="20"/>
      <c r="S2679" s="20"/>
      <c r="T2679" s="20"/>
      <c r="U2679" s="20"/>
      <c r="V2679" s="20"/>
      <c r="W2679" s="20"/>
      <c r="X2679" s="20"/>
      <c r="Y2679" s="20"/>
      <c r="Z2679" s="20"/>
      <c r="AA2679" s="20"/>
    </row>
    <row r="2680" spans="1:27" ht="226.2" x14ac:dyDescent="0.25">
      <c r="A2680" s="16"/>
      <c r="B2680" s="20" t="b">
        <v>0</v>
      </c>
      <c r="C2680" s="20">
        <v>600</v>
      </c>
      <c r="D2680" s="2" t="s">
        <v>5602</v>
      </c>
      <c r="E2680" s="2" t="s">
        <v>5548</v>
      </c>
      <c r="F2680" s="20" t="s">
        <v>56</v>
      </c>
      <c r="G2680" s="2" t="s">
        <v>5603</v>
      </c>
      <c r="H2680" s="16"/>
      <c r="I2680" s="20"/>
      <c r="J2680" s="20"/>
      <c r="K2680" s="20"/>
      <c r="L2680" s="20"/>
      <c r="M2680" s="20"/>
      <c r="N2680" s="20"/>
      <c r="O2680" s="20"/>
      <c r="P2680" s="20"/>
      <c r="Q2680" s="20"/>
      <c r="R2680" s="20"/>
      <c r="S2680" s="20"/>
      <c r="T2680" s="20"/>
      <c r="U2680" s="20"/>
      <c r="V2680" s="20"/>
      <c r="W2680" s="20"/>
      <c r="X2680" s="20"/>
      <c r="Y2680" s="20"/>
      <c r="Z2680" s="20"/>
      <c r="AA2680" s="20"/>
    </row>
    <row r="2681" spans="1:27" ht="208.8" x14ac:dyDescent="0.25">
      <c r="A2681" s="16"/>
      <c r="B2681" s="20" t="b">
        <v>0</v>
      </c>
      <c r="C2681" s="20">
        <v>100</v>
      </c>
      <c r="D2681" s="2" t="s">
        <v>5604</v>
      </c>
      <c r="E2681" s="2" t="s">
        <v>5548</v>
      </c>
      <c r="F2681" s="20" t="s">
        <v>59</v>
      </c>
      <c r="G2681" s="2" t="s">
        <v>5605</v>
      </c>
      <c r="H2681" s="16"/>
      <c r="I2681" s="20"/>
      <c r="J2681" s="20"/>
      <c r="K2681" s="20"/>
      <c r="L2681" s="20"/>
      <c r="M2681" s="20"/>
      <c r="N2681" s="20"/>
      <c r="O2681" s="20"/>
      <c r="P2681" s="20"/>
      <c r="Q2681" s="20"/>
      <c r="R2681" s="20"/>
      <c r="S2681" s="20"/>
      <c r="T2681" s="20"/>
      <c r="U2681" s="20"/>
      <c r="V2681" s="20"/>
      <c r="W2681" s="20"/>
      <c r="X2681" s="20"/>
      <c r="Y2681" s="20"/>
      <c r="Z2681" s="20"/>
      <c r="AA2681" s="20"/>
    </row>
    <row r="2682" spans="1:27" ht="174" x14ac:dyDescent="0.25">
      <c r="A2682" s="16"/>
      <c r="B2682" s="20" t="b">
        <v>0</v>
      </c>
      <c r="C2682" s="20">
        <v>200</v>
      </c>
      <c r="D2682" s="2" t="s">
        <v>5606</v>
      </c>
      <c r="E2682" s="2" t="s">
        <v>5548</v>
      </c>
      <c r="F2682" s="20" t="s">
        <v>64</v>
      </c>
      <c r="G2682" s="2" t="s">
        <v>5607</v>
      </c>
      <c r="H2682" s="16"/>
      <c r="I2682" s="20"/>
      <c r="J2682" s="20"/>
      <c r="K2682" s="20"/>
      <c r="L2682" s="20"/>
      <c r="M2682" s="20"/>
      <c r="N2682" s="20"/>
      <c r="O2682" s="20"/>
      <c r="P2682" s="20"/>
      <c r="Q2682" s="20"/>
      <c r="R2682" s="20"/>
      <c r="S2682" s="20"/>
      <c r="T2682" s="20"/>
      <c r="U2682" s="20"/>
      <c r="V2682" s="20"/>
      <c r="W2682" s="20"/>
      <c r="X2682" s="20"/>
      <c r="Y2682" s="20"/>
      <c r="Z2682" s="20"/>
      <c r="AA2682" s="20"/>
    </row>
    <row r="2683" spans="1:27" ht="208.8" x14ac:dyDescent="0.25">
      <c r="A2683" s="16"/>
      <c r="B2683" s="20" t="b">
        <v>0</v>
      </c>
      <c r="C2683" s="20">
        <v>400</v>
      </c>
      <c r="D2683" s="2" t="s">
        <v>5608</v>
      </c>
      <c r="E2683" s="2" t="s">
        <v>5548</v>
      </c>
      <c r="F2683" s="20" t="s">
        <v>64</v>
      </c>
      <c r="G2683" s="2" t="s">
        <v>5609</v>
      </c>
      <c r="H2683" s="16"/>
      <c r="I2683" s="20"/>
      <c r="J2683" s="20"/>
      <c r="K2683" s="20"/>
      <c r="L2683" s="20"/>
      <c r="M2683" s="20"/>
      <c r="N2683" s="20"/>
      <c r="O2683" s="20"/>
      <c r="P2683" s="20"/>
      <c r="Q2683" s="20"/>
      <c r="R2683" s="20"/>
      <c r="S2683" s="20"/>
      <c r="T2683" s="20"/>
      <c r="U2683" s="20"/>
      <c r="V2683" s="20"/>
      <c r="W2683" s="20"/>
      <c r="X2683" s="20"/>
      <c r="Y2683" s="20"/>
      <c r="Z2683" s="20"/>
      <c r="AA2683" s="20"/>
    </row>
    <row r="2684" spans="1:27" ht="174" x14ac:dyDescent="0.25">
      <c r="A2684" s="16"/>
      <c r="B2684" s="20" t="b">
        <v>0</v>
      </c>
      <c r="C2684" s="20">
        <v>400</v>
      </c>
      <c r="D2684" s="2" t="s">
        <v>5610</v>
      </c>
      <c r="E2684" s="2" t="s">
        <v>5548</v>
      </c>
      <c r="F2684" s="20" t="s">
        <v>56</v>
      </c>
      <c r="G2684" s="2" t="s">
        <v>5611</v>
      </c>
      <c r="H2684" s="16"/>
      <c r="I2684" s="20"/>
      <c r="J2684" s="20"/>
      <c r="K2684" s="20"/>
      <c r="L2684" s="20"/>
      <c r="M2684" s="20"/>
      <c r="N2684" s="20"/>
      <c r="O2684" s="20"/>
      <c r="P2684" s="20"/>
      <c r="Q2684" s="20"/>
      <c r="R2684" s="20"/>
      <c r="S2684" s="20"/>
      <c r="T2684" s="20"/>
      <c r="U2684" s="20"/>
      <c r="V2684" s="20"/>
      <c r="W2684" s="20"/>
      <c r="X2684" s="20"/>
      <c r="Y2684" s="20"/>
      <c r="Z2684" s="20"/>
      <c r="AA2684" s="20"/>
    </row>
    <row r="2685" spans="1:27" ht="174" x14ac:dyDescent="0.25">
      <c r="A2685" s="16"/>
      <c r="B2685" s="20" t="b">
        <v>0</v>
      </c>
      <c r="C2685" s="20">
        <v>600</v>
      </c>
      <c r="D2685" s="2" t="s">
        <v>5612</v>
      </c>
      <c r="E2685" s="2" t="s">
        <v>5548</v>
      </c>
      <c r="F2685" s="20" t="s">
        <v>59</v>
      </c>
      <c r="G2685" s="2" t="s">
        <v>5613</v>
      </c>
      <c r="H2685" s="16"/>
      <c r="I2685" s="20"/>
      <c r="J2685" s="20"/>
      <c r="K2685" s="20"/>
      <c r="L2685" s="20"/>
      <c r="M2685" s="20"/>
      <c r="N2685" s="20"/>
      <c r="O2685" s="20"/>
      <c r="P2685" s="20"/>
      <c r="Q2685" s="20"/>
      <c r="R2685" s="20"/>
      <c r="S2685" s="20"/>
      <c r="T2685" s="20"/>
      <c r="U2685" s="20"/>
      <c r="V2685" s="20"/>
      <c r="W2685" s="20"/>
      <c r="X2685" s="20"/>
      <c r="Y2685" s="20"/>
      <c r="Z2685" s="20"/>
      <c r="AA2685" s="20"/>
    </row>
    <row r="2686" spans="1:27" ht="243.6" x14ac:dyDescent="0.25">
      <c r="A2686" s="16"/>
      <c r="B2686" s="20" t="b">
        <v>0</v>
      </c>
      <c r="C2686" s="20">
        <v>600</v>
      </c>
      <c r="D2686" s="2" t="s">
        <v>5614</v>
      </c>
      <c r="E2686" s="2" t="s">
        <v>5548</v>
      </c>
      <c r="F2686" s="20" t="s">
        <v>58</v>
      </c>
      <c r="G2686" s="2" t="s">
        <v>5615</v>
      </c>
      <c r="H2686" s="16"/>
      <c r="I2686" s="20"/>
      <c r="J2686" s="20"/>
      <c r="K2686" s="20"/>
      <c r="L2686" s="20"/>
      <c r="M2686" s="20"/>
      <c r="N2686" s="20"/>
      <c r="O2686" s="20"/>
      <c r="P2686" s="20"/>
      <c r="Q2686" s="20"/>
      <c r="R2686" s="20"/>
      <c r="S2686" s="20"/>
      <c r="T2686" s="20"/>
      <c r="U2686" s="20"/>
      <c r="V2686" s="20"/>
      <c r="W2686" s="20"/>
      <c r="X2686" s="20"/>
      <c r="Y2686" s="20"/>
      <c r="Z2686" s="20"/>
      <c r="AA2686" s="20"/>
    </row>
    <row r="2687" spans="1:27" ht="156.6" x14ac:dyDescent="0.25">
      <c r="A2687" s="16"/>
      <c r="B2687" s="20" t="b">
        <v>0</v>
      </c>
      <c r="C2687" s="20">
        <v>200</v>
      </c>
      <c r="D2687" s="2" t="s">
        <v>5616</v>
      </c>
      <c r="E2687" s="2" t="s">
        <v>5548</v>
      </c>
      <c r="F2687" s="20" t="s">
        <v>56</v>
      </c>
      <c r="G2687" s="2" t="s">
        <v>5617</v>
      </c>
      <c r="H2687" s="16"/>
      <c r="I2687" s="20"/>
      <c r="J2687" s="20"/>
      <c r="K2687" s="20"/>
      <c r="L2687" s="20"/>
      <c r="M2687" s="20"/>
      <c r="N2687" s="20"/>
      <c r="O2687" s="20"/>
      <c r="P2687" s="20"/>
      <c r="Q2687" s="20"/>
      <c r="R2687" s="20"/>
      <c r="S2687" s="20"/>
      <c r="T2687" s="20"/>
      <c r="U2687" s="20"/>
      <c r="V2687" s="20"/>
      <c r="W2687" s="20"/>
      <c r="X2687" s="20"/>
      <c r="Y2687" s="20"/>
      <c r="Z2687" s="20"/>
      <c r="AA2687" s="20"/>
    </row>
    <row r="2688" spans="1:27" ht="208.8" x14ac:dyDescent="0.25">
      <c r="A2688" s="16"/>
      <c r="B2688" s="20" t="b">
        <v>0</v>
      </c>
      <c r="C2688" s="20">
        <v>200</v>
      </c>
      <c r="D2688" s="2" t="s">
        <v>5618</v>
      </c>
      <c r="E2688" s="2" t="s">
        <v>5548</v>
      </c>
      <c r="F2688" s="20" t="s">
        <v>57</v>
      </c>
      <c r="G2688" s="2" t="s">
        <v>5619</v>
      </c>
      <c r="H2688" s="16"/>
      <c r="I2688" s="20"/>
      <c r="J2688" s="20"/>
      <c r="K2688" s="20"/>
      <c r="L2688" s="20"/>
      <c r="M2688" s="20"/>
      <c r="N2688" s="20"/>
      <c r="O2688" s="20"/>
      <c r="P2688" s="20"/>
      <c r="Q2688" s="20"/>
      <c r="R2688" s="20"/>
      <c r="S2688" s="20"/>
      <c r="T2688" s="20"/>
      <c r="U2688" s="20"/>
      <c r="V2688" s="20"/>
      <c r="W2688" s="20"/>
      <c r="X2688" s="20"/>
      <c r="Y2688" s="20"/>
      <c r="Z2688" s="20"/>
      <c r="AA2688" s="20"/>
    </row>
    <row r="2689" spans="1:27" ht="174" x14ac:dyDescent="0.25">
      <c r="A2689" s="16"/>
      <c r="B2689" s="20" t="b">
        <v>0</v>
      </c>
      <c r="C2689" s="20">
        <v>400</v>
      </c>
      <c r="D2689" s="2" t="s">
        <v>5620</v>
      </c>
      <c r="E2689" s="2" t="s">
        <v>5548</v>
      </c>
      <c r="F2689" s="20" t="s">
        <v>56</v>
      </c>
      <c r="G2689" s="2" t="s">
        <v>5621</v>
      </c>
      <c r="H2689" s="16"/>
      <c r="I2689" s="20"/>
      <c r="J2689" s="20"/>
      <c r="K2689" s="20"/>
      <c r="L2689" s="20"/>
      <c r="M2689" s="20"/>
      <c r="N2689" s="20"/>
      <c r="O2689" s="20"/>
      <c r="P2689" s="20"/>
      <c r="Q2689" s="20"/>
      <c r="R2689" s="20"/>
      <c r="S2689" s="20"/>
      <c r="T2689" s="20"/>
      <c r="U2689" s="20"/>
      <c r="V2689" s="20"/>
      <c r="W2689" s="20"/>
      <c r="X2689" s="20"/>
      <c r="Y2689" s="20"/>
      <c r="Z2689" s="20"/>
      <c r="AA2689" s="20"/>
    </row>
    <row r="2690" spans="1:27" ht="191.4" x14ac:dyDescent="0.25">
      <c r="A2690" s="16"/>
      <c r="B2690" s="20" t="b">
        <v>0</v>
      </c>
      <c r="C2690" s="20">
        <v>600</v>
      </c>
      <c r="D2690" s="2" t="s">
        <v>5622</v>
      </c>
      <c r="E2690" s="2" t="s">
        <v>5548</v>
      </c>
      <c r="F2690" s="20" t="s">
        <v>56</v>
      </c>
      <c r="G2690" s="2" t="s">
        <v>5623</v>
      </c>
      <c r="H2690" s="16"/>
      <c r="I2690" s="20"/>
      <c r="J2690" s="20"/>
      <c r="K2690" s="20"/>
      <c r="L2690" s="20"/>
      <c r="M2690" s="20"/>
      <c r="N2690" s="20"/>
      <c r="O2690" s="20"/>
      <c r="P2690" s="20"/>
      <c r="Q2690" s="20"/>
      <c r="R2690" s="20"/>
      <c r="S2690" s="20"/>
      <c r="T2690" s="20"/>
      <c r="U2690" s="20"/>
      <c r="V2690" s="20"/>
      <c r="W2690" s="20"/>
      <c r="X2690" s="20"/>
      <c r="Y2690" s="20"/>
      <c r="Z2690" s="20"/>
      <c r="AA2690" s="20"/>
    </row>
    <row r="2691" spans="1:27" ht="243.6" x14ac:dyDescent="0.25">
      <c r="A2691" s="16"/>
      <c r="B2691" s="20" t="b">
        <v>0</v>
      </c>
      <c r="C2691" s="20">
        <v>600</v>
      </c>
      <c r="D2691" s="2" t="s">
        <v>5624</v>
      </c>
      <c r="E2691" s="2" t="s">
        <v>5548</v>
      </c>
      <c r="F2691" s="20" t="s">
        <v>58</v>
      </c>
      <c r="G2691" s="2" t="s">
        <v>5625</v>
      </c>
      <c r="H2691" s="16"/>
      <c r="I2691" s="20"/>
      <c r="J2691" s="20"/>
      <c r="K2691" s="20"/>
      <c r="L2691" s="20"/>
      <c r="M2691" s="20"/>
      <c r="N2691" s="20"/>
      <c r="O2691" s="20"/>
      <c r="P2691" s="20"/>
      <c r="Q2691" s="20"/>
      <c r="R2691" s="20"/>
      <c r="S2691" s="20"/>
      <c r="T2691" s="20"/>
      <c r="U2691" s="20"/>
      <c r="V2691" s="20"/>
      <c r="W2691" s="20"/>
      <c r="X2691" s="20"/>
      <c r="Y2691" s="20"/>
      <c r="Z2691" s="20"/>
      <c r="AA2691" s="20"/>
    </row>
    <row r="2692" spans="1:27" ht="174" x14ac:dyDescent="0.25">
      <c r="A2692" s="16"/>
      <c r="B2692" s="20" t="b">
        <v>0</v>
      </c>
      <c r="C2692" s="20">
        <v>100</v>
      </c>
      <c r="D2692" s="2" t="s">
        <v>5626</v>
      </c>
      <c r="E2692" s="2" t="s">
        <v>5548</v>
      </c>
      <c r="F2692" s="20" t="s">
        <v>59</v>
      </c>
      <c r="G2692" s="2" t="s">
        <v>5627</v>
      </c>
      <c r="H2692" s="16"/>
      <c r="I2692" s="20"/>
      <c r="J2692" s="20"/>
      <c r="K2692" s="20"/>
      <c r="L2692" s="20"/>
      <c r="M2692" s="20"/>
      <c r="N2692" s="20"/>
      <c r="O2692" s="20"/>
      <c r="P2692" s="20"/>
      <c r="Q2692" s="20"/>
      <c r="R2692" s="20"/>
      <c r="S2692" s="20"/>
      <c r="T2692" s="20"/>
      <c r="U2692" s="20"/>
      <c r="V2692" s="20"/>
      <c r="W2692" s="20"/>
      <c r="X2692" s="20"/>
      <c r="Y2692" s="20"/>
      <c r="Z2692" s="20"/>
      <c r="AA2692" s="20"/>
    </row>
    <row r="2693" spans="1:27" ht="208.8" x14ac:dyDescent="0.25">
      <c r="A2693" s="16"/>
      <c r="B2693" s="20" t="b">
        <v>0</v>
      </c>
      <c r="C2693" s="20">
        <v>200</v>
      </c>
      <c r="D2693" s="2" t="s">
        <v>5628</v>
      </c>
      <c r="E2693" s="2" t="s">
        <v>5548</v>
      </c>
      <c r="F2693" s="20" t="s">
        <v>53</v>
      </c>
      <c r="G2693" s="2" t="s">
        <v>5629</v>
      </c>
      <c r="H2693" s="16"/>
      <c r="I2693" s="20"/>
      <c r="J2693" s="20"/>
      <c r="K2693" s="20"/>
      <c r="L2693" s="20"/>
      <c r="M2693" s="20"/>
      <c r="N2693" s="20"/>
      <c r="O2693" s="20"/>
      <c r="P2693" s="20"/>
      <c r="Q2693" s="20"/>
      <c r="R2693" s="20"/>
      <c r="S2693" s="20"/>
      <c r="T2693" s="20"/>
      <c r="U2693" s="20"/>
      <c r="V2693" s="20"/>
      <c r="W2693" s="20"/>
      <c r="X2693" s="20"/>
      <c r="Y2693" s="20"/>
      <c r="Z2693" s="20"/>
      <c r="AA2693" s="20"/>
    </row>
    <row r="2694" spans="1:27" ht="208.8" x14ac:dyDescent="0.25">
      <c r="A2694" s="16"/>
      <c r="B2694" s="20" t="b">
        <v>0</v>
      </c>
      <c r="C2694" s="20">
        <v>400</v>
      </c>
      <c r="D2694" s="2" t="s">
        <v>5630</v>
      </c>
      <c r="E2694" s="2" t="s">
        <v>5548</v>
      </c>
      <c r="F2694" s="20" t="s">
        <v>53</v>
      </c>
      <c r="G2694" s="2" t="s">
        <v>5631</v>
      </c>
      <c r="H2694" s="16"/>
      <c r="I2694" s="20"/>
      <c r="J2694" s="20"/>
      <c r="K2694" s="20"/>
      <c r="L2694" s="20"/>
      <c r="M2694" s="20"/>
      <c r="N2694" s="20"/>
      <c r="O2694" s="20"/>
      <c r="P2694" s="20"/>
      <c r="Q2694" s="20"/>
      <c r="R2694" s="20"/>
      <c r="S2694" s="20"/>
      <c r="T2694" s="20"/>
      <c r="U2694" s="20"/>
      <c r="V2694" s="20"/>
      <c r="W2694" s="20"/>
      <c r="X2694" s="20"/>
      <c r="Y2694" s="20"/>
      <c r="Z2694" s="20"/>
      <c r="AA2694" s="20"/>
    </row>
    <row r="2695" spans="1:27" ht="243.6" x14ac:dyDescent="0.25">
      <c r="A2695" s="16"/>
      <c r="B2695" s="20" t="b">
        <v>0</v>
      </c>
      <c r="C2695" s="20">
        <v>400</v>
      </c>
      <c r="D2695" s="2" t="s">
        <v>5632</v>
      </c>
      <c r="E2695" s="2" t="s">
        <v>5548</v>
      </c>
      <c r="F2695" s="20" t="s">
        <v>58</v>
      </c>
      <c r="G2695" s="2" t="s">
        <v>5633</v>
      </c>
      <c r="H2695" s="16"/>
      <c r="I2695" s="20"/>
      <c r="J2695" s="20"/>
      <c r="K2695" s="20"/>
      <c r="L2695" s="20"/>
      <c r="M2695" s="20"/>
      <c r="N2695" s="20"/>
      <c r="O2695" s="20"/>
      <c r="P2695" s="20"/>
      <c r="Q2695" s="20"/>
      <c r="R2695" s="20"/>
      <c r="S2695" s="20"/>
      <c r="T2695" s="20"/>
      <c r="U2695" s="20"/>
      <c r="V2695" s="20"/>
      <c r="W2695" s="20"/>
      <c r="X2695" s="20"/>
      <c r="Y2695" s="20"/>
      <c r="Z2695" s="20"/>
      <c r="AA2695" s="20"/>
    </row>
    <row r="2696" spans="1:27" ht="208.8" x14ac:dyDescent="0.25">
      <c r="A2696" s="16"/>
      <c r="B2696" s="20" t="b">
        <v>0</v>
      </c>
      <c r="C2696" s="20">
        <v>200</v>
      </c>
      <c r="D2696" s="2" t="s">
        <v>5634</v>
      </c>
      <c r="E2696" s="2" t="s">
        <v>5548</v>
      </c>
      <c r="F2696" s="20" t="s">
        <v>56</v>
      </c>
      <c r="G2696" s="2" t="s">
        <v>5635</v>
      </c>
      <c r="H2696" s="16"/>
      <c r="I2696" s="20"/>
      <c r="J2696" s="20"/>
      <c r="K2696" s="20"/>
      <c r="L2696" s="20"/>
      <c r="M2696" s="20"/>
      <c r="N2696" s="20"/>
      <c r="O2696" s="20"/>
      <c r="P2696" s="20"/>
      <c r="Q2696" s="20"/>
      <c r="R2696" s="20"/>
      <c r="S2696" s="20"/>
      <c r="T2696" s="20"/>
      <c r="U2696" s="20"/>
      <c r="V2696" s="20"/>
      <c r="W2696" s="20"/>
      <c r="X2696" s="20"/>
      <c r="Y2696" s="20"/>
      <c r="Z2696" s="20"/>
      <c r="AA2696" s="20"/>
    </row>
    <row r="2697" spans="1:27" ht="156.6" x14ac:dyDescent="0.25">
      <c r="A2697" s="16"/>
      <c r="B2697" s="20" t="b">
        <v>0</v>
      </c>
      <c r="C2697" s="20">
        <v>600</v>
      </c>
      <c r="D2697" s="2" t="s">
        <v>5636</v>
      </c>
      <c r="E2697" s="2" t="s">
        <v>5548</v>
      </c>
      <c r="F2697" s="20" t="s">
        <v>55</v>
      </c>
      <c r="G2697" s="2" t="s">
        <v>5637</v>
      </c>
      <c r="H2697" s="16"/>
      <c r="I2697" s="20"/>
      <c r="J2697" s="20"/>
      <c r="K2697" s="20"/>
      <c r="L2697" s="20"/>
      <c r="M2697" s="20"/>
      <c r="N2697" s="20"/>
      <c r="O2697" s="20"/>
      <c r="P2697" s="20"/>
      <c r="Q2697" s="20"/>
      <c r="R2697" s="20"/>
      <c r="S2697" s="20"/>
      <c r="T2697" s="20"/>
      <c r="U2697" s="20"/>
      <c r="V2697" s="20"/>
      <c r="W2697" s="20"/>
      <c r="X2697" s="20"/>
      <c r="Y2697" s="20"/>
      <c r="Z2697" s="20"/>
      <c r="AA2697" s="20"/>
    </row>
    <row r="2698" spans="1:27" ht="243.6" x14ac:dyDescent="0.25">
      <c r="A2698" s="16"/>
      <c r="B2698" s="20" t="b">
        <v>0</v>
      </c>
      <c r="C2698" s="20">
        <v>600</v>
      </c>
      <c r="D2698" s="2" t="s">
        <v>5638</v>
      </c>
      <c r="E2698" s="2" t="s">
        <v>5548</v>
      </c>
      <c r="F2698" s="20" t="s">
        <v>58</v>
      </c>
      <c r="G2698" s="2" t="s">
        <v>5639</v>
      </c>
      <c r="H2698" s="16"/>
      <c r="I2698" s="20"/>
      <c r="J2698" s="20"/>
      <c r="K2698" s="20"/>
      <c r="L2698" s="20"/>
      <c r="M2698" s="20"/>
      <c r="N2698" s="20"/>
      <c r="O2698" s="20"/>
      <c r="P2698" s="20"/>
      <c r="Q2698" s="20"/>
      <c r="R2698" s="20"/>
      <c r="S2698" s="20"/>
      <c r="T2698" s="20"/>
      <c r="U2698" s="20"/>
      <c r="V2698" s="20"/>
      <c r="W2698" s="20"/>
      <c r="X2698" s="20"/>
      <c r="Y2698" s="20"/>
      <c r="Z2698" s="20"/>
      <c r="AA2698" s="20"/>
    </row>
    <row r="2699" spans="1:27" ht="226.2" x14ac:dyDescent="0.25">
      <c r="A2699" s="16"/>
      <c r="B2699" s="20" t="b">
        <v>0</v>
      </c>
      <c r="C2699" s="20">
        <v>50</v>
      </c>
      <c r="D2699" s="2" t="s">
        <v>5640</v>
      </c>
      <c r="E2699" s="2" t="s">
        <v>5548</v>
      </c>
      <c r="F2699" s="20" t="s">
        <v>56</v>
      </c>
      <c r="G2699" s="2" t="s">
        <v>5641</v>
      </c>
      <c r="H2699" s="16"/>
      <c r="I2699" s="20"/>
      <c r="J2699" s="20"/>
      <c r="K2699" s="20"/>
      <c r="L2699" s="20"/>
      <c r="M2699" s="20"/>
      <c r="N2699" s="20"/>
      <c r="O2699" s="20"/>
      <c r="P2699" s="20"/>
      <c r="Q2699" s="20"/>
      <c r="R2699" s="20"/>
      <c r="S2699" s="20"/>
      <c r="T2699" s="20"/>
      <c r="U2699" s="20"/>
      <c r="V2699" s="20"/>
      <c r="W2699" s="20"/>
      <c r="X2699" s="20"/>
      <c r="Y2699" s="20"/>
      <c r="Z2699" s="20"/>
      <c r="AA2699" s="20"/>
    </row>
    <row r="2700" spans="1:27" ht="278.39999999999998" x14ac:dyDescent="0.25">
      <c r="A2700" s="16"/>
      <c r="B2700" s="20" t="b">
        <v>0</v>
      </c>
      <c r="C2700" s="20">
        <v>50</v>
      </c>
      <c r="D2700" s="2" t="s">
        <v>5642</v>
      </c>
      <c r="E2700" s="2" t="s">
        <v>5548</v>
      </c>
      <c r="F2700" s="20" t="s">
        <v>54</v>
      </c>
      <c r="G2700" s="2" t="s">
        <v>5643</v>
      </c>
      <c r="H2700" s="16"/>
      <c r="I2700" s="20"/>
      <c r="J2700" s="20"/>
      <c r="K2700" s="20"/>
      <c r="L2700" s="20"/>
      <c r="M2700" s="20"/>
      <c r="N2700" s="20"/>
      <c r="O2700" s="20"/>
      <c r="P2700" s="20"/>
      <c r="Q2700" s="20"/>
      <c r="R2700" s="20"/>
      <c r="S2700" s="20"/>
      <c r="T2700" s="20"/>
      <c r="U2700" s="20"/>
      <c r="V2700" s="20"/>
      <c r="W2700" s="20"/>
      <c r="X2700" s="20"/>
      <c r="Y2700" s="20"/>
      <c r="Z2700" s="20"/>
      <c r="AA2700" s="20"/>
    </row>
    <row r="2701" spans="1:27" ht="243.6" x14ac:dyDescent="0.25">
      <c r="A2701" s="16"/>
      <c r="B2701" s="20" t="b">
        <v>0</v>
      </c>
      <c r="C2701" s="20">
        <v>50</v>
      </c>
      <c r="D2701" s="2" t="s">
        <v>5644</v>
      </c>
      <c r="E2701" s="2" t="s">
        <v>5548</v>
      </c>
      <c r="F2701" s="20" t="s">
        <v>64</v>
      </c>
      <c r="G2701" s="2" t="s">
        <v>5645</v>
      </c>
      <c r="H2701" s="16"/>
      <c r="I2701" s="20"/>
      <c r="J2701" s="20"/>
      <c r="K2701" s="20"/>
      <c r="L2701" s="20"/>
      <c r="M2701" s="20"/>
      <c r="N2701" s="20"/>
      <c r="O2701" s="20"/>
      <c r="P2701" s="20"/>
      <c r="Q2701" s="20"/>
      <c r="R2701" s="20"/>
      <c r="S2701" s="20"/>
      <c r="T2701" s="20"/>
      <c r="U2701" s="20"/>
      <c r="V2701" s="20"/>
      <c r="W2701" s="20"/>
      <c r="X2701" s="20"/>
      <c r="Y2701" s="20"/>
      <c r="Z2701" s="20"/>
      <c r="AA2701" s="20"/>
    </row>
    <row r="2702" spans="1:27" ht="121.8" x14ac:dyDescent="0.25">
      <c r="A2702" s="16"/>
      <c r="B2702" s="20" t="b">
        <v>0</v>
      </c>
      <c r="C2702" s="20">
        <v>100</v>
      </c>
      <c r="D2702" s="2" t="s">
        <v>5646</v>
      </c>
      <c r="E2702" s="2" t="s">
        <v>5647</v>
      </c>
      <c r="F2702" s="20" t="s">
        <v>53</v>
      </c>
      <c r="G2702" s="2" t="s">
        <v>5648</v>
      </c>
      <c r="H2702" s="16"/>
      <c r="I2702" s="20"/>
      <c r="J2702" s="20"/>
      <c r="K2702" s="20"/>
      <c r="L2702" s="20"/>
      <c r="M2702" s="20"/>
      <c r="N2702" s="20"/>
      <c r="O2702" s="20"/>
      <c r="P2702" s="20"/>
      <c r="Q2702" s="20"/>
      <c r="R2702" s="20"/>
      <c r="S2702" s="20"/>
      <c r="T2702" s="20"/>
      <c r="U2702" s="20"/>
      <c r="V2702" s="20"/>
      <c r="W2702" s="20"/>
      <c r="X2702" s="20"/>
      <c r="Y2702" s="20"/>
      <c r="Z2702" s="20"/>
      <c r="AA2702" s="20"/>
    </row>
    <row r="2703" spans="1:27" ht="17.399999999999999" x14ac:dyDescent="0.25">
      <c r="A2703" s="16"/>
      <c r="B2703" s="20" t="b">
        <v>0</v>
      </c>
      <c r="C2703" s="20"/>
      <c r="D2703" s="2"/>
      <c r="E2703" s="2"/>
      <c r="F2703" s="20"/>
      <c r="G2703" s="2"/>
      <c r="H2703" s="16"/>
      <c r="I2703" s="20"/>
      <c r="J2703" s="20"/>
      <c r="K2703" s="20"/>
      <c r="L2703" s="20"/>
      <c r="M2703" s="20"/>
      <c r="N2703" s="20"/>
      <c r="O2703" s="20"/>
      <c r="P2703" s="20"/>
      <c r="Q2703" s="20"/>
      <c r="R2703" s="20"/>
      <c r="S2703" s="20"/>
      <c r="T2703" s="20"/>
      <c r="U2703" s="20"/>
      <c r="V2703" s="20"/>
      <c r="W2703" s="20"/>
      <c r="X2703" s="20"/>
      <c r="Y2703" s="20"/>
      <c r="Z2703" s="20"/>
      <c r="AA2703" s="20"/>
    </row>
    <row r="2704" spans="1:27" ht="17.399999999999999" x14ac:dyDescent="0.25">
      <c r="A2704" s="16"/>
      <c r="B2704" s="20" t="b">
        <v>0</v>
      </c>
      <c r="C2704" s="20"/>
      <c r="D2704" s="2"/>
      <c r="E2704" s="2"/>
      <c r="F2704" s="20"/>
      <c r="G2704" s="2"/>
      <c r="H2704" s="16"/>
      <c r="I2704" s="20"/>
      <c r="J2704" s="20"/>
      <c r="K2704" s="20"/>
      <c r="L2704" s="20"/>
      <c r="M2704" s="20"/>
      <c r="N2704" s="20"/>
      <c r="O2704" s="20"/>
      <c r="P2704" s="20"/>
      <c r="Q2704" s="20"/>
      <c r="R2704" s="20"/>
      <c r="S2704" s="20"/>
      <c r="T2704" s="20"/>
      <c r="U2704" s="20"/>
      <c r="V2704" s="20"/>
      <c r="W2704" s="20"/>
      <c r="X2704" s="20"/>
      <c r="Y2704" s="20"/>
      <c r="Z2704" s="20"/>
      <c r="AA2704" s="20"/>
    </row>
    <row r="2705" spans="1:27" ht="17.399999999999999" x14ac:dyDescent="0.25">
      <c r="A2705" s="16"/>
      <c r="B2705" s="20" t="b">
        <v>0</v>
      </c>
      <c r="C2705" s="20"/>
      <c r="D2705" s="2"/>
      <c r="E2705" s="2"/>
      <c r="F2705" s="20"/>
      <c r="G2705" s="2"/>
      <c r="H2705" s="16"/>
      <c r="I2705" s="20"/>
      <c r="J2705" s="20"/>
      <c r="K2705" s="20"/>
      <c r="L2705" s="20"/>
      <c r="M2705" s="20"/>
      <c r="N2705" s="20"/>
      <c r="O2705" s="20"/>
      <c r="P2705" s="20"/>
      <c r="Q2705" s="20"/>
      <c r="R2705" s="20"/>
      <c r="S2705" s="20"/>
      <c r="T2705" s="20"/>
      <c r="U2705" s="20"/>
      <c r="V2705" s="20"/>
      <c r="W2705" s="20"/>
      <c r="X2705" s="20"/>
      <c r="Y2705" s="20"/>
      <c r="Z2705" s="20"/>
      <c r="AA2705" s="20"/>
    </row>
    <row r="2706" spans="1:27" ht="17.399999999999999" x14ac:dyDescent="0.25">
      <c r="A2706" s="16"/>
      <c r="B2706" s="20" t="b">
        <v>0</v>
      </c>
      <c r="C2706" s="20"/>
      <c r="D2706" s="2"/>
      <c r="E2706" s="2"/>
      <c r="F2706" s="20"/>
      <c r="G2706" s="2"/>
      <c r="H2706" s="16"/>
      <c r="I2706" s="20"/>
      <c r="J2706" s="20"/>
      <c r="K2706" s="20"/>
      <c r="L2706" s="20"/>
      <c r="M2706" s="20"/>
      <c r="N2706" s="20"/>
      <c r="O2706" s="20"/>
      <c r="P2706" s="20"/>
      <c r="Q2706" s="20"/>
      <c r="R2706" s="20"/>
      <c r="S2706" s="20"/>
      <c r="T2706" s="20"/>
      <c r="U2706" s="20"/>
      <c r="V2706" s="20"/>
      <c r="W2706" s="20"/>
      <c r="X2706" s="20"/>
      <c r="Y2706" s="20"/>
      <c r="Z2706" s="20"/>
      <c r="AA2706" s="20"/>
    </row>
    <row r="2707" spans="1:27" ht="17.399999999999999" x14ac:dyDescent="0.25">
      <c r="A2707" s="16"/>
      <c r="B2707" s="20" t="b">
        <v>0</v>
      </c>
      <c r="C2707" s="20"/>
      <c r="D2707" s="2"/>
      <c r="E2707" s="2"/>
      <c r="F2707" s="20"/>
      <c r="G2707" s="2"/>
      <c r="H2707" s="16"/>
      <c r="I2707" s="20"/>
      <c r="J2707" s="20"/>
      <c r="K2707" s="20"/>
      <c r="L2707" s="20"/>
      <c r="M2707" s="20"/>
      <c r="N2707" s="20"/>
      <c r="O2707" s="20"/>
      <c r="P2707" s="20"/>
      <c r="Q2707" s="20"/>
      <c r="R2707" s="20"/>
      <c r="S2707" s="20"/>
      <c r="T2707" s="20"/>
      <c r="U2707" s="20"/>
      <c r="V2707" s="20"/>
      <c r="W2707" s="20"/>
      <c r="X2707" s="20"/>
      <c r="Y2707" s="20"/>
      <c r="Z2707" s="20"/>
      <c r="AA2707" s="20"/>
    </row>
    <row r="2708" spans="1:27" ht="17.399999999999999" x14ac:dyDescent="0.25">
      <c r="A2708" s="16"/>
      <c r="B2708" s="20" t="b">
        <v>0</v>
      </c>
      <c r="C2708" s="20"/>
      <c r="D2708" s="2"/>
      <c r="E2708" s="2"/>
      <c r="F2708" s="20"/>
      <c r="G2708" s="2"/>
      <c r="H2708" s="16"/>
      <c r="I2708" s="20"/>
      <c r="J2708" s="20"/>
      <c r="K2708" s="20"/>
      <c r="L2708" s="20"/>
      <c r="M2708" s="20"/>
      <c r="N2708" s="20"/>
      <c r="O2708" s="20"/>
      <c r="P2708" s="20"/>
      <c r="Q2708" s="20"/>
      <c r="R2708" s="20"/>
      <c r="S2708" s="20"/>
      <c r="T2708" s="20"/>
      <c r="U2708" s="20"/>
      <c r="V2708" s="20"/>
      <c r="W2708" s="20"/>
      <c r="X2708" s="20"/>
      <c r="Y2708" s="20"/>
      <c r="Z2708" s="20"/>
      <c r="AA2708" s="20"/>
    </row>
    <row r="2709" spans="1:27" ht="17.399999999999999" x14ac:dyDescent="0.25">
      <c r="A2709" s="16"/>
      <c r="B2709" s="20" t="b">
        <v>0</v>
      </c>
      <c r="C2709" s="20"/>
      <c r="D2709" s="2"/>
      <c r="E2709" s="2"/>
      <c r="F2709" s="20"/>
      <c r="G2709" s="2"/>
      <c r="H2709" s="16"/>
      <c r="I2709" s="20"/>
      <c r="J2709" s="20"/>
      <c r="K2709" s="20"/>
      <c r="L2709" s="20"/>
      <c r="M2709" s="20"/>
      <c r="N2709" s="20"/>
      <c r="O2709" s="20"/>
      <c r="P2709" s="20"/>
      <c r="Q2709" s="20"/>
      <c r="R2709" s="20"/>
      <c r="S2709" s="20"/>
      <c r="T2709" s="20"/>
      <c r="U2709" s="20"/>
      <c r="V2709" s="20"/>
      <c r="W2709" s="20"/>
      <c r="X2709" s="20"/>
      <c r="Y2709" s="20"/>
      <c r="Z2709" s="20"/>
      <c r="AA2709" s="20"/>
    </row>
    <row r="2710" spans="1:27" ht="17.399999999999999" x14ac:dyDescent="0.25">
      <c r="A2710" s="16"/>
      <c r="B2710" s="20" t="b">
        <v>0</v>
      </c>
      <c r="C2710" s="20"/>
      <c r="D2710" s="2"/>
      <c r="E2710" s="2"/>
      <c r="F2710" s="20"/>
      <c r="G2710" s="2"/>
      <c r="H2710" s="16"/>
      <c r="I2710" s="20"/>
      <c r="J2710" s="20"/>
      <c r="K2710" s="20"/>
      <c r="L2710" s="20"/>
      <c r="M2710" s="20"/>
      <c r="N2710" s="20"/>
      <c r="O2710" s="20"/>
      <c r="P2710" s="20"/>
      <c r="Q2710" s="20"/>
      <c r="R2710" s="20"/>
      <c r="S2710" s="20"/>
      <c r="T2710" s="20"/>
      <c r="U2710" s="20"/>
      <c r="V2710" s="20"/>
      <c r="W2710" s="20"/>
      <c r="X2710" s="20"/>
      <c r="Y2710" s="20"/>
      <c r="Z2710" s="20"/>
      <c r="AA2710" s="20"/>
    </row>
    <row r="2711" spans="1:27" ht="17.399999999999999" x14ac:dyDescent="0.25">
      <c r="A2711" s="16"/>
      <c r="B2711" s="20" t="b">
        <v>0</v>
      </c>
      <c r="C2711" s="20"/>
      <c r="D2711" s="2"/>
      <c r="E2711" s="2"/>
      <c r="F2711" s="20"/>
      <c r="G2711" s="2"/>
      <c r="H2711" s="16"/>
      <c r="I2711" s="20"/>
      <c r="J2711" s="20"/>
      <c r="K2711" s="20"/>
      <c r="L2711" s="20"/>
      <c r="M2711" s="20"/>
      <c r="N2711" s="20"/>
      <c r="O2711" s="20"/>
      <c r="P2711" s="20"/>
      <c r="Q2711" s="20"/>
      <c r="R2711" s="20"/>
      <c r="S2711" s="20"/>
      <c r="T2711" s="20"/>
      <c r="U2711" s="20"/>
      <c r="V2711" s="20"/>
      <c r="W2711" s="20"/>
      <c r="X2711" s="20"/>
      <c r="Y2711" s="20"/>
      <c r="Z2711" s="20"/>
      <c r="AA2711" s="20"/>
    </row>
    <row r="2712" spans="1:27" ht="17.399999999999999" x14ac:dyDescent="0.25">
      <c r="A2712" s="16"/>
      <c r="B2712" s="20" t="b">
        <v>0</v>
      </c>
      <c r="C2712" s="20"/>
      <c r="D2712" s="2"/>
      <c r="E2712" s="2"/>
      <c r="F2712" s="20"/>
      <c r="G2712" s="2"/>
      <c r="H2712" s="16"/>
      <c r="I2712" s="20"/>
      <c r="J2712" s="20"/>
      <c r="K2712" s="20"/>
      <c r="L2712" s="20"/>
      <c r="M2712" s="20"/>
      <c r="N2712" s="20"/>
      <c r="O2712" s="20"/>
      <c r="P2712" s="20"/>
      <c r="Q2712" s="20"/>
      <c r="R2712" s="20"/>
      <c r="S2712" s="20"/>
      <c r="T2712" s="20"/>
      <c r="U2712" s="20"/>
      <c r="V2712" s="20"/>
      <c r="W2712" s="20"/>
      <c r="X2712" s="20"/>
      <c r="Y2712" s="20"/>
      <c r="Z2712" s="20"/>
      <c r="AA2712" s="20"/>
    </row>
    <row r="2713" spans="1:27" ht="17.399999999999999" x14ac:dyDescent="0.25">
      <c r="A2713" s="16"/>
      <c r="B2713" s="20" t="b">
        <v>0</v>
      </c>
      <c r="C2713" s="20"/>
      <c r="D2713" s="2"/>
      <c r="E2713" s="2"/>
      <c r="F2713" s="20"/>
      <c r="G2713" s="2"/>
      <c r="H2713" s="16"/>
      <c r="I2713" s="20"/>
      <c r="J2713" s="20"/>
      <c r="K2713" s="20"/>
      <c r="L2713" s="20"/>
      <c r="M2713" s="20"/>
      <c r="N2713" s="20"/>
      <c r="O2713" s="20"/>
      <c r="P2713" s="20"/>
      <c r="Q2713" s="20"/>
      <c r="R2713" s="20"/>
      <c r="S2713" s="20"/>
      <c r="T2713" s="20"/>
      <c r="U2713" s="20"/>
      <c r="V2713" s="20"/>
      <c r="W2713" s="20"/>
      <c r="X2713" s="20"/>
      <c r="Y2713" s="20"/>
      <c r="Z2713" s="20"/>
      <c r="AA2713" s="20"/>
    </row>
    <row r="2714" spans="1:27" ht="17.399999999999999" x14ac:dyDescent="0.25">
      <c r="A2714" s="16"/>
      <c r="B2714" s="20" t="b">
        <v>0</v>
      </c>
      <c r="C2714" s="20"/>
      <c r="D2714" s="2"/>
      <c r="E2714" s="2"/>
      <c r="F2714" s="20"/>
      <c r="G2714" s="2"/>
      <c r="H2714" s="16"/>
      <c r="I2714" s="20"/>
      <c r="J2714" s="20"/>
      <c r="K2714" s="20"/>
      <c r="L2714" s="20"/>
      <c r="M2714" s="20"/>
      <c r="N2714" s="20"/>
      <c r="O2714" s="20"/>
      <c r="P2714" s="20"/>
      <c r="Q2714" s="20"/>
      <c r="R2714" s="20"/>
      <c r="S2714" s="20"/>
      <c r="T2714" s="20"/>
      <c r="U2714" s="20"/>
      <c r="V2714" s="20"/>
      <c r="W2714" s="20"/>
      <c r="X2714" s="20"/>
      <c r="Y2714" s="20"/>
      <c r="Z2714" s="20"/>
      <c r="AA2714" s="20"/>
    </row>
    <row r="2715" spans="1:27" ht="17.399999999999999" x14ac:dyDescent="0.25">
      <c r="A2715" s="16"/>
      <c r="B2715" s="20" t="b">
        <v>0</v>
      </c>
      <c r="C2715" s="20"/>
      <c r="D2715" s="2"/>
      <c r="E2715" s="2"/>
      <c r="F2715" s="20"/>
      <c r="G2715" s="2"/>
      <c r="H2715" s="16"/>
      <c r="I2715" s="20"/>
      <c r="J2715" s="20"/>
      <c r="K2715" s="20"/>
      <c r="L2715" s="20"/>
      <c r="M2715" s="20"/>
      <c r="N2715" s="20"/>
      <c r="O2715" s="20"/>
      <c r="P2715" s="20"/>
      <c r="Q2715" s="20"/>
      <c r="R2715" s="20"/>
      <c r="S2715" s="20"/>
      <c r="T2715" s="20"/>
      <c r="U2715" s="20"/>
      <c r="V2715" s="20"/>
      <c r="W2715" s="20"/>
      <c r="X2715" s="20"/>
      <c r="Y2715" s="20"/>
      <c r="Z2715" s="20"/>
      <c r="AA2715" s="20"/>
    </row>
    <row r="2716" spans="1:27" ht="17.399999999999999" x14ac:dyDescent="0.25">
      <c r="A2716" s="16"/>
      <c r="B2716" s="20" t="b">
        <v>0</v>
      </c>
      <c r="C2716" s="20"/>
      <c r="D2716" s="2"/>
      <c r="E2716" s="2"/>
      <c r="F2716" s="20"/>
      <c r="G2716" s="2"/>
      <c r="H2716" s="16"/>
      <c r="I2716" s="20"/>
      <c r="J2716" s="20"/>
      <c r="K2716" s="20"/>
      <c r="L2716" s="20"/>
      <c r="M2716" s="20"/>
      <c r="N2716" s="20"/>
      <c r="O2716" s="20"/>
      <c r="P2716" s="20"/>
      <c r="Q2716" s="20"/>
      <c r="R2716" s="20"/>
      <c r="S2716" s="20"/>
      <c r="T2716" s="20"/>
      <c r="U2716" s="20"/>
      <c r="V2716" s="20"/>
      <c r="W2716" s="20"/>
      <c r="X2716" s="20"/>
      <c r="Y2716" s="20"/>
      <c r="Z2716" s="20"/>
      <c r="AA2716" s="20"/>
    </row>
    <row r="2717" spans="1:27" ht="17.399999999999999" x14ac:dyDescent="0.25">
      <c r="A2717" s="16"/>
      <c r="B2717" s="20" t="b">
        <v>0</v>
      </c>
      <c r="C2717" s="20"/>
      <c r="D2717" s="2"/>
      <c r="E2717" s="2"/>
      <c r="F2717" s="20"/>
      <c r="G2717" s="2"/>
      <c r="H2717" s="16"/>
      <c r="I2717" s="20"/>
      <c r="J2717" s="20"/>
      <c r="K2717" s="20"/>
      <c r="L2717" s="20"/>
      <c r="M2717" s="20"/>
      <c r="N2717" s="20"/>
      <c r="O2717" s="20"/>
      <c r="P2717" s="20"/>
      <c r="Q2717" s="20"/>
      <c r="R2717" s="20"/>
      <c r="S2717" s="20"/>
      <c r="T2717" s="20"/>
      <c r="U2717" s="20"/>
      <c r="V2717" s="20"/>
      <c r="W2717" s="20"/>
      <c r="X2717" s="20"/>
      <c r="Y2717" s="20"/>
      <c r="Z2717" s="20"/>
      <c r="AA2717" s="20"/>
    </row>
    <row r="2718" spans="1:27" ht="17.399999999999999" x14ac:dyDescent="0.25">
      <c r="A2718" s="16"/>
      <c r="B2718" s="20" t="b">
        <v>0</v>
      </c>
      <c r="C2718" s="20"/>
      <c r="D2718" s="2"/>
      <c r="E2718" s="2"/>
      <c r="F2718" s="20"/>
      <c r="G2718" s="2"/>
      <c r="H2718" s="16"/>
      <c r="I2718" s="20"/>
      <c r="J2718" s="20"/>
      <c r="K2718" s="20"/>
      <c r="L2718" s="20"/>
      <c r="M2718" s="20"/>
      <c r="N2718" s="20"/>
      <c r="O2718" s="20"/>
      <c r="P2718" s="20"/>
      <c r="Q2718" s="20"/>
      <c r="R2718" s="20"/>
      <c r="S2718" s="20"/>
      <c r="T2718" s="20"/>
      <c r="U2718" s="20"/>
      <c r="V2718" s="20"/>
      <c r="W2718" s="20"/>
      <c r="X2718" s="20"/>
      <c r="Y2718" s="20"/>
      <c r="Z2718" s="20"/>
      <c r="AA2718" s="20"/>
    </row>
    <row r="2719" spans="1:27" ht="17.399999999999999" x14ac:dyDescent="0.25">
      <c r="A2719" s="16"/>
      <c r="B2719" s="20" t="b">
        <v>0</v>
      </c>
      <c r="C2719" s="20"/>
      <c r="D2719" s="2"/>
      <c r="E2719" s="2"/>
      <c r="F2719" s="20"/>
      <c r="G2719" s="2"/>
      <c r="H2719" s="16"/>
      <c r="I2719" s="20"/>
      <c r="J2719" s="20"/>
      <c r="K2719" s="20"/>
      <c r="L2719" s="20"/>
      <c r="M2719" s="20"/>
      <c r="N2719" s="20"/>
      <c r="O2719" s="20"/>
      <c r="P2719" s="20"/>
      <c r="Q2719" s="20"/>
      <c r="R2719" s="20"/>
      <c r="S2719" s="20"/>
      <c r="T2719" s="20"/>
      <c r="U2719" s="20"/>
      <c r="V2719" s="20"/>
      <c r="W2719" s="20"/>
      <c r="X2719" s="20"/>
      <c r="Y2719" s="20"/>
      <c r="Z2719" s="20"/>
      <c r="AA2719" s="20"/>
    </row>
    <row r="2720" spans="1:27" ht="17.399999999999999" x14ac:dyDescent="0.25">
      <c r="A2720" s="16"/>
      <c r="B2720" s="20" t="b">
        <v>0</v>
      </c>
      <c r="C2720" s="20"/>
      <c r="D2720" s="2"/>
      <c r="E2720" s="2"/>
      <c r="F2720" s="20"/>
      <c r="G2720" s="2"/>
      <c r="H2720" s="16"/>
      <c r="I2720" s="20"/>
      <c r="J2720" s="20"/>
      <c r="K2720" s="20"/>
      <c r="L2720" s="20"/>
      <c r="M2720" s="20"/>
      <c r="N2720" s="20"/>
      <c r="O2720" s="20"/>
      <c r="P2720" s="20"/>
      <c r="Q2720" s="20"/>
      <c r="R2720" s="20"/>
      <c r="S2720" s="20"/>
      <c r="T2720" s="20"/>
      <c r="U2720" s="20"/>
      <c r="V2720" s="20"/>
      <c r="W2720" s="20"/>
      <c r="X2720" s="20"/>
      <c r="Y2720" s="20"/>
      <c r="Z2720" s="20"/>
      <c r="AA2720" s="20"/>
    </row>
    <row r="2721" spans="1:27" ht="17.399999999999999" x14ac:dyDescent="0.25">
      <c r="A2721" s="16"/>
      <c r="B2721" s="20" t="b">
        <v>0</v>
      </c>
      <c r="C2721" s="20"/>
      <c r="D2721" s="2"/>
      <c r="E2721" s="2"/>
      <c r="F2721" s="20"/>
      <c r="G2721" s="2"/>
      <c r="H2721" s="16"/>
      <c r="I2721" s="20"/>
      <c r="J2721" s="20"/>
      <c r="K2721" s="20"/>
      <c r="L2721" s="20"/>
      <c r="M2721" s="20"/>
      <c r="N2721" s="20"/>
      <c r="O2721" s="20"/>
      <c r="P2721" s="20"/>
      <c r="Q2721" s="20"/>
      <c r="R2721" s="20"/>
      <c r="S2721" s="20"/>
      <c r="T2721" s="20"/>
      <c r="U2721" s="20"/>
      <c r="V2721" s="20"/>
      <c r="W2721" s="20"/>
      <c r="X2721" s="20"/>
      <c r="Y2721" s="20"/>
      <c r="Z2721" s="20"/>
      <c r="AA2721" s="20"/>
    </row>
    <row r="2722" spans="1:27" ht="17.399999999999999" x14ac:dyDescent="0.25">
      <c r="A2722" s="16"/>
      <c r="B2722" s="20" t="b">
        <v>0</v>
      </c>
      <c r="C2722" s="20"/>
      <c r="D2722" s="2"/>
      <c r="E2722" s="2"/>
      <c r="F2722" s="20"/>
      <c r="G2722" s="2"/>
      <c r="H2722" s="16"/>
      <c r="I2722" s="20"/>
      <c r="J2722" s="20"/>
      <c r="K2722" s="20"/>
      <c r="L2722" s="20"/>
      <c r="M2722" s="20"/>
      <c r="N2722" s="20"/>
      <c r="O2722" s="20"/>
      <c r="P2722" s="20"/>
      <c r="Q2722" s="20"/>
      <c r="R2722" s="20"/>
      <c r="S2722" s="20"/>
      <c r="T2722" s="20"/>
      <c r="U2722" s="20"/>
      <c r="V2722" s="20"/>
      <c r="W2722" s="20"/>
      <c r="X2722" s="20"/>
      <c r="Y2722" s="20"/>
      <c r="Z2722" s="20"/>
      <c r="AA2722" s="20"/>
    </row>
    <row r="2723" spans="1:27" ht="17.399999999999999" x14ac:dyDescent="0.25">
      <c r="A2723" s="16"/>
      <c r="B2723" s="20" t="b">
        <v>0</v>
      </c>
      <c r="C2723" s="20"/>
      <c r="D2723" s="2"/>
      <c r="E2723" s="2"/>
      <c r="F2723" s="20"/>
      <c r="G2723" s="2"/>
      <c r="H2723" s="16"/>
      <c r="I2723" s="20"/>
      <c r="J2723" s="20"/>
      <c r="K2723" s="20"/>
      <c r="L2723" s="20"/>
      <c r="M2723" s="20"/>
      <c r="N2723" s="20"/>
      <c r="O2723" s="20"/>
      <c r="P2723" s="20"/>
      <c r="Q2723" s="20"/>
      <c r="R2723" s="20"/>
      <c r="S2723" s="20"/>
      <c r="T2723" s="20"/>
      <c r="U2723" s="20"/>
      <c r="V2723" s="20"/>
      <c r="W2723" s="20"/>
      <c r="X2723" s="20"/>
      <c r="Y2723" s="20"/>
      <c r="Z2723" s="20"/>
      <c r="AA2723" s="20"/>
    </row>
    <row r="2724" spans="1:27" ht="17.399999999999999" x14ac:dyDescent="0.25">
      <c r="A2724" s="16"/>
      <c r="B2724" s="20" t="b">
        <v>0</v>
      </c>
      <c r="C2724" s="20"/>
      <c r="D2724" s="2"/>
      <c r="E2724" s="2"/>
      <c r="F2724" s="20"/>
      <c r="G2724" s="2"/>
      <c r="H2724" s="16"/>
      <c r="I2724" s="20"/>
      <c r="J2724" s="20"/>
      <c r="K2724" s="20"/>
      <c r="L2724" s="20"/>
      <c r="M2724" s="20"/>
      <c r="N2724" s="20"/>
      <c r="O2724" s="20"/>
      <c r="P2724" s="20"/>
      <c r="Q2724" s="20"/>
      <c r="R2724" s="20"/>
      <c r="S2724" s="20"/>
      <c r="T2724" s="20"/>
      <c r="U2724" s="20"/>
      <c r="V2724" s="20"/>
      <c r="W2724" s="20"/>
      <c r="X2724" s="20"/>
      <c r="Y2724" s="20"/>
      <c r="Z2724" s="20"/>
      <c r="AA2724" s="20"/>
    </row>
    <row r="2725" spans="1:27" ht="17.399999999999999" x14ac:dyDescent="0.25">
      <c r="A2725" s="16"/>
      <c r="B2725" s="20" t="b">
        <v>0</v>
      </c>
      <c r="C2725" s="20"/>
      <c r="D2725" s="2"/>
      <c r="E2725" s="2"/>
      <c r="F2725" s="20"/>
      <c r="G2725" s="2"/>
      <c r="H2725" s="16"/>
      <c r="I2725" s="20"/>
      <c r="J2725" s="20"/>
      <c r="K2725" s="20"/>
      <c r="L2725" s="20"/>
      <c r="M2725" s="20"/>
      <c r="N2725" s="20"/>
      <c r="O2725" s="20"/>
      <c r="P2725" s="20"/>
      <c r="Q2725" s="20"/>
      <c r="R2725" s="20"/>
      <c r="S2725" s="20"/>
      <c r="T2725" s="20"/>
      <c r="U2725" s="20"/>
      <c r="V2725" s="20"/>
      <c r="W2725" s="20"/>
      <c r="X2725" s="20"/>
      <c r="Y2725" s="20"/>
      <c r="Z2725" s="20"/>
      <c r="AA2725" s="20"/>
    </row>
    <row r="2726" spans="1:27" ht="17.399999999999999" x14ac:dyDescent="0.25">
      <c r="A2726" s="16"/>
      <c r="B2726" s="20" t="b">
        <v>0</v>
      </c>
      <c r="C2726" s="20"/>
      <c r="D2726" s="2"/>
      <c r="E2726" s="2"/>
      <c r="F2726" s="20"/>
      <c r="G2726" s="2"/>
      <c r="H2726" s="16"/>
      <c r="I2726" s="20"/>
      <c r="J2726" s="20"/>
      <c r="K2726" s="20"/>
      <c r="L2726" s="20"/>
      <c r="M2726" s="20"/>
      <c r="N2726" s="20"/>
      <c r="O2726" s="20"/>
      <c r="P2726" s="20"/>
      <c r="Q2726" s="20"/>
      <c r="R2726" s="20"/>
      <c r="S2726" s="20"/>
      <c r="T2726" s="20"/>
      <c r="U2726" s="20"/>
      <c r="V2726" s="20"/>
      <c r="W2726" s="20"/>
      <c r="X2726" s="20"/>
      <c r="Y2726" s="20"/>
      <c r="Z2726" s="20"/>
      <c r="AA2726" s="20"/>
    </row>
    <row r="2727" spans="1:27" ht="17.399999999999999" x14ac:dyDescent="0.25">
      <c r="A2727" s="16"/>
      <c r="B2727" s="20" t="b">
        <v>0</v>
      </c>
      <c r="C2727" s="20"/>
      <c r="D2727" s="2"/>
      <c r="E2727" s="2"/>
      <c r="F2727" s="20"/>
      <c r="G2727" s="2"/>
      <c r="H2727" s="16"/>
      <c r="I2727" s="20"/>
      <c r="J2727" s="20"/>
      <c r="K2727" s="20"/>
      <c r="L2727" s="20"/>
      <c r="M2727" s="20"/>
      <c r="N2727" s="20"/>
      <c r="O2727" s="20"/>
      <c r="P2727" s="20"/>
      <c r="Q2727" s="20"/>
      <c r="R2727" s="20"/>
      <c r="S2727" s="20"/>
      <c r="T2727" s="20"/>
      <c r="U2727" s="20"/>
      <c r="V2727" s="20"/>
      <c r="W2727" s="20"/>
      <c r="X2727" s="20"/>
      <c r="Y2727" s="20"/>
      <c r="Z2727" s="20"/>
      <c r="AA2727" s="20"/>
    </row>
    <row r="2728" spans="1:27" ht="17.399999999999999" x14ac:dyDescent="0.25">
      <c r="A2728" s="16"/>
      <c r="B2728" s="20" t="b">
        <v>0</v>
      </c>
      <c r="C2728" s="20"/>
      <c r="D2728" s="2"/>
      <c r="E2728" s="2"/>
      <c r="F2728" s="20"/>
      <c r="G2728" s="2"/>
      <c r="H2728" s="16"/>
      <c r="I2728" s="20"/>
      <c r="J2728" s="20"/>
      <c r="K2728" s="20"/>
      <c r="L2728" s="20"/>
      <c r="M2728" s="20"/>
      <c r="N2728" s="20"/>
      <c r="O2728" s="20"/>
      <c r="P2728" s="20"/>
      <c r="Q2728" s="20"/>
      <c r="R2728" s="20"/>
      <c r="S2728" s="20"/>
      <c r="T2728" s="20"/>
      <c r="U2728" s="20"/>
      <c r="V2728" s="20"/>
      <c r="W2728" s="20"/>
      <c r="X2728" s="20"/>
      <c r="Y2728" s="20"/>
      <c r="Z2728" s="20"/>
      <c r="AA2728" s="20"/>
    </row>
    <row r="2729" spans="1:27" ht="17.399999999999999" x14ac:dyDescent="0.25">
      <c r="A2729" s="16"/>
      <c r="B2729" s="20" t="b">
        <v>0</v>
      </c>
      <c r="C2729" s="20"/>
      <c r="D2729" s="2"/>
      <c r="E2729" s="2"/>
      <c r="F2729" s="20"/>
      <c r="G2729" s="2"/>
      <c r="H2729" s="16"/>
      <c r="I2729" s="20"/>
      <c r="J2729" s="20"/>
      <c r="K2729" s="20"/>
      <c r="L2729" s="20"/>
      <c r="M2729" s="20"/>
      <c r="N2729" s="20"/>
      <c r="O2729" s="20"/>
      <c r="P2729" s="20"/>
      <c r="Q2729" s="20"/>
      <c r="R2729" s="20"/>
      <c r="S2729" s="20"/>
      <c r="T2729" s="20"/>
      <c r="U2729" s="20"/>
      <c r="V2729" s="20"/>
      <c r="W2729" s="20"/>
      <c r="X2729" s="20"/>
      <c r="Y2729" s="20"/>
      <c r="Z2729" s="20"/>
      <c r="AA2729" s="20"/>
    </row>
    <row r="2730" spans="1:27" ht="17.399999999999999" x14ac:dyDescent="0.25">
      <c r="A2730" s="16"/>
      <c r="B2730" s="20" t="b">
        <v>0</v>
      </c>
      <c r="C2730" s="20"/>
      <c r="D2730" s="2"/>
      <c r="E2730" s="2"/>
      <c r="F2730" s="20"/>
      <c r="G2730" s="2"/>
      <c r="H2730" s="16"/>
      <c r="I2730" s="20"/>
      <c r="J2730" s="20"/>
      <c r="K2730" s="20"/>
      <c r="L2730" s="20"/>
      <c r="M2730" s="20"/>
      <c r="N2730" s="20"/>
      <c r="O2730" s="20"/>
      <c r="P2730" s="20"/>
      <c r="Q2730" s="20"/>
      <c r="R2730" s="20"/>
      <c r="S2730" s="20"/>
      <c r="T2730" s="20"/>
      <c r="U2730" s="20"/>
      <c r="V2730" s="20"/>
      <c r="W2730" s="20"/>
      <c r="X2730" s="20"/>
      <c r="Y2730" s="20"/>
      <c r="Z2730" s="20"/>
      <c r="AA2730" s="20"/>
    </row>
    <row r="2731" spans="1:27" ht="17.399999999999999" x14ac:dyDescent="0.25">
      <c r="A2731" s="16"/>
      <c r="B2731" s="20" t="b">
        <v>0</v>
      </c>
      <c r="C2731" s="20"/>
      <c r="D2731" s="2"/>
      <c r="E2731" s="2"/>
      <c r="F2731" s="20"/>
      <c r="G2731" s="2"/>
      <c r="H2731" s="16"/>
      <c r="I2731" s="20"/>
      <c r="J2731" s="20"/>
      <c r="K2731" s="20"/>
      <c r="L2731" s="20"/>
      <c r="M2731" s="20"/>
      <c r="N2731" s="20"/>
      <c r="O2731" s="20"/>
      <c r="P2731" s="20"/>
      <c r="Q2731" s="20"/>
      <c r="R2731" s="20"/>
      <c r="S2731" s="20"/>
      <c r="T2731" s="20"/>
      <c r="U2731" s="20"/>
      <c r="V2731" s="20"/>
      <c r="W2731" s="20"/>
      <c r="X2731" s="20"/>
      <c r="Y2731" s="20"/>
      <c r="Z2731" s="20"/>
      <c r="AA2731" s="20"/>
    </row>
    <row r="2732" spans="1:27" ht="17.399999999999999" x14ac:dyDescent="0.25">
      <c r="A2732" s="16"/>
      <c r="B2732" s="20" t="b">
        <v>0</v>
      </c>
      <c r="C2732" s="20"/>
      <c r="D2732" s="2"/>
      <c r="E2732" s="2"/>
      <c r="F2732" s="20"/>
      <c r="G2732" s="2"/>
      <c r="H2732" s="16"/>
      <c r="I2732" s="20"/>
      <c r="J2732" s="20"/>
      <c r="K2732" s="20"/>
      <c r="L2732" s="20"/>
      <c r="M2732" s="20"/>
      <c r="N2732" s="20"/>
      <c r="O2732" s="20"/>
      <c r="P2732" s="20"/>
      <c r="Q2732" s="20"/>
      <c r="R2732" s="20"/>
      <c r="S2732" s="20"/>
      <c r="T2732" s="20"/>
      <c r="U2732" s="20"/>
      <c r="V2732" s="20"/>
      <c r="W2732" s="20"/>
      <c r="X2732" s="20"/>
      <c r="Y2732" s="20"/>
      <c r="Z2732" s="20"/>
      <c r="AA2732" s="20"/>
    </row>
    <row r="2733" spans="1:27" ht="17.399999999999999" x14ac:dyDescent="0.25">
      <c r="A2733" s="16"/>
      <c r="B2733" s="20" t="b">
        <v>0</v>
      </c>
      <c r="C2733" s="20"/>
      <c r="D2733" s="2"/>
      <c r="E2733" s="2"/>
      <c r="F2733" s="20"/>
      <c r="G2733" s="2"/>
      <c r="H2733" s="16"/>
      <c r="I2733" s="20"/>
      <c r="J2733" s="20"/>
      <c r="K2733" s="20"/>
      <c r="L2733" s="20"/>
      <c r="M2733" s="20"/>
      <c r="N2733" s="20"/>
      <c r="O2733" s="20"/>
      <c r="P2733" s="20"/>
      <c r="Q2733" s="20"/>
      <c r="R2733" s="20"/>
      <c r="S2733" s="20"/>
      <c r="T2733" s="20"/>
      <c r="U2733" s="20"/>
      <c r="V2733" s="20"/>
      <c r="W2733" s="20"/>
      <c r="X2733" s="20"/>
      <c r="Y2733" s="20"/>
      <c r="Z2733" s="20"/>
      <c r="AA2733" s="20"/>
    </row>
    <row r="2734" spans="1:27" ht="17.399999999999999" x14ac:dyDescent="0.25">
      <c r="A2734" s="16"/>
      <c r="B2734" s="20" t="b">
        <v>0</v>
      </c>
      <c r="C2734" s="20"/>
      <c r="D2734" s="2"/>
      <c r="E2734" s="2"/>
      <c r="F2734" s="20"/>
      <c r="G2734" s="2"/>
      <c r="H2734" s="16"/>
      <c r="I2734" s="20"/>
      <c r="J2734" s="20"/>
      <c r="K2734" s="20"/>
      <c r="L2734" s="20"/>
      <c r="M2734" s="20"/>
      <c r="N2734" s="20"/>
      <c r="O2734" s="20"/>
      <c r="P2734" s="20"/>
      <c r="Q2734" s="20"/>
      <c r="R2734" s="20"/>
      <c r="S2734" s="20"/>
      <c r="T2734" s="20"/>
      <c r="U2734" s="20"/>
      <c r="V2734" s="20"/>
      <c r="W2734" s="20"/>
      <c r="X2734" s="20"/>
      <c r="Y2734" s="20"/>
      <c r="Z2734" s="20"/>
      <c r="AA2734" s="20"/>
    </row>
    <row r="2735" spans="1:27" ht="17.399999999999999" x14ac:dyDescent="0.25">
      <c r="A2735" s="16"/>
      <c r="B2735" s="20" t="b">
        <v>0</v>
      </c>
      <c r="C2735" s="20"/>
      <c r="D2735" s="2"/>
      <c r="E2735" s="2"/>
      <c r="F2735" s="20"/>
      <c r="G2735" s="2"/>
      <c r="H2735" s="16"/>
      <c r="I2735" s="20"/>
      <c r="J2735" s="20"/>
      <c r="K2735" s="20"/>
      <c r="L2735" s="20"/>
      <c r="M2735" s="20"/>
      <c r="N2735" s="20"/>
      <c r="O2735" s="20"/>
      <c r="P2735" s="20"/>
      <c r="Q2735" s="20"/>
      <c r="R2735" s="20"/>
      <c r="S2735" s="20"/>
      <c r="T2735" s="20"/>
      <c r="U2735" s="20"/>
      <c r="V2735" s="20"/>
      <c r="W2735" s="20"/>
      <c r="X2735" s="20"/>
      <c r="Y2735" s="20"/>
      <c r="Z2735" s="20"/>
      <c r="AA2735" s="20"/>
    </row>
    <row r="2736" spans="1:27" ht="17.399999999999999" x14ac:dyDescent="0.25">
      <c r="A2736" s="16"/>
      <c r="B2736" s="20" t="b">
        <v>0</v>
      </c>
      <c r="C2736" s="20"/>
      <c r="D2736" s="2"/>
      <c r="E2736" s="2"/>
      <c r="F2736" s="20"/>
      <c r="G2736" s="2"/>
      <c r="H2736" s="16"/>
      <c r="I2736" s="20"/>
      <c r="J2736" s="20"/>
      <c r="K2736" s="20"/>
      <c r="L2736" s="20"/>
      <c r="M2736" s="20"/>
      <c r="N2736" s="20"/>
      <c r="O2736" s="20"/>
      <c r="P2736" s="20"/>
      <c r="Q2736" s="20"/>
      <c r="R2736" s="20"/>
      <c r="S2736" s="20"/>
      <c r="T2736" s="20"/>
      <c r="U2736" s="20"/>
      <c r="V2736" s="20"/>
      <c r="W2736" s="20"/>
      <c r="X2736" s="20"/>
      <c r="Y2736" s="20"/>
      <c r="Z2736" s="20"/>
      <c r="AA2736" s="20"/>
    </row>
    <row r="2737" spans="1:27" ht="17.399999999999999" x14ac:dyDescent="0.25">
      <c r="A2737" s="16"/>
      <c r="B2737" s="20" t="b">
        <v>0</v>
      </c>
      <c r="C2737" s="20"/>
      <c r="D2737" s="2"/>
      <c r="E2737" s="2"/>
      <c r="F2737" s="20"/>
      <c r="G2737" s="2"/>
      <c r="H2737" s="16"/>
      <c r="I2737" s="20"/>
      <c r="J2737" s="20"/>
      <c r="K2737" s="20"/>
      <c r="L2737" s="20"/>
      <c r="M2737" s="20"/>
      <c r="N2737" s="20"/>
      <c r="O2737" s="20"/>
      <c r="P2737" s="20"/>
      <c r="Q2737" s="20"/>
      <c r="R2737" s="20"/>
      <c r="S2737" s="20"/>
      <c r="T2737" s="20"/>
      <c r="U2737" s="20"/>
      <c r="V2737" s="20"/>
      <c r="W2737" s="20"/>
      <c r="X2737" s="20"/>
      <c r="Y2737" s="20"/>
      <c r="Z2737" s="20"/>
      <c r="AA2737" s="20"/>
    </row>
    <row r="2738" spans="1:27" ht="17.399999999999999" x14ac:dyDescent="0.25">
      <c r="A2738" s="16"/>
      <c r="B2738" s="20" t="b">
        <v>0</v>
      </c>
      <c r="C2738" s="20"/>
      <c r="D2738" s="2"/>
      <c r="E2738" s="2"/>
      <c r="F2738" s="20"/>
      <c r="G2738" s="2"/>
      <c r="H2738" s="16"/>
      <c r="I2738" s="20"/>
      <c r="J2738" s="20"/>
      <c r="K2738" s="20"/>
      <c r="L2738" s="20"/>
      <c r="M2738" s="20"/>
      <c r="N2738" s="20"/>
      <c r="O2738" s="20"/>
      <c r="P2738" s="20"/>
      <c r="Q2738" s="20"/>
      <c r="R2738" s="20"/>
      <c r="S2738" s="20"/>
      <c r="T2738" s="20"/>
      <c r="U2738" s="20"/>
      <c r="V2738" s="20"/>
      <c r="W2738" s="20"/>
      <c r="X2738" s="20"/>
      <c r="Y2738" s="20"/>
      <c r="Z2738" s="20"/>
      <c r="AA2738" s="20"/>
    </row>
    <row r="2739" spans="1:27" ht="17.399999999999999" x14ac:dyDescent="0.25">
      <c r="A2739" s="16"/>
      <c r="B2739" s="20" t="b">
        <v>0</v>
      </c>
      <c r="C2739" s="20"/>
      <c r="D2739" s="2"/>
      <c r="E2739" s="2"/>
      <c r="F2739" s="20"/>
      <c r="G2739" s="2"/>
      <c r="H2739" s="16"/>
      <c r="I2739" s="20"/>
      <c r="J2739" s="20"/>
      <c r="K2739" s="20"/>
      <c r="L2739" s="20"/>
      <c r="M2739" s="20"/>
      <c r="N2739" s="20"/>
      <c r="O2739" s="20"/>
      <c r="P2739" s="20"/>
      <c r="Q2739" s="20"/>
      <c r="R2739" s="20"/>
      <c r="S2739" s="20"/>
      <c r="T2739" s="20"/>
      <c r="U2739" s="20"/>
      <c r="V2739" s="20"/>
      <c r="W2739" s="20"/>
      <c r="X2739" s="20"/>
      <c r="Y2739" s="20"/>
      <c r="Z2739" s="20"/>
      <c r="AA2739" s="20"/>
    </row>
    <row r="2740" spans="1:27" ht="17.399999999999999" x14ac:dyDescent="0.25">
      <c r="A2740" s="16"/>
      <c r="B2740" s="20" t="b">
        <v>0</v>
      </c>
      <c r="C2740" s="20"/>
      <c r="D2740" s="2"/>
      <c r="E2740" s="2"/>
      <c r="F2740" s="20"/>
      <c r="G2740" s="2"/>
      <c r="H2740" s="16"/>
      <c r="I2740" s="20"/>
      <c r="J2740" s="20"/>
      <c r="K2740" s="20"/>
      <c r="L2740" s="20"/>
      <c r="M2740" s="20"/>
      <c r="N2740" s="20"/>
      <c r="O2740" s="20"/>
      <c r="P2740" s="20"/>
      <c r="Q2740" s="20"/>
      <c r="R2740" s="20"/>
      <c r="S2740" s="20"/>
      <c r="T2740" s="20"/>
      <c r="U2740" s="20"/>
      <c r="V2740" s="20"/>
      <c r="W2740" s="20"/>
      <c r="X2740" s="20"/>
      <c r="Y2740" s="20"/>
      <c r="Z2740" s="20"/>
      <c r="AA2740" s="20"/>
    </row>
    <row r="2741" spans="1:27" ht="17.399999999999999" x14ac:dyDescent="0.25">
      <c r="A2741" s="16"/>
      <c r="B2741" s="20" t="b">
        <v>0</v>
      </c>
      <c r="C2741" s="20"/>
      <c r="D2741" s="2"/>
      <c r="E2741" s="2"/>
      <c r="F2741" s="20"/>
      <c r="G2741" s="2"/>
      <c r="H2741" s="16"/>
      <c r="I2741" s="20"/>
      <c r="J2741" s="20"/>
      <c r="K2741" s="20"/>
      <c r="L2741" s="20"/>
      <c r="M2741" s="20"/>
      <c r="N2741" s="20"/>
      <c r="O2741" s="20"/>
      <c r="P2741" s="20"/>
      <c r="Q2741" s="20"/>
      <c r="R2741" s="20"/>
      <c r="S2741" s="20"/>
      <c r="T2741" s="20"/>
      <c r="U2741" s="20"/>
      <c r="V2741" s="20"/>
      <c r="W2741" s="20"/>
      <c r="X2741" s="20"/>
      <c r="Y2741" s="20"/>
      <c r="Z2741" s="20"/>
      <c r="AA2741" s="20"/>
    </row>
    <row r="2742" spans="1:27" ht="17.399999999999999" x14ac:dyDescent="0.25">
      <c r="A2742" s="16"/>
      <c r="B2742" s="20" t="b">
        <v>0</v>
      </c>
      <c r="C2742" s="20"/>
      <c r="D2742" s="2"/>
      <c r="E2742" s="2"/>
      <c r="F2742" s="20"/>
      <c r="G2742" s="2"/>
      <c r="H2742" s="16"/>
      <c r="I2742" s="20"/>
      <c r="J2742" s="20"/>
      <c r="K2742" s="20"/>
      <c r="L2742" s="20"/>
      <c r="M2742" s="20"/>
      <c r="N2742" s="20"/>
      <c r="O2742" s="20"/>
      <c r="P2742" s="20"/>
      <c r="Q2742" s="20"/>
      <c r="R2742" s="20"/>
      <c r="S2742" s="20"/>
      <c r="T2742" s="20"/>
      <c r="U2742" s="20"/>
      <c r="V2742" s="20"/>
      <c r="W2742" s="20"/>
      <c r="X2742" s="20"/>
      <c r="Y2742" s="20"/>
      <c r="Z2742" s="20"/>
      <c r="AA2742" s="20"/>
    </row>
    <row r="2743" spans="1:27" ht="17.399999999999999" x14ac:dyDescent="0.25">
      <c r="A2743" s="16"/>
      <c r="B2743" s="20" t="b">
        <v>0</v>
      </c>
      <c r="C2743" s="20"/>
      <c r="D2743" s="2"/>
      <c r="E2743" s="2"/>
      <c r="F2743" s="20"/>
      <c r="G2743" s="2"/>
      <c r="H2743" s="16"/>
      <c r="I2743" s="20"/>
      <c r="J2743" s="20"/>
      <c r="K2743" s="20"/>
      <c r="L2743" s="20"/>
      <c r="M2743" s="20"/>
      <c r="N2743" s="20"/>
      <c r="O2743" s="20"/>
      <c r="P2743" s="20"/>
      <c r="Q2743" s="20"/>
      <c r="R2743" s="20"/>
      <c r="S2743" s="20"/>
      <c r="T2743" s="20"/>
      <c r="U2743" s="20"/>
      <c r="V2743" s="20"/>
      <c r="W2743" s="20"/>
      <c r="X2743" s="20"/>
      <c r="Y2743" s="20"/>
      <c r="Z2743" s="20"/>
      <c r="AA2743" s="20"/>
    </row>
    <row r="2744" spans="1:27" ht="17.399999999999999" x14ac:dyDescent="0.25">
      <c r="A2744" s="16"/>
      <c r="B2744" s="20" t="b">
        <v>0</v>
      </c>
      <c r="C2744" s="20"/>
      <c r="D2744" s="2"/>
      <c r="E2744" s="2"/>
      <c r="F2744" s="20"/>
      <c r="G2744" s="2"/>
      <c r="H2744" s="16"/>
      <c r="I2744" s="20"/>
      <c r="J2744" s="20"/>
      <c r="K2744" s="20"/>
      <c r="L2744" s="20"/>
      <c r="M2744" s="20"/>
      <c r="N2744" s="20"/>
      <c r="O2744" s="20"/>
      <c r="P2744" s="20"/>
      <c r="Q2744" s="20"/>
      <c r="R2744" s="20"/>
      <c r="S2744" s="20"/>
      <c r="T2744" s="20"/>
      <c r="U2744" s="20"/>
      <c r="V2744" s="20"/>
      <c r="W2744" s="20"/>
      <c r="X2744" s="20"/>
      <c r="Y2744" s="20"/>
      <c r="Z2744" s="20"/>
      <c r="AA2744" s="20"/>
    </row>
    <row r="2745" spans="1:27" ht="17.399999999999999" x14ac:dyDescent="0.25">
      <c r="A2745" s="16"/>
      <c r="B2745" s="20" t="b">
        <v>0</v>
      </c>
      <c r="C2745" s="20"/>
      <c r="D2745" s="2"/>
      <c r="E2745" s="2"/>
      <c r="F2745" s="20"/>
      <c r="G2745" s="2"/>
      <c r="H2745" s="16"/>
      <c r="I2745" s="20"/>
      <c r="J2745" s="20"/>
      <c r="K2745" s="20"/>
      <c r="L2745" s="20"/>
      <c r="M2745" s="20"/>
      <c r="N2745" s="20"/>
      <c r="O2745" s="20"/>
      <c r="P2745" s="20"/>
      <c r="Q2745" s="20"/>
      <c r="R2745" s="20"/>
      <c r="S2745" s="20"/>
      <c r="T2745" s="20"/>
      <c r="U2745" s="20"/>
      <c r="V2745" s="20"/>
      <c r="W2745" s="20"/>
      <c r="X2745" s="20"/>
      <c r="Y2745" s="20"/>
      <c r="Z2745" s="20"/>
      <c r="AA2745" s="20"/>
    </row>
    <row r="2746" spans="1:27" ht="17.399999999999999" x14ac:dyDescent="0.25">
      <c r="A2746" s="16"/>
      <c r="B2746" s="20" t="b">
        <v>0</v>
      </c>
      <c r="C2746" s="20"/>
      <c r="D2746" s="2"/>
      <c r="E2746" s="2"/>
      <c r="F2746" s="20"/>
      <c r="G2746" s="2"/>
      <c r="H2746" s="16"/>
      <c r="I2746" s="20"/>
      <c r="J2746" s="20"/>
      <c r="K2746" s="20"/>
      <c r="L2746" s="20"/>
      <c r="M2746" s="20"/>
      <c r="N2746" s="20"/>
      <c r="O2746" s="20"/>
      <c r="P2746" s="20"/>
      <c r="Q2746" s="20"/>
      <c r="R2746" s="20"/>
      <c r="S2746" s="20"/>
      <c r="T2746" s="20"/>
      <c r="U2746" s="20"/>
      <c r="V2746" s="20"/>
      <c r="W2746" s="20"/>
      <c r="X2746" s="20"/>
      <c r="Y2746" s="20"/>
      <c r="Z2746" s="20"/>
      <c r="AA2746" s="20"/>
    </row>
    <row r="2747" spans="1:27" ht="17.399999999999999" x14ac:dyDescent="0.25">
      <c r="A2747" s="16"/>
      <c r="B2747" s="20" t="b">
        <v>0</v>
      </c>
      <c r="C2747" s="20"/>
      <c r="D2747" s="2"/>
      <c r="E2747" s="2"/>
      <c r="F2747" s="20"/>
      <c r="G2747" s="2"/>
      <c r="H2747" s="16"/>
      <c r="I2747" s="20"/>
      <c r="J2747" s="20"/>
      <c r="K2747" s="20"/>
      <c r="L2747" s="20"/>
      <c r="M2747" s="20"/>
      <c r="N2747" s="20"/>
      <c r="O2747" s="20"/>
      <c r="P2747" s="20"/>
      <c r="Q2747" s="20"/>
      <c r="R2747" s="20"/>
      <c r="S2747" s="20"/>
      <c r="T2747" s="20"/>
      <c r="U2747" s="20"/>
      <c r="V2747" s="20"/>
      <c r="W2747" s="20"/>
      <c r="X2747" s="20"/>
      <c r="Y2747" s="20"/>
      <c r="Z2747" s="20"/>
      <c r="AA2747" s="20"/>
    </row>
    <row r="2748" spans="1:27" ht="17.399999999999999" x14ac:dyDescent="0.25">
      <c r="A2748" s="16"/>
      <c r="B2748" s="20" t="b">
        <v>0</v>
      </c>
      <c r="C2748" s="20"/>
      <c r="D2748" s="2"/>
      <c r="E2748" s="2"/>
      <c r="F2748" s="20"/>
      <c r="G2748" s="2"/>
      <c r="H2748" s="16"/>
      <c r="I2748" s="20"/>
      <c r="J2748" s="20"/>
      <c r="K2748" s="20"/>
      <c r="L2748" s="20"/>
      <c r="M2748" s="20"/>
      <c r="N2748" s="20"/>
      <c r="O2748" s="20"/>
      <c r="P2748" s="20"/>
      <c r="Q2748" s="20"/>
      <c r="R2748" s="20"/>
      <c r="S2748" s="20"/>
      <c r="T2748" s="20"/>
      <c r="U2748" s="20"/>
      <c r="V2748" s="20"/>
      <c r="W2748" s="20"/>
      <c r="X2748" s="20"/>
      <c r="Y2748" s="20"/>
      <c r="Z2748" s="20"/>
      <c r="AA2748" s="20"/>
    </row>
    <row r="2749" spans="1:27" ht="17.399999999999999" x14ac:dyDescent="0.25">
      <c r="A2749" s="16"/>
      <c r="B2749" s="20" t="b">
        <v>0</v>
      </c>
      <c r="C2749" s="20"/>
      <c r="D2749" s="2"/>
      <c r="E2749" s="2"/>
      <c r="F2749" s="20"/>
      <c r="G2749" s="2"/>
      <c r="H2749" s="16"/>
      <c r="I2749" s="20"/>
      <c r="J2749" s="20"/>
      <c r="K2749" s="20"/>
      <c r="L2749" s="20"/>
      <c r="M2749" s="20"/>
      <c r="N2749" s="20"/>
      <c r="O2749" s="20"/>
      <c r="P2749" s="20"/>
      <c r="Q2749" s="20"/>
      <c r="R2749" s="20"/>
      <c r="S2749" s="20"/>
      <c r="T2749" s="20"/>
      <c r="U2749" s="20"/>
      <c r="V2749" s="20"/>
      <c r="W2749" s="20"/>
      <c r="X2749" s="20"/>
      <c r="Y2749" s="20"/>
      <c r="Z2749" s="20"/>
      <c r="AA2749" s="20"/>
    </row>
    <row r="2750" spans="1:27" ht="17.399999999999999" x14ac:dyDescent="0.25">
      <c r="A2750" s="16"/>
      <c r="B2750" s="20" t="b">
        <v>0</v>
      </c>
      <c r="C2750" s="20"/>
      <c r="D2750" s="2"/>
      <c r="E2750" s="2"/>
      <c r="F2750" s="20"/>
      <c r="G2750" s="2"/>
      <c r="H2750" s="16"/>
      <c r="I2750" s="20"/>
      <c r="J2750" s="20"/>
      <c r="K2750" s="20"/>
      <c r="L2750" s="20"/>
      <c r="M2750" s="20"/>
      <c r="N2750" s="20"/>
      <c r="O2750" s="20"/>
      <c r="P2750" s="20"/>
      <c r="Q2750" s="20"/>
      <c r="R2750" s="20"/>
      <c r="S2750" s="20"/>
      <c r="T2750" s="20"/>
      <c r="U2750" s="20"/>
      <c r="V2750" s="20"/>
      <c r="W2750" s="20"/>
      <c r="X2750" s="20"/>
      <c r="Y2750" s="20"/>
      <c r="Z2750" s="20"/>
      <c r="AA2750" s="20"/>
    </row>
    <row r="2751" spans="1:27" ht="17.399999999999999" x14ac:dyDescent="0.25">
      <c r="A2751" s="16"/>
      <c r="B2751" s="20" t="b">
        <v>0</v>
      </c>
      <c r="C2751" s="20"/>
      <c r="D2751" s="2"/>
      <c r="E2751" s="2"/>
      <c r="F2751" s="20"/>
      <c r="G2751" s="2"/>
      <c r="H2751" s="16"/>
      <c r="I2751" s="20"/>
      <c r="J2751" s="20"/>
      <c r="K2751" s="20"/>
      <c r="L2751" s="20"/>
      <c r="M2751" s="20"/>
      <c r="N2751" s="20"/>
      <c r="O2751" s="20"/>
      <c r="P2751" s="20"/>
      <c r="Q2751" s="20"/>
      <c r="R2751" s="20"/>
      <c r="S2751" s="20"/>
      <c r="T2751" s="20"/>
      <c r="U2751" s="20"/>
      <c r="V2751" s="20"/>
      <c r="W2751" s="20"/>
      <c r="X2751" s="20"/>
      <c r="Y2751" s="20"/>
      <c r="Z2751" s="20"/>
      <c r="AA2751" s="20"/>
    </row>
    <row r="2752" spans="1:27" ht="17.399999999999999" x14ac:dyDescent="0.25">
      <c r="A2752" s="16"/>
      <c r="B2752" s="20" t="b">
        <v>0</v>
      </c>
      <c r="C2752" s="20"/>
      <c r="D2752" s="2"/>
      <c r="E2752" s="2"/>
      <c r="F2752" s="20"/>
      <c r="G2752" s="2"/>
      <c r="H2752" s="16"/>
      <c r="I2752" s="20"/>
      <c r="J2752" s="20"/>
      <c r="K2752" s="20"/>
      <c r="L2752" s="20"/>
      <c r="M2752" s="20"/>
      <c r="N2752" s="20"/>
      <c r="O2752" s="20"/>
      <c r="P2752" s="20"/>
      <c r="Q2752" s="20"/>
      <c r="R2752" s="20"/>
      <c r="S2752" s="20"/>
      <c r="T2752" s="20"/>
      <c r="U2752" s="20"/>
      <c r="V2752" s="20"/>
      <c r="W2752" s="20"/>
      <c r="X2752" s="20"/>
      <c r="Y2752" s="20"/>
      <c r="Z2752" s="20"/>
      <c r="AA2752" s="20"/>
    </row>
    <row r="2753" spans="1:27" ht="17.399999999999999" x14ac:dyDescent="0.25">
      <c r="A2753" s="16"/>
      <c r="B2753" s="20" t="b">
        <v>0</v>
      </c>
      <c r="C2753" s="20"/>
      <c r="D2753" s="2"/>
      <c r="E2753" s="2"/>
      <c r="F2753" s="20"/>
      <c r="G2753" s="2"/>
      <c r="H2753" s="16"/>
      <c r="I2753" s="20"/>
      <c r="J2753" s="20"/>
      <c r="K2753" s="20"/>
      <c r="L2753" s="20"/>
      <c r="M2753" s="20"/>
      <c r="N2753" s="20"/>
      <c r="O2753" s="20"/>
      <c r="P2753" s="20"/>
      <c r="Q2753" s="20"/>
      <c r="R2753" s="20"/>
      <c r="S2753" s="20"/>
      <c r="T2753" s="20"/>
      <c r="U2753" s="20"/>
      <c r="V2753" s="20"/>
      <c r="W2753" s="20"/>
      <c r="X2753" s="20"/>
      <c r="Y2753" s="20"/>
      <c r="Z2753" s="20"/>
      <c r="AA2753" s="20"/>
    </row>
    <row r="2754" spans="1:27" ht="17.399999999999999" x14ac:dyDescent="0.25">
      <c r="A2754" s="16"/>
      <c r="B2754" s="20" t="b">
        <v>0</v>
      </c>
      <c r="C2754" s="20"/>
      <c r="D2754" s="2"/>
      <c r="E2754" s="2"/>
      <c r="F2754" s="20"/>
      <c r="G2754" s="2"/>
      <c r="H2754" s="16"/>
      <c r="I2754" s="20"/>
      <c r="J2754" s="20"/>
      <c r="K2754" s="20"/>
      <c r="L2754" s="20"/>
      <c r="M2754" s="20"/>
      <c r="N2754" s="20"/>
      <c r="O2754" s="20"/>
      <c r="P2754" s="20"/>
      <c r="Q2754" s="20"/>
      <c r="R2754" s="20"/>
      <c r="S2754" s="20"/>
      <c r="T2754" s="20"/>
      <c r="U2754" s="20"/>
      <c r="V2754" s="20"/>
      <c r="W2754" s="20"/>
      <c r="X2754" s="20"/>
      <c r="Y2754" s="20"/>
      <c r="Z2754" s="20"/>
      <c r="AA2754" s="20"/>
    </row>
    <row r="2755" spans="1:27" ht="17.399999999999999" x14ac:dyDescent="0.25">
      <c r="A2755" s="16"/>
      <c r="B2755" s="20" t="b">
        <v>0</v>
      </c>
      <c r="C2755" s="20"/>
      <c r="D2755" s="2"/>
      <c r="E2755" s="2"/>
      <c r="F2755" s="20"/>
      <c r="G2755" s="2"/>
      <c r="H2755" s="16"/>
      <c r="I2755" s="20"/>
      <c r="J2755" s="20"/>
      <c r="K2755" s="20"/>
      <c r="L2755" s="20"/>
      <c r="M2755" s="20"/>
      <c r="N2755" s="20"/>
      <c r="O2755" s="20"/>
      <c r="P2755" s="20"/>
      <c r="Q2755" s="20"/>
      <c r="R2755" s="20"/>
      <c r="S2755" s="20"/>
      <c r="T2755" s="20"/>
      <c r="U2755" s="20"/>
      <c r="V2755" s="20"/>
      <c r="W2755" s="20"/>
      <c r="X2755" s="20"/>
      <c r="Y2755" s="20"/>
      <c r="Z2755" s="20"/>
      <c r="AA2755" s="20"/>
    </row>
    <row r="2756" spans="1:27" ht="17.399999999999999" x14ac:dyDescent="0.25">
      <c r="A2756" s="16"/>
      <c r="B2756" s="20" t="b">
        <v>0</v>
      </c>
      <c r="C2756" s="20"/>
      <c r="D2756" s="2"/>
      <c r="E2756" s="2"/>
      <c r="F2756" s="20"/>
      <c r="G2756" s="2"/>
      <c r="H2756" s="16"/>
      <c r="I2756" s="20"/>
      <c r="J2756" s="20"/>
      <c r="K2756" s="20"/>
      <c r="L2756" s="20"/>
      <c r="M2756" s="20"/>
      <c r="N2756" s="20"/>
      <c r="O2756" s="20"/>
      <c r="P2756" s="20"/>
      <c r="Q2756" s="20"/>
      <c r="R2756" s="20"/>
      <c r="S2756" s="20"/>
      <c r="T2756" s="20"/>
      <c r="U2756" s="20"/>
      <c r="V2756" s="20"/>
      <c r="W2756" s="20"/>
      <c r="X2756" s="20"/>
      <c r="Y2756" s="20"/>
      <c r="Z2756" s="20"/>
      <c r="AA2756" s="20"/>
    </row>
    <row r="2757" spans="1:27" ht="17.399999999999999" x14ac:dyDescent="0.25">
      <c r="A2757" s="16"/>
      <c r="B2757" s="20" t="b">
        <v>0</v>
      </c>
      <c r="C2757" s="20"/>
      <c r="D2757" s="2"/>
      <c r="E2757" s="2"/>
      <c r="F2757" s="20"/>
      <c r="G2757" s="2"/>
      <c r="H2757" s="16"/>
      <c r="I2757" s="20"/>
      <c r="J2757" s="20"/>
      <c r="K2757" s="20"/>
      <c r="L2757" s="20"/>
      <c r="M2757" s="20"/>
      <c r="N2757" s="20"/>
      <c r="O2757" s="20"/>
      <c r="P2757" s="20"/>
      <c r="Q2757" s="20"/>
      <c r="R2757" s="20"/>
      <c r="S2757" s="20"/>
      <c r="T2757" s="20"/>
      <c r="U2757" s="20"/>
      <c r="V2757" s="20"/>
      <c r="W2757" s="20"/>
      <c r="X2757" s="20"/>
      <c r="Y2757" s="20"/>
      <c r="Z2757" s="20"/>
      <c r="AA2757" s="20"/>
    </row>
    <row r="2758" spans="1:27" ht="17.399999999999999" x14ac:dyDescent="0.25">
      <c r="A2758" s="16"/>
      <c r="B2758" s="20" t="b">
        <v>0</v>
      </c>
      <c r="C2758" s="20"/>
      <c r="D2758" s="2"/>
      <c r="E2758" s="2"/>
      <c r="F2758" s="20"/>
      <c r="G2758" s="2"/>
      <c r="H2758" s="16"/>
      <c r="I2758" s="20"/>
      <c r="J2758" s="20"/>
      <c r="K2758" s="20"/>
      <c r="L2758" s="20"/>
      <c r="M2758" s="20"/>
      <c r="N2758" s="20"/>
      <c r="O2758" s="20"/>
      <c r="P2758" s="20"/>
      <c r="Q2758" s="20"/>
      <c r="R2758" s="20"/>
      <c r="S2758" s="20"/>
      <c r="T2758" s="20"/>
      <c r="U2758" s="20"/>
      <c r="V2758" s="20"/>
      <c r="W2758" s="20"/>
      <c r="X2758" s="20"/>
      <c r="Y2758" s="20"/>
      <c r="Z2758" s="20"/>
      <c r="AA2758" s="20"/>
    </row>
    <row r="2759" spans="1:27" ht="17.399999999999999" x14ac:dyDescent="0.25">
      <c r="A2759" s="16"/>
      <c r="B2759" s="20" t="b">
        <v>0</v>
      </c>
      <c r="C2759" s="20"/>
      <c r="D2759" s="2"/>
      <c r="E2759" s="2"/>
      <c r="F2759" s="20"/>
      <c r="G2759" s="2"/>
      <c r="H2759" s="16"/>
      <c r="I2759" s="20"/>
      <c r="J2759" s="20"/>
      <c r="K2759" s="20"/>
      <c r="L2759" s="20"/>
      <c r="M2759" s="20"/>
      <c r="N2759" s="20"/>
      <c r="O2759" s="20"/>
      <c r="P2759" s="20"/>
      <c r="Q2759" s="20"/>
      <c r="R2759" s="20"/>
      <c r="S2759" s="20"/>
      <c r="T2759" s="20"/>
      <c r="U2759" s="20"/>
      <c r="V2759" s="20"/>
      <c r="W2759" s="20"/>
      <c r="X2759" s="20"/>
      <c r="Y2759" s="20"/>
      <c r="Z2759" s="20"/>
      <c r="AA2759" s="20"/>
    </row>
    <row r="2760" spans="1:27" ht="17.399999999999999" x14ac:dyDescent="0.25">
      <c r="A2760" s="16"/>
      <c r="B2760" s="20" t="b">
        <v>0</v>
      </c>
      <c r="C2760" s="20"/>
      <c r="D2760" s="2"/>
      <c r="E2760" s="2"/>
      <c r="F2760" s="20"/>
      <c r="G2760" s="2"/>
      <c r="H2760" s="16"/>
      <c r="I2760" s="20"/>
      <c r="J2760" s="20"/>
      <c r="K2760" s="20"/>
      <c r="L2760" s="20"/>
      <c r="M2760" s="20"/>
      <c r="N2760" s="20"/>
      <c r="O2760" s="20"/>
      <c r="P2760" s="20"/>
      <c r="Q2760" s="20"/>
      <c r="R2760" s="20"/>
      <c r="S2760" s="20"/>
      <c r="T2760" s="20"/>
      <c r="U2760" s="20"/>
      <c r="V2760" s="20"/>
      <c r="W2760" s="20"/>
      <c r="X2760" s="20"/>
      <c r="Y2760" s="20"/>
      <c r="Z2760" s="20"/>
      <c r="AA2760" s="20"/>
    </row>
    <row r="2761" spans="1:27" ht="17.399999999999999" x14ac:dyDescent="0.25">
      <c r="A2761" s="16"/>
      <c r="B2761" s="20" t="b">
        <v>0</v>
      </c>
      <c r="C2761" s="20"/>
      <c r="D2761" s="2"/>
      <c r="E2761" s="2"/>
      <c r="F2761" s="20"/>
      <c r="G2761" s="2"/>
      <c r="H2761" s="16"/>
      <c r="I2761" s="20"/>
      <c r="J2761" s="20"/>
      <c r="K2761" s="20"/>
      <c r="L2761" s="20"/>
      <c r="M2761" s="20"/>
      <c r="N2761" s="20"/>
      <c r="O2761" s="20"/>
      <c r="P2761" s="20"/>
      <c r="Q2761" s="20"/>
      <c r="R2761" s="20"/>
      <c r="S2761" s="20"/>
      <c r="T2761" s="20"/>
      <c r="U2761" s="20"/>
      <c r="V2761" s="20"/>
      <c r="W2761" s="20"/>
      <c r="X2761" s="20"/>
      <c r="Y2761" s="20"/>
      <c r="Z2761" s="20"/>
      <c r="AA2761" s="20"/>
    </row>
    <row r="2762" spans="1:27" ht="17.399999999999999" x14ac:dyDescent="0.25">
      <c r="A2762" s="16"/>
      <c r="B2762" s="20" t="b">
        <v>0</v>
      </c>
      <c r="C2762" s="20"/>
      <c r="D2762" s="2"/>
      <c r="E2762" s="2"/>
      <c r="F2762" s="20"/>
      <c r="G2762" s="2"/>
      <c r="H2762" s="16"/>
      <c r="I2762" s="20"/>
      <c r="J2762" s="20"/>
      <c r="K2762" s="20"/>
      <c r="L2762" s="20"/>
      <c r="M2762" s="20"/>
      <c r="N2762" s="20"/>
      <c r="O2762" s="20"/>
      <c r="P2762" s="20"/>
      <c r="Q2762" s="20"/>
      <c r="R2762" s="20"/>
      <c r="S2762" s="20"/>
      <c r="T2762" s="20"/>
      <c r="U2762" s="20"/>
      <c r="V2762" s="20"/>
      <c r="W2762" s="20"/>
      <c r="X2762" s="20"/>
      <c r="Y2762" s="20"/>
      <c r="Z2762" s="20"/>
      <c r="AA2762" s="20"/>
    </row>
    <row r="2763" spans="1:27" ht="17.399999999999999" x14ac:dyDescent="0.25">
      <c r="A2763" s="16"/>
      <c r="B2763" s="20" t="b">
        <v>0</v>
      </c>
      <c r="C2763" s="20"/>
      <c r="D2763" s="2"/>
      <c r="E2763" s="2"/>
      <c r="F2763" s="20"/>
      <c r="G2763" s="2"/>
      <c r="H2763" s="16"/>
      <c r="I2763" s="20"/>
      <c r="J2763" s="20"/>
      <c r="K2763" s="20"/>
      <c r="L2763" s="20"/>
      <c r="M2763" s="20"/>
      <c r="N2763" s="20"/>
      <c r="O2763" s="20"/>
      <c r="P2763" s="20"/>
      <c r="Q2763" s="20"/>
      <c r="R2763" s="20"/>
      <c r="S2763" s="20"/>
      <c r="T2763" s="20"/>
      <c r="U2763" s="20"/>
      <c r="V2763" s="20"/>
      <c r="W2763" s="20"/>
      <c r="X2763" s="20"/>
      <c r="Y2763" s="20"/>
      <c r="Z2763" s="20"/>
      <c r="AA2763" s="20"/>
    </row>
    <row r="2764" spans="1:27" ht="17.399999999999999" x14ac:dyDescent="0.25">
      <c r="A2764" s="16"/>
      <c r="B2764" s="20" t="b">
        <v>0</v>
      </c>
      <c r="C2764" s="20"/>
      <c r="D2764" s="2"/>
      <c r="E2764" s="2"/>
      <c r="F2764" s="20"/>
      <c r="G2764" s="2"/>
      <c r="H2764" s="16"/>
      <c r="I2764" s="20"/>
      <c r="J2764" s="20"/>
      <c r="K2764" s="20"/>
      <c r="L2764" s="20"/>
      <c r="M2764" s="20"/>
      <c r="N2764" s="20"/>
      <c r="O2764" s="20"/>
      <c r="P2764" s="20"/>
      <c r="Q2764" s="20"/>
      <c r="R2764" s="20"/>
      <c r="S2764" s="20"/>
      <c r="T2764" s="20"/>
      <c r="U2764" s="20"/>
      <c r="V2764" s="20"/>
      <c r="W2764" s="20"/>
      <c r="X2764" s="20"/>
      <c r="Y2764" s="20"/>
      <c r="Z2764" s="20"/>
      <c r="AA2764" s="20"/>
    </row>
    <row r="2765" spans="1:27" ht="17.399999999999999" x14ac:dyDescent="0.25">
      <c r="A2765" s="16"/>
      <c r="B2765" s="20" t="b">
        <v>0</v>
      </c>
      <c r="C2765" s="20"/>
      <c r="D2765" s="2"/>
      <c r="E2765" s="2"/>
      <c r="F2765" s="20"/>
      <c r="G2765" s="2"/>
      <c r="H2765" s="16"/>
      <c r="I2765" s="20"/>
      <c r="J2765" s="20"/>
      <c r="K2765" s="20"/>
      <c r="L2765" s="20"/>
      <c r="M2765" s="20"/>
      <c r="N2765" s="20"/>
      <c r="O2765" s="20"/>
      <c r="P2765" s="20"/>
      <c r="Q2765" s="20"/>
      <c r="R2765" s="20"/>
      <c r="S2765" s="20"/>
      <c r="T2765" s="20"/>
      <c r="U2765" s="20"/>
      <c r="V2765" s="20"/>
      <c r="W2765" s="20"/>
      <c r="X2765" s="20"/>
      <c r="Y2765" s="20"/>
      <c r="Z2765" s="20"/>
      <c r="AA2765" s="20"/>
    </row>
    <row r="2766" spans="1:27" ht="17.399999999999999" x14ac:dyDescent="0.25">
      <c r="A2766" s="16"/>
      <c r="B2766" s="20" t="b">
        <v>0</v>
      </c>
      <c r="C2766" s="20"/>
      <c r="D2766" s="2"/>
      <c r="E2766" s="2"/>
      <c r="F2766" s="20"/>
      <c r="G2766" s="2"/>
      <c r="H2766" s="16"/>
      <c r="I2766" s="20"/>
      <c r="J2766" s="20"/>
      <c r="K2766" s="20"/>
      <c r="L2766" s="20"/>
      <c r="M2766" s="20"/>
      <c r="N2766" s="20"/>
      <c r="O2766" s="20"/>
      <c r="P2766" s="20"/>
      <c r="Q2766" s="20"/>
      <c r="R2766" s="20"/>
      <c r="S2766" s="20"/>
      <c r="T2766" s="20"/>
      <c r="U2766" s="20"/>
      <c r="V2766" s="20"/>
      <c r="W2766" s="20"/>
      <c r="X2766" s="20"/>
      <c r="Y2766" s="20"/>
      <c r="Z2766" s="20"/>
      <c r="AA2766" s="20"/>
    </row>
    <row r="2767" spans="1:27" ht="17.399999999999999" x14ac:dyDescent="0.25">
      <c r="A2767" s="16"/>
      <c r="B2767" s="20" t="b">
        <v>0</v>
      </c>
      <c r="C2767" s="20"/>
      <c r="D2767" s="2"/>
      <c r="E2767" s="2"/>
      <c r="F2767" s="20"/>
      <c r="G2767" s="2"/>
      <c r="H2767" s="16"/>
      <c r="I2767" s="20"/>
      <c r="J2767" s="20"/>
      <c r="K2767" s="20"/>
      <c r="L2767" s="20"/>
      <c r="M2767" s="20"/>
      <c r="N2767" s="20"/>
      <c r="O2767" s="20"/>
      <c r="P2767" s="20"/>
      <c r="Q2767" s="20"/>
      <c r="R2767" s="20"/>
      <c r="S2767" s="20"/>
      <c r="T2767" s="20"/>
      <c r="U2767" s="20"/>
      <c r="V2767" s="20"/>
      <c r="W2767" s="20"/>
      <c r="X2767" s="20"/>
      <c r="Y2767" s="20"/>
      <c r="Z2767" s="20"/>
      <c r="AA2767" s="20"/>
    </row>
    <row r="2768" spans="1:27" ht="17.399999999999999" x14ac:dyDescent="0.25">
      <c r="A2768" s="16"/>
      <c r="B2768" s="20" t="b">
        <v>0</v>
      </c>
      <c r="C2768" s="20"/>
      <c r="D2768" s="2"/>
      <c r="E2768" s="2"/>
      <c r="F2768" s="20"/>
      <c r="G2768" s="2"/>
      <c r="H2768" s="16"/>
      <c r="I2768" s="20"/>
      <c r="J2768" s="20"/>
      <c r="K2768" s="20"/>
      <c r="L2768" s="20"/>
      <c r="M2768" s="20"/>
      <c r="N2768" s="20"/>
      <c r="O2768" s="20"/>
      <c r="P2768" s="20"/>
      <c r="Q2768" s="20"/>
      <c r="R2768" s="20"/>
      <c r="S2768" s="20"/>
      <c r="T2768" s="20"/>
      <c r="U2768" s="20"/>
      <c r="V2768" s="20"/>
      <c r="W2768" s="20"/>
      <c r="X2768" s="20"/>
      <c r="Y2768" s="20"/>
      <c r="Z2768" s="20"/>
      <c r="AA2768" s="20"/>
    </row>
    <row r="2769" spans="1:27" ht="17.399999999999999" x14ac:dyDescent="0.25">
      <c r="A2769" s="16"/>
      <c r="B2769" s="20" t="b">
        <v>0</v>
      </c>
      <c r="C2769" s="20"/>
      <c r="D2769" s="2"/>
      <c r="E2769" s="2"/>
      <c r="F2769" s="20"/>
      <c r="G2769" s="2"/>
      <c r="H2769" s="16"/>
      <c r="I2769" s="20"/>
      <c r="J2769" s="20"/>
      <c r="K2769" s="20"/>
      <c r="L2769" s="20"/>
      <c r="M2769" s="20"/>
      <c r="N2769" s="20"/>
      <c r="O2769" s="20"/>
      <c r="P2769" s="20"/>
      <c r="Q2769" s="20"/>
      <c r="R2769" s="20"/>
      <c r="S2769" s="20"/>
      <c r="T2769" s="20"/>
      <c r="U2769" s="20"/>
      <c r="V2769" s="20"/>
      <c r="W2769" s="20"/>
      <c r="X2769" s="20"/>
      <c r="Y2769" s="20"/>
      <c r="Z2769" s="20"/>
      <c r="AA2769" s="20"/>
    </row>
    <row r="2770" spans="1:27" ht="17.399999999999999" x14ac:dyDescent="0.25">
      <c r="A2770" s="16"/>
      <c r="B2770" s="20" t="b">
        <v>0</v>
      </c>
      <c r="C2770" s="20"/>
      <c r="D2770" s="2"/>
      <c r="E2770" s="2"/>
      <c r="F2770" s="20"/>
      <c r="G2770" s="2"/>
      <c r="H2770" s="16"/>
      <c r="I2770" s="20"/>
      <c r="J2770" s="20"/>
      <c r="K2770" s="20"/>
      <c r="L2770" s="20"/>
      <c r="M2770" s="20"/>
      <c r="N2770" s="20"/>
      <c r="O2770" s="20"/>
      <c r="P2770" s="20"/>
      <c r="Q2770" s="20"/>
      <c r="R2770" s="20"/>
      <c r="S2770" s="20"/>
      <c r="T2770" s="20"/>
      <c r="U2770" s="20"/>
      <c r="V2770" s="20"/>
      <c r="W2770" s="20"/>
      <c r="X2770" s="20"/>
      <c r="Y2770" s="20"/>
      <c r="Z2770" s="20"/>
      <c r="AA2770" s="20"/>
    </row>
    <row r="2771" spans="1:27" ht="17.399999999999999" x14ac:dyDescent="0.25">
      <c r="A2771" s="16"/>
      <c r="B2771" s="20" t="b">
        <v>0</v>
      </c>
      <c r="C2771" s="20"/>
      <c r="D2771" s="2"/>
      <c r="E2771" s="2"/>
      <c r="F2771" s="20"/>
      <c r="G2771" s="2"/>
      <c r="H2771" s="16"/>
      <c r="I2771" s="20"/>
      <c r="J2771" s="20"/>
      <c r="K2771" s="20"/>
      <c r="L2771" s="20"/>
      <c r="M2771" s="20"/>
      <c r="N2771" s="20"/>
      <c r="O2771" s="20"/>
      <c r="P2771" s="20"/>
      <c r="Q2771" s="20"/>
      <c r="R2771" s="20"/>
      <c r="S2771" s="20"/>
      <c r="T2771" s="20"/>
      <c r="U2771" s="20"/>
      <c r="V2771" s="20"/>
      <c r="W2771" s="20"/>
      <c r="X2771" s="20"/>
      <c r="Y2771" s="20"/>
      <c r="Z2771" s="20"/>
      <c r="AA2771" s="20"/>
    </row>
    <row r="2772" spans="1:27" ht="17.399999999999999" x14ac:dyDescent="0.25">
      <c r="A2772" s="16"/>
      <c r="B2772" s="20" t="b">
        <v>0</v>
      </c>
      <c r="C2772" s="20"/>
      <c r="D2772" s="2"/>
      <c r="E2772" s="2"/>
      <c r="F2772" s="20"/>
      <c r="G2772" s="2"/>
      <c r="H2772" s="16"/>
      <c r="I2772" s="20"/>
      <c r="J2772" s="20"/>
      <c r="K2772" s="20"/>
      <c r="L2772" s="20"/>
      <c r="M2772" s="20"/>
      <c r="N2772" s="20"/>
      <c r="O2772" s="20"/>
      <c r="P2772" s="20"/>
      <c r="Q2772" s="20"/>
      <c r="R2772" s="20"/>
      <c r="S2772" s="20"/>
      <c r="T2772" s="20"/>
      <c r="U2772" s="20"/>
      <c r="V2772" s="20"/>
      <c r="W2772" s="20"/>
      <c r="X2772" s="20"/>
      <c r="Y2772" s="20"/>
      <c r="Z2772" s="20"/>
      <c r="AA2772" s="20"/>
    </row>
    <row r="2773" spans="1:27" ht="17.399999999999999" x14ac:dyDescent="0.25">
      <c r="A2773" s="16"/>
      <c r="B2773" s="20" t="b">
        <v>0</v>
      </c>
      <c r="C2773" s="20"/>
      <c r="D2773" s="2"/>
      <c r="E2773" s="2"/>
      <c r="F2773" s="20"/>
      <c r="G2773" s="2"/>
      <c r="H2773" s="16"/>
      <c r="I2773" s="20"/>
      <c r="J2773" s="20"/>
      <c r="K2773" s="20"/>
      <c r="L2773" s="20"/>
      <c r="M2773" s="20"/>
      <c r="N2773" s="20"/>
      <c r="O2773" s="20"/>
      <c r="P2773" s="20"/>
      <c r="Q2773" s="20"/>
      <c r="R2773" s="20"/>
      <c r="S2773" s="20"/>
      <c r="T2773" s="20"/>
      <c r="U2773" s="20"/>
      <c r="V2773" s="20"/>
      <c r="W2773" s="20"/>
      <c r="X2773" s="20"/>
      <c r="Y2773" s="20"/>
      <c r="Z2773" s="20"/>
      <c r="AA2773" s="20"/>
    </row>
    <row r="2774" spans="1:27" ht="17.399999999999999" x14ac:dyDescent="0.25">
      <c r="A2774" s="16"/>
      <c r="B2774" s="20" t="b">
        <v>0</v>
      </c>
      <c r="C2774" s="20"/>
      <c r="D2774" s="2"/>
      <c r="E2774" s="2"/>
      <c r="F2774" s="20"/>
      <c r="G2774" s="2"/>
      <c r="H2774" s="16"/>
      <c r="I2774" s="20"/>
      <c r="J2774" s="20"/>
      <c r="K2774" s="20"/>
      <c r="L2774" s="20"/>
      <c r="M2774" s="20"/>
      <c r="N2774" s="20"/>
      <c r="O2774" s="20"/>
      <c r="P2774" s="20"/>
      <c r="Q2774" s="20"/>
      <c r="R2774" s="20"/>
      <c r="S2774" s="20"/>
      <c r="T2774" s="20"/>
      <c r="U2774" s="20"/>
      <c r="V2774" s="20"/>
      <c r="W2774" s="20"/>
      <c r="X2774" s="20"/>
      <c r="Y2774" s="20"/>
      <c r="Z2774" s="20"/>
      <c r="AA2774" s="20"/>
    </row>
    <row r="2775" spans="1:27" ht="17.399999999999999" x14ac:dyDescent="0.25">
      <c r="A2775" s="16"/>
      <c r="B2775" s="20" t="b">
        <v>0</v>
      </c>
      <c r="C2775" s="20"/>
      <c r="D2775" s="2"/>
      <c r="E2775" s="2"/>
      <c r="F2775" s="20"/>
      <c r="G2775" s="2"/>
      <c r="H2775" s="16"/>
      <c r="I2775" s="20"/>
      <c r="J2775" s="20"/>
      <c r="K2775" s="20"/>
      <c r="L2775" s="20"/>
      <c r="M2775" s="20"/>
      <c r="N2775" s="20"/>
      <c r="O2775" s="20"/>
      <c r="P2775" s="20"/>
      <c r="Q2775" s="20"/>
      <c r="R2775" s="20"/>
      <c r="S2775" s="20"/>
      <c r="T2775" s="20"/>
      <c r="U2775" s="20"/>
      <c r="V2775" s="20"/>
      <c r="W2775" s="20"/>
      <c r="X2775" s="20"/>
      <c r="Y2775" s="20"/>
      <c r="Z2775" s="20"/>
      <c r="AA2775" s="20"/>
    </row>
    <row r="2776" spans="1:27" ht="17.399999999999999" x14ac:dyDescent="0.25">
      <c r="A2776" s="16"/>
      <c r="B2776" s="20" t="b">
        <v>0</v>
      </c>
      <c r="C2776" s="20"/>
      <c r="D2776" s="2"/>
      <c r="E2776" s="2"/>
      <c r="F2776" s="20"/>
      <c r="G2776" s="2"/>
      <c r="H2776" s="16"/>
      <c r="I2776" s="20"/>
      <c r="J2776" s="20"/>
      <c r="K2776" s="20"/>
      <c r="L2776" s="20"/>
      <c r="M2776" s="20"/>
      <c r="N2776" s="20"/>
      <c r="O2776" s="20"/>
      <c r="P2776" s="20"/>
      <c r="Q2776" s="20"/>
      <c r="R2776" s="20"/>
      <c r="S2776" s="20"/>
      <c r="T2776" s="20"/>
      <c r="U2776" s="20"/>
      <c r="V2776" s="20"/>
      <c r="W2776" s="20"/>
      <c r="X2776" s="20"/>
      <c r="Y2776" s="20"/>
      <c r="Z2776" s="20"/>
      <c r="AA2776" s="20"/>
    </row>
    <row r="2777" spans="1:27" ht="17.399999999999999" x14ac:dyDescent="0.25">
      <c r="A2777" s="16"/>
      <c r="B2777" s="20" t="b">
        <v>0</v>
      </c>
      <c r="C2777" s="20"/>
      <c r="D2777" s="2"/>
      <c r="E2777" s="2"/>
      <c r="F2777" s="20"/>
      <c r="G2777" s="2"/>
      <c r="H2777" s="16"/>
      <c r="I2777" s="20"/>
      <c r="J2777" s="20"/>
      <c r="K2777" s="20"/>
      <c r="L2777" s="20"/>
      <c r="M2777" s="20"/>
      <c r="N2777" s="20"/>
      <c r="O2777" s="20"/>
      <c r="P2777" s="20"/>
      <c r="Q2777" s="20"/>
      <c r="R2777" s="20"/>
      <c r="S2777" s="20"/>
      <c r="T2777" s="20"/>
      <c r="U2777" s="20"/>
      <c r="V2777" s="20"/>
      <c r="W2777" s="20"/>
      <c r="X2777" s="20"/>
      <c r="Y2777" s="20"/>
      <c r="Z2777" s="20"/>
      <c r="AA2777" s="20"/>
    </row>
    <row r="2778" spans="1:27" ht="17.399999999999999" x14ac:dyDescent="0.25">
      <c r="A2778" s="16"/>
      <c r="B2778" s="20" t="b">
        <v>0</v>
      </c>
      <c r="C2778" s="20"/>
      <c r="D2778" s="2"/>
      <c r="E2778" s="2"/>
      <c r="F2778" s="20"/>
      <c r="G2778" s="2"/>
      <c r="H2778" s="16"/>
      <c r="I2778" s="20"/>
      <c r="J2778" s="20"/>
      <c r="K2778" s="20"/>
      <c r="L2778" s="20"/>
      <c r="M2778" s="20"/>
      <c r="N2778" s="20"/>
      <c r="O2778" s="20"/>
      <c r="P2778" s="20"/>
      <c r="Q2778" s="20"/>
      <c r="R2778" s="20"/>
      <c r="S2778" s="20"/>
      <c r="T2778" s="20"/>
      <c r="U2778" s="20"/>
      <c r="V2778" s="20"/>
      <c r="W2778" s="20"/>
      <c r="X2778" s="20"/>
      <c r="Y2778" s="20"/>
      <c r="Z2778" s="20"/>
      <c r="AA2778" s="20"/>
    </row>
    <row r="2779" spans="1:27" ht="17.399999999999999" x14ac:dyDescent="0.25">
      <c r="A2779" s="16"/>
      <c r="B2779" s="20" t="b">
        <v>0</v>
      </c>
      <c r="C2779" s="20"/>
      <c r="D2779" s="2"/>
      <c r="E2779" s="2"/>
      <c r="F2779" s="20"/>
      <c r="G2779" s="2"/>
      <c r="H2779" s="16"/>
      <c r="I2779" s="20"/>
      <c r="J2779" s="20"/>
      <c r="K2779" s="20"/>
      <c r="L2779" s="20"/>
      <c r="M2779" s="20"/>
      <c r="N2779" s="20"/>
      <c r="O2779" s="20"/>
      <c r="P2779" s="20"/>
      <c r="Q2779" s="20"/>
      <c r="R2779" s="20"/>
      <c r="S2779" s="20"/>
      <c r="T2779" s="20"/>
      <c r="U2779" s="20"/>
      <c r="V2779" s="20"/>
      <c r="W2779" s="20"/>
      <c r="X2779" s="20"/>
      <c r="Y2779" s="20"/>
      <c r="Z2779" s="20"/>
      <c r="AA2779" s="20"/>
    </row>
    <row r="2780" spans="1:27" ht="17.399999999999999" x14ac:dyDescent="0.25">
      <c r="A2780" s="16"/>
      <c r="B2780" s="20" t="b">
        <v>0</v>
      </c>
      <c r="C2780" s="20"/>
      <c r="D2780" s="2"/>
      <c r="E2780" s="2"/>
      <c r="F2780" s="20"/>
      <c r="G2780" s="2"/>
      <c r="H2780" s="16"/>
      <c r="I2780" s="20"/>
      <c r="J2780" s="20"/>
      <c r="K2780" s="20"/>
      <c r="L2780" s="20"/>
      <c r="M2780" s="20"/>
      <c r="N2780" s="20"/>
      <c r="O2780" s="20"/>
      <c r="P2780" s="20"/>
      <c r="Q2780" s="20"/>
      <c r="R2780" s="20"/>
      <c r="S2780" s="20"/>
      <c r="T2780" s="20"/>
      <c r="U2780" s="20"/>
      <c r="V2780" s="20"/>
      <c r="W2780" s="20"/>
      <c r="X2780" s="20"/>
      <c r="Y2780" s="20"/>
      <c r="Z2780" s="20"/>
      <c r="AA2780" s="20"/>
    </row>
    <row r="2781" spans="1:27" ht="17.399999999999999" x14ac:dyDescent="0.25">
      <c r="A2781" s="16"/>
      <c r="B2781" s="20" t="b">
        <v>0</v>
      </c>
      <c r="C2781" s="20"/>
      <c r="D2781" s="2"/>
      <c r="E2781" s="2"/>
      <c r="F2781" s="20"/>
      <c r="G2781" s="2"/>
      <c r="H2781" s="16"/>
      <c r="I2781" s="20"/>
      <c r="J2781" s="20"/>
      <c r="K2781" s="20"/>
      <c r="L2781" s="20"/>
      <c r="M2781" s="20"/>
      <c r="N2781" s="20"/>
      <c r="O2781" s="20"/>
      <c r="P2781" s="20"/>
      <c r="Q2781" s="20"/>
      <c r="R2781" s="20"/>
      <c r="S2781" s="20"/>
      <c r="T2781" s="20"/>
      <c r="U2781" s="20"/>
      <c r="V2781" s="20"/>
      <c r="W2781" s="20"/>
      <c r="X2781" s="20"/>
      <c r="Y2781" s="20"/>
      <c r="Z2781" s="20"/>
      <c r="AA2781" s="20"/>
    </row>
    <row r="2782" spans="1:27" ht="17.399999999999999" x14ac:dyDescent="0.25">
      <c r="A2782" s="16"/>
      <c r="B2782" s="20" t="b">
        <v>0</v>
      </c>
      <c r="C2782" s="20"/>
      <c r="D2782" s="2"/>
      <c r="E2782" s="2"/>
      <c r="F2782" s="20"/>
      <c r="G2782" s="2"/>
      <c r="H2782" s="16"/>
      <c r="I2782" s="20"/>
      <c r="J2782" s="20"/>
      <c r="K2782" s="20"/>
      <c r="L2782" s="20"/>
      <c r="M2782" s="20"/>
      <c r="N2782" s="20"/>
      <c r="O2782" s="20"/>
      <c r="P2782" s="20"/>
      <c r="Q2782" s="20"/>
      <c r="R2782" s="20"/>
      <c r="S2782" s="20"/>
      <c r="T2782" s="20"/>
      <c r="U2782" s="20"/>
      <c r="V2782" s="20"/>
      <c r="W2782" s="20"/>
      <c r="X2782" s="20"/>
      <c r="Y2782" s="20"/>
      <c r="Z2782" s="20"/>
      <c r="AA2782" s="20"/>
    </row>
    <row r="2783" spans="1:27" ht="17.399999999999999" x14ac:dyDescent="0.25">
      <c r="A2783" s="16"/>
      <c r="B2783" s="20" t="b">
        <v>0</v>
      </c>
      <c r="C2783" s="20"/>
      <c r="D2783" s="2"/>
      <c r="E2783" s="2"/>
      <c r="F2783" s="20"/>
      <c r="G2783" s="2"/>
      <c r="H2783" s="16"/>
      <c r="I2783" s="20"/>
      <c r="J2783" s="20"/>
      <c r="K2783" s="20"/>
      <c r="L2783" s="20"/>
      <c r="M2783" s="20"/>
      <c r="N2783" s="20"/>
      <c r="O2783" s="20"/>
      <c r="P2783" s="20"/>
      <c r="Q2783" s="20"/>
      <c r="R2783" s="20"/>
      <c r="S2783" s="20"/>
      <c r="T2783" s="20"/>
      <c r="U2783" s="20"/>
      <c r="V2783" s="20"/>
      <c r="W2783" s="20"/>
      <c r="X2783" s="20"/>
      <c r="Y2783" s="20"/>
      <c r="Z2783" s="20"/>
      <c r="AA2783" s="20"/>
    </row>
    <row r="2784" spans="1:27" ht="17.399999999999999" x14ac:dyDescent="0.25">
      <c r="A2784" s="16"/>
      <c r="B2784" s="20" t="b">
        <v>0</v>
      </c>
      <c r="C2784" s="20"/>
      <c r="D2784" s="2"/>
      <c r="E2784" s="2"/>
      <c r="F2784" s="20"/>
      <c r="G2784" s="2"/>
      <c r="H2784" s="16"/>
      <c r="I2784" s="20"/>
      <c r="J2784" s="20"/>
      <c r="K2784" s="20"/>
      <c r="L2784" s="20"/>
      <c r="M2784" s="20"/>
      <c r="N2784" s="20"/>
      <c r="O2784" s="20"/>
      <c r="P2784" s="20"/>
      <c r="Q2784" s="20"/>
      <c r="R2784" s="20"/>
      <c r="S2784" s="20"/>
      <c r="T2784" s="20"/>
      <c r="U2784" s="20"/>
      <c r="V2784" s="20"/>
      <c r="W2784" s="20"/>
      <c r="X2784" s="20"/>
      <c r="Y2784" s="20"/>
      <c r="Z2784" s="20"/>
      <c r="AA2784" s="20"/>
    </row>
    <row r="2785" spans="1:27" ht="17.399999999999999" x14ac:dyDescent="0.25">
      <c r="A2785" s="16"/>
      <c r="B2785" s="20" t="b">
        <v>0</v>
      </c>
      <c r="C2785" s="20"/>
      <c r="D2785" s="2"/>
      <c r="E2785" s="2"/>
      <c r="F2785" s="20"/>
      <c r="G2785" s="2"/>
      <c r="H2785" s="16"/>
      <c r="I2785" s="20"/>
      <c r="J2785" s="20"/>
      <c r="K2785" s="20"/>
      <c r="L2785" s="20"/>
      <c r="M2785" s="20"/>
      <c r="N2785" s="20"/>
      <c r="O2785" s="20"/>
      <c r="P2785" s="20"/>
      <c r="Q2785" s="20"/>
      <c r="R2785" s="20"/>
      <c r="S2785" s="20"/>
      <c r="T2785" s="20"/>
      <c r="U2785" s="20"/>
      <c r="V2785" s="20"/>
      <c r="W2785" s="20"/>
      <c r="X2785" s="20"/>
      <c r="Y2785" s="20"/>
      <c r="Z2785" s="20"/>
      <c r="AA2785" s="20"/>
    </row>
    <row r="2786" spans="1:27" ht="17.399999999999999" x14ac:dyDescent="0.25">
      <c r="A2786" s="16"/>
      <c r="B2786" s="20" t="b">
        <v>0</v>
      </c>
      <c r="C2786" s="20"/>
      <c r="D2786" s="2"/>
      <c r="E2786" s="2"/>
      <c r="F2786" s="20"/>
      <c r="G2786" s="2"/>
      <c r="H2786" s="16"/>
      <c r="I2786" s="20"/>
      <c r="J2786" s="20"/>
      <c r="K2786" s="20"/>
      <c r="L2786" s="20"/>
      <c r="M2786" s="20"/>
      <c r="N2786" s="20"/>
      <c r="O2786" s="20"/>
      <c r="P2786" s="20"/>
      <c r="Q2786" s="20"/>
      <c r="R2786" s="20"/>
      <c r="S2786" s="20"/>
      <c r="T2786" s="20"/>
      <c r="U2786" s="20"/>
      <c r="V2786" s="20"/>
      <c r="W2786" s="20"/>
      <c r="X2786" s="20"/>
      <c r="Y2786" s="20"/>
      <c r="Z2786" s="20"/>
      <c r="AA2786" s="20"/>
    </row>
    <row r="2787" spans="1:27" ht="17.399999999999999" x14ac:dyDescent="0.25">
      <c r="A2787" s="16"/>
      <c r="B2787" s="20" t="b">
        <v>0</v>
      </c>
      <c r="C2787" s="20"/>
      <c r="D2787" s="2"/>
      <c r="E2787" s="2"/>
      <c r="F2787" s="20"/>
      <c r="G2787" s="2"/>
      <c r="H2787" s="16"/>
      <c r="I2787" s="20"/>
      <c r="J2787" s="20"/>
      <c r="K2787" s="20"/>
      <c r="L2787" s="20"/>
      <c r="M2787" s="20"/>
      <c r="N2787" s="20"/>
      <c r="O2787" s="20"/>
      <c r="P2787" s="20"/>
      <c r="Q2787" s="20"/>
      <c r="R2787" s="20"/>
      <c r="S2787" s="20"/>
      <c r="T2787" s="20"/>
      <c r="U2787" s="20"/>
      <c r="V2787" s="20"/>
      <c r="W2787" s="20"/>
      <c r="X2787" s="20"/>
      <c r="Y2787" s="20"/>
      <c r="Z2787" s="20"/>
      <c r="AA2787" s="20"/>
    </row>
    <row r="2788" spans="1:27" ht="17.399999999999999" x14ac:dyDescent="0.25">
      <c r="A2788" s="16"/>
      <c r="B2788" s="20" t="b">
        <v>0</v>
      </c>
      <c r="C2788" s="20"/>
      <c r="D2788" s="2"/>
      <c r="E2788" s="2"/>
      <c r="F2788" s="20"/>
      <c r="G2788" s="2"/>
      <c r="H2788" s="16"/>
      <c r="I2788" s="20"/>
      <c r="J2788" s="20"/>
      <c r="K2788" s="20"/>
      <c r="L2788" s="20"/>
      <c r="M2788" s="20"/>
      <c r="N2788" s="20"/>
      <c r="O2788" s="20"/>
      <c r="P2788" s="20"/>
      <c r="Q2788" s="20"/>
      <c r="R2788" s="20"/>
      <c r="S2788" s="20"/>
      <c r="T2788" s="20"/>
      <c r="U2788" s="20"/>
      <c r="V2788" s="20"/>
      <c r="W2788" s="20"/>
      <c r="X2788" s="20"/>
      <c r="Y2788" s="20"/>
      <c r="Z2788" s="20"/>
      <c r="AA2788" s="20"/>
    </row>
    <row r="2789" spans="1:27" ht="17.399999999999999" x14ac:dyDescent="0.25">
      <c r="A2789" s="16"/>
      <c r="B2789" s="20" t="b">
        <v>0</v>
      </c>
      <c r="C2789" s="20"/>
      <c r="D2789" s="2"/>
      <c r="E2789" s="2"/>
      <c r="F2789" s="20"/>
      <c r="G2789" s="2"/>
      <c r="H2789" s="16"/>
      <c r="I2789" s="20"/>
      <c r="J2789" s="20"/>
      <c r="K2789" s="20"/>
      <c r="L2789" s="20"/>
      <c r="M2789" s="20"/>
      <c r="N2789" s="20"/>
      <c r="O2789" s="20"/>
      <c r="P2789" s="20"/>
      <c r="Q2789" s="20"/>
      <c r="R2789" s="20"/>
      <c r="S2789" s="20"/>
      <c r="T2789" s="20"/>
      <c r="U2789" s="20"/>
      <c r="V2789" s="20"/>
      <c r="W2789" s="20"/>
      <c r="X2789" s="20"/>
      <c r="Y2789" s="20"/>
      <c r="Z2789" s="20"/>
      <c r="AA2789" s="20"/>
    </row>
    <row r="2790" spans="1:27" ht="17.399999999999999" x14ac:dyDescent="0.25">
      <c r="A2790" s="16"/>
      <c r="B2790" s="20" t="b">
        <v>0</v>
      </c>
      <c r="C2790" s="20"/>
      <c r="D2790" s="2"/>
      <c r="E2790" s="2"/>
      <c r="F2790" s="20"/>
      <c r="G2790" s="2"/>
      <c r="H2790" s="16"/>
      <c r="I2790" s="20"/>
      <c r="J2790" s="20"/>
      <c r="K2790" s="20"/>
      <c r="L2790" s="20"/>
      <c r="M2790" s="20"/>
      <c r="N2790" s="20"/>
      <c r="O2790" s="20"/>
      <c r="P2790" s="20"/>
      <c r="Q2790" s="20"/>
      <c r="R2790" s="20"/>
      <c r="S2790" s="20"/>
      <c r="T2790" s="20"/>
      <c r="U2790" s="20"/>
      <c r="V2790" s="20"/>
      <c r="W2790" s="20"/>
      <c r="X2790" s="20"/>
      <c r="Y2790" s="20"/>
      <c r="Z2790" s="20"/>
      <c r="AA2790" s="20"/>
    </row>
    <row r="2791" spans="1:27" ht="17.399999999999999" x14ac:dyDescent="0.25">
      <c r="A2791" s="16"/>
      <c r="B2791" s="20" t="b">
        <v>0</v>
      </c>
      <c r="C2791" s="20"/>
      <c r="D2791" s="2"/>
      <c r="E2791" s="2"/>
      <c r="F2791" s="20"/>
      <c r="G2791" s="2"/>
      <c r="H2791" s="16"/>
      <c r="I2791" s="20"/>
      <c r="J2791" s="20"/>
      <c r="K2791" s="20"/>
      <c r="L2791" s="20"/>
      <c r="M2791" s="20"/>
      <c r="N2791" s="20"/>
      <c r="O2791" s="20"/>
      <c r="P2791" s="20"/>
      <c r="Q2791" s="20"/>
      <c r="R2791" s="20"/>
      <c r="S2791" s="20"/>
      <c r="T2791" s="20"/>
      <c r="U2791" s="20"/>
      <c r="V2791" s="20"/>
      <c r="W2791" s="20"/>
      <c r="X2791" s="20"/>
      <c r="Y2791" s="20"/>
      <c r="Z2791" s="20"/>
      <c r="AA2791" s="20"/>
    </row>
    <row r="2792" spans="1:27" ht="17.399999999999999" x14ac:dyDescent="0.25">
      <c r="A2792" s="16"/>
      <c r="B2792" s="20" t="b">
        <v>0</v>
      </c>
      <c r="C2792" s="20"/>
      <c r="D2792" s="2"/>
      <c r="E2792" s="2"/>
      <c r="F2792" s="20"/>
      <c r="G2792" s="2"/>
      <c r="H2792" s="16"/>
      <c r="I2792" s="20"/>
      <c r="J2792" s="20"/>
      <c r="K2792" s="20"/>
      <c r="L2792" s="20"/>
      <c r="M2792" s="20"/>
      <c r="N2792" s="20"/>
      <c r="O2792" s="20"/>
      <c r="P2792" s="20"/>
      <c r="Q2792" s="20"/>
      <c r="R2792" s="20"/>
      <c r="S2792" s="20"/>
      <c r="T2792" s="20"/>
      <c r="U2792" s="20"/>
      <c r="V2792" s="20"/>
      <c r="W2792" s="20"/>
      <c r="X2792" s="20"/>
      <c r="Y2792" s="20"/>
      <c r="Z2792" s="20"/>
      <c r="AA2792" s="20"/>
    </row>
    <row r="2793" spans="1:27" ht="17.399999999999999" x14ac:dyDescent="0.25">
      <c r="A2793" s="16"/>
      <c r="B2793" s="20" t="b">
        <v>0</v>
      </c>
      <c r="C2793" s="20"/>
      <c r="D2793" s="2"/>
      <c r="E2793" s="2"/>
      <c r="F2793" s="20"/>
      <c r="G2793" s="2"/>
      <c r="H2793" s="16"/>
      <c r="I2793" s="20"/>
      <c r="J2793" s="20"/>
      <c r="K2793" s="20"/>
      <c r="L2793" s="20"/>
      <c r="M2793" s="20"/>
      <c r="N2793" s="20"/>
      <c r="O2793" s="20"/>
      <c r="P2793" s="20"/>
      <c r="Q2793" s="20"/>
      <c r="R2793" s="20"/>
      <c r="S2793" s="20"/>
      <c r="T2793" s="20"/>
      <c r="U2793" s="20"/>
      <c r="V2793" s="20"/>
      <c r="W2793" s="20"/>
      <c r="X2793" s="20"/>
      <c r="Y2793" s="20"/>
      <c r="Z2793" s="20"/>
      <c r="AA2793" s="20"/>
    </row>
    <row r="2794" spans="1:27" ht="17.399999999999999" x14ac:dyDescent="0.25">
      <c r="A2794" s="16"/>
      <c r="B2794" s="20" t="b">
        <v>0</v>
      </c>
      <c r="C2794" s="20"/>
      <c r="D2794" s="2"/>
      <c r="E2794" s="2"/>
      <c r="F2794" s="20"/>
      <c r="G2794" s="2"/>
      <c r="H2794" s="16"/>
      <c r="I2794" s="20"/>
      <c r="J2794" s="20"/>
      <c r="K2794" s="20"/>
      <c r="L2794" s="20"/>
      <c r="M2794" s="20"/>
      <c r="N2794" s="20"/>
      <c r="O2794" s="20"/>
      <c r="P2794" s="20"/>
      <c r="Q2794" s="20"/>
      <c r="R2794" s="20"/>
      <c r="S2794" s="20"/>
      <c r="T2794" s="20"/>
      <c r="U2794" s="20"/>
      <c r="V2794" s="20"/>
      <c r="W2794" s="20"/>
      <c r="X2794" s="20"/>
      <c r="Y2794" s="20"/>
      <c r="Z2794" s="20"/>
      <c r="AA2794" s="20"/>
    </row>
    <row r="2795" spans="1:27" ht="17.399999999999999" x14ac:dyDescent="0.25">
      <c r="A2795" s="16"/>
      <c r="B2795" s="20" t="b">
        <v>0</v>
      </c>
      <c r="C2795" s="20"/>
      <c r="D2795" s="2"/>
      <c r="E2795" s="2"/>
      <c r="F2795" s="20"/>
      <c r="G2795" s="2"/>
      <c r="H2795" s="16"/>
      <c r="I2795" s="20"/>
      <c r="J2795" s="20"/>
      <c r="K2795" s="20"/>
      <c r="L2795" s="20"/>
      <c r="M2795" s="20"/>
      <c r="N2795" s="20"/>
      <c r="O2795" s="20"/>
      <c r="P2795" s="20"/>
      <c r="Q2795" s="20"/>
      <c r="R2795" s="20"/>
      <c r="S2795" s="20"/>
      <c r="T2795" s="20"/>
      <c r="U2795" s="20"/>
      <c r="V2795" s="20"/>
      <c r="W2795" s="20"/>
      <c r="X2795" s="20"/>
      <c r="Y2795" s="20"/>
      <c r="Z2795" s="20"/>
      <c r="AA2795" s="20"/>
    </row>
    <row r="2796" spans="1:27" ht="17.399999999999999" x14ac:dyDescent="0.25">
      <c r="A2796" s="16"/>
      <c r="B2796" s="20" t="b">
        <v>0</v>
      </c>
      <c r="C2796" s="20"/>
      <c r="D2796" s="2"/>
      <c r="E2796" s="2"/>
      <c r="F2796" s="20"/>
      <c r="G2796" s="2"/>
      <c r="H2796" s="16"/>
      <c r="I2796" s="20"/>
      <c r="J2796" s="20"/>
      <c r="K2796" s="20"/>
      <c r="L2796" s="20"/>
      <c r="M2796" s="20"/>
      <c r="N2796" s="20"/>
      <c r="O2796" s="20"/>
      <c r="P2796" s="20"/>
      <c r="Q2796" s="20"/>
      <c r="R2796" s="20"/>
      <c r="S2796" s="20"/>
      <c r="T2796" s="20"/>
      <c r="U2796" s="20"/>
      <c r="V2796" s="20"/>
      <c r="W2796" s="20"/>
      <c r="X2796" s="20"/>
      <c r="Y2796" s="20"/>
      <c r="Z2796" s="20"/>
      <c r="AA2796" s="20"/>
    </row>
    <row r="2797" spans="1:27" ht="17.399999999999999" x14ac:dyDescent="0.25">
      <c r="A2797" s="16"/>
      <c r="B2797" s="20" t="b">
        <v>0</v>
      </c>
      <c r="C2797" s="20"/>
      <c r="D2797" s="2"/>
      <c r="E2797" s="2"/>
      <c r="F2797" s="20"/>
      <c r="G2797" s="2"/>
      <c r="H2797" s="16"/>
      <c r="I2797" s="20"/>
      <c r="J2797" s="20"/>
      <c r="K2797" s="20"/>
      <c r="L2797" s="20"/>
      <c r="M2797" s="20"/>
      <c r="N2797" s="20"/>
      <c r="O2797" s="20"/>
      <c r="P2797" s="20"/>
      <c r="Q2797" s="20"/>
      <c r="R2797" s="20"/>
      <c r="S2797" s="20"/>
      <c r="T2797" s="20"/>
      <c r="U2797" s="20"/>
      <c r="V2797" s="20"/>
      <c r="W2797" s="20"/>
      <c r="X2797" s="20"/>
      <c r="Y2797" s="20"/>
      <c r="Z2797" s="20"/>
      <c r="AA2797" s="20"/>
    </row>
    <row r="2798" spans="1:27" ht="17.399999999999999" x14ac:dyDescent="0.25">
      <c r="A2798" s="16"/>
      <c r="B2798" s="20" t="b">
        <v>0</v>
      </c>
      <c r="C2798" s="20"/>
      <c r="D2798" s="2"/>
      <c r="E2798" s="2"/>
      <c r="F2798" s="20"/>
      <c r="G2798" s="2"/>
      <c r="H2798" s="16"/>
      <c r="I2798" s="20"/>
      <c r="J2798" s="20"/>
      <c r="K2798" s="20"/>
      <c r="L2798" s="20"/>
      <c r="M2798" s="20"/>
      <c r="N2798" s="20"/>
      <c r="O2798" s="20"/>
      <c r="P2798" s="20"/>
      <c r="Q2798" s="20"/>
      <c r="R2798" s="20"/>
      <c r="S2798" s="20"/>
      <c r="T2798" s="20"/>
      <c r="U2798" s="20"/>
      <c r="V2798" s="20"/>
      <c r="W2798" s="20"/>
      <c r="X2798" s="20"/>
      <c r="Y2798" s="20"/>
      <c r="Z2798" s="20"/>
      <c r="AA2798" s="20"/>
    </row>
    <row r="2799" spans="1:27" ht="17.399999999999999" x14ac:dyDescent="0.25">
      <c r="A2799" s="16"/>
      <c r="B2799" s="20" t="b">
        <v>0</v>
      </c>
      <c r="C2799" s="20"/>
      <c r="D2799" s="2"/>
      <c r="E2799" s="2"/>
      <c r="F2799" s="20"/>
      <c r="G2799" s="2"/>
      <c r="H2799" s="16"/>
      <c r="I2799" s="20"/>
      <c r="J2799" s="20"/>
      <c r="K2799" s="20"/>
      <c r="L2799" s="20"/>
      <c r="M2799" s="20"/>
      <c r="N2799" s="20"/>
      <c r="O2799" s="20"/>
      <c r="P2799" s="20"/>
      <c r="Q2799" s="20"/>
      <c r="R2799" s="20"/>
      <c r="S2799" s="20"/>
      <c r="T2799" s="20"/>
      <c r="U2799" s="20"/>
      <c r="V2799" s="20"/>
      <c r="W2799" s="20"/>
      <c r="X2799" s="20"/>
      <c r="Y2799" s="20"/>
      <c r="Z2799" s="20"/>
      <c r="AA2799" s="20"/>
    </row>
    <row r="2800" spans="1:27" ht="17.399999999999999" x14ac:dyDescent="0.25">
      <c r="A2800" s="16"/>
      <c r="B2800" s="20" t="b">
        <v>0</v>
      </c>
      <c r="C2800" s="20"/>
      <c r="D2800" s="2"/>
      <c r="E2800" s="2"/>
      <c r="F2800" s="20"/>
      <c r="G2800" s="2"/>
      <c r="H2800" s="16"/>
      <c r="I2800" s="20"/>
      <c r="J2800" s="20"/>
      <c r="K2800" s="20"/>
      <c r="L2800" s="20"/>
      <c r="M2800" s="20"/>
      <c r="N2800" s="20"/>
      <c r="O2800" s="20"/>
      <c r="P2800" s="20"/>
      <c r="Q2800" s="20"/>
      <c r="R2800" s="20"/>
      <c r="S2800" s="20"/>
      <c r="T2800" s="20"/>
      <c r="U2800" s="20"/>
      <c r="V2800" s="20"/>
      <c r="W2800" s="20"/>
      <c r="X2800" s="20"/>
      <c r="Y2800" s="20"/>
      <c r="Z2800" s="20"/>
      <c r="AA2800" s="20"/>
    </row>
    <row r="2801" spans="1:27" ht="17.399999999999999" x14ac:dyDescent="0.25">
      <c r="A2801" s="16"/>
      <c r="B2801" s="20" t="b">
        <v>0</v>
      </c>
      <c r="C2801" s="20"/>
      <c r="D2801" s="2"/>
      <c r="E2801" s="2"/>
      <c r="F2801" s="20"/>
      <c r="G2801" s="2"/>
      <c r="H2801" s="16"/>
      <c r="I2801" s="20"/>
      <c r="J2801" s="20"/>
      <c r="K2801" s="20"/>
      <c r="L2801" s="20"/>
      <c r="M2801" s="20"/>
      <c r="N2801" s="20"/>
      <c r="O2801" s="20"/>
      <c r="P2801" s="20"/>
      <c r="Q2801" s="20"/>
      <c r="R2801" s="20"/>
      <c r="S2801" s="20"/>
      <c r="T2801" s="20"/>
      <c r="U2801" s="20"/>
      <c r="V2801" s="20"/>
      <c r="W2801" s="20"/>
      <c r="X2801" s="20"/>
      <c r="Y2801" s="20"/>
      <c r="Z2801" s="20"/>
      <c r="AA2801" s="20"/>
    </row>
    <row r="2802" spans="1:27" ht="17.399999999999999" x14ac:dyDescent="0.25">
      <c r="A2802" s="16"/>
      <c r="B2802" s="20" t="b">
        <v>0</v>
      </c>
      <c r="C2802" s="20"/>
      <c r="D2802" s="2"/>
      <c r="E2802" s="2"/>
      <c r="F2802" s="20"/>
      <c r="G2802" s="2"/>
      <c r="H2802" s="16"/>
      <c r="I2802" s="20"/>
      <c r="J2802" s="20"/>
      <c r="K2802" s="20"/>
      <c r="L2802" s="20"/>
      <c r="M2802" s="20"/>
      <c r="N2802" s="20"/>
      <c r="O2802" s="20"/>
      <c r="P2802" s="20"/>
      <c r="Q2802" s="20"/>
      <c r="R2802" s="20"/>
      <c r="S2802" s="20"/>
      <c r="T2802" s="20"/>
      <c r="U2802" s="20"/>
      <c r="V2802" s="20"/>
      <c r="W2802" s="20"/>
      <c r="X2802" s="20"/>
      <c r="Y2802" s="20"/>
      <c r="Z2802" s="20"/>
      <c r="AA2802" s="20"/>
    </row>
    <row r="2803" spans="1:27" ht="17.399999999999999" x14ac:dyDescent="0.25">
      <c r="A2803" s="16"/>
      <c r="B2803" s="20" t="b">
        <v>0</v>
      </c>
      <c r="C2803" s="20"/>
      <c r="D2803" s="2"/>
      <c r="E2803" s="2"/>
      <c r="F2803" s="20"/>
      <c r="G2803" s="2"/>
      <c r="H2803" s="16"/>
      <c r="I2803" s="20"/>
      <c r="J2803" s="20"/>
      <c r="K2803" s="20"/>
      <c r="L2803" s="20"/>
      <c r="M2803" s="20"/>
      <c r="N2803" s="20"/>
      <c r="O2803" s="20"/>
      <c r="P2803" s="20"/>
      <c r="Q2803" s="20"/>
      <c r="R2803" s="20"/>
      <c r="S2803" s="20"/>
      <c r="T2803" s="20"/>
      <c r="U2803" s="20"/>
      <c r="V2803" s="20"/>
      <c r="W2803" s="20"/>
      <c r="X2803" s="20"/>
      <c r="Y2803" s="20"/>
      <c r="Z2803" s="20"/>
      <c r="AA2803" s="20"/>
    </row>
    <row r="2804" spans="1:27" ht="17.399999999999999" x14ac:dyDescent="0.25">
      <c r="A2804" s="16"/>
      <c r="B2804" s="20" t="b">
        <v>0</v>
      </c>
      <c r="C2804" s="20"/>
      <c r="D2804" s="2"/>
      <c r="E2804" s="2"/>
      <c r="F2804" s="20"/>
      <c r="G2804" s="2"/>
      <c r="H2804" s="16"/>
      <c r="I2804" s="20"/>
      <c r="J2804" s="20"/>
      <c r="K2804" s="20"/>
      <c r="L2804" s="20"/>
      <c r="M2804" s="20"/>
      <c r="N2804" s="20"/>
      <c r="O2804" s="20"/>
      <c r="P2804" s="20"/>
      <c r="Q2804" s="20"/>
      <c r="R2804" s="20"/>
      <c r="S2804" s="20"/>
      <c r="T2804" s="20"/>
      <c r="U2804" s="20"/>
      <c r="V2804" s="20"/>
      <c r="W2804" s="20"/>
      <c r="X2804" s="20"/>
      <c r="Y2804" s="20"/>
      <c r="Z2804" s="20"/>
      <c r="AA2804" s="20"/>
    </row>
    <row r="2805" spans="1:27" ht="17.399999999999999" x14ac:dyDescent="0.25">
      <c r="A2805" s="16"/>
      <c r="B2805" s="20" t="b">
        <v>0</v>
      </c>
      <c r="C2805" s="20"/>
      <c r="D2805" s="2"/>
      <c r="E2805" s="2"/>
      <c r="F2805" s="20"/>
      <c r="G2805" s="2"/>
      <c r="H2805" s="16"/>
      <c r="I2805" s="20"/>
      <c r="J2805" s="20"/>
      <c r="K2805" s="20"/>
      <c r="L2805" s="20"/>
      <c r="M2805" s="20"/>
      <c r="N2805" s="20"/>
      <c r="O2805" s="20"/>
      <c r="P2805" s="20"/>
      <c r="Q2805" s="20"/>
      <c r="R2805" s="20"/>
      <c r="S2805" s="20"/>
      <c r="T2805" s="20"/>
      <c r="U2805" s="20"/>
      <c r="V2805" s="20"/>
      <c r="W2805" s="20"/>
      <c r="X2805" s="20"/>
      <c r="Y2805" s="20"/>
      <c r="Z2805" s="20"/>
      <c r="AA2805" s="20"/>
    </row>
    <row r="2806" spans="1:27" ht="17.399999999999999" x14ac:dyDescent="0.25">
      <c r="A2806" s="16"/>
      <c r="B2806" s="20" t="b">
        <v>0</v>
      </c>
      <c r="C2806" s="20"/>
      <c r="D2806" s="2"/>
      <c r="E2806" s="2"/>
      <c r="F2806" s="20"/>
      <c r="G2806" s="2"/>
      <c r="H2806" s="16"/>
      <c r="I2806" s="20"/>
      <c r="J2806" s="20"/>
      <c r="K2806" s="20"/>
      <c r="L2806" s="20"/>
      <c r="M2806" s="20"/>
      <c r="N2806" s="20"/>
      <c r="O2806" s="20"/>
      <c r="P2806" s="20"/>
      <c r="Q2806" s="20"/>
      <c r="R2806" s="20"/>
      <c r="S2806" s="20"/>
      <c r="T2806" s="20"/>
      <c r="U2806" s="20"/>
      <c r="V2806" s="20"/>
      <c r="W2806" s="20"/>
      <c r="X2806" s="20"/>
      <c r="Y2806" s="20"/>
      <c r="Z2806" s="20"/>
      <c r="AA2806" s="20"/>
    </row>
    <row r="2807" spans="1:27" ht="17.399999999999999" x14ac:dyDescent="0.25">
      <c r="A2807" s="16"/>
      <c r="B2807" s="20" t="b">
        <v>0</v>
      </c>
      <c r="C2807" s="20"/>
      <c r="D2807" s="2"/>
      <c r="E2807" s="2"/>
      <c r="F2807" s="20"/>
      <c r="G2807" s="2"/>
      <c r="H2807" s="16"/>
      <c r="I2807" s="20"/>
      <c r="J2807" s="20"/>
      <c r="K2807" s="20"/>
      <c r="L2807" s="20"/>
      <c r="M2807" s="20"/>
      <c r="N2807" s="20"/>
      <c r="O2807" s="20"/>
      <c r="P2807" s="20"/>
      <c r="Q2807" s="20"/>
      <c r="R2807" s="20"/>
      <c r="S2807" s="20"/>
      <c r="T2807" s="20"/>
      <c r="U2807" s="20"/>
      <c r="V2807" s="20"/>
      <c r="W2807" s="20"/>
      <c r="X2807" s="20"/>
      <c r="Y2807" s="20"/>
      <c r="Z2807" s="20"/>
      <c r="AA2807" s="20"/>
    </row>
    <row r="2808" spans="1:27" ht="17.399999999999999" x14ac:dyDescent="0.25">
      <c r="A2808" s="16"/>
      <c r="B2808" s="20" t="b">
        <v>0</v>
      </c>
      <c r="C2808" s="20"/>
      <c r="D2808" s="2"/>
      <c r="E2808" s="2"/>
      <c r="F2808" s="20"/>
      <c r="G2808" s="2"/>
      <c r="H2808" s="16"/>
      <c r="I2808" s="20"/>
      <c r="J2808" s="20"/>
      <c r="K2808" s="20"/>
      <c r="L2808" s="20"/>
      <c r="M2808" s="20"/>
      <c r="N2808" s="20"/>
      <c r="O2808" s="20"/>
      <c r="P2808" s="20"/>
      <c r="Q2808" s="20"/>
      <c r="R2808" s="20"/>
      <c r="S2808" s="20"/>
      <c r="T2808" s="20"/>
      <c r="U2808" s="20"/>
      <c r="V2808" s="20"/>
      <c r="W2808" s="20"/>
      <c r="X2808" s="20"/>
      <c r="Y2808" s="20"/>
      <c r="Z2808" s="20"/>
      <c r="AA2808" s="20"/>
    </row>
    <row r="2809" spans="1:27" ht="17.399999999999999" x14ac:dyDescent="0.25">
      <c r="A2809" s="16"/>
      <c r="B2809" s="20" t="b">
        <v>0</v>
      </c>
      <c r="C2809" s="20"/>
      <c r="D2809" s="2"/>
      <c r="E2809" s="2"/>
      <c r="F2809" s="20"/>
      <c r="G2809" s="2"/>
      <c r="H2809" s="16"/>
      <c r="I2809" s="20"/>
      <c r="J2809" s="20"/>
      <c r="K2809" s="20"/>
      <c r="L2809" s="20"/>
      <c r="M2809" s="20"/>
      <c r="N2809" s="20"/>
      <c r="O2809" s="20"/>
      <c r="P2809" s="20"/>
      <c r="Q2809" s="20"/>
      <c r="R2809" s="20"/>
      <c r="S2809" s="20"/>
      <c r="T2809" s="20"/>
      <c r="U2809" s="20"/>
      <c r="V2809" s="20"/>
      <c r="W2809" s="20"/>
      <c r="X2809" s="20"/>
      <c r="Y2809" s="20"/>
      <c r="Z2809" s="20"/>
      <c r="AA2809" s="20"/>
    </row>
    <row r="2810" spans="1:27" ht="17.399999999999999" x14ac:dyDescent="0.25">
      <c r="A2810" s="16"/>
      <c r="B2810" s="20" t="b">
        <v>0</v>
      </c>
      <c r="C2810" s="20"/>
      <c r="D2810" s="2"/>
      <c r="E2810" s="2"/>
      <c r="F2810" s="20"/>
      <c r="G2810" s="2"/>
      <c r="H2810" s="16"/>
      <c r="I2810" s="20"/>
      <c r="J2810" s="20"/>
      <c r="K2810" s="20"/>
      <c r="L2810" s="20"/>
      <c r="M2810" s="20"/>
      <c r="N2810" s="20"/>
      <c r="O2810" s="20"/>
      <c r="P2810" s="20"/>
      <c r="Q2810" s="20"/>
      <c r="R2810" s="20"/>
      <c r="S2810" s="20"/>
      <c r="T2810" s="20"/>
      <c r="U2810" s="20"/>
      <c r="V2810" s="20"/>
      <c r="W2810" s="20"/>
      <c r="X2810" s="20"/>
      <c r="Y2810" s="20"/>
      <c r="Z2810" s="20"/>
      <c r="AA2810" s="20"/>
    </row>
    <row r="2811" spans="1:27" ht="17.399999999999999" x14ac:dyDescent="0.25">
      <c r="A2811" s="16"/>
      <c r="B2811" s="20" t="b">
        <v>0</v>
      </c>
      <c r="C2811" s="20"/>
      <c r="D2811" s="2"/>
      <c r="E2811" s="2"/>
      <c r="F2811" s="20"/>
      <c r="G2811" s="2"/>
      <c r="H2811" s="16"/>
      <c r="I2811" s="20"/>
      <c r="J2811" s="20"/>
      <c r="K2811" s="20"/>
      <c r="L2811" s="20"/>
      <c r="M2811" s="20"/>
      <c r="N2811" s="20"/>
      <c r="O2811" s="20"/>
      <c r="P2811" s="20"/>
      <c r="Q2811" s="20"/>
      <c r="R2811" s="20"/>
      <c r="S2811" s="20"/>
      <c r="T2811" s="20"/>
      <c r="U2811" s="20"/>
      <c r="V2811" s="20"/>
      <c r="W2811" s="20"/>
      <c r="X2811" s="20"/>
      <c r="Y2811" s="20"/>
      <c r="Z2811" s="20"/>
      <c r="AA2811" s="20"/>
    </row>
    <row r="2812" spans="1:27" ht="17.399999999999999" x14ac:dyDescent="0.25">
      <c r="A2812" s="16"/>
      <c r="B2812" s="20" t="b">
        <v>0</v>
      </c>
      <c r="C2812" s="20"/>
      <c r="D2812" s="2"/>
      <c r="E2812" s="2"/>
      <c r="F2812" s="20"/>
      <c r="G2812" s="2"/>
      <c r="H2812" s="16"/>
      <c r="I2812" s="20"/>
      <c r="J2812" s="20"/>
      <c r="K2812" s="20"/>
      <c r="L2812" s="20"/>
      <c r="M2812" s="20"/>
      <c r="N2812" s="20"/>
      <c r="O2812" s="20"/>
      <c r="P2812" s="20"/>
      <c r="Q2812" s="20"/>
      <c r="R2812" s="20"/>
      <c r="S2812" s="20"/>
      <c r="T2812" s="20"/>
      <c r="U2812" s="20"/>
      <c r="V2812" s="20"/>
      <c r="W2812" s="20"/>
      <c r="X2812" s="20"/>
      <c r="Y2812" s="20"/>
      <c r="Z2812" s="20"/>
      <c r="AA2812" s="20"/>
    </row>
    <row r="2813" spans="1:27" ht="17.399999999999999" x14ac:dyDescent="0.25">
      <c r="A2813" s="16"/>
      <c r="B2813" s="20" t="b">
        <v>0</v>
      </c>
      <c r="C2813" s="20"/>
      <c r="D2813" s="2"/>
      <c r="E2813" s="2"/>
      <c r="F2813" s="20"/>
      <c r="G2813" s="2"/>
      <c r="H2813" s="16"/>
      <c r="I2813" s="20"/>
      <c r="J2813" s="20"/>
      <c r="K2813" s="20"/>
      <c r="L2813" s="20"/>
      <c r="M2813" s="20"/>
      <c r="N2813" s="20"/>
      <c r="O2813" s="20"/>
      <c r="P2813" s="20"/>
      <c r="Q2813" s="20"/>
      <c r="R2813" s="20"/>
      <c r="S2813" s="20"/>
      <c r="T2813" s="20"/>
      <c r="U2813" s="20"/>
      <c r="V2813" s="20"/>
      <c r="W2813" s="20"/>
      <c r="X2813" s="20"/>
      <c r="Y2813" s="20"/>
      <c r="Z2813" s="20"/>
      <c r="AA2813" s="20"/>
    </row>
    <row r="2814" spans="1:27" ht="17.399999999999999" x14ac:dyDescent="0.25">
      <c r="A2814" s="16"/>
      <c r="B2814" s="20" t="b">
        <v>0</v>
      </c>
      <c r="C2814" s="20"/>
      <c r="D2814" s="2"/>
      <c r="E2814" s="2"/>
      <c r="F2814" s="20"/>
      <c r="G2814" s="2"/>
      <c r="H2814" s="16"/>
      <c r="I2814" s="20"/>
      <c r="J2814" s="20"/>
      <c r="K2814" s="20"/>
      <c r="L2814" s="20"/>
      <c r="M2814" s="20"/>
      <c r="N2814" s="20"/>
      <c r="O2814" s="20"/>
      <c r="P2814" s="20"/>
      <c r="Q2814" s="20"/>
      <c r="R2814" s="20"/>
      <c r="S2814" s="20"/>
      <c r="T2814" s="20"/>
      <c r="U2814" s="20"/>
      <c r="V2814" s="20"/>
      <c r="W2814" s="20"/>
      <c r="X2814" s="20"/>
      <c r="Y2814" s="20"/>
      <c r="Z2814" s="20"/>
      <c r="AA2814" s="20"/>
    </row>
    <row r="2815" spans="1:27" ht="17.399999999999999" x14ac:dyDescent="0.25">
      <c r="A2815" s="16"/>
      <c r="B2815" s="20" t="b">
        <v>0</v>
      </c>
      <c r="C2815" s="20"/>
      <c r="D2815" s="2"/>
      <c r="E2815" s="2"/>
      <c r="F2815" s="20"/>
      <c r="G2815" s="2"/>
      <c r="H2815" s="16"/>
      <c r="I2815" s="20"/>
      <c r="J2815" s="20"/>
      <c r="K2815" s="20"/>
      <c r="L2815" s="20"/>
      <c r="M2815" s="20"/>
      <c r="N2815" s="20"/>
      <c r="O2815" s="20"/>
      <c r="P2815" s="20"/>
      <c r="Q2815" s="20"/>
      <c r="R2815" s="20"/>
      <c r="S2815" s="20"/>
      <c r="T2815" s="20"/>
      <c r="U2815" s="20"/>
      <c r="V2815" s="20"/>
      <c r="W2815" s="20"/>
      <c r="X2815" s="20"/>
      <c r="Y2815" s="20"/>
      <c r="Z2815" s="20"/>
      <c r="AA2815" s="20"/>
    </row>
    <row r="2816" spans="1:27" ht="17.399999999999999" x14ac:dyDescent="0.25">
      <c r="A2816" s="16"/>
      <c r="B2816" s="20" t="b">
        <v>0</v>
      </c>
      <c r="C2816" s="20"/>
      <c r="D2816" s="2"/>
      <c r="E2816" s="2"/>
      <c r="F2816" s="20"/>
      <c r="G2816" s="2"/>
      <c r="H2816" s="16"/>
      <c r="I2816" s="20"/>
      <c r="J2816" s="20"/>
      <c r="K2816" s="20"/>
      <c r="L2816" s="20"/>
      <c r="M2816" s="20"/>
      <c r="N2816" s="20"/>
      <c r="O2816" s="20"/>
      <c r="P2816" s="20"/>
      <c r="Q2816" s="20"/>
      <c r="R2816" s="20"/>
      <c r="S2816" s="20"/>
      <c r="T2816" s="20"/>
      <c r="U2816" s="20"/>
      <c r="V2816" s="20"/>
      <c r="W2816" s="20"/>
      <c r="X2816" s="20"/>
      <c r="Y2816" s="20"/>
      <c r="Z2816" s="20"/>
      <c r="AA2816" s="20"/>
    </row>
    <row r="2817" spans="1:27" ht="17.399999999999999" x14ac:dyDescent="0.25">
      <c r="A2817" s="16"/>
      <c r="B2817" s="20" t="b">
        <v>0</v>
      </c>
      <c r="C2817" s="20"/>
      <c r="D2817" s="2"/>
      <c r="E2817" s="2"/>
      <c r="F2817" s="20"/>
      <c r="G2817" s="2"/>
      <c r="H2817" s="16"/>
      <c r="I2817" s="20"/>
      <c r="J2817" s="20"/>
      <c r="K2817" s="20"/>
      <c r="L2817" s="20"/>
      <c r="M2817" s="20"/>
      <c r="N2817" s="20"/>
      <c r="O2817" s="20"/>
      <c r="P2817" s="20"/>
      <c r="Q2817" s="20"/>
      <c r="R2817" s="20"/>
      <c r="S2817" s="20"/>
      <c r="T2817" s="20"/>
      <c r="U2817" s="20"/>
      <c r="V2817" s="20"/>
      <c r="W2817" s="20"/>
      <c r="X2817" s="20"/>
      <c r="Y2817" s="20"/>
      <c r="Z2817" s="20"/>
      <c r="AA2817" s="20"/>
    </row>
    <row r="2818" spans="1:27" ht="17.399999999999999" x14ac:dyDescent="0.25">
      <c r="A2818" s="16"/>
      <c r="B2818" s="20" t="b">
        <v>0</v>
      </c>
      <c r="C2818" s="20"/>
      <c r="D2818" s="2"/>
      <c r="E2818" s="2"/>
      <c r="F2818" s="20"/>
      <c r="G2818" s="2"/>
      <c r="H2818" s="16"/>
      <c r="I2818" s="20"/>
      <c r="J2818" s="20"/>
      <c r="K2818" s="20"/>
      <c r="L2818" s="20"/>
      <c r="M2818" s="20"/>
      <c r="N2818" s="20"/>
      <c r="O2818" s="20"/>
      <c r="P2818" s="20"/>
      <c r="Q2818" s="20"/>
      <c r="R2818" s="20"/>
      <c r="S2818" s="20"/>
      <c r="T2818" s="20"/>
      <c r="U2818" s="20"/>
      <c r="V2818" s="20"/>
      <c r="W2818" s="20"/>
      <c r="X2818" s="20"/>
      <c r="Y2818" s="20"/>
      <c r="Z2818" s="20"/>
      <c r="AA2818" s="20"/>
    </row>
    <row r="2819" spans="1:27" ht="17.399999999999999" x14ac:dyDescent="0.25">
      <c r="A2819" s="16"/>
      <c r="B2819" s="20" t="b">
        <v>0</v>
      </c>
      <c r="C2819" s="20"/>
      <c r="D2819" s="2"/>
      <c r="E2819" s="2"/>
      <c r="F2819" s="20"/>
      <c r="G2819" s="2"/>
      <c r="H2819" s="16"/>
      <c r="I2819" s="20"/>
      <c r="J2819" s="20"/>
      <c r="K2819" s="20"/>
      <c r="L2819" s="20"/>
      <c r="M2819" s="20"/>
      <c r="N2819" s="20"/>
      <c r="O2819" s="20"/>
      <c r="P2819" s="20"/>
      <c r="Q2819" s="20"/>
      <c r="R2819" s="20"/>
      <c r="S2819" s="20"/>
      <c r="T2819" s="20"/>
      <c r="U2819" s="20"/>
      <c r="V2819" s="20"/>
      <c r="W2819" s="20"/>
      <c r="X2819" s="20"/>
      <c r="Y2819" s="20"/>
      <c r="Z2819" s="20"/>
      <c r="AA2819" s="20"/>
    </row>
    <row r="2820" spans="1:27" ht="17.399999999999999" x14ac:dyDescent="0.25">
      <c r="A2820" s="16"/>
      <c r="B2820" s="20" t="b">
        <v>0</v>
      </c>
      <c r="C2820" s="20"/>
      <c r="D2820" s="2"/>
      <c r="E2820" s="2"/>
      <c r="F2820" s="20"/>
      <c r="G2820" s="2"/>
      <c r="H2820" s="16"/>
      <c r="I2820" s="20"/>
      <c r="J2820" s="20"/>
      <c r="K2820" s="20"/>
      <c r="L2820" s="20"/>
      <c r="M2820" s="20"/>
      <c r="N2820" s="20"/>
      <c r="O2820" s="20"/>
      <c r="P2820" s="20"/>
      <c r="Q2820" s="20"/>
      <c r="R2820" s="20"/>
      <c r="S2820" s="20"/>
      <c r="T2820" s="20"/>
      <c r="U2820" s="20"/>
      <c r="V2820" s="20"/>
      <c r="W2820" s="20"/>
      <c r="X2820" s="20"/>
      <c r="Y2820" s="20"/>
      <c r="Z2820" s="20"/>
      <c r="AA2820" s="20"/>
    </row>
    <row r="2821" spans="1:27" ht="17.399999999999999" x14ac:dyDescent="0.25">
      <c r="A2821" s="16"/>
      <c r="B2821" s="20" t="b">
        <v>0</v>
      </c>
      <c r="C2821" s="20"/>
      <c r="D2821" s="2"/>
      <c r="E2821" s="2"/>
      <c r="F2821" s="20"/>
      <c r="G2821" s="2"/>
      <c r="H2821" s="16"/>
      <c r="I2821" s="20"/>
      <c r="J2821" s="20"/>
      <c r="K2821" s="20"/>
      <c r="L2821" s="20"/>
      <c r="M2821" s="20"/>
      <c r="N2821" s="20"/>
      <c r="O2821" s="20"/>
      <c r="P2821" s="20"/>
      <c r="Q2821" s="20"/>
      <c r="R2821" s="20"/>
      <c r="S2821" s="20"/>
      <c r="T2821" s="20"/>
      <c r="U2821" s="20"/>
      <c r="V2821" s="20"/>
      <c r="W2821" s="20"/>
      <c r="X2821" s="20"/>
      <c r="Y2821" s="20"/>
      <c r="Z2821" s="20"/>
      <c r="AA2821" s="20"/>
    </row>
    <row r="2822" spans="1:27" ht="17.399999999999999" x14ac:dyDescent="0.25">
      <c r="A2822" s="16"/>
      <c r="B2822" s="20" t="b">
        <v>0</v>
      </c>
      <c r="C2822" s="20"/>
      <c r="D2822" s="2"/>
      <c r="E2822" s="2"/>
      <c r="F2822" s="20"/>
      <c r="G2822" s="2"/>
      <c r="H2822" s="16"/>
      <c r="I2822" s="20"/>
      <c r="J2822" s="20"/>
      <c r="K2822" s="20"/>
      <c r="L2822" s="20"/>
      <c r="M2822" s="20"/>
      <c r="N2822" s="20"/>
      <c r="O2822" s="20"/>
      <c r="P2822" s="20"/>
      <c r="Q2822" s="20"/>
      <c r="R2822" s="20"/>
      <c r="S2822" s="20"/>
      <c r="T2822" s="20"/>
      <c r="U2822" s="20"/>
      <c r="V2822" s="20"/>
      <c r="W2822" s="20"/>
      <c r="X2822" s="20"/>
      <c r="Y2822" s="20"/>
      <c r="Z2822" s="20"/>
      <c r="AA2822" s="20"/>
    </row>
    <row r="2823" spans="1:27" ht="17.399999999999999" x14ac:dyDescent="0.25">
      <c r="A2823" s="16"/>
      <c r="B2823" s="20" t="b">
        <v>0</v>
      </c>
      <c r="C2823" s="20"/>
      <c r="D2823" s="2"/>
      <c r="E2823" s="2"/>
      <c r="F2823" s="20"/>
      <c r="G2823" s="2"/>
      <c r="H2823" s="16"/>
      <c r="I2823" s="20"/>
      <c r="J2823" s="20"/>
      <c r="K2823" s="20"/>
      <c r="L2823" s="20"/>
      <c r="M2823" s="20"/>
      <c r="N2823" s="20"/>
      <c r="O2823" s="20"/>
      <c r="P2823" s="20"/>
      <c r="Q2823" s="20"/>
      <c r="R2823" s="20"/>
      <c r="S2823" s="20"/>
      <c r="T2823" s="20"/>
      <c r="U2823" s="20"/>
      <c r="V2823" s="20"/>
      <c r="W2823" s="20"/>
      <c r="X2823" s="20"/>
      <c r="Y2823" s="20"/>
      <c r="Z2823" s="20"/>
      <c r="AA2823" s="20"/>
    </row>
    <row r="2824" spans="1:27" ht="17.399999999999999" x14ac:dyDescent="0.25">
      <c r="A2824" s="16"/>
      <c r="B2824" s="20" t="b">
        <v>0</v>
      </c>
      <c r="C2824" s="20"/>
      <c r="D2824" s="2"/>
      <c r="E2824" s="2"/>
      <c r="F2824" s="20"/>
      <c r="G2824" s="2"/>
      <c r="H2824" s="16"/>
      <c r="I2824" s="20"/>
      <c r="J2824" s="20"/>
      <c r="K2824" s="20"/>
      <c r="L2824" s="20"/>
      <c r="M2824" s="20"/>
      <c r="N2824" s="20"/>
      <c r="O2824" s="20"/>
      <c r="P2824" s="20"/>
      <c r="Q2824" s="20"/>
      <c r="R2824" s="20"/>
      <c r="S2824" s="20"/>
      <c r="T2824" s="20"/>
      <c r="U2824" s="20"/>
      <c r="V2824" s="20"/>
      <c r="W2824" s="20"/>
      <c r="X2824" s="20"/>
      <c r="Y2824" s="20"/>
      <c r="Z2824" s="20"/>
      <c r="AA2824" s="20"/>
    </row>
    <row r="2825" spans="1:27" ht="17.399999999999999" x14ac:dyDescent="0.25">
      <c r="A2825" s="16"/>
      <c r="B2825" s="20" t="b">
        <v>0</v>
      </c>
      <c r="C2825" s="20"/>
      <c r="D2825" s="2"/>
      <c r="E2825" s="2"/>
      <c r="F2825" s="20"/>
      <c r="G2825" s="2"/>
      <c r="H2825" s="16"/>
      <c r="I2825" s="20"/>
      <c r="J2825" s="20"/>
      <c r="K2825" s="20"/>
      <c r="L2825" s="20"/>
      <c r="M2825" s="20"/>
      <c r="N2825" s="20"/>
      <c r="O2825" s="20"/>
      <c r="P2825" s="20"/>
      <c r="Q2825" s="20"/>
      <c r="R2825" s="20"/>
      <c r="S2825" s="20"/>
      <c r="T2825" s="20"/>
      <c r="U2825" s="20"/>
      <c r="V2825" s="20"/>
      <c r="W2825" s="20"/>
      <c r="X2825" s="20"/>
      <c r="Y2825" s="20"/>
      <c r="Z2825" s="20"/>
      <c r="AA2825" s="20"/>
    </row>
    <row r="2826" spans="1:27" ht="17.399999999999999" x14ac:dyDescent="0.25">
      <c r="A2826" s="16"/>
      <c r="B2826" s="20" t="b">
        <v>0</v>
      </c>
      <c r="C2826" s="20"/>
      <c r="D2826" s="2"/>
      <c r="E2826" s="2"/>
      <c r="F2826" s="20"/>
      <c r="G2826" s="2"/>
      <c r="H2826" s="16"/>
      <c r="I2826" s="20"/>
      <c r="J2826" s="20"/>
      <c r="K2826" s="20"/>
      <c r="L2826" s="20"/>
      <c r="M2826" s="20"/>
      <c r="N2826" s="20"/>
      <c r="O2826" s="20"/>
      <c r="P2826" s="20"/>
      <c r="Q2826" s="20"/>
      <c r="R2826" s="20"/>
      <c r="S2826" s="20"/>
      <c r="T2826" s="20"/>
      <c r="U2826" s="20"/>
      <c r="V2826" s="20"/>
      <c r="W2826" s="20"/>
      <c r="X2826" s="20"/>
      <c r="Y2826" s="20"/>
      <c r="Z2826" s="20"/>
      <c r="AA2826" s="20"/>
    </row>
    <row r="2827" spans="1:27" ht="17.399999999999999" x14ac:dyDescent="0.25">
      <c r="A2827" s="16"/>
      <c r="B2827" s="20" t="b">
        <v>0</v>
      </c>
      <c r="C2827" s="20"/>
      <c r="D2827" s="2"/>
      <c r="E2827" s="2"/>
      <c r="F2827" s="20"/>
      <c r="G2827" s="2"/>
      <c r="H2827" s="16"/>
      <c r="I2827" s="20"/>
      <c r="J2827" s="20"/>
      <c r="K2827" s="20"/>
      <c r="L2827" s="20"/>
      <c r="M2827" s="20"/>
      <c r="N2827" s="20"/>
      <c r="O2827" s="20"/>
      <c r="P2827" s="20"/>
      <c r="Q2827" s="20"/>
      <c r="R2827" s="20"/>
      <c r="S2827" s="20"/>
      <c r="T2827" s="20"/>
      <c r="U2827" s="20"/>
      <c r="V2827" s="20"/>
      <c r="W2827" s="20"/>
      <c r="X2827" s="20"/>
      <c r="Y2827" s="20"/>
      <c r="Z2827" s="20"/>
      <c r="AA2827" s="20"/>
    </row>
    <row r="2828" spans="1:27" ht="17.399999999999999" x14ac:dyDescent="0.25">
      <c r="A2828" s="16"/>
      <c r="B2828" s="20" t="b">
        <v>0</v>
      </c>
      <c r="C2828" s="20"/>
      <c r="D2828" s="2"/>
      <c r="E2828" s="2"/>
      <c r="F2828" s="20"/>
      <c r="G2828" s="2"/>
      <c r="H2828" s="16"/>
      <c r="I2828" s="20"/>
      <c r="J2828" s="20"/>
      <c r="K2828" s="20"/>
      <c r="L2828" s="20"/>
      <c r="M2828" s="20"/>
      <c r="N2828" s="20"/>
      <c r="O2828" s="20"/>
      <c r="P2828" s="20"/>
      <c r="Q2828" s="20"/>
      <c r="R2828" s="20"/>
      <c r="S2828" s="20"/>
      <c r="T2828" s="20"/>
      <c r="U2828" s="20"/>
      <c r="V2828" s="20"/>
      <c r="W2828" s="20"/>
      <c r="X2828" s="20"/>
      <c r="Y2828" s="20"/>
      <c r="Z2828" s="20"/>
      <c r="AA2828" s="20"/>
    </row>
    <row r="2829" spans="1:27" ht="17.399999999999999" x14ac:dyDescent="0.25">
      <c r="A2829" s="16"/>
      <c r="B2829" s="20" t="b">
        <v>0</v>
      </c>
      <c r="C2829" s="20"/>
      <c r="D2829" s="2"/>
      <c r="E2829" s="2"/>
      <c r="F2829" s="20"/>
      <c r="G2829" s="2"/>
      <c r="H2829" s="16"/>
      <c r="I2829" s="20"/>
      <c r="J2829" s="20"/>
      <c r="K2829" s="20"/>
      <c r="L2829" s="20"/>
      <c r="M2829" s="20"/>
      <c r="N2829" s="20"/>
      <c r="O2829" s="20"/>
      <c r="P2829" s="20"/>
      <c r="Q2829" s="20"/>
      <c r="R2829" s="20"/>
      <c r="S2829" s="20"/>
      <c r="T2829" s="20"/>
      <c r="U2829" s="20"/>
      <c r="V2829" s="20"/>
      <c r="W2829" s="20"/>
      <c r="X2829" s="20"/>
      <c r="Y2829" s="20"/>
      <c r="Z2829" s="20"/>
      <c r="AA2829" s="20"/>
    </row>
    <row r="2830" spans="1:27" ht="17.399999999999999" x14ac:dyDescent="0.25">
      <c r="A2830" s="16"/>
      <c r="B2830" s="20" t="b">
        <v>0</v>
      </c>
      <c r="C2830" s="20"/>
      <c r="D2830" s="2"/>
      <c r="E2830" s="2"/>
      <c r="F2830" s="20"/>
      <c r="G2830" s="2"/>
      <c r="H2830" s="16"/>
      <c r="I2830" s="20"/>
      <c r="J2830" s="20"/>
      <c r="K2830" s="20"/>
      <c r="L2830" s="20"/>
      <c r="M2830" s="20"/>
      <c r="N2830" s="20"/>
      <c r="O2830" s="20"/>
      <c r="P2830" s="20"/>
      <c r="Q2830" s="20"/>
      <c r="R2830" s="20"/>
      <c r="S2830" s="20"/>
      <c r="T2830" s="20"/>
      <c r="U2830" s="20"/>
      <c r="V2830" s="20"/>
      <c r="W2830" s="20"/>
      <c r="X2830" s="20"/>
      <c r="Y2830" s="20"/>
      <c r="Z2830" s="20"/>
      <c r="AA2830" s="20"/>
    </row>
    <row r="2831" spans="1:27" ht="17.399999999999999" x14ac:dyDescent="0.25">
      <c r="A2831" s="16"/>
      <c r="B2831" s="20" t="b">
        <v>0</v>
      </c>
      <c r="C2831" s="20"/>
      <c r="D2831" s="2"/>
      <c r="E2831" s="2"/>
      <c r="F2831" s="20"/>
      <c r="G2831" s="2"/>
      <c r="H2831" s="16"/>
      <c r="I2831" s="20"/>
      <c r="J2831" s="20"/>
      <c r="K2831" s="20"/>
      <c r="L2831" s="20"/>
      <c r="M2831" s="20"/>
      <c r="N2831" s="20"/>
      <c r="O2831" s="20"/>
      <c r="P2831" s="20"/>
      <c r="Q2831" s="20"/>
      <c r="R2831" s="20"/>
      <c r="S2831" s="20"/>
      <c r="T2831" s="20"/>
      <c r="U2831" s="20"/>
      <c r="V2831" s="20"/>
      <c r="W2831" s="20"/>
      <c r="X2831" s="20"/>
      <c r="Y2831" s="20"/>
      <c r="Z2831" s="20"/>
      <c r="AA2831" s="20"/>
    </row>
    <row r="2832" spans="1:27" ht="17.399999999999999" x14ac:dyDescent="0.25">
      <c r="A2832" s="16"/>
      <c r="B2832" s="20" t="b">
        <v>0</v>
      </c>
      <c r="C2832" s="20"/>
      <c r="D2832" s="2"/>
      <c r="E2832" s="2"/>
      <c r="F2832" s="20"/>
      <c r="G2832" s="2"/>
      <c r="H2832" s="16"/>
      <c r="I2832" s="20"/>
      <c r="J2832" s="20"/>
      <c r="K2832" s="20"/>
      <c r="L2832" s="20"/>
      <c r="M2832" s="20"/>
      <c r="N2832" s="20"/>
      <c r="O2832" s="20"/>
      <c r="P2832" s="20"/>
      <c r="Q2832" s="20"/>
      <c r="R2832" s="20"/>
      <c r="S2832" s="20"/>
      <c r="T2832" s="20"/>
      <c r="U2832" s="20"/>
      <c r="V2832" s="20"/>
      <c r="W2832" s="20"/>
      <c r="X2832" s="20"/>
      <c r="Y2832" s="20"/>
      <c r="Z2832" s="20"/>
      <c r="AA2832" s="20"/>
    </row>
    <row r="2833" spans="1:27" ht="17.399999999999999" x14ac:dyDescent="0.25">
      <c r="A2833" s="16"/>
      <c r="B2833" s="20" t="b">
        <v>0</v>
      </c>
      <c r="C2833" s="20"/>
      <c r="D2833" s="2"/>
      <c r="E2833" s="2"/>
      <c r="F2833" s="20"/>
      <c r="G2833" s="2"/>
      <c r="H2833" s="16"/>
      <c r="I2833" s="20"/>
      <c r="J2833" s="20"/>
      <c r="K2833" s="20"/>
      <c r="L2833" s="20"/>
      <c r="M2833" s="20"/>
      <c r="N2833" s="20"/>
      <c r="O2833" s="20"/>
      <c r="P2833" s="20"/>
      <c r="Q2833" s="20"/>
      <c r="R2833" s="20"/>
      <c r="S2833" s="20"/>
      <c r="T2833" s="20"/>
      <c r="U2833" s="20"/>
      <c r="V2833" s="20"/>
      <c r="W2833" s="20"/>
      <c r="X2833" s="20"/>
      <c r="Y2833" s="20"/>
      <c r="Z2833" s="20"/>
      <c r="AA2833" s="20"/>
    </row>
    <row r="2834" spans="1:27" ht="17.399999999999999" x14ac:dyDescent="0.25">
      <c r="A2834" s="16"/>
      <c r="B2834" s="20" t="b">
        <v>0</v>
      </c>
      <c r="C2834" s="20"/>
      <c r="D2834" s="2"/>
      <c r="E2834" s="2"/>
      <c r="F2834" s="20"/>
      <c r="G2834" s="2"/>
      <c r="H2834" s="16"/>
      <c r="I2834" s="20"/>
      <c r="J2834" s="20"/>
      <c r="K2834" s="20"/>
      <c r="L2834" s="20"/>
      <c r="M2834" s="20"/>
      <c r="N2834" s="20"/>
      <c r="O2834" s="20"/>
      <c r="P2834" s="20"/>
      <c r="Q2834" s="20"/>
      <c r="R2834" s="20"/>
      <c r="S2834" s="20"/>
      <c r="T2834" s="20"/>
      <c r="U2834" s="20"/>
      <c r="V2834" s="20"/>
      <c r="W2834" s="20"/>
      <c r="X2834" s="20"/>
      <c r="Y2834" s="20"/>
      <c r="Z2834" s="20"/>
      <c r="AA2834" s="20"/>
    </row>
    <row r="2835" spans="1:27" ht="17.399999999999999" x14ac:dyDescent="0.25">
      <c r="A2835" s="16"/>
      <c r="B2835" s="20" t="b">
        <v>0</v>
      </c>
      <c r="C2835" s="20"/>
      <c r="D2835" s="2"/>
      <c r="E2835" s="2"/>
      <c r="F2835" s="20"/>
      <c r="G2835" s="2"/>
      <c r="H2835" s="16"/>
      <c r="I2835" s="20"/>
      <c r="J2835" s="20"/>
      <c r="K2835" s="20"/>
      <c r="L2835" s="20"/>
      <c r="M2835" s="20"/>
      <c r="N2835" s="20"/>
      <c r="O2835" s="20"/>
      <c r="P2835" s="20"/>
      <c r="Q2835" s="20"/>
      <c r="R2835" s="20"/>
      <c r="S2835" s="20"/>
      <c r="T2835" s="20"/>
      <c r="U2835" s="20"/>
      <c r="V2835" s="20"/>
      <c r="W2835" s="20"/>
      <c r="X2835" s="20"/>
      <c r="Y2835" s="20"/>
      <c r="Z2835" s="20"/>
      <c r="AA2835" s="20"/>
    </row>
    <row r="2836" spans="1:27" ht="17.399999999999999" x14ac:dyDescent="0.25">
      <c r="A2836" s="16"/>
      <c r="B2836" s="20" t="b">
        <v>0</v>
      </c>
      <c r="C2836" s="20"/>
      <c r="D2836" s="2"/>
      <c r="E2836" s="2"/>
      <c r="F2836" s="20"/>
      <c r="G2836" s="2"/>
      <c r="H2836" s="16"/>
      <c r="I2836" s="20"/>
      <c r="J2836" s="20"/>
      <c r="K2836" s="20"/>
      <c r="L2836" s="20"/>
      <c r="M2836" s="20"/>
      <c r="N2836" s="20"/>
      <c r="O2836" s="20"/>
      <c r="P2836" s="20"/>
      <c r="Q2836" s="20"/>
      <c r="R2836" s="20"/>
      <c r="S2836" s="20"/>
      <c r="T2836" s="20"/>
      <c r="U2836" s="20"/>
      <c r="V2836" s="20"/>
      <c r="W2836" s="20"/>
      <c r="X2836" s="20"/>
      <c r="Y2836" s="20"/>
      <c r="Z2836" s="20"/>
      <c r="AA2836" s="20"/>
    </row>
    <row r="2837" spans="1:27" ht="17.399999999999999" x14ac:dyDescent="0.25">
      <c r="A2837" s="16"/>
      <c r="B2837" s="20" t="b">
        <v>0</v>
      </c>
      <c r="C2837" s="20"/>
      <c r="D2837" s="2"/>
      <c r="E2837" s="2"/>
      <c r="F2837" s="20"/>
      <c r="G2837" s="2"/>
      <c r="H2837" s="16"/>
      <c r="I2837" s="20"/>
      <c r="J2837" s="20"/>
      <c r="K2837" s="20"/>
      <c r="L2837" s="20"/>
      <c r="M2837" s="20"/>
      <c r="N2837" s="20"/>
      <c r="O2837" s="20"/>
      <c r="P2837" s="20"/>
      <c r="Q2837" s="20"/>
      <c r="R2837" s="20"/>
      <c r="S2837" s="20"/>
      <c r="T2837" s="20"/>
      <c r="U2837" s="20"/>
      <c r="V2837" s="20"/>
      <c r="W2837" s="20"/>
      <c r="X2837" s="20"/>
      <c r="Y2837" s="20"/>
      <c r="Z2837" s="20"/>
      <c r="AA2837" s="20"/>
    </row>
    <row r="2838" spans="1:27" ht="17.399999999999999" x14ac:dyDescent="0.25">
      <c r="A2838" s="16"/>
      <c r="B2838" s="20" t="b">
        <v>0</v>
      </c>
      <c r="C2838" s="20"/>
      <c r="D2838" s="2"/>
      <c r="E2838" s="2"/>
      <c r="F2838" s="20"/>
      <c r="G2838" s="2"/>
      <c r="H2838" s="16"/>
      <c r="I2838" s="20"/>
      <c r="J2838" s="20"/>
      <c r="K2838" s="20"/>
      <c r="L2838" s="20"/>
      <c r="M2838" s="20"/>
      <c r="N2838" s="20"/>
      <c r="O2838" s="20"/>
      <c r="P2838" s="20"/>
      <c r="Q2838" s="20"/>
      <c r="R2838" s="20"/>
      <c r="S2838" s="20"/>
      <c r="T2838" s="20"/>
      <c r="U2838" s="20"/>
      <c r="V2838" s="20"/>
      <c r="W2838" s="20"/>
      <c r="X2838" s="20"/>
      <c r="Y2838" s="20"/>
      <c r="Z2838" s="20"/>
      <c r="AA2838" s="20"/>
    </row>
    <row r="2839" spans="1:27" ht="17.399999999999999" x14ac:dyDescent="0.25">
      <c r="A2839" s="16"/>
      <c r="B2839" s="20" t="b">
        <v>0</v>
      </c>
      <c r="C2839" s="20"/>
      <c r="D2839" s="2"/>
      <c r="E2839" s="2"/>
      <c r="F2839" s="20"/>
      <c r="G2839" s="2"/>
      <c r="H2839" s="16"/>
      <c r="I2839" s="20"/>
      <c r="J2839" s="20"/>
      <c r="K2839" s="20"/>
      <c r="L2839" s="20"/>
      <c r="M2839" s="20"/>
      <c r="N2839" s="20"/>
      <c r="O2839" s="20"/>
      <c r="P2839" s="20"/>
      <c r="Q2839" s="20"/>
      <c r="R2839" s="20"/>
      <c r="S2839" s="20"/>
      <c r="T2839" s="20"/>
      <c r="U2839" s="20"/>
      <c r="V2839" s="20"/>
      <c r="W2839" s="20"/>
      <c r="X2839" s="20"/>
      <c r="Y2839" s="20"/>
      <c r="Z2839" s="20"/>
      <c r="AA2839" s="20"/>
    </row>
    <row r="2840" spans="1:27" ht="17.399999999999999" x14ac:dyDescent="0.25">
      <c r="A2840" s="16"/>
      <c r="B2840" s="20" t="b">
        <v>0</v>
      </c>
      <c r="C2840" s="20"/>
      <c r="D2840" s="2"/>
      <c r="E2840" s="2"/>
      <c r="F2840" s="20"/>
      <c r="G2840" s="2"/>
      <c r="H2840" s="16"/>
      <c r="I2840" s="20"/>
      <c r="J2840" s="20"/>
      <c r="K2840" s="20"/>
      <c r="L2840" s="20"/>
      <c r="M2840" s="20"/>
      <c r="N2840" s="20"/>
      <c r="O2840" s="20"/>
      <c r="P2840" s="20"/>
      <c r="Q2840" s="20"/>
      <c r="R2840" s="20"/>
      <c r="S2840" s="20"/>
      <c r="T2840" s="20"/>
      <c r="U2840" s="20"/>
      <c r="V2840" s="20"/>
      <c r="W2840" s="20"/>
      <c r="X2840" s="20"/>
      <c r="Y2840" s="20"/>
      <c r="Z2840" s="20"/>
      <c r="AA2840" s="20"/>
    </row>
    <row r="2841" spans="1:27" ht="17.399999999999999" x14ac:dyDescent="0.25">
      <c r="A2841" s="16"/>
      <c r="B2841" s="20" t="b">
        <v>0</v>
      </c>
      <c r="C2841" s="20"/>
      <c r="D2841" s="2"/>
      <c r="E2841" s="2"/>
      <c r="F2841" s="20"/>
      <c r="G2841" s="2"/>
      <c r="H2841" s="16"/>
      <c r="I2841" s="20"/>
      <c r="J2841" s="20"/>
      <c r="K2841" s="20"/>
      <c r="L2841" s="20"/>
      <c r="M2841" s="20"/>
      <c r="N2841" s="20"/>
      <c r="O2841" s="20"/>
      <c r="P2841" s="20"/>
      <c r="Q2841" s="20"/>
      <c r="R2841" s="20"/>
      <c r="S2841" s="20"/>
      <c r="T2841" s="20"/>
      <c r="U2841" s="20"/>
      <c r="V2841" s="20"/>
      <c r="W2841" s="20"/>
      <c r="X2841" s="20"/>
      <c r="Y2841" s="20"/>
      <c r="Z2841" s="20"/>
      <c r="AA2841" s="20"/>
    </row>
    <row r="2842" spans="1:27" ht="17.399999999999999" x14ac:dyDescent="0.25">
      <c r="A2842" s="16"/>
      <c r="B2842" s="20" t="b">
        <v>0</v>
      </c>
      <c r="C2842" s="20"/>
      <c r="D2842" s="2"/>
      <c r="E2842" s="2"/>
      <c r="F2842" s="20"/>
      <c r="G2842" s="2"/>
      <c r="H2842" s="16"/>
      <c r="I2842" s="20"/>
      <c r="J2842" s="20"/>
      <c r="K2842" s="20"/>
      <c r="L2842" s="20"/>
      <c r="M2842" s="20"/>
      <c r="N2842" s="20"/>
      <c r="O2842" s="20"/>
      <c r="P2842" s="20"/>
      <c r="Q2842" s="20"/>
      <c r="R2842" s="20"/>
      <c r="S2842" s="20"/>
      <c r="T2842" s="20"/>
      <c r="U2842" s="20"/>
      <c r="V2842" s="20"/>
      <c r="W2842" s="20"/>
      <c r="X2842" s="20"/>
      <c r="Y2842" s="20"/>
      <c r="Z2842" s="20"/>
      <c r="AA2842" s="20"/>
    </row>
    <row r="2843" spans="1:27" ht="17.399999999999999" x14ac:dyDescent="0.25">
      <c r="A2843" s="16"/>
      <c r="B2843" s="20" t="b">
        <v>0</v>
      </c>
      <c r="C2843" s="20"/>
      <c r="D2843" s="2"/>
      <c r="E2843" s="2"/>
      <c r="F2843" s="20"/>
      <c r="G2843" s="2"/>
      <c r="H2843" s="16"/>
      <c r="I2843" s="20"/>
      <c r="J2843" s="20"/>
      <c r="K2843" s="20"/>
      <c r="L2843" s="20"/>
      <c r="M2843" s="20"/>
      <c r="N2843" s="20"/>
      <c r="O2843" s="20"/>
      <c r="P2843" s="20"/>
      <c r="Q2843" s="20"/>
      <c r="R2843" s="20"/>
      <c r="S2843" s="20"/>
      <c r="T2843" s="20"/>
      <c r="U2843" s="20"/>
      <c r="V2843" s="20"/>
      <c r="W2843" s="20"/>
      <c r="X2843" s="20"/>
      <c r="Y2843" s="20"/>
      <c r="Z2843" s="20"/>
      <c r="AA2843" s="20"/>
    </row>
    <row r="2844" spans="1:27" ht="17.399999999999999" x14ac:dyDescent="0.25">
      <c r="A2844" s="16"/>
      <c r="B2844" s="20" t="b">
        <v>0</v>
      </c>
      <c r="C2844" s="20"/>
      <c r="D2844" s="2"/>
      <c r="E2844" s="2"/>
      <c r="F2844" s="20"/>
      <c r="G2844" s="2"/>
      <c r="H2844" s="16"/>
      <c r="I2844" s="20"/>
      <c r="J2844" s="20"/>
      <c r="K2844" s="20"/>
      <c r="L2844" s="20"/>
      <c r="M2844" s="20"/>
      <c r="N2844" s="20"/>
      <c r="O2844" s="20"/>
      <c r="P2844" s="20"/>
      <c r="Q2844" s="20"/>
      <c r="R2844" s="20"/>
      <c r="S2844" s="20"/>
      <c r="T2844" s="20"/>
      <c r="U2844" s="20"/>
      <c r="V2844" s="20"/>
      <c r="W2844" s="20"/>
      <c r="X2844" s="20"/>
      <c r="Y2844" s="20"/>
      <c r="Z2844" s="20"/>
      <c r="AA2844" s="20"/>
    </row>
    <row r="2845" spans="1:27" ht="17.399999999999999" x14ac:dyDescent="0.25">
      <c r="A2845" s="16"/>
      <c r="B2845" s="20" t="b">
        <v>0</v>
      </c>
      <c r="C2845" s="20"/>
      <c r="D2845" s="2"/>
      <c r="E2845" s="2"/>
      <c r="F2845" s="20"/>
      <c r="G2845" s="2"/>
      <c r="H2845" s="16"/>
      <c r="I2845" s="20"/>
      <c r="J2845" s="20"/>
      <c r="K2845" s="20"/>
      <c r="L2845" s="20"/>
      <c r="M2845" s="20"/>
      <c r="N2845" s="20"/>
      <c r="O2845" s="20"/>
      <c r="P2845" s="20"/>
      <c r="Q2845" s="20"/>
      <c r="R2845" s="20"/>
      <c r="S2845" s="20"/>
      <c r="T2845" s="20"/>
      <c r="U2845" s="20"/>
      <c r="V2845" s="20"/>
      <c r="W2845" s="20"/>
      <c r="X2845" s="20"/>
      <c r="Y2845" s="20"/>
      <c r="Z2845" s="20"/>
      <c r="AA2845" s="20"/>
    </row>
    <row r="2846" spans="1:27" ht="17.399999999999999" x14ac:dyDescent="0.25">
      <c r="A2846" s="16"/>
      <c r="B2846" s="20" t="b">
        <v>0</v>
      </c>
      <c r="C2846" s="20"/>
      <c r="D2846" s="2"/>
      <c r="E2846" s="2"/>
      <c r="F2846" s="20"/>
      <c r="G2846" s="2"/>
      <c r="H2846" s="16"/>
      <c r="I2846" s="20"/>
      <c r="J2846" s="20"/>
      <c r="K2846" s="20"/>
      <c r="L2846" s="20"/>
      <c r="M2846" s="20"/>
      <c r="N2846" s="20"/>
      <c r="O2846" s="20"/>
      <c r="P2846" s="20"/>
      <c r="Q2846" s="20"/>
      <c r="R2846" s="20"/>
      <c r="S2846" s="20"/>
      <c r="T2846" s="20"/>
      <c r="U2846" s="20"/>
      <c r="V2846" s="20"/>
      <c r="W2846" s="20"/>
      <c r="X2846" s="20"/>
      <c r="Y2846" s="20"/>
      <c r="Z2846" s="20"/>
      <c r="AA2846" s="20"/>
    </row>
    <row r="2847" spans="1:27" ht="17.399999999999999" x14ac:dyDescent="0.25">
      <c r="A2847" s="16"/>
      <c r="B2847" s="20" t="b">
        <v>0</v>
      </c>
      <c r="C2847" s="20"/>
      <c r="D2847" s="2"/>
      <c r="E2847" s="2"/>
      <c r="F2847" s="20"/>
      <c r="G2847" s="2"/>
      <c r="H2847" s="16"/>
      <c r="I2847" s="20"/>
      <c r="J2847" s="20"/>
      <c r="K2847" s="20"/>
      <c r="L2847" s="20"/>
      <c r="M2847" s="20"/>
      <c r="N2847" s="20"/>
      <c r="O2847" s="20"/>
      <c r="P2847" s="20"/>
      <c r="Q2847" s="20"/>
      <c r="R2847" s="20"/>
      <c r="S2847" s="20"/>
      <c r="T2847" s="20"/>
      <c r="U2847" s="20"/>
      <c r="V2847" s="20"/>
      <c r="W2847" s="20"/>
      <c r="X2847" s="20"/>
      <c r="Y2847" s="20"/>
      <c r="Z2847" s="20"/>
      <c r="AA2847" s="20"/>
    </row>
    <row r="2848" spans="1:27" ht="17.399999999999999" x14ac:dyDescent="0.25">
      <c r="A2848" s="16"/>
      <c r="B2848" s="20" t="b">
        <v>0</v>
      </c>
      <c r="C2848" s="20"/>
      <c r="D2848" s="2"/>
      <c r="E2848" s="2"/>
      <c r="F2848" s="20"/>
      <c r="G2848" s="2"/>
      <c r="H2848" s="16"/>
      <c r="I2848" s="20"/>
      <c r="J2848" s="20"/>
      <c r="K2848" s="20"/>
      <c r="L2848" s="20"/>
      <c r="M2848" s="20"/>
      <c r="N2848" s="20"/>
      <c r="O2848" s="20"/>
      <c r="P2848" s="20"/>
      <c r="Q2848" s="20"/>
      <c r="R2848" s="20"/>
      <c r="S2848" s="20"/>
      <c r="T2848" s="20"/>
      <c r="U2848" s="20"/>
      <c r="V2848" s="20"/>
      <c r="W2848" s="20"/>
      <c r="X2848" s="20"/>
      <c r="Y2848" s="20"/>
      <c r="Z2848" s="20"/>
      <c r="AA2848" s="20"/>
    </row>
    <row r="2849" spans="1:27" ht="17.399999999999999" x14ac:dyDescent="0.25">
      <c r="A2849" s="16"/>
      <c r="B2849" s="20" t="b">
        <v>0</v>
      </c>
      <c r="C2849" s="20"/>
      <c r="D2849" s="2"/>
      <c r="E2849" s="2"/>
      <c r="F2849" s="20"/>
      <c r="G2849" s="2"/>
      <c r="H2849" s="16"/>
      <c r="I2849" s="20"/>
      <c r="J2849" s="20"/>
      <c r="K2849" s="20"/>
      <c r="L2849" s="20"/>
      <c r="M2849" s="20"/>
      <c r="N2849" s="20"/>
      <c r="O2849" s="20"/>
      <c r="P2849" s="20"/>
      <c r="Q2849" s="20"/>
      <c r="R2849" s="20"/>
      <c r="S2849" s="20"/>
      <c r="T2849" s="20"/>
      <c r="U2849" s="20"/>
      <c r="V2849" s="20"/>
      <c r="W2849" s="20"/>
      <c r="X2849" s="20"/>
      <c r="Y2849" s="20"/>
      <c r="Z2849" s="20"/>
      <c r="AA2849" s="20"/>
    </row>
    <row r="2850" spans="1:27" ht="17.399999999999999" x14ac:dyDescent="0.25">
      <c r="A2850" s="16"/>
      <c r="B2850" s="20" t="b">
        <v>0</v>
      </c>
      <c r="C2850" s="20"/>
      <c r="D2850" s="2"/>
      <c r="E2850" s="2"/>
      <c r="F2850" s="20"/>
      <c r="G2850" s="2"/>
      <c r="H2850" s="16"/>
      <c r="I2850" s="20"/>
      <c r="J2850" s="20"/>
      <c r="K2850" s="20"/>
      <c r="L2850" s="20"/>
      <c r="M2850" s="20"/>
      <c r="N2850" s="20"/>
      <c r="O2850" s="20"/>
      <c r="P2850" s="20"/>
      <c r="Q2850" s="20"/>
      <c r="R2850" s="20"/>
      <c r="S2850" s="20"/>
      <c r="T2850" s="20"/>
      <c r="U2850" s="20"/>
      <c r="V2850" s="20"/>
      <c r="W2850" s="20"/>
      <c r="X2850" s="20"/>
      <c r="Y2850" s="20"/>
      <c r="Z2850" s="20"/>
      <c r="AA2850" s="20"/>
    </row>
    <row r="2851" spans="1:27" ht="17.399999999999999" x14ac:dyDescent="0.25">
      <c r="A2851" s="16"/>
      <c r="B2851" s="20" t="b">
        <v>0</v>
      </c>
      <c r="C2851" s="20"/>
      <c r="D2851" s="2"/>
      <c r="E2851" s="2"/>
      <c r="F2851" s="20"/>
      <c r="G2851" s="2"/>
      <c r="H2851" s="16"/>
      <c r="I2851" s="20"/>
      <c r="J2851" s="20"/>
      <c r="K2851" s="20"/>
      <c r="L2851" s="20"/>
      <c r="M2851" s="20"/>
      <c r="N2851" s="20"/>
      <c r="O2851" s="20"/>
      <c r="P2851" s="20"/>
      <c r="Q2851" s="20"/>
      <c r="R2851" s="20"/>
      <c r="S2851" s="20"/>
      <c r="T2851" s="20"/>
      <c r="U2851" s="20"/>
      <c r="V2851" s="20"/>
      <c r="W2851" s="20"/>
      <c r="X2851" s="20"/>
      <c r="Y2851" s="20"/>
      <c r="Z2851" s="20"/>
      <c r="AA2851" s="20"/>
    </row>
    <row r="2852" spans="1:27" ht="17.399999999999999" x14ac:dyDescent="0.25">
      <c r="A2852" s="16"/>
      <c r="B2852" s="20" t="b">
        <v>0</v>
      </c>
      <c r="C2852" s="20"/>
      <c r="D2852" s="2"/>
      <c r="E2852" s="2"/>
      <c r="F2852" s="20"/>
      <c r="G2852" s="2"/>
      <c r="H2852" s="16"/>
      <c r="I2852" s="20"/>
      <c r="J2852" s="20"/>
      <c r="K2852" s="20"/>
      <c r="L2852" s="20"/>
      <c r="M2852" s="20"/>
      <c r="N2852" s="20"/>
      <c r="O2852" s="20"/>
      <c r="P2852" s="20"/>
      <c r="Q2852" s="20"/>
      <c r="R2852" s="20"/>
      <c r="S2852" s="20"/>
      <c r="T2852" s="20"/>
      <c r="U2852" s="20"/>
      <c r="V2852" s="20"/>
      <c r="W2852" s="20"/>
      <c r="X2852" s="20"/>
      <c r="Y2852" s="20"/>
      <c r="Z2852" s="20"/>
      <c r="AA2852" s="20"/>
    </row>
    <row r="2853" spans="1:27" ht="17.399999999999999" x14ac:dyDescent="0.25">
      <c r="A2853" s="16"/>
      <c r="B2853" s="20" t="b">
        <v>0</v>
      </c>
      <c r="C2853" s="20"/>
      <c r="D2853" s="2"/>
      <c r="E2853" s="2"/>
      <c r="F2853" s="20"/>
      <c r="G2853" s="2"/>
      <c r="H2853" s="16"/>
      <c r="I2853" s="20"/>
      <c r="J2853" s="20"/>
      <c r="K2853" s="20"/>
      <c r="L2853" s="20"/>
      <c r="M2853" s="20"/>
      <c r="N2853" s="20"/>
      <c r="O2853" s="20"/>
      <c r="P2853" s="20"/>
      <c r="Q2853" s="20"/>
      <c r="R2853" s="20"/>
      <c r="S2853" s="20"/>
      <c r="T2853" s="20"/>
      <c r="U2853" s="20"/>
      <c r="V2853" s="20"/>
      <c r="W2853" s="20"/>
      <c r="X2853" s="20"/>
      <c r="Y2853" s="20"/>
      <c r="Z2853" s="20"/>
      <c r="AA2853" s="20"/>
    </row>
    <row r="2854" spans="1:27" ht="17.399999999999999" x14ac:dyDescent="0.25">
      <c r="A2854" s="16"/>
      <c r="B2854" s="20" t="b">
        <v>0</v>
      </c>
      <c r="C2854" s="20"/>
      <c r="D2854" s="2"/>
      <c r="E2854" s="2"/>
      <c r="F2854" s="20"/>
      <c r="G2854" s="2"/>
      <c r="H2854" s="16"/>
      <c r="I2854" s="20"/>
      <c r="J2854" s="20"/>
      <c r="K2854" s="20"/>
      <c r="L2854" s="20"/>
      <c r="M2854" s="20"/>
      <c r="N2854" s="20"/>
      <c r="O2854" s="20"/>
      <c r="P2854" s="20"/>
      <c r="Q2854" s="20"/>
      <c r="R2854" s="20"/>
      <c r="S2854" s="20"/>
      <c r="T2854" s="20"/>
      <c r="U2854" s="20"/>
      <c r="V2854" s="20"/>
      <c r="W2854" s="20"/>
      <c r="X2854" s="20"/>
      <c r="Y2854" s="20"/>
      <c r="Z2854" s="20"/>
      <c r="AA2854" s="20"/>
    </row>
    <row r="2855" spans="1:27" ht="17.399999999999999" x14ac:dyDescent="0.25">
      <c r="A2855" s="16"/>
      <c r="B2855" s="20" t="b">
        <v>0</v>
      </c>
      <c r="C2855" s="20"/>
      <c r="D2855" s="2"/>
      <c r="E2855" s="2"/>
      <c r="F2855" s="20"/>
      <c r="G2855" s="2"/>
      <c r="H2855" s="16"/>
      <c r="I2855" s="20"/>
      <c r="J2855" s="20"/>
      <c r="K2855" s="20"/>
      <c r="L2855" s="20"/>
      <c r="M2855" s="20"/>
      <c r="N2855" s="20"/>
      <c r="O2855" s="20"/>
      <c r="P2855" s="20"/>
      <c r="Q2855" s="20"/>
      <c r="R2855" s="20"/>
      <c r="S2855" s="20"/>
      <c r="T2855" s="20"/>
      <c r="U2855" s="20"/>
      <c r="V2855" s="20"/>
      <c r="W2855" s="20"/>
      <c r="X2855" s="20"/>
      <c r="Y2855" s="20"/>
      <c r="Z2855" s="20"/>
      <c r="AA2855" s="20"/>
    </row>
    <row r="2856" spans="1:27" ht="17.399999999999999" x14ac:dyDescent="0.25">
      <c r="A2856" s="16"/>
      <c r="B2856" s="20" t="b">
        <v>0</v>
      </c>
      <c r="C2856" s="20"/>
      <c r="D2856" s="2"/>
      <c r="E2856" s="2"/>
      <c r="F2856" s="20"/>
      <c r="G2856" s="2"/>
      <c r="H2856" s="16"/>
      <c r="I2856" s="20"/>
      <c r="J2856" s="20"/>
      <c r="K2856" s="20"/>
      <c r="L2856" s="20"/>
      <c r="M2856" s="20"/>
      <c r="N2856" s="20"/>
      <c r="O2856" s="20"/>
      <c r="P2856" s="20"/>
      <c r="Q2856" s="20"/>
      <c r="R2856" s="20"/>
      <c r="S2856" s="20"/>
      <c r="T2856" s="20"/>
      <c r="U2856" s="20"/>
      <c r="V2856" s="20"/>
      <c r="W2856" s="20"/>
      <c r="X2856" s="20"/>
      <c r="Y2856" s="20"/>
      <c r="Z2856" s="20"/>
      <c r="AA2856" s="20"/>
    </row>
    <row r="2857" spans="1:27" ht="17.399999999999999" x14ac:dyDescent="0.25">
      <c r="A2857" s="16"/>
      <c r="B2857" s="20" t="b">
        <v>0</v>
      </c>
      <c r="C2857" s="20"/>
      <c r="D2857" s="2"/>
      <c r="E2857" s="2"/>
      <c r="F2857" s="20"/>
      <c r="G2857" s="2"/>
      <c r="H2857" s="16"/>
      <c r="I2857" s="20"/>
      <c r="J2857" s="20"/>
      <c r="K2857" s="20"/>
      <c r="L2857" s="20"/>
      <c r="M2857" s="20"/>
      <c r="N2857" s="20"/>
      <c r="O2857" s="20"/>
      <c r="P2857" s="20"/>
      <c r="Q2857" s="20"/>
      <c r="R2857" s="20"/>
      <c r="S2857" s="20"/>
      <c r="T2857" s="20"/>
      <c r="U2857" s="20"/>
      <c r="V2857" s="20"/>
      <c r="W2857" s="20"/>
      <c r="X2857" s="20"/>
      <c r="Y2857" s="20"/>
      <c r="Z2857" s="20"/>
      <c r="AA2857" s="20"/>
    </row>
    <row r="2858" spans="1:27" ht="17.399999999999999" x14ac:dyDescent="0.25">
      <c r="A2858" s="16"/>
      <c r="B2858" s="20" t="b">
        <v>0</v>
      </c>
      <c r="C2858" s="20"/>
      <c r="D2858" s="2"/>
      <c r="E2858" s="2"/>
      <c r="F2858" s="20"/>
      <c r="G2858" s="2"/>
      <c r="H2858" s="16"/>
      <c r="I2858" s="20"/>
      <c r="J2858" s="20"/>
      <c r="K2858" s="20"/>
      <c r="L2858" s="20"/>
      <c r="M2858" s="20"/>
      <c r="N2858" s="20"/>
      <c r="O2858" s="20"/>
      <c r="P2858" s="20"/>
      <c r="Q2858" s="20"/>
      <c r="R2858" s="20"/>
      <c r="S2858" s="20"/>
      <c r="T2858" s="20"/>
      <c r="U2858" s="20"/>
      <c r="V2858" s="20"/>
      <c r="W2858" s="20"/>
      <c r="X2858" s="20"/>
      <c r="Y2858" s="20"/>
      <c r="Z2858" s="20"/>
      <c r="AA2858" s="20"/>
    </row>
    <row r="2859" spans="1:27" ht="17.399999999999999" x14ac:dyDescent="0.25">
      <c r="A2859" s="16"/>
      <c r="B2859" s="20" t="b">
        <v>0</v>
      </c>
      <c r="C2859" s="20"/>
      <c r="D2859" s="2"/>
      <c r="E2859" s="2"/>
      <c r="F2859" s="20"/>
      <c r="G2859" s="2"/>
      <c r="H2859" s="16"/>
      <c r="I2859" s="20"/>
      <c r="J2859" s="20"/>
      <c r="K2859" s="20"/>
      <c r="L2859" s="20"/>
      <c r="M2859" s="20"/>
      <c r="N2859" s="20"/>
      <c r="O2859" s="20"/>
      <c r="P2859" s="20"/>
      <c r="Q2859" s="20"/>
      <c r="R2859" s="20"/>
      <c r="S2859" s="20"/>
      <c r="T2859" s="20"/>
      <c r="U2859" s="20"/>
      <c r="V2859" s="20"/>
      <c r="W2859" s="20"/>
      <c r="X2859" s="20"/>
      <c r="Y2859" s="20"/>
      <c r="Z2859" s="20"/>
      <c r="AA2859" s="20"/>
    </row>
    <row r="2860" spans="1:27" ht="17.399999999999999" x14ac:dyDescent="0.25">
      <c r="A2860" s="16"/>
      <c r="B2860" s="20" t="b">
        <v>0</v>
      </c>
      <c r="C2860" s="20"/>
      <c r="D2860" s="2"/>
      <c r="E2860" s="2"/>
      <c r="F2860" s="20"/>
      <c r="G2860" s="2"/>
      <c r="H2860" s="16"/>
      <c r="I2860" s="20"/>
      <c r="J2860" s="20"/>
      <c r="K2860" s="20"/>
      <c r="L2860" s="20"/>
      <c r="M2860" s="20"/>
      <c r="N2860" s="20"/>
      <c r="O2860" s="20"/>
      <c r="P2860" s="20"/>
      <c r="Q2860" s="20"/>
      <c r="R2860" s="20"/>
      <c r="S2860" s="20"/>
      <c r="T2860" s="20"/>
      <c r="U2860" s="20"/>
      <c r="V2860" s="20"/>
      <c r="W2860" s="20"/>
      <c r="X2860" s="20"/>
      <c r="Y2860" s="20"/>
      <c r="Z2860" s="20"/>
      <c r="AA2860" s="20"/>
    </row>
    <row r="2861" spans="1:27" ht="17.399999999999999" x14ac:dyDescent="0.25">
      <c r="A2861" s="16"/>
      <c r="B2861" s="20" t="b">
        <v>0</v>
      </c>
      <c r="C2861" s="20"/>
      <c r="D2861" s="2"/>
      <c r="E2861" s="2"/>
      <c r="F2861" s="20"/>
      <c r="G2861" s="2"/>
      <c r="H2861" s="16"/>
      <c r="I2861" s="20"/>
      <c r="J2861" s="20"/>
      <c r="K2861" s="20"/>
      <c r="L2861" s="20"/>
      <c r="M2861" s="20"/>
      <c r="N2861" s="20"/>
      <c r="O2861" s="20"/>
      <c r="P2861" s="20"/>
      <c r="Q2861" s="20"/>
      <c r="R2861" s="20"/>
      <c r="S2861" s="20"/>
      <c r="T2861" s="20"/>
      <c r="U2861" s="20"/>
      <c r="V2861" s="20"/>
      <c r="W2861" s="20"/>
      <c r="X2861" s="20"/>
      <c r="Y2861" s="20"/>
      <c r="Z2861" s="20"/>
      <c r="AA2861" s="20"/>
    </row>
    <row r="2862" spans="1:27" ht="17.399999999999999" x14ac:dyDescent="0.25">
      <c r="A2862" s="16"/>
      <c r="B2862" s="20" t="b">
        <v>0</v>
      </c>
      <c r="C2862" s="20"/>
      <c r="D2862" s="2"/>
      <c r="E2862" s="2"/>
      <c r="F2862" s="20"/>
      <c r="G2862" s="2"/>
      <c r="H2862" s="16"/>
      <c r="I2862" s="20"/>
      <c r="J2862" s="20"/>
      <c r="K2862" s="20"/>
      <c r="L2862" s="20"/>
      <c r="M2862" s="20"/>
      <c r="N2862" s="20"/>
      <c r="O2862" s="20"/>
      <c r="P2862" s="20"/>
      <c r="Q2862" s="20"/>
      <c r="R2862" s="20"/>
      <c r="S2862" s="20"/>
      <c r="T2862" s="20"/>
      <c r="U2862" s="20"/>
      <c r="V2862" s="20"/>
      <c r="W2862" s="20"/>
      <c r="X2862" s="20"/>
      <c r="Y2862" s="20"/>
      <c r="Z2862" s="20"/>
      <c r="AA2862" s="20"/>
    </row>
    <row r="2863" spans="1:27" ht="17.399999999999999" x14ac:dyDescent="0.25">
      <c r="A2863" s="16"/>
      <c r="B2863" s="20" t="b">
        <v>0</v>
      </c>
      <c r="C2863" s="20"/>
      <c r="D2863" s="2"/>
      <c r="E2863" s="2"/>
      <c r="F2863" s="20"/>
      <c r="G2863" s="2"/>
      <c r="H2863" s="16"/>
      <c r="I2863" s="20"/>
      <c r="J2863" s="20"/>
      <c r="K2863" s="20"/>
      <c r="L2863" s="20"/>
      <c r="M2863" s="20"/>
      <c r="N2863" s="20"/>
      <c r="O2863" s="20"/>
      <c r="P2863" s="20"/>
      <c r="Q2863" s="20"/>
      <c r="R2863" s="20"/>
      <c r="S2863" s="20"/>
      <c r="T2863" s="20"/>
      <c r="U2863" s="20"/>
      <c r="V2863" s="20"/>
      <c r="W2863" s="20"/>
      <c r="X2863" s="20"/>
      <c r="Y2863" s="20"/>
      <c r="Z2863" s="20"/>
      <c r="AA2863" s="20"/>
    </row>
    <row r="2864" spans="1:27" ht="17.399999999999999" x14ac:dyDescent="0.25">
      <c r="A2864" s="16"/>
      <c r="B2864" s="20" t="b">
        <v>0</v>
      </c>
      <c r="C2864" s="20"/>
      <c r="D2864" s="2"/>
      <c r="E2864" s="2"/>
      <c r="F2864" s="20"/>
      <c r="G2864" s="2"/>
      <c r="H2864" s="16"/>
      <c r="I2864" s="20"/>
      <c r="J2864" s="20"/>
      <c r="K2864" s="20"/>
      <c r="L2864" s="20"/>
      <c r="M2864" s="20"/>
      <c r="N2864" s="20"/>
      <c r="O2864" s="20"/>
      <c r="P2864" s="20"/>
      <c r="Q2864" s="20"/>
      <c r="R2864" s="20"/>
      <c r="S2864" s="20"/>
      <c r="T2864" s="20"/>
      <c r="U2864" s="20"/>
      <c r="V2864" s="20"/>
      <c r="W2864" s="20"/>
      <c r="X2864" s="20"/>
      <c r="Y2864" s="20"/>
      <c r="Z2864" s="20"/>
      <c r="AA2864" s="20"/>
    </row>
    <row r="2865" spans="1:27" ht="17.399999999999999" x14ac:dyDescent="0.25">
      <c r="A2865" s="16"/>
      <c r="B2865" s="20" t="b">
        <v>0</v>
      </c>
      <c r="C2865" s="20"/>
      <c r="D2865" s="2"/>
      <c r="E2865" s="2"/>
      <c r="F2865" s="20"/>
      <c r="G2865" s="2"/>
      <c r="H2865" s="16"/>
      <c r="I2865" s="20"/>
      <c r="J2865" s="20"/>
      <c r="K2865" s="20"/>
      <c r="L2865" s="20"/>
      <c r="M2865" s="20"/>
      <c r="N2865" s="20"/>
      <c r="O2865" s="20"/>
      <c r="P2865" s="20"/>
      <c r="Q2865" s="20"/>
      <c r="R2865" s="20"/>
      <c r="S2865" s="20"/>
      <c r="T2865" s="20"/>
      <c r="U2865" s="20"/>
      <c r="V2865" s="20"/>
      <c r="W2865" s="20"/>
      <c r="X2865" s="20"/>
      <c r="Y2865" s="20"/>
      <c r="Z2865" s="20"/>
      <c r="AA2865" s="20"/>
    </row>
    <row r="2866" spans="1:27" ht="17.399999999999999" x14ac:dyDescent="0.25">
      <c r="A2866" s="16"/>
      <c r="B2866" s="20" t="b">
        <v>0</v>
      </c>
      <c r="C2866" s="20"/>
      <c r="D2866" s="2"/>
      <c r="E2866" s="2"/>
      <c r="F2866" s="20"/>
      <c r="G2866" s="2"/>
      <c r="H2866" s="16"/>
      <c r="I2866" s="20"/>
      <c r="J2866" s="20"/>
      <c r="K2866" s="20"/>
      <c r="L2866" s="20"/>
      <c r="M2866" s="20"/>
      <c r="N2866" s="20"/>
      <c r="O2866" s="20"/>
      <c r="P2866" s="20"/>
      <c r="Q2866" s="20"/>
      <c r="R2866" s="20"/>
      <c r="S2866" s="20"/>
      <c r="T2866" s="20"/>
      <c r="U2866" s="20"/>
      <c r="V2866" s="20"/>
      <c r="W2866" s="20"/>
      <c r="X2866" s="20"/>
      <c r="Y2866" s="20"/>
      <c r="Z2866" s="20"/>
      <c r="AA2866" s="20"/>
    </row>
    <row r="2867" spans="1:27" ht="17.399999999999999" x14ac:dyDescent="0.25">
      <c r="A2867" s="16"/>
      <c r="B2867" s="20" t="b">
        <v>0</v>
      </c>
      <c r="C2867" s="20"/>
      <c r="D2867" s="2"/>
      <c r="E2867" s="2"/>
      <c r="F2867" s="20"/>
      <c r="G2867" s="2"/>
      <c r="H2867" s="16"/>
      <c r="I2867" s="20"/>
      <c r="J2867" s="20"/>
      <c r="K2867" s="20"/>
      <c r="L2867" s="20"/>
      <c r="M2867" s="20"/>
      <c r="N2867" s="20"/>
      <c r="O2867" s="20"/>
      <c r="P2867" s="20"/>
      <c r="Q2867" s="20"/>
      <c r="R2867" s="20"/>
      <c r="S2867" s="20"/>
      <c r="T2867" s="20"/>
      <c r="U2867" s="20"/>
      <c r="V2867" s="20"/>
      <c r="W2867" s="20"/>
      <c r="X2867" s="20"/>
      <c r="Y2867" s="20"/>
      <c r="Z2867" s="20"/>
      <c r="AA2867" s="20"/>
    </row>
    <row r="2868" spans="1:27" ht="17.399999999999999" x14ac:dyDescent="0.25">
      <c r="A2868" s="16"/>
      <c r="B2868" s="20" t="b">
        <v>0</v>
      </c>
      <c r="C2868" s="20"/>
      <c r="D2868" s="2"/>
      <c r="E2868" s="2"/>
      <c r="F2868" s="20"/>
      <c r="G2868" s="2"/>
      <c r="H2868" s="16"/>
      <c r="I2868" s="20"/>
      <c r="J2868" s="20"/>
      <c r="K2868" s="20"/>
      <c r="L2868" s="20"/>
      <c r="M2868" s="20"/>
      <c r="N2868" s="20"/>
      <c r="O2868" s="20"/>
      <c r="P2868" s="20"/>
      <c r="Q2868" s="20"/>
      <c r="R2868" s="20"/>
      <c r="S2868" s="20"/>
      <c r="T2868" s="20"/>
      <c r="U2868" s="20"/>
      <c r="V2868" s="20"/>
      <c r="W2868" s="20"/>
      <c r="X2868" s="20"/>
      <c r="Y2868" s="20"/>
      <c r="Z2868" s="20"/>
      <c r="AA2868" s="20"/>
    </row>
    <row r="2869" spans="1:27" ht="17.399999999999999" x14ac:dyDescent="0.25">
      <c r="A2869" s="16"/>
      <c r="B2869" s="20" t="b">
        <v>0</v>
      </c>
      <c r="C2869" s="20"/>
      <c r="D2869" s="2"/>
      <c r="E2869" s="2"/>
      <c r="F2869" s="20"/>
      <c r="G2869" s="2"/>
      <c r="H2869" s="16"/>
      <c r="I2869" s="20"/>
      <c r="J2869" s="20"/>
      <c r="K2869" s="20"/>
      <c r="L2869" s="20"/>
      <c r="M2869" s="20"/>
      <c r="N2869" s="20"/>
      <c r="O2869" s="20"/>
      <c r="P2869" s="20"/>
      <c r="Q2869" s="20"/>
      <c r="R2869" s="20"/>
      <c r="S2869" s="20"/>
      <c r="T2869" s="20"/>
      <c r="U2869" s="20"/>
      <c r="V2869" s="20"/>
      <c r="W2869" s="20"/>
      <c r="X2869" s="20"/>
      <c r="Y2869" s="20"/>
      <c r="Z2869" s="20"/>
      <c r="AA2869" s="20"/>
    </row>
    <row r="2870" spans="1:27" ht="17.399999999999999" x14ac:dyDescent="0.25">
      <c r="A2870" s="16"/>
      <c r="B2870" s="20" t="b">
        <v>0</v>
      </c>
      <c r="C2870" s="20"/>
      <c r="D2870" s="2"/>
      <c r="E2870" s="2"/>
      <c r="F2870" s="20"/>
      <c r="G2870" s="2"/>
      <c r="H2870" s="16"/>
      <c r="I2870" s="20"/>
      <c r="J2870" s="20"/>
      <c r="K2870" s="20"/>
      <c r="L2870" s="20"/>
      <c r="M2870" s="20"/>
      <c r="N2870" s="20"/>
      <c r="O2870" s="20"/>
      <c r="P2870" s="20"/>
      <c r="Q2870" s="20"/>
      <c r="R2870" s="20"/>
      <c r="S2870" s="20"/>
      <c r="T2870" s="20"/>
      <c r="U2870" s="20"/>
      <c r="V2870" s="20"/>
      <c r="W2870" s="20"/>
      <c r="X2870" s="20"/>
      <c r="Y2870" s="20"/>
      <c r="Z2870" s="20"/>
      <c r="AA2870" s="20"/>
    </row>
    <row r="2871" spans="1:27" ht="17.399999999999999" x14ac:dyDescent="0.25">
      <c r="A2871" s="16"/>
      <c r="B2871" s="20" t="b">
        <v>0</v>
      </c>
      <c r="C2871" s="20"/>
      <c r="D2871" s="2"/>
      <c r="E2871" s="2"/>
      <c r="F2871" s="20"/>
      <c r="G2871" s="2"/>
      <c r="H2871" s="16"/>
      <c r="I2871" s="20"/>
      <c r="J2871" s="20"/>
      <c r="K2871" s="20"/>
      <c r="L2871" s="20"/>
      <c r="M2871" s="20"/>
      <c r="N2871" s="20"/>
      <c r="O2871" s="20"/>
      <c r="P2871" s="20"/>
      <c r="Q2871" s="20"/>
      <c r="R2871" s="20"/>
      <c r="S2871" s="20"/>
      <c r="T2871" s="20"/>
      <c r="U2871" s="20"/>
      <c r="V2871" s="20"/>
      <c r="W2871" s="20"/>
      <c r="X2871" s="20"/>
      <c r="Y2871" s="20"/>
      <c r="Z2871" s="20"/>
      <c r="AA2871" s="20"/>
    </row>
    <row r="2872" spans="1:27" ht="17.399999999999999" x14ac:dyDescent="0.25">
      <c r="A2872" s="16"/>
      <c r="B2872" s="20" t="b">
        <v>0</v>
      </c>
      <c r="C2872" s="20"/>
      <c r="D2872" s="2"/>
      <c r="E2872" s="2"/>
      <c r="F2872" s="20"/>
      <c r="G2872" s="2"/>
      <c r="H2872" s="16"/>
      <c r="I2872" s="20"/>
      <c r="J2872" s="20"/>
      <c r="K2872" s="20"/>
      <c r="L2872" s="20"/>
      <c r="M2872" s="20"/>
      <c r="N2872" s="20"/>
      <c r="O2872" s="20"/>
      <c r="P2872" s="20"/>
      <c r="Q2872" s="20"/>
      <c r="R2872" s="20"/>
      <c r="S2872" s="20"/>
      <c r="T2872" s="20"/>
      <c r="U2872" s="20"/>
      <c r="V2872" s="20"/>
      <c r="W2872" s="20"/>
      <c r="X2872" s="20"/>
      <c r="Y2872" s="20"/>
      <c r="Z2872" s="20"/>
      <c r="AA2872" s="20"/>
    </row>
    <row r="2873" spans="1:27" ht="17.399999999999999" x14ac:dyDescent="0.25">
      <c r="A2873" s="16"/>
      <c r="B2873" s="20" t="b">
        <v>0</v>
      </c>
      <c r="C2873" s="20"/>
      <c r="D2873" s="2"/>
      <c r="E2873" s="2"/>
      <c r="F2873" s="20"/>
      <c r="G2873" s="2"/>
      <c r="H2873" s="16"/>
      <c r="I2873" s="20"/>
      <c r="J2873" s="20"/>
      <c r="K2873" s="20"/>
      <c r="L2873" s="20"/>
      <c r="M2873" s="20"/>
      <c r="N2873" s="20"/>
      <c r="O2873" s="20"/>
      <c r="P2873" s="20"/>
      <c r="Q2873" s="20"/>
      <c r="R2873" s="20"/>
      <c r="S2873" s="20"/>
      <c r="T2873" s="20"/>
      <c r="U2873" s="20"/>
      <c r="V2873" s="20"/>
      <c r="W2873" s="20"/>
      <c r="X2873" s="20"/>
      <c r="Y2873" s="20"/>
      <c r="Z2873" s="20"/>
      <c r="AA2873" s="20"/>
    </row>
    <row r="2874" spans="1:27" ht="17.399999999999999" x14ac:dyDescent="0.25">
      <c r="A2874" s="16"/>
      <c r="B2874" s="20" t="b">
        <v>0</v>
      </c>
      <c r="C2874" s="20"/>
      <c r="D2874" s="2"/>
      <c r="E2874" s="2"/>
      <c r="F2874" s="20"/>
      <c r="G2874" s="2"/>
      <c r="H2874" s="16"/>
      <c r="I2874" s="20"/>
      <c r="J2874" s="20"/>
      <c r="K2874" s="20"/>
      <c r="L2874" s="20"/>
      <c r="M2874" s="20"/>
      <c r="N2874" s="20"/>
      <c r="O2874" s="20"/>
      <c r="P2874" s="20"/>
      <c r="Q2874" s="20"/>
      <c r="R2874" s="20"/>
      <c r="S2874" s="20"/>
      <c r="T2874" s="20"/>
      <c r="U2874" s="20"/>
      <c r="V2874" s="20"/>
      <c r="W2874" s="20"/>
      <c r="X2874" s="20"/>
      <c r="Y2874" s="20"/>
      <c r="Z2874" s="20"/>
      <c r="AA2874" s="20"/>
    </row>
    <row r="2875" spans="1:27" ht="17.399999999999999" x14ac:dyDescent="0.25">
      <c r="A2875" s="16"/>
      <c r="B2875" s="20" t="b">
        <v>0</v>
      </c>
      <c r="C2875" s="20"/>
      <c r="D2875" s="2"/>
      <c r="E2875" s="2"/>
      <c r="F2875" s="20"/>
      <c r="G2875" s="2"/>
      <c r="H2875" s="16"/>
      <c r="I2875" s="20"/>
      <c r="J2875" s="20"/>
      <c r="K2875" s="20"/>
      <c r="L2875" s="20"/>
      <c r="M2875" s="20"/>
      <c r="N2875" s="20"/>
      <c r="O2875" s="20"/>
      <c r="P2875" s="20"/>
      <c r="Q2875" s="20"/>
      <c r="R2875" s="20"/>
      <c r="S2875" s="20"/>
      <c r="T2875" s="20"/>
      <c r="U2875" s="20"/>
      <c r="V2875" s="20"/>
      <c r="W2875" s="20"/>
      <c r="X2875" s="20"/>
      <c r="Y2875" s="20"/>
      <c r="Z2875" s="20"/>
      <c r="AA2875" s="20"/>
    </row>
    <row r="2876" spans="1:27" ht="17.399999999999999" x14ac:dyDescent="0.25">
      <c r="A2876" s="16"/>
      <c r="B2876" s="20" t="b">
        <v>0</v>
      </c>
      <c r="C2876" s="20"/>
      <c r="D2876" s="2"/>
      <c r="E2876" s="2"/>
      <c r="F2876" s="20"/>
      <c r="G2876" s="2"/>
      <c r="H2876" s="16"/>
      <c r="I2876" s="20"/>
      <c r="J2876" s="20"/>
      <c r="K2876" s="20"/>
      <c r="L2876" s="20"/>
      <c r="M2876" s="20"/>
      <c r="N2876" s="20"/>
      <c r="O2876" s="20"/>
      <c r="P2876" s="20"/>
      <c r="Q2876" s="20"/>
      <c r="R2876" s="20"/>
      <c r="S2876" s="20"/>
      <c r="T2876" s="20"/>
      <c r="U2876" s="20"/>
      <c r="V2876" s="20"/>
      <c r="W2876" s="20"/>
      <c r="X2876" s="20"/>
      <c r="Y2876" s="20"/>
      <c r="Z2876" s="20"/>
      <c r="AA2876" s="20"/>
    </row>
    <row r="2877" spans="1:27" ht="17.399999999999999" x14ac:dyDescent="0.25">
      <c r="A2877" s="16"/>
      <c r="B2877" s="20" t="b">
        <v>0</v>
      </c>
      <c r="C2877" s="20"/>
      <c r="D2877" s="2"/>
      <c r="E2877" s="2"/>
      <c r="F2877" s="20"/>
      <c r="G2877" s="2"/>
      <c r="H2877" s="16"/>
      <c r="I2877" s="20"/>
      <c r="J2877" s="20"/>
      <c r="K2877" s="20"/>
      <c r="L2877" s="20"/>
      <c r="M2877" s="20"/>
      <c r="N2877" s="20"/>
      <c r="O2877" s="20"/>
      <c r="P2877" s="20"/>
      <c r="Q2877" s="20"/>
      <c r="R2877" s="20"/>
      <c r="S2877" s="20"/>
      <c r="T2877" s="20"/>
      <c r="U2877" s="20"/>
      <c r="V2877" s="20"/>
      <c r="W2877" s="20"/>
      <c r="X2877" s="20"/>
      <c r="Y2877" s="20"/>
      <c r="Z2877" s="20"/>
      <c r="AA2877" s="20"/>
    </row>
    <row r="2878" spans="1:27" ht="17.399999999999999" x14ac:dyDescent="0.25">
      <c r="A2878" s="16"/>
      <c r="B2878" s="20" t="b">
        <v>0</v>
      </c>
      <c r="C2878" s="20"/>
      <c r="D2878" s="2"/>
      <c r="E2878" s="2"/>
      <c r="F2878" s="20"/>
      <c r="G2878" s="2"/>
      <c r="H2878" s="16"/>
      <c r="I2878" s="20"/>
      <c r="J2878" s="20"/>
      <c r="K2878" s="20"/>
      <c r="L2878" s="20"/>
      <c r="M2878" s="20"/>
      <c r="N2878" s="20"/>
      <c r="O2878" s="20"/>
      <c r="P2878" s="20"/>
      <c r="Q2878" s="20"/>
      <c r="R2878" s="20"/>
      <c r="S2878" s="20"/>
      <c r="T2878" s="20"/>
      <c r="U2878" s="20"/>
      <c r="V2878" s="20"/>
      <c r="W2878" s="20"/>
      <c r="X2878" s="20"/>
      <c r="Y2878" s="20"/>
      <c r="Z2878" s="20"/>
      <c r="AA2878" s="20"/>
    </row>
    <row r="2879" spans="1:27" ht="17.399999999999999" x14ac:dyDescent="0.25">
      <c r="A2879" s="16"/>
      <c r="B2879" s="20" t="b">
        <v>0</v>
      </c>
      <c r="C2879" s="20"/>
      <c r="D2879" s="2"/>
      <c r="E2879" s="2"/>
      <c r="F2879" s="20"/>
      <c r="G2879" s="2"/>
      <c r="H2879" s="16"/>
      <c r="I2879" s="20"/>
      <c r="J2879" s="20"/>
      <c r="K2879" s="20"/>
      <c r="L2879" s="20"/>
      <c r="M2879" s="20"/>
      <c r="N2879" s="20"/>
      <c r="O2879" s="20"/>
      <c r="P2879" s="20"/>
      <c r="Q2879" s="20"/>
      <c r="R2879" s="20"/>
      <c r="S2879" s="20"/>
      <c r="T2879" s="20"/>
      <c r="U2879" s="20"/>
      <c r="V2879" s="20"/>
      <c r="W2879" s="20"/>
      <c r="X2879" s="20"/>
      <c r="Y2879" s="20"/>
      <c r="Z2879" s="20"/>
      <c r="AA2879" s="20"/>
    </row>
    <row r="2880" spans="1:27" ht="17.399999999999999" x14ac:dyDescent="0.25">
      <c r="A2880" s="16"/>
      <c r="B2880" s="20" t="b">
        <v>0</v>
      </c>
      <c r="C2880" s="20"/>
      <c r="D2880" s="2"/>
      <c r="E2880" s="2"/>
      <c r="F2880" s="20"/>
      <c r="G2880" s="2"/>
      <c r="H2880" s="16"/>
      <c r="I2880" s="20"/>
      <c r="J2880" s="20"/>
      <c r="K2880" s="20"/>
      <c r="L2880" s="20"/>
      <c r="M2880" s="20"/>
      <c r="N2880" s="20"/>
      <c r="O2880" s="20"/>
      <c r="P2880" s="20"/>
      <c r="Q2880" s="20"/>
      <c r="R2880" s="20"/>
      <c r="S2880" s="20"/>
      <c r="T2880" s="20"/>
      <c r="U2880" s="20"/>
      <c r="V2880" s="20"/>
      <c r="W2880" s="20"/>
      <c r="X2880" s="20"/>
      <c r="Y2880" s="20"/>
      <c r="Z2880" s="20"/>
      <c r="AA2880" s="20"/>
    </row>
    <row r="2881" spans="1:27" ht="17.399999999999999" x14ac:dyDescent="0.25">
      <c r="A2881" s="16"/>
      <c r="B2881" s="20" t="b">
        <v>0</v>
      </c>
      <c r="C2881" s="20"/>
      <c r="D2881" s="2"/>
      <c r="E2881" s="2"/>
      <c r="F2881" s="20"/>
      <c r="G2881" s="2"/>
      <c r="H2881" s="16"/>
      <c r="I2881" s="20"/>
      <c r="J2881" s="20"/>
      <c r="K2881" s="20"/>
      <c r="L2881" s="20"/>
      <c r="M2881" s="20"/>
      <c r="N2881" s="20"/>
      <c r="O2881" s="20"/>
      <c r="P2881" s="20"/>
      <c r="Q2881" s="20"/>
      <c r="R2881" s="20"/>
      <c r="S2881" s="20"/>
      <c r="T2881" s="20"/>
      <c r="U2881" s="20"/>
      <c r="V2881" s="20"/>
      <c r="W2881" s="20"/>
      <c r="X2881" s="20"/>
      <c r="Y2881" s="20"/>
      <c r="Z2881" s="20"/>
      <c r="AA2881" s="20"/>
    </row>
    <row r="2882" spans="1:27" ht="17.399999999999999" x14ac:dyDescent="0.25">
      <c r="A2882" s="16"/>
      <c r="B2882" s="20" t="b">
        <v>0</v>
      </c>
      <c r="C2882" s="20"/>
      <c r="D2882" s="2"/>
      <c r="E2882" s="2"/>
      <c r="F2882" s="20"/>
      <c r="G2882" s="2"/>
      <c r="H2882" s="16"/>
      <c r="I2882" s="20"/>
      <c r="J2882" s="20"/>
      <c r="K2882" s="20"/>
      <c r="L2882" s="20"/>
      <c r="M2882" s="20"/>
      <c r="N2882" s="20"/>
      <c r="O2882" s="20"/>
      <c r="P2882" s="20"/>
      <c r="Q2882" s="20"/>
      <c r="R2882" s="20"/>
      <c r="S2882" s="20"/>
      <c r="T2882" s="20"/>
      <c r="U2882" s="20"/>
      <c r="V2882" s="20"/>
      <c r="W2882" s="20"/>
      <c r="X2882" s="20"/>
      <c r="Y2882" s="20"/>
      <c r="Z2882" s="20"/>
      <c r="AA2882" s="20"/>
    </row>
    <row r="2883" spans="1:27" ht="17.399999999999999" x14ac:dyDescent="0.25">
      <c r="A2883" s="16"/>
      <c r="B2883" s="20" t="b">
        <v>0</v>
      </c>
      <c r="C2883" s="20"/>
      <c r="D2883" s="2"/>
      <c r="E2883" s="2"/>
      <c r="F2883" s="20"/>
      <c r="G2883" s="2"/>
      <c r="H2883" s="16"/>
      <c r="I2883" s="20"/>
      <c r="J2883" s="20"/>
      <c r="K2883" s="20"/>
      <c r="L2883" s="20"/>
      <c r="M2883" s="20"/>
      <c r="N2883" s="20"/>
      <c r="O2883" s="20"/>
      <c r="P2883" s="20"/>
      <c r="Q2883" s="20"/>
      <c r="R2883" s="20"/>
      <c r="S2883" s="20"/>
      <c r="T2883" s="20"/>
      <c r="U2883" s="20"/>
      <c r="V2883" s="20"/>
      <c r="W2883" s="20"/>
      <c r="X2883" s="20"/>
      <c r="Y2883" s="20"/>
      <c r="Z2883" s="20"/>
      <c r="AA2883" s="20"/>
    </row>
    <row r="2884" spans="1:27" ht="17.399999999999999" x14ac:dyDescent="0.25">
      <c r="A2884" s="16"/>
      <c r="B2884" s="20" t="b">
        <v>0</v>
      </c>
      <c r="C2884" s="20"/>
      <c r="D2884" s="2"/>
      <c r="E2884" s="2"/>
      <c r="F2884" s="20"/>
      <c r="G2884" s="2"/>
      <c r="H2884" s="16"/>
      <c r="I2884" s="20"/>
      <c r="J2884" s="20"/>
      <c r="K2884" s="20"/>
      <c r="L2884" s="20"/>
      <c r="M2884" s="20"/>
      <c r="N2884" s="20"/>
      <c r="O2884" s="20"/>
      <c r="P2884" s="20"/>
      <c r="Q2884" s="20"/>
      <c r="R2884" s="20"/>
      <c r="S2884" s="20"/>
      <c r="T2884" s="20"/>
      <c r="U2884" s="20"/>
      <c r="V2884" s="20"/>
      <c r="W2884" s="20"/>
      <c r="X2884" s="20"/>
      <c r="Y2884" s="20"/>
      <c r="Z2884" s="20"/>
      <c r="AA2884" s="20"/>
    </row>
    <row r="2885" spans="1:27" ht="17.399999999999999" x14ac:dyDescent="0.25">
      <c r="A2885" s="16"/>
      <c r="B2885" s="20" t="b">
        <v>0</v>
      </c>
      <c r="C2885" s="20"/>
      <c r="D2885" s="2"/>
      <c r="E2885" s="2"/>
      <c r="F2885" s="20"/>
      <c r="G2885" s="2"/>
      <c r="H2885" s="16"/>
      <c r="I2885" s="20"/>
      <c r="J2885" s="20"/>
      <c r="K2885" s="20"/>
      <c r="L2885" s="20"/>
      <c r="M2885" s="20"/>
      <c r="N2885" s="20"/>
      <c r="O2885" s="20"/>
      <c r="P2885" s="20"/>
      <c r="Q2885" s="20"/>
      <c r="R2885" s="20"/>
      <c r="S2885" s="20"/>
      <c r="T2885" s="20"/>
      <c r="U2885" s="20"/>
      <c r="V2885" s="20"/>
      <c r="W2885" s="20"/>
      <c r="X2885" s="20"/>
      <c r="Y2885" s="20"/>
      <c r="Z2885" s="20"/>
      <c r="AA2885" s="20"/>
    </row>
    <row r="2886" spans="1:27" ht="17.399999999999999" x14ac:dyDescent="0.25">
      <c r="A2886" s="16"/>
      <c r="B2886" s="20" t="b">
        <v>0</v>
      </c>
      <c r="C2886" s="20"/>
      <c r="D2886" s="2"/>
      <c r="E2886" s="2"/>
      <c r="F2886" s="20"/>
      <c r="G2886" s="2"/>
      <c r="H2886" s="16"/>
      <c r="I2886" s="20"/>
      <c r="J2886" s="20"/>
      <c r="K2886" s="20"/>
      <c r="L2886" s="20"/>
      <c r="M2886" s="20"/>
      <c r="N2886" s="20"/>
      <c r="O2886" s="20"/>
      <c r="P2886" s="20"/>
      <c r="Q2886" s="20"/>
      <c r="R2886" s="20"/>
      <c r="S2886" s="20"/>
      <c r="T2886" s="20"/>
      <c r="U2886" s="20"/>
      <c r="V2886" s="20"/>
      <c r="W2886" s="20"/>
      <c r="X2886" s="20"/>
      <c r="Y2886" s="20"/>
      <c r="Z2886" s="20"/>
      <c r="AA2886" s="20"/>
    </row>
    <row r="2887" spans="1:27" ht="17.399999999999999" x14ac:dyDescent="0.25">
      <c r="A2887" s="16"/>
      <c r="B2887" s="20" t="b">
        <v>0</v>
      </c>
      <c r="C2887" s="20"/>
      <c r="D2887" s="2"/>
      <c r="E2887" s="2"/>
      <c r="F2887" s="20"/>
      <c r="G2887" s="2"/>
      <c r="H2887" s="16"/>
      <c r="I2887" s="20"/>
      <c r="J2887" s="20"/>
      <c r="K2887" s="20"/>
      <c r="L2887" s="20"/>
      <c r="M2887" s="20"/>
      <c r="N2887" s="20"/>
      <c r="O2887" s="20"/>
      <c r="P2887" s="20"/>
      <c r="Q2887" s="20"/>
      <c r="R2887" s="20"/>
      <c r="S2887" s="20"/>
      <c r="T2887" s="20"/>
      <c r="U2887" s="20"/>
      <c r="V2887" s="20"/>
      <c r="W2887" s="20"/>
      <c r="X2887" s="20"/>
      <c r="Y2887" s="20"/>
      <c r="Z2887" s="20"/>
      <c r="AA2887" s="20"/>
    </row>
    <row r="2888" spans="1:27" ht="17.399999999999999" x14ac:dyDescent="0.25">
      <c r="A2888" s="16"/>
      <c r="B2888" s="20" t="b">
        <v>0</v>
      </c>
      <c r="C2888" s="20"/>
      <c r="D2888" s="2"/>
      <c r="E2888" s="2"/>
      <c r="F2888" s="20"/>
      <c r="G2888" s="2"/>
      <c r="H2888" s="16"/>
      <c r="I2888" s="20"/>
      <c r="J2888" s="20"/>
      <c r="K2888" s="20"/>
      <c r="L2888" s="20"/>
      <c r="M2888" s="20"/>
      <c r="N2888" s="20"/>
      <c r="O2888" s="20"/>
      <c r="P2888" s="20"/>
      <c r="Q2888" s="20"/>
      <c r="R2888" s="20"/>
      <c r="S2888" s="20"/>
      <c r="T2888" s="20"/>
      <c r="U2888" s="20"/>
      <c r="V2888" s="20"/>
      <c r="W2888" s="20"/>
      <c r="X2888" s="20"/>
      <c r="Y2888" s="20"/>
      <c r="Z2888" s="20"/>
      <c r="AA2888" s="20"/>
    </row>
    <row r="2889" spans="1:27" ht="17.399999999999999" x14ac:dyDescent="0.25">
      <c r="A2889" s="16"/>
      <c r="B2889" s="20" t="b">
        <v>0</v>
      </c>
      <c r="C2889" s="20"/>
      <c r="D2889" s="2"/>
      <c r="E2889" s="2"/>
      <c r="F2889" s="20"/>
      <c r="G2889" s="2"/>
      <c r="H2889" s="16"/>
      <c r="I2889" s="20"/>
      <c r="J2889" s="20"/>
      <c r="K2889" s="20"/>
      <c r="L2889" s="20"/>
      <c r="M2889" s="20"/>
      <c r="N2889" s="20"/>
      <c r="O2889" s="20"/>
      <c r="P2889" s="20"/>
      <c r="Q2889" s="20"/>
      <c r="R2889" s="20"/>
      <c r="S2889" s="20"/>
      <c r="T2889" s="20"/>
      <c r="U2889" s="20"/>
      <c r="V2889" s="20"/>
      <c r="W2889" s="20"/>
      <c r="X2889" s="20"/>
      <c r="Y2889" s="20"/>
      <c r="Z2889" s="20"/>
      <c r="AA2889" s="20"/>
    </row>
    <row r="2890" spans="1:27" ht="17.399999999999999" x14ac:dyDescent="0.25">
      <c r="A2890" s="16"/>
      <c r="B2890" s="20" t="b">
        <v>0</v>
      </c>
      <c r="C2890" s="20"/>
      <c r="D2890" s="2"/>
      <c r="E2890" s="2"/>
      <c r="F2890" s="20"/>
      <c r="G2890" s="2"/>
      <c r="H2890" s="16"/>
      <c r="I2890" s="20"/>
      <c r="J2890" s="20"/>
      <c r="K2890" s="20"/>
      <c r="L2890" s="20"/>
      <c r="M2890" s="20"/>
      <c r="N2890" s="20"/>
      <c r="O2890" s="20"/>
      <c r="P2890" s="20"/>
      <c r="Q2890" s="20"/>
      <c r="R2890" s="20"/>
      <c r="S2890" s="20"/>
      <c r="T2890" s="20"/>
      <c r="U2890" s="20"/>
      <c r="V2890" s="20"/>
      <c r="W2890" s="20"/>
      <c r="X2890" s="20"/>
      <c r="Y2890" s="20"/>
      <c r="Z2890" s="20"/>
      <c r="AA2890" s="20"/>
    </row>
    <row r="2891" spans="1:27" ht="17.399999999999999" x14ac:dyDescent="0.25">
      <c r="A2891" s="16"/>
      <c r="B2891" s="20" t="b">
        <v>0</v>
      </c>
      <c r="C2891" s="20"/>
      <c r="D2891" s="2"/>
      <c r="E2891" s="2"/>
      <c r="F2891" s="20"/>
      <c r="G2891" s="2"/>
      <c r="H2891" s="16"/>
      <c r="I2891" s="20"/>
      <c r="J2891" s="20"/>
      <c r="K2891" s="20"/>
      <c r="L2891" s="20"/>
      <c r="M2891" s="20"/>
      <c r="N2891" s="20"/>
      <c r="O2891" s="20"/>
      <c r="P2891" s="20"/>
      <c r="Q2891" s="20"/>
      <c r="R2891" s="20"/>
      <c r="S2891" s="20"/>
      <c r="T2891" s="20"/>
      <c r="U2891" s="20"/>
      <c r="V2891" s="20"/>
      <c r="W2891" s="20"/>
      <c r="X2891" s="20"/>
      <c r="Y2891" s="20"/>
      <c r="Z2891" s="20"/>
      <c r="AA2891" s="20"/>
    </row>
    <row r="2892" spans="1:27" ht="17.399999999999999" x14ac:dyDescent="0.25">
      <c r="A2892" s="16"/>
      <c r="B2892" s="20" t="b">
        <v>0</v>
      </c>
      <c r="C2892" s="20"/>
      <c r="D2892" s="2"/>
      <c r="E2892" s="2"/>
      <c r="F2892" s="20"/>
      <c r="G2892" s="2"/>
      <c r="H2892" s="16"/>
      <c r="I2892" s="20"/>
      <c r="J2892" s="20"/>
      <c r="K2892" s="20"/>
      <c r="L2892" s="20"/>
      <c r="M2892" s="20"/>
      <c r="N2892" s="20"/>
      <c r="O2892" s="20"/>
      <c r="P2892" s="20"/>
      <c r="Q2892" s="20"/>
      <c r="R2892" s="20"/>
      <c r="S2892" s="20"/>
      <c r="T2892" s="20"/>
      <c r="U2892" s="20"/>
      <c r="V2892" s="20"/>
      <c r="W2892" s="20"/>
      <c r="X2892" s="20"/>
      <c r="Y2892" s="20"/>
      <c r="Z2892" s="20"/>
      <c r="AA2892" s="20"/>
    </row>
    <row r="2893" spans="1:27" ht="17.399999999999999" x14ac:dyDescent="0.25">
      <c r="A2893" s="16"/>
      <c r="B2893" s="20" t="b">
        <v>0</v>
      </c>
      <c r="C2893" s="20"/>
      <c r="D2893" s="2"/>
      <c r="E2893" s="2"/>
      <c r="F2893" s="20"/>
      <c r="G2893" s="2"/>
      <c r="H2893" s="16"/>
      <c r="I2893" s="20"/>
      <c r="J2893" s="20"/>
      <c r="K2893" s="20"/>
      <c r="L2893" s="20"/>
      <c r="M2893" s="20"/>
      <c r="N2893" s="20"/>
      <c r="O2893" s="20"/>
      <c r="P2893" s="20"/>
      <c r="Q2893" s="20"/>
      <c r="R2893" s="20"/>
      <c r="S2893" s="20"/>
      <c r="T2893" s="20"/>
      <c r="U2893" s="20"/>
      <c r="V2893" s="20"/>
      <c r="W2893" s="20"/>
      <c r="X2893" s="20"/>
      <c r="Y2893" s="20"/>
      <c r="Z2893" s="20"/>
      <c r="AA2893" s="20"/>
    </row>
    <row r="2894" spans="1:27" ht="17.399999999999999" x14ac:dyDescent="0.25">
      <c r="A2894" s="16"/>
      <c r="B2894" s="20" t="b">
        <v>0</v>
      </c>
      <c r="C2894" s="20"/>
      <c r="D2894" s="2"/>
      <c r="E2894" s="2"/>
      <c r="F2894" s="20"/>
      <c r="G2894" s="2"/>
      <c r="H2894" s="16"/>
      <c r="I2894" s="20"/>
      <c r="J2894" s="20"/>
      <c r="K2894" s="20"/>
      <c r="L2894" s="20"/>
      <c r="M2894" s="20"/>
      <c r="N2894" s="20"/>
      <c r="O2894" s="20"/>
      <c r="P2894" s="20"/>
      <c r="Q2894" s="20"/>
      <c r="R2894" s="20"/>
      <c r="S2894" s="20"/>
      <c r="T2894" s="20"/>
      <c r="U2894" s="20"/>
      <c r="V2894" s="20"/>
      <c r="W2894" s="20"/>
      <c r="X2894" s="20"/>
      <c r="Y2894" s="20"/>
      <c r="Z2894" s="20"/>
      <c r="AA2894" s="20"/>
    </row>
    <row r="2895" spans="1:27" ht="17.399999999999999" x14ac:dyDescent="0.25">
      <c r="A2895" s="16"/>
      <c r="B2895" s="20" t="b">
        <v>0</v>
      </c>
      <c r="C2895" s="20"/>
      <c r="D2895" s="2"/>
      <c r="E2895" s="2"/>
      <c r="F2895" s="20"/>
      <c r="G2895" s="2"/>
      <c r="H2895" s="16"/>
      <c r="I2895" s="20"/>
      <c r="J2895" s="20"/>
      <c r="K2895" s="20"/>
      <c r="L2895" s="20"/>
      <c r="M2895" s="20"/>
      <c r="N2895" s="20"/>
      <c r="O2895" s="20"/>
      <c r="P2895" s="20"/>
      <c r="Q2895" s="20"/>
      <c r="R2895" s="20"/>
      <c r="S2895" s="20"/>
      <c r="T2895" s="20"/>
      <c r="U2895" s="20"/>
      <c r="V2895" s="20"/>
      <c r="W2895" s="20"/>
      <c r="X2895" s="20"/>
      <c r="Y2895" s="20"/>
      <c r="Z2895" s="20"/>
      <c r="AA2895" s="20"/>
    </row>
    <row r="2896" spans="1:27" ht="17.399999999999999" x14ac:dyDescent="0.25">
      <c r="A2896" s="16"/>
      <c r="B2896" s="20" t="b">
        <v>0</v>
      </c>
      <c r="C2896" s="20"/>
      <c r="D2896" s="2"/>
      <c r="E2896" s="2"/>
      <c r="F2896" s="20"/>
      <c r="G2896" s="2"/>
      <c r="H2896" s="16"/>
      <c r="I2896" s="20"/>
      <c r="J2896" s="20"/>
      <c r="K2896" s="20"/>
      <c r="L2896" s="20"/>
      <c r="M2896" s="20"/>
      <c r="N2896" s="20"/>
      <c r="O2896" s="20"/>
      <c r="P2896" s="20"/>
      <c r="Q2896" s="20"/>
      <c r="R2896" s="20"/>
      <c r="S2896" s="20"/>
      <c r="T2896" s="20"/>
      <c r="U2896" s="20"/>
      <c r="V2896" s="20"/>
      <c r="W2896" s="20"/>
      <c r="X2896" s="20"/>
      <c r="Y2896" s="20"/>
      <c r="Z2896" s="20"/>
      <c r="AA2896" s="20"/>
    </row>
    <row r="2897" spans="1:27" ht="17.399999999999999" x14ac:dyDescent="0.25">
      <c r="A2897" s="16"/>
      <c r="B2897" s="20" t="b">
        <v>0</v>
      </c>
      <c r="C2897" s="20"/>
      <c r="D2897" s="2"/>
      <c r="E2897" s="2"/>
      <c r="F2897" s="20"/>
      <c r="G2897" s="2"/>
      <c r="H2897" s="16"/>
      <c r="I2897" s="20"/>
      <c r="J2897" s="20"/>
      <c r="K2897" s="20"/>
      <c r="L2897" s="20"/>
      <c r="M2897" s="20"/>
      <c r="N2897" s="20"/>
      <c r="O2897" s="20"/>
      <c r="P2897" s="20"/>
      <c r="Q2897" s="20"/>
      <c r="R2897" s="20"/>
      <c r="S2897" s="20"/>
      <c r="T2897" s="20"/>
      <c r="U2897" s="20"/>
      <c r="V2897" s="20"/>
      <c r="W2897" s="20"/>
      <c r="X2897" s="20"/>
      <c r="Y2897" s="20"/>
      <c r="Z2897" s="20"/>
      <c r="AA2897" s="20"/>
    </row>
    <row r="2898" spans="1:27" ht="17.399999999999999" x14ac:dyDescent="0.25">
      <c r="A2898" s="16"/>
      <c r="B2898" s="20" t="b">
        <v>0</v>
      </c>
      <c r="C2898" s="20"/>
      <c r="D2898" s="2"/>
      <c r="E2898" s="2"/>
      <c r="F2898" s="20"/>
      <c r="G2898" s="2"/>
      <c r="H2898" s="16"/>
      <c r="I2898" s="20"/>
      <c r="J2898" s="20"/>
      <c r="K2898" s="20"/>
      <c r="L2898" s="20"/>
      <c r="M2898" s="20"/>
      <c r="N2898" s="20"/>
      <c r="O2898" s="20"/>
      <c r="P2898" s="20"/>
      <c r="Q2898" s="20"/>
      <c r="R2898" s="20"/>
      <c r="S2898" s="20"/>
      <c r="T2898" s="20"/>
      <c r="U2898" s="20"/>
      <c r="V2898" s="20"/>
      <c r="W2898" s="20"/>
      <c r="X2898" s="20"/>
      <c r="Y2898" s="20"/>
      <c r="Z2898" s="20"/>
      <c r="AA2898" s="20"/>
    </row>
    <row r="2899" spans="1:27" ht="17.399999999999999" x14ac:dyDescent="0.25">
      <c r="A2899" s="16"/>
      <c r="B2899" s="20" t="b">
        <v>0</v>
      </c>
      <c r="C2899" s="20"/>
      <c r="D2899" s="2"/>
      <c r="E2899" s="2"/>
      <c r="F2899" s="20"/>
      <c r="G2899" s="2"/>
      <c r="H2899" s="16"/>
      <c r="I2899" s="20"/>
      <c r="J2899" s="20"/>
      <c r="K2899" s="20"/>
      <c r="L2899" s="20"/>
      <c r="M2899" s="20"/>
      <c r="N2899" s="20"/>
      <c r="O2899" s="20"/>
      <c r="P2899" s="20"/>
      <c r="Q2899" s="20"/>
      <c r="R2899" s="20"/>
      <c r="S2899" s="20"/>
      <c r="T2899" s="20"/>
      <c r="U2899" s="20"/>
      <c r="V2899" s="20"/>
      <c r="W2899" s="20"/>
      <c r="X2899" s="20"/>
      <c r="Y2899" s="20"/>
      <c r="Z2899" s="20"/>
      <c r="AA2899" s="20"/>
    </row>
    <row r="2900" spans="1:27" ht="17.399999999999999" x14ac:dyDescent="0.25">
      <c r="A2900" s="16"/>
      <c r="B2900" s="20" t="b">
        <v>0</v>
      </c>
      <c r="C2900" s="20"/>
      <c r="D2900" s="2"/>
      <c r="E2900" s="2"/>
      <c r="F2900" s="20"/>
      <c r="G2900" s="2"/>
      <c r="H2900" s="16"/>
      <c r="I2900" s="20"/>
      <c r="J2900" s="20"/>
      <c r="K2900" s="20"/>
      <c r="L2900" s="20"/>
      <c r="M2900" s="20"/>
      <c r="N2900" s="20"/>
      <c r="O2900" s="20"/>
      <c r="P2900" s="20"/>
      <c r="Q2900" s="20"/>
      <c r="R2900" s="20"/>
      <c r="S2900" s="20"/>
      <c r="T2900" s="20"/>
      <c r="U2900" s="20"/>
      <c r="V2900" s="20"/>
      <c r="W2900" s="20"/>
      <c r="X2900" s="20"/>
      <c r="Y2900" s="20"/>
      <c r="Z2900" s="20"/>
      <c r="AA2900" s="20"/>
    </row>
    <row r="2901" spans="1:27" ht="17.399999999999999" x14ac:dyDescent="0.25">
      <c r="A2901" s="16"/>
      <c r="B2901" s="20" t="b">
        <v>0</v>
      </c>
      <c r="C2901" s="20"/>
      <c r="D2901" s="2"/>
      <c r="E2901" s="2"/>
      <c r="F2901" s="20"/>
      <c r="G2901" s="2"/>
      <c r="H2901" s="16"/>
      <c r="I2901" s="20"/>
      <c r="J2901" s="20"/>
      <c r="K2901" s="20"/>
      <c r="L2901" s="20"/>
      <c r="M2901" s="20"/>
      <c r="N2901" s="20"/>
      <c r="O2901" s="20"/>
      <c r="P2901" s="20"/>
      <c r="Q2901" s="20"/>
      <c r="R2901" s="20"/>
      <c r="S2901" s="20"/>
      <c r="T2901" s="20"/>
      <c r="U2901" s="20"/>
      <c r="V2901" s="20"/>
      <c r="W2901" s="20"/>
      <c r="X2901" s="20"/>
      <c r="Y2901" s="20"/>
      <c r="Z2901" s="20"/>
      <c r="AA2901" s="20"/>
    </row>
    <row r="2902" spans="1:27" ht="17.399999999999999" x14ac:dyDescent="0.25">
      <c r="A2902" s="16"/>
      <c r="B2902" s="20" t="b">
        <v>0</v>
      </c>
      <c r="C2902" s="20"/>
      <c r="D2902" s="2"/>
      <c r="E2902" s="2"/>
      <c r="F2902" s="20"/>
      <c r="G2902" s="2"/>
      <c r="H2902" s="16"/>
      <c r="I2902" s="20"/>
      <c r="J2902" s="20"/>
      <c r="K2902" s="20"/>
      <c r="L2902" s="20"/>
      <c r="M2902" s="20"/>
      <c r="N2902" s="20"/>
      <c r="O2902" s="20"/>
      <c r="P2902" s="20"/>
      <c r="Q2902" s="20"/>
      <c r="R2902" s="20"/>
      <c r="S2902" s="20"/>
      <c r="T2902" s="20"/>
      <c r="U2902" s="20"/>
      <c r="V2902" s="20"/>
      <c r="W2902" s="20"/>
      <c r="X2902" s="20"/>
      <c r="Y2902" s="20"/>
      <c r="Z2902" s="20"/>
      <c r="AA2902" s="20"/>
    </row>
    <row r="2903" spans="1:27" ht="17.399999999999999" x14ac:dyDescent="0.25">
      <c r="A2903" s="16"/>
      <c r="B2903" s="20" t="b">
        <v>0</v>
      </c>
      <c r="C2903" s="20"/>
      <c r="D2903" s="2"/>
      <c r="E2903" s="2"/>
      <c r="F2903" s="20"/>
      <c r="G2903" s="2"/>
      <c r="H2903" s="16"/>
      <c r="I2903" s="20"/>
      <c r="J2903" s="20"/>
      <c r="K2903" s="20"/>
      <c r="L2903" s="20"/>
      <c r="M2903" s="20"/>
      <c r="N2903" s="20"/>
      <c r="O2903" s="20"/>
      <c r="P2903" s="20"/>
      <c r="Q2903" s="20"/>
      <c r="R2903" s="20"/>
      <c r="S2903" s="20"/>
      <c r="T2903" s="20"/>
      <c r="U2903" s="20"/>
      <c r="V2903" s="20"/>
      <c r="W2903" s="20"/>
      <c r="X2903" s="20"/>
      <c r="Y2903" s="20"/>
      <c r="Z2903" s="20"/>
      <c r="AA2903" s="20"/>
    </row>
    <row r="2904" spans="1:27" ht="17.399999999999999" x14ac:dyDescent="0.25">
      <c r="A2904" s="16"/>
      <c r="B2904" s="20" t="b">
        <v>0</v>
      </c>
      <c r="C2904" s="20"/>
      <c r="D2904" s="2"/>
      <c r="E2904" s="2"/>
      <c r="F2904" s="20"/>
      <c r="G2904" s="2"/>
      <c r="H2904" s="16"/>
      <c r="I2904" s="20"/>
      <c r="J2904" s="20"/>
      <c r="K2904" s="20"/>
      <c r="L2904" s="20"/>
      <c r="M2904" s="20"/>
      <c r="N2904" s="20"/>
      <c r="O2904" s="20"/>
      <c r="P2904" s="20"/>
      <c r="Q2904" s="20"/>
      <c r="R2904" s="20"/>
      <c r="S2904" s="20"/>
      <c r="T2904" s="20"/>
      <c r="U2904" s="20"/>
      <c r="V2904" s="20"/>
      <c r="W2904" s="20"/>
      <c r="X2904" s="20"/>
      <c r="Y2904" s="20"/>
      <c r="Z2904" s="20"/>
      <c r="AA2904" s="20"/>
    </row>
    <row r="2905" spans="1:27" ht="17.399999999999999" x14ac:dyDescent="0.25">
      <c r="A2905" s="16"/>
      <c r="B2905" s="20" t="b">
        <v>0</v>
      </c>
      <c r="C2905" s="20"/>
      <c r="D2905" s="2"/>
      <c r="E2905" s="2"/>
      <c r="F2905" s="20"/>
      <c r="G2905" s="2"/>
      <c r="H2905" s="16"/>
      <c r="I2905" s="20"/>
      <c r="J2905" s="20"/>
      <c r="K2905" s="20"/>
      <c r="L2905" s="20"/>
      <c r="M2905" s="20"/>
      <c r="N2905" s="20"/>
      <c r="O2905" s="20"/>
      <c r="P2905" s="20"/>
      <c r="Q2905" s="20"/>
      <c r="R2905" s="20"/>
      <c r="S2905" s="20"/>
      <c r="T2905" s="20"/>
      <c r="U2905" s="20"/>
      <c r="V2905" s="20"/>
      <c r="W2905" s="20"/>
      <c r="X2905" s="20"/>
      <c r="Y2905" s="20"/>
      <c r="Z2905" s="20"/>
      <c r="AA2905" s="20"/>
    </row>
    <row r="2906" spans="1:27" ht="17.399999999999999" x14ac:dyDescent="0.25">
      <c r="A2906" s="16"/>
      <c r="B2906" s="20" t="b">
        <v>0</v>
      </c>
      <c r="C2906" s="20"/>
      <c r="D2906" s="2"/>
      <c r="E2906" s="2"/>
      <c r="F2906" s="20"/>
      <c r="G2906" s="2"/>
      <c r="H2906" s="16"/>
      <c r="I2906" s="20"/>
      <c r="J2906" s="20"/>
      <c r="K2906" s="20"/>
      <c r="L2906" s="20"/>
      <c r="M2906" s="20"/>
      <c r="N2906" s="20"/>
      <c r="O2906" s="20"/>
      <c r="P2906" s="20"/>
      <c r="Q2906" s="20"/>
      <c r="R2906" s="20"/>
      <c r="S2906" s="20"/>
      <c r="T2906" s="20"/>
      <c r="U2906" s="20"/>
      <c r="V2906" s="20"/>
      <c r="W2906" s="20"/>
      <c r="X2906" s="20"/>
      <c r="Y2906" s="20"/>
      <c r="Z2906" s="20"/>
      <c r="AA2906" s="20"/>
    </row>
    <row r="2907" spans="1:27" ht="17.399999999999999" x14ac:dyDescent="0.25">
      <c r="A2907" s="16"/>
      <c r="B2907" s="20" t="b">
        <v>0</v>
      </c>
      <c r="C2907" s="20"/>
      <c r="D2907" s="2"/>
      <c r="E2907" s="2"/>
      <c r="F2907" s="20"/>
      <c r="G2907" s="2"/>
      <c r="H2907" s="16"/>
      <c r="I2907" s="20"/>
      <c r="J2907" s="20"/>
      <c r="K2907" s="20"/>
      <c r="L2907" s="20"/>
      <c r="M2907" s="20"/>
      <c r="N2907" s="20"/>
      <c r="O2907" s="20"/>
      <c r="P2907" s="20"/>
      <c r="Q2907" s="20"/>
      <c r="R2907" s="20"/>
      <c r="S2907" s="20"/>
      <c r="T2907" s="20"/>
      <c r="U2907" s="20"/>
      <c r="V2907" s="20"/>
      <c r="W2907" s="20"/>
      <c r="X2907" s="20"/>
      <c r="Y2907" s="20"/>
      <c r="Z2907" s="20"/>
      <c r="AA2907" s="20"/>
    </row>
    <row r="2908" spans="1:27" ht="17.399999999999999" x14ac:dyDescent="0.25">
      <c r="A2908" s="16"/>
      <c r="B2908" s="20" t="b">
        <v>0</v>
      </c>
      <c r="C2908" s="20"/>
      <c r="D2908" s="2"/>
      <c r="E2908" s="2"/>
      <c r="F2908" s="20"/>
      <c r="G2908" s="2"/>
      <c r="H2908" s="16"/>
      <c r="I2908" s="20"/>
      <c r="J2908" s="20"/>
      <c r="K2908" s="20"/>
      <c r="L2908" s="20"/>
      <c r="M2908" s="20"/>
      <c r="N2908" s="20"/>
      <c r="O2908" s="20"/>
      <c r="P2908" s="20"/>
      <c r="Q2908" s="20"/>
      <c r="R2908" s="20"/>
      <c r="S2908" s="20"/>
      <c r="T2908" s="20"/>
      <c r="U2908" s="20"/>
      <c r="V2908" s="20"/>
      <c r="W2908" s="20"/>
      <c r="X2908" s="20"/>
      <c r="Y2908" s="20"/>
      <c r="Z2908" s="20"/>
      <c r="AA2908" s="20"/>
    </row>
    <row r="2909" spans="1:27" ht="17.399999999999999" x14ac:dyDescent="0.25">
      <c r="A2909" s="16"/>
      <c r="B2909" s="20" t="b">
        <v>0</v>
      </c>
      <c r="C2909" s="20"/>
      <c r="D2909" s="2"/>
      <c r="E2909" s="2"/>
      <c r="F2909" s="20"/>
      <c r="G2909" s="2"/>
      <c r="H2909" s="16"/>
      <c r="I2909" s="20"/>
      <c r="J2909" s="20"/>
      <c r="K2909" s="20"/>
      <c r="L2909" s="20"/>
      <c r="M2909" s="20"/>
      <c r="N2909" s="20"/>
      <c r="O2909" s="20"/>
      <c r="P2909" s="20"/>
      <c r="Q2909" s="20"/>
      <c r="R2909" s="20"/>
      <c r="S2909" s="20"/>
      <c r="T2909" s="20"/>
      <c r="U2909" s="20"/>
      <c r="V2909" s="20"/>
      <c r="W2909" s="20"/>
      <c r="X2909" s="20"/>
      <c r="Y2909" s="20"/>
      <c r="Z2909" s="20"/>
      <c r="AA2909" s="20"/>
    </row>
    <row r="2910" spans="1:27" ht="17.399999999999999" x14ac:dyDescent="0.25">
      <c r="A2910" s="16"/>
      <c r="B2910" s="20" t="b">
        <v>0</v>
      </c>
      <c r="C2910" s="20"/>
      <c r="D2910" s="2"/>
      <c r="E2910" s="2"/>
      <c r="F2910" s="20"/>
      <c r="G2910" s="2"/>
      <c r="H2910" s="16"/>
      <c r="I2910" s="20"/>
      <c r="J2910" s="20"/>
      <c r="K2910" s="20"/>
      <c r="L2910" s="20"/>
      <c r="M2910" s="20"/>
      <c r="N2910" s="20"/>
      <c r="O2910" s="20"/>
      <c r="P2910" s="20"/>
      <c r="Q2910" s="20"/>
      <c r="R2910" s="20"/>
      <c r="S2910" s="20"/>
      <c r="T2910" s="20"/>
      <c r="U2910" s="20"/>
      <c r="V2910" s="20"/>
      <c r="W2910" s="20"/>
      <c r="X2910" s="20"/>
      <c r="Y2910" s="20"/>
      <c r="Z2910" s="20"/>
      <c r="AA2910" s="20"/>
    </row>
    <row r="2911" spans="1:27" ht="17.399999999999999" x14ac:dyDescent="0.25">
      <c r="A2911" s="16"/>
      <c r="B2911" s="20" t="b">
        <v>0</v>
      </c>
      <c r="C2911" s="20"/>
      <c r="D2911" s="2"/>
      <c r="E2911" s="2"/>
      <c r="F2911" s="20"/>
      <c r="G2911" s="2"/>
      <c r="H2911" s="16"/>
      <c r="I2911" s="20"/>
      <c r="J2911" s="20"/>
      <c r="K2911" s="20"/>
      <c r="L2911" s="20"/>
      <c r="M2911" s="20"/>
      <c r="N2911" s="20"/>
      <c r="O2911" s="20"/>
      <c r="P2911" s="20"/>
      <c r="Q2911" s="20"/>
      <c r="R2911" s="20"/>
      <c r="S2911" s="20"/>
      <c r="T2911" s="20"/>
      <c r="U2911" s="20"/>
      <c r="V2911" s="20"/>
      <c r="W2911" s="20"/>
      <c r="X2911" s="20"/>
      <c r="Y2911" s="20"/>
      <c r="Z2911" s="20"/>
      <c r="AA2911" s="20"/>
    </row>
    <row r="2912" spans="1:27" ht="17.399999999999999" x14ac:dyDescent="0.25">
      <c r="A2912" s="16"/>
      <c r="B2912" s="20" t="b">
        <v>0</v>
      </c>
      <c r="C2912" s="20"/>
      <c r="D2912" s="2"/>
      <c r="E2912" s="2"/>
      <c r="F2912" s="20"/>
      <c r="G2912" s="2"/>
      <c r="H2912" s="16"/>
      <c r="I2912" s="20"/>
      <c r="J2912" s="20"/>
      <c r="K2912" s="20"/>
      <c r="L2912" s="20"/>
      <c r="M2912" s="20"/>
      <c r="N2912" s="20"/>
      <c r="O2912" s="20"/>
      <c r="P2912" s="20"/>
      <c r="Q2912" s="20"/>
      <c r="R2912" s="20"/>
      <c r="S2912" s="20"/>
      <c r="T2912" s="20"/>
      <c r="U2912" s="20"/>
      <c r="V2912" s="20"/>
      <c r="W2912" s="20"/>
      <c r="X2912" s="20"/>
      <c r="Y2912" s="20"/>
      <c r="Z2912" s="20"/>
      <c r="AA2912" s="20"/>
    </row>
    <row r="2913" spans="1:27" ht="17.399999999999999" x14ac:dyDescent="0.25">
      <c r="A2913" s="16"/>
      <c r="B2913" s="20" t="b">
        <v>0</v>
      </c>
      <c r="C2913" s="20"/>
      <c r="D2913" s="2"/>
      <c r="E2913" s="2"/>
      <c r="F2913" s="20"/>
      <c r="G2913" s="2"/>
      <c r="H2913" s="16"/>
      <c r="I2913" s="20"/>
      <c r="J2913" s="20"/>
      <c r="K2913" s="20"/>
      <c r="L2913" s="20"/>
      <c r="M2913" s="20"/>
      <c r="N2913" s="20"/>
      <c r="O2913" s="20"/>
      <c r="P2913" s="20"/>
      <c r="Q2913" s="20"/>
      <c r="R2913" s="20"/>
      <c r="S2913" s="20"/>
      <c r="T2913" s="20"/>
      <c r="U2913" s="20"/>
      <c r="V2913" s="20"/>
      <c r="W2913" s="20"/>
      <c r="X2913" s="20"/>
      <c r="Y2913" s="20"/>
      <c r="Z2913" s="20"/>
      <c r="AA2913" s="20"/>
    </row>
    <row r="2914" spans="1:27" ht="17.399999999999999" x14ac:dyDescent="0.25">
      <c r="A2914" s="16"/>
      <c r="B2914" s="20" t="b">
        <v>0</v>
      </c>
      <c r="C2914" s="20"/>
      <c r="D2914" s="2"/>
      <c r="E2914" s="2"/>
      <c r="F2914" s="20"/>
      <c r="G2914" s="2"/>
      <c r="H2914" s="16"/>
      <c r="I2914" s="20"/>
      <c r="J2914" s="20"/>
      <c r="K2914" s="20"/>
      <c r="L2914" s="20"/>
      <c r="M2914" s="20"/>
      <c r="N2914" s="20"/>
      <c r="O2914" s="20"/>
      <c r="P2914" s="20"/>
      <c r="Q2914" s="20"/>
      <c r="R2914" s="20"/>
      <c r="S2914" s="20"/>
      <c r="T2914" s="20"/>
      <c r="U2914" s="20"/>
      <c r="V2914" s="20"/>
      <c r="W2914" s="20"/>
      <c r="X2914" s="20"/>
      <c r="Y2914" s="20"/>
      <c r="Z2914" s="20"/>
      <c r="AA2914" s="20"/>
    </row>
    <row r="2915" spans="1:27" ht="17.399999999999999" x14ac:dyDescent="0.25">
      <c r="A2915" s="16"/>
      <c r="B2915" s="20" t="b">
        <v>0</v>
      </c>
      <c r="C2915" s="20"/>
      <c r="D2915" s="2"/>
      <c r="E2915" s="2"/>
      <c r="F2915" s="20"/>
      <c r="G2915" s="2"/>
      <c r="H2915" s="16"/>
      <c r="I2915" s="20"/>
      <c r="J2915" s="20"/>
      <c r="K2915" s="20"/>
      <c r="L2915" s="20"/>
      <c r="M2915" s="20"/>
      <c r="N2915" s="20"/>
      <c r="O2915" s="20"/>
      <c r="P2915" s="20"/>
      <c r="Q2915" s="20"/>
      <c r="R2915" s="20"/>
      <c r="S2915" s="20"/>
      <c r="T2915" s="20"/>
      <c r="U2915" s="20"/>
      <c r="V2915" s="20"/>
      <c r="W2915" s="20"/>
      <c r="X2915" s="20"/>
      <c r="Y2915" s="20"/>
      <c r="Z2915" s="20"/>
      <c r="AA2915" s="20"/>
    </row>
    <row r="2916" spans="1:27" ht="17.399999999999999" x14ac:dyDescent="0.25">
      <c r="A2916" s="16"/>
      <c r="B2916" s="20" t="b">
        <v>0</v>
      </c>
      <c r="C2916" s="20"/>
      <c r="D2916" s="2"/>
      <c r="E2916" s="2"/>
      <c r="F2916" s="20"/>
      <c r="G2916" s="2"/>
      <c r="H2916" s="16"/>
      <c r="I2916" s="20"/>
      <c r="J2916" s="20"/>
      <c r="K2916" s="20"/>
      <c r="L2916" s="20"/>
      <c r="M2916" s="20"/>
      <c r="N2916" s="20"/>
      <c r="O2916" s="20"/>
      <c r="P2916" s="20"/>
      <c r="Q2916" s="20"/>
      <c r="R2916" s="20"/>
      <c r="S2916" s="20"/>
      <c r="T2916" s="20"/>
      <c r="U2916" s="20"/>
      <c r="V2916" s="20"/>
      <c r="W2916" s="20"/>
      <c r="X2916" s="20"/>
      <c r="Y2916" s="20"/>
      <c r="Z2916" s="20"/>
      <c r="AA2916" s="20"/>
    </row>
    <row r="2917" spans="1:27" ht="17.399999999999999" x14ac:dyDescent="0.25">
      <c r="A2917" s="16"/>
      <c r="B2917" s="20" t="b">
        <v>0</v>
      </c>
      <c r="C2917" s="20"/>
      <c r="D2917" s="2"/>
      <c r="E2917" s="2"/>
      <c r="F2917" s="20"/>
      <c r="G2917" s="2"/>
      <c r="H2917" s="16"/>
      <c r="I2917" s="20"/>
      <c r="J2917" s="20"/>
      <c r="K2917" s="20"/>
      <c r="L2917" s="20"/>
      <c r="M2917" s="20"/>
      <c r="N2917" s="20"/>
      <c r="O2917" s="20"/>
      <c r="P2917" s="20"/>
      <c r="Q2917" s="20"/>
      <c r="R2917" s="20"/>
      <c r="S2917" s="20"/>
      <c r="T2917" s="20"/>
      <c r="U2917" s="20"/>
      <c r="V2917" s="20"/>
      <c r="W2917" s="20"/>
      <c r="X2917" s="20"/>
      <c r="Y2917" s="20"/>
      <c r="Z2917" s="20"/>
      <c r="AA2917" s="20"/>
    </row>
    <row r="2918" spans="1:27" ht="17.399999999999999" x14ac:dyDescent="0.25">
      <c r="A2918" s="16"/>
      <c r="B2918" s="20" t="b">
        <v>0</v>
      </c>
      <c r="C2918" s="20"/>
      <c r="D2918" s="2"/>
      <c r="E2918" s="2"/>
      <c r="F2918" s="20"/>
      <c r="G2918" s="2"/>
      <c r="H2918" s="16"/>
      <c r="I2918" s="20"/>
      <c r="J2918" s="20"/>
      <c r="K2918" s="20"/>
      <c r="L2918" s="20"/>
      <c r="M2918" s="20"/>
      <c r="N2918" s="20"/>
      <c r="O2918" s="20"/>
      <c r="P2918" s="20"/>
      <c r="Q2918" s="20"/>
      <c r="R2918" s="20"/>
      <c r="S2918" s="20"/>
      <c r="T2918" s="20"/>
      <c r="U2918" s="20"/>
      <c r="V2918" s="20"/>
      <c r="W2918" s="20"/>
      <c r="X2918" s="20"/>
      <c r="Y2918" s="20"/>
      <c r="Z2918" s="20"/>
      <c r="AA2918" s="20"/>
    </row>
    <row r="2919" spans="1:27" ht="17.399999999999999" x14ac:dyDescent="0.25">
      <c r="A2919" s="16"/>
      <c r="B2919" s="20" t="b">
        <v>0</v>
      </c>
      <c r="C2919" s="20"/>
      <c r="D2919" s="2"/>
      <c r="E2919" s="2"/>
      <c r="F2919" s="20"/>
      <c r="G2919" s="2"/>
      <c r="H2919" s="16"/>
      <c r="I2919" s="20"/>
      <c r="J2919" s="20"/>
      <c r="K2919" s="20"/>
      <c r="L2919" s="20"/>
      <c r="M2919" s="20"/>
      <c r="N2919" s="20"/>
      <c r="O2919" s="20"/>
      <c r="P2919" s="20"/>
      <c r="Q2919" s="20"/>
      <c r="R2919" s="20"/>
      <c r="S2919" s="20"/>
      <c r="T2919" s="20"/>
      <c r="U2919" s="20"/>
      <c r="V2919" s="20"/>
      <c r="W2919" s="20"/>
      <c r="X2919" s="20"/>
      <c r="Y2919" s="20"/>
      <c r="Z2919" s="20"/>
      <c r="AA2919" s="20"/>
    </row>
    <row r="2920" spans="1:27" ht="17.399999999999999" x14ac:dyDescent="0.25">
      <c r="A2920" s="16"/>
      <c r="B2920" s="20" t="b">
        <v>0</v>
      </c>
      <c r="C2920" s="20"/>
      <c r="D2920" s="2"/>
      <c r="E2920" s="2"/>
      <c r="F2920" s="20"/>
      <c r="G2920" s="2"/>
      <c r="H2920" s="16"/>
      <c r="I2920" s="20"/>
      <c r="J2920" s="20"/>
      <c r="K2920" s="20"/>
      <c r="L2920" s="20"/>
      <c r="M2920" s="20"/>
      <c r="N2920" s="20"/>
      <c r="O2920" s="20"/>
      <c r="P2920" s="20"/>
      <c r="Q2920" s="20"/>
      <c r="R2920" s="20"/>
      <c r="S2920" s="20"/>
      <c r="T2920" s="20"/>
      <c r="U2920" s="20"/>
      <c r="V2920" s="20"/>
      <c r="W2920" s="20"/>
      <c r="X2920" s="20"/>
      <c r="Y2920" s="20"/>
      <c r="Z2920" s="20"/>
      <c r="AA2920" s="20"/>
    </row>
    <row r="2921" spans="1:27" ht="17.399999999999999" x14ac:dyDescent="0.25">
      <c r="A2921" s="16"/>
      <c r="B2921" s="20" t="b">
        <v>0</v>
      </c>
      <c r="C2921" s="20"/>
      <c r="D2921" s="2"/>
      <c r="E2921" s="2"/>
      <c r="F2921" s="20"/>
      <c r="G2921" s="2"/>
      <c r="H2921" s="16"/>
      <c r="I2921" s="20"/>
      <c r="J2921" s="20"/>
      <c r="K2921" s="20"/>
      <c r="L2921" s="20"/>
      <c r="M2921" s="20"/>
      <c r="N2921" s="20"/>
      <c r="O2921" s="20"/>
      <c r="P2921" s="20"/>
      <c r="Q2921" s="20"/>
      <c r="R2921" s="20"/>
      <c r="S2921" s="20"/>
      <c r="T2921" s="20"/>
      <c r="U2921" s="20"/>
      <c r="V2921" s="20"/>
      <c r="W2921" s="20"/>
      <c r="X2921" s="20"/>
      <c r="Y2921" s="20"/>
      <c r="Z2921" s="20"/>
      <c r="AA2921" s="20"/>
    </row>
    <row r="2922" spans="1:27" ht="17.399999999999999" x14ac:dyDescent="0.25">
      <c r="A2922" s="16"/>
      <c r="B2922" s="20" t="b">
        <v>0</v>
      </c>
      <c r="C2922" s="20"/>
      <c r="D2922" s="2"/>
      <c r="E2922" s="2"/>
      <c r="F2922" s="20"/>
      <c r="G2922" s="2"/>
      <c r="H2922" s="16"/>
      <c r="I2922" s="20"/>
      <c r="J2922" s="20"/>
      <c r="K2922" s="20"/>
      <c r="L2922" s="20"/>
      <c r="M2922" s="20"/>
      <c r="N2922" s="20"/>
      <c r="O2922" s="20"/>
      <c r="P2922" s="20"/>
      <c r="Q2922" s="20"/>
      <c r="R2922" s="20"/>
      <c r="S2922" s="20"/>
      <c r="T2922" s="20"/>
      <c r="U2922" s="20"/>
      <c r="V2922" s="20"/>
      <c r="W2922" s="20"/>
      <c r="X2922" s="20"/>
      <c r="Y2922" s="20"/>
      <c r="Z2922" s="20"/>
      <c r="AA2922" s="20"/>
    </row>
    <row r="2923" spans="1:27" ht="17.399999999999999" x14ac:dyDescent="0.25">
      <c r="A2923" s="16"/>
      <c r="B2923" s="20" t="b">
        <v>0</v>
      </c>
      <c r="C2923" s="20"/>
      <c r="D2923" s="2"/>
      <c r="E2923" s="2"/>
      <c r="F2923" s="20"/>
      <c r="G2923" s="2"/>
      <c r="H2923" s="16"/>
      <c r="I2923" s="20"/>
      <c r="J2923" s="20"/>
      <c r="K2923" s="20"/>
      <c r="L2923" s="20"/>
      <c r="M2923" s="20"/>
      <c r="N2923" s="20"/>
      <c r="O2923" s="20"/>
      <c r="P2923" s="20"/>
      <c r="Q2923" s="20"/>
      <c r="R2923" s="20"/>
      <c r="S2923" s="20"/>
      <c r="T2923" s="20"/>
      <c r="U2923" s="20"/>
      <c r="V2923" s="20"/>
      <c r="W2923" s="20"/>
      <c r="X2923" s="20"/>
      <c r="Y2923" s="20"/>
      <c r="Z2923" s="20"/>
      <c r="AA2923" s="20"/>
    </row>
    <row r="2924" spans="1:27" ht="17.399999999999999" x14ac:dyDescent="0.25">
      <c r="A2924" s="16"/>
      <c r="B2924" s="20" t="b">
        <v>0</v>
      </c>
      <c r="C2924" s="20"/>
      <c r="D2924" s="2"/>
      <c r="E2924" s="2"/>
      <c r="F2924" s="20"/>
      <c r="G2924" s="2"/>
      <c r="H2924" s="16"/>
      <c r="I2924" s="20"/>
      <c r="J2924" s="20"/>
      <c r="K2924" s="20"/>
      <c r="L2924" s="20"/>
      <c r="M2924" s="20"/>
      <c r="N2924" s="20"/>
      <c r="O2924" s="20"/>
      <c r="P2924" s="20"/>
      <c r="Q2924" s="20"/>
      <c r="R2924" s="20"/>
      <c r="S2924" s="20"/>
      <c r="T2924" s="20"/>
      <c r="U2924" s="20"/>
      <c r="V2924" s="20"/>
      <c r="W2924" s="20"/>
      <c r="X2924" s="20"/>
      <c r="Y2924" s="20"/>
      <c r="Z2924" s="20"/>
      <c r="AA2924" s="20"/>
    </row>
    <row r="2925" spans="1:27" ht="17.399999999999999" x14ac:dyDescent="0.25">
      <c r="A2925" s="16"/>
      <c r="B2925" s="20" t="b">
        <v>0</v>
      </c>
      <c r="C2925" s="20"/>
      <c r="D2925" s="2"/>
      <c r="E2925" s="2"/>
      <c r="F2925" s="20"/>
      <c r="G2925" s="2"/>
      <c r="H2925" s="16"/>
      <c r="I2925" s="20"/>
      <c r="J2925" s="20"/>
      <c r="K2925" s="20"/>
      <c r="L2925" s="20"/>
      <c r="M2925" s="20"/>
      <c r="N2925" s="20"/>
      <c r="O2925" s="20"/>
      <c r="P2925" s="20"/>
      <c r="Q2925" s="20"/>
      <c r="R2925" s="20"/>
      <c r="S2925" s="20"/>
      <c r="T2925" s="20"/>
      <c r="U2925" s="20"/>
      <c r="V2925" s="20"/>
      <c r="W2925" s="20"/>
      <c r="X2925" s="20"/>
      <c r="Y2925" s="20"/>
      <c r="Z2925" s="20"/>
      <c r="AA2925" s="20"/>
    </row>
    <row r="2926" spans="1:27" ht="17.399999999999999" x14ac:dyDescent="0.25">
      <c r="A2926" s="16"/>
      <c r="B2926" s="20" t="b">
        <v>0</v>
      </c>
      <c r="C2926" s="20"/>
      <c r="D2926" s="2"/>
      <c r="E2926" s="2"/>
      <c r="F2926" s="20"/>
      <c r="G2926" s="2"/>
      <c r="H2926" s="16"/>
      <c r="I2926" s="20"/>
      <c r="J2926" s="20"/>
      <c r="K2926" s="20"/>
      <c r="L2926" s="20"/>
      <c r="M2926" s="20"/>
      <c r="N2926" s="20"/>
      <c r="O2926" s="20"/>
      <c r="P2926" s="20"/>
      <c r="Q2926" s="20"/>
      <c r="R2926" s="20"/>
      <c r="S2926" s="20"/>
      <c r="T2926" s="20"/>
      <c r="U2926" s="20"/>
      <c r="V2926" s="20"/>
      <c r="W2926" s="20"/>
      <c r="X2926" s="20"/>
      <c r="Y2926" s="20"/>
      <c r="Z2926" s="20"/>
      <c r="AA2926" s="20"/>
    </row>
    <row r="2927" spans="1:27" ht="17.399999999999999" x14ac:dyDescent="0.25">
      <c r="A2927" s="16"/>
      <c r="B2927" s="20" t="b">
        <v>0</v>
      </c>
      <c r="C2927" s="20"/>
      <c r="D2927" s="2"/>
      <c r="E2927" s="2"/>
      <c r="F2927" s="20"/>
      <c r="G2927" s="2"/>
      <c r="H2927" s="16"/>
      <c r="I2927" s="20"/>
      <c r="J2927" s="20"/>
      <c r="K2927" s="20"/>
      <c r="L2927" s="20"/>
      <c r="M2927" s="20"/>
      <c r="N2927" s="20"/>
      <c r="O2927" s="20"/>
      <c r="P2927" s="20"/>
      <c r="Q2927" s="20"/>
      <c r="R2927" s="20"/>
      <c r="S2927" s="20"/>
      <c r="T2927" s="20"/>
      <c r="U2927" s="20"/>
      <c r="V2927" s="20"/>
      <c r="W2927" s="20"/>
      <c r="X2927" s="20"/>
      <c r="Y2927" s="20"/>
      <c r="Z2927" s="20"/>
      <c r="AA2927" s="20"/>
    </row>
    <row r="2928" spans="1:27" ht="17.399999999999999" x14ac:dyDescent="0.25">
      <c r="A2928" s="16"/>
      <c r="B2928" s="20" t="b">
        <v>0</v>
      </c>
      <c r="C2928" s="20"/>
      <c r="D2928" s="2"/>
      <c r="E2928" s="2"/>
      <c r="F2928" s="20"/>
      <c r="G2928" s="2"/>
      <c r="H2928" s="16"/>
      <c r="I2928" s="20"/>
      <c r="J2928" s="20"/>
      <c r="K2928" s="20"/>
      <c r="L2928" s="20"/>
      <c r="M2928" s="20"/>
      <c r="N2928" s="20"/>
      <c r="O2928" s="20"/>
      <c r="P2928" s="20"/>
      <c r="Q2928" s="20"/>
      <c r="R2928" s="20"/>
      <c r="S2928" s="20"/>
      <c r="T2928" s="20"/>
      <c r="U2928" s="20"/>
      <c r="V2928" s="20"/>
      <c r="W2928" s="20"/>
      <c r="X2928" s="20"/>
      <c r="Y2928" s="20"/>
      <c r="Z2928" s="20"/>
      <c r="AA2928" s="20"/>
    </row>
    <row r="2929" spans="1:27" ht="17.399999999999999" x14ac:dyDescent="0.25">
      <c r="A2929" s="16"/>
      <c r="B2929" s="20" t="b">
        <v>0</v>
      </c>
      <c r="C2929" s="20"/>
      <c r="D2929" s="2"/>
      <c r="E2929" s="2"/>
      <c r="F2929" s="20"/>
      <c r="G2929" s="2"/>
      <c r="H2929" s="16"/>
      <c r="I2929" s="20"/>
      <c r="J2929" s="20"/>
      <c r="K2929" s="20"/>
      <c r="L2929" s="20"/>
      <c r="M2929" s="20"/>
      <c r="N2929" s="20"/>
      <c r="O2929" s="20"/>
      <c r="P2929" s="20"/>
      <c r="Q2929" s="20"/>
      <c r="R2929" s="20"/>
      <c r="S2929" s="20"/>
      <c r="T2929" s="20"/>
      <c r="U2929" s="20"/>
      <c r="V2929" s="20"/>
      <c r="W2929" s="20"/>
      <c r="X2929" s="20"/>
      <c r="Y2929" s="20"/>
      <c r="Z2929" s="20"/>
      <c r="AA2929" s="20"/>
    </row>
    <row r="2930" spans="1:27" ht="17.399999999999999" x14ac:dyDescent="0.25">
      <c r="A2930" s="16"/>
      <c r="B2930" s="20" t="b">
        <v>0</v>
      </c>
      <c r="C2930" s="20"/>
      <c r="D2930" s="2"/>
      <c r="E2930" s="2"/>
      <c r="F2930" s="20"/>
      <c r="G2930" s="2"/>
      <c r="H2930" s="16"/>
      <c r="I2930" s="20"/>
      <c r="J2930" s="20"/>
      <c r="K2930" s="20"/>
      <c r="L2930" s="20"/>
      <c r="M2930" s="20"/>
      <c r="N2930" s="20"/>
      <c r="O2930" s="20"/>
      <c r="P2930" s="20"/>
      <c r="Q2930" s="20"/>
      <c r="R2930" s="20"/>
      <c r="S2930" s="20"/>
      <c r="T2930" s="20"/>
      <c r="U2930" s="20"/>
      <c r="V2930" s="20"/>
      <c r="W2930" s="20"/>
      <c r="X2930" s="20"/>
      <c r="Y2930" s="20"/>
      <c r="Z2930" s="20"/>
      <c r="AA2930" s="20"/>
    </row>
    <row r="2931" spans="1:27" ht="17.399999999999999" x14ac:dyDescent="0.25">
      <c r="A2931" s="16"/>
      <c r="B2931" s="20" t="b">
        <v>0</v>
      </c>
      <c r="C2931" s="20"/>
      <c r="D2931" s="2"/>
      <c r="E2931" s="2"/>
      <c r="F2931" s="20"/>
      <c r="G2931" s="2"/>
      <c r="H2931" s="16"/>
      <c r="I2931" s="20"/>
      <c r="J2931" s="20"/>
      <c r="K2931" s="20"/>
      <c r="L2931" s="20"/>
      <c r="M2931" s="20"/>
      <c r="N2931" s="20"/>
      <c r="O2931" s="20"/>
      <c r="P2931" s="20"/>
      <c r="Q2931" s="20"/>
      <c r="R2931" s="20"/>
      <c r="S2931" s="20"/>
      <c r="T2931" s="20"/>
      <c r="U2931" s="20"/>
      <c r="V2931" s="20"/>
      <c r="W2931" s="20"/>
      <c r="X2931" s="20"/>
      <c r="Y2931" s="20"/>
      <c r="Z2931" s="20"/>
      <c r="AA2931" s="20"/>
    </row>
    <row r="2932" spans="1:27" ht="17.399999999999999" x14ac:dyDescent="0.25">
      <c r="A2932" s="16"/>
      <c r="B2932" s="20" t="b">
        <v>0</v>
      </c>
      <c r="C2932" s="20"/>
      <c r="D2932" s="2"/>
      <c r="E2932" s="2"/>
      <c r="F2932" s="20"/>
      <c r="G2932" s="2"/>
      <c r="H2932" s="16"/>
      <c r="I2932" s="20"/>
      <c r="J2932" s="20"/>
      <c r="K2932" s="20"/>
      <c r="L2932" s="20"/>
      <c r="M2932" s="20"/>
      <c r="N2932" s="20"/>
      <c r="O2932" s="20"/>
      <c r="P2932" s="20"/>
      <c r="Q2932" s="20"/>
      <c r="R2932" s="20"/>
      <c r="S2932" s="20"/>
      <c r="T2932" s="20"/>
      <c r="U2932" s="20"/>
      <c r="V2932" s="20"/>
      <c r="W2932" s="20"/>
      <c r="X2932" s="20"/>
      <c r="Y2932" s="20"/>
      <c r="Z2932" s="20"/>
      <c r="AA2932" s="20"/>
    </row>
    <row r="2933" spans="1:27" ht="17.399999999999999" x14ac:dyDescent="0.25">
      <c r="A2933" s="16"/>
      <c r="B2933" s="20" t="b">
        <v>0</v>
      </c>
      <c r="C2933" s="20"/>
      <c r="D2933" s="2"/>
      <c r="E2933" s="2"/>
      <c r="F2933" s="20"/>
      <c r="G2933" s="2"/>
      <c r="H2933" s="16"/>
      <c r="I2933" s="20"/>
      <c r="J2933" s="20"/>
      <c r="K2933" s="20"/>
      <c r="L2933" s="20"/>
      <c r="M2933" s="20"/>
      <c r="N2933" s="20"/>
      <c r="O2933" s="20"/>
      <c r="P2933" s="20"/>
      <c r="Q2933" s="20"/>
      <c r="R2933" s="20"/>
      <c r="S2933" s="20"/>
      <c r="T2933" s="20"/>
      <c r="U2933" s="20"/>
      <c r="V2933" s="20"/>
      <c r="W2933" s="20"/>
      <c r="X2933" s="20"/>
      <c r="Y2933" s="20"/>
      <c r="Z2933" s="20"/>
      <c r="AA2933" s="20"/>
    </row>
    <row r="2934" spans="1:27" ht="17.399999999999999" x14ac:dyDescent="0.25">
      <c r="A2934" s="16"/>
      <c r="B2934" s="20" t="b">
        <v>0</v>
      </c>
      <c r="C2934" s="20"/>
      <c r="D2934" s="2"/>
      <c r="E2934" s="2"/>
      <c r="F2934" s="20"/>
      <c r="G2934" s="2"/>
      <c r="H2934" s="16"/>
      <c r="I2934" s="20"/>
      <c r="J2934" s="20"/>
      <c r="K2934" s="20"/>
      <c r="L2934" s="20"/>
      <c r="M2934" s="20"/>
      <c r="N2934" s="20"/>
      <c r="O2934" s="20"/>
      <c r="P2934" s="20"/>
      <c r="Q2934" s="20"/>
      <c r="R2934" s="20"/>
      <c r="S2934" s="20"/>
      <c r="T2934" s="20"/>
      <c r="U2934" s="20"/>
      <c r="V2934" s="20"/>
      <c r="W2934" s="20"/>
      <c r="X2934" s="20"/>
      <c r="Y2934" s="20"/>
      <c r="Z2934" s="20"/>
      <c r="AA2934" s="20"/>
    </row>
    <row r="2935" spans="1:27" ht="17.399999999999999" x14ac:dyDescent="0.25">
      <c r="A2935" s="16"/>
      <c r="B2935" s="20" t="b">
        <v>0</v>
      </c>
      <c r="C2935" s="20"/>
      <c r="D2935" s="2"/>
      <c r="E2935" s="2"/>
      <c r="F2935" s="20"/>
      <c r="G2935" s="2"/>
      <c r="H2935" s="16"/>
      <c r="I2935" s="20"/>
      <c r="J2935" s="20"/>
      <c r="K2935" s="20"/>
      <c r="L2935" s="20"/>
      <c r="M2935" s="20"/>
      <c r="N2935" s="20"/>
      <c r="O2935" s="20"/>
      <c r="P2935" s="20"/>
      <c r="Q2935" s="20"/>
      <c r="R2935" s="20"/>
      <c r="S2935" s="20"/>
      <c r="T2935" s="20"/>
      <c r="U2935" s="20"/>
      <c r="V2935" s="20"/>
      <c r="W2935" s="20"/>
      <c r="X2935" s="20"/>
      <c r="Y2935" s="20"/>
      <c r="Z2935" s="20"/>
      <c r="AA2935" s="20"/>
    </row>
    <row r="2936" spans="1:27" ht="17.399999999999999" x14ac:dyDescent="0.25">
      <c r="A2936" s="16"/>
      <c r="B2936" s="20" t="b">
        <v>0</v>
      </c>
      <c r="C2936" s="20"/>
      <c r="D2936" s="2"/>
      <c r="E2936" s="2"/>
      <c r="F2936" s="20"/>
      <c r="G2936" s="2"/>
      <c r="H2936" s="16"/>
      <c r="I2936" s="20"/>
      <c r="J2936" s="20"/>
      <c r="K2936" s="20"/>
      <c r="L2936" s="20"/>
      <c r="M2936" s="20"/>
      <c r="N2936" s="20"/>
      <c r="O2936" s="20"/>
      <c r="P2936" s="20"/>
      <c r="Q2936" s="20"/>
      <c r="R2936" s="20"/>
      <c r="S2936" s="20"/>
      <c r="T2936" s="20"/>
      <c r="U2936" s="20"/>
      <c r="V2936" s="20"/>
      <c r="W2936" s="20"/>
      <c r="X2936" s="20"/>
      <c r="Y2936" s="20"/>
      <c r="Z2936" s="20"/>
      <c r="AA2936" s="20"/>
    </row>
    <row r="2937" spans="1:27" ht="17.399999999999999" x14ac:dyDescent="0.25">
      <c r="A2937" s="16"/>
      <c r="B2937" s="20" t="b">
        <v>0</v>
      </c>
      <c r="C2937" s="20"/>
      <c r="D2937" s="2"/>
      <c r="E2937" s="2"/>
      <c r="F2937" s="20"/>
      <c r="G2937" s="2"/>
      <c r="H2937" s="16"/>
      <c r="I2937" s="20"/>
      <c r="J2937" s="20"/>
      <c r="K2937" s="20"/>
      <c r="L2937" s="20"/>
      <c r="M2937" s="20"/>
      <c r="N2937" s="20"/>
      <c r="O2937" s="20"/>
      <c r="P2937" s="20"/>
      <c r="Q2937" s="20"/>
      <c r="R2937" s="20"/>
      <c r="S2937" s="20"/>
      <c r="T2937" s="20"/>
      <c r="U2937" s="20"/>
      <c r="V2937" s="20"/>
      <c r="W2937" s="20"/>
      <c r="X2937" s="20"/>
      <c r="Y2937" s="20"/>
      <c r="Z2937" s="20"/>
      <c r="AA2937" s="20"/>
    </row>
    <row r="2938" spans="1:27" ht="17.399999999999999" x14ac:dyDescent="0.25">
      <c r="A2938" s="16"/>
      <c r="B2938" s="20" t="b">
        <v>0</v>
      </c>
      <c r="C2938" s="20"/>
      <c r="D2938" s="2"/>
      <c r="E2938" s="2"/>
      <c r="F2938" s="20"/>
      <c r="G2938" s="2"/>
      <c r="H2938" s="16"/>
      <c r="I2938" s="20"/>
      <c r="J2938" s="20"/>
      <c r="K2938" s="20"/>
      <c r="L2938" s="20"/>
      <c r="M2938" s="20"/>
      <c r="N2938" s="20"/>
      <c r="O2938" s="20"/>
      <c r="P2938" s="20"/>
      <c r="Q2938" s="20"/>
      <c r="R2938" s="20"/>
      <c r="S2938" s="20"/>
      <c r="T2938" s="20"/>
      <c r="U2938" s="20"/>
      <c r="V2938" s="20"/>
      <c r="W2938" s="20"/>
      <c r="X2938" s="20"/>
      <c r="Y2938" s="20"/>
      <c r="Z2938" s="20"/>
      <c r="AA2938" s="20"/>
    </row>
    <row r="2939" spans="1:27" ht="17.399999999999999" x14ac:dyDescent="0.25">
      <c r="A2939" s="16"/>
      <c r="B2939" s="20" t="b">
        <v>0</v>
      </c>
      <c r="C2939" s="20"/>
      <c r="D2939" s="2"/>
      <c r="E2939" s="2"/>
      <c r="F2939" s="20"/>
      <c r="G2939" s="2"/>
      <c r="H2939" s="16"/>
      <c r="I2939" s="20"/>
      <c r="J2939" s="20"/>
      <c r="K2939" s="20"/>
      <c r="L2939" s="20"/>
      <c r="M2939" s="20"/>
      <c r="N2939" s="20"/>
      <c r="O2939" s="20"/>
      <c r="P2939" s="20"/>
      <c r="Q2939" s="20"/>
      <c r="R2939" s="20"/>
      <c r="S2939" s="20"/>
      <c r="T2939" s="20"/>
      <c r="U2939" s="20"/>
      <c r="V2939" s="20"/>
      <c r="W2939" s="20"/>
      <c r="X2939" s="20"/>
      <c r="Y2939" s="20"/>
      <c r="Z2939" s="20"/>
      <c r="AA2939" s="20"/>
    </row>
    <row r="2940" spans="1:27" ht="17.399999999999999" x14ac:dyDescent="0.25">
      <c r="A2940" s="16"/>
      <c r="B2940" s="20" t="b">
        <v>0</v>
      </c>
      <c r="C2940" s="20"/>
      <c r="D2940" s="2"/>
      <c r="E2940" s="2"/>
      <c r="F2940" s="20"/>
      <c r="G2940" s="2"/>
      <c r="H2940" s="16"/>
      <c r="I2940" s="20"/>
      <c r="J2940" s="20"/>
      <c r="K2940" s="20"/>
      <c r="L2940" s="20"/>
      <c r="M2940" s="20"/>
      <c r="N2940" s="20"/>
      <c r="O2940" s="20"/>
      <c r="P2940" s="20"/>
      <c r="Q2940" s="20"/>
      <c r="R2940" s="20"/>
      <c r="S2940" s="20"/>
      <c r="T2940" s="20"/>
      <c r="U2940" s="20"/>
      <c r="V2940" s="20"/>
      <c r="W2940" s="20"/>
      <c r="X2940" s="20"/>
      <c r="Y2940" s="20"/>
      <c r="Z2940" s="20"/>
      <c r="AA2940" s="20"/>
    </row>
    <row r="2941" spans="1:27" ht="17.399999999999999" x14ac:dyDescent="0.25">
      <c r="A2941" s="16"/>
      <c r="B2941" s="20" t="b">
        <v>0</v>
      </c>
      <c r="C2941" s="20"/>
      <c r="D2941" s="2"/>
      <c r="E2941" s="2"/>
      <c r="F2941" s="20"/>
      <c r="G2941" s="2"/>
      <c r="H2941" s="16"/>
      <c r="I2941" s="20"/>
      <c r="J2941" s="20"/>
      <c r="K2941" s="20"/>
      <c r="L2941" s="20"/>
      <c r="M2941" s="20"/>
      <c r="N2941" s="20"/>
      <c r="O2941" s="20"/>
      <c r="P2941" s="20"/>
      <c r="Q2941" s="20"/>
      <c r="R2941" s="20"/>
      <c r="S2941" s="20"/>
      <c r="T2941" s="20"/>
      <c r="U2941" s="20"/>
      <c r="V2941" s="20"/>
      <c r="W2941" s="20"/>
      <c r="X2941" s="20"/>
      <c r="Y2941" s="20"/>
      <c r="Z2941" s="20"/>
      <c r="AA2941" s="20"/>
    </row>
    <row r="2942" spans="1:27" ht="17.399999999999999" x14ac:dyDescent="0.25">
      <c r="A2942" s="16"/>
      <c r="B2942" s="20" t="b">
        <v>0</v>
      </c>
      <c r="C2942" s="20"/>
      <c r="D2942" s="2"/>
      <c r="E2942" s="2"/>
      <c r="F2942" s="20"/>
      <c r="G2942" s="2"/>
      <c r="H2942" s="16"/>
      <c r="I2942" s="20"/>
      <c r="J2942" s="20"/>
      <c r="K2942" s="20"/>
      <c r="L2942" s="20"/>
      <c r="M2942" s="20"/>
      <c r="N2942" s="20"/>
      <c r="O2942" s="20"/>
      <c r="P2942" s="20"/>
      <c r="Q2942" s="20"/>
      <c r="R2942" s="20"/>
      <c r="S2942" s="20"/>
      <c r="T2942" s="20"/>
      <c r="U2942" s="20"/>
      <c r="V2942" s="20"/>
      <c r="W2942" s="20"/>
      <c r="X2942" s="20"/>
      <c r="Y2942" s="20"/>
      <c r="Z2942" s="20"/>
      <c r="AA2942" s="20"/>
    </row>
    <row r="2943" spans="1:27" ht="17.399999999999999" x14ac:dyDescent="0.25">
      <c r="A2943" s="16"/>
      <c r="B2943" s="20" t="b">
        <v>0</v>
      </c>
      <c r="C2943" s="20"/>
      <c r="D2943" s="2"/>
      <c r="E2943" s="2"/>
      <c r="F2943" s="20"/>
      <c r="G2943" s="2"/>
      <c r="H2943" s="16"/>
      <c r="I2943" s="20"/>
      <c r="J2943" s="20"/>
      <c r="K2943" s="20"/>
      <c r="L2943" s="20"/>
      <c r="M2943" s="20"/>
      <c r="N2943" s="20"/>
      <c r="O2943" s="20"/>
      <c r="P2943" s="20"/>
      <c r="Q2943" s="20"/>
      <c r="R2943" s="20"/>
      <c r="S2943" s="20"/>
      <c r="T2943" s="20"/>
      <c r="U2943" s="20"/>
      <c r="V2943" s="20"/>
      <c r="W2943" s="20"/>
      <c r="X2943" s="20"/>
      <c r="Y2943" s="20"/>
      <c r="Z2943" s="20"/>
      <c r="AA2943" s="20"/>
    </row>
    <row r="2944" spans="1:27" ht="17.399999999999999" x14ac:dyDescent="0.25">
      <c r="A2944" s="16"/>
      <c r="B2944" s="20" t="b">
        <v>0</v>
      </c>
      <c r="C2944" s="20"/>
      <c r="D2944" s="2"/>
      <c r="E2944" s="2"/>
      <c r="F2944" s="20"/>
      <c r="G2944" s="2"/>
      <c r="H2944" s="16"/>
      <c r="I2944" s="20"/>
      <c r="J2944" s="20"/>
      <c r="K2944" s="20"/>
      <c r="L2944" s="20"/>
      <c r="M2944" s="20"/>
      <c r="N2944" s="20"/>
      <c r="O2944" s="20"/>
      <c r="P2944" s="20"/>
      <c r="Q2944" s="20"/>
      <c r="R2944" s="20"/>
      <c r="S2944" s="20"/>
      <c r="T2944" s="20"/>
      <c r="U2944" s="20"/>
      <c r="V2944" s="20"/>
      <c r="W2944" s="20"/>
      <c r="X2944" s="20"/>
      <c r="Y2944" s="20"/>
      <c r="Z2944" s="20"/>
      <c r="AA2944" s="20"/>
    </row>
    <row r="2945" spans="1:27" ht="17.399999999999999" x14ac:dyDescent="0.25">
      <c r="A2945" s="16"/>
      <c r="B2945" s="20" t="b">
        <v>0</v>
      </c>
      <c r="C2945" s="20"/>
      <c r="D2945" s="2"/>
      <c r="E2945" s="2"/>
      <c r="F2945" s="20"/>
      <c r="G2945" s="2"/>
      <c r="H2945" s="16"/>
      <c r="I2945" s="20"/>
      <c r="J2945" s="20"/>
      <c r="K2945" s="20"/>
      <c r="L2945" s="20"/>
      <c r="M2945" s="20"/>
      <c r="N2945" s="20"/>
      <c r="O2945" s="20"/>
      <c r="P2945" s="20"/>
      <c r="Q2945" s="20"/>
      <c r="R2945" s="20"/>
      <c r="S2945" s="20"/>
      <c r="T2945" s="20"/>
      <c r="U2945" s="20"/>
      <c r="V2945" s="20"/>
      <c r="W2945" s="20"/>
      <c r="X2945" s="20"/>
      <c r="Y2945" s="20"/>
      <c r="Z2945" s="20"/>
      <c r="AA2945" s="20"/>
    </row>
    <row r="2946" spans="1:27" ht="17.399999999999999" x14ac:dyDescent="0.25">
      <c r="A2946" s="16"/>
      <c r="B2946" s="20" t="b">
        <v>0</v>
      </c>
      <c r="C2946" s="20"/>
      <c r="D2946" s="2"/>
      <c r="E2946" s="2"/>
      <c r="F2946" s="20"/>
      <c r="G2946" s="2"/>
      <c r="H2946" s="16"/>
      <c r="I2946" s="20"/>
      <c r="J2946" s="20"/>
      <c r="K2946" s="20"/>
      <c r="L2946" s="20"/>
      <c r="M2946" s="20"/>
      <c r="N2946" s="20"/>
      <c r="O2946" s="20"/>
      <c r="P2946" s="20"/>
      <c r="Q2946" s="20"/>
      <c r="R2946" s="20"/>
      <c r="S2946" s="20"/>
      <c r="T2946" s="20"/>
      <c r="U2946" s="20"/>
      <c r="V2946" s="20"/>
      <c r="W2946" s="20"/>
      <c r="X2946" s="20"/>
      <c r="Y2946" s="20"/>
      <c r="Z2946" s="20"/>
      <c r="AA2946" s="20"/>
    </row>
    <row r="2947" spans="1:27" ht="17.399999999999999" x14ac:dyDescent="0.25">
      <c r="A2947" s="16"/>
      <c r="B2947" s="20" t="b">
        <v>0</v>
      </c>
      <c r="C2947" s="20"/>
      <c r="D2947" s="2"/>
      <c r="E2947" s="2"/>
      <c r="F2947" s="20"/>
      <c r="G2947" s="2"/>
      <c r="H2947" s="16"/>
      <c r="I2947" s="20"/>
      <c r="J2947" s="20"/>
      <c r="K2947" s="20"/>
      <c r="L2947" s="20"/>
      <c r="M2947" s="20"/>
      <c r="N2947" s="20"/>
      <c r="O2947" s="20"/>
      <c r="P2947" s="20"/>
      <c r="Q2947" s="20"/>
      <c r="R2947" s="20"/>
      <c r="S2947" s="20"/>
      <c r="T2947" s="20"/>
      <c r="U2947" s="20"/>
      <c r="V2947" s="20"/>
      <c r="W2947" s="20"/>
      <c r="X2947" s="20"/>
      <c r="Y2947" s="20"/>
      <c r="Z2947" s="20"/>
      <c r="AA2947" s="20"/>
    </row>
    <row r="2948" spans="1:27" ht="17.399999999999999" x14ac:dyDescent="0.25">
      <c r="A2948" s="16"/>
      <c r="B2948" s="20" t="b">
        <v>0</v>
      </c>
      <c r="C2948" s="20"/>
      <c r="D2948" s="2"/>
      <c r="E2948" s="2"/>
      <c r="F2948" s="20"/>
      <c r="G2948" s="2"/>
      <c r="H2948" s="16"/>
      <c r="I2948" s="20"/>
      <c r="J2948" s="20"/>
      <c r="K2948" s="20"/>
      <c r="L2948" s="20"/>
      <c r="M2948" s="20"/>
      <c r="N2948" s="20"/>
      <c r="O2948" s="20"/>
      <c r="P2948" s="20"/>
      <c r="Q2948" s="20"/>
      <c r="R2948" s="20"/>
      <c r="S2948" s="20"/>
      <c r="T2948" s="20"/>
      <c r="U2948" s="20"/>
      <c r="V2948" s="20"/>
      <c r="W2948" s="20"/>
      <c r="X2948" s="20"/>
      <c r="Y2948" s="20"/>
      <c r="Z2948" s="20"/>
      <c r="AA2948" s="20"/>
    </row>
    <row r="2949" spans="1:27" ht="17.399999999999999" x14ac:dyDescent="0.25">
      <c r="A2949" s="16"/>
      <c r="B2949" s="20" t="b">
        <v>0</v>
      </c>
      <c r="C2949" s="20"/>
      <c r="D2949" s="2"/>
      <c r="E2949" s="2"/>
      <c r="F2949" s="20"/>
      <c r="G2949" s="2"/>
      <c r="H2949" s="16"/>
      <c r="I2949" s="20"/>
      <c r="J2949" s="20"/>
      <c r="K2949" s="20"/>
      <c r="L2949" s="20"/>
      <c r="M2949" s="20"/>
      <c r="N2949" s="20"/>
      <c r="O2949" s="20"/>
      <c r="P2949" s="20"/>
      <c r="Q2949" s="20"/>
      <c r="R2949" s="20"/>
      <c r="S2949" s="20"/>
      <c r="T2949" s="20"/>
      <c r="U2949" s="20"/>
      <c r="V2949" s="20"/>
      <c r="W2949" s="20"/>
      <c r="X2949" s="20"/>
      <c r="Y2949" s="20"/>
      <c r="Z2949" s="20"/>
      <c r="AA2949" s="20"/>
    </row>
    <row r="2950" spans="1:27" ht="17.399999999999999" x14ac:dyDescent="0.25">
      <c r="A2950" s="16"/>
      <c r="B2950" s="20" t="b">
        <v>0</v>
      </c>
      <c r="C2950" s="20"/>
      <c r="D2950" s="2"/>
      <c r="E2950" s="2"/>
      <c r="F2950" s="20"/>
      <c r="G2950" s="2"/>
      <c r="H2950" s="16"/>
      <c r="I2950" s="20"/>
      <c r="J2950" s="20"/>
      <c r="K2950" s="20"/>
      <c r="L2950" s="20"/>
      <c r="M2950" s="20"/>
      <c r="N2950" s="20"/>
      <c r="O2950" s="20"/>
      <c r="P2950" s="20"/>
      <c r="Q2950" s="20"/>
      <c r="R2950" s="20"/>
      <c r="S2950" s="20"/>
      <c r="T2950" s="20"/>
      <c r="U2950" s="20"/>
      <c r="V2950" s="20"/>
      <c r="W2950" s="20"/>
      <c r="X2950" s="20"/>
      <c r="Y2950" s="20"/>
      <c r="Z2950" s="20"/>
      <c r="AA2950" s="20"/>
    </row>
    <row r="2951" spans="1:27" ht="17.399999999999999" x14ac:dyDescent="0.25">
      <c r="A2951" s="16"/>
      <c r="B2951" s="20" t="b">
        <v>0</v>
      </c>
      <c r="C2951" s="20"/>
      <c r="D2951" s="2"/>
      <c r="E2951" s="2"/>
      <c r="F2951" s="20"/>
      <c r="G2951" s="2"/>
      <c r="H2951" s="16"/>
      <c r="I2951" s="20"/>
      <c r="J2951" s="20"/>
      <c r="K2951" s="20"/>
      <c r="L2951" s="20"/>
      <c r="M2951" s="20"/>
      <c r="N2951" s="20"/>
      <c r="O2951" s="20"/>
      <c r="P2951" s="20"/>
      <c r="Q2951" s="20"/>
      <c r="R2951" s="20"/>
      <c r="S2951" s="20"/>
      <c r="T2951" s="20"/>
      <c r="U2951" s="20"/>
      <c r="V2951" s="20"/>
      <c r="W2951" s="20"/>
      <c r="X2951" s="20"/>
      <c r="Y2951" s="20"/>
      <c r="Z2951" s="20"/>
      <c r="AA2951" s="20"/>
    </row>
    <row r="2952" spans="1:27" ht="17.399999999999999" x14ac:dyDescent="0.25">
      <c r="A2952" s="16"/>
      <c r="B2952" s="20" t="b">
        <v>0</v>
      </c>
      <c r="C2952" s="20"/>
      <c r="D2952" s="2"/>
      <c r="E2952" s="2"/>
      <c r="F2952" s="20"/>
      <c r="G2952" s="2"/>
      <c r="H2952" s="16"/>
      <c r="I2952" s="20"/>
      <c r="J2952" s="20"/>
      <c r="K2952" s="20"/>
      <c r="L2952" s="20"/>
      <c r="M2952" s="20"/>
      <c r="N2952" s="20"/>
      <c r="O2952" s="20"/>
      <c r="P2952" s="20"/>
      <c r="Q2952" s="20"/>
      <c r="R2952" s="20"/>
      <c r="S2952" s="20"/>
      <c r="T2952" s="20"/>
      <c r="U2952" s="20"/>
      <c r="V2952" s="20"/>
      <c r="W2952" s="20"/>
      <c r="X2952" s="20"/>
      <c r="Y2952" s="20"/>
      <c r="Z2952" s="20"/>
      <c r="AA2952" s="20"/>
    </row>
    <row r="2953" spans="1:27" ht="17.399999999999999" x14ac:dyDescent="0.25">
      <c r="A2953" s="16"/>
      <c r="B2953" s="20" t="b">
        <v>0</v>
      </c>
      <c r="C2953" s="20"/>
      <c r="D2953" s="2"/>
      <c r="E2953" s="2"/>
      <c r="F2953" s="20"/>
      <c r="G2953" s="2"/>
      <c r="H2953" s="16"/>
      <c r="I2953" s="20"/>
      <c r="J2953" s="20"/>
      <c r="K2953" s="20"/>
      <c r="L2953" s="20"/>
      <c r="M2953" s="20"/>
      <c r="N2953" s="20"/>
      <c r="O2953" s="20"/>
      <c r="P2953" s="20"/>
      <c r="Q2953" s="20"/>
      <c r="R2953" s="20"/>
      <c r="S2953" s="20"/>
      <c r="T2953" s="20"/>
      <c r="U2953" s="20"/>
      <c r="V2953" s="20"/>
      <c r="W2953" s="20"/>
      <c r="X2953" s="20"/>
      <c r="Y2953" s="20"/>
      <c r="Z2953" s="20"/>
      <c r="AA2953" s="20"/>
    </row>
    <row r="2954" spans="1:27" ht="17.399999999999999" x14ac:dyDescent="0.25">
      <c r="A2954" s="16"/>
      <c r="B2954" s="20" t="b">
        <v>0</v>
      </c>
      <c r="C2954" s="20"/>
      <c r="D2954" s="2"/>
      <c r="E2954" s="2"/>
      <c r="F2954" s="20"/>
      <c r="G2954" s="2"/>
      <c r="H2954" s="16"/>
      <c r="I2954" s="20"/>
      <c r="J2954" s="20"/>
      <c r="K2954" s="20"/>
      <c r="L2954" s="20"/>
      <c r="M2954" s="20"/>
      <c r="N2954" s="20"/>
      <c r="O2954" s="20"/>
      <c r="P2954" s="20"/>
      <c r="Q2954" s="20"/>
      <c r="R2954" s="20"/>
      <c r="S2954" s="20"/>
      <c r="T2954" s="20"/>
      <c r="U2954" s="20"/>
      <c r="V2954" s="20"/>
      <c r="W2954" s="20"/>
      <c r="X2954" s="20"/>
      <c r="Y2954" s="20"/>
      <c r="Z2954" s="20"/>
      <c r="AA2954" s="20"/>
    </row>
    <row r="2955" spans="1:27" ht="17.399999999999999" x14ac:dyDescent="0.25">
      <c r="A2955" s="16"/>
      <c r="B2955" s="20" t="b">
        <v>0</v>
      </c>
      <c r="C2955" s="20"/>
      <c r="D2955" s="2"/>
      <c r="E2955" s="2"/>
      <c r="F2955" s="20"/>
      <c r="G2955" s="2"/>
      <c r="H2955" s="16"/>
      <c r="I2955" s="20"/>
      <c r="J2955" s="20"/>
      <c r="K2955" s="20"/>
      <c r="L2955" s="20"/>
      <c r="M2955" s="20"/>
      <c r="N2955" s="20"/>
      <c r="O2955" s="20"/>
      <c r="P2955" s="20"/>
      <c r="Q2955" s="20"/>
      <c r="R2955" s="20"/>
      <c r="S2955" s="20"/>
      <c r="T2955" s="20"/>
      <c r="U2955" s="20"/>
      <c r="V2955" s="20"/>
      <c r="W2955" s="20"/>
      <c r="X2955" s="20"/>
      <c r="Y2955" s="20"/>
      <c r="Z2955" s="20"/>
      <c r="AA2955" s="20"/>
    </row>
    <row r="2956" spans="1:27" ht="17.399999999999999" x14ac:dyDescent="0.25">
      <c r="A2956" s="16"/>
      <c r="B2956" s="20" t="b">
        <v>0</v>
      </c>
      <c r="C2956" s="20"/>
      <c r="D2956" s="2"/>
      <c r="E2956" s="2"/>
      <c r="F2956" s="20"/>
      <c r="G2956" s="2"/>
      <c r="H2956" s="16"/>
      <c r="I2956" s="20"/>
      <c r="J2956" s="20"/>
      <c r="K2956" s="20"/>
      <c r="L2956" s="20"/>
      <c r="M2956" s="20"/>
      <c r="N2956" s="20"/>
      <c r="O2956" s="20"/>
      <c r="P2956" s="20"/>
      <c r="Q2956" s="20"/>
      <c r="R2956" s="20"/>
      <c r="S2956" s="20"/>
      <c r="T2956" s="20"/>
      <c r="U2956" s="20"/>
      <c r="V2956" s="20"/>
      <c r="W2956" s="20"/>
      <c r="X2956" s="20"/>
      <c r="Y2956" s="20"/>
      <c r="Z2956" s="20"/>
      <c r="AA2956" s="20"/>
    </row>
    <row r="2957" spans="1:27" ht="17.399999999999999" x14ac:dyDescent="0.25">
      <c r="A2957" s="16"/>
      <c r="B2957" s="20" t="b">
        <v>0</v>
      </c>
      <c r="C2957" s="20"/>
      <c r="D2957" s="2"/>
      <c r="E2957" s="2"/>
      <c r="F2957" s="20"/>
      <c r="G2957" s="2"/>
      <c r="H2957" s="16"/>
      <c r="I2957" s="20"/>
      <c r="J2957" s="20"/>
      <c r="K2957" s="20"/>
      <c r="L2957" s="20"/>
      <c r="M2957" s="20"/>
      <c r="N2957" s="20"/>
      <c r="O2957" s="20"/>
      <c r="P2957" s="20"/>
      <c r="Q2957" s="20"/>
      <c r="R2957" s="20"/>
      <c r="S2957" s="20"/>
      <c r="T2957" s="20"/>
      <c r="U2957" s="20"/>
      <c r="V2957" s="20"/>
      <c r="W2957" s="20"/>
      <c r="X2957" s="20"/>
      <c r="Y2957" s="20"/>
      <c r="Z2957" s="20"/>
      <c r="AA2957" s="20"/>
    </row>
    <row r="2958" spans="1:27" ht="17.399999999999999" x14ac:dyDescent="0.25">
      <c r="A2958" s="16"/>
      <c r="B2958" s="20" t="b">
        <v>0</v>
      </c>
      <c r="C2958" s="20"/>
      <c r="D2958" s="2"/>
      <c r="E2958" s="2"/>
      <c r="F2958" s="20"/>
      <c r="G2958" s="2"/>
      <c r="H2958" s="16"/>
      <c r="I2958" s="20"/>
      <c r="J2958" s="20"/>
      <c r="K2958" s="20"/>
      <c r="L2958" s="20"/>
      <c r="M2958" s="20"/>
      <c r="N2958" s="20"/>
      <c r="O2958" s="20"/>
      <c r="P2958" s="20"/>
      <c r="Q2958" s="20"/>
      <c r="R2958" s="20"/>
      <c r="S2958" s="20"/>
      <c r="T2958" s="20"/>
      <c r="U2958" s="20"/>
      <c r="V2958" s="20"/>
      <c r="W2958" s="20"/>
      <c r="X2958" s="20"/>
      <c r="Y2958" s="20"/>
      <c r="Z2958" s="20"/>
      <c r="AA2958" s="20"/>
    </row>
    <row r="2959" spans="1:27" ht="17.399999999999999" x14ac:dyDescent="0.25">
      <c r="A2959" s="16"/>
      <c r="B2959" s="20" t="b">
        <v>0</v>
      </c>
      <c r="C2959" s="20"/>
      <c r="D2959" s="2"/>
      <c r="E2959" s="2"/>
      <c r="F2959" s="20"/>
      <c r="G2959" s="2"/>
      <c r="H2959" s="16"/>
      <c r="I2959" s="20"/>
      <c r="J2959" s="20"/>
      <c r="K2959" s="20"/>
      <c r="L2959" s="20"/>
      <c r="M2959" s="20"/>
      <c r="N2959" s="20"/>
      <c r="O2959" s="20"/>
      <c r="P2959" s="20"/>
      <c r="Q2959" s="20"/>
      <c r="R2959" s="20"/>
      <c r="S2959" s="20"/>
      <c r="T2959" s="20"/>
      <c r="U2959" s="20"/>
      <c r="V2959" s="20"/>
      <c r="W2959" s="20"/>
      <c r="X2959" s="20"/>
      <c r="Y2959" s="20"/>
      <c r="Z2959" s="20"/>
      <c r="AA2959" s="20"/>
    </row>
    <row r="2960" spans="1:27" ht="17.399999999999999" x14ac:dyDescent="0.25">
      <c r="A2960" s="16"/>
      <c r="B2960" s="20" t="b">
        <v>0</v>
      </c>
      <c r="C2960" s="20"/>
      <c r="D2960" s="2"/>
      <c r="E2960" s="2"/>
      <c r="F2960" s="20"/>
      <c r="G2960" s="2"/>
      <c r="H2960" s="16"/>
      <c r="I2960" s="20"/>
      <c r="J2960" s="20"/>
      <c r="K2960" s="20"/>
      <c r="L2960" s="20"/>
      <c r="M2960" s="20"/>
      <c r="N2960" s="20"/>
      <c r="O2960" s="20"/>
      <c r="P2960" s="20"/>
      <c r="Q2960" s="20"/>
      <c r="R2960" s="20"/>
      <c r="S2960" s="20"/>
      <c r="T2960" s="20"/>
      <c r="U2960" s="20"/>
      <c r="V2960" s="20"/>
      <c r="W2960" s="20"/>
      <c r="X2960" s="20"/>
      <c r="Y2960" s="20"/>
      <c r="Z2960" s="20"/>
      <c r="AA2960" s="20"/>
    </row>
    <row r="2961" spans="1:27" ht="17.399999999999999" x14ac:dyDescent="0.25">
      <c r="A2961" s="16"/>
      <c r="B2961" s="20" t="b">
        <v>0</v>
      </c>
      <c r="C2961" s="20"/>
      <c r="D2961" s="2"/>
      <c r="E2961" s="2"/>
      <c r="F2961" s="20"/>
      <c r="G2961" s="2"/>
      <c r="H2961" s="16"/>
      <c r="I2961" s="20"/>
      <c r="J2961" s="20"/>
      <c r="K2961" s="20"/>
      <c r="L2961" s="20"/>
      <c r="M2961" s="20"/>
      <c r="N2961" s="20"/>
      <c r="O2961" s="20"/>
      <c r="P2961" s="20"/>
      <c r="Q2961" s="20"/>
      <c r="R2961" s="20"/>
      <c r="S2961" s="20"/>
      <c r="T2961" s="20"/>
      <c r="U2961" s="20"/>
      <c r="V2961" s="20"/>
      <c r="W2961" s="20"/>
      <c r="X2961" s="20"/>
      <c r="Y2961" s="20"/>
      <c r="Z2961" s="20"/>
      <c r="AA2961" s="20"/>
    </row>
    <row r="2962" spans="1:27" ht="17.399999999999999" x14ac:dyDescent="0.25">
      <c r="A2962" s="16"/>
      <c r="B2962" s="20" t="b">
        <v>0</v>
      </c>
      <c r="C2962" s="20"/>
      <c r="D2962" s="2"/>
      <c r="E2962" s="2"/>
      <c r="F2962" s="20"/>
      <c r="G2962" s="2"/>
      <c r="H2962" s="16"/>
      <c r="I2962" s="20"/>
      <c r="J2962" s="20"/>
      <c r="K2962" s="20"/>
      <c r="L2962" s="20"/>
      <c r="M2962" s="20"/>
      <c r="N2962" s="20"/>
      <c r="O2962" s="20"/>
      <c r="P2962" s="20"/>
      <c r="Q2962" s="20"/>
      <c r="R2962" s="20"/>
      <c r="S2962" s="20"/>
      <c r="T2962" s="20"/>
      <c r="U2962" s="20"/>
      <c r="V2962" s="20"/>
      <c r="W2962" s="20"/>
      <c r="X2962" s="20"/>
      <c r="Y2962" s="20"/>
      <c r="Z2962" s="20"/>
      <c r="AA2962" s="20"/>
    </row>
    <row r="2963" spans="1:27" ht="17.399999999999999" x14ac:dyDescent="0.25">
      <c r="A2963" s="16"/>
      <c r="B2963" s="20" t="b">
        <v>0</v>
      </c>
      <c r="C2963" s="20"/>
      <c r="D2963" s="2"/>
      <c r="E2963" s="2"/>
      <c r="F2963" s="20"/>
      <c r="G2963" s="2"/>
      <c r="H2963" s="16"/>
      <c r="I2963" s="20"/>
      <c r="J2963" s="20"/>
      <c r="K2963" s="20"/>
      <c r="L2963" s="20"/>
      <c r="M2963" s="20"/>
      <c r="N2963" s="20"/>
      <c r="O2963" s="20"/>
      <c r="P2963" s="20"/>
      <c r="Q2963" s="20"/>
      <c r="R2963" s="20"/>
      <c r="S2963" s="20"/>
      <c r="T2963" s="20"/>
      <c r="U2963" s="20"/>
      <c r="V2963" s="20"/>
      <c r="W2963" s="20"/>
      <c r="X2963" s="20"/>
      <c r="Y2963" s="20"/>
      <c r="Z2963" s="20"/>
      <c r="AA2963" s="20"/>
    </row>
    <row r="2964" spans="1:27" ht="17.399999999999999" x14ac:dyDescent="0.25">
      <c r="A2964" s="16"/>
      <c r="B2964" s="20" t="b">
        <v>0</v>
      </c>
      <c r="C2964" s="20"/>
      <c r="D2964" s="2"/>
      <c r="E2964" s="2"/>
      <c r="F2964" s="20"/>
      <c r="G2964" s="2"/>
      <c r="H2964" s="16"/>
      <c r="I2964" s="20"/>
      <c r="J2964" s="20"/>
      <c r="K2964" s="20"/>
      <c r="L2964" s="20"/>
      <c r="M2964" s="20"/>
      <c r="N2964" s="20"/>
      <c r="O2964" s="20"/>
      <c r="P2964" s="20"/>
      <c r="Q2964" s="20"/>
      <c r="R2964" s="20"/>
      <c r="S2964" s="20"/>
      <c r="T2964" s="20"/>
      <c r="U2964" s="20"/>
      <c r="V2964" s="20"/>
      <c r="W2964" s="20"/>
      <c r="X2964" s="20"/>
      <c r="Y2964" s="20"/>
      <c r="Z2964" s="20"/>
      <c r="AA2964" s="20"/>
    </row>
    <row r="2965" spans="1:27" ht="17.399999999999999" x14ac:dyDescent="0.25">
      <c r="A2965" s="16"/>
      <c r="B2965" s="20" t="b">
        <v>0</v>
      </c>
      <c r="C2965" s="20"/>
      <c r="D2965" s="2"/>
      <c r="E2965" s="2"/>
      <c r="F2965" s="20"/>
      <c r="G2965" s="2"/>
      <c r="H2965" s="16"/>
      <c r="I2965" s="20"/>
      <c r="J2965" s="20"/>
      <c r="K2965" s="20"/>
      <c r="L2965" s="20"/>
      <c r="M2965" s="20"/>
      <c r="N2965" s="20"/>
      <c r="O2965" s="20"/>
      <c r="P2965" s="20"/>
      <c r="Q2965" s="20"/>
      <c r="R2965" s="20"/>
      <c r="S2965" s="20"/>
      <c r="T2965" s="20"/>
      <c r="U2965" s="20"/>
      <c r="V2965" s="20"/>
      <c r="W2965" s="20"/>
      <c r="X2965" s="20"/>
      <c r="Y2965" s="20"/>
      <c r="Z2965" s="20"/>
      <c r="AA2965" s="20"/>
    </row>
    <row r="2966" spans="1:27" ht="17.399999999999999" x14ac:dyDescent="0.25">
      <c r="A2966" s="16"/>
      <c r="B2966" s="20" t="b">
        <v>0</v>
      </c>
      <c r="C2966" s="20"/>
      <c r="D2966" s="2"/>
      <c r="E2966" s="2"/>
      <c r="F2966" s="20"/>
      <c r="G2966" s="2"/>
      <c r="H2966" s="16"/>
      <c r="I2966" s="20"/>
      <c r="J2966" s="20"/>
      <c r="K2966" s="20"/>
      <c r="L2966" s="20"/>
      <c r="M2966" s="20"/>
      <c r="N2966" s="20"/>
      <c r="O2966" s="20"/>
      <c r="P2966" s="20"/>
      <c r="Q2966" s="20"/>
      <c r="R2966" s="20"/>
      <c r="S2966" s="20"/>
      <c r="T2966" s="20"/>
      <c r="U2966" s="20"/>
      <c r="V2966" s="20"/>
      <c r="W2966" s="20"/>
      <c r="X2966" s="20"/>
      <c r="Y2966" s="20"/>
      <c r="Z2966" s="20"/>
      <c r="AA2966" s="20"/>
    </row>
    <row r="2967" spans="1:27" ht="17.399999999999999" x14ac:dyDescent="0.25">
      <c r="A2967" s="16"/>
      <c r="B2967" s="20" t="b">
        <v>0</v>
      </c>
      <c r="C2967" s="20"/>
      <c r="D2967" s="2"/>
      <c r="E2967" s="2"/>
      <c r="F2967" s="20"/>
      <c r="G2967" s="2"/>
      <c r="H2967" s="16"/>
      <c r="I2967" s="20"/>
      <c r="J2967" s="20"/>
      <c r="K2967" s="20"/>
      <c r="L2967" s="20"/>
      <c r="M2967" s="20"/>
      <c r="N2967" s="20"/>
      <c r="O2967" s="20"/>
      <c r="P2967" s="20"/>
      <c r="Q2967" s="20"/>
      <c r="R2967" s="20"/>
      <c r="S2967" s="20"/>
      <c r="T2967" s="20"/>
      <c r="U2967" s="20"/>
      <c r="V2967" s="20"/>
      <c r="W2967" s="20"/>
      <c r="X2967" s="20"/>
      <c r="Y2967" s="20"/>
      <c r="Z2967" s="20"/>
      <c r="AA2967" s="20"/>
    </row>
    <row r="2968" spans="1:27" ht="17.399999999999999" x14ac:dyDescent="0.25">
      <c r="A2968" s="16"/>
      <c r="B2968" s="20" t="b">
        <v>0</v>
      </c>
      <c r="C2968" s="20"/>
      <c r="D2968" s="2"/>
      <c r="E2968" s="2"/>
      <c r="F2968" s="20"/>
      <c r="G2968" s="2"/>
      <c r="H2968" s="16"/>
      <c r="I2968" s="20"/>
      <c r="J2968" s="20"/>
      <c r="K2968" s="20"/>
      <c r="L2968" s="20"/>
      <c r="M2968" s="20"/>
      <c r="N2968" s="20"/>
      <c r="O2968" s="20"/>
      <c r="P2968" s="20"/>
      <c r="Q2968" s="20"/>
      <c r="R2968" s="20"/>
      <c r="S2968" s="20"/>
      <c r="T2968" s="20"/>
      <c r="U2968" s="20"/>
      <c r="V2968" s="20"/>
      <c r="W2968" s="20"/>
      <c r="X2968" s="20"/>
      <c r="Y2968" s="20"/>
      <c r="Z2968" s="20"/>
      <c r="AA2968" s="20"/>
    </row>
    <row r="2969" spans="1:27" ht="17.399999999999999" x14ac:dyDescent="0.25">
      <c r="A2969" s="16"/>
      <c r="B2969" s="20" t="b">
        <v>0</v>
      </c>
      <c r="C2969" s="20"/>
      <c r="D2969" s="2"/>
      <c r="E2969" s="2"/>
      <c r="F2969" s="20"/>
      <c r="G2969" s="2"/>
      <c r="H2969" s="16"/>
      <c r="I2969" s="20"/>
      <c r="J2969" s="20"/>
      <c r="K2969" s="20"/>
      <c r="L2969" s="20"/>
      <c r="M2969" s="20"/>
      <c r="N2969" s="20"/>
      <c r="O2969" s="20"/>
      <c r="P2969" s="20"/>
      <c r="Q2969" s="20"/>
      <c r="R2969" s="20"/>
      <c r="S2969" s="20"/>
      <c r="T2969" s="20"/>
      <c r="U2969" s="20"/>
      <c r="V2969" s="20"/>
      <c r="W2969" s="20"/>
      <c r="X2969" s="20"/>
      <c r="Y2969" s="20"/>
      <c r="Z2969" s="20"/>
      <c r="AA2969" s="20"/>
    </row>
    <row r="2970" spans="1:27" ht="17.399999999999999" x14ac:dyDescent="0.25">
      <c r="A2970" s="16"/>
      <c r="B2970" s="20" t="b">
        <v>0</v>
      </c>
      <c r="C2970" s="20"/>
      <c r="D2970" s="2"/>
      <c r="E2970" s="2"/>
      <c r="F2970" s="20"/>
      <c r="G2970" s="2"/>
      <c r="H2970" s="16"/>
      <c r="I2970" s="20"/>
      <c r="J2970" s="20"/>
      <c r="K2970" s="20"/>
      <c r="L2970" s="20"/>
      <c r="M2970" s="20"/>
      <c r="N2970" s="20"/>
      <c r="O2970" s="20"/>
      <c r="P2970" s="20"/>
      <c r="Q2970" s="20"/>
      <c r="R2970" s="20"/>
      <c r="S2970" s="20"/>
      <c r="T2970" s="20"/>
      <c r="U2970" s="20"/>
      <c r="V2970" s="20"/>
      <c r="W2970" s="20"/>
      <c r="X2970" s="20"/>
      <c r="Y2970" s="20"/>
      <c r="Z2970" s="20"/>
      <c r="AA2970" s="20"/>
    </row>
    <row r="2971" spans="1:27" ht="17.399999999999999" x14ac:dyDescent="0.25">
      <c r="A2971" s="16"/>
      <c r="B2971" s="20" t="b">
        <v>0</v>
      </c>
      <c r="C2971" s="20"/>
      <c r="D2971" s="2"/>
      <c r="E2971" s="2"/>
      <c r="F2971" s="20"/>
      <c r="G2971" s="2"/>
      <c r="H2971" s="16"/>
      <c r="I2971" s="20"/>
      <c r="J2971" s="20"/>
      <c r="K2971" s="20"/>
      <c r="L2971" s="20"/>
      <c r="M2971" s="20"/>
      <c r="N2971" s="20"/>
      <c r="O2971" s="20"/>
      <c r="P2971" s="20"/>
      <c r="Q2971" s="20"/>
      <c r="R2971" s="20"/>
      <c r="S2971" s="20"/>
      <c r="T2971" s="20"/>
      <c r="U2971" s="20"/>
      <c r="V2971" s="20"/>
      <c r="W2971" s="20"/>
      <c r="X2971" s="20"/>
      <c r="Y2971" s="20"/>
      <c r="Z2971" s="20"/>
      <c r="AA2971" s="20"/>
    </row>
    <row r="2972" spans="1:27" ht="17.399999999999999" x14ac:dyDescent="0.25">
      <c r="A2972" s="16"/>
      <c r="B2972" s="20" t="b">
        <v>0</v>
      </c>
      <c r="C2972" s="20"/>
      <c r="D2972" s="2"/>
      <c r="E2972" s="2"/>
      <c r="F2972" s="20"/>
      <c r="G2972" s="2"/>
      <c r="H2972" s="16"/>
      <c r="I2972" s="20"/>
      <c r="J2972" s="20"/>
      <c r="K2972" s="20"/>
      <c r="L2972" s="20"/>
      <c r="M2972" s="20"/>
      <c r="N2972" s="20"/>
      <c r="O2972" s="20"/>
      <c r="P2972" s="20"/>
      <c r="Q2972" s="20"/>
      <c r="R2972" s="20"/>
      <c r="S2972" s="20"/>
      <c r="T2972" s="20"/>
      <c r="U2972" s="20"/>
      <c r="V2972" s="20"/>
      <c r="W2972" s="20"/>
      <c r="X2972" s="20"/>
      <c r="Y2972" s="20"/>
      <c r="Z2972" s="20"/>
      <c r="AA2972" s="20"/>
    </row>
    <row r="2973" spans="1:27" ht="17.399999999999999" x14ac:dyDescent="0.25">
      <c r="A2973" s="16"/>
      <c r="B2973" s="20" t="b">
        <v>0</v>
      </c>
      <c r="C2973" s="20"/>
      <c r="D2973" s="2"/>
      <c r="E2973" s="2"/>
      <c r="F2973" s="20"/>
      <c r="G2973" s="2"/>
      <c r="H2973" s="16"/>
      <c r="I2973" s="20"/>
      <c r="J2973" s="20"/>
      <c r="K2973" s="20"/>
      <c r="L2973" s="20"/>
      <c r="M2973" s="20"/>
      <c r="N2973" s="20"/>
      <c r="O2973" s="20"/>
      <c r="P2973" s="20"/>
      <c r="Q2973" s="20"/>
      <c r="R2973" s="20"/>
      <c r="S2973" s="20"/>
      <c r="T2973" s="20"/>
      <c r="U2973" s="20"/>
      <c r="V2973" s="20"/>
      <c r="W2973" s="20"/>
      <c r="X2973" s="20"/>
      <c r="Y2973" s="20"/>
      <c r="Z2973" s="20"/>
      <c r="AA2973" s="20"/>
    </row>
    <row r="2974" spans="1:27" ht="17.399999999999999" x14ac:dyDescent="0.25">
      <c r="A2974" s="16"/>
      <c r="B2974" s="20" t="b">
        <v>0</v>
      </c>
      <c r="C2974" s="20"/>
      <c r="D2974" s="2"/>
      <c r="E2974" s="2"/>
      <c r="F2974" s="20"/>
      <c r="G2974" s="2"/>
      <c r="H2974" s="16"/>
      <c r="I2974" s="20"/>
      <c r="J2974" s="20"/>
      <c r="K2974" s="20"/>
      <c r="L2974" s="20"/>
      <c r="M2974" s="20"/>
      <c r="N2974" s="20"/>
      <c r="O2974" s="20"/>
      <c r="P2974" s="20"/>
      <c r="Q2974" s="20"/>
      <c r="R2974" s="20"/>
      <c r="S2974" s="20"/>
      <c r="T2974" s="20"/>
      <c r="U2974" s="20"/>
      <c r="V2974" s="20"/>
      <c r="W2974" s="20"/>
      <c r="X2974" s="20"/>
      <c r="Y2974" s="20"/>
      <c r="Z2974" s="20"/>
      <c r="AA2974" s="20"/>
    </row>
    <row r="2975" spans="1:27" ht="17.399999999999999" x14ac:dyDescent="0.25">
      <c r="A2975" s="16"/>
      <c r="B2975" s="20" t="b">
        <v>0</v>
      </c>
      <c r="C2975" s="20"/>
      <c r="D2975" s="2"/>
      <c r="E2975" s="2"/>
      <c r="F2975" s="20"/>
      <c r="G2975" s="2"/>
      <c r="H2975" s="16"/>
      <c r="I2975" s="20"/>
      <c r="J2975" s="20"/>
      <c r="K2975" s="20"/>
      <c r="L2975" s="20"/>
      <c r="M2975" s="20"/>
      <c r="N2975" s="20"/>
      <c r="O2975" s="20"/>
      <c r="P2975" s="20"/>
      <c r="Q2975" s="20"/>
      <c r="R2975" s="20"/>
      <c r="S2975" s="20"/>
      <c r="T2975" s="20"/>
      <c r="U2975" s="20"/>
      <c r="V2975" s="20"/>
      <c r="W2975" s="20"/>
      <c r="X2975" s="20"/>
      <c r="Y2975" s="20"/>
      <c r="Z2975" s="20"/>
      <c r="AA2975" s="20"/>
    </row>
    <row r="2976" spans="1:27" ht="17.399999999999999" x14ac:dyDescent="0.25">
      <c r="A2976" s="16"/>
      <c r="B2976" s="20" t="b">
        <v>0</v>
      </c>
      <c r="C2976" s="20"/>
      <c r="D2976" s="2"/>
      <c r="E2976" s="2"/>
      <c r="F2976" s="20"/>
      <c r="G2976" s="2"/>
      <c r="H2976" s="16"/>
      <c r="I2976" s="20"/>
      <c r="J2976" s="20"/>
      <c r="K2976" s="20"/>
      <c r="L2976" s="20"/>
      <c r="M2976" s="20"/>
      <c r="N2976" s="20"/>
      <c r="O2976" s="20"/>
      <c r="P2976" s="20"/>
      <c r="Q2976" s="20"/>
      <c r="R2976" s="20"/>
      <c r="S2976" s="20"/>
      <c r="T2976" s="20"/>
      <c r="U2976" s="20"/>
      <c r="V2976" s="20"/>
      <c r="W2976" s="20"/>
      <c r="X2976" s="20"/>
      <c r="Y2976" s="20"/>
      <c r="Z2976" s="20"/>
      <c r="AA2976" s="20"/>
    </row>
    <row r="2977" spans="1:27" ht="17.399999999999999" x14ac:dyDescent="0.25">
      <c r="A2977" s="16"/>
      <c r="B2977" s="20" t="b">
        <v>0</v>
      </c>
      <c r="C2977" s="20"/>
      <c r="D2977" s="2"/>
      <c r="E2977" s="2"/>
      <c r="F2977" s="20"/>
      <c r="G2977" s="2"/>
      <c r="H2977" s="16"/>
      <c r="I2977" s="20"/>
      <c r="J2977" s="20"/>
      <c r="K2977" s="20"/>
      <c r="L2977" s="20"/>
      <c r="M2977" s="20"/>
      <c r="N2977" s="20"/>
      <c r="O2977" s="20"/>
      <c r="P2977" s="20"/>
      <c r="Q2977" s="20"/>
      <c r="R2977" s="20"/>
      <c r="S2977" s="20"/>
      <c r="T2977" s="20"/>
      <c r="U2977" s="20"/>
      <c r="V2977" s="20"/>
      <c r="W2977" s="20"/>
      <c r="X2977" s="20"/>
      <c r="Y2977" s="20"/>
      <c r="Z2977" s="20"/>
      <c r="AA2977" s="20"/>
    </row>
    <row r="2978" spans="1:27" ht="17.399999999999999" x14ac:dyDescent="0.25">
      <c r="A2978" s="16"/>
      <c r="B2978" s="20" t="b">
        <v>0</v>
      </c>
      <c r="C2978" s="20"/>
      <c r="D2978" s="2"/>
      <c r="E2978" s="2"/>
      <c r="F2978" s="20"/>
      <c r="G2978" s="2"/>
      <c r="H2978" s="16"/>
      <c r="I2978" s="20"/>
      <c r="J2978" s="20"/>
      <c r="K2978" s="20"/>
      <c r="L2978" s="20"/>
      <c r="M2978" s="20"/>
      <c r="N2978" s="20"/>
      <c r="O2978" s="20"/>
      <c r="P2978" s="20"/>
      <c r="Q2978" s="20"/>
      <c r="R2978" s="20"/>
      <c r="S2978" s="20"/>
      <c r="T2978" s="20"/>
      <c r="U2978" s="20"/>
      <c r="V2978" s="20"/>
      <c r="W2978" s="20"/>
      <c r="X2978" s="20"/>
      <c r="Y2978" s="20"/>
      <c r="Z2978" s="20"/>
      <c r="AA2978" s="20"/>
    </row>
    <row r="2979" spans="1:27" ht="17.399999999999999" x14ac:dyDescent="0.25">
      <c r="A2979" s="16"/>
      <c r="B2979" s="20" t="b">
        <v>0</v>
      </c>
      <c r="C2979" s="20"/>
      <c r="D2979" s="2"/>
      <c r="E2979" s="2"/>
      <c r="F2979" s="20"/>
      <c r="G2979" s="2"/>
      <c r="H2979" s="16"/>
      <c r="I2979" s="20"/>
      <c r="J2979" s="20"/>
      <c r="K2979" s="20"/>
      <c r="L2979" s="20"/>
      <c r="M2979" s="20"/>
      <c r="N2979" s="20"/>
      <c r="O2979" s="20"/>
      <c r="P2979" s="20"/>
      <c r="Q2979" s="20"/>
      <c r="R2979" s="20"/>
      <c r="S2979" s="20"/>
      <c r="T2979" s="20"/>
      <c r="U2979" s="20"/>
      <c r="V2979" s="20"/>
      <c r="W2979" s="20"/>
      <c r="X2979" s="20"/>
      <c r="Y2979" s="20"/>
      <c r="Z2979" s="20"/>
      <c r="AA2979" s="20"/>
    </row>
    <row r="2980" spans="1:27" ht="17.399999999999999" x14ac:dyDescent="0.25">
      <c r="A2980" s="16"/>
      <c r="B2980" s="20" t="b">
        <v>0</v>
      </c>
      <c r="C2980" s="20"/>
      <c r="D2980" s="2"/>
      <c r="E2980" s="2"/>
      <c r="F2980" s="20"/>
      <c r="G2980" s="2"/>
      <c r="H2980" s="16"/>
      <c r="I2980" s="20"/>
      <c r="J2980" s="20"/>
      <c r="K2980" s="20"/>
      <c r="L2980" s="20"/>
      <c r="M2980" s="20"/>
      <c r="N2980" s="20"/>
      <c r="O2980" s="20"/>
      <c r="P2980" s="20"/>
      <c r="Q2980" s="20"/>
      <c r="R2980" s="20"/>
      <c r="S2980" s="20"/>
      <c r="T2980" s="20"/>
      <c r="U2980" s="20"/>
      <c r="V2980" s="20"/>
      <c r="W2980" s="20"/>
      <c r="X2980" s="20"/>
      <c r="Y2980" s="20"/>
      <c r="Z2980" s="20"/>
      <c r="AA2980" s="20"/>
    </row>
    <row r="2981" spans="1:27" ht="17.399999999999999" x14ac:dyDescent="0.25">
      <c r="A2981" s="16"/>
      <c r="B2981" s="20" t="b">
        <v>0</v>
      </c>
      <c r="C2981" s="20"/>
      <c r="D2981" s="2"/>
      <c r="E2981" s="2"/>
      <c r="F2981" s="20"/>
      <c r="G2981" s="2"/>
      <c r="H2981" s="16"/>
      <c r="I2981" s="20"/>
      <c r="J2981" s="20"/>
      <c r="K2981" s="20"/>
      <c r="L2981" s="20"/>
      <c r="M2981" s="20"/>
      <c r="N2981" s="20"/>
      <c r="O2981" s="20"/>
      <c r="P2981" s="20"/>
      <c r="Q2981" s="20"/>
      <c r="R2981" s="20"/>
      <c r="S2981" s="20"/>
      <c r="T2981" s="20"/>
      <c r="U2981" s="20"/>
      <c r="V2981" s="20"/>
      <c r="W2981" s="20"/>
      <c r="X2981" s="20"/>
      <c r="Y2981" s="20"/>
      <c r="Z2981" s="20"/>
      <c r="AA2981" s="20"/>
    </row>
    <row r="2982" spans="1:27" ht="17.399999999999999" x14ac:dyDescent="0.25">
      <c r="A2982" s="16"/>
      <c r="B2982" s="20" t="b">
        <v>0</v>
      </c>
      <c r="C2982" s="20"/>
      <c r="D2982" s="2"/>
      <c r="E2982" s="2"/>
      <c r="F2982" s="20"/>
      <c r="G2982" s="2"/>
      <c r="H2982" s="16"/>
      <c r="I2982" s="20"/>
      <c r="J2982" s="20"/>
      <c r="K2982" s="20"/>
      <c r="L2982" s="20"/>
      <c r="M2982" s="20"/>
      <c r="N2982" s="20"/>
      <c r="O2982" s="20"/>
      <c r="P2982" s="20"/>
      <c r="Q2982" s="20"/>
      <c r="R2982" s="20"/>
      <c r="S2982" s="20"/>
      <c r="T2982" s="20"/>
      <c r="U2982" s="20"/>
      <c r="V2982" s="20"/>
      <c r="W2982" s="20"/>
      <c r="X2982" s="20"/>
      <c r="Y2982" s="20"/>
      <c r="Z2982" s="20"/>
      <c r="AA2982" s="20"/>
    </row>
    <row r="2983" spans="1:27" ht="17.399999999999999" x14ac:dyDescent="0.25">
      <c r="A2983" s="16"/>
      <c r="B2983" s="20" t="b">
        <v>0</v>
      </c>
      <c r="C2983" s="20"/>
      <c r="D2983" s="2"/>
      <c r="E2983" s="2"/>
      <c r="F2983" s="20"/>
      <c r="G2983" s="2"/>
      <c r="H2983" s="16"/>
      <c r="I2983" s="20"/>
      <c r="J2983" s="20"/>
      <c r="K2983" s="20"/>
      <c r="L2983" s="20"/>
      <c r="M2983" s="20"/>
      <c r="N2983" s="20"/>
      <c r="O2983" s="20"/>
      <c r="P2983" s="20"/>
      <c r="Q2983" s="20"/>
      <c r="R2983" s="20"/>
      <c r="S2983" s="20"/>
      <c r="T2983" s="20"/>
      <c r="U2983" s="20"/>
      <c r="V2983" s="20"/>
      <c r="W2983" s="20"/>
      <c r="X2983" s="20"/>
      <c r="Y2983" s="20"/>
      <c r="Z2983" s="20"/>
      <c r="AA2983" s="20"/>
    </row>
    <row r="2984" spans="1:27" ht="17.399999999999999" x14ac:dyDescent="0.25">
      <c r="A2984" s="16"/>
      <c r="B2984" s="20" t="b">
        <v>0</v>
      </c>
      <c r="C2984" s="20"/>
      <c r="D2984" s="2"/>
      <c r="E2984" s="2"/>
      <c r="F2984" s="20"/>
      <c r="G2984" s="2"/>
      <c r="H2984" s="16"/>
      <c r="I2984" s="20"/>
      <c r="J2984" s="20"/>
      <c r="K2984" s="20"/>
      <c r="L2984" s="20"/>
      <c r="M2984" s="20"/>
      <c r="N2984" s="20"/>
      <c r="O2984" s="20"/>
      <c r="P2984" s="20"/>
      <c r="Q2984" s="20"/>
      <c r="R2984" s="20"/>
      <c r="S2984" s="20"/>
      <c r="T2984" s="20"/>
      <c r="U2984" s="20"/>
      <c r="V2984" s="20"/>
      <c r="W2984" s="20"/>
      <c r="X2984" s="20"/>
      <c r="Y2984" s="20"/>
      <c r="Z2984" s="20"/>
      <c r="AA2984" s="20"/>
    </row>
    <row r="2985" spans="1:27" ht="17.399999999999999" x14ac:dyDescent="0.25">
      <c r="A2985" s="16"/>
      <c r="B2985" s="20" t="b">
        <v>0</v>
      </c>
      <c r="C2985" s="20"/>
      <c r="D2985" s="2"/>
      <c r="E2985" s="2"/>
      <c r="F2985" s="20"/>
      <c r="G2985" s="2"/>
      <c r="H2985" s="16"/>
      <c r="I2985" s="20"/>
      <c r="J2985" s="20"/>
      <c r="K2985" s="20"/>
      <c r="L2985" s="20"/>
      <c r="M2985" s="20"/>
      <c r="N2985" s="20"/>
      <c r="O2985" s="20"/>
      <c r="P2985" s="20"/>
      <c r="Q2985" s="20"/>
      <c r="R2985" s="20"/>
      <c r="S2985" s="20"/>
      <c r="T2985" s="20"/>
      <c r="U2985" s="20"/>
      <c r="V2985" s="20"/>
      <c r="W2985" s="20"/>
      <c r="X2985" s="20"/>
      <c r="Y2985" s="20"/>
      <c r="Z2985" s="20"/>
      <c r="AA2985" s="20"/>
    </row>
    <row r="2986" spans="1:27" ht="17.399999999999999" x14ac:dyDescent="0.25">
      <c r="A2986" s="16"/>
      <c r="B2986" s="20" t="b">
        <v>0</v>
      </c>
      <c r="C2986" s="20"/>
      <c r="D2986" s="2"/>
      <c r="E2986" s="2"/>
      <c r="F2986" s="20"/>
      <c r="G2986" s="2"/>
      <c r="H2986" s="16"/>
      <c r="I2986" s="20"/>
      <c r="J2986" s="20"/>
      <c r="K2986" s="20"/>
      <c r="L2986" s="20"/>
      <c r="M2986" s="20"/>
      <c r="N2986" s="20"/>
      <c r="O2986" s="20"/>
      <c r="P2986" s="20"/>
      <c r="Q2986" s="20"/>
      <c r="R2986" s="20"/>
      <c r="S2986" s="20"/>
      <c r="T2986" s="20"/>
      <c r="U2986" s="20"/>
      <c r="V2986" s="20"/>
      <c r="W2986" s="20"/>
      <c r="X2986" s="20"/>
      <c r="Y2986" s="20"/>
      <c r="Z2986" s="20"/>
      <c r="AA2986" s="20"/>
    </row>
    <row r="2987" spans="1:27" ht="17.399999999999999" x14ac:dyDescent="0.25">
      <c r="A2987" s="16"/>
      <c r="B2987" s="20" t="b">
        <v>0</v>
      </c>
      <c r="C2987" s="20"/>
      <c r="D2987" s="2"/>
      <c r="E2987" s="2"/>
      <c r="F2987" s="20"/>
      <c r="G2987" s="2"/>
      <c r="H2987" s="16"/>
      <c r="I2987" s="20"/>
      <c r="J2987" s="20"/>
      <c r="K2987" s="20"/>
      <c r="L2987" s="20"/>
      <c r="M2987" s="20"/>
      <c r="N2987" s="20"/>
      <c r="O2987" s="20"/>
      <c r="P2987" s="20"/>
      <c r="Q2987" s="20"/>
      <c r="R2987" s="20"/>
      <c r="S2987" s="20"/>
      <c r="T2987" s="20"/>
      <c r="U2987" s="20"/>
      <c r="V2987" s="20"/>
      <c r="W2987" s="20"/>
      <c r="X2987" s="20"/>
      <c r="Y2987" s="20"/>
      <c r="Z2987" s="20"/>
      <c r="AA2987" s="20"/>
    </row>
    <row r="2988" spans="1:27" ht="17.399999999999999" x14ac:dyDescent="0.25">
      <c r="A2988" s="16"/>
      <c r="B2988" s="20" t="b">
        <v>0</v>
      </c>
      <c r="C2988" s="20"/>
      <c r="D2988" s="2"/>
      <c r="E2988" s="2"/>
      <c r="F2988" s="20"/>
      <c r="G2988" s="2"/>
      <c r="H2988" s="16"/>
      <c r="I2988" s="20"/>
      <c r="J2988" s="20"/>
      <c r="K2988" s="20"/>
      <c r="L2988" s="20"/>
      <c r="M2988" s="20"/>
      <c r="N2988" s="20"/>
      <c r="O2988" s="20"/>
      <c r="P2988" s="20"/>
      <c r="Q2988" s="20"/>
      <c r="R2988" s="20"/>
      <c r="S2988" s="20"/>
      <c r="T2988" s="20"/>
      <c r="U2988" s="20"/>
      <c r="V2988" s="20"/>
      <c r="W2988" s="20"/>
      <c r="X2988" s="20"/>
      <c r="Y2988" s="20"/>
      <c r="Z2988" s="20"/>
      <c r="AA2988" s="20"/>
    </row>
    <row r="2989" spans="1:27" ht="17.399999999999999" x14ac:dyDescent="0.25">
      <c r="A2989" s="16"/>
      <c r="B2989" s="20" t="b">
        <v>0</v>
      </c>
      <c r="C2989" s="20"/>
      <c r="D2989" s="2"/>
      <c r="E2989" s="2"/>
      <c r="F2989" s="20"/>
      <c r="G2989" s="2"/>
      <c r="H2989" s="16"/>
      <c r="I2989" s="20"/>
      <c r="J2989" s="20"/>
      <c r="K2989" s="20"/>
      <c r="L2989" s="20"/>
      <c r="M2989" s="20"/>
      <c r="N2989" s="20"/>
      <c r="O2989" s="20"/>
      <c r="P2989" s="20"/>
      <c r="Q2989" s="20"/>
      <c r="R2989" s="20"/>
      <c r="S2989" s="20"/>
      <c r="T2989" s="20"/>
      <c r="U2989" s="20"/>
      <c r="V2989" s="20"/>
      <c r="W2989" s="20"/>
      <c r="X2989" s="20"/>
      <c r="Y2989" s="20"/>
      <c r="Z2989" s="20"/>
      <c r="AA2989" s="20"/>
    </row>
    <row r="2990" spans="1:27" ht="17.399999999999999" x14ac:dyDescent="0.25">
      <c r="A2990" s="16"/>
      <c r="B2990" s="20" t="b">
        <v>0</v>
      </c>
      <c r="C2990" s="20"/>
      <c r="D2990" s="2"/>
      <c r="E2990" s="2"/>
      <c r="F2990" s="20"/>
      <c r="G2990" s="2"/>
      <c r="H2990" s="16"/>
      <c r="I2990" s="20"/>
      <c r="J2990" s="20"/>
      <c r="K2990" s="20"/>
      <c r="L2990" s="20"/>
      <c r="M2990" s="20"/>
      <c r="N2990" s="20"/>
      <c r="O2990" s="20"/>
      <c r="P2990" s="20"/>
      <c r="Q2990" s="20"/>
      <c r="R2990" s="20"/>
      <c r="S2990" s="20"/>
      <c r="T2990" s="20"/>
      <c r="U2990" s="20"/>
      <c r="V2990" s="20"/>
      <c r="W2990" s="20"/>
      <c r="X2990" s="20"/>
      <c r="Y2990" s="20"/>
      <c r="Z2990" s="20"/>
      <c r="AA2990" s="20"/>
    </row>
    <row r="2991" spans="1:27" ht="17.399999999999999" x14ac:dyDescent="0.25">
      <c r="A2991" s="16"/>
      <c r="B2991" s="20" t="b">
        <v>0</v>
      </c>
      <c r="C2991" s="20"/>
      <c r="D2991" s="2"/>
      <c r="E2991" s="2"/>
      <c r="F2991" s="20"/>
      <c r="G2991" s="2"/>
      <c r="H2991" s="16"/>
      <c r="I2991" s="20"/>
      <c r="J2991" s="20"/>
      <c r="K2991" s="20"/>
      <c r="L2991" s="20"/>
      <c r="M2991" s="20"/>
      <c r="N2991" s="20"/>
      <c r="O2991" s="20"/>
      <c r="P2991" s="20"/>
      <c r="Q2991" s="20"/>
      <c r="R2991" s="20"/>
      <c r="S2991" s="20"/>
      <c r="T2991" s="20"/>
      <c r="U2991" s="20"/>
      <c r="V2991" s="20"/>
      <c r="W2991" s="20"/>
      <c r="X2991" s="20"/>
      <c r="Y2991" s="20"/>
      <c r="Z2991" s="20"/>
      <c r="AA2991" s="20"/>
    </row>
    <row r="2992" spans="1:27" ht="17.399999999999999" x14ac:dyDescent="0.25">
      <c r="A2992" s="16"/>
      <c r="B2992" s="20" t="b">
        <v>0</v>
      </c>
      <c r="C2992" s="20"/>
      <c r="D2992" s="2"/>
      <c r="E2992" s="2"/>
      <c r="F2992" s="20"/>
      <c r="G2992" s="2"/>
      <c r="H2992" s="16"/>
      <c r="I2992" s="20"/>
      <c r="J2992" s="20"/>
      <c r="K2992" s="20"/>
      <c r="L2992" s="20"/>
      <c r="M2992" s="20"/>
      <c r="N2992" s="20"/>
      <c r="O2992" s="20"/>
      <c r="P2992" s="20"/>
      <c r="Q2992" s="20"/>
      <c r="R2992" s="20"/>
      <c r="S2992" s="20"/>
      <c r="T2992" s="20"/>
      <c r="U2992" s="20"/>
      <c r="V2992" s="20"/>
      <c r="W2992" s="20"/>
      <c r="X2992" s="20"/>
      <c r="Y2992" s="20"/>
      <c r="Z2992" s="20"/>
      <c r="AA2992" s="20"/>
    </row>
    <row r="2993" spans="1:27" ht="17.399999999999999" x14ac:dyDescent="0.25">
      <c r="A2993" s="16"/>
      <c r="B2993" s="20" t="b">
        <v>0</v>
      </c>
      <c r="C2993" s="20"/>
      <c r="D2993" s="2"/>
      <c r="E2993" s="2"/>
      <c r="F2993" s="20"/>
      <c r="G2993" s="2"/>
      <c r="H2993" s="16"/>
      <c r="I2993" s="20"/>
      <c r="J2993" s="20"/>
      <c r="K2993" s="20"/>
      <c r="L2993" s="20"/>
      <c r="M2993" s="20"/>
      <c r="N2993" s="20"/>
      <c r="O2993" s="20"/>
      <c r="P2993" s="20"/>
      <c r="Q2993" s="20"/>
      <c r="R2993" s="20"/>
      <c r="S2993" s="20"/>
      <c r="T2993" s="20"/>
      <c r="U2993" s="20"/>
      <c r="V2993" s="20"/>
      <c r="W2993" s="20"/>
      <c r="X2993" s="20"/>
      <c r="Y2993" s="20"/>
      <c r="Z2993" s="20"/>
      <c r="AA2993" s="20"/>
    </row>
    <row r="2994" spans="1:27" ht="17.399999999999999" x14ac:dyDescent="0.25">
      <c r="A2994" s="16"/>
      <c r="B2994" s="20" t="b">
        <v>0</v>
      </c>
      <c r="C2994" s="20"/>
      <c r="D2994" s="2"/>
      <c r="E2994" s="2"/>
      <c r="F2994" s="20"/>
      <c r="G2994" s="2"/>
      <c r="H2994" s="16"/>
      <c r="I2994" s="20"/>
      <c r="J2994" s="20"/>
      <c r="K2994" s="20"/>
      <c r="L2994" s="20"/>
      <c r="M2994" s="20"/>
      <c r="N2994" s="20"/>
      <c r="O2994" s="20"/>
      <c r="P2994" s="20"/>
      <c r="Q2994" s="20"/>
      <c r="R2994" s="20"/>
      <c r="S2994" s="20"/>
      <c r="T2994" s="20"/>
      <c r="U2994" s="20"/>
      <c r="V2994" s="20"/>
      <c r="W2994" s="20"/>
      <c r="X2994" s="20"/>
      <c r="Y2994" s="20"/>
      <c r="Z2994" s="20"/>
      <c r="AA2994" s="20"/>
    </row>
    <row r="2995" spans="1:27" ht="17.399999999999999" x14ac:dyDescent="0.25">
      <c r="A2995" s="16"/>
      <c r="B2995" s="20" t="b">
        <v>0</v>
      </c>
      <c r="C2995" s="20"/>
      <c r="D2995" s="2"/>
      <c r="E2995" s="2"/>
      <c r="F2995" s="20"/>
      <c r="G2995" s="2"/>
      <c r="H2995" s="16"/>
      <c r="I2995" s="20"/>
      <c r="J2995" s="20"/>
      <c r="K2995" s="20"/>
      <c r="L2995" s="20"/>
      <c r="M2995" s="20"/>
      <c r="N2995" s="20"/>
      <c r="O2995" s="20"/>
      <c r="P2995" s="20"/>
      <c r="Q2995" s="20"/>
      <c r="R2995" s="20"/>
      <c r="S2995" s="20"/>
      <c r="T2995" s="20"/>
      <c r="U2995" s="20"/>
      <c r="V2995" s="20"/>
      <c r="W2995" s="20"/>
      <c r="X2995" s="20"/>
      <c r="Y2995" s="20"/>
      <c r="Z2995" s="20"/>
      <c r="AA2995" s="20"/>
    </row>
    <row r="2996" spans="1:27" ht="17.399999999999999" x14ac:dyDescent="0.25">
      <c r="A2996" s="16"/>
      <c r="B2996" s="20" t="b">
        <v>0</v>
      </c>
      <c r="C2996" s="20"/>
      <c r="D2996" s="2"/>
      <c r="E2996" s="2"/>
      <c r="F2996" s="20"/>
      <c r="G2996" s="2"/>
      <c r="H2996" s="16"/>
      <c r="I2996" s="20"/>
      <c r="J2996" s="20"/>
      <c r="K2996" s="20"/>
      <c r="L2996" s="20"/>
      <c r="M2996" s="20"/>
      <c r="N2996" s="20"/>
      <c r="O2996" s="20"/>
      <c r="P2996" s="20"/>
      <c r="Q2996" s="20"/>
      <c r="R2996" s="20"/>
      <c r="S2996" s="20"/>
      <c r="T2996" s="20"/>
      <c r="U2996" s="20"/>
      <c r="V2996" s="20"/>
      <c r="W2996" s="20"/>
      <c r="X2996" s="20"/>
      <c r="Y2996" s="20"/>
      <c r="Z2996" s="20"/>
      <c r="AA2996" s="20"/>
    </row>
    <row r="2997" spans="1:27" ht="17.399999999999999" x14ac:dyDescent="0.25">
      <c r="A2997" s="16"/>
      <c r="B2997" s="20" t="b">
        <v>0</v>
      </c>
      <c r="C2997" s="20"/>
      <c r="D2997" s="2"/>
      <c r="E2997" s="2"/>
      <c r="F2997" s="20"/>
      <c r="G2997" s="2"/>
      <c r="H2997" s="16"/>
      <c r="I2997" s="20"/>
      <c r="J2997" s="20"/>
      <c r="K2997" s="20"/>
      <c r="L2997" s="20"/>
      <c r="M2997" s="20"/>
      <c r="N2997" s="20"/>
      <c r="O2997" s="20"/>
      <c r="P2997" s="20"/>
      <c r="Q2997" s="20"/>
      <c r="R2997" s="20"/>
      <c r="S2997" s="20"/>
      <c r="T2997" s="20"/>
      <c r="U2997" s="20"/>
      <c r="V2997" s="20"/>
      <c r="W2997" s="20"/>
      <c r="X2997" s="20"/>
      <c r="Y2997" s="20"/>
      <c r="Z2997" s="20"/>
      <c r="AA2997" s="20"/>
    </row>
    <row r="2998" spans="1:27" ht="17.399999999999999" x14ac:dyDescent="0.25">
      <c r="A2998" s="16"/>
      <c r="B2998" s="20" t="b">
        <v>0</v>
      </c>
      <c r="C2998" s="20"/>
      <c r="D2998" s="2"/>
      <c r="E2998" s="2"/>
      <c r="F2998" s="20"/>
      <c r="G2998" s="2"/>
      <c r="H2998" s="16"/>
      <c r="I2998" s="20"/>
      <c r="J2998" s="20"/>
      <c r="K2998" s="20"/>
      <c r="L2998" s="20"/>
      <c r="M2998" s="20"/>
      <c r="N2998" s="20"/>
      <c r="O2998" s="20"/>
      <c r="P2998" s="20"/>
      <c r="Q2998" s="20"/>
      <c r="R2998" s="20"/>
      <c r="S2998" s="20"/>
      <c r="T2998" s="20"/>
      <c r="U2998" s="20"/>
      <c r="V2998" s="20"/>
      <c r="W2998" s="20"/>
      <c r="X2998" s="20"/>
      <c r="Y2998" s="20"/>
      <c r="Z2998" s="20"/>
      <c r="AA2998" s="20"/>
    </row>
    <row r="2999" spans="1:27" ht="17.399999999999999" x14ac:dyDescent="0.25">
      <c r="A2999" s="16"/>
      <c r="B2999" s="20" t="b">
        <v>0</v>
      </c>
      <c r="C2999" s="20"/>
      <c r="D2999" s="2"/>
      <c r="E2999" s="2"/>
      <c r="F2999" s="20"/>
      <c r="G2999" s="2"/>
      <c r="H2999" s="16"/>
      <c r="I2999" s="20"/>
      <c r="J2999" s="20"/>
      <c r="K2999" s="20"/>
      <c r="L2999" s="20"/>
      <c r="M2999" s="20"/>
      <c r="N2999" s="20"/>
      <c r="O2999" s="20"/>
      <c r="P2999" s="20"/>
      <c r="Q2999" s="20"/>
      <c r="R2999" s="20"/>
      <c r="S2999" s="20"/>
      <c r="T2999" s="20"/>
      <c r="U2999" s="20"/>
      <c r="V2999" s="20"/>
      <c r="W2999" s="20"/>
      <c r="X2999" s="20"/>
      <c r="Y2999" s="20"/>
      <c r="Z2999" s="20"/>
      <c r="AA2999" s="20"/>
    </row>
    <row r="3000" spans="1:27" ht="17.399999999999999" x14ac:dyDescent="0.25">
      <c r="A3000" s="16"/>
      <c r="B3000" s="20" t="b">
        <v>0</v>
      </c>
      <c r="C3000" s="20"/>
      <c r="D3000" s="2"/>
      <c r="E3000" s="2"/>
      <c r="F3000" s="20"/>
      <c r="G3000" s="2"/>
      <c r="H3000" s="16"/>
      <c r="I3000" s="20"/>
      <c r="J3000" s="20"/>
      <c r="K3000" s="20"/>
      <c r="L3000" s="20"/>
      <c r="M3000" s="20"/>
      <c r="N3000" s="20"/>
      <c r="O3000" s="20"/>
      <c r="P3000" s="20"/>
      <c r="Q3000" s="20"/>
      <c r="R3000" s="20"/>
      <c r="S3000" s="20"/>
      <c r="T3000" s="20"/>
      <c r="U3000" s="20"/>
      <c r="V3000" s="20"/>
      <c r="W3000" s="20"/>
      <c r="X3000" s="20"/>
      <c r="Y3000" s="20"/>
      <c r="Z3000" s="20"/>
      <c r="AA3000" s="20"/>
    </row>
    <row r="3001" spans="1:27" ht="17.399999999999999" x14ac:dyDescent="0.25">
      <c r="A3001" s="16"/>
      <c r="B3001" s="20" t="b">
        <v>0</v>
      </c>
      <c r="C3001" s="20"/>
      <c r="D3001" s="2"/>
      <c r="E3001" s="2"/>
      <c r="F3001" s="20"/>
      <c r="G3001" s="2"/>
      <c r="H3001" s="16"/>
      <c r="I3001" s="20"/>
      <c r="J3001" s="20"/>
      <c r="K3001" s="20"/>
      <c r="L3001" s="20"/>
      <c r="M3001" s="20"/>
      <c r="N3001" s="20"/>
      <c r="O3001" s="20"/>
      <c r="P3001" s="20"/>
      <c r="Q3001" s="20"/>
      <c r="R3001" s="20"/>
      <c r="S3001" s="20"/>
      <c r="T3001" s="20"/>
      <c r="U3001" s="20"/>
      <c r="V3001" s="20"/>
      <c r="W3001" s="20"/>
      <c r="X3001" s="20"/>
      <c r="Y3001" s="20"/>
      <c r="Z3001" s="20"/>
      <c r="AA3001" s="20"/>
    </row>
    <row r="3002" spans="1:27" ht="17.399999999999999" x14ac:dyDescent="0.25">
      <c r="A3002" s="16"/>
      <c r="B3002" s="20" t="b">
        <v>0</v>
      </c>
      <c r="C3002" s="20"/>
      <c r="D3002" s="2"/>
      <c r="E3002" s="2"/>
      <c r="F3002" s="20"/>
      <c r="G3002" s="2"/>
      <c r="H3002" s="16"/>
      <c r="I3002" s="20"/>
      <c r="J3002" s="20"/>
      <c r="K3002" s="20"/>
      <c r="L3002" s="20"/>
      <c r="M3002" s="20"/>
      <c r="N3002" s="20"/>
      <c r="O3002" s="20"/>
      <c r="P3002" s="20"/>
      <c r="Q3002" s="20"/>
      <c r="R3002" s="20"/>
      <c r="S3002" s="20"/>
      <c r="T3002" s="20"/>
      <c r="U3002" s="20"/>
      <c r="V3002" s="20"/>
      <c r="W3002" s="20"/>
      <c r="X3002" s="20"/>
      <c r="Y3002" s="20"/>
      <c r="Z3002" s="20"/>
      <c r="AA3002" s="20"/>
    </row>
  </sheetData>
  <conditionalFormatting sqref="A1:A2">
    <cfRule type="expression" dxfId="28" priority="3">
      <formula>IF($D1="Purchased Perks",TRUE,FALSE)</formula>
    </cfRule>
  </conditionalFormatting>
  <conditionalFormatting sqref="F1939 F1941 F1952 F1962 A1:A2">
    <cfRule type="cellIs" dxfId="27" priority="2" operator="equal">
      <formula>"Purchased Perks"</formula>
    </cfRule>
  </conditionalFormatting>
  <conditionalFormatting sqref="F1939 F1941 F1952 F1962">
    <cfRule type="expression" dxfId="26" priority="1">
      <formula>IF($E1939="Purchased Perks",TRUE,FALSE)</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ummaryRight="0"/>
  </sheetPr>
  <dimension ref="A1:XFD2440"/>
  <sheetViews>
    <sheetView workbookViewId="0">
      <pane ySplit="4" topLeftCell="A5" activePane="bottomLeft" state="frozen"/>
      <selection pane="bottomLeft" activeCell="B6" sqref="B6"/>
    </sheetView>
  </sheetViews>
  <sheetFormatPr defaultColWidth="12.6640625" defaultRowHeight="15.75" customHeight="1" x14ac:dyDescent="0.25"/>
  <cols>
    <col min="1" max="1" width="3.21875" customWidth="1"/>
    <col min="2" max="2" width="3.33203125" customWidth="1"/>
    <col min="3" max="3" width="10" customWidth="1"/>
    <col min="4" max="4" width="7.6640625" customWidth="1"/>
    <col min="5" max="5" width="20.88671875" customWidth="1"/>
    <col min="6" max="6" width="14.77734375" customWidth="1"/>
    <col min="7" max="7" width="19.44140625" customWidth="1"/>
    <col min="8" max="8" width="105.109375" customWidth="1"/>
    <col min="9" max="9" width="3.21875" customWidth="1"/>
    <col min="16384" max="16384" width="0" hidden="1" customWidth="1"/>
  </cols>
  <sheetData>
    <row r="1" spans="1:9 16384:16384" ht="18.75" hidden="1" customHeight="1" x14ac:dyDescent="0.25">
      <c r="A1" s="16"/>
      <c r="B1" s="16"/>
      <c r="C1" s="26"/>
      <c r="D1" s="26"/>
      <c r="E1" s="26"/>
      <c r="F1" s="26"/>
      <c r="G1" s="26"/>
      <c r="H1" s="26"/>
      <c r="I1" s="5"/>
      <c r="XFD1">
        <f ca="1">IF('Roll All'!$B$4="Roll!",RAND(),RAND())</f>
        <v>0.92294133597698769</v>
      </c>
    </row>
    <row r="2" spans="1:9 16384:16384" ht="43.5" customHeight="1" x14ac:dyDescent="0.25">
      <c r="A2" s="16"/>
      <c r="B2" s="54" t="s">
        <v>52</v>
      </c>
      <c r="C2" s="40"/>
      <c r="D2" s="40"/>
      <c r="E2" s="40"/>
      <c r="F2" s="40"/>
      <c r="G2" s="40"/>
      <c r="H2" s="40"/>
      <c r="I2" s="5"/>
    </row>
    <row r="3" spans="1:9 16384:16384" ht="50.25" customHeight="1" x14ac:dyDescent="0.25">
      <c r="A3" s="16"/>
      <c r="B3" s="42" t="s">
        <v>5649</v>
      </c>
      <c r="C3" s="40"/>
      <c r="D3" s="40"/>
      <c r="E3" s="40"/>
      <c r="F3" s="40"/>
      <c r="G3" s="40"/>
      <c r="H3" s="40"/>
      <c r="I3" s="5"/>
    </row>
    <row r="4" spans="1:9 16384:16384" ht="34.799999999999997" x14ac:dyDescent="0.25">
      <c r="A4" s="16"/>
      <c r="B4" s="17">
        <f t="array" ref="B4:B72">ROW(B4:B2440)-4</f>
        <v>0</v>
      </c>
      <c r="C4" s="10" t="s">
        <v>50</v>
      </c>
      <c r="D4" s="10" t="s">
        <v>20</v>
      </c>
      <c r="E4" s="10" t="s">
        <v>21</v>
      </c>
      <c r="F4" s="10" t="s">
        <v>22</v>
      </c>
      <c r="G4" s="10" t="s">
        <v>23</v>
      </c>
      <c r="H4" s="10" t="s">
        <v>24</v>
      </c>
      <c r="I4" s="5"/>
    </row>
    <row r="5" spans="1:9 16384:16384" ht="139.19999999999999" x14ac:dyDescent="0.25">
      <c r="A5" s="16"/>
      <c r="B5" s="17">
        <v>1</v>
      </c>
      <c r="C5" s="3" t="b">
        <f ca="1">IFERROR(__xludf.DUMMYFUNCTION("sort(filter('Full Perk List'!B3:G1935,'Full Perk List'!F3:F1935=B2),1,1,2,1,3,1)"),FALSE)</f>
        <v>0</v>
      </c>
      <c r="D5" s="3">
        <f ca="1">IFERROR(__xludf.DUMMYFUNCTION("""COMPUTED_VALUE"""),0)</f>
        <v>0</v>
      </c>
      <c r="E5" s="3" t="str">
        <f ca="1">IFERROR(__xludf.DUMMYFUNCTION("""COMPUTED_VALUE"""),"Neutral Endowments")</f>
        <v>Neutral Endowments</v>
      </c>
      <c r="F5" s="3" t="str">
        <f ca="1">IFERROR(__xludf.DUMMYFUNCTION("""COMPUTED_VALUE"""),"Trials In Tainted Space")</f>
        <v>Trials In Tainted Space</v>
      </c>
      <c r="G5" s="3" t="str">
        <f ca="1">IFERROR(__xludf.DUMMYFUNCTION("""COMPUTED_VALUE"""),"Alternate Forms")</f>
        <v>Alternate Forms</v>
      </c>
      <c r="H5" s="3" t="str">
        <f ca="1">IFERROR(__xludf.DUMMYFUNCTION("""COMPUTED_VALUE"""),"There are an amazing variety of body types and changes in this universe. From bipedal to tauric to spiders, from people with wings to people with tentacle legs, every person can be different. And since you are probably not going to spend too long in a sin"&amp;"gle form, take this perk. Regardless of whatever your body has or is, you can go about your day without any more difficulty than if you were a plain old human. You could have 10 tentacle tails, or be carrying 15 babies, or be 12 feet tall, or have breasts"&amp;" the size of wine barrels that are lactating actual wine by the liter, and none of that will get in your way, or cause you pain. You also will immediately know how to control said body regardless of any changes.")</f>
        <v>There are an amazing variety of body types and changes in this universe. From bipedal to tauric to spiders, from people with wings to people with tentacle legs, every person can be different. And since you are probably not going to spend too long in a single form, take this perk. Regardless of whatever your body has or is, you can go about your day without any more difficulty than if you were a plain old human. You could have 10 tentacle tails, or be carrying 15 babies, or be 12 feet tall, or have breasts the size of wine barrels that are lactating actual wine by the liter, and none of that will get in your way, or cause you pain. You also will immediately know how to control said body regardless of any changes.</v>
      </c>
      <c r="I5" s="5"/>
    </row>
    <row r="6" spans="1:9 16384:16384" ht="121.8" x14ac:dyDescent="0.25">
      <c r="A6" s="16"/>
      <c r="B6" s="17">
        <v>2</v>
      </c>
      <c r="C6" s="4" t="b">
        <f ca="1">IFERROR(__xludf.DUMMYFUNCTION("""COMPUTED_VALUE"""),FALSE)</f>
        <v>0</v>
      </c>
      <c r="D6" s="4">
        <f ca="1">IFERROR(__xludf.DUMMYFUNCTION("""COMPUTED_VALUE"""),0)</f>
        <v>0</v>
      </c>
      <c r="E6" s="4" t="str">
        <f ca="1">IFERROR(__xludf.DUMMYFUNCTION("""COMPUTED_VALUE"""),"Non-Human Form")</f>
        <v>Non-Human Form</v>
      </c>
      <c r="F6" s="4" t="str">
        <f ca="1">IFERROR(__xludf.DUMMYFUNCTION("""COMPUTED_VALUE"""),"Although Young People Recoil from Entering the Black Magic Industry...")</f>
        <v>Although Young People Recoil from Entering the Black Magic Industry...</v>
      </c>
      <c r="G6" s="4" t="str">
        <f ca="1">IFERROR(__xludf.DUMMYFUNCTION("""COMPUTED_VALUE"""),"Alternate Forms")</f>
        <v>Alternate Forms</v>
      </c>
      <c r="H6" s="4" t="str">
        <f ca="1">IFERROR(__xludf.DUMMYFUNCTION("""COMPUTED_VALUE"""),"You now have a beastman form, ranging from the classic catboy to gator-people, basically anything on the furry scale. ")</f>
        <v xml:space="preserve">You now have a beastman form, ranging from the classic catboy to gator-people, basically anything on the furry scale. </v>
      </c>
      <c r="I6" s="5"/>
    </row>
    <row r="7" spans="1:9 16384:16384" ht="87" x14ac:dyDescent="0.25">
      <c r="A7" s="16"/>
      <c r="B7" s="17">
        <v>3</v>
      </c>
      <c r="C7" s="2" t="b">
        <f ca="1">IFERROR(__xludf.DUMMYFUNCTION("""COMPUTED_VALUE"""),FALSE)</f>
        <v>0</v>
      </c>
      <c r="D7" s="2">
        <f ca="1">IFERROR(__xludf.DUMMYFUNCTION("""COMPUTED_VALUE"""),50)</f>
        <v>50</v>
      </c>
      <c r="E7" s="2" t="str">
        <f ca="1">IFERROR(__xludf.DUMMYFUNCTION("""COMPUTED_VALUE"""),"Everyone's Self Insert")</f>
        <v>Everyone's Self Insert</v>
      </c>
      <c r="F7" s="2" t="str">
        <f ca="1">IFERROR(__xludf.DUMMYFUNCTION("""COMPUTED_VALUE"""),"Fate / Blacked")</f>
        <v>Fate / Blacked</v>
      </c>
      <c r="G7" s="2" t="str">
        <f ca="1">IFERROR(__xludf.DUMMYFUNCTION("""COMPUTED_VALUE"""),"Alternate Forms")</f>
        <v>Alternate Forms</v>
      </c>
      <c r="H7" s="2" t="str">
        <f ca="1">IFERROR(__xludf.DUMMYFUNCTION("""COMPUTED_VALUE"""),"From here on out, you are not one person, but two. You may, at any time, change your gender such that you might become your own sister or brother. You cannot change your form away from what this theoretical sibling of yours would look like, but you can ch"&amp;"oose to have the people around you acknowledge this change - or not. One day you might be a man who was a girl yesterday, the next you were always a boy. It’s a bit niche, but going from Gudao to Gudako on a whim has it’s uses.")</f>
        <v>From here on out, you are not one person, but two. You may, at any time, change your gender such that you might become your own sister or brother. You cannot change your form away from what this theoretical sibling of yours would look like, but you can choose to have the people around you acknowledge this change - or not. One day you might be a man who was a girl yesterday, the next you were always a boy. It’s a bit niche, but going from Gudao to Gudako on a whim has it’s uses.</v>
      </c>
      <c r="I7" s="5"/>
    </row>
    <row r="8" spans="1:9 16384:16384" ht="243.6" x14ac:dyDescent="0.25">
      <c r="A8" s="16"/>
      <c r="B8" s="17">
        <v>4</v>
      </c>
      <c r="C8" s="2" t="b">
        <f ca="1">IFERROR(__xludf.DUMMYFUNCTION("""COMPUTED_VALUE"""),FALSE)</f>
        <v>0</v>
      </c>
      <c r="D8" s="2">
        <f ca="1">IFERROR(__xludf.DUMMYFUNCTION("""COMPUTED_VALUE"""),100)</f>
        <v>100</v>
      </c>
      <c r="E8" s="2" t="str">
        <f ca="1">IFERROR(__xludf.DUMMYFUNCTION("""COMPUTED_VALUE"""),"[Cute] Animal Heritage")</f>
        <v>[Cute] Animal Heritage</v>
      </c>
      <c r="F8" s="2" t="str">
        <f ca="1">IFERROR(__xludf.DUMMYFUNCTION("""COMPUTED_VALUE"""),"Kemokko Zoo")</f>
        <v>Kemokko Zoo</v>
      </c>
      <c r="G8" s="2" t="str">
        <f ca="1">IFERROR(__xludf.DUMMYFUNCTION("""COMPUTED_VALUE"""),"Alternate Forms")</f>
        <v>Alternate Forms</v>
      </c>
      <c r="H8" s="2" t="str">
        <f ca="1">IFERROR(__xludf.DUMMYFUNCTION("""COMPUTED_VALUE"""),"Even when they become “human” at night, the zoo’s animals still retain some of their respective species’ physical features – and abilities, from the Viagra-like milk of camels, to the pheromones that giraffes emit through their pee, to the hyena’s retract"&amp;"able pseudopenis.
For all bodies and forms you have, special physical features and abilities associated with a specific form can now be carried over to your other forms, even if it should be impossible with your current physiology. Moreover, these featur"&amp;"es will now be undeniably cute (and sexy), no matter your form.
Please note that this only accounts for inherent, physical traits and features that naturally come with your forms; things you develop or gain on your own that aren’t part of your race’s nat"&amp;"ural life cycle do not qualify for this perk. 
In addition, when you first gain this perk, you automatically get the physical abilities of a specific, real-world animal of your choice to be shared freely across your forms.")</f>
        <v>Even when they become “human” at night, the zoo’s animals still retain some of their respective species’ physical features – and abilities, from the Viagra-like milk of camels, to the pheromones that giraffes emit through their pee, to the hyena’s retractable pseudopenis.
For all bodies and forms you have, special physical features and abilities associated with a specific form can now be carried over to your other forms, even if it should be impossible with your current physiology. Moreover, these features will now be undeniably cute (and sexy), no matter your form.
Please note that this only accounts for inherent, physical traits and features that naturally come with your forms; things you develop or gain on your own that aren’t part of your race’s natural life cycle do not qualify for this perk. 
In addition, when you first gain this perk, you automatically get the physical abilities of a specific, real-world animal of your choice to be shared freely across your forms.</v>
      </c>
      <c r="I8" s="5"/>
    </row>
    <row r="9" spans="1:9 16384:16384" ht="278.39999999999998" x14ac:dyDescent="0.25">
      <c r="A9" s="16"/>
      <c r="B9" s="17">
        <v>5</v>
      </c>
      <c r="C9" s="2" t="b">
        <f ca="1">IFERROR(__xludf.DUMMYFUNCTION("""COMPUTED_VALUE"""),FALSE)</f>
        <v>0</v>
      </c>
      <c r="D9" s="2">
        <f ca="1">IFERROR(__xludf.DUMMYFUNCTION("""COMPUTED_VALUE"""),100)</f>
        <v>100</v>
      </c>
      <c r="E9" s="2" t="str">
        <f ca="1">IFERROR(__xludf.DUMMYFUNCTION("""COMPUTED_VALUE"""),"100% Pure Human")</f>
        <v>100% Pure Human</v>
      </c>
      <c r="F9" s="2" t="str">
        <f ca="1">IFERROR(__xludf.DUMMYFUNCTION("""COMPUTED_VALUE"""),"Succubi’s Supporter")</f>
        <v>Succubi’s Supporter</v>
      </c>
      <c r="G9" s="2" t="str">
        <f ca="1">IFERROR(__xludf.DUMMYFUNCTION("""COMPUTED_VALUE"""),"Alternate Forms")</f>
        <v>Alternate Forms</v>
      </c>
      <c r="H9" s="2" t="str">
        <f ca="1">IFERROR(__xludf.DUMMYFUNCTION("""COMPUTED_VALUE"""),"You aren’t a part-succubus anymore, you’re a real human. Completely, full-fledged, one hundred percent human. Even if you very clearly aren’t a human, you still qualify as being a human whenever it is beneficial to you. People can tell that you’re a human"&amp;" upon seeing you, or a depiction of you; in this world, this will definitely attract succubi/incubi, but it may have uses on other worlds too. If you don’t look like a human, people will ignore that fact and treat you as a human being anyway.
Being a hum"&amp;"an, you are naturally attractive to non-humans of sophont-level intellect, and creatures like monster girls will definitely thirst after you as long as you find them attractive in return, even in a setting where the monster girls aren’t particularly lewd."&amp;" You are likely to receive preferential treatment, especially in a world like this one.
Finally, you are absolutely delicious, even to other humans, but especially so to
beings that consume sexual energy such as succubi. Your fluids, the taste of your cr"&amp;"otch, your scent... fortunately, it isn’t delicious in a way that inspires hunger, but lust.
You may toggle any or all of these effects on and off as you so desire.")</f>
        <v>You aren’t a part-succubus anymore, you’re a real human. Completely, full-fledged, one hundred percent human. Even if you very clearly aren’t a human, you still qualify as being a human whenever it is beneficial to you. People can tell that you’re a human upon seeing you, or a depiction of you; in this world, this will definitely attract succubi/incubi, but it may have uses on other worlds too. If you don’t look like a human, people will ignore that fact and treat you as a human being anyway.
Being a human, you are naturally attractive to non-humans of sophont-level intellect, and creatures like monster girls will definitely thirst after you as long as you find them attractive in return, even in a setting where the monster girls aren’t particularly lewd. You are likely to receive preferential treatment, especially in a world like this one.
Finally, you are absolutely delicious, even to other humans, but especially so to
beings that consume sexual energy such as succubi. Your fluids, the taste of your crotch, your scent... fortunately, it isn’t delicious in a way that inspires hunger, but lust.
You may toggle any or all of these effects on and off as you so desire.</v>
      </c>
      <c r="I9" s="5"/>
    </row>
    <row r="10" spans="1:9 16384:16384" ht="174" x14ac:dyDescent="0.25">
      <c r="A10" s="16"/>
      <c r="B10" s="17">
        <v>6</v>
      </c>
      <c r="C10" s="2" t="b">
        <f ca="1">IFERROR(__xludf.DUMMYFUNCTION("""COMPUTED_VALUE"""),FALSE)</f>
        <v>0</v>
      </c>
      <c r="D10" s="2">
        <f ca="1">IFERROR(__xludf.DUMMYFUNCTION("""COMPUTED_VALUE"""),100)</f>
        <v>100</v>
      </c>
      <c r="E10" s="2" t="str">
        <f ca="1">IFERROR(__xludf.DUMMYFUNCTION("""COMPUTED_VALUE"""),"An Orc's Body")</f>
        <v>An Orc's Body</v>
      </c>
      <c r="F10" s="2" t="str">
        <f ca="1">IFERROR(__xludf.DUMMYFUNCTION("""COMPUTED_VALUE"""),"Erona")</f>
        <v>Erona</v>
      </c>
      <c r="G10" s="2" t="str">
        <f ca="1">IFERROR(__xludf.DUMMYFUNCTION("""COMPUTED_VALUE"""),"Alternate Forms")</f>
        <v>Alternate Forms</v>
      </c>
      <c r="H10" s="2" t="str">
        <f ca="1">IFERROR(__xludf.DUMMYFUNCTION("""COMPUTED_VALUE"""),"Now most orcs may be stupid, but there is a reason why, despite most humans wishing for your kind’s extermination, that orcs have survived so long as a species. Orc bodies possess thick skin with a strength like that of steel making it so that only strong"&amp;" humans or those wielding magic can seriously hurt them. Of course, orcs also possess plenty of brute strength to go along with it, smashing down locked doors or any pitiful barricades to get to the delicious women inside. Finally, as a species corrupted "&amp;"by lust, it's no surprise that their own sexual prowess is hyper charged as well. Every orc is gifted with a massive set of genitals and, of course, in a hentai logic way, your D will just feel amazing to anyone you put it in, and issues like not fitting "&amp;"or injuring the women you give it to seem to never occur. Finally, you also have the ability to easily keep going long after most humans would have been completely exhausted.")</f>
        <v>Now most orcs may be stupid, but there is a reason why, despite most humans wishing for your kind’s extermination, that orcs have survived so long as a species. Orc bodies possess thick skin with a strength like that of steel making it so that only strong humans or those wielding magic can seriously hurt them. Of course, orcs also possess plenty of brute strength to go along with it, smashing down locked doors or any pitiful barricades to get to the delicious women inside. Finally, as a species corrupted by lust, it's no surprise that their own sexual prowess is hyper charged as well. Every orc is gifted with a massive set of genitals and, of course, in a hentai logic way, your D will just feel amazing to anyone you put it in, and issues like not fitting or injuring the women you give it to seem to never occur. Finally, you also have the ability to easily keep going long after most humans would have been completely exhausted.</v>
      </c>
      <c r="I10" s="5"/>
    </row>
    <row r="11" spans="1:9 16384:16384" ht="69.599999999999994" x14ac:dyDescent="0.25">
      <c r="A11" s="16"/>
      <c r="B11" s="17">
        <v>7</v>
      </c>
      <c r="C11" s="2" t="b">
        <f ca="1">IFERROR(__xludf.DUMMYFUNCTION("""COMPUTED_VALUE"""),FALSE)</f>
        <v>0</v>
      </c>
      <c r="D11" s="2">
        <f ca="1">IFERROR(__xludf.DUMMYFUNCTION("""COMPUTED_VALUE"""),100)</f>
        <v>100</v>
      </c>
      <c r="E11" s="2" t="str">
        <f ca="1">IFERROR(__xludf.DUMMYFUNCTION("""COMPUTED_VALUE"""),"Auto-feminisation")</f>
        <v>Auto-feminisation</v>
      </c>
      <c r="F11" s="2" t="str">
        <f ca="1">IFERROR(__xludf.DUMMYFUNCTION("""COMPUTED_VALUE"""),"Futadom World")</f>
        <v>Futadom World</v>
      </c>
      <c r="G11" s="2" t="str">
        <f ca="1">IFERROR(__xludf.DUMMYFUNCTION("""COMPUTED_VALUE"""),"Alternate Forms")</f>
        <v>Alternate Forms</v>
      </c>
      <c r="H11" s="2" t="str">
        <f ca="1">IFERROR(__xludf.DUMMYFUNCTION("""COMPUTED_VALUE"""),"In this world, masculinity is a rarity. The males considered most attractive are often those considered cutest and most feminine. Thankfully, you’re most certainly that. This perk means that any alt-form you take can, at your behest, bear an adorable, fem"&amp;"inine cuteness that can make even the ugliest ogre something people want to just sweep off their feet.")</f>
        <v>In this world, masculinity is a rarity. The males considered most attractive are often those considered cutest and most feminine. Thankfully, you’re most certainly that. This perk means that any alt-form you take can, at your behest, bear an adorable, feminine cuteness that can make even the ugliest ogre something people want to just sweep off their feet.</v>
      </c>
      <c r="I11" s="5"/>
    </row>
    <row r="12" spans="1:9 16384:16384" ht="156.6" x14ac:dyDescent="0.25">
      <c r="A12" s="16"/>
      <c r="B12" s="17">
        <v>8</v>
      </c>
      <c r="C12" s="2" t="b">
        <f ca="1">IFERROR(__xludf.DUMMYFUNCTION("""COMPUTED_VALUE"""),FALSE)</f>
        <v>0</v>
      </c>
      <c r="D12" s="2">
        <f ca="1">IFERROR(__xludf.DUMMYFUNCTION("""COMPUTED_VALUE"""),100)</f>
        <v>100</v>
      </c>
      <c r="E12" s="2" t="str">
        <f ca="1">IFERROR(__xludf.DUMMYFUNCTION("""COMPUTED_VALUE"""),"Beastkin")</f>
        <v>Beastkin</v>
      </c>
      <c r="F12" s="2" t="str">
        <f ca="1">IFERROR(__xludf.DUMMYFUNCTION("""COMPUTED_VALUE"""),"A Change of Tactics V2.2")</f>
        <v>A Change of Tactics V2.2</v>
      </c>
      <c r="G12" s="2" t="str">
        <f ca="1">IFERROR(__xludf.DUMMYFUNCTION("""COMPUTED_VALUE"""),"Alternate Forms")</f>
        <v>Alternate Forms</v>
      </c>
      <c r="H12" s="2" t="str">
        <f ca="1">IFERROR(__xludf.DUMMYFUNCTION("""COMPUTED_VALUE"""),"Beastkin are a collection of several different races known for their shapeshifting powers, such as Ylisse’s taguel, or the wolfskin and kitsune tribes native to Nohr and Hoshido. These races are nearly extinct but you count yourself among their numbers. N"&amp;"ot only is your human form supernaturally strong and tough, comparable to the physical power of the manakete race, but by using a beaststone you can transform into a mighty warbeast, augmenting your natural strengths even further still and gaining the enh"&amp;"anced senses of whatever beast you transformed into. Be wary of beastbane weapons though, for these can punch through your augmented defenses. Taking this perk also gives you a free beaststone as a fiat-backed item. Should you lose it another one will fin"&amp;"d its way into your possession by the next day.")</f>
        <v>Beastkin are a collection of several different races known for their shapeshifting powers, such as Ylisse’s taguel, or the wolfskin and kitsune tribes native to Nohr and Hoshido. These races are nearly extinct but you count yourself among their numbers. Not only is your human form supernaturally strong and tough, comparable to the physical power of the manakete race, but by using a beaststone you can transform into a mighty warbeast, augmenting your natural strengths even further still and gaining the enhanced senses of whatever beast you transformed into. Be wary of beastbane weapons though, for these can punch through your augmented defenses. Taking this perk also gives you a free beaststone as a fiat-backed item. Should you lose it another one will find its way into your possession by the next day.</v>
      </c>
      <c r="I12" s="5"/>
    </row>
    <row r="13" spans="1:9 16384:16384" ht="52.2" x14ac:dyDescent="0.25">
      <c r="A13" s="16"/>
      <c r="B13" s="17">
        <v>9</v>
      </c>
      <c r="C13" s="2" t="b">
        <f ca="1">IFERROR(__xludf.DUMMYFUNCTION("""COMPUTED_VALUE"""),FALSE)</f>
        <v>0</v>
      </c>
      <c r="D13" s="2">
        <f ca="1">IFERROR(__xludf.DUMMYFUNCTION("""COMPUTED_VALUE"""),100)</f>
        <v>100</v>
      </c>
      <c r="E13" s="2" t="str">
        <f ca="1">IFERROR(__xludf.DUMMYFUNCTION("""COMPUTED_VALUE"""),"Harpy Form")</f>
        <v>Harpy Form</v>
      </c>
      <c r="F13" s="2" t="str">
        <f ca="1">IFERROR(__xludf.DUMMYFUNCTION("""COMPUTED_VALUE"""),"Monster Musume no Iru Nichijou")</f>
        <v>Monster Musume no Iru Nichijou</v>
      </c>
      <c r="G13" s="2" t="str">
        <f ca="1">IFERROR(__xludf.DUMMYFUNCTION("""COMPUTED_VALUE"""),"Alternate Forms")</f>
        <v>Alternate Forms</v>
      </c>
      <c r="H13" s="2" t="str">
        <f ca="1">IFERROR(__xludf.DUMMYFUNCTION("""COMPUTED_VALUE"""),"Typically birdbrains, an adult harpy is strong enough to carry a lamia while flying and has enough durability to ram through a window at a high speed and not get hurt. They also have bad night vision and can lay unfertilized eggs worth millions (of yen) t"&amp;"o the right person.")</f>
        <v>Typically birdbrains, an adult harpy is strong enough to carry a lamia while flying and has enough durability to ram through a window at a high speed and not get hurt. They also have bad night vision and can lay unfertilized eggs worth millions (of yen) to the right person.</v>
      </c>
      <c r="I13" s="5"/>
    </row>
    <row r="14" spans="1:9 16384:16384" ht="156.6" x14ac:dyDescent="0.25">
      <c r="A14" s="16"/>
      <c r="B14" s="17">
        <v>10</v>
      </c>
      <c r="C14" s="2" t="b">
        <f ca="1">IFERROR(__xludf.DUMMYFUNCTION("""COMPUTED_VALUE"""),FALSE)</f>
        <v>0</v>
      </c>
      <c r="D14" s="2">
        <f ca="1">IFERROR(__xludf.DUMMYFUNCTION("""COMPUTED_VALUE"""),100)</f>
        <v>100</v>
      </c>
      <c r="E14" s="2" t="str">
        <f ca="1">IFERROR(__xludf.DUMMYFUNCTION("""COMPUTED_VALUE"""),"Hekyll &amp; Jyde")</f>
        <v>Hekyll &amp; Jyde</v>
      </c>
      <c r="F14" s="2" t="str">
        <f ca="1">IFERROR(__xludf.DUMMYFUNCTION("""COMPUTED_VALUE"""),"Generic: Virgin")</f>
        <v>Generic: Virgin</v>
      </c>
      <c r="G14" s="2" t="str">
        <f ca="1">IFERROR(__xludf.DUMMYFUNCTION("""COMPUTED_VALUE"""),"Alternate Forms")</f>
        <v>Alternate Forms</v>
      </c>
      <c r="H14" s="2" t="str">
        <f ca="1">IFERROR(__xludf.DUMMYFUNCTION("""COMPUTED_VALUE"""),"Do you want to be free of all those pesky morals and ethics, but not become a complete monster? This is the (highly questionable) perk for you. You have two different personalities, one dedicated to whatever practical goals you might have, the other dedic"&amp;"ated to enjoying themselves as much as is possible... without really caring about who gets hurt along the way, as long as it’s not you... either of you. The two sides of you agree that ruining your life would be a bad thing and neither of you will do anyt"&amp;"hing that might do that, nor will either try and destroy the other, and both can, technically, remember what the other was up to. At least 1/4th of the time the ‘evil’ side will take over and (probably) run amok. The two of you look similar but not identi"&amp;"cal, and leave behind different traces for all forms of forensics.")</f>
        <v>Do you want to be free of all those pesky morals and ethics, but not become a complete monster? This is the (highly questionable) perk for you. You have two different personalities, one dedicated to whatever practical goals you might have, the other dedicated to enjoying themselves as much as is possible... without really caring about who gets hurt along the way, as long as it’s not you... either of you. The two sides of you agree that ruining your life would be a bad thing and neither of you will do anything that might do that, nor will either try and destroy the other, and both can, technically, remember what the other was up to. At least 1/4th of the time the ‘evil’ side will take over and (probably) run amok. The two of you look similar but not identical, and leave behind different traces for all forms of forensics.</v>
      </c>
      <c r="I14" s="5"/>
    </row>
    <row r="15" spans="1:9 16384:16384" ht="104.4" x14ac:dyDescent="0.25">
      <c r="A15" s="16"/>
      <c r="B15" s="17">
        <v>11</v>
      </c>
      <c r="C15" s="2" t="b">
        <f ca="1">IFERROR(__xludf.DUMMYFUNCTION("""COMPUTED_VALUE"""),FALSE)</f>
        <v>0</v>
      </c>
      <c r="D15" s="2">
        <f ca="1">IFERROR(__xludf.DUMMYFUNCTION("""COMPUTED_VALUE"""),100)</f>
        <v>100</v>
      </c>
      <c r="E15" s="2" t="str">
        <f ca="1">IFERROR(__xludf.DUMMYFUNCTION("""COMPUTED_VALUE"""),"Kemokko Crystals")</f>
        <v>Kemokko Crystals</v>
      </c>
      <c r="F15" s="2" t="str">
        <f ca="1">IFERROR(__xludf.DUMMYFUNCTION("""COMPUTED_VALUE"""),"Kemokko Zoo")</f>
        <v>Kemokko Zoo</v>
      </c>
      <c r="G15" s="2" t="str">
        <f ca="1">IFERROR(__xludf.DUMMYFUNCTION("""COMPUTED_VALUE"""),"Alternate Forms")</f>
        <v>Alternate Forms</v>
      </c>
      <c r="H15" s="2" t="str">
        <f ca="1">IFERROR(__xludf.DUMMYFUNCTION("""COMPUTED_VALUE"""),"A set of the special, candylike pills that the Director concocted to turn the zoo’s population into animal girls at night. The container contains a half-dozen pills, and refills nightly. Fortunately, an animal just has to consume the pill once for the kem"&amp;"okko transformation to take effect every night. Also, a reminder: kemokko are part-human, and unlike other animals, humans are always “in-heat” – something that carries over to the kemokko; so be ready for lots of sexy escapades if your animal girls like "&amp;"you~! (See Notes for more information about the kemokko!)")</f>
        <v>A set of the special, candylike pills that the Director concocted to turn the zoo’s population into animal girls at night. The container contains a half-dozen pills, and refills nightly. Fortunately, an animal just has to consume the pill once for the kemokko transformation to take effect every night. Also, a reminder: kemokko are part-human, and unlike other animals, humans are always “in-heat” – something that carries over to the kemokko; so be ready for lots of sexy escapades if your animal girls like you~! (See Notes for more information about the kemokko!)</v>
      </c>
      <c r="I15" s="5"/>
    </row>
    <row r="16" spans="1:9 16384:16384" ht="52.2" x14ac:dyDescent="0.25">
      <c r="A16" s="16"/>
      <c r="B16" s="17">
        <v>12</v>
      </c>
      <c r="C16" s="2" t="b">
        <f ca="1">IFERROR(__xludf.DUMMYFUNCTION("""COMPUTED_VALUE"""),FALSE)</f>
        <v>0</v>
      </c>
      <c r="D16" s="2">
        <f ca="1">IFERROR(__xludf.DUMMYFUNCTION("""COMPUTED_VALUE"""),100)</f>
        <v>100</v>
      </c>
      <c r="E16" s="2" t="str">
        <f ca="1">IFERROR(__xludf.DUMMYFUNCTION("""COMPUTED_VALUE"""),"Mermaid")</f>
        <v>Mermaid</v>
      </c>
      <c r="F16" s="2" t="str">
        <f ca="1">IFERROR(__xludf.DUMMYFUNCTION("""COMPUTED_VALUE"""),"Monster Musume no Iru Nichijou")</f>
        <v>Monster Musume no Iru Nichijou</v>
      </c>
      <c r="G16" s="2" t="str">
        <f ca="1">IFERROR(__xludf.DUMMYFUNCTION("""COMPUTED_VALUE"""),"Alternate Forms")</f>
        <v>Alternate Forms</v>
      </c>
      <c r="H16" s="2" t="str">
        <f ca="1">IFERROR(__xludf.DUMMYFUNCTION("""COMPUTED_VALUE"""),"With their slimy skin and amphibiousness and a little help a mermaid can traverse the land roughly the same as a human. They can only breathe wet air though. They can sense large bodies of water, are cold resistant, and become very sick if they swim in ch"&amp;"lorinated water.")</f>
        <v>With their slimy skin and amphibiousness and a little help a mermaid can traverse the land roughly the same as a human. They can only breathe wet air though. They can sense large bodies of water, are cold resistant, and become very sick if they swim in chlorinated water.</v>
      </c>
      <c r="I16" s="5"/>
    </row>
    <row r="17" spans="1:9" ht="52.2" x14ac:dyDescent="0.25">
      <c r="A17" s="16"/>
      <c r="B17" s="17">
        <v>13</v>
      </c>
      <c r="C17" s="2" t="b">
        <f ca="1">IFERROR(__xludf.DUMMYFUNCTION("""COMPUTED_VALUE"""),FALSE)</f>
        <v>0</v>
      </c>
      <c r="D17" s="2">
        <f ca="1">IFERROR(__xludf.DUMMYFUNCTION("""COMPUTED_VALUE"""),100)</f>
        <v>100</v>
      </c>
      <c r="E17" s="2" t="str">
        <f ca="1">IFERROR(__xludf.DUMMYFUNCTION("""COMPUTED_VALUE"""),"The ""Mascot""")</f>
        <v>The "Mascot"</v>
      </c>
      <c r="F17" s="2" t="str">
        <f ca="1">IFERROR(__xludf.DUMMYFUNCTION("""COMPUTED_VALUE"""),"Sei So Tsui Dan Sha")</f>
        <v>Sei So Tsui Dan Sha</v>
      </c>
      <c r="G17" s="2" t="str">
        <f ca="1">IFERROR(__xludf.DUMMYFUNCTION("""COMPUTED_VALUE"""),"Alternate Forms")</f>
        <v>Alternate Forms</v>
      </c>
      <c r="H17" s="2" t="str">
        <f ca="1">IFERROR(__xludf.DUMMYFUNCTION("""COMPUTED_VALUE"""),"You have a mascot-like charm that encourages enthusiasm in others, pushing them to believe in themselves. Horrifically enough, your real talent lies in tearing the egos you’ve helped build to pieces in barely a fraction of the time. Buying this also gets "&amp;"you a petite, cute body-type alt-form.")</f>
        <v>You have a mascot-like charm that encourages enthusiasm in others, pushing them to believe in themselves. Horrifically enough, your real talent lies in tearing the egos you’ve helped build to pieces in barely a fraction of the time. Buying this also gets you a petite, cute body-type alt-form.</v>
      </c>
      <c r="I17" s="5"/>
    </row>
    <row r="18" spans="1:9" ht="87" x14ac:dyDescent="0.25">
      <c r="A18" s="16"/>
      <c r="B18" s="17">
        <v>14</v>
      </c>
      <c r="C18" s="2" t="b">
        <f ca="1">IFERROR(__xludf.DUMMYFUNCTION("""COMPUTED_VALUE"""),FALSE)</f>
        <v>0</v>
      </c>
      <c r="D18" s="2">
        <f ca="1">IFERROR(__xludf.DUMMYFUNCTION("""COMPUTED_VALUE"""),100)</f>
        <v>100</v>
      </c>
      <c r="E18" s="2" t="str">
        <f ca="1">IFERROR(__xludf.DUMMYFUNCTION("""COMPUTED_VALUE"""),"Ugly Bastard Form")</f>
        <v>Ugly Bastard Form</v>
      </c>
      <c r="F18" s="2" t="str">
        <f ca="1">IFERROR(__xludf.DUMMYFUNCTION("""COMPUTED_VALUE"""),"The NTR of Slutty Magical Girl Flan")</f>
        <v>The NTR of Slutty Magical Girl Flan</v>
      </c>
      <c r="G18" s="2" t="str">
        <f ca="1">IFERROR(__xludf.DUMMYFUNCTION("""COMPUTED_VALUE"""),"Alternate Forms")</f>
        <v>Alternate Forms</v>
      </c>
      <c r="H18" s="2" t="str">
        <f ca="1">IFERROR(__xludf.DUMMYFUNCTION("""COMPUTED_VALUE"""),"Become the Homewrecker. In this form, you become a classic ugly bastard, with all that entails. For some reason your ugliness is an appeal all on its own. The farther you are from conventional attractiveness the more those you’re attracted to in turn will"&amp;" find themselves filled with lust over you. Sure, they might recoil in horror from the sight of your smile but they also just turned soaking wet so who’s the real ugly bastard in the end?")</f>
        <v>Become the Homewrecker. In this form, you become a classic ugly bastard, with all that entails. For some reason your ugliness is an appeal all on its own. The farther you are from conventional attractiveness the more those you’re attracted to in turn will find themselves filled with lust over you. Sure, they might recoil in horror from the sight of your smile but they also just turned soaking wet so who’s the real ugly bastard in the end?</v>
      </c>
      <c r="I18" s="5"/>
    </row>
    <row r="19" spans="1:9" ht="69.599999999999994" x14ac:dyDescent="0.25">
      <c r="A19" s="16"/>
      <c r="B19" s="17">
        <v>15</v>
      </c>
      <c r="C19" s="2" t="b">
        <f ca="1">IFERROR(__xludf.DUMMYFUNCTION("""COMPUTED_VALUE"""),FALSE)</f>
        <v>0</v>
      </c>
      <c r="D19" s="2">
        <f ca="1">IFERROR(__xludf.DUMMYFUNCTION("""COMPUTED_VALUE"""),200)</f>
        <v>200</v>
      </c>
      <c r="E19" s="2" t="str">
        <f ca="1">IFERROR(__xludf.DUMMYFUNCTION("""COMPUTED_VALUE"""),"Aradaka Tribe Form")</f>
        <v>Aradaka Tribe Form</v>
      </c>
      <c r="F19" s="2" t="str">
        <f ca="1">IFERROR(__xludf.DUMMYFUNCTION("""COMPUTED_VALUE"""),"The Otaku in 10,000 BC")</f>
        <v>The Otaku in 10,000 BC</v>
      </c>
      <c r="G19" s="2" t="str">
        <f ca="1">IFERROR(__xludf.DUMMYFUNCTION("""COMPUTED_VALUE"""),"Alternate Forms")</f>
        <v>Alternate Forms</v>
      </c>
      <c r="H19" s="2" t="str">
        <f ca="1">IFERROR(__xludf.DUMMYFUNCTION("""COMPUTED_VALUE"""),"Basically, you’re a giant. You’re huge enough to grab a person around the waist with one hand, and strong enough to hurl boulders. You have a more sensitive sense of smell than humans do, and the females of your tribe can produce a powerful suction from t"&amp;"heir vaginas that is strong enough to suck in an entire human adult.")</f>
        <v>Basically, you’re a giant. You’re huge enough to grab a person around the waist with one hand, and strong enough to hurl boulders. You have a more sensitive sense of smell than humans do, and the females of your tribe can produce a powerful suction from their vaginas that is strong enough to suck in an entire human adult.</v>
      </c>
      <c r="I19" s="5"/>
    </row>
    <row r="20" spans="1:9" ht="208.8" x14ac:dyDescent="0.25">
      <c r="A20" s="16"/>
      <c r="B20" s="17">
        <v>16</v>
      </c>
      <c r="C20" s="2" t="b">
        <f ca="1">IFERROR(__xludf.DUMMYFUNCTION("""COMPUTED_VALUE"""),FALSE)</f>
        <v>0</v>
      </c>
      <c r="D20" s="2">
        <f ca="1">IFERROR(__xludf.DUMMYFUNCTION("""COMPUTED_VALUE"""),200)</f>
        <v>200</v>
      </c>
      <c r="E20" s="2" t="str">
        <f ca="1">IFERROR(__xludf.DUMMYFUNCTION("""COMPUTED_VALUE"""),"Bio-Weapon")</f>
        <v>Bio-Weapon</v>
      </c>
      <c r="F20" s="2" t="str">
        <f ca="1">IFERROR(__xludf.DUMMYFUNCTION("""COMPUTED_VALUE"""),"Bio-Weapon Quest")</f>
        <v>Bio-Weapon Quest</v>
      </c>
      <c r="G20" s="2" t="str">
        <f ca="1">IFERROR(__xludf.DUMMYFUNCTION("""COMPUTED_VALUE"""),"Alternate Forms")</f>
        <v>Alternate Forms</v>
      </c>
      <c r="H20" s="2" t="str">
        <f ca="1">IFERROR(__xludf.DUMMYFUNCTION("""COMPUTED_VALUE"""),"Bio-Weapons are creatures designed to defeat Heart Warriors. Crafted using a therianthrope's core, they carry their beastial nature, instincts that express themselves as rage, lust and hunger that can spiral out of control if left unsated.
Each Bio-Weapo"&amp;"n is an 8’ tall monster, with a tail, claws, and thick scales, and has a unique power like energy beams, concussive air blasts, throwing off enemy aim with illusions, hyper velocity and similar. You may buy additional powers at 100CP at any time you could"&amp;" purchase a perk.
You also have an addictive, aphrodisiac Musk, enhanced gentalia both as a human and in monster form, as well as three additional mutations: Aphrodisiac Breath, Ridged Cock, High Aphrodisiac Semen, The Knot, a Cock Tail, Doublecock, Two "&amp;"Tentacles, Quad Balls, Nutritious Semen, or similar. You may purchase additional mutations at 50CP at any time you could purchase a perk.")</f>
        <v>Bio-Weapons are creatures designed to defeat Heart Warriors. Crafted using a therianthrope's core, they carry their beastial nature, instincts that express themselves as rage, lust and hunger that can spiral out of control if left unsated.
Each Bio-Weapon is an 8’ tall monster, with a tail, claws, and thick scales, and has a unique power like energy beams, concussive air blasts, throwing off enemy aim with illusions, hyper velocity and similar. You may buy additional powers at 100CP at any time you could purchase a perk.
You also have an addictive, aphrodisiac Musk, enhanced gentalia both as a human and in monster form, as well as three additional mutations: Aphrodisiac Breath, Ridged Cock, High Aphrodisiac Semen, The Knot, a Cock Tail, Doublecock, Two Tentacles, Quad Balls, Nutritious Semen, or similar. You may purchase additional mutations at 50CP at any time you could purchase a perk.</v>
      </c>
      <c r="I20" s="5"/>
    </row>
    <row r="21" spans="1:9" ht="121.8" x14ac:dyDescent="0.25">
      <c r="A21" s="16"/>
      <c r="B21" s="17">
        <v>17</v>
      </c>
      <c r="C21" s="2" t="b">
        <f ca="1">IFERROR(__xludf.DUMMYFUNCTION("""COMPUTED_VALUE"""),FALSE)</f>
        <v>0</v>
      </c>
      <c r="D21" s="2">
        <f ca="1">IFERROR(__xludf.DUMMYFUNCTION("""COMPUTED_VALUE"""),200)</f>
        <v>200</v>
      </c>
      <c r="E21" s="2" t="str">
        <f ca="1">IFERROR(__xludf.DUMMYFUNCTION("""COMPUTED_VALUE"""),"Black Form")</f>
        <v>Black Form</v>
      </c>
      <c r="F21" s="2" t="str">
        <f ca="1">IFERROR(__xludf.DUMMYFUNCTION("""COMPUTED_VALUE"""),"Ikusa Otome Valkyrie")</f>
        <v>Ikusa Otome Valkyrie</v>
      </c>
      <c r="G21" s="2" t="str">
        <f ca="1">IFERROR(__xludf.DUMMYFUNCTION("""COMPUTED_VALUE"""),"Alternate Forms")</f>
        <v>Alternate Forms</v>
      </c>
      <c r="H21" s="2" t="str">
        <f ca="1">IFERROR(__xludf.DUMMYFUNCTION("""COMPUTED_VALUE"""),"It's not well known to the world at large but if a valkyrie falls into lust over someone willingly they can take on a darker form. This form is usually a lust filled parody of the original personality. As you are paying a premium, this perk now applies to"&amp;" any and all your forms, letting you transform back and forth, though the process is tiring to do in rapid succession. This form recolors any armor or weapons you have to be a dark and/or lustful version and gives you a dark or corrupted aura. This also l"&amp;"ets you use the opposite of whatever holy/light/good powers you had before such as instead of giving a blessing you can instead curse, or instead of light use darkness.")</f>
        <v>It's not well known to the world at large but if a valkyrie falls into lust over someone willingly they can take on a darker form. This form is usually a lust filled parody of the original personality. As you are paying a premium, this perk now applies to any and all your forms, letting you transform back and forth, though the process is tiring to do in rapid succession. This form recolors any armor or weapons you have to be a dark and/or lustful version and gives you a dark or corrupted aura. This also lets you use the opposite of whatever holy/light/good powers you had before such as instead of giving a blessing you can instead curse, or instead of light use darkness.</v>
      </c>
      <c r="I21" s="5"/>
    </row>
    <row r="22" spans="1:9" ht="139.19999999999999" x14ac:dyDescent="0.25">
      <c r="A22" s="16"/>
      <c r="B22" s="17">
        <v>18</v>
      </c>
      <c r="C22" s="2" t="b">
        <f ca="1">IFERROR(__xludf.DUMMYFUNCTION("""COMPUTED_VALUE"""),FALSE)</f>
        <v>0</v>
      </c>
      <c r="D22" s="2">
        <f ca="1">IFERROR(__xludf.DUMMYFUNCTION("""COMPUTED_VALUE"""),200)</f>
        <v>200</v>
      </c>
      <c r="E22" s="2" t="str">
        <f ca="1">IFERROR(__xludf.DUMMYFUNCTION("""COMPUTED_VALUE"""),"Centaur Form")</f>
        <v>Centaur Form</v>
      </c>
      <c r="F22" s="2" t="str">
        <f ca="1">IFERROR(__xludf.DUMMYFUNCTION("""COMPUTED_VALUE"""),"Monster Musume no Iru Nichijou")</f>
        <v>Monster Musume no Iru Nichijou</v>
      </c>
      <c r="G22" s="2" t="str">
        <f ca="1">IFERROR(__xludf.DUMMYFUNCTION("""COMPUTED_VALUE"""),"Alternate Forms")</f>
        <v>Alternate Forms</v>
      </c>
      <c r="H22" s="2" t="str">
        <f ca="1">IFERROR(__xludf.DUMMYFUNCTION("""COMPUTED_VALUE"""),"Prideful, loyal, and powerful enough to hold a lamia in each hand. They’re also fast enough to keep up with some motorized vehicles. They are herbivores and only so.
On purchase, choose one of the following sub-species:
- Lightweight: Smaller than standa"&amp;"rd centaurs they also get injured easier. They are however much, much faster.
- Heavyweight: So powerful they can move around unimpeded even while wearing heavy armor. These are the largest and most muscular of centaurs.")</f>
        <v>Prideful, loyal, and powerful enough to hold a lamia in each hand. They’re also fast enough to keep up with some motorized vehicles. They are herbivores and only so.
On purchase, choose one of the following sub-species:
- Lightweight: Smaller than standard centaurs they also get injured easier. They are however much, much faster.
- Heavyweight: So powerful they can move around unimpeded even while wearing heavy armor. These are the largest and most muscular of centaurs.</v>
      </c>
      <c r="I22" s="5"/>
    </row>
    <row r="23" spans="1:9" ht="139.19999999999999" x14ac:dyDescent="0.25">
      <c r="A23" s="16"/>
      <c r="B23" s="17">
        <v>19</v>
      </c>
      <c r="C23" s="2" t="b">
        <f ca="1">IFERROR(__xludf.DUMMYFUNCTION("""COMPUTED_VALUE"""),FALSE)</f>
        <v>0</v>
      </c>
      <c r="D23" s="2">
        <f ca="1">IFERROR(__xludf.DUMMYFUNCTION("""COMPUTED_VALUE"""),200)</f>
        <v>200</v>
      </c>
      <c r="E23" s="2" t="str">
        <f ca="1">IFERROR(__xludf.DUMMYFUNCTION("""COMPUTED_VALUE"""),"Compressed Form")</f>
        <v>Compressed Form</v>
      </c>
      <c r="F23" s="2" t="str">
        <f ca="1">IFERROR(__xludf.DUMMYFUNCTION("""COMPUTED_VALUE"""),"Bio-Weapon Quest")</f>
        <v>Bio-Weapon Quest</v>
      </c>
      <c r="G23" s="2" t="str">
        <f ca="1">IFERROR(__xludf.DUMMYFUNCTION("""COMPUTED_VALUE"""),"Alternate Forms")</f>
        <v>Alternate Forms</v>
      </c>
      <c r="H23" s="2" t="str">
        <f ca="1">IFERROR(__xludf.DUMMYFUNCTION("""COMPUTED_VALUE"""),"You can partially undergo any transformation, shifting to a smaller, partial state. Bio-Weapons would remain human sized while being able to draw on their Combat Traits and Mutations, while Heart Warriors might likewise manifest powers while in their ‘civ"&amp;"ilian’ mode. In either case, the powers associated with your Transformation are not quite as powerful, and you are more recognisable to those who know your face, but the Compressed Form is compact and much less draining on your reserves of energy to maint"&amp;"ain. 
This version of Compressed Form works with any transformation you have.")</f>
        <v>You can partially undergo any transformation, shifting to a smaller, partial state. Bio-Weapons would remain human sized while being able to draw on their Combat Traits and Mutations, while Heart Warriors might likewise manifest powers while in their ‘civilian’ mode. In either case, the powers associated with your Transformation are not quite as powerful, and you are more recognisable to those who know your face, but the Compressed Form is compact and much less draining on your reserves of energy to maintain. 
This version of Compressed Form works with any transformation you have.</v>
      </c>
      <c r="I23" s="5"/>
    </row>
    <row r="24" spans="1:9" ht="208.8" x14ac:dyDescent="0.25">
      <c r="A24" s="16"/>
      <c r="B24" s="17">
        <v>20</v>
      </c>
      <c r="C24" s="2" t="b">
        <f ca="1">IFERROR(__xludf.DUMMYFUNCTION("""COMPUTED_VALUE"""),FALSE)</f>
        <v>0</v>
      </c>
      <c r="D24" s="2">
        <f ca="1">IFERROR(__xludf.DUMMYFUNCTION("""COMPUTED_VALUE"""),200)</f>
        <v>200</v>
      </c>
      <c r="E24" s="2" t="str">
        <f ca="1">IFERROR(__xludf.DUMMYFUNCTION("""COMPUTED_VALUE"""),"Demonic Might")</f>
        <v>Demonic Might</v>
      </c>
      <c r="F24" s="2" t="str">
        <f ca="1">IFERROR(__xludf.DUMMYFUNCTION("""COMPUTED_VALUE"""),"Archangel of Love, Love Mary ~Malignant Conception~")</f>
        <v>Archangel of Love, Love Mary ~Malignant Conception~</v>
      </c>
      <c r="G24" s="2" t="str">
        <f ca="1">IFERROR(__xludf.DUMMYFUNCTION("""COMPUTED_VALUE"""),"Alternate Forms")</f>
        <v>Alternate Forms</v>
      </c>
      <c r="H24" s="2" t="str">
        <f ca="1">IFERROR(__xludf.DUMMYFUNCTION("""COMPUTED_VALUE"""),"As a child of Elysium, you have been blessed with great physical power; regardless of the details of your appearance, you are far superior to a human, able to outrun, outfight, outlast, and outfuck even the greatest of human athletes. While it’s true that"&amp;" a transformed Archangel is mightier than you, you also don’t have to worry about transforming to use your full power, or fear your transformation running out of time. In addition to your powerful form, your genitalia are also something to behold. Not onl"&amp;"y is it glorious in size, but also in potency; it can bring pleasures in excess of what a human lover could, and should you have a penis, your cum will spurt forth in more copious quantities than an entire group of men could hope to produce. Your staying "&amp;"power is likewise superhuman, and you could keep fucking someone for days at a time without stopping. Finally, you have access to magical power… although this doesn’t also come with magical knowledge or skill. Still, with effort on your part, you will be "&amp;"able to learn various spells. This form can be almost any kind lewd monster, chosen on purchase.")</f>
        <v>As a child of Elysium, you have been blessed with great physical power; regardless of the details of your appearance, you are far superior to a human, able to outrun, outfight, outlast, and outfuck even the greatest of human athletes. While it’s true that a transformed Archangel is mightier than you, you also don’t have to worry about transforming to use your full power, or fear your transformation running out of time. In addition to your powerful form, your genitalia are also something to behold. Not only is it glorious in size, but also in potency; it can bring pleasures in excess of what a human lover could, and should you have a penis, your cum will spurt forth in more copious quantities than an entire group of men could hope to produce. Your staying power is likewise superhuman, and you could keep fucking someone for days at a time without stopping. Finally, you have access to magical power… although this doesn’t also come with magical knowledge or skill. Still, with effort on your part, you will be able to learn various spells. This form can be almost any kind lewd monster, chosen on purchase.</v>
      </c>
      <c r="I24" s="5"/>
    </row>
    <row r="25" spans="1:9" ht="174" x14ac:dyDescent="0.25">
      <c r="A25" s="16"/>
      <c r="B25" s="17">
        <v>21</v>
      </c>
      <c r="C25" s="2" t="b">
        <f ca="1">IFERROR(__xludf.DUMMYFUNCTION("""COMPUTED_VALUE"""),FALSE)</f>
        <v>0</v>
      </c>
      <c r="D25" s="2">
        <f ca="1">IFERROR(__xludf.DUMMYFUNCTION("""COMPUTED_VALUE"""),200)</f>
        <v>200</v>
      </c>
      <c r="E25" s="2" t="str">
        <f ca="1">IFERROR(__xludf.DUMMYFUNCTION("""COMPUTED_VALUE"""),"Elrk Form")</f>
        <v>Elrk Form</v>
      </c>
      <c r="F25" s="2" t="str">
        <f ca="1">IFERROR(__xludf.DUMMYFUNCTION("""COMPUTED_VALUE"""),"Elrk")</f>
        <v>Elrk</v>
      </c>
      <c r="G25" s="2" t="str">
        <f ca="1">IFERROR(__xludf.DUMMYFUNCTION("""COMPUTED_VALUE"""),"Alternate Forms")</f>
        <v>Alternate Forms</v>
      </c>
      <c r="H25" s="2" t="str">
        <f ca="1">IFERROR(__xludf.DUMMYFUNCTION("""COMPUTED_VALUE"""),"""The Elrk are beautiful girls with green skin, pointy ears, fangs, and both genitals. While the Elrk are cultured enough to have formed tribes, they aren't highly educated. With their beliefs in Strength and a very specialized way of reproduction, the El"&amp;"rks have become a powerful force in this world that should not be underestimated.” - Dr. Bug, an Elrk expert
Every Elrk is green skinned, has a nice fat futanari cock, and a unique ability to breed with damn near everything with upwards of an 80% rate of"&amp;" conceptions. Their unique racial trait is that any child they bear is a perfect hybrid of the two parents - for an Elrk that was already a hyrbid, this tends to produce interesting results. Oddly, despite that ability, the child of two Elrks (rare as the"&amp;"y are with only a 10% chance of conception) is always a pure Elrk.")</f>
        <v>"The Elrk are beautiful girls with green skin, pointy ears, fangs, and both genitals. While the Elrk are cultured enough to have formed tribes, they aren't highly educated. With their beliefs in Strength and a very specialized way of reproduction, the Elrks have become a powerful force in this world that should not be underestimated.” - Dr. Bug, an Elrk expert
Every Elrk is green skinned, has a nice fat futanari cock, and a unique ability to breed with damn near everything with upwards of an 80% rate of conceptions. Their unique racial trait is that any child they bear is a perfect hybrid of the two parents - for an Elrk that was already a hyrbid, this tends to produce interesting results. Oddly, despite that ability, the child of two Elrks (rare as they are with only a 10% chance of conception) is always a pure Elrk.</v>
      </c>
      <c r="I25" s="5"/>
    </row>
    <row r="26" spans="1:9" ht="156.6" x14ac:dyDescent="0.25">
      <c r="A26" s="16"/>
      <c r="B26" s="17">
        <v>22</v>
      </c>
      <c r="C26" s="2" t="b">
        <f ca="1">IFERROR(__xludf.DUMMYFUNCTION("""COMPUTED_VALUE"""),FALSE)</f>
        <v>0</v>
      </c>
      <c r="D26" s="2">
        <f ca="1">IFERROR(__xludf.DUMMYFUNCTION("""COMPUTED_VALUE"""),200)</f>
        <v>200</v>
      </c>
      <c r="E26" s="2" t="str">
        <f ca="1">IFERROR(__xludf.DUMMYFUNCTION("""COMPUTED_VALUE"""),"Goron Form")</f>
        <v>Goron Form</v>
      </c>
      <c r="F26" s="2" t="str">
        <f ca="1">IFERROR(__xludf.DUMMYFUNCTION("""COMPUTED_VALUE"""),"Breathless Wild")</f>
        <v>Breathless Wild</v>
      </c>
      <c r="G26" s="2" t="str">
        <f ca="1">IFERROR(__xludf.DUMMYFUNCTION("""COMPUTED_VALUE"""),"Alternate Forms")</f>
        <v>Alternate Forms</v>
      </c>
      <c r="H26" s="2" t="str">
        <f ca="1">IFERROR(__xludf.DUMMYFUNCTION("""COMPUTED_VALUE"""),"Huge, hardy, and universally male, gorons are creatures of immense strength and endurance, both sexual and otherwise. While they reproduce asexually they still have sexual urges and commonly use women of other races to sate their needs so as to be less vu"&amp;"lnerable to monstergirls. Being the largest and manliest of the civilized races, gorons are unmatched in both their sexual endurance and the immense size of their endowments; the average goron has a cock as long as a hylian’s arm, thicker than a fist, and"&amp;" as resistant to damage as a steel plate. They’re also immune to heat and flame, even capable of bathing in the lava of Death Mountain as if it were a sauna. This immunity can even be shared with their partners: goron semen is a vital component in the bes"&amp;"t fire-proof potions, though it also works if taken “straight from the tap”.")</f>
        <v>Huge, hardy, and universally male, gorons are creatures of immense strength and endurance, both sexual and otherwise. While they reproduce asexually they still have sexual urges and commonly use women of other races to sate their needs so as to be less vulnerable to monstergirls. Being the largest and manliest of the civilized races, gorons are unmatched in both their sexual endurance and the immense size of their endowments; the average goron has a cock as long as a hylian’s arm, thicker than a fist, and as resistant to damage as a steel plate. They’re also immune to heat and flame, even capable of bathing in the lava of Death Mountain as if it were a sauna. This immunity can even be shared with their partners: goron semen is a vital component in the best fire-proof potions, though it also works if taken “straight from the tap”.</v>
      </c>
      <c r="I26" s="5"/>
    </row>
    <row r="27" spans="1:9" ht="156.6" x14ac:dyDescent="0.25">
      <c r="A27" s="16"/>
      <c r="B27" s="17">
        <v>23</v>
      </c>
      <c r="C27" s="2" t="b">
        <f ca="1">IFERROR(__xludf.DUMMYFUNCTION("""COMPUTED_VALUE"""),FALSE)</f>
        <v>0</v>
      </c>
      <c r="D27" s="2">
        <f ca="1">IFERROR(__xludf.DUMMYFUNCTION("""COMPUTED_VALUE"""),200)</f>
        <v>200</v>
      </c>
      <c r="E27" s="2" t="str">
        <f ca="1">IFERROR(__xludf.DUMMYFUNCTION("""COMPUTED_VALUE"""),"Homuncockulus Form")</f>
        <v>Homuncockulus Form</v>
      </c>
      <c r="F27" s="2" t="str">
        <f ca="1">IFERROR(__xludf.DUMMYFUNCTION("""COMPUTED_VALUE"""),"Fate / Blacked")</f>
        <v>Fate / Blacked</v>
      </c>
      <c r="G27" s="2" t="str">
        <f ca="1">IFERROR(__xludf.DUMMYFUNCTION("""COMPUTED_VALUE"""),"Alternate Forms")</f>
        <v>Alternate Forms</v>
      </c>
      <c r="H27" s="2" t="str">
        <f ca="1">IFERROR(__xludf.DUMMYFUNCTION("""COMPUTED_VALUE"""),"You know, when most men say that they’re gods gift to women or that they’ve got a dick that women can’t help but drool over, they are exaggerating. You? Not so much. As it turns out, you are in fact a very specialized kind of homunculus specifically meant"&amp;" to facilitate mana transfers. You don’t have much - or any, really - training as a magus, but what you do have is an absurdly sized dick, hyperactive balls, and the mana supply of a dozen men. You are quite literally built with the physical stats needed "&amp;"to fuck a Servant into submission so that you can pour a hot load of mana inside of her should it turn out that her master can’t quite produce enough to keep her filled up. As something of a side benefit, and perhaps Da Vinci outdoing herself, this also g"&amp;"rants a slight boost to all other magics of a sexual nature")</f>
        <v>You know, when most men say that they’re gods gift to women or that they’ve got a dick that women can’t help but drool over, they are exaggerating. You? Not so much. As it turns out, you are in fact a very specialized kind of homunculus specifically meant to facilitate mana transfers. You don’t have much - or any, really - training as a magus, but what you do have is an absurdly sized dick, hyperactive balls, and the mana supply of a dozen men. You are quite literally built with the physical stats needed to fuck a Servant into submission so that you can pour a hot load of mana inside of her should it turn out that her master can’t quite produce enough to keep her filled up. As something of a side benefit, and perhaps Da Vinci outdoing herself, this also grants a slight boost to all other magics of a sexual nature</v>
      </c>
      <c r="I27" s="5"/>
    </row>
    <row r="28" spans="1:9" ht="156.6" x14ac:dyDescent="0.25">
      <c r="A28" s="16"/>
      <c r="B28" s="17">
        <v>24</v>
      </c>
      <c r="C28" s="2" t="b">
        <f ca="1">IFERROR(__xludf.DUMMYFUNCTION("""COMPUTED_VALUE"""),FALSE)</f>
        <v>0</v>
      </c>
      <c r="D28" s="2">
        <f ca="1">IFERROR(__xludf.DUMMYFUNCTION("""COMPUTED_VALUE"""),200)</f>
        <v>200</v>
      </c>
      <c r="E28" s="2" t="str">
        <f ca="1">IFERROR(__xludf.DUMMYFUNCTION("""COMPUTED_VALUE"""),"Imperial Blade Form")</f>
        <v>Imperial Blade Form</v>
      </c>
      <c r="F28" s="2" t="str">
        <f ca="1">IFERROR(__xludf.DUMMYFUNCTION("""COMPUTED_VALUE"""),"NUKENAI Seiken-chan")</f>
        <v>NUKENAI Seiken-chan</v>
      </c>
      <c r="G28" s="2" t="str">
        <f ca="1">IFERROR(__xludf.DUMMYFUNCTION("""COMPUTED_VALUE"""),"Alternate Forms")</f>
        <v>Alternate Forms</v>
      </c>
      <c r="H28" s="2" t="str">
        <f ca="1">IFERROR(__xludf.DUMMYFUNCTION("""COMPUTED_VALUE"""),"You can transform into a sword. While in sword form, you are ageless, have no bodily needs, are aware of your general surroundings, and can magically communicate with others. The powers you grant your wielder depend on your current capabilities; if you kn"&amp;"ow tantric magic, you might allow your wielder access to your mental library of spells, while if you can mind control others, your cut might wound their willpower instead of their body. Generally, your most 'iconic' powers are increased in strength but de"&amp;"creased in versatility, while also being aligned with your nature as a sword, a weapon meant to be wielded by another.
You may limit the powers your wielder has access to, if you so choose.")</f>
        <v>You can transform into a sword. While in sword form, you are ageless, have no bodily needs, are aware of your general surroundings, and can magically communicate with others. The powers you grant your wielder depend on your current capabilities; if you know tantric magic, you might allow your wielder access to your mental library of spells, while if you can mind control others, your cut might wound their willpower instead of their body. Generally, your most 'iconic' powers are increased in strength but decreased in versatility, while also being aligned with your nature as a sword, a weapon meant to be wielded by another.
You may limit the powers your wielder has access to, if you so choose.</v>
      </c>
      <c r="I28" s="5"/>
    </row>
    <row r="29" spans="1:9" ht="69.599999999999994" x14ac:dyDescent="0.25">
      <c r="A29" s="16"/>
      <c r="B29" s="17">
        <v>25</v>
      </c>
      <c r="C29" s="2" t="b">
        <f ca="1">IFERROR(__xludf.DUMMYFUNCTION("""COMPUTED_VALUE"""),FALSE)</f>
        <v>0</v>
      </c>
      <c r="D29" s="2">
        <f ca="1">IFERROR(__xludf.DUMMYFUNCTION("""COMPUTED_VALUE"""),200)</f>
        <v>200</v>
      </c>
      <c r="E29" s="2" t="str">
        <f ca="1">IFERROR(__xludf.DUMMYFUNCTION("""COMPUTED_VALUE"""),"Lamia Form")</f>
        <v>Lamia Form</v>
      </c>
      <c r="F29" s="2" t="str">
        <f ca="1">IFERROR(__xludf.DUMMYFUNCTION("""COMPUTED_VALUE"""),"Monster Musume no Iru Nichijou")</f>
        <v>Monster Musume no Iru Nichijou</v>
      </c>
      <c r="G29" s="2" t="str">
        <f ca="1">IFERROR(__xludf.DUMMYFUNCTION("""COMPUTED_VALUE"""),"Alternate Forms")</f>
        <v>Alternate Forms</v>
      </c>
      <c r="H29" s="2" t="str">
        <f ca="1">IFERROR(__xludf.DUMMYFUNCTION("""COMPUTED_VALUE"""),"A lewd and lustful lady lizard, well, snake. Thriving in hot environments they are deathly incompatible with cold ones. Most notably they shed their skin and have an erogenous zone on the tip of their tail. They possess enough durability to survive being "&amp;"trampled by a centaur with little to no harm done to them. They can also when they will it see in infrared.")</f>
        <v>A lewd and lustful lady lizard, well, snake. Thriving in hot environments they are deathly incompatible with cold ones. Most notably they shed their skin and have an erogenous zone on the tip of their tail. They possess enough durability to survive being trampled by a centaur with little to no harm done to them. They can also when they will it see in infrared.</v>
      </c>
      <c r="I29" s="5"/>
    </row>
    <row r="30" spans="1:9" ht="139.19999999999999" x14ac:dyDescent="0.25">
      <c r="A30" s="16"/>
      <c r="B30" s="17">
        <v>26</v>
      </c>
      <c r="C30" s="2" t="b">
        <f ca="1">IFERROR(__xludf.DUMMYFUNCTION("""COMPUTED_VALUE"""),FALSE)</f>
        <v>0</v>
      </c>
      <c r="D30" s="2">
        <f ca="1">IFERROR(__xludf.DUMMYFUNCTION("""COMPUTED_VALUE"""),200)</f>
        <v>200</v>
      </c>
      <c r="E30" s="2" t="str">
        <f ca="1">IFERROR(__xludf.DUMMYFUNCTION("""COMPUTED_VALUE"""),"Man's Best Friend")</f>
        <v>Man's Best Friend</v>
      </c>
      <c r="F30" s="2" t="str">
        <f ca="1">IFERROR(__xludf.DUMMYFUNCTION("""COMPUTED_VALUE"""),"Fate/Horse Order")</f>
        <v>Fate/Horse Order</v>
      </c>
      <c r="G30" s="2" t="str">
        <f ca="1">IFERROR(__xludf.DUMMYFUNCTION("""COMPUTED_VALUE"""),"Alternate Forms")</f>
        <v>Alternate Forms</v>
      </c>
      <c r="H30" s="2" t="str">
        <f ca="1">IFERROR(__xludf.DUMMYFUNCTION("""COMPUTED_VALUE"""),"Well, that’s more dogs than anything else, but the fact remains that your new form seems to get along with humans quite well. Pick any pet-like animal and gain the ability to transform into one. Maybe you actually are a dog, and have an unnerving sense of"&amp;" what might be a threat to your owner? Or maybe you’d rather go in the other direction and be a cute and cuddly thing, that women can’t help but want to smoosh into their breasts? Regardless of which way you want to go, you’ll also find the people around "&amp;"you seeming to forget your presence when it comes to secrets and the like, or even their modesty. After all, who would worry about being spied upon in the bath by their pet?")</f>
        <v>Well, that’s more dogs than anything else, but the fact remains that your new form seems to get along with humans quite well. Pick any pet-like animal and gain the ability to transform into one. Maybe you actually are a dog, and have an unnerving sense of what might be a threat to your owner? Or maybe you’d rather go in the other direction and be a cute and cuddly thing, that women can’t help but want to smoosh into their breasts? Regardless of which way you want to go, you’ll also find the people around you seeming to forget your presence when it comes to secrets and the like, or even their modesty. After all, who would worry about being spied upon in the bath by their pet?</v>
      </c>
      <c r="I30" s="5"/>
    </row>
    <row r="31" spans="1:9" ht="156.6" x14ac:dyDescent="0.25">
      <c r="A31" s="16"/>
      <c r="B31" s="17">
        <v>27</v>
      </c>
      <c r="C31" s="2" t="b">
        <f ca="1">IFERROR(__xludf.DUMMYFUNCTION("""COMPUTED_VALUE"""),FALSE)</f>
        <v>0</v>
      </c>
      <c r="D31" s="2">
        <f ca="1">IFERROR(__xludf.DUMMYFUNCTION("""COMPUTED_VALUE"""),200)</f>
        <v>200</v>
      </c>
      <c r="E31" s="2" t="str">
        <f ca="1">IFERROR(__xludf.DUMMYFUNCTION("""COMPUTED_VALUE"""),"Minor Monster")</f>
        <v>Minor Monster</v>
      </c>
      <c r="F31" s="2" t="str">
        <f ca="1">IFERROR(__xludf.DUMMYFUNCTION("""COMPUTED_VALUE"""),"Elzikyuchi’s Dickgirls 2")</f>
        <v>Elzikyuchi’s Dickgirls 2</v>
      </c>
      <c r="G31" s="2" t="str">
        <f ca="1">IFERROR(__xludf.DUMMYFUNCTION("""COMPUTED_VALUE"""),"Alternate Forms")</f>
        <v>Alternate Forms</v>
      </c>
      <c r="H31" s="2" t="str">
        <f ca="1">IFERROR(__xludf.DUMMYFUNCTION("""COMPUTED_VALUE"""),"Magical creatures can be found even in the more modern versions of this world, which is exactly what you seem to be. This option allows you to become a monstergirl, either one from a specific caption or of your design. At base this provides a basic superh"&amp;"uman physique, enough to break any doors or barricades down and rape regular humans, but focusing only on that should let you manhandle an entire militia or police station into submission. Otherwise, this will give abilities such as a forest nymph's chlor"&amp;"okinesis or a dragon's fire breathing and flight. This can grant minor sexual effects on top of that, such as having a self-lubricating dick and being capable of impregnating men. Despite the flavor, this can also be used to become an alien, in which case"&amp;" your abilities will appear biological in nature. Perversion isn't limited to humans and those shaped by their desires, after all.")</f>
        <v>Magical creatures can be found even in the more modern versions of this world, which is exactly what you seem to be. This option allows you to become a monstergirl, either one from a specific caption or of your design. At base this provides a basic superhuman physique, enough to break any doors or barricades down and rape regular humans, but focusing only on that should let you manhandle an entire militia or police station into submission. Otherwise, this will give abilities such as a forest nymph's chlorokinesis or a dragon's fire breathing and flight. This can grant minor sexual effects on top of that, such as having a self-lubricating dick and being capable of impregnating men. Despite the flavor, this can also be used to become an alien, in which case your abilities will appear biological in nature. Perversion isn't limited to humans and those shaped by their desires, after all.</v>
      </c>
      <c r="I31" s="5"/>
    </row>
    <row r="32" spans="1:9" ht="121.8" x14ac:dyDescent="0.25">
      <c r="A32" s="16"/>
      <c r="B32" s="17">
        <v>28</v>
      </c>
      <c r="C32" s="2" t="b">
        <f ca="1">IFERROR(__xludf.DUMMYFUNCTION("""COMPUTED_VALUE"""),FALSE)</f>
        <v>0</v>
      </c>
      <c r="D32" s="2">
        <f ca="1">IFERROR(__xludf.DUMMYFUNCTION("""COMPUTED_VALUE"""),200)</f>
        <v>200</v>
      </c>
      <c r="E32" s="2" t="str">
        <f ca="1">IFERROR(__xludf.DUMMYFUNCTION("""COMPUTED_VALUE"""),"Rito Form")</f>
        <v>Rito Form</v>
      </c>
      <c r="F32" s="2" t="str">
        <f ca="1">IFERROR(__xludf.DUMMYFUNCTION("""COMPUTED_VALUE"""),"Breathless Wild")</f>
        <v>Breathless Wild</v>
      </c>
      <c r="G32" s="2" t="str">
        <f ca="1">IFERROR(__xludf.DUMMYFUNCTION("""COMPUTED_VALUE"""),"Alternate Forms")</f>
        <v>Alternate Forms</v>
      </c>
      <c r="H32" s="2" t="str">
        <f ca="1">IFERROR(__xludf.DUMMYFUNCTION("""COMPUTED_VALUE"""),"The rito are a race of bird people native to the Hebra region, though they’re a common sight in almost any corner of Hyrule. Their ability to fly makes them some of the best scouts and hunters in Hyrule, as well as widely-traveled traders. Unlike the zora"&amp;" the rito sometimes struggle with complex craftsmanship thanks to a relative lack of manual dexterity with their wings, but they’ll eagerly trade for whatever tools or services they need and in this new Hyrule no trade is more lucrative than the sex trade"&amp;". Rito Village is a major hub of prostitution and sex slavery, and travelers come from all over to purchase the services of the rito tribe’s famously well-trained slaves.")</f>
        <v>The rito are a race of bird people native to the Hebra region, though they’re a common sight in almost any corner of Hyrule. Their ability to fly makes them some of the best scouts and hunters in Hyrule, as well as widely-traveled traders. Unlike the zora the rito sometimes struggle with complex craftsmanship thanks to a relative lack of manual dexterity with their wings, but they’ll eagerly trade for whatever tools or services they need and in this new Hyrule no trade is more lucrative than the sex trade. Rito Village is a major hub of prostitution and sex slavery, and travelers come from all over to purchase the services of the rito tribe’s famously well-trained slaves.</v>
      </c>
      <c r="I32" s="5"/>
    </row>
    <row r="33" spans="1:9" ht="156.6" x14ac:dyDescent="0.25">
      <c r="A33" s="16"/>
      <c r="B33" s="17">
        <v>29</v>
      </c>
      <c r="C33" s="2" t="b">
        <f ca="1">IFERROR(__xludf.DUMMYFUNCTION("""COMPUTED_VALUE"""),FALSE)</f>
        <v>0</v>
      </c>
      <c r="D33" s="2">
        <f ca="1">IFERROR(__xludf.DUMMYFUNCTION("""COMPUTED_VALUE"""),200)</f>
        <v>200</v>
      </c>
      <c r="E33" s="2" t="str">
        <f ca="1">IFERROR(__xludf.DUMMYFUNCTION("""COMPUTED_VALUE"""),"Rubber Person")</f>
        <v>Rubber Person</v>
      </c>
      <c r="F33" s="2" t="str">
        <f ca="1">IFERROR(__xludf.DUMMYFUNCTION("""COMPUTED_VALUE"""),"Generic: Norithics")</f>
        <v>Generic: Norithics</v>
      </c>
      <c r="G33" s="2" t="str">
        <f ca="1">IFERROR(__xludf.DUMMYFUNCTION("""COMPUTED_VALUE"""),"Alternate Forms")</f>
        <v>Alternate Forms</v>
      </c>
      <c r="H33" s="2" t="str">
        <f ca="1">IFERROR(__xludf.DUMMYFUNCTION("""COMPUTED_VALUE"""),"You can turn into a Rubber Person, the politically correct term for intelligent living blowup (sex) dolls, rubber people are quite literally made for sex. With incredibly elastic bodies that are not only biologically immortal, but also possess powerful re"&amp;"generative abilities if given sufficient ‘food’. Blessed with removable bits, they’re still able to experience the sensations of their detached parts from anywhere within 1 AU.
Rubber people seem to have an instinctive knack for pleasuring penises, able "&amp;"to bring just about anything with a dick to a positively massive orgasm in a jiffy. Something which is particularly handy when you consider that they feed almost exclusively on latex and the life energy found in sperm.")</f>
        <v>You can turn into a Rubber Person, the politically correct term for intelligent living blowup (sex) dolls, rubber people are quite literally made for sex. With incredibly elastic bodies that are not only biologically immortal, but also possess powerful regenerative abilities if given sufficient ‘food’. Blessed with removable bits, they’re still able to experience the sensations of their detached parts from anywhere within 1 AU.
Rubber people seem to have an instinctive knack for pleasuring penises, able to bring just about anything with a dick to a positively massive orgasm in a jiffy. Something which is particularly handy when you consider that they feed almost exclusively on latex and the life energy found in sperm.</v>
      </c>
      <c r="I33" s="5"/>
    </row>
    <row r="34" spans="1:9" ht="87" x14ac:dyDescent="0.25">
      <c r="A34" s="16"/>
      <c r="B34" s="17">
        <v>30</v>
      </c>
      <c r="C34" s="2" t="b">
        <f ca="1">IFERROR(__xludf.DUMMYFUNCTION("""COMPUTED_VALUE"""),FALSE)</f>
        <v>0</v>
      </c>
      <c r="D34" s="2">
        <f ca="1">IFERROR(__xludf.DUMMYFUNCTION("""COMPUTED_VALUE"""),200)</f>
        <v>200</v>
      </c>
      <c r="E34" s="2" t="str">
        <f ca="1">IFERROR(__xludf.DUMMYFUNCTION("""COMPUTED_VALUE"""),"Slime Form")</f>
        <v>Slime Form</v>
      </c>
      <c r="F34" s="2" t="str">
        <f ca="1">IFERROR(__xludf.DUMMYFUNCTION("""COMPUTED_VALUE"""),"Monster Musume no Iru Nichijou")</f>
        <v>Monster Musume no Iru Nichijou</v>
      </c>
      <c r="G34" s="2" t="str">
        <f ca="1">IFERROR(__xludf.DUMMYFUNCTION("""COMPUTED_VALUE"""),"Alternate Forms")</f>
        <v>Alternate Forms</v>
      </c>
      <c r="H34" s="2" t="str">
        <f ca="1">IFERROR(__xludf.DUMMYFUNCTION("""COMPUTED_VALUE"""),"A shapeshifting slime that can even mimic how a person looks right down to changing their color or what they’re wearing but cannot hide their head tentacle. They can read minds with their head tentacle, heal injuries with their internal waters, and are pr"&amp;"etty much immune to most damaging things except large bodies of water and dehydration. Their mood can be forcibly change due to some substances.")</f>
        <v>A shapeshifting slime that can even mimic how a person looks right down to changing their color or what they’re wearing but cannot hide their head tentacle. They can read minds with their head tentacle, heal injuries with their internal waters, and are pretty much immune to most damaging things except large bodies of water and dehydration. Their mood can be forcibly change due to some substances.</v>
      </c>
      <c r="I34" s="5"/>
    </row>
    <row r="35" spans="1:9" ht="52.2" x14ac:dyDescent="0.25">
      <c r="A35" s="16"/>
      <c r="B35" s="17">
        <v>31</v>
      </c>
      <c r="C35" s="2" t="b">
        <f ca="1">IFERROR(__xludf.DUMMYFUNCTION("""COMPUTED_VALUE"""),FALSE)</f>
        <v>0</v>
      </c>
      <c r="D35" s="2">
        <f ca="1">IFERROR(__xludf.DUMMYFUNCTION("""COMPUTED_VALUE"""),200)</f>
        <v>200</v>
      </c>
      <c r="E35" s="2" t="str">
        <f ca="1">IFERROR(__xludf.DUMMYFUNCTION("""COMPUTED_VALUE"""),"Tauric Form")</f>
        <v>Tauric Form</v>
      </c>
      <c r="F35" s="2" t="str">
        <f ca="1">IFERROR(__xludf.DUMMYFUNCTION("""COMPUTED_VALUE"""),"Winger’s World")</f>
        <v>Winger’s World</v>
      </c>
      <c r="G35" s="2" t="str">
        <f ca="1">IFERROR(__xludf.DUMMYFUNCTION("""COMPUTED_VALUE"""),"Alternate Forms")</f>
        <v>Alternate Forms</v>
      </c>
      <c r="H35" s="2" t="str">
        <f ca="1">IFERROR(__xludf.DUMMYFUNCTION("""COMPUTED_VALUE"""),"Your lower half is... unique. Basically, you have four legs and an extra stomach. You closely resemble a centaur, but not necessarily a horse. If a Furry, your lower half is that of whatever animal you represent. If you are a human... well....")</f>
        <v>Your lower half is... unique. Basically, you have four legs and an extra stomach. You closely resemble a centaur, but not necessarily a horse. If a Furry, your lower half is that of whatever animal you represent. If you are a human... well....</v>
      </c>
      <c r="I35" s="5"/>
    </row>
    <row r="36" spans="1:9" ht="156.6" x14ac:dyDescent="0.25">
      <c r="A36" s="16"/>
      <c r="B36" s="17">
        <v>32</v>
      </c>
      <c r="C36" s="2" t="b">
        <f ca="1">IFERROR(__xludf.DUMMYFUNCTION("""COMPUTED_VALUE"""),FALSE)</f>
        <v>0</v>
      </c>
      <c r="D36" s="2">
        <f ca="1">IFERROR(__xludf.DUMMYFUNCTION("""COMPUTED_VALUE"""),200)</f>
        <v>200</v>
      </c>
      <c r="E36" s="2" t="str">
        <f ca="1">IFERROR(__xludf.DUMMYFUNCTION("""COMPUTED_VALUE"""),"Zora Form")</f>
        <v>Zora Form</v>
      </c>
      <c r="F36" s="2" t="str">
        <f ca="1">IFERROR(__xludf.DUMMYFUNCTION("""COMPUTED_VALUE"""),"Breathless Wild")</f>
        <v>Breathless Wild</v>
      </c>
      <c r="G36" s="2" t="str">
        <f ca="1">IFERROR(__xludf.DUMMYFUNCTION("""COMPUTED_VALUE"""),"Alternate Forms")</f>
        <v>Alternate Forms</v>
      </c>
      <c r="H36" s="2" t="str">
        <f ca="1">IFERROR(__xludf.DUMMYFUNCTION("""COMPUTED_VALUE"""),"The Zora are a race of merpeople known for being insular and sometimes hostile to outsiders, especially since the fall of Hyrule, though they warm up quickly to anyone who proves themselves a friend. Zora are the best swimmers in Hyrule, and the best of t"&amp;"heir number can even learn to swim up waterfalls and blast through the water with the speed of a stallion. They’re also widely known as the best craftsmen in Hyrule, from great works of architecture like the monolithic Zora’s Domain to the artistic silver"&amp;" weapons and scale armor they use in war. Following Hyrule’s collapse they turned these talents to creating devices to protect themselves from being ravished by monsters. Zora women wear plugs, chastity belts, and similar devices the way women of other ra"&amp;"ces might wear fine jewelry, while men seal themselves inside thick armor.")</f>
        <v>The Zora are a race of merpeople known for being insular and sometimes hostile to outsiders, especially since the fall of Hyrule, though they warm up quickly to anyone who proves themselves a friend. Zora are the best swimmers in Hyrule, and the best of their number can even learn to swim up waterfalls and blast through the water with the speed of a stallion. They’re also widely known as the best craftsmen in Hyrule, from great works of architecture like the monolithic Zora’s Domain to the artistic silver weapons and scale armor they use in war. Following Hyrule’s collapse they turned these talents to creating devices to protect themselves from being ravished by monsters. Zora women wear plugs, chastity belts, and similar devices the way women of other races might wear fine jewelry, while men seal themselves inside thick armor.</v>
      </c>
      <c r="I36" s="5"/>
    </row>
    <row r="37" spans="1:9" ht="69.599999999999994" x14ac:dyDescent="0.25">
      <c r="A37" s="16"/>
      <c r="B37" s="17">
        <v>33</v>
      </c>
      <c r="C37" s="2" t="b">
        <f ca="1">IFERROR(__xludf.DUMMYFUNCTION("""COMPUTED_VALUE"""),FALSE)</f>
        <v>0</v>
      </c>
      <c r="D37" s="2">
        <f ca="1">IFERROR(__xludf.DUMMYFUNCTION("""COMPUTED_VALUE"""),300)</f>
        <v>300</v>
      </c>
      <c r="E37" s="2" t="str">
        <f ca="1">IFERROR(__xludf.DUMMYFUNCTION("""COMPUTED_VALUE"""),"Arachne")</f>
        <v>Arachne</v>
      </c>
      <c r="F37" s="2" t="str">
        <f ca="1">IFERROR(__xludf.DUMMYFUNCTION("""COMPUTED_VALUE"""),"Monster Musume no Iru Nichijou")</f>
        <v>Monster Musume no Iru Nichijou</v>
      </c>
      <c r="G37" s="2" t="str">
        <f ca="1">IFERROR(__xludf.DUMMYFUNCTION("""COMPUTED_VALUE"""),"Alternate Forms")</f>
        <v>Alternate Forms</v>
      </c>
      <c r="H37" s="2" t="str">
        <f ca="1">IFERROR(__xludf.DUMMYFUNCTION("""COMPUTED_VALUE"""),"Thread spinning, producing spider silk, listening through said threads... Arachne are not to be trifled with. Possessing a superb night vision, and enough speed to dodge bullets they are one of the toughest monsters around. They however have an intoleranc"&amp;"e to coffee that would make them incredibly drunk.")</f>
        <v>Thread spinning, producing spider silk, listening through said threads... Arachne are not to be trifled with. Possessing a superb night vision, and enough speed to dodge bullets they are one of the toughest monsters around. They however have an intolerance to coffee that would make them incredibly drunk.</v>
      </c>
      <c r="I37" s="5"/>
    </row>
    <row r="38" spans="1:9" ht="313.2" x14ac:dyDescent="0.25">
      <c r="A38" s="16"/>
      <c r="B38" s="17">
        <v>34</v>
      </c>
      <c r="C38" s="2" t="b">
        <f ca="1">IFERROR(__xludf.DUMMYFUNCTION("""COMPUTED_VALUE"""),FALSE)</f>
        <v>0</v>
      </c>
      <c r="D38" s="2">
        <f ca="1">IFERROR(__xludf.DUMMYFUNCTION("""COMPUTED_VALUE"""),300)</f>
        <v>300</v>
      </c>
      <c r="E38" s="2" t="str">
        <f ca="1">IFERROR(__xludf.DUMMYFUNCTION("""COMPUTED_VALUE"""),"Armed Virus")</f>
        <v>Armed Virus</v>
      </c>
      <c r="F38" s="2" t="str">
        <f ca="1">IFERROR(__xludf.DUMMYFUNCTION("""COMPUTED_VALUE"""),"Valkyrie Drive: Mermaid")</f>
        <v>Valkyrie Drive: Mermaid</v>
      </c>
      <c r="G38" s="2" t="str">
        <f ca="1">IFERROR(__xludf.DUMMYFUNCTION("""COMPUTED_VALUE"""),"Alternate Forms")</f>
        <v>Alternate Forms</v>
      </c>
      <c r="H38" s="2" t="str">
        <f ca="1">IFERROR(__xludf.DUMMYFUNCTION("""COMPUTED_VALUE"""),"You, poor thing, are infected with the Armed Virus. Whether this was something you’ve carried since birth, or something that was dropped on you once you arrived in this world, you are one of the unfortunate masses that is removed from society to be quaran"&amp;"tined on one of the prison islands. Everyone infected with the Armed virus falls into one of three categories: Extar, Liberator, or Hybrid. Select one when you recieve this perk.
Extars have the ability to turn into a powerful weapon or armour once arous"&amp;"ed. This item can be pretty much anything - a sword, a gun, a shield, etc. - and will generally have a special ability of some kind. However, the power of this special ability depends on their connection with their wielder.
Liberators form strong and pow"&amp;"erful bonds with Extars (and similar individuals) and have an instinctual understanding of how to handle any Extar transformation at a base level of competency; both the item they become and how to make them transform~. They also have a mildly superhuman "&amp;"constitution, giving them the basics required to wield such powerful weapons.
Hybrids are both Extars and Liberators simultaniously. Choosing this option costs an additional 100 CP.")</f>
        <v>You, poor thing, are infected with the Armed Virus. Whether this was something you’ve carried since birth, or something that was dropped on you once you arrived in this world, you are one of the unfortunate masses that is removed from society to be quarantined on one of the prison islands. Everyone infected with the Armed virus falls into one of three categories: Extar, Liberator, or Hybrid. Select one when you recieve this perk.
Extars have the ability to turn into a powerful weapon or armour once aroused. This item can be pretty much anything - a sword, a gun, a shield, etc. - and will generally have a special ability of some kind. However, the power of this special ability depends on their connection with their wielder.
Liberators form strong and powerful bonds with Extars (and similar individuals) and have an instinctual understanding of how to handle any Extar transformation at a base level of competency; both the item they become and how to make them transform~. They also have a mildly superhuman constitution, giving them the basics required to wield such powerful weapons.
Hybrids are both Extars and Liberators simultaniously. Choosing this option costs an additional 100 CP.</v>
      </c>
      <c r="I38" s="5"/>
    </row>
    <row r="39" spans="1:9" ht="121.8" x14ac:dyDescent="0.25">
      <c r="A39" s="16"/>
      <c r="B39" s="17">
        <v>35</v>
      </c>
      <c r="C39" s="2" t="b">
        <f ca="1">IFERROR(__xludf.DUMMYFUNCTION("""COMPUTED_VALUE"""),FALSE)</f>
        <v>0</v>
      </c>
      <c r="D39" s="2">
        <f ca="1">IFERROR(__xludf.DUMMYFUNCTION("""COMPUTED_VALUE"""),300)</f>
        <v>300</v>
      </c>
      <c r="E39" s="2" t="str">
        <f ca="1">IFERROR(__xludf.DUMMYFUNCTION("""COMPUTED_VALUE"""),"Chest Mimic")</f>
        <v>Chest Mimic</v>
      </c>
      <c r="F39" s="2" t="str">
        <f ca="1">IFERROR(__xludf.DUMMYFUNCTION("""COMPUTED_VALUE"""),"Miyuki-chan in Wonderland")</f>
        <v>Miyuki-chan in Wonderland</v>
      </c>
      <c r="G39" s="2" t="str">
        <f ca="1">IFERROR(__xludf.DUMMYFUNCTION("""COMPUTED_VALUE"""),"Alternate Forms")</f>
        <v>Alternate Forms</v>
      </c>
      <c r="H39" s="2" t="str">
        <f ca="1">IFERROR(__xludf.DUMMYFUNCTION("""COMPUTED_VALUE"""),"You can store yourself inside a chest and stay inside however long you wish without losing any health or suffering from any vital needs. As soon as someone opens the chest, a blinding light flashes, giving you the opportunity of the first strike! Furtherm"&amp;"ore, you gain the proper form of an “Incubus” Mimic from the game, complete with magical black wings (that allow you to fly) on your head, a devil-spaded tail, and a long tongue perfect for French kissing; plus, you have access to “Sexy Demon” magic, whic"&amp;"h allows you to erotically stimulate and paralyze targets through physical contact (and doing so drains small amounts of HP/MP from the victim to boost your own reserves).")</f>
        <v>You can store yourself inside a chest and stay inside however long you wish without losing any health or suffering from any vital needs. As soon as someone opens the chest, a blinding light flashes, giving you the opportunity of the first strike! Furthermore, you gain the proper form of an “Incubus” Mimic from the game, complete with magical black wings (that allow you to fly) on your head, a devil-spaded tail, and a long tongue perfect for French kissing; plus, you have access to “Sexy Demon” magic, which allows you to erotically stimulate and paralyze targets through physical contact (and doing so drains small amounts of HP/MP from the victim to boost your own reserves).</v>
      </c>
      <c r="I39" s="5"/>
    </row>
    <row r="40" spans="1:9" ht="139.19999999999999" x14ac:dyDescent="0.25">
      <c r="A40" s="16"/>
      <c r="B40" s="17">
        <v>36</v>
      </c>
      <c r="C40" s="2" t="b">
        <f ca="1">IFERROR(__xludf.DUMMYFUNCTION("""COMPUTED_VALUE"""),FALSE)</f>
        <v>0</v>
      </c>
      <c r="D40" s="2">
        <f ca="1">IFERROR(__xludf.DUMMYFUNCTION("""COMPUTED_VALUE"""),300)</f>
        <v>300</v>
      </c>
      <c r="E40" s="2" t="str">
        <f ca="1">IFERROR(__xludf.DUMMYFUNCTION("""COMPUTED_VALUE"""),"Cute and Cuddly")</f>
        <v>Cute and Cuddly</v>
      </c>
      <c r="F40" s="2" t="str">
        <f ca="1">IFERROR(__xludf.DUMMYFUNCTION("""COMPUTED_VALUE"""),"Generic: Hentai Magical Girl")</f>
        <v>Generic: Hentai Magical Girl</v>
      </c>
      <c r="G40" s="2" t="str">
        <f ca="1">IFERROR(__xludf.DUMMYFUNCTION("""COMPUTED_VALUE"""),"Alternate Forms")</f>
        <v>Alternate Forms</v>
      </c>
      <c r="H40" s="2" t="str">
        <f ca="1">IFERROR(__xludf.DUMMYFUNCTION("""COMPUTED_VALUE"""),"A good judge of character? Supportive? Knowledgeable? These are all secondary for a magical gilr mascot. The real thing you need is to be cute and cuddly. For getting the maximum number of hugs that squeeze you into their boobs. 
Pick an ordinary-ish ani"&amp;"mal. You now have a miniaturized form that looks like one, stuffed animal looks optional. When in that form, it's basically impossible to detect any actual powers from you, other than a limited shape-changing ability. Better yet, you'll get a power boost "&amp;"after exiting it, and the longer you stay in that form, the bigger the boost.")</f>
        <v>A good judge of character? Supportive? Knowledgeable? These are all secondary for a magical gilr mascot. The real thing you need is to be cute and cuddly. For getting the maximum number of hugs that squeeze you into their boobs. 
Pick an ordinary-ish animal. You now have a miniaturized form that looks like one, stuffed animal looks optional. When in that form, it's basically impossible to detect any actual powers from you, other than a limited shape-changing ability. Better yet, you'll get a power boost after exiting it, and the longer you stay in that form, the bigger the boost.</v>
      </c>
      <c r="I40" s="5"/>
    </row>
    <row r="41" spans="1:9" ht="139.19999999999999" x14ac:dyDescent="0.25">
      <c r="A41" s="16"/>
      <c r="B41" s="17">
        <v>37</v>
      </c>
      <c r="C41" s="2" t="b">
        <f ca="1">IFERROR(__xludf.DUMMYFUNCTION("""COMPUTED_VALUE"""),FALSE)</f>
        <v>0</v>
      </c>
      <c r="D41" s="2">
        <f ca="1">IFERROR(__xludf.DUMMYFUNCTION("""COMPUTED_VALUE"""),300)</f>
        <v>300</v>
      </c>
      <c r="E41" s="2" t="str">
        <f ca="1">IFERROR(__xludf.DUMMYFUNCTION("""COMPUTED_VALUE"""),"Familiar Crown")</f>
        <v>Familiar Crown</v>
      </c>
      <c r="F41" s="2" t="str">
        <f ca="1">IFERROR(__xludf.DUMMYFUNCTION("""COMPUTED_VALUE"""),"TSF World")</f>
        <v>TSF World</v>
      </c>
      <c r="G41" s="2" t="str">
        <f ca="1">IFERROR(__xludf.DUMMYFUNCTION("""COMPUTED_VALUE"""),"Alternate Forms")</f>
        <v>Alternate Forms</v>
      </c>
      <c r="H41" s="2" t="str">
        <f ca="1">IFERROR(__xludf.DUMMYFUNCTION("""COMPUTED_VALUE"""),"This is an interesting item of clothing, one whose origin was in no small part influenced by the magic of a land of plumbers and mushrooms. This item is filled with an incredible magical power. Anything that wears this crown will instantly be turned into "&amp;"an attractive young woman, whose general aesthetic and appearance is up to you to decide. Blonde princess is a classic. Anything the slightest bit sentient can be transformed in this way as long as the item is placed on them. For safety purposes, this wil"&amp;"l not activate without clear intent for objects of sufficiently dangerous size. Should the item be destroyed or otherwise magically vanished while still being worn, the transformation is liable to be rendered permanent.")</f>
        <v>This is an interesting item of clothing, one whose origin was in no small part influenced by the magic of a land of plumbers and mushrooms. This item is filled with an incredible magical power. Anything that wears this crown will instantly be turned into an attractive young woman, whose general aesthetic and appearance is up to you to decide. Blonde princess is a classic. Anything the slightest bit sentient can be transformed in this way as long as the item is placed on them. For safety purposes, this will not activate without clear intent for objects of sufficiently dangerous size. Should the item be destroyed or otherwise magically vanished while still being worn, the transformation is liable to be rendered permanent.</v>
      </c>
      <c r="I41" s="5"/>
    </row>
    <row r="42" spans="1:9" ht="121.8" x14ac:dyDescent="0.25">
      <c r="A42" s="16"/>
      <c r="B42" s="17">
        <v>38</v>
      </c>
      <c r="C42" s="2" t="b">
        <f ca="1">IFERROR(__xludf.DUMMYFUNCTION("""COMPUTED_VALUE"""),FALSE)</f>
        <v>0</v>
      </c>
      <c r="D42" s="2">
        <f ca="1">IFERROR(__xludf.DUMMYFUNCTION("""COMPUTED_VALUE"""),300)</f>
        <v>300</v>
      </c>
      <c r="E42" s="2" t="str">
        <f ca="1">IFERROR(__xludf.DUMMYFUNCTION("""COMPUTED_VALUE"""),"Ghostly Lover")</f>
        <v>Ghostly Lover</v>
      </c>
      <c r="F42" s="2" t="str">
        <f ca="1">IFERROR(__xludf.DUMMYFUNCTION("""COMPUTED_VALUE"""),"World of Lewd Horror")</f>
        <v>World of Lewd Horror</v>
      </c>
      <c r="G42" s="2" t="str">
        <f ca="1">IFERROR(__xludf.DUMMYFUNCTION("""COMPUTED_VALUE"""),"Alternate Forms")</f>
        <v>Alternate Forms</v>
      </c>
      <c r="H42" s="2" t="str">
        <f ca="1">IFERROR(__xludf.DUMMYFUNCTION("""COMPUTED_VALUE"""),"You may be dead, or have gone through some kind of mad science experiment, but you may become invisible and/or incorporeal at will. And since everyone knows ghosts don’t exist, people who don’t directly experience your actions in this state will be extrem"&amp;"ely skeptical. There’s no way a poltergeist flung the window open. It must have been the wind. And that girl who is getting flushed and fidgety as she claims that a ghost is groping her? Nonsense, she’s clearly just a dirty slut. You can only push this so"&amp;" far before even the most unbelieving must admit something strange is happening though.")</f>
        <v>You may be dead, or have gone through some kind of mad science experiment, but you may become invisible and/or incorporeal at will. And since everyone knows ghosts don’t exist, people who don’t directly experience your actions in this state will be extremely skeptical. There’s no way a poltergeist flung the window open. It must have been the wind. And that girl who is getting flushed and fidgety as she claims that a ghost is groping her? Nonsense, she’s clearly just a dirty slut. You can only push this so far before even the most unbelieving must admit something strange is happening though.</v>
      </c>
      <c r="I42" s="5"/>
    </row>
    <row r="43" spans="1:9" ht="174" x14ac:dyDescent="0.25">
      <c r="A43" s="16"/>
      <c r="B43" s="17">
        <v>39</v>
      </c>
      <c r="C43" s="2" t="b">
        <f ca="1">IFERROR(__xludf.DUMMYFUNCTION("""COMPUTED_VALUE"""),FALSE)</f>
        <v>0</v>
      </c>
      <c r="D43" s="2">
        <f ca="1">IFERROR(__xludf.DUMMYFUNCTION("""COMPUTED_VALUE"""),300)</f>
        <v>300</v>
      </c>
      <c r="E43" s="2" t="str">
        <f ca="1">IFERROR(__xludf.DUMMYFUNCTION("""COMPUTED_VALUE"""),"Manakete")</f>
        <v>Manakete</v>
      </c>
      <c r="F43" s="2" t="str">
        <f ca="1">IFERROR(__xludf.DUMMYFUNCTION("""COMPUTED_VALUE"""),"A Change of Tactics V2.2")</f>
        <v>A Change of Tactics V2.2</v>
      </c>
      <c r="G43" s="2" t="str">
        <f ca="1">IFERROR(__xludf.DUMMYFUNCTION("""COMPUTED_VALUE"""),"Alternate Forms")</f>
        <v>Alternate Forms</v>
      </c>
      <c r="H43" s="2" t="str">
        <f ca="1">IFERROR(__xludf.DUMMYFUNCTION("""COMPUTED_VALUE"""),"The manakete are descendents of the ancient dragons who followed Naga’s will and sealed their great power into dragonstones to preserve their sanity. Like the taguel they are extremely long-lived humanoids who harness the power contained in their dragonst"&amp;"ones to transform into their true dragon forms, granting them superhuman physical and magical strength and a pair of wings strong enough to fly with. Much like Corrin, some manakete can also learn to shapeshift individual parts of their bodies rather than"&amp;" assuming a full dragon form, granting them their draconic strength even in their humanoid forms. Like the beastkin you gain a free fiat-backed dragonstone which will return to you within a day if it is ever lost or misplaced. Dragonspawn with this perk d"&amp;"o not require a dragonstone to transform, nor are they ever at risk of going mad without one like traditional dragons.")</f>
        <v>The manakete are descendents of the ancient dragons who followed Naga’s will and sealed their great power into dragonstones to preserve their sanity. Like the taguel they are extremely long-lived humanoids who harness the power contained in their dragonstones to transform into their true dragon forms, granting them superhuman physical and magical strength and a pair of wings strong enough to fly with. Much like Corrin, some manakete can also learn to shapeshift individual parts of their bodies rather than assuming a full dragon form, granting them their draconic strength even in their humanoid forms. Like the beastkin you gain a free fiat-backed dragonstone which will return to you within a day if it is ever lost or misplaced. Dragonspawn with this perk do not require a dragonstone to transform, nor are they ever at risk of going mad without one like traditional dragons.</v>
      </c>
      <c r="I43" s="5"/>
    </row>
    <row r="44" spans="1:9" ht="313.2" x14ac:dyDescent="0.25">
      <c r="A44" s="16"/>
      <c r="B44" s="17">
        <v>40</v>
      </c>
      <c r="C44" s="2" t="b">
        <f ca="1">IFERROR(__xludf.DUMMYFUNCTION("""COMPUTED_VALUE"""),FALSE)</f>
        <v>0</v>
      </c>
      <c r="D44" s="2">
        <f ca="1">IFERROR(__xludf.DUMMYFUNCTION("""COMPUTED_VALUE"""),300)</f>
        <v>300</v>
      </c>
      <c r="E44" s="2" t="str">
        <f ca="1">IFERROR(__xludf.DUMMYFUNCTION("""COMPUTED_VALUE"""),"Pony Form")</f>
        <v>Pony Form</v>
      </c>
      <c r="F44" s="2" t="str">
        <f ca="1">IFERROR(__xludf.DUMMYFUNCTION("""COMPUTED_VALUE"""),"Erotic Equestria")</f>
        <v>Erotic Equestria</v>
      </c>
      <c r="G44" s="2" t="str">
        <f ca="1">IFERROR(__xludf.DUMMYFUNCTION("""COMPUTED_VALUE"""),"Alternate Forms")</f>
        <v>Alternate Forms</v>
      </c>
      <c r="H44" s="2" t="str">
        <f ca="1">IFERROR(__xludf.DUMMYFUNCTION("""COMPUTED_VALUE"""),"You gain the ability to transform into a technicolour pony! This pony form comes with a blank flank that will take on what's known as a cutie mark when you find your 'special talent'. The mark will be indicative of the talent, but also your personality, a"&amp;"nd signifies an amplification of your abilities within that domain. Do your talents influence your cutie mark, or does your cutie mark influence your talents? It seems to be a bit of a chicken and the egg situation. It should be noted that this is talent "&amp;"and not a power. Regardless, said pony form also gains the abilities of one of the three phenotypes of pony kind:
Earth Ponies: Stronger than other kinds of ponies, with a greater pool of stamina as well as a talent for nuturing.
Unicorns: They have a ho"&amp;"rn on their head that acts as an arcane focus!
Pegasii: They have wings that let them fly with startling agility and can physically manipulate the weather.
Ponies with significant magical power also have the possibility of ascending to Alicorn-hood, gain"&amp;"ing all the benefits of ponykind in a manner that has them enhance each other. Of course, power alone isn't enough, there has to be something more to it. Perhaps there is something to the phrase 'Friendship is Magic'...")</f>
        <v>You gain the ability to transform into a technicolour pony! This pony form comes with a blank flank that will take on what's known as a cutie mark when you find your 'special talent'. The mark will be indicative of the talent, but also your personality, and signifies an amplification of your abilities within that domain. Do your talents influence your cutie mark, or does your cutie mark influence your talents? It seems to be a bit of a chicken and the egg situation. It should be noted that this is talent and not a power. Regardless, said pony form also gains the abilities of one of the three phenotypes of pony kind:
Earth Ponies: Stronger than other kinds of ponies, with a greater pool of stamina as well as a talent for nuturing.
Unicorns: They have a horn on their head that acts as an arcane focus!
Pegasii: They have wings that let them fly with startling agility and can physically manipulate the weather.
Ponies with significant magical power also have the possibility of ascending to Alicorn-hood, gaining all the benefits of ponykind in a manner that has them enhance each other. Of course, power alone isn't enough, there has to be something more to it. Perhaps there is something to the phrase 'Friendship is Magic'...</v>
      </c>
      <c r="I44" s="5"/>
    </row>
    <row r="45" spans="1:9" ht="409.6" x14ac:dyDescent="0.25">
      <c r="A45" s="16"/>
      <c r="B45" s="17">
        <v>41</v>
      </c>
      <c r="C45" s="2" t="b">
        <f ca="1">IFERROR(__xludf.DUMMYFUNCTION("""COMPUTED_VALUE"""),FALSE)</f>
        <v>0</v>
      </c>
      <c r="D45" s="2">
        <f ca="1">IFERROR(__xludf.DUMMYFUNCTION("""COMPUTED_VALUE"""),300)</f>
        <v>300</v>
      </c>
      <c r="E45" s="2" t="str">
        <f ca="1">IFERROR(__xludf.DUMMYFUNCTION("""COMPUTED_VALUE"""),"Shipgirl Form")</f>
        <v>Shipgirl Form</v>
      </c>
      <c r="F45" s="2" t="str">
        <f ca="1">IFERROR(__xludf.DUMMYFUNCTION("""COMPUTED_VALUE"""),"Generic: Lewd Shipgirls")</f>
        <v>Generic: Lewd Shipgirls</v>
      </c>
      <c r="G45" s="2" t="str">
        <f ca="1">IFERROR(__xludf.DUMMYFUNCTION("""COMPUTED_VALUE"""),"Alternate Forms")</f>
        <v>Alternate Forms</v>
      </c>
      <c r="H45" s="2" t="str">
        <f ca="1">IFERROR(__xludf.DUMMYFUNCTION("""COMPUTED_VALUE"""),"You can turn into a shipgirl! As a shipgirl, you are as strong and as tough as a ship. Despite this, you still have the profile of a woman. By summoning your “rigging,” a mechanical set of gear based upon your ship form, you gain access to the capabilitie"&amp;"s of your ship form. You can use your rangefinders and radars to see the world around, listen through your hydrophones, and can feel your crew moving about within you. You can sail on water, which kind of looks like skating with your human form. Your weap"&amp;"ons still function, even if certain weapons are not represented on your rigging. Your hold and many of the tools aboard are available for your use at full-size. Normally summoning your rigging will also change your clothes to a specific outfit, but this c"&amp;"an be suppressed. 
Speaking of your crew, they are usually called “fairies” and take the form of chibi versions of your human self. They are loyal and capable of fulfilling all the tasks that need doing on a ship like yourself. They’re kind of like cells"&amp;", actually. If killed, they return as part of the healing process. They can exit your hull, but they are notably weaker outside - while possessing the strength of fit sea dogs inside, while outside a single fairy could no more pick up a soda can than a si"&amp;"ngle sailor could pick up a filled 55-gallon drum of Bunker C. Be nice to them - their stress is your stress. 
And while you can consume oil to refuel your bunkers, propellant and explosive to resupply your ammunition, and steel to resupply your damage c"&amp;"ontrol material, those will only restock your supplies of those specific materials. Eating food allows you to resupply all your stocks, is much tastier, and is easier on logistics. You need around 3,000 - 10,000 calories a day on average, depending on you"&amp;"r ship form’s logistics needs, or around twice that if engaging in battle. Of course, since you have the ability to go without resupply and refueling for weeks at a time, probably, you might wind up very hungry at times. Also, you’ll probably be craving f"&amp;"resh fruit and other perishables that your onboard kitchens can’t provide after a long sortie. 
Unfortunately, food stored aboard a shipgirl cannot be used to restock another shipgirl’s supplies directly. The food from a shipgirl’s holds seems to have no"&amp;" nutritional value except to fairies. Still tastes good though. UNREP isn’t an exception as it’s manifesting the supplies as food. You can’t get an Infinite Sandwich Loop that eliminates your need for logistics.
You can also adjust your mass and power fr"&amp;"om anywhere between “normal girl” and your ship form. This is useful for getting into cars, ramming through walls, and not pulverizing your lovers.")</f>
        <v>You can turn into a shipgirl! As a shipgirl, you are as strong and as tough as a ship. Despite this, you still have the profile of a woman. By summoning your “rigging,” a mechanical set of gear based upon your ship form, you gain access to the capabilities of your ship form. You can use your rangefinders and radars to see the world around, listen through your hydrophones, and can feel your crew moving about within you. You can sail on water, which kind of looks like skating with your human form. Your weapons still function, even if certain weapons are not represented on your rigging. Your hold and many of the tools aboard are available for your use at full-size. Normally summoning your rigging will also change your clothes to a specific outfit, but this can be suppressed. 
Speaking of your crew, they are usually called “fairies” and take the form of chibi versions of your human self. They are loyal and capable of fulfilling all the tasks that need doing on a ship like yourself. They’re kind of like cells, actually. If killed, they return as part of the healing process. They can exit your hull, but they are notably weaker outside - while possessing the strength of fit sea dogs inside, while outside a single fairy could no more pick up a soda can than a single sailor could pick up a filled 55-gallon drum of Bunker C. Be nice to them - their stress is your stress. 
And while you can consume oil to refuel your bunkers, propellant and explosive to resupply your ammunition, and steel to resupply your damage control material, those will only restock your supplies of those specific materials. Eating food allows you to resupply all your stocks, is much tastier, and is easier on logistics. You need around 3,000 - 10,000 calories a day on average, depending on your ship form’s logistics needs, or around twice that if engaging in battle. Of course, since you have the ability to go without resupply and refueling for weeks at a time, probably, you might wind up very hungry at times. Also, you’ll probably be craving fresh fruit and other perishables that your onboard kitchens can’t provide after a long sortie. 
Unfortunately, food stored aboard a shipgirl cannot be used to restock another shipgirl’s supplies directly. The food from a shipgirl’s holds seems to have no nutritional value except to fairies. Still tastes good though. UNREP isn’t an exception as it’s manifesting the supplies as food. You can’t get an Infinite Sandwich Loop that eliminates your need for logistics.
You can also adjust your mass and power from anywhere between “normal girl” and your ship form. This is useful for getting into cars, ramming through walls, and not pulverizing your lovers.</v>
      </c>
      <c r="I45" s="5"/>
    </row>
    <row r="46" spans="1:9" ht="87" x14ac:dyDescent="0.25">
      <c r="A46" s="16"/>
      <c r="B46" s="17">
        <v>42</v>
      </c>
      <c r="C46" s="2" t="b">
        <f ca="1">IFERROR(__xludf.DUMMYFUNCTION("""COMPUTED_VALUE"""),FALSE)</f>
        <v>0</v>
      </c>
      <c r="D46" s="2">
        <f ca="1">IFERROR(__xludf.DUMMYFUNCTION("""COMPUTED_VALUE"""),300)</f>
        <v>300</v>
      </c>
      <c r="E46" s="2" t="str">
        <f ca="1">IFERROR(__xludf.DUMMYFUNCTION("""COMPUTED_VALUE"""),"Tentacle Monster Form")</f>
        <v>Tentacle Monster Form</v>
      </c>
      <c r="F46" s="2" t="str">
        <f ca="1">IFERROR(__xludf.DUMMYFUNCTION("""COMPUTED_VALUE"""),"Generic: Hentai Tentacles")</f>
        <v>Generic: Hentai Tentacles</v>
      </c>
      <c r="G46" s="2" t="str">
        <f ca="1">IFERROR(__xludf.DUMMYFUNCTION("""COMPUTED_VALUE"""),"Alternate Forms")</f>
        <v>Alternate Forms</v>
      </c>
      <c r="H46" s="2" t="str">
        <f ca="1">IFERROR(__xludf.DUMMYFUNCTION("""COMPUTED_VALUE"""),"You can turn into a Tentacle Monster! You are a malleable mass of about a dozen tentacles with all the usual senses. Each tentacle is prehensile with genitals on the end, and ravishing people feeds you. They are excellent at grasping, pulling, and pushing"&amp;", and you only need a few to carry your own weight. You can also grow more tentacles so long as you have the mass, which is helpful for if you ever get hurt.")</f>
        <v>You can turn into a Tentacle Monster! You are a malleable mass of about a dozen tentacles with all the usual senses. Each tentacle is prehensile with genitals on the end, and ravishing people feeds you. They are excellent at grasping, pulling, and pushing, and you only need a few to carry your own weight. You can also grow more tentacles so long as you have the mass, which is helpful for if you ever get hurt.</v>
      </c>
      <c r="I46" s="5"/>
    </row>
    <row r="47" spans="1:9" ht="139.19999999999999" x14ac:dyDescent="0.25">
      <c r="A47" s="16"/>
      <c r="B47" s="17">
        <v>43</v>
      </c>
      <c r="C47" s="2" t="b">
        <f ca="1">IFERROR(__xludf.DUMMYFUNCTION("""COMPUTED_VALUE"""),FALSE)</f>
        <v>0</v>
      </c>
      <c r="D47" s="2">
        <f ca="1">IFERROR(__xludf.DUMMYFUNCTION("""COMPUTED_VALUE"""),300)</f>
        <v>300</v>
      </c>
      <c r="E47" s="2" t="str">
        <f ca="1">IFERROR(__xludf.DUMMYFUNCTION("""COMPUTED_VALUE"""),"Vampire Form")</f>
        <v>Vampire Form</v>
      </c>
      <c r="F47" s="2" t="str">
        <f ca="1">IFERROR(__xludf.DUMMYFUNCTION("""COMPUTED_VALUE"""),"Taimanin")</f>
        <v>Taimanin</v>
      </c>
      <c r="G47" s="2" t="str">
        <f ca="1">IFERROR(__xludf.DUMMYFUNCTION("""COMPUTED_VALUE"""),"Alternate Forms")</f>
        <v>Alternate Forms</v>
      </c>
      <c r="H47" s="2" t="str">
        <f ca="1">IFERROR(__xludf.DUMMYFUNCTION("""COMPUTED_VALUE"""),"Perhaps gifted by the progenitor of vampires himself you have been turned into one of the Children of the Night. You now possess enhanced speed, strength, and endurance in addition to the potential to develop other abilities, such as turning into black mi"&amp;"st and possessing others or manipulating and solidifying shadows or even one day being able to absorb the souls of the slain gaining their abilities while being able to resurrect them as loyal servants. For now, the light of the sun drastically weakens yo"&amp;"u in addition to causing you pain, but in time or with sufficient power you will be able to overcome these weaknesses, to the point where the sun does nothing and blood is simply a nice snack.")</f>
        <v>Perhaps gifted by the progenitor of vampires himself you have been turned into one of the Children of the Night. You now possess enhanced speed, strength, and endurance in addition to the potential to develop other abilities, such as turning into black mist and possessing others or manipulating and solidifying shadows or even one day being able to absorb the souls of the slain gaining their abilities while being able to resurrect them as loyal servants. For now, the light of the sun drastically weakens you in addition to causing you pain, but in time or with sufficient power you will be able to overcome these weaknesses, to the point where the sun does nothing and blood is simply a nice snack.</v>
      </c>
      <c r="I47" s="5"/>
    </row>
    <row r="48" spans="1:9" ht="295.8" x14ac:dyDescent="0.25">
      <c r="A48" s="16"/>
      <c r="B48" s="17">
        <v>44</v>
      </c>
      <c r="C48" s="2" t="b">
        <f ca="1">IFERROR(__xludf.DUMMYFUNCTION("""COMPUTED_VALUE"""),FALSE)</f>
        <v>0</v>
      </c>
      <c r="D48" s="2">
        <f ca="1">IFERROR(__xludf.DUMMYFUNCTION("""COMPUTED_VALUE"""),300)</f>
        <v>300</v>
      </c>
      <c r="E48" s="2" t="str">
        <f ca="1">IFERROR(__xludf.DUMMYFUNCTION("""COMPUTED_VALUE"""),"Way of Twins")</f>
        <v>Way of Twins</v>
      </c>
      <c r="F48" s="2" t="str">
        <f ca="1">IFERROR(__xludf.DUMMYFUNCTION("""COMPUTED_VALUE"""),"Miyuki-chan in Wonderland")</f>
        <v>Miyuki-chan in Wonderland</v>
      </c>
      <c r="G48" s="2" t="str">
        <f ca="1">IFERROR(__xludf.DUMMYFUNCTION("""COMPUTED_VALUE"""),"Alternate Forms")</f>
        <v>Alternate Forms</v>
      </c>
      <c r="H48" s="2" t="str">
        <f ca="1">IFERROR(__xludf.DUMMYFUNCTION("""COMPUTED_VALUE"""),"You can split yourself into two separate individuals; each resembles a martial artist, one in a red outfit and one in a blue outfit. Each twin identifies herself with half of your first name.
Each half of yourself acts as an autonomous and independent in"&amp;"dividual, yet both of you have a subtle mental link that encourages each of you to instinctively take actions that fuse well together, as if you are two arms of a single person. Items currently held and worn by you are duplicated for each twin, but they w"&amp;"ill turn either blue or red. Powerful and rare items are not copied, and instead end up on whichever twin would be more compatible with it. Your overall power level is halved between the twins, and perks are generally divvied up between the two twins; how"&amp;"ever, all powers that can be construed as martial arts are copied and shared between the twins, and the power requirements for such attacks are halved. If a twin dies, it seemingly vanishes into nothing, leaving only your other half behind (and whatever p"&amp;"owers and items the twin had do not return to you). A half hour after disappearing, the killed twin returns, but only to merge back with you into a single person. Once you are back together as one, the twin’s items and powers reappear, making copies merge"&amp;" back into singular powers and items accordingly. If a twin has been killed, the splitting ability cannot be used again for a week. Also, each twin is unable to use the splitting part of the perk on herself.")</f>
        <v>You can split yourself into two separate individuals; each resembles a martial artist, one in a red outfit and one in a blue outfit. Each twin identifies herself with half of your first name.
Each half of yourself acts as an autonomous and independent individual, yet both of you have a subtle mental link that encourages each of you to instinctively take actions that fuse well together, as if you are two arms of a single person. Items currently held and worn by you are duplicated for each twin, but they will turn either blue or red. Powerful and rare items are not copied, and instead end up on whichever twin would be more compatible with it. Your overall power level is halved between the twins, and perks are generally divvied up between the two twins; however, all powers that can be construed as martial arts are copied and shared between the twins, and the power requirements for such attacks are halved. If a twin dies, it seemingly vanishes into nothing, leaving only your other half behind (and whatever powers and items the twin had do not return to you). A half hour after disappearing, the killed twin returns, but only to merge back with you into a single person. Once you are back together as one, the twin’s items and powers reappear, making copies merge back into singular powers and items accordingly. If a twin has been killed, the splitting ability cannot be used again for a week. Also, each twin is unable to use the splitting part of the perk on herself.</v>
      </c>
      <c r="I48" s="5"/>
    </row>
    <row r="49" spans="1:9" ht="156.6" x14ac:dyDescent="0.25">
      <c r="A49" s="16"/>
      <c r="B49" s="17">
        <v>45</v>
      </c>
      <c r="C49" s="2" t="b">
        <f ca="1">IFERROR(__xludf.DUMMYFUNCTION("""COMPUTED_VALUE"""),FALSE)</f>
        <v>0</v>
      </c>
      <c r="D49" s="2">
        <f ca="1">IFERROR(__xludf.DUMMYFUNCTION("""COMPUTED_VALUE"""),400)</f>
        <v>400</v>
      </c>
      <c r="E49" s="2" t="str">
        <f ca="1">IFERROR(__xludf.DUMMYFUNCTION("""COMPUTED_VALUE"""),"A Pinch of Pixie Dust")</f>
        <v>A Pinch of Pixie Dust</v>
      </c>
      <c r="F49" s="2" t="str">
        <f ca="1">IFERROR(__xludf.DUMMYFUNCTION("""COMPUTED_VALUE"""),"Huniepop")</f>
        <v>Huniepop</v>
      </c>
      <c r="G49" s="2" t="str">
        <f ca="1">IFERROR(__xludf.DUMMYFUNCTION("""COMPUTED_VALUE"""),"Alternate Forms")</f>
        <v>Alternate Forms</v>
      </c>
      <c r="H49" s="2" t="str">
        <f ca="1">IFERROR(__xludf.DUMMYFUNCTION("""COMPUTED_VALUE"""),"Well, would you look at that! It seems that you aren’t human after all, but a Love Fairy like me! It’s a pretty sweet gig, giving you a whole host of neat toys to play with. For starters, those wings on your back aren’t for show. You can fly with them, th"&amp;"ough it might take a bit of practice. You can disguise yourself with glamor, giving yourself a nondescript if still quite sexy form while hiding your inhuman features, or even hiding yourself entirely from anyone you don’t want seeing or hearing you, thou"&amp;"gh they will still react if you walk up and touch them, or if you decide to play poltergeist. Beyond that, you are naturally talented at spreading love in all its forms, be it through helping estranged family members reconnect or something much funner lik"&amp;"e turning a virgin loser into a walking babe magnet.")</f>
        <v>Well, would you look at that! It seems that you aren’t human after all, but a Love Fairy like me! It’s a pretty sweet gig, giving you a whole host of neat toys to play with. For starters, those wings on your back aren’t for show. You can fly with them, though it might take a bit of practice. You can disguise yourself with glamor, giving yourself a nondescript if still quite sexy form while hiding your inhuman features, or even hiding yourself entirely from anyone you don’t want seeing or hearing you, though they will still react if you walk up and touch them, or if you decide to play poltergeist. Beyond that, you are naturally talented at spreading love in all its forms, be it through helping estranged family members reconnect or something much funner like turning a virgin loser into a walking babe magnet.</v>
      </c>
      <c r="I49" s="5"/>
    </row>
    <row r="50" spans="1:9" ht="104.4" x14ac:dyDescent="0.25">
      <c r="A50" s="16"/>
      <c r="B50" s="17">
        <v>46</v>
      </c>
      <c r="C50" s="2" t="b">
        <f ca="1">IFERROR(__xludf.DUMMYFUNCTION("""COMPUTED_VALUE"""),FALSE)</f>
        <v>0</v>
      </c>
      <c r="D50" s="2">
        <f ca="1">IFERROR(__xludf.DUMMYFUNCTION("""COMPUTED_VALUE"""),400)</f>
        <v>400</v>
      </c>
      <c r="E50" s="2" t="str">
        <f ca="1">IFERROR(__xludf.DUMMYFUNCTION("""COMPUTED_VALUE"""),"Arsexnal of Weapons")</f>
        <v>Arsexnal of Weapons</v>
      </c>
      <c r="F50" s="2" t="str">
        <f ca="1">IFERROR(__xludf.DUMMYFUNCTION("""COMPUTED_VALUE"""),"Generic: Hentai Magical Girl")</f>
        <v>Generic: Hentai Magical Girl</v>
      </c>
      <c r="G50" s="2" t="str">
        <f ca="1">IFERROR(__xludf.DUMMYFUNCTION("""COMPUTED_VALUE"""),"Alternate Forms")</f>
        <v>Alternate Forms</v>
      </c>
      <c r="H50" s="2" t="str">
        <f ca="1">IFERROR(__xludf.DUMMYFUNCTION("""COMPUTED_VALUE"""),"The body of a Monster Spawn tends to be kinda fucked up. Very chimera like, a few traits from one animal, some from another, and probably none from homo sapiens sapiens. You on the other hand, hit the fucking jackpot. You've got a handful of sex based pow"&amp;"ers, such as a large number of tentacles, an aphrodisiac breath weapon, a small pocket dimension inside your body to hold girls while you rape them, or near infinite cum production paired with addictive cum. Pick and choose whatever you want, but no more "&amp;"than three.")</f>
        <v>The body of a Monster Spawn tends to be kinda fucked up. Very chimera like, a few traits from one animal, some from another, and probably none from homo sapiens sapiens. You on the other hand, hit the fucking jackpot. You've got a handful of sex based powers, such as a large number of tentacles, an aphrodisiac breath weapon, a small pocket dimension inside your body to hold girls while you rape them, or near infinite cum production paired with addictive cum. Pick and choose whatever you want, but no more than three.</v>
      </c>
      <c r="I50" s="5"/>
    </row>
    <row r="51" spans="1:9" ht="174" x14ac:dyDescent="0.25">
      <c r="A51" s="16"/>
      <c r="B51" s="17">
        <v>47</v>
      </c>
      <c r="C51" s="2" t="b">
        <f ca="1">IFERROR(__xludf.DUMMYFUNCTION("""COMPUTED_VALUE"""),FALSE)</f>
        <v>0</v>
      </c>
      <c r="D51" s="2">
        <f ca="1">IFERROR(__xludf.DUMMYFUNCTION("""COMPUTED_VALUE"""),400)</f>
        <v>400</v>
      </c>
      <c r="E51" s="2" t="str">
        <f ca="1">IFERROR(__xludf.DUMMYFUNCTION("""COMPUTED_VALUE"""),"Dulce Queen Bee")</f>
        <v>Dulce Queen Bee</v>
      </c>
      <c r="F51" s="2" t="str">
        <f ca="1">IFERROR(__xludf.DUMMYFUNCTION("""COMPUTED_VALUE"""),"Dulce Report")</f>
        <v>Dulce Report</v>
      </c>
      <c r="G51" s="2" t="str">
        <f ca="1">IFERROR(__xludf.DUMMYFUNCTION("""COMPUTED_VALUE"""),"Alternate Forms")</f>
        <v>Alternate Forms</v>
      </c>
      <c r="H51" s="2" t="str">
        <f ca="1">IFERROR(__xludf.DUMMYFUNCTION("""COMPUTED_VALUE"""),"Of course, I never said you were the queen, now did I? Don’t worry, you are now. In this form, you become an 'Angel Queen', a futanari with the ability to create lesser 'Angels' and 'Drones' through a genetically mutagenic addition to your cum that you na"&amp;"turally produce. New 'Angels' are transformed, with women growing a dick and men growing both boobs and a vagina, and gain the ability to create 'Drones', whilst said 'Drones' simply become controlled workers of the hive.
More to the point, whenever you "&amp;"alter someone genetically - like using this form's transformative properties - you may their mind will be altered to be loyal to you. This applies even if you aren't in this form. When your victim first sees the rape coming I’m sure they’ll panic, but aft"&amp;"er the third round they’ll likely be thanking you for blessing them with such an amazing new limb.")</f>
        <v>Of course, I never said you were the queen, now did I? Don’t worry, you are now. In this form, you become an 'Angel Queen', a futanari with the ability to create lesser 'Angels' and 'Drones' through a genetically mutagenic addition to your cum that you naturally produce. New 'Angels' are transformed, with women growing a dick and men growing both boobs and a vagina, and gain the ability to create 'Drones', whilst said 'Drones' simply become controlled workers of the hive.
More to the point, whenever you alter someone genetically - like using this form's transformative properties - you may their mind will be altered to be loyal to you. This applies even if you aren't in this form. When your victim first sees the rape coming I’m sure they’ll panic, but after the third round they’ll likely be thanking you for blessing them with such an amazing new limb.</v>
      </c>
      <c r="I51" s="5"/>
    </row>
    <row r="52" spans="1:9" ht="121.8" x14ac:dyDescent="0.25">
      <c r="A52" s="16"/>
      <c r="B52" s="17">
        <v>48</v>
      </c>
      <c r="C52" s="2" t="b">
        <f ca="1">IFERROR(__xludf.DUMMYFUNCTION("""COMPUTED_VALUE"""),FALSE)</f>
        <v>0</v>
      </c>
      <c r="D52" s="2">
        <f ca="1">IFERROR(__xludf.DUMMYFUNCTION("""COMPUTED_VALUE"""),400)</f>
        <v>400</v>
      </c>
      <c r="E52" s="2" t="str">
        <f ca="1">IFERROR(__xludf.DUMMYFUNCTION("""COMPUTED_VALUE"""),"Hollow Body")</f>
        <v>Hollow Body</v>
      </c>
      <c r="F52" s="2" t="str">
        <f ca="1">IFERROR(__xludf.DUMMYFUNCTION("""COMPUTED_VALUE"""),"TSF World")</f>
        <v>TSF World</v>
      </c>
      <c r="G52" s="2" t="str">
        <f ca="1">IFERROR(__xludf.DUMMYFUNCTION("""COMPUTED_VALUE"""),"Alternate Forms")</f>
        <v>Alternate Forms</v>
      </c>
      <c r="H52" s="2" t="str">
        <f ca="1">IFERROR(__xludf.DUMMYFUNCTION("""COMPUTED_VALUE"""),"Your body can make itself hollow, allowing you to open up and have someone else enter you and wear you like a suit despite any incongruities in size. There will be no sign that there is someone inside you unless they actively attempt to push against your "&amp;"skin. You are in full control of who is controlling your body while like this and can exhibit the full strength of both of you combined. You can also shapeshift to match your wearer and retain this form when they leave, adding it to your array of alternat"&amp;"e forms, and you can even shapeshift your wearer to match you instead, which is how they will stay after they leave you.")</f>
        <v>Your body can make itself hollow, allowing you to open up and have someone else enter you and wear you like a suit despite any incongruities in size. There will be no sign that there is someone inside you unless they actively attempt to push against your skin. You are in full control of who is controlling your body while like this and can exhibit the full strength of both of you combined. You can also shapeshift to match your wearer and retain this form when they leave, adding it to your array of alternate forms, and you can even shapeshift your wearer to match you instead, which is how they will stay after they leave you.</v>
      </c>
      <c r="I52" s="5"/>
    </row>
    <row r="53" spans="1:9" ht="208.8" x14ac:dyDescent="0.25">
      <c r="A53" s="16"/>
      <c r="B53" s="17">
        <v>49</v>
      </c>
      <c r="C53" s="2" t="b">
        <f ca="1">IFERROR(__xludf.DUMMYFUNCTION("""COMPUTED_VALUE"""),FALSE)</f>
        <v>0</v>
      </c>
      <c r="D53" s="2">
        <f ca="1">IFERROR(__xludf.DUMMYFUNCTION("""COMPUTED_VALUE"""),400)</f>
        <v>400</v>
      </c>
      <c r="E53" s="2" t="str">
        <f ca="1">IFERROR(__xludf.DUMMYFUNCTION("""COMPUTED_VALUE"""),"Metal Maiden")</f>
        <v>Metal Maiden</v>
      </c>
      <c r="F53" s="2" t="str">
        <f ca="1">IFERROR(__xludf.DUMMYFUNCTION("""COMPUTED_VALUE"""),"PanzerWaltz")</f>
        <v>PanzerWaltz</v>
      </c>
      <c r="G53" s="2" t="str">
        <f ca="1">IFERROR(__xludf.DUMMYFUNCTION("""COMPUTED_VALUE"""),"Alternate Forms")</f>
        <v>Alternate Forms</v>
      </c>
      <c r="H53" s="2" t="str">
        <f ca="1">IFERROR(__xludf.DUMMYFUNCTION("""COMPUTED_VALUE"""),"You can turn into the human embodiment of a WW2 tank! Your skin is tough enough to laugh at small to medium gunfire and eat high-velocity, armor-piercing shells to a limited degree. You move witht he speed and mass of a multi-ton warmachine. You’re strong"&amp;" enough to carry around dozens of tons of ammo and gear without any strain at all in the from of your tank attire, that gives you your weaponry and additional defence. Without it on you look just like a normal girl.
When you purchase this perk, choose an"&amp;" actual WW2 tank to embody. Light tanks are fast, mediums are generalists, heavies are 'tanks', light armoured vehicles come with chibi yous with rifles, anti-tank guns are pure firepower, and self-propelled guns are similar to snipers.
This comes with a"&amp;" limited supply of, well, supplies to ensure your ability to function, refilled as normal.")</f>
        <v>You can turn into the human embodiment of a WW2 tank! Your skin is tough enough to laugh at small to medium gunfire and eat high-velocity, armor-piercing shells to a limited degree. You move witht he speed and mass of a multi-ton warmachine. You’re strong enough to carry around dozens of tons of ammo and gear without any strain at all in the from of your tank attire, that gives you your weaponry and additional defence. Without it on you look just like a normal girl.
When you purchase this perk, choose an actual WW2 tank to embody. Light tanks are fast, mediums are generalists, heavies are 'tanks', light armoured vehicles come with chibi yous with rifles, anti-tank guns are pure firepower, and self-propelled guns are similar to snipers.
This comes with a limited supply of, well, supplies to ensure your ability to function, refilled as normal.</v>
      </c>
      <c r="I53" s="5"/>
    </row>
    <row r="54" spans="1:9" ht="139.19999999999999" x14ac:dyDescent="0.25">
      <c r="A54" s="16"/>
      <c r="B54" s="17">
        <v>50</v>
      </c>
      <c r="C54" s="2" t="b">
        <f ca="1">IFERROR(__xludf.DUMMYFUNCTION("""COMPUTED_VALUE"""),FALSE)</f>
        <v>0</v>
      </c>
      <c r="D54" s="2">
        <f ca="1">IFERROR(__xludf.DUMMYFUNCTION("""COMPUTED_VALUE"""),400)</f>
        <v>400</v>
      </c>
      <c r="E54" s="2" t="str">
        <f ca="1">IFERROR(__xludf.DUMMYFUNCTION("""COMPUTED_VALUE"""),"Savage Strength")</f>
        <v>Savage Strength</v>
      </c>
      <c r="F54" s="2" t="str">
        <f ca="1">IFERROR(__xludf.DUMMYFUNCTION("""COMPUTED_VALUE"""),"Breathless Wild")</f>
        <v>Breathless Wild</v>
      </c>
      <c r="G54" s="2" t="str">
        <f ca="1">IFERROR(__xludf.DUMMYFUNCTION("""COMPUTED_VALUE"""),"Alternate Forms")</f>
        <v>Alternate Forms</v>
      </c>
      <c r="H54" s="2" t="str">
        <f ca="1">IFERROR(__xludf.DUMMYFUNCTION("""COMPUTED_VALUE"""),"You are an edifice of rippling muscle, your body built for conquest and domination, far bigger, stronger, and tougher of others of your kind. This perk acts as a modifier you can apply to all your forms, growing you to as much as twice the size of that fo"&amp;"rm's base. Such raw power is incredibly intimidating all by itself, and you can easily bully cowards and weaklings into submission simply by virtue of your greater physical abilities. But you aren't some dumb brute whose size and strength is a double-edge"&amp;"d sword: when wielding your impressive endowments you can always limit how much damage you inflict, whether you’re clubbing a princess upside the head before taking her home or stuffing her full of a cock that’s far too large for her tiny body.")</f>
        <v>You are an edifice of rippling muscle, your body built for conquest and domination, far bigger, stronger, and tougher of others of your kind. This perk acts as a modifier you can apply to all your forms, growing you to as much as twice the size of that form's base. Such raw power is incredibly intimidating all by itself, and you can easily bully cowards and weaklings into submission simply by virtue of your greater physical abilities. But you aren't some dumb brute whose size and strength is a double-edged sword: when wielding your impressive endowments you can always limit how much damage you inflict, whether you’re clubbing a princess upside the head before taking her home or stuffing her full of a cock that’s far too large for her tiny body.</v>
      </c>
      <c r="I54" s="5"/>
    </row>
    <row r="55" spans="1:9" ht="121.8" x14ac:dyDescent="0.25">
      <c r="A55" s="16"/>
      <c r="B55" s="17">
        <v>51</v>
      </c>
      <c r="C55" s="2" t="b">
        <f ca="1">IFERROR(__xludf.DUMMYFUNCTION("""COMPUTED_VALUE"""),FALSE)</f>
        <v>0</v>
      </c>
      <c r="D55" s="2">
        <f ca="1">IFERROR(__xludf.DUMMYFUNCTION("""COMPUTED_VALUE"""),400)</f>
        <v>400</v>
      </c>
      <c r="E55" s="2" t="str">
        <f ca="1">IFERROR(__xludf.DUMMYFUNCTION("""COMPUTED_VALUE"""),"Slime Body")</f>
        <v>Slime Body</v>
      </c>
      <c r="F55" s="2" t="str">
        <f ca="1">IFERROR(__xludf.DUMMYFUNCTION("""COMPUTED_VALUE"""),"Mage Kanade’s Futanari Dungeon Quest")</f>
        <v>Mage Kanade’s Futanari Dungeon Quest</v>
      </c>
      <c r="G55" s="2" t="str">
        <f ca="1">IFERROR(__xludf.DUMMYFUNCTION("""COMPUTED_VALUE"""),"Alternate Forms")</f>
        <v>Alternate Forms</v>
      </c>
      <c r="H55" s="2" t="str">
        <f ca="1">IFERROR(__xludf.DUMMYFUNCTION("""COMPUTED_VALUE"""),"Squish Squish~. At will, you can melt your body down into a viscous liquid, traditionally slime but maybe it's some kind of weird liquid latex? In any case, you can shape this substance into various shapes, from tentacles to cubes and even form small slim"&amp;"es to do your bidding. These creatures are unique compared to ‘normal’ slimes, in that they feed off sexual fluids, processing it into nutrients and magical energy for you, their beloved mother. If you already happen to be some form of slime-being, this p"&amp;"erks strengthens your natural abilities even further, allowing you to control your size by storing away your mass for future use, as well as amplifying your control over your body.")</f>
        <v>Squish Squish~. At will, you can melt your body down into a viscous liquid, traditionally slime but maybe it's some kind of weird liquid latex? In any case, you can shape this substance into various shapes, from tentacles to cubes and even form small slimes to do your bidding. These creatures are unique compared to ‘normal’ slimes, in that they feed off sexual fluids, processing it into nutrients and magical energy for you, their beloved mother. If you already happen to be some form of slime-being, this perks strengthens your natural abilities even further, allowing you to control your size by storing away your mass for future use, as well as amplifying your control over your body.</v>
      </c>
      <c r="I55" s="5"/>
    </row>
    <row r="56" spans="1:9" ht="156.6" x14ac:dyDescent="0.25">
      <c r="A56" s="16"/>
      <c r="B56" s="17">
        <v>52</v>
      </c>
      <c r="C56" s="2" t="b">
        <f ca="1">IFERROR(__xludf.DUMMYFUNCTION("""COMPUTED_VALUE"""),FALSE)</f>
        <v>0</v>
      </c>
      <c r="D56" s="2">
        <f ca="1">IFERROR(__xludf.DUMMYFUNCTION("""COMPUTED_VALUE"""),400)</f>
        <v>400</v>
      </c>
      <c r="E56" s="2" t="str">
        <f ca="1">IFERROR(__xludf.DUMMYFUNCTION("""COMPUTED_VALUE"""),"Wet Dreams")</f>
        <v>Wet Dreams</v>
      </c>
      <c r="F56" s="2" t="str">
        <f ca="1">IFERROR(__xludf.DUMMYFUNCTION("""COMPUTED_VALUE"""),"Elzikyuchi’s Dickgirls 2")</f>
        <v>Elzikyuchi’s Dickgirls 2</v>
      </c>
      <c r="G56" s="2" t="str">
        <f ca="1">IFERROR(__xludf.DUMMYFUNCTION("""COMPUTED_VALUE"""),"Alternate Forms")</f>
        <v>Alternate Forms</v>
      </c>
      <c r="H56" s="2" t="str">
        <f ca="1">IFERROR(__xludf.DUMMYFUNCTION("""COMPUTED_VALUE"""),"Congratulations, you’re no longer an ordinary human but are instead a member of a species that was almost entirely warped into a new form by the breaking of the barrier tablet - a Dream Pixie. Because of this, you now have a truly absurd level of control "&amp;"over the realm of dreams. You can do almost whatever you want while inside of one - change your shape, voice, scent, warp your surroundings, take control of the “bodies” of the dreamers, and even erase all memory of what you did to them while they were sl"&amp;"eeping. You can also establish communal dream realms, places where multiple people have the same dream, or force small parts of your actions to echo into the real world. Something like training a delicious looking boy’s ass to take the biggest cocks possi"&amp;"ble and having him slowly acquire that skill even in the waking world would be more than appropriate.")</f>
        <v>Congratulations, you’re no longer an ordinary human but are instead a member of a species that was almost entirely warped into a new form by the breaking of the barrier tablet - a Dream Pixie. Because of this, you now have a truly absurd level of control over the realm of dreams. You can do almost whatever you want while inside of one - change your shape, voice, scent, warp your surroundings, take control of the “bodies” of the dreamers, and even erase all memory of what you did to them while they were sleeping. You can also establish communal dream realms, places where multiple people have the same dream, or force small parts of your actions to echo into the real world. Something like training a delicious looking boy’s ass to take the biggest cocks possible and having him slowly acquire that skill even in the waking world would be more than appropriate.</v>
      </c>
      <c r="I56" s="5"/>
    </row>
    <row r="57" spans="1:9" ht="69.599999999999994" x14ac:dyDescent="0.25">
      <c r="A57" s="16"/>
      <c r="B57" s="17">
        <v>53</v>
      </c>
      <c r="C57" s="2" t="b">
        <f ca="1">IFERROR(__xludf.DUMMYFUNCTION("""COMPUTED_VALUE"""),FALSE)</f>
        <v>0</v>
      </c>
      <c r="D57" s="2">
        <f ca="1">IFERROR(__xludf.DUMMYFUNCTION("""COMPUTED_VALUE"""),400)</f>
        <v>400</v>
      </c>
      <c r="E57" s="2" t="str">
        <f ca="1">IFERROR(__xludf.DUMMYFUNCTION("""COMPUTED_VALUE"""),"What Does it Mean to be a Dragon?")</f>
        <v>What Does it Mean to be a Dragon?</v>
      </c>
      <c r="F57" s="2" t="str">
        <f ca="1">IFERROR(__xludf.DUMMYFUNCTION("""COMPUTED_VALUE"""),"Defiler Wings")</f>
        <v>Defiler Wings</v>
      </c>
      <c r="G57" s="2" t="str">
        <f ca="1">IFERROR(__xludf.DUMMYFUNCTION("""COMPUTED_VALUE"""),"Alternate Forms")</f>
        <v>Alternate Forms</v>
      </c>
      <c r="H57" s="2" t="str">
        <f ca="1">IFERROR(__xludf.DUMMYFUNCTION("""COMPUTED_VALUE"""),"Wings, claws, teeth, breath of fire, those traits that go down in legend as what it means to be a dragon. You, are no different. Choose three of the following (yes, you can choose the same option more than once): Grow a new head, recieve an additional bre"&amp;"ath weapon, increase your size from dog to bull or bull to house, gain gills, grow your wings for greater speed or distance.")</f>
        <v>Wings, claws, teeth, breath of fire, those traits that go down in legend as what it means to be a dragon. You, are no different. Choose three of the following (yes, you can choose the same option more than once): Grow a new head, recieve an additional breath weapon, increase your size from dog to bull or bull to house, gain gills, grow your wings for greater speed or distance.</v>
      </c>
      <c r="I57" s="5"/>
    </row>
    <row r="58" spans="1:9" ht="295.8" x14ac:dyDescent="0.25">
      <c r="A58" s="16"/>
      <c r="B58" s="17">
        <v>54</v>
      </c>
      <c r="C58" s="2" t="b">
        <f ca="1">IFERROR(__xludf.DUMMYFUNCTION("""COMPUTED_VALUE"""),FALSE)</f>
        <v>0</v>
      </c>
      <c r="D58" s="2">
        <f ca="1">IFERROR(__xludf.DUMMYFUNCTION("""COMPUTED_VALUE"""),400)</f>
        <v>400</v>
      </c>
      <c r="E58" s="2" t="str">
        <f ca="1">IFERROR(__xludf.DUMMYFUNCTION("""COMPUTED_VALUE"""),"Womb-Augmented Bioengineered Baby Induction Test")</f>
        <v>Womb-Augmented Bioengineered Baby Induction Test</v>
      </c>
      <c r="F58" s="2" t="str">
        <f ca="1">IFERROR(__xludf.DUMMYFUNCTION("""COMPUTED_VALUE"""),"Haramase Simulator")</f>
        <v>Haramase Simulator</v>
      </c>
      <c r="G58" s="2" t="str">
        <f ca="1">IFERROR(__xludf.DUMMYFUNCTION("""COMPUTED_VALUE"""),"Alternate Forms")</f>
        <v>Alternate Forms</v>
      </c>
      <c r="H58" s="2" t="str">
        <f ca="1">IFERROR(__xludf.DUMMYFUNCTION("""COMPUTED_VALUE"""),"Or a W.A.B.B.I.T. for short. While the HFF has done a good job repopulating the planet using its current methods, the use of bioengineered artificial life-forms promises faster recovery and insurance should another gender-disaster happen again. Being one "&amp;"of the first fully-functional prototypes yourself, you have been engineered to near-perfection. 
The best genetic traits of mammalian reproduction the animal world has to offer were taken and adapted for use in human embryogenesis, making you hyper-ferti"&amp;"le when it comes to having multiplets, always having twins or greater. Additionally, your body is incredibly warm, your skin unbelievably soft, your milk amazingly delicious, amongst other improvements. 
Of course with such extensively spliced DNA, it wa"&amp;"s inevitable that other traits would be transferred as well. Most obviously the cute fluffy bunny ears and tails. But aside from those you also have inhuman speed and strength sufficient to jump onto buildings, heightened pain tolerance and constitution, "&amp;"greatly enhanced eyesight, and increased retention speed. You also have the ability to, if you wish, synchronize with and imprint on a partner. This would allow you to surpass even the most optimistic projections for litter sizes... in return for an addic"&amp;"tion to his semen and your body rejecting attempted conception by anyone else.")</f>
        <v>Or a W.A.B.B.I.T. for short. While the HFF has done a good job repopulating the planet using its current methods, the use of bioengineered artificial life-forms promises faster recovery and insurance should another gender-disaster happen again. Being one of the first fully-functional prototypes yourself, you have been engineered to near-perfection. 
The best genetic traits of mammalian reproduction the animal world has to offer were taken and adapted for use in human embryogenesis, making you hyper-fertile when it comes to having multiplets, always having twins or greater. Additionally, your body is incredibly warm, your skin unbelievably soft, your milk amazingly delicious, amongst other improvements. 
Of course with such extensively spliced DNA, it was inevitable that other traits would be transferred as well. Most obviously the cute fluffy bunny ears and tails. But aside from those you also have inhuman speed and strength sufficient to jump onto buildings, heightened pain tolerance and constitution, greatly enhanced eyesight, and increased retention speed. You also have the ability to, if you wish, synchronize with and imprint on a partner. This would allow you to surpass even the most optimistic projections for litter sizes... in return for an addiction to his semen and your body rejecting attempted conception by anyone else.</v>
      </c>
      <c r="I58" s="5"/>
    </row>
    <row r="59" spans="1:9" ht="139.19999999999999" x14ac:dyDescent="0.25">
      <c r="A59" s="16"/>
      <c r="B59" s="17">
        <v>55</v>
      </c>
      <c r="C59" s="2" t="b">
        <f ca="1">IFERROR(__xludf.DUMMYFUNCTION("""COMPUTED_VALUE"""),FALSE)</f>
        <v>0</v>
      </c>
      <c r="D59" s="2">
        <f ca="1">IFERROR(__xludf.DUMMYFUNCTION("""COMPUTED_VALUE"""),500)</f>
        <v>500</v>
      </c>
      <c r="E59" s="2" t="str">
        <f ca="1">IFERROR(__xludf.DUMMYFUNCTION("""COMPUTED_VALUE"""),"Angel off Your Shoulder")</f>
        <v>Angel off Your Shoulder</v>
      </c>
      <c r="F59" s="2" t="str">
        <f ca="1">IFERROR(__xludf.DUMMYFUNCTION("""COMPUTED_VALUE"""),"Ane Naru Mono")</f>
        <v>Ane Naru Mono</v>
      </c>
      <c r="G59" s="2" t="str">
        <f ca="1">IFERROR(__xludf.DUMMYFUNCTION("""COMPUTED_VALUE"""),"Alternate Forms")</f>
        <v>Alternate Forms</v>
      </c>
      <c r="H59" s="2" t="str">
        <f ca="1">IFERROR(__xludf.DUMMYFUNCTION("""COMPUTED_VALUE"""),"The you from before you began to learn about humanity, and the you after… It’s like they’re completely different people! Wait, did you just split in half? Anyways, you can now split yourself into two people - for now. One of them encompasses your humanity"&amp;", and the other your monstrous nature. As you continue in your adventure, you may find yourself with a third form and therefore a third self, and so on. Now, you are not a hivemind. Each of you is separate from the others, though they are all but complete"&amp;"ly identical, with only a small change in personality and maybe style of dress to differentiate them. If you’re paranoid about the idea, each version of you is incapable of harming the others.")</f>
        <v>The you from before you began to learn about humanity, and the you after… It’s like they’re completely different people! Wait, did you just split in half? Anyways, you can now split yourself into two people - for now. One of them encompasses your humanity, and the other your monstrous nature. As you continue in your adventure, you may find yourself with a third form and therefore a third self, and so on. Now, you are not a hivemind. Each of you is separate from the others, though they are all but completely identical, with only a small change in personality and maybe style of dress to differentiate them. If you’re paranoid about the idea, each version of you is incapable of harming the others.</v>
      </c>
      <c r="I59" s="5"/>
    </row>
    <row r="60" spans="1:9" ht="121.8" x14ac:dyDescent="0.25">
      <c r="A60" s="16"/>
      <c r="B60" s="17">
        <v>56</v>
      </c>
      <c r="C60" s="2" t="b">
        <f ca="1">IFERROR(__xludf.DUMMYFUNCTION("""COMPUTED_VALUE"""),FALSE)</f>
        <v>0</v>
      </c>
      <c r="D60" s="2">
        <f ca="1">IFERROR(__xludf.DUMMYFUNCTION("""COMPUTED_VALUE"""),500)</f>
        <v>500</v>
      </c>
      <c r="E60" s="2" t="str">
        <f ca="1">IFERROR(__xludf.DUMMYFUNCTION("""COMPUTED_VALUE"""),"Anthro-fy")</f>
        <v>Anthro-fy</v>
      </c>
      <c r="F60" s="2" t="str">
        <f ca="1">IFERROR(__xludf.DUMMYFUNCTION("""COMPUTED_VALUE"""),"Neon Dreams of Organic Toys")</f>
        <v>Neon Dreams of Organic Toys</v>
      </c>
      <c r="G60" s="2" t="str">
        <f ca="1">IFERROR(__xludf.DUMMYFUNCTION("""COMPUTED_VALUE"""),"Alternate Forms")</f>
        <v>Alternate Forms</v>
      </c>
      <c r="H60" s="2" t="str">
        <f ca="1">IFERROR(__xludf.DUMMYFUNCTION("""COMPUTED_VALUE"""),"You are able to grant more humanoid alt-forms to any of your animal followers or companions, as well as create more humanoid versions of existing animalistic alt-forms that you or your companions have acquired. These can be kemonomimi, full-on anthro, any"&amp;"thing in-between, and all of the above. If they weren’t already intelligent, they gain human-level intelligence.
These alt-forms are granted in addition to the subject’s base form and you can grant multiple alt-forms as long as each is noticeably differe"&amp;"nt.")</f>
        <v>You are able to grant more humanoid alt-forms to any of your animal followers or companions, as well as create more humanoid versions of existing animalistic alt-forms that you or your companions have acquired. These can be kemonomimi, full-on anthro, anything in-between, and all of the above. If they weren’t already intelligent, they gain human-level intelligence.
These alt-forms are granted in addition to the subject’s base form and you can grant multiple alt-forms as long as each is noticeably different.</v>
      </c>
      <c r="I60" s="5"/>
    </row>
    <row r="61" spans="1:9" ht="208.8" x14ac:dyDescent="0.25">
      <c r="A61" s="16"/>
      <c r="B61" s="17">
        <v>57</v>
      </c>
      <c r="C61" s="2" t="b">
        <f ca="1">IFERROR(__xludf.DUMMYFUNCTION("""COMPUTED_VALUE"""),FALSE)</f>
        <v>0</v>
      </c>
      <c r="D61" s="2">
        <f ca="1">IFERROR(__xludf.DUMMYFUNCTION("""COMPUTED_VALUE"""),500)</f>
        <v>500</v>
      </c>
      <c r="E61" s="2" t="str">
        <f ca="1">IFERROR(__xludf.DUMMYFUNCTION("""COMPUTED_VALUE"""),"Facehugger")</f>
        <v>Facehugger</v>
      </c>
      <c r="F61" s="2" t="str">
        <f ca="1">IFERROR(__xludf.DUMMYFUNCTION("""COMPUTED_VALUE"""),"Generic: Monster Fucker/Horny Horror")</f>
        <v>Generic: Monster Fucker/Horny Horror</v>
      </c>
      <c r="G61" s="2" t="str">
        <f ca="1">IFERROR(__xludf.DUMMYFUNCTION("""COMPUTED_VALUE"""),"Alternate Forms")</f>
        <v>Alternate Forms</v>
      </c>
      <c r="H61" s="2" t="str">
        <f ca="1">IFERROR(__xludf.DUMMYFUNCTION("""COMPUTED_VALUE"""),"You are one, but you are also many. Your core is powerful, but your limbs uncountable. Yours is a mind that controls more bodies than one. Produce your drones, and unleash the swarm. 
You have the ability to produce small drones that are like a lesser fo"&amp;"rm of yourself; imps to your devil, phallic invertibrates to your chittering alien. These drone will possess a fraction of the physical abilities of the form they mimic, as well as capabilities similar to those that the form possesses, plus weakened versi"&amp;"ons of any especially thematically appropriate perks you have. They have no true individuality, and are instead branches of a hivemind with you in the center. Your drones are yours to command with but a single thought, transferring sights, sounds, and all"&amp;" sorts of sensations back to you if desired. You can make physically male or female drones, though it’s your decision how important that is (i.e. what kind of hierarchy or dimorphisms they have). The drones will not disappear if you change forms, though t"&amp;"he connection will be more vague.")</f>
        <v>You are one, but you are also many. Your core is powerful, but your limbs uncountable. Yours is a mind that controls more bodies than one. Produce your drones, and unleash the swarm. 
You have the ability to produce small drones that are like a lesser form of yourself; imps to your devil, phallic invertibrates to your chittering alien. These drone will possess a fraction of the physical abilities of the form they mimic, as well as capabilities similar to those that the form possesses, plus weakened versions of any especially thematically appropriate perks you have. They have no true individuality, and are instead branches of a hivemind with you in the center. Your drones are yours to command with but a single thought, transferring sights, sounds, and all sorts of sensations back to you if desired. You can make physically male or female drones, though it’s your decision how important that is (i.e. what kind of hierarchy or dimorphisms they have). The drones will not disappear if you change forms, though the connection will be more vague.</v>
      </c>
      <c r="I61" s="5"/>
    </row>
    <row r="62" spans="1:9" ht="261" x14ac:dyDescent="0.25">
      <c r="A62" s="16"/>
      <c r="B62" s="17">
        <v>58</v>
      </c>
      <c r="C62" s="2" t="b">
        <f ca="1">IFERROR(__xludf.DUMMYFUNCTION("""COMPUTED_VALUE"""),FALSE)</f>
        <v>0</v>
      </c>
      <c r="D62" s="2">
        <f ca="1">IFERROR(__xludf.DUMMYFUNCTION("""COMPUTED_VALUE"""),600)</f>
        <v>600</v>
      </c>
      <c r="E62" s="2" t="str">
        <f ca="1">IFERROR(__xludf.DUMMYFUNCTION("""COMPUTED_VALUE"""),"Animal-Youkai Ascendance")</f>
        <v>Animal-Youkai Ascendance</v>
      </c>
      <c r="F62" s="2" t="str">
        <f ca="1">IFERROR(__xludf.DUMMYFUNCTION("""COMPUTED_VALUE"""),"Kemokko Zoo")</f>
        <v>Kemokko Zoo</v>
      </c>
      <c r="G62" s="2" t="str">
        <f ca="1">IFERROR(__xludf.DUMMYFUNCTION("""COMPUTED_VALUE"""),"Alternate Forms")</f>
        <v>Alternate Forms</v>
      </c>
      <c r="H62" s="2" t="str">
        <f ca="1">IFERROR(__xludf.DUMMYFUNCTION("""COMPUTED_VALUE"""),"Japanese mythology has some supernatural tales about local critters like otters and, saying they could even become ghosts or youkai. And, as it turns out in the manga, those stories are true! 
Your various forms now have the potential to ascend into a su"&amp;"pernatural youkai/ghost upgrade of their original forms – and, interestingly enough, these youkai forms strongly resemble those of cute animal girls, such that even the Director could mistake you for a kemokko. 
Your youkaification, empowered by you abso"&amp;"rbing supernatural mana from the world, accelerates the longer (cumulatively) you’ve been alive in the form. You can also gain mana to accelerate the transformation by praying nightly to the stars, and especially by having sex with others. Of course, once"&amp;" you become a youkai equivalent, you can still shift back to your original form when you want.
Even after you become a youkai, mana will come in handy. For instance, mana can heal your body and let you live longer. So make sure you make plenty of love ma"&amp;"na~! It’s even said that youkai can suck the souls out of victims if they really want to, but that’s surely a myth, right? ...Right?")</f>
        <v>Japanese mythology has some supernatural tales about local critters like otters and, saying they could even become ghosts or youkai. And, as it turns out in the manga, those stories are true! 
Your various forms now have the potential to ascend into a supernatural youkai/ghost upgrade of their original forms – and, interestingly enough, these youkai forms strongly resemble those of cute animal girls, such that even the Director could mistake you for a kemokko. 
Your youkaification, empowered by you absorbing supernatural mana from the world, accelerates the longer (cumulatively) you’ve been alive in the form. You can also gain mana to accelerate the transformation by praying nightly to the stars, and especially by having sex with others. Of course, once you become a youkai equivalent, you can still shift back to your original form when you want.
Even after you become a youkai, mana will come in handy. For instance, mana can heal your body and let you live longer. So make sure you make plenty of love mana~! It’s even said that youkai can suck the souls out of victims if they really want to, but that’s surely a myth, right? ...Right?</v>
      </c>
      <c r="I62" s="5"/>
    </row>
    <row r="63" spans="1:9" ht="191.4" x14ac:dyDescent="0.25">
      <c r="A63" s="16"/>
      <c r="B63" s="17">
        <v>59</v>
      </c>
      <c r="C63" s="2" t="b">
        <f ca="1">IFERROR(__xludf.DUMMYFUNCTION("""COMPUTED_VALUE"""),FALSE)</f>
        <v>0</v>
      </c>
      <c r="D63" s="2">
        <f ca="1">IFERROR(__xludf.DUMMYFUNCTION("""COMPUTED_VALUE"""),600)</f>
        <v>600</v>
      </c>
      <c r="E63" s="2" t="str">
        <f ca="1">IFERROR(__xludf.DUMMYFUNCTION("""COMPUTED_VALUE"""),"Bringer of the Apocalypse")</f>
        <v>Bringer of the Apocalypse</v>
      </c>
      <c r="F63" s="2" t="str">
        <f ca="1">IFERROR(__xludf.DUMMYFUNCTION("""COMPUTED_VALUE"""),"How Not to Summon a Demon Lord")</f>
        <v>How Not to Summon a Demon Lord</v>
      </c>
      <c r="G63" s="2" t="str">
        <f ca="1">IFERROR(__xludf.DUMMYFUNCTION("""COMPUTED_VALUE"""),"Alternate Forms")</f>
        <v>Alternate Forms</v>
      </c>
      <c r="H63" s="2" t="str">
        <f ca="1">IFERROR(__xludf.DUMMYFUNCTION("""COMPUTED_VALUE"""),"Sometimes raw power just isn’t quite enough. Or maybe you’re just sick and tired of larger creatures like dragons belittling you. For those that have ever thought (or shouted) “That’s it! Everybody dies!” at least once in their career, this is the perk fo"&amp;"r you. You now have a Final Form which you can assume when you want to lay waste to everything around you. While the specifics of this form’s appearance are up to you, it will always be some kind of giant monster at least 200-300 feet tall, or else adding"&amp;" 200-300 feet to your current height if your normal size is larger than that. While you’re in this form the scale of your attacks (as well as their energy cost!) is ratcheted up proportional to your size increase, allowing you to lay waste to armies even "&amp;"with simple fireball spells. Take care however: this form is an expression of your full power unleashed, and as such it is very difficult (though not impossible) to restrain your power in this form. Be mindful of collateral damage and friendly fire.")</f>
        <v>Sometimes raw power just isn’t quite enough. Or maybe you’re just sick and tired of larger creatures like dragons belittling you. For those that have ever thought (or shouted) “That’s it! Everybody dies!” at least once in their career, this is the perk for you. You now have a Final Form which you can assume when you want to lay waste to everything around you. While the specifics of this form’s appearance are up to you, it will always be some kind of giant monster at least 200-300 feet tall, or else adding 200-300 feet to your current height if your normal size is larger than that. While you’re in this form the scale of your attacks (as well as their energy cost!) is ratcheted up proportional to your size increase, allowing you to lay waste to armies even with simple fireball spells. Take care however: this form is an expression of your full power unleashed, and as such it is very difficult (though not impossible) to restrain your power in this form. Be mindful of collateral damage and friendly fire.</v>
      </c>
      <c r="I63" s="5"/>
    </row>
    <row r="64" spans="1:9" ht="87" x14ac:dyDescent="0.25">
      <c r="A64" s="16"/>
      <c r="B64" s="17">
        <v>60</v>
      </c>
      <c r="C64" s="2" t="b">
        <f ca="1">IFERROR(__xludf.DUMMYFUNCTION("""COMPUTED_VALUE"""),FALSE)</f>
        <v>0</v>
      </c>
      <c r="D64" s="2">
        <f ca="1">IFERROR(__xludf.DUMMYFUNCTION("""COMPUTED_VALUE"""),600)</f>
        <v>600</v>
      </c>
      <c r="E64" s="2" t="str">
        <f ca="1">IFERROR(__xludf.DUMMYFUNCTION("""COMPUTED_VALUE"""),"Cure for Monsterdom")</f>
        <v>Cure for Monsterdom</v>
      </c>
      <c r="F64" s="2" t="str">
        <f ca="1">IFERROR(__xludf.DUMMYFUNCTION("""COMPUTED_VALUE"""),"World of Lewd Horror")</f>
        <v>World of Lewd Horror</v>
      </c>
      <c r="G64" s="2" t="str">
        <f ca="1">IFERROR(__xludf.DUMMYFUNCTION("""COMPUTED_VALUE"""),"Alternate Forms")</f>
        <v>Alternate Forms</v>
      </c>
      <c r="H64" s="2" t="str">
        <f ca="1">IFERROR(__xludf.DUMMYFUNCTION("""COMPUTED_VALUE"""),"You can’t bring King Kong back home to meet your folks. Unless... you used this vial of strange liquid on him first. Any monstrous being who drinks this will gain the ability to transform into a human. They’ll lose any powers based on their body but be ab"&amp;"le to switch back and forth at will. Plus not only is their human form guaranteed to be a 10/10 at least, their monster form will seem more virile and sexual when they return to it. You get a new vial a week after using the last one.")</f>
        <v>You can’t bring King Kong back home to meet your folks. Unless... you used this vial of strange liquid on him first. Any monstrous being who drinks this will gain the ability to transform into a human. They’ll lose any powers based on their body but be able to switch back and forth at will. Plus not only is their human form guaranteed to be a 10/10 at least, their monster form will seem more virile and sexual when they return to it. You get a new vial a week after using the last one.</v>
      </c>
      <c r="I64" s="5"/>
    </row>
    <row r="65" spans="1:9" ht="409.6" x14ac:dyDescent="0.25">
      <c r="A65" s="16"/>
      <c r="B65" s="17">
        <v>61</v>
      </c>
      <c r="C65" s="2" t="b">
        <f ca="1">IFERROR(__xludf.DUMMYFUNCTION("""COMPUTED_VALUE"""),FALSE)</f>
        <v>0</v>
      </c>
      <c r="D65" s="2">
        <f ca="1">IFERROR(__xludf.DUMMYFUNCTION("""COMPUTED_VALUE"""),600)</f>
        <v>600</v>
      </c>
      <c r="E65" s="2" t="str">
        <f ca="1">IFERROR(__xludf.DUMMYFUNCTION("""COMPUTED_VALUE"""),"Demonhood")</f>
        <v>Demonhood</v>
      </c>
      <c r="F65" s="2" t="str">
        <f ca="1">IFERROR(__xludf.DUMMYFUNCTION("""COMPUTED_VALUE"""),"Corruption of Champions v1.1")</f>
        <v>Corruption of Champions v1.1</v>
      </c>
      <c r="G65" s="2" t="str">
        <f ca="1">IFERROR(__xludf.DUMMYFUNCTION("""COMPUTED_VALUE"""),"Alternate Forms")</f>
        <v>Alternate Forms</v>
      </c>
      <c r="H65" s="2" t="str">
        <f ca="1">IFERROR(__xludf.DUMMYFUNCTION("""COMPUTED_VALUE"""),"The tribe of mages that would eventually become the demons sought ever more power and pleasure, and they found what they searched for in their magic. They twisted themselves into something demonic in doing so, but by giving up their souls they gained an e"&amp;"nergy source beyond compare. Devouring their own crystallized souls, they grew in might and sensuality far beyond the mortal human mages they once were.
Even 'common' succubi and incubi are great threats to their opponents, but you are not common by any"&amp;" means. As one of the more powerful demons, you consumed your own lethicite and gained great magical power from the act. Whether it manifests in greater ability to alter your body and shapeshift than most demons enjoy, some special power like telepathy or"&amp;" a breath of hellfire, the ability to more easily alter and enhance creatures with your power, some slightly diluted combination of these, or simply a boost to the raw power of your spellcasting, you share in the power of Lethice’s greatest.
Besides tha"&amp;"t, you also wield the more common abilities of full demons. Your body is more malleable to your desires than that of any mortal, more pleasurable, and hot as hell besides. Obviously, it is impossible for anyone to further corrupt you in any way, as you ar"&amp;"e already fully corrupted, even though your mind remains your own and likely clearer than the vast majority of demons. You retain whatever measure of conscience and restraint you had before, meaning you have much less difficulty with empathy and focusing "&amp;"on long-term goals compared to most demons. Additionally, while it’s impossible for most soulless beings to create new souls, you keep the ability to have proper children instead of only ever spawning imps as most demons do. But all the same, your body fl"&amp;"uids and even mere presence could slowly corrupt people if you wish. You could use this to grow even further in power if you wished, consuming the lethicite of those you cause to fall into corruption.
If you wish, you may give up the increased magical p"&amp;"ower in return for keeping your own lethicite as an item. Perhaps you have another use in mind for your crystallized soul than merely empowering yourself? Powering an exceptionally mighty magical item for example.")</f>
        <v>The tribe of mages that would eventually become the demons sought ever more power and pleasure, and they found what they searched for in their magic. They twisted themselves into something demonic in doing so, but by giving up their souls they gained an energy source beyond compare. Devouring their own crystallized souls, they grew in might and sensuality far beyond the mortal human mages they once were.
Even 'common' succubi and incubi are great threats to their opponents, but you are not common by any means. As one of the more powerful demons, you consumed your own lethicite and gained great magical power from the act. Whether it manifests in greater ability to alter your body and shapeshift than most demons enjoy, some special power like telepathy or a breath of hellfire, the ability to more easily alter and enhance creatures with your power, some slightly diluted combination of these, or simply a boost to the raw power of your spellcasting, you share in the power of Lethice’s greatest.
Besides that, you also wield the more common abilities of full demons. Your body is more malleable to your desires than that of any mortal, more pleasurable, and hot as hell besides. Obviously, it is impossible for anyone to further corrupt you in any way, as you are already fully corrupted, even though your mind remains your own and likely clearer than the vast majority of demons. You retain whatever measure of conscience and restraint you had before, meaning you have much less difficulty with empathy and focusing on long-term goals compared to most demons. Additionally, while it’s impossible for most soulless beings to create new souls, you keep the ability to have proper children instead of only ever spawning imps as most demons do. But all the same, your body fluids and even mere presence could slowly corrupt people if you wish. You could use this to grow even further in power if you wished, consuming the lethicite of those you cause to fall into corruption.
If you wish, you may give up the increased magical power in return for keeping your own lethicite as an item. Perhaps you have another use in mind for your crystallized soul than merely empowering yourself? Powering an exceptionally mighty magical item for example.</v>
      </c>
      <c r="I65" s="5"/>
    </row>
    <row r="66" spans="1:9" ht="104.4" x14ac:dyDescent="0.25">
      <c r="A66" s="16"/>
      <c r="B66" s="17">
        <v>62</v>
      </c>
      <c r="C66" s="2" t="b">
        <f ca="1">IFERROR(__xludf.DUMMYFUNCTION("""COMPUTED_VALUE"""),FALSE)</f>
        <v>0</v>
      </c>
      <c r="D66" s="2">
        <f ca="1">IFERROR(__xludf.DUMMYFUNCTION("""COMPUTED_VALUE"""),600)</f>
        <v>600</v>
      </c>
      <c r="E66" s="2" t="str">
        <f ca="1">IFERROR(__xludf.DUMMYFUNCTION("""COMPUTED_VALUE"""),"Form Blending")</f>
        <v>Form Blending</v>
      </c>
      <c r="F66" s="2" t="str">
        <f ca="1">IFERROR(__xludf.DUMMYFUNCTION("""COMPUTED_VALUE"""),"Celestial Bordello")</f>
        <v>Celestial Bordello</v>
      </c>
      <c r="G66" s="2" t="str">
        <f ca="1">IFERROR(__xludf.DUMMYFUNCTION("""COMPUTED_VALUE"""),"Alternate Forms")</f>
        <v>Alternate Forms</v>
      </c>
      <c r="H66" s="2" t="str">
        <f ca="1">IFERROR(__xludf.DUMMYFUNCTION("""COMPUTED_VALUE"""),"You will gain a great many alternate forms in your time with the Celestial Bordello, Master/Madame, and this will let you take that one step further. Instead of being 'on' or 'off' each of your alternate forms have sliders that you can now adjust. Take th"&amp;"e skin of one, the legs of another, the genitals of a third, the size of a fourth. You can now freely blend the attributes of all your forms and, even better, this is a power that can be trained. With enough experimentation and training, your body will be"&amp;" free to express any and all traits that your different forms make available to you at once.")</f>
        <v>You will gain a great many alternate forms in your time with the Celestial Bordello, Master/Madame, and this will let you take that one step further. Instead of being 'on' or 'off' each of your alternate forms have sliders that you can now adjust. Take the skin of one, the legs of another, the genitals of a third, the size of a fourth. You can now freely blend the attributes of all your forms and, even better, this is a power that can be trained. With enough experimentation and training, your body will be free to express any and all traits that your different forms make available to you at once.</v>
      </c>
      <c r="I66" s="5"/>
    </row>
    <row r="67" spans="1:9" ht="295.8" x14ac:dyDescent="0.25">
      <c r="A67" s="16"/>
      <c r="B67" s="17">
        <v>63</v>
      </c>
      <c r="C67" s="2" t="b">
        <f ca="1">IFERROR(__xludf.DUMMYFUNCTION("""COMPUTED_VALUE"""),FALSE)</f>
        <v>0</v>
      </c>
      <c r="D67" s="2">
        <f ca="1">IFERROR(__xludf.DUMMYFUNCTION("""COMPUTED_VALUE"""),600)</f>
        <v>600</v>
      </c>
      <c r="E67" s="2" t="str">
        <f ca="1">IFERROR(__xludf.DUMMYFUNCTION("""COMPUTED_VALUE"""),"Going Ghost")</f>
        <v>Going Ghost</v>
      </c>
      <c r="F67" s="2" t="str">
        <f ca="1">IFERROR(__xludf.DUMMYFUNCTION("""COMPUTED_VALUE"""),"TSF World")</f>
        <v>TSF World</v>
      </c>
      <c r="G67" s="2" t="str">
        <f ca="1">IFERROR(__xludf.DUMMYFUNCTION("""COMPUTED_VALUE"""),"Alternate Forms")</f>
        <v>Alternate Forms</v>
      </c>
      <c r="H67" s="2" t="str">
        <f ca="1">IFERROR(__xludf.DUMMYFUNCTION("""COMPUTED_VALUE"""),"Another common power but one with far more potential for abuse. If the Ranma Special was all about having fun with your own body, this one is all about having fun with others. You have the ability to enter a spirit body-like state. Whether this be from as"&amp;"tral projection or your body physically turning ghostlike is up to you. In this state, you can enter the bodies of other people in order to possess them, hijacking control of their body.
Your spirit form is extremely malleable, to the point that you can "&amp;"actually split it into multiple parts so long as you have the sufficent mystic might. Each part is still innately your own soul, allowing you to retain full control over all of them. Using these split parts, you can possess multiple people, or possess som"&amp;"eone remotely while you remain in your own body.
Of course, despite hijacking a body, you don't want to have to do everything for them, do you? Sometimes it’s nice to let them take the reins while you act as a mere spectator, posing suggestions as you wi"&amp;"ll. You can choose how much control you have over your target's body, ceding control of the rest of it to the original occupant. If you wanted, you could fade into the background entirely, becoming a voice in their subconscious. They would follow your sug"&amp;"gestions without even realising that it wasn’t their idea in the first place.")</f>
        <v>Another common power but one with far more potential for abuse. If the Ranma Special was all about having fun with your own body, this one is all about having fun with others. You have the ability to enter a spirit body-like state. Whether this be from astral projection or your body physically turning ghostlike is up to you. In this state, you can enter the bodies of other people in order to possess them, hijacking control of their body.
Your spirit form is extremely malleable, to the point that you can actually split it into multiple parts so long as you have the sufficent mystic might. Each part is still innately your own soul, allowing you to retain full control over all of them. Using these split parts, you can possess multiple people, or possess someone remotely while you remain in your own body.
Of course, despite hijacking a body, you don't want to have to do everything for them, do you? Sometimes it’s nice to let them take the reins while you act as a mere spectator, posing suggestions as you will. You can choose how much control you have over your target's body, ceding control of the rest of it to the original occupant. If you wanted, you could fade into the background entirely, becoming a voice in their subconscious. They would follow your suggestions without even realising that it wasn’t their idea in the first place.</v>
      </c>
      <c r="I67" s="5"/>
    </row>
    <row r="68" spans="1:9" ht="69.599999999999994" x14ac:dyDescent="0.25">
      <c r="A68" s="16"/>
      <c r="B68" s="17">
        <v>64</v>
      </c>
      <c r="C68" s="2" t="b">
        <f ca="1">IFERROR(__xludf.DUMMYFUNCTION("""COMPUTED_VALUE"""),FALSE)</f>
        <v>0</v>
      </c>
      <c r="D68" s="2">
        <f ca="1">IFERROR(__xludf.DUMMYFUNCTION("""COMPUTED_VALUE"""),600)</f>
        <v>600</v>
      </c>
      <c r="E68" s="2" t="str">
        <f ca="1">IFERROR(__xludf.DUMMYFUNCTION("""COMPUTED_VALUE"""),"Lover's Den")</f>
        <v>Lover's Den</v>
      </c>
      <c r="F68" s="2" t="str">
        <f ca="1">IFERROR(__xludf.DUMMYFUNCTION("""COMPUTED_VALUE"""),"Boku To Nottori Nakademia")</f>
        <v>Boku To Nottori Nakademia</v>
      </c>
      <c r="G68" s="2" t="str">
        <f ca="1">IFERROR(__xludf.DUMMYFUNCTION("""COMPUTED_VALUE"""),"Alternate Forms")</f>
        <v>Alternate Forms</v>
      </c>
      <c r="H68" s="2" t="str">
        <f ca="1">IFERROR(__xludf.DUMMYFUNCTION("""COMPUTED_VALUE"""),"This room comes equipped with all the mood-enhancers you’ll ever need, such as candles, rose-petals and aphrodisiacs, along with a whole walk-in closet of sexy outfits and sex toys, from dildos, onaholes and vibrators to elaborate fucking machines and ele"&amp;"ctro-stim devices. It’s also completely soundproof, so feel free to go wild!")</f>
        <v>This room comes equipped with all the mood-enhancers you’ll ever need, such as candles, rose-petals and aphrodisiacs, along with a whole walk-in closet of sexy outfits and sex toys, from dildos, onaholes and vibrators to elaborate fucking machines and electro-stim devices. It’s also completely soundproof, so feel free to go wild!</v>
      </c>
      <c r="I68" s="5"/>
    </row>
    <row r="69" spans="1:9" ht="87" x14ac:dyDescent="0.25">
      <c r="A69" s="16"/>
      <c r="B69" s="17">
        <v>65</v>
      </c>
      <c r="C69" s="2" t="b">
        <f ca="1">IFERROR(__xludf.DUMMYFUNCTION("""COMPUTED_VALUE"""),FALSE)</f>
        <v>0</v>
      </c>
      <c r="D69" s="2">
        <f ca="1">IFERROR(__xludf.DUMMYFUNCTION("""COMPUTED_VALUE"""),600)</f>
        <v>600</v>
      </c>
      <c r="E69" s="2" t="str">
        <f ca="1">IFERROR(__xludf.DUMMYFUNCTION("""COMPUTED_VALUE"""),"Perfect Partner")</f>
        <v>Perfect Partner</v>
      </c>
      <c r="F69" s="2" t="str">
        <f ca="1">IFERROR(__xludf.DUMMYFUNCTION("""COMPUTED_VALUE"""),"Generic: Lewd")</f>
        <v>Generic: Lewd</v>
      </c>
      <c r="G69" s="2" t="str">
        <f ca="1">IFERROR(__xludf.DUMMYFUNCTION("""COMPUTED_VALUE"""),"Alternate Forms")</f>
        <v>Alternate Forms</v>
      </c>
      <c r="H69" s="2" t="str">
        <f ca="1">IFERROR(__xludf.DUMMYFUNCTION("""COMPUTED_VALUE"""),"You transform yourself into someone’s idealized lover. This alters both your body and (if you wish) personality. This ability can give you any number of unusual powers and improved capabilities to fulfill a fantasy, but offers less benefit in those areas "&amp;"where you already possess exceptional traits. You may only benefit from such improvements as long as you use them for the sake of pleasing your partner.")</f>
        <v>You transform yourself into someone’s idealized lover. This alters both your body and (if you wish) personality. This ability can give you any number of unusual powers and improved capabilities to fulfill a fantasy, but offers less benefit in those areas where you already possess exceptional traits. You may only benefit from such improvements as long as you use them for the sake of pleasing your partner.</v>
      </c>
      <c r="I69" s="5"/>
    </row>
    <row r="70" spans="1:9" ht="156.6" x14ac:dyDescent="0.25">
      <c r="A70" s="16"/>
      <c r="B70" s="17">
        <v>66</v>
      </c>
      <c r="C70" s="2" t="b">
        <f ca="1">IFERROR(__xludf.DUMMYFUNCTION("""COMPUTED_VALUE"""),FALSE)</f>
        <v>0</v>
      </c>
      <c r="D70" s="2">
        <f ca="1">IFERROR(__xludf.DUMMYFUNCTION("""COMPUTED_VALUE"""),600)</f>
        <v>600</v>
      </c>
      <c r="E70" s="2" t="str">
        <f ca="1">IFERROR(__xludf.DUMMYFUNCTION("""COMPUTED_VALUE"""),"Phantasmal Beast Form")</f>
        <v>Phantasmal Beast Form</v>
      </c>
      <c r="F70" s="2" t="str">
        <f ca="1">IFERROR(__xludf.DUMMYFUNCTION("""COMPUTED_VALUE"""),"Fate/Horse Order")</f>
        <v>Fate/Horse Order</v>
      </c>
      <c r="G70" s="2" t="str">
        <f ca="1">IFERROR(__xludf.DUMMYFUNCTION("""COMPUTED_VALUE"""),"Alternate Forms")</f>
        <v>Alternate Forms</v>
      </c>
      <c r="H70" s="2" t="str">
        <f ca="1">IFERROR(__xludf.DUMMYFUNCTION("""COMPUTED_VALUE"""),"Well, I did say that horses were the ultimate expression of lust... that mortals could reach. If you aren’t mortal, then you could obviously go much higher. Your physical parameters are boosted in a similar manner, though not quite to the same extent. No,"&amp;" the real prize here is something beyond raw physical appeal. Power. Magical power, to be precise. Maybe you’re a Demonic Boar, corrupting the land around into a lewder version of itself, or a mechanical monstrosity that has absolute control over its prog"&amp;"eny. Maybe you’re a Bicorn with two horns, two cocks, and hypnotic talent, or one of Tiamat’s favorite children, a Lahmu, able to warp the flesh and mind of those you touch. Or... maybe your magical power takes the form of even more physical prowess, lack"&amp;"ing any bits and bobs or other uses. That would certainly be valid, if somewhat boring.")</f>
        <v>Well, I did say that horses were the ultimate expression of lust... that mortals could reach. If you aren’t mortal, then you could obviously go much higher. Your physical parameters are boosted in a similar manner, though not quite to the same extent. No, the real prize here is something beyond raw physical appeal. Power. Magical power, to be precise. Maybe you’re a Demonic Boar, corrupting the land around into a lewder version of itself, or a mechanical monstrosity that has absolute control over its progeny. Maybe you’re a Bicorn with two horns, two cocks, and hypnotic talent, or one of Tiamat’s favorite children, a Lahmu, able to warp the flesh and mind of those you touch. Or... maybe your magical power takes the form of even more physical prowess, lacking any bits and bobs or other uses. That would certainly be valid, if somewhat boring.</v>
      </c>
      <c r="I70" s="5"/>
    </row>
    <row r="71" spans="1:9" ht="348" x14ac:dyDescent="0.25">
      <c r="A71" s="16"/>
      <c r="B71" s="17">
        <v>67</v>
      </c>
      <c r="C71" s="2" t="b">
        <f ca="1">IFERROR(__xludf.DUMMYFUNCTION("""COMPUTED_VALUE"""),FALSE)</f>
        <v>0</v>
      </c>
      <c r="D71" s="2">
        <f ca="1">IFERROR(__xludf.DUMMYFUNCTION("""COMPUTED_VALUE"""),600)</f>
        <v>600</v>
      </c>
      <c r="E71" s="2" t="str">
        <f ca="1">IFERROR(__xludf.DUMMYFUNCTION("""COMPUTED_VALUE"""),"Puppet Master")</f>
        <v>Puppet Master</v>
      </c>
      <c r="F71" s="2" t="str">
        <f ca="1">IFERROR(__xludf.DUMMYFUNCTION("""COMPUTED_VALUE"""),"Boku To Nottori Nakademia")</f>
        <v>Boku To Nottori Nakademia</v>
      </c>
      <c r="G71" s="2" t="str">
        <f ca="1">IFERROR(__xludf.DUMMYFUNCTION("""COMPUTED_VALUE"""),"Alternate Forms")</f>
        <v>Alternate Forms</v>
      </c>
      <c r="H71" s="2" t="str">
        <f ca="1">IFERROR(__xludf.DUMMYFUNCTION("""COMPUTED_VALUE"""),"Here it is, the Quirk that started this entire debacle. Your body is made up of a viscous dark-blue gel, capable of taking hits from a normal human without effect but splattering when it goes up against a real threat. Its true power is the ability to hija"&amp;"ck the bodies of females by physically inserting your gooey form into their various orifices and turning them into your puppets. Naturally, this feels incredibly pleasurable for all parties involved. You actually have two methods of doing this, based on t"&amp;"he two main interpretations of the villain’s quirk in the original Doujin.
The first method is to simply use them as literal puppets. All you have to do is get rid of the original owner’s personality and go from there! You’ll have access to any and all "&amp;"of their memories when you wish, to better let you blend in, and there’s nothing they can really do about it as you play with them as you see fit. The main limitation of this method is your multi-tasking ability. You’ll have to control all of your bodies "&amp;"without any support and that can be a real headache.
The second method is to lean on what’s already there. Instead of getting rid of the original personality, you suppress it while inserting a linked copy of yourself into the driving seat, relying on th"&amp;"e host’s memories and skills to act as them. This can cause a bit of bleedthrough if you're not careful. Not in morals or goals, but something like Likes, Dislikes...or a secret crush, are totally possible. The main limitation of this is your own willpowe"&amp;"r, as the bleedthrough from your puppets affects your main body more and more, but surely you’ll be fine. As a bonus, this method will let you have conversations with yourself to help you come up with plans!")</f>
        <v>Here it is, the Quirk that started this entire debacle. Your body is made up of a viscous dark-blue gel, capable of taking hits from a normal human without effect but splattering when it goes up against a real threat. Its true power is the ability to hijack the bodies of females by physically inserting your gooey form into their various orifices and turning them into your puppets. Naturally, this feels incredibly pleasurable for all parties involved. You actually have two methods of doing this, based on the two main interpretations of the villain’s quirk in the original Doujin.
The first method is to simply use them as literal puppets. All you have to do is get rid of the original owner’s personality and go from there! You’ll have access to any and all of their memories when you wish, to better let you blend in, and there’s nothing they can really do about it as you play with them as you see fit. The main limitation of this method is your multi-tasking ability. You’ll have to control all of your bodies without any support and that can be a real headache.
The second method is to lean on what’s already there. Instead of getting rid of the original personality, you suppress it while inserting a linked copy of yourself into the driving seat, relying on the host’s memories and skills to act as them. This can cause a bit of bleedthrough if you're not careful. Not in morals or goals, but something like Likes, Dislikes...or a secret crush, are totally possible. The main limitation of this is your own willpower, as the bleedthrough from your puppets affects your main body more and more, but surely you’ll be fine. As a bonus, this method will let you have conversations with yourself to help you come up with plans!</v>
      </c>
      <c r="I71" s="5"/>
    </row>
    <row r="72" spans="1:9" ht="330.6" x14ac:dyDescent="0.25">
      <c r="A72" s="16"/>
      <c r="B72" s="17">
        <v>68</v>
      </c>
      <c r="C72" s="2" t="b">
        <f ca="1">IFERROR(__xludf.DUMMYFUNCTION("""COMPUTED_VALUE"""),FALSE)</f>
        <v>0</v>
      </c>
      <c r="D72" s="2">
        <f ca="1">IFERROR(__xludf.DUMMYFUNCTION("""COMPUTED_VALUE"""),600)</f>
        <v>600</v>
      </c>
      <c r="E72" s="2" t="str">
        <f ca="1">IFERROR(__xludf.DUMMYFUNCTION("""COMPUTED_VALUE"""),"Sekeri Form")</f>
        <v>Sekeri Form</v>
      </c>
      <c r="F72" s="2" t="str">
        <f ca="1">IFERROR(__xludf.DUMMYFUNCTION("""COMPUTED_VALUE"""),"Sekirei")</f>
        <v>Sekirei</v>
      </c>
      <c r="G72" s="2" t="str">
        <f ca="1">IFERROR(__xludf.DUMMYFUNCTION("""COMPUTED_VALUE"""),"Alternate Forms")</f>
        <v>Alternate Forms</v>
      </c>
      <c r="H72" s="2" t="str">
        <f ca="1">IFERROR(__xludf.DUMMYFUNCTION("""COMPUTED_VALUE"""),"You have the ability to turn into a Sekeri. You are incredibly beautiful and have a superhuman physique, as well as a power specific to you. This can be mastery of a particular weapon, control of an element, a mental power of some sort, or the ability to "&amp;"construct advanced technology. Whatever it is, it can be driven to incredible heights through your Norito, which requires you to kiss your Ashkabi and recite its words*. What's an Ashkabi?
Sekeri are creatures of love. It is a part of their fundamental n"&amp;"ature to love fiercely and totally, the emotion being all-consuming to them. As you (probably) aren't natively a Sekeri, you will have the perspective to temper this, but it will nonetheless be intense. And this love will be for your Ashkabi. Each Sekirei"&amp;" can react to a certain person; drawn by something akin to love at first sight, but far deeper. Should they then be kissed they will become Winged, and this feeling will blossom into love for their Ashikabi. Notably, they can be winged by someone they do "&amp;"not react to, but this will not dampen their love one whit. Your Ashkabi will not change should you leave and return to your Sekeri form, so choose well.
*Norito prayers generally take the form of '[word representing unique power] of my [pact/pledge/vow]"&amp;", [implementation of unique power eliminating an impediment] of my Ashkabi!' For example: This water represents my pledge. Purify the evil residing in my Ashikabi! Or Hammer of my pledge, shatter the enemy of my Ashikabi!")</f>
        <v>You have the ability to turn into a Sekeri. You are incredibly beautiful and have a superhuman physique, as well as a power specific to you. This can be mastery of a particular weapon, control of an element, a mental power of some sort, or the ability to construct advanced technology. Whatever it is, it can be driven to incredible heights through your Norito, which requires you to kiss your Ashkabi and recite its words*. What's an Ashkabi?
Sekeri are creatures of love. It is a part of their fundamental nature to love fiercely and totally, the emotion being all-consuming to them. As you (probably) aren't natively a Sekeri, you will have the perspective to temper this, but it will nonetheless be intense. And this love will be for your Ashkabi. Each Sekirei can react to a certain person; drawn by something akin to love at first sight, but far deeper. Should they then be kissed they will become Winged, and this feeling will blossom into love for their Ashikabi. Notably, they can be winged by someone they do not react to, but this will not dampen their love one whit. Your Ashkabi will not change should you leave and return to your Sekeri form, so choose well.
*Norito prayers generally take the form of '[word representing unique power] of my [pact/pledge/vow], [implementation of unique power eliminating an impediment] of my Ashkabi!' For example: This water represents my pledge. Purify the evil residing in my Ashikabi! Or Hammer of my pledge, shatter the enemy of my Ashikabi!</v>
      </c>
      <c r="I72" s="5"/>
    </row>
    <row r="73" spans="1:9" ht="17.399999999999999" x14ac:dyDescent="0.25">
      <c r="A73" s="16"/>
      <c r="B73" s="17"/>
      <c r="C73" s="2" t="b">
        <f ca="1">IFERROR(__xludf.DUMMYFUNCTION("""COMPUTED_VALUE"""),TRUE)</f>
        <v>1</v>
      </c>
      <c r="D73" s="2">
        <f ca="1">IFERROR(__xludf.DUMMYFUNCTION("""COMPUTED_VALUE"""),-100)</f>
        <v>-100</v>
      </c>
      <c r="E73" s="2" t="str">
        <f ca="1">IFERROR(__xludf.DUMMYFUNCTION("""COMPUTED_VALUE"""),"Purchased Perks")</f>
        <v>Purchased Perks</v>
      </c>
      <c r="F73" s="2">
        <f ca="1">IFERROR(__xludf.DUMMYFUNCTION("""COMPUTED_VALUE"""),1)</f>
        <v>1</v>
      </c>
      <c r="G73" s="2" t="str">
        <f ca="1">IFERROR(__xludf.DUMMYFUNCTION("""COMPUTED_VALUE"""),"Alternate Forms")</f>
        <v>Alternate Forms</v>
      </c>
      <c r="H73" s="2"/>
      <c r="I73" s="5"/>
    </row>
    <row r="74" spans="1:9" ht="174" x14ac:dyDescent="0.25">
      <c r="A74" s="16"/>
      <c r="B74" s="17"/>
      <c r="C74" s="2" t="b">
        <f ca="1">IFERROR(__xludf.DUMMYFUNCTION("""COMPUTED_VALUE"""),TRUE)</f>
        <v>1</v>
      </c>
      <c r="D74" s="2">
        <f ca="1">IFERROR(__xludf.DUMMYFUNCTION("""COMPUTED_VALUE"""),200)</f>
        <v>200</v>
      </c>
      <c r="E74" s="2" t="str">
        <f ca="1">IFERROR(__xludf.DUMMYFUNCTION("""COMPUTED_VALUE"""),"Gerudo Form")</f>
        <v>Gerudo Form</v>
      </c>
      <c r="F74" s="2" t="str">
        <f ca="1">IFERROR(__xludf.DUMMYFUNCTION("""COMPUTED_VALUE"""),"Breathless Wild")</f>
        <v>Breathless Wild</v>
      </c>
      <c r="G74" s="2" t="str">
        <f ca="1">IFERROR(__xludf.DUMMYFUNCTION("""COMPUTED_VALUE"""),"Alternate Forms")</f>
        <v>Alternate Forms</v>
      </c>
      <c r="H74" s="2" t="str">
        <f ca="1">IFERROR(__xludf.DUMMYFUNCTION("""COMPUTED_VALUE"""),"The desert-dwelling gerudo have developed a second gender in the past century. Though they still don’t give birth to men, some gerudo are now born as futanari, sporting impressive cocks and muscular bodies. These amazonian hermaphrodites are a highly priv"&amp;"ileged class who are encouraged to spread their seed and impregnate as many women as they please both inside and outside the tribe. Many gerudo keep vast harems of concubines, and some have even returned to the old ways of kidnapping outsiders to keep as "&amp;"slaves and broodmares. But male gerudo aren’t completely impossible: in ancient times a single boy was born every hundred years and was prophesied to become king of the gerudo, though this hasn’t occurred in many millennia. Should you choose to be the nex"&amp;"t exception to the rule you'll be sure to draw a great deal of attention, as the last male gerudo remains rather notorious to say the least.")</f>
        <v>The desert-dwelling gerudo have developed a second gender in the past century. Though they still don’t give birth to men, some gerudo are now born as futanari, sporting impressive cocks and muscular bodies. These amazonian hermaphrodites are a highly privileged class who are encouraged to spread their seed and impregnate as many women as they please both inside and outside the tribe. Many gerudo keep vast harems of concubines, and some have even returned to the old ways of kidnapping outsiders to keep as slaves and broodmares. But male gerudo aren’t completely impossible: in ancient times a single boy was born every hundred years and was prophesied to become king of the gerudo, though this hasn’t occurred in many millennia. Should you choose to be the next exception to the rule you'll be sure to draw a great deal of attention, as the last male gerudo remains rather notorious to say the least.</v>
      </c>
      <c r="I74" s="5"/>
    </row>
    <row r="75" spans="1:9" ht="226.2" x14ac:dyDescent="0.25">
      <c r="A75" s="16"/>
      <c r="B75" s="17"/>
      <c r="C75" s="2" t="b">
        <f ca="1">IFERROR(__xludf.DUMMYFUNCTION("""COMPUTED_VALUE"""),TRUE)</f>
        <v>1</v>
      </c>
      <c r="D75" s="2">
        <f ca="1">IFERROR(__xludf.DUMMYFUNCTION("""COMPUTED_VALUE"""),400)</f>
        <v>400</v>
      </c>
      <c r="E75" s="2" t="str">
        <f ca="1">IFERROR(__xludf.DUMMYFUNCTION("""COMPUTED_VALUE"""),"Sweet Devil")</f>
        <v>Sweet Devil</v>
      </c>
      <c r="F75" s="2" t="str">
        <f ca="1">IFERROR(__xludf.DUMMYFUNCTION("""COMPUTED_VALUE"""),"Elzikyuchi’s Dickgirls 2")</f>
        <v>Elzikyuchi’s Dickgirls 2</v>
      </c>
      <c r="G75" s="2" t="str">
        <f ca="1">IFERROR(__xludf.DUMMYFUNCTION("""COMPUTED_VALUE"""),"Alternate Forms")</f>
        <v>Alternate Forms</v>
      </c>
      <c r="H75" s="2" t="str">
        <f ca="1">IFERROR(__xludf.DUMMYFUNCTION("""COMPUTED_VALUE"""),"From generic succubi, to creatures embodying specific fetishes, sex demons are possibly the strongest type of monster in this world. They are naturally capable of wielding magic, and their strength only grows as they partake of and are surrounded by lust."&amp;" From body control, to mind control, to subtler charms, to attribute exchange, to illusions, to possession, such demons are capable of doing right about anything that might get someone off, assuming they've fucked enough people to gather the required ener"&amp;"gy. The well of power available to them with enough sex does mean they're also capable of more practical magic, such as giving summoners immortality by having them suck down cum laced with life energy or incredible power by turning them into sexy monsterg"&amp;"irls. Well, relatively practical. In any case, you can count yourself among them. On top of all that, you can if you desire to do so declare yourself a succubus belonging to a specific fetish. In addition to enhancing your abilities within that fetish, yo"&amp;"u can ambiently draw power from it. For a shemale succubus, merely being near someone fantasizing about that sort of thing can be very empowering.")</f>
        <v>From generic succubi, to creatures embodying specific fetishes, sex demons are possibly the strongest type of monster in this world. They are naturally capable of wielding magic, and their strength only grows as they partake of and are surrounded by lust. From body control, to mind control, to subtler charms, to attribute exchange, to illusions, to possession, such demons are capable of doing right about anything that might get someone off, assuming they've fucked enough people to gather the required energy. The well of power available to them with enough sex does mean they're also capable of more practical magic, such as giving summoners immortality by having them suck down cum laced with life energy or incredible power by turning them into sexy monstergirls. Well, relatively practical. In any case, you can count yourself among them. On top of all that, you can if you desire to do so declare yourself a succubus belonging to a specific fetish. In addition to enhancing your abilities within that fetish, you can ambiently draw power from it. For a shemale succubus, merely being near someone fantasizing about that sort of thing can be very empowering.</v>
      </c>
      <c r="I75" s="5"/>
    </row>
    <row r="76" spans="1:9" ht="17.399999999999999" x14ac:dyDescent="0.25">
      <c r="A76" s="16"/>
      <c r="B76" s="17"/>
      <c r="C76" s="2"/>
      <c r="D76" s="2"/>
      <c r="E76" s="2"/>
      <c r="F76" s="2"/>
      <c r="G76" s="2"/>
      <c r="H76" s="2"/>
      <c r="I76" s="5"/>
    </row>
    <row r="77" spans="1:9" ht="17.399999999999999" x14ac:dyDescent="0.25">
      <c r="A77" s="16"/>
      <c r="B77" s="17"/>
      <c r="C77" s="2"/>
      <c r="D77" s="2"/>
      <c r="E77" s="2"/>
      <c r="F77" s="2"/>
      <c r="G77" s="2"/>
      <c r="H77" s="2"/>
      <c r="I77" s="5"/>
    </row>
    <row r="78" spans="1:9" ht="17.399999999999999" x14ac:dyDescent="0.25">
      <c r="A78" s="16"/>
      <c r="B78" s="17"/>
      <c r="C78" s="2"/>
      <c r="D78" s="2"/>
      <c r="E78" s="2"/>
      <c r="F78" s="2"/>
      <c r="G78" s="2"/>
      <c r="H78" s="2"/>
      <c r="I78" s="5"/>
    </row>
    <row r="79" spans="1:9" ht="17.399999999999999" x14ac:dyDescent="0.25">
      <c r="A79" s="16"/>
      <c r="B79" s="17"/>
      <c r="C79" s="2"/>
      <c r="D79" s="2"/>
      <c r="E79" s="2"/>
      <c r="F79" s="2"/>
      <c r="G79" s="2"/>
      <c r="H79" s="2"/>
      <c r="I79" s="5"/>
    </row>
    <row r="80" spans="1:9" ht="17.399999999999999" x14ac:dyDescent="0.25">
      <c r="A80" s="16"/>
      <c r="B80" s="17"/>
      <c r="C80" s="2"/>
      <c r="D80" s="2"/>
      <c r="E80" s="2"/>
      <c r="F80" s="2"/>
      <c r="G80" s="2"/>
      <c r="H80" s="2"/>
      <c r="I80" s="5"/>
    </row>
    <row r="81" spans="1:9" ht="17.399999999999999" x14ac:dyDescent="0.25">
      <c r="A81" s="16"/>
      <c r="B81" s="17"/>
      <c r="C81" s="2"/>
      <c r="D81" s="2"/>
      <c r="E81" s="2"/>
      <c r="F81" s="2"/>
      <c r="G81" s="2"/>
      <c r="H81" s="2"/>
      <c r="I81" s="5"/>
    </row>
    <row r="82" spans="1:9" ht="17.399999999999999" x14ac:dyDescent="0.25">
      <c r="A82" s="16"/>
      <c r="B82" s="17"/>
      <c r="C82" s="2"/>
      <c r="D82" s="2"/>
      <c r="E82" s="2"/>
      <c r="F82" s="2"/>
      <c r="G82" s="2"/>
      <c r="H82" s="2"/>
      <c r="I82" s="5"/>
    </row>
    <row r="83" spans="1:9" ht="17.399999999999999" x14ac:dyDescent="0.25">
      <c r="A83" s="16"/>
      <c r="B83" s="17"/>
      <c r="C83" s="2"/>
      <c r="D83" s="2"/>
      <c r="E83" s="2"/>
      <c r="F83" s="2"/>
      <c r="G83" s="2"/>
      <c r="H83" s="2"/>
      <c r="I83" s="5"/>
    </row>
    <row r="84" spans="1:9" ht="17.399999999999999" x14ac:dyDescent="0.25">
      <c r="A84" s="16"/>
      <c r="B84" s="17"/>
      <c r="C84" s="2"/>
      <c r="D84" s="2"/>
      <c r="E84" s="2"/>
      <c r="F84" s="2"/>
      <c r="G84" s="2"/>
      <c r="H84" s="2"/>
      <c r="I84" s="5"/>
    </row>
    <row r="85" spans="1:9" ht="17.399999999999999" x14ac:dyDescent="0.25">
      <c r="A85" s="16"/>
      <c r="B85" s="17"/>
      <c r="C85" s="2"/>
      <c r="D85" s="2"/>
      <c r="E85" s="2"/>
      <c r="F85" s="2"/>
      <c r="G85" s="2"/>
      <c r="H85" s="2"/>
      <c r="I85" s="5"/>
    </row>
    <row r="86" spans="1:9" ht="17.399999999999999" x14ac:dyDescent="0.25">
      <c r="A86" s="16"/>
      <c r="B86" s="17"/>
      <c r="C86" s="2"/>
      <c r="D86" s="2"/>
      <c r="E86" s="2"/>
      <c r="F86" s="2"/>
      <c r="G86" s="2"/>
      <c r="H86" s="2"/>
      <c r="I86" s="5"/>
    </row>
    <row r="87" spans="1:9" ht="17.399999999999999" x14ac:dyDescent="0.25">
      <c r="A87" s="16"/>
      <c r="B87" s="17"/>
      <c r="C87" s="2"/>
      <c r="D87" s="2"/>
      <c r="E87" s="2"/>
      <c r="F87" s="2"/>
      <c r="G87" s="2"/>
      <c r="H87" s="2"/>
      <c r="I87" s="5"/>
    </row>
    <row r="88" spans="1:9" ht="17.399999999999999" x14ac:dyDescent="0.25">
      <c r="A88" s="16"/>
      <c r="B88" s="17"/>
      <c r="C88" s="2"/>
      <c r="D88" s="2"/>
      <c r="E88" s="2"/>
      <c r="F88" s="2"/>
      <c r="G88" s="2"/>
      <c r="H88" s="2"/>
      <c r="I88" s="5"/>
    </row>
    <row r="89" spans="1:9" ht="17.399999999999999" x14ac:dyDescent="0.25">
      <c r="A89" s="16"/>
      <c r="B89" s="17"/>
      <c r="C89" s="2"/>
      <c r="D89" s="2"/>
      <c r="E89" s="2"/>
      <c r="F89" s="2"/>
      <c r="G89" s="2"/>
      <c r="H89" s="2"/>
      <c r="I89" s="5"/>
    </row>
    <row r="90" spans="1:9" ht="17.399999999999999" x14ac:dyDescent="0.25">
      <c r="A90" s="16"/>
      <c r="B90" s="17"/>
      <c r="C90" s="2"/>
      <c r="D90" s="2"/>
      <c r="E90" s="2"/>
      <c r="F90" s="2"/>
      <c r="G90" s="2"/>
      <c r="H90" s="2"/>
      <c r="I90" s="5"/>
    </row>
    <row r="91" spans="1:9" ht="17.399999999999999" x14ac:dyDescent="0.25">
      <c r="A91" s="16"/>
      <c r="B91" s="17"/>
      <c r="C91" s="2"/>
      <c r="D91" s="2"/>
      <c r="E91" s="2"/>
      <c r="F91" s="2"/>
      <c r="G91" s="2"/>
      <c r="H91" s="2"/>
      <c r="I91" s="5"/>
    </row>
    <row r="92" spans="1:9" ht="17.399999999999999" x14ac:dyDescent="0.25">
      <c r="A92" s="16"/>
      <c r="B92" s="17"/>
      <c r="C92" s="2"/>
      <c r="D92" s="2"/>
      <c r="E92" s="2"/>
      <c r="F92" s="2"/>
      <c r="G92" s="2"/>
      <c r="H92" s="2"/>
      <c r="I92" s="5"/>
    </row>
    <row r="93" spans="1:9" ht="17.399999999999999" x14ac:dyDescent="0.25">
      <c r="A93" s="16"/>
      <c r="B93" s="17"/>
      <c r="C93" s="2"/>
      <c r="D93" s="2"/>
      <c r="E93" s="2"/>
      <c r="F93" s="2"/>
      <c r="G93" s="2"/>
      <c r="H93" s="2"/>
      <c r="I93" s="5"/>
    </row>
    <row r="94" spans="1:9" ht="17.399999999999999" x14ac:dyDescent="0.25">
      <c r="A94" s="16"/>
      <c r="B94" s="17"/>
      <c r="C94" s="2"/>
      <c r="D94" s="2"/>
      <c r="E94" s="2"/>
      <c r="F94" s="2"/>
      <c r="G94" s="2"/>
      <c r="H94" s="2"/>
      <c r="I94" s="5"/>
    </row>
    <row r="95" spans="1:9" ht="17.399999999999999" x14ac:dyDescent="0.25">
      <c r="A95" s="16"/>
      <c r="B95" s="17"/>
      <c r="C95" s="2"/>
      <c r="D95" s="2"/>
      <c r="E95" s="2"/>
      <c r="F95" s="2"/>
      <c r="G95" s="2"/>
      <c r="H95" s="2"/>
      <c r="I95" s="5"/>
    </row>
    <row r="96" spans="1:9" ht="17.399999999999999" x14ac:dyDescent="0.25">
      <c r="A96" s="16"/>
      <c r="B96" s="17"/>
      <c r="C96" s="2"/>
      <c r="D96" s="2"/>
      <c r="E96" s="2"/>
      <c r="F96" s="2"/>
      <c r="G96" s="2"/>
      <c r="H96" s="2"/>
      <c r="I96" s="5"/>
    </row>
    <row r="97" spans="1:9" ht="17.399999999999999" x14ac:dyDescent="0.25">
      <c r="A97" s="16"/>
      <c r="B97" s="17"/>
      <c r="C97" s="2"/>
      <c r="D97" s="2"/>
      <c r="E97" s="2"/>
      <c r="F97" s="2"/>
      <c r="G97" s="2"/>
      <c r="H97" s="2"/>
      <c r="I97" s="5"/>
    </row>
    <row r="98" spans="1:9" ht="17.399999999999999" x14ac:dyDescent="0.25">
      <c r="A98" s="16"/>
      <c r="B98" s="17"/>
      <c r="C98" s="2"/>
      <c r="D98" s="2"/>
      <c r="E98" s="2"/>
      <c r="F98" s="2"/>
      <c r="G98" s="2"/>
      <c r="H98" s="2"/>
      <c r="I98" s="5"/>
    </row>
    <row r="99" spans="1:9" ht="17.399999999999999" x14ac:dyDescent="0.25">
      <c r="A99" s="16"/>
      <c r="B99" s="17"/>
      <c r="C99" s="2"/>
      <c r="D99" s="2"/>
      <c r="E99" s="2"/>
      <c r="F99" s="2"/>
      <c r="G99" s="2"/>
      <c r="H99" s="2"/>
      <c r="I99" s="5"/>
    </row>
    <row r="100" spans="1:9" ht="17.399999999999999" x14ac:dyDescent="0.25">
      <c r="A100" s="16"/>
      <c r="B100" s="17"/>
      <c r="C100" s="2"/>
      <c r="D100" s="2"/>
      <c r="E100" s="2"/>
      <c r="F100" s="2"/>
      <c r="G100" s="2"/>
      <c r="H100" s="2"/>
      <c r="I100" s="5"/>
    </row>
    <row r="101" spans="1:9" ht="17.399999999999999" x14ac:dyDescent="0.25">
      <c r="A101" s="16"/>
      <c r="B101" s="17"/>
      <c r="C101" s="2"/>
      <c r="D101" s="2"/>
      <c r="E101" s="2"/>
      <c r="F101" s="2"/>
      <c r="G101" s="2"/>
      <c r="H101" s="2"/>
      <c r="I101" s="5"/>
    </row>
    <row r="102" spans="1:9" ht="17.399999999999999" x14ac:dyDescent="0.25">
      <c r="A102" s="16"/>
      <c r="B102" s="17"/>
      <c r="C102" s="2"/>
      <c r="D102" s="2"/>
      <c r="E102" s="2"/>
      <c r="F102" s="2"/>
      <c r="G102" s="2"/>
      <c r="H102" s="2"/>
      <c r="I102" s="5"/>
    </row>
    <row r="103" spans="1:9" ht="17.399999999999999" x14ac:dyDescent="0.25">
      <c r="A103" s="16"/>
      <c r="B103" s="17"/>
      <c r="C103" s="2"/>
      <c r="D103" s="2"/>
      <c r="E103" s="2"/>
      <c r="F103" s="2"/>
      <c r="G103" s="2"/>
      <c r="H103" s="2"/>
      <c r="I103" s="5"/>
    </row>
    <row r="104" spans="1:9" ht="17.399999999999999" x14ac:dyDescent="0.25">
      <c r="A104" s="16"/>
      <c r="B104" s="17"/>
      <c r="C104" s="2"/>
      <c r="D104" s="2"/>
      <c r="E104" s="2"/>
      <c r="F104" s="2"/>
      <c r="G104" s="2"/>
      <c r="H104" s="2"/>
      <c r="I104" s="5"/>
    </row>
    <row r="105" spans="1:9" ht="17.399999999999999" x14ac:dyDescent="0.25">
      <c r="A105" s="16"/>
      <c r="B105" s="17"/>
      <c r="C105" s="2"/>
      <c r="D105" s="2"/>
      <c r="E105" s="2"/>
      <c r="F105" s="2"/>
      <c r="G105" s="2"/>
      <c r="H105" s="2"/>
      <c r="I105" s="5"/>
    </row>
    <row r="106" spans="1:9" ht="17.399999999999999" x14ac:dyDescent="0.25">
      <c r="A106" s="16"/>
      <c r="B106" s="17"/>
      <c r="C106" s="2"/>
      <c r="D106" s="2"/>
      <c r="E106" s="2"/>
      <c r="F106" s="2"/>
      <c r="G106" s="2"/>
      <c r="H106" s="2"/>
      <c r="I106" s="5"/>
    </row>
    <row r="107" spans="1:9" ht="17.399999999999999" x14ac:dyDescent="0.25">
      <c r="A107" s="16"/>
      <c r="B107" s="17"/>
      <c r="C107" s="2"/>
      <c r="D107" s="2"/>
      <c r="E107" s="2"/>
      <c r="F107" s="2"/>
      <c r="G107" s="2"/>
      <c r="H107" s="2"/>
      <c r="I107" s="5"/>
    </row>
    <row r="108" spans="1:9" ht="17.399999999999999" x14ac:dyDescent="0.25">
      <c r="A108" s="16"/>
      <c r="B108" s="17"/>
      <c r="C108" s="2"/>
      <c r="D108" s="2"/>
      <c r="E108" s="2"/>
      <c r="F108" s="2"/>
      <c r="G108" s="2"/>
      <c r="H108" s="2"/>
      <c r="I108" s="5"/>
    </row>
    <row r="109" spans="1:9" ht="17.399999999999999" x14ac:dyDescent="0.25">
      <c r="A109" s="16"/>
      <c r="B109" s="17"/>
      <c r="C109" s="2"/>
      <c r="D109" s="2"/>
      <c r="E109" s="2"/>
      <c r="F109" s="2"/>
      <c r="G109" s="2"/>
      <c r="H109" s="2"/>
      <c r="I109" s="5"/>
    </row>
    <row r="110" spans="1:9" ht="17.399999999999999" x14ac:dyDescent="0.25">
      <c r="A110" s="16"/>
      <c r="B110" s="17"/>
      <c r="C110" s="2"/>
      <c r="D110" s="2"/>
      <c r="E110" s="2"/>
      <c r="F110" s="2"/>
      <c r="G110" s="2"/>
      <c r="H110" s="2"/>
      <c r="I110" s="5"/>
    </row>
    <row r="111" spans="1:9" ht="17.399999999999999" x14ac:dyDescent="0.25">
      <c r="A111" s="16"/>
      <c r="B111" s="17"/>
      <c r="C111" s="2"/>
      <c r="D111" s="2"/>
      <c r="E111" s="2"/>
      <c r="F111" s="2"/>
      <c r="G111" s="2"/>
      <c r="H111" s="2"/>
      <c r="I111" s="5"/>
    </row>
    <row r="112" spans="1:9" ht="17.399999999999999" x14ac:dyDescent="0.25">
      <c r="A112" s="16"/>
      <c r="B112" s="17"/>
      <c r="C112" s="2"/>
      <c r="D112" s="2"/>
      <c r="E112" s="2"/>
      <c r="F112" s="2"/>
      <c r="G112" s="2"/>
      <c r="H112" s="2"/>
      <c r="I112" s="5"/>
    </row>
    <row r="113" spans="1:9" ht="17.399999999999999" x14ac:dyDescent="0.25">
      <c r="A113" s="16"/>
      <c r="B113" s="17"/>
      <c r="C113" s="2"/>
      <c r="D113" s="2"/>
      <c r="E113" s="2"/>
      <c r="F113" s="2"/>
      <c r="G113" s="2"/>
      <c r="H113" s="2"/>
      <c r="I113" s="5"/>
    </row>
    <row r="114" spans="1:9" ht="17.399999999999999" x14ac:dyDescent="0.25">
      <c r="A114" s="16"/>
      <c r="B114" s="17"/>
      <c r="C114" s="2"/>
      <c r="D114" s="2"/>
      <c r="E114" s="2"/>
      <c r="F114" s="2"/>
      <c r="G114" s="2"/>
      <c r="H114" s="2"/>
      <c r="I114" s="5"/>
    </row>
    <row r="115" spans="1:9" ht="17.399999999999999" x14ac:dyDescent="0.25">
      <c r="A115" s="16"/>
      <c r="B115" s="17"/>
      <c r="C115" s="2"/>
      <c r="D115" s="2"/>
      <c r="E115" s="2"/>
      <c r="F115" s="2"/>
      <c r="G115" s="2"/>
      <c r="H115" s="2"/>
      <c r="I115" s="5"/>
    </row>
    <row r="116" spans="1:9" ht="17.399999999999999" x14ac:dyDescent="0.25">
      <c r="A116" s="16"/>
      <c r="B116" s="17"/>
      <c r="C116" s="2"/>
      <c r="D116" s="2"/>
      <c r="E116" s="2"/>
      <c r="F116" s="2"/>
      <c r="G116" s="2"/>
      <c r="H116" s="2"/>
      <c r="I116" s="5"/>
    </row>
    <row r="117" spans="1:9" ht="17.399999999999999" x14ac:dyDescent="0.25">
      <c r="A117" s="16"/>
      <c r="B117" s="17"/>
      <c r="C117" s="2"/>
      <c r="D117" s="2"/>
      <c r="E117" s="2"/>
      <c r="F117" s="2"/>
      <c r="G117" s="2"/>
      <c r="H117" s="2"/>
      <c r="I117" s="5"/>
    </row>
    <row r="118" spans="1:9" ht="17.399999999999999" x14ac:dyDescent="0.25">
      <c r="A118" s="16"/>
      <c r="B118" s="17"/>
      <c r="C118" s="2"/>
      <c r="D118" s="2"/>
      <c r="E118" s="2"/>
      <c r="F118" s="2"/>
      <c r="G118" s="2"/>
      <c r="H118" s="2"/>
      <c r="I118" s="5"/>
    </row>
    <row r="119" spans="1:9" ht="17.399999999999999" x14ac:dyDescent="0.25">
      <c r="A119" s="16"/>
      <c r="B119" s="17"/>
      <c r="C119" s="2"/>
      <c r="D119" s="2"/>
      <c r="E119" s="2"/>
      <c r="F119" s="2"/>
      <c r="G119" s="2"/>
      <c r="H119" s="2"/>
      <c r="I119" s="5"/>
    </row>
    <row r="120" spans="1:9" ht="17.399999999999999" x14ac:dyDescent="0.25">
      <c r="A120" s="16"/>
      <c r="B120" s="17"/>
      <c r="C120" s="2"/>
      <c r="D120" s="2"/>
      <c r="E120" s="2"/>
      <c r="F120" s="2"/>
      <c r="G120" s="2"/>
      <c r="H120" s="2"/>
      <c r="I120" s="5"/>
    </row>
    <row r="121" spans="1:9" ht="17.399999999999999" x14ac:dyDescent="0.25">
      <c r="A121" s="16"/>
      <c r="B121" s="17"/>
      <c r="C121" s="2"/>
      <c r="D121" s="2"/>
      <c r="E121" s="2"/>
      <c r="F121" s="2"/>
      <c r="G121" s="2"/>
      <c r="H121" s="2"/>
      <c r="I121" s="5"/>
    </row>
    <row r="122" spans="1:9" ht="17.399999999999999" x14ac:dyDescent="0.25">
      <c r="A122" s="16"/>
      <c r="B122" s="17"/>
      <c r="C122" s="2"/>
      <c r="D122" s="2"/>
      <c r="E122" s="2"/>
      <c r="F122" s="2"/>
      <c r="G122" s="2"/>
      <c r="H122" s="2"/>
      <c r="I122" s="5"/>
    </row>
    <row r="123" spans="1:9" ht="17.399999999999999" x14ac:dyDescent="0.25">
      <c r="A123" s="16"/>
      <c r="B123" s="17"/>
      <c r="C123" s="2"/>
      <c r="D123" s="2"/>
      <c r="E123" s="2"/>
      <c r="F123" s="2"/>
      <c r="G123" s="2"/>
      <c r="H123" s="2"/>
      <c r="I123" s="5"/>
    </row>
    <row r="124" spans="1:9" ht="17.399999999999999" x14ac:dyDescent="0.25">
      <c r="A124" s="16"/>
      <c r="B124" s="17"/>
      <c r="C124" s="2"/>
      <c r="D124" s="2"/>
      <c r="E124" s="2"/>
      <c r="F124" s="2"/>
      <c r="G124" s="2"/>
      <c r="H124" s="2"/>
      <c r="I124" s="5"/>
    </row>
    <row r="125" spans="1:9" ht="17.399999999999999" x14ac:dyDescent="0.25">
      <c r="A125" s="16"/>
      <c r="B125" s="17"/>
      <c r="C125" s="2"/>
      <c r="D125" s="2"/>
      <c r="E125" s="2"/>
      <c r="F125" s="2"/>
      <c r="G125" s="2"/>
      <c r="H125" s="2"/>
      <c r="I125" s="5"/>
    </row>
    <row r="126" spans="1:9" ht="17.399999999999999" x14ac:dyDescent="0.25">
      <c r="A126" s="16"/>
      <c r="B126" s="17"/>
      <c r="C126" s="2"/>
      <c r="D126" s="2"/>
      <c r="E126" s="2"/>
      <c r="F126" s="2"/>
      <c r="G126" s="2"/>
      <c r="H126" s="2"/>
      <c r="I126" s="5"/>
    </row>
    <row r="127" spans="1:9" ht="17.399999999999999" x14ac:dyDescent="0.25">
      <c r="A127" s="16"/>
      <c r="B127" s="17"/>
      <c r="C127" s="2"/>
      <c r="D127" s="2"/>
      <c r="E127" s="2"/>
      <c r="F127" s="2"/>
      <c r="G127" s="2"/>
      <c r="H127" s="2"/>
      <c r="I127" s="5"/>
    </row>
    <row r="128" spans="1:9" ht="17.399999999999999" x14ac:dyDescent="0.25">
      <c r="A128" s="16"/>
      <c r="B128" s="17"/>
      <c r="C128" s="2"/>
      <c r="D128" s="2"/>
      <c r="E128" s="2"/>
      <c r="F128" s="2"/>
      <c r="G128" s="2"/>
      <c r="H128" s="2"/>
      <c r="I128" s="5"/>
    </row>
    <row r="129" spans="1:9" ht="17.399999999999999" x14ac:dyDescent="0.25">
      <c r="A129" s="16"/>
      <c r="B129" s="17"/>
      <c r="C129" s="2"/>
      <c r="D129" s="2"/>
      <c r="E129" s="2"/>
      <c r="F129" s="2"/>
      <c r="G129" s="2"/>
      <c r="H129" s="2"/>
      <c r="I129" s="5"/>
    </row>
    <row r="130" spans="1:9" ht="17.399999999999999" x14ac:dyDescent="0.25">
      <c r="A130" s="16"/>
      <c r="B130" s="17"/>
      <c r="C130" s="2"/>
      <c r="D130" s="2"/>
      <c r="E130" s="2"/>
      <c r="F130" s="2"/>
      <c r="G130" s="2"/>
      <c r="H130" s="2"/>
      <c r="I130" s="5"/>
    </row>
    <row r="131" spans="1:9" ht="17.399999999999999" x14ac:dyDescent="0.25">
      <c r="A131" s="16"/>
      <c r="B131" s="17"/>
      <c r="C131" s="2"/>
      <c r="D131" s="2"/>
      <c r="E131" s="2"/>
      <c r="F131" s="2"/>
      <c r="G131" s="2"/>
      <c r="H131" s="2"/>
      <c r="I131" s="5"/>
    </row>
    <row r="132" spans="1:9" ht="17.399999999999999" x14ac:dyDescent="0.25">
      <c r="A132" s="16"/>
      <c r="B132" s="17"/>
      <c r="C132" s="2"/>
      <c r="D132" s="2"/>
      <c r="E132" s="2"/>
      <c r="F132" s="2"/>
      <c r="G132" s="2"/>
      <c r="H132" s="2"/>
      <c r="I132" s="5"/>
    </row>
    <row r="133" spans="1:9" ht="17.399999999999999" x14ac:dyDescent="0.25">
      <c r="A133" s="16"/>
      <c r="B133" s="17"/>
      <c r="C133" s="2"/>
      <c r="D133" s="2"/>
      <c r="E133" s="2"/>
      <c r="F133" s="2"/>
      <c r="G133" s="2"/>
      <c r="H133" s="2"/>
      <c r="I133" s="5"/>
    </row>
    <row r="134" spans="1:9" ht="17.399999999999999" x14ac:dyDescent="0.25">
      <c r="A134" s="16"/>
      <c r="B134" s="17"/>
      <c r="C134" s="2"/>
      <c r="D134" s="2"/>
      <c r="E134" s="2"/>
      <c r="F134" s="2"/>
      <c r="G134" s="2"/>
      <c r="H134" s="2"/>
      <c r="I134" s="5"/>
    </row>
    <row r="135" spans="1:9" ht="17.399999999999999" x14ac:dyDescent="0.25">
      <c r="A135" s="16"/>
      <c r="B135" s="17"/>
      <c r="C135" s="2"/>
      <c r="D135" s="2"/>
      <c r="E135" s="2"/>
      <c r="F135" s="2"/>
      <c r="G135" s="2"/>
      <c r="H135" s="2"/>
      <c r="I135" s="5"/>
    </row>
    <row r="136" spans="1:9" ht="17.399999999999999" x14ac:dyDescent="0.25">
      <c r="A136" s="16"/>
      <c r="B136" s="17"/>
      <c r="C136" s="2"/>
      <c r="D136" s="2"/>
      <c r="E136" s="2"/>
      <c r="F136" s="2"/>
      <c r="G136" s="2"/>
      <c r="H136" s="2"/>
      <c r="I136" s="5"/>
    </row>
    <row r="137" spans="1:9" ht="17.399999999999999" x14ac:dyDescent="0.25">
      <c r="A137" s="16"/>
      <c r="B137" s="17"/>
      <c r="C137" s="2"/>
      <c r="D137" s="2"/>
      <c r="E137" s="2"/>
      <c r="F137" s="2"/>
      <c r="G137" s="2"/>
      <c r="H137" s="2"/>
      <c r="I137" s="5"/>
    </row>
    <row r="138" spans="1:9" ht="17.399999999999999" x14ac:dyDescent="0.25">
      <c r="A138" s="16"/>
      <c r="B138" s="17"/>
      <c r="C138" s="2"/>
      <c r="D138" s="2"/>
      <c r="E138" s="2"/>
      <c r="F138" s="2"/>
      <c r="G138" s="2"/>
      <c r="H138" s="2"/>
      <c r="I138" s="5"/>
    </row>
    <row r="139" spans="1:9" ht="17.399999999999999" x14ac:dyDescent="0.25">
      <c r="A139" s="16"/>
      <c r="B139" s="17"/>
      <c r="C139" s="2"/>
      <c r="D139" s="2"/>
      <c r="E139" s="2"/>
      <c r="F139" s="2"/>
      <c r="G139" s="2"/>
      <c r="H139" s="2"/>
      <c r="I139" s="5"/>
    </row>
    <row r="140" spans="1:9" ht="17.399999999999999" x14ac:dyDescent="0.25">
      <c r="A140" s="16"/>
      <c r="B140" s="17"/>
      <c r="C140" s="2"/>
      <c r="D140" s="2"/>
      <c r="E140" s="2"/>
      <c r="F140" s="2"/>
      <c r="G140" s="2"/>
      <c r="H140" s="2"/>
      <c r="I140" s="5"/>
    </row>
    <row r="141" spans="1:9" ht="17.399999999999999" x14ac:dyDescent="0.25">
      <c r="A141" s="16"/>
      <c r="B141" s="17"/>
      <c r="C141" s="2"/>
      <c r="D141" s="2"/>
      <c r="E141" s="2"/>
      <c r="F141" s="2"/>
      <c r="G141" s="2"/>
      <c r="H141" s="2"/>
      <c r="I141" s="5"/>
    </row>
    <row r="142" spans="1:9" ht="17.399999999999999" x14ac:dyDescent="0.25">
      <c r="A142" s="16"/>
      <c r="B142" s="17"/>
      <c r="C142" s="2"/>
      <c r="D142" s="2"/>
      <c r="E142" s="2"/>
      <c r="F142" s="2"/>
      <c r="G142" s="2"/>
      <c r="H142" s="2"/>
      <c r="I142" s="5"/>
    </row>
    <row r="143" spans="1:9" ht="17.399999999999999" x14ac:dyDescent="0.25">
      <c r="A143" s="16"/>
      <c r="B143" s="17"/>
      <c r="C143" s="2"/>
      <c r="D143" s="2"/>
      <c r="E143" s="2"/>
      <c r="F143" s="2"/>
      <c r="G143" s="2"/>
      <c r="H143" s="2"/>
      <c r="I143" s="5"/>
    </row>
    <row r="144" spans="1:9" ht="17.399999999999999" x14ac:dyDescent="0.25">
      <c r="A144" s="16"/>
      <c r="B144" s="17"/>
      <c r="C144" s="2"/>
      <c r="D144" s="2"/>
      <c r="E144" s="2"/>
      <c r="F144" s="2"/>
      <c r="G144" s="2"/>
      <c r="H144" s="2"/>
      <c r="I144" s="5"/>
    </row>
    <row r="145" spans="1:9" ht="17.399999999999999" x14ac:dyDescent="0.25">
      <c r="A145" s="16"/>
      <c r="B145" s="17"/>
      <c r="C145" s="2"/>
      <c r="D145" s="2"/>
      <c r="E145" s="2"/>
      <c r="F145" s="2"/>
      <c r="G145" s="2"/>
      <c r="H145" s="2"/>
      <c r="I145" s="5"/>
    </row>
    <row r="146" spans="1:9" ht="17.399999999999999" x14ac:dyDescent="0.25">
      <c r="A146" s="16"/>
      <c r="B146" s="17"/>
      <c r="C146" s="2"/>
      <c r="D146" s="2"/>
      <c r="E146" s="2"/>
      <c r="F146" s="2"/>
      <c r="G146" s="2"/>
      <c r="H146" s="2"/>
      <c r="I146" s="5"/>
    </row>
    <row r="147" spans="1:9" ht="17.399999999999999" x14ac:dyDescent="0.25">
      <c r="A147" s="16"/>
      <c r="B147" s="17"/>
      <c r="C147" s="2"/>
      <c r="D147" s="2"/>
      <c r="E147" s="2"/>
      <c r="F147" s="2"/>
      <c r="G147" s="2"/>
      <c r="H147" s="2"/>
      <c r="I147" s="5"/>
    </row>
    <row r="148" spans="1:9" ht="17.399999999999999" x14ac:dyDescent="0.25">
      <c r="A148" s="16"/>
      <c r="B148" s="17"/>
      <c r="C148" s="2"/>
      <c r="D148" s="2"/>
      <c r="E148" s="2"/>
      <c r="F148" s="2"/>
      <c r="G148" s="2"/>
      <c r="H148" s="2"/>
      <c r="I148" s="5"/>
    </row>
    <row r="149" spans="1:9" ht="17.399999999999999" x14ac:dyDescent="0.25">
      <c r="A149" s="16"/>
      <c r="B149" s="17"/>
      <c r="C149" s="2"/>
      <c r="D149" s="2"/>
      <c r="E149" s="2"/>
      <c r="F149" s="2"/>
      <c r="G149" s="2"/>
      <c r="H149" s="2"/>
      <c r="I149" s="5"/>
    </row>
    <row r="150" spans="1:9" ht="17.399999999999999" x14ac:dyDescent="0.25">
      <c r="A150" s="16"/>
      <c r="B150" s="17"/>
      <c r="C150" s="2"/>
      <c r="D150" s="2"/>
      <c r="E150" s="2"/>
      <c r="F150" s="2"/>
      <c r="G150" s="2"/>
      <c r="H150" s="2"/>
      <c r="I150" s="5"/>
    </row>
    <row r="151" spans="1:9" ht="17.399999999999999" x14ac:dyDescent="0.25">
      <c r="A151" s="16"/>
      <c r="B151" s="17"/>
      <c r="C151" s="2"/>
      <c r="D151" s="2"/>
      <c r="E151" s="2"/>
      <c r="F151" s="2"/>
      <c r="G151" s="2"/>
      <c r="H151" s="2"/>
      <c r="I151" s="5"/>
    </row>
    <row r="152" spans="1:9" ht="17.399999999999999" x14ac:dyDescent="0.25">
      <c r="A152" s="16"/>
      <c r="B152" s="17"/>
      <c r="C152" s="2"/>
      <c r="D152" s="2"/>
      <c r="E152" s="2"/>
      <c r="F152" s="2"/>
      <c r="G152" s="2"/>
      <c r="H152" s="2"/>
      <c r="I152" s="5"/>
    </row>
    <row r="153" spans="1:9" ht="17.399999999999999" x14ac:dyDescent="0.25">
      <c r="A153" s="16"/>
      <c r="B153" s="17"/>
      <c r="C153" s="2"/>
      <c r="D153" s="2"/>
      <c r="E153" s="2"/>
      <c r="F153" s="2"/>
      <c r="G153" s="2"/>
      <c r="H153" s="2"/>
      <c r="I153" s="5"/>
    </row>
    <row r="154" spans="1:9" ht="17.399999999999999" x14ac:dyDescent="0.25">
      <c r="A154" s="16"/>
      <c r="B154" s="17"/>
      <c r="C154" s="2"/>
      <c r="D154" s="2"/>
      <c r="E154" s="2"/>
      <c r="F154" s="2"/>
      <c r="G154" s="2"/>
      <c r="H154" s="2"/>
      <c r="I154" s="5"/>
    </row>
    <row r="155" spans="1:9" ht="17.399999999999999" x14ac:dyDescent="0.25">
      <c r="A155" s="16"/>
      <c r="B155" s="17"/>
      <c r="C155" s="2"/>
      <c r="D155" s="2"/>
      <c r="E155" s="2"/>
      <c r="F155" s="2"/>
      <c r="G155" s="2"/>
      <c r="H155" s="2"/>
      <c r="I155" s="5"/>
    </row>
    <row r="156" spans="1:9" ht="17.399999999999999" x14ac:dyDescent="0.25">
      <c r="A156" s="16"/>
      <c r="B156" s="17"/>
      <c r="C156" s="2"/>
      <c r="D156" s="2"/>
      <c r="E156" s="2"/>
      <c r="F156" s="2"/>
      <c r="G156" s="2"/>
      <c r="H156" s="2"/>
      <c r="I156" s="5"/>
    </row>
    <row r="157" spans="1:9" ht="17.399999999999999" x14ac:dyDescent="0.25">
      <c r="A157" s="16"/>
      <c r="B157" s="17"/>
      <c r="C157" s="2"/>
      <c r="D157" s="2"/>
      <c r="E157" s="2"/>
      <c r="F157" s="2"/>
      <c r="G157" s="2"/>
      <c r="H157" s="2"/>
      <c r="I157" s="5"/>
    </row>
    <row r="158" spans="1:9" ht="17.399999999999999" x14ac:dyDescent="0.25">
      <c r="A158" s="16"/>
      <c r="B158" s="17"/>
      <c r="C158" s="2"/>
      <c r="D158" s="2"/>
      <c r="E158" s="2"/>
      <c r="F158" s="2"/>
      <c r="G158" s="2"/>
      <c r="H158" s="2"/>
      <c r="I158" s="5"/>
    </row>
    <row r="159" spans="1:9" ht="17.399999999999999" x14ac:dyDescent="0.25">
      <c r="A159" s="16"/>
      <c r="B159" s="17"/>
      <c r="C159" s="2"/>
      <c r="D159" s="2"/>
      <c r="E159" s="2"/>
      <c r="F159" s="2"/>
      <c r="G159" s="2"/>
      <c r="H159" s="2"/>
      <c r="I159" s="5"/>
    </row>
    <row r="160" spans="1:9" ht="17.399999999999999" x14ac:dyDescent="0.25">
      <c r="A160" s="16"/>
      <c r="B160" s="17"/>
      <c r="C160" s="2"/>
      <c r="D160" s="2"/>
      <c r="E160" s="2"/>
      <c r="F160" s="2"/>
      <c r="G160" s="2"/>
      <c r="H160" s="2"/>
      <c r="I160" s="5"/>
    </row>
    <row r="161" spans="1:9" ht="17.399999999999999" x14ac:dyDescent="0.25">
      <c r="A161" s="16"/>
      <c r="B161" s="17"/>
      <c r="C161" s="2"/>
      <c r="D161" s="2"/>
      <c r="E161" s="2"/>
      <c r="F161" s="2"/>
      <c r="G161" s="2"/>
      <c r="H161" s="2"/>
      <c r="I161" s="5"/>
    </row>
    <row r="162" spans="1:9" ht="17.399999999999999" x14ac:dyDescent="0.25">
      <c r="A162" s="16"/>
      <c r="B162" s="17"/>
      <c r="C162" s="2"/>
      <c r="D162" s="2"/>
      <c r="E162" s="2"/>
      <c r="F162" s="2"/>
      <c r="G162" s="2"/>
      <c r="H162" s="2"/>
      <c r="I162" s="5"/>
    </row>
    <row r="163" spans="1:9" ht="17.399999999999999" x14ac:dyDescent="0.25">
      <c r="A163" s="16"/>
      <c r="B163" s="17"/>
      <c r="C163" s="2"/>
      <c r="D163" s="2"/>
      <c r="E163" s="2"/>
      <c r="F163" s="2"/>
      <c r="G163" s="2"/>
      <c r="H163" s="2"/>
      <c r="I163" s="5"/>
    </row>
    <row r="164" spans="1:9" ht="17.399999999999999" x14ac:dyDescent="0.25">
      <c r="A164" s="16"/>
      <c r="B164" s="17"/>
      <c r="C164" s="2"/>
      <c r="D164" s="2"/>
      <c r="E164" s="2"/>
      <c r="F164" s="2"/>
      <c r="G164" s="2"/>
      <c r="H164" s="2"/>
      <c r="I164" s="5"/>
    </row>
    <row r="165" spans="1:9" ht="17.399999999999999" x14ac:dyDescent="0.25">
      <c r="A165" s="16"/>
      <c r="B165" s="17"/>
      <c r="C165" s="2"/>
      <c r="D165" s="2"/>
      <c r="E165" s="2"/>
      <c r="F165" s="2"/>
      <c r="G165" s="2"/>
      <c r="H165" s="2"/>
      <c r="I165" s="5"/>
    </row>
    <row r="166" spans="1:9" ht="17.399999999999999" x14ac:dyDescent="0.25">
      <c r="A166" s="16"/>
      <c r="B166" s="17"/>
      <c r="C166" s="2"/>
      <c r="D166" s="2"/>
      <c r="E166" s="2"/>
      <c r="F166" s="2"/>
      <c r="G166" s="2"/>
      <c r="H166" s="2"/>
      <c r="I166" s="5"/>
    </row>
    <row r="167" spans="1:9" ht="17.399999999999999" x14ac:dyDescent="0.25">
      <c r="A167" s="16"/>
      <c r="B167" s="17"/>
      <c r="C167" s="2"/>
      <c r="D167" s="2"/>
      <c r="E167" s="2"/>
      <c r="F167" s="2"/>
      <c r="G167" s="2"/>
      <c r="H167" s="2"/>
      <c r="I167" s="5"/>
    </row>
    <row r="168" spans="1:9" ht="17.399999999999999" x14ac:dyDescent="0.25">
      <c r="A168" s="16"/>
      <c r="B168" s="17"/>
      <c r="C168" s="2"/>
      <c r="D168" s="2"/>
      <c r="E168" s="2"/>
      <c r="F168" s="2"/>
      <c r="G168" s="2"/>
      <c r="H168" s="2"/>
      <c r="I168" s="5"/>
    </row>
    <row r="169" spans="1:9" ht="17.399999999999999" x14ac:dyDescent="0.25">
      <c r="A169" s="16"/>
      <c r="B169" s="17"/>
      <c r="C169" s="2"/>
      <c r="D169" s="2"/>
      <c r="E169" s="2"/>
      <c r="F169" s="2"/>
      <c r="G169" s="2"/>
      <c r="H169" s="2"/>
      <c r="I169" s="5"/>
    </row>
    <row r="170" spans="1:9" ht="17.399999999999999" x14ac:dyDescent="0.25">
      <c r="A170" s="16"/>
      <c r="B170" s="17"/>
      <c r="C170" s="2"/>
      <c r="D170" s="2"/>
      <c r="E170" s="2"/>
      <c r="F170" s="2"/>
      <c r="G170" s="2"/>
      <c r="H170" s="2"/>
      <c r="I170" s="5"/>
    </row>
    <row r="171" spans="1:9" ht="17.399999999999999" x14ac:dyDescent="0.25">
      <c r="A171" s="16"/>
      <c r="B171" s="17"/>
      <c r="C171" s="2"/>
      <c r="D171" s="2"/>
      <c r="E171" s="2"/>
      <c r="F171" s="2"/>
      <c r="G171" s="2"/>
      <c r="H171" s="2"/>
      <c r="I171" s="5"/>
    </row>
    <row r="172" spans="1:9" ht="17.399999999999999" x14ac:dyDescent="0.25">
      <c r="A172" s="16"/>
      <c r="B172" s="17"/>
      <c r="C172" s="2"/>
      <c r="D172" s="2"/>
      <c r="E172" s="2"/>
      <c r="F172" s="2"/>
      <c r="G172" s="2"/>
      <c r="H172" s="2"/>
      <c r="I172" s="5"/>
    </row>
    <row r="173" spans="1:9" ht="17.399999999999999" x14ac:dyDescent="0.25">
      <c r="A173" s="16"/>
      <c r="B173" s="17"/>
      <c r="C173" s="2"/>
      <c r="D173" s="2"/>
      <c r="E173" s="2"/>
      <c r="F173" s="2"/>
      <c r="G173" s="2"/>
      <c r="H173" s="2"/>
      <c r="I173" s="5"/>
    </row>
    <row r="174" spans="1:9" ht="17.399999999999999" x14ac:dyDescent="0.25">
      <c r="A174" s="16"/>
      <c r="B174" s="17"/>
      <c r="C174" s="2"/>
      <c r="D174" s="2"/>
      <c r="E174" s="2"/>
      <c r="F174" s="2"/>
      <c r="G174" s="2"/>
      <c r="H174" s="2"/>
      <c r="I174" s="5"/>
    </row>
    <row r="175" spans="1:9" ht="17.399999999999999" x14ac:dyDescent="0.25">
      <c r="A175" s="16"/>
      <c r="B175" s="17"/>
      <c r="C175" s="2"/>
      <c r="D175" s="2"/>
      <c r="E175" s="2"/>
      <c r="F175" s="2"/>
      <c r="G175" s="2"/>
      <c r="H175" s="2"/>
      <c r="I175" s="5"/>
    </row>
    <row r="176" spans="1:9" ht="17.399999999999999" x14ac:dyDescent="0.25">
      <c r="A176" s="16"/>
      <c r="B176" s="17"/>
      <c r="C176" s="2"/>
      <c r="D176" s="2"/>
      <c r="E176" s="2"/>
      <c r="F176" s="2"/>
      <c r="G176" s="2"/>
      <c r="H176" s="2"/>
      <c r="I176" s="5"/>
    </row>
    <row r="177" spans="1:9" ht="17.399999999999999" x14ac:dyDescent="0.25">
      <c r="A177" s="16"/>
      <c r="B177" s="17"/>
      <c r="C177" s="2"/>
      <c r="D177" s="2"/>
      <c r="E177" s="2"/>
      <c r="F177" s="2"/>
      <c r="G177" s="2"/>
      <c r="H177" s="2"/>
      <c r="I177" s="5"/>
    </row>
    <row r="178" spans="1:9" ht="17.399999999999999" x14ac:dyDescent="0.25">
      <c r="A178" s="16"/>
      <c r="B178" s="17"/>
      <c r="C178" s="2"/>
      <c r="D178" s="2"/>
      <c r="E178" s="2"/>
      <c r="F178" s="2"/>
      <c r="G178" s="2"/>
      <c r="H178" s="2"/>
      <c r="I178" s="5"/>
    </row>
    <row r="179" spans="1:9" ht="17.399999999999999" x14ac:dyDescent="0.25">
      <c r="A179" s="16"/>
      <c r="B179" s="17"/>
      <c r="C179" s="2"/>
      <c r="D179" s="2"/>
      <c r="E179" s="2"/>
      <c r="F179" s="2"/>
      <c r="G179" s="2"/>
      <c r="H179" s="2"/>
      <c r="I179" s="5"/>
    </row>
    <row r="180" spans="1:9" ht="17.399999999999999" x14ac:dyDescent="0.25">
      <c r="A180" s="16"/>
      <c r="B180" s="17"/>
      <c r="C180" s="2"/>
      <c r="D180" s="2"/>
      <c r="E180" s="2"/>
      <c r="F180" s="2"/>
      <c r="G180" s="2"/>
      <c r="H180" s="2"/>
      <c r="I180" s="5"/>
    </row>
    <row r="181" spans="1:9" ht="17.399999999999999" x14ac:dyDescent="0.25">
      <c r="A181" s="16"/>
      <c r="B181" s="17"/>
      <c r="C181" s="2"/>
      <c r="D181" s="2"/>
      <c r="E181" s="2"/>
      <c r="F181" s="2"/>
      <c r="G181" s="2"/>
      <c r="H181" s="2"/>
      <c r="I181" s="5"/>
    </row>
    <row r="182" spans="1:9" ht="17.399999999999999" x14ac:dyDescent="0.25">
      <c r="A182" s="16"/>
      <c r="B182" s="17"/>
      <c r="C182" s="2"/>
      <c r="D182" s="2"/>
      <c r="E182" s="2"/>
      <c r="F182" s="2"/>
      <c r="G182" s="2"/>
      <c r="H182" s="2"/>
      <c r="I182" s="5"/>
    </row>
    <row r="183" spans="1:9" ht="17.399999999999999" x14ac:dyDescent="0.25">
      <c r="A183" s="16"/>
      <c r="B183" s="17"/>
      <c r="C183" s="2"/>
      <c r="D183" s="2"/>
      <c r="E183" s="2"/>
      <c r="F183" s="2"/>
      <c r="G183" s="2"/>
      <c r="H183" s="2"/>
      <c r="I183" s="5"/>
    </row>
    <row r="184" spans="1:9" ht="17.399999999999999" x14ac:dyDescent="0.25">
      <c r="A184" s="16"/>
      <c r="B184" s="17"/>
      <c r="C184" s="2"/>
      <c r="D184" s="2"/>
      <c r="E184" s="2"/>
      <c r="F184" s="2"/>
      <c r="G184" s="2"/>
      <c r="H184" s="2"/>
      <c r="I184" s="5"/>
    </row>
    <row r="185" spans="1:9" ht="17.399999999999999" x14ac:dyDescent="0.25">
      <c r="A185" s="16"/>
      <c r="B185" s="17"/>
      <c r="C185" s="2"/>
      <c r="D185" s="2"/>
      <c r="E185" s="2"/>
      <c r="F185" s="2"/>
      <c r="G185" s="2"/>
      <c r="H185" s="2"/>
      <c r="I185" s="5"/>
    </row>
    <row r="186" spans="1:9" ht="17.399999999999999" x14ac:dyDescent="0.25">
      <c r="A186" s="16"/>
      <c r="B186" s="17"/>
      <c r="C186" s="2"/>
      <c r="D186" s="2"/>
      <c r="E186" s="2"/>
      <c r="F186" s="2"/>
      <c r="G186" s="2"/>
      <c r="H186" s="2"/>
      <c r="I186" s="5"/>
    </row>
    <row r="187" spans="1:9" ht="17.399999999999999" x14ac:dyDescent="0.25">
      <c r="A187" s="16"/>
      <c r="B187" s="17"/>
      <c r="C187" s="2"/>
      <c r="D187" s="2"/>
      <c r="E187" s="2"/>
      <c r="F187" s="2"/>
      <c r="G187" s="2"/>
      <c r="H187" s="2"/>
      <c r="I187" s="5"/>
    </row>
    <row r="188" spans="1:9" ht="17.399999999999999" x14ac:dyDescent="0.25">
      <c r="A188" s="16"/>
      <c r="B188" s="17"/>
      <c r="C188" s="2"/>
      <c r="D188" s="2"/>
      <c r="E188" s="2"/>
      <c r="F188" s="2"/>
      <c r="G188" s="2"/>
      <c r="H188" s="2"/>
      <c r="I188" s="5"/>
    </row>
    <row r="189" spans="1:9" ht="17.399999999999999" x14ac:dyDescent="0.25">
      <c r="A189" s="16"/>
      <c r="B189" s="17"/>
      <c r="C189" s="2"/>
      <c r="D189" s="2"/>
      <c r="E189" s="2"/>
      <c r="F189" s="2"/>
      <c r="G189" s="2"/>
      <c r="H189" s="2"/>
      <c r="I189" s="5"/>
    </row>
    <row r="190" spans="1:9" ht="17.399999999999999" x14ac:dyDescent="0.25">
      <c r="A190" s="16"/>
      <c r="B190" s="17"/>
      <c r="C190" s="2"/>
      <c r="D190" s="2"/>
      <c r="E190" s="2"/>
      <c r="F190" s="2"/>
      <c r="G190" s="2"/>
      <c r="H190" s="2"/>
      <c r="I190" s="5"/>
    </row>
    <row r="191" spans="1:9" ht="17.399999999999999" x14ac:dyDescent="0.25">
      <c r="A191" s="16"/>
      <c r="B191" s="17"/>
      <c r="C191" s="2"/>
      <c r="D191" s="2"/>
      <c r="E191" s="2"/>
      <c r="F191" s="2"/>
      <c r="G191" s="2"/>
      <c r="H191" s="2"/>
      <c r="I191" s="5"/>
    </row>
    <row r="192" spans="1:9" ht="17.399999999999999" x14ac:dyDescent="0.25">
      <c r="A192" s="16"/>
      <c r="B192" s="17"/>
      <c r="C192" s="2"/>
      <c r="D192" s="2"/>
      <c r="E192" s="2"/>
      <c r="F192" s="2"/>
      <c r="G192" s="2"/>
      <c r="H192" s="2"/>
      <c r="I192" s="5"/>
    </row>
    <row r="193" spans="1:9" ht="17.399999999999999" x14ac:dyDescent="0.25">
      <c r="A193" s="16"/>
      <c r="B193" s="17"/>
      <c r="C193" s="2"/>
      <c r="D193" s="2"/>
      <c r="E193" s="2"/>
      <c r="F193" s="2"/>
      <c r="G193" s="2"/>
      <c r="H193" s="2"/>
      <c r="I193" s="5"/>
    </row>
    <row r="194" spans="1:9" ht="17.399999999999999" x14ac:dyDescent="0.25">
      <c r="A194" s="16"/>
      <c r="B194" s="17"/>
      <c r="C194" s="2"/>
      <c r="D194" s="2"/>
      <c r="E194" s="2"/>
      <c r="F194" s="2"/>
      <c r="G194" s="2"/>
      <c r="H194" s="2"/>
      <c r="I194" s="5"/>
    </row>
    <row r="195" spans="1:9" ht="17.399999999999999" x14ac:dyDescent="0.25">
      <c r="A195" s="16"/>
      <c r="B195" s="17"/>
      <c r="C195" s="2"/>
      <c r="D195" s="2"/>
      <c r="E195" s="2"/>
      <c r="F195" s="2"/>
      <c r="G195" s="2"/>
      <c r="H195" s="2"/>
      <c r="I195" s="5"/>
    </row>
    <row r="196" spans="1:9" ht="17.399999999999999" x14ac:dyDescent="0.25">
      <c r="A196" s="16"/>
      <c r="B196" s="17"/>
      <c r="C196" s="2"/>
      <c r="D196" s="2"/>
      <c r="E196" s="2"/>
      <c r="F196" s="2"/>
      <c r="G196" s="2"/>
      <c r="H196" s="2"/>
      <c r="I196" s="5"/>
    </row>
    <row r="197" spans="1:9" ht="17.399999999999999" x14ac:dyDescent="0.25">
      <c r="A197" s="16"/>
      <c r="B197" s="17"/>
      <c r="C197" s="2"/>
      <c r="D197" s="2"/>
      <c r="E197" s="2"/>
      <c r="F197" s="2"/>
      <c r="G197" s="2"/>
      <c r="H197" s="2"/>
      <c r="I197" s="5"/>
    </row>
    <row r="198" spans="1:9" ht="17.399999999999999" x14ac:dyDescent="0.25">
      <c r="A198" s="16"/>
      <c r="B198" s="17"/>
      <c r="C198" s="2"/>
      <c r="D198" s="2"/>
      <c r="E198" s="2"/>
      <c r="F198" s="2"/>
      <c r="G198" s="2"/>
      <c r="H198" s="2"/>
      <c r="I198" s="5"/>
    </row>
    <row r="199" spans="1:9" ht="17.399999999999999" x14ac:dyDescent="0.25">
      <c r="A199" s="16"/>
      <c r="B199" s="17"/>
      <c r="C199" s="2"/>
      <c r="D199" s="2"/>
      <c r="E199" s="2"/>
      <c r="F199" s="2"/>
      <c r="G199" s="2"/>
      <c r="H199" s="2"/>
      <c r="I199" s="5"/>
    </row>
    <row r="200" spans="1:9" ht="17.399999999999999" x14ac:dyDescent="0.25">
      <c r="A200" s="16"/>
      <c r="B200" s="17"/>
      <c r="C200" s="2"/>
      <c r="D200" s="2"/>
      <c r="E200" s="2"/>
      <c r="F200" s="2"/>
      <c r="G200" s="2"/>
      <c r="H200" s="2"/>
      <c r="I200" s="5"/>
    </row>
    <row r="201" spans="1:9" ht="17.399999999999999" x14ac:dyDescent="0.25">
      <c r="A201" s="16"/>
      <c r="B201" s="17"/>
      <c r="C201" s="2"/>
      <c r="D201" s="2"/>
      <c r="E201" s="2"/>
      <c r="F201" s="2"/>
      <c r="G201" s="2"/>
      <c r="H201" s="2"/>
      <c r="I201" s="5"/>
    </row>
    <row r="202" spans="1:9" ht="17.399999999999999" x14ac:dyDescent="0.25">
      <c r="A202" s="16"/>
      <c r="B202" s="17"/>
      <c r="C202" s="2"/>
      <c r="D202" s="2"/>
      <c r="E202" s="2"/>
      <c r="F202" s="2"/>
      <c r="G202" s="2"/>
      <c r="H202" s="2"/>
      <c r="I202" s="5"/>
    </row>
    <row r="203" spans="1:9" ht="17.399999999999999" x14ac:dyDescent="0.25">
      <c r="A203" s="16"/>
      <c r="B203" s="17"/>
      <c r="C203" s="2"/>
      <c r="D203" s="2"/>
      <c r="E203" s="2"/>
      <c r="F203" s="2"/>
      <c r="G203" s="2"/>
      <c r="H203" s="2"/>
      <c r="I203" s="5"/>
    </row>
    <row r="204" spans="1:9" ht="17.399999999999999" x14ac:dyDescent="0.25">
      <c r="A204" s="16"/>
      <c r="B204" s="17"/>
      <c r="C204" s="2"/>
      <c r="D204" s="2"/>
      <c r="E204" s="2"/>
      <c r="F204" s="2"/>
      <c r="G204" s="2"/>
      <c r="H204" s="2"/>
      <c r="I204" s="5"/>
    </row>
    <row r="205" spans="1:9" ht="17.399999999999999" x14ac:dyDescent="0.25">
      <c r="A205" s="16"/>
      <c r="B205" s="17"/>
      <c r="C205" s="2"/>
      <c r="D205" s="2"/>
      <c r="E205" s="2"/>
      <c r="F205" s="2"/>
      <c r="G205" s="2"/>
      <c r="H205" s="2"/>
      <c r="I205" s="5"/>
    </row>
    <row r="206" spans="1:9" ht="17.399999999999999" x14ac:dyDescent="0.25">
      <c r="A206" s="16"/>
      <c r="B206" s="17"/>
      <c r="C206" s="2"/>
      <c r="D206" s="2"/>
      <c r="E206" s="2"/>
      <c r="F206" s="2"/>
      <c r="G206" s="2"/>
      <c r="H206" s="2"/>
      <c r="I206" s="5"/>
    </row>
    <row r="207" spans="1:9" ht="17.399999999999999" x14ac:dyDescent="0.25">
      <c r="A207" s="16"/>
      <c r="B207" s="17"/>
      <c r="C207" s="2"/>
      <c r="D207" s="2"/>
      <c r="E207" s="2"/>
      <c r="F207" s="2"/>
      <c r="G207" s="2"/>
      <c r="H207" s="2"/>
      <c r="I207" s="5"/>
    </row>
    <row r="208" spans="1:9" ht="17.399999999999999" x14ac:dyDescent="0.25">
      <c r="A208" s="16"/>
      <c r="B208" s="17"/>
      <c r="C208" s="2"/>
      <c r="D208" s="2"/>
      <c r="E208" s="2"/>
      <c r="F208" s="2"/>
      <c r="G208" s="2"/>
      <c r="H208" s="2"/>
      <c r="I208" s="5"/>
    </row>
    <row r="209" spans="1:9" ht="17.399999999999999" x14ac:dyDescent="0.25">
      <c r="A209" s="16"/>
      <c r="B209" s="17"/>
      <c r="C209" s="2"/>
      <c r="D209" s="2"/>
      <c r="E209" s="2"/>
      <c r="F209" s="2"/>
      <c r="G209" s="2"/>
      <c r="H209" s="2"/>
      <c r="I209" s="5"/>
    </row>
    <row r="210" spans="1:9" ht="17.399999999999999" x14ac:dyDescent="0.25">
      <c r="A210" s="16"/>
      <c r="B210" s="17"/>
      <c r="C210" s="2"/>
      <c r="D210" s="2"/>
      <c r="E210" s="2"/>
      <c r="F210" s="2"/>
      <c r="G210" s="2"/>
      <c r="H210" s="2"/>
      <c r="I210" s="5"/>
    </row>
    <row r="211" spans="1:9" ht="17.399999999999999" x14ac:dyDescent="0.25">
      <c r="A211" s="16"/>
      <c r="B211" s="17"/>
      <c r="C211" s="2"/>
      <c r="D211" s="2"/>
      <c r="E211" s="2"/>
      <c r="F211" s="2"/>
      <c r="G211" s="2"/>
      <c r="H211" s="2"/>
      <c r="I211" s="5"/>
    </row>
    <row r="212" spans="1:9" ht="17.399999999999999" x14ac:dyDescent="0.25">
      <c r="A212" s="16"/>
      <c r="B212" s="17"/>
      <c r="C212" s="2"/>
      <c r="D212" s="2"/>
      <c r="E212" s="2"/>
      <c r="F212" s="2"/>
      <c r="G212" s="2"/>
      <c r="H212" s="2"/>
      <c r="I212" s="5"/>
    </row>
    <row r="213" spans="1:9" ht="17.399999999999999" x14ac:dyDescent="0.25">
      <c r="A213" s="16"/>
      <c r="B213" s="17"/>
      <c r="C213" s="2"/>
      <c r="D213" s="2"/>
      <c r="E213" s="2"/>
      <c r="F213" s="2"/>
      <c r="G213" s="2"/>
      <c r="H213" s="2"/>
      <c r="I213" s="5"/>
    </row>
    <row r="214" spans="1:9" ht="17.399999999999999" x14ac:dyDescent="0.25">
      <c r="A214" s="16"/>
      <c r="B214" s="17"/>
      <c r="C214" s="2"/>
      <c r="D214" s="2"/>
      <c r="E214" s="2"/>
      <c r="F214" s="2"/>
      <c r="G214" s="2"/>
      <c r="H214" s="2"/>
      <c r="I214" s="5"/>
    </row>
    <row r="215" spans="1:9" ht="17.399999999999999" x14ac:dyDescent="0.25">
      <c r="A215" s="16"/>
      <c r="B215" s="17"/>
      <c r="C215" s="2"/>
      <c r="D215" s="2"/>
      <c r="E215" s="2"/>
      <c r="F215" s="2"/>
      <c r="G215" s="2"/>
      <c r="H215" s="2"/>
      <c r="I215" s="5"/>
    </row>
    <row r="216" spans="1:9" ht="17.399999999999999" x14ac:dyDescent="0.25">
      <c r="A216" s="16"/>
      <c r="B216" s="17"/>
      <c r="C216" s="2"/>
      <c r="D216" s="2"/>
      <c r="E216" s="2"/>
      <c r="F216" s="2"/>
      <c r="G216" s="2"/>
      <c r="H216" s="2"/>
      <c r="I216" s="5"/>
    </row>
    <row r="217" spans="1:9" ht="17.399999999999999" x14ac:dyDescent="0.25">
      <c r="A217" s="16"/>
      <c r="B217" s="17"/>
      <c r="C217" s="2"/>
      <c r="D217" s="2"/>
      <c r="E217" s="2"/>
      <c r="F217" s="2"/>
      <c r="G217" s="2"/>
      <c r="H217" s="2"/>
      <c r="I217" s="5"/>
    </row>
    <row r="218" spans="1:9" ht="17.399999999999999" x14ac:dyDescent="0.25">
      <c r="A218" s="16"/>
      <c r="B218" s="17"/>
      <c r="C218" s="2"/>
      <c r="D218" s="2"/>
      <c r="E218" s="2"/>
      <c r="F218" s="2"/>
      <c r="G218" s="2"/>
      <c r="H218" s="2"/>
      <c r="I218" s="5"/>
    </row>
    <row r="219" spans="1:9" ht="17.399999999999999" x14ac:dyDescent="0.25">
      <c r="A219" s="16"/>
      <c r="B219" s="17"/>
      <c r="C219" s="2"/>
      <c r="D219" s="2"/>
      <c r="E219" s="2"/>
      <c r="F219" s="2"/>
      <c r="G219" s="2"/>
      <c r="H219" s="2"/>
      <c r="I219" s="5"/>
    </row>
    <row r="220" spans="1:9" ht="17.399999999999999" x14ac:dyDescent="0.25">
      <c r="A220" s="16"/>
      <c r="B220" s="17"/>
      <c r="C220" s="2"/>
      <c r="D220" s="2"/>
      <c r="E220" s="2"/>
      <c r="F220" s="2"/>
      <c r="G220" s="2"/>
      <c r="H220" s="2"/>
      <c r="I220" s="5"/>
    </row>
    <row r="221" spans="1:9" ht="17.399999999999999" x14ac:dyDescent="0.25">
      <c r="A221" s="16"/>
      <c r="B221" s="17"/>
      <c r="C221" s="2"/>
      <c r="D221" s="2"/>
      <c r="E221" s="2"/>
      <c r="F221" s="2"/>
      <c r="G221" s="2"/>
      <c r="H221" s="2"/>
      <c r="I221" s="5"/>
    </row>
    <row r="222" spans="1:9" ht="17.399999999999999" x14ac:dyDescent="0.25">
      <c r="A222" s="16"/>
      <c r="B222" s="17"/>
      <c r="C222" s="2"/>
      <c r="D222" s="2"/>
      <c r="E222" s="2"/>
      <c r="F222" s="2"/>
      <c r="G222" s="2"/>
      <c r="H222" s="2"/>
      <c r="I222" s="5"/>
    </row>
    <row r="223" spans="1:9" ht="17.399999999999999" x14ac:dyDescent="0.25">
      <c r="A223" s="16"/>
      <c r="B223" s="17"/>
      <c r="C223" s="2"/>
      <c r="D223" s="2"/>
      <c r="E223" s="2"/>
      <c r="F223" s="2"/>
      <c r="G223" s="2"/>
      <c r="H223" s="2"/>
      <c r="I223" s="5"/>
    </row>
    <row r="224" spans="1:9" ht="17.399999999999999" x14ac:dyDescent="0.25">
      <c r="A224" s="16"/>
      <c r="B224" s="17"/>
      <c r="C224" s="2"/>
      <c r="D224" s="2"/>
      <c r="E224" s="2"/>
      <c r="F224" s="2"/>
      <c r="G224" s="2"/>
      <c r="H224" s="2"/>
      <c r="I224" s="5"/>
    </row>
    <row r="225" spans="1:9" ht="17.399999999999999" x14ac:dyDescent="0.25">
      <c r="A225" s="16"/>
      <c r="B225" s="17"/>
      <c r="C225" s="2"/>
      <c r="D225" s="2"/>
      <c r="E225" s="2"/>
      <c r="F225" s="2"/>
      <c r="G225" s="2"/>
      <c r="H225" s="2"/>
      <c r="I225" s="5"/>
    </row>
    <row r="226" spans="1:9" ht="17.399999999999999" x14ac:dyDescent="0.25">
      <c r="A226" s="16"/>
      <c r="B226" s="17"/>
      <c r="C226" s="2"/>
      <c r="D226" s="2"/>
      <c r="E226" s="2"/>
      <c r="F226" s="2"/>
      <c r="G226" s="2"/>
      <c r="H226" s="2"/>
      <c r="I226" s="5"/>
    </row>
    <row r="227" spans="1:9" ht="17.399999999999999" x14ac:dyDescent="0.25">
      <c r="A227" s="16"/>
      <c r="B227" s="17"/>
      <c r="C227" s="2"/>
      <c r="D227" s="2"/>
      <c r="E227" s="2"/>
      <c r="F227" s="2"/>
      <c r="G227" s="2"/>
      <c r="H227" s="2"/>
      <c r="I227" s="5"/>
    </row>
    <row r="228" spans="1:9" ht="17.399999999999999" x14ac:dyDescent="0.25">
      <c r="A228" s="16"/>
      <c r="B228" s="17"/>
      <c r="C228" s="2"/>
      <c r="D228" s="2"/>
      <c r="E228" s="2"/>
      <c r="F228" s="2"/>
      <c r="G228" s="2"/>
      <c r="H228" s="2"/>
      <c r="I228" s="5"/>
    </row>
    <row r="229" spans="1:9" ht="17.399999999999999" x14ac:dyDescent="0.25">
      <c r="A229" s="16"/>
      <c r="B229" s="17"/>
      <c r="C229" s="2"/>
      <c r="D229" s="2"/>
      <c r="E229" s="2"/>
      <c r="F229" s="2"/>
      <c r="G229" s="2"/>
      <c r="H229" s="2"/>
      <c r="I229" s="5"/>
    </row>
    <row r="230" spans="1:9" ht="17.399999999999999" x14ac:dyDescent="0.25">
      <c r="A230" s="16"/>
      <c r="B230" s="17"/>
      <c r="C230" s="2"/>
      <c r="D230" s="2"/>
      <c r="E230" s="2"/>
      <c r="F230" s="2"/>
      <c r="G230" s="2"/>
      <c r="H230" s="2"/>
      <c r="I230" s="5"/>
    </row>
    <row r="231" spans="1:9" ht="17.399999999999999" x14ac:dyDescent="0.25">
      <c r="A231" s="16"/>
      <c r="B231" s="17"/>
      <c r="C231" s="2"/>
      <c r="D231" s="2"/>
      <c r="E231" s="2"/>
      <c r="F231" s="2"/>
      <c r="G231" s="2"/>
      <c r="H231" s="2"/>
      <c r="I231" s="5"/>
    </row>
    <row r="232" spans="1:9" ht="17.399999999999999" x14ac:dyDescent="0.25">
      <c r="A232" s="16"/>
      <c r="B232" s="17"/>
      <c r="C232" s="2"/>
      <c r="D232" s="2"/>
      <c r="E232" s="2"/>
      <c r="F232" s="2"/>
      <c r="G232" s="2"/>
      <c r="H232" s="2"/>
      <c r="I232" s="5"/>
    </row>
    <row r="233" spans="1:9" ht="17.399999999999999" x14ac:dyDescent="0.25">
      <c r="A233" s="16"/>
      <c r="B233" s="17"/>
      <c r="C233" s="2"/>
      <c r="D233" s="2"/>
      <c r="E233" s="2"/>
      <c r="F233" s="2"/>
      <c r="G233" s="2"/>
      <c r="H233" s="2"/>
      <c r="I233" s="5"/>
    </row>
    <row r="234" spans="1:9" ht="17.399999999999999" x14ac:dyDescent="0.25">
      <c r="A234" s="16"/>
      <c r="B234" s="17"/>
      <c r="C234" s="2"/>
      <c r="D234" s="2"/>
      <c r="E234" s="2"/>
      <c r="F234" s="2"/>
      <c r="G234" s="2"/>
      <c r="H234" s="2"/>
      <c r="I234" s="5"/>
    </row>
    <row r="235" spans="1:9" ht="17.399999999999999" x14ac:dyDescent="0.25">
      <c r="A235" s="16"/>
      <c r="B235" s="17"/>
      <c r="C235" s="2"/>
      <c r="D235" s="2"/>
      <c r="E235" s="2"/>
      <c r="F235" s="2"/>
      <c r="G235" s="2"/>
      <c r="H235" s="2"/>
      <c r="I235" s="5"/>
    </row>
    <row r="236" spans="1:9" ht="17.399999999999999" x14ac:dyDescent="0.25">
      <c r="A236" s="16"/>
      <c r="B236" s="17"/>
      <c r="C236" s="2"/>
      <c r="D236" s="2"/>
      <c r="E236" s="2"/>
      <c r="F236" s="2"/>
      <c r="G236" s="2"/>
      <c r="H236" s="2"/>
      <c r="I236" s="5"/>
    </row>
    <row r="237" spans="1:9" ht="17.399999999999999" x14ac:dyDescent="0.25">
      <c r="A237" s="16"/>
      <c r="B237" s="17"/>
      <c r="C237" s="2"/>
      <c r="D237" s="2"/>
      <c r="E237" s="2"/>
      <c r="F237" s="2"/>
      <c r="G237" s="2"/>
      <c r="H237" s="2"/>
      <c r="I237" s="5"/>
    </row>
    <row r="238" spans="1:9" ht="17.399999999999999" x14ac:dyDescent="0.25">
      <c r="A238" s="16"/>
      <c r="B238" s="17"/>
      <c r="C238" s="2"/>
      <c r="D238" s="2"/>
      <c r="E238" s="2"/>
      <c r="F238" s="2"/>
      <c r="G238" s="2"/>
      <c r="H238" s="2"/>
      <c r="I238" s="5"/>
    </row>
    <row r="239" spans="1:9" ht="17.399999999999999" x14ac:dyDescent="0.25">
      <c r="A239" s="16"/>
      <c r="B239" s="17"/>
      <c r="C239" s="2"/>
      <c r="D239" s="2"/>
      <c r="E239" s="2"/>
      <c r="F239" s="2"/>
      <c r="G239" s="2"/>
      <c r="H239" s="2"/>
      <c r="I239" s="5"/>
    </row>
    <row r="240" spans="1:9" ht="17.399999999999999" x14ac:dyDescent="0.25">
      <c r="A240" s="16"/>
      <c r="B240" s="17"/>
      <c r="C240" s="2"/>
      <c r="D240" s="2"/>
      <c r="E240" s="2"/>
      <c r="F240" s="2"/>
      <c r="G240" s="2"/>
      <c r="H240" s="2"/>
      <c r="I240" s="5"/>
    </row>
    <row r="241" spans="1:9" ht="17.399999999999999" x14ac:dyDescent="0.25">
      <c r="A241" s="16"/>
      <c r="B241" s="17"/>
      <c r="C241" s="2"/>
      <c r="D241" s="2"/>
      <c r="E241" s="2"/>
      <c r="F241" s="2"/>
      <c r="G241" s="2"/>
      <c r="H241" s="2"/>
      <c r="I241" s="5"/>
    </row>
    <row r="242" spans="1:9" ht="17.399999999999999" x14ac:dyDescent="0.25">
      <c r="A242" s="16"/>
      <c r="B242" s="17"/>
      <c r="C242" s="2"/>
      <c r="D242" s="2"/>
      <c r="E242" s="2"/>
      <c r="F242" s="2"/>
      <c r="G242" s="2"/>
      <c r="H242" s="2"/>
      <c r="I242" s="5"/>
    </row>
    <row r="243" spans="1:9" ht="17.399999999999999" x14ac:dyDescent="0.25">
      <c r="A243" s="16"/>
      <c r="B243" s="17"/>
      <c r="C243" s="2"/>
      <c r="D243" s="2"/>
      <c r="E243" s="2"/>
      <c r="F243" s="2"/>
      <c r="G243" s="2"/>
      <c r="H243" s="2"/>
      <c r="I243" s="5"/>
    </row>
    <row r="244" spans="1:9" ht="17.399999999999999" x14ac:dyDescent="0.25">
      <c r="A244" s="16"/>
      <c r="B244" s="17"/>
      <c r="C244" s="2"/>
      <c r="D244" s="2"/>
      <c r="E244" s="2"/>
      <c r="F244" s="2"/>
      <c r="G244" s="2"/>
      <c r="H244" s="2"/>
      <c r="I244" s="5"/>
    </row>
    <row r="245" spans="1:9" ht="17.399999999999999" x14ac:dyDescent="0.25">
      <c r="A245" s="16"/>
      <c r="B245" s="17"/>
      <c r="C245" s="2"/>
      <c r="D245" s="2"/>
      <c r="E245" s="2"/>
      <c r="F245" s="2"/>
      <c r="G245" s="2"/>
      <c r="H245" s="2"/>
      <c r="I245" s="5"/>
    </row>
    <row r="246" spans="1:9" ht="17.399999999999999" x14ac:dyDescent="0.25">
      <c r="A246" s="16"/>
      <c r="B246" s="17"/>
      <c r="C246" s="2"/>
      <c r="D246" s="2"/>
      <c r="E246" s="2"/>
      <c r="F246" s="2"/>
      <c r="G246" s="2"/>
      <c r="H246" s="2"/>
      <c r="I246" s="5"/>
    </row>
    <row r="247" spans="1:9" ht="17.399999999999999" x14ac:dyDescent="0.25">
      <c r="A247" s="16"/>
      <c r="B247" s="17"/>
      <c r="C247" s="2"/>
      <c r="D247" s="2"/>
      <c r="E247" s="2"/>
      <c r="F247" s="2"/>
      <c r="G247" s="2"/>
      <c r="H247" s="2"/>
      <c r="I247" s="5"/>
    </row>
    <row r="248" spans="1:9" ht="17.399999999999999" x14ac:dyDescent="0.25">
      <c r="A248" s="16"/>
      <c r="B248" s="17"/>
      <c r="C248" s="2"/>
      <c r="D248" s="2"/>
      <c r="E248" s="2"/>
      <c r="F248" s="2"/>
      <c r="G248" s="2"/>
      <c r="H248" s="2"/>
      <c r="I248" s="5"/>
    </row>
    <row r="249" spans="1:9" ht="17.399999999999999" x14ac:dyDescent="0.25">
      <c r="A249" s="16"/>
      <c r="B249" s="17"/>
      <c r="C249" s="2"/>
      <c r="D249" s="2"/>
      <c r="E249" s="2"/>
      <c r="F249" s="2"/>
      <c r="G249" s="2"/>
      <c r="H249" s="2"/>
      <c r="I249" s="5"/>
    </row>
    <row r="250" spans="1:9" ht="17.399999999999999" x14ac:dyDescent="0.25">
      <c r="A250" s="16"/>
      <c r="B250" s="17"/>
      <c r="C250" s="2"/>
      <c r="D250" s="2"/>
      <c r="E250" s="2"/>
      <c r="F250" s="2"/>
      <c r="G250" s="2"/>
      <c r="H250" s="2"/>
      <c r="I250" s="5"/>
    </row>
    <row r="251" spans="1:9" ht="17.399999999999999" x14ac:dyDescent="0.25">
      <c r="A251" s="16"/>
      <c r="B251" s="17"/>
      <c r="C251" s="2"/>
      <c r="D251" s="2"/>
      <c r="E251" s="2"/>
      <c r="F251" s="2"/>
      <c r="G251" s="2"/>
      <c r="H251" s="2"/>
      <c r="I251" s="5"/>
    </row>
    <row r="252" spans="1:9" ht="17.399999999999999" x14ac:dyDescent="0.25">
      <c r="A252" s="16"/>
      <c r="B252" s="17"/>
      <c r="C252" s="2"/>
      <c r="D252" s="2"/>
      <c r="E252" s="2"/>
      <c r="F252" s="2"/>
      <c r="G252" s="2"/>
      <c r="H252" s="2"/>
      <c r="I252" s="5"/>
    </row>
    <row r="253" spans="1:9" ht="17.399999999999999" x14ac:dyDescent="0.25">
      <c r="A253" s="16"/>
      <c r="B253" s="17"/>
      <c r="C253" s="2"/>
      <c r="D253" s="2"/>
      <c r="E253" s="2"/>
      <c r="F253" s="2"/>
      <c r="G253" s="2"/>
      <c r="H253" s="2"/>
      <c r="I253" s="5"/>
    </row>
    <row r="254" spans="1:9" ht="17.399999999999999" x14ac:dyDescent="0.25">
      <c r="A254" s="16"/>
      <c r="B254" s="17"/>
      <c r="C254" s="2"/>
      <c r="D254" s="2"/>
      <c r="E254" s="2"/>
      <c r="F254" s="2"/>
      <c r="G254" s="2"/>
      <c r="H254" s="2"/>
      <c r="I254" s="5"/>
    </row>
    <row r="255" spans="1:9" ht="17.399999999999999" x14ac:dyDescent="0.25">
      <c r="A255" s="16"/>
      <c r="B255" s="17"/>
      <c r="C255" s="2"/>
      <c r="D255" s="2"/>
      <c r="E255" s="2"/>
      <c r="F255" s="2"/>
      <c r="G255" s="2"/>
      <c r="H255" s="2"/>
      <c r="I255" s="5"/>
    </row>
    <row r="256" spans="1:9" ht="17.399999999999999" x14ac:dyDescent="0.25">
      <c r="A256" s="16"/>
      <c r="B256" s="17"/>
      <c r="C256" s="2"/>
      <c r="D256" s="2"/>
      <c r="E256" s="2"/>
      <c r="F256" s="2"/>
      <c r="G256" s="2"/>
      <c r="H256" s="2"/>
      <c r="I256" s="5"/>
    </row>
    <row r="257" spans="1:9" ht="17.399999999999999" x14ac:dyDescent="0.25">
      <c r="A257" s="16"/>
      <c r="B257" s="17"/>
      <c r="C257" s="2"/>
      <c r="D257" s="2"/>
      <c r="E257" s="2"/>
      <c r="F257" s="2"/>
      <c r="G257" s="2"/>
      <c r="H257" s="2"/>
      <c r="I257" s="5"/>
    </row>
    <row r="258" spans="1:9" ht="17.399999999999999" x14ac:dyDescent="0.25">
      <c r="A258" s="16"/>
      <c r="B258" s="17"/>
      <c r="C258" s="2"/>
      <c r="D258" s="2"/>
      <c r="E258" s="2"/>
      <c r="F258" s="2"/>
      <c r="G258" s="2"/>
      <c r="H258" s="2"/>
      <c r="I258" s="5"/>
    </row>
    <row r="259" spans="1:9" ht="17.399999999999999" x14ac:dyDescent="0.25">
      <c r="A259" s="16"/>
      <c r="B259" s="17"/>
      <c r="C259" s="2"/>
      <c r="D259" s="2"/>
      <c r="E259" s="2"/>
      <c r="F259" s="2"/>
      <c r="G259" s="2"/>
      <c r="H259" s="2"/>
      <c r="I259" s="5"/>
    </row>
    <row r="260" spans="1:9" ht="17.399999999999999" x14ac:dyDescent="0.25">
      <c r="A260" s="16"/>
      <c r="B260" s="17"/>
      <c r="C260" s="2"/>
      <c r="D260" s="2"/>
      <c r="E260" s="2"/>
      <c r="F260" s="2"/>
      <c r="G260" s="2"/>
      <c r="H260" s="2"/>
      <c r="I260" s="5"/>
    </row>
    <row r="261" spans="1:9" ht="17.399999999999999" x14ac:dyDescent="0.25">
      <c r="A261" s="16"/>
      <c r="B261" s="17"/>
      <c r="C261" s="2"/>
      <c r="D261" s="2"/>
      <c r="E261" s="2"/>
      <c r="F261" s="2"/>
      <c r="G261" s="2"/>
      <c r="H261" s="2"/>
      <c r="I261" s="5"/>
    </row>
    <row r="262" spans="1:9" ht="17.399999999999999" x14ac:dyDescent="0.25">
      <c r="A262" s="16"/>
      <c r="B262" s="17"/>
      <c r="C262" s="2"/>
      <c r="D262" s="2"/>
      <c r="E262" s="2"/>
      <c r="F262" s="2"/>
      <c r="G262" s="2"/>
      <c r="H262" s="2"/>
      <c r="I262" s="5"/>
    </row>
    <row r="263" spans="1:9" ht="17.399999999999999" x14ac:dyDescent="0.25">
      <c r="A263" s="16"/>
      <c r="B263" s="17"/>
      <c r="C263" s="2"/>
      <c r="D263" s="2"/>
      <c r="E263" s="2"/>
      <c r="F263" s="2"/>
      <c r="G263" s="2"/>
      <c r="H263" s="2"/>
      <c r="I263" s="5"/>
    </row>
    <row r="264" spans="1:9" ht="17.399999999999999" x14ac:dyDescent="0.25">
      <c r="A264" s="16"/>
      <c r="B264" s="17"/>
      <c r="C264" s="2"/>
      <c r="D264" s="2"/>
      <c r="E264" s="2"/>
      <c r="F264" s="2"/>
      <c r="G264" s="2"/>
      <c r="H264" s="2"/>
      <c r="I264" s="5"/>
    </row>
    <row r="265" spans="1:9" ht="17.399999999999999" x14ac:dyDescent="0.25">
      <c r="A265" s="16"/>
      <c r="B265" s="17"/>
      <c r="C265" s="2"/>
      <c r="D265" s="2"/>
      <c r="E265" s="2"/>
      <c r="F265" s="2"/>
      <c r="G265" s="2"/>
      <c r="H265" s="2"/>
      <c r="I265" s="5"/>
    </row>
    <row r="266" spans="1:9" ht="17.399999999999999" x14ac:dyDescent="0.25">
      <c r="A266" s="16"/>
      <c r="B266" s="17"/>
      <c r="C266" s="2"/>
      <c r="D266" s="2"/>
      <c r="E266" s="2"/>
      <c r="F266" s="2"/>
      <c r="G266" s="2"/>
      <c r="H266" s="2"/>
      <c r="I266" s="5"/>
    </row>
    <row r="267" spans="1:9" ht="17.399999999999999" x14ac:dyDescent="0.25">
      <c r="A267" s="16"/>
      <c r="B267" s="17"/>
      <c r="C267" s="2"/>
      <c r="D267" s="2"/>
      <c r="E267" s="2"/>
      <c r="F267" s="2"/>
      <c r="G267" s="2"/>
      <c r="H267" s="2"/>
      <c r="I267" s="5"/>
    </row>
    <row r="268" spans="1:9" ht="17.399999999999999" x14ac:dyDescent="0.25">
      <c r="A268" s="16"/>
      <c r="B268" s="17"/>
      <c r="C268" s="2"/>
      <c r="D268" s="2"/>
      <c r="E268" s="2"/>
      <c r="F268" s="2"/>
      <c r="G268" s="2"/>
      <c r="H268" s="2"/>
      <c r="I268" s="5"/>
    </row>
    <row r="269" spans="1:9" ht="17.399999999999999" x14ac:dyDescent="0.25">
      <c r="A269" s="16"/>
      <c r="B269" s="17"/>
      <c r="C269" s="2"/>
      <c r="D269" s="2"/>
      <c r="E269" s="2"/>
      <c r="F269" s="2"/>
      <c r="G269" s="2"/>
      <c r="H269" s="2"/>
      <c r="I269" s="5"/>
    </row>
    <row r="270" spans="1:9" ht="17.399999999999999" x14ac:dyDescent="0.25">
      <c r="A270" s="16"/>
      <c r="B270" s="17"/>
      <c r="C270" s="2"/>
      <c r="D270" s="2"/>
      <c r="E270" s="2"/>
      <c r="F270" s="2"/>
      <c r="G270" s="2"/>
      <c r="H270" s="2"/>
      <c r="I270" s="5"/>
    </row>
    <row r="271" spans="1:9" ht="17.399999999999999" x14ac:dyDescent="0.25">
      <c r="A271" s="16"/>
      <c r="B271" s="17"/>
      <c r="C271" s="2"/>
      <c r="D271" s="2"/>
      <c r="E271" s="2"/>
      <c r="F271" s="2"/>
      <c r="G271" s="2"/>
      <c r="H271" s="2"/>
      <c r="I271" s="5"/>
    </row>
    <row r="272" spans="1:9" ht="17.399999999999999" x14ac:dyDescent="0.25">
      <c r="A272" s="16"/>
      <c r="B272" s="17"/>
      <c r="C272" s="2"/>
      <c r="D272" s="2"/>
      <c r="E272" s="2"/>
      <c r="F272" s="2"/>
      <c r="G272" s="2"/>
      <c r="H272" s="2"/>
      <c r="I272" s="5"/>
    </row>
    <row r="273" spans="1:9" ht="17.399999999999999" x14ac:dyDescent="0.25">
      <c r="A273" s="16"/>
      <c r="B273" s="17"/>
      <c r="C273" s="2"/>
      <c r="D273" s="2"/>
      <c r="E273" s="2"/>
      <c r="F273" s="2"/>
      <c r="G273" s="2"/>
      <c r="H273" s="2"/>
      <c r="I273" s="5"/>
    </row>
    <row r="274" spans="1:9" ht="17.399999999999999" x14ac:dyDescent="0.25">
      <c r="A274" s="16"/>
      <c r="B274" s="17"/>
      <c r="C274" s="2"/>
      <c r="D274" s="2"/>
      <c r="E274" s="2"/>
      <c r="F274" s="2"/>
      <c r="G274" s="2"/>
      <c r="H274" s="2"/>
      <c r="I274" s="5"/>
    </row>
    <row r="275" spans="1:9" ht="17.399999999999999" x14ac:dyDescent="0.25">
      <c r="A275" s="16"/>
      <c r="B275" s="17"/>
      <c r="C275" s="2"/>
      <c r="D275" s="2"/>
      <c r="E275" s="2"/>
      <c r="F275" s="2"/>
      <c r="G275" s="2"/>
      <c r="H275" s="2"/>
      <c r="I275" s="5"/>
    </row>
    <row r="276" spans="1:9" ht="17.399999999999999" x14ac:dyDescent="0.25">
      <c r="A276" s="16"/>
      <c r="B276" s="17"/>
      <c r="C276" s="2"/>
      <c r="D276" s="2"/>
      <c r="E276" s="2"/>
      <c r="F276" s="2"/>
      <c r="G276" s="2"/>
      <c r="H276" s="2"/>
      <c r="I276" s="5"/>
    </row>
    <row r="277" spans="1:9" ht="17.399999999999999" x14ac:dyDescent="0.25">
      <c r="A277" s="16"/>
      <c r="B277" s="17"/>
      <c r="C277" s="2"/>
      <c r="D277" s="2"/>
      <c r="E277" s="2"/>
      <c r="F277" s="2"/>
      <c r="G277" s="2"/>
      <c r="H277" s="2"/>
      <c r="I277" s="5"/>
    </row>
    <row r="278" spans="1:9" ht="17.399999999999999" x14ac:dyDescent="0.25">
      <c r="A278" s="16"/>
      <c r="B278" s="17"/>
      <c r="C278" s="2"/>
      <c r="D278" s="2"/>
      <c r="E278" s="2"/>
      <c r="F278" s="2"/>
      <c r="G278" s="2"/>
      <c r="H278" s="2"/>
      <c r="I278" s="5"/>
    </row>
    <row r="279" spans="1:9" ht="17.399999999999999" x14ac:dyDescent="0.25">
      <c r="A279" s="16"/>
      <c r="B279" s="17"/>
      <c r="C279" s="2"/>
      <c r="D279" s="2"/>
      <c r="E279" s="2"/>
      <c r="F279" s="2"/>
      <c r="G279" s="2"/>
      <c r="H279" s="2"/>
      <c r="I279" s="5"/>
    </row>
    <row r="280" spans="1:9" ht="17.399999999999999" x14ac:dyDescent="0.25">
      <c r="A280" s="16"/>
      <c r="B280" s="17"/>
      <c r="C280" s="2"/>
      <c r="D280" s="2"/>
      <c r="E280" s="2"/>
      <c r="F280" s="2"/>
      <c r="G280" s="2"/>
      <c r="H280" s="2"/>
      <c r="I280" s="5"/>
    </row>
    <row r="281" spans="1:9" ht="17.399999999999999" x14ac:dyDescent="0.25">
      <c r="A281" s="16"/>
      <c r="B281" s="17"/>
      <c r="C281" s="2"/>
      <c r="D281" s="2"/>
      <c r="E281" s="2"/>
      <c r="F281" s="2"/>
      <c r="G281" s="2"/>
      <c r="H281" s="2"/>
      <c r="I281" s="5"/>
    </row>
    <row r="282" spans="1:9" ht="17.399999999999999" x14ac:dyDescent="0.25">
      <c r="A282" s="16"/>
      <c r="B282" s="17"/>
      <c r="C282" s="2"/>
      <c r="D282" s="2"/>
      <c r="E282" s="2"/>
      <c r="F282" s="2"/>
      <c r="G282" s="2"/>
      <c r="H282" s="2"/>
      <c r="I282" s="5"/>
    </row>
    <row r="283" spans="1:9" ht="17.399999999999999" x14ac:dyDescent="0.25">
      <c r="A283" s="16"/>
      <c r="B283" s="17"/>
      <c r="C283" s="2"/>
      <c r="D283" s="2"/>
      <c r="E283" s="2"/>
      <c r="F283" s="2"/>
      <c r="G283" s="2"/>
      <c r="H283" s="2"/>
      <c r="I283" s="5"/>
    </row>
    <row r="284" spans="1:9" ht="17.399999999999999" x14ac:dyDescent="0.25">
      <c r="A284" s="16"/>
      <c r="B284" s="17"/>
      <c r="C284" s="2"/>
      <c r="D284" s="2"/>
      <c r="E284" s="2"/>
      <c r="F284" s="2"/>
      <c r="G284" s="2"/>
      <c r="H284" s="2"/>
      <c r="I284" s="5"/>
    </row>
    <row r="285" spans="1:9" ht="17.399999999999999" x14ac:dyDescent="0.25">
      <c r="A285" s="16"/>
      <c r="B285" s="17"/>
      <c r="C285" s="2"/>
      <c r="D285" s="2"/>
      <c r="E285" s="2"/>
      <c r="F285" s="2"/>
      <c r="G285" s="2"/>
      <c r="H285" s="2"/>
      <c r="I285" s="5"/>
    </row>
    <row r="286" spans="1:9" ht="17.399999999999999" x14ac:dyDescent="0.25">
      <c r="A286" s="16"/>
      <c r="B286" s="17"/>
      <c r="C286" s="2"/>
      <c r="D286" s="2"/>
      <c r="E286" s="2"/>
      <c r="F286" s="2"/>
      <c r="G286" s="2"/>
      <c r="H286" s="2"/>
      <c r="I286" s="5"/>
    </row>
    <row r="287" spans="1:9" ht="17.399999999999999" x14ac:dyDescent="0.25">
      <c r="A287" s="16"/>
      <c r="B287" s="17"/>
      <c r="C287" s="2"/>
      <c r="D287" s="2"/>
      <c r="E287" s="2"/>
      <c r="F287" s="2"/>
      <c r="G287" s="2"/>
      <c r="H287" s="2"/>
      <c r="I287" s="5"/>
    </row>
    <row r="288" spans="1:9" ht="17.399999999999999" x14ac:dyDescent="0.25">
      <c r="A288" s="16"/>
      <c r="B288" s="17"/>
      <c r="C288" s="2"/>
      <c r="D288" s="2"/>
      <c r="E288" s="2"/>
      <c r="F288" s="2"/>
      <c r="G288" s="2"/>
      <c r="H288" s="2"/>
      <c r="I288" s="5"/>
    </row>
    <row r="289" spans="1:9" ht="17.399999999999999" x14ac:dyDescent="0.25">
      <c r="A289" s="16"/>
      <c r="B289" s="17"/>
      <c r="C289" s="2"/>
      <c r="D289" s="2"/>
      <c r="E289" s="2"/>
      <c r="F289" s="2"/>
      <c r="G289" s="2"/>
      <c r="H289" s="2"/>
      <c r="I289" s="5"/>
    </row>
    <row r="290" spans="1:9" ht="17.399999999999999" x14ac:dyDescent="0.25">
      <c r="A290" s="16"/>
      <c r="B290" s="17"/>
      <c r="C290" s="2"/>
      <c r="D290" s="2"/>
      <c r="E290" s="2"/>
      <c r="F290" s="2"/>
      <c r="G290" s="2"/>
      <c r="H290" s="2"/>
      <c r="I290" s="5"/>
    </row>
    <row r="291" spans="1:9" ht="17.399999999999999" x14ac:dyDescent="0.25">
      <c r="A291" s="16"/>
      <c r="B291" s="17"/>
      <c r="C291" s="2"/>
      <c r="D291" s="2"/>
      <c r="E291" s="2"/>
      <c r="F291" s="2"/>
      <c r="G291" s="2"/>
      <c r="H291" s="2"/>
      <c r="I291" s="5"/>
    </row>
    <row r="292" spans="1:9" ht="17.399999999999999" x14ac:dyDescent="0.25">
      <c r="A292" s="16"/>
      <c r="B292" s="17"/>
      <c r="C292" s="2"/>
      <c r="D292" s="2"/>
      <c r="E292" s="2"/>
      <c r="F292" s="2"/>
      <c r="G292" s="2"/>
      <c r="H292" s="2"/>
      <c r="I292" s="5"/>
    </row>
    <row r="293" spans="1:9" ht="17.399999999999999" x14ac:dyDescent="0.25">
      <c r="A293" s="16"/>
      <c r="B293" s="17"/>
      <c r="C293" s="2"/>
      <c r="D293" s="2"/>
      <c r="E293" s="2"/>
      <c r="F293" s="2"/>
      <c r="G293" s="2"/>
      <c r="H293" s="2"/>
      <c r="I293" s="5"/>
    </row>
    <row r="294" spans="1:9" ht="17.399999999999999" x14ac:dyDescent="0.25">
      <c r="A294" s="16"/>
      <c r="B294" s="17"/>
      <c r="C294" s="2"/>
      <c r="D294" s="2"/>
      <c r="E294" s="2"/>
      <c r="F294" s="2"/>
      <c r="G294" s="2"/>
      <c r="H294" s="2"/>
      <c r="I294" s="5"/>
    </row>
    <row r="295" spans="1:9" ht="17.399999999999999" x14ac:dyDescent="0.25">
      <c r="A295" s="16"/>
      <c r="B295" s="17"/>
      <c r="C295" s="2"/>
      <c r="D295" s="2"/>
      <c r="E295" s="2"/>
      <c r="F295" s="2"/>
      <c r="G295" s="2"/>
      <c r="H295" s="2"/>
      <c r="I295" s="5"/>
    </row>
    <row r="296" spans="1:9" ht="17.399999999999999" x14ac:dyDescent="0.25">
      <c r="A296" s="16"/>
      <c r="B296" s="17"/>
      <c r="C296" s="2"/>
      <c r="D296" s="2"/>
      <c r="E296" s="2"/>
      <c r="F296" s="2"/>
      <c r="G296" s="2"/>
      <c r="H296" s="2"/>
      <c r="I296" s="5"/>
    </row>
    <row r="297" spans="1:9" ht="17.399999999999999" x14ac:dyDescent="0.25">
      <c r="A297" s="16"/>
      <c r="B297" s="17"/>
      <c r="C297" s="2"/>
      <c r="D297" s="2"/>
      <c r="E297" s="2"/>
      <c r="F297" s="2"/>
      <c r="G297" s="2"/>
      <c r="H297" s="2"/>
      <c r="I297" s="5"/>
    </row>
    <row r="298" spans="1:9" ht="17.399999999999999" x14ac:dyDescent="0.25">
      <c r="A298" s="16"/>
      <c r="B298" s="17"/>
      <c r="C298" s="2"/>
      <c r="D298" s="2"/>
      <c r="E298" s="2"/>
      <c r="F298" s="2"/>
      <c r="G298" s="2"/>
      <c r="H298" s="2"/>
      <c r="I298" s="5"/>
    </row>
    <row r="299" spans="1:9" ht="17.399999999999999" x14ac:dyDescent="0.25">
      <c r="A299" s="16"/>
      <c r="B299" s="17"/>
      <c r="C299" s="2"/>
      <c r="D299" s="2"/>
      <c r="E299" s="2"/>
      <c r="F299" s="2"/>
      <c r="G299" s="2"/>
      <c r="H299" s="2"/>
      <c r="I299" s="5"/>
    </row>
    <row r="300" spans="1:9" ht="17.399999999999999" x14ac:dyDescent="0.25">
      <c r="A300" s="16"/>
      <c r="B300" s="17"/>
      <c r="C300" s="2"/>
      <c r="D300" s="2"/>
      <c r="E300" s="2"/>
      <c r="F300" s="2"/>
      <c r="G300" s="2"/>
      <c r="H300" s="2"/>
      <c r="I300" s="5"/>
    </row>
    <row r="301" spans="1:9" ht="17.399999999999999" x14ac:dyDescent="0.25">
      <c r="A301" s="16"/>
      <c r="B301" s="17"/>
      <c r="C301" s="2"/>
      <c r="D301" s="2"/>
      <c r="E301" s="2"/>
      <c r="F301" s="2"/>
      <c r="G301" s="2"/>
      <c r="H301" s="2"/>
      <c r="I301" s="5"/>
    </row>
    <row r="302" spans="1:9" ht="17.399999999999999" x14ac:dyDescent="0.25">
      <c r="A302" s="16"/>
      <c r="B302" s="17"/>
      <c r="C302" s="2"/>
      <c r="D302" s="2"/>
      <c r="E302" s="2"/>
      <c r="F302" s="2"/>
      <c r="G302" s="2"/>
      <c r="H302" s="2"/>
      <c r="I302" s="5"/>
    </row>
    <row r="303" spans="1:9" ht="17.399999999999999" x14ac:dyDescent="0.25">
      <c r="A303" s="16"/>
      <c r="B303" s="17"/>
      <c r="C303" s="2"/>
      <c r="D303" s="2"/>
      <c r="E303" s="2"/>
      <c r="F303" s="2"/>
      <c r="G303" s="2"/>
      <c r="H303" s="2"/>
      <c r="I303" s="5"/>
    </row>
    <row r="304" spans="1:9" ht="17.399999999999999" x14ac:dyDescent="0.25">
      <c r="A304" s="16"/>
      <c r="B304" s="17"/>
      <c r="C304" s="2"/>
      <c r="D304" s="2"/>
      <c r="E304" s="2"/>
      <c r="F304" s="2"/>
      <c r="G304" s="2"/>
      <c r="H304" s="2"/>
      <c r="I304" s="5"/>
    </row>
    <row r="305" spans="1:9" ht="17.399999999999999" x14ac:dyDescent="0.25">
      <c r="A305" s="16"/>
      <c r="B305" s="17"/>
      <c r="C305" s="2"/>
      <c r="D305" s="2"/>
      <c r="E305" s="2"/>
      <c r="F305" s="2"/>
      <c r="G305" s="2"/>
      <c r="H305" s="2"/>
      <c r="I305" s="5"/>
    </row>
    <row r="306" spans="1:9" ht="17.399999999999999" x14ac:dyDescent="0.25">
      <c r="A306" s="16"/>
      <c r="B306" s="17"/>
      <c r="C306" s="2"/>
      <c r="D306" s="2"/>
      <c r="E306" s="2"/>
      <c r="F306" s="2"/>
      <c r="G306" s="2"/>
      <c r="H306" s="2"/>
      <c r="I306" s="5"/>
    </row>
    <row r="307" spans="1:9" ht="17.399999999999999" x14ac:dyDescent="0.25">
      <c r="A307" s="16"/>
      <c r="B307" s="17"/>
      <c r="C307" s="2"/>
      <c r="D307" s="2"/>
      <c r="E307" s="2"/>
      <c r="F307" s="2"/>
      <c r="G307" s="2"/>
      <c r="H307" s="2"/>
      <c r="I307" s="5"/>
    </row>
    <row r="308" spans="1:9" ht="17.399999999999999" x14ac:dyDescent="0.25">
      <c r="A308" s="16"/>
      <c r="B308" s="17"/>
      <c r="C308" s="2"/>
      <c r="D308" s="2"/>
      <c r="E308" s="2"/>
      <c r="F308" s="2"/>
      <c r="G308" s="2"/>
      <c r="H308" s="2"/>
      <c r="I308" s="5"/>
    </row>
    <row r="309" spans="1:9" ht="17.399999999999999" x14ac:dyDescent="0.25">
      <c r="A309" s="16"/>
      <c r="B309" s="17"/>
      <c r="C309" s="2"/>
      <c r="D309" s="2"/>
      <c r="E309" s="2"/>
      <c r="F309" s="2"/>
      <c r="G309" s="2"/>
      <c r="H309" s="2"/>
      <c r="I309" s="5"/>
    </row>
    <row r="310" spans="1:9" ht="17.399999999999999" x14ac:dyDescent="0.25">
      <c r="A310" s="16"/>
      <c r="B310" s="17"/>
      <c r="C310" s="2"/>
      <c r="D310" s="2"/>
      <c r="E310" s="2"/>
      <c r="F310" s="2"/>
      <c r="G310" s="2"/>
      <c r="H310" s="2"/>
      <c r="I310" s="5"/>
    </row>
    <row r="311" spans="1:9" ht="17.399999999999999" x14ac:dyDescent="0.25">
      <c r="A311" s="16"/>
      <c r="B311" s="17"/>
      <c r="C311" s="2"/>
      <c r="D311" s="2"/>
      <c r="E311" s="2"/>
      <c r="F311" s="2"/>
      <c r="G311" s="2"/>
      <c r="H311" s="2"/>
      <c r="I311" s="5"/>
    </row>
    <row r="312" spans="1:9" ht="17.399999999999999" x14ac:dyDescent="0.25">
      <c r="A312" s="16"/>
      <c r="B312" s="17"/>
      <c r="C312" s="2"/>
      <c r="D312" s="2"/>
      <c r="E312" s="2"/>
      <c r="F312" s="2"/>
      <c r="G312" s="2"/>
      <c r="H312" s="2"/>
      <c r="I312" s="5"/>
    </row>
    <row r="313" spans="1:9" ht="17.399999999999999" x14ac:dyDescent="0.25">
      <c r="A313" s="16"/>
      <c r="B313" s="17"/>
      <c r="C313" s="2"/>
      <c r="D313" s="2"/>
      <c r="E313" s="2"/>
      <c r="F313" s="2"/>
      <c r="G313" s="2"/>
      <c r="H313" s="2"/>
      <c r="I313" s="5"/>
    </row>
    <row r="314" spans="1:9" ht="17.399999999999999" x14ac:dyDescent="0.25">
      <c r="A314" s="16"/>
      <c r="B314" s="17"/>
      <c r="C314" s="2"/>
      <c r="D314" s="2"/>
      <c r="E314" s="2"/>
      <c r="F314" s="2"/>
      <c r="G314" s="2"/>
      <c r="H314" s="2"/>
      <c r="I314" s="5"/>
    </row>
    <row r="315" spans="1:9" ht="17.399999999999999" x14ac:dyDescent="0.25">
      <c r="A315" s="16"/>
      <c r="B315" s="17"/>
      <c r="C315" s="2"/>
      <c r="D315" s="2"/>
      <c r="E315" s="2"/>
      <c r="F315" s="2"/>
      <c r="G315" s="2"/>
      <c r="H315" s="2"/>
      <c r="I315" s="5"/>
    </row>
    <row r="316" spans="1:9" ht="17.399999999999999" x14ac:dyDescent="0.25">
      <c r="A316" s="16"/>
      <c r="B316" s="17"/>
      <c r="C316" s="2"/>
      <c r="D316" s="2"/>
      <c r="E316" s="2"/>
      <c r="F316" s="2"/>
      <c r="G316" s="2"/>
      <c r="H316" s="2"/>
      <c r="I316" s="5"/>
    </row>
    <row r="317" spans="1:9" ht="17.399999999999999" x14ac:dyDescent="0.25">
      <c r="A317" s="16"/>
      <c r="B317" s="17"/>
      <c r="C317" s="2"/>
      <c r="D317" s="2"/>
      <c r="E317" s="2"/>
      <c r="F317" s="2"/>
      <c r="G317" s="2"/>
      <c r="H317" s="2"/>
      <c r="I317" s="5"/>
    </row>
    <row r="318" spans="1:9" ht="17.399999999999999" x14ac:dyDescent="0.25">
      <c r="A318" s="16"/>
      <c r="B318" s="17"/>
      <c r="C318" s="2"/>
      <c r="D318" s="2"/>
      <c r="E318" s="2"/>
      <c r="F318" s="2"/>
      <c r="G318" s="2"/>
      <c r="H318" s="2"/>
      <c r="I318" s="5"/>
    </row>
    <row r="319" spans="1:9" ht="17.399999999999999" x14ac:dyDescent="0.25">
      <c r="A319" s="16"/>
      <c r="B319" s="17"/>
      <c r="C319" s="2"/>
      <c r="D319" s="2"/>
      <c r="E319" s="2"/>
      <c r="F319" s="2"/>
      <c r="G319" s="2"/>
      <c r="H319" s="2"/>
      <c r="I319" s="5"/>
    </row>
    <row r="320" spans="1:9" ht="17.399999999999999" x14ac:dyDescent="0.25">
      <c r="A320" s="16"/>
      <c r="B320" s="17"/>
      <c r="C320" s="2"/>
      <c r="D320" s="2"/>
      <c r="E320" s="2"/>
      <c r="F320" s="2"/>
      <c r="G320" s="2"/>
      <c r="H320" s="2"/>
      <c r="I320" s="5"/>
    </row>
    <row r="321" spans="1:9" ht="17.399999999999999" x14ac:dyDescent="0.25">
      <c r="A321" s="16"/>
      <c r="B321" s="17"/>
      <c r="C321" s="2"/>
      <c r="D321" s="2"/>
      <c r="E321" s="2"/>
      <c r="F321" s="2"/>
      <c r="G321" s="2"/>
      <c r="H321" s="2"/>
      <c r="I321" s="5"/>
    </row>
    <row r="322" spans="1:9" ht="17.399999999999999" x14ac:dyDescent="0.25">
      <c r="A322" s="16"/>
      <c r="B322" s="17"/>
      <c r="C322" s="2"/>
      <c r="D322" s="2"/>
      <c r="E322" s="2"/>
      <c r="F322" s="2"/>
      <c r="G322" s="2"/>
      <c r="H322" s="2"/>
      <c r="I322" s="5"/>
    </row>
    <row r="323" spans="1:9" ht="17.399999999999999" x14ac:dyDescent="0.25">
      <c r="A323" s="16"/>
      <c r="B323" s="17"/>
      <c r="C323" s="2"/>
      <c r="D323" s="2"/>
      <c r="E323" s="2"/>
      <c r="F323" s="2"/>
      <c r="G323" s="2"/>
      <c r="H323" s="2"/>
      <c r="I323" s="5"/>
    </row>
    <row r="324" spans="1:9" ht="17.399999999999999" x14ac:dyDescent="0.25">
      <c r="A324" s="16"/>
      <c r="B324" s="17"/>
      <c r="C324" s="2"/>
      <c r="D324" s="2"/>
      <c r="E324" s="2"/>
      <c r="F324" s="2"/>
      <c r="G324" s="2"/>
      <c r="H324" s="2"/>
      <c r="I324" s="5"/>
    </row>
    <row r="325" spans="1:9" ht="17.399999999999999" x14ac:dyDescent="0.25">
      <c r="A325" s="16"/>
      <c r="B325" s="17"/>
      <c r="C325" s="2"/>
      <c r="D325" s="2"/>
      <c r="E325" s="2"/>
      <c r="F325" s="2"/>
      <c r="G325" s="2"/>
      <c r="H325" s="2"/>
      <c r="I325" s="5"/>
    </row>
    <row r="326" spans="1:9" ht="17.399999999999999" x14ac:dyDescent="0.25">
      <c r="A326" s="16"/>
      <c r="B326" s="17"/>
      <c r="C326" s="2"/>
      <c r="D326" s="2"/>
      <c r="E326" s="2"/>
      <c r="F326" s="2"/>
      <c r="G326" s="2"/>
      <c r="H326" s="2"/>
      <c r="I326" s="5"/>
    </row>
    <row r="327" spans="1:9" ht="17.399999999999999" x14ac:dyDescent="0.25">
      <c r="A327" s="16"/>
      <c r="B327" s="17"/>
      <c r="C327" s="2"/>
      <c r="D327" s="2"/>
      <c r="E327" s="2"/>
      <c r="F327" s="2"/>
      <c r="G327" s="2"/>
      <c r="H327" s="2"/>
      <c r="I327" s="5"/>
    </row>
    <row r="328" spans="1:9" ht="17.399999999999999" x14ac:dyDescent="0.25">
      <c r="A328" s="16"/>
      <c r="B328" s="17"/>
      <c r="C328" s="2"/>
      <c r="D328" s="2"/>
      <c r="E328" s="2"/>
      <c r="F328" s="2"/>
      <c r="G328" s="2"/>
      <c r="H328" s="2"/>
      <c r="I328" s="5"/>
    </row>
    <row r="329" spans="1:9" ht="17.399999999999999" x14ac:dyDescent="0.25">
      <c r="A329" s="16"/>
      <c r="B329" s="17"/>
      <c r="C329" s="2"/>
      <c r="D329" s="2"/>
      <c r="E329" s="2"/>
      <c r="F329" s="2"/>
      <c r="G329" s="2"/>
      <c r="H329" s="2"/>
      <c r="I329" s="5"/>
    </row>
    <row r="330" spans="1:9" ht="17.399999999999999" x14ac:dyDescent="0.25">
      <c r="A330" s="16"/>
      <c r="B330" s="17"/>
      <c r="C330" s="2"/>
      <c r="D330" s="2"/>
      <c r="E330" s="2"/>
      <c r="F330" s="2"/>
      <c r="G330" s="2"/>
      <c r="H330" s="2"/>
      <c r="I330" s="5"/>
    </row>
    <row r="331" spans="1:9" ht="17.399999999999999" x14ac:dyDescent="0.25">
      <c r="A331" s="16"/>
      <c r="B331" s="17"/>
      <c r="C331" s="2"/>
      <c r="D331" s="2"/>
      <c r="E331" s="2"/>
      <c r="F331" s="2"/>
      <c r="G331" s="2"/>
      <c r="H331" s="2"/>
      <c r="I331" s="5"/>
    </row>
    <row r="332" spans="1:9" ht="17.399999999999999" x14ac:dyDescent="0.25">
      <c r="A332" s="16"/>
      <c r="B332" s="17"/>
      <c r="C332" s="2"/>
      <c r="D332" s="2"/>
      <c r="E332" s="2"/>
      <c r="F332" s="2"/>
      <c r="G332" s="2"/>
      <c r="H332" s="2"/>
      <c r="I332" s="5"/>
    </row>
    <row r="333" spans="1:9" ht="17.399999999999999" x14ac:dyDescent="0.25">
      <c r="A333" s="16"/>
      <c r="B333" s="17"/>
      <c r="C333" s="2"/>
      <c r="D333" s="2"/>
      <c r="E333" s="2"/>
      <c r="F333" s="2"/>
      <c r="G333" s="2"/>
      <c r="H333" s="2"/>
      <c r="I333" s="5"/>
    </row>
    <row r="334" spans="1:9" ht="17.399999999999999" x14ac:dyDescent="0.25">
      <c r="A334" s="16"/>
      <c r="B334" s="17"/>
      <c r="C334" s="2"/>
      <c r="D334" s="2"/>
      <c r="E334" s="2"/>
      <c r="F334" s="2"/>
      <c r="G334" s="2"/>
      <c r="H334" s="2"/>
      <c r="I334" s="5"/>
    </row>
    <row r="335" spans="1:9" ht="17.399999999999999" x14ac:dyDescent="0.25">
      <c r="A335" s="16"/>
      <c r="B335" s="17"/>
      <c r="C335" s="2"/>
      <c r="D335" s="2"/>
      <c r="E335" s="2"/>
      <c r="F335" s="2"/>
      <c r="G335" s="2"/>
      <c r="H335" s="2"/>
      <c r="I335" s="5"/>
    </row>
    <row r="336" spans="1:9" ht="17.399999999999999" x14ac:dyDescent="0.25">
      <c r="A336" s="16"/>
      <c r="B336" s="17"/>
      <c r="C336" s="2"/>
      <c r="D336" s="2"/>
      <c r="E336" s="2"/>
      <c r="F336" s="2"/>
      <c r="G336" s="2"/>
      <c r="H336" s="2"/>
      <c r="I336" s="5"/>
    </row>
    <row r="337" spans="1:9" ht="17.399999999999999" x14ac:dyDescent="0.25">
      <c r="A337" s="16"/>
      <c r="B337" s="17"/>
      <c r="C337" s="2"/>
      <c r="D337" s="2"/>
      <c r="E337" s="2"/>
      <c r="F337" s="2"/>
      <c r="G337" s="2"/>
      <c r="H337" s="2"/>
      <c r="I337" s="5"/>
    </row>
    <row r="338" spans="1:9" ht="17.399999999999999" x14ac:dyDescent="0.25">
      <c r="A338" s="16"/>
      <c r="B338" s="17"/>
      <c r="C338" s="2"/>
      <c r="D338" s="2"/>
      <c r="E338" s="2"/>
      <c r="F338" s="2"/>
      <c r="G338" s="2"/>
      <c r="H338" s="2"/>
      <c r="I338" s="5"/>
    </row>
    <row r="339" spans="1:9" ht="17.399999999999999" x14ac:dyDescent="0.25">
      <c r="A339" s="16"/>
      <c r="B339" s="17"/>
      <c r="C339" s="2"/>
      <c r="D339" s="2"/>
      <c r="E339" s="2"/>
      <c r="F339" s="2"/>
      <c r="G339" s="2"/>
      <c r="H339" s="2"/>
      <c r="I339" s="5"/>
    </row>
    <row r="340" spans="1:9" ht="17.399999999999999" x14ac:dyDescent="0.25">
      <c r="A340" s="16"/>
      <c r="B340" s="17"/>
      <c r="C340" s="2"/>
      <c r="D340" s="2"/>
      <c r="E340" s="2"/>
      <c r="F340" s="2"/>
      <c r="G340" s="2"/>
      <c r="H340" s="2"/>
      <c r="I340" s="5"/>
    </row>
    <row r="341" spans="1:9" ht="17.399999999999999" x14ac:dyDescent="0.25">
      <c r="A341" s="16"/>
      <c r="B341" s="17"/>
      <c r="C341" s="2"/>
      <c r="D341" s="2"/>
      <c r="E341" s="2"/>
      <c r="F341" s="2"/>
      <c r="G341" s="2"/>
      <c r="H341" s="2"/>
      <c r="I341" s="5"/>
    </row>
    <row r="342" spans="1:9" ht="17.399999999999999" x14ac:dyDescent="0.25">
      <c r="A342" s="16"/>
      <c r="B342" s="17"/>
      <c r="C342" s="2"/>
      <c r="D342" s="2"/>
      <c r="E342" s="2"/>
      <c r="F342" s="2"/>
      <c r="G342" s="2"/>
      <c r="H342" s="2"/>
      <c r="I342" s="5"/>
    </row>
    <row r="343" spans="1:9" ht="17.399999999999999" x14ac:dyDescent="0.25">
      <c r="A343" s="16"/>
      <c r="B343" s="17"/>
      <c r="C343" s="2"/>
      <c r="D343" s="2"/>
      <c r="E343" s="2"/>
      <c r="F343" s="2"/>
      <c r="G343" s="2"/>
      <c r="H343" s="2"/>
      <c r="I343" s="5"/>
    </row>
    <row r="344" spans="1:9" ht="17.399999999999999" x14ac:dyDescent="0.25">
      <c r="A344" s="16"/>
      <c r="B344" s="17"/>
      <c r="C344" s="2"/>
      <c r="D344" s="2"/>
      <c r="E344" s="2"/>
      <c r="F344" s="2"/>
      <c r="G344" s="2"/>
      <c r="H344" s="2"/>
      <c r="I344" s="5"/>
    </row>
    <row r="345" spans="1:9" ht="17.399999999999999" x14ac:dyDescent="0.25">
      <c r="A345" s="16"/>
      <c r="B345" s="17"/>
      <c r="C345" s="2"/>
      <c r="D345" s="2"/>
      <c r="E345" s="2"/>
      <c r="F345" s="2"/>
      <c r="G345" s="2"/>
      <c r="H345" s="2"/>
      <c r="I345" s="5"/>
    </row>
    <row r="346" spans="1:9" ht="17.399999999999999" x14ac:dyDescent="0.25">
      <c r="A346" s="16"/>
      <c r="B346" s="17"/>
      <c r="C346" s="2"/>
      <c r="D346" s="2"/>
      <c r="E346" s="2"/>
      <c r="F346" s="2"/>
      <c r="G346" s="2"/>
      <c r="H346" s="2"/>
      <c r="I346" s="5"/>
    </row>
    <row r="347" spans="1:9" ht="17.399999999999999" x14ac:dyDescent="0.25">
      <c r="A347" s="16"/>
      <c r="B347" s="17"/>
      <c r="C347" s="2"/>
      <c r="D347" s="2"/>
      <c r="E347" s="2"/>
      <c r="F347" s="2"/>
      <c r="G347" s="2"/>
      <c r="H347" s="2"/>
      <c r="I347" s="5"/>
    </row>
    <row r="348" spans="1:9" ht="17.399999999999999" x14ac:dyDescent="0.25">
      <c r="A348" s="16"/>
      <c r="B348" s="17"/>
      <c r="C348" s="2"/>
      <c r="D348" s="2"/>
      <c r="E348" s="2"/>
      <c r="F348" s="2"/>
      <c r="G348" s="2"/>
      <c r="H348" s="2"/>
      <c r="I348" s="5"/>
    </row>
    <row r="349" spans="1:9" ht="17.399999999999999" x14ac:dyDescent="0.25">
      <c r="A349" s="16"/>
      <c r="B349" s="17"/>
      <c r="C349" s="2"/>
      <c r="D349" s="2"/>
      <c r="E349" s="2"/>
      <c r="F349" s="2"/>
      <c r="G349" s="2"/>
      <c r="H349" s="2"/>
      <c r="I349" s="5"/>
    </row>
    <row r="350" spans="1:9" ht="17.399999999999999" x14ac:dyDescent="0.25">
      <c r="A350" s="16"/>
      <c r="B350" s="17"/>
      <c r="C350" s="2"/>
      <c r="D350" s="2"/>
      <c r="E350" s="2"/>
      <c r="F350" s="2"/>
      <c r="G350" s="2"/>
      <c r="H350" s="2"/>
      <c r="I350" s="5"/>
    </row>
    <row r="351" spans="1:9" ht="17.399999999999999" x14ac:dyDescent="0.25">
      <c r="A351" s="16"/>
      <c r="B351" s="17"/>
      <c r="C351" s="2"/>
      <c r="D351" s="2"/>
      <c r="E351" s="2"/>
      <c r="F351" s="2"/>
      <c r="G351" s="2"/>
      <c r="H351" s="2"/>
      <c r="I351" s="5"/>
    </row>
    <row r="352" spans="1:9" ht="17.399999999999999" x14ac:dyDescent="0.25">
      <c r="A352" s="16"/>
      <c r="B352" s="17"/>
      <c r="C352" s="2"/>
      <c r="D352" s="2"/>
      <c r="E352" s="2"/>
      <c r="F352" s="2"/>
      <c r="G352" s="2"/>
      <c r="H352" s="2"/>
      <c r="I352" s="5"/>
    </row>
    <row r="353" spans="1:9" ht="17.399999999999999" x14ac:dyDescent="0.25">
      <c r="A353" s="16"/>
      <c r="B353" s="17"/>
      <c r="C353" s="2"/>
      <c r="D353" s="2"/>
      <c r="E353" s="2"/>
      <c r="F353" s="2"/>
      <c r="G353" s="2"/>
      <c r="H353" s="2"/>
      <c r="I353" s="5"/>
    </row>
    <row r="354" spans="1:9" ht="17.399999999999999" x14ac:dyDescent="0.25">
      <c r="A354" s="16"/>
      <c r="B354" s="17"/>
      <c r="C354" s="2"/>
      <c r="D354" s="2"/>
      <c r="E354" s="2"/>
      <c r="F354" s="2"/>
      <c r="G354" s="2"/>
      <c r="H354" s="2"/>
      <c r="I354" s="5"/>
    </row>
    <row r="355" spans="1:9" ht="17.399999999999999" x14ac:dyDescent="0.25">
      <c r="A355" s="16"/>
      <c r="B355" s="17"/>
      <c r="C355" s="2"/>
      <c r="D355" s="2"/>
      <c r="E355" s="2"/>
      <c r="F355" s="2"/>
      <c r="G355" s="2"/>
      <c r="H355" s="2"/>
      <c r="I355" s="5"/>
    </row>
    <row r="356" spans="1:9" ht="17.399999999999999" x14ac:dyDescent="0.25">
      <c r="A356" s="16"/>
      <c r="B356" s="17"/>
      <c r="C356" s="2"/>
      <c r="D356" s="2"/>
      <c r="E356" s="2"/>
      <c r="F356" s="2"/>
      <c r="G356" s="2"/>
      <c r="H356" s="2"/>
      <c r="I356" s="5"/>
    </row>
    <row r="357" spans="1:9" ht="17.399999999999999" x14ac:dyDescent="0.25">
      <c r="A357" s="16"/>
      <c r="B357" s="17"/>
      <c r="C357" s="2"/>
      <c r="D357" s="2"/>
      <c r="E357" s="2"/>
      <c r="F357" s="2"/>
      <c r="G357" s="2"/>
      <c r="H357" s="2"/>
      <c r="I357" s="5"/>
    </row>
    <row r="358" spans="1:9" ht="17.399999999999999" x14ac:dyDescent="0.25">
      <c r="A358" s="16"/>
      <c r="B358" s="17"/>
      <c r="C358" s="2"/>
      <c r="D358" s="2"/>
      <c r="E358" s="2"/>
      <c r="F358" s="2"/>
      <c r="G358" s="2"/>
      <c r="H358" s="2"/>
      <c r="I358" s="5"/>
    </row>
    <row r="359" spans="1:9" ht="17.399999999999999" x14ac:dyDescent="0.25">
      <c r="A359" s="16"/>
      <c r="B359" s="17"/>
      <c r="C359" s="2"/>
      <c r="D359" s="2"/>
      <c r="E359" s="2"/>
      <c r="F359" s="2"/>
      <c r="G359" s="2"/>
      <c r="H359" s="2"/>
      <c r="I359" s="5"/>
    </row>
    <row r="360" spans="1:9" ht="17.399999999999999" x14ac:dyDescent="0.25">
      <c r="A360" s="16"/>
      <c r="B360" s="17"/>
      <c r="C360" s="2"/>
      <c r="D360" s="2"/>
      <c r="E360" s="2"/>
      <c r="F360" s="2"/>
      <c r="G360" s="2"/>
      <c r="H360" s="2"/>
      <c r="I360" s="5"/>
    </row>
    <row r="361" spans="1:9" ht="17.399999999999999" x14ac:dyDescent="0.25">
      <c r="A361" s="16"/>
      <c r="B361" s="17"/>
      <c r="C361" s="2"/>
      <c r="D361" s="2"/>
      <c r="E361" s="2"/>
      <c r="F361" s="2"/>
      <c r="G361" s="2"/>
      <c r="H361" s="2"/>
      <c r="I361" s="5"/>
    </row>
    <row r="362" spans="1:9" ht="17.399999999999999" x14ac:dyDescent="0.25">
      <c r="A362" s="16"/>
      <c r="B362" s="17"/>
      <c r="C362" s="2"/>
      <c r="D362" s="2"/>
      <c r="E362" s="2"/>
      <c r="F362" s="2"/>
      <c r="G362" s="2"/>
      <c r="H362" s="2"/>
      <c r="I362" s="5"/>
    </row>
    <row r="363" spans="1:9" ht="17.399999999999999" x14ac:dyDescent="0.25">
      <c r="A363" s="16"/>
      <c r="B363" s="17"/>
      <c r="C363" s="2"/>
      <c r="D363" s="2"/>
      <c r="E363" s="2"/>
      <c r="F363" s="2"/>
      <c r="G363" s="2"/>
      <c r="H363" s="2"/>
      <c r="I363" s="5"/>
    </row>
    <row r="364" spans="1:9" ht="17.399999999999999" x14ac:dyDescent="0.25">
      <c r="A364" s="16"/>
      <c r="B364" s="17"/>
      <c r="C364" s="2"/>
      <c r="D364" s="2"/>
      <c r="E364" s="2"/>
      <c r="F364" s="2"/>
      <c r="G364" s="2"/>
      <c r="H364" s="2"/>
      <c r="I364" s="5"/>
    </row>
    <row r="365" spans="1:9" ht="17.399999999999999" x14ac:dyDescent="0.25">
      <c r="A365" s="16"/>
      <c r="B365" s="17"/>
      <c r="C365" s="2"/>
      <c r="D365" s="2"/>
      <c r="E365" s="2"/>
      <c r="F365" s="2"/>
      <c r="G365" s="2"/>
      <c r="H365" s="2"/>
      <c r="I365" s="5"/>
    </row>
    <row r="366" spans="1:9" ht="17.399999999999999" x14ac:dyDescent="0.25">
      <c r="A366" s="16"/>
      <c r="B366" s="17"/>
      <c r="C366" s="2"/>
      <c r="D366" s="2"/>
      <c r="E366" s="2"/>
      <c r="F366" s="2"/>
      <c r="G366" s="2"/>
      <c r="H366" s="2"/>
      <c r="I366" s="5"/>
    </row>
    <row r="367" spans="1:9" ht="17.399999999999999" x14ac:dyDescent="0.25">
      <c r="A367" s="16"/>
      <c r="B367" s="17"/>
      <c r="C367" s="2"/>
      <c r="D367" s="2"/>
      <c r="E367" s="2"/>
      <c r="F367" s="2"/>
      <c r="G367" s="2"/>
      <c r="H367" s="2"/>
      <c r="I367" s="5"/>
    </row>
    <row r="368" spans="1:9" ht="17.399999999999999" x14ac:dyDescent="0.25">
      <c r="A368" s="16"/>
      <c r="B368" s="17"/>
      <c r="C368" s="2"/>
      <c r="D368" s="2"/>
      <c r="E368" s="2"/>
      <c r="F368" s="2"/>
      <c r="G368" s="2"/>
      <c r="H368" s="2"/>
      <c r="I368" s="5"/>
    </row>
    <row r="369" spans="1:9" ht="17.399999999999999" x14ac:dyDescent="0.25">
      <c r="A369" s="16"/>
      <c r="B369" s="17"/>
      <c r="C369" s="2"/>
      <c r="D369" s="2"/>
      <c r="E369" s="2"/>
      <c r="F369" s="2"/>
      <c r="G369" s="2"/>
      <c r="H369" s="2"/>
      <c r="I369" s="5"/>
    </row>
    <row r="370" spans="1:9" ht="17.399999999999999" x14ac:dyDescent="0.25">
      <c r="A370" s="16"/>
      <c r="B370" s="17"/>
      <c r="C370" s="2"/>
      <c r="D370" s="2"/>
      <c r="E370" s="2"/>
      <c r="F370" s="2"/>
      <c r="G370" s="2"/>
      <c r="H370" s="2"/>
      <c r="I370" s="5"/>
    </row>
    <row r="371" spans="1:9" ht="17.399999999999999" x14ac:dyDescent="0.25">
      <c r="A371" s="16"/>
      <c r="B371" s="17"/>
      <c r="C371" s="2"/>
      <c r="D371" s="2"/>
      <c r="E371" s="2"/>
      <c r="F371" s="2"/>
      <c r="G371" s="2"/>
      <c r="H371" s="2"/>
      <c r="I371" s="5"/>
    </row>
    <row r="372" spans="1:9" ht="17.399999999999999" x14ac:dyDescent="0.25">
      <c r="A372" s="16"/>
      <c r="B372" s="17"/>
      <c r="C372" s="2"/>
      <c r="D372" s="2"/>
      <c r="E372" s="2"/>
      <c r="F372" s="2"/>
      <c r="G372" s="2"/>
      <c r="H372" s="2"/>
      <c r="I372" s="5"/>
    </row>
    <row r="373" spans="1:9" ht="17.399999999999999" x14ac:dyDescent="0.25">
      <c r="A373" s="16"/>
      <c r="B373" s="17"/>
      <c r="C373" s="2"/>
      <c r="D373" s="2"/>
      <c r="E373" s="2"/>
      <c r="F373" s="2"/>
      <c r="G373" s="2"/>
      <c r="H373" s="2"/>
      <c r="I373" s="5"/>
    </row>
    <row r="374" spans="1:9" ht="17.399999999999999" x14ac:dyDescent="0.25">
      <c r="A374" s="16"/>
      <c r="B374" s="17"/>
      <c r="C374" s="2"/>
      <c r="D374" s="2"/>
      <c r="E374" s="2"/>
      <c r="F374" s="2"/>
      <c r="G374" s="2"/>
      <c r="H374" s="2"/>
      <c r="I374" s="5"/>
    </row>
    <row r="375" spans="1:9" ht="17.399999999999999" x14ac:dyDescent="0.25">
      <c r="A375" s="16"/>
      <c r="B375" s="17"/>
      <c r="C375" s="2"/>
      <c r="D375" s="2"/>
      <c r="E375" s="2"/>
      <c r="F375" s="2"/>
      <c r="G375" s="2"/>
      <c r="H375" s="2"/>
      <c r="I375" s="5"/>
    </row>
    <row r="376" spans="1:9" ht="17.399999999999999" x14ac:dyDescent="0.25">
      <c r="A376" s="16"/>
      <c r="B376" s="17"/>
      <c r="C376" s="2"/>
      <c r="D376" s="2"/>
      <c r="E376" s="2"/>
      <c r="F376" s="2"/>
      <c r="G376" s="2"/>
      <c r="H376" s="2"/>
      <c r="I376" s="5"/>
    </row>
    <row r="377" spans="1:9" ht="17.399999999999999" x14ac:dyDescent="0.25">
      <c r="A377" s="16"/>
      <c r="B377" s="17"/>
      <c r="C377" s="2"/>
      <c r="D377" s="2"/>
      <c r="E377" s="2"/>
      <c r="F377" s="2"/>
      <c r="G377" s="2"/>
      <c r="H377" s="2"/>
      <c r="I377" s="5"/>
    </row>
    <row r="378" spans="1:9" ht="17.399999999999999" x14ac:dyDescent="0.25">
      <c r="A378" s="16"/>
      <c r="B378" s="17"/>
      <c r="C378" s="2"/>
      <c r="D378" s="2"/>
      <c r="E378" s="2"/>
      <c r="F378" s="2"/>
      <c r="G378" s="2"/>
      <c r="H378" s="2"/>
      <c r="I378" s="5"/>
    </row>
    <row r="379" spans="1:9" ht="17.399999999999999" x14ac:dyDescent="0.25">
      <c r="A379" s="16"/>
      <c r="B379" s="17"/>
      <c r="C379" s="2"/>
      <c r="D379" s="2"/>
      <c r="E379" s="2"/>
      <c r="F379" s="2"/>
      <c r="G379" s="2"/>
      <c r="H379" s="2"/>
      <c r="I379" s="5"/>
    </row>
    <row r="380" spans="1:9" ht="17.399999999999999" x14ac:dyDescent="0.25">
      <c r="A380" s="16"/>
      <c r="B380" s="17"/>
      <c r="C380" s="2"/>
      <c r="D380" s="2"/>
      <c r="E380" s="2"/>
      <c r="F380" s="2"/>
      <c r="G380" s="2"/>
      <c r="H380" s="2"/>
      <c r="I380" s="5"/>
    </row>
    <row r="381" spans="1:9" ht="17.399999999999999" x14ac:dyDescent="0.25">
      <c r="A381" s="16"/>
      <c r="B381" s="17"/>
      <c r="C381" s="2"/>
      <c r="D381" s="2"/>
      <c r="E381" s="2"/>
      <c r="F381" s="2"/>
      <c r="G381" s="2"/>
      <c r="H381" s="2"/>
      <c r="I381" s="5"/>
    </row>
    <row r="382" spans="1:9" ht="17.399999999999999" x14ac:dyDescent="0.25">
      <c r="A382" s="16"/>
      <c r="B382" s="17"/>
      <c r="C382" s="2"/>
      <c r="D382" s="2"/>
      <c r="E382" s="2"/>
      <c r="F382" s="2"/>
      <c r="G382" s="2"/>
      <c r="H382" s="2"/>
      <c r="I382" s="5"/>
    </row>
    <row r="383" spans="1:9" ht="17.399999999999999" x14ac:dyDescent="0.25">
      <c r="A383" s="16"/>
      <c r="B383" s="17"/>
      <c r="C383" s="2"/>
      <c r="D383" s="2"/>
      <c r="E383" s="2"/>
      <c r="F383" s="2"/>
      <c r="G383" s="2"/>
      <c r="H383" s="2"/>
      <c r="I383" s="5"/>
    </row>
    <row r="384" spans="1:9" ht="17.399999999999999" x14ac:dyDescent="0.25">
      <c r="A384" s="16"/>
      <c r="B384" s="17"/>
      <c r="C384" s="2"/>
      <c r="D384" s="2"/>
      <c r="E384" s="2"/>
      <c r="F384" s="2"/>
      <c r="G384" s="2"/>
      <c r="H384" s="2"/>
      <c r="I384" s="5"/>
    </row>
    <row r="385" spans="1:9" ht="17.399999999999999" x14ac:dyDescent="0.25">
      <c r="A385" s="16"/>
      <c r="B385" s="17"/>
      <c r="C385" s="2"/>
      <c r="D385" s="2"/>
      <c r="E385" s="2"/>
      <c r="F385" s="2"/>
      <c r="G385" s="2"/>
      <c r="H385" s="2"/>
      <c r="I385" s="5"/>
    </row>
    <row r="386" spans="1:9" ht="17.399999999999999" x14ac:dyDescent="0.25">
      <c r="A386" s="16"/>
      <c r="B386" s="17"/>
      <c r="C386" s="2"/>
      <c r="D386" s="2"/>
      <c r="E386" s="2"/>
      <c r="F386" s="2"/>
      <c r="G386" s="2"/>
      <c r="H386" s="2"/>
      <c r="I386" s="5"/>
    </row>
    <row r="387" spans="1:9" ht="17.399999999999999" x14ac:dyDescent="0.25">
      <c r="A387" s="16"/>
      <c r="B387" s="17"/>
      <c r="C387" s="2"/>
      <c r="D387" s="2"/>
      <c r="E387" s="2"/>
      <c r="F387" s="2"/>
      <c r="G387" s="2"/>
      <c r="H387" s="2"/>
      <c r="I387" s="5"/>
    </row>
    <row r="388" spans="1:9" ht="17.399999999999999" x14ac:dyDescent="0.25">
      <c r="A388" s="16"/>
      <c r="B388" s="17"/>
      <c r="C388" s="2"/>
      <c r="D388" s="2"/>
      <c r="E388" s="2"/>
      <c r="F388" s="2"/>
      <c r="G388" s="2"/>
      <c r="H388" s="2"/>
      <c r="I388" s="5"/>
    </row>
    <row r="389" spans="1:9" ht="17.399999999999999" x14ac:dyDescent="0.25">
      <c r="A389" s="16"/>
      <c r="B389" s="17"/>
      <c r="C389" s="2"/>
      <c r="D389" s="2"/>
      <c r="E389" s="2"/>
      <c r="F389" s="2"/>
      <c r="G389" s="2"/>
      <c r="H389" s="2"/>
      <c r="I389" s="5"/>
    </row>
    <row r="390" spans="1:9" ht="17.399999999999999" x14ac:dyDescent="0.25">
      <c r="A390" s="16"/>
      <c r="B390" s="17"/>
      <c r="C390" s="2"/>
      <c r="D390" s="2"/>
      <c r="E390" s="2"/>
      <c r="F390" s="2"/>
      <c r="G390" s="2"/>
      <c r="H390" s="2"/>
      <c r="I390" s="5"/>
    </row>
    <row r="391" spans="1:9" ht="17.399999999999999" x14ac:dyDescent="0.25">
      <c r="A391" s="16"/>
      <c r="B391" s="17"/>
      <c r="C391" s="2"/>
      <c r="D391" s="2"/>
      <c r="E391" s="2"/>
      <c r="F391" s="2"/>
      <c r="G391" s="2"/>
      <c r="H391" s="2"/>
      <c r="I391" s="5"/>
    </row>
    <row r="392" spans="1:9" ht="17.399999999999999" x14ac:dyDescent="0.25">
      <c r="A392" s="16"/>
      <c r="B392" s="17"/>
      <c r="C392" s="2"/>
      <c r="D392" s="2"/>
      <c r="E392" s="2"/>
      <c r="F392" s="2"/>
      <c r="G392" s="2"/>
      <c r="H392" s="2"/>
      <c r="I392" s="5"/>
    </row>
    <row r="393" spans="1:9" ht="17.399999999999999" x14ac:dyDescent="0.25">
      <c r="A393" s="16"/>
      <c r="B393" s="17"/>
      <c r="C393" s="2"/>
      <c r="D393" s="2"/>
      <c r="E393" s="2"/>
      <c r="F393" s="2"/>
      <c r="G393" s="2"/>
      <c r="H393" s="2"/>
      <c r="I393" s="5"/>
    </row>
    <row r="394" spans="1:9" ht="17.399999999999999" x14ac:dyDescent="0.25">
      <c r="A394" s="16"/>
      <c r="B394" s="17"/>
      <c r="C394" s="2"/>
      <c r="D394" s="2"/>
      <c r="E394" s="2"/>
      <c r="F394" s="2"/>
      <c r="G394" s="2"/>
      <c r="H394" s="2"/>
      <c r="I394" s="5"/>
    </row>
    <row r="395" spans="1:9" ht="17.399999999999999" x14ac:dyDescent="0.25">
      <c r="A395" s="16"/>
      <c r="B395" s="17"/>
      <c r="C395" s="2"/>
      <c r="D395" s="2"/>
      <c r="E395" s="2"/>
      <c r="F395" s="2"/>
      <c r="G395" s="2"/>
      <c r="H395" s="2"/>
      <c r="I395" s="5"/>
    </row>
    <row r="396" spans="1:9" ht="17.399999999999999" x14ac:dyDescent="0.25">
      <c r="A396" s="16"/>
      <c r="B396" s="17"/>
      <c r="C396" s="2"/>
      <c r="D396" s="2"/>
      <c r="E396" s="2"/>
      <c r="F396" s="2"/>
      <c r="G396" s="2"/>
      <c r="H396" s="2"/>
      <c r="I396" s="5"/>
    </row>
    <row r="397" spans="1:9" ht="17.399999999999999" x14ac:dyDescent="0.25">
      <c r="A397" s="16"/>
      <c r="B397" s="17"/>
      <c r="C397" s="2"/>
      <c r="D397" s="2"/>
      <c r="E397" s="2"/>
      <c r="F397" s="2"/>
      <c r="G397" s="2"/>
      <c r="H397" s="2"/>
      <c r="I397" s="5"/>
    </row>
    <row r="398" spans="1:9" ht="17.399999999999999" x14ac:dyDescent="0.25">
      <c r="A398" s="16"/>
      <c r="B398" s="17"/>
      <c r="C398" s="2"/>
      <c r="D398" s="2"/>
      <c r="E398" s="2"/>
      <c r="F398" s="2"/>
      <c r="G398" s="2"/>
      <c r="H398" s="2"/>
      <c r="I398" s="5"/>
    </row>
    <row r="399" spans="1:9" ht="17.399999999999999" x14ac:dyDescent="0.25">
      <c r="A399" s="16"/>
      <c r="B399" s="17"/>
      <c r="C399" s="2"/>
      <c r="D399" s="2"/>
      <c r="E399" s="2"/>
      <c r="F399" s="2"/>
      <c r="G399" s="2"/>
      <c r="H399" s="2"/>
      <c r="I399" s="5"/>
    </row>
    <row r="400" spans="1:9" ht="17.399999999999999" x14ac:dyDescent="0.25">
      <c r="A400" s="16"/>
      <c r="B400" s="17"/>
      <c r="C400" s="2"/>
      <c r="D400" s="2"/>
      <c r="E400" s="2"/>
      <c r="F400" s="2"/>
      <c r="G400" s="2"/>
      <c r="H400" s="2"/>
      <c r="I400" s="5"/>
    </row>
    <row r="401" spans="1:9" ht="17.399999999999999" x14ac:dyDescent="0.25">
      <c r="A401" s="16"/>
      <c r="B401" s="17"/>
      <c r="C401" s="2"/>
      <c r="D401" s="2"/>
      <c r="E401" s="2"/>
      <c r="F401" s="2"/>
      <c r="G401" s="2"/>
      <c r="H401" s="2"/>
      <c r="I401" s="5"/>
    </row>
    <row r="402" spans="1:9" ht="17.399999999999999" x14ac:dyDescent="0.25">
      <c r="A402" s="16"/>
      <c r="B402" s="17"/>
      <c r="C402" s="2"/>
      <c r="D402" s="2"/>
      <c r="E402" s="2"/>
      <c r="F402" s="2"/>
      <c r="G402" s="2"/>
      <c r="H402" s="2"/>
      <c r="I402" s="5"/>
    </row>
    <row r="403" spans="1:9" ht="17.399999999999999" x14ac:dyDescent="0.25">
      <c r="A403" s="16"/>
      <c r="B403" s="17"/>
      <c r="C403" s="2"/>
      <c r="D403" s="2"/>
      <c r="E403" s="2"/>
      <c r="F403" s="2"/>
      <c r="G403" s="2"/>
      <c r="H403" s="2"/>
      <c r="I403" s="5"/>
    </row>
    <row r="404" spans="1:9" ht="17.399999999999999" x14ac:dyDescent="0.25">
      <c r="A404" s="16"/>
      <c r="B404" s="17"/>
      <c r="C404" s="2"/>
      <c r="D404" s="2"/>
      <c r="E404" s="2"/>
      <c r="F404" s="2"/>
      <c r="G404" s="2"/>
      <c r="H404" s="2"/>
      <c r="I404" s="5"/>
    </row>
    <row r="405" spans="1:9" ht="17.399999999999999" x14ac:dyDescent="0.25">
      <c r="A405" s="16"/>
      <c r="B405" s="17"/>
      <c r="C405" s="2"/>
      <c r="D405" s="2"/>
      <c r="E405" s="2"/>
      <c r="F405" s="2"/>
      <c r="G405" s="2"/>
      <c r="H405" s="2"/>
      <c r="I405" s="5"/>
    </row>
    <row r="406" spans="1:9" ht="17.399999999999999" x14ac:dyDescent="0.25">
      <c r="A406" s="16"/>
      <c r="B406" s="17"/>
      <c r="C406" s="2"/>
      <c r="D406" s="2"/>
      <c r="E406" s="2"/>
      <c r="F406" s="2"/>
      <c r="G406" s="2"/>
      <c r="H406" s="2"/>
      <c r="I406" s="5"/>
    </row>
    <row r="407" spans="1:9" ht="17.399999999999999" x14ac:dyDescent="0.25">
      <c r="A407" s="16"/>
      <c r="B407" s="17"/>
      <c r="C407" s="2"/>
      <c r="D407" s="2"/>
      <c r="E407" s="2"/>
      <c r="F407" s="2"/>
      <c r="G407" s="2"/>
      <c r="H407" s="2"/>
      <c r="I407" s="5"/>
    </row>
    <row r="408" spans="1:9" ht="17.399999999999999" x14ac:dyDescent="0.25">
      <c r="A408" s="16"/>
      <c r="B408" s="17"/>
      <c r="C408" s="2"/>
      <c r="D408" s="2"/>
      <c r="E408" s="2"/>
      <c r="F408" s="2"/>
      <c r="G408" s="2"/>
      <c r="H408" s="2"/>
      <c r="I408" s="5"/>
    </row>
    <row r="409" spans="1:9" ht="17.399999999999999" x14ac:dyDescent="0.25">
      <c r="A409" s="16"/>
      <c r="B409" s="17"/>
      <c r="C409" s="2"/>
      <c r="D409" s="2"/>
      <c r="E409" s="2"/>
      <c r="F409" s="2"/>
      <c r="G409" s="2"/>
      <c r="H409" s="2"/>
      <c r="I409" s="5"/>
    </row>
    <row r="410" spans="1:9" ht="17.399999999999999" x14ac:dyDescent="0.25">
      <c r="A410" s="16"/>
      <c r="B410" s="17"/>
      <c r="C410" s="2"/>
      <c r="D410" s="2"/>
      <c r="E410" s="2"/>
      <c r="F410" s="2"/>
      <c r="G410" s="2"/>
      <c r="H410" s="2"/>
      <c r="I410" s="5"/>
    </row>
    <row r="411" spans="1:9" ht="17.399999999999999" x14ac:dyDescent="0.25">
      <c r="A411" s="16"/>
      <c r="B411" s="17"/>
      <c r="C411" s="2"/>
      <c r="D411" s="2"/>
      <c r="E411" s="2"/>
      <c r="F411" s="2"/>
      <c r="G411" s="2"/>
      <c r="H411" s="2"/>
      <c r="I411" s="5"/>
    </row>
    <row r="412" spans="1:9" ht="17.399999999999999" x14ac:dyDescent="0.25">
      <c r="A412" s="16"/>
      <c r="B412" s="17"/>
      <c r="C412" s="2"/>
      <c r="D412" s="2"/>
      <c r="E412" s="2"/>
      <c r="F412" s="2"/>
      <c r="G412" s="2"/>
      <c r="H412" s="2"/>
      <c r="I412" s="5"/>
    </row>
    <row r="413" spans="1:9" ht="17.399999999999999" x14ac:dyDescent="0.25">
      <c r="A413" s="16"/>
      <c r="B413" s="17"/>
      <c r="C413" s="2"/>
      <c r="D413" s="2"/>
      <c r="E413" s="2"/>
      <c r="F413" s="2"/>
      <c r="G413" s="2"/>
      <c r="H413" s="2"/>
      <c r="I413" s="5"/>
    </row>
    <row r="414" spans="1:9" ht="17.399999999999999" x14ac:dyDescent="0.25">
      <c r="A414" s="16"/>
      <c r="B414" s="17"/>
      <c r="C414" s="2"/>
      <c r="D414" s="2"/>
      <c r="E414" s="2"/>
      <c r="F414" s="2"/>
      <c r="G414" s="2"/>
      <c r="H414" s="2"/>
      <c r="I414" s="5"/>
    </row>
    <row r="415" spans="1:9" ht="17.399999999999999" x14ac:dyDescent="0.25">
      <c r="A415" s="16"/>
      <c r="B415" s="17"/>
      <c r="C415" s="2"/>
      <c r="D415" s="2"/>
      <c r="E415" s="2"/>
      <c r="F415" s="2"/>
      <c r="G415" s="2"/>
      <c r="H415" s="2"/>
      <c r="I415" s="5"/>
    </row>
    <row r="416" spans="1:9" ht="17.399999999999999" x14ac:dyDescent="0.25">
      <c r="A416" s="16"/>
      <c r="B416" s="17"/>
      <c r="C416" s="2"/>
      <c r="D416" s="2"/>
      <c r="E416" s="2"/>
      <c r="F416" s="2"/>
      <c r="G416" s="2"/>
      <c r="H416" s="2"/>
      <c r="I416" s="5"/>
    </row>
    <row r="417" spans="1:9" ht="17.399999999999999" x14ac:dyDescent="0.25">
      <c r="A417" s="16"/>
      <c r="B417" s="17"/>
      <c r="C417" s="2"/>
      <c r="D417" s="2"/>
      <c r="E417" s="2"/>
      <c r="F417" s="2"/>
      <c r="G417" s="2"/>
      <c r="H417" s="2"/>
      <c r="I417" s="5"/>
    </row>
    <row r="418" spans="1:9" ht="17.399999999999999" x14ac:dyDescent="0.25">
      <c r="A418" s="16"/>
      <c r="B418" s="17"/>
      <c r="C418" s="2"/>
      <c r="D418" s="2"/>
      <c r="E418" s="2"/>
      <c r="F418" s="2"/>
      <c r="G418" s="2"/>
      <c r="H418" s="2"/>
      <c r="I418" s="5"/>
    </row>
    <row r="419" spans="1:9" ht="17.399999999999999" x14ac:dyDescent="0.25">
      <c r="A419" s="16"/>
      <c r="B419" s="17"/>
      <c r="C419" s="2"/>
      <c r="D419" s="2"/>
      <c r="E419" s="2"/>
      <c r="F419" s="2"/>
      <c r="G419" s="2"/>
      <c r="H419" s="2"/>
      <c r="I419" s="5"/>
    </row>
    <row r="420" spans="1:9" ht="17.399999999999999" x14ac:dyDescent="0.25">
      <c r="A420" s="16"/>
      <c r="B420" s="17"/>
      <c r="C420" s="2"/>
      <c r="D420" s="2"/>
      <c r="E420" s="2"/>
      <c r="F420" s="2"/>
      <c r="G420" s="2"/>
      <c r="H420" s="2"/>
      <c r="I420" s="5"/>
    </row>
    <row r="421" spans="1:9" ht="17.399999999999999" x14ac:dyDescent="0.25">
      <c r="A421" s="16"/>
      <c r="B421" s="17"/>
      <c r="C421" s="2"/>
      <c r="D421" s="2"/>
      <c r="E421" s="2"/>
      <c r="F421" s="2"/>
      <c r="G421" s="2"/>
      <c r="H421" s="2"/>
      <c r="I421" s="5"/>
    </row>
    <row r="422" spans="1:9" ht="17.399999999999999" x14ac:dyDescent="0.25">
      <c r="A422" s="16"/>
      <c r="B422" s="17"/>
      <c r="C422" s="2"/>
      <c r="D422" s="2"/>
      <c r="E422" s="2"/>
      <c r="F422" s="2"/>
      <c r="G422" s="2"/>
      <c r="H422" s="2"/>
      <c r="I422" s="5"/>
    </row>
    <row r="423" spans="1:9" ht="17.399999999999999" x14ac:dyDescent="0.25">
      <c r="A423" s="16"/>
      <c r="B423" s="17"/>
      <c r="C423" s="2"/>
      <c r="D423" s="2"/>
      <c r="E423" s="2"/>
      <c r="F423" s="2"/>
      <c r="G423" s="2"/>
      <c r="H423" s="2"/>
      <c r="I423" s="5"/>
    </row>
    <row r="424" spans="1:9" ht="17.399999999999999" x14ac:dyDescent="0.25">
      <c r="A424" s="16"/>
      <c r="B424" s="17"/>
      <c r="C424" s="2"/>
      <c r="D424" s="2"/>
      <c r="E424" s="2"/>
      <c r="F424" s="2"/>
      <c r="G424" s="2"/>
      <c r="H424" s="2"/>
      <c r="I424" s="5"/>
    </row>
    <row r="425" spans="1:9" ht="17.399999999999999" x14ac:dyDescent="0.25">
      <c r="A425" s="16"/>
      <c r="B425" s="17"/>
      <c r="C425" s="2"/>
      <c r="D425" s="2"/>
      <c r="E425" s="2"/>
      <c r="F425" s="2"/>
      <c r="G425" s="2"/>
      <c r="H425" s="2"/>
      <c r="I425" s="5"/>
    </row>
    <row r="426" spans="1:9" ht="17.399999999999999" x14ac:dyDescent="0.25">
      <c r="A426" s="16"/>
      <c r="B426" s="17"/>
      <c r="C426" s="2"/>
      <c r="D426" s="2"/>
      <c r="E426" s="2"/>
      <c r="F426" s="2"/>
      <c r="G426" s="2"/>
      <c r="H426" s="2"/>
      <c r="I426" s="5"/>
    </row>
    <row r="427" spans="1:9" ht="17.399999999999999" x14ac:dyDescent="0.25">
      <c r="A427" s="16"/>
      <c r="B427" s="17"/>
      <c r="C427" s="2"/>
      <c r="D427" s="2"/>
      <c r="E427" s="2"/>
      <c r="F427" s="2"/>
      <c r="G427" s="2"/>
      <c r="H427" s="2"/>
      <c r="I427" s="5"/>
    </row>
    <row r="428" spans="1:9" ht="17.399999999999999" x14ac:dyDescent="0.25">
      <c r="A428" s="16"/>
      <c r="B428" s="17"/>
      <c r="C428" s="2"/>
      <c r="D428" s="2"/>
      <c r="E428" s="2"/>
      <c r="F428" s="2"/>
      <c r="G428" s="2"/>
      <c r="H428" s="2"/>
      <c r="I428" s="5"/>
    </row>
    <row r="429" spans="1:9" ht="17.399999999999999" x14ac:dyDescent="0.25">
      <c r="A429" s="16"/>
      <c r="B429" s="17"/>
      <c r="C429" s="2"/>
      <c r="D429" s="2"/>
      <c r="E429" s="2"/>
      <c r="F429" s="2"/>
      <c r="G429" s="2"/>
      <c r="H429" s="2"/>
      <c r="I429" s="5"/>
    </row>
    <row r="430" spans="1:9" ht="17.399999999999999" x14ac:dyDescent="0.25">
      <c r="A430" s="16"/>
      <c r="B430" s="17"/>
      <c r="C430" s="2"/>
      <c r="D430" s="2"/>
      <c r="E430" s="2"/>
      <c r="F430" s="2"/>
      <c r="G430" s="2"/>
      <c r="H430" s="2"/>
      <c r="I430" s="5"/>
    </row>
    <row r="431" spans="1:9" ht="17.399999999999999" x14ac:dyDescent="0.25">
      <c r="A431" s="16"/>
      <c r="B431" s="17"/>
      <c r="C431" s="2"/>
      <c r="D431" s="2"/>
      <c r="E431" s="2"/>
      <c r="F431" s="2"/>
      <c r="G431" s="2"/>
      <c r="H431" s="2"/>
      <c r="I431" s="5"/>
    </row>
    <row r="432" spans="1:9" ht="17.399999999999999" x14ac:dyDescent="0.25">
      <c r="A432" s="16"/>
      <c r="B432" s="17"/>
      <c r="C432" s="2"/>
      <c r="D432" s="2"/>
      <c r="E432" s="2"/>
      <c r="F432" s="2"/>
      <c r="G432" s="2"/>
      <c r="H432" s="2"/>
      <c r="I432" s="5"/>
    </row>
    <row r="433" spans="1:9" ht="17.399999999999999" x14ac:dyDescent="0.25">
      <c r="A433" s="16"/>
      <c r="B433" s="17"/>
      <c r="C433" s="2"/>
      <c r="D433" s="2"/>
      <c r="E433" s="2"/>
      <c r="F433" s="2"/>
      <c r="G433" s="2"/>
      <c r="H433" s="2"/>
      <c r="I433" s="5"/>
    </row>
    <row r="434" spans="1:9" ht="17.399999999999999" x14ac:dyDescent="0.25">
      <c r="A434" s="16"/>
      <c r="B434" s="17"/>
      <c r="C434" s="2"/>
      <c r="D434" s="2"/>
      <c r="E434" s="2"/>
      <c r="F434" s="2"/>
      <c r="G434" s="2"/>
      <c r="H434" s="2"/>
      <c r="I434" s="5"/>
    </row>
    <row r="435" spans="1:9" ht="17.399999999999999" x14ac:dyDescent="0.25">
      <c r="A435" s="16"/>
      <c r="B435" s="17"/>
      <c r="C435" s="2"/>
      <c r="D435" s="2"/>
      <c r="E435" s="2"/>
      <c r="F435" s="2"/>
      <c r="G435" s="2"/>
      <c r="H435" s="2"/>
      <c r="I435" s="5"/>
    </row>
    <row r="436" spans="1:9" ht="17.399999999999999" x14ac:dyDescent="0.25">
      <c r="A436" s="16"/>
      <c r="B436" s="17"/>
      <c r="C436" s="2"/>
      <c r="D436" s="2"/>
      <c r="E436" s="2"/>
      <c r="F436" s="2"/>
      <c r="G436" s="2"/>
      <c r="H436" s="2"/>
      <c r="I436" s="5"/>
    </row>
    <row r="437" spans="1:9" ht="17.399999999999999" x14ac:dyDescent="0.25">
      <c r="A437" s="16"/>
      <c r="B437" s="17"/>
      <c r="C437" s="2"/>
      <c r="D437" s="2"/>
      <c r="E437" s="2"/>
      <c r="F437" s="2"/>
      <c r="G437" s="2"/>
      <c r="H437" s="2"/>
      <c r="I437" s="5"/>
    </row>
    <row r="438" spans="1:9" ht="17.399999999999999" x14ac:dyDescent="0.25">
      <c r="A438" s="16"/>
      <c r="B438" s="17"/>
      <c r="C438" s="2"/>
      <c r="D438" s="2"/>
      <c r="E438" s="2"/>
      <c r="F438" s="2"/>
      <c r="G438" s="2"/>
      <c r="H438" s="2"/>
      <c r="I438" s="5"/>
    </row>
    <row r="439" spans="1:9" ht="17.399999999999999" x14ac:dyDescent="0.25">
      <c r="A439" s="16"/>
      <c r="B439" s="17"/>
      <c r="C439" s="2"/>
      <c r="D439" s="2"/>
      <c r="E439" s="2"/>
      <c r="F439" s="2"/>
      <c r="G439" s="2"/>
      <c r="H439" s="2"/>
      <c r="I439" s="5"/>
    </row>
    <row r="440" spans="1:9" ht="17.399999999999999" x14ac:dyDescent="0.25">
      <c r="A440" s="16"/>
      <c r="B440" s="17"/>
      <c r="C440" s="2"/>
      <c r="D440" s="2"/>
      <c r="E440" s="2"/>
      <c r="F440" s="2"/>
      <c r="G440" s="2"/>
      <c r="H440" s="2"/>
      <c r="I440" s="5"/>
    </row>
    <row r="441" spans="1:9" ht="17.399999999999999" x14ac:dyDescent="0.25">
      <c r="A441" s="16"/>
      <c r="B441" s="17"/>
      <c r="C441" s="2"/>
      <c r="D441" s="2"/>
      <c r="E441" s="2"/>
      <c r="F441" s="2"/>
      <c r="G441" s="2"/>
      <c r="H441" s="2"/>
      <c r="I441" s="5"/>
    </row>
    <row r="442" spans="1:9" ht="17.399999999999999" x14ac:dyDescent="0.25">
      <c r="A442" s="16"/>
      <c r="B442" s="17"/>
      <c r="C442" s="2"/>
      <c r="D442" s="2"/>
      <c r="E442" s="2"/>
      <c r="F442" s="2"/>
      <c r="G442" s="2"/>
      <c r="H442" s="2"/>
      <c r="I442" s="5"/>
    </row>
    <row r="443" spans="1:9" ht="17.399999999999999" x14ac:dyDescent="0.25">
      <c r="A443" s="16"/>
      <c r="B443" s="17"/>
      <c r="C443" s="2"/>
      <c r="D443" s="2"/>
      <c r="E443" s="2"/>
      <c r="F443" s="2"/>
      <c r="G443" s="2"/>
      <c r="H443" s="2"/>
      <c r="I443" s="5"/>
    </row>
    <row r="444" spans="1:9" ht="17.399999999999999" x14ac:dyDescent="0.25">
      <c r="A444" s="16"/>
      <c r="B444" s="17"/>
      <c r="C444" s="2"/>
      <c r="D444" s="2"/>
      <c r="E444" s="2"/>
      <c r="F444" s="2"/>
      <c r="G444" s="2"/>
      <c r="H444" s="2"/>
      <c r="I444" s="5"/>
    </row>
    <row r="445" spans="1:9" ht="17.399999999999999" x14ac:dyDescent="0.25">
      <c r="A445" s="16"/>
      <c r="B445" s="17"/>
      <c r="C445" s="2"/>
      <c r="D445" s="2"/>
      <c r="E445" s="2"/>
      <c r="F445" s="2"/>
      <c r="G445" s="2"/>
      <c r="H445" s="2"/>
      <c r="I445" s="5"/>
    </row>
    <row r="446" spans="1:9" ht="17.399999999999999" x14ac:dyDescent="0.25">
      <c r="A446" s="16"/>
      <c r="B446" s="17"/>
      <c r="C446" s="2"/>
      <c r="D446" s="2"/>
      <c r="E446" s="2"/>
      <c r="F446" s="2"/>
      <c r="G446" s="2"/>
      <c r="H446" s="2"/>
      <c r="I446" s="5"/>
    </row>
    <row r="447" spans="1:9" ht="17.399999999999999" x14ac:dyDescent="0.25">
      <c r="A447" s="16"/>
      <c r="B447" s="17"/>
      <c r="C447" s="2"/>
      <c r="D447" s="2"/>
      <c r="E447" s="2"/>
      <c r="F447" s="2"/>
      <c r="G447" s="2"/>
      <c r="H447" s="2"/>
      <c r="I447" s="5"/>
    </row>
    <row r="448" spans="1:9" ht="17.399999999999999" x14ac:dyDescent="0.25">
      <c r="A448" s="16"/>
      <c r="B448" s="17"/>
      <c r="C448" s="2"/>
      <c r="D448" s="2"/>
      <c r="E448" s="2"/>
      <c r="F448" s="2"/>
      <c r="G448" s="2"/>
      <c r="H448" s="2"/>
      <c r="I448" s="5"/>
    </row>
    <row r="449" spans="1:9" ht="17.399999999999999" x14ac:dyDescent="0.25">
      <c r="A449" s="16"/>
      <c r="B449" s="17"/>
      <c r="C449" s="2"/>
      <c r="D449" s="2"/>
      <c r="E449" s="2"/>
      <c r="F449" s="2"/>
      <c r="G449" s="2"/>
      <c r="H449" s="2"/>
      <c r="I449" s="5"/>
    </row>
    <row r="450" spans="1:9" ht="17.399999999999999" x14ac:dyDescent="0.25">
      <c r="A450" s="16"/>
      <c r="B450" s="17"/>
      <c r="C450" s="2"/>
      <c r="D450" s="2"/>
      <c r="E450" s="2"/>
      <c r="F450" s="2"/>
      <c r="G450" s="2"/>
      <c r="H450" s="2"/>
      <c r="I450" s="5"/>
    </row>
    <row r="451" spans="1:9" ht="17.399999999999999" x14ac:dyDescent="0.25">
      <c r="A451" s="16"/>
      <c r="B451" s="17"/>
      <c r="C451" s="2"/>
      <c r="D451" s="2"/>
      <c r="E451" s="2"/>
      <c r="F451" s="2"/>
      <c r="G451" s="2"/>
      <c r="H451" s="2"/>
      <c r="I451" s="5"/>
    </row>
    <row r="452" spans="1:9" ht="17.399999999999999" x14ac:dyDescent="0.25">
      <c r="A452" s="16"/>
      <c r="B452" s="17"/>
      <c r="C452" s="2"/>
      <c r="D452" s="2"/>
      <c r="E452" s="2"/>
      <c r="F452" s="2"/>
      <c r="G452" s="2"/>
      <c r="H452" s="2"/>
      <c r="I452" s="5"/>
    </row>
    <row r="453" spans="1:9" ht="17.399999999999999" x14ac:dyDescent="0.25">
      <c r="A453" s="16"/>
      <c r="B453" s="17"/>
      <c r="C453" s="2"/>
      <c r="D453" s="2"/>
      <c r="E453" s="2"/>
      <c r="F453" s="2"/>
      <c r="G453" s="2"/>
      <c r="H453" s="2"/>
      <c r="I453" s="5"/>
    </row>
    <row r="454" spans="1:9" ht="17.399999999999999" x14ac:dyDescent="0.25">
      <c r="A454" s="16"/>
      <c r="B454" s="17"/>
      <c r="C454" s="2"/>
      <c r="D454" s="2"/>
      <c r="E454" s="2"/>
      <c r="F454" s="2"/>
      <c r="G454" s="2"/>
      <c r="H454" s="2"/>
      <c r="I454" s="5"/>
    </row>
    <row r="455" spans="1:9" ht="17.399999999999999" x14ac:dyDescent="0.25">
      <c r="A455" s="16"/>
      <c r="B455" s="17"/>
      <c r="C455" s="2"/>
      <c r="D455" s="2"/>
      <c r="E455" s="2"/>
      <c r="F455" s="2"/>
      <c r="G455" s="2"/>
      <c r="H455" s="2"/>
      <c r="I455" s="5"/>
    </row>
    <row r="456" spans="1:9" ht="17.399999999999999" x14ac:dyDescent="0.25">
      <c r="A456" s="16"/>
      <c r="B456" s="17"/>
      <c r="C456" s="2"/>
      <c r="D456" s="2"/>
      <c r="E456" s="2"/>
      <c r="F456" s="2"/>
      <c r="G456" s="2"/>
      <c r="H456" s="2"/>
      <c r="I456" s="5"/>
    </row>
    <row r="457" spans="1:9" ht="17.399999999999999" x14ac:dyDescent="0.25">
      <c r="A457" s="16"/>
      <c r="B457" s="17"/>
      <c r="C457" s="2"/>
      <c r="D457" s="2"/>
      <c r="E457" s="2"/>
      <c r="F457" s="2"/>
      <c r="G457" s="2"/>
      <c r="H457" s="2"/>
      <c r="I457" s="5"/>
    </row>
    <row r="458" spans="1:9" ht="17.399999999999999" x14ac:dyDescent="0.25">
      <c r="A458" s="16"/>
      <c r="B458" s="17"/>
      <c r="C458" s="2"/>
      <c r="D458" s="2"/>
      <c r="E458" s="2"/>
      <c r="F458" s="2"/>
      <c r="G458" s="2"/>
      <c r="H458" s="2"/>
      <c r="I458" s="5"/>
    </row>
    <row r="459" spans="1:9" ht="17.399999999999999" x14ac:dyDescent="0.25">
      <c r="A459" s="16"/>
      <c r="B459" s="17"/>
      <c r="C459" s="2"/>
      <c r="D459" s="2"/>
      <c r="E459" s="2"/>
      <c r="F459" s="2"/>
      <c r="G459" s="2"/>
      <c r="H459" s="2"/>
      <c r="I459" s="5"/>
    </row>
    <row r="460" spans="1:9" ht="17.399999999999999" x14ac:dyDescent="0.25">
      <c r="A460" s="16"/>
      <c r="B460" s="17"/>
      <c r="C460" s="2"/>
      <c r="D460" s="2"/>
      <c r="E460" s="2"/>
      <c r="F460" s="2"/>
      <c r="G460" s="2"/>
      <c r="H460" s="2"/>
      <c r="I460" s="5"/>
    </row>
    <row r="461" spans="1:9" ht="17.399999999999999" x14ac:dyDescent="0.25">
      <c r="A461" s="16"/>
      <c r="B461" s="17"/>
      <c r="C461" s="2"/>
      <c r="D461" s="2"/>
      <c r="E461" s="2"/>
      <c r="F461" s="2"/>
      <c r="G461" s="2"/>
      <c r="H461" s="2"/>
      <c r="I461" s="5"/>
    </row>
    <row r="462" spans="1:9" ht="17.399999999999999" x14ac:dyDescent="0.25">
      <c r="A462" s="16"/>
      <c r="B462" s="17"/>
      <c r="C462" s="2"/>
      <c r="D462" s="2"/>
      <c r="E462" s="2"/>
      <c r="F462" s="2"/>
      <c r="G462" s="2"/>
      <c r="H462" s="2"/>
      <c r="I462" s="5"/>
    </row>
    <row r="463" spans="1:9" ht="17.399999999999999" x14ac:dyDescent="0.25">
      <c r="A463" s="16"/>
      <c r="B463" s="17"/>
      <c r="C463" s="2"/>
      <c r="D463" s="2"/>
      <c r="E463" s="2"/>
      <c r="F463" s="2"/>
      <c r="G463" s="2"/>
      <c r="H463" s="2"/>
      <c r="I463" s="5"/>
    </row>
    <row r="464" spans="1:9" ht="17.399999999999999" x14ac:dyDescent="0.25">
      <c r="A464" s="16"/>
      <c r="B464" s="17"/>
      <c r="C464" s="2"/>
      <c r="D464" s="2"/>
      <c r="E464" s="2"/>
      <c r="F464" s="2"/>
      <c r="G464" s="2"/>
      <c r="H464" s="2"/>
      <c r="I464" s="5"/>
    </row>
    <row r="465" spans="1:9" ht="17.399999999999999" x14ac:dyDescent="0.25">
      <c r="A465" s="16"/>
      <c r="B465" s="17"/>
      <c r="C465" s="2"/>
      <c r="D465" s="2"/>
      <c r="E465" s="2"/>
      <c r="F465" s="2"/>
      <c r="G465" s="2"/>
      <c r="H465" s="2"/>
      <c r="I465" s="5"/>
    </row>
    <row r="466" spans="1:9" ht="17.399999999999999" x14ac:dyDescent="0.25">
      <c r="A466" s="16"/>
      <c r="B466" s="17"/>
      <c r="C466" s="2"/>
      <c r="D466" s="2"/>
      <c r="E466" s="2"/>
      <c r="F466" s="2"/>
      <c r="G466" s="2"/>
      <c r="H466" s="2"/>
      <c r="I466" s="5"/>
    </row>
    <row r="467" spans="1:9" ht="17.399999999999999" x14ac:dyDescent="0.25">
      <c r="A467" s="16"/>
      <c r="B467" s="17"/>
      <c r="C467" s="2"/>
      <c r="D467" s="2"/>
      <c r="E467" s="2"/>
      <c r="F467" s="2"/>
      <c r="G467" s="2"/>
      <c r="H467" s="2"/>
      <c r="I467" s="5"/>
    </row>
    <row r="468" spans="1:9" ht="17.399999999999999" x14ac:dyDescent="0.25">
      <c r="A468" s="16"/>
      <c r="B468" s="17"/>
      <c r="C468" s="2"/>
      <c r="D468" s="2"/>
      <c r="E468" s="2"/>
      <c r="F468" s="2"/>
      <c r="G468" s="2"/>
      <c r="H468" s="2"/>
      <c r="I468" s="5"/>
    </row>
    <row r="469" spans="1:9" ht="17.399999999999999" x14ac:dyDescent="0.25">
      <c r="A469" s="16"/>
      <c r="B469" s="17"/>
      <c r="C469" s="2"/>
      <c r="D469" s="2"/>
      <c r="E469" s="2"/>
      <c r="F469" s="2"/>
      <c r="G469" s="2"/>
      <c r="H469" s="2"/>
      <c r="I469" s="5"/>
    </row>
    <row r="470" spans="1:9" ht="17.399999999999999" x14ac:dyDescent="0.25">
      <c r="A470" s="16"/>
      <c r="B470" s="17"/>
      <c r="C470" s="2"/>
      <c r="D470" s="2"/>
      <c r="E470" s="2"/>
      <c r="F470" s="2"/>
      <c r="G470" s="2"/>
      <c r="H470" s="2"/>
      <c r="I470" s="5"/>
    </row>
    <row r="471" spans="1:9" ht="17.399999999999999" x14ac:dyDescent="0.25">
      <c r="A471" s="16"/>
      <c r="B471" s="17"/>
      <c r="C471" s="2"/>
      <c r="D471" s="2"/>
      <c r="E471" s="2"/>
      <c r="F471" s="2"/>
      <c r="G471" s="2"/>
      <c r="H471" s="2"/>
      <c r="I471" s="5"/>
    </row>
    <row r="472" spans="1:9" ht="17.399999999999999" x14ac:dyDescent="0.25">
      <c r="A472" s="16"/>
      <c r="B472" s="17"/>
      <c r="C472" s="2"/>
      <c r="D472" s="2"/>
      <c r="E472" s="2"/>
      <c r="F472" s="2"/>
      <c r="G472" s="2"/>
      <c r="H472" s="2"/>
      <c r="I472" s="5"/>
    </row>
    <row r="473" spans="1:9" ht="17.399999999999999" x14ac:dyDescent="0.25">
      <c r="A473" s="16"/>
      <c r="B473" s="17"/>
      <c r="C473" s="2"/>
      <c r="D473" s="2"/>
      <c r="E473" s="2"/>
      <c r="F473" s="2"/>
      <c r="G473" s="2"/>
      <c r="H473" s="2"/>
      <c r="I473" s="5"/>
    </row>
    <row r="474" spans="1:9" ht="17.399999999999999" x14ac:dyDescent="0.25">
      <c r="A474" s="16"/>
      <c r="B474" s="17"/>
      <c r="C474" s="2"/>
      <c r="D474" s="2"/>
      <c r="E474" s="2"/>
      <c r="F474" s="2"/>
      <c r="G474" s="2"/>
      <c r="H474" s="2"/>
      <c r="I474" s="5"/>
    </row>
    <row r="475" spans="1:9" ht="17.399999999999999" x14ac:dyDescent="0.25">
      <c r="A475" s="16"/>
      <c r="B475" s="17"/>
      <c r="C475" s="2"/>
      <c r="D475" s="2"/>
      <c r="E475" s="2"/>
      <c r="F475" s="2"/>
      <c r="G475" s="2"/>
      <c r="H475" s="2"/>
      <c r="I475" s="5"/>
    </row>
    <row r="476" spans="1:9" ht="17.399999999999999" x14ac:dyDescent="0.25">
      <c r="A476" s="16"/>
      <c r="B476" s="17"/>
      <c r="C476" s="2"/>
      <c r="D476" s="2"/>
      <c r="E476" s="2"/>
      <c r="F476" s="2"/>
      <c r="G476" s="2"/>
      <c r="H476" s="2"/>
      <c r="I476" s="5"/>
    </row>
    <row r="477" spans="1:9" ht="17.399999999999999" x14ac:dyDescent="0.25">
      <c r="A477" s="16"/>
      <c r="B477" s="17"/>
      <c r="C477" s="2"/>
      <c r="D477" s="2"/>
      <c r="E477" s="2"/>
      <c r="F477" s="2"/>
      <c r="G477" s="2"/>
      <c r="H477" s="2"/>
      <c r="I477" s="5"/>
    </row>
    <row r="478" spans="1:9" ht="17.399999999999999" x14ac:dyDescent="0.25">
      <c r="A478" s="16"/>
      <c r="B478" s="17"/>
      <c r="C478" s="2"/>
      <c r="D478" s="2"/>
      <c r="E478" s="2"/>
      <c r="F478" s="2"/>
      <c r="G478" s="2"/>
      <c r="H478" s="2"/>
      <c r="I478" s="5"/>
    </row>
    <row r="479" spans="1:9" ht="17.399999999999999" x14ac:dyDescent="0.25">
      <c r="A479" s="16"/>
      <c r="B479" s="17"/>
      <c r="C479" s="2"/>
      <c r="D479" s="2"/>
      <c r="E479" s="2"/>
      <c r="F479" s="2"/>
      <c r="G479" s="2"/>
      <c r="H479" s="2"/>
      <c r="I479" s="5"/>
    </row>
    <row r="480" spans="1:9" ht="17.399999999999999" x14ac:dyDescent="0.25">
      <c r="A480" s="16"/>
      <c r="B480" s="17"/>
      <c r="C480" s="2"/>
      <c r="D480" s="2"/>
      <c r="E480" s="2"/>
      <c r="F480" s="2"/>
      <c r="G480" s="2"/>
      <c r="H480" s="2"/>
      <c r="I480" s="5"/>
    </row>
    <row r="481" spans="1:9" ht="17.399999999999999" x14ac:dyDescent="0.25">
      <c r="A481" s="16"/>
      <c r="B481" s="17"/>
      <c r="C481" s="2"/>
      <c r="D481" s="2"/>
      <c r="E481" s="2"/>
      <c r="F481" s="2"/>
      <c r="G481" s="2"/>
      <c r="H481" s="2"/>
      <c r="I481" s="5"/>
    </row>
    <row r="482" spans="1:9" ht="17.399999999999999" x14ac:dyDescent="0.25">
      <c r="A482" s="16"/>
      <c r="B482" s="17"/>
      <c r="C482" s="2"/>
      <c r="D482" s="2"/>
      <c r="E482" s="2"/>
      <c r="F482" s="2"/>
      <c r="G482" s="2"/>
      <c r="H482" s="2"/>
      <c r="I482" s="5"/>
    </row>
    <row r="483" spans="1:9" ht="17.399999999999999" x14ac:dyDescent="0.25">
      <c r="A483" s="16"/>
      <c r="B483" s="17"/>
      <c r="C483" s="2"/>
      <c r="D483" s="2"/>
      <c r="E483" s="2"/>
      <c r="F483" s="2"/>
      <c r="G483" s="2"/>
      <c r="H483" s="2"/>
      <c r="I483" s="5"/>
    </row>
    <row r="484" spans="1:9" ht="17.399999999999999" x14ac:dyDescent="0.25">
      <c r="A484" s="16"/>
      <c r="B484" s="17"/>
      <c r="C484" s="2"/>
      <c r="D484" s="2"/>
      <c r="E484" s="2"/>
      <c r="F484" s="2"/>
      <c r="G484" s="2"/>
      <c r="H484" s="2"/>
      <c r="I484" s="5"/>
    </row>
    <row r="485" spans="1:9" ht="17.399999999999999" x14ac:dyDescent="0.25">
      <c r="A485" s="16"/>
      <c r="B485" s="17"/>
      <c r="C485" s="2"/>
      <c r="D485" s="2"/>
      <c r="E485" s="2"/>
      <c r="F485" s="2"/>
      <c r="G485" s="2"/>
      <c r="H485" s="2"/>
      <c r="I485" s="5"/>
    </row>
    <row r="486" spans="1:9" ht="17.399999999999999" x14ac:dyDescent="0.25">
      <c r="A486" s="16"/>
      <c r="B486" s="17"/>
      <c r="C486" s="2"/>
      <c r="D486" s="2"/>
      <c r="E486" s="2"/>
      <c r="F486" s="2"/>
      <c r="G486" s="2"/>
      <c r="H486" s="2"/>
      <c r="I486" s="5"/>
    </row>
    <row r="487" spans="1:9" ht="17.399999999999999" x14ac:dyDescent="0.25">
      <c r="A487" s="16"/>
      <c r="B487" s="17"/>
      <c r="C487" s="2"/>
      <c r="D487" s="2"/>
      <c r="E487" s="2"/>
      <c r="F487" s="2"/>
      <c r="G487" s="2"/>
      <c r="H487" s="2"/>
      <c r="I487" s="5"/>
    </row>
    <row r="488" spans="1:9" ht="17.399999999999999" x14ac:dyDescent="0.25">
      <c r="A488" s="16"/>
      <c r="B488" s="17"/>
      <c r="C488" s="2"/>
      <c r="D488" s="2"/>
      <c r="E488" s="2"/>
      <c r="F488" s="2"/>
      <c r="G488" s="2"/>
      <c r="H488" s="2"/>
      <c r="I488" s="5"/>
    </row>
    <row r="489" spans="1:9" ht="17.399999999999999" x14ac:dyDescent="0.25">
      <c r="A489" s="16"/>
      <c r="B489" s="17"/>
      <c r="C489" s="2"/>
      <c r="D489" s="2"/>
      <c r="E489" s="2"/>
      <c r="F489" s="2"/>
      <c r="G489" s="2"/>
      <c r="H489" s="2"/>
      <c r="I489" s="5"/>
    </row>
    <row r="490" spans="1:9" ht="17.399999999999999" x14ac:dyDescent="0.25">
      <c r="A490" s="16"/>
      <c r="B490" s="17"/>
      <c r="C490" s="2"/>
      <c r="D490" s="2"/>
      <c r="E490" s="2"/>
      <c r="F490" s="2"/>
      <c r="G490" s="2"/>
      <c r="H490" s="2"/>
      <c r="I490" s="5"/>
    </row>
    <row r="491" spans="1:9" ht="17.399999999999999" x14ac:dyDescent="0.25">
      <c r="A491" s="16"/>
      <c r="B491" s="17"/>
      <c r="C491" s="2"/>
      <c r="D491" s="2"/>
      <c r="E491" s="2"/>
      <c r="F491" s="2"/>
      <c r="G491" s="2"/>
      <c r="H491" s="2"/>
      <c r="I491" s="5"/>
    </row>
    <row r="492" spans="1:9" ht="17.399999999999999" x14ac:dyDescent="0.25">
      <c r="A492" s="16"/>
      <c r="B492" s="17"/>
      <c r="C492" s="2"/>
      <c r="D492" s="2"/>
      <c r="E492" s="2"/>
      <c r="F492" s="2"/>
      <c r="G492" s="2"/>
      <c r="H492" s="2"/>
      <c r="I492" s="5"/>
    </row>
    <row r="493" spans="1:9" ht="17.399999999999999" x14ac:dyDescent="0.25">
      <c r="A493" s="16"/>
      <c r="B493" s="17"/>
      <c r="C493" s="2"/>
      <c r="D493" s="2"/>
      <c r="E493" s="2"/>
      <c r="F493" s="2"/>
      <c r="G493" s="2"/>
      <c r="H493" s="2"/>
      <c r="I493" s="5"/>
    </row>
    <row r="494" spans="1:9" ht="17.399999999999999" x14ac:dyDescent="0.25">
      <c r="A494" s="16"/>
      <c r="B494" s="17"/>
      <c r="C494" s="2"/>
      <c r="D494" s="2"/>
      <c r="E494" s="2"/>
      <c r="F494" s="2"/>
      <c r="G494" s="2"/>
      <c r="H494" s="2"/>
      <c r="I494" s="5"/>
    </row>
    <row r="495" spans="1:9" ht="17.399999999999999" x14ac:dyDescent="0.25">
      <c r="A495" s="16"/>
      <c r="B495" s="17"/>
      <c r="C495" s="2"/>
      <c r="D495" s="2"/>
      <c r="E495" s="2"/>
      <c r="F495" s="2"/>
      <c r="G495" s="2"/>
      <c r="H495" s="2"/>
      <c r="I495" s="5"/>
    </row>
    <row r="496" spans="1:9" ht="17.399999999999999" x14ac:dyDescent="0.25">
      <c r="A496" s="16"/>
      <c r="B496" s="17"/>
      <c r="C496" s="2"/>
      <c r="D496" s="2"/>
      <c r="E496" s="2"/>
      <c r="F496" s="2"/>
      <c r="G496" s="2"/>
      <c r="H496" s="2"/>
      <c r="I496" s="5"/>
    </row>
    <row r="497" spans="1:9" ht="17.399999999999999" x14ac:dyDescent="0.25">
      <c r="A497" s="16"/>
      <c r="B497" s="17"/>
      <c r="C497" s="2"/>
      <c r="D497" s="2"/>
      <c r="E497" s="2"/>
      <c r="F497" s="2"/>
      <c r="G497" s="2"/>
      <c r="H497" s="2"/>
      <c r="I497" s="5"/>
    </row>
    <row r="498" spans="1:9" ht="17.399999999999999" x14ac:dyDescent="0.25">
      <c r="A498" s="16"/>
      <c r="B498" s="17"/>
      <c r="C498" s="2"/>
      <c r="D498" s="2"/>
      <c r="E498" s="2"/>
      <c r="F498" s="2"/>
      <c r="G498" s="2"/>
      <c r="H498" s="2"/>
      <c r="I498" s="5"/>
    </row>
    <row r="499" spans="1:9" ht="17.399999999999999" x14ac:dyDescent="0.25">
      <c r="A499" s="16"/>
      <c r="B499" s="17"/>
      <c r="C499" s="2"/>
      <c r="D499" s="2"/>
      <c r="E499" s="2"/>
      <c r="F499" s="2"/>
      <c r="G499" s="2"/>
      <c r="H499" s="2"/>
      <c r="I499" s="5"/>
    </row>
    <row r="500" spans="1:9" ht="17.399999999999999" x14ac:dyDescent="0.25">
      <c r="A500" s="16"/>
      <c r="B500" s="17"/>
      <c r="C500" s="2"/>
      <c r="D500" s="2"/>
      <c r="E500" s="2"/>
      <c r="F500" s="2"/>
      <c r="G500" s="2"/>
      <c r="H500" s="2"/>
      <c r="I500" s="5"/>
    </row>
    <row r="501" spans="1:9" ht="17.399999999999999" x14ac:dyDescent="0.25">
      <c r="A501" s="16"/>
      <c r="B501" s="17"/>
      <c r="C501" s="2"/>
      <c r="D501" s="2"/>
      <c r="E501" s="2"/>
      <c r="F501" s="2"/>
      <c r="G501" s="2"/>
      <c r="H501" s="2"/>
      <c r="I501" s="5"/>
    </row>
    <row r="502" spans="1:9" ht="17.399999999999999" x14ac:dyDescent="0.25">
      <c r="A502" s="16"/>
      <c r="B502" s="17"/>
      <c r="C502" s="2"/>
      <c r="D502" s="2"/>
      <c r="E502" s="2"/>
      <c r="F502" s="2"/>
      <c r="G502" s="2"/>
      <c r="H502" s="2"/>
      <c r="I502" s="5"/>
    </row>
    <row r="503" spans="1:9" ht="17.399999999999999" x14ac:dyDescent="0.25">
      <c r="A503" s="16"/>
      <c r="B503" s="17"/>
      <c r="C503" s="2"/>
      <c r="D503" s="2"/>
      <c r="E503" s="2"/>
      <c r="F503" s="2"/>
      <c r="G503" s="2"/>
      <c r="H503" s="2"/>
      <c r="I503" s="5"/>
    </row>
    <row r="504" spans="1:9" ht="17.399999999999999" x14ac:dyDescent="0.25">
      <c r="A504" s="16"/>
      <c r="B504" s="17"/>
      <c r="C504" s="2"/>
      <c r="D504" s="2"/>
      <c r="E504" s="2"/>
      <c r="F504" s="2"/>
      <c r="G504" s="2"/>
      <c r="H504" s="2"/>
      <c r="I504" s="5"/>
    </row>
    <row r="505" spans="1:9" ht="17.399999999999999" x14ac:dyDescent="0.25">
      <c r="A505" s="16"/>
      <c r="B505" s="17"/>
      <c r="C505" s="2"/>
      <c r="D505" s="2"/>
      <c r="E505" s="2"/>
      <c r="F505" s="2"/>
      <c r="G505" s="2"/>
      <c r="H505" s="2"/>
      <c r="I505" s="5"/>
    </row>
    <row r="506" spans="1:9" ht="17.399999999999999" x14ac:dyDescent="0.25">
      <c r="A506" s="16"/>
      <c r="B506" s="17"/>
      <c r="C506" s="2"/>
      <c r="D506" s="2"/>
      <c r="E506" s="2"/>
      <c r="F506" s="2"/>
      <c r="G506" s="2"/>
      <c r="H506" s="2"/>
      <c r="I506" s="5"/>
    </row>
    <row r="507" spans="1:9" ht="17.399999999999999" x14ac:dyDescent="0.25">
      <c r="A507" s="16"/>
      <c r="B507" s="17"/>
      <c r="C507" s="2"/>
      <c r="D507" s="2"/>
      <c r="E507" s="2"/>
      <c r="F507" s="2"/>
      <c r="G507" s="2"/>
      <c r="H507" s="2"/>
      <c r="I507" s="5"/>
    </row>
    <row r="508" spans="1:9" ht="17.399999999999999" x14ac:dyDescent="0.25">
      <c r="A508" s="16"/>
      <c r="B508" s="17"/>
      <c r="C508" s="2"/>
      <c r="D508" s="2"/>
      <c r="E508" s="2"/>
      <c r="F508" s="2"/>
      <c r="G508" s="2"/>
      <c r="H508" s="2"/>
      <c r="I508" s="5"/>
    </row>
    <row r="509" spans="1:9" ht="17.399999999999999" x14ac:dyDescent="0.25">
      <c r="A509" s="16"/>
      <c r="B509" s="17"/>
      <c r="C509" s="2"/>
      <c r="D509" s="2"/>
      <c r="E509" s="2"/>
      <c r="F509" s="2"/>
      <c r="G509" s="2"/>
      <c r="H509" s="2"/>
      <c r="I509" s="5"/>
    </row>
    <row r="510" spans="1:9" ht="17.399999999999999" x14ac:dyDescent="0.25">
      <c r="A510" s="16"/>
      <c r="B510" s="17"/>
      <c r="C510" s="2"/>
      <c r="D510" s="2"/>
      <c r="E510" s="2"/>
      <c r="F510" s="2"/>
      <c r="G510" s="2"/>
      <c r="H510" s="2"/>
      <c r="I510" s="5"/>
    </row>
    <row r="511" spans="1:9" ht="17.399999999999999" x14ac:dyDescent="0.25">
      <c r="A511" s="16"/>
      <c r="B511" s="17"/>
      <c r="C511" s="2"/>
      <c r="D511" s="2"/>
      <c r="E511" s="2"/>
      <c r="F511" s="2"/>
      <c r="G511" s="2"/>
      <c r="H511" s="2"/>
      <c r="I511" s="5"/>
    </row>
    <row r="512" spans="1:9" ht="17.399999999999999" x14ac:dyDescent="0.25">
      <c r="A512" s="16"/>
      <c r="B512" s="17"/>
      <c r="C512" s="2"/>
      <c r="D512" s="2"/>
      <c r="E512" s="2"/>
      <c r="F512" s="2"/>
      <c r="G512" s="2"/>
      <c r="H512" s="2"/>
      <c r="I512" s="5"/>
    </row>
    <row r="513" spans="1:9" ht="17.399999999999999" x14ac:dyDescent="0.25">
      <c r="A513" s="16"/>
      <c r="B513" s="17"/>
      <c r="C513" s="2"/>
      <c r="D513" s="2"/>
      <c r="E513" s="2"/>
      <c r="F513" s="2"/>
      <c r="G513" s="2"/>
      <c r="H513" s="2"/>
      <c r="I513" s="5"/>
    </row>
    <row r="514" spans="1:9" ht="17.399999999999999" x14ac:dyDescent="0.25">
      <c r="A514" s="16"/>
      <c r="B514" s="17"/>
      <c r="C514" s="2"/>
      <c r="D514" s="2"/>
      <c r="E514" s="2"/>
      <c r="F514" s="2"/>
      <c r="G514" s="2"/>
      <c r="H514" s="2"/>
      <c r="I514" s="5"/>
    </row>
    <row r="515" spans="1:9" ht="17.399999999999999" x14ac:dyDescent="0.25">
      <c r="A515" s="16"/>
      <c r="B515" s="17"/>
      <c r="C515" s="2"/>
      <c r="D515" s="2"/>
      <c r="E515" s="2"/>
      <c r="F515" s="2"/>
      <c r="G515" s="2"/>
      <c r="H515" s="2"/>
      <c r="I515" s="5"/>
    </row>
    <row r="516" spans="1:9" ht="17.399999999999999" x14ac:dyDescent="0.25">
      <c r="A516" s="16"/>
      <c r="B516" s="17"/>
      <c r="C516" s="2"/>
      <c r="D516" s="2"/>
      <c r="E516" s="2"/>
      <c r="F516" s="2"/>
      <c r="G516" s="2"/>
      <c r="H516" s="2"/>
      <c r="I516" s="5"/>
    </row>
    <row r="517" spans="1:9" ht="17.399999999999999" x14ac:dyDescent="0.25">
      <c r="A517" s="16"/>
      <c r="B517" s="17"/>
      <c r="C517" s="2"/>
      <c r="D517" s="2"/>
      <c r="E517" s="2"/>
      <c r="F517" s="2"/>
      <c r="G517" s="2"/>
      <c r="H517" s="2"/>
      <c r="I517" s="5"/>
    </row>
    <row r="518" spans="1:9" ht="17.399999999999999" x14ac:dyDescent="0.25">
      <c r="A518" s="16"/>
      <c r="B518" s="17"/>
      <c r="C518" s="2"/>
      <c r="D518" s="2"/>
      <c r="E518" s="2"/>
      <c r="F518" s="2"/>
      <c r="G518" s="2"/>
      <c r="H518" s="2"/>
      <c r="I518" s="5"/>
    </row>
    <row r="519" spans="1:9" ht="17.399999999999999" x14ac:dyDescent="0.25">
      <c r="A519" s="16"/>
      <c r="B519" s="17"/>
      <c r="C519" s="2"/>
      <c r="D519" s="2"/>
      <c r="E519" s="2"/>
      <c r="F519" s="2"/>
      <c r="G519" s="2"/>
      <c r="H519" s="2"/>
      <c r="I519" s="5"/>
    </row>
    <row r="520" spans="1:9" ht="17.399999999999999" x14ac:dyDescent="0.25">
      <c r="A520" s="16"/>
      <c r="B520" s="17"/>
      <c r="C520" s="2"/>
      <c r="D520" s="2"/>
      <c r="E520" s="2"/>
      <c r="F520" s="2"/>
      <c r="G520" s="2"/>
      <c r="H520" s="2"/>
      <c r="I520" s="5"/>
    </row>
    <row r="521" spans="1:9" ht="17.399999999999999" x14ac:dyDescent="0.25">
      <c r="A521" s="16"/>
      <c r="B521" s="17"/>
      <c r="C521" s="2"/>
      <c r="D521" s="2"/>
      <c r="E521" s="2"/>
      <c r="F521" s="2"/>
      <c r="G521" s="2"/>
      <c r="H521" s="2"/>
      <c r="I521" s="5"/>
    </row>
    <row r="522" spans="1:9" ht="17.399999999999999" x14ac:dyDescent="0.25">
      <c r="A522" s="16"/>
      <c r="B522" s="17"/>
      <c r="C522" s="2"/>
      <c r="D522" s="2"/>
      <c r="E522" s="2"/>
      <c r="F522" s="2"/>
      <c r="G522" s="2"/>
      <c r="H522" s="2"/>
      <c r="I522" s="5"/>
    </row>
    <row r="523" spans="1:9" ht="17.399999999999999" x14ac:dyDescent="0.25">
      <c r="A523" s="16"/>
      <c r="B523" s="17"/>
      <c r="C523" s="2"/>
      <c r="D523" s="2"/>
      <c r="E523" s="2"/>
      <c r="F523" s="2"/>
      <c r="G523" s="2"/>
      <c r="H523" s="2"/>
      <c r="I523" s="5"/>
    </row>
    <row r="524" spans="1:9" ht="17.399999999999999" x14ac:dyDescent="0.25">
      <c r="A524" s="16"/>
      <c r="B524" s="17"/>
      <c r="C524" s="2"/>
      <c r="D524" s="2"/>
      <c r="E524" s="2"/>
      <c r="F524" s="2"/>
      <c r="G524" s="2"/>
      <c r="H524" s="2"/>
      <c r="I524" s="5"/>
    </row>
    <row r="525" spans="1:9" ht="17.399999999999999" x14ac:dyDescent="0.25">
      <c r="A525" s="16"/>
      <c r="B525" s="17"/>
      <c r="C525" s="2"/>
      <c r="D525" s="2"/>
      <c r="E525" s="2"/>
      <c r="F525" s="2"/>
      <c r="G525" s="2"/>
      <c r="H525" s="2"/>
      <c r="I525" s="5"/>
    </row>
    <row r="526" spans="1:9" ht="17.399999999999999" x14ac:dyDescent="0.25">
      <c r="A526" s="16"/>
      <c r="B526" s="17"/>
      <c r="C526" s="2"/>
      <c r="D526" s="2"/>
      <c r="E526" s="2"/>
      <c r="F526" s="2"/>
      <c r="G526" s="2"/>
      <c r="H526" s="2"/>
      <c r="I526" s="5"/>
    </row>
    <row r="527" spans="1:9" ht="17.399999999999999" x14ac:dyDescent="0.25">
      <c r="A527" s="16"/>
      <c r="B527" s="17"/>
      <c r="C527" s="2"/>
      <c r="D527" s="2"/>
      <c r="E527" s="2"/>
      <c r="F527" s="2"/>
      <c r="G527" s="2"/>
      <c r="H527" s="2"/>
      <c r="I527" s="5"/>
    </row>
    <row r="528" spans="1:9" ht="17.399999999999999" x14ac:dyDescent="0.25">
      <c r="A528" s="16"/>
      <c r="B528" s="17"/>
      <c r="C528" s="2"/>
      <c r="D528" s="2"/>
      <c r="E528" s="2"/>
      <c r="F528" s="2"/>
      <c r="G528" s="2"/>
      <c r="H528" s="2"/>
      <c r="I528" s="5"/>
    </row>
    <row r="529" spans="1:9" ht="17.399999999999999" x14ac:dyDescent="0.25">
      <c r="A529" s="16"/>
      <c r="B529" s="17"/>
      <c r="C529" s="2"/>
      <c r="D529" s="2"/>
      <c r="E529" s="2"/>
      <c r="F529" s="2"/>
      <c r="G529" s="2"/>
      <c r="H529" s="2"/>
      <c r="I529" s="5"/>
    </row>
    <row r="530" spans="1:9" ht="17.399999999999999" x14ac:dyDescent="0.25">
      <c r="A530" s="16"/>
      <c r="B530" s="17"/>
      <c r="C530" s="2"/>
      <c r="D530" s="2"/>
      <c r="E530" s="2"/>
      <c r="F530" s="2"/>
      <c r="G530" s="2"/>
      <c r="H530" s="2"/>
      <c r="I530" s="5"/>
    </row>
    <row r="531" spans="1:9" ht="17.399999999999999" x14ac:dyDescent="0.25">
      <c r="A531" s="16"/>
      <c r="B531" s="17"/>
      <c r="C531" s="2"/>
      <c r="D531" s="2"/>
      <c r="E531" s="2"/>
      <c r="F531" s="2"/>
      <c r="G531" s="2"/>
      <c r="H531" s="2"/>
      <c r="I531" s="5"/>
    </row>
    <row r="532" spans="1:9" ht="17.399999999999999" x14ac:dyDescent="0.25">
      <c r="A532" s="16"/>
      <c r="B532" s="17"/>
      <c r="C532" s="2"/>
      <c r="D532" s="2"/>
      <c r="E532" s="2"/>
      <c r="F532" s="2"/>
      <c r="G532" s="2"/>
      <c r="H532" s="2"/>
      <c r="I532" s="5"/>
    </row>
    <row r="533" spans="1:9" ht="17.399999999999999" x14ac:dyDescent="0.25">
      <c r="A533" s="16"/>
      <c r="B533" s="17"/>
      <c r="C533" s="2"/>
      <c r="D533" s="2"/>
      <c r="E533" s="2"/>
      <c r="F533" s="2"/>
      <c r="G533" s="2"/>
      <c r="H533" s="2"/>
      <c r="I533" s="5"/>
    </row>
    <row r="534" spans="1:9" ht="17.399999999999999" x14ac:dyDescent="0.25">
      <c r="A534" s="16"/>
      <c r="B534" s="17"/>
      <c r="C534" s="2"/>
      <c r="D534" s="2"/>
      <c r="E534" s="2"/>
      <c r="F534" s="2"/>
      <c r="G534" s="2"/>
      <c r="H534" s="2"/>
      <c r="I534" s="5"/>
    </row>
    <row r="535" spans="1:9" ht="17.399999999999999" x14ac:dyDescent="0.25">
      <c r="A535" s="16"/>
      <c r="B535" s="17"/>
      <c r="C535" s="2"/>
      <c r="D535" s="2"/>
      <c r="E535" s="2"/>
      <c r="F535" s="2"/>
      <c r="G535" s="2"/>
      <c r="H535" s="2"/>
      <c r="I535" s="5"/>
    </row>
    <row r="536" spans="1:9" ht="17.399999999999999" x14ac:dyDescent="0.25">
      <c r="A536" s="16"/>
      <c r="B536" s="17"/>
      <c r="C536" s="2"/>
      <c r="D536" s="2"/>
      <c r="E536" s="2"/>
      <c r="F536" s="2"/>
      <c r="G536" s="2"/>
      <c r="H536" s="2"/>
      <c r="I536" s="5"/>
    </row>
    <row r="537" spans="1:9" ht="17.399999999999999" x14ac:dyDescent="0.25">
      <c r="A537" s="16"/>
      <c r="B537" s="17"/>
      <c r="C537" s="2"/>
      <c r="D537" s="2"/>
      <c r="E537" s="2"/>
      <c r="F537" s="2"/>
      <c r="G537" s="2"/>
      <c r="H537" s="2"/>
      <c r="I537" s="5"/>
    </row>
    <row r="538" spans="1:9" ht="17.399999999999999" x14ac:dyDescent="0.25">
      <c r="A538" s="16"/>
      <c r="B538" s="17"/>
      <c r="C538" s="2"/>
      <c r="D538" s="2"/>
      <c r="E538" s="2"/>
      <c r="F538" s="2"/>
      <c r="G538" s="2"/>
      <c r="H538" s="2"/>
      <c r="I538" s="5"/>
    </row>
    <row r="539" spans="1:9" ht="17.399999999999999" x14ac:dyDescent="0.25">
      <c r="A539" s="16"/>
      <c r="B539" s="17"/>
      <c r="C539" s="2"/>
      <c r="D539" s="2"/>
      <c r="E539" s="2"/>
      <c r="F539" s="2"/>
      <c r="G539" s="2"/>
      <c r="H539" s="2"/>
      <c r="I539" s="5"/>
    </row>
    <row r="540" spans="1:9" ht="17.399999999999999" x14ac:dyDescent="0.25">
      <c r="A540" s="16"/>
      <c r="B540" s="17"/>
      <c r="C540" s="2"/>
      <c r="D540" s="2"/>
      <c r="E540" s="2"/>
      <c r="F540" s="2"/>
      <c r="G540" s="2"/>
      <c r="H540" s="2"/>
      <c r="I540" s="5"/>
    </row>
    <row r="541" spans="1:9" ht="17.399999999999999" x14ac:dyDescent="0.25">
      <c r="A541" s="16"/>
      <c r="B541" s="17"/>
      <c r="C541" s="2"/>
      <c r="D541" s="2"/>
      <c r="E541" s="2"/>
      <c r="F541" s="2"/>
      <c r="G541" s="2"/>
      <c r="H541" s="2"/>
      <c r="I541" s="5"/>
    </row>
    <row r="542" spans="1:9" ht="17.399999999999999" x14ac:dyDescent="0.25">
      <c r="A542" s="16"/>
      <c r="B542" s="17"/>
      <c r="C542" s="2"/>
      <c r="D542" s="2"/>
      <c r="E542" s="2"/>
      <c r="F542" s="2"/>
      <c r="G542" s="2"/>
      <c r="H542" s="2"/>
      <c r="I542" s="5"/>
    </row>
    <row r="543" spans="1:9" ht="17.399999999999999" x14ac:dyDescent="0.25">
      <c r="A543" s="16"/>
      <c r="B543" s="17"/>
      <c r="C543" s="2"/>
      <c r="D543" s="2"/>
      <c r="E543" s="2"/>
      <c r="F543" s="2"/>
      <c r="G543" s="2"/>
      <c r="H543" s="2"/>
      <c r="I543" s="5"/>
    </row>
    <row r="544" spans="1:9" ht="17.399999999999999" x14ac:dyDescent="0.25">
      <c r="A544" s="16"/>
      <c r="B544" s="17"/>
      <c r="C544" s="2"/>
      <c r="D544" s="2"/>
      <c r="E544" s="2"/>
      <c r="F544" s="2"/>
      <c r="G544" s="2"/>
      <c r="H544" s="2"/>
      <c r="I544" s="5"/>
    </row>
    <row r="545" spans="1:9" ht="17.399999999999999" x14ac:dyDescent="0.25">
      <c r="A545" s="16"/>
      <c r="B545" s="17"/>
      <c r="C545" s="2"/>
      <c r="D545" s="2"/>
      <c r="E545" s="2"/>
      <c r="F545" s="2"/>
      <c r="G545" s="2"/>
      <c r="H545" s="2"/>
      <c r="I545" s="5"/>
    </row>
    <row r="546" spans="1:9" ht="17.399999999999999" x14ac:dyDescent="0.25">
      <c r="A546" s="16"/>
      <c r="B546" s="17"/>
      <c r="C546" s="2"/>
      <c r="D546" s="2"/>
      <c r="E546" s="2"/>
      <c r="F546" s="2"/>
      <c r="G546" s="2"/>
      <c r="H546" s="2"/>
      <c r="I546" s="5"/>
    </row>
    <row r="547" spans="1:9" ht="17.399999999999999" x14ac:dyDescent="0.25">
      <c r="A547" s="16"/>
      <c r="B547" s="17"/>
      <c r="C547" s="2"/>
      <c r="D547" s="2"/>
      <c r="E547" s="2"/>
      <c r="F547" s="2"/>
      <c r="G547" s="2"/>
      <c r="H547" s="2"/>
      <c r="I547" s="5"/>
    </row>
    <row r="548" spans="1:9" ht="17.399999999999999" x14ac:dyDescent="0.25">
      <c r="A548" s="16"/>
      <c r="B548" s="17"/>
      <c r="C548" s="2"/>
      <c r="D548" s="2"/>
      <c r="E548" s="2"/>
      <c r="F548" s="2"/>
      <c r="G548" s="2"/>
      <c r="H548" s="2"/>
      <c r="I548" s="5"/>
    </row>
    <row r="549" spans="1:9" ht="17.399999999999999" x14ac:dyDescent="0.25">
      <c r="A549" s="16"/>
      <c r="B549" s="17"/>
      <c r="C549" s="2"/>
      <c r="D549" s="2"/>
      <c r="E549" s="2"/>
      <c r="F549" s="2"/>
      <c r="G549" s="2"/>
      <c r="H549" s="2"/>
      <c r="I549" s="5"/>
    </row>
    <row r="550" spans="1:9" ht="17.399999999999999" x14ac:dyDescent="0.25">
      <c r="A550" s="16"/>
      <c r="B550" s="17"/>
      <c r="C550" s="2"/>
      <c r="D550" s="2"/>
      <c r="E550" s="2"/>
      <c r="F550" s="2"/>
      <c r="G550" s="2"/>
      <c r="H550" s="2"/>
      <c r="I550" s="5"/>
    </row>
    <row r="551" spans="1:9" ht="17.399999999999999" x14ac:dyDescent="0.25">
      <c r="A551" s="16"/>
      <c r="B551" s="17"/>
      <c r="C551" s="2"/>
      <c r="D551" s="2"/>
      <c r="E551" s="2"/>
      <c r="F551" s="2"/>
      <c r="G551" s="2"/>
      <c r="H551" s="2"/>
      <c r="I551" s="5"/>
    </row>
    <row r="552" spans="1:9" ht="17.399999999999999" x14ac:dyDescent="0.25">
      <c r="A552" s="16"/>
      <c r="B552" s="17"/>
      <c r="C552" s="2"/>
      <c r="D552" s="2"/>
      <c r="E552" s="2"/>
      <c r="F552" s="2"/>
      <c r="G552" s="2"/>
      <c r="H552" s="2"/>
      <c r="I552" s="5"/>
    </row>
    <row r="553" spans="1:9" ht="17.399999999999999" x14ac:dyDescent="0.25">
      <c r="A553" s="16"/>
      <c r="B553" s="17"/>
      <c r="C553" s="2"/>
      <c r="D553" s="2"/>
      <c r="E553" s="2"/>
      <c r="F553" s="2"/>
      <c r="G553" s="2"/>
      <c r="H553" s="2"/>
      <c r="I553" s="5"/>
    </row>
    <row r="554" spans="1:9" ht="17.399999999999999" x14ac:dyDescent="0.25">
      <c r="A554" s="16"/>
      <c r="B554" s="17"/>
      <c r="C554" s="2"/>
      <c r="D554" s="2"/>
      <c r="E554" s="2"/>
      <c r="F554" s="2"/>
      <c r="G554" s="2"/>
      <c r="H554" s="2"/>
      <c r="I554" s="5"/>
    </row>
    <row r="555" spans="1:9" ht="17.399999999999999" x14ac:dyDescent="0.25">
      <c r="A555" s="16"/>
      <c r="B555" s="17"/>
      <c r="C555" s="2"/>
      <c r="D555" s="2"/>
      <c r="E555" s="2"/>
      <c r="F555" s="2"/>
      <c r="G555" s="2"/>
      <c r="H555" s="2"/>
      <c r="I555" s="5"/>
    </row>
    <row r="556" spans="1:9" ht="17.399999999999999" x14ac:dyDescent="0.25">
      <c r="A556" s="16"/>
      <c r="B556" s="17"/>
      <c r="C556" s="2"/>
      <c r="D556" s="2"/>
      <c r="E556" s="2"/>
      <c r="F556" s="2"/>
      <c r="G556" s="2"/>
      <c r="H556" s="2"/>
      <c r="I556" s="5"/>
    </row>
    <row r="557" spans="1:9" ht="17.399999999999999" x14ac:dyDescent="0.25">
      <c r="A557" s="16"/>
      <c r="B557" s="17"/>
      <c r="C557" s="2"/>
      <c r="D557" s="2"/>
      <c r="E557" s="2"/>
      <c r="F557" s="2"/>
      <c r="G557" s="2"/>
      <c r="H557" s="2"/>
      <c r="I557" s="5"/>
    </row>
    <row r="558" spans="1:9" ht="17.399999999999999" x14ac:dyDescent="0.25">
      <c r="A558" s="16"/>
      <c r="B558" s="17"/>
      <c r="C558" s="2"/>
      <c r="D558" s="2"/>
      <c r="E558" s="2"/>
      <c r="F558" s="2"/>
      <c r="G558" s="2"/>
      <c r="H558" s="2"/>
      <c r="I558" s="5"/>
    </row>
    <row r="559" spans="1:9" ht="17.399999999999999" x14ac:dyDescent="0.25">
      <c r="A559" s="16"/>
      <c r="B559" s="17"/>
      <c r="C559" s="2"/>
      <c r="D559" s="2"/>
      <c r="E559" s="2"/>
      <c r="F559" s="2"/>
      <c r="G559" s="2"/>
      <c r="H559" s="2"/>
      <c r="I559" s="5"/>
    </row>
    <row r="560" spans="1:9" ht="17.399999999999999" x14ac:dyDescent="0.25">
      <c r="A560" s="16"/>
      <c r="B560" s="17"/>
      <c r="C560" s="2"/>
      <c r="D560" s="2"/>
      <c r="E560" s="2"/>
      <c r="F560" s="2"/>
      <c r="G560" s="2"/>
      <c r="H560" s="2"/>
      <c r="I560" s="5"/>
    </row>
    <row r="561" spans="1:9" ht="17.399999999999999" x14ac:dyDescent="0.25">
      <c r="A561" s="16"/>
      <c r="B561" s="17"/>
      <c r="C561" s="2"/>
      <c r="D561" s="2"/>
      <c r="E561" s="2"/>
      <c r="F561" s="2"/>
      <c r="G561" s="2"/>
      <c r="H561" s="2"/>
      <c r="I561" s="5"/>
    </row>
    <row r="562" spans="1:9" ht="17.399999999999999" x14ac:dyDescent="0.25">
      <c r="A562" s="16"/>
      <c r="B562" s="17"/>
      <c r="C562" s="2"/>
      <c r="D562" s="2"/>
      <c r="E562" s="2"/>
      <c r="F562" s="2"/>
      <c r="G562" s="2"/>
      <c r="H562" s="2"/>
      <c r="I562" s="5"/>
    </row>
    <row r="563" spans="1:9" ht="17.399999999999999" x14ac:dyDescent="0.25">
      <c r="A563" s="16"/>
      <c r="B563" s="17"/>
      <c r="C563" s="2"/>
      <c r="D563" s="2"/>
      <c r="E563" s="2"/>
      <c r="F563" s="2"/>
      <c r="G563" s="2"/>
      <c r="H563" s="2"/>
      <c r="I563" s="5"/>
    </row>
    <row r="564" spans="1:9" ht="17.399999999999999" x14ac:dyDescent="0.25">
      <c r="A564" s="16"/>
      <c r="B564" s="17"/>
      <c r="C564" s="2"/>
      <c r="D564" s="2"/>
      <c r="E564" s="2"/>
      <c r="F564" s="2"/>
      <c r="G564" s="2"/>
      <c r="H564" s="2"/>
      <c r="I564" s="5"/>
    </row>
    <row r="565" spans="1:9" ht="17.399999999999999" x14ac:dyDescent="0.25">
      <c r="A565" s="16"/>
      <c r="B565" s="17"/>
      <c r="C565" s="2"/>
      <c r="D565" s="2"/>
      <c r="E565" s="2"/>
      <c r="F565" s="2"/>
      <c r="G565" s="2"/>
      <c r="H565" s="2"/>
      <c r="I565" s="5"/>
    </row>
    <row r="566" spans="1:9" ht="17.399999999999999" x14ac:dyDescent="0.25">
      <c r="A566" s="16"/>
      <c r="B566" s="17"/>
      <c r="C566" s="2"/>
      <c r="D566" s="2"/>
      <c r="E566" s="2"/>
      <c r="F566" s="2"/>
      <c r="G566" s="2"/>
      <c r="H566" s="2"/>
      <c r="I566" s="5"/>
    </row>
    <row r="567" spans="1:9" ht="17.399999999999999" x14ac:dyDescent="0.25">
      <c r="A567" s="16"/>
      <c r="B567" s="17"/>
      <c r="C567" s="2"/>
      <c r="D567" s="2"/>
      <c r="E567" s="2"/>
      <c r="F567" s="2"/>
      <c r="G567" s="2"/>
      <c r="H567" s="2"/>
      <c r="I567" s="5"/>
    </row>
    <row r="568" spans="1:9" ht="17.399999999999999" x14ac:dyDescent="0.25">
      <c r="A568" s="16"/>
      <c r="B568" s="17"/>
      <c r="C568" s="2"/>
      <c r="D568" s="2"/>
      <c r="E568" s="2"/>
      <c r="F568" s="2"/>
      <c r="G568" s="2"/>
      <c r="H568" s="2"/>
      <c r="I568" s="5"/>
    </row>
    <row r="569" spans="1:9" ht="17.399999999999999" x14ac:dyDescent="0.25">
      <c r="A569" s="16"/>
      <c r="B569" s="17"/>
      <c r="C569" s="2"/>
      <c r="D569" s="2"/>
      <c r="E569" s="2"/>
      <c r="F569" s="2"/>
      <c r="G569" s="2"/>
      <c r="H569" s="2"/>
      <c r="I569" s="5"/>
    </row>
    <row r="570" spans="1:9" ht="17.399999999999999" x14ac:dyDescent="0.25">
      <c r="A570" s="16"/>
      <c r="B570" s="17"/>
      <c r="C570" s="2"/>
      <c r="D570" s="2"/>
      <c r="E570" s="2"/>
      <c r="F570" s="2"/>
      <c r="G570" s="2"/>
      <c r="H570" s="2"/>
      <c r="I570" s="5"/>
    </row>
    <row r="571" spans="1:9" ht="17.399999999999999" x14ac:dyDescent="0.25">
      <c r="A571" s="16"/>
      <c r="B571" s="17"/>
      <c r="C571" s="2"/>
      <c r="D571" s="2"/>
      <c r="E571" s="2"/>
      <c r="F571" s="2"/>
      <c r="G571" s="2"/>
      <c r="H571" s="2"/>
      <c r="I571" s="5"/>
    </row>
    <row r="572" spans="1:9" ht="17.399999999999999" x14ac:dyDescent="0.25">
      <c r="A572" s="16"/>
      <c r="B572" s="17"/>
      <c r="C572" s="2"/>
      <c r="D572" s="2"/>
      <c r="E572" s="2"/>
      <c r="F572" s="2"/>
      <c r="G572" s="2"/>
      <c r="H572" s="2"/>
      <c r="I572" s="5"/>
    </row>
    <row r="573" spans="1:9" ht="17.399999999999999" x14ac:dyDescent="0.25">
      <c r="A573" s="16"/>
      <c r="B573" s="17"/>
      <c r="C573" s="2"/>
      <c r="D573" s="2"/>
      <c r="E573" s="2"/>
      <c r="F573" s="2"/>
      <c r="G573" s="2"/>
      <c r="H573" s="2"/>
      <c r="I573" s="5"/>
    </row>
    <row r="574" spans="1:9" ht="17.399999999999999" x14ac:dyDescent="0.25">
      <c r="A574" s="16"/>
      <c r="B574" s="17"/>
      <c r="C574" s="2"/>
      <c r="D574" s="2"/>
      <c r="E574" s="2"/>
      <c r="F574" s="2"/>
      <c r="G574" s="2"/>
      <c r="H574" s="2"/>
      <c r="I574" s="5"/>
    </row>
    <row r="575" spans="1:9" ht="17.399999999999999" x14ac:dyDescent="0.25">
      <c r="A575" s="16"/>
      <c r="B575" s="17"/>
      <c r="C575" s="2"/>
      <c r="D575" s="2"/>
      <c r="E575" s="2"/>
      <c r="F575" s="2"/>
      <c r="G575" s="2"/>
      <c r="H575" s="2"/>
      <c r="I575" s="5"/>
    </row>
    <row r="576" spans="1:9" ht="17.399999999999999" x14ac:dyDescent="0.25">
      <c r="A576" s="16"/>
      <c r="B576" s="17"/>
      <c r="C576" s="2"/>
      <c r="D576" s="2"/>
      <c r="E576" s="2"/>
      <c r="F576" s="2"/>
      <c r="G576" s="2"/>
      <c r="H576" s="2"/>
      <c r="I576" s="5"/>
    </row>
    <row r="577" spans="1:9" ht="17.399999999999999" x14ac:dyDescent="0.25">
      <c r="A577" s="16"/>
      <c r="B577" s="17"/>
      <c r="C577" s="2"/>
      <c r="D577" s="2"/>
      <c r="E577" s="2"/>
      <c r="F577" s="2"/>
      <c r="G577" s="2"/>
      <c r="H577" s="2"/>
      <c r="I577" s="5"/>
    </row>
    <row r="578" spans="1:9" ht="17.399999999999999" x14ac:dyDescent="0.25">
      <c r="A578" s="16"/>
      <c r="B578" s="17"/>
      <c r="C578" s="2"/>
      <c r="D578" s="2"/>
      <c r="E578" s="2"/>
      <c r="F578" s="2"/>
      <c r="G578" s="2"/>
      <c r="H578" s="2"/>
      <c r="I578" s="5"/>
    </row>
    <row r="579" spans="1:9" ht="17.399999999999999" x14ac:dyDescent="0.25">
      <c r="A579" s="16"/>
      <c r="B579" s="17"/>
      <c r="C579" s="2"/>
      <c r="D579" s="2"/>
      <c r="E579" s="2"/>
      <c r="F579" s="2"/>
      <c r="G579" s="2"/>
      <c r="H579" s="2"/>
      <c r="I579" s="5"/>
    </row>
    <row r="580" spans="1:9" ht="17.399999999999999" x14ac:dyDescent="0.25">
      <c r="A580" s="16"/>
      <c r="B580" s="17"/>
      <c r="C580" s="2"/>
      <c r="D580" s="2"/>
      <c r="E580" s="2"/>
      <c r="F580" s="2"/>
      <c r="G580" s="2"/>
      <c r="H580" s="2"/>
      <c r="I580" s="5"/>
    </row>
    <row r="581" spans="1:9" ht="17.399999999999999" x14ac:dyDescent="0.25">
      <c r="A581" s="16"/>
      <c r="B581" s="17"/>
      <c r="C581" s="2"/>
      <c r="D581" s="2"/>
      <c r="E581" s="2"/>
      <c r="F581" s="2"/>
      <c r="G581" s="2"/>
      <c r="H581" s="2"/>
      <c r="I581" s="5"/>
    </row>
    <row r="582" spans="1:9" ht="17.399999999999999" x14ac:dyDescent="0.25">
      <c r="A582" s="16"/>
      <c r="B582" s="17"/>
      <c r="C582" s="2"/>
      <c r="D582" s="2"/>
      <c r="E582" s="2"/>
      <c r="F582" s="2"/>
      <c r="G582" s="2"/>
      <c r="H582" s="2"/>
      <c r="I582" s="5"/>
    </row>
    <row r="583" spans="1:9" ht="17.399999999999999" x14ac:dyDescent="0.25">
      <c r="A583" s="16"/>
      <c r="B583" s="17"/>
      <c r="C583" s="2"/>
      <c r="D583" s="2"/>
      <c r="E583" s="2"/>
      <c r="F583" s="2"/>
      <c r="G583" s="2"/>
      <c r="H583" s="2"/>
      <c r="I583" s="5"/>
    </row>
    <row r="584" spans="1:9" ht="17.399999999999999" x14ac:dyDescent="0.25">
      <c r="A584" s="16"/>
      <c r="B584" s="17"/>
      <c r="C584" s="2"/>
      <c r="D584" s="2"/>
      <c r="E584" s="2"/>
      <c r="F584" s="2"/>
      <c r="G584" s="2"/>
      <c r="H584" s="2"/>
      <c r="I584" s="5"/>
    </row>
    <row r="585" spans="1:9" ht="17.399999999999999" x14ac:dyDescent="0.25">
      <c r="A585" s="16"/>
      <c r="B585" s="17"/>
      <c r="C585" s="2"/>
      <c r="D585" s="2"/>
      <c r="E585" s="2"/>
      <c r="F585" s="2"/>
      <c r="G585" s="2"/>
      <c r="H585" s="2"/>
      <c r="I585" s="5"/>
    </row>
    <row r="586" spans="1:9" ht="17.399999999999999" x14ac:dyDescent="0.25">
      <c r="A586" s="16"/>
      <c r="B586" s="17"/>
      <c r="C586" s="2"/>
      <c r="D586" s="2"/>
      <c r="E586" s="2"/>
      <c r="F586" s="2"/>
      <c r="G586" s="2"/>
      <c r="H586" s="2"/>
      <c r="I586" s="5"/>
    </row>
    <row r="587" spans="1:9" ht="17.399999999999999" x14ac:dyDescent="0.25">
      <c r="A587" s="16"/>
      <c r="B587" s="17"/>
      <c r="C587" s="2"/>
      <c r="D587" s="2"/>
      <c r="E587" s="2"/>
      <c r="F587" s="2"/>
      <c r="G587" s="2"/>
      <c r="H587" s="2"/>
      <c r="I587" s="5"/>
    </row>
    <row r="588" spans="1:9" ht="17.399999999999999" x14ac:dyDescent="0.25">
      <c r="A588" s="16"/>
      <c r="B588" s="17"/>
      <c r="C588" s="2"/>
      <c r="D588" s="2"/>
      <c r="E588" s="2"/>
      <c r="F588" s="2"/>
      <c r="G588" s="2"/>
      <c r="H588" s="2"/>
      <c r="I588" s="5"/>
    </row>
    <row r="589" spans="1:9" ht="17.399999999999999" x14ac:dyDescent="0.25">
      <c r="A589" s="16"/>
      <c r="B589" s="17"/>
      <c r="C589" s="2"/>
      <c r="D589" s="2"/>
      <c r="E589" s="2"/>
      <c r="F589" s="2"/>
      <c r="G589" s="2"/>
      <c r="H589" s="2"/>
      <c r="I589" s="5"/>
    </row>
    <row r="590" spans="1:9" ht="17.399999999999999" x14ac:dyDescent="0.25">
      <c r="A590" s="16"/>
      <c r="B590" s="17"/>
      <c r="C590" s="2"/>
      <c r="D590" s="2"/>
      <c r="E590" s="2"/>
      <c r="F590" s="2"/>
      <c r="G590" s="2"/>
      <c r="H590" s="2"/>
      <c r="I590" s="5"/>
    </row>
    <row r="591" spans="1:9" ht="17.399999999999999" x14ac:dyDescent="0.25">
      <c r="A591" s="16"/>
      <c r="B591" s="17"/>
      <c r="C591" s="2"/>
      <c r="D591" s="2"/>
      <c r="E591" s="2"/>
      <c r="F591" s="2"/>
      <c r="G591" s="2"/>
      <c r="H591" s="2"/>
      <c r="I591" s="5"/>
    </row>
    <row r="592" spans="1:9" ht="17.399999999999999" x14ac:dyDescent="0.25">
      <c r="A592" s="16"/>
      <c r="B592" s="17"/>
      <c r="C592" s="2"/>
      <c r="D592" s="2"/>
      <c r="E592" s="2"/>
      <c r="F592" s="2"/>
      <c r="G592" s="2"/>
      <c r="H592" s="2"/>
      <c r="I592" s="5"/>
    </row>
    <row r="593" spans="1:9" ht="17.399999999999999" x14ac:dyDescent="0.25">
      <c r="A593" s="16"/>
      <c r="B593" s="17"/>
      <c r="C593" s="2"/>
      <c r="D593" s="2"/>
      <c r="E593" s="2"/>
      <c r="F593" s="2"/>
      <c r="G593" s="2"/>
      <c r="H593" s="2"/>
      <c r="I593" s="5"/>
    </row>
    <row r="594" spans="1:9" ht="17.399999999999999" x14ac:dyDescent="0.25">
      <c r="A594" s="16"/>
      <c r="B594" s="17"/>
      <c r="C594" s="2"/>
      <c r="D594" s="2"/>
      <c r="E594" s="2"/>
      <c r="F594" s="2"/>
      <c r="G594" s="2"/>
      <c r="H594" s="2"/>
      <c r="I594" s="5"/>
    </row>
    <row r="595" spans="1:9" ht="17.399999999999999" x14ac:dyDescent="0.25">
      <c r="A595" s="16"/>
      <c r="B595" s="17"/>
      <c r="C595" s="2"/>
      <c r="D595" s="2"/>
      <c r="E595" s="2"/>
      <c r="F595" s="2"/>
      <c r="G595" s="2"/>
      <c r="H595" s="2"/>
      <c r="I595" s="5"/>
    </row>
    <row r="596" spans="1:9" ht="17.399999999999999" x14ac:dyDescent="0.25">
      <c r="A596" s="16"/>
      <c r="B596" s="17"/>
      <c r="C596" s="2"/>
      <c r="D596" s="2"/>
      <c r="E596" s="2"/>
      <c r="F596" s="2"/>
      <c r="G596" s="2"/>
      <c r="H596" s="2"/>
      <c r="I596" s="5"/>
    </row>
    <row r="597" spans="1:9" ht="17.399999999999999" x14ac:dyDescent="0.25">
      <c r="A597" s="16"/>
      <c r="B597" s="17"/>
      <c r="C597" s="2"/>
      <c r="D597" s="2"/>
      <c r="E597" s="2"/>
      <c r="F597" s="2"/>
      <c r="G597" s="2"/>
      <c r="H597" s="2"/>
      <c r="I597" s="5"/>
    </row>
    <row r="598" spans="1:9" ht="17.399999999999999" x14ac:dyDescent="0.25">
      <c r="A598" s="16"/>
      <c r="B598" s="17"/>
      <c r="C598" s="2"/>
      <c r="D598" s="2"/>
      <c r="E598" s="2"/>
      <c r="F598" s="2"/>
      <c r="G598" s="2"/>
      <c r="H598" s="2"/>
      <c r="I598" s="5"/>
    </row>
    <row r="599" spans="1:9" ht="17.399999999999999" x14ac:dyDescent="0.25">
      <c r="A599" s="16"/>
      <c r="B599" s="17"/>
      <c r="C599" s="2"/>
      <c r="D599" s="2"/>
      <c r="E599" s="2"/>
      <c r="F599" s="2"/>
      <c r="G599" s="2"/>
      <c r="H599" s="2"/>
      <c r="I599" s="5"/>
    </row>
    <row r="600" spans="1:9" ht="17.399999999999999" x14ac:dyDescent="0.25">
      <c r="A600" s="16"/>
      <c r="B600" s="17"/>
      <c r="C600" s="2"/>
      <c r="D600" s="2"/>
      <c r="E600" s="2"/>
      <c r="F600" s="2"/>
      <c r="G600" s="2"/>
      <c r="H600" s="2"/>
      <c r="I600" s="5"/>
    </row>
    <row r="601" spans="1:9" ht="17.399999999999999" x14ac:dyDescent="0.25">
      <c r="A601" s="16"/>
      <c r="B601" s="17"/>
      <c r="C601" s="2"/>
      <c r="D601" s="2"/>
      <c r="E601" s="2"/>
      <c r="F601" s="2"/>
      <c r="G601" s="2"/>
      <c r="H601" s="2"/>
      <c r="I601" s="5"/>
    </row>
    <row r="602" spans="1:9" ht="17.399999999999999" x14ac:dyDescent="0.25">
      <c r="A602" s="16"/>
      <c r="B602" s="17"/>
      <c r="C602" s="2"/>
      <c r="D602" s="2"/>
      <c r="E602" s="2"/>
      <c r="F602" s="2"/>
      <c r="G602" s="2"/>
      <c r="H602" s="2"/>
      <c r="I602" s="5"/>
    </row>
    <row r="603" spans="1:9" ht="17.399999999999999" x14ac:dyDescent="0.25">
      <c r="A603" s="16"/>
      <c r="B603" s="17"/>
      <c r="C603" s="2"/>
      <c r="D603" s="2"/>
      <c r="E603" s="2"/>
      <c r="F603" s="2"/>
      <c r="G603" s="2"/>
      <c r="H603" s="2"/>
      <c r="I603" s="5"/>
    </row>
    <row r="604" spans="1:9" ht="17.399999999999999" x14ac:dyDescent="0.25">
      <c r="A604" s="16"/>
      <c r="B604" s="17"/>
      <c r="C604" s="2"/>
      <c r="D604" s="2"/>
      <c r="E604" s="2"/>
      <c r="F604" s="2"/>
      <c r="G604" s="2"/>
      <c r="H604" s="2"/>
      <c r="I604" s="5"/>
    </row>
    <row r="605" spans="1:9" ht="17.399999999999999" x14ac:dyDescent="0.25">
      <c r="A605" s="16"/>
      <c r="B605" s="17"/>
      <c r="C605" s="2"/>
      <c r="D605" s="2"/>
      <c r="E605" s="2"/>
      <c r="F605" s="2"/>
      <c r="G605" s="2"/>
      <c r="H605" s="2"/>
      <c r="I605" s="5"/>
    </row>
    <row r="606" spans="1:9" ht="17.399999999999999" x14ac:dyDescent="0.25">
      <c r="A606" s="16"/>
      <c r="B606" s="17"/>
      <c r="C606" s="2"/>
      <c r="D606" s="2"/>
      <c r="E606" s="2"/>
      <c r="F606" s="2"/>
      <c r="G606" s="2"/>
      <c r="H606" s="2"/>
      <c r="I606" s="5"/>
    </row>
    <row r="607" spans="1:9" ht="17.399999999999999" x14ac:dyDescent="0.25">
      <c r="A607" s="16"/>
      <c r="B607" s="17"/>
      <c r="C607" s="2"/>
      <c r="D607" s="2"/>
      <c r="E607" s="2"/>
      <c r="F607" s="2"/>
      <c r="G607" s="2"/>
      <c r="H607" s="2"/>
      <c r="I607" s="5"/>
    </row>
    <row r="608" spans="1:9" ht="17.399999999999999" x14ac:dyDescent="0.25">
      <c r="A608" s="16"/>
      <c r="B608" s="17"/>
      <c r="C608" s="2"/>
      <c r="D608" s="2"/>
      <c r="E608" s="2"/>
      <c r="F608" s="2"/>
      <c r="G608" s="2"/>
      <c r="H608" s="2"/>
      <c r="I608" s="5"/>
    </row>
    <row r="609" spans="1:9" ht="17.399999999999999" x14ac:dyDescent="0.25">
      <c r="A609" s="16"/>
      <c r="B609" s="17"/>
      <c r="C609" s="2"/>
      <c r="D609" s="2"/>
      <c r="E609" s="2"/>
      <c r="F609" s="2"/>
      <c r="G609" s="2"/>
      <c r="H609" s="2"/>
      <c r="I609" s="5"/>
    </row>
    <row r="610" spans="1:9" ht="17.399999999999999" x14ac:dyDescent="0.25">
      <c r="A610" s="16"/>
      <c r="B610" s="17"/>
      <c r="C610" s="2"/>
      <c r="D610" s="2"/>
      <c r="E610" s="2"/>
      <c r="F610" s="2"/>
      <c r="G610" s="2"/>
      <c r="H610" s="2"/>
      <c r="I610" s="5"/>
    </row>
    <row r="611" spans="1:9" ht="17.399999999999999" x14ac:dyDescent="0.25">
      <c r="A611" s="16"/>
      <c r="B611" s="17"/>
      <c r="C611" s="2"/>
      <c r="D611" s="2"/>
      <c r="E611" s="2"/>
      <c r="F611" s="2"/>
      <c r="G611" s="2"/>
      <c r="H611" s="2"/>
      <c r="I611" s="5"/>
    </row>
    <row r="612" spans="1:9" ht="17.399999999999999" x14ac:dyDescent="0.25">
      <c r="A612" s="16"/>
      <c r="B612" s="17"/>
      <c r="C612" s="2"/>
      <c r="D612" s="2"/>
      <c r="E612" s="2"/>
      <c r="F612" s="2"/>
      <c r="G612" s="2"/>
      <c r="H612" s="2"/>
      <c r="I612" s="5"/>
    </row>
    <row r="613" spans="1:9" ht="17.399999999999999" x14ac:dyDescent="0.25">
      <c r="A613" s="16"/>
      <c r="B613" s="17"/>
      <c r="C613" s="2"/>
      <c r="D613" s="2"/>
      <c r="E613" s="2"/>
      <c r="F613" s="2"/>
      <c r="G613" s="2"/>
      <c r="H613" s="2"/>
      <c r="I613" s="5"/>
    </row>
    <row r="614" spans="1:9" ht="17.399999999999999" x14ac:dyDescent="0.25">
      <c r="A614" s="16"/>
      <c r="B614" s="17"/>
      <c r="C614" s="2"/>
      <c r="D614" s="2"/>
      <c r="E614" s="2"/>
      <c r="F614" s="2"/>
      <c r="G614" s="2"/>
      <c r="H614" s="2"/>
      <c r="I614" s="5"/>
    </row>
    <row r="615" spans="1:9" ht="17.399999999999999" x14ac:dyDescent="0.25">
      <c r="A615" s="16"/>
      <c r="B615" s="17"/>
      <c r="C615" s="2"/>
      <c r="D615" s="2"/>
      <c r="E615" s="2"/>
      <c r="F615" s="2"/>
      <c r="G615" s="2"/>
      <c r="H615" s="2"/>
      <c r="I615" s="5"/>
    </row>
    <row r="616" spans="1:9" ht="17.399999999999999" x14ac:dyDescent="0.25">
      <c r="A616" s="16"/>
      <c r="B616" s="17"/>
      <c r="C616" s="2"/>
      <c r="D616" s="2"/>
      <c r="E616" s="2"/>
      <c r="F616" s="2"/>
      <c r="G616" s="2"/>
      <c r="H616" s="2"/>
      <c r="I616" s="5"/>
    </row>
    <row r="617" spans="1:9" ht="17.399999999999999" x14ac:dyDescent="0.25">
      <c r="A617" s="16"/>
      <c r="B617" s="17"/>
      <c r="C617" s="2"/>
      <c r="D617" s="2"/>
      <c r="E617" s="2"/>
      <c r="F617" s="2"/>
      <c r="G617" s="2"/>
      <c r="H617" s="2"/>
      <c r="I617" s="5"/>
    </row>
    <row r="618" spans="1:9" ht="17.399999999999999" x14ac:dyDescent="0.25">
      <c r="A618" s="16"/>
      <c r="B618" s="17"/>
      <c r="C618" s="2"/>
      <c r="D618" s="2"/>
      <c r="E618" s="2"/>
      <c r="F618" s="2"/>
      <c r="G618" s="2"/>
      <c r="H618" s="2"/>
      <c r="I618" s="5"/>
    </row>
    <row r="619" spans="1:9" ht="17.399999999999999" x14ac:dyDescent="0.25">
      <c r="A619" s="16"/>
      <c r="B619" s="17"/>
      <c r="C619" s="2"/>
      <c r="D619" s="2"/>
      <c r="E619" s="2"/>
      <c r="F619" s="2"/>
      <c r="G619" s="2"/>
      <c r="H619" s="2"/>
      <c r="I619" s="5"/>
    </row>
    <row r="620" spans="1:9" ht="17.399999999999999" x14ac:dyDescent="0.25">
      <c r="A620" s="16"/>
      <c r="B620" s="17"/>
      <c r="C620" s="2"/>
      <c r="D620" s="2"/>
      <c r="E620" s="2"/>
      <c r="F620" s="2"/>
      <c r="G620" s="2"/>
      <c r="H620" s="2"/>
      <c r="I620" s="5"/>
    </row>
    <row r="621" spans="1:9" ht="17.399999999999999" x14ac:dyDescent="0.25">
      <c r="A621" s="16"/>
      <c r="B621" s="17"/>
      <c r="C621" s="2"/>
      <c r="D621" s="2"/>
      <c r="E621" s="2"/>
      <c r="F621" s="2"/>
      <c r="G621" s="2"/>
      <c r="H621" s="2"/>
      <c r="I621" s="5"/>
    </row>
    <row r="622" spans="1:9" ht="17.399999999999999" x14ac:dyDescent="0.25">
      <c r="A622" s="16"/>
      <c r="B622" s="17"/>
      <c r="C622" s="2"/>
      <c r="D622" s="2"/>
      <c r="E622" s="2"/>
      <c r="F622" s="2"/>
      <c r="G622" s="2"/>
      <c r="H622" s="2"/>
      <c r="I622" s="5"/>
    </row>
    <row r="623" spans="1:9" ht="17.399999999999999" x14ac:dyDescent="0.25">
      <c r="A623" s="16"/>
      <c r="B623" s="17"/>
      <c r="C623" s="2"/>
      <c r="D623" s="2"/>
      <c r="E623" s="2"/>
      <c r="F623" s="2"/>
      <c r="G623" s="2"/>
      <c r="H623" s="2"/>
      <c r="I623" s="5"/>
    </row>
    <row r="624" spans="1:9" ht="17.399999999999999" x14ac:dyDescent="0.25">
      <c r="A624" s="16"/>
      <c r="B624" s="17"/>
      <c r="C624" s="2"/>
      <c r="D624" s="2"/>
      <c r="E624" s="2"/>
      <c r="F624" s="2"/>
      <c r="G624" s="2"/>
      <c r="H624" s="2"/>
      <c r="I624" s="5"/>
    </row>
    <row r="625" spans="1:9" ht="17.399999999999999" x14ac:dyDescent="0.25">
      <c r="A625" s="16"/>
      <c r="B625" s="17"/>
      <c r="C625" s="2"/>
      <c r="D625" s="2"/>
      <c r="E625" s="2"/>
      <c r="F625" s="2"/>
      <c r="G625" s="2"/>
      <c r="H625" s="2"/>
      <c r="I625" s="5"/>
    </row>
    <row r="626" spans="1:9" ht="17.399999999999999" x14ac:dyDescent="0.25">
      <c r="A626" s="16"/>
      <c r="B626" s="17"/>
      <c r="C626" s="2"/>
      <c r="D626" s="2"/>
      <c r="E626" s="2"/>
      <c r="F626" s="2"/>
      <c r="G626" s="2"/>
      <c r="H626" s="2"/>
      <c r="I626" s="5"/>
    </row>
    <row r="627" spans="1:9" ht="17.399999999999999" x14ac:dyDescent="0.25">
      <c r="A627" s="16"/>
      <c r="B627" s="17"/>
      <c r="C627" s="2"/>
      <c r="D627" s="2"/>
      <c r="E627" s="2"/>
      <c r="F627" s="2"/>
      <c r="G627" s="2"/>
      <c r="H627" s="2"/>
      <c r="I627" s="5"/>
    </row>
    <row r="628" spans="1:9" ht="17.399999999999999" x14ac:dyDescent="0.25">
      <c r="A628" s="16"/>
      <c r="B628" s="17"/>
      <c r="C628" s="2"/>
      <c r="D628" s="2"/>
      <c r="E628" s="2"/>
      <c r="F628" s="2"/>
      <c r="G628" s="2"/>
      <c r="H628" s="2"/>
      <c r="I628" s="5"/>
    </row>
    <row r="629" spans="1:9" ht="17.399999999999999" x14ac:dyDescent="0.25">
      <c r="A629" s="16"/>
      <c r="B629" s="17"/>
      <c r="C629" s="2"/>
      <c r="D629" s="2"/>
      <c r="E629" s="2"/>
      <c r="F629" s="2"/>
      <c r="G629" s="2"/>
      <c r="H629" s="2"/>
      <c r="I629" s="5"/>
    </row>
    <row r="630" spans="1:9" ht="17.399999999999999" x14ac:dyDescent="0.25">
      <c r="A630" s="16"/>
      <c r="B630" s="17"/>
      <c r="C630" s="2"/>
      <c r="D630" s="2"/>
      <c r="E630" s="2"/>
      <c r="F630" s="2"/>
      <c r="G630" s="2"/>
      <c r="H630" s="2"/>
      <c r="I630" s="5"/>
    </row>
    <row r="631" spans="1:9" ht="17.399999999999999" x14ac:dyDescent="0.25">
      <c r="A631" s="16"/>
      <c r="B631" s="17"/>
      <c r="C631" s="2"/>
      <c r="D631" s="2"/>
      <c r="E631" s="2"/>
      <c r="F631" s="2"/>
      <c r="G631" s="2"/>
      <c r="H631" s="2"/>
      <c r="I631" s="5"/>
    </row>
    <row r="632" spans="1:9" ht="17.399999999999999" x14ac:dyDescent="0.25">
      <c r="A632" s="16"/>
      <c r="B632" s="17"/>
      <c r="C632" s="2"/>
      <c r="D632" s="2"/>
      <c r="E632" s="2"/>
      <c r="F632" s="2"/>
      <c r="G632" s="2"/>
      <c r="H632" s="2"/>
      <c r="I632" s="5"/>
    </row>
    <row r="633" spans="1:9" ht="17.399999999999999" x14ac:dyDescent="0.25">
      <c r="A633" s="16"/>
      <c r="B633" s="17"/>
      <c r="C633" s="2"/>
      <c r="D633" s="2"/>
      <c r="E633" s="2"/>
      <c r="F633" s="2"/>
      <c r="G633" s="2"/>
      <c r="H633" s="2"/>
      <c r="I633" s="5"/>
    </row>
    <row r="634" spans="1:9" ht="17.399999999999999" x14ac:dyDescent="0.25">
      <c r="A634" s="16"/>
      <c r="B634" s="17"/>
      <c r="C634" s="2"/>
      <c r="D634" s="2"/>
      <c r="E634" s="2"/>
      <c r="F634" s="2"/>
      <c r="G634" s="2"/>
      <c r="H634" s="2"/>
      <c r="I634" s="5"/>
    </row>
    <row r="635" spans="1:9" ht="17.399999999999999" x14ac:dyDescent="0.25">
      <c r="A635" s="16"/>
      <c r="B635" s="17"/>
      <c r="C635" s="2"/>
      <c r="D635" s="2"/>
      <c r="E635" s="2"/>
      <c r="F635" s="2"/>
      <c r="G635" s="2"/>
      <c r="H635" s="2"/>
      <c r="I635" s="5"/>
    </row>
    <row r="636" spans="1:9" ht="17.399999999999999" x14ac:dyDescent="0.25">
      <c r="A636" s="16"/>
      <c r="B636" s="17"/>
      <c r="C636" s="2"/>
      <c r="D636" s="2"/>
      <c r="E636" s="2"/>
      <c r="F636" s="2"/>
      <c r="G636" s="2"/>
      <c r="H636" s="2"/>
      <c r="I636" s="5"/>
    </row>
    <row r="637" spans="1:9" ht="17.399999999999999" x14ac:dyDescent="0.25">
      <c r="A637" s="16"/>
      <c r="B637" s="17"/>
      <c r="C637" s="2"/>
      <c r="D637" s="2"/>
      <c r="E637" s="2"/>
      <c r="F637" s="2"/>
      <c r="G637" s="2"/>
      <c r="H637" s="2"/>
      <c r="I637" s="5"/>
    </row>
    <row r="638" spans="1:9" ht="17.399999999999999" x14ac:dyDescent="0.25">
      <c r="A638" s="16"/>
      <c r="B638" s="17"/>
      <c r="C638" s="2"/>
      <c r="D638" s="2"/>
      <c r="E638" s="2"/>
      <c r="F638" s="2"/>
      <c r="G638" s="2"/>
      <c r="H638" s="2"/>
      <c r="I638" s="5"/>
    </row>
    <row r="639" spans="1:9" ht="17.399999999999999" x14ac:dyDescent="0.25">
      <c r="A639" s="16"/>
      <c r="B639" s="17"/>
      <c r="C639" s="2"/>
      <c r="D639" s="2"/>
      <c r="E639" s="2"/>
      <c r="F639" s="2"/>
      <c r="G639" s="2"/>
      <c r="H639" s="2"/>
      <c r="I639" s="5"/>
    </row>
    <row r="640" spans="1:9" ht="17.399999999999999" x14ac:dyDescent="0.25">
      <c r="A640" s="16"/>
      <c r="B640" s="17"/>
      <c r="C640" s="2"/>
      <c r="D640" s="2"/>
      <c r="E640" s="2"/>
      <c r="F640" s="2"/>
      <c r="G640" s="2"/>
      <c r="H640" s="2"/>
      <c r="I640" s="5"/>
    </row>
    <row r="641" spans="1:9" ht="17.399999999999999" x14ac:dyDescent="0.25">
      <c r="A641" s="16"/>
      <c r="B641" s="17"/>
      <c r="C641" s="2"/>
      <c r="D641" s="2"/>
      <c r="E641" s="2"/>
      <c r="F641" s="2"/>
      <c r="G641" s="2"/>
      <c r="H641" s="2"/>
      <c r="I641" s="5"/>
    </row>
    <row r="642" spans="1:9" ht="17.399999999999999" x14ac:dyDescent="0.25">
      <c r="A642" s="16"/>
      <c r="B642" s="17"/>
      <c r="C642" s="2"/>
      <c r="D642" s="2"/>
      <c r="E642" s="2"/>
      <c r="F642" s="2"/>
      <c r="G642" s="2"/>
      <c r="H642" s="2"/>
      <c r="I642" s="5"/>
    </row>
    <row r="643" spans="1:9" ht="17.399999999999999" x14ac:dyDescent="0.25">
      <c r="A643" s="16"/>
      <c r="B643" s="17"/>
      <c r="C643" s="2"/>
      <c r="D643" s="2"/>
      <c r="E643" s="2"/>
      <c r="F643" s="2"/>
      <c r="G643" s="2"/>
      <c r="H643" s="2"/>
      <c r="I643" s="5"/>
    </row>
    <row r="644" spans="1:9" ht="17.399999999999999" x14ac:dyDescent="0.25">
      <c r="A644" s="16"/>
      <c r="B644" s="17"/>
      <c r="C644" s="2"/>
      <c r="D644" s="2"/>
      <c r="E644" s="2"/>
      <c r="F644" s="2"/>
      <c r="G644" s="2"/>
      <c r="H644" s="2"/>
      <c r="I644" s="5"/>
    </row>
    <row r="645" spans="1:9" ht="17.399999999999999" x14ac:dyDescent="0.25">
      <c r="A645" s="16"/>
      <c r="B645" s="17"/>
      <c r="C645" s="2"/>
      <c r="D645" s="2"/>
      <c r="E645" s="2"/>
      <c r="F645" s="2"/>
      <c r="G645" s="2"/>
      <c r="H645" s="2"/>
      <c r="I645" s="5"/>
    </row>
    <row r="646" spans="1:9" ht="17.399999999999999" x14ac:dyDescent="0.25">
      <c r="A646" s="16"/>
      <c r="B646" s="17"/>
      <c r="C646" s="2"/>
      <c r="D646" s="2"/>
      <c r="E646" s="2"/>
      <c r="F646" s="2"/>
      <c r="G646" s="2"/>
      <c r="H646" s="2"/>
      <c r="I646" s="5"/>
    </row>
    <row r="647" spans="1:9" ht="17.399999999999999" x14ac:dyDescent="0.25">
      <c r="A647" s="16"/>
      <c r="B647" s="17"/>
      <c r="C647" s="2"/>
      <c r="D647" s="2"/>
      <c r="E647" s="2"/>
      <c r="F647" s="2"/>
      <c r="G647" s="2"/>
      <c r="H647" s="2"/>
      <c r="I647" s="5"/>
    </row>
    <row r="648" spans="1:9" ht="17.399999999999999" x14ac:dyDescent="0.25">
      <c r="A648" s="16"/>
      <c r="B648" s="17"/>
      <c r="C648" s="2"/>
      <c r="D648" s="2"/>
      <c r="E648" s="2"/>
      <c r="F648" s="2"/>
      <c r="G648" s="2"/>
      <c r="H648" s="2"/>
      <c r="I648" s="5"/>
    </row>
    <row r="649" spans="1:9" ht="17.399999999999999" x14ac:dyDescent="0.25">
      <c r="A649" s="16"/>
      <c r="B649" s="17"/>
      <c r="C649" s="2"/>
      <c r="D649" s="2"/>
      <c r="E649" s="2"/>
      <c r="F649" s="2"/>
      <c r="G649" s="2"/>
      <c r="H649" s="2"/>
      <c r="I649" s="5"/>
    </row>
    <row r="650" spans="1:9" ht="17.399999999999999" x14ac:dyDescent="0.25">
      <c r="A650" s="16"/>
      <c r="B650" s="17"/>
      <c r="C650" s="2"/>
      <c r="D650" s="2"/>
      <c r="E650" s="2"/>
      <c r="F650" s="2"/>
      <c r="G650" s="2"/>
      <c r="H650" s="2"/>
      <c r="I650" s="5"/>
    </row>
    <row r="651" spans="1:9" ht="17.399999999999999" x14ac:dyDescent="0.25">
      <c r="A651" s="16"/>
      <c r="B651" s="17"/>
      <c r="C651" s="2"/>
      <c r="D651" s="2"/>
      <c r="E651" s="2"/>
      <c r="F651" s="2"/>
      <c r="G651" s="2"/>
      <c r="H651" s="2"/>
      <c r="I651" s="5"/>
    </row>
    <row r="652" spans="1:9" ht="17.399999999999999" x14ac:dyDescent="0.25">
      <c r="A652" s="16"/>
      <c r="B652" s="17"/>
      <c r="C652" s="2"/>
      <c r="D652" s="2"/>
      <c r="E652" s="2"/>
      <c r="F652" s="2"/>
      <c r="G652" s="2"/>
      <c r="H652" s="2"/>
      <c r="I652" s="5"/>
    </row>
    <row r="653" spans="1:9" ht="17.399999999999999" x14ac:dyDescent="0.25">
      <c r="A653" s="16"/>
      <c r="B653" s="17"/>
      <c r="C653" s="2"/>
      <c r="D653" s="2"/>
      <c r="E653" s="2"/>
      <c r="F653" s="2"/>
      <c r="G653" s="2"/>
      <c r="H653" s="2"/>
      <c r="I653" s="5"/>
    </row>
    <row r="654" spans="1:9" ht="17.399999999999999" x14ac:dyDescent="0.25">
      <c r="A654" s="16"/>
      <c r="B654" s="17"/>
      <c r="C654" s="2"/>
      <c r="D654" s="2"/>
      <c r="E654" s="2"/>
      <c r="F654" s="2"/>
      <c r="G654" s="2"/>
      <c r="H654" s="2"/>
      <c r="I654" s="5"/>
    </row>
    <row r="655" spans="1:9" ht="17.399999999999999" x14ac:dyDescent="0.25">
      <c r="A655" s="16"/>
      <c r="B655" s="17"/>
      <c r="C655" s="2"/>
      <c r="D655" s="2"/>
      <c r="E655" s="2"/>
      <c r="F655" s="2"/>
      <c r="G655" s="2"/>
      <c r="H655" s="2"/>
      <c r="I655" s="5"/>
    </row>
    <row r="656" spans="1:9" ht="17.399999999999999" x14ac:dyDescent="0.25">
      <c r="A656" s="16"/>
      <c r="B656" s="17"/>
      <c r="C656" s="2"/>
      <c r="D656" s="2"/>
      <c r="E656" s="2"/>
      <c r="F656" s="2"/>
      <c r="G656" s="2"/>
      <c r="H656" s="2"/>
      <c r="I656" s="5"/>
    </row>
    <row r="657" spans="1:9" ht="17.399999999999999" x14ac:dyDescent="0.25">
      <c r="A657" s="16"/>
      <c r="B657" s="17"/>
      <c r="C657" s="2"/>
      <c r="D657" s="2"/>
      <c r="E657" s="2"/>
      <c r="F657" s="2"/>
      <c r="G657" s="2"/>
      <c r="H657" s="2"/>
      <c r="I657" s="5"/>
    </row>
    <row r="658" spans="1:9" ht="17.399999999999999" x14ac:dyDescent="0.25">
      <c r="A658" s="16"/>
      <c r="B658" s="17"/>
      <c r="C658" s="2"/>
      <c r="D658" s="2"/>
      <c r="E658" s="2"/>
      <c r="F658" s="2"/>
      <c r="G658" s="2"/>
      <c r="H658" s="2"/>
      <c r="I658" s="5"/>
    </row>
    <row r="659" spans="1:9" ht="17.399999999999999" x14ac:dyDescent="0.25">
      <c r="A659" s="16"/>
      <c r="B659" s="17"/>
      <c r="C659" s="2"/>
      <c r="D659" s="2"/>
      <c r="E659" s="2"/>
      <c r="F659" s="2"/>
      <c r="G659" s="2"/>
      <c r="H659" s="2"/>
      <c r="I659" s="5"/>
    </row>
    <row r="660" spans="1:9" ht="17.399999999999999" x14ac:dyDescent="0.25">
      <c r="A660" s="16"/>
      <c r="B660" s="17"/>
      <c r="C660" s="2"/>
      <c r="D660" s="2"/>
      <c r="E660" s="2"/>
      <c r="F660" s="2"/>
      <c r="G660" s="2"/>
      <c r="H660" s="2"/>
      <c r="I660" s="5"/>
    </row>
    <row r="661" spans="1:9" ht="17.399999999999999" x14ac:dyDescent="0.25">
      <c r="A661" s="16"/>
      <c r="B661" s="17"/>
      <c r="C661" s="2"/>
      <c r="D661" s="2"/>
      <c r="E661" s="2"/>
      <c r="F661" s="2"/>
      <c r="G661" s="2"/>
      <c r="H661" s="2"/>
      <c r="I661" s="5"/>
    </row>
    <row r="662" spans="1:9" ht="17.399999999999999" x14ac:dyDescent="0.25">
      <c r="A662" s="16"/>
      <c r="B662" s="17"/>
      <c r="C662" s="2"/>
      <c r="D662" s="2"/>
      <c r="E662" s="2"/>
      <c r="F662" s="2"/>
      <c r="G662" s="2"/>
      <c r="H662" s="2"/>
      <c r="I662" s="5"/>
    </row>
    <row r="663" spans="1:9" ht="17.399999999999999" x14ac:dyDescent="0.25">
      <c r="A663" s="16"/>
      <c r="B663" s="17"/>
      <c r="C663" s="2"/>
      <c r="D663" s="2"/>
      <c r="E663" s="2"/>
      <c r="F663" s="2"/>
      <c r="G663" s="2"/>
      <c r="H663" s="2"/>
      <c r="I663" s="5"/>
    </row>
    <row r="664" spans="1:9" ht="17.399999999999999" x14ac:dyDescent="0.25">
      <c r="A664" s="16"/>
      <c r="B664" s="17"/>
      <c r="C664" s="2"/>
      <c r="D664" s="2"/>
      <c r="E664" s="2"/>
      <c r="F664" s="2"/>
      <c r="G664" s="2"/>
      <c r="H664" s="2"/>
      <c r="I664" s="5"/>
    </row>
    <row r="665" spans="1:9" ht="17.399999999999999" x14ac:dyDescent="0.25">
      <c r="A665" s="16"/>
      <c r="B665" s="17"/>
      <c r="C665" s="2"/>
      <c r="D665" s="2"/>
      <c r="E665" s="2"/>
      <c r="F665" s="2"/>
      <c r="G665" s="2"/>
      <c r="H665" s="2"/>
      <c r="I665" s="5"/>
    </row>
    <row r="666" spans="1:9" ht="17.399999999999999" x14ac:dyDescent="0.25">
      <c r="A666" s="16"/>
      <c r="B666" s="17"/>
      <c r="C666" s="2"/>
      <c r="D666" s="2"/>
      <c r="E666" s="2"/>
      <c r="F666" s="2"/>
      <c r="G666" s="2"/>
      <c r="H666" s="2"/>
      <c r="I666" s="5"/>
    </row>
    <row r="667" spans="1:9" ht="17.399999999999999" x14ac:dyDescent="0.25">
      <c r="A667" s="16"/>
      <c r="B667" s="17"/>
      <c r="C667" s="2"/>
      <c r="D667" s="2"/>
      <c r="E667" s="2"/>
      <c r="F667" s="2"/>
      <c r="G667" s="2"/>
      <c r="H667" s="2"/>
      <c r="I667" s="5"/>
    </row>
    <row r="668" spans="1:9" ht="17.399999999999999" x14ac:dyDescent="0.25">
      <c r="A668" s="16"/>
      <c r="B668" s="17"/>
      <c r="C668" s="2"/>
      <c r="D668" s="2"/>
      <c r="E668" s="2"/>
      <c r="F668" s="2"/>
      <c r="G668" s="2"/>
      <c r="H668" s="2"/>
      <c r="I668" s="5"/>
    </row>
    <row r="669" spans="1:9" ht="17.399999999999999" x14ac:dyDescent="0.25">
      <c r="A669" s="16"/>
      <c r="B669" s="17"/>
      <c r="C669" s="2"/>
      <c r="D669" s="2"/>
      <c r="E669" s="2"/>
      <c r="F669" s="2"/>
      <c r="G669" s="2"/>
      <c r="H669" s="2"/>
      <c r="I669" s="5"/>
    </row>
    <row r="670" spans="1:9" ht="17.399999999999999" x14ac:dyDescent="0.25">
      <c r="A670" s="16"/>
      <c r="B670" s="17"/>
      <c r="C670" s="2"/>
      <c r="D670" s="2"/>
      <c r="E670" s="2"/>
      <c r="F670" s="2"/>
      <c r="G670" s="2"/>
      <c r="H670" s="2"/>
      <c r="I670" s="5"/>
    </row>
    <row r="671" spans="1:9" ht="17.399999999999999" x14ac:dyDescent="0.25">
      <c r="A671" s="16"/>
      <c r="B671" s="17"/>
      <c r="C671" s="2"/>
      <c r="D671" s="2"/>
      <c r="E671" s="2"/>
      <c r="F671" s="2"/>
      <c r="G671" s="2"/>
      <c r="H671" s="2"/>
      <c r="I671" s="5"/>
    </row>
    <row r="672" spans="1:9" ht="17.399999999999999" x14ac:dyDescent="0.25">
      <c r="A672" s="16"/>
      <c r="B672" s="17"/>
      <c r="C672" s="2"/>
      <c r="D672" s="2"/>
      <c r="E672" s="2"/>
      <c r="F672" s="2"/>
      <c r="G672" s="2"/>
      <c r="H672" s="2"/>
      <c r="I672" s="5"/>
    </row>
    <row r="673" spans="1:9" ht="17.399999999999999" x14ac:dyDescent="0.25">
      <c r="A673" s="16"/>
      <c r="B673" s="17"/>
      <c r="C673" s="2"/>
      <c r="D673" s="2"/>
      <c r="E673" s="2"/>
      <c r="F673" s="2"/>
      <c r="G673" s="2"/>
      <c r="H673" s="2"/>
      <c r="I673" s="5"/>
    </row>
    <row r="674" spans="1:9" ht="17.399999999999999" x14ac:dyDescent="0.25">
      <c r="A674" s="16"/>
      <c r="B674" s="17"/>
      <c r="C674" s="2"/>
      <c r="D674" s="2"/>
      <c r="E674" s="2"/>
      <c r="F674" s="2"/>
      <c r="G674" s="2"/>
      <c r="H674" s="2"/>
      <c r="I674" s="5"/>
    </row>
    <row r="675" spans="1:9" ht="17.399999999999999" x14ac:dyDescent="0.25">
      <c r="A675" s="16"/>
      <c r="B675" s="17"/>
      <c r="C675" s="2"/>
      <c r="D675" s="2"/>
      <c r="E675" s="2"/>
      <c r="F675" s="2"/>
      <c r="G675" s="2"/>
      <c r="H675" s="2"/>
      <c r="I675" s="5"/>
    </row>
    <row r="676" spans="1:9" ht="17.399999999999999" x14ac:dyDescent="0.25">
      <c r="A676" s="16"/>
      <c r="B676" s="17"/>
      <c r="C676" s="2"/>
      <c r="D676" s="2"/>
      <c r="E676" s="2"/>
      <c r="F676" s="2"/>
      <c r="G676" s="2"/>
      <c r="H676" s="2"/>
      <c r="I676" s="5"/>
    </row>
    <row r="677" spans="1:9" ht="17.399999999999999" x14ac:dyDescent="0.25">
      <c r="A677" s="16"/>
      <c r="B677" s="17"/>
      <c r="C677" s="2"/>
      <c r="D677" s="2"/>
      <c r="E677" s="2"/>
      <c r="F677" s="2"/>
      <c r="G677" s="2"/>
      <c r="H677" s="2"/>
      <c r="I677" s="5"/>
    </row>
    <row r="678" spans="1:9" ht="17.399999999999999" x14ac:dyDescent="0.25">
      <c r="A678" s="16"/>
      <c r="B678" s="17"/>
      <c r="C678" s="2"/>
      <c r="D678" s="2"/>
      <c r="E678" s="2"/>
      <c r="F678" s="2"/>
      <c r="G678" s="2"/>
      <c r="H678" s="2"/>
      <c r="I678" s="5"/>
    </row>
    <row r="679" spans="1:9" ht="17.399999999999999" x14ac:dyDescent="0.25">
      <c r="A679" s="16"/>
      <c r="B679" s="17"/>
      <c r="C679" s="2"/>
      <c r="D679" s="2"/>
      <c r="E679" s="2"/>
      <c r="F679" s="2"/>
      <c r="G679" s="2"/>
      <c r="H679" s="2"/>
      <c r="I679" s="5"/>
    </row>
    <row r="680" spans="1:9" ht="17.399999999999999" x14ac:dyDescent="0.25">
      <c r="A680" s="16"/>
      <c r="B680" s="17"/>
      <c r="C680" s="2"/>
      <c r="D680" s="2"/>
      <c r="E680" s="2"/>
      <c r="F680" s="2"/>
      <c r="G680" s="2"/>
      <c r="H680" s="2"/>
      <c r="I680" s="5"/>
    </row>
    <row r="681" spans="1:9" ht="17.399999999999999" x14ac:dyDescent="0.25">
      <c r="A681" s="16"/>
      <c r="B681" s="17"/>
      <c r="C681" s="2"/>
      <c r="D681" s="2"/>
      <c r="E681" s="2"/>
      <c r="F681" s="2"/>
      <c r="G681" s="2"/>
      <c r="H681" s="2"/>
      <c r="I681" s="5"/>
    </row>
    <row r="682" spans="1:9" ht="17.399999999999999" x14ac:dyDescent="0.25">
      <c r="A682" s="16"/>
      <c r="B682" s="17"/>
      <c r="C682" s="2"/>
      <c r="D682" s="2"/>
      <c r="E682" s="2"/>
      <c r="F682" s="2"/>
      <c r="G682" s="2"/>
      <c r="H682" s="2"/>
      <c r="I682" s="5"/>
    </row>
    <row r="683" spans="1:9" ht="17.399999999999999" x14ac:dyDescent="0.25">
      <c r="A683" s="16"/>
      <c r="B683" s="17"/>
      <c r="C683" s="2"/>
      <c r="D683" s="2"/>
      <c r="E683" s="2"/>
      <c r="F683" s="2"/>
      <c r="G683" s="2"/>
      <c r="H683" s="2"/>
      <c r="I683" s="5"/>
    </row>
    <row r="684" spans="1:9" ht="17.399999999999999" x14ac:dyDescent="0.25">
      <c r="A684" s="16"/>
      <c r="B684" s="17"/>
      <c r="C684" s="2"/>
      <c r="D684" s="2"/>
      <c r="E684" s="2"/>
      <c r="F684" s="2"/>
      <c r="G684" s="2"/>
      <c r="H684" s="2"/>
      <c r="I684" s="5"/>
    </row>
    <row r="685" spans="1:9" ht="17.399999999999999" x14ac:dyDescent="0.25">
      <c r="A685" s="16"/>
      <c r="B685" s="17"/>
      <c r="C685" s="2"/>
      <c r="D685" s="2"/>
      <c r="E685" s="2"/>
      <c r="F685" s="2"/>
      <c r="G685" s="2"/>
      <c r="H685" s="2"/>
      <c r="I685" s="5"/>
    </row>
    <row r="686" spans="1:9" ht="17.399999999999999" x14ac:dyDescent="0.25">
      <c r="A686" s="16"/>
      <c r="B686" s="17"/>
      <c r="C686" s="2"/>
      <c r="D686" s="2"/>
      <c r="E686" s="2"/>
      <c r="F686" s="2"/>
      <c r="G686" s="2"/>
      <c r="H686" s="2"/>
      <c r="I686" s="5"/>
    </row>
    <row r="687" spans="1:9" ht="17.399999999999999" x14ac:dyDescent="0.25">
      <c r="A687" s="16"/>
      <c r="B687" s="17"/>
      <c r="C687" s="2"/>
      <c r="D687" s="2"/>
      <c r="E687" s="2"/>
      <c r="F687" s="2"/>
      <c r="G687" s="2"/>
      <c r="H687" s="2"/>
      <c r="I687" s="5"/>
    </row>
    <row r="688" spans="1:9" ht="17.399999999999999" x14ac:dyDescent="0.25">
      <c r="A688" s="16"/>
      <c r="B688" s="17"/>
      <c r="C688" s="2"/>
      <c r="D688" s="2"/>
      <c r="E688" s="2"/>
      <c r="F688" s="2"/>
      <c r="G688" s="2"/>
      <c r="H688" s="2"/>
      <c r="I688" s="5"/>
    </row>
    <row r="689" spans="1:9" ht="17.399999999999999" x14ac:dyDescent="0.25">
      <c r="A689" s="16"/>
      <c r="B689" s="17"/>
      <c r="C689" s="2"/>
      <c r="D689" s="2"/>
      <c r="E689" s="2"/>
      <c r="F689" s="2"/>
      <c r="G689" s="2"/>
      <c r="H689" s="2"/>
      <c r="I689" s="5"/>
    </row>
    <row r="690" spans="1:9" ht="17.399999999999999" x14ac:dyDescent="0.25">
      <c r="A690" s="16"/>
      <c r="B690" s="17"/>
      <c r="C690" s="2"/>
      <c r="D690" s="2"/>
      <c r="E690" s="2"/>
      <c r="F690" s="2"/>
      <c r="G690" s="2"/>
      <c r="H690" s="2"/>
      <c r="I690" s="5"/>
    </row>
    <row r="691" spans="1:9" ht="17.399999999999999" x14ac:dyDescent="0.25">
      <c r="A691" s="16"/>
      <c r="B691" s="17"/>
      <c r="C691" s="2"/>
      <c r="D691" s="2"/>
      <c r="E691" s="2"/>
      <c r="F691" s="2"/>
      <c r="G691" s="2"/>
      <c r="H691" s="2"/>
      <c r="I691" s="5"/>
    </row>
    <row r="692" spans="1:9" ht="17.399999999999999" x14ac:dyDescent="0.25">
      <c r="A692" s="16"/>
      <c r="B692" s="17"/>
      <c r="C692" s="2"/>
      <c r="D692" s="2"/>
      <c r="E692" s="2"/>
      <c r="F692" s="2"/>
      <c r="G692" s="2"/>
      <c r="H692" s="2"/>
      <c r="I692" s="5"/>
    </row>
    <row r="693" spans="1:9" ht="17.399999999999999" x14ac:dyDescent="0.25">
      <c r="A693" s="16"/>
      <c r="B693" s="17"/>
      <c r="C693" s="2"/>
      <c r="D693" s="2"/>
      <c r="E693" s="2"/>
      <c r="F693" s="2"/>
      <c r="G693" s="2"/>
      <c r="H693" s="2"/>
      <c r="I693" s="5"/>
    </row>
    <row r="694" spans="1:9" ht="17.399999999999999" x14ac:dyDescent="0.25">
      <c r="A694" s="16"/>
      <c r="B694" s="17"/>
      <c r="C694" s="2"/>
      <c r="D694" s="2"/>
      <c r="E694" s="2"/>
      <c r="F694" s="2"/>
      <c r="G694" s="2"/>
      <c r="H694" s="2"/>
      <c r="I694" s="5"/>
    </row>
    <row r="695" spans="1:9" ht="17.399999999999999" x14ac:dyDescent="0.25">
      <c r="A695" s="16"/>
      <c r="B695" s="17"/>
      <c r="C695" s="2"/>
      <c r="D695" s="2"/>
      <c r="E695" s="2"/>
      <c r="F695" s="2"/>
      <c r="G695" s="2"/>
      <c r="H695" s="2"/>
      <c r="I695" s="5"/>
    </row>
    <row r="696" spans="1:9" ht="17.399999999999999" x14ac:dyDescent="0.25">
      <c r="A696" s="16"/>
      <c r="B696" s="17"/>
      <c r="C696" s="2"/>
      <c r="D696" s="2"/>
      <c r="E696" s="2"/>
      <c r="F696" s="2"/>
      <c r="G696" s="2"/>
      <c r="H696" s="2"/>
      <c r="I696" s="5"/>
    </row>
    <row r="697" spans="1:9" ht="17.399999999999999" x14ac:dyDescent="0.25">
      <c r="A697" s="16"/>
      <c r="B697" s="17"/>
      <c r="C697" s="2"/>
      <c r="D697" s="2"/>
      <c r="E697" s="2"/>
      <c r="F697" s="2"/>
      <c r="G697" s="2"/>
      <c r="H697" s="2"/>
      <c r="I697" s="5"/>
    </row>
    <row r="698" spans="1:9" ht="17.399999999999999" x14ac:dyDescent="0.25">
      <c r="A698" s="16"/>
      <c r="B698" s="17"/>
      <c r="C698" s="2"/>
      <c r="D698" s="2"/>
      <c r="E698" s="2"/>
      <c r="F698" s="2"/>
      <c r="G698" s="2"/>
      <c r="H698" s="2"/>
      <c r="I698" s="5"/>
    </row>
    <row r="699" spans="1:9" ht="17.399999999999999" x14ac:dyDescent="0.25">
      <c r="A699" s="16"/>
      <c r="B699" s="17"/>
      <c r="C699" s="2"/>
      <c r="D699" s="2"/>
      <c r="E699" s="2"/>
      <c r="F699" s="2"/>
      <c r="G699" s="2"/>
      <c r="H699" s="2"/>
      <c r="I699" s="5"/>
    </row>
    <row r="700" spans="1:9" ht="17.399999999999999" x14ac:dyDescent="0.25">
      <c r="A700" s="16"/>
      <c r="B700" s="17"/>
      <c r="C700" s="2"/>
      <c r="D700" s="2"/>
      <c r="E700" s="2"/>
      <c r="F700" s="2"/>
      <c r="G700" s="2"/>
      <c r="H700" s="2"/>
      <c r="I700" s="5"/>
    </row>
    <row r="701" spans="1:9" ht="17.399999999999999" x14ac:dyDescent="0.25">
      <c r="A701" s="16"/>
      <c r="B701" s="17"/>
      <c r="C701" s="2"/>
      <c r="D701" s="2"/>
      <c r="E701" s="2"/>
      <c r="F701" s="2"/>
      <c r="G701" s="2"/>
      <c r="H701" s="2"/>
      <c r="I701" s="5"/>
    </row>
    <row r="702" spans="1:9" ht="17.399999999999999" x14ac:dyDescent="0.25">
      <c r="A702" s="16"/>
      <c r="B702" s="17"/>
      <c r="C702" s="2"/>
      <c r="D702" s="2"/>
      <c r="E702" s="2"/>
      <c r="F702" s="2"/>
      <c r="G702" s="2"/>
      <c r="H702" s="2"/>
      <c r="I702" s="5"/>
    </row>
    <row r="703" spans="1:9" ht="17.399999999999999" x14ac:dyDescent="0.25">
      <c r="A703" s="16"/>
      <c r="B703" s="17"/>
      <c r="C703" s="2"/>
      <c r="D703" s="2"/>
      <c r="E703" s="2"/>
      <c r="F703" s="2"/>
      <c r="G703" s="2"/>
      <c r="H703" s="2"/>
      <c r="I703" s="5"/>
    </row>
    <row r="704" spans="1:9" ht="17.399999999999999" x14ac:dyDescent="0.25">
      <c r="A704" s="16"/>
      <c r="B704" s="17"/>
      <c r="C704" s="2"/>
      <c r="D704" s="2"/>
      <c r="E704" s="2"/>
      <c r="F704" s="2"/>
      <c r="G704" s="2"/>
      <c r="H704" s="2"/>
      <c r="I704" s="5"/>
    </row>
    <row r="705" spans="1:9" ht="17.399999999999999" x14ac:dyDescent="0.25">
      <c r="A705" s="16"/>
      <c r="B705" s="17"/>
      <c r="C705" s="2"/>
      <c r="D705" s="2"/>
      <c r="E705" s="2"/>
      <c r="F705" s="2"/>
      <c r="G705" s="2"/>
      <c r="H705" s="2"/>
      <c r="I705" s="5"/>
    </row>
    <row r="706" spans="1:9" ht="17.399999999999999" x14ac:dyDescent="0.25">
      <c r="A706" s="16"/>
      <c r="B706" s="17"/>
      <c r="C706" s="2"/>
      <c r="D706" s="2"/>
      <c r="E706" s="2"/>
      <c r="F706" s="2"/>
      <c r="G706" s="2"/>
      <c r="H706" s="2"/>
      <c r="I706" s="5"/>
    </row>
    <row r="707" spans="1:9" ht="17.399999999999999" x14ac:dyDescent="0.25">
      <c r="A707" s="16"/>
      <c r="B707" s="17"/>
      <c r="C707" s="2"/>
      <c r="D707" s="2"/>
      <c r="E707" s="2"/>
      <c r="F707" s="2"/>
      <c r="G707" s="2"/>
      <c r="H707" s="2"/>
      <c r="I707" s="5"/>
    </row>
    <row r="708" spans="1:9" ht="17.399999999999999" x14ac:dyDescent="0.25">
      <c r="A708" s="16"/>
      <c r="B708" s="17"/>
      <c r="C708" s="2"/>
      <c r="D708" s="2"/>
      <c r="E708" s="2"/>
      <c r="F708" s="2"/>
      <c r="G708" s="2"/>
      <c r="H708" s="2"/>
      <c r="I708" s="5"/>
    </row>
    <row r="709" spans="1:9" ht="17.399999999999999" x14ac:dyDescent="0.25">
      <c r="A709" s="16"/>
      <c r="B709" s="17"/>
      <c r="C709" s="2"/>
      <c r="D709" s="2"/>
      <c r="E709" s="2"/>
      <c r="F709" s="2"/>
      <c r="G709" s="2"/>
      <c r="H709" s="2"/>
      <c r="I709" s="5"/>
    </row>
    <row r="710" spans="1:9" ht="17.399999999999999" x14ac:dyDescent="0.25">
      <c r="A710" s="16"/>
      <c r="B710" s="17"/>
      <c r="C710" s="2"/>
      <c r="D710" s="2"/>
      <c r="E710" s="2"/>
      <c r="F710" s="2"/>
      <c r="G710" s="2"/>
      <c r="H710" s="2"/>
      <c r="I710" s="5"/>
    </row>
    <row r="711" spans="1:9" ht="17.399999999999999" x14ac:dyDescent="0.25">
      <c r="A711" s="16"/>
      <c r="B711" s="17"/>
      <c r="C711" s="2"/>
      <c r="D711" s="2"/>
      <c r="E711" s="2"/>
      <c r="F711" s="2"/>
      <c r="G711" s="2"/>
      <c r="H711" s="2"/>
      <c r="I711" s="5"/>
    </row>
    <row r="712" spans="1:9" ht="17.399999999999999" x14ac:dyDescent="0.25">
      <c r="A712" s="16"/>
      <c r="B712" s="17"/>
      <c r="C712" s="2"/>
      <c r="D712" s="2"/>
      <c r="E712" s="2"/>
      <c r="F712" s="2"/>
      <c r="G712" s="2"/>
      <c r="H712" s="2"/>
      <c r="I712" s="5"/>
    </row>
    <row r="713" spans="1:9" ht="17.399999999999999" x14ac:dyDescent="0.25">
      <c r="A713" s="16"/>
      <c r="B713" s="17"/>
      <c r="C713" s="2"/>
      <c r="D713" s="2"/>
      <c r="E713" s="2"/>
      <c r="F713" s="2"/>
      <c r="G713" s="2"/>
      <c r="H713" s="2"/>
      <c r="I713" s="5"/>
    </row>
    <row r="714" spans="1:9" ht="17.399999999999999" x14ac:dyDescent="0.25">
      <c r="A714" s="16"/>
      <c r="B714" s="17"/>
      <c r="C714" s="2"/>
      <c r="D714" s="2"/>
      <c r="E714" s="2"/>
      <c r="F714" s="2"/>
      <c r="G714" s="2"/>
      <c r="H714" s="2"/>
      <c r="I714" s="5"/>
    </row>
    <row r="715" spans="1:9" ht="17.399999999999999" x14ac:dyDescent="0.25">
      <c r="A715" s="16"/>
      <c r="B715" s="17"/>
      <c r="C715" s="2"/>
      <c r="D715" s="2"/>
      <c r="E715" s="2"/>
      <c r="F715" s="2"/>
      <c r="G715" s="2"/>
      <c r="H715" s="2"/>
      <c r="I715" s="5"/>
    </row>
    <row r="716" spans="1:9" ht="17.399999999999999" x14ac:dyDescent="0.25">
      <c r="A716" s="16"/>
      <c r="B716" s="17"/>
      <c r="C716" s="2"/>
      <c r="D716" s="2"/>
      <c r="E716" s="2"/>
      <c r="F716" s="2"/>
      <c r="G716" s="2"/>
      <c r="H716" s="2"/>
      <c r="I716" s="5"/>
    </row>
    <row r="717" spans="1:9" ht="17.399999999999999" x14ac:dyDescent="0.25">
      <c r="A717" s="16"/>
      <c r="B717" s="17"/>
      <c r="C717" s="2"/>
      <c r="D717" s="2"/>
      <c r="E717" s="2"/>
      <c r="F717" s="2"/>
      <c r="G717" s="2"/>
      <c r="H717" s="2"/>
      <c r="I717" s="5"/>
    </row>
    <row r="718" spans="1:9" ht="17.399999999999999" x14ac:dyDescent="0.25">
      <c r="A718" s="16"/>
      <c r="B718" s="17"/>
      <c r="C718" s="2"/>
      <c r="D718" s="2"/>
      <c r="E718" s="2"/>
      <c r="F718" s="2"/>
      <c r="G718" s="2"/>
      <c r="H718" s="2"/>
      <c r="I718" s="5"/>
    </row>
    <row r="719" spans="1:9" ht="17.399999999999999" x14ac:dyDescent="0.25">
      <c r="A719" s="16"/>
      <c r="B719" s="17"/>
      <c r="C719" s="2"/>
      <c r="D719" s="2"/>
      <c r="E719" s="2"/>
      <c r="F719" s="2"/>
      <c r="G719" s="2"/>
      <c r="H719" s="2"/>
      <c r="I719" s="5"/>
    </row>
    <row r="720" spans="1:9" ht="17.399999999999999" x14ac:dyDescent="0.25">
      <c r="A720" s="16"/>
      <c r="B720" s="17"/>
      <c r="C720" s="2"/>
      <c r="D720" s="2"/>
      <c r="E720" s="2"/>
      <c r="F720" s="2"/>
      <c r="G720" s="2"/>
      <c r="H720" s="2"/>
      <c r="I720" s="5"/>
    </row>
    <row r="721" spans="1:9" ht="17.399999999999999" x14ac:dyDescent="0.25">
      <c r="A721" s="16"/>
      <c r="B721" s="17"/>
      <c r="C721" s="2"/>
      <c r="D721" s="2"/>
      <c r="E721" s="2"/>
      <c r="F721" s="2"/>
      <c r="G721" s="2"/>
      <c r="H721" s="2"/>
      <c r="I721" s="5"/>
    </row>
    <row r="722" spans="1:9" ht="17.399999999999999" x14ac:dyDescent="0.25">
      <c r="A722" s="16"/>
      <c r="B722" s="17"/>
      <c r="C722" s="2"/>
      <c r="D722" s="2"/>
      <c r="E722" s="2"/>
      <c r="F722" s="2"/>
      <c r="G722" s="2"/>
      <c r="H722" s="2"/>
      <c r="I722" s="5"/>
    </row>
    <row r="723" spans="1:9" ht="17.399999999999999" x14ac:dyDescent="0.25">
      <c r="A723" s="16"/>
      <c r="B723" s="17"/>
      <c r="C723" s="2"/>
      <c r="D723" s="2"/>
      <c r="E723" s="2"/>
      <c r="F723" s="2"/>
      <c r="G723" s="2"/>
      <c r="H723" s="2"/>
      <c r="I723" s="5"/>
    </row>
    <row r="724" spans="1:9" ht="17.399999999999999" x14ac:dyDescent="0.25">
      <c r="A724" s="16"/>
      <c r="B724" s="17"/>
      <c r="C724" s="2"/>
      <c r="D724" s="2"/>
      <c r="E724" s="2"/>
      <c r="F724" s="2"/>
      <c r="G724" s="2"/>
      <c r="H724" s="2"/>
      <c r="I724" s="5"/>
    </row>
    <row r="725" spans="1:9" ht="17.399999999999999" x14ac:dyDescent="0.25">
      <c r="A725" s="16"/>
      <c r="B725" s="17"/>
      <c r="C725" s="2"/>
      <c r="D725" s="2"/>
      <c r="E725" s="2"/>
      <c r="F725" s="2"/>
      <c r="G725" s="2"/>
      <c r="H725" s="2"/>
      <c r="I725" s="5"/>
    </row>
    <row r="726" spans="1:9" ht="17.399999999999999" x14ac:dyDescent="0.25">
      <c r="A726" s="16"/>
      <c r="B726" s="17"/>
      <c r="C726" s="2"/>
      <c r="D726" s="2"/>
      <c r="E726" s="2"/>
      <c r="F726" s="2"/>
      <c r="G726" s="2"/>
      <c r="H726" s="2"/>
      <c r="I726" s="5"/>
    </row>
    <row r="727" spans="1:9" ht="17.399999999999999" x14ac:dyDescent="0.25">
      <c r="A727" s="16"/>
      <c r="B727" s="17"/>
      <c r="C727" s="2"/>
      <c r="D727" s="2"/>
      <c r="E727" s="2"/>
      <c r="F727" s="2"/>
      <c r="G727" s="2"/>
      <c r="H727" s="2"/>
      <c r="I727" s="5"/>
    </row>
    <row r="728" spans="1:9" ht="17.399999999999999" x14ac:dyDescent="0.25">
      <c r="A728" s="16"/>
      <c r="B728" s="17"/>
      <c r="C728" s="2"/>
      <c r="D728" s="2"/>
      <c r="E728" s="2"/>
      <c r="F728" s="2"/>
      <c r="G728" s="2"/>
      <c r="H728" s="2"/>
      <c r="I728" s="5"/>
    </row>
    <row r="729" spans="1:9" ht="17.399999999999999" x14ac:dyDescent="0.25">
      <c r="A729" s="16"/>
      <c r="B729" s="17"/>
      <c r="C729" s="2"/>
      <c r="D729" s="2"/>
      <c r="E729" s="2"/>
      <c r="F729" s="2"/>
      <c r="G729" s="2"/>
      <c r="H729" s="2"/>
      <c r="I729" s="5"/>
    </row>
    <row r="730" spans="1:9" ht="17.399999999999999" x14ac:dyDescent="0.25">
      <c r="A730" s="16"/>
      <c r="B730" s="17"/>
      <c r="C730" s="2"/>
      <c r="D730" s="2"/>
      <c r="E730" s="2"/>
      <c r="F730" s="2"/>
      <c r="G730" s="2"/>
      <c r="H730" s="2"/>
      <c r="I730" s="5"/>
    </row>
    <row r="731" spans="1:9" ht="17.399999999999999" x14ac:dyDescent="0.25">
      <c r="A731" s="16"/>
      <c r="B731" s="17"/>
      <c r="C731" s="2"/>
      <c r="D731" s="2"/>
      <c r="E731" s="2"/>
      <c r="F731" s="2"/>
      <c r="G731" s="2"/>
      <c r="H731" s="2"/>
      <c r="I731" s="5"/>
    </row>
    <row r="732" spans="1:9" ht="17.399999999999999" x14ac:dyDescent="0.25">
      <c r="A732" s="16"/>
      <c r="B732" s="17"/>
      <c r="C732" s="2"/>
      <c r="D732" s="2"/>
      <c r="E732" s="2"/>
      <c r="F732" s="2"/>
      <c r="G732" s="2"/>
      <c r="H732" s="2"/>
      <c r="I732" s="5"/>
    </row>
    <row r="733" spans="1:9" ht="17.399999999999999" x14ac:dyDescent="0.25">
      <c r="A733" s="16"/>
      <c r="B733" s="17"/>
      <c r="C733" s="2"/>
      <c r="D733" s="2"/>
      <c r="E733" s="2"/>
      <c r="F733" s="2"/>
      <c r="G733" s="2"/>
      <c r="H733" s="2"/>
      <c r="I733" s="5"/>
    </row>
    <row r="734" spans="1:9" ht="17.399999999999999" x14ac:dyDescent="0.25">
      <c r="A734" s="16"/>
      <c r="B734" s="17"/>
      <c r="C734" s="2"/>
      <c r="D734" s="2"/>
      <c r="E734" s="2"/>
      <c r="F734" s="2"/>
      <c r="G734" s="2"/>
      <c r="H734" s="2"/>
      <c r="I734" s="5"/>
    </row>
    <row r="735" spans="1:9" ht="17.399999999999999" x14ac:dyDescent="0.25">
      <c r="A735" s="16"/>
      <c r="B735" s="17"/>
      <c r="C735" s="2"/>
      <c r="D735" s="2"/>
      <c r="E735" s="2"/>
      <c r="F735" s="2"/>
      <c r="G735" s="2"/>
      <c r="H735" s="2"/>
      <c r="I735" s="5"/>
    </row>
    <row r="736" spans="1:9" ht="17.399999999999999" x14ac:dyDescent="0.25">
      <c r="A736" s="16"/>
      <c r="B736" s="17"/>
      <c r="C736" s="2"/>
      <c r="D736" s="2"/>
      <c r="E736" s="2"/>
      <c r="F736" s="2"/>
      <c r="G736" s="2"/>
      <c r="H736" s="2"/>
      <c r="I736" s="5"/>
    </row>
    <row r="737" spans="1:9" ht="17.399999999999999" x14ac:dyDescent="0.25">
      <c r="A737" s="16"/>
      <c r="B737" s="17"/>
      <c r="C737" s="2"/>
      <c r="D737" s="2"/>
      <c r="E737" s="2"/>
      <c r="F737" s="2"/>
      <c r="G737" s="2"/>
      <c r="H737" s="2"/>
      <c r="I737" s="5"/>
    </row>
    <row r="738" spans="1:9" ht="17.399999999999999" x14ac:dyDescent="0.25">
      <c r="A738" s="16"/>
      <c r="B738" s="17"/>
      <c r="C738" s="2"/>
      <c r="D738" s="2"/>
      <c r="E738" s="2"/>
      <c r="F738" s="2"/>
      <c r="G738" s="2"/>
      <c r="H738" s="2"/>
      <c r="I738" s="5"/>
    </row>
    <row r="739" spans="1:9" ht="17.399999999999999" x14ac:dyDescent="0.25">
      <c r="A739" s="16"/>
      <c r="B739" s="17"/>
      <c r="C739" s="2"/>
      <c r="D739" s="2"/>
      <c r="E739" s="2"/>
      <c r="F739" s="2"/>
      <c r="G739" s="2"/>
      <c r="H739" s="2"/>
      <c r="I739" s="5"/>
    </row>
    <row r="740" spans="1:9" ht="17.399999999999999" x14ac:dyDescent="0.25">
      <c r="A740" s="16"/>
      <c r="B740" s="17"/>
      <c r="C740" s="2"/>
      <c r="D740" s="2"/>
      <c r="E740" s="2"/>
      <c r="F740" s="2"/>
      <c r="G740" s="2"/>
      <c r="H740" s="2"/>
      <c r="I740" s="5"/>
    </row>
    <row r="741" spans="1:9" ht="17.399999999999999" x14ac:dyDescent="0.25">
      <c r="A741" s="16"/>
      <c r="B741" s="17"/>
      <c r="C741" s="2"/>
      <c r="D741" s="2"/>
      <c r="E741" s="2"/>
      <c r="F741" s="2"/>
      <c r="G741" s="2"/>
      <c r="H741" s="2"/>
      <c r="I741" s="5"/>
    </row>
    <row r="742" spans="1:9" ht="17.399999999999999" x14ac:dyDescent="0.25">
      <c r="A742" s="16"/>
      <c r="B742" s="17"/>
      <c r="C742" s="2"/>
      <c r="D742" s="2"/>
      <c r="E742" s="2"/>
      <c r="F742" s="2"/>
      <c r="G742" s="2"/>
      <c r="H742" s="2"/>
      <c r="I742" s="5"/>
    </row>
    <row r="743" spans="1:9" ht="17.399999999999999" x14ac:dyDescent="0.25">
      <c r="A743" s="16"/>
      <c r="B743" s="17"/>
      <c r="C743" s="2"/>
      <c r="D743" s="2"/>
      <c r="E743" s="2"/>
      <c r="F743" s="2"/>
      <c r="G743" s="2"/>
      <c r="H743" s="2"/>
      <c r="I743" s="5"/>
    </row>
    <row r="744" spans="1:9" ht="17.399999999999999" x14ac:dyDescent="0.25">
      <c r="A744" s="16"/>
      <c r="B744" s="17"/>
      <c r="C744" s="2"/>
      <c r="D744" s="2"/>
      <c r="E744" s="2"/>
      <c r="F744" s="2"/>
      <c r="G744" s="2"/>
      <c r="H744" s="2"/>
      <c r="I744" s="5"/>
    </row>
    <row r="745" spans="1:9" ht="17.399999999999999" x14ac:dyDescent="0.25">
      <c r="A745" s="16"/>
      <c r="B745" s="17"/>
      <c r="C745" s="2"/>
      <c r="D745" s="2"/>
      <c r="E745" s="2"/>
      <c r="F745" s="2"/>
      <c r="G745" s="2"/>
      <c r="H745" s="2"/>
      <c r="I745" s="5"/>
    </row>
    <row r="746" spans="1:9" ht="17.399999999999999" x14ac:dyDescent="0.25">
      <c r="A746" s="16"/>
      <c r="B746" s="17"/>
      <c r="C746" s="2"/>
      <c r="D746" s="2"/>
      <c r="E746" s="2"/>
      <c r="F746" s="2"/>
      <c r="G746" s="2"/>
      <c r="H746" s="2"/>
      <c r="I746" s="5"/>
    </row>
    <row r="747" spans="1:9" ht="17.399999999999999" x14ac:dyDescent="0.25">
      <c r="A747" s="16"/>
      <c r="B747" s="17"/>
      <c r="C747" s="2"/>
      <c r="D747" s="2"/>
      <c r="E747" s="2"/>
      <c r="F747" s="2"/>
      <c r="G747" s="2"/>
      <c r="H747" s="2"/>
      <c r="I747" s="5"/>
    </row>
    <row r="748" spans="1:9" ht="17.399999999999999" x14ac:dyDescent="0.25">
      <c r="A748" s="16"/>
      <c r="B748" s="17"/>
      <c r="C748" s="2"/>
      <c r="D748" s="2"/>
      <c r="E748" s="2"/>
      <c r="F748" s="2"/>
      <c r="G748" s="2"/>
      <c r="H748" s="2"/>
      <c r="I748" s="5"/>
    </row>
    <row r="749" spans="1:9" ht="17.399999999999999" x14ac:dyDescent="0.25">
      <c r="A749" s="16"/>
      <c r="B749" s="17"/>
      <c r="C749" s="2"/>
      <c r="D749" s="2"/>
      <c r="E749" s="2"/>
      <c r="F749" s="2"/>
      <c r="G749" s="2"/>
      <c r="H749" s="2"/>
      <c r="I749" s="5"/>
    </row>
    <row r="750" spans="1:9" ht="17.399999999999999" x14ac:dyDescent="0.25">
      <c r="A750" s="16"/>
      <c r="B750" s="17"/>
      <c r="C750" s="2"/>
      <c r="D750" s="2"/>
      <c r="E750" s="2"/>
      <c r="F750" s="2"/>
      <c r="G750" s="2"/>
      <c r="H750" s="2"/>
      <c r="I750" s="5"/>
    </row>
    <row r="751" spans="1:9" ht="17.399999999999999" x14ac:dyDescent="0.25">
      <c r="A751" s="16"/>
      <c r="B751" s="17"/>
      <c r="C751" s="2"/>
      <c r="D751" s="2"/>
      <c r="E751" s="2"/>
      <c r="F751" s="2"/>
      <c r="G751" s="2"/>
      <c r="H751" s="2"/>
      <c r="I751" s="5"/>
    </row>
    <row r="752" spans="1:9" ht="17.399999999999999" x14ac:dyDescent="0.25">
      <c r="A752" s="16"/>
      <c r="B752" s="17"/>
      <c r="C752" s="2"/>
      <c r="D752" s="2"/>
      <c r="E752" s="2"/>
      <c r="F752" s="2"/>
      <c r="G752" s="2"/>
      <c r="H752" s="2"/>
      <c r="I752" s="5"/>
    </row>
    <row r="753" spans="1:9" ht="17.399999999999999" x14ac:dyDescent="0.25">
      <c r="A753" s="16"/>
      <c r="B753" s="17"/>
      <c r="C753" s="2"/>
      <c r="D753" s="2"/>
      <c r="E753" s="2"/>
      <c r="F753" s="2"/>
      <c r="G753" s="2"/>
      <c r="H753" s="2"/>
      <c r="I753" s="5"/>
    </row>
    <row r="754" spans="1:9" ht="17.399999999999999" x14ac:dyDescent="0.25">
      <c r="A754" s="16"/>
      <c r="B754" s="17"/>
      <c r="C754" s="2"/>
      <c r="D754" s="2"/>
      <c r="E754" s="2"/>
      <c r="F754" s="2"/>
      <c r="G754" s="2"/>
      <c r="H754" s="2"/>
      <c r="I754" s="5"/>
    </row>
    <row r="755" spans="1:9" ht="17.399999999999999" x14ac:dyDescent="0.25">
      <c r="A755" s="16"/>
      <c r="B755" s="17"/>
      <c r="C755" s="2"/>
      <c r="D755" s="2"/>
      <c r="E755" s="2"/>
      <c r="F755" s="2"/>
      <c r="G755" s="2"/>
      <c r="H755" s="2"/>
      <c r="I755" s="5"/>
    </row>
    <row r="756" spans="1:9" ht="17.399999999999999" x14ac:dyDescent="0.25">
      <c r="A756" s="16"/>
      <c r="B756" s="17"/>
      <c r="C756" s="2"/>
      <c r="D756" s="2"/>
      <c r="E756" s="2"/>
      <c r="F756" s="2"/>
      <c r="G756" s="2"/>
      <c r="H756" s="2"/>
      <c r="I756" s="5"/>
    </row>
    <row r="757" spans="1:9" ht="17.399999999999999" x14ac:dyDescent="0.25">
      <c r="A757" s="16"/>
      <c r="B757" s="17"/>
      <c r="C757" s="2"/>
      <c r="D757" s="2"/>
      <c r="E757" s="2"/>
      <c r="F757" s="2"/>
      <c r="G757" s="2"/>
      <c r="H757" s="2"/>
      <c r="I757" s="5"/>
    </row>
    <row r="758" spans="1:9" ht="17.399999999999999" x14ac:dyDescent="0.25">
      <c r="A758" s="16"/>
      <c r="B758" s="17"/>
      <c r="C758" s="2"/>
      <c r="D758" s="2"/>
      <c r="E758" s="2"/>
      <c r="F758" s="2"/>
      <c r="G758" s="2"/>
      <c r="H758" s="2"/>
      <c r="I758" s="5"/>
    </row>
    <row r="759" spans="1:9" ht="17.399999999999999" x14ac:dyDescent="0.25">
      <c r="A759" s="16"/>
      <c r="B759" s="17"/>
      <c r="C759" s="2"/>
      <c r="D759" s="2"/>
      <c r="E759" s="2"/>
      <c r="F759" s="2"/>
      <c r="G759" s="2"/>
      <c r="H759" s="2"/>
      <c r="I759" s="5"/>
    </row>
    <row r="760" spans="1:9" ht="17.399999999999999" x14ac:dyDescent="0.25">
      <c r="A760" s="16"/>
      <c r="B760" s="17"/>
      <c r="C760" s="2"/>
      <c r="D760" s="2"/>
      <c r="E760" s="2"/>
      <c r="F760" s="2"/>
      <c r="G760" s="2"/>
      <c r="H760" s="2"/>
      <c r="I760" s="5"/>
    </row>
    <row r="761" spans="1:9" ht="17.399999999999999" x14ac:dyDescent="0.25">
      <c r="A761" s="16"/>
      <c r="B761" s="17"/>
      <c r="C761" s="2"/>
      <c r="D761" s="2"/>
      <c r="E761" s="2"/>
      <c r="F761" s="2"/>
      <c r="G761" s="2"/>
      <c r="H761" s="2"/>
      <c r="I761" s="5"/>
    </row>
    <row r="762" spans="1:9" ht="17.399999999999999" x14ac:dyDescent="0.25">
      <c r="A762" s="16"/>
      <c r="B762" s="17"/>
      <c r="C762" s="2"/>
      <c r="D762" s="2"/>
      <c r="E762" s="2"/>
      <c r="F762" s="2"/>
      <c r="G762" s="2"/>
      <c r="H762" s="2"/>
      <c r="I762" s="5"/>
    </row>
    <row r="763" spans="1:9" ht="17.399999999999999" x14ac:dyDescent="0.25">
      <c r="A763" s="16"/>
      <c r="B763" s="17"/>
      <c r="C763" s="2"/>
      <c r="D763" s="2"/>
      <c r="E763" s="2"/>
      <c r="F763" s="2"/>
      <c r="G763" s="2"/>
      <c r="H763" s="2"/>
      <c r="I763" s="5"/>
    </row>
    <row r="764" spans="1:9" ht="17.399999999999999" x14ac:dyDescent="0.25">
      <c r="A764" s="16"/>
      <c r="B764" s="17"/>
      <c r="C764" s="2"/>
      <c r="D764" s="2"/>
      <c r="E764" s="2"/>
      <c r="F764" s="2"/>
      <c r="G764" s="2"/>
      <c r="H764" s="2"/>
      <c r="I764" s="5"/>
    </row>
    <row r="765" spans="1:9" ht="17.399999999999999" x14ac:dyDescent="0.25">
      <c r="A765" s="16"/>
      <c r="B765" s="17"/>
      <c r="C765" s="2"/>
      <c r="D765" s="2"/>
      <c r="E765" s="2"/>
      <c r="F765" s="2"/>
      <c r="G765" s="2"/>
      <c r="H765" s="2"/>
      <c r="I765" s="5"/>
    </row>
    <row r="766" spans="1:9" ht="17.399999999999999" x14ac:dyDescent="0.25">
      <c r="A766" s="16"/>
      <c r="B766" s="17"/>
      <c r="C766" s="2"/>
      <c r="D766" s="2"/>
      <c r="E766" s="2"/>
      <c r="F766" s="2"/>
      <c r="G766" s="2"/>
      <c r="H766" s="2"/>
      <c r="I766" s="5"/>
    </row>
    <row r="767" spans="1:9" ht="17.399999999999999" x14ac:dyDescent="0.25">
      <c r="A767" s="16"/>
      <c r="B767" s="17"/>
      <c r="C767" s="2"/>
      <c r="D767" s="2"/>
      <c r="E767" s="2"/>
      <c r="F767" s="2"/>
      <c r="G767" s="2"/>
      <c r="H767" s="2"/>
      <c r="I767" s="5"/>
    </row>
    <row r="768" spans="1:9" ht="17.399999999999999" x14ac:dyDescent="0.25">
      <c r="A768" s="16"/>
      <c r="B768" s="17"/>
      <c r="C768" s="2"/>
      <c r="D768" s="2"/>
      <c r="E768" s="2"/>
      <c r="F768" s="2"/>
      <c r="G768" s="2"/>
      <c r="H768" s="2"/>
      <c r="I768" s="5"/>
    </row>
    <row r="769" spans="1:9" ht="17.399999999999999" x14ac:dyDescent="0.25">
      <c r="A769" s="16"/>
      <c r="B769" s="17"/>
      <c r="C769" s="2"/>
      <c r="D769" s="2"/>
      <c r="E769" s="2"/>
      <c r="F769" s="2"/>
      <c r="G769" s="2"/>
      <c r="H769" s="2"/>
      <c r="I769" s="5"/>
    </row>
    <row r="770" spans="1:9" ht="17.399999999999999" x14ac:dyDescent="0.25">
      <c r="A770" s="16"/>
      <c r="B770" s="17"/>
      <c r="C770" s="2"/>
      <c r="D770" s="2"/>
      <c r="E770" s="2"/>
      <c r="F770" s="2"/>
      <c r="G770" s="2"/>
      <c r="H770" s="2"/>
      <c r="I770" s="5"/>
    </row>
    <row r="771" spans="1:9" ht="17.399999999999999" x14ac:dyDescent="0.25">
      <c r="A771" s="16"/>
      <c r="B771" s="17"/>
      <c r="C771" s="2"/>
      <c r="D771" s="2"/>
      <c r="E771" s="2"/>
      <c r="F771" s="2"/>
      <c r="G771" s="2"/>
      <c r="H771" s="2"/>
      <c r="I771" s="5"/>
    </row>
    <row r="772" spans="1:9" ht="17.399999999999999" x14ac:dyDescent="0.25">
      <c r="A772" s="16"/>
      <c r="B772" s="17"/>
      <c r="C772" s="2"/>
      <c r="D772" s="2"/>
      <c r="E772" s="2"/>
      <c r="F772" s="2"/>
      <c r="G772" s="2"/>
      <c r="H772" s="2"/>
      <c r="I772" s="5"/>
    </row>
    <row r="773" spans="1:9" ht="17.399999999999999" x14ac:dyDescent="0.25">
      <c r="A773" s="16"/>
      <c r="B773" s="17"/>
      <c r="C773" s="2"/>
      <c r="D773" s="2"/>
      <c r="E773" s="2"/>
      <c r="F773" s="2"/>
      <c r="G773" s="2"/>
      <c r="H773" s="2"/>
      <c r="I773" s="5"/>
    </row>
    <row r="774" spans="1:9" ht="17.399999999999999" x14ac:dyDescent="0.25">
      <c r="A774" s="16"/>
      <c r="B774" s="17"/>
      <c r="C774" s="2"/>
      <c r="D774" s="2"/>
      <c r="E774" s="2"/>
      <c r="F774" s="2"/>
      <c r="G774" s="2"/>
      <c r="H774" s="2"/>
      <c r="I774" s="5"/>
    </row>
    <row r="775" spans="1:9" ht="17.399999999999999" x14ac:dyDescent="0.25">
      <c r="A775" s="16"/>
      <c r="B775" s="17"/>
      <c r="C775" s="2"/>
      <c r="D775" s="2"/>
      <c r="E775" s="2"/>
      <c r="F775" s="2"/>
      <c r="G775" s="2"/>
      <c r="H775" s="2"/>
      <c r="I775" s="5"/>
    </row>
    <row r="776" spans="1:9" ht="17.399999999999999" x14ac:dyDescent="0.25">
      <c r="A776" s="16"/>
      <c r="B776" s="17"/>
      <c r="C776" s="2"/>
      <c r="D776" s="2"/>
      <c r="E776" s="2"/>
      <c r="F776" s="2"/>
      <c r="G776" s="2"/>
      <c r="H776" s="2"/>
      <c r="I776" s="5"/>
    </row>
    <row r="777" spans="1:9" ht="17.399999999999999" x14ac:dyDescent="0.25">
      <c r="A777" s="16"/>
      <c r="B777" s="17"/>
      <c r="C777" s="2"/>
      <c r="D777" s="2"/>
      <c r="E777" s="2"/>
      <c r="F777" s="2"/>
      <c r="G777" s="2"/>
      <c r="H777" s="2"/>
      <c r="I777" s="5"/>
    </row>
    <row r="778" spans="1:9" ht="17.399999999999999" x14ac:dyDescent="0.25">
      <c r="A778" s="16"/>
      <c r="B778" s="17"/>
      <c r="C778" s="2"/>
      <c r="D778" s="2"/>
      <c r="E778" s="2"/>
      <c r="F778" s="2"/>
      <c r="G778" s="2"/>
      <c r="H778" s="2"/>
      <c r="I778" s="5"/>
    </row>
    <row r="779" spans="1:9" ht="17.399999999999999" x14ac:dyDescent="0.25">
      <c r="A779" s="16"/>
      <c r="B779" s="17"/>
      <c r="C779" s="2"/>
      <c r="D779" s="2"/>
      <c r="E779" s="2"/>
      <c r="F779" s="2"/>
      <c r="G779" s="2"/>
      <c r="H779" s="2"/>
      <c r="I779" s="5"/>
    </row>
    <row r="780" spans="1:9" ht="17.399999999999999" x14ac:dyDescent="0.25">
      <c r="A780" s="16"/>
      <c r="B780" s="17"/>
      <c r="C780" s="2"/>
      <c r="D780" s="2"/>
      <c r="E780" s="2"/>
      <c r="F780" s="2"/>
      <c r="G780" s="2"/>
      <c r="H780" s="2"/>
      <c r="I780" s="5"/>
    </row>
    <row r="781" spans="1:9" ht="17.399999999999999" x14ac:dyDescent="0.25">
      <c r="A781" s="16"/>
      <c r="B781" s="17"/>
      <c r="C781" s="2"/>
      <c r="D781" s="2"/>
      <c r="E781" s="2"/>
      <c r="F781" s="2"/>
      <c r="G781" s="2"/>
      <c r="H781" s="2"/>
      <c r="I781" s="5"/>
    </row>
    <row r="782" spans="1:9" ht="17.399999999999999" x14ac:dyDescent="0.25">
      <c r="A782" s="16"/>
      <c r="B782" s="17"/>
      <c r="C782" s="2"/>
      <c r="D782" s="2"/>
      <c r="E782" s="2"/>
      <c r="F782" s="2"/>
      <c r="G782" s="2"/>
      <c r="H782" s="2"/>
      <c r="I782" s="5"/>
    </row>
    <row r="783" spans="1:9" ht="17.399999999999999" x14ac:dyDescent="0.25">
      <c r="A783" s="16"/>
      <c r="B783" s="17"/>
      <c r="C783" s="2"/>
      <c r="D783" s="2"/>
      <c r="E783" s="2"/>
      <c r="F783" s="2"/>
      <c r="G783" s="2"/>
      <c r="H783" s="2"/>
      <c r="I783" s="5"/>
    </row>
    <row r="784" spans="1:9" ht="17.399999999999999" x14ac:dyDescent="0.25">
      <c r="A784" s="16"/>
      <c r="B784" s="17"/>
      <c r="C784" s="2"/>
      <c r="D784" s="2"/>
      <c r="E784" s="2"/>
      <c r="F784" s="2"/>
      <c r="G784" s="2"/>
      <c r="H784" s="2"/>
      <c r="I784" s="5"/>
    </row>
    <row r="785" spans="1:9" ht="17.399999999999999" x14ac:dyDescent="0.25">
      <c r="A785" s="16"/>
      <c r="B785" s="17"/>
      <c r="C785" s="2"/>
      <c r="D785" s="2"/>
      <c r="E785" s="2"/>
      <c r="F785" s="2"/>
      <c r="G785" s="2"/>
      <c r="H785" s="2"/>
      <c r="I785" s="5"/>
    </row>
    <row r="786" spans="1:9" ht="17.399999999999999" x14ac:dyDescent="0.25">
      <c r="A786" s="16"/>
      <c r="B786" s="17"/>
      <c r="C786" s="2"/>
      <c r="D786" s="2"/>
      <c r="E786" s="2"/>
      <c r="F786" s="2"/>
      <c r="G786" s="2"/>
      <c r="H786" s="2"/>
      <c r="I786" s="5"/>
    </row>
    <row r="787" spans="1:9" ht="17.399999999999999" x14ac:dyDescent="0.25">
      <c r="A787" s="16"/>
      <c r="B787" s="17"/>
      <c r="C787" s="2"/>
      <c r="D787" s="2"/>
      <c r="E787" s="2"/>
      <c r="F787" s="2"/>
      <c r="G787" s="2"/>
      <c r="H787" s="2"/>
      <c r="I787" s="5"/>
    </row>
    <row r="788" spans="1:9" ht="17.399999999999999" x14ac:dyDescent="0.25">
      <c r="A788" s="16"/>
      <c r="B788" s="17"/>
      <c r="C788" s="2"/>
      <c r="D788" s="2"/>
      <c r="E788" s="2"/>
      <c r="F788" s="2"/>
      <c r="G788" s="2"/>
      <c r="H788" s="2"/>
      <c r="I788" s="5"/>
    </row>
    <row r="789" spans="1:9" ht="17.399999999999999" x14ac:dyDescent="0.25">
      <c r="A789" s="16"/>
      <c r="B789" s="17"/>
      <c r="C789" s="2"/>
      <c r="D789" s="2"/>
      <c r="E789" s="2"/>
      <c r="F789" s="2"/>
      <c r="G789" s="2"/>
      <c r="H789" s="2"/>
      <c r="I789" s="5"/>
    </row>
    <row r="790" spans="1:9" ht="17.399999999999999" x14ac:dyDescent="0.25">
      <c r="A790" s="16"/>
      <c r="B790" s="17"/>
      <c r="C790" s="2"/>
      <c r="D790" s="2"/>
      <c r="E790" s="2"/>
      <c r="F790" s="2"/>
      <c r="G790" s="2"/>
      <c r="H790" s="2"/>
      <c r="I790" s="5"/>
    </row>
    <row r="791" spans="1:9" ht="17.399999999999999" x14ac:dyDescent="0.25">
      <c r="A791" s="16"/>
      <c r="B791" s="17"/>
      <c r="C791" s="2"/>
      <c r="D791" s="2"/>
      <c r="E791" s="2"/>
      <c r="F791" s="2"/>
      <c r="G791" s="2"/>
      <c r="H791" s="2"/>
      <c r="I791" s="5"/>
    </row>
    <row r="792" spans="1:9" ht="17.399999999999999" x14ac:dyDescent="0.25">
      <c r="A792" s="16"/>
      <c r="B792" s="17"/>
      <c r="C792" s="2"/>
      <c r="D792" s="2"/>
      <c r="E792" s="2"/>
      <c r="F792" s="2"/>
      <c r="G792" s="2"/>
      <c r="H792" s="2"/>
      <c r="I792" s="5"/>
    </row>
    <row r="793" spans="1:9" ht="17.399999999999999" x14ac:dyDescent="0.25">
      <c r="A793" s="16"/>
      <c r="B793" s="17"/>
      <c r="C793" s="2"/>
      <c r="D793" s="2"/>
      <c r="E793" s="2"/>
      <c r="F793" s="2"/>
      <c r="G793" s="2"/>
      <c r="H793" s="2"/>
      <c r="I793" s="5"/>
    </row>
    <row r="794" spans="1:9" ht="17.399999999999999" x14ac:dyDescent="0.25">
      <c r="A794" s="16"/>
      <c r="B794" s="17"/>
      <c r="C794" s="2"/>
      <c r="D794" s="2"/>
      <c r="E794" s="2"/>
      <c r="F794" s="2"/>
      <c r="G794" s="2"/>
      <c r="H794" s="2"/>
      <c r="I794" s="5"/>
    </row>
    <row r="795" spans="1:9" ht="17.399999999999999" x14ac:dyDescent="0.25">
      <c r="A795" s="16"/>
      <c r="B795" s="17"/>
      <c r="C795" s="2"/>
      <c r="D795" s="2"/>
      <c r="E795" s="2"/>
      <c r="F795" s="2"/>
      <c r="G795" s="2"/>
      <c r="H795" s="2"/>
      <c r="I795" s="5"/>
    </row>
    <row r="796" spans="1:9" ht="17.399999999999999" x14ac:dyDescent="0.25">
      <c r="A796" s="16"/>
      <c r="B796" s="17"/>
      <c r="C796" s="2"/>
      <c r="D796" s="2"/>
      <c r="E796" s="2"/>
      <c r="F796" s="2"/>
      <c r="G796" s="2"/>
      <c r="H796" s="2"/>
      <c r="I796" s="5"/>
    </row>
    <row r="797" spans="1:9" ht="17.399999999999999" x14ac:dyDescent="0.25">
      <c r="A797" s="16"/>
      <c r="B797" s="17"/>
      <c r="C797" s="2"/>
      <c r="D797" s="2"/>
      <c r="E797" s="2"/>
      <c r="F797" s="2"/>
      <c r="G797" s="2"/>
      <c r="H797" s="2"/>
      <c r="I797" s="5"/>
    </row>
    <row r="798" spans="1:9" ht="17.399999999999999" x14ac:dyDescent="0.25">
      <c r="A798" s="16"/>
      <c r="B798" s="17"/>
      <c r="C798" s="2"/>
      <c r="D798" s="2"/>
      <c r="E798" s="2"/>
      <c r="F798" s="2"/>
      <c r="G798" s="2"/>
      <c r="H798" s="2"/>
      <c r="I798" s="5"/>
    </row>
    <row r="799" spans="1:9" ht="17.399999999999999" x14ac:dyDescent="0.25">
      <c r="A799" s="16"/>
      <c r="B799" s="17"/>
      <c r="C799" s="2"/>
      <c r="D799" s="2"/>
      <c r="E799" s="2"/>
      <c r="F799" s="2"/>
      <c r="G799" s="2"/>
      <c r="H799" s="2"/>
      <c r="I799" s="5"/>
    </row>
    <row r="800" spans="1:9" ht="17.399999999999999" x14ac:dyDescent="0.25">
      <c r="A800" s="16"/>
      <c r="B800" s="17"/>
      <c r="C800" s="2"/>
      <c r="D800" s="2"/>
      <c r="E800" s="2"/>
      <c r="F800" s="2"/>
      <c r="G800" s="2"/>
      <c r="H800" s="2"/>
      <c r="I800" s="5"/>
    </row>
    <row r="801" spans="1:9" ht="17.399999999999999" x14ac:dyDescent="0.25">
      <c r="A801" s="16"/>
      <c r="B801" s="17"/>
      <c r="C801" s="2"/>
      <c r="D801" s="2"/>
      <c r="E801" s="2"/>
      <c r="F801" s="2"/>
      <c r="G801" s="2"/>
      <c r="H801" s="2"/>
      <c r="I801" s="5"/>
    </row>
    <row r="802" spans="1:9" ht="17.399999999999999" x14ac:dyDescent="0.25">
      <c r="A802" s="16"/>
      <c r="B802" s="17"/>
      <c r="C802" s="2"/>
      <c r="D802" s="2"/>
      <c r="E802" s="2"/>
      <c r="F802" s="2"/>
      <c r="G802" s="2"/>
      <c r="H802" s="2"/>
      <c r="I802" s="5"/>
    </row>
    <row r="803" spans="1:9" ht="17.399999999999999" x14ac:dyDescent="0.25">
      <c r="A803" s="16"/>
      <c r="B803" s="17"/>
      <c r="C803" s="2"/>
      <c r="D803" s="2"/>
      <c r="E803" s="2"/>
      <c r="F803" s="2"/>
      <c r="G803" s="2"/>
      <c r="H803" s="2"/>
      <c r="I803" s="5"/>
    </row>
    <row r="804" spans="1:9" ht="17.399999999999999" x14ac:dyDescent="0.25">
      <c r="A804" s="16"/>
      <c r="B804" s="17"/>
      <c r="C804" s="2"/>
      <c r="D804" s="2"/>
      <c r="E804" s="2"/>
      <c r="F804" s="2"/>
      <c r="G804" s="2"/>
      <c r="H804" s="2"/>
      <c r="I804" s="5"/>
    </row>
    <row r="805" spans="1:9" ht="17.399999999999999" x14ac:dyDescent="0.25">
      <c r="A805" s="16"/>
      <c r="B805" s="17"/>
      <c r="C805" s="2"/>
      <c r="D805" s="2"/>
      <c r="E805" s="2"/>
      <c r="F805" s="2"/>
      <c r="G805" s="2"/>
      <c r="H805" s="2"/>
      <c r="I805" s="5"/>
    </row>
    <row r="806" spans="1:9" ht="17.399999999999999" x14ac:dyDescent="0.25">
      <c r="A806" s="16"/>
      <c r="B806" s="17"/>
      <c r="C806" s="2"/>
      <c r="D806" s="2"/>
      <c r="E806" s="2"/>
      <c r="F806" s="2"/>
      <c r="G806" s="2"/>
      <c r="H806" s="2"/>
      <c r="I806" s="5"/>
    </row>
    <row r="807" spans="1:9" ht="17.399999999999999" x14ac:dyDescent="0.25">
      <c r="A807" s="16"/>
      <c r="B807" s="17"/>
      <c r="C807" s="2"/>
      <c r="D807" s="2"/>
      <c r="E807" s="2"/>
      <c r="F807" s="2"/>
      <c r="G807" s="2"/>
      <c r="H807" s="2"/>
      <c r="I807" s="5"/>
    </row>
    <row r="808" spans="1:9" ht="17.399999999999999" x14ac:dyDescent="0.25">
      <c r="A808" s="16"/>
      <c r="B808" s="17"/>
      <c r="C808" s="2"/>
      <c r="D808" s="2"/>
      <c r="E808" s="2"/>
      <c r="F808" s="2"/>
      <c r="G808" s="2"/>
      <c r="H808" s="2"/>
      <c r="I808" s="5"/>
    </row>
    <row r="809" spans="1:9" ht="17.399999999999999" x14ac:dyDescent="0.25">
      <c r="A809" s="16"/>
      <c r="B809" s="17"/>
      <c r="C809" s="2"/>
      <c r="D809" s="2"/>
      <c r="E809" s="2"/>
      <c r="F809" s="2"/>
      <c r="G809" s="2"/>
      <c r="H809" s="2"/>
      <c r="I809" s="5"/>
    </row>
    <row r="810" spans="1:9" ht="17.399999999999999" x14ac:dyDescent="0.25">
      <c r="A810" s="16"/>
      <c r="B810" s="17"/>
      <c r="C810" s="2"/>
      <c r="D810" s="2"/>
      <c r="E810" s="2"/>
      <c r="F810" s="2"/>
      <c r="G810" s="2"/>
      <c r="H810" s="2"/>
      <c r="I810" s="5"/>
    </row>
    <row r="811" spans="1:9" ht="17.399999999999999" x14ac:dyDescent="0.25">
      <c r="A811" s="16"/>
      <c r="B811" s="17"/>
      <c r="C811" s="2"/>
      <c r="D811" s="2"/>
      <c r="E811" s="2"/>
      <c r="F811" s="2"/>
      <c r="G811" s="2"/>
      <c r="H811" s="2"/>
      <c r="I811" s="5"/>
    </row>
    <row r="812" spans="1:9" ht="17.399999999999999" x14ac:dyDescent="0.25">
      <c r="A812" s="16"/>
      <c r="B812" s="17"/>
      <c r="C812" s="2"/>
      <c r="D812" s="2"/>
      <c r="E812" s="2"/>
      <c r="F812" s="2"/>
      <c r="G812" s="2"/>
      <c r="H812" s="2"/>
      <c r="I812" s="5"/>
    </row>
    <row r="813" spans="1:9" ht="17.399999999999999" x14ac:dyDescent="0.25">
      <c r="A813" s="16"/>
      <c r="B813" s="17"/>
      <c r="C813" s="2"/>
      <c r="D813" s="2"/>
      <c r="E813" s="2"/>
      <c r="F813" s="2"/>
      <c r="G813" s="2"/>
      <c r="H813" s="2"/>
      <c r="I813" s="5"/>
    </row>
    <row r="814" spans="1:9" ht="17.399999999999999" x14ac:dyDescent="0.25">
      <c r="A814" s="16"/>
      <c r="B814" s="17"/>
      <c r="C814" s="2"/>
      <c r="D814" s="2"/>
      <c r="E814" s="2"/>
      <c r="F814" s="2"/>
      <c r="G814" s="2"/>
      <c r="H814" s="2"/>
      <c r="I814" s="5"/>
    </row>
    <row r="815" spans="1:9" ht="17.399999999999999" x14ac:dyDescent="0.25">
      <c r="A815" s="16"/>
      <c r="B815" s="17"/>
      <c r="C815" s="2"/>
      <c r="D815" s="2"/>
      <c r="E815" s="2"/>
      <c r="F815" s="2"/>
      <c r="G815" s="2"/>
      <c r="H815" s="2"/>
      <c r="I815" s="5"/>
    </row>
    <row r="816" spans="1:9" ht="17.399999999999999" x14ac:dyDescent="0.25">
      <c r="A816" s="16"/>
      <c r="B816" s="17"/>
      <c r="C816" s="2"/>
      <c r="D816" s="2"/>
      <c r="E816" s="2"/>
      <c r="F816" s="2"/>
      <c r="G816" s="2"/>
      <c r="H816" s="2"/>
      <c r="I816" s="5"/>
    </row>
    <row r="817" spans="1:9" ht="17.399999999999999" x14ac:dyDescent="0.25">
      <c r="A817" s="16"/>
      <c r="B817" s="17"/>
      <c r="C817" s="2"/>
      <c r="D817" s="2"/>
      <c r="E817" s="2"/>
      <c r="F817" s="2"/>
      <c r="G817" s="2"/>
      <c r="H817" s="2"/>
      <c r="I817" s="5"/>
    </row>
    <row r="818" spans="1:9" ht="17.399999999999999" x14ac:dyDescent="0.25">
      <c r="A818" s="16"/>
      <c r="B818" s="17"/>
      <c r="C818" s="2"/>
      <c r="D818" s="2"/>
      <c r="E818" s="2"/>
      <c r="F818" s="2"/>
      <c r="G818" s="2"/>
      <c r="H818" s="2"/>
      <c r="I818" s="5"/>
    </row>
    <row r="819" spans="1:9" ht="17.399999999999999" x14ac:dyDescent="0.25">
      <c r="A819" s="16"/>
      <c r="B819" s="17"/>
      <c r="C819" s="2"/>
      <c r="D819" s="2"/>
      <c r="E819" s="2"/>
      <c r="F819" s="2"/>
      <c r="G819" s="2"/>
      <c r="H819" s="2"/>
      <c r="I819" s="5"/>
    </row>
    <row r="820" spans="1:9" ht="17.399999999999999" x14ac:dyDescent="0.25">
      <c r="A820" s="16"/>
      <c r="B820" s="17"/>
      <c r="C820" s="2"/>
      <c r="D820" s="2"/>
      <c r="E820" s="2"/>
      <c r="F820" s="2"/>
      <c r="G820" s="2"/>
      <c r="H820" s="2"/>
      <c r="I820" s="5"/>
    </row>
    <row r="821" spans="1:9" ht="17.399999999999999" x14ac:dyDescent="0.25">
      <c r="A821" s="16"/>
      <c r="B821" s="17"/>
      <c r="C821" s="2"/>
      <c r="D821" s="2"/>
      <c r="E821" s="2"/>
      <c r="F821" s="2"/>
      <c r="G821" s="2"/>
      <c r="H821" s="2"/>
      <c r="I821" s="5"/>
    </row>
    <row r="822" spans="1:9" ht="17.399999999999999" x14ac:dyDescent="0.25">
      <c r="A822" s="16"/>
      <c r="B822" s="17"/>
      <c r="C822" s="2"/>
      <c r="D822" s="2"/>
      <c r="E822" s="2"/>
      <c r="F822" s="2"/>
      <c r="G822" s="2"/>
      <c r="H822" s="2"/>
      <c r="I822" s="5"/>
    </row>
    <row r="823" spans="1:9" ht="17.399999999999999" x14ac:dyDescent="0.25">
      <c r="A823" s="16"/>
      <c r="B823" s="17"/>
      <c r="C823" s="2"/>
      <c r="D823" s="2"/>
      <c r="E823" s="2"/>
      <c r="F823" s="2"/>
      <c r="G823" s="2"/>
      <c r="H823" s="2"/>
      <c r="I823" s="5"/>
    </row>
    <row r="824" spans="1:9" ht="17.399999999999999" x14ac:dyDescent="0.25">
      <c r="A824" s="16"/>
      <c r="B824" s="17"/>
      <c r="C824" s="2"/>
      <c r="D824" s="2"/>
      <c r="E824" s="2"/>
      <c r="F824" s="2"/>
      <c r="G824" s="2"/>
      <c r="H824" s="2"/>
      <c r="I824" s="5"/>
    </row>
    <row r="825" spans="1:9" ht="17.399999999999999" x14ac:dyDescent="0.25">
      <c r="A825" s="16"/>
      <c r="B825" s="17"/>
      <c r="C825" s="2"/>
      <c r="D825" s="2"/>
      <c r="E825" s="2"/>
      <c r="F825" s="2"/>
      <c r="G825" s="2"/>
      <c r="H825" s="2"/>
      <c r="I825" s="5"/>
    </row>
    <row r="826" spans="1:9" ht="17.399999999999999" x14ac:dyDescent="0.25">
      <c r="A826" s="16"/>
      <c r="B826" s="17"/>
      <c r="C826" s="2"/>
      <c r="D826" s="2"/>
      <c r="E826" s="2"/>
      <c r="F826" s="2"/>
      <c r="G826" s="2"/>
      <c r="H826" s="2"/>
      <c r="I826" s="5"/>
    </row>
    <row r="827" spans="1:9" ht="17.399999999999999" x14ac:dyDescent="0.25">
      <c r="A827" s="16"/>
      <c r="B827" s="17"/>
      <c r="C827" s="2"/>
      <c r="D827" s="2"/>
      <c r="E827" s="2"/>
      <c r="F827" s="2"/>
      <c r="G827" s="2"/>
      <c r="H827" s="2"/>
      <c r="I827" s="5"/>
    </row>
    <row r="828" spans="1:9" ht="17.399999999999999" x14ac:dyDescent="0.25">
      <c r="A828" s="16"/>
      <c r="B828" s="17"/>
      <c r="C828" s="2"/>
      <c r="D828" s="2"/>
      <c r="E828" s="2"/>
      <c r="F828" s="2"/>
      <c r="G828" s="2"/>
      <c r="H828" s="2"/>
      <c r="I828" s="5"/>
    </row>
    <row r="829" spans="1:9" ht="17.399999999999999" x14ac:dyDescent="0.25">
      <c r="A829" s="16"/>
      <c r="B829" s="17"/>
      <c r="C829" s="2"/>
      <c r="D829" s="2"/>
      <c r="E829" s="2"/>
      <c r="F829" s="2"/>
      <c r="G829" s="2"/>
      <c r="H829" s="2"/>
      <c r="I829" s="5"/>
    </row>
    <row r="830" spans="1:9" ht="17.399999999999999" x14ac:dyDescent="0.25">
      <c r="A830" s="16"/>
      <c r="B830" s="17"/>
      <c r="C830" s="2"/>
      <c r="D830" s="2"/>
      <c r="E830" s="2"/>
      <c r="F830" s="2"/>
      <c r="G830" s="2"/>
      <c r="H830" s="2"/>
      <c r="I830" s="5"/>
    </row>
    <row r="831" spans="1:9" ht="17.399999999999999" x14ac:dyDescent="0.25">
      <c r="A831" s="16"/>
      <c r="B831" s="17"/>
      <c r="C831" s="2"/>
      <c r="D831" s="2"/>
      <c r="E831" s="2"/>
      <c r="F831" s="2"/>
      <c r="G831" s="2"/>
      <c r="H831" s="2"/>
      <c r="I831" s="5"/>
    </row>
    <row r="832" spans="1:9" ht="17.399999999999999" x14ac:dyDescent="0.25">
      <c r="A832" s="16"/>
      <c r="B832" s="17"/>
      <c r="C832" s="2"/>
      <c r="D832" s="2"/>
      <c r="E832" s="2"/>
      <c r="F832" s="2"/>
      <c r="G832" s="2"/>
      <c r="H832" s="2"/>
      <c r="I832" s="5"/>
    </row>
    <row r="833" spans="1:9" ht="17.399999999999999" x14ac:dyDescent="0.25">
      <c r="A833" s="16"/>
      <c r="B833" s="17"/>
      <c r="C833" s="2"/>
      <c r="D833" s="2"/>
      <c r="E833" s="2"/>
      <c r="F833" s="2"/>
      <c r="G833" s="2"/>
      <c r="H833" s="2"/>
      <c r="I833" s="5"/>
    </row>
    <row r="834" spans="1:9" ht="17.399999999999999" x14ac:dyDescent="0.25">
      <c r="A834" s="16"/>
      <c r="B834" s="17"/>
      <c r="C834" s="2"/>
      <c r="D834" s="2"/>
      <c r="E834" s="2"/>
      <c r="F834" s="2"/>
      <c r="G834" s="2"/>
      <c r="H834" s="2"/>
      <c r="I834" s="5"/>
    </row>
    <row r="835" spans="1:9" ht="17.399999999999999" x14ac:dyDescent="0.25">
      <c r="A835" s="16"/>
      <c r="B835" s="17"/>
      <c r="C835" s="2"/>
      <c r="D835" s="2"/>
      <c r="E835" s="2"/>
      <c r="F835" s="2"/>
      <c r="G835" s="2"/>
      <c r="H835" s="2"/>
      <c r="I835" s="5"/>
    </row>
    <row r="836" spans="1:9" ht="17.399999999999999" x14ac:dyDescent="0.25">
      <c r="A836" s="16"/>
      <c r="B836" s="17"/>
      <c r="C836" s="2"/>
      <c r="D836" s="2"/>
      <c r="E836" s="2"/>
      <c r="F836" s="2"/>
      <c r="G836" s="2"/>
      <c r="H836" s="2"/>
      <c r="I836" s="5"/>
    </row>
    <row r="837" spans="1:9" ht="17.399999999999999" x14ac:dyDescent="0.25">
      <c r="A837" s="16"/>
      <c r="B837" s="17"/>
      <c r="C837" s="2"/>
      <c r="D837" s="2"/>
      <c r="E837" s="2"/>
      <c r="F837" s="2"/>
      <c r="G837" s="2"/>
      <c r="H837" s="2"/>
      <c r="I837" s="5"/>
    </row>
    <row r="838" spans="1:9" ht="17.399999999999999" x14ac:dyDescent="0.25">
      <c r="A838" s="16"/>
      <c r="B838" s="17"/>
      <c r="C838" s="2"/>
      <c r="D838" s="2"/>
      <c r="E838" s="2"/>
      <c r="F838" s="2"/>
      <c r="G838" s="2"/>
      <c r="H838" s="2"/>
      <c r="I838" s="5"/>
    </row>
    <row r="839" spans="1:9" ht="17.399999999999999" x14ac:dyDescent="0.25">
      <c r="A839" s="16"/>
      <c r="B839" s="17"/>
      <c r="C839" s="2"/>
      <c r="D839" s="2"/>
      <c r="E839" s="2"/>
      <c r="F839" s="2"/>
      <c r="G839" s="2"/>
      <c r="H839" s="2"/>
      <c r="I839" s="5"/>
    </row>
    <row r="840" spans="1:9" ht="17.399999999999999" x14ac:dyDescent="0.25">
      <c r="A840" s="16"/>
      <c r="B840" s="17"/>
      <c r="C840" s="2"/>
      <c r="D840" s="2"/>
      <c r="E840" s="2"/>
      <c r="F840" s="2"/>
      <c r="G840" s="2"/>
      <c r="H840" s="2"/>
      <c r="I840" s="5"/>
    </row>
    <row r="841" spans="1:9" ht="17.399999999999999" x14ac:dyDescent="0.25">
      <c r="A841" s="16"/>
      <c r="B841" s="17"/>
      <c r="C841" s="2"/>
      <c r="D841" s="2"/>
      <c r="E841" s="2"/>
      <c r="F841" s="2"/>
      <c r="G841" s="2"/>
      <c r="H841" s="2"/>
      <c r="I841" s="5"/>
    </row>
    <row r="842" spans="1:9" ht="17.399999999999999" x14ac:dyDescent="0.25">
      <c r="A842" s="16"/>
      <c r="B842" s="17"/>
      <c r="C842" s="2"/>
      <c r="D842" s="2"/>
      <c r="E842" s="2"/>
      <c r="F842" s="2"/>
      <c r="G842" s="2"/>
      <c r="H842" s="2"/>
      <c r="I842" s="5"/>
    </row>
    <row r="843" spans="1:9" ht="17.399999999999999" x14ac:dyDescent="0.25">
      <c r="A843" s="16"/>
      <c r="B843" s="17"/>
      <c r="C843" s="2"/>
      <c r="D843" s="2"/>
      <c r="E843" s="2"/>
      <c r="F843" s="2"/>
      <c r="G843" s="2"/>
      <c r="H843" s="2"/>
      <c r="I843" s="5"/>
    </row>
    <row r="844" spans="1:9" ht="17.399999999999999" x14ac:dyDescent="0.25">
      <c r="A844" s="16"/>
      <c r="B844" s="17"/>
      <c r="C844" s="2"/>
      <c r="D844" s="2"/>
      <c r="E844" s="2"/>
      <c r="F844" s="2"/>
      <c r="G844" s="2"/>
      <c r="H844" s="2"/>
      <c r="I844" s="5"/>
    </row>
    <row r="845" spans="1:9" ht="17.399999999999999" x14ac:dyDescent="0.25">
      <c r="A845" s="16"/>
      <c r="B845" s="17"/>
      <c r="C845" s="2"/>
      <c r="D845" s="2"/>
      <c r="E845" s="2"/>
      <c r="F845" s="2"/>
      <c r="G845" s="2"/>
      <c r="H845" s="2"/>
      <c r="I845" s="5"/>
    </row>
    <row r="846" spans="1:9" ht="17.399999999999999" x14ac:dyDescent="0.25">
      <c r="A846" s="16"/>
      <c r="B846" s="17"/>
      <c r="C846" s="2"/>
      <c r="D846" s="2"/>
      <c r="E846" s="2"/>
      <c r="F846" s="2"/>
      <c r="G846" s="2"/>
      <c r="H846" s="2"/>
      <c r="I846" s="5"/>
    </row>
    <row r="847" spans="1:9" ht="17.399999999999999" x14ac:dyDescent="0.25">
      <c r="A847" s="16"/>
      <c r="B847" s="17"/>
      <c r="C847" s="2"/>
      <c r="D847" s="2"/>
      <c r="E847" s="2"/>
      <c r="F847" s="2"/>
      <c r="G847" s="2"/>
      <c r="H847" s="2"/>
      <c r="I847" s="5"/>
    </row>
    <row r="848" spans="1:9" ht="17.399999999999999" x14ac:dyDescent="0.25">
      <c r="A848" s="16"/>
      <c r="B848" s="17"/>
      <c r="C848" s="2"/>
      <c r="D848" s="2"/>
      <c r="E848" s="2"/>
      <c r="F848" s="2"/>
      <c r="G848" s="2"/>
      <c r="H848" s="2"/>
      <c r="I848" s="5"/>
    </row>
    <row r="849" spans="1:9" ht="17.399999999999999" x14ac:dyDescent="0.25">
      <c r="A849" s="16"/>
      <c r="B849" s="17"/>
      <c r="C849" s="2"/>
      <c r="D849" s="2"/>
      <c r="E849" s="2"/>
      <c r="F849" s="2"/>
      <c r="G849" s="2"/>
      <c r="H849" s="2"/>
      <c r="I849" s="5"/>
    </row>
    <row r="850" spans="1:9" ht="17.399999999999999" x14ac:dyDescent="0.25">
      <c r="A850" s="16"/>
      <c r="B850" s="17"/>
      <c r="C850" s="2"/>
      <c r="D850" s="2"/>
      <c r="E850" s="2"/>
      <c r="F850" s="2"/>
      <c r="G850" s="2"/>
      <c r="H850" s="2"/>
      <c r="I850" s="5"/>
    </row>
    <row r="851" spans="1:9" ht="17.399999999999999" x14ac:dyDescent="0.25">
      <c r="A851" s="16"/>
      <c r="B851" s="17"/>
      <c r="C851" s="2"/>
      <c r="D851" s="2"/>
      <c r="E851" s="2"/>
      <c r="F851" s="2"/>
      <c r="G851" s="2"/>
      <c r="H851" s="2"/>
      <c r="I851" s="5"/>
    </row>
    <row r="852" spans="1:9" ht="17.399999999999999" x14ac:dyDescent="0.25">
      <c r="A852" s="16"/>
      <c r="B852" s="17"/>
      <c r="C852" s="2"/>
      <c r="D852" s="2"/>
      <c r="E852" s="2"/>
      <c r="F852" s="2"/>
      <c r="G852" s="2"/>
      <c r="H852" s="2"/>
      <c r="I852" s="5"/>
    </row>
    <row r="853" spans="1:9" ht="17.399999999999999" x14ac:dyDescent="0.25">
      <c r="A853" s="16"/>
      <c r="B853" s="17"/>
      <c r="C853" s="2"/>
      <c r="D853" s="2"/>
      <c r="E853" s="2"/>
      <c r="F853" s="2"/>
      <c r="G853" s="2"/>
      <c r="H853" s="2"/>
      <c r="I853" s="5"/>
    </row>
    <row r="854" spans="1:9" ht="17.399999999999999" x14ac:dyDescent="0.25">
      <c r="A854" s="16"/>
      <c r="B854" s="17"/>
      <c r="C854" s="2"/>
      <c r="D854" s="2"/>
      <c r="E854" s="2"/>
      <c r="F854" s="2"/>
      <c r="G854" s="2"/>
      <c r="H854" s="2"/>
      <c r="I854" s="5"/>
    </row>
    <row r="855" spans="1:9" ht="17.399999999999999" x14ac:dyDescent="0.25">
      <c r="A855" s="16"/>
      <c r="B855" s="17"/>
      <c r="C855" s="2"/>
      <c r="D855" s="2"/>
      <c r="E855" s="2"/>
      <c r="F855" s="2"/>
      <c r="G855" s="2"/>
      <c r="H855" s="2"/>
      <c r="I855" s="5"/>
    </row>
    <row r="856" spans="1:9" ht="17.399999999999999" x14ac:dyDescent="0.25">
      <c r="A856" s="16"/>
      <c r="B856" s="17"/>
      <c r="C856" s="2"/>
      <c r="D856" s="2"/>
      <c r="E856" s="2"/>
      <c r="F856" s="2"/>
      <c r="G856" s="2"/>
      <c r="H856" s="2"/>
      <c r="I856" s="5"/>
    </row>
    <row r="857" spans="1:9" ht="17.399999999999999" x14ac:dyDescent="0.25">
      <c r="A857" s="16"/>
      <c r="B857" s="17"/>
      <c r="C857" s="2"/>
      <c r="D857" s="2"/>
      <c r="E857" s="2"/>
      <c r="F857" s="2"/>
      <c r="G857" s="2"/>
      <c r="H857" s="2"/>
      <c r="I857" s="5"/>
    </row>
    <row r="858" spans="1:9" ht="17.399999999999999" x14ac:dyDescent="0.25">
      <c r="A858" s="16"/>
      <c r="B858" s="17"/>
      <c r="C858" s="2"/>
      <c r="D858" s="2"/>
      <c r="E858" s="2"/>
      <c r="F858" s="2"/>
      <c r="G858" s="2"/>
      <c r="H858" s="2"/>
      <c r="I858" s="5"/>
    </row>
    <row r="859" spans="1:9" ht="17.399999999999999" x14ac:dyDescent="0.25">
      <c r="A859" s="16"/>
      <c r="B859" s="17"/>
      <c r="C859" s="2"/>
      <c r="D859" s="2"/>
      <c r="E859" s="2"/>
      <c r="F859" s="2"/>
      <c r="G859" s="2"/>
      <c r="H859" s="2"/>
      <c r="I859" s="5"/>
    </row>
    <row r="860" spans="1:9" ht="17.399999999999999" x14ac:dyDescent="0.25">
      <c r="A860" s="16"/>
      <c r="B860" s="17"/>
      <c r="C860" s="2"/>
      <c r="D860" s="2"/>
      <c r="E860" s="2"/>
      <c r="F860" s="2"/>
      <c r="G860" s="2"/>
      <c r="H860" s="2"/>
      <c r="I860" s="5"/>
    </row>
    <row r="861" spans="1:9" ht="17.399999999999999" x14ac:dyDescent="0.25">
      <c r="A861" s="16"/>
      <c r="B861" s="17"/>
      <c r="C861" s="2"/>
      <c r="D861" s="2"/>
      <c r="E861" s="2"/>
      <c r="F861" s="2"/>
      <c r="G861" s="2"/>
      <c r="H861" s="2"/>
      <c r="I861" s="5"/>
    </row>
    <row r="862" spans="1:9" ht="17.399999999999999" x14ac:dyDescent="0.25">
      <c r="A862" s="16"/>
      <c r="B862" s="17"/>
      <c r="C862" s="2"/>
      <c r="D862" s="2"/>
      <c r="E862" s="2"/>
      <c r="F862" s="2"/>
      <c r="G862" s="2"/>
      <c r="H862" s="2"/>
      <c r="I862" s="5"/>
    </row>
    <row r="863" spans="1:9" ht="17.399999999999999" x14ac:dyDescent="0.25">
      <c r="A863" s="16"/>
      <c r="B863" s="17"/>
      <c r="C863" s="2"/>
      <c r="D863" s="2"/>
      <c r="E863" s="2"/>
      <c r="F863" s="2"/>
      <c r="G863" s="2"/>
      <c r="H863" s="2"/>
      <c r="I863" s="5"/>
    </row>
    <row r="864" spans="1:9" ht="17.399999999999999" x14ac:dyDescent="0.25">
      <c r="A864" s="16"/>
      <c r="B864" s="17"/>
      <c r="C864" s="2"/>
      <c r="D864" s="2"/>
      <c r="E864" s="2"/>
      <c r="F864" s="2"/>
      <c r="G864" s="2"/>
      <c r="H864" s="2"/>
      <c r="I864" s="5"/>
    </row>
    <row r="865" spans="1:9" ht="17.399999999999999" x14ac:dyDescent="0.25">
      <c r="A865" s="16"/>
      <c r="B865" s="17"/>
      <c r="C865" s="2"/>
      <c r="D865" s="2"/>
      <c r="E865" s="2"/>
      <c r="F865" s="2"/>
      <c r="G865" s="2"/>
      <c r="H865" s="2"/>
      <c r="I865" s="5"/>
    </row>
    <row r="866" spans="1:9" ht="17.399999999999999" x14ac:dyDescent="0.25">
      <c r="A866" s="16"/>
      <c r="B866" s="17"/>
      <c r="C866" s="2"/>
      <c r="D866" s="2"/>
      <c r="E866" s="2"/>
      <c r="F866" s="2"/>
      <c r="G866" s="2"/>
      <c r="H866" s="2"/>
      <c r="I866" s="5"/>
    </row>
    <row r="867" spans="1:9" ht="17.399999999999999" x14ac:dyDescent="0.25">
      <c r="A867" s="16"/>
      <c r="B867" s="17"/>
      <c r="C867" s="2"/>
      <c r="D867" s="2"/>
      <c r="E867" s="2"/>
      <c r="F867" s="2"/>
      <c r="G867" s="2"/>
      <c r="H867" s="2"/>
      <c r="I867" s="5"/>
    </row>
    <row r="868" spans="1:9" ht="17.399999999999999" x14ac:dyDescent="0.25">
      <c r="A868" s="16"/>
      <c r="B868" s="17"/>
      <c r="C868" s="2"/>
      <c r="D868" s="2"/>
      <c r="E868" s="2"/>
      <c r="F868" s="2"/>
      <c r="G868" s="2"/>
      <c r="H868" s="2"/>
      <c r="I868" s="5"/>
    </row>
    <row r="869" spans="1:9" ht="17.399999999999999" x14ac:dyDescent="0.25">
      <c r="A869" s="16"/>
      <c r="B869" s="17"/>
      <c r="C869" s="2"/>
      <c r="D869" s="2"/>
      <c r="E869" s="2"/>
      <c r="F869" s="2"/>
      <c r="G869" s="2"/>
      <c r="H869" s="2"/>
      <c r="I869" s="5"/>
    </row>
    <row r="870" spans="1:9" ht="17.399999999999999" x14ac:dyDescent="0.25">
      <c r="A870" s="16"/>
      <c r="B870" s="17"/>
      <c r="C870" s="2"/>
      <c r="D870" s="2"/>
      <c r="E870" s="2"/>
      <c r="F870" s="2"/>
      <c r="G870" s="2"/>
      <c r="H870" s="2"/>
      <c r="I870" s="5"/>
    </row>
    <row r="871" spans="1:9" ht="17.399999999999999" x14ac:dyDescent="0.25">
      <c r="A871" s="16"/>
      <c r="B871" s="17"/>
      <c r="C871" s="2"/>
      <c r="D871" s="2"/>
      <c r="E871" s="2"/>
      <c r="F871" s="2"/>
      <c r="G871" s="2"/>
      <c r="H871" s="2"/>
      <c r="I871" s="5"/>
    </row>
    <row r="872" spans="1:9" ht="17.399999999999999" x14ac:dyDescent="0.25">
      <c r="A872" s="16"/>
      <c r="B872" s="17"/>
      <c r="C872" s="2"/>
      <c r="D872" s="2"/>
      <c r="E872" s="2"/>
      <c r="F872" s="2"/>
      <c r="G872" s="2"/>
      <c r="H872" s="2"/>
      <c r="I872" s="5"/>
    </row>
    <row r="873" spans="1:9" ht="17.399999999999999" x14ac:dyDescent="0.25">
      <c r="A873" s="16"/>
      <c r="B873" s="17"/>
      <c r="C873" s="2"/>
      <c r="D873" s="2"/>
      <c r="E873" s="2"/>
      <c r="F873" s="2"/>
      <c r="G873" s="2"/>
      <c r="H873" s="2"/>
      <c r="I873" s="5"/>
    </row>
    <row r="874" spans="1:9" ht="17.399999999999999" x14ac:dyDescent="0.25">
      <c r="A874" s="16"/>
      <c r="B874" s="17"/>
      <c r="C874" s="2"/>
      <c r="D874" s="2"/>
      <c r="E874" s="2"/>
      <c r="F874" s="2"/>
      <c r="G874" s="2"/>
      <c r="H874" s="2"/>
      <c r="I874" s="5"/>
    </row>
    <row r="875" spans="1:9" ht="17.399999999999999" x14ac:dyDescent="0.25">
      <c r="A875" s="16"/>
      <c r="B875" s="17"/>
      <c r="C875" s="2"/>
      <c r="D875" s="2"/>
      <c r="E875" s="2"/>
      <c r="F875" s="2"/>
      <c r="G875" s="2"/>
      <c r="H875" s="2"/>
      <c r="I875" s="5"/>
    </row>
    <row r="876" spans="1:9" ht="17.399999999999999" x14ac:dyDescent="0.25">
      <c r="A876" s="16"/>
      <c r="B876" s="17"/>
      <c r="C876" s="2"/>
      <c r="D876" s="2"/>
      <c r="E876" s="2"/>
      <c r="F876" s="2"/>
      <c r="G876" s="2"/>
      <c r="H876" s="2"/>
      <c r="I876" s="5"/>
    </row>
    <row r="877" spans="1:9" ht="17.399999999999999" x14ac:dyDescent="0.25">
      <c r="A877" s="16"/>
      <c r="B877" s="17"/>
      <c r="C877" s="2"/>
      <c r="D877" s="2"/>
      <c r="E877" s="2"/>
      <c r="F877" s="2"/>
      <c r="G877" s="2"/>
      <c r="H877" s="2"/>
      <c r="I877" s="5"/>
    </row>
    <row r="878" spans="1:9" ht="17.399999999999999" x14ac:dyDescent="0.25">
      <c r="A878" s="16"/>
      <c r="B878" s="17"/>
      <c r="C878" s="2"/>
      <c r="D878" s="2"/>
      <c r="E878" s="2"/>
      <c r="F878" s="2"/>
      <c r="G878" s="2"/>
      <c r="H878" s="2"/>
      <c r="I878" s="5"/>
    </row>
    <row r="879" spans="1:9" ht="17.399999999999999" x14ac:dyDescent="0.25">
      <c r="A879" s="16"/>
      <c r="B879" s="17"/>
      <c r="C879" s="2"/>
      <c r="D879" s="2"/>
      <c r="E879" s="2"/>
      <c r="F879" s="2"/>
      <c r="G879" s="2"/>
      <c r="H879" s="2"/>
      <c r="I879" s="5"/>
    </row>
    <row r="880" spans="1:9" ht="17.399999999999999" x14ac:dyDescent="0.25">
      <c r="A880" s="16"/>
      <c r="B880" s="17"/>
      <c r="C880" s="2"/>
      <c r="D880" s="2"/>
      <c r="E880" s="2"/>
      <c r="F880" s="2"/>
      <c r="G880" s="2"/>
      <c r="H880" s="2"/>
      <c r="I880" s="5"/>
    </row>
    <row r="881" spans="1:9" ht="17.399999999999999" x14ac:dyDescent="0.25">
      <c r="A881" s="16"/>
      <c r="B881" s="17"/>
      <c r="C881" s="2"/>
      <c r="D881" s="2"/>
      <c r="E881" s="2"/>
      <c r="F881" s="2"/>
      <c r="G881" s="2"/>
      <c r="H881" s="2"/>
      <c r="I881" s="5"/>
    </row>
    <row r="882" spans="1:9" ht="17.399999999999999" x14ac:dyDescent="0.25">
      <c r="A882" s="16"/>
      <c r="B882" s="17"/>
      <c r="C882" s="2"/>
      <c r="D882" s="2"/>
      <c r="E882" s="2"/>
      <c r="F882" s="2"/>
      <c r="G882" s="2"/>
      <c r="H882" s="2"/>
      <c r="I882" s="5"/>
    </row>
    <row r="883" spans="1:9" ht="17.399999999999999" x14ac:dyDescent="0.25">
      <c r="A883" s="16"/>
      <c r="B883" s="17"/>
      <c r="C883" s="2"/>
      <c r="D883" s="2"/>
      <c r="E883" s="2"/>
      <c r="F883" s="2"/>
      <c r="G883" s="2"/>
      <c r="H883" s="2"/>
      <c r="I883" s="5"/>
    </row>
    <row r="884" spans="1:9" ht="17.399999999999999" x14ac:dyDescent="0.25">
      <c r="A884" s="16"/>
      <c r="B884" s="17"/>
      <c r="C884" s="2"/>
      <c r="D884" s="2"/>
      <c r="E884" s="2"/>
      <c r="F884" s="2"/>
      <c r="G884" s="2"/>
      <c r="H884" s="2"/>
      <c r="I884" s="5"/>
    </row>
    <row r="885" spans="1:9" ht="17.399999999999999" x14ac:dyDescent="0.25">
      <c r="A885" s="16"/>
      <c r="B885" s="17"/>
      <c r="C885" s="2"/>
      <c r="D885" s="2"/>
      <c r="E885" s="2"/>
      <c r="F885" s="2"/>
      <c r="G885" s="2"/>
      <c r="H885" s="2"/>
      <c r="I885" s="5"/>
    </row>
    <row r="886" spans="1:9" ht="17.399999999999999" x14ac:dyDescent="0.25">
      <c r="A886" s="16"/>
      <c r="B886" s="17"/>
      <c r="C886" s="2"/>
      <c r="D886" s="2"/>
      <c r="E886" s="2"/>
      <c r="F886" s="2"/>
      <c r="G886" s="2"/>
      <c r="H886" s="2"/>
      <c r="I886" s="5"/>
    </row>
    <row r="887" spans="1:9" ht="17.399999999999999" x14ac:dyDescent="0.25">
      <c r="A887" s="16"/>
      <c r="B887" s="17"/>
      <c r="C887" s="2"/>
      <c r="D887" s="2"/>
      <c r="E887" s="2"/>
      <c r="F887" s="2"/>
      <c r="G887" s="2"/>
      <c r="H887" s="2"/>
      <c r="I887" s="5"/>
    </row>
    <row r="888" spans="1:9" ht="17.399999999999999" x14ac:dyDescent="0.25">
      <c r="A888" s="16"/>
      <c r="B888" s="17"/>
      <c r="C888" s="2"/>
      <c r="D888" s="2"/>
      <c r="E888" s="2"/>
      <c r="F888" s="2"/>
      <c r="G888" s="2"/>
      <c r="H888" s="2"/>
      <c r="I888" s="5"/>
    </row>
    <row r="889" spans="1:9" ht="17.399999999999999" x14ac:dyDescent="0.25">
      <c r="A889" s="16"/>
      <c r="B889" s="17"/>
      <c r="C889" s="2"/>
      <c r="D889" s="2"/>
      <c r="E889" s="2"/>
      <c r="F889" s="2"/>
      <c r="G889" s="2"/>
      <c r="H889" s="2"/>
      <c r="I889" s="5"/>
    </row>
    <row r="890" spans="1:9" ht="17.399999999999999" x14ac:dyDescent="0.25">
      <c r="A890" s="16"/>
      <c r="B890" s="17"/>
      <c r="C890" s="2"/>
      <c r="D890" s="2"/>
      <c r="E890" s="2"/>
      <c r="F890" s="2"/>
      <c r="G890" s="2"/>
      <c r="H890" s="2"/>
      <c r="I890" s="5"/>
    </row>
    <row r="891" spans="1:9" ht="17.399999999999999" x14ac:dyDescent="0.25">
      <c r="A891" s="16"/>
      <c r="B891" s="17"/>
      <c r="C891" s="2"/>
      <c r="D891" s="2"/>
      <c r="E891" s="2"/>
      <c r="F891" s="2"/>
      <c r="G891" s="2"/>
      <c r="H891" s="2"/>
      <c r="I891" s="5"/>
    </row>
    <row r="892" spans="1:9" ht="17.399999999999999" x14ac:dyDescent="0.25">
      <c r="A892" s="16"/>
      <c r="B892" s="17"/>
      <c r="C892" s="2"/>
      <c r="D892" s="2"/>
      <c r="E892" s="2"/>
      <c r="F892" s="2"/>
      <c r="G892" s="2"/>
      <c r="H892" s="2"/>
      <c r="I892" s="5"/>
    </row>
    <row r="893" spans="1:9" ht="17.399999999999999" x14ac:dyDescent="0.25">
      <c r="A893" s="16"/>
      <c r="B893" s="17"/>
      <c r="C893" s="2"/>
      <c r="D893" s="2"/>
      <c r="E893" s="2"/>
      <c r="F893" s="2"/>
      <c r="G893" s="2"/>
      <c r="H893" s="2"/>
      <c r="I893" s="5"/>
    </row>
    <row r="894" spans="1:9" ht="17.399999999999999" x14ac:dyDescent="0.25">
      <c r="A894" s="16"/>
      <c r="B894" s="17"/>
      <c r="C894" s="2"/>
      <c r="D894" s="2"/>
      <c r="E894" s="2"/>
      <c r="F894" s="2"/>
      <c r="G894" s="2"/>
      <c r="H894" s="2"/>
      <c r="I894" s="5"/>
    </row>
    <row r="895" spans="1:9" ht="17.399999999999999" x14ac:dyDescent="0.25">
      <c r="A895" s="16"/>
      <c r="B895" s="17"/>
      <c r="C895" s="2"/>
      <c r="D895" s="2"/>
      <c r="E895" s="2"/>
      <c r="F895" s="2"/>
      <c r="G895" s="2"/>
      <c r="H895" s="2"/>
      <c r="I895" s="5"/>
    </row>
    <row r="896" spans="1:9" ht="17.399999999999999" x14ac:dyDescent="0.25">
      <c r="A896" s="16"/>
      <c r="B896" s="17"/>
      <c r="C896" s="2"/>
      <c r="D896" s="2"/>
      <c r="E896" s="2"/>
      <c r="F896" s="2"/>
      <c r="G896" s="2"/>
      <c r="H896" s="2"/>
      <c r="I896" s="5"/>
    </row>
    <row r="897" spans="1:9" ht="17.399999999999999" x14ac:dyDescent="0.25">
      <c r="A897" s="16"/>
      <c r="B897" s="17"/>
      <c r="C897" s="2"/>
      <c r="D897" s="2"/>
      <c r="E897" s="2"/>
      <c r="F897" s="2"/>
      <c r="G897" s="2"/>
      <c r="H897" s="2"/>
      <c r="I897" s="5"/>
    </row>
    <row r="898" spans="1:9" ht="17.399999999999999" x14ac:dyDescent="0.25">
      <c r="A898" s="16"/>
      <c r="B898" s="17"/>
      <c r="C898" s="2"/>
      <c r="D898" s="2"/>
      <c r="E898" s="2"/>
      <c r="F898" s="2"/>
      <c r="G898" s="2"/>
      <c r="H898" s="2"/>
      <c r="I898" s="5"/>
    </row>
    <row r="899" spans="1:9" ht="17.399999999999999" x14ac:dyDescent="0.25">
      <c r="A899" s="16"/>
      <c r="B899" s="17"/>
      <c r="C899" s="2"/>
      <c r="D899" s="2"/>
      <c r="E899" s="2"/>
      <c r="F899" s="2"/>
      <c r="G899" s="2"/>
      <c r="H899" s="2"/>
      <c r="I899" s="5"/>
    </row>
    <row r="900" spans="1:9" ht="17.399999999999999" x14ac:dyDescent="0.25">
      <c r="A900" s="16"/>
      <c r="B900" s="17"/>
      <c r="C900" s="2"/>
      <c r="D900" s="2"/>
      <c r="E900" s="2"/>
      <c r="F900" s="2"/>
      <c r="G900" s="2"/>
      <c r="H900" s="2"/>
      <c r="I900" s="5"/>
    </row>
    <row r="901" spans="1:9" ht="17.399999999999999" x14ac:dyDescent="0.25">
      <c r="A901" s="16"/>
      <c r="B901" s="17"/>
      <c r="C901" s="2"/>
      <c r="D901" s="2"/>
      <c r="E901" s="2"/>
      <c r="F901" s="2"/>
      <c r="G901" s="2"/>
      <c r="H901" s="2"/>
      <c r="I901" s="5"/>
    </row>
    <row r="902" spans="1:9" ht="17.399999999999999" x14ac:dyDescent="0.25">
      <c r="A902" s="16"/>
      <c r="B902" s="17"/>
      <c r="C902" s="2"/>
      <c r="D902" s="2"/>
      <c r="E902" s="2"/>
      <c r="F902" s="2"/>
      <c r="G902" s="2"/>
      <c r="H902" s="2"/>
      <c r="I902" s="5"/>
    </row>
    <row r="903" spans="1:9" ht="17.399999999999999" x14ac:dyDescent="0.25">
      <c r="A903" s="16"/>
      <c r="B903" s="17"/>
      <c r="C903" s="2"/>
      <c r="D903" s="2"/>
      <c r="E903" s="2"/>
      <c r="F903" s="2"/>
      <c r="G903" s="2"/>
      <c r="H903" s="2"/>
      <c r="I903" s="5"/>
    </row>
    <row r="904" spans="1:9" ht="17.399999999999999" x14ac:dyDescent="0.25">
      <c r="A904" s="16"/>
      <c r="B904" s="17"/>
      <c r="C904" s="2"/>
      <c r="D904" s="2"/>
      <c r="E904" s="2"/>
      <c r="F904" s="2"/>
      <c r="G904" s="2"/>
      <c r="H904" s="2"/>
      <c r="I904" s="5"/>
    </row>
    <row r="905" spans="1:9" ht="17.399999999999999" x14ac:dyDescent="0.25">
      <c r="A905" s="16"/>
      <c r="B905" s="17"/>
      <c r="C905" s="2"/>
      <c r="D905" s="2"/>
      <c r="E905" s="2"/>
      <c r="F905" s="2"/>
      <c r="G905" s="2"/>
      <c r="H905" s="2"/>
      <c r="I905" s="5"/>
    </row>
    <row r="906" spans="1:9" ht="17.399999999999999" x14ac:dyDescent="0.25">
      <c r="A906" s="16"/>
      <c r="B906" s="17"/>
      <c r="C906" s="2"/>
      <c r="D906" s="2"/>
      <c r="E906" s="2"/>
      <c r="F906" s="2"/>
      <c r="G906" s="2"/>
      <c r="H906" s="2"/>
      <c r="I906" s="5"/>
    </row>
    <row r="907" spans="1:9" ht="17.399999999999999" x14ac:dyDescent="0.25">
      <c r="A907" s="16"/>
      <c r="B907" s="17"/>
      <c r="C907" s="2"/>
      <c r="D907" s="2"/>
      <c r="E907" s="2"/>
      <c r="F907" s="2"/>
      <c r="G907" s="2"/>
      <c r="H907" s="2"/>
      <c r="I907" s="5"/>
    </row>
    <row r="908" spans="1:9" ht="17.399999999999999" x14ac:dyDescent="0.25">
      <c r="A908" s="16"/>
      <c r="B908" s="17"/>
      <c r="C908" s="2"/>
      <c r="D908" s="2"/>
      <c r="E908" s="2"/>
      <c r="F908" s="2"/>
      <c r="G908" s="2"/>
      <c r="H908" s="2"/>
      <c r="I908" s="5"/>
    </row>
    <row r="909" spans="1:9" ht="17.399999999999999" x14ac:dyDescent="0.25">
      <c r="A909" s="16"/>
      <c r="B909" s="17"/>
      <c r="C909" s="2"/>
      <c r="D909" s="2"/>
      <c r="E909" s="2"/>
      <c r="F909" s="2"/>
      <c r="G909" s="2"/>
      <c r="H909" s="2"/>
      <c r="I909" s="5"/>
    </row>
    <row r="910" spans="1:9" ht="17.399999999999999" x14ac:dyDescent="0.25">
      <c r="A910" s="16"/>
      <c r="B910" s="17"/>
      <c r="C910" s="2"/>
      <c r="D910" s="2"/>
      <c r="E910" s="2"/>
      <c r="F910" s="2"/>
      <c r="G910" s="2"/>
      <c r="H910" s="2"/>
      <c r="I910" s="5"/>
    </row>
    <row r="911" spans="1:9" ht="17.399999999999999" x14ac:dyDescent="0.25">
      <c r="A911" s="16"/>
      <c r="B911" s="17"/>
      <c r="C911" s="2"/>
      <c r="D911" s="2"/>
      <c r="E911" s="2"/>
      <c r="F911" s="2"/>
      <c r="G911" s="2"/>
      <c r="H911" s="2"/>
      <c r="I911" s="5"/>
    </row>
    <row r="912" spans="1:9" ht="17.399999999999999" x14ac:dyDescent="0.25">
      <c r="A912" s="16"/>
      <c r="B912" s="17"/>
      <c r="C912" s="2"/>
      <c r="D912" s="2"/>
      <c r="E912" s="2"/>
      <c r="F912" s="2"/>
      <c r="G912" s="2"/>
      <c r="H912" s="2"/>
      <c r="I912" s="5"/>
    </row>
    <row r="913" spans="1:9" ht="17.399999999999999" x14ac:dyDescent="0.25">
      <c r="A913" s="16"/>
      <c r="B913" s="17"/>
      <c r="C913" s="2"/>
      <c r="D913" s="2"/>
      <c r="E913" s="2"/>
      <c r="F913" s="2"/>
      <c r="G913" s="2"/>
      <c r="H913" s="2"/>
      <c r="I913" s="5"/>
    </row>
    <row r="914" spans="1:9" ht="17.399999999999999" x14ac:dyDescent="0.25">
      <c r="A914" s="16"/>
      <c r="B914" s="17"/>
      <c r="C914" s="2"/>
      <c r="D914" s="2"/>
      <c r="E914" s="2"/>
      <c r="F914" s="2"/>
      <c r="G914" s="2"/>
      <c r="H914" s="2"/>
      <c r="I914" s="5"/>
    </row>
    <row r="915" spans="1:9" ht="17.399999999999999" x14ac:dyDescent="0.25">
      <c r="A915" s="16"/>
      <c r="B915" s="17"/>
      <c r="C915" s="2"/>
      <c r="D915" s="2"/>
      <c r="E915" s="2"/>
      <c r="F915" s="2"/>
      <c r="G915" s="2"/>
      <c r="H915" s="2"/>
      <c r="I915" s="5"/>
    </row>
    <row r="916" spans="1:9" ht="17.399999999999999" x14ac:dyDescent="0.25">
      <c r="A916" s="16"/>
      <c r="B916" s="17"/>
      <c r="C916" s="2"/>
      <c r="D916" s="2"/>
      <c r="E916" s="2"/>
      <c r="F916" s="2"/>
      <c r="G916" s="2"/>
      <c r="H916" s="2"/>
      <c r="I916" s="5"/>
    </row>
    <row r="917" spans="1:9" ht="17.399999999999999" x14ac:dyDescent="0.25">
      <c r="A917" s="16"/>
      <c r="B917" s="17"/>
      <c r="C917" s="2"/>
      <c r="D917" s="2"/>
      <c r="E917" s="2"/>
      <c r="F917" s="2"/>
      <c r="G917" s="2"/>
      <c r="H917" s="2"/>
      <c r="I917" s="5"/>
    </row>
    <row r="918" spans="1:9" ht="17.399999999999999" x14ac:dyDescent="0.25">
      <c r="A918" s="16"/>
      <c r="B918" s="17"/>
      <c r="C918" s="2"/>
      <c r="D918" s="2"/>
      <c r="E918" s="2"/>
      <c r="F918" s="2"/>
      <c r="G918" s="2"/>
      <c r="H918" s="2"/>
      <c r="I918" s="5"/>
    </row>
    <row r="919" spans="1:9" ht="17.399999999999999" x14ac:dyDescent="0.25">
      <c r="A919" s="16"/>
      <c r="B919" s="17"/>
      <c r="C919" s="2"/>
      <c r="D919" s="2"/>
      <c r="E919" s="2"/>
      <c r="F919" s="2"/>
      <c r="G919" s="2"/>
      <c r="H919" s="2"/>
      <c r="I919" s="5"/>
    </row>
    <row r="920" spans="1:9" ht="17.399999999999999" x14ac:dyDescent="0.25">
      <c r="A920" s="16"/>
      <c r="B920" s="17"/>
      <c r="C920" s="2"/>
      <c r="D920" s="2"/>
      <c r="E920" s="2"/>
      <c r="F920" s="2"/>
      <c r="G920" s="2"/>
      <c r="H920" s="2"/>
      <c r="I920" s="5"/>
    </row>
    <row r="921" spans="1:9" ht="17.399999999999999" x14ac:dyDescent="0.25">
      <c r="A921" s="16"/>
      <c r="B921" s="17"/>
      <c r="C921" s="2"/>
      <c r="D921" s="2"/>
      <c r="E921" s="2"/>
      <c r="F921" s="2"/>
      <c r="G921" s="2"/>
      <c r="H921" s="2"/>
      <c r="I921" s="5"/>
    </row>
    <row r="922" spans="1:9" ht="17.399999999999999" x14ac:dyDescent="0.25">
      <c r="A922" s="16"/>
      <c r="B922" s="17"/>
      <c r="C922" s="2"/>
      <c r="D922" s="2"/>
      <c r="E922" s="2"/>
      <c r="F922" s="2"/>
      <c r="G922" s="2"/>
      <c r="H922" s="2"/>
      <c r="I922" s="5"/>
    </row>
    <row r="923" spans="1:9" ht="17.399999999999999" x14ac:dyDescent="0.25">
      <c r="A923" s="16"/>
      <c r="B923" s="17"/>
      <c r="C923" s="2"/>
      <c r="D923" s="2"/>
      <c r="E923" s="2"/>
      <c r="F923" s="2"/>
      <c r="G923" s="2"/>
      <c r="H923" s="2"/>
      <c r="I923" s="5"/>
    </row>
    <row r="924" spans="1:9" ht="17.399999999999999" x14ac:dyDescent="0.25">
      <c r="A924" s="16"/>
      <c r="B924" s="17"/>
      <c r="C924" s="2"/>
      <c r="D924" s="2"/>
      <c r="E924" s="2"/>
      <c r="F924" s="2"/>
      <c r="G924" s="2"/>
      <c r="H924" s="2"/>
      <c r="I924" s="5"/>
    </row>
    <row r="925" spans="1:9" ht="17.399999999999999" x14ac:dyDescent="0.25">
      <c r="A925" s="16"/>
      <c r="B925" s="17"/>
      <c r="C925" s="2"/>
      <c r="D925" s="2"/>
      <c r="E925" s="2"/>
      <c r="F925" s="2"/>
      <c r="G925" s="2"/>
      <c r="H925" s="2"/>
      <c r="I925" s="5"/>
    </row>
    <row r="926" spans="1:9" ht="17.399999999999999" x14ac:dyDescent="0.25">
      <c r="A926" s="16"/>
      <c r="B926" s="17"/>
      <c r="C926" s="2"/>
      <c r="D926" s="2"/>
      <c r="E926" s="2"/>
      <c r="F926" s="2"/>
      <c r="G926" s="2"/>
      <c r="H926" s="2"/>
      <c r="I926" s="5"/>
    </row>
    <row r="927" spans="1:9" ht="17.399999999999999" x14ac:dyDescent="0.25">
      <c r="A927" s="16"/>
      <c r="B927" s="17"/>
      <c r="C927" s="2"/>
      <c r="D927" s="2"/>
      <c r="E927" s="2"/>
      <c r="F927" s="2"/>
      <c r="G927" s="2"/>
      <c r="H927" s="2"/>
      <c r="I927" s="5"/>
    </row>
    <row r="928" spans="1:9" ht="17.399999999999999" x14ac:dyDescent="0.25">
      <c r="A928" s="16"/>
      <c r="B928" s="17"/>
      <c r="C928" s="2"/>
      <c r="D928" s="2"/>
      <c r="E928" s="2"/>
      <c r="F928" s="2"/>
      <c r="G928" s="2"/>
      <c r="H928" s="2"/>
      <c r="I928" s="5"/>
    </row>
    <row r="929" spans="1:9" ht="17.399999999999999" x14ac:dyDescent="0.25">
      <c r="A929" s="16"/>
      <c r="B929" s="17"/>
      <c r="C929" s="2"/>
      <c r="D929" s="2"/>
      <c r="E929" s="2"/>
      <c r="F929" s="2"/>
      <c r="G929" s="2"/>
      <c r="H929" s="2"/>
      <c r="I929" s="5"/>
    </row>
    <row r="930" spans="1:9" ht="17.399999999999999" x14ac:dyDescent="0.25">
      <c r="A930" s="16"/>
      <c r="B930" s="17"/>
      <c r="C930" s="2"/>
      <c r="D930" s="2"/>
      <c r="E930" s="2"/>
      <c r="F930" s="2"/>
      <c r="G930" s="2"/>
      <c r="H930" s="2"/>
      <c r="I930" s="5"/>
    </row>
    <row r="931" spans="1:9" ht="17.399999999999999" x14ac:dyDescent="0.25">
      <c r="A931" s="16"/>
      <c r="B931" s="17"/>
      <c r="C931" s="2"/>
      <c r="D931" s="2"/>
      <c r="E931" s="2"/>
      <c r="F931" s="2"/>
      <c r="G931" s="2"/>
      <c r="H931" s="2"/>
      <c r="I931" s="5"/>
    </row>
    <row r="932" spans="1:9" ht="17.399999999999999" x14ac:dyDescent="0.25">
      <c r="A932" s="16"/>
      <c r="B932" s="17"/>
      <c r="C932" s="2"/>
      <c r="D932" s="2"/>
      <c r="E932" s="2"/>
      <c r="F932" s="2"/>
      <c r="G932" s="2"/>
      <c r="H932" s="2"/>
      <c r="I932" s="5"/>
    </row>
    <row r="933" spans="1:9" ht="17.399999999999999" x14ac:dyDescent="0.25">
      <c r="A933" s="16"/>
      <c r="B933" s="17"/>
      <c r="C933" s="2"/>
      <c r="D933" s="2"/>
      <c r="E933" s="2"/>
      <c r="F933" s="2"/>
      <c r="G933" s="2"/>
      <c r="H933" s="2"/>
      <c r="I933" s="5"/>
    </row>
    <row r="934" spans="1:9" ht="17.399999999999999" x14ac:dyDescent="0.25">
      <c r="A934" s="16"/>
      <c r="B934" s="17"/>
      <c r="C934" s="2"/>
      <c r="D934" s="2"/>
      <c r="E934" s="2"/>
      <c r="F934" s="2"/>
      <c r="G934" s="2"/>
      <c r="H934" s="2"/>
      <c r="I934" s="5"/>
    </row>
    <row r="935" spans="1:9" ht="17.399999999999999" x14ac:dyDescent="0.25">
      <c r="A935" s="16"/>
      <c r="B935" s="17"/>
      <c r="C935" s="2"/>
      <c r="D935" s="2"/>
      <c r="E935" s="2"/>
      <c r="F935" s="2"/>
      <c r="G935" s="2"/>
      <c r="H935" s="2"/>
      <c r="I935" s="5"/>
    </row>
    <row r="936" spans="1:9" ht="17.399999999999999" x14ac:dyDescent="0.25">
      <c r="A936" s="16"/>
      <c r="B936" s="17"/>
      <c r="C936" s="2"/>
      <c r="D936" s="2"/>
      <c r="E936" s="2"/>
      <c r="F936" s="2"/>
      <c r="G936" s="2"/>
      <c r="H936" s="2"/>
      <c r="I936" s="5"/>
    </row>
    <row r="937" spans="1:9" ht="17.399999999999999" x14ac:dyDescent="0.25">
      <c r="A937" s="16"/>
      <c r="B937" s="17"/>
      <c r="C937" s="2"/>
      <c r="D937" s="2"/>
      <c r="E937" s="2"/>
      <c r="F937" s="2"/>
      <c r="G937" s="2"/>
      <c r="H937" s="2"/>
      <c r="I937" s="5"/>
    </row>
    <row r="938" spans="1:9" ht="17.399999999999999" x14ac:dyDescent="0.25">
      <c r="A938" s="16"/>
      <c r="B938" s="17"/>
      <c r="C938" s="2"/>
      <c r="D938" s="2"/>
      <c r="E938" s="2"/>
      <c r="F938" s="2"/>
      <c r="G938" s="2"/>
      <c r="H938" s="2"/>
      <c r="I938" s="5"/>
    </row>
    <row r="939" spans="1:9" ht="17.399999999999999" x14ac:dyDescent="0.25">
      <c r="A939" s="16"/>
      <c r="B939" s="17"/>
      <c r="C939" s="2"/>
      <c r="D939" s="2"/>
      <c r="E939" s="2"/>
      <c r="F939" s="2"/>
      <c r="G939" s="2"/>
      <c r="H939" s="2"/>
      <c r="I939" s="5"/>
    </row>
    <row r="940" spans="1:9" ht="17.399999999999999" x14ac:dyDescent="0.25">
      <c r="A940" s="16"/>
      <c r="B940" s="17"/>
      <c r="C940" s="2"/>
      <c r="D940" s="2"/>
      <c r="E940" s="2"/>
      <c r="F940" s="2"/>
      <c r="G940" s="2"/>
      <c r="H940" s="2"/>
      <c r="I940" s="5"/>
    </row>
    <row r="941" spans="1:9" ht="17.399999999999999" x14ac:dyDescent="0.25">
      <c r="A941" s="16"/>
      <c r="B941" s="17"/>
      <c r="C941" s="2"/>
      <c r="D941" s="2"/>
      <c r="E941" s="2"/>
      <c r="F941" s="2"/>
      <c r="G941" s="2"/>
      <c r="H941" s="2"/>
      <c r="I941" s="5"/>
    </row>
    <row r="942" spans="1:9" ht="17.399999999999999" x14ac:dyDescent="0.25">
      <c r="A942" s="16"/>
      <c r="B942" s="17"/>
      <c r="C942" s="2"/>
      <c r="D942" s="2"/>
      <c r="E942" s="2"/>
      <c r="F942" s="2"/>
      <c r="G942" s="2"/>
      <c r="H942" s="2"/>
      <c r="I942" s="5"/>
    </row>
    <row r="943" spans="1:9" ht="17.399999999999999" x14ac:dyDescent="0.25">
      <c r="A943" s="16"/>
      <c r="B943" s="17"/>
      <c r="C943" s="2"/>
      <c r="D943" s="2"/>
      <c r="E943" s="2"/>
      <c r="F943" s="2"/>
      <c r="G943" s="2"/>
      <c r="H943" s="2"/>
      <c r="I943" s="5"/>
    </row>
    <row r="944" spans="1:9" ht="17.399999999999999" x14ac:dyDescent="0.25">
      <c r="A944" s="16"/>
      <c r="B944" s="17"/>
      <c r="C944" s="2"/>
      <c r="D944" s="2"/>
      <c r="E944" s="2"/>
      <c r="F944" s="2"/>
      <c r="G944" s="2"/>
      <c r="H944" s="2"/>
      <c r="I944" s="5"/>
    </row>
    <row r="945" spans="1:9" ht="17.399999999999999" x14ac:dyDescent="0.25">
      <c r="A945" s="16"/>
      <c r="B945" s="17"/>
      <c r="C945" s="2"/>
      <c r="D945" s="2"/>
      <c r="E945" s="2"/>
      <c r="F945" s="2"/>
      <c r="G945" s="2"/>
      <c r="H945" s="2"/>
      <c r="I945" s="5"/>
    </row>
    <row r="946" spans="1:9" ht="17.399999999999999" x14ac:dyDescent="0.25">
      <c r="A946" s="16"/>
      <c r="B946" s="17"/>
      <c r="C946" s="2"/>
      <c r="D946" s="2"/>
      <c r="E946" s="2"/>
      <c r="F946" s="2"/>
      <c r="G946" s="2"/>
      <c r="H946" s="2"/>
      <c r="I946" s="5"/>
    </row>
    <row r="947" spans="1:9" ht="17.399999999999999" x14ac:dyDescent="0.25">
      <c r="A947" s="16"/>
      <c r="B947" s="17"/>
      <c r="C947" s="2"/>
      <c r="D947" s="2"/>
      <c r="E947" s="2"/>
      <c r="F947" s="2"/>
      <c r="G947" s="2"/>
      <c r="H947" s="2"/>
      <c r="I947" s="5"/>
    </row>
    <row r="948" spans="1:9" ht="17.399999999999999" x14ac:dyDescent="0.25">
      <c r="A948" s="16"/>
      <c r="B948" s="17"/>
      <c r="C948" s="2"/>
      <c r="D948" s="2"/>
      <c r="E948" s="2"/>
      <c r="F948" s="2"/>
      <c r="G948" s="2"/>
      <c r="H948" s="2"/>
      <c r="I948" s="5"/>
    </row>
    <row r="949" spans="1:9" ht="17.399999999999999" x14ac:dyDescent="0.25">
      <c r="A949" s="16"/>
      <c r="B949" s="17"/>
      <c r="C949" s="2"/>
      <c r="D949" s="2"/>
      <c r="E949" s="2"/>
      <c r="F949" s="2"/>
      <c r="G949" s="2"/>
      <c r="H949" s="2"/>
      <c r="I949" s="5"/>
    </row>
    <row r="950" spans="1:9" ht="17.399999999999999" x14ac:dyDescent="0.25">
      <c r="A950" s="16"/>
      <c r="B950" s="17"/>
      <c r="C950" s="2"/>
      <c r="D950" s="2"/>
      <c r="E950" s="2"/>
      <c r="F950" s="2"/>
      <c r="G950" s="2"/>
      <c r="H950" s="2"/>
      <c r="I950" s="5"/>
    </row>
    <row r="951" spans="1:9" ht="17.399999999999999" x14ac:dyDescent="0.25">
      <c r="A951" s="16"/>
      <c r="B951" s="17"/>
      <c r="C951" s="2"/>
      <c r="D951" s="2"/>
      <c r="E951" s="2"/>
      <c r="F951" s="2"/>
      <c r="G951" s="2"/>
      <c r="H951" s="2"/>
      <c r="I951" s="5"/>
    </row>
    <row r="952" spans="1:9" ht="17.399999999999999" x14ac:dyDescent="0.25">
      <c r="A952" s="16"/>
      <c r="B952" s="17"/>
      <c r="C952" s="2"/>
      <c r="D952" s="2"/>
      <c r="E952" s="2"/>
      <c r="F952" s="2"/>
      <c r="G952" s="2"/>
      <c r="H952" s="2"/>
      <c r="I952" s="5"/>
    </row>
    <row r="953" spans="1:9" ht="17.399999999999999" x14ac:dyDescent="0.25">
      <c r="A953" s="16"/>
      <c r="B953" s="17"/>
      <c r="C953" s="2"/>
      <c r="D953" s="2"/>
      <c r="E953" s="2"/>
      <c r="F953" s="2"/>
      <c r="G953" s="2"/>
      <c r="H953" s="2"/>
      <c r="I953" s="5"/>
    </row>
    <row r="954" spans="1:9" ht="17.399999999999999" x14ac:dyDescent="0.25">
      <c r="A954" s="16"/>
      <c r="B954" s="17"/>
      <c r="C954" s="2"/>
      <c r="D954" s="2"/>
      <c r="E954" s="2"/>
      <c r="F954" s="2"/>
      <c r="G954" s="2"/>
      <c r="H954" s="2"/>
      <c r="I954" s="5"/>
    </row>
    <row r="955" spans="1:9" ht="17.399999999999999" x14ac:dyDescent="0.25">
      <c r="A955" s="16"/>
      <c r="B955" s="17"/>
      <c r="C955" s="2"/>
      <c r="D955" s="2"/>
      <c r="E955" s="2"/>
      <c r="F955" s="2"/>
      <c r="G955" s="2"/>
      <c r="H955" s="2"/>
      <c r="I955" s="5"/>
    </row>
    <row r="956" spans="1:9" ht="17.399999999999999" x14ac:dyDescent="0.25">
      <c r="A956" s="16"/>
      <c r="B956" s="17"/>
      <c r="C956" s="2"/>
      <c r="D956" s="2"/>
      <c r="E956" s="2"/>
      <c r="F956" s="2"/>
      <c r="G956" s="2"/>
      <c r="H956" s="2"/>
      <c r="I956" s="5"/>
    </row>
    <row r="957" spans="1:9" ht="17.399999999999999" x14ac:dyDescent="0.25">
      <c r="A957" s="16"/>
      <c r="B957" s="17"/>
      <c r="C957" s="2"/>
      <c r="D957" s="2"/>
      <c r="E957" s="2"/>
      <c r="F957" s="2"/>
      <c r="G957" s="2"/>
      <c r="H957" s="2"/>
      <c r="I957" s="5"/>
    </row>
    <row r="958" spans="1:9" ht="17.399999999999999" x14ac:dyDescent="0.25">
      <c r="A958" s="16"/>
      <c r="B958" s="17"/>
      <c r="C958" s="2"/>
      <c r="D958" s="2"/>
      <c r="E958" s="2"/>
      <c r="F958" s="2"/>
      <c r="G958" s="2"/>
      <c r="H958" s="2"/>
      <c r="I958" s="5"/>
    </row>
    <row r="959" spans="1:9" ht="17.399999999999999" x14ac:dyDescent="0.25">
      <c r="A959" s="16"/>
      <c r="B959" s="17"/>
      <c r="C959" s="2"/>
      <c r="D959" s="2"/>
      <c r="E959" s="2"/>
      <c r="F959" s="2"/>
      <c r="G959" s="2"/>
      <c r="H959" s="2"/>
      <c r="I959" s="5"/>
    </row>
    <row r="960" spans="1:9" ht="17.399999999999999" x14ac:dyDescent="0.25">
      <c r="A960" s="16"/>
      <c r="B960" s="17"/>
      <c r="C960" s="2"/>
      <c r="D960" s="2"/>
      <c r="E960" s="2"/>
      <c r="F960" s="2"/>
      <c r="G960" s="2"/>
      <c r="H960" s="2"/>
      <c r="I960" s="5"/>
    </row>
    <row r="961" spans="1:9" ht="17.399999999999999" x14ac:dyDescent="0.25">
      <c r="A961" s="16"/>
      <c r="B961" s="17"/>
      <c r="C961" s="2"/>
      <c r="D961" s="2"/>
      <c r="E961" s="2"/>
      <c r="F961" s="2"/>
      <c r="G961" s="2"/>
      <c r="H961" s="2"/>
      <c r="I961" s="5"/>
    </row>
    <row r="962" spans="1:9" ht="17.399999999999999" x14ac:dyDescent="0.25">
      <c r="A962" s="16"/>
      <c r="B962" s="17"/>
      <c r="C962" s="2"/>
      <c r="D962" s="2"/>
      <c r="E962" s="2"/>
      <c r="F962" s="2"/>
      <c r="G962" s="2"/>
      <c r="H962" s="2"/>
      <c r="I962" s="5"/>
    </row>
    <row r="963" spans="1:9" ht="17.399999999999999" x14ac:dyDescent="0.25">
      <c r="A963" s="16"/>
      <c r="B963" s="17"/>
      <c r="C963" s="2"/>
      <c r="D963" s="2"/>
      <c r="E963" s="2"/>
      <c r="F963" s="2"/>
      <c r="G963" s="2"/>
      <c r="H963" s="2"/>
      <c r="I963" s="5"/>
    </row>
    <row r="964" spans="1:9" ht="17.399999999999999" x14ac:dyDescent="0.25">
      <c r="A964" s="16"/>
      <c r="B964" s="17"/>
      <c r="C964" s="2"/>
      <c r="D964" s="2"/>
      <c r="E964" s="2"/>
      <c r="F964" s="2"/>
      <c r="G964" s="2"/>
      <c r="H964" s="2"/>
      <c r="I964" s="5"/>
    </row>
    <row r="965" spans="1:9" ht="17.399999999999999" x14ac:dyDescent="0.25">
      <c r="A965" s="16"/>
      <c r="B965" s="17"/>
      <c r="C965" s="2"/>
      <c r="D965" s="2"/>
      <c r="E965" s="2"/>
      <c r="F965" s="2"/>
      <c r="G965" s="2"/>
      <c r="H965" s="2"/>
      <c r="I965" s="5"/>
    </row>
    <row r="966" spans="1:9" ht="17.399999999999999" x14ac:dyDescent="0.25">
      <c r="A966" s="16"/>
      <c r="B966" s="17"/>
      <c r="C966" s="2"/>
      <c r="D966" s="2"/>
      <c r="E966" s="2"/>
      <c r="F966" s="2"/>
      <c r="G966" s="2"/>
      <c r="H966" s="2"/>
      <c r="I966" s="5"/>
    </row>
    <row r="967" spans="1:9" ht="17.399999999999999" x14ac:dyDescent="0.25">
      <c r="A967" s="16"/>
      <c r="B967" s="17"/>
      <c r="C967" s="2"/>
      <c r="D967" s="2"/>
      <c r="E967" s="2"/>
      <c r="F967" s="2"/>
      <c r="G967" s="2"/>
      <c r="H967" s="2"/>
      <c r="I967" s="5"/>
    </row>
    <row r="968" spans="1:9" ht="17.399999999999999" x14ac:dyDescent="0.25">
      <c r="A968" s="16"/>
      <c r="B968" s="17"/>
      <c r="C968" s="2"/>
      <c r="D968" s="2"/>
      <c r="E968" s="2"/>
      <c r="F968" s="2"/>
      <c r="G968" s="2"/>
      <c r="H968" s="2"/>
      <c r="I968" s="5"/>
    </row>
    <row r="969" spans="1:9" ht="17.399999999999999" x14ac:dyDescent="0.25">
      <c r="A969" s="16"/>
      <c r="B969" s="17"/>
      <c r="C969" s="2"/>
      <c r="D969" s="2"/>
      <c r="E969" s="2"/>
      <c r="F969" s="2"/>
      <c r="G969" s="2"/>
      <c r="H969" s="2"/>
      <c r="I969" s="5"/>
    </row>
    <row r="970" spans="1:9" ht="17.399999999999999" x14ac:dyDescent="0.25">
      <c r="A970" s="16"/>
      <c r="B970" s="17"/>
      <c r="C970" s="2"/>
      <c r="D970" s="2"/>
      <c r="E970" s="2"/>
      <c r="F970" s="2"/>
      <c r="G970" s="2"/>
      <c r="H970" s="2"/>
      <c r="I970" s="5"/>
    </row>
    <row r="971" spans="1:9" ht="17.399999999999999" x14ac:dyDescent="0.25">
      <c r="A971" s="16"/>
      <c r="B971" s="17"/>
      <c r="C971" s="2"/>
      <c r="D971" s="2"/>
      <c r="E971" s="2"/>
      <c r="F971" s="2"/>
      <c r="G971" s="2"/>
      <c r="H971" s="2"/>
      <c r="I971" s="5"/>
    </row>
    <row r="972" spans="1:9" ht="17.399999999999999" x14ac:dyDescent="0.25">
      <c r="A972" s="16"/>
      <c r="B972" s="17"/>
      <c r="C972" s="2"/>
      <c r="D972" s="2"/>
      <c r="E972" s="2"/>
      <c r="F972" s="2"/>
      <c r="G972" s="2"/>
      <c r="H972" s="2"/>
      <c r="I972" s="5"/>
    </row>
    <row r="973" spans="1:9" ht="17.399999999999999" x14ac:dyDescent="0.25">
      <c r="A973" s="16"/>
      <c r="B973" s="17"/>
      <c r="C973" s="2"/>
      <c r="D973" s="2"/>
      <c r="E973" s="2"/>
      <c r="F973" s="2"/>
      <c r="G973" s="2"/>
      <c r="H973" s="2"/>
      <c r="I973" s="5"/>
    </row>
    <row r="974" spans="1:9" ht="17.399999999999999" x14ac:dyDescent="0.25">
      <c r="A974" s="16"/>
      <c r="B974" s="17"/>
      <c r="C974" s="2"/>
      <c r="D974" s="2"/>
      <c r="E974" s="2"/>
      <c r="F974" s="2"/>
      <c r="G974" s="2"/>
      <c r="H974" s="2"/>
      <c r="I974" s="5"/>
    </row>
    <row r="975" spans="1:9" ht="17.399999999999999" x14ac:dyDescent="0.25">
      <c r="A975" s="16"/>
      <c r="B975" s="17"/>
      <c r="C975" s="2"/>
      <c r="D975" s="2"/>
      <c r="E975" s="2"/>
      <c r="F975" s="2"/>
      <c r="G975" s="2"/>
      <c r="H975" s="2"/>
      <c r="I975" s="5"/>
    </row>
    <row r="976" spans="1:9" ht="17.399999999999999" x14ac:dyDescent="0.25">
      <c r="A976" s="16"/>
      <c r="B976" s="17"/>
      <c r="C976" s="2"/>
      <c r="D976" s="2"/>
      <c r="E976" s="2"/>
      <c r="F976" s="2"/>
      <c r="G976" s="2"/>
      <c r="H976" s="2"/>
      <c r="I976" s="5"/>
    </row>
    <row r="977" spans="1:9" ht="17.399999999999999" x14ac:dyDescent="0.25">
      <c r="A977" s="16"/>
      <c r="B977" s="17"/>
      <c r="C977" s="2"/>
      <c r="D977" s="2"/>
      <c r="E977" s="2"/>
      <c r="F977" s="2"/>
      <c r="G977" s="2"/>
      <c r="H977" s="2"/>
      <c r="I977" s="5"/>
    </row>
    <row r="978" spans="1:9" ht="17.399999999999999" x14ac:dyDescent="0.25">
      <c r="A978" s="16"/>
      <c r="B978" s="17"/>
      <c r="C978" s="2"/>
      <c r="D978" s="2"/>
      <c r="E978" s="2"/>
      <c r="F978" s="2"/>
      <c r="G978" s="2"/>
      <c r="H978" s="2"/>
      <c r="I978" s="5"/>
    </row>
    <row r="979" spans="1:9" ht="17.399999999999999" x14ac:dyDescent="0.25">
      <c r="A979" s="16"/>
      <c r="B979" s="17"/>
      <c r="C979" s="2"/>
      <c r="D979" s="2"/>
      <c r="E979" s="2"/>
      <c r="F979" s="2"/>
      <c r="G979" s="2"/>
      <c r="H979" s="2"/>
      <c r="I979" s="5"/>
    </row>
    <row r="980" spans="1:9" ht="17.399999999999999" x14ac:dyDescent="0.25">
      <c r="A980" s="16"/>
      <c r="B980" s="17"/>
      <c r="C980" s="2"/>
      <c r="D980" s="2"/>
      <c r="E980" s="2"/>
      <c r="F980" s="2"/>
      <c r="G980" s="2"/>
      <c r="H980" s="2"/>
      <c r="I980" s="5"/>
    </row>
    <row r="981" spans="1:9" ht="17.399999999999999" x14ac:dyDescent="0.25">
      <c r="A981" s="16"/>
      <c r="B981" s="17"/>
      <c r="C981" s="2"/>
      <c r="D981" s="2"/>
      <c r="E981" s="2"/>
      <c r="F981" s="2"/>
      <c r="G981" s="2"/>
      <c r="H981" s="2"/>
      <c r="I981" s="5"/>
    </row>
    <row r="982" spans="1:9" ht="17.399999999999999" x14ac:dyDescent="0.25">
      <c r="A982" s="16"/>
      <c r="B982" s="17"/>
      <c r="C982" s="2"/>
      <c r="D982" s="2"/>
      <c r="E982" s="2"/>
      <c r="F982" s="2"/>
      <c r="G982" s="2"/>
      <c r="H982" s="2"/>
      <c r="I982" s="5"/>
    </row>
    <row r="983" spans="1:9" ht="17.399999999999999" x14ac:dyDescent="0.25">
      <c r="A983" s="16"/>
      <c r="B983" s="17"/>
      <c r="C983" s="2"/>
      <c r="D983" s="2"/>
      <c r="E983" s="2"/>
      <c r="F983" s="2"/>
      <c r="G983" s="2"/>
      <c r="H983" s="2"/>
      <c r="I983" s="5"/>
    </row>
    <row r="984" spans="1:9" ht="17.399999999999999" x14ac:dyDescent="0.25">
      <c r="A984" s="16"/>
      <c r="B984" s="17"/>
      <c r="C984" s="2"/>
      <c r="D984" s="2"/>
      <c r="E984" s="2"/>
      <c r="F984" s="2"/>
      <c r="G984" s="2"/>
      <c r="H984" s="2"/>
      <c r="I984" s="5"/>
    </row>
    <row r="985" spans="1:9" ht="17.399999999999999" x14ac:dyDescent="0.25">
      <c r="A985" s="16"/>
      <c r="B985" s="17"/>
      <c r="C985" s="2"/>
      <c r="D985" s="2"/>
      <c r="E985" s="2"/>
      <c r="F985" s="2"/>
      <c r="G985" s="2"/>
      <c r="H985" s="2"/>
      <c r="I985" s="5"/>
    </row>
    <row r="986" spans="1:9" ht="17.399999999999999" x14ac:dyDescent="0.25">
      <c r="A986" s="16"/>
      <c r="B986" s="17"/>
      <c r="C986" s="2"/>
      <c r="D986" s="2"/>
      <c r="E986" s="2"/>
      <c r="F986" s="2"/>
      <c r="G986" s="2"/>
      <c r="H986" s="2"/>
      <c r="I986" s="5"/>
    </row>
    <row r="987" spans="1:9" ht="17.399999999999999" x14ac:dyDescent="0.25">
      <c r="A987" s="16"/>
      <c r="B987" s="17"/>
      <c r="C987" s="2"/>
      <c r="D987" s="2"/>
      <c r="E987" s="2"/>
      <c r="F987" s="2"/>
      <c r="G987" s="2"/>
      <c r="H987" s="2"/>
      <c r="I987" s="5"/>
    </row>
    <row r="988" spans="1:9" ht="17.399999999999999" x14ac:dyDescent="0.25">
      <c r="A988" s="16"/>
      <c r="B988" s="17"/>
      <c r="C988" s="2"/>
      <c r="D988" s="2"/>
      <c r="E988" s="2"/>
      <c r="F988" s="2"/>
      <c r="G988" s="2"/>
      <c r="H988" s="2"/>
      <c r="I988" s="5"/>
    </row>
    <row r="989" spans="1:9" ht="17.399999999999999" x14ac:dyDescent="0.25">
      <c r="A989" s="16"/>
      <c r="B989" s="17"/>
      <c r="C989" s="2"/>
      <c r="D989" s="2"/>
      <c r="E989" s="2"/>
      <c r="F989" s="2"/>
      <c r="G989" s="2"/>
      <c r="H989" s="2"/>
      <c r="I989" s="5"/>
    </row>
    <row r="990" spans="1:9" ht="17.399999999999999" x14ac:dyDescent="0.25">
      <c r="A990" s="16"/>
      <c r="B990" s="17"/>
      <c r="C990" s="2"/>
      <c r="D990" s="2"/>
      <c r="E990" s="2"/>
      <c r="F990" s="2"/>
      <c r="G990" s="2"/>
      <c r="H990" s="2"/>
      <c r="I990" s="5"/>
    </row>
    <row r="991" spans="1:9" ht="17.399999999999999" x14ac:dyDescent="0.25">
      <c r="A991" s="16"/>
      <c r="B991" s="17"/>
      <c r="C991" s="2"/>
      <c r="D991" s="2"/>
      <c r="E991" s="2"/>
      <c r="F991" s="2"/>
      <c r="G991" s="2"/>
      <c r="H991" s="2"/>
      <c r="I991" s="5"/>
    </row>
    <row r="992" spans="1:9" ht="17.399999999999999" x14ac:dyDescent="0.25">
      <c r="A992" s="16"/>
      <c r="B992" s="17"/>
      <c r="C992" s="2"/>
      <c r="D992" s="2"/>
      <c r="E992" s="2"/>
      <c r="F992" s="2"/>
      <c r="G992" s="2"/>
      <c r="H992" s="2"/>
      <c r="I992" s="5"/>
    </row>
    <row r="993" spans="1:9" ht="17.399999999999999" x14ac:dyDescent="0.25">
      <c r="A993" s="16"/>
      <c r="B993" s="17"/>
      <c r="C993" s="2"/>
      <c r="D993" s="2"/>
      <c r="E993" s="2"/>
      <c r="F993" s="2"/>
      <c r="G993" s="2"/>
      <c r="H993" s="2"/>
      <c r="I993" s="5"/>
    </row>
    <row r="994" spans="1:9" ht="17.399999999999999" x14ac:dyDescent="0.25">
      <c r="A994" s="16"/>
      <c r="B994" s="17"/>
      <c r="C994" s="2"/>
      <c r="D994" s="2"/>
      <c r="E994" s="2"/>
      <c r="F994" s="2"/>
      <c r="G994" s="2"/>
      <c r="H994" s="2"/>
      <c r="I994" s="5"/>
    </row>
    <row r="995" spans="1:9" ht="17.399999999999999" x14ac:dyDescent="0.25">
      <c r="A995" s="16"/>
      <c r="B995" s="17"/>
      <c r="C995" s="2"/>
      <c r="D995" s="2"/>
      <c r="E995" s="2"/>
      <c r="F995" s="2"/>
      <c r="G995" s="2"/>
      <c r="H995" s="2"/>
      <c r="I995" s="5"/>
    </row>
    <row r="996" spans="1:9" ht="17.399999999999999" x14ac:dyDescent="0.25">
      <c r="A996" s="16"/>
      <c r="B996" s="17"/>
      <c r="C996" s="2"/>
      <c r="D996" s="2"/>
      <c r="E996" s="2"/>
      <c r="F996" s="2"/>
      <c r="G996" s="2"/>
      <c r="H996" s="2"/>
      <c r="I996" s="5"/>
    </row>
    <row r="997" spans="1:9" ht="17.399999999999999" x14ac:dyDescent="0.25">
      <c r="A997" s="16"/>
      <c r="B997" s="17"/>
      <c r="C997" s="2"/>
      <c r="D997" s="2"/>
      <c r="E997" s="2"/>
      <c r="F997" s="2"/>
      <c r="G997" s="2"/>
      <c r="H997" s="2"/>
      <c r="I997" s="5"/>
    </row>
    <row r="998" spans="1:9" ht="17.399999999999999" x14ac:dyDescent="0.25">
      <c r="A998" s="16"/>
      <c r="B998" s="17"/>
      <c r="C998" s="2"/>
      <c r="D998" s="2"/>
      <c r="E998" s="2"/>
      <c r="F998" s="2"/>
      <c r="G998" s="2"/>
      <c r="H998" s="2"/>
      <c r="I998" s="5"/>
    </row>
    <row r="999" spans="1:9" ht="17.399999999999999" x14ac:dyDescent="0.25">
      <c r="A999" s="16"/>
      <c r="B999" s="17"/>
      <c r="C999" s="2"/>
      <c r="D999" s="2"/>
      <c r="E999" s="2"/>
      <c r="F999" s="2"/>
      <c r="G999" s="2"/>
      <c r="H999" s="2"/>
      <c r="I999" s="5"/>
    </row>
    <row r="1000" spans="1:9" ht="17.399999999999999" x14ac:dyDescent="0.25">
      <c r="A1000" s="16"/>
      <c r="B1000" s="17"/>
      <c r="C1000" s="2"/>
      <c r="D1000" s="2"/>
      <c r="E1000" s="2"/>
      <c r="F1000" s="2"/>
      <c r="G1000" s="2"/>
      <c r="H1000" s="2"/>
      <c r="I1000" s="5"/>
    </row>
    <row r="1001" spans="1:9" ht="17.399999999999999" x14ac:dyDescent="0.25">
      <c r="A1001" s="16"/>
      <c r="B1001" s="17"/>
      <c r="C1001" s="2"/>
      <c r="D1001" s="2"/>
      <c r="E1001" s="2"/>
      <c r="F1001" s="2"/>
      <c r="G1001" s="2"/>
      <c r="H1001" s="2"/>
      <c r="I1001" s="5"/>
    </row>
    <row r="1002" spans="1:9" ht="17.399999999999999" x14ac:dyDescent="0.25">
      <c r="A1002" s="16"/>
      <c r="B1002" s="17"/>
      <c r="C1002" s="2"/>
      <c r="D1002" s="2"/>
      <c r="E1002" s="2"/>
      <c r="F1002" s="2"/>
      <c r="G1002" s="2"/>
      <c r="H1002" s="2"/>
      <c r="I1002" s="5"/>
    </row>
    <row r="1003" spans="1:9" ht="17.399999999999999" x14ac:dyDescent="0.25">
      <c r="A1003" s="16"/>
      <c r="B1003" s="17"/>
      <c r="C1003" s="2"/>
      <c r="D1003" s="2"/>
      <c r="E1003" s="2"/>
      <c r="F1003" s="2"/>
      <c r="G1003" s="2"/>
      <c r="H1003" s="2"/>
      <c r="I1003" s="5"/>
    </row>
    <row r="1004" spans="1:9" ht="17.399999999999999" x14ac:dyDescent="0.25">
      <c r="A1004" s="16"/>
      <c r="B1004" s="17"/>
      <c r="C1004" s="2"/>
      <c r="D1004" s="2"/>
      <c r="E1004" s="2"/>
      <c r="F1004" s="2"/>
      <c r="G1004" s="2"/>
      <c r="H1004" s="2"/>
      <c r="I1004" s="5"/>
    </row>
    <row r="1005" spans="1:9" ht="17.399999999999999" x14ac:dyDescent="0.25">
      <c r="A1005" s="16"/>
      <c r="B1005" s="17"/>
      <c r="C1005" s="2"/>
      <c r="D1005" s="2"/>
      <c r="E1005" s="2"/>
      <c r="F1005" s="2"/>
      <c r="G1005" s="2"/>
      <c r="H1005" s="2"/>
      <c r="I1005" s="5"/>
    </row>
    <row r="1006" spans="1:9" ht="17.399999999999999" x14ac:dyDescent="0.25">
      <c r="A1006" s="16"/>
      <c r="B1006" s="17"/>
      <c r="C1006" s="2"/>
      <c r="D1006" s="2"/>
      <c r="E1006" s="2"/>
      <c r="F1006" s="2"/>
      <c r="G1006" s="2"/>
      <c r="H1006" s="2"/>
      <c r="I1006" s="5"/>
    </row>
    <row r="1007" spans="1:9" ht="17.399999999999999" x14ac:dyDescent="0.25">
      <c r="A1007" s="16"/>
      <c r="B1007" s="17"/>
      <c r="C1007" s="2"/>
      <c r="D1007" s="2"/>
      <c r="E1007" s="2"/>
      <c r="F1007" s="2"/>
      <c r="G1007" s="2"/>
      <c r="H1007" s="2"/>
      <c r="I1007" s="5"/>
    </row>
    <row r="1008" spans="1:9" ht="17.399999999999999" x14ac:dyDescent="0.25">
      <c r="A1008" s="16"/>
      <c r="B1008" s="17"/>
      <c r="C1008" s="2"/>
      <c r="D1008" s="2"/>
      <c r="E1008" s="2"/>
      <c r="F1008" s="2"/>
      <c r="G1008" s="2"/>
      <c r="H1008" s="2"/>
      <c r="I1008" s="5"/>
    </row>
    <row r="1009" spans="1:9" ht="17.399999999999999" x14ac:dyDescent="0.25">
      <c r="A1009" s="16"/>
      <c r="B1009" s="17"/>
      <c r="C1009" s="2"/>
      <c r="D1009" s="2"/>
      <c r="E1009" s="2"/>
      <c r="F1009" s="2"/>
      <c r="G1009" s="2"/>
      <c r="H1009" s="2"/>
      <c r="I1009" s="5"/>
    </row>
    <row r="1010" spans="1:9" ht="17.399999999999999" x14ac:dyDescent="0.25">
      <c r="A1010" s="16"/>
      <c r="B1010" s="17"/>
      <c r="C1010" s="2"/>
      <c r="D1010" s="2"/>
      <c r="E1010" s="2"/>
      <c r="F1010" s="2"/>
      <c r="G1010" s="2"/>
      <c r="H1010" s="2"/>
      <c r="I1010" s="5"/>
    </row>
    <row r="1011" spans="1:9" ht="17.399999999999999" x14ac:dyDescent="0.25">
      <c r="A1011" s="16"/>
      <c r="B1011" s="17"/>
      <c r="C1011" s="2"/>
      <c r="D1011" s="2"/>
      <c r="E1011" s="2"/>
      <c r="F1011" s="2"/>
      <c r="G1011" s="2"/>
      <c r="H1011" s="2"/>
      <c r="I1011" s="5"/>
    </row>
    <row r="1012" spans="1:9" ht="17.399999999999999" x14ac:dyDescent="0.25">
      <c r="A1012" s="16"/>
      <c r="B1012" s="17"/>
      <c r="C1012" s="2"/>
      <c r="D1012" s="2"/>
      <c r="E1012" s="2"/>
      <c r="F1012" s="2"/>
      <c r="G1012" s="2"/>
      <c r="H1012" s="2"/>
      <c r="I1012" s="5"/>
    </row>
    <row r="1013" spans="1:9" ht="17.399999999999999" x14ac:dyDescent="0.25">
      <c r="A1013" s="16"/>
      <c r="B1013" s="17"/>
      <c r="C1013" s="2"/>
      <c r="D1013" s="2"/>
      <c r="E1013" s="2"/>
      <c r="F1013" s="2"/>
      <c r="G1013" s="2"/>
      <c r="H1013" s="2"/>
      <c r="I1013" s="5"/>
    </row>
    <row r="1014" spans="1:9" ht="17.399999999999999" x14ac:dyDescent="0.25">
      <c r="A1014" s="16"/>
      <c r="B1014" s="17"/>
      <c r="C1014" s="2"/>
      <c r="D1014" s="2"/>
      <c r="E1014" s="2"/>
      <c r="F1014" s="2"/>
      <c r="G1014" s="2"/>
      <c r="H1014" s="2"/>
      <c r="I1014" s="5"/>
    </row>
    <row r="1015" spans="1:9" ht="17.399999999999999" x14ac:dyDescent="0.25">
      <c r="A1015" s="16"/>
      <c r="B1015" s="17"/>
      <c r="C1015" s="2"/>
      <c r="D1015" s="2"/>
      <c r="E1015" s="2"/>
      <c r="F1015" s="2"/>
      <c r="G1015" s="2"/>
      <c r="H1015" s="2"/>
      <c r="I1015" s="5"/>
    </row>
    <row r="1016" spans="1:9" ht="17.399999999999999" x14ac:dyDescent="0.25">
      <c r="A1016" s="16"/>
      <c r="B1016" s="17"/>
      <c r="C1016" s="2"/>
      <c r="D1016" s="2"/>
      <c r="E1016" s="2"/>
      <c r="F1016" s="2"/>
      <c r="G1016" s="2"/>
      <c r="H1016" s="2"/>
      <c r="I1016" s="5"/>
    </row>
    <row r="1017" spans="1:9" ht="17.399999999999999" x14ac:dyDescent="0.25">
      <c r="A1017" s="16"/>
      <c r="B1017" s="17"/>
      <c r="C1017" s="2"/>
      <c r="D1017" s="2"/>
      <c r="E1017" s="2"/>
      <c r="F1017" s="2"/>
      <c r="G1017" s="2"/>
      <c r="H1017" s="2"/>
      <c r="I1017" s="5"/>
    </row>
    <row r="1018" spans="1:9" ht="17.399999999999999" x14ac:dyDescent="0.25">
      <c r="A1018" s="16"/>
      <c r="B1018" s="17"/>
      <c r="C1018" s="2"/>
      <c r="D1018" s="2"/>
      <c r="E1018" s="2"/>
      <c r="F1018" s="2"/>
      <c r="G1018" s="2"/>
      <c r="H1018" s="2"/>
      <c r="I1018" s="5"/>
    </row>
    <row r="1019" spans="1:9" ht="17.399999999999999" x14ac:dyDescent="0.25">
      <c r="A1019" s="16"/>
      <c r="B1019" s="17"/>
      <c r="C1019" s="2"/>
      <c r="D1019" s="2"/>
      <c r="E1019" s="2"/>
      <c r="F1019" s="2"/>
      <c r="G1019" s="2"/>
      <c r="H1019" s="2"/>
      <c r="I1019" s="5"/>
    </row>
    <row r="1020" spans="1:9" ht="17.399999999999999" x14ac:dyDescent="0.25">
      <c r="A1020" s="16"/>
      <c r="B1020" s="17"/>
      <c r="C1020" s="2"/>
      <c r="D1020" s="2"/>
      <c r="E1020" s="2"/>
      <c r="F1020" s="2"/>
      <c r="G1020" s="2"/>
      <c r="H1020" s="2"/>
      <c r="I1020" s="5"/>
    </row>
    <row r="1021" spans="1:9" ht="17.399999999999999" x14ac:dyDescent="0.25">
      <c r="A1021" s="16"/>
      <c r="B1021" s="17"/>
      <c r="C1021" s="2"/>
      <c r="D1021" s="2"/>
      <c r="E1021" s="2"/>
      <c r="F1021" s="2"/>
      <c r="G1021" s="2"/>
      <c r="H1021" s="2"/>
      <c r="I1021" s="5"/>
    </row>
    <row r="1022" spans="1:9" ht="17.399999999999999" x14ac:dyDescent="0.25">
      <c r="A1022" s="16"/>
      <c r="B1022" s="17"/>
      <c r="C1022" s="2"/>
      <c r="D1022" s="2"/>
      <c r="E1022" s="2"/>
      <c r="F1022" s="2"/>
      <c r="G1022" s="2"/>
      <c r="H1022" s="2"/>
      <c r="I1022" s="5"/>
    </row>
    <row r="1023" spans="1:9" ht="17.399999999999999" x14ac:dyDescent="0.25">
      <c r="A1023" s="16"/>
      <c r="B1023" s="17"/>
      <c r="C1023" s="2"/>
      <c r="D1023" s="2"/>
      <c r="E1023" s="2"/>
      <c r="F1023" s="2"/>
      <c r="G1023" s="2"/>
      <c r="H1023" s="2"/>
      <c r="I1023" s="5"/>
    </row>
    <row r="1024" spans="1:9" ht="17.399999999999999" x14ac:dyDescent="0.25">
      <c r="A1024" s="16"/>
      <c r="B1024" s="17"/>
      <c r="C1024" s="2"/>
      <c r="D1024" s="2"/>
      <c r="E1024" s="2"/>
      <c r="F1024" s="2"/>
      <c r="G1024" s="2"/>
      <c r="H1024" s="2"/>
      <c r="I1024" s="5"/>
    </row>
    <row r="1025" spans="1:9" ht="17.399999999999999" x14ac:dyDescent="0.25">
      <c r="A1025" s="16"/>
      <c r="B1025" s="17"/>
      <c r="C1025" s="2"/>
      <c r="D1025" s="2"/>
      <c r="E1025" s="2"/>
      <c r="F1025" s="2"/>
      <c r="G1025" s="2"/>
      <c r="H1025" s="2"/>
      <c r="I1025" s="5"/>
    </row>
    <row r="1026" spans="1:9" ht="17.399999999999999" x14ac:dyDescent="0.25">
      <c r="A1026" s="16"/>
      <c r="B1026" s="17"/>
      <c r="C1026" s="2"/>
      <c r="D1026" s="2"/>
      <c r="E1026" s="2"/>
      <c r="F1026" s="2"/>
      <c r="G1026" s="2"/>
      <c r="H1026" s="2"/>
      <c r="I1026" s="5"/>
    </row>
    <row r="1027" spans="1:9" ht="17.399999999999999" x14ac:dyDescent="0.25">
      <c r="A1027" s="16"/>
      <c r="B1027" s="17"/>
      <c r="C1027" s="2"/>
      <c r="D1027" s="2"/>
      <c r="E1027" s="2"/>
      <c r="F1027" s="2"/>
      <c r="G1027" s="2"/>
      <c r="H1027" s="2"/>
      <c r="I1027" s="5"/>
    </row>
    <row r="1028" spans="1:9" ht="17.399999999999999" x14ac:dyDescent="0.25">
      <c r="A1028" s="16"/>
      <c r="B1028" s="17"/>
      <c r="C1028" s="2"/>
      <c r="D1028" s="2"/>
      <c r="E1028" s="2"/>
      <c r="F1028" s="2"/>
      <c r="G1028" s="2"/>
      <c r="H1028" s="2"/>
      <c r="I1028" s="5"/>
    </row>
    <row r="1029" spans="1:9" ht="17.399999999999999" x14ac:dyDescent="0.25">
      <c r="A1029" s="16"/>
      <c r="B1029" s="17"/>
      <c r="C1029" s="2"/>
      <c r="D1029" s="2"/>
      <c r="E1029" s="2"/>
      <c r="F1029" s="2"/>
      <c r="G1029" s="2"/>
      <c r="H1029" s="2"/>
      <c r="I1029" s="5"/>
    </row>
    <row r="1030" spans="1:9" ht="17.399999999999999" x14ac:dyDescent="0.25">
      <c r="A1030" s="16"/>
      <c r="B1030" s="17"/>
      <c r="C1030" s="2"/>
      <c r="D1030" s="2"/>
      <c r="E1030" s="2"/>
      <c r="F1030" s="2"/>
      <c r="G1030" s="2"/>
      <c r="H1030" s="2"/>
      <c r="I1030" s="5"/>
    </row>
    <row r="1031" spans="1:9" ht="17.399999999999999" x14ac:dyDescent="0.25">
      <c r="A1031" s="16"/>
      <c r="B1031" s="17"/>
      <c r="C1031" s="2"/>
      <c r="D1031" s="2"/>
      <c r="E1031" s="2"/>
      <c r="F1031" s="2"/>
      <c r="G1031" s="2"/>
      <c r="H1031" s="2"/>
      <c r="I1031" s="5"/>
    </row>
    <row r="1032" spans="1:9" ht="17.399999999999999" x14ac:dyDescent="0.25">
      <c r="A1032" s="16"/>
      <c r="B1032" s="17"/>
      <c r="C1032" s="2"/>
      <c r="D1032" s="2"/>
      <c r="E1032" s="2"/>
      <c r="F1032" s="2"/>
      <c r="G1032" s="2"/>
      <c r="H1032" s="2"/>
      <c r="I1032" s="5"/>
    </row>
    <row r="1033" spans="1:9" ht="17.399999999999999" x14ac:dyDescent="0.25">
      <c r="A1033" s="16"/>
      <c r="B1033" s="17"/>
      <c r="C1033" s="2"/>
      <c r="D1033" s="2"/>
      <c r="E1033" s="2"/>
      <c r="F1033" s="2"/>
      <c r="G1033" s="2"/>
      <c r="H1033" s="2"/>
      <c r="I1033" s="5"/>
    </row>
    <row r="1034" spans="1:9" ht="17.399999999999999" x14ac:dyDescent="0.25">
      <c r="A1034" s="16"/>
      <c r="B1034" s="17"/>
      <c r="C1034" s="2"/>
      <c r="D1034" s="2"/>
      <c r="E1034" s="2"/>
      <c r="F1034" s="2"/>
      <c r="G1034" s="2"/>
      <c r="H1034" s="2"/>
      <c r="I1034" s="5"/>
    </row>
    <row r="1035" spans="1:9" ht="17.399999999999999" x14ac:dyDescent="0.25">
      <c r="A1035" s="16"/>
      <c r="B1035" s="17"/>
      <c r="C1035" s="2"/>
      <c r="D1035" s="2"/>
      <c r="E1035" s="2"/>
      <c r="F1035" s="2"/>
      <c r="G1035" s="2"/>
      <c r="H1035" s="2"/>
      <c r="I1035" s="5"/>
    </row>
    <row r="1036" spans="1:9" ht="17.399999999999999" x14ac:dyDescent="0.25">
      <c r="A1036" s="16"/>
      <c r="B1036" s="17"/>
      <c r="C1036" s="2"/>
      <c r="D1036" s="2"/>
      <c r="E1036" s="2"/>
      <c r="F1036" s="2"/>
      <c r="G1036" s="2"/>
      <c r="H1036" s="2"/>
      <c r="I1036" s="5"/>
    </row>
    <row r="1037" spans="1:9" ht="17.399999999999999" x14ac:dyDescent="0.25">
      <c r="A1037" s="16"/>
      <c r="B1037" s="17"/>
      <c r="C1037" s="2"/>
      <c r="D1037" s="2"/>
      <c r="E1037" s="2"/>
      <c r="F1037" s="2"/>
      <c r="G1037" s="2"/>
      <c r="H1037" s="2"/>
      <c r="I1037" s="5"/>
    </row>
    <row r="1038" spans="1:9" ht="17.399999999999999" x14ac:dyDescent="0.25">
      <c r="A1038" s="16"/>
      <c r="B1038" s="17"/>
      <c r="C1038" s="2"/>
      <c r="D1038" s="2"/>
      <c r="E1038" s="2"/>
      <c r="F1038" s="2"/>
      <c r="G1038" s="2"/>
      <c r="H1038" s="2"/>
      <c r="I1038" s="5"/>
    </row>
    <row r="1039" spans="1:9" ht="17.399999999999999" x14ac:dyDescent="0.25">
      <c r="A1039" s="16"/>
      <c r="B1039" s="17"/>
      <c r="C1039" s="2"/>
      <c r="D1039" s="2"/>
      <c r="E1039" s="2"/>
      <c r="F1039" s="2"/>
      <c r="G1039" s="2"/>
      <c r="H1039" s="2"/>
      <c r="I1039" s="5"/>
    </row>
    <row r="1040" spans="1:9" ht="17.399999999999999" x14ac:dyDescent="0.25">
      <c r="A1040" s="16"/>
      <c r="B1040" s="17"/>
      <c r="C1040" s="2"/>
      <c r="D1040" s="2"/>
      <c r="E1040" s="2"/>
      <c r="F1040" s="2"/>
      <c r="G1040" s="2"/>
      <c r="H1040" s="2"/>
      <c r="I1040" s="5"/>
    </row>
    <row r="1041" spans="1:9" ht="17.399999999999999" x14ac:dyDescent="0.25">
      <c r="A1041" s="16"/>
      <c r="B1041" s="17"/>
      <c r="C1041" s="2"/>
      <c r="D1041" s="2"/>
      <c r="E1041" s="2"/>
      <c r="F1041" s="2"/>
      <c r="G1041" s="2"/>
      <c r="H1041" s="2"/>
      <c r="I1041" s="5"/>
    </row>
    <row r="1042" spans="1:9" ht="17.399999999999999" x14ac:dyDescent="0.25">
      <c r="A1042" s="16"/>
      <c r="B1042" s="17"/>
      <c r="C1042" s="2"/>
      <c r="D1042" s="2"/>
      <c r="E1042" s="2"/>
      <c r="F1042" s="2"/>
      <c r="G1042" s="2"/>
      <c r="H1042" s="2"/>
      <c r="I1042" s="5"/>
    </row>
    <row r="1043" spans="1:9" ht="17.399999999999999" x14ac:dyDescent="0.25">
      <c r="A1043" s="16"/>
      <c r="B1043" s="17"/>
      <c r="C1043" s="2"/>
      <c r="D1043" s="2"/>
      <c r="E1043" s="2"/>
      <c r="F1043" s="2"/>
      <c r="G1043" s="2"/>
      <c r="H1043" s="2"/>
      <c r="I1043" s="5"/>
    </row>
    <row r="1044" spans="1:9" ht="17.399999999999999" x14ac:dyDescent="0.25">
      <c r="A1044" s="16"/>
      <c r="B1044" s="17"/>
      <c r="C1044" s="2"/>
      <c r="D1044" s="2"/>
      <c r="E1044" s="2"/>
      <c r="F1044" s="2"/>
      <c r="G1044" s="2"/>
      <c r="H1044" s="2"/>
      <c r="I1044" s="5"/>
    </row>
    <row r="1045" spans="1:9" ht="17.399999999999999" x14ac:dyDescent="0.25">
      <c r="A1045" s="16"/>
      <c r="B1045" s="17"/>
      <c r="C1045" s="2"/>
      <c r="D1045" s="2"/>
      <c r="E1045" s="2"/>
      <c r="F1045" s="2"/>
      <c r="G1045" s="2"/>
      <c r="H1045" s="2"/>
      <c r="I1045" s="5"/>
    </row>
    <row r="1046" spans="1:9" ht="17.399999999999999" x14ac:dyDescent="0.25">
      <c r="A1046" s="16"/>
      <c r="B1046" s="17"/>
      <c r="C1046" s="2"/>
      <c r="D1046" s="2"/>
      <c r="E1046" s="2"/>
      <c r="F1046" s="2"/>
      <c r="G1046" s="2"/>
      <c r="H1046" s="2"/>
      <c r="I1046" s="5"/>
    </row>
    <row r="1047" spans="1:9" ht="17.399999999999999" x14ac:dyDescent="0.25">
      <c r="A1047" s="16"/>
      <c r="B1047" s="17"/>
      <c r="C1047" s="2"/>
      <c r="D1047" s="2"/>
      <c r="E1047" s="2"/>
      <c r="F1047" s="2"/>
      <c r="G1047" s="2"/>
      <c r="H1047" s="2"/>
      <c r="I1047" s="5"/>
    </row>
    <row r="1048" spans="1:9" ht="17.399999999999999" x14ac:dyDescent="0.25">
      <c r="A1048" s="16"/>
      <c r="B1048" s="17"/>
      <c r="C1048" s="2"/>
      <c r="D1048" s="2"/>
      <c r="E1048" s="2"/>
      <c r="F1048" s="2"/>
      <c r="G1048" s="2"/>
      <c r="H1048" s="2"/>
      <c r="I1048" s="5"/>
    </row>
    <row r="1049" spans="1:9" ht="17.399999999999999" x14ac:dyDescent="0.25">
      <c r="A1049" s="16"/>
      <c r="B1049" s="17"/>
      <c r="C1049" s="2"/>
      <c r="D1049" s="2"/>
      <c r="E1049" s="2"/>
      <c r="F1049" s="2"/>
      <c r="G1049" s="2"/>
      <c r="H1049" s="2"/>
      <c r="I1049" s="5"/>
    </row>
    <row r="1050" spans="1:9" ht="17.399999999999999" x14ac:dyDescent="0.25">
      <c r="A1050" s="16"/>
      <c r="B1050" s="17"/>
      <c r="C1050" s="2"/>
      <c r="D1050" s="2"/>
      <c r="E1050" s="2"/>
      <c r="F1050" s="2"/>
      <c r="G1050" s="2"/>
      <c r="H1050" s="2"/>
      <c r="I1050" s="5"/>
    </row>
    <row r="1051" spans="1:9" ht="17.399999999999999" x14ac:dyDescent="0.25">
      <c r="A1051" s="16"/>
      <c r="B1051" s="17"/>
      <c r="C1051" s="2"/>
      <c r="D1051" s="2"/>
      <c r="E1051" s="2"/>
      <c r="F1051" s="2"/>
      <c r="G1051" s="2"/>
      <c r="H1051" s="2"/>
      <c r="I1051" s="5"/>
    </row>
    <row r="1052" spans="1:9" ht="17.399999999999999" x14ac:dyDescent="0.25">
      <c r="A1052" s="16"/>
      <c r="B1052" s="17"/>
      <c r="C1052" s="2"/>
      <c r="D1052" s="2"/>
      <c r="E1052" s="2"/>
      <c r="F1052" s="2"/>
      <c r="G1052" s="2"/>
      <c r="H1052" s="2"/>
      <c r="I1052" s="5"/>
    </row>
    <row r="1053" spans="1:9" ht="17.399999999999999" x14ac:dyDescent="0.25">
      <c r="A1053" s="16"/>
      <c r="B1053" s="17"/>
      <c r="C1053" s="2"/>
      <c r="D1053" s="2"/>
      <c r="E1053" s="2"/>
      <c r="F1053" s="2"/>
      <c r="G1053" s="2"/>
      <c r="H1053" s="2"/>
      <c r="I1053" s="5"/>
    </row>
    <row r="1054" spans="1:9" ht="17.399999999999999" x14ac:dyDescent="0.25">
      <c r="A1054" s="16"/>
      <c r="B1054" s="17"/>
      <c r="C1054" s="2"/>
      <c r="D1054" s="2"/>
      <c r="E1054" s="2"/>
      <c r="F1054" s="2"/>
      <c r="G1054" s="2"/>
      <c r="H1054" s="2"/>
      <c r="I1054" s="5"/>
    </row>
    <row r="1055" spans="1:9" ht="17.399999999999999" x14ac:dyDescent="0.25">
      <c r="A1055" s="16"/>
      <c r="B1055" s="17"/>
      <c r="C1055" s="2"/>
      <c r="D1055" s="2"/>
      <c r="E1055" s="2"/>
      <c r="F1055" s="2"/>
      <c r="G1055" s="2"/>
      <c r="H1055" s="2"/>
      <c r="I1055" s="5"/>
    </row>
    <row r="1056" spans="1:9" ht="17.399999999999999" x14ac:dyDescent="0.25">
      <c r="A1056" s="16"/>
      <c r="B1056" s="17"/>
      <c r="C1056" s="2"/>
      <c r="D1056" s="2"/>
      <c r="E1056" s="2"/>
      <c r="F1056" s="2"/>
      <c r="G1056" s="2"/>
      <c r="H1056" s="2"/>
      <c r="I1056" s="5"/>
    </row>
    <row r="1057" spans="1:9" ht="17.399999999999999" x14ac:dyDescent="0.25">
      <c r="A1057" s="16"/>
      <c r="B1057" s="17"/>
      <c r="C1057" s="2"/>
      <c r="D1057" s="2"/>
      <c r="E1057" s="2"/>
      <c r="F1057" s="2"/>
      <c r="G1057" s="2"/>
      <c r="H1057" s="2"/>
      <c r="I1057" s="5"/>
    </row>
    <row r="1058" spans="1:9" ht="17.399999999999999" x14ac:dyDescent="0.25">
      <c r="A1058" s="16"/>
      <c r="B1058" s="17"/>
      <c r="C1058" s="2"/>
      <c r="D1058" s="2"/>
      <c r="E1058" s="2"/>
      <c r="F1058" s="2"/>
      <c r="G1058" s="2"/>
      <c r="H1058" s="2"/>
      <c r="I1058" s="5"/>
    </row>
    <row r="1059" spans="1:9" ht="17.399999999999999" x14ac:dyDescent="0.25">
      <c r="A1059" s="16"/>
      <c r="B1059" s="17"/>
      <c r="C1059" s="2"/>
      <c r="D1059" s="2"/>
      <c r="E1059" s="2"/>
      <c r="F1059" s="2"/>
      <c r="G1059" s="2"/>
      <c r="H1059" s="2"/>
      <c r="I1059" s="5"/>
    </row>
    <row r="1060" spans="1:9" ht="17.399999999999999" x14ac:dyDescent="0.25">
      <c r="A1060" s="16"/>
      <c r="B1060" s="17"/>
      <c r="C1060" s="2"/>
      <c r="D1060" s="2"/>
      <c r="E1060" s="2"/>
      <c r="F1060" s="2"/>
      <c r="G1060" s="2"/>
      <c r="H1060" s="2"/>
      <c r="I1060" s="5"/>
    </row>
    <row r="1061" spans="1:9" ht="17.399999999999999" x14ac:dyDescent="0.25">
      <c r="A1061" s="16"/>
      <c r="B1061" s="17"/>
      <c r="C1061" s="2"/>
      <c r="D1061" s="2"/>
      <c r="E1061" s="2"/>
      <c r="F1061" s="2"/>
      <c r="G1061" s="2"/>
      <c r="H1061" s="2"/>
      <c r="I1061" s="5"/>
    </row>
    <row r="1062" spans="1:9" ht="17.399999999999999" x14ac:dyDescent="0.25">
      <c r="A1062" s="16"/>
      <c r="B1062" s="17"/>
      <c r="C1062" s="2"/>
      <c r="D1062" s="2"/>
      <c r="E1062" s="2"/>
      <c r="F1062" s="2"/>
      <c r="G1062" s="2"/>
      <c r="H1062" s="2"/>
      <c r="I1062" s="5"/>
    </row>
    <row r="1063" spans="1:9" ht="17.399999999999999" x14ac:dyDescent="0.25">
      <c r="A1063" s="16"/>
      <c r="B1063" s="17"/>
      <c r="C1063" s="2"/>
      <c r="D1063" s="2"/>
      <c r="E1063" s="2"/>
      <c r="F1063" s="2"/>
      <c r="G1063" s="2"/>
      <c r="H1063" s="2"/>
      <c r="I1063" s="5"/>
    </row>
    <row r="1064" spans="1:9" ht="17.399999999999999" x14ac:dyDescent="0.25">
      <c r="A1064" s="16"/>
      <c r="B1064" s="17"/>
      <c r="C1064" s="2"/>
      <c r="D1064" s="2"/>
      <c r="E1064" s="2"/>
      <c r="F1064" s="2"/>
      <c r="G1064" s="2"/>
      <c r="H1064" s="2"/>
      <c r="I1064" s="5"/>
    </row>
    <row r="1065" spans="1:9" ht="17.399999999999999" x14ac:dyDescent="0.25">
      <c r="A1065" s="16"/>
      <c r="B1065" s="17"/>
      <c r="C1065" s="2"/>
      <c r="D1065" s="2"/>
      <c r="E1065" s="2"/>
      <c r="F1065" s="2"/>
      <c r="G1065" s="2"/>
      <c r="H1065" s="2"/>
      <c r="I1065" s="5"/>
    </row>
    <row r="1066" spans="1:9" ht="17.399999999999999" x14ac:dyDescent="0.25">
      <c r="A1066" s="16"/>
      <c r="B1066" s="17"/>
      <c r="C1066" s="2"/>
      <c r="D1066" s="2"/>
      <c r="E1066" s="2"/>
      <c r="F1066" s="2"/>
      <c r="G1066" s="2"/>
      <c r="H1066" s="2"/>
      <c r="I1066" s="5"/>
    </row>
    <row r="1067" spans="1:9" ht="17.399999999999999" x14ac:dyDescent="0.25">
      <c r="A1067" s="16"/>
      <c r="B1067" s="17"/>
      <c r="C1067" s="2"/>
      <c r="D1067" s="2"/>
      <c r="E1067" s="2"/>
      <c r="F1067" s="2"/>
      <c r="G1067" s="2"/>
      <c r="H1067" s="2"/>
      <c r="I1067" s="5"/>
    </row>
    <row r="1068" spans="1:9" ht="17.399999999999999" x14ac:dyDescent="0.25">
      <c r="A1068" s="16"/>
      <c r="B1068" s="17"/>
      <c r="C1068" s="2"/>
      <c r="D1068" s="2"/>
      <c r="E1068" s="2"/>
      <c r="F1068" s="2"/>
      <c r="G1068" s="2"/>
      <c r="H1068" s="2"/>
      <c r="I1068" s="5"/>
    </row>
    <row r="1069" spans="1:9" ht="17.399999999999999" x14ac:dyDescent="0.25">
      <c r="A1069" s="16"/>
      <c r="B1069" s="17"/>
      <c r="C1069" s="2"/>
      <c r="D1069" s="2"/>
      <c r="E1069" s="2"/>
      <c r="F1069" s="2"/>
      <c r="G1069" s="2"/>
      <c r="H1069" s="2"/>
      <c r="I1069" s="5"/>
    </row>
    <row r="1070" spans="1:9" ht="17.399999999999999" x14ac:dyDescent="0.25">
      <c r="A1070" s="16"/>
      <c r="B1070" s="17"/>
      <c r="C1070" s="2"/>
      <c r="D1070" s="2"/>
      <c r="E1070" s="2"/>
      <c r="F1070" s="2"/>
      <c r="G1070" s="2"/>
      <c r="H1070" s="2"/>
      <c r="I1070" s="5"/>
    </row>
    <row r="1071" spans="1:9" ht="17.399999999999999" x14ac:dyDescent="0.25">
      <c r="A1071" s="16"/>
      <c r="B1071" s="17"/>
      <c r="C1071" s="2"/>
      <c r="D1071" s="2"/>
      <c r="E1071" s="2"/>
      <c r="F1071" s="2"/>
      <c r="G1071" s="2"/>
      <c r="H1071" s="2"/>
      <c r="I1071" s="5"/>
    </row>
    <row r="1072" spans="1:9" ht="17.399999999999999" x14ac:dyDescent="0.25">
      <c r="A1072" s="16"/>
      <c r="B1072" s="17"/>
      <c r="C1072" s="2"/>
      <c r="D1072" s="2"/>
      <c r="E1072" s="2"/>
      <c r="F1072" s="2"/>
      <c r="G1072" s="2"/>
      <c r="H1072" s="2"/>
      <c r="I1072" s="5"/>
    </row>
    <row r="1073" spans="1:9" ht="17.399999999999999" x14ac:dyDescent="0.25">
      <c r="A1073" s="16"/>
      <c r="B1073" s="17"/>
      <c r="C1073" s="2"/>
      <c r="D1073" s="2"/>
      <c r="E1073" s="2"/>
      <c r="F1073" s="2"/>
      <c r="G1073" s="2"/>
      <c r="H1073" s="2"/>
      <c r="I1073" s="5"/>
    </row>
    <row r="1074" spans="1:9" ht="17.399999999999999" x14ac:dyDescent="0.25">
      <c r="A1074" s="16"/>
      <c r="B1074" s="17"/>
      <c r="C1074" s="2"/>
      <c r="D1074" s="2"/>
      <c r="E1074" s="2"/>
      <c r="F1074" s="2"/>
      <c r="G1074" s="2"/>
      <c r="H1074" s="2"/>
      <c r="I1074" s="5"/>
    </row>
    <row r="1075" spans="1:9" ht="17.399999999999999" x14ac:dyDescent="0.25">
      <c r="A1075" s="16"/>
      <c r="B1075" s="17"/>
      <c r="C1075" s="2"/>
      <c r="D1075" s="2"/>
      <c r="E1075" s="2"/>
      <c r="F1075" s="2"/>
      <c r="G1075" s="2"/>
      <c r="H1075" s="2"/>
      <c r="I1075" s="5"/>
    </row>
    <row r="1076" spans="1:9" ht="17.399999999999999" x14ac:dyDescent="0.25">
      <c r="A1076" s="16"/>
      <c r="B1076" s="17"/>
      <c r="C1076" s="2"/>
      <c r="D1076" s="2"/>
      <c r="E1076" s="2"/>
      <c r="F1076" s="2"/>
      <c r="G1076" s="2"/>
      <c r="H1076" s="2"/>
      <c r="I1076" s="5"/>
    </row>
    <row r="1077" spans="1:9" ht="17.399999999999999" x14ac:dyDescent="0.25">
      <c r="A1077" s="16"/>
      <c r="B1077" s="17"/>
      <c r="C1077" s="2"/>
      <c r="D1077" s="2"/>
      <c r="E1077" s="2"/>
      <c r="F1077" s="2"/>
      <c r="G1077" s="2"/>
      <c r="H1077" s="2"/>
      <c r="I1077" s="5"/>
    </row>
    <row r="1078" spans="1:9" ht="17.399999999999999" x14ac:dyDescent="0.25">
      <c r="A1078" s="16"/>
      <c r="B1078" s="17"/>
      <c r="C1078" s="2"/>
      <c r="D1078" s="2"/>
      <c r="E1078" s="2"/>
      <c r="F1078" s="2"/>
      <c r="G1078" s="2"/>
      <c r="H1078" s="2"/>
      <c r="I1078" s="5"/>
    </row>
    <row r="1079" spans="1:9" ht="17.399999999999999" x14ac:dyDescent="0.25">
      <c r="A1079" s="16"/>
      <c r="B1079" s="17"/>
      <c r="C1079" s="2"/>
      <c r="D1079" s="2"/>
      <c r="E1079" s="2"/>
      <c r="F1079" s="2"/>
      <c r="G1079" s="2"/>
      <c r="H1079" s="2"/>
      <c r="I1079" s="5"/>
    </row>
    <row r="1080" spans="1:9" ht="17.399999999999999" x14ac:dyDescent="0.25">
      <c r="A1080" s="16"/>
      <c r="B1080" s="17"/>
      <c r="C1080" s="2"/>
      <c r="D1080" s="2"/>
      <c r="E1080" s="2"/>
      <c r="F1080" s="2"/>
      <c r="G1080" s="2"/>
      <c r="H1080" s="2"/>
      <c r="I1080" s="5"/>
    </row>
    <row r="1081" spans="1:9" ht="17.399999999999999" x14ac:dyDescent="0.25">
      <c r="A1081" s="16"/>
      <c r="B1081" s="17"/>
      <c r="C1081" s="2"/>
      <c r="D1081" s="2"/>
      <c r="E1081" s="2"/>
      <c r="F1081" s="2"/>
      <c r="G1081" s="2"/>
      <c r="H1081" s="2"/>
      <c r="I1081" s="5"/>
    </row>
    <row r="1082" spans="1:9" ht="17.399999999999999" x14ac:dyDescent="0.25">
      <c r="A1082" s="16"/>
      <c r="B1082" s="17"/>
      <c r="C1082" s="2"/>
      <c r="D1082" s="2"/>
      <c r="E1082" s="2"/>
      <c r="F1082" s="2"/>
      <c r="G1082" s="2"/>
      <c r="H1082" s="2"/>
      <c r="I1082" s="5"/>
    </row>
    <row r="1083" spans="1:9" ht="17.399999999999999" x14ac:dyDescent="0.25">
      <c r="A1083" s="16"/>
      <c r="B1083" s="17"/>
      <c r="C1083" s="2"/>
      <c r="D1083" s="2"/>
      <c r="E1083" s="2"/>
      <c r="F1083" s="2"/>
      <c r="G1083" s="2"/>
      <c r="H1083" s="2"/>
      <c r="I1083" s="5"/>
    </row>
    <row r="1084" spans="1:9" ht="17.399999999999999" x14ac:dyDescent="0.25">
      <c r="A1084" s="16"/>
      <c r="B1084" s="17"/>
      <c r="C1084" s="2"/>
      <c r="D1084" s="2"/>
      <c r="E1084" s="2"/>
      <c r="F1084" s="2"/>
      <c r="G1084" s="2"/>
      <c r="H1084" s="2"/>
      <c r="I1084" s="5"/>
    </row>
    <row r="1085" spans="1:9" ht="17.399999999999999" x14ac:dyDescent="0.25">
      <c r="A1085" s="16"/>
      <c r="B1085" s="17"/>
      <c r="C1085" s="2"/>
      <c r="D1085" s="2"/>
      <c r="E1085" s="2"/>
      <c r="F1085" s="2"/>
      <c r="G1085" s="2"/>
      <c r="H1085" s="2"/>
      <c r="I1085" s="5"/>
    </row>
    <row r="1086" spans="1:9" ht="17.399999999999999" x14ac:dyDescent="0.25">
      <c r="A1086" s="16"/>
      <c r="B1086" s="17"/>
      <c r="C1086" s="2"/>
      <c r="D1086" s="2"/>
      <c r="E1086" s="2"/>
      <c r="F1086" s="2"/>
      <c r="G1086" s="2"/>
      <c r="H1086" s="2"/>
      <c r="I1086" s="5"/>
    </row>
    <row r="1087" spans="1:9" ht="17.399999999999999" x14ac:dyDescent="0.25">
      <c r="A1087" s="16"/>
      <c r="B1087" s="17"/>
      <c r="C1087" s="2"/>
      <c r="D1087" s="2"/>
      <c r="E1087" s="2"/>
      <c r="F1087" s="2"/>
      <c r="G1087" s="2"/>
      <c r="H1087" s="2"/>
      <c r="I1087" s="5"/>
    </row>
    <row r="1088" spans="1:9" ht="17.399999999999999" x14ac:dyDescent="0.25">
      <c r="A1088" s="16"/>
      <c r="B1088" s="17"/>
      <c r="C1088" s="2"/>
      <c r="D1088" s="2"/>
      <c r="E1088" s="2"/>
      <c r="F1088" s="2"/>
      <c r="G1088" s="2"/>
      <c r="H1088" s="2"/>
      <c r="I1088" s="5"/>
    </row>
    <row r="1089" spans="1:9" ht="17.399999999999999" x14ac:dyDescent="0.25">
      <c r="A1089" s="16"/>
      <c r="B1089" s="17"/>
      <c r="C1089" s="2"/>
      <c r="D1089" s="2"/>
      <c r="E1089" s="2"/>
      <c r="F1089" s="2"/>
      <c r="G1089" s="2"/>
      <c r="H1089" s="2"/>
      <c r="I1089" s="5"/>
    </row>
    <row r="1090" spans="1:9" ht="17.399999999999999" x14ac:dyDescent="0.25">
      <c r="A1090" s="16"/>
      <c r="B1090" s="17"/>
      <c r="C1090" s="2"/>
      <c r="D1090" s="2"/>
      <c r="E1090" s="2"/>
      <c r="F1090" s="2"/>
      <c r="G1090" s="2"/>
      <c r="H1090" s="2"/>
      <c r="I1090" s="5"/>
    </row>
    <row r="1091" spans="1:9" ht="17.399999999999999" x14ac:dyDescent="0.25">
      <c r="A1091" s="16"/>
      <c r="B1091" s="17"/>
      <c r="C1091" s="2"/>
      <c r="D1091" s="2"/>
      <c r="E1091" s="2"/>
      <c r="F1091" s="2"/>
      <c r="G1091" s="2"/>
      <c r="H1091" s="2"/>
      <c r="I1091" s="5"/>
    </row>
    <row r="1092" spans="1:9" ht="17.399999999999999" x14ac:dyDescent="0.25">
      <c r="A1092" s="16"/>
      <c r="B1092" s="17"/>
      <c r="C1092" s="2"/>
      <c r="D1092" s="2"/>
      <c r="E1092" s="2"/>
      <c r="F1092" s="2"/>
      <c r="G1092" s="2"/>
      <c r="H1092" s="2"/>
      <c r="I1092" s="5"/>
    </row>
    <row r="1093" spans="1:9" ht="17.399999999999999" x14ac:dyDescent="0.25">
      <c r="A1093" s="16"/>
      <c r="B1093" s="17"/>
      <c r="C1093" s="2"/>
      <c r="D1093" s="2"/>
      <c r="E1093" s="2"/>
      <c r="F1093" s="2"/>
      <c r="G1093" s="2"/>
      <c r="H1093" s="2"/>
      <c r="I1093" s="5"/>
    </row>
    <row r="1094" spans="1:9" ht="17.399999999999999" x14ac:dyDescent="0.25">
      <c r="A1094" s="16"/>
      <c r="B1094" s="17"/>
      <c r="C1094" s="2"/>
      <c r="D1094" s="2"/>
      <c r="E1094" s="2"/>
      <c r="F1094" s="2"/>
      <c r="G1094" s="2"/>
      <c r="H1094" s="2"/>
      <c r="I1094" s="5"/>
    </row>
    <row r="1095" spans="1:9" ht="17.399999999999999" x14ac:dyDescent="0.25">
      <c r="A1095" s="16"/>
      <c r="B1095" s="17"/>
      <c r="C1095" s="2"/>
      <c r="D1095" s="2"/>
      <c r="E1095" s="2"/>
      <c r="F1095" s="2"/>
      <c r="G1095" s="2"/>
      <c r="H1095" s="2"/>
      <c r="I1095" s="5"/>
    </row>
    <row r="1096" spans="1:9" ht="17.399999999999999" x14ac:dyDescent="0.25">
      <c r="A1096" s="16"/>
      <c r="B1096" s="17"/>
      <c r="C1096" s="2"/>
      <c r="D1096" s="2"/>
      <c r="E1096" s="2"/>
      <c r="F1096" s="2"/>
      <c r="G1096" s="2"/>
      <c r="H1096" s="2"/>
      <c r="I1096" s="5"/>
    </row>
    <row r="1097" spans="1:9" ht="17.399999999999999" x14ac:dyDescent="0.25">
      <c r="A1097" s="16"/>
      <c r="B1097" s="17"/>
      <c r="C1097" s="2"/>
      <c r="D1097" s="2"/>
      <c r="E1097" s="2"/>
      <c r="F1097" s="2"/>
      <c r="G1097" s="2"/>
      <c r="H1097" s="2"/>
      <c r="I1097" s="5"/>
    </row>
    <row r="1098" spans="1:9" ht="17.399999999999999" x14ac:dyDescent="0.25">
      <c r="A1098" s="16"/>
      <c r="B1098" s="17"/>
      <c r="C1098" s="2"/>
      <c r="D1098" s="2"/>
      <c r="E1098" s="2"/>
      <c r="F1098" s="2"/>
      <c r="G1098" s="2"/>
      <c r="H1098" s="2"/>
      <c r="I1098" s="5"/>
    </row>
    <row r="1099" spans="1:9" ht="17.399999999999999" x14ac:dyDescent="0.25">
      <c r="A1099" s="16"/>
      <c r="B1099" s="17"/>
      <c r="C1099" s="2"/>
      <c r="D1099" s="2"/>
      <c r="E1099" s="2"/>
      <c r="F1099" s="2"/>
      <c r="G1099" s="2"/>
      <c r="H1099" s="2"/>
      <c r="I1099" s="5"/>
    </row>
    <row r="1100" spans="1:9" ht="17.399999999999999" x14ac:dyDescent="0.25">
      <c r="A1100" s="16"/>
      <c r="B1100" s="17"/>
      <c r="C1100" s="2"/>
      <c r="D1100" s="2"/>
      <c r="E1100" s="2"/>
      <c r="F1100" s="2"/>
      <c r="G1100" s="2"/>
      <c r="H1100" s="2"/>
      <c r="I1100" s="5"/>
    </row>
    <row r="1101" spans="1:9" ht="17.399999999999999" x14ac:dyDescent="0.25">
      <c r="A1101" s="16"/>
      <c r="B1101" s="17"/>
      <c r="C1101" s="2"/>
      <c r="D1101" s="2"/>
      <c r="E1101" s="2"/>
      <c r="F1101" s="2"/>
      <c r="G1101" s="2"/>
      <c r="H1101" s="2"/>
      <c r="I1101" s="5"/>
    </row>
    <row r="1102" spans="1:9" ht="17.399999999999999" x14ac:dyDescent="0.25">
      <c r="A1102" s="16"/>
      <c r="B1102" s="17"/>
      <c r="C1102" s="2"/>
      <c r="D1102" s="2"/>
      <c r="E1102" s="2"/>
      <c r="F1102" s="2"/>
      <c r="G1102" s="2"/>
      <c r="H1102" s="2"/>
      <c r="I1102" s="5"/>
    </row>
    <row r="1103" spans="1:9" ht="17.399999999999999" x14ac:dyDescent="0.25">
      <c r="A1103" s="16"/>
      <c r="B1103" s="17"/>
      <c r="C1103" s="2"/>
      <c r="D1103" s="2"/>
      <c r="E1103" s="2"/>
      <c r="F1103" s="2"/>
      <c r="G1103" s="2"/>
      <c r="H1103" s="2"/>
      <c r="I1103" s="5"/>
    </row>
    <row r="1104" spans="1:9" ht="17.399999999999999" x14ac:dyDescent="0.25">
      <c r="A1104" s="16"/>
      <c r="B1104" s="17"/>
      <c r="C1104" s="2"/>
      <c r="D1104" s="2"/>
      <c r="E1104" s="2"/>
      <c r="F1104" s="2"/>
      <c r="G1104" s="2"/>
      <c r="H1104" s="2"/>
      <c r="I1104" s="5"/>
    </row>
    <row r="1105" spans="1:9" ht="17.399999999999999" x14ac:dyDescent="0.25">
      <c r="A1105" s="16"/>
      <c r="B1105" s="17"/>
      <c r="C1105" s="2"/>
      <c r="D1105" s="2"/>
      <c r="E1105" s="2"/>
      <c r="F1105" s="2"/>
      <c r="G1105" s="2"/>
      <c r="H1105" s="2"/>
      <c r="I1105" s="5"/>
    </row>
    <row r="1106" spans="1:9" ht="17.399999999999999" x14ac:dyDescent="0.25">
      <c r="A1106" s="16"/>
      <c r="B1106" s="17"/>
      <c r="C1106" s="2"/>
      <c r="D1106" s="2"/>
      <c r="E1106" s="2"/>
      <c r="F1106" s="2"/>
      <c r="G1106" s="2"/>
      <c r="H1106" s="2"/>
      <c r="I1106" s="5"/>
    </row>
    <row r="1107" spans="1:9" ht="17.399999999999999" x14ac:dyDescent="0.25">
      <c r="A1107" s="16"/>
      <c r="B1107" s="17"/>
      <c r="C1107" s="2"/>
      <c r="D1107" s="2"/>
      <c r="E1107" s="2"/>
      <c r="F1107" s="2"/>
      <c r="G1107" s="2"/>
      <c r="H1107" s="2"/>
      <c r="I1107" s="5"/>
    </row>
    <row r="1108" spans="1:9" ht="17.399999999999999" x14ac:dyDescent="0.25">
      <c r="A1108" s="16"/>
      <c r="B1108" s="17"/>
      <c r="C1108" s="2"/>
      <c r="D1108" s="2"/>
      <c r="E1108" s="2"/>
      <c r="F1108" s="2"/>
      <c r="G1108" s="2"/>
      <c r="H1108" s="2"/>
      <c r="I1108" s="5"/>
    </row>
    <row r="1109" spans="1:9" ht="17.399999999999999" x14ac:dyDescent="0.25">
      <c r="A1109" s="16"/>
      <c r="B1109" s="17"/>
      <c r="C1109" s="2"/>
      <c r="D1109" s="2"/>
      <c r="E1109" s="2"/>
      <c r="F1109" s="2"/>
      <c r="G1109" s="2"/>
      <c r="H1109" s="2"/>
      <c r="I1109" s="5"/>
    </row>
    <row r="1110" spans="1:9" ht="17.399999999999999" x14ac:dyDescent="0.25">
      <c r="A1110" s="16"/>
      <c r="B1110" s="17"/>
      <c r="C1110" s="2"/>
      <c r="D1110" s="2"/>
      <c r="E1110" s="2"/>
      <c r="F1110" s="2"/>
      <c r="G1110" s="2"/>
      <c r="H1110" s="2"/>
      <c r="I1110" s="5"/>
    </row>
    <row r="1111" spans="1:9" ht="17.399999999999999" x14ac:dyDescent="0.25">
      <c r="A1111" s="16"/>
      <c r="B1111" s="17"/>
      <c r="C1111" s="2"/>
      <c r="D1111" s="2"/>
      <c r="E1111" s="2"/>
      <c r="F1111" s="2"/>
      <c r="G1111" s="2"/>
      <c r="H1111" s="2"/>
      <c r="I1111" s="5"/>
    </row>
    <row r="1112" spans="1:9" ht="17.399999999999999" x14ac:dyDescent="0.25">
      <c r="A1112" s="16"/>
      <c r="B1112" s="17"/>
      <c r="C1112" s="2"/>
      <c r="D1112" s="2"/>
      <c r="E1112" s="2"/>
      <c r="F1112" s="2"/>
      <c r="G1112" s="2"/>
      <c r="H1112" s="2"/>
      <c r="I1112" s="5"/>
    </row>
    <row r="1113" spans="1:9" ht="17.399999999999999" x14ac:dyDescent="0.25">
      <c r="A1113" s="16"/>
      <c r="B1113" s="17"/>
      <c r="C1113" s="2"/>
      <c r="D1113" s="2"/>
      <c r="E1113" s="2"/>
      <c r="F1113" s="2"/>
      <c r="G1113" s="2"/>
      <c r="H1113" s="2"/>
      <c r="I1113" s="5"/>
    </row>
    <row r="1114" spans="1:9" ht="17.399999999999999" x14ac:dyDescent="0.25">
      <c r="A1114" s="16"/>
      <c r="B1114" s="17"/>
      <c r="C1114" s="2"/>
      <c r="D1114" s="2"/>
      <c r="E1114" s="2"/>
      <c r="F1114" s="2"/>
      <c r="G1114" s="2"/>
      <c r="H1114" s="2"/>
      <c r="I1114" s="5"/>
    </row>
    <row r="1115" spans="1:9" ht="17.399999999999999" x14ac:dyDescent="0.25">
      <c r="A1115" s="16"/>
      <c r="B1115" s="17"/>
      <c r="C1115" s="2"/>
      <c r="D1115" s="2"/>
      <c r="E1115" s="2"/>
      <c r="F1115" s="2"/>
      <c r="G1115" s="2"/>
      <c r="H1115" s="2"/>
      <c r="I1115" s="5"/>
    </row>
    <row r="1116" spans="1:9" ht="17.399999999999999" x14ac:dyDescent="0.25">
      <c r="A1116" s="16"/>
      <c r="B1116" s="17"/>
      <c r="C1116" s="2"/>
      <c r="D1116" s="2"/>
      <c r="E1116" s="2"/>
      <c r="F1116" s="2"/>
      <c r="G1116" s="2"/>
      <c r="H1116" s="2"/>
      <c r="I1116" s="5"/>
    </row>
    <row r="1117" spans="1:9" ht="17.399999999999999" x14ac:dyDescent="0.25">
      <c r="A1117" s="16"/>
      <c r="B1117" s="17"/>
      <c r="C1117" s="2"/>
      <c r="D1117" s="2"/>
      <c r="E1117" s="2"/>
      <c r="F1117" s="2"/>
      <c r="G1117" s="2"/>
      <c r="H1117" s="2"/>
      <c r="I1117" s="5"/>
    </row>
    <row r="1118" spans="1:9" ht="17.399999999999999" x14ac:dyDescent="0.25">
      <c r="A1118" s="16"/>
      <c r="B1118" s="17"/>
      <c r="C1118" s="2"/>
      <c r="D1118" s="2"/>
      <c r="E1118" s="2"/>
      <c r="F1118" s="2"/>
      <c r="G1118" s="2"/>
      <c r="H1118" s="2"/>
      <c r="I1118" s="5"/>
    </row>
    <row r="1119" spans="1:9" ht="17.399999999999999" x14ac:dyDescent="0.25">
      <c r="A1119" s="16"/>
      <c r="B1119" s="17"/>
      <c r="C1119" s="2"/>
      <c r="D1119" s="2"/>
      <c r="E1119" s="2"/>
      <c r="F1119" s="2"/>
      <c r="G1119" s="2"/>
      <c r="H1119" s="2"/>
      <c r="I1119" s="5"/>
    </row>
    <row r="1120" spans="1:9" ht="17.399999999999999" x14ac:dyDescent="0.25">
      <c r="A1120" s="16"/>
      <c r="B1120" s="17"/>
      <c r="C1120" s="2"/>
      <c r="D1120" s="2"/>
      <c r="E1120" s="2"/>
      <c r="F1120" s="2"/>
      <c r="G1120" s="2"/>
      <c r="H1120" s="2"/>
      <c r="I1120" s="5"/>
    </row>
    <row r="1121" spans="1:9" ht="17.399999999999999" x14ac:dyDescent="0.25">
      <c r="A1121" s="16"/>
      <c r="B1121" s="17"/>
      <c r="C1121" s="2"/>
      <c r="D1121" s="2"/>
      <c r="E1121" s="2"/>
      <c r="F1121" s="2"/>
      <c r="G1121" s="2"/>
      <c r="H1121" s="2"/>
      <c r="I1121" s="5"/>
    </row>
    <row r="1122" spans="1:9" ht="17.399999999999999" x14ac:dyDescent="0.25">
      <c r="A1122" s="16"/>
      <c r="B1122" s="17"/>
      <c r="C1122" s="2"/>
      <c r="D1122" s="2"/>
      <c r="E1122" s="2"/>
      <c r="F1122" s="2"/>
      <c r="G1122" s="2"/>
      <c r="H1122" s="2"/>
      <c r="I1122" s="5"/>
    </row>
    <row r="1123" spans="1:9" ht="17.399999999999999" x14ac:dyDescent="0.25">
      <c r="A1123" s="16"/>
      <c r="B1123" s="17"/>
      <c r="C1123" s="2"/>
      <c r="D1123" s="2"/>
      <c r="E1123" s="2"/>
      <c r="F1123" s="2"/>
      <c r="G1123" s="2"/>
      <c r="H1123" s="2"/>
      <c r="I1123" s="5"/>
    </row>
    <row r="1124" spans="1:9" ht="17.399999999999999" x14ac:dyDescent="0.25">
      <c r="A1124" s="16"/>
      <c r="B1124" s="17"/>
      <c r="C1124" s="2"/>
      <c r="D1124" s="2"/>
      <c r="E1124" s="2"/>
      <c r="F1124" s="2"/>
      <c r="G1124" s="2"/>
      <c r="H1124" s="2"/>
      <c r="I1124" s="5"/>
    </row>
    <row r="1125" spans="1:9" ht="17.399999999999999" x14ac:dyDescent="0.25">
      <c r="A1125" s="16"/>
      <c r="B1125" s="17"/>
      <c r="C1125" s="2"/>
      <c r="D1125" s="2"/>
      <c r="E1125" s="2"/>
      <c r="F1125" s="2"/>
      <c r="G1125" s="2"/>
      <c r="H1125" s="2"/>
      <c r="I1125" s="5"/>
    </row>
    <row r="1126" spans="1:9" ht="17.399999999999999" x14ac:dyDescent="0.25">
      <c r="A1126" s="16"/>
      <c r="B1126" s="17"/>
      <c r="C1126" s="2"/>
      <c r="D1126" s="2"/>
      <c r="E1126" s="2"/>
      <c r="F1126" s="2"/>
      <c r="G1126" s="2"/>
      <c r="H1126" s="2"/>
      <c r="I1126" s="5"/>
    </row>
    <row r="1127" spans="1:9" ht="17.399999999999999" x14ac:dyDescent="0.25">
      <c r="A1127" s="16"/>
      <c r="B1127" s="17"/>
      <c r="C1127" s="2"/>
      <c r="D1127" s="2"/>
      <c r="E1127" s="2"/>
      <c r="F1127" s="2"/>
      <c r="G1127" s="2"/>
      <c r="H1127" s="2"/>
      <c r="I1127" s="5"/>
    </row>
    <row r="1128" spans="1:9" ht="17.399999999999999" x14ac:dyDescent="0.25">
      <c r="A1128" s="16"/>
      <c r="B1128" s="17"/>
      <c r="C1128" s="2"/>
      <c r="D1128" s="2"/>
      <c r="E1128" s="2"/>
      <c r="F1128" s="2"/>
      <c r="G1128" s="2"/>
      <c r="H1128" s="2"/>
      <c r="I1128" s="5"/>
    </row>
    <row r="1129" spans="1:9" ht="17.399999999999999" x14ac:dyDescent="0.25">
      <c r="A1129" s="16"/>
      <c r="B1129" s="17"/>
      <c r="C1129" s="2"/>
      <c r="D1129" s="2"/>
      <c r="E1129" s="2"/>
      <c r="F1129" s="2"/>
      <c r="G1129" s="2"/>
      <c r="H1129" s="2"/>
      <c r="I1129" s="5"/>
    </row>
    <row r="1130" spans="1:9" ht="17.399999999999999" x14ac:dyDescent="0.25">
      <c r="A1130" s="16"/>
      <c r="B1130" s="17"/>
      <c r="C1130" s="2"/>
      <c r="D1130" s="2"/>
      <c r="E1130" s="2"/>
      <c r="F1130" s="2"/>
      <c r="G1130" s="2"/>
      <c r="H1130" s="2"/>
      <c r="I1130" s="5"/>
    </row>
    <row r="1131" spans="1:9" ht="17.399999999999999" x14ac:dyDescent="0.25">
      <c r="A1131" s="16"/>
      <c r="B1131" s="17"/>
      <c r="C1131" s="2"/>
      <c r="D1131" s="2"/>
      <c r="E1131" s="2"/>
      <c r="F1131" s="2"/>
      <c r="G1131" s="2"/>
      <c r="H1131" s="2"/>
      <c r="I1131" s="5"/>
    </row>
    <row r="1132" spans="1:9" ht="17.399999999999999" x14ac:dyDescent="0.25">
      <c r="A1132" s="16"/>
      <c r="B1132" s="17"/>
      <c r="C1132" s="2"/>
      <c r="D1132" s="2"/>
      <c r="E1132" s="2"/>
      <c r="F1132" s="2"/>
      <c r="G1132" s="2"/>
      <c r="H1132" s="2"/>
      <c r="I1132" s="5"/>
    </row>
    <row r="1133" spans="1:9" ht="17.399999999999999" x14ac:dyDescent="0.25">
      <c r="A1133" s="16"/>
      <c r="B1133" s="17"/>
      <c r="C1133" s="2"/>
      <c r="D1133" s="2"/>
      <c r="E1133" s="2"/>
      <c r="F1133" s="2"/>
      <c r="G1133" s="2"/>
      <c r="H1133" s="2"/>
      <c r="I1133" s="5"/>
    </row>
    <row r="1134" spans="1:9" ht="17.399999999999999" x14ac:dyDescent="0.25">
      <c r="A1134" s="16"/>
      <c r="B1134" s="17"/>
      <c r="C1134" s="2"/>
      <c r="D1134" s="2"/>
      <c r="E1134" s="2"/>
      <c r="F1134" s="2"/>
      <c r="G1134" s="2"/>
      <c r="H1134" s="2"/>
      <c r="I1134" s="5"/>
    </row>
    <row r="1135" spans="1:9" ht="17.399999999999999" x14ac:dyDescent="0.25">
      <c r="A1135" s="16"/>
      <c r="B1135" s="17"/>
      <c r="C1135" s="2"/>
      <c r="D1135" s="2"/>
      <c r="E1135" s="2"/>
      <c r="F1135" s="2"/>
      <c r="G1135" s="2"/>
      <c r="H1135" s="2"/>
      <c r="I1135" s="5"/>
    </row>
    <row r="1136" spans="1:9" ht="17.399999999999999" x14ac:dyDescent="0.25">
      <c r="A1136" s="16"/>
      <c r="B1136" s="17"/>
      <c r="C1136" s="2"/>
      <c r="D1136" s="2"/>
      <c r="E1136" s="2"/>
      <c r="F1136" s="2"/>
      <c r="G1136" s="2"/>
      <c r="H1136" s="2"/>
      <c r="I1136" s="5"/>
    </row>
    <row r="1137" spans="1:9" ht="17.399999999999999" x14ac:dyDescent="0.25">
      <c r="A1137" s="16"/>
      <c r="B1137" s="17"/>
      <c r="C1137" s="2"/>
      <c r="D1137" s="2"/>
      <c r="E1137" s="2"/>
      <c r="F1137" s="2"/>
      <c r="G1137" s="2"/>
      <c r="H1137" s="2"/>
      <c r="I1137" s="5"/>
    </row>
    <row r="1138" spans="1:9" ht="17.399999999999999" x14ac:dyDescent="0.25">
      <c r="A1138" s="16"/>
      <c r="B1138" s="17"/>
      <c r="C1138" s="2"/>
      <c r="D1138" s="2"/>
      <c r="E1138" s="2"/>
      <c r="F1138" s="2"/>
      <c r="G1138" s="2"/>
      <c r="H1138" s="2"/>
      <c r="I1138" s="5"/>
    </row>
    <row r="1139" spans="1:9" ht="17.399999999999999" x14ac:dyDescent="0.25">
      <c r="A1139" s="16"/>
      <c r="B1139" s="17"/>
      <c r="C1139" s="2"/>
      <c r="D1139" s="2"/>
      <c r="E1139" s="2"/>
      <c r="F1139" s="2"/>
      <c r="G1139" s="2"/>
      <c r="H1139" s="2"/>
      <c r="I1139" s="5"/>
    </row>
    <row r="1140" spans="1:9" ht="17.399999999999999" x14ac:dyDescent="0.25">
      <c r="A1140" s="16"/>
      <c r="B1140" s="17"/>
      <c r="C1140" s="2"/>
      <c r="D1140" s="2"/>
      <c r="E1140" s="2"/>
      <c r="F1140" s="2"/>
      <c r="G1140" s="2"/>
      <c r="H1140" s="2"/>
      <c r="I1140" s="5"/>
    </row>
    <row r="1141" spans="1:9" ht="17.399999999999999" x14ac:dyDescent="0.25">
      <c r="A1141" s="16"/>
      <c r="B1141" s="17"/>
      <c r="C1141" s="2"/>
      <c r="D1141" s="2"/>
      <c r="E1141" s="2"/>
      <c r="F1141" s="2"/>
      <c r="G1141" s="2"/>
      <c r="H1141" s="2"/>
      <c r="I1141" s="5"/>
    </row>
    <row r="1142" spans="1:9" ht="17.399999999999999" x14ac:dyDescent="0.25">
      <c r="A1142" s="16"/>
      <c r="B1142" s="17"/>
      <c r="C1142" s="2"/>
      <c r="D1142" s="2"/>
      <c r="E1142" s="2"/>
      <c r="F1142" s="2"/>
      <c r="G1142" s="2"/>
      <c r="H1142" s="2"/>
      <c r="I1142" s="5"/>
    </row>
    <row r="1143" spans="1:9" ht="17.399999999999999" x14ac:dyDescent="0.25">
      <c r="A1143" s="16"/>
      <c r="B1143" s="17"/>
      <c r="C1143" s="2"/>
      <c r="D1143" s="2"/>
      <c r="E1143" s="2"/>
      <c r="F1143" s="2"/>
      <c r="G1143" s="2"/>
      <c r="H1143" s="2"/>
      <c r="I1143" s="5"/>
    </row>
    <row r="1144" spans="1:9" ht="17.399999999999999" x14ac:dyDescent="0.25">
      <c r="A1144" s="16"/>
      <c r="B1144" s="17"/>
      <c r="C1144" s="2"/>
      <c r="D1144" s="2"/>
      <c r="E1144" s="2"/>
      <c r="F1144" s="2"/>
      <c r="G1144" s="2"/>
      <c r="H1144" s="2"/>
      <c r="I1144" s="5"/>
    </row>
    <row r="1145" spans="1:9" ht="17.399999999999999" x14ac:dyDescent="0.25">
      <c r="A1145" s="16"/>
      <c r="B1145" s="17"/>
      <c r="C1145" s="2"/>
      <c r="D1145" s="2"/>
      <c r="E1145" s="2"/>
      <c r="F1145" s="2"/>
      <c r="G1145" s="2"/>
      <c r="H1145" s="2"/>
      <c r="I1145" s="5"/>
    </row>
    <row r="1146" spans="1:9" ht="17.399999999999999" x14ac:dyDescent="0.25">
      <c r="A1146" s="16"/>
      <c r="B1146" s="17"/>
      <c r="C1146" s="2"/>
      <c r="D1146" s="2"/>
      <c r="E1146" s="2"/>
      <c r="F1146" s="2"/>
      <c r="G1146" s="2"/>
      <c r="H1146" s="2"/>
      <c r="I1146" s="5"/>
    </row>
    <row r="1147" spans="1:9" ht="17.399999999999999" x14ac:dyDescent="0.25">
      <c r="A1147" s="16"/>
      <c r="B1147" s="17"/>
      <c r="C1147" s="2"/>
      <c r="D1147" s="2"/>
      <c r="E1147" s="2"/>
      <c r="F1147" s="2"/>
      <c r="G1147" s="2"/>
      <c r="H1147" s="2"/>
      <c r="I1147" s="5"/>
    </row>
    <row r="1148" spans="1:9" ht="17.399999999999999" x14ac:dyDescent="0.25">
      <c r="A1148" s="16"/>
      <c r="B1148" s="17"/>
      <c r="C1148" s="2"/>
      <c r="D1148" s="2"/>
      <c r="E1148" s="2"/>
      <c r="F1148" s="2"/>
      <c r="G1148" s="2"/>
      <c r="H1148" s="2"/>
      <c r="I1148" s="5"/>
    </row>
    <row r="1149" spans="1:9" ht="17.399999999999999" x14ac:dyDescent="0.25">
      <c r="A1149" s="16"/>
      <c r="B1149" s="17"/>
      <c r="C1149" s="2"/>
      <c r="D1149" s="2"/>
      <c r="E1149" s="2"/>
      <c r="F1149" s="2"/>
      <c r="G1149" s="2"/>
      <c r="H1149" s="2"/>
      <c r="I1149" s="5"/>
    </row>
    <row r="1150" spans="1:9" ht="17.399999999999999" x14ac:dyDescent="0.25">
      <c r="A1150" s="16"/>
      <c r="B1150" s="17"/>
      <c r="C1150" s="2"/>
      <c r="D1150" s="2"/>
      <c r="E1150" s="2"/>
      <c r="F1150" s="2"/>
      <c r="G1150" s="2"/>
      <c r="H1150" s="2"/>
      <c r="I1150" s="5"/>
    </row>
    <row r="1151" spans="1:9" ht="17.399999999999999" x14ac:dyDescent="0.25">
      <c r="A1151" s="16"/>
      <c r="B1151" s="17"/>
      <c r="C1151" s="2"/>
      <c r="D1151" s="2"/>
      <c r="E1151" s="2"/>
      <c r="F1151" s="2"/>
      <c r="G1151" s="2"/>
      <c r="H1151" s="2"/>
      <c r="I1151" s="5"/>
    </row>
    <row r="1152" spans="1:9" ht="17.399999999999999" x14ac:dyDescent="0.25">
      <c r="A1152" s="16"/>
      <c r="B1152" s="17"/>
      <c r="C1152" s="2"/>
      <c r="D1152" s="2"/>
      <c r="E1152" s="2"/>
      <c r="F1152" s="2"/>
      <c r="G1152" s="2"/>
      <c r="H1152" s="2"/>
      <c r="I1152" s="5"/>
    </row>
    <row r="1153" spans="1:9" ht="17.399999999999999" x14ac:dyDescent="0.25">
      <c r="A1153" s="16"/>
      <c r="B1153" s="17"/>
      <c r="C1153" s="2"/>
      <c r="D1153" s="2"/>
      <c r="E1153" s="2"/>
      <c r="F1153" s="2"/>
      <c r="G1153" s="2"/>
      <c r="H1153" s="2"/>
      <c r="I1153" s="5"/>
    </row>
    <row r="1154" spans="1:9" ht="17.399999999999999" x14ac:dyDescent="0.25">
      <c r="A1154" s="16"/>
      <c r="B1154" s="17"/>
      <c r="C1154" s="2"/>
      <c r="D1154" s="2"/>
      <c r="E1154" s="2"/>
      <c r="F1154" s="2"/>
      <c r="G1154" s="2"/>
      <c r="H1154" s="2"/>
      <c r="I1154" s="5"/>
    </row>
    <row r="1155" spans="1:9" ht="17.399999999999999" x14ac:dyDescent="0.25">
      <c r="A1155" s="16"/>
      <c r="B1155" s="17"/>
      <c r="C1155" s="2"/>
      <c r="D1155" s="2"/>
      <c r="E1155" s="2"/>
      <c r="F1155" s="2"/>
      <c r="G1155" s="2"/>
      <c r="H1155" s="2"/>
      <c r="I1155" s="5"/>
    </row>
    <row r="1156" spans="1:9" ht="17.399999999999999" x14ac:dyDescent="0.25">
      <c r="A1156" s="16"/>
      <c r="B1156" s="17"/>
      <c r="C1156" s="2"/>
      <c r="D1156" s="2"/>
      <c r="E1156" s="2"/>
      <c r="F1156" s="2"/>
      <c r="G1156" s="2"/>
      <c r="H1156" s="2"/>
      <c r="I1156" s="5"/>
    </row>
    <row r="1157" spans="1:9" ht="17.399999999999999" x14ac:dyDescent="0.25">
      <c r="A1157" s="16"/>
      <c r="B1157" s="17"/>
      <c r="C1157" s="2"/>
      <c r="D1157" s="2"/>
      <c r="E1157" s="2"/>
      <c r="F1157" s="2"/>
      <c r="G1157" s="2"/>
      <c r="H1157" s="2"/>
      <c r="I1157" s="5"/>
    </row>
    <row r="1158" spans="1:9" ht="17.399999999999999" x14ac:dyDescent="0.25">
      <c r="A1158" s="16"/>
      <c r="B1158" s="17"/>
      <c r="C1158" s="2"/>
      <c r="D1158" s="2"/>
      <c r="E1158" s="2"/>
      <c r="F1158" s="2"/>
      <c r="G1158" s="2"/>
      <c r="H1158" s="2"/>
      <c r="I1158" s="5"/>
    </row>
    <row r="1159" spans="1:9" ht="17.399999999999999" x14ac:dyDescent="0.25">
      <c r="A1159" s="16"/>
      <c r="B1159" s="17"/>
      <c r="C1159" s="2"/>
      <c r="D1159" s="2"/>
      <c r="E1159" s="2"/>
      <c r="F1159" s="2"/>
      <c r="G1159" s="2"/>
      <c r="H1159" s="2"/>
      <c r="I1159" s="5"/>
    </row>
    <row r="1160" spans="1:9" ht="17.399999999999999" x14ac:dyDescent="0.25">
      <c r="A1160" s="16"/>
      <c r="B1160" s="17"/>
      <c r="C1160" s="2"/>
      <c r="D1160" s="2"/>
      <c r="E1160" s="2"/>
      <c r="F1160" s="2"/>
      <c r="G1160" s="2"/>
      <c r="H1160" s="2"/>
      <c r="I1160" s="5"/>
    </row>
    <row r="1161" spans="1:9" ht="17.399999999999999" x14ac:dyDescent="0.25">
      <c r="A1161" s="16"/>
      <c r="B1161" s="17"/>
      <c r="C1161" s="2"/>
      <c r="D1161" s="2"/>
      <c r="E1161" s="2"/>
      <c r="F1161" s="2"/>
      <c r="G1161" s="2"/>
      <c r="H1161" s="2"/>
      <c r="I1161" s="5"/>
    </row>
    <row r="1162" spans="1:9" ht="17.399999999999999" x14ac:dyDescent="0.25">
      <c r="A1162" s="16"/>
      <c r="B1162" s="17"/>
      <c r="C1162" s="2"/>
      <c r="D1162" s="2"/>
      <c r="E1162" s="2"/>
      <c r="F1162" s="2"/>
      <c r="G1162" s="2"/>
      <c r="H1162" s="2"/>
      <c r="I1162" s="5"/>
    </row>
    <row r="1163" spans="1:9" ht="17.399999999999999" x14ac:dyDescent="0.25">
      <c r="A1163" s="16"/>
      <c r="B1163" s="17"/>
      <c r="C1163" s="2"/>
      <c r="D1163" s="2"/>
      <c r="E1163" s="2"/>
      <c r="F1163" s="2"/>
      <c r="G1163" s="2"/>
      <c r="H1163" s="2"/>
      <c r="I1163" s="5"/>
    </row>
    <row r="1164" spans="1:9" ht="17.399999999999999" x14ac:dyDescent="0.25">
      <c r="A1164" s="16"/>
      <c r="B1164" s="17"/>
      <c r="C1164" s="2"/>
      <c r="D1164" s="2"/>
      <c r="E1164" s="2"/>
      <c r="F1164" s="2"/>
      <c r="G1164" s="2"/>
      <c r="H1164" s="2"/>
      <c r="I1164" s="5"/>
    </row>
    <row r="1165" spans="1:9" ht="17.399999999999999" x14ac:dyDescent="0.25">
      <c r="A1165" s="16"/>
      <c r="B1165" s="17"/>
      <c r="C1165" s="2"/>
      <c r="D1165" s="2"/>
      <c r="E1165" s="2"/>
      <c r="F1165" s="2"/>
      <c r="G1165" s="2"/>
      <c r="H1165" s="2"/>
      <c r="I1165" s="5"/>
    </row>
    <row r="1166" spans="1:9" ht="17.399999999999999" x14ac:dyDescent="0.25">
      <c r="A1166" s="16"/>
      <c r="B1166" s="17"/>
      <c r="C1166" s="2"/>
      <c r="D1166" s="2"/>
      <c r="E1166" s="2"/>
      <c r="F1166" s="2"/>
      <c r="G1166" s="2"/>
      <c r="H1166" s="2"/>
      <c r="I1166" s="5"/>
    </row>
    <row r="1167" spans="1:9" ht="17.399999999999999" x14ac:dyDescent="0.25">
      <c r="A1167" s="16"/>
      <c r="B1167" s="17"/>
      <c r="C1167" s="2"/>
      <c r="D1167" s="2"/>
      <c r="E1167" s="2"/>
      <c r="F1167" s="2"/>
      <c r="G1167" s="2"/>
      <c r="H1167" s="2"/>
      <c r="I1167" s="5"/>
    </row>
    <row r="1168" spans="1:9" ht="17.399999999999999" x14ac:dyDescent="0.25">
      <c r="A1168" s="16"/>
      <c r="B1168" s="17"/>
      <c r="C1168" s="2"/>
      <c r="D1168" s="2"/>
      <c r="E1168" s="2"/>
      <c r="F1168" s="2"/>
      <c r="G1168" s="2"/>
      <c r="H1168" s="2"/>
      <c r="I1168" s="5"/>
    </row>
    <row r="1169" spans="1:9" ht="17.399999999999999" x14ac:dyDescent="0.25">
      <c r="A1169" s="16"/>
      <c r="B1169" s="17"/>
      <c r="C1169" s="2"/>
      <c r="D1169" s="2"/>
      <c r="E1169" s="2"/>
      <c r="F1169" s="2"/>
      <c r="G1169" s="2"/>
      <c r="H1169" s="2"/>
      <c r="I1169" s="5"/>
    </row>
    <row r="1170" spans="1:9" ht="17.399999999999999" x14ac:dyDescent="0.25">
      <c r="A1170" s="16"/>
      <c r="B1170" s="17"/>
      <c r="C1170" s="2"/>
      <c r="D1170" s="2"/>
      <c r="E1170" s="2"/>
      <c r="F1170" s="2"/>
      <c r="G1170" s="2"/>
      <c r="H1170" s="2"/>
      <c r="I1170" s="5"/>
    </row>
    <row r="1171" spans="1:9" ht="17.399999999999999" x14ac:dyDescent="0.25">
      <c r="A1171" s="16"/>
      <c r="B1171" s="17"/>
      <c r="C1171" s="2"/>
      <c r="D1171" s="2"/>
      <c r="E1171" s="2"/>
      <c r="F1171" s="2"/>
      <c r="G1171" s="2"/>
      <c r="H1171" s="2"/>
      <c r="I1171" s="5"/>
    </row>
    <row r="1172" spans="1:9" ht="17.399999999999999" x14ac:dyDescent="0.25">
      <c r="A1172" s="16"/>
      <c r="B1172" s="17"/>
      <c r="C1172" s="2"/>
      <c r="D1172" s="2"/>
      <c r="E1172" s="2"/>
      <c r="F1172" s="2"/>
      <c r="G1172" s="2"/>
      <c r="H1172" s="2"/>
      <c r="I1172" s="5"/>
    </row>
    <row r="1173" spans="1:9" ht="17.399999999999999" x14ac:dyDescent="0.25">
      <c r="A1173" s="16"/>
      <c r="B1173" s="17"/>
      <c r="C1173" s="2"/>
      <c r="D1173" s="2"/>
      <c r="E1173" s="2"/>
      <c r="F1173" s="2"/>
      <c r="G1173" s="2"/>
      <c r="H1173" s="2"/>
      <c r="I1173" s="5"/>
    </row>
    <row r="1174" spans="1:9" ht="17.399999999999999" x14ac:dyDescent="0.25">
      <c r="A1174" s="16"/>
      <c r="B1174" s="17"/>
      <c r="C1174" s="2"/>
      <c r="D1174" s="2"/>
      <c r="E1174" s="2"/>
      <c r="F1174" s="2"/>
      <c r="G1174" s="2"/>
      <c r="H1174" s="2"/>
      <c r="I1174" s="5"/>
    </row>
    <row r="1175" spans="1:9" ht="17.399999999999999" x14ac:dyDescent="0.25">
      <c r="A1175" s="16"/>
      <c r="B1175" s="17"/>
      <c r="C1175" s="2"/>
      <c r="D1175" s="2"/>
      <c r="E1175" s="2"/>
      <c r="F1175" s="2"/>
      <c r="G1175" s="2"/>
      <c r="H1175" s="2"/>
      <c r="I1175" s="5"/>
    </row>
    <row r="1176" spans="1:9" ht="17.399999999999999" x14ac:dyDescent="0.25">
      <c r="A1176" s="16"/>
      <c r="B1176" s="17"/>
      <c r="C1176" s="2"/>
      <c r="D1176" s="2"/>
      <c r="E1176" s="2"/>
      <c r="F1176" s="2"/>
      <c r="G1176" s="2"/>
      <c r="H1176" s="2"/>
      <c r="I1176" s="5"/>
    </row>
    <row r="1177" spans="1:9" ht="17.399999999999999" x14ac:dyDescent="0.25">
      <c r="A1177" s="16"/>
      <c r="B1177" s="17"/>
      <c r="C1177" s="2"/>
      <c r="D1177" s="2"/>
      <c r="E1177" s="2"/>
      <c r="F1177" s="2"/>
      <c r="G1177" s="2"/>
      <c r="H1177" s="2"/>
      <c r="I1177" s="5"/>
    </row>
    <row r="1178" spans="1:9" ht="17.399999999999999" x14ac:dyDescent="0.25">
      <c r="A1178" s="16"/>
      <c r="B1178" s="17"/>
      <c r="C1178" s="2"/>
      <c r="D1178" s="2"/>
      <c r="E1178" s="2"/>
      <c r="F1178" s="2"/>
      <c r="G1178" s="2"/>
      <c r="H1178" s="2"/>
      <c r="I1178" s="5"/>
    </row>
    <row r="1179" spans="1:9" ht="17.399999999999999" x14ac:dyDescent="0.25">
      <c r="A1179" s="16"/>
      <c r="B1179" s="17"/>
      <c r="C1179" s="2"/>
      <c r="D1179" s="2"/>
      <c r="E1179" s="2"/>
      <c r="F1179" s="2"/>
      <c r="G1179" s="2"/>
      <c r="H1179" s="2"/>
      <c r="I1179" s="5"/>
    </row>
    <row r="1180" spans="1:9" ht="17.399999999999999" x14ac:dyDescent="0.25">
      <c r="A1180" s="16"/>
      <c r="B1180" s="17"/>
      <c r="C1180" s="2"/>
      <c r="D1180" s="2"/>
      <c r="E1180" s="2"/>
      <c r="F1180" s="2"/>
      <c r="G1180" s="2"/>
      <c r="H1180" s="2"/>
      <c r="I1180" s="5"/>
    </row>
    <row r="1181" spans="1:9" ht="17.399999999999999" x14ac:dyDescent="0.25">
      <c r="A1181" s="16"/>
      <c r="B1181" s="17"/>
      <c r="C1181" s="2"/>
      <c r="D1181" s="2"/>
      <c r="E1181" s="2"/>
      <c r="F1181" s="2"/>
      <c r="G1181" s="2"/>
      <c r="H1181" s="2"/>
      <c r="I1181" s="5"/>
    </row>
    <row r="1182" spans="1:9" ht="17.399999999999999" x14ac:dyDescent="0.25">
      <c r="A1182" s="16"/>
      <c r="B1182" s="17"/>
      <c r="C1182" s="2"/>
      <c r="D1182" s="2"/>
      <c r="E1182" s="2"/>
      <c r="F1182" s="2"/>
      <c r="G1182" s="2"/>
      <c r="H1182" s="2"/>
      <c r="I1182" s="5"/>
    </row>
    <row r="1183" spans="1:9" ht="17.399999999999999" x14ac:dyDescent="0.25">
      <c r="A1183" s="16"/>
      <c r="B1183" s="17"/>
      <c r="C1183" s="2"/>
      <c r="D1183" s="2"/>
      <c r="E1183" s="2"/>
      <c r="F1183" s="2"/>
      <c r="G1183" s="2"/>
      <c r="H1183" s="2"/>
      <c r="I1183" s="5"/>
    </row>
    <row r="1184" spans="1:9" ht="17.399999999999999" x14ac:dyDescent="0.25">
      <c r="A1184" s="16"/>
      <c r="B1184" s="17"/>
      <c r="C1184" s="2"/>
      <c r="D1184" s="2"/>
      <c r="E1184" s="2"/>
      <c r="F1184" s="2"/>
      <c r="G1184" s="2"/>
      <c r="H1184" s="2"/>
      <c r="I1184" s="5"/>
    </row>
    <row r="1185" spans="1:9" ht="17.399999999999999" x14ac:dyDescent="0.25">
      <c r="A1185" s="16"/>
      <c r="B1185" s="17"/>
      <c r="C1185" s="2"/>
      <c r="D1185" s="2"/>
      <c r="E1185" s="2"/>
      <c r="F1185" s="2"/>
      <c r="G1185" s="2"/>
      <c r="H1185" s="2"/>
      <c r="I1185" s="5"/>
    </row>
    <row r="1186" spans="1:9" ht="17.399999999999999" x14ac:dyDescent="0.25">
      <c r="A1186" s="16"/>
      <c r="B1186" s="17"/>
      <c r="C1186" s="2"/>
      <c r="D1186" s="2"/>
      <c r="E1186" s="2"/>
      <c r="F1186" s="2"/>
      <c r="G1186" s="2"/>
      <c r="H1186" s="2"/>
      <c r="I1186" s="5"/>
    </row>
    <row r="1187" spans="1:9" ht="17.399999999999999" x14ac:dyDescent="0.25">
      <c r="A1187" s="16"/>
      <c r="B1187" s="17"/>
      <c r="C1187" s="2"/>
      <c r="D1187" s="2"/>
      <c r="E1187" s="2"/>
      <c r="F1187" s="2"/>
      <c r="G1187" s="2"/>
      <c r="H1187" s="2"/>
      <c r="I1187" s="5"/>
    </row>
    <row r="1188" spans="1:9" ht="17.399999999999999" x14ac:dyDescent="0.25">
      <c r="A1188" s="16"/>
      <c r="B1188" s="17"/>
      <c r="C1188" s="2"/>
      <c r="D1188" s="2"/>
      <c r="E1188" s="2"/>
      <c r="F1188" s="2"/>
      <c r="G1188" s="2"/>
      <c r="H1188" s="2"/>
      <c r="I1188" s="5"/>
    </row>
    <row r="1189" spans="1:9" ht="17.399999999999999" x14ac:dyDescent="0.25">
      <c r="A1189" s="16"/>
      <c r="B1189" s="17"/>
      <c r="C1189" s="2"/>
      <c r="D1189" s="2"/>
      <c r="E1189" s="2"/>
      <c r="F1189" s="2"/>
      <c r="G1189" s="2"/>
      <c r="H1189" s="2"/>
      <c r="I1189" s="5"/>
    </row>
    <row r="1190" spans="1:9" ht="17.399999999999999" x14ac:dyDescent="0.25">
      <c r="A1190" s="16"/>
      <c r="B1190" s="17"/>
      <c r="C1190" s="2"/>
      <c r="D1190" s="2"/>
      <c r="E1190" s="2"/>
      <c r="F1190" s="2"/>
      <c r="G1190" s="2"/>
      <c r="H1190" s="2"/>
      <c r="I1190" s="5"/>
    </row>
    <row r="1191" spans="1:9" ht="17.399999999999999" x14ac:dyDescent="0.25">
      <c r="A1191" s="16"/>
      <c r="B1191" s="17"/>
      <c r="C1191" s="2"/>
      <c r="D1191" s="2"/>
      <c r="E1191" s="2"/>
      <c r="F1191" s="2"/>
      <c r="G1191" s="2"/>
      <c r="H1191" s="2"/>
      <c r="I1191" s="5"/>
    </row>
    <row r="1192" spans="1:9" ht="17.399999999999999" x14ac:dyDescent="0.25">
      <c r="A1192" s="16"/>
      <c r="B1192" s="17"/>
      <c r="C1192" s="2"/>
      <c r="D1192" s="2"/>
      <c r="E1192" s="2"/>
      <c r="F1192" s="2"/>
      <c r="G1192" s="2"/>
      <c r="H1192" s="2"/>
      <c r="I1192" s="5"/>
    </row>
    <row r="1193" spans="1:9" ht="17.399999999999999" x14ac:dyDescent="0.25">
      <c r="A1193" s="16"/>
      <c r="B1193" s="17"/>
      <c r="C1193" s="2"/>
      <c r="D1193" s="2"/>
      <c r="E1193" s="2"/>
      <c r="F1193" s="2"/>
      <c r="G1193" s="2"/>
      <c r="H1193" s="2"/>
      <c r="I1193" s="5"/>
    </row>
    <row r="1194" spans="1:9" ht="17.399999999999999" x14ac:dyDescent="0.25">
      <c r="A1194" s="16"/>
      <c r="B1194" s="17"/>
      <c r="C1194" s="2"/>
      <c r="D1194" s="2"/>
      <c r="E1194" s="2"/>
      <c r="F1194" s="2"/>
      <c r="G1194" s="2"/>
      <c r="H1194" s="2"/>
      <c r="I1194" s="5"/>
    </row>
    <row r="1195" spans="1:9" ht="17.399999999999999" x14ac:dyDescent="0.25">
      <c r="A1195" s="16"/>
      <c r="B1195" s="17"/>
      <c r="C1195" s="2"/>
      <c r="D1195" s="2"/>
      <c r="E1195" s="2"/>
      <c r="F1195" s="2"/>
      <c r="G1195" s="2"/>
      <c r="H1195" s="2"/>
      <c r="I1195" s="5"/>
    </row>
    <row r="1196" spans="1:9" ht="17.399999999999999" x14ac:dyDescent="0.25">
      <c r="A1196" s="16"/>
      <c r="B1196" s="17"/>
      <c r="C1196" s="2"/>
      <c r="D1196" s="2"/>
      <c r="E1196" s="2"/>
      <c r="F1196" s="2"/>
      <c r="G1196" s="2"/>
      <c r="H1196" s="2"/>
      <c r="I1196" s="5"/>
    </row>
    <row r="1197" spans="1:9" ht="17.399999999999999" x14ac:dyDescent="0.25">
      <c r="A1197" s="16"/>
      <c r="B1197" s="17"/>
      <c r="C1197" s="2"/>
      <c r="D1197" s="2"/>
      <c r="E1197" s="2"/>
      <c r="F1197" s="2"/>
      <c r="G1197" s="2"/>
      <c r="H1197" s="2"/>
      <c r="I1197" s="5"/>
    </row>
    <row r="1198" spans="1:9" ht="17.399999999999999" x14ac:dyDescent="0.25">
      <c r="A1198" s="16"/>
      <c r="B1198" s="17"/>
      <c r="C1198" s="2"/>
      <c r="D1198" s="2"/>
      <c r="E1198" s="2"/>
      <c r="F1198" s="2"/>
      <c r="G1198" s="2"/>
      <c r="H1198" s="2"/>
      <c r="I1198" s="5"/>
    </row>
    <row r="1199" spans="1:9" ht="17.399999999999999" x14ac:dyDescent="0.25">
      <c r="A1199" s="16"/>
      <c r="B1199" s="17"/>
      <c r="C1199" s="2"/>
      <c r="D1199" s="2"/>
      <c r="E1199" s="2"/>
      <c r="F1199" s="2"/>
      <c r="G1199" s="2"/>
      <c r="H1199" s="2"/>
      <c r="I1199" s="5"/>
    </row>
    <row r="1200" spans="1:9" ht="17.399999999999999" x14ac:dyDescent="0.25">
      <c r="A1200" s="16"/>
      <c r="B1200" s="17"/>
      <c r="C1200" s="2"/>
      <c r="D1200" s="2"/>
      <c r="E1200" s="2"/>
      <c r="F1200" s="2"/>
      <c r="G1200" s="2"/>
      <c r="H1200" s="2"/>
      <c r="I1200" s="5"/>
    </row>
    <row r="1201" spans="1:9" ht="17.399999999999999" x14ac:dyDescent="0.25">
      <c r="A1201" s="16"/>
      <c r="B1201" s="17"/>
      <c r="C1201" s="2"/>
      <c r="D1201" s="2"/>
      <c r="E1201" s="2"/>
      <c r="F1201" s="2"/>
      <c r="G1201" s="2"/>
      <c r="H1201" s="2"/>
      <c r="I1201" s="5"/>
    </row>
    <row r="1202" spans="1:9" ht="17.399999999999999" x14ac:dyDescent="0.25">
      <c r="A1202" s="16"/>
      <c r="B1202" s="17"/>
      <c r="C1202" s="2"/>
      <c r="D1202" s="2"/>
      <c r="E1202" s="2"/>
      <c r="F1202" s="2"/>
      <c r="G1202" s="2"/>
      <c r="H1202" s="2"/>
      <c r="I1202" s="5"/>
    </row>
    <row r="1203" spans="1:9" ht="17.399999999999999" x14ac:dyDescent="0.25">
      <c r="A1203" s="16"/>
      <c r="B1203" s="17"/>
      <c r="C1203" s="2"/>
      <c r="D1203" s="2"/>
      <c r="E1203" s="2"/>
      <c r="F1203" s="2"/>
      <c r="G1203" s="2"/>
      <c r="H1203" s="2"/>
      <c r="I1203" s="5"/>
    </row>
    <row r="1204" spans="1:9" ht="17.399999999999999" x14ac:dyDescent="0.25">
      <c r="A1204" s="16"/>
      <c r="B1204" s="17"/>
      <c r="C1204" s="2"/>
      <c r="D1204" s="2"/>
      <c r="E1204" s="2"/>
      <c r="F1204" s="2"/>
      <c r="G1204" s="2"/>
      <c r="H1204" s="2"/>
      <c r="I1204" s="5"/>
    </row>
    <row r="1205" spans="1:9" ht="17.399999999999999" x14ac:dyDescent="0.25">
      <c r="A1205" s="16"/>
      <c r="B1205" s="17"/>
      <c r="C1205" s="2"/>
      <c r="D1205" s="2"/>
      <c r="E1205" s="2"/>
      <c r="F1205" s="2"/>
      <c r="G1205" s="2"/>
      <c r="H1205" s="2"/>
      <c r="I1205" s="5"/>
    </row>
    <row r="1206" spans="1:9" ht="17.399999999999999" x14ac:dyDescent="0.25">
      <c r="A1206" s="16"/>
      <c r="B1206" s="17"/>
      <c r="C1206" s="2"/>
      <c r="D1206" s="2"/>
      <c r="E1206" s="2"/>
      <c r="F1206" s="2"/>
      <c r="G1206" s="2"/>
      <c r="H1206" s="2"/>
      <c r="I1206" s="5"/>
    </row>
    <row r="1207" spans="1:9" ht="17.399999999999999" x14ac:dyDescent="0.25">
      <c r="A1207" s="16"/>
      <c r="B1207" s="17"/>
      <c r="C1207" s="2"/>
      <c r="D1207" s="2"/>
      <c r="E1207" s="2"/>
      <c r="F1207" s="2"/>
      <c r="G1207" s="2"/>
      <c r="H1207" s="2"/>
      <c r="I1207" s="5"/>
    </row>
    <row r="1208" spans="1:9" ht="17.399999999999999" x14ac:dyDescent="0.25">
      <c r="A1208" s="16"/>
      <c r="B1208" s="17"/>
      <c r="C1208" s="2"/>
      <c r="D1208" s="2"/>
      <c r="E1208" s="2"/>
      <c r="F1208" s="2"/>
      <c r="G1208" s="2"/>
      <c r="H1208" s="2"/>
      <c r="I1208" s="5"/>
    </row>
    <row r="1209" spans="1:9" ht="17.399999999999999" x14ac:dyDescent="0.25">
      <c r="A1209" s="16"/>
      <c r="B1209" s="17"/>
      <c r="C1209" s="2"/>
      <c r="D1209" s="2"/>
      <c r="E1209" s="2"/>
      <c r="F1209" s="2"/>
      <c r="G1209" s="2"/>
      <c r="H1209" s="2"/>
      <c r="I1209" s="5"/>
    </row>
    <row r="1210" spans="1:9" ht="17.399999999999999" x14ac:dyDescent="0.25">
      <c r="A1210" s="16"/>
      <c r="B1210" s="17"/>
      <c r="C1210" s="2"/>
      <c r="D1210" s="2"/>
      <c r="E1210" s="2"/>
      <c r="F1210" s="2"/>
      <c r="G1210" s="2"/>
      <c r="H1210" s="2"/>
      <c r="I1210" s="5"/>
    </row>
    <row r="1211" spans="1:9" ht="17.399999999999999" x14ac:dyDescent="0.25">
      <c r="A1211" s="16"/>
      <c r="B1211" s="17"/>
      <c r="C1211" s="2"/>
      <c r="D1211" s="2"/>
      <c r="E1211" s="2"/>
      <c r="F1211" s="2"/>
      <c r="G1211" s="2"/>
      <c r="H1211" s="2"/>
      <c r="I1211" s="5"/>
    </row>
    <row r="1212" spans="1:9" ht="17.399999999999999" x14ac:dyDescent="0.25">
      <c r="A1212" s="16"/>
      <c r="B1212" s="17"/>
      <c r="C1212" s="2"/>
      <c r="D1212" s="2"/>
      <c r="E1212" s="2"/>
      <c r="F1212" s="2"/>
      <c r="G1212" s="2"/>
      <c r="H1212" s="2"/>
      <c r="I1212" s="5"/>
    </row>
    <row r="1213" spans="1:9" ht="17.399999999999999" x14ac:dyDescent="0.25">
      <c r="A1213" s="16"/>
      <c r="B1213" s="17"/>
      <c r="C1213" s="2"/>
      <c r="D1213" s="2"/>
      <c r="E1213" s="2"/>
      <c r="F1213" s="2"/>
      <c r="G1213" s="2"/>
      <c r="H1213" s="2"/>
      <c r="I1213" s="5"/>
    </row>
    <row r="1214" spans="1:9" ht="17.399999999999999" x14ac:dyDescent="0.25">
      <c r="A1214" s="16"/>
      <c r="B1214" s="17"/>
      <c r="C1214" s="2"/>
      <c r="D1214" s="2"/>
      <c r="E1214" s="2"/>
      <c r="F1214" s="2"/>
      <c r="G1214" s="2"/>
      <c r="H1214" s="2"/>
      <c r="I1214" s="5"/>
    </row>
    <row r="1215" spans="1:9" ht="17.399999999999999" x14ac:dyDescent="0.25">
      <c r="A1215" s="16"/>
      <c r="B1215" s="17"/>
      <c r="C1215" s="2"/>
      <c r="D1215" s="2"/>
      <c r="E1215" s="2"/>
      <c r="F1215" s="2"/>
      <c r="G1215" s="2"/>
      <c r="H1215" s="2"/>
      <c r="I1215" s="5"/>
    </row>
    <row r="1216" spans="1:9" ht="17.399999999999999" x14ac:dyDescent="0.25">
      <c r="A1216" s="16"/>
      <c r="B1216" s="17"/>
      <c r="C1216" s="2"/>
      <c r="D1216" s="2"/>
      <c r="E1216" s="2"/>
      <c r="F1216" s="2"/>
      <c r="G1216" s="2"/>
      <c r="H1216" s="2"/>
      <c r="I1216" s="5"/>
    </row>
    <row r="1217" spans="1:9" ht="17.399999999999999" x14ac:dyDescent="0.25">
      <c r="A1217" s="16"/>
      <c r="B1217" s="17"/>
      <c r="C1217" s="2"/>
      <c r="D1217" s="2"/>
      <c r="E1217" s="2"/>
      <c r="F1217" s="2"/>
      <c r="G1217" s="2"/>
      <c r="H1217" s="2"/>
      <c r="I1217" s="5"/>
    </row>
    <row r="1218" spans="1:9" ht="17.399999999999999" x14ac:dyDescent="0.25">
      <c r="A1218" s="16"/>
      <c r="B1218" s="17"/>
      <c r="C1218" s="2"/>
      <c r="D1218" s="2"/>
      <c r="E1218" s="2"/>
      <c r="F1218" s="2"/>
      <c r="G1218" s="2"/>
      <c r="H1218" s="2"/>
      <c r="I1218" s="5"/>
    </row>
    <row r="1219" spans="1:9" ht="17.399999999999999" x14ac:dyDescent="0.25">
      <c r="A1219" s="16"/>
      <c r="B1219" s="17"/>
      <c r="C1219" s="2"/>
      <c r="D1219" s="2"/>
      <c r="E1219" s="2"/>
      <c r="F1219" s="2"/>
      <c r="G1219" s="2"/>
      <c r="H1219" s="2"/>
      <c r="I1219" s="5"/>
    </row>
    <row r="1220" spans="1:9" ht="17.399999999999999" x14ac:dyDescent="0.25">
      <c r="A1220" s="16"/>
      <c r="B1220" s="17"/>
      <c r="C1220" s="2"/>
      <c r="D1220" s="2"/>
      <c r="E1220" s="2"/>
      <c r="F1220" s="2"/>
      <c r="G1220" s="2"/>
      <c r="H1220" s="2"/>
      <c r="I1220" s="5"/>
    </row>
    <row r="1221" spans="1:9" ht="17.399999999999999" x14ac:dyDescent="0.25">
      <c r="A1221" s="16"/>
      <c r="B1221" s="17"/>
      <c r="C1221" s="2"/>
      <c r="D1221" s="2"/>
      <c r="E1221" s="2"/>
      <c r="F1221" s="2"/>
      <c r="G1221" s="2"/>
      <c r="H1221" s="2"/>
      <c r="I1221" s="5"/>
    </row>
    <row r="1222" spans="1:9" ht="17.399999999999999" x14ac:dyDescent="0.25">
      <c r="A1222" s="16"/>
      <c r="B1222" s="17"/>
      <c r="C1222" s="2"/>
      <c r="D1222" s="2"/>
      <c r="E1222" s="2"/>
      <c r="F1222" s="2"/>
      <c r="G1222" s="2"/>
      <c r="H1222" s="2"/>
      <c r="I1222" s="5"/>
    </row>
    <row r="1223" spans="1:9" ht="17.399999999999999" x14ac:dyDescent="0.25">
      <c r="A1223" s="16"/>
      <c r="B1223" s="17"/>
      <c r="C1223" s="2"/>
      <c r="D1223" s="2"/>
      <c r="E1223" s="2"/>
      <c r="F1223" s="2"/>
      <c r="G1223" s="2"/>
      <c r="H1223" s="2"/>
      <c r="I1223" s="5"/>
    </row>
    <row r="1224" spans="1:9" ht="17.399999999999999" x14ac:dyDescent="0.25">
      <c r="A1224" s="16"/>
      <c r="B1224" s="17"/>
      <c r="C1224" s="2"/>
      <c r="D1224" s="2"/>
      <c r="E1224" s="2"/>
      <c r="F1224" s="2"/>
      <c r="G1224" s="2"/>
      <c r="H1224" s="2"/>
      <c r="I1224" s="5"/>
    </row>
    <row r="1225" spans="1:9" ht="17.399999999999999" x14ac:dyDescent="0.25">
      <c r="A1225" s="16"/>
      <c r="B1225" s="17"/>
      <c r="C1225" s="2"/>
      <c r="D1225" s="2"/>
      <c r="E1225" s="2"/>
      <c r="F1225" s="2"/>
      <c r="G1225" s="2"/>
      <c r="H1225" s="2"/>
      <c r="I1225" s="5"/>
    </row>
    <row r="1226" spans="1:9" ht="17.399999999999999" x14ac:dyDescent="0.25">
      <c r="A1226" s="16"/>
      <c r="B1226" s="17"/>
      <c r="C1226" s="2"/>
      <c r="D1226" s="2"/>
      <c r="E1226" s="2"/>
      <c r="F1226" s="2"/>
      <c r="G1226" s="2"/>
      <c r="H1226" s="2"/>
      <c r="I1226" s="5"/>
    </row>
    <row r="1227" spans="1:9" ht="17.399999999999999" x14ac:dyDescent="0.25">
      <c r="A1227" s="16"/>
      <c r="B1227" s="17"/>
      <c r="C1227" s="2"/>
      <c r="D1227" s="2"/>
      <c r="E1227" s="2"/>
      <c r="F1227" s="2"/>
      <c r="G1227" s="2"/>
      <c r="H1227" s="2"/>
      <c r="I1227" s="5"/>
    </row>
    <row r="1228" spans="1:9" ht="17.399999999999999" x14ac:dyDescent="0.25">
      <c r="A1228" s="16"/>
      <c r="B1228" s="17"/>
      <c r="C1228" s="2"/>
      <c r="D1228" s="2"/>
      <c r="E1228" s="2"/>
      <c r="F1228" s="2"/>
      <c r="G1228" s="2"/>
      <c r="H1228" s="2"/>
      <c r="I1228" s="5"/>
    </row>
    <row r="1229" spans="1:9" ht="17.399999999999999" x14ac:dyDescent="0.25">
      <c r="A1229" s="16"/>
      <c r="B1229" s="17"/>
      <c r="C1229" s="2"/>
      <c r="D1229" s="2"/>
      <c r="E1229" s="2"/>
      <c r="F1229" s="2"/>
      <c r="G1229" s="2"/>
      <c r="H1229" s="2"/>
      <c r="I1229" s="5"/>
    </row>
    <row r="1230" spans="1:9" ht="17.399999999999999" x14ac:dyDescent="0.25">
      <c r="A1230" s="16"/>
      <c r="B1230" s="17"/>
      <c r="C1230" s="2"/>
      <c r="D1230" s="2"/>
      <c r="E1230" s="2"/>
      <c r="F1230" s="2"/>
      <c r="G1230" s="2"/>
      <c r="H1230" s="2"/>
      <c r="I1230" s="5"/>
    </row>
    <row r="1231" spans="1:9" ht="17.399999999999999" x14ac:dyDescent="0.25">
      <c r="A1231" s="16"/>
      <c r="B1231" s="17"/>
      <c r="C1231" s="2"/>
      <c r="D1231" s="2"/>
      <c r="E1231" s="2"/>
      <c r="F1231" s="2"/>
      <c r="G1231" s="2"/>
      <c r="H1231" s="2"/>
      <c r="I1231" s="5"/>
    </row>
    <row r="1232" spans="1:9" ht="17.399999999999999" x14ac:dyDescent="0.25">
      <c r="A1232" s="16"/>
      <c r="B1232" s="17"/>
      <c r="C1232" s="2"/>
      <c r="D1232" s="2"/>
      <c r="E1232" s="2"/>
      <c r="F1232" s="2"/>
      <c r="G1232" s="2"/>
      <c r="H1232" s="2"/>
      <c r="I1232" s="5"/>
    </row>
    <row r="1233" spans="1:9" ht="17.399999999999999" x14ac:dyDescent="0.25">
      <c r="A1233" s="16"/>
      <c r="B1233" s="17"/>
      <c r="C1233" s="2"/>
      <c r="D1233" s="2"/>
      <c r="E1233" s="2"/>
      <c r="F1233" s="2"/>
      <c r="G1233" s="2"/>
      <c r="H1233" s="2"/>
      <c r="I1233" s="5"/>
    </row>
    <row r="1234" spans="1:9" ht="17.399999999999999" x14ac:dyDescent="0.25">
      <c r="A1234" s="16"/>
      <c r="B1234" s="17"/>
      <c r="C1234" s="2"/>
      <c r="D1234" s="2"/>
      <c r="E1234" s="2"/>
      <c r="F1234" s="2"/>
      <c r="G1234" s="2"/>
      <c r="H1234" s="2"/>
      <c r="I1234" s="5"/>
    </row>
    <row r="1235" spans="1:9" ht="17.399999999999999" x14ac:dyDescent="0.25">
      <c r="A1235" s="16"/>
      <c r="B1235" s="17"/>
      <c r="C1235" s="2"/>
      <c r="D1235" s="2"/>
      <c r="E1235" s="2"/>
      <c r="F1235" s="2"/>
      <c r="G1235" s="2"/>
      <c r="H1235" s="2"/>
      <c r="I1235" s="5"/>
    </row>
    <row r="1236" spans="1:9" ht="17.399999999999999" x14ac:dyDescent="0.25">
      <c r="A1236" s="16"/>
      <c r="B1236" s="17"/>
      <c r="C1236" s="2"/>
      <c r="D1236" s="2"/>
      <c r="E1236" s="2"/>
      <c r="F1236" s="2"/>
      <c r="G1236" s="2"/>
      <c r="H1236" s="2"/>
      <c r="I1236" s="5"/>
    </row>
    <row r="1237" spans="1:9" ht="17.399999999999999" x14ac:dyDescent="0.25">
      <c r="A1237" s="16"/>
      <c r="B1237" s="17"/>
      <c r="C1237" s="2"/>
      <c r="D1237" s="2"/>
      <c r="E1237" s="2"/>
      <c r="F1237" s="2"/>
      <c r="G1237" s="2"/>
      <c r="H1237" s="2"/>
      <c r="I1237" s="5"/>
    </row>
    <row r="1238" spans="1:9" ht="17.399999999999999" x14ac:dyDescent="0.25">
      <c r="A1238" s="16"/>
      <c r="B1238" s="17"/>
      <c r="C1238" s="2"/>
      <c r="D1238" s="2"/>
      <c r="E1238" s="2"/>
      <c r="F1238" s="2"/>
      <c r="G1238" s="2"/>
      <c r="H1238" s="2"/>
      <c r="I1238" s="5"/>
    </row>
    <row r="1239" spans="1:9" ht="17.399999999999999" x14ac:dyDescent="0.25">
      <c r="A1239" s="16"/>
      <c r="B1239" s="17"/>
      <c r="C1239" s="2"/>
      <c r="D1239" s="2"/>
      <c r="E1239" s="2"/>
      <c r="F1239" s="2"/>
      <c r="G1239" s="2"/>
      <c r="H1239" s="2"/>
      <c r="I1239" s="5"/>
    </row>
    <row r="1240" spans="1:9" ht="17.399999999999999" x14ac:dyDescent="0.25">
      <c r="A1240" s="16"/>
      <c r="B1240" s="17"/>
      <c r="C1240" s="2"/>
      <c r="D1240" s="2"/>
      <c r="E1240" s="2"/>
      <c r="F1240" s="2"/>
      <c r="G1240" s="2"/>
      <c r="H1240" s="2"/>
      <c r="I1240" s="5"/>
    </row>
    <row r="1241" spans="1:9" ht="17.399999999999999" x14ac:dyDescent="0.25">
      <c r="A1241" s="16"/>
      <c r="B1241" s="17"/>
      <c r="C1241" s="2"/>
      <c r="D1241" s="2"/>
      <c r="E1241" s="2"/>
      <c r="F1241" s="2"/>
      <c r="G1241" s="2"/>
      <c r="H1241" s="2"/>
      <c r="I1241" s="5"/>
    </row>
    <row r="1242" spans="1:9" ht="17.399999999999999" x14ac:dyDescent="0.25">
      <c r="A1242" s="16"/>
      <c r="B1242" s="17"/>
      <c r="C1242" s="2"/>
      <c r="D1242" s="2"/>
      <c r="E1242" s="2"/>
      <c r="F1242" s="2"/>
      <c r="G1242" s="2"/>
      <c r="H1242" s="2"/>
      <c r="I1242" s="5"/>
    </row>
    <row r="1243" spans="1:9" ht="17.399999999999999" x14ac:dyDescent="0.25">
      <c r="A1243" s="16"/>
      <c r="B1243" s="17"/>
      <c r="C1243" s="2"/>
      <c r="D1243" s="2"/>
      <c r="E1243" s="2"/>
      <c r="F1243" s="2"/>
      <c r="G1243" s="2"/>
      <c r="H1243" s="2"/>
      <c r="I1243" s="5"/>
    </row>
    <row r="1244" spans="1:9" ht="17.399999999999999" x14ac:dyDescent="0.25">
      <c r="A1244" s="16"/>
      <c r="B1244" s="17"/>
      <c r="C1244" s="2"/>
      <c r="D1244" s="2"/>
      <c r="E1244" s="2"/>
      <c r="F1244" s="2"/>
      <c r="G1244" s="2"/>
      <c r="H1244" s="2"/>
      <c r="I1244" s="5"/>
    </row>
    <row r="1245" spans="1:9" ht="17.399999999999999" x14ac:dyDescent="0.25">
      <c r="A1245" s="16"/>
      <c r="B1245" s="17"/>
      <c r="C1245" s="2"/>
      <c r="D1245" s="2"/>
      <c r="E1245" s="2"/>
      <c r="F1245" s="2"/>
      <c r="G1245" s="2"/>
      <c r="H1245" s="2"/>
      <c r="I1245" s="5"/>
    </row>
    <row r="1246" spans="1:9" ht="17.399999999999999" x14ac:dyDescent="0.25">
      <c r="A1246" s="16"/>
      <c r="B1246" s="17"/>
      <c r="C1246" s="2"/>
      <c r="D1246" s="2"/>
      <c r="E1246" s="2"/>
      <c r="F1246" s="2"/>
      <c r="G1246" s="2"/>
      <c r="H1246" s="2"/>
      <c r="I1246" s="5"/>
    </row>
    <row r="1247" spans="1:9" ht="17.399999999999999" x14ac:dyDescent="0.25">
      <c r="A1247" s="16"/>
      <c r="B1247" s="17"/>
      <c r="C1247" s="2"/>
      <c r="D1247" s="2"/>
      <c r="E1247" s="2"/>
      <c r="F1247" s="2"/>
      <c r="G1247" s="2"/>
      <c r="H1247" s="2"/>
      <c r="I1247" s="5"/>
    </row>
    <row r="1248" spans="1:9" ht="17.399999999999999" x14ac:dyDescent="0.25">
      <c r="A1248" s="16"/>
      <c r="B1248" s="17"/>
      <c r="C1248" s="2"/>
      <c r="D1248" s="2"/>
      <c r="E1248" s="2"/>
      <c r="F1248" s="2"/>
      <c r="G1248" s="2"/>
      <c r="H1248" s="2"/>
      <c r="I1248" s="5"/>
    </row>
    <row r="1249" spans="1:9" ht="17.399999999999999" x14ac:dyDescent="0.25">
      <c r="A1249" s="16"/>
      <c r="B1249" s="17"/>
      <c r="C1249" s="2"/>
      <c r="D1249" s="2"/>
      <c r="E1249" s="2"/>
      <c r="F1249" s="2"/>
      <c r="G1249" s="2"/>
      <c r="H1249" s="2"/>
      <c r="I1249" s="5"/>
    </row>
    <row r="1250" spans="1:9" ht="17.399999999999999" x14ac:dyDescent="0.25">
      <c r="A1250" s="16"/>
      <c r="B1250" s="17"/>
      <c r="C1250" s="2"/>
      <c r="D1250" s="2"/>
      <c r="E1250" s="2"/>
      <c r="F1250" s="2"/>
      <c r="G1250" s="2"/>
      <c r="H1250" s="2"/>
      <c r="I1250" s="5"/>
    </row>
    <row r="1251" spans="1:9" ht="17.399999999999999" x14ac:dyDescent="0.25">
      <c r="A1251" s="16"/>
      <c r="B1251" s="17"/>
      <c r="C1251" s="2"/>
      <c r="D1251" s="2"/>
      <c r="E1251" s="2"/>
      <c r="F1251" s="2"/>
      <c r="G1251" s="2"/>
      <c r="H1251" s="2"/>
      <c r="I1251" s="5"/>
    </row>
    <row r="1252" spans="1:9" ht="17.399999999999999" x14ac:dyDescent="0.25">
      <c r="A1252" s="16"/>
      <c r="B1252" s="17"/>
      <c r="C1252" s="2"/>
      <c r="D1252" s="2"/>
      <c r="E1252" s="2"/>
      <c r="F1252" s="2"/>
      <c r="G1252" s="2"/>
      <c r="H1252" s="2"/>
      <c r="I1252" s="5"/>
    </row>
    <row r="1253" spans="1:9" ht="17.399999999999999" x14ac:dyDescent="0.25">
      <c r="A1253" s="16"/>
      <c r="B1253" s="17"/>
      <c r="C1253" s="2"/>
      <c r="D1253" s="2"/>
      <c r="E1253" s="2"/>
      <c r="F1253" s="2"/>
      <c r="G1253" s="2"/>
      <c r="H1253" s="2"/>
      <c r="I1253" s="5"/>
    </row>
    <row r="1254" spans="1:9" ht="17.399999999999999" x14ac:dyDescent="0.25">
      <c r="A1254" s="16"/>
      <c r="B1254" s="17"/>
      <c r="C1254" s="2"/>
      <c r="D1254" s="2"/>
      <c r="E1254" s="2"/>
      <c r="F1254" s="2"/>
      <c r="G1254" s="2"/>
      <c r="H1254" s="2"/>
      <c r="I1254" s="5"/>
    </row>
    <row r="1255" spans="1:9" ht="17.399999999999999" x14ac:dyDescent="0.25">
      <c r="A1255" s="16"/>
      <c r="B1255" s="17"/>
      <c r="C1255" s="2"/>
      <c r="D1255" s="2"/>
      <c r="E1255" s="2"/>
      <c r="F1255" s="2"/>
      <c r="G1255" s="2"/>
      <c r="H1255" s="2"/>
      <c r="I1255" s="5"/>
    </row>
    <row r="1256" spans="1:9" ht="17.399999999999999" x14ac:dyDescent="0.25">
      <c r="A1256" s="16"/>
      <c r="B1256" s="17"/>
      <c r="C1256" s="2"/>
      <c r="D1256" s="2"/>
      <c r="E1256" s="2"/>
      <c r="F1256" s="2"/>
      <c r="G1256" s="2"/>
      <c r="H1256" s="2"/>
      <c r="I1256" s="5"/>
    </row>
    <row r="1257" spans="1:9" ht="17.399999999999999" x14ac:dyDescent="0.25">
      <c r="A1257" s="16"/>
      <c r="B1257" s="17"/>
      <c r="C1257" s="2"/>
      <c r="D1257" s="2"/>
      <c r="E1257" s="2"/>
      <c r="F1257" s="2"/>
      <c r="G1257" s="2"/>
      <c r="H1257" s="2"/>
      <c r="I1257" s="5"/>
    </row>
    <row r="1258" spans="1:9" ht="17.399999999999999" x14ac:dyDescent="0.25">
      <c r="A1258" s="16"/>
      <c r="B1258" s="17"/>
      <c r="C1258" s="2"/>
      <c r="D1258" s="2"/>
      <c r="E1258" s="2"/>
      <c r="F1258" s="2"/>
      <c r="G1258" s="2"/>
      <c r="H1258" s="2"/>
      <c r="I1258" s="5"/>
    </row>
    <row r="1259" spans="1:9" ht="17.399999999999999" x14ac:dyDescent="0.25">
      <c r="A1259" s="16"/>
      <c r="B1259" s="17"/>
      <c r="C1259" s="2"/>
      <c r="D1259" s="2"/>
      <c r="E1259" s="2"/>
      <c r="F1259" s="2"/>
      <c r="G1259" s="2"/>
      <c r="H1259" s="2"/>
      <c r="I1259" s="5"/>
    </row>
    <row r="1260" spans="1:9" ht="17.399999999999999" x14ac:dyDescent="0.25">
      <c r="A1260" s="16"/>
      <c r="B1260" s="17"/>
      <c r="C1260" s="2"/>
      <c r="D1260" s="2"/>
      <c r="E1260" s="2"/>
      <c r="F1260" s="2"/>
      <c r="G1260" s="2"/>
      <c r="H1260" s="2"/>
      <c r="I1260" s="5"/>
    </row>
    <row r="1261" spans="1:9" ht="17.399999999999999" x14ac:dyDescent="0.25">
      <c r="A1261" s="16"/>
      <c r="B1261" s="17"/>
      <c r="C1261" s="2"/>
      <c r="D1261" s="2"/>
      <c r="E1261" s="2"/>
      <c r="F1261" s="2"/>
      <c r="G1261" s="2"/>
      <c r="H1261" s="2"/>
      <c r="I1261" s="5"/>
    </row>
    <row r="1262" spans="1:9" ht="17.399999999999999" x14ac:dyDescent="0.25">
      <c r="A1262" s="16"/>
      <c r="B1262" s="17"/>
      <c r="C1262" s="2"/>
      <c r="D1262" s="2"/>
      <c r="E1262" s="2"/>
      <c r="F1262" s="2"/>
      <c r="G1262" s="2"/>
      <c r="H1262" s="2"/>
      <c r="I1262" s="5"/>
    </row>
    <row r="1263" spans="1:9" ht="17.399999999999999" x14ac:dyDescent="0.25">
      <c r="A1263" s="16"/>
      <c r="B1263" s="17"/>
      <c r="C1263" s="2"/>
      <c r="D1263" s="2"/>
      <c r="E1263" s="2"/>
      <c r="F1263" s="2"/>
      <c r="G1263" s="2"/>
      <c r="H1263" s="2"/>
      <c r="I1263" s="5"/>
    </row>
    <row r="1264" spans="1:9" ht="17.399999999999999" x14ac:dyDescent="0.25">
      <c r="A1264" s="16"/>
      <c r="B1264" s="17"/>
      <c r="C1264" s="2"/>
      <c r="D1264" s="2"/>
      <c r="E1264" s="2"/>
      <c r="F1264" s="2"/>
      <c r="G1264" s="2"/>
      <c r="H1264" s="2"/>
      <c r="I1264" s="5"/>
    </row>
    <row r="1265" spans="1:9" ht="17.399999999999999" x14ac:dyDescent="0.25">
      <c r="A1265" s="16"/>
      <c r="B1265" s="17"/>
      <c r="C1265" s="2"/>
      <c r="D1265" s="2"/>
      <c r="E1265" s="2"/>
      <c r="F1265" s="2"/>
      <c r="G1265" s="2"/>
      <c r="H1265" s="2"/>
      <c r="I1265" s="5"/>
    </row>
    <row r="1266" spans="1:9" ht="17.399999999999999" x14ac:dyDescent="0.25">
      <c r="A1266" s="16"/>
      <c r="B1266" s="17"/>
      <c r="C1266" s="2"/>
      <c r="D1266" s="2"/>
      <c r="E1266" s="2"/>
      <c r="F1266" s="2"/>
      <c r="G1266" s="2"/>
      <c r="H1266" s="2"/>
      <c r="I1266" s="5"/>
    </row>
    <row r="1267" spans="1:9" ht="17.399999999999999" x14ac:dyDescent="0.25">
      <c r="A1267" s="16"/>
      <c r="B1267" s="17"/>
      <c r="C1267" s="2"/>
      <c r="D1267" s="2"/>
      <c r="E1267" s="2"/>
      <c r="F1267" s="2"/>
      <c r="G1267" s="2"/>
      <c r="H1267" s="2"/>
      <c r="I1267" s="5"/>
    </row>
    <row r="1268" spans="1:9" ht="17.399999999999999" x14ac:dyDescent="0.25">
      <c r="A1268" s="16"/>
      <c r="B1268" s="17"/>
      <c r="C1268" s="2"/>
      <c r="D1268" s="2"/>
      <c r="E1268" s="2"/>
      <c r="F1268" s="2"/>
      <c r="G1268" s="2"/>
      <c r="H1268" s="2"/>
      <c r="I1268" s="5"/>
    </row>
    <row r="1269" spans="1:9" ht="17.399999999999999" x14ac:dyDescent="0.25">
      <c r="A1269" s="16"/>
      <c r="B1269" s="17"/>
      <c r="C1269" s="2"/>
      <c r="D1269" s="2"/>
      <c r="E1269" s="2"/>
      <c r="F1269" s="2"/>
      <c r="G1269" s="2"/>
      <c r="H1269" s="2"/>
      <c r="I1269" s="5"/>
    </row>
    <row r="1270" spans="1:9" ht="17.399999999999999" x14ac:dyDescent="0.25">
      <c r="A1270" s="16"/>
      <c r="B1270" s="17"/>
      <c r="C1270" s="2"/>
      <c r="D1270" s="2"/>
      <c r="E1270" s="2"/>
      <c r="F1270" s="2"/>
      <c r="G1270" s="2"/>
      <c r="H1270" s="2"/>
      <c r="I1270" s="5"/>
    </row>
    <row r="1271" spans="1:9" ht="17.399999999999999" x14ac:dyDescent="0.25">
      <c r="A1271" s="16"/>
      <c r="B1271" s="17"/>
      <c r="C1271" s="2"/>
      <c r="D1271" s="2"/>
      <c r="E1271" s="2"/>
      <c r="F1271" s="2"/>
      <c r="G1271" s="2"/>
      <c r="H1271" s="2"/>
      <c r="I1271" s="5"/>
    </row>
    <row r="1272" spans="1:9" ht="17.399999999999999" x14ac:dyDescent="0.25">
      <c r="A1272" s="16"/>
      <c r="B1272" s="17"/>
      <c r="C1272" s="2"/>
      <c r="D1272" s="2"/>
      <c r="E1272" s="2"/>
      <c r="F1272" s="2"/>
      <c r="G1272" s="2"/>
      <c r="H1272" s="2"/>
      <c r="I1272" s="5"/>
    </row>
    <row r="1273" spans="1:9" ht="17.399999999999999" x14ac:dyDescent="0.25">
      <c r="A1273" s="16"/>
      <c r="B1273" s="17"/>
      <c r="C1273" s="2"/>
      <c r="D1273" s="2"/>
      <c r="E1273" s="2"/>
      <c r="F1273" s="2"/>
      <c r="G1273" s="2"/>
      <c r="H1273" s="2"/>
      <c r="I1273" s="5"/>
    </row>
    <row r="1274" spans="1:9" ht="17.399999999999999" x14ac:dyDescent="0.25">
      <c r="A1274" s="16"/>
      <c r="B1274" s="17"/>
      <c r="C1274" s="2"/>
      <c r="D1274" s="2"/>
      <c r="E1274" s="2"/>
      <c r="F1274" s="2"/>
      <c r="G1274" s="2"/>
      <c r="H1274" s="2"/>
      <c r="I1274" s="5"/>
    </row>
    <row r="1275" spans="1:9" ht="17.399999999999999" x14ac:dyDescent="0.25">
      <c r="A1275" s="16"/>
      <c r="B1275" s="17"/>
      <c r="C1275" s="2"/>
      <c r="D1275" s="2"/>
      <c r="E1275" s="2"/>
      <c r="F1275" s="2"/>
      <c r="G1275" s="2"/>
      <c r="H1275" s="2"/>
      <c r="I1275" s="5"/>
    </row>
    <row r="1276" spans="1:9" ht="17.399999999999999" x14ac:dyDescent="0.25">
      <c r="A1276" s="16"/>
      <c r="B1276" s="17"/>
      <c r="C1276" s="2"/>
      <c r="D1276" s="2"/>
      <c r="E1276" s="2"/>
      <c r="F1276" s="2"/>
      <c r="G1276" s="2"/>
      <c r="H1276" s="2"/>
      <c r="I1276" s="5"/>
    </row>
    <row r="1277" spans="1:9" ht="17.399999999999999" x14ac:dyDescent="0.25">
      <c r="A1277" s="16"/>
      <c r="B1277" s="17"/>
      <c r="C1277" s="2"/>
      <c r="D1277" s="2"/>
      <c r="E1277" s="2"/>
      <c r="F1277" s="2"/>
      <c r="G1277" s="2"/>
      <c r="H1277" s="2"/>
      <c r="I1277" s="5"/>
    </row>
    <row r="1278" spans="1:9" ht="17.399999999999999" x14ac:dyDescent="0.25">
      <c r="A1278" s="16"/>
      <c r="B1278" s="17"/>
      <c r="C1278" s="2"/>
      <c r="D1278" s="2"/>
      <c r="E1278" s="2"/>
      <c r="F1278" s="2"/>
      <c r="G1278" s="2"/>
      <c r="H1278" s="2"/>
      <c r="I1278" s="5"/>
    </row>
    <row r="1279" spans="1:9" ht="17.399999999999999" x14ac:dyDescent="0.25">
      <c r="A1279" s="16"/>
      <c r="B1279" s="17"/>
      <c r="C1279" s="2"/>
      <c r="D1279" s="2"/>
      <c r="E1279" s="2"/>
      <c r="F1279" s="2"/>
      <c r="G1279" s="2"/>
      <c r="H1279" s="2"/>
      <c r="I1279" s="5"/>
    </row>
    <row r="1280" spans="1:9" ht="17.399999999999999" x14ac:dyDescent="0.25">
      <c r="A1280" s="16"/>
      <c r="B1280" s="17"/>
      <c r="C1280" s="2"/>
      <c r="D1280" s="2"/>
      <c r="E1280" s="2"/>
      <c r="F1280" s="2"/>
      <c r="G1280" s="2"/>
      <c r="H1280" s="2"/>
      <c r="I1280" s="5"/>
    </row>
    <row r="1281" spans="1:9" ht="17.399999999999999" x14ac:dyDescent="0.25">
      <c r="A1281" s="16"/>
      <c r="B1281" s="17"/>
      <c r="C1281" s="2"/>
      <c r="D1281" s="2"/>
      <c r="E1281" s="2"/>
      <c r="F1281" s="2"/>
      <c r="G1281" s="2"/>
      <c r="H1281" s="2"/>
      <c r="I1281" s="5"/>
    </row>
    <row r="1282" spans="1:9" ht="17.399999999999999" x14ac:dyDescent="0.25">
      <c r="A1282" s="16"/>
      <c r="B1282" s="17"/>
      <c r="C1282" s="2"/>
      <c r="D1282" s="2"/>
      <c r="E1282" s="2"/>
      <c r="F1282" s="2"/>
      <c r="G1282" s="2"/>
      <c r="H1282" s="2"/>
      <c r="I1282" s="5"/>
    </row>
    <row r="1283" spans="1:9" ht="17.399999999999999" x14ac:dyDescent="0.25">
      <c r="A1283" s="16"/>
      <c r="B1283" s="17"/>
      <c r="C1283" s="2"/>
      <c r="D1283" s="2"/>
      <c r="E1283" s="2"/>
      <c r="F1283" s="2"/>
      <c r="G1283" s="2"/>
      <c r="H1283" s="2"/>
      <c r="I1283" s="5"/>
    </row>
    <row r="1284" spans="1:9" ht="17.399999999999999" x14ac:dyDescent="0.25">
      <c r="A1284" s="16"/>
      <c r="B1284" s="17"/>
      <c r="C1284" s="2"/>
      <c r="D1284" s="2"/>
      <c r="E1284" s="2"/>
      <c r="F1284" s="2"/>
      <c r="G1284" s="2"/>
      <c r="H1284" s="2"/>
      <c r="I1284" s="5"/>
    </row>
    <row r="1285" spans="1:9" ht="17.399999999999999" x14ac:dyDescent="0.25">
      <c r="A1285" s="16"/>
      <c r="B1285" s="17"/>
      <c r="C1285" s="2"/>
      <c r="D1285" s="2"/>
      <c r="E1285" s="2"/>
      <c r="F1285" s="2"/>
      <c r="G1285" s="2"/>
      <c r="H1285" s="2"/>
      <c r="I1285" s="5"/>
    </row>
    <row r="1286" spans="1:9" ht="17.399999999999999" x14ac:dyDescent="0.25">
      <c r="A1286" s="16"/>
      <c r="B1286" s="17"/>
      <c r="C1286" s="2"/>
      <c r="D1286" s="2"/>
      <c r="E1286" s="2"/>
      <c r="F1286" s="2"/>
      <c r="G1286" s="2"/>
      <c r="H1286" s="2"/>
      <c r="I1286" s="5"/>
    </row>
    <row r="1287" spans="1:9" ht="17.399999999999999" x14ac:dyDescent="0.25">
      <c r="A1287" s="16"/>
      <c r="B1287" s="17"/>
      <c r="C1287" s="2"/>
      <c r="D1287" s="2"/>
      <c r="E1287" s="2"/>
      <c r="F1287" s="2"/>
      <c r="G1287" s="2"/>
      <c r="H1287" s="2"/>
      <c r="I1287" s="5"/>
    </row>
    <row r="1288" spans="1:9" ht="17.399999999999999" x14ac:dyDescent="0.25">
      <c r="A1288" s="16"/>
      <c r="B1288" s="17"/>
      <c r="C1288" s="2"/>
      <c r="D1288" s="2"/>
      <c r="E1288" s="2"/>
      <c r="F1288" s="2"/>
      <c r="G1288" s="2"/>
      <c r="H1288" s="2"/>
      <c r="I1288" s="5"/>
    </row>
    <row r="1289" spans="1:9" ht="17.399999999999999" x14ac:dyDescent="0.25">
      <c r="A1289" s="16"/>
      <c r="B1289" s="17"/>
      <c r="C1289" s="2"/>
      <c r="D1289" s="2"/>
      <c r="E1289" s="2"/>
      <c r="F1289" s="2"/>
      <c r="G1289" s="2"/>
      <c r="H1289" s="2"/>
      <c r="I1289" s="5"/>
    </row>
    <row r="1290" spans="1:9" ht="17.399999999999999" x14ac:dyDescent="0.25">
      <c r="A1290" s="16"/>
      <c r="B1290" s="17"/>
      <c r="C1290" s="2"/>
      <c r="D1290" s="2"/>
      <c r="E1290" s="2"/>
      <c r="F1290" s="2"/>
      <c r="G1290" s="2"/>
      <c r="H1290" s="2"/>
      <c r="I1290" s="5"/>
    </row>
    <row r="1291" spans="1:9" ht="17.399999999999999" x14ac:dyDescent="0.25">
      <c r="A1291" s="16"/>
      <c r="B1291" s="17"/>
      <c r="C1291" s="2"/>
      <c r="D1291" s="2"/>
      <c r="E1291" s="2"/>
      <c r="F1291" s="2"/>
      <c r="G1291" s="2"/>
      <c r="H1291" s="2"/>
      <c r="I1291" s="5"/>
    </row>
    <row r="1292" spans="1:9" ht="17.399999999999999" x14ac:dyDescent="0.25">
      <c r="A1292" s="16"/>
      <c r="B1292" s="17"/>
      <c r="C1292" s="2"/>
      <c r="D1292" s="2"/>
      <c r="E1292" s="2"/>
      <c r="F1292" s="2"/>
      <c r="G1292" s="2"/>
      <c r="H1292" s="2"/>
      <c r="I1292" s="5"/>
    </row>
    <row r="1293" spans="1:9" ht="17.399999999999999" x14ac:dyDescent="0.25">
      <c r="A1293" s="16"/>
      <c r="B1293" s="17"/>
      <c r="C1293" s="2"/>
      <c r="D1293" s="2"/>
      <c r="E1293" s="2"/>
      <c r="F1293" s="2"/>
      <c r="G1293" s="2"/>
      <c r="H1293" s="2"/>
      <c r="I1293" s="5"/>
    </row>
    <row r="1294" spans="1:9" ht="17.399999999999999" x14ac:dyDescent="0.25">
      <c r="A1294" s="16"/>
      <c r="B1294" s="17"/>
      <c r="C1294" s="2"/>
      <c r="D1294" s="2"/>
      <c r="E1294" s="2"/>
      <c r="F1294" s="2"/>
      <c r="G1294" s="2"/>
      <c r="H1294" s="2"/>
      <c r="I1294" s="5"/>
    </row>
    <row r="1295" spans="1:9" ht="17.399999999999999" x14ac:dyDescent="0.25">
      <c r="A1295" s="16"/>
      <c r="B1295" s="17"/>
      <c r="C1295" s="2"/>
      <c r="D1295" s="2"/>
      <c r="E1295" s="2"/>
      <c r="F1295" s="2"/>
      <c r="G1295" s="2"/>
      <c r="H1295" s="2"/>
      <c r="I1295" s="5"/>
    </row>
    <row r="1296" spans="1:9" ht="17.399999999999999" x14ac:dyDescent="0.25">
      <c r="A1296" s="16"/>
      <c r="B1296" s="17"/>
      <c r="C1296" s="2"/>
      <c r="D1296" s="2"/>
      <c r="E1296" s="2"/>
      <c r="F1296" s="2"/>
      <c r="G1296" s="2"/>
      <c r="H1296" s="2"/>
      <c r="I1296" s="5"/>
    </row>
    <row r="1297" spans="1:9" ht="17.399999999999999" x14ac:dyDescent="0.25">
      <c r="A1297" s="16"/>
      <c r="B1297" s="17"/>
      <c r="C1297" s="2"/>
      <c r="D1297" s="2"/>
      <c r="E1297" s="2"/>
      <c r="F1297" s="2"/>
      <c r="G1297" s="2"/>
      <c r="H1297" s="2"/>
      <c r="I1297" s="5"/>
    </row>
    <row r="1298" spans="1:9" ht="17.399999999999999" x14ac:dyDescent="0.25">
      <c r="A1298" s="16"/>
      <c r="B1298" s="17"/>
      <c r="C1298" s="2"/>
      <c r="D1298" s="2"/>
      <c r="E1298" s="2"/>
      <c r="F1298" s="2"/>
      <c r="G1298" s="2"/>
      <c r="H1298" s="2"/>
      <c r="I1298" s="5"/>
    </row>
    <row r="1299" spans="1:9" ht="17.399999999999999" x14ac:dyDescent="0.25">
      <c r="A1299" s="16"/>
      <c r="B1299" s="17"/>
      <c r="C1299" s="2"/>
      <c r="D1299" s="2"/>
      <c r="E1299" s="2"/>
      <c r="F1299" s="2"/>
      <c r="G1299" s="2"/>
      <c r="H1299" s="2"/>
      <c r="I1299" s="5"/>
    </row>
    <row r="1300" spans="1:9" ht="17.399999999999999" x14ac:dyDescent="0.25">
      <c r="A1300" s="16"/>
      <c r="B1300" s="17"/>
      <c r="C1300" s="2"/>
      <c r="D1300" s="2"/>
      <c r="E1300" s="2"/>
      <c r="F1300" s="2"/>
      <c r="G1300" s="2"/>
      <c r="H1300" s="2"/>
      <c r="I1300" s="5"/>
    </row>
    <row r="1301" spans="1:9" ht="17.399999999999999" x14ac:dyDescent="0.25">
      <c r="A1301" s="16"/>
      <c r="B1301" s="17"/>
      <c r="C1301" s="2"/>
      <c r="D1301" s="2"/>
      <c r="E1301" s="2"/>
      <c r="F1301" s="2"/>
      <c r="G1301" s="2"/>
      <c r="H1301" s="2"/>
      <c r="I1301" s="5"/>
    </row>
    <row r="1302" spans="1:9" ht="17.399999999999999" x14ac:dyDescent="0.25">
      <c r="A1302" s="16"/>
      <c r="B1302" s="17"/>
      <c r="C1302" s="2"/>
      <c r="D1302" s="2"/>
      <c r="E1302" s="2"/>
      <c r="F1302" s="2"/>
      <c r="G1302" s="2"/>
      <c r="H1302" s="2"/>
      <c r="I1302" s="5"/>
    </row>
    <row r="1303" spans="1:9" ht="17.399999999999999" x14ac:dyDescent="0.25">
      <c r="A1303" s="16"/>
      <c r="B1303" s="17"/>
      <c r="C1303" s="2"/>
      <c r="D1303" s="2"/>
      <c r="E1303" s="2"/>
      <c r="F1303" s="2"/>
      <c r="G1303" s="2"/>
      <c r="H1303" s="2"/>
      <c r="I1303" s="5"/>
    </row>
    <row r="1304" spans="1:9" ht="17.399999999999999" x14ac:dyDescent="0.25">
      <c r="A1304" s="16"/>
      <c r="B1304" s="17"/>
      <c r="C1304" s="2"/>
      <c r="D1304" s="2"/>
      <c r="E1304" s="2"/>
      <c r="F1304" s="2"/>
      <c r="G1304" s="2"/>
      <c r="H1304" s="2"/>
      <c r="I1304" s="5"/>
    </row>
    <row r="1305" spans="1:9" ht="17.399999999999999" x14ac:dyDescent="0.25">
      <c r="A1305" s="16"/>
      <c r="B1305" s="17"/>
      <c r="C1305" s="2"/>
      <c r="D1305" s="2"/>
      <c r="E1305" s="2"/>
      <c r="F1305" s="2"/>
      <c r="G1305" s="2"/>
      <c r="H1305" s="2"/>
      <c r="I1305" s="5"/>
    </row>
    <row r="1306" spans="1:9" ht="17.399999999999999" x14ac:dyDescent="0.25">
      <c r="A1306" s="16"/>
      <c r="B1306" s="17"/>
      <c r="C1306" s="2"/>
      <c r="D1306" s="2"/>
      <c r="E1306" s="2"/>
      <c r="F1306" s="2"/>
      <c r="G1306" s="2"/>
      <c r="H1306" s="2"/>
      <c r="I1306" s="5"/>
    </row>
    <row r="1307" spans="1:9" ht="17.399999999999999" x14ac:dyDescent="0.25">
      <c r="A1307" s="16"/>
      <c r="B1307" s="17"/>
      <c r="C1307" s="2"/>
      <c r="D1307" s="2"/>
      <c r="E1307" s="2"/>
      <c r="F1307" s="2"/>
      <c r="G1307" s="2"/>
      <c r="H1307" s="2"/>
      <c r="I1307" s="5"/>
    </row>
    <row r="1308" spans="1:9" ht="17.399999999999999" x14ac:dyDescent="0.25">
      <c r="A1308" s="16"/>
      <c r="B1308" s="17"/>
      <c r="C1308" s="2"/>
      <c r="D1308" s="2"/>
      <c r="E1308" s="2"/>
      <c r="F1308" s="2"/>
      <c r="G1308" s="2"/>
      <c r="H1308" s="2"/>
      <c r="I1308" s="5"/>
    </row>
    <row r="1309" spans="1:9" ht="17.399999999999999" x14ac:dyDescent="0.25">
      <c r="A1309" s="16"/>
      <c r="B1309" s="17"/>
      <c r="C1309" s="2"/>
      <c r="D1309" s="2"/>
      <c r="E1309" s="2"/>
      <c r="F1309" s="2"/>
      <c r="G1309" s="2"/>
      <c r="H1309" s="2"/>
      <c r="I1309" s="5"/>
    </row>
    <row r="1310" spans="1:9" ht="17.399999999999999" x14ac:dyDescent="0.25">
      <c r="A1310" s="16"/>
      <c r="B1310" s="17"/>
      <c r="C1310" s="2"/>
      <c r="D1310" s="2"/>
      <c r="E1310" s="2"/>
      <c r="F1310" s="2"/>
      <c r="G1310" s="2"/>
      <c r="H1310" s="2"/>
      <c r="I1310" s="5"/>
    </row>
    <row r="1311" spans="1:9" ht="17.399999999999999" x14ac:dyDescent="0.25">
      <c r="A1311" s="16"/>
      <c r="B1311" s="17"/>
      <c r="C1311" s="2"/>
      <c r="D1311" s="2"/>
      <c r="E1311" s="2"/>
      <c r="F1311" s="2"/>
      <c r="G1311" s="2"/>
      <c r="H1311" s="2"/>
      <c r="I1311" s="5"/>
    </row>
    <row r="1312" spans="1:9" ht="17.399999999999999" x14ac:dyDescent="0.25">
      <c r="A1312" s="16"/>
      <c r="B1312" s="17"/>
      <c r="C1312" s="2"/>
      <c r="D1312" s="2"/>
      <c r="E1312" s="2"/>
      <c r="F1312" s="2"/>
      <c r="G1312" s="2"/>
      <c r="H1312" s="2"/>
      <c r="I1312" s="5"/>
    </row>
    <row r="1313" spans="1:9" ht="17.399999999999999" x14ac:dyDescent="0.25">
      <c r="A1313" s="16"/>
      <c r="B1313" s="17"/>
      <c r="C1313" s="2"/>
      <c r="D1313" s="2"/>
      <c r="E1313" s="2"/>
      <c r="F1313" s="2"/>
      <c r="G1313" s="2"/>
      <c r="H1313" s="2"/>
      <c r="I1313" s="5"/>
    </row>
    <row r="1314" spans="1:9" ht="17.399999999999999" x14ac:dyDescent="0.25">
      <c r="A1314" s="16"/>
      <c r="B1314" s="17"/>
      <c r="C1314" s="2"/>
      <c r="D1314" s="2"/>
      <c r="E1314" s="2"/>
      <c r="F1314" s="2"/>
      <c r="G1314" s="2"/>
      <c r="H1314" s="2"/>
      <c r="I1314" s="5"/>
    </row>
    <row r="1315" spans="1:9" ht="17.399999999999999" x14ac:dyDescent="0.25">
      <c r="A1315" s="16"/>
      <c r="B1315" s="17"/>
      <c r="C1315" s="2"/>
      <c r="D1315" s="2"/>
      <c r="E1315" s="2"/>
      <c r="F1315" s="2"/>
      <c r="G1315" s="2"/>
      <c r="H1315" s="2"/>
      <c r="I1315" s="5"/>
    </row>
    <row r="1316" spans="1:9" ht="17.399999999999999" x14ac:dyDescent="0.25">
      <c r="A1316" s="16"/>
      <c r="B1316" s="17"/>
      <c r="C1316" s="2"/>
      <c r="D1316" s="2"/>
      <c r="E1316" s="2"/>
      <c r="F1316" s="2"/>
      <c r="G1316" s="2"/>
      <c r="H1316" s="2"/>
      <c r="I1316" s="5"/>
    </row>
    <row r="1317" spans="1:9" ht="17.399999999999999" x14ac:dyDescent="0.25">
      <c r="A1317" s="16"/>
      <c r="B1317" s="17"/>
      <c r="C1317" s="2"/>
      <c r="D1317" s="2"/>
      <c r="E1317" s="2"/>
      <c r="F1317" s="2"/>
      <c r="G1317" s="2"/>
      <c r="H1317" s="2"/>
      <c r="I1317" s="5"/>
    </row>
    <row r="1318" spans="1:9" ht="17.399999999999999" x14ac:dyDescent="0.25">
      <c r="A1318" s="16"/>
      <c r="B1318" s="17"/>
      <c r="C1318" s="2"/>
      <c r="D1318" s="2"/>
      <c r="E1318" s="2"/>
      <c r="F1318" s="2"/>
      <c r="G1318" s="2"/>
      <c r="H1318" s="2"/>
      <c r="I1318" s="5"/>
    </row>
    <row r="1319" spans="1:9" ht="17.399999999999999" x14ac:dyDescent="0.25">
      <c r="A1319" s="16"/>
      <c r="B1319" s="17"/>
      <c r="C1319" s="2"/>
      <c r="D1319" s="2"/>
      <c r="E1319" s="2"/>
      <c r="F1319" s="2"/>
      <c r="G1319" s="2"/>
      <c r="H1319" s="2"/>
      <c r="I1319" s="5"/>
    </row>
    <row r="1320" spans="1:9" ht="17.399999999999999" x14ac:dyDescent="0.25">
      <c r="A1320" s="16"/>
      <c r="B1320" s="17"/>
      <c r="C1320" s="2"/>
      <c r="D1320" s="2"/>
      <c r="E1320" s="2"/>
      <c r="F1320" s="2"/>
      <c r="G1320" s="2"/>
      <c r="H1320" s="2"/>
      <c r="I1320" s="5"/>
    </row>
    <row r="1321" spans="1:9" ht="17.399999999999999" x14ac:dyDescent="0.25">
      <c r="A1321" s="16"/>
      <c r="B1321" s="17"/>
      <c r="C1321" s="2"/>
      <c r="D1321" s="2"/>
      <c r="E1321" s="2"/>
      <c r="F1321" s="2"/>
      <c r="G1321" s="2"/>
      <c r="H1321" s="2"/>
      <c r="I1321" s="5"/>
    </row>
    <row r="1322" spans="1:9" ht="17.399999999999999" x14ac:dyDescent="0.25">
      <c r="A1322" s="16"/>
      <c r="B1322" s="17"/>
      <c r="C1322" s="2"/>
      <c r="D1322" s="2"/>
      <c r="E1322" s="2"/>
      <c r="F1322" s="2"/>
      <c r="G1322" s="2"/>
      <c r="H1322" s="2"/>
      <c r="I1322" s="5"/>
    </row>
    <row r="1323" spans="1:9" ht="17.399999999999999" x14ac:dyDescent="0.25">
      <c r="A1323" s="16"/>
      <c r="B1323" s="17"/>
      <c r="C1323" s="2"/>
      <c r="D1323" s="2"/>
      <c r="E1323" s="2"/>
      <c r="F1323" s="2"/>
      <c r="G1323" s="2"/>
      <c r="H1323" s="2"/>
      <c r="I1323" s="5"/>
    </row>
    <row r="1324" spans="1:9" ht="17.399999999999999" x14ac:dyDescent="0.25">
      <c r="A1324" s="16"/>
      <c r="B1324" s="17"/>
      <c r="C1324" s="2"/>
      <c r="D1324" s="2"/>
      <c r="E1324" s="2"/>
      <c r="F1324" s="2"/>
      <c r="G1324" s="2"/>
      <c r="H1324" s="2"/>
      <c r="I1324" s="5"/>
    </row>
    <row r="1325" spans="1:9" ht="17.399999999999999" x14ac:dyDescent="0.25">
      <c r="A1325" s="16"/>
      <c r="B1325" s="17"/>
      <c r="C1325" s="2"/>
      <c r="D1325" s="2"/>
      <c r="E1325" s="2"/>
      <c r="F1325" s="2"/>
      <c r="G1325" s="2"/>
      <c r="H1325" s="2"/>
      <c r="I1325" s="5"/>
    </row>
    <row r="1326" spans="1:9" ht="17.399999999999999" x14ac:dyDescent="0.25">
      <c r="A1326" s="16"/>
      <c r="B1326" s="17"/>
      <c r="C1326" s="2"/>
      <c r="D1326" s="2"/>
      <c r="E1326" s="2"/>
      <c r="F1326" s="2"/>
      <c r="G1326" s="2"/>
      <c r="H1326" s="2"/>
      <c r="I1326" s="5"/>
    </row>
    <row r="1327" spans="1:9" ht="17.399999999999999" x14ac:dyDescent="0.25">
      <c r="A1327" s="16"/>
      <c r="B1327" s="17"/>
      <c r="C1327" s="2"/>
      <c r="D1327" s="2"/>
      <c r="E1327" s="2"/>
      <c r="F1327" s="2"/>
      <c r="G1327" s="2"/>
      <c r="H1327" s="2"/>
      <c r="I1327" s="5"/>
    </row>
    <row r="1328" spans="1:9" ht="17.399999999999999" x14ac:dyDescent="0.25">
      <c r="A1328" s="16"/>
      <c r="B1328" s="17"/>
      <c r="C1328" s="2"/>
      <c r="D1328" s="2"/>
      <c r="E1328" s="2"/>
      <c r="F1328" s="2"/>
      <c r="G1328" s="2"/>
      <c r="H1328" s="2"/>
      <c r="I1328" s="5"/>
    </row>
    <row r="1329" spans="1:9" ht="17.399999999999999" x14ac:dyDescent="0.25">
      <c r="A1329" s="16"/>
      <c r="B1329" s="17"/>
      <c r="C1329" s="2"/>
      <c r="D1329" s="2"/>
      <c r="E1329" s="2"/>
      <c r="F1329" s="2"/>
      <c r="G1329" s="2"/>
      <c r="H1329" s="2"/>
      <c r="I1329" s="5"/>
    </row>
    <row r="1330" spans="1:9" ht="17.399999999999999" x14ac:dyDescent="0.25">
      <c r="A1330" s="16"/>
      <c r="B1330" s="17"/>
      <c r="C1330" s="2"/>
      <c r="D1330" s="2"/>
      <c r="E1330" s="2"/>
      <c r="F1330" s="2"/>
      <c r="G1330" s="2"/>
      <c r="H1330" s="2"/>
      <c r="I1330" s="5"/>
    </row>
    <row r="1331" spans="1:9" ht="17.399999999999999" x14ac:dyDescent="0.25">
      <c r="A1331" s="16"/>
      <c r="B1331" s="17"/>
      <c r="C1331" s="2"/>
      <c r="D1331" s="2"/>
      <c r="E1331" s="2"/>
      <c r="F1331" s="2"/>
      <c r="G1331" s="2"/>
      <c r="H1331" s="2"/>
      <c r="I1331" s="5"/>
    </row>
    <row r="1332" spans="1:9" ht="17.399999999999999" x14ac:dyDescent="0.25">
      <c r="A1332" s="16"/>
      <c r="B1332" s="17"/>
      <c r="C1332" s="2"/>
      <c r="D1332" s="2"/>
      <c r="E1332" s="2"/>
      <c r="F1332" s="2"/>
      <c r="G1332" s="2"/>
      <c r="H1332" s="2"/>
      <c r="I1332" s="5"/>
    </row>
    <row r="1333" spans="1:9" ht="17.399999999999999" x14ac:dyDescent="0.25">
      <c r="A1333" s="16"/>
      <c r="B1333" s="17"/>
      <c r="C1333" s="2"/>
      <c r="D1333" s="2"/>
      <c r="E1333" s="2"/>
      <c r="F1333" s="2"/>
      <c r="G1333" s="2"/>
      <c r="H1333" s="2"/>
      <c r="I1333" s="5"/>
    </row>
    <row r="1334" spans="1:9" ht="17.399999999999999" x14ac:dyDescent="0.25">
      <c r="A1334" s="16"/>
      <c r="B1334" s="17"/>
      <c r="C1334" s="2"/>
      <c r="D1334" s="2"/>
      <c r="E1334" s="2"/>
      <c r="F1334" s="2"/>
      <c r="G1334" s="2"/>
      <c r="H1334" s="2"/>
      <c r="I1334" s="5"/>
    </row>
    <row r="1335" spans="1:9" ht="17.399999999999999" x14ac:dyDescent="0.25">
      <c r="A1335" s="16"/>
      <c r="B1335" s="17"/>
      <c r="C1335" s="2"/>
      <c r="D1335" s="2"/>
      <c r="E1335" s="2"/>
      <c r="F1335" s="2"/>
      <c r="G1335" s="2"/>
      <c r="H1335" s="2"/>
      <c r="I1335" s="5"/>
    </row>
    <row r="1336" spans="1:9" ht="17.399999999999999" x14ac:dyDescent="0.25">
      <c r="A1336" s="16"/>
      <c r="B1336" s="17"/>
      <c r="C1336" s="2"/>
      <c r="D1336" s="2"/>
      <c r="E1336" s="2"/>
      <c r="F1336" s="2"/>
      <c r="G1336" s="2"/>
      <c r="H1336" s="2"/>
      <c r="I1336" s="5"/>
    </row>
    <row r="1337" spans="1:9" ht="17.399999999999999" x14ac:dyDescent="0.25">
      <c r="A1337" s="16"/>
      <c r="B1337" s="17"/>
      <c r="C1337" s="2"/>
      <c r="D1337" s="2"/>
      <c r="E1337" s="2"/>
      <c r="F1337" s="2"/>
      <c r="G1337" s="2"/>
      <c r="H1337" s="2"/>
      <c r="I1337" s="5"/>
    </row>
    <row r="1338" spans="1:9" ht="17.399999999999999" x14ac:dyDescent="0.25">
      <c r="A1338" s="16"/>
      <c r="B1338" s="17"/>
      <c r="C1338" s="2"/>
      <c r="D1338" s="2"/>
      <c r="E1338" s="2"/>
      <c r="F1338" s="2"/>
      <c r="G1338" s="2"/>
      <c r="H1338" s="2"/>
      <c r="I1338" s="5"/>
    </row>
    <row r="1339" spans="1:9" ht="17.399999999999999" x14ac:dyDescent="0.25">
      <c r="A1339" s="16"/>
      <c r="B1339" s="17"/>
      <c r="C1339" s="2"/>
      <c r="D1339" s="2"/>
      <c r="E1339" s="2"/>
      <c r="F1339" s="2"/>
      <c r="G1339" s="2"/>
      <c r="H1339" s="2"/>
      <c r="I1339" s="5"/>
    </row>
    <row r="1340" spans="1:9" ht="17.399999999999999" x14ac:dyDescent="0.25">
      <c r="A1340" s="16"/>
      <c r="B1340" s="17"/>
      <c r="C1340" s="2"/>
      <c r="D1340" s="2"/>
      <c r="E1340" s="2"/>
      <c r="F1340" s="2"/>
      <c r="G1340" s="2"/>
      <c r="H1340" s="2"/>
      <c r="I1340" s="5"/>
    </row>
    <row r="1341" spans="1:9" ht="17.399999999999999" x14ac:dyDescent="0.25">
      <c r="A1341" s="16"/>
      <c r="B1341" s="17"/>
      <c r="C1341" s="2"/>
      <c r="D1341" s="2"/>
      <c r="E1341" s="2"/>
      <c r="F1341" s="2"/>
      <c r="G1341" s="2"/>
      <c r="H1341" s="2"/>
      <c r="I1341" s="5"/>
    </row>
    <row r="1342" spans="1:9" ht="17.399999999999999" x14ac:dyDescent="0.25">
      <c r="A1342" s="16"/>
      <c r="B1342" s="17"/>
      <c r="C1342" s="2"/>
      <c r="D1342" s="2"/>
      <c r="E1342" s="2"/>
      <c r="F1342" s="2"/>
      <c r="G1342" s="2"/>
      <c r="H1342" s="2"/>
      <c r="I1342" s="5"/>
    </row>
    <row r="1343" spans="1:9" ht="17.399999999999999" x14ac:dyDescent="0.25">
      <c r="A1343" s="16"/>
      <c r="B1343" s="17"/>
      <c r="C1343" s="2"/>
      <c r="D1343" s="2"/>
      <c r="E1343" s="2"/>
      <c r="F1343" s="2"/>
      <c r="G1343" s="2"/>
      <c r="H1343" s="2"/>
      <c r="I1343" s="5"/>
    </row>
    <row r="1344" spans="1:9" ht="17.399999999999999" x14ac:dyDescent="0.25">
      <c r="A1344" s="16"/>
      <c r="B1344" s="17"/>
      <c r="C1344" s="2"/>
      <c r="D1344" s="2"/>
      <c r="E1344" s="2"/>
      <c r="F1344" s="2"/>
      <c r="G1344" s="2"/>
      <c r="H1344" s="2"/>
      <c r="I1344" s="5"/>
    </row>
    <row r="1345" spans="1:9" ht="17.399999999999999" x14ac:dyDescent="0.25">
      <c r="A1345" s="16"/>
      <c r="B1345" s="17"/>
      <c r="C1345" s="2"/>
      <c r="D1345" s="2"/>
      <c r="E1345" s="2"/>
      <c r="F1345" s="2"/>
      <c r="G1345" s="2"/>
      <c r="H1345" s="2"/>
      <c r="I1345" s="5"/>
    </row>
    <row r="1346" spans="1:9" ht="17.399999999999999" x14ac:dyDescent="0.25">
      <c r="A1346" s="16"/>
      <c r="B1346" s="17"/>
      <c r="C1346" s="2"/>
      <c r="D1346" s="2"/>
      <c r="E1346" s="2"/>
      <c r="F1346" s="2"/>
      <c r="G1346" s="2"/>
      <c r="H1346" s="2"/>
      <c r="I1346" s="5"/>
    </row>
    <row r="1347" spans="1:9" ht="17.399999999999999" x14ac:dyDescent="0.25">
      <c r="A1347" s="16"/>
      <c r="B1347" s="17"/>
      <c r="C1347" s="2"/>
      <c r="D1347" s="2"/>
      <c r="E1347" s="2"/>
      <c r="F1347" s="2"/>
      <c r="G1347" s="2"/>
      <c r="H1347" s="2"/>
      <c r="I1347" s="5"/>
    </row>
    <row r="1348" spans="1:9" ht="17.399999999999999" x14ac:dyDescent="0.25">
      <c r="A1348" s="16"/>
      <c r="B1348" s="17"/>
      <c r="C1348" s="2"/>
      <c r="D1348" s="2"/>
      <c r="E1348" s="2"/>
      <c r="F1348" s="2"/>
      <c r="G1348" s="2"/>
      <c r="H1348" s="2"/>
      <c r="I1348" s="5"/>
    </row>
    <row r="1349" spans="1:9" ht="17.399999999999999" x14ac:dyDescent="0.25">
      <c r="A1349" s="16"/>
      <c r="B1349" s="17"/>
      <c r="C1349" s="2"/>
      <c r="D1349" s="2"/>
      <c r="E1349" s="2"/>
      <c r="F1349" s="2"/>
      <c r="G1349" s="2"/>
      <c r="H1349" s="2"/>
      <c r="I1349" s="5"/>
    </row>
    <row r="1350" spans="1:9" ht="17.399999999999999" x14ac:dyDescent="0.25">
      <c r="A1350" s="16"/>
      <c r="B1350" s="17"/>
      <c r="C1350" s="2"/>
      <c r="D1350" s="2"/>
      <c r="E1350" s="2"/>
      <c r="F1350" s="2"/>
      <c r="G1350" s="2"/>
      <c r="H1350" s="2"/>
      <c r="I1350" s="5"/>
    </row>
    <row r="1351" spans="1:9" ht="17.399999999999999" x14ac:dyDescent="0.25">
      <c r="A1351" s="16"/>
      <c r="B1351" s="17"/>
      <c r="C1351" s="2"/>
      <c r="D1351" s="2"/>
      <c r="E1351" s="2"/>
      <c r="F1351" s="2"/>
      <c r="G1351" s="2"/>
      <c r="H1351" s="2"/>
      <c r="I1351" s="5"/>
    </row>
    <row r="1352" spans="1:9" ht="17.399999999999999" x14ac:dyDescent="0.25">
      <c r="A1352" s="16"/>
      <c r="B1352" s="17"/>
      <c r="C1352" s="2"/>
      <c r="D1352" s="2"/>
      <c r="E1352" s="2"/>
      <c r="F1352" s="2"/>
      <c r="G1352" s="2"/>
      <c r="H1352" s="2"/>
      <c r="I1352" s="5"/>
    </row>
    <row r="1353" spans="1:9" ht="17.399999999999999" x14ac:dyDescent="0.25">
      <c r="A1353" s="16"/>
      <c r="B1353" s="17"/>
      <c r="C1353" s="2"/>
      <c r="D1353" s="2"/>
      <c r="E1353" s="2"/>
      <c r="F1353" s="2"/>
      <c r="G1353" s="2"/>
      <c r="H1353" s="2"/>
      <c r="I1353" s="5"/>
    </row>
    <row r="1354" spans="1:9" ht="17.399999999999999" x14ac:dyDescent="0.25">
      <c r="A1354" s="16"/>
      <c r="B1354" s="17"/>
      <c r="C1354" s="2"/>
      <c r="D1354" s="2"/>
      <c r="E1354" s="2"/>
      <c r="F1354" s="2"/>
      <c r="G1354" s="2"/>
      <c r="H1354" s="2"/>
      <c r="I1354" s="5"/>
    </row>
    <row r="1355" spans="1:9" ht="17.399999999999999" x14ac:dyDescent="0.25">
      <c r="A1355" s="16"/>
      <c r="B1355" s="17"/>
      <c r="C1355" s="2"/>
      <c r="D1355" s="2"/>
      <c r="E1355" s="2"/>
      <c r="F1355" s="2"/>
      <c r="G1355" s="2"/>
      <c r="H1355" s="2"/>
      <c r="I1355" s="5"/>
    </row>
    <row r="1356" spans="1:9" ht="17.399999999999999" x14ac:dyDescent="0.25">
      <c r="A1356" s="16"/>
      <c r="B1356" s="17"/>
      <c r="C1356" s="2"/>
      <c r="D1356" s="2"/>
      <c r="E1356" s="2"/>
      <c r="F1356" s="2"/>
      <c r="G1356" s="2"/>
      <c r="H1356" s="2"/>
      <c r="I1356" s="5"/>
    </row>
    <row r="1357" spans="1:9" ht="17.399999999999999" x14ac:dyDescent="0.25">
      <c r="A1357" s="16"/>
      <c r="B1357" s="17"/>
      <c r="C1357" s="2"/>
      <c r="D1357" s="2"/>
      <c r="E1357" s="2"/>
      <c r="F1357" s="2"/>
      <c r="G1357" s="2"/>
      <c r="H1357" s="2"/>
      <c r="I1357" s="5"/>
    </row>
    <row r="1358" spans="1:9" ht="17.399999999999999" x14ac:dyDescent="0.25">
      <c r="A1358" s="16"/>
      <c r="B1358" s="17"/>
      <c r="C1358" s="2"/>
      <c r="D1358" s="2"/>
      <c r="E1358" s="2"/>
      <c r="F1358" s="2"/>
      <c r="G1358" s="2"/>
      <c r="H1358" s="2"/>
      <c r="I1358" s="5"/>
    </row>
    <row r="1359" spans="1:9" ht="17.399999999999999" x14ac:dyDescent="0.25">
      <c r="A1359" s="16"/>
      <c r="B1359" s="17"/>
      <c r="C1359" s="2"/>
      <c r="D1359" s="2"/>
      <c r="E1359" s="2"/>
      <c r="F1359" s="2"/>
      <c r="G1359" s="2"/>
      <c r="H1359" s="2"/>
      <c r="I1359" s="5"/>
    </row>
    <row r="1360" spans="1:9" ht="17.399999999999999" x14ac:dyDescent="0.25">
      <c r="A1360" s="16"/>
      <c r="B1360" s="17"/>
      <c r="C1360" s="2"/>
      <c r="D1360" s="2"/>
      <c r="E1360" s="2"/>
      <c r="F1360" s="2"/>
      <c r="G1360" s="2"/>
      <c r="H1360" s="2"/>
      <c r="I1360" s="5"/>
    </row>
    <row r="1361" spans="1:9" ht="17.399999999999999" x14ac:dyDescent="0.25">
      <c r="A1361" s="16"/>
      <c r="B1361" s="17"/>
      <c r="C1361" s="2"/>
      <c r="D1361" s="2"/>
      <c r="E1361" s="2"/>
      <c r="F1361" s="2"/>
      <c r="G1361" s="2"/>
      <c r="H1361" s="2"/>
      <c r="I1361" s="5"/>
    </row>
    <row r="1362" spans="1:9" ht="17.399999999999999" x14ac:dyDescent="0.25">
      <c r="A1362" s="16"/>
      <c r="B1362" s="17"/>
      <c r="C1362" s="2"/>
      <c r="D1362" s="2"/>
      <c r="E1362" s="2"/>
      <c r="F1362" s="2"/>
      <c r="G1362" s="2"/>
      <c r="H1362" s="2"/>
      <c r="I1362" s="5"/>
    </row>
    <row r="1363" spans="1:9" ht="17.399999999999999" x14ac:dyDescent="0.25">
      <c r="A1363" s="16"/>
      <c r="B1363" s="17"/>
      <c r="C1363" s="2"/>
      <c r="D1363" s="2"/>
      <c r="E1363" s="2"/>
      <c r="F1363" s="2"/>
      <c r="G1363" s="2"/>
      <c r="H1363" s="2"/>
      <c r="I1363" s="5"/>
    </row>
    <row r="1364" spans="1:9" ht="17.399999999999999" x14ac:dyDescent="0.25">
      <c r="A1364" s="16"/>
      <c r="B1364" s="17"/>
      <c r="C1364" s="2"/>
      <c r="D1364" s="2"/>
      <c r="E1364" s="2"/>
      <c r="F1364" s="2"/>
      <c r="G1364" s="2"/>
      <c r="H1364" s="2"/>
      <c r="I1364" s="5"/>
    </row>
    <row r="1365" spans="1:9" ht="17.399999999999999" x14ac:dyDescent="0.25">
      <c r="A1365" s="16"/>
      <c r="B1365" s="17"/>
      <c r="C1365" s="2"/>
      <c r="D1365" s="2"/>
      <c r="E1365" s="2"/>
      <c r="F1365" s="2"/>
      <c r="G1365" s="2"/>
      <c r="H1365" s="2"/>
      <c r="I1365" s="5"/>
    </row>
    <row r="1366" spans="1:9" ht="17.399999999999999" x14ac:dyDescent="0.25">
      <c r="A1366" s="16"/>
      <c r="B1366" s="17"/>
      <c r="C1366" s="2"/>
      <c r="D1366" s="2"/>
      <c r="E1366" s="2"/>
      <c r="F1366" s="2"/>
      <c r="G1366" s="2"/>
      <c r="H1366" s="2"/>
      <c r="I1366" s="5"/>
    </row>
    <row r="1367" spans="1:9" ht="17.399999999999999" x14ac:dyDescent="0.25">
      <c r="A1367" s="16"/>
      <c r="B1367" s="17"/>
      <c r="C1367" s="2"/>
      <c r="D1367" s="2"/>
      <c r="E1367" s="2"/>
      <c r="F1367" s="2"/>
      <c r="G1367" s="2"/>
      <c r="H1367" s="2"/>
      <c r="I1367" s="5"/>
    </row>
    <row r="1368" spans="1:9" ht="17.399999999999999" x14ac:dyDescent="0.25">
      <c r="A1368" s="16"/>
      <c r="B1368" s="17"/>
      <c r="C1368" s="2"/>
      <c r="D1368" s="2"/>
      <c r="E1368" s="2"/>
      <c r="F1368" s="2"/>
      <c r="G1368" s="2"/>
      <c r="H1368" s="2"/>
      <c r="I1368" s="5"/>
    </row>
    <row r="1369" spans="1:9" ht="17.399999999999999" x14ac:dyDescent="0.25">
      <c r="A1369" s="16"/>
      <c r="B1369" s="17"/>
      <c r="C1369" s="2"/>
      <c r="D1369" s="2"/>
      <c r="E1369" s="2"/>
      <c r="F1369" s="2"/>
      <c r="G1369" s="2"/>
      <c r="H1369" s="2"/>
      <c r="I1369" s="5"/>
    </row>
    <row r="1370" spans="1:9" ht="17.399999999999999" x14ac:dyDescent="0.25">
      <c r="A1370" s="16"/>
      <c r="B1370" s="17"/>
      <c r="C1370" s="2"/>
      <c r="D1370" s="2"/>
      <c r="E1370" s="2"/>
      <c r="F1370" s="2"/>
      <c r="G1370" s="2"/>
      <c r="H1370" s="2"/>
      <c r="I1370" s="5"/>
    </row>
    <row r="1371" spans="1:9" ht="17.399999999999999" x14ac:dyDescent="0.25">
      <c r="A1371" s="16"/>
      <c r="B1371" s="17"/>
      <c r="C1371" s="2"/>
      <c r="D1371" s="2"/>
      <c r="E1371" s="2"/>
      <c r="F1371" s="2"/>
      <c r="G1371" s="2"/>
      <c r="H1371" s="2"/>
      <c r="I1371" s="5"/>
    </row>
    <row r="1372" spans="1:9" ht="17.399999999999999" x14ac:dyDescent="0.25">
      <c r="A1372" s="16"/>
      <c r="B1372" s="17"/>
      <c r="C1372" s="2"/>
      <c r="D1372" s="2"/>
      <c r="E1372" s="2"/>
      <c r="F1372" s="2"/>
      <c r="G1372" s="2"/>
      <c r="H1372" s="2"/>
      <c r="I1372" s="5"/>
    </row>
    <row r="1373" spans="1:9" ht="17.399999999999999" x14ac:dyDescent="0.25">
      <c r="A1373" s="16"/>
      <c r="B1373" s="17"/>
      <c r="C1373" s="2"/>
      <c r="D1373" s="2"/>
      <c r="E1373" s="2"/>
      <c r="F1373" s="2"/>
      <c r="G1373" s="2"/>
      <c r="H1373" s="2"/>
      <c r="I1373" s="5"/>
    </row>
    <row r="1374" spans="1:9" ht="17.399999999999999" x14ac:dyDescent="0.25">
      <c r="A1374" s="16"/>
      <c r="B1374" s="17"/>
      <c r="C1374" s="2"/>
      <c r="D1374" s="2"/>
      <c r="E1374" s="2"/>
      <c r="F1374" s="2"/>
      <c r="G1374" s="2"/>
      <c r="H1374" s="2"/>
      <c r="I1374" s="5"/>
    </row>
    <row r="1375" spans="1:9" ht="17.399999999999999" x14ac:dyDescent="0.25">
      <c r="A1375" s="16"/>
      <c r="B1375" s="17"/>
      <c r="C1375" s="2"/>
      <c r="D1375" s="2"/>
      <c r="E1375" s="2"/>
      <c r="F1375" s="2"/>
      <c r="G1375" s="2"/>
      <c r="H1375" s="2"/>
      <c r="I1375" s="5"/>
    </row>
    <row r="1376" spans="1:9" ht="17.399999999999999" x14ac:dyDescent="0.25">
      <c r="A1376" s="16"/>
      <c r="B1376" s="17"/>
      <c r="C1376" s="2"/>
      <c r="D1376" s="2"/>
      <c r="E1376" s="2"/>
      <c r="F1376" s="2"/>
      <c r="G1376" s="2"/>
      <c r="H1376" s="2"/>
      <c r="I1376" s="5"/>
    </row>
    <row r="1377" spans="1:9" ht="17.399999999999999" x14ac:dyDescent="0.25">
      <c r="A1377" s="16"/>
      <c r="B1377" s="17"/>
      <c r="C1377" s="2"/>
      <c r="D1377" s="2"/>
      <c r="E1377" s="2"/>
      <c r="F1377" s="2"/>
      <c r="G1377" s="2"/>
      <c r="H1377" s="2"/>
      <c r="I1377" s="5"/>
    </row>
    <row r="1378" spans="1:9" ht="17.399999999999999" x14ac:dyDescent="0.25">
      <c r="A1378" s="16"/>
      <c r="B1378" s="17"/>
      <c r="C1378" s="2"/>
      <c r="D1378" s="2"/>
      <c r="E1378" s="2"/>
      <c r="F1378" s="2"/>
      <c r="G1378" s="2"/>
      <c r="H1378" s="2"/>
      <c r="I1378" s="5"/>
    </row>
    <row r="1379" spans="1:9" ht="17.399999999999999" x14ac:dyDescent="0.25">
      <c r="A1379" s="16"/>
      <c r="B1379" s="17"/>
      <c r="C1379" s="2"/>
      <c r="D1379" s="2"/>
      <c r="E1379" s="2"/>
      <c r="F1379" s="2"/>
      <c r="G1379" s="2"/>
      <c r="H1379" s="2"/>
      <c r="I1379" s="5"/>
    </row>
    <row r="1380" spans="1:9" ht="17.399999999999999" x14ac:dyDescent="0.25">
      <c r="A1380" s="16"/>
      <c r="B1380" s="17"/>
      <c r="C1380" s="2"/>
      <c r="D1380" s="2"/>
      <c r="E1380" s="2"/>
      <c r="F1380" s="2"/>
      <c r="G1380" s="2"/>
      <c r="H1380" s="2"/>
      <c r="I1380" s="5"/>
    </row>
    <row r="1381" spans="1:9" ht="17.399999999999999" x14ac:dyDescent="0.25">
      <c r="A1381" s="16"/>
      <c r="B1381" s="17"/>
      <c r="C1381" s="2"/>
      <c r="D1381" s="2"/>
      <c r="E1381" s="2"/>
      <c r="F1381" s="2"/>
      <c r="G1381" s="2"/>
      <c r="H1381" s="2"/>
      <c r="I1381" s="5"/>
    </row>
    <row r="1382" spans="1:9" ht="17.399999999999999" x14ac:dyDescent="0.25">
      <c r="A1382" s="16"/>
      <c r="B1382" s="17"/>
      <c r="C1382" s="2"/>
      <c r="D1382" s="2"/>
      <c r="E1382" s="2"/>
      <c r="F1382" s="2"/>
      <c r="G1382" s="2"/>
      <c r="H1382" s="2"/>
      <c r="I1382" s="5"/>
    </row>
    <row r="1383" spans="1:9" ht="17.399999999999999" x14ac:dyDescent="0.25">
      <c r="A1383" s="16"/>
      <c r="B1383" s="17"/>
      <c r="C1383" s="2"/>
      <c r="D1383" s="2"/>
      <c r="E1383" s="2"/>
      <c r="F1383" s="2"/>
      <c r="G1383" s="2"/>
      <c r="H1383" s="2"/>
      <c r="I1383" s="5"/>
    </row>
    <row r="1384" spans="1:9" ht="17.399999999999999" x14ac:dyDescent="0.25">
      <c r="A1384" s="16"/>
      <c r="B1384" s="17"/>
      <c r="C1384" s="2"/>
      <c r="D1384" s="2"/>
      <c r="E1384" s="2"/>
      <c r="F1384" s="2"/>
      <c r="G1384" s="2"/>
      <c r="H1384" s="2"/>
      <c r="I1384" s="5"/>
    </row>
    <row r="1385" spans="1:9" ht="17.399999999999999" x14ac:dyDescent="0.25">
      <c r="A1385" s="16"/>
      <c r="B1385" s="17"/>
      <c r="C1385" s="2"/>
      <c r="D1385" s="2"/>
      <c r="E1385" s="2"/>
      <c r="F1385" s="2"/>
      <c r="G1385" s="2"/>
      <c r="H1385" s="2"/>
      <c r="I1385" s="5"/>
    </row>
    <row r="1386" spans="1:9" ht="17.399999999999999" x14ac:dyDescent="0.25">
      <c r="A1386" s="16"/>
      <c r="B1386" s="17"/>
      <c r="C1386" s="2"/>
      <c r="D1386" s="2"/>
      <c r="E1386" s="2"/>
      <c r="F1386" s="2"/>
      <c r="G1386" s="2"/>
      <c r="H1386" s="2"/>
      <c r="I1386" s="5"/>
    </row>
    <row r="1387" spans="1:9" ht="17.399999999999999" x14ac:dyDescent="0.25">
      <c r="A1387" s="16"/>
      <c r="B1387" s="17"/>
      <c r="C1387" s="2"/>
      <c r="D1387" s="2"/>
      <c r="E1387" s="2"/>
      <c r="F1387" s="2"/>
      <c r="G1387" s="2"/>
      <c r="H1387" s="2"/>
      <c r="I1387" s="5"/>
    </row>
    <row r="1388" spans="1:9" ht="17.399999999999999" x14ac:dyDescent="0.25">
      <c r="A1388" s="16"/>
      <c r="B1388" s="17"/>
      <c r="C1388" s="2"/>
      <c r="D1388" s="2"/>
      <c r="E1388" s="2"/>
      <c r="F1388" s="2"/>
      <c r="G1388" s="2"/>
      <c r="H1388" s="2"/>
      <c r="I1388" s="5"/>
    </row>
    <row r="1389" spans="1:9" ht="17.399999999999999" x14ac:dyDescent="0.25">
      <c r="A1389" s="16"/>
      <c r="B1389" s="17"/>
      <c r="C1389" s="2"/>
      <c r="D1389" s="2"/>
      <c r="E1389" s="2"/>
      <c r="F1389" s="2"/>
      <c r="G1389" s="2"/>
      <c r="H1389" s="2"/>
      <c r="I1389" s="5"/>
    </row>
    <row r="1390" spans="1:9" ht="17.399999999999999" x14ac:dyDescent="0.25">
      <c r="A1390" s="16"/>
      <c r="B1390" s="17"/>
      <c r="C1390" s="2"/>
      <c r="D1390" s="2"/>
      <c r="E1390" s="2"/>
      <c r="F1390" s="2"/>
      <c r="G1390" s="2"/>
      <c r="H1390" s="2"/>
      <c r="I1390" s="5"/>
    </row>
    <row r="1391" spans="1:9" ht="17.399999999999999" x14ac:dyDescent="0.25">
      <c r="A1391" s="16"/>
      <c r="B1391" s="17"/>
      <c r="C1391" s="2"/>
      <c r="D1391" s="2"/>
      <c r="E1391" s="2"/>
      <c r="F1391" s="2"/>
      <c r="G1391" s="2"/>
      <c r="H1391" s="2"/>
      <c r="I1391" s="5"/>
    </row>
    <row r="1392" spans="1:9" ht="17.399999999999999" x14ac:dyDescent="0.25">
      <c r="A1392" s="16"/>
      <c r="B1392" s="17"/>
      <c r="C1392" s="2"/>
      <c r="D1392" s="2"/>
      <c r="E1392" s="2"/>
      <c r="F1392" s="2"/>
      <c r="G1392" s="2"/>
      <c r="H1392" s="2"/>
      <c r="I1392" s="5"/>
    </row>
    <row r="1393" spans="1:9" ht="17.399999999999999" x14ac:dyDescent="0.25">
      <c r="A1393" s="16"/>
      <c r="B1393" s="17"/>
      <c r="C1393" s="2"/>
      <c r="D1393" s="2"/>
      <c r="E1393" s="2"/>
      <c r="F1393" s="2"/>
      <c r="G1393" s="2"/>
      <c r="H1393" s="2"/>
      <c r="I1393" s="5"/>
    </row>
    <row r="1394" spans="1:9" ht="17.399999999999999" x14ac:dyDescent="0.25">
      <c r="A1394" s="16"/>
      <c r="B1394" s="17"/>
      <c r="C1394" s="2"/>
      <c r="D1394" s="2"/>
      <c r="E1394" s="2"/>
      <c r="F1394" s="2"/>
      <c r="G1394" s="2"/>
      <c r="H1394" s="2"/>
      <c r="I1394" s="5"/>
    </row>
    <row r="1395" spans="1:9" ht="17.399999999999999" x14ac:dyDescent="0.25">
      <c r="A1395" s="16"/>
      <c r="B1395" s="17"/>
      <c r="C1395" s="2"/>
      <c r="D1395" s="2"/>
      <c r="E1395" s="2"/>
      <c r="F1395" s="2"/>
      <c r="G1395" s="2"/>
      <c r="H1395" s="2"/>
      <c r="I1395" s="5"/>
    </row>
    <row r="1396" spans="1:9" ht="17.399999999999999" x14ac:dyDescent="0.25">
      <c r="A1396" s="16"/>
      <c r="B1396" s="17"/>
      <c r="C1396" s="2"/>
      <c r="D1396" s="2"/>
      <c r="E1396" s="2"/>
      <c r="F1396" s="2"/>
      <c r="G1396" s="2"/>
      <c r="H1396" s="2"/>
      <c r="I1396" s="5"/>
    </row>
    <row r="1397" spans="1:9" ht="17.399999999999999" x14ac:dyDescent="0.25">
      <c r="A1397" s="16"/>
      <c r="B1397" s="17"/>
      <c r="C1397" s="2"/>
      <c r="D1397" s="2"/>
      <c r="E1397" s="2"/>
      <c r="F1397" s="2"/>
      <c r="G1397" s="2"/>
      <c r="H1397" s="2"/>
      <c r="I1397" s="5"/>
    </row>
    <row r="1398" spans="1:9" ht="17.399999999999999" x14ac:dyDescent="0.25">
      <c r="A1398" s="16"/>
      <c r="B1398" s="17"/>
      <c r="C1398" s="2"/>
      <c r="D1398" s="2"/>
      <c r="E1398" s="2"/>
      <c r="F1398" s="2"/>
      <c r="G1398" s="2"/>
      <c r="H1398" s="2"/>
      <c r="I1398" s="5"/>
    </row>
    <row r="1399" spans="1:9" ht="17.399999999999999" x14ac:dyDescent="0.25">
      <c r="A1399" s="16"/>
      <c r="B1399" s="17"/>
      <c r="C1399" s="2"/>
      <c r="D1399" s="2"/>
      <c r="E1399" s="2"/>
      <c r="F1399" s="2"/>
      <c r="G1399" s="2"/>
      <c r="H1399" s="2"/>
      <c r="I1399" s="5"/>
    </row>
    <row r="1400" spans="1:9" ht="17.399999999999999" x14ac:dyDescent="0.25">
      <c r="A1400" s="16"/>
      <c r="B1400" s="17"/>
      <c r="C1400" s="2"/>
      <c r="D1400" s="2"/>
      <c r="E1400" s="2"/>
      <c r="F1400" s="2"/>
      <c r="G1400" s="2"/>
      <c r="H1400" s="2"/>
      <c r="I1400" s="5"/>
    </row>
    <row r="1401" spans="1:9" ht="17.399999999999999" x14ac:dyDescent="0.25">
      <c r="A1401" s="16"/>
      <c r="B1401" s="17"/>
      <c r="C1401" s="2"/>
      <c r="D1401" s="2"/>
      <c r="E1401" s="2"/>
      <c r="F1401" s="2"/>
      <c r="G1401" s="2"/>
      <c r="H1401" s="2"/>
      <c r="I1401" s="5"/>
    </row>
    <row r="1402" spans="1:9" ht="17.399999999999999" x14ac:dyDescent="0.25">
      <c r="A1402" s="16"/>
      <c r="B1402" s="17"/>
      <c r="C1402" s="2"/>
      <c r="D1402" s="2"/>
      <c r="E1402" s="2"/>
      <c r="F1402" s="2"/>
      <c r="G1402" s="2"/>
      <c r="H1402" s="2"/>
      <c r="I1402" s="5"/>
    </row>
    <row r="1403" spans="1:9" ht="17.399999999999999" x14ac:dyDescent="0.25">
      <c r="A1403" s="16"/>
      <c r="B1403" s="17"/>
      <c r="C1403" s="2"/>
      <c r="D1403" s="2"/>
      <c r="E1403" s="2"/>
      <c r="F1403" s="2"/>
      <c r="G1403" s="2"/>
      <c r="H1403" s="2"/>
      <c r="I1403" s="5"/>
    </row>
    <row r="1404" spans="1:9" ht="17.399999999999999" x14ac:dyDescent="0.25">
      <c r="A1404" s="16"/>
      <c r="B1404" s="17"/>
      <c r="C1404" s="2"/>
      <c r="D1404" s="2"/>
      <c r="E1404" s="2"/>
      <c r="F1404" s="2"/>
      <c r="G1404" s="2"/>
      <c r="H1404" s="2"/>
      <c r="I1404" s="5"/>
    </row>
    <row r="1405" spans="1:9" ht="17.399999999999999" x14ac:dyDescent="0.25">
      <c r="A1405" s="16"/>
      <c r="B1405" s="17"/>
      <c r="C1405" s="2"/>
      <c r="D1405" s="2"/>
      <c r="E1405" s="2"/>
      <c r="F1405" s="2"/>
      <c r="G1405" s="2"/>
      <c r="H1405" s="2"/>
      <c r="I1405" s="5"/>
    </row>
    <row r="1406" spans="1:9" ht="17.399999999999999" x14ac:dyDescent="0.25">
      <c r="A1406" s="16"/>
      <c r="B1406" s="17"/>
      <c r="C1406" s="2"/>
      <c r="D1406" s="2"/>
      <c r="E1406" s="2"/>
      <c r="F1406" s="2"/>
      <c r="G1406" s="2"/>
      <c r="H1406" s="2"/>
      <c r="I1406" s="5"/>
    </row>
    <row r="1407" spans="1:9" ht="17.399999999999999" x14ac:dyDescent="0.25">
      <c r="A1407" s="16"/>
      <c r="B1407" s="17"/>
      <c r="C1407" s="2"/>
      <c r="D1407" s="2"/>
      <c r="E1407" s="2"/>
      <c r="F1407" s="2"/>
      <c r="G1407" s="2"/>
      <c r="H1407" s="2"/>
      <c r="I1407" s="5"/>
    </row>
    <row r="1408" spans="1:9" ht="17.399999999999999" x14ac:dyDescent="0.25">
      <c r="A1408" s="16"/>
      <c r="B1408" s="17"/>
      <c r="C1408" s="2"/>
      <c r="D1408" s="2"/>
      <c r="E1408" s="2"/>
      <c r="F1408" s="2"/>
      <c r="G1408" s="2"/>
      <c r="H1408" s="2"/>
      <c r="I1408" s="5"/>
    </row>
    <row r="1409" spans="1:9" ht="17.399999999999999" x14ac:dyDescent="0.25">
      <c r="A1409" s="16"/>
      <c r="B1409" s="17"/>
      <c r="C1409" s="2"/>
      <c r="D1409" s="2"/>
      <c r="E1409" s="2"/>
      <c r="F1409" s="2"/>
      <c r="G1409" s="2"/>
      <c r="H1409" s="2"/>
      <c r="I1409" s="5"/>
    </row>
    <row r="1410" spans="1:9" ht="17.399999999999999" x14ac:dyDescent="0.25">
      <c r="A1410" s="16"/>
      <c r="B1410" s="17"/>
      <c r="C1410" s="2"/>
      <c r="D1410" s="2"/>
      <c r="E1410" s="2"/>
      <c r="F1410" s="2"/>
      <c r="G1410" s="2"/>
      <c r="H1410" s="2"/>
      <c r="I1410" s="5"/>
    </row>
    <row r="1411" spans="1:9" ht="17.399999999999999" x14ac:dyDescent="0.25">
      <c r="A1411" s="16"/>
      <c r="B1411" s="17"/>
      <c r="C1411" s="2"/>
      <c r="D1411" s="2"/>
      <c r="E1411" s="2"/>
      <c r="F1411" s="2"/>
      <c r="G1411" s="2"/>
      <c r="H1411" s="2"/>
      <c r="I1411" s="5"/>
    </row>
    <row r="1412" spans="1:9" ht="17.399999999999999" x14ac:dyDescent="0.25">
      <c r="A1412" s="16"/>
      <c r="B1412" s="17"/>
      <c r="C1412" s="2"/>
      <c r="D1412" s="2"/>
      <c r="E1412" s="2"/>
      <c r="F1412" s="2"/>
      <c r="G1412" s="2"/>
      <c r="H1412" s="2"/>
      <c r="I1412" s="5"/>
    </row>
    <row r="1413" spans="1:9" ht="17.399999999999999" x14ac:dyDescent="0.25">
      <c r="A1413" s="16"/>
      <c r="B1413" s="17"/>
      <c r="C1413" s="2"/>
      <c r="D1413" s="2"/>
      <c r="E1413" s="2"/>
      <c r="F1413" s="2"/>
      <c r="G1413" s="2"/>
      <c r="H1413" s="2"/>
      <c r="I1413" s="5"/>
    </row>
    <row r="1414" spans="1:9" ht="17.399999999999999" x14ac:dyDescent="0.25">
      <c r="A1414" s="16"/>
      <c r="B1414" s="17"/>
      <c r="C1414" s="2"/>
      <c r="D1414" s="2"/>
      <c r="E1414" s="2"/>
      <c r="F1414" s="2"/>
      <c r="G1414" s="2"/>
      <c r="H1414" s="2"/>
      <c r="I1414" s="5"/>
    </row>
    <row r="1415" spans="1:9" ht="17.399999999999999" x14ac:dyDescent="0.25">
      <c r="A1415" s="16"/>
      <c r="B1415" s="17"/>
      <c r="C1415" s="2"/>
      <c r="D1415" s="2"/>
      <c r="E1415" s="2"/>
      <c r="F1415" s="2"/>
      <c r="G1415" s="2"/>
      <c r="H1415" s="2"/>
      <c r="I1415" s="5"/>
    </row>
    <row r="1416" spans="1:9" ht="17.399999999999999" x14ac:dyDescent="0.25">
      <c r="A1416" s="16"/>
      <c r="B1416" s="17"/>
      <c r="C1416" s="2"/>
      <c r="D1416" s="2"/>
      <c r="E1416" s="2"/>
      <c r="F1416" s="2"/>
      <c r="G1416" s="2"/>
      <c r="H1416" s="2"/>
      <c r="I1416" s="5"/>
    </row>
    <row r="1417" spans="1:9" ht="17.399999999999999" x14ac:dyDescent="0.25">
      <c r="A1417" s="16"/>
      <c r="B1417" s="17"/>
      <c r="C1417" s="2"/>
      <c r="D1417" s="2"/>
      <c r="E1417" s="2"/>
      <c r="F1417" s="2"/>
      <c r="G1417" s="2"/>
      <c r="H1417" s="2"/>
      <c r="I1417" s="5"/>
    </row>
    <row r="1418" spans="1:9" ht="17.399999999999999" x14ac:dyDescent="0.25">
      <c r="A1418" s="16"/>
      <c r="B1418" s="17"/>
      <c r="C1418" s="2"/>
      <c r="D1418" s="2"/>
      <c r="E1418" s="2"/>
      <c r="F1418" s="2"/>
      <c r="G1418" s="2"/>
      <c r="H1418" s="2"/>
      <c r="I1418" s="5"/>
    </row>
    <row r="1419" spans="1:9" ht="17.399999999999999" x14ac:dyDescent="0.25">
      <c r="A1419" s="16"/>
      <c r="B1419" s="17"/>
      <c r="C1419" s="2"/>
      <c r="D1419" s="2"/>
      <c r="E1419" s="2"/>
      <c r="F1419" s="2"/>
      <c r="G1419" s="2"/>
      <c r="H1419" s="2"/>
      <c r="I1419" s="5"/>
    </row>
    <row r="1420" spans="1:9" ht="17.399999999999999" x14ac:dyDescent="0.25">
      <c r="A1420" s="16"/>
      <c r="B1420" s="17"/>
      <c r="C1420" s="2"/>
      <c r="D1420" s="2"/>
      <c r="E1420" s="2"/>
      <c r="F1420" s="2"/>
      <c r="G1420" s="2"/>
      <c r="H1420" s="2"/>
      <c r="I1420" s="5"/>
    </row>
    <row r="1421" spans="1:9" ht="17.399999999999999" x14ac:dyDescent="0.25">
      <c r="A1421" s="16"/>
      <c r="B1421" s="17"/>
      <c r="C1421" s="2"/>
      <c r="D1421" s="2"/>
      <c r="E1421" s="2"/>
      <c r="F1421" s="2"/>
      <c r="G1421" s="2"/>
      <c r="H1421" s="2"/>
      <c r="I1421" s="5"/>
    </row>
    <row r="1422" spans="1:9" ht="17.399999999999999" x14ac:dyDescent="0.25">
      <c r="A1422" s="16"/>
      <c r="B1422" s="17"/>
      <c r="C1422" s="2"/>
      <c r="D1422" s="2"/>
      <c r="E1422" s="2"/>
      <c r="F1422" s="2"/>
      <c r="G1422" s="2"/>
      <c r="H1422" s="2"/>
      <c r="I1422" s="5"/>
    </row>
    <row r="1423" spans="1:9" ht="17.399999999999999" x14ac:dyDescent="0.25">
      <c r="A1423" s="16"/>
      <c r="B1423" s="17"/>
      <c r="C1423" s="2"/>
      <c r="D1423" s="2"/>
      <c r="E1423" s="2"/>
      <c r="F1423" s="2"/>
      <c r="G1423" s="2"/>
      <c r="H1423" s="2"/>
      <c r="I1423" s="5"/>
    </row>
    <row r="1424" spans="1:9" ht="17.399999999999999" x14ac:dyDescent="0.25">
      <c r="A1424" s="16"/>
      <c r="B1424" s="17"/>
      <c r="C1424" s="2"/>
      <c r="D1424" s="2"/>
      <c r="E1424" s="2"/>
      <c r="F1424" s="2"/>
      <c r="G1424" s="2"/>
      <c r="H1424" s="2"/>
      <c r="I1424" s="5"/>
    </row>
    <row r="1425" spans="1:9" ht="17.399999999999999" x14ac:dyDescent="0.25">
      <c r="A1425" s="16"/>
      <c r="B1425" s="17"/>
      <c r="C1425" s="2"/>
      <c r="D1425" s="2"/>
      <c r="E1425" s="2"/>
      <c r="F1425" s="2"/>
      <c r="G1425" s="2"/>
      <c r="H1425" s="2"/>
      <c r="I1425" s="5"/>
    </row>
    <row r="1426" spans="1:9" ht="17.399999999999999" x14ac:dyDescent="0.25">
      <c r="A1426" s="16"/>
      <c r="B1426" s="17"/>
      <c r="C1426" s="2"/>
      <c r="D1426" s="2"/>
      <c r="E1426" s="2"/>
      <c r="F1426" s="2"/>
      <c r="G1426" s="2"/>
      <c r="H1426" s="2"/>
      <c r="I1426" s="5"/>
    </row>
    <row r="1427" spans="1:9" ht="17.399999999999999" x14ac:dyDescent="0.25">
      <c r="A1427" s="16"/>
      <c r="B1427" s="17"/>
      <c r="C1427" s="2"/>
      <c r="D1427" s="2"/>
      <c r="E1427" s="2"/>
      <c r="F1427" s="2"/>
      <c r="G1427" s="2"/>
      <c r="H1427" s="2"/>
      <c r="I1427" s="5"/>
    </row>
    <row r="1428" spans="1:9" ht="17.399999999999999" x14ac:dyDescent="0.25">
      <c r="A1428" s="16"/>
      <c r="B1428" s="17"/>
      <c r="C1428" s="2"/>
      <c r="D1428" s="2"/>
      <c r="E1428" s="2"/>
      <c r="F1428" s="2"/>
      <c r="G1428" s="2"/>
      <c r="H1428" s="2"/>
      <c r="I1428" s="5"/>
    </row>
    <row r="1429" spans="1:9" ht="17.399999999999999" x14ac:dyDescent="0.25">
      <c r="A1429" s="16"/>
      <c r="B1429" s="17"/>
      <c r="C1429" s="2"/>
      <c r="D1429" s="2"/>
      <c r="E1429" s="2"/>
      <c r="F1429" s="2"/>
      <c r="G1429" s="2"/>
      <c r="H1429" s="2"/>
      <c r="I1429" s="5"/>
    </row>
    <row r="1430" spans="1:9" ht="17.399999999999999" x14ac:dyDescent="0.25">
      <c r="A1430" s="16"/>
      <c r="B1430" s="17"/>
      <c r="C1430" s="2"/>
      <c r="D1430" s="2"/>
      <c r="E1430" s="2"/>
      <c r="F1430" s="2"/>
      <c r="G1430" s="2"/>
      <c r="H1430" s="2"/>
      <c r="I1430" s="5"/>
    </row>
    <row r="1431" spans="1:9" ht="17.399999999999999" x14ac:dyDescent="0.25">
      <c r="A1431" s="16"/>
      <c r="B1431" s="17"/>
      <c r="C1431" s="2"/>
      <c r="D1431" s="2"/>
      <c r="E1431" s="2"/>
      <c r="F1431" s="2"/>
      <c r="G1431" s="2"/>
      <c r="H1431" s="2"/>
      <c r="I1431" s="5"/>
    </row>
    <row r="1432" spans="1:9" ht="17.399999999999999" x14ac:dyDescent="0.25">
      <c r="A1432" s="16"/>
      <c r="B1432" s="17"/>
      <c r="C1432" s="2"/>
      <c r="D1432" s="2"/>
      <c r="E1432" s="2"/>
      <c r="F1432" s="2"/>
      <c r="G1432" s="2"/>
      <c r="H1432" s="2"/>
      <c r="I1432" s="5"/>
    </row>
    <row r="1433" spans="1:9" ht="17.399999999999999" x14ac:dyDescent="0.25">
      <c r="A1433" s="16"/>
      <c r="B1433" s="17"/>
      <c r="C1433" s="2"/>
      <c r="D1433" s="2"/>
      <c r="E1433" s="2"/>
      <c r="F1433" s="2"/>
      <c r="G1433" s="2"/>
      <c r="H1433" s="2"/>
      <c r="I1433" s="5"/>
    </row>
    <row r="1434" spans="1:9" ht="17.399999999999999" x14ac:dyDescent="0.25">
      <c r="A1434" s="16"/>
      <c r="B1434" s="17"/>
      <c r="C1434" s="2"/>
      <c r="D1434" s="2"/>
      <c r="E1434" s="2"/>
      <c r="F1434" s="2"/>
      <c r="G1434" s="2"/>
      <c r="H1434" s="2"/>
      <c r="I1434" s="5"/>
    </row>
    <row r="1435" spans="1:9" ht="17.399999999999999" x14ac:dyDescent="0.25">
      <c r="A1435" s="16"/>
      <c r="B1435" s="17"/>
      <c r="C1435" s="2"/>
      <c r="D1435" s="2"/>
      <c r="E1435" s="2"/>
      <c r="F1435" s="2"/>
      <c r="G1435" s="2"/>
      <c r="H1435" s="2"/>
      <c r="I1435" s="5"/>
    </row>
    <row r="1436" spans="1:9" ht="17.399999999999999" x14ac:dyDescent="0.25">
      <c r="A1436" s="16"/>
      <c r="B1436" s="17"/>
      <c r="C1436" s="2"/>
      <c r="D1436" s="2"/>
      <c r="E1436" s="2"/>
      <c r="F1436" s="2"/>
      <c r="G1436" s="2"/>
      <c r="H1436" s="2"/>
      <c r="I1436" s="5"/>
    </row>
    <row r="1437" spans="1:9" ht="17.399999999999999" x14ac:dyDescent="0.25">
      <c r="A1437" s="16"/>
      <c r="B1437" s="17"/>
      <c r="C1437" s="2"/>
      <c r="D1437" s="2"/>
      <c r="E1437" s="2"/>
      <c r="F1437" s="2"/>
      <c r="G1437" s="2"/>
      <c r="H1437" s="2"/>
      <c r="I1437" s="5"/>
    </row>
    <row r="1438" spans="1:9" ht="17.399999999999999" x14ac:dyDescent="0.25">
      <c r="A1438" s="16"/>
      <c r="B1438" s="17"/>
      <c r="C1438" s="2"/>
      <c r="D1438" s="2"/>
      <c r="E1438" s="2"/>
      <c r="F1438" s="2"/>
      <c r="G1438" s="2"/>
      <c r="H1438" s="2"/>
      <c r="I1438" s="5"/>
    </row>
    <row r="1439" spans="1:9" ht="17.399999999999999" x14ac:dyDescent="0.25">
      <c r="A1439" s="16"/>
      <c r="B1439" s="17"/>
      <c r="C1439" s="2"/>
      <c r="D1439" s="2"/>
      <c r="E1439" s="2"/>
      <c r="F1439" s="2"/>
      <c r="G1439" s="2"/>
      <c r="H1439" s="2"/>
      <c r="I1439" s="5"/>
    </row>
    <row r="1440" spans="1:9" ht="17.399999999999999" x14ac:dyDescent="0.25">
      <c r="A1440" s="16"/>
      <c r="B1440" s="17"/>
      <c r="C1440" s="2"/>
      <c r="D1440" s="2"/>
      <c r="E1440" s="2"/>
      <c r="F1440" s="2"/>
      <c r="G1440" s="2"/>
      <c r="H1440" s="2"/>
      <c r="I1440" s="5"/>
    </row>
    <row r="1441" spans="1:9" ht="17.399999999999999" x14ac:dyDescent="0.25">
      <c r="A1441" s="16"/>
      <c r="B1441" s="17"/>
      <c r="C1441" s="2"/>
      <c r="D1441" s="2"/>
      <c r="E1441" s="2"/>
      <c r="F1441" s="2"/>
      <c r="G1441" s="2"/>
      <c r="H1441" s="2"/>
      <c r="I1441" s="5"/>
    </row>
    <row r="1442" spans="1:9" ht="17.399999999999999" x14ac:dyDescent="0.25">
      <c r="A1442" s="16"/>
      <c r="B1442" s="17"/>
      <c r="C1442" s="2"/>
      <c r="D1442" s="2"/>
      <c r="E1442" s="2"/>
      <c r="F1442" s="2"/>
      <c r="G1442" s="2"/>
      <c r="H1442" s="2"/>
      <c r="I1442" s="5"/>
    </row>
    <row r="1443" spans="1:9" ht="17.399999999999999" x14ac:dyDescent="0.25">
      <c r="A1443" s="16"/>
      <c r="B1443" s="17"/>
      <c r="C1443" s="2"/>
      <c r="D1443" s="2"/>
      <c r="E1443" s="2"/>
      <c r="F1443" s="2"/>
      <c r="G1443" s="2"/>
      <c r="H1443" s="2"/>
      <c r="I1443" s="5"/>
    </row>
    <row r="1444" spans="1:9" ht="17.399999999999999" x14ac:dyDescent="0.25">
      <c r="A1444" s="16"/>
      <c r="B1444" s="17"/>
      <c r="C1444" s="2"/>
      <c r="D1444" s="2"/>
      <c r="E1444" s="2"/>
      <c r="F1444" s="2"/>
      <c r="G1444" s="2"/>
      <c r="H1444" s="2"/>
      <c r="I1444" s="5"/>
    </row>
    <row r="1445" spans="1:9" ht="17.399999999999999" x14ac:dyDescent="0.25">
      <c r="A1445" s="16"/>
      <c r="B1445" s="17"/>
      <c r="C1445" s="2"/>
      <c r="D1445" s="2"/>
      <c r="E1445" s="2"/>
      <c r="F1445" s="2"/>
      <c r="G1445" s="2"/>
      <c r="H1445" s="2"/>
      <c r="I1445" s="5"/>
    </row>
    <row r="1446" spans="1:9" ht="17.399999999999999" x14ac:dyDescent="0.25">
      <c r="A1446" s="16"/>
      <c r="B1446" s="17"/>
      <c r="C1446" s="2"/>
      <c r="D1446" s="2"/>
      <c r="E1446" s="2"/>
      <c r="F1446" s="2"/>
      <c r="G1446" s="2"/>
      <c r="H1446" s="2"/>
      <c r="I1446" s="5"/>
    </row>
    <row r="1447" spans="1:9" ht="17.399999999999999" x14ac:dyDescent="0.25">
      <c r="A1447" s="16"/>
      <c r="B1447" s="17"/>
      <c r="C1447" s="2"/>
      <c r="D1447" s="2"/>
      <c r="E1447" s="2"/>
      <c r="F1447" s="2"/>
      <c r="G1447" s="2"/>
      <c r="H1447" s="2"/>
      <c r="I1447" s="5"/>
    </row>
    <row r="1448" spans="1:9" ht="17.399999999999999" x14ac:dyDescent="0.25">
      <c r="A1448" s="16"/>
      <c r="B1448" s="17"/>
      <c r="C1448" s="2"/>
      <c r="D1448" s="2"/>
      <c r="E1448" s="2"/>
      <c r="F1448" s="2"/>
      <c r="G1448" s="2"/>
      <c r="H1448" s="2"/>
      <c r="I1448" s="5"/>
    </row>
    <row r="1449" spans="1:9" ht="17.399999999999999" x14ac:dyDescent="0.25">
      <c r="A1449" s="16"/>
      <c r="B1449" s="17"/>
      <c r="C1449" s="2"/>
      <c r="D1449" s="2"/>
      <c r="E1449" s="2"/>
      <c r="F1449" s="2"/>
      <c r="G1449" s="2"/>
      <c r="H1449" s="2"/>
      <c r="I1449" s="5"/>
    </row>
    <row r="1450" spans="1:9" ht="17.399999999999999" x14ac:dyDescent="0.25">
      <c r="A1450" s="16"/>
      <c r="B1450" s="17"/>
      <c r="C1450" s="2"/>
      <c r="D1450" s="2"/>
      <c r="E1450" s="2"/>
      <c r="F1450" s="2"/>
      <c r="G1450" s="2"/>
      <c r="H1450" s="2"/>
      <c r="I1450" s="5"/>
    </row>
    <row r="1451" spans="1:9" ht="17.399999999999999" x14ac:dyDescent="0.25">
      <c r="A1451" s="16"/>
      <c r="B1451" s="17"/>
      <c r="C1451" s="2"/>
      <c r="D1451" s="2"/>
      <c r="E1451" s="2"/>
      <c r="F1451" s="2"/>
      <c r="G1451" s="2"/>
      <c r="H1451" s="2"/>
      <c r="I1451" s="5"/>
    </row>
    <row r="1452" spans="1:9" ht="17.399999999999999" x14ac:dyDescent="0.25">
      <c r="A1452" s="16"/>
      <c r="B1452" s="17"/>
      <c r="C1452" s="2"/>
      <c r="D1452" s="2"/>
      <c r="E1452" s="2"/>
      <c r="F1452" s="2"/>
      <c r="G1452" s="2"/>
      <c r="H1452" s="2"/>
      <c r="I1452" s="5"/>
    </row>
    <row r="1453" spans="1:9" ht="17.399999999999999" x14ac:dyDescent="0.25">
      <c r="A1453" s="16"/>
      <c r="B1453" s="17"/>
      <c r="C1453" s="2"/>
      <c r="D1453" s="2"/>
      <c r="E1453" s="2"/>
      <c r="F1453" s="2"/>
      <c r="G1453" s="2"/>
      <c r="H1453" s="2"/>
      <c r="I1453" s="5"/>
    </row>
    <row r="1454" spans="1:9" ht="17.399999999999999" x14ac:dyDescent="0.25">
      <c r="A1454" s="16"/>
      <c r="B1454" s="17"/>
      <c r="C1454" s="2"/>
      <c r="D1454" s="2"/>
      <c r="E1454" s="2"/>
      <c r="F1454" s="2"/>
      <c r="G1454" s="2"/>
      <c r="H1454" s="2"/>
      <c r="I1454" s="5"/>
    </row>
    <row r="1455" spans="1:9" ht="17.399999999999999" x14ac:dyDescent="0.25">
      <c r="A1455" s="16"/>
      <c r="B1455" s="17"/>
      <c r="C1455" s="2"/>
      <c r="D1455" s="2"/>
      <c r="E1455" s="2"/>
      <c r="F1455" s="2"/>
      <c r="G1455" s="2"/>
      <c r="H1455" s="2"/>
      <c r="I1455" s="5"/>
    </row>
    <row r="1456" spans="1:9" ht="17.399999999999999" x14ac:dyDescent="0.25">
      <c r="A1456" s="16"/>
      <c r="B1456" s="17"/>
      <c r="C1456" s="2"/>
      <c r="D1456" s="2"/>
      <c r="E1456" s="2"/>
      <c r="F1456" s="2"/>
      <c r="G1456" s="2"/>
      <c r="H1456" s="2"/>
      <c r="I1456" s="5"/>
    </row>
    <row r="1457" spans="1:9" ht="17.399999999999999" x14ac:dyDescent="0.25">
      <c r="A1457" s="16"/>
      <c r="B1457" s="17"/>
      <c r="C1457" s="2"/>
      <c r="D1457" s="2"/>
      <c r="E1457" s="2"/>
      <c r="F1457" s="2"/>
      <c r="G1457" s="2"/>
      <c r="H1457" s="2"/>
      <c r="I1457" s="5"/>
    </row>
    <row r="1458" spans="1:9" ht="17.399999999999999" x14ac:dyDescent="0.25">
      <c r="A1458" s="16"/>
      <c r="B1458" s="17"/>
      <c r="C1458" s="2"/>
      <c r="D1458" s="2"/>
      <c r="E1458" s="2"/>
      <c r="F1458" s="2"/>
      <c r="G1458" s="2"/>
      <c r="H1458" s="2"/>
      <c r="I1458" s="5"/>
    </row>
    <row r="1459" spans="1:9" ht="17.399999999999999" x14ac:dyDescent="0.25">
      <c r="A1459" s="16"/>
      <c r="B1459" s="17"/>
      <c r="C1459" s="2"/>
      <c r="D1459" s="2"/>
      <c r="E1459" s="2"/>
      <c r="F1459" s="2"/>
      <c r="G1459" s="2"/>
      <c r="H1459" s="2"/>
      <c r="I1459" s="5"/>
    </row>
    <row r="1460" spans="1:9" ht="17.399999999999999" x14ac:dyDescent="0.25">
      <c r="A1460" s="16"/>
      <c r="B1460" s="17"/>
      <c r="C1460" s="2"/>
      <c r="D1460" s="2"/>
      <c r="E1460" s="2"/>
      <c r="F1460" s="2"/>
      <c r="G1460" s="2"/>
      <c r="H1460" s="2"/>
      <c r="I1460" s="5"/>
    </row>
    <row r="1461" spans="1:9" ht="17.399999999999999" x14ac:dyDescent="0.25">
      <c r="A1461" s="16"/>
      <c r="B1461" s="17"/>
      <c r="C1461" s="2"/>
      <c r="D1461" s="2"/>
      <c r="E1461" s="2"/>
      <c r="F1461" s="2"/>
      <c r="G1461" s="2"/>
      <c r="H1461" s="2"/>
      <c r="I1461" s="5"/>
    </row>
    <row r="1462" spans="1:9" ht="17.399999999999999" x14ac:dyDescent="0.25">
      <c r="A1462" s="16"/>
      <c r="B1462" s="17"/>
      <c r="C1462" s="2"/>
      <c r="D1462" s="2"/>
      <c r="E1462" s="2"/>
      <c r="F1462" s="2"/>
      <c r="G1462" s="2"/>
      <c r="H1462" s="2"/>
      <c r="I1462" s="5"/>
    </row>
    <row r="1463" spans="1:9" ht="17.399999999999999" x14ac:dyDescent="0.25">
      <c r="A1463" s="16"/>
      <c r="B1463" s="17"/>
      <c r="C1463" s="2"/>
      <c r="D1463" s="2"/>
      <c r="E1463" s="2"/>
      <c r="F1463" s="2"/>
      <c r="G1463" s="2"/>
      <c r="H1463" s="2"/>
      <c r="I1463" s="5"/>
    </row>
    <row r="1464" spans="1:9" ht="17.399999999999999" x14ac:dyDescent="0.25">
      <c r="A1464" s="16"/>
      <c r="B1464" s="17"/>
      <c r="C1464" s="2"/>
      <c r="D1464" s="2"/>
      <c r="E1464" s="2"/>
      <c r="F1464" s="2"/>
      <c r="G1464" s="2"/>
      <c r="H1464" s="2"/>
      <c r="I1464" s="5"/>
    </row>
    <row r="1465" spans="1:9" ht="17.399999999999999" x14ac:dyDescent="0.25">
      <c r="A1465" s="16"/>
      <c r="B1465" s="17"/>
      <c r="C1465" s="2"/>
      <c r="D1465" s="2"/>
      <c r="E1465" s="2"/>
      <c r="F1465" s="2"/>
      <c r="G1465" s="2"/>
      <c r="H1465" s="2"/>
      <c r="I1465" s="5"/>
    </row>
    <row r="1466" spans="1:9" ht="17.399999999999999" x14ac:dyDescent="0.25">
      <c r="A1466" s="16"/>
      <c r="B1466" s="17"/>
      <c r="C1466" s="2"/>
      <c r="D1466" s="2"/>
      <c r="E1466" s="2"/>
      <c r="F1466" s="2"/>
      <c r="G1466" s="2"/>
      <c r="H1466" s="2"/>
      <c r="I1466" s="5"/>
    </row>
    <row r="1467" spans="1:9" ht="17.399999999999999" x14ac:dyDescent="0.25">
      <c r="A1467" s="16"/>
      <c r="B1467" s="17"/>
      <c r="C1467" s="2"/>
      <c r="D1467" s="2"/>
      <c r="E1467" s="2"/>
      <c r="F1467" s="2"/>
      <c r="G1467" s="2"/>
      <c r="H1467" s="2"/>
      <c r="I1467" s="5"/>
    </row>
    <row r="1468" spans="1:9" ht="17.399999999999999" x14ac:dyDescent="0.25">
      <c r="A1468" s="16"/>
      <c r="B1468" s="17"/>
      <c r="C1468" s="2"/>
      <c r="D1468" s="2"/>
      <c r="E1468" s="2"/>
      <c r="F1468" s="2"/>
      <c r="G1468" s="2"/>
      <c r="H1468" s="2"/>
      <c r="I1468" s="5"/>
    </row>
    <row r="1469" spans="1:9" ht="17.399999999999999" x14ac:dyDescent="0.25">
      <c r="A1469" s="16"/>
      <c r="B1469" s="17"/>
      <c r="C1469" s="2"/>
      <c r="D1469" s="2"/>
      <c r="E1469" s="2"/>
      <c r="F1469" s="2"/>
      <c r="G1469" s="2"/>
      <c r="H1469" s="2"/>
      <c r="I1469" s="5"/>
    </row>
    <row r="1470" spans="1:9" ht="17.399999999999999" x14ac:dyDescent="0.25">
      <c r="A1470" s="16"/>
      <c r="B1470" s="17"/>
      <c r="C1470" s="2"/>
      <c r="D1470" s="2"/>
      <c r="E1470" s="2"/>
      <c r="F1470" s="2"/>
      <c r="G1470" s="2"/>
      <c r="H1470" s="2"/>
      <c r="I1470" s="5"/>
    </row>
    <row r="1471" spans="1:9" ht="17.399999999999999" x14ac:dyDescent="0.25">
      <c r="A1471" s="16"/>
      <c r="B1471" s="17"/>
      <c r="C1471" s="2"/>
      <c r="D1471" s="2"/>
      <c r="E1471" s="2"/>
      <c r="F1471" s="2"/>
      <c r="G1471" s="2"/>
      <c r="H1471" s="2"/>
      <c r="I1471" s="5"/>
    </row>
    <row r="1472" spans="1:9" ht="17.399999999999999" x14ac:dyDescent="0.25">
      <c r="A1472" s="16"/>
      <c r="B1472" s="17"/>
      <c r="C1472" s="2"/>
      <c r="D1472" s="2"/>
      <c r="E1472" s="2"/>
      <c r="F1472" s="2"/>
      <c r="G1472" s="2"/>
      <c r="H1472" s="2"/>
      <c r="I1472" s="5"/>
    </row>
    <row r="1473" spans="1:9" ht="17.399999999999999" x14ac:dyDescent="0.25">
      <c r="A1473" s="16"/>
      <c r="B1473" s="17"/>
      <c r="C1473" s="2"/>
      <c r="D1473" s="2"/>
      <c r="E1473" s="2"/>
      <c r="F1473" s="2"/>
      <c r="G1473" s="2"/>
      <c r="H1473" s="2"/>
      <c r="I1473" s="5"/>
    </row>
    <row r="1474" spans="1:9" ht="17.399999999999999" x14ac:dyDescent="0.25">
      <c r="A1474" s="16"/>
      <c r="B1474" s="17"/>
      <c r="C1474" s="2"/>
      <c r="D1474" s="2"/>
      <c r="E1474" s="2"/>
      <c r="F1474" s="2"/>
      <c r="G1474" s="2"/>
      <c r="H1474" s="2"/>
      <c r="I1474" s="5"/>
    </row>
    <row r="1475" spans="1:9" ht="17.399999999999999" x14ac:dyDescent="0.25">
      <c r="A1475" s="16"/>
      <c r="B1475" s="17"/>
      <c r="C1475" s="2"/>
      <c r="D1475" s="2"/>
      <c r="E1475" s="2"/>
      <c r="F1475" s="2"/>
      <c r="G1475" s="2"/>
      <c r="H1475" s="2"/>
      <c r="I1475" s="5"/>
    </row>
    <row r="1476" spans="1:9" ht="17.399999999999999" x14ac:dyDescent="0.25">
      <c r="A1476" s="16"/>
      <c r="B1476" s="17"/>
      <c r="C1476" s="2"/>
      <c r="D1476" s="2"/>
      <c r="E1476" s="2"/>
      <c r="F1476" s="2"/>
      <c r="G1476" s="2"/>
      <c r="H1476" s="2"/>
      <c r="I1476" s="5"/>
    </row>
    <row r="1477" spans="1:9" ht="17.399999999999999" x14ac:dyDescent="0.25">
      <c r="A1477" s="16"/>
      <c r="B1477" s="17"/>
      <c r="C1477" s="2"/>
      <c r="D1477" s="2"/>
      <c r="E1477" s="2"/>
      <c r="F1477" s="2"/>
      <c r="G1477" s="2"/>
      <c r="H1477" s="2"/>
      <c r="I1477" s="5"/>
    </row>
    <row r="1478" spans="1:9" ht="17.399999999999999" x14ac:dyDescent="0.25">
      <c r="A1478" s="16"/>
      <c r="B1478" s="17"/>
      <c r="C1478" s="2"/>
      <c r="D1478" s="2"/>
      <c r="E1478" s="2"/>
      <c r="F1478" s="2"/>
      <c r="G1478" s="2"/>
      <c r="H1478" s="2"/>
      <c r="I1478" s="5"/>
    </row>
    <row r="1479" spans="1:9" ht="17.399999999999999" x14ac:dyDescent="0.25">
      <c r="A1479" s="16"/>
      <c r="B1479" s="17"/>
      <c r="C1479" s="2"/>
      <c r="D1479" s="2"/>
      <c r="E1479" s="2"/>
      <c r="F1479" s="2"/>
      <c r="G1479" s="2"/>
      <c r="H1479" s="2"/>
      <c r="I1479" s="5"/>
    </row>
    <row r="1480" spans="1:9" ht="17.399999999999999" x14ac:dyDescent="0.25">
      <c r="A1480" s="16"/>
      <c r="B1480" s="17"/>
      <c r="C1480" s="2"/>
      <c r="D1480" s="2"/>
      <c r="E1480" s="2"/>
      <c r="F1480" s="2"/>
      <c r="G1480" s="2"/>
      <c r="H1480" s="2"/>
      <c r="I1480" s="5"/>
    </row>
    <row r="1481" spans="1:9" ht="17.399999999999999" x14ac:dyDescent="0.25">
      <c r="A1481" s="16"/>
      <c r="B1481" s="17"/>
      <c r="C1481" s="2"/>
      <c r="D1481" s="2"/>
      <c r="E1481" s="2"/>
      <c r="F1481" s="2"/>
      <c r="G1481" s="2"/>
      <c r="H1481" s="2"/>
      <c r="I1481" s="5"/>
    </row>
    <row r="1482" spans="1:9" ht="17.399999999999999" x14ac:dyDescent="0.25">
      <c r="A1482" s="16"/>
      <c r="B1482" s="17"/>
      <c r="C1482" s="2"/>
      <c r="D1482" s="2"/>
      <c r="E1482" s="2"/>
      <c r="F1482" s="2"/>
      <c r="G1482" s="2"/>
      <c r="H1482" s="2"/>
      <c r="I1482" s="5"/>
    </row>
    <row r="1483" spans="1:9" ht="17.399999999999999" x14ac:dyDescent="0.25">
      <c r="A1483" s="16"/>
      <c r="B1483" s="17"/>
      <c r="C1483" s="2"/>
      <c r="D1483" s="2"/>
      <c r="E1483" s="2"/>
      <c r="F1483" s="2"/>
      <c r="G1483" s="2"/>
      <c r="H1483" s="2"/>
      <c r="I1483" s="5"/>
    </row>
    <row r="1484" spans="1:9" ht="17.399999999999999" x14ac:dyDescent="0.25">
      <c r="A1484" s="16"/>
      <c r="B1484" s="17"/>
      <c r="C1484" s="2"/>
      <c r="D1484" s="2"/>
      <c r="E1484" s="2"/>
      <c r="F1484" s="2"/>
      <c r="G1484" s="2"/>
      <c r="H1484" s="2"/>
      <c r="I1484" s="5"/>
    </row>
    <row r="1485" spans="1:9" ht="17.399999999999999" x14ac:dyDescent="0.25">
      <c r="A1485" s="16"/>
      <c r="B1485" s="17"/>
      <c r="C1485" s="2"/>
      <c r="D1485" s="2"/>
      <c r="E1485" s="2"/>
      <c r="F1485" s="2"/>
      <c r="G1485" s="2"/>
      <c r="H1485" s="2"/>
      <c r="I1485" s="5"/>
    </row>
    <row r="1486" spans="1:9" ht="17.399999999999999" x14ac:dyDescent="0.25">
      <c r="A1486" s="16"/>
      <c r="B1486" s="17"/>
      <c r="C1486" s="2"/>
      <c r="D1486" s="2"/>
      <c r="E1486" s="2"/>
      <c r="F1486" s="2"/>
      <c r="G1486" s="2"/>
      <c r="H1486" s="2"/>
      <c r="I1486" s="5"/>
    </row>
    <row r="1487" spans="1:9" ht="17.399999999999999" x14ac:dyDescent="0.25">
      <c r="A1487" s="16"/>
      <c r="B1487" s="17"/>
      <c r="C1487" s="2"/>
      <c r="D1487" s="2"/>
      <c r="E1487" s="2"/>
      <c r="F1487" s="2"/>
      <c r="G1487" s="2"/>
      <c r="H1487" s="2"/>
      <c r="I1487" s="5"/>
    </row>
    <row r="1488" spans="1:9" ht="17.399999999999999" x14ac:dyDescent="0.25">
      <c r="A1488" s="16"/>
      <c r="B1488" s="17"/>
      <c r="C1488" s="2"/>
      <c r="D1488" s="2"/>
      <c r="E1488" s="2"/>
      <c r="F1488" s="2"/>
      <c r="G1488" s="2"/>
      <c r="H1488" s="2"/>
      <c r="I1488" s="5"/>
    </row>
    <row r="1489" spans="1:9" ht="17.399999999999999" x14ac:dyDescent="0.25">
      <c r="A1489" s="16"/>
      <c r="B1489" s="17"/>
      <c r="C1489" s="2"/>
      <c r="D1489" s="2"/>
      <c r="E1489" s="2"/>
      <c r="F1489" s="2"/>
      <c r="G1489" s="2"/>
      <c r="H1489" s="2"/>
      <c r="I1489" s="5"/>
    </row>
    <row r="1490" spans="1:9" ht="17.399999999999999" x14ac:dyDescent="0.25">
      <c r="A1490" s="16"/>
      <c r="B1490" s="17"/>
      <c r="C1490" s="2"/>
      <c r="D1490" s="2"/>
      <c r="E1490" s="2"/>
      <c r="F1490" s="2"/>
      <c r="G1490" s="2"/>
      <c r="H1490" s="2"/>
      <c r="I1490" s="5"/>
    </row>
    <row r="1491" spans="1:9" ht="17.399999999999999" x14ac:dyDescent="0.25">
      <c r="A1491" s="16"/>
      <c r="B1491" s="17"/>
      <c r="C1491" s="2"/>
      <c r="D1491" s="2"/>
      <c r="E1491" s="2"/>
      <c r="F1491" s="2"/>
      <c r="G1491" s="2"/>
      <c r="H1491" s="2"/>
      <c r="I1491" s="5"/>
    </row>
    <row r="1492" spans="1:9" ht="17.399999999999999" x14ac:dyDescent="0.25">
      <c r="A1492" s="16"/>
      <c r="B1492" s="17"/>
      <c r="C1492" s="2"/>
      <c r="D1492" s="2"/>
      <c r="E1492" s="2"/>
      <c r="F1492" s="2"/>
      <c r="G1492" s="2"/>
      <c r="H1492" s="2"/>
      <c r="I1492" s="5"/>
    </row>
    <row r="1493" spans="1:9" ht="17.399999999999999" x14ac:dyDescent="0.25">
      <c r="A1493" s="16"/>
      <c r="B1493" s="17"/>
      <c r="C1493" s="2"/>
      <c r="D1493" s="2"/>
      <c r="E1493" s="2"/>
      <c r="F1493" s="2"/>
      <c r="G1493" s="2"/>
      <c r="H1493" s="2"/>
      <c r="I1493" s="5"/>
    </row>
    <row r="1494" spans="1:9" ht="17.399999999999999" x14ac:dyDescent="0.25">
      <c r="A1494" s="16"/>
      <c r="B1494" s="17"/>
      <c r="C1494" s="2"/>
      <c r="D1494" s="2"/>
      <c r="E1494" s="2"/>
      <c r="F1494" s="2"/>
      <c r="G1494" s="2"/>
      <c r="H1494" s="2"/>
      <c r="I1494" s="5"/>
    </row>
    <row r="1495" spans="1:9" ht="17.399999999999999" x14ac:dyDescent="0.25">
      <c r="A1495" s="16"/>
      <c r="B1495" s="17"/>
      <c r="C1495" s="2"/>
      <c r="D1495" s="2"/>
      <c r="E1495" s="2"/>
      <c r="F1495" s="2"/>
      <c r="G1495" s="2"/>
      <c r="H1495" s="2"/>
      <c r="I1495" s="5"/>
    </row>
    <row r="1496" spans="1:9" ht="17.399999999999999" x14ac:dyDescent="0.25">
      <c r="A1496" s="16"/>
      <c r="B1496" s="17"/>
      <c r="C1496" s="2"/>
      <c r="D1496" s="2"/>
      <c r="E1496" s="2"/>
      <c r="F1496" s="2"/>
      <c r="G1496" s="2"/>
      <c r="H1496" s="2"/>
      <c r="I1496" s="5"/>
    </row>
    <row r="1497" spans="1:9" ht="17.399999999999999" x14ac:dyDescent="0.25">
      <c r="A1497" s="16"/>
      <c r="B1497" s="17"/>
      <c r="C1497" s="2"/>
      <c r="D1497" s="2"/>
      <c r="E1497" s="2"/>
      <c r="F1497" s="2"/>
      <c r="G1497" s="2"/>
      <c r="H1497" s="2"/>
      <c r="I1497" s="5"/>
    </row>
    <row r="1498" spans="1:9" ht="17.399999999999999" x14ac:dyDescent="0.25">
      <c r="A1498" s="16"/>
      <c r="B1498" s="17"/>
      <c r="C1498" s="2"/>
      <c r="D1498" s="2"/>
      <c r="E1498" s="2"/>
      <c r="F1498" s="2"/>
      <c r="G1498" s="2"/>
      <c r="H1498" s="2"/>
      <c r="I1498" s="5"/>
    </row>
    <row r="1499" spans="1:9" ht="17.399999999999999" x14ac:dyDescent="0.25">
      <c r="A1499" s="16"/>
      <c r="B1499" s="17"/>
      <c r="C1499" s="2"/>
      <c r="D1499" s="2"/>
      <c r="E1499" s="2"/>
      <c r="F1499" s="2"/>
      <c r="G1499" s="2"/>
      <c r="H1499" s="2"/>
      <c r="I1499" s="5"/>
    </row>
    <row r="1500" spans="1:9" ht="17.399999999999999" x14ac:dyDescent="0.25">
      <c r="A1500" s="16"/>
      <c r="B1500" s="17"/>
      <c r="C1500" s="2"/>
      <c r="D1500" s="2"/>
      <c r="E1500" s="2"/>
      <c r="F1500" s="2"/>
      <c r="G1500" s="2"/>
      <c r="H1500" s="2"/>
      <c r="I1500" s="5"/>
    </row>
    <row r="1501" spans="1:9" ht="17.399999999999999" x14ac:dyDescent="0.25">
      <c r="A1501" s="16"/>
      <c r="B1501" s="17"/>
      <c r="C1501" s="2"/>
      <c r="D1501" s="2"/>
      <c r="E1501" s="2"/>
      <c r="F1501" s="2"/>
      <c r="G1501" s="2"/>
      <c r="H1501" s="2"/>
      <c r="I1501" s="5"/>
    </row>
    <row r="1502" spans="1:9" ht="17.399999999999999" x14ac:dyDescent="0.25">
      <c r="A1502" s="16"/>
      <c r="B1502" s="17"/>
      <c r="C1502" s="2"/>
      <c r="D1502" s="2"/>
      <c r="E1502" s="2"/>
      <c r="F1502" s="2"/>
      <c r="G1502" s="2"/>
      <c r="H1502" s="2"/>
      <c r="I1502" s="5"/>
    </row>
    <row r="1503" spans="1:9" ht="17.399999999999999" x14ac:dyDescent="0.25">
      <c r="A1503" s="16"/>
      <c r="B1503" s="17"/>
      <c r="C1503" s="2"/>
      <c r="D1503" s="2"/>
      <c r="E1503" s="2"/>
      <c r="F1503" s="2"/>
      <c r="G1503" s="2"/>
      <c r="H1503" s="2"/>
      <c r="I1503" s="5"/>
    </row>
    <row r="1504" spans="1:9" ht="17.399999999999999" x14ac:dyDescent="0.25">
      <c r="A1504" s="16"/>
      <c r="B1504" s="17"/>
      <c r="C1504" s="2"/>
      <c r="D1504" s="2"/>
      <c r="E1504" s="2"/>
      <c r="F1504" s="2"/>
      <c r="G1504" s="2"/>
      <c r="H1504" s="2"/>
      <c r="I1504" s="5"/>
    </row>
    <row r="1505" spans="1:9" ht="17.399999999999999" x14ac:dyDescent="0.25">
      <c r="A1505" s="16"/>
      <c r="B1505" s="17"/>
      <c r="C1505" s="2"/>
      <c r="D1505" s="2"/>
      <c r="E1505" s="2"/>
      <c r="F1505" s="2"/>
      <c r="G1505" s="2"/>
      <c r="H1505" s="2"/>
      <c r="I1505" s="5"/>
    </row>
    <row r="1506" spans="1:9" ht="17.399999999999999" x14ac:dyDescent="0.25">
      <c r="A1506" s="16"/>
      <c r="B1506" s="17"/>
      <c r="C1506" s="2"/>
      <c r="D1506" s="2"/>
      <c r="E1506" s="2"/>
      <c r="F1506" s="2"/>
      <c r="G1506" s="2"/>
      <c r="H1506" s="2"/>
      <c r="I1506" s="5"/>
    </row>
    <row r="1507" spans="1:9" ht="17.399999999999999" x14ac:dyDescent="0.25">
      <c r="A1507" s="16"/>
      <c r="B1507" s="17"/>
      <c r="C1507" s="2"/>
      <c r="D1507" s="2"/>
      <c r="E1507" s="2"/>
      <c r="F1507" s="2"/>
      <c r="G1507" s="2"/>
      <c r="H1507" s="2"/>
      <c r="I1507" s="5"/>
    </row>
    <row r="1508" spans="1:9" ht="17.399999999999999" x14ac:dyDescent="0.25">
      <c r="A1508" s="16"/>
      <c r="B1508" s="17"/>
      <c r="C1508" s="2"/>
      <c r="D1508" s="2"/>
      <c r="E1508" s="2"/>
      <c r="F1508" s="2"/>
      <c r="G1508" s="2"/>
      <c r="H1508" s="2"/>
      <c r="I1508" s="5"/>
    </row>
    <row r="1509" spans="1:9" ht="17.399999999999999" x14ac:dyDescent="0.25">
      <c r="A1509" s="16"/>
      <c r="B1509" s="17"/>
      <c r="C1509" s="2"/>
      <c r="D1509" s="2"/>
      <c r="E1509" s="2"/>
      <c r="F1509" s="2"/>
      <c r="G1509" s="2"/>
      <c r="H1509" s="2"/>
      <c r="I1509" s="5"/>
    </row>
    <row r="1510" spans="1:9" ht="17.399999999999999" x14ac:dyDescent="0.25">
      <c r="A1510" s="16"/>
      <c r="B1510" s="17"/>
      <c r="C1510" s="2"/>
      <c r="D1510" s="2"/>
      <c r="E1510" s="2"/>
      <c r="F1510" s="2"/>
      <c r="G1510" s="2"/>
      <c r="H1510" s="2"/>
      <c r="I1510" s="5"/>
    </row>
    <row r="1511" spans="1:9" ht="17.399999999999999" x14ac:dyDescent="0.25">
      <c r="A1511" s="16"/>
      <c r="B1511" s="17"/>
      <c r="C1511" s="2"/>
      <c r="D1511" s="2"/>
      <c r="E1511" s="2"/>
      <c r="F1511" s="2"/>
      <c r="G1511" s="2"/>
      <c r="H1511" s="2"/>
      <c r="I1511" s="5"/>
    </row>
    <row r="1512" spans="1:9" ht="17.399999999999999" x14ac:dyDescent="0.25">
      <c r="A1512" s="16"/>
      <c r="B1512" s="17"/>
      <c r="C1512" s="2"/>
      <c r="D1512" s="2"/>
      <c r="E1512" s="2"/>
      <c r="F1512" s="2"/>
      <c r="G1512" s="2"/>
      <c r="H1512" s="2"/>
      <c r="I1512" s="5"/>
    </row>
    <row r="1513" spans="1:9" ht="17.399999999999999" x14ac:dyDescent="0.25">
      <c r="A1513" s="16"/>
      <c r="B1513" s="17"/>
      <c r="C1513" s="2"/>
      <c r="D1513" s="2"/>
      <c r="E1513" s="2"/>
      <c r="F1513" s="2"/>
      <c r="G1513" s="2"/>
      <c r="H1513" s="2"/>
      <c r="I1513" s="5"/>
    </row>
    <row r="1514" spans="1:9" ht="17.399999999999999" x14ac:dyDescent="0.25">
      <c r="A1514" s="16"/>
      <c r="B1514" s="17"/>
      <c r="C1514" s="2"/>
      <c r="D1514" s="2"/>
      <c r="E1514" s="2"/>
      <c r="F1514" s="2"/>
      <c r="G1514" s="2"/>
      <c r="H1514" s="2"/>
      <c r="I1514" s="5"/>
    </row>
    <row r="1515" spans="1:9" ht="17.399999999999999" x14ac:dyDescent="0.25">
      <c r="A1515" s="16"/>
      <c r="B1515" s="17"/>
      <c r="C1515" s="2"/>
      <c r="D1515" s="2"/>
      <c r="E1515" s="2"/>
      <c r="F1515" s="2"/>
      <c r="G1515" s="2"/>
      <c r="H1515" s="2"/>
      <c r="I1515" s="5"/>
    </row>
    <row r="1516" spans="1:9" ht="17.399999999999999" x14ac:dyDescent="0.25">
      <c r="A1516" s="16"/>
      <c r="B1516" s="17"/>
      <c r="C1516" s="2"/>
      <c r="D1516" s="2"/>
      <c r="E1516" s="2"/>
      <c r="F1516" s="2"/>
      <c r="G1516" s="2"/>
      <c r="H1516" s="2"/>
      <c r="I1516" s="5"/>
    </row>
    <row r="1517" spans="1:9" ht="17.399999999999999" x14ac:dyDescent="0.25">
      <c r="A1517" s="16"/>
      <c r="B1517" s="17"/>
      <c r="C1517" s="2"/>
      <c r="D1517" s="2"/>
      <c r="E1517" s="2"/>
      <c r="F1517" s="2"/>
      <c r="G1517" s="2"/>
      <c r="H1517" s="2"/>
      <c r="I1517" s="5"/>
    </row>
    <row r="1518" spans="1:9" ht="17.399999999999999" x14ac:dyDescent="0.25">
      <c r="A1518" s="16"/>
      <c r="B1518" s="17"/>
      <c r="C1518" s="2"/>
      <c r="D1518" s="2"/>
      <c r="E1518" s="2"/>
      <c r="F1518" s="2"/>
      <c r="G1518" s="2"/>
      <c r="H1518" s="2"/>
      <c r="I1518" s="5"/>
    </row>
    <row r="1519" spans="1:9" ht="17.399999999999999" x14ac:dyDescent="0.25">
      <c r="A1519" s="16"/>
      <c r="B1519" s="17"/>
      <c r="C1519" s="2"/>
      <c r="D1519" s="2"/>
      <c r="E1519" s="2"/>
      <c r="F1519" s="2"/>
      <c r="G1519" s="2"/>
      <c r="H1519" s="2"/>
      <c r="I1519" s="5"/>
    </row>
    <row r="1520" spans="1:9" ht="17.399999999999999" x14ac:dyDescent="0.25">
      <c r="A1520" s="16"/>
      <c r="B1520" s="17"/>
      <c r="C1520" s="2"/>
      <c r="D1520" s="2"/>
      <c r="E1520" s="2"/>
      <c r="F1520" s="2"/>
      <c r="G1520" s="2"/>
      <c r="H1520" s="2"/>
      <c r="I1520" s="5"/>
    </row>
    <row r="1521" spans="1:9" ht="17.399999999999999" x14ac:dyDescent="0.25">
      <c r="A1521" s="16"/>
      <c r="B1521" s="17"/>
      <c r="C1521" s="2"/>
      <c r="D1521" s="2"/>
      <c r="E1521" s="2"/>
      <c r="F1521" s="2"/>
      <c r="G1521" s="2"/>
      <c r="H1521" s="2"/>
      <c r="I1521" s="5"/>
    </row>
    <row r="1522" spans="1:9" ht="17.399999999999999" x14ac:dyDescent="0.25">
      <c r="A1522" s="16"/>
      <c r="B1522" s="17"/>
      <c r="C1522" s="2"/>
      <c r="D1522" s="2"/>
      <c r="E1522" s="2"/>
      <c r="F1522" s="2"/>
      <c r="G1522" s="2"/>
      <c r="H1522" s="2"/>
      <c r="I1522" s="5"/>
    </row>
    <row r="1523" spans="1:9" ht="17.399999999999999" x14ac:dyDescent="0.25">
      <c r="A1523" s="16"/>
      <c r="B1523" s="17"/>
      <c r="C1523" s="2"/>
      <c r="D1523" s="2"/>
      <c r="E1523" s="2"/>
      <c r="F1523" s="2"/>
      <c r="G1523" s="2"/>
      <c r="H1523" s="2"/>
      <c r="I1523" s="5"/>
    </row>
    <row r="1524" spans="1:9" ht="17.399999999999999" x14ac:dyDescent="0.25">
      <c r="A1524" s="16"/>
      <c r="B1524" s="17"/>
      <c r="C1524" s="2"/>
      <c r="D1524" s="2"/>
      <c r="E1524" s="2"/>
      <c r="F1524" s="2"/>
      <c r="G1524" s="2"/>
      <c r="H1524" s="2"/>
      <c r="I1524" s="5"/>
    </row>
    <row r="1525" spans="1:9" ht="17.399999999999999" x14ac:dyDescent="0.25">
      <c r="A1525" s="16"/>
      <c r="B1525" s="17"/>
      <c r="C1525" s="2"/>
      <c r="D1525" s="2"/>
      <c r="E1525" s="2"/>
      <c r="F1525" s="2"/>
      <c r="G1525" s="2"/>
      <c r="H1525" s="2"/>
      <c r="I1525" s="5"/>
    </row>
    <row r="1526" spans="1:9" ht="17.399999999999999" x14ac:dyDescent="0.25">
      <c r="A1526" s="16"/>
      <c r="B1526" s="17"/>
      <c r="C1526" s="2"/>
      <c r="D1526" s="2"/>
      <c r="E1526" s="2"/>
      <c r="F1526" s="2"/>
      <c r="G1526" s="2"/>
      <c r="H1526" s="2"/>
      <c r="I1526" s="5"/>
    </row>
    <row r="1527" spans="1:9" ht="17.399999999999999" x14ac:dyDescent="0.25">
      <c r="A1527" s="16"/>
      <c r="B1527" s="17"/>
      <c r="C1527" s="2"/>
      <c r="D1527" s="2"/>
      <c r="E1527" s="2"/>
      <c r="F1527" s="2"/>
      <c r="G1527" s="2"/>
      <c r="H1527" s="2"/>
      <c r="I1527" s="5"/>
    </row>
    <row r="1528" spans="1:9" ht="17.399999999999999" x14ac:dyDescent="0.25">
      <c r="A1528" s="16"/>
      <c r="B1528" s="17"/>
      <c r="C1528" s="2"/>
      <c r="D1528" s="2"/>
      <c r="E1528" s="2"/>
      <c r="F1528" s="2"/>
      <c r="G1528" s="2"/>
      <c r="H1528" s="2"/>
      <c r="I1528" s="5"/>
    </row>
    <row r="1529" spans="1:9" ht="17.399999999999999" x14ac:dyDescent="0.25">
      <c r="A1529" s="16"/>
      <c r="B1529" s="17"/>
      <c r="C1529" s="2"/>
      <c r="D1529" s="2"/>
      <c r="E1529" s="2"/>
      <c r="F1529" s="2"/>
      <c r="G1529" s="2"/>
      <c r="H1529" s="2"/>
      <c r="I1529" s="5"/>
    </row>
    <row r="1530" spans="1:9" ht="17.399999999999999" x14ac:dyDescent="0.25">
      <c r="A1530" s="16"/>
      <c r="B1530" s="17"/>
      <c r="C1530" s="2"/>
      <c r="D1530" s="2"/>
      <c r="E1530" s="2"/>
      <c r="F1530" s="2"/>
      <c r="G1530" s="2"/>
      <c r="H1530" s="2"/>
      <c r="I1530" s="5"/>
    </row>
    <row r="1531" spans="1:9" ht="17.399999999999999" x14ac:dyDescent="0.25">
      <c r="A1531" s="16"/>
      <c r="B1531" s="17"/>
      <c r="C1531" s="2"/>
      <c r="D1531" s="2"/>
      <c r="E1531" s="2"/>
      <c r="F1531" s="2"/>
      <c r="G1531" s="2"/>
      <c r="H1531" s="2"/>
      <c r="I1531" s="5"/>
    </row>
    <row r="1532" spans="1:9" ht="17.399999999999999" x14ac:dyDescent="0.25">
      <c r="A1532" s="16"/>
      <c r="B1532" s="17"/>
      <c r="C1532" s="2"/>
      <c r="D1532" s="2"/>
      <c r="E1532" s="2"/>
      <c r="F1532" s="2"/>
      <c r="G1532" s="2"/>
      <c r="H1532" s="2"/>
      <c r="I1532" s="5"/>
    </row>
    <row r="1533" spans="1:9" ht="17.399999999999999" x14ac:dyDescent="0.25">
      <c r="A1533" s="16"/>
      <c r="B1533" s="17"/>
      <c r="C1533" s="2"/>
      <c r="D1533" s="2"/>
      <c r="E1533" s="2"/>
      <c r="F1533" s="2"/>
      <c r="G1533" s="2"/>
      <c r="H1533" s="2"/>
      <c r="I1533" s="5"/>
    </row>
    <row r="1534" spans="1:9" ht="17.399999999999999" x14ac:dyDescent="0.25">
      <c r="A1534" s="16"/>
      <c r="B1534" s="17"/>
      <c r="C1534" s="2"/>
      <c r="D1534" s="2"/>
      <c r="E1534" s="2"/>
      <c r="F1534" s="2"/>
      <c r="G1534" s="2"/>
      <c r="H1534" s="2"/>
      <c r="I1534" s="5"/>
    </row>
    <row r="1535" spans="1:9" ht="17.399999999999999" x14ac:dyDescent="0.25">
      <c r="A1535" s="16"/>
      <c r="B1535" s="17"/>
      <c r="C1535" s="2"/>
      <c r="D1535" s="2"/>
      <c r="E1535" s="2"/>
      <c r="F1535" s="2"/>
      <c r="G1535" s="2"/>
      <c r="H1535" s="2"/>
      <c r="I1535" s="5"/>
    </row>
    <row r="1536" spans="1:9" ht="17.399999999999999" x14ac:dyDescent="0.25">
      <c r="A1536" s="16"/>
      <c r="B1536" s="17"/>
      <c r="C1536" s="2"/>
      <c r="D1536" s="2"/>
      <c r="E1536" s="2"/>
      <c r="F1536" s="2"/>
      <c r="G1536" s="2"/>
      <c r="H1536" s="2"/>
      <c r="I1536" s="5"/>
    </row>
    <row r="1537" spans="1:9" ht="17.399999999999999" x14ac:dyDescent="0.25">
      <c r="A1537" s="16"/>
      <c r="B1537" s="17"/>
      <c r="C1537" s="2"/>
      <c r="D1537" s="2"/>
      <c r="E1537" s="2"/>
      <c r="F1537" s="2"/>
      <c r="G1537" s="2"/>
      <c r="H1537" s="2"/>
      <c r="I1537" s="5"/>
    </row>
    <row r="1538" spans="1:9" ht="17.399999999999999" x14ac:dyDescent="0.25">
      <c r="A1538" s="16"/>
      <c r="B1538" s="17"/>
      <c r="C1538" s="2"/>
      <c r="D1538" s="2"/>
      <c r="E1538" s="2"/>
      <c r="F1538" s="2"/>
      <c r="G1538" s="2"/>
      <c r="H1538" s="2"/>
      <c r="I1538" s="5"/>
    </row>
    <row r="1539" spans="1:9" ht="17.399999999999999" x14ac:dyDescent="0.25">
      <c r="A1539" s="16"/>
      <c r="B1539" s="17"/>
      <c r="C1539" s="2"/>
      <c r="D1539" s="2"/>
      <c r="E1539" s="2"/>
      <c r="F1539" s="2"/>
      <c r="G1539" s="2"/>
      <c r="H1539" s="2"/>
      <c r="I1539" s="5"/>
    </row>
    <row r="1540" spans="1:9" ht="17.399999999999999" x14ac:dyDescent="0.25">
      <c r="A1540" s="16"/>
      <c r="B1540" s="17"/>
      <c r="C1540" s="2"/>
      <c r="D1540" s="2"/>
      <c r="E1540" s="2"/>
      <c r="F1540" s="2"/>
      <c r="G1540" s="2"/>
      <c r="H1540" s="2"/>
      <c r="I1540" s="5"/>
    </row>
    <row r="1541" spans="1:9" ht="17.399999999999999" x14ac:dyDescent="0.25">
      <c r="A1541" s="16"/>
      <c r="B1541" s="17"/>
      <c r="C1541" s="2"/>
      <c r="D1541" s="2"/>
      <c r="E1541" s="2"/>
      <c r="F1541" s="2"/>
      <c r="G1541" s="2"/>
      <c r="H1541" s="2"/>
      <c r="I1541" s="5"/>
    </row>
    <row r="1542" spans="1:9" ht="17.399999999999999" x14ac:dyDescent="0.25">
      <c r="A1542" s="16"/>
      <c r="B1542" s="17"/>
      <c r="C1542" s="2"/>
      <c r="D1542" s="2"/>
      <c r="E1542" s="2"/>
      <c r="F1542" s="2"/>
      <c r="G1542" s="2"/>
      <c r="H1542" s="2"/>
      <c r="I1542" s="5"/>
    </row>
    <row r="1543" spans="1:9" ht="17.399999999999999" x14ac:dyDescent="0.25">
      <c r="A1543" s="16"/>
      <c r="B1543" s="17"/>
      <c r="C1543" s="2"/>
      <c r="D1543" s="2"/>
      <c r="E1543" s="2"/>
      <c r="F1543" s="2"/>
      <c r="G1543" s="2"/>
      <c r="H1543" s="2"/>
      <c r="I1543" s="5"/>
    </row>
    <row r="1544" spans="1:9" ht="17.399999999999999" x14ac:dyDescent="0.25">
      <c r="A1544" s="16"/>
      <c r="B1544" s="17"/>
      <c r="C1544" s="2"/>
      <c r="D1544" s="2"/>
      <c r="E1544" s="2"/>
      <c r="F1544" s="2"/>
      <c r="G1544" s="2"/>
      <c r="H1544" s="2"/>
      <c r="I1544" s="5"/>
    </row>
    <row r="1545" spans="1:9" ht="17.399999999999999" x14ac:dyDescent="0.25">
      <c r="A1545" s="16"/>
      <c r="B1545" s="17"/>
      <c r="C1545" s="2"/>
      <c r="D1545" s="2"/>
      <c r="E1545" s="2"/>
      <c r="F1545" s="2"/>
      <c r="G1545" s="2"/>
      <c r="H1545" s="2"/>
      <c r="I1545" s="5"/>
    </row>
    <row r="1546" spans="1:9" ht="17.399999999999999" x14ac:dyDescent="0.25">
      <c r="A1546" s="16"/>
      <c r="B1546" s="17"/>
      <c r="C1546" s="2"/>
      <c r="D1546" s="2"/>
      <c r="E1546" s="2"/>
      <c r="F1546" s="2"/>
      <c r="G1546" s="2"/>
      <c r="H1546" s="2"/>
      <c r="I1546" s="5"/>
    </row>
    <row r="1547" spans="1:9" ht="17.399999999999999" x14ac:dyDescent="0.25">
      <c r="A1547" s="16"/>
      <c r="B1547" s="17"/>
      <c r="C1547" s="2"/>
      <c r="D1547" s="2"/>
      <c r="E1547" s="2"/>
      <c r="F1547" s="2"/>
      <c r="G1547" s="2"/>
      <c r="H1547" s="2"/>
      <c r="I1547" s="5"/>
    </row>
    <row r="1548" spans="1:9" ht="17.399999999999999" x14ac:dyDescent="0.25">
      <c r="A1548" s="16"/>
      <c r="B1548" s="17"/>
      <c r="C1548" s="2"/>
      <c r="D1548" s="2"/>
      <c r="E1548" s="2"/>
      <c r="F1548" s="2"/>
      <c r="G1548" s="2"/>
      <c r="H1548" s="2"/>
      <c r="I1548" s="5"/>
    </row>
    <row r="1549" spans="1:9" ht="17.399999999999999" x14ac:dyDescent="0.25">
      <c r="A1549" s="16"/>
      <c r="B1549" s="17"/>
      <c r="C1549" s="2"/>
      <c r="D1549" s="2"/>
      <c r="E1549" s="2"/>
      <c r="F1549" s="2"/>
      <c r="G1549" s="2"/>
      <c r="H1549" s="2"/>
      <c r="I1549" s="5"/>
    </row>
    <row r="1550" spans="1:9" ht="17.399999999999999" x14ac:dyDescent="0.25">
      <c r="A1550" s="16"/>
      <c r="B1550" s="17"/>
      <c r="C1550" s="2"/>
      <c r="D1550" s="2"/>
      <c r="E1550" s="2"/>
      <c r="F1550" s="2"/>
      <c r="G1550" s="2"/>
      <c r="H1550" s="2"/>
      <c r="I1550" s="5"/>
    </row>
    <row r="1551" spans="1:9" ht="17.399999999999999" x14ac:dyDescent="0.25">
      <c r="A1551" s="16"/>
      <c r="B1551" s="17"/>
      <c r="C1551" s="2"/>
      <c r="D1551" s="2"/>
      <c r="E1551" s="2"/>
      <c r="F1551" s="2"/>
      <c r="G1551" s="2"/>
      <c r="H1551" s="2"/>
      <c r="I1551" s="5"/>
    </row>
    <row r="1552" spans="1:9" ht="17.399999999999999" x14ac:dyDescent="0.25">
      <c r="A1552" s="16"/>
      <c r="B1552" s="17"/>
      <c r="C1552" s="2"/>
      <c r="D1552" s="2"/>
      <c r="E1552" s="2"/>
      <c r="F1552" s="2"/>
      <c r="G1552" s="2"/>
      <c r="H1552" s="2"/>
      <c r="I1552" s="5"/>
    </row>
    <row r="1553" spans="1:9" ht="17.399999999999999" x14ac:dyDescent="0.25">
      <c r="A1553" s="16"/>
      <c r="B1553" s="17"/>
      <c r="C1553" s="2"/>
      <c r="D1553" s="2"/>
      <c r="E1553" s="2"/>
      <c r="F1553" s="2"/>
      <c r="G1553" s="2"/>
      <c r="H1553" s="2"/>
      <c r="I1553" s="5"/>
    </row>
    <row r="1554" spans="1:9" ht="17.399999999999999" x14ac:dyDescent="0.25">
      <c r="A1554" s="16"/>
      <c r="B1554" s="17"/>
      <c r="C1554" s="2"/>
      <c r="D1554" s="2"/>
      <c r="E1554" s="2"/>
      <c r="F1554" s="2"/>
      <c r="G1554" s="2"/>
      <c r="H1554" s="2"/>
      <c r="I1554" s="5"/>
    </row>
    <row r="1555" spans="1:9" ht="17.399999999999999" x14ac:dyDescent="0.25">
      <c r="A1555" s="16"/>
      <c r="B1555" s="17"/>
      <c r="C1555" s="2"/>
      <c r="D1555" s="2"/>
      <c r="E1555" s="2"/>
      <c r="F1555" s="2"/>
      <c r="G1555" s="2"/>
      <c r="H1555" s="2"/>
      <c r="I1555" s="5"/>
    </row>
    <row r="1556" spans="1:9" ht="17.399999999999999" x14ac:dyDescent="0.25">
      <c r="A1556" s="16"/>
      <c r="B1556" s="17"/>
      <c r="C1556" s="2"/>
      <c r="D1556" s="2"/>
      <c r="E1556" s="2"/>
      <c r="F1556" s="2"/>
      <c r="G1556" s="2"/>
      <c r="H1556" s="2"/>
      <c r="I1556" s="5"/>
    </row>
    <row r="1557" spans="1:9" ht="17.399999999999999" x14ac:dyDescent="0.25">
      <c r="A1557" s="16"/>
      <c r="B1557" s="17"/>
      <c r="C1557" s="2"/>
      <c r="D1557" s="2"/>
      <c r="E1557" s="2"/>
      <c r="F1557" s="2"/>
      <c r="G1557" s="2"/>
      <c r="H1557" s="2"/>
      <c r="I1557" s="5"/>
    </row>
    <row r="1558" spans="1:9" ht="17.399999999999999" x14ac:dyDescent="0.25">
      <c r="A1558" s="16"/>
      <c r="B1558" s="17"/>
      <c r="C1558" s="2"/>
      <c r="D1558" s="2"/>
      <c r="E1558" s="2"/>
      <c r="F1558" s="2"/>
      <c r="G1558" s="2"/>
      <c r="H1558" s="2"/>
      <c r="I1558" s="5"/>
    </row>
    <row r="1559" spans="1:9" ht="17.399999999999999" x14ac:dyDescent="0.25">
      <c r="A1559" s="16"/>
      <c r="B1559" s="17"/>
      <c r="C1559" s="2"/>
      <c r="D1559" s="2"/>
      <c r="E1559" s="2"/>
      <c r="F1559" s="2"/>
      <c r="G1559" s="2"/>
      <c r="H1559" s="2"/>
      <c r="I1559" s="5"/>
    </row>
    <row r="1560" spans="1:9" ht="17.399999999999999" x14ac:dyDescent="0.25">
      <c r="A1560" s="16"/>
      <c r="B1560" s="17"/>
      <c r="C1560" s="2"/>
      <c r="D1560" s="2"/>
      <c r="E1560" s="2"/>
      <c r="F1560" s="2"/>
      <c r="G1560" s="2"/>
      <c r="H1560" s="2"/>
      <c r="I1560" s="5"/>
    </row>
    <row r="1561" spans="1:9" ht="17.399999999999999" x14ac:dyDescent="0.25">
      <c r="A1561" s="16"/>
      <c r="B1561" s="17"/>
      <c r="C1561" s="2"/>
      <c r="D1561" s="2"/>
      <c r="E1561" s="2"/>
      <c r="F1561" s="2"/>
      <c r="G1561" s="2"/>
      <c r="H1561" s="2"/>
      <c r="I1561" s="5"/>
    </row>
    <row r="1562" spans="1:9" ht="17.399999999999999" x14ac:dyDescent="0.25">
      <c r="A1562" s="16"/>
      <c r="B1562" s="17"/>
      <c r="C1562" s="2"/>
      <c r="D1562" s="2"/>
      <c r="E1562" s="2"/>
      <c r="F1562" s="2"/>
      <c r="G1562" s="2"/>
      <c r="H1562" s="2"/>
      <c r="I1562" s="5"/>
    </row>
    <row r="1563" spans="1:9" ht="17.399999999999999" x14ac:dyDescent="0.25">
      <c r="A1563" s="16"/>
      <c r="B1563" s="17"/>
      <c r="C1563" s="2"/>
      <c r="D1563" s="2"/>
      <c r="E1563" s="2"/>
      <c r="F1563" s="2"/>
      <c r="G1563" s="2"/>
      <c r="H1563" s="2"/>
      <c r="I1563" s="5"/>
    </row>
    <row r="1564" spans="1:9" ht="17.399999999999999" x14ac:dyDescent="0.25">
      <c r="A1564" s="16"/>
      <c r="B1564" s="17"/>
      <c r="C1564" s="2"/>
      <c r="D1564" s="2"/>
      <c r="E1564" s="2"/>
      <c r="F1564" s="2"/>
      <c r="G1564" s="2"/>
      <c r="H1564" s="2"/>
      <c r="I1564" s="5"/>
    </row>
    <row r="1565" spans="1:9" ht="17.399999999999999" x14ac:dyDescent="0.25">
      <c r="A1565" s="16"/>
      <c r="B1565" s="17"/>
      <c r="C1565" s="2"/>
      <c r="D1565" s="2"/>
      <c r="E1565" s="2"/>
      <c r="F1565" s="2"/>
      <c r="G1565" s="2"/>
      <c r="H1565" s="2"/>
      <c r="I1565" s="5"/>
    </row>
    <row r="1566" spans="1:9" ht="17.399999999999999" x14ac:dyDescent="0.25">
      <c r="A1566" s="16"/>
      <c r="B1566" s="17"/>
      <c r="C1566" s="2"/>
      <c r="D1566" s="2"/>
      <c r="E1566" s="2"/>
      <c r="F1566" s="2"/>
      <c r="G1566" s="2"/>
      <c r="H1566" s="2"/>
      <c r="I1566" s="5"/>
    </row>
    <row r="1567" spans="1:9" ht="17.399999999999999" x14ac:dyDescent="0.25">
      <c r="A1567" s="16"/>
      <c r="B1567" s="17"/>
      <c r="C1567" s="2"/>
      <c r="D1567" s="2"/>
      <c r="E1567" s="2"/>
      <c r="F1567" s="2"/>
      <c r="G1567" s="2"/>
      <c r="H1567" s="2"/>
      <c r="I1567" s="5"/>
    </row>
    <row r="1568" spans="1:9" ht="17.399999999999999" x14ac:dyDescent="0.25">
      <c r="A1568" s="16"/>
      <c r="B1568" s="17"/>
      <c r="C1568" s="2"/>
      <c r="D1568" s="2"/>
      <c r="E1568" s="2"/>
      <c r="F1568" s="2"/>
      <c r="G1568" s="2"/>
      <c r="H1568" s="2"/>
      <c r="I1568" s="5"/>
    </row>
    <row r="1569" spans="1:9" ht="17.399999999999999" x14ac:dyDescent="0.25">
      <c r="A1569" s="16"/>
      <c r="B1569" s="17"/>
      <c r="C1569" s="2"/>
      <c r="D1569" s="2"/>
      <c r="E1569" s="2"/>
      <c r="F1569" s="2"/>
      <c r="G1569" s="2"/>
      <c r="H1569" s="2"/>
      <c r="I1569" s="5"/>
    </row>
    <row r="1570" spans="1:9" ht="17.399999999999999" x14ac:dyDescent="0.25">
      <c r="A1570" s="16"/>
      <c r="B1570" s="17"/>
      <c r="C1570" s="2"/>
      <c r="D1570" s="2"/>
      <c r="E1570" s="2"/>
      <c r="F1570" s="2"/>
      <c r="G1570" s="2"/>
      <c r="H1570" s="2"/>
      <c r="I1570" s="5"/>
    </row>
    <row r="1571" spans="1:9" ht="17.399999999999999" x14ac:dyDescent="0.25">
      <c r="A1571" s="16"/>
      <c r="B1571" s="17"/>
      <c r="C1571" s="2"/>
      <c r="D1571" s="2"/>
      <c r="E1571" s="2"/>
      <c r="F1571" s="2"/>
      <c r="G1571" s="2"/>
      <c r="H1571" s="2"/>
      <c r="I1571" s="5"/>
    </row>
    <row r="1572" spans="1:9" ht="17.399999999999999" x14ac:dyDescent="0.25">
      <c r="A1572" s="16"/>
      <c r="B1572" s="17"/>
      <c r="C1572" s="2"/>
      <c r="D1572" s="2"/>
      <c r="E1572" s="2"/>
      <c r="F1572" s="2"/>
      <c r="G1572" s="2"/>
      <c r="H1572" s="2"/>
      <c r="I1572" s="5"/>
    </row>
    <row r="1573" spans="1:9" ht="17.399999999999999" x14ac:dyDescent="0.25">
      <c r="A1573" s="16"/>
      <c r="B1573" s="17"/>
      <c r="C1573" s="2"/>
      <c r="D1573" s="2"/>
      <c r="E1573" s="2"/>
      <c r="F1573" s="2"/>
      <c r="G1573" s="2"/>
      <c r="H1573" s="2"/>
      <c r="I1573" s="5"/>
    </row>
    <row r="1574" spans="1:9" ht="17.399999999999999" x14ac:dyDescent="0.25">
      <c r="A1574" s="16"/>
      <c r="B1574" s="17"/>
      <c r="C1574" s="2"/>
      <c r="D1574" s="2"/>
      <c r="E1574" s="2"/>
      <c r="F1574" s="2"/>
      <c r="G1574" s="2"/>
      <c r="H1574" s="2"/>
      <c r="I1574" s="5"/>
    </row>
    <row r="1575" spans="1:9" ht="17.399999999999999" x14ac:dyDescent="0.25">
      <c r="A1575" s="16"/>
      <c r="B1575" s="17"/>
      <c r="C1575" s="2"/>
      <c r="D1575" s="2"/>
      <c r="E1575" s="2"/>
      <c r="F1575" s="2"/>
      <c r="G1575" s="2"/>
      <c r="H1575" s="2"/>
      <c r="I1575" s="5"/>
    </row>
    <row r="1576" spans="1:9" ht="17.399999999999999" x14ac:dyDescent="0.25">
      <c r="A1576" s="16"/>
      <c r="B1576" s="17"/>
      <c r="C1576" s="2"/>
      <c r="D1576" s="2"/>
      <c r="E1576" s="2"/>
      <c r="F1576" s="2"/>
      <c r="G1576" s="2"/>
      <c r="H1576" s="2"/>
      <c r="I1576" s="5"/>
    </row>
    <row r="1577" spans="1:9" ht="17.399999999999999" x14ac:dyDescent="0.25">
      <c r="A1577" s="16"/>
      <c r="B1577" s="17"/>
      <c r="C1577" s="2"/>
      <c r="D1577" s="2"/>
      <c r="E1577" s="2"/>
      <c r="F1577" s="2"/>
      <c r="G1577" s="2"/>
      <c r="H1577" s="2"/>
      <c r="I1577" s="5"/>
    </row>
    <row r="1578" spans="1:9" ht="17.399999999999999" x14ac:dyDescent="0.25">
      <c r="A1578" s="16"/>
      <c r="B1578" s="17"/>
      <c r="C1578" s="2"/>
      <c r="D1578" s="2"/>
      <c r="E1578" s="2"/>
      <c r="F1578" s="2"/>
      <c r="G1578" s="2"/>
      <c r="H1578" s="2"/>
      <c r="I1578" s="5"/>
    </row>
    <row r="1579" spans="1:9" ht="17.399999999999999" x14ac:dyDescent="0.25">
      <c r="A1579" s="16"/>
      <c r="B1579" s="17"/>
      <c r="C1579" s="2"/>
      <c r="D1579" s="2"/>
      <c r="E1579" s="2"/>
      <c r="F1579" s="2"/>
      <c r="G1579" s="2"/>
      <c r="H1579" s="2"/>
      <c r="I1579" s="5"/>
    </row>
    <row r="1580" spans="1:9" ht="17.399999999999999" x14ac:dyDescent="0.25">
      <c r="A1580" s="16"/>
      <c r="B1580" s="17"/>
      <c r="C1580" s="2"/>
      <c r="D1580" s="2"/>
      <c r="E1580" s="2"/>
      <c r="F1580" s="2"/>
      <c r="G1580" s="2"/>
      <c r="H1580" s="2"/>
      <c r="I1580" s="5"/>
    </row>
    <row r="1581" spans="1:9" ht="17.399999999999999" x14ac:dyDescent="0.25">
      <c r="A1581" s="16"/>
      <c r="B1581" s="17"/>
      <c r="C1581" s="2"/>
      <c r="D1581" s="2"/>
      <c r="E1581" s="2"/>
      <c r="F1581" s="2"/>
      <c r="G1581" s="2"/>
      <c r="H1581" s="2"/>
      <c r="I1581" s="5"/>
    </row>
    <row r="1582" spans="1:9" ht="17.399999999999999" x14ac:dyDescent="0.25">
      <c r="A1582" s="16"/>
      <c r="B1582" s="17"/>
      <c r="C1582" s="2"/>
      <c r="D1582" s="2"/>
      <c r="E1582" s="2"/>
      <c r="F1582" s="2"/>
      <c r="G1582" s="2"/>
      <c r="H1582" s="2"/>
      <c r="I1582" s="5"/>
    </row>
    <row r="1583" spans="1:9" ht="17.399999999999999" x14ac:dyDescent="0.25">
      <c r="A1583" s="16"/>
      <c r="B1583" s="17"/>
      <c r="C1583" s="2"/>
      <c r="D1583" s="2"/>
      <c r="E1583" s="2"/>
      <c r="F1583" s="2"/>
      <c r="G1583" s="2"/>
      <c r="H1583" s="2"/>
      <c r="I1583" s="5"/>
    </row>
    <row r="1584" spans="1:9" ht="17.399999999999999" x14ac:dyDescent="0.25">
      <c r="A1584" s="16"/>
      <c r="B1584" s="17"/>
      <c r="C1584" s="2"/>
      <c r="D1584" s="2"/>
      <c r="E1584" s="2"/>
      <c r="F1584" s="2"/>
      <c r="G1584" s="2"/>
      <c r="H1584" s="2"/>
      <c r="I1584" s="5"/>
    </row>
    <row r="1585" spans="1:9" ht="17.399999999999999" x14ac:dyDescent="0.25">
      <c r="A1585" s="16"/>
      <c r="B1585" s="17"/>
      <c r="C1585" s="2"/>
      <c r="D1585" s="2"/>
      <c r="E1585" s="2"/>
      <c r="F1585" s="2"/>
      <c r="G1585" s="2"/>
      <c r="H1585" s="2"/>
      <c r="I1585" s="5"/>
    </row>
    <row r="1586" spans="1:9" ht="17.399999999999999" x14ac:dyDescent="0.25">
      <c r="A1586" s="16"/>
      <c r="B1586" s="17"/>
      <c r="C1586" s="2"/>
      <c r="D1586" s="2"/>
      <c r="E1586" s="2"/>
      <c r="F1586" s="2"/>
      <c r="G1586" s="2"/>
      <c r="H1586" s="2"/>
      <c r="I1586" s="5"/>
    </row>
    <row r="1587" spans="1:9" ht="17.399999999999999" x14ac:dyDescent="0.25">
      <c r="A1587" s="16"/>
      <c r="B1587" s="17"/>
      <c r="C1587" s="2"/>
      <c r="D1587" s="2"/>
      <c r="E1587" s="2"/>
      <c r="F1587" s="2"/>
      <c r="G1587" s="2"/>
      <c r="H1587" s="2"/>
      <c r="I1587" s="5"/>
    </row>
    <row r="1588" spans="1:9" ht="17.399999999999999" x14ac:dyDescent="0.25">
      <c r="A1588" s="16"/>
      <c r="B1588" s="17"/>
      <c r="C1588" s="2"/>
      <c r="D1588" s="2"/>
      <c r="E1588" s="2"/>
      <c r="F1588" s="2"/>
      <c r="G1588" s="2"/>
      <c r="H1588" s="2"/>
      <c r="I1588" s="5"/>
    </row>
    <row r="1589" spans="1:9" ht="17.399999999999999" x14ac:dyDescent="0.25">
      <c r="A1589" s="16"/>
      <c r="B1589" s="17"/>
      <c r="C1589" s="2"/>
      <c r="D1589" s="2"/>
      <c r="E1589" s="2"/>
      <c r="F1589" s="2"/>
      <c r="G1589" s="2"/>
      <c r="H1589" s="2"/>
      <c r="I1589" s="5"/>
    </row>
    <row r="1590" spans="1:9" ht="17.399999999999999" x14ac:dyDescent="0.25">
      <c r="A1590" s="16"/>
      <c r="B1590" s="17"/>
      <c r="C1590" s="2"/>
      <c r="D1590" s="2"/>
      <c r="E1590" s="2"/>
      <c r="F1590" s="2"/>
      <c r="G1590" s="2"/>
      <c r="H1590" s="2"/>
      <c r="I1590" s="5"/>
    </row>
    <row r="1591" spans="1:9" ht="17.399999999999999" x14ac:dyDescent="0.25">
      <c r="A1591" s="16"/>
      <c r="B1591" s="17"/>
      <c r="C1591" s="2"/>
      <c r="D1591" s="2"/>
      <c r="E1591" s="2"/>
      <c r="F1591" s="2"/>
      <c r="G1591" s="2"/>
      <c r="H1591" s="2"/>
      <c r="I1591" s="5"/>
    </row>
    <row r="1592" spans="1:9" ht="17.399999999999999" x14ac:dyDescent="0.25">
      <c r="A1592" s="16"/>
      <c r="B1592" s="17"/>
      <c r="C1592" s="2"/>
      <c r="D1592" s="2"/>
      <c r="E1592" s="2"/>
      <c r="F1592" s="2"/>
      <c r="G1592" s="2"/>
      <c r="H1592" s="2"/>
      <c r="I1592" s="5"/>
    </row>
    <row r="1593" spans="1:9" ht="17.399999999999999" x14ac:dyDescent="0.25">
      <c r="A1593" s="16"/>
      <c r="B1593" s="17"/>
      <c r="C1593" s="2"/>
      <c r="D1593" s="2"/>
      <c r="E1593" s="2"/>
      <c r="F1593" s="2"/>
      <c r="G1593" s="2"/>
      <c r="H1593" s="2"/>
      <c r="I1593" s="5"/>
    </row>
    <row r="1594" spans="1:9" ht="17.399999999999999" x14ac:dyDescent="0.25">
      <c r="A1594" s="16"/>
      <c r="B1594" s="17"/>
      <c r="C1594" s="2"/>
      <c r="D1594" s="2"/>
      <c r="E1594" s="2"/>
      <c r="F1594" s="2"/>
      <c r="G1594" s="2"/>
      <c r="H1594" s="2"/>
      <c r="I1594" s="5"/>
    </row>
    <row r="1595" spans="1:9" ht="17.399999999999999" x14ac:dyDescent="0.25">
      <c r="A1595" s="16"/>
      <c r="B1595" s="17"/>
      <c r="C1595" s="2"/>
      <c r="D1595" s="2"/>
      <c r="E1595" s="2"/>
      <c r="F1595" s="2"/>
      <c r="G1595" s="2"/>
      <c r="H1595" s="2"/>
      <c r="I1595" s="5"/>
    </row>
    <row r="1596" spans="1:9" ht="17.399999999999999" x14ac:dyDescent="0.25">
      <c r="A1596" s="16"/>
      <c r="B1596" s="17"/>
      <c r="C1596" s="2"/>
      <c r="D1596" s="2"/>
      <c r="E1596" s="2"/>
      <c r="F1596" s="2"/>
      <c r="G1596" s="2"/>
      <c r="H1596" s="2"/>
      <c r="I1596" s="5"/>
    </row>
    <row r="1597" spans="1:9" ht="17.399999999999999" x14ac:dyDescent="0.25">
      <c r="A1597" s="16"/>
      <c r="B1597" s="17"/>
      <c r="C1597" s="2"/>
      <c r="D1597" s="2"/>
      <c r="E1597" s="2"/>
      <c r="F1597" s="2"/>
      <c r="G1597" s="2"/>
      <c r="H1597" s="2"/>
      <c r="I1597" s="5"/>
    </row>
    <row r="1598" spans="1:9" ht="17.399999999999999" x14ac:dyDescent="0.25">
      <c r="A1598" s="16"/>
      <c r="B1598" s="17"/>
      <c r="C1598" s="2"/>
      <c r="D1598" s="2"/>
      <c r="E1598" s="2"/>
      <c r="F1598" s="2"/>
      <c r="G1598" s="2"/>
      <c r="H1598" s="2"/>
      <c r="I1598" s="5"/>
    </row>
    <row r="1599" spans="1:9" ht="17.399999999999999" x14ac:dyDescent="0.25">
      <c r="A1599" s="16"/>
      <c r="B1599" s="17"/>
      <c r="C1599" s="2"/>
      <c r="D1599" s="2"/>
      <c r="E1599" s="2"/>
      <c r="F1599" s="2"/>
      <c r="G1599" s="2"/>
      <c r="H1599" s="2"/>
      <c r="I1599" s="5"/>
    </row>
    <row r="1600" spans="1:9" ht="17.399999999999999" x14ac:dyDescent="0.25">
      <c r="A1600" s="16"/>
      <c r="B1600" s="17"/>
      <c r="C1600" s="2"/>
      <c r="D1600" s="2"/>
      <c r="E1600" s="2"/>
      <c r="F1600" s="2"/>
      <c r="G1600" s="2"/>
      <c r="H1600" s="2"/>
      <c r="I1600" s="5"/>
    </row>
    <row r="1601" spans="1:9" ht="17.399999999999999" x14ac:dyDescent="0.25">
      <c r="A1601" s="16"/>
      <c r="B1601" s="17"/>
      <c r="C1601" s="2"/>
      <c r="D1601" s="2"/>
      <c r="E1601" s="2"/>
      <c r="F1601" s="2"/>
      <c r="G1601" s="2"/>
      <c r="H1601" s="2"/>
      <c r="I1601" s="5"/>
    </row>
    <row r="1602" spans="1:9" ht="17.399999999999999" x14ac:dyDescent="0.25">
      <c r="A1602" s="16"/>
      <c r="B1602" s="17"/>
      <c r="C1602" s="2"/>
      <c r="D1602" s="2"/>
      <c r="E1602" s="2"/>
      <c r="F1602" s="2"/>
      <c r="G1602" s="2"/>
      <c r="H1602" s="2"/>
      <c r="I1602" s="5"/>
    </row>
    <row r="1603" spans="1:9" ht="17.399999999999999" x14ac:dyDescent="0.25">
      <c r="A1603" s="16"/>
      <c r="B1603" s="17"/>
      <c r="C1603" s="2"/>
      <c r="D1603" s="2"/>
      <c r="E1603" s="2"/>
      <c r="F1603" s="2"/>
      <c r="G1603" s="2"/>
      <c r="H1603" s="2"/>
      <c r="I1603" s="5"/>
    </row>
    <row r="1604" spans="1:9" ht="17.399999999999999" x14ac:dyDescent="0.25">
      <c r="A1604" s="16"/>
      <c r="B1604" s="17"/>
      <c r="C1604" s="2"/>
      <c r="D1604" s="2"/>
      <c r="E1604" s="2"/>
      <c r="F1604" s="2"/>
      <c r="G1604" s="2"/>
      <c r="H1604" s="2"/>
      <c r="I1604" s="5"/>
    </row>
    <row r="1605" spans="1:9" ht="17.399999999999999" x14ac:dyDescent="0.25">
      <c r="A1605" s="16"/>
      <c r="B1605" s="17"/>
      <c r="C1605" s="2"/>
      <c r="D1605" s="2"/>
      <c r="E1605" s="2"/>
      <c r="F1605" s="2"/>
      <c r="G1605" s="2"/>
      <c r="H1605" s="2"/>
      <c r="I1605" s="5"/>
    </row>
    <row r="1606" spans="1:9" ht="17.399999999999999" x14ac:dyDescent="0.25">
      <c r="A1606" s="16"/>
      <c r="B1606" s="17"/>
      <c r="C1606" s="2"/>
      <c r="D1606" s="2"/>
      <c r="E1606" s="2"/>
      <c r="F1606" s="2"/>
      <c r="G1606" s="2"/>
      <c r="H1606" s="2"/>
      <c r="I1606" s="5"/>
    </row>
    <row r="1607" spans="1:9" ht="17.399999999999999" x14ac:dyDescent="0.25">
      <c r="A1607" s="16"/>
      <c r="B1607" s="17"/>
      <c r="C1607" s="2"/>
      <c r="D1607" s="2"/>
      <c r="E1607" s="2"/>
      <c r="F1607" s="2"/>
      <c r="G1607" s="2"/>
      <c r="H1607" s="2"/>
      <c r="I1607" s="5"/>
    </row>
    <row r="1608" spans="1:9" ht="17.399999999999999" x14ac:dyDescent="0.25">
      <c r="A1608" s="16"/>
      <c r="B1608" s="17"/>
      <c r="C1608" s="2"/>
      <c r="D1608" s="2"/>
      <c r="E1608" s="2"/>
      <c r="F1608" s="2"/>
      <c r="G1608" s="2"/>
      <c r="H1608" s="2"/>
      <c r="I1608" s="5"/>
    </row>
    <row r="1609" spans="1:9" ht="17.399999999999999" x14ac:dyDescent="0.25">
      <c r="A1609" s="16"/>
      <c r="B1609" s="17"/>
      <c r="C1609" s="2"/>
      <c r="D1609" s="2"/>
      <c r="E1609" s="2"/>
      <c r="F1609" s="2"/>
      <c r="G1609" s="2"/>
      <c r="H1609" s="2"/>
      <c r="I1609" s="5"/>
    </row>
    <row r="1610" spans="1:9" ht="17.399999999999999" x14ac:dyDescent="0.25">
      <c r="A1610" s="16"/>
      <c r="B1610" s="17"/>
      <c r="C1610" s="2"/>
      <c r="D1610" s="2"/>
      <c r="E1610" s="2"/>
      <c r="F1610" s="2"/>
      <c r="G1610" s="2"/>
      <c r="H1610" s="2"/>
      <c r="I1610" s="5"/>
    </row>
    <row r="1611" spans="1:9" ht="17.399999999999999" x14ac:dyDescent="0.25">
      <c r="A1611" s="16"/>
      <c r="B1611" s="17"/>
      <c r="C1611" s="2"/>
      <c r="D1611" s="2"/>
      <c r="E1611" s="2"/>
      <c r="F1611" s="2"/>
      <c r="G1611" s="2"/>
      <c r="H1611" s="2"/>
      <c r="I1611" s="5"/>
    </row>
    <row r="1612" spans="1:9" ht="17.399999999999999" x14ac:dyDescent="0.25">
      <c r="A1612" s="16"/>
      <c r="B1612" s="17"/>
      <c r="C1612" s="2"/>
      <c r="D1612" s="2"/>
      <c r="E1612" s="2"/>
      <c r="F1612" s="2"/>
      <c r="G1612" s="2"/>
      <c r="H1612" s="2"/>
      <c r="I1612" s="5"/>
    </row>
    <row r="1613" spans="1:9" ht="17.399999999999999" x14ac:dyDescent="0.25">
      <c r="A1613" s="16"/>
      <c r="B1613" s="17"/>
      <c r="C1613" s="2"/>
      <c r="D1613" s="2"/>
      <c r="E1613" s="2"/>
      <c r="F1613" s="2"/>
      <c r="G1613" s="2"/>
      <c r="H1613" s="2"/>
      <c r="I1613" s="5"/>
    </row>
    <row r="1614" spans="1:9" ht="17.399999999999999" x14ac:dyDescent="0.25">
      <c r="A1614" s="16"/>
      <c r="B1614" s="17"/>
      <c r="C1614" s="2"/>
      <c r="D1614" s="2"/>
      <c r="E1614" s="2"/>
      <c r="F1614" s="2"/>
      <c r="G1614" s="2"/>
      <c r="H1614" s="2"/>
      <c r="I1614" s="5"/>
    </row>
    <row r="1615" spans="1:9" ht="17.399999999999999" x14ac:dyDescent="0.25">
      <c r="A1615" s="16"/>
      <c r="B1615" s="17"/>
      <c r="C1615" s="2"/>
      <c r="D1615" s="2"/>
      <c r="E1615" s="2"/>
      <c r="F1615" s="2"/>
      <c r="G1615" s="2"/>
      <c r="H1615" s="2"/>
      <c r="I1615" s="5"/>
    </row>
    <row r="1616" spans="1:9" ht="17.399999999999999" x14ac:dyDescent="0.25">
      <c r="A1616" s="16"/>
      <c r="B1616" s="17"/>
      <c r="C1616" s="2"/>
      <c r="D1616" s="2"/>
      <c r="E1616" s="2"/>
      <c r="F1616" s="2"/>
      <c r="G1616" s="2"/>
      <c r="H1616" s="2"/>
      <c r="I1616" s="5"/>
    </row>
    <row r="1617" spans="1:9" ht="17.399999999999999" x14ac:dyDescent="0.25">
      <c r="A1617" s="16"/>
      <c r="B1617" s="17"/>
      <c r="C1617" s="2"/>
      <c r="D1617" s="2"/>
      <c r="E1617" s="2"/>
      <c r="F1617" s="2"/>
      <c r="G1617" s="2"/>
      <c r="H1617" s="2"/>
      <c r="I1617" s="5"/>
    </row>
    <row r="1618" spans="1:9" ht="17.399999999999999" x14ac:dyDescent="0.25">
      <c r="A1618" s="16"/>
      <c r="B1618" s="17"/>
      <c r="C1618" s="2"/>
      <c r="D1618" s="2"/>
      <c r="E1618" s="2"/>
      <c r="F1618" s="2"/>
      <c r="G1618" s="2"/>
      <c r="H1618" s="2"/>
      <c r="I1618" s="5"/>
    </row>
    <row r="1619" spans="1:9" ht="17.399999999999999" x14ac:dyDescent="0.25">
      <c r="A1619" s="16"/>
      <c r="B1619" s="17"/>
      <c r="C1619" s="2"/>
      <c r="D1619" s="2"/>
      <c r="E1619" s="2"/>
      <c r="F1619" s="2"/>
      <c r="G1619" s="2"/>
      <c r="H1619" s="2"/>
      <c r="I1619" s="5"/>
    </row>
    <row r="1620" spans="1:9" ht="17.399999999999999" x14ac:dyDescent="0.25">
      <c r="A1620" s="16"/>
      <c r="B1620" s="17"/>
      <c r="C1620" s="2"/>
      <c r="D1620" s="2"/>
      <c r="E1620" s="2"/>
      <c r="F1620" s="2"/>
      <c r="G1620" s="2"/>
      <c r="H1620" s="2"/>
      <c r="I1620" s="5"/>
    </row>
    <row r="1621" spans="1:9" ht="17.399999999999999" x14ac:dyDescent="0.25">
      <c r="A1621" s="16"/>
      <c r="B1621" s="17"/>
      <c r="C1621" s="2"/>
      <c r="D1621" s="2"/>
      <c r="E1621" s="2"/>
      <c r="F1621" s="2"/>
      <c r="G1621" s="2"/>
      <c r="H1621" s="2"/>
      <c r="I1621" s="5"/>
    </row>
    <row r="1622" spans="1:9" ht="17.399999999999999" x14ac:dyDescent="0.25">
      <c r="A1622" s="16"/>
      <c r="B1622" s="17"/>
      <c r="C1622" s="2"/>
      <c r="D1622" s="2"/>
      <c r="E1622" s="2"/>
      <c r="F1622" s="2"/>
      <c r="G1622" s="2"/>
      <c r="H1622" s="2"/>
      <c r="I1622" s="5"/>
    </row>
    <row r="1623" spans="1:9" ht="17.399999999999999" x14ac:dyDescent="0.25">
      <c r="A1623" s="16"/>
      <c r="B1623" s="17"/>
      <c r="C1623" s="2"/>
      <c r="D1623" s="2"/>
      <c r="E1623" s="2"/>
      <c r="F1623" s="2"/>
      <c r="G1623" s="2"/>
      <c r="H1623" s="2"/>
      <c r="I1623" s="5"/>
    </row>
    <row r="1624" spans="1:9" ht="17.399999999999999" x14ac:dyDescent="0.25">
      <c r="A1624" s="16"/>
      <c r="B1624" s="17"/>
      <c r="C1624" s="2"/>
      <c r="D1624" s="2"/>
      <c r="E1624" s="2"/>
      <c r="F1624" s="2"/>
      <c r="G1624" s="2"/>
      <c r="H1624" s="2"/>
      <c r="I1624" s="5"/>
    </row>
    <row r="1625" spans="1:9" ht="17.399999999999999" x14ac:dyDescent="0.25">
      <c r="A1625" s="16"/>
      <c r="B1625" s="17"/>
      <c r="C1625" s="2"/>
      <c r="D1625" s="2"/>
      <c r="E1625" s="2"/>
      <c r="F1625" s="2"/>
      <c r="G1625" s="2"/>
      <c r="H1625" s="2"/>
      <c r="I1625" s="5"/>
    </row>
    <row r="1626" spans="1:9" ht="17.399999999999999" x14ac:dyDescent="0.25">
      <c r="A1626" s="16"/>
      <c r="B1626" s="17"/>
      <c r="C1626" s="2"/>
      <c r="D1626" s="2"/>
      <c r="E1626" s="2"/>
      <c r="F1626" s="2"/>
      <c r="G1626" s="2"/>
      <c r="H1626" s="2"/>
      <c r="I1626" s="5"/>
    </row>
    <row r="1627" spans="1:9" ht="17.399999999999999" x14ac:dyDescent="0.25">
      <c r="A1627" s="16"/>
      <c r="B1627" s="17"/>
      <c r="C1627" s="2"/>
      <c r="D1627" s="2"/>
      <c r="E1627" s="2"/>
      <c r="F1627" s="2"/>
      <c r="G1627" s="2"/>
      <c r="H1627" s="2"/>
      <c r="I1627" s="5"/>
    </row>
    <row r="1628" spans="1:9" ht="17.399999999999999" x14ac:dyDescent="0.25">
      <c r="A1628" s="16"/>
      <c r="B1628" s="17"/>
      <c r="C1628" s="2"/>
      <c r="D1628" s="2"/>
      <c r="E1628" s="2"/>
      <c r="F1628" s="2"/>
      <c r="G1628" s="2"/>
      <c r="H1628" s="2"/>
      <c r="I1628" s="5"/>
    </row>
    <row r="1629" spans="1:9" ht="17.399999999999999" x14ac:dyDescent="0.25">
      <c r="A1629" s="16"/>
      <c r="B1629" s="17"/>
      <c r="C1629" s="2"/>
      <c r="D1629" s="2"/>
      <c r="E1629" s="2"/>
      <c r="F1629" s="2"/>
      <c r="G1629" s="2"/>
      <c r="H1629" s="2"/>
      <c r="I1629" s="5"/>
    </row>
    <row r="1630" spans="1:9" ht="17.399999999999999" x14ac:dyDescent="0.25">
      <c r="A1630" s="16"/>
      <c r="B1630" s="17"/>
      <c r="C1630" s="2"/>
      <c r="D1630" s="2"/>
      <c r="E1630" s="2"/>
      <c r="F1630" s="2"/>
      <c r="G1630" s="2"/>
      <c r="H1630" s="2"/>
      <c r="I1630" s="5"/>
    </row>
    <row r="1631" spans="1:9" ht="17.399999999999999" x14ac:dyDescent="0.25">
      <c r="A1631" s="16"/>
      <c r="B1631" s="17"/>
      <c r="C1631" s="2"/>
      <c r="D1631" s="2"/>
      <c r="E1631" s="2"/>
      <c r="F1631" s="2"/>
      <c r="G1631" s="2"/>
      <c r="H1631" s="2"/>
      <c r="I1631" s="5"/>
    </row>
    <row r="1632" spans="1:9" ht="17.399999999999999" x14ac:dyDescent="0.25">
      <c r="A1632" s="16"/>
      <c r="B1632" s="17"/>
      <c r="C1632" s="2"/>
      <c r="D1632" s="2"/>
      <c r="E1632" s="2"/>
      <c r="F1632" s="2"/>
      <c r="G1632" s="2"/>
      <c r="H1632" s="2"/>
      <c r="I1632" s="5"/>
    </row>
    <row r="1633" spans="1:9" ht="17.399999999999999" x14ac:dyDescent="0.25">
      <c r="A1633" s="16"/>
      <c r="B1633" s="17"/>
      <c r="C1633" s="2"/>
      <c r="D1633" s="2"/>
      <c r="E1633" s="2"/>
      <c r="F1633" s="2"/>
      <c r="G1633" s="2"/>
      <c r="H1633" s="2"/>
      <c r="I1633" s="5"/>
    </row>
    <row r="1634" spans="1:9" ht="17.399999999999999" x14ac:dyDescent="0.25">
      <c r="A1634" s="16"/>
      <c r="B1634" s="17"/>
      <c r="C1634" s="2"/>
      <c r="D1634" s="2"/>
      <c r="E1634" s="2"/>
      <c r="F1634" s="2"/>
      <c r="G1634" s="2"/>
      <c r="H1634" s="2"/>
      <c r="I1634" s="5"/>
    </row>
    <row r="1635" spans="1:9" ht="17.399999999999999" x14ac:dyDescent="0.25">
      <c r="A1635" s="16"/>
      <c r="B1635" s="17"/>
      <c r="C1635" s="2"/>
      <c r="D1635" s="2"/>
      <c r="E1635" s="2"/>
      <c r="F1635" s="2"/>
      <c r="G1635" s="2"/>
      <c r="H1635" s="2"/>
      <c r="I1635" s="5"/>
    </row>
    <row r="1636" spans="1:9" ht="17.399999999999999" x14ac:dyDescent="0.25">
      <c r="A1636" s="16"/>
      <c r="B1636" s="17"/>
      <c r="C1636" s="2"/>
      <c r="D1636" s="2"/>
      <c r="E1636" s="2"/>
      <c r="F1636" s="2"/>
      <c r="G1636" s="2"/>
      <c r="H1636" s="2"/>
      <c r="I1636" s="5"/>
    </row>
    <row r="1637" spans="1:9" ht="17.399999999999999" x14ac:dyDescent="0.25">
      <c r="A1637" s="16"/>
      <c r="B1637" s="17"/>
      <c r="C1637" s="2"/>
      <c r="D1637" s="2"/>
      <c r="E1637" s="2"/>
      <c r="F1637" s="2"/>
      <c r="G1637" s="2"/>
      <c r="H1637" s="2"/>
      <c r="I1637" s="5"/>
    </row>
    <row r="1638" spans="1:9" ht="17.399999999999999" x14ac:dyDescent="0.25">
      <c r="A1638" s="16"/>
      <c r="B1638" s="17"/>
      <c r="C1638" s="2"/>
      <c r="D1638" s="2"/>
      <c r="E1638" s="2"/>
      <c r="F1638" s="2"/>
      <c r="G1638" s="2"/>
      <c r="H1638" s="2"/>
      <c r="I1638" s="5"/>
    </row>
    <row r="1639" spans="1:9" ht="17.399999999999999" x14ac:dyDescent="0.25">
      <c r="A1639" s="16"/>
      <c r="B1639" s="17"/>
      <c r="C1639" s="2"/>
      <c r="D1639" s="2"/>
      <c r="E1639" s="2"/>
      <c r="F1639" s="2"/>
      <c r="G1639" s="2"/>
      <c r="H1639" s="2"/>
      <c r="I1639" s="5"/>
    </row>
    <row r="1640" spans="1:9" ht="17.399999999999999" x14ac:dyDescent="0.25">
      <c r="A1640" s="16"/>
      <c r="B1640" s="17"/>
      <c r="C1640" s="2"/>
      <c r="D1640" s="2"/>
      <c r="E1640" s="2"/>
      <c r="F1640" s="2"/>
      <c r="G1640" s="2"/>
      <c r="H1640" s="2"/>
      <c r="I1640" s="5"/>
    </row>
    <row r="1641" spans="1:9" ht="17.399999999999999" x14ac:dyDescent="0.25">
      <c r="A1641" s="16"/>
      <c r="B1641" s="17"/>
      <c r="C1641" s="2"/>
      <c r="D1641" s="2"/>
      <c r="E1641" s="2"/>
      <c r="F1641" s="2"/>
      <c r="G1641" s="2"/>
      <c r="H1641" s="2"/>
      <c r="I1641" s="5"/>
    </row>
    <row r="1642" spans="1:9" ht="17.399999999999999" x14ac:dyDescent="0.25">
      <c r="A1642" s="16"/>
      <c r="B1642" s="17"/>
      <c r="C1642" s="2"/>
      <c r="D1642" s="2"/>
      <c r="E1642" s="2"/>
      <c r="F1642" s="2"/>
      <c r="G1642" s="2"/>
      <c r="H1642" s="2"/>
      <c r="I1642" s="5"/>
    </row>
    <row r="1643" spans="1:9" ht="17.399999999999999" x14ac:dyDescent="0.25">
      <c r="A1643" s="16"/>
      <c r="B1643" s="17"/>
      <c r="C1643" s="2"/>
      <c r="D1643" s="2"/>
      <c r="E1643" s="2"/>
      <c r="F1643" s="2"/>
      <c r="G1643" s="2"/>
      <c r="H1643" s="2"/>
      <c r="I1643" s="5"/>
    </row>
    <row r="1644" spans="1:9" ht="17.399999999999999" x14ac:dyDescent="0.25">
      <c r="A1644" s="16"/>
      <c r="B1644" s="17"/>
      <c r="C1644" s="2"/>
      <c r="D1644" s="2"/>
      <c r="E1644" s="2"/>
      <c r="F1644" s="2"/>
      <c r="G1644" s="2"/>
      <c r="H1644" s="2"/>
      <c r="I1644" s="5"/>
    </row>
    <row r="1645" spans="1:9" ht="17.399999999999999" x14ac:dyDescent="0.25">
      <c r="A1645" s="16"/>
      <c r="B1645" s="17"/>
      <c r="C1645" s="2"/>
      <c r="D1645" s="2"/>
      <c r="E1645" s="2"/>
      <c r="F1645" s="2"/>
      <c r="G1645" s="2"/>
      <c r="H1645" s="2"/>
      <c r="I1645" s="5"/>
    </row>
    <row r="1646" spans="1:9" ht="17.399999999999999" x14ac:dyDescent="0.25">
      <c r="A1646" s="16"/>
      <c r="B1646" s="17"/>
      <c r="C1646" s="2"/>
      <c r="D1646" s="2"/>
      <c r="E1646" s="2"/>
      <c r="F1646" s="2"/>
      <c r="G1646" s="2"/>
      <c r="H1646" s="2"/>
      <c r="I1646" s="5"/>
    </row>
    <row r="1647" spans="1:9" ht="17.399999999999999" x14ac:dyDescent="0.25">
      <c r="A1647" s="16"/>
      <c r="B1647" s="17"/>
      <c r="C1647" s="2"/>
      <c r="D1647" s="2"/>
      <c r="E1647" s="2"/>
      <c r="F1647" s="2"/>
      <c r="G1647" s="2"/>
      <c r="H1647" s="2"/>
      <c r="I1647" s="5"/>
    </row>
    <row r="1648" spans="1:9" ht="17.399999999999999" x14ac:dyDescent="0.25">
      <c r="A1648" s="16"/>
      <c r="B1648" s="17"/>
      <c r="C1648" s="2"/>
      <c r="D1648" s="2"/>
      <c r="E1648" s="2"/>
      <c r="F1648" s="2"/>
      <c r="G1648" s="2"/>
      <c r="H1648" s="2"/>
      <c r="I1648" s="5"/>
    </row>
    <row r="1649" spans="1:9" ht="17.399999999999999" x14ac:dyDescent="0.25">
      <c r="A1649" s="16"/>
      <c r="B1649" s="17"/>
      <c r="C1649" s="2"/>
      <c r="D1649" s="2"/>
      <c r="E1649" s="2"/>
      <c r="F1649" s="2"/>
      <c r="G1649" s="2"/>
      <c r="H1649" s="2"/>
      <c r="I1649" s="5"/>
    </row>
    <row r="1650" spans="1:9" ht="17.399999999999999" x14ac:dyDescent="0.25">
      <c r="A1650" s="16"/>
      <c r="B1650" s="17"/>
      <c r="C1650" s="2"/>
      <c r="D1650" s="2"/>
      <c r="E1650" s="2"/>
      <c r="F1650" s="2"/>
      <c r="G1650" s="2"/>
      <c r="H1650" s="2"/>
      <c r="I1650" s="5"/>
    </row>
    <row r="1651" spans="1:9" ht="17.399999999999999" x14ac:dyDescent="0.25">
      <c r="A1651" s="16"/>
      <c r="B1651" s="17"/>
      <c r="C1651" s="2"/>
      <c r="D1651" s="2"/>
      <c r="E1651" s="2"/>
      <c r="F1651" s="2"/>
      <c r="G1651" s="2"/>
      <c r="H1651" s="2"/>
      <c r="I1651" s="5"/>
    </row>
    <row r="1652" spans="1:9" ht="17.399999999999999" x14ac:dyDescent="0.25">
      <c r="A1652" s="16"/>
      <c r="B1652" s="17"/>
      <c r="C1652" s="2"/>
      <c r="D1652" s="2"/>
      <c r="E1652" s="2"/>
      <c r="F1652" s="2"/>
      <c r="G1652" s="2"/>
      <c r="H1652" s="2"/>
      <c r="I1652" s="5"/>
    </row>
    <row r="1653" spans="1:9" ht="17.399999999999999" x14ac:dyDescent="0.25">
      <c r="A1653" s="16"/>
      <c r="B1653" s="17"/>
      <c r="C1653" s="2"/>
      <c r="D1653" s="2"/>
      <c r="E1653" s="2"/>
      <c r="F1653" s="2"/>
      <c r="G1653" s="2"/>
      <c r="H1653" s="2"/>
      <c r="I1653" s="5"/>
    </row>
    <row r="1654" spans="1:9" ht="17.399999999999999" x14ac:dyDescent="0.25">
      <c r="A1654" s="16"/>
      <c r="B1654" s="17"/>
      <c r="C1654" s="2"/>
      <c r="D1654" s="2"/>
      <c r="E1654" s="2"/>
      <c r="F1654" s="2"/>
      <c r="G1654" s="2"/>
      <c r="H1654" s="2"/>
      <c r="I1654" s="5"/>
    </row>
    <row r="1655" spans="1:9" ht="17.399999999999999" x14ac:dyDescent="0.25">
      <c r="A1655" s="16"/>
      <c r="B1655" s="17"/>
      <c r="C1655" s="2"/>
      <c r="D1655" s="2"/>
      <c r="E1655" s="2"/>
      <c r="F1655" s="2"/>
      <c r="G1655" s="2"/>
      <c r="H1655" s="2"/>
      <c r="I1655" s="5"/>
    </row>
    <row r="1656" spans="1:9" ht="17.399999999999999" x14ac:dyDescent="0.25">
      <c r="A1656" s="16"/>
      <c r="B1656" s="17"/>
      <c r="C1656" s="2"/>
      <c r="D1656" s="2"/>
      <c r="E1656" s="2"/>
      <c r="F1656" s="2"/>
      <c r="G1656" s="2"/>
      <c r="H1656" s="2"/>
      <c r="I1656" s="5"/>
    </row>
    <row r="1657" spans="1:9" ht="17.399999999999999" x14ac:dyDescent="0.25">
      <c r="A1657" s="16"/>
      <c r="B1657" s="17"/>
      <c r="C1657" s="2"/>
      <c r="D1657" s="2"/>
      <c r="E1657" s="2"/>
      <c r="F1657" s="2"/>
      <c r="G1657" s="2"/>
      <c r="H1657" s="2"/>
      <c r="I1657" s="5"/>
    </row>
    <row r="1658" spans="1:9" ht="17.399999999999999" x14ac:dyDescent="0.25">
      <c r="A1658" s="16"/>
      <c r="B1658" s="17"/>
      <c r="C1658" s="2"/>
      <c r="D1658" s="2"/>
      <c r="E1658" s="2"/>
      <c r="F1658" s="2"/>
      <c r="G1658" s="2"/>
      <c r="H1658" s="2"/>
      <c r="I1658" s="5"/>
    </row>
    <row r="1659" spans="1:9" ht="17.399999999999999" x14ac:dyDescent="0.25">
      <c r="A1659" s="16"/>
      <c r="B1659" s="17"/>
      <c r="C1659" s="2"/>
      <c r="D1659" s="2"/>
      <c r="E1659" s="2"/>
      <c r="F1659" s="2"/>
      <c r="G1659" s="2"/>
      <c r="H1659" s="2"/>
      <c r="I1659" s="5"/>
    </row>
    <row r="1660" spans="1:9" ht="17.399999999999999" x14ac:dyDescent="0.25">
      <c r="A1660" s="16"/>
      <c r="B1660" s="17"/>
      <c r="C1660" s="2"/>
      <c r="D1660" s="2"/>
      <c r="E1660" s="2"/>
      <c r="F1660" s="2"/>
      <c r="G1660" s="2"/>
      <c r="H1660" s="2"/>
      <c r="I1660" s="5"/>
    </row>
    <row r="1661" spans="1:9" ht="17.399999999999999" x14ac:dyDescent="0.25">
      <c r="A1661" s="16"/>
      <c r="B1661" s="17"/>
      <c r="C1661" s="2"/>
      <c r="D1661" s="2"/>
      <c r="E1661" s="2"/>
      <c r="F1661" s="2"/>
      <c r="G1661" s="2"/>
      <c r="H1661" s="2"/>
      <c r="I1661" s="5"/>
    </row>
    <row r="1662" spans="1:9" ht="17.399999999999999" x14ac:dyDescent="0.25">
      <c r="A1662" s="16"/>
      <c r="B1662" s="17"/>
      <c r="C1662" s="2"/>
      <c r="D1662" s="2"/>
      <c r="E1662" s="2"/>
      <c r="F1662" s="2"/>
      <c r="G1662" s="2"/>
      <c r="H1662" s="2"/>
      <c r="I1662" s="5"/>
    </row>
    <row r="1663" spans="1:9" ht="17.399999999999999" x14ac:dyDescent="0.25">
      <c r="A1663" s="16"/>
      <c r="B1663" s="17"/>
      <c r="C1663" s="2"/>
      <c r="D1663" s="2"/>
      <c r="E1663" s="2"/>
      <c r="F1663" s="2"/>
      <c r="G1663" s="2"/>
      <c r="H1663" s="2"/>
      <c r="I1663" s="5"/>
    </row>
    <row r="1664" spans="1:9" ht="17.399999999999999" x14ac:dyDescent="0.25">
      <c r="A1664" s="16"/>
      <c r="B1664" s="17"/>
      <c r="C1664" s="2"/>
      <c r="D1664" s="2"/>
      <c r="E1664" s="2"/>
      <c r="F1664" s="2"/>
      <c r="G1664" s="2"/>
      <c r="H1664" s="2"/>
      <c r="I1664" s="5"/>
    </row>
    <row r="1665" spans="1:9" ht="17.399999999999999" x14ac:dyDescent="0.25">
      <c r="A1665" s="16"/>
      <c r="B1665" s="17"/>
      <c r="C1665" s="2"/>
      <c r="D1665" s="2"/>
      <c r="E1665" s="2"/>
      <c r="F1665" s="2"/>
      <c r="G1665" s="2"/>
      <c r="H1665" s="2"/>
      <c r="I1665" s="5"/>
    </row>
    <row r="1666" spans="1:9" ht="17.399999999999999" x14ac:dyDescent="0.25">
      <c r="A1666" s="16"/>
      <c r="B1666" s="17"/>
      <c r="C1666" s="2"/>
      <c r="D1666" s="2"/>
      <c r="E1666" s="2"/>
      <c r="F1666" s="2"/>
      <c r="G1666" s="2"/>
      <c r="H1666" s="2"/>
      <c r="I1666" s="5"/>
    </row>
    <row r="1667" spans="1:9" ht="17.399999999999999" x14ac:dyDescent="0.25">
      <c r="A1667" s="16"/>
      <c r="B1667" s="17"/>
      <c r="C1667" s="2"/>
      <c r="D1667" s="2"/>
      <c r="E1667" s="2"/>
      <c r="F1667" s="2"/>
      <c r="G1667" s="2"/>
      <c r="H1667" s="2"/>
      <c r="I1667" s="5"/>
    </row>
    <row r="1668" spans="1:9" ht="17.399999999999999" x14ac:dyDescent="0.25">
      <c r="A1668" s="16"/>
      <c r="B1668" s="17"/>
      <c r="C1668" s="2"/>
      <c r="D1668" s="2"/>
      <c r="E1668" s="2"/>
      <c r="F1668" s="2"/>
      <c r="G1668" s="2"/>
      <c r="H1668" s="2"/>
      <c r="I1668" s="5"/>
    </row>
    <row r="1669" spans="1:9" ht="17.399999999999999" x14ac:dyDescent="0.25">
      <c r="A1669" s="16"/>
      <c r="B1669" s="17"/>
      <c r="C1669" s="2"/>
      <c r="D1669" s="2"/>
      <c r="E1669" s="2"/>
      <c r="F1669" s="2"/>
      <c r="G1669" s="2"/>
      <c r="H1669" s="2"/>
      <c r="I1669" s="5"/>
    </row>
    <row r="1670" spans="1:9" ht="17.399999999999999" x14ac:dyDescent="0.25">
      <c r="A1670" s="16"/>
      <c r="B1670" s="17"/>
      <c r="C1670" s="2"/>
      <c r="D1670" s="2"/>
      <c r="E1670" s="2"/>
      <c r="F1670" s="2"/>
      <c r="G1670" s="2"/>
      <c r="H1670" s="2"/>
      <c r="I1670" s="5"/>
    </row>
    <row r="1671" spans="1:9" ht="17.399999999999999" x14ac:dyDescent="0.25">
      <c r="A1671" s="16"/>
      <c r="B1671" s="17"/>
      <c r="C1671" s="2"/>
      <c r="D1671" s="2"/>
      <c r="E1671" s="2"/>
      <c r="F1671" s="2"/>
      <c r="G1671" s="2"/>
      <c r="H1671" s="2"/>
      <c r="I1671" s="5"/>
    </row>
    <row r="1672" spans="1:9" ht="17.399999999999999" x14ac:dyDescent="0.25">
      <c r="A1672" s="16"/>
      <c r="B1672" s="17"/>
      <c r="C1672" s="2"/>
      <c r="D1672" s="2"/>
      <c r="E1672" s="2"/>
      <c r="F1672" s="2"/>
      <c r="G1672" s="2"/>
      <c r="H1672" s="2"/>
      <c r="I1672" s="5"/>
    </row>
    <row r="1673" spans="1:9" ht="17.399999999999999" x14ac:dyDescent="0.25">
      <c r="A1673" s="16"/>
      <c r="B1673" s="17"/>
      <c r="C1673" s="2"/>
      <c r="D1673" s="2"/>
      <c r="E1673" s="2"/>
      <c r="F1673" s="2"/>
      <c r="G1673" s="2"/>
      <c r="H1673" s="2"/>
      <c r="I1673" s="5"/>
    </row>
    <row r="1674" spans="1:9" ht="17.399999999999999" x14ac:dyDescent="0.25">
      <c r="A1674" s="16"/>
      <c r="B1674" s="17"/>
      <c r="C1674" s="2"/>
      <c r="D1674" s="2"/>
      <c r="E1674" s="2"/>
      <c r="F1674" s="2"/>
      <c r="G1674" s="2"/>
      <c r="H1674" s="2"/>
      <c r="I1674" s="5"/>
    </row>
    <row r="1675" spans="1:9" ht="17.399999999999999" x14ac:dyDescent="0.25">
      <c r="A1675" s="16"/>
      <c r="B1675" s="17"/>
      <c r="C1675" s="2"/>
      <c r="D1675" s="2"/>
      <c r="E1675" s="2"/>
      <c r="F1675" s="2"/>
      <c r="G1675" s="2"/>
      <c r="H1675" s="2"/>
      <c r="I1675" s="5"/>
    </row>
    <row r="1676" spans="1:9" ht="17.399999999999999" x14ac:dyDescent="0.25">
      <c r="A1676" s="16"/>
      <c r="B1676" s="17"/>
      <c r="C1676" s="2"/>
      <c r="D1676" s="2"/>
      <c r="E1676" s="2"/>
      <c r="F1676" s="2"/>
      <c r="G1676" s="2"/>
      <c r="H1676" s="2"/>
      <c r="I1676" s="5"/>
    </row>
    <row r="1677" spans="1:9" ht="17.399999999999999" x14ac:dyDescent="0.25">
      <c r="A1677" s="16"/>
      <c r="B1677" s="17"/>
      <c r="C1677" s="2"/>
      <c r="D1677" s="2"/>
      <c r="E1677" s="2"/>
      <c r="F1677" s="2"/>
      <c r="G1677" s="2"/>
      <c r="H1677" s="2"/>
      <c r="I1677" s="5"/>
    </row>
    <row r="1678" spans="1:9" ht="17.399999999999999" x14ac:dyDescent="0.25">
      <c r="A1678" s="16"/>
      <c r="B1678" s="17"/>
      <c r="C1678" s="2"/>
      <c r="D1678" s="2"/>
      <c r="E1678" s="2"/>
      <c r="F1678" s="2"/>
      <c r="G1678" s="2"/>
      <c r="H1678" s="2"/>
      <c r="I1678" s="5"/>
    </row>
    <row r="1679" spans="1:9" ht="17.399999999999999" x14ac:dyDescent="0.25">
      <c r="A1679" s="16"/>
      <c r="B1679" s="17"/>
      <c r="C1679" s="2"/>
      <c r="D1679" s="2"/>
      <c r="E1679" s="2"/>
      <c r="F1679" s="2"/>
      <c r="G1679" s="2"/>
      <c r="H1679" s="2"/>
      <c r="I1679" s="5"/>
    </row>
    <row r="1680" spans="1:9" ht="17.399999999999999" x14ac:dyDescent="0.25">
      <c r="A1680" s="16"/>
      <c r="B1680" s="17"/>
      <c r="C1680" s="2"/>
      <c r="D1680" s="2"/>
      <c r="E1680" s="2"/>
      <c r="F1680" s="2"/>
      <c r="G1680" s="2"/>
      <c r="H1680" s="2"/>
      <c r="I1680" s="5"/>
    </row>
    <row r="1681" spans="1:9" ht="17.399999999999999" x14ac:dyDescent="0.25">
      <c r="A1681" s="16"/>
      <c r="B1681" s="17"/>
      <c r="C1681" s="2"/>
      <c r="D1681" s="2"/>
      <c r="E1681" s="2"/>
      <c r="F1681" s="2"/>
      <c r="G1681" s="2"/>
      <c r="H1681" s="2"/>
      <c r="I1681" s="5"/>
    </row>
    <row r="1682" spans="1:9" ht="17.399999999999999" x14ac:dyDescent="0.25">
      <c r="A1682" s="16"/>
      <c r="B1682" s="17"/>
      <c r="C1682" s="2"/>
      <c r="D1682" s="2"/>
      <c r="E1682" s="2"/>
      <c r="F1682" s="2"/>
      <c r="G1682" s="2"/>
      <c r="H1682" s="2"/>
      <c r="I1682" s="5"/>
    </row>
    <row r="1683" spans="1:9" ht="17.399999999999999" x14ac:dyDescent="0.25">
      <c r="A1683" s="16"/>
      <c r="B1683" s="17"/>
      <c r="C1683" s="2"/>
      <c r="D1683" s="2"/>
      <c r="E1683" s="2"/>
      <c r="F1683" s="2"/>
      <c r="G1683" s="2"/>
      <c r="H1683" s="2"/>
      <c r="I1683" s="5"/>
    </row>
    <row r="1684" spans="1:9" ht="17.399999999999999" x14ac:dyDescent="0.25">
      <c r="A1684" s="16"/>
      <c r="B1684" s="17"/>
      <c r="C1684" s="2"/>
      <c r="D1684" s="2"/>
      <c r="E1684" s="2"/>
      <c r="F1684" s="2"/>
      <c r="G1684" s="2"/>
      <c r="H1684" s="2"/>
      <c r="I1684" s="5"/>
    </row>
    <row r="1685" spans="1:9" ht="17.399999999999999" x14ac:dyDescent="0.25">
      <c r="A1685" s="16"/>
      <c r="B1685" s="17"/>
      <c r="C1685" s="2"/>
      <c r="D1685" s="2"/>
      <c r="E1685" s="2"/>
      <c r="F1685" s="2"/>
      <c r="G1685" s="2"/>
      <c r="H1685" s="2"/>
      <c r="I1685" s="5"/>
    </row>
    <row r="1686" spans="1:9" ht="17.399999999999999" x14ac:dyDescent="0.25">
      <c r="A1686" s="16"/>
      <c r="B1686" s="17"/>
      <c r="C1686" s="2"/>
      <c r="D1686" s="2"/>
      <c r="E1686" s="2"/>
      <c r="F1686" s="2"/>
      <c r="G1686" s="2"/>
      <c r="H1686" s="2"/>
      <c r="I1686" s="5"/>
    </row>
    <row r="1687" spans="1:9" ht="17.399999999999999" x14ac:dyDescent="0.25">
      <c r="A1687" s="16"/>
      <c r="B1687" s="17"/>
      <c r="C1687" s="2"/>
      <c r="D1687" s="2"/>
      <c r="E1687" s="2"/>
      <c r="F1687" s="2"/>
      <c r="G1687" s="2"/>
      <c r="H1687" s="2"/>
      <c r="I1687" s="5"/>
    </row>
    <row r="1688" spans="1:9" ht="17.399999999999999" x14ac:dyDescent="0.25">
      <c r="A1688" s="16"/>
      <c r="B1688" s="17"/>
      <c r="C1688" s="2"/>
      <c r="D1688" s="2"/>
      <c r="E1688" s="2"/>
      <c r="F1688" s="2"/>
      <c r="G1688" s="2"/>
      <c r="H1688" s="2"/>
      <c r="I1688" s="5"/>
    </row>
    <row r="1689" spans="1:9" ht="17.399999999999999" x14ac:dyDescent="0.25">
      <c r="A1689" s="16"/>
      <c r="B1689" s="17"/>
      <c r="C1689" s="2"/>
      <c r="D1689" s="2"/>
      <c r="E1689" s="2"/>
      <c r="F1689" s="2"/>
      <c r="G1689" s="2"/>
      <c r="H1689" s="2"/>
      <c r="I1689" s="5"/>
    </row>
    <row r="1690" spans="1:9" ht="17.399999999999999" x14ac:dyDescent="0.25">
      <c r="A1690" s="16"/>
      <c r="B1690" s="17"/>
      <c r="C1690" s="2"/>
      <c r="D1690" s="2"/>
      <c r="E1690" s="2"/>
      <c r="F1690" s="2"/>
      <c r="G1690" s="2"/>
      <c r="H1690" s="2"/>
      <c r="I1690" s="5"/>
    </row>
    <row r="1691" spans="1:9" ht="17.399999999999999" x14ac:dyDescent="0.25">
      <c r="A1691" s="16"/>
      <c r="B1691" s="17"/>
      <c r="C1691" s="2"/>
      <c r="D1691" s="2"/>
      <c r="E1691" s="2"/>
      <c r="F1691" s="2"/>
      <c r="G1691" s="2"/>
      <c r="H1691" s="2"/>
      <c r="I1691" s="5"/>
    </row>
    <row r="1692" spans="1:9" ht="17.399999999999999" x14ac:dyDescent="0.25">
      <c r="A1692" s="16"/>
      <c r="B1692" s="17"/>
      <c r="C1692" s="2"/>
      <c r="D1692" s="2"/>
      <c r="E1692" s="2"/>
      <c r="F1692" s="2"/>
      <c r="G1692" s="2"/>
      <c r="H1692" s="2"/>
      <c r="I1692" s="5"/>
    </row>
    <row r="1693" spans="1:9" ht="17.399999999999999" x14ac:dyDescent="0.25">
      <c r="A1693" s="16"/>
      <c r="B1693" s="17"/>
      <c r="C1693" s="2"/>
      <c r="D1693" s="2"/>
      <c r="E1693" s="2"/>
      <c r="F1693" s="2"/>
      <c r="G1693" s="2"/>
      <c r="H1693" s="2"/>
      <c r="I1693" s="5"/>
    </row>
    <row r="1694" spans="1:9" ht="17.399999999999999" x14ac:dyDescent="0.25">
      <c r="A1694" s="16"/>
      <c r="B1694" s="17"/>
      <c r="C1694" s="2"/>
      <c r="D1694" s="2"/>
      <c r="E1694" s="2"/>
      <c r="F1694" s="2"/>
      <c r="G1694" s="2"/>
      <c r="H1694" s="2"/>
      <c r="I1694" s="5"/>
    </row>
    <row r="1695" spans="1:9" ht="17.399999999999999" x14ac:dyDescent="0.25">
      <c r="A1695" s="16"/>
      <c r="B1695" s="17"/>
      <c r="C1695" s="2"/>
      <c r="D1695" s="2"/>
      <c r="E1695" s="2"/>
      <c r="F1695" s="2"/>
      <c r="G1695" s="2"/>
      <c r="H1695" s="2"/>
      <c r="I1695" s="5"/>
    </row>
    <row r="1696" spans="1:9" ht="17.399999999999999" x14ac:dyDescent="0.25">
      <c r="A1696" s="16"/>
      <c r="B1696" s="17"/>
      <c r="C1696" s="2"/>
      <c r="D1696" s="2"/>
      <c r="E1696" s="2"/>
      <c r="F1696" s="2"/>
      <c r="G1696" s="2"/>
      <c r="H1696" s="2"/>
      <c r="I1696" s="5"/>
    </row>
    <row r="1697" spans="1:9" ht="17.399999999999999" x14ac:dyDescent="0.25">
      <c r="A1697" s="16"/>
      <c r="B1697" s="17"/>
      <c r="C1697" s="2"/>
      <c r="D1697" s="2"/>
      <c r="E1697" s="2"/>
      <c r="F1697" s="2"/>
      <c r="G1697" s="2"/>
      <c r="H1697" s="2"/>
      <c r="I1697" s="5"/>
    </row>
    <row r="1698" spans="1:9" ht="17.399999999999999" x14ac:dyDescent="0.25">
      <c r="A1698" s="16"/>
      <c r="B1698" s="17"/>
      <c r="C1698" s="2"/>
      <c r="D1698" s="2"/>
      <c r="E1698" s="2"/>
      <c r="F1698" s="2"/>
      <c r="G1698" s="2"/>
      <c r="H1698" s="2"/>
      <c r="I1698" s="5"/>
    </row>
    <row r="1699" spans="1:9" ht="17.399999999999999" x14ac:dyDescent="0.25">
      <c r="A1699" s="16"/>
      <c r="B1699" s="17"/>
      <c r="C1699" s="2"/>
      <c r="D1699" s="2"/>
      <c r="E1699" s="2"/>
      <c r="F1699" s="2"/>
      <c r="G1699" s="2"/>
      <c r="H1699" s="2"/>
      <c r="I1699" s="5"/>
    </row>
    <row r="1700" spans="1:9" ht="17.399999999999999" x14ac:dyDescent="0.25">
      <c r="A1700" s="16"/>
      <c r="B1700" s="17"/>
      <c r="C1700" s="2"/>
      <c r="D1700" s="2"/>
      <c r="E1700" s="2"/>
      <c r="F1700" s="2"/>
      <c r="G1700" s="2"/>
      <c r="H1700" s="2"/>
      <c r="I1700" s="5"/>
    </row>
    <row r="1701" spans="1:9" ht="17.399999999999999" x14ac:dyDescent="0.25">
      <c r="A1701" s="16"/>
      <c r="B1701" s="17"/>
      <c r="C1701" s="2"/>
      <c r="D1701" s="2"/>
      <c r="E1701" s="2"/>
      <c r="F1701" s="2"/>
      <c r="G1701" s="2"/>
      <c r="H1701" s="2"/>
      <c r="I1701" s="5"/>
    </row>
    <row r="1702" spans="1:9" ht="17.399999999999999" x14ac:dyDescent="0.25">
      <c r="A1702" s="16"/>
      <c r="B1702" s="17"/>
      <c r="C1702" s="2"/>
      <c r="D1702" s="2"/>
      <c r="E1702" s="2"/>
      <c r="F1702" s="2"/>
      <c r="G1702" s="2"/>
      <c r="H1702" s="2"/>
      <c r="I1702" s="5"/>
    </row>
    <row r="1703" spans="1:9" ht="17.399999999999999" x14ac:dyDescent="0.25">
      <c r="A1703" s="16"/>
      <c r="B1703" s="17"/>
      <c r="C1703" s="2"/>
      <c r="D1703" s="2"/>
      <c r="E1703" s="2"/>
      <c r="F1703" s="2"/>
      <c r="G1703" s="2"/>
      <c r="H1703" s="2"/>
      <c r="I1703" s="5"/>
    </row>
    <row r="1704" spans="1:9" ht="17.399999999999999" x14ac:dyDescent="0.25">
      <c r="A1704" s="16"/>
      <c r="B1704" s="17"/>
      <c r="C1704" s="2"/>
      <c r="D1704" s="2"/>
      <c r="E1704" s="2"/>
      <c r="F1704" s="2"/>
      <c r="G1704" s="2"/>
      <c r="H1704" s="2"/>
      <c r="I1704" s="5"/>
    </row>
    <row r="1705" spans="1:9" ht="17.399999999999999" x14ac:dyDescent="0.25">
      <c r="A1705" s="16"/>
      <c r="B1705" s="17"/>
      <c r="C1705" s="2"/>
      <c r="D1705" s="2"/>
      <c r="E1705" s="2"/>
      <c r="F1705" s="2"/>
      <c r="G1705" s="2"/>
      <c r="H1705" s="2"/>
      <c r="I1705" s="5"/>
    </row>
    <row r="1706" spans="1:9" ht="17.399999999999999" x14ac:dyDescent="0.25">
      <c r="A1706" s="16"/>
      <c r="B1706" s="17"/>
      <c r="C1706" s="2"/>
      <c r="D1706" s="2"/>
      <c r="E1706" s="2"/>
      <c r="F1706" s="2"/>
      <c r="G1706" s="2"/>
      <c r="H1706" s="2"/>
      <c r="I1706" s="5"/>
    </row>
    <row r="1707" spans="1:9" ht="17.399999999999999" x14ac:dyDescent="0.25">
      <c r="A1707" s="16"/>
      <c r="B1707" s="17"/>
      <c r="C1707" s="2"/>
      <c r="D1707" s="2"/>
      <c r="E1707" s="2"/>
      <c r="F1707" s="2"/>
      <c r="G1707" s="2"/>
      <c r="H1707" s="2"/>
      <c r="I1707" s="5"/>
    </row>
    <row r="1708" spans="1:9" ht="17.399999999999999" x14ac:dyDescent="0.25">
      <c r="A1708" s="16"/>
      <c r="B1708" s="17"/>
      <c r="C1708" s="2"/>
      <c r="D1708" s="2"/>
      <c r="E1708" s="2"/>
      <c r="F1708" s="2"/>
      <c r="G1708" s="2"/>
      <c r="H1708" s="2"/>
      <c r="I1708" s="5"/>
    </row>
    <row r="1709" spans="1:9" ht="17.399999999999999" x14ac:dyDescent="0.25">
      <c r="A1709" s="16"/>
      <c r="B1709" s="17"/>
      <c r="C1709" s="2"/>
      <c r="D1709" s="2"/>
      <c r="E1709" s="2"/>
      <c r="F1709" s="2"/>
      <c r="G1709" s="2"/>
      <c r="H1709" s="2"/>
      <c r="I1709" s="5"/>
    </row>
    <row r="1710" spans="1:9" ht="17.399999999999999" x14ac:dyDescent="0.25">
      <c r="A1710" s="16"/>
      <c r="B1710" s="17"/>
      <c r="C1710" s="2"/>
      <c r="D1710" s="2"/>
      <c r="E1710" s="2"/>
      <c r="F1710" s="2"/>
      <c r="G1710" s="2"/>
      <c r="H1710" s="2"/>
      <c r="I1710" s="5"/>
    </row>
    <row r="1711" spans="1:9" ht="17.399999999999999" x14ac:dyDescent="0.25">
      <c r="A1711" s="16"/>
      <c r="B1711" s="17"/>
      <c r="C1711" s="2"/>
      <c r="D1711" s="2"/>
      <c r="E1711" s="2"/>
      <c r="F1711" s="2"/>
      <c r="G1711" s="2"/>
      <c r="H1711" s="2"/>
      <c r="I1711" s="5"/>
    </row>
    <row r="1712" spans="1:9" ht="17.399999999999999" x14ac:dyDescent="0.25">
      <c r="A1712" s="16"/>
      <c r="B1712" s="17"/>
      <c r="C1712" s="2"/>
      <c r="D1712" s="2"/>
      <c r="E1712" s="2"/>
      <c r="F1712" s="2"/>
      <c r="G1712" s="2"/>
      <c r="H1712" s="2"/>
      <c r="I1712" s="5"/>
    </row>
    <row r="1713" spans="1:9" ht="17.399999999999999" x14ac:dyDescent="0.25">
      <c r="A1713" s="16"/>
      <c r="B1713" s="17"/>
      <c r="C1713" s="2"/>
      <c r="D1713" s="2"/>
      <c r="E1713" s="2"/>
      <c r="F1713" s="2"/>
      <c r="G1713" s="2"/>
      <c r="H1713" s="2"/>
      <c r="I1713" s="5"/>
    </row>
    <row r="1714" spans="1:9" ht="17.399999999999999" x14ac:dyDescent="0.25">
      <c r="A1714" s="16"/>
      <c r="B1714" s="17"/>
      <c r="C1714" s="2"/>
      <c r="D1714" s="2"/>
      <c r="E1714" s="2"/>
      <c r="F1714" s="2"/>
      <c r="G1714" s="2"/>
      <c r="H1714" s="2"/>
      <c r="I1714" s="5"/>
    </row>
    <row r="1715" spans="1:9" ht="17.399999999999999" x14ac:dyDescent="0.25">
      <c r="A1715" s="16"/>
      <c r="B1715" s="17"/>
      <c r="C1715" s="2"/>
      <c r="D1715" s="2"/>
      <c r="E1715" s="2"/>
      <c r="F1715" s="2"/>
      <c r="G1715" s="2"/>
      <c r="H1715" s="2"/>
      <c r="I1715" s="5"/>
    </row>
    <row r="1716" spans="1:9" ht="17.399999999999999" x14ac:dyDescent="0.25">
      <c r="A1716" s="16"/>
      <c r="B1716" s="17"/>
      <c r="C1716" s="2"/>
      <c r="D1716" s="2"/>
      <c r="E1716" s="2"/>
      <c r="F1716" s="2"/>
      <c r="G1716" s="2"/>
      <c r="H1716" s="2"/>
      <c r="I1716" s="5"/>
    </row>
    <row r="1717" spans="1:9" ht="17.399999999999999" x14ac:dyDescent="0.25">
      <c r="A1717" s="16"/>
      <c r="B1717" s="17"/>
      <c r="C1717" s="2"/>
      <c r="D1717" s="2"/>
      <c r="E1717" s="2"/>
      <c r="F1717" s="2"/>
      <c r="G1717" s="2"/>
      <c r="H1717" s="2"/>
      <c r="I1717" s="5"/>
    </row>
    <row r="1718" spans="1:9" ht="17.399999999999999" x14ac:dyDescent="0.25">
      <c r="A1718" s="16"/>
      <c r="B1718" s="17"/>
      <c r="C1718" s="2"/>
      <c r="D1718" s="2"/>
      <c r="E1718" s="2"/>
      <c r="F1718" s="2"/>
      <c r="G1718" s="2"/>
      <c r="H1718" s="2"/>
      <c r="I1718" s="5"/>
    </row>
    <row r="1719" spans="1:9" ht="17.399999999999999" x14ac:dyDescent="0.25">
      <c r="A1719" s="16"/>
      <c r="B1719" s="17"/>
      <c r="C1719" s="2"/>
      <c r="D1719" s="2"/>
      <c r="E1719" s="2"/>
      <c r="F1719" s="2"/>
      <c r="G1719" s="2"/>
      <c r="H1719" s="2"/>
      <c r="I1719" s="5"/>
    </row>
    <row r="1720" spans="1:9" ht="17.399999999999999" x14ac:dyDescent="0.25">
      <c r="A1720" s="16"/>
      <c r="B1720" s="17"/>
      <c r="C1720" s="2"/>
      <c r="D1720" s="2"/>
      <c r="E1720" s="2"/>
      <c r="F1720" s="2"/>
      <c r="G1720" s="2"/>
      <c r="H1720" s="2"/>
      <c r="I1720" s="5"/>
    </row>
    <row r="1721" spans="1:9" ht="17.399999999999999" x14ac:dyDescent="0.25">
      <c r="A1721" s="16"/>
      <c r="B1721" s="17"/>
      <c r="C1721" s="2"/>
      <c r="D1721" s="2"/>
      <c r="E1721" s="2"/>
      <c r="F1721" s="2"/>
      <c r="G1721" s="2"/>
      <c r="H1721" s="2"/>
      <c r="I1721" s="5"/>
    </row>
    <row r="1722" spans="1:9" ht="17.399999999999999" x14ac:dyDescent="0.25">
      <c r="A1722" s="16"/>
      <c r="B1722" s="17"/>
      <c r="C1722" s="2"/>
      <c r="D1722" s="2"/>
      <c r="E1722" s="2"/>
      <c r="F1722" s="2"/>
      <c r="G1722" s="2"/>
      <c r="H1722" s="2"/>
      <c r="I1722" s="5"/>
    </row>
    <row r="1723" spans="1:9" ht="17.399999999999999" x14ac:dyDescent="0.25">
      <c r="A1723" s="16"/>
      <c r="B1723" s="17"/>
      <c r="C1723" s="2"/>
      <c r="D1723" s="2"/>
      <c r="E1723" s="2"/>
      <c r="F1723" s="2"/>
      <c r="G1723" s="2"/>
      <c r="H1723" s="2"/>
      <c r="I1723" s="5"/>
    </row>
    <row r="1724" spans="1:9" ht="17.399999999999999" x14ac:dyDescent="0.25">
      <c r="A1724" s="16"/>
      <c r="B1724" s="17"/>
      <c r="C1724" s="2"/>
      <c r="D1724" s="2"/>
      <c r="E1724" s="2"/>
      <c r="F1724" s="2"/>
      <c r="G1724" s="2"/>
      <c r="H1724" s="2"/>
      <c r="I1724" s="5"/>
    </row>
    <row r="1725" spans="1:9" ht="17.399999999999999" x14ac:dyDescent="0.25">
      <c r="A1725" s="16"/>
      <c r="B1725" s="17"/>
      <c r="C1725" s="2"/>
      <c r="D1725" s="2"/>
      <c r="E1725" s="2"/>
      <c r="F1725" s="2"/>
      <c r="G1725" s="2"/>
      <c r="H1725" s="2"/>
      <c r="I1725" s="5"/>
    </row>
    <row r="1726" spans="1:9" ht="17.399999999999999" x14ac:dyDescent="0.25">
      <c r="A1726" s="16"/>
      <c r="B1726" s="17"/>
      <c r="C1726" s="2"/>
      <c r="D1726" s="2"/>
      <c r="E1726" s="2"/>
      <c r="F1726" s="2"/>
      <c r="G1726" s="2"/>
      <c r="H1726" s="2"/>
      <c r="I1726" s="5"/>
    </row>
    <row r="1727" spans="1:9" ht="17.399999999999999" x14ac:dyDescent="0.25">
      <c r="A1727" s="16"/>
      <c r="B1727" s="17"/>
      <c r="C1727" s="2"/>
      <c r="D1727" s="2"/>
      <c r="E1727" s="2"/>
      <c r="F1727" s="2"/>
      <c r="G1727" s="2"/>
      <c r="H1727" s="2"/>
      <c r="I1727" s="5"/>
    </row>
    <row r="1728" spans="1:9" ht="17.399999999999999" x14ac:dyDescent="0.25">
      <c r="A1728" s="16"/>
      <c r="B1728" s="17"/>
      <c r="C1728" s="2"/>
      <c r="D1728" s="2"/>
      <c r="E1728" s="2"/>
      <c r="F1728" s="2"/>
      <c r="G1728" s="2"/>
      <c r="H1728" s="2"/>
      <c r="I1728" s="5"/>
    </row>
    <row r="1729" spans="1:9" ht="17.399999999999999" x14ac:dyDescent="0.25">
      <c r="A1729" s="16"/>
      <c r="B1729" s="17"/>
      <c r="C1729" s="2"/>
      <c r="D1729" s="2"/>
      <c r="E1729" s="2"/>
      <c r="F1729" s="2"/>
      <c r="G1729" s="2"/>
      <c r="H1729" s="2"/>
      <c r="I1729" s="5"/>
    </row>
    <row r="1730" spans="1:9" ht="17.399999999999999" x14ac:dyDescent="0.25">
      <c r="A1730" s="16"/>
      <c r="B1730" s="17"/>
      <c r="C1730" s="2"/>
      <c r="D1730" s="2"/>
      <c r="E1730" s="2"/>
      <c r="F1730" s="2"/>
      <c r="G1730" s="2"/>
      <c r="H1730" s="2"/>
      <c r="I1730" s="5"/>
    </row>
    <row r="1731" spans="1:9" ht="17.399999999999999" x14ac:dyDescent="0.25">
      <c r="A1731" s="16"/>
      <c r="B1731" s="17"/>
      <c r="C1731" s="2"/>
      <c r="D1731" s="2"/>
      <c r="E1731" s="2"/>
      <c r="F1731" s="2"/>
      <c r="G1731" s="2"/>
      <c r="H1731" s="2"/>
      <c r="I1731" s="5"/>
    </row>
    <row r="1732" spans="1:9" ht="17.399999999999999" x14ac:dyDescent="0.25">
      <c r="A1732" s="16"/>
      <c r="B1732" s="17"/>
      <c r="C1732" s="2"/>
      <c r="D1732" s="2"/>
      <c r="E1732" s="2"/>
      <c r="F1732" s="2"/>
      <c r="G1732" s="2"/>
      <c r="H1732" s="2"/>
      <c r="I1732" s="5"/>
    </row>
    <row r="1733" spans="1:9" ht="17.399999999999999" x14ac:dyDescent="0.25">
      <c r="A1733" s="16"/>
      <c r="B1733" s="17"/>
      <c r="C1733" s="2"/>
      <c r="D1733" s="2"/>
      <c r="E1733" s="2"/>
      <c r="F1733" s="2"/>
      <c r="G1733" s="2"/>
      <c r="H1733" s="2"/>
      <c r="I1733" s="5"/>
    </row>
    <row r="1734" spans="1:9" ht="17.399999999999999" x14ac:dyDescent="0.25">
      <c r="A1734" s="16"/>
      <c r="B1734" s="17"/>
      <c r="C1734" s="2"/>
      <c r="D1734" s="2"/>
      <c r="E1734" s="2"/>
      <c r="F1734" s="2"/>
      <c r="G1734" s="2"/>
      <c r="H1734" s="2"/>
      <c r="I1734" s="5"/>
    </row>
    <row r="1735" spans="1:9" ht="17.399999999999999" x14ac:dyDescent="0.25">
      <c r="A1735" s="16"/>
      <c r="B1735" s="17"/>
      <c r="C1735" s="2"/>
      <c r="D1735" s="2"/>
      <c r="E1735" s="2"/>
      <c r="F1735" s="2"/>
      <c r="G1735" s="2"/>
      <c r="H1735" s="2"/>
      <c r="I1735" s="5"/>
    </row>
    <row r="1736" spans="1:9" ht="17.399999999999999" x14ac:dyDescent="0.25">
      <c r="A1736" s="16"/>
      <c r="B1736" s="17"/>
      <c r="C1736" s="2"/>
      <c r="D1736" s="2"/>
      <c r="E1736" s="2"/>
      <c r="F1736" s="2"/>
      <c r="G1736" s="2"/>
      <c r="H1736" s="2"/>
      <c r="I1736" s="5"/>
    </row>
    <row r="1737" spans="1:9" ht="17.399999999999999" x14ac:dyDescent="0.25">
      <c r="A1737" s="16"/>
      <c r="B1737" s="17"/>
      <c r="C1737" s="2"/>
      <c r="D1737" s="2"/>
      <c r="E1737" s="2"/>
      <c r="F1737" s="2"/>
      <c r="G1737" s="2"/>
      <c r="H1737" s="2"/>
      <c r="I1737" s="5"/>
    </row>
    <row r="1738" spans="1:9" ht="17.399999999999999" x14ac:dyDescent="0.25">
      <c r="A1738" s="16"/>
      <c r="B1738" s="17"/>
      <c r="C1738" s="2"/>
      <c r="D1738" s="2"/>
      <c r="E1738" s="2"/>
      <c r="F1738" s="2"/>
      <c r="G1738" s="2"/>
      <c r="H1738" s="2"/>
      <c r="I1738" s="5"/>
    </row>
    <row r="1739" spans="1:9" ht="17.399999999999999" x14ac:dyDescent="0.25">
      <c r="A1739" s="16"/>
      <c r="B1739" s="17"/>
      <c r="C1739" s="2"/>
      <c r="D1739" s="2"/>
      <c r="E1739" s="2"/>
      <c r="F1739" s="2"/>
      <c r="G1739" s="2"/>
      <c r="H1739" s="2"/>
      <c r="I1739" s="5"/>
    </row>
    <row r="1740" spans="1:9" ht="17.399999999999999" x14ac:dyDescent="0.25">
      <c r="A1740" s="16"/>
      <c r="B1740" s="17"/>
      <c r="C1740" s="2"/>
      <c r="D1740" s="2"/>
      <c r="E1740" s="2"/>
      <c r="F1740" s="2"/>
      <c r="G1740" s="2"/>
      <c r="H1740" s="2"/>
      <c r="I1740" s="5"/>
    </row>
    <row r="1741" spans="1:9" ht="17.399999999999999" x14ac:dyDescent="0.25">
      <c r="A1741" s="16"/>
      <c r="B1741" s="17"/>
      <c r="C1741" s="2"/>
      <c r="D1741" s="2"/>
      <c r="E1741" s="2"/>
      <c r="F1741" s="2"/>
      <c r="G1741" s="2"/>
      <c r="H1741" s="2"/>
      <c r="I1741" s="5"/>
    </row>
    <row r="1742" spans="1:9" ht="17.399999999999999" x14ac:dyDescent="0.25">
      <c r="A1742" s="16"/>
      <c r="B1742" s="17"/>
      <c r="C1742" s="2"/>
      <c r="D1742" s="2"/>
      <c r="E1742" s="2"/>
      <c r="F1742" s="2"/>
      <c r="G1742" s="2"/>
      <c r="H1742" s="2"/>
      <c r="I1742" s="5"/>
    </row>
    <row r="1743" spans="1:9" ht="17.399999999999999" x14ac:dyDescent="0.25">
      <c r="A1743" s="16"/>
      <c r="B1743" s="17"/>
      <c r="C1743" s="2"/>
      <c r="D1743" s="2"/>
      <c r="E1743" s="2"/>
      <c r="F1743" s="2"/>
      <c r="G1743" s="2"/>
      <c r="H1743" s="2"/>
      <c r="I1743" s="5"/>
    </row>
    <row r="1744" spans="1:9" ht="17.399999999999999" x14ac:dyDescent="0.25">
      <c r="A1744" s="16"/>
      <c r="B1744" s="17"/>
      <c r="C1744" s="2"/>
      <c r="D1744" s="2"/>
      <c r="E1744" s="2"/>
      <c r="F1744" s="2"/>
      <c r="G1744" s="2"/>
      <c r="H1744" s="2"/>
      <c r="I1744" s="5"/>
    </row>
    <row r="1745" spans="1:9" ht="17.399999999999999" x14ac:dyDescent="0.25">
      <c r="A1745" s="16"/>
      <c r="B1745" s="17"/>
      <c r="C1745" s="2"/>
      <c r="D1745" s="2"/>
      <c r="E1745" s="2"/>
      <c r="F1745" s="2"/>
      <c r="G1745" s="2"/>
      <c r="H1745" s="2"/>
      <c r="I1745" s="5"/>
    </row>
    <row r="1746" spans="1:9" ht="17.399999999999999" x14ac:dyDescent="0.25">
      <c r="A1746" s="16"/>
      <c r="B1746" s="17"/>
      <c r="C1746" s="2"/>
      <c r="D1746" s="2"/>
      <c r="E1746" s="2"/>
      <c r="F1746" s="2"/>
      <c r="G1746" s="2"/>
      <c r="H1746" s="2"/>
      <c r="I1746" s="5"/>
    </row>
    <row r="1747" spans="1:9" ht="17.399999999999999" x14ac:dyDescent="0.25">
      <c r="A1747" s="16"/>
      <c r="B1747" s="17"/>
      <c r="C1747" s="2"/>
      <c r="D1747" s="2"/>
      <c r="E1747" s="2"/>
      <c r="F1747" s="2"/>
      <c r="G1747" s="2"/>
      <c r="H1747" s="2"/>
      <c r="I1747" s="5"/>
    </row>
    <row r="1748" spans="1:9" ht="17.399999999999999" x14ac:dyDescent="0.25">
      <c r="A1748" s="16"/>
      <c r="B1748" s="17"/>
      <c r="C1748" s="2"/>
      <c r="D1748" s="2"/>
      <c r="E1748" s="2"/>
      <c r="F1748" s="2"/>
      <c r="G1748" s="2"/>
      <c r="H1748" s="2"/>
      <c r="I1748" s="5"/>
    </row>
    <row r="1749" spans="1:9" ht="17.399999999999999" x14ac:dyDescent="0.25">
      <c r="A1749" s="16"/>
      <c r="B1749" s="17"/>
      <c r="C1749" s="2"/>
      <c r="D1749" s="2"/>
      <c r="E1749" s="2"/>
      <c r="F1749" s="2"/>
      <c r="G1749" s="2"/>
      <c r="H1749" s="2"/>
      <c r="I1749" s="5"/>
    </row>
    <row r="1750" spans="1:9" ht="17.399999999999999" x14ac:dyDescent="0.25">
      <c r="A1750" s="16"/>
      <c r="B1750" s="17"/>
      <c r="C1750" s="2"/>
      <c r="D1750" s="2"/>
      <c r="E1750" s="2"/>
      <c r="F1750" s="2"/>
      <c r="G1750" s="2"/>
      <c r="H1750" s="2"/>
      <c r="I1750" s="5"/>
    </row>
    <row r="1751" spans="1:9" ht="17.399999999999999" x14ac:dyDescent="0.25">
      <c r="A1751" s="16"/>
      <c r="B1751" s="17"/>
      <c r="C1751" s="2"/>
      <c r="D1751" s="2"/>
      <c r="E1751" s="2"/>
      <c r="F1751" s="2"/>
      <c r="G1751" s="2"/>
      <c r="H1751" s="2"/>
      <c r="I1751" s="5"/>
    </row>
    <row r="1752" spans="1:9" ht="17.399999999999999" x14ac:dyDescent="0.25">
      <c r="A1752" s="16"/>
      <c r="B1752" s="17"/>
      <c r="C1752" s="2"/>
      <c r="D1752" s="2"/>
      <c r="E1752" s="2"/>
      <c r="F1752" s="2"/>
      <c r="G1752" s="2"/>
      <c r="H1752" s="2"/>
      <c r="I1752" s="5"/>
    </row>
    <row r="1753" spans="1:9" ht="17.399999999999999" x14ac:dyDescent="0.25">
      <c r="A1753" s="16"/>
      <c r="B1753" s="17"/>
      <c r="C1753" s="2"/>
      <c r="D1753" s="2"/>
      <c r="E1753" s="2"/>
      <c r="F1753" s="2"/>
      <c r="G1753" s="2"/>
      <c r="H1753" s="2"/>
      <c r="I1753" s="5"/>
    </row>
    <row r="1754" spans="1:9" ht="17.399999999999999" x14ac:dyDescent="0.25">
      <c r="A1754" s="16"/>
      <c r="B1754" s="17"/>
      <c r="C1754" s="2"/>
      <c r="D1754" s="2"/>
      <c r="E1754" s="2"/>
      <c r="F1754" s="2"/>
      <c r="G1754" s="2"/>
      <c r="H1754" s="2"/>
      <c r="I1754" s="5"/>
    </row>
    <row r="1755" spans="1:9" ht="17.399999999999999" x14ac:dyDescent="0.25">
      <c r="A1755" s="16"/>
      <c r="B1755" s="17"/>
      <c r="C1755" s="2"/>
      <c r="D1755" s="2"/>
      <c r="E1755" s="2"/>
      <c r="F1755" s="2"/>
      <c r="G1755" s="2"/>
      <c r="H1755" s="2"/>
      <c r="I1755" s="5"/>
    </row>
    <row r="1756" spans="1:9" ht="17.399999999999999" x14ac:dyDescent="0.25">
      <c r="A1756" s="16"/>
      <c r="B1756" s="17"/>
      <c r="C1756" s="2"/>
      <c r="D1756" s="2"/>
      <c r="E1756" s="2"/>
      <c r="F1756" s="2"/>
      <c r="G1756" s="2"/>
      <c r="H1756" s="2"/>
      <c r="I1756" s="5"/>
    </row>
    <row r="1757" spans="1:9" ht="17.399999999999999" x14ac:dyDescent="0.25">
      <c r="A1757" s="16"/>
      <c r="B1757" s="17"/>
      <c r="C1757" s="2"/>
      <c r="D1757" s="2"/>
      <c r="E1757" s="2"/>
      <c r="F1757" s="2"/>
      <c r="G1757" s="2"/>
      <c r="H1757" s="2"/>
      <c r="I1757" s="5"/>
    </row>
    <row r="1758" spans="1:9" ht="17.399999999999999" x14ac:dyDescent="0.25">
      <c r="A1758" s="16"/>
      <c r="B1758" s="17"/>
      <c r="C1758" s="2"/>
      <c r="D1758" s="2"/>
      <c r="E1758" s="2"/>
      <c r="F1758" s="2"/>
      <c r="G1758" s="2"/>
      <c r="H1758" s="2"/>
      <c r="I1758" s="5"/>
    </row>
    <row r="1759" spans="1:9" ht="17.399999999999999" x14ac:dyDescent="0.25">
      <c r="A1759" s="16"/>
      <c r="B1759" s="17"/>
      <c r="C1759" s="2"/>
      <c r="D1759" s="2"/>
      <c r="E1759" s="2"/>
      <c r="F1759" s="2"/>
      <c r="G1759" s="2"/>
      <c r="H1759" s="2"/>
      <c r="I1759" s="5"/>
    </row>
    <row r="1760" spans="1:9" ht="17.399999999999999" x14ac:dyDescent="0.25">
      <c r="A1760" s="16"/>
      <c r="B1760" s="17"/>
      <c r="C1760" s="2"/>
      <c r="D1760" s="2"/>
      <c r="E1760" s="2"/>
      <c r="F1760" s="2"/>
      <c r="G1760" s="2"/>
      <c r="H1760" s="2"/>
      <c r="I1760" s="5"/>
    </row>
    <row r="1761" spans="1:9" ht="17.399999999999999" x14ac:dyDescent="0.25">
      <c r="A1761" s="16"/>
      <c r="B1761" s="17"/>
      <c r="C1761" s="2"/>
      <c r="D1761" s="2"/>
      <c r="E1761" s="2"/>
      <c r="F1761" s="2"/>
      <c r="G1761" s="2"/>
      <c r="H1761" s="2"/>
      <c r="I1761" s="5"/>
    </row>
    <row r="1762" spans="1:9" ht="17.399999999999999" x14ac:dyDescent="0.25">
      <c r="A1762" s="16"/>
      <c r="B1762" s="17"/>
      <c r="C1762" s="2"/>
      <c r="D1762" s="2"/>
      <c r="E1762" s="2"/>
      <c r="F1762" s="2"/>
      <c r="G1762" s="2"/>
      <c r="H1762" s="2"/>
      <c r="I1762" s="5"/>
    </row>
    <row r="1763" spans="1:9" ht="17.399999999999999" x14ac:dyDescent="0.25">
      <c r="A1763" s="16"/>
      <c r="B1763" s="17"/>
      <c r="C1763" s="2"/>
      <c r="D1763" s="2"/>
      <c r="E1763" s="2"/>
      <c r="F1763" s="2"/>
      <c r="G1763" s="2"/>
      <c r="H1763" s="2"/>
      <c r="I1763" s="5"/>
    </row>
    <row r="1764" spans="1:9" ht="17.399999999999999" x14ac:dyDescent="0.25">
      <c r="A1764" s="16"/>
      <c r="B1764" s="17"/>
      <c r="C1764" s="2"/>
      <c r="D1764" s="2"/>
      <c r="E1764" s="2"/>
      <c r="F1764" s="2"/>
      <c r="G1764" s="2"/>
      <c r="H1764" s="2"/>
      <c r="I1764" s="5"/>
    </row>
    <row r="1765" spans="1:9" ht="17.399999999999999" x14ac:dyDescent="0.25">
      <c r="A1765" s="16"/>
      <c r="B1765" s="17"/>
      <c r="C1765" s="2"/>
      <c r="D1765" s="2"/>
      <c r="E1765" s="2"/>
      <c r="F1765" s="2"/>
      <c r="G1765" s="2"/>
      <c r="H1765" s="2"/>
      <c r="I1765" s="5"/>
    </row>
    <row r="1766" spans="1:9" ht="17.399999999999999" x14ac:dyDescent="0.25">
      <c r="A1766" s="16"/>
      <c r="B1766" s="17"/>
      <c r="C1766" s="2"/>
      <c r="D1766" s="2"/>
      <c r="E1766" s="2"/>
      <c r="F1766" s="2"/>
      <c r="G1766" s="2"/>
      <c r="H1766" s="2"/>
      <c r="I1766" s="5"/>
    </row>
    <row r="1767" spans="1:9" ht="17.399999999999999" x14ac:dyDescent="0.25">
      <c r="A1767" s="16"/>
      <c r="B1767" s="17"/>
      <c r="C1767" s="2"/>
      <c r="D1767" s="2"/>
      <c r="E1767" s="2"/>
      <c r="F1767" s="2"/>
      <c r="G1767" s="2"/>
      <c r="H1767" s="2"/>
      <c r="I1767" s="5"/>
    </row>
    <row r="1768" spans="1:9" ht="17.399999999999999" x14ac:dyDescent="0.25">
      <c r="A1768" s="16"/>
      <c r="B1768" s="17"/>
      <c r="C1768" s="2"/>
      <c r="D1768" s="2"/>
      <c r="E1768" s="2"/>
      <c r="F1768" s="2"/>
      <c r="G1768" s="2"/>
      <c r="H1768" s="2"/>
      <c r="I1768" s="5"/>
    </row>
    <row r="1769" spans="1:9" ht="17.399999999999999" x14ac:dyDescent="0.25">
      <c r="A1769" s="16"/>
      <c r="B1769" s="17"/>
      <c r="C1769" s="2"/>
      <c r="D1769" s="2"/>
      <c r="E1769" s="2"/>
      <c r="F1769" s="2"/>
      <c r="G1769" s="2"/>
      <c r="H1769" s="2"/>
      <c r="I1769" s="5"/>
    </row>
    <row r="1770" spans="1:9" ht="17.399999999999999" x14ac:dyDescent="0.25">
      <c r="A1770" s="16"/>
      <c r="B1770" s="17"/>
      <c r="C1770" s="2"/>
      <c r="D1770" s="2"/>
      <c r="E1770" s="2"/>
      <c r="F1770" s="2"/>
      <c r="G1770" s="2"/>
      <c r="H1770" s="2"/>
      <c r="I1770" s="5"/>
    </row>
    <row r="1771" spans="1:9" ht="17.399999999999999" x14ac:dyDescent="0.25">
      <c r="A1771" s="16"/>
      <c r="B1771" s="17"/>
      <c r="C1771" s="2"/>
      <c r="D1771" s="2"/>
      <c r="E1771" s="2"/>
      <c r="F1771" s="2"/>
      <c r="G1771" s="2"/>
      <c r="H1771" s="2"/>
      <c r="I1771" s="5"/>
    </row>
    <row r="1772" spans="1:9" ht="17.399999999999999" x14ac:dyDescent="0.25">
      <c r="A1772" s="16"/>
      <c r="B1772" s="17"/>
      <c r="C1772" s="2"/>
      <c r="D1772" s="2"/>
      <c r="E1772" s="2"/>
      <c r="F1772" s="2"/>
      <c r="G1772" s="2"/>
      <c r="H1772" s="2"/>
      <c r="I1772" s="5"/>
    </row>
    <row r="1773" spans="1:9" ht="17.399999999999999" x14ac:dyDescent="0.25">
      <c r="A1773" s="16"/>
      <c r="B1773" s="17"/>
      <c r="C1773" s="2"/>
      <c r="D1773" s="2"/>
      <c r="E1773" s="2"/>
      <c r="F1773" s="2"/>
      <c r="G1773" s="2"/>
      <c r="H1773" s="2"/>
      <c r="I1773" s="5"/>
    </row>
    <row r="1774" spans="1:9" ht="17.399999999999999" x14ac:dyDescent="0.25">
      <c r="A1774" s="16"/>
      <c r="B1774" s="17"/>
      <c r="C1774" s="2"/>
      <c r="D1774" s="2"/>
      <c r="E1774" s="2"/>
      <c r="F1774" s="2"/>
      <c r="G1774" s="2"/>
      <c r="H1774" s="2"/>
      <c r="I1774" s="5"/>
    </row>
    <row r="1775" spans="1:9" ht="17.399999999999999" x14ac:dyDescent="0.25">
      <c r="A1775" s="16"/>
      <c r="B1775" s="17"/>
      <c r="C1775" s="2"/>
      <c r="D1775" s="2"/>
      <c r="E1775" s="2"/>
      <c r="F1775" s="2"/>
      <c r="G1775" s="2"/>
      <c r="H1775" s="2"/>
      <c r="I1775" s="5"/>
    </row>
    <row r="1776" spans="1:9" ht="17.399999999999999" x14ac:dyDescent="0.25">
      <c r="A1776" s="16"/>
      <c r="B1776" s="17"/>
      <c r="C1776" s="2"/>
      <c r="D1776" s="2"/>
      <c r="E1776" s="2"/>
      <c r="F1776" s="2"/>
      <c r="G1776" s="2"/>
      <c r="H1776" s="2"/>
      <c r="I1776" s="5"/>
    </row>
    <row r="1777" spans="1:9" ht="17.399999999999999" x14ac:dyDescent="0.25">
      <c r="A1777" s="16"/>
      <c r="B1777" s="17"/>
      <c r="C1777" s="2"/>
      <c r="D1777" s="2"/>
      <c r="E1777" s="2"/>
      <c r="F1777" s="2"/>
      <c r="G1777" s="2"/>
      <c r="H1777" s="2"/>
      <c r="I1777" s="5"/>
    </row>
    <row r="1778" spans="1:9" ht="17.399999999999999" x14ac:dyDescent="0.25">
      <c r="A1778" s="16"/>
      <c r="B1778" s="17"/>
      <c r="C1778" s="2"/>
      <c r="D1778" s="2"/>
      <c r="E1778" s="2"/>
      <c r="F1778" s="2"/>
      <c r="G1778" s="2"/>
      <c r="H1778" s="2"/>
      <c r="I1778" s="5"/>
    </row>
    <row r="1779" spans="1:9" ht="17.399999999999999" x14ac:dyDescent="0.25">
      <c r="A1779" s="16"/>
      <c r="B1779" s="17"/>
      <c r="C1779" s="2"/>
      <c r="D1779" s="2"/>
      <c r="E1779" s="2"/>
      <c r="F1779" s="2"/>
      <c r="G1779" s="2"/>
      <c r="H1779" s="2"/>
      <c r="I1779" s="5"/>
    </row>
    <row r="1780" spans="1:9" ht="17.399999999999999" x14ac:dyDescent="0.25">
      <c r="A1780" s="16"/>
      <c r="B1780" s="17"/>
      <c r="C1780" s="2"/>
      <c r="D1780" s="2"/>
      <c r="E1780" s="2"/>
      <c r="F1780" s="2"/>
      <c r="G1780" s="2"/>
      <c r="H1780" s="2"/>
      <c r="I1780" s="5"/>
    </row>
    <row r="1781" spans="1:9" ht="17.399999999999999" x14ac:dyDescent="0.25">
      <c r="A1781" s="16"/>
      <c r="B1781" s="17"/>
      <c r="C1781" s="2"/>
      <c r="D1781" s="2"/>
      <c r="E1781" s="2"/>
      <c r="F1781" s="2"/>
      <c r="G1781" s="2"/>
      <c r="H1781" s="2"/>
      <c r="I1781" s="5"/>
    </row>
    <row r="1782" spans="1:9" ht="17.399999999999999" x14ac:dyDescent="0.25">
      <c r="A1782" s="16"/>
      <c r="B1782" s="17"/>
      <c r="C1782" s="2"/>
      <c r="D1782" s="2"/>
      <c r="E1782" s="2"/>
      <c r="F1782" s="2"/>
      <c r="G1782" s="2"/>
      <c r="H1782" s="2"/>
      <c r="I1782" s="5"/>
    </row>
    <row r="1783" spans="1:9" ht="17.399999999999999" x14ac:dyDescent="0.25">
      <c r="A1783" s="16"/>
      <c r="B1783" s="17"/>
      <c r="C1783" s="2"/>
      <c r="D1783" s="2"/>
      <c r="E1783" s="2"/>
      <c r="F1783" s="2"/>
      <c r="G1783" s="2"/>
      <c r="H1783" s="2"/>
      <c r="I1783" s="5"/>
    </row>
    <row r="1784" spans="1:9" ht="17.399999999999999" x14ac:dyDescent="0.25">
      <c r="A1784" s="16"/>
      <c r="B1784" s="17"/>
      <c r="C1784" s="2"/>
      <c r="D1784" s="2"/>
      <c r="E1784" s="2"/>
      <c r="F1784" s="2"/>
      <c r="G1784" s="2"/>
      <c r="H1784" s="2"/>
      <c r="I1784" s="5"/>
    </row>
    <row r="1785" spans="1:9" ht="17.399999999999999" x14ac:dyDescent="0.25">
      <c r="A1785" s="16"/>
      <c r="B1785" s="17"/>
      <c r="C1785" s="2"/>
      <c r="D1785" s="2"/>
      <c r="E1785" s="2"/>
      <c r="F1785" s="2"/>
      <c r="G1785" s="2"/>
      <c r="H1785" s="2"/>
      <c r="I1785" s="5"/>
    </row>
    <row r="1786" spans="1:9" ht="17.399999999999999" x14ac:dyDescent="0.25">
      <c r="A1786" s="16"/>
      <c r="B1786" s="17"/>
      <c r="C1786" s="2"/>
      <c r="D1786" s="2"/>
      <c r="E1786" s="2"/>
      <c r="F1786" s="2"/>
      <c r="G1786" s="2"/>
      <c r="H1786" s="2"/>
      <c r="I1786" s="5"/>
    </row>
    <row r="1787" spans="1:9" ht="17.399999999999999" x14ac:dyDescent="0.25">
      <c r="A1787" s="16"/>
      <c r="B1787" s="17"/>
      <c r="C1787" s="2"/>
      <c r="D1787" s="2"/>
      <c r="E1787" s="2"/>
      <c r="F1787" s="2"/>
      <c r="G1787" s="2"/>
      <c r="H1787" s="2"/>
      <c r="I1787" s="5"/>
    </row>
    <row r="1788" spans="1:9" ht="17.399999999999999" x14ac:dyDescent="0.25">
      <c r="A1788" s="16"/>
      <c r="B1788" s="17"/>
      <c r="C1788" s="2"/>
      <c r="D1788" s="2"/>
      <c r="E1788" s="2"/>
      <c r="F1788" s="2"/>
      <c r="G1788" s="2"/>
      <c r="H1788" s="2"/>
      <c r="I1788" s="5"/>
    </row>
    <row r="1789" spans="1:9" ht="17.399999999999999" x14ac:dyDescent="0.25">
      <c r="A1789" s="16"/>
      <c r="B1789" s="17"/>
      <c r="C1789" s="2"/>
      <c r="D1789" s="2"/>
      <c r="E1789" s="2"/>
      <c r="F1789" s="2"/>
      <c r="G1789" s="2"/>
      <c r="H1789" s="2"/>
      <c r="I1789" s="5"/>
    </row>
    <row r="1790" spans="1:9" ht="17.399999999999999" x14ac:dyDescent="0.25">
      <c r="A1790" s="16"/>
      <c r="B1790" s="17"/>
      <c r="C1790" s="2"/>
      <c r="D1790" s="2"/>
      <c r="E1790" s="2"/>
      <c r="F1790" s="2"/>
      <c r="G1790" s="2"/>
      <c r="H1790" s="2"/>
      <c r="I1790" s="5"/>
    </row>
    <row r="1791" spans="1:9" ht="17.399999999999999" x14ac:dyDescent="0.25">
      <c r="A1791" s="16"/>
      <c r="B1791" s="17"/>
      <c r="C1791" s="2"/>
      <c r="D1791" s="2"/>
      <c r="E1791" s="2"/>
      <c r="F1791" s="2"/>
      <c r="G1791" s="2"/>
      <c r="H1791" s="2"/>
      <c r="I1791" s="5"/>
    </row>
    <row r="1792" spans="1:9" ht="17.399999999999999" x14ac:dyDescent="0.25">
      <c r="A1792" s="16"/>
      <c r="B1792" s="17"/>
      <c r="C1792" s="2"/>
      <c r="D1792" s="2"/>
      <c r="E1792" s="2"/>
      <c r="F1792" s="2"/>
      <c r="G1792" s="2"/>
      <c r="H1792" s="2"/>
      <c r="I1792" s="5"/>
    </row>
    <row r="1793" spans="1:9" ht="17.399999999999999" x14ac:dyDescent="0.25">
      <c r="A1793" s="16"/>
      <c r="B1793" s="17"/>
      <c r="C1793" s="2"/>
      <c r="D1793" s="2"/>
      <c r="E1793" s="2"/>
      <c r="F1793" s="2"/>
      <c r="G1793" s="2"/>
      <c r="H1793" s="2"/>
      <c r="I1793" s="5"/>
    </row>
    <row r="1794" spans="1:9" ht="17.399999999999999" x14ac:dyDescent="0.25">
      <c r="A1794" s="16"/>
      <c r="B1794" s="17"/>
      <c r="C1794" s="2"/>
      <c r="D1794" s="2"/>
      <c r="E1794" s="2"/>
      <c r="F1794" s="2"/>
      <c r="G1794" s="2"/>
      <c r="H1794" s="2"/>
      <c r="I1794" s="5"/>
    </row>
    <row r="1795" spans="1:9" ht="17.399999999999999" x14ac:dyDescent="0.25">
      <c r="A1795" s="16"/>
      <c r="B1795" s="17"/>
      <c r="C1795" s="2"/>
      <c r="D1795" s="2"/>
      <c r="E1795" s="2"/>
      <c r="F1795" s="2"/>
      <c r="G1795" s="2"/>
      <c r="H1795" s="2"/>
      <c r="I1795" s="5"/>
    </row>
    <row r="1796" spans="1:9" ht="17.399999999999999" x14ac:dyDescent="0.25">
      <c r="A1796" s="16"/>
      <c r="B1796" s="17"/>
      <c r="C1796" s="2"/>
      <c r="D1796" s="2"/>
      <c r="E1796" s="2"/>
      <c r="F1796" s="2"/>
      <c r="G1796" s="2"/>
      <c r="H1796" s="2"/>
      <c r="I1796" s="5"/>
    </row>
    <row r="1797" spans="1:9" ht="17.399999999999999" x14ac:dyDescent="0.25">
      <c r="A1797" s="16"/>
      <c r="B1797" s="17"/>
      <c r="C1797" s="2"/>
      <c r="D1797" s="2"/>
      <c r="E1797" s="2"/>
      <c r="F1797" s="2"/>
      <c r="G1797" s="2"/>
      <c r="H1797" s="2"/>
      <c r="I1797" s="5"/>
    </row>
    <row r="1798" spans="1:9" ht="17.399999999999999" x14ac:dyDescent="0.25">
      <c r="A1798" s="16"/>
      <c r="B1798" s="17"/>
      <c r="C1798" s="2"/>
      <c r="D1798" s="2"/>
      <c r="E1798" s="2"/>
      <c r="F1798" s="2"/>
      <c r="G1798" s="2"/>
      <c r="H1798" s="2"/>
      <c r="I1798" s="5"/>
    </row>
    <row r="1799" spans="1:9" ht="17.399999999999999" x14ac:dyDescent="0.25">
      <c r="A1799" s="16"/>
      <c r="B1799" s="17"/>
      <c r="C1799" s="2"/>
      <c r="D1799" s="2"/>
      <c r="E1799" s="2"/>
      <c r="F1799" s="2"/>
      <c r="G1799" s="2"/>
      <c r="H1799" s="2"/>
      <c r="I1799" s="5"/>
    </row>
    <row r="1800" spans="1:9" ht="17.399999999999999" x14ac:dyDescent="0.25">
      <c r="A1800" s="16"/>
      <c r="B1800" s="17"/>
      <c r="C1800" s="2"/>
      <c r="D1800" s="2"/>
      <c r="E1800" s="2"/>
      <c r="F1800" s="2"/>
      <c r="G1800" s="2"/>
      <c r="H1800" s="2"/>
      <c r="I1800" s="5"/>
    </row>
    <row r="1801" spans="1:9" ht="17.399999999999999" x14ac:dyDescent="0.25">
      <c r="A1801" s="16"/>
      <c r="B1801" s="17"/>
      <c r="C1801" s="2"/>
      <c r="D1801" s="2"/>
      <c r="E1801" s="2"/>
      <c r="F1801" s="2"/>
      <c r="G1801" s="2"/>
      <c r="H1801" s="2"/>
      <c r="I1801" s="5"/>
    </row>
    <row r="1802" spans="1:9" ht="17.399999999999999" x14ac:dyDescent="0.25">
      <c r="A1802" s="16"/>
      <c r="B1802" s="17"/>
      <c r="C1802" s="2"/>
      <c r="D1802" s="2"/>
      <c r="E1802" s="2"/>
      <c r="F1802" s="2"/>
      <c r="G1802" s="2"/>
      <c r="H1802" s="2"/>
      <c r="I1802" s="5"/>
    </row>
    <row r="1803" spans="1:9" ht="17.399999999999999" x14ac:dyDescent="0.25">
      <c r="A1803" s="16"/>
      <c r="B1803" s="17"/>
      <c r="C1803" s="2"/>
      <c r="D1803" s="2"/>
      <c r="E1803" s="2"/>
      <c r="F1803" s="2"/>
      <c r="G1803" s="2"/>
      <c r="H1803" s="2"/>
      <c r="I1803" s="5"/>
    </row>
    <row r="1804" spans="1:9" ht="17.399999999999999" x14ac:dyDescent="0.25">
      <c r="A1804" s="16"/>
      <c r="B1804" s="17"/>
      <c r="C1804" s="2"/>
      <c r="D1804" s="2"/>
      <c r="E1804" s="2"/>
      <c r="F1804" s="2"/>
      <c r="G1804" s="2"/>
      <c r="H1804" s="2"/>
      <c r="I1804" s="5"/>
    </row>
    <row r="1805" spans="1:9" ht="17.399999999999999" x14ac:dyDescent="0.25">
      <c r="A1805" s="16"/>
      <c r="B1805" s="17"/>
      <c r="C1805" s="2"/>
      <c r="D1805" s="2"/>
      <c r="E1805" s="2"/>
      <c r="F1805" s="2"/>
      <c r="G1805" s="2"/>
      <c r="H1805" s="2"/>
      <c r="I1805" s="5"/>
    </row>
    <row r="1806" spans="1:9" ht="17.399999999999999" x14ac:dyDescent="0.25">
      <c r="A1806" s="16"/>
      <c r="B1806" s="17"/>
      <c r="C1806" s="2"/>
      <c r="D1806" s="2"/>
      <c r="E1806" s="2"/>
      <c r="F1806" s="2"/>
      <c r="G1806" s="2"/>
      <c r="H1806" s="2"/>
      <c r="I1806" s="5"/>
    </row>
    <row r="1807" spans="1:9" ht="17.399999999999999" x14ac:dyDescent="0.25">
      <c r="A1807" s="16"/>
      <c r="B1807" s="17"/>
      <c r="C1807" s="2"/>
      <c r="D1807" s="2"/>
      <c r="E1807" s="2"/>
      <c r="F1807" s="2"/>
      <c r="G1807" s="2"/>
      <c r="H1807" s="2"/>
      <c r="I1807" s="5"/>
    </row>
    <row r="1808" spans="1:9" ht="17.399999999999999" x14ac:dyDescent="0.25">
      <c r="A1808" s="16"/>
      <c r="B1808" s="17"/>
      <c r="C1808" s="2"/>
      <c r="D1808" s="2"/>
      <c r="E1808" s="2"/>
      <c r="F1808" s="2"/>
      <c r="G1808" s="2"/>
      <c r="H1808" s="2"/>
      <c r="I1808" s="5"/>
    </row>
    <row r="1809" spans="1:9" ht="17.399999999999999" x14ac:dyDescent="0.25">
      <c r="A1809" s="16"/>
      <c r="B1809" s="17"/>
      <c r="C1809" s="2"/>
      <c r="D1809" s="2"/>
      <c r="E1809" s="2"/>
      <c r="F1809" s="2"/>
      <c r="G1809" s="2"/>
      <c r="H1809" s="2"/>
      <c r="I1809" s="5"/>
    </row>
    <row r="1810" spans="1:9" ht="17.399999999999999" x14ac:dyDescent="0.25">
      <c r="A1810" s="16"/>
      <c r="B1810" s="17"/>
      <c r="C1810" s="2"/>
      <c r="D1810" s="2"/>
      <c r="E1810" s="2"/>
      <c r="F1810" s="2"/>
      <c r="G1810" s="2"/>
      <c r="H1810" s="2"/>
      <c r="I1810" s="5"/>
    </row>
    <row r="1811" spans="1:9" ht="17.399999999999999" x14ac:dyDescent="0.25">
      <c r="A1811" s="16"/>
      <c r="B1811" s="17"/>
      <c r="C1811" s="2"/>
      <c r="D1811" s="2"/>
      <c r="E1811" s="2"/>
      <c r="F1811" s="2"/>
      <c r="G1811" s="2"/>
      <c r="H1811" s="2"/>
      <c r="I1811" s="5"/>
    </row>
    <row r="1812" spans="1:9" ht="17.399999999999999" x14ac:dyDescent="0.25">
      <c r="A1812" s="16"/>
      <c r="B1812" s="17"/>
      <c r="C1812" s="2"/>
      <c r="D1812" s="2"/>
      <c r="E1812" s="2"/>
      <c r="F1812" s="2"/>
      <c r="G1812" s="2"/>
      <c r="H1812" s="2"/>
      <c r="I1812" s="5"/>
    </row>
    <row r="1813" spans="1:9" ht="17.399999999999999" x14ac:dyDescent="0.25">
      <c r="A1813" s="16"/>
      <c r="B1813" s="17"/>
      <c r="C1813" s="2"/>
      <c r="D1813" s="2"/>
      <c r="E1813" s="2"/>
      <c r="F1813" s="2"/>
      <c r="G1813" s="2"/>
      <c r="H1813" s="2"/>
      <c r="I1813" s="5"/>
    </row>
    <row r="1814" spans="1:9" ht="17.399999999999999" x14ac:dyDescent="0.25">
      <c r="A1814" s="16"/>
      <c r="B1814" s="17"/>
      <c r="C1814" s="2"/>
      <c r="D1814" s="2"/>
      <c r="E1814" s="2"/>
      <c r="F1814" s="2"/>
      <c r="G1814" s="2"/>
      <c r="H1814" s="2"/>
      <c r="I1814" s="5"/>
    </row>
    <row r="1815" spans="1:9" ht="17.399999999999999" x14ac:dyDescent="0.25">
      <c r="A1815" s="16"/>
      <c r="B1815" s="17"/>
      <c r="C1815" s="2"/>
      <c r="D1815" s="2"/>
      <c r="E1815" s="2"/>
      <c r="F1815" s="2"/>
      <c r="G1815" s="2"/>
      <c r="H1815" s="2"/>
      <c r="I1815" s="5"/>
    </row>
    <row r="1816" spans="1:9" ht="17.399999999999999" x14ac:dyDescent="0.25">
      <c r="A1816" s="16"/>
      <c r="B1816" s="17"/>
      <c r="C1816" s="2"/>
      <c r="D1816" s="2"/>
      <c r="E1816" s="2"/>
      <c r="F1816" s="2"/>
      <c r="G1816" s="2"/>
      <c r="H1816" s="2"/>
      <c r="I1816" s="5"/>
    </row>
    <row r="1817" spans="1:9" ht="17.399999999999999" x14ac:dyDescent="0.25">
      <c r="A1817" s="16"/>
      <c r="B1817" s="17"/>
      <c r="C1817" s="2"/>
      <c r="D1817" s="2"/>
      <c r="E1817" s="2"/>
      <c r="F1817" s="2"/>
      <c r="G1817" s="2"/>
      <c r="H1817" s="2"/>
      <c r="I1817" s="5"/>
    </row>
    <row r="1818" spans="1:9" ht="17.399999999999999" x14ac:dyDescent="0.25">
      <c r="A1818" s="16"/>
      <c r="B1818" s="17"/>
      <c r="C1818" s="2"/>
      <c r="D1818" s="2"/>
      <c r="E1818" s="2"/>
      <c r="F1818" s="2"/>
      <c r="G1818" s="2"/>
      <c r="H1818" s="2"/>
      <c r="I1818" s="5"/>
    </row>
    <row r="1819" spans="1:9" ht="17.399999999999999" x14ac:dyDescent="0.25">
      <c r="A1819" s="16"/>
      <c r="B1819" s="17"/>
      <c r="C1819" s="2"/>
      <c r="D1819" s="2"/>
      <c r="E1819" s="2"/>
      <c r="F1819" s="2"/>
      <c r="G1819" s="2"/>
      <c r="H1819" s="2"/>
      <c r="I1819" s="5"/>
    </row>
    <row r="1820" spans="1:9" ht="17.399999999999999" x14ac:dyDescent="0.25">
      <c r="A1820" s="16"/>
      <c r="B1820" s="17"/>
      <c r="C1820" s="2"/>
      <c r="D1820" s="2"/>
      <c r="E1820" s="2"/>
      <c r="F1820" s="2"/>
      <c r="G1820" s="2"/>
      <c r="H1820" s="2"/>
      <c r="I1820" s="5"/>
    </row>
    <row r="1821" spans="1:9" ht="17.399999999999999" x14ac:dyDescent="0.25">
      <c r="A1821" s="16"/>
      <c r="B1821" s="17"/>
      <c r="C1821" s="2"/>
      <c r="D1821" s="2"/>
      <c r="E1821" s="2"/>
      <c r="F1821" s="2"/>
      <c r="G1821" s="2"/>
      <c r="H1821" s="2"/>
      <c r="I1821" s="5"/>
    </row>
    <row r="1822" spans="1:9" ht="17.399999999999999" x14ac:dyDescent="0.25">
      <c r="A1822" s="16"/>
      <c r="B1822" s="17"/>
      <c r="C1822" s="2"/>
      <c r="D1822" s="2"/>
      <c r="E1822" s="2"/>
      <c r="F1822" s="2"/>
      <c r="G1822" s="2"/>
      <c r="H1822" s="2"/>
      <c r="I1822" s="5"/>
    </row>
    <row r="1823" spans="1:9" ht="17.399999999999999" x14ac:dyDescent="0.25">
      <c r="A1823" s="16"/>
      <c r="B1823" s="17"/>
      <c r="C1823" s="2"/>
      <c r="D1823" s="2"/>
      <c r="E1823" s="2"/>
      <c r="F1823" s="2"/>
      <c r="G1823" s="2"/>
      <c r="H1823" s="2"/>
      <c r="I1823" s="5"/>
    </row>
    <row r="1824" spans="1:9" ht="17.399999999999999" x14ac:dyDescent="0.25">
      <c r="A1824" s="16"/>
      <c r="B1824" s="17"/>
      <c r="C1824" s="2"/>
      <c r="D1824" s="2"/>
      <c r="E1824" s="2"/>
      <c r="F1824" s="2"/>
      <c r="G1824" s="2"/>
      <c r="H1824" s="2"/>
      <c r="I1824" s="5"/>
    </row>
    <row r="1825" spans="1:9" ht="17.399999999999999" x14ac:dyDescent="0.25">
      <c r="A1825" s="16"/>
      <c r="B1825" s="17"/>
      <c r="C1825" s="2"/>
      <c r="D1825" s="2"/>
      <c r="E1825" s="2"/>
      <c r="F1825" s="2"/>
      <c r="G1825" s="2"/>
      <c r="H1825" s="2"/>
      <c r="I1825" s="5"/>
    </row>
    <row r="1826" spans="1:9" ht="17.399999999999999" x14ac:dyDescent="0.25">
      <c r="A1826" s="16"/>
      <c r="B1826" s="17"/>
      <c r="C1826" s="2"/>
      <c r="D1826" s="2"/>
      <c r="E1826" s="2"/>
      <c r="F1826" s="2"/>
      <c r="G1826" s="2"/>
      <c r="H1826" s="2"/>
      <c r="I1826" s="5"/>
    </row>
    <row r="1827" spans="1:9" ht="17.399999999999999" x14ac:dyDescent="0.25">
      <c r="A1827" s="16"/>
      <c r="B1827" s="17"/>
      <c r="C1827" s="2"/>
      <c r="D1827" s="2"/>
      <c r="E1827" s="2"/>
      <c r="F1827" s="2"/>
      <c r="G1827" s="2"/>
      <c r="H1827" s="2"/>
      <c r="I1827" s="5"/>
    </row>
    <row r="1828" spans="1:9" ht="17.399999999999999" x14ac:dyDescent="0.25">
      <c r="A1828" s="16"/>
      <c r="B1828" s="17"/>
      <c r="C1828" s="2"/>
      <c r="D1828" s="2"/>
      <c r="E1828" s="2"/>
      <c r="F1828" s="2"/>
      <c r="G1828" s="2"/>
      <c r="H1828" s="2"/>
      <c r="I1828" s="5"/>
    </row>
    <row r="1829" spans="1:9" ht="17.399999999999999" x14ac:dyDescent="0.25">
      <c r="A1829" s="16"/>
      <c r="B1829" s="17"/>
      <c r="C1829" s="2"/>
      <c r="D1829" s="2"/>
      <c r="E1829" s="2"/>
      <c r="F1829" s="2"/>
      <c r="G1829" s="2"/>
      <c r="H1829" s="2"/>
      <c r="I1829" s="5"/>
    </row>
    <row r="1830" spans="1:9" ht="17.399999999999999" x14ac:dyDescent="0.25">
      <c r="A1830" s="16"/>
      <c r="B1830" s="17"/>
      <c r="C1830" s="2"/>
      <c r="D1830" s="2"/>
      <c r="E1830" s="2"/>
      <c r="F1830" s="2"/>
      <c r="G1830" s="2"/>
      <c r="H1830" s="2"/>
      <c r="I1830" s="5"/>
    </row>
    <row r="1831" spans="1:9" ht="17.399999999999999" x14ac:dyDescent="0.25">
      <c r="A1831" s="16"/>
      <c r="B1831" s="17"/>
      <c r="C1831" s="2"/>
      <c r="D1831" s="2"/>
      <c r="E1831" s="2"/>
      <c r="F1831" s="2"/>
      <c r="G1831" s="2"/>
      <c r="H1831" s="2"/>
      <c r="I1831" s="5"/>
    </row>
    <row r="1832" spans="1:9" ht="17.399999999999999" x14ac:dyDescent="0.25">
      <c r="A1832" s="16"/>
      <c r="B1832" s="17"/>
      <c r="C1832" s="2"/>
      <c r="D1832" s="2"/>
      <c r="E1832" s="2"/>
      <c r="F1832" s="2"/>
      <c r="G1832" s="2"/>
      <c r="H1832" s="2"/>
      <c r="I1832" s="5"/>
    </row>
    <row r="1833" spans="1:9" ht="17.399999999999999" x14ac:dyDescent="0.25">
      <c r="A1833" s="16"/>
      <c r="B1833" s="17"/>
      <c r="C1833" s="2"/>
      <c r="D1833" s="2"/>
      <c r="E1833" s="2"/>
      <c r="F1833" s="2"/>
      <c r="G1833" s="2"/>
      <c r="H1833" s="2"/>
      <c r="I1833" s="5"/>
    </row>
    <row r="1834" spans="1:9" ht="17.399999999999999" x14ac:dyDescent="0.25">
      <c r="A1834" s="16"/>
      <c r="B1834" s="17"/>
      <c r="C1834" s="2"/>
      <c r="D1834" s="2"/>
      <c r="E1834" s="2"/>
      <c r="F1834" s="2"/>
      <c r="G1834" s="2"/>
      <c r="H1834" s="2"/>
      <c r="I1834" s="5"/>
    </row>
    <row r="1835" spans="1:9" ht="17.399999999999999" x14ac:dyDescent="0.25">
      <c r="A1835" s="16"/>
      <c r="B1835" s="17"/>
      <c r="C1835" s="2"/>
      <c r="D1835" s="2"/>
      <c r="E1835" s="2"/>
      <c r="F1835" s="2"/>
      <c r="G1835" s="2"/>
      <c r="H1835" s="2"/>
      <c r="I1835" s="5"/>
    </row>
    <row r="1836" spans="1:9" ht="17.399999999999999" x14ac:dyDescent="0.25">
      <c r="A1836" s="16"/>
      <c r="B1836" s="17"/>
      <c r="C1836" s="2"/>
      <c r="D1836" s="2"/>
      <c r="E1836" s="2"/>
      <c r="F1836" s="2"/>
      <c r="G1836" s="2"/>
      <c r="H1836" s="2"/>
      <c r="I1836" s="5"/>
    </row>
    <row r="1837" spans="1:9" ht="17.399999999999999" x14ac:dyDescent="0.25">
      <c r="A1837" s="16"/>
      <c r="B1837" s="17"/>
      <c r="C1837" s="2"/>
      <c r="D1837" s="2"/>
      <c r="E1837" s="2"/>
      <c r="F1837" s="2"/>
      <c r="G1837" s="2"/>
      <c r="H1837" s="2"/>
      <c r="I1837" s="5"/>
    </row>
    <row r="1838" spans="1:9" ht="17.399999999999999" x14ac:dyDescent="0.25">
      <c r="A1838" s="16"/>
      <c r="B1838" s="17"/>
      <c r="C1838" s="2"/>
      <c r="D1838" s="2"/>
      <c r="E1838" s="2"/>
      <c r="F1838" s="2"/>
      <c r="G1838" s="2"/>
      <c r="H1838" s="2"/>
      <c r="I1838" s="5"/>
    </row>
    <row r="1839" spans="1:9" ht="17.399999999999999" x14ac:dyDescent="0.25">
      <c r="A1839" s="16"/>
      <c r="B1839" s="17"/>
      <c r="C1839" s="2"/>
      <c r="D1839" s="2"/>
      <c r="E1839" s="2"/>
      <c r="F1839" s="2"/>
      <c r="G1839" s="2"/>
      <c r="H1839" s="2"/>
      <c r="I1839" s="5"/>
    </row>
    <row r="1840" spans="1:9" ht="17.399999999999999" x14ac:dyDescent="0.25">
      <c r="A1840" s="16"/>
      <c r="B1840" s="17"/>
      <c r="C1840" s="2"/>
      <c r="D1840" s="2"/>
      <c r="E1840" s="2"/>
      <c r="F1840" s="2"/>
      <c r="G1840" s="2"/>
      <c r="H1840" s="2"/>
      <c r="I1840" s="5"/>
    </row>
    <row r="1841" spans="1:9" ht="17.399999999999999" x14ac:dyDescent="0.25">
      <c r="A1841" s="16"/>
      <c r="B1841" s="17"/>
      <c r="C1841" s="2"/>
      <c r="D1841" s="2"/>
      <c r="E1841" s="2"/>
      <c r="F1841" s="2"/>
      <c r="G1841" s="2"/>
      <c r="H1841" s="2"/>
      <c r="I1841" s="5"/>
    </row>
    <row r="1842" spans="1:9" ht="17.399999999999999" x14ac:dyDescent="0.25">
      <c r="A1842" s="16"/>
      <c r="B1842" s="17"/>
      <c r="C1842" s="2"/>
      <c r="D1842" s="2"/>
      <c r="E1842" s="2"/>
      <c r="F1842" s="2"/>
      <c r="G1842" s="2"/>
      <c r="H1842" s="2"/>
      <c r="I1842" s="5"/>
    </row>
    <row r="1843" spans="1:9" ht="17.399999999999999" x14ac:dyDescent="0.25">
      <c r="A1843" s="16"/>
      <c r="B1843" s="17"/>
      <c r="C1843" s="2"/>
      <c r="D1843" s="2"/>
      <c r="E1843" s="2"/>
      <c r="F1843" s="2"/>
      <c r="G1843" s="2"/>
      <c r="H1843" s="2"/>
      <c r="I1843" s="5"/>
    </row>
    <row r="1844" spans="1:9" ht="17.399999999999999" x14ac:dyDescent="0.25">
      <c r="A1844" s="16"/>
      <c r="B1844" s="17"/>
      <c r="C1844" s="2"/>
      <c r="D1844" s="2"/>
      <c r="E1844" s="2"/>
      <c r="F1844" s="2"/>
      <c r="G1844" s="2"/>
      <c r="H1844" s="2"/>
      <c r="I1844" s="5"/>
    </row>
    <row r="1845" spans="1:9" ht="17.399999999999999" x14ac:dyDescent="0.25">
      <c r="A1845" s="16"/>
      <c r="B1845" s="17"/>
      <c r="C1845" s="2"/>
      <c r="D1845" s="2"/>
      <c r="E1845" s="2"/>
      <c r="F1845" s="2"/>
      <c r="G1845" s="2"/>
      <c r="H1845" s="2"/>
      <c r="I1845" s="5"/>
    </row>
    <row r="1846" spans="1:9" ht="17.399999999999999" x14ac:dyDescent="0.25">
      <c r="A1846" s="16"/>
      <c r="B1846" s="17"/>
      <c r="C1846" s="2"/>
      <c r="D1846" s="2"/>
      <c r="E1846" s="2"/>
      <c r="F1846" s="2"/>
      <c r="G1846" s="2"/>
      <c r="H1846" s="2"/>
      <c r="I1846" s="5"/>
    </row>
    <row r="1847" spans="1:9" ht="17.399999999999999" x14ac:dyDescent="0.25">
      <c r="A1847" s="16"/>
      <c r="B1847" s="17"/>
      <c r="C1847" s="2"/>
      <c r="D1847" s="2"/>
      <c r="E1847" s="2"/>
      <c r="F1847" s="2"/>
      <c r="G1847" s="2"/>
      <c r="H1847" s="2"/>
      <c r="I1847" s="5"/>
    </row>
    <row r="1848" spans="1:9" ht="17.399999999999999" x14ac:dyDescent="0.25">
      <c r="A1848" s="16"/>
      <c r="B1848" s="17"/>
      <c r="C1848" s="2"/>
      <c r="D1848" s="2"/>
      <c r="E1848" s="2"/>
      <c r="F1848" s="2"/>
      <c r="G1848" s="2"/>
      <c r="H1848" s="2"/>
      <c r="I1848" s="5"/>
    </row>
    <row r="1849" spans="1:9" ht="17.399999999999999" x14ac:dyDescent="0.25">
      <c r="A1849" s="16"/>
      <c r="B1849" s="17"/>
      <c r="C1849" s="2"/>
      <c r="D1849" s="2"/>
      <c r="E1849" s="2"/>
      <c r="F1849" s="2"/>
      <c r="G1849" s="2"/>
      <c r="H1849" s="2"/>
      <c r="I1849" s="5"/>
    </row>
    <row r="1850" spans="1:9" ht="17.399999999999999" x14ac:dyDescent="0.25">
      <c r="A1850" s="16"/>
      <c r="B1850" s="17"/>
      <c r="C1850" s="2"/>
      <c r="D1850" s="2"/>
      <c r="E1850" s="2"/>
      <c r="F1850" s="2"/>
      <c r="G1850" s="2"/>
      <c r="H1850" s="2"/>
      <c r="I1850" s="5"/>
    </row>
    <row r="1851" spans="1:9" ht="17.399999999999999" x14ac:dyDescent="0.25">
      <c r="A1851" s="16"/>
      <c r="B1851" s="17"/>
      <c r="C1851" s="2"/>
      <c r="D1851" s="2"/>
      <c r="E1851" s="2"/>
      <c r="F1851" s="2"/>
      <c r="G1851" s="2"/>
      <c r="H1851" s="2"/>
      <c r="I1851" s="5"/>
    </row>
    <row r="1852" spans="1:9" ht="17.399999999999999" x14ac:dyDescent="0.25">
      <c r="A1852" s="16"/>
      <c r="B1852" s="17"/>
      <c r="C1852" s="2"/>
      <c r="D1852" s="2"/>
      <c r="E1852" s="2"/>
      <c r="F1852" s="2"/>
      <c r="G1852" s="2"/>
      <c r="H1852" s="2"/>
      <c r="I1852" s="5"/>
    </row>
    <row r="1853" spans="1:9" ht="17.399999999999999" x14ac:dyDescent="0.25">
      <c r="A1853" s="16"/>
      <c r="B1853" s="17"/>
      <c r="C1853" s="2"/>
      <c r="D1853" s="2"/>
      <c r="E1853" s="2"/>
      <c r="F1853" s="2"/>
      <c r="G1853" s="2"/>
      <c r="H1853" s="2"/>
      <c r="I1853" s="5"/>
    </row>
    <row r="1854" spans="1:9" ht="17.399999999999999" x14ac:dyDescent="0.25">
      <c r="A1854" s="16"/>
      <c r="B1854" s="17"/>
      <c r="C1854" s="2"/>
      <c r="D1854" s="2"/>
      <c r="E1854" s="2"/>
      <c r="F1854" s="2"/>
      <c r="G1854" s="2"/>
      <c r="H1854" s="2"/>
      <c r="I1854" s="5"/>
    </row>
    <row r="1855" spans="1:9" ht="17.399999999999999" x14ac:dyDescent="0.25">
      <c r="A1855" s="16"/>
      <c r="B1855" s="17"/>
      <c r="C1855" s="2"/>
      <c r="D1855" s="2"/>
      <c r="E1855" s="2"/>
      <c r="F1855" s="2"/>
      <c r="G1855" s="2"/>
      <c r="H1855" s="2"/>
      <c r="I1855" s="5"/>
    </row>
    <row r="1856" spans="1:9" ht="17.399999999999999" x14ac:dyDescent="0.25">
      <c r="A1856" s="16"/>
      <c r="B1856" s="17"/>
      <c r="C1856" s="2"/>
      <c r="D1856" s="2"/>
      <c r="E1856" s="2"/>
      <c r="F1856" s="2"/>
      <c r="G1856" s="2"/>
      <c r="H1856" s="2"/>
      <c r="I1856" s="5"/>
    </row>
    <row r="1857" spans="1:9" ht="17.399999999999999" x14ac:dyDescent="0.25">
      <c r="A1857" s="16"/>
      <c r="B1857" s="17"/>
      <c r="C1857" s="2"/>
      <c r="D1857" s="2"/>
      <c r="E1857" s="2"/>
      <c r="F1857" s="2"/>
      <c r="G1857" s="2"/>
      <c r="H1857" s="2"/>
      <c r="I1857" s="5"/>
    </row>
    <row r="1858" spans="1:9" ht="17.399999999999999" x14ac:dyDescent="0.25">
      <c r="A1858" s="16"/>
      <c r="B1858" s="17"/>
      <c r="C1858" s="2"/>
      <c r="D1858" s="2"/>
      <c r="E1858" s="2"/>
      <c r="F1858" s="2"/>
      <c r="G1858" s="2"/>
      <c r="H1858" s="2"/>
      <c r="I1858" s="5"/>
    </row>
    <row r="1859" spans="1:9" ht="17.399999999999999" x14ac:dyDescent="0.25">
      <c r="A1859" s="16"/>
      <c r="B1859" s="17"/>
      <c r="C1859" s="2"/>
      <c r="D1859" s="2"/>
      <c r="E1859" s="2"/>
      <c r="F1859" s="2"/>
      <c r="G1859" s="2"/>
      <c r="H1859" s="2"/>
      <c r="I1859" s="5"/>
    </row>
    <row r="1860" spans="1:9" ht="17.399999999999999" x14ac:dyDescent="0.25">
      <c r="A1860" s="16"/>
      <c r="B1860" s="17"/>
      <c r="C1860" s="2"/>
      <c r="D1860" s="2"/>
      <c r="E1860" s="2"/>
      <c r="F1860" s="2"/>
      <c r="G1860" s="2"/>
      <c r="H1860" s="2"/>
      <c r="I1860" s="5"/>
    </row>
    <row r="1861" spans="1:9" ht="17.399999999999999" x14ac:dyDescent="0.25">
      <c r="A1861" s="16"/>
      <c r="B1861" s="17"/>
      <c r="C1861" s="2"/>
      <c r="D1861" s="2"/>
      <c r="E1861" s="2"/>
      <c r="F1861" s="2"/>
      <c r="G1861" s="2"/>
      <c r="H1861" s="2"/>
      <c r="I1861" s="5"/>
    </row>
    <row r="1862" spans="1:9" ht="17.399999999999999" x14ac:dyDescent="0.25">
      <c r="A1862" s="16"/>
      <c r="B1862" s="17"/>
      <c r="C1862" s="2"/>
      <c r="D1862" s="2"/>
      <c r="E1862" s="2"/>
      <c r="F1862" s="2"/>
      <c r="G1862" s="2"/>
      <c r="H1862" s="2"/>
      <c r="I1862" s="5"/>
    </row>
    <row r="1863" spans="1:9" ht="17.399999999999999" x14ac:dyDescent="0.25">
      <c r="A1863" s="16"/>
      <c r="B1863" s="17"/>
      <c r="C1863" s="2"/>
      <c r="D1863" s="2"/>
      <c r="E1863" s="2"/>
      <c r="F1863" s="2"/>
      <c r="G1863" s="2"/>
      <c r="H1863" s="2"/>
      <c r="I1863" s="5"/>
    </row>
    <row r="1864" spans="1:9" ht="17.399999999999999" x14ac:dyDescent="0.25">
      <c r="A1864" s="16"/>
      <c r="B1864" s="17"/>
      <c r="C1864" s="2"/>
      <c r="D1864" s="2"/>
      <c r="E1864" s="2"/>
      <c r="F1864" s="2"/>
      <c r="G1864" s="2"/>
      <c r="H1864" s="2"/>
      <c r="I1864" s="5"/>
    </row>
    <row r="1865" spans="1:9" ht="17.399999999999999" x14ac:dyDescent="0.25">
      <c r="A1865" s="16"/>
      <c r="B1865" s="17"/>
      <c r="C1865" s="2"/>
      <c r="D1865" s="2"/>
      <c r="E1865" s="2"/>
      <c r="F1865" s="2"/>
      <c r="G1865" s="2"/>
      <c r="H1865" s="2"/>
      <c r="I1865" s="5"/>
    </row>
    <row r="1866" spans="1:9" ht="17.399999999999999" x14ac:dyDescent="0.25">
      <c r="A1866" s="16"/>
      <c r="B1866" s="17"/>
      <c r="C1866" s="2"/>
      <c r="D1866" s="2"/>
      <c r="E1866" s="2"/>
      <c r="F1866" s="2"/>
      <c r="G1866" s="2"/>
      <c r="H1866" s="2"/>
      <c r="I1866" s="5"/>
    </row>
    <row r="1867" spans="1:9" ht="17.399999999999999" x14ac:dyDescent="0.25">
      <c r="A1867" s="16"/>
      <c r="B1867" s="17"/>
      <c r="C1867" s="2"/>
      <c r="D1867" s="2"/>
      <c r="E1867" s="2"/>
      <c r="F1867" s="2"/>
      <c r="G1867" s="2"/>
      <c r="H1867" s="2"/>
      <c r="I1867" s="5"/>
    </row>
    <row r="1868" spans="1:9" ht="17.399999999999999" x14ac:dyDescent="0.25">
      <c r="A1868" s="16"/>
      <c r="B1868" s="17"/>
      <c r="C1868" s="2"/>
      <c r="D1868" s="2"/>
      <c r="E1868" s="2"/>
      <c r="F1868" s="2"/>
      <c r="G1868" s="2"/>
      <c r="H1868" s="2"/>
      <c r="I1868" s="5"/>
    </row>
    <row r="1869" spans="1:9" ht="17.399999999999999" x14ac:dyDescent="0.25">
      <c r="A1869" s="16"/>
      <c r="B1869" s="17"/>
      <c r="C1869" s="2"/>
      <c r="D1869" s="2"/>
      <c r="E1869" s="2"/>
      <c r="F1869" s="2"/>
      <c r="G1869" s="2"/>
      <c r="H1869" s="2"/>
      <c r="I1869" s="5"/>
    </row>
    <row r="1870" spans="1:9" ht="17.399999999999999" x14ac:dyDescent="0.25">
      <c r="A1870" s="16"/>
      <c r="B1870" s="17"/>
      <c r="C1870" s="2"/>
      <c r="D1870" s="2"/>
      <c r="E1870" s="2"/>
      <c r="F1870" s="2"/>
      <c r="G1870" s="2"/>
      <c r="H1870" s="2"/>
      <c r="I1870" s="5"/>
    </row>
    <row r="1871" spans="1:9" ht="17.399999999999999" x14ac:dyDescent="0.25">
      <c r="A1871" s="16"/>
      <c r="B1871" s="17"/>
      <c r="C1871" s="2"/>
      <c r="D1871" s="2"/>
      <c r="E1871" s="2"/>
      <c r="F1871" s="2"/>
      <c r="G1871" s="2"/>
      <c r="H1871" s="2"/>
      <c r="I1871" s="5"/>
    </row>
    <row r="1872" spans="1:9" ht="17.399999999999999" x14ac:dyDescent="0.25">
      <c r="A1872" s="16"/>
      <c r="B1872" s="17"/>
      <c r="C1872" s="2"/>
      <c r="D1872" s="2"/>
      <c r="E1872" s="2"/>
      <c r="F1872" s="2"/>
      <c r="G1872" s="2"/>
      <c r="H1872" s="2"/>
      <c r="I1872" s="5"/>
    </row>
    <row r="1873" spans="1:9" ht="17.399999999999999" x14ac:dyDescent="0.25">
      <c r="A1873" s="16"/>
      <c r="B1873" s="17"/>
      <c r="C1873" s="2"/>
      <c r="D1873" s="2"/>
      <c r="E1873" s="2"/>
      <c r="F1873" s="2"/>
      <c r="G1873" s="2"/>
      <c r="H1873" s="2"/>
      <c r="I1873" s="5"/>
    </row>
    <row r="1874" spans="1:9" ht="17.399999999999999" x14ac:dyDescent="0.25">
      <c r="A1874" s="16"/>
      <c r="B1874" s="17"/>
      <c r="C1874" s="2"/>
      <c r="D1874" s="2"/>
      <c r="E1874" s="2"/>
      <c r="F1874" s="2"/>
      <c r="G1874" s="2"/>
      <c r="H1874" s="2"/>
      <c r="I1874" s="5"/>
    </row>
    <row r="1875" spans="1:9" ht="17.399999999999999" x14ac:dyDescent="0.25">
      <c r="A1875" s="16"/>
      <c r="B1875" s="17"/>
      <c r="C1875" s="2"/>
      <c r="D1875" s="2"/>
      <c r="E1875" s="2"/>
      <c r="F1875" s="2"/>
      <c r="G1875" s="2"/>
      <c r="H1875" s="2"/>
      <c r="I1875" s="5"/>
    </row>
    <row r="1876" spans="1:9" ht="17.399999999999999" x14ac:dyDescent="0.25">
      <c r="A1876" s="16"/>
      <c r="B1876" s="17"/>
      <c r="C1876" s="2"/>
      <c r="D1876" s="2"/>
      <c r="E1876" s="2"/>
      <c r="F1876" s="2"/>
      <c r="G1876" s="2"/>
      <c r="H1876" s="2"/>
      <c r="I1876" s="5"/>
    </row>
    <row r="1877" spans="1:9" ht="17.399999999999999" x14ac:dyDescent="0.25">
      <c r="A1877" s="16"/>
      <c r="B1877" s="17"/>
      <c r="C1877" s="2"/>
      <c r="D1877" s="2"/>
      <c r="E1877" s="2"/>
      <c r="F1877" s="2"/>
      <c r="G1877" s="2"/>
      <c r="H1877" s="2"/>
      <c r="I1877" s="5"/>
    </row>
    <row r="1878" spans="1:9" ht="17.399999999999999" x14ac:dyDescent="0.25">
      <c r="A1878" s="16"/>
      <c r="B1878" s="17"/>
      <c r="C1878" s="2"/>
      <c r="D1878" s="2"/>
      <c r="E1878" s="2"/>
      <c r="F1878" s="2"/>
      <c r="G1878" s="2"/>
      <c r="H1878" s="2"/>
      <c r="I1878" s="5"/>
    </row>
    <row r="1879" spans="1:9" ht="17.399999999999999" x14ac:dyDescent="0.25">
      <c r="A1879" s="16"/>
      <c r="B1879" s="17"/>
      <c r="C1879" s="2"/>
      <c r="D1879" s="2"/>
      <c r="E1879" s="2"/>
      <c r="F1879" s="2"/>
      <c r="G1879" s="2"/>
      <c r="H1879" s="2"/>
      <c r="I1879" s="5"/>
    </row>
    <row r="1880" spans="1:9" ht="17.399999999999999" x14ac:dyDescent="0.25">
      <c r="A1880" s="16"/>
      <c r="B1880" s="17"/>
      <c r="C1880" s="2"/>
      <c r="D1880" s="2"/>
      <c r="E1880" s="2"/>
      <c r="F1880" s="2"/>
      <c r="G1880" s="2"/>
      <c r="H1880" s="2"/>
      <c r="I1880" s="5"/>
    </row>
    <row r="1881" spans="1:9" ht="17.399999999999999" x14ac:dyDescent="0.25">
      <c r="A1881" s="16"/>
      <c r="B1881" s="17"/>
      <c r="C1881" s="2"/>
      <c r="D1881" s="2"/>
      <c r="E1881" s="2"/>
      <c r="F1881" s="2"/>
      <c r="G1881" s="2"/>
      <c r="H1881" s="2"/>
      <c r="I1881" s="5"/>
    </row>
    <row r="1882" spans="1:9" ht="17.399999999999999" x14ac:dyDescent="0.25">
      <c r="A1882" s="16"/>
      <c r="B1882" s="17"/>
      <c r="C1882" s="2"/>
      <c r="D1882" s="2"/>
      <c r="E1882" s="2"/>
      <c r="F1882" s="2"/>
      <c r="G1882" s="2"/>
      <c r="H1882" s="2"/>
      <c r="I1882" s="5"/>
    </row>
    <row r="1883" spans="1:9" ht="17.399999999999999" x14ac:dyDescent="0.25">
      <c r="A1883" s="16"/>
      <c r="B1883" s="17"/>
      <c r="C1883" s="2"/>
      <c r="D1883" s="2"/>
      <c r="E1883" s="2"/>
      <c r="F1883" s="2"/>
      <c r="G1883" s="2"/>
      <c r="H1883" s="2"/>
      <c r="I1883" s="5"/>
    </row>
    <row r="1884" spans="1:9" ht="17.399999999999999" x14ac:dyDescent="0.25">
      <c r="A1884" s="16"/>
      <c r="B1884" s="17"/>
      <c r="C1884" s="2"/>
      <c r="D1884" s="2"/>
      <c r="E1884" s="2"/>
      <c r="F1884" s="2"/>
      <c r="G1884" s="2"/>
      <c r="H1884" s="2"/>
      <c r="I1884" s="5"/>
    </row>
    <row r="1885" spans="1:9" ht="17.399999999999999" x14ac:dyDescent="0.25">
      <c r="A1885" s="16"/>
      <c r="B1885" s="17"/>
      <c r="C1885" s="2"/>
      <c r="D1885" s="2"/>
      <c r="E1885" s="2"/>
      <c r="F1885" s="2"/>
      <c r="G1885" s="2"/>
      <c r="H1885" s="2"/>
      <c r="I1885" s="5"/>
    </row>
    <row r="1886" spans="1:9" ht="17.399999999999999" x14ac:dyDescent="0.25">
      <c r="A1886" s="16"/>
      <c r="B1886" s="17"/>
      <c r="C1886" s="2"/>
      <c r="D1886" s="2"/>
      <c r="E1886" s="2"/>
      <c r="F1886" s="2"/>
      <c r="G1886" s="2"/>
      <c r="H1886" s="2"/>
      <c r="I1886" s="5"/>
    </row>
    <row r="1887" spans="1:9" ht="17.399999999999999" x14ac:dyDescent="0.25">
      <c r="A1887" s="16"/>
      <c r="B1887" s="17"/>
      <c r="C1887" s="2"/>
      <c r="D1887" s="2"/>
      <c r="E1887" s="2"/>
      <c r="F1887" s="2"/>
      <c r="G1887" s="2"/>
      <c r="H1887" s="2"/>
      <c r="I1887" s="5"/>
    </row>
    <row r="1888" spans="1:9" ht="17.399999999999999" x14ac:dyDescent="0.25">
      <c r="A1888" s="16"/>
      <c r="B1888" s="17"/>
      <c r="C1888" s="2"/>
      <c r="D1888" s="2"/>
      <c r="E1888" s="2"/>
      <c r="F1888" s="2"/>
      <c r="G1888" s="2"/>
      <c r="H1888" s="2"/>
      <c r="I1888" s="5"/>
    </row>
    <row r="1889" spans="1:9" ht="17.399999999999999" x14ac:dyDescent="0.25">
      <c r="A1889" s="16"/>
      <c r="B1889" s="17"/>
      <c r="C1889" s="2"/>
      <c r="D1889" s="2"/>
      <c r="E1889" s="2"/>
      <c r="F1889" s="2"/>
      <c r="G1889" s="2"/>
      <c r="H1889" s="2"/>
      <c r="I1889" s="5"/>
    </row>
    <row r="1890" spans="1:9" ht="17.399999999999999" x14ac:dyDescent="0.25">
      <c r="A1890" s="16"/>
      <c r="B1890" s="17"/>
      <c r="C1890" s="2"/>
      <c r="D1890" s="2"/>
      <c r="E1890" s="2"/>
      <c r="F1890" s="2"/>
      <c r="G1890" s="2"/>
      <c r="H1890" s="2"/>
      <c r="I1890" s="5"/>
    </row>
    <row r="1891" spans="1:9" ht="17.399999999999999" x14ac:dyDescent="0.25">
      <c r="A1891" s="16"/>
      <c r="B1891" s="17"/>
      <c r="C1891" s="2"/>
      <c r="D1891" s="2"/>
      <c r="E1891" s="2"/>
      <c r="F1891" s="2"/>
      <c r="G1891" s="2"/>
      <c r="H1891" s="2"/>
      <c r="I1891" s="5"/>
    </row>
    <row r="1892" spans="1:9" ht="17.399999999999999" x14ac:dyDescent="0.25">
      <c r="A1892" s="16"/>
      <c r="B1892" s="17"/>
      <c r="C1892" s="2"/>
      <c r="D1892" s="2"/>
      <c r="E1892" s="2"/>
      <c r="F1892" s="2"/>
      <c r="G1892" s="2"/>
      <c r="H1892" s="2"/>
      <c r="I1892" s="5"/>
    </row>
    <row r="1893" spans="1:9" ht="17.399999999999999" x14ac:dyDescent="0.25">
      <c r="A1893" s="16"/>
      <c r="B1893" s="17"/>
      <c r="C1893" s="2"/>
      <c r="D1893" s="2"/>
      <c r="E1893" s="2"/>
      <c r="F1893" s="2"/>
      <c r="G1893" s="2"/>
      <c r="H1893" s="2"/>
      <c r="I1893" s="5"/>
    </row>
    <row r="1894" spans="1:9" ht="17.399999999999999" x14ac:dyDescent="0.25">
      <c r="A1894" s="16"/>
      <c r="B1894" s="17"/>
      <c r="C1894" s="2"/>
      <c r="D1894" s="2"/>
      <c r="E1894" s="2"/>
      <c r="F1894" s="2"/>
      <c r="G1894" s="2"/>
      <c r="H1894" s="2"/>
      <c r="I1894" s="5"/>
    </row>
    <row r="1895" spans="1:9" ht="17.399999999999999" x14ac:dyDescent="0.25">
      <c r="A1895" s="16"/>
      <c r="B1895" s="17"/>
      <c r="C1895" s="2"/>
      <c r="D1895" s="2"/>
      <c r="E1895" s="2"/>
      <c r="F1895" s="2"/>
      <c r="G1895" s="2"/>
      <c r="H1895" s="2"/>
      <c r="I1895" s="5"/>
    </row>
    <row r="1896" spans="1:9" ht="17.399999999999999" x14ac:dyDescent="0.25">
      <c r="A1896" s="16"/>
      <c r="B1896" s="17"/>
      <c r="C1896" s="2"/>
      <c r="D1896" s="2"/>
      <c r="E1896" s="2"/>
      <c r="F1896" s="2"/>
      <c r="G1896" s="2"/>
      <c r="H1896" s="2"/>
      <c r="I1896" s="5"/>
    </row>
    <row r="1897" spans="1:9" ht="17.399999999999999" x14ac:dyDescent="0.25">
      <c r="A1897" s="16"/>
      <c r="B1897" s="17"/>
      <c r="C1897" s="2"/>
      <c r="D1897" s="2"/>
      <c r="E1897" s="2"/>
      <c r="F1897" s="2"/>
      <c r="G1897" s="2"/>
      <c r="H1897" s="2"/>
      <c r="I1897" s="5"/>
    </row>
    <row r="1898" spans="1:9" ht="17.399999999999999" x14ac:dyDescent="0.25">
      <c r="A1898" s="16"/>
      <c r="B1898" s="17"/>
      <c r="C1898" s="2"/>
      <c r="D1898" s="2"/>
      <c r="E1898" s="2"/>
      <c r="F1898" s="2"/>
      <c r="G1898" s="2"/>
      <c r="H1898" s="2"/>
      <c r="I1898" s="5"/>
    </row>
    <row r="1899" spans="1:9" ht="17.399999999999999" x14ac:dyDescent="0.25">
      <c r="A1899" s="16"/>
      <c r="B1899" s="17"/>
      <c r="C1899" s="2"/>
      <c r="D1899" s="2"/>
      <c r="E1899" s="2"/>
      <c r="F1899" s="2"/>
      <c r="G1899" s="2"/>
      <c r="H1899" s="2"/>
      <c r="I1899" s="5"/>
    </row>
    <row r="1900" spans="1:9" ht="17.399999999999999" x14ac:dyDescent="0.25">
      <c r="A1900" s="16"/>
      <c r="B1900" s="17"/>
      <c r="C1900" s="2"/>
      <c r="D1900" s="2"/>
      <c r="E1900" s="2"/>
      <c r="F1900" s="2"/>
      <c r="G1900" s="2"/>
      <c r="H1900" s="2"/>
      <c r="I1900" s="5"/>
    </row>
    <row r="1901" spans="1:9" ht="17.399999999999999" x14ac:dyDescent="0.25">
      <c r="A1901" s="16"/>
      <c r="B1901" s="17"/>
      <c r="C1901" s="2"/>
      <c r="D1901" s="2"/>
      <c r="E1901" s="2"/>
      <c r="F1901" s="2"/>
      <c r="G1901" s="2"/>
      <c r="H1901" s="2"/>
      <c r="I1901" s="5"/>
    </row>
    <row r="1902" spans="1:9" ht="17.399999999999999" x14ac:dyDescent="0.25">
      <c r="A1902" s="16"/>
      <c r="B1902" s="17"/>
      <c r="C1902" s="2"/>
      <c r="D1902" s="2"/>
      <c r="E1902" s="2"/>
      <c r="F1902" s="2"/>
      <c r="G1902" s="2"/>
      <c r="H1902" s="2"/>
      <c r="I1902" s="5"/>
    </row>
    <row r="1903" spans="1:9" ht="17.399999999999999" x14ac:dyDescent="0.25">
      <c r="A1903" s="16"/>
      <c r="B1903" s="17"/>
      <c r="C1903" s="2"/>
      <c r="D1903" s="2"/>
      <c r="E1903" s="2"/>
      <c r="F1903" s="2"/>
      <c r="G1903" s="2"/>
      <c r="H1903" s="2"/>
      <c r="I1903" s="5"/>
    </row>
    <row r="1904" spans="1:9" ht="17.399999999999999" x14ac:dyDescent="0.25">
      <c r="A1904" s="16"/>
      <c r="B1904" s="17"/>
      <c r="C1904" s="2"/>
      <c r="D1904" s="2"/>
      <c r="E1904" s="2"/>
      <c r="F1904" s="2"/>
      <c r="G1904" s="2"/>
      <c r="H1904" s="2"/>
      <c r="I1904" s="5"/>
    </row>
    <row r="1905" spans="1:9" ht="17.399999999999999" x14ac:dyDescent="0.25">
      <c r="A1905" s="16"/>
      <c r="B1905" s="17"/>
      <c r="C1905" s="2"/>
      <c r="D1905" s="2"/>
      <c r="E1905" s="2"/>
      <c r="F1905" s="2"/>
      <c r="G1905" s="2"/>
      <c r="H1905" s="2"/>
      <c r="I1905" s="5"/>
    </row>
    <row r="1906" spans="1:9" ht="17.399999999999999" x14ac:dyDescent="0.25">
      <c r="A1906" s="16"/>
      <c r="B1906" s="17"/>
      <c r="C1906" s="2"/>
      <c r="D1906" s="2"/>
      <c r="E1906" s="2"/>
      <c r="F1906" s="2"/>
      <c r="G1906" s="2"/>
      <c r="H1906" s="2"/>
      <c r="I1906" s="5"/>
    </row>
    <row r="1907" spans="1:9" ht="17.399999999999999" x14ac:dyDescent="0.25">
      <c r="A1907" s="16"/>
      <c r="B1907" s="17"/>
      <c r="C1907" s="2"/>
      <c r="D1907" s="2"/>
      <c r="E1907" s="2"/>
      <c r="F1907" s="2"/>
      <c r="G1907" s="2"/>
      <c r="H1907" s="2"/>
      <c r="I1907" s="5"/>
    </row>
    <row r="1908" spans="1:9" ht="17.399999999999999" x14ac:dyDescent="0.25">
      <c r="A1908" s="16"/>
      <c r="B1908" s="17"/>
      <c r="C1908" s="2"/>
      <c r="D1908" s="2"/>
      <c r="E1908" s="2"/>
      <c r="F1908" s="2"/>
      <c r="G1908" s="2"/>
      <c r="H1908" s="2"/>
      <c r="I1908" s="5"/>
    </row>
    <row r="1909" spans="1:9" ht="17.399999999999999" x14ac:dyDescent="0.25">
      <c r="A1909" s="16"/>
      <c r="B1909" s="17"/>
      <c r="C1909" s="2"/>
      <c r="D1909" s="2"/>
      <c r="E1909" s="2"/>
      <c r="F1909" s="2"/>
      <c r="G1909" s="2"/>
      <c r="H1909" s="2"/>
      <c r="I1909" s="5"/>
    </row>
    <row r="1910" spans="1:9" ht="17.399999999999999" x14ac:dyDescent="0.25">
      <c r="A1910" s="16"/>
      <c r="B1910" s="17"/>
      <c r="C1910" s="2"/>
      <c r="D1910" s="2"/>
      <c r="E1910" s="2"/>
      <c r="F1910" s="2"/>
      <c r="G1910" s="2"/>
      <c r="H1910" s="2"/>
      <c r="I1910" s="5"/>
    </row>
    <row r="1911" spans="1:9" ht="17.399999999999999" x14ac:dyDescent="0.25">
      <c r="A1911" s="16"/>
      <c r="B1911" s="17"/>
      <c r="C1911" s="2"/>
      <c r="D1911" s="2"/>
      <c r="E1911" s="2"/>
      <c r="F1911" s="2"/>
      <c r="G1911" s="2"/>
      <c r="H1911" s="2"/>
      <c r="I1911" s="5"/>
    </row>
    <row r="1912" spans="1:9" ht="17.399999999999999" x14ac:dyDescent="0.25">
      <c r="A1912" s="16"/>
      <c r="B1912" s="17"/>
      <c r="C1912" s="2"/>
      <c r="D1912" s="2"/>
      <c r="E1912" s="2"/>
      <c r="F1912" s="2"/>
      <c r="G1912" s="2"/>
      <c r="H1912" s="2"/>
      <c r="I1912" s="5"/>
    </row>
    <row r="1913" spans="1:9" ht="17.399999999999999" x14ac:dyDescent="0.25">
      <c r="A1913" s="16"/>
      <c r="B1913" s="17"/>
      <c r="C1913" s="2"/>
      <c r="D1913" s="2"/>
      <c r="E1913" s="2"/>
      <c r="F1913" s="2"/>
      <c r="G1913" s="2"/>
      <c r="H1913" s="2"/>
      <c r="I1913" s="5"/>
    </row>
    <row r="1914" spans="1:9" ht="17.399999999999999" x14ac:dyDescent="0.25">
      <c r="A1914" s="16"/>
      <c r="B1914" s="17"/>
      <c r="C1914" s="2"/>
      <c r="D1914" s="2"/>
      <c r="E1914" s="2"/>
      <c r="F1914" s="2"/>
      <c r="G1914" s="2"/>
      <c r="H1914" s="2"/>
      <c r="I1914" s="5"/>
    </row>
    <row r="1915" spans="1:9" ht="17.399999999999999" x14ac:dyDescent="0.25">
      <c r="A1915" s="16"/>
      <c r="B1915" s="17"/>
      <c r="C1915" s="2"/>
      <c r="D1915" s="2"/>
      <c r="E1915" s="2"/>
      <c r="F1915" s="2"/>
      <c r="G1915" s="2"/>
      <c r="H1915" s="2"/>
      <c r="I1915" s="5"/>
    </row>
    <row r="1916" spans="1:9" ht="17.399999999999999" x14ac:dyDescent="0.25">
      <c r="A1916" s="16"/>
      <c r="B1916" s="17"/>
      <c r="C1916" s="2"/>
      <c r="D1916" s="2"/>
      <c r="E1916" s="2"/>
      <c r="F1916" s="2"/>
      <c r="G1916" s="2"/>
      <c r="H1916" s="2"/>
      <c r="I1916" s="5"/>
    </row>
    <row r="1917" spans="1:9" ht="17.399999999999999" x14ac:dyDescent="0.25">
      <c r="A1917" s="16"/>
      <c r="B1917" s="17"/>
      <c r="C1917" s="2"/>
      <c r="D1917" s="2"/>
      <c r="E1917" s="2"/>
      <c r="F1917" s="2"/>
      <c r="G1917" s="2"/>
      <c r="H1917" s="2"/>
      <c r="I1917" s="5"/>
    </row>
    <row r="1918" spans="1:9" ht="17.399999999999999" x14ac:dyDescent="0.25">
      <c r="A1918" s="16"/>
      <c r="B1918" s="17"/>
      <c r="C1918" s="2"/>
      <c r="D1918" s="2"/>
      <c r="E1918" s="2"/>
      <c r="F1918" s="2"/>
      <c r="G1918" s="2"/>
      <c r="H1918" s="2"/>
      <c r="I1918" s="5"/>
    </row>
    <row r="1919" spans="1:9" ht="17.399999999999999" x14ac:dyDescent="0.25">
      <c r="A1919" s="16"/>
      <c r="B1919" s="17"/>
      <c r="C1919" s="2"/>
      <c r="D1919" s="2"/>
      <c r="E1919" s="2"/>
      <c r="F1919" s="2"/>
      <c r="G1919" s="2"/>
      <c r="H1919" s="2"/>
      <c r="I1919" s="5"/>
    </row>
    <row r="1920" spans="1:9" ht="17.399999999999999" x14ac:dyDescent="0.25">
      <c r="A1920" s="16"/>
      <c r="B1920" s="17"/>
      <c r="C1920" s="2"/>
      <c r="D1920" s="2"/>
      <c r="E1920" s="2"/>
      <c r="F1920" s="2"/>
      <c r="G1920" s="2"/>
      <c r="H1920" s="2"/>
      <c r="I1920" s="5"/>
    </row>
    <row r="1921" spans="1:9" ht="17.399999999999999" x14ac:dyDescent="0.25">
      <c r="A1921" s="16"/>
      <c r="B1921" s="17"/>
      <c r="C1921" s="2"/>
      <c r="D1921" s="2"/>
      <c r="E1921" s="2"/>
      <c r="F1921" s="2"/>
      <c r="G1921" s="2"/>
      <c r="H1921" s="2"/>
      <c r="I1921" s="5"/>
    </row>
    <row r="1922" spans="1:9" ht="17.399999999999999" x14ac:dyDescent="0.25">
      <c r="A1922" s="16"/>
      <c r="B1922" s="17"/>
      <c r="C1922" s="2"/>
      <c r="D1922" s="2"/>
      <c r="E1922" s="2"/>
      <c r="F1922" s="2"/>
      <c r="G1922" s="2"/>
      <c r="H1922" s="2"/>
      <c r="I1922" s="5"/>
    </row>
    <row r="1923" spans="1:9" ht="17.399999999999999" x14ac:dyDescent="0.25">
      <c r="A1923" s="16"/>
      <c r="B1923" s="17"/>
      <c r="C1923" s="2"/>
      <c r="D1923" s="2"/>
      <c r="E1923" s="2"/>
      <c r="F1923" s="2"/>
      <c r="G1923" s="2"/>
      <c r="H1923" s="2"/>
      <c r="I1923" s="5"/>
    </row>
    <row r="1924" spans="1:9" ht="17.399999999999999" x14ac:dyDescent="0.25">
      <c r="A1924" s="16"/>
      <c r="B1924" s="17"/>
      <c r="C1924" s="2"/>
      <c r="D1924" s="2"/>
      <c r="E1924" s="2"/>
      <c r="F1924" s="2"/>
      <c r="G1924" s="2"/>
      <c r="H1924" s="2"/>
      <c r="I1924" s="5"/>
    </row>
    <row r="1925" spans="1:9" ht="17.399999999999999" x14ac:dyDescent="0.25">
      <c r="A1925" s="16"/>
      <c r="B1925" s="17"/>
      <c r="C1925" s="2"/>
      <c r="D1925" s="2"/>
      <c r="E1925" s="2"/>
      <c r="F1925" s="2"/>
      <c r="G1925" s="2"/>
      <c r="H1925" s="2"/>
      <c r="I1925" s="5"/>
    </row>
    <row r="1926" spans="1:9" ht="17.399999999999999" x14ac:dyDescent="0.25">
      <c r="A1926" s="16"/>
      <c r="B1926" s="17"/>
      <c r="C1926" s="2"/>
      <c r="D1926" s="2"/>
      <c r="E1926" s="2"/>
      <c r="F1926" s="2"/>
      <c r="G1926" s="2"/>
      <c r="H1926" s="2"/>
      <c r="I1926" s="5"/>
    </row>
    <row r="1927" spans="1:9" ht="17.399999999999999" x14ac:dyDescent="0.25">
      <c r="A1927" s="16"/>
      <c r="B1927" s="17"/>
      <c r="C1927" s="2"/>
      <c r="D1927" s="2"/>
      <c r="E1927" s="2"/>
      <c r="F1927" s="2"/>
      <c r="G1927" s="2"/>
      <c r="H1927" s="2"/>
      <c r="I1927" s="5"/>
    </row>
    <row r="1928" spans="1:9" ht="17.399999999999999" x14ac:dyDescent="0.25">
      <c r="A1928" s="16"/>
      <c r="B1928" s="17"/>
      <c r="C1928" s="2"/>
      <c r="D1928" s="2"/>
      <c r="E1928" s="2"/>
      <c r="F1928" s="2"/>
      <c r="G1928" s="2"/>
      <c r="H1928" s="2"/>
      <c r="I1928" s="5"/>
    </row>
    <row r="1929" spans="1:9" ht="17.399999999999999" x14ac:dyDescent="0.25">
      <c r="A1929" s="16"/>
      <c r="B1929" s="17"/>
      <c r="C1929" s="2"/>
      <c r="D1929" s="2"/>
      <c r="E1929" s="2"/>
      <c r="F1929" s="2"/>
      <c r="G1929" s="2"/>
      <c r="H1929" s="2"/>
      <c r="I1929" s="5"/>
    </row>
    <row r="1930" spans="1:9" ht="17.399999999999999" x14ac:dyDescent="0.25">
      <c r="A1930" s="16"/>
      <c r="B1930" s="17"/>
      <c r="C1930" s="2"/>
      <c r="D1930" s="2"/>
      <c r="E1930" s="2"/>
      <c r="F1930" s="2"/>
      <c r="G1930" s="2"/>
      <c r="H1930" s="2"/>
      <c r="I1930" s="5"/>
    </row>
    <row r="1931" spans="1:9" ht="17.399999999999999" x14ac:dyDescent="0.25">
      <c r="A1931" s="16"/>
      <c r="B1931" s="17"/>
      <c r="C1931" s="2"/>
      <c r="D1931" s="2"/>
      <c r="E1931" s="2"/>
      <c r="F1931" s="2"/>
      <c r="G1931" s="2"/>
      <c r="H1931" s="2"/>
      <c r="I1931" s="5"/>
    </row>
    <row r="1932" spans="1:9" ht="17.399999999999999" x14ac:dyDescent="0.25">
      <c r="A1932" s="16"/>
      <c r="B1932" s="17"/>
      <c r="C1932" s="2"/>
      <c r="D1932" s="2"/>
      <c r="E1932" s="2"/>
      <c r="F1932" s="2"/>
      <c r="G1932" s="2"/>
      <c r="H1932" s="2"/>
      <c r="I1932" s="5"/>
    </row>
    <row r="1933" spans="1:9" ht="17.399999999999999" x14ac:dyDescent="0.25">
      <c r="A1933" s="16"/>
      <c r="B1933" s="17"/>
      <c r="C1933" s="2"/>
      <c r="D1933" s="2"/>
      <c r="E1933" s="2"/>
      <c r="F1933" s="2"/>
      <c r="G1933" s="2"/>
      <c r="H1933" s="2"/>
      <c r="I1933" s="5"/>
    </row>
    <row r="1934" spans="1:9" ht="17.399999999999999" x14ac:dyDescent="0.25">
      <c r="A1934" s="16"/>
      <c r="B1934" s="17"/>
      <c r="C1934" s="2"/>
      <c r="D1934" s="2"/>
      <c r="E1934" s="2"/>
      <c r="F1934" s="2"/>
      <c r="G1934" s="2"/>
      <c r="H1934" s="2"/>
      <c r="I1934" s="5"/>
    </row>
    <row r="1935" spans="1:9" ht="17.399999999999999" x14ac:dyDescent="0.25">
      <c r="A1935" s="16"/>
      <c r="B1935" s="17"/>
      <c r="C1935" s="2"/>
      <c r="D1935" s="2"/>
      <c r="E1935" s="2"/>
      <c r="F1935" s="2"/>
      <c r="G1935" s="2"/>
      <c r="H1935" s="2"/>
      <c r="I1935" s="5"/>
    </row>
    <row r="1936" spans="1:9" ht="17.399999999999999" x14ac:dyDescent="0.25">
      <c r="A1936" s="16"/>
      <c r="B1936" s="17"/>
      <c r="C1936" s="2"/>
      <c r="D1936" s="2"/>
      <c r="E1936" s="2"/>
      <c r="F1936" s="2"/>
      <c r="G1936" s="2"/>
      <c r="H1936" s="2"/>
      <c r="I1936" s="5"/>
    </row>
    <row r="1937" spans="1:9" ht="17.399999999999999" x14ac:dyDescent="0.25">
      <c r="A1937" s="16"/>
      <c r="B1937" s="17"/>
      <c r="C1937" s="2"/>
      <c r="D1937" s="2"/>
      <c r="E1937" s="2"/>
      <c r="F1937" s="2"/>
      <c r="G1937" s="2"/>
      <c r="H1937" s="2"/>
      <c r="I1937" s="5"/>
    </row>
    <row r="1938" spans="1:9" ht="17.399999999999999" x14ac:dyDescent="0.25">
      <c r="A1938" s="16"/>
      <c r="B1938" s="17"/>
      <c r="C1938" s="2"/>
      <c r="D1938" s="2"/>
      <c r="E1938" s="2"/>
      <c r="F1938" s="2"/>
      <c r="G1938" s="2"/>
      <c r="H1938" s="2"/>
      <c r="I1938" s="5"/>
    </row>
    <row r="1939" spans="1:9" ht="17.399999999999999" x14ac:dyDescent="0.25">
      <c r="A1939" s="16"/>
      <c r="B1939" s="17"/>
      <c r="C1939" s="2"/>
      <c r="D1939" s="2"/>
      <c r="E1939" s="2"/>
      <c r="F1939" s="2"/>
      <c r="G1939" s="2"/>
      <c r="H1939" s="2"/>
      <c r="I1939" s="5"/>
    </row>
    <row r="1940" spans="1:9" ht="17.399999999999999" x14ac:dyDescent="0.25">
      <c r="A1940" s="16"/>
      <c r="B1940" s="17"/>
      <c r="C1940" s="2"/>
      <c r="D1940" s="2"/>
      <c r="E1940" s="2"/>
      <c r="F1940" s="2"/>
      <c r="G1940" s="2"/>
      <c r="H1940" s="2"/>
      <c r="I1940" s="5"/>
    </row>
    <row r="1941" spans="1:9" ht="17.399999999999999" x14ac:dyDescent="0.25">
      <c r="A1941" s="16"/>
      <c r="B1941" s="17"/>
      <c r="C1941" s="2"/>
      <c r="D1941" s="2"/>
      <c r="E1941" s="2"/>
      <c r="F1941" s="2"/>
      <c r="G1941" s="2"/>
      <c r="H1941" s="2"/>
      <c r="I1941" s="5"/>
    </row>
    <row r="1942" spans="1:9" ht="17.399999999999999" x14ac:dyDescent="0.25">
      <c r="A1942" s="16"/>
      <c r="B1942" s="17"/>
      <c r="C1942" s="2" t="b">
        <v>0</v>
      </c>
      <c r="D1942" s="2"/>
      <c r="E1942" s="2"/>
      <c r="F1942" s="2"/>
      <c r="G1942" s="2"/>
      <c r="H1942" s="2"/>
      <c r="I1942" s="5"/>
    </row>
    <row r="1943" spans="1:9" ht="17.399999999999999" x14ac:dyDescent="0.25">
      <c r="A1943" s="16"/>
      <c r="B1943" s="17"/>
      <c r="C1943" s="2" t="b">
        <v>0</v>
      </c>
      <c r="D1943" s="2"/>
      <c r="E1943" s="2"/>
      <c r="F1943" s="2"/>
      <c r="G1943" s="2"/>
      <c r="H1943" s="2"/>
      <c r="I1943" s="5"/>
    </row>
    <row r="1944" spans="1:9" ht="17.399999999999999" x14ac:dyDescent="0.25">
      <c r="A1944" s="16"/>
      <c r="B1944" s="17"/>
      <c r="C1944" s="2" t="b">
        <v>0</v>
      </c>
      <c r="D1944" s="2"/>
      <c r="E1944" s="2"/>
      <c r="F1944" s="2"/>
      <c r="G1944" s="2"/>
      <c r="H1944" s="2"/>
      <c r="I1944" s="5"/>
    </row>
    <row r="1945" spans="1:9" ht="17.399999999999999" x14ac:dyDescent="0.25">
      <c r="A1945" s="16"/>
      <c r="B1945" s="17"/>
      <c r="C1945" s="2" t="b">
        <v>0</v>
      </c>
      <c r="D1945" s="2"/>
      <c r="E1945" s="2"/>
      <c r="F1945" s="2"/>
      <c r="G1945" s="2"/>
      <c r="H1945" s="2"/>
      <c r="I1945" s="5"/>
    </row>
    <row r="1946" spans="1:9" ht="17.399999999999999" x14ac:dyDescent="0.25">
      <c r="A1946" s="16"/>
      <c r="B1946" s="17"/>
      <c r="C1946" s="2" t="b">
        <v>0</v>
      </c>
      <c r="D1946" s="2"/>
      <c r="E1946" s="2"/>
      <c r="F1946" s="2"/>
      <c r="G1946" s="2"/>
      <c r="H1946" s="2"/>
      <c r="I1946" s="5"/>
    </row>
    <row r="1947" spans="1:9" ht="17.399999999999999" x14ac:dyDescent="0.25">
      <c r="A1947" s="16"/>
      <c r="B1947" s="17"/>
      <c r="C1947" s="2" t="b">
        <v>0</v>
      </c>
      <c r="D1947" s="2"/>
      <c r="E1947" s="2"/>
      <c r="F1947" s="2"/>
      <c r="G1947" s="2"/>
      <c r="H1947" s="2"/>
      <c r="I1947" s="5"/>
    </row>
    <row r="1948" spans="1:9" ht="17.399999999999999" x14ac:dyDescent="0.25">
      <c r="A1948" s="16"/>
      <c r="B1948" s="17"/>
      <c r="C1948" s="2" t="b">
        <v>0</v>
      </c>
      <c r="D1948" s="2"/>
      <c r="E1948" s="2"/>
      <c r="F1948" s="2"/>
      <c r="G1948" s="2"/>
      <c r="H1948" s="2"/>
      <c r="I1948" s="5"/>
    </row>
    <row r="1949" spans="1:9" ht="17.399999999999999" x14ac:dyDescent="0.25">
      <c r="A1949" s="16"/>
      <c r="B1949" s="17"/>
      <c r="C1949" s="2" t="b">
        <v>0</v>
      </c>
      <c r="D1949" s="2"/>
      <c r="E1949" s="2"/>
      <c r="F1949" s="2"/>
      <c r="G1949" s="2"/>
      <c r="H1949" s="2"/>
      <c r="I1949" s="5"/>
    </row>
    <row r="1950" spans="1:9" ht="17.399999999999999" x14ac:dyDescent="0.25">
      <c r="A1950" s="16"/>
      <c r="B1950" s="17"/>
      <c r="C1950" s="2" t="b">
        <v>0</v>
      </c>
      <c r="D1950" s="2"/>
      <c r="E1950" s="2"/>
      <c r="F1950" s="2"/>
      <c r="G1950" s="2"/>
      <c r="H1950" s="2"/>
      <c r="I1950" s="5"/>
    </row>
    <row r="1951" spans="1:9" ht="17.399999999999999" x14ac:dyDescent="0.25">
      <c r="A1951" s="16"/>
      <c r="B1951" s="17"/>
      <c r="C1951" s="2" t="b">
        <v>0</v>
      </c>
      <c r="D1951" s="2"/>
      <c r="E1951" s="2"/>
      <c r="F1951" s="2"/>
      <c r="G1951" s="2"/>
      <c r="H1951" s="2"/>
      <c r="I1951" s="5"/>
    </row>
    <row r="1952" spans="1:9" ht="17.399999999999999" x14ac:dyDescent="0.25">
      <c r="A1952" s="16"/>
      <c r="B1952" s="17"/>
      <c r="C1952" s="2" t="b">
        <v>0</v>
      </c>
      <c r="D1952" s="2"/>
      <c r="E1952" s="2"/>
      <c r="F1952" s="2"/>
      <c r="G1952" s="2"/>
      <c r="H1952" s="2"/>
      <c r="I1952" s="5"/>
    </row>
    <row r="1953" spans="1:9" ht="17.399999999999999" x14ac:dyDescent="0.25">
      <c r="A1953" s="16"/>
      <c r="B1953" s="17"/>
      <c r="C1953" s="2" t="b">
        <v>0</v>
      </c>
      <c r="D1953" s="2"/>
      <c r="E1953" s="2"/>
      <c r="F1953" s="2"/>
      <c r="G1953" s="2"/>
      <c r="H1953" s="2"/>
      <c r="I1953" s="5"/>
    </row>
    <row r="1954" spans="1:9" ht="17.399999999999999" x14ac:dyDescent="0.25">
      <c r="A1954" s="16"/>
      <c r="B1954" s="17"/>
      <c r="C1954" s="2" t="b">
        <v>0</v>
      </c>
      <c r="D1954" s="2"/>
      <c r="E1954" s="2"/>
      <c r="F1954" s="2"/>
      <c r="G1954" s="2"/>
      <c r="H1954" s="2"/>
      <c r="I1954" s="5"/>
    </row>
    <row r="1955" spans="1:9" ht="17.399999999999999" x14ac:dyDescent="0.25">
      <c r="A1955" s="16"/>
      <c r="B1955" s="17"/>
      <c r="C1955" s="2" t="b">
        <v>0</v>
      </c>
      <c r="D1955" s="2"/>
      <c r="E1955" s="2"/>
      <c r="F1955" s="2"/>
      <c r="G1955" s="2"/>
      <c r="H1955" s="2"/>
      <c r="I1955" s="5"/>
    </row>
    <row r="1956" spans="1:9" ht="17.399999999999999" x14ac:dyDescent="0.25">
      <c r="A1956" s="16"/>
      <c r="B1956" s="17"/>
      <c r="C1956" s="2" t="b">
        <v>0</v>
      </c>
      <c r="D1956" s="2"/>
      <c r="E1956" s="2"/>
      <c r="F1956" s="2"/>
      <c r="G1956" s="2"/>
      <c r="H1956" s="2"/>
      <c r="I1956" s="5"/>
    </row>
    <row r="1957" spans="1:9" ht="17.399999999999999" x14ac:dyDescent="0.25">
      <c r="A1957" s="16"/>
      <c r="B1957" s="17"/>
      <c r="C1957" s="2" t="b">
        <v>0</v>
      </c>
      <c r="D1957" s="2"/>
      <c r="E1957" s="2"/>
      <c r="F1957" s="2"/>
      <c r="G1957" s="2"/>
      <c r="H1957" s="2"/>
      <c r="I1957" s="5"/>
    </row>
    <row r="1958" spans="1:9" ht="17.399999999999999" x14ac:dyDescent="0.25">
      <c r="A1958" s="16"/>
      <c r="B1958" s="17"/>
      <c r="C1958" s="2" t="b">
        <v>0</v>
      </c>
      <c r="D1958" s="2"/>
      <c r="E1958" s="2"/>
      <c r="F1958" s="2"/>
      <c r="G1958" s="2"/>
      <c r="H1958" s="2"/>
      <c r="I1958" s="5"/>
    </row>
    <row r="1959" spans="1:9" ht="17.399999999999999" x14ac:dyDescent="0.25">
      <c r="A1959" s="16"/>
      <c r="B1959" s="17"/>
      <c r="C1959" s="2" t="b">
        <v>0</v>
      </c>
      <c r="D1959" s="2"/>
      <c r="E1959" s="2"/>
      <c r="F1959" s="2"/>
      <c r="G1959" s="2"/>
      <c r="H1959" s="2"/>
      <c r="I1959" s="5"/>
    </row>
    <row r="1960" spans="1:9" ht="17.399999999999999" x14ac:dyDescent="0.25">
      <c r="A1960" s="16"/>
      <c r="B1960" s="17"/>
      <c r="C1960" s="2" t="b">
        <v>0</v>
      </c>
      <c r="D1960" s="2"/>
      <c r="E1960" s="2"/>
      <c r="F1960" s="2"/>
      <c r="G1960" s="2"/>
      <c r="H1960" s="2"/>
      <c r="I1960" s="5"/>
    </row>
    <row r="1961" spans="1:9" ht="17.399999999999999" x14ac:dyDescent="0.25">
      <c r="A1961" s="16"/>
      <c r="B1961" s="17"/>
      <c r="C1961" s="2" t="b">
        <v>0</v>
      </c>
      <c r="D1961" s="2"/>
      <c r="E1961" s="2"/>
      <c r="F1961" s="2"/>
      <c r="G1961" s="2"/>
      <c r="H1961" s="2"/>
      <c r="I1961" s="5"/>
    </row>
    <row r="1962" spans="1:9" ht="17.399999999999999" x14ac:dyDescent="0.25">
      <c r="A1962" s="16"/>
      <c r="B1962" s="17"/>
      <c r="C1962" s="2" t="b">
        <v>0</v>
      </c>
      <c r="D1962" s="2"/>
      <c r="E1962" s="2"/>
      <c r="F1962" s="2"/>
      <c r="G1962" s="2"/>
      <c r="H1962" s="2"/>
      <c r="I1962" s="5"/>
    </row>
    <row r="1963" spans="1:9" ht="17.399999999999999" x14ac:dyDescent="0.25">
      <c r="A1963" s="16"/>
      <c r="B1963" s="17"/>
      <c r="C1963" s="2" t="b">
        <v>0</v>
      </c>
      <c r="D1963" s="2"/>
      <c r="E1963" s="2"/>
      <c r="F1963" s="2"/>
      <c r="G1963" s="2"/>
      <c r="H1963" s="2"/>
      <c r="I1963" s="5"/>
    </row>
    <row r="1964" spans="1:9" ht="17.399999999999999" x14ac:dyDescent="0.25">
      <c r="A1964" s="16"/>
      <c r="B1964" s="17"/>
      <c r="C1964" s="2" t="b">
        <v>0</v>
      </c>
      <c r="D1964" s="2"/>
      <c r="E1964" s="2"/>
      <c r="F1964" s="2"/>
      <c r="G1964" s="2"/>
      <c r="H1964" s="2"/>
      <c r="I1964" s="5"/>
    </row>
    <row r="1965" spans="1:9" ht="17.399999999999999" x14ac:dyDescent="0.25">
      <c r="A1965" s="16"/>
      <c r="B1965" s="17"/>
      <c r="C1965" s="2" t="b">
        <v>0</v>
      </c>
      <c r="D1965" s="2"/>
      <c r="E1965" s="2"/>
      <c r="F1965" s="2"/>
      <c r="G1965" s="2"/>
      <c r="H1965" s="2"/>
      <c r="I1965" s="5"/>
    </row>
    <row r="1966" spans="1:9" ht="17.399999999999999" x14ac:dyDescent="0.25">
      <c r="A1966" s="16"/>
      <c r="B1966" s="17"/>
      <c r="C1966" s="2" t="b">
        <v>0</v>
      </c>
      <c r="D1966" s="2"/>
      <c r="E1966" s="2"/>
      <c r="F1966" s="2"/>
      <c r="G1966" s="2"/>
      <c r="H1966" s="2"/>
      <c r="I1966" s="5"/>
    </row>
    <row r="1967" spans="1:9" ht="17.399999999999999" x14ac:dyDescent="0.25">
      <c r="A1967" s="16"/>
      <c r="B1967" s="17"/>
      <c r="C1967" s="2" t="b">
        <v>0</v>
      </c>
      <c r="D1967" s="2"/>
      <c r="E1967" s="2"/>
      <c r="F1967" s="2"/>
      <c r="G1967" s="2"/>
      <c r="H1967" s="2"/>
      <c r="I1967" s="5"/>
    </row>
    <row r="1968" spans="1:9" ht="17.399999999999999" x14ac:dyDescent="0.25">
      <c r="A1968" s="16"/>
      <c r="B1968" s="17"/>
      <c r="C1968" s="2" t="b">
        <v>0</v>
      </c>
      <c r="D1968" s="2"/>
      <c r="E1968" s="2"/>
      <c r="F1968" s="2"/>
      <c r="G1968" s="2"/>
      <c r="H1968" s="2"/>
      <c r="I1968" s="5"/>
    </row>
    <row r="1969" spans="1:9" ht="17.399999999999999" x14ac:dyDescent="0.25">
      <c r="A1969" s="16"/>
      <c r="B1969" s="17"/>
      <c r="C1969" s="2" t="b">
        <v>0</v>
      </c>
      <c r="D1969" s="2"/>
      <c r="E1969" s="2"/>
      <c r="F1969" s="2"/>
      <c r="G1969" s="2"/>
      <c r="H1969" s="2"/>
      <c r="I1969" s="5"/>
    </row>
    <row r="1970" spans="1:9" ht="17.399999999999999" x14ac:dyDescent="0.25">
      <c r="A1970" s="16"/>
      <c r="B1970" s="17"/>
      <c r="C1970" s="2" t="b">
        <v>0</v>
      </c>
      <c r="D1970" s="2"/>
      <c r="E1970" s="2"/>
      <c r="F1970" s="2"/>
      <c r="G1970" s="2"/>
      <c r="H1970" s="2"/>
      <c r="I1970" s="5"/>
    </row>
    <row r="1971" spans="1:9" ht="17.399999999999999" x14ac:dyDescent="0.25">
      <c r="A1971" s="16"/>
      <c r="B1971" s="17"/>
      <c r="C1971" s="2" t="b">
        <v>0</v>
      </c>
      <c r="D1971" s="2"/>
      <c r="E1971" s="2"/>
      <c r="F1971" s="2"/>
      <c r="G1971" s="2"/>
      <c r="H1971" s="2"/>
      <c r="I1971" s="5"/>
    </row>
    <row r="1972" spans="1:9" ht="17.399999999999999" x14ac:dyDescent="0.25">
      <c r="A1972" s="16"/>
      <c r="B1972" s="17"/>
      <c r="C1972" s="2" t="b">
        <v>0</v>
      </c>
      <c r="D1972" s="2"/>
      <c r="E1972" s="2"/>
      <c r="F1972" s="2"/>
      <c r="G1972" s="2"/>
      <c r="H1972" s="2"/>
      <c r="I1972" s="5"/>
    </row>
    <row r="1973" spans="1:9" ht="17.399999999999999" x14ac:dyDescent="0.25">
      <c r="A1973" s="16"/>
      <c r="B1973" s="17"/>
      <c r="C1973" s="2" t="b">
        <v>0</v>
      </c>
      <c r="D1973" s="2"/>
      <c r="E1973" s="2"/>
      <c r="F1973" s="2"/>
      <c r="G1973" s="2"/>
      <c r="H1973" s="2"/>
      <c r="I1973" s="5"/>
    </row>
    <row r="1974" spans="1:9" ht="17.399999999999999" x14ac:dyDescent="0.25">
      <c r="A1974" s="16"/>
      <c r="B1974" s="17"/>
      <c r="C1974" s="2" t="b">
        <v>0</v>
      </c>
      <c r="D1974" s="2"/>
      <c r="E1974" s="2"/>
      <c r="F1974" s="2"/>
      <c r="G1974" s="2"/>
      <c r="H1974" s="2"/>
      <c r="I1974" s="5"/>
    </row>
    <row r="1975" spans="1:9" ht="17.399999999999999" x14ac:dyDescent="0.25">
      <c r="A1975" s="16"/>
      <c r="B1975" s="17"/>
      <c r="C1975" s="2" t="b">
        <v>0</v>
      </c>
      <c r="D1975" s="2"/>
      <c r="E1975" s="2"/>
      <c r="F1975" s="2"/>
      <c r="G1975" s="2"/>
      <c r="H1975" s="2"/>
      <c r="I1975" s="5"/>
    </row>
    <row r="1976" spans="1:9" ht="17.399999999999999" x14ac:dyDescent="0.25">
      <c r="A1976" s="16"/>
      <c r="B1976" s="17"/>
      <c r="C1976" s="2" t="b">
        <v>0</v>
      </c>
      <c r="D1976" s="2"/>
      <c r="E1976" s="2"/>
      <c r="F1976" s="2"/>
      <c r="G1976" s="2"/>
      <c r="H1976" s="2"/>
      <c r="I1976" s="5"/>
    </row>
    <row r="1977" spans="1:9" ht="17.399999999999999" x14ac:dyDescent="0.25">
      <c r="A1977" s="16"/>
      <c r="B1977" s="17"/>
      <c r="C1977" s="2" t="b">
        <v>0</v>
      </c>
      <c r="D1977" s="2"/>
      <c r="E1977" s="2"/>
      <c r="F1977" s="2"/>
      <c r="G1977" s="2"/>
      <c r="H1977" s="2"/>
      <c r="I1977" s="5"/>
    </row>
    <row r="1978" spans="1:9" ht="17.399999999999999" x14ac:dyDescent="0.25">
      <c r="A1978" s="16"/>
      <c r="B1978" s="17"/>
      <c r="C1978" s="2" t="b">
        <v>0</v>
      </c>
      <c r="D1978" s="2"/>
      <c r="E1978" s="2"/>
      <c r="F1978" s="2"/>
      <c r="G1978" s="2"/>
      <c r="H1978" s="2"/>
      <c r="I1978" s="5"/>
    </row>
    <row r="1979" spans="1:9" ht="17.399999999999999" x14ac:dyDescent="0.25">
      <c r="A1979" s="16"/>
      <c r="B1979" s="17"/>
      <c r="C1979" s="2" t="b">
        <v>0</v>
      </c>
      <c r="D1979" s="2"/>
      <c r="E1979" s="2"/>
      <c r="F1979" s="2"/>
      <c r="G1979" s="2"/>
      <c r="H1979" s="2"/>
      <c r="I1979" s="5"/>
    </row>
    <row r="1980" spans="1:9" ht="17.399999999999999" x14ac:dyDescent="0.25">
      <c r="A1980" s="16"/>
      <c r="B1980" s="17"/>
      <c r="C1980" s="2" t="b">
        <v>0</v>
      </c>
      <c r="D1980" s="2"/>
      <c r="E1980" s="2"/>
      <c r="F1980" s="2"/>
      <c r="G1980" s="2"/>
      <c r="H1980" s="2"/>
      <c r="I1980" s="5"/>
    </row>
    <row r="1981" spans="1:9" ht="17.399999999999999" x14ac:dyDescent="0.25">
      <c r="A1981" s="16"/>
      <c r="B1981" s="17"/>
      <c r="C1981" s="2" t="b">
        <v>0</v>
      </c>
      <c r="D1981" s="2"/>
      <c r="E1981" s="2"/>
      <c r="F1981" s="2"/>
      <c r="G1981" s="2"/>
      <c r="H1981" s="2"/>
      <c r="I1981" s="5"/>
    </row>
    <row r="1982" spans="1:9" ht="17.399999999999999" x14ac:dyDescent="0.25">
      <c r="A1982" s="16"/>
      <c r="B1982" s="17"/>
      <c r="C1982" s="2" t="b">
        <v>0</v>
      </c>
      <c r="D1982" s="2"/>
      <c r="E1982" s="2"/>
      <c r="F1982" s="2"/>
      <c r="G1982" s="2"/>
      <c r="H1982" s="2"/>
      <c r="I1982" s="5"/>
    </row>
    <row r="1983" spans="1:9" ht="17.399999999999999" x14ac:dyDescent="0.25">
      <c r="A1983" s="16"/>
      <c r="B1983" s="17"/>
      <c r="C1983" s="2" t="b">
        <v>0</v>
      </c>
      <c r="D1983" s="2"/>
      <c r="E1983" s="2"/>
      <c r="F1983" s="2"/>
      <c r="G1983" s="2"/>
      <c r="H1983" s="2"/>
      <c r="I1983" s="5"/>
    </row>
    <row r="1984" spans="1:9" ht="17.399999999999999" x14ac:dyDescent="0.25">
      <c r="A1984" s="16"/>
      <c r="B1984" s="17"/>
      <c r="C1984" s="2" t="b">
        <v>0</v>
      </c>
      <c r="D1984" s="2"/>
      <c r="E1984" s="2"/>
      <c r="F1984" s="2"/>
      <c r="G1984" s="2"/>
      <c r="H1984" s="2"/>
      <c r="I1984" s="5"/>
    </row>
    <row r="1985" spans="1:9" ht="17.399999999999999" x14ac:dyDescent="0.25">
      <c r="A1985" s="16"/>
      <c r="B1985" s="17"/>
      <c r="C1985" s="2" t="b">
        <v>0</v>
      </c>
      <c r="D1985" s="2"/>
      <c r="E1985" s="2"/>
      <c r="F1985" s="2"/>
      <c r="G1985" s="2"/>
      <c r="H1985" s="2"/>
      <c r="I1985" s="5"/>
    </row>
    <row r="1986" spans="1:9" ht="17.399999999999999" x14ac:dyDescent="0.25">
      <c r="A1986" s="16"/>
      <c r="B1986" s="17"/>
      <c r="C1986" s="2" t="b">
        <v>0</v>
      </c>
      <c r="D1986" s="2"/>
      <c r="E1986" s="2"/>
      <c r="F1986" s="2"/>
      <c r="G1986" s="2"/>
      <c r="H1986" s="2"/>
      <c r="I1986" s="5"/>
    </row>
    <row r="1987" spans="1:9" ht="17.399999999999999" x14ac:dyDescent="0.25">
      <c r="A1987" s="16"/>
      <c r="B1987" s="17"/>
      <c r="C1987" s="2" t="b">
        <v>0</v>
      </c>
      <c r="D1987" s="2"/>
      <c r="E1987" s="2"/>
      <c r="F1987" s="2"/>
      <c r="G1987" s="2"/>
      <c r="H1987" s="2"/>
      <c r="I1987" s="5"/>
    </row>
    <row r="1988" spans="1:9" ht="17.399999999999999" x14ac:dyDescent="0.25">
      <c r="A1988" s="16"/>
      <c r="B1988" s="17"/>
      <c r="C1988" s="2" t="b">
        <v>0</v>
      </c>
      <c r="D1988" s="2"/>
      <c r="E1988" s="2"/>
      <c r="F1988" s="2"/>
      <c r="G1988" s="2"/>
      <c r="H1988" s="2"/>
      <c r="I1988" s="5"/>
    </row>
    <row r="1989" spans="1:9" ht="17.399999999999999" x14ac:dyDescent="0.25">
      <c r="A1989" s="16"/>
      <c r="B1989" s="17"/>
      <c r="C1989" s="2" t="b">
        <v>0</v>
      </c>
      <c r="D1989" s="2"/>
      <c r="E1989" s="2"/>
      <c r="F1989" s="2"/>
      <c r="G1989" s="2"/>
      <c r="H1989" s="2"/>
      <c r="I1989" s="5"/>
    </row>
    <row r="1990" spans="1:9" ht="17.399999999999999" x14ac:dyDescent="0.25">
      <c r="A1990" s="16"/>
      <c r="B1990" s="17"/>
      <c r="C1990" s="2" t="b">
        <v>0</v>
      </c>
      <c r="D1990" s="2"/>
      <c r="E1990" s="2"/>
      <c r="F1990" s="2"/>
      <c r="G1990" s="2"/>
      <c r="H1990" s="2"/>
      <c r="I1990" s="5"/>
    </row>
    <row r="1991" spans="1:9" ht="17.399999999999999" x14ac:dyDescent="0.25">
      <c r="A1991" s="16"/>
      <c r="B1991" s="17"/>
      <c r="C1991" s="2" t="b">
        <v>0</v>
      </c>
      <c r="D1991" s="2"/>
      <c r="E1991" s="2"/>
      <c r="F1991" s="2"/>
      <c r="G1991" s="2"/>
      <c r="H1991" s="2"/>
      <c r="I1991" s="5"/>
    </row>
    <row r="1992" spans="1:9" ht="17.399999999999999" x14ac:dyDescent="0.25">
      <c r="A1992" s="16"/>
      <c r="B1992" s="17"/>
      <c r="C1992" s="2" t="b">
        <v>0</v>
      </c>
      <c r="D1992" s="2"/>
      <c r="E1992" s="2"/>
      <c r="F1992" s="2"/>
      <c r="G1992" s="2"/>
      <c r="H1992" s="2"/>
      <c r="I1992" s="5"/>
    </row>
    <row r="1993" spans="1:9" ht="17.399999999999999" x14ac:dyDescent="0.25">
      <c r="A1993" s="16"/>
      <c r="B1993" s="17"/>
      <c r="C1993" s="2" t="b">
        <v>0</v>
      </c>
      <c r="D1993" s="2"/>
      <c r="E1993" s="2"/>
      <c r="F1993" s="2"/>
      <c r="G1993" s="2"/>
      <c r="H1993" s="2"/>
      <c r="I1993" s="5"/>
    </row>
    <row r="1994" spans="1:9" ht="17.399999999999999" x14ac:dyDescent="0.25">
      <c r="A1994" s="16"/>
      <c r="B1994" s="17"/>
      <c r="C1994" s="2" t="b">
        <v>0</v>
      </c>
      <c r="D1994" s="2"/>
      <c r="E1994" s="2"/>
      <c r="F1994" s="2"/>
      <c r="G1994" s="2"/>
      <c r="H1994" s="2"/>
      <c r="I1994" s="5"/>
    </row>
    <row r="1995" spans="1:9" ht="17.399999999999999" x14ac:dyDescent="0.25">
      <c r="A1995" s="16"/>
      <c r="B1995" s="17"/>
      <c r="C1995" s="2" t="b">
        <v>0</v>
      </c>
      <c r="D1995" s="2"/>
      <c r="E1995" s="2"/>
      <c r="F1995" s="2"/>
      <c r="G1995" s="2"/>
      <c r="H1995" s="2"/>
      <c r="I1995" s="5"/>
    </row>
    <row r="1996" spans="1:9" ht="17.399999999999999" x14ac:dyDescent="0.25">
      <c r="A1996" s="16"/>
      <c r="B1996" s="17"/>
      <c r="C1996" s="2" t="b">
        <v>0</v>
      </c>
      <c r="D1996" s="2"/>
      <c r="E1996" s="2"/>
      <c r="F1996" s="2"/>
      <c r="G1996" s="2"/>
      <c r="H1996" s="2"/>
      <c r="I1996" s="5"/>
    </row>
    <row r="1997" spans="1:9" ht="17.399999999999999" x14ac:dyDescent="0.25">
      <c r="A1997" s="16"/>
      <c r="B1997" s="17"/>
      <c r="C1997" s="2" t="b">
        <v>0</v>
      </c>
      <c r="D1997" s="2"/>
      <c r="E1997" s="2"/>
      <c r="F1997" s="2"/>
      <c r="G1997" s="2"/>
      <c r="H1997" s="2"/>
      <c r="I1997" s="5"/>
    </row>
    <row r="1998" spans="1:9" ht="17.399999999999999" x14ac:dyDescent="0.25">
      <c r="A1998" s="16"/>
      <c r="B1998" s="17"/>
      <c r="C1998" s="2" t="b">
        <v>0</v>
      </c>
      <c r="D1998" s="2"/>
      <c r="E1998" s="2"/>
      <c r="F1998" s="2"/>
      <c r="G1998" s="2"/>
      <c r="H1998" s="2"/>
      <c r="I1998" s="5"/>
    </row>
    <row r="1999" spans="1:9" ht="17.399999999999999" x14ac:dyDescent="0.25">
      <c r="A1999" s="16"/>
      <c r="B1999" s="17"/>
      <c r="C1999" s="2" t="b">
        <v>0</v>
      </c>
      <c r="D1999" s="2"/>
      <c r="E1999" s="2"/>
      <c r="F1999" s="2"/>
      <c r="G1999" s="2"/>
      <c r="H1999" s="2"/>
      <c r="I1999" s="5"/>
    </row>
    <row r="2000" spans="1:9" ht="17.399999999999999" x14ac:dyDescent="0.25">
      <c r="A2000" s="16"/>
      <c r="B2000" s="17"/>
      <c r="C2000" s="2" t="b">
        <v>0</v>
      </c>
      <c r="D2000" s="2"/>
      <c r="E2000" s="2"/>
      <c r="F2000" s="2"/>
      <c r="G2000" s="2"/>
      <c r="H2000" s="2"/>
      <c r="I2000" s="5"/>
    </row>
    <row r="2001" spans="1:9" ht="17.399999999999999" x14ac:dyDescent="0.25">
      <c r="A2001" s="16"/>
      <c r="B2001" s="17"/>
      <c r="C2001" s="2" t="b">
        <v>0</v>
      </c>
      <c r="D2001" s="2"/>
      <c r="E2001" s="2"/>
      <c r="F2001" s="2"/>
      <c r="G2001" s="2"/>
      <c r="H2001" s="2"/>
      <c r="I2001" s="5"/>
    </row>
    <row r="2002" spans="1:9" ht="17.399999999999999" x14ac:dyDescent="0.25">
      <c r="A2002" s="16"/>
      <c r="B2002" s="17"/>
      <c r="C2002" s="2" t="b">
        <v>0</v>
      </c>
      <c r="D2002" s="2"/>
      <c r="E2002" s="2"/>
      <c r="F2002" s="2"/>
      <c r="G2002" s="2"/>
      <c r="H2002" s="2"/>
      <c r="I2002" s="5"/>
    </row>
    <row r="2003" spans="1:9" ht="17.399999999999999" x14ac:dyDescent="0.25">
      <c r="A2003" s="16"/>
      <c r="B2003" s="17"/>
      <c r="C2003" s="2" t="b">
        <v>0</v>
      </c>
      <c r="D2003" s="2"/>
      <c r="E2003" s="2"/>
      <c r="F2003" s="2"/>
      <c r="G2003" s="2"/>
      <c r="H2003" s="2"/>
      <c r="I2003" s="5"/>
    </row>
    <row r="2004" spans="1:9" ht="17.399999999999999" x14ac:dyDescent="0.25">
      <c r="A2004" s="16"/>
      <c r="B2004" s="17"/>
      <c r="C2004" s="2" t="b">
        <v>0</v>
      </c>
      <c r="D2004" s="2"/>
      <c r="E2004" s="2"/>
      <c r="F2004" s="2"/>
      <c r="G2004" s="2"/>
      <c r="H2004" s="2"/>
      <c r="I2004" s="5"/>
    </row>
    <row r="2005" spans="1:9" ht="17.399999999999999" x14ac:dyDescent="0.25">
      <c r="A2005" s="16"/>
      <c r="B2005" s="17"/>
      <c r="C2005" s="2" t="b">
        <v>0</v>
      </c>
      <c r="D2005" s="2"/>
      <c r="E2005" s="2"/>
      <c r="F2005" s="2"/>
      <c r="G2005" s="2"/>
      <c r="H2005" s="2"/>
      <c r="I2005" s="5"/>
    </row>
    <row r="2006" spans="1:9" ht="17.399999999999999" x14ac:dyDescent="0.25">
      <c r="A2006" s="16"/>
      <c r="B2006" s="17"/>
      <c r="C2006" s="2" t="b">
        <v>0</v>
      </c>
      <c r="D2006" s="2"/>
      <c r="E2006" s="2"/>
      <c r="F2006" s="2"/>
      <c r="G2006" s="2"/>
      <c r="H2006" s="2"/>
      <c r="I2006" s="5"/>
    </row>
    <row r="2007" spans="1:9" ht="17.399999999999999" x14ac:dyDescent="0.25">
      <c r="A2007" s="16"/>
      <c r="B2007" s="17"/>
      <c r="C2007" s="2" t="b">
        <v>0</v>
      </c>
      <c r="D2007" s="2"/>
      <c r="E2007" s="2"/>
      <c r="F2007" s="2"/>
      <c r="G2007" s="2"/>
      <c r="H2007" s="2"/>
      <c r="I2007" s="5"/>
    </row>
    <row r="2008" spans="1:9" ht="17.399999999999999" x14ac:dyDescent="0.25">
      <c r="A2008" s="16"/>
      <c r="B2008" s="17"/>
      <c r="C2008" s="2" t="b">
        <v>0</v>
      </c>
      <c r="D2008" s="2"/>
      <c r="E2008" s="2"/>
      <c r="F2008" s="2"/>
      <c r="G2008" s="2"/>
      <c r="H2008" s="2"/>
      <c r="I2008" s="5"/>
    </row>
    <row r="2009" spans="1:9" ht="17.399999999999999" x14ac:dyDescent="0.25">
      <c r="A2009" s="16"/>
      <c r="B2009" s="17"/>
      <c r="C2009" s="2" t="b">
        <v>0</v>
      </c>
      <c r="D2009" s="2"/>
      <c r="E2009" s="2"/>
      <c r="F2009" s="2"/>
      <c r="G2009" s="2"/>
      <c r="H2009" s="2"/>
      <c r="I2009" s="5"/>
    </row>
    <row r="2010" spans="1:9" ht="17.399999999999999" x14ac:dyDescent="0.25">
      <c r="A2010" s="16"/>
      <c r="B2010" s="17"/>
      <c r="C2010" s="2" t="b">
        <v>0</v>
      </c>
      <c r="D2010" s="2"/>
      <c r="E2010" s="2"/>
      <c r="F2010" s="2"/>
      <c r="G2010" s="2"/>
      <c r="H2010" s="2"/>
      <c r="I2010" s="5"/>
    </row>
    <row r="2011" spans="1:9" ht="17.399999999999999" x14ac:dyDescent="0.25">
      <c r="A2011" s="16"/>
      <c r="B2011" s="17"/>
      <c r="C2011" s="2" t="b">
        <v>0</v>
      </c>
      <c r="D2011" s="2"/>
      <c r="E2011" s="2"/>
      <c r="F2011" s="2"/>
      <c r="G2011" s="2"/>
      <c r="H2011" s="2"/>
      <c r="I2011" s="5"/>
    </row>
    <row r="2012" spans="1:9" ht="17.399999999999999" x14ac:dyDescent="0.25">
      <c r="A2012" s="16"/>
      <c r="B2012" s="17"/>
      <c r="C2012" s="2" t="b">
        <v>0</v>
      </c>
      <c r="D2012" s="2"/>
      <c r="E2012" s="2"/>
      <c r="F2012" s="2"/>
      <c r="G2012" s="2"/>
      <c r="H2012" s="2"/>
      <c r="I2012" s="5"/>
    </row>
    <row r="2013" spans="1:9" ht="17.399999999999999" x14ac:dyDescent="0.25">
      <c r="A2013" s="16"/>
      <c r="B2013" s="17"/>
      <c r="C2013" s="2" t="b">
        <v>0</v>
      </c>
      <c r="D2013" s="2"/>
      <c r="E2013" s="2"/>
      <c r="F2013" s="2"/>
      <c r="G2013" s="2"/>
      <c r="H2013" s="2"/>
      <c r="I2013" s="5"/>
    </row>
    <row r="2014" spans="1:9" ht="17.399999999999999" x14ac:dyDescent="0.25">
      <c r="A2014" s="16"/>
      <c r="B2014" s="17"/>
      <c r="C2014" s="2" t="b">
        <v>0</v>
      </c>
      <c r="D2014" s="2"/>
      <c r="E2014" s="2"/>
      <c r="F2014" s="2"/>
      <c r="G2014" s="2"/>
      <c r="H2014" s="2"/>
      <c r="I2014" s="5"/>
    </row>
    <row r="2015" spans="1:9" ht="17.399999999999999" x14ac:dyDescent="0.25">
      <c r="A2015" s="16"/>
      <c r="B2015" s="17"/>
      <c r="C2015" s="2" t="b">
        <v>0</v>
      </c>
      <c r="D2015" s="2"/>
      <c r="E2015" s="2"/>
      <c r="F2015" s="2"/>
      <c r="G2015" s="2"/>
      <c r="H2015" s="2"/>
      <c r="I2015" s="5"/>
    </row>
    <row r="2016" spans="1:9" ht="17.399999999999999" x14ac:dyDescent="0.25">
      <c r="A2016" s="16"/>
      <c r="B2016" s="17"/>
      <c r="C2016" s="2" t="b">
        <v>0</v>
      </c>
      <c r="D2016" s="2"/>
      <c r="E2016" s="2"/>
      <c r="F2016" s="2"/>
      <c r="G2016" s="2"/>
      <c r="H2016" s="2"/>
      <c r="I2016" s="5"/>
    </row>
    <row r="2017" spans="1:9" ht="17.399999999999999" x14ac:dyDescent="0.25">
      <c r="A2017" s="16"/>
      <c r="B2017" s="17"/>
      <c r="C2017" s="2" t="b">
        <v>0</v>
      </c>
      <c r="D2017" s="2"/>
      <c r="E2017" s="2"/>
      <c r="F2017" s="2"/>
      <c r="G2017" s="2"/>
      <c r="H2017" s="2"/>
      <c r="I2017" s="5"/>
    </row>
    <row r="2018" spans="1:9" ht="17.399999999999999" x14ac:dyDescent="0.25">
      <c r="A2018" s="16"/>
      <c r="B2018" s="17"/>
      <c r="C2018" s="2" t="b">
        <v>0</v>
      </c>
      <c r="D2018" s="2"/>
      <c r="E2018" s="2"/>
      <c r="F2018" s="2"/>
      <c r="G2018" s="2"/>
      <c r="H2018" s="2"/>
      <c r="I2018" s="5"/>
    </row>
    <row r="2019" spans="1:9" ht="17.399999999999999" x14ac:dyDescent="0.25">
      <c r="A2019" s="16"/>
      <c r="B2019" s="17"/>
      <c r="C2019" s="2" t="b">
        <v>0</v>
      </c>
      <c r="D2019" s="2"/>
      <c r="E2019" s="2"/>
      <c r="F2019" s="2"/>
      <c r="G2019" s="2"/>
      <c r="H2019" s="2"/>
      <c r="I2019" s="5"/>
    </row>
    <row r="2020" spans="1:9" ht="17.399999999999999" x14ac:dyDescent="0.25">
      <c r="A2020" s="16"/>
      <c r="B2020" s="17"/>
      <c r="C2020" s="2" t="b">
        <v>0</v>
      </c>
      <c r="D2020" s="2"/>
      <c r="E2020" s="2"/>
      <c r="F2020" s="2"/>
      <c r="G2020" s="2"/>
      <c r="H2020" s="2"/>
      <c r="I2020" s="5"/>
    </row>
    <row r="2021" spans="1:9" ht="17.399999999999999" x14ac:dyDescent="0.25">
      <c r="A2021" s="16"/>
      <c r="B2021" s="17"/>
      <c r="C2021" s="2" t="b">
        <v>0</v>
      </c>
      <c r="D2021" s="2"/>
      <c r="E2021" s="2"/>
      <c r="F2021" s="2"/>
      <c r="G2021" s="2"/>
      <c r="H2021" s="2"/>
      <c r="I2021" s="5"/>
    </row>
    <row r="2022" spans="1:9" ht="17.399999999999999" x14ac:dyDescent="0.25">
      <c r="A2022" s="16"/>
      <c r="B2022" s="17"/>
      <c r="C2022" s="2" t="b">
        <v>0</v>
      </c>
      <c r="D2022" s="2"/>
      <c r="E2022" s="2"/>
      <c r="F2022" s="2"/>
      <c r="G2022" s="2"/>
      <c r="H2022" s="2"/>
      <c r="I2022" s="5"/>
    </row>
    <row r="2023" spans="1:9" ht="17.399999999999999" x14ac:dyDescent="0.25">
      <c r="A2023" s="16"/>
      <c r="B2023" s="17"/>
      <c r="C2023" s="2" t="b">
        <v>0</v>
      </c>
      <c r="D2023" s="2"/>
      <c r="E2023" s="2"/>
      <c r="F2023" s="2"/>
      <c r="G2023" s="2"/>
      <c r="H2023" s="2"/>
      <c r="I2023" s="5"/>
    </row>
    <row r="2024" spans="1:9" ht="17.399999999999999" x14ac:dyDescent="0.25">
      <c r="A2024" s="16"/>
      <c r="B2024" s="17"/>
      <c r="C2024" s="2" t="b">
        <v>0</v>
      </c>
      <c r="D2024" s="2"/>
      <c r="E2024" s="2"/>
      <c r="F2024" s="2"/>
      <c r="G2024" s="2"/>
      <c r="H2024" s="2"/>
      <c r="I2024" s="5"/>
    </row>
    <row r="2025" spans="1:9" ht="17.399999999999999" x14ac:dyDescent="0.25">
      <c r="A2025" s="16"/>
      <c r="B2025" s="17"/>
      <c r="C2025" s="2" t="b">
        <v>0</v>
      </c>
      <c r="D2025" s="2"/>
      <c r="E2025" s="2"/>
      <c r="F2025" s="2"/>
      <c r="G2025" s="2"/>
      <c r="H2025" s="2"/>
      <c r="I2025" s="5"/>
    </row>
    <row r="2026" spans="1:9" ht="17.399999999999999" x14ac:dyDescent="0.25">
      <c r="A2026" s="16"/>
      <c r="B2026" s="17"/>
      <c r="C2026" s="2" t="b">
        <v>0</v>
      </c>
      <c r="D2026" s="2"/>
      <c r="E2026" s="2"/>
      <c r="F2026" s="2"/>
      <c r="G2026" s="2"/>
      <c r="H2026" s="2"/>
      <c r="I2026" s="5"/>
    </row>
    <row r="2027" spans="1:9" ht="17.399999999999999" x14ac:dyDescent="0.25">
      <c r="A2027" s="16"/>
      <c r="B2027" s="17"/>
      <c r="C2027" s="2" t="b">
        <v>0</v>
      </c>
      <c r="D2027" s="2"/>
      <c r="E2027" s="2"/>
      <c r="F2027" s="2"/>
      <c r="G2027" s="2"/>
      <c r="H2027" s="2"/>
      <c r="I2027" s="5"/>
    </row>
    <row r="2028" spans="1:9" ht="17.399999999999999" x14ac:dyDescent="0.25">
      <c r="A2028" s="16"/>
      <c r="B2028" s="17"/>
      <c r="C2028" s="2" t="b">
        <v>0</v>
      </c>
      <c r="D2028" s="2"/>
      <c r="E2028" s="2"/>
      <c r="F2028" s="2"/>
      <c r="G2028" s="2"/>
      <c r="H2028" s="2"/>
      <c r="I2028" s="5"/>
    </row>
    <row r="2029" spans="1:9" ht="17.399999999999999" x14ac:dyDescent="0.25">
      <c r="A2029" s="16"/>
      <c r="B2029" s="17"/>
      <c r="C2029" s="2" t="b">
        <v>0</v>
      </c>
      <c r="D2029" s="2"/>
      <c r="E2029" s="2"/>
      <c r="F2029" s="2"/>
      <c r="G2029" s="2"/>
      <c r="H2029" s="2"/>
      <c r="I2029" s="5"/>
    </row>
    <row r="2030" spans="1:9" ht="17.399999999999999" x14ac:dyDescent="0.25">
      <c r="A2030" s="16"/>
      <c r="B2030" s="17"/>
      <c r="C2030" s="2" t="b">
        <v>0</v>
      </c>
      <c r="D2030" s="2"/>
      <c r="E2030" s="2"/>
      <c r="F2030" s="2"/>
      <c r="G2030" s="2"/>
      <c r="H2030" s="2"/>
      <c r="I2030" s="5"/>
    </row>
    <row r="2031" spans="1:9" ht="17.399999999999999" x14ac:dyDescent="0.25">
      <c r="A2031" s="16"/>
      <c r="B2031" s="17"/>
      <c r="C2031" s="2" t="b">
        <v>0</v>
      </c>
      <c r="D2031" s="2"/>
      <c r="E2031" s="2"/>
      <c r="F2031" s="2"/>
      <c r="G2031" s="2"/>
      <c r="H2031" s="2"/>
      <c r="I2031" s="5"/>
    </row>
    <row r="2032" spans="1:9" ht="17.399999999999999" x14ac:dyDescent="0.25">
      <c r="A2032" s="16"/>
      <c r="B2032" s="17"/>
      <c r="C2032" s="2" t="b">
        <v>0</v>
      </c>
      <c r="D2032" s="2"/>
      <c r="E2032" s="2"/>
      <c r="F2032" s="2"/>
      <c r="G2032" s="2"/>
      <c r="H2032" s="2"/>
      <c r="I2032" s="5"/>
    </row>
    <row r="2033" spans="1:9" ht="17.399999999999999" x14ac:dyDescent="0.25">
      <c r="A2033" s="16"/>
      <c r="B2033" s="17"/>
      <c r="C2033" s="2" t="b">
        <v>0</v>
      </c>
      <c r="D2033" s="2"/>
      <c r="E2033" s="2"/>
      <c r="F2033" s="2"/>
      <c r="G2033" s="2"/>
      <c r="H2033" s="2"/>
      <c r="I2033" s="5"/>
    </row>
    <row r="2034" spans="1:9" ht="17.399999999999999" x14ac:dyDescent="0.25">
      <c r="A2034" s="16"/>
      <c r="B2034" s="17"/>
      <c r="C2034" s="2" t="b">
        <v>0</v>
      </c>
      <c r="D2034" s="2"/>
      <c r="E2034" s="2"/>
      <c r="F2034" s="2"/>
      <c r="G2034" s="2"/>
      <c r="H2034" s="2"/>
      <c r="I2034" s="5"/>
    </row>
    <row r="2035" spans="1:9" ht="17.399999999999999" x14ac:dyDescent="0.25">
      <c r="A2035" s="16"/>
      <c r="B2035" s="17"/>
      <c r="C2035" s="2" t="b">
        <v>0</v>
      </c>
      <c r="D2035" s="2"/>
      <c r="E2035" s="2"/>
      <c r="F2035" s="2"/>
      <c r="G2035" s="2"/>
      <c r="H2035" s="2"/>
      <c r="I2035" s="5"/>
    </row>
    <row r="2036" spans="1:9" ht="17.399999999999999" x14ac:dyDescent="0.25">
      <c r="A2036" s="16"/>
      <c r="B2036" s="17"/>
      <c r="C2036" s="2" t="b">
        <v>0</v>
      </c>
      <c r="D2036" s="2"/>
      <c r="E2036" s="2"/>
      <c r="F2036" s="2"/>
      <c r="G2036" s="2"/>
      <c r="H2036" s="2"/>
      <c r="I2036" s="5"/>
    </row>
    <row r="2037" spans="1:9" ht="17.399999999999999" x14ac:dyDescent="0.25">
      <c r="A2037" s="16"/>
      <c r="B2037" s="17"/>
      <c r="C2037" s="2" t="b">
        <v>0</v>
      </c>
      <c r="D2037" s="2"/>
      <c r="E2037" s="2"/>
      <c r="F2037" s="2"/>
      <c r="G2037" s="2"/>
      <c r="H2037" s="2"/>
      <c r="I2037" s="5"/>
    </row>
    <row r="2038" spans="1:9" ht="17.399999999999999" x14ac:dyDescent="0.25">
      <c r="A2038" s="16"/>
      <c r="B2038" s="17"/>
      <c r="C2038" s="2" t="b">
        <v>0</v>
      </c>
      <c r="D2038" s="2"/>
      <c r="E2038" s="2"/>
      <c r="F2038" s="2"/>
      <c r="G2038" s="2"/>
      <c r="H2038" s="2"/>
      <c r="I2038" s="5"/>
    </row>
    <row r="2039" spans="1:9" ht="17.399999999999999" x14ac:dyDescent="0.25">
      <c r="A2039" s="16"/>
      <c r="B2039" s="17"/>
      <c r="C2039" s="2" t="b">
        <v>0</v>
      </c>
      <c r="D2039" s="2"/>
      <c r="E2039" s="2"/>
      <c r="F2039" s="2"/>
      <c r="G2039" s="2"/>
      <c r="H2039" s="2"/>
      <c r="I2039" s="5"/>
    </row>
    <row r="2040" spans="1:9" ht="17.399999999999999" x14ac:dyDescent="0.25">
      <c r="A2040" s="16"/>
      <c r="B2040" s="17"/>
      <c r="C2040" s="2" t="b">
        <v>0</v>
      </c>
      <c r="D2040" s="2"/>
      <c r="E2040" s="2"/>
      <c r="F2040" s="2"/>
      <c r="G2040" s="2"/>
      <c r="H2040" s="2"/>
      <c r="I2040" s="5"/>
    </row>
    <row r="2041" spans="1:9" ht="17.399999999999999" x14ac:dyDescent="0.25">
      <c r="A2041" s="16"/>
      <c r="B2041" s="17"/>
      <c r="C2041" s="2" t="b">
        <v>0</v>
      </c>
      <c r="D2041" s="2"/>
      <c r="E2041" s="2"/>
      <c r="F2041" s="2"/>
      <c r="G2041" s="2"/>
      <c r="H2041" s="2"/>
      <c r="I2041" s="5"/>
    </row>
    <row r="2042" spans="1:9" ht="17.399999999999999" x14ac:dyDescent="0.25">
      <c r="A2042" s="16"/>
      <c r="B2042" s="17"/>
      <c r="C2042" s="2" t="b">
        <v>0</v>
      </c>
      <c r="D2042" s="2"/>
      <c r="E2042" s="2"/>
      <c r="F2042" s="2"/>
      <c r="G2042" s="2"/>
      <c r="H2042" s="2"/>
      <c r="I2042" s="5"/>
    </row>
    <row r="2043" spans="1:9" ht="17.399999999999999" x14ac:dyDescent="0.25">
      <c r="A2043" s="16"/>
      <c r="B2043" s="17"/>
      <c r="C2043" s="2" t="b">
        <v>0</v>
      </c>
      <c r="D2043" s="2"/>
      <c r="E2043" s="2"/>
      <c r="F2043" s="2"/>
      <c r="G2043" s="2"/>
      <c r="H2043" s="2"/>
      <c r="I2043" s="5"/>
    </row>
    <row r="2044" spans="1:9" ht="17.399999999999999" x14ac:dyDescent="0.25">
      <c r="A2044" s="16"/>
      <c r="B2044" s="17"/>
      <c r="C2044" s="2" t="b">
        <v>0</v>
      </c>
      <c r="D2044" s="2"/>
      <c r="E2044" s="2"/>
      <c r="F2044" s="2"/>
      <c r="G2044" s="2"/>
      <c r="H2044" s="2"/>
      <c r="I2044" s="5"/>
    </row>
    <row r="2045" spans="1:9" ht="17.399999999999999" x14ac:dyDescent="0.25">
      <c r="A2045" s="16"/>
      <c r="B2045" s="17"/>
      <c r="C2045" s="2" t="b">
        <v>0</v>
      </c>
      <c r="D2045" s="2"/>
      <c r="E2045" s="2"/>
      <c r="F2045" s="2"/>
      <c r="G2045" s="2"/>
      <c r="H2045" s="2"/>
      <c r="I2045" s="5"/>
    </row>
    <row r="2046" spans="1:9" ht="17.399999999999999" x14ac:dyDescent="0.25">
      <c r="A2046" s="16"/>
      <c r="B2046" s="17"/>
      <c r="C2046" s="2" t="b">
        <v>0</v>
      </c>
      <c r="D2046" s="2"/>
      <c r="E2046" s="2"/>
      <c r="F2046" s="2"/>
      <c r="G2046" s="2"/>
      <c r="H2046" s="2"/>
      <c r="I2046" s="5"/>
    </row>
    <row r="2047" spans="1:9" ht="17.399999999999999" x14ac:dyDescent="0.25">
      <c r="A2047" s="16"/>
      <c r="B2047" s="17"/>
      <c r="C2047" s="2" t="b">
        <v>0</v>
      </c>
      <c r="D2047" s="2"/>
      <c r="E2047" s="2"/>
      <c r="F2047" s="2"/>
      <c r="G2047" s="2"/>
      <c r="H2047" s="2"/>
      <c r="I2047" s="5"/>
    </row>
    <row r="2048" spans="1:9" ht="17.399999999999999" x14ac:dyDescent="0.25">
      <c r="A2048" s="16"/>
      <c r="B2048" s="17"/>
      <c r="C2048" s="2" t="b">
        <v>0</v>
      </c>
      <c r="D2048" s="2"/>
      <c r="E2048" s="2"/>
      <c r="F2048" s="2"/>
      <c r="G2048" s="2"/>
      <c r="H2048" s="2"/>
      <c r="I2048" s="5"/>
    </row>
    <row r="2049" spans="1:9" ht="17.399999999999999" x14ac:dyDescent="0.25">
      <c r="A2049" s="16"/>
      <c r="B2049" s="17"/>
      <c r="C2049" s="2" t="b">
        <v>0</v>
      </c>
      <c r="D2049" s="2"/>
      <c r="E2049" s="2"/>
      <c r="F2049" s="2"/>
      <c r="G2049" s="2"/>
      <c r="H2049" s="2"/>
      <c r="I2049" s="5"/>
    </row>
    <row r="2050" spans="1:9" ht="17.399999999999999" x14ac:dyDescent="0.25">
      <c r="A2050" s="16"/>
      <c r="B2050" s="17"/>
      <c r="C2050" s="2" t="b">
        <v>0</v>
      </c>
      <c r="D2050" s="2"/>
      <c r="E2050" s="2"/>
      <c r="F2050" s="2"/>
      <c r="G2050" s="2"/>
      <c r="H2050" s="2"/>
      <c r="I2050" s="5"/>
    </row>
    <row r="2051" spans="1:9" ht="17.399999999999999" x14ac:dyDescent="0.25">
      <c r="A2051" s="16"/>
      <c r="B2051" s="17"/>
      <c r="C2051" s="2" t="b">
        <v>0</v>
      </c>
      <c r="D2051" s="2"/>
      <c r="E2051" s="2"/>
      <c r="F2051" s="2"/>
      <c r="G2051" s="2"/>
      <c r="H2051" s="2"/>
      <c r="I2051" s="5"/>
    </row>
    <row r="2052" spans="1:9" ht="17.399999999999999" x14ac:dyDescent="0.25">
      <c r="A2052" s="16"/>
      <c r="B2052" s="17"/>
      <c r="C2052" s="2" t="b">
        <v>0</v>
      </c>
      <c r="D2052" s="2"/>
      <c r="E2052" s="2"/>
      <c r="F2052" s="2"/>
      <c r="G2052" s="2"/>
      <c r="H2052" s="2"/>
      <c r="I2052" s="5"/>
    </row>
    <row r="2053" spans="1:9" ht="17.399999999999999" x14ac:dyDescent="0.25">
      <c r="A2053" s="16"/>
      <c r="B2053" s="17"/>
      <c r="C2053" s="2" t="b">
        <v>0</v>
      </c>
      <c r="D2053" s="2"/>
      <c r="E2053" s="2"/>
      <c r="F2053" s="2"/>
      <c r="G2053" s="2"/>
      <c r="H2053" s="2"/>
      <c r="I2053" s="5"/>
    </row>
    <row r="2054" spans="1:9" ht="17.399999999999999" x14ac:dyDescent="0.25">
      <c r="A2054" s="16"/>
      <c r="B2054" s="17"/>
      <c r="C2054" s="2" t="b">
        <v>0</v>
      </c>
      <c r="D2054" s="2"/>
      <c r="E2054" s="2"/>
      <c r="F2054" s="2"/>
      <c r="G2054" s="2"/>
      <c r="H2054" s="2"/>
      <c r="I2054" s="5"/>
    </row>
    <row r="2055" spans="1:9" ht="17.399999999999999" x14ac:dyDescent="0.25">
      <c r="A2055" s="16"/>
      <c r="B2055" s="17"/>
      <c r="C2055" s="2" t="b">
        <v>0</v>
      </c>
      <c r="D2055" s="2"/>
      <c r="E2055" s="2"/>
      <c r="F2055" s="2"/>
      <c r="G2055" s="2"/>
      <c r="H2055" s="2"/>
      <c r="I2055" s="5"/>
    </row>
    <row r="2056" spans="1:9" ht="17.399999999999999" x14ac:dyDescent="0.25">
      <c r="A2056" s="16"/>
      <c r="B2056" s="17"/>
      <c r="C2056" s="2" t="b">
        <v>0</v>
      </c>
      <c r="D2056" s="2"/>
      <c r="E2056" s="2"/>
      <c r="F2056" s="2"/>
      <c r="G2056" s="2"/>
      <c r="H2056" s="2"/>
      <c r="I2056" s="5"/>
    </row>
    <row r="2057" spans="1:9" ht="17.399999999999999" x14ac:dyDescent="0.25">
      <c r="A2057" s="16"/>
      <c r="B2057" s="17"/>
      <c r="C2057" s="2" t="b">
        <v>0</v>
      </c>
      <c r="D2057" s="2"/>
      <c r="E2057" s="2"/>
      <c r="F2057" s="2"/>
      <c r="G2057" s="2"/>
      <c r="H2057" s="2"/>
      <c r="I2057" s="5"/>
    </row>
    <row r="2058" spans="1:9" ht="17.399999999999999" x14ac:dyDescent="0.25">
      <c r="A2058" s="16"/>
      <c r="B2058" s="17"/>
      <c r="C2058" s="2" t="b">
        <v>0</v>
      </c>
      <c r="D2058" s="2"/>
      <c r="E2058" s="2"/>
      <c r="F2058" s="2"/>
      <c r="G2058" s="2"/>
      <c r="H2058" s="2"/>
      <c r="I2058" s="5"/>
    </row>
    <row r="2059" spans="1:9" ht="17.399999999999999" x14ac:dyDescent="0.25">
      <c r="A2059" s="16"/>
      <c r="B2059" s="17"/>
      <c r="C2059" s="2" t="b">
        <v>0</v>
      </c>
      <c r="D2059" s="2"/>
      <c r="E2059" s="2"/>
      <c r="F2059" s="2"/>
      <c r="G2059" s="2"/>
      <c r="H2059" s="2"/>
      <c r="I2059" s="5"/>
    </row>
    <row r="2060" spans="1:9" ht="17.399999999999999" x14ac:dyDescent="0.25">
      <c r="A2060" s="16"/>
      <c r="B2060" s="17"/>
      <c r="C2060" s="2" t="b">
        <v>0</v>
      </c>
      <c r="D2060" s="2"/>
      <c r="E2060" s="2"/>
      <c r="F2060" s="2"/>
      <c r="G2060" s="2"/>
      <c r="H2060" s="2"/>
      <c r="I2060" s="5"/>
    </row>
    <row r="2061" spans="1:9" ht="17.399999999999999" x14ac:dyDescent="0.25">
      <c r="A2061" s="16"/>
      <c r="B2061" s="17"/>
      <c r="C2061" s="2" t="b">
        <v>0</v>
      </c>
      <c r="D2061" s="2"/>
      <c r="E2061" s="2"/>
      <c r="F2061" s="2"/>
      <c r="G2061" s="2"/>
      <c r="H2061" s="2"/>
      <c r="I2061" s="5"/>
    </row>
    <row r="2062" spans="1:9" ht="17.399999999999999" x14ac:dyDescent="0.25">
      <c r="A2062" s="16"/>
      <c r="B2062" s="17"/>
      <c r="C2062" s="2" t="b">
        <v>0</v>
      </c>
      <c r="D2062" s="2"/>
      <c r="E2062" s="2"/>
      <c r="F2062" s="2"/>
      <c r="G2062" s="2"/>
      <c r="H2062" s="2"/>
      <c r="I2062" s="5"/>
    </row>
    <row r="2063" spans="1:9" ht="17.399999999999999" x14ac:dyDescent="0.25">
      <c r="A2063" s="16"/>
      <c r="B2063" s="17"/>
      <c r="C2063" s="2" t="b">
        <v>0</v>
      </c>
      <c r="D2063" s="2"/>
      <c r="E2063" s="2"/>
      <c r="F2063" s="2"/>
      <c r="G2063" s="2"/>
      <c r="H2063" s="2"/>
      <c r="I2063" s="5"/>
    </row>
    <row r="2064" spans="1:9" ht="17.399999999999999" x14ac:dyDescent="0.25">
      <c r="A2064" s="16"/>
      <c r="B2064" s="17"/>
      <c r="C2064" s="2" t="b">
        <v>0</v>
      </c>
      <c r="D2064" s="2"/>
      <c r="E2064" s="2"/>
      <c r="F2064" s="2"/>
      <c r="G2064" s="2"/>
      <c r="H2064" s="2"/>
      <c r="I2064" s="5"/>
    </row>
    <row r="2065" spans="1:9" ht="17.399999999999999" x14ac:dyDescent="0.25">
      <c r="A2065" s="16"/>
      <c r="B2065" s="17"/>
      <c r="C2065" s="2" t="b">
        <v>0</v>
      </c>
      <c r="D2065" s="2"/>
      <c r="E2065" s="2"/>
      <c r="F2065" s="2"/>
      <c r="G2065" s="2"/>
      <c r="H2065" s="2"/>
      <c r="I2065" s="5"/>
    </row>
    <row r="2066" spans="1:9" ht="17.399999999999999" x14ac:dyDescent="0.25">
      <c r="A2066" s="16"/>
      <c r="B2066" s="17"/>
      <c r="C2066" s="2" t="b">
        <v>0</v>
      </c>
      <c r="D2066" s="2"/>
      <c r="E2066" s="2"/>
      <c r="F2066" s="2"/>
      <c r="G2066" s="2"/>
      <c r="H2066" s="2"/>
      <c r="I2066" s="5"/>
    </row>
    <row r="2067" spans="1:9" ht="17.399999999999999" x14ac:dyDescent="0.25">
      <c r="A2067" s="16"/>
      <c r="B2067" s="17"/>
      <c r="C2067" s="2" t="b">
        <v>0</v>
      </c>
      <c r="D2067" s="2"/>
      <c r="E2067" s="2"/>
      <c r="F2067" s="2"/>
      <c r="G2067" s="2"/>
      <c r="H2067" s="2"/>
      <c r="I2067" s="5"/>
    </row>
    <row r="2068" spans="1:9" ht="17.399999999999999" x14ac:dyDescent="0.25">
      <c r="A2068" s="16"/>
      <c r="B2068" s="17"/>
      <c r="C2068" s="2" t="b">
        <v>0</v>
      </c>
      <c r="D2068" s="2"/>
      <c r="E2068" s="2"/>
      <c r="F2068" s="2"/>
      <c r="G2068" s="2"/>
      <c r="H2068" s="2"/>
      <c r="I2068" s="5"/>
    </row>
    <row r="2069" spans="1:9" ht="17.399999999999999" x14ac:dyDescent="0.25">
      <c r="A2069" s="16"/>
      <c r="B2069" s="17"/>
      <c r="C2069" s="2" t="b">
        <v>0</v>
      </c>
      <c r="D2069" s="2"/>
      <c r="E2069" s="2"/>
      <c r="F2069" s="2"/>
      <c r="G2069" s="2"/>
      <c r="H2069" s="2"/>
      <c r="I2069" s="5"/>
    </row>
    <row r="2070" spans="1:9" ht="17.399999999999999" x14ac:dyDescent="0.25">
      <c r="A2070" s="16"/>
      <c r="B2070" s="17"/>
      <c r="C2070" s="2" t="b">
        <v>0</v>
      </c>
      <c r="D2070" s="2"/>
      <c r="E2070" s="2"/>
      <c r="F2070" s="2"/>
      <c r="G2070" s="2"/>
      <c r="H2070" s="2"/>
      <c r="I2070" s="5"/>
    </row>
    <row r="2071" spans="1:9" ht="17.399999999999999" x14ac:dyDescent="0.25">
      <c r="A2071" s="16"/>
      <c r="B2071" s="17"/>
      <c r="C2071" s="2" t="b">
        <v>0</v>
      </c>
      <c r="D2071" s="2"/>
      <c r="E2071" s="2"/>
      <c r="F2071" s="2"/>
      <c r="G2071" s="2"/>
      <c r="H2071" s="2"/>
      <c r="I2071" s="5"/>
    </row>
    <row r="2072" spans="1:9" ht="17.399999999999999" x14ac:dyDescent="0.25">
      <c r="A2072" s="16"/>
      <c r="B2072" s="17"/>
      <c r="C2072" s="2" t="b">
        <v>0</v>
      </c>
      <c r="D2072" s="2"/>
      <c r="E2072" s="2"/>
      <c r="F2072" s="2"/>
      <c r="G2072" s="2"/>
      <c r="H2072" s="2"/>
      <c r="I2072" s="5"/>
    </row>
    <row r="2073" spans="1:9" ht="17.399999999999999" x14ac:dyDescent="0.25">
      <c r="A2073" s="16"/>
      <c r="B2073" s="17"/>
      <c r="C2073" s="2" t="b">
        <v>0</v>
      </c>
      <c r="D2073" s="2"/>
      <c r="E2073" s="2"/>
      <c r="F2073" s="2"/>
      <c r="G2073" s="2"/>
      <c r="H2073" s="2"/>
      <c r="I2073" s="5"/>
    </row>
    <row r="2074" spans="1:9" ht="17.399999999999999" x14ac:dyDescent="0.25">
      <c r="A2074" s="16"/>
      <c r="B2074" s="17"/>
      <c r="C2074" s="2" t="b">
        <v>0</v>
      </c>
      <c r="D2074" s="2"/>
      <c r="E2074" s="2"/>
      <c r="F2074" s="2"/>
      <c r="G2074" s="2"/>
      <c r="H2074" s="2"/>
      <c r="I2074" s="5"/>
    </row>
    <row r="2075" spans="1:9" ht="17.399999999999999" x14ac:dyDescent="0.25">
      <c r="A2075" s="16"/>
      <c r="B2075" s="17"/>
      <c r="C2075" s="2" t="b">
        <v>0</v>
      </c>
      <c r="D2075" s="2"/>
      <c r="E2075" s="2"/>
      <c r="F2075" s="2"/>
      <c r="G2075" s="2"/>
      <c r="H2075" s="2"/>
      <c r="I2075" s="5"/>
    </row>
    <row r="2076" spans="1:9" ht="17.399999999999999" x14ac:dyDescent="0.25">
      <c r="A2076" s="16"/>
      <c r="B2076" s="17"/>
      <c r="C2076" s="2" t="b">
        <v>0</v>
      </c>
      <c r="D2076" s="2"/>
      <c r="E2076" s="2"/>
      <c r="F2076" s="2"/>
      <c r="G2076" s="2"/>
      <c r="H2076" s="2"/>
      <c r="I2076" s="5"/>
    </row>
    <row r="2077" spans="1:9" ht="17.399999999999999" x14ac:dyDescent="0.25">
      <c r="A2077" s="16"/>
      <c r="B2077" s="17"/>
      <c r="C2077" s="2" t="b">
        <v>0</v>
      </c>
      <c r="D2077" s="2"/>
      <c r="E2077" s="2"/>
      <c r="F2077" s="2"/>
      <c r="G2077" s="2"/>
      <c r="H2077" s="2"/>
      <c r="I2077" s="5"/>
    </row>
    <row r="2078" spans="1:9" ht="17.399999999999999" x14ac:dyDescent="0.25">
      <c r="A2078" s="16"/>
      <c r="B2078" s="17"/>
      <c r="C2078" s="2" t="b">
        <v>0</v>
      </c>
      <c r="D2078" s="2"/>
      <c r="E2078" s="2"/>
      <c r="F2078" s="2"/>
      <c r="G2078" s="2"/>
      <c r="H2078" s="2"/>
      <c r="I2078" s="5"/>
    </row>
    <row r="2079" spans="1:9" ht="17.399999999999999" x14ac:dyDescent="0.25">
      <c r="A2079" s="16"/>
      <c r="B2079" s="17"/>
      <c r="C2079" s="2" t="b">
        <v>0</v>
      </c>
      <c r="D2079" s="2"/>
      <c r="E2079" s="2"/>
      <c r="F2079" s="2"/>
      <c r="G2079" s="2"/>
      <c r="H2079" s="2"/>
      <c r="I2079" s="5"/>
    </row>
    <row r="2080" spans="1:9" ht="17.399999999999999" x14ac:dyDescent="0.25">
      <c r="A2080" s="16"/>
      <c r="B2080" s="17"/>
      <c r="C2080" s="2" t="b">
        <v>0</v>
      </c>
      <c r="D2080" s="2"/>
      <c r="E2080" s="2"/>
      <c r="F2080" s="2"/>
      <c r="G2080" s="2"/>
      <c r="H2080" s="2"/>
      <c r="I2080" s="5"/>
    </row>
    <row r="2081" spans="1:9" ht="17.399999999999999" x14ac:dyDescent="0.25">
      <c r="A2081" s="16"/>
      <c r="B2081" s="17"/>
      <c r="C2081" s="2" t="b">
        <v>0</v>
      </c>
      <c r="D2081" s="2"/>
      <c r="E2081" s="2"/>
      <c r="F2081" s="2"/>
      <c r="G2081" s="2"/>
      <c r="H2081" s="2"/>
      <c r="I2081" s="5"/>
    </row>
    <row r="2082" spans="1:9" ht="17.399999999999999" x14ac:dyDescent="0.25">
      <c r="A2082" s="16"/>
      <c r="B2082" s="17"/>
      <c r="C2082" s="2" t="b">
        <v>0</v>
      </c>
      <c r="D2082" s="2"/>
      <c r="E2082" s="2"/>
      <c r="F2082" s="2"/>
      <c r="G2082" s="2"/>
      <c r="H2082" s="2"/>
      <c r="I2082" s="5"/>
    </row>
    <row r="2083" spans="1:9" ht="17.399999999999999" x14ac:dyDescent="0.25">
      <c r="A2083" s="16"/>
      <c r="B2083" s="17"/>
      <c r="C2083" s="2" t="b">
        <v>0</v>
      </c>
      <c r="D2083" s="2"/>
      <c r="E2083" s="2"/>
      <c r="F2083" s="2"/>
      <c r="G2083" s="2"/>
      <c r="H2083" s="2"/>
      <c r="I2083" s="5"/>
    </row>
    <row r="2084" spans="1:9" ht="17.399999999999999" x14ac:dyDescent="0.25">
      <c r="A2084" s="16"/>
      <c r="B2084" s="17"/>
      <c r="C2084" s="2" t="b">
        <v>0</v>
      </c>
      <c r="D2084" s="2"/>
      <c r="E2084" s="2"/>
      <c r="F2084" s="2"/>
      <c r="G2084" s="2"/>
      <c r="H2084" s="2"/>
      <c r="I2084" s="5"/>
    </row>
    <row r="2085" spans="1:9" ht="17.399999999999999" x14ac:dyDescent="0.25">
      <c r="A2085" s="16"/>
      <c r="B2085" s="17"/>
      <c r="C2085" s="2" t="b">
        <v>0</v>
      </c>
      <c r="D2085" s="2"/>
      <c r="E2085" s="2"/>
      <c r="F2085" s="2"/>
      <c r="G2085" s="2"/>
      <c r="H2085" s="2"/>
      <c r="I2085" s="5"/>
    </row>
    <row r="2086" spans="1:9" ht="17.399999999999999" x14ac:dyDescent="0.25">
      <c r="A2086" s="16"/>
      <c r="B2086" s="17"/>
      <c r="C2086" s="2" t="b">
        <v>0</v>
      </c>
      <c r="D2086" s="2"/>
      <c r="E2086" s="2"/>
      <c r="F2086" s="2"/>
      <c r="G2086" s="2"/>
      <c r="H2086" s="2"/>
      <c r="I2086" s="5"/>
    </row>
    <row r="2087" spans="1:9" ht="17.399999999999999" x14ac:dyDescent="0.25">
      <c r="A2087" s="16"/>
      <c r="B2087" s="17"/>
      <c r="C2087" s="2" t="b">
        <v>0</v>
      </c>
      <c r="D2087" s="2"/>
      <c r="E2087" s="2"/>
      <c r="F2087" s="2"/>
      <c r="G2087" s="2"/>
      <c r="H2087" s="2"/>
      <c r="I2087" s="5"/>
    </row>
    <row r="2088" spans="1:9" ht="17.399999999999999" x14ac:dyDescent="0.25">
      <c r="A2088" s="16"/>
      <c r="B2088" s="17"/>
      <c r="C2088" s="2" t="b">
        <v>0</v>
      </c>
      <c r="D2088" s="2"/>
      <c r="E2088" s="2"/>
      <c r="F2088" s="2"/>
      <c r="G2088" s="2"/>
      <c r="H2088" s="2"/>
      <c r="I2088" s="5"/>
    </row>
    <row r="2089" spans="1:9" ht="17.399999999999999" x14ac:dyDescent="0.25">
      <c r="A2089" s="16"/>
      <c r="B2089" s="17"/>
      <c r="C2089" s="2" t="b">
        <v>0</v>
      </c>
      <c r="D2089" s="2"/>
      <c r="E2089" s="2"/>
      <c r="F2089" s="2"/>
      <c r="G2089" s="2"/>
      <c r="H2089" s="2"/>
      <c r="I2089" s="5"/>
    </row>
    <row r="2090" spans="1:9" ht="17.399999999999999" x14ac:dyDescent="0.25">
      <c r="A2090" s="16"/>
      <c r="B2090" s="17"/>
      <c r="C2090" s="2" t="b">
        <v>0</v>
      </c>
      <c r="D2090" s="2"/>
      <c r="E2090" s="2"/>
      <c r="F2090" s="2"/>
      <c r="G2090" s="2"/>
      <c r="H2090" s="2"/>
      <c r="I2090" s="5"/>
    </row>
    <row r="2091" spans="1:9" ht="17.399999999999999" x14ac:dyDescent="0.25">
      <c r="A2091" s="16"/>
      <c r="B2091" s="17"/>
      <c r="C2091" s="2" t="b">
        <v>0</v>
      </c>
      <c r="D2091" s="2"/>
      <c r="E2091" s="2"/>
      <c r="F2091" s="2"/>
      <c r="G2091" s="2"/>
      <c r="H2091" s="2"/>
      <c r="I2091" s="5"/>
    </row>
    <row r="2092" spans="1:9" ht="17.399999999999999" x14ac:dyDescent="0.25">
      <c r="A2092" s="16"/>
      <c r="B2092" s="17"/>
      <c r="C2092" s="2" t="b">
        <v>0</v>
      </c>
      <c r="D2092" s="2"/>
      <c r="E2092" s="2"/>
      <c r="F2092" s="2"/>
      <c r="G2092" s="2"/>
      <c r="H2092" s="2"/>
      <c r="I2092" s="5"/>
    </row>
    <row r="2093" spans="1:9" ht="17.399999999999999" x14ac:dyDescent="0.25">
      <c r="A2093" s="16"/>
      <c r="B2093" s="17"/>
      <c r="C2093" s="2" t="b">
        <v>0</v>
      </c>
      <c r="D2093" s="2"/>
      <c r="E2093" s="2"/>
      <c r="F2093" s="2"/>
      <c r="G2093" s="2"/>
      <c r="H2093" s="2"/>
      <c r="I2093" s="5"/>
    </row>
    <row r="2094" spans="1:9" ht="17.399999999999999" x14ac:dyDescent="0.25">
      <c r="A2094" s="16"/>
      <c r="B2094" s="17"/>
      <c r="C2094" s="2" t="b">
        <v>0</v>
      </c>
      <c r="D2094" s="2"/>
      <c r="E2094" s="2"/>
      <c r="F2094" s="2"/>
      <c r="G2094" s="2"/>
      <c r="H2094" s="2"/>
      <c r="I2094" s="5"/>
    </row>
    <row r="2095" spans="1:9" ht="17.399999999999999" x14ac:dyDescent="0.25">
      <c r="A2095" s="16"/>
      <c r="B2095" s="17"/>
      <c r="C2095" s="2" t="b">
        <v>0</v>
      </c>
      <c r="D2095" s="2"/>
      <c r="E2095" s="2"/>
      <c r="F2095" s="2"/>
      <c r="G2095" s="2"/>
      <c r="H2095" s="2"/>
      <c r="I2095" s="5"/>
    </row>
    <row r="2096" spans="1:9" ht="17.399999999999999" x14ac:dyDescent="0.25">
      <c r="A2096" s="16"/>
      <c r="B2096" s="17"/>
      <c r="C2096" s="2" t="b">
        <v>0</v>
      </c>
      <c r="D2096" s="2"/>
      <c r="E2096" s="2"/>
      <c r="F2096" s="2"/>
      <c r="G2096" s="2"/>
      <c r="H2096" s="2"/>
      <c r="I2096" s="5"/>
    </row>
    <row r="2097" spans="1:9" ht="17.399999999999999" x14ac:dyDescent="0.25">
      <c r="A2097" s="16"/>
      <c r="B2097" s="17"/>
      <c r="C2097" s="2" t="b">
        <v>0</v>
      </c>
      <c r="D2097" s="2"/>
      <c r="E2097" s="2"/>
      <c r="F2097" s="2"/>
      <c r="G2097" s="2"/>
      <c r="H2097" s="2"/>
      <c r="I2097" s="5"/>
    </row>
    <row r="2098" spans="1:9" ht="17.399999999999999" x14ac:dyDescent="0.25">
      <c r="A2098" s="16"/>
      <c r="B2098" s="17"/>
      <c r="C2098" s="2" t="b">
        <v>0</v>
      </c>
      <c r="D2098" s="2"/>
      <c r="E2098" s="2"/>
      <c r="F2098" s="2"/>
      <c r="G2098" s="2"/>
      <c r="H2098" s="2"/>
      <c r="I2098" s="5"/>
    </row>
    <row r="2099" spans="1:9" ht="17.399999999999999" x14ac:dyDescent="0.25">
      <c r="A2099" s="16"/>
      <c r="B2099" s="17"/>
      <c r="C2099" s="2" t="b">
        <v>0</v>
      </c>
      <c r="D2099" s="2"/>
      <c r="E2099" s="2"/>
      <c r="F2099" s="2"/>
      <c r="G2099" s="2"/>
      <c r="H2099" s="2"/>
      <c r="I2099" s="5"/>
    </row>
    <row r="2100" spans="1:9" ht="17.399999999999999" x14ac:dyDescent="0.25">
      <c r="A2100" s="16"/>
      <c r="B2100" s="17"/>
      <c r="C2100" s="2" t="b">
        <v>0</v>
      </c>
      <c r="D2100" s="2"/>
      <c r="E2100" s="2"/>
      <c r="F2100" s="2"/>
      <c r="G2100" s="2"/>
      <c r="H2100" s="2"/>
      <c r="I2100" s="5"/>
    </row>
    <row r="2101" spans="1:9" ht="17.399999999999999" x14ac:dyDescent="0.25">
      <c r="A2101" s="16"/>
      <c r="B2101" s="17"/>
      <c r="C2101" s="2" t="b">
        <v>0</v>
      </c>
      <c r="D2101" s="2"/>
      <c r="E2101" s="2"/>
      <c r="F2101" s="2"/>
      <c r="G2101" s="2"/>
      <c r="H2101" s="2"/>
      <c r="I2101" s="5"/>
    </row>
    <row r="2102" spans="1:9" ht="17.399999999999999" x14ac:dyDescent="0.25">
      <c r="A2102" s="16"/>
      <c r="B2102" s="17"/>
      <c r="C2102" s="2" t="b">
        <v>0</v>
      </c>
      <c r="D2102" s="2"/>
      <c r="E2102" s="2"/>
      <c r="F2102" s="2"/>
      <c r="G2102" s="2"/>
      <c r="H2102" s="2"/>
      <c r="I2102" s="5"/>
    </row>
    <row r="2103" spans="1:9" ht="17.399999999999999" x14ac:dyDescent="0.25">
      <c r="A2103" s="16"/>
      <c r="B2103" s="17"/>
      <c r="C2103" s="2" t="b">
        <v>0</v>
      </c>
      <c r="D2103" s="2"/>
      <c r="E2103" s="2"/>
      <c r="F2103" s="2"/>
      <c r="G2103" s="2"/>
      <c r="H2103" s="2"/>
      <c r="I2103" s="5"/>
    </row>
    <row r="2104" spans="1:9" ht="17.399999999999999" x14ac:dyDescent="0.25">
      <c r="A2104" s="16"/>
      <c r="B2104" s="17"/>
      <c r="C2104" s="2" t="b">
        <v>0</v>
      </c>
      <c r="D2104" s="2"/>
      <c r="E2104" s="2"/>
      <c r="F2104" s="2"/>
      <c r="G2104" s="2"/>
      <c r="H2104" s="2"/>
      <c r="I2104" s="5"/>
    </row>
    <row r="2105" spans="1:9" ht="17.399999999999999" x14ac:dyDescent="0.25">
      <c r="A2105" s="16"/>
      <c r="B2105" s="17"/>
      <c r="C2105" s="2" t="b">
        <v>0</v>
      </c>
      <c r="D2105" s="2"/>
      <c r="E2105" s="2"/>
      <c r="F2105" s="2"/>
      <c r="G2105" s="2"/>
      <c r="H2105" s="2"/>
      <c r="I2105" s="5"/>
    </row>
    <row r="2106" spans="1:9" ht="17.399999999999999" x14ac:dyDescent="0.25">
      <c r="A2106" s="16"/>
      <c r="B2106" s="17"/>
      <c r="C2106" s="2" t="b">
        <v>0</v>
      </c>
      <c r="D2106" s="2"/>
      <c r="E2106" s="2"/>
      <c r="F2106" s="2"/>
      <c r="G2106" s="2"/>
      <c r="H2106" s="2"/>
      <c r="I2106" s="5"/>
    </row>
    <row r="2107" spans="1:9" ht="17.399999999999999" x14ac:dyDescent="0.25">
      <c r="A2107" s="16"/>
      <c r="B2107" s="17"/>
      <c r="C2107" s="2" t="b">
        <v>0</v>
      </c>
      <c r="D2107" s="2"/>
      <c r="E2107" s="2"/>
      <c r="F2107" s="2"/>
      <c r="G2107" s="2"/>
      <c r="H2107" s="2"/>
      <c r="I2107" s="5"/>
    </row>
    <row r="2108" spans="1:9" ht="17.399999999999999" x14ac:dyDescent="0.25">
      <c r="A2108" s="16"/>
      <c r="B2108" s="17"/>
      <c r="C2108" s="2" t="b">
        <v>0</v>
      </c>
      <c r="D2108" s="2"/>
      <c r="E2108" s="2"/>
      <c r="F2108" s="2"/>
      <c r="G2108" s="2"/>
      <c r="H2108" s="2"/>
      <c r="I2108" s="5"/>
    </row>
    <row r="2109" spans="1:9" ht="17.399999999999999" x14ac:dyDescent="0.25">
      <c r="A2109" s="16"/>
      <c r="B2109" s="17"/>
      <c r="C2109" s="2" t="b">
        <v>0</v>
      </c>
      <c r="D2109" s="2"/>
      <c r="E2109" s="2"/>
      <c r="F2109" s="2"/>
      <c r="G2109" s="2"/>
      <c r="H2109" s="2"/>
      <c r="I2109" s="5"/>
    </row>
    <row r="2110" spans="1:9" ht="17.399999999999999" x14ac:dyDescent="0.25">
      <c r="A2110" s="16"/>
      <c r="B2110" s="17"/>
      <c r="C2110" s="2" t="b">
        <v>0</v>
      </c>
      <c r="D2110" s="2"/>
      <c r="E2110" s="2"/>
      <c r="F2110" s="2"/>
      <c r="G2110" s="2"/>
      <c r="H2110" s="2"/>
      <c r="I2110" s="5"/>
    </row>
    <row r="2111" spans="1:9" ht="17.399999999999999" x14ac:dyDescent="0.25">
      <c r="A2111" s="16"/>
      <c r="B2111" s="17"/>
      <c r="C2111" s="2" t="b">
        <v>0</v>
      </c>
      <c r="D2111" s="2"/>
      <c r="E2111" s="2"/>
      <c r="F2111" s="2"/>
      <c r="G2111" s="2"/>
      <c r="H2111" s="2"/>
      <c r="I2111" s="5"/>
    </row>
    <row r="2112" spans="1:9" ht="17.399999999999999" x14ac:dyDescent="0.25">
      <c r="A2112" s="16"/>
      <c r="B2112" s="17"/>
      <c r="C2112" s="2" t="b">
        <v>0</v>
      </c>
      <c r="D2112" s="2"/>
      <c r="E2112" s="2"/>
      <c r="F2112" s="2"/>
      <c r="G2112" s="2"/>
      <c r="H2112" s="2"/>
      <c r="I2112" s="5"/>
    </row>
    <row r="2113" spans="1:9" ht="17.399999999999999" x14ac:dyDescent="0.25">
      <c r="A2113" s="16"/>
      <c r="B2113" s="17"/>
      <c r="C2113" s="2" t="b">
        <v>0</v>
      </c>
      <c r="D2113" s="2"/>
      <c r="E2113" s="2"/>
      <c r="F2113" s="2"/>
      <c r="G2113" s="2"/>
      <c r="H2113" s="2"/>
      <c r="I2113" s="5"/>
    </row>
    <row r="2114" spans="1:9" ht="17.399999999999999" x14ac:dyDescent="0.25">
      <c r="A2114" s="16"/>
      <c r="B2114" s="17"/>
      <c r="C2114" s="2" t="b">
        <v>0</v>
      </c>
      <c r="D2114" s="2"/>
      <c r="E2114" s="2"/>
      <c r="F2114" s="2"/>
      <c r="G2114" s="2"/>
      <c r="H2114" s="2"/>
      <c r="I2114" s="5"/>
    </row>
    <row r="2115" spans="1:9" ht="17.399999999999999" x14ac:dyDescent="0.25">
      <c r="A2115" s="16"/>
      <c r="B2115" s="17"/>
      <c r="C2115" s="2" t="b">
        <v>0</v>
      </c>
      <c r="D2115" s="2"/>
      <c r="E2115" s="2"/>
      <c r="F2115" s="2"/>
      <c r="G2115" s="2"/>
      <c r="H2115" s="2"/>
      <c r="I2115" s="5"/>
    </row>
    <row r="2116" spans="1:9" ht="17.399999999999999" x14ac:dyDescent="0.25">
      <c r="A2116" s="16"/>
      <c r="B2116" s="17"/>
      <c r="C2116" s="2" t="b">
        <v>0</v>
      </c>
      <c r="D2116" s="2"/>
      <c r="E2116" s="2"/>
      <c r="F2116" s="2"/>
      <c r="G2116" s="2"/>
      <c r="H2116" s="2"/>
      <c r="I2116" s="5"/>
    </row>
    <row r="2117" spans="1:9" ht="17.399999999999999" x14ac:dyDescent="0.25">
      <c r="A2117" s="16"/>
      <c r="B2117" s="17"/>
      <c r="C2117" s="2" t="b">
        <v>0</v>
      </c>
      <c r="D2117" s="2"/>
      <c r="E2117" s="2"/>
      <c r="F2117" s="2"/>
      <c r="G2117" s="2"/>
      <c r="H2117" s="2"/>
      <c r="I2117" s="5"/>
    </row>
    <row r="2118" spans="1:9" ht="17.399999999999999" x14ac:dyDescent="0.25">
      <c r="A2118" s="16"/>
      <c r="B2118" s="17"/>
      <c r="C2118" s="2" t="b">
        <v>0</v>
      </c>
      <c r="D2118" s="2"/>
      <c r="E2118" s="2"/>
      <c r="F2118" s="2"/>
      <c r="G2118" s="2"/>
      <c r="H2118" s="2"/>
      <c r="I2118" s="5"/>
    </row>
    <row r="2119" spans="1:9" ht="17.399999999999999" x14ac:dyDescent="0.25">
      <c r="A2119" s="16"/>
      <c r="B2119" s="17"/>
      <c r="C2119" s="2" t="b">
        <v>0</v>
      </c>
      <c r="D2119" s="2"/>
      <c r="E2119" s="2"/>
      <c r="F2119" s="2"/>
      <c r="G2119" s="2"/>
      <c r="H2119" s="2"/>
      <c r="I2119" s="5"/>
    </row>
    <row r="2120" spans="1:9" ht="17.399999999999999" x14ac:dyDescent="0.25">
      <c r="A2120" s="16"/>
      <c r="B2120" s="17"/>
      <c r="C2120" s="2" t="b">
        <v>0</v>
      </c>
      <c r="D2120" s="2"/>
      <c r="E2120" s="2"/>
      <c r="F2120" s="2"/>
      <c r="G2120" s="2"/>
      <c r="H2120" s="2"/>
      <c r="I2120" s="5"/>
    </row>
    <row r="2121" spans="1:9" ht="17.399999999999999" x14ac:dyDescent="0.25">
      <c r="A2121" s="16"/>
      <c r="B2121" s="17"/>
      <c r="C2121" s="2" t="b">
        <v>0</v>
      </c>
      <c r="D2121" s="2"/>
      <c r="E2121" s="2"/>
      <c r="F2121" s="2"/>
      <c r="G2121" s="2"/>
      <c r="H2121" s="2"/>
      <c r="I2121" s="5"/>
    </row>
    <row r="2122" spans="1:9" ht="17.399999999999999" x14ac:dyDescent="0.25">
      <c r="A2122" s="16"/>
      <c r="B2122" s="17"/>
      <c r="C2122" s="2" t="b">
        <v>0</v>
      </c>
      <c r="D2122" s="2"/>
      <c r="E2122" s="2"/>
      <c r="F2122" s="2"/>
      <c r="G2122" s="2"/>
      <c r="H2122" s="2"/>
      <c r="I2122" s="5"/>
    </row>
    <row r="2123" spans="1:9" ht="17.399999999999999" x14ac:dyDescent="0.25">
      <c r="A2123" s="16"/>
      <c r="B2123" s="17"/>
      <c r="C2123" s="2" t="b">
        <v>0</v>
      </c>
      <c r="D2123" s="2"/>
      <c r="E2123" s="2"/>
      <c r="F2123" s="2"/>
      <c r="G2123" s="2"/>
      <c r="H2123" s="2"/>
      <c r="I2123" s="5"/>
    </row>
    <row r="2124" spans="1:9" ht="17.399999999999999" x14ac:dyDescent="0.25">
      <c r="A2124" s="16"/>
      <c r="B2124" s="17"/>
      <c r="C2124" s="2" t="b">
        <v>0</v>
      </c>
      <c r="D2124" s="2"/>
      <c r="E2124" s="2"/>
      <c r="F2124" s="2"/>
      <c r="G2124" s="2"/>
      <c r="H2124" s="2"/>
      <c r="I2124" s="5"/>
    </row>
    <row r="2125" spans="1:9" ht="17.399999999999999" x14ac:dyDescent="0.25">
      <c r="A2125" s="16"/>
      <c r="B2125" s="17"/>
      <c r="C2125" s="2" t="b">
        <v>0</v>
      </c>
      <c r="D2125" s="2"/>
      <c r="E2125" s="2"/>
      <c r="F2125" s="2"/>
      <c r="G2125" s="2"/>
      <c r="H2125" s="2"/>
      <c r="I2125" s="5"/>
    </row>
    <row r="2126" spans="1:9" ht="17.399999999999999" x14ac:dyDescent="0.25">
      <c r="A2126" s="16"/>
      <c r="B2126" s="17"/>
      <c r="C2126" s="2" t="b">
        <v>0</v>
      </c>
      <c r="D2126" s="2"/>
      <c r="E2126" s="2"/>
      <c r="F2126" s="2"/>
      <c r="G2126" s="2"/>
      <c r="H2126" s="2"/>
      <c r="I2126" s="5"/>
    </row>
    <row r="2127" spans="1:9" ht="17.399999999999999" x14ac:dyDescent="0.25">
      <c r="A2127" s="16"/>
      <c r="B2127" s="17"/>
      <c r="C2127" s="2" t="b">
        <v>0</v>
      </c>
      <c r="D2127" s="2"/>
      <c r="E2127" s="2"/>
      <c r="F2127" s="2"/>
      <c r="G2127" s="2"/>
      <c r="H2127" s="2"/>
      <c r="I2127" s="5"/>
    </row>
    <row r="2128" spans="1:9" ht="17.399999999999999" x14ac:dyDescent="0.25">
      <c r="A2128" s="16"/>
      <c r="B2128" s="17"/>
      <c r="C2128" s="2" t="b">
        <v>0</v>
      </c>
      <c r="D2128" s="2"/>
      <c r="E2128" s="2"/>
      <c r="F2128" s="2"/>
      <c r="G2128" s="2"/>
      <c r="H2128" s="2"/>
      <c r="I2128" s="5"/>
    </row>
    <row r="2129" spans="1:9" ht="17.399999999999999" x14ac:dyDescent="0.25">
      <c r="A2129" s="16"/>
      <c r="B2129" s="17"/>
      <c r="C2129" s="2" t="b">
        <v>0</v>
      </c>
      <c r="D2129" s="2"/>
      <c r="E2129" s="2"/>
      <c r="F2129" s="2"/>
      <c r="G2129" s="2"/>
      <c r="H2129" s="2"/>
      <c r="I2129" s="5"/>
    </row>
    <row r="2130" spans="1:9" ht="17.399999999999999" x14ac:dyDescent="0.25">
      <c r="A2130" s="16"/>
      <c r="B2130" s="17"/>
      <c r="C2130" s="2" t="b">
        <v>0</v>
      </c>
      <c r="D2130" s="2"/>
      <c r="E2130" s="2"/>
      <c r="F2130" s="2"/>
      <c r="G2130" s="2"/>
      <c r="H2130" s="2"/>
      <c r="I2130" s="5"/>
    </row>
    <row r="2131" spans="1:9" ht="17.399999999999999" x14ac:dyDescent="0.25">
      <c r="A2131" s="16"/>
      <c r="B2131" s="17"/>
      <c r="C2131" s="2" t="b">
        <v>0</v>
      </c>
      <c r="D2131" s="2"/>
      <c r="E2131" s="2"/>
      <c r="F2131" s="2"/>
      <c r="G2131" s="2"/>
      <c r="H2131" s="2"/>
      <c r="I2131" s="5"/>
    </row>
    <row r="2132" spans="1:9" ht="17.399999999999999" x14ac:dyDescent="0.25">
      <c r="A2132" s="16"/>
      <c r="B2132" s="17"/>
      <c r="C2132" s="2" t="b">
        <v>0</v>
      </c>
      <c r="D2132" s="2"/>
      <c r="E2132" s="2"/>
      <c r="F2132" s="2"/>
      <c r="G2132" s="2"/>
      <c r="H2132" s="2"/>
      <c r="I2132" s="5"/>
    </row>
    <row r="2133" spans="1:9" ht="17.399999999999999" x14ac:dyDescent="0.25">
      <c r="A2133" s="16"/>
      <c r="B2133" s="17"/>
      <c r="C2133" s="2" t="b">
        <v>0</v>
      </c>
      <c r="D2133" s="2"/>
      <c r="E2133" s="2"/>
      <c r="F2133" s="2"/>
      <c r="G2133" s="2"/>
      <c r="H2133" s="2"/>
      <c r="I2133" s="5"/>
    </row>
    <row r="2134" spans="1:9" ht="17.399999999999999" x14ac:dyDescent="0.25">
      <c r="A2134" s="16"/>
      <c r="B2134" s="17"/>
      <c r="C2134" s="2" t="b">
        <v>0</v>
      </c>
      <c r="D2134" s="2"/>
      <c r="E2134" s="2"/>
      <c r="F2134" s="2"/>
      <c r="G2134" s="2"/>
      <c r="H2134" s="2"/>
      <c r="I2134" s="5"/>
    </row>
    <row r="2135" spans="1:9" ht="17.399999999999999" x14ac:dyDescent="0.25">
      <c r="A2135" s="16"/>
      <c r="B2135" s="17"/>
      <c r="C2135" s="2" t="b">
        <v>0</v>
      </c>
      <c r="D2135" s="2"/>
      <c r="E2135" s="2"/>
      <c r="F2135" s="2"/>
      <c r="G2135" s="2"/>
      <c r="H2135" s="2"/>
      <c r="I2135" s="5"/>
    </row>
    <row r="2136" spans="1:9" ht="17.399999999999999" x14ac:dyDescent="0.25">
      <c r="A2136" s="16"/>
      <c r="B2136" s="17"/>
      <c r="C2136" s="2" t="b">
        <v>0</v>
      </c>
      <c r="D2136" s="2"/>
      <c r="E2136" s="2"/>
      <c r="F2136" s="2"/>
      <c r="G2136" s="2"/>
      <c r="H2136" s="2"/>
      <c r="I2136" s="5"/>
    </row>
    <row r="2137" spans="1:9" ht="17.399999999999999" x14ac:dyDescent="0.25">
      <c r="A2137" s="16"/>
      <c r="B2137" s="17"/>
      <c r="C2137" s="2" t="b">
        <v>0</v>
      </c>
      <c r="D2137" s="2"/>
      <c r="E2137" s="2"/>
      <c r="F2137" s="2"/>
      <c r="G2137" s="2"/>
      <c r="H2137" s="2"/>
      <c r="I2137" s="5"/>
    </row>
    <row r="2138" spans="1:9" ht="17.399999999999999" x14ac:dyDescent="0.25">
      <c r="A2138" s="16"/>
      <c r="B2138" s="17"/>
      <c r="C2138" s="2" t="b">
        <v>0</v>
      </c>
      <c r="D2138" s="2"/>
      <c r="E2138" s="2"/>
      <c r="F2138" s="2"/>
      <c r="G2138" s="2"/>
      <c r="H2138" s="2"/>
      <c r="I2138" s="5"/>
    </row>
    <row r="2139" spans="1:9" ht="17.399999999999999" x14ac:dyDescent="0.25">
      <c r="A2139" s="16"/>
      <c r="B2139" s="17"/>
      <c r="C2139" s="2" t="b">
        <v>0</v>
      </c>
      <c r="D2139" s="2"/>
      <c r="E2139" s="2"/>
      <c r="F2139" s="2"/>
      <c r="G2139" s="2"/>
      <c r="H2139" s="2"/>
      <c r="I2139" s="5"/>
    </row>
    <row r="2140" spans="1:9" ht="17.399999999999999" x14ac:dyDescent="0.25">
      <c r="A2140" s="16"/>
      <c r="B2140" s="17"/>
      <c r="C2140" s="2" t="b">
        <v>0</v>
      </c>
      <c r="D2140" s="2"/>
      <c r="E2140" s="2"/>
      <c r="F2140" s="2"/>
      <c r="G2140" s="2"/>
      <c r="H2140" s="2"/>
      <c r="I2140" s="5"/>
    </row>
    <row r="2141" spans="1:9" ht="17.399999999999999" x14ac:dyDescent="0.25">
      <c r="A2141" s="16"/>
      <c r="B2141" s="17"/>
      <c r="C2141" s="2" t="b">
        <v>0</v>
      </c>
      <c r="D2141" s="2"/>
      <c r="E2141" s="2"/>
      <c r="F2141" s="2"/>
      <c r="G2141" s="2"/>
      <c r="H2141" s="2"/>
      <c r="I2141" s="5"/>
    </row>
    <row r="2142" spans="1:9" ht="17.399999999999999" x14ac:dyDescent="0.25">
      <c r="A2142" s="16"/>
      <c r="B2142" s="17"/>
      <c r="C2142" s="2" t="b">
        <v>0</v>
      </c>
      <c r="D2142" s="2"/>
      <c r="E2142" s="2"/>
      <c r="F2142" s="2"/>
      <c r="G2142" s="2"/>
      <c r="H2142" s="2"/>
      <c r="I2142" s="5"/>
    </row>
    <row r="2143" spans="1:9" ht="17.399999999999999" x14ac:dyDescent="0.25">
      <c r="A2143" s="16"/>
      <c r="B2143" s="17"/>
      <c r="C2143" s="2" t="b">
        <v>0</v>
      </c>
      <c r="D2143" s="2"/>
      <c r="E2143" s="2"/>
      <c r="F2143" s="2"/>
      <c r="G2143" s="2"/>
      <c r="H2143" s="2"/>
      <c r="I2143" s="5"/>
    </row>
    <row r="2144" spans="1:9" ht="17.399999999999999" x14ac:dyDescent="0.25">
      <c r="A2144" s="16"/>
      <c r="B2144" s="17"/>
      <c r="C2144" s="2" t="b">
        <v>0</v>
      </c>
      <c r="D2144" s="2"/>
      <c r="E2144" s="2"/>
      <c r="F2144" s="2"/>
      <c r="G2144" s="2"/>
      <c r="H2144" s="2"/>
      <c r="I2144" s="5"/>
    </row>
    <row r="2145" spans="1:9" ht="17.399999999999999" x14ac:dyDescent="0.25">
      <c r="A2145" s="16"/>
      <c r="B2145" s="17"/>
      <c r="C2145" s="2" t="b">
        <v>0</v>
      </c>
      <c r="D2145" s="2"/>
      <c r="E2145" s="2"/>
      <c r="F2145" s="2"/>
      <c r="G2145" s="2"/>
      <c r="H2145" s="2"/>
      <c r="I2145" s="5"/>
    </row>
    <row r="2146" spans="1:9" ht="17.399999999999999" x14ac:dyDescent="0.25">
      <c r="A2146" s="16"/>
      <c r="B2146" s="17"/>
      <c r="C2146" s="2" t="b">
        <v>0</v>
      </c>
      <c r="D2146" s="2"/>
      <c r="E2146" s="2"/>
      <c r="F2146" s="2"/>
      <c r="G2146" s="2"/>
      <c r="H2146" s="2"/>
      <c r="I2146" s="5"/>
    </row>
    <row r="2147" spans="1:9" ht="17.399999999999999" x14ac:dyDescent="0.25">
      <c r="A2147" s="16"/>
      <c r="B2147" s="17"/>
      <c r="C2147" s="2" t="b">
        <v>0</v>
      </c>
      <c r="D2147" s="2"/>
      <c r="E2147" s="2"/>
      <c r="F2147" s="2"/>
      <c r="G2147" s="2"/>
      <c r="H2147" s="2"/>
      <c r="I2147" s="5"/>
    </row>
    <row r="2148" spans="1:9" ht="17.399999999999999" x14ac:dyDescent="0.25">
      <c r="A2148" s="16"/>
      <c r="B2148" s="17"/>
      <c r="C2148" s="2" t="b">
        <v>0</v>
      </c>
      <c r="D2148" s="2"/>
      <c r="E2148" s="2"/>
      <c r="F2148" s="2"/>
      <c r="G2148" s="2"/>
      <c r="H2148" s="2"/>
      <c r="I2148" s="5"/>
    </row>
    <row r="2149" spans="1:9" ht="17.399999999999999" x14ac:dyDescent="0.25">
      <c r="A2149" s="16"/>
      <c r="B2149" s="17"/>
      <c r="C2149" s="2" t="b">
        <v>0</v>
      </c>
      <c r="D2149" s="2"/>
      <c r="E2149" s="2"/>
      <c r="F2149" s="2"/>
      <c r="G2149" s="2"/>
      <c r="H2149" s="2"/>
      <c r="I2149" s="5"/>
    </row>
    <row r="2150" spans="1:9" ht="17.399999999999999" x14ac:dyDescent="0.25">
      <c r="A2150" s="16"/>
      <c r="B2150" s="17"/>
      <c r="C2150" s="2" t="b">
        <v>0</v>
      </c>
      <c r="D2150" s="2"/>
      <c r="E2150" s="2"/>
      <c r="F2150" s="2"/>
      <c r="G2150" s="2"/>
      <c r="H2150" s="2"/>
      <c r="I2150" s="5"/>
    </row>
    <row r="2151" spans="1:9" ht="17.399999999999999" x14ac:dyDescent="0.25">
      <c r="A2151" s="16"/>
      <c r="B2151" s="17"/>
      <c r="C2151" s="2" t="b">
        <v>0</v>
      </c>
      <c r="D2151" s="2"/>
      <c r="E2151" s="2"/>
      <c r="F2151" s="2"/>
      <c r="G2151" s="2"/>
      <c r="H2151" s="2"/>
      <c r="I2151" s="5"/>
    </row>
    <row r="2152" spans="1:9" ht="17.399999999999999" x14ac:dyDescent="0.25">
      <c r="A2152" s="16"/>
      <c r="B2152" s="17"/>
      <c r="C2152" s="2" t="b">
        <v>0</v>
      </c>
      <c r="D2152" s="2"/>
      <c r="E2152" s="2"/>
      <c r="F2152" s="2"/>
      <c r="G2152" s="2"/>
      <c r="H2152" s="2"/>
      <c r="I2152" s="5"/>
    </row>
    <row r="2153" spans="1:9" ht="17.399999999999999" x14ac:dyDescent="0.25">
      <c r="A2153" s="16"/>
      <c r="B2153" s="17"/>
      <c r="C2153" s="2" t="b">
        <v>0</v>
      </c>
      <c r="D2153" s="2"/>
      <c r="E2153" s="2"/>
      <c r="F2153" s="2"/>
      <c r="G2153" s="2"/>
      <c r="H2153" s="2"/>
      <c r="I2153" s="5"/>
    </row>
    <row r="2154" spans="1:9" ht="17.399999999999999" x14ac:dyDescent="0.25">
      <c r="A2154" s="16"/>
      <c r="B2154" s="17"/>
      <c r="C2154" s="2" t="b">
        <v>0</v>
      </c>
      <c r="D2154" s="2"/>
      <c r="E2154" s="2"/>
      <c r="F2154" s="2"/>
      <c r="G2154" s="2"/>
      <c r="H2154" s="2"/>
      <c r="I2154" s="5"/>
    </row>
    <row r="2155" spans="1:9" ht="17.399999999999999" x14ac:dyDescent="0.25">
      <c r="A2155" s="16"/>
      <c r="B2155" s="17"/>
      <c r="C2155" s="2" t="b">
        <v>0</v>
      </c>
      <c r="D2155" s="2"/>
      <c r="E2155" s="2"/>
      <c r="F2155" s="2"/>
      <c r="G2155" s="2"/>
      <c r="H2155" s="2"/>
      <c r="I2155" s="5"/>
    </row>
    <row r="2156" spans="1:9" ht="17.399999999999999" x14ac:dyDescent="0.25">
      <c r="A2156" s="16"/>
      <c r="B2156" s="17"/>
      <c r="C2156" s="2" t="b">
        <v>0</v>
      </c>
      <c r="D2156" s="2"/>
      <c r="E2156" s="2"/>
      <c r="F2156" s="2"/>
      <c r="G2156" s="2"/>
      <c r="H2156" s="2"/>
      <c r="I2156" s="5"/>
    </row>
    <row r="2157" spans="1:9" ht="17.399999999999999" x14ac:dyDescent="0.25">
      <c r="A2157" s="16"/>
      <c r="B2157" s="17"/>
      <c r="C2157" s="2" t="b">
        <v>0</v>
      </c>
      <c r="D2157" s="2"/>
      <c r="E2157" s="2"/>
      <c r="F2157" s="2"/>
      <c r="G2157" s="2"/>
      <c r="H2157" s="2"/>
      <c r="I2157" s="5"/>
    </row>
    <row r="2158" spans="1:9" ht="17.399999999999999" x14ac:dyDescent="0.25">
      <c r="A2158" s="16"/>
      <c r="B2158" s="17"/>
      <c r="C2158" s="2" t="b">
        <v>0</v>
      </c>
      <c r="D2158" s="2"/>
      <c r="E2158" s="2"/>
      <c r="F2158" s="2"/>
      <c r="G2158" s="2"/>
      <c r="H2158" s="2"/>
      <c r="I2158" s="5"/>
    </row>
    <row r="2159" spans="1:9" ht="17.399999999999999" x14ac:dyDescent="0.25">
      <c r="A2159" s="16"/>
      <c r="B2159" s="17"/>
      <c r="C2159" s="2" t="b">
        <v>0</v>
      </c>
      <c r="D2159" s="2"/>
      <c r="E2159" s="2"/>
      <c r="F2159" s="2"/>
      <c r="G2159" s="2"/>
      <c r="H2159" s="2"/>
      <c r="I2159" s="5"/>
    </row>
    <row r="2160" spans="1:9" ht="17.399999999999999" x14ac:dyDescent="0.25">
      <c r="A2160" s="16"/>
      <c r="B2160" s="17"/>
      <c r="C2160" s="2" t="b">
        <v>0</v>
      </c>
      <c r="D2160" s="2"/>
      <c r="E2160" s="2"/>
      <c r="F2160" s="2"/>
      <c r="G2160" s="2"/>
      <c r="H2160" s="2"/>
      <c r="I2160" s="5"/>
    </row>
    <row r="2161" spans="1:9" ht="17.399999999999999" x14ac:dyDescent="0.25">
      <c r="A2161" s="16"/>
      <c r="B2161" s="17"/>
      <c r="C2161" s="2" t="b">
        <v>0</v>
      </c>
      <c r="D2161" s="2"/>
      <c r="E2161" s="2"/>
      <c r="F2161" s="2"/>
      <c r="G2161" s="2"/>
      <c r="H2161" s="2"/>
      <c r="I2161" s="5"/>
    </row>
    <row r="2162" spans="1:9" ht="17.399999999999999" x14ac:dyDescent="0.25">
      <c r="A2162" s="16"/>
      <c r="B2162" s="17"/>
      <c r="C2162" s="2" t="b">
        <v>0</v>
      </c>
      <c r="D2162" s="2"/>
      <c r="E2162" s="2"/>
      <c r="F2162" s="2"/>
      <c r="G2162" s="2"/>
      <c r="H2162" s="2"/>
      <c r="I2162" s="5"/>
    </row>
    <row r="2163" spans="1:9" ht="17.399999999999999" x14ac:dyDescent="0.25">
      <c r="A2163" s="16"/>
      <c r="B2163" s="17"/>
      <c r="C2163" s="2" t="b">
        <v>0</v>
      </c>
      <c r="D2163" s="2"/>
      <c r="E2163" s="2"/>
      <c r="F2163" s="2"/>
      <c r="G2163" s="2"/>
      <c r="H2163" s="2"/>
      <c r="I2163" s="5"/>
    </row>
    <row r="2164" spans="1:9" ht="17.399999999999999" x14ac:dyDescent="0.25">
      <c r="A2164" s="16"/>
      <c r="B2164" s="17"/>
      <c r="C2164" s="2" t="b">
        <v>0</v>
      </c>
      <c r="D2164" s="2"/>
      <c r="E2164" s="2"/>
      <c r="F2164" s="2"/>
      <c r="G2164" s="2"/>
      <c r="H2164" s="2"/>
      <c r="I2164" s="5"/>
    </row>
    <row r="2165" spans="1:9" ht="17.399999999999999" x14ac:dyDescent="0.25">
      <c r="A2165" s="16"/>
      <c r="B2165" s="17"/>
      <c r="C2165" s="2" t="b">
        <v>0</v>
      </c>
      <c r="D2165" s="2"/>
      <c r="E2165" s="2"/>
      <c r="F2165" s="2"/>
      <c r="G2165" s="2"/>
      <c r="H2165" s="2"/>
      <c r="I2165" s="5"/>
    </row>
    <row r="2166" spans="1:9" ht="17.399999999999999" x14ac:dyDescent="0.25">
      <c r="A2166" s="16"/>
      <c r="B2166" s="17"/>
      <c r="C2166" s="2" t="b">
        <v>0</v>
      </c>
      <c r="D2166" s="2"/>
      <c r="E2166" s="2"/>
      <c r="F2166" s="2"/>
      <c r="G2166" s="2"/>
      <c r="H2166" s="2"/>
      <c r="I2166" s="5"/>
    </row>
    <row r="2167" spans="1:9" ht="17.399999999999999" x14ac:dyDescent="0.25">
      <c r="A2167" s="16"/>
      <c r="B2167" s="17"/>
      <c r="C2167" s="2" t="b">
        <v>0</v>
      </c>
      <c r="D2167" s="2"/>
      <c r="E2167" s="2"/>
      <c r="F2167" s="2"/>
      <c r="G2167" s="2"/>
      <c r="H2167" s="2"/>
      <c r="I2167" s="5"/>
    </row>
    <row r="2168" spans="1:9" ht="17.399999999999999" x14ac:dyDescent="0.25">
      <c r="A2168" s="16"/>
      <c r="B2168" s="17"/>
      <c r="C2168" s="2" t="b">
        <v>0</v>
      </c>
      <c r="D2168" s="2"/>
      <c r="E2168" s="2"/>
      <c r="F2168" s="2"/>
      <c r="G2168" s="2"/>
      <c r="H2168" s="2"/>
      <c r="I2168" s="5"/>
    </row>
    <row r="2169" spans="1:9" ht="17.399999999999999" x14ac:dyDescent="0.25">
      <c r="A2169" s="16"/>
      <c r="B2169" s="17"/>
      <c r="C2169" s="2" t="b">
        <v>0</v>
      </c>
      <c r="D2169" s="2"/>
      <c r="E2169" s="2"/>
      <c r="F2169" s="2"/>
      <c r="G2169" s="2"/>
      <c r="H2169" s="2"/>
      <c r="I2169" s="5"/>
    </row>
    <row r="2170" spans="1:9" ht="17.399999999999999" x14ac:dyDescent="0.25">
      <c r="A2170" s="16"/>
      <c r="B2170" s="17"/>
      <c r="C2170" s="2" t="b">
        <v>0</v>
      </c>
      <c r="D2170" s="2"/>
      <c r="E2170" s="2"/>
      <c r="F2170" s="2"/>
      <c r="G2170" s="2"/>
      <c r="H2170" s="2"/>
      <c r="I2170" s="5"/>
    </row>
    <row r="2171" spans="1:9" ht="17.399999999999999" x14ac:dyDescent="0.25">
      <c r="A2171" s="16"/>
      <c r="B2171" s="17"/>
      <c r="C2171" s="2" t="b">
        <v>0</v>
      </c>
      <c r="D2171" s="2"/>
      <c r="E2171" s="2"/>
      <c r="F2171" s="2"/>
      <c r="G2171" s="2"/>
      <c r="H2171" s="2"/>
      <c r="I2171" s="5"/>
    </row>
    <row r="2172" spans="1:9" ht="17.399999999999999" x14ac:dyDescent="0.25">
      <c r="A2172" s="16"/>
      <c r="B2172" s="17"/>
      <c r="C2172" s="2" t="b">
        <v>0</v>
      </c>
      <c r="D2172" s="2"/>
      <c r="E2172" s="2"/>
      <c r="F2172" s="2"/>
      <c r="G2172" s="2"/>
      <c r="H2172" s="2"/>
      <c r="I2172" s="5"/>
    </row>
    <row r="2173" spans="1:9" ht="17.399999999999999" x14ac:dyDescent="0.25">
      <c r="A2173" s="16"/>
      <c r="B2173" s="17"/>
      <c r="C2173" s="2" t="b">
        <v>0</v>
      </c>
      <c r="D2173" s="2"/>
      <c r="E2173" s="2"/>
      <c r="F2173" s="2"/>
      <c r="G2173" s="2"/>
      <c r="H2173" s="2"/>
      <c r="I2173" s="5"/>
    </row>
    <row r="2174" spans="1:9" ht="17.399999999999999" x14ac:dyDescent="0.25">
      <c r="A2174" s="16"/>
      <c r="B2174" s="17"/>
      <c r="C2174" s="2" t="b">
        <v>0</v>
      </c>
      <c r="D2174" s="2"/>
      <c r="E2174" s="2"/>
      <c r="F2174" s="2"/>
      <c r="G2174" s="2"/>
      <c r="H2174" s="2"/>
      <c r="I2174" s="5"/>
    </row>
    <row r="2175" spans="1:9" ht="17.399999999999999" x14ac:dyDescent="0.25">
      <c r="A2175" s="16"/>
      <c r="B2175" s="17"/>
      <c r="C2175" s="2" t="b">
        <v>0</v>
      </c>
      <c r="D2175" s="2"/>
      <c r="E2175" s="2"/>
      <c r="F2175" s="2"/>
      <c r="G2175" s="2"/>
      <c r="H2175" s="2"/>
      <c r="I2175" s="5"/>
    </row>
    <row r="2176" spans="1:9" ht="17.399999999999999" x14ac:dyDescent="0.25">
      <c r="A2176" s="16"/>
      <c r="B2176" s="17"/>
      <c r="C2176" s="2" t="b">
        <v>0</v>
      </c>
      <c r="D2176" s="2"/>
      <c r="E2176" s="2"/>
      <c r="F2176" s="2"/>
      <c r="G2176" s="2"/>
      <c r="H2176" s="2"/>
      <c r="I2176" s="5"/>
    </row>
    <row r="2177" spans="1:9" ht="17.399999999999999" x14ac:dyDescent="0.25">
      <c r="A2177" s="16"/>
      <c r="B2177" s="17"/>
      <c r="C2177" s="2" t="b">
        <v>0</v>
      </c>
      <c r="D2177" s="2"/>
      <c r="E2177" s="2"/>
      <c r="F2177" s="2"/>
      <c r="G2177" s="2"/>
      <c r="H2177" s="2"/>
      <c r="I2177" s="5"/>
    </row>
    <row r="2178" spans="1:9" ht="17.399999999999999" x14ac:dyDescent="0.25">
      <c r="A2178" s="16"/>
      <c r="B2178" s="17"/>
      <c r="C2178" s="2" t="b">
        <v>0</v>
      </c>
      <c r="D2178" s="2"/>
      <c r="E2178" s="2"/>
      <c r="F2178" s="2"/>
      <c r="G2178" s="2"/>
      <c r="H2178" s="2"/>
      <c r="I2178" s="5"/>
    </row>
    <row r="2179" spans="1:9" ht="17.399999999999999" x14ac:dyDescent="0.25">
      <c r="A2179" s="16"/>
      <c r="B2179" s="17"/>
      <c r="C2179" s="2" t="b">
        <v>0</v>
      </c>
      <c r="D2179" s="2"/>
      <c r="E2179" s="2"/>
      <c r="F2179" s="2"/>
      <c r="G2179" s="2"/>
      <c r="H2179" s="2"/>
      <c r="I2179" s="5"/>
    </row>
    <row r="2180" spans="1:9" ht="17.399999999999999" x14ac:dyDescent="0.25">
      <c r="A2180" s="16"/>
      <c r="B2180" s="17"/>
      <c r="C2180" s="2" t="b">
        <v>0</v>
      </c>
      <c r="D2180" s="2"/>
      <c r="E2180" s="2"/>
      <c r="F2180" s="2"/>
      <c r="G2180" s="2"/>
      <c r="H2180" s="2"/>
      <c r="I2180" s="5"/>
    </row>
    <row r="2181" spans="1:9" ht="17.399999999999999" x14ac:dyDescent="0.25">
      <c r="A2181" s="16"/>
      <c r="B2181" s="17"/>
      <c r="C2181" s="2" t="b">
        <v>0</v>
      </c>
      <c r="D2181" s="2"/>
      <c r="E2181" s="2"/>
      <c r="F2181" s="2"/>
      <c r="G2181" s="2"/>
      <c r="H2181" s="2"/>
      <c r="I2181" s="5"/>
    </row>
    <row r="2182" spans="1:9" ht="17.399999999999999" x14ac:dyDescent="0.25">
      <c r="A2182" s="16"/>
      <c r="B2182" s="17"/>
      <c r="C2182" s="2" t="b">
        <v>0</v>
      </c>
      <c r="D2182" s="2"/>
      <c r="E2182" s="2"/>
      <c r="F2182" s="2"/>
      <c r="G2182" s="2"/>
      <c r="H2182" s="2"/>
      <c r="I2182" s="5"/>
    </row>
    <row r="2183" spans="1:9" ht="17.399999999999999" x14ac:dyDescent="0.25">
      <c r="A2183" s="16"/>
      <c r="B2183" s="17"/>
      <c r="C2183" s="2" t="b">
        <v>0</v>
      </c>
      <c r="D2183" s="2"/>
      <c r="E2183" s="2"/>
      <c r="F2183" s="2"/>
      <c r="G2183" s="2"/>
      <c r="H2183" s="2"/>
      <c r="I2183" s="5"/>
    </row>
    <row r="2184" spans="1:9" ht="17.399999999999999" x14ac:dyDescent="0.25">
      <c r="A2184" s="16"/>
      <c r="B2184" s="17"/>
      <c r="C2184" s="2" t="b">
        <v>0</v>
      </c>
      <c r="D2184" s="2"/>
      <c r="E2184" s="2"/>
      <c r="F2184" s="2"/>
      <c r="G2184" s="2"/>
      <c r="H2184" s="2"/>
      <c r="I2184" s="5"/>
    </row>
    <row r="2185" spans="1:9" ht="17.399999999999999" x14ac:dyDescent="0.25">
      <c r="A2185" s="16"/>
      <c r="B2185" s="17"/>
      <c r="C2185" s="2" t="b">
        <v>0</v>
      </c>
      <c r="D2185" s="2"/>
      <c r="E2185" s="2"/>
      <c r="F2185" s="2"/>
      <c r="G2185" s="2"/>
      <c r="H2185" s="2"/>
      <c r="I2185" s="5"/>
    </row>
    <row r="2186" spans="1:9" ht="17.399999999999999" x14ac:dyDescent="0.25">
      <c r="A2186" s="16"/>
      <c r="B2186" s="17"/>
      <c r="C2186" s="2" t="b">
        <v>0</v>
      </c>
      <c r="D2186" s="2"/>
      <c r="E2186" s="2"/>
      <c r="F2186" s="2"/>
      <c r="G2186" s="2"/>
      <c r="H2186" s="2"/>
      <c r="I2186" s="5"/>
    </row>
    <row r="2187" spans="1:9" ht="17.399999999999999" x14ac:dyDescent="0.25">
      <c r="A2187" s="16"/>
      <c r="B2187" s="17"/>
      <c r="C2187" s="2" t="b">
        <v>0</v>
      </c>
      <c r="D2187" s="2"/>
      <c r="E2187" s="2"/>
      <c r="F2187" s="2"/>
      <c r="G2187" s="2"/>
      <c r="H2187" s="2"/>
      <c r="I2187" s="5"/>
    </row>
    <row r="2188" spans="1:9" ht="17.399999999999999" x14ac:dyDescent="0.25">
      <c r="A2188" s="16"/>
      <c r="B2188" s="17"/>
      <c r="C2188" s="2" t="b">
        <v>0</v>
      </c>
      <c r="D2188" s="2"/>
      <c r="E2188" s="2"/>
      <c r="F2188" s="2"/>
      <c r="G2188" s="2"/>
      <c r="H2188" s="2"/>
      <c r="I2188" s="5"/>
    </row>
    <row r="2189" spans="1:9" ht="17.399999999999999" x14ac:dyDescent="0.25">
      <c r="A2189" s="16"/>
      <c r="B2189" s="17"/>
      <c r="C2189" s="2" t="b">
        <v>0</v>
      </c>
      <c r="D2189" s="2"/>
      <c r="E2189" s="2"/>
      <c r="F2189" s="2"/>
      <c r="G2189" s="2"/>
      <c r="H2189" s="2"/>
      <c r="I2189" s="5"/>
    </row>
    <row r="2190" spans="1:9" ht="17.399999999999999" x14ac:dyDescent="0.25">
      <c r="A2190" s="16"/>
      <c r="B2190" s="17"/>
      <c r="C2190" s="2" t="b">
        <v>0</v>
      </c>
      <c r="D2190" s="2"/>
      <c r="E2190" s="2"/>
      <c r="F2190" s="2"/>
      <c r="G2190" s="2"/>
      <c r="H2190" s="2"/>
      <c r="I2190" s="5"/>
    </row>
    <row r="2191" spans="1:9" ht="17.399999999999999" x14ac:dyDescent="0.25">
      <c r="A2191" s="16"/>
      <c r="B2191" s="17"/>
      <c r="C2191" s="2" t="b">
        <v>0</v>
      </c>
      <c r="D2191" s="2"/>
      <c r="E2191" s="2"/>
      <c r="F2191" s="2"/>
      <c r="G2191" s="2"/>
      <c r="H2191" s="2"/>
      <c r="I2191" s="5"/>
    </row>
    <row r="2192" spans="1:9" ht="17.399999999999999" x14ac:dyDescent="0.25">
      <c r="A2192" s="16"/>
      <c r="B2192" s="17"/>
      <c r="C2192" s="2" t="b">
        <v>0</v>
      </c>
      <c r="D2192" s="2"/>
      <c r="E2192" s="2"/>
      <c r="F2192" s="2"/>
      <c r="G2192" s="2"/>
      <c r="H2192" s="2"/>
      <c r="I2192" s="5"/>
    </row>
    <row r="2193" spans="1:9" ht="17.399999999999999" x14ac:dyDescent="0.25">
      <c r="A2193" s="16"/>
      <c r="B2193" s="17"/>
      <c r="C2193" s="2" t="b">
        <v>0</v>
      </c>
      <c r="D2193" s="2"/>
      <c r="E2193" s="2"/>
      <c r="F2193" s="2"/>
      <c r="G2193" s="2"/>
      <c r="H2193" s="2"/>
      <c r="I2193" s="5"/>
    </row>
    <row r="2194" spans="1:9" ht="17.399999999999999" x14ac:dyDescent="0.25">
      <c r="A2194" s="16"/>
      <c r="B2194" s="17"/>
      <c r="C2194" s="2" t="b">
        <v>0</v>
      </c>
      <c r="D2194" s="2"/>
      <c r="E2194" s="2"/>
      <c r="F2194" s="2"/>
      <c r="G2194" s="2"/>
      <c r="H2194" s="2"/>
      <c r="I2194" s="5"/>
    </row>
    <row r="2195" spans="1:9" ht="17.399999999999999" x14ac:dyDescent="0.25">
      <c r="A2195" s="16"/>
      <c r="B2195" s="17"/>
      <c r="C2195" s="2" t="b">
        <v>0</v>
      </c>
      <c r="D2195" s="2"/>
      <c r="E2195" s="2"/>
      <c r="F2195" s="2"/>
      <c r="G2195" s="2"/>
      <c r="H2195" s="2"/>
      <c r="I2195" s="5"/>
    </row>
    <row r="2196" spans="1:9" ht="17.399999999999999" x14ac:dyDescent="0.25">
      <c r="A2196" s="16"/>
      <c r="B2196" s="17"/>
      <c r="C2196" s="2" t="b">
        <v>0</v>
      </c>
      <c r="D2196" s="2"/>
      <c r="E2196" s="2"/>
      <c r="F2196" s="2"/>
      <c r="G2196" s="2"/>
      <c r="H2196" s="2"/>
      <c r="I2196" s="5"/>
    </row>
    <row r="2197" spans="1:9" ht="17.399999999999999" x14ac:dyDescent="0.25">
      <c r="A2197" s="16"/>
      <c r="B2197" s="17"/>
      <c r="C2197" s="2" t="b">
        <v>0</v>
      </c>
      <c r="D2197" s="2"/>
      <c r="E2197" s="2"/>
      <c r="F2197" s="2"/>
      <c r="G2197" s="2"/>
      <c r="H2197" s="2"/>
      <c r="I2197" s="5"/>
    </row>
    <row r="2198" spans="1:9" ht="17.399999999999999" x14ac:dyDescent="0.25">
      <c r="A2198" s="16"/>
      <c r="B2198" s="17"/>
      <c r="C2198" s="2" t="b">
        <v>0</v>
      </c>
      <c r="D2198" s="2"/>
      <c r="E2198" s="2"/>
      <c r="F2198" s="2"/>
      <c r="G2198" s="2"/>
      <c r="H2198" s="2"/>
      <c r="I2198" s="5"/>
    </row>
    <row r="2199" spans="1:9" ht="17.399999999999999" x14ac:dyDescent="0.25">
      <c r="A2199" s="16"/>
      <c r="B2199" s="17"/>
      <c r="C2199" s="2" t="b">
        <v>0</v>
      </c>
      <c r="D2199" s="2"/>
      <c r="E2199" s="2"/>
      <c r="F2199" s="2"/>
      <c r="G2199" s="2"/>
      <c r="H2199" s="2"/>
      <c r="I2199" s="5"/>
    </row>
    <row r="2200" spans="1:9" ht="17.399999999999999" x14ac:dyDescent="0.25">
      <c r="A2200" s="16"/>
      <c r="B2200" s="17"/>
      <c r="C2200" s="2" t="b">
        <v>0</v>
      </c>
      <c r="D2200" s="2"/>
      <c r="E2200" s="2"/>
      <c r="F2200" s="2"/>
      <c r="G2200" s="2"/>
      <c r="H2200" s="2"/>
      <c r="I2200" s="5"/>
    </row>
    <row r="2201" spans="1:9" ht="17.399999999999999" x14ac:dyDescent="0.25">
      <c r="A2201" s="16"/>
      <c r="B2201" s="17"/>
      <c r="C2201" s="2" t="b">
        <v>0</v>
      </c>
      <c r="D2201" s="2"/>
      <c r="E2201" s="2"/>
      <c r="F2201" s="2"/>
      <c r="G2201" s="2"/>
      <c r="H2201" s="2"/>
      <c r="I2201" s="5"/>
    </row>
    <row r="2202" spans="1:9" ht="17.399999999999999" x14ac:dyDescent="0.25">
      <c r="A2202" s="16"/>
      <c r="B2202" s="17"/>
      <c r="C2202" s="2" t="b">
        <v>0</v>
      </c>
      <c r="D2202" s="2"/>
      <c r="E2202" s="2"/>
      <c r="F2202" s="2"/>
      <c r="G2202" s="2"/>
      <c r="H2202" s="2"/>
      <c r="I2202" s="5"/>
    </row>
    <row r="2203" spans="1:9" ht="17.399999999999999" x14ac:dyDescent="0.25">
      <c r="A2203" s="16"/>
      <c r="B2203" s="17"/>
      <c r="C2203" s="2" t="b">
        <v>0</v>
      </c>
      <c r="D2203" s="2"/>
      <c r="E2203" s="2"/>
      <c r="F2203" s="2"/>
      <c r="G2203" s="2"/>
      <c r="H2203" s="2"/>
      <c r="I2203" s="5"/>
    </row>
    <row r="2204" spans="1:9" ht="17.399999999999999" x14ac:dyDescent="0.25">
      <c r="A2204" s="16"/>
      <c r="B2204" s="17"/>
      <c r="C2204" s="2" t="b">
        <v>0</v>
      </c>
      <c r="D2204" s="2"/>
      <c r="E2204" s="2"/>
      <c r="F2204" s="2"/>
      <c r="G2204" s="2"/>
      <c r="H2204" s="2"/>
      <c r="I2204" s="5"/>
    </row>
    <row r="2205" spans="1:9" ht="17.399999999999999" x14ac:dyDescent="0.25">
      <c r="A2205" s="16"/>
      <c r="B2205" s="17"/>
      <c r="C2205" s="2" t="b">
        <v>0</v>
      </c>
      <c r="D2205" s="2"/>
      <c r="E2205" s="2"/>
      <c r="F2205" s="2"/>
      <c r="G2205" s="2"/>
      <c r="H2205" s="2"/>
      <c r="I2205" s="5"/>
    </row>
    <row r="2206" spans="1:9" ht="17.399999999999999" x14ac:dyDescent="0.25">
      <c r="A2206" s="16"/>
      <c r="B2206" s="17"/>
      <c r="C2206" s="2" t="b">
        <v>0</v>
      </c>
      <c r="D2206" s="2"/>
      <c r="E2206" s="2"/>
      <c r="F2206" s="2"/>
      <c r="G2206" s="2"/>
      <c r="H2206" s="2"/>
      <c r="I2206" s="5"/>
    </row>
    <row r="2207" spans="1:9" ht="17.399999999999999" x14ac:dyDescent="0.25">
      <c r="A2207" s="16"/>
      <c r="B2207" s="17"/>
      <c r="C2207" s="2" t="b">
        <v>0</v>
      </c>
      <c r="D2207" s="2"/>
      <c r="E2207" s="2"/>
      <c r="F2207" s="2"/>
      <c r="G2207" s="2"/>
      <c r="H2207" s="2"/>
      <c r="I2207" s="5"/>
    </row>
    <row r="2208" spans="1:9" ht="17.399999999999999" x14ac:dyDescent="0.25">
      <c r="A2208" s="16"/>
      <c r="B2208" s="17"/>
      <c r="C2208" s="2" t="b">
        <v>0</v>
      </c>
      <c r="D2208" s="2"/>
      <c r="E2208" s="2"/>
      <c r="F2208" s="2"/>
      <c r="G2208" s="2"/>
      <c r="H2208" s="2"/>
      <c r="I2208" s="5"/>
    </row>
    <row r="2209" spans="1:9" ht="17.399999999999999" x14ac:dyDescent="0.25">
      <c r="A2209" s="16"/>
      <c r="B2209" s="17"/>
      <c r="C2209" s="2" t="b">
        <v>0</v>
      </c>
      <c r="D2209" s="2"/>
      <c r="E2209" s="2"/>
      <c r="F2209" s="2"/>
      <c r="G2209" s="2"/>
      <c r="H2209" s="2"/>
      <c r="I2209" s="5"/>
    </row>
    <row r="2210" spans="1:9" ht="17.399999999999999" x14ac:dyDescent="0.25">
      <c r="A2210" s="16"/>
      <c r="B2210" s="17"/>
      <c r="C2210" s="2" t="b">
        <v>0</v>
      </c>
      <c r="D2210" s="2"/>
      <c r="E2210" s="2"/>
      <c r="F2210" s="2"/>
      <c r="G2210" s="2"/>
      <c r="H2210" s="2"/>
      <c r="I2210" s="5"/>
    </row>
    <row r="2211" spans="1:9" ht="17.399999999999999" x14ac:dyDescent="0.25">
      <c r="A2211" s="16"/>
      <c r="B2211" s="17"/>
      <c r="C2211" s="2" t="b">
        <v>0</v>
      </c>
      <c r="D2211" s="2"/>
      <c r="E2211" s="2"/>
      <c r="F2211" s="2"/>
      <c r="G2211" s="2"/>
      <c r="H2211" s="2"/>
      <c r="I2211" s="5"/>
    </row>
    <row r="2212" spans="1:9" ht="17.399999999999999" x14ac:dyDescent="0.25">
      <c r="A2212" s="16"/>
      <c r="B2212" s="17"/>
      <c r="C2212" s="2" t="b">
        <v>0</v>
      </c>
      <c r="D2212" s="2"/>
      <c r="E2212" s="2"/>
      <c r="F2212" s="2"/>
      <c r="G2212" s="2"/>
      <c r="H2212" s="2"/>
      <c r="I2212" s="5"/>
    </row>
    <row r="2213" spans="1:9" ht="17.399999999999999" x14ac:dyDescent="0.25">
      <c r="A2213" s="16"/>
      <c r="B2213" s="17"/>
      <c r="C2213" s="2" t="b">
        <v>0</v>
      </c>
      <c r="D2213" s="2"/>
      <c r="E2213" s="2"/>
      <c r="F2213" s="2"/>
      <c r="G2213" s="2"/>
      <c r="H2213" s="2"/>
      <c r="I2213" s="5"/>
    </row>
    <row r="2214" spans="1:9" ht="17.399999999999999" x14ac:dyDescent="0.25">
      <c r="A2214" s="16"/>
      <c r="B2214" s="17"/>
      <c r="C2214" s="2" t="b">
        <v>0</v>
      </c>
      <c r="D2214" s="2"/>
      <c r="E2214" s="2"/>
      <c r="F2214" s="2"/>
      <c r="G2214" s="2"/>
      <c r="H2214" s="2"/>
      <c r="I2214" s="5"/>
    </row>
    <row r="2215" spans="1:9" ht="17.399999999999999" x14ac:dyDescent="0.25">
      <c r="A2215" s="16"/>
      <c r="B2215" s="17"/>
      <c r="C2215" s="2" t="b">
        <v>0</v>
      </c>
      <c r="D2215" s="2"/>
      <c r="E2215" s="2"/>
      <c r="F2215" s="2"/>
      <c r="G2215" s="2"/>
      <c r="H2215" s="2"/>
      <c r="I2215" s="5"/>
    </row>
    <row r="2216" spans="1:9" ht="17.399999999999999" x14ac:dyDescent="0.25">
      <c r="A2216" s="16"/>
      <c r="B2216" s="17"/>
      <c r="C2216" s="2" t="b">
        <v>0</v>
      </c>
      <c r="D2216" s="2"/>
      <c r="E2216" s="2"/>
      <c r="F2216" s="2"/>
      <c r="G2216" s="2"/>
      <c r="H2216" s="2"/>
      <c r="I2216" s="5"/>
    </row>
    <row r="2217" spans="1:9" ht="17.399999999999999" x14ac:dyDescent="0.25">
      <c r="A2217" s="16"/>
      <c r="B2217" s="17"/>
      <c r="C2217" s="2" t="b">
        <v>0</v>
      </c>
      <c r="D2217" s="2"/>
      <c r="E2217" s="2"/>
      <c r="F2217" s="2"/>
      <c r="G2217" s="2"/>
      <c r="H2217" s="2"/>
      <c r="I2217" s="5"/>
    </row>
    <row r="2218" spans="1:9" ht="17.399999999999999" x14ac:dyDescent="0.25">
      <c r="A2218" s="16"/>
      <c r="B2218" s="17"/>
      <c r="C2218" s="2" t="b">
        <v>0</v>
      </c>
      <c r="D2218" s="2"/>
      <c r="E2218" s="2"/>
      <c r="F2218" s="2"/>
      <c r="G2218" s="2"/>
      <c r="H2218" s="2"/>
      <c r="I2218" s="5"/>
    </row>
    <row r="2219" spans="1:9" ht="17.399999999999999" x14ac:dyDescent="0.25">
      <c r="A2219" s="16"/>
      <c r="B2219" s="17"/>
      <c r="C2219" s="2" t="b">
        <v>0</v>
      </c>
      <c r="D2219" s="2"/>
      <c r="E2219" s="2"/>
      <c r="F2219" s="2"/>
      <c r="G2219" s="2"/>
      <c r="H2219" s="2"/>
      <c r="I2219" s="5"/>
    </row>
    <row r="2220" spans="1:9" ht="17.399999999999999" x14ac:dyDescent="0.25">
      <c r="A2220" s="16"/>
      <c r="B2220" s="17"/>
      <c r="C2220" s="2" t="b">
        <v>0</v>
      </c>
      <c r="D2220" s="2"/>
      <c r="E2220" s="2"/>
      <c r="F2220" s="2"/>
      <c r="G2220" s="2"/>
      <c r="H2220" s="2"/>
      <c r="I2220" s="5"/>
    </row>
    <row r="2221" spans="1:9" ht="17.399999999999999" x14ac:dyDescent="0.25">
      <c r="A2221" s="16"/>
      <c r="B2221" s="17"/>
      <c r="C2221" s="2" t="b">
        <v>0</v>
      </c>
      <c r="D2221" s="2"/>
      <c r="E2221" s="2"/>
      <c r="F2221" s="2"/>
      <c r="G2221" s="2"/>
      <c r="H2221" s="2"/>
      <c r="I2221" s="5"/>
    </row>
    <row r="2222" spans="1:9" ht="17.399999999999999" x14ac:dyDescent="0.25">
      <c r="A2222" s="16"/>
      <c r="B2222" s="17"/>
      <c r="C2222" s="2" t="b">
        <v>0</v>
      </c>
      <c r="D2222" s="2"/>
      <c r="E2222" s="2"/>
      <c r="F2222" s="2"/>
      <c r="G2222" s="2"/>
      <c r="H2222" s="2"/>
      <c r="I2222" s="5"/>
    </row>
    <row r="2223" spans="1:9" ht="17.399999999999999" x14ac:dyDescent="0.25">
      <c r="A2223" s="16"/>
      <c r="B2223" s="17"/>
      <c r="C2223" s="2" t="b">
        <v>0</v>
      </c>
      <c r="D2223" s="2"/>
      <c r="E2223" s="2"/>
      <c r="F2223" s="2"/>
      <c r="G2223" s="2"/>
      <c r="H2223" s="2"/>
      <c r="I2223" s="5"/>
    </row>
    <row r="2224" spans="1:9" ht="17.399999999999999" x14ac:dyDescent="0.25">
      <c r="A2224" s="16"/>
      <c r="B2224" s="17"/>
      <c r="C2224" s="2" t="b">
        <v>0</v>
      </c>
      <c r="D2224" s="2"/>
      <c r="E2224" s="2"/>
      <c r="F2224" s="2"/>
      <c r="G2224" s="2"/>
      <c r="H2224" s="2"/>
      <c r="I2224" s="5"/>
    </row>
    <row r="2225" spans="1:9" ht="17.399999999999999" x14ac:dyDescent="0.25">
      <c r="A2225" s="16"/>
      <c r="B2225" s="17"/>
      <c r="C2225" s="2" t="b">
        <v>0</v>
      </c>
      <c r="D2225" s="2"/>
      <c r="E2225" s="2"/>
      <c r="F2225" s="2"/>
      <c r="G2225" s="2"/>
      <c r="H2225" s="2"/>
      <c r="I2225" s="5"/>
    </row>
    <row r="2226" spans="1:9" ht="17.399999999999999" x14ac:dyDescent="0.25">
      <c r="A2226" s="16"/>
      <c r="B2226" s="17"/>
      <c r="C2226" s="2" t="b">
        <v>0</v>
      </c>
      <c r="D2226" s="2"/>
      <c r="E2226" s="2"/>
      <c r="F2226" s="2"/>
      <c r="G2226" s="2"/>
      <c r="H2226" s="2"/>
      <c r="I2226" s="5"/>
    </row>
    <row r="2227" spans="1:9" ht="17.399999999999999" x14ac:dyDescent="0.25">
      <c r="A2227" s="16"/>
      <c r="B2227" s="17"/>
      <c r="C2227" s="2" t="b">
        <v>0</v>
      </c>
      <c r="D2227" s="2"/>
      <c r="E2227" s="2"/>
      <c r="F2227" s="2"/>
      <c r="G2227" s="2"/>
      <c r="H2227" s="2"/>
      <c r="I2227" s="5"/>
    </row>
    <row r="2228" spans="1:9" ht="17.399999999999999" x14ac:dyDescent="0.25">
      <c r="A2228" s="16"/>
      <c r="B2228" s="17"/>
      <c r="C2228" s="2" t="b">
        <v>0</v>
      </c>
      <c r="D2228" s="2"/>
      <c r="E2228" s="2"/>
      <c r="F2228" s="2"/>
      <c r="G2228" s="2"/>
      <c r="H2228" s="2"/>
      <c r="I2228" s="5"/>
    </row>
    <row r="2229" spans="1:9" ht="17.399999999999999" x14ac:dyDescent="0.25">
      <c r="A2229" s="16"/>
      <c r="B2229" s="17"/>
      <c r="C2229" s="2" t="b">
        <v>0</v>
      </c>
      <c r="D2229" s="2"/>
      <c r="E2229" s="2"/>
      <c r="F2229" s="2"/>
      <c r="G2229" s="2"/>
      <c r="H2229" s="2"/>
      <c r="I2229" s="5"/>
    </row>
    <row r="2230" spans="1:9" ht="17.399999999999999" x14ac:dyDescent="0.25">
      <c r="A2230" s="16"/>
      <c r="B2230" s="17"/>
      <c r="C2230" s="2" t="b">
        <v>0</v>
      </c>
      <c r="D2230" s="2"/>
      <c r="E2230" s="2"/>
      <c r="F2230" s="2"/>
      <c r="G2230" s="2"/>
      <c r="H2230" s="2"/>
      <c r="I2230" s="5"/>
    </row>
    <row r="2231" spans="1:9" ht="17.399999999999999" x14ac:dyDescent="0.25">
      <c r="A2231" s="16"/>
      <c r="B2231" s="17"/>
      <c r="C2231" s="2" t="b">
        <v>0</v>
      </c>
      <c r="D2231" s="2"/>
      <c r="E2231" s="2"/>
      <c r="F2231" s="2"/>
      <c r="G2231" s="2"/>
      <c r="H2231" s="2"/>
      <c r="I2231" s="5"/>
    </row>
    <row r="2232" spans="1:9" ht="17.399999999999999" x14ac:dyDescent="0.25">
      <c r="A2232" s="16"/>
      <c r="B2232" s="17"/>
      <c r="C2232" s="2" t="b">
        <v>0</v>
      </c>
      <c r="D2232" s="2"/>
      <c r="E2232" s="2"/>
      <c r="F2232" s="2"/>
      <c r="G2232" s="2"/>
      <c r="H2232" s="2"/>
      <c r="I2232" s="5"/>
    </row>
    <row r="2233" spans="1:9" ht="17.399999999999999" x14ac:dyDescent="0.25">
      <c r="A2233" s="16"/>
      <c r="B2233" s="17"/>
      <c r="C2233" s="2" t="b">
        <v>0</v>
      </c>
      <c r="D2233" s="2"/>
      <c r="E2233" s="2"/>
      <c r="F2233" s="2"/>
      <c r="G2233" s="2"/>
      <c r="H2233" s="2"/>
      <c r="I2233" s="5"/>
    </row>
    <row r="2234" spans="1:9" ht="17.399999999999999" x14ac:dyDescent="0.25">
      <c r="A2234" s="16"/>
      <c r="B2234" s="17"/>
      <c r="C2234" s="2" t="b">
        <v>0</v>
      </c>
      <c r="D2234" s="2"/>
      <c r="E2234" s="2"/>
      <c r="F2234" s="2"/>
      <c r="G2234" s="2"/>
      <c r="H2234" s="2"/>
      <c r="I2234" s="5"/>
    </row>
    <row r="2235" spans="1:9" ht="17.399999999999999" x14ac:dyDescent="0.25">
      <c r="A2235" s="16"/>
      <c r="B2235" s="17"/>
      <c r="C2235" s="2" t="b">
        <v>0</v>
      </c>
      <c r="D2235" s="2"/>
      <c r="E2235" s="2"/>
      <c r="F2235" s="2"/>
      <c r="G2235" s="2"/>
      <c r="H2235" s="2"/>
      <c r="I2235" s="5"/>
    </row>
    <row r="2236" spans="1:9" ht="17.399999999999999" x14ac:dyDescent="0.25">
      <c r="A2236" s="16"/>
      <c r="B2236" s="17"/>
      <c r="C2236" s="2" t="b">
        <v>0</v>
      </c>
      <c r="D2236" s="2"/>
      <c r="E2236" s="2"/>
      <c r="F2236" s="2"/>
      <c r="G2236" s="2"/>
      <c r="H2236" s="2"/>
      <c r="I2236" s="5"/>
    </row>
    <row r="2237" spans="1:9" ht="17.399999999999999" x14ac:dyDescent="0.25">
      <c r="A2237" s="16"/>
      <c r="B2237" s="17"/>
      <c r="C2237" s="2" t="b">
        <v>0</v>
      </c>
      <c r="D2237" s="2"/>
      <c r="E2237" s="2"/>
      <c r="F2237" s="2"/>
      <c r="G2237" s="2"/>
      <c r="H2237" s="2"/>
      <c r="I2237" s="5"/>
    </row>
    <row r="2238" spans="1:9" ht="17.399999999999999" x14ac:dyDescent="0.25">
      <c r="A2238" s="16"/>
      <c r="B2238" s="17"/>
      <c r="C2238" s="2" t="b">
        <v>0</v>
      </c>
      <c r="D2238" s="2"/>
      <c r="E2238" s="2"/>
      <c r="F2238" s="2"/>
      <c r="G2238" s="2"/>
      <c r="H2238" s="2"/>
      <c r="I2238" s="5"/>
    </row>
    <row r="2239" spans="1:9" ht="17.399999999999999" x14ac:dyDescent="0.25">
      <c r="A2239" s="16"/>
      <c r="B2239" s="17"/>
      <c r="C2239" s="2" t="b">
        <v>0</v>
      </c>
      <c r="D2239" s="2"/>
      <c r="E2239" s="2"/>
      <c r="F2239" s="2"/>
      <c r="G2239" s="2"/>
      <c r="H2239" s="2"/>
      <c r="I2239" s="5"/>
    </row>
    <row r="2240" spans="1:9" ht="17.399999999999999" x14ac:dyDescent="0.25">
      <c r="A2240" s="16"/>
      <c r="B2240" s="17"/>
      <c r="C2240" s="2" t="b">
        <v>0</v>
      </c>
      <c r="D2240" s="2"/>
      <c r="E2240" s="2"/>
      <c r="F2240" s="2"/>
      <c r="G2240" s="2"/>
      <c r="H2240" s="2"/>
      <c r="I2240" s="5"/>
    </row>
    <row r="2241" spans="1:9" ht="17.399999999999999" x14ac:dyDescent="0.25">
      <c r="A2241" s="16"/>
      <c r="B2241" s="17"/>
      <c r="C2241" s="2" t="b">
        <v>0</v>
      </c>
      <c r="D2241" s="2"/>
      <c r="E2241" s="2"/>
      <c r="F2241" s="2"/>
      <c r="G2241" s="2"/>
      <c r="H2241" s="2"/>
      <c r="I2241" s="5"/>
    </row>
    <row r="2242" spans="1:9" ht="17.399999999999999" x14ac:dyDescent="0.25">
      <c r="A2242" s="16"/>
      <c r="B2242" s="17"/>
      <c r="C2242" s="2" t="b">
        <v>0</v>
      </c>
      <c r="D2242" s="2"/>
      <c r="E2242" s="2"/>
      <c r="F2242" s="2"/>
      <c r="G2242" s="2"/>
      <c r="H2242" s="2"/>
      <c r="I2242" s="5"/>
    </row>
    <row r="2243" spans="1:9" ht="17.399999999999999" x14ac:dyDescent="0.25">
      <c r="A2243" s="16"/>
      <c r="B2243" s="17"/>
      <c r="C2243" s="2" t="b">
        <v>0</v>
      </c>
      <c r="D2243" s="2"/>
      <c r="E2243" s="2"/>
      <c r="F2243" s="2"/>
      <c r="G2243" s="2"/>
      <c r="H2243" s="2"/>
      <c r="I2243" s="5"/>
    </row>
    <row r="2244" spans="1:9" ht="17.399999999999999" x14ac:dyDescent="0.25">
      <c r="A2244" s="16"/>
      <c r="B2244" s="17"/>
      <c r="C2244" s="2" t="b">
        <v>0</v>
      </c>
      <c r="D2244" s="2"/>
      <c r="E2244" s="2"/>
      <c r="F2244" s="2"/>
      <c r="G2244" s="2"/>
      <c r="H2244" s="2"/>
      <c r="I2244" s="5"/>
    </row>
    <row r="2245" spans="1:9" ht="17.399999999999999" x14ac:dyDescent="0.25">
      <c r="A2245" s="16"/>
      <c r="B2245" s="17"/>
      <c r="C2245" s="2" t="b">
        <v>0</v>
      </c>
      <c r="D2245" s="2"/>
      <c r="E2245" s="2"/>
      <c r="F2245" s="2"/>
      <c r="G2245" s="2"/>
      <c r="H2245" s="2"/>
      <c r="I2245" s="5"/>
    </row>
    <row r="2246" spans="1:9" ht="17.399999999999999" x14ac:dyDescent="0.25">
      <c r="A2246" s="16"/>
      <c r="B2246" s="17"/>
      <c r="C2246" s="2" t="b">
        <v>0</v>
      </c>
      <c r="D2246" s="2"/>
      <c r="E2246" s="2"/>
      <c r="F2246" s="2"/>
      <c r="G2246" s="2"/>
      <c r="H2246" s="2"/>
      <c r="I2246" s="5"/>
    </row>
    <row r="2247" spans="1:9" ht="17.399999999999999" x14ac:dyDescent="0.25">
      <c r="A2247" s="16"/>
      <c r="B2247" s="17"/>
      <c r="C2247" s="2" t="b">
        <v>0</v>
      </c>
      <c r="D2247" s="2"/>
      <c r="E2247" s="2"/>
      <c r="F2247" s="2"/>
      <c r="G2247" s="2"/>
      <c r="H2247" s="2"/>
      <c r="I2247" s="5"/>
    </row>
    <row r="2248" spans="1:9" ht="17.399999999999999" x14ac:dyDescent="0.25">
      <c r="A2248" s="16"/>
      <c r="B2248" s="17"/>
      <c r="C2248" s="2" t="b">
        <v>0</v>
      </c>
      <c r="D2248" s="2"/>
      <c r="E2248" s="2"/>
      <c r="F2248" s="2"/>
      <c r="G2248" s="2"/>
      <c r="H2248" s="2"/>
      <c r="I2248" s="5"/>
    </row>
    <row r="2249" spans="1:9" ht="17.399999999999999" x14ac:dyDescent="0.25">
      <c r="A2249" s="16"/>
      <c r="B2249" s="17"/>
      <c r="C2249" s="2" t="b">
        <v>0</v>
      </c>
      <c r="D2249" s="2"/>
      <c r="E2249" s="2"/>
      <c r="F2249" s="2"/>
      <c r="G2249" s="2"/>
      <c r="H2249" s="2"/>
      <c r="I2249" s="5"/>
    </row>
    <row r="2250" spans="1:9" ht="17.399999999999999" x14ac:dyDescent="0.25">
      <c r="A2250" s="16"/>
      <c r="B2250" s="17"/>
      <c r="C2250" s="2" t="b">
        <v>0</v>
      </c>
      <c r="D2250" s="2"/>
      <c r="E2250" s="2"/>
      <c r="F2250" s="2"/>
      <c r="G2250" s="2"/>
      <c r="H2250" s="2"/>
      <c r="I2250" s="5"/>
    </row>
    <row r="2251" spans="1:9" ht="17.399999999999999" x14ac:dyDescent="0.25">
      <c r="A2251" s="16"/>
      <c r="B2251" s="17"/>
      <c r="C2251" s="2" t="b">
        <v>0</v>
      </c>
      <c r="D2251" s="2"/>
      <c r="E2251" s="2"/>
      <c r="F2251" s="2"/>
      <c r="G2251" s="2"/>
      <c r="H2251" s="2"/>
      <c r="I2251" s="5"/>
    </row>
    <row r="2252" spans="1:9" ht="17.399999999999999" x14ac:dyDescent="0.25">
      <c r="A2252" s="16"/>
      <c r="B2252" s="17"/>
      <c r="C2252" s="2" t="b">
        <v>0</v>
      </c>
      <c r="D2252" s="2"/>
      <c r="E2252" s="2"/>
      <c r="F2252" s="2"/>
      <c r="G2252" s="2"/>
      <c r="H2252" s="2"/>
      <c r="I2252" s="5"/>
    </row>
    <row r="2253" spans="1:9" ht="17.399999999999999" x14ac:dyDescent="0.25">
      <c r="A2253" s="16"/>
      <c r="B2253" s="17"/>
      <c r="C2253" s="2" t="b">
        <v>0</v>
      </c>
      <c r="D2253" s="2"/>
      <c r="E2253" s="2"/>
      <c r="F2253" s="2"/>
      <c r="G2253" s="2"/>
      <c r="H2253" s="2"/>
      <c r="I2253" s="5"/>
    </row>
    <row r="2254" spans="1:9" ht="17.399999999999999" x14ac:dyDescent="0.25">
      <c r="A2254" s="16"/>
      <c r="B2254" s="17"/>
      <c r="C2254" s="2" t="b">
        <v>0</v>
      </c>
      <c r="D2254" s="2"/>
      <c r="E2254" s="2"/>
      <c r="F2254" s="2"/>
      <c r="G2254" s="2"/>
      <c r="H2254" s="2"/>
      <c r="I2254" s="5"/>
    </row>
    <row r="2255" spans="1:9" ht="17.399999999999999" x14ac:dyDescent="0.25">
      <c r="A2255" s="16"/>
      <c r="B2255" s="17"/>
      <c r="C2255" s="2" t="b">
        <v>0</v>
      </c>
      <c r="D2255" s="2"/>
      <c r="E2255" s="2"/>
      <c r="F2255" s="2"/>
      <c r="G2255" s="2"/>
      <c r="H2255" s="2"/>
      <c r="I2255" s="5"/>
    </row>
    <row r="2256" spans="1:9" ht="17.399999999999999" x14ac:dyDescent="0.25">
      <c r="A2256" s="16"/>
      <c r="B2256" s="17"/>
      <c r="C2256" s="2" t="b">
        <v>0</v>
      </c>
      <c r="D2256" s="2"/>
      <c r="E2256" s="2"/>
      <c r="F2256" s="2"/>
      <c r="G2256" s="2"/>
      <c r="H2256" s="2"/>
      <c r="I2256" s="5"/>
    </row>
    <row r="2257" spans="1:9" ht="17.399999999999999" x14ac:dyDescent="0.25">
      <c r="A2257" s="16"/>
      <c r="B2257" s="17"/>
      <c r="C2257" s="2" t="b">
        <v>0</v>
      </c>
      <c r="D2257" s="2"/>
      <c r="E2257" s="2"/>
      <c r="F2257" s="2"/>
      <c r="G2257" s="2"/>
      <c r="H2257" s="2"/>
      <c r="I2257" s="5"/>
    </row>
    <row r="2258" spans="1:9" ht="17.399999999999999" x14ac:dyDescent="0.25">
      <c r="A2258" s="16"/>
      <c r="B2258" s="17"/>
      <c r="C2258" s="2" t="b">
        <v>0</v>
      </c>
      <c r="D2258" s="2"/>
      <c r="E2258" s="2"/>
      <c r="F2258" s="2"/>
      <c r="G2258" s="2"/>
      <c r="H2258" s="2"/>
      <c r="I2258" s="5"/>
    </row>
    <row r="2259" spans="1:9" ht="17.399999999999999" x14ac:dyDescent="0.25">
      <c r="A2259" s="16"/>
      <c r="B2259" s="17"/>
      <c r="C2259" s="2" t="b">
        <v>0</v>
      </c>
      <c r="D2259" s="2"/>
      <c r="E2259" s="2"/>
      <c r="F2259" s="2"/>
      <c r="G2259" s="2"/>
      <c r="H2259" s="2"/>
      <c r="I2259" s="5"/>
    </row>
    <row r="2260" spans="1:9" ht="17.399999999999999" x14ac:dyDescent="0.25">
      <c r="A2260" s="16"/>
      <c r="B2260" s="17"/>
      <c r="C2260" s="2" t="b">
        <v>0</v>
      </c>
      <c r="D2260" s="2"/>
      <c r="E2260" s="2"/>
      <c r="F2260" s="2"/>
      <c r="G2260" s="2"/>
      <c r="H2260" s="2"/>
      <c r="I2260" s="5"/>
    </row>
    <row r="2261" spans="1:9" ht="17.399999999999999" x14ac:dyDescent="0.25">
      <c r="A2261" s="16"/>
      <c r="B2261" s="17"/>
      <c r="C2261" s="2" t="b">
        <v>0</v>
      </c>
      <c r="D2261" s="2"/>
      <c r="E2261" s="2"/>
      <c r="F2261" s="2"/>
      <c r="G2261" s="2"/>
      <c r="H2261" s="2"/>
      <c r="I2261" s="5"/>
    </row>
    <row r="2262" spans="1:9" ht="17.399999999999999" x14ac:dyDescent="0.25">
      <c r="A2262" s="16"/>
      <c r="B2262" s="17"/>
      <c r="C2262" s="2" t="b">
        <v>0</v>
      </c>
      <c r="D2262" s="2"/>
      <c r="E2262" s="2"/>
      <c r="F2262" s="2"/>
      <c r="G2262" s="2"/>
      <c r="H2262" s="2"/>
      <c r="I2262" s="5"/>
    </row>
    <row r="2263" spans="1:9" ht="17.399999999999999" x14ac:dyDescent="0.25">
      <c r="A2263" s="16"/>
      <c r="B2263" s="17"/>
      <c r="C2263" s="2" t="b">
        <v>0</v>
      </c>
      <c r="D2263" s="2"/>
      <c r="E2263" s="2"/>
      <c r="F2263" s="2"/>
      <c r="G2263" s="2"/>
      <c r="H2263" s="2"/>
      <c r="I2263" s="5"/>
    </row>
    <row r="2264" spans="1:9" ht="17.399999999999999" x14ac:dyDescent="0.25">
      <c r="A2264" s="16"/>
      <c r="B2264" s="17"/>
      <c r="C2264" s="2" t="b">
        <v>0</v>
      </c>
      <c r="D2264" s="2"/>
      <c r="E2264" s="2"/>
      <c r="F2264" s="2"/>
      <c r="G2264" s="2"/>
      <c r="H2264" s="2"/>
      <c r="I2264" s="5"/>
    </row>
    <row r="2265" spans="1:9" ht="17.399999999999999" x14ac:dyDescent="0.25">
      <c r="A2265" s="16"/>
      <c r="B2265" s="17"/>
      <c r="C2265" s="2" t="b">
        <v>0</v>
      </c>
      <c r="D2265" s="2"/>
      <c r="E2265" s="2"/>
      <c r="F2265" s="2"/>
      <c r="G2265" s="2"/>
      <c r="H2265" s="2"/>
      <c r="I2265" s="5"/>
    </row>
    <row r="2266" spans="1:9" ht="17.399999999999999" x14ac:dyDescent="0.25">
      <c r="A2266" s="16"/>
      <c r="B2266" s="17"/>
      <c r="C2266" s="2" t="b">
        <v>0</v>
      </c>
      <c r="D2266" s="2"/>
      <c r="E2266" s="2"/>
      <c r="F2266" s="2"/>
      <c r="G2266" s="2"/>
      <c r="H2266" s="2"/>
      <c r="I2266" s="5"/>
    </row>
    <row r="2267" spans="1:9" ht="17.399999999999999" x14ac:dyDescent="0.25">
      <c r="A2267" s="16"/>
      <c r="B2267" s="17"/>
      <c r="C2267" s="2" t="b">
        <v>0</v>
      </c>
      <c r="D2267" s="2"/>
      <c r="E2267" s="2"/>
      <c r="F2267" s="2"/>
      <c r="G2267" s="2"/>
      <c r="H2267" s="2"/>
      <c r="I2267" s="5"/>
    </row>
    <row r="2268" spans="1:9" ht="17.399999999999999" x14ac:dyDescent="0.25">
      <c r="A2268" s="16"/>
      <c r="B2268" s="17"/>
      <c r="C2268" s="2" t="b">
        <v>0</v>
      </c>
      <c r="D2268" s="2"/>
      <c r="E2268" s="2"/>
      <c r="F2268" s="2"/>
      <c r="G2268" s="2"/>
      <c r="H2268" s="2"/>
      <c r="I2268" s="5"/>
    </row>
    <row r="2269" spans="1:9" ht="17.399999999999999" x14ac:dyDescent="0.25">
      <c r="A2269" s="16"/>
      <c r="B2269" s="17"/>
      <c r="C2269" s="2" t="b">
        <v>0</v>
      </c>
      <c r="D2269" s="2"/>
      <c r="E2269" s="2"/>
      <c r="F2269" s="2"/>
      <c r="G2269" s="2"/>
      <c r="H2269" s="2"/>
      <c r="I2269" s="5"/>
    </row>
    <row r="2270" spans="1:9" ht="17.399999999999999" x14ac:dyDescent="0.25">
      <c r="A2270" s="16"/>
      <c r="B2270" s="17"/>
      <c r="C2270" s="2" t="b">
        <v>0</v>
      </c>
      <c r="D2270" s="2"/>
      <c r="E2270" s="2"/>
      <c r="F2270" s="2"/>
      <c r="G2270" s="2"/>
      <c r="H2270" s="2"/>
      <c r="I2270" s="5"/>
    </row>
    <row r="2271" spans="1:9" ht="17.399999999999999" x14ac:dyDescent="0.25">
      <c r="A2271" s="16"/>
      <c r="B2271" s="17"/>
      <c r="C2271" s="2" t="b">
        <v>0</v>
      </c>
      <c r="D2271" s="2"/>
      <c r="E2271" s="2"/>
      <c r="F2271" s="2"/>
      <c r="G2271" s="2"/>
      <c r="H2271" s="2"/>
      <c r="I2271" s="5"/>
    </row>
    <row r="2272" spans="1:9" ht="17.399999999999999" x14ac:dyDescent="0.25">
      <c r="A2272" s="16"/>
      <c r="B2272" s="17"/>
      <c r="C2272" s="2" t="b">
        <v>0</v>
      </c>
      <c r="D2272" s="2"/>
      <c r="E2272" s="2"/>
      <c r="F2272" s="2"/>
      <c r="G2272" s="2"/>
      <c r="H2272" s="2"/>
      <c r="I2272" s="5"/>
    </row>
    <row r="2273" spans="1:9" ht="17.399999999999999" x14ac:dyDescent="0.25">
      <c r="A2273" s="16"/>
      <c r="B2273" s="17"/>
      <c r="C2273" s="2" t="b">
        <v>0</v>
      </c>
      <c r="D2273" s="2"/>
      <c r="E2273" s="2"/>
      <c r="F2273" s="2"/>
      <c r="G2273" s="2"/>
      <c r="H2273" s="2"/>
      <c r="I2273" s="5"/>
    </row>
    <row r="2274" spans="1:9" ht="17.399999999999999" x14ac:dyDescent="0.25">
      <c r="A2274" s="16"/>
      <c r="B2274" s="17"/>
      <c r="C2274" s="2" t="b">
        <v>0</v>
      </c>
      <c r="D2274" s="2"/>
      <c r="E2274" s="2"/>
      <c r="F2274" s="2"/>
      <c r="G2274" s="2"/>
      <c r="H2274" s="2"/>
      <c r="I2274" s="5"/>
    </row>
    <row r="2275" spans="1:9" ht="17.399999999999999" x14ac:dyDescent="0.25">
      <c r="A2275" s="16"/>
      <c r="B2275" s="17"/>
      <c r="C2275" s="2" t="b">
        <v>0</v>
      </c>
      <c r="D2275" s="2"/>
      <c r="E2275" s="2"/>
      <c r="F2275" s="2"/>
      <c r="G2275" s="2"/>
      <c r="H2275" s="2"/>
      <c r="I2275" s="5"/>
    </row>
    <row r="2276" spans="1:9" ht="17.399999999999999" x14ac:dyDescent="0.25">
      <c r="A2276" s="16"/>
      <c r="B2276" s="17"/>
      <c r="C2276" s="2" t="b">
        <v>0</v>
      </c>
      <c r="D2276" s="2"/>
      <c r="E2276" s="2"/>
      <c r="F2276" s="2"/>
      <c r="G2276" s="2"/>
      <c r="H2276" s="2"/>
      <c r="I2276" s="5"/>
    </row>
    <row r="2277" spans="1:9" ht="17.399999999999999" x14ac:dyDescent="0.25">
      <c r="A2277" s="16"/>
      <c r="B2277" s="17"/>
      <c r="C2277" s="2" t="b">
        <v>0</v>
      </c>
      <c r="D2277" s="2"/>
      <c r="E2277" s="2"/>
      <c r="F2277" s="2"/>
      <c r="G2277" s="2"/>
      <c r="H2277" s="2"/>
      <c r="I2277" s="5"/>
    </row>
    <row r="2278" spans="1:9" ht="17.399999999999999" x14ac:dyDescent="0.25">
      <c r="A2278" s="16"/>
      <c r="B2278" s="17"/>
      <c r="C2278" s="2" t="b">
        <v>0</v>
      </c>
      <c r="D2278" s="2"/>
      <c r="E2278" s="2"/>
      <c r="F2278" s="2"/>
      <c r="G2278" s="2"/>
      <c r="H2278" s="2"/>
      <c r="I2278" s="5"/>
    </row>
    <row r="2279" spans="1:9" ht="17.399999999999999" x14ac:dyDescent="0.25">
      <c r="A2279" s="16"/>
      <c r="B2279" s="17"/>
      <c r="C2279" s="2" t="b">
        <v>0</v>
      </c>
      <c r="D2279" s="2"/>
      <c r="E2279" s="2"/>
      <c r="F2279" s="2"/>
      <c r="G2279" s="2"/>
      <c r="H2279" s="2"/>
      <c r="I2279" s="5"/>
    </row>
    <row r="2280" spans="1:9" ht="17.399999999999999" x14ac:dyDescent="0.25">
      <c r="A2280" s="16"/>
      <c r="B2280" s="17"/>
      <c r="C2280" s="2" t="b">
        <v>0</v>
      </c>
      <c r="D2280" s="2"/>
      <c r="E2280" s="2"/>
      <c r="F2280" s="2"/>
      <c r="G2280" s="2"/>
      <c r="H2280" s="2"/>
      <c r="I2280" s="5"/>
    </row>
    <row r="2281" spans="1:9" ht="17.399999999999999" x14ac:dyDescent="0.25">
      <c r="A2281" s="16"/>
      <c r="B2281" s="17"/>
      <c r="C2281" s="2" t="b">
        <v>0</v>
      </c>
      <c r="D2281" s="2"/>
      <c r="E2281" s="2"/>
      <c r="F2281" s="2"/>
      <c r="G2281" s="2"/>
      <c r="H2281" s="2"/>
      <c r="I2281" s="5"/>
    </row>
    <row r="2282" spans="1:9" ht="17.399999999999999" x14ac:dyDescent="0.25">
      <c r="A2282" s="16"/>
      <c r="B2282" s="17"/>
      <c r="C2282" s="2" t="b">
        <v>0</v>
      </c>
      <c r="D2282" s="2"/>
      <c r="E2282" s="2"/>
      <c r="F2282" s="2"/>
      <c r="G2282" s="2"/>
      <c r="H2282" s="2"/>
      <c r="I2282" s="5"/>
    </row>
    <row r="2283" spans="1:9" ht="17.399999999999999" x14ac:dyDescent="0.25">
      <c r="A2283" s="16"/>
      <c r="B2283" s="17"/>
      <c r="C2283" s="2" t="b">
        <v>0</v>
      </c>
      <c r="D2283" s="2"/>
      <c r="E2283" s="2"/>
      <c r="F2283" s="2"/>
      <c r="G2283" s="2"/>
      <c r="H2283" s="2"/>
      <c r="I2283" s="5"/>
    </row>
    <row r="2284" spans="1:9" ht="17.399999999999999" x14ac:dyDescent="0.25">
      <c r="A2284" s="16"/>
      <c r="B2284" s="17"/>
      <c r="C2284" s="2" t="b">
        <v>0</v>
      </c>
      <c r="D2284" s="2"/>
      <c r="E2284" s="2"/>
      <c r="F2284" s="2"/>
      <c r="G2284" s="2"/>
      <c r="H2284" s="2"/>
      <c r="I2284" s="5"/>
    </row>
    <row r="2285" spans="1:9" ht="17.399999999999999" x14ac:dyDescent="0.25">
      <c r="A2285" s="16"/>
      <c r="B2285" s="17"/>
      <c r="C2285" s="2" t="b">
        <v>0</v>
      </c>
      <c r="D2285" s="2"/>
      <c r="E2285" s="2"/>
      <c r="F2285" s="2"/>
      <c r="G2285" s="2"/>
      <c r="H2285" s="2"/>
      <c r="I2285" s="5"/>
    </row>
    <row r="2286" spans="1:9" ht="17.399999999999999" x14ac:dyDescent="0.25">
      <c r="A2286" s="16"/>
      <c r="B2286" s="17"/>
      <c r="C2286" s="2" t="b">
        <v>0</v>
      </c>
      <c r="D2286" s="2"/>
      <c r="E2286" s="2"/>
      <c r="F2286" s="2"/>
      <c r="G2286" s="2"/>
      <c r="H2286" s="2"/>
      <c r="I2286" s="5"/>
    </row>
    <row r="2287" spans="1:9" ht="17.399999999999999" x14ac:dyDescent="0.25">
      <c r="A2287" s="16"/>
      <c r="B2287" s="17"/>
      <c r="C2287" s="2" t="b">
        <v>0</v>
      </c>
      <c r="D2287" s="2"/>
      <c r="E2287" s="2"/>
      <c r="F2287" s="2"/>
      <c r="G2287" s="2"/>
      <c r="H2287" s="2"/>
      <c r="I2287" s="5"/>
    </row>
    <row r="2288" spans="1:9" ht="17.399999999999999" x14ac:dyDescent="0.25">
      <c r="A2288" s="16"/>
      <c r="B2288" s="17"/>
      <c r="C2288" s="2" t="b">
        <v>0</v>
      </c>
      <c r="D2288" s="2"/>
      <c r="E2288" s="2"/>
      <c r="F2288" s="2"/>
      <c r="G2288" s="2"/>
      <c r="H2288" s="2"/>
      <c r="I2288" s="5"/>
    </row>
    <row r="2289" spans="1:9" ht="17.399999999999999" x14ac:dyDescent="0.25">
      <c r="A2289" s="16"/>
      <c r="B2289" s="17"/>
      <c r="C2289" s="2" t="b">
        <v>0</v>
      </c>
      <c r="D2289" s="2"/>
      <c r="E2289" s="2"/>
      <c r="F2289" s="2"/>
      <c r="G2289" s="2"/>
      <c r="H2289" s="2"/>
      <c r="I2289" s="5"/>
    </row>
    <row r="2290" spans="1:9" ht="17.399999999999999" x14ac:dyDescent="0.25">
      <c r="A2290" s="16"/>
      <c r="B2290" s="17"/>
      <c r="C2290" s="2" t="b">
        <v>0</v>
      </c>
      <c r="D2290" s="2"/>
      <c r="E2290" s="2"/>
      <c r="F2290" s="2"/>
      <c r="G2290" s="2"/>
      <c r="H2290" s="2"/>
      <c r="I2290" s="5"/>
    </row>
    <row r="2291" spans="1:9" ht="17.399999999999999" x14ac:dyDescent="0.25">
      <c r="A2291" s="16"/>
      <c r="B2291" s="17"/>
      <c r="C2291" s="2" t="b">
        <v>0</v>
      </c>
      <c r="D2291" s="2"/>
      <c r="E2291" s="2"/>
      <c r="F2291" s="2"/>
      <c r="G2291" s="2"/>
      <c r="H2291" s="2"/>
      <c r="I2291" s="5"/>
    </row>
    <row r="2292" spans="1:9" ht="17.399999999999999" x14ac:dyDescent="0.25">
      <c r="A2292" s="16"/>
      <c r="B2292" s="17"/>
      <c r="C2292" s="2" t="b">
        <v>0</v>
      </c>
      <c r="D2292" s="2"/>
      <c r="E2292" s="2"/>
      <c r="F2292" s="2"/>
      <c r="G2292" s="2"/>
      <c r="H2292" s="2"/>
      <c r="I2292" s="5"/>
    </row>
    <row r="2293" spans="1:9" ht="17.399999999999999" x14ac:dyDescent="0.25">
      <c r="A2293" s="16"/>
      <c r="B2293" s="17"/>
      <c r="C2293" s="2" t="b">
        <v>0</v>
      </c>
      <c r="D2293" s="2"/>
      <c r="E2293" s="2"/>
      <c r="F2293" s="2"/>
      <c r="G2293" s="2"/>
      <c r="H2293" s="2"/>
      <c r="I2293" s="5"/>
    </row>
    <row r="2294" spans="1:9" ht="17.399999999999999" x14ac:dyDescent="0.25">
      <c r="A2294" s="16"/>
      <c r="B2294" s="17"/>
      <c r="C2294" s="2" t="b">
        <v>0</v>
      </c>
      <c r="D2294" s="2"/>
      <c r="E2294" s="2"/>
      <c r="F2294" s="2"/>
      <c r="G2294" s="2"/>
      <c r="H2294" s="2"/>
      <c r="I2294" s="5"/>
    </row>
    <row r="2295" spans="1:9" ht="17.399999999999999" x14ac:dyDescent="0.25">
      <c r="A2295" s="16"/>
      <c r="B2295" s="17"/>
      <c r="C2295" s="2" t="b">
        <v>0</v>
      </c>
      <c r="D2295" s="2"/>
      <c r="E2295" s="2"/>
      <c r="F2295" s="2"/>
      <c r="G2295" s="2"/>
      <c r="H2295" s="2"/>
      <c r="I2295" s="5"/>
    </row>
    <row r="2296" spans="1:9" ht="17.399999999999999" x14ac:dyDescent="0.25">
      <c r="A2296" s="16"/>
      <c r="B2296" s="17"/>
      <c r="C2296" s="2" t="b">
        <v>0</v>
      </c>
      <c r="D2296" s="2"/>
      <c r="E2296" s="2"/>
      <c r="F2296" s="2"/>
      <c r="G2296" s="2"/>
      <c r="H2296" s="2"/>
      <c r="I2296" s="5"/>
    </row>
    <row r="2297" spans="1:9" ht="17.399999999999999" x14ac:dyDescent="0.25">
      <c r="A2297" s="16"/>
      <c r="B2297" s="17"/>
      <c r="C2297" s="2" t="b">
        <v>0</v>
      </c>
      <c r="D2297" s="2"/>
      <c r="E2297" s="2"/>
      <c r="F2297" s="2"/>
      <c r="G2297" s="2"/>
      <c r="H2297" s="2"/>
      <c r="I2297" s="5"/>
    </row>
    <row r="2298" spans="1:9" ht="17.399999999999999" x14ac:dyDescent="0.25">
      <c r="A2298" s="16"/>
      <c r="B2298" s="17"/>
      <c r="C2298" s="2" t="b">
        <v>0</v>
      </c>
      <c r="D2298" s="2"/>
      <c r="E2298" s="2"/>
      <c r="F2298" s="2"/>
      <c r="G2298" s="2"/>
      <c r="H2298" s="2"/>
      <c r="I2298" s="5"/>
    </row>
    <row r="2299" spans="1:9" ht="17.399999999999999" x14ac:dyDescent="0.25">
      <c r="A2299" s="16"/>
      <c r="B2299" s="17"/>
      <c r="C2299" s="2" t="b">
        <v>0</v>
      </c>
      <c r="D2299" s="2"/>
      <c r="E2299" s="2"/>
      <c r="F2299" s="2"/>
      <c r="G2299" s="2"/>
      <c r="H2299" s="2"/>
      <c r="I2299" s="5"/>
    </row>
    <row r="2300" spans="1:9" ht="17.399999999999999" x14ac:dyDescent="0.25">
      <c r="A2300" s="16"/>
      <c r="B2300" s="17"/>
      <c r="C2300" s="2" t="b">
        <v>0</v>
      </c>
      <c r="D2300" s="2"/>
      <c r="E2300" s="2"/>
      <c r="F2300" s="2"/>
      <c r="G2300" s="2"/>
      <c r="H2300" s="2"/>
      <c r="I2300" s="5"/>
    </row>
    <row r="2301" spans="1:9" ht="17.399999999999999" x14ac:dyDescent="0.25">
      <c r="A2301" s="16"/>
      <c r="B2301" s="17"/>
      <c r="C2301" s="2" t="b">
        <v>0</v>
      </c>
      <c r="D2301" s="2"/>
      <c r="E2301" s="2"/>
      <c r="F2301" s="2"/>
      <c r="G2301" s="2"/>
      <c r="H2301" s="2"/>
      <c r="I2301" s="5"/>
    </row>
    <row r="2302" spans="1:9" ht="17.399999999999999" x14ac:dyDescent="0.25">
      <c r="A2302" s="16"/>
      <c r="B2302" s="17"/>
      <c r="C2302" s="2" t="b">
        <v>0</v>
      </c>
      <c r="D2302" s="2"/>
      <c r="E2302" s="2"/>
      <c r="F2302" s="2"/>
      <c r="G2302" s="2"/>
      <c r="H2302" s="2"/>
      <c r="I2302" s="5"/>
    </row>
    <row r="2303" spans="1:9" ht="17.399999999999999" x14ac:dyDescent="0.25">
      <c r="A2303" s="16"/>
      <c r="B2303" s="17"/>
      <c r="C2303" s="2" t="b">
        <v>0</v>
      </c>
      <c r="D2303" s="2"/>
      <c r="E2303" s="2"/>
      <c r="F2303" s="2"/>
      <c r="G2303" s="2"/>
      <c r="H2303" s="2"/>
      <c r="I2303" s="5"/>
    </row>
    <row r="2304" spans="1:9" ht="17.399999999999999" x14ac:dyDescent="0.25">
      <c r="A2304" s="16"/>
      <c r="B2304" s="17"/>
      <c r="C2304" s="2" t="b">
        <v>0</v>
      </c>
      <c r="D2304" s="2"/>
      <c r="E2304" s="2"/>
      <c r="F2304" s="2"/>
      <c r="G2304" s="2"/>
      <c r="H2304" s="2"/>
      <c r="I2304" s="5"/>
    </row>
    <row r="2305" spans="1:9" ht="17.399999999999999" x14ac:dyDescent="0.25">
      <c r="A2305" s="16"/>
      <c r="B2305" s="17"/>
      <c r="C2305" s="2" t="b">
        <v>0</v>
      </c>
      <c r="D2305" s="2"/>
      <c r="E2305" s="2"/>
      <c r="F2305" s="2"/>
      <c r="G2305" s="2"/>
      <c r="H2305" s="2"/>
      <c r="I2305" s="5"/>
    </row>
    <row r="2306" spans="1:9" ht="17.399999999999999" x14ac:dyDescent="0.25">
      <c r="A2306" s="16"/>
      <c r="B2306" s="17"/>
      <c r="C2306" s="2" t="b">
        <v>0</v>
      </c>
      <c r="D2306" s="2"/>
      <c r="E2306" s="2"/>
      <c r="F2306" s="2"/>
      <c r="G2306" s="2"/>
      <c r="H2306" s="2"/>
      <c r="I2306" s="5"/>
    </row>
    <row r="2307" spans="1:9" ht="17.399999999999999" x14ac:dyDescent="0.25">
      <c r="A2307" s="16"/>
      <c r="B2307" s="17"/>
      <c r="C2307" s="2" t="b">
        <v>0</v>
      </c>
      <c r="D2307" s="2"/>
      <c r="E2307" s="2"/>
      <c r="F2307" s="2"/>
      <c r="G2307" s="2"/>
      <c r="H2307" s="2"/>
      <c r="I2307" s="5"/>
    </row>
    <row r="2308" spans="1:9" ht="17.399999999999999" x14ac:dyDescent="0.25">
      <c r="A2308" s="16"/>
      <c r="B2308" s="17"/>
      <c r="C2308" s="2" t="b">
        <v>0</v>
      </c>
      <c r="D2308" s="2"/>
      <c r="E2308" s="2"/>
      <c r="F2308" s="2"/>
      <c r="G2308" s="2"/>
      <c r="H2308" s="2"/>
      <c r="I2308" s="5"/>
    </row>
    <row r="2309" spans="1:9" ht="17.399999999999999" x14ac:dyDescent="0.25">
      <c r="A2309" s="16"/>
      <c r="B2309" s="17"/>
      <c r="C2309" s="2" t="b">
        <v>0</v>
      </c>
      <c r="D2309" s="2"/>
      <c r="E2309" s="2"/>
      <c r="F2309" s="2"/>
      <c r="G2309" s="2"/>
      <c r="H2309" s="2"/>
      <c r="I2309" s="5"/>
    </row>
    <row r="2310" spans="1:9" ht="17.399999999999999" x14ac:dyDescent="0.25">
      <c r="A2310" s="16"/>
      <c r="B2310" s="17"/>
      <c r="C2310" s="2" t="b">
        <v>0</v>
      </c>
      <c r="D2310" s="2"/>
      <c r="E2310" s="2"/>
      <c r="F2310" s="2"/>
      <c r="G2310" s="2"/>
      <c r="H2310" s="2"/>
      <c r="I2310" s="5"/>
    </row>
    <row r="2311" spans="1:9" ht="17.399999999999999" x14ac:dyDescent="0.25">
      <c r="A2311" s="16"/>
      <c r="B2311" s="17"/>
      <c r="C2311" s="2" t="b">
        <v>0</v>
      </c>
      <c r="D2311" s="2"/>
      <c r="E2311" s="2"/>
      <c r="F2311" s="2"/>
      <c r="G2311" s="2"/>
      <c r="H2311" s="2"/>
      <c r="I2311" s="5"/>
    </row>
    <row r="2312" spans="1:9" ht="17.399999999999999" x14ac:dyDescent="0.25">
      <c r="A2312" s="16"/>
      <c r="B2312" s="17"/>
      <c r="C2312" s="2" t="b">
        <v>0</v>
      </c>
      <c r="D2312" s="2"/>
      <c r="E2312" s="2"/>
      <c r="F2312" s="2"/>
      <c r="G2312" s="2"/>
      <c r="H2312" s="2"/>
      <c r="I2312" s="5"/>
    </row>
    <row r="2313" spans="1:9" ht="17.399999999999999" x14ac:dyDescent="0.25">
      <c r="A2313" s="16"/>
      <c r="B2313" s="17"/>
      <c r="C2313" s="2" t="b">
        <v>0</v>
      </c>
      <c r="D2313" s="2"/>
      <c r="E2313" s="2"/>
      <c r="F2313" s="2"/>
      <c r="G2313" s="2"/>
      <c r="H2313" s="2"/>
      <c r="I2313" s="5"/>
    </row>
    <row r="2314" spans="1:9" ht="17.399999999999999" x14ac:dyDescent="0.25">
      <c r="A2314" s="16"/>
      <c r="B2314" s="17"/>
      <c r="C2314" s="2" t="b">
        <v>0</v>
      </c>
      <c r="D2314" s="2"/>
      <c r="E2314" s="2"/>
      <c r="F2314" s="2"/>
      <c r="G2314" s="2"/>
      <c r="H2314" s="2"/>
      <c r="I2314" s="5"/>
    </row>
    <row r="2315" spans="1:9" ht="17.399999999999999" x14ac:dyDescent="0.25">
      <c r="A2315" s="16"/>
      <c r="B2315" s="17"/>
      <c r="C2315" s="2" t="b">
        <v>0</v>
      </c>
      <c r="D2315" s="2"/>
      <c r="E2315" s="2"/>
      <c r="F2315" s="2"/>
      <c r="G2315" s="2"/>
      <c r="H2315" s="2"/>
      <c r="I2315" s="5"/>
    </row>
    <row r="2316" spans="1:9" ht="17.399999999999999" x14ac:dyDescent="0.25">
      <c r="A2316" s="16"/>
      <c r="B2316" s="17"/>
      <c r="C2316" s="2" t="b">
        <v>0</v>
      </c>
      <c r="D2316" s="2"/>
      <c r="E2316" s="2"/>
      <c r="F2316" s="2"/>
      <c r="G2316" s="2"/>
      <c r="H2316" s="2"/>
      <c r="I2316" s="5"/>
    </row>
    <row r="2317" spans="1:9" ht="17.399999999999999" x14ac:dyDescent="0.25">
      <c r="A2317" s="16"/>
      <c r="B2317" s="17"/>
      <c r="C2317" s="2" t="b">
        <v>0</v>
      </c>
      <c r="D2317" s="2"/>
      <c r="E2317" s="2"/>
      <c r="F2317" s="2"/>
      <c r="G2317" s="2"/>
      <c r="H2317" s="2"/>
      <c r="I2317" s="5"/>
    </row>
    <row r="2318" spans="1:9" ht="17.399999999999999" x14ac:dyDescent="0.25">
      <c r="A2318" s="16"/>
      <c r="B2318" s="17"/>
      <c r="C2318" s="2" t="b">
        <v>0</v>
      </c>
      <c r="D2318" s="2"/>
      <c r="E2318" s="2"/>
      <c r="F2318" s="2"/>
      <c r="G2318" s="2"/>
      <c r="H2318" s="2"/>
      <c r="I2318" s="5"/>
    </row>
    <row r="2319" spans="1:9" ht="17.399999999999999" x14ac:dyDescent="0.25">
      <c r="A2319" s="16"/>
      <c r="B2319" s="17"/>
      <c r="C2319" s="2" t="b">
        <v>0</v>
      </c>
      <c r="D2319" s="2"/>
      <c r="E2319" s="2"/>
      <c r="F2319" s="2"/>
      <c r="G2319" s="2"/>
      <c r="H2319" s="2"/>
      <c r="I2319" s="5"/>
    </row>
    <row r="2320" spans="1:9" ht="17.399999999999999" x14ac:dyDescent="0.25">
      <c r="A2320" s="16"/>
      <c r="B2320" s="17"/>
      <c r="C2320" s="2" t="b">
        <v>0</v>
      </c>
      <c r="D2320" s="2"/>
      <c r="E2320" s="2"/>
      <c r="F2320" s="2"/>
      <c r="G2320" s="2"/>
      <c r="H2320" s="2"/>
      <c r="I2320" s="5"/>
    </row>
    <row r="2321" spans="1:9" ht="17.399999999999999" x14ac:dyDescent="0.25">
      <c r="A2321" s="16"/>
      <c r="B2321" s="17"/>
      <c r="C2321" s="2" t="b">
        <v>0</v>
      </c>
      <c r="D2321" s="2"/>
      <c r="E2321" s="2"/>
      <c r="F2321" s="2"/>
      <c r="G2321" s="2"/>
      <c r="H2321" s="2"/>
      <c r="I2321" s="5"/>
    </row>
    <row r="2322" spans="1:9" ht="17.399999999999999" x14ac:dyDescent="0.25">
      <c r="A2322" s="16"/>
      <c r="B2322" s="17"/>
      <c r="C2322" s="2" t="b">
        <v>0</v>
      </c>
      <c r="D2322" s="2"/>
      <c r="E2322" s="2"/>
      <c r="F2322" s="2"/>
      <c r="G2322" s="2"/>
      <c r="H2322" s="2"/>
      <c r="I2322" s="5"/>
    </row>
    <row r="2323" spans="1:9" ht="17.399999999999999" x14ac:dyDescent="0.25">
      <c r="A2323" s="16"/>
      <c r="B2323" s="17"/>
      <c r="C2323" s="2" t="b">
        <v>0</v>
      </c>
      <c r="D2323" s="2"/>
      <c r="E2323" s="2"/>
      <c r="F2323" s="2"/>
      <c r="G2323" s="2"/>
      <c r="H2323" s="2"/>
      <c r="I2323" s="5"/>
    </row>
    <row r="2324" spans="1:9" ht="17.399999999999999" x14ac:dyDescent="0.25">
      <c r="A2324" s="16"/>
      <c r="B2324" s="17"/>
      <c r="C2324" s="2" t="b">
        <v>0</v>
      </c>
      <c r="D2324" s="2"/>
      <c r="E2324" s="2"/>
      <c r="F2324" s="2"/>
      <c r="G2324" s="2"/>
      <c r="H2324" s="2"/>
      <c r="I2324" s="5"/>
    </row>
    <row r="2325" spans="1:9" ht="17.399999999999999" x14ac:dyDescent="0.25">
      <c r="A2325" s="16"/>
      <c r="B2325" s="17"/>
      <c r="C2325" s="2" t="b">
        <v>0</v>
      </c>
      <c r="D2325" s="2"/>
      <c r="E2325" s="2"/>
      <c r="F2325" s="2"/>
      <c r="G2325" s="2"/>
      <c r="H2325" s="2"/>
      <c r="I2325" s="5"/>
    </row>
    <row r="2326" spans="1:9" ht="17.399999999999999" x14ac:dyDescent="0.25">
      <c r="A2326" s="16"/>
      <c r="B2326" s="17"/>
      <c r="C2326" s="2" t="b">
        <v>0</v>
      </c>
      <c r="D2326" s="2"/>
      <c r="E2326" s="2"/>
      <c r="F2326" s="2"/>
      <c r="G2326" s="2"/>
      <c r="H2326" s="2"/>
      <c r="I2326" s="5"/>
    </row>
    <row r="2327" spans="1:9" ht="17.399999999999999" x14ac:dyDescent="0.25">
      <c r="A2327" s="16"/>
      <c r="B2327" s="17"/>
      <c r="C2327" s="2" t="b">
        <v>0</v>
      </c>
      <c r="D2327" s="2"/>
      <c r="E2327" s="2"/>
      <c r="F2327" s="2"/>
      <c r="G2327" s="2"/>
      <c r="H2327" s="2"/>
      <c r="I2327" s="5"/>
    </row>
    <row r="2328" spans="1:9" ht="17.399999999999999" x14ac:dyDescent="0.25">
      <c r="A2328" s="16"/>
      <c r="B2328" s="17"/>
      <c r="C2328" s="2" t="b">
        <v>0</v>
      </c>
      <c r="D2328" s="2"/>
      <c r="E2328" s="2"/>
      <c r="F2328" s="2"/>
      <c r="G2328" s="2"/>
      <c r="H2328" s="2"/>
      <c r="I2328" s="5"/>
    </row>
    <row r="2329" spans="1:9" ht="17.399999999999999" x14ac:dyDescent="0.25">
      <c r="A2329" s="16"/>
      <c r="B2329" s="17"/>
      <c r="C2329" s="2" t="b">
        <v>0</v>
      </c>
      <c r="D2329" s="2"/>
      <c r="E2329" s="2"/>
      <c r="F2329" s="2"/>
      <c r="G2329" s="2"/>
      <c r="H2329" s="2"/>
      <c r="I2329" s="5"/>
    </row>
    <row r="2330" spans="1:9" ht="17.399999999999999" x14ac:dyDescent="0.25">
      <c r="A2330" s="16"/>
      <c r="B2330" s="17"/>
      <c r="C2330" s="2" t="b">
        <v>0</v>
      </c>
      <c r="D2330" s="2"/>
      <c r="E2330" s="2"/>
      <c r="F2330" s="2"/>
      <c r="G2330" s="2"/>
      <c r="H2330" s="2"/>
      <c r="I2330" s="5"/>
    </row>
    <row r="2331" spans="1:9" ht="17.399999999999999" x14ac:dyDescent="0.25">
      <c r="A2331" s="16"/>
      <c r="B2331" s="17"/>
      <c r="C2331" s="2" t="b">
        <v>0</v>
      </c>
      <c r="D2331" s="2"/>
      <c r="E2331" s="2"/>
      <c r="F2331" s="2"/>
      <c r="G2331" s="2"/>
      <c r="H2331" s="2"/>
      <c r="I2331" s="5"/>
    </row>
    <row r="2332" spans="1:9" ht="17.399999999999999" x14ac:dyDescent="0.25">
      <c r="A2332" s="16"/>
      <c r="B2332" s="17"/>
      <c r="C2332" s="2" t="b">
        <v>0</v>
      </c>
      <c r="D2332" s="2"/>
      <c r="E2332" s="2"/>
      <c r="F2332" s="2"/>
      <c r="G2332" s="2"/>
      <c r="H2332" s="2"/>
      <c r="I2332" s="5"/>
    </row>
    <row r="2333" spans="1:9" ht="17.399999999999999" x14ac:dyDescent="0.25">
      <c r="A2333" s="16"/>
      <c r="B2333" s="17"/>
      <c r="C2333" s="2" t="b">
        <v>0</v>
      </c>
      <c r="D2333" s="2"/>
      <c r="E2333" s="2"/>
      <c r="F2333" s="2"/>
      <c r="G2333" s="2"/>
      <c r="H2333" s="2"/>
      <c r="I2333" s="5"/>
    </row>
    <row r="2334" spans="1:9" ht="17.399999999999999" x14ac:dyDescent="0.25">
      <c r="A2334" s="16"/>
      <c r="B2334" s="17"/>
      <c r="C2334" s="2" t="b">
        <v>0</v>
      </c>
      <c r="D2334" s="2"/>
      <c r="E2334" s="2"/>
      <c r="F2334" s="2"/>
      <c r="G2334" s="2"/>
      <c r="H2334" s="2"/>
      <c r="I2334" s="5"/>
    </row>
    <row r="2335" spans="1:9" ht="17.399999999999999" x14ac:dyDescent="0.25">
      <c r="A2335" s="16"/>
      <c r="B2335" s="17"/>
      <c r="C2335" s="2" t="b">
        <v>0</v>
      </c>
      <c r="D2335" s="2"/>
      <c r="E2335" s="2"/>
      <c r="F2335" s="2"/>
      <c r="G2335" s="2"/>
      <c r="H2335" s="2"/>
      <c r="I2335" s="5"/>
    </row>
    <row r="2336" spans="1:9" ht="17.399999999999999" x14ac:dyDescent="0.25">
      <c r="A2336" s="16"/>
      <c r="B2336" s="17"/>
      <c r="C2336" s="2" t="b">
        <v>0</v>
      </c>
      <c r="D2336" s="2"/>
      <c r="E2336" s="2"/>
      <c r="F2336" s="2"/>
      <c r="G2336" s="2"/>
      <c r="H2336" s="2"/>
      <c r="I2336" s="5"/>
    </row>
    <row r="2337" spans="1:9" ht="17.399999999999999" x14ac:dyDescent="0.25">
      <c r="A2337" s="16"/>
      <c r="B2337" s="17"/>
      <c r="C2337" s="2" t="b">
        <v>0</v>
      </c>
      <c r="D2337" s="2"/>
      <c r="E2337" s="2"/>
      <c r="F2337" s="2"/>
      <c r="G2337" s="2"/>
      <c r="H2337" s="2"/>
      <c r="I2337" s="5"/>
    </row>
    <row r="2338" spans="1:9" ht="17.399999999999999" x14ac:dyDescent="0.25">
      <c r="A2338" s="16"/>
      <c r="B2338" s="17"/>
      <c r="C2338" s="2" t="b">
        <v>0</v>
      </c>
      <c r="D2338" s="2"/>
      <c r="E2338" s="2"/>
      <c r="F2338" s="2"/>
      <c r="G2338" s="2"/>
      <c r="H2338" s="2"/>
      <c r="I2338" s="5"/>
    </row>
    <row r="2339" spans="1:9" ht="17.399999999999999" x14ac:dyDescent="0.25">
      <c r="A2339" s="16"/>
      <c r="B2339" s="17"/>
      <c r="C2339" s="2" t="b">
        <v>0</v>
      </c>
      <c r="D2339" s="2"/>
      <c r="E2339" s="2"/>
      <c r="F2339" s="2"/>
      <c r="G2339" s="2"/>
      <c r="H2339" s="2"/>
      <c r="I2339" s="5"/>
    </row>
    <row r="2340" spans="1:9" ht="17.399999999999999" x14ac:dyDescent="0.25">
      <c r="A2340" s="16"/>
      <c r="B2340" s="17"/>
      <c r="C2340" s="2" t="b">
        <v>0</v>
      </c>
      <c r="D2340" s="2"/>
      <c r="E2340" s="2"/>
      <c r="F2340" s="2"/>
      <c r="G2340" s="2"/>
      <c r="H2340" s="2"/>
      <c r="I2340" s="5"/>
    </row>
    <row r="2341" spans="1:9" ht="17.399999999999999" x14ac:dyDescent="0.25">
      <c r="A2341" s="16"/>
      <c r="B2341" s="17"/>
      <c r="C2341" s="2" t="b">
        <v>0</v>
      </c>
      <c r="D2341" s="2"/>
      <c r="E2341" s="2"/>
      <c r="F2341" s="2"/>
      <c r="G2341" s="2"/>
      <c r="H2341" s="2"/>
      <c r="I2341" s="5"/>
    </row>
    <row r="2342" spans="1:9" ht="17.399999999999999" x14ac:dyDescent="0.25">
      <c r="A2342" s="16"/>
      <c r="B2342" s="17"/>
      <c r="C2342" s="2" t="b">
        <v>0</v>
      </c>
      <c r="D2342" s="2"/>
      <c r="E2342" s="2"/>
      <c r="F2342" s="2"/>
      <c r="G2342" s="2"/>
      <c r="H2342" s="2"/>
      <c r="I2342" s="5"/>
    </row>
    <row r="2343" spans="1:9" ht="17.399999999999999" x14ac:dyDescent="0.25">
      <c r="A2343" s="16"/>
      <c r="B2343" s="17"/>
      <c r="C2343" s="2" t="b">
        <v>0</v>
      </c>
      <c r="D2343" s="2"/>
      <c r="E2343" s="2"/>
      <c r="F2343" s="2"/>
      <c r="G2343" s="2"/>
      <c r="H2343" s="2"/>
      <c r="I2343" s="5"/>
    </row>
    <row r="2344" spans="1:9" ht="17.399999999999999" x14ac:dyDescent="0.25">
      <c r="A2344" s="16"/>
      <c r="B2344" s="17"/>
      <c r="C2344" s="2" t="b">
        <v>0</v>
      </c>
      <c r="D2344" s="2"/>
      <c r="E2344" s="2"/>
      <c r="F2344" s="2"/>
      <c r="G2344" s="2"/>
      <c r="H2344" s="2"/>
      <c r="I2344" s="5"/>
    </row>
    <row r="2345" spans="1:9" ht="17.399999999999999" x14ac:dyDescent="0.25">
      <c r="A2345" s="16"/>
      <c r="B2345" s="17"/>
      <c r="C2345" s="2" t="b">
        <v>0</v>
      </c>
      <c r="D2345" s="2"/>
      <c r="E2345" s="2"/>
      <c r="F2345" s="2"/>
      <c r="G2345" s="2"/>
      <c r="H2345" s="2"/>
      <c r="I2345" s="5"/>
    </row>
    <row r="2346" spans="1:9" ht="17.399999999999999" x14ac:dyDescent="0.25">
      <c r="A2346" s="16"/>
      <c r="B2346" s="17"/>
      <c r="C2346" s="2" t="b">
        <v>0</v>
      </c>
      <c r="D2346" s="2"/>
      <c r="E2346" s="2"/>
      <c r="F2346" s="2"/>
      <c r="G2346" s="2"/>
      <c r="H2346" s="2"/>
      <c r="I2346" s="5"/>
    </row>
    <row r="2347" spans="1:9" ht="17.399999999999999" x14ac:dyDescent="0.25">
      <c r="A2347" s="16"/>
      <c r="B2347" s="17"/>
      <c r="C2347" s="2" t="b">
        <v>0</v>
      </c>
      <c r="D2347" s="2"/>
      <c r="E2347" s="2"/>
      <c r="F2347" s="2"/>
      <c r="G2347" s="2"/>
      <c r="H2347" s="2"/>
      <c r="I2347" s="5"/>
    </row>
    <row r="2348" spans="1:9" ht="17.399999999999999" x14ac:dyDescent="0.25">
      <c r="A2348" s="16"/>
      <c r="B2348" s="17"/>
      <c r="C2348" s="2" t="b">
        <v>0</v>
      </c>
      <c r="D2348" s="2"/>
      <c r="E2348" s="2"/>
      <c r="F2348" s="2"/>
      <c r="G2348" s="2"/>
      <c r="H2348" s="2"/>
      <c r="I2348" s="5"/>
    </row>
    <row r="2349" spans="1:9" ht="17.399999999999999" x14ac:dyDescent="0.25">
      <c r="A2349" s="16"/>
      <c r="B2349" s="17"/>
      <c r="C2349" s="2" t="b">
        <v>0</v>
      </c>
      <c r="D2349" s="2"/>
      <c r="E2349" s="2"/>
      <c r="F2349" s="2"/>
      <c r="G2349" s="2"/>
      <c r="H2349" s="2"/>
      <c r="I2349" s="5"/>
    </row>
    <row r="2350" spans="1:9" ht="17.399999999999999" x14ac:dyDescent="0.25">
      <c r="A2350" s="16"/>
      <c r="B2350" s="17"/>
      <c r="C2350" s="2" t="b">
        <v>0</v>
      </c>
      <c r="D2350" s="2"/>
      <c r="E2350" s="2"/>
      <c r="F2350" s="2"/>
      <c r="G2350" s="2"/>
      <c r="H2350" s="2"/>
      <c r="I2350" s="5"/>
    </row>
    <row r="2351" spans="1:9" ht="17.399999999999999" x14ac:dyDescent="0.25">
      <c r="A2351" s="16"/>
      <c r="B2351" s="17"/>
      <c r="C2351" s="2" t="b">
        <v>0</v>
      </c>
      <c r="D2351" s="2"/>
      <c r="E2351" s="2"/>
      <c r="F2351" s="2"/>
      <c r="G2351" s="2"/>
      <c r="H2351" s="2"/>
      <c r="I2351" s="5"/>
    </row>
    <row r="2352" spans="1:9" ht="17.399999999999999" x14ac:dyDescent="0.25">
      <c r="A2352" s="16"/>
      <c r="B2352" s="17"/>
      <c r="C2352" s="2" t="b">
        <v>0</v>
      </c>
      <c r="D2352" s="2"/>
      <c r="E2352" s="2"/>
      <c r="F2352" s="2"/>
      <c r="G2352" s="2"/>
      <c r="H2352" s="2"/>
      <c r="I2352" s="5"/>
    </row>
    <row r="2353" spans="1:9" ht="17.399999999999999" x14ac:dyDescent="0.25">
      <c r="A2353" s="16"/>
      <c r="B2353" s="17"/>
      <c r="C2353" s="2" t="b">
        <v>0</v>
      </c>
      <c r="D2353" s="2"/>
      <c r="E2353" s="2"/>
      <c r="F2353" s="2"/>
      <c r="G2353" s="2"/>
      <c r="H2353" s="2"/>
      <c r="I2353" s="5"/>
    </row>
    <row r="2354" spans="1:9" ht="17.399999999999999" x14ac:dyDescent="0.25">
      <c r="A2354" s="16"/>
      <c r="B2354" s="17"/>
      <c r="C2354" s="2" t="b">
        <v>0</v>
      </c>
      <c r="D2354" s="2"/>
      <c r="E2354" s="2"/>
      <c r="F2354" s="2"/>
      <c r="G2354" s="2"/>
      <c r="H2354" s="2"/>
      <c r="I2354" s="5"/>
    </row>
    <row r="2355" spans="1:9" ht="17.399999999999999" x14ac:dyDescent="0.25">
      <c r="A2355" s="16"/>
      <c r="B2355" s="17"/>
      <c r="C2355" s="2" t="b">
        <v>0</v>
      </c>
      <c r="D2355" s="2"/>
      <c r="E2355" s="2"/>
      <c r="F2355" s="2"/>
      <c r="G2355" s="2"/>
      <c r="H2355" s="2"/>
      <c r="I2355" s="5"/>
    </row>
    <row r="2356" spans="1:9" ht="17.399999999999999" x14ac:dyDescent="0.25">
      <c r="A2356" s="16"/>
      <c r="B2356" s="17"/>
      <c r="C2356" s="2" t="b">
        <v>0</v>
      </c>
      <c r="D2356" s="2"/>
      <c r="E2356" s="2"/>
      <c r="F2356" s="2"/>
      <c r="G2356" s="2"/>
      <c r="H2356" s="2"/>
      <c r="I2356" s="5"/>
    </row>
    <row r="2357" spans="1:9" ht="17.399999999999999" x14ac:dyDescent="0.25">
      <c r="A2357" s="16"/>
      <c r="B2357" s="17"/>
      <c r="C2357" s="2" t="b">
        <v>0</v>
      </c>
      <c r="D2357" s="2"/>
      <c r="E2357" s="2"/>
      <c r="F2357" s="2"/>
      <c r="G2357" s="2"/>
      <c r="H2357" s="2"/>
      <c r="I2357" s="5"/>
    </row>
    <row r="2358" spans="1:9" ht="17.399999999999999" x14ac:dyDescent="0.25">
      <c r="A2358" s="16"/>
      <c r="B2358" s="17"/>
      <c r="C2358" s="2" t="b">
        <v>0</v>
      </c>
      <c r="D2358" s="2"/>
      <c r="E2358" s="2"/>
      <c r="F2358" s="2"/>
      <c r="G2358" s="2"/>
      <c r="H2358" s="2"/>
      <c r="I2358" s="5"/>
    </row>
    <row r="2359" spans="1:9" ht="17.399999999999999" x14ac:dyDescent="0.25">
      <c r="A2359" s="16"/>
      <c r="B2359" s="17"/>
      <c r="C2359" s="2" t="b">
        <v>0</v>
      </c>
      <c r="D2359" s="2"/>
      <c r="E2359" s="2"/>
      <c r="F2359" s="2"/>
      <c r="G2359" s="2"/>
      <c r="H2359" s="2"/>
      <c r="I2359" s="5"/>
    </row>
    <row r="2360" spans="1:9" ht="17.399999999999999" x14ac:dyDescent="0.25">
      <c r="A2360" s="16"/>
      <c r="B2360" s="17"/>
      <c r="C2360" s="2" t="b">
        <v>0</v>
      </c>
      <c r="D2360" s="2"/>
      <c r="E2360" s="2"/>
      <c r="F2360" s="2"/>
      <c r="G2360" s="2"/>
      <c r="H2360" s="2"/>
      <c r="I2360" s="5"/>
    </row>
    <row r="2361" spans="1:9" ht="17.399999999999999" x14ac:dyDescent="0.25">
      <c r="A2361" s="16"/>
      <c r="B2361" s="17"/>
      <c r="C2361" s="2" t="b">
        <v>0</v>
      </c>
      <c r="D2361" s="2"/>
      <c r="E2361" s="2"/>
      <c r="F2361" s="2"/>
      <c r="G2361" s="2"/>
      <c r="H2361" s="2"/>
      <c r="I2361" s="5"/>
    </row>
    <row r="2362" spans="1:9" ht="17.399999999999999" x14ac:dyDescent="0.25">
      <c r="A2362" s="16"/>
      <c r="B2362" s="17"/>
      <c r="C2362" s="2" t="b">
        <v>0</v>
      </c>
      <c r="D2362" s="2"/>
      <c r="E2362" s="2"/>
      <c r="F2362" s="2"/>
      <c r="G2362" s="2"/>
      <c r="H2362" s="2"/>
      <c r="I2362" s="5"/>
    </row>
    <row r="2363" spans="1:9" ht="17.399999999999999" x14ac:dyDescent="0.25">
      <c r="A2363" s="16"/>
      <c r="B2363" s="17"/>
      <c r="C2363" s="2" t="b">
        <v>0</v>
      </c>
      <c r="D2363" s="2"/>
      <c r="E2363" s="2"/>
      <c r="F2363" s="2"/>
      <c r="G2363" s="2"/>
      <c r="H2363" s="2"/>
      <c r="I2363" s="5"/>
    </row>
    <row r="2364" spans="1:9" ht="17.399999999999999" x14ac:dyDescent="0.25">
      <c r="A2364" s="16"/>
      <c r="B2364" s="17"/>
      <c r="C2364" s="2" t="b">
        <v>0</v>
      </c>
      <c r="D2364" s="2"/>
      <c r="E2364" s="2"/>
      <c r="F2364" s="2"/>
      <c r="G2364" s="2"/>
      <c r="H2364" s="2"/>
      <c r="I2364" s="5"/>
    </row>
    <row r="2365" spans="1:9" ht="17.399999999999999" x14ac:dyDescent="0.25">
      <c r="A2365" s="16"/>
      <c r="B2365" s="17"/>
      <c r="C2365" s="2" t="b">
        <v>0</v>
      </c>
      <c r="D2365" s="2"/>
      <c r="E2365" s="2"/>
      <c r="F2365" s="2"/>
      <c r="G2365" s="2"/>
      <c r="H2365" s="2"/>
      <c r="I2365" s="5"/>
    </row>
    <row r="2366" spans="1:9" ht="17.399999999999999" x14ac:dyDescent="0.25">
      <c r="A2366" s="16"/>
      <c r="B2366" s="17"/>
      <c r="C2366" s="2" t="b">
        <v>0</v>
      </c>
      <c r="D2366" s="2"/>
      <c r="E2366" s="2"/>
      <c r="F2366" s="2"/>
      <c r="G2366" s="2"/>
      <c r="H2366" s="2"/>
      <c r="I2366" s="5"/>
    </row>
    <row r="2367" spans="1:9" ht="17.399999999999999" x14ac:dyDescent="0.25">
      <c r="A2367" s="16"/>
      <c r="B2367" s="17"/>
      <c r="C2367" s="2" t="b">
        <v>0</v>
      </c>
      <c r="D2367" s="2"/>
      <c r="E2367" s="2"/>
      <c r="F2367" s="2"/>
      <c r="G2367" s="2"/>
      <c r="H2367" s="2"/>
      <c r="I2367" s="5"/>
    </row>
    <row r="2368" spans="1:9" ht="17.399999999999999" x14ac:dyDescent="0.25">
      <c r="A2368" s="16"/>
      <c r="B2368" s="17"/>
      <c r="C2368" s="2" t="b">
        <v>0</v>
      </c>
      <c r="D2368" s="2"/>
      <c r="E2368" s="2"/>
      <c r="F2368" s="2"/>
      <c r="G2368" s="2"/>
      <c r="H2368" s="2"/>
      <c r="I2368" s="5"/>
    </row>
    <row r="2369" spans="1:9" ht="17.399999999999999" x14ac:dyDescent="0.25">
      <c r="A2369" s="16"/>
      <c r="B2369" s="17"/>
      <c r="C2369" s="2" t="b">
        <v>0</v>
      </c>
      <c r="D2369" s="2"/>
      <c r="E2369" s="2"/>
      <c r="F2369" s="2"/>
      <c r="G2369" s="2"/>
      <c r="H2369" s="2"/>
      <c r="I2369" s="5"/>
    </row>
    <row r="2370" spans="1:9" ht="17.399999999999999" x14ac:dyDescent="0.25">
      <c r="A2370" s="16"/>
      <c r="B2370" s="17"/>
      <c r="C2370" s="2" t="b">
        <v>0</v>
      </c>
      <c r="D2370" s="2"/>
      <c r="E2370" s="2"/>
      <c r="F2370" s="2"/>
      <c r="G2370" s="2"/>
      <c r="H2370" s="2"/>
      <c r="I2370" s="5"/>
    </row>
    <row r="2371" spans="1:9" ht="17.399999999999999" x14ac:dyDescent="0.25">
      <c r="A2371" s="16"/>
      <c r="B2371" s="17"/>
      <c r="C2371" s="2" t="b">
        <v>0</v>
      </c>
      <c r="D2371" s="2"/>
      <c r="E2371" s="2"/>
      <c r="F2371" s="2"/>
      <c r="G2371" s="2"/>
      <c r="H2371" s="2"/>
      <c r="I2371" s="5"/>
    </row>
    <row r="2372" spans="1:9" ht="17.399999999999999" x14ac:dyDescent="0.25">
      <c r="A2372" s="16"/>
      <c r="B2372" s="17"/>
      <c r="C2372" s="2" t="b">
        <v>0</v>
      </c>
      <c r="D2372" s="2"/>
      <c r="E2372" s="2"/>
      <c r="F2372" s="2"/>
      <c r="G2372" s="2"/>
      <c r="H2372" s="2"/>
      <c r="I2372" s="5"/>
    </row>
    <row r="2373" spans="1:9" ht="17.399999999999999" x14ac:dyDescent="0.25">
      <c r="A2373" s="16"/>
      <c r="B2373" s="17"/>
      <c r="C2373" s="2" t="b">
        <v>0</v>
      </c>
      <c r="D2373" s="2"/>
      <c r="E2373" s="2"/>
      <c r="F2373" s="2"/>
      <c r="G2373" s="2"/>
      <c r="H2373" s="2"/>
      <c r="I2373" s="5"/>
    </row>
    <row r="2374" spans="1:9" ht="17.399999999999999" x14ac:dyDescent="0.25">
      <c r="A2374" s="16"/>
      <c r="B2374" s="17"/>
      <c r="C2374" s="2" t="b">
        <v>0</v>
      </c>
      <c r="D2374" s="2"/>
      <c r="E2374" s="2"/>
      <c r="F2374" s="2"/>
      <c r="G2374" s="2"/>
      <c r="H2374" s="2"/>
      <c r="I2374" s="5"/>
    </row>
    <row r="2375" spans="1:9" ht="17.399999999999999" x14ac:dyDescent="0.25">
      <c r="A2375" s="16"/>
      <c r="B2375" s="17"/>
      <c r="C2375" s="2" t="b">
        <v>0</v>
      </c>
      <c r="D2375" s="2"/>
      <c r="E2375" s="2"/>
      <c r="F2375" s="2"/>
      <c r="G2375" s="2"/>
      <c r="H2375" s="2"/>
      <c r="I2375" s="5"/>
    </row>
    <row r="2376" spans="1:9" ht="17.399999999999999" x14ac:dyDescent="0.25">
      <c r="A2376" s="16"/>
      <c r="B2376" s="17"/>
      <c r="C2376" s="2" t="b">
        <v>0</v>
      </c>
      <c r="D2376" s="2"/>
      <c r="E2376" s="2"/>
      <c r="F2376" s="2"/>
      <c r="G2376" s="2"/>
      <c r="H2376" s="2"/>
      <c r="I2376" s="5"/>
    </row>
    <row r="2377" spans="1:9" ht="17.399999999999999" x14ac:dyDescent="0.25">
      <c r="A2377" s="16"/>
      <c r="B2377" s="17"/>
      <c r="C2377" s="2" t="b">
        <v>0</v>
      </c>
      <c r="D2377" s="2"/>
      <c r="E2377" s="2"/>
      <c r="F2377" s="2"/>
      <c r="G2377" s="2"/>
      <c r="H2377" s="2"/>
      <c r="I2377" s="5"/>
    </row>
    <row r="2378" spans="1:9" ht="17.399999999999999" x14ac:dyDescent="0.25">
      <c r="A2378" s="16"/>
      <c r="B2378" s="17"/>
      <c r="C2378" s="2" t="b">
        <v>0</v>
      </c>
      <c r="D2378" s="2"/>
      <c r="E2378" s="2"/>
      <c r="F2378" s="2"/>
      <c r="G2378" s="2"/>
      <c r="H2378" s="2"/>
      <c r="I2378" s="5"/>
    </row>
    <row r="2379" spans="1:9" ht="17.399999999999999" x14ac:dyDescent="0.25">
      <c r="A2379" s="16"/>
      <c r="B2379" s="17"/>
      <c r="C2379" s="2" t="b">
        <v>0</v>
      </c>
      <c r="D2379" s="2"/>
      <c r="E2379" s="2"/>
      <c r="F2379" s="2"/>
      <c r="G2379" s="2"/>
      <c r="H2379" s="2"/>
      <c r="I2379" s="5"/>
    </row>
    <row r="2380" spans="1:9" ht="17.399999999999999" x14ac:dyDescent="0.25">
      <c r="A2380" s="16"/>
      <c r="B2380" s="17"/>
      <c r="C2380" s="2" t="b">
        <v>0</v>
      </c>
      <c r="D2380" s="2"/>
      <c r="E2380" s="2"/>
      <c r="F2380" s="2"/>
      <c r="G2380" s="2"/>
      <c r="H2380" s="2"/>
      <c r="I2380" s="5"/>
    </row>
    <row r="2381" spans="1:9" ht="17.399999999999999" x14ac:dyDescent="0.25">
      <c r="A2381" s="16"/>
      <c r="B2381" s="17"/>
      <c r="C2381" s="2" t="b">
        <v>0</v>
      </c>
      <c r="D2381" s="2"/>
      <c r="E2381" s="2"/>
      <c r="F2381" s="2"/>
      <c r="G2381" s="2"/>
      <c r="H2381" s="2"/>
      <c r="I2381" s="5"/>
    </row>
    <row r="2382" spans="1:9" ht="17.399999999999999" x14ac:dyDescent="0.25">
      <c r="A2382" s="16"/>
      <c r="B2382" s="17"/>
      <c r="C2382" s="2" t="b">
        <v>0</v>
      </c>
      <c r="D2382" s="2"/>
      <c r="E2382" s="2"/>
      <c r="F2382" s="2"/>
      <c r="G2382" s="2"/>
      <c r="H2382" s="2"/>
      <c r="I2382" s="5"/>
    </row>
    <row r="2383" spans="1:9" ht="17.399999999999999" x14ac:dyDescent="0.25">
      <c r="A2383" s="16"/>
      <c r="B2383" s="17"/>
      <c r="C2383" s="2" t="b">
        <v>0</v>
      </c>
      <c r="D2383" s="2"/>
      <c r="E2383" s="2"/>
      <c r="F2383" s="2"/>
      <c r="G2383" s="2"/>
      <c r="H2383" s="2"/>
      <c r="I2383" s="5"/>
    </row>
    <row r="2384" spans="1:9" ht="17.399999999999999" x14ac:dyDescent="0.25">
      <c r="A2384" s="16"/>
      <c r="B2384" s="17"/>
      <c r="C2384" s="2" t="b">
        <v>0</v>
      </c>
      <c r="D2384" s="2"/>
      <c r="E2384" s="2"/>
      <c r="F2384" s="2"/>
      <c r="G2384" s="2"/>
      <c r="H2384" s="2"/>
      <c r="I2384" s="5"/>
    </row>
    <row r="2385" spans="1:9" ht="17.399999999999999" x14ac:dyDescent="0.25">
      <c r="A2385" s="16"/>
      <c r="B2385" s="17"/>
      <c r="C2385" s="2" t="b">
        <v>0</v>
      </c>
      <c r="D2385" s="2"/>
      <c r="E2385" s="2"/>
      <c r="F2385" s="2"/>
      <c r="G2385" s="2"/>
      <c r="H2385" s="2"/>
      <c r="I2385" s="5"/>
    </row>
    <row r="2386" spans="1:9" ht="17.399999999999999" x14ac:dyDescent="0.25">
      <c r="A2386" s="16"/>
      <c r="B2386" s="17"/>
      <c r="C2386" s="2" t="b">
        <v>0</v>
      </c>
      <c r="D2386" s="2"/>
      <c r="E2386" s="2"/>
      <c r="F2386" s="2"/>
      <c r="G2386" s="2"/>
      <c r="H2386" s="2"/>
      <c r="I2386" s="5"/>
    </row>
    <row r="2387" spans="1:9" ht="17.399999999999999" x14ac:dyDescent="0.25">
      <c r="A2387" s="16"/>
      <c r="B2387" s="17"/>
      <c r="C2387" s="2" t="b">
        <v>0</v>
      </c>
      <c r="D2387" s="2"/>
      <c r="E2387" s="2"/>
      <c r="F2387" s="2"/>
      <c r="G2387" s="2"/>
      <c r="H2387" s="2"/>
      <c r="I2387" s="5"/>
    </row>
    <row r="2388" spans="1:9" ht="17.399999999999999" x14ac:dyDescent="0.25">
      <c r="A2388" s="16"/>
      <c r="B2388" s="17"/>
      <c r="C2388" s="2" t="b">
        <v>0</v>
      </c>
      <c r="D2388" s="2"/>
      <c r="E2388" s="2"/>
      <c r="F2388" s="2"/>
      <c r="G2388" s="2"/>
      <c r="H2388" s="2"/>
      <c r="I2388" s="5"/>
    </row>
    <row r="2389" spans="1:9" ht="17.399999999999999" x14ac:dyDescent="0.25">
      <c r="A2389" s="16"/>
      <c r="B2389" s="17"/>
      <c r="C2389" s="2" t="b">
        <v>0</v>
      </c>
      <c r="D2389" s="2"/>
      <c r="E2389" s="2"/>
      <c r="F2389" s="2"/>
      <c r="G2389" s="2"/>
      <c r="H2389" s="2"/>
      <c r="I2389" s="5"/>
    </row>
    <row r="2390" spans="1:9" ht="17.399999999999999" x14ac:dyDescent="0.25">
      <c r="A2390" s="16"/>
      <c r="B2390" s="17"/>
      <c r="C2390" s="2" t="b">
        <v>0</v>
      </c>
      <c r="D2390" s="2"/>
      <c r="E2390" s="2"/>
      <c r="F2390" s="2"/>
      <c r="G2390" s="2"/>
      <c r="H2390" s="2"/>
      <c r="I2390" s="5"/>
    </row>
    <row r="2391" spans="1:9" ht="17.399999999999999" x14ac:dyDescent="0.25">
      <c r="A2391" s="16"/>
      <c r="B2391" s="17"/>
      <c r="C2391" s="2" t="b">
        <v>0</v>
      </c>
      <c r="D2391" s="2"/>
      <c r="E2391" s="2"/>
      <c r="F2391" s="2"/>
      <c r="G2391" s="2"/>
      <c r="H2391" s="2"/>
      <c r="I2391" s="5"/>
    </row>
    <row r="2392" spans="1:9" ht="17.399999999999999" x14ac:dyDescent="0.25">
      <c r="A2392" s="16"/>
      <c r="B2392" s="17"/>
      <c r="C2392" s="2" t="b">
        <v>0</v>
      </c>
      <c r="D2392" s="2"/>
      <c r="E2392" s="2"/>
      <c r="F2392" s="2"/>
      <c r="G2392" s="2"/>
      <c r="H2392" s="2"/>
      <c r="I2392" s="5"/>
    </row>
    <row r="2393" spans="1:9" ht="17.399999999999999" x14ac:dyDescent="0.25">
      <c r="A2393" s="16"/>
      <c r="B2393" s="17"/>
      <c r="C2393" s="2" t="b">
        <v>0</v>
      </c>
      <c r="D2393" s="2"/>
      <c r="E2393" s="2"/>
      <c r="F2393" s="2"/>
      <c r="G2393" s="2"/>
      <c r="H2393" s="2"/>
      <c r="I2393" s="5"/>
    </row>
    <row r="2394" spans="1:9" ht="17.399999999999999" x14ac:dyDescent="0.25">
      <c r="A2394" s="16"/>
      <c r="B2394" s="17"/>
      <c r="C2394" s="2" t="b">
        <v>0</v>
      </c>
      <c r="D2394" s="2"/>
      <c r="E2394" s="2"/>
      <c r="F2394" s="2"/>
      <c r="G2394" s="2"/>
      <c r="H2394" s="2"/>
      <c r="I2394" s="5"/>
    </row>
    <row r="2395" spans="1:9" ht="17.399999999999999" x14ac:dyDescent="0.25">
      <c r="A2395" s="16"/>
      <c r="B2395" s="17"/>
      <c r="C2395" s="2" t="b">
        <v>0</v>
      </c>
      <c r="D2395" s="2"/>
      <c r="E2395" s="2"/>
      <c r="F2395" s="2"/>
      <c r="G2395" s="2"/>
      <c r="H2395" s="2"/>
      <c r="I2395" s="5"/>
    </row>
    <row r="2396" spans="1:9" ht="17.399999999999999" x14ac:dyDescent="0.25">
      <c r="A2396" s="16"/>
      <c r="B2396" s="17"/>
      <c r="C2396" s="2" t="b">
        <v>0</v>
      </c>
      <c r="D2396" s="2"/>
      <c r="E2396" s="2"/>
      <c r="F2396" s="2"/>
      <c r="G2396" s="2"/>
      <c r="H2396" s="2"/>
      <c r="I2396" s="5"/>
    </row>
    <row r="2397" spans="1:9" ht="17.399999999999999" x14ac:dyDescent="0.25">
      <c r="A2397" s="16"/>
      <c r="B2397" s="17"/>
      <c r="C2397" s="2" t="b">
        <v>0</v>
      </c>
      <c r="D2397" s="2"/>
      <c r="E2397" s="2"/>
      <c r="F2397" s="2"/>
      <c r="G2397" s="2"/>
      <c r="H2397" s="2"/>
      <c r="I2397" s="5"/>
    </row>
    <row r="2398" spans="1:9" ht="17.399999999999999" x14ac:dyDescent="0.25">
      <c r="A2398" s="16"/>
      <c r="B2398" s="17"/>
      <c r="C2398" s="2" t="b">
        <v>0</v>
      </c>
      <c r="D2398" s="2"/>
      <c r="E2398" s="2"/>
      <c r="F2398" s="2"/>
      <c r="G2398" s="2"/>
      <c r="H2398" s="2"/>
      <c r="I2398" s="5"/>
    </row>
    <row r="2399" spans="1:9" ht="17.399999999999999" x14ac:dyDescent="0.25">
      <c r="A2399" s="16"/>
      <c r="B2399" s="17"/>
      <c r="C2399" s="2" t="b">
        <v>0</v>
      </c>
      <c r="D2399" s="2"/>
      <c r="E2399" s="2"/>
      <c r="F2399" s="2"/>
      <c r="G2399" s="2"/>
      <c r="H2399" s="2"/>
      <c r="I2399" s="5"/>
    </row>
    <row r="2400" spans="1:9" ht="17.399999999999999" x14ac:dyDescent="0.25">
      <c r="A2400" s="16"/>
      <c r="B2400" s="17"/>
      <c r="C2400" s="2" t="b">
        <v>0</v>
      </c>
      <c r="D2400" s="2"/>
      <c r="E2400" s="2"/>
      <c r="F2400" s="2"/>
      <c r="G2400" s="2"/>
      <c r="H2400" s="2"/>
      <c r="I2400" s="5"/>
    </row>
    <row r="2401" spans="1:9" ht="17.399999999999999" x14ac:dyDescent="0.25">
      <c r="A2401" s="16"/>
      <c r="B2401" s="17"/>
      <c r="C2401" s="2" t="b">
        <v>0</v>
      </c>
      <c r="D2401" s="2"/>
      <c r="E2401" s="2"/>
      <c r="F2401" s="2"/>
      <c r="G2401" s="2"/>
      <c r="H2401" s="2"/>
      <c r="I2401" s="5"/>
    </row>
    <row r="2402" spans="1:9" ht="17.399999999999999" x14ac:dyDescent="0.25">
      <c r="A2402" s="16"/>
      <c r="B2402" s="17"/>
      <c r="C2402" s="2" t="b">
        <v>0</v>
      </c>
      <c r="D2402" s="2"/>
      <c r="E2402" s="2"/>
      <c r="F2402" s="2"/>
      <c r="G2402" s="2"/>
      <c r="H2402" s="2"/>
      <c r="I2402" s="5"/>
    </row>
    <row r="2403" spans="1:9" ht="17.399999999999999" x14ac:dyDescent="0.25">
      <c r="A2403" s="16"/>
      <c r="B2403" s="17"/>
      <c r="C2403" s="2" t="b">
        <v>0</v>
      </c>
      <c r="D2403" s="2"/>
      <c r="E2403" s="2"/>
      <c r="F2403" s="2"/>
      <c r="G2403" s="2"/>
      <c r="H2403" s="2"/>
      <c r="I2403" s="5"/>
    </row>
    <row r="2404" spans="1:9" ht="17.399999999999999" x14ac:dyDescent="0.25">
      <c r="A2404" s="16"/>
      <c r="B2404" s="17"/>
      <c r="C2404" s="2" t="b">
        <v>0</v>
      </c>
      <c r="D2404" s="2"/>
      <c r="E2404" s="2"/>
      <c r="F2404" s="2"/>
      <c r="G2404" s="2"/>
      <c r="H2404" s="2"/>
      <c r="I2404" s="5"/>
    </row>
    <row r="2405" spans="1:9" ht="17.399999999999999" x14ac:dyDescent="0.25">
      <c r="A2405" s="16"/>
      <c r="B2405" s="17"/>
      <c r="C2405" s="2" t="b">
        <v>0</v>
      </c>
      <c r="D2405" s="2"/>
      <c r="E2405" s="2"/>
      <c r="F2405" s="2"/>
      <c r="G2405" s="2"/>
      <c r="H2405" s="2"/>
      <c r="I2405" s="5"/>
    </row>
    <row r="2406" spans="1:9" ht="17.399999999999999" x14ac:dyDescent="0.25">
      <c r="A2406" s="16"/>
      <c r="B2406" s="17"/>
      <c r="C2406" s="2" t="b">
        <v>0</v>
      </c>
      <c r="D2406" s="2"/>
      <c r="E2406" s="2"/>
      <c r="F2406" s="2"/>
      <c r="G2406" s="2"/>
      <c r="H2406" s="2"/>
      <c r="I2406" s="5"/>
    </row>
    <row r="2407" spans="1:9" ht="17.399999999999999" x14ac:dyDescent="0.25">
      <c r="A2407" s="16"/>
      <c r="B2407" s="17"/>
      <c r="C2407" s="2" t="b">
        <v>0</v>
      </c>
      <c r="D2407" s="2"/>
      <c r="E2407" s="2"/>
      <c r="F2407" s="2"/>
      <c r="G2407" s="2"/>
      <c r="H2407" s="2"/>
      <c r="I2407" s="5"/>
    </row>
    <row r="2408" spans="1:9" ht="17.399999999999999" x14ac:dyDescent="0.25">
      <c r="A2408" s="16"/>
      <c r="B2408" s="17"/>
      <c r="C2408" s="2" t="b">
        <v>0</v>
      </c>
      <c r="D2408" s="2"/>
      <c r="E2408" s="2"/>
      <c r="F2408" s="2"/>
      <c r="G2408" s="2"/>
      <c r="H2408" s="2"/>
      <c r="I2408" s="5"/>
    </row>
    <row r="2409" spans="1:9" ht="17.399999999999999" x14ac:dyDescent="0.25">
      <c r="A2409" s="16"/>
      <c r="B2409" s="17"/>
      <c r="C2409" s="2" t="b">
        <v>0</v>
      </c>
      <c r="D2409" s="2"/>
      <c r="E2409" s="2"/>
      <c r="F2409" s="2"/>
      <c r="G2409" s="2"/>
      <c r="H2409" s="2"/>
      <c r="I2409" s="5"/>
    </row>
    <row r="2410" spans="1:9" ht="17.399999999999999" x14ac:dyDescent="0.25">
      <c r="A2410" s="16"/>
      <c r="B2410" s="17"/>
      <c r="C2410" s="2" t="b">
        <v>0</v>
      </c>
      <c r="D2410" s="2"/>
      <c r="E2410" s="2"/>
      <c r="F2410" s="2"/>
      <c r="G2410" s="2"/>
      <c r="H2410" s="2"/>
      <c r="I2410" s="5"/>
    </row>
    <row r="2411" spans="1:9" ht="17.399999999999999" x14ac:dyDescent="0.25">
      <c r="A2411" s="16"/>
      <c r="B2411" s="17"/>
      <c r="C2411" s="2" t="b">
        <v>0</v>
      </c>
      <c r="D2411" s="2"/>
      <c r="E2411" s="2"/>
      <c r="F2411" s="2"/>
      <c r="G2411" s="2"/>
      <c r="H2411" s="2"/>
      <c r="I2411" s="5"/>
    </row>
    <row r="2412" spans="1:9" ht="17.399999999999999" x14ac:dyDescent="0.25">
      <c r="A2412" s="16"/>
      <c r="B2412" s="17"/>
      <c r="C2412" s="2" t="b">
        <v>0</v>
      </c>
      <c r="D2412" s="2"/>
      <c r="E2412" s="2"/>
      <c r="F2412" s="2"/>
      <c r="G2412" s="2"/>
      <c r="H2412" s="2"/>
      <c r="I2412" s="5"/>
    </row>
    <row r="2413" spans="1:9" ht="17.399999999999999" x14ac:dyDescent="0.25">
      <c r="A2413" s="16"/>
      <c r="B2413" s="17"/>
      <c r="C2413" s="2" t="b">
        <v>0</v>
      </c>
      <c r="D2413" s="2"/>
      <c r="E2413" s="2"/>
      <c r="F2413" s="2"/>
      <c r="G2413" s="2"/>
      <c r="H2413" s="2"/>
      <c r="I2413" s="5"/>
    </row>
    <row r="2414" spans="1:9" ht="17.399999999999999" x14ac:dyDescent="0.25">
      <c r="A2414" s="16"/>
      <c r="B2414" s="17"/>
      <c r="C2414" s="2" t="b">
        <v>0</v>
      </c>
      <c r="D2414" s="2"/>
      <c r="E2414" s="2"/>
      <c r="F2414" s="2"/>
      <c r="G2414" s="2"/>
      <c r="H2414" s="2"/>
      <c r="I2414" s="5"/>
    </row>
    <row r="2415" spans="1:9" ht="17.399999999999999" x14ac:dyDescent="0.25">
      <c r="A2415" s="16"/>
      <c r="B2415" s="17"/>
      <c r="C2415" s="2" t="b">
        <v>0</v>
      </c>
      <c r="D2415" s="2"/>
      <c r="E2415" s="2"/>
      <c r="F2415" s="2"/>
      <c r="G2415" s="2"/>
      <c r="H2415" s="2"/>
      <c r="I2415" s="5"/>
    </row>
    <row r="2416" spans="1:9" ht="17.399999999999999" x14ac:dyDescent="0.25">
      <c r="A2416" s="16"/>
      <c r="B2416" s="17"/>
      <c r="C2416" s="2" t="b">
        <v>0</v>
      </c>
      <c r="D2416" s="2"/>
      <c r="E2416" s="2"/>
      <c r="F2416" s="2"/>
      <c r="G2416" s="2"/>
      <c r="H2416" s="2"/>
      <c r="I2416" s="5"/>
    </row>
    <row r="2417" spans="1:9" ht="17.399999999999999" x14ac:dyDescent="0.25">
      <c r="A2417" s="16"/>
      <c r="B2417" s="17"/>
      <c r="C2417" s="2" t="b">
        <v>0</v>
      </c>
      <c r="D2417" s="2"/>
      <c r="E2417" s="2"/>
      <c r="F2417" s="2"/>
      <c r="G2417" s="2"/>
      <c r="H2417" s="2"/>
      <c r="I2417" s="5"/>
    </row>
    <row r="2418" spans="1:9" ht="17.399999999999999" x14ac:dyDescent="0.25">
      <c r="A2418" s="16"/>
      <c r="B2418" s="17"/>
      <c r="C2418" s="2" t="b">
        <v>0</v>
      </c>
      <c r="D2418" s="2"/>
      <c r="E2418" s="2"/>
      <c r="F2418" s="2"/>
      <c r="G2418" s="2"/>
      <c r="H2418" s="2"/>
      <c r="I2418" s="5"/>
    </row>
    <row r="2419" spans="1:9" ht="17.399999999999999" x14ac:dyDescent="0.25">
      <c r="A2419" s="16"/>
      <c r="B2419" s="17"/>
      <c r="C2419" s="2" t="b">
        <v>0</v>
      </c>
      <c r="D2419" s="2"/>
      <c r="E2419" s="2"/>
      <c r="F2419" s="2"/>
      <c r="G2419" s="2"/>
      <c r="H2419" s="2"/>
      <c r="I2419" s="5"/>
    </row>
    <row r="2420" spans="1:9" ht="17.399999999999999" x14ac:dyDescent="0.25">
      <c r="A2420" s="16"/>
      <c r="B2420" s="17"/>
      <c r="C2420" s="2" t="b">
        <v>0</v>
      </c>
      <c r="D2420" s="2"/>
      <c r="E2420" s="2"/>
      <c r="F2420" s="2"/>
      <c r="G2420" s="2"/>
      <c r="H2420" s="2"/>
      <c r="I2420" s="5"/>
    </row>
    <row r="2421" spans="1:9" ht="17.399999999999999" x14ac:dyDescent="0.25">
      <c r="A2421" s="16"/>
      <c r="B2421" s="17"/>
      <c r="C2421" s="2" t="b">
        <v>0</v>
      </c>
      <c r="D2421" s="2"/>
      <c r="E2421" s="2"/>
      <c r="F2421" s="2"/>
      <c r="G2421" s="2"/>
      <c r="H2421" s="2"/>
      <c r="I2421" s="5"/>
    </row>
    <row r="2422" spans="1:9" ht="17.399999999999999" x14ac:dyDescent="0.25">
      <c r="A2422" s="16"/>
      <c r="B2422" s="17"/>
      <c r="C2422" s="2" t="b">
        <v>0</v>
      </c>
      <c r="D2422" s="2"/>
      <c r="E2422" s="2"/>
      <c r="F2422" s="2"/>
      <c r="G2422" s="2"/>
      <c r="H2422" s="2"/>
      <c r="I2422" s="5"/>
    </row>
    <row r="2423" spans="1:9" ht="17.399999999999999" x14ac:dyDescent="0.25">
      <c r="A2423" s="16"/>
      <c r="B2423" s="17"/>
      <c r="C2423" s="2" t="b">
        <v>0</v>
      </c>
      <c r="D2423" s="2"/>
      <c r="E2423" s="2"/>
      <c r="F2423" s="2"/>
      <c r="G2423" s="2"/>
      <c r="H2423" s="2"/>
      <c r="I2423" s="5"/>
    </row>
    <row r="2424" spans="1:9" ht="17.399999999999999" x14ac:dyDescent="0.25">
      <c r="A2424" s="16"/>
      <c r="B2424" s="17"/>
      <c r="C2424" s="2" t="b">
        <v>0</v>
      </c>
      <c r="D2424" s="2"/>
      <c r="E2424" s="2"/>
      <c r="F2424" s="2"/>
      <c r="G2424" s="2"/>
      <c r="H2424" s="2"/>
      <c r="I2424" s="5"/>
    </row>
    <row r="2425" spans="1:9" ht="17.399999999999999" x14ac:dyDescent="0.25">
      <c r="A2425" s="16"/>
      <c r="B2425" s="17"/>
      <c r="C2425" s="2" t="b">
        <v>0</v>
      </c>
      <c r="D2425" s="2"/>
      <c r="E2425" s="2"/>
      <c r="F2425" s="2"/>
      <c r="G2425" s="2"/>
      <c r="H2425" s="2"/>
      <c r="I2425" s="5"/>
    </row>
    <row r="2426" spans="1:9" ht="17.399999999999999" x14ac:dyDescent="0.25">
      <c r="A2426" s="16"/>
      <c r="B2426" s="17"/>
      <c r="C2426" s="2" t="b">
        <v>0</v>
      </c>
      <c r="D2426" s="2"/>
      <c r="E2426" s="2"/>
      <c r="F2426" s="2"/>
      <c r="G2426" s="2"/>
      <c r="H2426" s="2"/>
      <c r="I2426" s="5"/>
    </row>
    <row r="2427" spans="1:9" ht="17.399999999999999" x14ac:dyDescent="0.25">
      <c r="A2427" s="16"/>
      <c r="B2427" s="17"/>
      <c r="C2427" s="2" t="b">
        <v>0</v>
      </c>
      <c r="D2427" s="2"/>
      <c r="E2427" s="2"/>
      <c r="F2427" s="2"/>
      <c r="G2427" s="2"/>
      <c r="H2427" s="2"/>
      <c r="I2427" s="5"/>
    </row>
    <row r="2428" spans="1:9" ht="17.399999999999999" x14ac:dyDescent="0.25">
      <c r="A2428" s="16"/>
      <c r="B2428" s="17"/>
      <c r="C2428" s="2" t="b">
        <v>0</v>
      </c>
      <c r="D2428" s="2"/>
      <c r="E2428" s="2"/>
      <c r="F2428" s="2"/>
      <c r="G2428" s="2"/>
      <c r="H2428" s="2"/>
      <c r="I2428" s="5"/>
    </row>
    <row r="2429" spans="1:9" ht="17.399999999999999" x14ac:dyDescent="0.25">
      <c r="A2429" s="16"/>
      <c r="B2429" s="17"/>
      <c r="C2429" s="2" t="b">
        <v>0</v>
      </c>
      <c r="D2429" s="2"/>
      <c r="E2429" s="2"/>
      <c r="F2429" s="2"/>
      <c r="G2429" s="2"/>
      <c r="H2429" s="2"/>
      <c r="I2429" s="5"/>
    </row>
    <row r="2430" spans="1:9" ht="17.399999999999999" x14ac:dyDescent="0.25">
      <c r="A2430" s="16"/>
      <c r="B2430" s="17"/>
      <c r="C2430" s="2" t="b">
        <v>0</v>
      </c>
      <c r="D2430" s="2"/>
      <c r="E2430" s="2"/>
      <c r="F2430" s="2"/>
      <c r="G2430" s="2"/>
      <c r="H2430" s="2"/>
      <c r="I2430" s="5"/>
    </row>
    <row r="2431" spans="1:9" ht="17.399999999999999" x14ac:dyDescent="0.25">
      <c r="A2431" s="16"/>
      <c r="B2431" s="17"/>
      <c r="C2431" s="2" t="b">
        <v>0</v>
      </c>
      <c r="D2431" s="2"/>
      <c r="E2431" s="2"/>
      <c r="F2431" s="2"/>
      <c r="G2431" s="2"/>
      <c r="H2431" s="2"/>
      <c r="I2431" s="5"/>
    </row>
    <row r="2432" spans="1:9" ht="17.399999999999999" x14ac:dyDescent="0.25">
      <c r="A2432" s="16"/>
      <c r="B2432" s="17"/>
      <c r="C2432" s="2" t="b">
        <v>0</v>
      </c>
      <c r="D2432" s="2"/>
      <c r="E2432" s="2"/>
      <c r="F2432" s="2"/>
      <c r="G2432" s="2"/>
      <c r="H2432" s="2"/>
      <c r="I2432" s="5"/>
    </row>
    <row r="2433" spans="1:9" ht="17.399999999999999" x14ac:dyDescent="0.25">
      <c r="A2433" s="16"/>
      <c r="B2433" s="17"/>
      <c r="C2433" s="2" t="b">
        <v>0</v>
      </c>
      <c r="D2433" s="2"/>
      <c r="E2433" s="2"/>
      <c r="F2433" s="2"/>
      <c r="G2433" s="2"/>
      <c r="H2433" s="2"/>
      <c r="I2433" s="5"/>
    </row>
    <row r="2434" spans="1:9" ht="17.399999999999999" x14ac:dyDescent="0.25">
      <c r="A2434" s="16"/>
      <c r="B2434" s="17"/>
      <c r="C2434" s="2" t="b">
        <v>0</v>
      </c>
      <c r="D2434" s="2"/>
      <c r="E2434" s="2"/>
      <c r="F2434" s="2"/>
      <c r="G2434" s="2"/>
      <c r="H2434" s="2"/>
      <c r="I2434" s="5"/>
    </row>
    <row r="2435" spans="1:9" ht="17.399999999999999" x14ac:dyDescent="0.25">
      <c r="A2435" s="16"/>
      <c r="B2435" s="17"/>
      <c r="C2435" s="2" t="b">
        <v>0</v>
      </c>
      <c r="D2435" s="2"/>
      <c r="E2435" s="2"/>
      <c r="F2435" s="2"/>
      <c r="G2435" s="2"/>
      <c r="H2435" s="2"/>
      <c r="I2435" s="5"/>
    </row>
    <row r="2436" spans="1:9" ht="17.399999999999999" x14ac:dyDescent="0.25">
      <c r="A2436" s="16"/>
      <c r="B2436" s="17"/>
      <c r="C2436" s="2" t="b">
        <v>0</v>
      </c>
      <c r="D2436" s="2"/>
      <c r="E2436" s="2"/>
      <c r="F2436" s="2"/>
      <c r="G2436" s="2"/>
      <c r="H2436" s="2"/>
      <c r="I2436" s="5"/>
    </row>
    <row r="2437" spans="1:9" ht="17.399999999999999" x14ac:dyDescent="0.25">
      <c r="A2437" s="16"/>
      <c r="B2437" s="17"/>
      <c r="C2437" s="2" t="b">
        <v>0</v>
      </c>
      <c r="D2437" s="2"/>
      <c r="E2437" s="2"/>
      <c r="F2437" s="2"/>
      <c r="G2437" s="2"/>
      <c r="H2437" s="2"/>
      <c r="I2437" s="5"/>
    </row>
    <row r="2438" spans="1:9" ht="17.399999999999999" x14ac:dyDescent="0.25">
      <c r="A2438" s="16"/>
      <c r="B2438" s="17"/>
      <c r="C2438" s="2" t="b">
        <v>0</v>
      </c>
      <c r="D2438" s="2"/>
      <c r="E2438" s="2"/>
      <c r="F2438" s="2"/>
      <c r="G2438" s="2"/>
      <c r="H2438" s="2"/>
      <c r="I2438" s="5"/>
    </row>
    <row r="2439" spans="1:9" ht="17.399999999999999" x14ac:dyDescent="0.25">
      <c r="A2439" s="16"/>
      <c r="B2439" s="17"/>
      <c r="C2439" s="2" t="b">
        <v>0</v>
      </c>
      <c r="D2439" s="2"/>
      <c r="E2439" s="2"/>
      <c r="F2439" s="2"/>
      <c r="G2439" s="2"/>
      <c r="H2439" s="2"/>
      <c r="I2439" s="5"/>
    </row>
    <row r="2440" spans="1:9" ht="17.399999999999999" x14ac:dyDescent="0.25">
      <c r="A2440" s="16"/>
      <c r="B2440" s="17"/>
      <c r="C2440" s="2" t="b">
        <v>0</v>
      </c>
      <c r="D2440" s="2"/>
      <c r="E2440" s="2"/>
      <c r="F2440" s="2"/>
      <c r="G2440" s="2"/>
      <c r="H2440" s="2"/>
      <c r="I2440" s="5"/>
    </row>
  </sheetData>
  <mergeCells count="2">
    <mergeCell ref="B2:H2"/>
    <mergeCell ref="B3:H3"/>
  </mergeCells>
  <conditionalFormatting sqref="A1:H2440">
    <cfRule type="cellIs" dxfId="25" priority="1" operator="equal">
      <formula>"Purchased Perks"</formula>
    </cfRule>
    <cfRule type="expression" dxfId="24" priority="2">
      <formula>IF($E1="Purchased Perks",TRUE,FALSE)</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ummaryRight="0"/>
  </sheetPr>
  <dimension ref="A1:XFD2440"/>
  <sheetViews>
    <sheetView workbookViewId="0">
      <pane ySplit="4" topLeftCell="A5" activePane="bottomLeft" state="frozen"/>
      <selection pane="bottomLeft" activeCell="B6" sqref="B6"/>
    </sheetView>
  </sheetViews>
  <sheetFormatPr defaultColWidth="12.6640625" defaultRowHeight="15.75" customHeight="1" x14ac:dyDescent="0.25"/>
  <cols>
    <col min="1" max="1" width="3.21875" customWidth="1"/>
    <col min="2" max="2" width="3.33203125" customWidth="1"/>
    <col min="3" max="3" width="10" customWidth="1"/>
    <col min="4" max="4" width="7.6640625" customWidth="1"/>
    <col min="5" max="5" width="20.88671875" customWidth="1"/>
    <col min="6" max="6" width="14.77734375" customWidth="1"/>
    <col min="7" max="7" width="19.44140625" customWidth="1"/>
    <col min="8" max="8" width="105.109375" customWidth="1"/>
    <col min="9" max="9" width="3.21875" customWidth="1"/>
    <col min="16384" max="16384" width="0" hidden="1" customWidth="1"/>
  </cols>
  <sheetData>
    <row r="1" spans="1:9 16384:16384" ht="18.75" hidden="1" customHeight="1" x14ac:dyDescent="0.25">
      <c r="A1" s="16"/>
      <c r="B1" s="16"/>
      <c r="C1" s="26"/>
      <c r="D1" s="26"/>
      <c r="E1" s="26"/>
      <c r="F1" s="26"/>
      <c r="G1" s="26"/>
      <c r="H1" s="26"/>
      <c r="I1" s="5"/>
      <c r="XFD1">
        <f ca="1">IF('Roll All'!$B$4="Roll!",RAND(),RAND())</f>
        <v>4.6536672102329701E-2</v>
      </c>
    </row>
    <row r="2" spans="1:9 16384:16384" ht="43.5" customHeight="1" x14ac:dyDescent="0.25">
      <c r="A2" s="16"/>
      <c r="B2" s="54" t="s">
        <v>53</v>
      </c>
      <c r="C2" s="40"/>
      <c r="D2" s="40"/>
      <c r="E2" s="40"/>
      <c r="F2" s="40"/>
      <c r="G2" s="40"/>
      <c r="H2" s="40"/>
      <c r="I2" s="5"/>
    </row>
    <row r="3" spans="1:9 16384:16384" ht="30" customHeight="1" x14ac:dyDescent="0.25">
      <c r="A3" s="16"/>
      <c r="B3" s="42" t="s">
        <v>5650</v>
      </c>
      <c r="C3" s="40"/>
      <c r="D3" s="40"/>
      <c r="E3" s="40"/>
      <c r="F3" s="40"/>
      <c r="G3" s="40"/>
      <c r="H3" s="40"/>
      <c r="I3" s="5"/>
    </row>
    <row r="4" spans="1:9 16384:16384" ht="34.799999999999997" x14ac:dyDescent="0.25">
      <c r="A4" s="16"/>
      <c r="B4" s="17">
        <f t="array" ref="B4:B210">ROW(B4:B2440)-4</f>
        <v>0</v>
      </c>
      <c r="C4" s="10" t="s">
        <v>50</v>
      </c>
      <c r="D4" s="10" t="s">
        <v>20</v>
      </c>
      <c r="E4" s="10" t="s">
        <v>21</v>
      </c>
      <c r="F4" s="10" t="s">
        <v>22</v>
      </c>
      <c r="G4" s="10" t="s">
        <v>23</v>
      </c>
      <c r="H4" s="10" t="s">
        <v>24</v>
      </c>
      <c r="I4" s="5"/>
    </row>
    <row r="5" spans="1:9 16384:16384" ht="174" x14ac:dyDescent="0.25">
      <c r="A5" s="16"/>
      <c r="B5" s="17">
        <v>1</v>
      </c>
      <c r="C5" s="3" t="b">
        <f ca="1">IFERROR(__xludf.DUMMYFUNCTION("sort(filter('Full Perk List'!B3:G1935,'Full Perk List'!F3:F1935=B2),1,1,2,1,3,1)"),FALSE)</f>
        <v>0</v>
      </c>
      <c r="D5" s="3">
        <f ca="1">IFERROR(__xludf.DUMMYFUNCTION("""COMPUTED_VALUE"""),0)</f>
        <v>0</v>
      </c>
      <c r="E5" s="3" t="str">
        <f ca="1">IFERROR(__xludf.DUMMYFUNCTION("""COMPUTED_VALUE"""),"Chi: The Basics")</f>
        <v>Chi: The Basics</v>
      </c>
      <c r="F5" s="3" t="str">
        <f ca="1">IFERROR(__xludf.DUMMYFUNCTION("""COMPUTED_VALUE"""),"Mind Control University")</f>
        <v>Mind Control University</v>
      </c>
      <c r="G5" s="3" t="str">
        <f ca="1">IFERROR(__xludf.DUMMYFUNCTION("""COMPUTED_VALUE"""),"Body &amp; Beauty")</f>
        <v>Body &amp; Beauty</v>
      </c>
      <c r="H5" s="3" t="str">
        <f ca="1">IFERROR(__xludf.DUMMYFUNCTION("""COMPUTED_VALUE"""),"When it comes to chi, effort and training are king. No matter how weak you begin, if you put in the work, there will be no heights beyond your reach. But just because being talented isn’t as important as working hard, it doesn’t mean that starting weaker "&amp;"than the norm isn’t a setback, especially in a place like MCU. 
Any physical disabilities you possess are done away with, your body is conditioned as if you got at least an hour of exercise every day, and you gain basic proficiency and average talent in "&amp;"manipulating chi, though you’ll still be a very long way from manipulating any chi but your own. You know a very basic, low-intensity kata to promote chi growth. With just this, you won’t be the best in the class, but your talent in the field of chi manip"&amp;"ulation will at least be average.")</f>
        <v>When it comes to chi, effort and training are king. No matter how weak you begin, if you put in the work, there will be no heights beyond your reach. But just because being talented isn’t as important as working hard, it doesn’t mean that starting weaker than the norm isn’t a setback, especially in a place like MCU. 
Any physical disabilities you possess are done away with, your body is conditioned as if you got at least an hour of exercise every day, and you gain basic proficiency and average talent in manipulating chi, though you’ll still be a very long way from manipulating any chi but your own. You know a very basic, low-intensity kata to promote chi growth. With just this, you won’t be the best in the class, but your talent in the field of chi manipulation will at least be average.</v>
      </c>
      <c r="I5" s="5"/>
    </row>
    <row r="6" spans="1:9 16384:16384" ht="261" x14ac:dyDescent="0.25">
      <c r="A6" s="16"/>
      <c r="B6" s="17">
        <v>2</v>
      </c>
      <c r="C6" s="4" t="b">
        <f ca="1">IFERROR(__xludf.DUMMYFUNCTION("""COMPUTED_VALUE"""),FALSE)</f>
        <v>0</v>
      </c>
      <c r="D6" s="4">
        <f ca="1">IFERROR(__xludf.DUMMYFUNCTION("""COMPUTED_VALUE"""),0)</f>
        <v>0</v>
      </c>
      <c r="E6" s="4" t="str">
        <f ca="1">IFERROR(__xludf.DUMMYFUNCTION("""COMPUTED_VALUE"""),"Corruptive Stretchiness")</f>
        <v>Corruptive Stretchiness</v>
      </c>
      <c r="F6" s="4" t="str">
        <f ca="1">IFERROR(__xludf.DUMMYFUNCTION("""COMPUTED_VALUE"""),"Corruption of Champions v1.1")</f>
        <v>Corruption of Champions v1.1</v>
      </c>
      <c r="G6" s="4" t="str">
        <f ca="1">IFERROR(__xludf.DUMMYFUNCTION("""COMPUTED_VALUE"""),"Body &amp; Beauty")</f>
        <v>Body &amp; Beauty</v>
      </c>
      <c r="H6" s="4" t="str">
        <f ca="1">IFERROR(__xludf.DUMMYFUNCTION("""COMPUTED_VALUE"""),"One of the earliest and, in this world, most ubiquitous signs of corruption is the sheer stretchiness of people’s bodies and ability to take insertions that shouldn’t be possible without serious harm. Getting your internals rearranged by two feet of minot"&amp;"aur might still hurt the first time, but it wouldn’t be dangerous to your health, despite what biology might’ve dictated before you set foot in Mareth.
Your body is more elastic in general now, able to distend to accommodate incredible sizes and then re"&amp;"cover (to a point; repeating this often enough can certainly leave your body looser and more accepting than before), your stomach able to round out from the sheer amount of cum supplied by the more productive people of this land. And it’s not just yoursel"&amp;"f, as your sexual partners experience the same thing if you take a more giving role during sex, allowing your own endowments to have a similar effect as your partners stretch around you instead of coming to any actual harm. Of course, there are still limi"&amp;"ts to this. Tiny fairies or small goblins aren’t going to be able to take dicks bigger than their entire bodies...at least not without working their way up to that with a lot of practice and effort.")</f>
        <v>One of the earliest and, in this world, most ubiquitous signs of corruption is the sheer stretchiness of people’s bodies and ability to take insertions that shouldn’t be possible without serious harm. Getting your internals rearranged by two feet of minotaur might still hurt the first time, but it wouldn’t be dangerous to your health, despite what biology might’ve dictated before you set foot in Mareth.
Your body is more elastic in general now, able to distend to accommodate incredible sizes and then recover (to a point; repeating this often enough can certainly leave your body looser and more accepting than before), your stomach able to round out from the sheer amount of cum supplied by the more productive people of this land. And it’s not just yourself, as your sexual partners experience the same thing if you take a more giving role during sex, allowing your own endowments to have a similar effect as your partners stretch around you instead of coming to any actual harm. Of course, there are still limits to this. Tiny fairies or small goblins aren’t going to be able to take dicks bigger than their entire bodies...at least not without working their way up to that with a lot of practice and effort.</v>
      </c>
      <c r="I6" s="5"/>
    </row>
    <row r="7" spans="1:9 16384:16384" ht="69.599999999999994" x14ac:dyDescent="0.25">
      <c r="A7" s="16"/>
      <c r="B7" s="17">
        <v>3</v>
      </c>
      <c r="C7" s="2" t="b">
        <f ca="1">IFERROR(__xludf.DUMMYFUNCTION("""COMPUTED_VALUE"""),FALSE)</f>
        <v>0</v>
      </c>
      <c r="D7" s="2">
        <f ca="1">IFERROR(__xludf.DUMMYFUNCTION("""COMPUTED_VALUE"""),0)</f>
        <v>0</v>
      </c>
      <c r="E7" s="2" t="str">
        <f ca="1">IFERROR(__xludf.DUMMYFUNCTION("""COMPUTED_VALUE"""),"Darling Face")</f>
        <v>Darling Face</v>
      </c>
      <c r="F7" s="2" t="str">
        <f ca="1">IFERROR(__xludf.DUMMYFUNCTION("""COMPUTED_VALUE"""),"Monster Musume no Iru Nichijou")</f>
        <v>Monster Musume no Iru Nichijou</v>
      </c>
      <c r="G7" s="2" t="str">
        <f ca="1">IFERROR(__xludf.DUMMYFUNCTION("""COMPUTED_VALUE"""),"Body &amp; Beauty")</f>
        <v>Body &amp; Beauty</v>
      </c>
      <c r="H7" s="2" t="str">
        <f ca="1">IFERROR(__xludf.DUMMYFUNCTION("""COMPUTED_VALUE"""),"You have a face for almost every situation. A face of overwhelming obliviousness as it would happen to be. You’ll rarely ever be called out for having the wrong expression at the wrong time unless that was your plan to begin with. Colorless spiral eyes ar"&amp;"e optional and no one will question them.")</f>
        <v>You have a face for almost every situation. A face of overwhelming obliviousness as it would happen to be. You’ll rarely ever be called out for having the wrong expression at the wrong time unless that was your plan to begin with. Colorless spiral eyes are optional and no one will question them.</v>
      </c>
      <c r="I7" s="5"/>
    </row>
    <row r="8" spans="1:9 16384:16384" ht="121.8" x14ac:dyDescent="0.25">
      <c r="A8" s="16"/>
      <c r="B8" s="17">
        <v>4</v>
      </c>
      <c r="C8" s="2" t="b">
        <f ca="1">IFERROR(__xludf.DUMMYFUNCTION("""COMPUTED_VALUE"""),FALSE)</f>
        <v>0</v>
      </c>
      <c r="D8" s="2">
        <f ca="1">IFERROR(__xludf.DUMMYFUNCTION("""COMPUTED_VALUE"""),0)</f>
        <v>0</v>
      </c>
      <c r="E8" s="2" t="str">
        <f ca="1">IFERROR(__xludf.DUMMYFUNCTION("""COMPUTED_VALUE"""),"Fairy-Blessed Clothes")</f>
        <v>Fairy-Blessed Clothes</v>
      </c>
      <c r="F8" s="2" t="str">
        <f ca="1">IFERROR(__xludf.DUMMYFUNCTION("""COMPUTED_VALUE"""),"Breathless Wild")</f>
        <v>Breathless Wild</v>
      </c>
      <c r="G8" s="2" t="str">
        <f ca="1">IFERROR(__xludf.DUMMYFUNCTION("""COMPUTED_VALUE"""),"Body &amp; Beauty")</f>
        <v>Body &amp; Beauty</v>
      </c>
      <c r="H8" s="2" t="str">
        <f ca="1">IFERROR(__xludf.DUMMYFUNCTION("""COMPUTED_VALUE"""),"You’re probably about to spend a lot of time getting your clothes torn off of you but this outfit is blessed by a great fairy and made tough enough to handle all of the abuse that Hyrule can throw at it and then some. The fairy’s blessing makes this outfi"&amp;"t extremely durable against battle damage and all sorts of misfortunes that might befall you. Simply rinsing the outfit in water can clean it of the toughest stains, and if it gets torn apart it will mend itself automatically. It even carries the added be"&amp;"nefit of accentuating your best features and highlighting your sex appeal, like a good set of lingerie, making you seem even sexier than you would normally be while wearing it.")</f>
        <v>You’re probably about to spend a lot of time getting your clothes torn off of you but this outfit is blessed by a great fairy and made tough enough to handle all of the abuse that Hyrule can throw at it and then some. The fairy’s blessing makes this outfit extremely durable against battle damage and all sorts of misfortunes that might befall you. Simply rinsing the outfit in water can clean it of the toughest stains, and if it gets torn apart it will mend itself automatically. It even carries the added benefit of accentuating your best features and highlighting your sex appeal, like a good set of lingerie, making you seem even sexier than you would normally be while wearing it.</v>
      </c>
      <c r="I8" s="5"/>
    </row>
    <row r="9" spans="1:9 16384:16384" ht="69.599999999999994" x14ac:dyDescent="0.25">
      <c r="A9" s="16"/>
      <c r="B9" s="17">
        <v>5</v>
      </c>
      <c r="C9" s="2" t="b">
        <f ca="1">IFERROR(__xludf.DUMMYFUNCTION("""COMPUTED_VALUE"""),FALSE)</f>
        <v>0</v>
      </c>
      <c r="D9" s="2">
        <f ca="1">IFERROR(__xludf.DUMMYFUNCTION("""COMPUTED_VALUE"""),0)</f>
        <v>0</v>
      </c>
      <c r="E9" s="2" t="str">
        <f ca="1">IFERROR(__xludf.DUMMYFUNCTION("""COMPUTED_VALUE"""),"Lewd Wrestling Outfit")</f>
        <v>Lewd Wrestling Outfit</v>
      </c>
      <c r="F9" s="2" t="str">
        <f ca="1">IFERROR(__xludf.DUMMYFUNCTION("""COMPUTED_VALUE"""),"Gensoukyou Futanari Chinpo Wrestling")</f>
        <v>Gensoukyou Futanari Chinpo Wrestling</v>
      </c>
      <c r="G9" s="2" t="str">
        <f ca="1">IFERROR(__xludf.DUMMYFUNCTION("""COMPUTED_VALUE"""),"Body &amp; Beauty")</f>
        <v>Body &amp; Beauty</v>
      </c>
      <c r="H9" s="2" t="str">
        <f ca="1">IFERROR(__xludf.DUMMYFUNCTION("""COMPUTED_VALUE"""),"Most contestants wear custom outfits specialized for ease of movement and stoking their opponent’s libido. Now you have one too! The exact appearance of the outfit is up to you, but I’m sure it’ll drive your opponent (and the crowd) utterly wild.")</f>
        <v>Most contestants wear custom outfits specialized for ease of movement and stoking their opponent’s libido. Now you have one too! The exact appearance of the outfit is up to you, but I’m sure it’ll drive your opponent (and the crowd) utterly wild.</v>
      </c>
      <c r="I9" s="5"/>
    </row>
    <row r="10" spans="1:9 16384:16384" ht="226.2" x14ac:dyDescent="0.25">
      <c r="A10" s="16"/>
      <c r="B10" s="17">
        <v>6</v>
      </c>
      <c r="C10" s="2" t="b">
        <f ca="1">IFERROR(__xludf.DUMMYFUNCTION("""COMPUTED_VALUE"""),FALSE)</f>
        <v>0</v>
      </c>
      <c r="D10" s="2">
        <f ca="1">IFERROR(__xludf.DUMMYFUNCTION("""COMPUTED_VALUE"""),50)</f>
        <v>50</v>
      </c>
      <c r="E10" s="2" t="str">
        <f ca="1">IFERROR(__xludf.DUMMYFUNCTION("""COMPUTED_VALUE"""),"Chrome Curves")</f>
        <v>Chrome Curves</v>
      </c>
      <c r="F10" s="2" t="str">
        <f ca="1">IFERROR(__xludf.DUMMYFUNCTION("""COMPUTED_VALUE"""),"World of Cybersluts")</f>
        <v>World of Cybersluts</v>
      </c>
      <c r="G10" s="2" t="str">
        <f ca="1">IFERROR(__xludf.DUMMYFUNCTION("""COMPUTED_VALUE"""),"Body &amp; Beauty")</f>
        <v>Body &amp; Beauty</v>
      </c>
      <c r="H10" s="2" t="str">
        <f ca="1">IFERROR(__xludf.DUMMYFUNCTION("""COMPUTED_VALUE"""),"People get augmented for a variety of reasons. People do still get cyberware to replace missing or damaged body parts, but these days there are many more who get augmented simply for the practical benefits offered by cybernetics. Corps mandate them to imp"&amp;"rove their employees’ efficiency, mercenaries install combat-grade augments to make themselves deadlier, and some people get them simply as fashion statements. 
Regardless of what your own reasons are, people looking at you might think you got your cyber"&amp;"ware just because of how good it looks on you. Your cybernetics and other alterations to your body are always seen in an aesthetically pleasing light, the obvious metal parts just magnifying your natural beauty further. Even a basic cyberlimb would look b"&amp;"etter on you than it should, turning someone with plain looks into a cybernetic beauty, while more stylish or extensive augmentations will further increase the effect. At the very least you’ll never need to worry about unintentionally turning people off w"&amp;"ith your fondness for chrome.")</f>
        <v>People get augmented for a variety of reasons. People do still get cyberware to replace missing or damaged body parts, but these days there are many more who get augmented simply for the practical benefits offered by cybernetics. Corps mandate them to improve their employees’ efficiency, mercenaries install combat-grade augments to make themselves deadlier, and some people get them simply as fashion statements. 
Regardless of what your own reasons are, people looking at you might think you got your cyberware just because of how good it looks on you. Your cybernetics and other alterations to your body are always seen in an aesthetically pleasing light, the obvious metal parts just magnifying your natural beauty further. Even a basic cyberlimb would look better on you than it should, turning someone with plain looks into a cybernetic beauty, while more stylish or extensive augmentations will further increase the effect. At the very least you’ll never need to worry about unintentionally turning people off with your fondness for chrome.</v>
      </c>
      <c r="I10" s="5"/>
    </row>
    <row r="11" spans="1:9 16384:16384" ht="121.8" x14ac:dyDescent="0.25">
      <c r="A11" s="16"/>
      <c r="B11" s="17">
        <v>7</v>
      </c>
      <c r="C11" s="2" t="b">
        <f ca="1">IFERROR(__xludf.DUMMYFUNCTION("""COMPUTED_VALUE"""),FALSE)</f>
        <v>0</v>
      </c>
      <c r="D11" s="2">
        <f ca="1">IFERROR(__xludf.DUMMYFUNCTION("""COMPUTED_VALUE"""),50)</f>
        <v>50</v>
      </c>
      <c r="E11" s="2" t="str">
        <f ca="1">IFERROR(__xludf.DUMMYFUNCTION("""COMPUTED_VALUE"""),"Consenticles")</f>
        <v>Consenticles</v>
      </c>
      <c r="F11" s="2" t="str">
        <f ca="1">IFERROR(__xludf.DUMMYFUNCTION("""COMPUTED_VALUE"""),"World of Tentacles")</f>
        <v>World of Tentacles</v>
      </c>
      <c r="G11" s="2" t="str">
        <f ca="1">IFERROR(__xludf.DUMMYFUNCTION("""COMPUTED_VALUE"""),"Body &amp; Beauty")</f>
        <v>Body &amp; Beauty</v>
      </c>
      <c r="H11" s="2" t="str">
        <f ca="1">IFERROR(__xludf.DUMMYFUNCTION("""COMPUTED_VALUE"""),"Look, just because you’re an eldritch horror made of sin and debauchery doesn’t mean you can’t have emotional needs too. Thanks to this perk your monstrous appearance is no barrier to finding willing partners. So long as you aren’t acting in a monstrous o"&amp;"r frightening way, people will tend to respond with fascination and curiosity rather than fear or disgust to any alien or inhuman forms you possess. Small children might look at your many tentacles and see a jungle gym in the making, while schoolgirls and"&amp;" housewives might find themselves wondering what your hugs feel like or fantasizing about bearing your children.")</f>
        <v>Look, just because you’re an eldritch horror made of sin and debauchery doesn’t mean you can’t have emotional needs too. Thanks to this perk your monstrous appearance is no barrier to finding willing partners. So long as you aren’t acting in a monstrous or frightening way, people will tend to respond with fascination and curiosity rather than fear or disgust to any alien or inhuman forms you possess. Small children might look at your many tentacles and see a jungle gym in the making, while schoolgirls and housewives might find themselves wondering what your hugs feel like or fantasizing about bearing your children.</v>
      </c>
      <c r="I11" s="5"/>
    </row>
    <row r="12" spans="1:9 16384:16384" ht="87" x14ac:dyDescent="0.25">
      <c r="A12" s="16"/>
      <c r="B12" s="17">
        <v>8</v>
      </c>
      <c r="C12" s="2" t="b">
        <f ca="1">IFERROR(__xludf.DUMMYFUNCTION("""COMPUTED_VALUE"""),FALSE)</f>
        <v>0</v>
      </c>
      <c r="D12" s="2">
        <f ca="1">IFERROR(__xludf.DUMMYFUNCTION("""COMPUTED_VALUE"""),50)</f>
        <v>50</v>
      </c>
      <c r="E12" s="2" t="str">
        <f ca="1">IFERROR(__xludf.DUMMYFUNCTION("""COMPUTED_VALUE"""),"Coordination")</f>
        <v>Coordination</v>
      </c>
      <c r="F12" s="2" t="str">
        <f ca="1">IFERROR(__xludf.DUMMYFUNCTION("""COMPUTED_VALUE"""),"The Legend Of Queen Opala")</f>
        <v>The Legend Of Queen Opala</v>
      </c>
      <c r="G12" s="2" t="str">
        <f ca="1">IFERROR(__xludf.DUMMYFUNCTION("""COMPUTED_VALUE"""),"Body &amp; Beauty")</f>
        <v>Body &amp; Beauty</v>
      </c>
      <c r="H12" s="2" t="str">
        <f ca="1">IFERROR(__xludf.DUMMYFUNCTION("""COMPUTED_VALUE"""),"Rosie Palms aside, you'll probably want a partner or two (or three, or ten) to really make your stay in this world the best experience you can have. Sadly, it can be quite tricky to coordinate your sexytimes with all these people. No more! This perk allow"&amp;"s you to increase or decrease the sensitivity of both yourself and anyone you're fucking such that everyone gets to climax at the same time.")</f>
        <v>Rosie Palms aside, you'll probably want a partner or two (or three, or ten) to really make your stay in this world the best experience you can have. Sadly, it can be quite tricky to coordinate your sexytimes with all these people. No more! This perk allows you to increase or decrease the sensitivity of both yourself and anyone you're fucking such that everyone gets to climax at the same time.</v>
      </c>
      <c r="I12" s="5"/>
    </row>
    <row r="13" spans="1:9 16384:16384" ht="52.2" x14ac:dyDescent="0.25">
      <c r="A13" s="16"/>
      <c r="B13" s="17">
        <v>9</v>
      </c>
      <c r="C13" s="2" t="b">
        <f ca="1">IFERROR(__xludf.DUMMYFUNCTION("""COMPUTED_VALUE"""),FALSE)</f>
        <v>0</v>
      </c>
      <c r="D13" s="2">
        <f ca="1">IFERROR(__xludf.DUMMYFUNCTION("""COMPUTED_VALUE"""),50)</f>
        <v>50</v>
      </c>
      <c r="E13" s="2" t="str">
        <f ca="1">IFERROR(__xludf.DUMMYFUNCTION("""COMPUTED_VALUE"""),"Cute &amp; Sexy")</f>
        <v>Cute &amp; Sexy</v>
      </c>
      <c r="F13" s="2" t="str">
        <f ca="1">IFERROR(__xludf.DUMMYFUNCTION("""COMPUTED_VALUE"""),"Generic: Loli")</f>
        <v>Generic: Loli</v>
      </c>
      <c r="G13" s="2" t="str">
        <f ca="1">IFERROR(__xludf.DUMMYFUNCTION("""COMPUTED_VALUE"""),"Body &amp; Beauty")</f>
        <v>Body &amp; Beauty</v>
      </c>
      <c r="H13" s="2" t="str">
        <f ca="1">IFERROR(__xludf.DUMMYFUNCTION("""COMPUTED_VALUE"""),"Normally, cute and sexy exist on opposite ends of a spectrum; no so with you. You have an universal affinity for mixing cute and sexy without reducing either trait. It can apply to your physical form, your clothing choices, and more.")</f>
        <v>Normally, cute and sexy exist on opposite ends of a spectrum; no so with you. You have an universal affinity for mixing cute and sexy without reducing either trait. It can apply to your physical form, your clothing choices, and more.</v>
      </c>
      <c r="I13" s="5"/>
    </row>
    <row r="14" spans="1:9 16384:16384" ht="52.2" x14ac:dyDescent="0.25">
      <c r="A14" s="16"/>
      <c r="B14" s="17">
        <v>10</v>
      </c>
      <c r="C14" s="2" t="b">
        <f ca="1">IFERROR(__xludf.DUMMYFUNCTION("""COMPUTED_VALUE"""),FALSE)</f>
        <v>0</v>
      </c>
      <c r="D14" s="2">
        <f ca="1">IFERROR(__xludf.DUMMYFUNCTION("""COMPUTED_VALUE"""),50)</f>
        <v>50</v>
      </c>
      <c r="E14" s="2" t="str">
        <f ca="1">IFERROR(__xludf.DUMMYFUNCTION("""COMPUTED_VALUE"""),"Dignity Protector")</f>
        <v>Dignity Protector</v>
      </c>
      <c r="F14" s="2" t="str">
        <f ca="1">IFERROR(__xludf.DUMMYFUNCTION("""COMPUTED_VALUE"""),"Ashigei Shoujo Komura-san")</f>
        <v>Ashigei Shoujo Komura-san</v>
      </c>
      <c r="G14" s="2" t="str">
        <f ca="1">IFERROR(__xludf.DUMMYFUNCTION("""COMPUTED_VALUE"""),"Body &amp; Beauty")</f>
        <v>Body &amp; Beauty</v>
      </c>
      <c r="H14" s="2" t="str">
        <f ca="1">IFERROR(__xludf.DUMMYFUNCTION("""COMPUTED_VALUE"""),"A fairly standard pair of short spats. Aside from yourself, those who see or wear these spats won’t see them as any more inappropriate than regular pants, even if there’s a clearly visible cameltoe or bulge underneath.")</f>
        <v>A fairly standard pair of short spats. Aside from yourself, those who see or wear these spats won’t see them as any more inappropriate than regular pants, even if there’s a clearly visible cameltoe or bulge underneath.</v>
      </c>
      <c r="I14" s="5"/>
    </row>
    <row r="15" spans="1:9 16384:16384" ht="156.6" x14ac:dyDescent="0.25">
      <c r="A15" s="16"/>
      <c r="B15" s="17">
        <v>11</v>
      </c>
      <c r="C15" s="2" t="b">
        <f ca="1">IFERROR(__xludf.DUMMYFUNCTION("""COMPUTED_VALUE"""),FALSE)</f>
        <v>0</v>
      </c>
      <c r="D15" s="2">
        <f ca="1">IFERROR(__xludf.DUMMYFUNCTION("""COMPUTED_VALUE"""),50)</f>
        <v>50</v>
      </c>
      <c r="E15" s="2" t="str">
        <f ca="1">IFERROR(__xludf.DUMMYFUNCTION("""COMPUTED_VALUE"""),"Enchanted Schlong")</f>
        <v>Enchanted Schlong</v>
      </c>
      <c r="F15" s="2" t="str">
        <f ca="1">IFERROR(__xludf.DUMMYFUNCTION("""COMPUTED_VALUE"""),"The Legend Of Queen Opala")</f>
        <v>The Legend Of Queen Opala</v>
      </c>
      <c r="G15" s="2" t="str">
        <f ca="1">IFERROR(__xludf.DUMMYFUNCTION("""COMPUTED_VALUE"""),"Body &amp; Beauty")</f>
        <v>Body &amp; Beauty</v>
      </c>
      <c r="H15" s="2" t="str">
        <f ca="1">IFERROR(__xludf.DUMMYFUNCTION("""COMPUTED_VALUE"""),"Sometimes, you just need to subjugate your foes personally. This magical lingerie ensures you always have the right equipment... as in, it causes anyone who wears it to grow a cock of their desired size and appearance. Yes, you can wear this as a man and "&amp;"find yourself with two cocks for double the fun. You can choose whether or not you’ve got full sensation over your dick or if it’s simply a very realistic toy.
Comes in confident black with a skull motif, unless you're one of those worthless fools who n"&amp;"eed to be taught the real meaning of authority (in which case it's a lacy thing that comes in innocent white or pink).")</f>
        <v>Sometimes, you just need to subjugate your foes personally. This magical lingerie ensures you always have the right equipment... as in, it causes anyone who wears it to grow a cock of their desired size and appearance. Yes, you can wear this as a man and find yourself with two cocks for double the fun. You can choose whether or not you’ve got full sensation over your dick or if it’s simply a very realistic toy.
Comes in confident black with a skull motif, unless you're one of those worthless fools who need to be taught the real meaning of authority (in which case it's a lacy thing that comes in innocent white or pink).</v>
      </c>
      <c r="I15" s="5"/>
    </row>
    <row r="16" spans="1:9 16384:16384" ht="52.2" x14ac:dyDescent="0.25">
      <c r="A16" s="16"/>
      <c r="B16" s="17">
        <v>12</v>
      </c>
      <c r="C16" s="2" t="b">
        <f ca="1">IFERROR(__xludf.DUMMYFUNCTION("""COMPUTED_VALUE"""),FALSE)</f>
        <v>0</v>
      </c>
      <c r="D16" s="2">
        <f ca="1">IFERROR(__xludf.DUMMYFUNCTION("""COMPUTED_VALUE"""),50)</f>
        <v>50</v>
      </c>
      <c r="E16" s="2" t="str">
        <f ca="1">IFERROR(__xludf.DUMMYFUNCTION("""COMPUTED_VALUE"""),"Indestructible Undergarments")</f>
        <v>Indestructible Undergarments</v>
      </c>
      <c r="F16" s="2" t="str">
        <f ca="1">IFERROR(__xludf.DUMMYFUNCTION("""COMPUTED_VALUE"""),"Kamikaze Kommittee Ouka")</f>
        <v>Kamikaze Kommittee Ouka</v>
      </c>
      <c r="G16" s="2" t="str">
        <f ca="1">IFERROR(__xludf.DUMMYFUNCTION("""COMPUTED_VALUE"""),"Body &amp; Beauty")</f>
        <v>Body &amp; Beauty</v>
      </c>
      <c r="H16" s="2" t="str">
        <f ca="1">IFERROR(__xludf.DUMMYFUNCTION("""COMPUTED_VALUE"""),"I have no idea what these things are made of, but you literally can’t destroy them. It makes good attire to censor those naughty bits if your regular clothes are destroyed. It comes in whatever design of undergarments you prefer.")</f>
        <v>I have no idea what these things are made of, but you literally can’t destroy them. It makes good attire to censor those naughty bits if your regular clothes are destroyed. It comes in whatever design of undergarments you prefer.</v>
      </c>
      <c r="I16" s="5"/>
    </row>
    <row r="17" spans="1:9" ht="69.599999999999994" x14ac:dyDescent="0.25">
      <c r="A17" s="16"/>
      <c r="B17" s="17">
        <v>13</v>
      </c>
      <c r="C17" s="2" t="b">
        <f ca="1">IFERROR(__xludf.DUMMYFUNCTION("""COMPUTED_VALUE"""),FALSE)</f>
        <v>0</v>
      </c>
      <c r="D17" s="2">
        <f ca="1">IFERROR(__xludf.DUMMYFUNCTION("""COMPUTED_VALUE"""),50)</f>
        <v>50</v>
      </c>
      <c r="E17" s="2" t="str">
        <f ca="1">IFERROR(__xludf.DUMMYFUNCTION("""COMPUTED_VALUE"""),"Ovipositor")</f>
        <v>Ovipositor</v>
      </c>
      <c r="F17" s="2" t="str">
        <f ca="1">IFERROR(__xludf.DUMMYFUNCTION("""COMPUTED_VALUE"""),"Generic: Lewd Science Fiction")</f>
        <v>Generic: Lewd Science Fiction</v>
      </c>
      <c r="G17" s="2" t="str">
        <f ca="1">IFERROR(__xludf.DUMMYFUNCTION("""COMPUTED_VALUE"""),"Body &amp; Beauty")</f>
        <v>Body &amp; Beauty</v>
      </c>
      <c r="H17" s="2" t="str">
        <f ca="1">IFERROR(__xludf.DUMMYFUNCTION("""COMPUTED_VALUE"""),"Implants your fertilized eggs into...something. Could be a spear cock to stab into hapless prey for your young to eat when they hatch, or it’s a regular cock you can use to transfer a fertilized egg from your body into another female’s womb. This trait re"&amp;"quires you to be a female or hermaphrodite. You can hide this if you want.")</f>
        <v>Implants your fertilized eggs into...something. Could be a spear cock to stab into hapless prey for your young to eat when they hatch, or it’s a regular cock you can use to transfer a fertilized egg from your body into another female’s womb. This trait requires you to be a female or hermaphrodite. You can hide this if you want.</v>
      </c>
      <c r="I17" s="5"/>
    </row>
    <row r="18" spans="1:9" ht="69.599999999999994" x14ac:dyDescent="0.25">
      <c r="A18" s="16"/>
      <c r="B18" s="17">
        <v>14</v>
      </c>
      <c r="C18" s="2" t="b">
        <f ca="1">IFERROR(__xludf.DUMMYFUNCTION("""COMPUTED_VALUE"""),FALSE)</f>
        <v>0</v>
      </c>
      <c r="D18" s="2">
        <f ca="1">IFERROR(__xludf.DUMMYFUNCTION("""COMPUTED_VALUE"""),50)</f>
        <v>50</v>
      </c>
      <c r="E18" s="2" t="str">
        <f ca="1">IFERROR(__xludf.DUMMYFUNCTION("""COMPUTED_VALUE"""),"Pantsu")</f>
        <v>Pantsu</v>
      </c>
      <c r="F18" s="2" t="str">
        <f ca="1">IFERROR(__xludf.DUMMYFUNCTION("""COMPUTED_VALUE"""),"Generic: Incest")</f>
        <v>Generic: Incest</v>
      </c>
      <c r="G18" s="2" t="str">
        <f ca="1">IFERROR(__xludf.DUMMYFUNCTION("""COMPUTED_VALUE"""),"Body &amp; Beauty")</f>
        <v>Body &amp; Beauty</v>
      </c>
      <c r="H18" s="2" t="str">
        <f ca="1">IFERROR(__xludf.DUMMYFUNCTION("""COMPUTED_VALUE"""),"An absolute treasure-trove of adorable panties, roughly 50% of them bear a cute, chibi-fied image referencing a moment from your past adventures. As you continue on, more panties will spawn in this package referencing those new adventures. The other 50% b"&amp;"ear images or patterns custom designed to make you look as cute as possible!")</f>
        <v>An absolute treasure-trove of adorable panties, roughly 50% of them bear a cute, chibi-fied image referencing a moment from your past adventures. As you continue on, more panties will spawn in this package referencing those new adventures. The other 50% bear images or patterns custom designed to make you look as cute as possible!</v>
      </c>
      <c r="I18" s="5"/>
    </row>
    <row r="19" spans="1:9" ht="69.599999999999994" x14ac:dyDescent="0.25">
      <c r="A19" s="16"/>
      <c r="B19" s="17">
        <v>15</v>
      </c>
      <c r="C19" s="2" t="b">
        <f ca="1">IFERROR(__xludf.DUMMYFUNCTION("""COMPUTED_VALUE"""),FALSE)</f>
        <v>0</v>
      </c>
      <c r="D19" s="2">
        <f ca="1">IFERROR(__xludf.DUMMYFUNCTION("""COMPUTED_VALUE"""),50)</f>
        <v>50</v>
      </c>
      <c r="E19" s="2" t="str">
        <f ca="1">IFERROR(__xludf.DUMMYFUNCTION("""COMPUTED_VALUE"""),"Responsiveness")</f>
        <v>Responsiveness</v>
      </c>
      <c r="F19" s="2" t="str">
        <f ca="1">IFERROR(__xludf.DUMMYFUNCTION("""COMPUTED_VALUE"""),"Generic: Virgin")</f>
        <v>Generic: Virgin</v>
      </c>
      <c r="G19" s="2" t="str">
        <f ca="1">IFERROR(__xludf.DUMMYFUNCTION("""COMPUTED_VALUE"""),"Body &amp; Beauty")</f>
        <v>Body &amp; Beauty</v>
      </c>
      <c r="H19" s="2" t="str">
        <f ca="1">IFERROR(__xludf.DUMMYFUNCTION("""COMPUTED_VALUE"""),"While, of course, you’re not expected to know anything about matters sexual, your body was clearly made for it, because it is exceptionally ready for it. Easily aroused, responsive to pleasure, and blessed in all the little ways that make having sex with "&amp;"you a joy even if you just lay there. Your body odor isn’t just non-offensive, it’s actually slightly aphrodisiac to your partners.")</f>
        <v>While, of course, you’re not expected to know anything about matters sexual, your body was clearly made for it, because it is exceptionally ready for it. Easily aroused, responsive to pleasure, and blessed in all the little ways that make having sex with you a joy even if you just lay there. Your body odor isn’t just non-offensive, it’s actually slightly aphrodisiac to your partners.</v>
      </c>
      <c r="I19" s="5"/>
    </row>
    <row r="20" spans="1:9" ht="69.599999999999994" x14ac:dyDescent="0.25">
      <c r="A20" s="16"/>
      <c r="B20" s="17">
        <v>16</v>
      </c>
      <c r="C20" s="2" t="b">
        <f ca="1">IFERROR(__xludf.DUMMYFUNCTION("""COMPUTED_VALUE"""),FALSE)</f>
        <v>0</v>
      </c>
      <c r="D20" s="2">
        <f ca="1">IFERROR(__xludf.DUMMYFUNCTION("""COMPUTED_VALUE"""),50)</f>
        <v>50</v>
      </c>
      <c r="E20" s="2" t="str">
        <f ca="1">IFERROR(__xludf.DUMMYFUNCTION("""COMPUTED_VALUE"""),"Smug Bitch")</f>
        <v>Smug Bitch</v>
      </c>
      <c r="F20" s="2" t="str">
        <f ca="1">IFERROR(__xludf.DUMMYFUNCTION("""COMPUTED_VALUE"""),"Taimanin")</f>
        <v>Taimanin</v>
      </c>
      <c r="G20" s="2" t="str">
        <f ca="1">IFERROR(__xludf.DUMMYFUNCTION("""COMPUTED_VALUE"""),"Body &amp; Beauty")</f>
        <v>Body &amp; Beauty</v>
      </c>
      <c r="H20" s="2" t="str">
        <f ca="1">IFERROR(__xludf.DUMMYFUNCTION("""COMPUTED_VALUE"""),"You just radiate smugness and arrogance. Whether it’s a perfect smile dripping with smugness, a haughty arrogant laugh, a way with words, or just your body language screaming your superiority you possess all those traits and more. You are one smug bitch a"&amp;"nd you embrace it to the fullest...but if you really want some time off, you can toggle these effects off.")</f>
        <v>You just radiate smugness and arrogance. Whether it’s a perfect smile dripping with smugness, a haughty arrogant laugh, a way with words, or just your body language screaming your superiority you possess all those traits and more. You are one smug bitch and you embrace it to the fullest...but if you really want some time off, you can toggle these effects off.</v>
      </c>
      <c r="I20" s="5"/>
    </row>
    <row r="21" spans="1:9" ht="87" x14ac:dyDescent="0.25">
      <c r="A21" s="16"/>
      <c r="B21" s="17">
        <v>17</v>
      </c>
      <c r="C21" s="2" t="b">
        <f ca="1">IFERROR(__xludf.DUMMYFUNCTION("""COMPUTED_VALUE"""),FALSE)</f>
        <v>0</v>
      </c>
      <c r="D21" s="2">
        <f ca="1">IFERROR(__xludf.DUMMYFUNCTION("""COMPUTED_VALUE"""),50)</f>
        <v>50</v>
      </c>
      <c r="E21" s="2" t="str">
        <f ca="1">IFERROR(__xludf.DUMMYFUNCTION("""COMPUTED_VALUE"""),"Suck on Deez")</f>
        <v>Suck on Deez</v>
      </c>
      <c r="F21" s="2" t="str">
        <f ca="1">IFERROR(__xludf.DUMMYFUNCTION("""COMPUTED_VALUE"""),"Burakku Gakkou Ni Tsutomete Shimatta Sensei")</f>
        <v>Burakku Gakkou Ni Tsutomete Shimatta Sensei</v>
      </c>
      <c r="G21" s="2" t="str">
        <f ca="1">IFERROR(__xludf.DUMMYFUNCTION("""COMPUTED_VALUE"""),"Body &amp; Beauty")</f>
        <v>Body &amp; Beauty</v>
      </c>
      <c r="H21" s="2" t="str">
        <f ca="1">IFERROR(__xludf.DUMMYFUNCTION("""COMPUTED_VALUE"""),"Well, it turns out that you probably wouldn’t mind sucking on deez nutz, because your tongue, mouth, lips, and throat are now erogenous zones. You get real sexual pleasure from using your mouth—even more than you’d get from actual sex. You could be perfec"&amp;"tly fine sucking guys off without anyone ever sticking it in your pussy, because your mouth would just feel that much better.")</f>
        <v>Well, it turns out that you probably wouldn’t mind sucking on deez nutz, because your tongue, mouth, lips, and throat are now erogenous zones. You get real sexual pleasure from using your mouth—even more than you’d get from actual sex. You could be perfectly fine sucking guys off without anyone ever sticking it in your pussy, because your mouth would just feel that much better.</v>
      </c>
      <c r="I21" s="5"/>
    </row>
    <row r="22" spans="1:9" ht="87" x14ac:dyDescent="0.25">
      <c r="A22" s="16"/>
      <c r="B22" s="17">
        <v>18</v>
      </c>
      <c r="C22" s="2" t="b">
        <f ca="1">IFERROR(__xludf.DUMMYFUNCTION("""COMPUTED_VALUE"""),FALSE)</f>
        <v>0</v>
      </c>
      <c r="D22" s="2">
        <f ca="1">IFERROR(__xludf.DUMMYFUNCTION("""COMPUTED_VALUE"""),50)</f>
        <v>50</v>
      </c>
      <c r="E22" s="2" t="str">
        <f ca="1">IFERROR(__xludf.DUMMYFUNCTION("""COMPUTED_VALUE"""),"Windows to the Soul")</f>
        <v>Windows to the Soul</v>
      </c>
      <c r="F22" s="2" t="str">
        <f ca="1">IFERROR(__xludf.DUMMYFUNCTION("""COMPUTED_VALUE"""),"TSF World")</f>
        <v>TSF World</v>
      </c>
      <c r="G22" s="2" t="str">
        <f ca="1">IFERROR(__xludf.DUMMYFUNCTION("""COMPUTED_VALUE"""),"Body &amp; Beauty")</f>
        <v>Body &amp; Beauty</v>
      </c>
      <c r="H22" s="2" t="str">
        <f ca="1">IFERROR(__xludf.DUMMYFUNCTION("""COMPUTED_VALUE"""),"The eyes have always been known as the windows to the soul, and there is very good reason for that. Yours in particular have a more direct link to your soul than most. Enough so that you can light up the centre of your eyes with an otherworldly glow. No m"&amp;"atter what body or form you are in, you can make either the iris or pupil of your eye glow with a certain colour. Those that glimpse this light will know that you are something other, something supernatural.")</f>
        <v>The eyes have always been known as the windows to the soul, and there is very good reason for that. Yours in particular have a more direct link to your soul than most. Enough so that you can light up the centre of your eyes with an otherworldly glow. No matter what body or form you are in, you can make either the iris or pupil of your eye glow with a certain colour. Those that glimpse this light will know that you are something other, something supernatural.</v>
      </c>
      <c r="I22" s="5"/>
    </row>
    <row r="23" spans="1:9" ht="104.4" x14ac:dyDescent="0.25">
      <c r="A23" s="16"/>
      <c r="B23" s="17">
        <v>19</v>
      </c>
      <c r="C23" s="2" t="b">
        <f ca="1">IFERROR(__xludf.DUMMYFUNCTION("""COMPUTED_VALUE"""),FALSE)</f>
        <v>0</v>
      </c>
      <c r="D23" s="2">
        <f ca="1">IFERROR(__xludf.DUMMYFUNCTION("""COMPUTED_VALUE"""),50)</f>
        <v>50</v>
      </c>
      <c r="E23" s="2" t="str">
        <f ca="1">IFERROR(__xludf.DUMMYFUNCTION("""COMPUTED_VALUE"""),"Yummy")</f>
        <v>Yummy</v>
      </c>
      <c r="F23" s="2" t="str">
        <f ca="1">IFERROR(__xludf.DUMMYFUNCTION("""COMPUTED_VALUE"""),"Victim Girls (Veronica Edition)")</f>
        <v>Victim Girls (Veronica Edition)</v>
      </c>
      <c r="G23" s="2" t="str">
        <f ca="1">IFERROR(__xludf.DUMMYFUNCTION("""COMPUTED_VALUE"""),"Body &amp; Beauty")</f>
        <v>Body &amp; Beauty</v>
      </c>
      <c r="H23" s="2" t="str">
        <f ca="1">IFERROR(__xludf.DUMMYFUNCTION("""COMPUTED_VALUE"""),"Not every guy’s gonna look at you as a useless bit of fuckmeat. Sometimes they really do just want to bite down and tear a chunk off you. It’s not your place to get in the way of their desire, the least you can do is make it all the more pleasant. Every p"&amp;"art of you is delicious. A lick of your skin might be a sweet sugar or a lovely cinnamon, your soft meat juicy and tender to the taste. Even if your partner isn’t out for dinner, you’ll always smell welcoming and be all the more fun to kiss. And if they a"&amp;"re, you’ll find that the process of being prepared and devoured is a pleasure like nothing else.")</f>
        <v>Not every guy’s gonna look at you as a useless bit of fuckmeat. Sometimes they really do just want to bite down and tear a chunk off you. It’s not your place to get in the way of their desire, the least you can do is make it all the more pleasant. Every part of you is delicious. A lick of your skin might be a sweet sugar or a lovely cinnamon, your soft meat juicy and tender to the taste. Even if your partner isn’t out for dinner, you’ll always smell welcoming and be all the more fun to kiss. And if they are, you’ll find that the process of being prepared and devoured is a pleasure like nothing else.</v>
      </c>
      <c r="I23" s="5"/>
    </row>
    <row r="24" spans="1:9" ht="52.2" x14ac:dyDescent="0.25">
      <c r="A24" s="16"/>
      <c r="B24" s="17">
        <v>20</v>
      </c>
      <c r="C24" s="2" t="b">
        <f ca="1">IFERROR(__xludf.DUMMYFUNCTION("""COMPUTED_VALUE"""),FALSE)</f>
        <v>0</v>
      </c>
      <c r="D24" s="2">
        <f ca="1">IFERROR(__xludf.DUMMYFUNCTION("""COMPUTED_VALUE"""),100)</f>
        <v>100</v>
      </c>
      <c r="E24" s="2" t="str">
        <f ca="1">IFERROR(__xludf.DUMMYFUNCTION("""COMPUTED_VALUE"""),"""Armour""")</f>
        <v>"Armour"</v>
      </c>
      <c r="F24" s="2" t="str">
        <f ca="1">IFERROR(__xludf.DUMMYFUNCTION("""COMPUTED_VALUE"""),"Kuroinu")</f>
        <v>Kuroinu</v>
      </c>
      <c r="G24" s="2" t="str">
        <f ca="1">IFERROR(__xludf.DUMMYFUNCTION("""COMPUTED_VALUE"""),"Body &amp; Beauty")</f>
        <v>Body &amp; Beauty</v>
      </c>
      <c r="H24" s="2" t="str">
        <f ca="1">IFERROR(__xludf.DUMMYFUNCTION("""COMPUTED_VALUE"""),"Covering only about as much as underwear would, can something as skimpy of this could even be called armor. Nonetheless it seems that while wearing this you are as protected as if you were wearing finely made plate mail.")</f>
        <v>Covering only about as much as underwear would, can something as skimpy of this could even be called armor. Nonetheless it seems that while wearing this you are as protected as if you were wearing finely made plate mail.</v>
      </c>
      <c r="I24" s="5"/>
    </row>
    <row r="25" spans="1:9" ht="34.799999999999997" x14ac:dyDescent="0.25">
      <c r="A25" s="16"/>
      <c r="B25" s="17">
        <v>21</v>
      </c>
      <c r="C25" s="2" t="b">
        <f ca="1">IFERROR(__xludf.DUMMYFUNCTION("""COMPUTED_VALUE"""),FALSE)</f>
        <v>0</v>
      </c>
      <c r="D25" s="2">
        <f ca="1">IFERROR(__xludf.DUMMYFUNCTION("""COMPUTED_VALUE"""),100)</f>
        <v>100</v>
      </c>
      <c r="E25" s="2" t="str">
        <f ca="1">IFERROR(__xludf.DUMMYFUNCTION("""COMPUTED_VALUE"""),"A Kitten in Heat")</f>
        <v>A Kitten in Heat</v>
      </c>
      <c r="F25" s="2" t="str">
        <f ca="1">IFERROR(__xludf.DUMMYFUNCTION("""COMPUTED_VALUE"""),"Generic: Loli")</f>
        <v>Generic: Loli</v>
      </c>
      <c r="G25" s="2" t="str">
        <f ca="1">IFERROR(__xludf.DUMMYFUNCTION("""COMPUTED_VALUE"""),"Body &amp; Beauty")</f>
        <v>Body &amp; Beauty</v>
      </c>
      <c r="H25" s="2" t="str">
        <f ca="1">IFERROR(__xludf.DUMMYFUNCTION("""COMPUTED_VALUE"""),"You will always have a libido and the capacity to enjoy sexual stimulus, no matter your current form. As an additional bonus, you can switch your libido into overdrive like a cat in heat.")</f>
        <v>You will always have a libido and the capacity to enjoy sexual stimulus, no matter your current form. As an additional bonus, you can switch your libido into overdrive like a cat in heat.</v>
      </c>
      <c r="I25" s="5"/>
    </row>
    <row r="26" spans="1:9" ht="104.4" x14ac:dyDescent="0.25">
      <c r="A26" s="16"/>
      <c r="B26" s="17">
        <v>22</v>
      </c>
      <c r="C26" s="2" t="b">
        <f ca="1">IFERROR(__xludf.DUMMYFUNCTION("""COMPUTED_VALUE"""),FALSE)</f>
        <v>0</v>
      </c>
      <c r="D26" s="2">
        <f ca="1">IFERROR(__xludf.DUMMYFUNCTION("""COMPUTED_VALUE"""),100)</f>
        <v>100</v>
      </c>
      <c r="E26" s="2" t="str">
        <f ca="1">IFERROR(__xludf.DUMMYFUNCTION("""COMPUTED_VALUE"""),"A Natural High")</f>
        <v>A Natural High</v>
      </c>
      <c r="F26" s="2" t="str">
        <f ca="1">IFERROR(__xludf.DUMMYFUNCTION("""COMPUTED_VALUE"""),"Lewd Virus")</f>
        <v>Lewd Virus</v>
      </c>
      <c r="G26" s="2" t="str">
        <f ca="1">IFERROR(__xludf.DUMMYFUNCTION("""COMPUTED_VALUE"""),"Body &amp; Beauty")</f>
        <v>Body &amp; Beauty</v>
      </c>
      <c r="H26" s="2" t="str">
        <f ca="1">IFERROR(__xludf.DUMMYFUNCTION("""COMPUTED_VALUE"""),"Can you feel the heavy aroma of cock filling your nose and throat, drowning out your thoughts with the weight of desire? You gain a peculiar adjustment to your sense of smell; the scent of your preferred sex becomes both stronger and more sexually appeali"&amp;"ng to you. The smell from their groin is particularly strong, and serves as an aphrodisiac to the point that just burrowing your face into your partner’s crotch would be enough to give you a minor high. The effect is only increased with exposure to sexual"&amp;" fluids.")</f>
        <v>Can you feel the heavy aroma of cock filling your nose and throat, drowning out your thoughts with the weight of desire? You gain a peculiar adjustment to your sense of smell; the scent of your preferred sex becomes both stronger and more sexually appealing to you. The smell from their groin is particularly strong, and serves as an aphrodisiac to the point that just burrowing your face into your partner’s crotch would be enough to give you a minor high. The effect is only increased with exposure to sexual fluids.</v>
      </c>
      <c r="I26" s="5"/>
    </row>
    <row r="27" spans="1:9" ht="174" x14ac:dyDescent="0.25">
      <c r="A27" s="16"/>
      <c r="B27" s="17">
        <v>23</v>
      </c>
      <c r="C27" s="2" t="b">
        <f ca="1">IFERROR(__xludf.DUMMYFUNCTION("""COMPUTED_VALUE"""),FALSE)</f>
        <v>0</v>
      </c>
      <c r="D27" s="2">
        <f ca="1">IFERROR(__xludf.DUMMYFUNCTION("""COMPUTED_VALUE"""),100)</f>
        <v>100</v>
      </c>
      <c r="E27" s="2" t="str">
        <f ca="1">IFERROR(__xludf.DUMMYFUNCTION("""COMPUTED_VALUE"""),"A Tasteful Sash that Covers Nothing")</f>
        <v>A Tasteful Sash that Covers Nothing</v>
      </c>
      <c r="F27" s="2" t="str">
        <f ca="1">IFERROR(__xludf.DUMMYFUNCTION("""COMPUTED_VALUE"""),"The Legend of Zelda - Alternate Destinies 2")</f>
        <v>The Legend of Zelda - Alternate Destinies 2</v>
      </c>
      <c r="G27" s="2" t="str">
        <f ca="1">IFERROR(__xludf.DUMMYFUNCTION("""COMPUTED_VALUE"""),"Body &amp; Beauty")</f>
        <v>Body &amp; Beauty</v>
      </c>
      <c r="H27" s="2" t="str">
        <f ca="1">IFERROR(__xludf.DUMMYFUNCTION("""COMPUTED_VALUE"""),"There are some races in this world that can barely be distinguished from the ever-common Hylians. Kokiri resemble nothing more than children, and nobody knows if the Sheikah are a genuine race or just a phenotype and a culture. That’s probably on purpose,"&amp;" knowing them. And there are those that are blatantly different, bordering on monstrous, such as the Goron or the Zora. So different, in fact, that they don’t even bother wearing clothing for the most part. Much like yourself, now. The more inhuman you ar"&amp;"e, the less you need to wear. If you had bright blue skin and a few fins sticking out of you like the Zora do, you could walk around while covering yourself with a tasteful but entirely too small sash that hides absolutely nothing. Or even less, though yo"&amp;"u might have to actually attempt to defend yourself by explaining that clothes are against your culture, especially when they aren’t volcano proof.")</f>
        <v>There are some races in this world that can barely be distinguished from the ever-common Hylians. Kokiri resemble nothing more than children, and nobody knows if the Sheikah are a genuine race or just a phenotype and a culture. That’s probably on purpose, knowing them. And there are those that are blatantly different, bordering on monstrous, such as the Goron or the Zora. So different, in fact, that they don’t even bother wearing clothing for the most part. Much like yourself, now. The more inhuman you are, the less you need to wear. If you had bright blue skin and a few fins sticking out of you like the Zora do, you could walk around while covering yourself with a tasteful but entirely too small sash that hides absolutely nothing. Or even less, though you might have to actually attempt to defend yourself by explaining that clothes are against your culture, especially when they aren’t volcano proof.</v>
      </c>
      <c r="I27" s="5"/>
    </row>
    <row r="28" spans="1:9" ht="104.4" x14ac:dyDescent="0.25">
      <c r="A28" s="16"/>
      <c r="B28" s="17">
        <v>24</v>
      </c>
      <c r="C28" s="2" t="b">
        <f ca="1">IFERROR(__xludf.DUMMYFUNCTION("""COMPUTED_VALUE"""),FALSE)</f>
        <v>0</v>
      </c>
      <c r="D28" s="2">
        <f ca="1">IFERROR(__xludf.DUMMYFUNCTION("""COMPUTED_VALUE"""),100)</f>
        <v>100</v>
      </c>
      <c r="E28" s="2" t="str">
        <f ca="1">IFERROR(__xludf.DUMMYFUNCTION("""COMPUTED_VALUE"""),"All Day and All Night")</f>
        <v>All Day and All Night</v>
      </c>
      <c r="F28" s="2" t="str">
        <f ca="1">IFERROR(__xludf.DUMMYFUNCTION("""COMPUTED_VALUE"""),"Mizuryu Kei Land")</f>
        <v>Mizuryu Kei Land</v>
      </c>
      <c r="G28" s="2" t="str">
        <f ca="1">IFERROR(__xludf.DUMMYFUNCTION("""COMPUTED_VALUE"""),"Body &amp; Beauty")</f>
        <v>Body &amp; Beauty</v>
      </c>
      <c r="H28" s="2" t="str">
        <f ca="1">IFERROR(__xludf.DUMMYFUNCTION("""COMPUTED_VALUE"""),"I suppose it should go without saying that with literally dozens of opportunities to have sex just within sight, let alone within walking distance, that people who come here are prepped to go the mile. With that in mind, I grant you a body that won’t quit"&amp;", and a sex drive to match it. While others can go for three or four rounds before needing a rest, you can go for something like thirty five. It’s not exactly infinite stamina, but you’ll be going at it long after the others have knocked themselves uncons"&amp;"cious.")</f>
        <v>I suppose it should go without saying that with literally dozens of opportunities to have sex just within sight, let alone within walking distance, that people who come here are prepped to go the mile. With that in mind, I grant you a body that won’t quit, and a sex drive to match it. While others can go for three or four rounds before needing a rest, you can go for something like thirty five. It’s not exactly infinite stamina, but you’ll be going at it long after the others have knocked themselves unconscious.</v>
      </c>
      <c r="I28" s="5"/>
    </row>
    <row r="29" spans="1:9" ht="139.19999999999999" x14ac:dyDescent="0.25">
      <c r="A29" s="16"/>
      <c r="B29" s="17">
        <v>25</v>
      </c>
      <c r="C29" s="2" t="b">
        <f ca="1">IFERROR(__xludf.DUMMYFUNCTION("""COMPUTED_VALUE"""),FALSE)</f>
        <v>0</v>
      </c>
      <c r="D29" s="2">
        <f ca="1">IFERROR(__xludf.DUMMYFUNCTION("""COMPUTED_VALUE"""),100)</f>
        <v>100</v>
      </c>
      <c r="E29" s="2" t="str">
        <f ca="1">IFERROR(__xludf.DUMMYFUNCTION("""COMPUTED_VALUE"""),"All in the Artwork")</f>
        <v>All in the Artwork</v>
      </c>
      <c r="F29" s="2" t="str">
        <f ca="1">IFERROR(__xludf.DUMMYFUNCTION("""COMPUTED_VALUE"""),"Ashigei Shoujo Komura-san")</f>
        <v>Ashigei Shoujo Komura-san</v>
      </c>
      <c r="G29" s="2" t="str">
        <f ca="1">IFERROR(__xludf.DUMMYFUNCTION("""COMPUTED_VALUE"""),"Body &amp; Beauty")</f>
        <v>Body &amp; Beauty</v>
      </c>
      <c r="H29" s="2" t="str">
        <f ca="1">IFERROR(__xludf.DUMMYFUNCTION("""COMPUTED_VALUE"""),"Feet aren’t for everyone. This perk’s job is to brush over the less… palatable elements, and generally make feet cuter and more appealing to all five senses. Fungus, calluses, dirt, scars, unappealing odors, etc. are all non-factors, unless it would contr"&amp;"ibute to the individual’s charm. One could walk barefoot, and short of trudging through the most obvious of filth, their feet would remain soft and clean enough to eat off of. Those who make extensive use of their feet in daily life will not be negatively"&amp;" affected by these changes. This won’t force you to find feet attractive if you had no such inclination, but this will hopefully make your time here more tolerable. This applies to you and those you choose to give it to.")</f>
        <v>Feet aren’t for everyone. This perk’s job is to brush over the less… palatable elements, and generally make feet cuter and more appealing to all five senses. Fungus, calluses, dirt, scars, unappealing odors, etc. are all non-factors, unless it would contribute to the individual’s charm. One could walk barefoot, and short of trudging through the most obvious of filth, their feet would remain soft and clean enough to eat off of. Those who make extensive use of their feet in daily life will not be negatively affected by these changes. This won’t force you to find feet attractive if you had no such inclination, but this will hopefully make your time here more tolerable. This applies to you and those you choose to give it to.</v>
      </c>
      <c r="I29" s="5"/>
    </row>
    <row r="30" spans="1:9" ht="104.4" x14ac:dyDescent="0.25">
      <c r="A30" s="16"/>
      <c r="B30" s="17">
        <v>26</v>
      </c>
      <c r="C30" s="2" t="b">
        <f ca="1">IFERROR(__xludf.DUMMYFUNCTION("""COMPUTED_VALUE"""),FALSE)</f>
        <v>0</v>
      </c>
      <c r="D30" s="2">
        <f ca="1">IFERROR(__xludf.DUMMYFUNCTION("""COMPUTED_VALUE"""),100)</f>
        <v>100</v>
      </c>
      <c r="E30" s="2" t="str">
        <f ca="1">IFERROR(__xludf.DUMMYFUNCTION("""COMPUTED_VALUE"""),"Alternate Beauty")</f>
        <v>Alternate Beauty</v>
      </c>
      <c r="F30" s="2" t="str">
        <f ca="1">IFERROR(__xludf.DUMMYFUNCTION("""COMPUTED_VALUE"""),"Merry Marry")</f>
        <v>Merry Marry</v>
      </c>
      <c r="G30" s="2" t="str">
        <f ca="1">IFERROR(__xludf.DUMMYFUNCTION("""COMPUTED_VALUE"""),"Body &amp; Beauty")</f>
        <v>Body &amp; Beauty</v>
      </c>
      <c r="H30" s="2" t="str">
        <f ca="1">IFERROR(__xludf.DUMMYFUNCTION("""COMPUTED_VALUE"""),"Maybe you were a looker before. Maybe you weren’t. The shinobi lifestyle does lend itself towards rippling muscles and hard bodies, and most kunoichi seem to lack a sense of shame. But, I digress. See, that’s not the point, especially since it shortly won"&amp;"’t matter. Instead, whenever you portray yourself as someone of the opposite gender from what you should be, you’re even more beautiful. Whether it’s getting forcibly genderswapped like Itachi or just flat out crossdressing, there seems to be a little som"&amp;"ething extra to your appearance.")</f>
        <v>Maybe you were a looker before. Maybe you weren’t. The shinobi lifestyle does lend itself towards rippling muscles and hard bodies, and most kunoichi seem to lack a sense of shame. But, I digress. See, that’s not the point, especially since it shortly won’t matter. Instead, whenever you portray yourself as someone of the opposite gender from what you should be, you’re even more beautiful. Whether it’s getting forcibly genderswapped like Itachi or just flat out crossdressing, there seems to be a little something extra to your appearance.</v>
      </c>
      <c r="I30" s="5"/>
    </row>
    <row r="31" spans="1:9" ht="69.599999999999994" x14ac:dyDescent="0.25">
      <c r="A31" s="16"/>
      <c r="B31" s="17">
        <v>27</v>
      </c>
      <c r="C31" s="2" t="b">
        <f ca="1">IFERROR(__xludf.DUMMYFUNCTION("""COMPUTED_VALUE"""),FALSE)</f>
        <v>0</v>
      </c>
      <c r="D31" s="2">
        <f ca="1">IFERROR(__xludf.DUMMYFUNCTION("""COMPUTED_VALUE"""),100)</f>
        <v>100</v>
      </c>
      <c r="E31" s="2" t="str">
        <f ca="1">IFERROR(__xludf.DUMMYFUNCTION("""COMPUTED_VALUE"""),"Arousing Fluids")</f>
        <v>Arousing Fluids</v>
      </c>
      <c r="F31" s="2" t="str">
        <f ca="1">IFERROR(__xludf.DUMMYFUNCTION("""COMPUTED_VALUE"""),"eratohoK")</f>
        <v>eratohoK</v>
      </c>
      <c r="G31" s="2" t="str">
        <f ca="1">IFERROR(__xludf.DUMMYFUNCTION("""COMPUTED_VALUE"""),"Body &amp; Beauty")</f>
        <v>Body &amp; Beauty</v>
      </c>
      <c r="H31" s="2" t="str">
        <f ca="1">IFERROR(__xludf.DUMMYFUNCTION("""COMPUTED_VALUE"""),"The bodies of the sex demons from the Dream Dimension are designed for pleasure, and yours shares this characteristic. Your body fluids taste inhumanly good and act as a mild aphrodisiac, arousing people and heightening their sensitivity in proportion to "&amp;"how much they’ve come in contact with.")</f>
        <v>The bodies of the sex demons from the Dream Dimension are designed for pleasure, and yours shares this characteristic. Your body fluids taste inhumanly good and act as a mild aphrodisiac, arousing people and heightening their sensitivity in proportion to how much they’ve come in contact with.</v>
      </c>
      <c r="I31" s="5"/>
    </row>
    <row r="32" spans="1:9" ht="69.599999999999994" x14ac:dyDescent="0.25">
      <c r="A32" s="16"/>
      <c r="B32" s="17">
        <v>28</v>
      </c>
      <c r="C32" s="2" t="b">
        <f ca="1">IFERROR(__xludf.DUMMYFUNCTION("""COMPUTED_VALUE"""),FALSE)</f>
        <v>0</v>
      </c>
      <c r="D32" s="2">
        <f ca="1">IFERROR(__xludf.DUMMYFUNCTION("""COMPUTED_VALUE"""),100)</f>
        <v>100</v>
      </c>
      <c r="E32" s="2" t="str">
        <f ca="1">IFERROR(__xludf.DUMMYFUNCTION("""COMPUTED_VALUE"""),"Be the Alpha")</f>
        <v>Be the Alpha</v>
      </c>
      <c r="F32" s="2" t="str">
        <f ca="1">IFERROR(__xludf.DUMMYFUNCTION("""COMPUTED_VALUE"""),"Destiny: Fuck the Darkness")</f>
        <v>Destiny: Fuck the Darkness</v>
      </c>
      <c r="G32" s="2" t="str">
        <f ca="1">IFERROR(__xludf.DUMMYFUNCTION("""COMPUTED_VALUE"""),"Body &amp; Beauty")</f>
        <v>Body &amp; Beauty</v>
      </c>
      <c r="H32" s="2" t="str">
        <f ca="1">IFERROR(__xludf.DUMMYFUNCTION("""COMPUTED_VALUE"""),"Large and in charge is nature’s way of telling you at a glance who’s the boss, and why should that be any different when we have equalizers like guns floating around as common as air? This Perk mildly boosts your charisma and dominance over anyone you are"&amp;" A) taller than, and B) more muscular than. Naturally, this also gives you a few extra inches where it counts.")</f>
        <v>Large and in charge is nature’s way of telling you at a glance who’s the boss, and why should that be any different when we have equalizers like guns floating around as common as air? This Perk mildly boosts your charisma and dominance over anyone you are A) taller than, and B) more muscular than. Naturally, this also gives you a few extra inches where it counts.</v>
      </c>
      <c r="I32" s="5"/>
    </row>
    <row r="33" spans="1:9" ht="87" x14ac:dyDescent="0.25">
      <c r="A33" s="16"/>
      <c r="B33" s="17">
        <v>29</v>
      </c>
      <c r="C33" s="2" t="b">
        <f ca="1">IFERROR(__xludf.DUMMYFUNCTION("""COMPUTED_VALUE"""),FALSE)</f>
        <v>0</v>
      </c>
      <c r="D33" s="2">
        <f ca="1">IFERROR(__xludf.DUMMYFUNCTION("""COMPUTED_VALUE"""),100)</f>
        <v>100</v>
      </c>
      <c r="E33" s="2" t="str">
        <f ca="1">IFERROR(__xludf.DUMMYFUNCTION("""COMPUTED_VALUE"""),"Beauty in Chains")</f>
        <v>Beauty in Chains</v>
      </c>
      <c r="F33" s="2" t="str">
        <f ca="1">IFERROR(__xludf.DUMMYFUNCTION("""COMPUTED_VALUE"""),"Generic: BDSM")</f>
        <v>Generic: BDSM</v>
      </c>
      <c r="G33" s="2" t="str">
        <f ca="1">IFERROR(__xludf.DUMMYFUNCTION("""COMPUTED_VALUE"""),"Body &amp; Beauty")</f>
        <v>Body &amp; Beauty</v>
      </c>
      <c r="H33" s="2" t="str">
        <f ca="1">IFERROR(__xludf.DUMMYFUNCTION("""COMPUTED_VALUE"""),"While being no less effective, any bondage or restraints applied to you make you seem sexier and, if practical, leave your body available for sexual purposes. This perk causes sex and bondage to go hand in hand for you: those putting you in restraints for"&amp;" any reason will be more inclined to add a sexual aspect, and those having sex will likewise be more likely to include some kind of restraint. In any case nobody will view any of this as odd.")</f>
        <v>While being no less effective, any bondage or restraints applied to you make you seem sexier and, if practical, leave your body available for sexual purposes. This perk causes sex and bondage to go hand in hand for you: those putting you in restraints for any reason will be more inclined to add a sexual aspect, and those having sex will likewise be more likely to include some kind of restraint. In any case nobody will view any of this as odd.</v>
      </c>
      <c r="I33" s="5"/>
    </row>
    <row r="34" spans="1:9" ht="52.2" x14ac:dyDescent="0.25">
      <c r="A34" s="16"/>
      <c r="B34" s="17">
        <v>30</v>
      </c>
      <c r="C34" s="2" t="b">
        <f ca="1">IFERROR(__xludf.DUMMYFUNCTION("""COMPUTED_VALUE"""),FALSE)</f>
        <v>0</v>
      </c>
      <c r="D34" s="2">
        <f ca="1">IFERROR(__xludf.DUMMYFUNCTION("""COMPUTED_VALUE"""),100)</f>
        <v>100</v>
      </c>
      <c r="E34" s="2" t="str">
        <f ca="1">IFERROR(__xludf.DUMMYFUNCTION("""COMPUTED_VALUE"""),"Bottomless Well")</f>
        <v>Bottomless Well</v>
      </c>
      <c r="F34" s="2" t="str">
        <f ca="1">IFERROR(__xludf.DUMMYFUNCTION("""COMPUTED_VALUE"""),"Milk Hunters")</f>
        <v>Milk Hunters</v>
      </c>
      <c r="G34" s="2" t="str">
        <f ca="1">IFERROR(__xludf.DUMMYFUNCTION("""COMPUTED_VALUE"""),"Body &amp; Beauty")</f>
        <v>Body &amp; Beauty</v>
      </c>
      <c r="H34" s="2" t="str">
        <f ca="1">IFERROR(__xludf.DUMMYFUNCTION("""COMPUTED_VALUE"""),"You can cum all day and have still have some left over. In addition to this, the size of your loads has increased by a good amount, being enough to completely fill up a tight, young pussy. If you wish, you can apply this power to other bodily fluids, such"&amp;" as saliva, blood, or breast milk.")</f>
        <v>You can cum all day and have still have some left over. In addition to this, the size of your loads has increased by a good amount, being enough to completely fill up a tight, young pussy. If you wish, you can apply this power to other bodily fluids, such as saliva, blood, or breast milk.</v>
      </c>
      <c r="I34" s="5"/>
    </row>
    <row r="35" spans="1:9" ht="87" x14ac:dyDescent="0.25">
      <c r="A35" s="16"/>
      <c r="B35" s="17">
        <v>31</v>
      </c>
      <c r="C35" s="2" t="b">
        <f ca="1">IFERROR(__xludf.DUMMYFUNCTION("""COMPUTED_VALUE"""),FALSE)</f>
        <v>0</v>
      </c>
      <c r="D35" s="2">
        <f ca="1">IFERROR(__xludf.DUMMYFUNCTION("""COMPUTED_VALUE"""),100)</f>
        <v>100</v>
      </c>
      <c r="E35" s="2" t="str">
        <f ca="1">IFERROR(__xludf.DUMMYFUNCTION("""COMPUTED_VALUE"""),"Brainless Brawn")</f>
        <v>Brainless Brawn</v>
      </c>
      <c r="F35" s="2" t="str">
        <f ca="1">IFERROR(__xludf.DUMMYFUNCTION("""COMPUTED_VALUE"""),"Generic: Monster Fucker/Horny Horror")</f>
        <v>Generic: Monster Fucker/Horny Horror</v>
      </c>
      <c r="G35" s="2" t="str">
        <f ca="1">IFERROR(__xludf.DUMMYFUNCTION("""COMPUTED_VALUE"""),"Body &amp; Beauty")</f>
        <v>Body &amp; Beauty</v>
      </c>
      <c r="H35" s="2" t="str">
        <f ca="1">IFERROR(__xludf.DUMMYFUNCTION("""COMPUTED_VALUE"""),"What were you when you got here? Some bounty hunter among the stars? A gallant knight on a quest? A soldier on some bizarre task away from the front lines? Whatever or whoever you’re supposed to be, you’re strong. You have well honed physical abilities fo"&amp;"r a human. You can lift more, run faster, and fight harder than others. What’s more, the more your blood flows down and your thinking dulls, the greater you become. In other words, horny brain strong.")</f>
        <v>What were you when you got here? Some bounty hunter among the stars? A gallant knight on a quest? A soldier on some bizarre task away from the front lines? Whatever or whoever you’re supposed to be, you’re strong. You have well honed physical abilities for a human. You can lift more, run faster, and fight harder than others. What’s more, the more your blood flows down and your thinking dulls, the greater you become. In other words, horny brain strong.</v>
      </c>
      <c r="I35" s="5"/>
    </row>
    <row r="36" spans="1:9" ht="121.8" x14ac:dyDescent="0.25">
      <c r="A36" s="16"/>
      <c r="B36" s="17">
        <v>32</v>
      </c>
      <c r="C36" s="2" t="b">
        <f ca="1">IFERROR(__xludf.DUMMYFUNCTION("""COMPUTED_VALUE"""),FALSE)</f>
        <v>0</v>
      </c>
      <c r="D36" s="2">
        <f ca="1">IFERROR(__xludf.DUMMYFUNCTION("""COMPUTED_VALUE"""),100)</f>
        <v>100</v>
      </c>
      <c r="E36" s="2" t="str">
        <f ca="1">IFERROR(__xludf.DUMMYFUNCTION("""COMPUTED_VALUE"""),"Damsel in Distress")</f>
        <v>Damsel in Distress</v>
      </c>
      <c r="F36" s="2" t="str">
        <f ca="1">IFERROR(__xludf.DUMMYFUNCTION("""COMPUTED_VALUE"""),"Earth Defense Team Star Guardians")</f>
        <v>Earth Defense Team Star Guardians</v>
      </c>
      <c r="G36" s="2" t="str">
        <f ca="1">IFERROR(__xludf.DUMMYFUNCTION("""COMPUTED_VALUE"""),"Body &amp; Beauty")</f>
        <v>Body &amp; Beauty</v>
      </c>
      <c r="H36" s="2" t="str">
        <f ca="1">IFERROR(__xludf.DUMMYFUNCTION("""COMPUTED_VALUE"""),"No matter what the bad guys do to you you’ll never break! Or at least that’s what you tell them while you put on a brave face, but actually your pain resistance isn’t all that great. So it’s a good thing that your captors seem to prefer to torture you wit"&amp;"h pleasure rather than more conventional methods. Instead of waterboarding or sleep deprivation or whatever other nastiness you might normally worry about, now it’s mainly going to be different kinds of bondage, edging, pleasure torture, and other kinds o"&amp;"f BDSM fantasy scenarios. And this stuff you’re a lot better at resisting, at least enough that you can drag out a torture session for a good long time if you really want to.")</f>
        <v>No matter what the bad guys do to you you’ll never break! Or at least that’s what you tell them while you put on a brave face, but actually your pain resistance isn’t all that great. So it’s a good thing that your captors seem to prefer to torture you with pleasure rather than more conventional methods. Instead of waterboarding or sleep deprivation or whatever other nastiness you might normally worry about, now it’s mainly going to be different kinds of bondage, edging, pleasure torture, and other kinds of BDSM fantasy scenarios. And this stuff you’re a lot better at resisting, at least enough that you can drag out a torture session for a good long time if you really want to.</v>
      </c>
      <c r="I36" s="5"/>
    </row>
    <row r="37" spans="1:9" ht="104.4" x14ac:dyDescent="0.25">
      <c r="A37" s="16"/>
      <c r="B37" s="17">
        <v>33</v>
      </c>
      <c r="C37" s="2" t="b">
        <f ca="1">IFERROR(__xludf.DUMMYFUNCTION("""COMPUTED_VALUE"""),FALSE)</f>
        <v>0</v>
      </c>
      <c r="D37" s="2">
        <f ca="1">IFERROR(__xludf.DUMMYFUNCTION("""COMPUTED_VALUE"""),100)</f>
        <v>100</v>
      </c>
      <c r="E37" s="2" t="str">
        <f ca="1">IFERROR(__xludf.DUMMYFUNCTION("""COMPUTED_VALUE"""),"Delightful Punishment")</f>
        <v>Delightful Punishment</v>
      </c>
      <c r="F37" s="2" t="str">
        <f ca="1">IFERROR(__xludf.DUMMYFUNCTION("""COMPUTED_VALUE"""),"My Bride is the Demon Lord")</f>
        <v>My Bride is the Demon Lord</v>
      </c>
      <c r="G37" s="2" t="str">
        <f ca="1">IFERROR(__xludf.DUMMYFUNCTION("""COMPUTED_VALUE"""),"Body &amp; Beauty")</f>
        <v>Body &amp; Beauty</v>
      </c>
      <c r="H37" s="2" t="str">
        <f ca="1">IFERROR(__xludf.DUMMYFUNCTION("""COMPUTED_VALUE"""),"Sometimes you mess up and need to be punished. Sometimes that punishment takes the form of a spanking and getting your ass reamed. But for you, such a punishment might be considered a reward, because you have awoken to the wonderful interplay between pain"&amp;" and pleasure. Whenever you are subjected to any sort of pain, you may opt to experience it as pleasure—not instead of hurting, but in addition to it. Not everyone has the right attitude for BDSM, but with this, you can at least rest assured that painplay"&amp;" will always be enjoyable for you.")</f>
        <v>Sometimes you mess up and need to be punished. Sometimes that punishment takes the form of a spanking and getting your ass reamed. But for you, such a punishment might be considered a reward, because you have awoken to the wonderful interplay between pain and pleasure. Whenever you are subjected to any sort of pain, you may opt to experience it as pleasure—not instead of hurting, but in addition to it. Not everyone has the right attitude for BDSM, but with this, you can at least rest assured that painplay will always be enjoyable for you.</v>
      </c>
      <c r="I37" s="5"/>
    </row>
    <row r="38" spans="1:9" ht="139.19999999999999" x14ac:dyDescent="0.25">
      <c r="A38" s="16"/>
      <c r="B38" s="17">
        <v>34</v>
      </c>
      <c r="C38" s="2" t="b">
        <f ca="1">IFERROR(__xludf.DUMMYFUNCTION("""COMPUTED_VALUE"""),FALSE)</f>
        <v>0</v>
      </c>
      <c r="D38" s="2">
        <f ca="1">IFERROR(__xludf.DUMMYFUNCTION("""COMPUTED_VALUE"""),100)</f>
        <v>100</v>
      </c>
      <c r="E38" s="2" t="str">
        <f ca="1">IFERROR(__xludf.DUMMYFUNCTION("""COMPUTED_VALUE"""),"Dickgirl Pirate")</f>
        <v>Dickgirl Pirate</v>
      </c>
      <c r="F38" s="2" t="str">
        <f ca="1">IFERROR(__xludf.DUMMYFUNCTION("""COMPUTED_VALUE"""),"Bloom Pirate Hooker")</f>
        <v>Bloom Pirate Hooker</v>
      </c>
      <c r="G38" s="2" t="str">
        <f ca="1">IFERROR(__xludf.DUMMYFUNCTION("""COMPUTED_VALUE"""),"Body &amp; Beauty")</f>
        <v>Body &amp; Beauty</v>
      </c>
      <c r="H38" s="2" t="str">
        <f ca="1">IFERROR(__xludf.DUMMYFUNCTION("""COMPUTED_VALUE"""),"I don’t know if this is something that every woman suffers from, or just a fact of life that has always been there. Regardless, you are now a futanari. Your choice on balls or not, but despite the blurring of genders, you’re fully functional as both a man"&amp;" and a woman. On top of that, you have the ability to sort of suck your dick back inside you, to better hide it. That said, if you get to horny it’ll pop back out without your permission. Have fun.
Of course, if you're a guy and don't want to look all gi"&amp;"rly, I guess you could go sans-boobs. What would that even be? An Andro-nari?")</f>
        <v>I don’t know if this is something that every woman suffers from, or just a fact of life that has always been there. Regardless, you are now a futanari. Your choice on balls or not, but despite the blurring of genders, you’re fully functional as both a man and a woman. On top of that, you have the ability to sort of suck your dick back inside you, to better hide it. That said, if you get to horny it’ll pop back out without your permission. Have fun.
Of course, if you're a guy and don't want to look all girly, I guess you could go sans-boobs. What would that even be? An Andro-nari?</v>
      </c>
      <c r="I38" s="5"/>
    </row>
    <row r="39" spans="1:9" ht="139.19999999999999" x14ac:dyDescent="0.25">
      <c r="A39" s="16"/>
      <c r="B39" s="17">
        <v>35</v>
      </c>
      <c r="C39" s="2" t="b">
        <f ca="1">IFERROR(__xludf.DUMMYFUNCTION("""COMPUTED_VALUE"""),FALSE)</f>
        <v>0</v>
      </c>
      <c r="D39" s="2">
        <f ca="1">IFERROR(__xludf.DUMMYFUNCTION("""COMPUTED_VALUE"""),100)</f>
        <v>100</v>
      </c>
      <c r="E39" s="2" t="str">
        <f ca="1">IFERROR(__xludf.DUMMYFUNCTION("""COMPUTED_VALUE"""),"Disguise Pen")</f>
        <v>Disguise Pen</v>
      </c>
      <c r="F39" s="2" t="str">
        <f ca="1">IFERROR(__xludf.DUMMYFUNCTION("""COMPUTED_VALUE"""),"Submission Sailor Moon")</f>
        <v>Submission Sailor Moon</v>
      </c>
      <c r="G39" s="2" t="str">
        <f ca="1">IFERROR(__xludf.DUMMYFUNCTION("""COMPUTED_VALUE"""),"Body &amp; Beauty")</f>
        <v>Body &amp; Beauty</v>
      </c>
      <c r="H39" s="2" t="str">
        <f ca="1">IFERROR(__xludf.DUMMYFUNCTION("""COMPUTED_VALUE"""),"An old Senshi standby for whenever saving the day depends on a really good disguise, the Disguise Pen is one of Sailor Moon’s favorite tools and allows her to transform into various civilian outfits at will. These disguises are quite thorough, providing a"&amp;" full change of clothes, altering the user’s apparent age or other physical traits, and even bestowing mundane skills to better suit any intended roles, though this will only last until the transformation is undone and the level of skill gained is only on"&amp;" the level of an average adult professional. Of course the potential uses for sexy cosplay and other “unofficial” uses for such a neat little tool should probably go without saying, just don’t let Luna catch you abusing it.")</f>
        <v>An old Senshi standby for whenever saving the day depends on a really good disguise, the Disguise Pen is one of Sailor Moon’s favorite tools and allows her to transform into various civilian outfits at will. These disguises are quite thorough, providing a full change of clothes, altering the user’s apparent age or other physical traits, and even bestowing mundane skills to better suit any intended roles, though this will only last until the transformation is undone and the level of skill gained is only on the level of an average adult professional. Of course the potential uses for sexy cosplay and other “unofficial” uses for such a neat little tool should probably go without saying, just don’t let Luna catch you abusing it.</v>
      </c>
      <c r="I39" s="5"/>
    </row>
    <row r="40" spans="1:9" ht="121.8" x14ac:dyDescent="0.25">
      <c r="A40" s="16"/>
      <c r="B40" s="17">
        <v>36</v>
      </c>
      <c r="C40" s="2" t="b">
        <f ca="1">IFERROR(__xludf.DUMMYFUNCTION("""COMPUTED_VALUE"""),FALSE)</f>
        <v>0</v>
      </c>
      <c r="D40" s="2">
        <f ca="1">IFERROR(__xludf.DUMMYFUNCTION("""COMPUTED_VALUE"""),100)</f>
        <v>100</v>
      </c>
      <c r="E40" s="2" t="str">
        <f ca="1">IFERROR(__xludf.DUMMYFUNCTION("""COMPUTED_VALUE"""),"Easy Tanning")</f>
        <v>Easy Tanning</v>
      </c>
      <c r="F40" s="2" t="str">
        <f ca="1">IFERROR(__xludf.DUMMYFUNCTION("""COMPUTED_VALUE"""),"Burakku Gakkou Ni Tsutomete Shimatta Sensei")</f>
        <v>Burakku Gakkou Ni Tsutomete Shimatta Sensei</v>
      </c>
      <c r="G40" s="2" t="str">
        <f ca="1">IFERROR(__xludf.DUMMYFUNCTION("""COMPUTED_VALUE"""),"Body &amp; Beauty")</f>
        <v>Body &amp; Beauty</v>
      </c>
      <c r="H40" s="2" t="str">
        <f ca="1">IFERROR(__xludf.DUMMYFUNCTION("""COMPUTED_VALUE"""),"Are you trying to be a kuro-gyaru with skin like that? Lololol, try again, fam. This perk’s got you covered; from now on, you’ll be able to easily tan your skin to
whatever shade of darkness you prefer, regardless of if you’re sunning outside or using a "&amp;"tanning bed. Even your covered skin can tan if you want it to, so you won’t have tan lines unless you actively want them. Also, tanning is perfectly safe for you, and poses no health dangers or risks of skin cancer or sunburn. Finally, your tan will stick"&amp;" around for as long as you want it without fading; this also means that if you want to go pale again, it will only take a week or so for the tan to fade away.")</f>
        <v>Are you trying to be a kuro-gyaru with skin like that? Lololol, try again, fam. This perk’s got you covered; from now on, you’ll be able to easily tan your skin to
whatever shade of darkness you prefer, regardless of if you’re sunning outside or using a tanning bed. Even your covered skin can tan if you want it to, so you won’t have tan lines unless you actively want them. Also, tanning is perfectly safe for you, and poses no health dangers or risks of skin cancer or sunburn. Finally, your tan will stick around for as long as you want it without fading; this also means that if you want to go pale again, it will only take a week or so for the tan to fade away.</v>
      </c>
      <c r="I40" s="5"/>
    </row>
    <row r="41" spans="1:9" ht="69.599999999999994" x14ac:dyDescent="0.25">
      <c r="A41" s="16"/>
      <c r="B41" s="17">
        <v>37</v>
      </c>
      <c r="C41" s="2" t="b">
        <f ca="1">IFERROR(__xludf.DUMMYFUNCTION("""COMPUTED_VALUE"""),FALSE)</f>
        <v>0</v>
      </c>
      <c r="D41" s="2">
        <f ca="1">IFERROR(__xludf.DUMMYFUNCTION("""COMPUTED_VALUE"""),100)</f>
        <v>100</v>
      </c>
      <c r="E41" s="2" t="str">
        <f ca="1">IFERROR(__xludf.DUMMYFUNCTION("""COMPUTED_VALUE"""),"Environmental Protection")</f>
        <v>Environmental Protection</v>
      </c>
      <c r="F41" s="2" t="str">
        <f ca="1">IFERROR(__xludf.DUMMYFUNCTION("""COMPUTED_VALUE"""),"Pokemon Ecchi Version")</f>
        <v>Pokemon Ecchi Version</v>
      </c>
      <c r="G41" s="2" t="str">
        <f ca="1">IFERROR(__xludf.DUMMYFUNCTION("""COMPUTED_VALUE"""),"Body &amp; Beauty")</f>
        <v>Body &amp; Beauty</v>
      </c>
      <c r="H41" s="2" t="str">
        <f ca="1">IFERROR(__xludf.DUMMYFUNCTION("""COMPUTED_VALUE"""),"A Pokemon Trainer will encounter many things as they travel. Wind, rain, snow, sun, sand, and so on. You now have an immunity to any sort of environmental issues, whether that’s a blowing sandstorm or blizzard, burning heat or freezing cold, scorching sun"&amp;" or lack of it. You also won’t ever get dehydrated, though you can still get thirsty.")</f>
        <v>A Pokemon Trainer will encounter many things as they travel. Wind, rain, snow, sun, sand, and so on. You now have an immunity to any sort of environmental issues, whether that’s a blowing sandstorm or blizzard, burning heat or freezing cold, scorching sun or lack of it. You also won’t ever get dehydrated, though you can still get thirsty.</v>
      </c>
      <c r="I41" s="5"/>
    </row>
    <row r="42" spans="1:9" ht="52.2" x14ac:dyDescent="0.25">
      <c r="A42" s="16"/>
      <c r="B42" s="17">
        <v>38</v>
      </c>
      <c r="C42" s="2" t="b">
        <f ca="1">IFERROR(__xludf.DUMMYFUNCTION("""COMPUTED_VALUE"""),FALSE)</f>
        <v>0</v>
      </c>
      <c r="D42" s="2">
        <f ca="1">IFERROR(__xludf.DUMMYFUNCTION("""COMPUTED_VALUE"""),100)</f>
        <v>100</v>
      </c>
      <c r="E42" s="2" t="str">
        <f ca="1">IFERROR(__xludf.DUMMYFUNCTION("""COMPUTED_VALUE"""),"Erogenous Amplification Matrix")</f>
        <v>Erogenous Amplification Matrix</v>
      </c>
      <c r="F42" s="2" t="str">
        <f ca="1">IFERROR(__xludf.DUMMYFUNCTION("""COMPUTED_VALUE"""),"Carbon Pink")</f>
        <v>Carbon Pink</v>
      </c>
      <c r="G42" s="2" t="str">
        <f ca="1">IFERROR(__xludf.DUMMYFUNCTION("""COMPUTED_VALUE"""),"Body &amp; Beauty")</f>
        <v>Body &amp; Beauty</v>
      </c>
      <c r="H42" s="2" t="str">
        <f ca="1">IFERROR(__xludf.DUMMYFUNCTION("""COMPUTED_VALUE"""),"This choker-shaped object amplifies all sensation from the neck down. Set it to fifty-x, take a shower and the first water droplet that touches your body’ll cause you to fill the bathtub with sexual fluids. For reference, it goes up to at least two-thousa"&amp;"nd-x")</f>
        <v>This choker-shaped object amplifies all sensation from the neck down. Set it to fifty-x, take a shower and the first water droplet that touches your body’ll cause you to fill the bathtub with sexual fluids. For reference, it goes up to at least two-thousand-x</v>
      </c>
      <c r="I42" s="5"/>
    </row>
    <row r="43" spans="1:9" ht="52.2" x14ac:dyDescent="0.25">
      <c r="A43" s="16"/>
      <c r="B43" s="17">
        <v>39</v>
      </c>
      <c r="C43" s="2" t="b">
        <f ca="1">IFERROR(__xludf.DUMMYFUNCTION("""COMPUTED_VALUE"""),FALSE)</f>
        <v>0</v>
      </c>
      <c r="D43" s="2">
        <f ca="1">IFERROR(__xludf.DUMMYFUNCTION("""COMPUTED_VALUE"""),100)</f>
        <v>100</v>
      </c>
      <c r="E43" s="2" t="str">
        <f ca="1">IFERROR(__xludf.DUMMYFUNCTION("""COMPUTED_VALUE"""),"Everyone's a Little Bisexual")</f>
        <v>Everyone's a Little Bisexual</v>
      </c>
      <c r="F43" s="2" t="str">
        <f ca="1">IFERROR(__xludf.DUMMYFUNCTION("""COMPUTED_VALUE"""),"Generic: Doujinshi High School")</f>
        <v>Generic: Doujinshi High School</v>
      </c>
      <c r="G43" s="2" t="str">
        <f ca="1">IFERROR(__xludf.DUMMYFUNCTION("""COMPUTED_VALUE"""),"Body &amp; Beauty")</f>
        <v>Body &amp; Beauty</v>
      </c>
      <c r="H43" s="2" t="str">
        <f ca="1">IFERROR(__xludf.DUMMYFUNCTION("""COMPUTED_VALUE"""),"At least, when it comes to you. If someone only likes people of a certain gender, species, skin color, profession, and so on, they're willing to make an exception for you. On top of that, you and your partner won’t be discriminated against for these relat"&amp;"ionships.")</f>
        <v>At least, when it comes to you. If someone only likes people of a certain gender, species, skin color, profession, and so on, they're willing to make an exception for you. On top of that, you and your partner won’t be discriminated against for these relationships.</v>
      </c>
      <c r="I43" s="5"/>
    </row>
    <row r="44" spans="1:9" ht="104.4" x14ac:dyDescent="0.25">
      <c r="A44" s="16"/>
      <c r="B44" s="17">
        <v>40</v>
      </c>
      <c r="C44" s="2" t="b">
        <f ca="1">IFERROR(__xludf.DUMMYFUNCTION("""COMPUTED_VALUE"""),FALSE)</f>
        <v>0</v>
      </c>
      <c r="D44" s="2">
        <f ca="1">IFERROR(__xludf.DUMMYFUNCTION("""COMPUTED_VALUE"""),100)</f>
        <v>100</v>
      </c>
      <c r="E44" s="2" t="str">
        <f ca="1">IFERROR(__xludf.DUMMYFUNCTION("""COMPUTED_VALUE"""),"Extreme Pleasures")</f>
        <v>Extreme Pleasures</v>
      </c>
      <c r="F44" s="2" t="str">
        <f ca="1">IFERROR(__xludf.DUMMYFUNCTION("""COMPUTED_VALUE"""),"TSF World")</f>
        <v>TSF World</v>
      </c>
      <c r="G44" s="2" t="str">
        <f ca="1">IFERROR(__xludf.DUMMYFUNCTION("""COMPUTED_VALUE"""),"Body &amp; Beauty")</f>
        <v>Body &amp; Beauty</v>
      </c>
      <c r="H44" s="2" t="str">
        <f ca="1">IFERROR(__xludf.DUMMYFUNCTION("""COMPUTED_VALUE"""),"People always say girls feel it more than guys, and however true that may be for other people, few people would feel as much pleasure as you do. Like lightning in your veins, fire through your blood, the pleasure you feel as you pleasure yourself in your "&amp;"body is enough to make one addicted. Not that you actually would get addicted. It is a rush that sends shivers down your spine and leaves you delirious from pleasure, as it would to any would-be possessors who were sharing the body. You can tone this feel"&amp;"ing down if you wish.")</f>
        <v>People always say girls feel it more than guys, and however true that may be for other people, few people would feel as much pleasure as you do. Like lightning in your veins, fire through your blood, the pleasure you feel as you pleasure yourself in your body is enough to make one addicted. Not that you actually would get addicted. It is a rush that sends shivers down your spine and leaves you delirious from pleasure, as it would to any would-be possessors who were sharing the body. You can tone this feeling down if you wish.</v>
      </c>
      <c r="I44" s="5"/>
    </row>
    <row r="45" spans="1:9" ht="69.599999999999994" x14ac:dyDescent="0.25">
      <c r="A45" s="16"/>
      <c r="B45" s="17">
        <v>41</v>
      </c>
      <c r="C45" s="2" t="b">
        <f ca="1">IFERROR(__xludf.DUMMYFUNCTION("""COMPUTED_VALUE"""),FALSE)</f>
        <v>0</v>
      </c>
      <c r="D45" s="2">
        <f ca="1">IFERROR(__xludf.DUMMYFUNCTION("""COMPUTED_VALUE"""),100)</f>
        <v>100</v>
      </c>
      <c r="E45" s="2" t="str">
        <f ca="1">IFERROR(__xludf.DUMMYFUNCTION("""COMPUTED_VALUE"""),"Feral Beauty")</f>
        <v>Feral Beauty</v>
      </c>
      <c r="F45" s="2" t="str">
        <f ca="1">IFERROR(__xludf.DUMMYFUNCTION("""COMPUTED_VALUE"""),"Monster Hunter XXX")</f>
        <v>Monster Hunter XXX</v>
      </c>
      <c r="G45" s="2" t="str">
        <f ca="1">IFERROR(__xludf.DUMMYFUNCTION("""COMPUTED_VALUE"""),"Body &amp; Beauty")</f>
        <v>Body &amp; Beauty</v>
      </c>
      <c r="H45" s="2" t="str">
        <f ca="1">IFERROR(__xludf.DUMMYFUNCTION("""COMPUTED_VALUE"""),"Practically a necessity, Jumper, considering that you live in the wilderness bereft of the niceties of civilization, probably. Simply put, dirt, mud, inclement weather, a face covered in gore... none of these things will ever detract from your appearance."&amp;" Further, you are now exempt from bathing, stenches, and other unpleasant biological functions. You do still need to eat though.")</f>
        <v>Practically a necessity, Jumper, considering that you live in the wilderness bereft of the niceties of civilization, probably. Simply put, dirt, mud, inclement weather, a face covered in gore... none of these things will ever detract from your appearance. Further, you are now exempt from bathing, stenches, and other unpleasant biological functions. You do still need to eat though.</v>
      </c>
      <c r="I45" s="5"/>
    </row>
    <row r="46" spans="1:9" ht="139.19999999999999" x14ac:dyDescent="0.25">
      <c r="A46" s="16"/>
      <c r="B46" s="17">
        <v>42</v>
      </c>
      <c r="C46" s="2" t="b">
        <f ca="1">IFERROR(__xludf.DUMMYFUNCTION("""COMPUTED_VALUE"""),FALSE)</f>
        <v>0</v>
      </c>
      <c r="D46" s="2">
        <f ca="1">IFERROR(__xludf.DUMMYFUNCTION("""COMPUTED_VALUE"""),100)</f>
        <v>100</v>
      </c>
      <c r="E46" s="2" t="str">
        <f ca="1">IFERROR(__xludf.DUMMYFUNCTION("""COMPUTED_VALUE"""),"Fishnet and Hoodie")</f>
        <v>Fishnet and Hoodie</v>
      </c>
      <c r="F46" s="2" t="str">
        <f ca="1">IFERROR(__xludf.DUMMYFUNCTION("""COMPUTED_VALUE"""),"Naruto Blacked")</f>
        <v>Naruto Blacked</v>
      </c>
      <c r="G46" s="2" t="str">
        <f ca="1">IFERROR(__xludf.DUMMYFUNCTION("""COMPUTED_VALUE"""),"Body &amp; Beauty")</f>
        <v>Body &amp; Beauty</v>
      </c>
      <c r="H46" s="2" t="str">
        <f ca="1">IFERROR(__xludf.DUMMYFUNCTION("""COMPUTED_VALUE"""),"A distinctive outfit and combat gear is the most basic part of every ninja’s equipment loadout. For you that outfit is a mix of several different outfits ranging from a fishnet-like combat mesh to a large hoodie like the one young Hinata wears. Both are s"&amp;"urprisingly decent armor for ninja stuff; they won’t protect you from a high-level jutsu but they work great against injuries from blades, shuriken, ninja wire, and other common ninja tools despite their skimpy (or not) appearances. Of special note, the f"&amp;"ishnet mesh outfit is hilariously revealing despite still being functional armor, and the hoodie is hilariously concealing, allowing you to stuff some absolutely enormous tits and ass into it and pass yourself off as a plain Jane until you’re ready for th"&amp;"e clothes to come off.")</f>
        <v>A distinctive outfit and combat gear is the most basic part of every ninja’s equipment loadout. For you that outfit is a mix of several different outfits ranging from a fishnet-like combat mesh to a large hoodie like the one young Hinata wears. Both are surprisingly decent armor for ninja stuff; they won’t protect you from a high-level jutsu but they work great against injuries from blades, shuriken, ninja wire, and other common ninja tools despite their skimpy (or not) appearances. Of special note, the fishnet mesh outfit is hilariously revealing despite still being functional armor, and the hoodie is hilariously concealing, allowing you to stuff some absolutely enormous tits and ass into it and pass yourself off as a plain Jane until you’re ready for the clothes to come off.</v>
      </c>
      <c r="I46" s="5"/>
    </row>
    <row r="47" spans="1:9" ht="121.8" x14ac:dyDescent="0.25">
      <c r="A47" s="16"/>
      <c r="B47" s="17">
        <v>43</v>
      </c>
      <c r="C47" s="2" t="b">
        <f ca="1">IFERROR(__xludf.DUMMYFUNCTION("""COMPUTED_VALUE"""),FALSE)</f>
        <v>0</v>
      </c>
      <c r="D47" s="2">
        <f ca="1">IFERROR(__xludf.DUMMYFUNCTION("""COMPUTED_VALUE"""),100)</f>
        <v>100</v>
      </c>
      <c r="E47" s="2" t="str">
        <f ca="1">IFERROR(__xludf.DUMMYFUNCTION("""COMPUTED_VALUE"""),"Fluid Control")</f>
        <v>Fluid Control</v>
      </c>
      <c r="F47" s="2" t="str">
        <f ca="1">IFERROR(__xludf.DUMMYFUNCTION("""COMPUTED_VALUE"""),"Winger’s World")</f>
        <v>Winger’s World</v>
      </c>
      <c r="G47" s="2" t="str">
        <f ca="1">IFERROR(__xludf.DUMMYFUNCTION("""COMPUTED_VALUE"""),"Body &amp; Beauty")</f>
        <v>Body &amp; Beauty</v>
      </c>
      <c r="H47" s="2" t="str">
        <f ca="1">IFERROR(__xludf.DUMMYFUNCTION("""COMPUTED_VALUE"""),"You now have control over how much fluid your body produces and releases, as well as when. Become dripping wet at a moments notice. Feed an entire family with your milk. Become a one-person bukkake machine. Your body still has to make these fluids, though"&amp;".
As a bonus, if you have any perks that apply to your fluids - turning them into aphrodisiacs, making them delicious, warping minds etc. - then you can now turn those effects down or even off on a case-by-case basis. It might come in handy!")</f>
        <v>You now have control over how much fluid your body produces and releases, as well as when. Become dripping wet at a moments notice. Feed an entire family with your milk. Become a one-person bukkake machine. Your body still has to make these fluids, though.
As a bonus, if you have any perks that apply to your fluids - turning them into aphrodisiacs, making them delicious, warping minds etc. - then you can now turn those effects down or even off on a case-by-case basis. It might come in handy!</v>
      </c>
      <c r="I47" s="5"/>
    </row>
    <row r="48" spans="1:9" ht="191.4" x14ac:dyDescent="0.25">
      <c r="A48" s="16"/>
      <c r="B48" s="17">
        <v>44</v>
      </c>
      <c r="C48" s="2" t="b">
        <f ca="1">IFERROR(__xludf.DUMMYFUNCTION("""COMPUTED_VALUE"""),FALSE)</f>
        <v>0</v>
      </c>
      <c r="D48" s="2">
        <f ca="1">IFERROR(__xludf.DUMMYFUNCTION("""COMPUTED_VALUE"""),100)</f>
        <v>100</v>
      </c>
      <c r="E48" s="2" t="str">
        <f ca="1">IFERROR(__xludf.DUMMYFUNCTION("""COMPUTED_VALUE"""),"Formal Wear")</f>
        <v>Formal Wear</v>
      </c>
      <c r="F48" s="2" t="str">
        <f ca="1">IFERROR(__xludf.DUMMYFUNCTION("""COMPUTED_VALUE"""),"Generic: Monster Fucker/Horny Horror")</f>
        <v>Generic: Monster Fucker/Horny Horror</v>
      </c>
      <c r="G48" s="2" t="str">
        <f ca="1">IFERROR(__xludf.DUMMYFUNCTION("""COMPUTED_VALUE"""),"Body &amp; Beauty")</f>
        <v>Body &amp; Beauty</v>
      </c>
      <c r="H48" s="2" t="str">
        <f ca="1">IFERROR(__xludf.DUMMYFUNCTION("""COMPUTED_VALUE"""),"That no-faced freak always has these well tailored suits. That tall bitch from Japan has the most beautiful, white dresses. Where are they getting their nice clothes from? Can’t be the store, they’re like eight feet tall. 
You have been given a larger on"&amp;" the inside wardrobe filled with your own strangely nice, tailored clothing. Suits, sun dresses, you even have stuff that looks like it came straight from Victorian era high fashion. 
No matter what kind of monstrous form you or a companion may have, the"&amp;"re’s something in there made to fit you appropriately, and the clothes will help you put them on if you don’t have hands. Also comes in mundane variants, I guess.")</f>
        <v>That no-faced freak always has these well tailored suits. That tall bitch from Japan has the most beautiful, white dresses. Where are they getting their nice clothes from? Can’t be the store, they’re like eight feet tall. 
You have been given a larger on the inside wardrobe filled with your own strangely nice, tailored clothing. Suits, sun dresses, you even have stuff that looks like it came straight from Victorian era high fashion. 
No matter what kind of monstrous form you or a companion may have, there’s something in there made to fit you appropriately, and the clothes will help you put them on if you don’t have hands. Also comes in mundane variants, I guess.</v>
      </c>
      <c r="I48" s="5"/>
    </row>
    <row r="49" spans="1:9" ht="87" x14ac:dyDescent="0.25">
      <c r="A49" s="16"/>
      <c r="B49" s="17">
        <v>45</v>
      </c>
      <c r="C49" s="2" t="b">
        <f ca="1">IFERROR(__xludf.DUMMYFUNCTION("""COMPUTED_VALUE"""),FALSE)</f>
        <v>0</v>
      </c>
      <c r="D49" s="2">
        <f ca="1">IFERROR(__xludf.DUMMYFUNCTION("""COMPUTED_VALUE"""),100)</f>
        <v>100</v>
      </c>
      <c r="E49" s="2" t="str">
        <f ca="1">IFERROR(__xludf.DUMMYFUNCTION("""COMPUTED_VALUE"""),"Frequent Freak Flyer Miles")</f>
        <v>Frequent Freak Flyer Miles</v>
      </c>
      <c r="F49" s="2" t="str">
        <f ca="1">IFERROR(__xludf.DUMMYFUNCTION("""COMPUTED_VALUE"""),"How they Fap in Parallel Worlds")</f>
        <v>How they Fap in Parallel Worlds</v>
      </c>
      <c r="G49" s="2" t="str">
        <f ca="1">IFERROR(__xludf.DUMMYFUNCTION("""COMPUTED_VALUE"""),"Body &amp; Beauty")</f>
        <v>Body &amp; Beauty</v>
      </c>
      <c r="H49" s="2" t="str">
        <f ca="1">IFERROR(__xludf.DUMMYFUNCTION("""COMPUTED_VALUE"""),"If those Japanese hentai comics are to be believed, conventional human attractiveness isn’t quite mutually required. No matter how strange, or even grotesque your body may be, you have some unquantifiable charm that incites sexual curiosity. Just enough t"&amp;"o make them contemplate “should I touch it?” or “would it feel good?”, but whether this goes beyond pure curiosity depends on the individual, but the odds of them at least giving you a chance are much higher than before.")</f>
        <v>If those Japanese hentai comics are to be believed, conventional human attractiveness isn’t quite mutually required. No matter how strange, or even grotesque your body may be, you have some unquantifiable charm that incites sexual curiosity. Just enough to make them contemplate “should I touch it?” or “would it feel good?”, but whether this goes beyond pure curiosity depends on the individual, but the odds of them at least giving you a chance are much higher than before.</v>
      </c>
      <c r="I49" s="5"/>
    </row>
    <row r="50" spans="1:9" ht="174" x14ac:dyDescent="0.25">
      <c r="A50" s="16"/>
      <c r="B50" s="17">
        <v>46</v>
      </c>
      <c r="C50" s="2" t="b">
        <f ca="1">IFERROR(__xludf.DUMMYFUNCTION("""COMPUTED_VALUE"""),FALSE)</f>
        <v>0</v>
      </c>
      <c r="D50" s="2">
        <f ca="1">IFERROR(__xludf.DUMMYFUNCTION("""COMPUTED_VALUE"""),100)</f>
        <v>100</v>
      </c>
      <c r="E50" s="2" t="str">
        <f ca="1">IFERROR(__xludf.DUMMYFUNCTION("""COMPUTED_VALUE"""),"Glutton for Punishment")</f>
        <v>Glutton for Punishment</v>
      </c>
      <c r="F50" s="2" t="str">
        <f ca="1">IFERROR(__xludf.DUMMYFUNCTION("""COMPUTED_VALUE"""),"Rope Master")</f>
        <v>Rope Master</v>
      </c>
      <c r="G50" s="2" t="str">
        <f ca="1">IFERROR(__xludf.DUMMYFUNCTION("""COMPUTED_VALUE"""),"Body &amp; Beauty")</f>
        <v>Body &amp; Beauty</v>
      </c>
      <c r="H50" s="2" t="str">
        <f ca="1">IFERROR(__xludf.DUMMYFUNCTION("""COMPUTED_VALUE"""),"An ordinary life is hard enough without also trying to be some kind of schoolgirl superheroine on the side but you’re tough enough that difficult things like that just roll off of you. You have a hardy constitution and can endure all kinds of rough treatm"&amp;"ent: from sleep deprivation and battle injuries to hardcore sadism, you can take a licking and keep on ticking without penalties to your health or physical performance, and any injuries you take heal extremely quickly. Bruises, scrapes, and rope burns van"&amp;"ish in hours while serious wounds need only a few days to heal. In general you thrive under unpleasant conditions, your suffering merely motivating you to fight harder instead of weakening your resolve and tempting you to throw in the towel, and if you ar"&amp;"en’t already a hardcore masochist who gets off on rough treatment you can choose to become one and get some extra thrills out of your ordeals.")</f>
        <v>An ordinary life is hard enough without also trying to be some kind of schoolgirl superheroine on the side but you’re tough enough that difficult things like that just roll off of you. You have a hardy constitution and can endure all kinds of rough treatment: from sleep deprivation and battle injuries to hardcore sadism, you can take a licking and keep on ticking without penalties to your health or physical performance, and any injuries you take heal extremely quickly. Bruises, scrapes, and rope burns vanish in hours while serious wounds need only a few days to heal. In general you thrive under unpleasant conditions, your suffering merely motivating you to fight harder instead of weakening your resolve and tempting you to throw in the towel, and if you aren’t already a hardcore masochist who gets off on rough treatment you can choose to become one and get some extra thrills out of your ordeals.</v>
      </c>
      <c r="I50" s="5"/>
    </row>
    <row r="51" spans="1:9" ht="174" x14ac:dyDescent="0.25">
      <c r="A51" s="16"/>
      <c r="B51" s="17">
        <v>47</v>
      </c>
      <c r="C51" s="2" t="b">
        <f ca="1">IFERROR(__xludf.DUMMYFUNCTION("""COMPUTED_VALUE"""),FALSE)</f>
        <v>0</v>
      </c>
      <c r="D51" s="2">
        <f ca="1">IFERROR(__xludf.DUMMYFUNCTION("""COMPUTED_VALUE"""),100)</f>
        <v>100</v>
      </c>
      <c r="E51" s="2" t="str">
        <f ca="1">IFERROR(__xludf.DUMMYFUNCTION("""COMPUTED_VALUE"""),"Gorgeous Looks")</f>
        <v>Gorgeous Looks</v>
      </c>
      <c r="F51" s="2" t="str">
        <f ca="1">IFERROR(__xludf.DUMMYFUNCTION("""COMPUTED_VALUE"""),"Haramase Simulator")</f>
        <v>Haramase Simulator</v>
      </c>
      <c r="G51" s="2" t="str">
        <f ca="1">IFERROR(__xludf.DUMMYFUNCTION("""COMPUTED_VALUE"""),"Body &amp; Beauty")</f>
        <v>Body &amp; Beauty</v>
      </c>
      <c r="H51" s="2" t="str">
        <f ca="1">IFERROR(__xludf.DUMMYFUNCTION("""COMPUTED_VALUE"""),"No matter where you go, you're pretty much always by far the most attractive person in the crowd. This could manifest in different ways, depending on whether you want to look cute, mature, sexy, or attractive in some other way. But regardless of the speci"&amp;"fics, you're stunning enough that running into a cardholder will probably leave them drooling as they admire you. Moreover, pregnancy never diminishes your looks. Your breasts might get a bit bigger or you might start looking a bit more motherly, but it'l"&amp;"l only further enhance your existing beauty. Even such things as stretch marks or getting loose are things of the past now. 
If you're a male, you can apply that second part to the women you impregnate instead, ensuring your harem will only get better wi"&amp;"th successive pregnancies.")</f>
        <v>No matter where you go, you're pretty much always by far the most attractive person in the crowd. This could manifest in different ways, depending on whether you want to look cute, mature, sexy, or attractive in some other way. But regardless of the specifics, you're stunning enough that running into a cardholder will probably leave them drooling as they admire you. Moreover, pregnancy never diminishes your looks. Your breasts might get a bit bigger or you might start looking a bit more motherly, but it'll only further enhance your existing beauty. Even such things as stretch marks or getting loose are things of the past now. 
If you're a male, you can apply that second part to the women you impregnate instead, ensuring your harem will only get better with successive pregnancies.</v>
      </c>
      <c r="I51" s="5"/>
    </row>
    <row r="52" spans="1:9" ht="87" x14ac:dyDescent="0.25">
      <c r="A52" s="16"/>
      <c r="B52" s="17">
        <v>48</v>
      </c>
      <c r="C52" s="2" t="b">
        <f ca="1">IFERROR(__xludf.DUMMYFUNCTION("""COMPUTED_VALUE"""),FALSE)</f>
        <v>0</v>
      </c>
      <c r="D52" s="2">
        <f ca="1">IFERROR(__xludf.DUMMYFUNCTION("""COMPUTED_VALUE"""),100)</f>
        <v>100</v>
      </c>
      <c r="E52" s="2" t="str">
        <f ca="1">IFERROR(__xludf.DUMMYFUNCTION("""COMPUTED_VALUE"""),"Handsome Devil")</f>
        <v>Handsome Devil</v>
      </c>
      <c r="F52" s="2" t="str">
        <f ca="1">IFERROR(__xludf.DUMMYFUNCTION("""COMPUTED_VALUE"""),"Emergence")</f>
        <v>Emergence</v>
      </c>
      <c r="G52" s="2" t="str">
        <f ca="1">IFERROR(__xludf.DUMMYFUNCTION("""COMPUTED_VALUE"""),"Body &amp; Beauty")</f>
        <v>Body &amp; Beauty</v>
      </c>
      <c r="H52" s="2" t="str">
        <f ca="1">IFERROR(__xludf.DUMMYFUNCTION("""COMPUTED_VALUE"""),"Something wild about you boy, any girl could see that. There’s a roguish charm you have to go along with your really quite handsome looks, something that makes you look bad enough that people want to rebel by going out with you and find you attractive yet"&amp;" not bad enough to give anyone suspicious feelings. In fact, you just don’t feel threatening or suspicious at all unless you try too. It makes it a lot easier to get people to trust you, even if they don’t fall for your modern good looks.")</f>
        <v>Something wild about you boy, any girl could see that. There’s a roguish charm you have to go along with your really quite handsome looks, something that makes you look bad enough that people want to rebel by going out with you and find you attractive yet not bad enough to give anyone suspicious feelings. In fact, you just don’t feel threatening or suspicious at all unless you try too. It makes it a lot easier to get people to trust you, even if they don’t fall for your modern good looks.</v>
      </c>
      <c r="I52" s="5"/>
    </row>
    <row r="53" spans="1:9" ht="104.4" x14ac:dyDescent="0.25">
      <c r="A53" s="16"/>
      <c r="B53" s="17">
        <v>49</v>
      </c>
      <c r="C53" s="2" t="b">
        <f ca="1">IFERROR(__xludf.DUMMYFUNCTION("""COMPUTED_VALUE"""),FALSE)</f>
        <v>0</v>
      </c>
      <c r="D53" s="2">
        <f ca="1">IFERROR(__xludf.DUMMYFUNCTION("""COMPUTED_VALUE"""),100)</f>
        <v>100</v>
      </c>
      <c r="E53" s="2" t="str">
        <f ca="1">IFERROR(__xludf.DUMMYFUNCTION("""COMPUTED_VALUE"""),"Happy Pills")</f>
        <v>Happy Pills</v>
      </c>
      <c r="F53" s="2" t="str">
        <f ca="1">IFERROR(__xludf.DUMMYFUNCTION("""COMPUTED_VALUE"""),"Emergence")</f>
        <v>Emergence</v>
      </c>
      <c r="G53" s="2" t="str">
        <f ca="1">IFERROR(__xludf.DUMMYFUNCTION("""COMPUTED_VALUE"""),"Body &amp; Beauty")</f>
        <v>Body &amp; Beauty</v>
      </c>
      <c r="H53" s="2" t="str">
        <f ca="1">IFERROR(__xludf.DUMMYFUNCTION("""COMPUTED_VALUE"""),"Heeey, you got the good stuff? Why don’t you share it around, especially if you have so much. It’s practically spilling out of your pockets! A seemingly limitless supply of little pink tablets with hearts of them that greatly enhance the pleasure and pain"&amp;" sensitivities of anyone that eats a tablet. They’re not even addictive, though the pleasure they give might be. Reach into a pocket and you’ll find some in your hands. Now and then, you might also find a little baggie of white powder, the real hard stuff"&amp;", for if you want to get really crazy. But that’s pretty rare.")</f>
        <v>Heeey, you got the good stuff? Why don’t you share it around, especially if you have so much. It’s practically spilling out of your pockets! A seemingly limitless supply of little pink tablets with hearts of them that greatly enhance the pleasure and pain sensitivities of anyone that eats a tablet. They’re not even addictive, though the pleasure they give might be. Reach into a pocket and you’ll find some in your hands. Now and then, you might also find a little baggie of white powder, the real hard stuff, for if you want to get really crazy. But that’s pretty rare.</v>
      </c>
      <c r="I53" s="5"/>
    </row>
    <row r="54" spans="1:9" ht="52.2" x14ac:dyDescent="0.25">
      <c r="A54" s="16"/>
      <c r="B54" s="17">
        <v>50</v>
      </c>
      <c r="C54" s="2" t="b">
        <f ca="1">IFERROR(__xludf.DUMMYFUNCTION("""COMPUTED_VALUE"""),FALSE)</f>
        <v>0</v>
      </c>
      <c r="D54" s="2">
        <f ca="1">IFERROR(__xludf.DUMMYFUNCTION("""COMPUTED_VALUE"""),100)</f>
        <v>100</v>
      </c>
      <c r="E54" s="2" t="str">
        <f ca="1">IFERROR(__xludf.DUMMYFUNCTION("""COMPUTED_VALUE"""),"Hollywood Polish")</f>
        <v>Hollywood Polish</v>
      </c>
      <c r="F54" s="2" t="str">
        <f ca="1">IFERROR(__xludf.DUMMYFUNCTION("""COMPUTED_VALUE"""),"Generic: Fat-Fetish")</f>
        <v>Generic: Fat-Fetish</v>
      </c>
      <c r="G54" s="2" t="str">
        <f ca="1">IFERROR(__xludf.DUMMYFUNCTION("""COMPUTED_VALUE"""),"Body &amp; Beauty")</f>
        <v>Body &amp; Beauty</v>
      </c>
      <c r="H54" s="2" t="str">
        <f ca="1">IFERROR(__xludf.DUMMYFUNCTION("""COMPUTED_VALUE"""),"You look ready for the movies, Master/Madame. To be in them, not to watch them, I mean. Your complexion, appearance, everything about your form has been given that movie-style glamour, bumping you 2 points up out of ten.")</f>
        <v>You look ready for the movies, Master/Madame. To be in them, not to watch them, I mean. Your complexion, appearance, everything about your form has been given that movie-style glamour, bumping you 2 points up out of ten.</v>
      </c>
      <c r="I54" s="5"/>
    </row>
    <row r="55" spans="1:9" ht="52.2" x14ac:dyDescent="0.25">
      <c r="A55" s="16"/>
      <c r="B55" s="17">
        <v>51</v>
      </c>
      <c r="C55" s="2" t="b">
        <f ca="1">IFERROR(__xludf.DUMMYFUNCTION("""COMPUTED_VALUE"""),FALSE)</f>
        <v>0</v>
      </c>
      <c r="D55" s="2">
        <f ca="1">IFERROR(__xludf.DUMMYFUNCTION("""COMPUTED_VALUE"""),100)</f>
        <v>100</v>
      </c>
      <c r="E55" s="2" t="str">
        <f ca="1">IFERROR(__xludf.DUMMYFUNCTION("""COMPUTED_VALUE"""),"Hungry Orifices")</f>
        <v>Hungry Orifices</v>
      </c>
      <c r="F55" s="2" t="str">
        <f ca="1">IFERROR(__xludf.DUMMYFUNCTION("""COMPUTED_VALUE"""),"Slimy Sextet")</f>
        <v>Slimy Sextet</v>
      </c>
      <c r="G55" s="2" t="str">
        <f ca="1">IFERROR(__xludf.DUMMYFUNCTION("""COMPUTED_VALUE"""),"Body &amp; Beauty")</f>
        <v>Body &amp; Beauty</v>
      </c>
      <c r="H55" s="2" t="str">
        <f ca="1">IFERROR(__xludf.DUMMYFUNCTION("""COMPUTED_VALUE"""),"Whenever one of your openings is filled with fluid, you can completely prevent any from spilling out. So even if your cunt were doused with cum, not a drop would escape. Sure, you can let it out if you want to... but why would you?")</f>
        <v>Whenever one of your openings is filled with fluid, you can completely prevent any from spilling out. So even if your cunt were doused with cum, not a drop would escape. Sure, you can let it out if you want to... but why would you?</v>
      </c>
      <c r="I55" s="5"/>
    </row>
    <row r="56" spans="1:9" ht="87" x14ac:dyDescent="0.25">
      <c r="A56" s="16"/>
      <c r="B56" s="17">
        <v>52</v>
      </c>
      <c r="C56" s="2" t="b">
        <f ca="1">IFERROR(__xludf.DUMMYFUNCTION("""COMPUTED_VALUE"""),FALSE)</f>
        <v>0</v>
      </c>
      <c r="D56" s="2">
        <f ca="1">IFERROR(__xludf.DUMMYFUNCTION("""COMPUTED_VALUE"""),100)</f>
        <v>100</v>
      </c>
      <c r="E56" s="2" t="str">
        <f ca="1">IFERROR(__xludf.DUMMYFUNCTION("""COMPUTED_VALUE"""),"Incredible Stamina")</f>
        <v>Incredible Stamina</v>
      </c>
      <c r="F56" s="2" t="str">
        <f ca="1">IFERROR(__xludf.DUMMYFUNCTION("""COMPUTED_VALUE"""),"Elrk")</f>
        <v>Elrk</v>
      </c>
      <c r="G56" s="2" t="str">
        <f ca="1">IFERROR(__xludf.DUMMYFUNCTION("""COMPUTED_VALUE"""),"Body &amp; Beauty")</f>
        <v>Body &amp; Beauty</v>
      </c>
      <c r="H56" s="2" t="str">
        <f ca="1">IFERROR(__xludf.DUMMYFUNCTION("""COMPUTED_VALUE"""),"Your stamina in bed and resistance to pleasure are all now amped up. You are now perfectly capable of fucking someone into oblivion for hours at a time without ever needing to stop. They might want you to, and may actually fade in and out of consciousness"&amp;", but you don’t need to. This also translates somewhat to increasing your general stamina, such as for travel, but that’s not nearly as interesting.")</f>
        <v>Your stamina in bed and resistance to pleasure are all now amped up. You are now perfectly capable of fucking someone into oblivion for hours at a time without ever needing to stop. They might want you to, and may actually fade in and out of consciousness, but you don’t need to. This also translates somewhat to increasing your general stamina, such as for travel, but that’s not nearly as interesting.</v>
      </c>
      <c r="I56" s="5"/>
    </row>
    <row r="57" spans="1:9" ht="104.4" x14ac:dyDescent="0.25">
      <c r="A57" s="16"/>
      <c r="B57" s="17">
        <v>53</v>
      </c>
      <c r="C57" s="2" t="b">
        <f ca="1">IFERROR(__xludf.DUMMYFUNCTION("""COMPUTED_VALUE"""),FALSE)</f>
        <v>0</v>
      </c>
      <c r="D57" s="2">
        <f ca="1">IFERROR(__xludf.DUMMYFUNCTION("""COMPUTED_VALUE"""),100)</f>
        <v>100</v>
      </c>
      <c r="E57" s="2" t="str">
        <f ca="1">IFERROR(__xludf.DUMMYFUNCTION("""COMPUTED_VALUE"""),"Kunoichi Outfit")</f>
        <v>Kunoichi Outfit</v>
      </c>
      <c r="F57" s="2" t="str">
        <f ca="1">IFERROR(__xludf.DUMMYFUNCTION("""COMPUTED_VALUE"""),"Merry Marry")</f>
        <v>Merry Marry</v>
      </c>
      <c r="G57" s="2" t="str">
        <f ca="1">IFERROR(__xludf.DUMMYFUNCTION("""COMPUTED_VALUE"""),"Body &amp; Beauty")</f>
        <v>Body &amp; Beauty</v>
      </c>
      <c r="H57" s="2" t="str">
        <f ca="1">IFERROR(__xludf.DUMMYFUNCTION("""COMPUTED_VALUE"""),"From the timeline where Itachi was born female I bring you this sweet little number. An extremely tight-fitting set of clothes that pronounce the average Kunoichi’s lack of shame, and show of every curve and muscle that they have. However, this one is spe"&amp;"cial. You see, beyond just being sexy in and of itself, the outfit continues to look better and better as you grow in power as a ninja. In short, a civilian wearing this is good looking. A genin is hot. A jonin, or even a kage? They’re going to need a new"&amp;" pair of eyes after they melt from how hot you are.")</f>
        <v>From the timeline where Itachi was born female I bring you this sweet little number. An extremely tight-fitting set of clothes that pronounce the average Kunoichi’s lack of shame, and show of every curve and muscle that they have. However, this one is special. You see, beyond just being sexy in and of itself, the outfit continues to look better and better as you grow in power as a ninja. In short, a civilian wearing this is good looking. A genin is hot. A jonin, or even a kage? They’re going to need a new pair of eyes after they melt from how hot you are.</v>
      </c>
      <c r="I57" s="5"/>
    </row>
    <row r="58" spans="1:9" ht="87" x14ac:dyDescent="0.25">
      <c r="A58" s="16"/>
      <c r="B58" s="17">
        <v>54</v>
      </c>
      <c r="C58" s="2" t="b">
        <f ca="1">IFERROR(__xludf.DUMMYFUNCTION("""COMPUTED_VALUE"""),FALSE)</f>
        <v>0</v>
      </c>
      <c r="D58" s="2">
        <f ca="1">IFERROR(__xludf.DUMMYFUNCTION("""COMPUTED_VALUE"""),100)</f>
        <v>100</v>
      </c>
      <c r="E58" s="2" t="str">
        <f ca="1">IFERROR(__xludf.DUMMYFUNCTION("""COMPUTED_VALUE"""),"Leaky Faucet")</f>
        <v>Leaky Faucet</v>
      </c>
      <c r="F58" s="2" t="str">
        <f ca="1">IFERROR(__xludf.DUMMYFUNCTION("""COMPUTED_VALUE"""),"Aki-Akane")</f>
        <v>Aki-Akane</v>
      </c>
      <c r="G58" s="2" t="str">
        <f ca="1">IFERROR(__xludf.DUMMYFUNCTION("""COMPUTED_VALUE"""),"Body &amp; Beauty")</f>
        <v>Body &amp; Beauty</v>
      </c>
      <c r="H58" s="2" t="str">
        <f ca="1">IFERROR(__xludf.DUMMYFUNCTION("""COMPUTED_VALUE"""),"Specifically, you. I’d say your dick, but you might not have one. Yet. Anyways, when it comes to getting laid, you're a veritable fountain of sexual fluids, without the dehydration that should cause. Your panties get soaked in a heartbeat, your breasts sq"&amp;"uirt milk when you cum, and yes, your dick shoots out way more than the average guy. All three of these things at the same time makes a bit of a mess, so good luck with that!")</f>
        <v>Specifically, you. I’d say your dick, but you might not have one. Yet. Anyways, when it comes to getting laid, you're a veritable fountain of sexual fluids, without the dehydration that should cause. Your panties get soaked in a heartbeat, your breasts squirt milk when you cum, and yes, your dick shoots out way more than the average guy. All three of these things at the same time makes a bit of a mess, so good luck with that!</v>
      </c>
      <c r="I58" s="5"/>
    </row>
    <row r="59" spans="1:9" ht="243.6" x14ac:dyDescent="0.25">
      <c r="A59" s="16"/>
      <c r="B59" s="17">
        <v>55</v>
      </c>
      <c r="C59" s="2" t="b">
        <f ca="1">IFERROR(__xludf.DUMMYFUNCTION("""COMPUTED_VALUE"""),FALSE)</f>
        <v>0</v>
      </c>
      <c r="D59" s="2">
        <f ca="1">IFERROR(__xludf.DUMMYFUNCTION("""COMPUTED_VALUE"""),100)</f>
        <v>100</v>
      </c>
      <c r="E59" s="2" t="str">
        <f ca="1">IFERROR(__xludf.DUMMYFUNCTION("""COMPUTED_VALUE"""),"Leather Wardrobe")</f>
        <v>Leather Wardrobe</v>
      </c>
      <c r="F59" s="2" t="str">
        <f ca="1">IFERROR(__xludf.DUMMYFUNCTION("""COMPUTED_VALUE"""),"Generic: BDSM")</f>
        <v>Generic: BDSM</v>
      </c>
      <c r="G59" s="2" t="str">
        <f ca="1">IFERROR(__xludf.DUMMYFUNCTION("""COMPUTED_VALUE"""),"Body &amp; Beauty")</f>
        <v>Body &amp; Beauty</v>
      </c>
      <c r="H59" s="2" t="str">
        <f ca="1">IFERROR(__xludf.DUMMYFUNCTION("""COMPUTED_VALUE"""),"Contrary to the name this wardrobe has a lot more than just leather in it. This item consists of enough fetish wear to fill out a walk-in closet, all of it fitted to your exact specifications. Some of these are outfits that you might wear out in public bu"&amp;"t which still imply your status as either a dom or a sub, like expensive business suits or tight and restrictive dresses, while others are meant for roleplay or private use only. There’s a roughly even mix of attire meant for both doms and subs in this co"&amp;"llection ranging from high fantasy cosplay outfits to sexy maid and other kinds of uniforms. All of these clothes are self-washing and self-maintaining and resize themselves automatically to be a perfect fit for their current wearer.
Additionally, all ou"&amp;"tfits subtly broadcast the wearer’s status as a dom, sub, or switch as well as their current availability. Normies won’t notice this at all but anyone who’s in the know will recognize your status, while those who don’t know that they’re doms or subs yet w"&amp;"ill find you mysteriously appealing for reasons they can’t put a name to if you’re available. A dom wearing a sub outfit or vice versa reads as a switch to this radar feature.")</f>
        <v>Contrary to the name this wardrobe has a lot more than just leather in it. This item consists of enough fetish wear to fill out a walk-in closet, all of it fitted to your exact specifications. Some of these are outfits that you might wear out in public but which still imply your status as either a dom or a sub, like expensive business suits or tight and restrictive dresses, while others are meant for roleplay or private use only. There’s a roughly even mix of attire meant for both doms and subs in this collection ranging from high fantasy cosplay outfits to sexy maid and other kinds of uniforms. All of these clothes are self-washing and self-maintaining and resize themselves automatically to be a perfect fit for their current wearer.
Additionally, all outfits subtly broadcast the wearer’s status as a dom, sub, or switch as well as their current availability. Normies won’t notice this at all but anyone who’s in the know will recognize your status, while those who don’t know that they’re doms or subs yet will find you mysteriously appealing for reasons they can’t put a name to if you’re available. A dom wearing a sub outfit or vice versa reads as a switch to this radar feature.</v>
      </c>
      <c r="I59" s="5"/>
    </row>
    <row r="60" spans="1:9" ht="69.599999999999994" x14ac:dyDescent="0.25">
      <c r="A60" s="16"/>
      <c r="B60" s="17">
        <v>56</v>
      </c>
      <c r="C60" s="2" t="b">
        <f ca="1">IFERROR(__xludf.DUMMYFUNCTION("""COMPUTED_VALUE"""),FALSE)</f>
        <v>0</v>
      </c>
      <c r="D60" s="2">
        <f ca="1">IFERROR(__xludf.DUMMYFUNCTION("""COMPUTED_VALUE"""),100)</f>
        <v>100</v>
      </c>
      <c r="E60" s="2" t="str">
        <f ca="1">IFERROR(__xludf.DUMMYFUNCTION("""COMPUTED_VALUE"""),"Life Support")</f>
        <v>Life Support</v>
      </c>
      <c r="F60" s="2" t="str">
        <f ca="1">IFERROR(__xludf.DUMMYFUNCTION("""COMPUTED_VALUE"""),"Generic: Lewd Science Fiction")</f>
        <v>Generic: Lewd Science Fiction</v>
      </c>
      <c r="G60" s="2" t="str">
        <f ca="1">IFERROR(__xludf.DUMMYFUNCTION("""COMPUTED_VALUE"""),"Body &amp; Beauty")</f>
        <v>Body &amp; Beauty</v>
      </c>
      <c r="H60" s="2" t="str">
        <f ca="1">IFERROR(__xludf.DUMMYFUNCTION("""COMPUTED_VALUE"""),"When penetrating or being penetrated, you can link your biology to that of your partner, allowing you to take on the burden of keeping them alive. This would allow your partner to stay oxygenated when your ovipositor is filling their throat, or survive yo"&amp;"ur native atmosphere while having sex with you.")</f>
        <v>When penetrating or being penetrated, you can link your biology to that of your partner, allowing you to take on the burden of keeping them alive. This would allow your partner to stay oxygenated when your ovipositor is filling their throat, or survive your native atmosphere while having sex with you.</v>
      </c>
      <c r="I60" s="5"/>
    </row>
    <row r="61" spans="1:9" ht="104.4" x14ac:dyDescent="0.25">
      <c r="A61" s="16"/>
      <c r="B61" s="17">
        <v>57</v>
      </c>
      <c r="C61" s="2" t="b">
        <f ca="1">IFERROR(__xludf.DUMMYFUNCTION("""COMPUTED_VALUE"""),FALSE)</f>
        <v>0</v>
      </c>
      <c r="D61" s="2">
        <f ca="1">IFERROR(__xludf.DUMMYFUNCTION("""COMPUTED_VALUE"""),100)</f>
        <v>100</v>
      </c>
      <c r="E61" s="2" t="str">
        <f ca="1">IFERROR(__xludf.DUMMYFUNCTION("""COMPUTED_VALUE"""),"Lifetime Supply of Suits")</f>
        <v>Lifetime Supply of Suits</v>
      </c>
      <c r="F61" s="2" t="str">
        <f ca="1">IFERROR(__xludf.DUMMYFUNCTION("""COMPUTED_VALUE"""),"Creature Reaction Inside the Ship!")</f>
        <v>Creature Reaction Inside the Ship!</v>
      </c>
      <c r="G61" s="2" t="str">
        <f ca="1">IFERROR(__xludf.DUMMYFUNCTION("""COMPUTED_VALUE"""),"Body &amp; Beauty")</f>
        <v>Body &amp; Beauty</v>
      </c>
      <c r="H61" s="2" t="str">
        <f ca="1">IFERROR(__xludf.DUMMYFUNCTION("""COMPUTED_VALUE"""),"When you’ve got a body that’s just begging to be unwrapped by horny aliens, you’re gonna end up losing a lot of suits. Thankfully, you get a constantly refilling supply of one particular outfit, whether it be your hunter’s spacesuit or your police uniform"&amp;"! This is gonna save you a lot of money down the line, believe me. These suits can have some mild protective properties like how the hunter’s suit protects the user from chemicals, but that’s about it. Being form fitting and very tight isn’t strictly mand"&amp;"atory but I strongly recommend it.")</f>
        <v>When you’ve got a body that’s just begging to be unwrapped by horny aliens, you’re gonna end up losing a lot of suits. Thankfully, you get a constantly refilling supply of one particular outfit, whether it be your hunter’s spacesuit or your police uniform! This is gonna save you a lot of money down the line, believe me. These suits can have some mild protective properties like how the hunter’s suit protects the user from chemicals, but that’s about it. Being form fitting and very tight isn’t strictly mandatory but I strongly recommend it.</v>
      </c>
      <c r="I61" s="5"/>
    </row>
    <row r="62" spans="1:9" ht="52.2" x14ac:dyDescent="0.25">
      <c r="A62" s="16"/>
      <c r="B62" s="17">
        <v>58</v>
      </c>
      <c r="C62" s="2" t="b">
        <f ca="1">IFERROR(__xludf.DUMMYFUNCTION("""COMPUTED_VALUE"""),FALSE)</f>
        <v>0</v>
      </c>
      <c r="D62" s="2">
        <f ca="1">IFERROR(__xludf.DUMMYFUNCTION("""COMPUTED_VALUE"""),100)</f>
        <v>100</v>
      </c>
      <c r="E62" s="2" t="str">
        <f ca="1">IFERROR(__xludf.DUMMYFUNCTION("""COMPUTED_VALUE"""),"Limber")</f>
        <v>Limber</v>
      </c>
      <c r="F62" s="2" t="str">
        <f ca="1">IFERROR(__xludf.DUMMYFUNCTION("""COMPUTED_VALUE"""),"Huniepop")</f>
        <v>Huniepop</v>
      </c>
      <c r="G62" s="2" t="str">
        <f ca="1">IFERROR(__xludf.DUMMYFUNCTION("""COMPUTED_VALUE"""),"Body &amp; Beauty")</f>
        <v>Body &amp; Beauty</v>
      </c>
      <c r="H62" s="2" t="str">
        <f ca="1">IFERROR(__xludf.DUMMYFUNCTION("""COMPUTED_VALUE"""),"Just how long have you been doing Yoga? Because you have the body of someone that’s been having regular sessions for years. Your flexibility can help you with all sorts of things, both in and outside the bedroom.")</f>
        <v>Just how long have you been doing Yoga? Because you have the body of someone that’s been having regular sessions for years. Your flexibility can help you with all sorts of things, both in and outside the bedroom.</v>
      </c>
      <c r="I62" s="5"/>
    </row>
    <row r="63" spans="1:9" ht="139.19999999999999" x14ac:dyDescent="0.25">
      <c r="A63" s="16"/>
      <c r="B63" s="17">
        <v>59</v>
      </c>
      <c r="C63" s="2" t="b">
        <f ca="1">IFERROR(__xludf.DUMMYFUNCTION("""COMPUTED_VALUE"""),FALSE)</f>
        <v>0</v>
      </c>
      <c r="D63" s="2">
        <f ca="1">IFERROR(__xludf.DUMMYFUNCTION("""COMPUTED_VALUE"""),100)</f>
        <v>100</v>
      </c>
      <c r="E63" s="2" t="str">
        <f ca="1">IFERROR(__xludf.DUMMYFUNCTION("""COMPUTED_VALUE"""),"Living the Dream")</f>
        <v>Living the Dream</v>
      </c>
      <c r="F63" s="2" t="str">
        <f ca="1">IFERROR(__xludf.DUMMYFUNCTION("""COMPUTED_VALUE"""),"World of Lewd Superheroes")</f>
        <v>World of Lewd Superheroes</v>
      </c>
      <c r="G63" s="2" t="str">
        <f ca="1">IFERROR(__xludf.DUMMYFUNCTION("""COMPUTED_VALUE"""),"Body &amp; Beauty")</f>
        <v>Body &amp; Beauty</v>
      </c>
      <c r="H63" s="2" t="str">
        <f ca="1">IFERROR(__xludf.DUMMYFUNCTION("""COMPUTED_VALUE"""),"Life as a cape isn’t always everything it’s cracked up to be but you live an abnormally charmed life, never suffering from minor inconveniences that ought to logically follow a person living the super lifestyle. You’re always well-rested in the morning ev"&amp;"en after you’ve been out patrolling for criminals or working on your mad science project until 3 AM, your costume never chafes or smells no matter how long you spend in it, your cape never gets snagged on obstacles while you’re flying around, and so on. E"&amp;"ven without a healing factor you shrug off minor injuries almost overnight, and if you live a double life as a cape your civilian and professional lives will clash far less frequently than they should.")</f>
        <v>Life as a cape isn’t always everything it’s cracked up to be but you live an abnormally charmed life, never suffering from minor inconveniences that ought to logically follow a person living the super lifestyle. You’re always well-rested in the morning even after you’ve been out patrolling for criminals or working on your mad science project until 3 AM, your costume never chafes or smells no matter how long you spend in it, your cape never gets snagged on obstacles while you’re flying around, and so on. Even without a healing factor you shrug off minor injuries almost overnight, and if you live a double life as a cape your civilian and professional lives will clash far less frequently than they should.</v>
      </c>
      <c r="I63" s="5"/>
    </row>
    <row r="64" spans="1:9" ht="87" x14ac:dyDescent="0.25">
      <c r="A64" s="16"/>
      <c r="B64" s="17">
        <v>60</v>
      </c>
      <c r="C64" s="2" t="b">
        <f ca="1">IFERROR(__xludf.DUMMYFUNCTION("""COMPUTED_VALUE"""),FALSE)</f>
        <v>0</v>
      </c>
      <c r="D64" s="2">
        <f ca="1">IFERROR(__xludf.DUMMYFUNCTION("""COMPUTED_VALUE"""),100)</f>
        <v>100</v>
      </c>
      <c r="E64" s="2" t="str">
        <f ca="1">IFERROR(__xludf.DUMMYFUNCTION("""COMPUTED_VALUE"""),"Look your Best")</f>
        <v>Look your Best</v>
      </c>
      <c r="F64" s="2" t="str">
        <f ca="1">IFERROR(__xludf.DUMMYFUNCTION("""COMPUTED_VALUE"""),"Sailor Uranus")</f>
        <v>Sailor Uranus</v>
      </c>
      <c r="G64" s="2" t="str">
        <f ca="1">IFERROR(__xludf.DUMMYFUNCTION("""COMPUTED_VALUE"""),"Body &amp; Beauty")</f>
        <v>Body &amp; Beauty</v>
      </c>
      <c r="H64" s="2" t="str">
        <f ca="1">IFERROR(__xludf.DUMMYFUNCTION("""COMPUTED_VALUE"""),"Fun though they may be, erotic outfits are rarely the best option to secure your interests. This closet is flattering in a different way. Ranging from business casual to ostentatiously aristocratic, these suits and dresses cut you in a respectable, imposi"&amp;"ng -- and, yes, attractive -- light. It will be quite difficult for your beholders not to take you seriously, assuming you act the part. This closet will expand to include the formal attire of each subsequent world you visit.")</f>
        <v>Fun though they may be, erotic outfits are rarely the best option to secure your interests. This closet is flattering in a different way. Ranging from business casual to ostentatiously aristocratic, these suits and dresses cut you in a respectable, imposing -- and, yes, attractive -- light. It will be quite difficult for your beholders not to take you seriously, assuming you act the part. This closet will expand to include the formal attire of each subsequent world you visit.</v>
      </c>
      <c r="I64" s="5"/>
    </row>
    <row r="65" spans="1:9" ht="69.599999999999994" x14ac:dyDescent="0.25">
      <c r="A65" s="16"/>
      <c r="B65" s="17">
        <v>61</v>
      </c>
      <c r="C65" s="2" t="b">
        <f ca="1">IFERROR(__xludf.DUMMYFUNCTION("""COMPUTED_VALUE"""),FALSE)</f>
        <v>0</v>
      </c>
      <c r="D65" s="2">
        <f ca="1">IFERROR(__xludf.DUMMYFUNCTION("""COMPUTED_VALUE"""),100)</f>
        <v>100</v>
      </c>
      <c r="E65" s="2" t="str">
        <f ca="1">IFERROR(__xludf.DUMMYFUNCTION("""COMPUTED_VALUE"""),"Loose Clothes")</f>
        <v>Loose Clothes</v>
      </c>
      <c r="F65" s="2" t="str">
        <f ca="1">IFERROR(__xludf.DUMMYFUNCTION("""COMPUTED_VALUE"""),"Winger’s World")</f>
        <v>Winger’s World</v>
      </c>
      <c r="G65" s="2" t="str">
        <f ca="1">IFERROR(__xludf.DUMMYFUNCTION("""COMPUTED_VALUE"""),"Body &amp; Beauty")</f>
        <v>Body &amp; Beauty</v>
      </c>
      <c r="H65" s="2" t="str">
        <f ca="1">IFERROR(__xludf.DUMMYFUNCTION("""COMPUTED_VALUE"""),"You knew the worst thing about being big? Finding clothes that’ll fit. This gives you a closet full of clothes that will properly stretch to contain all your endowments. Besides being guaranteed to cover you, no matter what size you are, they also have re"&amp;"movable areas for easy access to the fun parts. There are also magical sets designed to hide or reduce the apparent size of your parts.")</f>
        <v>You knew the worst thing about being big? Finding clothes that’ll fit. This gives you a closet full of clothes that will properly stretch to contain all your endowments. Besides being guaranteed to cover you, no matter what size you are, they also have removable areas for easy access to the fun parts. There are also magical sets designed to hide or reduce the apparent size of your parts.</v>
      </c>
      <c r="I65" s="5"/>
    </row>
    <row r="66" spans="1:9" ht="104.4" x14ac:dyDescent="0.25">
      <c r="A66" s="16"/>
      <c r="B66" s="17">
        <v>62</v>
      </c>
      <c r="C66" s="2" t="b">
        <f ca="1">IFERROR(__xludf.DUMMYFUNCTION("""COMPUTED_VALUE"""),FALSE)</f>
        <v>0</v>
      </c>
      <c r="D66" s="2">
        <f ca="1">IFERROR(__xludf.DUMMYFUNCTION("""COMPUTED_VALUE"""),100)</f>
        <v>100</v>
      </c>
      <c r="E66" s="2" t="str">
        <f ca="1">IFERROR(__xludf.DUMMYFUNCTION("""COMPUTED_VALUE"""),"Manly Musk")</f>
        <v>Manly Musk</v>
      </c>
      <c r="F66" s="2" t="str">
        <f ca="1">IFERROR(__xludf.DUMMYFUNCTION("""COMPUTED_VALUE"""),"Victim Girls (Veronica Edition)")</f>
        <v>Victim Girls (Veronica Edition)</v>
      </c>
      <c r="G66" s="2" t="str">
        <f ca="1">IFERROR(__xludf.DUMMYFUNCTION("""COMPUTED_VALUE"""),"Body &amp; Beauty")</f>
        <v>Body &amp; Beauty</v>
      </c>
      <c r="H66" s="2" t="str">
        <f ca="1">IFERROR(__xludf.DUMMYFUNCTION("""COMPUTED_VALUE"""),"They’re blushing just walking by you. Press a sluts face up against your crotch and she’ll be left shivering in pleasure. Something about your body’s smell is hopelessly arousing to those you find attractive. It’s a little addictive over time and it rubs "&amp;"off easily when you’re in the act, making sure everyone knows whose been using that particular set of holes. The more ‘alpha’ that you get, the more potent this will all be. Get strong enough and you won’t need a word to have girls falling to their knees.")</f>
        <v>They’re blushing just walking by you. Press a sluts face up against your crotch and she’ll be left shivering in pleasure. Something about your body’s smell is hopelessly arousing to those you find attractive. It’s a little addictive over time and it rubs off easily when you’re in the act, making sure everyone knows whose been using that particular set of holes. The more ‘alpha’ that you get, the more potent this will all be. Get strong enough and you won’t need a word to have girls falling to their knees.</v>
      </c>
      <c r="I66" s="5"/>
    </row>
    <row r="67" spans="1:9" ht="156.6" x14ac:dyDescent="0.25">
      <c r="A67" s="16"/>
      <c r="B67" s="17">
        <v>63</v>
      </c>
      <c r="C67" s="2" t="b">
        <f ca="1">IFERROR(__xludf.DUMMYFUNCTION("""COMPUTED_VALUE"""),FALSE)</f>
        <v>0</v>
      </c>
      <c r="D67" s="2">
        <f ca="1">IFERROR(__xludf.DUMMYFUNCTION("""COMPUTED_VALUE"""),100)</f>
        <v>100</v>
      </c>
      <c r="E67" s="2" t="str">
        <f ca="1">IFERROR(__xludf.DUMMYFUNCTION("""COMPUTED_VALUE"""),"Marcel-san")</f>
        <v>Marcel-san</v>
      </c>
      <c r="F67" s="2" t="str">
        <f ca="1">IFERROR(__xludf.DUMMYFUNCTION("""COMPUTED_VALUE"""),"Mizuryu Kei Land")</f>
        <v>Mizuryu Kei Land</v>
      </c>
      <c r="G67" s="2" t="str">
        <f ca="1">IFERROR(__xludf.DUMMYFUNCTION("""COMPUTED_VALUE"""),"Body &amp; Beauty")</f>
        <v>Body &amp; Beauty</v>
      </c>
      <c r="H67" s="2" t="str">
        <f ca="1">IFERROR(__xludf.DUMMYFUNCTION("""COMPUTED_VALUE"""),"Marcel is the name of the Mizuryu Kei Land park mascot, an entrance level job you’ve probably held at least once or twice before. I’d be very surprised if you somehow managed to skip it... Anyways, given that having only one mascot in an entire park is a "&amp;"poor idea, it should come to no surprise that there are dozens of Marcel-sans at any given time. It makes it very hard to find the exact one you had sex with if you want another round for some reason. 
Anyways, it’s now pretty much impossible for the peo"&amp;"ple you sleep with to identify you via your physical features - they’d have to sleep with you a second time to really know for sure. Of course, if you want someone to recognize you, you can flip this off entirely or maybe just for them.")</f>
        <v>Marcel is the name of the Mizuryu Kei Land park mascot, an entrance level job you’ve probably held at least once or twice before. I’d be very surprised if you somehow managed to skip it... Anyways, given that having only one mascot in an entire park is a poor idea, it should come to no surprise that there are dozens of Marcel-sans at any given time. It makes it very hard to find the exact one you had sex with if you want another round for some reason. 
Anyways, it’s now pretty much impossible for the people you sleep with to identify you via your physical features - they’d have to sleep with you a second time to really know for sure. Of course, if you want someone to recognize you, you can flip this off entirely or maybe just for them.</v>
      </c>
      <c r="I67" s="5"/>
    </row>
    <row r="68" spans="1:9" ht="87" x14ac:dyDescent="0.25">
      <c r="A68" s="16"/>
      <c r="B68" s="17">
        <v>64</v>
      </c>
      <c r="C68" s="2" t="b">
        <f ca="1">IFERROR(__xludf.DUMMYFUNCTION("""COMPUTED_VALUE"""),FALSE)</f>
        <v>0</v>
      </c>
      <c r="D68" s="2">
        <f ca="1">IFERROR(__xludf.DUMMYFUNCTION("""COMPUTED_VALUE"""),100)</f>
        <v>100</v>
      </c>
      <c r="E68" s="2" t="str">
        <f ca="1">IFERROR(__xludf.DUMMYFUNCTION("""COMPUTED_VALUE"""),"Massive Chest")</f>
        <v>Massive Chest</v>
      </c>
      <c r="F68" s="2" t="str">
        <f ca="1">IFERROR(__xludf.DUMMYFUNCTION("""COMPUTED_VALUE"""),"Generic: Hentai Fantasy")</f>
        <v>Generic: Hentai Fantasy</v>
      </c>
      <c r="G68" s="2" t="str">
        <f ca="1">IFERROR(__xludf.DUMMYFUNCTION("""COMPUTED_VALUE"""),"Body &amp; Beauty")</f>
        <v>Body &amp; Beauty</v>
      </c>
      <c r="H68" s="2" t="str">
        <f ca="1">IFERROR(__xludf.DUMMYFUNCTION("""COMPUTED_VALUE"""),"Everyone knows that all energies be they mental, physical, or spiritual pass through the heart at some point. The more powerful you are the more of these energies pass through this region of the chest. This leads to an interesting effect. Men tend to deve"&amp;"lop massive chiseled chests that have been known to be compared to granite while women will develop a huge bosom. As your energy increases, the impressiveness of the torso will continue to increase.")</f>
        <v>Everyone knows that all energies be they mental, physical, or spiritual pass through the heart at some point. The more powerful you are the more of these energies pass through this region of the chest. This leads to an interesting effect. Men tend to develop massive chiseled chests that have been known to be compared to granite while women will develop a huge bosom. As your energy increases, the impressiveness of the torso will continue to increase.</v>
      </c>
      <c r="I68" s="5"/>
    </row>
    <row r="69" spans="1:9" ht="87" x14ac:dyDescent="0.25">
      <c r="A69" s="16"/>
      <c r="B69" s="17">
        <v>65</v>
      </c>
      <c r="C69" s="2" t="b">
        <f ca="1">IFERROR(__xludf.DUMMYFUNCTION("""COMPUTED_VALUE"""),FALSE)</f>
        <v>0</v>
      </c>
      <c r="D69" s="2">
        <f ca="1">IFERROR(__xludf.DUMMYFUNCTION("""COMPUTED_VALUE"""),100)</f>
        <v>100</v>
      </c>
      <c r="E69" s="2" t="str">
        <f ca="1">IFERROR(__xludf.DUMMYFUNCTION("""COMPUTED_VALUE"""),"Milk-Tanks")</f>
        <v>Milk-Tanks</v>
      </c>
      <c r="F69" s="2" t="str">
        <f ca="1">IFERROR(__xludf.DUMMYFUNCTION("""COMPUTED_VALUE"""),"Seikon No Qwaser")</f>
        <v>Seikon No Qwaser</v>
      </c>
      <c r="G69" s="2" t="str">
        <f ca="1">IFERROR(__xludf.DUMMYFUNCTION("""COMPUTED_VALUE"""),"Body &amp; Beauty")</f>
        <v>Body &amp; Beauty</v>
      </c>
      <c r="H69" s="2" t="str">
        <f ca="1">IFERROR(__xludf.DUMMYFUNCTION("""COMPUTED_VALUE"""),"Well, for all intents and purposes, there is a bit of a size-requirement to be an effective Soma font. So, assuming you weren’t bigger already, this is a free up-cup to a minimum of a C-cup, all the way up to an I-cup if you think you can handle it. If yo"&amp;"u already happened to be that big for one reason or another, we’ll just say your breasts get an appearance upgrade in terms of softness and complexion. It should go without saying though that bigger is assuredly better, if simply for quantity.")</f>
        <v>Well, for all intents and purposes, there is a bit of a size-requirement to be an effective Soma font. So, assuming you weren’t bigger already, this is a free up-cup to a minimum of a C-cup, all the way up to an I-cup if you think you can handle it. If you already happened to be that big for one reason or another, we’ll just say your breasts get an appearance upgrade in terms of softness and complexion. It should go without saying though that bigger is assuredly better, if simply for quantity.</v>
      </c>
      <c r="I69" s="5"/>
    </row>
    <row r="70" spans="1:9" ht="87" x14ac:dyDescent="0.25">
      <c r="A70" s="16"/>
      <c r="B70" s="17">
        <v>66</v>
      </c>
      <c r="C70" s="2" t="b">
        <f ca="1">IFERROR(__xludf.DUMMYFUNCTION("""COMPUTED_VALUE"""),FALSE)</f>
        <v>0</v>
      </c>
      <c r="D70" s="2">
        <f ca="1">IFERROR(__xludf.DUMMYFUNCTION("""COMPUTED_VALUE"""),100)</f>
        <v>100</v>
      </c>
      <c r="E70" s="2" t="str">
        <f ca="1">IFERROR(__xludf.DUMMYFUNCTION("""COMPUTED_VALUE"""),"My Cloak")</f>
        <v>My Cloak</v>
      </c>
      <c r="F70" s="2" t="str">
        <f ca="1">IFERROR(__xludf.DUMMYFUNCTION("""COMPUTED_VALUE"""),"A Change of Tactics V2.2")</f>
        <v>A Change of Tactics V2.2</v>
      </c>
      <c r="G70" s="2" t="str">
        <f ca="1">IFERROR(__xludf.DUMMYFUNCTION("""COMPUTED_VALUE"""),"Body &amp; Beauty")</f>
        <v>Body &amp; Beauty</v>
      </c>
      <c r="H70" s="2" t="str">
        <f ca="1">IFERROR(__xludf.DUMMYFUNCTION("""COMPUTED_VALUE"""),"Almost mandatory attire for tacticians, this cloak perfectly fits your body, is incredibly comfy and keeps you warm or cool regardless of the weather, and seems to never get battle damaged or torn. With the hood up it even obscures your face in shadow, hi"&amp;"ding your identity. Should you loan this cloak out others they’ll find that it carries your warmth and presence with it, giving them a restful sleep and/or perverted dreams about you (your choice) while they wear it.")</f>
        <v>Almost mandatory attire for tacticians, this cloak perfectly fits your body, is incredibly comfy and keeps you warm or cool regardless of the weather, and seems to never get battle damaged or torn. With the hood up it even obscures your face in shadow, hiding your identity. Should you loan this cloak out others they’ll find that it carries your warmth and presence with it, giving them a restful sleep and/or perverted dreams about you (your choice) while they wear it.</v>
      </c>
      <c r="I70" s="5"/>
    </row>
    <row r="71" spans="1:9" ht="139.19999999999999" x14ac:dyDescent="0.25">
      <c r="A71" s="16"/>
      <c r="B71" s="17">
        <v>67</v>
      </c>
      <c r="C71" s="2" t="b">
        <f ca="1">IFERROR(__xludf.DUMMYFUNCTION("""COMPUTED_VALUE"""),FALSE)</f>
        <v>0</v>
      </c>
      <c r="D71" s="2">
        <f ca="1">IFERROR(__xludf.DUMMYFUNCTION("""COMPUTED_VALUE"""),100)</f>
        <v>100</v>
      </c>
      <c r="E71" s="2" t="str">
        <f ca="1">IFERROR(__xludf.DUMMYFUNCTION("""COMPUTED_VALUE"""),"My Glasses!")</f>
        <v>My Glasses!</v>
      </c>
      <c r="F71" s="2" t="str">
        <f ca="1">IFERROR(__xludf.DUMMYFUNCTION("""COMPUTED_VALUE"""),"World of Lewd Horror")</f>
        <v>World of Lewd Horror</v>
      </c>
      <c r="G71" s="2" t="str">
        <f ca="1">IFERROR(__xludf.DUMMYFUNCTION("""COMPUTED_VALUE"""),"Body &amp; Beauty")</f>
        <v>Body &amp; Beauty</v>
      </c>
      <c r="H71" s="2" t="str">
        <f ca="1">IFERROR(__xludf.DUMMYFUNCTION("""COMPUTED_VALUE"""),"This pair of very flattering glasses certainly completes a nerd-chic look, but more importantly you can bind any of your powers or perks to them. The perks aren’t actually good for anything while so bound, unless you’re wearing the glasses. But if your gl"&amp;"asses were to fall off in this state... why you’d be completely helpless as you had to desperately search for them! You can reclaim your powers any time while you wear them and they return automatically if the glasses are destroyed or irretrievably lost. "&amp;"You may also set conditions to cause them to return automatically (such as if you were about to die) and even seal your own memories of having powers for the authentic experience of helplessness if you wish.")</f>
        <v>This pair of very flattering glasses certainly completes a nerd-chic look, but more importantly you can bind any of your powers or perks to them. The perks aren’t actually good for anything while so bound, unless you’re wearing the glasses. But if your glasses were to fall off in this state... why you’d be completely helpless as you had to desperately search for them! You can reclaim your powers any time while you wear them and they return automatically if the glasses are destroyed or irretrievably lost. You may also set conditions to cause them to return automatically (such as if you were about to die) and even seal your own memories of having powers for the authentic experience of helplessness if you wish.</v>
      </c>
      <c r="I71" s="5"/>
    </row>
    <row r="72" spans="1:9" ht="69.599999999999994" x14ac:dyDescent="0.25">
      <c r="A72" s="16"/>
      <c r="B72" s="17">
        <v>68</v>
      </c>
      <c r="C72" s="2" t="b">
        <f ca="1">IFERROR(__xludf.DUMMYFUNCTION("""COMPUTED_VALUE"""),FALSE)</f>
        <v>0</v>
      </c>
      <c r="D72" s="2">
        <f ca="1">IFERROR(__xludf.DUMMYFUNCTION("""COMPUTED_VALUE"""),100)</f>
        <v>100</v>
      </c>
      <c r="E72" s="2" t="str">
        <f ca="1">IFERROR(__xludf.DUMMYFUNCTION("""COMPUTED_VALUE"""),"Natural Lubricant")</f>
        <v>Natural Lubricant</v>
      </c>
      <c r="F72" s="2" t="str">
        <f ca="1">IFERROR(__xludf.DUMMYFUNCTION("""COMPUTED_VALUE"""),"The Works of Aomizuan")</f>
        <v>The Works of Aomizuan</v>
      </c>
      <c r="G72" s="2" t="str">
        <f ca="1">IFERROR(__xludf.DUMMYFUNCTION("""COMPUTED_VALUE"""),"Body &amp; Beauty")</f>
        <v>Body &amp; Beauty</v>
      </c>
      <c r="H72" s="2" t="str">
        <f ca="1">IFERROR(__xludf.DUMMYFUNCTION("""COMPUTED_VALUE"""),"The women of Ushihijima are something else, aren’t they? You have a peculiar trait of theirs, giving your saliva the consistency of lubrication gel. This not only makes oral sex vastly more pleasurable, but also allows for your saliva to be used as a prop"&amp;"er lubricant, letting you have anal sex without worrying about keeping track of normal lube.")</f>
        <v>The women of Ushihijima are something else, aren’t they? You have a peculiar trait of theirs, giving your saliva the consistency of lubrication gel. This not only makes oral sex vastly more pleasurable, but also allows for your saliva to be used as a proper lubricant, letting you have anal sex without worrying about keeping track of normal lube.</v>
      </c>
      <c r="I72" s="5"/>
    </row>
    <row r="73" spans="1:9" ht="139.19999999999999" x14ac:dyDescent="0.25">
      <c r="A73" s="16"/>
      <c r="B73" s="17">
        <v>69</v>
      </c>
      <c r="C73" s="2" t="b">
        <f ca="1">IFERROR(__xludf.DUMMYFUNCTION("""COMPUTED_VALUE"""),FALSE)</f>
        <v>0</v>
      </c>
      <c r="D73" s="2">
        <f ca="1">IFERROR(__xludf.DUMMYFUNCTION("""COMPUTED_VALUE"""),100)</f>
        <v>100</v>
      </c>
      <c r="E73" s="2" t="str">
        <f ca="1">IFERROR(__xludf.DUMMYFUNCTION("""COMPUTED_VALUE"""),"Obstruction")</f>
        <v>Obstruction</v>
      </c>
      <c r="F73" s="2" t="str">
        <f ca="1">IFERROR(__xludf.DUMMYFUNCTION("""COMPUTED_VALUE"""),"Elzikyuchi’s Dickgirls 2")</f>
        <v>Elzikyuchi’s Dickgirls 2</v>
      </c>
      <c r="G73" s="2" t="str">
        <f ca="1">IFERROR(__xludf.DUMMYFUNCTION("""COMPUTED_VALUE"""),"Body &amp; Beauty")</f>
        <v>Body &amp; Beauty</v>
      </c>
      <c r="H73" s="2" t="str">
        <f ca="1">IFERROR(__xludf.DUMMYFUNCTION("""COMPUTED_VALUE"""),"This may seem rather ridiculous, but you’d be surprised at how many men simply don’t think about the fact that the girl in front of them has a dick bigger than theirs until said dick is outright being shoved in their face. As a result of this, you have th"&amp;"e odd ability to have your sexual characteristics massively underplayed until they’re specifically pointed out. Massive dick, breasts you could kill a guy in, an ass you could bounce a dime off, they’ll be able to appreciate the beauty of them but until s"&amp;"omeone specifically makes a mention of them they won’t really notice them. This can be great for first impressions, since guys tend to have weird reactions to you having a dick bigger than they are - realizing that after they get to know you as a person i"&amp;"s still weird, but it helps blunt it.")</f>
        <v>This may seem rather ridiculous, but you’d be surprised at how many men simply don’t think about the fact that the girl in front of them has a dick bigger than theirs until said dick is outright being shoved in their face. As a result of this, you have the odd ability to have your sexual characteristics massively underplayed until they’re specifically pointed out. Massive dick, breasts you could kill a guy in, an ass you could bounce a dime off, they’ll be able to appreciate the beauty of them but until someone specifically makes a mention of them they won’t really notice them. This can be great for first impressions, since guys tend to have weird reactions to you having a dick bigger than they are - realizing that after they get to know you as a person is still weird, but it helps blunt it.</v>
      </c>
      <c r="I73" s="5"/>
    </row>
    <row r="74" spans="1:9" ht="104.4" x14ac:dyDescent="0.25">
      <c r="A74" s="16"/>
      <c r="B74" s="17">
        <v>70</v>
      </c>
      <c r="C74" s="2" t="b">
        <f ca="1">IFERROR(__xludf.DUMMYFUNCTION("""COMPUTED_VALUE"""),FALSE)</f>
        <v>0</v>
      </c>
      <c r="D74" s="2">
        <f ca="1">IFERROR(__xludf.DUMMYFUNCTION("""COMPUTED_VALUE"""),100)</f>
        <v>100</v>
      </c>
      <c r="E74" s="2" t="str">
        <f ca="1">IFERROR(__xludf.DUMMYFUNCTION("""COMPUTED_VALUE"""),"One Cock for All")</f>
        <v>One Cock for All</v>
      </c>
      <c r="F74" s="2" t="str">
        <f ca="1">IFERROR(__xludf.DUMMYFUNCTION("""COMPUTED_VALUE"""),"Boku To Nottori Nakademia")</f>
        <v>Boku To Nottori Nakademia</v>
      </c>
      <c r="G74" s="2" t="str">
        <f ca="1">IFERROR(__xludf.DUMMYFUNCTION("""COMPUTED_VALUE"""),"Body &amp; Beauty")</f>
        <v>Body &amp; Beauty</v>
      </c>
      <c r="H74" s="2" t="str">
        <f ca="1">IFERROR(__xludf.DUMMYFUNCTION("""COMPUTED_VALUE"""),"Be it incredible strength, extreme intelligence or unimaginable wealth, you might or might not be blessed with many things, but the truth is that your best weapon was hidden inside your pants all around. Your dick is the ur-example of compatibility, no ma"&amp;"tter the shape or size of your partner they’ll always find themselves gaining the most pleasure possible, be it through full-on sex, a quickie or even just from rubbing their hands all over it and giggling. In fact, it’s so compatible that a villain might"&amp;" just throw out all their plans just to spend more time getting acquainted...")</f>
        <v>Be it incredible strength, extreme intelligence or unimaginable wealth, you might or might not be blessed with many things, but the truth is that your best weapon was hidden inside your pants all around. Your dick is the ur-example of compatibility, no matter the shape or size of your partner they’ll always find themselves gaining the most pleasure possible, be it through full-on sex, a quickie or even just from rubbing their hands all over it and giggling. In fact, it’s so compatible that a villain might just throw out all their plans just to spend more time getting acquainted...</v>
      </c>
      <c r="I74" s="5"/>
    </row>
    <row r="75" spans="1:9" ht="69.599999999999994" x14ac:dyDescent="0.25">
      <c r="A75" s="16"/>
      <c r="B75" s="17">
        <v>71</v>
      </c>
      <c r="C75" s="2" t="b">
        <f ca="1">IFERROR(__xludf.DUMMYFUNCTION("""COMPUTED_VALUE"""),FALSE)</f>
        <v>0</v>
      </c>
      <c r="D75" s="2">
        <f ca="1">IFERROR(__xludf.DUMMYFUNCTION("""COMPUTED_VALUE"""),100)</f>
        <v>100</v>
      </c>
      <c r="E75" s="2" t="str">
        <f ca="1">IFERROR(__xludf.DUMMYFUNCTION("""COMPUTED_VALUE"""),"One Size too Small")</f>
        <v>One Size too Small</v>
      </c>
      <c r="F75" s="2" t="str">
        <f ca="1">IFERROR(__xludf.DUMMYFUNCTION("""COMPUTED_VALUE"""),"Generic: Hentai Modern")</f>
        <v>Generic: Hentai Modern</v>
      </c>
      <c r="G75" s="2" t="str">
        <f ca="1">IFERROR(__xludf.DUMMYFUNCTION("""COMPUTED_VALUE"""),"Body &amp; Beauty")</f>
        <v>Body &amp; Beauty</v>
      </c>
      <c r="H75" s="2" t="str">
        <f ca="1">IFERROR(__xludf.DUMMYFUNCTION("""COMPUTED_VALUE"""),"Not technically a wardrobe option in and of itself, but it will modify/copy any other wardrobe you have to include copies that are one or two sizes too small, but still seem to fit. Or in other words, something that will hug your chest and show off your a"&amp;"bs, or leave your boobs very visible. All the better to help you show off.")</f>
        <v>Not technically a wardrobe option in and of itself, but it will modify/copy any other wardrobe you have to include copies that are one or two sizes too small, but still seem to fit. Or in other words, something that will hug your chest and show off your abs, or leave your boobs very visible. All the better to help you show off.</v>
      </c>
      <c r="I75" s="5"/>
    </row>
    <row r="76" spans="1:9" ht="69.599999999999994" x14ac:dyDescent="0.25">
      <c r="A76" s="16"/>
      <c r="B76" s="17">
        <v>72</v>
      </c>
      <c r="C76" s="2" t="b">
        <f ca="1">IFERROR(__xludf.DUMMYFUNCTION("""COMPUTED_VALUE"""),FALSE)</f>
        <v>0</v>
      </c>
      <c r="D76" s="2">
        <f ca="1">IFERROR(__xludf.DUMMYFUNCTION("""COMPUTED_VALUE"""),100)</f>
        <v>100</v>
      </c>
      <c r="E76" s="2" t="str">
        <f ca="1">IFERROR(__xludf.DUMMYFUNCTION("""COMPUTED_VALUE"""),"Painted On")</f>
        <v>Painted On</v>
      </c>
      <c r="F76" s="2" t="str">
        <f ca="1">IFERROR(__xludf.DUMMYFUNCTION("""COMPUTED_VALUE"""),"Generic: Lewd Science Fiction")</f>
        <v>Generic: Lewd Science Fiction</v>
      </c>
      <c r="G76" s="2" t="str">
        <f ca="1">IFERROR(__xludf.DUMMYFUNCTION("""COMPUTED_VALUE"""),"Body &amp; Beauty")</f>
        <v>Body &amp; Beauty</v>
      </c>
      <c r="H76" s="2" t="str">
        <f ca="1">IFERROR(__xludf.DUMMYFUNCTION("""COMPUTED_VALUE"""),"Clothing just seems to fit so much better when you wear it. You can decide how tight the fit of your clothing is, as well as reduce the thickness or thinness of the fabric. This lets you decide how supportive the clothing is, too, as well as whether it’s "&amp;"sheer or not. This doesn’t change the clothing’s other features, like its style or colors, or what kind of functions or protection it provides.")</f>
        <v>Clothing just seems to fit so much better when you wear it. You can decide how tight the fit of your clothing is, as well as reduce the thickness or thinness of the fabric. This lets you decide how supportive the clothing is, too, as well as whether it’s sheer or not. This doesn’t change the clothing’s other features, like its style or colors, or what kind of functions or protection it provides.</v>
      </c>
      <c r="I76" s="5"/>
    </row>
    <row r="77" spans="1:9" ht="69.599999999999994" x14ac:dyDescent="0.25">
      <c r="A77" s="16"/>
      <c r="B77" s="17">
        <v>73</v>
      </c>
      <c r="C77" s="2" t="b">
        <f ca="1">IFERROR(__xludf.DUMMYFUNCTION("""COMPUTED_VALUE"""),FALSE)</f>
        <v>0</v>
      </c>
      <c r="D77" s="2">
        <f ca="1">IFERROR(__xludf.DUMMYFUNCTION("""COMPUTED_VALUE"""),100)</f>
        <v>100</v>
      </c>
      <c r="E77" s="2" t="str">
        <f ca="1">IFERROR(__xludf.DUMMYFUNCTION("""COMPUTED_VALUE"""),"People are Adaptable")</f>
        <v>People are Adaptable</v>
      </c>
      <c r="F77" s="2" t="str">
        <f ca="1">IFERROR(__xludf.DUMMYFUNCTION("""COMPUTED_VALUE"""),"Generic: Loli")</f>
        <v>Generic: Loli</v>
      </c>
      <c r="G77" s="2" t="str">
        <f ca="1">IFERROR(__xludf.DUMMYFUNCTION("""COMPUTED_VALUE"""),"Body &amp; Beauty")</f>
        <v>Body &amp; Beauty</v>
      </c>
      <c r="H77" s="2" t="str">
        <f ca="1">IFERROR(__xludf.DUMMYFUNCTION("""COMPUTED_VALUE"""),"You are probably not ready for more fun forms of play, at least not yet, but that will change. Your body adapts quickly to the physical demands of any fetish you are engaged in. Your first time may hurt, but your second time won’t. You also have an instin"&amp;"ctive understanding of how to practice in order to prepare for more extreme sex acts.")</f>
        <v>You are probably not ready for more fun forms of play, at least not yet, but that will change. Your body adapts quickly to the physical demands of any fetish you are engaged in. Your first time may hurt, but your second time won’t. You also have an instinctive understanding of how to practice in order to prepare for more extreme sex acts.</v>
      </c>
      <c r="I77" s="5"/>
    </row>
    <row r="78" spans="1:9" ht="69.599999999999994" x14ac:dyDescent="0.25">
      <c r="A78" s="16"/>
      <c r="B78" s="17">
        <v>74</v>
      </c>
      <c r="C78" s="2" t="b">
        <f ca="1">IFERROR(__xludf.DUMMYFUNCTION("""COMPUTED_VALUE"""),FALSE)</f>
        <v>0</v>
      </c>
      <c r="D78" s="2">
        <f ca="1">IFERROR(__xludf.DUMMYFUNCTION("""COMPUTED_VALUE"""),100)</f>
        <v>100</v>
      </c>
      <c r="E78" s="2" t="str">
        <f ca="1">IFERROR(__xludf.DUMMYFUNCTION("""COMPUTED_VALUE"""),"Perfect Makeup")</f>
        <v>Perfect Makeup</v>
      </c>
      <c r="F78" s="2" t="str">
        <f ca="1">IFERROR(__xludf.DUMMYFUNCTION("""COMPUTED_VALUE"""),"Futadom World")</f>
        <v>Futadom World</v>
      </c>
      <c r="G78" s="2" t="str">
        <f ca="1">IFERROR(__xludf.DUMMYFUNCTION("""COMPUTED_VALUE"""),"Body &amp; Beauty")</f>
        <v>Body &amp; Beauty</v>
      </c>
      <c r="H78" s="2" t="str">
        <f ca="1">IFERROR(__xludf.DUMMYFUNCTION("""COMPUTED_VALUE"""),"Never underestimate a good makeup kit. This palette contains everything you could ever want. Everything. It always blends perfectly with your skin tone, and comes with as many brushes, sponges, and other tools as you could possibly ever need. If lost, dam"&amp;"aged, destroyed, or depleted, it respawns after a week.")</f>
        <v>Never underestimate a good makeup kit. This palette contains everything you could ever want. Everything. It always blends perfectly with your skin tone, and comes with as many brushes, sponges, and other tools as you could possibly ever need. If lost, damaged, destroyed, or depleted, it respawns after a week.</v>
      </c>
      <c r="I78" s="5"/>
    </row>
    <row r="79" spans="1:9" ht="87" x14ac:dyDescent="0.25">
      <c r="A79" s="16"/>
      <c r="B79" s="17">
        <v>75</v>
      </c>
      <c r="C79" s="2" t="b">
        <f ca="1">IFERROR(__xludf.DUMMYFUNCTION("""COMPUTED_VALUE"""),FALSE)</f>
        <v>0</v>
      </c>
      <c r="D79" s="2">
        <f ca="1">IFERROR(__xludf.DUMMYFUNCTION("""COMPUTED_VALUE"""),100)</f>
        <v>100</v>
      </c>
      <c r="E79" s="2" t="str">
        <f ca="1">IFERROR(__xludf.DUMMYFUNCTION("""COMPUTED_VALUE"""),"Power Belt")</f>
        <v>Power Belt</v>
      </c>
      <c r="F79" s="2" t="str">
        <f ca="1">IFERROR(__xludf.DUMMYFUNCTION("""COMPUTED_VALUE"""),"Monster Girl Dreams 1.3 - The Pre-Capitol Update")</f>
        <v>Monster Girl Dreams 1.3 - The Pre-Capitol Update</v>
      </c>
      <c r="G79" s="2" t="str">
        <f ca="1">IFERROR(__xludf.DUMMYFUNCTION("""COMPUTED_VALUE"""),"Body &amp; Beauty")</f>
        <v>Body &amp; Beauty</v>
      </c>
      <c r="H79" s="2" t="str">
        <f ca="1">IFERROR(__xludf.DUMMYFUNCTION("""COMPUTED_VALUE"""),"This belt boosts the wearer’s strength a bit as well as slightly enhancing their stamina, sexual or otherwise. Good for any aspiring warrior, but you’ll likely find something better quite quickly.")</f>
        <v>This belt boosts the wearer’s strength a bit as well as slightly enhancing their stamina, sexual or otherwise. Good for any aspiring warrior, but you’ll likely find something better quite quickly.</v>
      </c>
      <c r="I79" s="5"/>
    </row>
    <row r="80" spans="1:9" ht="87" x14ac:dyDescent="0.25">
      <c r="A80" s="16"/>
      <c r="B80" s="17">
        <v>76</v>
      </c>
      <c r="C80" s="2" t="b">
        <f ca="1">IFERROR(__xludf.DUMMYFUNCTION("""COMPUTED_VALUE"""),FALSE)</f>
        <v>0</v>
      </c>
      <c r="D80" s="2">
        <f ca="1">IFERROR(__xludf.DUMMYFUNCTION("""COMPUTED_VALUE"""),100)</f>
        <v>100</v>
      </c>
      <c r="E80" s="2" t="str">
        <f ca="1">IFERROR(__xludf.DUMMYFUNCTION("""COMPUTED_VALUE"""),"Queen of Beasts")</f>
        <v>Queen of Beasts</v>
      </c>
      <c r="F80" s="2" t="str">
        <f ca="1">IFERROR(__xludf.DUMMYFUNCTION("""COMPUTED_VALUE"""),"Ashigei Shoujo Komura-san")</f>
        <v>Ashigei Shoujo Komura-san</v>
      </c>
      <c r="G80" s="2" t="str">
        <f ca="1">IFERROR(__xludf.DUMMYFUNCTION("""COMPUTED_VALUE"""),"Body &amp; Beauty")</f>
        <v>Body &amp; Beauty</v>
      </c>
      <c r="H80" s="2" t="str">
        <f ca="1">IFERROR(__xludf.DUMMYFUNCTION("""COMPUTED_VALUE"""),"It’s said the oldest martial arts took their inspiration from nature, but this is a bit silly. You have a bizarre ability to influence animals with your body, whether that be luring them to you, or scaring them away. The effect is localized in the most tr"&amp;"ained part of your body, and is affected by your athletic skill. An amature kickboxer could at best attract butterflies to land on their toes, while a prodigy could scare off a bear with just their stance.")</f>
        <v>It’s said the oldest martial arts took their inspiration from nature, but this is a bit silly. You have a bizarre ability to influence animals with your body, whether that be luring them to you, or scaring them away. The effect is localized in the most trained part of your body, and is affected by your athletic skill. An amature kickboxer could at best attract butterflies to land on their toes, while a prodigy could scare off a bear with just their stance.</v>
      </c>
      <c r="I80" s="5"/>
    </row>
    <row r="81" spans="1:9" ht="52.2" x14ac:dyDescent="0.25">
      <c r="A81" s="16"/>
      <c r="B81" s="17">
        <v>77</v>
      </c>
      <c r="C81" s="2" t="b">
        <f ca="1">IFERROR(__xludf.DUMMYFUNCTION("""COMPUTED_VALUE"""),FALSE)</f>
        <v>0</v>
      </c>
      <c r="D81" s="2">
        <f ca="1">IFERROR(__xludf.DUMMYFUNCTION("""COMPUTED_VALUE"""),100)</f>
        <v>100</v>
      </c>
      <c r="E81" s="2" t="str">
        <f ca="1">IFERROR(__xludf.DUMMYFUNCTION("""COMPUTED_VALUE"""),"Releasing your Limiters")</f>
        <v>Releasing your Limiters</v>
      </c>
      <c r="F81" s="2" t="str">
        <f ca="1">IFERROR(__xludf.DUMMYFUNCTION("""COMPUTED_VALUE"""),"Ashigei Shoujo Komura-san")</f>
        <v>Ashigei Shoujo Komura-san</v>
      </c>
      <c r="G81" s="2" t="str">
        <f ca="1">IFERROR(__xludf.DUMMYFUNCTION("""COMPUTED_VALUE"""),"Body &amp; Beauty")</f>
        <v>Body &amp; Beauty</v>
      </c>
      <c r="H81" s="2" t="str">
        <f ca="1">IFERROR(__xludf.DUMMYFUNCTION("""COMPUTED_VALUE"""),"A cliche but classy training tool. These leg mounted weights are perfect for acrobatic training. Their weight will increase as needed, though not to any physics-defying extent.")</f>
        <v>A cliche but classy training tool. These leg mounted weights are perfect for acrobatic training. Their weight will increase as needed, though not to any physics-defying extent.</v>
      </c>
      <c r="I81" s="5"/>
    </row>
    <row r="82" spans="1:9" ht="52.2" x14ac:dyDescent="0.25">
      <c r="A82" s="16"/>
      <c r="B82" s="17">
        <v>78</v>
      </c>
      <c r="C82" s="2" t="b">
        <f ca="1">IFERROR(__xludf.DUMMYFUNCTION("""COMPUTED_VALUE"""),FALSE)</f>
        <v>0</v>
      </c>
      <c r="D82" s="2">
        <f ca="1">IFERROR(__xludf.DUMMYFUNCTION("""COMPUTED_VALUE"""),100)</f>
        <v>100</v>
      </c>
      <c r="E82" s="2" t="str">
        <f ca="1">IFERROR(__xludf.DUMMYFUNCTION("""COMPUTED_VALUE"""),"Ribbed for their Pleasure")</f>
        <v>Ribbed for their Pleasure</v>
      </c>
      <c r="F82" s="2" t="str">
        <f ca="1">IFERROR(__xludf.DUMMYFUNCTION("""COMPUTED_VALUE"""),"Generic: Lewd Science Fiction")</f>
        <v>Generic: Lewd Science Fiction</v>
      </c>
      <c r="G82" s="2" t="str">
        <f ca="1">IFERROR(__xludf.DUMMYFUNCTION("""COMPUTED_VALUE"""),"Body &amp; Beauty")</f>
        <v>Body &amp; Beauty</v>
      </c>
      <c r="H82" s="2" t="str">
        <f ca="1">IFERROR(__xludf.DUMMYFUNCTION("""COMPUTED_VALUE"""),"Pretty much any part of your body that you would care to use for sex seems almost designed for stimulation. This could be anything from an extra-knobbly head on your cock to bumps on your tentacles, or a tongue that’s velvety soft.")</f>
        <v>Pretty much any part of your body that you would care to use for sex seems almost designed for stimulation. This could be anything from an extra-knobbly head on your cock to bumps on your tentacles, or a tongue that’s velvety soft.</v>
      </c>
      <c r="I82" s="5"/>
    </row>
    <row r="83" spans="1:9" ht="52.2" x14ac:dyDescent="0.25">
      <c r="A83" s="16"/>
      <c r="B83" s="17">
        <v>79</v>
      </c>
      <c r="C83" s="2" t="b">
        <f ca="1">IFERROR(__xludf.DUMMYFUNCTION("""COMPUTED_VALUE"""),FALSE)</f>
        <v>0</v>
      </c>
      <c r="D83" s="2">
        <f ca="1">IFERROR(__xludf.DUMMYFUNCTION("""COMPUTED_VALUE"""),100)</f>
        <v>100</v>
      </c>
      <c r="E83" s="2" t="str">
        <f ca="1">IFERROR(__xludf.DUMMYFUNCTION("""COMPUTED_VALUE"""),"Runner's Tits")</f>
        <v>Runner's Tits</v>
      </c>
      <c r="F83" s="2" t="str">
        <f ca="1">IFERROR(__xludf.DUMMYFUNCTION("""COMPUTED_VALUE"""),"Boyce Park")</f>
        <v>Boyce Park</v>
      </c>
      <c r="G83" s="2" t="str">
        <f ca="1">IFERROR(__xludf.DUMMYFUNCTION("""COMPUTED_VALUE"""),"Body &amp; Beauty")</f>
        <v>Body &amp; Beauty</v>
      </c>
      <c r="H83" s="2" t="str">
        <f ca="1">IFERROR(__xludf.DUMMYFUNCTION("""COMPUTED_VALUE"""),"You gain a minor speed bonus while naked, with your own bouncing tits not hindering you the slightest. On top of this, their jiggling is also always maximally attractive while simply never inconvenient.")</f>
        <v>You gain a minor speed bonus while naked, with your own bouncing tits not hindering you the slightest. On top of this, their jiggling is also always maximally attractive while simply never inconvenient.</v>
      </c>
      <c r="I83" s="5"/>
    </row>
    <row r="84" spans="1:9" ht="69.599999999999994" x14ac:dyDescent="0.25">
      <c r="A84" s="16"/>
      <c r="B84" s="17">
        <v>80</v>
      </c>
      <c r="C84" s="2" t="b">
        <f ca="1">IFERROR(__xludf.DUMMYFUNCTION("""COMPUTED_VALUE"""),FALSE)</f>
        <v>0</v>
      </c>
      <c r="D84" s="2">
        <f ca="1">IFERROR(__xludf.DUMMYFUNCTION("""COMPUTED_VALUE"""),100)</f>
        <v>100</v>
      </c>
      <c r="E84" s="2" t="str">
        <f ca="1">IFERROR(__xludf.DUMMYFUNCTION("""COMPUTED_VALUE"""),"Same Shit...")</f>
        <v>Same Shit...</v>
      </c>
      <c r="F84" s="2" t="str">
        <f ca="1">IFERROR(__xludf.DUMMYFUNCTION("""COMPUTED_VALUE"""),"Seven Mortal Sins/Seven Heavenly Virtues")</f>
        <v>Seven Mortal Sins/Seven Heavenly Virtues</v>
      </c>
      <c r="G84" s="2" t="str">
        <f ca="1">IFERROR(__xludf.DUMMYFUNCTION("""COMPUTED_VALUE"""),"Body &amp; Beauty")</f>
        <v>Body &amp; Beauty</v>
      </c>
      <c r="H84" s="2" t="str">
        <f ca="1">IFERROR(__xludf.DUMMYFUNCTION("""COMPUTED_VALUE"""),"You know what most people would do if a Demon revealed themselves suddenly, right in front of them? I’m sure I don’t need to elaborate that the everyman would scream, piss themselves, and maybe faint. You? You’re made of sterner stuff, unflappable no matt"&amp;"er the oddity, or erotisism, of the situation. Someone trying to kill you? Different story.")</f>
        <v>You know what most people would do if a Demon revealed themselves suddenly, right in front of them? I’m sure I don’t need to elaborate that the everyman would scream, piss themselves, and maybe faint. You? You’re made of sterner stuff, unflappable no matter the oddity, or erotisism, of the situation. Someone trying to kill you? Different story.</v>
      </c>
      <c r="I84" s="5"/>
    </row>
    <row r="85" spans="1:9" ht="52.2" x14ac:dyDescent="0.25">
      <c r="A85" s="16"/>
      <c r="B85" s="17">
        <v>81</v>
      </c>
      <c r="C85" s="2" t="b">
        <f ca="1">IFERROR(__xludf.DUMMYFUNCTION("""COMPUTED_VALUE"""),FALSE)</f>
        <v>0</v>
      </c>
      <c r="D85" s="2">
        <f ca="1">IFERROR(__xludf.DUMMYFUNCTION("""COMPUTED_VALUE"""),100)</f>
        <v>100</v>
      </c>
      <c r="E85" s="2" t="str">
        <f ca="1">IFERROR(__xludf.DUMMYFUNCTION("""COMPUTED_VALUE"""),"Sensitive Spots")</f>
        <v>Sensitive Spots</v>
      </c>
      <c r="F85" s="2" t="str">
        <f ca="1">IFERROR(__xludf.DUMMYFUNCTION("""COMPUTED_VALUE"""),"Generic: Lewd Science Fiction")</f>
        <v>Generic: Lewd Science Fiction</v>
      </c>
      <c r="G85" s="2" t="str">
        <f ca="1">IFERROR(__xludf.DUMMYFUNCTION("""COMPUTED_VALUE"""),"Body &amp; Beauty")</f>
        <v>Body &amp; Beauty</v>
      </c>
      <c r="H85" s="2" t="str">
        <f ca="1">IFERROR(__xludf.DUMMYFUNCTION("""COMPUTED_VALUE"""),"A particular place on your body is so sensitive it's like everything that touches it is ribbed for your pleasure, as sensitive as genitals and likewise linked to your sex drive. Maybe the underside of your tail, your ears or neck. I wouldn't set this as y"&amp;"our hands, that might be too distracting.")</f>
        <v>A particular place on your body is so sensitive it's like everything that touches it is ribbed for your pleasure, as sensitive as genitals and likewise linked to your sex drive. Maybe the underside of your tail, your ears or neck. I wouldn't set this as your hands, that might be too distracting.</v>
      </c>
      <c r="I85" s="5"/>
    </row>
    <row r="86" spans="1:9" ht="87" x14ac:dyDescent="0.25">
      <c r="A86" s="16"/>
      <c r="B86" s="17">
        <v>82</v>
      </c>
      <c r="C86" s="2" t="b">
        <f ca="1">IFERROR(__xludf.DUMMYFUNCTION("""COMPUTED_VALUE"""),FALSE)</f>
        <v>0</v>
      </c>
      <c r="D86" s="2">
        <f ca="1">IFERROR(__xludf.DUMMYFUNCTION("""COMPUTED_VALUE"""),100)</f>
        <v>100</v>
      </c>
      <c r="E86" s="2" t="str">
        <f ca="1">IFERROR(__xludf.DUMMYFUNCTION("""COMPUTED_VALUE"""),"Sex Friendly Underwear")</f>
        <v>Sex Friendly Underwear</v>
      </c>
      <c r="F86" s="2" t="str">
        <f ca="1">IFERROR(__xludf.DUMMYFUNCTION("""COMPUTED_VALUE"""),"Power Play")</f>
        <v>Power Play</v>
      </c>
      <c r="G86" s="2" t="str">
        <f ca="1">IFERROR(__xludf.DUMMYFUNCTION("""COMPUTED_VALUE"""),"Body &amp; Beauty")</f>
        <v>Body &amp; Beauty</v>
      </c>
      <c r="H86" s="2" t="str">
        <f ca="1">IFERROR(__xludf.DUMMYFUNCTION("""COMPUTED_VALUE"""),"A pair of underwear with a button on it. Press it, and it will open up to allow access to the butthole and genitalia, without needing to take it off. It automatically transforms to suit the desires of whoever wears it, so it can freely become boxers, brie"&amp;"fs, panties, fundoshi, or any other sort of underwear. You receive a pair for yourself, as well as a pair for each member of your harem. As your harem grows, new members will also receive their own pair.")</f>
        <v>A pair of underwear with a button on it. Press it, and it will open up to allow access to the butthole and genitalia, without needing to take it off. It automatically transforms to suit the desires of whoever wears it, so it can freely become boxers, briefs, panties, fundoshi, or any other sort of underwear. You receive a pair for yourself, as well as a pair for each member of your harem. As your harem grows, new members will also receive their own pair.</v>
      </c>
      <c r="I86" s="5"/>
    </row>
    <row r="87" spans="1:9" ht="243.6" x14ac:dyDescent="0.25">
      <c r="A87" s="16"/>
      <c r="B87" s="17">
        <v>83</v>
      </c>
      <c r="C87" s="2" t="b">
        <f ca="1">IFERROR(__xludf.DUMMYFUNCTION("""COMPUTED_VALUE"""),FALSE)</f>
        <v>0</v>
      </c>
      <c r="D87" s="2">
        <f ca="1">IFERROR(__xludf.DUMMYFUNCTION("""COMPUTED_VALUE"""),100)</f>
        <v>100</v>
      </c>
      <c r="E87" s="2" t="str">
        <f ca="1">IFERROR(__xludf.DUMMYFUNCTION("""COMPUTED_VALUE"""),"Sexual Compatability")</f>
        <v>Sexual Compatability</v>
      </c>
      <c r="F87" s="2" t="str">
        <f ca="1">IFERROR(__xludf.DUMMYFUNCTION("""COMPUTED_VALUE"""),"Ishuzoku Reviewers")</f>
        <v>Ishuzoku Reviewers</v>
      </c>
      <c r="G87" s="2" t="str">
        <f ca="1">IFERROR(__xludf.DUMMYFUNCTION("""COMPUTED_VALUE"""),"Body &amp; Beauty")</f>
        <v>Body &amp; Beauty</v>
      </c>
      <c r="H87" s="2" t="str">
        <f ca="1">IFERROR(__xludf.DUMMYFUNCTION("""COMPUTED_VALUE"""),"You know what sucks? Heading to a brothel only to discover that you can’t use their services. Oh it's not that they’re racist or anything its just... Have you ever been with a dragon girl? They are hot hot hot! And I’m not talking about their looks. You’d"&amp;" burn your little fellow off trying to bang one of them. And don’t get me started on the hundreds of sub-species of Myconids (aka Mushroom Girls). Pick the wrong ones, and you’ll be pushing up daisies before you know it. 
Well, now there isn’t a problem "&amp;"with that. You can enjoy the services of any type of succubi without damaging yourself or your partner. Bang that dragon girl. Stick it in that pixie without worrying about tearing her apart. Hell, jump into that pit full of Lilim! You’ll be fine! A littl"&amp;"e sore, but fine.
Heck, get as kinky as you want. You and your partner(s) are unable to hurt each other (except in the est way). Asphyxiation? Child’s play. Cutting? Those wounds will heal up without a scar after your done. Note that this miraculous powe"&amp;"r only works during sex, and stops working soon after you stop banging.")</f>
        <v>You know what sucks? Heading to a brothel only to discover that you can’t use their services. Oh it's not that they’re racist or anything its just... Have you ever been with a dragon girl? They are hot hot hot! And I’m not talking about their looks. You’d burn your little fellow off trying to bang one of them. And don’t get me started on the hundreds of sub-species of Myconids (aka Mushroom Girls). Pick the wrong ones, and you’ll be pushing up daisies before you know it. 
Well, now there isn’t a problem with that. You can enjoy the services of any type of succubi without damaging yourself or your partner. Bang that dragon girl. Stick it in that pixie without worrying about tearing her apart. Hell, jump into that pit full of Lilim! You’ll be fine! A little sore, but fine.
Heck, get as kinky as you want. You and your partner(s) are unable to hurt each other (except in the est way). Asphyxiation? Child’s play. Cutting? Those wounds will heal up without a scar after your done. Note that this miraculous power only works during sex, and stops working soon after you stop banging.</v>
      </c>
      <c r="I87" s="5"/>
    </row>
    <row r="88" spans="1:9" ht="121.8" x14ac:dyDescent="0.25">
      <c r="A88" s="16"/>
      <c r="B88" s="17">
        <v>84</v>
      </c>
      <c r="C88" s="2" t="b">
        <f ca="1">IFERROR(__xludf.DUMMYFUNCTION("""COMPUTED_VALUE"""),FALSE)</f>
        <v>0</v>
      </c>
      <c r="D88" s="2">
        <f ca="1">IFERROR(__xludf.DUMMYFUNCTION("""COMPUTED_VALUE"""),100)</f>
        <v>100</v>
      </c>
      <c r="E88" s="2" t="str">
        <f ca="1">IFERROR(__xludf.DUMMYFUNCTION("""COMPUTED_VALUE"""),"SHO FLUFFY")</f>
        <v>SHO FLUFFY</v>
      </c>
      <c r="F88" s="2" t="str">
        <f ca="1">IFERROR(__xludf.DUMMYFUNCTION("""COMPUTED_VALUE"""),"Generic: Hentai Occult")</f>
        <v>Generic: Hentai Occult</v>
      </c>
      <c r="G88" s="2" t="str">
        <f ca="1">IFERROR(__xludf.DUMMYFUNCTION("""COMPUTED_VALUE"""),"Body &amp; Beauty")</f>
        <v>Body &amp; Beauty</v>
      </c>
      <c r="H88" s="2" t="str">
        <f ca="1">IFERROR(__xludf.DUMMYFUNCTION("""COMPUTED_VALUE"""),"In this modern age, there really isn't much room for the truly monstrous beings that used to roam the lands. Only a very small number of monsters remain, mostly those capable of disguising themselves as human. As a result, they've become very good at this"&amp;" - and at portraying themselves in a good light, as compared to the “DEMONS, WE MUST BURN THEM!” response of olden days. Any non human features you let show though are now seen more as interesting, even intoxicating, rather than something to be feared - h"&amp;"ell, you could go full monster and as long as you looked and acted non-threatening they'd probably try to cuddle with you.")</f>
        <v>In this modern age, there really isn't much room for the truly monstrous beings that used to roam the lands. Only a very small number of monsters remain, mostly those capable of disguising themselves as human. As a result, they've become very good at this - and at portraying themselves in a good light, as compared to the “DEMONS, WE MUST BURN THEM!” response of olden days. Any non human features you let show though are now seen more as interesting, even intoxicating, rather than something to be feared - hell, you could go full monster and as long as you looked and acted non-threatening they'd probably try to cuddle with you.</v>
      </c>
      <c r="I88" s="5"/>
    </row>
    <row r="89" spans="1:9" ht="87" x14ac:dyDescent="0.25">
      <c r="A89" s="16"/>
      <c r="B89" s="17">
        <v>85</v>
      </c>
      <c r="C89" s="2" t="b">
        <f ca="1">IFERROR(__xludf.DUMMYFUNCTION("""COMPUTED_VALUE"""),FALSE)</f>
        <v>0</v>
      </c>
      <c r="D89" s="2">
        <f ca="1">IFERROR(__xludf.DUMMYFUNCTION("""COMPUTED_VALUE"""),100)</f>
        <v>100</v>
      </c>
      <c r="E89" s="2" t="str">
        <f ca="1">IFERROR(__xludf.DUMMYFUNCTION("""COMPUTED_VALUE"""),"Silver Fox")</f>
        <v>Silver Fox</v>
      </c>
      <c r="F89" s="2" t="str">
        <f ca="1">IFERROR(__xludf.DUMMYFUNCTION("""COMPUTED_VALUE"""),"LeWdBY")</f>
        <v>LeWdBY</v>
      </c>
      <c r="G89" s="2" t="str">
        <f ca="1">IFERROR(__xludf.DUMMYFUNCTION("""COMPUTED_VALUE"""),"Body &amp; Beauty")</f>
        <v>Body &amp; Beauty</v>
      </c>
      <c r="H89" s="2" t="str">
        <f ca="1">IFERROR(__xludf.DUMMYFUNCTION("""COMPUTED_VALUE"""),"You have (or will develop) a mature beauty, giving you the bearing of a true MILF/DILF. Even as you age, you’ll at most get a few gray streaks in your hair that make you look distinguished, staying as attractive as ever. People who are younger than you fi"&amp;"nd you especially alluring, and you’re likely to be a student favorite if you ever become a teacher. You also tend to bring out your partners’ more immature sides. Be prepared for being called “mommy” or “daddy” a lot.")</f>
        <v>You have (or will develop) a mature beauty, giving you the bearing of a true MILF/DILF. Even as you age, you’ll at most get a few gray streaks in your hair that make you look distinguished, staying as attractive as ever. People who are younger than you find you especially alluring, and you’re likely to be a student favorite if you ever become a teacher. You also tend to bring out your partners’ more immature sides. Be prepared for being called “mommy” or “daddy” a lot.</v>
      </c>
      <c r="I89" s="5"/>
    </row>
    <row r="90" spans="1:9" ht="139.19999999999999" x14ac:dyDescent="0.25">
      <c r="A90" s="16"/>
      <c r="B90" s="17">
        <v>86</v>
      </c>
      <c r="C90" s="2" t="b">
        <f ca="1">IFERROR(__xludf.DUMMYFUNCTION("""COMPUTED_VALUE"""),FALSE)</f>
        <v>0</v>
      </c>
      <c r="D90" s="2">
        <f ca="1">IFERROR(__xludf.DUMMYFUNCTION("""COMPUTED_VALUE"""),100)</f>
        <v>100</v>
      </c>
      <c r="E90" s="2" t="str">
        <f ca="1">IFERROR(__xludf.DUMMYFUNCTION("""COMPUTED_VALUE"""),"Slick Suit")</f>
        <v>Slick Suit</v>
      </c>
      <c r="F90" s="2" t="str">
        <f ca="1">IFERROR(__xludf.DUMMYFUNCTION("""COMPUTED_VALUE"""),"World of Cybersluts")</f>
        <v>World of Cybersluts</v>
      </c>
      <c r="G90" s="2" t="str">
        <f ca="1">IFERROR(__xludf.DUMMYFUNCTION("""COMPUTED_VALUE"""),"Body &amp; Beauty")</f>
        <v>Body &amp; Beauty</v>
      </c>
      <c r="H90" s="2" t="str">
        <f ca="1">IFERROR(__xludf.DUMMYFUNCTION("""COMPUTED_VALUE"""),"Appearances are everything in the corporate realm. So if you want to be anyone worth talking to, you’re gonna need a suit. Something slick and smooth for those corporate events or the ultra-secure upper floors of megacorporate headquarters. Enter this col"&amp;"lection of bespoke suits, designed for a sharp and dominant image. They can also optionally come with skirts, stockings, and heels for the office ladies wanting a more teasing style. All the suits are custom tailored to fit you, incredibly comfortable, an"&amp;"d durable enough to stop a bullet thanks to the armoured fabric. More interestingly there are micro-massagers woven right into the suits’ fabric, for when you need a discrete shoulder rub to relax during a busy day or some more intimate vibrations to edge"&amp;" you through a boring one.")</f>
        <v>Appearances are everything in the corporate realm. So if you want to be anyone worth talking to, you’re gonna need a suit. Something slick and smooth for those corporate events or the ultra-secure upper floors of megacorporate headquarters. Enter this collection of bespoke suits, designed for a sharp and dominant image. They can also optionally come with skirts, stockings, and heels for the office ladies wanting a more teasing style. All the suits are custom tailored to fit you, incredibly comfortable, and durable enough to stop a bullet thanks to the armoured fabric. More interestingly there are micro-massagers woven right into the suits’ fabric, for when you need a discrete shoulder rub to relax during a busy day or some more intimate vibrations to edge you through a boring one.</v>
      </c>
      <c r="I90" s="5"/>
    </row>
    <row r="91" spans="1:9" ht="69.599999999999994" x14ac:dyDescent="0.25">
      <c r="A91" s="16"/>
      <c r="B91" s="17">
        <v>87</v>
      </c>
      <c r="C91" s="2" t="b">
        <f ca="1">IFERROR(__xludf.DUMMYFUNCTION("""COMPUTED_VALUE"""),FALSE)</f>
        <v>0</v>
      </c>
      <c r="D91" s="2">
        <f ca="1">IFERROR(__xludf.DUMMYFUNCTION("""COMPUTED_VALUE"""),100)</f>
        <v>100</v>
      </c>
      <c r="E91" s="2" t="str">
        <f ca="1">IFERROR(__xludf.DUMMYFUNCTION("""COMPUTED_VALUE"""),"Spandex and Latex")</f>
        <v>Spandex and Latex</v>
      </c>
      <c r="F91" s="2" t="str">
        <f ca="1">IFERROR(__xludf.DUMMYFUNCTION("""COMPUTED_VALUE"""),"Boku To Nottori Nakademia")</f>
        <v>Boku To Nottori Nakademia</v>
      </c>
      <c r="G91" s="2" t="str">
        <f ca="1">IFERROR(__xludf.DUMMYFUNCTION("""COMPUTED_VALUE"""),"Body &amp; Beauty")</f>
        <v>Body &amp; Beauty</v>
      </c>
      <c r="H91" s="2" t="str">
        <f ca="1">IFERROR(__xludf.DUMMYFUNCTION("""COMPUTED_VALUE"""),"Every heroine needs a unique outfit and this one is yours. The specifics are up to you but whatever the case this thing is sexy as all hell, and easy to slip off for some quick fun with a lover~. Even better, the immense eroticism of this outfit is only a"&amp;"pparent to those you want to notice, with others not giving it a second glance.")</f>
        <v>Every heroine needs a unique outfit and this one is yours. The specifics are up to you but whatever the case this thing is sexy as all hell, and easy to slip off for some quick fun with a lover~. Even better, the immense eroticism of this outfit is only apparent to those you want to notice, with others not giving it a second glance.</v>
      </c>
      <c r="I91" s="5"/>
    </row>
    <row r="92" spans="1:9" ht="121.8" x14ac:dyDescent="0.25">
      <c r="A92" s="16"/>
      <c r="B92" s="17">
        <v>88</v>
      </c>
      <c r="C92" s="2" t="b">
        <f ca="1">IFERROR(__xludf.DUMMYFUNCTION("""COMPUTED_VALUE"""),FALSE)</f>
        <v>0</v>
      </c>
      <c r="D92" s="2">
        <f ca="1">IFERROR(__xludf.DUMMYFUNCTION("""COMPUTED_VALUE"""),100)</f>
        <v>100</v>
      </c>
      <c r="E92" s="2" t="str">
        <f ca="1">IFERROR(__xludf.DUMMYFUNCTION("""COMPUTED_VALUE"""),"Stamina Drink")</f>
        <v>Stamina Drink</v>
      </c>
      <c r="F92" s="2" t="str">
        <f ca="1">IFERROR(__xludf.DUMMYFUNCTION("""COMPUTED_VALUE"""),"Elzikyuchi’s Dickgirls 2")</f>
        <v>Elzikyuchi’s Dickgirls 2</v>
      </c>
      <c r="G92" s="2" t="str">
        <f ca="1">IFERROR(__xludf.DUMMYFUNCTION("""COMPUTED_VALUE"""),"Body &amp; Beauty")</f>
        <v>Body &amp; Beauty</v>
      </c>
      <c r="H92" s="2" t="str">
        <f ca="1">IFERROR(__xludf.DUMMYFUNCTION("""COMPUTED_VALUE"""),"I’m not entirely sure what these are made of, but somewhere along the line it was decided that men and women needed to operate on an even playing field to the shemales. These energy drinks are the result of that, granting the drinker hours upon hours of e"&amp;"nergy with every bottle - and has the “odd” side effect of amplifying cum and milk production as well, not to mention temporarily increasing the size of one's dick. Of course, if a shemale drinks it then things will become even worse for their poor partne"&amp;"rs... Maybe try not to let them know you have any of it, otherwise they’ll likely hog it all for themselves. You have a six pack of the stuff that refills weekly.")</f>
        <v>I’m not entirely sure what these are made of, but somewhere along the line it was decided that men and women needed to operate on an even playing field to the shemales. These energy drinks are the result of that, granting the drinker hours upon hours of energy with every bottle - and has the “odd” side effect of amplifying cum and milk production as well, not to mention temporarily increasing the size of one's dick. Of course, if a shemale drinks it then things will become even worse for their poor partners... Maybe try not to let them know you have any of it, otherwise they’ll likely hog it all for themselves. You have a six pack of the stuff that refills weekly.</v>
      </c>
      <c r="I92" s="5"/>
    </row>
    <row r="93" spans="1:9" ht="156.6" x14ac:dyDescent="0.25">
      <c r="A93" s="16"/>
      <c r="B93" s="17">
        <v>89</v>
      </c>
      <c r="C93" s="2" t="b">
        <f ca="1">IFERROR(__xludf.DUMMYFUNCTION("""COMPUTED_VALUE"""),FALSE)</f>
        <v>0</v>
      </c>
      <c r="D93" s="2">
        <f ca="1">IFERROR(__xludf.DUMMYFUNCTION("""COMPUTED_VALUE"""),100)</f>
        <v>100</v>
      </c>
      <c r="E93" s="2" t="str">
        <f ca="1">IFERROR(__xludf.DUMMYFUNCTION("""COMPUTED_VALUE"""),"Succbi Suit")</f>
        <v>Succbi Suit</v>
      </c>
      <c r="F93" s="2" t="str">
        <f ca="1">IFERROR(__xludf.DUMMYFUNCTION("""COMPUTED_VALUE"""),"TSF World")</f>
        <v>TSF World</v>
      </c>
      <c r="G93" s="2" t="str">
        <f ca="1">IFERROR(__xludf.DUMMYFUNCTION("""COMPUTED_VALUE"""),"Body &amp; Beauty")</f>
        <v>Body &amp; Beauty</v>
      </c>
      <c r="H93" s="2" t="str">
        <f ca="1">IFERROR(__xludf.DUMMYFUNCTION("""COMPUTED_VALUE"""),"Despite what it is called, the origin of this outfit is unclear. Whether it belonged to a demoness or not, it lives up to its name. This is a revealing set of clothes made from a very soft and smooth feeling fabric. This outfit will reshape itself to fit "&amp;"the body of whoever puts it on, highlighting their best features and buffing up any parts that may be lacking. The faint lingering magic imbued into the fabric gives it, and the wearer, an almost otherworldly charm that could put those who view it under t"&amp;"heir charm. People are far more open to suggestions while wearing this. The cloth appears to be all but painted on to the wearer so closely does it stick to the skin, allowing one to see every crease and fold on your skin. Not an outfit to wear in polite "&amp;"company, though it would work well as some underclothes.")</f>
        <v>Despite what it is called, the origin of this outfit is unclear. Whether it belonged to a demoness or not, it lives up to its name. This is a revealing set of clothes made from a very soft and smooth feeling fabric. This outfit will reshape itself to fit the body of whoever puts it on, highlighting their best features and buffing up any parts that may be lacking. The faint lingering magic imbued into the fabric gives it, and the wearer, an almost otherworldly charm that could put those who view it under their charm. People are far more open to suggestions while wearing this. The cloth appears to be all but painted on to the wearer so closely does it stick to the skin, allowing one to see every crease and fold on your skin. Not an outfit to wear in polite company, though it would work well as some underclothes.</v>
      </c>
      <c r="I93" s="5"/>
    </row>
    <row r="94" spans="1:9" ht="104.4" x14ac:dyDescent="0.25">
      <c r="A94" s="16"/>
      <c r="B94" s="17">
        <v>90</v>
      </c>
      <c r="C94" s="2" t="b">
        <f ca="1">IFERROR(__xludf.DUMMYFUNCTION("""COMPUTED_VALUE"""),FALSE)</f>
        <v>0</v>
      </c>
      <c r="D94" s="2">
        <f ca="1">IFERROR(__xludf.DUMMYFUNCTION("""COMPUTED_VALUE"""),100)</f>
        <v>100</v>
      </c>
      <c r="E94" s="2" t="str">
        <f ca="1">IFERROR(__xludf.DUMMYFUNCTION("""COMPUTED_VALUE"""),"Super Slutty Underwear")</f>
        <v>Super Slutty Underwear</v>
      </c>
      <c r="F94" s="2" t="str">
        <f ca="1">IFERROR(__xludf.DUMMYFUNCTION("""COMPUTED_VALUE"""),"Burakku Gakkou Ni Tsutomete Shimatta Sensei")</f>
        <v>Burakku Gakkou Ni Tsutomete Shimatta Sensei</v>
      </c>
      <c r="G94" s="2" t="str">
        <f ca="1">IFERROR(__xludf.DUMMYFUNCTION("""COMPUTED_VALUE"""),"Body &amp; Beauty")</f>
        <v>Body &amp; Beauty</v>
      </c>
      <c r="H94" s="2" t="str">
        <f ca="1">IFERROR(__xludf.DUMMYFUNCTION("""COMPUTED_VALUE"""),"‘Sup girlfriend! You get a drawer full of various underwear, all of it so lewd that some lingerie stores might refuse to sell them! It’s got everything you need to tempt some hot hunk into your bed... and also comes with a packet of band-aids that refills"&amp;" hourly, in case you’d rather just wear those. The breeze feels nice~
For guys, just remember that you can be a slut too! It just typically looks a little different.")</f>
        <v>‘Sup girlfriend! You get a drawer full of various underwear, all of it so lewd that some lingerie stores might refuse to sell them! It’s got everything you need to tempt some hot hunk into your bed... and also comes with a packet of band-aids that refills hourly, in case you’d rather just wear those. The breeze feels nice~
For guys, just remember that you can be a slut too! It just typically looks a little different.</v>
      </c>
      <c r="I94" s="5"/>
    </row>
    <row r="95" spans="1:9" ht="69.599999999999994" x14ac:dyDescent="0.25">
      <c r="A95" s="16"/>
      <c r="B95" s="17">
        <v>91</v>
      </c>
      <c r="C95" s="2" t="b">
        <f ca="1">IFERROR(__xludf.DUMMYFUNCTION("""COMPUTED_VALUE"""),FALSE)</f>
        <v>0</v>
      </c>
      <c r="D95" s="2">
        <f ca="1">IFERROR(__xludf.DUMMYFUNCTION("""COMPUTED_VALUE"""),100)</f>
        <v>100</v>
      </c>
      <c r="E95" s="2" t="str">
        <f ca="1">IFERROR(__xludf.DUMMYFUNCTION("""COMPUTED_VALUE"""),"Sweet Scent")</f>
        <v>Sweet Scent</v>
      </c>
      <c r="F95" s="2" t="str">
        <f ca="1">IFERROR(__xludf.DUMMYFUNCTION("""COMPUTED_VALUE"""),"Aki-Akane")</f>
        <v>Aki-Akane</v>
      </c>
      <c r="G95" s="2" t="str">
        <f ca="1">IFERROR(__xludf.DUMMYFUNCTION("""COMPUTED_VALUE"""),"Body &amp; Beauty")</f>
        <v>Body &amp; Beauty</v>
      </c>
      <c r="H95" s="2" t="str">
        <f ca="1">IFERROR(__xludf.DUMMYFUNCTION("""COMPUTED_VALUE"""),"Normally I’d think it was your girlfriend trying to sweet talk you or just making pillow talk, but it seems that’s not quite true. Your scent, your sweat, actually smells pretty good. Not exactly like something nice, like flowers or something, but some so"&amp;"rt of primal musk that screams SEXY to the world once you’ve got a good workout in.")</f>
        <v>Normally I’d think it was your girlfriend trying to sweet talk you or just making pillow talk, but it seems that’s not quite true. Your scent, your sweat, actually smells pretty good. Not exactly like something nice, like flowers or something, but some sort of primal musk that screams SEXY to the world once you’ve got a good workout in.</v>
      </c>
      <c r="I95" s="5"/>
    </row>
    <row r="96" spans="1:9" ht="34.799999999999997" x14ac:dyDescent="0.25">
      <c r="A96" s="16"/>
      <c r="B96" s="17">
        <v>92</v>
      </c>
      <c r="C96" s="2" t="b">
        <f ca="1">IFERROR(__xludf.DUMMYFUNCTION("""COMPUTED_VALUE"""),FALSE)</f>
        <v>0</v>
      </c>
      <c r="D96" s="2">
        <f ca="1">IFERROR(__xludf.DUMMYFUNCTION("""COMPUTED_VALUE"""),100)</f>
        <v>100</v>
      </c>
      <c r="E96" s="2" t="str">
        <f ca="1">IFERROR(__xludf.DUMMYFUNCTION("""COMPUTED_VALUE"""),"Sweeter than Sugar")</f>
        <v>Sweeter than Sugar</v>
      </c>
      <c r="F96" s="2" t="str">
        <f ca="1">IFERROR(__xludf.DUMMYFUNCTION("""COMPUTED_VALUE"""),"Generic: Incest")</f>
        <v>Generic: Incest</v>
      </c>
      <c r="G96" s="2" t="str">
        <f ca="1">IFERROR(__xludf.DUMMYFUNCTION("""COMPUTED_VALUE"""),"Body &amp; Beauty")</f>
        <v>Body &amp; Beauty</v>
      </c>
      <c r="H96" s="2" t="str">
        <f ca="1">IFERROR(__xludf.DUMMYFUNCTION("""COMPUTED_VALUE"""),"Your sexual fluids are unreasonably delicious, enough so that once tasted, people may find themselves craving them again.")</f>
        <v>Your sexual fluids are unreasonably delicious, enough so that once tasted, people may find themselves craving them again.</v>
      </c>
      <c r="I96" s="5"/>
    </row>
    <row r="97" spans="1:9" ht="104.4" x14ac:dyDescent="0.25">
      <c r="A97" s="16"/>
      <c r="B97" s="17">
        <v>93</v>
      </c>
      <c r="C97" s="2" t="b">
        <f ca="1">IFERROR(__xludf.DUMMYFUNCTION("""COMPUTED_VALUE"""),FALSE)</f>
        <v>0</v>
      </c>
      <c r="D97" s="2">
        <f ca="1">IFERROR(__xludf.DUMMYFUNCTION("""COMPUTED_VALUE"""),100)</f>
        <v>100</v>
      </c>
      <c r="E97" s="2" t="str">
        <f ca="1">IFERROR(__xludf.DUMMYFUNCTION("""COMPUTED_VALUE"""),"Ten (+/- Ten) out of Ten")</f>
        <v>Ten (+/- Ten) out of Ten</v>
      </c>
      <c r="F97" s="2" t="str">
        <f ca="1">IFERROR(__xludf.DUMMYFUNCTION("""COMPUTED_VALUE"""),"How they Fap in Parallel Worlds")</f>
        <v>How they Fap in Parallel Worlds</v>
      </c>
      <c r="G97" s="2" t="str">
        <f ca="1">IFERROR(__xludf.DUMMYFUNCTION("""COMPUTED_VALUE"""),"Body &amp; Beauty")</f>
        <v>Body &amp; Beauty</v>
      </c>
      <c r="H97" s="2" t="str">
        <f ca="1">IFERROR(__xludf.DUMMYFUNCTION("""COMPUTED_VALUE"""),"Beauty is in the eye of the beholder, and when said beholder isn’t exactly following the same scale, you’re a bombshell and a half. Even if you aren’t considered attractive by your own species’ standards, there’s some quality about you that makes other sp"&amp;"ecies see you as a total beauty. Not mesmerizingly so, but if you put your sexual services on the interspecies market, you’ll never find yourself lacking clientele. This is even more effective if the other person themselves greatly deviates from your spec"&amp;"ie’s conventional beauty standards.")</f>
        <v>Beauty is in the eye of the beholder, and when said beholder isn’t exactly following the same scale, you’re a bombshell and a half. Even if you aren’t considered attractive by your own species’ standards, there’s some quality about you that makes other species see you as a total beauty. Not mesmerizingly so, but if you put your sexual services on the interspecies market, you’ll never find yourself lacking clientele. This is even more effective if the other person themselves greatly deviates from your specie’s conventional beauty standards.</v>
      </c>
      <c r="I97" s="5"/>
    </row>
    <row r="98" spans="1:9" ht="34.799999999999997" x14ac:dyDescent="0.25">
      <c r="A98" s="16"/>
      <c r="B98" s="17">
        <v>94</v>
      </c>
      <c r="C98" s="2" t="b">
        <f ca="1">IFERROR(__xludf.DUMMYFUNCTION("""COMPUTED_VALUE"""),FALSE)</f>
        <v>0</v>
      </c>
      <c r="D98" s="2">
        <f ca="1">IFERROR(__xludf.DUMMYFUNCTION("""COMPUTED_VALUE"""),100)</f>
        <v>100</v>
      </c>
      <c r="E98" s="2" t="str">
        <f ca="1">IFERROR(__xludf.DUMMYFUNCTION("""COMPUTED_VALUE"""),"That Can't be Him")</f>
        <v>That Can't be Him</v>
      </c>
      <c r="F98" s="2" t="str">
        <f ca="1">IFERROR(__xludf.DUMMYFUNCTION("""COMPUTED_VALUE"""),"Generic: Hentai Occult")</f>
        <v>Generic: Hentai Occult</v>
      </c>
      <c r="G98" s="2" t="str">
        <f ca="1">IFERROR(__xludf.DUMMYFUNCTION("""COMPUTED_VALUE"""),"Body &amp; Beauty")</f>
        <v>Body &amp; Beauty</v>
      </c>
      <c r="H98" s="2" t="str">
        <f ca="1">IFERROR(__xludf.DUMMYFUNCTION("""COMPUTED_VALUE"""),"A little change makes all the difference. Change your hair, your outfit, your demeanor; just a little. Now that's all you need so the villains will never suspect you’re the city’s protector.")</f>
        <v>A little change makes all the difference. Change your hair, your outfit, your demeanor; just a little. Now that's all you need so the villains will never suspect you’re the city’s protector.</v>
      </c>
      <c r="I98" s="5"/>
    </row>
    <row r="99" spans="1:9" ht="52.2" x14ac:dyDescent="0.25">
      <c r="A99" s="16"/>
      <c r="B99" s="17">
        <v>95</v>
      </c>
      <c r="C99" s="2" t="b">
        <f ca="1">IFERROR(__xludf.DUMMYFUNCTION("""COMPUTED_VALUE"""),FALSE)</f>
        <v>0</v>
      </c>
      <c r="D99" s="2">
        <f ca="1">IFERROR(__xludf.DUMMYFUNCTION("""COMPUTED_VALUE"""),100)</f>
        <v>100</v>
      </c>
      <c r="E99" s="2" t="str">
        <f ca="1">IFERROR(__xludf.DUMMYFUNCTION("""COMPUTED_VALUE"""),"The ""Bath Towel""")</f>
        <v>The "Bath Towel"</v>
      </c>
      <c r="F99" s="2" t="str">
        <f ca="1">IFERROR(__xludf.DUMMYFUNCTION("""COMPUTED_VALUE"""),"Destiny: Fuck the Darkness")</f>
        <v>Destiny: Fuck the Darkness</v>
      </c>
      <c r="G99" s="2" t="str">
        <f ca="1">IFERROR(__xludf.DUMMYFUNCTION("""COMPUTED_VALUE"""),"Body &amp; Beauty")</f>
        <v>Body &amp; Beauty</v>
      </c>
      <c r="H99" s="2" t="str">
        <f ca="1">IFERROR(__xludf.DUMMYFUNCTION("""COMPUTED_VALUE"""),"Titans wear these ‘marks’ around their waists to show allegiance to one order or another. This one? It is a miracle piece of cloth that can always keep your naughty bits, below the belt, concealed even if you are stark naked otherwise, inconceivably from "&amp;"multiple angles if need be.")</f>
        <v>Titans wear these ‘marks’ around their waists to show allegiance to one order or another. This one? It is a miracle piece of cloth that can always keep your naughty bits, below the belt, concealed even if you are stark naked otherwise, inconceivably from multiple angles if need be.</v>
      </c>
      <c r="I99" s="5"/>
    </row>
    <row r="100" spans="1:9" ht="52.2" x14ac:dyDescent="0.25">
      <c r="A100" s="16"/>
      <c r="B100" s="17">
        <v>96</v>
      </c>
      <c r="C100" s="2" t="b">
        <f ca="1">IFERROR(__xludf.DUMMYFUNCTION("""COMPUTED_VALUE"""),FALSE)</f>
        <v>0</v>
      </c>
      <c r="D100" s="2">
        <f ca="1">IFERROR(__xludf.DUMMYFUNCTION("""COMPUTED_VALUE"""),100)</f>
        <v>100</v>
      </c>
      <c r="E100" s="2" t="str">
        <f ca="1">IFERROR(__xludf.DUMMYFUNCTION("""COMPUTED_VALUE"""),"Unexpected Luxury")</f>
        <v>Unexpected Luxury</v>
      </c>
      <c r="F100" s="2" t="str">
        <f ca="1">IFERROR(__xludf.DUMMYFUNCTION("""COMPUTED_VALUE"""),"World of Moral Reversal")</f>
        <v>World of Moral Reversal</v>
      </c>
      <c r="G100" s="2" t="str">
        <f ca="1">IFERROR(__xludf.DUMMYFUNCTION("""COMPUTED_VALUE"""),"Body &amp; Beauty")</f>
        <v>Body &amp; Beauty</v>
      </c>
      <c r="H100" s="2" t="str">
        <f ca="1">IFERROR(__xludf.DUMMYFUNCTION("""COMPUTED_VALUE"""),"You may not have noticed, until now but... the underwear industry is bullshit. One gender gets an entire industry, while the other is left with the bargain bin. You have an endless assortment of stylish and comfortable underwear to choose from, no matter "&amp;"your gender.")</f>
        <v>You may not have noticed, until now but... the underwear industry is bullshit. One gender gets an entire industry, while the other is left with the bargain bin. You have an endless assortment of stylish and comfortable underwear to choose from, no matter your gender.</v>
      </c>
      <c r="I100" s="5"/>
    </row>
    <row r="101" spans="1:9" ht="121.8" x14ac:dyDescent="0.25">
      <c r="A101" s="16"/>
      <c r="B101" s="17">
        <v>97</v>
      </c>
      <c r="C101" s="2" t="b">
        <f ca="1">IFERROR(__xludf.DUMMYFUNCTION("""COMPUTED_VALUE"""),FALSE)</f>
        <v>0</v>
      </c>
      <c r="D101" s="2">
        <f ca="1">IFERROR(__xludf.DUMMYFUNCTION("""COMPUTED_VALUE"""),100)</f>
        <v>100</v>
      </c>
      <c r="E101" s="2" t="str">
        <f ca="1">IFERROR(__xludf.DUMMYFUNCTION("""COMPUTED_VALUE"""),"Unsafe Dosage")</f>
        <v>Unsafe Dosage</v>
      </c>
      <c r="F101" s="2" t="str">
        <f ca="1">IFERROR(__xludf.DUMMYFUNCTION("""COMPUTED_VALUE"""),"Merry Marry")</f>
        <v>Merry Marry</v>
      </c>
      <c r="G101" s="2" t="str">
        <f ca="1">IFERROR(__xludf.DUMMYFUNCTION("""COMPUTED_VALUE"""),"Body &amp; Beauty")</f>
        <v>Body &amp; Beauty</v>
      </c>
      <c r="H101" s="2" t="str">
        <f ca="1">IFERROR(__xludf.DUMMYFUNCTION("""COMPUTED_VALUE"""),"One of the reasons that the man who commissioned the genderswap drug didn’t demand a more stable version was because it was deemed unsafe to take a second dose. It would have taken a heavy toll on the body - one he wasn’t sure he could pay. But, someone s"&amp;"tronger, like a certain elder brother ninja? I bet you he would have been able. Anyways, when people speak of a maximum safe dosage, they always seem to underestimate you. Maybe you’re the hardy sort, maybe it’s the same quirk as above. Either way, you al"&amp;"ways seem to be able to get two, sometimes even three doses in before the toll starts to show.")</f>
        <v>One of the reasons that the man who commissioned the genderswap drug didn’t demand a more stable version was because it was deemed unsafe to take a second dose. It would have taken a heavy toll on the body - one he wasn’t sure he could pay. But, someone stronger, like a certain elder brother ninja? I bet you he would have been able. Anyways, when people speak of a maximum safe dosage, they always seem to underestimate you. Maybe you’re the hardy sort, maybe it’s the same quirk as above. Either way, you always seem to be able to get two, sometimes even three doses in before the toll starts to show.</v>
      </c>
      <c r="I101" s="5"/>
    </row>
    <row r="102" spans="1:9" ht="87" x14ac:dyDescent="0.25">
      <c r="A102" s="16"/>
      <c r="B102" s="17">
        <v>98</v>
      </c>
      <c r="C102" s="2" t="b">
        <f ca="1">IFERROR(__xludf.DUMMYFUNCTION("""COMPUTED_VALUE"""),FALSE)</f>
        <v>0</v>
      </c>
      <c r="D102" s="2">
        <f ca="1">IFERROR(__xludf.DUMMYFUNCTION("""COMPUTED_VALUE"""),100)</f>
        <v>100</v>
      </c>
      <c r="E102" s="2" t="str">
        <f ca="1">IFERROR(__xludf.DUMMYFUNCTION("""COMPUTED_VALUE"""),"V-Card")</f>
        <v>V-Card</v>
      </c>
      <c r="F102" s="2" t="str">
        <f ca="1">IFERROR(__xludf.DUMMYFUNCTION("""COMPUTED_VALUE"""),"Burakku Gakkou Ni Tsutomete Shimatta Sensei")</f>
        <v>Burakku Gakkou Ni Tsutomete Shimatta Sensei</v>
      </c>
      <c r="G102" s="2" t="str">
        <f ca="1">IFERROR(__xludf.DUMMYFUNCTION("""COMPUTED_VALUE"""),"Body &amp; Beauty")</f>
        <v>Body &amp; Beauty</v>
      </c>
      <c r="H102" s="2" t="str">
        <f ca="1">IFERROR(__xludf.DUMMYFUNCTION("""COMPUTED_VALUE"""),"You are an officially licensed virgin, complete with v-card. While the card is on your person, you are considered to be a virgin for all intents and purposes, and people who are particularly attracted to virgins can automatically detect your virginity.")</f>
        <v>You are an officially licensed virgin, complete with v-card. While the card is on your person, you are considered to be a virgin for all intents and purposes, and people who are particularly attracted to virgins can automatically detect your virginity.</v>
      </c>
      <c r="I102" s="5"/>
    </row>
    <row r="103" spans="1:9" ht="69.599999999999994" x14ac:dyDescent="0.25">
      <c r="A103" s="16"/>
      <c r="B103" s="17">
        <v>99</v>
      </c>
      <c r="C103" s="2" t="b">
        <f ca="1">IFERROR(__xludf.DUMMYFUNCTION("""COMPUTED_VALUE"""),FALSE)</f>
        <v>0</v>
      </c>
      <c r="D103" s="2">
        <f ca="1">IFERROR(__xludf.DUMMYFUNCTION("""COMPUTED_VALUE"""),100)</f>
        <v>100</v>
      </c>
      <c r="E103" s="2" t="str">
        <f ca="1">IFERROR(__xludf.DUMMYFUNCTION("""COMPUTED_VALUE"""),"Wet Dream or Nightmare?")</f>
        <v>Wet Dream or Nightmare?</v>
      </c>
      <c r="F103" s="2" t="str">
        <f ca="1">IFERROR(__xludf.DUMMYFUNCTION("""COMPUTED_VALUE"""),"Aki-Akane")</f>
        <v>Aki-Akane</v>
      </c>
      <c r="G103" s="2" t="str">
        <f ca="1">IFERROR(__xludf.DUMMYFUNCTION("""COMPUTED_VALUE"""),"Body &amp; Beauty")</f>
        <v>Body &amp; Beauty</v>
      </c>
      <c r="H103" s="2" t="str">
        <f ca="1">IFERROR(__xludf.DUMMYFUNCTION("""COMPUTED_VALUE"""),"You have got a real pair of lungs on you, you know the kind that opera singers use to crack glass. I’d say that you could scream loud enough to wake the dead, but half the people this jump is based on are dead, so that’s not actually a great deal of effor"&amp;"t - or volume. More importantly, when going down on someone you can stay down there for half an hour without any oxygen with no issue.")</f>
        <v>You have got a real pair of lungs on you, you know the kind that opera singers use to crack glass. I’d say that you could scream loud enough to wake the dead, but half the people this jump is based on are dead, so that’s not actually a great deal of effort - or volume. More importantly, when going down on someone you can stay down there for half an hour without any oxygen with no issue.</v>
      </c>
      <c r="I103" s="5"/>
    </row>
    <row r="104" spans="1:9" ht="139.19999999999999" x14ac:dyDescent="0.25">
      <c r="A104" s="16"/>
      <c r="B104" s="17">
        <v>100</v>
      </c>
      <c r="C104" s="2" t="b">
        <f ca="1">IFERROR(__xludf.DUMMYFUNCTION("""COMPUTED_VALUE"""),FALSE)</f>
        <v>0</v>
      </c>
      <c r="D104" s="2">
        <f ca="1">IFERROR(__xludf.DUMMYFUNCTION("""COMPUTED_VALUE"""),100)</f>
        <v>100</v>
      </c>
      <c r="E104" s="2" t="str">
        <f ca="1">IFERROR(__xludf.DUMMYFUNCTION("""COMPUTED_VALUE"""),"What Doesn't Kill You")</f>
        <v>What Doesn't Kill You</v>
      </c>
      <c r="F104" s="2" t="str">
        <f ca="1">IFERROR(__xludf.DUMMYFUNCTION("""COMPUTED_VALUE"""),"Breathless Wild")</f>
        <v>Breathless Wild</v>
      </c>
      <c r="G104" s="2" t="str">
        <f ca="1">IFERROR(__xludf.DUMMYFUNCTION("""COMPUTED_VALUE"""),"Body &amp; Beauty")</f>
        <v>Body &amp; Beauty</v>
      </c>
      <c r="H104" s="2" t="str">
        <f ca="1">IFERROR(__xludf.DUMMYFUNCTION("""COMPUTED_VALUE"""),"When Zelda emerged from her long sleep she was reborn in a body capable of surviving everything that Hyrule might throw at her, but you don’t need to sleep for a hundred years to be able to take a monster’s cock up the ass as well as she does. Your mind a"&amp;"nd body are almost unreasonably tough, able to stretch and shift in places where others will shatter. You can endure savage abuse, such as getting impaled on a cock larger than your own body, falling from enormous heights, or spending years on end as a cu"&amp;"mdump for a tribe of monsters, and still bounce back like nothing happened. You might not enjoy the experience but you’ll heal from anything that doesn’t kill you and be back to normal after a few days of rest at most.")</f>
        <v>When Zelda emerged from her long sleep she was reborn in a body capable of surviving everything that Hyrule might throw at her, but you don’t need to sleep for a hundred years to be able to take a monster’s cock up the ass as well as she does. Your mind and body are almost unreasonably tough, able to stretch and shift in places where others will shatter. You can endure savage abuse, such as getting impaled on a cock larger than your own body, falling from enormous heights, or spending years on end as a cumdump for a tribe of monsters, and still bounce back like nothing happened. You might not enjoy the experience but you’ll heal from anything that doesn’t kill you and be back to normal after a few days of rest at most.</v>
      </c>
      <c r="I104" s="5"/>
    </row>
    <row r="105" spans="1:9" ht="121.8" x14ac:dyDescent="0.25">
      <c r="A105" s="16"/>
      <c r="B105" s="17">
        <v>101</v>
      </c>
      <c r="C105" s="2" t="b">
        <f ca="1">IFERROR(__xludf.DUMMYFUNCTION("""COMPUTED_VALUE"""),FALSE)</f>
        <v>0</v>
      </c>
      <c r="D105" s="2">
        <f ca="1">IFERROR(__xludf.DUMMYFUNCTION("""COMPUTED_VALUE"""),100)</f>
        <v>100</v>
      </c>
      <c r="E105" s="2" t="str">
        <f ca="1">IFERROR(__xludf.DUMMYFUNCTION("""COMPUTED_VALUE"""),"Wild Thing")</f>
        <v>Wild Thing</v>
      </c>
      <c r="F105" s="2" t="str">
        <f ca="1">IFERROR(__xludf.DUMMYFUNCTION("""COMPUTED_VALUE"""),"Generic: Monster Fucker/Horny Horror")</f>
        <v>Generic: Monster Fucker/Horny Horror</v>
      </c>
      <c r="G105" s="2" t="str">
        <f ca="1">IFERROR(__xludf.DUMMYFUNCTION("""COMPUTED_VALUE"""),"Body &amp; Beauty")</f>
        <v>Body &amp; Beauty</v>
      </c>
      <c r="H105" s="2" t="str">
        <f ca="1">IFERROR(__xludf.DUMMYFUNCTION("""COMPUTED_VALUE"""),"Ah, the great outdoors; it’s one of your oldest and fondest loves. You’ve done it all: camping, hiking, survival exercises, travel here and travel there. You might even live in a log cabin built with your own two hands. Years of experience living alongsid"&amp;"e nature allows you to live comfortably within it, and the land seems to welcome you in turn. The weather is generally kinder to you, and pests less likely to pester you among other small advantages. Never again will mosquitoes end up bothering you when y"&amp;"our skin is exposed beneath the starry night sky, nor will it rain when you just need a quick nap. You can even share these effects with those around you.")</f>
        <v>Ah, the great outdoors; it’s one of your oldest and fondest loves. You’ve done it all: camping, hiking, survival exercises, travel here and travel there. You might even live in a log cabin built with your own two hands. Years of experience living alongside nature allows you to live comfortably within it, and the land seems to welcome you in turn. The weather is generally kinder to you, and pests less likely to pester you among other small advantages. Never again will mosquitoes end up bothering you when your skin is exposed beneath the starry night sky, nor will it rain when you just need a quick nap. You can even share these effects with those around you.</v>
      </c>
      <c r="I105" s="5"/>
    </row>
    <row r="106" spans="1:9" ht="121.8" x14ac:dyDescent="0.25">
      <c r="A106" s="16"/>
      <c r="B106" s="17">
        <v>102</v>
      </c>
      <c r="C106" s="2" t="b">
        <f ca="1">IFERROR(__xludf.DUMMYFUNCTION("""COMPUTED_VALUE"""),FALSE)</f>
        <v>0</v>
      </c>
      <c r="D106" s="2">
        <f ca="1">IFERROR(__xludf.DUMMYFUNCTION("""COMPUTED_VALUE"""),100)</f>
        <v>100</v>
      </c>
      <c r="E106" s="2" t="str">
        <f ca="1">IFERROR(__xludf.DUMMYFUNCTION("""COMPUTED_VALUE"""),"With Age Comes Cup Sizes")</f>
        <v>With Age Comes Cup Sizes</v>
      </c>
      <c r="F106" s="2" t="str">
        <f ca="1">IFERROR(__xludf.DUMMYFUNCTION("""COMPUTED_VALUE"""),"Prina the Dungeoneering Princess")</f>
        <v>Prina the Dungeoneering Princess</v>
      </c>
      <c r="G106" s="2" t="str">
        <f ca="1">IFERROR(__xludf.DUMMYFUNCTION("""COMPUTED_VALUE"""),"Body &amp; Beauty")</f>
        <v>Body &amp; Beauty</v>
      </c>
      <c r="H106" s="2" t="str">
        <f ca="1">IFERROR(__xludf.DUMMYFUNCTION("""COMPUTED_VALUE"""),"While Prina is decently endowed, Yuina and Prelude are both one step away from being flat as a board. Meanwhile, Pridis is a knockout bombshell. If you look at that closely, bust size roughly equates to age. Gotta love Elven puberty. Anyways, the size of "&amp;"your ‘assets’ now scales loosely to your age. By the time you reach what an elf would call middle aged, I have no doubt your breasts would be bigger than your head. Live even longer and it’ll just be plain silly. Of course, this applies to all three - no "&amp;"need to leave your dick and ass out of the growth. Yes, you can disable this, if you must.")</f>
        <v>While Prina is decently endowed, Yuina and Prelude are both one step away from being flat as a board. Meanwhile, Pridis is a knockout bombshell. If you look at that closely, bust size roughly equates to age. Gotta love Elven puberty. Anyways, the size of your ‘assets’ now scales loosely to your age. By the time you reach what an elf would call middle aged, I have no doubt your breasts would be bigger than your head. Live even longer and it’ll just be plain silly. Of course, this applies to all three - no need to leave your dick and ass out of the growth. Yes, you can disable this, if you must.</v>
      </c>
      <c r="I106" s="5"/>
    </row>
    <row r="107" spans="1:9" ht="243.6" x14ac:dyDescent="0.25">
      <c r="A107" s="16"/>
      <c r="B107" s="17">
        <v>103</v>
      </c>
      <c r="C107" s="2" t="b">
        <f ca="1">IFERROR(__xludf.DUMMYFUNCTION("""COMPUTED_VALUE"""),FALSE)</f>
        <v>0</v>
      </c>
      <c r="D107" s="2">
        <f ca="1">IFERROR(__xludf.DUMMYFUNCTION("""COMPUTED_VALUE"""),100)</f>
        <v>100</v>
      </c>
      <c r="E107" s="2" t="str">
        <f ca="1">IFERROR(__xludf.DUMMYFUNCTION("""COMPUTED_VALUE"""),"Wrench Wench")</f>
        <v>Wrench Wench</v>
      </c>
      <c r="F107" s="2" t="str">
        <f ca="1">IFERROR(__xludf.DUMMYFUNCTION("""COMPUTED_VALUE"""),"World of Cybersluts")</f>
        <v>World of Cybersluts</v>
      </c>
      <c r="G107" s="2" t="str">
        <f ca="1">IFERROR(__xludf.DUMMYFUNCTION("""COMPUTED_VALUE"""),"Body &amp; Beauty")</f>
        <v>Body &amp; Beauty</v>
      </c>
      <c r="H107" s="2" t="str">
        <f ca="1">IFERROR(__xludf.DUMMYFUNCTION("""COMPUTED_VALUE"""),"It’s an unfortunate reality that it’s not going to do your looks or health any favors if you stay indoors all day every day to tinker on a new project or spend all your time immobile while your mind dives deep into the Net. At least, that’s how it seems t"&amp;"o be for other people. 
You don't have that problem, and just keep looking your best regardless. Despite likely being covered in machine oil and suffering from a severe lack of exercise, sunlight, or reasonable sleep schedules. If anything, things like t"&amp;"hat just make you more attractive. Maybe it’s because the grease stains highlight your natural beauty, maybe all that time spent in the vehicle repair shop somehow built a lot of muscle, or maybe weeks spent in VR slowly caused your curves to swell and so"&amp;"ften. Everyone likes a busty hacker, right?
More generally, you can make anything that emphasizes your intelligence and technical skill look incredibly sexy. That lab coat might as well be lingerie when you want it to be, and your technical explanations "&amp;"could make even an AI sex worker blush and stammer.")</f>
        <v>It’s an unfortunate reality that it’s not going to do your looks or health any favors if you stay indoors all day every day to tinker on a new project or spend all your time immobile while your mind dives deep into the Net. At least, that’s how it seems to be for other people. 
You don't have that problem, and just keep looking your best regardless. Despite likely being covered in machine oil and suffering from a severe lack of exercise, sunlight, or reasonable sleep schedules. If anything, things like that just make you more attractive. Maybe it’s because the grease stains highlight your natural beauty, maybe all that time spent in the vehicle repair shop somehow built a lot of muscle, or maybe weeks spent in VR slowly caused your curves to swell and soften. Everyone likes a busty hacker, right?
More generally, you can make anything that emphasizes your intelligence and technical skill look incredibly sexy. That lab coat might as well be lingerie when you want it to be, and your technical explanations could make even an AI sex worker blush and stammer.</v>
      </c>
      <c r="I107" s="5"/>
    </row>
    <row r="108" spans="1:9" ht="69.599999999999994" x14ac:dyDescent="0.25">
      <c r="A108" s="16"/>
      <c r="B108" s="17">
        <v>104</v>
      </c>
      <c r="C108" s="2" t="b">
        <f ca="1">IFERROR(__xludf.DUMMYFUNCTION("""COMPUTED_VALUE"""),FALSE)</f>
        <v>0</v>
      </c>
      <c r="D108" s="2">
        <f ca="1">IFERROR(__xludf.DUMMYFUNCTION("""COMPUTED_VALUE"""),200)</f>
        <v>200</v>
      </c>
      <c r="E108" s="2" t="str">
        <f ca="1">IFERROR(__xludf.DUMMYFUNCTION("""COMPUTED_VALUE"""),"Aftershocks")</f>
        <v>Aftershocks</v>
      </c>
      <c r="F108" s="2" t="str">
        <f ca="1">IFERROR(__xludf.DUMMYFUNCTION("""COMPUTED_VALUE"""),"The Works of Aomizuan")</f>
        <v>The Works of Aomizuan</v>
      </c>
      <c r="G108" s="2" t="str">
        <f ca="1">IFERROR(__xludf.DUMMYFUNCTION("""COMPUTED_VALUE"""),"Body &amp; Beauty")</f>
        <v>Body &amp; Beauty</v>
      </c>
      <c r="H108" s="2" t="str">
        <f ca="1">IFERROR(__xludf.DUMMYFUNCTION("""COMPUTED_VALUE"""),"Whenever you have an orgasm, it will be followed up by a number of smaller “mini-orgasms” that come afterwards. The more full-fledged orgasms you have, the longer these mini-orgasms will continue. After a good sex session, you could be kept in a blissed-o"&amp;"ut state for a long time as the pleasure continues, even after the actual coupling is over.")</f>
        <v>Whenever you have an orgasm, it will be followed up by a number of smaller “mini-orgasms” that come afterwards. The more full-fledged orgasms you have, the longer these mini-orgasms will continue. After a good sex session, you could be kept in a blissed-out state for a long time as the pleasure continues, even after the actual coupling is over.</v>
      </c>
      <c r="I108" s="5"/>
    </row>
    <row r="109" spans="1:9" ht="121.8" x14ac:dyDescent="0.25">
      <c r="A109" s="16"/>
      <c r="B109" s="17">
        <v>105</v>
      </c>
      <c r="C109" s="2" t="b">
        <f ca="1">IFERROR(__xludf.DUMMYFUNCTION("""COMPUTED_VALUE"""),FALSE)</f>
        <v>0</v>
      </c>
      <c r="D109" s="2">
        <f ca="1">IFERROR(__xludf.DUMMYFUNCTION("""COMPUTED_VALUE"""),200)</f>
        <v>200</v>
      </c>
      <c r="E109" s="2" t="str">
        <f ca="1">IFERROR(__xludf.DUMMYFUNCTION("""COMPUTED_VALUE"""),"Armour of Anon")</f>
        <v>Armour of Anon</v>
      </c>
      <c r="F109" s="2" t="str">
        <f ca="1">IFERROR(__xludf.DUMMYFUNCTION("""COMPUTED_VALUE"""),"Baalbuddy")</f>
        <v>Baalbuddy</v>
      </c>
      <c r="G109" s="2" t="str">
        <f ca="1">IFERROR(__xludf.DUMMYFUNCTION("""COMPUTED_VALUE"""),"Body &amp; Beauty")</f>
        <v>Body &amp; Beauty</v>
      </c>
      <c r="H109" s="2" t="str">
        <f ca="1">IFERROR(__xludf.DUMMYFUNCTION("""COMPUTED_VALUE"""),"This suit of armor, of a sort of your choice, is plain and unadorned. It’s the kind of utilitarian, mass-produced gear worn by the nameless rank-and-file, but don’t be fooled. It’s high-quality armor and does a good job of concealing your identity. It’s l"&amp;"ight, it’s comfortable and easy to wear to the point that you can sleep in it without problems. Or have sex in it. Yep. You don’t even have to undo any straps or shift any plates. Just get to work, it’ll be like you’re wearing nothing at all. It won’t eve"&amp;"n ruin the mood. You can instead bestow the qualities of this armour on some you already own. Only one such set can have these properties at a time.")</f>
        <v>This suit of armor, of a sort of your choice, is plain and unadorned. It’s the kind of utilitarian, mass-produced gear worn by the nameless rank-and-file, but don’t be fooled. It’s high-quality armor and does a good job of concealing your identity. It’s light, it’s comfortable and easy to wear to the point that you can sleep in it without problems. Or have sex in it. Yep. You don’t even have to undo any straps or shift any plates. Just get to work, it’ll be like you’re wearing nothing at all. It won’t even ruin the mood. You can instead bestow the qualities of this armour on some you already own. Only one such set can have these properties at a time.</v>
      </c>
      <c r="I109" s="5"/>
    </row>
    <row r="110" spans="1:9" ht="139.19999999999999" x14ac:dyDescent="0.25">
      <c r="A110" s="16"/>
      <c r="B110" s="17">
        <v>106</v>
      </c>
      <c r="C110" s="2" t="b">
        <f ca="1">IFERROR(__xludf.DUMMYFUNCTION("""COMPUTED_VALUE"""),FALSE)</f>
        <v>0</v>
      </c>
      <c r="D110" s="2">
        <f ca="1">IFERROR(__xludf.DUMMYFUNCTION("""COMPUTED_VALUE"""),200)</f>
        <v>200</v>
      </c>
      <c r="E110" s="2" t="str">
        <f ca="1">IFERROR(__xludf.DUMMYFUNCTION("""COMPUTED_VALUE"""),"Body Blessed by Hylia")</f>
        <v>Body Blessed by Hylia</v>
      </c>
      <c r="F110" s="2" t="str">
        <f ca="1">IFERROR(__xludf.DUMMYFUNCTION("""COMPUTED_VALUE"""),"The Legend of Zelda - Alternate Destinies 2")</f>
        <v>The Legend of Zelda - Alternate Destinies 2</v>
      </c>
      <c r="G110" s="2" t="str">
        <f ca="1">IFERROR(__xludf.DUMMYFUNCTION("""COMPUTED_VALUE"""),"Body &amp; Beauty")</f>
        <v>Body &amp; Beauty</v>
      </c>
      <c r="H110" s="2" t="str">
        <f ca="1">IFERROR(__xludf.DUMMYFUNCTION("""COMPUTED_VALUE"""),"The heroes of courage have long since had an affinity for life magics, and nothing drives that in home more than being raised by tree people. As a result of your adventures over the past seven years, you've refined your body into a weapon of war, able to "&amp;"do the work of six men and continue fighting for just as long. To say that your body was a wonderful mass of muscles would be to insult you - your body is an all but divine mass of muscles. In fact, given the hero's normal relationship to Hylia, she may i"&amp;"n fact have sculpted them personally. Of course, with Ganondorf slain there isn't exactly much fighting left to be had here in Hyrule... How fortunate then, that having taken in this raw life energy also drastically raises your stamina and virility.")</f>
        <v>The heroes of courage have long since had an affinity for life magics, and nothing drives that in home more than being raised by tree people. As a result of your adventures over the past seven years, you've refined your body into a weapon of war, able to do the work of six men and continue fighting for just as long. To say that your body was a wonderful mass of muscles would be to insult you - your body is an all but divine mass of muscles. In fact, given the hero's normal relationship to Hylia, she may in fact have sculpted them personally. Of course, with Ganondorf slain there isn't exactly much fighting left to be had here in Hyrule... How fortunate then, that having taken in this raw life energy also drastically raises your stamina and virility.</v>
      </c>
      <c r="I110" s="5"/>
    </row>
    <row r="111" spans="1:9" ht="104.4" x14ac:dyDescent="0.25">
      <c r="A111" s="16"/>
      <c r="B111" s="17">
        <v>107</v>
      </c>
      <c r="C111" s="2" t="b">
        <f ca="1">IFERROR(__xludf.DUMMYFUNCTION("""COMPUTED_VALUE"""),FALSE)</f>
        <v>0</v>
      </c>
      <c r="D111" s="2">
        <f ca="1">IFERROR(__xludf.DUMMYFUNCTION("""COMPUTED_VALUE"""),200)</f>
        <v>200</v>
      </c>
      <c r="E111" s="2" t="str">
        <f ca="1">IFERROR(__xludf.DUMMYFUNCTION("""COMPUTED_VALUE"""),"Comfort")</f>
        <v>Comfort</v>
      </c>
      <c r="F111" s="2" t="str">
        <f ca="1">IFERROR(__xludf.DUMMYFUNCTION("""COMPUTED_VALUE"""),"Generic: Fat-Fetish")</f>
        <v>Generic: Fat-Fetish</v>
      </c>
      <c r="G111" s="2" t="str">
        <f ca="1">IFERROR(__xludf.DUMMYFUNCTION("""COMPUTED_VALUE"""),"Body &amp; Beauty")</f>
        <v>Body &amp; Beauty</v>
      </c>
      <c r="H111" s="2" t="str">
        <f ca="1">IFERROR(__xludf.DUMMYFUNCTION("""COMPUTED_VALUE"""),"Past a point, or sooner depending on how you’re built, being fat can start to get physically uncomfortable. This Perk is a catch-all safeguard from that. No matter how tight your thighs press together, they will never chafe. Your breasts will never slap y"&amp;"ou in the face if you are forced to run (for whatever reason). And you will never struggle to breathe. As a small side-benefit, your cuddling power becomes absolutely legendary (Master/Madame, that is so wholesome, I’m so proud of you!).")</f>
        <v>Past a point, or sooner depending on how you’re built, being fat can start to get physically uncomfortable. This Perk is a catch-all safeguard from that. No matter how tight your thighs press together, they will never chafe. Your breasts will never slap you in the face if you are forced to run (for whatever reason). And you will never struggle to breathe. As a small side-benefit, your cuddling power becomes absolutely legendary (Master/Madame, that is so wholesome, I’m so proud of you!).</v>
      </c>
      <c r="I111" s="5"/>
    </row>
    <row r="112" spans="1:9" ht="261" x14ac:dyDescent="0.25">
      <c r="A112" s="16"/>
      <c r="B112" s="17">
        <v>108</v>
      </c>
      <c r="C112" s="2" t="b">
        <f ca="1">IFERROR(__xludf.DUMMYFUNCTION("""COMPUTED_VALUE"""),FALSE)</f>
        <v>0</v>
      </c>
      <c r="D112" s="2">
        <f ca="1">IFERROR(__xludf.DUMMYFUNCTION("""COMPUTED_VALUE"""),200)</f>
        <v>200</v>
      </c>
      <c r="E112" s="2" t="str">
        <f ca="1">IFERROR(__xludf.DUMMYFUNCTION("""COMPUTED_VALUE"""),"Cyber Fashion")</f>
        <v>Cyber Fashion</v>
      </c>
      <c r="F112" s="2" t="str">
        <f ca="1">IFERROR(__xludf.DUMMYFUNCTION("""COMPUTED_VALUE"""),"World of Cybersluts")</f>
        <v>World of Cybersluts</v>
      </c>
      <c r="G112" s="2" t="str">
        <f ca="1">IFERROR(__xludf.DUMMYFUNCTION("""COMPUTED_VALUE"""),"Body &amp; Beauty")</f>
        <v>Body &amp; Beauty</v>
      </c>
      <c r="H112" s="2" t="str">
        <f ca="1">IFERROR(__xludf.DUMMYFUNCTION("""COMPUTED_VALUE"""),"If you’re to entertain people, you need clothes to show off. If you want some rest afterwards, you need clothes to blend in. Both can be found in this oversized walk-in closet, as it’s filled with just about any clothes you might want. As long as they’re "&amp;"cyberpunk (or slutty). 
From punk wear worn by street scum to the high fashion of celebrities and models, it’s got something for every situation and occasion. There’s jackets with bright neon light-up strips, electrochromic threads with programmable colo"&amp;"urs and prints (go from a perfectly normal shirt to one with a ""pin me down and fuck my tits"" print with one wireless command), and more pieces of synthetic leather than you can shake a stick at. There is, of course, also a collection of shoes, boots, a"&amp;"nd accessories to match and complete the outfits.
If it’s a recognizable cyberpunk style, you’ve got it here. Even if the wardrobe does tend to skew towards the revealing and/or the skintight. All of the clothes are perfectly sized to you, and even fit w"&amp;"ith any cybernetics and augmentations you might have. What’s more, many of them seem designed to pleasingly show off as much of your ‘ware as possible.")</f>
        <v>If you’re to entertain people, you need clothes to show off. If you want some rest afterwards, you need clothes to blend in. Both can be found in this oversized walk-in closet, as it’s filled with just about any clothes you might want. As long as they’re cyberpunk (or slutty). 
From punk wear worn by street scum to the high fashion of celebrities and models, it’s got something for every situation and occasion. There’s jackets with bright neon light-up strips, electrochromic threads with programmable colours and prints (go from a perfectly normal shirt to one with a "pin me down and fuck my tits" print with one wireless command), and more pieces of synthetic leather than you can shake a stick at. There is, of course, also a collection of shoes, boots, and accessories to match and complete the outfits.
If it’s a recognizable cyberpunk style, you’ve got it here. Even if the wardrobe does tend to skew towards the revealing and/or the skintight. All of the clothes are perfectly sized to you, and even fit with any cybernetics and augmentations you might have. What’s more, many of them seem designed to pleasingly show off as much of your ‘ware as possible.</v>
      </c>
      <c r="I112" s="5"/>
    </row>
    <row r="113" spans="1:9" ht="87" x14ac:dyDescent="0.25">
      <c r="A113" s="16"/>
      <c r="B113" s="17">
        <v>109</v>
      </c>
      <c r="C113" s="2" t="b">
        <f ca="1">IFERROR(__xludf.DUMMYFUNCTION("""COMPUTED_VALUE"""),FALSE)</f>
        <v>0</v>
      </c>
      <c r="D113" s="2">
        <f ca="1">IFERROR(__xludf.DUMMYFUNCTION("""COMPUTED_VALUE"""),200)</f>
        <v>200</v>
      </c>
      <c r="E113" s="2" t="str">
        <f ca="1">IFERROR(__xludf.DUMMYFUNCTION("""COMPUTED_VALUE"""),"Delicious and Refreshing")</f>
        <v>Delicious and Refreshing</v>
      </c>
      <c r="F113" s="2" t="str">
        <f ca="1">IFERROR(__xludf.DUMMYFUNCTION("""COMPUTED_VALUE"""),"Futadom World")</f>
        <v>Futadom World</v>
      </c>
      <c r="G113" s="2" t="str">
        <f ca="1">IFERROR(__xludf.DUMMYFUNCTION("""COMPUTED_VALUE"""),"Body &amp; Beauty")</f>
        <v>Body &amp; Beauty</v>
      </c>
      <c r="H113" s="2" t="str">
        <f ca="1">IFERROR(__xludf.DUMMYFUNCTION("""COMPUTED_VALUE"""),"Any excretions or bodily fluids you release from your body are staggeringly delicious, extremely healthy, and entirely safe to eat in any situation. They also smell surprisingly pleasant. Your cum, your breastmilk, your blood, and just about anything else"&amp;" you can think of is affected. If you really wanted to, you could use this to make it so that your shit quite literally does not stink, though that’s not the intended effect.")</f>
        <v>Any excretions or bodily fluids you release from your body are staggeringly delicious, extremely healthy, and entirely safe to eat in any situation. They also smell surprisingly pleasant. Your cum, your breastmilk, your blood, and just about anything else you can think of is affected. If you really wanted to, you could use this to make it so that your shit quite literally does not stink, though that’s not the intended effect.</v>
      </c>
      <c r="I113" s="5"/>
    </row>
    <row r="114" spans="1:9" ht="69.599999999999994" x14ac:dyDescent="0.25">
      <c r="A114" s="16"/>
      <c r="B114" s="17">
        <v>110</v>
      </c>
      <c r="C114" s="2" t="b">
        <f ca="1">IFERROR(__xludf.DUMMYFUNCTION("""COMPUTED_VALUE"""),FALSE)</f>
        <v>0</v>
      </c>
      <c r="D114" s="2">
        <f ca="1">IFERROR(__xludf.DUMMYFUNCTION("""COMPUTED_VALUE"""),200)</f>
        <v>200</v>
      </c>
      <c r="E114" s="2" t="str">
        <f ca="1">IFERROR(__xludf.DUMMYFUNCTION("""COMPUTED_VALUE"""),"Disease Immunity")</f>
        <v>Disease Immunity</v>
      </c>
      <c r="F114" s="2" t="str">
        <f ca="1">IFERROR(__xludf.DUMMYFUNCTION("""COMPUTED_VALUE"""),"Lewd Virus")</f>
        <v>Lewd Virus</v>
      </c>
      <c r="G114" s="2" t="str">
        <f ca="1">IFERROR(__xludf.DUMMYFUNCTION("""COMPUTED_VALUE"""),"Body &amp; Beauty")</f>
        <v>Body &amp; Beauty</v>
      </c>
      <c r="H114" s="2" t="str">
        <f ca="1">IFERROR(__xludf.DUMMYFUNCTION("""COMPUTED_VALUE"""),"Just look at what’s going around! Of course this is going to be on offer. It’s impossible for you to be unwillingly infected by any form of illness, be it from bacterial, genetic, or viral origins, or even something stranger such as a prion- or magic-base"&amp;"d illness. It even includes motion sickness! This also prevents you from being a transmission vector for disease.")</f>
        <v>Just look at what’s going around! Of course this is going to be on offer. It’s impossible for you to be unwillingly infected by any form of illness, be it from bacterial, genetic, or viral origins, or even something stranger such as a prion- or magic-based illness. It even includes motion sickness! This also prevents you from being a transmission vector for disease.</v>
      </c>
      <c r="I114" s="5"/>
    </row>
    <row r="115" spans="1:9" ht="34.799999999999997" x14ac:dyDescent="0.25">
      <c r="A115" s="16"/>
      <c r="B115" s="17">
        <v>111</v>
      </c>
      <c r="C115" s="2" t="b">
        <f ca="1">IFERROR(__xludf.DUMMYFUNCTION("""COMPUTED_VALUE"""),FALSE)</f>
        <v>0</v>
      </c>
      <c r="D115" s="2">
        <f ca="1">IFERROR(__xludf.DUMMYFUNCTION("""COMPUTED_VALUE"""),200)</f>
        <v>200</v>
      </c>
      <c r="E115" s="2" t="str">
        <f ca="1">IFERROR(__xludf.DUMMYFUNCTION("""COMPUTED_VALUE"""),"Drug Resistance")</f>
        <v>Drug Resistance</v>
      </c>
      <c r="F115" s="2" t="str">
        <f ca="1">IFERROR(__xludf.DUMMYFUNCTION("""COMPUTED_VALUE"""),"Bokunchi No Mikage-san")</f>
        <v>Bokunchi No Mikage-san</v>
      </c>
      <c r="G115" s="2" t="str">
        <f ca="1">IFERROR(__xludf.DUMMYFUNCTION("""COMPUTED_VALUE"""),"Body &amp; Beauty")</f>
        <v>Body &amp; Beauty</v>
      </c>
      <c r="H115" s="2" t="str">
        <f ca="1">IFERROR(__xludf.DUMMYFUNCTION("""COMPUTED_VALUE"""),"You are highly resistant to the negative side effects of all drugs and poisons. This can be toggled off if, for example, you would prefer to be roofied for some reason.")</f>
        <v>You are highly resistant to the negative side effects of all drugs and poisons. This can be toggled off if, for example, you would prefer to be roofied for some reason.</v>
      </c>
      <c r="I115" s="5"/>
    </row>
    <row r="116" spans="1:9" ht="69.599999999999994" x14ac:dyDescent="0.25">
      <c r="A116" s="16"/>
      <c r="B116" s="17">
        <v>112</v>
      </c>
      <c r="C116" s="2" t="b">
        <f ca="1">IFERROR(__xludf.DUMMYFUNCTION("""COMPUTED_VALUE"""),FALSE)</f>
        <v>0</v>
      </c>
      <c r="D116" s="2">
        <f ca="1">IFERROR(__xludf.DUMMYFUNCTION("""COMPUTED_VALUE"""),200)</f>
        <v>200</v>
      </c>
      <c r="E116" s="2" t="str">
        <f ca="1">IFERROR(__xludf.DUMMYFUNCTION("""COMPUTED_VALUE"""),"Eaten to Death? Not Likely!")</f>
        <v>Eaten to Death? Not Likely!</v>
      </c>
      <c r="F116" s="2" t="str">
        <f ca="1">IFERROR(__xludf.DUMMYFUNCTION("""COMPUTED_VALUE"""),"SUPER FATTY RPG")</f>
        <v>SUPER FATTY RPG</v>
      </c>
      <c r="G116" s="2" t="str">
        <f ca="1">IFERROR(__xludf.DUMMYFUNCTION("""COMPUTED_VALUE"""),"Body &amp; Beauty")</f>
        <v>Body &amp; Beauty</v>
      </c>
      <c r="H116" s="2" t="str">
        <f ca="1">IFERROR(__xludf.DUMMYFUNCTION("""COMPUTED_VALUE"""),"While not really a common issue here, being eaten somewhere else or by a powerful being might result in you staying dead. This perk prevents that. You can never be killed by being eaten, no matter what form of devourment occurs. If you are killed with the"&amp;" express purpose of being eaten, you will reform 100% guaranteed.")</f>
        <v>While not really a common issue here, being eaten somewhere else or by a powerful being might result in you staying dead. This perk prevents that. You can never be killed by being eaten, no matter what form of devourment occurs. If you are killed with the express purpose of being eaten, you will reform 100% guaranteed.</v>
      </c>
      <c r="I116" s="5"/>
    </row>
    <row r="117" spans="1:9" ht="87" x14ac:dyDescent="0.25">
      <c r="A117" s="16"/>
      <c r="B117" s="17">
        <v>113</v>
      </c>
      <c r="C117" s="2" t="b">
        <f ca="1">IFERROR(__xludf.DUMMYFUNCTION("""COMPUTED_VALUE"""),FALSE)</f>
        <v>0</v>
      </c>
      <c r="D117" s="2">
        <f ca="1">IFERROR(__xludf.DUMMYFUNCTION("""COMPUTED_VALUE"""),200)</f>
        <v>200</v>
      </c>
      <c r="E117" s="2" t="str">
        <f ca="1">IFERROR(__xludf.DUMMYFUNCTION("""COMPUTED_VALUE"""),"Ejaculation Eruption")</f>
        <v>Ejaculation Eruption</v>
      </c>
      <c r="F117" s="2" t="str">
        <f ca="1">IFERROR(__xludf.DUMMYFUNCTION("""COMPUTED_VALUE"""),"Smash Bros XXXtreme")</f>
        <v>Smash Bros XXXtreme</v>
      </c>
      <c r="G117" s="2" t="str">
        <f ca="1">IFERROR(__xludf.DUMMYFUNCTION("""COMPUTED_VALUE"""),"Body &amp; Beauty")</f>
        <v>Body &amp; Beauty</v>
      </c>
      <c r="H117" s="2" t="str">
        <f ca="1">IFERROR(__xludf.DUMMYFUNCTION("""COMPUTED_VALUE"""),"I know that some people say that your body is a weapon, but this is just plain old ridiculous. This isn’t some ordinary fighting style, this turns your dick into a damn firehose. You could send a person flying by coming inside of them. Or send yourself fl"&amp;"ying if they’ve got a better grip on the ground than you do. And if you don’t have a dick, don’t worry, there’s plenty of futa to go around. Failing that, you’ve got tits don’t you? Milk cannons are now an option.")</f>
        <v>I know that some people say that your body is a weapon, but this is just plain old ridiculous. This isn’t some ordinary fighting style, this turns your dick into a damn firehose. You could send a person flying by coming inside of them. Or send yourself flying if they’ve got a better grip on the ground than you do. And if you don’t have a dick, don’t worry, there’s plenty of futa to go around. Failing that, you’ve got tits don’t you? Milk cannons are now an option.</v>
      </c>
      <c r="I117" s="5"/>
    </row>
    <row r="118" spans="1:9" ht="69.599999999999994" x14ac:dyDescent="0.25">
      <c r="A118" s="16"/>
      <c r="B118" s="17">
        <v>114</v>
      </c>
      <c r="C118" s="2" t="b">
        <f ca="1">IFERROR(__xludf.DUMMYFUNCTION("""COMPUTED_VALUE"""),FALSE)</f>
        <v>0</v>
      </c>
      <c r="D118" s="2">
        <f ca="1">IFERROR(__xludf.DUMMYFUNCTION("""COMPUTED_VALUE"""),200)</f>
        <v>200</v>
      </c>
      <c r="E118" s="2" t="str">
        <f ca="1">IFERROR(__xludf.DUMMYFUNCTION("""COMPUTED_VALUE"""),"Fluid Share")</f>
        <v>Fluid Share</v>
      </c>
      <c r="F118" s="2" t="str">
        <f ca="1">IFERROR(__xludf.DUMMYFUNCTION("""COMPUTED_VALUE"""),"Kemokko Zoo")</f>
        <v>Kemokko Zoo</v>
      </c>
      <c r="G118" s="2" t="str">
        <f ca="1">IFERROR(__xludf.DUMMYFUNCTION("""COMPUTED_VALUE"""),"Body &amp; Beauty")</f>
        <v>Body &amp; Beauty</v>
      </c>
      <c r="H118" s="2" t="str">
        <f ca="1">IFERROR(__xludf.DUMMYFUNCTION("""COMPUTED_VALUE"""),"If you share your fluids with someone, any current effects/enhancements to your body will be passed onto them in turn. For instance, if you drink a potion that makes you lactate, and then someone drinks your fluids, it'll be like they drank the same potio"&amp;"n, and they’ll start squirting milk (even if they’re a guy). Similarly, a spell cast upon you could be transmitted across your fluids.")</f>
        <v>If you share your fluids with someone, any current effects/enhancements to your body will be passed onto them in turn. For instance, if you drink a potion that makes you lactate, and then someone drinks your fluids, it'll be like they drank the same potion, and they’ll start squirting milk (even if they’re a guy). Similarly, a spell cast upon you could be transmitted across your fluids.</v>
      </c>
      <c r="I118" s="5"/>
    </row>
    <row r="119" spans="1:9" ht="69.599999999999994" x14ac:dyDescent="0.25">
      <c r="A119" s="16"/>
      <c r="B119" s="17">
        <v>115</v>
      </c>
      <c r="C119" s="2" t="b">
        <f ca="1">IFERROR(__xludf.DUMMYFUNCTION("""COMPUTED_VALUE"""),FALSE)</f>
        <v>0</v>
      </c>
      <c r="D119" s="2">
        <f ca="1">IFERROR(__xludf.DUMMYFUNCTION("""COMPUTED_VALUE"""),200)</f>
        <v>200</v>
      </c>
      <c r="E119" s="2" t="str">
        <f ca="1">IFERROR(__xludf.DUMMYFUNCTION("""COMPUTED_VALUE"""),"Gender Equality")</f>
        <v>Gender Equality</v>
      </c>
      <c r="F119" s="2" t="str">
        <f ca="1">IFERROR(__xludf.DUMMYFUNCTION("""COMPUTED_VALUE"""),"Lewd Virus")</f>
        <v>Lewd Virus</v>
      </c>
      <c r="G119" s="2" t="str">
        <f ca="1">IFERROR(__xludf.DUMMYFUNCTION("""COMPUTED_VALUE"""),"Body &amp; Beauty")</f>
        <v>Body &amp; Beauty</v>
      </c>
      <c r="H119" s="2" t="str">
        <f ca="1">IFERROR(__xludf.DUMMYFUNCTION("""COMPUTED_VALUE"""),"You may optionally be treated as being any gender/sex, or no gender/sex at all, in terms of any qualifications, powers, or effects that focus on specific a specific sex (or sexes). You have complete control over what sex or gender you are considered to be"&amp;" at any given point in time. This does not let you transform.")</f>
        <v>You may optionally be treated as being any gender/sex, or no gender/sex at all, in terms of any qualifications, powers, or effects that focus on specific a specific sex (or sexes). You have complete control over what sex or gender you are considered to be at any given point in time. This does not let you transform.</v>
      </c>
      <c r="I119" s="5"/>
    </row>
    <row r="120" spans="1:9" ht="121.8" x14ac:dyDescent="0.25">
      <c r="A120" s="16"/>
      <c r="B120" s="17">
        <v>116</v>
      </c>
      <c r="C120" s="2" t="b">
        <f ca="1">IFERROR(__xludf.DUMMYFUNCTION("""COMPUTED_VALUE"""),FALSE)</f>
        <v>0</v>
      </c>
      <c r="D120" s="2">
        <f ca="1">IFERROR(__xludf.DUMMYFUNCTION("""COMPUTED_VALUE"""),200)</f>
        <v>200</v>
      </c>
      <c r="E120" s="2" t="str">
        <f ca="1">IFERROR(__xludf.DUMMYFUNCTION("""COMPUTED_VALUE"""),"Genetic Winner")</f>
        <v>Genetic Winner</v>
      </c>
      <c r="F120" s="2" t="str">
        <f ca="1">IFERROR(__xludf.DUMMYFUNCTION("""COMPUTED_VALUE"""),"Dulce Report")</f>
        <v>Dulce Report</v>
      </c>
      <c r="G120" s="2" t="str">
        <f ca="1">IFERROR(__xludf.DUMMYFUNCTION("""COMPUTED_VALUE"""),"Body &amp; Beauty")</f>
        <v>Body &amp; Beauty</v>
      </c>
      <c r="H120" s="2" t="str">
        <f ca="1">IFERROR(__xludf.DUMMYFUNCTION("""COMPUTED_VALUE"""),"Becoming an Angel isn’t something just anyone can do - there needs to be a certain genetic marker of compatibility with the Gods. Well, you must have it, or you wouldn't be here. Probably. Anyways, as part of the overhaul of your body, said body now requi"&amp;"res significantly less upkeep that before. Four hours of sleep instead of eight, less food to remain at peak capacity, the ability to control whether excess fat goes to your boobs or ass, and a weak healing factor that actually speeds up the more sex you "&amp;"have. If you really wanted to amp it up, get bukkaked. And yes, I am aware that one of those is not like the others.")</f>
        <v>Becoming an Angel isn’t something just anyone can do - there needs to be a certain genetic marker of compatibility with the Gods. Well, you must have it, or you wouldn't be here. Probably. Anyways, as part of the overhaul of your body, said body now requires significantly less upkeep that before. Four hours of sleep instead of eight, less food to remain at peak capacity, the ability to control whether excess fat goes to your boobs or ass, and a weak healing factor that actually speeds up the more sex you have. If you really wanted to amp it up, get bukkaked. And yes, I am aware that one of those is not like the others.</v>
      </c>
      <c r="I120" s="5"/>
    </row>
    <row r="121" spans="1:9" ht="87" x14ac:dyDescent="0.25">
      <c r="A121" s="16"/>
      <c r="B121" s="17">
        <v>117</v>
      </c>
      <c r="C121" s="2" t="b">
        <f ca="1">IFERROR(__xludf.DUMMYFUNCTION("""COMPUTED_VALUE"""),FALSE)</f>
        <v>0</v>
      </c>
      <c r="D121" s="2">
        <f ca="1">IFERROR(__xludf.DUMMYFUNCTION("""COMPUTED_VALUE"""),200)</f>
        <v>200</v>
      </c>
      <c r="E121" s="2" t="str">
        <f ca="1">IFERROR(__xludf.DUMMYFUNCTION("""COMPUTED_VALUE"""),"Going Native")</f>
        <v>Going Native</v>
      </c>
      <c r="F121" s="2" t="str">
        <f ca="1">IFERROR(__xludf.DUMMYFUNCTION("""COMPUTED_VALUE"""),"Generic: Lewd Science Fiction")</f>
        <v>Generic: Lewd Science Fiction</v>
      </c>
      <c r="G121" s="2" t="str">
        <f ca="1">IFERROR(__xludf.DUMMYFUNCTION("""COMPUTED_VALUE"""),"Body &amp; Beauty")</f>
        <v>Body &amp; Beauty</v>
      </c>
      <c r="H121" s="2" t="str">
        <f ca="1">IFERROR(__xludf.DUMMYFUNCTION("""COMPUTED_VALUE"""),"Other species don’t think of you as a human (or whatever you are). As long as you have roughly the same body plan and make a token attempt to fit in, they tend to think of you as one of their own species. A little green Martian doesn’t think of you as a h"&amp;"uman – it would think of you as a very tall, pale Martian, while a tiger-person thinks of you as a particularly small, hairless tiger-person. Needless to say, this can improve your ability to enter interspecies relations quite a lot.")</f>
        <v>Other species don’t think of you as a human (or whatever you are). As long as you have roughly the same body plan and make a token attempt to fit in, they tend to think of you as one of their own species. A little green Martian doesn’t think of you as a human – it would think of you as a very tall, pale Martian, while a tiger-person thinks of you as a particularly small, hairless tiger-person. Needless to say, this can improve your ability to enter interspecies relations quite a lot.</v>
      </c>
      <c r="I121" s="5"/>
    </row>
    <row r="122" spans="1:9" ht="261" x14ac:dyDescent="0.25">
      <c r="A122" s="16"/>
      <c r="B122" s="17">
        <v>118</v>
      </c>
      <c r="C122" s="2" t="b">
        <f ca="1">IFERROR(__xludf.DUMMYFUNCTION("""COMPUTED_VALUE"""),FALSE)</f>
        <v>0</v>
      </c>
      <c r="D122" s="2">
        <f ca="1">IFERROR(__xludf.DUMMYFUNCTION("""COMPUTED_VALUE"""),200)</f>
        <v>200</v>
      </c>
      <c r="E122" s="2" t="str">
        <f ca="1">IFERROR(__xludf.DUMMYFUNCTION("""COMPUTED_VALUE"""),"Hentai Body Plus")</f>
        <v>Hentai Body Plus</v>
      </c>
      <c r="F122" s="2" t="str">
        <f ca="1">IFERROR(__xludf.DUMMYFUNCTION("""COMPUTED_VALUE"""),"Generic: Doujinshi High School")</f>
        <v>Generic: Doujinshi High School</v>
      </c>
      <c r="G122" s="2" t="str">
        <f ca="1">IFERROR(__xludf.DUMMYFUNCTION("""COMPUTED_VALUE"""),"Body &amp; Beauty")</f>
        <v>Body &amp; Beauty</v>
      </c>
      <c r="H122" s="2" t="str">
        <f ca="1">IFERROR(__xludf.DUMMYFUNCTION("""COMPUTED_VALUE"""),"Remember how I mentioned cocks the size of your arm? Well, those aren't too uncommon around these parts. Neither are tits the size of your head, and with this, you can get both. On purchase, this perk lets you design a new body. Within limits. Give yourse"&amp;"lf a cock the size of your forearm or Mogudan-sized tits, slap a cock onto your female body, or make yourself look like a cute little girl despite being a guy. Unless you want them to, nobody will find the changes you made to be something unnatural, even "&amp;"if it’s something that normally can’t happen. 
This perk is for things along the lines of changing the color of your eyes, hair, or skin, changing muscle definition and body fat percentage, changing the size of your sexual features, adding or removing se"&amp;"xual features (max of one male and female genitalia per customer), and things along those lines, not for things like adding extra arms, giving yourself a vagina for a mouth, or something like that. Nobody will notice that you’ve changed, unless you want t"&amp;"hem to.
If you'd prefer to keep your original body but have this one as well, you may treat this as an Alternate Form perk.")</f>
        <v>Remember how I mentioned cocks the size of your arm? Well, those aren't too uncommon around these parts. Neither are tits the size of your head, and with this, you can get both. On purchase, this perk lets you design a new body. Within limits. Give yourself a cock the size of your forearm or Mogudan-sized tits, slap a cock onto your female body, or make yourself look like a cute little girl despite being a guy. Unless you want them to, nobody will find the changes you made to be something unnatural, even if it’s something that normally can’t happen. 
This perk is for things along the lines of changing the color of your eyes, hair, or skin, changing muscle definition and body fat percentage, changing the size of your sexual features, adding or removing sexual features (max of one male and female genitalia per customer), and things along those lines, not for things like adding extra arms, giving yourself a vagina for a mouth, or something like that. Nobody will notice that you’ve changed, unless you want them to.
If you'd prefer to keep your original body but have this one as well, you may treat this as an Alternate Form perk.</v>
      </c>
      <c r="I122" s="5"/>
    </row>
    <row r="123" spans="1:9" ht="52.2" x14ac:dyDescent="0.25">
      <c r="A123" s="16"/>
      <c r="B123" s="17">
        <v>119</v>
      </c>
      <c r="C123" s="2" t="b">
        <f ca="1">IFERROR(__xludf.DUMMYFUNCTION("""COMPUTED_VALUE"""),FALSE)</f>
        <v>0</v>
      </c>
      <c r="D123" s="2">
        <f ca="1">IFERROR(__xludf.DUMMYFUNCTION("""COMPUTED_VALUE"""),200)</f>
        <v>200</v>
      </c>
      <c r="E123" s="2" t="str">
        <f ca="1">IFERROR(__xludf.DUMMYFUNCTION("""COMPUTED_VALUE"""),"Impossible Clothes")</f>
        <v>Impossible Clothes</v>
      </c>
      <c r="F123" s="2" t="str">
        <f ca="1">IFERROR(__xludf.DUMMYFUNCTION("""COMPUTED_VALUE"""),"Generic: Loli")</f>
        <v>Generic: Loli</v>
      </c>
      <c r="G123" s="2" t="str">
        <f ca="1">IFERROR(__xludf.DUMMYFUNCTION("""COMPUTED_VALUE"""),"Body &amp; Beauty")</f>
        <v>Body &amp; Beauty</v>
      </c>
      <c r="H123" s="2" t="str">
        <f ca="1">IFERROR(__xludf.DUMMYFUNCTION("""COMPUTED_VALUE"""),"You can now make your clothes stick to your body as if they were wet or you were using body glue. When using this ability you this ability you can instinctively make your clothes stick where it is most appealing to see the details, and hang loose in other"&amp;" places.")</f>
        <v>You can now make your clothes stick to your body as if they were wet or you were using body glue. When using this ability you this ability you can instinctively make your clothes stick where it is most appealing to see the details, and hang loose in other places.</v>
      </c>
      <c r="I123" s="5"/>
    </row>
    <row r="124" spans="1:9" ht="104.4" x14ac:dyDescent="0.25">
      <c r="A124" s="16"/>
      <c r="B124" s="17">
        <v>120</v>
      </c>
      <c r="C124" s="2" t="b">
        <f ca="1">IFERROR(__xludf.DUMMYFUNCTION("""COMPUTED_VALUE"""),FALSE)</f>
        <v>0</v>
      </c>
      <c r="D124" s="2">
        <f ca="1">IFERROR(__xludf.DUMMYFUNCTION("""COMPUTED_VALUE"""),200)</f>
        <v>200</v>
      </c>
      <c r="E124" s="2" t="str">
        <f ca="1">IFERROR(__xludf.DUMMYFUNCTION("""COMPUTED_VALUE"""),"Impossible Outfits")</f>
        <v>Impossible Outfits</v>
      </c>
      <c r="F124" s="2" t="str">
        <f ca="1">IFERROR(__xludf.DUMMYFUNCTION("""COMPUTED_VALUE"""),"Baalbuddy")</f>
        <v>Baalbuddy</v>
      </c>
      <c r="G124" s="2" t="str">
        <f ca="1">IFERROR(__xludf.DUMMYFUNCTION("""COMPUTED_VALUE"""),"Body &amp; Beauty")</f>
        <v>Body &amp; Beauty</v>
      </c>
      <c r="H124" s="2" t="str">
        <f ca="1">IFERROR(__xludf.DUMMYFUNCTION("""COMPUTED_VALUE"""),"There’s no way those clothes should stay on. Must be magic. Anything you wear will do its job, not flapping in the breeze and revealing only as much or as little as you want it to. Oh, and if you’re wearing a few strategically-placed pieces of metal that "&amp;"no sane person would consider armor, then you’re very lucky in the regard that hits are drawn to those small amounts of protective equipment. This won’t save your bare ass everytime and the rest of you is still naked meat, so maybe suit up properly when i"&amp;"t’s time for serious adventuring.")</f>
        <v>There’s no way those clothes should stay on. Must be magic. Anything you wear will do its job, not flapping in the breeze and revealing only as much or as little as you want it to. Oh, and if you’re wearing a few strategically-placed pieces of metal that no sane person would consider armor, then you’re very lucky in the regard that hits are drawn to those small amounts of protective equipment. This won’t save your bare ass everytime and the rest of you is still naked meat, so maybe suit up properly when it’s time for serious adventuring.</v>
      </c>
      <c r="I124" s="5"/>
    </row>
    <row r="125" spans="1:9" ht="104.4" x14ac:dyDescent="0.25">
      <c r="A125" s="16"/>
      <c r="B125" s="17">
        <v>121</v>
      </c>
      <c r="C125" s="2" t="b">
        <f ca="1">IFERROR(__xludf.DUMMYFUNCTION("""COMPUTED_VALUE"""),FALSE)</f>
        <v>0</v>
      </c>
      <c r="D125" s="2">
        <f ca="1">IFERROR(__xludf.DUMMYFUNCTION("""COMPUTED_VALUE"""),200)</f>
        <v>200</v>
      </c>
      <c r="E125" s="2" t="str">
        <f ca="1">IFERROR(__xludf.DUMMYFUNCTION("""COMPUTED_VALUE"""),"Loosen Up A Bit")</f>
        <v>Loosen Up A Bit</v>
      </c>
      <c r="F125" s="2" t="str">
        <f ca="1">IFERROR(__xludf.DUMMYFUNCTION("""COMPUTED_VALUE"""),"Aki-Akane")</f>
        <v>Aki-Akane</v>
      </c>
      <c r="G125" s="2" t="str">
        <f ca="1">IFERROR(__xludf.DUMMYFUNCTION("""COMPUTED_VALUE"""),"Body &amp; Beauty")</f>
        <v>Body &amp; Beauty</v>
      </c>
      <c r="H125" s="2" t="str">
        <f ca="1">IFERROR(__xludf.DUMMYFUNCTION("""COMPUTED_VALUE"""),"As it turns out, relaxing somewhat and embracing her sexuality as a woman - and partially not being a tomboy anymore - caused damn near everyone to turn heads at this beautiful woman they'd never noticed before. So, this is twofold. One, you can call down"&amp;" sexy accidents on yourself, and those accidents will attract attention from both men and women alike. And secondly? The more sex you have, the prettier you appear to be. Call an extra one out of ten for every eight times you do it over the course of a we"&amp;"ek?")</f>
        <v>As it turns out, relaxing somewhat and embracing her sexuality as a woman - and partially not being a tomboy anymore - caused damn near everyone to turn heads at this beautiful woman they'd never noticed before. So, this is twofold. One, you can call down sexy accidents on yourself, and those accidents will attract attention from both men and women alike. And secondly? The more sex you have, the prettier you appear to be. Call an extra one out of ten for every eight times you do it over the course of a week?</v>
      </c>
      <c r="I125" s="5"/>
    </row>
    <row r="126" spans="1:9" ht="261" x14ac:dyDescent="0.25">
      <c r="A126" s="16"/>
      <c r="B126" s="17">
        <v>122</v>
      </c>
      <c r="C126" s="2" t="b">
        <f ca="1">IFERROR(__xludf.DUMMYFUNCTION("""COMPUTED_VALUE"""),FALSE)</f>
        <v>0</v>
      </c>
      <c r="D126" s="2">
        <f ca="1">IFERROR(__xludf.DUMMYFUNCTION("""COMPUTED_VALUE"""),200)</f>
        <v>200</v>
      </c>
      <c r="E126" s="2" t="str">
        <f ca="1">IFERROR(__xludf.DUMMYFUNCTION("""COMPUTED_VALUE"""),"Lusty Maiden Armour")</f>
        <v>Lusty Maiden Armour</v>
      </c>
      <c r="F126" s="2" t="str">
        <f ca="1">IFERROR(__xludf.DUMMYFUNCTION("""COMPUTED_VALUE"""),"Corruption of Champions v1.1")</f>
        <v>Corruption of Champions v1.1</v>
      </c>
      <c r="G126" s="2" t="str">
        <f ca="1">IFERROR(__xludf.DUMMYFUNCTION("""COMPUTED_VALUE"""),"Body &amp; Beauty")</f>
        <v>Body &amp; Beauty</v>
      </c>
      <c r="H126" s="2" t="str">
        <f ca="1">IFERROR(__xludf.DUMMYFUNCTION("""COMPUTED_VALUE"""),"Consisting of a metal bikini top held together by a leather band (with a slick leather fastening beneath it to perfectly cushion a throbbing shaft), a snug white leather thong with intricate gold filigree on the front and back (that looks suspiciously lik"&amp;"e gold arrows pointing at the wearer’s asshole), and a short chain skirt that barely covers anything. And nothing if whoever’s wearing it decides to bend over even a little. Perfect for a more seductive approach to combat, something the armor itself encou"&amp;"rages, as the corrupt modifications of its protective enchantments means wearing it induces some baser urges.
Despite its skimpy appearance, though, the magic on the armor actually does make it far more protective than it should be. Even at its weakest,"&amp;" it is still as protective as a full suit of leather covering the entire body, but it grows more powerful if worn by a virgin and if the wearer gives in to their enhanced passions. Fully powered and worn by a virgin, it protects their entire body like a f"&amp;"ull suit of layered steel plates, rivaling a suit of plate mail. Even the way it entices people seems to grow in intensity with the protective ward, turning it from merely skimpy to incredibly captivating at a glance.")</f>
        <v>Consisting of a metal bikini top held together by a leather band (with a slick leather fastening beneath it to perfectly cushion a throbbing shaft), a snug white leather thong with intricate gold filigree on the front and back (that looks suspiciously like gold arrows pointing at the wearer’s asshole), and a short chain skirt that barely covers anything. And nothing if whoever’s wearing it decides to bend over even a little. Perfect for a more seductive approach to combat, something the armor itself encourages, as the corrupt modifications of its protective enchantments means wearing it induces some baser urges.
Despite its skimpy appearance, though, the magic on the armor actually does make it far more protective than it should be. Even at its weakest, it is still as protective as a full suit of leather covering the entire body, but it grows more powerful if worn by a virgin and if the wearer gives in to their enhanced passions. Fully powered and worn by a virgin, it protects their entire body like a full suit of layered steel plates, rivaling a suit of plate mail. Even the way it entices people seems to grow in intensity with the protective ward, turning it from merely skimpy to incredibly captivating at a glance.</v>
      </c>
      <c r="I126" s="5"/>
    </row>
    <row r="127" spans="1:9" ht="87" x14ac:dyDescent="0.25">
      <c r="A127" s="16"/>
      <c r="B127" s="17">
        <v>123</v>
      </c>
      <c r="C127" s="2" t="b">
        <f ca="1">IFERROR(__xludf.DUMMYFUNCTION("""COMPUTED_VALUE"""),FALSE)</f>
        <v>0</v>
      </c>
      <c r="D127" s="2">
        <f ca="1">IFERROR(__xludf.DUMMYFUNCTION("""COMPUTED_VALUE"""),200)</f>
        <v>200</v>
      </c>
      <c r="E127" s="2" t="str">
        <f ca="1">IFERROR(__xludf.DUMMYFUNCTION("""COMPUTED_VALUE"""),"Mana Crystals")</f>
        <v>Mana Crystals</v>
      </c>
      <c r="F127" s="2" t="str">
        <f ca="1">IFERROR(__xludf.DUMMYFUNCTION("""COMPUTED_VALUE"""),"NUKENAI Seiken-chan")</f>
        <v>NUKENAI Seiken-chan</v>
      </c>
      <c r="G127" s="2" t="str">
        <f ca="1">IFERROR(__xludf.DUMMYFUNCTION("""COMPUTED_VALUE"""),"Body &amp; Beauty")</f>
        <v>Body &amp; Beauty</v>
      </c>
      <c r="H127" s="2" t="str">
        <f ca="1">IFERROR(__xludf.DUMMYFUNCTION("""COMPUTED_VALUE"""),"Imperials don’t need to eat, but they do enjoy it, and instead of digesting food, they convert it into mana. If they eat too much for their mana pool, they visit the bathroom and turn the excess into high-quality mana crystals. You have the same ability t"&amp;"o turn food into mana, and if you have too much, convert any excess mana into a crystal. They are used in crafting and store raw magical power for later, so they fetch a high price.")</f>
        <v>Imperials don’t need to eat, but they do enjoy it, and instead of digesting food, they convert it into mana. If they eat too much for their mana pool, they visit the bathroom and turn the excess into high-quality mana crystals. You have the same ability to turn food into mana, and if you have too much, convert any excess mana into a crystal. They are used in crafting and store raw magical power for later, so they fetch a high price.</v>
      </c>
      <c r="I127" s="5"/>
    </row>
    <row r="128" spans="1:9" ht="121.8" x14ac:dyDescent="0.25">
      <c r="A128" s="16"/>
      <c r="B128" s="17">
        <v>124</v>
      </c>
      <c r="C128" s="2" t="b">
        <f ca="1">IFERROR(__xludf.DUMMYFUNCTION("""COMPUTED_VALUE"""),FALSE)</f>
        <v>0</v>
      </c>
      <c r="D128" s="2">
        <f ca="1">IFERROR(__xludf.DUMMYFUNCTION("""COMPUTED_VALUE"""),200)</f>
        <v>200</v>
      </c>
      <c r="E128" s="2" t="str">
        <f ca="1">IFERROR(__xludf.DUMMYFUNCTION("""COMPUTED_VALUE"""),"Masochist's Constitution")</f>
        <v>Masochist's Constitution</v>
      </c>
      <c r="F128" s="2" t="str">
        <f ca="1">IFERROR(__xludf.DUMMYFUNCTION("""COMPUTED_VALUE"""),"Breathless Wild")</f>
        <v>Breathless Wild</v>
      </c>
      <c r="G128" s="2" t="str">
        <f ca="1">IFERROR(__xludf.DUMMYFUNCTION("""COMPUTED_VALUE"""),"Body &amp; Beauty")</f>
        <v>Body &amp; Beauty</v>
      </c>
      <c r="H128" s="2" t="str">
        <f ca="1">IFERROR(__xludf.DUMMYFUNCTION("""COMPUTED_VALUE"""),"Ganon’s monsters have had their way with a great deal of what’s left of Hyrule, but few have enjoyed it as much as you’re about to. Your body has been reconfigured to make your time here a little easier, maybe even quite pleasant depending on your tastes."&amp;" You have a masochist’s constitution, a body that takes as much pleasure as it does pain out of being abused or toyed with. You’re at no risk of getting addicted to these feelings and pain still registers to your senses but along with that pain comes a eu"&amp;"phoria that you’ll be hard-pressed to find anywhere else. You’ll also find that your body and skills won’t degrade at all from long periods of bondage or captivity.")</f>
        <v>Ganon’s monsters have had their way with a great deal of what’s left of Hyrule, but few have enjoyed it as much as you’re about to. Your body has been reconfigured to make your time here a little easier, maybe even quite pleasant depending on your tastes. You have a masochist’s constitution, a body that takes as much pleasure as it does pain out of being abused or toyed with. You’re at no risk of getting addicted to these feelings and pain still registers to your senses but along with that pain comes a euphoria that you’ll be hard-pressed to find anywhere else. You’ll also find that your body and skills won’t degrade at all from long periods of bondage or captivity.</v>
      </c>
      <c r="I128" s="5"/>
    </row>
    <row r="129" spans="1:9" ht="226.2" x14ac:dyDescent="0.25">
      <c r="A129" s="16"/>
      <c r="B129" s="17">
        <v>125</v>
      </c>
      <c r="C129" s="2" t="b">
        <f ca="1">IFERROR(__xludf.DUMMYFUNCTION("""COMPUTED_VALUE"""),FALSE)</f>
        <v>0</v>
      </c>
      <c r="D129" s="2">
        <f ca="1">IFERROR(__xludf.DUMMYFUNCTION("""COMPUTED_VALUE"""),200)</f>
        <v>200</v>
      </c>
      <c r="E129" s="2" t="str">
        <f ca="1">IFERROR(__xludf.DUMMYFUNCTION("""COMPUTED_VALUE"""),"Maximum Glamour")</f>
        <v>Maximum Glamour</v>
      </c>
      <c r="F129" s="2" t="str">
        <f ca="1">IFERROR(__xludf.DUMMYFUNCTION("""COMPUTED_VALUE"""),"Sailor Uranus")</f>
        <v>Sailor Uranus</v>
      </c>
      <c r="G129" s="2" t="str">
        <f ca="1">IFERROR(__xludf.DUMMYFUNCTION("""COMPUTED_VALUE"""),"Body &amp; Beauty")</f>
        <v>Body &amp; Beauty</v>
      </c>
      <c r="H129" s="2" t="str">
        <f ca="1">IFERROR(__xludf.DUMMYFUNCTION("""COMPUTED_VALUE"""),"Any photographer, portraitist, or narcissist can tell you that not all shots are equally flattering. The structure of the face resolves much differently when viewed in profile; contraction or expansion of muscles can flatten curves and bunch up skin, and "&amp;"the interplay of light and shadow can transform a magnificent adonis into someone else entirely...Problems for other people. You are always seen in the best light, your skin is elastic enough that you’ll never experience unsexy folds or creases (barring e"&amp;"xtremes of obesity), the shape of present muscles is always something to admire, and your features have been molded so your image remains striking from any perspective. Whatever pose you take, or whichever angle you are viewed from, it is almost always po"&amp;"ssible to appreciate the full extent of your beauty. As an additional boon, you repel your own filth, your orifices clean and body odor imperceptible. Instead, you may choose a mundane scent (such as soap or cinnamon) which you exude both inside and out. "&amp;"Finally, your body grows no terminal hair below your head, at no detriment to your health. Any other hair growth may be slowed or frozen as you will.")</f>
        <v>Any photographer, portraitist, or narcissist can tell you that not all shots are equally flattering. The structure of the face resolves much differently when viewed in profile; contraction or expansion of muscles can flatten curves and bunch up skin, and the interplay of light and shadow can transform a magnificent adonis into someone else entirely...Problems for other people. You are always seen in the best light, your skin is elastic enough that you’ll never experience unsexy folds or creases (barring extremes of obesity), the shape of present muscles is always something to admire, and your features have been molded so your image remains striking from any perspective. Whatever pose you take, or whichever angle you are viewed from, it is almost always possible to appreciate the full extent of your beauty. As an additional boon, you repel your own filth, your orifices clean and body odor imperceptible. Instead, you may choose a mundane scent (such as soap or cinnamon) which you exude both inside and out. Finally, your body grows no terminal hair below your head, at no detriment to your health. Any other hair growth may be slowed or frozen as you will.</v>
      </c>
      <c r="I129" s="5"/>
    </row>
    <row r="130" spans="1:9" ht="87" x14ac:dyDescent="0.25">
      <c r="A130" s="16"/>
      <c r="B130" s="17">
        <v>126</v>
      </c>
      <c r="C130" s="2" t="b">
        <f ca="1">IFERROR(__xludf.DUMMYFUNCTION("""COMPUTED_VALUE"""),FALSE)</f>
        <v>0</v>
      </c>
      <c r="D130" s="2">
        <f ca="1">IFERROR(__xludf.DUMMYFUNCTION("""COMPUTED_VALUE"""),200)</f>
        <v>200</v>
      </c>
      <c r="E130" s="2" t="str">
        <f ca="1">IFERROR(__xludf.DUMMYFUNCTION("""COMPUTED_VALUE"""),"Mega Magical Maternity Bra")</f>
        <v>Mega Magical Maternity Bra</v>
      </c>
      <c r="F130" s="2" t="str">
        <f ca="1">IFERROR(__xludf.DUMMYFUNCTION("""COMPUTED_VALUE"""),"Seikon No Qwaser")</f>
        <v>Seikon No Qwaser</v>
      </c>
      <c r="G130" s="2" t="str">
        <f ca="1">IFERROR(__xludf.DUMMYFUNCTION("""COMPUTED_VALUE"""),"Body &amp; Beauty")</f>
        <v>Body &amp; Beauty</v>
      </c>
      <c r="H130" s="2" t="str">
        <f ca="1">IFERROR(__xludf.DUMMYFUNCTION("""COMPUTED_VALUE"""),"If you’re going to be routinely suckling some Qwaser, you might as well make it easy on yourself. Enter this beautifully stitched maternity bra, in a fashion of your choosing, designed for support and comfort of even the most impossibly endowed woman. And"&amp;" the clasps over the cups make it easy to suckle someone, or yourself, without requiring you to fully disrobe or have your bra torn off in desperation. It also cleans and repairs itself. Guaranteed to never stain!")</f>
        <v>If you’re going to be routinely suckling some Qwaser, you might as well make it easy on yourself. Enter this beautifully stitched maternity bra, in a fashion of your choosing, designed for support and comfort of even the most impossibly endowed woman. And the clasps over the cups make it easy to suckle someone, or yourself, without requiring you to fully disrobe or have your bra torn off in desperation. It also cleans and repairs itself. Guaranteed to never stain!</v>
      </c>
      <c r="I130" s="5"/>
    </row>
    <row r="131" spans="1:9" ht="69.599999999999994" x14ac:dyDescent="0.25">
      <c r="A131" s="16"/>
      <c r="B131" s="17">
        <v>127</v>
      </c>
      <c r="C131" s="2" t="b">
        <f ca="1">IFERROR(__xludf.DUMMYFUNCTION("""COMPUTED_VALUE"""),FALSE)</f>
        <v>0</v>
      </c>
      <c r="D131" s="2">
        <f ca="1">IFERROR(__xludf.DUMMYFUNCTION("""COMPUTED_VALUE"""),200)</f>
        <v>200</v>
      </c>
      <c r="E131" s="2" t="str">
        <f ca="1">IFERROR(__xludf.DUMMYFUNCTION("""COMPUTED_VALUE"""),"My Arms are a Castle")</f>
        <v>My Arms are a Castle</v>
      </c>
      <c r="F131" s="2" t="str">
        <f ca="1">IFERROR(__xludf.DUMMYFUNCTION("""COMPUTED_VALUE"""),"Destiny: Fuck the Darkness")</f>
        <v>Destiny: Fuck the Darkness</v>
      </c>
      <c r="G131" s="2" t="str">
        <f ca="1">IFERROR(__xludf.DUMMYFUNCTION("""COMPUTED_VALUE"""),"Body &amp; Beauty")</f>
        <v>Body &amp; Beauty</v>
      </c>
      <c r="H131" s="2" t="str">
        <f ca="1">IFERROR(__xludf.DUMMYFUNCTION("""COMPUTED_VALUE"""),"You know what strength means? Security, Safety, and Peace. A simple embrace from your mighty arms is enough to quell feelings of distress, doubt, fear, anxiety, etc. Considering that any alien lovers you might take here would rightly feel all of the above"&amp;" for one reason or another, it may behoove you to acquire this one. Also, wholesome as hell.")</f>
        <v>You know what strength means? Security, Safety, and Peace. A simple embrace from your mighty arms is enough to quell feelings of distress, doubt, fear, anxiety, etc. Considering that any alien lovers you might take here would rightly feel all of the above for one reason or another, it may behoove you to acquire this one. Also, wholesome as hell.</v>
      </c>
      <c r="I131" s="5"/>
    </row>
    <row r="132" spans="1:9" ht="69.599999999999994" x14ac:dyDescent="0.25">
      <c r="A132" s="16"/>
      <c r="B132" s="17">
        <v>128</v>
      </c>
      <c r="C132" s="2" t="b">
        <f ca="1">IFERROR(__xludf.DUMMYFUNCTION("""COMPUTED_VALUE"""),FALSE)</f>
        <v>0</v>
      </c>
      <c r="D132" s="2">
        <f ca="1">IFERROR(__xludf.DUMMYFUNCTION("""COMPUTED_VALUE"""),200)</f>
        <v>200</v>
      </c>
      <c r="E132" s="2" t="str">
        <f ca="1">IFERROR(__xludf.DUMMYFUNCTION("""COMPUTED_VALUE"""),"Nice Linework")</f>
        <v>Nice Linework</v>
      </c>
      <c r="F132" s="2" t="str">
        <f ca="1">IFERROR(__xludf.DUMMYFUNCTION("""COMPUTED_VALUE"""),"Baalbuddy")</f>
        <v>Baalbuddy</v>
      </c>
      <c r="G132" s="2" t="str">
        <f ca="1">IFERROR(__xludf.DUMMYFUNCTION("""COMPUTED_VALUE"""),"Body &amp; Beauty")</f>
        <v>Body &amp; Beauty</v>
      </c>
      <c r="H132" s="2" t="str">
        <f ca="1">IFERROR(__xludf.DUMMYFUNCTION("""COMPUTED_VALUE"""),"You actually look pretty good. You’ve got a nice figure with clear skin, dirt and grime only sticking to you only when it would look dramatic and that washes off the second you make the slightest effort to clean up. If you’d prefer this boost can make you"&amp;" attractive in a particular way, giving off vibes that make you look cute, elegant, ruggedly handsome or lewdly filled out.")</f>
        <v>You actually look pretty good. You’ve got a nice figure with clear skin, dirt and grime only sticking to you only when it would look dramatic and that washes off the second you make the slightest effort to clean up. If you’d prefer this boost can make you attractive in a particular way, giving off vibes that make you look cute, elegant, ruggedly handsome or lewdly filled out.</v>
      </c>
      <c r="I132" s="5"/>
    </row>
    <row r="133" spans="1:9" ht="104.4" x14ac:dyDescent="0.25">
      <c r="A133" s="16"/>
      <c r="B133" s="17">
        <v>129</v>
      </c>
      <c r="C133" s="2" t="b">
        <f ca="1">IFERROR(__xludf.DUMMYFUNCTION("""COMPUTED_VALUE"""),FALSE)</f>
        <v>0</v>
      </c>
      <c r="D133" s="2">
        <f ca="1">IFERROR(__xludf.DUMMYFUNCTION("""COMPUTED_VALUE"""),200)</f>
        <v>200</v>
      </c>
      <c r="E133" s="2" t="str">
        <f ca="1">IFERROR(__xludf.DUMMYFUNCTION("""COMPUTED_VALUE"""),"Not My Fetish")</f>
        <v>Not My Fetish</v>
      </c>
      <c r="F133" s="2" t="str">
        <f ca="1">IFERROR(__xludf.DUMMYFUNCTION("""COMPUTED_VALUE"""),"Winger’s World")</f>
        <v>Winger’s World</v>
      </c>
      <c r="G133" s="2" t="str">
        <f ca="1">IFERROR(__xludf.DUMMYFUNCTION("""COMPUTED_VALUE"""),"Body &amp; Beauty")</f>
        <v>Body &amp; Beauty</v>
      </c>
      <c r="H133" s="2" t="str">
        <f ca="1">IFERROR(__xludf.DUMMYFUNCTION("""COMPUTED_VALUE"""),"Yeah. That hot rabbit herm is interested in you. She’ll probably be willing to let you fuck her in the ass. Problem is, she’ll want to take that puckered ass of yours for a ride as well. How do you ask her to let you bang her caboose, while keeping your h"&amp;"ershey highway one way as well? This perk helps you out. No more awkward discussions about something not being your fetish, right after a partner helped satisfy your kinky desires. They won’t get upset or disappointed, and will be understanding about it.")</f>
        <v>Yeah. That hot rabbit herm is interested in you. She’ll probably be willing to let you fuck her in the ass. Problem is, she’ll want to take that puckered ass of yours for a ride as well. How do you ask her to let you bang her caboose, while keeping your hershey highway one way as well? This perk helps you out. No more awkward discussions about something not being your fetish, right after a partner helped satisfy your kinky desires. They won’t get upset or disappointed, and will be understanding about it.</v>
      </c>
      <c r="I133" s="5"/>
    </row>
    <row r="134" spans="1:9" ht="69.599999999999994" x14ac:dyDescent="0.25">
      <c r="A134" s="16"/>
      <c r="B134" s="17">
        <v>130</v>
      </c>
      <c r="C134" s="2" t="b">
        <f ca="1">IFERROR(__xludf.DUMMYFUNCTION("""COMPUTED_VALUE"""),FALSE)</f>
        <v>0</v>
      </c>
      <c r="D134" s="2">
        <f ca="1">IFERROR(__xludf.DUMMYFUNCTION("""COMPUTED_VALUE"""),200)</f>
        <v>200</v>
      </c>
      <c r="E134" s="2" t="str">
        <f ca="1">IFERROR(__xludf.DUMMYFUNCTION("""COMPUTED_VALUE"""),"Panty Collection")</f>
        <v>Panty Collection</v>
      </c>
      <c r="F134" s="2" t="str">
        <f ca="1">IFERROR(__xludf.DUMMYFUNCTION("""COMPUTED_VALUE"""),"Huniepop")</f>
        <v>Huniepop</v>
      </c>
      <c r="G134" s="2" t="str">
        <f ca="1">IFERROR(__xludf.DUMMYFUNCTION("""COMPUTED_VALUE"""),"Body &amp; Beauty")</f>
        <v>Body &amp; Beauty</v>
      </c>
      <c r="H134" s="2" t="str">
        <f ca="1">IFERROR(__xludf.DUMMYFUNCTION("""COMPUTED_VALUE"""),"This empty briefcase seems completely pointless at first, but when you place the underwear of the people you’ve had sex with inside, you’ll find yourself growing in attractiveness and charisma. It starts out barely noticeable at first, but as more underwe"&amp;"ar is added, you will slowly find yourself becoming the chaddest of chads.")</f>
        <v>This empty briefcase seems completely pointless at first, but when you place the underwear of the people you’ve had sex with inside, you’ll find yourself growing in attractiveness and charisma. It starts out barely noticeable at first, but as more underwear is added, you will slowly find yourself becoming the chaddest of chads.</v>
      </c>
      <c r="I134" s="5"/>
    </row>
    <row r="135" spans="1:9" ht="139.19999999999999" x14ac:dyDescent="0.25">
      <c r="A135" s="16"/>
      <c r="B135" s="17">
        <v>131</v>
      </c>
      <c r="C135" s="2" t="b">
        <f ca="1">IFERROR(__xludf.DUMMYFUNCTION("""COMPUTED_VALUE"""),FALSE)</f>
        <v>0</v>
      </c>
      <c r="D135" s="2">
        <f ca="1">IFERROR(__xludf.DUMMYFUNCTION("""COMPUTED_VALUE"""),200)</f>
        <v>200</v>
      </c>
      <c r="E135" s="2" t="str">
        <f ca="1">IFERROR(__xludf.DUMMYFUNCTION("""COMPUTED_VALUE"""),"Paradise Troops Army Armour")</f>
        <v>Paradise Troops Army Armour</v>
      </c>
      <c r="F135" s="2" t="str">
        <f ca="1">IFERROR(__xludf.DUMMYFUNCTION("""COMPUTED_VALUE"""),"The Otaku in 2200 AD")</f>
        <v>The Otaku in 2200 AD</v>
      </c>
      <c r="G135" s="2" t="str">
        <f ca="1">IFERROR(__xludf.DUMMYFUNCTION("""COMPUTED_VALUE"""),"Body &amp; Beauty")</f>
        <v>Body &amp; Beauty</v>
      </c>
      <c r="H135" s="2" t="str">
        <f ca="1">IFERROR(__xludf.DUMMYFUNCTION("""COMPUTED_VALUE"""),"This is the incredibly scanty armor utilized by the troops of Paradise, with defensive power mostly coming from a force field rather than its own defensive qualities. More impressively is that it can be converted to a “sex formation”. It connects to the w"&amp;"earer’s nervous system and inflates several artificial breasts, which due to this connection are all capable of experiencing sensation. The arm produces a tube-like “mouth” capable of bringing enormous levels of pleasure, and stimulants are provided to ma"&amp;"ke the clitoris grow larger. What’s more, the armor produces a number of tentacle-hands you can control, letting you manhandle your partner. All in all, the total pleasure of sex while wearing this armor is 11 times higher than normal sex.")</f>
        <v>This is the incredibly scanty armor utilized by the troops of Paradise, with defensive power mostly coming from a force field rather than its own defensive qualities. More impressively is that it can be converted to a “sex formation”. It connects to the wearer’s nervous system and inflates several artificial breasts, which due to this connection are all capable of experiencing sensation. The arm produces a tube-like “mouth” capable of bringing enormous levels of pleasure, and stimulants are provided to make the clitoris grow larger. What’s more, the armor produces a number of tentacle-hands you can control, letting you manhandle your partner. All in all, the total pleasure of sex while wearing this armor is 11 times higher than normal sex.</v>
      </c>
      <c r="I135" s="5"/>
    </row>
    <row r="136" spans="1:9" ht="156.6" x14ac:dyDescent="0.25">
      <c r="A136" s="16"/>
      <c r="B136" s="17">
        <v>132</v>
      </c>
      <c r="C136" s="2" t="b">
        <f ca="1">IFERROR(__xludf.DUMMYFUNCTION("""COMPUTED_VALUE"""),FALSE)</f>
        <v>0</v>
      </c>
      <c r="D136" s="2">
        <f ca="1">IFERROR(__xludf.DUMMYFUNCTION("""COMPUTED_VALUE"""),200)</f>
        <v>200</v>
      </c>
      <c r="E136" s="2" t="str">
        <f ca="1">IFERROR(__xludf.DUMMYFUNCTION("""COMPUTED_VALUE"""),"Pillar of Lust")</f>
        <v>Pillar of Lust</v>
      </c>
      <c r="F136" s="2" t="str">
        <f ca="1">IFERROR(__xludf.DUMMYFUNCTION("""COMPUTED_VALUE"""),"Breathless Wild")</f>
        <v>Breathless Wild</v>
      </c>
      <c r="G136" s="2" t="str">
        <f ca="1">IFERROR(__xludf.DUMMYFUNCTION("""COMPUTED_VALUE"""),"Body &amp; Beauty")</f>
        <v>Body &amp; Beauty</v>
      </c>
      <c r="H136" s="2" t="str">
        <f ca="1">IFERROR(__xludf.DUMMYFUNCTION("""COMPUTED_VALUE"""),"If monsters have one fatal flaw it’s that sating their depraved appetites is as lethal as an arrow to the skull and the weakest bokoblins are such one-pump chumps that they keel over and die from a single orgasm. But stronger monsters are another story en"&amp;"tirely, empowered as much by their lust as by food and sleep, and you share this quality with them. Sexual activity replenishes your stamina rather than draining it, and even fucking for hours on end just leaves you feeling as well-rested as if you’d gott"&amp;"en a full night’s sleep. Not only does this prevent you from ever suffering a humiliating death by sex, even against monsters that drain life energy this way, but you also heal injuries and recover from illnesses extremely quickly after you get your rocks"&amp;" off, letting you heal minor injuries overnight and more serious ones in a few days at most.")</f>
        <v>If monsters have one fatal flaw it’s that sating their depraved appetites is as lethal as an arrow to the skull and the weakest bokoblins are such one-pump chumps that they keel over and die from a single orgasm. But stronger monsters are another story entirely, empowered as much by their lust as by food and sleep, and you share this quality with them. Sexual activity replenishes your stamina rather than draining it, and even fucking for hours on end just leaves you feeling as well-rested as if you’d gotten a full night’s sleep. Not only does this prevent you from ever suffering a humiliating death by sex, even against monsters that drain life energy this way, but you also heal injuries and recover from illnesses extremely quickly after you get your rocks off, letting you heal minor injuries overnight and more serious ones in a few days at most.</v>
      </c>
      <c r="I136" s="5"/>
    </row>
    <row r="137" spans="1:9" ht="174" x14ac:dyDescent="0.25">
      <c r="A137" s="16"/>
      <c r="B137" s="17">
        <v>133</v>
      </c>
      <c r="C137" s="2" t="b">
        <f ca="1">IFERROR(__xludf.DUMMYFUNCTION("""COMPUTED_VALUE"""),FALSE)</f>
        <v>0</v>
      </c>
      <c r="D137" s="2">
        <f ca="1">IFERROR(__xludf.DUMMYFUNCTION("""COMPUTED_VALUE"""),200)</f>
        <v>200</v>
      </c>
      <c r="E137" s="2" t="str">
        <f ca="1">IFERROR(__xludf.DUMMYFUNCTION("""COMPUTED_VALUE"""),"Plentiful Breasts")</f>
        <v>Plentiful Breasts</v>
      </c>
      <c r="F137" s="2" t="str">
        <f ca="1">IFERROR(__xludf.DUMMYFUNCTION("""COMPUTED_VALUE"""),"Haramase Simulator")</f>
        <v>Haramase Simulator</v>
      </c>
      <c r="G137" s="2" t="str">
        <f ca="1">IFERROR(__xludf.DUMMYFUNCTION("""COMPUTED_VALUE"""),"Body &amp; Beauty")</f>
        <v>Body &amp; Beauty</v>
      </c>
      <c r="H137" s="2" t="str">
        <f ca="1">IFERROR(__xludf.DUMMYFUNCTION("""COMPUTED_VALUE"""),"Soft, pliable, springy, malleable, silky, smooth. Just some of the descriptions that would come to mind when you expose your plentiful bosom, their perfect shape and size beckoning onlookers. The incredible softness could make anyone feel like they could "&amp;"fondle them all day. Even the milk you produce is delicious with how soft and creamy it is.
Moreover, they're lewd breasts as well, being almost too sensitive. Cumming from your breasts getting fondled and sucked on is effortless if you give it a try, an"&amp;"d even just giving paizuri could be enough for you to climax. If you’d like, the rest of your body could become more sensitive as well, not quite to the same extent as your chest but still making every touch noticeably more pleasurable than it would’ve be"&amp;"en before.")</f>
        <v>Soft, pliable, springy, malleable, silky, smooth. Just some of the descriptions that would come to mind when you expose your plentiful bosom, their perfect shape and size beckoning onlookers. The incredible softness could make anyone feel like they could fondle them all day. Even the milk you produce is delicious with how soft and creamy it is.
Moreover, they're lewd breasts as well, being almost too sensitive. Cumming from your breasts getting fondled and sucked on is effortless if you give it a try, and even just giving paizuri could be enough for you to climax. If you’d like, the rest of your body could become more sensitive as well, not quite to the same extent as your chest but still making every touch noticeably more pleasurable than it would’ve been before.</v>
      </c>
      <c r="I137" s="5"/>
    </row>
    <row r="138" spans="1:9" ht="52.2" x14ac:dyDescent="0.25">
      <c r="A138" s="16"/>
      <c r="B138" s="17">
        <v>134</v>
      </c>
      <c r="C138" s="2" t="b">
        <f ca="1">IFERROR(__xludf.DUMMYFUNCTION("""COMPUTED_VALUE"""),FALSE)</f>
        <v>0</v>
      </c>
      <c r="D138" s="2">
        <f ca="1">IFERROR(__xludf.DUMMYFUNCTION("""COMPUTED_VALUE"""),200)</f>
        <v>200</v>
      </c>
      <c r="E138" s="2" t="str">
        <f ca="1">IFERROR(__xludf.DUMMYFUNCTION("""COMPUTED_VALUE"""),"Power is Sexy")</f>
        <v>Power is Sexy</v>
      </c>
      <c r="F138" s="2" t="str">
        <f ca="1">IFERROR(__xludf.DUMMYFUNCTION("""COMPUTED_VALUE"""),"Legend Of Krystal")</f>
        <v>Legend Of Krystal</v>
      </c>
      <c r="G138" s="2" t="str">
        <f ca="1">IFERROR(__xludf.DUMMYFUNCTION("""COMPUTED_VALUE"""),"Body &amp; Beauty")</f>
        <v>Body &amp; Beauty</v>
      </c>
      <c r="H138" s="2" t="str">
        <f ca="1">IFERROR(__xludf.DUMMYFUNCTION("""COMPUTED_VALUE"""),"The stronger you are, the better you fuck. The stronger you become the more virile you get, the more sexually attractive you become, and you can increase the size of your genitals through training your body.")</f>
        <v>The stronger you are, the better you fuck. The stronger you become the more virile you get, the more sexually attractive you become, and you can increase the size of your genitals through training your body.</v>
      </c>
      <c r="I138" s="5"/>
    </row>
    <row r="139" spans="1:9" ht="87" x14ac:dyDescent="0.25">
      <c r="A139" s="16"/>
      <c r="B139" s="17">
        <v>135</v>
      </c>
      <c r="C139" s="2" t="b">
        <f ca="1">IFERROR(__xludf.DUMMYFUNCTION("""COMPUTED_VALUE"""),FALSE)</f>
        <v>0</v>
      </c>
      <c r="D139" s="2">
        <f ca="1">IFERROR(__xludf.DUMMYFUNCTION("""COMPUTED_VALUE"""),200)</f>
        <v>200</v>
      </c>
      <c r="E139" s="2" t="str">
        <f ca="1">IFERROR(__xludf.DUMMYFUNCTION("""COMPUTED_VALUE"""),"Scent of Submission")</f>
        <v>Scent of Submission</v>
      </c>
      <c r="F139" s="2" t="str">
        <f ca="1">IFERROR(__xludf.DUMMYFUNCTION("""COMPUTED_VALUE"""),"Mage Kanade’s Futanari Dungeon Quest")</f>
        <v>Mage Kanade’s Futanari Dungeon Quest</v>
      </c>
      <c r="G139" s="2" t="str">
        <f ca="1">IFERROR(__xludf.DUMMYFUNCTION("""COMPUTED_VALUE"""),"Body &amp; Beauty")</f>
        <v>Body &amp; Beauty</v>
      </c>
      <c r="H139" s="2" t="str">
        <f ca="1">IFERROR(__xludf.DUMMYFUNCTION("""COMPUTED_VALUE"""),"Whether it's pheromones, spores or something odder, your body gives off a scent that really gets the motor running. This lovely smell dulls the strength and mind of your victims, while driving up the sensitivity of their body the longer they breathe it in"&amp;". With a bit of work, you could have an entire harem of Sniff Slaves~. You can toggle this off if you wish, although I don’t know why you would~.")</f>
        <v>Whether it's pheromones, spores or something odder, your body gives off a scent that really gets the motor running. This lovely smell dulls the strength and mind of your victims, while driving up the sensitivity of their body the longer they breathe it in. With a bit of work, you could have an entire harem of Sniff Slaves~. You can toggle this off if you wish, although I don’t know why you would~.</v>
      </c>
      <c r="I139" s="5"/>
    </row>
    <row r="140" spans="1:9" ht="69.599999999999994" x14ac:dyDescent="0.25">
      <c r="A140" s="16"/>
      <c r="B140" s="17">
        <v>136</v>
      </c>
      <c r="C140" s="2" t="b">
        <f ca="1">IFERROR(__xludf.DUMMYFUNCTION("""COMPUTED_VALUE"""),FALSE)</f>
        <v>0</v>
      </c>
      <c r="D140" s="2">
        <f ca="1">IFERROR(__xludf.DUMMYFUNCTION("""COMPUTED_VALUE"""),200)</f>
        <v>200</v>
      </c>
      <c r="E140" s="2" t="str">
        <f ca="1">IFERROR(__xludf.DUMMYFUNCTION("""COMPUTED_VALUE"""),"Self-Awareness")</f>
        <v>Self-Awareness</v>
      </c>
      <c r="F140" s="2" t="str">
        <f ca="1">IFERROR(__xludf.DUMMYFUNCTION("""COMPUTED_VALUE"""),"Generic: Lewd")</f>
        <v>Generic: Lewd</v>
      </c>
      <c r="G140" s="2" t="str">
        <f ca="1">IFERROR(__xludf.DUMMYFUNCTION("""COMPUTED_VALUE"""),"Body &amp; Beauty")</f>
        <v>Body &amp; Beauty</v>
      </c>
      <c r="H140" s="2" t="str">
        <f ca="1">IFERROR(__xludf.DUMMYFUNCTION("""COMPUTED_VALUE"""),"There’s no muscle in your body you aren’t in control of - you could wiggle individual toes. You also have a handle on normally uncontrollable bodily processes, able to adjust your heart-rate, give yourself goosebumps, or control otherwise unconscious resp"&amp;"onses your body makes to outside stimuli.")</f>
        <v>There’s no muscle in your body you aren’t in control of - you could wiggle individual toes. You also have a handle on normally uncontrollable bodily processes, able to adjust your heart-rate, give yourself goosebumps, or control otherwise unconscious responses your body makes to outside stimuli.</v>
      </c>
      <c r="I140" s="5"/>
    </row>
    <row r="141" spans="1:9" ht="69.599999999999994" x14ac:dyDescent="0.25">
      <c r="A141" s="16"/>
      <c r="B141" s="17">
        <v>137</v>
      </c>
      <c r="C141" s="2" t="b">
        <f ca="1">IFERROR(__xludf.DUMMYFUNCTION("""COMPUTED_VALUE"""),FALSE)</f>
        <v>0</v>
      </c>
      <c r="D141" s="2">
        <f ca="1">IFERROR(__xludf.DUMMYFUNCTION("""COMPUTED_VALUE"""),200)</f>
        <v>200</v>
      </c>
      <c r="E141" s="2" t="str">
        <f ca="1">IFERROR(__xludf.DUMMYFUNCTION("""COMPUTED_VALUE"""),"Sleeping Beauty")</f>
        <v>Sleeping Beauty</v>
      </c>
      <c r="F141" s="2" t="str">
        <f ca="1">IFERROR(__xludf.DUMMYFUNCTION("""COMPUTED_VALUE"""),"Generic: Loli")</f>
        <v>Generic: Loli</v>
      </c>
      <c r="G141" s="2" t="str">
        <f ca="1">IFERROR(__xludf.DUMMYFUNCTION("""COMPUTED_VALUE"""),"Body &amp; Beauty")</f>
        <v>Body &amp; Beauty</v>
      </c>
      <c r="H141" s="2" t="str">
        <f ca="1">IFERROR(__xludf.DUMMYFUNCTION("""COMPUTED_VALUE"""),"You are so cute in your sleep, someone might want to play with you. This perk provides you with two benefits, first you retain the benefits of any stimulation you receive while asleep. Second you you can choose to remain asleep while someone stimulates yo"&amp;"u sexually, letting them play with you as much as they want.")</f>
        <v>You are so cute in your sleep, someone might want to play with you. This perk provides you with two benefits, first you retain the benefits of any stimulation you receive while asleep. Second you you can choose to remain asleep while someone stimulates you sexually, letting them play with you as much as they want.</v>
      </c>
      <c r="I141" s="5"/>
    </row>
    <row r="142" spans="1:9" ht="69.599999999999994" x14ac:dyDescent="0.25">
      <c r="A142" s="16"/>
      <c r="B142" s="17">
        <v>138</v>
      </c>
      <c r="C142" s="2" t="b">
        <f ca="1">IFERROR(__xludf.DUMMYFUNCTION("""COMPUTED_VALUE"""),FALSE)</f>
        <v>0</v>
      </c>
      <c r="D142" s="2">
        <f ca="1">IFERROR(__xludf.DUMMYFUNCTION("""COMPUTED_VALUE"""),200)</f>
        <v>200</v>
      </c>
      <c r="E142" s="2" t="str">
        <f ca="1">IFERROR(__xludf.DUMMYFUNCTION("""COMPUTED_VALUE"""),"Strength of Gaia")</f>
        <v>Strength of Gaia</v>
      </c>
      <c r="F142" s="2" t="str">
        <f ca="1">IFERROR(__xludf.DUMMYFUNCTION("""COMPUTED_VALUE"""),"Adam and Gaia")</f>
        <v>Adam and Gaia</v>
      </c>
      <c r="G142" s="2" t="str">
        <f ca="1">IFERROR(__xludf.DUMMYFUNCTION("""COMPUTED_VALUE"""),"Body &amp; Beauty")</f>
        <v>Body &amp; Beauty</v>
      </c>
      <c r="H142" s="2" t="str">
        <f ca="1">IFERROR(__xludf.DUMMYFUNCTION("""COMPUTED_VALUE"""),"Gaia must favor you for your stamina is rather inspiring sight to behold. Even as a normal human you would be able to work or fuck twice as long as someone would otherwise be able too. If you get stronger and stronger this boost to stamina becomes less im"&amp;"pressive as you are able to work longer and longer, still you can squeeze out enough juice to put most mortal men to shame.")</f>
        <v>Gaia must favor you for your stamina is rather inspiring sight to behold. Even as a normal human you would be able to work or fuck twice as long as someone would otherwise be able too. If you get stronger and stronger this boost to stamina becomes less impressive as you are able to work longer and longer, still you can squeeze out enough juice to put most mortal men to shame.</v>
      </c>
      <c r="I142" s="5"/>
    </row>
    <row r="143" spans="1:9" ht="121.8" x14ac:dyDescent="0.25">
      <c r="A143" s="16"/>
      <c r="B143" s="17">
        <v>139</v>
      </c>
      <c r="C143" s="2" t="b">
        <f ca="1">IFERROR(__xludf.DUMMYFUNCTION("""COMPUTED_VALUE"""),FALSE)</f>
        <v>0</v>
      </c>
      <c r="D143" s="2">
        <f ca="1">IFERROR(__xludf.DUMMYFUNCTION("""COMPUTED_VALUE"""),200)</f>
        <v>200</v>
      </c>
      <c r="E143" s="2" t="str">
        <f ca="1">IFERROR(__xludf.DUMMYFUNCTION("""COMPUTED_VALUE"""),"Sub in a Leather Mask")</f>
        <v>Sub in a Leather Mask</v>
      </c>
      <c r="F143" s="2" t="str">
        <f ca="1">IFERROR(__xludf.DUMMYFUNCTION("""COMPUTED_VALUE"""),"Generic: BDSM")</f>
        <v>Generic: BDSM</v>
      </c>
      <c r="G143" s="2" t="str">
        <f ca="1">IFERROR(__xludf.DUMMYFUNCTION("""COMPUTED_VALUE"""),"Body &amp; Beauty")</f>
        <v>Body &amp; Beauty</v>
      </c>
      <c r="H143" s="2" t="str">
        <f ca="1">IFERROR(__xludf.DUMMYFUNCTION("""COMPUTED_VALUE"""),"Long-term or lifestyle bondage has a nasty side-effect of negatively impacting your health unless great care is taken. Spend six months in an armbinder or a strait jacket and you’ll find that your muscles have badly deteriorated from holding that position"&amp;" for so long. However, at least in your case, so long as a token effort is made to keep you fed and maintained by your captors you can act at all times as though you were in top physical condition. Your health is otherwise self-maintaining while you are i"&amp;"n bondage, with even any excess calories burning themselves rather than going to your waistline.")</f>
        <v>Long-term or lifestyle bondage has a nasty side-effect of negatively impacting your health unless great care is taken. Spend six months in an armbinder or a strait jacket and you’ll find that your muscles have badly deteriorated from holding that position for so long. However, at least in your case, so long as a token effort is made to keep you fed and maintained by your captors you can act at all times as though you were in top physical condition. Your health is otherwise self-maintaining while you are in bondage, with even any excess calories burning themselves rather than going to your waistline.</v>
      </c>
      <c r="I143" s="5"/>
    </row>
    <row r="144" spans="1:9" ht="121.8" x14ac:dyDescent="0.25">
      <c r="A144" s="16"/>
      <c r="B144" s="17">
        <v>140</v>
      </c>
      <c r="C144" s="2" t="b">
        <f ca="1">IFERROR(__xludf.DUMMYFUNCTION("""COMPUTED_VALUE"""),FALSE)</f>
        <v>0</v>
      </c>
      <c r="D144" s="2">
        <f ca="1">IFERROR(__xludf.DUMMYFUNCTION("""COMPUTED_VALUE"""),200)</f>
        <v>200</v>
      </c>
      <c r="E144" s="2" t="str">
        <f ca="1">IFERROR(__xludf.DUMMYFUNCTION("""COMPUTED_VALUE"""),"Tease")</f>
        <v>Tease</v>
      </c>
      <c r="F144" s="2" t="str">
        <f ca="1">IFERROR(__xludf.DUMMYFUNCTION("""COMPUTED_VALUE"""),"Corruption of Champions v1.1")</f>
        <v>Corruption of Champions v1.1</v>
      </c>
      <c r="G144" s="2" t="str">
        <f ca="1">IFERROR(__xludf.DUMMYFUNCTION("""COMPUTED_VALUE"""),"Body &amp; Beauty")</f>
        <v>Body &amp; Beauty</v>
      </c>
      <c r="H144" s="2" t="str">
        <f ca="1">IFERROR(__xludf.DUMMYFUNCTION("""COMPUTED_VALUE"""),"Having a pretty face is an advantage in and of itself, and that’s all the more true in a world like this. Of course it might also make you somewhat of a target. Nevertheless, you stand out amongst the people of this land, not just because of your foreign "&amp;"nature, but mostly because of your attractive looks. It doesn’t matter whether you are thin or curvy, muscular or jiggly, masculine or feminine, your visage stands out as particularly attractive. Strangely enough, this beauty continues to shine through ev"&amp;"en as this land (or your own effort) changes you. No matter the alterations made to your body or the strange shapes you might take on, you will remain beautiful in some way.")</f>
        <v>Having a pretty face is an advantage in and of itself, and that’s all the more true in a world like this. Of course it might also make you somewhat of a target. Nevertheless, you stand out amongst the people of this land, not just because of your foreign nature, but mostly because of your attractive looks. It doesn’t matter whether you are thin or curvy, muscular or jiggly, masculine or feminine, your visage stands out as particularly attractive. Strangely enough, this beauty continues to shine through even as this land (or your own effort) changes you. No matter the alterations made to your body or the strange shapes you might take on, you will remain beautiful in some way.</v>
      </c>
      <c r="I144" s="5"/>
    </row>
    <row r="145" spans="1:9" ht="174" x14ac:dyDescent="0.25">
      <c r="A145" s="16"/>
      <c r="B145" s="17">
        <v>141</v>
      </c>
      <c r="C145" s="2" t="b">
        <f ca="1">IFERROR(__xludf.DUMMYFUNCTION("""COMPUTED_VALUE"""),FALSE)</f>
        <v>0</v>
      </c>
      <c r="D145" s="2">
        <f ca="1">IFERROR(__xludf.DUMMYFUNCTION("""COMPUTED_VALUE"""),200)</f>
        <v>200</v>
      </c>
      <c r="E145" s="2" t="str">
        <f ca="1">IFERROR(__xludf.DUMMYFUNCTION("""COMPUTED_VALUE"""),"Thank You, Cum Again")</f>
        <v>Thank You, Cum Again</v>
      </c>
      <c r="F145" s="2" t="str">
        <f ca="1">IFERROR(__xludf.DUMMYFUNCTION("""COMPUTED_VALUE"""),"It’s a Straight Line Once You Fall in Love!")</f>
        <v>It’s a Straight Line Once You Fall in Love!</v>
      </c>
      <c r="G145" s="2" t="str">
        <f ca="1">IFERROR(__xludf.DUMMYFUNCTION("""COMPUTED_VALUE"""),"Body &amp; Beauty")</f>
        <v>Body &amp; Beauty</v>
      </c>
      <c r="H145" s="2" t="str">
        <f ca="1">IFERROR(__xludf.DUMMYFUNCTION("""COMPUTED_VALUE"""),"Now, normally matches in seikodo end on the first male orgasm, but that’s just because most people can’t keep going after cumming once. Oh, normal sex would still have your hands and oral, but a proper short program only has one segment of oral sex and th"&amp;"at should be already out of the way by the time someone orgasms. But technically speaking, the match doesn’t need to end with the first orgasm, and a contestant will instead be scored on their best orgasm. With that in mind, you are now one of the lucky f"&amp;"ellows who have no refractory period to speak of, and are now multiorgasmic on top of that. Besides letting you experience great pleasure yourself, this lets you keep going even if you cum early in the match. You also have the willpower to keep thrusting "&amp;"steadily even in the midst of an orgasm, and can even “push down” the hypersensitive state following an orgasm so that you can keep on going.")</f>
        <v>Now, normally matches in seikodo end on the first male orgasm, but that’s just because most people can’t keep going after cumming once. Oh, normal sex would still have your hands and oral, but a proper short program only has one segment of oral sex and that should be already out of the way by the time someone orgasms. But technically speaking, the match doesn’t need to end with the first orgasm, and a contestant will instead be scored on their best orgasm. With that in mind, you are now one of the lucky fellows who have no refractory period to speak of, and are now multiorgasmic on top of that. Besides letting you experience great pleasure yourself, this lets you keep going even if you cum early in the match. You also have the willpower to keep thrusting steadily even in the midst of an orgasm, and can even “push down” the hypersensitive state following an orgasm so that you can keep on going.</v>
      </c>
      <c r="I145" s="5"/>
    </row>
    <row r="146" spans="1:9" ht="191.4" x14ac:dyDescent="0.25">
      <c r="A146" s="16"/>
      <c r="B146" s="17">
        <v>142</v>
      </c>
      <c r="C146" s="2" t="b">
        <f ca="1">IFERROR(__xludf.DUMMYFUNCTION("""COMPUTED_VALUE"""),FALSE)</f>
        <v>0</v>
      </c>
      <c r="D146" s="2">
        <f ca="1">IFERROR(__xludf.DUMMYFUNCTION("""COMPUTED_VALUE"""),200)</f>
        <v>200</v>
      </c>
      <c r="E146" s="2" t="str">
        <f ca="1">IFERROR(__xludf.DUMMYFUNCTION("""COMPUTED_VALUE"""),"The Hungry Womb")</f>
        <v>The Hungry Womb</v>
      </c>
      <c r="F146" s="2" t="str">
        <f ca="1">IFERROR(__xludf.DUMMYFUNCTION("""COMPUTED_VALUE"""),"The Works of Aomizuan")</f>
        <v>The Works of Aomizuan</v>
      </c>
      <c r="G146" s="2" t="str">
        <f ca="1">IFERROR(__xludf.DUMMYFUNCTION("""COMPUTED_VALUE"""),"Body &amp; Beauty")</f>
        <v>Body &amp; Beauty</v>
      </c>
      <c r="H146" s="2" t="str">
        <f ca="1">IFERROR(__xludf.DUMMYFUNCTION("""COMPUTED_VALUE"""),"Your womb knows what it wants, and what it wants is cum. Not only is it perfectly safe for a partner to penetrate your womb, but it is actually extremely pleasurable. What’s more, you gain a bizarre level of control over your womb... well, subconscious co"&amp;"ntrol. Your womb will reach out to envelop cocks that grow close to it, and can suckle sweetly on dicks after they’ve entered it, and when they come your womb will devotedly milk the cock of any cum that may be left over, and will suck up any jizz that mi"&amp;"ght have escaped into the rest of the pussy. 
Hm? You don’t have a womb? Don’t worry, this perk will also affect the wombs of those you have sex with. What’s that? Neither you nor your partner have wombs? That’s no problem at all—this perk will also allo"&amp;"w the deep inside of the rectum to be similarly animate, and even allows for safe penetration of the large intestine, should you have a partner with a sufficiently large cock.")</f>
        <v>Your womb knows what it wants, and what it wants is cum. Not only is it perfectly safe for a partner to penetrate your womb, but it is actually extremely pleasurable. What’s more, you gain a bizarre level of control over your womb... well, subconscious control. Your womb will reach out to envelop cocks that grow close to it, and can suckle sweetly on dicks after they’ve entered it, and when they come your womb will devotedly milk the cock of any cum that may be left over, and will suck up any jizz that might have escaped into the rest of the pussy. 
Hm? You don’t have a womb? Don’t worry, this perk will also affect the wombs of those you have sex with. What’s that? Neither you nor your partner have wombs? That’s no problem at all—this perk will also allow the deep inside of the rectum to be similarly animate, and even allows for safe penetration of the large intestine, should you have a partner with a sufficiently large cock.</v>
      </c>
      <c r="I146" s="5"/>
    </row>
    <row r="147" spans="1:9" ht="87" x14ac:dyDescent="0.25">
      <c r="A147" s="16"/>
      <c r="B147" s="17">
        <v>143</v>
      </c>
      <c r="C147" s="2" t="b">
        <f ca="1">IFERROR(__xludf.DUMMYFUNCTION("""COMPUTED_VALUE"""),FALSE)</f>
        <v>0</v>
      </c>
      <c r="D147" s="2">
        <f ca="1">IFERROR(__xludf.DUMMYFUNCTION("""COMPUTED_VALUE"""),200)</f>
        <v>200</v>
      </c>
      <c r="E147" s="2" t="str">
        <f ca="1">IFERROR(__xludf.DUMMYFUNCTION("""COMPUTED_VALUE"""),"The Mask of Eros")</f>
        <v>The Mask of Eros</v>
      </c>
      <c r="F147" s="2" t="str">
        <f ca="1">IFERROR(__xludf.DUMMYFUNCTION("""COMPUTED_VALUE"""),"Kyonyuu Fantasy")</f>
        <v>Kyonyuu Fantasy</v>
      </c>
      <c r="G147" s="2" t="str">
        <f ca="1">IFERROR(__xludf.DUMMYFUNCTION("""COMPUTED_VALUE"""),"Body &amp; Beauty")</f>
        <v>Body &amp; Beauty</v>
      </c>
      <c r="H147" s="2" t="str">
        <f ca="1">IFERROR(__xludf.DUMMYFUNCTION("""COMPUTED_VALUE"""),"This strange-looking mask conceals your identity oddly well, preventing even your closest friends and lovers from recognizing you even though all it does is cover your face. Thankfully it’s not cursed or anything so you can take it off whenever you want, "&amp;"but you’re also the only one who can do so: anyone who tries to unmask you without your permission will find that the mask refuses to budge from your face no matter how hard it’s pulled on.")</f>
        <v>This strange-looking mask conceals your identity oddly well, preventing even your closest friends and lovers from recognizing you even though all it does is cover your face. Thankfully it’s not cursed or anything so you can take it off whenever you want, but you’re also the only one who can do so: anyone who tries to unmask you without your permission will find that the mask refuses to budge from your face no matter how hard it’s pulled on.</v>
      </c>
      <c r="I147" s="5"/>
    </row>
    <row r="148" spans="1:9" ht="156.6" x14ac:dyDescent="0.25">
      <c r="A148" s="16"/>
      <c r="B148" s="17">
        <v>144</v>
      </c>
      <c r="C148" s="2" t="b">
        <f ca="1">IFERROR(__xludf.DUMMYFUNCTION("""COMPUTED_VALUE"""),FALSE)</f>
        <v>0</v>
      </c>
      <c r="D148" s="2">
        <f ca="1">IFERROR(__xludf.DUMMYFUNCTION("""COMPUTED_VALUE"""),200)</f>
        <v>200</v>
      </c>
      <c r="E148" s="2" t="str">
        <f ca="1">IFERROR(__xludf.DUMMYFUNCTION("""COMPUTED_VALUE"""),"The Milk Maid")</f>
        <v>The Milk Maid</v>
      </c>
      <c r="F148" s="2" t="str">
        <f ca="1">IFERROR(__xludf.DUMMYFUNCTION("""COMPUTED_VALUE"""),"Lewd Virus")</f>
        <v>Lewd Virus</v>
      </c>
      <c r="G148" s="2" t="str">
        <f ca="1">IFERROR(__xludf.DUMMYFUNCTION("""COMPUTED_VALUE"""),"Body &amp; Beauty")</f>
        <v>Body &amp; Beauty</v>
      </c>
      <c r="H148" s="2" t="str">
        <f ca="1">IFERROR(__xludf.DUMMYFUNCTION("""COMPUTED_VALUE"""),"The breasts of the infected grow larger and start to lactate; this serves an additional purpose, however. As it is very difficult to impregnate an infected woman, many creampies are needed, sometimes even more than the infected men can produce. The milk o"&amp;"f an infected woman, however, also serves as a powerful aphrodisiac to infected men, enabling them to function and produce more semen even when they by all rights should be drained dry. 
For you, this is a bit more versatile, as you can, at will, make an"&amp;"y of your bodily fluids function as the same sort of strong aphrodisiac, but one capable of affecting anyone regardless of infection status. Let your partners be as virile as you want them to be.")</f>
        <v>The breasts of the infected grow larger and start to lactate; this serves an additional purpose, however. As it is very difficult to impregnate an infected woman, many creampies are needed, sometimes even more than the infected men can produce. The milk of an infected woman, however, also serves as a powerful aphrodisiac to infected men, enabling them to function and produce more semen even when they by all rights should be drained dry. 
For you, this is a bit more versatile, as you can, at will, make any of your bodily fluids function as the same sort of strong aphrodisiac, but one capable of affecting anyone regardless of infection status. Let your partners be as virile as you want them to be.</v>
      </c>
      <c r="I148" s="5"/>
    </row>
    <row r="149" spans="1:9" ht="69.599999999999994" x14ac:dyDescent="0.25">
      <c r="A149" s="16"/>
      <c r="B149" s="17">
        <v>145</v>
      </c>
      <c r="C149" s="2" t="b">
        <f ca="1">IFERROR(__xludf.DUMMYFUNCTION("""COMPUTED_VALUE"""),FALSE)</f>
        <v>0</v>
      </c>
      <c r="D149" s="2">
        <f ca="1">IFERROR(__xludf.DUMMYFUNCTION("""COMPUTED_VALUE"""),200)</f>
        <v>200</v>
      </c>
      <c r="E149" s="2" t="str">
        <f ca="1">IFERROR(__xludf.DUMMYFUNCTION("""COMPUTED_VALUE"""),"The Natural Response")</f>
        <v>The Natural Response</v>
      </c>
      <c r="F149" s="2" t="str">
        <f ca="1">IFERROR(__xludf.DUMMYFUNCTION("""COMPUTED_VALUE"""),"The Works of Aomizuan")</f>
        <v>The Works of Aomizuan</v>
      </c>
      <c r="G149" s="2" t="str">
        <f ca="1">IFERROR(__xludf.DUMMYFUNCTION("""COMPUTED_VALUE"""),"Body &amp; Beauty")</f>
        <v>Body &amp; Beauty</v>
      </c>
      <c r="H149" s="2" t="str">
        <f ca="1">IFERROR(__xludf.DUMMYFUNCTION("""COMPUTED_VALUE"""),"When people you are attracted to see you naked, they have a single response; desire. This doesn’t mean they’ll act on it, but no one will ever be repulsed by suddenly finding you standing around naked, regardless of your appearance. People who see your ge"&amp;"nitals instinctively want to please them.")</f>
        <v>When people you are attracted to see you naked, they have a single response; desire. This doesn’t mean they’ll act on it, but no one will ever be repulsed by suddenly finding you standing around naked, regardless of your appearance. People who see your genitals instinctively want to please them.</v>
      </c>
      <c r="I149" s="5"/>
    </row>
    <row r="150" spans="1:9" ht="87" x14ac:dyDescent="0.25">
      <c r="A150" s="16"/>
      <c r="B150" s="17">
        <v>146</v>
      </c>
      <c r="C150" s="2" t="b">
        <f ca="1">IFERROR(__xludf.DUMMYFUNCTION("""COMPUTED_VALUE"""),FALSE)</f>
        <v>0</v>
      </c>
      <c r="D150" s="2">
        <f ca="1">IFERROR(__xludf.DUMMYFUNCTION("""COMPUTED_VALUE"""),200)</f>
        <v>200</v>
      </c>
      <c r="E150" s="2" t="str">
        <f ca="1">IFERROR(__xludf.DUMMYFUNCTION("""COMPUTED_VALUE"""),"The Pinnacle of Elven Kind")</f>
        <v>The Pinnacle of Elven Kind</v>
      </c>
      <c r="F150" s="2" t="str">
        <f ca="1">IFERROR(__xludf.DUMMYFUNCTION("""COMPUTED_VALUE"""),"High Elf x High School")</f>
        <v>High Elf x High School</v>
      </c>
      <c r="G150" s="2" t="str">
        <f ca="1">IFERROR(__xludf.DUMMYFUNCTION("""COMPUTED_VALUE"""),"Body &amp; Beauty")</f>
        <v>Body &amp; Beauty</v>
      </c>
      <c r="H150" s="2" t="str">
        <f ca="1">IFERROR(__xludf.DUMMYFUNCTION("""COMPUTED_VALUE"""),"As a high elf, you are better than the common rabble. By selectively breeding for the best traits, the high elves have become a superior subrace of elves; just as a normal elf is above a human, to the same degree are you above an ordinary elf in both magi"&amp;"c and body. But this also includes your sensitivity to pleasure. What you feel in sex can’t be compared to the sensations of other elves. Be careful that you don’t lose yourself to the thrill of another’s touch.")</f>
        <v>As a high elf, you are better than the common rabble. By selectively breeding for the best traits, the high elves have become a superior subrace of elves; just as a normal elf is above a human, to the same degree are you above an ordinary elf in both magic and body. But this also includes your sensitivity to pleasure. What you feel in sex can’t be compared to the sensations of other elves. Be careful that you don’t lose yourself to the thrill of another’s touch.</v>
      </c>
      <c r="I150" s="5"/>
    </row>
    <row r="151" spans="1:9" ht="104.4" x14ac:dyDescent="0.25">
      <c r="A151" s="16"/>
      <c r="B151" s="17">
        <v>147</v>
      </c>
      <c r="C151" s="2" t="b">
        <f ca="1">IFERROR(__xludf.DUMMYFUNCTION("""COMPUTED_VALUE"""),FALSE)</f>
        <v>0</v>
      </c>
      <c r="D151" s="2">
        <f ca="1">IFERROR(__xludf.DUMMYFUNCTION("""COMPUTED_VALUE"""),200)</f>
        <v>200</v>
      </c>
      <c r="E151" s="2" t="str">
        <f ca="1">IFERROR(__xludf.DUMMYFUNCTION("""COMPUTED_VALUE"""),"The Sweetest Denial")</f>
        <v>The Sweetest Denial</v>
      </c>
      <c r="F151" s="2" t="str">
        <f ca="1">IFERROR(__xludf.DUMMYFUNCTION("""COMPUTED_VALUE"""),"How they Fap in Parallel Worlds")</f>
        <v>How they Fap in Parallel Worlds</v>
      </c>
      <c r="G151" s="2" t="str">
        <f ca="1">IFERROR(__xludf.DUMMYFUNCTION("""COMPUTED_VALUE"""),"Body &amp; Beauty")</f>
        <v>Body &amp; Beauty</v>
      </c>
      <c r="H151" s="2" t="str">
        <f ca="1">IFERROR(__xludf.DUMMYFUNCTION("""COMPUTED_VALUE"""),"It’s an oversimplification that the naked body is all it takes to get a partner ready for action. In your case, people often find you just as attractive while fully dressed, as if you were stark naked, or in lingerie. People’s reaction to you is as if you"&amp;"’re always wearing the ideal ratio of clothes to flesh for their tastes. Even when you aren’t wearing them, your clothes somehow retain at least 80% of your sex appeal. Certain clients may even find your clothing alone more attractive than the full packag"&amp;"e. Can be toggled at will.")</f>
        <v>It’s an oversimplification that the naked body is all it takes to get a partner ready for action. In your case, people often find you just as attractive while fully dressed, as if you were stark naked, or in lingerie. People’s reaction to you is as if you’re always wearing the ideal ratio of clothes to flesh for their tastes. Even when you aren’t wearing them, your clothes somehow retain at least 80% of your sex appeal. Certain clients may even find your clothing alone more attractive than the full package. Can be toggled at will.</v>
      </c>
      <c r="I151" s="5"/>
    </row>
    <row r="152" spans="1:9" ht="121.8" x14ac:dyDescent="0.25">
      <c r="A152" s="16"/>
      <c r="B152" s="17">
        <v>148</v>
      </c>
      <c r="C152" s="2" t="b">
        <f ca="1">IFERROR(__xludf.DUMMYFUNCTION("""COMPUTED_VALUE"""),FALSE)</f>
        <v>0</v>
      </c>
      <c r="D152" s="2">
        <f ca="1">IFERROR(__xludf.DUMMYFUNCTION("""COMPUTED_VALUE"""),200)</f>
        <v>200</v>
      </c>
      <c r="E152" s="2" t="str">
        <f ca="1">IFERROR(__xludf.DUMMYFUNCTION("""COMPUTED_VALUE"""),"Trained Endurance")</f>
        <v>Trained Endurance</v>
      </c>
      <c r="F152" s="2" t="str">
        <f ca="1">IFERROR(__xludf.DUMMYFUNCTION("""COMPUTED_VALUE"""),"Monster Girl Quest V2")</f>
        <v>Monster Girl Quest V2</v>
      </c>
      <c r="G152" s="2" t="str">
        <f ca="1">IFERROR(__xludf.DUMMYFUNCTION("""COMPUTED_VALUE"""),"Body &amp; Beauty")</f>
        <v>Body &amp; Beauty</v>
      </c>
      <c r="H152" s="2" t="str">
        <f ca="1">IFERROR(__xludf.DUMMYFUNCTION("""COMPUTED_VALUE"""),"Sex in this world is a weapon, and the heroes of this world must fight against the temptation of this sin whenever they perform their duties. A hero will almost always fail to match up to a monster girl in a battle of sexual skills, however they have been"&amp;" trained to endure the sensation of flesh. You can now resist orgasm based off of a combination of your fighting spirit and durability. The exact amount is not one to one, but overall the stronger you are the more pleasure you can bear. Healing magic also"&amp;" helps regain your focus and undoes progress to your orgasm. You can selectively toggle parts of this perk if you want to simply sit back and enjoy.")</f>
        <v>Sex in this world is a weapon, and the heroes of this world must fight against the temptation of this sin whenever they perform their duties. A hero will almost always fail to match up to a monster girl in a battle of sexual skills, however they have been trained to endure the sensation of flesh. You can now resist orgasm based off of a combination of your fighting spirit and durability. The exact amount is not one to one, but overall the stronger you are the more pleasure you can bear. Healing magic also helps regain your focus and undoes progress to your orgasm. You can selectively toggle parts of this perk if you want to simply sit back and enjoy.</v>
      </c>
      <c r="I152" s="5"/>
    </row>
    <row r="153" spans="1:9" ht="104.4" x14ac:dyDescent="0.25">
      <c r="A153" s="16"/>
      <c r="B153" s="17">
        <v>149</v>
      </c>
      <c r="C153" s="2" t="b">
        <f ca="1">IFERROR(__xludf.DUMMYFUNCTION("""COMPUTED_VALUE"""),FALSE)</f>
        <v>0</v>
      </c>
      <c r="D153" s="2">
        <f ca="1">IFERROR(__xludf.DUMMYFUNCTION("""COMPUTED_VALUE"""),200)</f>
        <v>200</v>
      </c>
      <c r="E153" s="2" t="str">
        <f ca="1">IFERROR(__xludf.DUMMYFUNCTION("""COMPUTED_VALUE"""),"Training Plan")</f>
        <v>Training Plan</v>
      </c>
      <c r="F153" s="2" t="str">
        <f ca="1">IFERROR(__xludf.DUMMYFUNCTION("""COMPUTED_VALUE"""),"Boku To Nottori Nakademia")</f>
        <v>Boku To Nottori Nakademia</v>
      </c>
      <c r="G153" s="2" t="str">
        <f ca="1">IFERROR(__xludf.DUMMYFUNCTION("""COMPUTED_VALUE"""),"Body &amp; Beauty")</f>
        <v>Body &amp; Beauty</v>
      </c>
      <c r="H153" s="2" t="str">
        <f ca="1">IFERROR(__xludf.DUMMYFUNCTION("""COMPUTED_VALUE"""),"This set of papers contain a personalized diet and workout schedule, allowing you to gain a fit, temptingly athletic body with a particular focus on stamina and staying power. You could go from a string-bean to a buff stud in only a handful of months! Jus"&amp;"t make sure to stick to the plan because you’ll definitely need it!
You can change who the plan is personalised for once a year.")</f>
        <v>This set of papers contain a personalized diet and workout schedule, allowing you to gain a fit, temptingly athletic body with a particular focus on stamina and staying power. You could go from a string-bean to a buff stud in only a handful of months! Just make sure to stick to the plan because you’ll definitely need it!
You can change who the plan is personalised for once a year.</v>
      </c>
      <c r="I153" s="5"/>
    </row>
    <row r="154" spans="1:9" ht="104.4" x14ac:dyDescent="0.25">
      <c r="A154" s="16"/>
      <c r="B154" s="17">
        <v>150</v>
      </c>
      <c r="C154" s="2" t="b">
        <f ca="1">IFERROR(__xludf.DUMMYFUNCTION("""COMPUTED_VALUE"""),FALSE)</f>
        <v>0</v>
      </c>
      <c r="D154" s="2">
        <f ca="1">IFERROR(__xludf.DUMMYFUNCTION("""COMPUTED_VALUE"""),200)</f>
        <v>200</v>
      </c>
      <c r="E154" s="2" t="str">
        <f ca="1">IFERROR(__xludf.DUMMYFUNCTION("""COMPUTED_VALUE"""),"Underwear and Helmet")</f>
        <v>Underwear and Helmet</v>
      </c>
      <c r="F154" s="2" t="str">
        <f ca="1">IFERROR(__xludf.DUMMYFUNCTION("""COMPUTED_VALUE"""),"Elrk")</f>
        <v>Elrk</v>
      </c>
      <c r="G154" s="2" t="str">
        <f ca="1">IFERROR(__xludf.DUMMYFUNCTION("""COMPUTED_VALUE"""),"Body &amp; Beauty")</f>
        <v>Body &amp; Beauty</v>
      </c>
      <c r="H154" s="2" t="str">
        <f ca="1">IFERROR(__xludf.DUMMYFUNCTION("""COMPUTED_VALUE"""),"The sheer advantage even a normal Elrk has over a human is ridiculous, not to mention a Elrk that’s the child of something amazing. Even an extremely powerful adventurer would be in danger of an instant loss if the Elrk takes them seriously. That’s why yo"&amp;"u can now completely separate yourself from any and all accomplishments and reputation you might have by running around and wearing nothing but smallclothes and a helmet. Even if you don’t change your style, places of visitation, or drinking buddies, no o"&amp;"ne will believe it’s you. You would never wear... that, after all.")</f>
        <v>The sheer advantage even a normal Elrk has over a human is ridiculous, not to mention a Elrk that’s the child of something amazing. Even an extremely powerful adventurer would be in danger of an instant loss if the Elrk takes them seriously. That’s why you can now completely separate yourself from any and all accomplishments and reputation you might have by running around and wearing nothing but smallclothes and a helmet. Even if you don’t change your style, places of visitation, or drinking buddies, no one will believe it’s you. You would never wear... that, after all.</v>
      </c>
      <c r="I154" s="5"/>
    </row>
    <row r="155" spans="1:9" ht="87" x14ac:dyDescent="0.25">
      <c r="A155" s="16"/>
      <c r="B155" s="17">
        <v>151</v>
      </c>
      <c r="C155" s="2" t="b">
        <f ca="1">IFERROR(__xludf.DUMMYFUNCTION("""COMPUTED_VALUE"""),FALSE)</f>
        <v>0</v>
      </c>
      <c r="D155" s="2">
        <f ca="1">IFERROR(__xludf.DUMMYFUNCTION("""COMPUTED_VALUE"""),200)</f>
        <v>200</v>
      </c>
      <c r="E155" s="2" t="str">
        <f ca="1">IFERROR(__xludf.DUMMYFUNCTION("""COMPUTED_VALUE"""),"Where No One else has Cum Before")</f>
        <v>Where No One else has Cum Before</v>
      </c>
      <c r="F155" s="2" t="str">
        <f ca="1">IFERROR(__xludf.DUMMYFUNCTION("""COMPUTED_VALUE"""),"Generic: Lewd Science Fiction")</f>
        <v>Generic: Lewd Science Fiction</v>
      </c>
      <c r="G155" s="2" t="str">
        <f ca="1">IFERROR(__xludf.DUMMYFUNCTION("""COMPUTED_VALUE"""),"Body &amp; Beauty")</f>
        <v>Body &amp; Beauty</v>
      </c>
      <c r="H155" s="2" t="str">
        <f ca="1">IFERROR(__xludf.DUMMYFUNCTION("""COMPUTED_VALUE"""),"Protective outfits are often necessary to survive in hostile conditions comfortably, but as long as you’re wearing the most important parts you can expose some of yourself without harm. If most of your space suit is ripped away, as long as your air tank a"&amp;"nd helmet is fine you’ll be able to survive in space, or you’ll be able to unzip your pants in a toxic atmosphere to screw a Venusian without worry.")</f>
        <v>Protective outfits are often necessary to survive in hostile conditions comfortably, but as long as you’re wearing the most important parts you can expose some of yourself without harm. If most of your space suit is ripped away, as long as your air tank and helmet is fine you’ll be able to survive in space, or you’ll be able to unzip your pants in a toxic atmosphere to screw a Venusian without worry.</v>
      </c>
      <c r="I155" s="5"/>
    </row>
    <row r="156" spans="1:9" ht="104.4" x14ac:dyDescent="0.25">
      <c r="A156" s="16"/>
      <c r="B156" s="17">
        <v>152</v>
      </c>
      <c r="C156" s="2" t="b">
        <f ca="1">IFERROR(__xludf.DUMMYFUNCTION("""COMPUTED_VALUE"""),FALSE)</f>
        <v>0</v>
      </c>
      <c r="D156" s="2">
        <f ca="1">IFERROR(__xludf.DUMMYFUNCTION("""COMPUTED_VALUE"""),200)</f>
        <v>200</v>
      </c>
      <c r="E156" s="2" t="str">
        <f ca="1">IFERROR(__xludf.DUMMYFUNCTION("""COMPUTED_VALUE"""),"Wicked Cool Chain")</f>
        <v>Wicked Cool Chain</v>
      </c>
      <c r="F156" s="2" t="str">
        <f ca="1">IFERROR(__xludf.DUMMYFUNCTION("""COMPUTED_VALUE"""),"Kamikaze Kommittee Ouka")</f>
        <v>Kamikaze Kommittee Ouka</v>
      </c>
      <c r="G156" s="2" t="str">
        <f ca="1">IFERROR(__xludf.DUMMYFUNCTION("""COMPUTED_VALUE"""),"Body &amp; Beauty")</f>
        <v>Body &amp; Beauty</v>
      </c>
      <c r="H156" s="2" t="str">
        <f ca="1">IFERROR(__xludf.DUMMYFUNCTION("""COMPUTED_VALUE"""),"Some of the Gangsters around here have some awesome bling on them. You’re no stranger to this either as you now have a gold chain necklace with a pendant at the end of it. The pendant can be any style including a watch. What makes this different from othe"&amp;"r chains is the fact that it is indestructible and can be removed from your neck to be used as bindings against someone. When it’s worn, however, it has this rad ability to reduce the amount of damage you take from fists or melee weapons. How does it do t"&amp;"hat? The world may never know.")</f>
        <v>Some of the Gangsters around here have some awesome bling on them. You’re no stranger to this either as you now have a gold chain necklace with a pendant at the end of it. The pendant can be any style including a watch. What makes this different from other chains is the fact that it is indestructible and can be removed from your neck to be used as bindings against someone. When it’s worn, however, it has this rad ability to reduce the amount of damage you take from fists or melee weapons. How does it do that? The world may never know.</v>
      </c>
      <c r="I156" s="5"/>
    </row>
    <row r="157" spans="1:9" ht="400.2" x14ac:dyDescent="0.25">
      <c r="A157" s="16"/>
      <c r="B157" s="17">
        <v>153</v>
      </c>
      <c r="C157" s="2" t="b">
        <f ca="1">IFERROR(__xludf.DUMMYFUNCTION("""COMPUTED_VALUE"""),FALSE)</f>
        <v>0</v>
      </c>
      <c r="D157" s="2">
        <f ca="1">IFERROR(__xludf.DUMMYFUNCTION("""COMPUTED_VALUE"""),300)</f>
        <v>300</v>
      </c>
      <c r="E157" s="2" t="str">
        <f ca="1">IFERROR(__xludf.DUMMYFUNCTION("""COMPUTED_VALUE"""),"Binding Fluids")</f>
        <v>Binding Fluids</v>
      </c>
      <c r="F157" s="2" t="str">
        <f ca="1">IFERROR(__xludf.DUMMYFUNCTION("""COMPUTED_VALUE"""),"Futadom World")</f>
        <v>Futadom World</v>
      </c>
      <c r="G157" s="2" t="str">
        <f ca="1">IFERROR(__xludf.DUMMYFUNCTION("""COMPUTED_VALUE"""),"Body &amp; Beauty")</f>
        <v>Body &amp; Beauty</v>
      </c>
      <c r="H157" s="2" t="str">
        <f ca="1">IFERROR(__xludf.DUMMYFUNCTION("""COMPUTED_VALUE"""),"Your sexual fluids now contain binding chemicals, meaning that anyone who absorbs them, either orally, analy, or vaginaly, will become naturally more subservient, obedient, and addicted not just to your fluids but to you in particular. You also gain two o"&amp;"f the following for free, and may spend 100 CP per additional option whenever you could purchase a perk:
● Brain Food - Those you bind lose gain mental acuity despite their addition.
● Service in all its Forms - Instead of mere submission, those you bond "&amp;"will work to make you happy.
● Universal Effectiveness - Your fluids can affect those who would normally be immune to chemical agents.
● Gastric Realignment - Anyone you bind will be able to live off of your cum, whether given anally or orally.
● Diet Dri"&amp;"nk - Your bound will grow into their ideal body shape. This will not change their gender.
● Estrogen Supplements - Those you bind are increasingly feminized.
● Total Obsession - You will become increasingly more important to your bound, until there is not"&amp;"hing they will not discard from their lives to please you.
● Health Potion - Your bound will be healed by your fluids, finding themselves healthier, happier, and generally more stable than before.
● Skilled Subs - Those that you bind will learn skills at "&amp;"an increased rate. They won't be smarter, but they will be able to pick up any skill you point them at.
● Nonstandard Base - Your binding fluids aren't actually present in your cum. Instead they are in one other bodily fluid/excretion.
● Pathogen Makeup -"&amp;" Those bound to you will gain this exact version of this perk, with the exception that they cannot bind you. Those that they bind will themselves share this perk, but be unable to bind those above them. On and on, in a pyramid of binding.")</f>
        <v>Your sexual fluids now contain binding chemicals, meaning that anyone who absorbs them, either orally, analy, or vaginaly, will become naturally more subservient, obedient, and addicted not just to your fluids but to you in particular. You also gain two of the following for free, and may spend 100 CP per additional option whenever you could purchase a perk:
● Brain Food - Those you bind lose gain mental acuity despite their addition.
● Service in all its Forms - Instead of mere submission, those you bond will work to make you happy.
● Universal Effectiveness - Your fluids can affect those who would normally be immune to chemical agents.
● Gastric Realignment - Anyone you bind will be able to live off of your cum, whether given anally or orally.
● Diet Drink - Your bound will grow into their ideal body shape. This will not change their gender.
● Estrogen Supplements - Those you bind are increasingly feminized.
● Total Obsession - You will become increasingly more important to your bound, until there is nothing they will not discard from their lives to please you.
● Health Potion - Your bound will be healed by your fluids, finding themselves healthier, happier, and generally more stable than before.
● Skilled Subs - Those that you bind will learn skills at an increased rate. They won't be smarter, but they will be able to pick up any skill you point them at.
● Nonstandard Base - Your binding fluids aren't actually present in your cum. Instead they are in one other bodily fluid/excretion.
● Pathogen Makeup - Those bound to you will gain this exact version of this perk, with the exception that they cannot bind you. Those that they bind will themselves share this perk, but be unable to bind those above them. On and on, in a pyramid of binding.</v>
      </c>
      <c r="I157" s="5"/>
    </row>
    <row r="158" spans="1:9" ht="69.599999999999994" x14ac:dyDescent="0.25">
      <c r="A158" s="16"/>
      <c r="B158" s="17">
        <v>154</v>
      </c>
      <c r="C158" s="2" t="b">
        <f ca="1">IFERROR(__xludf.DUMMYFUNCTION("""COMPUTED_VALUE"""),FALSE)</f>
        <v>0</v>
      </c>
      <c r="D158" s="2">
        <f ca="1">IFERROR(__xludf.DUMMYFUNCTION("""COMPUTED_VALUE"""),300)</f>
        <v>300</v>
      </c>
      <c r="E158" s="2" t="str">
        <f ca="1">IFERROR(__xludf.DUMMYFUNCTION("""COMPUTED_VALUE"""),"Bottomless")</f>
        <v>Bottomless</v>
      </c>
      <c r="F158" s="2" t="str">
        <f ca="1">IFERROR(__xludf.DUMMYFUNCTION("""COMPUTED_VALUE"""),"Generic: Fat-Fetish")</f>
        <v>Generic: Fat-Fetish</v>
      </c>
      <c r="G158" s="2" t="str">
        <f ca="1">IFERROR(__xludf.DUMMYFUNCTION("""COMPUTED_VALUE"""),"Body &amp; Beauty")</f>
        <v>Body &amp; Beauty</v>
      </c>
      <c r="H158" s="2" t="str">
        <f ca="1">IFERROR(__xludf.DUMMYFUNCTION("""COMPUTED_VALUE"""),"The problem with eating? You eventually have to stop. Well, not anymore! Eat, eat to your heart’s content whenever you want to whatever extent you care to. While this Perk may not provide the infinite bounty you can now consume, it will allow you to handi"&amp;"ly win any eating contest you could ever enter. Also, your belly will never ‘pop,’ regardless of how much you eat.")</f>
        <v>The problem with eating? You eventually have to stop. Well, not anymore! Eat, eat to your heart’s content whenever you want to whatever extent you care to. While this Perk may not provide the infinite bounty you can now consume, it will allow you to handily win any eating contest you could ever enter. Also, your belly will never ‘pop,’ regardless of how much you eat.</v>
      </c>
      <c r="I158" s="5"/>
    </row>
    <row r="159" spans="1:9" ht="69.599999999999994" x14ac:dyDescent="0.25">
      <c r="A159" s="16"/>
      <c r="B159" s="17">
        <v>155</v>
      </c>
      <c r="C159" s="2" t="b">
        <f ca="1">IFERROR(__xludf.DUMMYFUNCTION("""COMPUTED_VALUE"""),FALSE)</f>
        <v>0</v>
      </c>
      <c r="D159" s="2">
        <f ca="1">IFERROR(__xludf.DUMMYFUNCTION("""COMPUTED_VALUE"""),300)</f>
        <v>300</v>
      </c>
      <c r="E159" s="2" t="str">
        <f ca="1">IFERROR(__xludf.DUMMYFUNCTION("""COMPUTED_VALUE"""),"Boundless Love")</f>
        <v>Boundless Love</v>
      </c>
      <c r="F159" s="2" t="str">
        <f ca="1">IFERROR(__xludf.DUMMYFUNCTION("""COMPUTED_VALUE"""),"Earth Girls")</f>
        <v>Earth Girls</v>
      </c>
      <c r="G159" s="2" t="str">
        <f ca="1">IFERROR(__xludf.DUMMYFUNCTION("""COMPUTED_VALUE"""),"Body &amp; Beauty")</f>
        <v>Body &amp; Beauty</v>
      </c>
      <c r="H159" s="2" t="str">
        <f ca="1">IFERROR(__xludf.DUMMYFUNCTION("""COMPUTED_VALUE"""),"Your partners are the first to say it: you have too much love for just one partner to handle. You have an astonishing stamina and ability to express your love, enough to give fifty or even a hundred people each the same amount of love and affection as a n"&amp;"ormal person would give their partner. Or satisfy one person with an especially legendary hunger.")</f>
        <v>Your partners are the first to say it: you have too much love for just one partner to handle. You have an astonishing stamina and ability to express your love, enough to give fifty or even a hundred people each the same amount of love and affection as a normal person would give their partner. Or satisfy one person with an especially legendary hunger.</v>
      </c>
      <c r="I159" s="5"/>
    </row>
    <row r="160" spans="1:9" ht="87" x14ac:dyDescent="0.25">
      <c r="A160" s="16"/>
      <c r="B160" s="17">
        <v>156</v>
      </c>
      <c r="C160" s="2" t="b">
        <f ca="1">IFERROR(__xludf.DUMMYFUNCTION("""COMPUTED_VALUE"""),FALSE)</f>
        <v>0</v>
      </c>
      <c r="D160" s="2">
        <f ca="1">IFERROR(__xludf.DUMMYFUNCTION("""COMPUTED_VALUE"""),300)</f>
        <v>300</v>
      </c>
      <c r="E160" s="2" t="str">
        <f ca="1">IFERROR(__xludf.DUMMYFUNCTION("""COMPUTED_VALUE"""),"Counter Attack")</f>
        <v>Counter Attack</v>
      </c>
      <c r="F160" s="2" t="str">
        <f ca="1">IFERROR(__xludf.DUMMYFUNCTION("""COMPUTED_VALUE"""),"Smash Bros XXXtreme")</f>
        <v>Smash Bros XXXtreme</v>
      </c>
      <c r="G160" s="2" t="str">
        <f ca="1">IFERROR(__xludf.DUMMYFUNCTION("""COMPUTED_VALUE"""),"Body &amp; Beauty")</f>
        <v>Body &amp; Beauty</v>
      </c>
      <c r="H160" s="2" t="str">
        <f ca="1">IFERROR(__xludf.DUMMYFUNCTION("""COMPUTED_VALUE"""),"It turns out that you’re stupidly flexible. Not just in the sense that you can successfully pull off some off the wilder positions to have sex in, but in a more violent way. And by that I mean that you could potentially suplex someone via the hold you hav"&amp;"e on them... from their dick being inside you. Oh, and they’d land in the perfect position for them to eat you out - or for you to eat them out if you wanted. Crazy, right?")</f>
        <v>It turns out that you’re stupidly flexible. Not just in the sense that you can successfully pull off some off the wilder positions to have sex in, but in a more violent way. And by that I mean that you could potentially suplex someone via the hold you have on them... from their dick being inside you. Oh, and they’d land in the perfect position for them to eat you out - or for you to eat them out if you wanted. Crazy, right?</v>
      </c>
      <c r="I160" s="5"/>
    </row>
    <row r="161" spans="1:9" ht="121.8" x14ac:dyDescent="0.25">
      <c r="A161" s="16"/>
      <c r="B161" s="17">
        <v>157</v>
      </c>
      <c r="C161" s="2" t="b">
        <f ca="1">IFERROR(__xludf.DUMMYFUNCTION("""COMPUTED_VALUE"""),FALSE)</f>
        <v>0</v>
      </c>
      <c r="D161" s="2">
        <f ca="1">IFERROR(__xludf.DUMMYFUNCTION("""COMPUTED_VALUE"""),300)</f>
        <v>300</v>
      </c>
      <c r="E161" s="2" t="str">
        <f ca="1">IFERROR(__xludf.DUMMYFUNCTION("""COMPUTED_VALUE"""),"Dilf / Milf")</f>
        <v>Dilf / Milf</v>
      </c>
      <c r="F161" s="2" t="str">
        <f ca="1">IFERROR(__xludf.DUMMYFUNCTION("""COMPUTED_VALUE"""),"Submission Sailor Moon")</f>
        <v>Submission Sailor Moon</v>
      </c>
      <c r="G161" s="2" t="str">
        <f ca="1">IFERROR(__xludf.DUMMYFUNCTION("""COMPUTED_VALUE"""),"Body &amp; Beauty")</f>
        <v>Body &amp; Beauty</v>
      </c>
      <c r="H161" s="2" t="str">
        <f ca="1">IFERROR(__xludf.DUMMYFUNCTION("""COMPUTED_VALUE"""),"Most people wither as they get older, losing their health and succumbing to frailty and impotence in old age. But you hit the jackpot on the genetic lottery: not only are you handsome and virile but you age like fine wine, only becoming even more handsome"&amp;" and dignified with age and never losing the vitality of your youth even in middle age or your twilight years. You’re also immune to the usual frailties and illnesses of old age, especially impotence or menopause. While you aren’t exactly immortal it’s de"&amp;"eply unlikely that you’ll ever die of old age; you’re almost certain to set records for oldest living human and you’ll continue to look great and feel great all the while.")</f>
        <v>Most people wither as they get older, losing their health and succumbing to frailty and impotence in old age. But you hit the jackpot on the genetic lottery: not only are you handsome and virile but you age like fine wine, only becoming even more handsome and dignified with age and never losing the vitality of your youth even in middle age or your twilight years. You’re also immune to the usual frailties and illnesses of old age, especially impotence or menopause. While you aren’t exactly immortal it’s deeply unlikely that you’ll ever die of old age; you’re almost certain to set records for oldest living human and you’ll continue to look great and feel great all the while.</v>
      </c>
      <c r="I161" s="5"/>
    </row>
    <row r="162" spans="1:9" ht="87" x14ac:dyDescent="0.25">
      <c r="A162" s="16"/>
      <c r="B162" s="17">
        <v>158</v>
      </c>
      <c r="C162" s="2" t="b">
        <f ca="1">IFERROR(__xludf.DUMMYFUNCTION("""COMPUTED_VALUE"""),FALSE)</f>
        <v>0</v>
      </c>
      <c r="D162" s="2">
        <f ca="1">IFERROR(__xludf.DUMMYFUNCTION("""COMPUTED_VALUE"""),300)</f>
        <v>300</v>
      </c>
      <c r="E162" s="2" t="str">
        <f ca="1">IFERROR(__xludf.DUMMYFUNCTION("""COMPUTED_VALUE"""),"Dirty Tricks")</f>
        <v>Dirty Tricks</v>
      </c>
      <c r="F162" s="2" t="str">
        <f ca="1">IFERROR(__xludf.DUMMYFUNCTION("""COMPUTED_VALUE"""),"School Girls Vs Elite Teacher Shinobu Jump")</f>
        <v>School Girls Vs Elite Teacher Shinobu Jump</v>
      </c>
      <c r="G162" s="2" t="str">
        <f ca="1">IFERROR(__xludf.DUMMYFUNCTION("""COMPUTED_VALUE"""),"Body &amp; Beauty")</f>
        <v>Body &amp; Beauty</v>
      </c>
      <c r="H162" s="2" t="str">
        <f ca="1">IFERROR(__xludf.DUMMYFUNCTION("""COMPUTED_VALUE"""),"Heh, corruption in a different sense. If you’re attractive enough, you can get away with all kinds of things and you’ve quite the talent for doing just that. Bribe a teacher in exchange for a glimpse at your panties, have someone ‘lend’ you money with a s"&amp;"mile or put someone in all kinds of erotically compromising situations with a bit of acting.")</f>
        <v>Heh, corruption in a different sense. If you’re attractive enough, you can get away with all kinds of things and you’ve quite the talent for doing just that. Bribe a teacher in exchange for a glimpse at your panties, have someone ‘lend’ you money with a smile or put someone in all kinds of erotically compromising situations with a bit of acting.</v>
      </c>
      <c r="I162" s="5"/>
    </row>
    <row r="163" spans="1:9" ht="104.4" x14ac:dyDescent="0.25">
      <c r="A163" s="16"/>
      <c r="B163" s="17">
        <v>159</v>
      </c>
      <c r="C163" s="2" t="b">
        <f ca="1">IFERROR(__xludf.DUMMYFUNCTION("""COMPUTED_VALUE"""),FALSE)</f>
        <v>0</v>
      </c>
      <c r="D163" s="2">
        <f ca="1">IFERROR(__xludf.DUMMYFUNCTION("""COMPUTED_VALUE"""),300)</f>
        <v>300</v>
      </c>
      <c r="E163" s="2" t="str">
        <f ca="1">IFERROR(__xludf.DUMMYFUNCTION("""COMPUTED_VALUE"""),"Forbidden Fruit")</f>
        <v>Forbidden Fruit</v>
      </c>
      <c r="F163" s="2" t="str">
        <f ca="1">IFERROR(__xludf.DUMMYFUNCTION("""COMPUTED_VALUE"""),"Boku To Nottori Nakademia")</f>
        <v>Boku To Nottori Nakademia</v>
      </c>
      <c r="G163" s="2" t="str">
        <f ca="1">IFERROR(__xludf.DUMMYFUNCTION("""COMPUTED_VALUE"""),"Body &amp; Beauty")</f>
        <v>Body &amp; Beauty</v>
      </c>
      <c r="H163" s="2" t="str">
        <f ca="1">IFERROR(__xludf.DUMMYFUNCTION("""COMPUTED_VALUE"""),"It’s oftentimes the most taboo that’s the most pleasurable and that’s never been more true then when it comes to you. You don’t just look nice, having sex with you is a full sensory experience that’s sure to drive all but the most iron-willed of studs abs"&amp;"olutely wild. Your touch feels like the softest of velvet and sets nerves alight with sensitivity, your smell is full of pheromones capable of activating the primal mating instincts of your partners and your taste is even more so as well as being lewdly d"&amp;"elicious to boot.")</f>
        <v>It’s oftentimes the most taboo that’s the most pleasurable and that’s never been more true then when it comes to you. You don’t just look nice, having sex with you is a full sensory experience that’s sure to drive all but the most iron-willed of studs absolutely wild. Your touch feels like the softest of velvet and sets nerves alight with sensitivity, your smell is full of pheromones capable of activating the primal mating instincts of your partners and your taste is even more so as well as being lewdly delicious to boot.</v>
      </c>
      <c r="I163" s="5"/>
    </row>
    <row r="164" spans="1:9" ht="104.4" x14ac:dyDescent="0.25">
      <c r="A164" s="16"/>
      <c r="B164" s="17">
        <v>160</v>
      </c>
      <c r="C164" s="2" t="b">
        <f ca="1">IFERROR(__xludf.DUMMYFUNCTION("""COMPUTED_VALUE"""),FALSE)</f>
        <v>0</v>
      </c>
      <c r="D164" s="2">
        <f ca="1">IFERROR(__xludf.DUMMYFUNCTION("""COMPUTED_VALUE"""),300)</f>
        <v>300</v>
      </c>
      <c r="E164" s="2" t="str">
        <f ca="1">IFERROR(__xludf.DUMMYFUNCTION("""COMPUTED_VALUE"""),"Gold Bra and Panties")</f>
        <v>Gold Bra and Panties</v>
      </c>
      <c r="F164" s="2" t="str">
        <f ca="1">IFERROR(__xludf.DUMMYFUNCTION("""COMPUTED_VALUE"""),"Omega Labyrinth: Life")</f>
        <v>Omega Labyrinth: Life</v>
      </c>
      <c r="G164" s="2" t="str">
        <f ca="1">IFERROR(__xludf.DUMMYFUNCTION("""COMPUTED_VALUE"""),"Body &amp; Beauty")</f>
        <v>Body &amp; Beauty</v>
      </c>
      <c r="H164" s="2" t="str">
        <f ca="1">IFERROR(__xludf.DUMMYFUNCTION("""COMPUTED_VALUE"""),"Yes, this is in fact a bra and panty set made of pure gold. But far from being uncomfortable, it fits you like a glove of the softest angel down no matter your proportions and will support even the absurdly large. Ensuring that your endowments stay perky "&amp;"and presentable. What’s more, for covering so little of you by itself, the set protects you about as well as a suit of chainmail while also boating a fair bit of magic resistance. Never let ‘protection’ come between you and fashion again! And yes, this co"&amp;"uld be a set of boxers, briefs, etc if you want this and you’re a man.")</f>
        <v>Yes, this is in fact a bra and panty set made of pure gold. But far from being uncomfortable, it fits you like a glove of the softest angel down no matter your proportions and will support even the absurdly large. Ensuring that your endowments stay perky and presentable. What’s more, for covering so little of you by itself, the set protects you about as well as a suit of chainmail while also boating a fair bit of magic resistance. Never let ‘protection’ come between you and fashion again! And yes, this could be a set of boxers, briefs, etc if you want this and you’re a man.</v>
      </c>
      <c r="I164" s="5"/>
    </row>
    <row r="165" spans="1:9" ht="313.2" x14ac:dyDescent="0.25">
      <c r="A165" s="16"/>
      <c r="B165" s="17">
        <v>161</v>
      </c>
      <c r="C165" s="2" t="b">
        <f ca="1">IFERROR(__xludf.DUMMYFUNCTION("""COMPUTED_VALUE"""),FALSE)</f>
        <v>0</v>
      </c>
      <c r="D165" s="2">
        <f ca="1">IFERROR(__xludf.DUMMYFUNCTION("""COMPUTED_VALUE"""),300)</f>
        <v>300</v>
      </c>
      <c r="E165" s="2" t="str">
        <f ca="1">IFERROR(__xludf.DUMMYFUNCTION("""COMPUTED_VALUE"""),"Microsurgeon Immune Booster")</f>
        <v>Microsurgeon Immune Booster</v>
      </c>
      <c r="F165" s="2" t="str">
        <f ca="1">IFERROR(__xludf.DUMMYFUNCTION("""COMPUTED_VALUE"""),"Trials In Tainted Space")</f>
        <v>Trials In Tainted Space</v>
      </c>
      <c r="G165" s="2" t="str">
        <f ca="1">IFERROR(__xludf.DUMMYFUNCTION("""COMPUTED_VALUE"""),"Body &amp; Beauty")</f>
        <v>Body &amp; Beauty</v>
      </c>
      <c r="H165" s="2" t="str">
        <f ca="1">IFERROR(__xludf.DUMMYFUNCTION("""COMPUTED_VALUE"""),"Victor Steele describes this best: “Those micro-scale bots will reproduce in your body and safeguard it from some of the worst the universe can throw at you. They aren’t perfect, and more benign infections might slip through, but they’ll keep you from cat"&amp;"ching rot lung from a Trinerian. A word of caution: they’ll help you digest things that would normally be impossible for a human, but they’ll splice you to do it. You eat the wrong native foods, and you’ll wind up looking like a native. You might even sta"&amp;"rt to feel like one, mentally. I’m told it’s like forced, convergent evolution. Point is, it isn’t perfect. Relying on it too often will build up too much Taint in your system, and you’re better off avoiding that.” But even if you do gain some Taint, unti"&amp;"l you reach the point of no-return, you can still slowly recover from whatever Taint you have. In addition, if you do become infected by some bug that manages to make it through the microsurgeons undetected, a skilled medical professional with the appropr"&amp;"iate tools can scan you for the mystery bug, and update the microsurgeons to address the issue. Not everyone wants to go through Furpies, right?
You gain five replenishing doses of these marvellous machines. Anyone with these will also benefit from enhan"&amp;"ced health, and if they encounter the right stimuli, can also induce transformations. If you have a Database of TFs, all Microbots can link to it, and provide data on transformations undertaken. They can then use those recorded transformations from the Da"&amp;"tabase to cause them at will.")</f>
        <v>Victor Steele describes this best: “Those micro-scale bots will reproduce in your body and safeguard it from some of the worst the universe can throw at you. They aren’t perfect, and more benign infections might slip through, but they’ll keep you from catching rot lung from a Trinerian. A word of caution: they’ll help you digest things that would normally be impossible for a human, but they’ll splice you to do it. You eat the wrong native foods, and you’ll wind up looking like a native. You might even start to feel like one, mentally. I’m told it’s like forced, convergent evolution. Point is, it isn’t perfect. Relying on it too often will build up too much Taint in your system, and you’re better off avoiding that.” But even if you do gain some Taint, until you reach the point of no-return, you can still slowly recover from whatever Taint you have. In addition, if you do become infected by some bug that manages to make it through the microsurgeons undetected, a skilled medical professional with the appropriate tools can scan you for the mystery bug, and update the microsurgeons to address the issue. Not everyone wants to go through Furpies, right?
You gain five replenishing doses of these marvellous machines. Anyone with these will also benefit from enhanced health, and if they encounter the right stimuli, can also induce transformations. If you have a Database of TFs, all Microbots can link to it, and provide data on transformations undertaken. They can then use those recorded transformations from the Database to cause them at will.</v>
      </c>
      <c r="I165" s="5"/>
    </row>
    <row r="166" spans="1:9" ht="87" x14ac:dyDescent="0.25">
      <c r="A166" s="16"/>
      <c r="B166" s="17">
        <v>162</v>
      </c>
      <c r="C166" s="2" t="b">
        <f ca="1">IFERROR(__xludf.DUMMYFUNCTION("""COMPUTED_VALUE"""),FALSE)</f>
        <v>0</v>
      </c>
      <c r="D166" s="2">
        <f ca="1">IFERROR(__xludf.DUMMYFUNCTION("""COMPUTED_VALUE"""),300)</f>
        <v>300</v>
      </c>
      <c r="E166" s="2" t="str">
        <f ca="1">IFERROR(__xludf.DUMMYFUNCTION("""COMPUTED_VALUE"""),"Nudity is Fine for Beautiful People")</f>
        <v>Nudity is Fine for Beautiful People</v>
      </c>
      <c r="F166" s="2" t="str">
        <f ca="1">IFERROR(__xludf.DUMMYFUNCTION("""COMPUTED_VALUE"""),"Succubi’s Supporter")</f>
        <v>Succubi’s Supporter</v>
      </c>
      <c r="G166" s="2" t="str">
        <f ca="1">IFERROR(__xludf.DUMMYFUNCTION("""COMPUTED_VALUE"""),"Body &amp; Beauty")</f>
        <v>Body &amp; Beauty</v>
      </c>
      <c r="H166" s="2" t="str">
        <f ca="1">IFERROR(__xludf.DUMMYFUNCTION("""COMPUTED_VALUE"""),"The more attractive you are—be it due to physical appearance or social status, such as being a pure-blooded human—the more acceptable other people find you being naked. Oh, this doesn’t normalize it—people will still blush and stare and be aroused—but it "&amp;"does make it permissible, even from a legal standpoint, so no one will object if you go naked in the halls of an official organization or walk naked down the street.")</f>
        <v>The more attractive you are—be it due to physical appearance or social status, such as being a pure-blooded human—the more acceptable other people find you being naked. Oh, this doesn’t normalize it—people will still blush and stare and be aroused—but it does make it permissible, even from a legal standpoint, so no one will object if you go naked in the halls of an official organization or walk naked down the street.</v>
      </c>
      <c r="I166" s="5"/>
    </row>
    <row r="167" spans="1:9" ht="156.6" x14ac:dyDescent="0.25">
      <c r="A167" s="16"/>
      <c r="B167" s="17">
        <v>163</v>
      </c>
      <c r="C167" s="2" t="b">
        <f ca="1">IFERROR(__xludf.DUMMYFUNCTION("""COMPUTED_VALUE"""),FALSE)</f>
        <v>0</v>
      </c>
      <c r="D167" s="2">
        <f ca="1">IFERROR(__xludf.DUMMYFUNCTION("""COMPUTED_VALUE"""),300)</f>
        <v>300</v>
      </c>
      <c r="E167" s="2" t="str">
        <f ca="1">IFERROR(__xludf.DUMMYFUNCTION("""COMPUTED_VALUE"""),"Orgy-Ready")</f>
        <v>Orgy-Ready</v>
      </c>
      <c r="F167" s="2" t="str">
        <f ca="1">IFERROR(__xludf.DUMMYFUNCTION("""COMPUTED_VALUE"""),"Generic: QQ")</f>
        <v>Generic: QQ</v>
      </c>
      <c r="G167" s="2" t="str">
        <f ca="1">IFERROR(__xludf.DUMMYFUNCTION("""COMPUTED_VALUE"""),"Body &amp; Beauty")</f>
        <v>Body &amp; Beauty</v>
      </c>
      <c r="H167" s="2" t="str">
        <f ca="1">IFERROR(__xludf.DUMMYFUNCTION("""COMPUTED_VALUE"""),"Endurance and pacing are important to complete a quest. They’re also useful in other endeavors. In that note, you have several times as much stamina, and it recovers much faster. This isn’t just physical stamina, but also mental stamina. You can write for"&amp;" far longer, and your five-minute coffee break refreshes you equivalent to a three-hour nap.
And yes, that applies directly to sex as well. You can go several rounds back to back before needing a quick break to get back in the fun.
This also makes you b"&amp;"etter at scheduling and pacing.")</f>
        <v>Endurance and pacing are important to complete a quest. They’re also useful in other endeavors. In that note, you have several times as much stamina, and it recovers much faster. This isn’t just physical stamina, but also mental stamina. You can write for far longer, and your five-minute coffee break refreshes you equivalent to a three-hour nap.
And yes, that applies directly to sex as well. You can go several rounds back to back before needing a quick break to get back in the fun.
This also makes you better at scheduling and pacing.</v>
      </c>
      <c r="I167" s="5"/>
    </row>
    <row r="168" spans="1:9" ht="104.4" x14ac:dyDescent="0.25">
      <c r="A168" s="16"/>
      <c r="B168" s="17">
        <v>164</v>
      </c>
      <c r="C168" s="2" t="b">
        <f ca="1">IFERROR(__xludf.DUMMYFUNCTION("""COMPUTED_VALUE"""),FALSE)</f>
        <v>0</v>
      </c>
      <c r="D168" s="2">
        <f ca="1">IFERROR(__xludf.DUMMYFUNCTION("""COMPUTED_VALUE"""),300)</f>
        <v>300</v>
      </c>
      <c r="E168" s="2" t="str">
        <f ca="1">IFERROR(__xludf.DUMMYFUNCTION("""COMPUTED_VALUE"""),"Overdrive Accessories")</f>
        <v>Overdrive Accessories</v>
      </c>
      <c r="F168" s="2" t="str">
        <f ca="1">IFERROR(__xludf.DUMMYFUNCTION("""COMPUTED_VALUE"""),"Nyakumi")</f>
        <v>Nyakumi</v>
      </c>
      <c r="G168" s="2" t="str">
        <f ca="1">IFERROR(__xludf.DUMMYFUNCTION("""COMPUTED_VALUE"""),"Body &amp; Beauty")</f>
        <v>Body &amp; Beauty</v>
      </c>
      <c r="H168" s="2" t="str">
        <f ca="1">IFERROR(__xludf.DUMMYFUNCTION("""COMPUTED_VALUE"""),"Like all FTF members, you have a set of accessories in the form of a small ridge running along your spine, a choker, and a pair of removable full-arm gauntlets. They can be activated to grant you a temporary boost of strength and speed, allowing you to ac"&amp;"t (and fuck) with superhuman ability while the effect lasts. Of course, you’ll collapse in an exhausted heap once it ends, so be sure to make it count. As a bonus, you can use them to get substances potions into your system without needing to drink them.")</f>
        <v>Like all FTF members, you have a set of accessories in the form of a small ridge running along your spine, a choker, and a pair of removable full-arm gauntlets. They can be activated to grant you a temporary boost of strength and speed, allowing you to act (and fuck) with superhuman ability while the effect lasts. Of course, you’ll collapse in an exhausted heap once it ends, so be sure to make it count. As a bonus, you can use them to get substances potions into your system without needing to drink them.</v>
      </c>
      <c r="I168" s="5"/>
    </row>
    <row r="169" spans="1:9" ht="104.4" x14ac:dyDescent="0.25">
      <c r="A169" s="16"/>
      <c r="B169" s="17">
        <v>165</v>
      </c>
      <c r="C169" s="2" t="b">
        <f ca="1">IFERROR(__xludf.DUMMYFUNCTION("""COMPUTED_VALUE"""),FALSE)</f>
        <v>0</v>
      </c>
      <c r="D169" s="2">
        <f ca="1">IFERROR(__xludf.DUMMYFUNCTION("""COMPUTED_VALUE"""),300)</f>
        <v>300</v>
      </c>
      <c r="E169" s="2" t="str">
        <f ca="1">IFERROR(__xludf.DUMMYFUNCTION("""COMPUTED_VALUE"""),"Pamper Me, Onii-chan~")</f>
        <v>Pamper Me, Onii-chan~</v>
      </c>
      <c r="F169" s="2" t="str">
        <f ca="1">IFERROR(__xludf.DUMMYFUNCTION("""COMPUTED_VALUE"""),"Shiritsu Risshin Gakuen")</f>
        <v>Shiritsu Risshin Gakuen</v>
      </c>
      <c r="G169" s="2" t="str">
        <f ca="1">IFERROR(__xludf.DUMMYFUNCTION("""COMPUTED_VALUE"""),"Body &amp; Beauty")</f>
        <v>Body &amp; Beauty</v>
      </c>
      <c r="H169" s="2" t="str">
        <f ca="1">IFERROR(__xludf.DUMMYFUNCTION("""COMPUTED_VALUE"""),"Some are elegant and dignified. Some are wanton harlots. You are the cute and adorable type of individual. Individuals just want to protect you and care for you. Whenever you are in trouble, someone will be there to protect you. They won’t throw their lif"&amp;"e away for you, but they’ll risk injury to ensure you live. Having trouble solving something? A kind stranger may have the answer and is willing to give it to you without any cost. Even that old curmudgeon will give you advice without any snark. How nice "&amp;"of him~.")</f>
        <v>Some are elegant and dignified. Some are wanton harlots. You are the cute and adorable type of individual. Individuals just want to protect you and care for you. Whenever you are in trouble, someone will be there to protect you. They won’t throw their life away for you, but they’ll risk injury to ensure you live. Having trouble solving something? A kind stranger may have the answer and is willing to give it to you without any cost. Even that old curmudgeon will give you advice without any snark. How nice of him~.</v>
      </c>
      <c r="I169" s="5"/>
    </row>
    <row r="170" spans="1:9" ht="104.4" x14ac:dyDescent="0.25">
      <c r="A170" s="16"/>
      <c r="B170" s="17">
        <v>166</v>
      </c>
      <c r="C170" s="2" t="b">
        <f ca="1">IFERROR(__xludf.DUMMYFUNCTION("""COMPUTED_VALUE"""),FALSE)</f>
        <v>0</v>
      </c>
      <c r="D170" s="2">
        <f ca="1">IFERROR(__xludf.DUMMYFUNCTION("""COMPUTED_VALUE"""),300)</f>
        <v>300</v>
      </c>
      <c r="E170" s="2" t="str">
        <f ca="1">IFERROR(__xludf.DUMMYFUNCTION("""COMPUTED_VALUE"""),"Purity")</f>
        <v>Purity</v>
      </c>
      <c r="F170" s="2" t="str">
        <f ca="1">IFERROR(__xludf.DUMMYFUNCTION("""COMPUTED_VALUE"""),"Taimanin")</f>
        <v>Taimanin</v>
      </c>
      <c r="G170" s="2" t="str">
        <f ca="1">IFERROR(__xludf.DUMMYFUNCTION("""COMPUTED_VALUE"""),"Body &amp; Beauty")</f>
        <v>Body &amp; Beauty</v>
      </c>
      <c r="H170" s="2" t="str">
        <f ca="1">IFERROR(__xludf.DUMMYFUNCTION("""COMPUTED_VALUE"""),"Unlike most others here, you will not fall to the corruption endemic in this realm. Your body, mind and soul all slowly repel and repair corruption in all its forms and you possess a strong resistance to any that does reach you. Additionally, any demonic "&amp;"perk or item can be adjusted to become a ‘pure darkness’ over time, as if a fallen angel is reminded of its heavenly past.
You may toggle the effects of this perk.")</f>
        <v>Unlike most others here, you will not fall to the corruption endemic in this realm. Your body, mind and soul all slowly repel and repair corruption in all its forms and you possess a strong resistance to any that does reach you. Additionally, any demonic perk or item can be adjusted to become a ‘pure darkness’ over time, as if a fallen angel is reminded of its heavenly past.
You may toggle the effects of this perk.</v>
      </c>
      <c r="I170" s="5"/>
    </row>
    <row r="171" spans="1:9" ht="87" x14ac:dyDescent="0.25">
      <c r="A171" s="16"/>
      <c r="B171" s="17">
        <v>167</v>
      </c>
      <c r="C171" s="2" t="b">
        <f ca="1">IFERROR(__xludf.DUMMYFUNCTION("""COMPUTED_VALUE"""),FALSE)</f>
        <v>0</v>
      </c>
      <c r="D171" s="2">
        <f ca="1">IFERROR(__xludf.DUMMYFUNCTION("""COMPUTED_VALUE"""),300)</f>
        <v>300</v>
      </c>
      <c r="E171" s="2" t="str">
        <f ca="1">IFERROR(__xludf.DUMMYFUNCTION("""COMPUTED_VALUE"""),"Sensorflesh")</f>
        <v>Sensorflesh</v>
      </c>
      <c r="F171" s="2" t="str">
        <f ca="1">IFERROR(__xludf.DUMMYFUNCTION("""COMPUTED_VALUE"""),"Slimy Sextet")</f>
        <v>Slimy Sextet</v>
      </c>
      <c r="G171" s="2" t="str">
        <f ca="1">IFERROR(__xludf.DUMMYFUNCTION("""COMPUTED_VALUE"""),"Body &amp; Beauty")</f>
        <v>Body &amp; Beauty</v>
      </c>
      <c r="H171" s="2" t="str">
        <f ca="1">IFERROR(__xludf.DUMMYFUNCTION("""COMPUTED_VALUE"""),"Each and every cell in your entire body functions as though it had a full suite of human sensory organs, plus all supernatural senses you have. Your perceptive abilities are vastly improved, and can perceive the world in every direction; indeed, your mind"&amp;" is improved such that you can properly handle all this sensory input. You can toggle this off or dial it down for each individual sense, in case the experience of tasting with your feet becomes too much.")</f>
        <v>Each and every cell in your entire body functions as though it had a full suite of human sensory organs, plus all supernatural senses you have. Your perceptive abilities are vastly improved, and can perceive the world in every direction; indeed, your mind is improved such that you can properly handle all this sensory input. You can toggle this off or dial it down for each individual sense, in case the experience of tasting with your feet becomes too much.</v>
      </c>
      <c r="I171" s="5"/>
    </row>
    <row r="172" spans="1:9" ht="174" x14ac:dyDescent="0.25">
      <c r="A172" s="16"/>
      <c r="B172" s="17">
        <v>168</v>
      </c>
      <c r="C172" s="2" t="b">
        <f ca="1">IFERROR(__xludf.DUMMYFUNCTION("""COMPUTED_VALUE"""),FALSE)</f>
        <v>0</v>
      </c>
      <c r="D172" s="2">
        <f ca="1">IFERROR(__xludf.DUMMYFUNCTION("""COMPUTED_VALUE"""),300)</f>
        <v>300</v>
      </c>
      <c r="E172" s="2" t="str">
        <f ca="1">IFERROR(__xludf.DUMMYFUNCTION("""COMPUTED_VALUE"""),"Sexual Predator")</f>
        <v>Sexual Predator</v>
      </c>
      <c r="F172" s="2" t="str">
        <f ca="1">IFERROR(__xludf.DUMMYFUNCTION("""COMPUTED_VALUE"""),"Majuu Purification Girl Utea")</f>
        <v>Majuu Purification Girl Utea</v>
      </c>
      <c r="G172" s="2" t="str">
        <f ca="1">IFERROR(__xludf.DUMMYFUNCTION("""COMPUTED_VALUE"""),"Body &amp; Beauty")</f>
        <v>Body &amp; Beauty</v>
      </c>
      <c r="H172" s="2" t="str">
        <f ca="1">IFERROR(__xludf.DUMMYFUNCTION("""COMPUTED_VALUE"""),"The injuu may not be great warriors but they’re still dangerous enough that magical girls are the only ones who can reliably deal with them in battle. You’re a natural apex predator with all the skill and cunning of a beast on the prowl. Fighting comes to"&amp;" you as instinctively as fucking, in fact they’re almost the same thing to you, and your skill at one translates easily into the other. As your sexual prowess grows you’ll find your strength, reflexes, fortitude, and raw combat skill growing along with it"&amp;", making you much more dangerous both in bed and on the battlefield. Your stealth and ambush tactics are especially fearsome and when you get the drop on someone your first attack is always a guaranteed critical success which punches straight through your"&amp;" prey’s defenses. You might not be able to one-shot a magical girl if she’s too strong for you, but you can definitely tag her with a big dose of aphrodisiac poison or pin her with a surprise tentacle hug.")</f>
        <v>The injuu may not be great warriors but they’re still dangerous enough that magical girls are the only ones who can reliably deal with them in battle. You’re a natural apex predator with all the skill and cunning of a beast on the prowl. Fighting comes to you as instinctively as fucking, in fact they’re almost the same thing to you, and your skill at one translates easily into the other. As your sexual prowess grows you’ll find your strength, reflexes, fortitude, and raw combat skill growing along with it, making you much more dangerous both in bed and on the battlefield. Your stealth and ambush tactics are especially fearsome and when you get the drop on someone your first attack is always a guaranteed critical success which punches straight through your prey’s defenses. You might not be able to one-shot a magical girl if she’s too strong for you, but you can definitely tag her with a big dose of aphrodisiac poison or pin her with a surprise tentacle hug.</v>
      </c>
      <c r="I172" s="5"/>
    </row>
    <row r="173" spans="1:9" ht="52.2" x14ac:dyDescent="0.25">
      <c r="A173" s="16"/>
      <c r="B173" s="17">
        <v>169</v>
      </c>
      <c r="C173" s="2" t="b">
        <f ca="1">IFERROR(__xludf.DUMMYFUNCTION("""COMPUTED_VALUE"""),FALSE)</f>
        <v>0</v>
      </c>
      <c r="D173" s="2">
        <f ca="1">IFERROR(__xludf.DUMMYFUNCTION("""COMPUTED_VALUE"""),300)</f>
        <v>300</v>
      </c>
      <c r="E173" s="2" t="str">
        <f ca="1">IFERROR(__xludf.DUMMYFUNCTION("""COMPUTED_VALUE"""),"Strength of the Goddess")</f>
        <v>Strength of the Goddess</v>
      </c>
      <c r="F173" s="2" t="str">
        <f ca="1">IFERROR(__xludf.DUMMYFUNCTION("""COMPUTED_VALUE"""),"Futadom World")</f>
        <v>Futadom World</v>
      </c>
      <c r="G173" s="2" t="str">
        <f ca="1">IFERROR(__xludf.DUMMYFUNCTION("""COMPUTED_VALUE"""),"Body &amp; Beauty")</f>
        <v>Body &amp; Beauty</v>
      </c>
      <c r="H173" s="2" t="str">
        <f ca="1">IFERROR(__xludf.DUMMYFUNCTION("""COMPUTED_VALUE"""),"Futas are strong. Almost unnaturally so. And you are almost unnaturally strong even for a futa. A single punch from you is nearly able to crack solid concrete. Best learn your strength fast, if you don’t want to hurt anyone.")</f>
        <v>Futas are strong. Almost unnaturally so. And you are almost unnaturally strong even for a futa. A single punch from you is nearly able to crack solid concrete. Best learn your strength fast, if you don’t want to hurt anyone.</v>
      </c>
      <c r="I173" s="5"/>
    </row>
    <row r="174" spans="1:9" ht="87" x14ac:dyDescent="0.25">
      <c r="A174" s="16"/>
      <c r="B174" s="17">
        <v>170</v>
      </c>
      <c r="C174" s="2" t="b">
        <f ca="1">IFERROR(__xludf.DUMMYFUNCTION("""COMPUTED_VALUE"""),FALSE)</f>
        <v>0</v>
      </c>
      <c r="D174" s="2">
        <f ca="1">IFERROR(__xludf.DUMMYFUNCTION("""COMPUTED_VALUE"""),300)</f>
        <v>300</v>
      </c>
      <c r="E174" s="2" t="str">
        <f ca="1">IFERROR(__xludf.DUMMYFUNCTION("""COMPUTED_VALUE"""),"The Drive to Rule")</f>
        <v>The Drive to Rule</v>
      </c>
      <c r="F174" s="2" t="str">
        <f ca="1">IFERROR(__xludf.DUMMYFUNCTION("""COMPUTED_VALUE"""),"Ashigei Shoujo Komura-san")</f>
        <v>Ashigei Shoujo Komura-san</v>
      </c>
      <c r="G174" s="2" t="str">
        <f ca="1">IFERROR(__xludf.DUMMYFUNCTION("""COMPUTED_VALUE"""),"Body &amp; Beauty")</f>
        <v>Body &amp; Beauty</v>
      </c>
      <c r="H174" s="2" t="str">
        <f ca="1">IFERROR(__xludf.DUMMYFUNCTION("""COMPUTED_VALUE"""),"Your natural nobility belies your seemingly inexhaustible work ethic. You can endure a full day of gruelling training with hardly any food or sleep, and it won’t even show on your face. You can push yourself until your whole body is paralyzed from exhaust"&amp;"ion, and wake up to do it all again. Your hard work lets you train your body and skills at such speeds it seems like natural talent. Even if your will falters, it takes the smallest spark to let you bounce back with twice the energy.")</f>
        <v>Your natural nobility belies your seemingly inexhaustible work ethic. You can endure a full day of gruelling training with hardly any food or sleep, and it won’t even show on your face. You can push yourself until your whole body is paralyzed from exhaustion, and wake up to do it all again. Your hard work lets you train your body and skills at such speeds it seems like natural talent. Even if your will falters, it takes the smallest spark to let you bounce back with twice the energy.</v>
      </c>
      <c r="I174" s="5"/>
    </row>
    <row r="175" spans="1:9" ht="208.8" x14ac:dyDescent="0.25">
      <c r="A175" s="16"/>
      <c r="B175" s="17">
        <v>171</v>
      </c>
      <c r="C175" s="2" t="b">
        <f ca="1">IFERROR(__xludf.DUMMYFUNCTION("""COMPUTED_VALUE"""),FALSE)</f>
        <v>0</v>
      </c>
      <c r="D175" s="2">
        <f ca="1">IFERROR(__xludf.DUMMYFUNCTION("""COMPUTED_VALUE"""),300)</f>
        <v>300</v>
      </c>
      <c r="E175" s="2" t="str">
        <f ca="1">IFERROR(__xludf.DUMMYFUNCTION("""COMPUTED_VALUE"""),"Understickers")</f>
        <v>Understickers</v>
      </c>
      <c r="F175" s="2" t="str">
        <f ca="1">IFERROR(__xludf.DUMMYFUNCTION("""COMPUTED_VALUE"""),"Generic: Norithics")</f>
        <v>Generic: Norithics</v>
      </c>
      <c r="G175" s="2" t="str">
        <f ca="1">IFERROR(__xludf.DUMMYFUNCTION("""COMPUTED_VALUE"""),"Body &amp; Beauty")</f>
        <v>Body &amp; Beauty</v>
      </c>
      <c r="H175" s="2" t="str">
        <f ca="1">IFERROR(__xludf.DUMMYFUNCTION("""COMPUTED_VALUE"""),"Understickers: the underwear of the future! These thin smart garments attach near seamlessly to any body, no matter how hairy or scaly. Despite their small size, they are capable of comfortably hiding absurdly sized erections, containing gallons of cum, a"&amp;"nd are even suitable for use as swimwear. They also double as sex toys, being able to stimulate the area they cover with solid yet flexible programmable constructs with perfect fidelity. By default, they transmit the sensations from their outside, but the"&amp;"se can be selectively altered, dimmed, or eliminated by a companion app. Additionally, understickers can be linked together, allowing you to fuck or be fucked by someone anywhere in the world, or you can design presets to have it act as almost any sort of"&amp;" sex toy.
This perk gives you a wide variety of Understicker sets in a number of styles, along with a technical database to teach you everything you need to program them, as well as a development kit to help design compatible software.")</f>
        <v>Understickers: the underwear of the future! These thin smart garments attach near seamlessly to any body, no matter how hairy or scaly. Despite their small size, they are capable of comfortably hiding absurdly sized erections, containing gallons of cum, and are even suitable for use as swimwear. They also double as sex toys, being able to stimulate the area they cover with solid yet flexible programmable constructs with perfect fidelity. By default, they transmit the sensations from their outside, but these can be selectively altered, dimmed, or eliminated by a companion app. Additionally, understickers can be linked together, allowing you to fuck or be fucked by someone anywhere in the world, or you can design presets to have it act as almost any sort of sex toy.
This perk gives you a wide variety of Understicker sets in a number of styles, along with a technical database to teach you everything you need to program them, as well as a development kit to help design compatible software.</v>
      </c>
      <c r="I175" s="5"/>
    </row>
    <row r="176" spans="1:9" ht="156.6" x14ac:dyDescent="0.25">
      <c r="A176" s="16"/>
      <c r="B176" s="17">
        <v>172</v>
      </c>
      <c r="C176" s="2" t="b">
        <f ca="1">IFERROR(__xludf.DUMMYFUNCTION("""COMPUTED_VALUE"""),FALSE)</f>
        <v>0</v>
      </c>
      <c r="D176" s="2">
        <f ca="1">IFERROR(__xludf.DUMMYFUNCTION("""COMPUTED_VALUE"""),300)</f>
        <v>300</v>
      </c>
      <c r="E176" s="2" t="str">
        <f ca="1">IFERROR(__xludf.DUMMYFUNCTION("""COMPUTED_VALUE"""),"You Are What You Eat")</f>
        <v>You Are What You Eat</v>
      </c>
      <c r="F176" s="2" t="str">
        <f ca="1">IFERROR(__xludf.DUMMYFUNCTION("""COMPUTED_VALUE"""),"Breathless Wild")</f>
        <v>Breathless Wild</v>
      </c>
      <c r="G176" s="2" t="str">
        <f ca="1">IFERROR(__xludf.DUMMYFUNCTION("""COMPUTED_VALUE"""),"Body &amp; Beauty")</f>
        <v>Body &amp; Beauty</v>
      </c>
      <c r="H176" s="2" t="str">
        <f ca="1">IFERROR(__xludf.DUMMYFUNCTION("""COMPUTED_VALUE"""),"Gorons are natural sources of fire-proof potion, a vital necessity for anyone visiting Goron City, but the only way to extract this alchemical power is from the loins. Your body has a similar quality, but more potent and flexible in nature: you absorb alc"&amp;"hemical power from anything you eat, with a large enough infusion of that power making a permanent enchantment as your body starts producing it naturally. A diet of volcanic rocks could grant a goron’s immunity to fire, but chugging healing potions could "&amp;"give advanced regeneration instead, etc. Your body only holds one enchantment at a time but you can freely share its effects using your bodily fluids, like giving someone a nice big creampie. You also have a cast-iron stomach which can handle “food” like "&amp;"the (in)famous goron rock roasts.")</f>
        <v>Gorons are natural sources of fire-proof potion, a vital necessity for anyone visiting Goron City, but the only way to extract this alchemical power is from the loins. Your body has a similar quality, but more potent and flexible in nature: you absorb alchemical power from anything you eat, with a large enough infusion of that power making a permanent enchantment as your body starts producing it naturally. A diet of volcanic rocks could grant a goron’s immunity to fire, but chugging healing potions could give advanced regeneration instead, etc. Your body only holds one enchantment at a time but you can freely share its effects using your bodily fluids, like giving someone a nice big creampie. You also have a cast-iron stomach which can handle “food” like the (in)famous goron rock roasts.</v>
      </c>
      <c r="I176" s="5"/>
    </row>
    <row r="177" spans="1:9" ht="174" x14ac:dyDescent="0.25">
      <c r="A177" s="16"/>
      <c r="B177" s="17">
        <v>173</v>
      </c>
      <c r="C177" s="2" t="b">
        <f ca="1">IFERROR(__xludf.DUMMYFUNCTION("""COMPUTED_VALUE"""),FALSE)</f>
        <v>0</v>
      </c>
      <c r="D177" s="2">
        <f ca="1">IFERROR(__xludf.DUMMYFUNCTION("""COMPUTED_VALUE"""),400)</f>
        <v>400</v>
      </c>
      <c r="E177" s="2" t="str">
        <f ca="1">IFERROR(__xludf.DUMMYFUNCTION("""COMPUTED_VALUE"""),"A God Among Dragons")</f>
        <v>A God Among Dragons</v>
      </c>
      <c r="F177" s="2" t="str">
        <f ca="1">IFERROR(__xludf.DUMMYFUNCTION("""COMPUTED_VALUE"""),"A Change of Tactics V2.2")</f>
        <v>A Change of Tactics V2.2</v>
      </c>
      <c r="G177" s="2" t="str">
        <f ca="1">IFERROR(__xludf.DUMMYFUNCTION("""COMPUTED_VALUE"""),"Body &amp; Beauty")</f>
        <v>Body &amp; Beauty</v>
      </c>
      <c r="H177" s="2" t="str">
        <f ca="1">IFERROR(__xludf.DUMMYFUNCTION("""COMPUTED_VALUE"""),"A dragonspawn is not just any dragon hybrid but the child of a dragon god, and that divine heritage grants them enormous influence over their lesser kin. You have the aura of a superior dragon to the senses of all other types of dragons, from wyverns and "&amp;"manaketes to humans blessed with draconic blood, such as the royal families of Nohr and Hoshido. Non-sapient dragons like wyverns become highly submissive towards you, making it a trivial matter to tame and domesticate them, while intelligent dragons like"&amp;" manaketes and others who might make fitting mates instinctively desire you, even going into heat just by spending time in your presence, though you can suppress this at will. Any dragon who dares to challenge you despite your power will learn that you ar"&amp;"e able to smite them with divine retribution, empowering both sword and spells with a dragonbane effect which effortlessly cleaves through draconic armor and spellwork.")</f>
        <v>A dragonspawn is not just any dragon hybrid but the child of a dragon god, and that divine heritage grants them enormous influence over their lesser kin. You have the aura of a superior dragon to the senses of all other types of dragons, from wyverns and manaketes to humans blessed with draconic blood, such as the royal families of Nohr and Hoshido. Non-sapient dragons like wyverns become highly submissive towards you, making it a trivial matter to tame and domesticate them, while intelligent dragons like manaketes and others who might make fitting mates instinctively desire you, even going into heat just by spending time in your presence, though you can suppress this at will. Any dragon who dares to challenge you despite your power will learn that you are able to smite them with divine retribution, empowering both sword and spells with a dragonbane effect which effortlessly cleaves through draconic armor and spellwork.</v>
      </c>
      <c r="I177" s="5"/>
    </row>
    <row r="178" spans="1:9" ht="52.2" x14ac:dyDescent="0.25">
      <c r="A178" s="16"/>
      <c r="B178" s="17">
        <v>174</v>
      </c>
      <c r="C178" s="2" t="b">
        <f ca="1">IFERROR(__xludf.DUMMYFUNCTION("""COMPUTED_VALUE"""),FALSE)</f>
        <v>0</v>
      </c>
      <c r="D178" s="2">
        <f ca="1">IFERROR(__xludf.DUMMYFUNCTION("""COMPUTED_VALUE"""),400)</f>
        <v>400</v>
      </c>
      <c r="E178" s="2" t="str">
        <f ca="1">IFERROR(__xludf.DUMMYFUNCTION("""COMPUTED_VALUE"""),"Anthro Nip")</f>
        <v>Anthro Nip</v>
      </c>
      <c r="F178" s="2" t="str">
        <f ca="1">IFERROR(__xludf.DUMMYFUNCTION("""COMPUTED_VALUE"""),"Neon Dreams of Organic Toys")</f>
        <v>Neon Dreams of Organic Toys</v>
      </c>
      <c r="G178" s="2" t="str">
        <f ca="1">IFERROR(__xludf.DUMMYFUNCTION("""COMPUTED_VALUE"""),"Body &amp; Beauty")</f>
        <v>Body &amp; Beauty</v>
      </c>
      <c r="H178" s="2" t="str">
        <f ca="1">IFERROR(__xludf.DUMMYFUNCTION("""COMPUTED_VALUE"""),"You are like catnip for non-humans. The taste and scent of your body are extremely pleasant, the sound of your voice is like music, the feeling of your body is magnificent, your touch is heaven, and your mere presence fills them with warmth and contentmen"&amp;"t.")</f>
        <v>You are like catnip for non-humans. The taste and scent of your body are extremely pleasant, the sound of your voice is like music, the feeling of your body is magnificent, your touch is heaven, and your mere presence fills them with warmth and contentment.</v>
      </c>
      <c r="I178" s="5"/>
    </row>
    <row r="179" spans="1:9" ht="174" x14ac:dyDescent="0.25">
      <c r="A179" s="16"/>
      <c r="B179" s="17">
        <v>175</v>
      </c>
      <c r="C179" s="2" t="b">
        <f ca="1">IFERROR(__xludf.DUMMYFUNCTION("""COMPUTED_VALUE"""),FALSE)</f>
        <v>0</v>
      </c>
      <c r="D179" s="2">
        <f ca="1">IFERROR(__xludf.DUMMYFUNCTION("""COMPUTED_VALUE"""),400)</f>
        <v>400</v>
      </c>
      <c r="E179" s="2" t="str">
        <f ca="1">IFERROR(__xludf.DUMMYFUNCTION("""COMPUTED_VALUE"""),"Battlesuit")</f>
        <v>Battlesuit</v>
      </c>
      <c r="F179" s="2" t="str">
        <f ca="1">IFERROR(__xludf.DUMMYFUNCTION("""COMPUTED_VALUE"""),"World of Lewd Superheroes")</f>
        <v>World of Lewd Superheroes</v>
      </c>
      <c r="G179" s="2" t="str">
        <f ca="1">IFERROR(__xludf.DUMMYFUNCTION("""COMPUTED_VALUE"""),"Body &amp; Beauty")</f>
        <v>Body &amp; Beauty</v>
      </c>
      <c r="H179" s="2" t="str">
        <f ca="1">IFERROR(__xludf.DUMMYFUNCTION("""COMPUTED_VALUE"""),"When a mastermind needs to throw down in person they rarely go to battle without help from the products of their superior planning and intelligence. This set of power armor is one of the mightiest weapons known to humans, designed to supplement and enhanc"&amp;"e your powers with the power of science and technology. Whether you stole it, commissioned it, or built it yourself, this suit of armor transforms your costume into a formidable weapon system equal in strength to the powers of many heroes. The frame can b"&amp;"e modified to hold any number of weapon systems and defensive options, but for some reason the power plant is most effective and provides the best output when those weapons are erotic in nature: lasers which only destroy clothing and equipment, mechanical"&amp;" tentacles mounting weaponized vibro-heads, missiles loaded up with sticky latex warheads, and so on.")</f>
        <v>When a mastermind needs to throw down in person they rarely go to battle without help from the products of their superior planning and intelligence. This set of power armor is one of the mightiest weapons known to humans, designed to supplement and enhance your powers with the power of science and technology. Whether you stole it, commissioned it, or built it yourself, this suit of armor transforms your costume into a formidable weapon system equal in strength to the powers of many heroes. The frame can be modified to hold any number of weapon systems and defensive options, but for some reason the power plant is most effective and provides the best output when those weapons are erotic in nature: lasers which only destroy clothing and equipment, mechanical tentacles mounting weaponized vibro-heads, missiles loaded up with sticky latex warheads, and so on.</v>
      </c>
      <c r="I179" s="5"/>
    </row>
    <row r="180" spans="1:9" ht="139.19999999999999" x14ac:dyDescent="0.25">
      <c r="A180" s="16"/>
      <c r="B180" s="17">
        <v>176</v>
      </c>
      <c r="C180" s="2" t="b">
        <f ca="1">IFERROR(__xludf.DUMMYFUNCTION("""COMPUTED_VALUE"""),FALSE)</f>
        <v>0</v>
      </c>
      <c r="D180" s="2">
        <f ca="1">IFERROR(__xludf.DUMMYFUNCTION("""COMPUTED_VALUE"""),400)</f>
        <v>400</v>
      </c>
      <c r="E180" s="2" t="str">
        <f ca="1">IFERROR(__xludf.DUMMYFUNCTION("""COMPUTED_VALUE"""),"Beauty of Ressurection")</f>
        <v>Beauty of Ressurection</v>
      </c>
      <c r="F180" s="2" t="str">
        <f ca="1">IFERROR(__xludf.DUMMYFUNCTION("""COMPUTED_VALUE"""),"Breathless Wild")</f>
        <v>Breathless Wild</v>
      </c>
      <c r="G180" s="2" t="str">
        <f ca="1">IFERROR(__xludf.DUMMYFUNCTION("""COMPUTED_VALUE"""),"Body &amp; Beauty")</f>
        <v>Body &amp; Beauty</v>
      </c>
      <c r="H180" s="2" t="str">
        <f ca="1">IFERROR(__xludf.DUMMYFUNCTION("""COMPUTED_VALUE"""),"Your beauty is akin to one who spent a hundred years having their body remodeled by the Shrine of Resurrection. More than mere aesthetics, your beauty borders on the divine and it’s no exaggeration to say you’re easily the most beautiful man or woman in a"&amp;"ll the world. With such beauty also comes great influence over those affected by it. Adventurers gladly part with their gear for a moment of your time, salesmen slash their prices hoping to see you again, and great heroes will gladly go to the ends of the"&amp;" earth hoping to win your heart. Your appeal stretches across all boundaries of sexuality and personal preference, drawing the eyes of everyone capable of feeling sexual attraction unless you take steps to conceal yourself.")</f>
        <v>Your beauty is akin to one who spent a hundred years having their body remodeled by the Shrine of Resurrection. More than mere aesthetics, your beauty borders on the divine and it’s no exaggeration to say you’re easily the most beautiful man or woman in all the world. With such beauty also comes great influence over those affected by it. Adventurers gladly part with their gear for a moment of your time, salesmen slash their prices hoping to see you again, and great heroes will gladly go to the ends of the earth hoping to win your heart. Your appeal stretches across all boundaries of sexuality and personal preference, drawing the eyes of everyone capable of feeling sexual attraction unless you take steps to conceal yourself.</v>
      </c>
      <c r="I180" s="5"/>
    </row>
    <row r="181" spans="1:9" ht="104.4" x14ac:dyDescent="0.25">
      <c r="A181" s="16"/>
      <c r="B181" s="17">
        <v>177</v>
      </c>
      <c r="C181" s="2" t="b">
        <f ca="1">IFERROR(__xludf.DUMMYFUNCTION("""COMPUTED_VALUE"""),FALSE)</f>
        <v>0</v>
      </c>
      <c r="D181" s="2">
        <f ca="1">IFERROR(__xludf.DUMMYFUNCTION("""COMPUTED_VALUE"""),400)</f>
        <v>400</v>
      </c>
      <c r="E181" s="2" t="str">
        <f ca="1">IFERROR(__xludf.DUMMYFUNCTION("""COMPUTED_VALUE"""),"Big Beautiful ""Wyvern""")</f>
        <v>Big Beautiful "Wyvern"</v>
      </c>
      <c r="F181" s="2" t="str">
        <f ca="1">IFERROR(__xludf.DUMMYFUNCTION("""COMPUTED_VALUE"""),"Monster Hunter XXX")</f>
        <v>Monster Hunter XXX</v>
      </c>
      <c r="G181" s="2" t="str">
        <f ca="1">IFERROR(__xludf.DUMMYFUNCTION("""COMPUTED_VALUE"""),"Body &amp; Beauty")</f>
        <v>Body &amp; Beauty</v>
      </c>
      <c r="H181" s="2" t="str">
        <f ca="1">IFERROR(__xludf.DUMMYFUNCTION("""COMPUTED_VALUE"""),"A small reminder: even a tier 1 Monster is at least going to be three times or more bigger than the Hunters coming after you. Even if you subdue them, pleasantly, there isn’t much chance that they’re going to get out of a row with you without some permane"&amp;"nt damage, at least without this Perk. In addition to fiat-backing that you will never crush or cause other size-related injury to any sexual partners you have, you and them get off more the bigger and heavier you are than them at the time of sex.")</f>
        <v>A small reminder: even a tier 1 Monster is at least going to be three times or more bigger than the Hunters coming after you. Even if you subdue them, pleasantly, there isn’t much chance that they’re going to get out of a row with you without some permanent damage, at least without this Perk. In addition to fiat-backing that you will never crush or cause other size-related injury to any sexual partners you have, you and them get off more the bigger and heavier you are than them at the time of sex.</v>
      </c>
      <c r="I181" s="5"/>
    </row>
    <row r="182" spans="1:9" ht="191.4" x14ac:dyDescent="0.25">
      <c r="A182" s="16"/>
      <c r="B182" s="17">
        <v>178</v>
      </c>
      <c r="C182" s="2" t="b">
        <f ca="1">IFERROR(__xludf.DUMMYFUNCTION("""COMPUTED_VALUE"""),FALSE)</f>
        <v>0</v>
      </c>
      <c r="D182" s="2">
        <f ca="1">IFERROR(__xludf.DUMMYFUNCTION("""COMPUTED_VALUE"""),400)</f>
        <v>400</v>
      </c>
      <c r="E182" s="2" t="str">
        <f ca="1">IFERROR(__xludf.DUMMYFUNCTION("""COMPUTED_VALUE"""),"Bred Tough")</f>
        <v>Bred Tough</v>
      </c>
      <c r="F182" s="2" t="str">
        <f ca="1">IFERROR(__xludf.DUMMYFUNCTION("""COMPUTED_VALUE"""),"Emergence")</f>
        <v>Emergence</v>
      </c>
      <c r="G182" s="2" t="str">
        <f ca="1">IFERROR(__xludf.DUMMYFUNCTION("""COMPUTED_VALUE"""),"Body &amp; Beauty")</f>
        <v>Body &amp; Beauty</v>
      </c>
      <c r="H182" s="2" t="str">
        <f ca="1">IFERROR(__xludf.DUMMYFUNCTION("""COMPUTED_VALUE"""),"The life you lead is far from easy, especially these days. More than a few times, you’ve been thrown out with the trash in a back alley once your client has finished with you. Sometimes, you’ve needed to rough it out in the streets for a few nights. That’"&amp;"s not even getting into what some of the parties you’ve been hired for have made you do. But your body, somehow, keeps holding out. That body of yours can take an absurd amount of stress and harm, all the while remaining healthy, fit and wonderfully tight"&amp;". Constant whoring yourself out, taking hard drugs every day, even letting client’s do particularly rough stuff with you, it just doesn’t appear to truly hurt you. Even getting addicted to something isn’t that big a deal, since you deal with withdrawal so"&amp;" easily. You can stand sleeping out in the cold without any worries, find even normally painfully uncomfortable seats or beds to be fine and just don’t get infected with diseases, even if you might be sucking the source of them down your throat.")</f>
        <v>The life you lead is far from easy, especially these days. More than a few times, you’ve been thrown out with the trash in a back alley once your client has finished with you. Sometimes, you’ve needed to rough it out in the streets for a few nights. That’s not even getting into what some of the parties you’ve been hired for have made you do. But your body, somehow, keeps holding out. That body of yours can take an absurd amount of stress and harm, all the while remaining healthy, fit and wonderfully tight. Constant whoring yourself out, taking hard drugs every day, even letting client’s do particularly rough stuff with you, it just doesn’t appear to truly hurt you. Even getting addicted to something isn’t that big a deal, since you deal with withdrawal so easily. You can stand sleeping out in the cold without any worries, find even normally painfully uncomfortable seats or beds to be fine and just don’t get infected with diseases, even if you might be sucking the source of them down your throat.</v>
      </c>
      <c r="I182" s="5"/>
    </row>
    <row r="183" spans="1:9" ht="87" x14ac:dyDescent="0.25">
      <c r="A183" s="16"/>
      <c r="B183" s="17">
        <v>179</v>
      </c>
      <c r="C183" s="2" t="b">
        <f ca="1">IFERROR(__xludf.DUMMYFUNCTION("""COMPUTED_VALUE"""),FALSE)</f>
        <v>0</v>
      </c>
      <c r="D183" s="2">
        <f ca="1">IFERROR(__xludf.DUMMYFUNCTION("""COMPUTED_VALUE"""),400)</f>
        <v>400</v>
      </c>
      <c r="E183" s="2" t="str">
        <f ca="1">IFERROR(__xludf.DUMMYFUNCTION("""COMPUTED_VALUE"""),"Chaddiccus")</f>
        <v>Chaddiccus</v>
      </c>
      <c r="F183" s="2" t="str">
        <f ca="1">IFERROR(__xludf.DUMMYFUNCTION("""COMPUTED_VALUE"""),"Destiny: Fuck the Darkness")</f>
        <v>Destiny: Fuck the Darkness</v>
      </c>
      <c r="G183" s="2" t="str">
        <f ca="1">IFERROR(__xludf.DUMMYFUNCTION("""COMPUTED_VALUE"""),"Body &amp; Beauty")</f>
        <v>Body &amp; Beauty</v>
      </c>
      <c r="H183" s="2" t="str">
        <f ca="1">IFERROR(__xludf.DUMMYFUNCTION("""COMPUTED_VALUE"""),"You are ripped as fuck. Like, Mr. Universe champion times twenty. Abs hard as diamond and biceps the size of cannonballs. Not only does this make you strong enough to casually toss tanks around, as we’ve established, strength is sexy. A normal human woman"&amp;" could be turned into pliant mush from one mighty flex, and your natural musk makes all those weaker than you passively dream about having you over them in the literal sense.")</f>
        <v>You are ripped as fuck. Like, Mr. Universe champion times twenty. Abs hard as diamond and biceps the size of cannonballs. Not only does this make you strong enough to casually toss tanks around, as we’ve established, strength is sexy. A normal human woman could be turned into pliant mush from one mighty flex, and your natural musk makes all those weaker than you passively dream about having you over them in the literal sense.</v>
      </c>
      <c r="I183" s="5"/>
    </row>
    <row r="184" spans="1:9" ht="87" x14ac:dyDescent="0.25">
      <c r="A184" s="16"/>
      <c r="B184" s="17">
        <v>180</v>
      </c>
      <c r="C184" s="2" t="b">
        <f ca="1">IFERROR(__xludf.DUMMYFUNCTION("""COMPUTED_VALUE"""),FALSE)</f>
        <v>0</v>
      </c>
      <c r="D184" s="2">
        <f ca="1">IFERROR(__xludf.DUMMYFUNCTION("""COMPUTED_VALUE"""),400)</f>
        <v>400</v>
      </c>
      <c r="E184" s="2" t="str">
        <f ca="1">IFERROR(__xludf.DUMMYFUNCTION("""COMPUTED_VALUE"""),"Endless Supply")</f>
        <v>Endless Supply</v>
      </c>
      <c r="F184" s="2" t="str">
        <f ca="1">IFERROR(__xludf.DUMMYFUNCTION("""COMPUTED_VALUE"""),"Futadom World")</f>
        <v>Futadom World</v>
      </c>
      <c r="G184" s="2" t="str">
        <f ca="1">IFERROR(__xludf.DUMMYFUNCTION("""COMPUTED_VALUE"""),"Body &amp; Beauty")</f>
        <v>Body &amp; Beauty</v>
      </c>
      <c r="H184" s="2" t="str">
        <f ca="1">IFERROR(__xludf.DUMMYFUNCTION("""COMPUTED_VALUE"""),"Your body is, somehow, able to break every known law of thermodynamics and just... produce. Any fluid or excretion you release from your body can now be produced at literally impossible rates. You can now produce more calories than you intake my orders of"&amp;" magnitude, with no negative effects to your health whatsoever. At absolute maximum output, you are able to excrete or lactate at a rate of roughly one gallon every half hour, while during sexual climax you can actually triple that number.")</f>
        <v>Your body is, somehow, able to break every known law of thermodynamics and just... produce. Any fluid or excretion you release from your body can now be produced at literally impossible rates. You can now produce more calories than you intake my orders of magnitude, with no negative effects to your health whatsoever. At absolute maximum output, you are able to excrete or lactate at a rate of roughly one gallon every half hour, while during sexual climax you can actually triple that number.</v>
      </c>
      <c r="I184" s="5"/>
    </row>
    <row r="185" spans="1:9" ht="104.4" x14ac:dyDescent="0.25">
      <c r="A185" s="16"/>
      <c r="B185" s="17">
        <v>181</v>
      </c>
      <c r="C185" s="2" t="b">
        <f ca="1">IFERROR(__xludf.DUMMYFUNCTION("""COMPUTED_VALUE"""),FALSE)</f>
        <v>0</v>
      </c>
      <c r="D185" s="2">
        <f ca="1">IFERROR(__xludf.DUMMYFUNCTION("""COMPUTED_VALUE"""),400)</f>
        <v>400</v>
      </c>
      <c r="E185" s="2" t="str">
        <f ca="1">IFERROR(__xludf.DUMMYFUNCTION("""COMPUTED_VALUE"""),"From Death, Life")</f>
        <v>From Death, Life</v>
      </c>
      <c r="F185" s="2" t="str">
        <f ca="1">IFERROR(__xludf.DUMMYFUNCTION("""COMPUTED_VALUE"""),"Dulce Report")</f>
        <v>Dulce Report</v>
      </c>
      <c r="G185" s="2" t="str">
        <f ca="1">IFERROR(__xludf.DUMMYFUNCTION("""COMPUTED_VALUE"""),"Body &amp; Beauty")</f>
        <v>Body &amp; Beauty</v>
      </c>
      <c r="H185" s="2" t="str">
        <f ca="1">IFERROR(__xludf.DUMMYFUNCTION("""COMPUTED_VALUE"""),"The true purpose of the Angels is to extend the lifespan of the Gods. The more sex they have, both with lesser Angels and with their slaves, the more ‘divinity’ (genetic material) they collect inside their bodies. By extracting that ‘divinity’, the Gods c"&amp;"an consume it to extend their own life. In short, if you so wish, instead of impregnating someone or being impregnated, you can instead add years to your lifespan and possibly take a few off visually as well. This is a bit more direct than it should be, b"&amp;"ut for the sake of simplicity I’ll let you have it.")</f>
        <v>The true purpose of the Angels is to extend the lifespan of the Gods. The more sex they have, both with lesser Angels and with their slaves, the more ‘divinity’ (genetic material) they collect inside their bodies. By extracting that ‘divinity’, the Gods can consume it to extend their own life. In short, if you so wish, instead of impregnating someone or being impregnated, you can instead add years to your lifespan and possibly take a few off visually as well. This is a bit more direct than it should be, but for the sake of simplicity I’ll let you have it.</v>
      </c>
      <c r="I185" s="5"/>
    </row>
    <row r="186" spans="1:9" ht="104.4" x14ac:dyDescent="0.25">
      <c r="A186" s="16"/>
      <c r="B186" s="17">
        <v>182</v>
      </c>
      <c r="C186" s="2" t="b">
        <f ca="1">IFERROR(__xludf.DUMMYFUNCTION("""COMPUTED_VALUE"""),FALSE)</f>
        <v>0</v>
      </c>
      <c r="D186" s="2">
        <f ca="1">IFERROR(__xludf.DUMMYFUNCTION("""COMPUTED_VALUE"""),400)</f>
        <v>400</v>
      </c>
      <c r="E186" s="2" t="str">
        <f ca="1">IFERROR(__xludf.DUMMYFUNCTION("""COMPUTED_VALUE"""),"Hand Funnel")</f>
        <v>Hand Funnel</v>
      </c>
      <c r="F186" s="2" t="str">
        <f ca="1">IFERROR(__xludf.DUMMYFUNCTION("""COMPUTED_VALUE"""),"The Otaku in 2200 AD")</f>
        <v>The Otaku in 2200 AD</v>
      </c>
      <c r="G186" s="2" t="str">
        <f ca="1">IFERROR(__xludf.DUMMYFUNCTION("""COMPUTED_VALUE"""),"Body &amp; Beauty")</f>
        <v>Body &amp; Beauty</v>
      </c>
      <c r="H186" s="2" t="str">
        <f ca="1">IFERROR(__xludf.DUMMYFUNCTION("""COMPUTED_VALUE"""),"A headband that connects to your mind, it is somehow capable of producing large volumes of nanomachines, which it shapes into “hands” that then proceed to act in accordance to your will. For better receptivity between mind and hands, you receive full tact"&amp;"ile feedback from these artificial hands (except for pain). These hands can travel some distance away from you and still operate to their full extent. You do not need to consciously control each hand; the headband is capable of interpreting your desires a"&amp;"nd acting on them.")</f>
        <v>A headband that connects to your mind, it is somehow capable of producing large volumes of nanomachines, which it shapes into “hands” that then proceed to act in accordance to your will. For better receptivity between mind and hands, you receive full tactile feedback from these artificial hands (except for pain). These hands can travel some distance away from you and still operate to their full extent. You do not need to consciously control each hand; the headband is capable of interpreting your desires and acting on them.</v>
      </c>
      <c r="I186" s="5"/>
    </row>
    <row r="187" spans="1:9" ht="87" x14ac:dyDescent="0.25">
      <c r="A187" s="16"/>
      <c r="B187" s="17">
        <v>183</v>
      </c>
      <c r="C187" s="2" t="b">
        <f ca="1">IFERROR(__xludf.DUMMYFUNCTION("""COMPUTED_VALUE"""),FALSE)</f>
        <v>0</v>
      </c>
      <c r="D187" s="2">
        <f ca="1">IFERROR(__xludf.DUMMYFUNCTION("""COMPUTED_VALUE"""),400)</f>
        <v>400</v>
      </c>
      <c r="E187" s="2" t="str">
        <f ca="1">IFERROR(__xludf.DUMMYFUNCTION("""COMPUTED_VALUE"""),"Heat of Passion")</f>
        <v>Heat of Passion</v>
      </c>
      <c r="F187" s="2" t="str">
        <f ca="1">IFERROR(__xludf.DUMMYFUNCTION("""COMPUTED_VALUE"""),"Erotic Equestria")</f>
        <v>Erotic Equestria</v>
      </c>
      <c r="G187" s="2" t="str">
        <f ca="1">IFERROR(__xludf.DUMMYFUNCTION("""COMPUTED_VALUE"""),"Body &amp; Beauty")</f>
        <v>Body &amp; Beauty</v>
      </c>
      <c r="H187" s="2" t="str">
        <f ca="1">IFERROR(__xludf.DUMMYFUNCTION("""COMPUTED_VALUE"""),"The dragonfolk are strong and passionate people, a strength and passion that finds itself embodied in your flesh. Your muscles are iron, your endurance heroic, and your breath catches with flame...and a little something extra. At your discretion, your bre"&amp;"ath can act as a potent aphrodisiac, sending whichever creature it hits into a slowly escalating heat. Won’t they be lucky that you’re there to help cool them off?")</f>
        <v>The dragonfolk are strong and passionate people, a strength and passion that finds itself embodied in your flesh. Your muscles are iron, your endurance heroic, and your breath catches with flame...and a little something extra. At your discretion, your breath can act as a potent aphrodisiac, sending whichever creature it hits into a slowly escalating heat. Won’t they be lucky that you’re there to help cool them off?</v>
      </c>
      <c r="I187" s="5"/>
    </row>
    <row r="188" spans="1:9" ht="87" x14ac:dyDescent="0.25">
      <c r="A188" s="16"/>
      <c r="B188" s="17">
        <v>184</v>
      </c>
      <c r="C188" s="2" t="b">
        <f ca="1">IFERROR(__xludf.DUMMYFUNCTION("""COMPUTED_VALUE"""),FALSE)</f>
        <v>0</v>
      </c>
      <c r="D188" s="2">
        <f ca="1">IFERROR(__xludf.DUMMYFUNCTION("""COMPUTED_VALUE"""),400)</f>
        <v>400</v>
      </c>
      <c r="E188" s="2" t="str">
        <f ca="1">IFERROR(__xludf.DUMMYFUNCTION("""COMPUTED_VALUE"""),"Holy Blood")</f>
        <v>Holy Blood</v>
      </c>
      <c r="F188" s="2" t="str">
        <f ca="1">IFERROR(__xludf.DUMMYFUNCTION("""COMPUTED_VALUE"""),"Generic: Hentai Fantasy")</f>
        <v>Generic: Hentai Fantasy</v>
      </c>
      <c r="G188" s="2" t="str">
        <f ca="1">IFERROR(__xludf.DUMMYFUNCTION("""COMPUTED_VALUE"""),"Body &amp; Beauty")</f>
        <v>Body &amp; Beauty</v>
      </c>
      <c r="H188" s="2" t="str">
        <f ca="1">IFERROR(__xludf.DUMMYFUNCTION("""COMPUTED_VALUE"""),"There's something in your blood that isn't human - though, neither is it a demon. Perhaps it is from an angel, perhaps it is from an actual god. Doesn't matter. What's important is, that something is 'divine' or 'holy' and marks you as such as well. With "&amp;"this comes a measure of beauty and charisma, as well as the favor of royalty and the like. Also anything that feeds upon blood will find that feeding upon yours is like drinking pure holy water, for added hilarity.")</f>
        <v>There's something in your blood that isn't human - though, neither is it a demon. Perhaps it is from an angel, perhaps it is from an actual god. Doesn't matter. What's important is, that something is 'divine' or 'holy' and marks you as such as well. With this comes a measure of beauty and charisma, as well as the favor of royalty and the like. Also anything that feeds upon blood will find that feeding upon yours is like drinking pure holy water, for added hilarity.</v>
      </c>
      <c r="I188" s="5"/>
    </row>
    <row r="189" spans="1:9" ht="104.4" x14ac:dyDescent="0.25">
      <c r="A189" s="16"/>
      <c r="B189" s="17">
        <v>185</v>
      </c>
      <c r="C189" s="2" t="b">
        <f ca="1">IFERROR(__xludf.DUMMYFUNCTION("""COMPUTED_VALUE"""),FALSE)</f>
        <v>0</v>
      </c>
      <c r="D189" s="2">
        <f ca="1">IFERROR(__xludf.DUMMYFUNCTION("""COMPUTED_VALUE"""),400)</f>
        <v>400</v>
      </c>
      <c r="E189" s="2" t="str">
        <f ca="1">IFERROR(__xludf.DUMMYFUNCTION("""COMPUTED_VALUE"""),"Living Factory")</f>
        <v>Living Factory</v>
      </c>
      <c r="F189" s="2" t="str">
        <f ca="1">IFERROR(__xludf.DUMMYFUNCTION("""COMPUTED_VALUE"""),"Mind Control University")</f>
        <v>Mind Control University</v>
      </c>
      <c r="G189" s="2" t="str">
        <f ca="1">IFERROR(__xludf.DUMMYFUNCTION("""COMPUTED_VALUE"""),"Body &amp; Beauty")</f>
        <v>Body &amp; Beauty</v>
      </c>
      <c r="H189" s="2" t="str">
        <f ca="1">IFERROR(__xludf.DUMMYFUNCTION("""COMPUTED_VALUE"""),"No beakers and test tubes for you. You can replicate pheromones, as well as create gaseous chemicals in your lungs and liquid chemicals from your bodily fluids, with the only requirement for both being that you know the chemical’s full composition; these "&amp;"chemicals, while within your body, will do you no harm, but you are capable of manufacturing beneficial drugs that can affect you if you let them. Note that magical or alchemical substances, such as the Elixir of Life, cannot be reproduced in this manner."&amp;" You can set these pheromones/chemicals to be passively generated.")</f>
        <v>No beakers and test tubes for you. You can replicate pheromones, as well as create gaseous chemicals in your lungs and liquid chemicals from your bodily fluids, with the only requirement for both being that you know the chemical’s full composition; these chemicals, while within your body, will do you no harm, but you are capable of manufacturing beneficial drugs that can affect you if you let them. Note that magical or alchemical substances, such as the Elixir of Life, cannot be reproduced in this manner. You can set these pheromones/chemicals to be passively generated.</v>
      </c>
      <c r="I189" s="5"/>
    </row>
    <row r="190" spans="1:9" ht="52.2" x14ac:dyDescent="0.25">
      <c r="A190" s="16"/>
      <c r="B190" s="17">
        <v>186</v>
      </c>
      <c r="C190" s="2" t="b">
        <f ca="1">IFERROR(__xludf.DUMMYFUNCTION("""COMPUTED_VALUE"""),FALSE)</f>
        <v>0</v>
      </c>
      <c r="D190" s="2">
        <f ca="1">IFERROR(__xludf.DUMMYFUNCTION("""COMPUTED_VALUE"""),400)</f>
        <v>400</v>
      </c>
      <c r="E190" s="2" t="str">
        <f ca="1">IFERROR(__xludf.DUMMYFUNCTION("""COMPUTED_VALUE"""),"Love Juices")</f>
        <v>Love Juices</v>
      </c>
      <c r="F190" s="2" t="str">
        <f ca="1">IFERROR(__xludf.DUMMYFUNCTION("""COMPUTED_VALUE"""),"Sei So Tsui Dan Sha")</f>
        <v>Sei So Tsui Dan Sha</v>
      </c>
      <c r="G190" s="2" t="str">
        <f ca="1">IFERROR(__xludf.DUMMYFUNCTION("""COMPUTED_VALUE"""),"Body &amp; Beauty")</f>
        <v>Body &amp; Beauty</v>
      </c>
      <c r="H190" s="2" t="str">
        <f ca="1">IFERROR(__xludf.DUMMYFUNCTION("""COMPUTED_VALUE"""),"Is this really a thing that humans can do? It seems that all of your bodily fluids are full of pheromones that act as a potent aphrodisiac. These drive men and women alike mad with lust. You can even give it to friends to use on their own partners.")</f>
        <v>Is this really a thing that humans can do? It seems that all of your bodily fluids are full of pheromones that act as a potent aphrodisiac. These drive men and women alike mad with lust. You can even give it to friends to use on their own partners.</v>
      </c>
      <c r="I190" s="5"/>
    </row>
    <row r="191" spans="1:9" ht="139.19999999999999" x14ac:dyDescent="0.25">
      <c r="A191" s="16"/>
      <c r="B191" s="17">
        <v>187</v>
      </c>
      <c r="C191" s="2" t="b">
        <f ca="1">IFERROR(__xludf.DUMMYFUNCTION("""COMPUTED_VALUE"""),FALSE)</f>
        <v>0</v>
      </c>
      <c r="D191" s="2">
        <f ca="1">IFERROR(__xludf.DUMMYFUNCTION("""COMPUTED_VALUE"""),400)</f>
        <v>400</v>
      </c>
      <c r="E191" s="2" t="str">
        <f ca="1">IFERROR(__xludf.DUMMYFUNCTION("""COMPUTED_VALUE"""),"Poisoned Orchid")</f>
        <v>Poisoned Orchid</v>
      </c>
      <c r="F191" s="2" t="str">
        <f ca="1">IFERROR(__xludf.DUMMYFUNCTION("""COMPUTED_VALUE"""),"World of Tentacles")</f>
        <v>World of Tentacles</v>
      </c>
      <c r="G191" s="2" t="str">
        <f ca="1">IFERROR(__xludf.DUMMYFUNCTION("""COMPUTED_VALUE"""),"Body &amp; Beauty")</f>
        <v>Body &amp; Beauty</v>
      </c>
      <c r="H191" s="2" t="str">
        <f ca="1">IFERROR(__xludf.DUMMYFUNCTION("""COMPUTED_VALUE"""),"If there’s one lesson that a Monster Hunter drives home to the hearts of their enemies it’s that old yarn about how every rose has its thorns. As beautiful as you might be you’re at your most dangerous when you’re on your back and your enemy least expects"&amp;" you to be plotting a counter-attack. When you or a sexual partner climaxes you may subtly poison them with a toxin which cumulatively fatigues them while also acting as an aphrodisiac. Alternatively you may choose to use such a climax as a vector for any"&amp;" other toxins, diseases, curses, or other adverse conditions that you are capable of inflicting. For this purpose the duration and intensity of sex can substitute for preparations, actions, and casting time that might otherwise be required.")</f>
        <v>If there’s one lesson that a Monster Hunter drives home to the hearts of their enemies it’s that old yarn about how every rose has its thorns. As beautiful as you might be you’re at your most dangerous when you’re on your back and your enemy least expects you to be plotting a counter-attack. When you or a sexual partner climaxes you may subtly poison them with a toxin which cumulatively fatigues them while also acting as an aphrodisiac. Alternatively you may choose to use such a climax as a vector for any other toxins, diseases, curses, or other adverse conditions that you are capable of inflicting. For this purpose the duration and intensity of sex can substitute for preparations, actions, and casting time that might otherwise be required.</v>
      </c>
      <c r="I191" s="5"/>
    </row>
    <row r="192" spans="1:9" ht="139.19999999999999" x14ac:dyDescent="0.25">
      <c r="A192" s="16"/>
      <c r="B192" s="17">
        <v>188</v>
      </c>
      <c r="C192" s="2" t="b">
        <f ca="1">IFERROR(__xludf.DUMMYFUNCTION("""COMPUTED_VALUE"""),FALSE)</f>
        <v>0</v>
      </c>
      <c r="D192" s="2">
        <f ca="1">IFERROR(__xludf.DUMMYFUNCTION("""COMPUTED_VALUE"""),400)</f>
        <v>400</v>
      </c>
      <c r="E192" s="2" t="str">
        <f ca="1">IFERROR(__xludf.DUMMYFUNCTION("""COMPUTED_VALUE"""),"Predator Body")</f>
        <v>Predator Body</v>
      </c>
      <c r="F192" s="2" t="str">
        <f ca="1">IFERROR(__xludf.DUMMYFUNCTION("""COMPUTED_VALUE"""),"Vore CYOA")</f>
        <v>Vore CYOA</v>
      </c>
      <c r="G192" s="2" t="str">
        <f ca="1">IFERROR(__xludf.DUMMYFUNCTION("""COMPUTED_VALUE"""),"Body &amp; Beauty")</f>
        <v>Body &amp; Beauty</v>
      </c>
      <c r="H192" s="2" t="str">
        <f ca="1">IFERROR(__xludf.DUMMYFUNCTION("""COMPUTED_VALUE"""),"Your body is more elastic than normal humans; capable of stretching any orifice wide to capture prey. What prey, you may ask? Other humans. Voring another person will provide you with a the usual effects of a meal of that size, while having several other "&amp;"effects. Just having them inside you, stretching you and wriggling feels somewhere between satisfying and orgasmic, depending on where you put them. Once they're digested, you may take a portion of the mass and direct it to your body, having it grow stron"&amp;"ger and bigger than other people, up to eight feet in height. You will also find your metabolism supercharged, temporarily enhancing your other powers and/or magics. You can choose which orifices this applies to, including nipples and other odd choices, l"&amp;"ike nostrils.")</f>
        <v>Your body is more elastic than normal humans; capable of stretching any orifice wide to capture prey. What prey, you may ask? Other humans. Voring another person will provide you with a the usual effects of a meal of that size, while having several other effects. Just having them inside you, stretching you and wriggling feels somewhere between satisfying and orgasmic, depending on where you put them. Once they're digested, you may take a portion of the mass and direct it to your body, having it grow stronger and bigger than other people, up to eight feet in height. You will also find your metabolism supercharged, temporarily enhancing your other powers and/or magics. You can choose which orifices this applies to, including nipples and other odd choices, like nostrils.</v>
      </c>
      <c r="I192" s="5"/>
    </row>
    <row r="193" spans="1:9" ht="226.2" x14ac:dyDescent="0.25">
      <c r="A193" s="16"/>
      <c r="B193" s="17">
        <v>189</v>
      </c>
      <c r="C193" s="2" t="b">
        <f ca="1">IFERROR(__xludf.DUMMYFUNCTION("""COMPUTED_VALUE"""),FALSE)</f>
        <v>0</v>
      </c>
      <c r="D193" s="2">
        <f ca="1">IFERROR(__xludf.DUMMYFUNCTION("""COMPUTED_VALUE"""),400)</f>
        <v>400</v>
      </c>
      <c r="E193" s="2" t="str">
        <f ca="1">IFERROR(__xludf.DUMMYFUNCTION("""COMPUTED_VALUE"""),"Proper Protection")</f>
        <v>Proper Protection</v>
      </c>
      <c r="F193" s="2" t="str">
        <f ca="1">IFERROR(__xludf.DUMMYFUNCTION("""COMPUTED_VALUE"""),"Monster Girl Quest V2")</f>
        <v>Monster Girl Quest V2</v>
      </c>
      <c r="G193" s="2" t="str">
        <f ca="1">IFERROR(__xludf.DUMMYFUNCTION("""COMPUTED_VALUE"""),"Body &amp; Beauty")</f>
        <v>Body &amp; Beauty</v>
      </c>
      <c r="H193" s="2" t="str">
        <f ca="1">IFERROR(__xludf.DUMMYFUNCTION("""COMPUTED_VALUE"""),"The chance of death is a major turn off for some people, though they might not think of it in the moment, dying has rather permanent consequences that to some aren’t really worth temporary pleasure. Luckily, you seem to be completely immune against potent"&amp;"ially lethal things in the bedroom. Energy drain, mind being destroyed from pleasure, body breaking down from dark sexual magics, running out of sexual fluids, even sexual addiction, you are immune to all of them. This doesn’t save you from a direct attac"&amp;"k such as a dagger in bed or someone trying to eat you alive after sex, and you can still become tired to the point of being unable to move a muscle or experience such intense pleasure it feels nearly unbearable. However, from sex alone you can’t die or b"&amp;"e permanently disabled such as by as permanently level draining you down to level 1 (Temporarily is still on the table though). This also has the side effect of increasing your perceivable range of pleasure so your mind doesn’t get destroyed by breaking p"&amp;"ast it. Be careful to some in this world this makes you the perfect food source, and they don’t really need to hold back to spare your life anymore, but at least you can experience the ultimate pleasure more than once.")</f>
        <v>The chance of death is a major turn off for some people, though they might not think of it in the moment, dying has rather permanent consequences that to some aren’t really worth temporary pleasure. Luckily, you seem to be completely immune against potentially lethal things in the bedroom. Energy drain, mind being destroyed from pleasure, body breaking down from dark sexual magics, running out of sexual fluids, even sexual addiction, you are immune to all of them. This doesn’t save you from a direct attack such as a dagger in bed or someone trying to eat you alive after sex, and you can still become tired to the point of being unable to move a muscle or experience such intense pleasure it feels nearly unbearable. However, from sex alone you can’t die or be permanently disabled such as by as permanently level draining you down to level 1 (Temporarily is still on the table though). This also has the side effect of increasing your perceivable range of pleasure so your mind doesn’t get destroyed by breaking past it. Be careful to some in this world this makes you the perfect food source, and they don’t really need to hold back to spare your life anymore, but at least you can experience the ultimate pleasure more than once.</v>
      </c>
      <c r="I193" s="5"/>
    </row>
    <row r="194" spans="1:9" ht="174" x14ac:dyDescent="0.25">
      <c r="A194" s="16"/>
      <c r="B194" s="17">
        <v>190</v>
      </c>
      <c r="C194" s="2" t="b">
        <f ca="1">IFERROR(__xludf.DUMMYFUNCTION("""COMPUTED_VALUE"""),FALSE)</f>
        <v>0</v>
      </c>
      <c r="D194" s="2">
        <f ca="1">IFERROR(__xludf.DUMMYFUNCTION("""COMPUTED_VALUE"""),400)</f>
        <v>400</v>
      </c>
      <c r="E194" s="2" t="str">
        <f ca="1">IFERROR(__xludf.DUMMYFUNCTION("""COMPUTED_VALUE"""),"Regular Patient")</f>
        <v>Regular Patient</v>
      </c>
      <c r="F194" s="2" t="str">
        <f ca="1">IFERROR(__xludf.DUMMYFUNCTION("""COMPUTED_VALUE"""),"A Change of Tactics V2.2")</f>
        <v>A Change of Tactics V2.2</v>
      </c>
      <c r="G194" s="2" t="str">
        <f ca="1">IFERROR(__xludf.DUMMYFUNCTION("""COMPUTED_VALUE"""),"Body &amp; Beauty")</f>
        <v>Body &amp; Beauty</v>
      </c>
      <c r="H194" s="2" t="str">
        <f ca="1">IFERROR(__xludf.DUMMYFUNCTION("""COMPUTED_VALUE"""),"The downside of being a soldier is all the time you spend in the medical tent getting patched up after battle. On the plus side this means that your body has grown accustomed to the touch of both healing magic and the healers themselves. You recover quick"&amp;"ly even from life-threatening injuries and can be back on your feet in days after taking wounds that should leave you bedridden for weeks. It also takes much more effort to put you into a critical state in the first place; a blow that should have severed "&amp;"a limb is much more likely to only graze it and leave it temporarily unusable, and scars just aren’t a thing that happens to you (except the kind that makes you look more handsome!). What’s more, clerics and other sorts of healers easily become tempted in"&amp;"to becoming lustful and amorous while tending to your needs, though never to the point of impairing their abilities or your recovery.")</f>
        <v>The downside of being a soldier is all the time you spend in the medical tent getting patched up after battle. On the plus side this means that your body has grown accustomed to the touch of both healing magic and the healers themselves. You recover quickly even from life-threatening injuries and can be back on your feet in days after taking wounds that should leave you bedridden for weeks. It also takes much more effort to put you into a critical state in the first place; a blow that should have severed a limb is much more likely to only graze it and leave it temporarily unusable, and scars just aren’t a thing that happens to you (except the kind that makes you look more handsome!). What’s more, clerics and other sorts of healers easily become tempted into becoming lustful and amorous while tending to your needs, though never to the point of impairing their abilities or your recovery.</v>
      </c>
      <c r="I194" s="5"/>
    </row>
    <row r="195" spans="1:9" ht="69.599999999999994" x14ac:dyDescent="0.25">
      <c r="A195" s="16"/>
      <c r="B195" s="17">
        <v>191</v>
      </c>
      <c r="C195" s="2" t="b">
        <f ca="1">IFERROR(__xludf.DUMMYFUNCTION("""COMPUTED_VALUE"""),FALSE)</f>
        <v>0</v>
      </c>
      <c r="D195" s="2">
        <f ca="1">IFERROR(__xludf.DUMMYFUNCTION("""COMPUTED_VALUE"""),400)</f>
        <v>400</v>
      </c>
      <c r="E195" s="2" t="str">
        <f ca="1">IFERROR(__xludf.DUMMYFUNCTION("""COMPUTED_VALUE"""),"Spititual Body")</f>
        <v>Spititual Body</v>
      </c>
      <c r="F195" s="2" t="str">
        <f ca="1">IFERROR(__xludf.DUMMYFUNCTION("""COMPUTED_VALUE"""),"Princess Sacrifice")</f>
        <v>Princess Sacrifice</v>
      </c>
      <c r="G195" s="2" t="str">
        <f ca="1">IFERROR(__xludf.DUMMYFUNCTION("""COMPUTED_VALUE"""),"Body &amp; Beauty")</f>
        <v>Body &amp; Beauty</v>
      </c>
      <c r="H195" s="2" t="str">
        <f ca="1">IFERROR(__xludf.DUMMYFUNCTION("""COMPUTED_VALUE"""),"Your body is an unaging and immortal thing. Disease and age are a thing of the past for you. A good sword to the gut will still do you in if you aren’t careful. Another good thing about having a spiritual body is the magic it can hold — which is a lot mor"&amp;"e than some measly humans are capable of wielding. After all, you are a creature of nature and magic. It’d be kind of silly to be bad at it.")</f>
        <v>Your body is an unaging and immortal thing. Disease and age are a thing of the past for you. A good sword to the gut will still do you in if you aren’t careful. Another good thing about having a spiritual body is the magic it can hold — which is a lot more than some measly humans are capable of wielding. After all, you are a creature of nature and magic. It’d be kind of silly to be bad at it.</v>
      </c>
      <c r="I195" s="5"/>
    </row>
    <row r="196" spans="1:9" ht="139.19999999999999" x14ac:dyDescent="0.25">
      <c r="A196" s="16"/>
      <c r="B196" s="17">
        <v>192</v>
      </c>
      <c r="C196" s="2" t="b">
        <f ca="1">IFERROR(__xludf.DUMMYFUNCTION("""COMPUTED_VALUE"""),FALSE)</f>
        <v>0</v>
      </c>
      <c r="D196" s="2">
        <f ca="1">IFERROR(__xludf.DUMMYFUNCTION("""COMPUTED_VALUE"""),400)</f>
        <v>400</v>
      </c>
      <c r="E196" s="2" t="str">
        <f ca="1">IFERROR(__xludf.DUMMYFUNCTION("""COMPUTED_VALUE"""),"Steel Trap")</f>
        <v>Steel Trap</v>
      </c>
      <c r="F196" s="2" t="str">
        <f ca="1">IFERROR(__xludf.DUMMYFUNCTION("""COMPUTED_VALUE"""),"Vore CYOA")</f>
        <v>Vore CYOA</v>
      </c>
      <c r="G196" s="2" t="str">
        <f ca="1">IFERROR(__xludf.DUMMYFUNCTION("""COMPUTED_VALUE"""),"Body &amp; Beauty")</f>
        <v>Body &amp; Beauty</v>
      </c>
      <c r="H196" s="2" t="str">
        <f ca="1">IFERROR(__xludf.DUMMYFUNCTION("""COMPUTED_VALUE"""),"Your innards are inescapable- at least, from the inside. No matter how your prey struggles to escape, no matter what powers they have or even what weapons you might have swallowed with them, once they go down they stay down unless you let them out, or the"&amp;"y come out the other end. Teleporting, intangibility, phasing dimensional shifting- nothing like that works from inside you, nor can they cut or blast their way out.
This also applies to those you are bumping uglies with. So long as you are fucking someo"&amp;"ne else, this perk applies.")</f>
        <v>Your innards are inescapable- at least, from the inside. No matter how your prey struggles to escape, no matter what powers they have or even what weapons you might have swallowed with them, once they go down they stay down unless you let them out, or they come out the other end. Teleporting, intangibility, phasing dimensional shifting- nothing like that works from inside you, nor can they cut or blast their way out.
This also applies to those you are bumping uglies with. So long as you are fucking someone else, this perk applies.</v>
      </c>
      <c r="I196" s="5"/>
    </row>
    <row r="197" spans="1:9" ht="121.8" x14ac:dyDescent="0.25">
      <c r="A197" s="16"/>
      <c r="B197" s="17">
        <v>193</v>
      </c>
      <c r="C197" s="2" t="b">
        <f ca="1">IFERROR(__xludf.DUMMYFUNCTION("""COMPUTED_VALUE"""),FALSE)</f>
        <v>0</v>
      </c>
      <c r="D197" s="2">
        <f ca="1">IFERROR(__xludf.DUMMYFUNCTION("""COMPUTED_VALUE"""),400)</f>
        <v>400</v>
      </c>
      <c r="E197" s="2" t="str">
        <f ca="1">IFERROR(__xludf.DUMMYFUNCTION("""COMPUTED_VALUE"""),"Strategic Withdrawl")</f>
        <v>Strategic Withdrawl</v>
      </c>
      <c r="F197" s="2" t="str">
        <f ca="1">IFERROR(__xludf.DUMMYFUNCTION("""COMPUTED_VALUE"""),"A Change of Tactics V2.2")</f>
        <v>A Change of Tactics V2.2</v>
      </c>
      <c r="G197" s="2" t="str">
        <f ca="1">IFERROR(__xludf.DUMMYFUNCTION("""COMPUTED_VALUE"""),"Body &amp; Beauty")</f>
        <v>Body &amp; Beauty</v>
      </c>
      <c r="H197" s="2" t="str">
        <f ca="1">IFERROR(__xludf.DUMMYFUNCTION("""COMPUTED_VALUE"""),"For all that they are skilled warriors even the Shepherds fall prey to bad luck sometimes, but even a true disaster can’t keep them off the battlefield for long. Once per month, any injury that would have killed you will instead only leave you badly wound"&amp;"ed and able to recover quickly provided that you retreat from the battlefield or any other source of danger immediately. However failure to do so puts you at risk of bleeding out or otherwise succumbing to your injuries, and further attacks from your enem"&amp;"ies will not be protected as the first one was. Any situation that prevents you from retreating, such as being held prisoner by your enemies, also prevents this perk from working.")</f>
        <v>For all that they are skilled warriors even the Shepherds fall prey to bad luck sometimes, but even a true disaster can’t keep them off the battlefield for long. Once per month, any injury that would have killed you will instead only leave you badly wounded and able to recover quickly provided that you retreat from the battlefield or any other source of danger immediately. However failure to do so puts you at risk of bleeding out or otherwise succumbing to your injuries, and further attacks from your enemies will not be protected as the first one was. Any situation that prevents you from retreating, such as being held prisoner by your enemies, also prevents this perk from working.</v>
      </c>
      <c r="I197" s="5"/>
    </row>
    <row r="198" spans="1:9" ht="104.4" x14ac:dyDescent="0.25">
      <c r="A198" s="16"/>
      <c r="B198" s="17">
        <v>194</v>
      </c>
      <c r="C198" s="2" t="b">
        <f ca="1">IFERROR(__xludf.DUMMYFUNCTION("""COMPUTED_VALUE"""),FALSE)</f>
        <v>0</v>
      </c>
      <c r="D198" s="2">
        <f ca="1">IFERROR(__xludf.DUMMYFUNCTION("""COMPUTED_VALUE"""),400)</f>
        <v>400</v>
      </c>
      <c r="E198" s="2" t="str">
        <f ca="1">IFERROR(__xludf.DUMMYFUNCTION("""COMPUTED_VALUE"""),"Stud's Armour")</f>
        <v>Stud's Armour</v>
      </c>
      <c r="F198" s="2" t="str">
        <f ca="1">IFERROR(__xludf.DUMMYFUNCTION("""COMPUTED_VALUE"""),"Destiny: Fuck the Darkness")</f>
        <v>Destiny: Fuck the Darkness</v>
      </c>
      <c r="G198" s="2" t="str">
        <f ca="1">IFERROR(__xludf.DUMMYFUNCTION("""COMPUTED_VALUE"""),"Body &amp; Beauty")</f>
        <v>Body &amp; Beauty</v>
      </c>
      <c r="H198" s="2" t="str">
        <f ca="1">IFERROR(__xludf.DUMMYFUNCTION("""COMPUTED_VALUE"""),"Because a body like yours deserves to be admired wherever you go. This high-fantasy looking suit bares the lion’s share of your musculature, and emphasizes it, for all to see, while still providing the protection you would expect from a “normal” set of ar"&amp;"mor. The exact visual style is up to you, but at least 60% of your flesh is going to be on display in the end. Oh yes, and considering you’re going to be flying through space, it is also pressure sealed, because reasons. And it scales, so you can always w"&amp;"ear it.")</f>
        <v>Because a body like yours deserves to be admired wherever you go. This high-fantasy looking suit bares the lion’s share of your musculature, and emphasizes it, for all to see, while still providing the protection you would expect from a “normal” set of armor. The exact visual style is up to you, but at least 60% of your flesh is going to be on display in the end. Oh yes, and considering you’re going to be flying through space, it is also pressure sealed, because reasons. And it scales, so you can always wear it.</v>
      </c>
      <c r="I198" s="5"/>
    </row>
    <row r="199" spans="1:9" ht="121.8" x14ac:dyDescent="0.25">
      <c r="A199" s="16"/>
      <c r="B199" s="17">
        <v>195</v>
      </c>
      <c r="C199" s="2" t="b">
        <f ca="1">IFERROR(__xludf.DUMMYFUNCTION("""COMPUTED_VALUE"""),FALSE)</f>
        <v>0</v>
      </c>
      <c r="D199" s="2">
        <f ca="1">IFERROR(__xludf.DUMMYFUNCTION("""COMPUTED_VALUE"""),500)</f>
        <v>500</v>
      </c>
      <c r="E199" s="2" t="str">
        <f ca="1">IFERROR(__xludf.DUMMYFUNCTION("""COMPUTED_VALUE"""),"Child of the Gods")</f>
        <v>Child of the Gods</v>
      </c>
      <c r="F199" s="2" t="str">
        <f ca="1">IFERROR(__xludf.DUMMYFUNCTION("""COMPUTED_VALUE"""),"Fate/Whore Order")</f>
        <v>Fate/Whore Order</v>
      </c>
      <c r="G199" s="2" t="str">
        <f ca="1">IFERROR(__xludf.DUMMYFUNCTION("""COMPUTED_VALUE"""),"Body &amp; Beauty")</f>
        <v>Body &amp; Beauty</v>
      </c>
      <c r="H199" s="2" t="str">
        <f ca="1">IFERROR(__xludf.DUMMYFUNCTION("""COMPUTED_VALUE"""),"No ordinary boy could become a hero while still a child, but there’s nothing ordinary about a demigod no matter his age. The blood of the gods flows in your veins, granting you strength and potential far beyond any ordinary mortal and even many servants. "&amp;"You’re a near-endless dynamo of both physical and magical power and your stamina recovers very quickly when you exhaust yourself, making you an inhuman terror to anyone foolish enough to think they could dominate you in the bedroom. That's assuming they a"&amp;"ren't slain outright by the sizable 'weapon' that your heritage has given you, something that can slay monsters and horny MILFs alike.")</f>
        <v>No ordinary boy could become a hero while still a child, but there’s nothing ordinary about a demigod no matter his age. The blood of the gods flows in your veins, granting you strength and potential far beyond any ordinary mortal and even many servants. You’re a near-endless dynamo of both physical and magical power and your stamina recovers very quickly when you exhaust yourself, making you an inhuman terror to anyone foolish enough to think they could dominate you in the bedroom. That's assuming they aren't slain outright by the sizable 'weapon' that your heritage has given you, something that can slay monsters and horny MILFs alike.</v>
      </c>
      <c r="I199" s="5"/>
    </row>
    <row r="200" spans="1:9" ht="174" x14ac:dyDescent="0.25">
      <c r="A200" s="16"/>
      <c r="B200" s="17">
        <v>196</v>
      </c>
      <c r="C200" s="2" t="b">
        <f ca="1">IFERROR(__xludf.DUMMYFUNCTION("""COMPUTED_VALUE"""),FALSE)</f>
        <v>0</v>
      </c>
      <c r="D200" s="2">
        <f ca="1">IFERROR(__xludf.DUMMYFUNCTION("""COMPUTED_VALUE"""),500)</f>
        <v>500</v>
      </c>
      <c r="E200" s="2" t="str">
        <f ca="1">IFERROR(__xludf.DUMMYFUNCTION("""COMPUTED_VALUE"""),"Group Mind Bodies")</f>
        <v>Group Mind Bodies</v>
      </c>
      <c r="F200" s="2" t="str">
        <f ca="1">IFERROR(__xludf.DUMMYFUNCTION("""COMPUTED_VALUE"""),"Generic: Lewd Science Fiction")</f>
        <v>Generic: Lewd Science Fiction</v>
      </c>
      <c r="G200" s="2" t="str">
        <f ca="1">IFERROR(__xludf.DUMMYFUNCTION("""COMPUTED_VALUE"""),"Body &amp; Beauty")</f>
        <v>Body &amp; Beauty</v>
      </c>
      <c r="H200" s="2" t="str">
        <f ca="1">IFERROR(__xludf.DUMMYFUNCTION("""COMPUTED_VALUE"""),"Thanks to breakthroughs in neural transference, you are now the hub of a group mind – five more bodies are linked to your mental command. Because your mental processing is somewhat shared across the five minds, you will find you have gained a fivefold inc"&amp;"rease in your multitasking, but your original body remains the hub of the network. Any deaths of the extra five group bodies don’t affect you very much aside from having to experience them dying, while the death of your primary body will send you home bar"&amp;"ring extra measures. 
Each of these bodies can be of different appearances, or just copies of yourself. Because your senses are also linked, you will experience everything they do. They don’t have minds of their own. They retain any modifications you mak"&amp;"e to them.")</f>
        <v>Thanks to breakthroughs in neural transference, you are now the hub of a group mind – five more bodies are linked to your mental command. Because your mental processing is somewhat shared across the five minds, you will find you have gained a fivefold increase in your multitasking, but your original body remains the hub of the network. Any deaths of the extra five group bodies don’t affect you very much aside from having to experience them dying, while the death of your primary body will send you home barring extra measures. 
Each of these bodies can be of different appearances, or just copies of yourself. Because your senses are also linked, you will experience everything they do. They don’t have minds of their own. They retain any modifications you make to them.</v>
      </c>
      <c r="I200" s="5"/>
    </row>
    <row r="201" spans="1:9" ht="87" x14ac:dyDescent="0.25">
      <c r="A201" s="16"/>
      <c r="B201" s="17">
        <v>197</v>
      </c>
      <c r="C201" s="2" t="b">
        <f ca="1">IFERROR(__xludf.DUMMYFUNCTION("""COMPUTED_VALUE"""),FALSE)</f>
        <v>0</v>
      </c>
      <c r="D201" s="2">
        <f ca="1">IFERROR(__xludf.DUMMYFUNCTION("""COMPUTED_VALUE"""),500)</f>
        <v>500</v>
      </c>
      <c r="E201" s="2" t="str">
        <f ca="1">IFERROR(__xludf.DUMMYFUNCTION("""COMPUTED_VALUE"""),"Ring of Monarchs")</f>
        <v>Ring of Monarchs</v>
      </c>
      <c r="F201" s="2" t="str">
        <f ca="1">IFERROR(__xludf.DUMMYFUNCTION("""COMPUTED_VALUE"""),"Monster Girl Dreams 1.3 - The Pre-Capitol Update")</f>
        <v>Monster Girl Dreams 1.3 - The Pre-Capitol Update</v>
      </c>
      <c r="G201" s="2" t="str">
        <f ca="1">IFERROR(__xludf.DUMMYFUNCTION("""COMPUTED_VALUE"""),"Body &amp; Beauty")</f>
        <v>Body &amp; Beauty</v>
      </c>
      <c r="H201" s="2" t="str">
        <f ca="1">IFERROR(__xludf.DUMMYFUNCTION("""COMPUTED_VALUE"""),"An ornate golden ring with a gem-encrusted crown shaped sigil. It greatly increases your strength, stamina, and virility/fertility, but the regal pride it imbues you with makes you more vulnerable to flattery and seduction, as well as making you a bit mor"&amp;"e unlucky for your hubris.")</f>
        <v>An ornate golden ring with a gem-encrusted crown shaped sigil. It greatly increases your strength, stamina, and virility/fertility, but the regal pride it imbues you with makes you more vulnerable to flattery and seduction, as well as making you a bit more unlucky for your hubris.</v>
      </c>
      <c r="I201" s="5"/>
    </row>
    <row r="202" spans="1:9" ht="87" x14ac:dyDescent="0.25">
      <c r="A202" s="16"/>
      <c r="B202" s="17">
        <v>198</v>
      </c>
      <c r="C202" s="2" t="b">
        <f ca="1">IFERROR(__xludf.DUMMYFUNCTION("""COMPUTED_VALUE"""),FALSE)</f>
        <v>0</v>
      </c>
      <c r="D202" s="2">
        <f ca="1">IFERROR(__xludf.DUMMYFUNCTION("""COMPUTED_VALUE"""),500)</f>
        <v>500</v>
      </c>
      <c r="E202" s="2" t="str">
        <f ca="1">IFERROR(__xludf.DUMMYFUNCTION("""COMPUTED_VALUE"""),"Show Me Your Face")</f>
        <v>Show Me Your Face</v>
      </c>
      <c r="F202" s="2" t="str">
        <f ca="1">IFERROR(__xludf.DUMMYFUNCTION("""COMPUTED_VALUE"""),"Ane Naru Mono")</f>
        <v>Ane Naru Mono</v>
      </c>
      <c r="G202" s="2" t="str">
        <f ca="1">IFERROR(__xludf.DUMMYFUNCTION("""COMPUTED_VALUE"""),"Body &amp; Beauty")</f>
        <v>Body &amp; Beauty</v>
      </c>
      <c r="H202" s="2" t="str">
        <f ca="1">IFERROR(__xludf.DUMMYFUNCTION("""COMPUTED_VALUE"""),"Ah. Strictly speaking, this is a beauty perk. But, with you being so far above humanity, and their own tendencies with things they do not understand… Simply put, when they look at you, their senses are magnified. So beautiful it hurts to look at you. Your"&amp;" gentle caress the best they’ve ever felt. Your love is so good it drives them crazy. You could dial this back with condensed form, or drive it even higher and take over their mind for a short while.")</f>
        <v>Ah. Strictly speaking, this is a beauty perk. But, with you being so far above humanity, and their own tendencies with things they do not understand… Simply put, when they look at you, their senses are magnified. So beautiful it hurts to look at you. Your gentle caress the best they’ve ever felt. Your love is so good it drives them crazy. You could dial this back with condensed form, or drive it even higher and take over their mind for a short while.</v>
      </c>
      <c r="I202" s="5"/>
    </row>
    <row r="203" spans="1:9" ht="139.19999999999999" x14ac:dyDescent="0.25">
      <c r="A203" s="16"/>
      <c r="B203" s="17">
        <v>199</v>
      </c>
      <c r="C203" s="2" t="b">
        <f ca="1">IFERROR(__xludf.DUMMYFUNCTION("""COMPUTED_VALUE"""),FALSE)</f>
        <v>0</v>
      </c>
      <c r="D203" s="2">
        <f ca="1">IFERROR(__xludf.DUMMYFUNCTION("""COMPUTED_VALUE"""),500)</f>
        <v>500</v>
      </c>
      <c r="E203" s="2" t="str">
        <f ca="1">IFERROR(__xludf.DUMMYFUNCTION("""COMPUTED_VALUE"""),"The Benefits of Power")</f>
        <v>The Benefits of Power</v>
      </c>
      <c r="F203" s="2" t="str">
        <f ca="1">IFERROR(__xludf.DUMMYFUNCTION("""COMPUTED_VALUE"""),"Prina the Dungeoneering Princess")</f>
        <v>Prina the Dungeoneering Princess</v>
      </c>
      <c r="G203" s="2" t="str">
        <f ca="1">IFERROR(__xludf.DUMMYFUNCTION("""COMPUTED_VALUE"""),"Body &amp; Beauty")</f>
        <v>Body &amp; Beauty</v>
      </c>
      <c r="H203" s="2" t="str">
        <f ca="1">IFERROR(__xludf.DUMMYFUNCTION("""COMPUTED_VALUE"""),"I once called the god who designed the angels blessing a pervert. I shall now do so again. You see, while it makes sense that the succubus and demons beneath Prulina would be all but built for sex, it makes no sense at all for the angels to be as well. Th"&amp;"ough I suppose that could be attributed to Mezel being a fallen angel and not a normal one. Regardless, Mezel continuously ‘revealed’ aspects of her lustful body in and attempt to force Prina to fall to lust and agree to marry her. In a similar vein, once"&amp;" per day you can pull similar tricks, techniques, and unusual body parts out of thin air. A magic spell that doubles your pleasure, growing a second prostate, a seventh cervix, or any other similar porn logic body part.")</f>
        <v>I once called the god who designed the angels blessing a pervert. I shall now do so again. You see, while it makes sense that the succubus and demons beneath Prulina would be all but built for sex, it makes no sense at all for the angels to be as well. Though I suppose that could be attributed to Mezel being a fallen angel and not a normal one. Regardless, Mezel continuously ‘revealed’ aspects of her lustful body in and attempt to force Prina to fall to lust and agree to marry her. In a similar vein, once per day you can pull similar tricks, techniques, and unusual body parts out of thin air. A magic spell that doubles your pleasure, growing a second prostate, a seventh cervix, or any other similar porn logic body part.</v>
      </c>
      <c r="I203" s="5"/>
    </row>
    <row r="204" spans="1:9" ht="278.39999999999998" x14ac:dyDescent="0.25">
      <c r="A204" s="16"/>
      <c r="B204" s="17">
        <v>200</v>
      </c>
      <c r="C204" s="2" t="b">
        <f ca="1">IFERROR(__xludf.DUMMYFUNCTION("""COMPUTED_VALUE"""),FALSE)</f>
        <v>0</v>
      </c>
      <c r="D204" s="2">
        <f ca="1">IFERROR(__xludf.DUMMYFUNCTION("""COMPUTED_VALUE"""),500)</f>
        <v>500</v>
      </c>
      <c r="E204" s="2" t="str">
        <f ca="1">IFERROR(__xludf.DUMMYFUNCTION("""COMPUTED_VALUE"""),"You Like Me, Don't You?")</f>
        <v>You Like Me, Don't You?</v>
      </c>
      <c r="F204" s="2" t="str">
        <f ca="1">IFERROR(__xludf.DUMMYFUNCTION("""COMPUTED_VALUE"""),"The World of Lolis")</f>
        <v>The World of Lolis</v>
      </c>
      <c r="G204" s="2" t="str">
        <f ca="1">IFERROR(__xludf.DUMMYFUNCTION("""COMPUTED_VALUE"""),"Body &amp; Beauty")</f>
        <v>Body &amp; Beauty</v>
      </c>
      <c r="H204" s="2" t="str">
        <f ca="1">IFERROR(__xludf.DUMMYFUNCTION("""COMPUTED_VALUE"""),"They can deny liking you all they like; their hard-on says otherwise. You have a supernatural attractiveness about you, something that seems to transcend the personal taste of the person being attracted to you. Your expressions, your appearance, even your"&amp;" actions; their eyes tend to glue onto you while they watch you move about, and your every action turns into incredibly suggestive ones, even by accident. Something as mundane as eating a popsicle can make a person’s heart beat faster as they watch you ac"&amp;"t in ways that just bleed lewdness.
They might be embarrassed or ashamed of themselves after, but you can sear the sight of you into their brain, your mere presence beginning to corrupt the people around you into liking whatever category of person your c"&amp;"urrent form falls into, male, female, futa, MILF, tomboy, etc. If you were to actually focus on somebody, the effect would be magnified- they simply wouldn’t be able to get you out of their head, to the point even their dreams would be all about you. It’d"&amp;" be easy to seduce them then, as they’d want to give into the person that just burned a new fetish into their brain.
This perk only affects the people you like and/or are attracted to and can be toggled on and off besides.")</f>
        <v>They can deny liking you all they like; their hard-on says otherwise. You have a supernatural attractiveness about you, something that seems to transcend the personal taste of the person being attracted to you. Your expressions, your appearance, even your actions; their eyes tend to glue onto you while they watch you move about, and your every action turns into incredibly suggestive ones, even by accident. Something as mundane as eating a popsicle can make a person’s heart beat faster as they watch you act in ways that just bleed lewdness.
They might be embarrassed or ashamed of themselves after, but you can sear the sight of you into their brain, your mere presence beginning to corrupt the people around you into liking whatever category of person your current form falls into, male, female, futa, MILF, tomboy, etc. If you were to actually focus on somebody, the effect would be magnified- they simply wouldn’t be able to get you out of their head, to the point even their dreams would be all about you. It’d be easy to seduce them then, as they’d want to give into the person that just burned a new fetish into their brain.
This perk only affects the people you like and/or are attracted to and can be toggled on and off besides.</v>
      </c>
      <c r="I204" s="5"/>
    </row>
    <row r="205" spans="1:9" ht="121.8" x14ac:dyDescent="0.25">
      <c r="A205" s="16"/>
      <c r="B205" s="17">
        <v>201</v>
      </c>
      <c r="C205" s="2" t="b">
        <f ca="1">IFERROR(__xludf.DUMMYFUNCTION("""COMPUTED_VALUE"""),FALSE)</f>
        <v>0</v>
      </c>
      <c r="D205" s="2">
        <f ca="1">IFERROR(__xludf.DUMMYFUNCTION("""COMPUTED_VALUE"""),600)</f>
        <v>600</v>
      </c>
      <c r="E205" s="2" t="str">
        <f ca="1">IFERROR(__xludf.DUMMYFUNCTION("""COMPUTED_VALUE"""),"Pinkie Sense")</f>
        <v>Pinkie Sense</v>
      </c>
      <c r="F205" s="2" t="str">
        <f ca="1">IFERROR(__xludf.DUMMYFUNCTION("""COMPUTED_VALUE"""),"Erotic Equestria")</f>
        <v>Erotic Equestria</v>
      </c>
      <c r="G205" s="2" t="str">
        <f ca="1">IFERROR(__xludf.DUMMYFUNCTION("""COMPUTED_VALUE"""),"Body &amp; Beauty")</f>
        <v>Body &amp; Beauty</v>
      </c>
      <c r="H205" s="2" t="str">
        <f ca="1">IFERROR(__xludf.DUMMYFUNCTION("""COMPUTED_VALUE"""),"You seem to have something in common with the bundle of energy and excitement that is Pinkie Pie. Your body is strangely precognitive, with a variety of sensations cropping up in response to oncoming events. This is especially true when it comes to events"&amp;" of a more salacious nature. You might notice a disguised changeling by the fact that you taste lemonade rather than cranberry juice when you eat her out, or your hairline tingles when someone is thinking about you while masturbating. This ability will ta"&amp;"ke some experience to figure out, but is difficult to fool since so few have it.")</f>
        <v>You seem to have something in common with the bundle of energy and excitement that is Pinkie Pie. Your body is strangely precognitive, with a variety of sensations cropping up in response to oncoming events. This is especially true when it comes to events of a more salacious nature. You might notice a disguised changeling by the fact that you taste lemonade rather than cranberry juice when you eat her out, or your hairline tingles when someone is thinking about you while masturbating. This ability will take some experience to figure out, but is difficult to fool since so few have it.</v>
      </c>
      <c r="I205" s="5"/>
    </row>
    <row r="206" spans="1:9" ht="174" x14ac:dyDescent="0.25">
      <c r="A206" s="16"/>
      <c r="B206" s="17">
        <v>202</v>
      </c>
      <c r="C206" s="2" t="b">
        <f ca="1">IFERROR(__xludf.DUMMYFUNCTION("""COMPUTED_VALUE"""),FALSE)</f>
        <v>0</v>
      </c>
      <c r="D206" s="2">
        <f ca="1">IFERROR(__xludf.DUMMYFUNCTION("""COMPUTED_VALUE"""),600)</f>
        <v>600</v>
      </c>
      <c r="E206" s="2" t="str">
        <f ca="1">IFERROR(__xludf.DUMMYFUNCTION("""COMPUTED_VALUE"""),"Simple Superiority")</f>
        <v>Simple Superiority</v>
      </c>
      <c r="F206" s="2" t="str">
        <f ca="1">IFERROR(__xludf.DUMMYFUNCTION("""COMPUTED_VALUE"""),"Naruto Blacked")</f>
        <v>Naruto Blacked</v>
      </c>
      <c r="G206" s="2" t="str">
        <f ca="1">IFERROR(__xludf.DUMMYFUNCTION("""COMPUTED_VALUE"""),"Body &amp; Beauty")</f>
        <v>Body &amp; Beauty</v>
      </c>
      <c r="H206" s="2" t="str">
        <f ca="1">IFERROR(__xludf.DUMMYFUNCTION("""COMPUTED_VALUE"""),"It is the total truth that you are superior to others, and if other men were smart they’d be worried to even be in the same room as you- not that it would do them any good. To a lesser man you are the immovable object, and any attempt to one-up you or oth"&amp;"erwise assert superiority either fails, backfires spectacularly, or provides you with a perfect chance to steal their women from them. Attacking you without a major strength advantage only ends in broken fists and shattered blades while anyone trying to h"&amp;"umiliate you becomes vulnerable to getting a taste of their own medicine. In other words, a direct competition between yourself and another man almost certain to end in a very humiliating loss for your enemies unless they have you at a serious disadvantag"&amp;"e. Of course any women who observe these “competitions” can’t help but notice how superior you are to your enemies and take an interest of their own in you.")</f>
        <v>It is the total truth that you are superior to others, and if other men were smart they’d be worried to even be in the same room as you- not that it would do them any good. To a lesser man you are the immovable object, and any attempt to one-up you or otherwise assert superiority either fails, backfires spectacularly, or provides you with a perfect chance to steal their women from them. Attacking you without a major strength advantage only ends in broken fists and shattered blades while anyone trying to humiliate you becomes vulnerable to getting a taste of their own medicine. In other words, a direct competition between yourself and another man almost certain to end in a very humiliating loss for your enemies unless they have you at a serious disadvantage. Of course any women who observe these “competitions” can’t help but notice how superior you are to your enemies and take an interest of their own in you.</v>
      </c>
      <c r="I206" s="5"/>
    </row>
    <row r="207" spans="1:9" ht="104.4" x14ac:dyDescent="0.25">
      <c r="A207" s="16"/>
      <c r="B207" s="17">
        <v>203</v>
      </c>
      <c r="C207" s="2" t="b">
        <f ca="1">IFERROR(__xludf.DUMMYFUNCTION("""COMPUTED_VALUE"""),FALSE)</f>
        <v>0</v>
      </c>
      <c r="D207" s="2">
        <f ca="1">IFERROR(__xludf.DUMMYFUNCTION("""COMPUTED_VALUE"""),600)</f>
        <v>600</v>
      </c>
      <c r="E207" s="2" t="str">
        <f ca="1">IFERROR(__xludf.DUMMYFUNCTION("""COMPUTED_VALUE"""),"Spare Body")</f>
        <v>Spare Body</v>
      </c>
      <c r="F207" s="2" t="str">
        <f ca="1">IFERROR(__xludf.DUMMYFUNCTION("""COMPUTED_VALUE"""),"Magical Girl Celesphonia")</f>
        <v>Magical Girl Celesphonia</v>
      </c>
      <c r="G207" s="2" t="str">
        <f ca="1">IFERROR(__xludf.DUMMYFUNCTION("""COMPUTED_VALUE"""),"Body &amp; Beauty")</f>
        <v>Body &amp; Beauty</v>
      </c>
      <c r="H207" s="2" t="str">
        <f ca="1">IFERROR(__xludf.DUMMYFUNCTION("""COMPUTED_VALUE"""),"Man, it's a real scary world out there. If you’re really unlucky, you might get annihilated by a pissed-off magical girl before you even know what’s happening! Thankfully, you have a backup plan. Sequestered away somewhere safe and hidden is a large tank,"&amp;" containing a copy of your body. If you happen to die somehow, your soul will automatically transfer to it, allowing you a second chance at destroying your enemy! Be careful though, you only get one per decade (though they can be stockpiled)!")</f>
        <v>Man, it's a real scary world out there. If you’re really unlucky, you might get annihilated by a pissed-off magical girl before you even know what’s happening! Thankfully, you have a backup plan. Sequestered away somewhere safe and hidden is a large tank, containing a copy of your body. If you happen to die somehow, your soul will automatically transfer to it, allowing you a second chance at destroying your enemy! Be careful though, you only get one per decade (though they can be stockpiled)!</v>
      </c>
      <c r="I207" s="5"/>
    </row>
    <row r="208" spans="1:9" ht="104.4" x14ac:dyDescent="0.25">
      <c r="A208" s="16"/>
      <c r="B208" s="17">
        <v>204</v>
      </c>
      <c r="C208" s="2" t="b">
        <f ca="1">IFERROR(__xludf.DUMMYFUNCTION("""COMPUTED_VALUE"""),FALSE)</f>
        <v>0</v>
      </c>
      <c r="D208" s="2">
        <f ca="1">IFERROR(__xludf.DUMMYFUNCTION("""COMPUTED_VALUE"""),600)</f>
        <v>600</v>
      </c>
      <c r="E208" s="2" t="str">
        <f ca="1">IFERROR(__xludf.DUMMYFUNCTION("""COMPUTED_VALUE"""),"TITAN SMASH")</f>
        <v>TITAN SMASH</v>
      </c>
      <c r="F208" s="2" t="str">
        <f ca="1">IFERROR(__xludf.DUMMYFUNCTION("""COMPUTED_VALUE"""),"Destiny: Fuck the Darkness")</f>
        <v>Destiny: Fuck the Darkness</v>
      </c>
      <c r="G208" s="2" t="str">
        <f ca="1">IFERROR(__xludf.DUMMYFUNCTION("""COMPUTED_VALUE"""),"Body &amp; Beauty")</f>
        <v>Body &amp; Beauty</v>
      </c>
      <c r="H208" s="2" t="str">
        <f ca="1">IFERROR(__xludf.DUMMYFUNCTION("""COMPUTED_VALUE"""),"I’m sure you’ve encountered Perks that offer guarantees that, no matter how strong you are, you won’t turn a lover of yours into red paste by accident if you can bench press a mountain. This, is not quite one of those Perks. Sure, this comes with an assur"&amp;"ance that you won’t cause any lasting damage, but all that muscle of yours? USE IT. The more sheer strength you put behind every thrust the better it will feel for both yourself and your lover. So go ahead, pound Mara Sov so hard she can’t walk for a mont"&amp;"h. She’ll still be enthusiastically thanking you.")</f>
        <v>I’m sure you’ve encountered Perks that offer guarantees that, no matter how strong you are, you won’t turn a lover of yours into red paste by accident if you can bench press a mountain. This, is not quite one of those Perks. Sure, this comes with an assurance that you won’t cause any lasting damage, but all that muscle of yours? USE IT. The more sheer strength you put behind every thrust the better it will feel for both yourself and your lover. So go ahead, pound Mara Sov so hard she can’t walk for a month. She’ll still be enthusiastically thanking you.</v>
      </c>
      <c r="I208" s="5"/>
    </row>
    <row r="209" spans="1:9" ht="52.2" x14ac:dyDescent="0.25">
      <c r="A209" s="16"/>
      <c r="B209" s="17">
        <v>205</v>
      </c>
      <c r="C209" s="2" t="b">
        <f ca="1">IFERROR(__xludf.DUMMYFUNCTION("""COMPUTED_VALUE"""),FALSE)</f>
        <v>0</v>
      </c>
      <c r="D209" s="2">
        <f ca="1">IFERROR(__xludf.DUMMYFUNCTION("""COMPUTED_VALUE"""),600)</f>
        <v>600</v>
      </c>
      <c r="E209" s="2" t="str">
        <f ca="1">IFERROR(__xludf.DUMMYFUNCTION("""COMPUTED_VALUE"""),"Vial of Elixir")</f>
        <v>Vial of Elixir</v>
      </c>
      <c r="F209" s="2" t="str">
        <f ca="1">IFERROR(__xludf.DUMMYFUNCTION("""COMPUTED_VALUE"""),"Princess Sacrifice")</f>
        <v>Princess Sacrifice</v>
      </c>
      <c r="G209" s="2" t="str">
        <f ca="1">IFERROR(__xludf.DUMMYFUNCTION("""COMPUTED_VALUE"""),"Body &amp; Beauty")</f>
        <v>Body &amp; Beauty</v>
      </c>
      <c r="H209" s="2" t="str">
        <f ca="1">IFERROR(__xludf.DUMMYFUNCTION("""COMPUTED_VALUE"""),"A vial of Elixir — a crazy great find! An Elixir is literally a liquid substance that can fully heal a person, replenish their power, remove all status effects, AND regenerate clothing all at the same time. It’s amazing and — we only give you one. Don’t w"&amp;"orry, it regenerates every 24 hours")</f>
        <v>A vial of Elixir — a crazy great find! An Elixir is literally a liquid substance that can fully heal a person, replenish their power, remove all status effects, AND regenerate clothing all at the same time. It’s amazing and — we only give you one. Don’t worry, it regenerates every 24 hours</v>
      </c>
      <c r="I209" s="5"/>
    </row>
    <row r="210" spans="1:9" ht="104.4" x14ac:dyDescent="0.25">
      <c r="A210" s="16"/>
      <c r="B210" s="17">
        <v>206</v>
      </c>
      <c r="C210" s="2" t="b">
        <f ca="1">IFERROR(__xludf.DUMMYFUNCTION("""COMPUTED_VALUE"""),FALSE)</f>
        <v>0</v>
      </c>
      <c r="D210" s="2">
        <f ca="1">IFERROR(__xludf.DUMMYFUNCTION("""COMPUTED_VALUE"""),700)</f>
        <v>700</v>
      </c>
      <c r="E210" s="2" t="str">
        <f ca="1">IFERROR(__xludf.DUMMYFUNCTION("""COMPUTED_VALUE"""),"Cloning Pinks")</f>
        <v>Cloning Pinks</v>
      </c>
      <c r="F210" s="2" t="str">
        <f ca="1">IFERROR(__xludf.DUMMYFUNCTION("""COMPUTED_VALUE"""),"Victim Girls (Veronica Edition)")</f>
        <v>Victim Girls (Veronica Edition)</v>
      </c>
      <c r="G210" s="2" t="str">
        <f ca="1">IFERROR(__xludf.DUMMYFUNCTION("""COMPUTED_VALUE"""),"Body &amp; Beauty")</f>
        <v>Body &amp; Beauty</v>
      </c>
      <c r="H210" s="2" t="str">
        <f ca="1">IFERROR(__xludf.DUMMYFUNCTION("""COMPUTED_VALUE"""),"An alchemical vat specialised in a certain magical process. It’s intended to clone the user, creating a physically and magically identical body while also allowing for modifications to be done mid-process. The tube will attach a special spell that links y"&amp;"our soul to these bodies, letting you automatically resurrect into them if your current body were to die. The tool doesn’t work quickly, making a new clone every few weeks, but it’ll give you a lot more room to make mistakes or play around with different "&amp;"shapes.")</f>
        <v>An alchemical vat specialised in a certain magical process. It’s intended to clone the user, creating a physically and magically identical body while also allowing for modifications to be done mid-process. The tube will attach a special spell that links your soul to these bodies, letting you automatically resurrect into them if your current body were to die. The tool doesn’t work quickly, making a new clone every few weeks, but it’ll give you a lot more room to make mistakes or play around with different shapes.</v>
      </c>
      <c r="I210" s="5"/>
    </row>
    <row r="211" spans="1:9" ht="17.399999999999999" x14ac:dyDescent="0.25">
      <c r="A211" s="16"/>
      <c r="B211" s="17"/>
      <c r="C211" s="2" t="b">
        <f ca="1">IFERROR(__xludf.DUMMYFUNCTION("""COMPUTED_VALUE"""),TRUE)</f>
        <v>1</v>
      </c>
      <c r="D211" s="2">
        <f ca="1">IFERROR(__xludf.DUMMYFUNCTION("""COMPUTED_VALUE"""),-100)</f>
        <v>-100</v>
      </c>
      <c r="E211" s="2" t="str">
        <f ca="1">IFERROR(__xludf.DUMMYFUNCTION("""COMPUTED_VALUE"""),"Purchased Perks")</f>
        <v>Purchased Perks</v>
      </c>
      <c r="F211" s="2">
        <f ca="1">IFERROR(__xludf.DUMMYFUNCTION("""COMPUTED_VALUE"""),2)</f>
        <v>2</v>
      </c>
      <c r="G211" s="2" t="str">
        <f ca="1">IFERROR(__xludf.DUMMYFUNCTION("""COMPUTED_VALUE"""),"Body &amp; Beauty")</f>
        <v>Body &amp; Beauty</v>
      </c>
      <c r="H211" s="2"/>
      <c r="I211" s="5"/>
    </row>
    <row r="212" spans="1:9" ht="87" x14ac:dyDescent="0.25">
      <c r="A212" s="16"/>
      <c r="B212" s="17"/>
      <c r="C212" s="2" t="b">
        <f ca="1">IFERROR(__xludf.DUMMYFUNCTION("""COMPUTED_VALUE"""),TRUE)</f>
        <v>1</v>
      </c>
      <c r="D212" s="2">
        <f ca="1">IFERROR(__xludf.DUMMYFUNCTION("""COMPUTED_VALUE"""),0)</f>
        <v>0</v>
      </c>
      <c r="E212" s="2" t="str">
        <f ca="1">IFERROR(__xludf.DUMMYFUNCTION("""COMPUTED_VALUE"""),"Build of an Athlete")</f>
        <v>Build of an Athlete</v>
      </c>
      <c r="F212" s="2" t="str">
        <f ca="1">IFERROR(__xludf.DUMMYFUNCTION("""COMPUTED_VALUE"""),"It’s a Straight Line Once You Fall in Love!")</f>
        <v>It’s a Straight Line Once You Fall in Love!</v>
      </c>
      <c r="G212" s="2" t="str">
        <f ca="1">IFERROR(__xludf.DUMMYFUNCTION("""COMPUTED_VALUE"""),"Body &amp; Beauty")</f>
        <v>Body &amp; Beauty</v>
      </c>
      <c r="H212" s="2" t="str">
        <f ca="1">IFERROR(__xludf.DUMMYFUNCTION("""COMPUTED_VALUE"""),"Of course we need to at least give you this much! Even if sex wasn’t an already physically demanding activity, this isn’t just about sex—it’s about sex as a sport, and there’s no such thing as an unfit athlete... at least, not one who succeeds, at any rat"&amp;"e. You are quite physically fit—nowhere near peak human, but more along the lines of what you’d expect of a college sports star (although this doesn’t give the athletic skill needed to actually be one).")</f>
        <v>Of course we need to at least give you this much! Even if sex wasn’t an already physically demanding activity, this isn’t just about sex—it’s about sex as a sport, and there’s no such thing as an unfit athlete... at least, not one who succeeds, at any rate. You are quite physically fit—nowhere near peak human, but more along the lines of what you’d expect of a college sports star (although this doesn’t give the athletic skill needed to actually be one).</v>
      </c>
      <c r="I212" s="5"/>
    </row>
    <row r="213" spans="1:9" ht="69.599999999999994" x14ac:dyDescent="0.25">
      <c r="A213" s="16"/>
      <c r="B213" s="17"/>
      <c r="C213" s="2" t="b">
        <f ca="1">IFERROR(__xludf.DUMMYFUNCTION("""COMPUTED_VALUE"""),TRUE)</f>
        <v>1</v>
      </c>
      <c r="D213" s="2">
        <f ca="1">IFERROR(__xludf.DUMMYFUNCTION("""COMPUTED_VALUE"""),100)</f>
        <v>100</v>
      </c>
      <c r="E213" s="2" t="str">
        <f ca="1">IFERROR(__xludf.DUMMYFUNCTION("""COMPUTED_VALUE"""),"Comfort in Mobility")</f>
        <v>Comfort in Mobility</v>
      </c>
      <c r="F213" s="2" t="str">
        <f ca="1">IFERROR(__xludf.DUMMYFUNCTION("""COMPUTED_VALUE"""),"SUPER FATTY RPG")</f>
        <v>SUPER FATTY RPG</v>
      </c>
      <c r="G213" s="2" t="str">
        <f ca="1">IFERROR(__xludf.DUMMYFUNCTION("""COMPUTED_VALUE"""),"Body &amp; Beauty")</f>
        <v>Body &amp; Beauty</v>
      </c>
      <c r="H213" s="2" t="str">
        <f ca="1">IFERROR(__xludf.DUMMYFUNCTION("""COMPUTED_VALUE"""),"This perk will ensure that you are never uncomfortable at any size, even in a body that might be considered more alive. Your weight will never press down like a boulder on your chest, and your assets will never sag regardless of size. In addition, if your"&amp;" breasts are filled with milk the soreness will be somewhat pleasant as well. Can be shared with others, if you're feeling generous.")</f>
        <v>This perk will ensure that you are never uncomfortable at any size, even in a body that might be considered more alive. Your weight will never press down like a boulder on your chest, and your assets will never sag regardless of size. In addition, if your breasts are filled with milk the soreness will be somewhat pleasant as well. Can be shared with others, if you're feeling generous.</v>
      </c>
      <c r="I213" s="5"/>
    </row>
    <row r="214" spans="1:9" ht="313.2" x14ac:dyDescent="0.25">
      <c r="A214" s="16"/>
      <c r="B214" s="17"/>
      <c r="C214" s="2" t="b">
        <f ca="1">IFERROR(__xludf.DUMMYFUNCTION("""COMPUTED_VALUE"""),TRUE)</f>
        <v>1</v>
      </c>
      <c r="D214" s="2">
        <f ca="1">IFERROR(__xludf.DUMMYFUNCTION("""COMPUTED_VALUE"""),100)</f>
        <v>100</v>
      </c>
      <c r="E214" s="2" t="str">
        <f ca="1">IFERROR(__xludf.DUMMYFUNCTION("""COMPUTED_VALUE"""),"Flaunting the Namesakes")</f>
        <v>Flaunting the Namesakes</v>
      </c>
      <c r="F214" s="2" t="str">
        <f ca="1">IFERROR(__xludf.DUMMYFUNCTION("""COMPUTED_VALUE"""),"Paccsu")</f>
        <v>Paccsu</v>
      </c>
      <c r="G214" s="2" t="str">
        <f ca="1">IFERROR(__xludf.DUMMYFUNCTION("""COMPUTED_VALUE"""),"Body &amp; Beauty")</f>
        <v>Body &amp; Beauty</v>
      </c>
      <c r="H214" s="2" t="str">
        <f ca="1">IFERROR(__xludf.DUMMYFUNCTION("""COMPUTED_VALUE"""),"While the world of Paccsu is one of extremes in terms of bodily proportions, one group in particular gets the main focus in this sort of thing: the “affectionately” nicknamed 'boobie snakes' of Clan Tiss'i. Even though there exist beings with boobs bigger"&amp;" and more impressive than theirs, people always seem to be enamored by those of Clan Tiss'i, and by taking this perk such a thing will also apply to you.
Regardless of whether you have boobs or pecs, they gain an “aura” around itself which gives grandeur"&amp;" onto those that see them. It also makes them incredibly “comfortable” to touch/lay on and turns them into a strong erogenous zone for you. The impressiveness they impose is to the point that most people will prefer looking at, touching, snuggling, and do"&amp;"ing other such things with your chest then others, even if said others have one bigger and/or more “impressive” than yours. And, so long as your chest is exposed as well, you can get away with being practically naked anywhere with those who would normally"&amp;" disapprove or raise a stink at worst grumbling about it.
As a minor bonus and to confer another trait of Clan Tiss'i you also gain a thick and long prehensile snake-like tongue, if you don’t already have one, as well as expert level skill at various for"&amp;"ms of mouth/tongue play. This includes, but isn’t limited to things like cunnilingus, blowjobs, kissing, licking, etc.")</f>
        <v>While the world of Paccsu is one of extremes in terms of bodily proportions, one group in particular gets the main focus in this sort of thing: the “affectionately” nicknamed 'boobie snakes' of Clan Tiss'i. Even though there exist beings with boobs bigger and more impressive than theirs, people always seem to be enamored by those of Clan Tiss'i, and by taking this perk such a thing will also apply to you.
Regardless of whether you have boobs or pecs, they gain an “aura” around itself which gives grandeur onto those that see them. It also makes them incredibly “comfortable” to touch/lay on and turns them into a strong erogenous zone for you. The impressiveness they impose is to the point that most people will prefer looking at, touching, snuggling, and doing other such things with your chest then others, even if said others have one bigger and/or more “impressive” than yours. And, so long as your chest is exposed as well, you can get away with being practically naked anywhere with those who would normally disapprove or raise a stink at worst grumbling about it.
As a minor bonus and to confer another trait of Clan Tiss'i you also gain a thick and long prehensile snake-like tongue, if you don’t already have one, as well as expert level skill at various forms of mouth/tongue play. This includes, but isn’t limited to things like cunnilingus, blowjobs, kissing, licking, etc.</v>
      </c>
      <c r="I214" s="5"/>
    </row>
    <row r="215" spans="1:9" ht="295.8" x14ac:dyDescent="0.25">
      <c r="A215" s="16"/>
      <c r="B215" s="17"/>
      <c r="C215" s="2" t="b">
        <f ca="1">IFERROR(__xludf.DUMMYFUNCTION("""COMPUTED_VALUE"""),TRUE)</f>
        <v>1</v>
      </c>
      <c r="D215" s="2">
        <f ca="1">IFERROR(__xludf.DUMMYFUNCTION("""COMPUTED_VALUE"""),100)</f>
        <v>100</v>
      </c>
      <c r="E215" s="2" t="str">
        <f ca="1">IFERROR(__xludf.DUMMYFUNCTION("""COMPUTED_VALUE"""),"Remarkable Features")</f>
        <v>Remarkable Features</v>
      </c>
      <c r="F215" s="2" t="str">
        <f ca="1">IFERROR(__xludf.DUMMYFUNCTION("""COMPUTED_VALUE"""),"Paccsu")</f>
        <v>Paccsu</v>
      </c>
      <c r="G215" s="2" t="str">
        <f ca="1">IFERROR(__xludf.DUMMYFUNCTION("""COMPUTED_VALUE"""),"Body &amp; Beauty")</f>
        <v>Body &amp; Beauty</v>
      </c>
      <c r="H215" s="2" t="str">
        <f ca="1">IFERROR(__xludf.DUMMYFUNCTION("""COMPUTED_VALUE"""),"In the world of adventuring it pays to have some kind of identifying mark or element about oneself in order to better stand out among your peers. Primarily such a thing serves the purpose of making it easier to garner fame around yourself, using whatever "&amp;"about you sticks out the most to drag in the attention. And by taking this perk similar to the adventurer, and later hero, Namu, gathering said attention will be frighteningly easy.
Upon gaining this you can choose and enhance one physical trait that you"&amp;" have such as your chest, ass, or lips with it being the focal attraction point of your body. What this means is that said feature becomes wholly unique compared to others, not necessarily being better, but having its own qualities that people can easily "&amp;"recognise and enjoy. When said trait is on display, like wearing an open helmet if the trait was your eyes or tight leggings if it was your ass, it serves as a booster for the amount of fame and recognition you gain for completing adventures, quests, and "&amp;"other things.
This attraction your selected trait will garner also leads to people using it as a basis for any commemorative art they make or nicknames they come up with when you become famous. This part can be toggled in case you don’t fancy having stat"&amp;"ues made that only show off your ass or being called something like “The Demon Derrière” as you go about your day.")</f>
        <v>In the world of adventuring it pays to have some kind of identifying mark or element about oneself in order to better stand out among your peers. Primarily such a thing serves the purpose of making it easier to garner fame around yourself, using whatever about you sticks out the most to drag in the attention. And by taking this perk similar to the adventurer, and later hero, Namu, gathering said attention will be frighteningly easy.
Upon gaining this you can choose and enhance one physical trait that you have such as your chest, ass, or lips with it being the focal attraction point of your body. What this means is that said feature becomes wholly unique compared to others, not necessarily being better, but having its own qualities that people can easily recognise and enjoy. When said trait is on display, like wearing an open helmet if the trait was your eyes or tight leggings if it was your ass, it serves as a booster for the amount of fame and recognition you gain for completing adventures, quests, and other things.
This attraction your selected trait will garner also leads to people using it as a basis for any commemorative art they make or nicknames they come up with when you become famous. This part can be toggled in case you don’t fancy having statues made that only show off your ass or being called something like “The Demon Derrière” as you go about your day.</v>
      </c>
      <c r="I215" s="5"/>
    </row>
    <row r="216" spans="1:9" ht="139.19999999999999" x14ac:dyDescent="0.25">
      <c r="A216" s="16"/>
      <c r="B216" s="17"/>
      <c r="C216" s="2" t="b">
        <f ca="1">IFERROR(__xludf.DUMMYFUNCTION("""COMPUTED_VALUE"""),TRUE)</f>
        <v>1</v>
      </c>
      <c r="D216" s="2">
        <f ca="1">IFERROR(__xludf.DUMMYFUNCTION("""COMPUTED_VALUE"""),400)</f>
        <v>400</v>
      </c>
      <c r="E216" s="2" t="str">
        <f ca="1">IFERROR(__xludf.DUMMYFUNCTION("""COMPUTED_VALUE"""),"Gluttony")</f>
        <v>Gluttony</v>
      </c>
      <c r="F216" s="2" t="str">
        <f ca="1">IFERROR(__xludf.DUMMYFUNCTION("""COMPUTED_VALUE"""),"Elzikyuchi’s Dickgirls 2")</f>
        <v>Elzikyuchi’s Dickgirls 2</v>
      </c>
      <c r="G216" s="2" t="str">
        <f ca="1">IFERROR(__xludf.DUMMYFUNCTION("""COMPUTED_VALUE"""),"Body &amp; Beauty")</f>
        <v>Body &amp; Beauty</v>
      </c>
      <c r="H216" s="2" t="str">
        <f ca="1">IFERROR(__xludf.DUMMYFUNCTION("""COMPUTED_VALUE"""),"Maybe you're a remnant of the Cockvore Massacres, maybe you're a certain type of succubus, what matters is that your dick is a predatory organ. Since the specifics vary even within the same species, you can choose the exact mechanics. You could have a dic"&amp;"k that shrinks its victims, melts their body down into hot cum, and reincarnates them as your slaves once you shoot them into a fertile womb. You could have a dick that really is just large enough to swallow people whole and trap them inside where they're"&amp;" forced to churn up bigger and thicker loads for your pleasure while acting as magical batteries. On a more practical level, even a single feeding can keep you sated for days, and will replenish any magical energy you may have based on the strength of the"&amp;" target.")</f>
        <v>Maybe you're a remnant of the Cockvore Massacres, maybe you're a certain type of succubus, what matters is that your dick is a predatory organ. Since the specifics vary even within the same species, you can choose the exact mechanics. You could have a dick that shrinks its victims, melts their body down into hot cum, and reincarnates them as your slaves once you shoot them into a fertile womb. You could have a dick that really is just large enough to swallow people whole and trap them inside where they're forced to churn up bigger and thicker loads for your pleasure while acting as magical batteries. On a more practical level, even a single feeding can keep you sated for days, and will replenish any magical energy you may have based on the strength of the target.</v>
      </c>
      <c r="I216" s="5"/>
    </row>
    <row r="217" spans="1:9" ht="17.399999999999999" x14ac:dyDescent="0.25">
      <c r="A217" s="16"/>
      <c r="B217" s="17"/>
      <c r="C217" s="2"/>
      <c r="D217" s="2"/>
      <c r="E217" s="2"/>
      <c r="F217" s="2"/>
      <c r="G217" s="2"/>
      <c r="H217" s="2"/>
      <c r="I217" s="5"/>
    </row>
    <row r="218" spans="1:9" ht="17.399999999999999" x14ac:dyDescent="0.25">
      <c r="A218" s="16"/>
      <c r="B218" s="17"/>
      <c r="C218" s="2"/>
      <c r="D218" s="2"/>
      <c r="E218" s="2"/>
      <c r="F218" s="2"/>
      <c r="G218" s="2"/>
      <c r="H218" s="2"/>
      <c r="I218" s="5"/>
    </row>
    <row r="219" spans="1:9" ht="17.399999999999999" x14ac:dyDescent="0.25">
      <c r="A219" s="16"/>
      <c r="B219" s="17"/>
      <c r="C219" s="2"/>
      <c r="D219" s="2"/>
      <c r="E219" s="2"/>
      <c r="F219" s="2"/>
      <c r="G219" s="2"/>
      <c r="H219" s="2"/>
      <c r="I219" s="5"/>
    </row>
    <row r="220" spans="1:9" ht="17.399999999999999" x14ac:dyDescent="0.25">
      <c r="A220" s="16"/>
      <c r="B220" s="17"/>
      <c r="C220" s="2"/>
      <c r="D220" s="2"/>
      <c r="E220" s="2"/>
      <c r="F220" s="2"/>
      <c r="G220" s="2"/>
      <c r="H220" s="2"/>
      <c r="I220" s="5"/>
    </row>
    <row r="221" spans="1:9" ht="17.399999999999999" x14ac:dyDescent="0.25">
      <c r="A221" s="16"/>
      <c r="B221" s="17"/>
      <c r="C221" s="2"/>
      <c r="D221" s="2"/>
      <c r="E221" s="2"/>
      <c r="F221" s="2"/>
      <c r="G221" s="2"/>
      <c r="H221" s="2"/>
      <c r="I221" s="5"/>
    </row>
    <row r="222" spans="1:9" ht="17.399999999999999" x14ac:dyDescent="0.25">
      <c r="A222" s="16"/>
      <c r="B222" s="17"/>
      <c r="C222" s="2"/>
      <c r="D222" s="2"/>
      <c r="E222" s="2"/>
      <c r="F222" s="2"/>
      <c r="G222" s="2"/>
      <c r="H222" s="2"/>
      <c r="I222" s="5"/>
    </row>
    <row r="223" spans="1:9" ht="17.399999999999999" x14ac:dyDescent="0.25">
      <c r="A223" s="16"/>
      <c r="B223" s="17"/>
      <c r="C223" s="2"/>
      <c r="D223" s="2"/>
      <c r="E223" s="2"/>
      <c r="F223" s="2"/>
      <c r="G223" s="2"/>
      <c r="H223" s="2"/>
      <c r="I223" s="5"/>
    </row>
    <row r="224" spans="1:9" ht="17.399999999999999" x14ac:dyDescent="0.25">
      <c r="A224" s="16"/>
      <c r="B224" s="17"/>
      <c r="C224" s="2"/>
      <c r="D224" s="2"/>
      <c r="E224" s="2"/>
      <c r="F224" s="2"/>
      <c r="G224" s="2"/>
      <c r="H224" s="2"/>
      <c r="I224" s="5"/>
    </row>
    <row r="225" spans="1:9" ht="17.399999999999999" x14ac:dyDescent="0.25">
      <c r="A225" s="16"/>
      <c r="B225" s="17"/>
      <c r="C225" s="2"/>
      <c r="D225" s="2"/>
      <c r="E225" s="2"/>
      <c r="F225" s="2"/>
      <c r="G225" s="2"/>
      <c r="H225" s="2"/>
      <c r="I225" s="5"/>
    </row>
    <row r="226" spans="1:9" ht="17.399999999999999" x14ac:dyDescent="0.25">
      <c r="A226" s="16"/>
      <c r="B226" s="17"/>
      <c r="C226" s="2"/>
      <c r="D226" s="2"/>
      <c r="E226" s="2"/>
      <c r="F226" s="2"/>
      <c r="G226" s="2"/>
      <c r="H226" s="2"/>
      <c r="I226" s="5"/>
    </row>
    <row r="227" spans="1:9" ht="17.399999999999999" x14ac:dyDescent="0.25">
      <c r="A227" s="16"/>
      <c r="B227" s="17"/>
      <c r="C227" s="2"/>
      <c r="D227" s="2"/>
      <c r="E227" s="2"/>
      <c r="F227" s="2"/>
      <c r="G227" s="2"/>
      <c r="H227" s="2"/>
      <c r="I227" s="5"/>
    </row>
    <row r="228" spans="1:9" ht="17.399999999999999" x14ac:dyDescent="0.25">
      <c r="A228" s="16"/>
      <c r="B228" s="17"/>
      <c r="C228" s="2"/>
      <c r="D228" s="2"/>
      <c r="E228" s="2"/>
      <c r="F228" s="2"/>
      <c r="G228" s="2"/>
      <c r="H228" s="2"/>
      <c r="I228" s="5"/>
    </row>
    <row r="229" spans="1:9" ht="17.399999999999999" x14ac:dyDescent="0.25">
      <c r="A229" s="16"/>
      <c r="B229" s="17"/>
      <c r="C229" s="2"/>
      <c r="D229" s="2"/>
      <c r="E229" s="2"/>
      <c r="F229" s="2"/>
      <c r="G229" s="2"/>
      <c r="H229" s="2"/>
      <c r="I229" s="5"/>
    </row>
    <row r="230" spans="1:9" ht="17.399999999999999" x14ac:dyDescent="0.25">
      <c r="A230" s="16"/>
      <c r="B230" s="17"/>
      <c r="C230" s="2"/>
      <c r="D230" s="2"/>
      <c r="E230" s="2"/>
      <c r="F230" s="2"/>
      <c r="G230" s="2"/>
      <c r="H230" s="2"/>
      <c r="I230" s="5"/>
    </row>
    <row r="231" spans="1:9" ht="17.399999999999999" x14ac:dyDescent="0.25">
      <c r="A231" s="16"/>
      <c r="B231" s="17"/>
      <c r="C231" s="2"/>
      <c r="D231" s="2"/>
      <c r="E231" s="2"/>
      <c r="F231" s="2"/>
      <c r="G231" s="2"/>
      <c r="H231" s="2"/>
      <c r="I231" s="5"/>
    </row>
    <row r="232" spans="1:9" ht="17.399999999999999" x14ac:dyDescent="0.25">
      <c r="A232" s="16"/>
      <c r="B232" s="17"/>
      <c r="C232" s="2"/>
      <c r="D232" s="2"/>
      <c r="E232" s="2"/>
      <c r="F232" s="2"/>
      <c r="G232" s="2"/>
      <c r="H232" s="2"/>
      <c r="I232" s="5"/>
    </row>
    <row r="233" spans="1:9" ht="17.399999999999999" x14ac:dyDescent="0.25">
      <c r="A233" s="16"/>
      <c r="B233" s="17"/>
      <c r="C233" s="2"/>
      <c r="D233" s="2"/>
      <c r="E233" s="2"/>
      <c r="F233" s="2"/>
      <c r="G233" s="2"/>
      <c r="H233" s="2"/>
      <c r="I233" s="5"/>
    </row>
    <row r="234" spans="1:9" ht="17.399999999999999" x14ac:dyDescent="0.25">
      <c r="A234" s="16"/>
      <c r="B234" s="17"/>
      <c r="C234" s="2"/>
      <c r="D234" s="2"/>
      <c r="E234" s="2"/>
      <c r="F234" s="2"/>
      <c r="G234" s="2"/>
      <c r="H234" s="2"/>
      <c r="I234" s="5"/>
    </row>
    <row r="235" spans="1:9" ht="17.399999999999999" x14ac:dyDescent="0.25">
      <c r="A235" s="16"/>
      <c r="B235" s="17"/>
      <c r="C235" s="2"/>
      <c r="D235" s="2"/>
      <c r="E235" s="2"/>
      <c r="F235" s="2"/>
      <c r="G235" s="2"/>
      <c r="H235" s="2"/>
      <c r="I235" s="5"/>
    </row>
    <row r="236" spans="1:9" ht="17.399999999999999" x14ac:dyDescent="0.25">
      <c r="A236" s="16"/>
      <c r="B236" s="17"/>
      <c r="C236" s="2"/>
      <c r="D236" s="2"/>
      <c r="E236" s="2"/>
      <c r="F236" s="2"/>
      <c r="G236" s="2"/>
      <c r="H236" s="2"/>
      <c r="I236" s="5"/>
    </row>
    <row r="237" spans="1:9" ht="17.399999999999999" x14ac:dyDescent="0.25">
      <c r="A237" s="16"/>
      <c r="B237" s="17"/>
      <c r="C237" s="2"/>
      <c r="D237" s="2"/>
      <c r="E237" s="2"/>
      <c r="F237" s="2"/>
      <c r="G237" s="2"/>
      <c r="H237" s="2"/>
      <c r="I237" s="5"/>
    </row>
    <row r="238" spans="1:9" ht="17.399999999999999" x14ac:dyDescent="0.25">
      <c r="A238" s="16"/>
      <c r="B238" s="17"/>
      <c r="C238" s="2"/>
      <c r="D238" s="2"/>
      <c r="E238" s="2"/>
      <c r="F238" s="2"/>
      <c r="G238" s="2"/>
      <c r="H238" s="2"/>
      <c r="I238" s="5"/>
    </row>
    <row r="239" spans="1:9" ht="17.399999999999999" x14ac:dyDescent="0.25">
      <c r="A239" s="16"/>
      <c r="B239" s="17"/>
      <c r="C239" s="2"/>
      <c r="D239" s="2"/>
      <c r="E239" s="2"/>
      <c r="F239" s="2"/>
      <c r="G239" s="2"/>
      <c r="H239" s="2"/>
      <c r="I239" s="5"/>
    </row>
    <row r="240" spans="1:9" ht="17.399999999999999" x14ac:dyDescent="0.25">
      <c r="A240" s="16"/>
      <c r="B240" s="17"/>
      <c r="C240" s="2"/>
      <c r="D240" s="2"/>
      <c r="E240" s="2"/>
      <c r="F240" s="2"/>
      <c r="G240" s="2"/>
      <c r="H240" s="2"/>
      <c r="I240" s="5"/>
    </row>
    <row r="241" spans="1:9" ht="17.399999999999999" x14ac:dyDescent="0.25">
      <c r="A241" s="16"/>
      <c r="B241" s="17"/>
      <c r="C241" s="2"/>
      <c r="D241" s="2"/>
      <c r="E241" s="2"/>
      <c r="F241" s="2"/>
      <c r="G241" s="2"/>
      <c r="H241" s="2"/>
      <c r="I241" s="5"/>
    </row>
    <row r="242" spans="1:9" ht="17.399999999999999" x14ac:dyDescent="0.25">
      <c r="A242" s="16"/>
      <c r="B242" s="17"/>
      <c r="C242" s="2"/>
      <c r="D242" s="2"/>
      <c r="E242" s="2"/>
      <c r="F242" s="2"/>
      <c r="G242" s="2"/>
      <c r="H242" s="2"/>
      <c r="I242" s="5"/>
    </row>
    <row r="243" spans="1:9" ht="17.399999999999999" x14ac:dyDescent="0.25">
      <c r="A243" s="16"/>
      <c r="B243" s="17"/>
      <c r="C243" s="2"/>
      <c r="D243" s="2"/>
      <c r="E243" s="2"/>
      <c r="F243" s="2"/>
      <c r="G243" s="2"/>
      <c r="H243" s="2"/>
      <c r="I243" s="5"/>
    </row>
    <row r="244" spans="1:9" ht="17.399999999999999" x14ac:dyDescent="0.25">
      <c r="A244" s="16"/>
      <c r="B244" s="17"/>
      <c r="C244" s="2"/>
      <c r="D244" s="2"/>
      <c r="E244" s="2"/>
      <c r="F244" s="2"/>
      <c r="G244" s="2"/>
      <c r="H244" s="2"/>
      <c r="I244" s="5"/>
    </row>
    <row r="245" spans="1:9" ht="17.399999999999999" x14ac:dyDescent="0.25">
      <c r="A245" s="16"/>
      <c r="B245" s="17"/>
      <c r="C245" s="2"/>
      <c r="D245" s="2"/>
      <c r="E245" s="2"/>
      <c r="F245" s="2"/>
      <c r="G245" s="2"/>
      <c r="H245" s="2"/>
      <c r="I245" s="5"/>
    </row>
    <row r="246" spans="1:9" ht="17.399999999999999" x14ac:dyDescent="0.25">
      <c r="A246" s="16"/>
      <c r="B246" s="17"/>
      <c r="C246" s="2"/>
      <c r="D246" s="2"/>
      <c r="E246" s="2"/>
      <c r="F246" s="2"/>
      <c r="G246" s="2"/>
      <c r="H246" s="2"/>
      <c r="I246" s="5"/>
    </row>
    <row r="247" spans="1:9" ht="17.399999999999999" x14ac:dyDescent="0.25">
      <c r="A247" s="16"/>
      <c r="B247" s="17"/>
      <c r="C247" s="2"/>
      <c r="D247" s="2"/>
      <c r="E247" s="2"/>
      <c r="F247" s="2"/>
      <c r="G247" s="2"/>
      <c r="H247" s="2"/>
      <c r="I247" s="5"/>
    </row>
    <row r="248" spans="1:9" ht="17.399999999999999" x14ac:dyDescent="0.25">
      <c r="A248" s="16"/>
      <c r="B248" s="17"/>
      <c r="C248" s="2"/>
      <c r="D248" s="2"/>
      <c r="E248" s="2"/>
      <c r="F248" s="2"/>
      <c r="G248" s="2"/>
      <c r="H248" s="2"/>
      <c r="I248" s="5"/>
    </row>
    <row r="249" spans="1:9" ht="17.399999999999999" x14ac:dyDescent="0.25">
      <c r="A249" s="16"/>
      <c r="B249" s="17"/>
      <c r="C249" s="2"/>
      <c r="D249" s="2"/>
      <c r="E249" s="2"/>
      <c r="F249" s="2"/>
      <c r="G249" s="2"/>
      <c r="H249" s="2"/>
      <c r="I249" s="5"/>
    </row>
    <row r="250" spans="1:9" ht="17.399999999999999" x14ac:dyDescent="0.25">
      <c r="A250" s="16"/>
      <c r="B250" s="17"/>
      <c r="C250" s="2"/>
      <c r="D250" s="2"/>
      <c r="E250" s="2"/>
      <c r="F250" s="2"/>
      <c r="G250" s="2"/>
      <c r="H250" s="2"/>
      <c r="I250" s="5"/>
    </row>
    <row r="251" spans="1:9" ht="17.399999999999999" x14ac:dyDescent="0.25">
      <c r="A251" s="16"/>
      <c r="B251" s="17"/>
      <c r="C251" s="2"/>
      <c r="D251" s="2"/>
      <c r="E251" s="2"/>
      <c r="F251" s="2"/>
      <c r="G251" s="2"/>
      <c r="H251" s="2"/>
      <c r="I251" s="5"/>
    </row>
    <row r="252" spans="1:9" ht="17.399999999999999" x14ac:dyDescent="0.25">
      <c r="A252" s="16"/>
      <c r="B252" s="17"/>
      <c r="C252" s="2"/>
      <c r="D252" s="2"/>
      <c r="E252" s="2"/>
      <c r="F252" s="2"/>
      <c r="G252" s="2"/>
      <c r="H252" s="2"/>
      <c r="I252" s="5"/>
    </row>
    <row r="253" spans="1:9" ht="17.399999999999999" x14ac:dyDescent="0.25">
      <c r="A253" s="16"/>
      <c r="B253" s="17"/>
      <c r="C253" s="2"/>
      <c r="D253" s="2"/>
      <c r="E253" s="2"/>
      <c r="F253" s="2"/>
      <c r="G253" s="2"/>
      <c r="H253" s="2"/>
      <c r="I253" s="5"/>
    </row>
    <row r="254" spans="1:9" ht="17.399999999999999" x14ac:dyDescent="0.25">
      <c r="A254" s="16"/>
      <c r="B254" s="17"/>
      <c r="C254" s="2"/>
      <c r="D254" s="2"/>
      <c r="E254" s="2"/>
      <c r="F254" s="2"/>
      <c r="G254" s="2"/>
      <c r="H254" s="2"/>
      <c r="I254" s="5"/>
    </row>
    <row r="255" spans="1:9" ht="17.399999999999999" x14ac:dyDescent="0.25">
      <c r="A255" s="16"/>
      <c r="B255" s="17"/>
      <c r="C255" s="2"/>
      <c r="D255" s="2"/>
      <c r="E255" s="2"/>
      <c r="F255" s="2"/>
      <c r="G255" s="2"/>
      <c r="H255" s="2"/>
      <c r="I255" s="5"/>
    </row>
    <row r="256" spans="1:9" ht="17.399999999999999" x14ac:dyDescent="0.25">
      <c r="A256" s="16"/>
      <c r="B256" s="17"/>
      <c r="C256" s="2"/>
      <c r="D256" s="2"/>
      <c r="E256" s="2"/>
      <c r="F256" s="2"/>
      <c r="G256" s="2"/>
      <c r="H256" s="2"/>
      <c r="I256" s="5"/>
    </row>
    <row r="257" spans="1:9" ht="17.399999999999999" x14ac:dyDescent="0.25">
      <c r="A257" s="16"/>
      <c r="B257" s="17"/>
      <c r="C257" s="2"/>
      <c r="D257" s="2"/>
      <c r="E257" s="2"/>
      <c r="F257" s="2"/>
      <c r="G257" s="2"/>
      <c r="H257" s="2"/>
      <c r="I257" s="5"/>
    </row>
    <row r="258" spans="1:9" ht="17.399999999999999" x14ac:dyDescent="0.25">
      <c r="A258" s="16"/>
      <c r="B258" s="17"/>
      <c r="C258" s="2"/>
      <c r="D258" s="2"/>
      <c r="E258" s="2"/>
      <c r="F258" s="2"/>
      <c r="G258" s="2"/>
      <c r="H258" s="2"/>
      <c r="I258" s="5"/>
    </row>
    <row r="259" spans="1:9" ht="17.399999999999999" x14ac:dyDescent="0.25">
      <c r="A259" s="16"/>
      <c r="B259" s="17"/>
      <c r="C259" s="2"/>
      <c r="D259" s="2"/>
      <c r="E259" s="2"/>
      <c r="F259" s="2"/>
      <c r="G259" s="2"/>
      <c r="H259" s="2"/>
      <c r="I259" s="5"/>
    </row>
    <row r="260" spans="1:9" ht="17.399999999999999" x14ac:dyDescent="0.25">
      <c r="A260" s="16"/>
      <c r="B260" s="17"/>
      <c r="C260" s="2"/>
      <c r="D260" s="2"/>
      <c r="E260" s="2"/>
      <c r="F260" s="2"/>
      <c r="G260" s="2"/>
      <c r="H260" s="2"/>
      <c r="I260" s="5"/>
    </row>
    <row r="261" spans="1:9" ht="17.399999999999999" x14ac:dyDescent="0.25">
      <c r="A261" s="16"/>
      <c r="B261" s="17"/>
      <c r="C261" s="2"/>
      <c r="D261" s="2"/>
      <c r="E261" s="2"/>
      <c r="F261" s="2"/>
      <c r="G261" s="2"/>
      <c r="H261" s="2"/>
      <c r="I261" s="5"/>
    </row>
    <row r="262" spans="1:9" ht="17.399999999999999" x14ac:dyDescent="0.25">
      <c r="A262" s="16"/>
      <c r="B262" s="17"/>
      <c r="C262" s="2"/>
      <c r="D262" s="2"/>
      <c r="E262" s="2"/>
      <c r="F262" s="2"/>
      <c r="G262" s="2"/>
      <c r="H262" s="2"/>
      <c r="I262" s="5"/>
    </row>
    <row r="263" spans="1:9" ht="17.399999999999999" x14ac:dyDescent="0.25">
      <c r="A263" s="16"/>
      <c r="B263" s="17"/>
      <c r="C263" s="2"/>
      <c r="D263" s="2"/>
      <c r="E263" s="2"/>
      <c r="F263" s="2"/>
      <c r="G263" s="2"/>
      <c r="H263" s="2"/>
      <c r="I263" s="5"/>
    </row>
    <row r="264" spans="1:9" ht="17.399999999999999" x14ac:dyDescent="0.25">
      <c r="A264" s="16"/>
      <c r="B264" s="17"/>
      <c r="C264" s="2"/>
      <c r="D264" s="2"/>
      <c r="E264" s="2"/>
      <c r="F264" s="2"/>
      <c r="G264" s="2"/>
      <c r="H264" s="2"/>
      <c r="I264" s="5"/>
    </row>
    <row r="265" spans="1:9" ht="17.399999999999999" x14ac:dyDescent="0.25">
      <c r="A265" s="16"/>
      <c r="B265" s="17"/>
      <c r="C265" s="2"/>
      <c r="D265" s="2"/>
      <c r="E265" s="2"/>
      <c r="F265" s="2"/>
      <c r="G265" s="2"/>
      <c r="H265" s="2"/>
      <c r="I265" s="5"/>
    </row>
    <row r="266" spans="1:9" ht="17.399999999999999" x14ac:dyDescent="0.25">
      <c r="A266" s="16"/>
      <c r="B266" s="17"/>
      <c r="C266" s="2"/>
      <c r="D266" s="2"/>
      <c r="E266" s="2"/>
      <c r="F266" s="2"/>
      <c r="G266" s="2"/>
      <c r="H266" s="2"/>
      <c r="I266" s="5"/>
    </row>
    <row r="267" spans="1:9" ht="17.399999999999999" x14ac:dyDescent="0.25">
      <c r="A267" s="16"/>
      <c r="B267" s="17"/>
      <c r="C267" s="2"/>
      <c r="D267" s="2"/>
      <c r="E267" s="2"/>
      <c r="F267" s="2"/>
      <c r="G267" s="2"/>
      <c r="H267" s="2"/>
      <c r="I267" s="5"/>
    </row>
    <row r="268" spans="1:9" ht="17.399999999999999" x14ac:dyDescent="0.25">
      <c r="A268" s="16"/>
      <c r="B268" s="17"/>
      <c r="C268" s="2"/>
      <c r="D268" s="2"/>
      <c r="E268" s="2"/>
      <c r="F268" s="2"/>
      <c r="G268" s="2"/>
      <c r="H268" s="2"/>
      <c r="I268" s="5"/>
    </row>
    <row r="269" spans="1:9" ht="17.399999999999999" x14ac:dyDescent="0.25">
      <c r="A269" s="16"/>
      <c r="B269" s="17"/>
      <c r="C269" s="2"/>
      <c r="D269" s="2"/>
      <c r="E269" s="2"/>
      <c r="F269" s="2"/>
      <c r="G269" s="2"/>
      <c r="H269" s="2"/>
      <c r="I269" s="5"/>
    </row>
    <row r="270" spans="1:9" ht="17.399999999999999" x14ac:dyDescent="0.25">
      <c r="A270" s="16"/>
      <c r="B270" s="17"/>
      <c r="C270" s="2"/>
      <c r="D270" s="2"/>
      <c r="E270" s="2"/>
      <c r="F270" s="2"/>
      <c r="G270" s="2"/>
      <c r="H270" s="2"/>
      <c r="I270" s="5"/>
    </row>
    <row r="271" spans="1:9" ht="17.399999999999999" x14ac:dyDescent="0.25">
      <c r="A271" s="16"/>
      <c r="B271" s="17"/>
      <c r="C271" s="2"/>
      <c r="D271" s="2"/>
      <c r="E271" s="2"/>
      <c r="F271" s="2"/>
      <c r="G271" s="2"/>
      <c r="H271" s="2"/>
      <c r="I271" s="5"/>
    </row>
    <row r="272" spans="1:9" ht="17.399999999999999" x14ac:dyDescent="0.25">
      <c r="A272" s="16"/>
      <c r="B272" s="17"/>
      <c r="C272" s="2"/>
      <c r="D272" s="2"/>
      <c r="E272" s="2"/>
      <c r="F272" s="2"/>
      <c r="G272" s="2"/>
      <c r="H272" s="2"/>
      <c r="I272" s="5"/>
    </row>
    <row r="273" spans="1:9" ht="17.399999999999999" x14ac:dyDescent="0.25">
      <c r="A273" s="16"/>
      <c r="B273" s="17"/>
      <c r="C273" s="2"/>
      <c r="D273" s="2"/>
      <c r="E273" s="2"/>
      <c r="F273" s="2"/>
      <c r="G273" s="2"/>
      <c r="H273" s="2"/>
      <c r="I273" s="5"/>
    </row>
    <row r="274" spans="1:9" ht="17.399999999999999" x14ac:dyDescent="0.25">
      <c r="A274" s="16"/>
      <c r="B274" s="17"/>
      <c r="C274" s="2"/>
      <c r="D274" s="2"/>
      <c r="E274" s="2"/>
      <c r="F274" s="2"/>
      <c r="G274" s="2"/>
      <c r="H274" s="2"/>
      <c r="I274" s="5"/>
    </row>
    <row r="275" spans="1:9" ht="17.399999999999999" x14ac:dyDescent="0.25">
      <c r="A275" s="16"/>
      <c r="B275" s="17"/>
      <c r="C275" s="2"/>
      <c r="D275" s="2"/>
      <c r="E275" s="2"/>
      <c r="F275" s="2"/>
      <c r="G275" s="2"/>
      <c r="H275" s="2"/>
      <c r="I275" s="5"/>
    </row>
    <row r="276" spans="1:9" ht="17.399999999999999" x14ac:dyDescent="0.25">
      <c r="A276" s="16"/>
      <c r="B276" s="17"/>
      <c r="C276" s="2"/>
      <c r="D276" s="2"/>
      <c r="E276" s="2"/>
      <c r="F276" s="2"/>
      <c r="G276" s="2"/>
      <c r="H276" s="2"/>
      <c r="I276" s="5"/>
    </row>
    <row r="277" spans="1:9" ht="17.399999999999999" x14ac:dyDescent="0.25">
      <c r="A277" s="16"/>
      <c r="B277" s="17"/>
      <c r="C277" s="2"/>
      <c r="D277" s="2"/>
      <c r="E277" s="2"/>
      <c r="F277" s="2"/>
      <c r="G277" s="2"/>
      <c r="H277" s="2"/>
      <c r="I277" s="5"/>
    </row>
    <row r="278" spans="1:9" ht="17.399999999999999" x14ac:dyDescent="0.25">
      <c r="A278" s="16"/>
      <c r="B278" s="17"/>
      <c r="C278" s="2"/>
      <c r="D278" s="2"/>
      <c r="E278" s="2"/>
      <c r="F278" s="2"/>
      <c r="G278" s="2"/>
      <c r="H278" s="2"/>
      <c r="I278" s="5"/>
    </row>
    <row r="279" spans="1:9" ht="17.399999999999999" x14ac:dyDescent="0.25">
      <c r="A279" s="16"/>
      <c r="B279" s="17"/>
      <c r="C279" s="2"/>
      <c r="D279" s="2"/>
      <c r="E279" s="2"/>
      <c r="F279" s="2"/>
      <c r="G279" s="2"/>
      <c r="H279" s="2"/>
      <c r="I279" s="5"/>
    </row>
    <row r="280" spans="1:9" ht="17.399999999999999" x14ac:dyDescent="0.25">
      <c r="A280" s="16"/>
      <c r="B280" s="17"/>
      <c r="C280" s="2"/>
      <c r="D280" s="2"/>
      <c r="E280" s="2"/>
      <c r="F280" s="2"/>
      <c r="G280" s="2"/>
      <c r="H280" s="2"/>
      <c r="I280" s="5"/>
    </row>
    <row r="281" spans="1:9" ht="17.399999999999999" x14ac:dyDescent="0.25">
      <c r="A281" s="16"/>
      <c r="B281" s="17"/>
      <c r="C281" s="2"/>
      <c r="D281" s="2"/>
      <c r="E281" s="2"/>
      <c r="F281" s="2"/>
      <c r="G281" s="2"/>
      <c r="H281" s="2"/>
      <c r="I281" s="5"/>
    </row>
    <row r="282" spans="1:9" ht="17.399999999999999" x14ac:dyDescent="0.25">
      <c r="A282" s="16"/>
      <c r="B282" s="17"/>
      <c r="C282" s="2"/>
      <c r="D282" s="2"/>
      <c r="E282" s="2"/>
      <c r="F282" s="2"/>
      <c r="G282" s="2"/>
      <c r="H282" s="2"/>
      <c r="I282" s="5"/>
    </row>
    <row r="283" spans="1:9" ht="17.399999999999999" x14ac:dyDescent="0.25">
      <c r="A283" s="16"/>
      <c r="B283" s="17"/>
      <c r="C283" s="2"/>
      <c r="D283" s="2"/>
      <c r="E283" s="2"/>
      <c r="F283" s="2"/>
      <c r="G283" s="2"/>
      <c r="H283" s="2"/>
      <c r="I283" s="5"/>
    </row>
    <row r="284" spans="1:9" ht="17.399999999999999" x14ac:dyDescent="0.25">
      <c r="A284" s="16"/>
      <c r="B284" s="17"/>
      <c r="C284" s="2"/>
      <c r="D284" s="2"/>
      <c r="E284" s="2"/>
      <c r="F284" s="2"/>
      <c r="G284" s="2"/>
      <c r="H284" s="2"/>
      <c r="I284" s="5"/>
    </row>
    <row r="285" spans="1:9" ht="17.399999999999999" x14ac:dyDescent="0.25">
      <c r="A285" s="16"/>
      <c r="B285" s="17"/>
      <c r="C285" s="2"/>
      <c r="D285" s="2"/>
      <c r="E285" s="2"/>
      <c r="F285" s="2"/>
      <c r="G285" s="2"/>
      <c r="H285" s="2"/>
      <c r="I285" s="5"/>
    </row>
    <row r="286" spans="1:9" ht="17.399999999999999" x14ac:dyDescent="0.25">
      <c r="A286" s="16"/>
      <c r="B286" s="17"/>
      <c r="C286" s="2"/>
      <c r="D286" s="2"/>
      <c r="E286" s="2"/>
      <c r="F286" s="2"/>
      <c r="G286" s="2"/>
      <c r="H286" s="2"/>
      <c r="I286" s="5"/>
    </row>
    <row r="287" spans="1:9" ht="17.399999999999999" x14ac:dyDescent="0.25">
      <c r="A287" s="16"/>
      <c r="B287" s="17"/>
      <c r="C287" s="2"/>
      <c r="D287" s="2"/>
      <c r="E287" s="2"/>
      <c r="F287" s="2"/>
      <c r="G287" s="2"/>
      <c r="H287" s="2"/>
      <c r="I287" s="5"/>
    </row>
    <row r="288" spans="1:9" ht="17.399999999999999" x14ac:dyDescent="0.25">
      <c r="A288" s="16"/>
      <c r="B288" s="17"/>
      <c r="C288" s="2"/>
      <c r="D288" s="2"/>
      <c r="E288" s="2"/>
      <c r="F288" s="2"/>
      <c r="G288" s="2"/>
      <c r="H288" s="2"/>
      <c r="I288" s="5"/>
    </row>
    <row r="289" spans="1:9" ht="17.399999999999999" x14ac:dyDescent="0.25">
      <c r="A289" s="16"/>
      <c r="B289" s="17"/>
      <c r="C289" s="2"/>
      <c r="D289" s="2"/>
      <c r="E289" s="2"/>
      <c r="F289" s="2"/>
      <c r="G289" s="2"/>
      <c r="H289" s="2"/>
      <c r="I289" s="5"/>
    </row>
    <row r="290" spans="1:9" ht="17.399999999999999" x14ac:dyDescent="0.25">
      <c r="A290" s="16"/>
      <c r="B290" s="17"/>
      <c r="C290" s="2"/>
      <c r="D290" s="2"/>
      <c r="E290" s="2"/>
      <c r="F290" s="2"/>
      <c r="G290" s="2"/>
      <c r="H290" s="2"/>
      <c r="I290" s="5"/>
    </row>
    <row r="291" spans="1:9" ht="17.399999999999999" x14ac:dyDescent="0.25">
      <c r="A291" s="16"/>
      <c r="B291" s="17"/>
      <c r="C291" s="2"/>
      <c r="D291" s="2"/>
      <c r="E291" s="2"/>
      <c r="F291" s="2"/>
      <c r="G291" s="2"/>
      <c r="H291" s="2"/>
      <c r="I291" s="5"/>
    </row>
    <row r="292" spans="1:9" ht="17.399999999999999" x14ac:dyDescent="0.25">
      <c r="A292" s="16"/>
      <c r="B292" s="17"/>
      <c r="C292" s="2"/>
      <c r="D292" s="2"/>
      <c r="E292" s="2"/>
      <c r="F292" s="2"/>
      <c r="G292" s="2"/>
      <c r="H292" s="2"/>
      <c r="I292" s="5"/>
    </row>
    <row r="293" spans="1:9" ht="17.399999999999999" x14ac:dyDescent="0.25">
      <c r="A293" s="16"/>
      <c r="B293" s="17"/>
      <c r="C293" s="2"/>
      <c r="D293" s="2"/>
      <c r="E293" s="2"/>
      <c r="F293" s="2"/>
      <c r="G293" s="2"/>
      <c r="H293" s="2"/>
      <c r="I293" s="5"/>
    </row>
    <row r="294" spans="1:9" ht="17.399999999999999" x14ac:dyDescent="0.25">
      <c r="A294" s="16"/>
      <c r="B294" s="17"/>
      <c r="C294" s="2"/>
      <c r="D294" s="2"/>
      <c r="E294" s="2"/>
      <c r="F294" s="2"/>
      <c r="G294" s="2"/>
      <c r="H294" s="2"/>
      <c r="I294" s="5"/>
    </row>
    <row r="295" spans="1:9" ht="17.399999999999999" x14ac:dyDescent="0.25">
      <c r="A295" s="16"/>
      <c r="B295" s="17"/>
      <c r="C295" s="2"/>
      <c r="D295" s="2"/>
      <c r="E295" s="2"/>
      <c r="F295" s="2"/>
      <c r="G295" s="2"/>
      <c r="H295" s="2"/>
      <c r="I295" s="5"/>
    </row>
    <row r="296" spans="1:9" ht="17.399999999999999" x14ac:dyDescent="0.25">
      <c r="A296" s="16"/>
      <c r="B296" s="17"/>
      <c r="C296" s="2"/>
      <c r="D296" s="2"/>
      <c r="E296" s="2"/>
      <c r="F296" s="2"/>
      <c r="G296" s="2"/>
      <c r="H296" s="2"/>
      <c r="I296" s="5"/>
    </row>
    <row r="297" spans="1:9" ht="17.399999999999999" x14ac:dyDescent="0.25">
      <c r="A297" s="16"/>
      <c r="B297" s="17"/>
      <c r="C297" s="2"/>
      <c r="D297" s="2"/>
      <c r="E297" s="2"/>
      <c r="F297" s="2"/>
      <c r="G297" s="2"/>
      <c r="H297" s="2"/>
      <c r="I297" s="5"/>
    </row>
    <row r="298" spans="1:9" ht="17.399999999999999" x14ac:dyDescent="0.25">
      <c r="A298" s="16"/>
      <c r="B298" s="17"/>
      <c r="C298" s="2"/>
      <c r="D298" s="2"/>
      <c r="E298" s="2"/>
      <c r="F298" s="2"/>
      <c r="G298" s="2"/>
      <c r="H298" s="2"/>
      <c r="I298" s="5"/>
    </row>
    <row r="299" spans="1:9" ht="17.399999999999999" x14ac:dyDescent="0.25">
      <c r="A299" s="16"/>
      <c r="B299" s="17"/>
      <c r="C299" s="2"/>
      <c r="D299" s="2"/>
      <c r="E299" s="2"/>
      <c r="F299" s="2"/>
      <c r="G299" s="2"/>
      <c r="H299" s="2"/>
      <c r="I299" s="5"/>
    </row>
    <row r="300" spans="1:9" ht="17.399999999999999" x14ac:dyDescent="0.25">
      <c r="A300" s="16"/>
      <c r="B300" s="17"/>
      <c r="C300" s="2"/>
      <c r="D300" s="2"/>
      <c r="E300" s="2"/>
      <c r="F300" s="2"/>
      <c r="G300" s="2"/>
      <c r="H300" s="2"/>
      <c r="I300" s="5"/>
    </row>
    <row r="301" spans="1:9" ht="17.399999999999999" x14ac:dyDescent="0.25">
      <c r="A301" s="16"/>
      <c r="B301" s="17"/>
      <c r="C301" s="2"/>
      <c r="D301" s="2"/>
      <c r="E301" s="2"/>
      <c r="F301" s="2"/>
      <c r="G301" s="2"/>
      <c r="H301" s="2"/>
      <c r="I301" s="5"/>
    </row>
    <row r="302" spans="1:9" ht="17.399999999999999" x14ac:dyDescent="0.25">
      <c r="A302" s="16"/>
      <c r="B302" s="17"/>
      <c r="C302" s="2"/>
      <c r="D302" s="2"/>
      <c r="E302" s="2"/>
      <c r="F302" s="2"/>
      <c r="G302" s="2"/>
      <c r="H302" s="2"/>
      <c r="I302" s="5"/>
    </row>
    <row r="303" spans="1:9" ht="17.399999999999999" x14ac:dyDescent="0.25">
      <c r="A303" s="16"/>
      <c r="B303" s="17"/>
      <c r="C303" s="2"/>
      <c r="D303" s="2"/>
      <c r="E303" s="2"/>
      <c r="F303" s="2"/>
      <c r="G303" s="2"/>
      <c r="H303" s="2"/>
      <c r="I303" s="5"/>
    </row>
    <row r="304" spans="1:9" ht="17.399999999999999" x14ac:dyDescent="0.25">
      <c r="A304" s="16"/>
      <c r="B304" s="17"/>
      <c r="C304" s="2"/>
      <c r="D304" s="2"/>
      <c r="E304" s="2"/>
      <c r="F304" s="2"/>
      <c r="G304" s="2"/>
      <c r="H304" s="2"/>
      <c r="I304" s="5"/>
    </row>
    <row r="305" spans="1:9" ht="17.399999999999999" x14ac:dyDescent="0.25">
      <c r="A305" s="16"/>
      <c r="B305" s="17"/>
      <c r="C305" s="2"/>
      <c r="D305" s="2"/>
      <c r="E305" s="2"/>
      <c r="F305" s="2"/>
      <c r="G305" s="2"/>
      <c r="H305" s="2"/>
      <c r="I305" s="5"/>
    </row>
    <row r="306" spans="1:9" ht="17.399999999999999" x14ac:dyDescent="0.25">
      <c r="A306" s="16"/>
      <c r="B306" s="17"/>
      <c r="C306" s="2"/>
      <c r="D306" s="2"/>
      <c r="E306" s="2"/>
      <c r="F306" s="2"/>
      <c r="G306" s="2"/>
      <c r="H306" s="2"/>
      <c r="I306" s="5"/>
    </row>
    <row r="307" spans="1:9" ht="17.399999999999999" x14ac:dyDescent="0.25">
      <c r="A307" s="16"/>
      <c r="B307" s="17"/>
      <c r="C307" s="2"/>
      <c r="D307" s="2"/>
      <c r="E307" s="2"/>
      <c r="F307" s="2"/>
      <c r="G307" s="2"/>
      <c r="H307" s="2"/>
      <c r="I307" s="5"/>
    </row>
    <row r="308" spans="1:9" ht="17.399999999999999" x14ac:dyDescent="0.25">
      <c r="A308" s="16"/>
      <c r="B308" s="17"/>
      <c r="C308" s="2"/>
      <c r="D308" s="2"/>
      <c r="E308" s="2"/>
      <c r="F308" s="2"/>
      <c r="G308" s="2"/>
      <c r="H308" s="2"/>
      <c r="I308" s="5"/>
    </row>
    <row r="309" spans="1:9" ht="17.399999999999999" x14ac:dyDescent="0.25">
      <c r="A309" s="16"/>
      <c r="B309" s="17"/>
      <c r="C309" s="2"/>
      <c r="D309" s="2"/>
      <c r="E309" s="2"/>
      <c r="F309" s="2"/>
      <c r="G309" s="2"/>
      <c r="H309" s="2"/>
      <c r="I309" s="5"/>
    </row>
    <row r="310" spans="1:9" ht="17.399999999999999" x14ac:dyDescent="0.25">
      <c r="A310" s="16"/>
      <c r="B310" s="17"/>
      <c r="C310" s="2"/>
      <c r="D310" s="2"/>
      <c r="E310" s="2"/>
      <c r="F310" s="2"/>
      <c r="G310" s="2"/>
      <c r="H310" s="2"/>
      <c r="I310" s="5"/>
    </row>
    <row r="311" spans="1:9" ht="17.399999999999999" x14ac:dyDescent="0.25">
      <c r="A311" s="16"/>
      <c r="B311" s="17"/>
      <c r="C311" s="2"/>
      <c r="D311" s="2"/>
      <c r="E311" s="2"/>
      <c r="F311" s="2"/>
      <c r="G311" s="2"/>
      <c r="H311" s="2"/>
      <c r="I311" s="5"/>
    </row>
    <row r="312" spans="1:9" ht="17.399999999999999" x14ac:dyDescent="0.25">
      <c r="A312" s="16"/>
      <c r="B312" s="17"/>
      <c r="C312" s="2"/>
      <c r="D312" s="2"/>
      <c r="E312" s="2"/>
      <c r="F312" s="2"/>
      <c r="G312" s="2"/>
      <c r="H312" s="2"/>
      <c r="I312" s="5"/>
    </row>
    <row r="313" spans="1:9" ht="17.399999999999999" x14ac:dyDescent="0.25">
      <c r="A313" s="16"/>
      <c r="B313" s="17"/>
      <c r="C313" s="2"/>
      <c r="D313" s="2"/>
      <c r="E313" s="2"/>
      <c r="F313" s="2"/>
      <c r="G313" s="2"/>
      <c r="H313" s="2"/>
      <c r="I313" s="5"/>
    </row>
    <row r="314" spans="1:9" ht="17.399999999999999" x14ac:dyDescent="0.25">
      <c r="A314" s="16"/>
      <c r="B314" s="17"/>
      <c r="C314" s="2"/>
      <c r="D314" s="2"/>
      <c r="E314" s="2"/>
      <c r="F314" s="2"/>
      <c r="G314" s="2"/>
      <c r="H314" s="2"/>
      <c r="I314" s="5"/>
    </row>
    <row r="315" spans="1:9" ht="17.399999999999999" x14ac:dyDescent="0.25">
      <c r="A315" s="16"/>
      <c r="B315" s="17"/>
      <c r="C315" s="2"/>
      <c r="D315" s="2"/>
      <c r="E315" s="2"/>
      <c r="F315" s="2"/>
      <c r="G315" s="2"/>
      <c r="H315" s="2"/>
      <c r="I315" s="5"/>
    </row>
    <row r="316" spans="1:9" ht="17.399999999999999" x14ac:dyDescent="0.25">
      <c r="A316" s="16"/>
      <c r="B316" s="17"/>
      <c r="C316" s="2"/>
      <c r="D316" s="2"/>
      <c r="E316" s="2"/>
      <c r="F316" s="2"/>
      <c r="G316" s="2"/>
      <c r="H316" s="2"/>
      <c r="I316" s="5"/>
    </row>
    <row r="317" spans="1:9" ht="17.399999999999999" x14ac:dyDescent="0.25">
      <c r="A317" s="16"/>
      <c r="B317" s="17"/>
      <c r="C317" s="2"/>
      <c r="D317" s="2"/>
      <c r="E317" s="2"/>
      <c r="F317" s="2"/>
      <c r="G317" s="2"/>
      <c r="H317" s="2"/>
      <c r="I317" s="5"/>
    </row>
    <row r="318" spans="1:9" ht="17.399999999999999" x14ac:dyDescent="0.25">
      <c r="A318" s="16"/>
      <c r="B318" s="17"/>
      <c r="C318" s="2"/>
      <c r="D318" s="2"/>
      <c r="E318" s="2"/>
      <c r="F318" s="2"/>
      <c r="G318" s="2"/>
      <c r="H318" s="2"/>
      <c r="I318" s="5"/>
    </row>
    <row r="319" spans="1:9" ht="17.399999999999999" x14ac:dyDescent="0.25">
      <c r="A319" s="16"/>
      <c r="B319" s="17"/>
      <c r="C319" s="2"/>
      <c r="D319" s="2"/>
      <c r="E319" s="2"/>
      <c r="F319" s="2"/>
      <c r="G319" s="2"/>
      <c r="H319" s="2"/>
      <c r="I319" s="5"/>
    </row>
    <row r="320" spans="1:9" ht="17.399999999999999" x14ac:dyDescent="0.25">
      <c r="A320" s="16"/>
      <c r="B320" s="17"/>
      <c r="C320" s="2"/>
      <c r="D320" s="2"/>
      <c r="E320" s="2"/>
      <c r="F320" s="2"/>
      <c r="G320" s="2"/>
      <c r="H320" s="2"/>
      <c r="I320" s="5"/>
    </row>
    <row r="321" spans="1:9" ht="17.399999999999999" x14ac:dyDescent="0.25">
      <c r="A321" s="16"/>
      <c r="B321" s="17"/>
      <c r="C321" s="2"/>
      <c r="D321" s="2"/>
      <c r="E321" s="2"/>
      <c r="F321" s="2"/>
      <c r="G321" s="2"/>
      <c r="H321" s="2"/>
      <c r="I321" s="5"/>
    </row>
    <row r="322" spans="1:9" ht="17.399999999999999" x14ac:dyDescent="0.25">
      <c r="A322" s="16"/>
      <c r="B322" s="17"/>
      <c r="C322" s="2"/>
      <c r="D322" s="2"/>
      <c r="E322" s="2"/>
      <c r="F322" s="2"/>
      <c r="G322" s="2"/>
      <c r="H322" s="2"/>
      <c r="I322" s="5"/>
    </row>
    <row r="323" spans="1:9" ht="17.399999999999999" x14ac:dyDescent="0.25">
      <c r="A323" s="16"/>
      <c r="B323" s="17"/>
      <c r="C323" s="2"/>
      <c r="D323" s="2"/>
      <c r="E323" s="2"/>
      <c r="F323" s="2"/>
      <c r="G323" s="2"/>
      <c r="H323" s="2"/>
      <c r="I323" s="5"/>
    </row>
    <row r="324" spans="1:9" ht="17.399999999999999" x14ac:dyDescent="0.25">
      <c r="A324" s="16"/>
      <c r="B324" s="17"/>
      <c r="C324" s="2"/>
      <c r="D324" s="2"/>
      <c r="E324" s="2"/>
      <c r="F324" s="2"/>
      <c r="G324" s="2"/>
      <c r="H324" s="2"/>
      <c r="I324" s="5"/>
    </row>
    <row r="325" spans="1:9" ht="17.399999999999999" x14ac:dyDescent="0.25">
      <c r="A325" s="16"/>
      <c r="B325" s="17"/>
      <c r="C325" s="2"/>
      <c r="D325" s="2"/>
      <c r="E325" s="2"/>
      <c r="F325" s="2"/>
      <c r="G325" s="2"/>
      <c r="H325" s="2"/>
      <c r="I325" s="5"/>
    </row>
    <row r="326" spans="1:9" ht="17.399999999999999" x14ac:dyDescent="0.25">
      <c r="A326" s="16"/>
      <c r="B326" s="17"/>
      <c r="C326" s="2"/>
      <c r="D326" s="2"/>
      <c r="E326" s="2"/>
      <c r="F326" s="2"/>
      <c r="G326" s="2"/>
      <c r="H326" s="2"/>
      <c r="I326" s="5"/>
    </row>
    <row r="327" spans="1:9" ht="17.399999999999999" x14ac:dyDescent="0.25">
      <c r="A327" s="16"/>
      <c r="B327" s="17"/>
      <c r="C327" s="2"/>
      <c r="D327" s="2"/>
      <c r="E327" s="2"/>
      <c r="F327" s="2"/>
      <c r="G327" s="2"/>
      <c r="H327" s="2"/>
      <c r="I327" s="5"/>
    </row>
    <row r="328" spans="1:9" ht="17.399999999999999" x14ac:dyDescent="0.25">
      <c r="A328" s="16"/>
      <c r="B328" s="17"/>
      <c r="C328" s="2"/>
      <c r="D328" s="2"/>
      <c r="E328" s="2"/>
      <c r="F328" s="2"/>
      <c r="G328" s="2"/>
      <c r="H328" s="2"/>
      <c r="I328" s="5"/>
    </row>
    <row r="329" spans="1:9" ht="17.399999999999999" x14ac:dyDescent="0.25">
      <c r="A329" s="16"/>
      <c r="B329" s="17"/>
      <c r="C329" s="2"/>
      <c r="D329" s="2"/>
      <c r="E329" s="2"/>
      <c r="F329" s="2"/>
      <c r="G329" s="2"/>
      <c r="H329" s="2"/>
      <c r="I329" s="5"/>
    </row>
    <row r="330" spans="1:9" ht="17.399999999999999" x14ac:dyDescent="0.25">
      <c r="A330" s="16"/>
      <c r="B330" s="17"/>
      <c r="C330" s="2"/>
      <c r="D330" s="2"/>
      <c r="E330" s="2"/>
      <c r="F330" s="2"/>
      <c r="G330" s="2"/>
      <c r="H330" s="2"/>
      <c r="I330" s="5"/>
    </row>
    <row r="331" spans="1:9" ht="17.399999999999999" x14ac:dyDescent="0.25">
      <c r="A331" s="16"/>
      <c r="B331" s="17"/>
      <c r="C331" s="2"/>
      <c r="D331" s="2"/>
      <c r="E331" s="2"/>
      <c r="F331" s="2"/>
      <c r="G331" s="2"/>
      <c r="H331" s="2"/>
      <c r="I331" s="5"/>
    </row>
    <row r="332" spans="1:9" ht="17.399999999999999" x14ac:dyDescent="0.25">
      <c r="A332" s="16"/>
      <c r="B332" s="17"/>
      <c r="C332" s="2"/>
      <c r="D332" s="2"/>
      <c r="E332" s="2"/>
      <c r="F332" s="2"/>
      <c r="G332" s="2"/>
      <c r="H332" s="2"/>
      <c r="I332" s="5"/>
    </row>
    <row r="333" spans="1:9" ht="17.399999999999999" x14ac:dyDescent="0.25">
      <c r="A333" s="16"/>
      <c r="B333" s="17"/>
      <c r="C333" s="2"/>
      <c r="D333" s="2"/>
      <c r="E333" s="2"/>
      <c r="F333" s="2"/>
      <c r="G333" s="2"/>
      <c r="H333" s="2"/>
      <c r="I333" s="5"/>
    </row>
    <row r="334" spans="1:9" ht="17.399999999999999" x14ac:dyDescent="0.25">
      <c r="A334" s="16"/>
      <c r="B334" s="17"/>
      <c r="C334" s="2"/>
      <c r="D334" s="2"/>
      <c r="E334" s="2"/>
      <c r="F334" s="2"/>
      <c r="G334" s="2"/>
      <c r="H334" s="2"/>
      <c r="I334" s="5"/>
    </row>
    <row r="335" spans="1:9" ht="17.399999999999999" x14ac:dyDescent="0.25">
      <c r="A335" s="16"/>
      <c r="B335" s="17"/>
      <c r="C335" s="2"/>
      <c r="D335" s="2"/>
      <c r="E335" s="2"/>
      <c r="F335" s="2"/>
      <c r="G335" s="2"/>
      <c r="H335" s="2"/>
      <c r="I335" s="5"/>
    </row>
    <row r="336" spans="1:9" ht="17.399999999999999" x14ac:dyDescent="0.25">
      <c r="A336" s="16"/>
      <c r="B336" s="17"/>
      <c r="C336" s="2"/>
      <c r="D336" s="2"/>
      <c r="E336" s="2"/>
      <c r="F336" s="2"/>
      <c r="G336" s="2"/>
      <c r="H336" s="2"/>
      <c r="I336" s="5"/>
    </row>
    <row r="337" spans="1:9" ht="17.399999999999999" x14ac:dyDescent="0.25">
      <c r="A337" s="16"/>
      <c r="B337" s="17"/>
      <c r="C337" s="2"/>
      <c r="D337" s="2"/>
      <c r="E337" s="2"/>
      <c r="F337" s="2"/>
      <c r="G337" s="2"/>
      <c r="H337" s="2"/>
      <c r="I337" s="5"/>
    </row>
    <row r="338" spans="1:9" ht="17.399999999999999" x14ac:dyDescent="0.25">
      <c r="A338" s="16"/>
      <c r="B338" s="17"/>
      <c r="C338" s="2"/>
      <c r="D338" s="2"/>
      <c r="E338" s="2"/>
      <c r="F338" s="2"/>
      <c r="G338" s="2"/>
      <c r="H338" s="2"/>
      <c r="I338" s="5"/>
    </row>
    <row r="339" spans="1:9" ht="17.399999999999999" x14ac:dyDescent="0.25">
      <c r="A339" s="16"/>
      <c r="B339" s="17"/>
      <c r="C339" s="2"/>
      <c r="D339" s="2"/>
      <c r="E339" s="2"/>
      <c r="F339" s="2"/>
      <c r="G339" s="2"/>
      <c r="H339" s="2"/>
      <c r="I339" s="5"/>
    </row>
    <row r="340" spans="1:9" ht="17.399999999999999" x14ac:dyDescent="0.25">
      <c r="A340" s="16"/>
      <c r="B340" s="17"/>
      <c r="C340" s="2"/>
      <c r="D340" s="2"/>
      <c r="E340" s="2"/>
      <c r="F340" s="2"/>
      <c r="G340" s="2"/>
      <c r="H340" s="2"/>
      <c r="I340" s="5"/>
    </row>
    <row r="341" spans="1:9" ht="17.399999999999999" x14ac:dyDescent="0.25">
      <c r="A341" s="16"/>
      <c r="B341" s="17"/>
      <c r="C341" s="2"/>
      <c r="D341" s="2"/>
      <c r="E341" s="2"/>
      <c r="F341" s="2"/>
      <c r="G341" s="2"/>
      <c r="H341" s="2"/>
      <c r="I341" s="5"/>
    </row>
    <row r="342" spans="1:9" ht="17.399999999999999" x14ac:dyDescent="0.25">
      <c r="A342" s="16"/>
      <c r="B342" s="17"/>
      <c r="C342" s="2"/>
      <c r="D342" s="2"/>
      <c r="E342" s="2"/>
      <c r="F342" s="2"/>
      <c r="G342" s="2"/>
      <c r="H342" s="2"/>
      <c r="I342" s="5"/>
    </row>
    <row r="343" spans="1:9" ht="17.399999999999999" x14ac:dyDescent="0.25">
      <c r="A343" s="16"/>
      <c r="B343" s="17"/>
      <c r="C343" s="2"/>
      <c r="D343" s="2"/>
      <c r="E343" s="2"/>
      <c r="F343" s="2"/>
      <c r="G343" s="2"/>
      <c r="H343" s="2"/>
      <c r="I343" s="5"/>
    </row>
    <row r="344" spans="1:9" ht="17.399999999999999" x14ac:dyDescent="0.25">
      <c r="A344" s="16"/>
      <c r="B344" s="17"/>
      <c r="C344" s="2"/>
      <c r="D344" s="2"/>
      <c r="E344" s="2"/>
      <c r="F344" s="2"/>
      <c r="G344" s="2"/>
      <c r="H344" s="2"/>
      <c r="I344" s="5"/>
    </row>
    <row r="345" spans="1:9" ht="17.399999999999999" x14ac:dyDescent="0.25">
      <c r="A345" s="16"/>
      <c r="B345" s="17"/>
      <c r="C345" s="2"/>
      <c r="D345" s="2"/>
      <c r="E345" s="2"/>
      <c r="F345" s="2"/>
      <c r="G345" s="2"/>
      <c r="H345" s="2"/>
      <c r="I345" s="5"/>
    </row>
    <row r="346" spans="1:9" ht="17.399999999999999" x14ac:dyDescent="0.25">
      <c r="A346" s="16"/>
      <c r="B346" s="17"/>
      <c r="C346" s="2"/>
      <c r="D346" s="2"/>
      <c r="E346" s="2"/>
      <c r="F346" s="2"/>
      <c r="G346" s="2"/>
      <c r="H346" s="2"/>
      <c r="I346" s="5"/>
    </row>
    <row r="347" spans="1:9" ht="17.399999999999999" x14ac:dyDescent="0.25">
      <c r="A347" s="16"/>
      <c r="B347" s="17"/>
      <c r="C347" s="2"/>
      <c r="D347" s="2"/>
      <c r="E347" s="2"/>
      <c r="F347" s="2"/>
      <c r="G347" s="2"/>
      <c r="H347" s="2"/>
      <c r="I347" s="5"/>
    </row>
    <row r="348" spans="1:9" ht="17.399999999999999" x14ac:dyDescent="0.25">
      <c r="A348" s="16"/>
      <c r="B348" s="17"/>
      <c r="C348" s="2"/>
      <c r="D348" s="2"/>
      <c r="E348" s="2"/>
      <c r="F348" s="2"/>
      <c r="G348" s="2"/>
      <c r="H348" s="2"/>
      <c r="I348" s="5"/>
    </row>
    <row r="349" spans="1:9" ht="17.399999999999999" x14ac:dyDescent="0.25">
      <c r="A349" s="16"/>
      <c r="B349" s="17"/>
      <c r="C349" s="2"/>
      <c r="D349" s="2"/>
      <c r="E349" s="2"/>
      <c r="F349" s="2"/>
      <c r="G349" s="2"/>
      <c r="H349" s="2"/>
      <c r="I349" s="5"/>
    </row>
    <row r="350" spans="1:9" ht="17.399999999999999" x14ac:dyDescent="0.25">
      <c r="A350" s="16"/>
      <c r="B350" s="17"/>
      <c r="C350" s="2"/>
      <c r="D350" s="2"/>
      <c r="E350" s="2"/>
      <c r="F350" s="2"/>
      <c r="G350" s="2"/>
      <c r="H350" s="2"/>
      <c r="I350" s="5"/>
    </row>
    <row r="351" spans="1:9" ht="17.399999999999999" x14ac:dyDescent="0.25">
      <c r="A351" s="16"/>
      <c r="B351" s="17"/>
      <c r="C351" s="2"/>
      <c r="D351" s="2"/>
      <c r="E351" s="2"/>
      <c r="F351" s="2"/>
      <c r="G351" s="2"/>
      <c r="H351" s="2"/>
      <c r="I351" s="5"/>
    </row>
    <row r="352" spans="1:9" ht="17.399999999999999" x14ac:dyDescent="0.25">
      <c r="A352" s="16"/>
      <c r="B352" s="17"/>
      <c r="C352" s="2"/>
      <c r="D352" s="2"/>
      <c r="E352" s="2"/>
      <c r="F352" s="2"/>
      <c r="G352" s="2"/>
      <c r="H352" s="2"/>
      <c r="I352" s="5"/>
    </row>
    <row r="353" spans="1:9" ht="17.399999999999999" x14ac:dyDescent="0.25">
      <c r="A353" s="16"/>
      <c r="B353" s="17"/>
      <c r="C353" s="2"/>
      <c r="D353" s="2"/>
      <c r="E353" s="2"/>
      <c r="F353" s="2"/>
      <c r="G353" s="2"/>
      <c r="H353" s="2"/>
      <c r="I353" s="5"/>
    </row>
    <row r="354" spans="1:9" ht="17.399999999999999" x14ac:dyDescent="0.25">
      <c r="A354" s="16"/>
      <c r="B354" s="17"/>
      <c r="C354" s="2"/>
      <c r="D354" s="2"/>
      <c r="E354" s="2"/>
      <c r="F354" s="2"/>
      <c r="G354" s="2"/>
      <c r="H354" s="2"/>
      <c r="I354" s="5"/>
    </row>
    <row r="355" spans="1:9" ht="17.399999999999999" x14ac:dyDescent="0.25">
      <c r="A355" s="16"/>
      <c r="B355" s="17"/>
      <c r="C355" s="2"/>
      <c r="D355" s="2"/>
      <c r="E355" s="2"/>
      <c r="F355" s="2"/>
      <c r="G355" s="2"/>
      <c r="H355" s="2"/>
      <c r="I355" s="5"/>
    </row>
    <row r="356" spans="1:9" ht="17.399999999999999" x14ac:dyDescent="0.25">
      <c r="A356" s="16"/>
      <c r="B356" s="17"/>
      <c r="C356" s="2"/>
      <c r="D356" s="2"/>
      <c r="E356" s="2"/>
      <c r="F356" s="2"/>
      <c r="G356" s="2"/>
      <c r="H356" s="2"/>
      <c r="I356" s="5"/>
    </row>
    <row r="357" spans="1:9" ht="17.399999999999999" x14ac:dyDescent="0.25">
      <c r="A357" s="16"/>
      <c r="B357" s="17"/>
      <c r="C357" s="2"/>
      <c r="D357" s="2"/>
      <c r="E357" s="2"/>
      <c r="F357" s="2"/>
      <c r="G357" s="2"/>
      <c r="H357" s="2"/>
      <c r="I357" s="5"/>
    </row>
    <row r="358" spans="1:9" ht="17.399999999999999" x14ac:dyDescent="0.25">
      <c r="A358" s="16"/>
      <c r="B358" s="17"/>
      <c r="C358" s="2"/>
      <c r="D358" s="2"/>
      <c r="E358" s="2"/>
      <c r="F358" s="2"/>
      <c r="G358" s="2"/>
      <c r="H358" s="2"/>
      <c r="I358" s="5"/>
    </row>
    <row r="359" spans="1:9" ht="17.399999999999999" x14ac:dyDescent="0.25">
      <c r="A359" s="16"/>
      <c r="B359" s="17"/>
      <c r="C359" s="2"/>
      <c r="D359" s="2"/>
      <c r="E359" s="2"/>
      <c r="F359" s="2"/>
      <c r="G359" s="2"/>
      <c r="H359" s="2"/>
      <c r="I359" s="5"/>
    </row>
    <row r="360" spans="1:9" ht="17.399999999999999" x14ac:dyDescent="0.25">
      <c r="A360" s="16"/>
      <c r="B360" s="17"/>
      <c r="C360" s="2"/>
      <c r="D360" s="2"/>
      <c r="E360" s="2"/>
      <c r="F360" s="2"/>
      <c r="G360" s="2"/>
      <c r="H360" s="2"/>
      <c r="I360" s="5"/>
    </row>
    <row r="361" spans="1:9" ht="17.399999999999999" x14ac:dyDescent="0.25">
      <c r="A361" s="16"/>
      <c r="B361" s="17"/>
      <c r="C361" s="2"/>
      <c r="D361" s="2"/>
      <c r="E361" s="2"/>
      <c r="F361" s="2"/>
      <c r="G361" s="2"/>
      <c r="H361" s="2"/>
      <c r="I361" s="5"/>
    </row>
    <row r="362" spans="1:9" ht="17.399999999999999" x14ac:dyDescent="0.25">
      <c r="A362" s="16"/>
      <c r="B362" s="17"/>
      <c r="C362" s="2"/>
      <c r="D362" s="2"/>
      <c r="E362" s="2"/>
      <c r="F362" s="2"/>
      <c r="G362" s="2"/>
      <c r="H362" s="2"/>
      <c r="I362" s="5"/>
    </row>
    <row r="363" spans="1:9" ht="17.399999999999999" x14ac:dyDescent="0.25">
      <c r="A363" s="16"/>
      <c r="B363" s="17"/>
      <c r="C363" s="2"/>
      <c r="D363" s="2"/>
      <c r="E363" s="2"/>
      <c r="F363" s="2"/>
      <c r="G363" s="2"/>
      <c r="H363" s="2"/>
      <c r="I363" s="5"/>
    </row>
    <row r="364" spans="1:9" ht="17.399999999999999" x14ac:dyDescent="0.25">
      <c r="A364" s="16"/>
      <c r="B364" s="17"/>
      <c r="C364" s="2"/>
      <c r="D364" s="2"/>
      <c r="E364" s="2"/>
      <c r="F364" s="2"/>
      <c r="G364" s="2"/>
      <c r="H364" s="2"/>
      <c r="I364" s="5"/>
    </row>
    <row r="365" spans="1:9" ht="17.399999999999999" x14ac:dyDescent="0.25">
      <c r="A365" s="16"/>
      <c r="B365" s="17"/>
      <c r="C365" s="2"/>
      <c r="D365" s="2"/>
      <c r="E365" s="2"/>
      <c r="F365" s="2"/>
      <c r="G365" s="2"/>
      <c r="H365" s="2"/>
      <c r="I365" s="5"/>
    </row>
    <row r="366" spans="1:9" ht="17.399999999999999" x14ac:dyDescent="0.25">
      <c r="A366" s="16"/>
      <c r="B366" s="17"/>
      <c r="C366" s="2"/>
      <c r="D366" s="2"/>
      <c r="E366" s="2"/>
      <c r="F366" s="2"/>
      <c r="G366" s="2"/>
      <c r="H366" s="2"/>
      <c r="I366" s="5"/>
    </row>
    <row r="367" spans="1:9" ht="17.399999999999999" x14ac:dyDescent="0.25">
      <c r="A367" s="16"/>
      <c r="B367" s="17"/>
      <c r="C367" s="2"/>
      <c r="D367" s="2"/>
      <c r="E367" s="2"/>
      <c r="F367" s="2"/>
      <c r="G367" s="2"/>
      <c r="H367" s="2"/>
      <c r="I367" s="5"/>
    </row>
    <row r="368" spans="1:9" ht="17.399999999999999" x14ac:dyDescent="0.25">
      <c r="A368" s="16"/>
      <c r="B368" s="17"/>
      <c r="C368" s="2"/>
      <c r="D368" s="2"/>
      <c r="E368" s="2"/>
      <c r="F368" s="2"/>
      <c r="G368" s="2"/>
      <c r="H368" s="2"/>
      <c r="I368" s="5"/>
    </row>
    <row r="369" spans="1:9" ht="17.399999999999999" x14ac:dyDescent="0.25">
      <c r="A369" s="16"/>
      <c r="B369" s="17"/>
      <c r="C369" s="2"/>
      <c r="D369" s="2"/>
      <c r="E369" s="2"/>
      <c r="F369" s="2"/>
      <c r="G369" s="2"/>
      <c r="H369" s="2"/>
      <c r="I369" s="5"/>
    </row>
    <row r="370" spans="1:9" ht="17.399999999999999" x14ac:dyDescent="0.25">
      <c r="A370" s="16"/>
      <c r="B370" s="17"/>
      <c r="C370" s="2"/>
      <c r="D370" s="2"/>
      <c r="E370" s="2"/>
      <c r="F370" s="2"/>
      <c r="G370" s="2"/>
      <c r="H370" s="2"/>
      <c r="I370" s="5"/>
    </row>
    <row r="371" spans="1:9" ht="17.399999999999999" x14ac:dyDescent="0.25">
      <c r="A371" s="16"/>
      <c r="B371" s="17"/>
      <c r="C371" s="2"/>
      <c r="D371" s="2"/>
      <c r="E371" s="2"/>
      <c r="F371" s="2"/>
      <c r="G371" s="2"/>
      <c r="H371" s="2"/>
      <c r="I371" s="5"/>
    </row>
    <row r="372" spans="1:9" ht="17.399999999999999" x14ac:dyDescent="0.25">
      <c r="A372" s="16"/>
      <c r="B372" s="17"/>
      <c r="C372" s="2"/>
      <c r="D372" s="2"/>
      <c r="E372" s="2"/>
      <c r="F372" s="2"/>
      <c r="G372" s="2"/>
      <c r="H372" s="2"/>
      <c r="I372" s="5"/>
    </row>
    <row r="373" spans="1:9" ht="17.399999999999999" x14ac:dyDescent="0.25">
      <c r="A373" s="16"/>
      <c r="B373" s="17"/>
      <c r="C373" s="2"/>
      <c r="D373" s="2"/>
      <c r="E373" s="2"/>
      <c r="F373" s="2"/>
      <c r="G373" s="2"/>
      <c r="H373" s="2"/>
      <c r="I373" s="5"/>
    </row>
    <row r="374" spans="1:9" ht="17.399999999999999" x14ac:dyDescent="0.25">
      <c r="A374" s="16"/>
      <c r="B374" s="17"/>
      <c r="C374" s="2"/>
      <c r="D374" s="2"/>
      <c r="E374" s="2"/>
      <c r="F374" s="2"/>
      <c r="G374" s="2"/>
      <c r="H374" s="2"/>
      <c r="I374" s="5"/>
    </row>
    <row r="375" spans="1:9" ht="17.399999999999999" x14ac:dyDescent="0.25">
      <c r="A375" s="16"/>
      <c r="B375" s="17"/>
      <c r="C375" s="2"/>
      <c r="D375" s="2"/>
      <c r="E375" s="2"/>
      <c r="F375" s="2"/>
      <c r="G375" s="2"/>
      <c r="H375" s="2"/>
      <c r="I375" s="5"/>
    </row>
    <row r="376" spans="1:9" ht="17.399999999999999" x14ac:dyDescent="0.25">
      <c r="A376" s="16"/>
      <c r="B376" s="17"/>
      <c r="C376" s="2"/>
      <c r="D376" s="2"/>
      <c r="E376" s="2"/>
      <c r="F376" s="2"/>
      <c r="G376" s="2"/>
      <c r="H376" s="2"/>
      <c r="I376" s="5"/>
    </row>
    <row r="377" spans="1:9" ht="17.399999999999999" x14ac:dyDescent="0.25">
      <c r="A377" s="16"/>
      <c r="B377" s="17"/>
      <c r="C377" s="2"/>
      <c r="D377" s="2"/>
      <c r="E377" s="2"/>
      <c r="F377" s="2"/>
      <c r="G377" s="2"/>
      <c r="H377" s="2"/>
      <c r="I377" s="5"/>
    </row>
    <row r="378" spans="1:9" ht="17.399999999999999" x14ac:dyDescent="0.25">
      <c r="A378" s="16"/>
      <c r="B378" s="17"/>
      <c r="C378" s="2"/>
      <c r="D378" s="2"/>
      <c r="E378" s="2"/>
      <c r="F378" s="2"/>
      <c r="G378" s="2"/>
      <c r="H378" s="2"/>
      <c r="I378" s="5"/>
    </row>
    <row r="379" spans="1:9" ht="17.399999999999999" x14ac:dyDescent="0.25">
      <c r="A379" s="16"/>
      <c r="B379" s="17"/>
      <c r="C379" s="2"/>
      <c r="D379" s="2"/>
      <c r="E379" s="2"/>
      <c r="F379" s="2"/>
      <c r="G379" s="2"/>
      <c r="H379" s="2"/>
      <c r="I379" s="5"/>
    </row>
    <row r="380" spans="1:9" ht="17.399999999999999" x14ac:dyDescent="0.25">
      <c r="A380" s="16"/>
      <c r="B380" s="17"/>
      <c r="C380" s="2"/>
      <c r="D380" s="2"/>
      <c r="E380" s="2"/>
      <c r="F380" s="2"/>
      <c r="G380" s="2"/>
      <c r="H380" s="2"/>
      <c r="I380" s="5"/>
    </row>
    <row r="381" spans="1:9" ht="17.399999999999999" x14ac:dyDescent="0.25">
      <c r="A381" s="16"/>
      <c r="B381" s="17"/>
      <c r="C381" s="2"/>
      <c r="D381" s="2"/>
      <c r="E381" s="2"/>
      <c r="F381" s="2"/>
      <c r="G381" s="2"/>
      <c r="H381" s="2"/>
      <c r="I381" s="5"/>
    </row>
    <row r="382" spans="1:9" ht="17.399999999999999" x14ac:dyDescent="0.25">
      <c r="A382" s="16"/>
      <c r="B382" s="17"/>
      <c r="C382" s="2"/>
      <c r="D382" s="2"/>
      <c r="E382" s="2"/>
      <c r="F382" s="2"/>
      <c r="G382" s="2"/>
      <c r="H382" s="2"/>
      <c r="I382" s="5"/>
    </row>
    <row r="383" spans="1:9" ht="17.399999999999999" x14ac:dyDescent="0.25">
      <c r="A383" s="16"/>
      <c r="B383" s="17"/>
      <c r="C383" s="2"/>
      <c r="D383" s="2"/>
      <c r="E383" s="2"/>
      <c r="F383" s="2"/>
      <c r="G383" s="2"/>
      <c r="H383" s="2"/>
      <c r="I383" s="5"/>
    </row>
    <row r="384" spans="1:9" ht="17.399999999999999" x14ac:dyDescent="0.25">
      <c r="A384" s="16"/>
      <c r="B384" s="17"/>
      <c r="C384" s="2"/>
      <c r="D384" s="2"/>
      <c r="E384" s="2"/>
      <c r="F384" s="2"/>
      <c r="G384" s="2"/>
      <c r="H384" s="2"/>
      <c r="I384" s="5"/>
    </row>
    <row r="385" spans="1:9" ht="17.399999999999999" x14ac:dyDescent="0.25">
      <c r="A385" s="16"/>
      <c r="B385" s="17"/>
      <c r="C385" s="2"/>
      <c r="D385" s="2"/>
      <c r="E385" s="2"/>
      <c r="F385" s="2"/>
      <c r="G385" s="2"/>
      <c r="H385" s="2"/>
      <c r="I385" s="5"/>
    </row>
    <row r="386" spans="1:9" ht="17.399999999999999" x14ac:dyDescent="0.25">
      <c r="A386" s="16"/>
      <c r="B386" s="17"/>
      <c r="C386" s="2"/>
      <c r="D386" s="2"/>
      <c r="E386" s="2"/>
      <c r="F386" s="2"/>
      <c r="G386" s="2"/>
      <c r="H386" s="2"/>
      <c r="I386" s="5"/>
    </row>
    <row r="387" spans="1:9" ht="17.399999999999999" x14ac:dyDescent="0.25">
      <c r="A387" s="16"/>
      <c r="B387" s="17"/>
      <c r="C387" s="2"/>
      <c r="D387" s="2"/>
      <c r="E387" s="2"/>
      <c r="F387" s="2"/>
      <c r="G387" s="2"/>
      <c r="H387" s="2"/>
      <c r="I387" s="5"/>
    </row>
    <row r="388" spans="1:9" ht="17.399999999999999" x14ac:dyDescent="0.25">
      <c r="A388" s="16"/>
      <c r="B388" s="17"/>
      <c r="C388" s="2"/>
      <c r="D388" s="2"/>
      <c r="E388" s="2"/>
      <c r="F388" s="2"/>
      <c r="G388" s="2"/>
      <c r="H388" s="2"/>
      <c r="I388" s="5"/>
    </row>
    <row r="389" spans="1:9" ht="17.399999999999999" x14ac:dyDescent="0.25">
      <c r="A389" s="16"/>
      <c r="B389" s="17"/>
      <c r="C389" s="2"/>
      <c r="D389" s="2"/>
      <c r="E389" s="2"/>
      <c r="F389" s="2"/>
      <c r="G389" s="2"/>
      <c r="H389" s="2"/>
      <c r="I389" s="5"/>
    </row>
    <row r="390" spans="1:9" ht="17.399999999999999" x14ac:dyDescent="0.25">
      <c r="A390" s="16"/>
      <c r="B390" s="17"/>
      <c r="C390" s="2"/>
      <c r="D390" s="2"/>
      <c r="E390" s="2"/>
      <c r="F390" s="2"/>
      <c r="G390" s="2"/>
      <c r="H390" s="2"/>
      <c r="I390" s="5"/>
    </row>
    <row r="391" spans="1:9" ht="17.399999999999999" x14ac:dyDescent="0.25">
      <c r="A391" s="16"/>
      <c r="B391" s="17"/>
      <c r="C391" s="2"/>
      <c r="D391" s="2"/>
      <c r="E391" s="2"/>
      <c r="F391" s="2"/>
      <c r="G391" s="2"/>
      <c r="H391" s="2"/>
      <c r="I391" s="5"/>
    </row>
    <row r="392" spans="1:9" ht="17.399999999999999" x14ac:dyDescent="0.25">
      <c r="A392" s="16"/>
      <c r="B392" s="17"/>
      <c r="C392" s="2"/>
      <c r="D392" s="2"/>
      <c r="E392" s="2"/>
      <c r="F392" s="2"/>
      <c r="G392" s="2"/>
      <c r="H392" s="2"/>
      <c r="I392" s="5"/>
    </row>
    <row r="393" spans="1:9" ht="17.399999999999999" x14ac:dyDescent="0.25">
      <c r="A393" s="16"/>
      <c r="B393" s="17"/>
      <c r="C393" s="2"/>
      <c r="D393" s="2"/>
      <c r="E393" s="2"/>
      <c r="F393" s="2"/>
      <c r="G393" s="2"/>
      <c r="H393" s="2"/>
      <c r="I393" s="5"/>
    </row>
    <row r="394" spans="1:9" ht="17.399999999999999" x14ac:dyDescent="0.25">
      <c r="A394" s="16"/>
      <c r="B394" s="17"/>
      <c r="C394" s="2"/>
      <c r="D394" s="2"/>
      <c r="E394" s="2"/>
      <c r="F394" s="2"/>
      <c r="G394" s="2"/>
      <c r="H394" s="2"/>
      <c r="I394" s="5"/>
    </row>
    <row r="395" spans="1:9" ht="17.399999999999999" x14ac:dyDescent="0.25">
      <c r="A395" s="16"/>
      <c r="B395" s="17"/>
      <c r="C395" s="2"/>
      <c r="D395" s="2"/>
      <c r="E395" s="2"/>
      <c r="F395" s="2"/>
      <c r="G395" s="2"/>
      <c r="H395" s="2"/>
      <c r="I395" s="5"/>
    </row>
    <row r="396" spans="1:9" ht="17.399999999999999" x14ac:dyDescent="0.25">
      <c r="A396" s="16"/>
      <c r="B396" s="17"/>
      <c r="C396" s="2"/>
      <c r="D396" s="2"/>
      <c r="E396" s="2"/>
      <c r="F396" s="2"/>
      <c r="G396" s="2"/>
      <c r="H396" s="2"/>
      <c r="I396" s="5"/>
    </row>
    <row r="397" spans="1:9" ht="17.399999999999999" x14ac:dyDescent="0.25">
      <c r="A397" s="16"/>
      <c r="B397" s="17"/>
      <c r="C397" s="2"/>
      <c r="D397" s="2"/>
      <c r="E397" s="2"/>
      <c r="F397" s="2"/>
      <c r="G397" s="2"/>
      <c r="H397" s="2"/>
      <c r="I397" s="5"/>
    </row>
    <row r="398" spans="1:9" ht="17.399999999999999" x14ac:dyDescent="0.25">
      <c r="A398" s="16"/>
      <c r="B398" s="17"/>
      <c r="C398" s="2"/>
      <c r="D398" s="2"/>
      <c r="E398" s="2"/>
      <c r="F398" s="2"/>
      <c r="G398" s="2"/>
      <c r="H398" s="2"/>
      <c r="I398" s="5"/>
    </row>
    <row r="399" spans="1:9" ht="17.399999999999999" x14ac:dyDescent="0.25">
      <c r="A399" s="16"/>
      <c r="B399" s="17"/>
      <c r="C399" s="2"/>
      <c r="D399" s="2"/>
      <c r="E399" s="2"/>
      <c r="F399" s="2"/>
      <c r="G399" s="2"/>
      <c r="H399" s="2"/>
      <c r="I399" s="5"/>
    </row>
    <row r="400" spans="1:9" ht="17.399999999999999" x14ac:dyDescent="0.25">
      <c r="A400" s="16"/>
      <c r="B400" s="17"/>
      <c r="C400" s="2"/>
      <c r="D400" s="2"/>
      <c r="E400" s="2"/>
      <c r="F400" s="2"/>
      <c r="G400" s="2"/>
      <c r="H400" s="2"/>
      <c r="I400" s="5"/>
    </row>
    <row r="401" spans="1:9" ht="17.399999999999999" x14ac:dyDescent="0.25">
      <c r="A401" s="16"/>
      <c r="B401" s="17"/>
      <c r="C401" s="2"/>
      <c r="D401" s="2"/>
      <c r="E401" s="2"/>
      <c r="F401" s="2"/>
      <c r="G401" s="2"/>
      <c r="H401" s="2"/>
      <c r="I401" s="5"/>
    </row>
    <row r="402" spans="1:9" ht="17.399999999999999" x14ac:dyDescent="0.25">
      <c r="A402" s="16"/>
      <c r="B402" s="17"/>
      <c r="C402" s="2"/>
      <c r="D402" s="2"/>
      <c r="E402" s="2"/>
      <c r="F402" s="2"/>
      <c r="G402" s="2"/>
      <c r="H402" s="2"/>
      <c r="I402" s="5"/>
    </row>
    <row r="403" spans="1:9" ht="17.399999999999999" x14ac:dyDescent="0.25">
      <c r="A403" s="16"/>
      <c r="B403" s="17"/>
      <c r="C403" s="2"/>
      <c r="D403" s="2"/>
      <c r="E403" s="2"/>
      <c r="F403" s="2"/>
      <c r="G403" s="2"/>
      <c r="H403" s="2"/>
      <c r="I403" s="5"/>
    </row>
    <row r="404" spans="1:9" ht="17.399999999999999" x14ac:dyDescent="0.25">
      <c r="A404" s="16"/>
      <c r="B404" s="17"/>
      <c r="C404" s="2"/>
      <c r="D404" s="2"/>
      <c r="E404" s="2"/>
      <c r="F404" s="2"/>
      <c r="G404" s="2"/>
      <c r="H404" s="2"/>
      <c r="I404" s="5"/>
    </row>
    <row r="405" spans="1:9" ht="17.399999999999999" x14ac:dyDescent="0.25">
      <c r="A405" s="16"/>
      <c r="B405" s="17"/>
      <c r="C405" s="2"/>
      <c r="D405" s="2"/>
      <c r="E405" s="2"/>
      <c r="F405" s="2"/>
      <c r="G405" s="2"/>
      <c r="H405" s="2"/>
      <c r="I405" s="5"/>
    </row>
    <row r="406" spans="1:9" ht="17.399999999999999" x14ac:dyDescent="0.25">
      <c r="A406" s="16"/>
      <c r="B406" s="17"/>
      <c r="C406" s="2"/>
      <c r="D406" s="2"/>
      <c r="E406" s="2"/>
      <c r="F406" s="2"/>
      <c r="G406" s="2"/>
      <c r="H406" s="2"/>
      <c r="I406" s="5"/>
    </row>
    <row r="407" spans="1:9" ht="17.399999999999999" x14ac:dyDescent="0.25">
      <c r="A407" s="16"/>
      <c r="B407" s="17"/>
      <c r="C407" s="2"/>
      <c r="D407" s="2"/>
      <c r="E407" s="2"/>
      <c r="F407" s="2"/>
      <c r="G407" s="2"/>
      <c r="H407" s="2"/>
      <c r="I407" s="5"/>
    </row>
    <row r="408" spans="1:9" ht="17.399999999999999" x14ac:dyDescent="0.25">
      <c r="A408" s="16"/>
      <c r="B408" s="17"/>
      <c r="C408" s="2"/>
      <c r="D408" s="2"/>
      <c r="E408" s="2"/>
      <c r="F408" s="2"/>
      <c r="G408" s="2"/>
      <c r="H408" s="2"/>
      <c r="I408" s="5"/>
    </row>
    <row r="409" spans="1:9" ht="17.399999999999999" x14ac:dyDescent="0.25">
      <c r="A409" s="16"/>
      <c r="B409" s="17"/>
      <c r="C409" s="2"/>
      <c r="D409" s="2"/>
      <c r="E409" s="2"/>
      <c r="F409" s="2"/>
      <c r="G409" s="2"/>
      <c r="H409" s="2"/>
      <c r="I409" s="5"/>
    </row>
    <row r="410" spans="1:9" ht="17.399999999999999" x14ac:dyDescent="0.25">
      <c r="A410" s="16"/>
      <c r="B410" s="17"/>
      <c r="C410" s="2"/>
      <c r="D410" s="2"/>
      <c r="E410" s="2"/>
      <c r="F410" s="2"/>
      <c r="G410" s="2"/>
      <c r="H410" s="2"/>
      <c r="I410" s="5"/>
    </row>
    <row r="411" spans="1:9" ht="17.399999999999999" x14ac:dyDescent="0.25">
      <c r="A411" s="16"/>
      <c r="B411" s="17"/>
      <c r="C411" s="2"/>
      <c r="D411" s="2"/>
      <c r="E411" s="2"/>
      <c r="F411" s="2"/>
      <c r="G411" s="2"/>
      <c r="H411" s="2"/>
      <c r="I411" s="5"/>
    </row>
    <row r="412" spans="1:9" ht="17.399999999999999" x14ac:dyDescent="0.25">
      <c r="A412" s="16"/>
      <c r="B412" s="17"/>
      <c r="C412" s="2"/>
      <c r="D412" s="2"/>
      <c r="E412" s="2"/>
      <c r="F412" s="2"/>
      <c r="G412" s="2"/>
      <c r="H412" s="2"/>
      <c r="I412" s="5"/>
    </row>
    <row r="413" spans="1:9" ht="17.399999999999999" x14ac:dyDescent="0.25">
      <c r="A413" s="16"/>
      <c r="B413" s="17"/>
      <c r="C413" s="2"/>
      <c r="D413" s="2"/>
      <c r="E413" s="2"/>
      <c r="F413" s="2"/>
      <c r="G413" s="2"/>
      <c r="H413" s="2"/>
      <c r="I413" s="5"/>
    </row>
    <row r="414" spans="1:9" ht="17.399999999999999" x14ac:dyDescent="0.25">
      <c r="A414" s="16"/>
      <c r="B414" s="17"/>
      <c r="C414" s="2"/>
      <c r="D414" s="2"/>
      <c r="E414" s="2"/>
      <c r="F414" s="2"/>
      <c r="G414" s="2"/>
      <c r="H414" s="2"/>
      <c r="I414" s="5"/>
    </row>
    <row r="415" spans="1:9" ht="17.399999999999999" x14ac:dyDescent="0.25">
      <c r="A415" s="16"/>
      <c r="B415" s="17"/>
      <c r="C415" s="2"/>
      <c r="D415" s="2"/>
      <c r="E415" s="2"/>
      <c r="F415" s="2"/>
      <c r="G415" s="2"/>
      <c r="H415" s="2"/>
      <c r="I415" s="5"/>
    </row>
    <row r="416" spans="1:9" ht="17.399999999999999" x14ac:dyDescent="0.25">
      <c r="A416" s="16"/>
      <c r="B416" s="17"/>
      <c r="C416" s="2"/>
      <c r="D416" s="2"/>
      <c r="E416" s="2"/>
      <c r="F416" s="2"/>
      <c r="G416" s="2"/>
      <c r="H416" s="2"/>
      <c r="I416" s="5"/>
    </row>
    <row r="417" spans="1:9" ht="17.399999999999999" x14ac:dyDescent="0.25">
      <c r="A417" s="16"/>
      <c r="B417" s="17"/>
      <c r="C417" s="2"/>
      <c r="D417" s="2"/>
      <c r="E417" s="2"/>
      <c r="F417" s="2"/>
      <c r="G417" s="2"/>
      <c r="H417" s="2"/>
      <c r="I417" s="5"/>
    </row>
    <row r="418" spans="1:9" ht="17.399999999999999" x14ac:dyDescent="0.25">
      <c r="A418" s="16"/>
      <c r="B418" s="17"/>
      <c r="C418" s="2"/>
      <c r="D418" s="2"/>
      <c r="E418" s="2"/>
      <c r="F418" s="2"/>
      <c r="G418" s="2"/>
      <c r="H418" s="2"/>
      <c r="I418" s="5"/>
    </row>
    <row r="419" spans="1:9" ht="17.399999999999999" x14ac:dyDescent="0.25">
      <c r="A419" s="16"/>
      <c r="B419" s="17"/>
      <c r="C419" s="2"/>
      <c r="D419" s="2"/>
      <c r="E419" s="2"/>
      <c r="F419" s="2"/>
      <c r="G419" s="2"/>
      <c r="H419" s="2"/>
      <c r="I419" s="5"/>
    </row>
    <row r="420" spans="1:9" ht="17.399999999999999" x14ac:dyDescent="0.25">
      <c r="A420" s="16"/>
      <c r="B420" s="17"/>
      <c r="C420" s="2"/>
      <c r="D420" s="2"/>
      <c r="E420" s="2"/>
      <c r="F420" s="2"/>
      <c r="G420" s="2"/>
      <c r="H420" s="2"/>
      <c r="I420" s="5"/>
    </row>
    <row r="421" spans="1:9" ht="17.399999999999999" x14ac:dyDescent="0.25">
      <c r="A421" s="16"/>
      <c r="B421" s="17"/>
      <c r="C421" s="2"/>
      <c r="D421" s="2"/>
      <c r="E421" s="2"/>
      <c r="F421" s="2"/>
      <c r="G421" s="2"/>
      <c r="H421" s="2"/>
      <c r="I421" s="5"/>
    </row>
    <row r="422" spans="1:9" ht="17.399999999999999" x14ac:dyDescent="0.25">
      <c r="A422" s="16"/>
      <c r="B422" s="17"/>
      <c r="C422" s="2"/>
      <c r="D422" s="2"/>
      <c r="E422" s="2"/>
      <c r="F422" s="2"/>
      <c r="G422" s="2"/>
      <c r="H422" s="2"/>
      <c r="I422" s="5"/>
    </row>
    <row r="423" spans="1:9" ht="17.399999999999999" x14ac:dyDescent="0.25">
      <c r="A423" s="16"/>
      <c r="B423" s="17"/>
      <c r="C423" s="2"/>
      <c r="D423" s="2"/>
      <c r="E423" s="2"/>
      <c r="F423" s="2"/>
      <c r="G423" s="2"/>
      <c r="H423" s="2"/>
      <c r="I423" s="5"/>
    </row>
    <row r="424" spans="1:9" ht="17.399999999999999" x14ac:dyDescent="0.25">
      <c r="A424" s="16"/>
      <c r="B424" s="17"/>
      <c r="C424" s="2"/>
      <c r="D424" s="2"/>
      <c r="E424" s="2"/>
      <c r="F424" s="2"/>
      <c r="G424" s="2"/>
      <c r="H424" s="2"/>
      <c r="I424" s="5"/>
    </row>
    <row r="425" spans="1:9" ht="17.399999999999999" x14ac:dyDescent="0.25">
      <c r="A425" s="16"/>
      <c r="B425" s="17"/>
      <c r="C425" s="2"/>
      <c r="D425" s="2"/>
      <c r="E425" s="2"/>
      <c r="F425" s="2"/>
      <c r="G425" s="2"/>
      <c r="H425" s="2"/>
      <c r="I425" s="5"/>
    </row>
    <row r="426" spans="1:9" ht="17.399999999999999" x14ac:dyDescent="0.25">
      <c r="A426" s="16"/>
      <c r="B426" s="17"/>
      <c r="C426" s="2"/>
      <c r="D426" s="2"/>
      <c r="E426" s="2"/>
      <c r="F426" s="2"/>
      <c r="G426" s="2"/>
      <c r="H426" s="2"/>
      <c r="I426" s="5"/>
    </row>
    <row r="427" spans="1:9" ht="17.399999999999999" x14ac:dyDescent="0.25">
      <c r="A427" s="16"/>
      <c r="B427" s="17"/>
      <c r="C427" s="2"/>
      <c r="D427" s="2"/>
      <c r="E427" s="2"/>
      <c r="F427" s="2"/>
      <c r="G427" s="2"/>
      <c r="H427" s="2"/>
      <c r="I427" s="5"/>
    </row>
    <row r="428" spans="1:9" ht="17.399999999999999" x14ac:dyDescent="0.25">
      <c r="A428" s="16"/>
      <c r="B428" s="17"/>
      <c r="C428" s="2"/>
      <c r="D428" s="2"/>
      <c r="E428" s="2"/>
      <c r="F428" s="2"/>
      <c r="G428" s="2"/>
      <c r="H428" s="2"/>
      <c r="I428" s="5"/>
    </row>
    <row r="429" spans="1:9" ht="17.399999999999999" x14ac:dyDescent="0.25">
      <c r="A429" s="16"/>
      <c r="B429" s="17"/>
      <c r="C429" s="2"/>
      <c r="D429" s="2"/>
      <c r="E429" s="2"/>
      <c r="F429" s="2"/>
      <c r="G429" s="2"/>
      <c r="H429" s="2"/>
      <c r="I429" s="5"/>
    </row>
    <row r="430" spans="1:9" ht="17.399999999999999" x14ac:dyDescent="0.25">
      <c r="A430" s="16"/>
      <c r="B430" s="17"/>
      <c r="C430" s="2"/>
      <c r="D430" s="2"/>
      <c r="E430" s="2"/>
      <c r="F430" s="2"/>
      <c r="G430" s="2"/>
      <c r="H430" s="2"/>
      <c r="I430" s="5"/>
    </row>
    <row r="431" spans="1:9" ht="17.399999999999999" x14ac:dyDescent="0.25">
      <c r="A431" s="16"/>
      <c r="B431" s="17"/>
      <c r="C431" s="2"/>
      <c r="D431" s="2"/>
      <c r="E431" s="2"/>
      <c r="F431" s="2"/>
      <c r="G431" s="2"/>
      <c r="H431" s="2"/>
      <c r="I431" s="5"/>
    </row>
    <row r="432" spans="1:9" ht="17.399999999999999" x14ac:dyDescent="0.25">
      <c r="A432" s="16"/>
      <c r="B432" s="17"/>
      <c r="C432" s="2"/>
      <c r="D432" s="2"/>
      <c r="E432" s="2"/>
      <c r="F432" s="2"/>
      <c r="G432" s="2"/>
      <c r="H432" s="2"/>
      <c r="I432" s="5"/>
    </row>
    <row r="433" spans="1:9" ht="17.399999999999999" x14ac:dyDescent="0.25">
      <c r="A433" s="16"/>
      <c r="B433" s="17"/>
      <c r="C433" s="2"/>
      <c r="D433" s="2"/>
      <c r="E433" s="2"/>
      <c r="F433" s="2"/>
      <c r="G433" s="2"/>
      <c r="H433" s="2"/>
      <c r="I433" s="5"/>
    </row>
    <row r="434" spans="1:9" ht="17.399999999999999" x14ac:dyDescent="0.25">
      <c r="A434" s="16"/>
      <c r="B434" s="17"/>
      <c r="C434" s="2"/>
      <c r="D434" s="2"/>
      <c r="E434" s="2"/>
      <c r="F434" s="2"/>
      <c r="G434" s="2"/>
      <c r="H434" s="2"/>
      <c r="I434" s="5"/>
    </row>
    <row r="435" spans="1:9" ht="17.399999999999999" x14ac:dyDescent="0.25">
      <c r="A435" s="16"/>
      <c r="B435" s="17"/>
      <c r="C435" s="2"/>
      <c r="D435" s="2"/>
      <c r="E435" s="2"/>
      <c r="F435" s="2"/>
      <c r="G435" s="2"/>
      <c r="H435" s="2"/>
      <c r="I435" s="5"/>
    </row>
    <row r="436" spans="1:9" ht="17.399999999999999" x14ac:dyDescent="0.25">
      <c r="A436" s="16"/>
      <c r="B436" s="17"/>
      <c r="C436" s="2"/>
      <c r="D436" s="2"/>
      <c r="E436" s="2"/>
      <c r="F436" s="2"/>
      <c r="G436" s="2"/>
      <c r="H436" s="2"/>
      <c r="I436" s="5"/>
    </row>
    <row r="437" spans="1:9" ht="17.399999999999999" x14ac:dyDescent="0.25">
      <c r="A437" s="16"/>
      <c r="B437" s="17"/>
      <c r="C437" s="2"/>
      <c r="D437" s="2"/>
      <c r="E437" s="2"/>
      <c r="F437" s="2"/>
      <c r="G437" s="2"/>
      <c r="H437" s="2"/>
      <c r="I437" s="5"/>
    </row>
    <row r="438" spans="1:9" ht="17.399999999999999" x14ac:dyDescent="0.25">
      <c r="A438" s="16"/>
      <c r="B438" s="17"/>
      <c r="C438" s="2"/>
      <c r="D438" s="2"/>
      <c r="E438" s="2"/>
      <c r="F438" s="2"/>
      <c r="G438" s="2"/>
      <c r="H438" s="2"/>
      <c r="I438" s="5"/>
    </row>
    <row r="439" spans="1:9" ht="17.399999999999999" x14ac:dyDescent="0.25">
      <c r="A439" s="16"/>
      <c r="B439" s="17"/>
      <c r="C439" s="2"/>
      <c r="D439" s="2"/>
      <c r="E439" s="2"/>
      <c r="F439" s="2"/>
      <c r="G439" s="2"/>
      <c r="H439" s="2"/>
      <c r="I439" s="5"/>
    </row>
    <row r="440" spans="1:9" ht="17.399999999999999" x14ac:dyDescent="0.25">
      <c r="A440" s="16"/>
      <c r="B440" s="17"/>
      <c r="C440" s="2"/>
      <c r="D440" s="2"/>
      <c r="E440" s="2"/>
      <c r="F440" s="2"/>
      <c r="G440" s="2"/>
      <c r="H440" s="2"/>
      <c r="I440" s="5"/>
    </row>
    <row r="441" spans="1:9" ht="17.399999999999999" x14ac:dyDescent="0.25">
      <c r="A441" s="16"/>
      <c r="B441" s="17"/>
      <c r="C441" s="2"/>
      <c r="D441" s="2"/>
      <c r="E441" s="2"/>
      <c r="F441" s="2"/>
      <c r="G441" s="2"/>
      <c r="H441" s="2"/>
      <c r="I441" s="5"/>
    </row>
    <row r="442" spans="1:9" ht="17.399999999999999" x14ac:dyDescent="0.25">
      <c r="A442" s="16"/>
      <c r="B442" s="17"/>
      <c r="C442" s="2"/>
      <c r="D442" s="2"/>
      <c r="E442" s="2"/>
      <c r="F442" s="2"/>
      <c r="G442" s="2"/>
      <c r="H442" s="2"/>
      <c r="I442" s="5"/>
    </row>
    <row r="443" spans="1:9" ht="17.399999999999999" x14ac:dyDescent="0.25">
      <c r="A443" s="16"/>
      <c r="B443" s="17"/>
      <c r="C443" s="2"/>
      <c r="D443" s="2"/>
      <c r="E443" s="2"/>
      <c r="F443" s="2"/>
      <c r="G443" s="2"/>
      <c r="H443" s="2"/>
      <c r="I443" s="5"/>
    </row>
    <row r="444" spans="1:9" ht="17.399999999999999" x14ac:dyDescent="0.25">
      <c r="A444" s="16"/>
      <c r="B444" s="17"/>
      <c r="C444" s="2"/>
      <c r="D444" s="2"/>
      <c r="E444" s="2"/>
      <c r="F444" s="2"/>
      <c r="G444" s="2"/>
      <c r="H444" s="2"/>
      <c r="I444" s="5"/>
    </row>
    <row r="445" spans="1:9" ht="17.399999999999999" x14ac:dyDescent="0.25">
      <c r="A445" s="16"/>
      <c r="B445" s="17"/>
      <c r="C445" s="2"/>
      <c r="D445" s="2"/>
      <c r="E445" s="2"/>
      <c r="F445" s="2"/>
      <c r="G445" s="2"/>
      <c r="H445" s="2"/>
      <c r="I445" s="5"/>
    </row>
    <row r="446" spans="1:9" ht="17.399999999999999" x14ac:dyDescent="0.25">
      <c r="A446" s="16"/>
      <c r="B446" s="17"/>
      <c r="C446" s="2"/>
      <c r="D446" s="2"/>
      <c r="E446" s="2"/>
      <c r="F446" s="2"/>
      <c r="G446" s="2"/>
      <c r="H446" s="2"/>
      <c r="I446" s="5"/>
    </row>
    <row r="447" spans="1:9" ht="17.399999999999999" x14ac:dyDescent="0.25">
      <c r="A447" s="16"/>
      <c r="B447" s="17"/>
      <c r="C447" s="2"/>
      <c r="D447" s="2"/>
      <c r="E447" s="2"/>
      <c r="F447" s="2"/>
      <c r="G447" s="2"/>
      <c r="H447" s="2"/>
      <c r="I447" s="5"/>
    </row>
    <row r="448" spans="1:9" ht="17.399999999999999" x14ac:dyDescent="0.25">
      <c r="A448" s="16"/>
      <c r="B448" s="17"/>
      <c r="C448" s="2"/>
      <c r="D448" s="2"/>
      <c r="E448" s="2"/>
      <c r="F448" s="2"/>
      <c r="G448" s="2"/>
      <c r="H448" s="2"/>
      <c r="I448" s="5"/>
    </row>
    <row r="449" spans="1:9" ht="17.399999999999999" x14ac:dyDescent="0.25">
      <c r="A449" s="16"/>
      <c r="B449" s="17"/>
      <c r="C449" s="2"/>
      <c r="D449" s="2"/>
      <c r="E449" s="2"/>
      <c r="F449" s="2"/>
      <c r="G449" s="2"/>
      <c r="H449" s="2"/>
      <c r="I449" s="5"/>
    </row>
    <row r="450" spans="1:9" ht="17.399999999999999" x14ac:dyDescent="0.25">
      <c r="A450" s="16"/>
      <c r="B450" s="17"/>
      <c r="C450" s="2"/>
      <c r="D450" s="2"/>
      <c r="E450" s="2"/>
      <c r="F450" s="2"/>
      <c r="G450" s="2"/>
      <c r="H450" s="2"/>
      <c r="I450" s="5"/>
    </row>
    <row r="451" spans="1:9" ht="17.399999999999999" x14ac:dyDescent="0.25">
      <c r="A451" s="16"/>
      <c r="B451" s="17"/>
      <c r="C451" s="2"/>
      <c r="D451" s="2"/>
      <c r="E451" s="2"/>
      <c r="F451" s="2"/>
      <c r="G451" s="2"/>
      <c r="H451" s="2"/>
      <c r="I451" s="5"/>
    </row>
    <row r="452" spans="1:9" ht="17.399999999999999" x14ac:dyDescent="0.25">
      <c r="A452" s="16"/>
      <c r="B452" s="17"/>
      <c r="C452" s="2"/>
      <c r="D452" s="2"/>
      <c r="E452" s="2"/>
      <c r="F452" s="2"/>
      <c r="G452" s="2"/>
      <c r="H452" s="2"/>
      <c r="I452" s="5"/>
    </row>
    <row r="453" spans="1:9" ht="17.399999999999999" x14ac:dyDescent="0.25">
      <c r="A453" s="16"/>
      <c r="B453" s="17"/>
      <c r="C453" s="2"/>
      <c r="D453" s="2"/>
      <c r="E453" s="2"/>
      <c r="F453" s="2"/>
      <c r="G453" s="2"/>
      <c r="H453" s="2"/>
      <c r="I453" s="5"/>
    </row>
    <row r="454" spans="1:9" ht="17.399999999999999" x14ac:dyDescent="0.25">
      <c r="A454" s="16"/>
      <c r="B454" s="17"/>
      <c r="C454" s="2"/>
      <c r="D454" s="2"/>
      <c r="E454" s="2"/>
      <c r="F454" s="2"/>
      <c r="G454" s="2"/>
      <c r="H454" s="2"/>
      <c r="I454" s="5"/>
    </row>
    <row r="455" spans="1:9" ht="17.399999999999999" x14ac:dyDescent="0.25">
      <c r="A455" s="16"/>
      <c r="B455" s="17"/>
      <c r="C455" s="2"/>
      <c r="D455" s="2"/>
      <c r="E455" s="2"/>
      <c r="F455" s="2"/>
      <c r="G455" s="2"/>
      <c r="H455" s="2"/>
      <c r="I455" s="5"/>
    </row>
    <row r="456" spans="1:9" ht="17.399999999999999" x14ac:dyDescent="0.25">
      <c r="A456" s="16"/>
      <c r="B456" s="17"/>
      <c r="C456" s="2"/>
      <c r="D456" s="2"/>
      <c r="E456" s="2"/>
      <c r="F456" s="2"/>
      <c r="G456" s="2"/>
      <c r="H456" s="2"/>
      <c r="I456" s="5"/>
    </row>
    <row r="457" spans="1:9" ht="17.399999999999999" x14ac:dyDescent="0.25">
      <c r="A457" s="16"/>
      <c r="B457" s="17"/>
      <c r="C457" s="2"/>
      <c r="D457" s="2"/>
      <c r="E457" s="2"/>
      <c r="F457" s="2"/>
      <c r="G457" s="2"/>
      <c r="H457" s="2"/>
      <c r="I457" s="5"/>
    </row>
    <row r="458" spans="1:9" ht="17.399999999999999" x14ac:dyDescent="0.25">
      <c r="A458" s="16"/>
      <c r="B458" s="17"/>
      <c r="C458" s="2"/>
      <c r="D458" s="2"/>
      <c r="E458" s="2"/>
      <c r="F458" s="2"/>
      <c r="G458" s="2"/>
      <c r="H458" s="2"/>
      <c r="I458" s="5"/>
    </row>
    <row r="459" spans="1:9" ht="17.399999999999999" x14ac:dyDescent="0.25">
      <c r="A459" s="16"/>
      <c r="B459" s="17"/>
      <c r="C459" s="2"/>
      <c r="D459" s="2"/>
      <c r="E459" s="2"/>
      <c r="F459" s="2"/>
      <c r="G459" s="2"/>
      <c r="H459" s="2"/>
      <c r="I459" s="5"/>
    </row>
    <row r="460" spans="1:9" ht="17.399999999999999" x14ac:dyDescent="0.25">
      <c r="A460" s="16"/>
      <c r="B460" s="17"/>
      <c r="C460" s="2"/>
      <c r="D460" s="2"/>
      <c r="E460" s="2"/>
      <c r="F460" s="2"/>
      <c r="G460" s="2"/>
      <c r="H460" s="2"/>
      <c r="I460" s="5"/>
    </row>
    <row r="461" spans="1:9" ht="17.399999999999999" x14ac:dyDescent="0.25">
      <c r="A461" s="16"/>
      <c r="B461" s="17"/>
      <c r="C461" s="2"/>
      <c r="D461" s="2"/>
      <c r="E461" s="2"/>
      <c r="F461" s="2"/>
      <c r="G461" s="2"/>
      <c r="H461" s="2"/>
      <c r="I461" s="5"/>
    </row>
    <row r="462" spans="1:9" ht="17.399999999999999" x14ac:dyDescent="0.25">
      <c r="A462" s="16"/>
      <c r="B462" s="17"/>
      <c r="C462" s="2"/>
      <c r="D462" s="2"/>
      <c r="E462" s="2"/>
      <c r="F462" s="2"/>
      <c r="G462" s="2"/>
      <c r="H462" s="2"/>
      <c r="I462" s="5"/>
    </row>
    <row r="463" spans="1:9" ht="17.399999999999999" x14ac:dyDescent="0.25">
      <c r="A463" s="16"/>
      <c r="B463" s="17"/>
      <c r="C463" s="2"/>
      <c r="D463" s="2"/>
      <c r="E463" s="2"/>
      <c r="F463" s="2"/>
      <c r="G463" s="2"/>
      <c r="H463" s="2"/>
      <c r="I463" s="5"/>
    </row>
    <row r="464" spans="1:9" ht="17.399999999999999" x14ac:dyDescent="0.25">
      <c r="A464" s="16"/>
      <c r="B464" s="17"/>
      <c r="C464" s="2"/>
      <c r="D464" s="2"/>
      <c r="E464" s="2"/>
      <c r="F464" s="2"/>
      <c r="G464" s="2"/>
      <c r="H464" s="2"/>
      <c r="I464" s="5"/>
    </row>
    <row r="465" spans="1:9" ht="17.399999999999999" x14ac:dyDescent="0.25">
      <c r="A465" s="16"/>
      <c r="B465" s="17"/>
      <c r="C465" s="2"/>
      <c r="D465" s="2"/>
      <c r="E465" s="2"/>
      <c r="F465" s="2"/>
      <c r="G465" s="2"/>
      <c r="H465" s="2"/>
      <c r="I465" s="5"/>
    </row>
    <row r="466" spans="1:9" ht="17.399999999999999" x14ac:dyDescent="0.25">
      <c r="A466" s="16"/>
      <c r="B466" s="17"/>
      <c r="C466" s="2"/>
      <c r="D466" s="2"/>
      <c r="E466" s="2"/>
      <c r="F466" s="2"/>
      <c r="G466" s="2"/>
      <c r="H466" s="2"/>
      <c r="I466" s="5"/>
    </row>
    <row r="467" spans="1:9" ht="17.399999999999999" x14ac:dyDescent="0.25">
      <c r="A467" s="16"/>
      <c r="B467" s="17"/>
      <c r="C467" s="2"/>
      <c r="D467" s="2"/>
      <c r="E467" s="2"/>
      <c r="F467" s="2"/>
      <c r="G467" s="2"/>
      <c r="H467" s="2"/>
      <c r="I467" s="5"/>
    </row>
    <row r="468" spans="1:9" ht="17.399999999999999" x14ac:dyDescent="0.25">
      <c r="A468" s="16"/>
      <c r="B468" s="17"/>
      <c r="C468" s="2"/>
      <c r="D468" s="2"/>
      <c r="E468" s="2"/>
      <c r="F468" s="2"/>
      <c r="G468" s="2"/>
      <c r="H468" s="2"/>
      <c r="I468" s="5"/>
    </row>
    <row r="469" spans="1:9" ht="17.399999999999999" x14ac:dyDescent="0.25">
      <c r="A469" s="16"/>
      <c r="B469" s="17"/>
      <c r="C469" s="2"/>
      <c r="D469" s="2"/>
      <c r="E469" s="2"/>
      <c r="F469" s="2"/>
      <c r="G469" s="2"/>
      <c r="H469" s="2"/>
      <c r="I469" s="5"/>
    </row>
    <row r="470" spans="1:9" ht="17.399999999999999" x14ac:dyDescent="0.25">
      <c r="A470" s="16"/>
      <c r="B470" s="17"/>
      <c r="C470" s="2"/>
      <c r="D470" s="2"/>
      <c r="E470" s="2"/>
      <c r="F470" s="2"/>
      <c r="G470" s="2"/>
      <c r="H470" s="2"/>
      <c r="I470" s="5"/>
    </row>
    <row r="471" spans="1:9" ht="17.399999999999999" x14ac:dyDescent="0.25">
      <c r="A471" s="16"/>
      <c r="B471" s="17"/>
      <c r="C471" s="2"/>
      <c r="D471" s="2"/>
      <c r="E471" s="2"/>
      <c r="F471" s="2"/>
      <c r="G471" s="2"/>
      <c r="H471" s="2"/>
      <c r="I471" s="5"/>
    </row>
    <row r="472" spans="1:9" ht="17.399999999999999" x14ac:dyDescent="0.25">
      <c r="A472" s="16"/>
      <c r="B472" s="17"/>
      <c r="C472" s="2"/>
      <c r="D472" s="2"/>
      <c r="E472" s="2"/>
      <c r="F472" s="2"/>
      <c r="G472" s="2"/>
      <c r="H472" s="2"/>
      <c r="I472" s="5"/>
    </row>
    <row r="473" spans="1:9" ht="17.399999999999999" x14ac:dyDescent="0.25">
      <c r="A473" s="16"/>
      <c r="B473" s="17"/>
      <c r="C473" s="2"/>
      <c r="D473" s="2"/>
      <c r="E473" s="2"/>
      <c r="F473" s="2"/>
      <c r="G473" s="2"/>
      <c r="H473" s="2"/>
      <c r="I473" s="5"/>
    </row>
    <row r="474" spans="1:9" ht="17.399999999999999" x14ac:dyDescent="0.25">
      <c r="A474" s="16"/>
      <c r="B474" s="17"/>
      <c r="C474" s="2"/>
      <c r="D474" s="2"/>
      <c r="E474" s="2"/>
      <c r="F474" s="2"/>
      <c r="G474" s="2"/>
      <c r="H474" s="2"/>
      <c r="I474" s="5"/>
    </row>
    <row r="475" spans="1:9" ht="17.399999999999999" x14ac:dyDescent="0.25">
      <c r="A475" s="16"/>
      <c r="B475" s="17"/>
      <c r="C475" s="2"/>
      <c r="D475" s="2"/>
      <c r="E475" s="2"/>
      <c r="F475" s="2"/>
      <c r="G475" s="2"/>
      <c r="H475" s="2"/>
      <c r="I475" s="5"/>
    </row>
    <row r="476" spans="1:9" ht="17.399999999999999" x14ac:dyDescent="0.25">
      <c r="A476" s="16"/>
      <c r="B476" s="17"/>
      <c r="C476" s="2"/>
      <c r="D476" s="2"/>
      <c r="E476" s="2"/>
      <c r="F476" s="2"/>
      <c r="G476" s="2"/>
      <c r="H476" s="2"/>
      <c r="I476" s="5"/>
    </row>
    <row r="477" spans="1:9" ht="17.399999999999999" x14ac:dyDescent="0.25">
      <c r="A477" s="16"/>
      <c r="B477" s="17"/>
      <c r="C477" s="2"/>
      <c r="D477" s="2"/>
      <c r="E477" s="2"/>
      <c r="F477" s="2"/>
      <c r="G477" s="2"/>
      <c r="H477" s="2"/>
      <c r="I477" s="5"/>
    </row>
    <row r="478" spans="1:9" ht="17.399999999999999" x14ac:dyDescent="0.25">
      <c r="A478" s="16"/>
      <c r="B478" s="17"/>
      <c r="C478" s="2"/>
      <c r="D478" s="2"/>
      <c r="E478" s="2"/>
      <c r="F478" s="2"/>
      <c r="G478" s="2"/>
      <c r="H478" s="2"/>
      <c r="I478" s="5"/>
    </row>
    <row r="479" spans="1:9" ht="17.399999999999999" x14ac:dyDescent="0.25">
      <c r="A479" s="16"/>
      <c r="B479" s="17"/>
      <c r="C479" s="2"/>
      <c r="D479" s="2"/>
      <c r="E479" s="2"/>
      <c r="F479" s="2"/>
      <c r="G479" s="2"/>
      <c r="H479" s="2"/>
      <c r="I479" s="5"/>
    </row>
    <row r="480" spans="1:9" ht="17.399999999999999" x14ac:dyDescent="0.25">
      <c r="A480" s="16"/>
      <c r="B480" s="17"/>
      <c r="C480" s="2"/>
      <c r="D480" s="2"/>
      <c r="E480" s="2"/>
      <c r="F480" s="2"/>
      <c r="G480" s="2"/>
      <c r="H480" s="2"/>
      <c r="I480" s="5"/>
    </row>
    <row r="481" spans="1:9" ht="17.399999999999999" x14ac:dyDescent="0.25">
      <c r="A481" s="16"/>
      <c r="B481" s="17"/>
      <c r="C481" s="2"/>
      <c r="D481" s="2"/>
      <c r="E481" s="2"/>
      <c r="F481" s="2"/>
      <c r="G481" s="2"/>
      <c r="H481" s="2"/>
      <c r="I481" s="5"/>
    </row>
    <row r="482" spans="1:9" ht="17.399999999999999" x14ac:dyDescent="0.25">
      <c r="A482" s="16"/>
      <c r="B482" s="17"/>
      <c r="C482" s="2"/>
      <c r="D482" s="2"/>
      <c r="E482" s="2"/>
      <c r="F482" s="2"/>
      <c r="G482" s="2"/>
      <c r="H482" s="2"/>
      <c r="I482" s="5"/>
    </row>
    <row r="483" spans="1:9" ht="17.399999999999999" x14ac:dyDescent="0.25">
      <c r="A483" s="16"/>
      <c r="B483" s="17"/>
      <c r="C483" s="2"/>
      <c r="D483" s="2"/>
      <c r="E483" s="2"/>
      <c r="F483" s="2"/>
      <c r="G483" s="2"/>
      <c r="H483" s="2"/>
      <c r="I483" s="5"/>
    </row>
    <row r="484" spans="1:9" ht="17.399999999999999" x14ac:dyDescent="0.25">
      <c r="A484" s="16"/>
      <c r="B484" s="17"/>
      <c r="C484" s="2"/>
      <c r="D484" s="2"/>
      <c r="E484" s="2"/>
      <c r="F484" s="2"/>
      <c r="G484" s="2"/>
      <c r="H484" s="2"/>
      <c r="I484" s="5"/>
    </row>
    <row r="485" spans="1:9" ht="17.399999999999999" x14ac:dyDescent="0.25">
      <c r="A485" s="16"/>
      <c r="B485" s="17"/>
      <c r="C485" s="2"/>
      <c r="D485" s="2"/>
      <c r="E485" s="2"/>
      <c r="F485" s="2"/>
      <c r="G485" s="2"/>
      <c r="H485" s="2"/>
      <c r="I485" s="5"/>
    </row>
    <row r="486" spans="1:9" ht="17.399999999999999" x14ac:dyDescent="0.25">
      <c r="A486" s="16"/>
      <c r="B486" s="17"/>
      <c r="C486" s="2"/>
      <c r="D486" s="2"/>
      <c r="E486" s="2"/>
      <c r="F486" s="2"/>
      <c r="G486" s="2"/>
      <c r="H486" s="2"/>
      <c r="I486" s="5"/>
    </row>
    <row r="487" spans="1:9" ht="17.399999999999999" x14ac:dyDescent="0.25">
      <c r="A487" s="16"/>
      <c r="B487" s="17"/>
      <c r="C487" s="2"/>
      <c r="D487" s="2"/>
      <c r="E487" s="2"/>
      <c r="F487" s="2"/>
      <c r="G487" s="2"/>
      <c r="H487" s="2"/>
      <c r="I487" s="5"/>
    </row>
    <row r="488" spans="1:9" ht="17.399999999999999" x14ac:dyDescent="0.25">
      <c r="A488" s="16"/>
      <c r="B488" s="17"/>
      <c r="C488" s="2"/>
      <c r="D488" s="2"/>
      <c r="E488" s="2"/>
      <c r="F488" s="2"/>
      <c r="G488" s="2"/>
      <c r="H488" s="2"/>
      <c r="I488" s="5"/>
    </row>
    <row r="489" spans="1:9" ht="17.399999999999999" x14ac:dyDescent="0.25">
      <c r="A489" s="16"/>
      <c r="B489" s="17"/>
      <c r="C489" s="2"/>
      <c r="D489" s="2"/>
      <c r="E489" s="2"/>
      <c r="F489" s="2"/>
      <c r="G489" s="2"/>
      <c r="H489" s="2"/>
      <c r="I489" s="5"/>
    </row>
    <row r="490" spans="1:9" ht="17.399999999999999" x14ac:dyDescent="0.25">
      <c r="A490" s="16"/>
      <c r="B490" s="17"/>
      <c r="C490" s="2"/>
      <c r="D490" s="2"/>
      <c r="E490" s="2"/>
      <c r="F490" s="2"/>
      <c r="G490" s="2"/>
      <c r="H490" s="2"/>
      <c r="I490" s="5"/>
    </row>
    <row r="491" spans="1:9" ht="17.399999999999999" x14ac:dyDescent="0.25">
      <c r="A491" s="16"/>
      <c r="B491" s="17"/>
      <c r="C491" s="2"/>
      <c r="D491" s="2"/>
      <c r="E491" s="2"/>
      <c r="F491" s="2"/>
      <c r="G491" s="2"/>
      <c r="H491" s="2"/>
      <c r="I491" s="5"/>
    </row>
    <row r="492" spans="1:9" ht="17.399999999999999" x14ac:dyDescent="0.25">
      <c r="A492" s="16"/>
      <c r="B492" s="17"/>
      <c r="C492" s="2"/>
      <c r="D492" s="2"/>
      <c r="E492" s="2"/>
      <c r="F492" s="2"/>
      <c r="G492" s="2"/>
      <c r="H492" s="2"/>
      <c r="I492" s="5"/>
    </row>
    <row r="493" spans="1:9" ht="17.399999999999999" x14ac:dyDescent="0.25">
      <c r="A493" s="16"/>
      <c r="B493" s="17"/>
      <c r="C493" s="2"/>
      <c r="D493" s="2"/>
      <c r="E493" s="2"/>
      <c r="F493" s="2"/>
      <c r="G493" s="2"/>
      <c r="H493" s="2"/>
      <c r="I493" s="5"/>
    </row>
    <row r="494" spans="1:9" ht="17.399999999999999" x14ac:dyDescent="0.25">
      <c r="A494" s="16"/>
      <c r="B494" s="17"/>
      <c r="C494" s="2"/>
      <c r="D494" s="2"/>
      <c r="E494" s="2"/>
      <c r="F494" s="2"/>
      <c r="G494" s="2"/>
      <c r="H494" s="2"/>
      <c r="I494" s="5"/>
    </row>
    <row r="495" spans="1:9" ht="17.399999999999999" x14ac:dyDescent="0.25">
      <c r="A495" s="16"/>
      <c r="B495" s="17"/>
      <c r="C495" s="2"/>
      <c r="D495" s="2"/>
      <c r="E495" s="2"/>
      <c r="F495" s="2"/>
      <c r="G495" s="2"/>
      <c r="H495" s="2"/>
      <c r="I495" s="5"/>
    </row>
    <row r="496" spans="1:9" ht="17.399999999999999" x14ac:dyDescent="0.25">
      <c r="A496" s="16"/>
      <c r="B496" s="17"/>
      <c r="C496" s="2"/>
      <c r="D496" s="2"/>
      <c r="E496" s="2"/>
      <c r="F496" s="2"/>
      <c r="G496" s="2"/>
      <c r="H496" s="2"/>
      <c r="I496" s="5"/>
    </row>
    <row r="497" spans="1:9" ht="17.399999999999999" x14ac:dyDescent="0.25">
      <c r="A497" s="16"/>
      <c r="B497" s="17"/>
      <c r="C497" s="2"/>
      <c r="D497" s="2"/>
      <c r="E497" s="2"/>
      <c r="F497" s="2"/>
      <c r="G497" s="2"/>
      <c r="H497" s="2"/>
      <c r="I497" s="5"/>
    </row>
    <row r="498" spans="1:9" ht="17.399999999999999" x14ac:dyDescent="0.25">
      <c r="A498" s="16"/>
      <c r="B498" s="17"/>
      <c r="C498" s="2"/>
      <c r="D498" s="2"/>
      <c r="E498" s="2"/>
      <c r="F498" s="2"/>
      <c r="G498" s="2"/>
      <c r="H498" s="2"/>
      <c r="I498" s="5"/>
    </row>
    <row r="499" spans="1:9" ht="17.399999999999999" x14ac:dyDescent="0.25">
      <c r="A499" s="16"/>
      <c r="B499" s="17"/>
      <c r="C499" s="2"/>
      <c r="D499" s="2"/>
      <c r="E499" s="2"/>
      <c r="F499" s="2"/>
      <c r="G499" s="2"/>
      <c r="H499" s="2"/>
      <c r="I499" s="5"/>
    </row>
    <row r="500" spans="1:9" ht="17.399999999999999" x14ac:dyDescent="0.25">
      <c r="A500" s="16"/>
      <c r="B500" s="17"/>
      <c r="C500" s="2"/>
      <c r="D500" s="2"/>
      <c r="E500" s="2"/>
      <c r="F500" s="2"/>
      <c r="G500" s="2"/>
      <c r="H500" s="2"/>
      <c r="I500" s="5"/>
    </row>
    <row r="501" spans="1:9" ht="17.399999999999999" x14ac:dyDescent="0.25">
      <c r="A501" s="16"/>
      <c r="B501" s="17"/>
      <c r="C501" s="2"/>
      <c r="D501" s="2"/>
      <c r="E501" s="2"/>
      <c r="F501" s="2"/>
      <c r="G501" s="2"/>
      <c r="H501" s="2"/>
      <c r="I501" s="5"/>
    </row>
    <row r="502" spans="1:9" ht="17.399999999999999" x14ac:dyDescent="0.25">
      <c r="A502" s="16"/>
      <c r="B502" s="17"/>
      <c r="C502" s="2"/>
      <c r="D502" s="2"/>
      <c r="E502" s="2"/>
      <c r="F502" s="2"/>
      <c r="G502" s="2"/>
      <c r="H502" s="2"/>
      <c r="I502" s="5"/>
    </row>
    <row r="503" spans="1:9" ht="17.399999999999999" x14ac:dyDescent="0.25">
      <c r="A503" s="16"/>
      <c r="B503" s="17"/>
      <c r="C503" s="2"/>
      <c r="D503" s="2"/>
      <c r="E503" s="2"/>
      <c r="F503" s="2"/>
      <c r="G503" s="2"/>
      <c r="H503" s="2"/>
      <c r="I503" s="5"/>
    </row>
    <row r="504" spans="1:9" ht="17.399999999999999" x14ac:dyDescent="0.25">
      <c r="A504" s="16"/>
      <c r="B504" s="17"/>
      <c r="C504" s="2"/>
      <c r="D504" s="2"/>
      <c r="E504" s="2"/>
      <c r="F504" s="2"/>
      <c r="G504" s="2"/>
      <c r="H504" s="2"/>
      <c r="I504" s="5"/>
    </row>
    <row r="505" spans="1:9" ht="17.399999999999999" x14ac:dyDescent="0.25">
      <c r="A505" s="16"/>
      <c r="B505" s="17"/>
      <c r="C505" s="2"/>
      <c r="D505" s="2"/>
      <c r="E505" s="2"/>
      <c r="F505" s="2"/>
      <c r="G505" s="2"/>
      <c r="H505" s="2"/>
      <c r="I505" s="5"/>
    </row>
    <row r="506" spans="1:9" ht="17.399999999999999" x14ac:dyDescent="0.25">
      <c r="A506" s="16"/>
      <c r="B506" s="17"/>
      <c r="C506" s="2"/>
      <c r="D506" s="2"/>
      <c r="E506" s="2"/>
      <c r="F506" s="2"/>
      <c r="G506" s="2"/>
      <c r="H506" s="2"/>
      <c r="I506" s="5"/>
    </row>
    <row r="507" spans="1:9" ht="17.399999999999999" x14ac:dyDescent="0.25">
      <c r="A507" s="16"/>
      <c r="B507" s="17"/>
      <c r="C507" s="2"/>
      <c r="D507" s="2"/>
      <c r="E507" s="2"/>
      <c r="F507" s="2"/>
      <c r="G507" s="2"/>
      <c r="H507" s="2"/>
      <c r="I507" s="5"/>
    </row>
    <row r="508" spans="1:9" ht="17.399999999999999" x14ac:dyDescent="0.25">
      <c r="A508" s="16"/>
      <c r="B508" s="17"/>
      <c r="C508" s="2"/>
      <c r="D508" s="2"/>
      <c r="E508" s="2"/>
      <c r="F508" s="2"/>
      <c r="G508" s="2"/>
      <c r="H508" s="2"/>
      <c r="I508" s="5"/>
    </row>
    <row r="509" spans="1:9" ht="17.399999999999999" x14ac:dyDescent="0.25">
      <c r="A509" s="16"/>
      <c r="B509" s="17"/>
      <c r="C509" s="2"/>
      <c r="D509" s="2"/>
      <c r="E509" s="2"/>
      <c r="F509" s="2"/>
      <c r="G509" s="2"/>
      <c r="H509" s="2"/>
      <c r="I509" s="5"/>
    </row>
    <row r="510" spans="1:9" ht="17.399999999999999" x14ac:dyDescent="0.25">
      <c r="A510" s="16"/>
      <c r="B510" s="17"/>
      <c r="C510" s="2"/>
      <c r="D510" s="2"/>
      <c r="E510" s="2"/>
      <c r="F510" s="2"/>
      <c r="G510" s="2"/>
      <c r="H510" s="2"/>
      <c r="I510" s="5"/>
    </row>
    <row r="511" spans="1:9" ht="17.399999999999999" x14ac:dyDescent="0.25">
      <c r="A511" s="16"/>
      <c r="B511" s="17"/>
      <c r="C511" s="2"/>
      <c r="D511" s="2"/>
      <c r="E511" s="2"/>
      <c r="F511" s="2"/>
      <c r="G511" s="2"/>
      <c r="H511" s="2"/>
      <c r="I511" s="5"/>
    </row>
    <row r="512" spans="1:9" ht="17.399999999999999" x14ac:dyDescent="0.25">
      <c r="A512" s="16"/>
      <c r="B512" s="17"/>
      <c r="C512" s="2"/>
      <c r="D512" s="2"/>
      <c r="E512" s="2"/>
      <c r="F512" s="2"/>
      <c r="G512" s="2"/>
      <c r="H512" s="2"/>
      <c r="I512" s="5"/>
    </row>
    <row r="513" spans="1:9" ht="17.399999999999999" x14ac:dyDescent="0.25">
      <c r="A513" s="16"/>
      <c r="B513" s="17"/>
      <c r="C513" s="2"/>
      <c r="D513" s="2"/>
      <c r="E513" s="2"/>
      <c r="F513" s="2"/>
      <c r="G513" s="2"/>
      <c r="H513" s="2"/>
      <c r="I513" s="5"/>
    </row>
    <row r="514" spans="1:9" ht="17.399999999999999" x14ac:dyDescent="0.25">
      <c r="A514" s="16"/>
      <c r="B514" s="17"/>
      <c r="C514" s="2"/>
      <c r="D514" s="2"/>
      <c r="E514" s="2"/>
      <c r="F514" s="2"/>
      <c r="G514" s="2"/>
      <c r="H514" s="2"/>
      <c r="I514" s="5"/>
    </row>
    <row r="515" spans="1:9" ht="17.399999999999999" x14ac:dyDescent="0.25">
      <c r="A515" s="16"/>
      <c r="B515" s="17"/>
      <c r="C515" s="2"/>
      <c r="D515" s="2"/>
      <c r="E515" s="2"/>
      <c r="F515" s="2"/>
      <c r="G515" s="2"/>
      <c r="H515" s="2"/>
      <c r="I515" s="5"/>
    </row>
    <row r="516" spans="1:9" ht="17.399999999999999" x14ac:dyDescent="0.25">
      <c r="A516" s="16"/>
      <c r="B516" s="17"/>
      <c r="C516" s="2"/>
      <c r="D516" s="2"/>
      <c r="E516" s="2"/>
      <c r="F516" s="2"/>
      <c r="G516" s="2"/>
      <c r="H516" s="2"/>
      <c r="I516" s="5"/>
    </row>
    <row r="517" spans="1:9" ht="17.399999999999999" x14ac:dyDescent="0.25">
      <c r="A517" s="16"/>
      <c r="B517" s="17"/>
      <c r="C517" s="2"/>
      <c r="D517" s="2"/>
      <c r="E517" s="2"/>
      <c r="F517" s="2"/>
      <c r="G517" s="2"/>
      <c r="H517" s="2"/>
      <c r="I517" s="5"/>
    </row>
    <row r="518" spans="1:9" ht="17.399999999999999" x14ac:dyDescent="0.25">
      <c r="A518" s="16"/>
      <c r="B518" s="17"/>
      <c r="C518" s="2"/>
      <c r="D518" s="2"/>
      <c r="E518" s="2"/>
      <c r="F518" s="2"/>
      <c r="G518" s="2"/>
      <c r="H518" s="2"/>
      <c r="I518" s="5"/>
    </row>
    <row r="519" spans="1:9" ht="17.399999999999999" x14ac:dyDescent="0.25">
      <c r="A519" s="16"/>
      <c r="B519" s="17"/>
      <c r="C519" s="2"/>
      <c r="D519" s="2"/>
      <c r="E519" s="2"/>
      <c r="F519" s="2"/>
      <c r="G519" s="2"/>
      <c r="H519" s="2"/>
      <c r="I519" s="5"/>
    </row>
    <row r="520" spans="1:9" ht="17.399999999999999" x14ac:dyDescent="0.25">
      <c r="A520" s="16"/>
      <c r="B520" s="17"/>
      <c r="C520" s="2"/>
      <c r="D520" s="2"/>
      <c r="E520" s="2"/>
      <c r="F520" s="2"/>
      <c r="G520" s="2"/>
      <c r="H520" s="2"/>
      <c r="I520" s="5"/>
    </row>
    <row r="521" spans="1:9" ht="17.399999999999999" x14ac:dyDescent="0.25">
      <c r="A521" s="16"/>
      <c r="B521" s="17"/>
      <c r="C521" s="2"/>
      <c r="D521" s="2"/>
      <c r="E521" s="2"/>
      <c r="F521" s="2"/>
      <c r="G521" s="2"/>
      <c r="H521" s="2"/>
      <c r="I521" s="5"/>
    </row>
    <row r="522" spans="1:9" ht="17.399999999999999" x14ac:dyDescent="0.25">
      <c r="A522" s="16"/>
      <c r="B522" s="17"/>
      <c r="C522" s="2"/>
      <c r="D522" s="2"/>
      <c r="E522" s="2"/>
      <c r="F522" s="2"/>
      <c r="G522" s="2"/>
      <c r="H522" s="2"/>
      <c r="I522" s="5"/>
    </row>
    <row r="523" spans="1:9" ht="17.399999999999999" x14ac:dyDescent="0.25">
      <c r="A523" s="16"/>
      <c r="B523" s="17"/>
      <c r="C523" s="2"/>
      <c r="D523" s="2"/>
      <c r="E523" s="2"/>
      <c r="F523" s="2"/>
      <c r="G523" s="2"/>
      <c r="H523" s="2"/>
      <c r="I523" s="5"/>
    </row>
    <row r="524" spans="1:9" ht="17.399999999999999" x14ac:dyDescent="0.25">
      <c r="A524" s="16"/>
      <c r="B524" s="17"/>
      <c r="C524" s="2"/>
      <c r="D524" s="2"/>
      <c r="E524" s="2"/>
      <c r="F524" s="2"/>
      <c r="G524" s="2"/>
      <c r="H524" s="2"/>
      <c r="I524" s="5"/>
    </row>
    <row r="525" spans="1:9" ht="17.399999999999999" x14ac:dyDescent="0.25">
      <c r="A525" s="16"/>
      <c r="B525" s="17"/>
      <c r="C525" s="2"/>
      <c r="D525" s="2"/>
      <c r="E525" s="2"/>
      <c r="F525" s="2"/>
      <c r="G525" s="2"/>
      <c r="H525" s="2"/>
      <c r="I525" s="5"/>
    </row>
    <row r="526" spans="1:9" ht="17.399999999999999" x14ac:dyDescent="0.25">
      <c r="A526" s="16"/>
      <c r="B526" s="17"/>
      <c r="C526" s="2"/>
      <c r="D526" s="2"/>
      <c r="E526" s="2"/>
      <c r="F526" s="2"/>
      <c r="G526" s="2"/>
      <c r="H526" s="2"/>
      <c r="I526" s="5"/>
    </row>
    <row r="527" spans="1:9" ht="17.399999999999999" x14ac:dyDescent="0.25">
      <c r="A527" s="16"/>
      <c r="B527" s="17"/>
      <c r="C527" s="2"/>
      <c r="D527" s="2"/>
      <c r="E527" s="2"/>
      <c r="F527" s="2"/>
      <c r="G527" s="2"/>
      <c r="H527" s="2"/>
      <c r="I527" s="5"/>
    </row>
    <row r="528" spans="1:9" ht="17.399999999999999" x14ac:dyDescent="0.25">
      <c r="A528" s="16"/>
      <c r="B528" s="17"/>
      <c r="C528" s="2"/>
      <c r="D528" s="2"/>
      <c r="E528" s="2"/>
      <c r="F528" s="2"/>
      <c r="G528" s="2"/>
      <c r="H528" s="2"/>
      <c r="I528" s="5"/>
    </row>
    <row r="529" spans="1:9" ht="17.399999999999999" x14ac:dyDescent="0.25">
      <c r="A529" s="16"/>
      <c r="B529" s="17"/>
      <c r="C529" s="2"/>
      <c r="D529" s="2"/>
      <c r="E529" s="2"/>
      <c r="F529" s="2"/>
      <c r="G529" s="2"/>
      <c r="H529" s="2"/>
      <c r="I529" s="5"/>
    </row>
    <row r="530" spans="1:9" ht="17.399999999999999" x14ac:dyDescent="0.25">
      <c r="A530" s="16"/>
      <c r="B530" s="17"/>
      <c r="C530" s="2"/>
      <c r="D530" s="2"/>
      <c r="E530" s="2"/>
      <c r="F530" s="2"/>
      <c r="G530" s="2"/>
      <c r="H530" s="2"/>
      <c r="I530" s="5"/>
    </row>
    <row r="531" spans="1:9" ht="17.399999999999999" x14ac:dyDescent="0.25">
      <c r="A531" s="16"/>
      <c r="B531" s="17"/>
      <c r="C531" s="2"/>
      <c r="D531" s="2"/>
      <c r="E531" s="2"/>
      <c r="F531" s="2"/>
      <c r="G531" s="2"/>
      <c r="H531" s="2"/>
      <c r="I531" s="5"/>
    </row>
    <row r="532" spans="1:9" ht="17.399999999999999" x14ac:dyDescent="0.25">
      <c r="A532" s="16"/>
      <c r="B532" s="17"/>
      <c r="C532" s="2"/>
      <c r="D532" s="2"/>
      <c r="E532" s="2"/>
      <c r="F532" s="2"/>
      <c r="G532" s="2"/>
      <c r="H532" s="2"/>
      <c r="I532" s="5"/>
    </row>
    <row r="533" spans="1:9" ht="17.399999999999999" x14ac:dyDescent="0.25">
      <c r="A533" s="16"/>
      <c r="B533" s="17"/>
      <c r="C533" s="2"/>
      <c r="D533" s="2"/>
      <c r="E533" s="2"/>
      <c r="F533" s="2"/>
      <c r="G533" s="2"/>
      <c r="H533" s="2"/>
      <c r="I533" s="5"/>
    </row>
    <row r="534" spans="1:9" ht="17.399999999999999" x14ac:dyDescent="0.25">
      <c r="A534" s="16"/>
      <c r="B534" s="17"/>
      <c r="C534" s="2"/>
      <c r="D534" s="2"/>
      <c r="E534" s="2"/>
      <c r="F534" s="2"/>
      <c r="G534" s="2"/>
      <c r="H534" s="2"/>
      <c r="I534" s="5"/>
    </row>
    <row r="535" spans="1:9" ht="17.399999999999999" x14ac:dyDescent="0.25">
      <c r="A535" s="16"/>
      <c r="B535" s="17"/>
      <c r="C535" s="2"/>
      <c r="D535" s="2"/>
      <c r="E535" s="2"/>
      <c r="F535" s="2"/>
      <c r="G535" s="2"/>
      <c r="H535" s="2"/>
      <c r="I535" s="5"/>
    </row>
    <row r="536" spans="1:9" ht="17.399999999999999" x14ac:dyDescent="0.25">
      <c r="A536" s="16"/>
      <c r="B536" s="17"/>
      <c r="C536" s="2"/>
      <c r="D536" s="2"/>
      <c r="E536" s="2"/>
      <c r="F536" s="2"/>
      <c r="G536" s="2"/>
      <c r="H536" s="2"/>
      <c r="I536" s="5"/>
    </row>
    <row r="537" spans="1:9" ht="17.399999999999999" x14ac:dyDescent="0.25">
      <c r="A537" s="16"/>
      <c r="B537" s="17"/>
      <c r="C537" s="2"/>
      <c r="D537" s="2"/>
      <c r="E537" s="2"/>
      <c r="F537" s="2"/>
      <c r="G537" s="2"/>
      <c r="H537" s="2"/>
      <c r="I537" s="5"/>
    </row>
    <row r="538" spans="1:9" ht="17.399999999999999" x14ac:dyDescent="0.25">
      <c r="A538" s="16"/>
      <c r="B538" s="17"/>
      <c r="C538" s="2"/>
      <c r="D538" s="2"/>
      <c r="E538" s="2"/>
      <c r="F538" s="2"/>
      <c r="G538" s="2"/>
      <c r="H538" s="2"/>
      <c r="I538" s="5"/>
    </row>
    <row r="539" spans="1:9" ht="17.399999999999999" x14ac:dyDescent="0.25">
      <c r="A539" s="16"/>
      <c r="B539" s="17"/>
      <c r="C539" s="2"/>
      <c r="D539" s="2"/>
      <c r="E539" s="2"/>
      <c r="F539" s="2"/>
      <c r="G539" s="2"/>
      <c r="H539" s="2"/>
      <c r="I539" s="5"/>
    </row>
    <row r="540" spans="1:9" ht="17.399999999999999" x14ac:dyDescent="0.25">
      <c r="A540" s="16"/>
      <c r="B540" s="17"/>
      <c r="C540" s="2"/>
      <c r="D540" s="2"/>
      <c r="E540" s="2"/>
      <c r="F540" s="2"/>
      <c r="G540" s="2"/>
      <c r="H540" s="2"/>
      <c r="I540" s="5"/>
    </row>
    <row r="541" spans="1:9" ht="17.399999999999999" x14ac:dyDescent="0.25">
      <c r="A541" s="16"/>
      <c r="B541" s="17"/>
      <c r="C541" s="2"/>
      <c r="D541" s="2"/>
      <c r="E541" s="2"/>
      <c r="F541" s="2"/>
      <c r="G541" s="2"/>
      <c r="H541" s="2"/>
      <c r="I541" s="5"/>
    </row>
    <row r="542" spans="1:9" ht="17.399999999999999" x14ac:dyDescent="0.25">
      <c r="A542" s="16"/>
      <c r="B542" s="17"/>
      <c r="C542" s="2"/>
      <c r="D542" s="2"/>
      <c r="E542" s="2"/>
      <c r="F542" s="2"/>
      <c r="G542" s="2"/>
      <c r="H542" s="2"/>
      <c r="I542" s="5"/>
    </row>
    <row r="543" spans="1:9" ht="17.399999999999999" x14ac:dyDescent="0.25">
      <c r="A543" s="16"/>
      <c r="B543" s="17"/>
      <c r="C543" s="2"/>
      <c r="D543" s="2"/>
      <c r="E543" s="2"/>
      <c r="F543" s="2"/>
      <c r="G543" s="2"/>
      <c r="H543" s="2"/>
      <c r="I543" s="5"/>
    </row>
    <row r="544" spans="1:9" ht="17.399999999999999" x14ac:dyDescent="0.25">
      <c r="A544" s="16"/>
      <c r="B544" s="17"/>
      <c r="C544" s="2"/>
      <c r="D544" s="2"/>
      <c r="E544" s="2"/>
      <c r="F544" s="2"/>
      <c r="G544" s="2"/>
      <c r="H544" s="2"/>
      <c r="I544" s="5"/>
    </row>
    <row r="545" spans="1:9" ht="17.399999999999999" x14ac:dyDescent="0.25">
      <c r="A545" s="16"/>
      <c r="B545" s="17"/>
      <c r="C545" s="2"/>
      <c r="D545" s="2"/>
      <c r="E545" s="2"/>
      <c r="F545" s="2"/>
      <c r="G545" s="2"/>
      <c r="H545" s="2"/>
      <c r="I545" s="5"/>
    </row>
    <row r="546" spans="1:9" ht="17.399999999999999" x14ac:dyDescent="0.25">
      <c r="A546" s="16"/>
      <c r="B546" s="17"/>
      <c r="C546" s="2"/>
      <c r="D546" s="2"/>
      <c r="E546" s="2"/>
      <c r="F546" s="2"/>
      <c r="G546" s="2"/>
      <c r="H546" s="2"/>
      <c r="I546" s="5"/>
    </row>
    <row r="547" spans="1:9" ht="17.399999999999999" x14ac:dyDescent="0.25">
      <c r="A547" s="16"/>
      <c r="B547" s="17"/>
      <c r="C547" s="2"/>
      <c r="D547" s="2"/>
      <c r="E547" s="2"/>
      <c r="F547" s="2"/>
      <c r="G547" s="2"/>
      <c r="H547" s="2"/>
      <c r="I547" s="5"/>
    </row>
    <row r="548" spans="1:9" ht="17.399999999999999" x14ac:dyDescent="0.25">
      <c r="A548" s="16"/>
      <c r="B548" s="17"/>
      <c r="C548" s="2"/>
      <c r="D548" s="2"/>
      <c r="E548" s="2"/>
      <c r="F548" s="2"/>
      <c r="G548" s="2"/>
      <c r="H548" s="2"/>
      <c r="I548" s="5"/>
    </row>
    <row r="549" spans="1:9" ht="17.399999999999999" x14ac:dyDescent="0.25">
      <c r="A549" s="16"/>
      <c r="B549" s="17"/>
      <c r="C549" s="2"/>
      <c r="D549" s="2"/>
      <c r="E549" s="2"/>
      <c r="F549" s="2"/>
      <c r="G549" s="2"/>
      <c r="H549" s="2"/>
      <c r="I549" s="5"/>
    </row>
    <row r="550" spans="1:9" ht="17.399999999999999" x14ac:dyDescent="0.25">
      <c r="A550" s="16"/>
      <c r="B550" s="17"/>
      <c r="C550" s="2"/>
      <c r="D550" s="2"/>
      <c r="E550" s="2"/>
      <c r="F550" s="2"/>
      <c r="G550" s="2"/>
      <c r="H550" s="2"/>
      <c r="I550" s="5"/>
    </row>
    <row r="551" spans="1:9" ht="17.399999999999999" x14ac:dyDescent="0.25">
      <c r="A551" s="16"/>
      <c r="B551" s="17"/>
      <c r="C551" s="2"/>
      <c r="D551" s="2"/>
      <c r="E551" s="2"/>
      <c r="F551" s="2"/>
      <c r="G551" s="2"/>
      <c r="H551" s="2"/>
      <c r="I551" s="5"/>
    </row>
    <row r="552" spans="1:9" ht="17.399999999999999" x14ac:dyDescent="0.25">
      <c r="A552" s="16"/>
      <c r="B552" s="17"/>
      <c r="C552" s="2"/>
      <c r="D552" s="2"/>
      <c r="E552" s="2"/>
      <c r="F552" s="2"/>
      <c r="G552" s="2"/>
      <c r="H552" s="2"/>
      <c r="I552" s="5"/>
    </row>
    <row r="553" spans="1:9" ht="17.399999999999999" x14ac:dyDescent="0.25">
      <c r="A553" s="16"/>
      <c r="B553" s="17"/>
      <c r="C553" s="2"/>
      <c r="D553" s="2"/>
      <c r="E553" s="2"/>
      <c r="F553" s="2"/>
      <c r="G553" s="2"/>
      <c r="H553" s="2"/>
      <c r="I553" s="5"/>
    </row>
    <row r="554" spans="1:9" ht="17.399999999999999" x14ac:dyDescent="0.25">
      <c r="A554" s="16"/>
      <c r="B554" s="17"/>
      <c r="C554" s="2"/>
      <c r="D554" s="2"/>
      <c r="E554" s="2"/>
      <c r="F554" s="2"/>
      <c r="G554" s="2"/>
      <c r="H554" s="2"/>
      <c r="I554" s="5"/>
    </row>
    <row r="555" spans="1:9" ht="17.399999999999999" x14ac:dyDescent="0.25">
      <c r="A555" s="16"/>
      <c r="B555" s="17"/>
      <c r="C555" s="2"/>
      <c r="D555" s="2"/>
      <c r="E555" s="2"/>
      <c r="F555" s="2"/>
      <c r="G555" s="2"/>
      <c r="H555" s="2"/>
      <c r="I555" s="5"/>
    </row>
    <row r="556" spans="1:9" ht="17.399999999999999" x14ac:dyDescent="0.25">
      <c r="A556" s="16"/>
      <c r="B556" s="17"/>
      <c r="C556" s="2"/>
      <c r="D556" s="2"/>
      <c r="E556" s="2"/>
      <c r="F556" s="2"/>
      <c r="G556" s="2"/>
      <c r="H556" s="2"/>
      <c r="I556" s="5"/>
    </row>
    <row r="557" spans="1:9" ht="17.399999999999999" x14ac:dyDescent="0.25">
      <c r="A557" s="16"/>
      <c r="B557" s="17"/>
      <c r="C557" s="2"/>
      <c r="D557" s="2"/>
      <c r="E557" s="2"/>
      <c r="F557" s="2"/>
      <c r="G557" s="2"/>
      <c r="H557" s="2"/>
      <c r="I557" s="5"/>
    </row>
    <row r="558" spans="1:9" ht="17.399999999999999" x14ac:dyDescent="0.25">
      <c r="A558" s="16"/>
      <c r="B558" s="17"/>
      <c r="C558" s="2"/>
      <c r="D558" s="2"/>
      <c r="E558" s="2"/>
      <c r="F558" s="2"/>
      <c r="G558" s="2"/>
      <c r="H558" s="2"/>
      <c r="I558" s="5"/>
    </row>
    <row r="559" spans="1:9" ht="17.399999999999999" x14ac:dyDescent="0.25">
      <c r="A559" s="16"/>
      <c r="B559" s="17"/>
      <c r="C559" s="2"/>
      <c r="D559" s="2"/>
      <c r="E559" s="2"/>
      <c r="F559" s="2"/>
      <c r="G559" s="2"/>
      <c r="H559" s="2"/>
      <c r="I559" s="5"/>
    </row>
    <row r="560" spans="1:9" ht="17.399999999999999" x14ac:dyDescent="0.25">
      <c r="A560" s="16"/>
      <c r="B560" s="17"/>
      <c r="C560" s="2"/>
      <c r="D560" s="2"/>
      <c r="E560" s="2"/>
      <c r="F560" s="2"/>
      <c r="G560" s="2"/>
      <c r="H560" s="2"/>
      <c r="I560" s="5"/>
    </row>
    <row r="561" spans="1:9" ht="17.399999999999999" x14ac:dyDescent="0.25">
      <c r="A561" s="16"/>
      <c r="B561" s="17"/>
      <c r="C561" s="2"/>
      <c r="D561" s="2"/>
      <c r="E561" s="2"/>
      <c r="F561" s="2"/>
      <c r="G561" s="2"/>
      <c r="H561" s="2"/>
      <c r="I561" s="5"/>
    </row>
    <row r="562" spans="1:9" ht="17.399999999999999" x14ac:dyDescent="0.25">
      <c r="A562" s="16"/>
      <c r="B562" s="17"/>
      <c r="C562" s="2"/>
      <c r="D562" s="2"/>
      <c r="E562" s="2"/>
      <c r="F562" s="2"/>
      <c r="G562" s="2"/>
      <c r="H562" s="2"/>
      <c r="I562" s="5"/>
    </row>
    <row r="563" spans="1:9" ht="17.399999999999999" x14ac:dyDescent="0.25">
      <c r="A563" s="16"/>
      <c r="B563" s="17"/>
      <c r="C563" s="2"/>
      <c r="D563" s="2"/>
      <c r="E563" s="2"/>
      <c r="F563" s="2"/>
      <c r="G563" s="2"/>
      <c r="H563" s="2"/>
      <c r="I563" s="5"/>
    </row>
    <row r="564" spans="1:9" ht="17.399999999999999" x14ac:dyDescent="0.25">
      <c r="A564" s="16"/>
      <c r="B564" s="17"/>
      <c r="C564" s="2"/>
      <c r="D564" s="2"/>
      <c r="E564" s="2"/>
      <c r="F564" s="2"/>
      <c r="G564" s="2"/>
      <c r="H564" s="2"/>
      <c r="I564" s="5"/>
    </row>
    <row r="565" spans="1:9" ht="17.399999999999999" x14ac:dyDescent="0.25">
      <c r="A565" s="16"/>
      <c r="B565" s="17"/>
      <c r="C565" s="2"/>
      <c r="D565" s="2"/>
      <c r="E565" s="2"/>
      <c r="F565" s="2"/>
      <c r="G565" s="2"/>
      <c r="H565" s="2"/>
      <c r="I565" s="5"/>
    </row>
    <row r="566" spans="1:9" ht="17.399999999999999" x14ac:dyDescent="0.25">
      <c r="A566" s="16"/>
      <c r="B566" s="17"/>
      <c r="C566" s="2"/>
      <c r="D566" s="2"/>
      <c r="E566" s="2"/>
      <c r="F566" s="2"/>
      <c r="G566" s="2"/>
      <c r="H566" s="2"/>
      <c r="I566" s="5"/>
    </row>
    <row r="567" spans="1:9" ht="17.399999999999999" x14ac:dyDescent="0.25">
      <c r="A567" s="16"/>
      <c r="B567" s="17"/>
      <c r="C567" s="2"/>
      <c r="D567" s="2"/>
      <c r="E567" s="2"/>
      <c r="F567" s="2"/>
      <c r="G567" s="2"/>
      <c r="H567" s="2"/>
      <c r="I567" s="5"/>
    </row>
    <row r="568" spans="1:9" ht="17.399999999999999" x14ac:dyDescent="0.25">
      <c r="A568" s="16"/>
      <c r="B568" s="17"/>
      <c r="C568" s="2"/>
      <c r="D568" s="2"/>
      <c r="E568" s="2"/>
      <c r="F568" s="2"/>
      <c r="G568" s="2"/>
      <c r="H568" s="2"/>
      <c r="I568" s="5"/>
    </row>
    <row r="569" spans="1:9" ht="17.399999999999999" x14ac:dyDescent="0.25">
      <c r="A569" s="16"/>
      <c r="B569" s="17"/>
      <c r="C569" s="2"/>
      <c r="D569" s="2"/>
      <c r="E569" s="2"/>
      <c r="F569" s="2"/>
      <c r="G569" s="2"/>
      <c r="H569" s="2"/>
      <c r="I569" s="5"/>
    </row>
    <row r="570" spans="1:9" ht="17.399999999999999" x14ac:dyDescent="0.25">
      <c r="A570" s="16"/>
      <c r="B570" s="17"/>
      <c r="C570" s="2"/>
      <c r="D570" s="2"/>
      <c r="E570" s="2"/>
      <c r="F570" s="2"/>
      <c r="G570" s="2"/>
      <c r="H570" s="2"/>
      <c r="I570" s="5"/>
    </row>
    <row r="571" spans="1:9" ht="17.399999999999999" x14ac:dyDescent="0.25">
      <c r="A571" s="16"/>
      <c r="B571" s="17"/>
      <c r="C571" s="2"/>
      <c r="D571" s="2"/>
      <c r="E571" s="2"/>
      <c r="F571" s="2"/>
      <c r="G571" s="2"/>
      <c r="H571" s="2"/>
      <c r="I571" s="5"/>
    </row>
    <row r="572" spans="1:9" ht="17.399999999999999" x14ac:dyDescent="0.25">
      <c r="A572" s="16"/>
      <c r="B572" s="17"/>
      <c r="C572" s="2"/>
      <c r="D572" s="2"/>
      <c r="E572" s="2"/>
      <c r="F572" s="2"/>
      <c r="G572" s="2"/>
      <c r="H572" s="2"/>
      <c r="I572" s="5"/>
    </row>
    <row r="573" spans="1:9" ht="17.399999999999999" x14ac:dyDescent="0.25">
      <c r="A573" s="16"/>
      <c r="B573" s="17"/>
      <c r="C573" s="2"/>
      <c r="D573" s="2"/>
      <c r="E573" s="2"/>
      <c r="F573" s="2"/>
      <c r="G573" s="2"/>
      <c r="H573" s="2"/>
      <c r="I573" s="5"/>
    </row>
    <row r="574" spans="1:9" ht="17.399999999999999" x14ac:dyDescent="0.25">
      <c r="A574" s="16"/>
      <c r="B574" s="17"/>
      <c r="C574" s="2"/>
      <c r="D574" s="2"/>
      <c r="E574" s="2"/>
      <c r="F574" s="2"/>
      <c r="G574" s="2"/>
      <c r="H574" s="2"/>
      <c r="I574" s="5"/>
    </row>
    <row r="575" spans="1:9" ht="17.399999999999999" x14ac:dyDescent="0.25">
      <c r="A575" s="16"/>
      <c r="B575" s="17"/>
      <c r="C575" s="2"/>
      <c r="D575" s="2"/>
      <c r="E575" s="2"/>
      <c r="F575" s="2"/>
      <c r="G575" s="2"/>
      <c r="H575" s="2"/>
      <c r="I575" s="5"/>
    </row>
    <row r="576" spans="1:9" ht="17.399999999999999" x14ac:dyDescent="0.25">
      <c r="A576" s="16"/>
      <c r="B576" s="17"/>
      <c r="C576" s="2"/>
      <c r="D576" s="2"/>
      <c r="E576" s="2"/>
      <c r="F576" s="2"/>
      <c r="G576" s="2"/>
      <c r="H576" s="2"/>
      <c r="I576" s="5"/>
    </row>
    <row r="577" spans="1:9" ht="17.399999999999999" x14ac:dyDescent="0.25">
      <c r="A577" s="16"/>
      <c r="B577" s="17"/>
      <c r="C577" s="2"/>
      <c r="D577" s="2"/>
      <c r="E577" s="2"/>
      <c r="F577" s="2"/>
      <c r="G577" s="2"/>
      <c r="H577" s="2"/>
      <c r="I577" s="5"/>
    </row>
    <row r="578" spans="1:9" ht="17.399999999999999" x14ac:dyDescent="0.25">
      <c r="A578" s="16"/>
      <c r="B578" s="17"/>
      <c r="C578" s="2"/>
      <c r="D578" s="2"/>
      <c r="E578" s="2"/>
      <c r="F578" s="2"/>
      <c r="G578" s="2"/>
      <c r="H578" s="2"/>
      <c r="I578" s="5"/>
    </row>
    <row r="579" spans="1:9" ht="17.399999999999999" x14ac:dyDescent="0.25">
      <c r="A579" s="16"/>
      <c r="B579" s="17"/>
      <c r="C579" s="2"/>
      <c r="D579" s="2"/>
      <c r="E579" s="2"/>
      <c r="F579" s="2"/>
      <c r="G579" s="2"/>
      <c r="H579" s="2"/>
      <c r="I579" s="5"/>
    </row>
    <row r="580" spans="1:9" ht="17.399999999999999" x14ac:dyDescent="0.25">
      <c r="A580" s="16"/>
      <c r="B580" s="17"/>
      <c r="C580" s="2"/>
      <c r="D580" s="2"/>
      <c r="E580" s="2"/>
      <c r="F580" s="2"/>
      <c r="G580" s="2"/>
      <c r="H580" s="2"/>
      <c r="I580" s="5"/>
    </row>
    <row r="581" spans="1:9" ht="17.399999999999999" x14ac:dyDescent="0.25">
      <c r="A581" s="16"/>
      <c r="B581" s="17"/>
      <c r="C581" s="2"/>
      <c r="D581" s="2"/>
      <c r="E581" s="2"/>
      <c r="F581" s="2"/>
      <c r="G581" s="2"/>
      <c r="H581" s="2"/>
      <c r="I581" s="5"/>
    </row>
    <row r="582" spans="1:9" ht="17.399999999999999" x14ac:dyDescent="0.25">
      <c r="A582" s="16"/>
      <c r="B582" s="17"/>
      <c r="C582" s="2"/>
      <c r="D582" s="2"/>
      <c r="E582" s="2"/>
      <c r="F582" s="2"/>
      <c r="G582" s="2"/>
      <c r="H582" s="2"/>
      <c r="I582" s="5"/>
    </row>
    <row r="583" spans="1:9" ht="17.399999999999999" x14ac:dyDescent="0.25">
      <c r="A583" s="16"/>
      <c r="B583" s="17"/>
      <c r="C583" s="2"/>
      <c r="D583" s="2"/>
      <c r="E583" s="2"/>
      <c r="F583" s="2"/>
      <c r="G583" s="2"/>
      <c r="H583" s="2"/>
      <c r="I583" s="5"/>
    </row>
    <row r="584" spans="1:9" ht="17.399999999999999" x14ac:dyDescent="0.25">
      <c r="A584" s="16"/>
      <c r="B584" s="17"/>
      <c r="C584" s="2"/>
      <c r="D584" s="2"/>
      <c r="E584" s="2"/>
      <c r="F584" s="2"/>
      <c r="G584" s="2"/>
      <c r="H584" s="2"/>
      <c r="I584" s="5"/>
    </row>
    <row r="585" spans="1:9" ht="17.399999999999999" x14ac:dyDescent="0.25">
      <c r="A585" s="16"/>
      <c r="B585" s="17"/>
      <c r="C585" s="2"/>
      <c r="D585" s="2"/>
      <c r="E585" s="2"/>
      <c r="F585" s="2"/>
      <c r="G585" s="2"/>
      <c r="H585" s="2"/>
      <c r="I585" s="5"/>
    </row>
    <row r="586" spans="1:9" ht="17.399999999999999" x14ac:dyDescent="0.25">
      <c r="A586" s="16"/>
      <c r="B586" s="17"/>
      <c r="C586" s="2"/>
      <c r="D586" s="2"/>
      <c r="E586" s="2"/>
      <c r="F586" s="2"/>
      <c r="G586" s="2"/>
      <c r="H586" s="2"/>
      <c r="I586" s="5"/>
    </row>
    <row r="587" spans="1:9" ht="17.399999999999999" x14ac:dyDescent="0.25">
      <c r="A587" s="16"/>
      <c r="B587" s="17"/>
      <c r="C587" s="2"/>
      <c r="D587" s="2"/>
      <c r="E587" s="2"/>
      <c r="F587" s="2"/>
      <c r="G587" s="2"/>
      <c r="H587" s="2"/>
      <c r="I587" s="5"/>
    </row>
    <row r="588" spans="1:9" ht="17.399999999999999" x14ac:dyDescent="0.25">
      <c r="A588" s="16"/>
      <c r="B588" s="17"/>
      <c r="C588" s="2"/>
      <c r="D588" s="2"/>
      <c r="E588" s="2"/>
      <c r="F588" s="2"/>
      <c r="G588" s="2"/>
      <c r="H588" s="2"/>
      <c r="I588" s="5"/>
    </row>
    <row r="589" spans="1:9" ht="17.399999999999999" x14ac:dyDescent="0.25">
      <c r="A589" s="16"/>
      <c r="B589" s="17"/>
      <c r="C589" s="2"/>
      <c r="D589" s="2"/>
      <c r="E589" s="2"/>
      <c r="F589" s="2"/>
      <c r="G589" s="2"/>
      <c r="H589" s="2"/>
      <c r="I589" s="5"/>
    </row>
    <row r="590" spans="1:9" ht="17.399999999999999" x14ac:dyDescent="0.25">
      <c r="A590" s="16"/>
      <c r="B590" s="17"/>
      <c r="C590" s="2"/>
      <c r="D590" s="2"/>
      <c r="E590" s="2"/>
      <c r="F590" s="2"/>
      <c r="G590" s="2"/>
      <c r="H590" s="2"/>
      <c r="I590" s="5"/>
    </row>
    <row r="591" spans="1:9" ht="17.399999999999999" x14ac:dyDescent="0.25">
      <c r="A591" s="16"/>
      <c r="B591" s="17"/>
      <c r="C591" s="2"/>
      <c r="D591" s="2"/>
      <c r="E591" s="2"/>
      <c r="F591" s="2"/>
      <c r="G591" s="2"/>
      <c r="H591" s="2"/>
      <c r="I591" s="5"/>
    </row>
    <row r="592" spans="1:9" ht="17.399999999999999" x14ac:dyDescent="0.25">
      <c r="A592" s="16"/>
      <c r="B592" s="17"/>
      <c r="C592" s="2"/>
      <c r="D592" s="2"/>
      <c r="E592" s="2"/>
      <c r="F592" s="2"/>
      <c r="G592" s="2"/>
      <c r="H592" s="2"/>
      <c r="I592" s="5"/>
    </row>
    <row r="593" spans="1:9" ht="17.399999999999999" x14ac:dyDescent="0.25">
      <c r="A593" s="16"/>
      <c r="B593" s="17"/>
      <c r="C593" s="2"/>
      <c r="D593" s="2"/>
      <c r="E593" s="2"/>
      <c r="F593" s="2"/>
      <c r="G593" s="2"/>
      <c r="H593" s="2"/>
      <c r="I593" s="5"/>
    </row>
    <row r="594" spans="1:9" ht="17.399999999999999" x14ac:dyDescent="0.25">
      <c r="A594" s="16"/>
      <c r="B594" s="17"/>
      <c r="C594" s="2"/>
      <c r="D594" s="2"/>
      <c r="E594" s="2"/>
      <c r="F594" s="2"/>
      <c r="G594" s="2"/>
      <c r="H594" s="2"/>
      <c r="I594" s="5"/>
    </row>
    <row r="595" spans="1:9" ht="17.399999999999999" x14ac:dyDescent="0.25">
      <c r="A595" s="16"/>
      <c r="B595" s="17"/>
      <c r="C595" s="2"/>
      <c r="D595" s="2"/>
      <c r="E595" s="2"/>
      <c r="F595" s="2"/>
      <c r="G595" s="2"/>
      <c r="H595" s="2"/>
      <c r="I595" s="5"/>
    </row>
    <row r="596" spans="1:9" ht="17.399999999999999" x14ac:dyDescent="0.25">
      <c r="A596" s="16"/>
      <c r="B596" s="17"/>
      <c r="C596" s="2"/>
      <c r="D596" s="2"/>
      <c r="E596" s="2"/>
      <c r="F596" s="2"/>
      <c r="G596" s="2"/>
      <c r="H596" s="2"/>
      <c r="I596" s="5"/>
    </row>
    <row r="597" spans="1:9" ht="17.399999999999999" x14ac:dyDescent="0.25">
      <c r="A597" s="16"/>
      <c r="B597" s="17"/>
      <c r="C597" s="2"/>
      <c r="D597" s="2"/>
      <c r="E597" s="2"/>
      <c r="F597" s="2"/>
      <c r="G597" s="2"/>
      <c r="H597" s="2"/>
      <c r="I597" s="5"/>
    </row>
    <row r="598" spans="1:9" ht="17.399999999999999" x14ac:dyDescent="0.25">
      <c r="A598" s="16"/>
      <c r="B598" s="17"/>
      <c r="C598" s="2"/>
      <c r="D598" s="2"/>
      <c r="E598" s="2"/>
      <c r="F598" s="2"/>
      <c r="G598" s="2"/>
      <c r="H598" s="2"/>
      <c r="I598" s="5"/>
    </row>
    <row r="599" spans="1:9" ht="17.399999999999999" x14ac:dyDescent="0.25">
      <c r="A599" s="16"/>
      <c r="B599" s="17"/>
      <c r="C599" s="2"/>
      <c r="D599" s="2"/>
      <c r="E599" s="2"/>
      <c r="F599" s="2"/>
      <c r="G599" s="2"/>
      <c r="H599" s="2"/>
      <c r="I599" s="5"/>
    </row>
    <row r="600" spans="1:9" ht="17.399999999999999" x14ac:dyDescent="0.25">
      <c r="A600" s="16"/>
      <c r="B600" s="17"/>
      <c r="C600" s="2"/>
      <c r="D600" s="2"/>
      <c r="E600" s="2"/>
      <c r="F600" s="2"/>
      <c r="G600" s="2"/>
      <c r="H600" s="2"/>
      <c r="I600" s="5"/>
    </row>
    <row r="601" spans="1:9" ht="17.399999999999999" x14ac:dyDescent="0.25">
      <c r="A601" s="16"/>
      <c r="B601" s="17"/>
      <c r="C601" s="2"/>
      <c r="D601" s="2"/>
      <c r="E601" s="2"/>
      <c r="F601" s="2"/>
      <c r="G601" s="2"/>
      <c r="H601" s="2"/>
      <c r="I601" s="5"/>
    </row>
    <row r="602" spans="1:9" ht="17.399999999999999" x14ac:dyDescent="0.25">
      <c r="A602" s="16"/>
      <c r="B602" s="17"/>
      <c r="C602" s="2"/>
      <c r="D602" s="2"/>
      <c r="E602" s="2"/>
      <c r="F602" s="2"/>
      <c r="G602" s="2"/>
      <c r="H602" s="2"/>
      <c r="I602" s="5"/>
    </row>
    <row r="603" spans="1:9" ht="17.399999999999999" x14ac:dyDescent="0.25">
      <c r="A603" s="16"/>
      <c r="B603" s="17"/>
      <c r="C603" s="2"/>
      <c r="D603" s="2"/>
      <c r="E603" s="2"/>
      <c r="F603" s="2"/>
      <c r="G603" s="2"/>
      <c r="H603" s="2"/>
      <c r="I603" s="5"/>
    </row>
    <row r="604" spans="1:9" ht="17.399999999999999" x14ac:dyDescent="0.25">
      <c r="A604" s="16"/>
      <c r="B604" s="17"/>
      <c r="C604" s="2"/>
      <c r="D604" s="2"/>
      <c r="E604" s="2"/>
      <c r="F604" s="2"/>
      <c r="G604" s="2"/>
      <c r="H604" s="2"/>
      <c r="I604" s="5"/>
    </row>
    <row r="605" spans="1:9" ht="17.399999999999999" x14ac:dyDescent="0.25">
      <c r="A605" s="16"/>
      <c r="B605" s="17"/>
      <c r="C605" s="2"/>
      <c r="D605" s="2"/>
      <c r="E605" s="2"/>
      <c r="F605" s="2"/>
      <c r="G605" s="2"/>
      <c r="H605" s="2"/>
      <c r="I605" s="5"/>
    </row>
    <row r="606" spans="1:9" ht="17.399999999999999" x14ac:dyDescent="0.25">
      <c r="A606" s="16"/>
      <c r="B606" s="17"/>
      <c r="C606" s="2"/>
      <c r="D606" s="2"/>
      <c r="E606" s="2"/>
      <c r="F606" s="2"/>
      <c r="G606" s="2"/>
      <c r="H606" s="2"/>
      <c r="I606" s="5"/>
    </row>
    <row r="607" spans="1:9" ht="17.399999999999999" x14ac:dyDescent="0.25">
      <c r="A607" s="16"/>
      <c r="B607" s="17"/>
      <c r="C607" s="2"/>
      <c r="D607" s="2"/>
      <c r="E607" s="2"/>
      <c r="F607" s="2"/>
      <c r="G607" s="2"/>
      <c r="H607" s="2"/>
      <c r="I607" s="5"/>
    </row>
    <row r="608" spans="1:9" ht="17.399999999999999" x14ac:dyDescent="0.25">
      <c r="A608" s="16"/>
      <c r="B608" s="17"/>
      <c r="C608" s="2"/>
      <c r="D608" s="2"/>
      <c r="E608" s="2"/>
      <c r="F608" s="2"/>
      <c r="G608" s="2"/>
      <c r="H608" s="2"/>
      <c r="I608" s="5"/>
    </row>
    <row r="609" spans="1:9" ht="17.399999999999999" x14ac:dyDescent="0.25">
      <c r="A609" s="16"/>
      <c r="B609" s="17"/>
      <c r="C609" s="2"/>
      <c r="D609" s="2"/>
      <c r="E609" s="2"/>
      <c r="F609" s="2"/>
      <c r="G609" s="2"/>
      <c r="H609" s="2"/>
      <c r="I609" s="5"/>
    </row>
    <row r="610" spans="1:9" ht="17.399999999999999" x14ac:dyDescent="0.25">
      <c r="A610" s="16"/>
      <c r="B610" s="17"/>
      <c r="C610" s="2"/>
      <c r="D610" s="2"/>
      <c r="E610" s="2"/>
      <c r="F610" s="2"/>
      <c r="G610" s="2"/>
      <c r="H610" s="2"/>
      <c r="I610" s="5"/>
    </row>
    <row r="611" spans="1:9" ht="17.399999999999999" x14ac:dyDescent="0.25">
      <c r="A611" s="16"/>
      <c r="B611" s="17"/>
      <c r="C611" s="2"/>
      <c r="D611" s="2"/>
      <c r="E611" s="2"/>
      <c r="F611" s="2"/>
      <c r="G611" s="2"/>
      <c r="H611" s="2"/>
      <c r="I611" s="5"/>
    </row>
    <row r="612" spans="1:9" ht="17.399999999999999" x14ac:dyDescent="0.25">
      <c r="A612" s="16"/>
      <c r="B612" s="17"/>
      <c r="C612" s="2"/>
      <c r="D612" s="2"/>
      <c r="E612" s="2"/>
      <c r="F612" s="2"/>
      <c r="G612" s="2"/>
      <c r="H612" s="2"/>
      <c r="I612" s="5"/>
    </row>
    <row r="613" spans="1:9" ht="17.399999999999999" x14ac:dyDescent="0.25">
      <c r="A613" s="16"/>
      <c r="B613" s="17"/>
      <c r="C613" s="2"/>
      <c r="D613" s="2"/>
      <c r="E613" s="2"/>
      <c r="F613" s="2"/>
      <c r="G613" s="2"/>
      <c r="H613" s="2"/>
      <c r="I613" s="5"/>
    </row>
    <row r="614" spans="1:9" ht="17.399999999999999" x14ac:dyDescent="0.25">
      <c r="A614" s="16"/>
      <c r="B614" s="17"/>
      <c r="C614" s="2"/>
      <c r="D614" s="2"/>
      <c r="E614" s="2"/>
      <c r="F614" s="2"/>
      <c r="G614" s="2"/>
      <c r="H614" s="2"/>
      <c r="I614" s="5"/>
    </row>
    <row r="615" spans="1:9" ht="17.399999999999999" x14ac:dyDescent="0.25">
      <c r="A615" s="16"/>
      <c r="B615" s="17"/>
      <c r="C615" s="2"/>
      <c r="D615" s="2"/>
      <c r="E615" s="2"/>
      <c r="F615" s="2"/>
      <c r="G615" s="2"/>
      <c r="H615" s="2"/>
      <c r="I615" s="5"/>
    </row>
    <row r="616" spans="1:9" ht="17.399999999999999" x14ac:dyDescent="0.25">
      <c r="A616" s="16"/>
      <c r="B616" s="17"/>
      <c r="C616" s="2"/>
      <c r="D616" s="2"/>
      <c r="E616" s="2"/>
      <c r="F616" s="2"/>
      <c r="G616" s="2"/>
      <c r="H616" s="2"/>
      <c r="I616" s="5"/>
    </row>
    <row r="617" spans="1:9" ht="17.399999999999999" x14ac:dyDescent="0.25">
      <c r="A617" s="16"/>
      <c r="B617" s="17"/>
      <c r="C617" s="2"/>
      <c r="D617" s="2"/>
      <c r="E617" s="2"/>
      <c r="F617" s="2"/>
      <c r="G617" s="2"/>
      <c r="H617" s="2"/>
      <c r="I617" s="5"/>
    </row>
    <row r="618" spans="1:9" ht="17.399999999999999" x14ac:dyDescent="0.25">
      <c r="A618" s="16"/>
      <c r="B618" s="17"/>
      <c r="C618" s="2"/>
      <c r="D618" s="2"/>
      <c r="E618" s="2"/>
      <c r="F618" s="2"/>
      <c r="G618" s="2"/>
      <c r="H618" s="2"/>
      <c r="I618" s="5"/>
    </row>
    <row r="619" spans="1:9" ht="17.399999999999999" x14ac:dyDescent="0.25">
      <c r="A619" s="16"/>
      <c r="B619" s="17"/>
      <c r="C619" s="2"/>
      <c r="D619" s="2"/>
      <c r="E619" s="2"/>
      <c r="F619" s="2"/>
      <c r="G619" s="2"/>
      <c r="H619" s="2"/>
      <c r="I619" s="5"/>
    </row>
    <row r="620" spans="1:9" ht="17.399999999999999" x14ac:dyDescent="0.25">
      <c r="A620" s="16"/>
      <c r="B620" s="17"/>
      <c r="C620" s="2"/>
      <c r="D620" s="2"/>
      <c r="E620" s="2"/>
      <c r="F620" s="2"/>
      <c r="G620" s="2"/>
      <c r="H620" s="2"/>
      <c r="I620" s="5"/>
    </row>
    <row r="621" spans="1:9" ht="17.399999999999999" x14ac:dyDescent="0.25">
      <c r="A621" s="16"/>
      <c r="B621" s="17"/>
      <c r="C621" s="2"/>
      <c r="D621" s="2"/>
      <c r="E621" s="2"/>
      <c r="F621" s="2"/>
      <c r="G621" s="2"/>
      <c r="H621" s="2"/>
      <c r="I621" s="5"/>
    </row>
    <row r="622" spans="1:9" ht="17.399999999999999" x14ac:dyDescent="0.25">
      <c r="A622" s="16"/>
      <c r="B622" s="17"/>
      <c r="C622" s="2"/>
      <c r="D622" s="2"/>
      <c r="E622" s="2"/>
      <c r="F622" s="2"/>
      <c r="G622" s="2"/>
      <c r="H622" s="2"/>
      <c r="I622" s="5"/>
    </row>
    <row r="623" spans="1:9" ht="17.399999999999999" x14ac:dyDescent="0.25">
      <c r="A623" s="16"/>
      <c r="B623" s="17"/>
      <c r="C623" s="2"/>
      <c r="D623" s="2"/>
      <c r="E623" s="2"/>
      <c r="F623" s="2"/>
      <c r="G623" s="2"/>
      <c r="H623" s="2"/>
      <c r="I623" s="5"/>
    </row>
    <row r="624" spans="1:9" ht="17.399999999999999" x14ac:dyDescent="0.25">
      <c r="A624" s="16"/>
      <c r="B624" s="17"/>
      <c r="C624" s="2"/>
      <c r="D624" s="2"/>
      <c r="E624" s="2"/>
      <c r="F624" s="2"/>
      <c r="G624" s="2"/>
      <c r="H624" s="2"/>
      <c r="I624" s="5"/>
    </row>
    <row r="625" spans="1:9" ht="17.399999999999999" x14ac:dyDescent="0.25">
      <c r="A625" s="16"/>
      <c r="B625" s="17"/>
      <c r="C625" s="2"/>
      <c r="D625" s="2"/>
      <c r="E625" s="2"/>
      <c r="F625" s="2"/>
      <c r="G625" s="2"/>
      <c r="H625" s="2"/>
      <c r="I625" s="5"/>
    </row>
    <row r="626" spans="1:9" ht="17.399999999999999" x14ac:dyDescent="0.25">
      <c r="A626" s="16"/>
      <c r="B626" s="17"/>
      <c r="C626" s="2"/>
      <c r="D626" s="2"/>
      <c r="E626" s="2"/>
      <c r="F626" s="2"/>
      <c r="G626" s="2"/>
      <c r="H626" s="2"/>
      <c r="I626" s="5"/>
    </row>
    <row r="627" spans="1:9" ht="17.399999999999999" x14ac:dyDescent="0.25">
      <c r="A627" s="16"/>
      <c r="B627" s="17"/>
      <c r="C627" s="2"/>
      <c r="D627" s="2"/>
      <c r="E627" s="2"/>
      <c r="F627" s="2"/>
      <c r="G627" s="2"/>
      <c r="H627" s="2"/>
      <c r="I627" s="5"/>
    </row>
    <row r="628" spans="1:9" ht="17.399999999999999" x14ac:dyDescent="0.25">
      <c r="A628" s="16"/>
      <c r="B628" s="17"/>
      <c r="C628" s="2"/>
      <c r="D628" s="2"/>
      <c r="E628" s="2"/>
      <c r="F628" s="2"/>
      <c r="G628" s="2"/>
      <c r="H628" s="2"/>
      <c r="I628" s="5"/>
    </row>
    <row r="629" spans="1:9" ht="17.399999999999999" x14ac:dyDescent="0.25">
      <c r="A629" s="16"/>
      <c r="B629" s="17"/>
      <c r="C629" s="2"/>
      <c r="D629" s="2"/>
      <c r="E629" s="2"/>
      <c r="F629" s="2"/>
      <c r="G629" s="2"/>
      <c r="H629" s="2"/>
      <c r="I629" s="5"/>
    </row>
    <row r="630" spans="1:9" ht="17.399999999999999" x14ac:dyDescent="0.25">
      <c r="A630" s="16"/>
      <c r="B630" s="17"/>
      <c r="C630" s="2"/>
      <c r="D630" s="2"/>
      <c r="E630" s="2"/>
      <c r="F630" s="2"/>
      <c r="G630" s="2"/>
      <c r="H630" s="2"/>
      <c r="I630" s="5"/>
    </row>
    <row r="631" spans="1:9" ht="17.399999999999999" x14ac:dyDescent="0.25">
      <c r="A631" s="16"/>
      <c r="B631" s="17"/>
      <c r="C631" s="2"/>
      <c r="D631" s="2"/>
      <c r="E631" s="2"/>
      <c r="F631" s="2"/>
      <c r="G631" s="2"/>
      <c r="H631" s="2"/>
      <c r="I631" s="5"/>
    </row>
    <row r="632" spans="1:9" ht="17.399999999999999" x14ac:dyDescent="0.25">
      <c r="A632" s="16"/>
      <c r="B632" s="17"/>
      <c r="C632" s="2"/>
      <c r="D632" s="2"/>
      <c r="E632" s="2"/>
      <c r="F632" s="2"/>
      <c r="G632" s="2"/>
      <c r="H632" s="2"/>
      <c r="I632" s="5"/>
    </row>
    <row r="633" spans="1:9" ht="17.399999999999999" x14ac:dyDescent="0.25">
      <c r="A633" s="16"/>
      <c r="B633" s="17"/>
      <c r="C633" s="2"/>
      <c r="D633" s="2"/>
      <c r="E633" s="2"/>
      <c r="F633" s="2"/>
      <c r="G633" s="2"/>
      <c r="H633" s="2"/>
      <c r="I633" s="5"/>
    </row>
    <row r="634" spans="1:9" ht="17.399999999999999" x14ac:dyDescent="0.25">
      <c r="A634" s="16"/>
      <c r="B634" s="17"/>
      <c r="C634" s="2"/>
      <c r="D634" s="2"/>
      <c r="E634" s="2"/>
      <c r="F634" s="2"/>
      <c r="G634" s="2"/>
      <c r="H634" s="2"/>
      <c r="I634" s="5"/>
    </row>
    <row r="635" spans="1:9" ht="17.399999999999999" x14ac:dyDescent="0.25">
      <c r="A635" s="16"/>
      <c r="B635" s="17"/>
      <c r="C635" s="2"/>
      <c r="D635" s="2"/>
      <c r="E635" s="2"/>
      <c r="F635" s="2"/>
      <c r="G635" s="2"/>
      <c r="H635" s="2"/>
      <c r="I635" s="5"/>
    </row>
    <row r="636" spans="1:9" ht="17.399999999999999" x14ac:dyDescent="0.25">
      <c r="A636" s="16"/>
      <c r="B636" s="17"/>
      <c r="C636" s="2"/>
      <c r="D636" s="2"/>
      <c r="E636" s="2"/>
      <c r="F636" s="2"/>
      <c r="G636" s="2"/>
      <c r="H636" s="2"/>
      <c r="I636" s="5"/>
    </row>
    <row r="637" spans="1:9" ht="17.399999999999999" x14ac:dyDescent="0.25">
      <c r="A637" s="16"/>
      <c r="B637" s="17"/>
      <c r="C637" s="2"/>
      <c r="D637" s="2"/>
      <c r="E637" s="2"/>
      <c r="F637" s="2"/>
      <c r="G637" s="2"/>
      <c r="H637" s="2"/>
      <c r="I637" s="5"/>
    </row>
    <row r="638" spans="1:9" ht="17.399999999999999" x14ac:dyDescent="0.25">
      <c r="A638" s="16"/>
      <c r="B638" s="17"/>
      <c r="C638" s="2"/>
      <c r="D638" s="2"/>
      <c r="E638" s="2"/>
      <c r="F638" s="2"/>
      <c r="G638" s="2"/>
      <c r="H638" s="2"/>
      <c r="I638" s="5"/>
    </row>
    <row r="639" spans="1:9" ht="17.399999999999999" x14ac:dyDescent="0.25">
      <c r="A639" s="16"/>
      <c r="B639" s="17"/>
      <c r="C639" s="2"/>
      <c r="D639" s="2"/>
      <c r="E639" s="2"/>
      <c r="F639" s="2"/>
      <c r="G639" s="2"/>
      <c r="H639" s="2"/>
      <c r="I639" s="5"/>
    </row>
    <row r="640" spans="1:9" ht="17.399999999999999" x14ac:dyDescent="0.25">
      <c r="A640" s="16"/>
      <c r="B640" s="17"/>
      <c r="C640" s="2"/>
      <c r="D640" s="2"/>
      <c r="E640" s="2"/>
      <c r="F640" s="2"/>
      <c r="G640" s="2"/>
      <c r="H640" s="2"/>
      <c r="I640" s="5"/>
    </row>
    <row r="641" spans="1:9" ht="17.399999999999999" x14ac:dyDescent="0.25">
      <c r="A641" s="16"/>
      <c r="B641" s="17"/>
      <c r="C641" s="2"/>
      <c r="D641" s="2"/>
      <c r="E641" s="2"/>
      <c r="F641" s="2"/>
      <c r="G641" s="2"/>
      <c r="H641" s="2"/>
      <c r="I641" s="5"/>
    </row>
    <row r="642" spans="1:9" ht="17.399999999999999" x14ac:dyDescent="0.25">
      <c r="A642" s="16"/>
      <c r="B642" s="17"/>
      <c r="C642" s="2"/>
      <c r="D642" s="2"/>
      <c r="E642" s="2"/>
      <c r="F642" s="2"/>
      <c r="G642" s="2"/>
      <c r="H642" s="2"/>
      <c r="I642" s="5"/>
    </row>
    <row r="643" spans="1:9" ht="17.399999999999999" x14ac:dyDescent="0.25">
      <c r="A643" s="16"/>
      <c r="B643" s="17"/>
      <c r="C643" s="2"/>
      <c r="D643" s="2"/>
      <c r="E643" s="2"/>
      <c r="F643" s="2"/>
      <c r="G643" s="2"/>
      <c r="H643" s="2"/>
      <c r="I643" s="5"/>
    </row>
    <row r="644" spans="1:9" ht="17.399999999999999" x14ac:dyDescent="0.25">
      <c r="A644" s="16"/>
      <c r="B644" s="17"/>
      <c r="C644" s="2"/>
      <c r="D644" s="2"/>
      <c r="E644" s="2"/>
      <c r="F644" s="2"/>
      <c r="G644" s="2"/>
      <c r="H644" s="2"/>
      <c r="I644" s="5"/>
    </row>
    <row r="645" spans="1:9" ht="17.399999999999999" x14ac:dyDescent="0.25">
      <c r="A645" s="16"/>
      <c r="B645" s="17"/>
      <c r="C645" s="2"/>
      <c r="D645" s="2"/>
      <c r="E645" s="2"/>
      <c r="F645" s="2"/>
      <c r="G645" s="2"/>
      <c r="H645" s="2"/>
      <c r="I645" s="5"/>
    </row>
    <row r="646" spans="1:9" ht="17.399999999999999" x14ac:dyDescent="0.25">
      <c r="A646" s="16"/>
      <c r="B646" s="17"/>
      <c r="C646" s="2"/>
      <c r="D646" s="2"/>
      <c r="E646" s="2"/>
      <c r="F646" s="2"/>
      <c r="G646" s="2"/>
      <c r="H646" s="2"/>
      <c r="I646" s="5"/>
    </row>
    <row r="647" spans="1:9" ht="17.399999999999999" x14ac:dyDescent="0.25">
      <c r="A647" s="16"/>
      <c r="B647" s="17"/>
      <c r="C647" s="2"/>
      <c r="D647" s="2"/>
      <c r="E647" s="2"/>
      <c r="F647" s="2"/>
      <c r="G647" s="2"/>
      <c r="H647" s="2"/>
      <c r="I647" s="5"/>
    </row>
    <row r="648" spans="1:9" ht="17.399999999999999" x14ac:dyDescent="0.25">
      <c r="A648" s="16"/>
      <c r="B648" s="17"/>
      <c r="C648" s="2"/>
      <c r="D648" s="2"/>
      <c r="E648" s="2"/>
      <c r="F648" s="2"/>
      <c r="G648" s="2"/>
      <c r="H648" s="2"/>
      <c r="I648" s="5"/>
    </row>
    <row r="649" spans="1:9" ht="17.399999999999999" x14ac:dyDescent="0.25">
      <c r="A649" s="16"/>
      <c r="B649" s="17"/>
      <c r="C649" s="2"/>
      <c r="D649" s="2"/>
      <c r="E649" s="2"/>
      <c r="F649" s="2"/>
      <c r="G649" s="2"/>
      <c r="H649" s="2"/>
      <c r="I649" s="5"/>
    </row>
    <row r="650" spans="1:9" ht="17.399999999999999" x14ac:dyDescent="0.25">
      <c r="A650" s="16"/>
      <c r="B650" s="17"/>
      <c r="C650" s="2"/>
      <c r="D650" s="2"/>
      <c r="E650" s="2"/>
      <c r="F650" s="2"/>
      <c r="G650" s="2"/>
      <c r="H650" s="2"/>
      <c r="I650" s="5"/>
    </row>
    <row r="651" spans="1:9" ht="17.399999999999999" x14ac:dyDescent="0.25">
      <c r="A651" s="16"/>
      <c r="B651" s="17"/>
      <c r="C651" s="2"/>
      <c r="D651" s="2"/>
      <c r="E651" s="2"/>
      <c r="F651" s="2"/>
      <c r="G651" s="2"/>
      <c r="H651" s="2"/>
      <c r="I651" s="5"/>
    </row>
    <row r="652" spans="1:9" ht="17.399999999999999" x14ac:dyDescent="0.25">
      <c r="A652" s="16"/>
      <c r="B652" s="17"/>
      <c r="C652" s="2"/>
      <c r="D652" s="2"/>
      <c r="E652" s="2"/>
      <c r="F652" s="2"/>
      <c r="G652" s="2"/>
      <c r="H652" s="2"/>
      <c r="I652" s="5"/>
    </row>
    <row r="653" spans="1:9" ht="17.399999999999999" x14ac:dyDescent="0.25">
      <c r="A653" s="16"/>
      <c r="B653" s="17"/>
      <c r="C653" s="2"/>
      <c r="D653" s="2"/>
      <c r="E653" s="2"/>
      <c r="F653" s="2"/>
      <c r="G653" s="2"/>
      <c r="H653" s="2"/>
      <c r="I653" s="5"/>
    </row>
    <row r="654" spans="1:9" ht="17.399999999999999" x14ac:dyDescent="0.25">
      <c r="A654" s="16"/>
      <c r="B654" s="17"/>
      <c r="C654" s="2"/>
      <c r="D654" s="2"/>
      <c r="E654" s="2"/>
      <c r="F654" s="2"/>
      <c r="G654" s="2"/>
      <c r="H654" s="2"/>
      <c r="I654" s="5"/>
    </row>
    <row r="655" spans="1:9" ht="17.399999999999999" x14ac:dyDescent="0.25">
      <c r="A655" s="16"/>
      <c r="B655" s="17"/>
      <c r="C655" s="2"/>
      <c r="D655" s="2"/>
      <c r="E655" s="2"/>
      <c r="F655" s="2"/>
      <c r="G655" s="2"/>
      <c r="H655" s="2"/>
      <c r="I655" s="5"/>
    </row>
    <row r="656" spans="1:9" ht="17.399999999999999" x14ac:dyDescent="0.25">
      <c r="A656" s="16"/>
      <c r="B656" s="17"/>
      <c r="C656" s="2"/>
      <c r="D656" s="2"/>
      <c r="E656" s="2"/>
      <c r="F656" s="2"/>
      <c r="G656" s="2"/>
      <c r="H656" s="2"/>
      <c r="I656" s="5"/>
    </row>
    <row r="657" spans="1:9" ht="17.399999999999999" x14ac:dyDescent="0.25">
      <c r="A657" s="16"/>
      <c r="B657" s="17"/>
      <c r="C657" s="2"/>
      <c r="D657" s="2"/>
      <c r="E657" s="2"/>
      <c r="F657" s="2"/>
      <c r="G657" s="2"/>
      <c r="H657" s="2"/>
      <c r="I657" s="5"/>
    </row>
    <row r="658" spans="1:9" ht="17.399999999999999" x14ac:dyDescent="0.25">
      <c r="A658" s="16"/>
      <c r="B658" s="17"/>
      <c r="C658" s="2"/>
      <c r="D658" s="2"/>
      <c r="E658" s="2"/>
      <c r="F658" s="2"/>
      <c r="G658" s="2"/>
      <c r="H658" s="2"/>
      <c r="I658" s="5"/>
    </row>
    <row r="659" spans="1:9" ht="17.399999999999999" x14ac:dyDescent="0.25">
      <c r="A659" s="16"/>
      <c r="B659" s="17"/>
      <c r="C659" s="2"/>
      <c r="D659" s="2"/>
      <c r="E659" s="2"/>
      <c r="F659" s="2"/>
      <c r="G659" s="2"/>
      <c r="H659" s="2"/>
      <c r="I659" s="5"/>
    </row>
    <row r="660" spans="1:9" ht="17.399999999999999" x14ac:dyDescent="0.25">
      <c r="A660" s="16"/>
      <c r="B660" s="17"/>
      <c r="C660" s="2"/>
      <c r="D660" s="2"/>
      <c r="E660" s="2"/>
      <c r="F660" s="2"/>
      <c r="G660" s="2"/>
      <c r="H660" s="2"/>
      <c r="I660" s="5"/>
    </row>
    <row r="661" spans="1:9" ht="17.399999999999999" x14ac:dyDescent="0.25">
      <c r="A661" s="16"/>
      <c r="B661" s="17"/>
      <c r="C661" s="2"/>
      <c r="D661" s="2"/>
      <c r="E661" s="2"/>
      <c r="F661" s="2"/>
      <c r="G661" s="2"/>
      <c r="H661" s="2"/>
      <c r="I661" s="5"/>
    </row>
    <row r="662" spans="1:9" ht="17.399999999999999" x14ac:dyDescent="0.25">
      <c r="A662" s="16"/>
      <c r="B662" s="17"/>
      <c r="C662" s="2"/>
      <c r="D662" s="2"/>
      <c r="E662" s="2"/>
      <c r="F662" s="2"/>
      <c r="G662" s="2"/>
      <c r="H662" s="2"/>
      <c r="I662" s="5"/>
    </row>
    <row r="663" spans="1:9" ht="17.399999999999999" x14ac:dyDescent="0.25">
      <c r="A663" s="16"/>
      <c r="B663" s="17"/>
      <c r="C663" s="2"/>
      <c r="D663" s="2"/>
      <c r="E663" s="2"/>
      <c r="F663" s="2"/>
      <c r="G663" s="2"/>
      <c r="H663" s="2"/>
      <c r="I663" s="5"/>
    </row>
    <row r="664" spans="1:9" ht="17.399999999999999" x14ac:dyDescent="0.25">
      <c r="A664" s="16"/>
      <c r="B664" s="17"/>
      <c r="C664" s="2"/>
      <c r="D664" s="2"/>
      <c r="E664" s="2"/>
      <c r="F664" s="2"/>
      <c r="G664" s="2"/>
      <c r="H664" s="2"/>
      <c r="I664" s="5"/>
    </row>
    <row r="665" spans="1:9" ht="17.399999999999999" x14ac:dyDescent="0.25">
      <c r="A665" s="16"/>
      <c r="B665" s="17"/>
      <c r="C665" s="2"/>
      <c r="D665" s="2"/>
      <c r="E665" s="2"/>
      <c r="F665" s="2"/>
      <c r="G665" s="2"/>
      <c r="H665" s="2"/>
      <c r="I665" s="5"/>
    </row>
    <row r="666" spans="1:9" ht="17.399999999999999" x14ac:dyDescent="0.25">
      <c r="A666" s="16"/>
      <c r="B666" s="17"/>
      <c r="C666" s="2"/>
      <c r="D666" s="2"/>
      <c r="E666" s="2"/>
      <c r="F666" s="2"/>
      <c r="G666" s="2"/>
      <c r="H666" s="2"/>
      <c r="I666" s="5"/>
    </row>
    <row r="667" spans="1:9" ht="17.399999999999999" x14ac:dyDescent="0.25">
      <c r="A667" s="16"/>
      <c r="B667" s="17"/>
      <c r="C667" s="2"/>
      <c r="D667" s="2"/>
      <c r="E667" s="2"/>
      <c r="F667" s="2"/>
      <c r="G667" s="2"/>
      <c r="H667" s="2"/>
      <c r="I667" s="5"/>
    </row>
    <row r="668" spans="1:9" ht="17.399999999999999" x14ac:dyDescent="0.25">
      <c r="A668" s="16"/>
      <c r="B668" s="17"/>
      <c r="C668" s="2"/>
      <c r="D668" s="2"/>
      <c r="E668" s="2"/>
      <c r="F668" s="2"/>
      <c r="G668" s="2"/>
      <c r="H668" s="2"/>
      <c r="I668" s="5"/>
    </row>
    <row r="669" spans="1:9" ht="17.399999999999999" x14ac:dyDescent="0.25">
      <c r="A669" s="16"/>
      <c r="B669" s="17"/>
      <c r="C669" s="2"/>
      <c r="D669" s="2"/>
      <c r="E669" s="2"/>
      <c r="F669" s="2"/>
      <c r="G669" s="2"/>
      <c r="H669" s="2"/>
      <c r="I669" s="5"/>
    </row>
    <row r="670" spans="1:9" ht="17.399999999999999" x14ac:dyDescent="0.25">
      <c r="A670" s="16"/>
      <c r="B670" s="17"/>
      <c r="C670" s="2"/>
      <c r="D670" s="2"/>
      <c r="E670" s="2"/>
      <c r="F670" s="2"/>
      <c r="G670" s="2"/>
      <c r="H670" s="2"/>
      <c r="I670" s="5"/>
    </row>
    <row r="671" spans="1:9" ht="17.399999999999999" x14ac:dyDescent="0.25">
      <c r="A671" s="16"/>
      <c r="B671" s="17"/>
      <c r="C671" s="2"/>
      <c r="D671" s="2"/>
      <c r="E671" s="2"/>
      <c r="F671" s="2"/>
      <c r="G671" s="2"/>
      <c r="H671" s="2"/>
      <c r="I671" s="5"/>
    </row>
    <row r="672" spans="1:9" ht="17.399999999999999" x14ac:dyDescent="0.25">
      <c r="A672" s="16"/>
      <c r="B672" s="17"/>
      <c r="C672" s="2"/>
      <c r="D672" s="2"/>
      <c r="E672" s="2"/>
      <c r="F672" s="2"/>
      <c r="G672" s="2"/>
      <c r="H672" s="2"/>
      <c r="I672" s="5"/>
    </row>
    <row r="673" spans="1:9" ht="17.399999999999999" x14ac:dyDescent="0.25">
      <c r="A673" s="16"/>
      <c r="B673" s="17"/>
      <c r="C673" s="2"/>
      <c r="D673" s="2"/>
      <c r="E673" s="2"/>
      <c r="F673" s="2"/>
      <c r="G673" s="2"/>
      <c r="H673" s="2"/>
      <c r="I673" s="5"/>
    </row>
    <row r="674" spans="1:9" ht="17.399999999999999" x14ac:dyDescent="0.25">
      <c r="A674" s="16"/>
      <c r="B674" s="17"/>
      <c r="C674" s="2"/>
      <c r="D674" s="2"/>
      <c r="E674" s="2"/>
      <c r="F674" s="2"/>
      <c r="G674" s="2"/>
      <c r="H674" s="2"/>
      <c r="I674" s="5"/>
    </row>
    <row r="675" spans="1:9" ht="17.399999999999999" x14ac:dyDescent="0.25">
      <c r="A675" s="16"/>
      <c r="B675" s="17"/>
      <c r="C675" s="2"/>
      <c r="D675" s="2"/>
      <c r="E675" s="2"/>
      <c r="F675" s="2"/>
      <c r="G675" s="2"/>
      <c r="H675" s="2"/>
      <c r="I675" s="5"/>
    </row>
    <row r="676" spans="1:9" ht="17.399999999999999" x14ac:dyDescent="0.25">
      <c r="A676" s="16"/>
      <c r="B676" s="17"/>
      <c r="C676" s="2"/>
      <c r="D676" s="2"/>
      <c r="E676" s="2"/>
      <c r="F676" s="2"/>
      <c r="G676" s="2"/>
      <c r="H676" s="2"/>
      <c r="I676" s="5"/>
    </row>
    <row r="677" spans="1:9" ht="17.399999999999999" x14ac:dyDescent="0.25">
      <c r="A677" s="16"/>
      <c r="B677" s="17"/>
      <c r="C677" s="2"/>
      <c r="D677" s="2"/>
      <c r="E677" s="2"/>
      <c r="F677" s="2"/>
      <c r="G677" s="2"/>
      <c r="H677" s="2"/>
      <c r="I677" s="5"/>
    </row>
    <row r="678" spans="1:9" ht="17.399999999999999" x14ac:dyDescent="0.25">
      <c r="A678" s="16"/>
      <c r="B678" s="17"/>
      <c r="C678" s="2"/>
      <c r="D678" s="2"/>
      <c r="E678" s="2"/>
      <c r="F678" s="2"/>
      <c r="G678" s="2"/>
      <c r="H678" s="2"/>
      <c r="I678" s="5"/>
    </row>
    <row r="679" spans="1:9" ht="17.399999999999999" x14ac:dyDescent="0.25">
      <c r="A679" s="16"/>
      <c r="B679" s="17"/>
      <c r="C679" s="2"/>
      <c r="D679" s="2"/>
      <c r="E679" s="2"/>
      <c r="F679" s="2"/>
      <c r="G679" s="2"/>
      <c r="H679" s="2"/>
      <c r="I679" s="5"/>
    </row>
    <row r="680" spans="1:9" ht="17.399999999999999" x14ac:dyDescent="0.25">
      <c r="A680" s="16"/>
      <c r="B680" s="17"/>
      <c r="C680" s="2"/>
      <c r="D680" s="2"/>
      <c r="E680" s="2"/>
      <c r="F680" s="2"/>
      <c r="G680" s="2"/>
      <c r="H680" s="2"/>
      <c r="I680" s="5"/>
    </row>
    <row r="681" spans="1:9" ht="17.399999999999999" x14ac:dyDescent="0.25">
      <c r="A681" s="16"/>
      <c r="B681" s="17"/>
      <c r="C681" s="2"/>
      <c r="D681" s="2"/>
      <c r="E681" s="2"/>
      <c r="F681" s="2"/>
      <c r="G681" s="2"/>
      <c r="H681" s="2"/>
      <c r="I681" s="5"/>
    </row>
    <row r="682" spans="1:9" ht="17.399999999999999" x14ac:dyDescent="0.25">
      <c r="A682" s="16"/>
      <c r="B682" s="17"/>
      <c r="C682" s="2"/>
      <c r="D682" s="2"/>
      <c r="E682" s="2"/>
      <c r="F682" s="2"/>
      <c r="G682" s="2"/>
      <c r="H682" s="2"/>
      <c r="I682" s="5"/>
    </row>
    <row r="683" spans="1:9" ht="17.399999999999999" x14ac:dyDescent="0.25">
      <c r="A683" s="16"/>
      <c r="B683" s="17"/>
      <c r="C683" s="2"/>
      <c r="D683" s="2"/>
      <c r="E683" s="2"/>
      <c r="F683" s="2"/>
      <c r="G683" s="2"/>
      <c r="H683" s="2"/>
      <c r="I683" s="5"/>
    </row>
    <row r="684" spans="1:9" ht="17.399999999999999" x14ac:dyDescent="0.25">
      <c r="A684" s="16"/>
      <c r="B684" s="17"/>
      <c r="C684" s="2"/>
      <c r="D684" s="2"/>
      <c r="E684" s="2"/>
      <c r="F684" s="2"/>
      <c r="G684" s="2"/>
      <c r="H684" s="2"/>
      <c r="I684" s="5"/>
    </row>
    <row r="685" spans="1:9" ht="17.399999999999999" x14ac:dyDescent="0.25">
      <c r="A685" s="16"/>
      <c r="B685" s="17"/>
      <c r="C685" s="2"/>
      <c r="D685" s="2"/>
      <c r="E685" s="2"/>
      <c r="F685" s="2"/>
      <c r="G685" s="2"/>
      <c r="H685" s="2"/>
      <c r="I685" s="5"/>
    </row>
    <row r="686" spans="1:9" ht="17.399999999999999" x14ac:dyDescent="0.25">
      <c r="A686" s="16"/>
      <c r="B686" s="17"/>
      <c r="C686" s="2"/>
      <c r="D686" s="2"/>
      <c r="E686" s="2"/>
      <c r="F686" s="2"/>
      <c r="G686" s="2"/>
      <c r="H686" s="2"/>
      <c r="I686" s="5"/>
    </row>
    <row r="687" spans="1:9" ht="17.399999999999999" x14ac:dyDescent="0.25">
      <c r="A687" s="16"/>
      <c r="B687" s="17"/>
      <c r="C687" s="2"/>
      <c r="D687" s="2"/>
      <c r="E687" s="2"/>
      <c r="F687" s="2"/>
      <c r="G687" s="2"/>
      <c r="H687" s="2"/>
      <c r="I687" s="5"/>
    </row>
    <row r="688" spans="1:9" ht="17.399999999999999" x14ac:dyDescent="0.25">
      <c r="A688" s="16"/>
      <c r="B688" s="17"/>
      <c r="C688" s="2"/>
      <c r="D688" s="2"/>
      <c r="E688" s="2"/>
      <c r="F688" s="2"/>
      <c r="G688" s="2"/>
      <c r="H688" s="2"/>
      <c r="I688" s="5"/>
    </row>
    <row r="689" spans="1:9" ht="17.399999999999999" x14ac:dyDescent="0.25">
      <c r="A689" s="16"/>
      <c r="B689" s="17"/>
      <c r="C689" s="2"/>
      <c r="D689" s="2"/>
      <c r="E689" s="2"/>
      <c r="F689" s="2"/>
      <c r="G689" s="2"/>
      <c r="H689" s="2"/>
      <c r="I689" s="5"/>
    </row>
    <row r="690" spans="1:9" ht="17.399999999999999" x14ac:dyDescent="0.25">
      <c r="A690" s="16"/>
      <c r="B690" s="17"/>
      <c r="C690" s="2"/>
      <c r="D690" s="2"/>
      <c r="E690" s="2"/>
      <c r="F690" s="2"/>
      <c r="G690" s="2"/>
      <c r="H690" s="2"/>
      <c r="I690" s="5"/>
    </row>
    <row r="691" spans="1:9" ht="17.399999999999999" x14ac:dyDescent="0.25">
      <c r="A691" s="16"/>
      <c r="B691" s="17"/>
      <c r="C691" s="2"/>
      <c r="D691" s="2"/>
      <c r="E691" s="2"/>
      <c r="F691" s="2"/>
      <c r="G691" s="2"/>
      <c r="H691" s="2"/>
      <c r="I691" s="5"/>
    </row>
    <row r="692" spans="1:9" ht="17.399999999999999" x14ac:dyDescent="0.25">
      <c r="A692" s="16"/>
      <c r="B692" s="17"/>
      <c r="C692" s="2"/>
      <c r="D692" s="2"/>
      <c r="E692" s="2"/>
      <c r="F692" s="2"/>
      <c r="G692" s="2"/>
      <c r="H692" s="2"/>
      <c r="I692" s="5"/>
    </row>
    <row r="693" spans="1:9" ht="17.399999999999999" x14ac:dyDescent="0.25">
      <c r="A693" s="16"/>
      <c r="B693" s="17"/>
      <c r="C693" s="2"/>
      <c r="D693" s="2"/>
      <c r="E693" s="2"/>
      <c r="F693" s="2"/>
      <c r="G693" s="2"/>
      <c r="H693" s="2"/>
      <c r="I693" s="5"/>
    </row>
    <row r="694" spans="1:9" ht="17.399999999999999" x14ac:dyDescent="0.25">
      <c r="A694" s="16"/>
      <c r="B694" s="17"/>
      <c r="C694" s="2"/>
      <c r="D694" s="2"/>
      <c r="E694" s="2"/>
      <c r="F694" s="2"/>
      <c r="G694" s="2"/>
      <c r="H694" s="2"/>
      <c r="I694" s="5"/>
    </row>
    <row r="695" spans="1:9" ht="17.399999999999999" x14ac:dyDescent="0.25">
      <c r="A695" s="16"/>
      <c r="B695" s="17"/>
      <c r="C695" s="2"/>
      <c r="D695" s="2"/>
      <c r="E695" s="2"/>
      <c r="F695" s="2"/>
      <c r="G695" s="2"/>
      <c r="H695" s="2"/>
      <c r="I695" s="5"/>
    </row>
    <row r="696" spans="1:9" ht="17.399999999999999" x14ac:dyDescent="0.25">
      <c r="A696" s="16"/>
      <c r="B696" s="17"/>
      <c r="C696" s="2"/>
      <c r="D696" s="2"/>
      <c r="E696" s="2"/>
      <c r="F696" s="2"/>
      <c r="G696" s="2"/>
      <c r="H696" s="2"/>
      <c r="I696" s="5"/>
    </row>
    <row r="697" spans="1:9" ht="17.399999999999999" x14ac:dyDescent="0.25">
      <c r="A697" s="16"/>
      <c r="B697" s="17"/>
      <c r="C697" s="2"/>
      <c r="D697" s="2"/>
      <c r="E697" s="2"/>
      <c r="F697" s="2"/>
      <c r="G697" s="2"/>
      <c r="H697" s="2"/>
      <c r="I697" s="5"/>
    </row>
    <row r="698" spans="1:9" ht="17.399999999999999" x14ac:dyDescent="0.25">
      <c r="A698" s="16"/>
      <c r="B698" s="17"/>
      <c r="C698" s="2"/>
      <c r="D698" s="2"/>
      <c r="E698" s="2"/>
      <c r="F698" s="2"/>
      <c r="G698" s="2"/>
      <c r="H698" s="2"/>
      <c r="I698" s="5"/>
    </row>
    <row r="699" spans="1:9" ht="17.399999999999999" x14ac:dyDescent="0.25">
      <c r="A699" s="16"/>
      <c r="B699" s="17"/>
      <c r="C699" s="2"/>
      <c r="D699" s="2"/>
      <c r="E699" s="2"/>
      <c r="F699" s="2"/>
      <c r="G699" s="2"/>
      <c r="H699" s="2"/>
      <c r="I699" s="5"/>
    </row>
    <row r="700" spans="1:9" ht="17.399999999999999" x14ac:dyDescent="0.25">
      <c r="A700" s="16"/>
      <c r="B700" s="17"/>
      <c r="C700" s="2"/>
      <c r="D700" s="2"/>
      <c r="E700" s="2"/>
      <c r="F700" s="2"/>
      <c r="G700" s="2"/>
      <c r="H700" s="2"/>
      <c r="I700" s="5"/>
    </row>
    <row r="701" spans="1:9" ht="17.399999999999999" x14ac:dyDescent="0.25">
      <c r="A701" s="16"/>
      <c r="B701" s="17"/>
      <c r="C701" s="2"/>
      <c r="D701" s="2"/>
      <c r="E701" s="2"/>
      <c r="F701" s="2"/>
      <c r="G701" s="2"/>
      <c r="H701" s="2"/>
      <c r="I701" s="5"/>
    </row>
    <row r="702" spans="1:9" ht="17.399999999999999" x14ac:dyDescent="0.25">
      <c r="A702" s="16"/>
      <c r="B702" s="17"/>
      <c r="C702" s="2"/>
      <c r="D702" s="2"/>
      <c r="E702" s="2"/>
      <c r="F702" s="2"/>
      <c r="G702" s="2"/>
      <c r="H702" s="2"/>
      <c r="I702" s="5"/>
    </row>
    <row r="703" spans="1:9" ht="17.399999999999999" x14ac:dyDescent="0.25">
      <c r="A703" s="16"/>
      <c r="B703" s="17"/>
      <c r="C703" s="2"/>
      <c r="D703" s="2"/>
      <c r="E703" s="2"/>
      <c r="F703" s="2"/>
      <c r="G703" s="2"/>
      <c r="H703" s="2"/>
      <c r="I703" s="5"/>
    </row>
    <row r="704" spans="1:9" ht="17.399999999999999" x14ac:dyDescent="0.25">
      <c r="A704" s="16"/>
      <c r="B704" s="17"/>
      <c r="C704" s="2"/>
      <c r="D704" s="2"/>
      <c r="E704" s="2"/>
      <c r="F704" s="2"/>
      <c r="G704" s="2"/>
      <c r="H704" s="2"/>
      <c r="I704" s="5"/>
    </row>
    <row r="705" spans="1:9" ht="17.399999999999999" x14ac:dyDescent="0.25">
      <c r="A705" s="16"/>
      <c r="B705" s="17"/>
      <c r="C705" s="2"/>
      <c r="D705" s="2"/>
      <c r="E705" s="2"/>
      <c r="F705" s="2"/>
      <c r="G705" s="2"/>
      <c r="H705" s="2"/>
      <c r="I705" s="5"/>
    </row>
    <row r="706" spans="1:9" ht="17.399999999999999" x14ac:dyDescent="0.25">
      <c r="A706" s="16"/>
      <c r="B706" s="17"/>
      <c r="C706" s="2"/>
      <c r="D706" s="2"/>
      <c r="E706" s="2"/>
      <c r="F706" s="2"/>
      <c r="G706" s="2"/>
      <c r="H706" s="2"/>
      <c r="I706" s="5"/>
    </row>
    <row r="707" spans="1:9" ht="17.399999999999999" x14ac:dyDescent="0.25">
      <c r="A707" s="16"/>
      <c r="B707" s="17"/>
      <c r="C707" s="2"/>
      <c r="D707" s="2"/>
      <c r="E707" s="2"/>
      <c r="F707" s="2"/>
      <c r="G707" s="2"/>
      <c r="H707" s="2"/>
      <c r="I707" s="5"/>
    </row>
    <row r="708" spans="1:9" ht="17.399999999999999" x14ac:dyDescent="0.25">
      <c r="A708" s="16"/>
      <c r="B708" s="17"/>
      <c r="C708" s="2"/>
      <c r="D708" s="2"/>
      <c r="E708" s="2"/>
      <c r="F708" s="2"/>
      <c r="G708" s="2"/>
      <c r="H708" s="2"/>
      <c r="I708" s="5"/>
    </row>
    <row r="709" spans="1:9" ht="17.399999999999999" x14ac:dyDescent="0.25">
      <c r="A709" s="16"/>
      <c r="B709" s="17"/>
      <c r="C709" s="2"/>
      <c r="D709" s="2"/>
      <c r="E709" s="2"/>
      <c r="F709" s="2"/>
      <c r="G709" s="2"/>
      <c r="H709" s="2"/>
      <c r="I709" s="5"/>
    </row>
    <row r="710" spans="1:9" ht="17.399999999999999" x14ac:dyDescent="0.25">
      <c r="A710" s="16"/>
      <c r="B710" s="17"/>
      <c r="C710" s="2"/>
      <c r="D710" s="2"/>
      <c r="E710" s="2"/>
      <c r="F710" s="2"/>
      <c r="G710" s="2"/>
      <c r="H710" s="2"/>
      <c r="I710" s="5"/>
    </row>
    <row r="711" spans="1:9" ht="17.399999999999999" x14ac:dyDescent="0.25">
      <c r="A711" s="16"/>
      <c r="B711" s="17"/>
      <c r="C711" s="2"/>
      <c r="D711" s="2"/>
      <c r="E711" s="2"/>
      <c r="F711" s="2"/>
      <c r="G711" s="2"/>
      <c r="H711" s="2"/>
      <c r="I711" s="5"/>
    </row>
    <row r="712" spans="1:9" ht="17.399999999999999" x14ac:dyDescent="0.25">
      <c r="A712" s="16"/>
      <c r="B712" s="17"/>
      <c r="C712" s="2"/>
      <c r="D712" s="2"/>
      <c r="E712" s="2"/>
      <c r="F712" s="2"/>
      <c r="G712" s="2"/>
      <c r="H712" s="2"/>
      <c r="I712" s="5"/>
    </row>
    <row r="713" spans="1:9" ht="17.399999999999999" x14ac:dyDescent="0.25">
      <c r="A713" s="16"/>
      <c r="B713" s="17"/>
      <c r="C713" s="2"/>
      <c r="D713" s="2"/>
      <c r="E713" s="2"/>
      <c r="F713" s="2"/>
      <c r="G713" s="2"/>
      <c r="H713" s="2"/>
      <c r="I713" s="5"/>
    </row>
    <row r="714" spans="1:9" ht="17.399999999999999" x14ac:dyDescent="0.25">
      <c r="A714" s="16"/>
      <c r="B714" s="17"/>
      <c r="C714" s="2"/>
      <c r="D714" s="2"/>
      <c r="E714" s="2"/>
      <c r="F714" s="2"/>
      <c r="G714" s="2"/>
      <c r="H714" s="2"/>
      <c r="I714" s="5"/>
    </row>
    <row r="715" spans="1:9" ht="17.399999999999999" x14ac:dyDescent="0.25">
      <c r="A715" s="16"/>
      <c r="B715" s="17"/>
      <c r="C715" s="2"/>
      <c r="D715" s="2"/>
      <c r="E715" s="2"/>
      <c r="F715" s="2"/>
      <c r="G715" s="2"/>
      <c r="H715" s="2"/>
      <c r="I715" s="5"/>
    </row>
    <row r="716" spans="1:9" ht="17.399999999999999" x14ac:dyDescent="0.25">
      <c r="A716" s="16"/>
      <c r="B716" s="17"/>
      <c r="C716" s="2"/>
      <c r="D716" s="2"/>
      <c r="E716" s="2"/>
      <c r="F716" s="2"/>
      <c r="G716" s="2"/>
      <c r="H716" s="2"/>
      <c r="I716" s="5"/>
    </row>
    <row r="717" spans="1:9" ht="17.399999999999999" x14ac:dyDescent="0.25">
      <c r="A717" s="16"/>
      <c r="B717" s="17"/>
      <c r="C717" s="2"/>
      <c r="D717" s="2"/>
      <c r="E717" s="2"/>
      <c r="F717" s="2"/>
      <c r="G717" s="2"/>
      <c r="H717" s="2"/>
      <c r="I717" s="5"/>
    </row>
    <row r="718" spans="1:9" ht="17.399999999999999" x14ac:dyDescent="0.25">
      <c r="A718" s="16"/>
      <c r="B718" s="17"/>
      <c r="C718" s="2"/>
      <c r="D718" s="2"/>
      <c r="E718" s="2"/>
      <c r="F718" s="2"/>
      <c r="G718" s="2"/>
      <c r="H718" s="2"/>
      <c r="I718" s="5"/>
    </row>
    <row r="719" spans="1:9" ht="17.399999999999999" x14ac:dyDescent="0.25">
      <c r="A719" s="16"/>
      <c r="B719" s="17"/>
      <c r="C719" s="2"/>
      <c r="D719" s="2"/>
      <c r="E719" s="2"/>
      <c r="F719" s="2"/>
      <c r="G719" s="2"/>
      <c r="H719" s="2"/>
      <c r="I719" s="5"/>
    </row>
    <row r="720" spans="1:9" ht="17.399999999999999" x14ac:dyDescent="0.25">
      <c r="A720" s="16"/>
      <c r="B720" s="17"/>
      <c r="C720" s="2"/>
      <c r="D720" s="2"/>
      <c r="E720" s="2"/>
      <c r="F720" s="2"/>
      <c r="G720" s="2"/>
      <c r="H720" s="2"/>
      <c r="I720" s="5"/>
    </row>
    <row r="721" spans="1:9" ht="17.399999999999999" x14ac:dyDescent="0.25">
      <c r="A721" s="16"/>
      <c r="B721" s="17"/>
      <c r="C721" s="2"/>
      <c r="D721" s="2"/>
      <c r="E721" s="2"/>
      <c r="F721" s="2"/>
      <c r="G721" s="2"/>
      <c r="H721" s="2"/>
      <c r="I721" s="5"/>
    </row>
    <row r="722" spans="1:9" ht="17.399999999999999" x14ac:dyDescent="0.25">
      <c r="A722" s="16"/>
      <c r="B722" s="17"/>
      <c r="C722" s="2"/>
      <c r="D722" s="2"/>
      <c r="E722" s="2"/>
      <c r="F722" s="2"/>
      <c r="G722" s="2"/>
      <c r="H722" s="2"/>
      <c r="I722" s="5"/>
    </row>
    <row r="723" spans="1:9" ht="17.399999999999999" x14ac:dyDescent="0.25">
      <c r="A723" s="16"/>
      <c r="B723" s="17"/>
      <c r="C723" s="2"/>
      <c r="D723" s="2"/>
      <c r="E723" s="2"/>
      <c r="F723" s="2"/>
      <c r="G723" s="2"/>
      <c r="H723" s="2"/>
      <c r="I723" s="5"/>
    </row>
    <row r="724" spans="1:9" ht="17.399999999999999" x14ac:dyDescent="0.25">
      <c r="A724" s="16"/>
      <c r="B724" s="17"/>
      <c r="C724" s="2"/>
      <c r="D724" s="2"/>
      <c r="E724" s="2"/>
      <c r="F724" s="2"/>
      <c r="G724" s="2"/>
      <c r="H724" s="2"/>
      <c r="I724" s="5"/>
    </row>
    <row r="725" spans="1:9" ht="17.399999999999999" x14ac:dyDescent="0.25">
      <c r="A725" s="16"/>
      <c r="B725" s="17"/>
      <c r="C725" s="2"/>
      <c r="D725" s="2"/>
      <c r="E725" s="2"/>
      <c r="F725" s="2"/>
      <c r="G725" s="2"/>
      <c r="H725" s="2"/>
      <c r="I725" s="5"/>
    </row>
    <row r="726" spans="1:9" ht="17.399999999999999" x14ac:dyDescent="0.25">
      <c r="A726" s="16"/>
      <c r="B726" s="17"/>
      <c r="C726" s="2"/>
      <c r="D726" s="2"/>
      <c r="E726" s="2"/>
      <c r="F726" s="2"/>
      <c r="G726" s="2"/>
      <c r="H726" s="2"/>
      <c r="I726" s="5"/>
    </row>
    <row r="727" spans="1:9" ht="17.399999999999999" x14ac:dyDescent="0.25">
      <c r="A727" s="16"/>
      <c r="B727" s="17"/>
      <c r="C727" s="2"/>
      <c r="D727" s="2"/>
      <c r="E727" s="2"/>
      <c r="F727" s="2"/>
      <c r="G727" s="2"/>
      <c r="H727" s="2"/>
      <c r="I727" s="5"/>
    </row>
    <row r="728" spans="1:9" ht="17.399999999999999" x14ac:dyDescent="0.25">
      <c r="A728" s="16"/>
      <c r="B728" s="17"/>
      <c r="C728" s="2"/>
      <c r="D728" s="2"/>
      <c r="E728" s="2"/>
      <c r="F728" s="2"/>
      <c r="G728" s="2"/>
      <c r="H728" s="2"/>
      <c r="I728" s="5"/>
    </row>
    <row r="729" spans="1:9" ht="17.399999999999999" x14ac:dyDescent="0.25">
      <c r="A729" s="16"/>
      <c r="B729" s="17"/>
      <c r="C729" s="2"/>
      <c r="D729" s="2"/>
      <c r="E729" s="2"/>
      <c r="F729" s="2"/>
      <c r="G729" s="2"/>
      <c r="H729" s="2"/>
      <c r="I729" s="5"/>
    </row>
    <row r="730" spans="1:9" ht="17.399999999999999" x14ac:dyDescent="0.25">
      <c r="A730" s="16"/>
      <c r="B730" s="17"/>
      <c r="C730" s="2"/>
      <c r="D730" s="2"/>
      <c r="E730" s="2"/>
      <c r="F730" s="2"/>
      <c r="G730" s="2"/>
      <c r="H730" s="2"/>
      <c r="I730" s="5"/>
    </row>
    <row r="731" spans="1:9" ht="17.399999999999999" x14ac:dyDescent="0.25">
      <c r="A731" s="16"/>
      <c r="B731" s="17"/>
      <c r="C731" s="2"/>
      <c r="D731" s="2"/>
      <c r="E731" s="2"/>
      <c r="F731" s="2"/>
      <c r="G731" s="2"/>
      <c r="H731" s="2"/>
      <c r="I731" s="5"/>
    </row>
    <row r="732" spans="1:9" ht="17.399999999999999" x14ac:dyDescent="0.25">
      <c r="A732" s="16"/>
      <c r="B732" s="17"/>
      <c r="C732" s="2"/>
      <c r="D732" s="2"/>
      <c r="E732" s="2"/>
      <c r="F732" s="2"/>
      <c r="G732" s="2"/>
      <c r="H732" s="2"/>
      <c r="I732" s="5"/>
    </row>
    <row r="733" spans="1:9" ht="17.399999999999999" x14ac:dyDescent="0.25">
      <c r="A733" s="16"/>
      <c r="B733" s="17"/>
      <c r="C733" s="2"/>
      <c r="D733" s="2"/>
      <c r="E733" s="2"/>
      <c r="F733" s="2"/>
      <c r="G733" s="2"/>
      <c r="H733" s="2"/>
      <c r="I733" s="5"/>
    </row>
    <row r="734" spans="1:9" ht="17.399999999999999" x14ac:dyDescent="0.25">
      <c r="A734" s="16"/>
      <c r="B734" s="17"/>
      <c r="C734" s="2"/>
      <c r="D734" s="2"/>
      <c r="E734" s="2"/>
      <c r="F734" s="2"/>
      <c r="G734" s="2"/>
      <c r="H734" s="2"/>
      <c r="I734" s="5"/>
    </row>
    <row r="735" spans="1:9" ht="17.399999999999999" x14ac:dyDescent="0.25">
      <c r="A735" s="16"/>
      <c r="B735" s="17"/>
      <c r="C735" s="2"/>
      <c r="D735" s="2"/>
      <c r="E735" s="2"/>
      <c r="F735" s="2"/>
      <c r="G735" s="2"/>
      <c r="H735" s="2"/>
      <c r="I735" s="5"/>
    </row>
    <row r="736" spans="1:9" ht="17.399999999999999" x14ac:dyDescent="0.25">
      <c r="A736" s="16"/>
      <c r="B736" s="17"/>
      <c r="C736" s="2"/>
      <c r="D736" s="2"/>
      <c r="E736" s="2"/>
      <c r="F736" s="2"/>
      <c r="G736" s="2"/>
      <c r="H736" s="2"/>
      <c r="I736" s="5"/>
    </row>
    <row r="737" spans="1:9" ht="17.399999999999999" x14ac:dyDescent="0.25">
      <c r="A737" s="16"/>
      <c r="B737" s="17"/>
      <c r="C737" s="2"/>
      <c r="D737" s="2"/>
      <c r="E737" s="2"/>
      <c r="F737" s="2"/>
      <c r="G737" s="2"/>
      <c r="H737" s="2"/>
      <c r="I737" s="5"/>
    </row>
    <row r="738" spans="1:9" ht="17.399999999999999" x14ac:dyDescent="0.25">
      <c r="A738" s="16"/>
      <c r="B738" s="17"/>
      <c r="C738" s="2"/>
      <c r="D738" s="2"/>
      <c r="E738" s="2"/>
      <c r="F738" s="2"/>
      <c r="G738" s="2"/>
      <c r="H738" s="2"/>
      <c r="I738" s="5"/>
    </row>
    <row r="739" spans="1:9" ht="17.399999999999999" x14ac:dyDescent="0.25">
      <c r="A739" s="16"/>
      <c r="B739" s="17"/>
      <c r="C739" s="2"/>
      <c r="D739" s="2"/>
      <c r="E739" s="2"/>
      <c r="F739" s="2"/>
      <c r="G739" s="2"/>
      <c r="H739" s="2"/>
      <c r="I739" s="5"/>
    </row>
    <row r="740" spans="1:9" ht="17.399999999999999" x14ac:dyDescent="0.25">
      <c r="A740" s="16"/>
      <c r="B740" s="17"/>
      <c r="C740" s="2"/>
      <c r="D740" s="2"/>
      <c r="E740" s="2"/>
      <c r="F740" s="2"/>
      <c r="G740" s="2"/>
      <c r="H740" s="2"/>
      <c r="I740" s="5"/>
    </row>
    <row r="741" spans="1:9" ht="17.399999999999999" x14ac:dyDescent="0.25">
      <c r="A741" s="16"/>
      <c r="B741" s="17"/>
      <c r="C741" s="2"/>
      <c r="D741" s="2"/>
      <c r="E741" s="2"/>
      <c r="F741" s="2"/>
      <c r="G741" s="2"/>
      <c r="H741" s="2"/>
      <c r="I741" s="5"/>
    </row>
    <row r="742" spans="1:9" ht="17.399999999999999" x14ac:dyDescent="0.25">
      <c r="A742" s="16"/>
      <c r="B742" s="17"/>
      <c r="C742" s="2"/>
      <c r="D742" s="2"/>
      <c r="E742" s="2"/>
      <c r="F742" s="2"/>
      <c r="G742" s="2"/>
      <c r="H742" s="2"/>
      <c r="I742" s="5"/>
    </row>
    <row r="743" spans="1:9" ht="17.399999999999999" x14ac:dyDescent="0.25">
      <c r="A743" s="16"/>
      <c r="B743" s="17"/>
      <c r="C743" s="2"/>
      <c r="D743" s="2"/>
      <c r="E743" s="2"/>
      <c r="F743" s="2"/>
      <c r="G743" s="2"/>
      <c r="H743" s="2"/>
      <c r="I743" s="5"/>
    </row>
    <row r="744" spans="1:9" ht="17.399999999999999" x14ac:dyDescent="0.25">
      <c r="A744" s="16"/>
      <c r="B744" s="17"/>
      <c r="C744" s="2"/>
      <c r="D744" s="2"/>
      <c r="E744" s="2"/>
      <c r="F744" s="2"/>
      <c r="G744" s="2"/>
      <c r="H744" s="2"/>
      <c r="I744" s="5"/>
    </row>
    <row r="745" spans="1:9" ht="17.399999999999999" x14ac:dyDescent="0.25">
      <c r="A745" s="16"/>
      <c r="B745" s="17"/>
      <c r="C745" s="2"/>
      <c r="D745" s="2"/>
      <c r="E745" s="2"/>
      <c r="F745" s="2"/>
      <c r="G745" s="2"/>
      <c r="H745" s="2"/>
      <c r="I745" s="5"/>
    </row>
    <row r="746" spans="1:9" ht="17.399999999999999" x14ac:dyDescent="0.25">
      <c r="A746" s="16"/>
      <c r="B746" s="17"/>
      <c r="C746" s="2"/>
      <c r="D746" s="2"/>
      <c r="E746" s="2"/>
      <c r="F746" s="2"/>
      <c r="G746" s="2"/>
      <c r="H746" s="2"/>
      <c r="I746" s="5"/>
    </row>
    <row r="747" spans="1:9" ht="17.399999999999999" x14ac:dyDescent="0.25">
      <c r="A747" s="16"/>
      <c r="B747" s="17"/>
      <c r="C747" s="2"/>
      <c r="D747" s="2"/>
      <c r="E747" s="2"/>
      <c r="F747" s="2"/>
      <c r="G747" s="2"/>
      <c r="H747" s="2"/>
      <c r="I747" s="5"/>
    </row>
    <row r="748" spans="1:9" ht="17.399999999999999" x14ac:dyDescent="0.25">
      <c r="A748" s="16"/>
      <c r="B748" s="17"/>
      <c r="C748" s="2"/>
      <c r="D748" s="2"/>
      <c r="E748" s="2"/>
      <c r="F748" s="2"/>
      <c r="G748" s="2"/>
      <c r="H748" s="2"/>
      <c r="I748" s="5"/>
    </row>
    <row r="749" spans="1:9" ht="17.399999999999999" x14ac:dyDescent="0.25">
      <c r="A749" s="16"/>
      <c r="B749" s="17"/>
      <c r="C749" s="2"/>
      <c r="D749" s="2"/>
      <c r="E749" s="2"/>
      <c r="F749" s="2"/>
      <c r="G749" s="2"/>
      <c r="H749" s="2"/>
      <c r="I749" s="5"/>
    </row>
    <row r="750" spans="1:9" ht="17.399999999999999" x14ac:dyDescent="0.25">
      <c r="A750" s="16"/>
      <c r="B750" s="17"/>
      <c r="C750" s="2"/>
      <c r="D750" s="2"/>
      <c r="E750" s="2"/>
      <c r="F750" s="2"/>
      <c r="G750" s="2"/>
      <c r="H750" s="2"/>
      <c r="I750" s="5"/>
    </row>
    <row r="751" spans="1:9" ht="17.399999999999999" x14ac:dyDescent="0.25">
      <c r="A751" s="16"/>
      <c r="B751" s="17"/>
      <c r="C751" s="2"/>
      <c r="D751" s="2"/>
      <c r="E751" s="2"/>
      <c r="F751" s="2"/>
      <c r="G751" s="2"/>
      <c r="H751" s="2"/>
      <c r="I751" s="5"/>
    </row>
    <row r="752" spans="1:9" ht="17.399999999999999" x14ac:dyDescent="0.25">
      <c r="A752" s="16"/>
      <c r="B752" s="17"/>
      <c r="C752" s="2"/>
      <c r="D752" s="2"/>
      <c r="E752" s="2"/>
      <c r="F752" s="2"/>
      <c r="G752" s="2"/>
      <c r="H752" s="2"/>
      <c r="I752" s="5"/>
    </row>
    <row r="753" spans="1:9" ht="17.399999999999999" x14ac:dyDescent="0.25">
      <c r="A753" s="16"/>
      <c r="B753" s="17"/>
      <c r="C753" s="2"/>
      <c r="D753" s="2"/>
      <c r="E753" s="2"/>
      <c r="F753" s="2"/>
      <c r="G753" s="2"/>
      <c r="H753" s="2"/>
      <c r="I753" s="5"/>
    </row>
    <row r="754" spans="1:9" ht="17.399999999999999" x14ac:dyDescent="0.25">
      <c r="A754" s="16"/>
      <c r="B754" s="17"/>
      <c r="C754" s="2"/>
      <c r="D754" s="2"/>
      <c r="E754" s="2"/>
      <c r="F754" s="2"/>
      <c r="G754" s="2"/>
      <c r="H754" s="2"/>
      <c r="I754" s="5"/>
    </row>
    <row r="755" spans="1:9" ht="17.399999999999999" x14ac:dyDescent="0.25">
      <c r="A755" s="16"/>
      <c r="B755" s="17"/>
      <c r="C755" s="2"/>
      <c r="D755" s="2"/>
      <c r="E755" s="2"/>
      <c r="F755" s="2"/>
      <c r="G755" s="2"/>
      <c r="H755" s="2"/>
      <c r="I755" s="5"/>
    </row>
    <row r="756" spans="1:9" ht="17.399999999999999" x14ac:dyDescent="0.25">
      <c r="A756" s="16"/>
      <c r="B756" s="17"/>
      <c r="C756" s="2"/>
      <c r="D756" s="2"/>
      <c r="E756" s="2"/>
      <c r="F756" s="2"/>
      <c r="G756" s="2"/>
      <c r="H756" s="2"/>
      <c r="I756" s="5"/>
    </row>
    <row r="757" spans="1:9" ht="17.399999999999999" x14ac:dyDescent="0.25">
      <c r="A757" s="16"/>
      <c r="B757" s="17"/>
      <c r="C757" s="2"/>
      <c r="D757" s="2"/>
      <c r="E757" s="2"/>
      <c r="F757" s="2"/>
      <c r="G757" s="2"/>
      <c r="H757" s="2"/>
      <c r="I757" s="5"/>
    </row>
    <row r="758" spans="1:9" ht="17.399999999999999" x14ac:dyDescent="0.25">
      <c r="A758" s="16"/>
      <c r="B758" s="17"/>
      <c r="C758" s="2"/>
      <c r="D758" s="2"/>
      <c r="E758" s="2"/>
      <c r="F758" s="2"/>
      <c r="G758" s="2"/>
      <c r="H758" s="2"/>
      <c r="I758" s="5"/>
    </row>
    <row r="759" spans="1:9" ht="17.399999999999999" x14ac:dyDescent="0.25">
      <c r="A759" s="16"/>
      <c r="B759" s="17"/>
      <c r="C759" s="2"/>
      <c r="D759" s="2"/>
      <c r="E759" s="2"/>
      <c r="F759" s="2"/>
      <c r="G759" s="2"/>
      <c r="H759" s="2"/>
      <c r="I759" s="5"/>
    </row>
    <row r="760" spans="1:9" ht="17.399999999999999" x14ac:dyDescent="0.25">
      <c r="A760" s="16"/>
      <c r="B760" s="17"/>
      <c r="C760" s="2"/>
      <c r="D760" s="2"/>
      <c r="E760" s="2"/>
      <c r="F760" s="2"/>
      <c r="G760" s="2"/>
      <c r="H760" s="2"/>
      <c r="I760" s="5"/>
    </row>
    <row r="761" spans="1:9" ht="17.399999999999999" x14ac:dyDescent="0.25">
      <c r="A761" s="16"/>
      <c r="B761" s="17"/>
      <c r="C761" s="2"/>
      <c r="D761" s="2"/>
      <c r="E761" s="2"/>
      <c r="F761" s="2"/>
      <c r="G761" s="2"/>
      <c r="H761" s="2"/>
      <c r="I761" s="5"/>
    </row>
    <row r="762" spans="1:9" ht="17.399999999999999" x14ac:dyDescent="0.25">
      <c r="A762" s="16"/>
      <c r="B762" s="17"/>
      <c r="C762" s="2"/>
      <c r="D762" s="2"/>
      <c r="E762" s="2"/>
      <c r="F762" s="2"/>
      <c r="G762" s="2"/>
      <c r="H762" s="2"/>
      <c r="I762" s="5"/>
    </row>
    <row r="763" spans="1:9" ht="17.399999999999999" x14ac:dyDescent="0.25">
      <c r="A763" s="16"/>
      <c r="B763" s="17"/>
      <c r="C763" s="2"/>
      <c r="D763" s="2"/>
      <c r="E763" s="2"/>
      <c r="F763" s="2"/>
      <c r="G763" s="2"/>
      <c r="H763" s="2"/>
      <c r="I763" s="5"/>
    </row>
    <row r="764" spans="1:9" ht="17.399999999999999" x14ac:dyDescent="0.25">
      <c r="A764" s="16"/>
      <c r="B764" s="17"/>
      <c r="C764" s="2"/>
      <c r="D764" s="2"/>
      <c r="E764" s="2"/>
      <c r="F764" s="2"/>
      <c r="G764" s="2"/>
      <c r="H764" s="2"/>
      <c r="I764" s="5"/>
    </row>
    <row r="765" spans="1:9" ht="17.399999999999999" x14ac:dyDescent="0.25">
      <c r="A765" s="16"/>
      <c r="B765" s="17"/>
      <c r="C765" s="2"/>
      <c r="D765" s="2"/>
      <c r="E765" s="2"/>
      <c r="F765" s="2"/>
      <c r="G765" s="2"/>
      <c r="H765" s="2"/>
      <c r="I765" s="5"/>
    </row>
    <row r="766" spans="1:9" ht="17.399999999999999" x14ac:dyDescent="0.25">
      <c r="A766" s="16"/>
      <c r="B766" s="17"/>
      <c r="C766" s="2"/>
      <c r="D766" s="2"/>
      <c r="E766" s="2"/>
      <c r="F766" s="2"/>
      <c r="G766" s="2"/>
      <c r="H766" s="2"/>
      <c r="I766" s="5"/>
    </row>
    <row r="767" spans="1:9" ht="17.399999999999999" x14ac:dyDescent="0.25">
      <c r="A767" s="16"/>
      <c r="B767" s="17"/>
      <c r="C767" s="2"/>
      <c r="D767" s="2"/>
      <c r="E767" s="2"/>
      <c r="F767" s="2"/>
      <c r="G767" s="2"/>
      <c r="H767" s="2"/>
      <c r="I767" s="5"/>
    </row>
    <row r="768" spans="1:9" ht="17.399999999999999" x14ac:dyDescent="0.25">
      <c r="A768" s="16"/>
      <c r="B768" s="17"/>
      <c r="C768" s="2"/>
      <c r="D768" s="2"/>
      <c r="E768" s="2"/>
      <c r="F768" s="2"/>
      <c r="G768" s="2"/>
      <c r="H768" s="2"/>
      <c r="I768" s="5"/>
    </row>
    <row r="769" spans="1:9" ht="17.399999999999999" x14ac:dyDescent="0.25">
      <c r="A769" s="16"/>
      <c r="B769" s="17"/>
      <c r="C769" s="2"/>
      <c r="D769" s="2"/>
      <c r="E769" s="2"/>
      <c r="F769" s="2"/>
      <c r="G769" s="2"/>
      <c r="H769" s="2"/>
      <c r="I769" s="5"/>
    </row>
    <row r="770" spans="1:9" ht="17.399999999999999" x14ac:dyDescent="0.25">
      <c r="A770" s="16"/>
      <c r="B770" s="17"/>
      <c r="C770" s="2"/>
      <c r="D770" s="2"/>
      <c r="E770" s="2"/>
      <c r="F770" s="2"/>
      <c r="G770" s="2"/>
      <c r="H770" s="2"/>
      <c r="I770" s="5"/>
    </row>
    <row r="771" spans="1:9" ht="17.399999999999999" x14ac:dyDescent="0.25">
      <c r="A771" s="16"/>
      <c r="B771" s="17"/>
      <c r="C771" s="2"/>
      <c r="D771" s="2"/>
      <c r="E771" s="2"/>
      <c r="F771" s="2"/>
      <c r="G771" s="2"/>
      <c r="H771" s="2"/>
      <c r="I771" s="5"/>
    </row>
    <row r="772" spans="1:9" ht="17.399999999999999" x14ac:dyDescent="0.25">
      <c r="A772" s="16"/>
      <c r="B772" s="17"/>
      <c r="C772" s="2"/>
      <c r="D772" s="2"/>
      <c r="E772" s="2"/>
      <c r="F772" s="2"/>
      <c r="G772" s="2"/>
      <c r="H772" s="2"/>
      <c r="I772" s="5"/>
    </row>
    <row r="773" spans="1:9" ht="17.399999999999999" x14ac:dyDescent="0.25">
      <c r="A773" s="16"/>
      <c r="B773" s="17"/>
      <c r="C773" s="2"/>
      <c r="D773" s="2"/>
      <c r="E773" s="2"/>
      <c r="F773" s="2"/>
      <c r="G773" s="2"/>
      <c r="H773" s="2"/>
      <c r="I773" s="5"/>
    </row>
    <row r="774" spans="1:9" ht="17.399999999999999" x14ac:dyDescent="0.25">
      <c r="A774" s="16"/>
      <c r="B774" s="17"/>
      <c r="C774" s="2"/>
      <c r="D774" s="2"/>
      <c r="E774" s="2"/>
      <c r="F774" s="2"/>
      <c r="G774" s="2"/>
      <c r="H774" s="2"/>
      <c r="I774" s="5"/>
    </row>
    <row r="775" spans="1:9" ht="17.399999999999999" x14ac:dyDescent="0.25">
      <c r="A775" s="16"/>
      <c r="B775" s="17"/>
      <c r="C775" s="2"/>
      <c r="D775" s="2"/>
      <c r="E775" s="2"/>
      <c r="F775" s="2"/>
      <c r="G775" s="2"/>
      <c r="H775" s="2"/>
      <c r="I775" s="5"/>
    </row>
    <row r="776" spans="1:9" ht="17.399999999999999" x14ac:dyDescent="0.25">
      <c r="A776" s="16"/>
      <c r="B776" s="17"/>
      <c r="C776" s="2"/>
      <c r="D776" s="2"/>
      <c r="E776" s="2"/>
      <c r="F776" s="2"/>
      <c r="G776" s="2"/>
      <c r="H776" s="2"/>
      <c r="I776" s="5"/>
    </row>
    <row r="777" spans="1:9" ht="17.399999999999999" x14ac:dyDescent="0.25">
      <c r="A777" s="16"/>
      <c r="B777" s="17"/>
      <c r="C777" s="2"/>
      <c r="D777" s="2"/>
      <c r="E777" s="2"/>
      <c r="F777" s="2"/>
      <c r="G777" s="2"/>
      <c r="H777" s="2"/>
      <c r="I777" s="5"/>
    </row>
    <row r="778" spans="1:9" ht="17.399999999999999" x14ac:dyDescent="0.25">
      <c r="A778" s="16"/>
      <c r="B778" s="17"/>
      <c r="C778" s="2"/>
      <c r="D778" s="2"/>
      <c r="E778" s="2"/>
      <c r="F778" s="2"/>
      <c r="G778" s="2"/>
      <c r="H778" s="2"/>
      <c r="I778" s="5"/>
    </row>
    <row r="779" spans="1:9" ht="17.399999999999999" x14ac:dyDescent="0.25">
      <c r="A779" s="16"/>
      <c r="B779" s="17"/>
      <c r="C779" s="2"/>
      <c r="D779" s="2"/>
      <c r="E779" s="2"/>
      <c r="F779" s="2"/>
      <c r="G779" s="2"/>
      <c r="H779" s="2"/>
      <c r="I779" s="5"/>
    </row>
    <row r="780" spans="1:9" ht="17.399999999999999" x14ac:dyDescent="0.25">
      <c r="A780" s="16"/>
      <c r="B780" s="17"/>
      <c r="C780" s="2"/>
      <c r="D780" s="2"/>
      <c r="E780" s="2"/>
      <c r="F780" s="2"/>
      <c r="G780" s="2"/>
      <c r="H780" s="2"/>
      <c r="I780" s="5"/>
    </row>
    <row r="781" spans="1:9" ht="17.399999999999999" x14ac:dyDescent="0.25">
      <c r="A781" s="16"/>
      <c r="B781" s="17"/>
      <c r="C781" s="2"/>
      <c r="D781" s="2"/>
      <c r="E781" s="2"/>
      <c r="F781" s="2"/>
      <c r="G781" s="2"/>
      <c r="H781" s="2"/>
      <c r="I781" s="5"/>
    </row>
    <row r="782" spans="1:9" ht="17.399999999999999" x14ac:dyDescent="0.25">
      <c r="A782" s="16"/>
      <c r="B782" s="17"/>
      <c r="C782" s="2"/>
      <c r="D782" s="2"/>
      <c r="E782" s="2"/>
      <c r="F782" s="2"/>
      <c r="G782" s="2"/>
      <c r="H782" s="2"/>
      <c r="I782" s="5"/>
    </row>
    <row r="783" spans="1:9" ht="17.399999999999999" x14ac:dyDescent="0.25">
      <c r="A783" s="16"/>
      <c r="B783" s="17"/>
      <c r="C783" s="2"/>
      <c r="D783" s="2"/>
      <c r="E783" s="2"/>
      <c r="F783" s="2"/>
      <c r="G783" s="2"/>
      <c r="H783" s="2"/>
      <c r="I783" s="5"/>
    </row>
    <row r="784" spans="1:9" ht="17.399999999999999" x14ac:dyDescent="0.25">
      <c r="A784" s="16"/>
      <c r="B784" s="17"/>
      <c r="C784" s="2"/>
      <c r="D784" s="2"/>
      <c r="E784" s="2"/>
      <c r="F784" s="2"/>
      <c r="G784" s="2"/>
      <c r="H784" s="2"/>
      <c r="I784" s="5"/>
    </row>
    <row r="785" spans="1:9" ht="17.399999999999999" x14ac:dyDescent="0.25">
      <c r="A785" s="16"/>
      <c r="B785" s="17"/>
      <c r="C785" s="2"/>
      <c r="D785" s="2"/>
      <c r="E785" s="2"/>
      <c r="F785" s="2"/>
      <c r="G785" s="2"/>
      <c r="H785" s="2"/>
      <c r="I785" s="5"/>
    </row>
    <row r="786" spans="1:9" ht="17.399999999999999" x14ac:dyDescent="0.25">
      <c r="A786" s="16"/>
      <c r="B786" s="17"/>
      <c r="C786" s="2"/>
      <c r="D786" s="2"/>
      <c r="E786" s="2"/>
      <c r="F786" s="2"/>
      <c r="G786" s="2"/>
      <c r="H786" s="2"/>
      <c r="I786" s="5"/>
    </row>
    <row r="787" spans="1:9" ht="17.399999999999999" x14ac:dyDescent="0.25">
      <c r="A787" s="16"/>
      <c r="B787" s="17"/>
      <c r="C787" s="2"/>
      <c r="D787" s="2"/>
      <c r="E787" s="2"/>
      <c r="F787" s="2"/>
      <c r="G787" s="2"/>
      <c r="H787" s="2"/>
      <c r="I787" s="5"/>
    </row>
    <row r="788" spans="1:9" ht="17.399999999999999" x14ac:dyDescent="0.25">
      <c r="A788" s="16"/>
      <c r="B788" s="17"/>
      <c r="C788" s="2"/>
      <c r="D788" s="2"/>
      <c r="E788" s="2"/>
      <c r="F788" s="2"/>
      <c r="G788" s="2"/>
      <c r="H788" s="2"/>
      <c r="I788" s="5"/>
    </row>
    <row r="789" spans="1:9" ht="17.399999999999999" x14ac:dyDescent="0.25">
      <c r="A789" s="16"/>
      <c r="B789" s="17"/>
      <c r="C789" s="2"/>
      <c r="D789" s="2"/>
      <c r="E789" s="2"/>
      <c r="F789" s="2"/>
      <c r="G789" s="2"/>
      <c r="H789" s="2"/>
      <c r="I789" s="5"/>
    </row>
    <row r="790" spans="1:9" ht="17.399999999999999" x14ac:dyDescent="0.25">
      <c r="A790" s="16"/>
      <c r="B790" s="17"/>
      <c r="C790" s="2"/>
      <c r="D790" s="2"/>
      <c r="E790" s="2"/>
      <c r="F790" s="2"/>
      <c r="G790" s="2"/>
      <c r="H790" s="2"/>
      <c r="I790" s="5"/>
    </row>
    <row r="791" spans="1:9" ht="17.399999999999999" x14ac:dyDescent="0.25">
      <c r="A791" s="16"/>
      <c r="B791" s="17"/>
      <c r="C791" s="2"/>
      <c r="D791" s="2"/>
      <c r="E791" s="2"/>
      <c r="F791" s="2"/>
      <c r="G791" s="2"/>
      <c r="H791" s="2"/>
      <c r="I791" s="5"/>
    </row>
    <row r="792" spans="1:9" ht="17.399999999999999" x14ac:dyDescent="0.25">
      <c r="A792" s="16"/>
      <c r="B792" s="17"/>
      <c r="C792" s="2"/>
      <c r="D792" s="2"/>
      <c r="E792" s="2"/>
      <c r="F792" s="2"/>
      <c r="G792" s="2"/>
      <c r="H792" s="2"/>
      <c r="I792" s="5"/>
    </row>
    <row r="793" spans="1:9" ht="17.399999999999999" x14ac:dyDescent="0.25">
      <c r="A793" s="16"/>
      <c r="B793" s="17"/>
      <c r="C793" s="2"/>
      <c r="D793" s="2"/>
      <c r="E793" s="2"/>
      <c r="F793" s="2"/>
      <c r="G793" s="2"/>
      <c r="H793" s="2"/>
      <c r="I793" s="5"/>
    </row>
    <row r="794" spans="1:9" ht="17.399999999999999" x14ac:dyDescent="0.25">
      <c r="A794" s="16"/>
      <c r="B794" s="17"/>
      <c r="C794" s="2"/>
      <c r="D794" s="2"/>
      <c r="E794" s="2"/>
      <c r="F794" s="2"/>
      <c r="G794" s="2"/>
      <c r="H794" s="2"/>
      <c r="I794" s="5"/>
    </row>
    <row r="795" spans="1:9" ht="17.399999999999999" x14ac:dyDescent="0.25">
      <c r="A795" s="16"/>
      <c r="B795" s="17"/>
      <c r="C795" s="2"/>
      <c r="D795" s="2"/>
      <c r="E795" s="2"/>
      <c r="F795" s="2"/>
      <c r="G795" s="2"/>
      <c r="H795" s="2"/>
      <c r="I795" s="5"/>
    </row>
    <row r="796" spans="1:9" ht="17.399999999999999" x14ac:dyDescent="0.25">
      <c r="A796" s="16"/>
      <c r="B796" s="17"/>
      <c r="C796" s="2"/>
      <c r="D796" s="2"/>
      <c r="E796" s="2"/>
      <c r="F796" s="2"/>
      <c r="G796" s="2"/>
      <c r="H796" s="2"/>
      <c r="I796" s="5"/>
    </row>
    <row r="797" spans="1:9" ht="17.399999999999999" x14ac:dyDescent="0.25">
      <c r="A797" s="16"/>
      <c r="B797" s="17"/>
      <c r="C797" s="2"/>
      <c r="D797" s="2"/>
      <c r="E797" s="2"/>
      <c r="F797" s="2"/>
      <c r="G797" s="2"/>
      <c r="H797" s="2"/>
      <c r="I797" s="5"/>
    </row>
    <row r="798" spans="1:9" ht="17.399999999999999" x14ac:dyDescent="0.25">
      <c r="A798" s="16"/>
      <c r="B798" s="17"/>
      <c r="C798" s="2"/>
      <c r="D798" s="2"/>
      <c r="E798" s="2"/>
      <c r="F798" s="2"/>
      <c r="G798" s="2"/>
      <c r="H798" s="2"/>
      <c r="I798" s="5"/>
    </row>
    <row r="799" spans="1:9" ht="17.399999999999999" x14ac:dyDescent="0.25">
      <c r="A799" s="16"/>
      <c r="B799" s="17"/>
      <c r="C799" s="2"/>
      <c r="D799" s="2"/>
      <c r="E799" s="2"/>
      <c r="F799" s="2"/>
      <c r="G799" s="2"/>
      <c r="H799" s="2"/>
      <c r="I799" s="5"/>
    </row>
    <row r="800" spans="1:9" ht="17.399999999999999" x14ac:dyDescent="0.25">
      <c r="A800" s="16"/>
      <c r="B800" s="17"/>
      <c r="C800" s="2"/>
      <c r="D800" s="2"/>
      <c r="E800" s="2"/>
      <c r="F800" s="2"/>
      <c r="G800" s="2"/>
      <c r="H800" s="2"/>
      <c r="I800" s="5"/>
    </row>
    <row r="801" spans="1:9" ht="17.399999999999999" x14ac:dyDescent="0.25">
      <c r="A801" s="16"/>
      <c r="B801" s="17"/>
      <c r="C801" s="2"/>
      <c r="D801" s="2"/>
      <c r="E801" s="2"/>
      <c r="F801" s="2"/>
      <c r="G801" s="2"/>
      <c r="H801" s="2"/>
      <c r="I801" s="5"/>
    </row>
    <row r="802" spans="1:9" ht="17.399999999999999" x14ac:dyDescent="0.25">
      <c r="A802" s="16"/>
      <c r="B802" s="17"/>
      <c r="C802" s="2"/>
      <c r="D802" s="2"/>
      <c r="E802" s="2"/>
      <c r="F802" s="2"/>
      <c r="G802" s="2"/>
      <c r="H802" s="2"/>
      <c r="I802" s="5"/>
    </row>
    <row r="803" spans="1:9" ht="17.399999999999999" x14ac:dyDescent="0.25">
      <c r="A803" s="16"/>
      <c r="B803" s="17"/>
      <c r="C803" s="2"/>
      <c r="D803" s="2"/>
      <c r="E803" s="2"/>
      <c r="F803" s="2"/>
      <c r="G803" s="2"/>
      <c r="H803" s="2"/>
      <c r="I803" s="5"/>
    </row>
    <row r="804" spans="1:9" ht="17.399999999999999" x14ac:dyDescent="0.25">
      <c r="A804" s="16"/>
      <c r="B804" s="17"/>
      <c r="C804" s="2"/>
      <c r="D804" s="2"/>
      <c r="E804" s="2"/>
      <c r="F804" s="2"/>
      <c r="G804" s="2"/>
      <c r="H804" s="2"/>
      <c r="I804" s="5"/>
    </row>
    <row r="805" spans="1:9" ht="17.399999999999999" x14ac:dyDescent="0.25">
      <c r="A805" s="16"/>
      <c r="B805" s="17"/>
      <c r="C805" s="2"/>
      <c r="D805" s="2"/>
      <c r="E805" s="2"/>
      <c r="F805" s="2"/>
      <c r="G805" s="2"/>
      <c r="H805" s="2"/>
      <c r="I805" s="5"/>
    </row>
    <row r="806" spans="1:9" ht="17.399999999999999" x14ac:dyDescent="0.25">
      <c r="A806" s="16"/>
      <c r="B806" s="17"/>
      <c r="C806" s="2"/>
      <c r="D806" s="2"/>
      <c r="E806" s="2"/>
      <c r="F806" s="2"/>
      <c r="G806" s="2"/>
      <c r="H806" s="2"/>
      <c r="I806" s="5"/>
    </row>
    <row r="807" spans="1:9" ht="17.399999999999999" x14ac:dyDescent="0.25">
      <c r="A807" s="16"/>
      <c r="B807" s="17"/>
      <c r="C807" s="2"/>
      <c r="D807" s="2"/>
      <c r="E807" s="2"/>
      <c r="F807" s="2"/>
      <c r="G807" s="2"/>
      <c r="H807" s="2"/>
      <c r="I807" s="5"/>
    </row>
    <row r="808" spans="1:9" ht="17.399999999999999" x14ac:dyDescent="0.25">
      <c r="A808" s="16"/>
      <c r="B808" s="17"/>
      <c r="C808" s="2"/>
      <c r="D808" s="2"/>
      <c r="E808" s="2"/>
      <c r="F808" s="2"/>
      <c r="G808" s="2"/>
      <c r="H808" s="2"/>
      <c r="I808" s="5"/>
    </row>
    <row r="809" spans="1:9" ht="17.399999999999999" x14ac:dyDescent="0.25">
      <c r="A809" s="16"/>
      <c r="B809" s="17"/>
      <c r="C809" s="2"/>
      <c r="D809" s="2"/>
      <c r="E809" s="2"/>
      <c r="F809" s="2"/>
      <c r="G809" s="2"/>
      <c r="H809" s="2"/>
      <c r="I809" s="5"/>
    </row>
    <row r="810" spans="1:9" ht="17.399999999999999" x14ac:dyDescent="0.25">
      <c r="A810" s="16"/>
      <c r="B810" s="17"/>
      <c r="C810" s="2"/>
      <c r="D810" s="2"/>
      <c r="E810" s="2"/>
      <c r="F810" s="2"/>
      <c r="G810" s="2"/>
      <c r="H810" s="2"/>
      <c r="I810" s="5"/>
    </row>
    <row r="811" spans="1:9" ht="17.399999999999999" x14ac:dyDescent="0.25">
      <c r="A811" s="16"/>
      <c r="B811" s="17"/>
      <c r="C811" s="2"/>
      <c r="D811" s="2"/>
      <c r="E811" s="2"/>
      <c r="F811" s="2"/>
      <c r="G811" s="2"/>
      <c r="H811" s="2"/>
      <c r="I811" s="5"/>
    </row>
    <row r="812" spans="1:9" ht="17.399999999999999" x14ac:dyDescent="0.25">
      <c r="A812" s="16"/>
      <c r="B812" s="17"/>
      <c r="C812" s="2"/>
      <c r="D812" s="2"/>
      <c r="E812" s="2"/>
      <c r="F812" s="2"/>
      <c r="G812" s="2"/>
      <c r="H812" s="2"/>
      <c r="I812" s="5"/>
    </row>
    <row r="813" spans="1:9" ht="17.399999999999999" x14ac:dyDescent="0.25">
      <c r="A813" s="16"/>
      <c r="B813" s="17"/>
      <c r="C813" s="2"/>
      <c r="D813" s="2"/>
      <c r="E813" s="2"/>
      <c r="F813" s="2"/>
      <c r="G813" s="2"/>
      <c r="H813" s="2"/>
      <c r="I813" s="5"/>
    </row>
    <row r="814" spans="1:9" ht="17.399999999999999" x14ac:dyDescent="0.25">
      <c r="A814" s="16"/>
      <c r="B814" s="17"/>
      <c r="C814" s="2"/>
      <c r="D814" s="2"/>
      <c r="E814" s="2"/>
      <c r="F814" s="2"/>
      <c r="G814" s="2"/>
      <c r="H814" s="2"/>
      <c r="I814" s="5"/>
    </row>
    <row r="815" spans="1:9" ht="17.399999999999999" x14ac:dyDescent="0.25">
      <c r="A815" s="16"/>
      <c r="B815" s="17"/>
      <c r="C815" s="2"/>
      <c r="D815" s="2"/>
      <c r="E815" s="2"/>
      <c r="F815" s="2"/>
      <c r="G815" s="2"/>
      <c r="H815" s="2"/>
      <c r="I815" s="5"/>
    </row>
    <row r="816" spans="1:9" ht="17.399999999999999" x14ac:dyDescent="0.25">
      <c r="A816" s="16"/>
      <c r="B816" s="17"/>
      <c r="C816" s="2"/>
      <c r="D816" s="2"/>
      <c r="E816" s="2"/>
      <c r="F816" s="2"/>
      <c r="G816" s="2"/>
      <c r="H816" s="2"/>
      <c r="I816" s="5"/>
    </row>
    <row r="817" spans="1:9" ht="17.399999999999999" x14ac:dyDescent="0.25">
      <c r="A817" s="16"/>
      <c r="B817" s="17"/>
      <c r="C817" s="2"/>
      <c r="D817" s="2"/>
      <c r="E817" s="2"/>
      <c r="F817" s="2"/>
      <c r="G817" s="2"/>
      <c r="H817" s="2"/>
      <c r="I817" s="5"/>
    </row>
    <row r="818" spans="1:9" ht="17.399999999999999" x14ac:dyDescent="0.25">
      <c r="A818" s="16"/>
      <c r="B818" s="17"/>
      <c r="C818" s="2"/>
      <c r="D818" s="2"/>
      <c r="E818" s="2"/>
      <c r="F818" s="2"/>
      <c r="G818" s="2"/>
      <c r="H818" s="2"/>
      <c r="I818" s="5"/>
    </row>
    <row r="819" spans="1:9" ht="17.399999999999999" x14ac:dyDescent="0.25">
      <c r="A819" s="16"/>
      <c r="B819" s="17"/>
      <c r="C819" s="2"/>
      <c r="D819" s="2"/>
      <c r="E819" s="2"/>
      <c r="F819" s="2"/>
      <c r="G819" s="2"/>
      <c r="H819" s="2"/>
      <c r="I819" s="5"/>
    </row>
    <row r="820" spans="1:9" ht="17.399999999999999" x14ac:dyDescent="0.25">
      <c r="A820" s="16"/>
      <c r="B820" s="17"/>
      <c r="C820" s="2"/>
      <c r="D820" s="2"/>
      <c r="E820" s="2"/>
      <c r="F820" s="2"/>
      <c r="G820" s="2"/>
      <c r="H820" s="2"/>
      <c r="I820" s="5"/>
    </row>
    <row r="821" spans="1:9" ht="17.399999999999999" x14ac:dyDescent="0.25">
      <c r="A821" s="16"/>
      <c r="B821" s="17"/>
      <c r="C821" s="2"/>
      <c r="D821" s="2"/>
      <c r="E821" s="2"/>
      <c r="F821" s="2"/>
      <c r="G821" s="2"/>
      <c r="H821" s="2"/>
      <c r="I821" s="5"/>
    </row>
    <row r="822" spans="1:9" ht="17.399999999999999" x14ac:dyDescent="0.25">
      <c r="A822" s="16"/>
      <c r="B822" s="17"/>
      <c r="C822" s="2"/>
      <c r="D822" s="2"/>
      <c r="E822" s="2"/>
      <c r="F822" s="2"/>
      <c r="G822" s="2"/>
      <c r="H822" s="2"/>
      <c r="I822" s="5"/>
    </row>
    <row r="823" spans="1:9" ht="17.399999999999999" x14ac:dyDescent="0.25">
      <c r="A823" s="16"/>
      <c r="B823" s="17"/>
      <c r="C823" s="2"/>
      <c r="D823" s="2"/>
      <c r="E823" s="2"/>
      <c r="F823" s="2"/>
      <c r="G823" s="2"/>
      <c r="H823" s="2"/>
      <c r="I823" s="5"/>
    </row>
    <row r="824" spans="1:9" ht="17.399999999999999" x14ac:dyDescent="0.25">
      <c r="A824" s="16"/>
      <c r="B824" s="17"/>
      <c r="C824" s="2"/>
      <c r="D824" s="2"/>
      <c r="E824" s="2"/>
      <c r="F824" s="2"/>
      <c r="G824" s="2"/>
      <c r="H824" s="2"/>
      <c r="I824" s="5"/>
    </row>
    <row r="825" spans="1:9" ht="17.399999999999999" x14ac:dyDescent="0.25">
      <c r="A825" s="16"/>
      <c r="B825" s="17"/>
      <c r="C825" s="2"/>
      <c r="D825" s="2"/>
      <c r="E825" s="2"/>
      <c r="F825" s="2"/>
      <c r="G825" s="2"/>
      <c r="H825" s="2"/>
      <c r="I825" s="5"/>
    </row>
    <row r="826" spans="1:9" ht="17.399999999999999" x14ac:dyDescent="0.25">
      <c r="A826" s="16"/>
      <c r="B826" s="17"/>
      <c r="C826" s="2"/>
      <c r="D826" s="2"/>
      <c r="E826" s="2"/>
      <c r="F826" s="2"/>
      <c r="G826" s="2"/>
      <c r="H826" s="2"/>
      <c r="I826" s="5"/>
    </row>
    <row r="827" spans="1:9" ht="17.399999999999999" x14ac:dyDescent="0.25">
      <c r="A827" s="16"/>
      <c r="B827" s="17"/>
      <c r="C827" s="2"/>
      <c r="D827" s="2"/>
      <c r="E827" s="2"/>
      <c r="F827" s="2"/>
      <c r="G827" s="2"/>
      <c r="H827" s="2"/>
      <c r="I827" s="5"/>
    </row>
    <row r="828" spans="1:9" ht="17.399999999999999" x14ac:dyDescent="0.25">
      <c r="A828" s="16"/>
      <c r="B828" s="17"/>
      <c r="C828" s="2"/>
      <c r="D828" s="2"/>
      <c r="E828" s="2"/>
      <c r="F828" s="2"/>
      <c r="G828" s="2"/>
      <c r="H828" s="2"/>
      <c r="I828" s="5"/>
    </row>
    <row r="829" spans="1:9" ht="17.399999999999999" x14ac:dyDescent="0.25">
      <c r="A829" s="16"/>
      <c r="B829" s="17"/>
      <c r="C829" s="2"/>
      <c r="D829" s="2"/>
      <c r="E829" s="2"/>
      <c r="F829" s="2"/>
      <c r="G829" s="2"/>
      <c r="H829" s="2"/>
      <c r="I829" s="5"/>
    </row>
    <row r="830" spans="1:9" ht="17.399999999999999" x14ac:dyDescent="0.25">
      <c r="A830" s="16"/>
      <c r="B830" s="17"/>
      <c r="C830" s="2"/>
      <c r="D830" s="2"/>
      <c r="E830" s="2"/>
      <c r="F830" s="2"/>
      <c r="G830" s="2"/>
      <c r="H830" s="2"/>
      <c r="I830" s="5"/>
    </row>
    <row r="831" spans="1:9" ht="17.399999999999999" x14ac:dyDescent="0.25">
      <c r="A831" s="16"/>
      <c r="B831" s="17"/>
      <c r="C831" s="2"/>
      <c r="D831" s="2"/>
      <c r="E831" s="2"/>
      <c r="F831" s="2"/>
      <c r="G831" s="2"/>
      <c r="H831" s="2"/>
      <c r="I831" s="5"/>
    </row>
    <row r="832" spans="1:9" ht="17.399999999999999" x14ac:dyDescent="0.25">
      <c r="A832" s="16"/>
      <c r="B832" s="17"/>
      <c r="C832" s="2"/>
      <c r="D832" s="2"/>
      <c r="E832" s="2"/>
      <c r="F832" s="2"/>
      <c r="G832" s="2"/>
      <c r="H832" s="2"/>
      <c r="I832" s="5"/>
    </row>
    <row r="833" spans="1:9" ht="17.399999999999999" x14ac:dyDescent="0.25">
      <c r="A833" s="16"/>
      <c r="B833" s="17"/>
      <c r="C833" s="2"/>
      <c r="D833" s="2"/>
      <c r="E833" s="2"/>
      <c r="F833" s="2"/>
      <c r="G833" s="2"/>
      <c r="H833" s="2"/>
      <c r="I833" s="5"/>
    </row>
    <row r="834" spans="1:9" ht="17.399999999999999" x14ac:dyDescent="0.25">
      <c r="A834" s="16"/>
      <c r="B834" s="17"/>
      <c r="C834" s="2"/>
      <c r="D834" s="2"/>
      <c r="E834" s="2"/>
      <c r="F834" s="2"/>
      <c r="G834" s="2"/>
      <c r="H834" s="2"/>
      <c r="I834" s="5"/>
    </row>
    <row r="835" spans="1:9" ht="17.399999999999999" x14ac:dyDescent="0.25">
      <c r="A835" s="16"/>
      <c r="B835" s="17"/>
      <c r="C835" s="2"/>
      <c r="D835" s="2"/>
      <c r="E835" s="2"/>
      <c r="F835" s="2"/>
      <c r="G835" s="2"/>
      <c r="H835" s="2"/>
      <c r="I835" s="5"/>
    </row>
    <row r="836" spans="1:9" ht="17.399999999999999" x14ac:dyDescent="0.25">
      <c r="A836" s="16"/>
      <c r="B836" s="17"/>
      <c r="C836" s="2"/>
      <c r="D836" s="2"/>
      <c r="E836" s="2"/>
      <c r="F836" s="2"/>
      <c r="G836" s="2"/>
      <c r="H836" s="2"/>
      <c r="I836" s="5"/>
    </row>
    <row r="837" spans="1:9" ht="17.399999999999999" x14ac:dyDescent="0.25">
      <c r="A837" s="16"/>
      <c r="B837" s="17"/>
      <c r="C837" s="2"/>
      <c r="D837" s="2"/>
      <c r="E837" s="2"/>
      <c r="F837" s="2"/>
      <c r="G837" s="2"/>
      <c r="H837" s="2"/>
      <c r="I837" s="5"/>
    </row>
    <row r="838" spans="1:9" ht="17.399999999999999" x14ac:dyDescent="0.25">
      <c r="A838" s="16"/>
      <c r="B838" s="17"/>
      <c r="C838" s="2"/>
      <c r="D838" s="2"/>
      <c r="E838" s="2"/>
      <c r="F838" s="2"/>
      <c r="G838" s="2"/>
      <c r="H838" s="2"/>
      <c r="I838" s="5"/>
    </row>
    <row r="839" spans="1:9" ht="17.399999999999999" x14ac:dyDescent="0.25">
      <c r="A839" s="16"/>
      <c r="B839" s="17"/>
      <c r="C839" s="2"/>
      <c r="D839" s="2"/>
      <c r="E839" s="2"/>
      <c r="F839" s="2"/>
      <c r="G839" s="2"/>
      <c r="H839" s="2"/>
      <c r="I839" s="5"/>
    </row>
    <row r="840" spans="1:9" ht="17.399999999999999" x14ac:dyDescent="0.25">
      <c r="A840" s="16"/>
      <c r="B840" s="17"/>
      <c r="C840" s="2"/>
      <c r="D840" s="2"/>
      <c r="E840" s="2"/>
      <c r="F840" s="2"/>
      <c r="G840" s="2"/>
      <c r="H840" s="2"/>
      <c r="I840" s="5"/>
    </row>
    <row r="841" spans="1:9" ht="17.399999999999999" x14ac:dyDescent="0.25">
      <c r="A841" s="16"/>
      <c r="B841" s="17"/>
      <c r="C841" s="2"/>
      <c r="D841" s="2"/>
      <c r="E841" s="2"/>
      <c r="F841" s="2"/>
      <c r="G841" s="2"/>
      <c r="H841" s="2"/>
      <c r="I841" s="5"/>
    </row>
    <row r="842" spans="1:9" ht="17.399999999999999" x14ac:dyDescent="0.25">
      <c r="A842" s="16"/>
      <c r="B842" s="17"/>
      <c r="C842" s="2"/>
      <c r="D842" s="2"/>
      <c r="E842" s="2"/>
      <c r="F842" s="2"/>
      <c r="G842" s="2"/>
      <c r="H842" s="2"/>
      <c r="I842" s="5"/>
    </row>
    <row r="843" spans="1:9" ht="17.399999999999999" x14ac:dyDescent="0.25">
      <c r="A843" s="16"/>
      <c r="B843" s="17"/>
      <c r="C843" s="2"/>
      <c r="D843" s="2"/>
      <c r="E843" s="2"/>
      <c r="F843" s="2"/>
      <c r="G843" s="2"/>
      <c r="H843" s="2"/>
      <c r="I843" s="5"/>
    </row>
    <row r="844" spans="1:9" ht="17.399999999999999" x14ac:dyDescent="0.25">
      <c r="A844" s="16"/>
      <c r="B844" s="17"/>
      <c r="C844" s="2"/>
      <c r="D844" s="2"/>
      <c r="E844" s="2"/>
      <c r="F844" s="2"/>
      <c r="G844" s="2"/>
      <c r="H844" s="2"/>
      <c r="I844" s="5"/>
    </row>
    <row r="845" spans="1:9" ht="17.399999999999999" x14ac:dyDescent="0.25">
      <c r="A845" s="16"/>
      <c r="B845" s="17"/>
      <c r="C845" s="2"/>
      <c r="D845" s="2"/>
      <c r="E845" s="2"/>
      <c r="F845" s="2"/>
      <c r="G845" s="2"/>
      <c r="H845" s="2"/>
      <c r="I845" s="5"/>
    </row>
    <row r="846" spans="1:9" ht="17.399999999999999" x14ac:dyDescent="0.25">
      <c r="A846" s="16"/>
      <c r="B846" s="17"/>
      <c r="C846" s="2"/>
      <c r="D846" s="2"/>
      <c r="E846" s="2"/>
      <c r="F846" s="2"/>
      <c r="G846" s="2"/>
      <c r="H846" s="2"/>
      <c r="I846" s="5"/>
    </row>
    <row r="847" spans="1:9" ht="17.399999999999999" x14ac:dyDescent="0.25">
      <c r="A847" s="16"/>
      <c r="B847" s="17"/>
      <c r="C847" s="2"/>
      <c r="D847" s="2"/>
      <c r="E847" s="2"/>
      <c r="F847" s="2"/>
      <c r="G847" s="2"/>
      <c r="H847" s="2"/>
      <c r="I847" s="5"/>
    </row>
    <row r="848" spans="1:9" ht="17.399999999999999" x14ac:dyDescent="0.25">
      <c r="A848" s="16"/>
      <c r="B848" s="17"/>
      <c r="C848" s="2"/>
      <c r="D848" s="2"/>
      <c r="E848" s="2"/>
      <c r="F848" s="2"/>
      <c r="G848" s="2"/>
      <c r="H848" s="2"/>
      <c r="I848" s="5"/>
    </row>
    <row r="849" spans="1:9" ht="17.399999999999999" x14ac:dyDescent="0.25">
      <c r="A849" s="16"/>
      <c r="B849" s="17"/>
      <c r="C849" s="2"/>
      <c r="D849" s="2"/>
      <c r="E849" s="2"/>
      <c r="F849" s="2"/>
      <c r="G849" s="2"/>
      <c r="H849" s="2"/>
      <c r="I849" s="5"/>
    </row>
    <row r="850" spans="1:9" ht="17.399999999999999" x14ac:dyDescent="0.25">
      <c r="A850" s="16"/>
      <c r="B850" s="17"/>
      <c r="C850" s="2"/>
      <c r="D850" s="2"/>
      <c r="E850" s="2"/>
      <c r="F850" s="2"/>
      <c r="G850" s="2"/>
      <c r="H850" s="2"/>
      <c r="I850" s="5"/>
    </row>
    <row r="851" spans="1:9" ht="17.399999999999999" x14ac:dyDescent="0.25">
      <c r="A851" s="16"/>
      <c r="B851" s="17"/>
      <c r="C851" s="2"/>
      <c r="D851" s="2"/>
      <c r="E851" s="2"/>
      <c r="F851" s="2"/>
      <c r="G851" s="2"/>
      <c r="H851" s="2"/>
      <c r="I851" s="5"/>
    </row>
    <row r="852" spans="1:9" ht="17.399999999999999" x14ac:dyDescent="0.25">
      <c r="A852" s="16"/>
      <c r="B852" s="17"/>
      <c r="C852" s="2"/>
      <c r="D852" s="2"/>
      <c r="E852" s="2"/>
      <c r="F852" s="2"/>
      <c r="G852" s="2"/>
      <c r="H852" s="2"/>
      <c r="I852" s="5"/>
    </row>
    <row r="853" spans="1:9" ht="17.399999999999999" x14ac:dyDescent="0.25">
      <c r="A853" s="16"/>
      <c r="B853" s="17"/>
      <c r="C853" s="2"/>
      <c r="D853" s="2"/>
      <c r="E853" s="2"/>
      <c r="F853" s="2"/>
      <c r="G853" s="2"/>
      <c r="H853" s="2"/>
      <c r="I853" s="5"/>
    </row>
    <row r="854" spans="1:9" ht="17.399999999999999" x14ac:dyDescent="0.25">
      <c r="A854" s="16"/>
      <c r="B854" s="17"/>
      <c r="C854" s="2"/>
      <c r="D854" s="2"/>
      <c r="E854" s="2"/>
      <c r="F854" s="2"/>
      <c r="G854" s="2"/>
      <c r="H854" s="2"/>
      <c r="I854" s="5"/>
    </row>
    <row r="855" spans="1:9" ht="17.399999999999999" x14ac:dyDescent="0.25">
      <c r="A855" s="16"/>
      <c r="B855" s="17"/>
      <c r="C855" s="2"/>
      <c r="D855" s="2"/>
      <c r="E855" s="2"/>
      <c r="F855" s="2"/>
      <c r="G855" s="2"/>
      <c r="H855" s="2"/>
      <c r="I855" s="5"/>
    </row>
    <row r="856" spans="1:9" ht="17.399999999999999" x14ac:dyDescent="0.25">
      <c r="A856" s="16"/>
      <c r="B856" s="17"/>
      <c r="C856" s="2"/>
      <c r="D856" s="2"/>
      <c r="E856" s="2"/>
      <c r="F856" s="2"/>
      <c r="G856" s="2"/>
      <c r="H856" s="2"/>
      <c r="I856" s="5"/>
    </row>
    <row r="857" spans="1:9" ht="17.399999999999999" x14ac:dyDescent="0.25">
      <c r="A857" s="16"/>
      <c r="B857" s="17"/>
      <c r="C857" s="2"/>
      <c r="D857" s="2"/>
      <c r="E857" s="2"/>
      <c r="F857" s="2"/>
      <c r="G857" s="2"/>
      <c r="H857" s="2"/>
      <c r="I857" s="5"/>
    </row>
    <row r="858" spans="1:9" ht="17.399999999999999" x14ac:dyDescent="0.25">
      <c r="A858" s="16"/>
      <c r="B858" s="17"/>
      <c r="C858" s="2"/>
      <c r="D858" s="2"/>
      <c r="E858" s="2"/>
      <c r="F858" s="2"/>
      <c r="G858" s="2"/>
      <c r="H858" s="2"/>
      <c r="I858" s="5"/>
    </row>
    <row r="859" spans="1:9" ht="17.399999999999999" x14ac:dyDescent="0.25">
      <c r="A859" s="16"/>
      <c r="B859" s="17"/>
      <c r="C859" s="2"/>
      <c r="D859" s="2"/>
      <c r="E859" s="2"/>
      <c r="F859" s="2"/>
      <c r="G859" s="2"/>
      <c r="H859" s="2"/>
      <c r="I859" s="5"/>
    </row>
    <row r="860" spans="1:9" ht="17.399999999999999" x14ac:dyDescent="0.25">
      <c r="A860" s="16"/>
      <c r="B860" s="17"/>
      <c r="C860" s="2"/>
      <c r="D860" s="2"/>
      <c r="E860" s="2"/>
      <c r="F860" s="2"/>
      <c r="G860" s="2"/>
      <c r="H860" s="2"/>
      <c r="I860" s="5"/>
    </row>
    <row r="861" spans="1:9" ht="17.399999999999999" x14ac:dyDescent="0.25">
      <c r="A861" s="16"/>
      <c r="B861" s="17"/>
      <c r="C861" s="2"/>
      <c r="D861" s="2"/>
      <c r="E861" s="2"/>
      <c r="F861" s="2"/>
      <c r="G861" s="2"/>
      <c r="H861" s="2"/>
      <c r="I861" s="5"/>
    </row>
    <row r="862" spans="1:9" ht="17.399999999999999" x14ac:dyDescent="0.25">
      <c r="A862" s="16"/>
      <c r="B862" s="17"/>
      <c r="C862" s="2"/>
      <c r="D862" s="2"/>
      <c r="E862" s="2"/>
      <c r="F862" s="2"/>
      <c r="G862" s="2"/>
      <c r="H862" s="2"/>
      <c r="I862" s="5"/>
    </row>
    <row r="863" spans="1:9" ht="17.399999999999999" x14ac:dyDescent="0.25">
      <c r="A863" s="16"/>
      <c r="B863" s="17"/>
      <c r="C863" s="2"/>
      <c r="D863" s="2"/>
      <c r="E863" s="2"/>
      <c r="F863" s="2"/>
      <c r="G863" s="2"/>
      <c r="H863" s="2"/>
      <c r="I863" s="5"/>
    </row>
    <row r="864" spans="1:9" ht="17.399999999999999" x14ac:dyDescent="0.25">
      <c r="A864" s="16"/>
      <c r="B864" s="17"/>
      <c r="C864" s="2"/>
      <c r="D864" s="2"/>
      <c r="E864" s="2"/>
      <c r="F864" s="2"/>
      <c r="G864" s="2"/>
      <c r="H864" s="2"/>
      <c r="I864" s="5"/>
    </row>
    <row r="865" spans="1:9" ht="17.399999999999999" x14ac:dyDescent="0.25">
      <c r="A865" s="16"/>
      <c r="B865" s="17"/>
      <c r="C865" s="2"/>
      <c r="D865" s="2"/>
      <c r="E865" s="2"/>
      <c r="F865" s="2"/>
      <c r="G865" s="2"/>
      <c r="H865" s="2"/>
      <c r="I865" s="5"/>
    </row>
    <row r="866" spans="1:9" ht="17.399999999999999" x14ac:dyDescent="0.25">
      <c r="A866" s="16"/>
      <c r="B866" s="17"/>
      <c r="C866" s="2"/>
      <c r="D866" s="2"/>
      <c r="E866" s="2"/>
      <c r="F866" s="2"/>
      <c r="G866" s="2"/>
      <c r="H866" s="2"/>
      <c r="I866" s="5"/>
    </row>
    <row r="867" spans="1:9" ht="17.399999999999999" x14ac:dyDescent="0.25">
      <c r="A867" s="16"/>
      <c r="B867" s="17"/>
      <c r="C867" s="2"/>
      <c r="D867" s="2"/>
      <c r="E867" s="2"/>
      <c r="F867" s="2"/>
      <c r="G867" s="2"/>
      <c r="H867" s="2"/>
      <c r="I867" s="5"/>
    </row>
    <row r="868" spans="1:9" ht="17.399999999999999" x14ac:dyDescent="0.25">
      <c r="A868" s="16"/>
      <c r="B868" s="17"/>
      <c r="C868" s="2"/>
      <c r="D868" s="2"/>
      <c r="E868" s="2"/>
      <c r="F868" s="2"/>
      <c r="G868" s="2"/>
      <c r="H868" s="2"/>
      <c r="I868" s="5"/>
    </row>
    <row r="869" spans="1:9" ht="17.399999999999999" x14ac:dyDescent="0.25">
      <c r="A869" s="16"/>
      <c r="B869" s="17"/>
      <c r="C869" s="2"/>
      <c r="D869" s="2"/>
      <c r="E869" s="2"/>
      <c r="F869" s="2"/>
      <c r="G869" s="2"/>
      <c r="H869" s="2"/>
      <c r="I869" s="5"/>
    </row>
    <row r="870" spans="1:9" ht="17.399999999999999" x14ac:dyDescent="0.25">
      <c r="A870" s="16"/>
      <c r="B870" s="17"/>
      <c r="C870" s="2"/>
      <c r="D870" s="2"/>
      <c r="E870" s="2"/>
      <c r="F870" s="2"/>
      <c r="G870" s="2"/>
      <c r="H870" s="2"/>
      <c r="I870" s="5"/>
    </row>
    <row r="871" spans="1:9" ht="17.399999999999999" x14ac:dyDescent="0.25">
      <c r="A871" s="16"/>
      <c r="B871" s="17"/>
      <c r="C871" s="2"/>
      <c r="D871" s="2"/>
      <c r="E871" s="2"/>
      <c r="F871" s="2"/>
      <c r="G871" s="2"/>
      <c r="H871" s="2"/>
      <c r="I871" s="5"/>
    </row>
    <row r="872" spans="1:9" ht="17.399999999999999" x14ac:dyDescent="0.25">
      <c r="A872" s="16"/>
      <c r="B872" s="17"/>
      <c r="C872" s="2"/>
      <c r="D872" s="2"/>
      <c r="E872" s="2"/>
      <c r="F872" s="2"/>
      <c r="G872" s="2"/>
      <c r="H872" s="2"/>
      <c r="I872" s="5"/>
    </row>
    <row r="873" spans="1:9" ht="17.399999999999999" x14ac:dyDescent="0.25">
      <c r="A873" s="16"/>
      <c r="B873" s="17"/>
      <c r="C873" s="2"/>
      <c r="D873" s="2"/>
      <c r="E873" s="2"/>
      <c r="F873" s="2"/>
      <c r="G873" s="2"/>
      <c r="H873" s="2"/>
      <c r="I873" s="5"/>
    </row>
    <row r="874" spans="1:9" ht="17.399999999999999" x14ac:dyDescent="0.25">
      <c r="A874" s="16"/>
      <c r="B874" s="17"/>
      <c r="C874" s="2"/>
      <c r="D874" s="2"/>
      <c r="E874" s="2"/>
      <c r="F874" s="2"/>
      <c r="G874" s="2"/>
      <c r="H874" s="2"/>
      <c r="I874" s="5"/>
    </row>
    <row r="875" spans="1:9" ht="17.399999999999999" x14ac:dyDescent="0.25">
      <c r="A875" s="16"/>
      <c r="B875" s="17"/>
      <c r="C875" s="2"/>
      <c r="D875" s="2"/>
      <c r="E875" s="2"/>
      <c r="F875" s="2"/>
      <c r="G875" s="2"/>
      <c r="H875" s="2"/>
      <c r="I875" s="5"/>
    </row>
    <row r="876" spans="1:9" ht="17.399999999999999" x14ac:dyDescent="0.25">
      <c r="A876" s="16"/>
      <c r="B876" s="17"/>
      <c r="C876" s="2"/>
      <c r="D876" s="2"/>
      <c r="E876" s="2"/>
      <c r="F876" s="2"/>
      <c r="G876" s="2"/>
      <c r="H876" s="2"/>
      <c r="I876" s="5"/>
    </row>
    <row r="877" spans="1:9" ht="17.399999999999999" x14ac:dyDescent="0.25">
      <c r="A877" s="16"/>
      <c r="B877" s="17"/>
      <c r="C877" s="2"/>
      <c r="D877" s="2"/>
      <c r="E877" s="2"/>
      <c r="F877" s="2"/>
      <c r="G877" s="2"/>
      <c r="H877" s="2"/>
      <c r="I877" s="5"/>
    </row>
    <row r="878" spans="1:9" ht="17.399999999999999" x14ac:dyDescent="0.25">
      <c r="A878" s="16"/>
      <c r="B878" s="17"/>
      <c r="C878" s="2"/>
      <c r="D878" s="2"/>
      <c r="E878" s="2"/>
      <c r="F878" s="2"/>
      <c r="G878" s="2"/>
      <c r="H878" s="2"/>
      <c r="I878" s="5"/>
    </row>
    <row r="879" spans="1:9" ht="17.399999999999999" x14ac:dyDescent="0.25">
      <c r="A879" s="16"/>
      <c r="B879" s="17"/>
      <c r="C879" s="2"/>
      <c r="D879" s="2"/>
      <c r="E879" s="2"/>
      <c r="F879" s="2"/>
      <c r="G879" s="2"/>
      <c r="H879" s="2"/>
      <c r="I879" s="5"/>
    </row>
    <row r="880" spans="1:9" ht="17.399999999999999" x14ac:dyDescent="0.25">
      <c r="A880" s="16"/>
      <c r="B880" s="17"/>
      <c r="C880" s="2"/>
      <c r="D880" s="2"/>
      <c r="E880" s="2"/>
      <c r="F880" s="2"/>
      <c r="G880" s="2"/>
      <c r="H880" s="2"/>
      <c r="I880" s="5"/>
    </row>
    <row r="881" spans="1:9" ht="17.399999999999999" x14ac:dyDescent="0.25">
      <c r="A881" s="16"/>
      <c r="B881" s="17"/>
      <c r="C881" s="2"/>
      <c r="D881" s="2"/>
      <c r="E881" s="2"/>
      <c r="F881" s="2"/>
      <c r="G881" s="2"/>
      <c r="H881" s="2"/>
      <c r="I881" s="5"/>
    </row>
    <row r="882" spans="1:9" ht="17.399999999999999" x14ac:dyDescent="0.25">
      <c r="A882" s="16"/>
      <c r="B882" s="17"/>
      <c r="C882" s="2"/>
      <c r="D882" s="2"/>
      <c r="E882" s="2"/>
      <c r="F882" s="2"/>
      <c r="G882" s="2"/>
      <c r="H882" s="2"/>
      <c r="I882" s="5"/>
    </row>
    <row r="883" spans="1:9" ht="17.399999999999999" x14ac:dyDescent="0.25">
      <c r="A883" s="16"/>
      <c r="B883" s="17"/>
      <c r="C883" s="2"/>
      <c r="D883" s="2"/>
      <c r="E883" s="2"/>
      <c r="F883" s="2"/>
      <c r="G883" s="2"/>
      <c r="H883" s="2"/>
      <c r="I883" s="5"/>
    </row>
    <row r="884" spans="1:9" ht="17.399999999999999" x14ac:dyDescent="0.25">
      <c r="A884" s="16"/>
      <c r="B884" s="17"/>
      <c r="C884" s="2"/>
      <c r="D884" s="2"/>
      <c r="E884" s="2"/>
      <c r="F884" s="2"/>
      <c r="G884" s="2"/>
      <c r="H884" s="2"/>
      <c r="I884" s="5"/>
    </row>
    <row r="885" spans="1:9" ht="17.399999999999999" x14ac:dyDescent="0.25">
      <c r="A885" s="16"/>
      <c r="B885" s="17"/>
      <c r="C885" s="2"/>
      <c r="D885" s="2"/>
      <c r="E885" s="2"/>
      <c r="F885" s="2"/>
      <c r="G885" s="2"/>
      <c r="H885" s="2"/>
      <c r="I885" s="5"/>
    </row>
    <row r="886" spans="1:9" ht="17.399999999999999" x14ac:dyDescent="0.25">
      <c r="A886" s="16"/>
      <c r="B886" s="17"/>
      <c r="C886" s="2"/>
      <c r="D886" s="2"/>
      <c r="E886" s="2"/>
      <c r="F886" s="2"/>
      <c r="G886" s="2"/>
      <c r="H886" s="2"/>
      <c r="I886" s="5"/>
    </row>
    <row r="887" spans="1:9" ht="17.399999999999999" x14ac:dyDescent="0.25">
      <c r="A887" s="16"/>
      <c r="B887" s="17"/>
      <c r="C887" s="2"/>
      <c r="D887" s="2"/>
      <c r="E887" s="2"/>
      <c r="F887" s="2"/>
      <c r="G887" s="2"/>
      <c r="H887" s="2"/>
      <c r="I887" s="5"/>
    </row>
    <row r="888" spans="1:9" ht="17.399999999999999" x14ac:dyDescent="0.25">
      <c r="A888" s="16"/>
      <c r="B888" s="17"/>
      <c r="C888" s="2"/>
      <c r="D888" s="2"/>
      <c r="E888" s="2"/>
      <c r="F888" s="2"/>
      <c r="G888" s="2"/>
      <c r="H888" s="2"/>
      <c r="I888" s="5"/>
    </row>
    <row r="889" spans="1:9" ht="17.399999999999999" x14ac:dyDescent="0.25">
      <c r="A889" s="16"/>
      <c r="B889" s="17"/>
      <c r="C889" s="2"/>
      <c r="D889" s="2"/>
      <c r="E889" s="2"/>
      <c r="F889" s="2"/>
      <c r="G889" s="2"/>
      <c r="H889" s="2"/>
      <c r="I889" s="5"/>
    </row>
    <row r="890" spans="1:9" ht="17.399999999999999" x14ac:dyDescent="0.25">
      <c r="A890" s="16"/>
      <c r="B890" s="17"/>
      <c r="C890" s="2"/>
      <c r="D890" s="2"/>
      <c r="E890" s="2"/>
      <c r="F890" s="2"/>
      <c r="G890" s="2"/>
      <c r="H890" s="2"/>
      <c r="I890" s="5"/>
    </row>
    <row r="891" spans="1:9" ht="17.399999999999999" x14ac:dyDescent="0.25">
      <c r="A891" s="16"/>
      <c r="B891" s="17"/>
      <c r="C891" s="2"/>
      <c r="D891" s="2"/>
      <c r="E891" s="2"/>
      <c r="F891" s="2"/>
      <c r="G891" s="2"/>
      <c r="H891" s="2"/>
      <c r="I891" s="5"/>
    </row>
    <row r="892" spans="1:9" ht="17.399999999999999" x14ac:dyDescent="0.25">
      <c r="A892" s="16"/>
      <c r="B892" s="17"/>
      <c r="C892" s="2"/>
      <c r="D892" s="2"/>
      <c r="E892" s="2"/>
      <c r="F892" s="2"/>
      <c r="G892" s="2"/>
      <c r="H892" s="2"/>
      <c r="I892" s="5"/>
    </row>
    <row r="893" spans="1:9" ht="17.399999999999999" x14ac:dyDescent="0.25">
      <c r="A893" s="16"/>
      <c r="B893" s="17"/>
      <c r="C893" s="2"/>
      <c r="D893" s="2"/>
      <c r="E893" s="2"/>
      <c r="F893" s="2"/>
      <c r="G893" s="2"/>
      <c r="H893" s="2"/>
      <c r="I893" s="5"/>
    </row>
    <row r="894" spans="1:9" ht="17.399999999999999" x14ac:dyDescent="0.25">
      <c r="A894" s="16"/>
      <c r="B894" s="17"/>
      <c r="C894" s="2"/>
      <c r="D894" s="2"/>
      <c r="E894" s="2"/>
      <c r="F894" s="2"/>
      <c r="G894" s="2"/>
      <c r="H894" s="2"/>
      <c r="I894" s="5"/>
    </row>
    <row r="895" spans="1:9" ht="17.399999999999999" x14ac:dyDescent="0.25">
      <c r="A895" s="16"/>
      <c r="B895" s="17"/>
      <c r="C895" s="2"/>
      <c r="D895" s="2"/>
      <c r="E895" s="2"/>
      <c r="F895" s="2"/>
      <c r="G895" s="2"/>
      <c r="H895" s="2"/>
      <c r="I895" s="5"/>
    </row>
    <row r="896" spans="1:9" ht="17.399999999999999" x14ac:dyDescent="0.25">
      <c r="A896" s="16"/>
      <c r="B896" s="17"/>
      <c r="C896" s="2"/>
      <c r="D896" s="2"/>
      <c r="E896" s="2"/>
      <c r="F896" s="2"/>
      <c r="G896" s="2"/>
      <c r="H896" s="2"/>
      <c r="I896" s="5"/>
    </row>
    <row r="897" spans="1:9" ht="17.399999999999999" x14ac:dyDescent="0.25">
      <c r="A897" s="16"/>
      <c r="B897" s="17"/>
      <c r="C897" s="2"/>
      <c r="D897" s="2"/>
      <c r="E897" s="2"/>
      <c r="F897" s="2"/>
      <c r="G897" s="2"/>
      <c r="H897" s="2"/>
      <c r="I897" s="5"/>
    </row>
    <row r="898" spans="1:9" ht="17.399999999999999" x14ac:dyDescent="0.25">
      <c r="A898" s="16"/>
      <c r="B898" s="17"/>
      <c r="C898" s="2"/>
      <c r="D898" s="2"/>
      <c r="E898" s="2"/>
      <c r="F898" s="2"/>
      <c r="G898" s="2"/>
      <c r="H898" s="2"/>
      <c r="I898" s="5"/>
    </row>
    <row r="899" spans="1:9" ht="17.399999999999999" x14ac:dyDescent="0.25">
      <c r="A899" s="16"/>
      <c r="B899" s="17"/>
      <c r="C899" s="2"/>
      <c r="D899" s="2"/>
      <c r="E899" s="2"/>
      <c r="F899" s="2"/>
      <c r="G899" s="2"/>
      <c r="H899" s="2"/>
      <c r="I899" s="5"/>
    </row>
    <row r="900" spans="1:9" ht="17.399999999999999" x14ac:dyDescent="0.25">
      <c r="A900" s="16"/>
      <c r="B900" s="17"/>
      <c r="C900" s="2"/>
      <c r="D900" s="2"/>
      <c r="E900" s="2"/>
      <c r="F900" s="2"/>
      <c r="G900" s="2"/>
      <c r="H900" s="2"/>
      <c r="I900" s="5"/>
    </row>
    <row r="901" spans="1:9" ht="17.399999999999999" x14ac:dyDescent="0.25">
      <c r="A901" s="16"/>
      <c r="B901" s="17"/>
      <c r="C901" s="2"/>
      <c r="D901" s="2"/>
      <c r="E901" s="2"/>
      <c r="F901" s="2"/>
      <c r="G901" s="2"/>
      <c r="H901" s="2"/>
      <c r="I901" s="5"/>
    </row>
    <row r="902" spans="1:9" ht="17.399999999999999" x14ac:dyDescent="0.25">
      <c r="A902" s="16"/>
      <c r="B902" s="17"/>
      <c r="C902" s="2"/>
      <c r="D902" s="2"/>
      <c r="E902" s="2"/>
      <c r="F902" s="2"/>
      <c r="G902" s="2"/>
      <c r="H902" s="2"/>
      <c r="I902" s="5"/>
    </row>
    <row r="903" spans="1:9" ht="17.399999999999999" x14ac:dyDescent="0.25">
      <c r="A903" s="16"/>
      <c r="B903" s="17"/>
      <c r="C903" s="2"/>
      <c r="D903" s="2"/>
      <c r="E903" s="2"/>
      <c r="F903" s="2"/>
      <c r="G903" s="2"/>
      <c r="H903" s="2"/>
      <c r="I903" s="5"/>
    </row>
    <row r="904" spans="1:9" ht="17.399999999999999" x14ac:dyDescent="0.25">
      <c r="A904" s="16"/>
      <c r="B904" s="17"/>
      <c r="C904" s="2"/>
      <c r="D904" s="2"/>
      <c r="E904" s="2"/>
      <c r="F904" s="2"/>
      <c r="G904" s="2"/>
      <c r="H904" s="2"/>
      <c r="I904" s="5"/>
    </row>
    <row r="905" spans="1:9" ht="17.399999999999999" x14ac:dyDescent="0.25">
      <c r="A905" s="16"/>
      <c r="B905" s="17"/>
      <c r="C905" s="2"/>
      <c r="D905" s="2"/>
      <c r="E905" s="2"/>
      <c r="F905" s="2"/>
      <c r="G905" s="2"/>
      <c r="H905" s="2"/>
      <c r="I905" s="5"/>
    </row>
    <row r="906" spans="1:9" ht="17.399999999999999" x14ac:dyDescent="0.25">
      <c r="A906" s="16"/>
      <c r="B906" s="17"/>
      <c r="C906" s="2"/>
      <c r="D906" s="2"/>
      <c r="E906" s="2"/>
      <c r="F906" s="2"/>
      <c r="G906" s="2"/>
      <c r="H906" s="2"/>
      <c r="I906" s="5"/>
    </row>
    <row r="907" spans="1:9" ht="17.399999999999999" x14ac:dyDescent="0.25">
      <c r="A907" s="16"/>
      <c r="B907" s="17"/>
      <c r="C907" s="2"/>
      <c r="D907" s="2"/>
      <c r="E907" s="2"/>
      <c r="F907" s="2"/>
      <c r="G907" s="2"/>
      <c r="H907" s="2"/>
      <c r="I907" s="5"/>
    </row>
    <row r="908" spans="1:9" ht="17.399999999999999" x14ac:dyDescent="0.25">
      <c r="A908" s="16"/>
      <c r="B908" s="17"/>
      <c r="C908" s="2"/>
      <c r="D908" s="2"/>
      <c r="E908" s="2"/>
      <c r="F908" s="2"/>
      <c r="G908" s="2"/>
      <c r="H908" s="2"/>
      <c r="I908" s="5"/>
    </row>
    <row r="909" spans="1:9" ht="17.399999999999999" x14ac:dyDescent="0.25">
      <c r="A909" s="16"/>
      <c r="B909" s="17"/>
      <c r="C909" s="2"/>
      <c r="D909" s="2"/>
      <c r="E909" s="2"/>
      <c r="F909" s="2"/>
      <c r="G909" s="2"/>
      <c r="H909" s="2"/>
      <c r="I909" s="5"/>
    </row>
    <row r="910" spans="1:9" ht="17.399999999999999" x14ac:dyDescent="0.25">
      <c r="A910" s="16"/>
      <c r="B910" s="17"/>
      <c r="C910" s="2"/>
      <c r="D910" s="2"/>
      <c r="E910" s="2"/>
      <c r="F910" s="2"/>
      <c r="G910" s="2"/>
      <c r="H910" s="2"/>
      <c r="I910" s="5"/>
    </row>
    <row r="911" spans="1:9" ht="17.399999999999999" x14ac:dyDescent="0.25">
      <c r="A911" s="16"/>
      <c r="B911" s="17"/>
      <c r="C911" s="2"/>
      <c r="D911" s="2"/>
      <c r="E911" s="2"/>
      <c r="F911" s="2"/>
      <c r="G911" s="2"/>
      <c r="H911" s="2"/>
      <c r="I911" s="5"/>
    </row>
    <row r="912" spans="1:9" ht="17.399999999999999" x14ac:dyDescent="0.25">
      <c r="A912" s="16"/>
      <c r="B912" s="17"/>
      <c r="C912" s="2"/>
      <c r="D912" s="2"/>
      <c r="E912" s="2"/>
      <c r="F912" s="2"/>
      <c r="G912" s="2"/>
      <c r="H912" s="2"/>
      <c r="I912" s="5"/>
    </row>
    <row r="913" spans="1:9" ht="17.399999999999999" x14ac:dyDescent="0.25">
      <c r="A913" s="16"/>
      <c r="B913" s="17"/>
      <c r="C913" s="2"/>
      <c r="D913" s="2"/>
      <c r="E913" s="2"/>
      <c r="F913" s="2"/>
      <c r="G913" s="2"/>
      <c r="H913" s="2"/>
      <c r="I913" s="5"/>
    </row>
    <row r="914" spans="1:9" ht="17.399999999999999" x14ac:dyDescent="0.25">
      <c r="A914" s="16"/>
      <c r="B914" s="17"/>
      <c r="C914" s="2"/>
      <c r="D914" s="2"/>
      <c r="E914" s="2"/>
      <c r="F914" s="2"/>
      <c r="G914" s="2"/>
      <c r="H914" s="2"/>
      <c r="I914" s="5"/>
    </row>
    <row r="915" spans="1:9" ht="17.399999999999999" x14ac:dyDescent="0.25">
      <c r="A915" s="16"/>
      <c r="B915" s="17"/>
      <c r="C915" s="2"/>
      <c r="D915" s="2"/>
      <c r="E915" s="2"/>
      <c r="F915" s="2"/>
      <c r="G915" s="2"/>
      <c r="H915" s="2"/>
      <c r="I915" s="5"/>
    </row>
    <row r="916" spans="1:9" ht="17.399999999999999" x14ac:dyDescent="0.25">
      <c r="A916" s="16"/>
      <c r="B916" s="17"/>
      <c r="C916" s="2"/>
      <c r="D916" s="2"/>
      <c r="E916" s="2"/>
      <c r="F916" s="2"/>
      <c r="G916" s="2"/>
      <c r="H916" s="2"/>
      <c r="I916" s="5"/>
    </row>
    <row r="917" spans="1:9" ht="17.399999999999999" x14ac:dyDescent="0.25">
      <c r="A917" s="16"/>
      <c r="B917" s="17"/>
      <c r="C917" s="2"/>
      <c r="D917" s="2"/>
      <c r="E917" s="2"/>
      <c r="F917" s="2"/>
      <c r="G917" s="2"/>
      <c r="H917" s="2"/>
      <c r="I917" s="5"/>
    </row>
    <row r="918" spans="1:9" ht="17.399999999999999" x14ac:dyDescent="0.25">
      <c r="A918" s="16"/>
      <c r="B918" s="17"/>
      <c r="C918" s="2"/>
      <c r="D918" s="2"/>
      <c r="E918" s="2"/>
      <c r="F918" s="2"/>
      <c r="G918" s="2"/>
      <c r="H918" s="2"/>
      <c r="I918" s="5"/>
    </row>
    <row r="919" spans="1:9" ht="17.399999999999999" x14ac:dyDescent="0.25">
      <c r="A919" s="16"/>
      <c r="B919" s="17"/>
      <c r="C919" s="2"/>
      <c r="D919" s="2"/>
      <c r="E919" s="2"/>
      <c r="F919" s="2"/>
      <c r="G919" s="2"/>
      <c r="H919" s="2"/>
      <c r="I919" s="5"/>
    </row>
    <row r="920" spans="1:9" ht="17.399999999999999" x14ac:dyDescent="0.25">
      <c r="A920" s="16"/>
      <c r="B920" s="17"/>
      <c r="C920" s="2"/>
      <c r="D920" s="2"/>
      <c r="E920" s="2"/>
      <c r="F920" s="2"/>
      <c r="G920" s="2"/>
      <c r="H920" s="2"/>
      <c r="I920" s="5"/>
    </row>
    <row r="921" spans="1:9" ht="17.399999999999999" x14ac:dyDescent="0.25">
      <c r="A921" s="16"/>
      <c r="B921" s="17"/>
      <c r="C921" s="2"/>
      <c r="D921" s="2"/>
      <c r="E921" s="2"/>
      <c r="F921" s="2"/>
      <c r="G921" s="2"/>
      <c r="H921" s="2"/>
      <c r="I921" s="5"/>
    </row>
    <row r="922" spans="1:9" ht="17.399999999999999" x14ac:dyDescent="0.25">
      <c r="A922" s="16"/>
      <c r="B922" s="17"/>
      <c r="C922" s="2"/>
      <c r="D922" s="2"/>
      <c r="E922" s="2"/>
      <c r="F922" s="2"/>
      <c r="G922" s="2"/>
      <c r="H922" s="2"/>
      <c r="I922" s="5"/>
    </row>
    <row r="923" spans="1:9" ht="17.399999999999999" x14ac:dyDescent="0.25">
      <c r="A923" s="16"/>
      <c r="B923" s="17"/>
      <c r="C923" s="2"/>
      <c r="D923" s="2"/>
      <c r="E923" s="2"/>
      <c r="F923" s="2"/>
      <c r="G923" s="2"/>
      <c r="H923" s="2"/>
      <c r="I923" s="5"/>
    </row>
    <row r="924" spans="1:9" ht="17.399999999999999" x14ac:dyDescent="0.25">
      <c r="A924" s="16"/>
      <c r="B924" s="17"/>
      <c r="C924" s="2"/>
      <c r="D924" s="2"/>
      <c r="E924" s="2"/>
      <c r="F924" s="2"/>
      <c r="G924" s="2"/>
      <c r="H924" s="2"/>
      <c r="I924" s="5"/>
    </row>
    <row r="925" spans="1:9" ht="17.399999999999999" x14ac:dyDescent="0.25">
      <c r="A925" s="16"/>
      <c r="B925" s="17"/>
      <c r="C925" s="2"/>
      <c r="D925" s="2"/>
      <c r="E925" s="2"/>
      <c r="F925" s="2"/>
      <c r="G925" s="2"/>
      <c r="H925" s="2"/>
      <c r="I925" s="5"/>
    </row>
    <row r="926" spans="1:9" ht="17.399999999999999" x14ac:dyDescent="0.25">
      <c r="A926" s="16"/>
      <c r="B926" s="17"/>
      <c r="C926" s="2"/>
      <c r="D926" s="2"/>
      <c r="E926" s="2"/>
      <c r="F926" s="2"/>
      <c r="G926" s="2"/>
      <c r="H926" s="2"/>
      <c r="I926" s="5"/>
    </row>
    <row r="927" spans="1:9" ht="17.399999999999999" x14ac:dyDescent="0.25">
      <c r="A927" s="16"/>
      <c r="B927" s="17"/>
      <c r="C927" s="2"/>
      <c r="D927" s="2"/>
      <c r="E927" s="2"/>
      <c r="F927" s="2"/>
      <c r="G927" s="2"/>
      <c r="H927" s="2"/>
      <c r="I927" s="5"/>
    </row>
    <row r="928" spans="1:9" ht="17.399999999999999" x14ac:dyDescent="0.25">
      <c r="A928" s="16"/>
      <c r="B928" s="17"/>
      <c r="C928" s="2"/>
      <c r="D928" s="2"/>
      <c r="E928" s="2"/>
      <c r="F928" s="2"/>
      <c r="G928" s="2"/>
      <c r="H928" s="2"/>
      <c r="I928" s="5"/>
    </row>
    <row r="929" spans="1:9" ht="17.399999999999999" x14ac:dyDescent="0.25">
      <c r="A929" s="16"/>
      <c r="B929" s="17"/>
      <c r="C929" s="2"/>
      <c r="D929" s="2"/>
      <c r="E929" s="2"/>
      <c r="F929" s="2"/>
      <c r="G929" s="2"/>
      <c r="H929" s="2"/>
      <c r="I929" s="5"/>
    </row>
    <row r="930" spans="1:9" ht="17.399999999999999" x14ac:dyDescent="0.25">
      <c r="A930" s="16"/>
      <c r="B930" s="17"/>
      <c r="C930" s="2"/>
      <c r="D930" s="2"/>
      <c r="E930" s="2"/>
      <c r="F930" s="2"/>
      <c r="G930" s="2"/>
      <c r="H930" s="2"/>
      <c r="I930" s="5"/>
    </row>
    <row r="931" spans="1:9" ht="17.399999999999999" x14ac:dyDescent="0.25">
      <c r="A931" s="16"/>
      <c r="B931" s="17"/>
      <c r="C931" s="2"/>
      <c r="D931" s="2"/>
      <c r="E931" s="2"/>
      <c r="F931" s="2"/>
      <c r="G931" s="2"/>
      <c r="H931" s="2"/>
      <c r="I931" s="5"/>
    </row>
    <row r="932" spans="1:9" ht="17.399999999999999" x14ac:dyDescent="0.25">
      <c r="A932" s="16"/>
      <c r="B932" s="17"/>
      <c r="C932" s="2"/>
      <c r="D932" s="2"/>
      <c r="E932" s="2"/>
      <c r="F932" s="2"/>
      <c r="G932" s="2"/>
      <c r="H932" s="2"/>
      <c r="I932" s="5"/>
    </row>
    <row r="933" spans="1:9" ht="17.399999999999999" x14ac:dyDescent="0.25">
      <c r="A933" s="16"/>
      <c r="B933" s="17"/>
      <c r="C933" s="2"/>
      <c r="D933" s="2"/>
      <c r="E933" s="2"/>
      <c r="F933" s="2"/>
      <c r="G933" s="2"/>
      <c r="H933" s="2"/>
      <c r="I933" s="5"/>
    </row>
    <row r="934" spans="1:9" ht="17.399999999999999" x14ac:dyDescent="0.25">
      <c r="A934" s="16"/>
      <c r="B934" s="17"/>
      <c r="C934" s="2"/>
      <c r="D934" s="2"/>
      <c r="E934" s="2"/>
      <c r="F934" s="2"/>
      <c r="G934" s="2"/>
      <c r="H934" s="2"/>
      <c r="I934" s="5"/>
    </row>
    <row r="935" spans="1:9" ht="17.399999999999999" x14ac:dyDescent="0.25">
      <c r="A935" s="16"/>
      <c r="B935" s="17"/>
      <c r="C935" s="2"/>
      <c r="D935" s="2"/>
      <c r="E935" s="2"/>
      <c r="F935" s="2"/>
      <c r="G935" s="2"/>
      <c r="H935" s="2"/>
      <c r="I935" s="5"/>
    </row>
    <row r="936" spans="1:9" ht="17.399999999999999" x14ac:dyDescent="0.25">
      <c r="A936" s="16"/>
      <c r="B936" s="17"/>
      <c r="C936" s="2"/>
      <c r="D936" s="2"/>
      <c r="E936" s="2"/>
      <c r="F936" s="2"/>
      <c r="G936" s="2"/>
      <c r="H936" s="2"/>
      <c r="I936" s="5"/>
    </row>
    <row r="937" spans="1:9" ht="17.399999999999999" x14ac:dyDescent="0.25">
      <c r="A937" s="16"/>
      <c r="B937" s="17"/>
      <c r="C937" s="2"/>
      <c r="D937" s="2"/>
      <c r="E937" s="2"/>
      <c r="F937" s="2"/>
      <c r="G937" s="2"/>
      <c r="H937" s="2"/>
      <c r="I937" s="5"/>
    </row>
    <row r="938" spans="1:9" ht="17.399999999999999" x14ac:dyDescent="0.25">
      <c r="A938" s="16"/>
      <c r="B938" s="17"/>
      <c r="C938" s="2"/>
      <c r="D938" s="2"/>
      <c r="E938" s="2"/>
      <c r="F938" s="2"/>
      <c r="G938" s="2"/>
      <c r="H938" s="2"/>
      <c r="I938" s="5"/>
    </row>
    <row r="939" spans="1:9" ht="17.399999999999999" x14ac:dyDescent="0.25">
      <c r="A939" s="16"/>
      <c r="B939" s="17"/>
      <c r="C939" s="2"/>
      <c r="D939" s="2"/>
      <c r="E939" s="2"/>
      <c r="F939" s="2"/>
      <c r="G939" s="2"/>
      <c r="H939" s="2"/>
      <c r="I939" s="5"/>
    </row>
    <row r="940" spans="1:9" ht="17.399999999999999" x14ac:dyDescent="0.25">
      <c r="A940" s="16"/>
      <c r="B940" s="17"/>
      <c r="C940" s="2"/>
      <c r="D940" s="2"/>
      <c r="E940" s="2"/>
      <c r="F940" s="2"/>
      <c r="G940" s="2"/>
      <c r="H940" s="2"/>
      <c r="I940" s="5"/>
    </row>
    <row r="941" spans="1:9" ht="17.399999999999999" x14ac:dyDescent="0.25">
      <c r="A941" s="16"/>
      <c r="B941" s="17"/>
      <c r="C941" s="2"/>
      <c r="D941" s="2"/>
      <c r="E941" s="2"/>
      <c r="F941" s="2"/>
      <c r="G941" s="2"/>
      <c r="H941" s="2"/>
      <c r="I941" s="5"/>
    </row>
    <row r="942" spans="1:9" ht="17.399999999999999" x14ac:dyDescent="0.25">
      <c r="A942" s="16"/>
      <c r="B942" s="17"/>
      <c r="C942" s="2"/>
      <c r="D942" s="2"/>
      <c r="E942" s="2"/>
      <c r="F942" s="2"/>
      <c r="G942" s="2"/>
      <c r="H942" s="2"/>
      <c r="I942" s="5"/>
    </row>
    <row r="943" spans="1:9" ht="17.399999999999999" x14ac:dyDescent="0.25">
      <c r="A943" s="16"/>
      <c r="B943" s="17"/>
      <c r="C943" s="2"/>
      <c r="D943" s="2"/>
      <c r="E943" s="2"/>
      <c r="F943" s="2"/>
      <c r="G943" s="2"/>
      <c r="H943" s="2"/>
      <c r="I943" s="5"/>
    </row>
    <row r="944" spans="1:9" ht="17.399999999999999" x14ac:dyDescent="0.25">
      <c r="A944" s="16"/>
      <c r="B944" s="17"/>
      <c r="C944" s="2"/>
      <c r="D944" s="2"/>
      <c r="E944" s="2"/>
      <c r="F944" s="2"/>
      <c r="G944" s="2"/>
      <c r="H944" s="2"/>
      <c r="I944" s="5"/>
    </row>
    <row r="945" spans="1:9" ht="17.399999999999999" x14ac:dyDescent="0.25">
      <c r="A945" s="16"/>
      <c r="B945" s="17"/>
      <c r="C945" s="2"/>
      <c r="D945" s="2"/>
      <c r="E945" s="2"/>
      <c r="F945" s="2"/>
      <c r="G945" s="2"/>
      <c r="H945" s="2"/>
      <c r="I945" s="5"/>
    </row>
    <row r="946" spans="1:9" ht="17.399999999999999" x14ac:dyDescent="0.25">
      <c r="A946" s="16"/>
      <c r="B946" s="17"/>
      <c r="C946" s="2"/>
      <c r="D946" s="2"/>
      <c r="E946" s="2"/>
      <c r="F946" s="2"/>
      <c r="G946" s="2"/>
      <c r="H946" s="2"/>
      <c r="I946" s="5"/>
    </row>
    <row r="947" spans="1:9" ht="17.399999999999999" x14ac:dyDescent="0.25">
      <c r="A947" s="16"/>
      <c r="B947" s="17"/>
      <c r="C947" s="2"/>
      <c r="D947" s="2"/>
      <c r="E947" s="2"/>
      <c r="F947" s="2"/>
      <c r="G947" s="2"/>
      <c r="H947" s="2"/>
      <c r="I947" s="5"/>
    </row>
    <row r="948" spans="1:9" ht="17.399999999999999" x14ac:dyDescent="0.25">
      <c r="A948" s="16"/>
      <c r="B948" s="17"/>
      <c r="C948" s="2"/>
      <c r="D948" s="2"/>
      <c r="E948" s="2"/>
      <c r="F948" s="2"/>
      <c r="G948" s="2"/>
      <c r="H948" s="2"/>
      <c r="I948" s="5"/>
    </row>
    <row r="949" spans="1:9" ht="17.399999999999999" x14ac:dyDescent="0.25">
      <c r="A949" s="16"/>
      <c r="B949" s="17"/>
      <c r="C949" s="2"/>
      <c r="D949" s="2"/>
      <c r="E949" s="2"/>
      <c r="F949" s="2"/>
      <c r="G949" s="2"/>
      <c r="H949" s="2"/>
      <c r="I949" s="5"/>
    </row>
    <row r="950" spans="1:9" ht="17.399999999999999" x14ac:dyDescent="0.25">
      <c r="A950" s="16"/>
      <c r="B950" s="17"/>
      <c r="C950" s="2"/>
      <c r="D950" s="2"/>
      <c r="E950" s="2"/>
      <c r="F950" s="2"/>
      <c r="G950" s="2"/>
      <c r="H950" s="2"/>
      <c r="I950" s="5"/>
    </row>
    <row r="951" spans="1:9" ht="17.399999999999999" x14ac:dyDescent="0.25">
      <c r="A951" s="16"/>
      <c r="B951" s="17"/>
      <c r="C951" s="2"/>
      <c r="D951" s="2"/>
      <c r="E951" s="2"/>
      <c r="F951" s="2"/>
      <c r="G951" s="2"/>
      <c r="H951" s="2"/>
      <c r="I951" s="5"/>
    </row>
    <row r="952" spans="1:9" ht="17.399999999999999" x14ac:dyDescent="0.25">
      <c r="A952" s="16"/>
      <c r="B952" s="17"/>
      <c r="C952" s="2"/>
      <c r="D952" s="2"/>
      <c r="E952" s="2"/>
      <c r="F952" s="2"/>
      <c r="G952" s="2"/>
      <c r="H952" s="2"/>
      <c r="I952" s="5"/>
    </row>
    <row r="953" spans="1:9" ht="17.399999999999999" x14ac:dyDescent="0.25">
      <c r="A953" s="16"/>
      <c r="B953" s="17"/>
      <c r="C953" s="2"/>
      <c r="D953" s="2"/>
      <c r="E953" s="2"/>
      <c r="F953" s="2"/>
      <c r="G953" s="2"/>
      <c r="H953" s="2"/>
      <c r="I953" s="5"/>
    </row>
    <row r="954" spans="1:9" ht="17.399999999999999" x14ac:dyDescent="0.25">
      <c r="A954" s="16"/>
      <c r="B954" s="17"/>
      <c r="C954" s="2"/>
      <c r="D954" s="2"/>
      <c r="E954" s="2"/>
      <c r="F954" s="2"/>
      <c r="G954" s="2"/>
      <c r="H954" s="2"/>
      <c r="I954" s="5"/>
    </row>
    <row r="955" spans="1:9" ht="17.399999999999999" x14ac:dyDescent="0.25">
      <c r="A955" s="16"/>
      <c r="B955" s="17"/>
      <c r="C955" s="2"/>
      <c r="D955" s="2"/>
      <c r="E955" s="2"/>
      <c r="F955" s="2"/>
      <c r="G955" s="2"/>
      <c r="H955" s="2"/>
      <c r="I955" s="5"/>
    </row>
    <row r="956" spans="1:9" ht="17.399999999999999" x14ac:dyDescent="0.25">
      <c r="A956" s="16"/>
      <c r="B956" s="17"/>
      <c r="C956" s="2"/>
      <c r="D956" s="2"/>
      <c r="E956" s="2"/>
      <c r="F956" s="2"/>
      <c r="G956" s="2"/>
      <c r="H956" s="2"/>
      <c r="I956" s="5"/>
    </row>
    <row r="957" spans="1:9" ht="17.399999999999999" x14ac:dyDescent="0.25">
      <c r="A957" s="16"/>
      <c r="B957" s="17"/>
      <c r="C957" s="2"/>
      <c r="D957" s="2"/>
      <c r="E957" s="2"/>
      <c r="F957" s="2"/>
      <c r="G957" s="2"/>
      <c r="H957" s="2"/>
      <c r="I957" s="5"/>
    </row>
    <row r="958" spans="1:9" ht="17.399999999999999" x14ac:dyDescent="0.25">
      <c r="A958" s="16"/>
      <c r="B958" s="17"/>
      <c r="C958" s="2"/>
      <c r="D958" s="2"/>
      <c r="E958" s="2"/>
      <c r="F958" s="2"/>
      <c r="G958" s="2"/>
      <c r="H958" s="2"/>
      <c r="I958" s="5"/>
    </row>
    <row r="959" spans="1:9" ht="17.399999999999999" x14ac:dyDescent="0.25">
      <c r="A959" s="16"/>
      <c r="B959" s="17"/>
      <c r="C959" s="2"/>
      <c r="D959" s="2"/>
      <c r="E959" s="2"/>
      <c r="F959" s="2"/>
      <c r="G959" s="2"/>
      <c r="H959" s="2"/>
      <c r="I959" s="5"/>
    </row>
    <row r="960" spans="1:9" ht="17.399999999999999" x14ac:dyDescent="0.25">
      <c r="A960" s="16"/>
      <c r="B960" s="17"/>
      <c r="C960" s="2"/>
      <c r="D960" s="2"/>
      <c r="E960" s="2"/>
      <c r="F960" s="2"/>
      <c r="G960" s="2"/>
      <c r="H960" s="2"/>
      <c r="I960" s="5"/>
    </row>
    <row r="961" spans="1:9" ht="17.399999999999999" x14ac:dyDescent="0.25">
      <c r="A961" s="16"/>
      <c r="B961" s="17"/>
      <c r="C961" s="2"/>
      <c r="D961" s="2"/>
      <c r="E961" s="2"/>
      <c r="F961" s="2"/>
      <c r="G961" s="2"/>
      <c r="H961" s="2"/>
      <c r="I961" s="5"/>
    </row>
    <row r="962" spans="1:9" ht="17.399999999999999" x14ac:dyDescent="0.25">
      <c r="A962" s="16"/>
      <c r="B962" s="17"/>
      <c r="C962" s="2"/>
      <c r="D962" s="2"/>
      <c r="E962" s="2"/>
      <c r="F962" s="2"/>
      <c r="G962" s="2"/>
      <c r="H962" s="2"/>
      <c r="I962" s="5"/>
    </row>
    <row r="963" spans="1:9" ht="17.399999999999999" x14ac:dyDescent="0.25">
      <c r="A963" s="16"/>
      <c r="B963" s="17"/>
      <c r="C963" s="2"/>
      <c r="D963" s="2"/>
      <c r="E963" s="2"/>
      <c r="F963" s="2"/>
      <c r="G963" s="2"/>
      <c r="H963" s="2"/>
      <c r="I963" s="5"/>
    </row>
    <row r="964" spans="1:9" ht="17.399999999999999" x14ac:dyDescent="0.25">
      <c r="A964" s="16"/>
      <c r="B964" s="17"/>
      <c r="C964" s="2"/>
      <c r="D964" s="2"/>
      <c r="E964" s="2"/>
      <c r="F964" s="2"/>
      <c r="G964" s="2"/>
      <c r="H964" s="2"/>
      <c r="I964" s="5"/>
    </row>
    <row r="965" spans="1:9" ht="17.399999999999999" x14ac:dyDescent="0.25">
      <c r="A965" s="16"/>
      <c r="B965" s="17"/>
      <c r="C965" s="2"/>
      <c r="D965" s="2"/>
      <c r="E965" s="2"/>
      <c r="F965" s="2"/>
      <c r="G965" s="2"/>
      <c r="H965" s="2"/>
      <c r="I965" s="5"/>
    </row>
    <row r="966" spans="1:9" ht="17.399999999999999" x14ac:dyDescent="0.25">
      <c r="A966" s="16"/>
      <c r="B966" s="17"/>
      <c r="C966" s="2"/>
      <c r="D966" s="2"/>
      <c r="E966" s="2"/>
      <c r="F966" s="2"/>
      <c r="G966" s="2"/>
      <c r="H966" s="2"/>
      <c r="I966" s="5"/>
    </row>
    <row r="967" spans="1:9" ht="17.399999999999999" x14ac:dyDescent="0.25">
      <c r="A967" s="16"/>
      <c r="B967" s="17"/>
      <c r="C967" s="2"/>
      <c r="D967" s="2"/>
      <c r="E967" s="2"/>
      <c r="F967" s="2"/>
      <c r="G967" s="2"/>
      <c r="H967" s="2"/>
      <c r="I967" s="5"/>
    </row>
    <row r="968" spans="1:9" ht="17.399999999999999" x14ac:dyDescent="0.25">
      <c r="A968" s="16"/>
      <c r="B968" s="17"/>
      <c r="C968" s="2"/>
      <c r="D968" s="2"/>
      <c r="E968" s="2"/>
      <c r="F968" s="2"/>
      <c r="G968" s="2"/>
      <c r="H968" s="2"/>
      <c r="I968" s="5"/>
    </row>
    <row r="969" spans="1:9" ht="17.399999999999999" x14ac:dyDescent="0.25">
      <c r="A969" s="16"/>
      <c r="B969" s="17"/>
      <c r="C969" s="2"/>
      <c r="D969" s="2"/>
      <c r="E969" s="2"/>
      <c r="F969" s="2"/>
      <c r="G969" s="2"/>
      <c r="H969" s="2"/>
      <c r="I969" s="5"/>
    </row>
    <row r="970" spans="1:9" ht="17.399999999999999" x14ac:dyDescent="0.25">
      <c r="A970" s="16"/>
      <c r="B970" s="17"/>
      <c r="C970" s="2"/>
      <c r="D970" s="2"/>
      <c r="E970" s="2"/>
      <c r="F970" s="2"/>
      <c r="G970" s="2"/>
      <c r="H970" s="2"/>
      <c r="I970" s="5"/>
    </row>
    <row r="971" spans="1:9" ht="17.399999999999999" x14ac:dyDescent="0.25">
      <c r="A971" s="16"/>
      <c r="B971" s="17"/>
      <c r="C971" s="2"/>
      <c r="D971" s="2"/>
      <c r="E971" s="2"/>
      <c r="F971" s="2"/>
      <c r="G971" s="2"/>
      <c r="H971" s="2"/>
      <c r="I971" s="5"/>
    </row>
    <row r="972" spans="1:9" ht="17.399999999999999" x14ac:dyDescent="0.25">
      <c r="A972" s="16"/>
      <c r="B972" s="17"/>
      <c r="C972" s="2"/>
      <c r="D972" s="2"/>
      <c r="E972" s="2"/>
      <c r="F972" s="2"/>
      <c r="G972" s="2"/>
      <c r="H972" s="2"/>
      <c r="I972" s="5"/>
    </row>
    <row r="973" spans="1:9" ht="17.399999999999999" x14ac:dyDescent="0.25">
      <c r="A973" s="16"/>
      <c r="B973" s="17"/>
      <c r="C973" s="2"/>
      <c r="D973" s="2"/>
      <c r="E973" s="2"/>
      <c r="F973" s="2"/>
      <c r="G973" s="2"/>
      <c r="H973" s="2"/>
      <c r="I973" s="5"/>
    </row>
    <row r="974" spans="1:9" ht="17.399999999999999" x14ac:dyDescent="0.25">
      <c r="A974" s="16"/>
      <c r="B974" s="17"/>
      <c r="C974" s="2"/>
      <c r="D974" s="2"/>
      <c r="E974" s="2"/>
      <c r="F974" s="2"/>
      <c r="G974" s="2"/>
      <c r="H974" s="2"/>
      <c r="I974" s="5"/>
    </row>
    <row r="975" spans="1:9" ht="17.399999999999999" x14ac:dyDescent="0.25">
      <c r="A975" s="16"/>
      <c r="B975" s="17"/>
      <c r="C975" s="2"/>
      <c r="D975" s="2"/>
      <c r="E975" s="2"/>
      <c r="F975" s="2"/>
      <c r="G975" s="2"/>
      <c r="H975" s="2"/>
      <c r="I975" s="5"/>
    </row>
    <row r="976" spans="1:9" ht="17.399999999999999" x14ac:dyDescent="0.25">
      <c r="A976" s="16"/>
      <c r="B976" s="17"/>
      <c r="C976" s="2"/>
      <c r="D976" s="2"/>
      <c r="E976" s="2"/>
      <c r="F976" s="2"/>
      <c r="G976" s="2"/>
      <c r="H976" s="2"/>
      <c r="I976" s="5"/>
    </row>
    <row r="977" spans="1:9" ht="17.399999999999999" x14ac:dyDescent="0.25">
      <c r="A977" s="16"/>
      <c r="B977" s="17"/>
      <c r="C977" s="2"/>
      <c r="D977" s="2"/>
      <c r="E977" s="2"/>
      <c r="F977" s="2"/>
      <c r="G977" s="2"/>
      <c r="H977" s="2"/>
      <c r="I977" s="5"/>
    </row>
    <row r="978" spans="1:9" ht="17.399999999999999" x14ac:dyDescent="0.25">
      <c r="A978" s="16"/>
      <c r="B978" s="17"/>
      <c r="C978" s="2"/>
      <c r="D978" s="2"/>
      <c r="E978" s="2"/>
      <c r="F978" s="2"/>
      <c r="G978" s="2"/>
      <c r="H978" s="2"/>
      <c r="I978" s="5"/>
    </row>
    <row r="979" spans="1:9" ht="17.399999999999999" x14ac:dyDescent="0.25">
      <c r="A979" s="16"/>
      <c r="B979" s="17"/>
      <c r="C979" s="2"/>
      <c r="D979" s="2"/>
      <c r="E979" s="2"/>
      <c r="F979" s="2"/>
      <c r="G979" s="2"/>
      <c r="H979" s="2"/>
      <c r="I979" s="5"/>
    </row>
    <row r="980" spans="1:9" ht="17.399999999999999" x14ac:dyDescent="0.25">
      <c r="A980" s="16"/>
      <c r="B980" s="17"/>
      <c r="C980" s="2"/>
      <c r="D980" s="2"/>
      <c r="E980" s="2"/>
      <c r="F980" s="2"/>
      <c r="G980" s="2"/>
      <c r="H980" s="2"/>
      <c r="I980" s="5"/>
    </row>
    <row r="981" spans="1:9" ht="17.399999999999999" x14ac:dyDescent="0.25">
      <c r="A981" s="16"/>
      <c r="B981" s="17"/>
      <c r="C981" s="2"/>
      <c r="D981" s="2"/>
      <c r="E981" s="2"/>
      <c r="F981" s="2"/>
      <c r="G981" s="2"/>
      <c r="H981" s="2"/>
      <c r="I981" s="5"/>
    </row>
    <row r="982" spans="1:9" ht="17.399999999999999" x14ac:dyDescent="0.25">
      <c r="A982" s="16"/>
      <c r="B982" s="17"/>
      <c r="C982" s="2"/>
      <c r="D982" s="2"/>
      <c r="E982" s="2"/>
      <c r="F982" s="2"/>
      <c r="G982" s="2"/>
      <c r="H982" s="2"/>
      <c r="I982" s="5"/>
    </row>
    <row r="983" spans="1:9" ht="17.399999999999999" x14ac:dyDescent="0.25">
      <c r="A983" s="16"/>
      <c r="B983" s="17"/>
      <c r="C983" s="2"/>
      <c r="D983" s="2"/>
      <c r="E983" s="2"/>
      <c r="F983" s="2"/>
      <c r="G983" s="2"/>
      <c r="H983" s="2"/>
      <c r="I983" s="5"/>
    </row>
    <row r="984" spans="1:9" ht="17.399999999999999" x14ac:dyDescent="0.25">
      <c r="A984" s="16"/>
      <c r="B984" s="17"/>
      <c r="C984" s="2"/>
      <c r="D984" s="2"/>
      <c r="E984" s="2"/>
      <c r="F984" s="2"/>
      <c r="G984" s="2"/>
      <c r="H984" s="2"/>
      <c r="I984" s="5"/>
    </row>
    <row r="985" spans="1:9" ht="17.399999999999999" x14ac:dyDescent="0.25">
      <c r="A985" s="16"/>
      <c r="B985" s="17"/>
      <c r="C985" s="2"/>
      <c r="D985" s="2"/>
      <c r="E985" s="2"/>
      <c r="F985" s="2"/>
      <c r="G985" s="2"/>
      <c r="H985" s="2"/>
      <c r="I985" s="5"/>
    </row>
    <row r="986" spans="1:9" ht="17.399999999999999" x14ac:dyDescent="0.25">
      <c r="A986" s="16"/>
      <c r="B986" s="17"/>
      <c r="C986" s="2"/>
      <c r="D986" s="2"/>
      <c r="E986" s="2"/>
      <c r="F986" s="2"/>
      <c r="G986" s="2"/>
      <c r="H986" s="2"/>
      <c r="I986" s="5"/>
    </row>
    <row r="987" spans="1:9" ht="17.399999999999999" x14ac:dyDescent="0.25">
      <c r="A987" s="16"/>
      <c r="B987" s="17"/>
      <c r="C987" s="2"/>
      <c r="D987" s="2"/>
      <c r="E987" s="2"/>
      <c r="F987" s="2"/>
      <c r="G987" s="2"/>
      <c r="H987" s="2"/>
      <c r="I987" s="5"/>
    </row>
    <row r="988" spans="1:9" ht="17.399999999999999" x14ac:dyDescent="0.25">
      <c r="A988" s="16"/>
      <c r="B988" s="17"/>
      <c r="C988" s="2"/>
      <c r="D988" s="2"/>
      <c r="E988" s="2"/>
      <c r="F988" s="2"/>
      <c r="G988" s="2"/>
      <c r="H988" s="2"/>
      <c r="I988" s="5"/>
    </row>
    <row r="989" spans="1:9" ht="17.399999999999999" x14ac:dyDescent="0.25">
      <c r="A989" s="16"/>
      <c r="B989" s="17"/>
      <c r="C989" s="2"/>
      <c r="D989" s="2"/>
      <c r="E989" s="2"/>
      <c r="F989" s="2"/>
      <c r="G989" s="2"/>
      <c r="H989" s="2"/>
      <c r="I989" s="5"/>
    </row>
    <row r="990" spans="1:9" ht="17.399999999999999" x14ac:dyDescent="0.25">
      <c r="A990" s="16"/>
      <c r="B990" s="17"/>
      <c r="C990" s="2"/>
      <c r="D990" s="2"/>
      <c r="E990" s="2"/>
      <c r="F990" s="2"/>
      <c r="G990" s="2"/>
      <c r="H990" s="2"/>
      <c r="I990" s="5"/>
    </row>
    <row r="991" spans="1:9" ht="17.399999999999999" x14ac:dyDescent="0.25">
      <c r="A991" s="16"/>
      <c r="B991" s="17"/>
      <c r="C991" s="2"/>
      <c r="D991" s="2"/>
      <c r="E991" s="2"/>
      <c r="F991" s="2"/>
      <c r="G991" s="2"/>
      <c r="H991" s="2"/>
      <c r="I991" s="5"/>
    </row>
    <row r="992" spans="1:9" ht="17.399999999999999" x14ac:dyDescent="0.25">
      <c r="A992" s="16"/>
      <c r="B992" s="17"/>
      <c r="C992" s="2"/>
      <c r="D992" s="2"/>
      <c r="E992" s="2"/>
      <c r="F992" s="2"/>
      <c r="G992" s="2"/>
      <c r="H992" s="2"/>
      <c r="I992" s="5"/>
    </row>
    <row r="993" spans="1:9" ht="17.399999999999999" x14ac:dyDescent="0.25">
      <c r="A993" s="16"/>
      <c r="B993" s="17"/>
      <c r="C993" s="2"/>
      <c r="D993" s="2"/>
      <c r="E993" s="2"/>
      <c r="F993" s="2"/>
      <c r="G993" s="2"/>
      <c r="H993" s="2"/>
      <c r="I993" s="5"/>
    </row>
    <row r="994" spans="1:9" ht="17.399999999999999" x14ac:dyDescent="0.25">
      <c r="A994" s="16"/>
      <c r="B994" s="17"/>
      <c r="C994" s="2"/>
      <c r="D994" s="2"/>
      <c r="E994" s="2"/>
      <c r="F994" s="2"/>
      <c r="G994" s="2"/>
      <c r="H994" s="2"/>
      <c r="I994" s="5"/>
    </row>
    <row r="995" spans="1:9" ht="17.399999999999999" x14ac:dyDescent="0.25">
      <c r="A995" s="16"/>
      <c r="B995" s="17"/>
      <c r="C995" s="2"/>
      <c r="D995" s="2"/>
      <c r="E995" s="2"/>
      <c r="F995" s="2"/>
      <c r="G995" s="2"/>
      <c r="H995" s="2"/>
      <c r="I995" s="5"/>
    </row>
    <row r="996" spans="1:9" ht="17.399999999999999" x14ac:dyDescent="0.25">
      <c r="A996" s="16"/>
      <c r="B996" s="17"/>
      <c r="C996" s="2"/>
      <c r="D996" s="2"/>
      <c r="E996" s="2"/>
      <c r="F996" s="2"/>
      <c r="G996" s="2"/>
      <c r="H996" s="2"/>
      <c r="I996" s="5"/>
    </row>
    <row r="997" spans="1:9" ht="17.399999999999999" x14ac:dyDescent="0.25">
      <c r="A997" s="16"/>
      <c r="B997" s="17"/>
      <c r="C997" s="2"/>
      <c r="D997" s="2"/>
      <c r="E997" s="2"/>
      <c r="F997" s="2"/>
      <c r="G997" s="2"/>
      <c r="H997" s="2"/>
      <c r="I997" s="5"/>
    </row>
    <row r="998" spans="1:9" ht="17.399999999999999" x14ac:dyDescent="0.25">
      <c r="A998" s="16"/>
      <c r="B998" s="17"/>
      <c r="C998" s="2"/>
      <c r="D998" s="2"/>
      <c r="E998" s="2"/>
      <c r="F998" s="2"/>
      <c r="G998" s="2"/>
      <c r="H998" s="2"/>
      <c r="I998" s="5"/>
    </row>
    <row r="999" spans="1:9" ht="17.399999999999999" x14ac:dyDescent="0.25">
      <c r="A999" s="16"/>
      <c r="B999" s="17"/>
      <c r="C999" s="2"/>
      <c r="D999" s="2"/>
      <c r="E999" s="2"/>
      <c r="F999" s="2"/>
      <c r="G999" s="2"/>
      <c r="H999" s="2"/>
      <c r="I999" s="5"/>
    </row>
    <row r="1000" spans="1:9" ht="17.399999999999999" x14ac:dyDescent="0.25">
      <c r="A1000" s="16"/>
      <c r="B1000" s="17"/>
      <c r="C1000" s="2"/>
      <c r="D1000" s="2"/>
      <c r="E1000" s="2"/>
      <c r="F1000" s="2"/>
      <c r="G1000" s="2"/>
      <c r="H1000" s="2"/>
      <c r="I1000" s="5"/>
    </row>
    <row r="1001" spans="1:9" ht="17.399999999999999" x14ac:dyDescent="0.25">
      <c r="A1001" s="16"/>
      <c r="B1001" s="17"/>
      <c r="C1001" s="2"/>
      <c r="D1001" s="2"/>
      <c r="E1001" s="2"/>
      <c r="F1001" s="2"/>
      <c r="G1001" s="2"/>
      <c r="H1001" s="2"/>
      <c r="I1001" s="5"/>
    </row>
    <row r="1002" spans="1:9" ht="17.399999999999999" x14ac:dyDescent="0.25">
      <c r="A1002" s="16"/>
      <c r="B1002" s="17"/>
      <c r="C1002" s="2"/>
      <c r="D1002" s="2"/>
      <c r="E1002" s="2"/>
      <c r="F1002" s="2"/>
      <c r="G1002" s="2"/>
      <c r="H1002" s="2"/>
      <c r="I1002" s="5"/>
    </row>
    <row r="1003" spans="1:9" ht="17.399999999999999" x14ac:dyDescent="0.25">
      <c r="A1003" s="16"/>
      <c r="B1003" s="17"/>
      <c r="C1003" s="2"/>
      <c r="D1003" s="2"/>
      <c r="E1003" s="2"/>
      <c r="F1003" s="2"/>
      <c r="G1003" s="2"/>
      <c r="H1003" s="2"/>
      <c r="I1003" s="5"/>
    </row>
    <row r="1004" spans="1:9" ht="17.399999999999999" x14ac:dyDescent="0.25">
      <c r="A1004" s="16"/>
      <c r="B1004" s="17"/>
      <c r="C1004" s="2"/>
      <c r="D1004" s="2"/>
      <c r="E1004" s="2"/>
      <c r="F1004" s="2"/>
      <c r="G1004" s="2"/>
      <c r="H1004" s="2"/>
      <c r="I1004" s="5"/>
    </row>
    <row r="1005" spans="1:9" ht="17.399999999999999" x14ac:dyDescent="0.25">
      <c r="A1005" s="16"/>
      <c r="B1005" s="17"/>
      <c r="C1005" s="2"/>
      <c r="D1005" s="2"/>
      <c r="E1005" s="2"/>
      <c r="F1005" s="2"/>
      <c r="G1005" s="2"/>
      <c r="H1005" s="2"/>
      <c r="I1005" s="5"/>
    </row>
    <row r="1006" spans="1:9" ht="17.399999999999999" x14ac:dyDescent="0.25">
      <c r="A1006" s="16"/>
      <c r="B1006" s="17"/>
      <c r="C1006" s="2"/>
      <c r="D1006" s="2"/>
      <c r="E1006" s="2"/>
      <c r="F1006" s="2"/>
      <c r="G1006" s="2"/>
      <c r="H1006" s="2"/>
      <c r="I1006" s="5"/>
    </row>
    <row r="1007" spans="1:9" ht="17.399999999999999" x14ac:dyDescent="0.25">
      <c r="A1007" s="16"/>
      <c r="B1007" s="17"/>
      <c r="C1007" s="2"/>
      <c r="D1007" s="2"/>
      <c r="E1007" s="2"/>
      <c r="F1007" s="2"/>
      <c r="G1007" s="2"/>
      <c r="H1007" s="2"/>
      <c r="I1007" s="5"/>
    </row>
    <row r="1008" spans="1:9" ht="17.399999999999999" x14ac:dyDescent="0.25">
      <c r="A1008" s="16"/>
      <c r="B1008" s="17"/>
      <c r="C1008" s="2"/>
      <c r="D1008" s="2"/>
      <c r="E1008" s="2"/>
      <c r="F1008" s="2"/>
      <c r="G1008" s="2"/>
      <c r="H1008" s="2"/>
      <c r="I1008" s="5"/>
    </row>
    <row r="1009" spans="1:9" ht="17.399999999999999" x14ac:dyDescent="0.25">
      <c r="A1009" s="16"/>
      <c r="B1009" s="17"/>
      <c r="C1009" s="2"/>
      <c r="D1009" s="2"/>
      <c r="E1009" s="2"/>
      <c r="F1009" s="2"/>
      <c r="G1009" s="2"/>
      <c r="H1009" s="2"/>
      <c r="I1009" s="5"/>
    </row>
    <row r="1010" spans="1:9" ht="17.399999999999999" x14ac:dyDescent="0.25">
      <c r="A1010" s="16"/>
      <c r="B1010" s="17"/>
      <c r="C1010" s="2"/>
      <c r="D1010" s="2"/>
      <c r="E1010" s="2"/>
      <c r="F1010" s="2"/>
      <c r="G1010" s="2"/>
      <c r="H1010" s="2"/>
      <c r="I1010" s="5"/>
    </row>
    <row r="1011" spans="1:9" ht="17.399999999999999" x14ac:dyDescent="0.25">
      <c r="A1011" s="16"/>
      <c r="B1011" s="17"/>
      <c r="C1011" s="2"/>
      <c r="D1011" s="2"/>
      <c r="E1011" s="2"/>
      <c r="F1011" s="2"/>
      <c r="G1011" s="2"/>
      <c r="H1011" s="2"/>
      <c r="I1011" s="5"/>
    </row>
    <row r="1012" spans="1:9" ht="17.399999999999999" x14ac:dyDescent="0.25">
      <c r="A1012" s="16"/>
      <c r="B1012" s="17"/>
      <c r="C1012" s="2"/>
      <c r="D1012" s="2"/>
      <c r="E1012" s="2"/>
      <c r="F1012" s="2"/>
      <c r="G1012" s="2"/>
      <c r="H1012" s="2"/>
      <c r="I1012" s="5"/>
    </row>
    <row r="1013" spans="1:9" ht="17.399999999999999" x14ac:dyDescent="0.25">
      <c r="A1013" s="16"/>
      <c r="B1013" s="17"/>
      <c r="C1013" s="2"/>
      <c r="D1013" s="2"/>
      <c r="E1013" s="2"/>
      <c r="F1013" s="2"/>
      <c r="G1013" s="2"/>
      <c r="H1013" s="2"/>
      <c r="I1013" s="5"/>
    </row>
    <row r="1014" spans="1:9" ht="17.399999999999999" x14ac:dyDescent="0.25">
      <c r="A1014" s="16"/>
      <c r="B1014" s="17"/>
      <c r="C1014" s="2"/>
      <c r="D1014" s="2"/>
      <c r="E1014" s="2"/>
      <c r="F1014" s="2"/>
      <c r="G1014" s="2"/>
      <c r="H1014" s="2"/>
      <c r="I1014" s="5"/>
    </row>
    <row r="1015" spans="1:9" ht="17.399999999999999" x14ac:dyDescent="0.25">
      <c r="A1015" s="16"/>
      <c r="B1015" s="17"/>
      <c r="C1015" s="2"/>
      <c r="D1015" s="2"/>
      <c r="E1015" s="2"/>
      <c r="F1015" s="2"/>
      <c r="G1015" s="2"/>
      <c r="H1015" s="2"/>
      <c r="I1015" s="5"/>
    </row>
    <row r="1016" spans="1:9" ht="17.399999999999999" x14ac:dyDescent="0.25">
      <c r="A1016" s="16"/>
      <c r="B1016" s="17"/>
      <c r="C1016" s="2"/>
      <c r="D1016" s="2"/>
      <c r="E1016" s="2"/>
      <c r="F1016" s="2"/>
      <c r="G1016" s="2"/>
      <c r="H1016" s="2"/>
      <c r="I1016" s="5"/>
    </row>
    <row r="1017" spans="1:9" ht="17.399999999999999" x14ac:dyDescent="0.25">
      <c r="A1017" s="16"/>
      <c r="B1017" s="17"/>
      <c r="C1017" s="2"/>
      <c r="D1017" s="2"/>
      <c r="E1017" s="2"/>
      <c r="F1017" s="2"/>
      <c r="G1017" s="2"/>
      <c r="H1017" s="2"/>
      <c r="I1017" s="5"/>
    </row>
    <row r="1018" spans="1:9" ht="17.399999999999999" x14ac:dyDescent="0.25">
      <c r="A1018" s="16"/>
      <c r="B1018" s="17"/>
      <c r="C1018" s="2"/>
      <c r="D1018" s="2"/>
      <c r="E1018" s="2"/>
      <c r="F1018" s="2"/>
      <c r="G1018" s="2"/>
      <c r="H1018" s="2"/>
      <c r="I1018" s="5"/>
    </row>
    <row r="1019" spans="1:9" ht="17.399999999999999" x14ac:dyDescent="0.25">
      <c r="A1019" s="16"/>
      <c r="B1019" s="17"/>
      <c r="C1019" s="2"/>
      <c r="D1019" s="2"/>
      <c r="E1019" s="2"/>
      <c r="F1019" s="2"/>
      <c r="G1019" s="2"/>
      <c r="H1019" s="2"/>
      <c r="I1019" s="5"/>
    </row>
    <row r="1020" spans="1:9" ht="17.399999999999999" x14ac:dyDescent="0.25">
      <c r="A1020" s="16"/>
      <c r="B1020" s="17"/>
      <c r="C1020" s="2"/>
      <c r="D1020" s="2"/>
      <c r="E1020" s="2"/>
      <c r="F1020" s="2"/>
      <c r="G1020" s="2"/>
      <c r="H1020" s="2"/>
      <c r="I1020" s="5"/>
    </row>
    <row r="1021" spans="1:9" ht="17.399999999999999" x14ac:dyDescent="0.25">
      <c r="A1021" s="16"/>
      <c r="B1021" s="17"/>
      <c r="C1021" s="2"/>
      <c r="D1021" s="2"/>
      <c r="E1021" s="2"/>
      <c r="F1021" s="2"/>
      <c r="G1021" s="2"/>
      <c r="H1021" s="2"/>
      <c r="I1021" s="5"/>
    </row>
    <row r="1022" spans="1:9" ht="17.399999999999999" x14ac:dyDescent="0.25">
      <c r="A1022" s="16"/>
      <c r="B1022" s="17"/>
      <c r="C1022" s="2"/>
      <c r="D1022" s="2"/>
      <c r="E1022" s="2"/>
      <c r="F1022" s="2"/>
      <c r="G1022" s="2"/>
      <c r="H1022" s="2"/>
      <c r="I1022" s="5"/>
    </row>
    <row r="1023" spans="1:9" ht="17.399999999999999" x14ac:dyDescent="0.25">
      <c r="A1023" s="16"/>
      <c r="B1023" s="17"/>
      <c r="C1023" s="2"/>
      <c r="D1023" s="2"/>
      <c r="E1023" s="2"/>
      <c r="F1023" s="2"/>
      <c r="G1023" s="2"/>
      <c r="H1023" s="2"/>
      <c r="I1023" s="5"/>
    </row>
    <row r="1024" spans="1:9" ht="17.399999999999999" x14ac:dyDescent="0.25">
      <c r="A1024" s="16"/>
      <c r="B1024" s="17"/>
      <c r="C1024" s="2"/>
      <c r="D1024" s="2"/>
      <c r="E1024" s="2"/>
      <c r="F1024" s="2"/>
      <c r="G1024" s="2"/>
      <c r="H1024" s="2"/>
      <c r="I1024" s="5"/>
    </row>
    <row r="1025" spans="1:9" ht="17.399999999999999" x14ac:dyDescent="0.25">
      <c r="A1025" s="16"/>
      <c r="B1025" s="17"/>
      <c r="C1025" s="2"/>
      <c r="D1025" s="2"/>
      <c r="E1025" s="2"/>
      <c r="F1025" s="2"/>
      <c r="G1025" s="2"/>
      <c r="H1025" s="2"/>
      <c r="I1025" s="5"/>
    </row>
    <row r="1026" spans="1:9" ht="17.399999999999999" x14ac:dyDescent="0.25">
      <c r="A1026" s="16"/>
      <c r="B1026" s="17"/>
      <c r="C1026" s="2"/>
      <c r="D1026" s="2"/>
      <c r="E1026" s="2"/>
      <c r="F1026" s="2"/>
      <c r="G1026" s="2"/>
      <c r="H1026" s="2"/>
      <c r="I1026" s="5"/>
    </row>
    <row r="1027" spans="1:9" ht="17.399999999999999" x14ac:dyDescent="0.25">
      <c r="A1027" s="16"/>
      <c r="B1027" s="17"/>
      <c r="C1027" s="2"/>
      <c r="D1027" s="2"/>
      <c r="E1027" s="2"/>
      <c r="F1027" s="2"/>
      <c r="G1027" s="2"/>
      <c r="H1027" s="2"/>
      <c r="I1027" s="5"/>
    </row>
    <row r="1028" spans="1:9" ht="17.399999999999999" x14ac:dyDescent="0.25">
      <c r="A1028" s="16"/>
      <c r="B1028" s="17"/>
      <c r="C1028" s="2"/>
      <c r="D1028" s="2"/>
      <c r="E1028" s="2"/>
      <c r="F1028" s="2"/>
      <c r="G1028" s="2"/>
      <c r="H1028" s="2"/>
      <c r="I1028" s="5"/>
    </row>
    <row r="1029" spans="1:9" ht="17.399999999999999" x14ac:dyDescent="0.25">
      <c r="A1029" s="16"/>
      <c r="B1029" s="17"/>
      <c r="C1029" s="2"/>
      <c r="D1029" s="2"/>
      <c r="E1029" s="2"/>
      <c r="F1029" s="2"/>
      <c r="G1029" s="2"/>
      <c r="H1029" s="2"/>
      <c r="I1029" s="5"/>
    </row>
    <row r="1030" spans="1:9" ht="17.399999999999999" x14ac:dyDescent="0.25">
      <c r="A1030" s="16"/>
      <c r="B1030" s="17"/>
      <c r="C1030" s="2"/>
      <c r="D1030" s="2"/>
      <c r="E1030" s="2"/>
      <c r="F1030" s="2"/>
      <c r="G1030" s="2"/>
      <c r="H1030" s="2"/>
      <c r="I1030" s="5"/>
    </row>
    <row r="1031" spans="1:9" ht="17.399999999999999" x14ac:dyDescent="0.25">
      <c r="A1031" s="16"/>
      <c r="B1031" s="17"/>
      <c r="C1031" s="2"/>
      <c r="D1031" s="2"/>
      <c r="E1031" s="2"/>
      <c r="F1031" s="2"/>
      <c r="G1031" s="2"/>
      <c r="H1031" s="2"/>
      <c r="I1031" s="5"/>
    </row>
    <row r="1032" spans="1:9" ht="17.399999999999999" x14ac:dyDescent="0.25">
      <c r="A1032" s="16"/>
      <c r="B1032" s="17"/>
      <c r="C1032" s="2"/>
      <c r="D1032" s="2"/>
      <c r="E1032" s="2"/>
      <c r="F1032" s="2"/>
      <c r="G1032" s="2"/>
      <c r="H1032" s="2"/>
      <c r="I1032" s="5"/>
    </row>
    <row r="1033" spans="1:9" ht="17.399999999999999" x14ac:dyDescent="0.25">
      <c r="A1033" s="16"/>
      <c r="B1033" s="17"/>
      <c r="C1033" s="2"/>
      <c r="D1033" s="2"/>
      <c r="E1033" s="2"/>
      <c r="F1033" s="2"/>
      <c r="G1033" s="2"/>
      <c r="H1033" s="2"/>
      <c r="I1033" s="5"/>
    </row>
    <row r="1034" spans="1:9" ht="17.399999999999999" x14ac:dyDescent="0.25">
      <c r="A1034" s="16"/>
      <c r="B1034" s="17"/>
      <c r="C1034" s="2"/>
      <c r="D1034" s="2"/>
      <c r="E1034" s="2"/>
      <c r="F1034" s="2"/>
      <c r="G1034" s="2"/>
      <c r="H1034" s="2"/>
      <c r="I1034" s="5"/>
    </row>
    <row r="1035" spans="1:9" ht="17.399999999999999" x14ac:dyDescent="0.25">
      <c r="A1035" s="16"/>
      <c r="B1035" s="17"/>
      <c r="C1035" s="2"/>
      <c r="D1035" s="2"/>
      <c r="E1035" s="2"/>
      <c r="F1035" s="2"/>
      <c r="G1035" s="2"/>
      <c r="H1035" s="2"/>
      <c r="I1035" s="5"/>
    </row>
    <row r="1036" spans="1:9" ht="17.399999999999999" x14ac:dyDescent="0.25">
      <c r="A1036" s="16"/>
      <c r="B1036" s="17"/>
      <c r="C1036" s="2"/>
      <c r="D1036" s="2"/>
      <c r="E1036" s="2"/>
      <c r="F1036" s="2"/>
      <c r="G1036" s="2"/>
      <c r="H1036" s="2"/>
      <c r="I1036" s="5"/>
    </row>
    <row r="1037" spans="1:9" ht="17.399999999999999" x14ac:dyDescent="0.25">
      <c r="A1037" s="16"/>
      <c r="B1037" s="17"/>
      <c r="C1037" s="2"/>
      <c r="D1037" s="2"/>
      <c r="E1037" s="2"/>
      <c r="F1037" s="2"/>
      <c r="G1037" s="2"/>
      <c r="H1037" s="2"/>
      <c r="I1037" s="5"/>
    </row>
    <row r="1038" spans="1:9" ht="17.399999999999999" x14ac:dyDescent="0.25">
      <c r="A1038" s="16"/>
      <c r="B1038" s="17"/>
      <c r="C1038" s="2"/>
      <c r="D1038" s="2"/>
      <c r="E1038" s="2"/>
      <c r="F1038" s="2"/>
      <c r="G1038" s="2"/>
      <c r="H1038" s="2"/>
      <c r="I1038" s="5"/>
    </row>
    <row r="1039" spans="1:9" ht="17.399999999999999" x14ac:dyDescent="0.25">
      <c r="A1039" s="16"/>
      <c r="B1039" s="17"/>
      <c r="C1039" s="2"/>
      <c r="D1039" s="2"/>
      <c r="E1039" s="2"/>
      <c r="F1039" s="2"/>
      <c r="G1039" s="2"/>
      <c r="H1039" s="2"/>
      <c r="I1039" s="5"/>
    </row>
    <row r="1040" spans="1:9" ht="17.399999999999999" x14ac:dyDescent="0.25">
      <c r="A1040" s="16"/>
      <c r="B1040" s="17"/>
      <c r="C1040" s="2"/>
      <c r="D1040" s="2"/>
      <c r="E1040" s="2"/>
      <c r="F1040" s="2"/>
      <c r="G1040" s="2"/>
      <c r="H1040" s="2"/>
      <c r="I1040" s="5"/>
    </row>
    <row r="1041" spans="1:9" ht="17.399999999999999" x14ac:dyDescent="0.25">
      <c r="A1041" s="16"/>
      <c r="B1041" s="17"/>
      <c r="C1041" s="2"/>
      <c r="D1041" s="2"/>
      <c r="E1041" s="2"/>
      <c r="F1041" s="2"/>
      <c r="G1041" s="2"/>
      <c r="H1041" s="2"/>
      <c r="I1041" s="5"/>
    </row>
    <row r="1042" spans="1:9" ht="17.399999999999999" x14ac:dyDescent="0.25">
      <c r="A1042" s="16"/>
      <c r="B1042" s="17"/>
      <c r="C1042" s="2"/>
      <c r="D1042" s="2"/>
      <c r="E1042" s="2"/>
      <c r="F1042" s="2"/>
      <c r="G1042" s="2"/>
      <c r="H1042" s="2"/>
      <c r="I1042" s="5"/>
    </row>
    <row r="1043" spans="1:9" ht="17.399999999999999" x14ac:dyDescent="0.25">
      <c r="A1043" s="16"/>
      <c r="B1043" s="17"/>
      <c r="C1043" s="2"/>
      <c r="D1043" s="2"/>
      <c r="E1043" s="2"/>
      <c r="F1043" s="2"/>
      <c r="G1043" s="2"/>
      <c r="H1043" s="2"/>
      <c r="I1043" s="5"/>
    </row>
    <row r="1044" spans="1:9" ht="17.399999999999999" x14ac:dyDescent="0.25">
      <c r="A1044" s="16"/>
      <c r="B1044" s="17"/>
      <c r="C1044" s="2"/>
      <c r="D1044" s="2"/>
      <c r="E1044" s="2"/>
      <c r="F1044" s="2"/>
      <c r="G1044" s="2"/>
      <c r="H1044" s="2"/>
      <c r="I1044" s="5"/>
    </row>
    <row r="1045" spans="1:9" ht="17.399999999999999" x14ac:dyDescent="0.25">
      <c r="A1045" s="16"/>
      <c r="B1045" s="17"/>
      <c r="C1045" s="2"/>
      <c r="D1045" s="2"/>
      <c r="E1045" s="2"/>
      <c r="F1045" s="2"/>
      <c r="G1045" s="2"/>
      <c r="H1045" s="2"/>
      <c r="I1045" s="5"/>
    </row>
    <row r="1046" spans="1:9" ht="17.399999999999999" x14ac:dyDescent="0.25">
      <c r="A1046" s="16"/>
      <c r="B1046" s="17"/>
      <c r="C1046" s="2"/>
      <c r="D1046" s="2"/>
      <c r="E1046" s="2"/>
      <c r="F1046" s="2"/>
      <c r="G1046" s="2"/>
      <c r="H1046" s="2"/>
      <c r="I1046" s="5"/>
    </row>
    <row r="1047" spans="1:9" ht="17.399999999999999" x14ac:dyDescent="0.25">
      <c r="A1047" s="16"/>
      <c r="B1047" s="17"/>
      <c r="C1047" s="2"/>
      <c r="D1047" s="2"/>
      <c r="E1047" s="2"/>
      <c r="F1047" s="2"/>
      <c r="G1047" s="2"/>
      <c r="H1047" s="2"/>
      <c r="I1047" s="5"/>
    </row>
    <row r="1048" spans="1:9" ht="17.399999999999999" x14ac:dyDescent="0.25">
      <c r="A1048" s="16"/>
      <c r="B1048" s="17"/>
      <c r="C1048" s="2"/>
      <c r="D1048" s="2"/>
      <c r="E1048" s="2"/>
      <c r="F1048" s="2"/>
      <c r="G1048" s="2"/>
      <c r="H1048" s="2"/>
      <c r="I1048" s="5"/>
    </row>
    <row r="1049" spans="1:9" ht="17.399999999999999" x14ac:dyDescent="0.25">
      <c r="A1049" s="16"/>
      <c r="B1049" s="17"/>
      <c r="C1049" s="2"/>
      <c r="D1049" s="2"/>
      <c r="E1049" s="2"/>
      <c r="F1049" s="2"/>
      <c r="G1049" s="2"/>
      <c r="H1049" s="2"/>
      <c r="I1049" s="5"/>
    </row>
    <row r="1050" spans="1:9" ht="17.399999999999999" x14ac:dyDescent="0.25">
      <c r="A1050" s="16"/>
      <c r="B1050" s="17"/>
      <c r="C1050" s="2"/>
      <c r="D1050" s="2"/>
      <c r="E1050" s="2"/>
      <c r="F1050" s="2"/>
      <c r="G1050" s="2"/>
      <c r="H1050" s="2"/>
      <c r="I1050" s="5"/>
    </row>
    <row r="1051" spans="1:9" ht="17.399999999999999" x14ac:dyDescent="0.25">
      <c r="A1051" s="16"/>
      <c r="B1051" s="17"/>
      <c r="C1051" s="2"/>
      <c r="D1051" s="2"/>
      <c r="E1051" s="2"/>
      <c r="F1051" s="2"/>
      <c r="G1051" s="2"/>
      <c r="H1051" s="2"/>
      <c r="I1051" s="5"/>
    </row>
    <row r="1052" spans="1:9" ht="17.399999999999999" x14ac:dyDescent="0.25">
      <c r="A1052" s="16"/>
      <c r="B1052" s="17"/>
      <c r="C1052" s="2"/>
      <c r="D1052" s="2"/>
      <c r="E1052" s="2"/>
      <c r="F1052" s="2"/>
      <c r="G1052" s="2"/>
      <c r="H1052" s="2"/>
      <c r="I1052" s="5"/>
    </row>
    <row r="1053" spans="1:9" ht="17.399999999999999" x14ac:dyDescent="0.25">
      <c r="A1053" s="16"/>
      <c r="B1053" s="17"/>
      <c r="C1053" s="2"/>
      <c r="D1053" s="2"/>
      <c r="E1053" s="2"/>
      <c r="F1053" s="2"/>
      <c r="G1053" s="2"/>
      <c r="H1053" s="2"/>
      <c r="I1053" s="5"/>
    </row>
    <row r="1054" spans="1:9" ht="17.399999999999999" x14ac:dyDescent="0.25">
      <c r="A1054" s="16"/>
      <c r="B1054" s="17"/>
      <c r="C1054" s="2"/>
      <c r="D1054" s="2"/>
      <c r="E1054" s="2"/>
      <c r="F1054" s="2"/>
      <c r="G1054" s="2"/>
      <c r="H1054" s="2"/>
      <c r="I1054" s="5"/>
    </row>
    <row r="1055" spans="1:9" ht="17.399999999999999" x14ac:dyDescent="0.25">
      <c r="A1055" s="16"/>
      <c r="B1055" s="17"/>
      <c r="C1055" s="2"/>
      <c r="D1055" s="2"/>
      <c r="E1055" s="2"/>
      <c r="F1055" s="2"/>
      <c r="G1055" s="2"/>
      <c r="H1055" s="2"/>
      <c r="I1055" s="5"/>
    </row>
    <row r="1056" spans="1:9" ht="17.399999999999999" x14ac:dyDescent="0.25">
      <c r="A1056" s="16"/>
      <c r="B1056" s="17"/>
      <c r="C1056" s="2"/>
      <c r="D1056" s="2"/>
      <c r="E1056" s="2"/>
      <c r="F1056" s="2"/>
      <c r="G1056" s="2"/>
      <c r="H1056" s="2"/>
      <c r="I1056" s="5"/>
    </row>
    <row r="1057" spans="1:9" ht="17.399999999999999" x14ac:dyDescent="0.25">
      <c r="A1057" s="16"/>
      <c r="B1057" s="17"/>
      <c r="C1057" s="2"/>
      <c r="D1057" s="2"/>
      <c r="E1057" s="2"/>
      <c r="F1057" s="2"/>
      <c r="G1057" s="2"/>
      <c r="H1057" s="2"/>
      <c r="I1057" s="5"/>
    </row>
    <row r="1058" spans="1:9" ht="17.399999999999999" x14ac:dyDescent="0.25">
      <c r="A1058" s="16"/>
      <c r="B1058" s="17"/>
      <c r="C1058" s="2"/>
      <c r="D1058" s="2"/>
      <c r="E1058" s="2"/>
      <c r="F1058" s="2"/>
      <c r="G1058" s="2"/>
      <c r="H1058" s="2"/>
      <c r="I1058" s="5"/>
    </row>
    <row r="1059" spans="1:9" ht="17.399999999999999" x14ac:dyDescent="0.25">
      <c r="A1059" s="16"/>
      <c r="B1059" s="17"/>
      <c r="C1059" s="2"/>
      <c r="D1059" s="2"/>
      <c r="E1059" s="2"/>
      <c r="F1059" s="2"/>
      <c r="G1059" s="2"/>
      <c r="H1059" s="2"/>
      <c r="I1059" s="5"/>
    </row>
    <row r="1060" spans="1:9" ht="17.399999999999999" x14ac:dyDescent="0.25">
      <c r="A1060" s="16"/>
      <c r="B1060" s="17"/>
      <c r="C1060" s="2"/>
      <c r="D1060" s="2"/>
      <c r="E1060" s="2"/>
      <c r="F1060" s="2"/>
      <c r="G1060" s="2"/>
      <c r="H1060" s="2"/>
      <c r="I1060" s="5"/>
    </row>
    <row r="1061" spans="1:9" ht="17.399999999999999" x14ac:dyDescent="0.25">
      <c r="A1061" s="16"/>
      <c r="B1061" s="17"/>
      <c r="C1061" s="2"/>
      <c r="D1061" s="2"/>
      <c r="E1061" s="2"/>
      <c r="F1061" s="2"/>
      <c r="G1061" s="2"/>
      <c r="H1061" s="2"/>
      <c r="I1061" s="5"/>
    </row>
    <row r="1062" spans="1:9" ht="17.399999999999999" x14ac:dyDescent="0.25">
      <c r="A1062" s="16"/>
      <c r="B1062" s="17"/>
      <c r="C1062" s="2"/>
      <c r="D1062" s="2"/>
      <c r="E1062" s="2"/>
      <c r="F1062" s="2"/>
      <c r="G1062" s="2"/>
      <c r="H1062" s="2"/>
      <c r="I1062" s="5"/>
    </row>
    <row r="1063" spans="1:9" ht="17.399999999999999" x14ac:dyDescent="0.25">
      <c r="A1063" s="16"/>
      <c r="B1063" s="17"/>
      <c r="C1063" s="2"/>
      <c r="D1063" s="2"/>
      <c r="E1063" s="2"/>
      <c r="F1063" s="2"/>
      <c r="G1063" s="2"/>
      <c r="H1063" s="2"/>
      <c r="I1063" s="5"/>
    </row>
    <row r="1064" spans="1:9" ht="17.399999999999999" x14ac:dyDescent="0.25">
      <c r="A1064" s="16"/>
      <c r="B1064" s="17"/>
      <c r="C1064" s="2"/>
      <c r="D1064" s="2"/>
      <c r="E1064" s="2"/>
      <c r="F1064" s="2"/>
      <c r="G1064" s="2"/>
      <c r="H1064" s="2"/>
      <c r="I1064" s="5"/>
    </row>
    <row r="1065" spans="1:9" ht="17.399999999999999" x14ac:dyDescent="0.25">
      <c r="A1065" s="16"/>
      <c r="B1065" s="17"/>
      <c r="C1065" s="2"/>
      <c r="D1065" s="2"/>
      <c r="E1065" s="2"/>
      <c r="F1065" s="2"/>
      <c r="G1065" s="2"/>
      <c r="H1065" s="2"/>
      <c r="I1065" s="5"/>
    </row>
    <row r="1066" spans="1:9" ht="17.399999999999999" x14ac:dyDescent="0.25">
      <c r="A1066" s="16"/>
      <c r="B1066" s="17"/>
      <c r="C1066" s="2"/>
      <c r="D1066" s="2"/>
      <c r="E1066" s="2"/>
      <c r="F1066" s="2"/>
      <c r="G1066" s="2"/>
      <c r="H1066" s="2"/>
      <c r="I1066" s="5"/>
    </row>
    <row r="1067" spans="1:9" ht="17.399999999999999" x14ac:dyDescent="0.25">
      <c r="A1067" s="16"/>
      <c r="B1067" s="17"/>
      <c r="C1067" s="2"/>
      <c r="D1067" s="2"/>
      <c r="E1067" s="2"/>
      <c r="F1067" s="2"/>
      <c r="G1067" s="2"/>
      <c r="H1067" s="2"/>
      <c r="I1067" s="5"/>
    </row>
    <row r="1068" spans="1:9" ht="17.399999999999999" x14ac:dyDescent="0.25">
      <c r="A1068" s="16"/>
      <c r="B1068" s="17"/>
      <c r="C1068" s="2"/>
      <c r="D1068" s="2"/>
      <c r="E1068" s="2"/>
      <c r="F1068" s="2"/>
      <c r="G1068" s="2"/>
      <c r="H1068" s="2"/>
      <c r="I1068" s="5"/>
    </row>
    <row r="1069" spans="1:9" ht="17.399999999999999" x14ac:dyDescent="0.25">
      <c r="A1069" s="16"/>
      <c r="B1069" s="17"/>
      <c r="C1069" s="2"/>
      <c r="D1069" s="2"/>
      <c r="E1069" s="2"/>
      <c r="F1069" s="2"/>
      <c r="G1069" s="2"/>
      <c r="H1069" s="2"/>
      <c r="I1069" s="5"/>
    </row>
    <row r="1070" spans="1:9" ht="17.399999999999999" x14ac:dyDescent="0.25">
      <c r="A1070" s="16"/>
      <c r="B1070" s="17"/>
      <c r="C1070" s="2"/>
      <c r="D1070" s="2"/>
      <c r="E1070" s="2"/>
      <c r="F1070" s="2"/>
      <c r="G1070" s="2"/>
      <c r="H1070" s="2"/>
      <c r="I1070" s="5"/>
    </row>
    <row r="1071" spans="1:9" ht="17.399999999999999" x14ac:dyDescent="0.25">
      <c r="A1071" s="16"/>
      <c r="B1071" s="17"/>
      <c r="C1071" s="2"/>
      <c r="D1071" s="2"/>
      <c r="E1071" s="2"/>
      <c r="F1071" s="2"/>
      <c r="G1071" s="2"/>
      <c r="H1071" s="2"/>
      <c r="I1071" s="5"/>
    </row>
    <row r="1072" spans="1:9" ht="17.399999999999999" x14ac:dyDescent="0.25">
      <c r="A1072" s="16"/>
      <c r="B1072" s="17"/>
      <c r="C1072" s="2"/>
      <c r="D1072" s="2"/>
      <c r="E1072" s="2"/>
      <c r="F1072" s="2"/>
      <c r="G1072" s="2"/>
      <c r="H1072" s="2"/>
      <c r="I1072" s="5"/>
    </row>
    <row r="1073" spans="1:9" ht="17.399999999999999" x14ac:dyDescent="0.25">
      <c r="A1073" s="16"/>
      <c r="B1073" s="17"/>
      <c r="C1073" s="2"/>
      <c r="D1073" s="2"/>
      <c r="E1073" s="2"/>
      <c r="F1073" s="2"/>
      <c r="G1073" s="2"/>
      <c r="H1073" s="2"/>
      <c r="I1073" s="5"/>
    </row>
    <row r="1074" spans="1:9" ht="17.399999999999999" x14ac:dyDescent="0.25">
      <c r="A1074" s="16"/>
      <c r="B1074" s="17"/>
      <c r="C1074" s="2"/>
      <c r="D1074" s="2"/>
      <c r="E1074" s="2"/>
      <c r="F1074" s="2"/>
      <c r="G1074" s="2"/>
      <c r="H1074" s="2"/>
      <c r="I1074" s="5"/>
    </row>
    <row r="1075" spans="1:9" ht="17.399999999999999" x14ac:dyDescent="0.25">
      <c r="A1075" s="16"/>
      <c r="B1075" s="17"/>
      <c r="C1075" s="2"/>
      <c r="D1075" s="2"/>
      <c r="E1075" s="2"/>
      <c r="F1075" s="2"/>
      <c r="G1075" s="2"/>
      <c r="H1075" s="2"/>
      <c r="I1075" s="5"/>
    </row>
    <row r="1076" spans="1:9" ht="17.399999999999999" x14ac:dyDescent="0.25">
      <c r="A1076" s="16"/>
      <c r="B1076" s="17"/>
      <c r="C1076" s="2"/>
      <c r="D1076" s="2"/>
      <c r="E1076" s="2"/>
      <c r="F1076" s="2"/>
      <c r="G1076" s="2"/>
      <c r="H1076" s="2"/>
      <c r="I1076" s="5"/>
    </row>
    <row r="1077" spans="1:9" ht="17.399999999999999" x14ac:dyDescent="0.25">
      <c r="A1077" s="16"/>
      <c r="B1077" s="17"/>
      <c r="C1077" s="2"/>
      <c r="D1077" s="2"/>
      <c r="E1077" s="2"/>
      <c r="F1077" s="2"/>
      <c r="G1077" s="2"/>
      <c r="H1077" s="2"/>
      <c r="I1077" s="5"/>
    </row>
    <row r="1078" spans="1:9" ht="17.399999999999999" x14ac:dyDescent="0.25">
      <c r="A1078" s="16"/>
      <c r="B1078" s="17"/>
      <c r="C1078" s="2"/>
      <c r="D1078" s="2"/>
      <c r="E1078" s="2"/>
      <c r="F1078" s="2"/>
      <c r="G1078" s="2"/>
      <c r="H1078" s="2"/>
      <c r="I1078" s="5"/>
    </row>
    <row r="1079" spans="1:9" ht="17.399999999999999" x14ac:dyDescent="0.25">
      <c r="A1079" s="16"/>
      <c r="B1079" s="17"/>
      <c r="C1079" s="2"/>
      <c r="D1079" s="2"/>
      <c r="E1079" s="2"/>
      <c r="F1079" s="2"/>
      <c r="G1079" s="2"/>
      <c r="H1079" s="2"/>
      <c r="I1079" s="5"/>
    </row>
    <row r="1080" spans="1:9" ht="17.399999999999999" x14ac:dyDescent="0.25">
      <c r="A1080" s="16"/>
      <c r="B1080" s="17"/>
      <c r="C1080" s="2"/>
      <c r="D1080" s="2"/>
      <c r="E1080" s="2"/>
      <c r="F1080" s="2"/>
      <c r="G1080" s="2"/>
      <c r="H1080" s="2"/>
      <c r="I1080" s="5"/>
    </row>
    <row r="1081" spans="1:9" ht="17.399999999999999" x14ac:dyDescent="0.25">
      <c r="A1081" s="16"/>
      <c r="B1081" s="17"/>
      <c r="C1081" s="2"/>
      <c r="D1081" s="2"/>
      <c r="E1081" s="2"/>
      <c r="F1081" s="2"/>
      <c r="G1081" s="2"/>
      <c r="H1081" s="2"/>
      <c r="I1081" s="5"/>
    </row>
    <row r="1082" spans="1:9" ht="17.399999999999999" x14ac:dyDescent="0.25">
      <c r="A1082" s="16"/>
      <c r="B1082" s="17"/>
      <c r="C1082" s="2"/>
      <c r="D1082" s="2"/>
      <c r="E1082" s="2"/>
      <c r="F1082" s="2"/>
      <c r="G1082" s="2"/>
      <c r="H1082" s="2"/>
      <c r="I1082" s="5"/>
    </row>
    <row r="1083" spans="1:9" ht="17.399999999999999" x14ac:dyDescent="0.25">
      <c r="A1083" s="16"/>
      <c r="B1083" s="17"/>
      <c r="C1083" s="2"/>
      <c r="D1083" s="2"/>
      <c r="E1083" s="2"/>
      <c r="F1083" s="2"/>
      <c r="G1083" s="2"/>
      <c r="H1083" s="2"/>
      <c r="I1083" s="5"/>
    </row>
    <row r="1084" spans="1:9" ht="17.399999999999999" x14ac:dyDescent="0.25">
      <c r="A1084" s="16"/>
      <c r="B1084" s="17"/>
      <c r="C1084" s="2"/>
      <c r="D1084" s="2"/>
      <c r="E1084" s="2"/>
      <c r="F1084" s="2"/>
      <c r="G1084" s="2"/>
      <c r="H1084" s="2"/>
      <c r="I1084" s="5"/>
    </row>
    <row r="1085" spans="1:9" ht="17.399999999999999" x14ac:dyDescent="0.25">
      <c r="A1085" s="16"/>
      <c r="B1085" s="17"/>
      <c r="C1085" s="2"/>
      <c r="D1085" s="2"/>
      <c r="E1085" s="2"/>
      <c r="F1085" s="2"/>
      <c r="G1085" s="2"/>
      <c r="H1085" s="2"/>
      <c r="I1085" s="5"/>
    </row>
    <row r="1086" spans="1:9" ht="17.399999999999999" x14ac:dyDescent="0.25">
      <c r="A1086" s="16"/>
      <c r="B1086" s="17"/>
      <c r="C1086" s="2"/>
      <c r="D1086" s="2"/>
      <c r="E1086" s="2"/>
      <c r="F1086" s="2"/>
      <c r="G1086" s="2"/>
      <c r="H1086" s="2"/>
      <c r="I1086" s="5"/>
    </row>
    <row r="1087" spans="1:9" ht="17.399999999999999" x14ac:dyDescent="0.25">
      <c r="A1087" s="16"/>
      <c r="B1087" s="17"/>
      <c r="C1087" s="2"/>
      <c r="D1087" s="2"/>
      <c r="E1087" s="2"/>
      <c r="F1087" s="2"/>
      <c r="G1087" s="2"/>
      <c r="H1087" s="2"/>
      <c r="I1087" s="5"/>
    </row>
    <row r="1088" spans="1:9" ht="17.399999999999999" x14ac:dyDescent="0.25">
      <c r="A1088" s="16"/>
      <c r="B1088" s="17"/>
      <c r="C1088" s="2"/>
      <c r="D1088" s="2"/>
      <c r="E1088" s="2"/>
      <c r="F1088" s="2"/>
      <c r="G1088" s="2"/>
      <c r="H1088" s="2"/>
      <c r="I1088" s="5"/>
    </row>
    <row r="1089" spans="1:9" ht="17.399999999999999" x14ac:dyDescent="0.25">
      <c r="A1089" s="16"/>
      <c r="B1089" s="17"/>
      <c r="C1089" s="2"/>
      <c r="D1089" s="2"/>
      <c r="E1089" s="2"/>
      <c r="F1089" s="2"/>
      <c r="G1089" s="2"/>
      <c r="H1089" s="2"/>
      <c r="I1089" s="5"/>
    </row>
    <row r="1090" spans="1:9" ht="17.399999999999999" x14ac:dyDescent="0.25">
      <c r="A1090" s="16"/>
      <c r="B1090" s="17"/>
      <c r="C1090" s="2"/>
      <c r="D1090" s="2"/>
      <c r="E1090" s="2"/>
      <c r="F1090" s="2"/>
      <c r="G1090" s="2"/>
      <c r="H1090" s="2"/>
      <c r="I1090" s="5"/>
    </row>
    <row r="1091" spans="1:9" ht="17.399999999999999" x14ac:dyDescent="0.25">
      <c r="A1091" s="16"/>
      <c r="B1091" s="17"/>
      <c r="C1091" s="2"/>
      <c r="D1091" s="2"/>
      <c r="E1091" s="2"/>
      <c r="F1091" s="2"/>
      <c r="G1091" s="2"/>
      <c r="H1091" s="2"/>
      <c r="I1091" s="5"/>
    </row>
    <row r="1092" spans="1:9" ht="17.399999999999999" x14ac:dyDescent="0.25">
      <c r="A1092" s="16"/>
      <c r="B1092" s="17"/>
      <c r="C1092" s="2"/>
      <c r="D1092" s="2"/>
      <c r="E1092" s="2"/>
      <c r="F1092" s="2"/>
      <c r="G1092" s="2"/>
      <c r="H1092" s="2"/>
      <c r="I1092" s="5"/>
    </row>
    <row r="1093" spans="1:9" ht="17.399999999999999" x14ac:dyDescent="0.25">
      <c r="A1093" s="16"/>
      <c r="B1093" s="17"/>
      <c r="C1093" s="2"/>
      <c r="D1093" s="2"/>
      <c r="E1093" s="2"/>
      <c r="F1093" s="2"/>
      <c r="G1093" s="2"/>
      <c r="H1093" s="2"/>
      <c r="I1093" s="5"/>
    </row>
    <row r="1094" spans="1:9" ht="17.399999999999999" x14ac:dyDescent="0.25">
      <c r="A1094" s="16"/>
      <c r="B1094" s="17"/>
      <c r="C1094" s="2"/>
      <c r="D1094" s="2"/>
      <c r="E1094" s="2"/>
      <c r="F1094" s="2"/>
      <c r="G1094" s="2"/>
      <c r="H1094" s="2"/>
      <c r="I1094" s="5"/>
    </row>
    <row r="1095" spans="1:9" ht="17.399999999999999" x14ac:dyDescent="0.25">
      <c r="A1095" s="16"/>
      <c r="B1095" s="17"/>
      <c r="C1095" s="2"/>
      <c r="D1095" s="2"/>
      <c r="E1095" s="2"/>
      <c r="F1095" s="2"/>
      <c r="G1095" s="2"/>
      <c r="H1095" s="2"/>
      <c r="I1095" s="5"/>
    </row>
    <row r="1096" spans="1:9" ht="17.399999999999999" x14ac:dyDescent="0.25">
      <c r="A1096" s="16"/>
      <c r="B1096" s="17"/>
      <c r="C1096" s="2"/>
      <c r="D1096" s="2"/>
      <c r="E1096" s="2"/>
      <c r="F1096" s="2"/>
      <c r="G1096" s="2"/>
      <c r="H1096" s="2"/>
      <c r="I1096" s="5"/>
    </row>
    <row r="1097" spans="1:9" ht="17.399999999999999" x14ac:dyDescent="0.25">
      <c r="A1097" s="16"/>
      <c r="B1097" s="17"/>
      <c r="C1097" s="2"/>
      <c r="D1097" s="2"/>
      <c r="E1097" s="2"/>
      <c r="F1097" s="2"/>
      <c r="G1097" s="2"/>
      <c r="H1097" s="2"/>
      <c r="I1097" s="5"/>
    </row>
    <row r="1098" spans="1:9" ht="17.399999999999999" x14ac:dyDescent="0.25">
      <c r="A1098" s="16"/>
      <c r="B1098" s="17"/>
      <c r="C1098" s="2"/>
      <c r="D1098" s="2"/>
      <c r="E1098" s="2"/>
      <c r="F1098" s="2"/>
      <c r="G1098" s="2"/>
      <c r="H1098" s="2"/>
      <c r="I1098" s="5"/>
    </row>
    <row r="1099" spans="1:9" ht="17.399999999999999" x14ac:dyDescent="0.25">
      <c r="A1099" s="16"/>
      <c r="B1099" s="17"/>
      <c r="C1099" s="2"/>
      <c r="D1099" s="2"/>
      <c r="E1099" s="2"/>
      <c r="F1099" s="2"/>
      <c r="G1099" s="2"/>
      <c r="H1099" s="2"/>
      <c r="I1099" s="5"/>
    </row>
    <row r="1100" spans="1:9" ht="17.399999999999999" x14ac:dyDescent="0.25">
      <c r="A1100" s="16"/>
      <c r="B1100" s="17"/>
      <c r="C1100" s="2"/>
      <c r="D1100" s="2"/>
      <c r="E1100" s="2"/>
      <c r="F1100" s="2"/>
      <c r="G1100" s="2"/>
      <c r="H1100" s="2"/>
      <c r="I1100" s="5"/>
    </row>
    <row r="1101" spans="1:9" ht="17.399999999999999" x14ac:dyDescent="0.25">
      <c r="A1101" s="16"/>
      <c r="B1101" s="17"/>
      <c r="C1101" s="2"/>
      <c r="D1101" s="2"/>
      <c r="E1101" s="2"/>
      <c r="F1101" s="2"/>
      <c r="G1101" s="2"/>
      <c r="H1101" s="2"/>
      <c r="I1101" s="5"/>
    </row>
    <row r="1102" spans="1:9" ht="17.399999999999999" x14ac:dyDescent="0.25">
      <c r="A1102" s="16"/>
      <c r="B1102" s="17"/>
      <c r="C1102" s="2"/>
      <c r="D1102" s="2"/>
      <c r="E1102" s="2"/>
      <c r="F1102" s="2"/>
      <c r="G1102" s="2"/>
      <c r="H1102" s="2"/>
      <c r="I1102" s="5"/>
    </row>
    <row r="1103" spans="1:9" ht="17.399999999999999" x14ac:dyDescent="0.25">
      <c r="A1103" s="16"/>
      <c r="B1103" s="17"/>
      <c r="C1103" s="2"/>
      <c r="D1103" s="2"/>
      <c r="E1103" s="2"/>
      <c r="F1103" s="2"/>
      <c r="G1103" s="2"/>
      <c r="H1103" s="2"/>
      <c r="I1103" s="5"/>
    </row>
    <row r="1104" spans="1:9" ht="17.399999999999999" x14ac:dyDescent="0.25">
      <c r="A1104" s="16"/>
      <c r="B1104" s="17"/>
      <c r="C1104" s="2"/>
      <c r="D1104" s="2"/>
      <c r="E1104" s="2"/>
      <c r="F1104" s="2"/>
      <c r="G1104" s="2"/>
      <c r="H1104" s="2"/>
      <c r="I1104" s="5"/>
    </row>
    <row r="1105" spans="1:9" ht="17.399999999999999" x14ac:dyDescent="0.25">
      <c r="A1105" s="16"/>
      <c r="B1105" s="17"/>
      <c r="C1105" s="2"/>
      <c r="D1105" s="2"/>
      <c r="E1105" s="2"/>
      <c r="F1105" s="2"/>
      <c r="G1105" s="2"/>
      <c r="H1105" s="2"/>
      <c r="I1105" s="5"/>
    </row>
    <row r="1106" spans="1:9" ht="17.399999999999999" x14ac:dyDescent="0.25">
      <c r="A1106" s="16"/>
      <c r="B1106" s="17"/>
      <c r="C1106" s="2"/>
      <c r="D1106" s="2"/>
      <c r="E1106" s="2"/>
      <c r="F1106" s="2"/>
      <c r="G1106" s="2"/>
      <c r="H1106" s="2"/>
      <c r="I1106" s="5"/>
    </row>
    <row r="1107" spans="1:9" ht="17.399999999999999" x14ac:dyDescent="0.25">
      <c r="A1107" s="16"/>
      <c r="B1107" s="17"/>
      <c r="C1107" s="2"/>
      <c r="D1107" s="2"/>
      <c r="E1107" s="2"/>
      <c r="F1107" s="2"/>
      <c r="G1107" s="2"/>
      <c r="H1107" s="2"/>
      <c r="I1107" s="5"/>
    </row>
    <row r="1108" spans="1:9" ht="17.399999999999999" x14ac:dyDescent="0.25">
      <c r="A1108" s="16"/>
      <c r="B1108" s="17"/>
      <c r="C1108" s="2"/>
      <c r="D1108" s="2"/>
      <c r="E1108" s="2"/>
      <c r="F1108" s="2"/>
      <c r="G1108" s="2"/>
      <c r="H1108" s="2"/>
      <c r="I1108" s="5"/>
    </row>
    <row r="1109" spans="1:9" ht="17.399999999999999" x14ac:dyDescent="0.25">
      <c r="A1109" s="16"/>
      <c r="B1109" s="17"/>
      <c r="C1109" s="2"/>
      <c r="D1109" s="2"/>
      <c r="E1109" s="2"/>
      <c r="F1109" s="2"/>
      <c r="G1109" s="2"/>
      <c r="H1109" s="2"/>
      <c r="I1109" s="5"/>
    </row>
    <row r="1110" spans="1:9" ht="17.399999999999999" x14ac:dyDescent="0.25">
      <c r="A1110" s="16"/>
      <c r="B1110" s="17"/>
      <c r="C1110" s="2"/>
      <c r="D1110" s="2"/>
      <c r="E1110" s="2"/>
      <c r="F1110" s="2"/>
      <c r="G1110" s="2"/>
      <c r="H1110" s="2"/>
      <c r="I1110" s="5"/>
    </row>
    <row r="1111" spans="1:9" ht="17.399999999999999" x14ac:dyDescent="0.25">
      <c r="A1111" s="16"/>
      <c r="B1111" s="17"/>
      <c r="C1111" s="2"/>
      <c r="D1111" s="2"/>
      <c r="E1111" s="2"/>
      <c r="F1111" s="2"/>
      <c r="G1111" s="2"/>
      <c r="H1111" s="2"/>
      <c r="I1111" s="5"/>
    </row>
    <row r="1112" spans="1:9" ht="17.399999999999999" x14ac:dyDescent="0.25">
      <c r="A1112" s="16"/>
      <c r="B1112" s="17"/>
      <c r="C1112" s="2"/>
      <c r="D1112" s="2"/>
      <c r="E1112" s="2"/>
      <c r="F1112" s="2"/>
      <c r="G1112" s="2"/>
      <c r="H1112" s="2"/>
      <c r="I1112" s="5"/>
    </row>
    <row r="1113" spans="1:9" ht="17.399999999999999" x14ac:dyDescent="0.25">
      <c r="A1113" s="16"/>
      <c r="B1113" s="17"/>
      <c r="C1113" s="2"/>
      <c r="D1113" s="2"/>
      <c r="E1113" s="2"/>
      <c r="F1113" s="2"/>
      <c r="G1113" s="2"/>
      <c r="H1113" s="2"/>
      <c r="I1113" s="5"/>
    </row>
    <row r="1114" spans="1:9" ht="17.399999999999999" x14ac:dyDescent="0.25">
      <c r="A1114" s="16"/>
      <c r="B1114" s="17"/>
      <c r="C1114" s="2"/>
      <c r="D1114" s="2"/>
      <c r="E1114" s="2"/>
      <c r="F1114" s="2"/>
      <c r="G1114" s="2"/>
      <c r="H1114" s="2"/>
      <c r="I1114" s="5"/>
    </row>
    <row r="1115" spans="1:9" ht="17.399999999999999" x14ac:dyDescent="0.25">
      <c r="A1115" s="16"/>
      <c r="B1115" s="17"/>
      <c r="C1115" s="2"/>
      <c r="D1115" s="2"/>
      <c r="E1115" s="2"/>
      <c r="F1115" s="2"/>
      <c r="G1115" s="2"/>
      <c r="H1115" s="2"/>
      <c r="I1115" s="5"/>
    </row>
    <row r="1116" spans="1:9" ht="17.399999999999999" x14ac:dyDescent="0.25">
      <c r="A1116" s="16"/>
      <c r="B1116" s="17"/>
      <c r="C1116" s="2"/>
      <c r="D1116" s="2"/>
      <c r="E1116" s="2"/>
      <c r="F1116" s="2"/>
      <c r="G1116" s="2"/>
      <c r="H1116" s="2"/>
      <c r="I1116" s="5"/>
    </row>
    <row r="1117" spans="1:9" ht="17.399999999999999" x14ac:dyDescent="0.25">
      <c r="A1117" s="16"/>
      <c r="B1117" s="17"/>
      <c r="C1117" s="2"/>
      <c r="D1117" s="2"/>
      <c r="E1117" s="2"/>
      <c r="F1117" s="2"/>
      <c r="G1117" s="2"/>
      <c r="H1117" s="2"/>
      <c r="I1117" s="5"/>
    </row>
    <row r="1118" spans="1:9" ht="17.399999999999999" x14ac:dyDescent="0.25">
      <c r="A1118" s="16"/>
      <c r="B1118" s="17"/>
      <c r="C1118" s="2"/>
      <c r="D1118" s="2"/>
      <c r="E1118" s="2"/>
      <c r="F1118" s="2"/>
      <c r="G1118" s="2"/>
      <c r="H1118" s="2"/>
      <c r="I1118" s="5"/>
    </row>
    <row r="1119" spans="1:9" ht="17.399999999999999" x14ac:dyDescent="0.25">
      <c r="A1119" s="16"/>
      <c r="B1119" s="17"/>
      <c r="C1119" s="2"/>
      <c r="D1119" s="2"/>
      <c r="E1119" s="2"/>
      <c r="F1119" s="2"/>
      <c r="G1119" s="2"/>
      <c r="H1119" s="2"/>
      <c r="I1119" s="5"/>
    </row>
    <row r="1120" spans="1:9" ht="17.399999999999999" x14ac:dyDescent="0.25">
      <c r="A1120" s="16"/>
      <c r="B1120" s="17"/>
      <c r="C1120" s="2"/>
      <c r="D1120" s="2"/>
      <c r="E1120" s="2"/>
      <c r="F1120" s="2"/>
      <c r="G1120" s="2"/>
      <c r="H1120" s="2"/>
      <c r="I1120" s="5"/>
    </row>
    <row r="1121" spans="1:9" ht="17.399999999999999" x14ac:dyDescent="0.25">
      <c r="A1121" s="16"/>
      <c r="B1121" s="17"/>
      <c r="C1121" s="2"/>
      <c r="D1121" s="2"/>
      <c r="E1121" s="2"/>
      <c r="F1121" s="2"/>
      <c r="G1121" s="2"/>
      <c r="H1121" s="2"/>
      <c r="I1121" s="5"/>
    </row>
    <row r="1122" spans="1:9" ht="17.399999999999999" x14ac:dyDescent="0.25">
      <c r="A1122" s="16"/>
      <c r="B1122" s="17"/>
      <c r="C1122" s="2"/>
      <c r="D1122" s="2"/>
      <c r="E1122" s="2"/>
      <c r="F1122" s="2"/>
      <c r="G1122" s="2"/>
      <c r="H1122" s="2"/>
      <c r="I1122" s="5"/>
    </row>
    <row r="1123" spans="1:9" ht="17.399999999999999" x14ac:dyDescent="0.25">
      <c r="A1123" s="16"/>
      <c r="B1123" s="17"/>
      <c r="C1123" s="2"/>
      <c r="D1123" s="2"/>
      <c r="E1123" s="2"/>
      <c r="F1123" s="2"/>
      <c r="G1123" s="2"/>
      <c r="H1123" s="2"/>
      <c r="I1123" s="5"/>
    </row>
    <row r="1124" spans="1:9" ht="17.399999999999999" x14ac:dyDescent="0.25">
      <c r="A1124" s="16"/>
      <c r="B1124" s="17"/>
      <c r="C1124" s="2"/>
      <c r="D1124" s="2"/>
      <c r="E1124" s="2"/>
      <c r="F1124" s="2"/>
      <c r="G1124" s="2"/>
      <c r="H1124" s="2"/>
      <c r="I1124" s="5"/>
    </row>
    <row r="1125" spans="1:9" ht="17.399999999999999" x14ac:dyDescent="0.25">
      <c r="A1125" s="16"/>
      <c r="B1125" s="17"/>
      <c r="C1125" s="2"/>
      <c r="D1125" s="2"/>
      <c r="E1125" s="2"/>
      <c r="F1125" s="2"/>
      <c r="G1125" s="2"/>
      <c r="H1125" s="2"/>
      <c r="I1125" s="5"/>
    </row>
    <row r="1126" spans="1:9" ht="17.399999999999999" x14ac:dyDescent="0.25">
      <c r="A1126" s="16"/>
      <c r="B1126" s="17"/>
      <c r="C1126" s="2"/>
      <c r="D1126" s="2"/>
      <c r="E1126" s="2"/>
      <c r="F1126" s="2"/>
      <c r="G1126" s="2"/>
      <c r="H1126" s="2"/>
      <c r="I1126" s="5"/>
    </row>
    <row r="1127" spans="1:9" ht="17.399999999999999" x14ac:dyDescent="0.25">
      <c r="A1127" s="16"/>
      <c r="B1127" s="17"/>
      <c r="C1127" s="2"/>
      <c r="D1127" s="2"/>
      <c r="E1127" s="2"/>
      <c r="F1127" s="2"/>
      <c r="G1127" s="2"/>
      <c r="H1127" s="2"/>
      <c r="I1127" s="5"/>
    </row>
    <row r="1128" spans="1:9" ht="17.399999999999999" x14ac:dyDescent="0.25">
      <c r="A1128" s="16"/>
      <c r="B1128" s="17"/>
      <c r="C1128" s="2"/>
      <c r="D1128" s="2"/>
      <c r="E1128" s="2"/>
      <c r="F1128" s="2"/>
      <c r="G1128" s="2"/>
      <c r="H1128" s="2"/>
      <c r="I1128" s="5"/>
    </row>
    <row r="1129" spans="1:9" ht="17.399999999999999" x14ac:dyDescent="0.25">
      <c r="A1129" s="16"/>
      <c r="B1129" s="17"/>
      <c r="C1129" s="2"/>
      <c r="D1129" s="2"/>
      <c r="E1129" s="2"/>
      <c r="F1129" s="2"/>
      <c r="G1129" s="2"/>
      <c r="H1129" s="2"/>
      <c r="I1129" s="5"/>
    </row>
    <row r="1130" spans="1:9" ht="17.399999999999999" x14ac:dyDescent="0.25">
      <c r="A1130" s="16"/>
      <c r="B1130" s="17"/>
      <c r="C1130" s="2"/>
      <c r="D1130" s="2"/>
      <c r="E1130" s="2"/>
      <c r="F1130" s="2"/>
      <c r="G1130" s="2"/>
      <c r="H1130" s="2"/>
      <c r="I1130" s="5"/>
    </row>
    <row r="1131" spans="1:9" ht="17.399999999999999" x14ac:dyDescent="0.25">
      <c r="A1131" s="16"/>
      <c r="B1131" s="17"/>
      <c r="C1131" s="2"/>
      <c r="D1131" s="2"/>
      <c r="E1131" s="2"/>
      <c r="F1131" s="2"/>
      <c r="G1131" s="2"/>
      <c r="H1131" s="2"/>
      <c r="I1131" s="5"/>
    </row>
    <row r="1132" spans="1:9" ht="17.399999999999999" x14ac:dyDescent="0.25">
      <c r="A1132" s="16"/>
      <c r="B1132" s="17"/>
      <c r="C1132" s="2"/>
      <c r="D1132" s="2"/>
      <c r="E1132" s="2"/>
      <c r="F1132" s="2"/>
      <c r="G1132" s="2"/>
      <c r="H1132" s="2"/>
      <c r="I1132" s="5"/>
    </row>
    <row r="1133" spans="1:9" ht="17.399999999999999" x14ac:dyDescent="0.25">
      <c r="A1133" s="16"/>
      <c r="B1133" s="17"/>
      <c r="C1133" s="2"/>
      <c r="D1133" s="2"/>
      <c r="E1133" s="2"/>
      <c r="F1133" s="2"/>
      <c r="G1133" s="2"/>
      <c r="H1133" s="2"/>
      <c r="I1133" s="5"/>
    </row>
    <row r="1134" spans="1:9" ht="17.399999999999999" x14ac:dyDescent="0.25">
      <c r="A1134" s="16"/>
      <c r="B1134" s="17"/>
      <c r="C1134" s="2"/>
      <c r="D1134" s="2"/>
      <c r="E1134" s="2"/>
      <c r="F1134" s="2"/>
      <c r="G1134" s="2"/>
      <c r="H1134" s="2"/>
      <c r="I1134" s="5"/>
    </row>
    <row r="1135" spans="1:9" ht="17.399999999999999" x14ac:dyDescent="0.25">
      <c r="A1135" s="16"/>
      <c r="B1135" s="17"/>
      <c r="C1135" s="2"/>
      <c r="D1135" s="2"/>
      <c r="E1135" s="2"/>
      <c r="F1135" s="2"/>
      <c r="G1135" s="2"/>
      <c r="H1135" s="2"/>
      <c r="I1135" s="5"/>
    </row>
    <row r="1136" spans="1:9" ht="17.399999999999999" x14ac:dyDescent="0.25">
      <c r="A1136" s="16"/>
      <c r="B1136" s="17"/>
      <c r="C1136" s="2"/>
      <c r="D1136" s="2"/>
      <c r="E1136" s="2"/>
      <c r="F1136" s="2"/>
      <c r="G1136" s="2"/>
      <c r="H1136" s="2"/>
      <c r="I1136" s="5"/>
    </row>
    <row r="1137" spans="1:9" ht="17.399999999999999" x14ac:dyDescent="0.25">
      <c r="A1137" s="16"/>
      <c r="B1137" s="17"/>
      <c r="C1137" s="2"/>
      <c r="D1137" s="2"/>
      <c r="E1137" s="2"/>
      <c r="F1137" s="2"/>
      <c r="G1137" s="2"/>
      <c r="H1137" s="2"/>
      <c r="I1137" s="5"/>
    </row>
    <row r="1138" spans="1:9" ht="17.399999999999999" x14ac:dyDescent="0.25">
      <c r="A1138" s="16"/>
      <c r="B1138" s="17"/>
      <c r="C1138" s="2"/>
      <c r="D1138" s="2"/>
      <c r="E1138" s="2"/>
      <c r="F1138" s="2"/>
      <c r="G1138" s="2"/>
      <c r="H1138" s="2"/>
      <c r="I1138" s="5"/>
    </row>
    <row r="1139" spans="1:9" ht="17.399999999999999" x14ac:dyDescent="0.25">
      <c r="A1139" s="16"/>
      <c r="B1139" s="17"/>
      <c r="C1139" s="2"/>
      <c r="D1139" s="2"/>
      <c r="E1139" s="2"/>
      <c r="F1139" s="2"/>
      <c r="G1139" s="2"/>
      <c r="H1139" s="2"/>
      <c r="I1139" s="5"/>
    </row>
    <row r="1140" spans="1:9" ht="17.399999999999999" x14ac:dyDescent="0.25">
      <c r="A1140" s="16"/>
      <c r="B1140" s="17"/>
      <c r="C1140" s="2"/>
      <c r="D1140" s="2"/>
      <c r="E1140" s="2"/>
      <c r="F1140" s="2"/>
      <c r="G1140" s="2"/>
      <c r="H1140" s="2"/>
      <c r="I1140" s="5"/>
    </row>
    <row r="1141" spans="1:9" ht="17.399999999999999" x14ac:dyDescent="0.25">
      <c r="A1141" s="16"/>
      <c r="B1141" s="17"/>
      <c r="C1141" s="2"/>
      <c r="D1141" s="2"/>
      <c r="E1141" s="2"/>
      <c r="F1141" s="2"/>
      <c r="G1141" s="2"/>
      <c r="H1141" s="2"/>
      <c r="I1141" s="5"/>
    </row>
    <row r="1142" spans="1:9" ht="17.399999999999999" x14ac:dyDescent="0.25">
      <c r="A1142" s="16"/>
      <c r="B1142" s="17"/>
      <c r="C1142" s="2"/>
      <c r="D1142" s="2"/>
      <c r="E1142" s="2"/>
      <c r="F1142" s="2"/>
      <c r="G1142" s="2"/>
      <c r="H1142" s="2"/>
      <c r="I1142" s="5"/>
    </row>
    <row r="1143" spans="1:9" ht="17.399999999999999" x14ac:dyDescent="0.25">
      <c r="A1143" s="16"/>
      <c r="B1143" s="17"/>
      <c r="C1143" s="2"/>
      <c r="D1143" s="2"/>
      <c r="E1143" s="2"/>
      <c r="F1143" s="2"/>
      <c r="G1143" s="2"/>
      <c r="H1143" s="2"/>
      <c r="I1143" s="5"/>
    </row>
    <row r="1144" spans="1:9" ht="17.399999999999999" x14ac:dyDescent="0.25">
      <c r="A1144" s="16"/>
      <c r="B1144" s="17"/>
      <c r="C1144" s="2"/>
      <c r="D1144" s="2"/>
      <c r="E1144" s="2"/>
      <c r="F1144" s="2"/>
      <c r="G1144" s="2"/>
      <c r="H1144" s="2"/>
      <c r="I1144" s="5"/>
    </row>
    <row r="1145" spans="1:9" ht="17.399999999999999" x14ac:dyDescent="0.25">
      <c r="A1145" s="16"/>
      <c r="B1145" s="17"/>
      <c r="C1145" s="2"/>
      <c r="D1145" s="2"/>
      <c r="E1145" s="2"/>
      <c r="F1145" s="2"/>
      <c r="G1145" s="2"/>
      <c r="H1145" s="2"/>
      <c r="I1145" s="5"/>
    </row>
    <row r="1146" spans="1:9" ht="17.399999999999999" x14ac:dyDescent="0.25">
      <c r="A1146" s="16"/>
      <c r="B1146" s="17"/>
      <c r="C1146" s="2"/>
      <c r="D1146" s="2"/>
      <c r="E1146" s="2"/>
      <c r="F1146" s="2"/>
      <c r="G1146" s="2"/>
      <c r="H1146" s="2"/>
      <c r="I1146" s="5"/>
    </row>
    <row r="1147" spans="1:9" ht="17.399999999999999" x14ac:dyDescent="0.25">
      <c r="A1147" s="16"/>
      <c r="B1147" s="17"/>
      <c r="C1147" s="2"/>
      <c r="D1147" s="2"/>
      <c r="E1147" s="2"/>
      <c r="F1147" s="2"/>
      <c r="G1147" s="2"/>
      <c r="H1147" s="2"/>
      <c r="I1147" s="5"/>
    </row>
    <row r="1148" spans="1:9" ht="17.399999999999999" x14ac:dyDescent="0.25">
      <c r="A1148" s="16"/>
      <c r="B1148" s="17"/>
      <c r="C1148" s="2"/>
      <c r="D1148" s="2"/>
      <c r="E1148" s="2"/>
      <c r="F1148" s="2"/>
      <c r="G1148" s="2"/>
      <c r="H1148" s="2"/>
      <c r="I1148" s="5"/>
    </row>
    <row r="1149" spans="1:9" ht="17.399999999999999" x14ac:dyDescent="0.25">
      <c r="A1149" s="16"/>
      <c r="B1149" s="17"/>
      <c r="C1149" s="2"/>
      <c r="D1149" s="2"/>
      <c r="E1149" s="2"/>
      <c r="F1149" s="2"/>
      <c r="G1149" s="2"/>
      <c r="H1149" s="2"/>
      <c r="I1149" s="5"/>
    </row>
    <row r="1150" spans="1:9" ht="17.399999999999999" x14ac:dyDescent="0.25">
      <c r="A1150" s="16"/>
      <c r="B1150" s="17"/>
      <c r="C1150" s="2"/>
      <c r="D1150" s="2"/>
      <c r="E1150" s="2"/>
      <c r="F1150" s="2"/>
      <c r="G1150" s="2"/>
      <c r="H1150" s="2"/>
      <c r="I1150" s="5"/>
    </row>
    <row r="1151" spans="1:9" ht="17.399999999999999" x14ac:dyDescent="0.25">
      <c r="A1151" s="16"/>
      <c r="B1151" s="17"/>
      <c r="C1151" s="2"/>
      <c r="D1151" s="2"/>
      <c r="E1151" s="2"/>
      <c r="F1151" s="2"/>
      <c r="G1151" s="2"/>
      <c r="H1151" s="2"/>
      <c r="I1151" s="5"/>
    </row>
    <row r="1152" spans="1:9" ht="17.399999999999999" x14ac:dyDescent="0.25">
      <c r="A1152" s="16"/>
      <c r="B1152" s="17"/>
      <c r="C1152" s="2"/>
      <c r="D1152" s="2"/>
      <c r="E1152" s="2"/>
      <c r="F1152" s="2"/>
      <c r="G1152" s="2"/>
      <c r="H1152" s="2"/>
      <c r="I1152" s="5"/>
    </row>
    <row r="1153" spans="1:9" ht="17.399999999999999" x14ac:dyDescent="0.25">
      <c r="A1153" s="16"/>
      <c r="B1153" s="17"/>
      <c r="C1153" s="2"/>
      <c r="D1153" s="2"/>
      <c r="E1153" s="2"/>
      <c r="F1153" s="2"/>
      <c r="G1153" s="2"/>
      <c r="H1153" s="2"/>
      <c r="I1153" s="5"/>
    </row>
    <row r="1154" spans="1:9" ht="17.399999999999999" x14ac:dyDescent="0.25">
      <c r="A1154" s="16"/>
      <c r="B1154" s="17"/>
      <c r="C1154" s="2"/>
      <c r="D1154" s="2"/>
      <c r="E1154" s="2"/>
      <c r="F1154" s="2"/>
      <c r="G1154" s="2"/>
      <c r="H1154" s="2"/>
      <c r="I1154" s="5"/>
    </row>
    <row r="1155" spans="1:9" ht="17.399999999999999" x14ac:dyDescent="0.25">
      <c r="A1155" s="16"/>
      <c r="B1155" s="17"/>
      <c r="C1155" s="2"/>
      <c r="D1155" s="2"/>
      <c r="E1155" s="2"/>
      <c r="F1155" s="2"/>
      <c r="G1155" s="2"/>
      <c r="H1155" s="2"/>
      <c r="I1155" s="5"/>
    </row>
    <row r="1156" spans="1:9" ht="17.399999999999999" x14ac:dyDescent="0.25">
      <c r="A1156" s="16"/>
      <c r="B1156" s="17"/>
      <c r="C1156" s="2"/>
      <c r="D1156" s="2"/>
      <c r="E1156" s="2"/>
      <c r="F1156" s="2"/>
      <c r="G1156" s="2"/>
      <c r="H1156" s="2"/>
      <c r="I1156" s="5"/>
    </row>
    <row r="1157" spans="1:9" ht="17.399999999999999" x14ac:dyDescent="0.25">
      <c r="A1157" s="16"/>
      <c r="B1157" s="17"/>
      <c r="C1157" s="2"/>
      <c r="D1157" s="2"/>
      <c r="E1157" s="2"/>
      <c r="F1157" s="2"/>
      <c r="G1157" s="2"/>
      <c r="H1157" s="2"/>
      <c r="I1157" s="5"/>
    </row>
    <row r="1158" spans="1:9" ht="17.399999999999999" x14ac:dyDescent="0.25">
      <c r="A1158" s="16"/>
      <c r="B1158" s="17"/>
      <c r="C1158" s="2"/>
      <c r="D1158" s="2"/>
      <c r="E1158" s="2"/>
      <c r="F1158" s="2"/>
      <c r="G1158" s="2"/>
      <c r="H1158" s="2"/>
      <c r="I1158" s="5"/>
    </row>
    <row r="1159" spans="1:9" ht="17.399999999999999" x14ac:dyDescent="0.25">
      <c r="A1159" s="16"/>
      <c r="B1159" s="17"/>
      <c r="C1159" s="2"/>
      <c r="D1159" s="2"/>
      <c r="E1159" s="2"/>
      <c r="F1159" s="2"/>
      <c r="G1159" s="2"/>
      <c r="H1159" s="2"/>
      <c r="I1159" s="5"/>
    </row>
    <row r="1160" spans="1:9" ht="17.399999999999999" x14ac:dyDescent="0.25">
      <c r="A1160" s="16"/>
      <c r="B1160" s="17"/>
      <c r="C1160" s="2"/>
      <c r="D1160" s="2"/>
      <c r="E1160" s="2"/>
      <c r="F1160" s="2"/>
      <c r="G1160" s="2"/>
      <c r="H1160" s="2"/>
      <c r="I1160" s="5"/>
    </row>
    <row r="1161" spans="1:9" ht="17.399999999999999" x14ac:dyDescent="0.25">
      <c r="A1161" s="16"/>
      <c r="B1161" s="17"/>
      <c r="C1161" s="2"/>
      <c r="D1161" s="2"/>
      <c r="E1161" s="2"/>
      <c r="F1161" s="2"/>
      <c r="G1161" s="2"/>
      <c r="H1161" s="2"/>
      <c r="I1161" s="5"/>
    </row>
    <row r="1162" spans="1:9" ht="17.399999999999999" x14ac:dyDescent="0.25">
      <c r="A1162" s="16"/>
      <c r="B1162" s="17"/>
      <c r="C1162" s="2"/>
      <c r="D1162" s="2"/>
      <c r="E1162" s="2"/>
      <c r="F1162" s="2"/>
      <c r="G1162" s="2"/>
      <c r="H1162" s="2"/>
      <c r="I1162" s="5"/>
    </row>
    <row r="1163" spans="1:9" ht="17.399999999999999" x14ac:dyDescent="0.25">
      <c r="A1163" s="16"/>
      <c r="B1163" s="17"/>
      <c r="C1163" s="2"/>
      <c r="D1163" s="2"/>
      <c r="E1163" s="2"/>
      <c r="F1163" s="2"/>
      <c r="G1163" s="2"/>
      <c r="H1163" s="2"/>
      <c r="I1163" s="5"/>
    </row>
    <row r="1164" spans="1:9" ht="17.399999999999999" x14ac:dyDescent="0.25">
      <c r="A1164" s="16"/>
      <c r="B1164" s="17"/>
      <c r="C1164" s="2"/>
      <c r="D1164" s="2"/>
      <c r="E1164" s="2"/>
      <c r="F1164" s="2"/>
      <c r="G1164" s="2"/>
      <c r="H1164" s="2"/>
      <c r="I1164" s="5"/>
    </row>
    <row r="1165" spans="1:9" ht="17.399999999999999" x14ac:dyDescent="0.25">
      <c r="A1165" s="16"/>
      <c r="B1165" s="17"/>
      <c r="C1165" s="2"/>
      <c r="D1165" s="2"/>
      <c r="E1165" s="2"/>
      <c r="F1165" s="2"/>
      <c r="G1165" s="2"/>
      <c r="H1165" s="2"/>
      <c r="I1165" s="5"/>
    </row>
    <row r="1166" spans="1:9" ht="17.399999999999999" x14ac:dyDescent="0.25">
      <c r="A1166" s="16"/>
      <c r="B1166" s="17"/>
      <c r="C1166" s="2"/>
      <c r="D1166" s="2"/>
      <c r="E1166" s="2"/>
      <c r="F1166" s="2"/>
      <c r="G1166" s="2"/>
      <c r="H1166" s="2"/>
      <c r="I1166" s="5"/>
    </row>
    <row r="1167" spans="1:9" ht="17.399999999999999" x14ac:dyDescent="0.25">
      <c r="A1167" s="16"/>
      <c r="B1167" s="17"/>
      <c r="C1167" s="2"/>
      <c r="D1167" s="2"/>
      <c r="E1167" s="2"/>
      <c r="F1167" s="2"/>
      <c r="G1167" s="2"/>
      <c r="H1167" s="2"/>
      <c r="I1167" s="5"/>
    </row>
    <row r="1168" spans="1:9" ht="17.399999999999999" x14ac:dyDescent="0.25">
      <c r="A1168" s="16"/>
      <c r="B1168" s="17"/>
      <c r="C1168" s="2"/>
      <c r="D1168" s="2"/>
      <c r="E1168" s="2"/>
      <c r="F1168" s="2"/>
      <c r="G1168" s="2"/>
      <c r="H1168" s="2"/>
      <c r="I1168" s="5"/>
    </row>
    <row r="1169" spans="1:9" ht="17.399999999999999" x14ac:dyDescent="0.25">
      <c r="A1169" s="16"/>
      <c r="B1169" s="17"/>
      <c r="C1169" s="2"/>
      <c r="D1169" s="2"/>
      <c r="E1169" s="2"/>
      <c r="F1169" s="2"/>
      <c r="G1169" s="2"/>
      <c r="H1169" s="2"/>
      <c r="I1169" s="5"/>
    </row>
    <row r="1170" spans="1:9" ht="17.399999999999999" x14ac:dyDescent="0.25">
      <c r="A1170" s="16"/>
      <c r="B1170" s="17"/>
      <c r="C1170" s="2"/>
      <c r="D1170" s="2"/>
      <c r="E1170" s="2"/>
      <c r="F1170" s="2"/>
      <c r="G1170" s="2"/>
      <c r="H1170" s="2"/>
      <c r="I1170" s="5"/>
    </row>
    <row r="1171" spans="1:9" ht="17.399999999999999" x14ac:dyDescent="0.25">
      <c r="A1171" s="16"/>
      <c r="B1171" s="17"/>
      <c r="C1171" s="2"/>
      <c r="D1171" s="2"/>
      <c r="E1171" s="2"/>
      <c r="F1171" s="2"/>
      <c r="G1171" s="2"/>
      <c r="H1171" s="2"/>
      <c r="I1171" s="5"/>
    </row>
    <row r="1172" spans="1:9" ht="17.399999999999999" x14ac:dyDescent="0.25">
      <c r="A1172" s="16"/>
      <c r="B1172" s="17"/>
      <c r="C1172" s="2"/>
      <c r="D1172" s="2"/>
      <c r="E1172" s="2"/>
      <c r="F1172" s="2"/>
      <c r="G1172" s="2"/>
      <c r="H1172" s="2"/>
      <c r="I1172" s="5"/>
    </row>
    <row r="1173" spans="1:9" ht="17.399999999999999" x14ac:dyDescent="0.25">
      <c r="A1173" s="16"/>
      <c r="B1173" s="17"/>
      <c r="C1173" s="2"/>
      <c r="D1173" s="2"/>
      <c r="E1173" s="2"/>
      <c r="F1173" s="2"/>
      <c r="G1173" s="2"/>
      <c r="H1173" s="2"/>
      <c r="I1173" s="5"/>
    </row>
    <row r="1174" spans="1:9" ht="17.399999999999999" x14ac:dyDescent="0.25">
      <c r="A1174" s="16"/>
      <c r="B1174" s="17"/>
      <c r="C1174" s="2"/>
      <c r="D1174" s="2"/>
      <c r="E1174" s="2"/>
      <c r="F1174" s="2"/>
      <c r="G1174" s="2"/>
      <c r="H1174" s="2"/>
      <c r="I1174" s="5"/>
    </row>
    <row r="1175" spans="1:9" ht="17.399999999999999" x14ac:dyDescent="0.25">
      <c r="A1175" s="16"/>
      <c r="B1175" s="17"/>
      <c r="C1175" s="2"/>
      <c r="D1175" s="2"/>
      <c r="E1175" s="2"/>
      <c r="F1175" s="2"/>
      <c r="G1175" s="2"/>
      <c r="H1175" s="2"/>
      <c r="I1175" s="5"/>
    </row>
    <row r="1176" spans="1:9" ht="17.399999999999999" x14ac:dyDescent="0.25">
      <c r="A1176" s="16"/>
      <c r="B1176" s="17"/>
      <c r="C1176" s="2"/>
      <c r="D1176" s="2"/>
      <c r="E1176" s="2"/>
      <c r="F1176" s="2"/>
      <c r="G1176" s="2"/>
      <c r="H1176" s="2"/>
      <c r="I1176" s="5"/>
    </row>
    <row r="1177" spans="1:9" ht="17.399999999999999" x14ac:dyDescent="0.25">
      <c r="A1177" s="16"/>
      <c r="B1177" s="17"/>
      <c r="C1177" s="2"/>
      <c r="D1177" s="2"/>
      <c r="E1177" s="2"/>
      <c r="F1177" s="2"/>
      <c r="G1177" s="2"/>
      <c r="H1177" s="2"/>
      <c r="I1177" s="5"/>
    </row>
    <row r="1178" spans="1:9" ht="17.399999999999999" x14ac:dyDescent="0.25">
      <c r="A1178" s="16"/>
      <c r="B1178" s="17"/>
      <c r="C1178" s="2"/>
      <c r="D1178" s="2"/>
      <c r="E1178" s="2"/>
      <c r="F1178" s="2"/>
      <c r="G1178" s="2"/>
      <c r="H1178" s="2"/>
      <c r="I1178" s="5"/>
    </row>
    <row r="1179" spans="1:9" ht="17.399999999999999" x14ac:dyDescent="0.25">
      <c r="A1179" s="16"/>
      <c r="B1179" s="17"/>
      <c r="C1179" s="2"/>
      <c r="D1179" s="2"/>
      <c r="E1179" s="2"/>
      <c r="F1179" s="2"/>
      <c r="G1179" s="2"/>
      <c r="H1179" s="2"/>
      <c r="I1179" s="5"/>
    </row>
    <row r="1180" spans="1:9" ht="17.399999999999999" x14ac:dyDescent="0.25">
      <c r="A1180" s="16"/>
      <c r="B1180" s="17"/>
      <c r="C1180" s="2"/>
      <c r="D1180" s="2"/>
      <c r="E1180" s="2"/>
      <c r="F1180" s="2"/>
      <c r="G1180" s="2"/>
      <c r="H1180" s="2"/>
      <c r="I1180" s="5"/>
    </row>
    <row r="1181" spans="1:9" ht="17.399999999999999" x14ac:dyDescent="0.25">
      <c r="A1181" s="16"/>
      <c r="B1181" s="17"/>
      <c r="C1181" s="2"/>
      <c r="D1181" s="2"/>
      <c r="E1181" s="2"/>
      <c r="F1181" s="2"/>
      <c r="G1181" s="2"/>
      <c r="H1181" s="2"/>
      <c r="I1181" s="5"/>
    </row>
    <row r="1182" spans="1:9" ht="17.399999999999999" x14ac:dyDescent="0.25">
      <c r="A1182" s="16"/>
      <c r="B1182" s="17"/>
      <c r="C1182" s="2"/>
      <c r="D1182" s="2"/>
      <c r="E1182" s="2"/>
      <c r="F1182" s="2"/>
      <c r="G1182" s="2"/>
      <c r="H1182" s="2"/>
      <c r="I1182" s="5"/>
    </row>
    <row r="1183" spans="1:9" ht="17.399999999999999" x14ac:dyDescent="0.25">
      <c r="A1183" s="16"/>
      <c r="B1183" s="17"/>
      <c r="C1183" s="2"/>
      <c r="D1183" s="2"/>
      <c r="E1183" s="2"/>
      <c r="F1183" s="2"/>
      <c r="G1183" s="2"/>
      <c r="H1183" s="2"/>
      <c r="I1183" s="5"/>
    </row>
    <row r="1184" spans="1:9" ht="17.399999999999999" x14ac:dyDescent="0.25">
      <c r="A1184" s="16"/>
      <c r="B1184" s="17"/>
      <c r="C1184" s="2"/>
      <c r="D1184" s="2"/>
      <c r="E1184" s="2"/>
      <c r="F1184" s="2"/>
      <c r="G1184" s="2"/>
      <c r="H1184" s="2"/>
      <c r="I1184" s="5"/>
    </row>
    <row r="1185" spans="1:9" ht="17.399999999999999" x14ac:dyDescent="0.25">
      <c r="A1185" s="16"/>
      <c r="B1185" s="17"/>
      <c r="C1185" s="2"/>
      <c r="D1185" s="2"/>
      <c r="E1185" s="2"/>
      <c r="F1185" s="2"/>
      <c r="G1185" s="2"/>
      <c r="H1185" s="2"/>
      <c r="I1185" s="5"/>
    </row>
    <row r="1186" spans="1:9" ht="17.399999999999999" x14ac:dyDescent="0.25">
      <c r="A1186" s="16"/>
      <c r="B1186" s="17"/>
      <c r="C1186" s="2"/>
      <c r="D1186" s="2"/>
      <c r="E1186" s="2"/>
      <c r="F1186" s="2"/>
      <c r="G1186" s="2"/>
      <c r="H1186" s="2"/>
      <c r="I1186" s="5"/>
    </row>
    <row r="1187" spans="1:9" ht="17.399999999999999" x14ac:dyDescent="0.25">
      <c r="A1187" s="16"/>
      <c r="B1187" s="17"/>
      <c r="C1187" s="2"/>
      <c r="D1187" s="2"/>
      <c r="E1187" s="2"/>
      <c r="F1187" s="2"/>
      <c r="G1187" s="2"/>
      <c r="H1187" s="2"/>
      <c r="I1187" s="5"/>
    </row>
    <row r="1188" spans="1:9" ht="17.399999999999999" x14ac:dyDescent="0.25">
      <c r="A1188" s="16"/>
      <c r="B1188" s="17"/>
      <c r="C1188" s="2"/>
      <c r="D1188" s="2"/>
      <c r="E1188" s="2"/>
      <c r="F1188" s="2"/>
      <c r="G1188" s="2"/>
      <c r="H1188" s="2"/>
      <c r="I1188" s="5"/>
    </row>
    <row r="1189" spans="1:9" ht="17.399999999999999" x14ac:dyDescent="0.25">
      <c r="A1189" s="16"/>
      <c r="B1189" s="17"/>
      <c r="C1189" s="2"/>
      <c r="D1189" s="2"/>
      <c r="E1189" s="2"/>
      <c r="F1189" s="2"/>
      <c r="G1189" s="2"/>
      <c r="H1189" s="2"/>
      <c r="I1189" s="5"/>
    </row>
    <row r="1190" spans="1:9" ht="17.399999999999999" x14ac:dyDescent="0.25">
      <c r="A1190" s="16"/>
      <c r="B1190" s="17"/>
      <c r="C1190" s="2"/>
      <c r="D1190" s="2"/>
      <c r="E1190" s="2"/>
      <c r="F1190" s="2"/>
      <c r="G1190" s="2"/>
      <c r="H1190" s="2"/>
      <c r="I1190" s="5"/>
    </row>
    <row r="1191" spans="1:9" ht="17.399999999999999" x14ac:dyDescent="0.25">
      <c r="A1191" s="16"/>
      <c r="B1191" s="17"/>
      <c r="C1191" s="2"/>
      <c r="D1191" s="2"/>
      <c r="E1191" s="2"/>
      <c r="F1191" s="2"/>
      <c r="G1191" s="2"/>
      <c r="H1191" s="2"/>
      <c r="I1191" s="5"/>
    </row>
    <row r="1192" spans="1:9" ht="17.399999999999999" x14ac:dyDescent="0.25">
      <c r="A1192" s="16"/>
      <c r="B1192" s="17"/>
      <c r="C1192" s="2"/>
      <c r="D1192" s="2"/>
      <c r="E1192" s="2"/>
      <c r="F1192" s="2"/>
      <c r="G1192" s="2"/>
      <c r="H1192" s="2"/>
      <c r="I1192" s="5"/>
    </row>
    <row r="1193" spans="1:9" ht="17.399999999999999" x14ac:dyDescent="0.25">
      <c r="A1193" s="16"/>
      <c r="B1193" s="17"/>
      <c r="C1193" s="2"/>
      <c r="D1193" s="2"/>
      <c r="E1193" s="2"/>
      <c r="F1193" s="2"/>
      <c r="G1193" s="2"/>
      <c r="H1193" s="2"/>
      <c r="I1193" s="5"/>
    </row>
    <row r="1194" spans="1:9" ht="17.399999999999999" x14ac:dyDescent="0.25">
      <c r="A1194" s="16"/>
      <c r="B1194" s="17"/>
      <c r="C1194" s="2"/>
      <c r="D1194" s="2"/>
      <c r="E1194" s="2"/>
      <c r="F1194" s="2"/>
      <c r="G1194" s="2"/>
      <c r="H1194" s="2"/>
      <c r="I1194" s="5"/>
    </row>
    <row r="1195" spans="1:9" ht="17.399999999999999" x14ac:dyDescent="0.25">
      <c r="A1195" s="16"/>
      <c r="B1195" s="17"/>
      <c r="C1195" s="2"/>
      <c r="D1195" s="2"/>
      <c r="E1195" s="2"/>
      <c r="F1195" s="2"/>
      <c r="G1195" s="2"/>
      <c r="H1195" s="2"/>
      <c r="I1195" s="5"/>
    </row>
    <row r="1196" spans="1:9" ht="17.399999999999999" x14ac:dyDescent="0.25">
      <c r="A1196" s="16"/>
      <c r="B1196" s="17"/>
      <c r="C1196" s="2"/>
      <c r="D1196" s="2"/>
      <c r="E1196" s="2"/>
      <c r="F1196" s="2"/>
      <c r="G1196" s="2"/>
      <c r="H1196" s="2"/>
      <c r="I1196" s="5"/>
    </row>
    <row r="1197" spans="1:9" ht="17.399999999999999" x14ac:dyDescent="0.25">
      <c r="A1197" s="16"/>
      <c r="B1197" s="17"/>
      <c r="C1197" s="2"/>
      <c r="D1197" s="2"/>
      <c r="E1197" s="2"/>
      <c r="F1197" s="2"/>
      <c r="G1197" s="2"/>
      <c r="H1197" s="2"/>
      <c r="I1197" s="5"/>
    </row>
    <row r="1198" spans="1:9" ht="17.399999999999999" x14ac:dyDescent="0.25">
      <c r="A1198" s="16"/>
      <c r="B1198" s="17"/>
      <c r="C1198" s="2"/>
      <c r="D1198" s="2"/>
      <c r="E1198" s="2"/>
      <c r="F1198" s="2"/>
      <c r="G1198" s="2"/>
      <c r="H1198" s="2"/>
      <c r="I1198" s="5"/>
    </row>
    <row r="1199" spans="1:9" ht="17.399999999999999" x14ac:dyDescent="0.25">
      <c r="A1199" s="16"/>
      <c r="B1199" s="17"/>
      <c r="C1199" s="2"/>
      <c r="D1199" s="2"/>
      <c r="E1199" s="2"/>
      <c r="F1199" s="2"/>
      <c r="G1199" s="2"/>
      <c r="H1199" s="2"/>
      <c r="I1199" s="5"/>
    </row>
    <row r="1200" spans="1:9" ht="17.399999999999999" x14ac:dyDescent="0.25">
      <c r="A1200" s="16"/>
      <c r="B1200" s="17"/>
      <c r="C1200" s="2"/>
      <c r="D1200" s="2"/>
      <c r="E1200" s="2"/>
      <c r="F1200" s="2"/>
      <c r="G1200" s="2"/>
      <c r="H1200" s="2"/>
      <c r="I1200" s="5"/>
    </row>
    <row r="1201" spans="1:9" ht="17.399999999999999" x14ac:dyDescent="0.25">
      <c r="A1201" s="16"/>
      <c r="B1201" s="17"/>
      <c r="C1201" s="2"/>
      <c r="D1201" s="2"/>
      <c r="E1201" s="2"/>
      <c r="F1201" s="2"/>
      <c r="G1201" s="2"/>
      <c r="H1201" s="2"/>
      <c r="I1201" s="5"/>
    </row>
    <row r="1202" spans="1:9" ht="17.399999999999999" x14ac:dyDescent="0.25">
      <c r="A1202" s="16"/>
      <c r="B1202" s="17"/>
      <c r="C1202" s="2"/>
      <c r="D1202" s="2"/>
      <c r="E1202" s="2"/>
      <c r="F1202" s="2"/>
      <c r="G1202" s="2"/>
      <c r="H1202" s="2"/>
      <c r="I1202" s="5"/>
    </row>
    <row r="1203" spans="1:9" ht="17.399999999999999" x14ac:dyDescent="0.25">
      <c r="A1203" s="16"/>
      <c r="B1203" s="17"/>
      <c r="C1203" s="2"/>
      <c r="D1203" s="2"/>
      <c r="E1203" s="2"/>
      <c r="F1203" s="2"/>
      <c r="G1203" s="2"/>
      <c r="H1203" s="2"/>
      <c r="I1203" s="5"/>
    </row>
    <row r="1204" spans="1:9" ht="17.399999999999999" x14ac:dyDescent="0.25">
      <c r="A1204" s="16"/>
      <c r="B1204" s="17"/>
      <c r="C1204" s="2"/>
      <c r="D1204" s="2"/>
      <c r="E1204" s="2"/>
      <c r="F1204" s="2"/>
      <c r="G1204" s="2"/>
      <c r="H1204" s="2"/>
      <c r="I1204" s="5"/>
    </row>
    <row r="1205" spans="1:9" ht="17.399999999999999" x14ac:dyDescent="0.25">
      <c r="A1205" s="16"/>
      <c r="B1205" s="17"/>
      <c r="C1205" s="2"/>
      <c r="D1205" s="2"/>
      <c r="E1205" s="2"/>
      <c r="F1205" s="2"/>
      <c r="G1205" s="2"/>
      <c r="H1205" s="2"/>
      <c r="I1205" s="5"/>
    </row>
    <row r="1206" spans="1:9" ht="17.399999999999999" x14ac:dyDescent="0.25">
      <c r="A1206" s="16"/>
      <c r="B1206" s="17"/>
      <c r="C1206" s="2"/>
      <c r="D1206" s="2"/>
      <c r="E1206" s="2"/>
      <c r="F1206" s="2"/>
      <c r="G1206" s="2"/>
      <c r="H1206" s="2"/>
      <c r="I1206" s="5"/>
    </row>
    <row r="1207" spans="1:9" ht="17.399999999999999" x14ac:dyDescent="0.25">
      <c r="A1207" s="16"/>
      <c r="B1207" s="17"/>
      <c r="C1207" s="2"/>
      <c r="D1207" s="2"/>
      <c r="E1207" s="2"/>
      <c r="F1207" s="2"/>
      <c r="G1207" s="2"/>
      <c r="H1207" s="2"/>
      <c r="I1207" s="5"/>
    </row>
    <row r="1208" spans="1:9" ht="17.399999999999999" x14ac:dyDescent="0.25">
      <c r="A1208" s="16"/>
      <c r="B1208" s="17"/>
      <c r="C1208" s="2"/>
      <c r="D1208" s="2"/>
      <c r="E1208" s="2"/>
      <c r="F1208" s="2"/>
      <c r="G1208" s="2"/>
      <c r="H1208" s="2"/>
      <c r="I1208" s="5"/>
    </row>
    <row r="1209" spans="1:9" ht="17.399999999999999" x14ac:dyDescent="0.25">
      <c r="A1209" s="16"/>
      <c r="B1209" s="17"/>
      <c r="C1209" s="2"/>
      <c r="D1209" s="2"/>
      <c r="E1209" s="2"/>
      <c r="F1209" s="2"/>
      <c r="G1209" s="2"/>
      <c r="H1209" s="2"/>
      <c r="I1209" s="5"/>
    </row>
    <row r="1210" spans="1:9" ht="17.399999999999999" x14ac:dyDescent="0.25">
      <c r="A1210" s="16"/>
      <c r="B1210" s="17"/>
      <c r="C1210" s="2"/>
      <c r="D1210" s="2"/>
      <c r="E1210" s="2"/>
      <c r="F1210" s="2"/>
      <c r="G1210" s="2"/>
      <c r="H1210" s="2"/>
      <c r="I1210" s="5"/>
    </row>
    <row r="1211" spans="1:9" ht="17.399999999999999" x14ac:dyDescent="0.25">
      <c r="A1211" s="16"/>
      <c r="B1211" s="17"/>
      <c r="C1211" s="2"/>
      <c r="D1211" s="2"/>
      <c r="E1211" s="2"/>
      <c r="F1211" s="2"/>
      <c r="G1211" s="2"/>
      <c r="H1211" s="2"/>
      <c r="I1211" s="5"/>
    </row>
    <row r="1212" spans="1:9" ht="17.399999999999999" x14ac:dyDescent="0.25">
      <c r="A1212" s="16"/>
      <c r="B1212" s="17"/>
      <c r="C1212" s="2"/>
      <c r="D1212" s="2"/>
      <c r="E1212" s="2"/>
      <c r="F1212" s="2"/>
      <c r="G1212" s="2"/>
      <c r="H1212" s="2"/>
      <c r="I1212" s="5"/>
    </row>
    <row r="1213" spans="1:9" ht="17.399999999999999" x14ac:dyDescent="0.25">
      <c r="A1213" s="16"/>
      <c r="B1213" s="17"/>
      <c r="C1213" s="2"/>
      <c r="D1213" s="2"/>
      <c r="E1213" s="2"/>
      <c r="F1213" s="2"/>
      <c r="G1213" s="2"/>
      <c r="H1213" s="2"/>
      <c r="I1213" s="5"/>
    </row>
    <row r="1214" spans="1:9" ht="17.399999999999999" x14ac:dyDescent="0.25">
      <c r="A1214" s="16"/>
      <c r="B1214" s="17"/>
      <c r="C1214" s="2"/>
      <c r="D1214" s="2"/>
      <c r="E1214" s="2"/>
      <c r="F1214" s="2"/>
      <c r="G1214" s="2"/>
      <c r="H1214" s="2"/>
      <c r="I1214" s="5"/>
    </row>
    <row r="1215" spans="1:9" ht="17.399999999999999" x14ac:dyDescent="0.25">
      <c r="A1215" s="16"/>
      <c r="B1215" s="17"/>
      <c r="C1215" s="2"/>
      <c r="D1215" s="2"/>
      <c r="E1215" s="2"/>
      <c r="F1215" s="2"/>
      <c r="G1215" s="2"/>
      <c r="H1215" s="2"/>
      <c r="I1215" s="5"/>
    </row>
    <row r="1216" spans="1:9" ht="17.399999999999999" x14ac:dyDescent="0.25">
      <c r="A1216" s="16"/>
      <c r="B1216" s="17"/>
      <c r="C1216" s="2"/>
      <c r="D1216" s="2"/>
      <c r="E1216" s="2"/>
      <c r="F1216" s="2"/>
      <c r="G1216" s="2"/>
      <c r="H1216" s="2"/>
      <c r="I1216" s="5"/>
    </row>
    <row r="1217" spans="1:9" ht="17.399999999999999" x14ac:dyDescent="0.25">
      <c r="A1217" s="16"/>
      <c r="B1217" s="17"/>
      <c r="C1217" s="2"/>
      <c r="D1217" s="2"/>
      <c r="E1217" s="2"/>
      <c r="F1217" s="2"/>
      <c r="G1217" s="2"/>
      <c r="H1217" s="2"/>
      <c r="I1217" s="5"/>
    </row>
    <row r="1218" spans="1:9" ht="17.399999999999999" x14ac:dyDescent="0.25">
      <c r="A1218" s="16"/>
      <c r="B1218" s="17"/>
      <c r="C1218" s="2"/>
      <c r="D1218" s="2"/>
      <c r="E1218" s="2"/>
      <c r="F1218" s="2"/>
      <c r="G1218" s="2"/>
      <c r="H1218" s="2"/>
      <c r="I1218" s="5"/>
    </row>
    <row r="1219" spans="1:9" ht="17.399999999999999" x14ac:dyDescent="0.25">
      <c r="A1219" s="16"/>
      <c r="B1219" s="17"/>
      <c r="C1219" s="2"/>
      <c r="D1219" s="2"/>
      <c r="E1219" s="2"/>
      <c r="F1219" s="2"/>
      <c r="G1219" s="2"/>
      <c r="H1219" s="2"/>
      <c r="I1219" s="5"/>
    </row>
    <row r="1220" spans="1:9" ht="17.399999999999999" x14ac:dyDescent="0.25">
      <c r="A1220" s="16"/>
      <c r="B1220" s="17"/>
      <c r="C1220" s="2"/>
      <c r="D1220" s="2"/>
      <c r="E1220" s="2"/>
      <c r="F1220" s="2"/>
      <c r="G1220" s="2"/>
      <c r="H1220" s="2"/>
      <c r="I1220" s="5"/>
    </row>
    <row r="1221" spans="1:9" ht="17.399999999999999" x14ac:dyDescent="0.25">
      <c r="A1221" s="16"/>
      <c r="B1221" s="17"/>
      <c r="C1221" s="2"/>
      <c r="D1221" s="2"/>
      <c r="E1221" s="2"/>
      <c r="F1221" s="2"/>
      <c r="G1221" s="2"/>
      <c r="H1221" s="2"/>
      <c r="I1221" s="5"/>
    </row>
    <row r="1222" spans="1:9" ht="17.399999999999999" x14ac:dyDescent="0.25">
      <c r="A1222" s="16"/>
      <c r="B1222" s="17"/>
      <c r="C1222" s="2"/>
      <c r="D1222" s="2"/>
      <c r="E1222" s="2"/>
      <c r="F1222" s="2"/>
      <c r="G1222" s="2"/>
      <c r="H1222" s="2"/>
      <c r="I1222" s="5"/>
    </row>
    <row r="1223" spans="1:9" ht="17.399999999999999" x14ac:dyDescent="0.25">
      <c r="A1223" s="16"/>
      <c r="B1223" s="17"/>
      <c r="C1223" s="2"/>
      <c r="D1223" s="2"/>
      <c r="E1223" s="2"/>
      <c r="F1223" s="2"/>
      <c r="G1223" s="2"/>
      <c r="H1223" s="2"/>
      <c r="I1223" s="5"/>
    </row>
    <row r="1224" spans="1:9" ht="17.399999999999999" x14ac:dyDescent="0.25">
      <c r="A1224" s="16"/>
      <c r="B1224" s="17"/>
      <c r="C1224" s="2"/>
      <c r="D1224" s="2"/>
      <c r="E1224" s="2"/>
      <c r="F1224" s="2"/>
      <c r="G1224" s="2"/>
      <c r="H1224" s="2"/>
      <c r="I1224" s="5"/>
    </row>
    <row r="1225" spans="1:9" ht="17.399999999999999" x14ac:dyDescent="0.25">
      <c r="A1225" s="16"/>
      <c r="B1225" s="17"/>
      <c r="C1225" s="2"/>
      <c r="D1225" s="2"/>
      <c r="E1225" s="2"/>
      <c r="F1225" s="2"/>
      <c r="G1225" s="2"/>
      <c r="H1225" s="2"/>
      <c r="I1225" s="5"/>
    </row>
    <row r="1226" spans="1:9" ht="17.399999999999999" x14ac:dyDescent="0.25">
      <c r="A1226" s="16"/>
      <c r="B1226" s="17"/>
      <c r="C1226" s="2"/>
      <c r="D1226" s="2"/>
      <c r="E1226" s="2"/>
      <c r="F1226" s="2"/>
      <c r="G1226" s="2"/>
      <c r="H1226" s="2"/>
      <c r="I1226" s="5"/>
    </row>
    <row r="1227" spans="1:9" ht="17.399999999999999" x14ac:dyDescent="0.25">
      <c r="A1227" s="16"/>
      <c r="B1227" s="17"/>
      <c r="C1227" s="2"/>
      <c r="D1227" s="2"/>
      <c r="E1227" s="2"/>
      <c r="F1227" s="2"/>
      <c r="G1227" s="2"/>
      <c r="H1227" s="2"/>
      <c r="I1227" s="5"/>
    </row>
    <row r="1228" spans="1:9" ht="17.399999999999999" x14ac:dyDescent="0.25">
      <c r="A1228" s="16"/>
      <c r="B1228" s="17"/>
      <c r="C1228" s="2"/>
      <c r="D1228" s="2"/>
      <c r="E1228" s="2"/>
      <c r="F1228" s="2"/>
      <c r="G1228" s="2"/>
      <c r="H1228" s="2"/>
      <c r="I1228" s="5"/>
    </row>
    <row r="1229" spans="1:9" ht="17.399999999999999" x14ac:dyDescent="0.25">
      <c r="A1229" s="16"/>
      <c r="B1229" s="17"/>
      <c r="C1229" s="2"/>
      <c r="D1229" s="2"/>
      <c r="E1229" s="2"/>
      <c r="F1229" s="2"/>
      <c r="G1229" s="2"/>
      <c r="H1229" s="2"/>
      <c r="I1229" s="5"/>
    </row>
    <row r="1230" spans="1:9" ht="17.399999999999999" x14ac:dyDescent="0.25">
      <c r="A1230" s="16"/>
      <c r="B1230" s="17"/>
      <c r="C1230" s="2"/>
      <c r="D1230" s="2"/>
      <c r="E1230" s="2"/>
      <c r="F1230" s="2"/>
      <c r="G1230" s="2"/>
      <c r="H1230" s="2"/>
      <c r="I1230" s="5"/>
    </row>
    <row r="1231" spans="1:9" ht="17.399999999999999" x14ac:dyDescent="0.25">
      <c r="A1231" s="16"/>
      <c r="B1231" s="17"/>
      <c r="C1231" s="2"/>
      <c r="D1231" s="2"/>
      <c r="E1231" s="2"/>
      <c r="F1231" s="2"/>
      <c r="G1231" s="2"/>
      <c r="H1231" s="2"/>
      <c r="I1231" s="5"/>
    </row>
    <row r="1232" spans="1:9" ht="17.399999999999999" x14ac:dyDescent="0.25">
      <c r="A1232" s="16"/>
      <c r="B1232" s="17"/>
      <c r="C1232" s="2"/>
      <c r="D1232" s="2"/>
      <c r="E1232" s="2"/>
      <c r="F1232" s="2"/>
      <c r="G1232" s="2"/>
      <c r="H1232" s="2"/>
      <c r="I1232" s="5"/>
    </row>
    <row r="1233" spans="1:9" ht="17.399999999999999" x14ac:dyDescent="0.25">
      <c r="A1233" s="16"/>
      <c r="B1233" s="17"/>
      <c r="C1233" s="2"/>
      <c r="D1233" s="2"/>
      <c r="E1233" s="2"/>
      <c r="F1233" s="2"/>
      <c r="G1233" s="2"/>
      <c r="H1233" s="2"/>
      <c r="I1233" s="5"/>
    </row>
    <row r="1234" spans="1:9" ht="17.399999999999999" x14ac:dyDescent="0.25">
      <c r="A1234" s="16"/>
      <c r="B1234" s="17"/>
      <c r="C1234" s="2"/>
      <c r="D1234" s="2"/>
      <c r="E1234" s="2"/>
      <c r="F1234" s="2"/>
      <c r="G1234" s="2"/>
      <c r="H1234" s="2"/>
      <c r="I1234" s="5"/>
    </row>
    <row r="1235" spans="1:9" ht="17.399999999999999" x14ac:dyDescent="0.25">
      <c r="A1235" s="16"/>
      <c r="B1235" s="17"/>
      <c r="C1235" s="2"/>
      <c r="D1235" s="2"/>
      <c r="E1235" s="2"/>
      <c r="F1235" s="2"/>
      <c r="G1235" s="2"/>
      <c r="H1235" s="2"/>
      <c r="I1235" s="5"/>
    </row>
    <row r="1236" spans="1:9" ht="17.399999999999999" x14ac:dyDescent="0.25">
      <c r="A1236" s="16"/>
      <c r="B1236" s="17"/>
      <c r="C1236" s="2"/>
      <c r="D1236" s="2"/>
      <c r="E1236" s="2"/>
      <c r="F1236" s="2"/>
      <c r="G1236" s="2"/>
      <c r="H1236" s="2"/>
      <c r="I1236" s="5"/>
    </row>
    <row r="1237" spans="1:9" ht="17.399999999999999" x14ac:dyDescent="0.25">
      <c r="A1237" s="16"/>
      <c r="B1237" s="17"/>
      <c r="C1237" s="2"/>
      <c r="D1237" s="2"/>
      <c r="E1237" s="2"/>
      <c r="F1237" s="2"/>
      <c r="G1237" s="2"/>
      <c r="H1237" s="2"/>
      <c r="I1237" s="5"/>
    </row>
    <row r="1238" spans="1:9" ht="17.399999999999999" x14ac:dyDescent="0.25">
      <c r="A1238" s="16"/>
      <c r="B1238" s="17"/>
      <c r="C1238" s="2"/>
      <c r="D1238" s="2"/>
      <c r="E1238" s="2"/>
      <c r="F1238" s="2"/>
      <c r="G1238" s="2"/>
      <c r="H1238" s="2"/>
      <c r="I1238" s="5"/>
    </row>
    <row r="1239" spans="1:9" ht="17.399999999999999" x14ac:dyDescent="0.25">
      <c r="A1239" s="16"/>
      <c r="B1239" s="17"/>
      <c r="C1239" s="2"/>
      <c r="D1239" s="2"/>
      <c r="E1239" s="2"/>
      <c r="F1239" s="2"/>
      <c r="G1239" s="2"/>
      <c r="H1239" s="2"/>
      <c r="I1239" s="5"/>
    </row>
    <row r="1240" spans="1:9" ht="17.399999999999999" x14ac:dyDescent="0.25">
      <c r="A1240" s="16"/>
      <c r="B1240" s="17"/>
      <c r="C1240" s="2"/>
      <c r="D1240" s="2"/>
      <c r="E1240" s="2"/>
      <c r="F1240" s="2"/>
      <c r="G1240" s="2"/>
      <c r="H1240" s="2"/>
      <c r="I1240" s="5"/>
    </row>
    <row r="1241" spans="1:9" ht="17.399999999999999" x14ac:dyDescent="0.25">
      <c r="A1241" s="16"/>
      <c r="B1241" s="17"/>
      <c r="C1241" s="2"/>
      <c r="D1241" s="2"/>
      <c r="E1241" s="2"/>
      <c r="F1241" s="2"/>
      <c r="G1241" s="2"/>
      <c r="H1241" s="2"/>
      <c r="I1241" s="5"/>
    </row>
    <row r="1242" spans="1:9" ht="17.399999999999999" x14ac:dyDescent="0.25">
      <c r="A1242" s="16"/>
      <c r="B1242" s="17"/>
      <c r="C1242" s="2"/>
      <c r="D1242" s="2"/>
      <c r="E1242" s="2"/>
      <c r="F1242" s="2"/>
      <c r="G1242" s="2"/>
      <c r="H1242" s="2"/>
      <c r="I1242" s="5"/>
    </row>
    <row r="1243" spans="1:9" ht="17.399999999999999" x14ac:dyDescent="0.25">
      <c r="A1243" s="16"/>
      <c r="B1243" s="17"/>
      <c r="C1243" s="2"/>
      <c r="D1243" s="2"/>
      <c r="E1243" s="2"/>
      <c r="F1243" s="2"/>
      <c r="G1243" s="2"/>
      <c r="H1243" s="2"/>
      <c r="I1243" s="5"/>
    </row>
    <row r="1244" spans="1:9" ht="17.399999999999999" x14ac:dyDescent="0.25">
      <c r="A1244" s="16"/>
      <c r="B1244" s="17"/>
      <c r="C1244" s="2"/>
      <c r="D1244" s="2"/>
      <c r="E1244" s="2"/>
      <c r="F1244" s="2"/>
      <c r="G1244" s="2"/>
      <c r="H1244" s="2"/>
      <c r="I1244" s="5"/>
    </row>
    <row r="1245" spans="1:9" ht="17.399999999999999" x14ac:dyDescent="0.25">
      <c r="A1245" s="16"/>
      <c r="B1245" s="17"/>
      <c r="C1245" s="2"/>
      <c r="D1245" s="2"/>
      <c r="E1245" s="2"/>
      <c r="F1245" s="2"/>
      <c r="G1245" s="2"/>
      <c r="H1245" s="2"/>
      <c r="I1245" s="5"/>
    </row>
    <row r="1246" spans="1:9" ht="17.399999999999999" x14ac:dyDescent="0.25">
      <c r="A1246" s="16"/>
      <c r="B1246" s="17"/>
      <c r="C1246" s="2"/>
      <c r="D1246" s="2"/>
      <c r="E1246" s="2"/>
      <c r="F1246" s="2"/>
      <c r="G1246" s="2"/>
      <c r="H1246" s="2"/>
      <c r="I1246" s="5"/>
    </row>
    <row r="1247" spans="1:9" ht="17.399999999999999" x14ac:dyDescent="0.25">
      <c r="A1247" s="16"/>
      <c r="B1247" s="17"/>
      <c r="C1247" s="2"/>
      <c r="D1247" s="2"/>
      <c r="E1247" s="2"/>
      <c r="F1247" s="2"/>
      <c r="G1247" s="2"/>
      <c r="H1247" s="2"/>
      <c r="I1247" s="5"/>
    </row>
    <row r="1248" spans="1:9" ht="17.399999999999999" x14ac:dyDescent="0.25">
      <c r="A1248" s="16"/>
      <c r="B1248" s="17"/>
      <c r="C1248" s="2"/>
      <c r="D1248" s="2"/>
      <c r="E1248" s="2"/>
      <c r="F1248" s="2"/>
      <c r="G1248" s="2"/>
      <c r="H1248" s="2"/>
      <c r="I1248" s="5"/>
    </row>
    <row r="1249" spans="1:9" ht="17.399999999999999" x14ac:dyDescent="0.25">
      <c r="A1249" s="16"/>
      <c r="B1249" s="17"/>
      <c r="C1249" s="2"/>
      <c r="D1249" s="2"/>
      <c r="E1249" s="2"/>
      <c r="F1249" s="2"/>
      <c r="G1249" s="2"/>
      <c r="H1249" s="2"/>
      <c r="I1249" s="5"/>
    </row>
    <row r="1250" spans="1:9" ht="17.399999999999999" x14ac:dyDescent="0.25">
      <c r="A1250" s="16"/>
      <c r="B1250" s="17"/>
      <c r="C1250" s="2"/>
      <c r="D1250" s="2"/>
      <c r="E1250" s="2"/>
      <c r="F1250" s="2"/>
      <c r="G1250" s="2"/>
      <c r="H1250" s="2"/>
      <c r="I1250" s="5"/>
    </row>
    <row r="1251" spans="1:9" ht="17.399999999999999" x14ac:dyDescent="0.25">
      <c r="A1251" s="16"/>
      <c r="B1251" s="17"/>
      <c r="C1251" s="2"/>
      <c r="D1251" s="2"/>
      <c r="E1251" s="2"/>
      <c r="F1251" s="2"/>
      <c r="G1251" s="2"/>
      <c r="H1251" s="2"/>
      <c r="I1251" s="5"/>
    </row>
    <row r="1252" spans="1:9" ht="17.399999999999999" x14ac:dyDescent="0.25">
      <c r="A1252" s="16"/>
      <c r="B1252" s="17"/>
      <c r="C1252" s="2"/>
      <c r="D1252" s="2"/>
      <c r="E1252" s="2"/>
      <c r="F1252" s="2"/>
      <c r="G1252" s="2"/>
      <c r="H1252" s="2"/>
      <c r="I1252" s="5"/>
    </row>
    <row r="1253" spans="1:9" ht="17.399999999999999" x14ac:dyDescent="0.25">
      <c r="A1253" s="16"/>
      <c r="B1253" s="17"/>
      <c r="C1253" s="2"/>
      <c r="D1253" s="2"/>
      <c r="E1253" s="2"/>
      <c r="F1253" s="2"/>
      <c r="G1253" s="2"/>
      <c r="H1253" s="2"/>
      <c r="I1253" s="5"/>
    </row>
    <row r="1254" spans="1:9" ht="17.399999999999999" x14ac:dyDescent="0.25">
      <c r="A1254" s="16"/>
      <c r="B1254" s="17"/>
      <c r="C1254" s="2"/>
      <c r="D1254" s="2"/>
      <c r="E1254" s="2"/>
      <c r="F1254" s="2"/>
      <c r="G1254" s="2"/>
      <c r="H1254" s="2"/>
      <c r="I1254" s="5"/>
    </row>
    <row r="1255" spans="1:9" ht="17.399999999999999" x14ac:dyDescent="0.25">
      <c r="A1255" s="16"/>
      <c r="B1255" s="17"/>
      <c r="C1255" s="2"/>
      <c r="D1255" s="2"/>
      <c r="E1255" s="2"/>
      <c r="F1255" s="2"/>
      <c r="G1255" s="2"/>
      <c r="H1255" s="2"/>
      <c r="I1255" s="5"/>
    </row>
    <row r="1256" spans="1:9" ht="17.399999999999999" x14ac:dyDescent="0.25">
      <c r="A1256" s="16"/>
      <c r="B1256" s="17"/>
      <c r="C1256" s="2"/>
      <c r="D1256" s="2"/>
      <c r="E1256" s="2"/>
      <c r="F1256" s="2"/>
      <c r="G1256" s="2"/>
      <c r="H1256" s="2"/>
      <c r="I1256" s="5"/>
    </row>
    <row r="1257" spans="1:9" ht="17.399999999999999" x14ac:dyDescent="0.25">
      <c r="A1257" s="16"/>
      <c r="B1257" s="17"/>
      <c r="C1257" s="2"/>
      <c r="D1257" s="2"/>
      <c r="E1257" s="2"/>
      <c r="F1257" s="2"/>
      <c r="G1257" s="2"/>
      <c r="H1257" s="2"/>
      <c r="I1257" s="5"/>
    </row>
    <row r="1258" spans="1:9" ht="17.399999999999999" x14ac:dyDescent="0.25">
      <c r="A1258" s="16"/>
      <c r="B1258" s="17"/>
      <c r="C1258" s="2"/>
      <c r="D1258" s="2"/>
      <c r="E1258" s="2"/>
      <c r="F1258" s="2"/>
      <c r="G1258" s="2"/>
      <c r="H1258" s="2"/>
      <c r="I1258" s="5"/>
    </row>
    <row r="1259" spans="1:9" ht="17.399999999999999" x14ac:dyDescent="0.25">
      <c r="A1259" s="16"/>
      <c r="B1259" s="17"/>
      <c r="C1259" s="2"/>
      <c r="D1259" s="2"/>
      <c r="E1259" s="2"/>
      <c r="F1259" s="2"/>
      <c r="G1259" s="2"/>
      <c r="H1259" s="2"/>
      <c r="I1259" s="5"/>
    </row>
    <row r="1260" spans="1:9" ht="17.399999999999999" x14ac:dyDescent="0.25">
      <c r="A1260" s="16"/>
      <c r="B1260" s="17"/>
      <c r="C1260" s="2"/>
      <c r="D1260" s="2"/>
      <c r="E1260" s="2"/>
      <c r="F1260" s="2"/>
      <c r="G1260" s="2"/>
      <c r="H1260" s="2"/>
      <c r="I1260" s="5"/>
    </row>
    <row r="1261" spans="1:9" ht="17.399999999999999" x14ac:dyDescent="0.25">
      <c r="A1261" s="16"/>
      <c r="B1261" s="17"/>
      <c r="C1261" s="2"/>
      <c r="D1261" s="2"/>
      <c r="E1261" s="2"/>
      <c r="F1261" s="2"/>
      <c r="G1261" s="2"/>
      <c r="H1261" s="2"/>
      <c r="I1261" s="5"/>
    </row>
    <row r="1262" spans="1:9" ht="17.399999999999999" x14ac:dyDescent="0.25">
      <c r="A1262" s="16"/>
      <c r="B1262" s="17"/>
      <c r="C1262" s="2"/>
      <c r="D1262" s="2"/>
      <c r="E1262" s="2"/>
      <c r="F1262" s="2"/>
      <c r="G1262" s="2"/>
      <c r="H1262" s="2"/>
      <c r="I1262" s="5"/>
    </row>
    <row r="1263" spans="1:9" ht="17.399999999999999" x14ac:dyDescent="0.25">
      <c r="A1263" s="16"/>
      <c r="B1263" s="17"/>
      <c r="C1263" s="2"/>
      <c r="D1263" s="2"/>
      <c r="E1263" s="2"/>
      <c r="F1263" s="2"/>
      <c r="G1263" s="2"/>
      <c r="H1263" s="2"/>
      <c r="I1263" s="5"/>
    </row>
    <row r="1264" spans="1:9" ht="17.399999999999999" x14ac:dyDescent="0.25">
      <c r="A1264" s="16"/>
      <c r="B1264" s="17"/>
      <c r="C1264" s="2"/>
      <c r="D1264" s="2"/>
      <c r="E1264" s="2"/>
      <c r="F1264" s="2"/>
      <c r="G1264" s="2"/>
      <c r="H1264" s="2"/>
      <c r="I1264" s="5"/>
    </row>
    <row r="1265" spans="1:9" ht="17.399999999999999" x14ac:dyDescent="0.25">
      <c r="A1265" s="16"/>
      <c r="B1265" s="17"/>
      <c r="C1265" s="2"/>
      <c r="D1265" s="2"/>
      <c r="E1265" s="2"/>
      <c r="F1265" s="2"/>
      <c r="G1265" s="2"/>
      <c r="H1265" s="2"/>
      <c r="I1265" s="5"/>
    </row>
    <row r="1266" spans="1:9" ht="17.399999999999999" x14ac:dyDescent="0.25">
      <c r="A1266" s="16"/>
      <c r="B1266" s="17"/>
      <c r="C1266" s="2"/>
      <c r="D1266" s="2"/>
      <c r="E1266" s="2"/>
      <c r="F1266" s="2"/>
      <c r="G1266" s="2"/>
      <c r="H1266" s="2"/>
      <c r="I1266" s="5"/>
    </row>
    <row r="1267" spans="1:9" ht="17.399999999999999" x14ac:dyDescent="0.25">
      <c r="A1267" s="16"/>
      <c r="B1267" s="17"/>
      <c r="C1267" s="2"/>
      <c r="D1267" s="2"/>
      <c r="E1267" s="2"/>
      <c r="F1267" s="2"/>
      <c r="G1267" s="2"/>
      <c r="H1267" s="2"/>
      <c r="I1267" s="5"/>
    </row>
    <row r="1268" spans="1:9" ht="17.399999999999999" x14ac:dyDescent="0.25">
      <c r="A1268" s="16"/>
      <c r="B1268" s="17"/>
      <c r="C1268" s="2"/>
      <c r="D1268" s="2"/>
      <c r="E1268" s="2"/>
      <c r="F1268" s="2"/>
      <c r="G1268" s="2"/>
      <c r="H1268" s="2"/>
      <c r="I1268" s="5"/>
    </row>
    <row r="1269" spans="1:9" ht="17.399999999999999" x14ac:dyDescent="0.25">
      <c r="A1269" s="16"/>
      <c r="B1269" s="17"/>
      <c r="C1269" s="2"/>
      <c r="D1269" s="2"/>
      <c r="E1269" s="2"/>
      <c r="F1269" s="2"/>
      <c r="G1269" s="2"/>
      <c r="H1269" s="2"/>
      <c r="I1269" s="5"/>
    </row>
    <row r="1270" spans="1:9" ht="17.399999999999999" x14ac:dyDescent="0.25">
      <c r="A1270" s="16"/>
      <c r="B1270" s="17"/>
      <c r="C1270" s="2"/>
      <c r="D1270" s="2"/>
      <c r="E1270" s="2"/>
      <c r="F1270" s="2"/>
      <c r="G1270" s="2"/>
      <c r="H1270" s="2"/>
      <c r="I1270" s="5"/>
    </row>
    <row r="1271" spans="1:9" ht="17.399999999999999" x14ac:dyDescent="0.25">
      <c r="A1271" s="16"/>
      <c r="B1271" s="17"/>
      <c r="C1271" s="2"/>
      <c r="D1271" s="2"/>
      <c r="E1271" s="2"/>
      <c r="F1271" s="2"/>
      <c r="G1271" s="2"/>
      <c r="H1271" s="2"/>
      <c r="I1271" s="5"/>
    </row>
    <row r="1272" spans="1:9" ht="17.399999999999999" x14ac:dyDescent="0.25">
      <c r="A1272" s="16"/>
      <c r="B1272" s="17"/>
      <c r="C1272" s="2"/>
      <c r="D1272" s="2"/>
      <c r="E1272" s="2"/>
      <c r="F1272" s="2"/>
      <c r="G1272" s="2"/>
      <c r="H1272" s="2"/>
      <c r="I1272" s="5"/>
    </row>
    <row r="1273" spans="1:9" ht="17.399999999999999" x14ac:dyDescent="0.25">
      <c r="A1273" s="16"/>
      <c r="B1273" s="17"/>
      <c r="C1273" s="2"/>
      <c r="D1273" s="2"/>
      <c r="E1273" s="2"/>
      <c r="F1273" s="2"/>
      <c r="G1273" s="2"/>
      <c r="H1273" s="2"/>
      <c r="I1273" s="5"/>
    </row>
    <row r="1274" spans="1:9" ht="17.399999999999999" x14ac:dyDescent="0.25">
      <c r="A1274" s="16"/>
      <c r="B1274" s="17"/>
      <c r="C1274" s="2"/>
      <c r="D1274" s="2"/>
      <c r="E1274" s="2"/>
      <c r="F1274" s="2"/>
      <c r="G1274" s="2"/>
      <c r="H1274" s="2"/>
      <c r="I1274" s="5"/>
    </row>
    <row r="1275" spans="1:9" ht="17.399999999999999" x14ac:dyDescent="0.25">
      <c r="A1275" s="16"/>
      <c r="B1275" s="17"/>
      <c r="C1275" s="2"/>
      <c r="D1275" s="2"/>
      <c r="E1275" s="2"/>
      <c r="F1275" s="2"/>
      <c r="G1275" s="2"/>
      <c r="H1275" s="2"/>
      <c r="I1275" s="5"/>
    </row>
    <row r="1276" spans="1:9" ht="17.399999999999999" x14ac:dyDescent="0.25">
      <c r="A1276" s="16"/>
      <c r="B1276" s="17"/>
      <c r="C1276" s="2"/>
      <c r="D1276" s="2"/>
      <c r="E1276" s="2"/>
      <c r="F1276" s="2"/>
      <c r="G1276" s="2"/>
      <c r="H1276" s="2"/>
      <c r="I1276" s="5"/>
    </row>
    <row r="1277" spans="1:9" ht="17.399999999999999" x14ac:dyDescent="0.25">
      <c r="A1277" s="16"/>
      <c r="B1277" s="17"/>
      <c r="C1277" s="2"/>
      <c r="D1277" s="2"/>
      <c r="E1277" s="2"/>
      <c r="F1277" s="2"/>
      <c r="G1277" s="2"/>
      <c r="H1277" s="2"/>
      <c r="I1277" s="5"/>
    </row>
    <row r="1278" spans="1:9" ht="17.399999999999999" x14ac:dyDescent="0.25">
      <c r="A1278" s="16"/>
      <c r="B1278" s="17"/>
      <c r="C1278" s="2"/>
      <c r="D1278" s="2"/>
      <c r="E1278" s="2"/>
      <c r="F1278" s="2"/>
      <c r="G1278" s="2"/>
      <c r="H1278" s="2"/>
      <c r="I1278" s="5"/>
    </row>
    <row r="1279" spans="1:9" ht="17.399999999999999" x14ac:dyDescent="0.25">
      <c r="A1279" s="16"/>
      <c r="B1279" s="17"/>
      <c r="C1279" s="2"/>
      <c r="D1279" s="2"/>
      <c r="E1279" s="2"/>
      <c r="F1279" s="2"/>
      <c r="G1279" s="2"/>
      <c r="H1279" s="2"/>
      <c r="I1279" s="5"/>
    </row>
    <row r="1280" spans="1:9" ht="17.399999999999999" x14ac:dyDescent="0.25">
      <c r="A1280" s="16"/>
      <c r="B1280" s="17"/>
      <c r="C1280" s="2"/>
      <c r="D1280" s="2"/>
      <c r="E1280" s="2"/>
      <c r="F1280" s="2"/>
      <c r="G1280" s="2"/>
      <c r="H1280" s="2"/>
      <c r="I1280" s="5"/>
    </row>
    <row r="1281" spans="1:9" ht="17.399999999999999" x14ac:dyDescent="0.25">
      <c r="A1281" s="16"/>
      <c r="B1281" s="17"/>
      <c r="C1281" s="2"/>
      <c r="D1281" s="2"/>
      <c r="E1281" s="2"/>
      <c r="F1281" s="2"/>
      <c r="G1281" s="2"/>
      <c r="H1281" s="2"/>
      <c r="I1281" s="5"/>
    </row>
    <row r="1282" spans="1:9" ht="17.399999999999999" x14ac:dyDescent="0.25">
      <c r="A1282" s="16"/>
      <c r="B1282" s="17"/>
      <c r="C1282" s="2"/>
      <c r="D1282" s="2"/>
      <c r="E1282" s="2"/>
      <c r="F1282" s="2"/>
      <c r="G1282" s="2"/>
      <c r="H1282" s="2"/>
      <c r="I1282" s="5"/>
    </row>
    <row r="1283" spans="1:9" ht="17.399999999999999" x14ac:dyDescent="0.25">
      <c r="A1283" s="16"/>
      <c r="B1283" s="17"/>
      <c r="C1283" s="2"/>
      <c r="D1283" s="2"/>
      <c r="E1283" s="2"/>
      <c r="F1283" s="2"/>
      <c r="G1283" s="2"/>
      <c r="H1283" s="2"/>
      <c r="I1283" s="5"/>
    </row>
    <row r="1284" spans="1:9" ht="17.399999999999999" x14ac:dyDescent="0.25">
      <c r="A1284" s="16"/>
      <c r="B1284" s="17"/>
      <c r="C1284" s="2"/>
      <c r="D1284" s="2"/>
      <c r="E1284" s="2"/>
      <c r="F1284" s="2"/>
      <c r="G1284" s="2"/>
      <c r="H1284" s="2"/>
      <c r="I1284" s="5"/>
    </row>
    <row r="1285" spans="1:9" ht="17.399999999999999" x14ac:dyDescent="0.25">
      <c r="A1285" s="16"/>
      <c r="B1285" s="17"/>
      <c r="C1285" s="2"/>
      <c r="D1285" s="2"/>
      <c r="E1285" s="2"/>
      <c r="F1285" s="2"/>
      <c r="G1285" s="2"/>
      <c r="H1285" s="2"/>
      <c r="I1285" s="5"/>
    </row>
    <row r="1286" spans="1:9" ht="17.399999999999999" x14ac:dyDescent="0.25">
      <c r="A1286" s="16"/>
      <c r="B1286" s="17"/>
      <c r="C1286" s="2"/>
      <c r="D1286" s="2"/>
      <c r="E1286" s="2"/>
      <c r="F1286" s="2"/>
      <c r="G1286" s="2"/>
      <c r="H1286" s="2"/>
      <c r="I1286" s="5"/>
    </row>
    <row r="1287" spans="1:9" ht="17.399999999999999" x14ac:dyDescent="0.25">
      <c r="A1287" s="16"/>
      <c r="B1287" s="17"/>
      <c r="C1287" s="2"/>
      <c r="D1287" s="2"/>
      <c r="E1287" s="2"/>
      <c r="F1287" s="2"/>
      <c r="G1287" s="2"/>
      <c r="H1287" s="2"/>
      <c r="I1287" s="5"/>
    </row>
    <row r="1288" spans="1:9" ht="17.399999999999999" x14ac:dyDescent="0.25">
      <c r="A1288" s="16"/>
      <c r="B1288" s="17"/>
      <c r="C1288" s="2"/>
      <c r="D1288" s="2"/>
      <c r="E1288" s="2"/>
      <c r="F1288" s="2"/>
      <c r="G1288" s="2"/>
      <c r="H1288" s="2"/>
      <c r="I1288" s="5"/>
    </row>
    <row r="1289" spans="1:9" ht="17.399999999999999" x14ac:dyDescent="0.25">
      <c r="A1289" s="16"/>
      <c r="B1289" s="17"/>
      <c r="C1289" s="2"/>
      <c r="D1289" s="2"/>
      <c r="E1289" s="2"/>
      <c r="F1289" s="2"/>
      <c r="G1289" s="2"/>
      <c r="H1289" s="2"/>
      <c r="I1289" s="5"/>
    </row>
    <row r="1290" spans="1:9" ht="17.399999999999999" x14ac:dyDescent="0.25">
      <c r="A1290" s="16"/>
      <c r="B1290" s="17"/>
      <c r="C1290" s="2"/>
      <c r="D1290" s="2"/>
      <c r="E1290" s="2"/>
      <c r="F1290" s="2"/>
      <c r="G1290" s="2"/>
      <c r="H1290" s="2"/>
      <c r="I1290" s="5"/>
    </row>
    <row r="1291" spans="1:9" ht="17.399999999999999" x14ac:dyDescent="0.25">
      <c r="A1291" s="16"/>
      <c r="B1291" s="17"/>
      <c r="C1291" s="2"/>
      <c r="D1291" s="2"/>
      <c r="E1291" s="2"/>
      <c r="F1291" s="2"/>
      <c r="G1291" s="2"/>
      <c r="H1291" s="2"/>
      <c r="I1291" s="5"/>
    </row>
    <row r="1292" spans="1:9" ht="17.399999999999999" x14ac:dyDescent="0.25">
      <c r="A1292" s="16"/>
      <c r="B1292" s="17"/>
      <c r="C1292" s="2"/>
      <c r="D1292" s="2"/>
      <c r="E1292" s="2"/>
      <c r="F1292" s="2"/>
      <c r="G1292" s="2"/>
      <c r="H1292" s="2"/>
      <c r="I1292" s="5"/>
    </row>
    <row r="1293" spans="1:9" ht="17.399999999999999" x14ac:dyDescent="0.25">
      <c r="A1293" s="16"/>
      <c r="B1293" s="17"/>
      <c r="C1293" s="2"/>
      <c r="D1293" s="2"/>
      <c r="E1293" s="2"/>
      <c r="F1293" s="2"/>
      <c r="G1293" s="2"/>
      <c r="H1293" s="2"/>
      <c r="I1293" s="5"/>
    </row>
    <row r="1294" spans="1:9" ht="17.399999999999999" x14ac:dyDescent="0.25">
      <c r="A1294" s="16"/>
      <c r="B1294" s="17"/>
      <c r="C1294" s="2"/>
      <c r="D1294" s="2"/>
      <c r="E1294" s="2"/>
      <c r="F1294" s="2"/>
      <c r="G1294" s="2"/>
      <c r="H1294" s="2"/>
      <c r="I1294" s="5"/>
    </row>
    <row r="1295" spans="1:9" ht="17.399999999999999" x14ac:dyDescent="0.25">
      <c r="A1295" s="16"/>
      <c r="B1295" s="17"/>
      <c r="C1295" s="2"/>
      <c r="D1295" s="2"/>
      <c r="E1295" s="2"/>
      <c r="F1295" s="2"/>
      <c r="G1295" s="2"/>
      <c r="H1295" s="2"/>
      <c r="I1295" s="5"/>
    </row>
    <row r="1296" spans="1:9" ht="17.399999999999999" x14ac:dyDescent="0.25">
      <c r="A1296" s="16"/>
      <c r="B1296" s="17"/>
      <c r="C1296" s="2"/>
      <c r="D1296" s="2"/>
      <c r="E1296" s="2"/>
      <c r="F1296" s="2"/>
      <c r="G1296" s="2"/>
      <c r="H1296" s="2"/>
      <c r="I1296" s="5"/>
    </row>
    <row r="1297" spans="1:9" ht="17.399999999999999" x14ac:dyDescent="0.25">
      <c r="A1297" s="16"/>
      <c r="B1297" s="17"/>
      <c r="C1297" s="2"/>
      <c r="D1297" s="2"/>
      <c r="E1297" s="2"/>
      <c r="F1297" s="2"/>
      <c r="G1297" s="2"/>
      <c r="H1297" s="2"/>
      <c r="I1297" s="5"/>
    </row>
    <row r="1298" spans="1:9" ht="17.399999999999999" x14ac:dyDescent="0.25">
      <c r="A1298" s="16"/>
      <c r="B1298" s="17"/>
      <c r="C1298" s="2"/>
      <c r="D1298" s="2"/>
      <c r="E1298" s="2"/>
      <c r="F1298" s="2"/>
      <c r="G1298" s="2"/>
      <c r="H1298" s="2"/>
      <c r="I1298" s="5"/>
    </row>
    <row r="1299" spans="1:9" ht="17.399999999999999" x14ac:dyDescent="0.25">
      <c r="A1299" s="16"/>
      <c r="B1299" s="17"/>
      <c r="C1299" s="2"/>
      <c r="D1299" s="2"/>
      <c r="E1299" s="2"/>
      <c r="F1299" s="2"/>
      <c r="G1299" s="2"/>
      <c r="H1299" s="2"/>
      <c r="I1299" s="5"/>
    </row>
    <row r="1300" spans="1:9" ht="17.399999999999999" x14ac:dyDescent="0.25">
      <c r="A1300" s="16"/>
      <c r="B1300" s="17"/>
      <c r="C1300" s="2"/>
      <c r="D1300" s="2"/>
      <c r="E1300" s="2"/>
      <c r="F1300" s="2"/>
      <c r="G1300" s="2"/>
      <c r="H1300" s="2"/>
      <c r="I1300" s="5"/>
    </row>
    <row r="1301" spans="1:9" ht="17.399999999999999" x14ac:dyDescent="0.25">
      <c r="A1301" s="16"/>
      <c r="B1301" s="17"/>
      <c r="C1301" s="2"/>
      <c r="D1301" s="2"/>
      <c r="E1301" s="2"/>
      <c r="F1301" s="2"/>
      <c r="G1301" s="2"/>
      <c r="H1301" s="2"/>
      <c r="I1301" s="5"/>
    </row>
    <row r="1302" spans="1:9" ht="17.399999999999999" x14ac:dyDescent="0.25">
      <c r="A1302" s="16"/>
      <c r="B1302" s="17"/>
      <c r="C1302" s="2"/>
      <c r="D1302" s="2"/>
      <c r="E1302" s="2"/>
      <c r="F1302" s="2"/>
      <c r="G1302" s="2"/>
      <c r="H1302" s="2"/>
      <c r="I1302" s="5"/>
    </row>
    <row r="1303" spans="1:9" ht="17.399999999999999" x14ac:dyDescent="0.25">
      <c r="A1303" s="16"/>
      <c r="B1303" s="17"/>
      <c r="C1303" s="2"/>
      <c r="D1303" s="2"/>
      <c r="E1303" s="2"/>
      <c r="F1303" s="2"/>
      <c r="G1303" s="2"/>
      <c r="H1303" s="2"/>
      <c r="I1303" s="5"/>
    </row>
    <row r="1304" spans="1:9" ht="17.399999999999999" x14ac:dyDescent="0.25">
      <c r="A1304" s="16"/>
      <c r="B1304" s="17"/>
      <c r="C1304" s="2"/>
      <c r="D1304" s="2"/>
      <c r="E1304" s="2"/>
      <c r="F1304" s="2"/>
      <c r="G1304" s="2"/>
      <c r="H1304" s="2"/>
      <c r="I1304" s="5"/>
    </row>
    <row r="1305" spans="1:9" ht="17.399999999999999" x14ac:dyDescent="0.25">
      <c r="A1305" s="16"/>
      <c r="B1305" s="17"/>
      <c r="C1305" s="2"/>
      <c r="D1305" s="2"/>
      <c r="E1305" s="2"/>
      <c r="F1305" s="2"/>
      <c r="G1305" s="2"/>
      <c r="H1305" s="2"/>
      <c r="I1305" s="5"/>
    </row>
    <row r="1306" spans="1:9" ht="17.399999999999999" x14ac:dyDescent="0.25">
      <c r="A1306" s="16"/>
      <c r="B1306" s="17"/>
      <c r="C1306" s="2"/>
      <c r="D1306" s="2"/>
      <c r="E1306" s="2"/>
      <c r="F1306" s="2"/>
      <c r="G1306" s="2"/>
      <c r="H1306" s="2"/>
      <c r="I1306" s="5"/>
    </row>
    <row r="1307" spans="1:9" ht="17.399999999999999" x14ac:dyDescent="0.25">
      <c r="A1307" s="16"/>
      <c r="B1307" s="17"/>
      <c r="C1307" s="2"/>
      <c r="D1307" s="2"/>
      <c r="E1307" s="2"/>
      <c r="F1307" s="2"/>
      <c r="G1307" s="2"/>
      <c r="H1307" s="2"/>
      <c r="I1307" s="5"/>
    </row>
    <row r="1308" spans="1:9" ht="17.399999999999999" x14ac:dyDescent="0.25">
      <c r="A1308" s="16"/>
      <c r="B1308" s="17"/>
      <c r="C1308" s="2"/>
      <c r="D1308" s="2"/>
      <c r="E1308" s="2"/>
      <c r="F1308" s="2"/>
      <c r="G1308" s="2"/>
      <c r="H1308" s="2"/>
      <c r="I1308" s="5"/>
    </row>
    <row r="1309" spans="1:9" ht="17.399999999999999" x14ac:dyDescent="0.25">
      <c r="A1309" s="16"/>
      <c r="B1309" s="17"/>
      <c r="C1309" s="2"/>
      <c r="D1309" s="2"/>
      <c r="E1309" s="2"/>
      <c r="F1309" s="2"/>
      <c r="G1309" s="2"/>
      <c r="H1309" s="2"/>
      <c r="I1309" s="5"/>
    </row>
    <row r="1310" spans="1:9" ht="17.399999999999999" x14ac:dyDescent="0.25">
      <c r="A1310" s="16"/>
      <c r="B1310" s="17"/>
      <c r="C1310" s="2"/>
      <c r="D1310" s="2"/>
      <c r="E1310" s="2"/>
      <c r="F1310" s="2"/>
      <c r="G1310" s="2"/>
      <c r="H1310" s="2"/>
      <c r="I1310" s="5"/>
    </row>
    <row r="1311" spans="1:9" ht="17.399999999999999" x14ac:dyDescent="0.25">
      <c r="A1311" s="16"/>
      <c r="B1311" s="17"/>
      <c r="C1311" s="2"/>
      <c r="D1311" s="2"/>
      <c r="E1311" s="2"/>
      <c r="F1311" s="2"/>
      <c r="G1311" s="2"/>
      <c r="H1311" s="2"/>
      <c r="I1311" s="5"/>
    </row>
    <row r="1312" spans="1:9" ht="17.399999999999999" x14ac:dyDescent="0.25">
      <c r="A1312" s="16"/>
      <c r="B1312" s="17"/>
      <c r="C1312" s="2"/>
      <c r="D1312" s="2"/>
      <c r="E1312" s="2"/>
      <c r="F1312" s="2"/>
      <c r="G1312" s="2"/>
      <c r="H1312" s="2"/>
      <c r="I1312" s="5"/>
    </row>
    <row r="1313" spans="1:9" ht="17.399999999999999" x14ac:dyDescent="0.25">
      <c r="A1313" s="16"/>
      <c r="B1313" s="17"/>
      <c r="C1313" s="2"/>
      <c r="D1313" s="2"/>
      <c r="E1313" s="2"/>
      <c r="F1313" s="2"/>
      <c r="G1313" s="2"/>
      <c r="H1313" s="2"/>
      <c r="I1313" s="5"/>
    </row>
    <row r="1314" spans="1:9" ht="17.399999999999999" x14ac:dyDescent="0.25">
      <c r="A1314" s="16"/>
      <c r="B1314" s="17"/>
      <c r="C1314" s="2"/>
      <c r="D1314" s="2"/>
      <c r="E1314" s="2"/>
      <c r="F1314" s="2"/>
      <c r="G1314" s="2"/>
      <c r="H1314" s="2"/>
      <c r="I1314" s="5"/>
    </row>
    <row r="1315" spans="1:9" ht="17.399999999999999" x14ac:dyDescent="0.25">
      <c r="A1315" s="16"/>
      <c r="B1315" s="17"/>
      <c r="C1315" s="2"/>
      <c r="D1315" s="2"/>
      <c r="E1315" s="2"/>
      <c r="F1315" s="2"/>
      <c r="G1315" s="2"/>
      <c r="H1315" s="2"/>
      <c r="I1315" s="5"/>
    </row>
    <row r="1316" spans="1:9" ht="17.399999999999999" x14ac:dyDescent="0.25">
      <c r="A1316" s="16"/>
      <c r="B1316" s="17"/>
      <c r="C1316" s="2"/>
      <c r="D1316" s="2"/>
      <c r="E1316" s="2"/>
      <c r="F1316" s="2"/>
      <c r="G1316" s="2"/>
      <c r="H1316" s="2"/>
      <c r="I1316" s="5"/>
    </row>
    <row r="1317" spans="1:9" ht="17.399999999999999" x14ac:dyDescent="0.25">
      <c r="A1317" s="16"/>
      <c r="B1317" s="17"/>
      <c r="C1317" s="2"/>
      <c r="D1317" s="2"/>
      <c r="E1317" s="2"/>
      <c r="F1317" s="2"/>
      <c r="G1317" s="2"/>
      <c r="H1317" s="2"/>
      <c r="I1317" s="5"/>
    </row>
    <row r="1318" spans="1:9" ht="17.399999999999999" x14ac:dyDescent="0.25">
      <c r="A1318" s="16"/>
      <c r="B1318" s="17"/>
      <c r="C1318" s="2"/>
      <c r="D1318" s="2"/>
      <c r="E1318" s="2"/>
      <c r="F1318" s="2"/>
      <c r="G1318" s="2"/>
      <c r="H1318" s="2"/>
      <c r="I1318" s="5"/>
    </row>
    <row r="1319" spans="1:9" ht="17.399999999999999" x14ac:dyDescent="0.25">
      <c r="A1319" s="16"/>
      <c r="B1319" s="17"/>
      <c r="C1319" s="2"/>
      <c r="D1319" s="2"/>
      <c r="E1319" s="2"/>
      <c r="F1319" s="2"/>
      <c r="G1319" s="2"/>
      <c r="H1319" s="2"/>
      <c r="I1319" s="5"/>
    </row>
    <row r="1320" spans="1:9" ht="17.399999999999999" x14ac:dyDescent="0.25">
      <c r="A1320" s="16"/>
      <c r="B1320" s="17"/>
      <c r="C1320" s="2"/>
      <c r="D1320" s="2"/>
      <c r="E1320" s="2"/>
      <c r="F1320" s="2"/>
      <c r="G1320" s="2"/>
      <c r="H1320" s="2"/>
      <c r="I1320" s="5"/>
    </row>
    <row r="1321" spans="1:9" ht="17.399999999999999" x14ac:dyDescent="0.25">
      <c r="A1321" s="16"/>
      <c r="B1321" s="17"/>
      <c r="C1321" s="2"/>
      <c r="D1321" s="2"/>
      <c r="E1321" s="2"/>
      <c r="F1321" s="2"/>
      <c r="G1321" s="2"/>
      <c r="H1321" s="2"/>
      <c r="I1321" s="5"/>
    </row>
    <row r="1322" spans="1:9" ht="17.399999999999999" x14ac:dyDescent="0.25">
      <c r="A1322" s="16"/>
      <c r="B1322" s="17"/>
      <c r="C1322" s="2"/>
      <c r="D1322" s="2"/>
      <c r="E1322" s="2"/>
      <c r="F1322" s="2"/>
      <c r="G1322" s="2"/>
      <c r="H1322" s="2"/>
      <c r="I1322" s="5"/>
    </row>
    <row r="1323" spans="1:9" ht="17.399999999999999" x14ac:dyDescent="0.25">
      <c r="A1323" s="16"/>
      <c r="B1323" s="17"/>
      <c r="C1323" s="2"/>
      <c r="D1323" s="2"/>
      <c r="E1323" s="2"/>
      <c r="F1323" s="2"/>
      <c r="G1323" s="2"/>
      <c r="H1323" s="2"/>
      <c r="I1323" s="5"/>
    </row>
    <row r="1324" spans="1:9" ht="17.399999999999999" x14ac:dyDescent="0.25">
      <c r="A1324" s="16"/>
      <c r="B1324" s="17"/>
      <c r="C1324" s="2"/>
      <c r="D1324" s="2"/>
      <c r="E1324" s="2"/>
      <c r="F1324" s="2"/>
      <c r="G1324" s="2"/>
      <c r="H1324" s="2"/>
      <c r="I1324" s="5"/>
    </row>
    <row r="1325" spans="1:9" ht="17.399999999999999" x14ac:dyDescent="0.25">
      <c r="A1325" s="16"/>
      <c r="B1325" s="17"/>
      <c r="C1325" s="2"/>
      <c r="D1325" s="2"/>
      <c r="E1325" s="2"/>
      <c r="F1325" s="2"/>
      <c r="G1325" s="2"/>
      <c r="H1325" s="2"/>
      <c r="I1325" s="5"/>
    </row>
    <row r="1326" spans="1:9" ht="17.399999999999999" x14ac:dyDescent="0.25">
      <c r="A1326" s="16"/>
      <c r="B1326" s="17"/>
      <c r="C1326" s="2"/>
      <c r="D1326" s="2"/>
      <c r="E1326" s="2"/>
      <c r="F1326" s="2"/>
      <c r="G1326" s="2"/>
      <c r="H1326" s="2"/>
      <c r="I1326" s="5"/>
    </row>
    <row r="1327" spans="1:9" ht="17.399999999999999" x14ac:dyDescent="0.25">
      <c r="A1327" s="16"/>
      <c r="B1327" s="17"/>
      <c r="C1327" s="2"/>
      <c r="D1327" s="2"/>
      <c r="E1327" s="2"/>
      <c r="F1327" s="2"/>
      <c r="G1327" s="2"/>
      <c r="H1327" s="2"/>
      <c r="I1327" s="5"/>
    </row>
    <row r="1328" spans="1:9" ht="17.399999999999999" x14ac:dyDescent="0.25">
      <c r="A1328" s="16"/>
      <c r="B1328" s="17"/>
      <c r="C1328" s="2"/>
      <c r="D1328" s="2"/>
      <c r="E1328" s="2"/>
      <c r="F1328" s="2"/>
      <c r="G1328" s="2"/>
      <c r="H1328" s="2"/>
      <c r="I1328" s="5"/>
    </row>
    <row r="1329" spans="1:9" ht="17.399999999999999" x14ac:dyDescent="0.25">
      <c r="A1329" s="16"/>
      <c r="B1329" s="17"/>
      <c r="C1329" s="2"/>
      <c r="D1329" s="2"/>
      <c r="E1329" s="2"/>
      <c r="F1329" s="2"/>
      <c r="G1329" s="2"/>
      <c r="H1329" s="2"/>
      <c r="I1329" s="5"/>
    </row>
    <row r="1330" spans="1:9" ht="17.399999999999999" x14ac:dyDescent="0.25">
      <c r="A1330" s="16"/>
      <c r="B1330" s="17"/>
      <c r="C1330" s="2"/>
      <c r="D1330" s="2"/>
      <c r="E1330" s="2"/>
      <c r="F1330" s="2"/>
      <c r="G1330" s="2"/>
      <c r="H1330" s="2"/>
      <c r="I1330" s="5"/>
    </row>
    <row r="1331" spans="1:9" ht="17.399999999999999" x14ac:dyDescent="0.25">
      <c r="A1331" s="16"/>
      <c r="B1331" s="17"/>
      <c r="C1331" s="2"/>
      <c r="D1331" s="2"/>
      <c r="E1331" s="2"/>
      <c r="F1331" s="2"/>
      <c r="G1331" s="2"/>
      <c r="H1331" s="2"/>
      <c r="I1331" s="5"/>
    </row>
    <row r="1332" spans="1:9" ht="17.399999999999999" x14ac:dyDescent="0.25">
      <c r="A1332" s="16"/>
      <c r="B1332" s="17"/>
      <c r="C1332" s="2"/>
      <c r="D1332" s="2"/>
      <c r="E1332" s="2"/>
      <c r="F1332" s="2"/>
      <c r="G1332" s="2"/>
      <c r="H1332" s="2"/>
      <c r="I1332" s="5"/>
    </row>
    <row r="1333" spans="1:9" ht="17.399999999999999" x14ac:dyDescent="0.25">
      <c r="A1333" s="16"/>
      <c r="B1333" s="17"/>
      <c r="C1333" s="2"/>
      <c r="D1333" s="2"/>
      <c r="E1333" s="2"/>
      <c r="F1333" s="2"/>
      <c r="G1333" s="2"/>
      <c r="H1333" s="2"/>
      <c r="I1333" s="5"/>
    </row>
    <row r="1334" spans="1:9" ht="17.399999999999999" x14ac:dyDescent="0.25">
      <c r="A1334" s="16"/>
      <c r="B1334" s="17"/>
      <c r="C1334" s="2"/>
      <c r="D1334" s="2"/>
      <c r="E1334" s="2"/>
      <c r="F1334" s="2"/>
      <c r="G1334" s="2"/>
      <c r="H1334" s="2"/>
      <c r="I1334" s="5"/>
    </row>
    <row r="1335" spans="1:9" ht="17.399999999999999" x14ac:dyDescent="0.25">
      <c r="A1335" s="16"/>
      <c r="B1335" s="17"/>
      <c r="C1335" s="2"/>
      <c r="D1335" s="2"/>
      <c r="E1335" s="2"/>
      <c r="F1335" s="2"/>
      <c r="G1335" s="2"/>
      <c r="H1335" s="2"/>
      <c r="I1335" s="5"/>
    </row>
    <row r="1336" spans="1:9" ht="17.399999999999999" x14ac:dyDescent="0.25">
      <c r="A1336" s="16"/>
      <c r="B1336" s="17"/>
      <c r="C1336" s="2"/>
      <c r="D1336" s="2"/>
      <c r="E1336" s="2"/>
      <c r="F1336" s="2"/>
      <c r="G1336" s="2"/>
      <c r="H1336" s="2"/>
      <c r="I1336" s="5"/>
    </row>
    <row r="1337" spans="1:9" ht="17.399999999999999" x14ac:dyDescent="0.25">
      <c r="A1337" s="16"/>
      <c r="B1337" s="17"/>
      <c r="C1337" s="2"/>
      <c r="D1337" s="2"/>
      <c r="E1337" s="2"/>
      <c r="F1337" s="2"/>
      <c r="G1337" s="2"/>
      <c r="H1337" s="2"/>
      <c r="I1337" s="5"/>
    </row>
    <row r="1338" spans="1:9" ht="17.399999999999999" x14ac:dyDescent="0.25">
      <c r="A1338" s="16"/>
      <c r="B1338" s="17"/>
      <c r="C1338" s="2"/>
      <c r="D1338" s="2"/>
      <c r="E1338" s="2"/>
      <c r="F1338" s="2"/>
      <c r="G1338" s="2"/>
      <c r="H1338" s="2"/>
      <c r="I1338" s="5"/>
    </row>
    <row r="1339" spans="1:9" ht="17.399999999999999" x14ac:dyDescent="0.25">
      <c r="A1339" s="16"/>
      <c r="B1339" s="17"/>
      <c r="C1339" s="2"/>
      <c r="D1339" s="2"/>
      <c r="E1339" s="2"/>
      <c r="F1339" s="2"/>
      <c r="G1339" s="2"/>
      <c r="H1339" s="2"/>
      <c r="I1339" s="5"/>
    </row>
    <row r="1340" spans="1:9" ht="17.399999999999999" x14ac:dyDescent="0.25">
      <c r="A1340" s="16"/>
      <c r="B1340" s="17"/>
      <c r="C1340" s="2"/>
      <c r="D1340" s="2"/>
      <c r="E1340" s="2"/>
      <c r="F1340" s="2"/>
      <c r="G1340" s="2"/>
      <c r="H1340" s="2"/>
      <c r="I1340" s="5"/>
    </row>
    <row r="1341" spans="1:9" ht="17.399999999999999" x14ac:dyDescent="0.25">
      <c r="A1341" s="16"/>
      <c r="B1341" s="17"/>
      <c r="C1341" s="2"/>
      <c r="D1341" s="2"/>
      <c r="E1341" s="2"/>
      <c r="F1341" s="2"/>
      <c r="G1341" s="2"/>
      <c r="H1341" s="2"/>
      <c r="I1341" s="5"/>
    </row>
    <row r="1342" spans="1:9" ht="17.399999999999999" x14ac:dyDescent="0.25">
      <c r="A1342" s="16"/>
      <c r="B1342" s="17"/>
      <c r="C1342" s="2"/>
      <c r="D1342" s="2"/>
      <c r="E1342" s="2"/>
      <c r="F1342" s="2"/>
      <c r="G1342" s="2"/>
      <c r="H1342" s="2"/>
      <c r="I1342" s="5"/>
    </row>
    <row r="1343" spans="1:9" ht="17.399999999999999" x14ac:dyDescent="0.25">
      <c r="A1343" s="16"/>
      <c r="B1343" s="17"/>
      <c r="C1343" s="2"/>
      <c r="D1343" s="2"/>
      <c r="E1343" s="2"/>
      <c r="F1343" s="2"/>
      <c r="G1343" s="2"/>
      <c r="H1343" s="2"/>
      <c r="I1343" s="5"/>
    </row>
    <row r="1344" spans="1:9" ht="17.399999999999999" x14ac:dyDescent="0.25">
      <c r="A1344" s="16"/>
      <c r="B1344" s="17"/>
      <c r="C1344" s="2"/>
      <c r="D1344" s="2"/>
      <c r="E1344" s="2"/>
      <c r="F1344" s="2"/>
      <c r="G1344" s="2"/>
      <c r="H1344" s="2"/>
      <c r="I1344" s="5"/>
    </row>
    <row r="1345" spans="1:9" ht="17.399999999999999" x14ac:dyDescent="0.25">
      <c r="A1345" s="16"/>
      <c r="B1345" s="17"/>
      <c r="C1345" s="2"/>
      <c r="D1345" s="2"/>
      <c r="E1345" s="2"/>
      <c r="F1345" s="2"/>
      <c r="G1345" s="2"/>
      <c r="H1345" s="2"/>
      <c r="I1345" s="5"/>
    </row>
    <row r="1346" spans="1:9" ht="17.399999999999999" x14ac:dyDescent="0.25">
      <c r="A1346" s="16"/>
      <c r="B1346" s="17"/>
      <c r="C1346" s="2"/>
      <c r="D1346" s="2"/>
      <c r="E1346" s="2"/>
      <c r="F1346" s="2"/>
      <c r="G1346" s="2"/>
      <c r="H1346" s="2"/>
      <c r="I1346" s="5"/>
    </row>
    <row r="1347" spans="1:9" ht="17.399999999999999" x14ac:dyDescent="0.25">
      <c r="A1347" s="16"/>
      <c r="B1347" s="17"/>
      <c r="C1347" s="2"/>
      <c r="D1347" s="2"/>
      <c r="E1347" s="2"/>
      <c r="F1347" s="2"/>
      <c r="G1347" s="2"/>
      <c r="H1347" s="2"/>
      <c r="I1347" s="5"/>
    </row>
    <row r="1348" spans="1:9" ht="17.399999999999999" x14ac:dyDescent="0.25">
      <c r="A1348" s="16"/>
      <c r="B1348" s="17"/>
      <c r="C1348" s="2"/>
      <c r="D1348" s="2"/>
      <c r="E1348" s="2"/>
      <c r="F1348" s="2"/>
      <c r="G1348" s="2"/>
      <c r="H1348" s="2"/>
      <c r="I1348" s="5"/>
    </row>
    <row r="1349" spans="1:9" ht="17.399999999999999" x14ac:dyDescent="0.25">
      <c r="A1349" s="16"/>
      <c r="B1349" s="17"/>
      <c r="C1349" s="2"/>
      <c r="D1349" s="2"/>
      <c r="E1349" s="2"/>
      <c r="F1349" s="2"/>
      <c r="G1349" s="2"/>
      <c r="H1349" s="2"/>
      <c r="I1349" s="5"/>
    </row>
    <row r="1350" spans="1:9" ht="17.399999999999999" x14ac:dyDescent="0.25">
      <c r="A1350" s="16"/>
      <c r="B1350" s="17"/>
      <c r="C1350" s="2"/>
      <c r="D1350" s="2"/>
      <c r="E1350" s="2"/>
      <c r="F1350" s="2"/>
      <c r="G1350" s="2"/>
      <c r="H1350" s="2"/>
      <c r="I1350" s="5"/>
    </row>
    <row r="1351" spans="1:9" ht="17.399999999999999" x14ac:dyDescent="0.25">
      <c r="A1351" s="16"/>
      <c r="B1351" s="17"/>
      <c r="C1351" s="2"/>
      <c r="D1351" s="2"/>
      <c r="E1351" s="2"/>
      <c r="F1351" s="2"/>
      <c r="G1351" s="2"/>
      <c r="H1351" s="2"/>
      <c r="I1351" s="5"/>
    </row>
    <row r="1352" spans="1:9" ht="17.399999999999999" x14ac:dyDescent="0.25">
      <c r="A1352" s="16"/>
      <c r="B1352" s="17"/>
      <c r="C1352" s="2"/>
      <c r="D1352" s="2"/>
      <c r="E1352" s="2"/>
      <c r="F1352" s="2"/>
      <c r="G1352" s="2"/>
      <c r="H1352" s="2"/>
      <c r="I1352" s="5"/>
    </row>
    <row r="1353" spans="1:9" ht="17.399999999999999" x14ac:dyDescent="0.25">
      <c r="A1353" s="16"/>
      <c r="B1353" s="17"/>
      <c r="C1353" s="2"/>
      <c r="D1353" s="2"/>
      <c r="E1353" s="2"/>
      <c r="F1353" s="2"/>
      <c r="G1353" s="2"/>
      <c r="H1353" s="2"/>
      <c r="I1353" s="5"/>
    </row>
    <row r="1354" spans="1:9" ht="17.399999999999999" x14ac:dyDescent="0.25">
      <c r="A1354" s="16"/>
      <c r="B1354" s="17"/>
      <c r="C1354" s="2"/>
      <c r="D1354" s="2"/>
      <c r="E1354" s="2"/>
      <c r="F1354" s="2"/>
      <c r="G1354" s="2"/>
      <c r="H1354" s="2"/>
      <c r="I1354" s="5"/>
    </row>
    <row r="1355" spans="1:9" ht="17.399999999999999" x14ac:dyDescent="0.25">
      <c r="A1355" s="16"/>
      <c r="B1355" s="17"/>
      <c r="C1355" s="2"/>
      <c r="D1355" s="2"/>
      <c r="E1355" s="2"/>
      <c r="F1355" s="2"/>
      <c r="G1355" s="2"/>
      <c r="H1355" s="2"/>
      <c r="I1355" s="5"/>
    </row>
    <row r="1356" spans="1:9" ht="17.399999999999999" x14ac:dyDescent="0.25">
      <c r="A1356" s="16"/>
      <c r="B1356" s="17"/>
      <c r="C1356" s="2"/>
      <c r="D1356" s="2"/>
      <c r="E1356" s="2"/>
      <c r="F1356" s="2"/>
      <c r="G1356" s="2"/>
      <c r="H1356" s="2"/>
      <c r="I1356" s="5"/>
    </row>
    <row r="1357" spans="1:9" ht="17.399999999999999" x14ac:dyDescent="0.25">
      <c r="A1357" s="16"/>
      <c r="B1357" s="17"/>
      <c r="C1357" s="2"/>
      <c r="D1357" s="2"/>
      <c r="E1357" s="2"/>
      <c r="F1357" s="2"/>
      <c r="G1357" s="2"/>
      <c r="H1357" s="2"/>
      <c r="I1357" s="5"/>
    </row>
    <row r="1358" spans="1:9" ht="17.399999999999999" x14ac:dyDescent="0.25">
      <c r="A1358" s="16"/>
      <c r="B1358" s="17"/>
      <c r="C1358" s="2"/>
      <c r="D1358" s="2"/>
      <c r="E1358" s="2"/>
      <c r="F1358" s="2"/>
      <c r="G1358" s="2"/>
      <c r="H1358" s="2"/>
      <c r="I1358" s="5"/>
    </row>
    <row r="1359" spans="1:9" ht="17.399999999999999" x14ac:dyDescent="0.25">
      <c r="A1359" s="16"/>
      <c r="B1359" s="17"/>
      <c r="C1359" s="2"/>
      <c r="D1359" s="2"/>
      <c r="E1359" s="2"/>
      <c r="F1359" s="2"/>
      <c r="G1359" s="2"/>
      <c r="H1359" s="2"/>
      <c r="I1359" s="5"/>
    </row>
    <row r="1360" spans="1:9" ht="17.399999999999999" x14ac:dyDescent="0.25">
      <c r="A1360" s="16"/>
      <c r="B1360" s="17"/>
      <c r="C1360" s="2"/>
      <c r="D1360" s="2"/>
      <c r="E1360" s="2"/>
      <c r="F1360" s="2"/>
      <c r="G1360" s="2"/>
      <c r="H1360" s="2"/>
      <c r="I1360" s="5"/>
    </row>
    <row r="1361" spans="1:9" ht="17.399999999999999" x14ac:dyDescent="0.25">
      <c r="A1361" s="16"/>
      <c r="B1361" s="17"/>
      <c r="C1361" s="2"/>
      <c r="D1361" s="2"/>
      <c r="E1361" s="2"/>
      <c r="F1361" s="2"/>
      <c r="G1361" s="2"/>
      <c r="H1361" s="2"/>
      <c r="I1361" s="5"/>
    </row>
    <row r="1362" spans="1:9" ht="17.399999999999999" x14ac:dyDescent="0.25">
      <c r="A1362" s="16"/>
      <c r="B1362" s="17"/>
      <c r="C1362" s="2"/>
      <c r="D1362" s="2"/>
      <c r="E1362" s="2"/>
      <c r="F1362" s="2"/>
      <c r="G1362" s="2"/>
      <c r="H1362" s="2"/>
      <c r="I1362" s="5"/>
    </row>
    <row r="1363" spans="1:9" ht="17.399999999999999" x14ac:dyDescent="0.25">
      <c r="A1363" s="16"/>
      <c r="B1363" s="17"/>
      <c r="C1363" s="2"/>
      <c r="D1363" s="2"/>
      <c r="E1363" s="2"/>
      <c r="F1363" s="2"/>
      <c r="G1363" s="2"/>
      <c r="H1363" s="2"/>
      <c r="I1363" s="5"/>
    </row>
    <row r="1364" spans="1:9" ht="17.399999999999999" x14ac:dyDescent="0.25">
      <c r="A1364" s="16"/>
      <c r="B1364" s="17"/>
      <c r="C1364" s="2"/>
      <c r="D1364" s="2"/>
      <c r="E1364" s="2"/>
      <c r="F1364" s="2"/>
      <c r="G1364" s="2"/>
      <c r="H1364" s="2"/>
      <c r="I1364" s="5"/>
    </row>
    <row r="1365" spans="1:9" ht="17.399999999999999" x14ac:dyDescent="0.25">
      <c r="A1365" s="16"/>
      <c r="B1365" s="17"/>
      <c r="C1365" s="2"/>
      <c r="D1365" s="2"/>
      <c r="E1365" s="2"/>
      <c r="F1365" s="2"/>
      <c r="G1365" s="2"/>
      <c r="H1365" s="2"/>
      <c r="I1365" s="5"/>
    </row>
    <row r="1366" spans="1:9" ht="17.399999999999999" x14ac:dyDescent="0.25">
      <c r="A1366" s="16"/>
      <c r="B1366" s="17"/>
      <c r="C1366" s="2"/>
      <c r="D1366" s="2"/>
      <c r="E1366" s="2"/>
      <c r="F1366" s="2"/>
      <c r="G1366" s="2"/>
      <c r="H1366" s="2"/>
      <c r="I1366" s="5"/>
    </row>
    <row r="1367" spans="1:9" ht="17.399999999999999" x14ac:dyDescent="0.25">
      <c r="A1367" s="16"/>
      <c r="B1367" s="17"/>
      <c r="C1367" s="2"/>
      <c r="D1367" s="2"/>
      <c r="E1367" s="2"/>
      <c r="F1367" s="2"/>
      <c r="G1367" s="2"/>
      <c r="H1367" s="2"/>
      <c r="I1367" s="5"/>
    </row>
    <row r="1368" spans="1:9" ht="17.399999999999999" x14ac:dyDescent="0.25">
      <c r="A1368" s="16"/>
      <c r="B1368" s="17"/>
      <c r="C1368" s="2"/>
      <c r="D1368" s="2"/>
      <c r="E1368" s="2"/>
      <c r="F1368" s="2"/>
      <c r="G1368" s="2"/>
      <c r="H1368" s="2"/>
      <c r="I1368" s="5"/>
    </row>
    <row r="1369" spans="1:9" ht="17.399999999999999" x14ac:dyDescent="0.25">
      <c r="A1369" s="16"/>
      <c r="B1369" s="17"/>
      <c r="C1369" s="2"/>
      <c r="D1369" s="2"/>
      <c r="E1369" s="2"/>
      <c r="F1369" s="2"/>
      <c r="G1369" s="2"/>
      <c r="H1369" s="2"/>
      <c r="I1369" s="5"/>
    </row>
    <row r="1370" spans="1:9" ht="17.399999999999999" x14ac:dyDescent="0.25">
      <c r="A1370" s="16"/>
      <c r="B1370" s="17"/>
      <c r="C1370" s="2"/>
      <c r="D1370" s="2"/>
      <c r="E1370" s="2"/>
      <c r="F1370" s="2"/>
      <c r="G1370" s="2"/>
      <c r="H1370" s="2"/>
      <c r="I1370" s="5"/>
    </row>
    <row r="1371" spans="1:9" ht="17.399999999999999" x14ac:dyDescent="0.25">
      <c r="A1371" s="16"/>
      <c r="B1371" s="17"/>
      <c r="C1371" s="2"/>
      <c r="D1371" s="2"/>
      <c r="E1371" s="2"/>
      <c r="F1371" s="2"/>
      <c r="G1371" s="2"/>
      <c r="H1371" s="2"/>
      <c r="I1371" s="5"/>
    </row>
    <row r="1372" spans="1:9" ht="17.399999999999999" x14ac:dyDescent="0.25">
      <c r="A1372" s="16"/>
      <c r="B1372" s="17"/>
      <c r="C1372" s="2"/>
      <c r="D1372" s="2"/>
      <c r="E1372" s="2"/>
      <c r="F1372" s="2"/>
      <c r="G1372" s="2"/>
      <c r="H1372" s="2"/>
      <c r="I1372" s="5"/>
    </row>
    <row r="1373" spans="1:9" ht="17.399999999999999" x14ac:dyDescent="0.25">
      <c r="A1373" s="16"/>
      <c r="B1373" s="17"/>
      <c r="C1373" s="2"/>
      <c r="D1373" s="2"/>
      <c r="E1373" s="2"/>
      <c r="F1373" s="2"/>
      <c r="G1373" s="2"/>
      <c r="H1373" s="2"/>
      <c r="I1373" s="5"/>
    </row>
    <row r="1374" spans="1:9" ht="17.399999999999999" x14ac:dyDescent="0.25">
      <c r="A1374" s="16"/>
      <c r="B1374" s="17"/>
      <c r="C1374" s="2"/>
      <c r="D1374" s="2"/>
      <c r="E1374" s="2"/>
      <c r="F1374" s="2"/>
      <c r="G1374" s="2"/>
      <c r="H1374" s="2"/>
      <c r="I1374" s="5"/>
    </row>
    <row r="1375" spans="1:9" ht="17.399999999999999" x14ac:dyDescent="0.25">
      <c r="A1375" s="16"/>
      <c r="B1375" s="17"/>
      <c r="C1375" s="2"/>
      <c r="D1375" s="2"/>
      <c r="E1375" s="2"/>
      <c r="F1375" s="2"/>
      <c r="G1375" s="2"/>
      <c r="H1375" s="2"/>
      <c r="I1375" s="5"/>
    </row>
    <row r="1376" spans="1:9" ht="17.399999999999999" x14ac:dyDescent="0.25">
      <c r="A1376" s="16"/>
      <c r="B1376" s="17"/>
      <c r="C1376" s="2"/>
      <c r="D1376" s="2"/>
      <c r="E1376" s="2"/>
      <c r="F1376" s="2"/>
      <c r="G1376" s="2"/>
      <c r="H1376" s="2"/>
      <c r="I1376" s="5"/>
    </row>
    <row r="1377" spans="1:9" ht="17.399999999999999" x14ac:dyDescent="0.25">
      <c r="A1377" s="16"/>
      <c r="B1377" s="17"/>
      <c r="C1377" s="2"/>
      <c r="D1377" s="2"/>
      <c r="E1377" s="2"/>
      <c r="F1377" s="2"/>
      <c r="G1377" s="2"/>
      <c r="H1377" s="2"/>
      <c r="I1377" s="5"/>
    </row>
    <row r="1378" spans="1:9" ht="17.399999999999999" x14ac:dyDescent="0.25">
      <c r="A1378" s="16"/>
      <c r="B1378" s="17"/>
      <c r="C1378" s="2"/>
      <c r="D1378" s="2"/>
      <c r="E1378" s="2"/>
      <c r="F1378" s="2"/>
      <c r="G1378" s="2"/>
      <c r="H1378" s="2"/>
      <c r="I1378" s="5"/>
    </row>
    <row r="1379" spans="1:9" ht="17.399999999999999" x14ac:dyDescent="0.25">
      <c r="A1379" s="16"/>
      <c r="B1379" s="17"/>
      <c r="C1379" s="2"/>
      <c r="D1379" s="2"/>
      <c r="E1379" s="2"/>
      <c r="F1379" s="2"/>
      <c r="G1379" s="2"/>
      <c r="H1379" s="2"/>
      <c r="I1379" s="5"/>
    </row>
    <row r="1380" spans="1:9" ht="17.399999999999999" x14ac:dyDescent="0.25">
      <c r="A1380" s="16"/>
      <c r="B1380" s="17"/>
      <c r="C1380" s="2"/>
      <c r="D1380" s="2"/>
      <c r="E1380" s="2"/>
      <c r="F1380" s="2"/>
      <c r="G1380" s="2"/>
      <c r="H1380" s="2"/>
      <c r="I1380" s="5"/>
    </row>
    <row r="1381" spans="1:9" ht="17.399999999999999" x14ac:dyDescent="0.25">
      <c r="A1381" s="16"/>
      <c r="B1381" s="17"/>
      <c r="C1381" s="2"/>
      <c r="D1381" s="2"/>
      <c r="E1381" s="2"/>
      <c r="F1381" s="2"/>
      <c r="G1381" s="2"/>
      <c r="H1381" s="2"/>
      <c r="I1381" s="5"/>
    </row>
    <row r="1382" spans="1:9" ht="17.399999999999999" x14ac:dyDescent="0.25">
      <c r="A1382" s="16"/>
      <c r="B1382" s="17"/>
      <c r="C1382" s="2"/>
      <c r="D1382" s="2"/>
      <c r="E1382" s="2"/>
      <c r="F1382" s="2"/>
      <c r="G1382" s="2"/>
      <c r="H1382" s="2"/>
      <c r="I1382" s="5"/>
    </row>
    <row r="1383" spans="1:9" ht="17.399999999999999" x14ac:dyDescent="0.25">
      <c r="A1383" s="16"/>
      <c r="B1383" s="17"/>
      <c r="C1383" s="2"/>
      <c r="D1383" s="2"/>
      <c r="E1383" s="2"/>
      <c r="F1383" s="2"/>
      <c r="G1383" s="2"/>
      <c r="H1383" s="2"/>
      <c r="I1383" s="5"/>
    </row>
    <row r="1384" spans="1:9" ht="17.399999999999999" x14ac:dyDescent="0.25">
      <c r="A1384" s="16"/>
      <c r="B1384" s="17"/>
      <c r="C1384" s="2"/>
      <c r="D1384" s="2"/>
      <c r="E1384" s="2"/>
      <c r="F1384" s="2"/>
      <c r="G1384" s="2"/>
      <c r="H1384" s="2"/>
      <c r="I1384" s="5"/>
    </row>
    <row r="1385" spans="1:9" ht="17.399999999999999" x14ac:dyDescent="0.25">
      <c r="A1385" s="16"/>
      <c r="B1385" s="17"/>
      <c r="C1385" s="2"/>
      <c r="D1385" s="2"/>
      <c r="E1385" s="2"/>
      <c r="F1385" s="2"/>
      <c r="G1385" s="2"/>
      <c r="H1385" s="2"/>
      <c r="I1385" s="5"/>
    </row>
    <row r="1386" spans="1:9" ht="17.399999999999999" x14ac:dyDescent="0.25">
      <c r="A1386" s="16"/>
      <c r="B1386" s="17"/>
      <c r="C1386" s="2"/>
      <c r="D1386" s="2"/>
      <c r="E1386" s="2"/>
      <c r="F1386" s="2"/>
      <c r="G1386" s="2"/>
      <c r="H1386" s="2"/>
      <c r="I1386" s="5"/>
    </row>
    <row r="1387" spans="1:9" ht="17.399999999999999" x14ac:dyDescent="0.25">
      <c r="A1387" s="16"/>
      <c r="B1387" s="17"/>
      <c r="C1387" s="2"/>
      <c r="D1387" s="2"/>
      <c r="E1387" s="2"/>
      <c r="F1387" s="2"/>
      <c r="G1387" s="2"/>
      <c r="H1387" s="2"/>
      <c r="I1387" s="5"/>
    </row>
    <row r="1388" spans="1:9" ht="17.399999999999999" x14ac:dyDescent="0.25">
      <c r="A1388" s="16"/>
      <c r="B1388" s="17"/>
      <c r="C1388" s="2"/>
      <c r="D1388" s="2"/>
      <c r="E1388" s="2"/>
      <c r="F1388" s="2"/>
      <c r="G1388" s="2"/>
      <c r="H1388" s="2"/>
      <c r="I1388" s="5"/>
    </row>
    <row r="1389" spans="1:9" ht="17.399999999999999" x14ac:dyDescent="0.25">
      <c r="A1389" s="16"/>
      <c r="B1389" s="17"/>
      <c r="C1389" s="2"/>
      <c r="D1389" s="2"/>
      <c r="E1389" s="2"/>
      <c r="F1389" s="2"/>
      <c r="G1389" s="2"/>
      <c r="H1389" s="2"/>
      <c r="I1389" s="5"/>
    </row>
    <row r="1390" spans="1:9" ht="17.399999999999999" x14ac:dyDescent="0.25">
      <c r="A1390" s="16"/>
      <c r="B1390" s="17"/>
      <c r="C1390" s="2"/>
      <c r="D1390" s="2"/>
      <c r="E1390" s="2"/>
      <c r="F1390" s="2"/>
      <c r="G1390" s="2"/>
      <c r="H1390" s="2"/>
      <c r="I1390" s="5"/>
    </row>
    <row r="1391" spans="1:9" ht="17.399999999999999" x14ac:dyDescent="0.25">
      <c r="A1391" s="16"/>
      <c r="B1391" s="17"/>
      <c r="C1391" s="2"/>
      <c r="D1391" s="2"/>
      <c r="E1391" s="2"/>
      <c r="F1391" s="2"/>
      <c r="G1391" s="2"/>
      <c r="H1391" s="2"/>
      <c r="I1391" s="5"/>
    </row>
    <row r="1392" spans="1:9" ht="17.399999999999999" x14ac:dyDescent="0.25">
      <c r="A1392" s="16"/>
      <c r="B1392" s="17"/>
      <c r="C1392" s="2"/>
      <c r="D1392" s="2"/>
      <c r="E1392" s="2"/>
      <c r="F1392" s="2"/>
      <c r="G1392" s="2"/>
      <c r="H1392" s="2"/>
      <c r="I1392" s="5"/>
    </row>
    <row r="1393" spans="1:9" ht="17.399999999999999" x14ac:dyDescent="0.25">
      <c r="A1393" s="16"/>
      <c r="B1393" s="17"/>
      <c r="C1393" s="2"/>
      <c r="D1393" s="2"/>
      <c r="E1393" s="2"/>
      <c r="F1393" s="2"/>
      <c r="G1393" s="2"/>
      <c r="H1393" s="2"/>
      <c r="I1393" s="5"/>
    </row>
    <row r="1394" spans="1:9" ht="17.399999999999999" x14ac:dyDescent="0.25">
      <c r="A1394" s="16"/>
      <c r="B1394" s="17"/>
      <c r="C1394" s="2"/>
      <c r="D1394" s="2"/>
      <c r="E1394" s="2"/>
      <c r="F1394" s="2"/>
      <c r="G1394" s="2"/>
      <c r="H1394" s="2"/>
      <c r="I1394" s="5"/>
    </row>
    <row r="1395" spans="1:9" ht="17.399999999999999" x14ac:dyDescent="0.25">
      <c r="A1395" s="16"/>
      <c r="B1395" s="17"/>
      <c r="C1395" s="2"/>
      <c r="D1395" s="2"/>
      <c r="E1395" s="2"/>
      <c r="F1395" s="2"/>
      <c r="G1395" s="2"/>
      <c r="H1395" s="2"/>
      <c r="I1395" s="5"/>
    </row>
    <row r="1396" spans="1:9" ht="17.399999999999999" x14ac:dyDescent="0.25">
      <c r="A1396" s="16"/>
      <c r="B1396" s="17"/>
      <c r="C1396" s="2"/>
      <c r="D1396" s="2"/>
      <c r="E1396" s="2"/>
      <c r="F1396" s="2"/>
      <c r="G1396" s="2"/>
      <c r="H1396" s="2"/>
      <c r="I1396" s="5"/>
    </row>
    <row r="1397" spans="1:9" ht="17.399999999999999" x14ac:dyDescent="0.25">
      <c r="A1397" s="16"/>
      <c r="B1397" s="17"/>
      <c r="C1397" s="2"/>
      <c r="D1397" s="2"/>
      <c r="E1397" s="2"/>
      <c r="F1397" s="2"/>
      <c r="G1397" s="2"/>
      <c r="H1397" s="2"/>
      <c r="I1397" s="5"/>
    </row>
    <row r="1398" spans="1:9" ht="17.399999999999999" x14ac:dyDescent="0.25">
      <c r="A1398" s="16"/>
      <c r="B1398" s="17"/>
      <c r="C1398" s="2"/>
      <c r="D1398" s="2"/>
      <c r="E1398" s="2"/>
      <c r="F1398" s="2"/>
      <c r="G1398" s="2"/>
      <c r="H1398" s="2"/>
      <c r="I1398" s="5"/>
    </row>
    <row r="1399" spans="1:9" ht="17.399999999999999" x14ac:dyDescent="0.25">
      <c r="A1399" s="16"/>
      <c r="B1399" s="17"/>
      <c r="C1399" s="2"/>
      <c r="D1399" s="2"/>
      <c r="E1399" s="2"/>
      <c r="F1399" s="2"/>
      <c r="G1399" s="2"/>
      <c r="H1399" s="2"/>
      <c r="I1399" s="5"/>
    </row>
    <row r="1400" spans="1:9" ht="17.399999999999999" x14ac:dyDescent="0.25">
      <c r="A1400" s="16"/>
      <c r="B1400" s="17"/>
      <c r="C1400" s="2"/>
      <c r="D1400" s="2"/>
      <c r="E1400" s="2"/>
      <c r="F1400" s="2"/>
      <c r="G1400" s="2"/>
      <c r="H1400" s="2"/>
      <c r="I1400" s="5"/>
    </row>
    <row r="1401" spans="1:9" ht="17.399999999999999" x14ac:dyDescent="0.25">
      <c r="A1401" s="16"/>
      <c r="B1401" s="17"/>
      <c r="C1401" s="2"/>
      <c r="D1401" s="2"/>
      <c r="E1401" s="2"/>
      <c r="F1401" s="2"/>
      <c r="G1401" s="2"/>
      <c r="H1401" s="2"/>
      <c r="I1401" s="5"/>
    </row>
    <row r="1402" spans="1:9" ht="17.399999999999999" x14ac:dyDescent="0.25">
      <c r="A1402" s="16"/>
      <c r="B1402" s="17"/>
      <c r="C1402" s="2"/>
      <c r="D1402" s="2"/>
      <c r="E1402" s="2"/>
      <c r="F1402" s="2"/>
      <c r="G1402" s="2"/>
      <c r="H1402" s="2"/>
      <c r="I1402" s="5"/>
    </row>
    <row r="1403" spans="1:9" ht="17.399999999999999" x14ac:dyDescent="0.25">
      <c r="A1403" s="16"/>
      <c r="B1403" s="17"/>
      <c r="C1403" s="2"/>
      <c r="D1403" s="2"/>
      <c r="E1403" s="2"/>
      <c r="F1403" s="2"/>
      <c r="G1403" s="2"/>
      <c r="H1403" s="2"/>
      <c r="I1403" s="5"/>
    </row>
    <row r="1404" spans="1:9" ht="17.399999999999999" x14ac:dyDescent="0.25">
      <c r="A1404" s="16"/>
      <c r="B1404" s="17"/>
      <c r="C1404" s="2"/>
      <c r="D1404" s="2"/>
      <c r="E1404" s="2"/>
      <c r="F1404" s="2"/>
      <c r="G1404" s="2"/>
      <c r="H1404" s="2"/>
      <c r="I1404" s="5"/>
    </row>
    <row r="1405" spans="1:9" ht="17.399999999999999" x14ac:dyDescent="0.25">
      <c r="A1405" s="16"/>
      <c r="B1405" s="17"/>
      <c r="C1405" s="2"/>
      <c r="D1405" s="2"/>
      <c r="E1405" s="2"/>
      <c r="F1405" s="2"/>
      <c r="G1405" s="2"/>
      <c r="H1405" s="2"/>
      <c r="I1405" s="5"/>
    </row>
    <row r="1406" spans="1:9" ht="17.399999999999999" x14ac:dyDescent="0.25">
      <c r="A1406" s="16"/>
      <c r="B1406" s="17"/>
      <c r="C1406" s="2"/>
      <c r="D1406" s="2"/>
      <c r="E1406" s="2"/>
      <c r="F1406" s="2"/>
      <c r="G1406" s="2"/>
      <c r="H1406" s="2"/>
      <c r="I1406" s="5"/>
    </row>
    <row r="1407" spans="1:9" ht="17.399999999999999" x14ac:dyDescent="0.25">
      <c r="A1407" s="16"/>
      <c r="B1407" s="17"/>
      <c r="C1407" s="2"/>
      <c r="D1407" s="2"/>
      <c r="E1407" s="2"/>
      <c r="F1407" s="2"/>
      <c r="G1407" s="2"/>
      <c r="H1407" s="2"/>
      <c r="I1407" s="5"/>
    </row>
    <row r="1408" spans="1:9" ht="17.399999999999999" x14ac:dyDescent="0.25">
      <c r="A1408" s="16"/>
      <c r="B1408" s="17"/>
      <c r="C1408" s="2"/>
      <c r="D1408" s="2"/>
      <c r="E1408" s="2"/>
      <c r="F1408" s="2"/>
      <c r="G1408" s="2"/>
      <c r="H1408" s="2"/>
      <c r="I1408" s="5"/>
    </row>
    <row r="1409" spans="1:9" ht="17.399999999999999" x14ac:dyDescent="0.25">
      <c r="A1409" s="16"/>
      <c r="B1409" s="17"/>
      <c r="C1409" s="2"/>
      <c r="D1409" s="2"/>
      <c r="E1409" s="2"/>
      <c r="F1409" s="2"/>
      <c r="G1409" s="2"/>
      <c r="H1409" s="2"/>
      <c r="I1409" s="5"/>
    </row>
    <row r="1410" spans="1:9" ht="17.399999999999999" x14ac:dyDescent="0.25">
      <c r="A1410" s="16"/>
      <c r="B1410" s="17"/>
      <c r="C1410" s="2"/>
      <c r="D1410" s="2"/>
      <c r="E1410" s="2"/>
      <c r="F1410" s="2"/>
      <c r="G1410" s="2"/>
      <c r="H1410" s="2"/>
      <c r="I1410" s="5"/>
    </row>
    <row r="1411" spans="1:9" ht="17.399999999999999" x14ac:dyDescent="0.25">
      <c r="A1411" s="16"/>
      <c r="B1411" s="17"/>
      <c r="C1411" s="2"/>
      <c r="D1411" s="2"/>
      <c r="E1411" s="2"/>
      <c r="F1411" s="2"/>
      <c r="G1411" s="2"/>
      <c r="H1411" s="2"/>
      <c r="I1411" s="5"/>
    </row>
    <row r="1412" spans="1:9" ht="17.399999999999999" x14ac:dyDescent="0.25">
      <c r="A1412" s="16"/>
      <c r="B1412" s="17"/>
      <c r="C1412" s="2"/>
      <c r="D1412" s="2"/>
      <c r="E1412" s="2"/>
      <c r="F1412" s="2"/>
      <c r="G1412" s="2"/>
      <c r="H1412" s="2"/>
      <c r="I1412" s="5"/>
    </row>
    <row r="1413" spans="1:9" ht="17.399999999999999" x14ac:dyDescent="0.25">
      <c r="A1413" s="16"/>
      <c r="B1413" s="17"/>
      <c r="C1413" s="2"/>
      <c r="D1413" s="2"/>
      <c r="E1413" s="2"/>
      <c r="F1413" s="2"/>
      <c r="G1413" s="2"/>
      <c r="H1413" s="2"/>
      <c r="I1413" s="5"/>
    </row>
    <row r="1414" spans="1:9" ht="17.399999999999999" x14ac:dyDescent="0.25">
      <c r="A1414" s="16"/>
      <c r="B1414" s="17"/>
      <c r="C1414" s="2"/>
      <c r="D1414" s="2"/>
      <c r="E1414" s="2"/>
      <c r="F1414" s="2"/>
      <c r="G1414" s="2"/>
      <c r="H1414" s="2"/>
      <c r="I1414" s="5"/>
    </row>
    <row r="1415" spans="1:9" ht="17.399999999999999" x14ac:dyDescent="0.25">
      <c r="A1415" s="16"/>
      <c r="B1415" s="17"/>
      <c r="C1415" s="2"/>
      <c r="D1415" s="2"/>
      <c r="E1415" s="2"/>
      <c r="F1415" s="2"/>
      <c r="G1415" s="2"/>
      <c r="H1415" s="2"/>
      <c r="I1415" s="5"/>
    </row>
    <row r="1416" spans="1:9" ht="17.399999999999999" x14ac:dyDescent="0.25">
      <c r="A1416" s="16"/>
      <c r="B1416" s="17"/>
      <c r="C1416" s="2"/>
      <c r="D1416" s="2"/>
      <c r="E1416" s="2"/>
      <c r="F1416" s="2"/>
      <c r="G1416" s="2"/>
      <c r="H1416" s="2"/>
      <c r="I1416" s="5"/>
    </row>
    <row r="1417" spans="1:9" ht="17.399999999999999" x14ac:dyDescent="0.25">
      <c r="A1417" s="16"/>
      <c r="B1417" s="17"/>
      <c r="C1417" s="2"/>
      <c r="D1417" s="2"/>
      <c r="E1417" s="2"/>
      <c r="F1417" s="2"/>
      <c r="G1417" s="2"/>
      <c r="H1417" s="2"/>
      <c r="I1417" s="5"/>
    </row>
    <row r="1418" spans="1:9" ht="17.399999999999999" x14ac:dyDescent="0.25">
      <c r="A1418" s="16"/>
      <c r="B1418" s="17"/>
      <c r="C1418" s="2"/>
      <c r="D1418" s="2"/>
      <c r="E1418" s="2"/>
      <c r="F1418" s="2"/>
      <c r="G1418" s="2"/>
      <c r="H1418" s="2"/>
      <c r="I1418" s="5"/>
    </row>
    <row r="1419" spans="1:9" ht="17.399999999999999" x14ac:dyDescent="0.25">
      <c r="A1419" s="16"/>
      <c r="B1419" s="17"/>
      <c r="C1419" s="2"/>
      <c r="D1419" s="2"/>
      <c r="E1419" s="2"/>
      <c r="F1419" s="2"/>
      <c r="G1419" s="2"/>
      <c r="H1419" s="2"/>
      <c r="I1419" s="5"/>
    </row>
    <row r="1420" spans="1:9" ht="17.399999999999999" x14ac:dyDescent="0.25">
      <c r="A1420" s="16"/>
      <c r="B1420" s="17"/>
      <c r="C1420" s="2"/>
      <c r="D1420" s="2"/>
      <c r="E1420" s="2"/>
      <c r="F1420" s="2"/>
      <c r="G1420" s="2"/>
      <c r="H1420" s="2"/>
      <c r="I1420" s="5"/>
    </row>
    <row r="1421" spans="1:9" ht="17.399999999999999" x14ac:dyDescent="0.25">
      <c r="A1421" s="16"/>
      <c r="B1421" s="17"/>
      <c r="C1421" s="2"/>
      <c r="D1421" s="2"/>
      <c r="E1421" s="2"/>
      <c r="F1421" s="2"/>
      <c r="G1421" s="2"/>
      <c r="H1421" s="2"/>
      <c r="I1421" s="5"/>
    </row>
    <row r="1422" spans="1:9" ht="17.399999999999999" x14ac:dyDescent="0.25">
      <c r="A1422" s="16"/>
      <c r="B1422" s="17"/>
      <c r="C1422" s="2"/>
      <c r="D1422" s="2"/>
      <c r="E1422" s="2"/>
      <c r="F1422" s="2"/>
      <c r="G1422" s="2"/>
      <c r="H1422" s="2"/>
      <c r="I1422" s="5"/>
    </row>
    <row r="1423" spans="1:9" ht="17.399999999999999" x14ac:dyDescent="0.25">
      <c r="A1423" s="16"/>
      <c r="B1423" s="17"/>
      <c r="C1423" s="2"/>
      <c r="D1423" s="2"/>
      <c r="E1423" s="2"/>
      <c r="F1423" s="2"/>
      <c r="G1423" s="2"/>
      <c r="H1423" s="2"/>
      <c r="I1423" s="5"/>
    </row>
    <row r="1424" spans="1:9" ht="17.399999999999999" x14ac:dyDescent="0.25">
      <c r="A1424" s="16"/>
      <c r="B1424" s="17"/>
      <c r="C1424" s="2"/>
      <c r="D1424" s="2"/>
      <c r="E1424" s="2"/>
      <c r="F1424" s="2"/>
      <c r="G1424" s="2"/>
      <c r="H1424" s="2"/>
      <c r="I1424" s="5"/>
    </row>
    <row r="1425" spans="1:9" ht="17.399999999999999" x14ac:dyDescent="0.25">
      <c r="A1425" s="16"/>
      <c r="B1425" s="17"/>
      <c r="C1425" s="2"/>
      <c r="D1425" s="2"/>
      <c r="E1425" s="2"/>
      <c r="F1425" s="2"/>
      <c r="G1425" s="2"/>
      <c r="H1425" s="2"/>
      <c r="I1425" s="5"/>
    </row>
    <row r="1426" spans="1:9" ht="17.399999999999999" x14ac:dyDescent="0.25">
      <c r="A1426" s="16"/>
      <c r="B1426" s="17"/>
      <c r="C1426" s="2"/>
      <c r="D1426" s="2"/>
      <c r="E1426" s="2"/>
      <c r="F1426" s="2"/>
      <c r="G1426" s="2"/>
      <c r="H1426" s="2"/>
      <c r="I1426" s="5"/>
    </row>
    <row r="1427" spans="1:9" ht="17.399999999999999" x14ac:dyDescent="0.25">
      <c r="A1427" s="16"/>
      <c r="B1427" s="17"/>
      <c r="C1427" s="2"/>
      <c r="D1427" s="2"/>
      <c r="E1427" s="2"/>
      <c r="F1427" s="2"/>
      <c r="G1427" s="2"/>
      <c r="H1427" s="2"/>
      <c r="I1427" s="5"/>
    </row>
    <row r="1428" spans="1:9" ht="17.399999999999999" x14ac:dyDescent="0.25">
      <c r="A1428" s="16"/>
      <c r="B1428" s="17"/>
      <c r="C1428" s="2"/>
      <c r="D1428" s="2"/>
      <c r="E1428" s="2"/>
      <c r="F1428" s="2"/>
      <c r="G1428" s="2"/>
      <c r="H1428" s="2"/>
      <c r="I1428" s="5"/>
    </row>
    <row r="1429" spans="1:9" ht="17.399999999999999" x14ac:dyDescent="0.25">
      <c r="A1429" s="16"/>
      <c r="B1429" s="17"/>
      <c r="C1429" s="2"/>
      <c r="D1429" s="2"/>
      <c r="E1429" s="2"/>
      <c r="F1429" s="2"/>
      <c r="G1429" s="2"/>
      <c r="H1429" s="2"/>
      <c r="I1429" s="5"/>
    </row>
    <row r="1430" spans="1:9" ht="17.399999999999999" x14ac:dyDescent="0.25">
      <c r="A1430" s="16"/>
      <c r="B1430" s="17"/>
      <c r="C1430" s="2"/>
      <c r="D1430" s="2"/>
      <c r="E1430" s="2"/>
      <c r="F1430" s="2"/>
      <c r="G1430" s="2"/>
      <c r="H1430" s="2"/>
      <c r="I1430" s="5"/>
    </row>
    <row r="1431" spans="1:9" ht="17.399999999999999" x14ac:dyDescent="0.25">
      <c r="A1431" s="16"/>
      <c r="B1431" s="17"/>
      <c r="C1431" s="2"/>
      <c r="D1431" s="2"/>
      <c r="E1431" s="2"/>
      <c r="F1431" s="2"/>
      <c r="G1431" s="2"/>
      <c r="H1431" s="2"/>
      <c r="I1431" s="5"/>
    </row>
    <row r="1432" spans="1:9" ht="17.399999999999999" x14ac:dyDescent="0.25">
      <c r="A1432" s="16"/>
      <c r="B1432" s="17"/>
      <c r="C1432" s="2"/>
      <c r="D1432" s="2"/>
      <c r="E1432" s="2"/>
      <c r="F1432" s="2"/>
      <c r="G1432" s="2"/>
      <c r="H1432" s="2"/>
      <c r="I1432" s="5"/>
    </row>
    <row r="1433" spans="1:9" ht="17.399999999999999" x14ac:dyDescent="0.25">
      <c r="A1433" s="16"/>
      <c r="B1433" s="17"/>
      <c r="C1433" s="2"/>
      <c r="D1433" s="2"/>
      <c r="E1433" s="2"/>
      <c r="F1433" s="2"/>
      <c r="G1433" s="2"/>
      <c r="H1433" s="2"/>
      <c r="I1433" s="5"/>
    </row>
    <row r="1434" spans="1:9" ht="17.399999999999999" x14ac:dyDescent="0.25">
      <c r="A1434" s="16"/>
      <c r="B1434" s="17"/>
      <c r="C1434" s="2"/>
      <c r="D1434" s="2"/>
      <c r="E1434" s="2"/>
      <c r="F1434" s="2"/>
      <c r="G1434" s="2"/>
      <c r="H1434" s="2"/>
      <c r="I1434" s="5"/>
    </row>
    <row r="1435" spans="1:9" ht="17.399999999999999" x14ac:dyDescent="0.25">
      <c r="A1435" s="16"/>
      <c r="B1435" s="17"/>
      <c r="C1435" s="2"/>
      <c r="D1435" s="2"/>
      <c r="E1435" s="2"/>
      <c r="F1435" s="2"/>
      <c r="G1435" s="2"/>
      <c r="H1435" s="2"/>
      <c r="I1435" s="5"/>
    </row>
    <row r="1436" spans="1:9" ht="17.399999999999999" x14ac:dyDescent="0.25">
      <c r="A1436" s="16"/>
      <c r="B1436" s="17"/>
      <c r="C1436" s="2"/>
      <c r="D1436" s="2"/>
      <c r="E1436" s="2"/>
      <c r="F1436" s="2"/>
      <c r="G1436" s="2"/>
      <c r="H1436" s="2"/>
      <c r="I1436" s="5"/>
    </row>
    <row r="1437" spans="1:9" ht="17.399999999999999" x14ac:dyDescent="0.25">
      <c r="A1437" s="16"/>
      <c r="B1437" s="17"/>
      <c r="C1437" s="2"/>
      <c r="D1437" s="2"/>
      <c r="E1437" s="2"/>
      <c r="F1437" s="2"/>
      <c r="G1437" s="2"/>
      <c r="H1437" s="2"/>
      <c r="I1437" s="5"/>
    </row>
    <row r="1438" spans="1:9" ht="17.399999999999999" x14ac:dyDescent="0.25">
      <c r="A1438" s="16"/>
      <c r="B1438" s="17"/>
      <c r="C1438" s="2"/>
      <c r="D1438" s="2"/>
      <c r="E1438" s="2"/>
      <c r="F1438" s="2"/>
      <c r="G1438" s="2"/>
      <c r="H1438" s="2"/>
      <c r="I1438" s="5"/>
    </row>
    <row r="1439" spans="1:9" ht="17.399999999999999" x14ac:dyDescent="0.25">
      <c r="A1439" s="16"/>
      <c r="B1439" s="17"/>
      <c r="C1439" s="2"/>
      <c r="D1439" s="2"/>
      <c r="E1439" s="2"/>
      <c r="F1439" s="2"/>
      <c r="G1439" s="2"/>
      <c r="H1439" s="2"/>
      <c r="I1439" s="5"/>
    </row>
    <row r="1440" spans="1:9" ht="17.399999999999999" x14ac:dyDescent="0.25">
      <c r="A1440" s="16"/>
      <c r="B1440" s="17"/>
      <c r="C1440" s="2"/>
      <c r="D1440" s="2"/>
      <c r="E1440" s="2"/>
      <c r="F1440" s="2"/>
      <c r="G1440" s="2"/>
      <c r="H1440" s="2"/>
      <c r="I1440" s="5"/>
    </row>
    <row r="1441" spans="1:9" ht="17.399999999999999" x14ac:dyDescent="0.25">
      <c r="A1441" s="16"/>
      <c r="B1441" s="17"/>
      <c r="C1441" s="2"/>
      <c r="D1441" s="2"/>
      <c r="E1441" s="2"/>
      <c r="F1441" s="2"/>
      <c r="G1441" s="2"/>
      <c r="H1441" s="2"/>
      <c r="I1441" s="5"/>
    </row>
    <row r="1442" spans="1:9" ht="17.399999999999999" x14ac:dyDescent="0.25">
      <c r="A1442" s="16"/>
      <c r="B1442" s="17"/>
      <c r="C1442" s="2"/>
      <c r="D1442" s="2"/>
      <c r="E1442" s="2"/>
      <c r="F1442" s="2"/>
      <c r="G1442" s="2"/>
      <c r="H1442" s="2"/>
      <c r="I1442" s="5"/>
    </row>
    <row r="1443" spans="1:9" ht="17.399999999999999" x14ac:dyDescent="0.25">
      <c r="A1443" s="16"/>
      <c r="B1443" s="17"/>
      <c r="C1443" s="2"/>
      <c r="D1443" s="2"/>
      <c r="E1443" s="2"/>
      <c r="F1443" s="2"/>
      <c r="G1443" s="2"/>
      <c r="H1443" s="2"/>
      <c r="I1443" s="5"/>
    </row>
    <row r="1444" spans="1:9" ht="17.399999999999999" x14ac:dyDescent="0.25">
      <c r="A1444" s="16"/>
      <c r="B1444" s="17"/>
      <c r="C1444" s="2"/>
      <c r="D1444" s="2"/>
      <c r="E1444" s="2"/>
      <c r="F1444" s="2"/>
      <c r="G1444" s="2"/>
      <c r="H1444" s="2"/>
      <c r="I1444" s="5"/>
    </row>
    <row r="1445" spans="1:9" ht="17.399999999999999" x14ac:dyDescent="0.25">
      <c r="A1445" s="16"/>
      <c r="B1445" s="17"/>
      <c r="C1445" s="2"/>
      <c r="D1445" s="2"/>
      <c r="E1445" s="2"/>
      <c r="F1445" s="2"/>
      <c r="G1445" s="2"/>
      <c r="H1445" s="2"/>
      <c r="I1445" s="5"/>
    </row>
    <row r="1446" spans="1:9" ht="17.399999999999999" x14ac:dyDescent="0.25">
      <c r="A1446" s="16"/>
      <c r="B1446" s="17"/>
      <c r="C1446" s="2"/>
      <c r="D1446" s="2"/>
      <c r="E1446" s="2"/>
      <c r="F1446" s="2"/>
      <c r="G1446" s="2"/>
      <c r="H1446" s="2"/>
      <c r="I1446" s="5"/>
    </row>
    <row r="1447" spans="1:9" ht="17.399999999999999" x14ac:dyDescent="0.25">
      <c r="A1447" s="16"/>
      <c r="B1447" s="17"/>
      <c r="C1447" s="2"/>
      <c r="D1447" s="2"/>
      <c r="E1447" s="2"/>
      <c r="F1447" s="2"/>
      <c r="G1447" s="2"/>
      <c r="H1447" s="2"/>
      <c r="I1447" s="5"/>
    </row>
    <row r="1448" spans="1:9" ht="17.399999999999999" x14ac:dyDescent="0.25">
      <c r="A1448" s="16"/>
      <c r="B1448" s="17"/>
      <c r="C1448" s="2"/>
      <c r="D1448" s="2"/>
      <c r="E1448" s="2"/>
      <c r="F1448" s="2"/>
      <c r="G1448" s="2"/>
      <c r="H1448" s="2"/>
      <c r="I1448" s="5"/>
    </row>
    <row r="1449" spans="1:9" ht="17.399999999999999" x14ac:dyDescent="0.25">
      <c r="A1449" s="16"/>
      <c r="B1449" s="17"/>
      <c r="C1449" s="2"/>
      <c r="D1449" s="2"/>
      <c r="E1449" s="2"/>
      <c r="F1449" s="2"/>
      <c r="G1449" s="2"/>
      <c r="H1449" s="2"/>
      <c r="I1449" s="5"/>
    </row>
    <row r="1450" spans="1:9" ht="17.399999999999999" x14ac:dyDescent="0.25">
      <c r="A1450" s="16"/>
      <c r="B1450" s="17"/>
      <c r="C1450" s="2"/>
      <c r="D1450" s="2"/>
      <c r="E1450" s="2"/>
      <c r="F1450" s="2"/>
      <c r="G1450" s="2"/>
      <c r="H1450" s="2"/>
      <c r="I1450" s="5"/>
    </row>
    <row r="1451" spans="1:9" ht="17.399999999999999" x14ac:dyDescent="0.25">
      <c r="A1451" s="16"/>
      <c r="B1451" s="17"/>
      <c r="C1451" s="2"/>
      <c r="D1451" s="2"/>
      <c r="E1451" s="2"/>
      <c r="F1451" s="2"/>
      <c r="G1451" s="2"/>
      <c r="H1451" s="2"/>
      <c r="I1451" s="5"/>
    </row>
    <row r="1452" spans="1:9" ht="17.399999999999999" x14ac:dyDescent="0.25">
      <c r="A1452" s="16"/>
      <c r="B1452" s="17"/>
      <c r="C1452" s="2"/>
      <c r="D1452" s="2"/>
      <c r="E1452" s="2"/>
      <c r="F1452" s="2"/>
      <c r="G1452" s="2"/>
      <c r="H1452" s="2"/>
      <c r="I1452" s="5"/>
    </row>
    <row r="1453" spans="1:9" ht="17.399999999999999" x14ac:dyDescent="0.25">
      <c r="A1453" s="16"/>
      <c r="B1453" s="17"/>
      <c r="C1453" s="2"/>
      <c r="D1453" s="2"/>
      <c r="E1453" s="2"/>
      <c r="F1453" s="2"/>
      <c r="G1453" s="2"/>
      <c r="H1453" s="2"/>
      <c r="I1453" s="5"/>
    </row>
    <row r="1454" spans="1:9" ht="17.399999999999999" x14ac:dyDescent="0.25">
      <c r="A1454" s="16"/>
      <c r="B1454" s="17"/>
      <c r="C1454" s="2"/>
      <c r="D1454" s="2"/>
      <c r="E1454" s="2"/>
      <c r="F1454" s="2"/>
      <c r="G1454" s="2"/>
      <c r="H1454" s="2"/>
      <c r="I1454" s="5"/>
    </row>
    <row r="1455" spans="1:9" ht="17.399999999999999" x14ac:dyDescent="0.25">
      <c r="A1455" s="16"/>
      <c r="B1455" s="17"/>
      <c r="C1455" s="2"/>
      <c r="D1455" s="2"/>
      <c r="E1455" s="2"/>
      <c r="F1455" s="2"/>
      <c r="G1455" s="2"/>
      <c r="H1455" s="2"/>
      <c r="I1455" s="5"/>
    </row>
    <row r="1456" spans="1:9" ht="17.399999999999999" x14ac:dyDescent="0.25">
      <c r="A1456" s="16"/>
      <c r="B1456" s="17"/>
      <c r="C1456" s="2"/>
      <c r="D1456" s="2"/>
      <c r="E1456" s="2"/>
      <c r="F1456" s="2"/>
      <c r="G1456" s="2"/>
      <c r="H1456" s="2"/>
      <c r="I1456" s="5"/>
    </row>
    <row r="1457" spans="1:9" ht="17.399999999999999" x14ac:dyDescent="0.25">
      <c r="A1457" s="16"/>
      <c r="B1457" s="17"/>
      <c r="C1457" s="2"/>
      <c r="D1457" s="2"/>
      <c r="E1457" s="2"/>
      <c r="F1457" s="2"/>
      <c r="G1457" s="2"/>
      <c r="H1457" s="2"/>
      <c r="I1457" s="5"/>
    </row>
    <row r="1458" spans="1:9" ht="17.399999999999999" x14ac:dyDescent="0.25">
      <c r="A1458" s="16"/>
      <c r="B1458" s="17"/>
      <c r="C1458" s="2"/>
      <c r="D1458" s="2"/>
      <c r="E1458" s="2"/>
      <c r="F1458" s="2"/>
      <c r="G1458" s="2"/>
      <c r="H1458" s="2"/>
      <c r="I1458" s="5"/>
    </row>
    <row r="1459" spans="1:9" ht="17.399999999999999" x14ac:dyDescent="0.25">
      <c r="A1459" s="16"/>
      <c r="B1459" s="17"/>
      <c r="C1459" s="2"/>
      <c r="D1459" s="2"/>
      <c r="E1459" s="2"/>
      <c r="F1459" s="2"/>
      <c r="G1459" s="2"/>
      <c r="H1459" s="2"/>
      <c r="I1459" s="5"/>
    </row>
    <row r="1460" spans="1:9" ht="17.399999999999999" x14ac:dyDescent="0.25">
      <c r="A1460" s="16"/>
      <c r="B1460" s="17"/>
      <c r="C1460" s="2"/>
      <c r="D1460" s="2"/>
      <c r="E1460" s="2"/>
      <c r="F1460" s="2"/>
      <c r="G1460" s="2"/>
      <c r="H1460" s="2"/>
      <c r="I1460" s="5"/>
    </row>
    <row r="1461" spans="1:9" ht="17.399999999999999" x14ac:dyDescent="0.25">
      <c r="A1461" s="16"/>
      <c r="B1461" s="17"/>
      <c r="C1461" s="2"/>
      <c r="D1461" s="2"/>
      <c r="E1461" s="2"/>
      <c r="F1461" s="2"/>
      <c r="G1461" s="2"/>
      <c r="H1461" s="2"/>
      <c r="I1461" s="5"/>
    </row>
    <row r="1462" spans="1:9" ht="17.399999999999999" x14ac:dyDescent="0.25">
      <c r="A1462" s="16"/>
      <c r="B1462" s="17"/>
      <c r="C1462" s="2"/>
      <c r="D1462" s="2"/>
      <c r="E1462" s="2"/>
      <c r="F1462" s="2"/>
      <c r="G1462" s="2"/>
      <c r="H1462" s="2"/>
      <c r="I1462" s="5"/>
    </row>
    <row r="1463" spans="1:9" ht="17.399999999999999" x14ac:dyDescent="0.25">
      <c r="A1463" s="16"/>
      <c r="B1463" s="17"/>
      <c r="C1463" s="2"/>
      <c r="D1463" s="2"/>
      <c r="E1463" s="2"/>
      <c r="F1463" s="2"/>
      <c r="G1463" s="2"/>
      <c r="H1463" s="2"/>
      <c r="I1463" s="5"/>
    </row>
    <row r="1464" spans="1:9" ht="17.399999999999999" x14ac:dyDescent="0.25">
      <c r="A1464" s="16"/>
      <c r="B1464" s="17"/>
      <c r="C1464" s="2"/>
      <c r="D1464" s="2"/>
      <c r="E1464" s="2"/>
      <c r="F1464" s="2"/>
      <c r="G1464" s="2"/>
      <c r="H1464" s="2"/>
      <c r="I1464" s="5"/>
    </row>
    <row r="1465" spans="1:9" ht="17.399999999999999" x14ac:dyDescent="0.25">
      <c r="A1465" s="16"/>
      <c r="B1465" s="17"/>
      <c r="C1465" s="2"/>
      <c r="D1465" s="2"/>
      <c r="E1465" s="2"/>
      <c r="F1465" s="2"/>
      <c r="G1465" s="2"/>
      <c r="H1465" s="2"/>
      <c r="I1465" s="5"/>
    </row>
    <row r="1466" spans="1:9" ht="17.399999999999999" x14ac:dyDescent="0.25">
      <c r="A1466" s="16"/>
      <c r="B1466" s="17"/>
      <c r="C1466" s="2"/>
      <c r="D1466" s="2"/>
      <c r="E1466" s="2"/>
      <c r="F1466" s="2"/>
      <c r="G1466" s="2"/>
      <c r="H1466" s="2"/>
      <c r="I1466" s="5"/>
    </row>
    <row r="1467" spans="1:9" ht="17.399999999999999" x14ac:dyDescent="0.25">
      <c r="A1467" s="16"/>
      <c r="B1467" s="17"/>
      <c r="C1467" s="2"/>
      <c r="D1467" s="2"/>
      <c r="E1467" s="2"/>
      <c r="F1467" s="2"/>
      <c r="G1467" s="2"/>
      <c r="H1467" s="2"/>
      <c r="I1467" s="5"/>
    </row>
    <row r="1468" spans="1:9" ht="17.399999999999999" x14ac:dyDescent="0.25">
      <c r="A1468" s="16"/>
      <c r="B1468" s="17"/>
      <c r="C1468" s="2"/>
      <c r="D1468" s="2"/>
      <c r="E1468" s="2"/>
      <c r="F1468" s="2"/>
      <c r="G1468" s="2"/>
      <c r="H1468" s="2"/>
      <c r="I1468" s="5"/>
    </row>
    <row r="1469" spans="1:9" ht="17.399999999999999" x14ac:dyDescent="0.25">
      <c r="A1469" s="16"/>
      <c r="B1469" s="17"/>
      <c r="C1469" s="2"/>
      <c r="D1469" s="2"/>
      <c r="E1469" s="2"/>
      <c r="F1469" s="2"/>
      <c r="G1469" s="2"/>
      <c r="H1469" s="2"/>
      <c r="I1469" s="5"/>
    </row>
    <row r="1470" spans="1:9" ht="17.399999999999999" x14ac:dyDescent="0.25">
      <c r="A1470" s="16"/>
      <c r="B1470" s="17"/>
      <c r="C1470" s="2"/>
      <c r="D1470" s="2"/>
      <c r="E1470" s="2"/>
      <c r="F1470" s="2"/>
      <c r="G1470" s="2"/>
      <c r="H1470" s="2"/>
      <c r="I1470" s="5"/>
    </row>
    <row r="1471" spans="1:9" ht="17.399999999999999" x14ac:dyDescent="0.25">
      <c r="A1471" s="16"/>
      <c r="B1471" s="17"/>
      <c r="C1471" s="2"/>
      <c r="D1471" s="2"/>
      <c r="E1471" s="2"/>
      <c r="F1471" s="2"/>
      <c r="G1471" s="2"/>
      <c r="H1471" s="2"/>
      <c r="I1471" s="5"/>
    </row>
    <row r="1472" spans="1:9" ht="17.399999999999999" x14ac:dyDescent="0.25">
      <c r="A1472" s="16"/>
      <c r="B1472" s="17"/>
      <c r="C1472" s="2"/>
      <c r="D1472" s="2"/>
      <c r="E1472" s="2"/>
      <c r="F1472" s="2"/>
      <c r="G1472" s="2"/>
      <c r="H1472" s="2"/>
      <c r="I1472" s="5"/>
    </row>
    <row r="1473" spans="1:9" ht="17.399999999999999" x14ac:dyDescent="0.25">
      <c r="A1473" s="16"/>
      <c r="B1473" s="17"/>
      <c r="C1473" s="2"/>
      <c r="D1473" s="2"/>
      <c r="E1473" s="2"/>
      <c r="F1473" s="2"/>
      <c r="G1473" s="2"/>
      <c r="H1473" s="2"/>
      <c r="I1473" s="5"/>
    </row>
    <row r="1474" spans="1:9" ht="17.399999999999999" x14ac:dyDescent="0.25">
      <c r="A1474" s="16"/>
      <c r="B1474" s="17"/>
      <c r="C1474" s="2"/>
      <c r="D1474" s="2"/>
      <c r="E1474" s="2"/>
      <c r="F1474" s="2"/>
      <c r="G1474" s="2"/>
      <c r="H1474" s="2"/>
      <c r="I1474" s="5"/>
    </row>
    <row r="1475" spans="1:9" ht="17.399999999999999" x14ac:dyDescent="0.25">
      <c r="A1475" s="16"/>
      <c r="B1475" s="17"/>
      <c r="C1475" s="2"/>
      <c r="D1475" s="2"/>
      <c r="E1475" s="2"/>
      <c r="F1475" s="2"/>
      <c r="G1475" s="2"/>
      <c r="H1475" s="2"/>
      <c r="I1475" s="5"/>
    </row>
    <row r="1476" spans="1:9" ht="17.399999999999999" x14ac:dyDescent="0.25">
      <c r="A1476" s="16"/>
      <c r="B1476" s="17"/>
      <c r="C1476" s="2"/>
      <c r="D1476" s="2"/>
      <c r="E1476" s="2"/>
      <c r="F1476" s="2"/>
      <c r="G1476" s="2"/>
      <c r="H1476" s="2"/>
      <c r="I1476" s="5"/>
    </row>
    <row r="1477" spans="1:9" ht="17.399999999999999" x14ac:dyDescent="0.25">
      <c r="A1477" s="16"/>
      <c r="B1477" s="17"/>
      <c r="C1477" s="2"/>
      <c r="D1477" s="2"/>
      <c r="E1477" s="2"/>
      <c r="F1477" s="2"/>
      <c r="G1477" s="2"/>
      <c r="H1477" s="2"/>
      <c r="I1477" s="5"/>
    </row>
    <row r="1478" spans="1:9" ht="17.399999999999999" x14ac:dyDescent="0.25">
      <c r="A1478" s="16"/>
      <c r="B1478" s="17"/>
      <c r="C1478" s="2"/>
      <c r="D1478" s="2"/>
      <c r="E1478" s="2"/>
      <c r="F1478" s="2"/>
      <c r="G1478" s="2"/>
      <c r="H1478" s="2"/>
      <c r="I1478" s="5"/>
    </row>
    <row r="1479" spans="1:9" ht="17.399999999999999" x14ac:dyDescent="0.25">
      <c r="A1479" s="16"/>
      <c r="B1479" s="17"/>
      <c r="C1479" s="2"/>
      <c r="D1479" s="2"/>
      <c r="E1479" s="2"/>
      <c r="F1479" s="2"/>
      <c r="G1479" s="2"/>
      <c r="H1479" s="2"/>
      <c r="I1479" s="5"/>
    </row>
    <row r="1480" spans="1:9" ht="17.399999999999999" x14ac:dyDescent="0.25">
      <c r="A1480" s="16"/>
      <c r="B1480" s="17"/>
      <c r="C1480" s="2"/>
      <c r="D1480" s="2"/>
      <c r="E1480" s="2"/>
      <c r="F1480" s="2"/>
      <c r="G1480" s="2"/>
      <c r="H1480" s="2"/>
      <c r="I1480" s="5"/>
    </row>
    <row r="1481" spans="1:9" ht="17.399999999999999" x14ac:dyDescent="0.25">
      <c r="A1481" s="16"/>
      <c r="B1481" s="17"/>
      <c r="C1481" s="2"/>
      <c r="D1481" s="2"/>
      <c r="E1481" s="2"/>
      <c r="F1481" s="2"/>
      <c r="G1481" s="2"/>
      <c r="H1481" s="2"/>
      <c r="I1481" s="5"/>
    </row>
    <row r="1482" spans="1:9" ht="17.399999999999999" x14ac:dyDescent="0.25">
      <c r="A1482" s="16"/>
      <c r="B1482" s="17"/>
      <c r="C1482" s="2"/>
      <c r="D1482" s="2"/>
      <c r="E1482" s="2"/>
      <c r="F1482" s="2"/>
      <c r="G1482" s="2"/>
      <c r="H1482" s="2"/>
      <c r="I1482" s="5"/>
    </row>
    <row r="1483" spans="1:9" ht="17.399999999999999" x14ac:dyDescent="0.25">
      <c r="A1483" s="16"/>
      <c r="B1483" s="17"/>
      <c r="C1483" s="2"/>
      <c r="D1483" s="2"/>
      <c r="E1483" s="2"/>
      <c r="F1483" s="2"/>
      <c r="G1483" s="2"/>
      <c r="H1483" s="2"/>
      <c r="I1483" s="5"/>
    </row>
    <row r="1484" spans="1:9" ht="17.399999999999999" x14ac:dyDescent="0.25">
      <c r="A1484" s="16"/>
      <c r="B1484" s="17"/>
      <c r="C1484" s="2"/>
      <c r="D1484" s="2"/>
      <c r="E1484" s="2"/>
      <c r="F1484" s="2"/>
      <c r="G1484" s="2"/>
      <c r="H1484" s="2"/>
      <c r="I1484" s="5"/>
    </row>
    <row r="1485" spans="1:9" ht="17.399999999999999" x14ac:dyDescent="0.25">
      <c r="A1485" s="16"/>
      <c r="B1485" s="17"/>
      <c r="C1485" s="2"/>
      <c r="D1485" s="2"/>
      <c r="E1485" s="2"/>
      <c r="F1485" s="2"/>
      <c r="G1485" s="2"/>
      <c r="H1485" s="2"/>
      <c r="I1485" s="5"/>
    </row>
    <row r="1486" spans="1:9" ht="17.399999999999999" x14ac:dyDescent="0.25">
      <c r="A1486" s="16"/>
      <c r="B1486" s="17"/>
      <c r="C1486" s="2"/>
      <c r="D1486" s="2"/>
      <c r="E1486" s="2"/>
      <c r="F1486" s="2"/>
      <c r="G1486" s="2"/>
      <c r="H1486" s="2"/>
      <c r="I1486" s="5"/>
    </row>
    <row r="1487" spans="1:9" ht="17.399999999999999" x14ac:dyDescent="0.25">
      <c r="A1487" s="16"/>
      <c r="B1487" s="17"/>
      <c r="C1487" s="2"/>
      <c r="D1487" s="2"/>
      <c r="E1487" s="2"/>
      <c r="F1487" s="2"/>
      <c r="G1487" s="2"/>
      <c r="H1487" s="2"/>
      <c r="I1487" s="5"/>
    </row>
    <row r="1488" spans="1:9" ht="17.399999999999999" x14ac:dyDescent="0.25">
      <c r="A1488" s="16"/>
      <c r="B1488" s="17"/>
      <c r="C1488" s="2"/>
      <c r="D1488" s="2"/>
      <c r="E1488" s="2"/>
      <c r="F1488" s="2"/>
      <c r="G1488" s="2"/>
      <c r="H1488" s="2"/>
      <c r="I1488" s="5"/>
    </row>
    <row r="1489" spans="1:9" ht="17.399999999999999" x14ac:dyDescent="0.25">
      <c r="A1489" s="16"/>
      <c r="B1489" s="17"/>
      <c r="C1489" s="2"/>
      <c r="D1489" s="2"/>
      <c r="E1489" s="2"/>
      <c r="F1489" s="2"/>
      <c r="G1489" s="2"/>
      <c r="H1489" s="2"/>
      <c r="I1489" s="5"/>
    </row>
    <row r="1490" spans="1:9" ht="17.399999999999999" x14ac:dyDescent="0.25">
      <c r="A1490" s="16"/>
      <c r="B1490" s="17"/>
      <c r="C1490" s="2"/>
      <c r="D1490" s="2"/>
      <c r="E1490" s="2"/>
      <c r="F1490" s="2"/>
      <c r="G1490" s="2"/>
      <c r="H1490" s="2"/>
      <c r="I1490" s="5"/>
    </row>
    <row r="1491" spans="1:9" ht="17.399999999999999" x14ac:dyDescent="0.25">
      <c r="A1491" s="16"/>
      <c r="B1491" s="17"/>
      <c r="C1491" s="2"/>
      <c r="D1491" s="2"/>
      <c r="E1491" s="2"/>
      <c r="F1491" s="2"/>
      <c r="G1491" s="2"/>
      <c r="H1491" s="2"/>
      <c r="I1491" s="5"/>
    </row>
    <row r="1492" spans="1:9" ht="17.399999999999999" x14ac:dyDescent="0.25">
      <c r="A1492" s="16"/>
      <c r="B1492" s="17"/>
      <c r="C1492" s="2"/>
      <c r="D1492" s="2"/>
      <c r="E1492" s="2"/>
      <c r="F1492" s="2"/>
      <c r="G1492" s="2"/>
      <c r="H1492" s="2"/>
      <c r="I1492" s="5"/>
    </row>
    <row r="1493" spans="1:9" ht="17.399999999999999" x14ac:dyDescent="0.25">
      <c r="A1493" s="16"/>
      <c r="B1493" s="17"/>
      <c r="C1493" s="2"/>
      <c r="D1493" s="2"/>
      <c r="E1493" s="2"/>
      <c r="F1493" s="2"/>
      <c r="G1493" s="2"/>
      <c r="H1493" s="2"/>
      <c r="I1493" s="5"/>
    </row>
    <row r="1494" spans="1:9" ht="17.399999999999999" x14ac:dyDescent="0.25">
      <c r="A1494" s="16"/>
      <c r="B1494" s="17"/>
      <c r="C1494" s="2"/>
      <c r="D1494" s="2"/>
      <c r="E1494" s="2"/>
      <c r="F1494" s="2"/>
      <c r="G1494" s="2"/>
      <c r="H1494" s="2"/>
      <c r="I1494" s="5"/>
    </row>
    <row r="1495" spans="1:9" ht="17.399999999999999" x14ac:dyDescent="0.25">
      <c r="A1495" s="16"/>
      <c r="B1495" s="17"/>
      <c r="C1495" s="2"/>
      <c r="D1495" s="2"/>
      <c r="E1495" s="2"/>
      <c r="F1495" s="2"/>
      <c r="G1495" s="2"/>
      <c r="H1495" s="2"/>
      <c r="I1495" s="5"/>
    </row>
    <row r="1496" spans="1:9" ht="17.399999999999999" x14ac:dyDescent="0.25">
      <c r="A1496" s="16"/>
      <c r="B1496" s="17"/>
      <c r="C1496" s="2"/>
      <c r="D1496" s="2"/>
      <c r="E1496" s="2"/>
      <c r="F1496" s="2"/>
      <c r="G1496" s="2"/>
      <c r="H1496" s="2"/>
      <c r="I1496" s="5"/>
    </row>
    <row r="1497" spans="1:9" ht="17.399999999999999" x14ac:dyDescent="0.25">
      <c r="A1497" s="16"/>
      <c r="B1497" s="17"/>
      <c r="C1497" s="2"/>
      <c r="D1497" s="2"/>
      <c r="E1497" s="2"/>
      <c r="F1497" s="2"/>
      <c r="G1497" s="2"/>
      <c r="H1497" s="2"/>
      <c r="I1497" s="5"/>
    </row>
    <row r="1498" spans="1:9" ht="17.399999999999999" x14ac:dyDescent="0.25">
      <c r="A1498" s="16"/>
      <c r="B1498" s="17"/>
      <c r="C1498" s="2"/>
      <c r="D1498" s="2"/>
      <c r="E1498" s="2"/>
      <c r="F1498" s="2"/>
      <c r="G1498" s="2"/>
      <c r="H1498" s="2"/>
      <c r="I1498" s="5"/>
    </row>
    <row r="1499" spans="1:9" ht="17.399999999999999" x14ac:dyDescent="0.25">
      <c r="A1499" s="16"/>
      <c r="B1499" s="17"/>
      <c r="C1499" s="2"/>
      <c r="D1499" s="2"/>
      <c r="E1499" s="2"/>
      <c r="F1499" s="2"/>
      <c r="G1499" s="2"/>
      <c r="H1499" s="2"/>
      <c r="I1499" s="5"/>
    </row>
    <row r="1500" spans="1:9" ht="17.399999999999999" x14ac:dyDescent="0.25">
      <c r="A1500" s="16"/>
      <c r="B1500" s="17"/>
      <c r="C1500" s="2"/>
      <c r="D1500" s="2"/>
      <c r="E1500" s="2"/>
      <c r="F1500" s="2"/>
      <c r="G1500" s="2"/>
      <c r="H1500" s="2"/>
      <c r="I1500" s="5"/>
    </row>
    <row r="1501" spans="1:9" ht="17.399999999999999" x14ac:dyDescent="0.25">
      <c r="A1501" s="16"/>
      <c r="B1501" s="17"/>
      <c r="C1501" s="2"/>
      <c r="D1501" s="2"/>
      <c r="E1501" s="2"/>
      <c r="F1501" s="2"/>
      <c r="G1501" s="2"/>
      <c r="H1501" s="2"/>
      <c r="I1501" s="5"/>
    </row>
    <row r="1502" spans="1:9" ht="17.399999999999999" x14ac:dyDescent="0.25">
      <c r="A1502" s="16"/>
      <c r="B1502" s="17"/>
      <c r="C1502" s="2"/>
      <c r="D1502" s="2"/>
      <c r="E1502" s="2"/>
      <c r="F1502" s="2"/>
      <c r="G1502" s="2"/>
      <c r="H1502" s="2"/>
      <c r="I1502" s="5"/>
    </row>
    <row r="1503" spans="1:9" ht="17.399999999999999" x14ac:dyDescent="0.25">
      <c r="A1503" s="16"/>
      <c r="B1503" s="17"/>
      <c r="C1503" s="2"/>
      <c r="D1503" s="2"/>
      <c r="E1503" s="2"/>
      <c r="F1503" s="2"/>
      <c r="G1503" s="2"/>
      <c r="H1503" s="2"/>
      <c r="I1503" s="5"/>
    </row>
    <row r="1504" spans="1:9" ht="17.399999999999999" x14ac:dyDescent="0.25">
      <c r="A1504" s="16"/>
      <c r="B1504" s="17"/>
      <c r="C1504" s="2"/>
      <c r="D1504" s="2"/>
      <c r="E1504" s="2"/>
      <c r="F1504" s="2"/>
      <c r="G1504" s="2"/>
      <c r="H1504" s="2"/>
      <c r="I1504" s="5"/>
    </row>
    <row r="1505" spans="1:9" ht="17.399999999999999" x14ac:dyDescent="0.25">
      <c r="A1505" s="16"/>
      <c r="B1505" s="17"/>
      <c r="C1505" s="2"/>
      <c r="D1505" s="2"/>
      <c r="E1505" s="2"/>
      <c r="F1505" s="2"/>
      <c r="G1505" s="2"/>
      <c r="H1505" s="2"/>
      <c r="I1505" s="5"/>
    </row>
    <row r="1506" spans="1:9" ht="17.399999999999999" x14ac:dyDescent="0.25">
      <c r="A1506" s="16"/>
      <c r="B1506" s="17"/>
      <c r="C1506" s="2"/>
      <c r="D1506" s="2"/>
      <c r="E1506" s="2"/>
      <c r="F1506" s="2"/>
      <c r="G1506" s="2"/>
      <c r="H1506" s="2"/>
      <c r="I1506" s="5"/>
    </row>
    <row r="1507" spans="1:9" ht="17.399999999999999" x14ac:dyDescent="0.25">
      <c r="A1507" s="16"/>
      <c r="B1507" s="17"/>
      <c r="C1507" s="2"/>
      <c r="D1507" s="2"/>
      <c r="E1507" s="2"/>
      <c r="F1507" s="2"/>
      <c r="G1507" s="2"/>
      <c r="H1507" s="2"/>
      <c r="I1507" s="5"/>
    </row>
    <row r="1508" spans="1:9" ht="17.399999999999999" x14ac:dyDescent="0.25">
      <c r="A1508" s="16"/>
      <c r="B1508" s="17"/>
      <c r="C1508" s="2"/>
      <c r="D1508" s="2"/>
      <c r="E1508" s="2"/>
      <c r="F1508" s="2"/>
      <c r="G1508" s="2"/>
      <c r="H1508" s="2"/>
      <c r="I1508" s="5"/>
    </row>
    <row r="1509" spans="1:9" ht="17.399999999999999" x14ac:dyDescent="0.25">
      <c r="A1509" s="16"/>
      <c r="B1509" s="17"/>
      <c r="C1509" s="2"/>
      <c r="D1509" s="2"/>
      <c r="E1509" s="2"/>
      <c r="F1509" s="2"/>
      <c r="G1509" s="2"/>
      <c r="H1509" s="2"/>
      <c r="I1509" s="5"/>
    </row>
    <row r="1510" spans="1:9" ht="17.399999999999999" x14ac:dyDescent="0.25">
      <c r="A1510" s="16"/>
      <c r="B1510" s="17"/>
      <c r="C1510" s="2"/>
      <c r="D1510" s="2"/>
      <c r="E1510" s="2"/>
      <c r="F1510" s="2"/>
      <c r="G1510" s="2"/>
      <c r="H1510" s="2"/>
      <c r="I1510" s="5"/>
    </row>
    <row r="1511" spans="1:9" ht="17.399999999999999" x14ac:dyDescent="0.25">
      <c r="A1511" s="16"/>
      <c r="B1511" s="17"/>
      <c r="C1511" s="2"/>
      <c r="D1511" s="2"/>
      <c r="E1511" s="2"/>
      <c r="F1511" s="2"/>
      <c r="G1511" s="2"/>
      <c r="H1511" s="2"/>
      <c r="I1511" s="5"/>
    </row>
    <row r="1512" spans="1:9" ht="17.399999999999999" x14ac:dyDescent="0.25">
      <c r="A1512" s="16"/>
      <c r="B1512" s="17"/>
      <c r="C1512" s="2"/>
      <c r="D1512" s="2"/>
      <c r="E1512" s="2"/>
      <c r="F1512" s="2"/>
      <c r="G1512" s="2"/>
      <c r="H1512" s="2"/>
      <c r="I1512" s="5"/>
    </row>
    <row r="1513" spans="1:9" ht="17.399999999999999" x14ac:dyDescent="0.25">
      <c r="A1513" s="16"/>
      <c r="B1513" s="17"/>
      <c r="C1513" s="2"/>
      <c r="D1513" s="2"/>
      <c r="E1513" s="2"/>
      <c r="F1513" s="2"/>
      <c r="G1513" s="2"/>
      <c r="H1513" s="2"/>
      <c r="I1513" s="5"/>
    </row>
    <row r="1514" spans="1:9" ht="17.399999999999999" x14ac:dyDescent="0.25">
      <c r="A1514" s="16"/>
      <c r="B1514" s="17"/>
      <c r="C1514" s="2"/>
      <c r="D1514" s="2"/>
      <c r="E1514" s="2"/>
      <c r="F1514" s="2"/>
      <c r="G1514" s="2"/>
      <c r="H1514" s="2"/>
      <c r="I1514" s="5"/>
    </row>
    <row r="1515" spans="1:9" ht="17.399999999999999" x14ac:dyDescent="0.25">
      <c r="A1515" s="16"/>
      <c r="B1515" s="17"/>
      <c r="C1515" s="2"/>
      <c r="D1515" s="2"/>
      <c r="E1515" s="2"/>
      <c r="F1515" s="2"/>
      <c r="G1515" s="2"/>
      <c r="H1515" s="2"/>
      <c r="I1515" s="5"/>
    </row>
    <row r="1516" spans="1:9" ht="17.399999999999999" x14ac:dyDescent="0.25">
      <c r="A1516" s="16"/>
      <c r="B1516" s="17"/>
      <c r="C1516" s="2"/>
      <c r="D1516" s="2"/>
      <c r="E1516" s="2"/>
      <c r="F1516" s="2"/>
      <c r="G1516" s="2"/>
      <c r="H1516" s="2"/>
      <c r="I1516" s="5"/>
    </row>
    <row r="1517" spans="1:9" ht="17.399999999999999" x14ac:dyDescent="0.25">
      <c r="A1517" s="16"/>
      <c r="B1517" s="17"/>
      <c r="C1517" s="2"/>
      <c r="D1517" s="2"/>
      <c r="E1517" s="2"/>
      <c r="F1517" s="2"/>
      <c r="G1517" s="2"/>
      <c r="H1517" s="2"/>
      <c r="I1517" s="5"/>
    </row>
    <row r="1518" spans="1:9" ht="17.399999999999999" x14ac:dyDescent="0.25">
      <c r="A1518" s="16"/>
      <c r="B1518" s="17"/>
      <c r="C1518" s="2"/>
      <c r="D1518" s="2"/>
      <c r="E1518" s="2"/>
      <c r="F1518" s="2"/>
      <c r="G1518" s="2"/>
      <c r="H1518" s="2"/>
      <c r="I1518" s="5"/>
    </row>
    <row r="1519" spans="1:9" ht="17.399999999999999" x14ac:dyDescent="0.25">
      <c r="A1519" s="16"/>
      <c r="B1519" s="17"/>
      <c r="C1519" s="2"/>
      <c r="D1519" s="2"/>
      <c r="E1519" s="2"/>
      <c r="F1519" s="2"/>
      <c r="G1519" s="2"/>
      <c r="H1519" s="2"/>
      <c r="I1519" s="5"/>
    </row>
    <row r="1520" spans="1:9" ht="17.399999999999999" x14ac:dyDescent="0.25">
      <c r="A1520" s="16"/>
      <c r="B1520" s="17"/>
      <c r="C1520" s="2"/>
      <c r="D1520" s="2"/>
      <c r="E1520" s="2"/>
      <c r="F1520" s="2"/>
      <c r="G1520" s="2"/>
      <c r="H1520" s="2"/>
      <c r="I1520" s="5"/>
    </row>
    <row r="1521" spans="1:9" ht="17.399999999999999" x14ac:dyDescent="0.25">
      <c r="A1521" s="16"/>
      <c r="B1521" s="17"/>
      <c r="C1521" s="2"/>
      <c r="D1521" s="2"/>
      <c r="E1521" s="2"/>
      <c r="F1521" s="2"/>
      <c r="G1521" s="2"/>
      <c r="H1521" s="2"/>
      <c r="I1521" s="5"/>
    </row>
    <row r="1522" spans="1:9" ht="17.399999999999999" x14ac:dyDescent="0.25">
      <c r="A1522" s="16"/>
      <c r="B1522" s="17"/>
      <c r="C1522" s="2"/>
      <c r="D1522" s="2"/>
      <c r="E1522" s="2"/>
      <c r="F1522" s="2"/>
      <c r="G1522" s="2"/>
      <c r="H1522" s="2"/>
      <c r="I1522" s="5"/>
    </row>
    <row r="1523" spans="1:9" ht="17.399999999999999" x14ac:dyDescent="0.25">
      <c r="A1523" s="16"/>
      <c r="B1523" s="17"/>
      <c r="C1523" s="2"/>
      <c r="D1523" s="2"/>
      <c r="E1523" s="2"/>
      <c r="F1523" s="2"/>
      <c r="G1523" s="2"/>
      <c r="H1523" s="2"/>
      <c r="I1523" s="5"/>
    </row>
    <row r="1524" spans="1:9" ht="17.399999999999999" x14ac:dyDescent="0.25">
      <c r="A1524" s="16"/>
      <c r="B1524" s="17"/>
      <c r="C1524" s="2"/>
      <c r="D1524" s="2"/>
      <c r="E1524" s="2"/>
      <c r="F1524" s="2"/>
      <c r="G1524" s="2"/>
      <c r="H1524" s="2"/>
      <c r="I1524" s="5"/>
    </row>
    <row r="1525" spans="1:9" ht="17.399999999999999" x14ac:dyDescent="0.25">
      <c r="A1525" s="16"/>
      <c r="B1525" s="17"/>
      <c r="C1525" s="2"/>
      <c r="D1525" s="2"/>
      <c r="E1525" s="2"/>
      <c r="F1525" s="2"/>
      <c r="G1525" s="2"/>
      <c r="H1525" s="2"/>
      <c r="I1525" s="5"/>
    </row>
    <row r="1526" spans="1:9" ht="17.399999999999999" x14ac:dyDescent="0.25">
      <c r="A1526" s="16"/>
      <c r="B1526" s="17"/>
      <c r="C1526" s="2"/>
      <c r="D1526" s="2"/>
      <c r="E1526" s="2"/>
      <c r="F1526" s="2"/>
      <c r="G1526" s="2"/>
      <c r="H1526" s="2"/>
      <c r="I1526" s="5"/>
    </row>
    <row r="1527" spans="1:9" ht="17.399999999999999" x14ac:dyDescent="0.25">
      <c r="A1527" s="16"/>
      <c r="B1527" s="17"/>
      <c r="C1527" s="2"/>
      <c r="D1527" s="2"/>
      <c r="E1527" s="2"/>
      <c r="F1527" s="2"/>
      <c r="G1527" s="2"/>
      <c r="H1527" s="2"/>
      <c r="I1527" s="5"/>
    </row>
    <row r="1528" spans="1:9" ht="17.399999999999999" x14ac:dyDescent="0.25">
      <c r="A1528" s="16"/>
      <c r="B1528" s="17"/>
      <c r="C1528" s="2"/>
      <c r="D1528" s="2"/>
      <c r="E1528" s="2"/>
      <c r="F1528" s="2"/>
      <c r="G1528" s="2"/>
      <c r="H1528" s="2"/>
      <c r="I1528" s="5"/>
    </row>
    <row r="1529" spans="1:9" ht="17.399999999999999" x14ac:dyDescent="0.25">
      <c r="A1529" s="16"/>
      <c r="B1529" s="17"/>
      <c r="C1529" s="2"/>
      <c r="D1529" s="2"/>
      <c r="E1529" s="2"/>
      <c r="F1529" s="2"/>
      <c r="G1529" s="2"/>
      <c r="H1529" s="2"/>
      <c r="I1529" s="5"/>
    </row>
    <row r="1530" spans="1:9" ht="17.399999999999999" x14ac:dyDescent="0.25">
      <c r="A1530" s="16"/>
      <c r="B1530" s="17"/>
      <c r="C1530" s="2"/>
      <c r="D1530" s="2"/>
      <c r="E1530" s="2"/>
      <c r="F1530" s="2"/>
      <c r="G1530" s="2"/>
      <c r="H1530" s="2"/>
      <c r="I1530" s="5"/>
    </row>
    <row r="1531" spans="1:9" ht="17.399999999999999" x14ac:dyDescent="0.25">
      <c r="A1531" s="16"/>
      <c r="B1531" s="17"/>
      <c r="C1531" s="2"/>
      <c r="D1531" s="2"/>
      <c r="E1531" s="2"/>
      <c r="F1531" s="2"/>
      <c r="G1531" s="2"/>
      <c r="H1531" s="2"/>
      <c r="I1531" s="5"/>
    </row>
    <row r="1532" spans="1:9" ht="17.399999999999999" x14ac:dyDescent="0.25">
      <c r="A1532" s="16"/>
      <c r="B1532" s="17"/>
      <c r="C1532" s="2"/>
      <c r="D1532" s="2"/>
      <c r="E1532" s="2"/>
      <c r="F1532" s="2"/>
      <c r="G1532" s="2"/>
      <c r="H1532" s="2"/>
      <c r="I1532" s="5"/>
    </row>
    <row r="1533" spans="1:9" ht="17.399999999999999" x14ac:dyDescent="0.25">
      <c r="A1533" s="16"/>
      <c r="B1533" s="17"/>
      <c r="C1533" s="2"/>
      <c r="D1533" s="2"/>
      <c r="E1533" s="2"/>
      <c r="F1533" s="2"/>
      <c r="G1533" s="2"/>
      <c r="H1533" s="2"/>
      <c r="I1533" s="5"/>
    </row>
    <row r="1534" spans="1:9" ht="17.399999999999999" x14ac:dyDescent="0.25">
      <c r="A1534" s="16"/>
      <c r="B1534" s="17"/>
      <c r="C1534" s="2"/>
      <c r="D1534" s="2"/>
      <c r="E1534" s="2"/>
      <c r="F1534" s="2"/>
      <c r="G1534" s="2"/>
      <c r="H1534" s="2"/>
      <c r="I1534" s="5"/>
    </row>
    <row r="1535" spans="1:9" ht="17.399999999999999" x14ac:dyDescent="0.25">
      <c r="A1535" s="16"/>
      <c r="B1535" s="17"/>
      <c r="C1535" s="2"/>
      <c r="D1535" s="2"/>
      <c r="E1535" s="2"/>
      <c r="F1535" s="2"/>
      <c r="G1535" s="2"/>
      <c r="H1535" s="2"/>
      <c r="I1535" s="5"/>
    </row>
    <row r="1536" spans="1:9" ht="17.399999999999999" x14ac:dyDescent="0.25">
      <c r="A1536" s="16"/>
      <c r="B1536" s="17"/>
      <c r="C1536" s="2"/>
      <c r="D1536" s="2"/>
      <c r="E1536" s="2"/>
      <c r="F1536" s="2"/>
      <c r="G1536" s="2"/>
      <c r="H1536" s="2"/>
      <c r="I1536" s="5"/>
    </row>
    <row r="1537" spans="1:9" ht="17.399999999999999" x14ac:dyDescent="0.25">
      <c r="A1537" s="16"/>
      <c r="B1537" s="17"/>
      <c r="C1537" s="2"/>
      <c r="D1537" s="2"/>
      <c r="E1537" s="2"/>
      <c r="F1537" s="2"/>
      <c r="G1537" s="2"/>
      <c r="H1537" s="2"/>
      <c r="I1537" s="5"/>
    </row>
    <row r="1538" spans="1:9" ht="17.399999999999999" x14ac:dyDescent="0.25">
      <c r="A1538" s="16"/>
      <c r="B1538" s="17"/>
      <c r="C1538" s="2"/>
      <c r="D1538" s="2"/>
      <c r="E1538" s="2"/>
      <c r="F1538" s="2"/>
      <c r="G1538" s="2"/>
      <c r="H1538" s="2"/>
      <c r="I1538" s="5"/>
    </row>
    <row r="1539" spans="1:9" ht="17.399999999999999" x14ac:dyDescent="0.25">
      <c r="A1539" s="16"/>
      <c r="B1539" s="17"/>
      <c r="C1539" s="2"/>
      <c r="D1539" s="2"/>
      <c r="E1539" s="2"/>
      <c r="F1539" s="2"/>
      <c r="G1539" s="2"/>
      <c r="H1539" s="2"/>
      <c r="I1539" s="5"/>
    </row>
    <row r="1540" spans="1:9" ht="17.399999999999999" x14ac:dyDescent="0.25">
      <c r="A1540" s="16"/>
      <c r="B1540" s="17"/>
      <c r="C1540" s="2"/>
      <c r="D1540" s="2"/>
      <c r="E1540" s="2"/>
      <c r="F1540" s="2"/>
      <c r="G1540" s="2"/>
      <c r="H1540" s="2"/>
      <c r="I1540" s="5"/>
    </row>
    <row r="1541" spans="1:9" ht="17.399999999999999" x14ac:dyDescent="0.25">
      <c r="A1541" s="16"/>
      <c r="B1541" s="17"/>
      <c r="C1541" s="2"/>
      <c r="D1541" s="2"/>
      <c r="E1541" s="2"/>
      <c r="F1541" s="2"/>
      <c r="G1541" s="2"/>
      <c r="H1541" s="2"/>
      <c r="I1541" s="5"/>
    </row>
    <row r="1542" spans="1:9" ht="17.399999999999999" x14ac:dyDescent="0.25">
      <c r="A1542" s="16"/>
      <c r="B1542" s="17"/>
      <c r="C1542" s="2"/>
      <c r="D1542" s="2"/>
      <c r="E1542" s="2"/>
      <c r="F1542" s="2"/>
      <c r="G1542" s="2"/>
      <c r="H1542" s="2"/>
      <c r="I1542" s="5"/>
    </row>
    <row r="1543" spans="1:9" ht="17.399999999999999" x14ac:dyDescent="0.25">
      <c r="A1543" s="16"/>
      <c r="B1543" s="17"/>
      <c r="C1543" s="2"/>
      <c r="D1543" s="2"/>
      <c r="E1543" s="2"/>
      <c r="F1543" s="2"/>
      <c r="G1543" s="2"/>
      <c r="H1543" s="2"/>
      <c r="I1543" s="5"/>
    </row>
    <row r="1544" spans="1:9" ht="17.399999999999999" x14ac:dyDescent="0.25">
      <c r="A1544" s="16"/>
      <c r="B1544" s="17"/>
      <c r="C1544" s="2"/>
      <c r="D1544" s="2"/>
      <c r="E1544" s="2"/>
      <c r="F1544" s="2"/>
      <c r="G1544" s="2"/>
      <c r="H1544" s="2"/>
      <c r="I1544" s="5"/>
    </row>
    <row r="1545" spans="1:9" ht="17.399999999999999" x14ac:dyDescent="0.25">
      <c r="A1545" s="16"/>
      <c r="B1545" s="17"/>
      <c r="C1545" s="2"/>
      <c r="D1545" s="2"/>
      <c r="E1545" s="2"/>
      <c r="F1545" s="2"/>
      <c r="G1545" s="2"/>
      <c r="H1545" s="2"/>
      <c r="I1545" s="5"/>
    </row>
    <row r="1546" spans="1:9" ht="17.399999999999999" x14ac:dyDescent="0.25">
      <c r="A1546" s="16"/>
      <c r="B1546" s="17"/>
      <c r="C1546" s="2"/>
      <c r="D1546" s="2"/>
      <c r="E1546" s="2"/>
      <c r="F1546" s="2"/>
      <c r="G1546" s="2"/>
      <c r="H1546" s="2"/>
      <c r="I1546" s="5"/>
    </row>
    <row r="1547" spans="1:9" ht="17.399999999999999" x14ac:dyDescent="0.25">
      <c r="A1547" s="16"/>
      <c r="B1547" s="17"/>
      <c r="C1547" s="2"/>
      <c r="D1547" s="2"/>
      <c r="E1547" s="2"/>
      <c r="F1547" s="2"/>
      <c r="G1547" s="2"/>
      <c r="H1547" s="2"/>
      <c r="I1547" s="5"/>
    </row>
    <row r="1548" spans="1:9" ht="17.399999999999999" x14ac:dyDescent="0.25">
      <c r="A1548" s="16"/>
      <c r="B1548" s="17"/>
      <c r="C1548" s="2"/>
      <c r="D1548" s="2"/>
      <c r="E1548" s="2"/>
      <c r="F1548" s="2"/>
      <c r="G1548" s="2"/>
      <c r="H1548" s="2"/>
      <c r="I1548" s="5"/>
    </row>
    <row r="1549" spans="1:9" ht="17.399999999999999" x14ac:dyDescent="0.25">
      <c r="A1549" s="16"/>
      <c r="B1549" s="17"/>
      <c r="C1549" s="2"/>
      <c r="D1549" s="2"/>
      <c r="E1549" s="2"/>
      <c r="F1549" s="2"/>
      <c r="G1549" s="2"/>
      <c r="H1549" s="2"/>
      <c r="I1549" s="5"/>
    </row>
    <row r="1550" spans="1:9" ht="17.399999999999999" x14ac:dyDescent="0.25">
      <c r="A1550" s="16"/>
      <c r="B1550" s="17"/>
      <c r="C1550" s="2"/>
      <c r="D1550" s="2"/>
      <c r="E1550" s="2"/>
      <c r="F1550" s="2"/>
      <c r="G1550" s="2"/>
      <c r="H1550" s="2"/>
      <c r="I1550" s="5"/>
    </row>
    <row r="1551" spans="1:9" ht="17.399999999999999" x14ac:dyDescent="0.25">
      <c r="A1551" s="16"/>
      <c r="B1551" s="17"/>
      <c r="C1551" s="2"/>
      <c r="D1551" s="2"/>
      <c r="E1551" s="2"/>
      <c r="F1551" s="2"/>
      <c r="G1551" s="2"/>
      <c r="H1551" s="2"/>
      <c r="I1551" s="5"/>
    </row>
    <row r="1552" spans="1:9" ht="17.399999999999999" x14ac:dyDescent="0.25">
      <c r="A1552" s="16"/>
      <c r="B1552" s="17"/>
      <c r="C1552" s="2"/>
      <c r="D1552" s="2"/>
      <c r="E1552" s="2"/>
      <c r="F1552" s="2"/>
      <c r="G1552" s="2"/>
      <c r="H1552" s="2"/>
      <c r="I1552" s="5"/>
    </row>
    <row r="1553" spans="1:9" ht="17.399999999999999" x14ac:dyDescent="0.25">
      <c r="A1553" s="16"/>
      <c r="B1553" s="17"/>
      <c r="C1553" s="2"/>
      <c r="D1553" s="2"/>
      <c r="E1553" s="2"/>
      <c r="F1553" s="2"/>
      <c r="G1553" s="2"/>
      <c r="H1553" s="2"/>
      <c r="I1553" s="5"/>
    </row>
    <row r="1554" spans="1:9" ht="17.399999999999999" x14ac:dyDescent="0.25">
      <c r="A1554" s="16"/>
      <c r="B1554" s="17"/>
      <c r="C1554" s="2"/>
      <c r="D1554" s="2"/>
      <c r="E1554" s="2"/>
      <c r="F1554" s="2"/>
      <c r="G1554" s="2"/>
      <c r="H1554" s="2"/>
      <c r="I1554" s="5"/>
    </row>
    <row r="1555" spans="1:9" ht="17.399999999999999" x14ac:dyDescent="0.25">
      <c r="A1555" s="16"/>
      <c r="B1555" s="17"/>
      <c r="C1555" s="2"/>
      <c r="D1555" s="2"/>
      <c r="E1555" s="2"/>
      <c r="F1555" s="2"/>
      <c r="G1555" s="2"/>
      <c r="H1555" s="2"/>
      <c r="I1555" s="5"/>
    </row>
    <row r="1556" spans="1:9" ht="17.399999999999999" x14ac:dyDescent="0.25">
      <c r="A1556" s="16"/>
      <c r="B1556" s="17"/>
      <c r="C1556" s="2"/>
      <c r="D1556" s="2"/>
      <c r="E1556" s="2"/>
      <c r="F1556" s="2"/>
      <c r="G1556" s="2"/>
      <c r="H1556" s="2"/>
      <c r="I1556" s="5"/>
    </row>
    <row r="1557" spans="1:9" ht="17.399999999999999" x14ac:dyDescent="0.25">
      <c r="A1557" s="16"/>
      <c r="B1557" s="17"/>
      <c r="C1557" s="2"/>
      <c r="D1557" s="2"/>
      <c r="E1557" s="2"/>
      <c r="F1557" s="2"/>
      <c r="G1557" s="2"/>
      <c r="H1557" s="2"/>
      <c r="I1557" s="5"/>
    </row>
    <row r="1558" spans="1:9" ht="17.399999999999999" x14ac:dyDescent="0.25">
      <c r="A1558" s="16"/>
      <c r="B1558" s="17"/>
      <c r="C1558" s="2"/>
      <c r="D1558" s="2"/>
      <c r="E1558" s="2"/>
      <c r="F1558" s="2"/>
      <c r="G1558" s="2"/>
      <c r="H1558" s="2"/>
      <c r="I1558" s="5"/>
    </row>
    <row r="1559" spans="1:9" ht="17.399999999999999" x14ac:dyDescent="0.25">
      <c r="A1559" s="16"/>
      <c r="B1559" s="17"/>
      <c r="C1559" s="2"/>
      <c r="D1559" s="2"/>
      <c r="E1559" s="2"/>
      <c r="F1559" s="2"/>
      <c r="G1559" s="2"/>
      <c r="H1559" s="2"/>
      <c r="I1559" s="5"/>
    </row>
    <row r="1560" spans="1:9" ht="17.399999999999999" x14ac:dyDescent="0.25">
      <c r="A1560" s="16"/>
      <c r="B1560" s="17"/>
      <c r="C1560" s="2"/>
      <c r="D1560" s="2"/>
      <c r="E1560" s="2"/>
      <c r="F1560" s="2"/>
      <c r="G1560" s="2"/>
      <c r="H1560" s="2"/>
      <c r="I1560" s="5"/>
    </row>
    <row r="1561" spans="1:9" ht="17.399999999999999" x14ac:dyDescent="0.25">
      <c r="A1561" s="16"/>
      <c r="B1561" s="17"/>
      <c r="C1561" s="2"/>
      <c r="D1561" s="2"/>
      <c r="E1561" s="2"/>
      <c r="F1561" s="2"/>
      <c r="G1561" s="2"/>
      <c r="H1561" s="2"/>
      <c r="I1561" s="5"/>
    </row>
    <row r="1562" spans="1:9" ht="17.399999999999999" x14ac:dyDescent="0.25">
      <c r="A1562" s="16"/>
      <c r="B1562" s="17"/>
      <c r="C1562" s="2"/>
      <c r="D1562" s="2"/>
      <c r="E1562" s="2"/>
      <c r="F1562" s="2"/>
      <c r="G1562" s="2"/>
      <c r="H1562" s="2"/>
      <c r="I1562" s="5"/>
    </row>
    <row r="1563" spans="1:9" ht="17.399999999999999" x14ac:dyDescent="0.25">
      <c r="A1563" s="16"/>
      <c r="B1563" s="17"/>
      <c r="C1563" s="2"/>
      <c r="D1563" s="2"/>
      <c r="E1563" s="2"/>
      <c r="F1563" s="2"/>
      <c r="G1563" s="2"/>
      <c r="H1563" s="2"/>
      <c r="I1563" s="5"/>
    </row>
    <row r="1564" spans="1:9" ht="17.399999999999999" x14ac:dyDescent="0.25">
      <c r="A1564" s="16"/>
      <c r="B1564" s="17"/>
      <c r="C1564" s="2"/>
      <c r="D1564" s="2"/>
      <c r="E1564" s="2"/>
      <c r="F1564" s="2"/>
      <c r="G1564" s="2"/>
      <c r="H1564" s="2"/>
      <c r="I1564" s="5"/>
    </row>
    <row r="1565" spans="1:9" ht="17.399999999999999" x14ac:dyDescent="0.25">
      <c r="A1565" s="16"/>
      <c r="B1565" s="17"/>
      <c r="C1565" s="2"/>
      <c r="D1565" s="2"/>
      <c r="E1565" s="2"/>
      <c r="F1565" s="2"/>
      <c r="G1565" s="2"/>
      <c r="H1565" s="2"/>
      <c r="I1565" s="5"/>
    </row>
    <row r="1566" spans="1:9" ht="17.399999999999999" x14ac:dyDescent="0.25">
      <c r="A1566" s="16"/>
      <c r="B1566" s="17"/>
      <c r="C1566" s="2"/>
      <c r="D1566" s="2"/>
      <c r="E1566" s="2"/>
      <c r="F1566" s="2"/>
      <c r="G1566" s="2"/>
      <c r="H1566" s="2"/>
      <c r="I1566" s="5"/>
    </row>
    <row r="1567" spans="1:9" ht="17.399999999999999" x14ac:dyDescent="0.25">
      <c r="A1567" s="16"/>
      <c r="B1567" s="17"/>
      <c r="C1567" s="2"/>
      <c r="D1567" s="2"/>
      <c r="E1567" s="2"/>
      <c r="F1567" s="2"/>
      <c r="G1567" s="2"/>
      <c r="H1567" s="2"/>
      <c r="I1567" s="5"/>
    </row>
    <row r="1568" spans="1:9" ht="17.399999999999999" x14ac:dyDescent="0.25">
      <c r="A1568" s="16"/>
      <c r="B1568" s="17"/>
      <c r="C1568" s="2"/>
      <c r="D1568" s="2"/>
      <c r="E1568" s="2"/>
      <c r="F1568" s="2"/>
      <c r="G1568" s="2"/>
      <c r="H1568" s="2"/>
      <c r="I1568" s="5"/>
    </row>
    <row r="1569" spans="1:9" ht="17.399999999999999" x14ac:dyDescent="0.25">
      <c r="A1569" s="16"/>
      <c r="B1569" s="17"/>
      <c r="C1569" s="2"/>
      <c r="D1569" s="2"/>
      <c r="E1569" s="2"/>
      <c r="F1569" s="2"/>
      <c r="G1569" s="2"/>
      <c r="H1569" s="2"/>
      <c r="I1569" s="5"/>
    </row>
    <row r="1570" spans="1:9" ht="17.399999999999999" x14ac:dyDescent="0.25">
      <c r="A1570" s="16"/>
      <c r="B1570" s="17"/>
      <c r="C1570" s="2"/>
      <c r="D1570" s="2"/>
      <c r="E1570" s="2"/>
      <c r="F1570" s="2"/>
      <c r="G1570" s="2"/>
      <c r="H1570" s="2"/>
      <c r="I1570" s="5"/>
    </row>
    <row r="1571" spans="1:9" ht="17.399999999999999" x14ac:dyDescent="0.25">
      <c r="A1571" s="16"/>
      <c r="B1571" s="17"/>
      <c r="C1571" s="2"/>
      <c r="D1571" s="2"/>
      <c r="E1571" s="2"/>
      <c r="F1571" s="2"/>
      <c r="G1571" s="2"/>
      <c r="H1571" s="2"/>
      <c r="I1571" s="5"/>
    </row>
    <row r="1572" spans="1:9" ht="17.399999999999999" x14ac:dyDescent="0.25">
      <c r="A1572" s="16"/>
      <c r="B1572" s="17"/>
      <c r="C1572" s="2"/>
      <c r="D1572" s="2"/>
      <c r="E1572" s="2"/>
      <c r="F1572" s="2"/>
      <c r="G1572" s="2"/>
      <c r="H1572" s="2"/>
      <c r="I1572" s="5"/>
    </row>
    <row r="1573" spans="1:9" ht="17.399999999999999" x14ac:dyDescent="0.25">
      <c r="A1573" s="16"/>
      <c r="B1573" s="17"/>
      <c r="C1573" s="2"/>
      <c r="D1573" s="2"/>
      <c r="E1573" s="2"/>
      <c r="F1573" s="2"/>
      <c r="G1573" s="2"/>
      <c r="H1573" s="2"/>
      <c r="I1573" s="5"/>
    </row>
    <row r="1574" spans="1:9" ht="17.399999999999999" x14ac:dyDescent="0.25">
      <c r="A1574" s="16"/>
      <c r="B1574" s="17"/>
      <c r="C1574" s="2"/>
      <c r="D1574" s="2"/>
      <c r="E1574" s="2"/>
      <c r="F1574" s="2"/>
      <c r="G1574" s="2"/>
      <c r="H1574" s="2"/>
      <c r="I1574" s="5"/>
    </row>
    <row r="1575" spans="1:9" ht="17.399999999999999" x14ac:dyDescent="0.25">
      <c r="A1575" s="16"/>
      <c r="B1575" s="17"/>
      <c r="C1575" s="2"/>
      <c r="D1575" s="2"/>
      <c r="E1575" s="2"/>
      <c r="F1575" s="2"/>
      <c r="G1575" s="2"/>
      <c r="H1575" s="2"/>
      <c r="I1575" s="5"/>
    </row>
    <row r="1576" spans="1:9" ht="17.399999999999999" x14ac:dyDescent="0.25">
      <c r="A1576" s="16"/>
      <c r="B1576" s="17"/>
      <c r="C1576" s="2"/>
      <c r="D1576" s="2"/>
      <c r="E1576" s="2"/>
      <c r="F1576" s="2"/>
      <c r="G1576" s="2"/>
      <c r="H1576" s="2"/>
      <c r="I1576" s="5"/>
    </row>
    <row r="1577" spans="1:9" ht="17.399999999999999" x14ac:dyDescent="0.25">
      <c r="A1577" s="16"/>
      <c r="B1577" s="17"/>
      <c r="C1577" s="2"/>
      <c r="D1577" s="2"/>
      <c r="E1577" s="2"/>
      <c r="F1577" s="2"/>
      <c r="G1577" s="2"/>
      <c r="H1577" s="2"/>
      <c r="I1577" s="5"/>
    </row>
    <row r="1578" spans="1:9" ht="17.399999999999999" x14ac:dyDescent="0.25">
      <c r="A1578" s="16"/>
      <c r="B1578" s="17"/>
      <c r="C1578" s="2"/>
      <c r="D1578" s="2"/>
      <c r="E1578" s="2"/>
      <c r="F1578" s="2"/>
      <c r="G1578" s="2"/>
      <c r="H1578" s="2"/>
      <c r="I1578" s="5"/>
    </row>
    <row r="1579" spans="1:9" ht="17.399999999999999" x14ac:dyDescent="0.25">
      <c r="A1579" s="16"/>
      <c r="B1579" s="17"/>
      <c r="C1579" s="2"/>
      <c r="D1579" s="2"/>
      <c r="E1579" s="2"/>
      <c r="F1579" s="2"/>
      <c r="G1579" s="2"/>
      <c r="H1579" s="2"/>
      <c r="I1579" s="5"/>
    </row>
    <row r="1580" spans="1:9" ht="17.399999999999999" x14ac:dyDescent="0.25">
      <c r="A1580" s="16"/>
      <c r="B1580" s="17"/>
      <c r="C1580" s="2"/>
      <c r="D1580" s="2"/>
      <c r="E1580" s="2"/>
      <c r="F1580" s="2"/>
      <c r="G1580" s="2"/>
      <c r="H1580" s="2"/>
      <c r="I1580" s="5"/>
    </row>
    <row r="1581" spans="1:9" ht="17.399999999999999" x14ac:dyDescent="0.25">
      <c r="A1581" s="16"/>
      <c r="B1581" s="17"/>
      <c r="C1581" s="2"/>
      <c r="D1581" s="2"/>
      <c r="E1581" s="2"/>
      <c r="F1581" s="2"/>
      <c r="G1581" s="2"/>
      <c r="H1581" s="2"/>
      <c r="I1581" s="5"/>
    </row>
    <row r="1582" spans="1:9" ht="17.399999999999999" x14ac:dyDescent="0.25">
      <c r="A1582" s="16"/>
      <c r="B1582" s="17"/>
      <c r="C1582" s="2"/>
      <c r="D1582" s="2"/>
      <c r="E1582" s="2"/>
      <c r="F1582" s="2"/>
      <c r="G1582" s="2"/>
      <c r="H1582" s="2"/>
      <c r="I1582" s="5"/>
    </row>
    <row r="1583" spans="1:9" ht="17.399999999999999" x14ac:dyDescent="0.25">
      <c r="A1583" s="16"/>
      <c r="B1583" s="17"/>
      <c r="C1583" s="2"/>
      <c r="D1583" s="2"/>
      <c r="E1583" s="2"/>
      <c r="F1583" s="2"/>
      <c r="G1583" s="2"/>
      <c r="H1583" s="2"/>
      <c r="I1583" s="5"/>
    </row>
    <row r="1584" spans="1:9" ht="17.399999999999999" x14ac:dyDescent="0.25">
      <c r="A1584" s="16"/>
      <c r="B1584" s="17"/>
      <c r="C1584" s="2"/>
      <c r="D1584" s="2"/>
      <c r="E1584" s="2"/>
      <c r="F1584" s="2"/>
      <c r="G1584" s="2"/>
      <c r="H1584" s="2"/>
      <c r="I1584" s="5"/>
    </row>
    <row r="1585" spans="1:9" ht="17.399999999999999" x14ac:dyDescent="0.25">
      <c r="A1585" s="16"/>
      <c r="B1585" s="17"/>
      <c r="C1585" s="2"/>
      <c r="D1585" s="2"/>
      <c r="E1585" s="2"/>
      <c r="F1585" s="2"/>
      <c r="G1585" s="2"/>
      <c r="H1585" s="2"/>
      <c r="I1585" s="5"/>
    </row>
    <row r="1586" spans="1:9" ht="17.399999999999999" x14ac:dyDescent="0.25">
      <c r="A1586" s="16"/>
      <c r="B1586" s="17"/>
      <c r="C1586" s="2"/>
      <c r="D1586" s="2"/>
      <c r="E1586" s="2"/>
      <c r="F1586" s="2"/>
      <c r="G1586" s="2"/>
      <c r="H1586" s="2"/>
      <c r="I1586" s="5"/>
    </row>
    <row r="1587" spans="1:9" ht="17.399999999999999" x14ac:dyDescent="0.25">
      <c r="A1587" s="16"/>
      <c r="B1587" s="17"/>
      <c r="C1587" s="2"/>
      <c r="D1587" s="2"/>
      <c r="E1587" s="2"/>
      <c r="F1587" s="2"/>
      <c r="G1587" s="2"/>
      <c r="H1587" s="2"/>
      <c r="I1587" s="5"/>
    </row>
    <row r="1588" spans="1:9" ht="17.399999999999999" x14ac:dyDescent="0.25">
      <c r="A1588" s="16"/>
      <c r="B1588" s="17"/>
      <c r="C1588" s="2"/>
      <c r="D1588" s="2"/>
      <c r="E1588" s="2"/>
      <c r="F1588" s="2"/>
      <c r="G1588" s="2"/>
      <c r="H1588" s="2"/>
      <c r="I1588" s="5"/>
    </row>
    <row r="1589" spans="1:9" ht="17.399999999999999" x14ac:dyDescent="0.25">
      <c r="A1589" s="16"/>
      <c r="B1589" s="17"/>
      <c r="C1589" s="2"/>
      <c r="D1589" s="2"/>
      <c r="E1589" s="2"/>
      <c r="F1589" s="2"/>
      <c r="G1589" s="2"/>
      <c r="H1589" s="2"/>
      <c r="I1589" s="5"/>
    </row>
    <row r="1590" spans="1:9" ht="17.399999999999999" x14ac:dyDescent="0.25">
      <c r="A1590" s="16"/>
      <c r="B1590" s="17"/>
      <c r="C1590" s="2"/>
      <c r="D1590" s="2"/>
      <c r="E1590" s="2"/>
      <c r="F1590" s="2"/>
      <c r="G1590" s="2"/>
      <c r="H1590" s="2"/>
      <c r="I1590" s="5"/>
    </row>
    <row r="1591" spans="1:9" ht="17.399999999999999" x14ac:dyDescent="0.25">
      <c r="A1591" s="16"/>
      <c r="B1591" s="17"/>
      <c r="C1591" s="2"/>
      <c r="D1591" s="2"/>
      <c r="E1591" s="2"/>
      <c r="F1591" s="2"/>
      <c r="G1591" s="2"/>
      <c r="H1591" s="2"/>
      <c r="I1591" s="5"/>
    </row>
    <row r="1592" spans="1:9" ht="17.399999999999999" x14ac:dyDescent="0.25">
      <c r="A1592" s="16"/>
      <c r="B1592" s="17"/>
      <c r="C1592" s="2"/>
      <c r="D1592" s="2"/>
      <c r="E1592" s="2"/>
      <c r="F1592" s="2"/>
      <c r="G1592" s="2"/>
      <c r="H1592" s="2"/>
      <c r="I1592" s="5"/>
    </row>
    <row r="1593" spans="1:9" ht="17.399999999999999" x14ac:dyDescent="0.25">
      <c r="A1593" s="16"/>
      <c r="B1593" s="17"/>
      <c r="C1593" s="2"/>
      <c r="D1593" s="2"/>
      <c r="E1593" s="2"/>
      <c r="F1593" s="2"/>
      <c r="G1593" s="2"/>
      <c r="H1593" s="2"/>
      <c r="I1593" s="5"/>
    </row>
    <row r="1594" spans="1:9" ht="17.399999999999999" x14ac:dyDescent="0.25">
      <c r="A1594" s="16"/>
      <c r="B1594" s="17"/>
      <c r="C1594" s="2"/>
      <c r="D1594" s="2"/>
      <c r="E1594" s="2"/>
      <c r="F1594" s="2"/>
      <c r="G1594" s="2"/>
      <c r="H1594" s="2"/>
      <c r="I1594" s="5"/>
    </row>
    <row r="1595" spans="1:9" ht="17.399999999999999" x14ac:dyDescent="0.25">
      <c r="A1595" s="16"/>
      <c r="B1595" s="17"/>
      <c r="C1595" s="2"/>
      <c r="D1595" s="2"/>
      <c r="E1595" s="2"/>
      <c r="F1595" s="2"/>
      <c r="G1595" s="2"/>
      <c r="H1595" s="2"/>
      <c r="I1595" s="5"/>
    </row>
    <row r="1596" spans="1:9" ht="17.399999999999999" x14ac:dyDescent="0.25">
      <c r="A1596" s="16"/>
      <c r="B1596" s="17"/>
      <c r="C1596" s="2"/>
      <c r="D1596" s="2"/>
      <c r="E1596" s="2"/>
      <c r="F1596" s="2"/>
      <c r="G1596" s="2"/>
      <c r="H1596" s="2"/>
      <c r="I1596" s="5"/>
    </row>
    <row r="1597" spans="1:9" ht="17.399999999999999" x14ac:dyDescent="0.25">
      <c r="A1597" s="16"/>
      <c r="B1597" s="17"/>
      <c r="C1597" s="2"/>
      <c r="D1597" s="2"/>
      <c r="E1597" s="2"/>
      <c r="F1597" s="2"/>
      <c r="G1597" s="2"/>
      <c r="H1597" s="2"/>
      <c r="I1597" s="5"/>
    </row>
    <row r="1598" spans="1:9" ht="17.399999999999999" x14ac:dyDescent="0.25">
      <c r="A1598" s="16"/>
      <c r="B1598" s="17"/>
      <c r="C1598" s="2"/>
      <c r="D1598" s="2"/>
      <c r="E1598" s="2"/>
      <c r="F1598" s="2"/>
      <c r="G1598" s="2"/>
      <c r="H1598" s="2"/>
      <c r="I1598" s="5"/>
    </row>
    <row r="1599" spans="1:9" ht="17.399999999999999" x14ac:dyDescent="0.25">
      <c r="A1599" s="16"/>
      <c r="B1599" s="17"/>
      <c r="C1599" s="2"/>
      <c r="D1599" s="2"/>
      <c r="E1599" s="2"/>
      <c r="F1599" s="2"/>
      <c r="G1599" s="2"/>
      <c r="H1599" s="2"/>
      <c r="I1599" s="5"/>
    </row>
    <row r="1600" spans="1:9" ht="17.399999999999999" x14ac:dyDescent="0.25">
      <c r="A1600" s="16"/>
      <c r="B1600" s="17"/>
      <c r="C1600" s="2"/>
      <c r="D1600" s="2"/>
      <c r="E1600" s="2"/>
      <c r="F1600" s="2"/>
      <c r="G1600" s="2"/>
      <c r="H1600" s="2"/>
      <c r="I1600" s="5"/>
    </row>
    <row r="1601" spans="1:9" ht="17.399999999999999" x14ac:dyDescent="0.25">
      <c r="A1601" s="16"/>
      <c r="B1601" s="17"/>
      <c r="C1601" s="2"/>
      <c r="D1601" s="2"/>
      <c r="E1601" s="2"/>
      <c r="F1601" s="2"/>
      <c r="G1601" s="2"/>
      <c r="H1601" s="2"/>
      <c r="I1601" s="5"/>
    </row>
    <row r="1602" spans="1:9" ht="17.399999999999999" x14ac:dyDescent="0.25">
      <c r="A1602" s="16"/>
      <c r="B1602" s="17"/>
      <c r="C1602" s="2"/>
      <c r="D1602" s="2"/>
      <c r="E1602" s="2"/>
      <c r="F1602" s="2"/>
      <c r="G1602" s="2"/>
      <c r="H1602" s="2"/>
      <c r="I1602" s="5"/>
    </row>
    <row r="1603" spans="1:9" ht="17.399999999999999" x14ac:dyDescent="0.25">
      <c r="A1603" s="16"/>
      <c r="B1603" s="17"/>
      <c r="C1603" s="2"/>
      <c r="D1603" s="2"/>
      <c r="E1603" s="2"/>
      <c r="F1603" s="2"/>
      <c r="G1603" s="2"/>
      <c r="H1603" s="2"/>
      <c r="I1603" s="5"/>
    </row>
    <row r="1604" spans="1:9" ht="17.399999999999999" x14ac:dyDescent="0.25">
      <c r="A1604" s="16"/>
      <c r="B1604" s="17"/>
      <c r="C1604" s="2"/>
      <c r="D1604" s="2"/>
      <c r="E1604" s="2"/>
      <c r="F1604" s="2"/>
      <c r="G1604" s="2"/>
      <c r="H1604" s="2"/>
      <c r="I1604" s="5"/>
    </row>
    <row r="1605" spans="1:9" ht="17.399999999999999" x14ac:dyDescent="0.25">
      <c r="A1605" s="16"/>
      <c r="B1605" s="17"/>
      <c r="C1605" s="2"/>
      <c r="D1605" s="2"/>
      <c r="E1605" s="2"/>
      <c r="F1605" s="2"/>
      <c r="G1605" s="2"/>
      <c r="H1605" s="2"/>
      <c r="I1605" s="5"/>
    </row>
    <row r="1606" spans="1:9" ht="17.399999999999999" x14ac:dyDescent="0.25">
      <c r="A1606" s="16"/>
      <c r="B1606" s="17"/>
      <c r="C1606" s="2"/>
      <c r="D1606" s="2"/>
      <c r="E1606" s="2"/>
      <c r="F1606" s="2"/>
      <c r="G1606" s="2"/>
      <c r="H1606" s="2"/>
      <c r="I1606" s="5"/>
    </row>
    <row r="1607" spans="1:9" ht="17.399999999999999" x14ac:dyDescent="0.25">
      <c r="A1607" s="16"/>
      <c r="B1607" s="17"/>
      <c r="C1607" s="2"/>
      <c r="D1607" s="2"/>
      <c r="E1607" s="2"/>
      <c r="F1607" s="2"/>
      <c r="G1607" s="2"/>
      <c r="H1607" s="2"/>
      <c r="I1607" s="5"/>
    </row>
    <row r="1608" spans="1:9" ht="17.399999999999999" x14ac:dyDescent="0.25">
      <c r="A1608" s="16"/>
      <c r="B1608" s="17"/>
      <c r="C1608" s="2"/>
      <c r="D1608" s="2"/>
      <c r="E1608" s="2"/>
      <c r="F1608" s="2"/>
      <c r="G1608" s="2"/>
      <c r="H1608" s="2"/>
      <c r="I1608" s="5"/>
    </row>
    <row r="1609" spans="1:9" ht="17.399999999999999" x14ac:dyDescent="0.25">
      <c r="A1609" s="16"/>
      <c r="B1609" s="17"/>
      <c r="C1609" s="2"/>
      <c r="D1609" s="2"/>
      <c r="E1609" s="2"/>
      <c r="F1609" s="2"/>
      <c r="G1609" s="2"/>
      <c r="H1609" s="2"/>
      <c r="I1609" s="5"/>
    </row>
    <row r="1610" spans="1:9" ht="17.399999999999999" x14ac:dyDescent="0.25">
      <c r="A1610" s="16"/>
      <c r="B1610" s="17"/>
      <c r="C1610" s="2"/>
      <c r="D1610" s="2"/>
      <c r="E1610" s="2"/>
      <c r="F1610" s="2"/>
      <c r="G1610" s="2"/>
      <c r="H1610" s="2"/>
      <c r="I1610" s="5"/>
    </row>
    <row r="1611" spans="1:9" ht="17.399999999999999" x14ac:dyDescent="0.25">
      <c r="A1611" s="16"/>
      <c r="B1611" s="17"/>
      <c r="C1611" s="2"/>
      <c r="D1611" s="2"/>
      <c r="E1611" s="2"/>
      <c r="F1611" s="2"/>
      <c r="G1611" s="2"/>
      <c r="H1611" s="2"/>
      <c r="I1611" s="5"/>
    </row>
    <row r="1612" spans="1:9" ht="17.399999999999999" x14ac:dyDescent="0.25">
      <c r="A1612" s="16"/>
      <c r="B1612" s="17"/>
      <c r="C1612" s="2"/>
      <c r="D1612" s="2"/>
      <c r="E1612" s="2"/>
      <c r="F1612" s="2"/>
      <c r="G1612" s="2"/>
      <c r="H1612" s="2"/>
      <c r="I1612" s="5"/>
    </row>
    <row r="1613" spans="1:9" ht="17.399999999999999" x14ac:dyDescent="0.25">
      <c r="A1613" s="16"/>
      <c r="B1613" s="17"/>
      <c r="C1613" s="2"/>
      <c r="D1613" s="2"/>
      <c r="E1613" s="2"/>
      <c r="F1613" s="2"/>
      <c r="G1613" s="2"/>
      <c r="H1613" s="2"/>
      <c r="I1613" s="5"/>
    </row>
    <row r="1614" spans="1:9" ht="17.399999999999999" x14ac:dyDescent="0.25">
      <c r="A1614" s="16"/>
      <c r="B1614" s="17"/>
      <c r="C1614" s="2"/>
      <c r="D1614" s="2"/>
      <c r="E1614" s="2"/>
      <c r="F1614" s="2"/>
      <c r="G1614" s="2"/>
      <c r="H1614" s="2"/>
      <c r="I1614" s="5"/>
    </row>
    <row r="1615" spans="1:9" ht="17.399999999999999" x14ac:dyDescent="0.25">
      <c r="A1615" s="16"/>
      <c r="B1615" s="17"/>
      <c r="C1615" s="2"/>
      <c r="D1615" s="2"/>
      <c r="E1615" s="2"/>
      <c r="F1615" s="2"/>
      <c r="G1615" s="2"/>
      <c r="H1615" s="2"/>
      <c r="I1615" s="5"/>
    </row>
    <row r="1616" spans="1:9" ht="17.399999999999999" x14ac:dyDescent="0.25">
      <c r="A1616" s="16"/>
      <c r="B1616" s="17"/>
      <c r="C1616" s="2"/>
      <c r="D1616" s="2"/>
      <c r="E1616" s="2"/>
      <c r="F1616" s="2"/>
      <c r="G1616" s="2"/>
      <c r="H1616" s="2"/>
      <c r="I1616" s="5"/>
    </row>
    <row r="1617" spans="1:9" ht="17.399999999999999" x14ac:dyDescent="0.25">
      <c r="A1617" s="16"/>
      <c r="B1617" s="17"/>
      <c r="C1617" s="2"/>
      <c r="D1617" s="2"/>
      <c r="E1617" s="2"/>
      <c r="F1617" s="2"/>
      <c r="G1617" s="2"/>
      <c r="H1617" s="2"/>
      <c r="I1617" s="5"/>
    </row>
    <row r="1618" spans="1:9" ht="17.399999999999999" x14ac:dyDescent="0.25">
      <c r="A1618" s="16"/>
      <c r="B1618" s="17"/>
      <c r="C1618" s="2"/>
      <c r="D1618" s="2"/>
      <c r="E1618" s="2"/>
      <c r="F1618" s="2"/>
      <c r="G1618" s="2"/>
      <c r="H1618" s="2"/>
      <c r="I1618" s="5"/>
    </row>
    <row r="1619" spans="1:9" ht="17.399999999999999" x14ac:dyDescent="0.25">
      <c r="A1619" s="16"/>
      <c r="B1619" s="17"/>
      <c r="C1619" s="2"/>
      <c r="D1619" s="2"/>
      <c r="E1619" s="2"/>
      <c r="F1619" s="2"/>
      <c r="G1619" s="2"/>
      <c r="H1619" s="2"/>
      <c r="I1619" s="5"/>
    </row>
    <row r="1620" spans="1:9" ht="17.399999999999999" x14ac:dyDescent="0.25">
      <c r="A1620" s="16"/>
      <c r="B1620" s="17"/>
      <c r="C1620" s="2"/>
      <c r="D1620" s="2"/>
      <c r="E1620" s="2"/>
      <c r="F1620" s="2"/>
      <c r="G1620" s="2"/>
      <c r="H1620" s="2"/>
      <c r="I1620" s="5"/>
    </row>
    <row r="1621" spans="1:9" ht="17.399999999999999" x14ac:dyDescent="0.25">
      <c r="A1621" s="16"/>
      <c r="B1621" s="17"/>
      <c r="C1621" s="2"/>
      <c r="D1621" s="2"/>
      <c r="E1621" s="2"/>
      <c r="F1621" s="2"/>
      <c r="G1621" s="2"/>
      <c r="H1621" s="2"/>
      <c r="I1621" s="5"/>
    </row>
    <row r="1622" spans="1:9" ht="17.399999999999999" x14ac:dyDescent="0.25">
      <c r="A1622" s="16"/>
      <c r="B1622" s="17"/>
      <c r="C1622" s="2"/>
      <c r="D1622" s="2"/>
      <c r="E1622" s="2"/>
      <c r="F1622" s="2"/>
      <c r="G1622" s="2"/>
      <c r="H1622" s="2"/>
      <c r="I1622" s="5"/>
    </row>
    <row r="1623" spans="1:9" ht="17.399999999999999" x14ac:dyDescent="0.25">
      <c r="A1623" s="16"/>
      <c r="B1623" s="17"/>
      <c r="C1623" s="2"/>
      <c r="D1623" s="2"/>
      <c r="E1623" s="2"/>
      <c r="F1623" s="2"/>
      <c r="G1623" s="2"/>
      <c r="H1623" s="2"/>
      <c r="I1623" s="5"/>
    </row>
    <row r="1624" spans="1:9" ht="17.399999999999999" x14ac:dyDescent="0.25">
      <c r="A1624" s="16"/>
      <c r="B1624" s="17"/>
      <c r="C1624" s="2"/>
      <c r="D1624" s="2"/>
      <c r="E1624" s="2"/>
      <c r="F1624" s="2"/>
      <c r="G1624" s="2"/>
      <c r="H1624" s="2"/>
      <c r="I1624" s="5"/>
    </row>
    <row r="1625" spans="1:9" ht="17.399999999999999" x14ac:dyDescent="0.25">
      <c r="A1625" s="16"/>
      <c r="B1625" s="17"/>
      <c r="C1625" s="2"/>
      <c r="D1625" s="2"/>
      <c r="E1625" s="2"/>
      <c r="F1625" s="2"/>
      <c r="G1625" s="2"/>
      <c r="H1625" s="2"/>
      <c r="I1625" s="5"/>
    </row>
    <row r="1626" spans="1:9" ht="17.399999999999999" x14ac:dyDescent="0.25">
      <c r="A1626" s="16"/>
      <c r="B1626" s="17"/>
      <c r="C1626" s="2"/>
      <c r="D1626" s="2"/>
      <c r="E1626" s="2"/>
      <c r="F1626" s="2"/>
      <c r="G1626" s="2"/>
      <c r="H1626" s="2"/>
      <c r="I1626" s="5"/>
    </row>
    <row r="1627" spans="1:9" ht="17.399999999999999" x14ac:dyDescent="0.25">
      <c r="A1627" s="16"/>
      <c r="B1627" s="17"/>
      <c r="C1627" s="2"/>
      <c r="D1627" s="2"/>
      <c r="E1627" s="2"/>
      <c r="F1627" s="2"/>
      <c r="G1627" s="2"/>
      <c r="H1627" s="2"/>
      <c r="I1627" s="5"/>
    </row>
    <row r="1628" spans="1:9" ht="17.399999999999999" x14ac:dyDescent="0.25">
      <c r="A1628" s="16"/>
      <c r="B1628" s="17"/>
      <c r="C1628" s="2"/>
      <c r="D1628" s="2"/>
      <c r="E1628" s="2"/>
      <c r="F1628" s="2"/>
      <c r="G1628" s="2"/>
      <c r="H1628" s="2"/>
      <c r="I1628" s="5"/>
    </row>
    <row r="1629" spans="1:9" ht="17.399999999999999" x14ac:dyDescent="0.25">
      <c r="A1629" s="16"/>
      <c r="B1629" s="17"/>
      <c r="C1629" s="2"/>
      <c r="D1629" s="2"/>
      <c r="E1629" s="2"/>
      <c r="F1629" s="2"/>
      <c r="G1629" s="2"/>
      <c r="H1629" s="2"/>
      <c r="I1629" s="5"/>
    </row>
    <row r="1630" spans="1:9" ht="17.399999999999999" x14ac:dyDescent="0.25">
      <c r="A1630" s="16"/>
      <c r="B1630" s="17"/>
      <c r="C1630" s="2"/>
      <c r="D1630" s="2"/>
      <c r="E1630" s="2"/>
      <c r="F1630" s="2"/>
      <c r="G1630" s="2"/>
      <c r="H1630" s="2"/>
      <c r="I1630" s="5"/>
    </row>
    <row r="1631" spans="1:9" ht="17.399999999999999" x14ac:dyDescent="0.25">
      <c r="A1631" s="16"/>
      <c r="B1631" s="17"/>
      <c r="C1631" s="2"/>
      <c r="D1631" s="2"/>
      <c r="E1631" s="2"/>
      <c r="F1631" s="2"/>
      <c r="G1631" s="2"/>
      <c r="H1631" s="2"/>
      <c r="I1631" s="5"/>
    </row>
    <row r="1632" spans="1:9" ht="17.399999999999999" x14ac:dyDescent="0.25">
      <c r="A1632" s="16"/>
      <c r="B1632" s="17"/>
      <c r="C1632" s="2"/>
      <c r="D1632" s="2"/>
      <c r="E1632" s="2"/>
      <c r="F1632" s="2"/>
      <c r="G1632" s="2"/>
      <c r="H1632" s="2"/>
      <c r="I1632" s="5"/>
    </row>
    <row r="1633" spans="1:9" ht="17.399999999999999" x14ac:dyDescent="0.25">
      <c r="A1633" s="16"/>
      <c r="B1633" s="17"/>
      <c r="C1633" s="2"/>
      <c r="D1633" s="2"/>
      <c r="E1633" s="2"/>
      <c r="F1633" s="2"/>
      <c r="G1633" s="2"/>
      <c r="H1633" s="2"/>
      <c r="I1633" s="5"/>
    </row>
    <row r="1634" spans="1:9" ht="17.399999999999999" x14ac:dyDescent="0.25">
      <c r="A1634" s="16"/>
      <c r="B1634" s="17"/>
      <c r="C1634" s="2"/>
      <c r="D1634" s="2"/>
      <c r="E1634" s="2"/>
      <c r="F1634" s="2"/>
      <c r="G1634" s="2"/>
      <c r="H1634" s="2"/>
      <c r="I1634" s="5"/>
    </row>
    <row r="1635" spans="1:9" ht="17.399999999999999" x14ac:dyDescent="0.25">
      <c r="A1635" s="16"/>
      <c r="B1635" s="17"/>
      <c r="C1635" s="2"/>
      <c r="D1635" s="2"/>
      <c r="E1635" s="2"/>
      <c r="F1635" s="2"/>
      <c r="G1635" s="2"/>
      <c r="H1635" s="2"/>
      <c r="I1635" s="5"/>
    </row>
    <row r="1636" spans="1:9" ht="17.399999999999999" x14ac:dyDescent="0.25">
      <c r="A1636" s="16"/>
      <c r="B1636" s="17"/>
      <c r="C1636" s="2"/>
      <c r="D1636" s="2"/>
      <c r="E1636" s="2"/>
      <c r="F1636" s="2"/>
      <c r="G1636" s="2"/>
      <c r="H1636" s="2"/>
      <c r="I1636" s="5"/>
    </row>
    <row r="1637" spans="1:9" ht="17.399999999999999" x14ac:dyDescent="0.25">
      <c r="A1637" s="16"/>
      <c r="B1637" s="17"/>
      <c r="C1637" s="2"/>
      <c r="D1637" s="2"/>
      <c r="E1637" s="2"/>
      <c r="F1637" s="2"/>
      <c r="G1637" s="2"/>
      <c r="H1637" s="2"/>
      <c r="I1637" s="5"/>
    </row>
    <row r="1638" spans="1:9" ht="17.399999999999999" x14ac:dyDescent="0.25">
      <c r="A1638" s="16"/>
      <c r="B1638" s="17"/>
      <c r="C1638" s="2"/>
      <c r="D1638" s="2"/>
      <c r="E1638" s="2"/>
      <c r="F1638" s="2"/>
      <c r="G1638" s="2"/>
      <c r="H1638" s="2"/>
      <c r="I1638" s="5"/>
    </row>
    <row r="1639" spans="1:9" ht="17.399999999999999" x14ac:dyDescent="0.25">
      <c r="A1639" s="16"/>
      <c r="B1639" s="17"/>
      <c r="C1639" s="2"/>
      <c r="D1639" s="2"/>
      <c r="E1639" s="2"/>
      <c r="F1639" s="2"/>
      <c r="G1639" s="2"/>
      <c r="H1639" s="2"/>
      <c r="I1639" s="5"/>
    </row>
    <row r="1640" spans="1:9" ht="17.399999999999999" x14ac:dyDescent="0.25">
      <c r="A1640" s="16"/>
      <c r="B1640" s="17"/>
      <c r="C1640" s="2"/>
      <c r="D1640" s="2"/>
      <c r="E1640" s="2"/>
      <c r="F1640" s="2"/>
      <c r="G1640" s="2"/>
      <c r="H1640" s="2"/>
      <c r="I1640" s="5"/>
    </row>
    <row r="1641" spans="1:9" ht="17.399999999999999" x14ac:dyDescent="0.25">
      <c r="A1641" s="16"/>
      <c r="B1641" s="17"/>
      <c r="C1641" s="2"/>
      <c r="D1641" s="2"/>
      <c r="E1641" s="2"/>
      <c r="F1641" s="2"/>
      <c r="G1641" s="2"/>
      <c r="H1641" s="2"/>
      <c r="I1641" s="5"/>
    </row>
    <row r="1642" spans="1:9" ht="17.399999999999999" x14ac:dyDescent="0.25">
      <c r="A1642" s="16"/>
      <c r="B1642" s="17"/>
      <c r="C1642" s="2"/>
      <c r="D1642" s="2"/>
      <c r="E1642" s="2"/>
      <c r="F1642" s="2"/>
      <c r="G1642" s="2"/>
      <c r="H1642" s="2"/>
      <c r="I1642" s="5"/>
    </row>
    <row r="1643" spans="1:9" ht="17.399999999999999" x14ac:dyDescent="0.25">
      <c r="A1643" s="16"/>
      <c r="B1643" s="17"/>
      <c r="C1643" s="2"/>
      <c r="D1643" s="2"/>
      <c r="E1643" s="2"/>
      <c r="F1643" s="2"/>
      <c r="G1643" s="2"/>
      <c r="H1643" s="2"/>
      <c r="I1643" s="5"/>
    </row>
    <row r="1644" spans="1:9" ht="17.399999999999999" x14ac:dyDescent="0.25">
      <c r="A1644" s="16"/>
      <c r="B1644" s="17"/>
      <c r="C1644" s="2"/>
      <c r="D1644" s="2"/>
      <c r="E1644" s="2"/>
      <c r="F1644" s="2"/>
      <c r="G1644" s="2"/>
      <c r="H1644" s="2"/>
      <c r="I1644" s="5"/>
    </row>
    <row r="1645" spans="1:9" ht="17.399999999999999" x14ac:dyDescent="0.25">
      <c r="A1645" s="16"/>
      <c r="B1645" s="17"/>
      <c r="C1645" s="2"/>
      <c r="D1645" s="2"/>
      <c r="E1645" s="2"/>
      <c r="F1645" s="2"/>
      <c r="G1645" s="2"/>
      <c r="H1645" s="2"/>
      <c r="I1645" s="5"/>
    </row>
    <row r="1646" spans="1:9" ht="17.399999999999999" x14ac:dyDescent="0.25">
      <c r="A1646" s="16"/>
      <c r="B1646" s="17"/>
      <c r="C1646" s="2"/>
      <c r="D1646" s="2"/>
      <c r="E1646" s="2"/>
      <c r="F1646" s="2"/>
      <c r="G1646" s="2"/>
      <c r="H1646" s="2"/>
      <c r="I1646" s="5"/>
    </row>
    <row r="1647" spans="1:9" ht="17.399999999999999" x14ac:dyDescent="0.25">
      <c r="A1647" s="16"/>
      <c r="B1647" s="17"/>
      <c r="C1647" s="2"/>
      <c r="D1647" s="2"/>
      <c r="E1647" s="2"/>
      <c r="F1647" s="2"/>
      <c r="G1647" s="2"/>
      <c r="H1647" s="2"/>
      <c r="I1647" s="5"/>
    </row>
    <row r="1648" spans="1:9" ht="17.399999999999999" x14ac:dyDescent="0.25">
      <c r="A1648" s="16"/>
      <c r="B1648" s="17"/>
      <c r="C1648" s="2"/>
      <c r="D1648" s="2"/>
      <c r="E1648" s="2"/>
      <c r="F1648" s="2"/>
      <c r="G1648" s="2"/>
      <c r="H1648" s="2"/>
      <c r="I1648" s="5"/>
    </row>
    <row r="1649" spans="1:9" ht="17.399999999999999" x14ac:dyDescent="0.25">
      <c r="A1649" s="16"/>
      <c r="B1649" s="17"/>
      <c r="C1649" s="2"/>
      <c r="D1649" s="2"/>
      <c r="E1649" s="2"/>
      <c r="F1649" s="2"/>
      <c r="G1649" s="2"/>
      <c r="H1649" s="2"/>
      <c r="I1649" s="5"/>
    </row>
    <row r="1650" spans="1:9" ht="17.399999999999999" x14ac:dyDescent="0.25">
      <c r="A1650" s="16"/>
      <c r="B1650" s="17"/>
      <c r="C1650" s="2"/>
      <c r="D1650" s="2"/>
      <c r="E1650" s="2"/>
      <c r="F1650" s="2"/>
      <c r="G1650" s="2"/>
      <c r="H1650" s="2"/>
      <c r="I1650" s="5"/>
    </row>
    <row r="1651" spans="1:9" ht="17.399999999999999" x14ac:dyDescent="0.25">
      <c r="A1651" s="16"/>
      <c r="B1651" s="17"/>
      <c r="C1651" s="2"/>
      <c r="D1651" s="2"/>
      <c r="E1651" s="2"/>
      <c r="F1651" s="2"/>
      <c r="G1651" s="2"/>
      <c r="H1651" s="2"/>
      <c r="I1651" s="5"/>
    </row>
    <row r="1652" spans="1:9" ht="17.399999999999999" x14ac:dyDescent="0.25">
      <c r="A1652" s="16"/>
      <c r="B1652" s="17"/>
      <c r="C1652" s="2"/>
      <c r="D1652" s="2"/>
      <c r="E1652" s="2"/>
      <c r="F1652" s="2"/>
      <c r="G1652" s="2"/>
      <c r="H1652" s="2"/>
      <c r="I1652" s="5"/>
    </row>
    <row r="1653" spans="1:9" ht="17.399999999999999" x14ac:dyDescent="0.25">
      <c r="A1653" s="16"/>
      <c r="B1653" s="17"/>
      <c r="C1653" s="2"/>
      <c r="D1653" s="2"/>
      <c r="E1653" s="2"/>
      <c r="F1653" s="2"/>
      <c r="G1653" s="2"/>
      <c r="H1653" s="2"/>
      <c r="I1653" s="5"/>
    </row>
    <row r="1654" spans="1:9" ht="17.399999999999999" x14ac:dyDescent="0.25">
      <c r="A1654" s="16"/>
      <c r="B1654" s="17"/>
      <c r="C1654" s="2"/>
      <c r="D1654" s="2"/>
      <c r="E1654" s="2"/>
      <c r="F1654" s="2"/>
      <c r="G1654" s="2"/>
      <c r="H1654" s="2"/>
      <c r="I1654" s="5"/>
    </row>
    <row r="1655" spans="1:9" ht="17.399999999999999" x14ac:dyDescent="0.25">
      <c r="A1655" s="16"/>
      <c r="B1655" s="17"/>
      <c r="C1655" s="2"/>
      <c r="D1655" s="2"/>
      <c r="E1655" s="2"/>
      <c r="F1655" s="2"/>
      <c r="G1655" s="2"/>
      <c r="H1655" s="2"/>
      <c r="I1655" s="5"/>
    </row>
    <row r="1656" spans="1:9" ht="17.399999999999999" x14ac:dyDescent="0.25">
      <c r="A1656" s="16"/>
      <c r="B1656" s="17"/>
      <c r="C1656" s="2"/>
      <c r="D1656" s="2"/>
      <c r="E1656" s="2"/>
      <c r="F1656" s="2"/>
      <c r="G1656" s="2"/>
      <c r="H1656" s="2"/>
      <c r="I1656" s="5"/>
    </row>
    <row r="1657" spans="1:9" ht="17.399999999999999" x14ac:dyDescent="0.25">
      <c r="A1657" s="16"/>
      <c r="B1657" s="17"/>
      <c r="C1657" s="2"/>
      <c r="D1657" s="2"/>
      <c r="E1657" s="2"/>
      <c r="F1657" s="2"/>
      <c r="G1657" s="2"/>
      <c r="H1657" s="2"/>
      <c r="I1657" s="5"/>
    </row>
    <row r="1658" spans="1:9" ht="17.399999999999999" x14ac:dyDescent="0.25">
      <c r="A1658" s="16"/>
      <c r="B1658" s="17"/>
      <c r="C1658" s="2"/>
      <c r="D1658" s="2"/>
      <c r="E1658" s="2"/>
      <c r="F1658" s="2"/>
      <c r="G1658" s="2"/>
      <c r="H1658" s="2"/>
      <c r="I1658" s="5"/>
    </row>
    <row r="1659" spans="1:9" ht="17.399999999999999" x14ac:dyDescent="0.25">
      <c r="A1659" s="16"/>
      <c r="B1659" s="17"/>
      <c r="C1659" s="2"/>
      <c r="D1659" s="2"/>
      <c r="E1659" s="2"/>
      <c r="F1659" s="2"/>
      <c r="G1659" s="2"/>
      <c r="H1659" s="2"/>
      <c r="I1659" s="5"/>
    </row>
    <row r="1660" spans="1:9" ht="17.399999999999999" x14ac:dyDescent="0.25">
      <c r="A1660" s="16"/>
      <c r="B1660" s="17"/>
      <c r="C1660" s="2"/>
      <c r="D1660" s="2"/>
      <c r="E1660" s="2"/>
      <c r="F1660" s="2"/>
      <c r="G1660" s="2"/>
      <c r="H1660" s="2"/>
      <c r="I1660" s="5"/>
    </row>
    <row r="1661" spans="1:9" ht="17.399999999999999" x14ac:dyDescent="0.25">
      <c r="A1661" s="16"/>
      <c r="B1661" s="17"/>
      <c r="C1661" s="2"/>
      <c r="D1661" s="2"/>
      <c r="E1661" s="2"/>
      <c r="F1661" s="2"/>
      <c r="G1661" s="2"/>
      <c r="H1661" s="2"/>
      <c r="I1661" s="5"/>
    </row>
    <row r="1662" spans="1:9" ht="17.399999999999999" x14ac:dyDescent="0.25">
      <c r="A1662" s="16"/>
      <c r="B1662" s="17"/>
      <c r="C1662" s="2"/>
      <c r="D1662" s="2"/>
      <c r="E1662" s="2"/>
      <c r="F1662" s="2"/>
      <c r="G1662" s="2"/>
      <c r="H1662" s="2"/>
      <c r="I1662" s="5"/>
    </row>
    <row r="1663" spans="1:9" ht="17.399999999999999" x14ac:dyDescent="0.25">
      <c r="A1663" s="16"/>
      <c r="B1663" s="17"/>
      <c r="C1663" s="2"/>
      <c r="D1663" s="2"/>
      <c r="E1663" s="2"/>
      <c r="F1663" s="2"/>
      <c r="G1663" s="2"/>
      <c r="H1663" s="2"/>
      <c r="I1663" s="5"/>
    </row>
    <row r="1664" spans="1:9" ht="17.399999999999999" x14ac:dyDescent="0.25">
      <c r="A1664" s="16"/>
      <c r="B1664" s="17"/>
      <c r="C1664" s="2"/>
      <c r="D1664" s="2"/>
      <c r="E1664" s="2"/>
      <c r="F1664" s="2"/>
      <c r="G1664" s="2"/>
      <c r="H1664" s="2"/>
      <c r="I1664" s="5"/>
    </row>
    <row r="1665" spans="1:9" ht="17.399999999999999" x14ac:dyDescent="0.25">
      <c r="A1665" s="16"/>
      <c r="B1665" s="17"/>
      <c r="C1665" s="2"/>
      <c r="D1665" s="2"/>
      <c r="E1665" s="2"/>
      <c r="F1665" s="2"/>
      <c r="G1665" s="2"/>
      <c r="H1665" s="2"/>
      <c r="I1665" s="5"/>
    </row>
    <row r="1666" spans="1:9" ht="17.399999999999999" x14ac:dyDescent="0.25">
      <c r="A1666" s="16"/>
      <c r="B1666" s="17"/>
      <c r="C1666" s="2"/>
      <c r="D1666" s="2"/>
      <c r="E1666" s="2"/>
      <c r="F1666" s="2"/>
      <c r="G1666" s="2"/>
      <c r="H1666" s="2"/>
      <c r="I1666" s="5"/>
    </row>
    <row r="1667" spans="1:9" ht="17.399999999999999" x14ac:dyDescent="0.25">
      <c r="A1667" s="16"/>
      <c r="B1667" s="17"/>
      <c r="C1667" s="2"/>
      <c r="D1667" s="2"/>
      <c r="E1667" s="2"/>
      <c r="F1667" s="2"/>
      <c r="G1667" s="2"/>
      <c r="H1667" s="2"/>
      <c r="I1667" s="5"/>
    </row>
    <row r="1668" spans="1:9" ht="17.399999999999999" x14ac:dyDescent="0.25">
      <c r="A1668" s="16"/>
      <c r="B1668" s="17"/>
      <c r="C1668" s="2"/>
      <c r="D1668" s="2"/>
      <c r="E1668" s="2"/>
      <c r="F1668" s="2"/>
      <c r="G1668" s="2"/>
      <c r="H1668" s="2"/>
      <c r="I1668" s="5"/>
    </row>
    <row r="1669" spans="1:9" ht="17.399999999999999" x14ac:dyDescent="0.25">
      <c r="A1669" s="16"/>
      <c r="B1669" s="17"/>
      <c r="C1669" s="2"/>
      <c r="D1669" s="2"/>
      <c r="E1669" s="2"/>
      <c r="F1669" s="2"/>
      <c r="G1669" s="2"/>
      <c r="H1669" s="2"/>
      <c r="I1669" s="5"/>
    </row>
    <row r="1670" spans="1:9" ht="17.399999999999999" x14ac:dyDescent="0.25">
      <c r="A1670" s="16"/>
      <c r="B1670" s="17"/>
      <c r="C1670" s="2"/>
      <c r="D1670" s="2"/>
      <c r="E1670" s="2"/>
      <c r="F1670" s="2"/>
      <c r="G1670" s="2"/>
      <c r="H1670" s="2"/>
      <c r="I1670" s="5"/>
    </row>
    <row r="1671" spans="1:9" ht="17.399999999999999" x14ac:dyDescent="0.25">
      <c r="A1671" s="16"/>
      <c r="B1671" s="17"/>
      <c r="C1671" s="2"/>
      <c r="D1671" s="2"/>
      <c r="E1671" s="2"/>
      <c r="F1671" s="2"/>
      <c r="G1671" s="2"/>
      <c r="H1671" s="2"/>
      <c r="I1671" s="5"/>
    </row>
    <row r="1672" spans="1:9" ht="17.399999999999999" x14ac:dyDescent="0.25">
      <c r="A1672" s="16"/>
      <c r="B1672" s="17"/>
      <c r="C1672" s="2"/>
      <c r="D1672" s="2"/>
      <c r="E1672" s="2"/>
      <c r="F1672" s="2"/>
      <c r="G1672" s="2"/>
      <c r="H1672" s="2"/>
      <c r="I1672" s="5"/>
    </row>
    <row r="1673" spans="1:9" ht="17.399999999999999" x14ac:dyDescent="0.25">
      <c r="A1673" s="16"/>
      <c r="B1673" s="17"/>
      <c r="C1673" s="2"/>
      <c r="D1673" s="2"/>
      <c r="E1673" s="2"/>
      <c r="F1673" s="2"/>
      <c r="G1673" s="2"/>
      <c r="H1673" s="2"/>
      <c r="I1673" s="5"/>
    </row>
    <row r="1674" spans="1:9" ht="17.399999999999999" x14ac:dyDescent="0.25">
      <c r="A1674" s="16"/>
      <c r="B1674" s="17"/>
      <c r="C1674" s="2"/>
      <c r="D1674" s="2"/>
      <c r="E1674" s="2"/>
      <c r="F1674" s="2"/>
      <c r="G1674" s="2"/>
      <c r="H1674" s="2"/>
      <c r="I1674" s="5"/>
    </row>
    <row r="1675" spans="1:9" ht="17.399999999999999" x14ac:dyDescent="0.25">
      <c r="A1675" s="16"/>
      <c r="B1675" s="17"/>
      <c r="C1675" s="2"/>
      <c r="D1675" s="2"/>
      <c r="E1675" s="2"/>
      <c r="F1675" s="2"/>
      <c r="G1675" s="2"/>
      <c r="H1675" s="2"/>
      <c r="I1675" s="5"/>
    </row>
    <row r="1676" spans="1:9" ht="17.399999999999999" x14ac:dyDescent="0.25">
      <c r="A1676" s="16"/>
      <c r="B1676" s="17"/>
      <c r="C1676" s="2"/>
      <c r="D1676" s="2"/>
      <c r="E1676" s="2"/>
      <c r="F1676" s="2"/>
      <c r="G1676" s="2"/>
      <c r="H1676" s="2"/>
      <c r="I1676" s="5"/>
    </row>
    <row r="1677" spans="1:9" ht="17.399999999999999" x14ac:dyDescent="0.25">
      <c r="A1677" s="16"/>
      <c r="B1677" s="17"/>
      <c r="C1677" s="2"/>
      <c r="D1677" s="2"/>
      <c r="E1677" s="2"/>
      <c r="F1677" s="2"/>
      <c r="G1677" s="2"/>
      <c r="H1677" s="2"/>
      <c r="I1677" s="5"/>
    </row>
    <row r="1678" spans="1:9" ht="17.399999999999999" x14ac:dyDescent="0.25">
      <c r="A1678" s="16"/>
      <c r="B1678" s="17"/>
      <c r="C1678" s="2"/>
      <c r="D1678" s="2"/>
      <c r="E1678" s="2"/>
      <c r="F1678" s="2"/>
      <c r="G1678" s="2"/>
      <c r="H1678" s="2"/>
      <c r="I1678" s="5"/>
    </row>
    <row r="1679" spans="1:9" ht="17.399999999999999" x14ac:dyDescent="0.25">
      <c r="A1679" s="16"/>
      <c r="B1679" s="17"/>
      <c r="C1679" s="2"/>
      <c r="D1679" s="2"/>
      <c r="E1679" s="2"/>
      <c r="F1679" s="2"/>
      <c r="G1679" s="2"/>
      <c r="H1679" s="2"/>
      <c r="I1679" s="5"/>
    </row>
    <row r="1680" spans="1:9" ht="17.399999999999999" x14ac:dyDescent="0.25">
      <c r="A1680" s="16"/>
      <c r="B1680" s="17"/>
      <c r="C1680" s="2"/>
      <c r="D1680" s="2"/>
      <c r="E1680" s="2"/>
      <c r="F1680" s="2"/>
      <c r="G1680" s="2"/>
      <c r="H1680" s="2"/>
      <c r="I1680" s="5"/>
    </row>
    <row r="1681" spans="1:9" ht="17.399999999999999" x14ac:dyDescent="0.25">
      <c r="A1681" s="16"/>
      <c r="B1681" s="17"/>
      <c r="C1681" s="2"/>
      <c r="D1681" s="2"/>
      <c r="E1681" s="2"/>
      <c r="F1681" s="2"/>
      <c r="G1681" s="2"/>
      <c r="H1681" s="2"/>
      <c r="I1681" s="5"/>
    </row>
    <row r="1682" spans="1:9" ht="17.399999999999999" x14ac:dyDescent="0.25">
      <c r="A1682" s="16"/>
      <c r="B1682" s="17"/>
      <c r="C1682" s="2"/>
      <c r="D1682" s="2"/>
      <c r="E1682" s="2"/>
      <c r="F1682" s="2"/>
      <c r="G1682" s="2"/>
      <c r="H1682" s="2"/>
      <c r="I1682" s="5"/>
    </row>
    <row r="1683" spans="1:9" ht="17.399999999999999" x14ac:dyDescent="0.25">
      <c r="A1683" s="16"/>
      <c r="B1683" s="17"/>
      <c r="C1683" s="2"/>
      <c r="D1683" s="2"/>
      <c r="E1683" s="2"/>
      <c r="F1683" s="2"/>
      <c r="G1683" s="2"/>
      <c r="H1683" s="2"/>
      <c r="I1683" s="5"/>
    </row>
    <row r="1684" spans="1:9" ht="17.399999999999999" x14ac:dyDescent="0.25">
      <c r="A1684" s="16"/>
      <c r="B1684" s="17"/>
      <c r="C1684" s="2"/>
      <c r="D1684" s="2"/>
      <c r="E1684" s="2"/>
      <c r="F1684" s="2"/>
      <c r="G1684" s="2"/>
      <c r="H1684" s="2"/>
      <c r="I1684" s="5"/>
    </row>
    <row r="1685" spans="1:9" ht="17.399999999999999" x14ac:dyDescent="0.25">
      <c r="A1685" s="16"/>
      <c r="B1685" s="17"/>
      <c r="C1685" s="2"/>
      <c r="D1685" s="2"/>
      <c r="E1685" s="2"/>
      <c r="F1685" s="2"/>
      <c r="G1685" s="2"/>
      <c r="H1685" s="2"/>
      <c r="I1685" s="5"/>
    </row>
    <row r="1686" spans="1:9" ht="17.399999999999999" x14ac:dyDescent="0.25">
      <c r="A1686" s="16"/>
      <c r="B1686" s="17"/>
      <c r="C1686" s="2"/>
      <c r="D1686" s="2"/>
      <c r="E1686" s="2"/>
      <c r="F1686" s="2"/>
      <c r="G1686" s="2"/>
      <c r="H1686" s="2"/>
      <c r="I1686" s="5"/>
    </row>
    <row r="1687" spans="1:9" ht="17.399999999999999" x14ac:dyDescent="0.25">
      <c r="A1687" s="16"/>
      <c r="B1687" s="17"/>
      <c r="C1687" s="2"/>
      <c r="D1687" s="2"/>
      <c r="E1687" s="2"/>
      <c r="F1687" s="2"/>
      <c r="G1687" s="2"/>
      <c r="H1687" s="2"/>
      <c r="I1687" s="5"/>
    </row>
    <row r="1688" spans="1:9" ht="17.399999999999999" x14ac:dyDescent="0.25">
      <c r="A1688" s="16"/>
      <c r="B1688" s="17"/>
      <c r="C1688" s="2"/>
      <c r="D1688" s="2"/>
      <c r="E1688" s="2"/>
      <c r="F1688" s="2"/>
      <c r="G1688" s="2"/>
      <c r="H1688" s="2"/>
      <c r="I1688" s="5"/>
    </row>
    <row r="1689" spans="1:9" ht="17.399999999999999" x14ac:dyDescent="0.25">
      <c r="A1689" s="16"/>
      <c r="B1689" s="17"/>
      <c r="C1689" s="2"/>
      <c r="D1689" s="2"/>
      <c r="E1689" s="2"/>
      <c r="F1689" s="2"/>
      <c r="G1689" s="2"/>
      <c r="H1689" s="2"/>
      <c r="I1689" s="5"/>
    </row>
    <row r="1690" spans="1:9" ht="17.399999999999999" x14ac:dyDescent="0.25">
      <c r="A1690" s="16"/>
      <c r="B1690" s="17"/>
      <c r="C1690" s="2"/>
      <c r="D1690" s="2"/>
      <c r="E1690" s="2"/>
      <c r="F1690" s="2"/>
      <c r="G1690" s="2"/>
      <c r="H1690" s="2"/>
      <c r="I1690" s="5"/>
    </row>
    <row r="1691" spans="1:9" ht="17.399999999999999" x14ac:dyDescent="0.25">
      <c r="A1691" s="16"/>
      <c r="B1691" s="17"/>
      <c r="C1691" s="2"/>
      <c r="D1691" s="2"/>
      <c r="E1691" s="2"/>
      <c r="F1691" s="2"/>
      <c r="G1691" s="2"/>
      <c r="H1691" s="2"/>
      <c r="I1691" s="5"/>
    </row>
    <row r="1692" spans="1:9" ht="17.399999999999999" x14ac:dyDescent="0.25">
      <c r="A1692" s="16"/>
      <c r="B1692" s="17"/>
      <c r="C1692" s="2"/>
      <c r="D1692" s="2"/>
      <c r="E1692" s="2"/>
      <c r="F1692" s="2"/>
      <c r="G1692" s="2"/>
      <c r="H1692" s="2"/>
      <c r="I1692" s="5"/>
    </row>
    <row r="1693" spans="1:9" ht="17.399999999999999" x14ac:dyDescent="0.25">
      <c r="A1693" s="16"/>
      <c r="B1693" s="17"/>
      <c r="C1693" s="2"/>
      <c r="D1693" s="2"/>
      <c r="E1693" s="2"/>
      <c r="F1693" s="2"/>
      <c r="G1693" s="2"/>
      <c r="H1693" s="2"/>
      <c r="I1693" s="5"/>
    </row>
    <row r="1694" spans="1:9" ht="17.399999999999999" x14ac:dyDescent="0.25">
      <c r="A1694" s="16"/>
      <c r="B1694" s="17"/>
      <c r="C1694" s="2"/>
      <c r="D1694" s="2"/>
      <c r="E1694" s="2"/>
      <c r="F1694" s="2"/>
      <c r="G1694" s="2"/>
      <c r="H1694" s="2"/>
      <c r="I1694" s="5"/>
    </row>
    <row r="1695" spans="1:9" ht="17.399999999999999" x14ac:dyDescent="0.25">
      <c r="A1695" s="16"/>
      <c r="B1695" s="17"/>
      <c r="C1695" s="2"/>
      <c r="D1695" s="2"/>
      <c r="E1695" s="2"/>
      <c r="F1695" s="2"/>
      <c r="G1695" s="2"/>
      <c r="H1695" s="2"/>
      <c r="I1695" s="5"/>
    </row>
    <row r="1696" spans="1:9" ht="17.399999999999999" x14ac:dyDescent="0.25">
      <c r="A1696" s="16"/>
      <c r="B1696" s="17"/>
      <c r="C1696" s="2"/>
      <c r="D1696" s="2"/>
      <c r="E1696" s="2"/>
      <c r="F1696" s="2"/>
      <c r="G1696" s="2"/>
      <c r="H1696" s="2"/>
      <c r="I1696" s="5"/>
    </row>
    <row r="1697" spans="1:9" ht="17.399999999999999" x14ac:dyDescent="0.25">
      <c r="A1697" s="16"/>
      <c r="B1697" s="17"/>
      <c r="C1697" s="2"/>
      <c r="D1697" s="2"/>
      <c r="E1697" s="2"/>
      <c r="F1697" s="2"/>
      <c r="G1697" s="2"/>
      <c r="H1697" s="2"/>
      <c r="I1697" s="5"/>
    </row>
    <row r="1698" spans="1:9" ht="17.399999999999999" x14ac:dyDescent="0.25">
      <c r="A1698" s="16"/>
      <c r="B1698" s="17"/>
      <c r="C1698" s="2"/>
      <c r="D1698" s="2"/>
      <c r="E1698" s="2"/>
      <c r="F1698" s="2"/>
      <c r="G1698" s="2"/>
      <c r="H1698" s="2"/>
      <c r="I1698" s="5"/>
    </row>
    <row r="1699" spans="1:9" ht="17.399999999999999" x14ac:dyDescent="0.25">
      <c r="A1699" s="16"/>
      <c r="B1699" s="17"/>
      <c r="C1699" s="2"/>
      <c r="D1699" s="2"/>
      <c r="E1699" s="2"/>
      <c r="F1699" s="2"/>
      <c r="G1699" s="2"/>
      <c r="H1699" s="2"/>
      <c r="I1699" s="5"/>
    </row>
    <row r="1700" spans="1:9" ht="17.399999999999999" x14ac:dyDescent="0.25">
      <c r="A1700" s="16"/>
      <c r="B1700" s="17"/>
      <c r="C1700" s="2"/>
      <c r="D1700" s="2"/>
      <c r="E1700" s="2"/>
      <c r="F1700" s="2"/>
      <c r="G1700" s="2"/>
      <c r="H1700" s="2"/>
      <c r="I1700" s="5"/>
    </row>
    <row r="1701" spans="1:9" ht="17.399999999999999" x14ac:dyDescent="0.25">
      <c r="A1701" s="16"/>
      <c r="B1701" s="17"/>
      <c r="C1701" s="2"/>
      <c r="D1701" s="2"/>
      <c r="E1701" s="2"/>
      <c r="F1701" s="2"/>
      <c r="G1701" s="2"/>
      <c r="H1701" s="2"/>
      <c r="I1701" s="5"/>
    </row>
    <row r="1702" spans="1:9" ht="17.399999999999999" x14ac:dyDescent="0.25">
      <c r="A1702" s="16"/>
      <c r="B1702" s="17"/>
      <c r="C1702" s="2"/>
      <c r="D1702" s="2"/>
      <c r="E1702" s="2"/>
      <c r="F1702" s="2"/>
      <c r="G1702" s="2"/>
      <c r="H1702" s="2"/>
      <c r="I1702" s="5"/>
    </row>
    <row r="1703" spans="1:9" ht="17.399999999999999" x14ac:dyDescent="0.25">
      <c r="A1703" s="16"/>
      <c r="B1703" s="17"/>
      <c r="C1703" s="2"/>
      <c r="D1703" s="2"/>
      <c r="E1703" s="2"/>
      <c r="F1703" s="2"/>
      <c r="G1703" s="2"/>
      <c r="H1703" s="2"/>
      <c r="I1703" s="5"/>
    </row>
    <row r="1704" spans="1:9" ht="17.399999999999999" x14ac:dyDescent="0.25">
      <c r="A1704" s="16"/>
      <c r="B1704" s="17"/>
      <c r="C1704" s="2"/>
      <c r="D1704" s="2"/>
      <c r="E1704" s="2"/>
      <c r="F1704" s="2"/>
      <c r="G1704" s="2"/>
      <c r="H1704" s="2"/>
      <c r="I1704" s="5"/>
    </row>
    <row r="1705" spans="1:9" ht="17.399999999999999" x14ac:dyDescent="0.25">
      <c r="A1705" s="16"/>
      <c r="B1705" s="17"/>
      <c r="C1705" s="2"/>
      <c r="D1705" s="2"/>
      <c r="E1705" s="2"/>
      <c r="F1705" s="2"/>
      <c r="G1705" s="2"/>
      <c r="H1705" s="2"/>
      <c r="I1705" s="5"/>
    </row>
    <row r="1706" spans="1:9" ht="17.399999999999999" x14ac:dyDescent="0.25">
      <c r="A1706" s="16"/>
      <c r="B1706" s="17"/>
      <c r="C1706" s="2"/>
      <c r="D1706" s="2"/>
      <c r="E1706" s="2"/>
      <c r="F1706" s="2"/>
      <c r="G1706" s="2"/>
      <c r="H1706" s="2"/>
      <c r="I1706" s="5"/>
    </row>
    <row r="1707" spans="1:9" ht="17.399999999999999" x14ac:dyDescent="0.25">
      <c r="A1707" s="16"/>
      <c r="B1707" s="17"/>
      <c r="C1707" s="2"/>
      <c r="D1707" s="2"/>
      <c r="E1707" s="2"/>
      <c r="F1707" s="2"/>
      <c r="G1707" s="2"/>
      <c r="H1707" s="2"/>
      <c r="I1707" s="5"/>
    </row>
    <row r="1708" spans="1:9" ht="17.399999999999999" x14ac:dyDescent="0.25">
      <c r="A1708" s="16"/>
      <c r="B1708" s="17"/>
      <c r="C1708" s="2"/>
      <c r="D1708" s="2"/>
      <c r="E1708" s="2"/>
      <c r="F1708" s="2"/>
      <c r="G1708" s="2"/>
      <c r="H1708" s="2"/>
      <c r="I1708" s="5"/>
    </row>
    <row r="1709" spans="1:9" ht="17.399999999999999" x14ac:dyDescent="0.25">
      <c r="A1709" s="16"/>
      <c r="B1709" s="17"/>
      <c r="C1709" s="2"/>
      <c r="D1709" s="2"/>
      <c r="E1709" s="2"/>
      <c r="F1709" s="2"/>
      <c r="G1709" s="2"/>
      <c r="H1709" s="2"/>
      <c r="I1709" s="5"/>
    </row>
    <row r="1710" spans="1:9" ht="17.399999999999999" x14ac:dyDescent="0.25">
      <c r="A1710" s="16"/>
      <c r="B1710" s="17"/>
      <c r="C1710" s="2"/>
      <c r="D1710" s="2"/>
      <c r="E1710" s="2"/>
      <c r="F1710" s="2"/>
      <c r="G1710" s="2"/>
      <c r="H1710" s="2"/>
      <c r="I1710" s="5"/>
    </row>
    <row r="1711" spans="1:9" ht="17.399999999999999" x14ac:dyDescent="0.25">
      <c r="A1711" s="16"/>
      <c r="B1711" s="17"/>
      <c r="C1711" s="2"/>
      <c r="D1711" s="2"/>
      <c r="E1711" s="2"/>
      <c r="F1711" s="2"/>
      <c r="G1711" s="2"/>
      <c r="H1711" s="2"/>
      <c r="I1711" s="5"/>
    </row>
    <row r="1712" spans="1:9" ht="17.399999999999999" x14ac:dyDescent="0.25">
      <c r="A1712" s="16"/>
      <c r="B1712" s="17"/>
      <c r="C1712" s="2"/>
      <c r="D1712" s="2"/>
      <c r="E1712" s="2"/>
      <c r="F1712" s="2"/>
      <c r="G1712" s="2"/>
      <c r="H1712" s="2"/>
      <c r="I1712" s="5"/>
    </row>
    <row r="1713" spans="1:9" ht="17.399999999999999" x14ac:dyDescent="0.25">
      <c r="A1713" s="16"/>
      <c r="B1713" s="17"/>
      <c r="C1713" s="2"/>
      <c r="D1713" s="2"/>
      <c r="E1713" s="2"/>
      <c r="F1713" s="2"/>
      <c r="G1713" s="2"/>
      <c r="H1713" s="2"/>
      <c r="I1713" s="5"/>
    </row>
    <row r="1714" spans="1:9" ht="17.399999999999999" x14ac:dyDescent="0.25">
      <c r="A1714" s="16"/>
      <c r="B1714" s="17"/>
      <c r="C1714" s="2"/>
      <c r="D1714" s="2"/>
      <c r="E1714" s="2"/>
      <c r="F1714" s="2"/>
      <c r="G1714" s="2"/>
      <c r="H1714" s="2"/>
      <c r="I1714" s="5"/>
    </row>
    <row r="1715" spans="1:9" ht="17.399999999999999" x14ac:dyDescent="0.25">
      <c r="A1715" s="16"/>
      <c r="B1715" s="17"/>
      <c r="C1715" s="2"/>
      <c r="D1715" s="2"/>
      <c r="E1715" s="2"/>
      <c r="F1715" s="2"/>
      <c r="G1715" s="2"/>
      <c r="H1715" s="2"/>
      <c r="I1715" s="5"/>
    </row>
    <row r="1716" spans="1:9" ht="17.399999999999999" x14ac:dyDescent="0.25">
      <c r="A1716" s="16"/>
      <c r="B1716" s="17"/>
      <c r="C1716" s="2"/>
      <c r="D1716" s="2"/>
      <c r="E1716" s="2"/>
      <c r="F1716" s="2"/>
      <c r="G1716" s="2"/>
      <c r="H1716" s="2"/>
      <c r="I1716" s="5"/>
    </row>
    <row r="1717" spans="1:9" ht="17.399999999999999" x14ac:dyDescent="0.25">
      <c r="A1717" s="16"/>
      <c r="B1717" s="17"/>
      <c r="C1717" s="2"/>
      <c r="D1717" s="2"/>
      <c r="E1717" s="2"/>
      <c r="F1717" s="2"/>
      <c r="G1717" s="2"/>
      <c r="H1717" s="2"/>
      <c r="I1717" s="5"/>
    </row>
    <row r="1718" spans="1:9" ht="17.399999999999999" x14ac:dyDescent="0.25">
      <c r="A1718" s="16"/>
      <c r="B1718" s="17"/>
      <c r="C1718" s="2"/>
      <c r="D1718" s="2"/>
      <c r="E1718" s="2"/>
      <c r="F1718" s="2"/>
      <c r="G1718" s="2"/>
      <c r="H1718" s="2"/>
      <c r="I1718" s="5"/>
    </row>
    <row r="1719" spans="1:9" ht="17.399999999999999" x14ac:dyDescent="0.25">
      <c r="A1719" s="16"/>
      <c r="B1719" s="17"/>
      <c r="C1719" s="2"/>
      <c r="D1719" s="2"/>
      <c r="E1719" s="2"/>
      <c r="F1719" s="2"/>
      <c r="G1719" s="2"/>
      <c r="H1719" s="2"/>
      <c r="I1719" s="5"/>
    </row>
    <row r="1720" spans="1:9" ht="17.399999999999999" x14ac:dyDescent="0.25">
      <c r="A1720" s="16"/>
      <c r="B1720" s="17"/>
      <c r="C1720" s="2"/>
      <c r="D1720" s="2"/>
      <c r="E1720" s="2"/>
      <c r="F1720" s="2"/>
      <c r="G1720" s="2"/>
      <c r="H1720" s="2"/>
      <c r="I1720" s="5"/>
    </row>
    <row r="1721" spans="1:9" ht="17.399999999999999" x14ac:dyDescent="0.25">
      <c r="A1721" s="16"/>
      <c r="B1721" s="17"/>
      <c r="C1721" s="2"/>
      <c r="D1721" s="2"/>
      <c r="E1721" s="2"/>
      <c r="F1721" s="2"/>
      <c r="G1721" s="2"/>
      <c r="H1721" s="2"/>
      <c r="I1721" s="5"/>
    </row>
    <row r="1722" spans="1:9" ht="17.399999999999999" x14ac:dyDescent="0.25">
      <c r="A1722" s="16"/>
      <c r="B1722" s="17"/>
      <c r="C1722" s="2"/>
      <c r="D1722" s="2"/>
      <c r="E1722" s="2"/>
      <c r="F1722" s="2"/>
      <c r="G1722" s="2"/>
      <c r="H1722" s="2"/>
      <c r="I1722" s="5"/>
    </row>
    <row r="1723" spans="1:9" ht="17.399999999999999" x14ac:dyDescent="0.25">
      <c r="A1723" s="16"/>
      <c r="B1723" s="17"/>
      <c r="C1723" s="2"/>
      <c r="D1723" s="2"/>
      <c r="E1723" s="2"/>
      <c r="F1723" s="2"/>
      <c r="G1723" s="2"/>
      <c r="H1723" s="2"/>
      <c r="I1723" s="5"/>
    </row>
    <row r="1724" spans="1:9" ht="17.399999999999999" x14ac:dyDescent="0.25">
      <c r="A1724" s="16"/>
      <c r="B1724" s="17"/>
      <c r="C1724" s="2"/>
      <c r="D1724" s="2"/>
      <c r="E1724" s="2"/>
      <c r="F1724" s="2"/>
      <c r="G1724" s="2"/>
      <c r="H1724" s="2"/>
      <c r="I1724" s="5"/>
    </row>
    <row r="1725" spans="1:9" ht="17.399999999999999" x14ac:dyDescent="0.25">
      <c r="A1725" s="16"/>
      <c r="B1725" s="17"/>
      <c r="C1725" s="2"/>
      <c r="D1725" s="2"/>
      <c r="E1725" s="2"/>
      <c r="F1725" s="2"/>
      <c r="G1725" s="2"/>
      <c r="H1725" s="2"/>
      <c r="I1725" s="5"/>
    </row>
    <row r="1726" spans="1:9" ht="17.399999999999999" x14ac:dyDescent="0.25">
      <c r="A1726" s="16"/>
      <c r="B1726" s="17"/>
      <c r="C1726" s="2"/>
      <c r="D1726" s="2"/>
      <c r="E1726" s="2"/>
      <c r="F1726" s="2"/>
      <c r="G1726" s="2"/>
      <c r="H1726" s="2"/>
      <c r="I1726" s="5"/>
    </row>
    <row r="1727" spans="1:9" ht="17.399999999999999" x14ac:dyDescent="0.25">
      <c r="A1727" s="16"/>
      <c r="B1727" s="17"/>
      <c r="C1727" s="2"/>
      <c r="D1727" s="2"/>
      <c r="E1727" s="2"/>
      <c r="F1727" s="2"/>
      <c r="G1727" s="2"/>
      <c r="H1727" s="2"/>
      <c r="I1727" s="5"/>
    </row>
    <row r="1728" spans="1:9" ht="17.399999999999999" x14ac:dyDescent="0.25">
      <c r="A1728" s="16"/>
      <c r="B1728" s="17"/>
      <c r="C1728" s="2"/>
      <c r="D1728" s="2"/>
      <c r="E1728" s="2"/>
      <c r="F1728" s="2"/>
      <c r="G1728" s="2"/>
      <c r="H1728" s="2"/>
      <c r="I1728" s="5"/>
    </row>
    <row r="1729" spans="1:9" ht="17.399999999999999" x14ac:dyDescent="0.25">
      <c r="A1729" s="16"/>
      <c r="B1729" s="17"/>
      <c r="C1729" s="2"/>
      <c r="D1729" s="2"/>
      <c r="E1729" s="2"/>
      <c r="F1729" s="2"/>
      <c r="G1729" s="2"/>
      <c r="H1729" s="2"/>
      <c r="I1729" s="5"/>
    </row>
    <row r="1730" spans="1:9" ht="17.399999999999999" x14ac:dyDescent="0.25">
      <c r="A1730" s="16"/>
      <c r="B1730" s="17"/>
      <c r="C1730" s="2"/>
      <c r="D1730" s="2"/>
      <c r="E1730" s="2"/>
      <c r="F1730" s="2"/>
      <c r="G1730" s="2"/>
      <c r="H1730" s="2"/>
      <c r="I1730" s="5"/>
    </row>
    <row r="1731" spans="1:9" ht="17.399999999999999" x14ac:dyDescent="0.25">
      <c r="A1731" s="16"/>
      <c r="B1731" s="17"/>
      <c r="C1731" s="2"/>
      <c r="D1731" s="2"/>
      <c r="E1731" s="2"/>
      <c r="F1731" s="2"/>
      <c r="G1731" s="2"/>
      <c r="H1731" s="2"/>
      <c r="I1731" s="5"/>
    </row>
    <row r="1732" spans="1:9" ht="17.399999999999999" x14ac:dyDescent="0.25">
      <c r="A1732" s="16"/>
      <c r="B1732" s="17"/>
      <c r="C1732" s="2"/>
      <c r="D1732" s="2"/>
      <c r="E1732" s="2"/>
      <c r="F1732" s="2"/>
      <c r="G1732" s="2"/>
      <c r="H1732" s="2"/>
      <c r="I1732" s="5"/>
    </row>
    <row r="1733" spans="1:9" ht="17.399999999999999" x14ac:dyDescent="0.25">
      <c r="A1733" s="16"/>
      <c r="B1733" s="17"/>
      <c r="C1733" s="2"/>
      <c r="D1733" s="2"/>
      <c r="E1733" s="2"/>
      <c r="F1733" s="2"/>
      <c r="G1733" s="2"/>
      <c r="H1733" s="2"/>
      <c r="I1733" s="5"/>
    </row>
    <row r="1734" spans="1:9" ht="17.399999999999999" x14ac:dyDescent="0.25">
      <c r="A1734" s="16"/>
      <c r="B1734" s="17"/>
      <c r="C1734" s="2"/>
      <c r="D1734" s="2"/>
      <c r="E1734" s="2"/>
      <c r="F1734" s="2"/>
      <c r="G1734" s="2"/>
      <c r="H1734" s="2"/>
      <c r="I1734" s="5"/>
    </row>
    <row r="1735" spans="1:9" ht="17.399999999999999" x14ac:dyDescent="0.25">
      <c r="A1735" s="16"/>
      <c r="B1735" s="17"/>
      <c r="C1735" s="2"/>
      <c r="D1735" s="2"/>
      <c r="E1735" s="2"/>
      <c r="F1735" s="2"/>
      <c r="G1735" s="2"/>
      <c r="H1735" s="2"/>
      <c r="I1735" s="5"/>
    </row>
    <row r="1736" spans="1:9" ht="17.399999999999999" x14ac:dyDescent="0.25">
      <c r="A1736" s="16"/>
      <c r="B1736" s="17"/>
      <c r="C1736" s="2"/>
      <c r="D1736" s="2"/>
      <c r="E1736" s="2"/>
      <c r="F1736" s="2"/>
      <c r="G1736" s="2"/>
      <c r="H1736" s="2"/>
      <c r="I1736" s="5"/>
    </row>
    <row r="1737" spans="1:9" ht="17.399999999999999" x14ac:dyDescent="0.25">
      <c r="A1737" s="16"/>
      <c r="B1737" s="17"/>
      <c r="C1737" s="2"/>
      <c r="D1737" s="2"/>
      <c r="E1737" s="2"/>
      <c r="F1737" s="2"/>
      <c r="G1737" s="2"/>
      <c r="H1737" s="2"/>
      <c r="I1737" s="5"/>
    </row>
    <row r="1738" spans="1:9" ht="17.399999999999999" x14ac:dyDescent="0.25">
      <c r="A1738" s="16"/>
      <c r="B1738" s="17"/>
      <c r="C1738" s="2"/>
      <c r="D1738" s="2"/>
      <c r="E1738" s="2"/>
      <c r="F1738" s="2"/>
      <c r="G1738" s="2"/>
      <c r="H1738" s="2"/>
      <c r="I1738" s="5"/>
    </row>
    <row r="1739" spans="1:9" ht="17.399999999999999" x14ac:dyDescent="0.25">
      <c r="A1739" s="16"/>
      <c r="B1739" s="17"/>
      <c r="C1739" s="2"/>
      <c r="D1739" s="2"/>
      <c r="E1739" s="2"/>
      <c r="F1739" s="2"/>
      <c r="G1739" s="2"/>
      <c r="H1739" s="2"/>
      <c r="I1739" s="5"/>
    </row>
    <row r="1740" spans="1:9" ht="17.399999999999999" x14ac:dyDescent="0.25">
      <c r="A1740" s="16"/>
      <c r="B1740" s="17"/>
      <c r="C1740" s="2"/>
      <c r="D1740" s="2"/>
      <c r="E1740" s="2"/>
      <c r="F1740" s="2"/>
      <c r="G1740" s="2"/>
      <c r="H1740" s="2"/>
      <c r="I1740" s="5"/>
    </row>
    <row r="1741" spans="1:9" ht="17.399999999999999" x14ac:dyDescent="0.25">
      <c r="A1741" s="16"/>
      <c r="B1741" s="17"/>
      <c r="C1741" s="2"/>
      <c r="D1741" s="2"/>
      <c r="E1741" s="2"/>
      <c r="F1741" s="2"/>
      <c r="G1741" s="2"/>
      <c r="H1741" s="2"/>
      <c r="I1741" s="5"/>
    </row>
    <row r="1742" spans="1:9" ht="17.399999999999999" x14ac:dyDescent="0.25">
      <c r="A1742" s="16"/>
      <c r="B1742" s="17"/>
      <c r="C1742" s="2"/>
      <c r="D1742" s="2"/>
      <c r="E1742" s="2"/>
      <c r="F1742" s="2"/>
      <c r="G1742" s="2"/>
      <c r="H1742" s="2"/>
      <c r="I1742" s="5"/>
    </row>
    <row r="1743" spans="1:9" ht="17.399999999999999" x14ac:dyDescent="0.25">
      <c r="A1743" s="16"/>
      <c r="B1743" s="17"/>
      <c r="C1743" s="2"/>
      <c r="D1743" s="2"/>
      <c r="E1743" s="2"/>
      <c r="F1743" s="2"/>
      <c r="G1743" s="2"/>
      <c r="H1743" s="2"/>
      <c r="I1743" s="5"/>
    </row>
    <row r="1744" spans="1:9" ht="17.399999999999999" x14ac:dyDescent="0.25">
      <c r="A1744" s="16"/>
      <c r="B1744" s="17"/>
      <c r="C1744" s="2"/>
      <c r="D1744" s="2"/>
      <c r="E1744" s="2"/>
      <c r="F1744" s="2"/>
      <c r="G1744" s="2"/>
      <c r="H1744" s="2"/>
      <c r="I1744" s="5"/>
    </row>
    <row r="1745" spans="1:9" ht="17.399999999999999" x14ac:dyDescent="0.25">
      <c r="A1745" s="16"/>
      <c r="B1745" s="17"/>
      <c r="C1745" s="2"/>
      <c r="D1745" s="2"/>
      <c r="E1745" s="2"/>
      <c r="F1745" s="2"/>
      <c r="G1745" s="2"/>
      <c r="H1745" s="2"/>
      <c r="I1745" s="5"/>
    </row>
    <row r="1746" spans="1:9" ht="17.399999999999999" x14ac:dyDescent="0.25">
      <c r="A1746" s="16"/>
      <c r="B1746" s="17"/>
      <c r="C1746" s="2"/>
      <c r="D1746" s="2"/>
      <c r="E1746" s="2"/>
      <c r="F1746" s="2"/>
      <c r="G1746" s="2"/>
      <c r="H1746" s="2"/>
      <c r="I1746" s="5"/>
    </row>
    <row r="1747" spans="1:9" ht="17.399999999999999" x14ac:dyDescent="0.25">
      <c r="A1747" s="16"/>
      <c r="B1747" s="17"/>
      <c r="C1747" s="2"/>
      <c r="D1747" s="2"/>
      <c r="E1747" s="2"/>
      <c r="F1747" s="2"/>
      <c r="G1747" s="2"/>
      <c r="H1747" s="2"/>
      <c r="I1747" s="5"/>
    </row>
    <row r="1748" spans="1:9" ht="17.399999999999999" x14ac:dyDescent="0.25">
      <c r="A1748" s="16"/>
      <c r="B1748" s="17"/>
      <c r="C1748" s="2"/>
      <c r="D1748" s="2"/>
      <c r="E1748" s="2"/>
      <c r="F1748" s="2"/>
      <c r="G1748" s="2"/>
      <c r="H1748" s="2"/>
      <c r="I1748" s="5"/>
    </row>
    <row r="1749" spans="1:9" ht="17.399999999999999" x14ac:dyDescent="0.25">
      <c r="A1749" s="16"/>
      <c r="B1749" s="17"/>
      <c r="C1749" s="2"/>
      <c r="D1749" s="2"/>
      <c r="E1749" s="2"/>
      <c r="F1749" s="2"/>
      <c r="G1749" s="2"/>
      <c r="H1749" s="2"/>
      <c r="I1749" s="5"/>
    </row>
    <row r="1750" spans="1:9" ht="17.399999999999999" x14ac:dyDescent="0.25">
      <c r="A1750" s="16"/>
      <c r="B1750" s="17"/>
      <c r="C1750" s="2"/>
      <c r="D1750" s="2"/>
      <c r="E1750" s="2"/>
      <c r="F1750" s="2"/>
      <c r="G1750" s="2"/>
      <c r="H1750" s="2"/>
      <c r="I1750" s="5"/>
    </row>
    <row r="1751" spans="1:9" ht="17.399999999999999" x14ac:dyDescent="0.25">
      <c r="A1751" s="16"/>
      <c r="B1751" s="17"/>
      <c r="C1751" s="2"/>
      <c r="D1751" s="2"/>
      <c r="E1751" s="2"/>
      <c r="F1751" s="2"/>
      <c r="G1751" s="2"/>
      <c r="H1751" s="2"/>
      <c r="I1751" s="5"/>
    </row>
    <row r="1752" spans="1:9" ht="17.399999999999999" x14ac:dyDescent="0.25">
      <c r="A1752" s="16"/>
      <c r="B1752" s="17"/>
      <c r="C1752" s="2"/>
      <c r="D1752" s="2"/>
      <c r="E1752" s="2"/>
      <c r="F1752" s="2"/>
      <c r="G1752" s="2"/>
      <c r="H1752" s="2"/>
      <c r="I1752" s="5"/>
    </row>
    <row r="1753" spans="1:9" ht="17.399999999999999" x14ac:dyDescent="0.25">
      <c r="A1753" s="16"/>
      <c r="B1753" s="17"/>
      <c r="C1753" s="2"/>
      <c r="D1753" s="2"/>
      <c r="E1753" s="2"/>
      <c r="F1753" s="2"/>
      <c r="G1753" s="2"/>
      <c r="H1753" s="2"/>
      <c r="I1753" s="5"/>
    </row>
    <row r="1754" spans="1:9" ht="17.399999999999999" x14ac:dyDescent="0.25">
      <c r="A1754" s="16"/>
      <c r="B1754" s="17"/>
      <c r="C1754" s="2"/>
      <c r="D1754" s="2"/>
      <c r="E1754" s="2"/>
      <c r="F1754" s="2"/>
      <c r="G1754" s="2"/>
      <c r="H1754" s="2"/>
      <c r="I1754" s="5"/>
    </row>
    <row r="1755" spans="1:9" ht="17.399999999999999" x14ac:dyDescent="0.25">
      <c r="A1755" s="16"/>
      <c r="B1755" s="17"/>
      <c r="C1755" s="2"/>
      <c r="D1755" s="2"/>
      <c r="E1755" s="2"/>
      <c r="F1755" s="2"/>
      <c r="G1755" s="2"/>
      <c r="H1755" s="2"/>
      <c r="I1755" s="5"/>
    </row>
    <row r="1756" spans="1:9" ht="17.399999999999999" x14ac:dyDescent="0.25">
      <c r="A1756" s="16"/>
      <c r="B1756" s="17"/>
      <c r="C1756" s="2"/>
      <c r="D1756" s="2"/>
      <c r="E1756" s="2"/>
      <c r="F1756" s="2"/>
      <c r="G1756" s="2"/>
      <c r="H1756" s="2"/>
      <c r="I1756" s="5"/>
    </row>
    <row r="1757" spans="1:9" ht="17.399999999999999" x14ac:dyDescent="0.25">
      <c r="A1757" s="16"/>
      <c r="B1757" s="17"/>
      <c r="C1757" s="2"/>
      <c r="D1757" s="2"/>
      <c r="E1757" s="2"/>
      <c r="F1757" s="2"/>
      <c r="G1757" s="2"/>
      <c r="H1757" s="2"/>
      <c r="I1757" s="5"/>
    </row>
    <row r="1758" spans="1:9" ht="17.399999999999999" x14ac:dyDescent="0.25">
      <c r="A1758" s="16"/>
      <c r="B1758" s="17"/>
      <c r="C1758" s="2"/>
      <c r="D1758" s="2"/>
      <c r="E1758" s="2"/>
      <c r="F1758" s="2"/>
      <c r="G1758" s="2"/>
      <c r="H1758" s="2"/>
      <c r="I1758" s="5"/>
    </row>
    <row r="1759" spans="1:9" ht="17.399999999999999" x14ac:dyDescent="0.25">
      <c r="A1759" s="16"/>
      <c r="B1759" s="17"/>
      <c r="C1759" s="2"/>
      <c r="D1759" s="2"/>
      <c r="E1759" s="2"/>
      <c r="F1759" s="2"/>
      <c r="G1759" s="2"/>
      <c r="H1759" s="2"/>
      <c r="I1759" s="5"/>
    </row>
    <row r="1760" spans="1:9" ht="17.399999999999999" x14ac:dyDescent="0.25">
      <c r="A1760" s="16"/>
      <c r="B1760" s="17"/>
      <c r="C1760" s="2"/>
      <c r="D1760" s="2"/>
      <c r="E1760" s="2"/>
      <c r="F1760" s="2"/>
      <c r="G1760" s="2"/>
      <c r="H1760" s="2"/>
      <c r="I1760" s="5"/>
    </row>
    <row r="1761" spans="1:9" ht="17.399999999999999" x14ac:dyDescent="0.25">
      <c r="A1761" s="16"/>
      <c r="B1761" s="17"/>
      <c r="C1761" s="2"/>
      <c r="D1761" s="2"/>
      <c r="E1761" s="2"/>
      <c r="F1761" s="2"/>
      <c r="G1761" s="2"/>
      <c r="H1761" s="2"/>
      <c r="I1761" s="5"/>
    </row>
    <row r="1762" spans="1:9" ht="17.399999999999999" x14ac:dyDescent="0.25">
      <c r="A1762" s="16"/>
      <c r="B1762" s="17"/>
      <c r="C1762" s="2"/>
      <c r="D1762" s="2"/>
      <c r="E1762" s="2"/>
      <c r="F1762" s="2"/>
      <c r="G1762" s="2"/>
      <c r="H1762" s="2"/>
      <c r="I1762" s="5"/>
    </row>
    <row r="1763" spans="1:9" ht="17.399999999999999" x14ac:dyDescent="0.25">
      <c r="A1763" s="16"/>
      <c r="B1763" s="17"/>
      <c r="C1763" s="2"/>
      <c r="D1763" s="2"/>
      <c r="E1763" s="2"/>
      <c r="F1763" s="2"/>
      <c r="G1763" s="2"/>
      <c r="H1763" s="2"/>
      <c r="I1763" s="5"/>
    </row>
    <row r="1764" spans="1:9" ht="17.399999999999999" x14ac:dyDescent="0.25">
      <c r="A1764" s="16"/>
      <c r="B1764" s="17"/>
      <c r="C1764" s="2"/>
      <c r="D1764" s="2"/>
      <c r="E1764" s="2"/>
      <c r="F1764" s="2"/>
      <c r="G1764" s="2"/>
      <c r="H1764" s="2"/>
      <c r="I1764" s="5"/>
    </row>
    <row r="1765" spans="1:9" ht="17.399999999999999" x14ac:dyDescent="0.25">
      <c r="A1765" s="16"/>
      <c r="B1765" s="17"/>
      <c r="C1765" s="2"/>
      <c r="D1765" s="2"/>
      <c r="E1765" s="2"/>
      <c r="F1765" s="2"/>
      <c r="G1765" s="2"/>
      <c r="H1765" s="2"/>
      <c r="I1765" s="5"/>
    </row>
    <row r="1766" spans="1:9" ht="17.399999999999999" x14ac:dyDescent="0.25">
      <c r="A1766" s="16"/>
      <c r="B1766" s="17"/>
      <c r="C1766" s="2"/>
      <c r="D1766" s="2"/>
      <c r="E1766" s="2"/>
      <c r="F1766" s="2"/>
      <c r="G1766" s="2"/>
      <c r="H1766" s="2"/>
      <c r="I1766" s="5"/>
    </row>
    <row r="1767" spans="1:9" ht="17.399999999999999" x14ac:dyDescent="0.25">
      <c r="A1767" s="16"/>
      <c r="B1767" s="17"/>
      <c r="C1767" s="2"/>
      <c r="D1767" s="2"/>
      <c r="E1767" s="2"/>
      <c r="F1767" s="2"/>
      <c r="G1767" s="2"/>
      <c r="H1767" s="2"/>
      <c r="I1767" s="5"/>
    </row>
    <row r="1768" spans="1:9" ht="17.399999999999999" x14ac:dyDescent="0.25">
      <c r="A1768" s="16"/>
      <c r="B1768" s="17"/>
      <c r="C1768" s="2"/>
      <c r="D1768" s="2"/>
      <c r="E1768" s="2"/>
      <c r="F1768" s="2"/>
      <c r="G1768" s="2"/>
      <c r="H1768" s="2"/>
      <c r="I1768" s="5"/>
    </row>
    <row r="1769" spans="1:9" ht="17.399999999999999" x14ac:dyDescent="0.25">
      <c r="A1769" s="16"/>
      <c r="B1769" s="17"/>
      <c r="C1769" s="2"/>
      <c r="D1769" s="2"/>
      <c r="E1769" s="2"/>
      <c r="F1769" s="2"/>
      <c r="G1769" s="2"/>
      <c r="H1769" s="2"/>
      <c r="I1769" s="5"/>
    </row>
    <row r="1770" spans="1:9" ht="17.399999999999999" x14ac:dyDescent="0.25">
      <c r="A1770" s="16"/>
      <c r="B1770" s="17"/>
      <c r="C1770" s="2"/>
      <c r="D1770" s="2"/>
      <c r="E1770" s="2"/>
      <c r="F1770" s="2"/>
      <c r="G1770" s="2"/>
      <c r="H1770" s="2"/>
      <c r="I1770" s="5"/>
    </row>
    <row r="1771" spans="1:9" ht="17.399999999999999" x14ac:dyDescent="0.25">
      <c r="A1771" s="16"/>
      <c r="B1771" s="17"/>
      <c r="C1771" s="2"/>
      <c r="D1771" s="2"/>
      <c r="E1771" s="2"/>
      <c r="F1771" s="2"/>
      <c r="G1771" s="2"/>
      <c r="H1771" s="2"/>
      <c r="I1771" s="5"/>
    </row>
    <row r="1772" spans="1:9" ht="17.399999999999999" x14ac:dyDescent="0.25">
      <c r="A1772" s="16"/>
      <c r="B1772" s="17"/>
      <c r="C1772" s="2"/>
      <c r="D1772" s="2"/>
      <c r="E1772" s="2"/>
      <c r="F1772" s="2"/>
      <c r="G1772" s="2"/>
      <c r="H1772" s="2"/>
      <c r="I1772" s="5"/>
    </row>
    <row r="1773" spans="1:9" ht="17.399999999999999" x14ac:dyDescent="0.25">
      <c r="A1773" s="16"/>
      <c r="B1773" s="17"/>
      <c r="C1773" s="2"/>
      <c r="D1773" s="2"/>
      <c r="E1773" s="2"/>
      <c r="F1773" s="2"/>
      <c r="G1773" s="2"/>
      <c r="H1773" s="2"/>
      <c r="I1773" s="5"/>
    </row>
    <row r="1774" spans="1:9" ht="17.399999999999999" x14ac:dyDescent="0.25">
      <c r="A1774" s="16"/>
      <c r="B1774" s="17"/>
      <c r="C1774" s="2"/>
      <c r="D1774" s="2"/>
      <c r="E1774" s="2"/>
      <c r="F1774" s="2"/>
      <c r="G1774" s="2"/>
      <c r="H1774" s="2"/>
      <c r="I1774" s="5"/>
    </row>
    <row r="1775" spans="1:9" ht="17.399999999999999" x14ac:dyDescent="0.25">
      <c r="A1775" s="16"/>
      <c r="B1775" s="17"/>
      <c r="C1775" s="2"/>
      <c r="D1775" s="2"/>
      <c r="E1775" s="2"/>
      <c r="F1775" s="2"/>
      <c r="G1775" s="2"/>
      <c r="H1775" s="2"/>
      <c r="I1775" s="5"/>
    </row>
    <row r="1776" spans="1:9" ht="17.399999999999999" x14ac:dyDescent="0.25">
      <c r="A1776" s="16"/>
      <c r="B1776" s="17"/>
      <c r="C1776" s="2"/>
      <c r="D1776" s="2"/>
      <c r="E1776" s="2"/>
      <c r="F1776" s="2"/>
      <c r="G1776" s="2"/>
      <c r="H1776" s="2"/>
      <c r="I1776" s="5"/>
    </row>
    <row r="1777" spans="1:9" ht="17.399999999999999" x14ac:dyDescent="0.25">
      <c r="A1777" s="16"/>
      <c r="B1777" s="17"/>
      <c r="C1777" s="2"/>
      <c r="D1777" s="2"/>
      <c r="E1777" s="2"/>
      <c r="F1777" s="2"/>
      <c r="G1777" s="2"/>
      <c r="H1777" s="2"/>
      <c r="I1777" s="5"/>
    </row>
    <row r="1778" spans="1:9" ht="17.399999999999999" x14ac:dyDescent="0.25">
      <c r="A1778" s="16"/>
      <c r="B1778" s="17"/>
      <c r="C1778" s="2"/>
      <c r="D1778" s="2"/>
      <c r="E1778" s="2"/>
      <c r="F1778" s="2"/>
      <c r="G1778" s="2"/>
      <c r="H1778" s="2"/>
      <c r="I1778" s="5"/>
    </row>
    <row r="1779" spans="1:9" ht="17.399999999999999" x14ac:dyDescent="0.25">
      <c r="A1779" s="16"/>
      <c r="B1779" s="17"/>
      <c r="C1779" s="2"/>
      <c r="D1779" s="2"/>
      <c r="E1779" s="2"/>
      <c r="F1779" s="2"/>
      <c r="G1779" s="2"/>
      <c r="H1779" s="2"/>
      <c r="I1779" s="5"/>
    </row>
    <row r="1780" spans="1:9" ht="17.399999999999999" x14ac:dyDescent="0.25">
      <c r="A1780" s="16"/>
      <c r="B1780" s="17"/>
      <c r="C1780" s="2"/>
      <c r="D1780" s="2"/>
      <c r="E1780" s="2"/>
      <c r="F1780" s="2"/>
      <c r="G1780" s="2"/>
      <c r="H1780" s="2"/>
      <c r="I1780" s="5"/>
    </row>
    <row r="1781" spans="1:9" ht="17.399999999999999" x14ac:dyDescent="0.25">
      <c r="A1781" s="16"/>
      <c r="B1781" s="17"/>
      <c r="C1781" s="2"/>
      <c r="D1781" s="2"/>
      <c r="E1781" s="2"/>
      <c r="F1781" s="2"/>
      <c r="G1781" s="2"/>
      <c r="H1781" s="2"/>
      <c r="I1781" s="5"/>
    </row>
    <row r="1782" spans="1:9" ht="17.399999999999999" x14ac:dyDescent="0.25">
      <c r="A1782" s="16"/>
      <c r="B1782" s="17"/>
      <c r="C1782" s="2"/>
      <c r="D1782" s="2"/>
      <c r="E1782" s="2"/>
      <c r="F1782" s="2"/>
      <c r="G1782" s="2"/>
      <c r="H1782" s="2"/>
      <c r="I1782" s="5"/>
    </row>
    <row r="1783" spans="1:9" ht="17.399999999999999" x14ac:dyDescent="0.25">
      <c r="A1783" s="16"/>
      <c r="B1783" s="17"/>
      <c r="C1783" s="2"/>
      <c r="D1783" s="2"/>
      <c r="E1783" s="2"/>
      <c r="F1783" s="2"/>
      <c r="G1783" s="2"/>
      <c r="H1783" s="2"/>
      <c r="I1783" s="5"/>
    </row>
    <row r="1784" spans="1:9" ht="17.399999999999999" x14ac:dyDescent="0.25">
      <c r="A1784" s="16"/>
      <c r="B1784" s="17"/>
      <c r="C1784" s="2"/>
      <c r="D1784" s="2"/>
      <c r="E1784" s="2"/>
      <c r="F1784" s="2"/>
      <c r="G1784" s="2"/>
      <c r="H1784" s="2"/>
      <c r="I1784" s="5"/>
    </row>
    <row r="1785" spans="1:9" ht="17.399999999999999" x14ac:dyDescent="0.25">
      <c r="A1785" s="16"/>
      <c r="B1785" s="17"/>
      <c r="C1785" s="2"/>
      <c r="D1785" s="2"/>
      <c r="E1785" s="2"/>
      <c r="F1785" s="2"/>
      <c r="G1785" s="2"/>
      <c r="H1785" s="2"/>
      <c r="I1785" s="5"/>
    </row>
    <row r="1786" spans="1:9" ht="17.399999999999999" x14ac:dyDescent="0.25">
      <c r="A1786" s="16"/>
      <c r="B1786" s="17"/>
      <c r="C1786" s="2"/>
      <c r="D1786" s="2"/>
      <c r="E1786" s="2"/>
      <c r="F1786" s="2"/>
      <c r="G1786" s="2"/>
      <c r="H1786" s="2"/>
      <c r="I1786" s="5"/>
    </row>
    <row r="1787" spans="1:9" ht="17.399999999999999" x14ac:dyDescent="0.25">
      <c r="A1787" s="16"/>
      <c r="B1787" s="17"/>
      <c r="C1787" s="2"/>
      <c r="D1787" s="2"/>
      <c r="E1787" s="2"/>
      <c r="F1787" s="2"/>
      <c r="G1787" s="2"/>
      <c r="H1787" s="2"/>
      <c r="I1787" s="5"/>
    </row>
    <row r="1788" spans="1:9" ht="17.399999999999999" x14ac:dyDescent="0.25">
      <c r="A1788" s="16"/>
      <c r="B1788" s="17"/>
      <c r="C1788" s="2"/>
      <c r="D1788" s="2"/>
      <c r="E1788" s="2"/>
      <c r="F1788" s="2"/>
      <c r="G1788" s="2"/>
      <c r="H1788" s="2"/>
      <c r="I1788" s="5"/>
    </row>
    <row r="1789" spans="1:9" ht="17.399999999999999" x14ac:dyDescent="0.25">
      <c r="A1789" s="16"/>
      <c r="B1789" s="17"/>
      <c r="C1789" s="2"/>
      <c r="D1789" s="2"/>
      <c r="E1789" s="2"/>
      <c r="F1789" s="2"/>
      <c r="G1789" s="2"/>
      <c r="H1789" s="2"/>
      <c r="I1789" s="5"/>
    </row>
    <row r="1790" spans="1:9" ht="17.399999999999999" x14ac:dyDescent="0.25">
      <c r="A1790" s="16"/>
      <c r="B1790" s="17"/>
      <c r="C1790" s="2"/>
      <c r="D1790" s="2"/>
      <c r="E1790" s="2"/>
      <c r="F1790" s="2"/>
      <c r="G1790" s="2"/>
      <c r="H1790" s="2"/>
      <c r="I1790" s="5"/>
    </row>
    <row r="1791" spans="1:9" ht="17.399999999999999" x14ac:dyDescent="0.25">
      <c r="A1791" s="16"/>
      <c r="B1791" s="17"/>
      <c r="C1791" s="2"/>
      <c r="D1791" s="2"/>
      <c r="E1791" s="2"/>
      <c r="F1791" s="2"/>
      <c r="G1791" s="2"/>
      <c r="H1791" s="2"/>
      <c r="I1791" s="5"/>
    </row>
    <row r="1792" spans="1:9" ht="17.399999999999999" x14ac:dyDescent="0.25">
      <c r="A1792" s="16"/>
      <c r="B1792" s="17"/>
      <c r="C1792" s="2"/>
      <c r="D1792" s="2"/>
      <c r="E1792" s="2"/>
      <c r="F1792" s="2"/>
      <c r="G1792" s="2"/>
      <c r="H1792" s="2"/>
      <c r="I1792" s="5"/>
    </row>
    <row r="1793" spans="1:9" ht="17.399999999999999" x14ac:dyDescent="0.25">
      <c r="A1793" s="16"/>
      <c r="B1793" s="17"/>
      <c r="C1793" s="2"/>
      <c r="D1793" s="2"/>
      <c r="E1793" s="2"/>
      <c r="F1793" s="2"/>
      <c r="G1793" s="2"/>
      <c r="H1793" s="2"/>
      <c r="I1793" s="5"/>
    </row>
    <row r="1794" spans="1:9" ht="17.399999999999999" x14ac:dyDescent="0.25">
      <c r="A1794" s="16"/>
      <c r="B1794" s="17"/>
      <c r="C1794" s="2"/>
      <c r="D1794" s="2"/>
      <c r="E1794" s="2"/>
      <c r="F1794" s="2"/>
      <c r="G1794" s="2"/>
      <c r="H1794" s="2"/>
      <c r="I1794" s="5"/>
    </row>
    <row r="1795" spans="1:9" ht="17.399999999999999" x14ac:dyDescent="0.25">
      <c r="A1795" s="16"/>
      <c r="B1795" s="17"/>
      <c r="C1795" s="2"/>
      <c r="D1795" s="2"/>
      <c r="E1795" s="2"/>
      <c r="F1795" s="2"/>
      <c r="G1795" s="2"/>
      <c r="H1795" s="2"/>
      <c r="I1795" s="5"/>
    </row>
    <row r="1796" spans="1:9" ht="17.399999999999999" x14ac:dyDescent="0.25">
      <c r="A1796" s="16"/>
      <c r="B1796" s="17"/>
      <c r="C1796" s="2"/>
      <c r="D1796" s="2"/>
      <c r="E1796" s="2"/>
      <c r="F1796" s="2"/>
      <c r="G1796" s="2"/>
      <c r="H1796" s="2"/>
      <c r="I1796" s="5"/>
    </row>
    <row r="1797" spans="1:9" ht="17.399999999999999" x14ac:dyDescent="0.25">
      <c r="A1797" s="16"/>
      <c r="B1797" s="17"/>
      <c r="C1797" s="2"/>
      <c r="D1797" s="2"/>
      <c r="E1797" s="2"/>
      <c r="F1797" s="2"/>
      <c r="G1797" s="2"/>
      <c r="H1797" s="2"/>
      <c r="I1797" s="5"/>
    </row>
    <row r="1798" spans="1:9" ht="17.399999999999999" x14ac:dyDescent="0.25">
      <c r="A1798" s="16"/>
      <c r="B1798" s="17"/>
      <c r="C1798" s="2"/>
      <c r="D1798" s="2"/>
      <c r="E1798" s="2"/>
      <c r="F1798" s="2"/>
      <c r="G1798" s="2"/>
      <c r="H1798" s="2"/>
      <c r="I1798" s="5"/>
    </row>
    <row r="1799" spans="1:9" ht="17.399999999999999" x14ac:dyDescent="0.25">
      <c r="A1799" s="16"/>
      <c r="B1799" s="17"/>
      <c r="C1799" s="2"/>
      <c r="D1799" s="2"/>
      <c r="E1799" s="2"/>
      <c r="F1799" s="2"/>
      <c r="G1799" s="2"/>
      <c r="H1799" s="2"/>
      <c r="I1799" s="5"/>
    </row>
    <row r="1800" spans="1:9" ht="17.399999999999999" x14ac:dyDescent="0.25">
      <c r="A1800" s="16"/>
      <c r="B1800" s="17"/>
      <c r="C1800" s="2"/>
      <c r="D1800" s="2"/>
      <c r="E1800" s="2"/>
      <c r="F1800" s="2"/>
      <c r="G1800" s="2"/>
      <c r="H1800" s="2"/>
      <c r="I1800" s="5"/>
    </row>
    <row r="1801" spans="1:9" ht="17.399999999999999" x14ac:dyDescent="0.25">
      <c r="A1801" s="16"/>
      <c r="B1801" s="17"/>
      <c r="C1801" s="2"/>
      <c r="D1801" s="2"/>
      <c r="E1801" s="2"/>
      <c r="F1801" s="2"/>
      <c r="G1801" s="2"/>
      <c r="H1801" s="2"/>
      <c r="I1801" s="5"/>
    </row>
    <row r="1802" spans="1:9" ht="17.399999999999999" x14ac:dyDescent="0.25">
      <c r="A1802" s="16"/>
      <c r="B1802" s="17"/>
      <c r="C1802" s="2"/>
      <c r="D1802" s="2"/>
      <c r="E1802" s="2"/>
      <c r="F1802" s="2"/>
      <c r="G1802" s="2"/>
      <c r="H1802" s="2"/>
      <c r="I1802" s="5"/>
    </row>
    <row r="1803" spans="1:9" ht="17.399999999999999" x14ac:dyDescent="0.25">
      <c r="A1803" s="16"/>
      <c r="B1803" s="17"/>
      <c r="C1803" s="2"/>
      <c r="D1803" s="2"/>
      <c r="E1803" s="2"/>
      <c r="F1803" s="2"/>
      <c r="G1803" s="2"/>
      <c r="H1803" s="2"/>
      <c r="I1803" s="5"/>
    </row>
    <row r="1804" spans="1:9" ht="17.399999999999999" x14ac:dyDescent="0.25">
      <c r="A1804" s="16"/>
      <c r="B1804" s="17"/>
      <c r="C1804" s="2"/>
      <c r="D1804" s="2"/>
      <c r="E1804" s="2"/>
      <c r="F1804" s="2"/>
      <c r="G1804" s="2"/>
      <c r="H1804" s="2"/>
      <c r="I1804" s="5"/>
    </row>
    <row r="1805" spans="1:9" ht="17.399999999999999" x14ac:dyDescent="0.25">
      <c r="A1805" s="16"/>
      <c r="B1805" s="17"/>
      <c r="C1805" s="2"/>
      <c r="D1805" s="2"/>
      <c r="E1805" s="2"/>
      <c r="F1805" s="2"/>
      <c r="G1805" s="2"/>
      <c r="H1805" s="2"/>
      <c r="I1805" s="5"/>
    </row>
    <row r="1806" spans="1:9" ht="17.399999999999999" x14ac:dyDescent="0.25">
      <c r="A1806" s="16"/>
      <c r="B1806" s="17"/>
      <c r="C1806" s="2"/>
      <c r="D1806" s="2"/>
      <c r="E1806" s="2"/>
      <c r="F1806" s="2"/>
      <c r="G1806" s="2"/>
      <c r="H1806" s="2"/>
      <c r="I1806" s="5"/>
    </row>
    <row r="1807" spans="1:9" ht="17.399999999999999" x14ac:dyDescent="0.25">
      <c r="A1807" s="16"/>
      <c r="B1807" s="17"/>
      <c r="C1807" s="2"/>
      <c r="D1807" s="2"/>
      <c r="E1807" s="2"/>
      <c r="F1807" s="2"/>
      <c r="G1807" s="2"/>
      <c r="H1807" s="2"/>
      <c r="I1807" s="5"/>
    </row>
    <row r="1808" spans="1:9" ht="17.399999999999999" x14ac:dyDescent="0.25">
      <c r="A1808" s="16"/>
      <c r="B1808" s="17"/>
      <c r="C1808" s="2"/>
      <c r="D1808" s="2"/>
      <c r="E1808" s="2"/>
      <c r="F1808" s="2"/>
      <c r="G1808" s="2"/>
      <c r="H1808" s="2"/>
      <c r="I1808" s="5"/>
    </row>
    <row r="1809" spans="1:9" ht="17.399999999999999" x14ac:dyDescent="0.25">
      <c r="A1809" s="16"/>
      <c r="B1809" s="17"/>
      <c r="C1809" s="2"/>
      <c r="D1809" s="2"/>
      <c r="E1809" s="2"/>
      <c r="F1809" s="2"/>
      <c r="G1809" s="2"/>
      <c r="H1809" s="2"/>
      <c r="I1809" s="5"/>
    </row>
    <row r="1810" spans="1:9" ht="17.399999999999999" x14ac:dyDescent="0.25">
      <c r="A1810" s="16"/>
      <c r="B1810" s="17"/>
      <c r="C1810" s="2"/>
      <c r="D1810" s="2"/>
      <c r="E1810" s="2"/>
      <c r="F1810" s="2"/>
      <c r="G1810" s="2"/>
      <c r="H1810" s="2"/>
      <c r="I1810" s="5"/>
    </row>
    <row r="1811" spans="1:9" ht="17.399999999999999" x14ac:dyDescent="0.25">
      <c r="A1811" s="16"/>
      <c r="B1811" s="17"/>
      <c r="C1811" s="2"/>
      <c r="D1811" s="2"/>
      <c r="E1811" s="2"/>
      <c r="F1811" s="2"/>
      <c r="G1811" s="2"/>
      <c r="H1811" s="2"/>
      <c r="I1811" s="5"/>
    </row>
    <row r="1812" spans="1:9" ht="17.399999999999999" x14ac:dyDescent="0.25">
      <c r="A1812" s="16"/>
      <c r="B1812" s="17"/>
      <c r="C1812" s="2"/>
      <c r="D1812" s="2"/>
      <c r="E1812" s="2"/>
      <c r="F1812" s="2"/>
      <c r="G1812" s="2"/>
      <c r="H1812" s="2"/>
      <c r="I1812" s="5"/>
    </row>
    <row r="1813" spans="1:9" ht="17.399999999999999" x14ac:dyDescent="0.25">
      <c r="A1813" s="16"/>
      <c r="B1813" s="17"/>
      <c r="C1813" s="2"/>
      <c r="D1813" s="2"/>
      <c r="E1813" s="2"/>
      <c r="F1813" s="2"/>
      <c r="G1813" s="2"/>
      <c r="H1813" s="2"/>
      <c r="I1813" s="5"/>
    </row>
    <row r="1814" spans="1:9" ht="17.399999999999999" x14ac:dyDescent="0.25">
      <c r="A1814" s="16"/>
      <c r="B1814" s="17"/>
      <c r="C1814" s="2"/>
      <c r="D1814" s="2"/>
      <c r="E1814" s="2"/>
      <c r="F1814" s="2"/>
      <c r="G1814" s="2"/>
      <c r="H1814" s="2"/>
      <c r="I1814" s="5"/>
    </row>
    <row r="1815" spans="1:9" ht="17.399999999999999" x14ac:dyDescent="0.25">
      <c r="A1815" s="16"/>
      <c r="B1815" s="17"/>
      <c r="C1815" s="2"/>
      <c r="D1815" s="2"/>
      <c r="E1815" s="2"/>
      <c r="F1815" s="2"/>
      <c r="G1815" s="2"/>
      <c r="H1815" s="2"/>
      <c r="I1815" s="5"/>
    </row>
    <row r="1816" spans="1:9" ht="17.399999999999999" x14ac:dyDescent="0.25">
      <c r="A1816" s="16"/>
      <c r="B1816" s="17"/>
      <c r="C1816" s="2"/>
      <c r="D1816" s="2"/>
      <c r="E1816" s="2"/>
      <c r="F1816" s="2"/>
      <c r="G1816" s="2"/>
      <c r="H1816" s="2"/>
      <c r="I1816" s="5"/>
    </row>
    <row r="1817" spans="1:9" ht="17.399999999999999" x14ac:dyDescent="0.25">
      <c r="A1817" s="16"/>
      <c r="B1817" s="17"/>
      <c r="C1817" s="2"/>
      <c r="D1817" s="2"/>
      <c r="E1817" s="2"/>
      <c r="F1817" s="2"/>
      <c r="G1817" s="2"/>
      <c r="H1817" s="2"/>
      <c r="I1817" s="5"/>
    </row>
    <row r="1818" spans="1:9" ht="17.399999999999999" x14ac:dyDescent="0.25">
      <c r="A1818" s="16"/>
      <c r="B1818" s="17"/>
      <c r="C1818" s="2"/>
      <c r="D1818" s="2"/>
      <c r="E1818" s="2"/>
      <c r="F1818" s="2"/>
      <c r="G1818" s="2"/>
      <c r="H1818" s="2"/>
      <c r="I1818" s="5"/>
    </row>
    <row r="1819" spans="1:9" ht="17.399999999999999" x14ac:dyDescent="0.25">
      <c r="A1819" s="16"/>
      <c r="B1819" s="17"/>
      <c r="C1819" s="2"/>
      <c r="D1819" s="2"/>
      <c r="E1819" s="2"/>
      <c r="F1819" s="2"/>
      <c r="G1819" s="2"/>
      <c r="H1819" s="2"/>
      <c r="I1819" s="5"/>
    </row>
    <row r="1820" spans="1:9" ht="17.399999999999999" x14ac:dyDescent="0.25">
      <c r="A1820" s="16"/>
      <c r="B1820" s="17"/>
      <c r="C1820" s="2"/>
      <c r="D1820" s="2"/>
      <c r="E1820" s="2"/>
      <c r="F1820" s="2"/>
      <c r="G1820" s="2"/>
      <c r="H1820" s="2"/>
      <c r="I1820" s="5"/>
    </row>
    <row r="1821" spans="1:9" ht="17.399999999999999" x14ac:dyDescent="0.25">
      <c r="A1821" s="16"/>
      <c r="B1821" s="17"/>
      <c r="C1821" s="2"/>
      <c r="D1821" s="2"/>
      <c r="E1821" s="2"/>
      <c r="F1821" s="2"/>
      <c r="G1821" s="2"/>
      <c r="H1821" s="2"/>
      <c r="I1821" s="5"/>
    </row>
    <row r="1822" spans="1:9" ht="17.399999999999999" x14ac:dyDescent="0.25">
      <c r="A1822" s="16"/>
      <c r="B1822" s="17"/>
      <c r="C1822" s="2"/>
      <c r="D1822" s="2"/>
      <c r="E1822" s="2"/>
      <c r="F1822" s="2"/>
      <c r="G1822" s="2"/>
      <c r="H1822" s="2"/>
      <c r="I1822" s="5"/>
    </row>
    <row r="1823" spans="1:9" ht="17.399999999999999" x14ac:dyDescent="0.25">
      <c r="A1823" s="16"/>
      <c r="B1823" s="17"/>
      <c r="C1823" s="2"/>
      <c r="D1823" s="2"/>
      <c r="E1823" s="2"/>
      <c r="F1823" s="2"/>
      <c r="G1823" s="2"/>
      <c r="H1823" s="2"/>
      <c r="I1823" s="5"/>
    </row>
    <row r="1824" spans="1:9" ht="17.399999999999999" x14ac:dyDescent="0.25">
      <c r="A1824" s="16"/>
      <c r="B1824" s="17"/>
      <c r="C1824" s="2"/>
      <c r="D1824" s="2"/>
      <c r="E1824" s="2"/>
      <c r="F1824" s="2"/>
      <c r="G1824" s="2"/>
      <c r="H1824" s="2"/>
      <c r="I1824" s="5"/>
    </row>
    <row r="1825" spans="1:9" ht="17.399999999999999" x14ac:dyDescent="0.25">
      <c r="A1825" s="16"/>
      <c r="B1825" s="17"/>
      <c r="C1825" s="2"/>
      <c r="D1825" s="2"/>
      <c r="E1825" s="2"/>
      <c r="F1825" s="2"/>
      <c r="G1825" s="2"/>
      <c r="H1825" s="2"/>
      <c r="I1825" s="5"/>
    </row>
    <row r="1826" spans="1:9" ht="17.399999999999999" x14ac:dyDescent="0.25">
      <c r="A1826" s="16"/>
      <c r="B1826" s="17"/>
      <c r="C1826" s="2"/>
      <c r="D1826" s="2"/>
      <c r="E1826" s="2"/>
      <c r="F1826" s="2"/>
      <c r="G1826" s="2"/>
      <c r="H1826" s="2"/>
      <c r="I1826" s="5"/>
    </row>
    <row r="1827" spans="1:9" ht="17.399999999999999" x14ac:dyDescent="0.25">
      <c r="A1827" s="16"/>
      <c r="B1827" s="17"/>
      <c r="C1827" s="2"/>
      <c r="D1827" s="2"/>
      <c r="E1827" s="2"/>
      <c r="F1827" s="2"/>
      <c r="G1827" s="2"/>
      <c r="H1827" s="2"/>
      <c r="I1827" s="5"/>
    </row>
    <row r="1828" spans="1:9" ht="17.399999999999999" x14ac:dyDescent="0.25">
      <c r="A1828" s="16"/>
      <c r="B1828" s="17"/>
      <c r="C1828" s="2"/>
      <c r="D1828" s="2"/>
      <c r="E1828" s="2"/>
      <c r="F1828" s="2"/>
      <c r="G1828" s="2"/>
      <c r="H1828" s="2"/>
      <c r="I1828" s="5"/>
    </row>
    <row r="1829" spans="1:9" ht="17.399999999999999" x14ac:dyDescent="0.25">
      <c r="A1829" s="16"/>
      <c r="B1829" s="17"/>
      <c r="C1829" s="2"/>
      <c r="D1829" s="2"/>
      <c r="E1829" s="2"/>
      <c r="F1829" s="2"/>
      <c r="G1829" s="2"/>
      <c r="H1829" s="2"/>
      <c r="I1829" s="5"/>
    </row>
    <row r="1830" spans="1:9" ht="17.399999999999999" x14ac:dyDescent="0.25">
      <c r="A1830" s="16"/>
      <c r="B1830" s="17"/>
      <c r="C1830" s="2"/>
      <c r="D1830" s="2"/>
      <c r="E1830" s="2"/>
      <c r="F1830" s="2"/>
      <c r="G1830" s="2"/>
      <c r="H1830" s="2"/>
      <c r="I1830" s="5"/>
    </row>
    <row r="1831" spans="1:9" ht="17.399999999999999" x14ac:dyDescent="0.25">
      <c r="A1831" s="16"/>
      <c r="B1831" s="17"/>
      <c r="C1831" s="2"/>
      <c r="D1831" s="2"/>
      <c r="E1831" s="2"/>
      <c r="F1831" s="2"/>
      <c r="G1831" s="2"/>
      <c r="H1831" s="2"/>
      <c r="I1831" s="5"/>
    </row>
    <row r="1832" spans="1:9" ht="17.399999999999999" x14ac:dyDescent="0.25">
      <c r="A1832" s="16"/>
      <c r="B1832" s="17"/>
      <c r="C1832" s="2"/>
      <c r="D1832" s="2"/>
      <c r="E1832" s="2"/>
      <c r="F1832" s="2"/>
      <c r="G1832" s="2"/>
      <c r="H1832" s="2"/>
      <c r="I1832" s="5"/>
    </row>
    <row r="1833" spans="1:9" ht="17.399999999999999" x14ac:dyDescent="0.25">
      <c r="A1833" s="16"/>
      <c r="B1833" s="17"/>
      <c r="C1833" s="2"/>
      <c r="D1833" s="2"/>
      <c r="E1833" s="2"/>
      <c r="F1833" s="2"/>
      <c r="G1833" s="2"/>
      <c r="H1833" s="2"/>
      <c r="I1833" s="5"/>
    </row>
    <row r="1834" spans="1:9" ht="17.399999999999999" x14ac:dyDescent="0.25">
      <c r="A1834" s="16"/>
      <c r="B1834" s="17"/>
      <c r="C1834" s="2"/>
      <c r="D1834" s="2"/>
      <c r="E1834" s="2"/>
      <c r="F1834" s="2"/>
      <c r="G1834" s="2"/>
      <c r="H1834" s="2"/>
      <c r="I1834" s="5"/>
    </row>
    <row r="1835" spans="1:9" ht="17.399999999999999" x14ac:dyDescent="0.25">
      <c r="A1835" s="16"/>
      <c r="B1835" s="17"/>
      <c r="C1835" s="2"/>
      <c r="D1835" s="2"/>
      <c r="E1835" s="2"/>
      <c r="F1835" s="2"/>
      <c r="G1835" s="2"/>
      <c r="H1835" s="2"/>
      <c r="I1835" s="5"/>
    </row>
    <row r="1836" spans="1:9" ht="17.399999999999999" x14ac:dyDescent="0.25">
      <c r="A1836" s="16"/>
      <c r="B1836" s="17"/>
      <c r="C1836" s="2"/>
      <c r="D1836" s="2"/>
      <c r="E1836" s="2"/>
      <c r="F1836" s="2"/>
      <c r="G1836" s="2"/>
      <c r="H1836" s="2"/>
      <c r="I1836" s="5"/>
    </row>
    <row r="1837" spans="1:9" ht="17.399999999999999" x14ac:dyDescent="0.25">
      <c r="A1837" s="16"/>
      <c r="B1837" s="17"/>
      <c r="C1837" s="2"/>
      <c r="D1837" s="2"/>
      <c r="E1837" s="2"/>
      <c r="F1837" s="2"/>
      <c r="G1837" s="2"/>
      <c r="H1837" s="2"/>
      <c r="I1837" s="5"/>
    </row>
    <row r="1838" spans="1:9" ht="17.399999999999999" x14ac:dyDescent="0.25">
      <c r="A1838" s="16"/>
      <c r="B1838" s="17"/>
      <c r="C1838" s="2"/>
      <c r="D1838" s="2"/>
      <c r="E1838" s="2"/>
      <c r="F1838" s="2"/>
      <c r="G1838" s="2"/>
      <c r="H1838" s="2"/>
      <c r="I1838" s="5"/>
    </row>
    <row r="1839" spans="1:9" ht="17.399999999999999" x14ac:dyDescent="0.25">
      <c r="A1839" s="16"/>
      <c r="B1839" s="17"/>
      <c r="C1839" s="2"/>
      <c r="D1839" s="2"/>
      <c r="E1839" s="2"/>
      <c r="F1839" s="2"/>
      <c r="G1839" s="2"/>
      <c r="H1839" s="2"/>
      <c r="I1839" s="5"/>
    </row>
    <row r="1840" spans="1:9" ht="17.399999999999999" x14ac:dyDescent="0.25">
      <c r="A1840" s="16"/>
      <c r="B1840" s="17"/>
      <c r="C1840" s="2"/>
      <c r="D1840" s="2"/>
      <c r="E1840" s="2"/>
      <c r="F1840" s="2"/>
      <c r="G1840" s="2"/>
      <c r="H1840" s="2"/>
      <c r="I1840" s="5"/>
    </row>
    <row r="1841" spans="1:9" ht="17.399999999999999" x14ac:dyDescent="0.25">
      <c r="A1841" s="16"/>
      <c r="B1841" s="17"/>
      <c r="C1841" s="2"/>
      <c r="D1841" s="2"/>
      <c r="E1841" s="2"/>
      <c r="F1841" s="2"/>
      <c r="G1841" s="2"/>
      <c r="H1841" s="2"/>
      <c r="I1841" s="5"/>
    </row>
    <row r="1842" spans="1:9" ht="17.399999999999999" x14ac:dyDescent="0.25">
      <c r="A1842" s="16"/>
      <c r="B1842" s="17"/>
      <c r="C1842" s="2"/>
      <c r="D1842" s="2"/>
      <c r="E1842" s="2"/>
      <c r="F1842" s="2"/>
      <c r="G1842" s="2"/>
      <c r="H1842" s="2"/>
      <c r="I1842" s="5"/>
    </row>
    <row r="1843" spans="1:9" ht="17.399999999999999" x14ac:dyDescent="0.25">
      <c r="A1843" s="16"/>
      <c r="B1843" s="17"/>
      <c r="C1843" s="2"/>
      <c r="D1843" s="2"/>
      <c r="E1843" s="2"/>
      <c r="F1843" s="2"/>
      <c r="G1843" s="2"/>
      <c r="H1843" s="2"/>
      <c r="I1843" s="5"/>
    </row>
    <row r="1844" spans="1:9" ht="17.399999999999999" x14ac:dyDescent="0.25">
      <c r="A1844" s="16"/>
      <c r="B1844" s="17"/>
      <c r="C1844" s="2"/>
      <c r="D1844" s="2"/>
      <c r="E1844" s="2"/>
      <c r="F1844" s="2"/>
      <c r="G1844" s="2"/>
      <c r="H1844" s="2"/>
      <c r="I1844" s="5"/>
    </row>
    <row r="1845" spans="1:9" ht="17.399999999999999" x14ac:dyDescent="0.25">
      <c r="A1845" s="16"/>
      <c r="B1845" s="17"/>
      <c r="C1845" s="2"/>
      <c r="D1845" s="2"/>
      <c r="E1845" s="2"/>
      <c r="F1845" s="2"/>
      <c r="G1845" s="2"/>
      <c r="H1845" s="2"/>
      <c r="I1845" s="5"/>
    </row>
    <row r="1846" spans="1:9" ht="17.399999999999999" x14ac:dyDescent="0.25">
      <c r="A1846" s="16"/>
      <c r="B1846" s="17"/>
      <c r="C1846" s="2"/>
      <c r="D1846" s="2"/>
      <c r="E1846" s="2"/>
      <c r="F1846" s="2"/>
      <c r="G1846" s="2"/>
      <c r="H1846" s="2"/>
      <c r="I1846" s="5"/>
    </row>
    <row r="1847" spans="1:9" ht="17.399999999999999" x14ac:dyDescent="0.25">
      <c r="A1847" s="16"/>
      <c r="B1847" s="17"/>
      <c r="C1847" s="2"/>
      <c r="D1847" s="2"/>
      <c r="E1847" s="2"/>
      <c r="F1847" s="2"/>
      <c r="G1847" s="2"/>
      <c r="H1847" s="2"/>
      <c r="I1847" s="5"/>
    </row>
    <row r="1848" spans="1:9" ht="17.399999999999999" x14ac:dyDescent="0.25">
      <c r="A1848" s="16"/>
      <c r="B1848" s="17"/>
      <c r="C1848" s="2"/>
      <c r="D1848" s="2"/>
      <c r="E1848" s="2"/>
      <c r="F1848" s="2"/>
      <c r="G1848" s="2"/>
      <c r="H1848" s="2"/>
      <c r="I1848" s="5"/>
    </row>
    <row r="1849" spans="1:9" ht="17.399999999999999" x14ac:dyDescent="0.25">
      <c r="A1849" s="16"/>
      <c r="B1849" s="17"/>
      <c r="C1849" s="2"/>
      <c r="D1849" s="2"/>
      <c r="E1849" s="2"/>
      <c r="F1849" s="2"/>
      <c r="G1849" s="2"/>
      <c r="H1849" s="2"/>
      <c r="I1849" s="5"/>
    </row>
    <row r="1850" spans="1:9" ht="17.399999999999999" x14ac:dyDescent="0.25">
      <c r="A1850" s="16"/>
      <c r="B1850" s="17"/>
      <c r="C1850" s="2"/>
      <c r="D1850" s="2"/>
      <c r="E1850" s="2"/>
      <c r="F1850" s="2"/>
      <c r="G1850" s="2"/>
      <c r="H1850" s="2"/>
      <c r="I1850" s="5"/>
    </row>
    <row r="1851" spans="1:9" ht="17.399999999999999" x14ac:dyDescent="0.25">
      <c r="A1851" s="16"/>
      <c r="B1851" s="17"/>
      <c r="C1851" s="2"/>
      <c r="D1851" s="2"/>
      <c r="E1851" s="2"/>
      <c r="F1851" s="2"/>
      <c r="G1851" s="2"/>
      <c r="H1851" s="2"/>
      <c r="I1851" s="5"/>
    </row>
    <row r="1852" spans="1:9" ht="17.399999999999999" x14ac:dyDescent="0.25">
      <c r="A1852" s="16"/>
      <c r="B1852" s="17"/>
      <c r="C1852" s="2"/>
      <c r="D1852" s="2"/>
      <c r="E1852" s="2"/>
      <c r="F1852" s="2"/>
      <c r="G1852" s="2"/>
      <c r="H1852" s="2"/>
      <c r="I1852" s="5"/>
    </row>
    <row r="1853" spans="1:9" ht="17.399999999999999" x14ac:dyDescent="0.25">
      <c r="A1853" s="16"/>
      <c r="B1853" s="17"/>
      <c r="C1853" s="2"/>
      <c r="D1853" s="2"/>
      <c r="E1853" s="2"/>
      <c r="F1853" s="2"/>
      <c r="G1853" s="2"/>
      <c r="H1853" s="2"/>
      <c r="I1853" s="5"/>
    </row>
    <row r="1854" spans="1:9" ht="17.399999999999999" x14ac:dyDescent="0.25">
      <c r="A1854" s="16"/>
      <c r="B1854" s="17"/>
      <c r="C1854" s="2"/>
      <c r="D1854" s="2"/>
      <c r="E1854" s="2"/>
      <c r="F1854" s="2"/>
      <c r="G1854" s="2"/>
      <c r="H1854" s="2"/>
      <c r="I1854" s="5"/>
    </row>
    <row r="1855" spans="1:9" ht="17.399999999999999" x14ac:dyDescent="0.25">
      <c r="A1855" s="16"/>
      <c r="B1855" s="17"/>
      <c r="C1855" s="2"/>
      <c r="D1855" s="2"/>
      <c r="E1855" s="2"/>
      <c r="F1855" s="2"/>
      <c r="G1855" s="2"/>
      <c r="H1855" s="2"/>
      <c r="I1855" s="5"/>
    </row>
    <row r="1856" spans="1:9" ht="17.399999999999999" x14ac:dyDescent="0.25">
      <c r="A1856" s="16"/>
      <c r="B1856" s="17"/>
      <c r="C1856" s="2"/>
      <c r="D1856" s="2"/>
      <c r="E1856" s="2"/>
      <c r="F1856" s="2"/>
      <c r="G1856" s="2"/>
      <c r="H1856" s="2"/>
      <c r="I1856" s="5"/>
    </row>
    <row r="1857" spans="1:9" ht="17.399999999999999" x14ac:dyDescent="0.25">
      <c r="A1857" s="16"/>
      <c r="B1857" s="17"/>
      <c r="C1857" s="2"/>
      <c r="D1857" s="2"/>
      <c r="E1857" s="2"/>
      <c r="F1857" s="2"/>
      <c r="G1857" s="2"/>
      <c r="H1857" s="2"/>
      <c r="I1857" s="5"/>
    </row>
    <row r="1858" spans="1:9" ht="17.399999999999999" x14ac:dyDescent="0.25">
      <c r="A1858" s="16"/>
      <c r="B1858" s="17"/>
      <c r="C1858" s="2"/>
      <c r="D1858" s="2"/>
      <c r="E1858" s="2"/>
      <c r="F1858" s="2"/>
      <c r="G1858" s="2"/>
      <c r="H1858" s="2"/>
      <c r="I1858" s="5"/>
    </row>
    <row r="1859" spans="1:9" ht="17.399999999999999" x14ac:dyDescent="0.25">
      <c r="A1859" s="16"/>
      <c r="B1859" s="17"/>
      <c r="C1859" s="2"/>
      <c r="D1859" s="2"/>
      <c r="E1859" s="2"/>
      <c r="F1859" s="2"/>
      <c r="G1859" s="2"/>
      <c r="H1859" s="2"/>
      <c r="I1859" s="5"/>
    </row>
    <row r="1860" spans="1:9" ht="17.399999999999999" x14ac:dyDescent="0.25">
      <c r="A1860" s="16"/>
      <c r="B1860" s="17"/>
      <c r="C1860" s="2"/>
      <c r="D1860" s="2"/>
      <c r="E1860" s="2"/>
      <c r="F1860" s="2"/>
      <c r="G1860" s="2"/>
      <c r="H1860" s="2"/>
      <c r="I1860" s="5"/>
    </row>
    <row r="1861" spans="1:9" ht="17.399999999999999" x14ac:dyDescent="0.25">
      <c r="A1861" s="16"/>
      <c r="B1861" s="17"/>
      <c r="C1861" s="2"/>
      <c r="D1861" s="2"/>
      <c r="E1861" s="2"/>
      <c r="F1861" s="2"/>
      <c r="G1861" s="2"/>
      <c r="H1861" s="2"/>
      <c r="I1861" s="5"/>
    </row>
    <row r="1862" spans="1:9" ht="17.399999999999999" x14ac:dyDescent="0.25">
      <c r="A1862" s="16"/>
      <c r="B1862" s="17"/>
      <c r="C1862" s="2"/>
      <c r="D1862" s="2"/>
      <c r="E1862" s="2"/>
      <c r="F1862" s="2"/>
      <c r="G1862" s="2"/>
      <c r="H1862" s="2"/>
      <c r="I1862" s="5"/>
    </row>
    <row r="1863" spans="1:9" ht="17.399999999999999" x14ac:dyDescent="0.25">
      <c r="A1863" s="16"/>
      <c r="B1863" s="17"/>
      <c r="C1863" s="2"/>
      <c r="D1863" s="2"/>
      <c r="E1863" s="2"/>
      <c r="F1863" s="2"/>
      <c r="G1863" s="2"/>
      <c r="H1863" s="2"/>
      <c r="I1863" s="5"/>
    </row>
    <row r="1864" spans="1:9" ht="17.399999999999999" x14ac:dyDescent="0.25">
      <c r="A1864" s="16"/>
      <c r="B1864" s="17"/>
      <c r="C1864" s="2"/>
      <c r="D1864" s="2"/>
      <c r="E1864" s="2"/>
      <c r="F1864" s="2"/>
      <c r="G1864" s="2"/>
      <c r="H1864" s="2"/>
      <c r="I1864" s="5"/>
    </row>
    <row r="1865" spans="1:9" ht="17.399999999999999" x14ac:dyDescent="0.25">
      <c r="A1865" s="16"/>
      <c r="B1865" s="17"/>
      <c r="C1865" s="2"/>
      <c r="D1865" s="2"/>
      <c r="E1865" s="2"/>
      <c r="F1865" s="2"/>
      <c r="G1865" s="2"/>
      <c r="H1865" s="2"/>
      <c r="I1865" s="5"/>
    </row>
    <row r="1866" spans="1:9" ht="17.399999999999999" x14ac:dyDescent="0.25">
      <c r="A1866" s="16"/>
      <c r="B1866" s="17"/>
      <c r="C1866" s="2"/>
      <c r="D1866" s="2"/>
      <c r="E1866" s="2"/>
      <c r="F1866" s="2"/>
      <c r="G1866" s="2"/>
      <c r="H1866" s="2"/>
      <c r="I1866" s="5"/>
    </row>
    <row r="1867" spans="1:9" ht="17.399999999999999" x14ac:dyDescent="0.25">
      <c r="A1867" s="16"/>
      <c r="B1867" s="17"/>
      <c r="C1867" s="2"/>
      <c r="D1867" s="2"/>
      <c r="E1867" s="2"/>
      <c r="F1867" s="2"/>
      <c r="G1867" s="2"/>
      <c r="H1867" s="2"/>
      <c r="I1867" s="5"/>
    </row>
    <row r="1868" spans="1:9" ht="17.399999999999999" x14ac:dyDescent="0.25">
      <c r="A1868" s="16"/>
      <c r="B1868" s="17"/>
      <c r="C1868" s="2"/>
      <c r="D1868" s="2"/>
      <c r="E1868" s="2"/>
      <c r="F1868" s="2"/>
      <c r="G1868" s="2"/>
      <c r="H1868" s="2"/>
      <c r="I1868" s="5"/>
    </row>
    <row r="1869" spans="1:9" ht="17.399999999999999" x14ac:dyDescent="0.25">
      <c r="A1869" s="16"/>
      <c r="B1869" s="17"/>
      <c r="C1869" s="2"/>
      <c r="D1869" s="2"/>
      <c r="E1869" s="2"/>
      <c r="F1869" s="2"/>
      <c r="G1869" s="2"/>
      <c r="H1869" s="2"/>
      <c r="I1869" s="5"/>
    </row>
    <row r="1870" spans="1:9" ht="17.399999999999999" x14ac:dyDescent="0.25">
      <c r="A1870" s="16"/>
      <c r="B1870" s="17"/>
      <c r="C1870" s="2"/>
      <c r="D1870" s="2"/>
      <c r="E1870" s="2"/>
      <c r="F1870" s="2"/>
      <c r="G1870" s="2"/>
      <c r="H1870" s="2"/>
      <c r="I1870" s="5"/>
    </row>
    <row r="1871" spans="1:9" ht="17.399999999999999" x14ac:dyDescent="0.25">
      <c r="A1871" s="16"/>
      <c r="B1871" s="17"/>
      <c r="C1871" s="2"/>
      <c r="D1871" s="2"/>
      <c r="E1871" s="2"/>
      <c r="F1871" s="2"/>
      <c r="G1871" s="2"/>
      <c r="H1871" s="2"/>
      <c r="I1871" s="5"/>
    </row>
    <row r="1872" spans="1:9" ht="17.399999999999999" x14ac:dyDescent="0.25">
      <c r="A1872" s="16"/>
      <c r="B1872" s="17"/>
      <c r="C1872" s="2"/>
      <c r="D1872" s="2"/>
      <c r="E1872" s="2"/>
      <c r="F1872" s="2"/>
      <c r="G1872" s="2"/>
      <c r="H1872" s="2"/>
      <c r="I1872" s="5"/>
    </row>
    <row r="1873" spans="1:9" ht="17.399999999999999" x14ac:dyDescent="0.25">
      <c r="A1873" s="16"/>
      <c r="B1873" s="17"/>
      <c r="C1873" s="2"/>
      <c r="D1873" s="2"/>
      <c r="E1873" s="2"/>
      <c r="F1873" s="2"/>
      <c r="G1873" s="2"/>
      <c r="H1873" s="2"/>
      <c r="I1873" s="5"/>
    </row>
    <row r="1874" spans="1:9" ht="17.399999999999999" x14ac:dyDescent="0.25">
      <c r="A1874" s="16"/>
      <c r="B1874" s="17"/>
      <c r="C1874" s="2"/>
      <c r="D1874" s="2"/>
      <c r="E1874" s="2"/>
      <c r="F1874" s="2"/>
      <c r="G1874" s="2"/>
      <c r="H1874" s="2"/>
      <c r="I1874" s="5"/>
    </row>
    <row r="1875" spans="1:9" ht="17.399999999999999" x14ac:dyDescent="0.25">
      <c r="A1875" s="16"/>
      <c r="B1875" s="17"/>
      <c r="C1875" s="2"/>
      <c r="D1875" s="2"/>
      <c r="E1875" s="2"/>
      <c r="F1875" s="2"/>
      <c r="G1875" s="2"/>
      <c r="H1875" s="2"/>
      <c r="I1875" s="5"/>
    </row>
    <row r="1876" spans="1:9" ht="17.399999999999999" x14ac:dyDescent="0.25">
      <c r="A1876" s="16"/>
      <c r="B1876" s="17"/>
      <c r="C1876" s="2"/>
      <c r="D1876" s="2"/>
      <c r="E1876" s="2"/>
      <c r="F1876" s="2"/>
      <c r="G1876" s="2"/>
      <c r="H1876" s="2"/>
      <c r="I1876" s="5"/>
    </row>
    <row r="1877" spans="1:9" ht="17.399999999999999" x14ac:dyDescent="0.25">
      <c r="A1877" s="16"/>
      <c r="B1877" s="17"/>
      <c r="C1877" s="2"/>
      <c r="D1877" s="2"/>
      <c r="E1877" s="2"/>
      <c r="F1877" s="2"/>
      <c r="G1877" s="2"/>
      <c r="H1877" s="2"/>
      <c r="I1877" s="5"/>
    </row>
    <row r="1878" spans="1:9" ht="17.399999999999999" x14ac:dyDescent="0.25">
      <c r="A1878" s="16"/>
      <c r="B1878" s="17"/>
      <c r="C1878" s="2"/>
      <c r="D1878" s="2"/>
      <c r="E1878" s="2"/>
      <c r="F1878" s="2"/>
      <c r="G1878" s="2"/>
      <c r="H1878" s="2"/>
      <c r="I1878" s="5"/>
    </row>
    <row r="1879" spans="1:9" ht="17.399999999999999" x14ac:dyDescent="0.25">
      <c r="A1879" s="16"/>
      <c r="B1879" s="17"/>
      <c r="C1879" s="2"/>
      <c r="D1879" s="2"/>
      <c r="E1879" s="2"/>
      <c r="F1879" s="2"/>
      <c r="G1879" s="2"/>
      <c r="H1879" s="2"/>
      <c r="I1879" s="5"/>
    </row>
    <row r="1880" spans="1:9" ht="17.399999999999999" x14ac:dyDescent="0.25">
      <c r="A1880" s="16"/>
      <c r="B1880" s="17"/>
      <c r="C1880" s="2"/>
      <c r="D1880" s="2"/>
      <c r="E1880" s="2"/>
      <c r="F1880" s="2"/>
      <c r="G1880" s="2"/>
      <c r="H1880" s="2"/>
      <c r="I1880" s="5"/>
    </row>
    <row r="1881" spans="1:9" ht="17.399999999999999" x14ac:dyDescent="0.25">
      <c r="A1881" s="16"/>
      <c r="B1881" s="17"/>
      <c r="C1881" s="2"/>
      <c r="D1881" s="2"/>
      <c r="E1881" s="2"/>
      <c r="F1881" s="2"/>
      <c r="G1881" s="2"/>
      <c r="H1881" s="2"/>
      <c r="I1881" s="5"/>
    </row>
    <row r="1882" spans="1:9" ht="17.399999999999999" x14ac:dyDescent="0.25">
      <c r="A1882" s="16"/>
      <c r="B1882" s="17"/>
      <c r="C1882" s="2"/>
      <c r="D1882" s="2"/>
      <c r="E1882" s="2"/>
      <c r="F1882" s="2"/>
      <c r="G1882" s="2"/>
      <c r="H1882" s="2"/>
      <c r="I1882" s="5"/>
    </row>
    <row r="1883" spans="1:9" ht="17.399999999999999" x14ac:dyDescent="0.25">
      <c r="A1883" s="16"/>
      <c r="B1883" s="17"/>
      <c r="C1883" s="2"/>
      <c r="D1883" s="2"/>
      <c r="E1883" s="2"/>
      <c r="F1883" s="2"/>
      <c r="G1883" s="2"/>
      <c r="H1883" s="2"/>
      <c r="I1883" s="5"/>
    </row>
    <row r="1884" spans="1:9" ht="17.399999999999999" x14ac:dyDescent="0.25">
      <c r="A1884" s="16"/>
      <c r="B1884" s="17"/>
      <c r="C1884" s="2"/>
      <c r="D1884" s="2"/>
      <c r="E1884" s="2"/>
      <c r="F1884" s="2"/>
      <c r="G1884" s="2"/>
      <c r="H1884" s="2"/>
      <c r="I1884" s="5"/>
    </row>
    <row r="1885" spans="1:9" ht="17.399999999999999" x14ac:dyDescent="0.25">
      <c r="A1885" s="16"/>
      <c r="B1885" s="17"/>
      <c r="C1885" s="2"/>
      <c r="D1885" s="2"/>
      <c r="E1885" s="2"/>
      <c r="F1885" s="2"/>
      <c r="G1885" s="2"/>
      <c r="H1885" s="2"/>
      <c r="I1885" s="5"/>
    </row>
    <row r="1886" spans="1:9" ht="17.399999999999999" x14ac:dyDescent="0.25">
      <c r="A1886" s="16"/>
      <c r="B1886" s="17"/>
      <c r="C1886" s="2"/>
      <c r="D1886" s="2"/>
      <c r="E1886" s="2"/>
      <c r="F1886" s="2"/>
      <c r="G1886" s="2"/>
      <c r="H1886" s="2"/>
      <c r="I1886" s="5"/>
    </row>
    <row r="1887" spans="1:9" ht="17.399999999999999" x14ac:dyDescent="0.25">
      <c r="A1887" s="16"/>
      <c r="B1887" s="17"/>
      <c r="C1887" s="2"/>
      <c r="D1887" s="2"/>
      <c r="E1887" s="2"/>
      <c r="F1887" s="2"/>
      <c r="G1887" s="2"/>
      <c r="H1887" s="2"/>
      <c r="I1887" s="5"/>
    </row>
    <row r="1888" spans="1:9" ht="17.399999999999999" x14ac:dyDescent="0.25">
      <c r="A1888" s="16"/>
      <c r="B1888" s="17"/>
      <c r="C1888" s="2"/>
      <c r="D1888" s="2"/>
      <c r="E1888" s="2"/>
      <c r="F1888" s="2"/>
      <c r="G1888" s="2"/>
      <c r="H1888" s="2"/>
      <c r="I1888" s="5"/>
    </row>
    <row r="1889" spans="1:9" ht="17.399999999999999" x14ac:dyDescent="0.25">
      <c r="A1889" s="16"/>
      <c r="B1889" s="17"/>
      <c r="C1889" s="2"/>
      <c r="D1889" s="2"/>
      <c r="E1889" s="2"/>
      <c r="F1889" s="2"/>
      <c r="G1889" s="2"/>
      <c r="H1889" s="2"/>
      <c r="I1889" s="5"/>
    </row>
    <row r="1890" spans="1:9" ht="17.399999999999999" x14ac:dyDescent="0.25">
      <c r="A1890" s="16"/>
      <c r="B1890" s="17"/>
      <c r="C1890" s="2"/>
      <c r="D1890" s="2"/>
      <c r="E1890" s="2"/>
      <c r="F1890" s="2"/>
      <c r="G1890" s="2"/>
      <c r="H1890" s="2"/>
      <c r="I1890" s="5"/>
    </row>
    <row r="1891" spans="1:9" ht="17.399999999999999" x14ac:dyDescent="0.25">
      <c r="A1891" s="16"/>
      <c r="B1891" s="17"/>
      <c r="C1891" s="2"/>
      <c r="D1891" s="2"/>
      <c r="E1891" s="2"/>
      <c r="F1891" s="2"/>
      <c r="G1891" s="2"/>
      <c r="H1891" s="2"/>
      <c r="I1891" s="5"/>
    </row>
    <row r="1892" spans="1:9" ht="17.399999999999999" x14ac:dyDescent="0.25">
      <c r="A1892" s="16"/>
      <c r="B1892" s="17"/>
      <c r="C1892" s="2"/>
      <c r="D1892" s="2"/>
      <c r="E1892" s="2"/>
      <c r="F1892" s="2"/>
      <c r="G1892" s="2"/>
      <c r="H1892" s="2"/>
      <c r="I1892" s="5"/>
    </row>
    <row r="1893" spans="1:9" ht="17.399999999999999" x14ac:dyDescent="0.25">
      <c r="A1893" s="16"/>
      <c r="B1893" s="17"/>
      <c r="C1893" s="2"/>
      <c r="D1893" s="2"/>
      <c r="E1893" s="2"/>
      <c r="F1893" s="2"/>
      <c r="G1893" s="2"/>
      <c r="H1893" s="2"/>
      <c r="I1893" s="5"/>
    </row>
    <row r="1894" spans="1:9" ht="17.399999999999999" x14ac:dyDescent="0.25">
      <c r="A1894" s="16"/>
      <c r="B1894" s="17"/>
      <c r="C1894" s="2"/>
      <c r="D1894" s="2"/>
      <c r="E1894" s="2"/>
      <c r="F1894" s="2"/>
      <c r="G1894" s="2"/>
      <c r="H1894" s="2"/>
      <c r="I1894" s="5"/>
    </row>
    <row r="1895" spans="1:9" ht="17.399999999999999" x14ac:dyDescent="0.25">
      <c r="A1895" s="16"/>
      <c r="B1895" s="17"/>
      <c r="C1895" s="2"/>
      <c r="D1895" s="2"/>
      <c r="E1895" s="2"/>
      <c r="F1895" s="2"/>
      <c r="G1895" s="2"/>
      <c r="H1895" s="2"/>
      <c r="I1895" s="5"/>
    </row>
    <row r="1896" spans="1:9" ht="17.399999999999999" x14ac:dyDescent="0.25">
      <c r="A1896" s="16"/>
      <c r="B1896" s="17"/>
      <c r="C1896" s="2"/>
      <c r="D1896" s="2"/>
      <c r="E1896" s="2"/>
      <c r="F1896" s="2"/>
      <c r="G1896" s="2"/>
      <c r="H1896" s="2"/>
      <c r="I1896" s="5"/>
    </row>
    <row r="1897" spans="1:9" ht="17.399999999999999" x14ac:dyDescent="0.25">
      <c r="A1897" s="16"/>
      <c r="B1897" s="17"/>
      <c r="C1897" s="2"/>
      <c r="D1897" s="2"/>
      <c r="E1897" s="2"/>
      <c r="F1897" s="2"/>
      <c r="G1897" s="2"/>
      <c r="H1897" s="2"/>
      <c r="I1897" s="5"/>
    </row>
    <row r="1898" spans="1:9" ht="17.399999999999999" x14ac:dyDescent="0.25">
      <c r="A1898" s="16"/>
      <c r="B1898" s="17"/>
      <c r="C1898" s="2"/>
      <c r="D1898" s="2"/>
      <c r="E1898" s="2"/>
      <c r="F1898" s="2"/>
      <c r="G1898" s="2"/>
      <c r="H1898" s="2"/>
      <c r="I1898" s="5"/>
    </row>
    <row r="1899" spans="1:9" ht="17.399999999999999" x14ac:dyDescent="0.25">
      <c r="A1899" s="16"/>
      <c r="B1899" s="17"/>
      <c r="C1899" s="2"/>
      <c r="D1899" s="2"/>
      <c r="E1899" s="2"/>
      <c r="F1899" s="2"/>
      <c r="G1899" s="2"/>
      <c r="H1899" s="2"/>
      <c r="I1899" s="5"/>
    </row>
    <row r="1900" spans="1:9" ht="17.399999999999999" x14ac:dyDescent="0.25">
      <c r="A1900" s="16"/>
      <c r="B1900" s="17"/>
      <c r="C1900" s="2"/>
      <c r="D1900" s="2"/>
      <c r="E1900" s="2"/>
      <c r="F1900" s="2"/>
      <c r="G1900" s="2"/>
      <c r="H1900" s="2"/>
      <c r="I1900" s="5"/>
    </row>
    <row r="1901" spans="1:9" ht="17.399999999999999" x14ac:dyDescent="0.25">
      <c r="A1901" s="16"/>
      <c r="B1901" s="17"/>
      <c r="C1901" s="2"/>
      <c r="D1901" s="2"/>
      <c r="E1901" s="2"/>
      <c r="F1901" s="2"/>
      <c r="G1901" s="2"/>
      <c r="H1901" s="2"/>
      <c r="I1901" s="5"/>
    </row>
    <row r="1902" spans="1:9" ht="17.399999999999999" x14ac:dyDescent="0.25">
      <c r="A1902" s="16"/>
      <c r="B1902" s="17"/>
      <c r="C1902" s="2"/>
      <c r="D1902" s="2"/>
      <c r="E1902" s="2"/>
      <c r="F1902" s="2"/>
      <c r="G1902" s="2"/>
      <c r="H1902" s="2"/>
      <c r="I1902" s="5"/>
    </row>
    <row r="1903" spans="1:9" ht="17.399999999999999" x14ac:dyDescent="0.25">
      <c r="A1903" s="16"/>
      <c r="B1903" s="17"/>
      <c r="C1903" s="2"/>
      <c r="D1903" s="2"/>
      <c r="E1903" s="2"/>
      <c r="F1903" s="2"/>
      <c r="G1903" s="2"/>
      <c r="H1903" s="2"/>
      <c r="I1903" s="5"/>
    </row>
    <row r="1904" spans="1:9" ht="17.399999999999999" x14ac:dyDescent="0.25">
      <c r="A1904" s="16"/>
      <c r="B1904" s="17"/>
      <c r="C1904" s="2"/>
      <c r="D1904" s="2"/>
      <c r="E1904" s="2"/>
      <c r="F1904" s="2"/>
      <c r="G1904" s="2"/>
      <c r="H1904" s="2"/>
      <c r="I1904" s="5"/>
    </row>
    <row r="1905" spans="1:9" ht="17.399999999999999" x14ac:dyDescent="0.25">
      <c r="A1905" s="16"/>
      <c r="B1905" s="17"/>
      <c r="C1905" s="2"/>
      <c r="D1905" s="2"/>
      <c r="E1905" s="2"/>
      <c r="F1905" s="2"/>
      <c r="G1905" s="2"/>
      <c r="H1905" s="2"/>
      <c r="I1905" s="5"/>
    </row>
    <row r="1906" spans="1:9" ht="17.399999999999999" x14ac:dyDescent="0.25">
      <c r="A1906" s="16"/>
      <c r="B1906" s="17"/>
      <c r="C1906" s="2"/>
      <c r="D1906" s="2"/>
      <c r="E1906" s="2"/>
      <c r="F1906" s="2"/>
      <c r="G1906" s="2"/>
      <c r="H1906" s="2"/>
      <c r="I1906" s="5"/>
    </row>
    <row r="1907" spans="1:9" ht="17.399999999999999" x14ac:dyDescent="0.25">
      <c r="A1907" s="16"/>
      <c r="B1907" s="17"/>
      <c r="C1907" s="2"/>
      <c r="D1907" s="2"/>
      <c r="E1907" s="2"/>
      <c r="F1907" s="2"/>
      <c r="G1907" s="2"/>
      <c r="H1907" s="2"/>
      <c r="I1907" s="5"/>
    </row>
    <row r="1908" spans="1:9" ht="17.399999999999999" x14ac:dyDescent="0.25">
      <c r="A1908" s="16"/>
      <c r="B1908" s="17"/>
      <c r="C1908" s="2"/>
      <c r="D1908" s="2"/>
      <c r="E1908" s="2"/>
      <c r="F1908" s="2"/>
      <c r="G1908" s="2"/>
      <c r="H1908" s="2"/>
      <c r="I1908" s="5"/>
    </row>
    <row r="1909" spans="1:9" ht="17.399999999999999" x14ac:dyDescent="0.25">
      <c r="A1909" s="16"/>
      <c r="B1909" s="17"/>
      <c r="C1909" s="2"/>
      <c r="D1909" s="2"/>
      <c r="E1909" s="2"/>
      <c r="F1909" s="2"/>
      <c r="G1909" s="2"/>
      <c r="H1909" s="2"/>
      <c r="I1909" s="5"/>
    </row>
    <row r="1910" spans="1:9" ht="17.399999999999999" x14ac:dyDescent="0.25">
      <c r="A1910" s="16"/>
      <c r="B1910" s="17"/>
      <c r="C1910" s="2"/>
      <c r="D1910" s="2"/>
      <c r="E1910" s="2"/>
      <c r="F1910" s="2"/>
      <c r="G1910" s="2"/>
      <c r="H1910" s="2"/>
      <c r="I1910" s="5"/>
    </row>
    <row r="1911" spans="1:9" ht="17.399999999999999" x14ac:dyDescent="0.25">
      <c r="A1911" s="16"/>
      <c r="B1911" s="17"/>
      <c r="C1911" s="2"/>
      <c r="D1911" s="2"/>
      <c r="E1911" s="2"/>
      <c r="F1911" s="2"/>
      <c r="G1911" s="2"/>
      <c r="H1911" s="2"/>
      <c r="I1911" s="5"/>
    </row>
    <row r="1912" spans="1:9" ht="17.399999999999999" x14ac:dyDescent="0.25">
      <c r="A1912" s="16"/>
      <c r="B1912" s="17"/>
      <c r="C1912" s="2"/>
      <c r="D1912" s="2"/>
      <c r="E1912" s="2"/>
      <c r="F1912" s="2"/>
      <c r="G1912" s="2"/>
      <c r="H1912" s="2"/>
      <c r="I1912" s="5"/>
    </row>
    <row r="1913" spans="1:9" ht="17.399999999999999" x14ac:dyDescent="0.25">
      <c r="A1913" s="16"/>
      <c r="B1913" s="17"/>
      <c r="C1913" s="2"/>
      <c r="D1913" s="2"/>
      <c r="E1913" s="2"/>
      <c r="F1913" s="2"/>
      <c r="G1913" s="2"/>
      <c r="H1913" s="2"/>
      <c r="I1913" s="5"/>
    </row>
    <row r="1914" spans="1:9" ht="17.399999999999999" x14ac:dyDescent="0.25">
      <c r="A1914" s="16"/>
      <c r="B1914" s="17"/>
      <c r="C1914" s="2"/>
      <c r="D1914" s="2"/>
      <c r="E1914" s="2"/>
      <c r="F1914" s="2"/>
      <c r="G1914" s="2"/>
      <c r="H1914" s="2"/>
      <c r="I1914" s="5"/>
    </row>
    <row r="1915" spans="1:9" ht="17.399999999999999" x14ac:dyDescent="0.25">
      <c r="A1915" s="16"/>
      <c r="B1915" s="17"/>
      <c r="C1915" s="2"/>
      <c r="D1915" s="2"/>
      <c r="E1915" s="2"/>
      <c r="F1915" s="2"/>
      <c r="G1915" s="2"/>
      <c r="H1915" s="2"/>
      <c r="I1915" s="5"/>
    </row>
    <row r="1916" spans="1:9" ht="17.399999999999999" x14ac:dyDescent="0.25">
      <c r="A1916" s="16"/>
      <c r="B1916" s="17"/>
      <c r="C1916" s="2"/>
      <c r="D1916" s="2"/>
      <c r="E1916" s="2"/>
      <c r="F1916" s="2"/>
      <c r="G1916" s="2"/>
      <c r="H1916" s="2"/>
      <c r="I1916" s="5"/>
    </row>
    <row r="1917" spans="1:9" ht="17.399999999999999" x14ac:dyDescent="0.25">
      <c r="A1917" s="16"/>
      <c r="B1917" s="17"/>
      <c r="C1917" s="2"/>
      <c r="D1917" s="2"/>
      <c r="E1917" s="2"/>
      <c r="F1917" s="2"/>
      <c r="G1917" s="2"/>
      <c r="H1917" s="2"/>
      <c r="I1917" s="5"/>
    </row>
    <row r="1918" spans="1:9" ht="17.399999999999999" x14ac:dyDescent="0.25">
      <c r="A1918" s="16"/>
      <c r="B1918" s="17"/>
      <c r="C1918" s="2"/>
      <c r="D1918" s="2"/>
      <c r="E1918" s="2"/>
      <c r="F1918" s="2"/>
      <c r="G1918" s="2"/>
      <c r="H1918" s="2"/>
      <c r="I1918" s="5"/>
    </row>
    <row r="1919" spans="1:9" ht="17.399999999999999" x14ac:dyDescent="0.25">
      <c r="A1919" s="16"/>
      <c r="B1919" s="17"/>
      <c r="C1919" s="2"/>
      <c r="D1919" s="2"/>
      <c r="E1919" s="2"/>
      <c r="F1919" s="2"/>
      <c r="G1919" s="2"/>
      <c r="H1919" s="2"/>
      <c r="I1919" s="5"/>
    </row>
    <row r="1920" spans="1:9" ht="17.399999999999999" x14ac:dyDescent="0.25">
      <c r="A1920" s="16"/>
      <c r="B1920" s="17"/>
      <c r="C1920" s="2"/>
      <c r="D1920" s="2"/>
      <c r="E1920" s="2"/>
      <c r="F1920" s="2"/>
      <c r="G1920" s="2"/>
      <c r="H1920" s="2"/>
      <c r="I1920" s="5"/>
    </row>
    <row r="1921" spans="1:9" ht="17.399999999999999" x14ac:dyDescent="0.25">
      <c r="A1921" s="16"/>
      <c r="B1921" s="17"/>
      <c r="C1921" s="2"/>
      <c r="D1921" s="2"/>
      <c r="E1921" s="2"/>
      <c r="F1921" s="2"/>
      <c r="G1921" s="2"/>
      <c r="H1921" s="2"/>
      <c r="I1921" s="5"/>
    </row>
    <row r="1922" spans="1:9" ht="17.399999999999999" x14ac:dyDescent="0.25">
      <c r="A1922" s="16"/>
      <c r="B1922" s="17"/>
      <c r="C1922" s="2"/>
      <c r="D1922" s="2"/>
      <c r="E1922" s="2"/>
      <c r="F1922" s="2"/>
      <c r="G1922" s="2"/>
      <c r="H1922" s="2"/>
      <c r="I1922" s="5"/>
    </row>
    <row r="1923" spans="1:9" ht="17.399999999999999" x14ac:dyDescent="0.25">
      <c r="A1923" s="16"/>
      <c r="B1923" s="17"/>
      <c r="C1923" s="2"/>
      <c r="D1923" s="2"/>
      <c r="E1923" s="2"/>
      <c r="F1923" s="2"/>
      <c r="G1923" s="2"/>
      <c r="H1923" s="2"/>
      <c r="I1923" s="5"/>
    </row>
    <row r="1924" spans="1:9" ht="17.399999999999999" x14ac:dyDescent="0.25">
      <c r="A1924" s="16"/>
      <c r="B1924" s="17"/>
      <c r="C1924" s="2"/>
      <c r="D1924" s="2"/>
      <c r="E1924" s="2"/>
      <c r="F1924" s="2"/>
      <c r="G1924" s="2"/>
      <c r="H1924" s="2"/>
      <c r="I1924" s="5"/>
    </row>
    <row r="1925" spans="1:9" ht="17.399999999999999" x14ac:dyDescent="0.25">
      <c r="A1925" s="16"/>
      <c r="B1925" s="17"/>
      <c r="C1925" s="2"/>
      <c r="D1925" s="2"/>
      <c r="E1925" s="2"/>
      <c r="F1925" s="2"/>
      <c r="G1925" s="2"/>
      <c r="H1925" s="2"/>
      <c r="I1925" s="5"/>
    </row>
    <row r="1926" spans="1:9" ht="17.399999999999999" x14ac:dyDescent="0.25">
      <c r="A1926" s="16"/>
      <c r="B1926" s="17"/>
      <c r="C1926" s="2"/>
      <c r="D1926" s="2"/>
      <c r="E1926" s="2"/>
      <c r="F1926" s="2"/>
      <c r="G1926" s="2"/>
      <c r="H1926" s="2"/>
      <c r="I1926" s="5"/>
    </row>
    <row r="1927" spans="1:9" ht="17.399999999999999" x14ac:dyDescent="0.25">
      <c r="A1927" s="16"/>
      <c r="B1927" s="17"/>
      <c r="C1927" s="2"/>
      <c r="D1927" s="2"/>
      <c r="E1927" s="2"/>
      <c r="F1927" s="2"/>
      <c r="G1927" s="2"/>
      <c r="H1927" s="2"/>
      <c r="I1927" s="5"/>
    </row>
    <row r="1928" spans="1:9" ht="17.399999999999999" x14ac:dyDescent="0.25">
      <c r="A1928" s="16"/>
      <c r="B1928" s="17"/>
      <c r="C1928" s="2"/>
      <c r="D1928" s="2"/>
      <c r="E1928" s="2"/>
      <c r="F1928" s="2"/>
      <c r="G1928" s="2"/>
      <c r="H1928" s="2"/>
      <c r="I1928" s="5"/>
    </row>
    <row r="1929" spans="1:9" ht="17.399999999999999" x14ac:dyDescent="0.25">
      <c r="A1929" s="16"/>
      <c r="B1929" s="17"/>
      <c r="C1929" s="2"/>
      <c r="D1929" s="2"/>
      <c r="E1929" s="2"/>
      <c r="F1929" s="2"/>
      <c r="G1929" s="2"/>
      <c r="H1929" s="2"/>
      <c r="I1929" s="5"/>
    </row>
    <row r="1930" spans="1:9" ht="17.399999999999999" x14ac:dyDescent="0.25">
      <c r="A1930" s="16"/>
      <c r="B1930" s="17"/>
      <c r="C1930" s="2"/>
      <c r="D1930" s="2"/>
      <c r="E1930" s="2"/>
      <c r="F1930" s="2"/>
      <c r="G1930" s="2"/>
      <c r="H1930" s="2"/>
      <c r="I1930" s="5"/>
    </row>
    <row r="1931" spans="1:9" ht="17.399999999999999" x14ac:dyDescent="0.25">
      <c r="A1931" s="16"/>
      <c r="B1931" s="17"/>
      <c r="C1931" s="2"/>
      <c r="D1931" s="2"/>
      <c r="E1931" s="2"/>
      <c r="F1931" s="2"/>
      <c r="G1931" s="2"/>
      <c r="H1931" s="2"/>
      <c r="I1931" s="5"/>
    </row>
    <row r="1932" spans="1:9" ht="17.399999999999999" x14ac:dyDescent="0.25">
      <c r="A1932" s="16"/>
      <c r="B1932" s="17"/>
      <c r="C1932" s="2"/>
      <c r="D1932" s="2"/>
      <c r="E1932" s="2"/>
      <c r="F1932" s="2"/>
      <c r="G1932" s="2"/>
      <c r="H1932" s="2"/>
      <c r="I1932" s="5"/>
    </row>
    <row r="1933" spans="1:9" ht="17.399999999999999" x14ac:dyDescent="0.25">
      <c r="A1933" s="16"/>
      <c r="B1933" s="17"/>
      <c r="C1933" s="2"/>
      <c r="D1933" s="2"/>
      <c r="E1933" s="2"/>
      <c r="F1933" s="2"/>
      <c r="G1933" s="2"/>
      <c r="H1933" s="2"/>
      <c r="I1933" s="5"/>
    </row>
    <row r="1934" spans="1:9" ht="17.399999999999999" x14ac:dyDescent="0.25">
      <c r="A1934" s="16"/>
      <c r="B1934" s="17"/>
      <c r="C1934" s="2"/>
      <c r="D1934" s="2"/>
      <c r="E1934" s="2"/>
      <c r="F1934" s="2"/>
      <c r="G1934" s="2"/>
      <c r="H1934" s="2"/>
      <c r="I1934" s="5"/>
    </row>
    <row r="1935" spans="1:9" ht="17.399999999999999" x14ac:dyDescent="0.25">
      <c r="A1935" s="16"/>
      <c r="B1935" s="17"/>
      <c r="C1935" s="2"/>
      <c r="D1935" s="2"/>
      <c r="E1935" s="2"/>
      <c r="F1935" s="2"/>
      <c r="G1935" s="2"/>
      <c r="H1935" s="2"/>
      <c r="I1935" s="5"/>
    </row>
    <row r="1936" spans="1:9" ht="17.399999999999999" x14ac:dyDescent="0.25">
      <c r="A1936" s="16"/>
      <c r="B1936" s="17"/>
      <c r="C1936" s="2"/>
      <c r="D1936" s="2"/>
      <c r="E1936" s="2"/>
      <c r="F1936" s="2"/>
      <c r="G1936" s="2"/>
      <c r="H1936" s="2"/>
      <c r="I1936" s="5"/>
    </row>
    <row r="1937" spans="1:9" ht="17.399999999999999" x14ac:dyDescent="0.25">
      <c r="A1937" s="16"/>
      <c r="B1937" s="17"/>
      <c r="C1937" s="2"/>
      <c r="D1937" s="2"/>
      <c r="E1937" s="2"/>
      <c r="F1937" s="2"/>
      <c r="G1937" s="2"/>
      <c r="H1937" s="2"/>
      <c r="I1937" s="5"/>
    </row>
    <row r="1938" spans="1:9" ht="17.399999999999999" x14ac:dyDescent="0.25">
      <c r="A1938" s="16"/>
      <c r="B1938" s="17"/>
      <c r="C1938" s="2"/>
      <c r="D1938" s="2"/>
      <c r="E1938" s="2"/>
      <c r="F1938" s="2"/>
      <c r="G1938" s="2"/>
      <c r="H1938" s="2"/>
      <c r="I1938" s="5"/>
    </row>
    <row r="1939" spans="1:9" ht="17.399999999999999" x14ac:dyDescent="0.25">
      <c r="A1939" s="16"/>
      <c r="B1939" s="17"/>
      <c r="C1939" s="2"/>
      <c r="D1939" s="2"/>
      <c r="E1939" s="2"/>
      <c r="F1939" s="2"/>
      <c r="G1939" s="2"/>
      <c r="H1939" s="2"/>
      <c r="I1939" s="5"/>
    </row>
    <row r="1940" spans="1:9" ht="17.399999999999999" x14ac:dyDescent="0.25">
      <c r="A1940" s="16"/>
      <c r="B1940" s="17"/>
      <c r="C1940" s="2"/>
      <c r="D1940" s="2"/>
      <c r="E1940" s="2"/>
      <c r="F1940" s="2"/>
      <c r="G1940" s="2"/>
      <c r="H1940" s="2"/>
      <c r="I1940" s="5"/>
    </row>
    <row r="1941" spans="1:9" ht="17.399999999999999" x14ac:dyDescent="0.25">
      <c r="A1941" s="16"/>
      <c r="B1941" s="17"/>
      <c r="C1941" s="2" t="b">
        <v>0</v>
      </c>
      <c r="D1941" s="2"/>
      <c r="E1941" s="2"/>
      <c r="F1941" s="2"/>
      <c r="G1941" s="2"/>
      <c r="H1941" s="2"/>
      <c r="I1941" s="5"/>
    </row>
    <row r="1942" spans="1:9" ht="17.399999999999999" x14ac:dyDescent="0.25">
      <c r="A1942" s="16"/>
      <c r="B1942" s="17"/>
      <c r="C1942" s="2" t="b">
        <v>0</v>
      </c>
      <c r="D1942" s="2"/>
      <c r="E1942" s="2"/>
      <c r="F1942" s="2"/>
      <c r="G1942" s="2"/>
      <c r="H1942" s="2"/>
      <c r="I1942" s="5"/>
    </row>
    <row r="1943" spans="1:9" ht="17.399999999999999" x14ac:dyDescent="0.25">
      <c r="A1943" s="16"/>
      <c r="B1943" s="17"/>
      <c r="C1943" s="2" t="b">
        <v>0</v>
      </c>
      <c r="D1943" s="2"/>
      <c r="E1943" s="2"/>
      <c r="F1943" s="2"/>
      <c r="G1943" s="2"/>
      <c r="H1943" s="2"/>
      <c r="I1943" s="5"/>
    </row>
    <row r="1944" spans="1:9" ht="17.399999999999999" x14ac:dyDescent="0.25">
      <c r="A1944" s="16"/>
      <c r="B1944" s="17"/>
      <c r="C1944" s="2" t="b">
        <v>0</v>
      </c>
      <c r="D1944" s="2"/>
      <c r="E1944" s="2"/>
      <c r="F1944" s="2"/>
      <c r="G1944" s="2"/>
      <c r="H1944" s="2"/>
      <c r="I1944" s="5"/>
    </row>
    <row r="1945" spans="1:9" ht="17.399999999999999" x14ac:dyDescent="0.25">
      <c r="A1945" s="16"/>
      <c r="B1945" s="17"/>
      <c r="C1945" s="2" t="b">
        <v>0</v>
      </c>
      <c r="D1945" s="2"/>
      <c r="E1945" s="2"/>
      <c r="F1945" s="2"/>
      <c r="G1945" s="2"/>
      <c r="H1945" s="2"/>
      <c r="I1945" s="5"/>
    </row>
    <row r="1946" spans="1:9" ht="17.399999999999999" x14ac:dyDescent="0.25">
      <c r="A1946" s="16"/>
      <c r="B1946" s="17"/>
      <c r="C1946" s="2" t="b">
        <v>0</v>
      </c>
      <c r="D1946" s="2"/>
      <c r="E1946" s="2"/>
      <c r="F1946" s="2"/>
      <c r="G1946" s="2"/>
      <c r="H1946" s="2"/>
      <c r="I1946" s="5"/>
    </row>
    <row r="1947" spans="1:9" ht="17.399999999999999" x14ac:dyDescent="0.25">
      <c r="A1947" s="16"/>
      <c r="B1947" s="17"/>
      <c r="C1947" s="2" t="b">
        <v>0</v>
      </c>
      <c r="D1947" s="2"/>
      <c r="E1947" s="2"/>
      <c r="F1947" s="2"/>
      <c r="G1947" s="2"/>
      <c r="H1947" s="2"/>
      <c r="I1947" s="5"/>
    </row>
    <row r="1948" spans="1:9" ht="17.399999999999999" x14ac:dyDescent="0.25">
      <c r="A1948" s="16"/>
      <c r="B1948" s="17"/>
      <c r="C1948" s="2" t="b">
        <v>0</v>
      </c>
      <c r="D1948" s="2"/>
      <c r="E1948" s="2"/>
      <c r="F1948" s="2"/>
      <c r="G1948" s="2"/>
      <c r="H1948" s="2"/>
      <c r="I1948" s="5"/>
    </row>
    <row r="1949" spans="1:9" ht="17.399999999999999" x14ac:dyDescent="0.25">
      <c r="A1949" s="16"/>
      <c r="B1949" s="17"/>
      <c r="C1949" s="2" t="b">
        <v>0</v>
      </c>
      <c r="D1949" s="2"/>
      <c r="E1949" s="2"/>
      <c r="F1949" s="2"/>
      <c r="G1949" s="2"/>
      <c r="H1949" s="2"/>
      <c r="I1949" s="5"/>
    </row>
    <row r="1950" spans="1:9" ht="17.399999999999999" x14ac:dyDescent="0.25">
      <c r="A1950" s="16"/>
      <c r="B1950" s="17"/>
      <c r="C1950" s="2" t="b">
        <v>0</v>
      </c>
      <c r="D1950" s="2"/>
      <c r="E1950" s="2"/>
      <c r="F1950" s="2"/>
      <c r="G1950" s="2"/>
      <c r="H1950" s="2"/>
      <c r="I1950" s="5"/>
    </row>
    <row r="1951" spans="1:9" ht="17.399999999999999" x14ac:dyDescent="0.25">
      <c r="A1951" s="16"/>
      <c r="B1951" s="17"/>
      <c r="C1951" s="2" t="b">
        <v>0</v>
      </c>
      <c r="D1951" s="2"/>
      <c r="E1951" s="2"/>
      <c r="F1951" s="2"/>
      <c r="G1951" s="2"/>
      <c r="H1951" s="2"/>
      <c r="I1951" s="5"/>
    </row>
    <row r="1952" spans="1:9" ht="17.399999999999999" x14ac:dyDescent="0.25">
      <c r="A1952" s="16"/>
      <c r="B1952" s="17"/>
      <c r="C1952" s="2" t="b">
        <v>0</v>
      </c>
      <c r="D1952" s="2"/>
      <c r="E1952" s="2"/>
      <c r="F1952" s="2"/>
      <c r="G1952" s="2"/>
      <c r="H1952" s="2"/>
      <c r="I1952" s="5"/>
    </row>
    <row r="1953" spans="1:9" ht="17.399999999999999" x14ac:dyDescent="0.25">
      <c r="A1953" s="16"/>
      <c r="B1953" s="17"/>
      <c r="C1953" s="2" t="b">
        <v>0</v>
      </c>
      <c r="D1953" s="2"/>
      <c r="E1953" s="2"/>
      <c r="F1953" s="2"/>
      <c r="G1953" s="2"/>
      <c r="H1953" s="2"/>
      <c r="I1953" s="5"/>
    </row>
    <row r="1954" spans="1:9" ht="17.399999999999999" x14ac:dyDescent="0.25">
      <c r="A1954" s="16"/>
      <c r="B1954" s="17"/>
      <c r="C1954" s="2" t="b">
        <v>0</v>
      </c>
      <c r="D1954" s="2"/>
      <c r="E1954" s="2"/>
      <c r="F1954" s="2"/>
      <c r="G1954" s="2"/>
      <c r="H1954" s="2"/>
      <c r="I1954" s="5"/>
    </row>
    <row r="1955" spans="1:9" ht="17.399999999999999" x14ac:dyDescent="0.25">
      <c r="A1955" s="16"/>
      <c r="B1955" s="17"/>
      <c r="C1955" s="2" t="b">
        <v>0</v>
      </c>
      <c r="D1955" s="2"/>
      <c r="E1955" s="2"/>
      <c r="F1955" s="2"/>
      <c r="G1955" s="2"/>
      <c r="H1955" s="2"/>
      <c r="I1955" s="5"/>
    </row>
    <row r="1956" spans="1:9" ht="17.399999999999999" x14ac:dyDescent="0.25">
      <c r="A1956" s="16"/>
      <c r="B1956" s="17"/>
      <c r="C1956" s="2" t="b">
        <v>0</v>
      </c>
      <c r="D1956" s="2"/>
      <c r="E1956" s="2"/>
      <c r="F1956" s="2"/>
      <c r="G1956" s="2"/>
      <c r="H1956" s="2"/>
      <c r="I1956" s="5"/>
    </row>
    <row r="1957" spans="1:9" ht="17.399999999999999" x14ac:dyDescent="0.25">
      <c r="A1957" s="16"/>
      <c r="B1957" s="17"/>
      <c r="C1957" s="2" t="b">
        <v>0</v>
      </c>
      <c r="D1957" s="2"/>
      <c r="E1957" s="2"/>
      <c r="F1957" s="2"/>
      <c r="G1957" s="2"/>
      <c r="H1957" s="2"/>
      <c r="I1957" s="5"/>
    </row>
    <row r="1958" spans="1:9" ht="17.399999999999999" x14ac:dyDescent="0.25">
      <c r="A1958" s="16"/>
      <c r="B1958" s="17"/>
      <c r="C1958" s="2" t="b">
        <v>0</v>
      </c>
      <c r="D1958" s="2"/>
      <c r="E1958" s="2"/>
      <c r="F1958" s="2"/>
      <c r="G1958" s="2"/>
      <c r="H1958" s="2"/>
      <c r="I1958" s="5"/>
    </row>
    <row r="1959" spans="1:9" ht="17.399999999999999" x14ac:dyDescent="0.25">
      <c r="A1959" s="16"/>
      <c r="B1959" s="17"/>
      <c r="C1959" s="2" t="b">
        <v>0</v>
      </c>
      <c r="D1959" s="2"/>
      <c r="E1959" s="2"/>
      <c r="F1959" s="2"/>
      <c r="G1959" s="2"/>
      <c r="H1959" s="2"/>
      <c r="I1959" s="5"/>
    </row>
    <row r="1960" spans="1:9" ht="17.399999999999999" x14ac:dyDescent="0.25">
      <c r="A1960" s="16"/>
      <c r="B1960" s="17"/>
      <c r="C1960" s="2" t="b">
        <v>0</v>
      </c>
      <c r="D1960" s="2"/>
      <c r="E1960" s="2"/>
      <c r="F1960" s="2"/>
      <c r="G1960" s="2"/>
      <c r="H1960" s="2"/>
      <c r="I1960" s="5"/>
    </row>
    <row r="1961" spans="1:9" ht="17.399999999999999" x14ac:dyDescent="0.25">
      <c r="A1961" s="16"/>
      <c r="B1961" s="17"/>
      <c r="C1961" s="2" t="b">
        <v>0</v>
      </c>
      <c r="D1961" s="2"/>
      <c r="E1961" s="2"/>
      <c r="F1961" s="2"/>
      <c r="G1961" s="2"/>
      <c r="H1961" s="2"/>
      <c r="I1961" s="5"/>
    </row>
    <row r="1962" spans="1:9" ht="17.399999999999999" x14ac:dyDescent="0.25">
      <c r="A1962" s="16"/>
      <c r="B1962" s="17"/>
      <c r="C1962" s="2" t="b">
        <v>0</v>
      </c>
      <c r="D1962" s="2"/>
      <c r="E1962" s="2"/>
      <c r="F1962" s="2"/>
      <c r="G1962" s="2"/>
      <c r="H1962" s="2"/>
      <c r="I1962" s="5"/>
    </row>
    <row r="1963" spans="1:9" ht="17.399999999999999" x14ac:dyDescent="0.25">
      <c r="A1963" s="16"/>
      <c r="B1963" s="17"/>
      <c r="C1963" s="2" t="b">
        <v>0</v>
      </c>
      <c r="D1963" s="2"/>
      <c r="E1963" s="2"/>
      <c r="F1963" s="2"/>
      <c r="G1963" s="2"/>
      <c r="H1963" s="2"/>
      <c r="I1963" s="5"/>
    </row>
    <row r="1964" spans="1:9" ht="17.399999999999999" x14ac:dyDescent="0.25">
      <c r="A1964" s="16"/>
      <c r="B1964" s="17"/>
      <c r="C1964" s="2" t="b">
        <v>0</v>
      </c>
      <c r="D1964" s="2"/>
      <c r="E1964" s="2"/>
      <c r="F1964" s="2"/>
      <c r="G1964" s="2"/>
      <c r="H1964" s="2"/>
      <c r="I1964" s="5"/>
    </row>
    <row r="1965" spans="1:9" ht="17.399999999999999" x14ac:dyDescent="0.25">
      <c r="A1965" s="16"/>
      <c r="B1965" s="17"/>
      <c r="C1965" s="2" t="b">
        <v>0</v>
      </c>
      <c r="D1965" s="2"/>
      <c r="E1965" s="2"/>
      <c r="F1965" s="2"/>
      <c r="G1965" s="2"/>
      <c r="H1965" s="2"/>
      <c r="I1965" s="5"/>
    </row>
    <row r="1966" spans="1:9" ht="17.399999999999999" x14ac:dyDescent="0.25">
      <c r="A1966" s="16"/>
      <c r="B1966" s="17"/>
      <c r="C1966" s="2" t="b">
        <v>0</v>
      </c>
      <c r="D1966" s="2"/>
      <c r="E1966" s="2"/>
      <c r="F1966" s="2"/>
      <c r="G1966" s="2"/>
      <c r="H1966" s="2"/>
      <c r="I1966" s="5"/>
    </row>
    <row r="1967" spans="1:9" ht="17.399999999999999" x14ac:dyDescent="0.25">
      <c r="A1967" s="16"/>
      <c r="B1967" s="17"/>
      <c r="C1967" s="2" t="b">
        <v>0</v>
      </c>
      <c r="D1967" s="2"/>
      <c r="E1967" s="2"/>
      <c r="F1967" s="2"/>
      <c r="G1967" s="2"/>
      <c r="H1967" s="2"/>
      <c r="I1967" s="5"/>
    </row>
    <row r="1968" spans="1:9" ht="17.399999999999999" x14ac:dyDescent="0.25">
      <c r="A1968" s="16"/>
      <c r="B1968" s="17"/>
      <c r="C1968" s="2" t="b">
        <v>0</v>
      </c>
      <c r="D1968" s="2"/>
      <c r="E1968" s="2"/>
      <c r="F1968" s="2"/>
      <c r="G1968" s="2"/>
      <c r="H1968" s="2"/>
      <c r="I1968" s="5"/>
    </row>
    <row r="1969" spans="1:9" ht="17.399999999999999" x14ac:dyDescent="0.25">
      <c r="A1969" s="16"/>
      <c r="B1969" s="17"/>
      <c r="C1969" s="2" t="b">
        <v>0</v>
      </c>
      <c r="D1969" s="2"/>
      <c r="E1969" s="2"/>
      <c r="F1969" s="2"/>
      <c r="G1969" s="2"/>
      <c r="H1969" s="2"/>
      <c r="I1969" s="5"/>
    </row>
    <row r="1970" spans="1:9" ht="17.399999999999999" x14ac:dyDescent="0.25">
      <c r="A1970" s="16"/>
      <c r="B1970" s="17"/>
      <c r="C1970" s="2" t="b">
        <v>0</v>
      </c>
      <c r="D1970" s="2"/>
      <c r="E1970" s="2"/>
      <c r="F1970" s="2"/>
      <c r="G1970" s="2"/>
      <c r="H1970" s="2"/>
      <c r="I1970" s="5"/>
    </row>
    <row r="1971" spans="1:9" ht="17.399999999999999" x14ac:dyDescent="0.25">
      <c r="A1971" s="16"/>
      <c r="B1971" s="17"/>
      <c r="C1971" s="2" t="b">
        <v>0</v>
      </c>
      <c r="D1971" s="2"/>
      <c r="E1971" s="2"/>
      <c r="F1971" s="2"/>
      <c r="G1971" s="2"/>
      <c r="H1971" s="2"/>
      <c r="I1971" s="5"/>
    </row>
    <row r="1972" spans="1:9" ht="17.399999999999999" x14ac:dyDescent="0.25">
      <c r="A1972" s="16"/>
      <c r="B1972" s="17"/>
      <c r="C1972" s="2" t="b">
        <v>0</v>
      </c>
      <c r="D1972" s="2"/>
      <c r="E1972" s="2"/>
      <c r="F1972" s="2"/>
      <c r="G1972" s="2"/>
      <c r="H1972" s="2"/>
      <c r="I1972" s="5"/>
    </row>
    <row r="1973" spans="1:9" ht="17.399999999999999" x14ac:dyDescent="0.25">
      <c r="A1973" s="16"/>
      <c r="B1973" s="17"/>
      <c r="C1973" s="2" t="b">
        <v>0</v>
      </c>
      <c r="D1973" s="2"/>
      <c r="E1973" s="2"/>
      <c r="F1973" s="2"/>
      <c r="G1973" s="2"/>
      <c r="H1973" s="2"/>
      <c r="I1973" s="5"/>
    </row>
    <row r="1974" spans="1:9" ht="17.399999999999999" x14ac:dyDescent="0.25">
      <c r="A1974" s="16"/>
      <c r="B1974" s="17"/>
      <c r="C1974" s="2" t="b">
        <v>0</v>
      </c>
      <c r="D1974" s="2"/>
      <c r="E1974" s="2"/>
      <c r="F1974" s="2"/>
      <c r="G1974" s="2"/>
      <c r="H1974" s="2"/>
      <c r="I1974" s="5"/>
    </row>
    <row r="1975" spans="1:9" ht="17.399999999999999" x14ac:dyDescent="0.25">
      <c r="A1975" s="16"/>
      <c r="B1975" s="17"/>
      <c r="C1975" s="2" t="b">
        <v>0</v>
      </c>
      <c r="D1975" s="2"/>
      <c r="E1975" s="2"/>
      <c r="F1975" s="2"/>
      <c r="G1975" s="2"/>
      <c r="H1975" s="2"/>
      <c r="I1975" s="5"/>
    </row>
    <row r="1976" spans="1:9" ht="17.399999999999999" x14ac:dyDescent="0.25">
      <c r="A1976" s="16"/>
      <c r="B1976" s="17"/>
      <c r="C1976" s="2" t="b">
        <v>0</v>
      </c>
      <c r="D1976" s="2"/>
      <c r="E1976" s="2"/>
      <c r="F1976" s="2"/>
      <c r="G1976" s="2"/>
      <c r="H1976" s="2"/>
      <c r="I1976" s="5"/>
    </row>
    <row r="1977" spans="1:9" ht="17.399999999999999" x14ac:dyDescent="0.25">
      <c r="A1977" s="16"/>
      <c r="B1977" s="17"/>
      <c r="C1977" s="2" t="b">
        <v>0</v>
      </c>
      <c r="D1977" s="2"/>
      <c r="E1977" s="2"/>
      <c r="F1977" s="2"/>
      <c r="G1977" s="2"/>
      <c r="H1977" s="2"/>
      <c r="I1977" s="5"/>
    </row>
    <row r="1978" spans="1:9" ht="17.399999999999999" x14ac:dyDescent="0.25">
      <c r="A1978" s="16"/>
      <c r="B1978" s="17"/>
      <c r="C1978" s="2" t="b">
        <v>0</v>
      </c>
      <c r="D1978" s="2"/>
      <c r="E1978" s="2"/>
      <c r="F1978" s="2"/>
      <c r="G1978" s="2"/>
      <c r="H1978" s="2"/>
      <c r="I1978" s="5"/>
    </row>
    <row r="1979" spans="1:9" ht="17.399999999999999" x14ac:dyDescent="0.25">
      <c r="A1979" s="16"/>
      <c r="B1979" s="17"/>
      <c r="C1979" s="2" t="b">
        <v>0</v>
      </c>
      <c r="D1979" s="2"/>
      <c r="E1979" s="2"/>
      <c r="F1979" s="2"/>
      <c r="G1979" s="2"/>
      <c r="H1979" s="2"/>
      <c r="I1979" s="5"/>
    </row>
    <row r="1980" spans="1:9" ht="17.399999999999999" x14ac:dyDescent="0.25">
      <c r="A1980" s="16"/>
      <c r="B1980" s="17"/>
      <c r="C1980" s="2" t="b">
        <v>0</v>
      </c>
      <c r="D1980" s="2"/>
      <c r="E1980" s="2"/>
      <c r="F1980" s="2"/>
      <c r="G1980" s="2"/>
      <c r="H1980" s="2"/>
      <c r="I1980" s="5"/>
    </row>
    <row r="1981" spans="1:9" ht="17.399999999999999" x14ac:dyDescent="0.25">
      <c r="A1981" s="16"/>
      <c r="B1981" s="17"/>
      <c r="C1981" s="2" t="b">
        <v>0</v>
      </c>
      <c r="D1981" s="2"/>
      <c r="E1981" s="2"/>
      <c r="F1981" s="2"/>
      <c r="G1981" s="2"/>
      <c r="H1981" s="2"/>
      <c r="I1981" s="5"/>
    </row>
    <row r="1982" spans="1:9" ht="17.399999999999999" x14ac:dyDescent="0.25">
      <c r="A1982" s="16"/>
      <c r="B1982" s="17"/>
      <c r="C1982" s="2" t="b">
        <v>0</v>
      </c>
      <c r="D1982" s="2"/>
      <c r="E1982" s="2"/>
      <c r="F1982" s="2"/>
      <c r="G1982" s="2"/>
      <c r="H1982" s="2"/>
      <c r="I1982" s="5"/>
    </row>
    <row r="1983" spans="1:9" ht="17.399999999999999" x14ac:dyDescent="0.25">
      <c r="A1983" s="16"/>
      <c r="B1983" s="17"/>
      <c r="C1983" s="2" t="b">
        <v>0</v>
      </c>
      <c r="D1983" s="2"/>
      <c r="E1983" s="2"/>
      <c r="F1983" s="2"/>
      <c r="G1983" s="2"/>
      <c r="H1983" s="2"/>
      <c r="I1983" s="5"/>
    </row>
    <row r="1984" spans="1:9" ht="17.399999999999999" x14ac:dyDescent="0.25">
      <c r="A1984" s="16"/>
      <c r="B1984" s="17"/>
      <c r="C1984" s="2" t="b">
        <v>0</v>
      </c>
      <c r="D1984" s="2"/>
      <c r="E1984" s="2"/>
      <c r="F1984" s="2"/>
      <c r="G1984" s="2"/>
      <c r="H1984" s="2"/>
      <c r="I1984" s="5"/>
    </row>
    <row r="1985" spans="1:9" ht="17.399999999999999" x14ac:dyDescent="0.25">
      <c r="A1985" s="16"/>
      <c r="B1985" s="17"/>
      <c r="C1985" s="2" t="b">
        <v>0</v>
      </c>
      <c r="D1985" s="2"/>
      <c r="E1985" s="2"/>
      <c r="F1985" s="2"/>
      <c r="G1985" s="2"/>
      <c r="H1985" s="2"/>
      <c r="I1985" s="5"/>
    </row>
    <row r="1986" spans="1:9" ht="17.399999999999999" x14ac:dyDescent="0.25">
      <c r="A1986" s="16"/>
      <c r="B1986" s="17"/>
      <c r="C1986" s="2" t="b">
        <v>0</v>
      </c>
      <c r="D1986" s="2"/>
      <c r="E1986" s="2"/>
      <c r="F1986" s="2"/>
      <c r="G1986" s="2"/>
      <c r="H1986" s="2"/>
      <c r="I1986" s="5"/>
    </row>
    <row r="1987" spans="1:9" ht="17.399999999999999" x14ac:dyDescent="0.25">
      <c r="A1987" s="16"/>
      <c r="B1987" s="17"/>
      <c r="C1987" s="2" t="b">
        <v>0</v>
      </c>
      <c r="D1987" s="2"/>
      <c r="E1987" s="2"/>
      <c r="F1987" s="2"/>
      <c r="G1987" s="2"/>
      <c r="H1987" s="2"/>
      <c r="I1987" s="5"/>
    </row>
    <row r="1988" spans="1:9" ht="17.399999999999999" x14ac:dyDescent="0.25">
      <c r="A1988" s="16"/>
      <c r="B1988" s="17"/>
      <c r="C1988" s="2" t="b">
        <v>0</v>
      </c>
      <c r="D1988" s="2"/>
      <c r="E1988" s="2"/>
      <c r="F1988" s="2"/>
      <c r="G1988" s="2"/>
      <c r="H1988" s="2"/>
      <c r="I1988" s="5"/>
    </row>
    <row r="1989" spans="1:9" ht="17.399999999999999" x14ac:dyDescent="0.25">
      <c r="A1989" s="16"/>
      <c r="B1989" s="17"/>
      <c r="C1989" s="2" t="b">
        <v>0</v>
      </c>
      <c r="D1989" s="2"/>
      <c r="E1989" s="2"/>
      <c r="F1989" s="2"/>
      <c r="G1989" s="2"/>
      <c r="H1989" s="2"/>
      <c r="I1989" s="5"/>
    </row>
    <row r="1990" spans="1:9" ht="17.399999999999999" x14ac:dyDescent="0.25">
      <c r="A1990" s="16"/>
      <c r="B1990" s="17"/>
      <c r="C1990" s="2" t="b">
        <v>0</v>
      </c>
      <c r="D1990" s="2"/>
      <c r="E1990" s="2"/>
      <c r="F1990" s="2"/>
      <c r="G1990" s="2"/>
      <c r="H1990" s="2"/>
      <c r="I1990" s="5"/>
    </row>
    <row r="1991" spans="1:9" ht="17.399999999999999" x14ac:dyDescent="0.25">
      <c r="A1991" s="16"/>
      <c r="B1991" s="17"/>
      <c r="C1991" s="2" t="b">
        <v>0</v>
      </c>
      <c r="D1991" s="2"/>
      <c r="E1991" s="2"/>
      <c r="F1991" s="2"/>
      <c r="G1991" s="2"/>
      <c r="H1991" s="2"/>
      <c r="I1991" s="5"/>
    </row>
    <row r="1992" spans="1:9" ht="17.399999999999999" x14ac:dyDescent="0.25">
      <c r="A1992" s="16"/>
      <c r="B1992" s="17"/>
      <c r="C1992" s="2" t="b">
        <v>0</v>
      </c>
      <c r="D1992" s="2"/>
      <c r="E1992" s="2"/>
      <c r="F1992" s="2"/>
      <c r="G1992" s="2"/>
      <c r="H1992" s="2"/>
      <c r="I1992" s="5"/>
    </row>
    <row r="1993" spans="1:9" ht="17.399999999999999" x14ac:dyDescent="0.25">
      <c r="A1993" s="16"/>
      <c r="B1993" s="17"/>
      <c r="C1993" s="2" t="b">
        <v>0</v>
      </c>
      <c r="D1993" s="2"/>
      <c r="E1993" s="2"/>
      <c r="F1993" s="2"/>
      <c r="G1993" s="2"/>
      <c r="H1993" s="2"/>
      <c r="I1993" s="5"/>
    </row>
    <row r="1994" spans="1:9" ht="17.399999999999999" x14ac:dyDescent="0.25">
      <c r="A1994" s="16"/>
      <c r="B1994" s="17"/>
      <c r="C1994" s="2" t="b">
        <v>0</v>
      </c>
      <c r="D1994" s="2"/>
      <c r="E1994" s="2"/>
      <c r="F1994" s="2"/>
      <c r="G1994" s="2"/>
      <c r="H1994" s="2"/>
      <c r="I1994" s="5"/>
    </row>
    <row r="1995" spans="1:9" ht="17.399999999999999" x14ac:dyDescent="0.25">
      <c r="A1995" s="16"/>
      <c r="B1995" s="17"/>
      <c r="C1995" s="2" t="b">
        <v>0</v>
      </c>
      <c r="D1995" s="2"/>
      <c r="E1995" s="2"/>
      <c r="F1995" s="2"/>
      <c r="G1995" s="2"/>
      <c r="H1995" s="2"/>
      <c r="I1995" s="5"/>
    </row>
    <row r="1996" spans="1:9" ht="17.399999999999999" x14ac:dyDescent="0.25">
      <c r="A1996" s="16"/>
      <c r="B1996" s="17"/>
      <c r="C1996" s="2" t="b">
        <v>0</v>
      </c>
      <c r="D1996" s="2"/>
      <c r="E1996" s="2"/>
      <c r="F1996" s="2"/>
      <c r="G1996" s="2"/>
      <c r="H1996" s="2"/>
      <c r="I1996" s="5"/>
    </row>
    <row r="1997" spans="1:9" ht="17.399999999999999" x14ac:dyDescent="0.25">
      <c r="A1997" s="16"/>
      <c r="B1997" s="17"/>
      <c r="C1997" s="2" t="b">
        <v>0</v>
      </c>
      <c r="D1997" s="2"/>
      <c r="E1997" s="2"/>
      <c r="F1997" s="2"/>
      <c r="G1997" s="2"/>
      <c r="H1997" s="2"/>
      <c r="I1997" s="5"/>
    </row>
    <row r="1998" spans="1:9" ht="17.399999999999999" x14ac:dyDescent="0.25">
      <c r="A1998" s="16"/>
      <c r="B1998" s="17"/>
      <c r="C1998" s="2" t="b">
        <v>0</v>
      </c>
      <c r="D1998" s="2"/>
      <c r="E1998" s="2"/>
      <c r="F1998" s="2"/>
      <c r="G1998" s="2"/>
      <c r="H1998" s="2"/>
      <c r="I1998" s="5"/>
    </row>
    <row r="1999" spans="1:9" ht="17.399999999999999" x14ac:dyDescent="0.25">
      <c r="A1999" s="16"/>
      <c r="B1999" s="17"/>
      <c r="C1999" s="2" t="b">
        <v>0</v>
      </c>
      <c r="D1999" s="2"/>
      <c r="E1999" s="2"/>
      <c r="F1999" s="2"/>
      <c r="G1999" s="2"/>
      <c r="H1999" s="2"/>
      <c r="I1999" s="5"/>
    </row>
    <row r="2000" spans="1:9" ht="17.399999999999999" x14ac:dyDescent="0.25">
      <c r="A2000" s="16"/>
      <c r="B2000" s="17"/>
      <c r="C2000" s="2" t="b">
        <v>0</v>
      </c>
      <c r="D2000" s="2"/>
      <c r="E2000" s="2"/>
      <c r="F2000" s="2"/>
      <c r="G2000" s="2"/>
      <c r="H2000" s="2"/>
      <c r="I2000" s="5"/>
    </row>
    <row r="2001" spans="1:9" ht="17.399999999999999" x14ac:dyDescent="0.25">
      <c r="A2001" s="16"/>
      <c r="B2001" s="17"/>
      <c r="C2001" s="2" t="b">
        <v>0</v>
      </c>
      <c r="D2001" s="2"/>
      <c r="E2001" s="2"/>
      <c r="F2001" s="2"/>
      <c r="G2001" s="2"/>
      <c r="H2001" s="2"/>
      <c r="I2001" s="5"/>
    </row>
    <row r="2002" spans="1:9" ht="17.399999999999999" x14ac:dyDescent="0.25">
      <c r="A2002" s="16"/>
      <c r="B2002" s="17"/>
      <c r="C2002" s="2" t="b">
        <v>0</v>
      </c>
      <c r="D2002" s="2"/>
      <c r="E2002" s="2"/>
      <c r="F2002" s="2"/>
      <c r="G2002" s="2"/>
      <c r="H2002" s="2"/>
      <c r="I2002" s="5"/>
    </row>
    <row r="2003" spans="1:9" ht="17.399999999999999" x14ac:dyDescent="0.25">
      <c r="A2003" s="16"/>
      <c r="B2003" s="17"/>
      <c r="C2003" s="2" t="b">
        <v>0</v>
      </c>
      <c r="D2003" s="2"/>
      <c r="E2003" s="2"/>
      <c r="F2003" s="2"/>
      <c r="G2003" s="2"/>
      <c r="H2003" s="2"/>
      <c r="I2003" s="5"/>
    </row>
    <row r="2004" spans="1:9" ht="17.399999999999999" x14ac:dyDescent="0.25">
      <c r="A2004" s="16"/>
      <c r="B2004" s="17"/>
      <c r="C2004" s="2" t="b">
        <v>0</v>
      </c>
      <c r="D2004" s="2"/>
      <c r="E2004" s="2"/>
      <c r="F2004" s="2"/>
      <c r="G2004" s="2"/>
      <c r="H2004" s="2"/>
      <c r="I2004" s="5"/>
    </row>
    <row r="2005" spans="1:9" ht="17.399999999999999" x14ac:dyDescent="0.25">
      <c r="A2005" s="16"/>
      <c r="B2005" s="17"/>
      <c r="C2005" s="2" t="b">
        <v>0</v>
      </c>
      <c r="D2005" s="2"/>
      <c r="E2005" s="2"/>
      <c r="F2005" s="2"/>
      <c r="G2005" s="2"/>
      <c r="H2005" s="2"/>
      <c r="I2005" s="5"/>
    </row>
    <row r="2006" spans="1:9" ht="17.399999999999999" x14ac:dyDescent="0.25">
      <c r="A2006" s="16"/>
      <c r="B2006" s="17"/>
      <c r="C2006" s="2" t="b">
        <v>0</v>
      </c>
      <c r="D2006" s="2"/>
      <c r="E2006" s="2"/>
      <c r="F2006" s="2"/>
      <c r="G2006" s="2"/>
      <c r="H2006" s="2"/>
      <c r="I2006" s="5"/>
    </row>
    <row r="2007" spans="1:9" ht="17.399999999999999" x14ac:dyDescent="0.25">
      <c r="A2007" s="16"/>
      <c r="B2007" s="17"/>
      <c r="C2007" s="2" t="b">
        <v>0</v>
      </c>
      <c r="D2007" s="2"/>
      <c r="E2007" s="2"/>
      <c r="F2007" s="2"/>
      <c r="G2007" s="2"/>
      <c r="H2007" s="2"/>
      <c r="I2007" s="5"/>
    </row>
    <row r="2008" spans="1:9" ht="17.399999999999999" x14ac:dyDescent="0.25">
      <c r="A2008" s="16"/>
      <c r="B2008" s="17"/>
      <c r="C2008" s="2" t="b">
        <v>0</v>
      </c>
      <c r="D2008" s="2"/>
      <c r="E2008" s="2"/>
      <c r="F2008" s="2"/>
      <c r="G2008" s="2"/>
      <c r="H2008" s="2"/>
      <c r="I2008" s="5"/>
    </row>
    <row r="2009" spans="1:9" ht="17.399999999999999" x14ac:dyDescent="0.25">
      <c r="A2009" s="16"/>
      <c r="B2009" s="17"/>
      <c r="C2009" s="2" t="b">
        <v>0</v>
      </c>
      <c r="D2009" s="2"/>
      <c r="E2009" s="2"/>
      <c r="F2009" s="2"/>
      <c r="G2009" s="2"/>
      <c r="H2009" s="2"/>
      <c r="I2009" s="5"/>
    </row>
    <row r="2010" spans="1:9" ht="17.399999999999999" x14ac:dyDescent="0.25">
      <c r="A2010" s="16"/>
      <c r="B2010" s="17"/>
      <c r="C2010" s="2" t="b">
        <v>0</v>
      </c>
      <c r="D2010" s="2"/>
      <c r="E2010" s="2"/>
      <c r="F2010" s="2"/>
      <c r="G2010" s="2"/>
      <c r="H2010" s="2"/>
      <c r="I2010" s="5"/>
    </row>
    <row r="2011" spans="1:9" ht="17.399999999999999" x14ac:dyDescent="0.25">
      <c r="A2011" s="16"/>
      <c r="B2011" s="17"/>
      <c r="C2011" s="2" t="b">
        <v>0</v>
      </c>
      <c r="D2011" s="2"/>
      <c r="E2011" s="2"/>
      <c r="F2011" s="2"/>
      <c r="G2011" s="2"/>
      <c r="H2011" s="2"/>
      <c r="I2011" s="5"/>
    </row>
    <row r="2012" spans="1:9" ht="17.399999999999999" x14ac:dyDescent="0.25">
      <c r="A2012" s="16"/>
      <c r="B2012" s="17"/>
      <c r="C2012" s="2" t="b">
        <v>0</v>
      </c>
      <c r="D2012" s="2"/>
      <c r="E2012" s="2"/>
      <c r="F2012" s="2"/>
      <c r="G2012" s="2"/>
      <c r="H2012" s="2"/>
      <c r="I2012" s="5"/>
    </row>
    <row r="2013" spans="1:9" ht="17.399999999999999" x14ac:dyDescent="0.25">
      <c r="A2013" s="16"/>
      <c r="B2013" s="17"/>
      <c r="C2013" s="2" t="b">
        <v>0</v>
      </c>
      <c r="D2013" s="2"/>
      <c r="E2013" s="2"/>
      <c r="F2013" s="2"/>
      <c r="G2013" s="2"/>
      <c r="H2013" s="2"/>
      <c r="I2013" s="5"/>
    </row>
    <row r="2014" spans="1:9" ht="17.399999999999999" x14ac:dyDescent="0.25">
      <c r="A2014" s="16"/>
      <c r="B2014" s="17"/>
      <c r="C2014" s="2" t="b">
        <v>0</v>
      </c>
      <c r="D2014" s="2"/>
      <c r="E2014" s="2"/>
      <c r="F2014" s="2"/>
      <c r="G2014" s="2"/>
      <c r="H2014" s="2"/>
      <c r="I2014" s="5"/>
    </row>
    <row r="2015" spans="1:9" ht="17.399999999999999" x14ac:dyDescent="0.25">
      <c r="A2015" s="16"/>
      <c r="B2015" s="17"/>
      <c r="C2015" s="2" t="b">
        <v>0</v>
      </c>
      <c r="D2015" s="2"/>
      <c r="E2015" s="2"/>
      <c r="F2015" s="2"/>
      <c r="G2015" s="2"/>
      <c r="H2015" s="2"/>
      <c r="I2015" s="5"/>
    </row>
    <row r="2016" spans="1:9" ht="17.399999999999999" x14ac:dyDescent="0.25">
      <c r="A2016" s="16"/>
      <c r="B2016" s="17"/>
      <c r="C2016" s="2" t="b">
        <v>0</v>
      </c>
      <c r="D2016" s="2"/>
      <c r="E2016" s="2"/>
      <c r="F2016" s="2"/>
      <c r="G2016" s="2"/>
      <c r="H2016" s="2"/>
      <c r="I2016" s="5"/>
    </row>
    <row r="2017" spans="1:9" ht="17.399999999999999" x14ac:dyDescent="0.25">
      <c r="A2017" s="16"/>
      <c r="B2017" s="17"/>
      <c r="C2017" s="2" t="b">
        <v>0</v>
      </c>
      <c r="D2017" s="2"/>
      <c r="E2017" s="2"/>
      <c r="F2017" s="2"/>
      <c r="G2017" s="2"/>
      <c r="H2017" s="2"/>
      <c r="I2017" s="5"/>
    </row>
    <row r="2018" spans="1:9" ht="17.399999999999999" x14ac:dyDescent="0.25">
      <c r="A2018" s="16"/>
      <c r="B2018" s="17"/>
      <c r="C2018" s="2" t="b">
        <v>0</v>
      </c>
      <c r="D2018" s="2"/>
      <c r="E2018" s="2"/>
      <c r="F2018" s="2"/>
      <c r="G2018" s="2"/>
      <c r="H2018" s="2"/>
      <c r="I2018" s="5"/>
    </row>
    <row r="2019" spans="1:9" ht="17.399999999999999" x14ac:dyDescent="0.25">
      <c r="A2019" s="16"/>
      <c r="B2019" s="17"/>
      <c r="C2019" s="2" t="b">
        <v>0</v>
      </c>
      <c r="D2019" s="2"/>
      <c r="E2019" s="2"/>
      <c r="F2019" s="2"/>
      <c r="G2019" s="2"/>
      <c r="H2019" s="2"/>
      <c r="I2019" s="5"/>
    </row>
    <row r="2020" spans="1:9" ht="17.399999999999999" x14ac:dyDescent="0.25">
      <c r="A2020" s="16"/>
      <c r="B2020" s="17"/>
      <c r="C2020" s="2" t="b">
        <v>0</v>
      </c>
      <c r="D2020" s="2"/>
      <c r="E2020" s="2"/>
      <c r="F2020" s="2"/>
      <c r="G2020" s="2"/>
      <c r="H2020" s="2"/>
      <c r="I2020" s="5"/>
    </row>
    <row r="2021" spans="1:9" ht="17.399999999999999" x14ac:dyDescent="0.25">
      <c r="A2021" s="16"/>
      <c r="B2021" s="17"/>
      <c r="C2021" s="2" t="b">
        <v>0</v>
      </c>
      <c r="D2021" s="2"/>
      <c r="E2021" s="2"/>
      <c r="F2021" s="2"/>
      <c r="G2021" s="2"/>
      <c r="H2021" s="2"/>
      <c r="I2021" s="5"/>
    </row>
    <row r="2022" spans="1:9" ht="17.399999999999999" x14ac:dyDescent="0.25">
      <c r="A2022" s="16"/>
      <c r="B2022" s="17"/>
      <c r="C2022" s="2" t="b">
        <v>0</v>
      </c>
      <c r="D2022" s="2"/>
      <c r="E2022" s="2"/>
      <c r="F2022" s="2"/>
      <c r="G2022" s="2"/>
      <c r="H2022" s="2"/>
      <c r="I2022" s="5"/>
    </row>
    <row r="2023" spans="1:9" ht="17.399999999999999" x14ac:dyDescent="0.25">
      <c r="A2023" s="16"/>
      <c r="B2023" s="17"/>
      <c r="C2023" s="2" t="b">
        <v>0</v>
      </c>
      <c r="D2023" s="2"/>
      <c r="E2023" s="2"/>
      <c r="F2023" s="2"/>
      <c r="G2023" s="2"/>
      <c r="H2023" s="2"/>
      <c r="I2023" s="5"/>
    </row>
    <row r="2024" spans="1:9" ht="17.399999999999999" x14ac:dyDescent="0.25">
      <c r="A2024" s="16"/>
      <c r="B2024" s="17"/>
      <c r="C2024" s="2" t="b">
        <v>0</v>
      </c>
      <c r="D2024" s="2"/>
      <c r="E2024" s="2"/>
      <c r="F2024" s="2"/>
      <c r="G2024" s="2"/>
      <c r="H2024" s="2"/>
      <c r="I2024" s="5"/>
    </row>
    <row r="2025" spans="1:9" ht="17.399999999999999" x14ac:dyDescent="0.25">
      <c r="A2025" s="16"/>
      <c r="B2025" s="17"/>
      <c r="C2025" s="2" t="b">
        <v>0</v>
      </c>
      <c r="D2025" s="2"/>
      <c r="E2025" s="2"/>
      <c r="F2025" s="2"/>
      <c r="G2025" s="2"/>
      <c r="H2025" s="2"/>
      <c r="I2025" s="5"/>
    </row>
    <row r="2026" spans="1:9" ht="17.399999999999999" x14ac:dyDescent="0.25">
      <c r="A2026" s="16"/>
      <c r="B2026" s="17"/>
      <c r="C2026" s="2" t="b">
        <v>0</v>
      </c>
      <c r="D2026" s="2"/>
      <c r="E2026" s="2"/>
      <c r="F2026" s="2"/>
      <c r="G2026" s="2"/>
      <c r="H2026" s="2"/>
      <c r="I2026" s="5"/>
    </row>
    <row r="2027" spans="1:9" ht="17.399999999999999" x14ac:dyDescent="0.25">
      <c r="A2027" s="16"/>
      <c r="B2027" s="17"/>
      <c r="C2027" s="2" t="b">
        <v>0</v>
      </c>
      <c r="D2027" s="2"/>
      <c r="E2027" s="2"/>
      <c r="F2027" s="2"/>
      <c r="G2027" s="2"/>
      <c r="H2027" s="2"/>
      <c r="I2027" s="5"/>
    </row>
    <row r="2028" spans="1:9" ht="17.399999999999999" x14ac:dyDescent="0.25">
      <c r="A2028" s="16"/>
      <c r="B2028" s="17"/>
      <c r="C2028" s="2" t="b">
        <v>0</v>
      </c>
      <c r="D2028" s="2"/>
      <c r="E2028" s="2"/>
      <c r="F2028" s="2"/>
      <c r="G2028" s="2"/>
      <c r="H2028" s="2"/>
      <c r="I2028" s="5"/>
    </row>
    <row r="2029" spans="1:9" ht="17.399999999999999" x14ac:dyDescent="0.25">
      <c r="A2029" s="16"/>
      <c r="B2029" s="17"/>
      <c r="C2029" s="2" t="b">
        <v>0</v>
      </c>
      <c r="D2029" s="2"/>
      <c r="E2029" s="2"/>
      <c r="F2029" s="2"/>
      <c r="G2029" s="2"/>
      <c r="H2029" s="2"/>
      <c r="I2029" s="5"/>
    </row>
    <row r="2030" spans="1:9" ht="17.399999999999999" x14ac:dyDescent="0.25">
      <c r="A2030" s="16"/>
      <c r="B2030" s="17"/>
      <c r="C2030" s="2" t="b">
        <v>0</v>
      </c>
      <c r="D2030" s="2"/>
      <c r="E2030" s="2"/>
      <c r="F2030" s="2"/>
      <c r="G2030" s="2"/>
      <c r="H2030" s="2"/>
      <c r="I2030" s="5"/>
    </row>
    <row r="2031" spans="1:9" ht="17.399999999999999" x14ac:dyDescent="0.25">
      <c r="A2031" s="16"/>
      <c r="B2031" s="17"/>
      <c r="C2031" s="2" t="b">
        <v>0</v>
      </c>
      <c r="D2031" s="2"/>
      <c r="E2031" s="2"/>
      <c r="F2031" s="2"/>
      <c r="G2031" s="2"/>
      <c r="H2031" s="2"/>
      <c r="I2031" s="5"/>
    </row>
    <row r="2032" spans="1:9" ht="17.399999999999999" x14ac:dyDescent="0.25">
      <c r="A2032" s="16"/>
      <c r="B2032" s="17"/>
      <c r="C2032" s="2" t="b">
        <v>0</v>
      </c>
      <c r="D2032" s="2"/>
      <c r="E2032" s="2"/>
      <c r="F2032" s="2"/>
      <c r="G2032" s="2"/>
      <c r="H2032" s="2"/>
      <c r="I2032" s="5"/>
    </row>
    <row r="2033" spans="1:9" ht="17.399999999999999" x14ac:dyDescent="0.25">
      <c r="A2033" s="16"/>
      <c r="B2033" s="17"/>
      <c r="C2033" s="2" t="b">
        <v>0</v>
      </c>
      <c r="D2033" s="2"/>
      <c r="E2033" s="2"/>
      <c r="F2033" s="2"/>
      <c r="G2033" s="2"/>
      <c r="H2033" s="2"/>
      <c r="I2033" s="5"/>
    </row>
    <row r="2034" spans="1:9" ht="17.399999999999999" x14ac:dyDescent="0.25">
      <c r="A2034" s="16"/>
      <c r="B2034" s="17"/>
      <c r="C2034" s="2" t="b">
        <v>0</v>
      </c>
      <c r="D2034" s="2"/>
      <c r="E2034" s="2"/>
      <c r="F2034" s="2"/>
      <c r="G2034" s="2"/>
      <c r="H2034" s="2"/>
      <c r="I2034" s="5"/>
    </row>
    <row r="2035" spans="1:9" ht="17.399999999999999" x14ac:dyDescent="0.25">
      <c r="A2035" s="16"/>
      <c r="B2035" s="17"/>
      <c r="C2035" s="2" t="b">
        <v>0</v>
      </c>
      <c r="D2035" s="2"/>
      <c r="E2035" s="2"/>
      <c r="F2035" s="2"/>
      <c r="G2035" s="2"/>
      <c r="H2035" s="2"/>
      <c r="I2035" s="5"/>
    </row>
    <row r="2036" spans="1:9" ht="17.399999999999999" x14ac:dyDescent="0.25">
      <c r="A2036" s="16"/>
      <c r="B2036" s="17"/>
      <c r="C2036" s="2" t="b">
        <v>0</v>
      </c>
      <c r="D2036" s="2"/>
      <c r="E2036" s="2"/>
      <c r="F2036" s="2"/>
      <c r="G2036" s="2"/>
      <c r="H2036" s="2"/>
      <c r="I2036" s="5"/>
    </row>
    <row r="2037" spans="1:9" ht="17.399999999999999" x14ac:dyDescent="0.25">
      <c r="A2037" s="16"/>
      <c r="B2037" s="17"/>
      <c r="C2037" s="2" t="b">
        <v>0</v>
      </c>
      <c r="D2037" s="2"/>
      <c r="E2037" s="2"/>
      <c r="F2037" s="2"/>
      <c r="G2037" s="2"/>
      <c r="H2037" s="2"/>
      <c r="I2037" s="5"/>
    </row>
    <row r="2038" spans="1:9" ht="17.399999999999999" x14ac:dyDescent="0.25">
      <c r="A2038" s="16"/>
      <c r="B2038" s="17"/>
      <c r="C2038" s="2" t="b">
        <v>0</v>
      </c>
      <c r="D2038" s="2"/>
      <c r="E2038" s="2"/>
      <c r="F2038" s="2"/>
      <c r="G2038" s="2"/>
      <c r="H2038" s="2"/>
      <c r="I2038" s="5"/>
    </row>
    <row r="2039" spans="1:9" ht="17.399999999999999" x14ac:dyDescent="0.25">
      <c r="A2039" s="16"/>
      <c r="B2039" s="17"/>
      <c r="C2039" s="2" t="b">
        <v>0</v>
      </c>
      <c r="D2039" s="2"/>
      <c r="E2039" s="2"/>
      <c r="F2039" s="2"/>
      <c r="G2039" s="2"/>
      <c r="H2039" s="2"/>
      <c r="I2039" s="5"/>
    </row>
    <row r="2040" spans="1:9" ht="17.399999999999999" x14ac:dyDescent="0.25">
      <c r="A2040" s="16"/>
      <c r="B2040" s="17"/>
      <c r="C2040" s="2" t="b">
        <v>0</v>
      </c>
      <c r="D2040" s="2"/>
      <c r="E2040" s="2"/>
      <c r="F2040" s="2"/>
      <c r="G2040" s="2"/>
      <c r="H2040" s="2"/>
      <c r="I2040" s="5"/>
    </row>
    <row r="2041" spans="1:9" ht="17.399999999999999" x14ac:dyDescent="0.25">
      <c r="A2041" s="16"/>
      <c r="B2041" s="17"/>
      <c r="C2041" s="2" t="b">
        <v>0</v>
      </c>
      <c r="D2041" s="2"/>
      <c r="E2041" s="2"/>
      <c r="F2041" s="2"/>
      <c r="G2041" s="2"/>
      <c r="H2041" s="2"/>
      <c r="I2041" s="5"/>
    </row>
    <row r="2042" spans="1:9" ht="17.399999999999999" x14ac:dyDescent="0.25">
      <c r="A2042" s="16"/>
      <c r="B2042" s="17"/>
      <c r="C2042" s="2" t="b">
        <v>0</v>
      </c>
      <c r="D2042" s="2"/>
      <c r="E2042" s="2"/>
      <c r="F2042" s="2"/>
      <c r="G2042" s="2"/>
      <c r="H2042" s="2"/>
      <c r="I2042" s="5"/>
    </row>
    <row r="2043" spans="1:9" ht="17.399999999999999" x14ac:dyDescent="0.25">
      <c r="A2043" s="16"/>
      <c r="B2043" s="17"/>
      <c r="C2043" s="2" t="b">
        <v>0</v>
      </c>
      <c r="D2043" s="2"/>
      <c r="E2043" s="2"/>
      <c r="F2043" s="2"/>
      <c r="G2043" s="2"/>
      <c r="H2043" s="2"/>
      <c r="I2043" s="5"/>
    </row>
    <row r="2044" spans="1:9" ht="17.399999999999999" x14ac:dyDescent="0.25">
      <c r="A2044" s="16"/>
      <c r="B2044" s="17"/>
      <c r="C2044" s="2" t="b">
        <v>0</v>
      </c>
      <c r="D2044" s="2"/>
      <c r="E2044" s="2"/>
      <c r="F2044" s="2"/>
      <c r="G2044" s="2"/>
      <c r="H2044" s="2"/>
      <c r="I2044" s="5"/>
    </row>
    <row r="2045" spans="1:9" ht="17.399999999999999" x14ac:dyDescent="0.25">
      <c r="A2045" s="16"/>
      <c r="B2045" s="17"/>
      <c r="C2045" s="2" t="b">
        <v>0</v>
      </c>
      <c r="D2045" s="2"/>
      <c r="E2045" s="2"/>
      <c r="F2045" s="2"/>
      <c r="G2045" s="2"/>
      <c r="H2045" s="2"/>
      <c r="I2045" s="5"/>
    </row>
    <row r="2046" spans="1:9" ht="17.399999999999999" x14ac:dyDescent="0.25">
      <c r="A2046" s="16"/>
      <c r="B2046" s="17"/>
      <c r="C2046" s="2" t="b">
        <v>0</v>
      </c>
      <c r="D2046" s="2"/>
      <c r="E2046" s="2"/>
      <c r="F2046" s="2"/>
      <c r="G2046" s="2"/>
      <c r="H2046" s="2"/>
      <c r="I2046" s="5"/>
    </row>
    <row r="2047" spans="1:9" ht="17.399999999999999" x14ac:dyDescent="0.25">
      <c r="A2047" s="16"/>
      <c r="B2047" s="17"/>
      <c r="C2047" s="2" t="b">
        <v>0</v>
      </c>
      <c r="D2047" s="2"/>
      <c r="E2047" s="2"/>
      <c r="F2047" s="2"/>
      <c r="G2047" s="2"/>
      <c r="H2047" s="2"/>
      <c r="I2047" s="5"/>
    </row>
    <row r="2048" spans="1:9" ht="17.399999999999999" x14ac:dyDescent="0.25">
      <c r="A2048" s="16"/>
      <c r="B2048" s="17"/>
      <c r="C2048" s="2" t="b">
        <v>0</v>
      </c>
      <c r="D2048" s="2"/>
      <c r="E2048" s="2"/>
      <c r="F2048" s="2"/>
      <c r="G2048" s="2"/>
      <c r="H2048" s="2"/>
      <c r="I2048" s="5"/>
    </row>
    <row r="2049" spans="1:9" ht="17.399999999999999" x14ac:dyDescent="0.25">
      <c r="A2049" s="16"/>
      <c r="B2049" s="17"/>
      <c r="C2049" s="2" t="b">
        <v>0</v>
      </c>
      <c r="D2049" s="2"/>
      <c r="E2049" s="2"/>
      <c r="F2049" s="2"/>
      <c r="G2049" s="2"/>
      <c r="H2049" s="2"/>
      <c r="I2049" s="5"/>
    </row>
    <row r="2050" spans="1:9" ht="17.399999999999999" x14ac:dyDescent="0.25">
      <c r="A2050" s="16"/>
      <c r="B2050" s="17"/>
      <c r="C2050" s="2" t="b">
        <v>0</v>
      </c>
      <c r="D2050" s="2"/>
      <c r="E2050" s="2"/>
      <c r="F2050" s="2"/>
      <c r="G2050" s="2"/>
      <c r="H2050" s="2"/>
      <c r="I2050" s="5"/>
    </row>
    <row r="2051" spans="1:9" ht="17.399999999999999" x14ac:dyDescent="0.25">
      <c r="A2051" s="16"/>
      <c r="B2051" s="17"/>
      <c r="C2051" s="2" t="b">
        <v>0</v>
      </c>
      <c r="D2051" s="2"/>
      <c r="E2051" s="2"/>
      <c r="F2051" s="2"/>
      <c r="G2051" s="2"/>
      <c r="H2051" s="2"/>
      <c r="I2051" s="5"/>
    </row>
    <row r="2052" spans="1:9" ht="17.399999999999999" x14ac:dyDescent="0.25">
      <c r="A2052" s="16"/>
      <c r="B2052" s="17"/>
      <c r="C2052" s="2" t="b">
        <v>0</v>
      </c>
      <c r="D2052" s="2"/>
      <c r="E2052" s="2"/>
      <c r="F2052" s="2"/>
      <c r="G2052" s="2"/>
      <c r="H2052" s="2"/>
      <c r="I2052" s="5"/>
    </row>
    <row r="2053" spans="1:9" ht="17.399999999999999" x14ac:dyDescent="0.25">
      <c r="A2053" s="16"/>
      <c r="B2053" s="17"/>
      <c r="C2053" s="2" t="b">
        <v>0</v>
      </c>
      <c r="D2053" s="2"/>
      <c r="E2053" s="2"/>
      <c r="F2053" s="2"/>
      <c r="G2053" s="2"/>
      <c r="H2053" s="2"/>
      <c r="I2053" s="5"/>
    </row>
    <row r="2054" spans="1:9" ht="17.399999999999999" x14ac:dyDescent="0.25">
      <c r="A2054" s="16"/>
      <c r="B2054" s="17"/>
      <c r="C2054" s="2" t="b">
        <v>0</v>
      </c>
      <c r="D2054" s="2"/>
      <c r="E2054" s="2"/>
      <c r="F2054" s="2"/>
      <c r="G2054" s="2"/>
      <c r="H2054" s="2"/>
      <c r="I2054" s="5"/>
    </row>
    <row r="2055" spans="1:9" ht="17.399999999999999" x14ac:dyDescent="0.25">
      <c r="A2055" s="16"/>
      <c r="B2055" s="17"/>
      <c r="C2055" s="2" t="b">
        <v>0</v>
      </c>
      <c r="D2055" s="2"/>
      <c r="E2055" s="2"/>
      <c r="F2055" s="2"/>
      <c r="G2055" s="2"/>
      <c r="H2055" s="2"/>
      <c r="I2055" s="5"/>
    </row>
    <row r="2056" spans="1:9" ht="17.399999999999999" x14ac:dyDescent="0.25">
      <c r="A2056" s="16"/>
      <c r="B2056" s="17"/>
      <c r="C2056" s="2" t="b">
        <v>0</v>
      </c>
      <c r="D2056" s="2"/>
      <c r="E2056" s="2"/>
      <c r="F2056" s="2"/>
      <c r="G2056" s="2"/>
      <c r="H2056" s="2"/>
      <c r="I2056" s="5"/>
    </row>
    <row r="2057" spans="1:9" ht="17.399999999999999" x14ac:dyDescent="0.25">
      <c r="A2057" s="16"/>
      <c r="B2057" s="17"/>
      <c r="C2057" s="2" t="b">
        <v>0</v>
      </c>
      <c r="D2057" s="2"/>
      <c r="E2057" s="2"/>
      <c r="F2057" s="2"/>
      <c r="G2057" s="2"/>
      <c r="H2057" s="2"/>
      <c r="I2057" s="5"/>
    </row>
    <row r="2058" spans="1:9" ht="17.399999999999999" x14ac:dyDescent="0.25">
      <c r="A2058" s="16"/>
      <c r="B2058" s="17"/>
      <c r="C2058" s="2" t="b">
        <v>0</v>
      </c>
      <c r="D2058" s="2"/>
      <c r="E2058" s="2"/>
      <c r="F2058" s="2"/>
      <c r="G2058" s="2"/>
      <c r="H2058" s="2"/>
      <c r="I2058" s="5"/>
    </row>
    <row r="2059" spans="1:9" ht="17.399999999999999" x14ac:dyDescent="0.25">
      <c r="A2059" s="16"/>
      <c r="B2059" s="17"/>
      <c r="C2059" s="2" t="b">
        <v>0</v>
      </c>
      <c r="D2059" s="2"/>
      <c r="E2059" s="2"/>
      <c r="F2059" s="2"/>
      <c r="G2059" s="2"/>
      <c r="H2059" s="2"/>
      <c r="I2059" s="5"/>
    </row>
    <row r="2060" spans="1:9" ht="17.399999999999999" x14ac:dyDescent="0.25">
      <c r="A2060" s="16"/>
      <c r="B2060" s="17"/>
      <c r="C2060" s="2" t="b">
        <v>0</v>
      </c>
      <c r="D2060" s="2"/>
      <c r="E2060" s="2"/>
      <c r="F2060" s="2"/>
      <c r="G2060" s="2"/>
      <c r="H2060" s="2"/>
      <c r="I2060" s="5"/>
    </row>
    <row r="2061" spans="1:9" ht="17.399999999999999" x14ac:dyDescent="0.25">
      <c r="A2061" s="16"/>
      <c r="B2061" s="17"/>
      <c r="C2061" s="2" t="b">
        <v>0</v>
      </c>
      <c r="D2061" s="2"/>
      <c r="E2061" s="2"/>
      <c r="F2061" s="2"/>
      <c r="G2061" s="2"/>
      <c r="H2061" s="2"/>
      <c r="I2061" s="5"/>
    </row>
    <row r="2062" spans="1:9" ht="17.399999999999999" x14ac:dyDescent="0.25">
      <c r="A2062" s="16"/>
      <c r="B2062" s="17"/>
      <c r="C2062" s="2" t="b">
        <v>0</v>
      </c>
      <c r="D2062" s="2"/>
      <c r="E2062" s="2"/>
      <c r="F2062" s="2"/>
      <c r="G2062" s="2"/>
      <c r="H2062" s="2"/>
      <c r="I2062" s="5"/>
    </row>
    <row r="2063" spans="1:9" ht="17.399999999999999" x14ac:dyDescent="0.25">
      <c r="A2063" s="16"/>
      <c r="B2063" s="17"/>
      <c r="C2063" s="2" t="b">
        <v>0</v>
      </c>
      <c r="D2063" s="2"/>
      <c r="E2063" s="2"/>
      <c r="F2063" s="2"/>
      <c r="G2063" s="2"/>
      <c r="H2063" s="2"/>
      <c r="I2063" s="5"/>
    </row>
    <row r="2064" spans="1:9" ht="17.399999999999999" x14ac:dyDescent="0.25">
      <c r="A2064" s="16"/>
      <c r="B2064" s="17"/>
      <c r="C2064" s="2" t="b">
        <v>0</v>
      </c>
      <c r="D2064" s="2"/>
      <c r="E2064" s="2"/>
      <c r="F2064" s="2"/>
      <c r="G2064" s="2"/>
      <c r="H2064" s="2"/>
      <c r="I2064" s="5"/>
    </row>
    <row r="2065" spans="1:9" ht="17.399999999999999" x14ac:dyDescent="0.25">
      <c r="A2065" s="16"/>
      <c r="B2065" s="17"/>
      <c r="C2065" s="2" t="b">
        <v>0</v>
      </c>
      <c r="D2065" s="2"/>
      <c r="E2065" s="2"/>
      <c r="F2065" s="2"/>
      <c r="G2065" s="2"/>
      <c r="H2065" s="2"/>
      <c r="I2065" s="5"/>
    </row>
    <row r="2066" spans="1:9" ht="17.399999999999999" x14ac:dyDescent="0.25">
      <c r="A2066" s="16"/>
      <c r="B2066" s="17"/>
      <c r="C2066" s="2" t="b">
        <v>0</v>
      </c>
      <c r="D2066" s="2"/>
      <c r="E2066" s="2"/>
      <c r="F2066" s="2"/>
      <c r="G2066" s="2"/>
      <c r="H2066" s="2"/>
      <c r="I2066" s="5"/>
    </row>
    <row r="2067" spans="1:9" ht="17.399999999999999" x14ac:dyDescent="0.25">
      <c r="A2067" s="16"/>
      <c r="B2067" s="17"/>
      <c r="C2067" s="2" t="b">
        <v>0</v>
      </c>
      <c r="D2067" s="2"/>
      <c r="E2067" s="2"/>
      <c r="F2067" s="2"/>
      <c r="G2067" s="2"/>
      <c r="H2067" s="2"/>
      <c r="I2067" s="5"/>
    </row>
    <row r="2068" spans="1:9" ht="17.399999999999999" x14ac:dyDescent="0.25">
      <c r="A2068" s="16"/>
      <c r="B2068" s="17"/>
      <c r="C2068" s="2" t="b">
        <v>0</v>
      </c>
      <c r="D2068" s="2"/>
      <c r="E2068" s="2"/>
      <c r="F2068" s="2"/>
      <c r="G2068" s="2"/>
      <c r="H2068" s="2"/>
      <c r="I2068" s="5"/>
    </row>
    <row r="2069" spans="1:9" ht="17.399999999999999" x14ac:dyDescent="0.25">
      <c r="A2069" s="16"/>
      <c r="B2069" s="17"/>
      <c r="C2069" s="2" t="b">
        <v>0</v>
      </c>
      <c r="D2069" s="2"/>
      <c r="E2069" s="2"/>
      <c r="F2069" s="2"/>
      <c r="G2069" s="2"/>
      <c r="H2069" s="2"/>
      <c r="I2069" s="5"/>
    </row>
    <row r="2070" spans="1:9" ht="17.399999999999999" x14ac:dyDescent="0.25">
      <c r="A2070" s="16"/>
      <c r="B2070" s="17"/>
      <c r="C2070" s="2" t="b">
        <v>0</v>
      </c>
      <c r="D2070" s="2"/>
      <c r="E2070" s="2"/>
      <c r="F2070" s="2"/>
      <c r="G2070" s="2"/>
      <c r="H2070" s="2"/>
      <c r="I2070" s="5"/>
    </row>
    <row r="2071" spans="1:9" ht="17.399999999999999" x14ac:dyDescent="0.25">
      <c r="A2071" s="16"/>
      <c r="B2071" s="17"/>
      <c r="C2071" s="2" t="b">
        <v>0</v>
      </c>
      <c r="D2071" s="2"/>
      <c r="E2071" s="2"/>
      <c r="F2071" s="2"/>
      <c r="G2071" s="2"/>
      <c r="H2071" s="2"/>
      <c r="I2071" s="5"/>
    </row>
    <row r="2072" spans="1:9" ht="17.399999999999999" x14ac:dyDescent="0.25">
      <c r="A2072" s="16"/>
      <c r="B2072" s="17"/>
      <c r="C2072" s="2" t="b">
        <v>0</v>
      </c>
      <c r="D2072" s="2"/>
      <c r="E2072" s="2"/>
      <c r="F2072" s="2"/>
      <c r="G2072" s="2"/>
      <c r="H2072" s="2"/>
      <c r="I2072" s="5"/>
    </row>
    <row r="2073" spans="1:9" ht="17.399999999999999" x14ac:dyDescent="0.25">
      <c r="A2073" s="16"/>
      <c r="B2073" s="17"/>
      <c r="C2073" s="2" t="b">
        <v>0</v>
      </c>
      <c r="D2073" s="2"/>
      <c r="E2073" s="2"/>
      <c r="F2073" s="2"/>
      <c r="G2073" s="2"/>
      <c r="H2073" s="2"/>
      <c r="I2073" s="5"/>
    </row>
    <row r="2074" spans="1:9" ht="17.399999999999999" x14ac:dyDescent="0.25">
      <c r="A2074" s="16"/>
      <c r="B2074" s="17"/>
      <c r="C2074" s="2" t="b">
        <v>0</v>
      </c>
      <c r="D2074" s="2"/>
      <c r="E2074" s="2"/>
      <c r="F2074" s="2"/>
      <c r="G2074" s="2"/>
      <c r="H2074" s="2"/>
      <c r="I2074" s="5"/>
    </row>
    <row r="2075" spans="1:9" ht="17.399999999999999" x14ac:dyDescent="0.25">
      <c r="A2075" s="16"/>
      <c r="B2075" s="17"/>
      <c r="C2075" s="2" t="b">
        <v>0</v>
      </c>
      <c r="D2075" s="2"/>
      <c r="E2075" s="2"/>
      <c r="F2075" s="2"/>
      <c r="G2075" s="2"/>
      <c r="H2075" s="2"/>
      <c r="I2075" s="5"/>
    </row>
    <row r="2076" spans="1:9" ht="17.399999999999999" x14ac:dyDescent="0.25">
      <c r="A2076" s="16"/>
      <c r="B2076" s="17"/>
      <c r="C2076" s="2" t="b">
        <v>0</v>
      </c>
      <c r="D2076" s="2"/>
      <c r="E2076" s="2"/>
      <c r="F2076" s="2"/>
      <c r="G2076" s="2"/>
      <c r="H2076" s="2"/>
      <c r="I2076" s="5"/>
    </row>
    <row r="2077" spans="1:9" ht="17.399999999999999" x14ac:dyDescent="0.25">
      <c r="A2077" s="16"/>
      <c r="B2077" s="17"/>
      <c r="C2077" s="2" t="b">
        <v>0</v>
      </c>
      <c r="D2077" s="2"/>
      <c r="E2077" s="2"/>
      <c r="F2077" s="2"/>
      <c r="G2077" s="2"/>
      <c r="H2077" s="2"/>
      <c r="I2077" s="5"/>
    </row>
    <row r="2078" spans="1:9" ht="17.399999999999999" x14ac:dyDescent="0.25">
      <c r="A2078" s="16"/>
      <c r="B2078" s="17"/>
      <c r="C2078" s="2" t="b">
        <v>0</v>
      </c>
      <c r="D2078" s="2"/>
      <c r="E2078" s="2"/>
      <c r="F2078" s="2"/>
      <c r="G2078" s="2"/>
      <c r="H2078" s="2"/>
      <c r="I2078" s="5"/>
    </row>
    <row r="2079" spans="1:9" ht="17.399999999999999" x14ac:dyDescent="0.25">
      <c r="A2079" s="16"/>
      <c r="B2079" s="17"/>
      <c r="C2079" s="2" t="b">
        <v>0</v>
      </c>
      <c r="D2079" s="2"/>
      <c r="E2079" s="2"/>
      <c r="F2079" s="2"/>
      <c r="G2079" s="2"/>
      <c r="H2079" s="2"/>
      <c r="I2079" s="5"/>
    </row>
    <row r="2080" spans="1:9" ht="17.399999999999999" x14ac:dyDescent="0.25">
      <c r="A2080" s="16"/>
      <c r="B2080" s="17"/>
      <c r="C2080" s="2" t="b">
        <v>0</v>
      </c>
      <c r="D2080" s="2"/>
      <c r="E2080" s="2"/>
      <c r="F2080" s="2"/>
      <c r="G2080" s="2"/>
      <c r="H2080" s="2"/>
      <c r="I2080" s="5"/>
    </row>
    <row r="2081" spans="1:9" ht="17.399999999999999" x14ac:dyDescent="0.25">
      <c r="A2081" s="16"/>
      <c r="B2081" s="17"/>
      <c r="C2081" s="2" t="b">
        <v>0</v>
      </c>
      <c r="D2081" s="2"/>
      <c r="E2081" s="2"/>
      <c r="F2081" s="2"/>
      <c r="G2081" s="2"/>
      <c r="H2081" s="2"/>
      <c r="I2081" s="5"/>
    </row>
    <row r="2082" spans="1:9" ht="17.399999999999999" x14ac:dyDescent="0.25">
      <c r="A2082" s="16"/>
      <c r="B2082" s="17"/>
      <c r="C2082" s="2" t="b">
        <v>0</v>
      </c>
      <c r="D2082" s="2"/>
      <c r="E2082" s="2"/>
      <c r="F2082" s="2"/>
      <c r="G2082" s="2"/>
      <c r="H2082" s="2"/>
      <c r="I2082" s="5"/>
    </row>
    <row r="2083" spans="1:9" ht="17.399999999999999" x14ac:dyDescent="0.25">
      <c r="A2083" s="16"/>
      <c r="B2083" s="17"/>
      <c r="C2083" s="2" t="b">
        <v>0</v>
      </c>
      <c r="D2083" s="2"/>
      <c r="E2083" s="2"/>
      <c r="F2083" s="2"/>
      <c r="G2083" s="2"/>
      <c r="H2083" s="2"/>
      <c r="I2083" s="5"/>
    </row>
    <row r="2084" spans="1:9" ht="17.399999999999999" x14ac:dyDescent="0.25">
      <c r="A2084" s="16"/>
      <c r="B2084" s="17"/>
      <c r="C2084" s="2" t="b">
        <v>0</v>
      </c>
      <c r="D2084" s="2"/>
      <c r="E2084" s="2"/>
      <c r="F2084" s="2"/>
      <c r="G2084" s="2"/>
      <c r="H2084" s="2"/>
      <c r="I2084" s="5"/>
    </row>
    <row r="2085" spans="1:9" ht="17.399999999999999" x14ac:dyDescent="0.25">
      <c r="A2085" s="16"/>
      <c r="B2085" s="17"/>
      <c r="C2085" s="2" t="b">
        <v>0</v>
      </c>
      <c r="D2085" s="2"/>
      <c r="E2085" s="2"/>
      <c r="F2085" s="2"/>
      <c r="G2085" s="2"/>
      <c r="H2085" s="2"/>
      <c r="I2085" s="5"/>
    </row>
    <row r="2086" spans="1:9" ht="17.399999999999999" x14ac:dyDescent="0.25">
      <c r="A2086" s="16"/>
      <c r="B2086" s="17"/>
      <c r="C2086" s="2" t="b">
        <v>0</v>
      </c>
      <c r="D2086" s="2"/>
      <c r="E2086" s="2"/>
      <c r="F2086" s="2"/>
      <c r="G2086" s="2"/>
      <c r="H2086" s="2"/>
      <c r="I2086" s="5"/>
    </row>
    <row r="2087" spans="1:9" ht="17.399999999999999" x14ac:dyDescent="0.25">
      <c r="A2087" s="16"/>
      <c r="B2087" s="17"/>
      <c r="C2087" s="2" t="b">
        <v>0</v>
      </c>
      <c r="D2087" s="2"/>
      <c r="E2087" s="2"/>
      <c r="F2087" s="2"/>
      <c r="G2087" s="2"/>
      <c r="H2087" s="2"/>
      <c r="I2087" s="5"/>
    </row>
    <row r="2088" spans="1:9" ht="17.399999999999999" x14ac:dyDescent="0.25">
      <c r="A2088" s="16"/>
      <c r="B2088" s="17"/>
      <c r="C2088" s="2" t="b">
        <v>0</v>
      </c>
      <c r="D2088" s="2"/>
      <c r="E2088" s="2"/>
      <c r="F2088" s="2"/>
      <c r="G2088" s="2"/>
      <c r="H2088" s="2"/>
      <c r="I2088" s="5"/>
    </row>
    <row r="2089" spans="1:9" ht="17.399999999999999" x14ac:dyDescent="0.25">
      <c r="A2089" s="16"/>
      <c r="B2089" s="17"/>
      <c r="C2089" s="2" t="b">
        <v>0</v>
      </c>
      <c r="D2089" s="2"/>
      <c r="E2089" s="2"/>
      <c r="F2089" s="2"/>
      <c r="G2089" s="2"/>
      <c r="H2089" s="2"/>
      <c r="I2089" s="5"/>
    </row>
    <row r="2090" spans="1:9" ht="17.399999999999999" x14ac:dyDescent="0.25">
      <c r="A2090" s="16"/>
      <c r="B2090" s="17"/>
      <c r="C2090" s="2" t="b">
        <v>0</v>
      </c>
      <c r="D2090" s="2"/>
      <c r="E2090" s="2"/>
      <c r="F2090" s="2"/>
      <c r="G2090" s="2"/>
      <c r="H2090" s="2"/>
      <c r="I2090" s="5"/>
    </row>
    <row r="2091" spans="1:9" ht="17.399999999999999" x14ac:dyDescent="0.25">
      <c r="A2091" s="16"/>
      <c r="B2091" s="17"/>
      <c r="C2091" s="2" t="b">
        <v>0</v>
      </c>
      <c r="D2091" s="2"/>
      <c r="E2091" s="2"/>
      <c r="F2091" s="2"/>
      <c r="G2091" s="2"/>
      <c r="H2091" s="2"/>
      <c r="I2091" s="5"/>
    </row>
    <row r="2092" spans="1:9" ht="17.399999999999999" x14ac:dyDescent="0.25">
      <c r="A2092" s="16"/>
      <c r="B2092" s="17"/>
      <c r="C2092" s="2" t="b">
        <v>0</v>
      </c>
      <c r="D2092" s="2"/>
      <c r="E2092" s="2"/>
      <c r="F2092" s="2"/>
      <c r="G2092" s="2"/>
      <c r="H2092" s="2"/>
      <c r="I2092" s="5"/>
    </row>
    <row r="2093" spans="1:9" ht="17.399999999999999" x14ac:dyDescent="0.25">
      <c r="A2093" s="16"/>
      <c r="B2093" s="17"/>
      <c r="C2093" s="2" t="b">
        <v>0</v>
      </c>
      <c r="D2093" s="2"/>
      <c r="E2093" s="2"/>
      <c r="F2093" s="2"/>
      <c r="G2093" s="2"/>
      <c r="H2093" s="2"/>
      <c r="I2093" s="5"/>
    </row>
    <row r="2094" spans="1:9" ht="17.399999999999999" x14ac:dyDescent="0.25">
      <c r="A2094" s="16"/>
      <c r="B2094" s="17"/>
      <c r="C2094" s="2" t="b">
        <v>0</v>
      </c>
      <c r="D2094" s="2"/>
      <c r="E2094" s="2"/>
      <c r="F2094" s="2"/>
      <c r="G2094" s="2"/>
      <c r="H2094" s="2"/>
      <c r="I2094" s="5"/>
    </row>
    <row r="2095" spans="1:9" ht="17.399999999999999" x14ac:dyDescent="0.25">
      <c r="A2095" s="16"/>
      <c r="B2095" s="17"/>
      <c r="C2095" s="2" t="b">
        <v>0</v>
      </c>
      <c r="D2095" s="2"/>
      <c r="E2095" s="2"/>
      <c r="F2095" s="2"/>
      <c r="G2095" s="2"/>
      <c r="H2095" s="2"/>
      <c r="I2095" s="5"/>
    </row>
    <row r="2096" spans="1:9" ht="17.399999999999999" x14ac:dyDescent="0.25">
      <c r="A2096" s="16"/>
      <c r="B2096" s="17"/>
      <c r="C2096" s="2" t="b">
        <v>0</v>
      </c>
      <c r="D2096" s="2"/>
      <c r="E2096" s="2"/>
      <c r="F2096" s="2"/>
      <c r="G2096" s="2"/>
      <c r="H2096" s="2"/>
      <c r="I2096" s="5"/>
    </row>
    <row r="2097" spans="1:9" ht="17.399999999999999" x14ac:dyDescent="0.25">
      <c r="A2097" s="16"/>
      <c r="B2097" s="17"/>
      <c r="C2097" s="2" t="b">
        <v>0</v>
      </c>
      <c r="D2097" s="2"/>
      <c r="E2097" s="2"/>
      <c r="F2097" s="2"/>
      <c r="G2097" s="2"/>
      <c r="H2097" s="2"/>
      <c r="I2097" s="5"/>
    </row>
    <row r="2098" spans="1:9" ht="17.399999999999999" x14ac:dyDescent="0.25">
      <c r="A2098" s="16"/>
      <c r="B2098" s="17"/>
      <c r="C2098" s="2" t="b">
        <v>0</v>
      </c>
      <c r="D2098" s="2"/>
      <c r="E2098" s="2"/>
      <c r="F2098" s="2"/>
      <c r="G2098" s="2"/>
      <c r="H2098" s="2"/>
      <c r="I2098" s="5"/>
    </row>
    <row r="2099" spans="1:9" ht="17.399999999999999" x14ac:dyDescent="0.25">
      <c r="A2099" s="16"/>
      <c r="B2099" s="17"/>
      <c r="C2099" s="2" t="b">
        <v>0</v>
      </c>
      <c r="D2099" s="2"/>
      <c r="E2099" s="2"/>
      <c r="F2099" s="2"/>
      <c r="G2099" s="2"/>
      <c r="H2099" s="2"/>
      <c r="I2099" s="5"/>
    </row>
    <row r="2100" spans="1:9" ht="17.399999999999999" x14ac:dyDescent="0.25">
      <c r="A2100" s="16"/>
      <c r="B2100" s="17"/>
      <c r="C2100" s="2" t="b">
        <v>0</v>
      </c>
      <c r="D2100" s="2"/>
      <c r="E2100" s="2"/>
      <c r="F2100" s="2"/>
      <c r="G2100" s="2"/>
      <c r="H2100" s="2"/>
      <c r="I2100" s="5"/>
    </row>
    <row r="2101" spans="1:9" ht="17.399999999999999" x14ac:dyDescent="0.25">
      <c r="A2101" s="16"/>
      <c r="B2101" s="17"/>
      <c r="C2101" s="2" t="b">
        <v>0</v>
      </c>
      <c r="D2101" s="2"/>
      <c r="E2101" s="2"/>
      <c r="F2101" s="2"/>
      <c r="G2101" s="2"/>
      <c r="H2101" s="2"/>
      <c r="I2101" s="5"/>
    </row>
    <row r="2102" spans="1:9" ht="17.399999999999999" x14ac:dyDescent="0.25">
      <c r="A2102" s="16"/>
      <c r="B2102" s="17"/>
      <c r="C2102" s="2" t="b">
        <v>0</v>
      </c>
      <c r="D2102" s="2"/>
      <c r="E2102" s="2"/>
      <c r="F2102" s="2"/>
      <c r="G2102" s="2"/>
      <c r="H2102" s="2"/>
      <c r="I2102" s="5"/>
    </row>
    <row r="2103" spans="1:9" ht="17.399999999999999" x14ac:dyDescent="0.25">
      <c r="A2103" s="16"/>
      <c r="B2103" s="17"/>
      <c r="C2103" s="2" t="b">
        <v>0</v>
      </c>
      <c r="D2103" s="2"/>
      <c r="E2103" s="2"/>
      <c r="F2103" s="2"/>
      <c r="G2103" s="2"/>
      <c r="H2103" s="2"/>
      <c r="I2103" s="5"/>
    </row>
    <row r="2104" spans="1:9" ht="17.399999999999999" x14ac:dyDescent="0.25">
      <c r="A2104" s="16"/>
      <c r="B2104" s="17"/>
      <c r="C2104" s="2" t="b">
        <v>0</v>
      </c>
      <c r="D2104" s="2"/>
      <c r="E2104" s="2"/>
      <c r="F2104" s="2"/>
      <c r="G2104" s="2"/>
      <c r="H2104" s="2"/>
      <c r="I2104" s="5"/>
    </row>
    <row r="2105" spans="1:9" ht="17.399999999999999" x14ac:dyDescent="0.25">
      <c r="A2105" s="16"/>
      <c r="B2105" s="17"/>
      <c r="C2105" s="2" t="b">
        <v>0</v>
      </c>
      <c r="D2105" s="2"/>
      <c r="E2105" s="2"/>
      <c r="F2105" s="2"/>
      <c r="G2105" s="2"/>
      <c r="H2105" s="2"/>
      <c r="I2105" s="5"/>
    </row>
    <row r="2106" spans="1:9" ht="17.399999999999999" x14ac:dyDescent="0.25">
      <c r="A2106" s="16"/>
      <c r="B2106" s="17"/>
      <c r="C2106" s="2" t="b">
        <v>0</v>
      </c>
      <c r="D2106" s="2"/>
      <c r="E2106" s="2"/>
      <c r="F2106" s="2"/>
      <c r="G2106" s="2"/>
      <c r="H2106" s="2"/>
      <c r="I2106" s="5"/>
    </row>
    <row r="2107" spans="1:9" ht="17.399999999999999" x14ac:dyDescent="0.25">
      <c r="A2107" s="16"/>
      <c r="B2107" s="17"/>
      <c r="C2107" s="2" t="b">
        <v>0</v>
      </c>
      <c r="D2107" s="2"/>
      <c r="E2107" s="2"/>
      <c r="F2107" s="2"/>
      <c r="G2107" s="2"/>
      <c r="H2107" s="2"/>
      <c r="I2107" s="5"/>
    </row>
    <row r="2108" spans="1:9" ht="17.399999999999999" x14ac:dyDescent="0.25">
      <c r="A2108" s="16"/>
      <c r="B2108" s="17"/>
      <c r="C2108" s="2" t="b">
        <v>0</v>
      </c>
      <c r="D2108" s="2"/>
      <c r="E2108" s="2"/>
      <c r="F2108" s="2"/>
      <c r="G2108" s="2"/>
      <c r="H2108" s="2"/>
      <c r="I2108" s="5"/>
    </row>
    <row r="2109" spans="1:9" ht="17.399999999999999" x14ac:dyDescent="0.25">
      <c r="A2109" s="16"/>
      <c r="B2109" s="17"/>
      <c r="C2109" s="2" t="b">
        <v>0</v>
      </c>
      <c r="D2109" s="2"/>
      <c r="E2109" s="2"/>
      <c r="F2109" s="2"/>
      <c r="G2109" s="2"/>
      <c r="H2109" s="2"/>
      <c r="I2109" s="5"/>
    </row>
    <row r="2110" spans="1:9" ht="17.399999999999999" x14ac:dyDescent="0.25">
      <c r="A2110" s="16"/>
      <c r="B2110" s="17"/>
      <c r="C2110" s="2" t="b">
        <v>0</v>
      </c>
      <c r="D2110" s="2"/>
      <c r="E2110" s="2"/>
      <c r="F2110" s="2"/>
      <c r="G2110" s="2"/>
      <c r="H2110" s="2"/>
      <c r="I2110" s="5"/>
    </row>
    <row r="2111" spans="1:9" ht="17.399999999999999" x14ac:dyDescent="0.25">
      <c r="A2111" s="16"/>
      <c r="B2111" s="17"/>
      <c r="C2111" s="2" t="b">
        <v>0</v>
      </c>
      <c r="D2111" s="2"/>
      <c r="E2111" s="2"/>
      <c r="F2111" s="2"/>
      <c r="G2111" s="2"/>
      <c r="H2111" s="2"/>
      <c r="I2111" s="5"/>
    </row>
    <row r="2112" spans="1:9" ht="17.399999999999999" x14ac:dyDescent="0.25">
      <c r="A2112" s="16"/>
      <c r="B2112" s="17"/>
      <c r="C2112" s="2" t="b">
        <v>0</v>
      </c>
      <c r="D2112" s="2"/>
      <c r="E2112" s="2"/>
      <c r="F2112" s="2"/>
      <c r="G2112" s="2"/>
      <c r="H2112" s="2"/>
      <c r="I2112" s="5"/>
    </row>
    <row r="2113" spans="1:9" ht="17.399999999999999" x14ac:dyDescent="0.25">
      <c r="A2113" s="16"/>
      <c r="B2113" s="17"/>
      <c r="C2113" s="2" t="b">
        <v>0</v>
      </c>
      <c r="D2113" s="2"/>
      <c r="E2113" s="2"/>
      <c r="F2113" s="2"/>
      <c r="G2113" s="2"/>
      <c r="H2113" s="2"/>
      <c r="I2113" s="5"/>
    </row>
    <row r="2114" spans="1:9" ht="17.399999999999999" x14ac:dyDescent="0.25">
      <c r="A2114" s="16"/>
      <c r="B2114" s="17"/>
      <c r="C2114" s="2" t="b">
        <v>0</v>
      </c>
      <c r="D2114" s="2"/>
      <c r="E2114" s="2"/>
      <c r="F2114" s="2"/>
      <c r="G2114" s="2"/>
      <c r="H2114" s="2"/>
      <c r="I2114" s="5"/>
    </row>
    <row r="2115" spans="1:9" ht="17.399999999999999" x14ac:dyDescent="0.25">
      <c r="A2115" s="16"/>
      <c r="B2115" s="17"/>
      <c r="C2115" s="2" t="b">
        <v>0</v>
      </c>
      <c r="D2115" s="2"/>
      <c r="E2115" s="2"/>
      <c r="F2115" s="2"/>
      <c r="G2115" s="2"/>
      <c r="H2115" s="2"/>
      <c r="I2115" s="5"/>
    </row>
    <row r="2116" spans="1:9" ht="17.399999999999999" x14ac:dyDescent="0.25">
      <c r="A2116" s="16"/>
      <c r="B2116" s="17"/>
      <c r="C2116" s="2" t="b">
        <v>0</v>
      </c>
      <c r="D2116" s="2"/>
      <c r="E2116" s="2"/>
      <c r="F2116" s="2"/>
      <c r="G2116" s="2"/>
      <c r="H2116" s="2"/>
      <c r="I2116" s="5"/>
    </row>
    <row r="2117" spans="1:9" ht="17.399999999999999" x14ac:dyDescent="0.25">
      <c r="A2117" s="16"/>
      <c r="B2117" s="17"/>
      <c r="C2117" s="2" t="b">
        <v>0</v>
      </c>
      <c r="D2117" s="2"/>
      <c r="E2117" s="2"/>
      <c r="F2117" s="2"/>
      <c r="G2117" s="2"/>
      <c r="H2117" s="2"/>
      <c r="I2117" s="5"/>
    </row>
    <row r="2118" spans="1:9" ht="17.399999999999999" x14ac:dyDescent="0.25">
      <c r="A2118" s="16"/>
      <c r="B2118" s="17"/>
      <c r="C2118" s="2" t="b">
        <v>0</v>
      </c>
      <c r="D2118" s="2"/>
      <c r="E2118" s="2"/>
      <c r="F2118" s="2"/>
      <c r="G2118" s="2"/>
      <c r="H2118" s="2"/>
      <c r="I2118" s="5"/>
    </row>
    <row r="2119" spans="1:9" ht="17.399999999999999" x14ac:dyDescent="0.25">
      <c r="A2119" s="16"/>
      <c r="B2119" s="17"/>
      <c r="C2119" s="2" t="b">
        <v>0</v>
      </c>
      <c r="D2119" s="2"/>
      <c r="E2119" s="2"/>
      <c r="F2119" s="2"/>
      <c r="G2119" s="2"/>
      <c r="H2119" s="2"/>
      <c r="I2119" s="5"/>
    </row>
    <row r="2120" spans="1:9" ht="17.399999999999999" x14ac:dyDescent="0.25">
      <c r="A2120" s="16"/>
      <c r="B2120" s="17"/>
      <c r="C2120" s="2" t="b">
        <v>0</v>
      </c>
      <c r="D2120" s="2"/>
      <c r="E2120" s="2"/>
      <c r="F2120" s="2"/>
      <c r="G2120" s="2"/>
      <c r="H2120" s="2"/>
      <c r="I2120" s="5"/>
    </row>
    <row r="2121" spans="1:9" ht="17.399999999999999" x14ac:dyDescent="0.25">
      <c r="A2121" s="16"/>
      <c r="B2121" s="17"/>
      <c r="C2121" s="2" t="b">
        <v>0</v>
      </c>
      <c r="D2121" s="2"/>
      <c r="E2121" s="2"/>
      <c r="F2121" s="2"/>
      <c r="G2121" s="2"/>
      <c r="H2121" s="2"/>
      <c r="I2121" s="5"/>
    </row>
    <row r="2122" spans="1:9" ht="17.399999999999999" x14ac:dyDescent="0.25">
      <c r="A2122" s="16"/>
      <c r="B2122" s="17"/>
      <c r="C2122" s="2" t="b">
        <v>0</v>
      </c>
      <c r="D2122" s="2"/>
      <c r="E2122" s="2"/>
      <c r="F2122" s="2"/>
      <c r="G2122" s="2"/>
      <c r="H2122" s="2"/>
      <c r="I2122" s="5"/>
    </row>
    <row r="2123" spans="1:9" ht="17.399999999999999" x14ac:dyDescent="0.25">
      <c r="A2123" s="16"/>
      <c r="B2123" s="17"/>
      <c r="C2123" s="2" t="b">
        <v>0</v>
      </c>
      <c r="D2123" s="2"/>
      <c r="E2123" s="2"/>
      <c r="F2123" s="2"/>
      <c r="G2123" s="2"/>
      <c r="H2123" s="2"/>
      <c r="I2123" s="5"/>
    </row>
    <row r="2124" spans="1:9" ht="17.399999999999999" x14ac:dyDescent="0.25">
      <c r="A2124" s="16"/>
      <c r="B2124" s="17"/>
      <c r="C2124" s="2" t="b">
        <v>0</v>
      </c>
      <c r="D2124" s="2"/>
      <c r="E2124" s="2"/>
      <c r="F2124" s="2"/>
      <c r="G2124" s="2"/>
      <c r="H2124" s="2"/>
      <c r="I2124" s="5"/>
    </row>
    <row r="2125" spans="1:9" ht="17.399999999999999" x14ac:dyDescent="0.25">
      <c r="A2125" s="16"/>
      <c r="B2125" s="17"/>
      <c r="C2125" s="2" t="b">
        <v>0</v>
      </c>
      <c r="D2125" s="2"/>
      <c r="E2125" s="2"/>
      <c r="F2125" s="2"/>
      <c r="G2125" s="2"/>
      <c r="H2125" s="2"/>
      <c r="I2125" s="5"/>
    </row>
    <row r="2126" spans="1:9" ht="17.399999999999999" x14ac:dyDescent="0.25">
      <c r="A2126" s="16"/>
      <c r="B2126" s="17"/>
      <c r="C2126" s="2" t="b">
        <v>0</v>
      </c>
      <c r="D2126" s="2"/>
      <c r="E2126" s="2"/>
      <c r="F2126" s="2"/>
      <c r="G2126" s="2"/>
      <c r="H2126" s="2"/>
      <c r="I2126" s="5"/>
    </row>
    <row r="2127" spans="1:9" ht="17.399999999999999" x14ac:dyDescent="0.25">
      <c r="A2127" s="16"/>
      <c r="B2127" s="17"/>
      <c r="C2127" s="2" t="b">
        <v>0</v>
      </c>
      <c r="D2127" s="2"/>
      <c r="E2127" s="2"/>
      <c r="F2127" s="2"/>
      <c r="G2127" s="2"/>
      <c r="H2127" s="2"/>
      <c r="I2127" s="5"/>
    </row>
    <row r="2128" spans="1:9" ht="17.399999999999999" x14ac:dyDescent="0.25">
      <c r="A2128" s="16"/>
      <c r="B2128" s="17"/>
      <c r="C2128" s="2" t="b">
        <v>0</v>
      </c>
      <c r="D2128" s="2"/>
      <c r="E2128" s="2"/>
      <c r="F2128" s="2"/>
      <c r="G2128" s="2"/>
      <c r="H2128" s="2"/>
      <c r="I2128" s="5"/>
    </row>
    <row r="2129" spans="1:9" ht="17.399999999999999" x14ac:dyDescent="0.25">
      <c r="A2129" s="16"/>
      <c r="B2129" s="17"/>
      <c r="C2129" s="2" t="b">
        <v>0</v>
      </c>
      <c r="D2129" s="2"/>
      <c r="E2129" s="2"/>
      <c r="F2129" s="2"/>
      <c r="G2129" s="2"/>
      <c r="H2129" s="2"/>
      <c r="I2129" s="5"/>
    </row>
    <row r="2130" spans="1:9" ht="17.399999999999999" x14ac:dyDescent="0.25">
      <c r="A2130" s="16"/>
      <c r="B2130" s="17"/>
      <c r="C2130" s="2" t="b">
        <v>0</v>
      </c>
      <c r="D2130" s="2"/>
      <c r="E2130" s="2"/>
      <c r="F2130" s="2"/>
      <c r="G2130" s="2"/>
      <c r="H2130" s="2"/>
      <c r="I2130" s="5"/>
    </row>
    <row r="2131" spans="1:9" ht="17.399999999999999" x14ac:dyDescent="0.25">
      <c r="A2131" s="16"/>
      <c r="B2131" s="17"/>
      <c r="C2131" s="2" t="b">
        <v>0</v>
      </c>
      <c r="D2131" s="2"/>
      <c r="E2131" s="2"/>
      <c r="F2131" s="2"/>
      <c r="G2131" s="2"/>
      <c r="H2131" s="2"/>
      <c r="I2131" s="5"/>
    </row>
    <row r="2132" spans="1:9" ht="17.399999999999999" x14ac:dyDescent="0.25">
      <c r="A2132" s="16"/>
      <c r="B2132" s="17"/>
      <c r="C2132" s="2" t="b">
        <v>0</v>
      </c>
      <c r="D2132" s="2"/>
      <c r="E2132" s="2"/>
      <c r="F2132" s="2"/>
      <c r="G2132" s="2"/>
      <c r="H2132" s="2"/>
      <c r="I2132" s="5"/>
    </row>
    <row r="2133" spans="1:9" ht="17.399999999999999" x14ac:dyDescent="0.25">
      <c r="A2133" s="16"/>
      <c r="B2133" s="17"/>
      <c r="C2133" s="2" t="b">
        <v>0</v>
      </c>
      <c r="D2133" s="2"/>
      <c r="E2133" s="2"/>
      <c r="F2133" s="2"/>
      <c r="G2133" s="2"/>
      <c r="H2133" s="2"/>
      <c r="I2133" s="5"/>
    </row>
    <row r="2134" spans="1:9" ht="17.399999999999999" x14ac:dyDescent="0.25">
      <c r="A2134" s="16"/>
      <c r="B2134" s="17"/>
      <c r="C2134" s="2" t="b">
        <v>0</v>
      </c>
      <c r="D2134" s="2"/>
      <c r="E2134" s="2"/>
      <c r="F2134" s="2"/>
      <c r="G2134" s="2"/>
      <c r="H2134" s="2"/>
      <c r="I2134" s="5"/>
    </row>
    <row r="2135" spans="1:9" ht="17.399999999999999" x14ac:dyDescent="0.25">
      <c r="A2135" s="16"/>
      <c r="B2135" s="17"/>
      <c r="C2135" s="2" t="b">
        <v>0</v>
      </c>
      <c r="D2135" s="2"/>
      <c r="E2135" s="2"/>
      <c r="F2135" s="2"/>
      <c r="G2135" s="2"/>
      <c r="H2135" s="2"/>
      <c r="I2135" s="5"/>
    </row>
    <row r="2136" spans="1:9" ht="17.399999999999999" x14ac:dyDescent="0.25">
      <c r="A2136" s="16"/>
      <c r="B2136" s="17"/>
      <c r="C2136" s="2" t="b">
        <v>0</v>
      </c>
      <c r="D2136" s="2"/>
      <c r="E2136" s="2"/>
      <c r="F2136" s="2"/>
      <c r="G2136" s="2"/>
      <c r="H2136" s="2"/>
      <c r="I2136" s="5"/>
    </row>
    <row r="2137" spans="1:9" ht="17.399999999999999" x14ac:dyDescent="0.25">
      <c r="A2137" s="16"/>
      <c r="B2137" s="17"/>
      <c r="C2137" s="2" t="b">
        <v>0</v>
      </c>
      <c r="D2137" s="2"/>
      <c r="E2137" s="2"/>
      <c r="F2137" s="2"/>
      <c r="G2137" s="2"/>
      <c r="H2137" s="2"/>
      <c r="I2137" s="5"/>
    </row>
    <row r="2138" spans="1:9" ht="17.399999999999999" x14ac:dyDescent="0.25">
      <c r="A2138" s="16"/>
      <c r="B2138" s="17"/>
      <c r="C2138" s="2" t="b">
        <v>0</v>
      </c>
      <c r="D2138" s="2"/>
      <c r="E2138" s="2"/>
      <c r="F2138" s="2"/>
      <c r="G2138" s="2"/>
      <c r="H2138" s="2"/>
      <c r="I2138" s="5"/>
    </row>
    <row r="2139" spans="1:9" ht="17.399999999999999" x14ac:dyDescent="0.25">
      <c r="A2139" s="16"/>
      <c r="B2139" s="17"/>
      <c r="C2139" s="2" t="b">
        <v>0</v>
      </c>
      <c r="D2139" s="2"/>
      <c r="E2139" s="2"/>
      <c r="F2139" s="2"/>
      <c r="G2139" s="2"/>
      <c r="H2139" s="2"/>
      <c r="I2139" s="5"/>
    </row>
    <row r="2140" spans="1:9" ht="17.399999999999999" x14ac:dyDescent="0.25">
      <c r="A2140" s="16"/>
      <c r="B2140" s="17"/>
      <c r="C2140" s="2" t="b">
        <v>0</v>
      </c>
      <c r="D2140" s="2"/>
      <c r="E2140" s="2"/>
      <c r="F2140" s="2"/>
      <c r="G2140" s="2"/>
      <c r="H2140" s="2"/>
      <c r="I2140" s="5"/>
    </row>
    <row r="2141" spans="1:9" ht="17.399999999999999" x14ac:dyDescent="0.25">
      <c r="A2141" s="16"/>
      <c r="B2141" s="17"/>
      <c r="C2141" s="2" t="b">
        <v>0</v>
      </c>
      <c r="D2141" s="2"/>
      <c r="E2141" s="2"/>
      <c r="F2141" s="2"/>
      <c r="G2141" s="2"/>
      <c r="H2141" s="2"/>
      <c r="I2141" s="5"/>
    </row>
    <row r="2142" spans="1:9" ht="17.399999999999999" x14ac:dyDescent="0.25">
      <c r="A2142" s="16"/>
      <c r="B2142" s="17"/>
      <c r="C2142" s="2" t="b">
        <v>0</v>
      </c>
      <c r="D2142" s="2"/>
      <c r="E2142" s="2"/>
      <c r="F2142" s="2"/>
      <c r="G2142" s="2"/>
      <c r="H2142" s="2"/>
      <c r="I2142" s="5"/>
    </row>
    <row r="2143" spans="1:9" ht="17.399999999999999" x14ac:dyDescent="0.25">
      <c r="A2143" s="16"/>
      <c r="B2143" s="17"/>
      <c r="C2143" s="2" t="b">
        <v>0</v>
      </c>
      <c r="D2143" s="2"/>
      <c r="E2143" s="2"/>
      <c r="F2143" s="2"/>
      <c r="G2143" s="2"/>
      <c r="H2143" s="2"/>
      <c r="I2143" s="5"/>
    </row>
    <row r="2144" spans="1:9" ht="17.399999999999999" x14ac:dyDescent="0.25">
      <c r="A2144" s="16"/>
      <c r="B2144" s="17"/>
      <c r="C2144" s="2" t="b">
        <v>0</v>
      </c>
      <c r="D2144" s="2"/>
      <c r="E2144" s="2"/>
      <c r="F2144" s="2"/>
      <c r="G2144" s="2"/>
      <c r="H2144" s="2"/>
      <c r="I2144" s="5"/>
    </row>
    <row r="2145" spans="1:9" ht="17.399999999999999" x14ac:dyDescent="0.25">
      <c r="A2145" s="16"/>
      <c r="B2145" s="17"/>
      <c r="C2145" s="2" t="b">
        <v>0</v>
      </c>
      <c r="D2145" s="2"/>
      <c r="E2145" s="2"/>
      <c r="F2145" s="2"/>
      <c r="G2145" s="2"/>
      <c r="H2145" s="2"/>
      <c r="I2145" s="5"/>
    </row>
    <row r="2146" spans="1:9" ht="17.399999999999999" x14ac:dyDescent="0.25">
      <c r="A2146" s="16"/>
      <c r="B2146" s="17"/>
      <c r="C2146" s="2" t="b">
        <v>0</v>
      </c>
      <c r="D2146" s="2"/>
      <c r="E2146" s="2"/>
      <c r="F2146" s="2"/>
      <c r="G2146" s="2"/>
      <c r="H2146" s="2"/>
      <c r="I2146" s="5"/>
    </row>
    <row r="2147" spans="1:9" ht="17.399999999999999" x14ac:dyDescent="0.25">
      <c r="A2147" s="16"/>
      <c r="B2147" s="17"/>
      <c r="C2147" s="2" t="b">
        <v>0</v>
      </c>
      <c r="D2147" s="2"/>
      <c r="E2147" s="2"/>
      <c r="F2147" s="2"/>
      <c r="G2147" s="2"/>
      <c r="H2147" s="2"/>
      <c r="I2147" s="5"/>
    </row>
    <row r="2148" spans="1:9" ht="17.399999999999999" x14ac:dyDescent="0.25">
      <c r="A2148" s="16"/>
      <c r="B2148" s="17"/>
      <c r="C2148" s="2" t="b">
        <v>0</v>
      </c>
      <c r="D2148" s="2"/>
      <c r="E2148" s="2"/>
      <c r="F2148" s="2"/>
      <c r="G2148" s="2"/>
      <c r="H2148" s="2"/>
      <c r="I2148" s="5"/>
    </row>
    <row r="2149" spans="1:9" ht="17.399999999999999" x14ac:dyDescent="0.25">
      <c r="A2149" s="16"/>
      <c r="B2149" s="17"/>
      <c r="C2149" s="2" t="b">
        <v>0</v>
      </c>
      <c r="D2149" s="2"/>
      <c r="E2149" s="2"/>
      <c r="F2149" s="2"/>
      <c r="G2149" s="2"/>
      <c r="H2149" s="2"/>
      <c r="I2149" s="5"/>
    </row>
    <row r="2150" spans="1:9" ht="17.399999999999999" x14ac:dyDescent="0.25">
      <c r="A2150" s="16"/>
      <c r="B2150" s="17"/>
      <c r="C2150" s="2" t="b">
        <v>0</v>
      </c>
      <c r="D2150" s="2"/>
      <c r="E2150" s="2"/>
      <c r="F2150" s="2"/>
      <c r="G2150" s="2"/>
      <c r="H2150" s="2"/>
      <c r="I2150" s="5"/>
    </row>
    <row r="2151" spans="1:9" ht="17.399999999999999" x14ac:dyDescent="0.25">
      <c r="A2151" s="16"/>
      <c r="B2151" s="17"/>
      <c r="C2151" s="2" t="b">
        <v>0</v>
      </c>
      <c r="D2151" s="2"/>
      <c r="E2151" s="2"/>
      <c r="F2151" s="2"/>
      <c r="G2151" s="2"/>
      <c r="H2151" s="2"/>
      <c r="I2151" s="5"/>
    </row>
    <row r="2152" spans="1:9" ht="17.399999999999999" x14ac:dyDescent="0.25">
      <c r="A2152" s="16"/>
      <c r="B2152" s="17"/>
      <c r="C2152" s="2" t="b">
        <v>0</v>
      </c>
      <c r="D2152" s="2"/>
      <c r="E2152" s="2"/>
      <c r="F2152" s="2"/>
      <c r="G2152" s="2"/>
      <c r="H2152" s="2"/>
      <c r="I2152" s="5"/>
    </row>
    <row r="2153" spans="1:9" ht="17.399999999999999" x14ac:dyDescent="0.25">
      <c r="A2153" s="16"/>
      <c r="B2153" s="17"/>
      <c r="C2153" s="2" t="b">
        <v>0</v>
      </c>
      <c r="D2153" s="2"/>
      <c r="E2153" s="2"/>
      <c r="F2153" s="2"/>
      <c r="G2153" s="2"/>
      <c r="H2153" s="2"/>
      <c r="I2153" s="5"/>
    </row>
    <row r="2154" spans="1:9" ht="17.399999999999999" x14ac:dyDescent="0.25">
      <c r="A2154" s="16"/>
      <c r="B2154" s="17"/>
      <c r="C2154" s="2" t="b">
        <v>0</v>
      </c>
      <c r="D2154" s="2"/>
      <c r="E2154" s="2"/>
      <c r="F2154" s="2"/>
      <c r="G2154" s="2"/>
      <c r="H2154" s="2"/>
      <c r="I2154" s="5"/>
    </row>
    <row r="2155" spans="1:9" ht="17.399999999999999" x14ac:dyDescent="0.25">
      <c r="A2155" s="16"/>
      <c r="B2155" s="17"/>
      <c r="C2155" s="2" t="b">
        <v>0</v>
      </c>
      <c r="D2155" s="2"/>
      <c r="E2155" s="2"/>
      <c r="F2155" s="2"/>
      <c r="G2155" s="2"/>
      <c r="H2155" s="2"/>
      <c r="I2155" s="5"/>
    </row>
    <row r="2156" spans="1:9" ht="17.399999999999999" x14ac:dyDescent="0.25">
      <c r="A2156" s="16"/>
      <c r="B2156" s="17"/>
      <c r="C2156" s="2" t="b">
        <v>0</v>
      </c>
      <c r="D2156" s="2"/>
      <c r="E2156" s="2"/>
      <c r="F2156" s="2"/>
      <c r="G2156" s="2"/>
      <c r="H2156" s="2"/>
      <c r="I2156" s="5"/>
    </row>
    <row r="2157" spans="1:9" ht="17.399999999999999" x14ac:dyDescent="0.25">
      <c r="A2157" s="16"/>
      <c r="B2157" s="17"/>
      <c r="C2157" s="2" t="b">
        <v>0</v>
      </c>
      <c r="D2157" s="2"/>
      <c r="E2157" s="2"/>
      <c r="F2157" s="2"/>
      <c r="G2157" s="2"/>
      <c r="H2157" s="2"/>
      <c r="I2157" s="5"/>
    </row>
    <row r="2158" spans="1:9" ht="17.399999999999999" x14ac:dyDescent="0.25">
      <c r="A2158" s="16"/>
      <c r="B2158" s="17"/>
      <c r="C2158" s="2" t="b">
        <v>0</v>
      </c>
      <c r="D2158" s="2"/>
      <c r="E2158" s="2"/>
      <c r="F2158" s="2"/>
      <c r="G2158" s="2"/>
      <c r="H2158" s="2"/>
      <c r="I2158" s="5"/>
    </row>
    <row r="2159" spans="1:9" ht="17.399999999999999" x14ac:dyDescent="0.25">
      <c r="A2159" s="16"/>
      <c r="B2159" s="17"/>
      <c r="C2159" s="2" t="b">
        <v>0</v>
      </c>
      <c r="D2159" s="2"/>
      <c r="E2159" s="2"/>
      <c r="F2159" s="2"/>
      <c r="G2159" s="2"/>
      <c r="H2159" s="2"/>
      <c r="I2159" s="5"/>
    </row>
    <row r="2160" spans="1:9" ht="17.399999999999999" x14ac:dyDescent="0.25">
      <c r="A2160" s="16"/>
      <c r="B2160" s="17"/>
      <c r="C2160" s="2" t="b">
        <v>0</v>
      </c>
      <c r="D2160" s="2"/>
      <c r="E2160" s="2"/>
      <c r="F2160" s="2"/>
      <c r="G2160" s="2"/>
      <c r="H2160" s="2"/>
      <c r="I2160" s="5"/>
    </row>
    <row r="2161" spans="1:9" ht="17.399999999999999" x14ac:dyDescent="0.25">
      <c r="A2161" s="16"/>
      <c r="B2161" s="17"/>
      <c r="C2161" s="2" t="b">
        <v>0</v>
      </c>
      <c r="D2161" s="2"/>
      <c r="E2161" s="2"/>
      <c r="F2161" s="2"/>
      <c r="G2161" s="2"/>
      <c r="H2161" s="2"/>
      <c r="I2161" s="5"/>
    </row>
    <row r="2162" spans="1:9" ht="17.399999999999999" x14ac:dyDescent="0.25">
      <c r="A2162" s="16"/>
      <c r="B2162" s="17"/>
      <c r="C2162" s="2" t="b">
        <v>0</v>
      </c>
      <c r="D2162" s="2"/>
      <c r="E2162" s="2"/>
      <c r="F2162" s="2"/>
      <c r="G2162" s="2"/>
      <c r="H2162" s="2"/>
      <c r="I2162" s="5"/>
    </row>
    <row r="2163" spans="1:9" ht="17.399999999999999" x14ac:dyDescent="0.25">
      <c r="A2163" s="16"/>
      <c r="B2163" s="17"/>
      <c r="C2163" s="2" t="b">
        <v>0</v>
      </c>
      <c r="D2163" s="2"/>
      <c r="E2163" s="2"/>
      <c r="F2163" s="2"/>
      <c r="G2163" s="2"/>
      <c r="H2163" s="2"/>
      <c r="I2163" s="5"/>
    </row>
    <row r="2164" spans="1:9" ht="17.399999999999999" x14ac:dyDescent="0.25">
      <c r="A2164" s="16"/>
      <c r="B2164" s="17"/>
      <c r="C2164" s="2" t="b">
        <v>0</v>
      </c>
      <c r="D2164" s="2"/>
      <c r="E2164" s="2"/>
      <c r="F2164" s="2"/>
      <c r="G2164" s="2"/>
      <c r="H2164" s="2"/>
      <c r="I2164" s="5"/>
    </row>
    <row r="2165" spans="1:9" ht="17.399999999999999" x14ac:dyDescent="0.25">
      <c r="A2165" s="16"/>
      <c r="B2165" s="17"/>
      <c r="C2165" s="2" t="b">
        <v>0</v>
      </c>
      <c r="D2165" s="2"/>
      <c r="E2165" s="2"/>
      <c r="F2165" s="2"/>
      <c r="G2165" s="2"/>
      <c r="H2165" s="2"/>
      <c r="I2165" s="5"/>
    </row>
    <row r="2166" spans="1:9" ht="17.399999999999999" x14ac:dyDescent="0.25">
      <c r="A2166" s="16"/>
      <c r="B2166" s="17"/>
      <c r="C2166" s="2" t="b">
        <v>0</v>
      </c>
      <c r="D2166" s="2"/>
      <c r="E2166" s="2"/>
      <c r="F2166" s="2"/>
      <c r="G2166" s="2"/>
      <c r="H2166" s="2"/>
      <c r="I2166" s="5"/>
    </row>
    <row r="2167" spans="1:9" ht="17.399999999999999" x14ac:dyDescent="0.25">
      <c r="A2167" s="16"/>
      <c r="B2167" s="17"/>
      <c r="C2167" s="2" t="b">
        <v>0</v>
      </c>
      <c r="D2167" s="2"/>
      <c r="E2167" s="2"/>
      <c r="F2167" s="2"/>
      <c r="G2167" s="2"/>
      <c r="H2167" s="2"/>
      <c r="I2167" s="5"/>
    </row>
    <row r="2168" spans="1:9" ht="17.399999999999999" x14ac:dyDescent="0.25">
      <c r="A2168" s="16"/>
      <c r="B2168" s="17"/>
      <c r="C2168" s="2" t="b">
        <v>0</v>
      </c>
      <c r="D2168" s="2"/>
      <c r="E2168" s="2"/>
      <c r="F2168" s="2"/>
      <c r="G2168" s="2"/>
      <c r="H2168" s="2"/>
      <c r="I2168" s="5"/>
    </row>
    <row r="2169" spans="1:9" ht="17.399999999999999" x14ac:dyDescent="0.25">
      <c r="A2169" s="16"/>
      <c r="B2169" s="17"/>
      <c r="C2169" s="2" t="b">
        <v>0</v>
      </c>
      <c r="D2169" s="2"/>
      <c r="E2169" s="2"/>
      <c r="F2169" s="2"/>
      <c r="G2169" s="2"/>
      <c r="H2169" s="2"/>
      <c r="I2169" s="5"/>
    </row>
    <row r="2170" spans="1:9" ht="17.399999999999999" x14ac:dyDescent="0.25">
      <c r="A2170" s="16"/>
      <c r="B2170" s="17"/>
      <c r="C2170" s="2" t="b">
        <v>0</v>
      </c>
      <c r="D2170" s="2"/>
      <c r="E2170" s="2"/>
      <c r="F2170" s="2"/>
      <c r="G2170" s="2"/>
      <c r="H2170" s="2"/>
      <c r="I2170" s="5"/>
    </row>
    <row r="2171" spans="1:9" ht="17.399999999999999" x14ac:dyDescent="0.25">
      <c r="A2171" s="16"/>
      <c r="B2171" s="17"/>
      <c r="C2171" s="2" t="b">
        <v>0</v>
      </c>
      <c r="D2171" s="2"/>
      <c r="E2171" s="2"/>
      <c r="F2171" s="2"/>
      <c r="G2171" s="2"/>
      <c r="H2171" s="2"/>
      <c r="I2171" s="5"/>
    </row>
    <row r="2172" spans="1:9" ht="17.399999999999999" x14ac:dyDescent="0.25">
      <c r="A2172" s="16"/>
      <c r="B2172" s="17"/>
      <c r="C2172" s="2" t="b">
        <v>0</v>
      </c>
      <c r="D2172" s="2"/>
      <c r="E2172" s="2"/>
      <c r="F2172" s="2"/>
      <c r="G2172" s="2"/>
      <c r="H2172" s="2"/>
      <c r="I2172" s="5"/>
    </row>
    <row r="2173" spans="1:9" ht="17.399999999999999" x14ac:dyDescent="0.25">
      <c r="A2173" s="16"/>
      <c r="B2173" s="17"/>
      <c r="C2173" s="2" t="b">
        <v>0</v>
      </c>
      <c r="D2173" s="2"/>
      <c r="E2173" s="2"/>
      <c r="F2173" s="2"/>
      <c r="G2173" s="2"/>
      <c r="H2173" s="2"/>
      <c r="I2173" s="5"/>
    </row>
    <row r="2174" spans="1:9" ht="17.399999999999999" x14ac:dyDescent="0.25">
      <c r="A2174" s="16"/>
      <c r="B2174" s="17"/>
      <c r="C2174" s="2" t="b">
        <v>0</v>
      </c>
      <c r="D2174" s="2"/>
      <c r="E2174" s="2"/>
      <c r="F2174" s="2"/>
      <c r="G2174" s="2"/>
      <c r="H2174" s="2"/>
      <c r="I2174" s="5"/>
    </row>
    <row r="2175" spans="1:9" ht="17.399999999999999" x14ac:dyDescent="0.25">
      <c r="A2175" s="16"/>
      <c r="B2175" s="17"/>
      <c r="C2175" s="2" t="b">
        <v>0</v>
      </c>
      <c r="D2175" s="2"/>
      <c r="E2175" s="2"/>
      <c r="F2175" s="2"/>
      <c r="G2175" s="2"/>
      <c r="H2175" s="2"/>
      <c r="I2175" s="5"/>
    </row>
    <row r="2176" spans="1:9" ht="17.399999999999999" x14ac:dyDescent="0.25">
      <c r="A2176" s="16"/>
      <c r="B2176" s="17"/>
      <c r="C2176" s="2" t="b">
        <v>0</v>
      </c>
      <c r="D2176" s="2"/>
      <c r="E2176" s="2"/>
      <c r="F2176" s="2"/>
      <c r="G2176" s="2"/>
      <c r="H2176" s="2"/>
      <c r="I2176" s="5"/>
    </row>
    <row r="2177" spans="1:9" ht="17.399999999999999" x14ac:dyDescent="0.25">
      <c r="A2177" s="16"/>
      <c r="B2177" s="17"/>
      <c r="C2177" s="2" t="b">
        <v>0</v>
      </c>
      <c r="D2177" s="2"/>
      <c r="E2177" s="2"/>
      <c r="F2177" s="2"/>
      <c r="G2177" s="2"/>
      <c r="H2177" s="2"/>
      <c r="I2177" s="5"/>
    </row>
    <row r="2178" spans="1:9" ht="17.399999999999999" x14ac:dyDescent="0.25">
      <c r="A2178" s="16"/>
      <c r="B2178" s="17"/>
      <c r="C2178" s="2" t="b">
        <v>0</v>
      </c>
      <c r="D2178" s="2"/>
      <c r="E2178" s="2"/>
      <c r="F2178" s="2"/>
      <c r="G2178" s="2"/>
      <c r="H2178" s="2"/>
      <c r="I2178" s="5"/>
    </row>
    <row r="2179" spans="1:9" ht="17.399999999999999" x14ac:dyDescent="0.25">
      <c r="A2179" s="16"/>
      <c r="B2179" s="17"/>
      <c r="C2179" s="2" t="b">
        <v>0</v>
      </c>
      <c r="D2179" s="2"/>
      <c r="E2179" s="2"/>
      <c r="F2179" s="2"/>
      <c r="G2179" s="2"/>
      <c r="H2179" s="2"/>
      <c r="I2179" s="5"/>
    </row>
    <row r="2180" spans="1:9" ht="17.399999999999999" x14ac:dyDescent="0.25">
      <c r="A2180" s="16"/>
      <c r="B2180" s="17"/>
      <c r="C2180" s="2" t="b">
        <v>0</v>
      </c>
      <c r="D2180" s="2"/>
      <c r="E2180" s="2"/>
      <c r="F2180" s="2"/>
      <c r="G2180" s="2"/>
      <c r="H2180" s="2"/>
      <c r="I2180" s="5"/>
    </row>
    <row r="2181" spans="1:9" ht="17.399999999999999" x14ac:dyDescent="0.25">
      <c r="A2181" s="16"/>
      <c r="B2181" s="17"/>
      <c r="C2181" s="2" t="b">
        <v>0</v>
      </c>
      <c r="D2181" s="2"/>
      <c r="E2181" s="2"/>
      <c r="F2181" s="2"/>
      <c r="G2181" s="2"/>
      <c r="H2181" s="2"/>
      <c r="I2181" s="5"/>
    </row>
    <row r="2182" spans="1:9" ht="17.399999999999999" x14ac:dyDescent="0.25">
      <c r="A2182" s="16"/>
      <c r="B2182" s="17"/>
      <c r="C2182" s="2" t="b">
        <v>0</v>
      </c>
      <c r="D2182" s="2"/>
      <c r="E2182" s="2"/>
      <c r="F2182" s="2"/>
      <c r="G2182" s="2"/>
      <c r="H2182" s="2"/>
      <c r="I2182" s="5"/>
    </row>
    <row r="2183" spans="1:9" ht="17.399999999999999" x14ac:dyDescent="0.25">
      <c r="A2183" s="16"/>
      <c r="B2183" s="17"/>
      <c r="C2183" s="2" t="b">
        <v>0</v>
      </c>
      <c r="D2183" s="2"/>
      <c r="E2183" s="2"/>
      <c r="F2183" s="2"/>
      <c r="G2183" s="2"/>
      <c r="H2183" s="2"/>
      <c r="I2183" s="5"/>
    </row>
    <row r="2184" spans="1:9" ht="17.399999999999999" x14ac:dyDescent="0.25">
      <c r="A2184" s="16"/>
      <c r="B2184" s="17"/>
      <c r="C2184" s="2" t="b">
        <v>0</v>
      </c>
      <c r="D2184" s="2"/>
      <c r="E2184" s="2"/>
      <c r="F2184" s="2"/>
      <c r="G2184" s="2"/>
      <c r="H2184" s="2"/>
      <c r="I2184" s="5"/>
    </row>
    <row r="2185" spans="1:9" ht="17.399999999999999" x14ac:dyDescent="0.25">
      <c r="A2185" s="16"/>
      <c r="B2185" s="17"/>
      <c r="C2185" s="2" t="b">
        <v>0</v>
      </c>
      <c r="D2185" s="2"/>
      <c r="E2185" s="2"/>
      <c r="F2185" s="2"/>
      <c r="G2185" s="2"/>
      <c r="H2185" s="2"/>
      <c r="I2185" s="5"/>
    </row>
    <row r="2186" spans="1:9" ht="17.399999999999999" x14ac:dyDescent="0.25">
      <c r="A2186" s="16"/>
      <c r="B2186" s="17"/>
      <c r="C2186" s="2" t="b">
        <v>0</v>
      </c>
      <c r="D2186" s="2"/>
      <c r="E2186" s="2"/>
      <c r="F2186" s="2"/>
      <c r="G2186" s="2"/>
      <c r="H2186" s="2"/>
      <c r="I2186" s="5"/>
    </row>
    <row r="2187" spans="1:9" ht="17.399999999999999" x14ac:dyDescent="0.25">
      <c r="A2187" s="16"/>
      <c r="B2187" s="17"/>
      <c r="C2187" s="2" t="b">
        <v>0</v>
      </c>
      <c r="D2187" s="2"/>
      <c r="E2187" s="2"/>
      <c r="F2187" s="2"/>
      <c r="G2187" s="2"/>
      <c r="H2187" s="2"/>
      <c r="I2187" s="5"/>
    </row>
    <row r="2188" spans="1:9" ht="17.399999999999999" x14ac:dyDescent="0.25">
      <c r="A2188" s="16"/>
      <c r="B2188" s="17"/>
      <c r="C2188" s="2" t="b">
        <v>0</v>
      </c>
      <c r="D2188" s="2"/>
      <c r="E2188" s="2"/>
      <c r="F2188" s="2"/>
      <c r="G2188" s="2"/>
      <c r="H2188" s="2"/>
      <c r="I2188" s="5"/>
    </row>
    <row r="2189" spans="1:9" ht="17.399999999999999" x14ac:dyDescent="0.25">
      <c r="A2189" s="16"/>
      <c r="B2189" s="17"/>
      <c r="C2189" s="2" t="b">
        <v>0</v>
      </c>
      <c r="D2189" s="2"/>
      <c r="E2189" s="2"/>
      <c r="F2189" s="2"/>
      <c r="G2189" s="2"/>
      <c r="H2189" s="2"/>
      <c r="I2189" s="5"/>
    </row>
    <row r="2190" spans="1:9" ht="17.399999999999999" x14ac:dyDescent="0.25">
      <c r="A2190" s="16"/>
      <c r="B2190" s="17"/>
      <c r="C2190" s="2" t="b">
        <v>0</v>
      </c>
      <c r="D2190" s="2"/>
      <c r="E2190" s="2"/>
      <c r="F2190" s="2"/>
      <c r="G2190" s="2"/>
      <c r="H2190" s="2"/>
      <c r="I2190" s="5"/>
    </row>
    <row r="2191" spans="1:9" ht="17.399999999999999" x14ac:dyDescent="0.25">
      <c r="A2191" s="16"/>
      <c r="B2191" s="17"/>
      <c r="C2191" s="2" t="b">
        <v>0</v>
      </c>
      <c r="D2191" s="2"/>
      <c r="E2191" s="2"/>
      <c r="F2191" s="2"/>
      <c r="G2191" s="2"/>
      <c r="H2191" s="2"/>
      <c r="I2191" s="5"/>
    </row>
    <row r="2192" spans="1:9" ht="17.399999999999999" x14ac:dyDescent="0.25">
      <c r="A2192" s="16"/>
      <c r="B2192" s="17"/>
      <c r="C2192" s="2" t="b">
        <v>0</v>
      </c>
      <c r="D2192" s="2"/>
      <c r="E2192" s="2"/>
      <c r="F2192" s="2"/>
      <c r="G2192" s="2"/>
      <c r="H2192" s="2"/>
      <c r="I2192" s="5"/>
    </row>
    <row r="2193" spans="1:9" ht="17.399999999999999" x14ac:dyDescent="0.25">
      <c r="A2193" s="16"/>
      <c r="B2193" s="17"/>
      <c r="C2193" s="2" t="b">
        <v>0</v>
      </c>
      <c r="D2193" s="2"/>
      <c r="E2193" s="2"/>
      <c r="F2193" s="2"/>
      <c r="G2193" s="2"/>
      <c r="H2193" s="2"/>
      <c r="I2193" s="5"/>
    </row>
    <row r="2194" spans="1:9" ht="17.399999999999999" x14ac:dyDescent="0.25">
      <c r="A2194" s="16"/>
      <c r="B2194" s="17"/>
      <c r="C2194" s="2" t="b">
        <v>0</v>
      </c>
      <c r="D2194" s="2"/>
      <c r="E2194" s="2"/>
      <c r="F2194" s="2"/>
      <c r="G2194" s="2"/>
      <c r="H2194" s="2"/>
      <c r="I2194" s="5"/>
    </row>
    <row r="2195" spans="1:9" ht="17.399999999999999" x14ac:dyDescent="0.25">
      <c r="A2195" s="16"/>
      <c r="B2195" s="17"/>
      <c r="C2195" s="2" t="b">
        <v>0</v>
      </c>
      <c r="D2195" s="2"/>
      <c r="E2195" s="2"/>
      <c r="F2195" s="2"/>
      <c r="G2195" s="2"/>
      <c r="H2195" s="2"/>
      <c r="I2195" s="5"/>
    </row>
    <row r="2196" spans="1:9" ht="17.399999999999999" x14ac:dyDescent="0.25">
      <c r="A2196" s="16"/>
      <c r="B2196" s="17"/>
      <c r="C2196" s="2" t="b">
        <v>0</v>
      </c>
      <c r="D2196" s="2"/>
      <c r="E2196" s="2"/>
      <c r="F2196" s="2"/>
      <c r="G2196" s="2"/>
      <c r="H2196" s="2"/>
      <c r="I2196" s="5"/>
    </row>
    <row r="2197" spans="1:9" ht="17.399999999999999" x14ac:dyDescent="0.25">
      <c r="A2197" s="16"/>
      <c r="B2197" s="17"/>
      <c r="C2197" s="2" t="b">
        <v>0</v>
      </c>
      <c r="D2197" s="2"/>
      <c r="E2197" s="2"/>
      <c r="F2197" s="2"/>
      <c r="G2197" s="2"/>
      <c r="H2197" s="2"/>
      <c r="I2197" s="5"/>
    </row>
    <row r="2198" spans="1:9" ht="17.399999999999999" x14ac:dyDescent="0.25">
      <c r="A2198" s="16"/>
      <c r="B2198" s="17"/>
      <c r="C2198" s="2" t="b">
        <v>0</v>
      </c>
      <c r="D2198" s="2"/>
      <c r="E2198" s="2"/>
      <c r="F2198" s="2"/>
      <c r="G2198" s="2"/>
      <c r="H2198" s="2"/>
      <c r="I2198" s="5"/>
    </row>
    <row r="2199" spans="1:9" ht="17.399999999999999" x14ac:dyDescent="0.25">
      <c r="A2199" s="16"/>
      <c r="B2199" s="17"/>
      <c r="C2199" s="2" t="b">
        <v>0</v>
      </c>
      <c r="D2199" s="2"/>
      <c r="E2199" s="2"/>
      <c r="F2199" s="2"/>
      <c r="G2199" s="2"/>
      <c r="H2199" s="2"/>
      <c r="I2199" s="5"/>
    </row>
    <row r="2200" spans="1:9" ht="17.399999999999999" x14ac:dyDescent="0.25">
      <c r="A2200" s="16"/>
      <c r="B2200" s="17"/>
      <c r="C2200" s="2" t="b">
        <v>0</v>
      </c>
      <c r="D2200" s="2"/>
      <c r="E2200" s="2"/>
      <c r="F2200" s="2"/>
      <c r="G2200" s="2"/>
      <c r="H2200" s="2"/>
      <c r="I2200" s="5"/>
    </row>
    <row r="2201" spans="1:9" ht="17.399999999999999" x14ac:dyDescent="0.25">
      <c r="A2201" s="16"/>
      <c r="B2201" s="17"/>
      <c r="C2201" s="2" t="b">
        <v>0</v>
      </c>
      <c r="D2201" s="2"/>
      <c r="E2201" s="2"/>
      <c r="F2201" s="2"/>
      <c r="G2201" s="2"/>
      <c r="H2201" s="2"/>
      <c r="I2201" s="5"/>
    </row>
    <row r="2202" spans="1:9" ht="17.399999999999999" x14ac:dyDescent="0.25">
      <c r="A2202" s="16"/>
      <c r="B2202" s="17"/>
      <c r="C2202" s="2" t="b">
        <v>0</v>
      </c>
      <c r="D2202" s="2"/>
      <c r="E2202" s="2"/>
      <c r="F2202" s="2"/>
      <c r="G2202" s="2"/>
      <c r="H2202" s="2"/>
      <c r="I2202" s="5"/>
    </row>
    <row r="2203" spans="1:9" ht="17.399999999999999" x14ac:dyDescent="0.25">
      <c r="A2203" s="16"/>
      <c r="B2203" s="17"/>
      <c r="C2203" s="2" t="b">
        <v>0</v>
      </c>
      <c r="D2203" s="2"/>
      <c r="E2203" s="2"/>
      <c r="F2203" s="2"/>
      <c r="G2203" s="2"/>
      <c r="H2203" s="2"/>
      <c r="I2203" s="5"/>
    </row>
    <row r="2204" spans="1:9" ht="17.399999999999999" x14ac:dyDescent="0.25">
      <c r="A2204" s="16"/>
      <c r="B2204" s="17"/>
      <c r="C2204" s="2" t="b">
        <v>0</v>
      </c>
      <c r="D2204" s="2"/>
      <c r="E2204" s="2"/>
      <c r="F2204" s="2"/>
      <c r="G2204" s="2"/>
      <c r="H2204" s="2"/>
      <c r="I2204" s="5"/>
    </row>
    <row r="2205" spans="1:9" ht="17.399999999999999" x14ac:dyDescent="0.25">
      <c r="A2205" s="16"/>
      <c r="B2205" s="17"/>
      <c r="C2205" s="2" t="b">
        <v>0</v>
      </c>
      <c r="D2205" s="2"/>
      <c r="E2205" s="2"/>
      <c r="F2205" s="2"/>
      <c r="G2205" s="2"/>
      <c r="H2205" s="2"/>
      <c r="I2205" s="5"/>
    </row>
    <row r="2206" spans="1:9" ht="17.399999999999999" x14ac:dyDescent="0.25">
      <c r="A2206" s="16"/>
      <c r="B2206" s="17"/>
      <c r="C2206" s="2" t="b">
        <v>0</v>
      </c>
      <c r="D2206" s="2"/>
      <c r="E2206" s="2"/>
      <c r="F2206" s="2"/>
      <c r="G2206" s="2"/>
      <c r="H2206" s="2"/>
      <c r="I2206" s="5"/>
    </row>
    <row r="2207" spans="1:9" ht="17.399999999999999" x14ac:dyDescent="0.25">
      <c r="A2207" s="16"/>
      <c r="B2207" s="17"/>
      <c r="C2207" s="2" t="b">
        <v>0</v>
      </c>
      <c r="D2207" s="2"/>
      <c r="E2207" s="2"/>
      <c r="F2207" s="2"/>
      <c r="G2207" s="2"/>
      <c r="H2207" s="2"/>
      <c r="I2207" s="5"/>
    </row>
    <row r="2208" spans="1:9" ht="17.399999999999999" x14ac:dyDescent="0.25">
      <c r="A2208" s="16"/>
      <c r="B2208" s="17"/>
      <c r="C2208" s="2" t="b">
        <v>0</v>
      </c>
      <c r="D2208" s="2"/>
      <c r="E2208" s="2"/>
      <c r="F2208" s="2"/>
      <c r="G2208" s="2"/>
      <c r="H2208" s="2"/>
      <c r="I2208" s="5"/>
    </row>
    <row r="2209" spans="1:9" ht="17.399999999999999" x14ac:dyDescent="0.25">
      <c r="A2209" s="16"/>
      <c r="B2209" s="17"/>
      <c r="C2209" s="2" t="b">
        <v>0</v>
      </c>
      <c r="D2209" s="2"/>
      <c r="E2209" s="2"/>
      <c r="F2209" s="2"/>
      <c r="G2209" s="2"/>
      <c r="H2209" s="2"/>
      <c r="I2209" s="5"/>
    </row>
    <row r="2210" spans="1:9" ht="17.399999999999999" x14ac:dyDescent="0.25">
      <c r="A2210" s="16"/>
      <c r="B2210" s="17"/>
      <c r="C2210" s="2" t="b">
        <v>0</v>
      </c>
      <c r="D2210" s="2"/>
      <c r="E2210" s="2"/>
      <c r="F2210" s="2"/>
      <c r="G2210" s="2"/>
      <c r="H2210" s="2"/>
      <c r="I2210" s="5"/>
    </row>
    <row r="2211" spans="1:9" ht="17.399999999999999" x14ac:dyDescent="0.25">
      <c r="A2211" s="16"/>
      <c r="B2211" s="17"/>
      <c r="C2211" s="2" t="b">
        <v>0</v>
      </c>
      <c r="D2211" s="2"/>
      <c r="E2211" s="2"/>
      <c r="F2211" s="2"/>
      <c r="G2211" s="2"/>
      <c r="H2211" s="2"/>
      <c r="I2211" s="5"/>
    </row>
    <row r="2212" spans="1:9" ht="17.399999999999999" x14ac:dyDescent="0.25">
      <c r="A2212" s="16"/>
      <c r="B2212" s="17"/>
      <c r="C2212" s="2" t="b">
        <v>0</v>
      </c>
      <c r="D2212" s="2"/>
      <c r="E2212" s="2"/>
      <c r="F2212" s="2"/>
      <c r="G2212" s="2"/>
      <c r="H2212" s="2"/>
      <c r="I2212" s="5"/>
    </row>
    <row r="2213" spans="1:9" ht="17.399999999999999" x14ac:dyDescent="0.25">
      <c r="A2213" s="16"/>
      <c r="B2213" s="17"/>
      <c r="C2213" s="2" t="b">
        <v>0</v>
      </c>
      <c r="D2213" s="2"/>
      <c r="E2213" s="2"/>
      <c r="F2213" s="2"/>
      <c r="G2213" s="2"/>
      <c r="H2213" s="2"/>
      <c r="I2213" s="5"/>
    </row>
    <row r="2214" spans="1:9" ht="17.399999999999999" x14ac:dyDescent="0.25">
      <c r="A2214" s="16"/>
      <c r="B2214" s="17"/>
      <c r="C2214" s="2" t="b">
        <v>0</v>
      </c>
      <c r="D2214" s="2"/>
      <c r="E2214" s="2"/>
      <c r="F2214" s="2"/>
      <c r="G2214" s="2"/>
      <c r="H2214" s="2"/>
      <c r="I2214" s="5"/>
    </row>
    <row r="2215" spans="1:9" ht="17.399999999999999" x14ac:dyDescent="0.25">
      <c r="A2215" s="16"/>
      <c r="B2215" s="17"/>
      <c r="C2215" s="2" t="b">
        <v>0</v>
      </c>
      <c r="D2215" s="2"/>
      <c r="E2215" s="2"/>
      <c r="F2215" s="2"/>
      <c r="G2215" s="2"/>
      <c r="H2215" s="2"/>
      <c r="I2215" s="5"/>
    </row>
    <row r="2216" spans="1:9" ht="17.399999999999999" x14ac:dyDescent="0.25">
      <c r="A2216" s="16"/>
      <c r="B2216" s="17"/>
      <c r="C2216" s="2" t="b">
        <v>0</v>
      </c>
      <c r="D2216" s="2"/>
      <c r="E2216" s="2"/>
      <c r="F2216" s="2"/>
      <c r="G2216" s="2"/>
      <c r="H2216" s="2"/>
      <c r="I2216" s="5"/>
    </row>
    <row r="2217" spans="1:9" ht="17.399999999999999" x14ac:dyDescent="0.25">
      <c r="A2217" s="16"/>
      <c r="B2217" s="17"/>
      <c r="C2217" s="2" t="b">
        <v>0</v>
      </c>
      <c r="D2217" s="2"/>
      <c r="E2217" s="2"/>
      <c r="F2217" s="2"/>
      <c r="G2217" s="2"/>
      <c r="H2217" s="2"/>
      <c r="I2217" s="5"/>
    </row>
    <row r="2218" spans="1:9" ht="17.399999999999999" x14ac:dyDescent="0.25">
      <c r="A2218" s="16"/>
      <c r="B2218" s="17"/>
      <c r="C2218" s="2" t="b">
        <v>0</v>
      </c>
      <c r="D2218" s="2"/>
      <c r="E2218" s="2"/>
      <c r="F2218" s="2"/>
      <c r="G2218" s="2"/>
      <c r="H2218" s="2"/>
      <c r="I2218" s="5"/>
    </row>
    <row r="2219" spans="1:9" ht="17.399999999999999" x14ac:dyDescent="0.25">
      <c r="A2219" s="16"/>
      <c r="B2219" s="17"/>
      <c r="C2219" s="2" t="b">
        <v>0</v>
      </c>
      <c r="D2219" s="2"/>
      <c r="E2219" s="2"/>
      <c r="F2219" s="2"/>
      <c r="G2219" s="2"/>
      <c r="H2219" s="2"/>
      <c r="I2219" s="5"/>
    </row>
    <row r="2220" spans="1:9" ht="17.399999999999999" x14ac:dyDescent="0.25">
      <c r="A2220" s="16"/>
      <c r="B2220" s="17"/>
      <c r="C2220" s="2" t="b">
        <v>0</v>
      </c>
      <c r="D2220" s="2"/>
      <c r="E2220" s="2"/>
      <c r="F2220" s="2"/>
      <c r="G2220" s="2"/>
      <c r="H2220" s="2"/>
      <c r="I2220" s="5"/>
    </row>
    <row r="2221" spans="1:9" ht="17.399999999999999" x14ac:dyDescent="0.25">
      <c r="A2221" s="16"/>
      <c r="B2221" s="17"/>
      <c r="C2221" s="2" t="b">
        <v>0</v>
      </c>
      <c r="D2221" s="2"/>
      <c r="E2221" s="2"/>
      <c r="F2221" s="2"/>
      <c r="G2221" s="2"/>
      <c r="H2221" s="2"/>
      <c r="I2221" s="5"/>
    </row>
    <row r="2222" spans="1:9" ht="17.399999999999999" x14ac:dyDescent="0.25">
      <c r="A2222" s="16"/>
      <c r="B2222" s="17"/>
      <c r="C2222" s="2" t="b">
        <v>0</v>
      </c>
      <c r="D2222" s="2"/>
      <c r="E2222" s="2"/>
      <c r="F2222" s="2"/>
      <c r="G2222" s="2"/>
      <c r="H2222" s="2"/>
      <c r="I2222" s="5"/>
    </row>
    <row r="2223" spans="1:9" ht="17.399999999999999" x14ac:dyDescent="0.25">
      <c r="A2223" s="16"/>
      <c r="B2223" s="17"/>
      <c r="C2223" s="2" t="b">
        <v>0</v>
      </c>
      <c r="D2223" s="2"/>
      <c r="E2223" s="2"/>
      <c r="F2223" s="2"/>
      <c r="G2223" s="2"/>
      <c r="H2223" s="2"/>
      <c r="I2223" s="5"/>
    </row>
    <row r="2224" spans="1:9" ht="17.399999999999999" x14ac:dyDescent="0.25">
      <c r="A2224" s="16"/>
      <c r="B2224" s="17"/>
      <c r="C2224" s="2" t="b">
        <v>0</v>
      </c>
      <c r="D2224" s="2"/>
      <c r="E2224" s="2"/>
      <c r="F2224" s="2"/>
      <c r="G2224" s="2"/>
      <c r="H2224" s="2"/>
      <c r="I2224" s="5"/>
    </row>
    <row r="2225" spans="1:9" ht="17.399999999999999" x14ac:dyDescent="0.25">
      <c r="A2225" s="16"/>
      <c r="B2225" s="17"/>
      <c r="C2225" s="2" t="b">
        <v>0</v>
      </c>
      <c r="D2225" s="2"/>
      <c r="E2225" s="2"/>
      <c r="F2225" s="2"/>
      <c r="G2225" s="2"/>
      <c r="H2225" s="2"/>
      <c r="I2225" s="5"/>
    </row>
    <row r="2226" spans="1:9" ht="17.399999999999999" x14ac:dyDescent="0.25">
      <c r="A2226" s="16"/>
      <c r="B2226" s="17"/>
      <c r="C2226" s="2" t="b">
        <v>0</v>
      </c>
      <c r="D2226" s="2"/>
      <c r="E2226" s="2"/>
      <c r="F2226" s="2"/>
      <c r="G2226" s="2"/>
      <c r="H2226" s="2"/>
      <c r="I2226" s="5"/>
    </row>
    <row r="2227" spans="1:9" ht="17.399999999999999" x14ac:dyDescent="0.25">
      <c r="A2227" s="16"/>
      <c r="B2227" s="17"/>
      <c r="C2227" s="2" t="b">
        <v>0</v>
      </c>
      <c r="D2227" s="2"/>
      <c r="E2227" s="2"/>
      <c r="F2227" s="2"/>
      <c r="G2227" s="2"/>
      <c r="H2227" s="2"/>
      <c r="I2227" s="5"/>
    </row>
    <row r="2228" spans="1:9" ht="17.399999999999999" x14ac:dyDescent="0.25">
      <c r="A2228" s="16"/>
      <c r="B2228" s="17"/>
      <c r="C2228" s="2" t="b">
        <v>0</v>
      </c>
      <c r="D2228" s="2"/>
      <c r="E2228" s="2"/>
      <c r="F2228" s="2"/>
      <c r="G2228" s="2"/>
      <c r="H2228" s="2"/>
      <c r="I2228" s="5"/>
    </row>
    <row r="2229" spans="1:9" ht="17.399999999999999" x14ac:dyDescent="0.25">
      <c r="A2229" s="16"/>
      <c r="B2229" s="17"/>
      <c r="C2229" s="2" t="b">
        <v>0</v>
      </c>
      <c r="D2229" s="2"/>
      <c r="E2229" s="2"/>
      <c r="F2229" s="2"/>
      <c r="G2229" s="2"/>
      <c r="H2229" s="2"/>
      <c r="I2229" s="5"/>
    </row>
    <row r="2230" spans="1:9" ht="17.399999999999999" x14ac:dyDescent="0.25">
      <c r="A2230" s="16"/>
      <c r="B2230" s="17"/>
      <c r="C2230" s="2" t="b">
        <v>0</v>
      </c>
      <c r="D2230" s="2"/>
      <c r="E2230" s="2"/>
      <c r="F2230" s="2"/>
      <c r="G2230" s="2"/>
      <c r="H2230" s="2"/>
      <c r="I2230" s="5"/>
    </row>
    <row r="2231" spans="1:9" ht="17.399999999999999" x14ac:dyDescent="0.25">
      <c r="A2231" s="16"/>
      <c r="B2231" s="17"/>
      <c r="C2231" s="2" t="b">
        <v>0</v>
      </c>
      <c r="D2231" s="2"/>
      <c r="E2231" s="2"/>
      <c r="F2231" s="2"/>
      <c r="G2231" s="2"/>
      <c r="H2231" s="2"/>
      <c r="I2231" s="5"/>
    </row>
    <row r="2232" spans="1:9" ht="17.399999999999999" x14ac:dyDescent="0.25">
      <c r="A2232" s="16"/>
      <c r="B2232" s="17"/>
      <c r="C2232" s="2" t="b">
        <v>0</v>
      </c>
      <c r="D2232" s="2"/>
      <c r="E2232" s="2"/>
      <c r="F2232" s="2"/>
      <c r="G2232" s="2"/>
      <c r="H2232" s="2"/>
      <c r="I2232" s="5"/>
    </row>
    <row r="2233" spans="1:9" ht="17.399999999999999" x14ac:dyDescent="0.25">
      <c r="A2233" s="16"/>
      <c r="B2233" s="17"/>
      <c r="C2233" s="2" t="b">
        <v>0</v>
      </c>
      <c r="D2233" s="2"/>
      <c r="E2233" s="2"/>
      <c r="F2233" s="2"/>
      <c r="G2233" s="2"/>
      <c r="H2233" s="2"/>
      <c r="I2233" s="5"/>
    </row>
    <row r="2234" spans="1:9" ht="17.399999999999999" x14ac:dyDescent="0.25">
      <c r="A2234" s="16"/>
      <c r="B2234" s="17"/>
      <c r="C2234" s="2" t="b">
        <v>0</v>
      </c>
      <c r="D2234" s="2"/>
      <c r="E2234" s="2"/>
      <c r="F2234" s="2"/>
      <c r="G2234" s="2"/>
      <c r="H2234" s="2"/>
      <c r="I2234" s="5"/>
    </row>
    <row r="2235" spans="1:9" ht="17.399999999999999" x14ac:dyDescent="0.25">
      <c r="A2235" s="16"/>
      <c r="B2235" s="17"/>
      <c r="C2235" s="2" t="b">
        <v>0</v>
      </c>
      <c r="D2235" s="2"/>
      <c r="E2235" s="2"/>
      <c r="F2235" s="2"/>
      <c r="G2235" s="2"/>
      <c r="H2235" s="2"/>
      <c r="I2235" s="5"/>
    </row>
    <row r="2236" spans="1:9" ht="17.399999999999999" x14ac:dyDescent="0.25">
      <c r="A2236" s="16"/>
      <c r="B2236" s="17"/>
      <c r="C2236" s="2" t="b">
        <v>0</v>
      </c>
      <c r="D2236" s="2"/>
      <c r="E2236" s="2"/>
      <c r="F2236" s="2"/>
      <c r="G2236" s="2"/>
      <c r="H2236" s="2"/>
      <c r="I2236" s="5"/>
    </row>
    <row r="2237" spans="1:9" ht="17.399999999999999" x14ac:dyDescent="0.25">
      <c r="A2237" s="16"/>
      <c r="B2237" s="17"/>
      <c r="C2237" s="2" t="b">
        <v>0</v>
      </c>
      <c r="D2237" s="2"/>
      <c r="E2237" s="2"/>
      <c r="F2237" s="2"/>
      <c r="G2237" s="2"/>
      <c r="H2237" s="2"/>
      <c r="I2237" s="5"/>
    </row>
    <row r="2238" spans="1:9" ht="17.399999999999999" x14ac:dyDescent="0.25">
      <c r="A2238" s="16"/>
      <c r="B2238" s="17"/>
      <c r="C2238" s="2" t="b">
        <v>0</v>
      </c>
      <c r="D2238" s="2"/>
      <c r="E2238" s="2"/>
      <c r="F2238" s="2"/>
      <c r="G2238" s="2"/>
      <c r="H2238" s="2"/>
      <c r="I2238" s="5"/>
    </row>
    <row r="2239" spans="1:9" ht="17.399999999999999" x14ac:dyDescent="0.25">
      <c r="A2239" s="16"/>
      <c r="B2239" s="17"/>
      <c r="C2239" s="2" t="b">
        <v>0</v>
      </c>
      <c r="D2239" s="2"/>
      <c r="E2239" s="2"/>
      <c r="F2239" s="2"/>
      <c r="G2239" s="2"/>
      <c r="H2239" s="2"/>
      <c r="I2239" s="5"/>
    </row>
    <row r="2240" spans="1:9" ht="17.399999999999999" x14ac:dyDescent="0.25">
      <c r="A2240" s="16"/>
      <c r="B2240" s="17"/>
      <c r="C2240" s="2" t="b">
        <v>0</v>
      </c>
      <c r="D2240" s="2"/>
      <c r="E2240" s="2"/>
      <c r="F2240" s="2"/>
      <c r="G2240" s="2"/>
      <c r="H2240" s="2"/>
      <c r="I2240" s="5"/>
    </row>
    <row r="2241" spans="1:9" ht="17.399999999999999" x14ac:dyDescent="0.25">
      <c r="A2241" s="16"/>
      <c r="B2241" s="17"/>
      <c r="C2241" s="2" t="b">
        <v>0</v>
      </c>
      <c r="D2241" s="2"/>
      <c r="E2241" s="2"/>
      <c r="F2241" s="2"/>
      <c r="G2241" s="2"/>
      <c r="H2241" s="2"/>
      <c r="I2241" s="5"/>
    </row>
    <row r="2242" spans="1:9" ht="17.399999999999999" x14ac:dyDescent="0.25">
      <c r="A2242" s="16"/>
      <c r="B2242" s="17"/>
      <c r="C2242" s="2" t="b">
        <v>0</v>
      </c>
      <c r="D2242" s="2"/>
      <c r="E2242" s="2"/>
      <c r="F2242" s="2"/>
      <c r="G2242" s="2"/>
      <c r="H2242" s="2"/>
      <c r="I2242" s="5"/>
    </row>
    <row r="2243" spans="1:9" ht="17.399999999999999" x14ac:dyDescent="0.25">
      <c r="A2243" s="16"/>
      <c r="B2243" s="17"/>
      <c r="C2243" s="2" t="b">
        <v>0</v>
      </c>
      <c r="D2243" s="2"/>
      <c r="E2243" s="2"/>
      <c r="F2243" s="2"/>
      <c r="G2243" s="2"/>
      <c r="H2243" s="2"/>
      <c r="I2243" s="5"/>
    </row>
    <row r="2244" spans="1:9" ht="17.399999999999999" x14ac:dyDescent="0.25">
      <c r="A2244" s="16"/>
      <c r="B2244" s="17"/>
      <c r="C2244" s="2" t="b">
        <v>0</v>
      </c>
      <c r="D2244" s="2"/>
      <c r="E2244" s="2"/>
      <c r="F2244" s="2"/>
      <c r="G2244" s="2"/>
      <c r="H2244" s="2"/>
      <c r="I2244" s="5"/>
    </row>
    <row r="2245" spans="1:9" ht="17.399999999999999" x14ac:dyDescent="0.25">
      <c r="A2245" s="16"/>
      <c r="B2245" s="17"/>
      <c r="C2245" s="2" t="b">
        <v>0</v>
      </c>
      <c r="D2245" s="2"/>
      <c r="E2245" s="2"/>
      <c r="F2245" s="2"/>
      <c r="G2245" s="2"/>
      <c r="H2245" s="2"/>
      <c r="I2245" s="5"/>
    </row>
    <row r="2246" spans="1:9" ht="17.399999999999999" x14ac:dyDescent="0.25">
      <c r="A2246" s="16"/>
      <c r="B2246" s="17"/>
      <c r="C2246" s="2" t="b">
        <v>0</v>
      </c>
      <c r="D2246" s="2"/>
      <c r="E2246" s="2"/>
      <c r="F2246" s="2"/>
      <c r="G2246" s="2"/>
      <c r="H2246" s="2"/>
      <c r="I2246" s="5"/>
    </row>
    <row r="2247" spans="1:9" ht="17.399999999999999" x14ac:dyDescent="0.25">
      <c r="A2247" s="16"/>
      <c r="B2247" s="17"/>
      <c r="C2247" s="2" t="b">
        <v>0</v>
      </c>
      <c r="D2247" s="2"/>
      <c r="E2247" s="2"/>
      <c r="F2247" s="2"/>
      <c r="G2247" s="2"/>
      <c r="H2247" s="2"/>
      <c r="I2247" s="5"/>
    </row>
    <row r="2248" spans="1:9" ht="17.399999999999999" x14ac:dyDescent="0.25">
      <c r="A2248" s="16"/>
      <c r="B2248" s="17"/>
      <c r="C2248" s="2" t="b">
        <v>0</v>
      </c>
      <c r="D2248" s="2"/>
      <c r="E2248" s="2"/>
      <c r="F2248" s="2"/>
      <c r="G2248" s="2"/>
      <c r="H2248" s="2"/>
      <c r="I2248" s="5"/>
    </row>
    <row r="2249" spans="1:9" ht="17.399999999999999" x14ac:dyDescent="0.25">
      <c r="A2249" s="16"/>
      <c r="B2249" s="17"/>
      <c r="C2249" s="2" t="b">
        <v>0</v>
      </c>
      <c r="D2249" s="2"/>
      <c r="E2249" s="2"/>
      <c r="F2249" s="2"/>
      <c r="G2249" s="2"/>
      <c r="H2249" s="2"/>
      <c r="I2249" s="5"/>
    </row>
    <row r="2250" spans="1:9" ht="17.399999999999999" x14ac:dyDescent="0.25">
      <c r="A2250" s="16"/>
      <c r="B2250" s="17"/>
      <c r="C2250" s="2" t="b">
        <v>0</v>
      </c>
      <c r="D2250" s="2"/>
      <c r="E2250" s="2"/>
      <c r="F2250" s="2"/>
      <c r="G2250" s="2"/>
      <c r="H2250" s="2"/>
      <c r="I2250" s="5"/>
    </row>
    <row r="2251" spans="1:9" ht="17.399999999999999" x14ac:dyDescent="0.25">
      <c r="A2251" s="16"/>
      <c r="B2251" s="17"/>
      <c r="C2251" s="2" t="b">
        <v>0</v>
      </c>
      <c r="D2251" s="2"/>
      <c r="E2251" s="2"/>
      <c r="F2251" s="2"/>
      <c r="G2251" s="2"/>
      <c r="H2251" s="2"/>
      <c r="I2251" s="5"/>
    </row>
    <row r="2252" spans="1:9" ht="17.399999999999999" x14ac:dyDescent="0.25">
      <c r="A2252" s="16"/>
      <c r="B2252" s="17"/>
      <c r="C2252" s="2" t="b">
        <v>0</v>
      </c>
      <c r="D2252" s="2"/>
      <c r="E2252" s="2"/>
      <c r="F2252" s="2"/>
      <c r="G2252" s="2"/>
      <c r="H2252" s="2"/>
      <c r="I2252" s="5"/>
    </row>
    <row r="2253" spans="1:9" ht="17.399999999999999" x14ac:dyDescent="0.25">
      <c r="A2253" s="16"/>
      <c r="B2253" s="17"/>
      <c r="C2253" s="2" t="b">
        <v>0</v>
      </c>
      <c r="D2253" s="2"/>
      <c r="E2253" s="2"/>
      <c r="F2253" s="2"/>
      <c r="G2253" s="2"/>
      <c r="H2253" s="2"/>
      <c r="I2253" s="5"/>
    </row>
    <row r="2254" spans="1:9" ht="17.399999999999999" x14ac:dyDescent="0.25">
      <c r="A2254" s="16"/>
      <c r="B2254" s="17"/>
      <c r="C2254" s="2" t="b">
        <v>0</v>
      </c>
      <c r="D2254" s="2"/>
      <c r="E2254" s="2"/>
      <c r="F2254" s="2"/>
      <c r="G2254" s="2"/>
      <c r="H2254" s="2"/>
      <c r="I2254" s="5"/>
    </row>
    <row r="2255" spans="1:9" ht="17.399999999999999" x14ac:dyDescent="0.25">
      <c r="A2255" s="16"/>
      <c r="B2255" s="17"/>
      <c r="C2255" s="2" t="b">
        <v>0</v>
      </c>
      <c r="D2255" s="2"/>
      <c r="E2255" s="2"/>
      <c r="F2255" s="2"/>
      <c r="G2255" s="2"/>
      <c r="H2255" s="2"/>
      <c r="I2255" s="5"/>
    </row>
    <row r="2256" spans="1:9" ht="17.399999999999999" x14ac:dyDescent="0.25">
      <c r="A2256" s="16"/>
      <c r="B2256" s="17"/>
      <c r="C2256" s="2" t="b">
        <v>0</v>
      </c>
      <c r="D2256" s="2"/>
      <c r="E2256" s="2"/>
      <c r="F2256" s="2"/>
      <c r="G2256" s="2"/>
      <c r="H2256" s="2"/>
      <c r="I2256" s="5"/>
    </row>
    <row r="2257" spans="1:9" ht="17.399999999999999" x14ac:dyDescent="0.25">
      <c r="A2257" s="16"/>
      <c r="B2257" s="17"/>
      <c r="C2257" s="2" t="b">
        <v>0</v>
      </c>
      <c r="D2257" s="2"/>
      <c r="E2257" s="2"/>
      <c r="F2257" s="2"/>
      <c r="G2257" s="2"/>
      <c r="H2257" s="2"/>
      <c r="I2257" s="5"/>
    </row>
    <row r="2258" spans="1:9" ht="17.399999999999999" x14ac:dyDescent="0.25">
      <c r="A2258" s="16"/>
      <c r="B2258" s="17"/>
      <c r="C2258" s="2" t="b">
        <v>0</v>
      </c>
      <c r="D2258" s="2"/>
      <c r="E2258" s="2"/>
      <c r="F2258" s="2"/>
      <c r="G2258" s="2"/>
      <c r="H2258" s="2"/>
      <c r="I2258" s="5"/>
    </row>
    <row r="2259" spans="1:9" ht="17.399999999999999" x14ac:dyDescent="0.25">
      <c r="A2259" s="16"/>
      <c r="B2259" s="17"/>
      <c r="C2259" s="2" t="b">
        <v>0</v>
      </c>
      <c r="D2259" s="2"/>
      <c r="E2259" s="2"/>
      <c r="F2259" s="2"/>
      <c r="G2259" s="2"/>
      <c r="H2259" s="2"/>
      <c r="I2259" s="5"/>
    </row>
    <row r="2260" spans="1:9" ht="17.399999999999999" x14ac:dyDescent="0.25">
      <c r="A2260" s="16"/>
      <c r="B2260" s="17"/>
      <c r="C2260" s="2" t="b">
        <v>0</v>
      </c>
      <c r="D2260" s="2"/>
      <c r="E2260" s="2"/>
      <c r="F2260" s="2"/>
      <c r="G2260" s="2"/>
      <c r="H2260" s="2"/>
      <c r="I2260" s="5"/>
    </row>
    <row r="2261" spans="1:9" ht="17.399999999999999" x14ac:dyDescent="0.25">
      <c r="A2261" s="16"/>
      <c r="B2261" s="17"/>
      <c r="C2261" s="2" t="b">
        <v>0</v>
      </c>
      <c r="D2261" s="2"/>
      <c r="E2261" s="2"/>
      <c r="F2261" s="2"/>
      <c r="G2261" s="2"/>
      <c r="H2261" s="2"/>
      <c r="I2261" s="5"/>
    </row>
    <row r="2262" spans="1:9" ht="17.399999999999999" x14ac:dyDescent="0.25">
      <c r="A2262" s="16"/>
      <c r="B2262" s="17"/>
      <c r="C2262" s="2" t="b">
        <v>0</v>
      </c>
      <c r="D2262" s="2"/>
      <c r="E2262" s="2"/>
      <c r="F2262" s="2"/>
      <c r="G2262" s="2"/>
      <c r="H2262" s="2"/>
      <c r="I2262" s="5"/>
    </row>
    <row r="2263" spans="1:9" ht="17.399999999999999" x14ac:dyDescent="0.25">
      <c r="A2263" s="16"/>
      <c r="B2263" s="17"/>
      <c r="C2263" s="2" t="b">
        <v>0</v>
      </c>
      <c r="D2263" s="2"/>
      <c r="E2263" s="2"/>
      <c r="F2263" s="2"/>
      <c r="G2263" s="2"/>
      <c r="H2263" s="2"/>
      <c r="I2263" s="5"/>
    </row>
    <row r="2264" spans="1:9" ht="17.399999999999999" x14ac:dyDescent="0.25">
      <c r="A2264" s="16"/>
      <c r="B2264" s="17"/>
      <c r="C2264" s="2" t="b">
        <v>0</v>
      </c>
      <c r="D2264" s="2"/>
      <c r="E2264" s="2"/>
      <c r="F2264" s="2"/>
      <c r="G2264" s="2"/>
      <c r="H2264" s="2"/>
      <c r="I2264" s="5"/>
    </row>
    <row r="2265" spans="1:9" ht="17.399999999999999" x14ac:dyDescent="0.25">
      <c r="A2265" s="16"/>
      <c r="B2265" s="17"/>
      <c r="C2265" s="2" t="b">
        <v>0</v>
      </c>
      <c r="D2265" s="2"/>
      <c r="E2265" s="2"/>
      <c r="F2265" s="2"/>
      <c r="G2265" s="2"/>
      <c r="H2265" s="2"/>
      <c r="I2265" s="5"/>
    </row>
    <row r="2266" spans="1:9" ht="17.399999999999999" x14ac:dyDescent="0.25">
      <c r="A2266" s="16"/>
      <c r="B2266" s="17"/>
      <c r="C2266" s="2" t="b">
        <v>0</v>
      </c>
      <c r="D2266" s="2"/>
      <c r="E2266" s="2"/>
      <c r="F2266" s="2"/>
      <c r="G2266" s="2"/>
      <c r="H2266" s="2"/>
      <c r="I2266" s="5"/>
    </row>
    <row r="2267" spans="1:9" ht="17.399999999999999" x14ac:dyDescent="0.25">
      <c r="A2267" s="16"/>
      <c r="B2267" s="17"/>
      <c r="C2267" s="2" t="b">
        <v>0</v>
      </c>
      <c r="D2267" s="2"/>
      <c r="E2267" s="2"/>
      <c r="F2267" s="2"/>
      <c r="G2267" s="2"/>
      <c r="H2267" s="2"/>
      <c r="I2267" s="5"/>
    </row>
    <row r="2268" spans="1:9" ht="17.399999999999999" x14ac:dyDescent="0.25">
      <c r="A2268" s="16"/>
      <c r="B2268" s="17"/>
      <c r="C2268" s="2" t="b">
        <v>0</v>
      </c>
      <c r="D2268" s="2"/>
      <c r="E2268" s="2"/>
      <c r="F2268" s="2"/>
      <c r="G2268" s="2"/>
      <c r="H2268" s="2"/>
      <c r="I2268" s="5"/>
    </row>
    <row r="2269" spans="1:9" ht="17.399999999999999" x14ac:dyDescent="0.25">
      <c r="A2269" s="16"/>
      <c r="B2269" s="17"/>
      <c r="C2269" s="2" t="b">
        <v>0</v>
      </c>
      <c r="D2269" s="2"/>
      <c r="E2269" s="2"/>
      <c r="F2269" s="2"/>
      <c r="G2269" s="2"/>
      <c r="H2269" s="2"/>
      <c r="I2269" s="5"/>
    </row>
    <row r="2270" spans="1:9" ht="17.399999999999999" x14ac:dyDescent="0.25">
      <c r="A2270" s="16"/>
      <c r="B2270" s="17"/>
      <c r="C2270" s="2" t="b">
        <v>0</v>
      </c>
      <c r="D2270" s="2"/>
      <c r="E2270" s="2"/>
      <c r="F2270" s="2"/>
      <c r="G2270" s="2"/>
      <c r="H2270" s="2"/>
      <c r="I2270" s="5"/>
    </row>
    <row r="2271" spans="1:9" ht="17.399999999999999" x14ac:dyDescent="0.25">
      <c r="A2271" s="16"/>
      <c r="B2271" s="17"/>
      <c r="C2271" s="2" t="b">
        <v>0</v>
      </c>
      <c r="D2271" s="2"/>
      <c r="E2271" s="2"/>
      <c r="F2271" s="2"/>
      <c r="G2271" s="2"/>
      <c r="H2271" s="2"/>
      <c r="I2271" s="5"/>
    </row>
    <row r="2272" spans="1:9" ht="17.399999999999999" x14ac:dyDescent="0.25">
      <c r="A2272" s="16"/>
      <c r="B2272" s="17"/>
      <c r="C2272" s="2" t="b">
        <v>0</v>
      </c>
      <c r="D2272" s="2"/>
      <c r="E2272" s="2"/>
      <c r="F2272" s="2"/>
      <c r="G2272" s="2"/>
      <c r="H2272" s="2"/>
      <c r="I2272" s="5"/>
    </row>
    <row r="2273" spans="1:9" ht="17.399999999999999" x14ac:dyDescent="0.25">
      <c r="A2273" s="16"/>
      <c r="B2273" s="17"/>
      <c r="C2273" s="2" t="b">
        <v>0</v>
      </c>
      <c r="D2273" s="2"/>
      <c r="E2273" s="2"/>
      <c r="F2273" s="2"/>
      <c r="G2273" s="2"/>
      <c r="H2273" s="2"/>
      <c r="I2273" s="5"/>
    </row>
    <row r="2274" spans="1:9" ht="17.399999999999999" x14ac:dyDescent="0.25">
      <c r="A2274" s="16"/>
      <c r="B2274" s="17"/>
      <c r="C2274" s="2" t="b">
        <v>0</v>
      </c>
      <c r="D2274" s="2"/>
      <c r="E2274" s="2"/>
      <c r="F2274" s="2"/>
      <c r="G2274" s="2"/>
      <c r="H2274" s="2"/>
      <c r="I2274" s="5"/>
    </row>
    <row r="2275" spans="1:9" ht="17.399999999999999" x14ac:dyDescent="0.25">
      <c r="A2275" s="16"/>
      <c r="B2275" s="17"/>
      <c r="C2275" s="2" t="b">
        <v>0</v>
      </c>
      <c r="D2275" s="2"/>
      <c r="E2275" s="2"/>
      <c r="F2275" s="2"/>
      <c r="G2275" s="2"/>
      <c r="H2275" s="2"/>
      <c r="I2275" s="5"/>
    </row>
    <row r="2276" spans="1:9" ht="17.399999999999999" x14ac:dyDescent="0.25">
      <c r="A2276" s="16"/>
      <c r="B2276" s="17"/>
      <c r="C2276" s="2" t="b">
        <v>0</v>
      </c>
      <c r="D2276" s="2"/>
      <c r="E2276" s="2"/>
      <c r="F2276" s="2"/>
      <c r="G2276" s="2"/>
      <c r="H2276" s="2"/>
      <c r="I2276" s="5"/>
    </row>
    <row r="2277" spans="1:9" ht="17.399999999999999" x14ac:dyDescent="0.25">
      <c r="A2277" s="16"/>
      <c r="B2277" s="17"/>
      <c r="C2277" s="2" t="b">
        <v>0</v>
      </c>
      <c r="D2277" s="2"/>
      <c r="E2277" s="2"/>
      <c r="F2277" s="2"/>
      <c r="G2277" s="2"/>
      <c r="H2277" s="2"/>
      <c r="I2277" s="5"/>
    </row>
    <row r="2278" spans="1:9" ht="17.399999999999999" x14ac:dyDescent="0.25">
      <c r="A2278" s="16"/>
      <c r="B2278" s="17"/>
      <c r="C2278" s="2" t="b">
        <v>0</v>
      </c>
      <c r="D2278" s="2"/>
      <c r="E2278" s="2"/>
      <c r="F2278" s="2"/>
      <c r="G2278" s="2"/>
      <c r="H2278" s="2"/>
      <c r="I2278" s="5"/>
    </row>
    <row r="2279" spans="1:9" ht="17.399999999999999" x14ac:dyDescent="0.25">
      <c r="A2279" s="16"/>
      <c r="B2279" s="17"/>
      <c r="C2279" s="2" t="b">
        <v>0</v>
      </c>
      <c r="D2279" s="2"/>
      <c r="E2279" s="2"/>
      <c r="F2279" s="2"/>
      <c r="G2279" s="2"/>
      <c r="H2279" s="2"/>
      <c r="I2279" s="5"/>
    </row>
    <row r="2280" spans="1:9" ht="17.399999999999999" x14ac:dyDescent="0.25">
      <c r="A2280" s="16"/>
      <c r="B2280" s="17"/>
      <c r="C2280" s="2" t="b">
        <v>0</v>
      </c>
      <c r="D2280" s="2"/>
      <c r="E2280" s="2"/>
      <c r="F2280" s="2"/>
      <c r="G2280" s="2"/>
      <c r="H2280" s="2"/>
      <c r="I2280" s="5"/>
    </row>
    <row r="2281" spans="1:9" ht="17.399999999999999" x14ac:dyDescent="0.25">
      <c r="A2281" s="16"/>
      <c r="B2281" s="17"/>
      <c r="C2281" s="2" t="b">
        <v>0</v>
      </c>
      <c r="D2281" s="2"/>
      <c r="E2281" s="2"/>
      <c r="F2281" s="2"/>
      <c r="G2281" s="2"/>
      <c r="H2281" s="2"/>
      <c r="I2281" s="5"/>
    </row>
    <row r="2282" spans="1:9" ht="17.399999999999999" x14ac:dyDescent="0.25">
      <c r="A2282" s="16"/>
      <c r="B2282" s="17"/>
      <c r="C2282" s="2" t="b">
        <v>0</v>
      </c>
      <c r="D2282" s="2"/>
      <c r="E2282" s="2"/>
      <c r="F2282" s="2"/>
      <c r="G2282" s="2"/>
      <c r="H2282" s="2"/>
      <c r="I2282" s="5"/>
    </row>
    <row r="2283" spans="1:9" ht="17.399999999999999" x14ac:dyDescent="0.25">
      <c r="A2283" s="16"/>
      <c r="B2283" s="17"/>
      <c r="C2283" s="2" t="b">
        <v>0</v>
      </c>
      <c r="D2283" s="2"/>
      <c r="E2283" s="2"/>
      <c r="F2283" s="2"/>
      <c r="G2283" s="2"/>
      <c r="H2283" s="2"/>
      <c r="I2283" s="5"/>
    </row>
    <row r="2284" spans="1:9" ht="17.399999999999999" x14ac:dyDescent="0.25">
      <c r="A2284" s="16"/>
      <c r="B2284" s="17"/>
      <c r="C2284" s="2" t="b">
        <v>0</v>
      </c>
      <c r="D2284" s="2"/>
      <c r="E2284" s="2"/>
      <c r="F2284" s="2"/>
      <c r="G2284" s="2"/>
      <c r="H2284" s="2"/>
      <c r="I2284" s="5"/>
    </row>
    <row r="2285" spans="1:9" ht="17.399999999999999" x14ac:dyDescent="0.25">
      <c r="A2285" s="16"/>
      <c r="B2285" s="17"/>
      <c r="C2285" s="2" t="b">
        <v>0</v>
      </c>
      <c r="D2285" s="2"/>
      <c r="E2285" s="2"/>
      <c r="F2285" s="2"/>
      <c r="G2285" s="2"/>
      <c r="H2285" s="2"/>
      <c r="I2285" s="5"/>
    </row>
    <row r="2286" spans="1:9" ht="17.399999999999999" x14ac:dyDescent="0.25">
      <c r="A2286" s="16"/>
      <c r="B2286" s="17"/>
      <c r="C2286" s="2" t="b">
        <v>0</v>
      </c>
      <c r="D2286" s="2"/>
      <c r="E2286" s="2"/>
      <c r="F2286" s="2"/>
      <c r="G2286" s="2"/>
      <c r="H2286" s="2"/>
      <c r="I2286" s="5"/>
    </row>
    <row r="2287" spans="1:9" ht="17.399999999999999" x14ac:dyDescent="0.25">
      <c r="A2287" s="16"/>
      <c r="B2287" s="17"/>
      <c r="C2287" s="2" t="b">
        <v>0</v>
      </c>
      <c r="D2287" s="2"/>
      <c r="E2287" s="2"/>
      <c r="F2287" s="2"/>
      <c r="G2287" s="2"/>
      <c r="H2287" s="2"/>
      <c r="I2287" s="5"/>
    </row>
    <row r="2288" spans="1:9" ht="17.399999999999999" x14ac:dyDescent="0.25">
      <c r="A2288" s="16"/>
      <c r="B2288" s="17"/>
      <c r="C2288" s="2" t="b">
        <v>0</v>
      </c>
      <c r="D2288" s="2"/>
      <c r="E2288" s="2"/>
      <c r="F2288" s="2"/>
      <c r="G2288" s="2"/>
      <c r="H2288" s="2"/>
      <c r="I2288" s="5"/>
    </row>
    <row r="2289" spans="1:9" ht="17.399999999999999" x14ac:dyDescent="0.25">
      <c r="A2289" s="16"/>
      <c r="B2289" s="17"/>
      <c r="C2289" s="2" t="b">
        <v>0</v>
      </c>
      <c r="D2289" s="2"/>
      <c r="E2289" s="2"/>
      <c r="F2289" s="2"/>
      <c r="G2289" s="2"/>
      <c r="H2289" s="2"/>
      <c r="I2289" s="5"/>
    </row>
    <row r="2290" spans="1:9" ht="17.399999999999999" x14ac:dyDescent="0.25">
      <c r="A2290" s="16"/>
      <c r="B2290" s="17"/>
      <c r="C2290" s="2" t="b">
        <v>0</v>
      </c>
      <c r="D2290" s="2"/>
      <c r="E2290" s="2"/>
      <c r="F2290" s="2"/>
      <c r="G2290" s="2"/>
      <c r="H2290" s="2"/>
      <c r="I2290" s="5"/>
    </row>
    <row r="2291" spans="1:9" ht="17.399999999999999" x14ac:dyDescent="0.25">
      <c r="A2291" s="16"/>
      <c r="B2291" s="17"/>
      <c r="C2291" s="2" t="b">
        <v>0</v>
      </c>
      <c r="D2291" s="2"/>
      <c r="E2291" s="2"/>
      <c r="F2291" s="2"/>
      <c r="G2291" s="2"/>
      <c r="H2291" s="2"/>
      <c r="I2291" s="5"/>
    </row>
    <row r="2292" spans="1:9" ht="17.399999999999999" x14ac:dyDescent="0.25">
      <c r="A2292" s="16"/>
      <c r="B2292" s="17"/>
      <c r="C2292" s="2" t="b">
        <v>0</v>
      </c>
      <c r="D2292" s="2"/>
      <c r="E2292" s="2"/>
      <c r="F2292" s="2"/>
      <c r="G2292" s="2"/>
      <c r="H2292" s="2"/>
      <c r="I2292" s="5"/>
    </row>
    <row r="2293" spans="1:9" ht="17.399999999999999" x14ac:dyDescent="0.25">
      <c r="A2293" s="16"/>
      <c r="B2293" s="17"/>
      <c r="C2293" s="2" t="b">
        <v>0</v>
      </c>
      <c r="D2293" s="2"/>
      <c r="E2293" s="2"/>
      <c r="F2293" s="2"/>
      <c r="G2293" s="2"/>
      <c r="H2293" s="2"/>
      <c r="I2293" s="5"/>
    </row>
    <row r="2294" spans="1:9" ht="17.399999999999999" x14ac:dyDescent="0.25">
      <c r="A2294" s="16"/>
      <c r="B2294" s="17"/>
      <c r="C2294" s="2" t="b">
        <v>0</v>
      </c>
      <c r="D2294" s="2"/>
      <c r="E2294" s="2"/>
      <c r="F2294" s="2"/>
      <c r="G2294" s="2"/>
      <c r="H2294" s="2"/>
      <c r="I2294" s="5"/>
    </row>
    <row r="2295" spans="1:9" ht="17.399999999999999" x14ac:dyDescent="0.25">
      <c r="A2295" s="16"/>
      <c r="B2295" s="17"/>
      <c r="C2295" s="2" t="b">
        <v>0</v>
      </c>
      <c r="D2295" s="2"/>
      <c r="E2295" s="2"/>
      <c r="F2295" s="2"/>
      <c r="G2295" s="2"/>
      <c r="H2295" s="2"/>
      <c r="I2295" s="5"/>
    </row>
    <row r="2296" spans="1:9" ht="17.399999999999999" x14ac:dyDescent="0.25">
      <c r="A2296" s="16"/>
      <c r="B2296" s="17"/>
      <c r="C2296" s="2" t="b">
        <v>0</v>
      </c>
      <c r="D2296" s="2"/>
      <c r="E2296" s="2"/>
      <c r="F2296" s="2"/>
      <c r="G2296" s="2"/>
      <c r="H2296" s="2"/>
      <c r="I2296" s="5"/>
    </row>
    <row r="2297" spans="1:9" ht="17.399999999999999" x14ac:dyDescent="0.25">
      <c r="A2297" s="16"/>
      <c r="B2297" s="17"/>
      <c r="C2297" s="2" t="b">
        <v>0</v>
      </c>
      <c r="D2297" s="2"/>
      <c r="E2297" s="2"/>
      <c r="F2297" s="2"/>
      <c r="G2297" s="2"/>
      <c r="H2297" s="2"/>
      <c r="I2297" s="5"/>
    </row>
    <row r="2298" spans="1:9" ht="17.399999999999999" x14ac:dyDescent="0.25">
      <c r="A2298" s="16"/>
      <c r="B2298" s="17"/>
      <c r="C2298" s="2" t="b">
        <v>0</v>
      </c>
      <c r="D2298" s="2"/>
      <c r="E2298" s="2"/>
      <c r="F2298" s="2"/>
      <c r="G2298" s="2"/>
      <c r="H2298" s="2"/>
      <c r="I2298" s="5"/>
    </row>
    <row r="2299" spans="1:9" ht="17.399999999999999" x14ac:dyDescent="0.25">
      <c r="A2299" s="16"/>
      <c r="B2299" s="17"/>
      <c r="C2299" s="2" t="b">
        <v>0</v>
      </c>
      <c r="D2299" s="2"/>
      <c r="E2299" s="2"/>
      <c r="F2299" s="2"/>
      <c r="G2299" s="2"/>
      <c r="H2299" s="2"/>
      <c r="I2299" s="5"/>
    </row>
    <row r="2300" spans="1:9" ht="17.399999999999999" x14ac:dyDescent="0.25">
      <c r="A2300" s="16"/>
      <c r="B2300" s="17"/>
      <c r="C2300" s="2" t="b">
        <v>0</v>
      </c>
      <c r="D2300" s="2"/>
      <c r="E2300" s="2"/>
      <c r="F2300" s="2"/>
      <c r="G2300" s="2"/>
      <c r="H2300" s="2"/>
      <c r="I2300" s="5"/>
    </row>
    <row r="2301" spans="1:9" ht="17.399999999999999" x14ac:dyDescent="0.25">
      <c r="A2301" s="16"/>
      <c r="B2301" s="17"/>
      <c r="C2301" s="2" t="b">
        <v>0</v>
      </c>
      <c r="D2301" s="2"/>
      <c r="E2301" s="2"/>
      <c r="F2301" s="2"/>
      <c r="G2301" s="2"/>
      <c r="H2301" s="2"/>
      <c r="I2301" s="5"/>
    </row>
    <row r="2302" spans="1:9" ht="17.399999999999999" x14ac:dyDescent="0.25">
      <c r="A2302" s="16"/>
      <c r="B2302" s="17"/>
      <c r="C2302" s="2" t="b">
        <v>0</v>
      </c>
      <c r="D2302" s="2"/>
      <c r="E2302" s="2"/>
      <c r="F2302" s="2"/>
      <c r="G2302" s="2"/>
      <c r="H2302" s="2"/>
      <c r="I2302" s="5"/>
    </row>
    <row r="2303" spans="1:9" ht="17.399999999999999" x14ac:dyDescent="0.25">
      <c r="A2303" s="16"/>
      <c r="B2303" s="17"/>
      <c r="C2303" s="2" t="b">
        <v>0</v>
      </c>
      <c r="D2303" s="2"/>
      <c r="E2303" s="2"/>
      <c r="F2303" s="2"/>
      <c r="G2303" s="2"/>
      <c r="H2303" s="2"/>
      <c r="I2303" s="5"/>
    </row>
    <row r="2304" spans="1:9" ht="17.399999999999999" x14ac:dyDescent="0.25">
      <c r="A2304" s="16"/>
      <c r="B2304" s="17"/>
      <c r="C2304" s="2" t="b">
        <v>0</v>
      </c>
      <c r="D2304" s="2"/>
      <c r="E2304" s="2"/>
      <c r="F2304" s="2"/>
      <c r="G2304" s="2"/>
      <c r="H2304" s="2"/>
      <c r="I2304" s="5"/>
    </row>
    <row r="2305" spans="1:9" ht="17.399999999999999" x14ac:dyDescent="0.25">
      <c r="A2305" s="16"/>
      <c r="B2305" s="17"/>
      <c r="C2305" s="2" t="b">
        <v>0</v>
      </c>
      <c r="D2305" s="2"/>
      <c r="E2305" s="2"/>
      <c r="F2305" s="2"/>
      <c r="G2305" s="2"/>
      <c r="H2305" s="2"/>
      <c r="I2305" s="5"/>
    </row>
    <row r="2306" spans="1:9" ht="17.399999999999999" x14ac:dyDescent="0.25">
      <c r="A2306" s="16"/>
      <c r="B2306" s="17"/>
      <c r="C2306" s="2" t="b">
        <v>0</v>
      </c>
      <c r="D2306" s="2"/>
      <c r="E2306" s="2"/>
      <c r="F2306" s="2"/>
      <c r="G2306" s="2"/>
      <c r="H2306" s="2"/>
      <c r="I2306" s="5"/>
    </row>
    <row r="2307" spans="1:9" ht="17.399999999999999" x14ac:dyDescent="0.25">
      <c r="A2307" s="16"/>
      <c r="B2307" s="17"/>
      <c r="C2307" s="2" t="b">
        <v>0</v>
      </c>
      <c r="D2307" s="2"/>
      <c r="E2307" s="2"/>
      <c r="F2307" s="2"/>
      <c r="G2307" s="2"/>
      <c r="H2307" s="2"/>
      <c r="I2307" s="5"/>
    </row>
    <row r="2308" spans="1:9" ht="17.399999999999999" x14ac:dyDescent="0.25">
      <c r="A2308" s="16"/>
      <c r="B2308" s="17"/>
      <c r="C2308" s="2" t="b">
        <v>0</v>
      </c>
      <c r="D2308" s="2"/>
      <c r="E2308" s="2"/>
      <c r="F2308" s="2"/>
      <c r="G2308" s="2"/>
      <c r="H2308" s="2"/>
      <c r="I2308" s="5"/>
    </row>
    <row r="2309" spans="1:9" ht="17.399999999999999" x14ac:dyDescent="0.25">
      <c r="A2309" s="16"/>
      <c r="B2309" s="17"/>
      <c r="C2309" s="2" t="b">
        <v>0</v>
      </c>
      <c r="D2309" s="2"/>
      <c r="E2309" s="2"/>
      <c r="F2309" s="2"/>
      <c r="G2309" s="2"/>
      <c r="H2309" s="2"/>
      <c r="I2309" s="5"/>
    </row>
    <row r="2310" spans="1:9" ht="17.399999999999999" x14ac:dyDescent="0.25">
      <c r="A2310" s="16"/>
      <c r="B2310" s="17"/>
      <c r="C2310" s="2" t="b">
        <v>0</v>
      </c>
      <c r="D2310" s="2"/>
      <c r="E2310" s="2"/>
      <c r="F2310" s="2"/>
      <c r="G2310" s="2"/>
      <c r="H2310" s="2"/>
      <c r="I2310" s="5"/>
    </row>
    <row r="2311" spans="1:9" ht="17.399999999999999" x14ac:dyDescent="0.25">
      <c r="A2311" s="16"/>
      <c r="B2311" s="17"/>
      <c r="C2311" s="2" t="b">
        <v>0</v>
      </c>
      <c r="D2311" s="2"/>
      <c r="E2311" s="2"/>
      <c r="F2311" s="2"/>
      <c r="G2311" s="2"/>
      <c r="H2311" s="2"/>
      <c r="I2311" s="5"/>
    </row>
    <row r="2312" spans="1:9" ht="17.399999999999999" x14ac:dyDescent="0.25">
      <c r="A2312" s="16"/>
      <c r="B2312" s="17"/>
      <c r="C2312" s="2" t="b">
        <v>0</v>
      </c>
      <c r="D2312" s="2"/>
      <c r="E2312" s="2"/>
      <c r="F2312" s="2"/>
      <c r="G2312" s="2"/>
      <c r="H2312" s="2"/>
      <c r="I2312" s="5"/>
    </row>
    <row r="2313" spans="1:9" ht="17.399999999999999" x14ac:dyDescent="0.25">
      <c r="A2313" s="16"/>
      <c r="B2313" s="17"/>
      <c r="C2313" s="2" t="b">
        <v>0</v>
      </c>
      <c r="D2313" s="2"/>
      <c r="E2313" s="2"/>
      <c r="F2313" s="2"/>
      <c r="G2313" s="2"/>
      <c r="H2313" s="2"/>
      <c r="I2313" s="5"/>
    </row>
    <row r="2314" spans="1:9" ht="17.399999999999999" x14ac:dyDescent="0.25">
      <c r="A2314" s="16"/>
      <c r="B2314" s="17"/>
      <c r="C2314" s="2" t="b">
        <v>0</v>
      </c>
      <c r="D2314" s="2"/>
      <c r="E2314" s="2"/>
      <c r="F2314" s="2"/>
      <c r="G2314" s="2"/>
      <c r="H2314" s="2"/>
      <c r="I2314" s="5"/>
    </row>
    <row r="2315" spans="1:9" ht="17.399999999999999" x14ac:dyDescent="0.25">
      <c r="A2315" s="16"/>
      <c r="B2315" s="17"/>
      <c r="C2315" s="2" t="b">
        <v>0</v>
      </c>
      <c r="D2315" s="2"/>
      <c r="E2315" s="2"/>
      <c r="F2315" s="2"/>
      <c r="G2315" s="2"/>
      <c r="H2315" s="2"/>
      <c r="I2315" s="5"/>
    </row>
    <row r="2316" spans="1:9" ht="17.399999999999999" x14ac:dyDescent="0.25">
      <c r="A2316" s="16"/>
      <c r="B2316" s="17"/>
      <c r="C2316" s="2" t="b">
        <v>0</v>
      </c>
      <c r="D2316" s="2"/>
      <c r="E2316" s="2"/>
      <c r="F2316" s="2"/>
      <c r="G2316" s="2"/>
      <c r="H2316" s="2"/>
      <c r="I2316" s="5"/>
    </row>
    <row r="2317" spans="1:9" ht="17.399999999999999" x14ac:dyDescent="0.25">
      <c r="A2317" s="16"/>
      <c r="B2317" s="17"/>
      <c r="C2317" s="2" t="b">
        <v>0</v>
      </c>
      <c r="D2317" s="2"/>
      <c r="E2317" s="2"/>
      <c r="F2317" s="2"/>
      <c r="G2317" s="2"/>
      <c r="H2317" s="2"/>
      <c r="I2317" s="5"/>
    </row>
    <row r="2318" spans="1:9" ht="17.399999999999999" x14ac:dyDescent="0.25">
      <c r="A2318" s="16"/>
      <c r="B2318" s="17"/>
      <c r="C2318" s="2" t="b">
        <v>0</v>
      </c>
      <c r="D2318" s="2"/>
      <c r="E2318" s="2"/>
      <c r="F2318" s="2"/>
      <c r="G2318" s="2"/>
      <c r="H2318" s="2"/>
      <c r="I2318" s="5"/>
    </row>
    <row r="2319" spans="1:9" ht="17.399999999999999" x14ac:dyDescent="0.25">
      <c r="A2319" s="16"/>
      <c r="B2319" s="17"/>
      <c r="C2319" s="2" t="b">
        <v>0</v>
      </c>
      <c r="D2319" s="2"/>
      <c r="E2319" s="2"/>
      <c r="F2319" s="2"/>
      <c r="G2319" s="2"/>
      <c r="H2319" s="2"/>
      <c r="I2319" s="5"/>
    </row>
    <row r="2320" spans="1:9" ht="17.399999999999999" x14ac:dyDescent="0.25">
      <c r="A2320" s="16"/>
      <c r="B2320" s="17"/>
      <c r="C2320" s="2" t="b">
        <v>0</v>
      </c>
      <c r="D2320" s="2"/>
      <c r="E2320" s="2"/>
      <c r="F2320" s="2"/>
      <c r="G2320" s="2"/>
      <c r="H2320" s="2"/>
      <c r="I2320" s="5"/>
    </row>
    <row r="2321" spans="1:9" ht="17.399999999999999" x14ac:dyDescent="0.25">
      <c r="A2321" s="16"/>
      <c r="B2321" s="17"/>
      <c r="C2321" s="2" t="b">
        <v>0</v>
      </c>
      <c r="D2321" s="2"/>
      <c r="E2321" s="2"/>
      <c r="F2321" s="2"/>
      <c r="G2321" s="2"/>
      <c r="H2321" s="2"/>
      <c r="I2321" s="5"/>
    </row>
    <row r="2322" spans="1:9" ht="17.399999999999999" x14ac:dyDescent="0.25">
      <c r="A2322" s="16"/>
      <c r="B2322" s="17"/>
      <c r="C2322" s="2" t="b">
        <v>0</v>
      </c>
      <c r="D2322" s="2"/>
      <c r="E2322" s="2"/>
      <c r="F2322" s="2"/>
      <c r="G2322" s="2"/>
      <c r="H2322" s="2"/>
      <c r="I2322" s="5"/>
    </row>
    <row r="2323" spans="1:9" ht="17.399999999999999" x14ac:dyDescent="0.25">
      <c r="A2323" s="16"/>
      <c r="B2323" s="17"/>
      <c r="C2323" s="2" t="b">
        <v>0</v>
      </c>
      <c r="D2323" s="2"/>
      <c r="E2323" s="2"/>
      <c r="F2323" s="2"/>
      <c r="G2323" s="2"/>
      <c r="H2323" s="2"/>
      <c r="I2323" s="5"/>
    </row>
    <row r="2324" spans="1:9" ht="17.399999999999999" x14ac:dyDescent="0.25">
      <c r="A2324" s="16"/>
      <c r="B2324" s="17"/>
      <c r="C2324" s="2" t="b">
        <v>0</v>
      </c>
      <c r="D2324" s="2"/>
      <c r="E2324" s="2"/>
      <c r="F2324" s="2"/>
      <c r="G2324" s="2"/>
      <c r="H2324" s="2"/>
      <c r="I2324" s="5"/>
    </row>
    <row r="2325" spans="1:9" ht="17.399999999999999" x14ac:dyDescent="0.25">
      <c r="A2325" s="16"/>
      <c r="B2325" s="17"/>
      <c r="C2325" s="2" t="b">
        <v>0</v>
      </c>
      <c r="D2325" s="2"/>
      <c r="E2325" s="2"/>
      <c r="F2325" s="2"/>
      <c r="G2325" s="2"/>
      <c r="H2325" s="2"/>
      <c r="I2325" s="5"/>
    </row>
    <row r="2326" spans="1:9" ht="17.399999999999999" x14ac:dyDescent="0.25">
      <c r="A2326" s="16"/>
      <c r="B2326" s="17"/>
      <c r="C2326" s="2" t="b">
        <v>0</v>
      </c>
      <c r="D2326" s="2"/>
      <c r="E2326" s="2"/>
      <c r="F2326" s="2"/>
      <c r="G2326" s="2"/>
      <c r="H2326" s="2"/>
      <c r="I2326" s="5"/>
    </row>
    <row r="2327" spans="1:9" ht="17.399999999999999" x14ac:dyDescent="0.25">
      <c r="A2327" s="16"/>
      <c r="B2327" s="17"/>
      <c r="C2327" s="2" t="b">
        <v>0</v>
      </c>
      <c r="D2327" s="2"/>
      <c r="E2327" s="2"/>
      <c r="F2327" s="2"/>
      <c r="G2327" s="2"/>
      <c r="H2327" s="2"/>
      <c r="I2327" s="5"/>
    </row>
    <row r="2328" spans="1:9" ht="17.399999999999999" x14ac:dyDescent="0.25">
      <c r="A2328" s="16"/>
      <c r="B2328" s="17"/>
      <c r="C2328" s="2" t="b">
        <v>0</v>
      </c>
      <c r="D2328" s="2"/>
      <c r="E2328" s="2"/>
      <c r="F2328" s="2"/>
      <c r="G2328" s="2"/>
      <c r="H2328" s="2"/>
      <c r="I2328" s="5"/>
    </row>
    <row r="2329" spans="1:9" ht="17.399999999999999" x14ac:dyDescent="0.25">
      <c r="A2329" s="16"/>
      <c r="B2329" s="17"/>
      <c r="C2329" s="2" t="b">
        <v>0</v>
      </c>
      <c r="D2329" s="2"/>
      <c r="E2329" s="2"/>
      <c r="F2329" s="2"/>
      <c r="G2329" s="2"/>
      <c r="H2329" s="2"/>
      <c r="I2329" s="5"/>
    </row>
    <row r="2330" spans="1:9" ht="17.399999999999999" x14ac:dyDescent="0.25">
      <c r="A2330" s="16"/>
      <c r="B2330" s="17"/>
      <c r="C2330" s="2" t="b">
        <v>0</v>
      </c>
      <c r="D2330" s="2"/>
      <c r="E2330" s="2"/>
      <c r="F2330" s="2"/>
      <c r="G2330" s="2"/>
      <c r="H2330" s="2"/>
      <c r="I2330" s="5"/>
    </row>
    <row r="2331" spans="1:9" ht="17.399999999999999" x14ac:dyDescent="0.25">
      <c r="A2331" s="16"/>
      <c r="B2331" s="17"/>
      <c r="C2331" s="2" t="b">
        <v>0</v>
      </c>
      <c r="D2331" s="2"/>
      <c r="E2331" s="2"/>
      <c r="F2331" s="2"/>
      <c r="G2331" s="2"/>
      <c r="H2331" s="2"/>
      <c r="I2331" s="5"/>
    </row>
    <row r="2332" spans="1:9" ht="17.399999999999999" x14ac:dyDescent="0.25">
      <c r="A2332" s="16"/>
      <c r="B2332" s="17"/>
      <c r="C2332" s="2" t="b">
        <v>0</v>
      </c>
      <c r="D2332" s="2"/>
      <c r="E2332" s="2"/>
      <c r="F2332" s="2"/>
      <c r="G2332" s="2"/>
      <c r="H2332" s="2"/>
      <c r="I2332" s="5"/>
    </row>
    <row r="2333" spans="1:9" ht="17.399999999999999" x14ac:dyDescent="0.25">
      <c r="A2333" s="16"/>
      <c r="B2333" s="17"/>
      <c r="C2333" s="2" t="b">
        <v>0</v>
      </c>
      <c r="D2333" s="2"/>
      <c r="E2333" s="2"/>
      <c r="F2333" s="2"/>
      <c r="G2333" s="2"/>
      <c r="H2333" s="2"/>
      <c r="I2333" s="5"/>
    </row>
    <row r="2334" spans="1:9" ht="17.399999999999999" x14ac:dyDescent="0.25">
      <c r="A2334" s="16"/>
      <c r="B2334" s="17"/>
      <c r="C2334" s="2" t="b">
        <v>0</v>
      </c>
      <c r="D2334" s="2"/>
      <c r="E2334" s="2"/>
      <c r="F2334" s="2"/>
      <c r="G2334" s="2"/>
      <c r="H2334" s="2"/>
      <c r="I2334" s="5"/>
    </row>
    <row r="2335" spans="1:9" ht="17.399999999999999" x14ac:dyDescent="0.25">
      <c r="A2335" s="16"/>
      <c r="B2335" s="17"/>
      <c r="C2335" s="2" t="b">
        <v>0</v>
      </c>
      <c r="D2335" s="2"/>
      <c r="E2335" s="2"/>
      <c r="F2335" s="2"/>
      <c r="G2335" s="2"/>
      <c r="H2335" s="2"/>
      <c r="I2335" s="5"/>
    </row>
    <row r="2336" spans="1:9" ht="17.399999999999999" x14ac:dyDescent="0.25">
      <c r="A2336" s="16"/>
      <c r="B2336" s="17"/>
      <c r="C2336" s="2" t="b">
        <v>0</v>
      </c>
      <c r="D2336" s="2"/>
      <c r="E2336" s="2"/>
      <c r="F2336" s="2"/>
      <c r="G2336" s="2"/>
      <c r="H2336" s="2"/>
      <c r="I2336" s="5"/>
    </row>
    <row r="2337" spans="1:9" ht="17.399999999999999" x14ac:dyDescent="0.25">
      <c r="A2337" s="16"/>
      <c r="B2337" s="17"/>
      <c r="C2337" s="2" t="b">
        <v>0</v>
      </c>
      <c r="D2337" s="2"/>
      <c r="E2337" s="2"/>
      <c r="F2337" s="2"/>
      <c r="G2337" s="2"/>
      <c r="H2337" s="2"/>
      <c r="I2337" s="5"/>
    </row>
    <row r="2338" spans="1:9" ht="17.399999999999999" x14ac:dyDescent="0.25">
      <c r="A2338" s="16"/>
      <c r="B2338" s="17"/>
      <c r="C2338" s="2" t="b">
        <v>0</v>
      </c>
      <c r="D2338" s="2"/>
      <c r="E2338" s="2"/>
      <c r="F2338" s="2"/>
      <c r="G2338" s="2"/>
      <c r="H2338" s="2"/>
      <c r="I2338" s="5"/>
    </row>
    <row r="2339" spans="1:9" ht="17.399999999999999" x14ac:dyDescent="0.25">
      <c r="A2339" s="16"/>
      <c r="B2339" s="17"/>
      <c r="C2339" s="2" t="b">
        <v>0</v>
      </c>
      <c r="D2339" s="2"/>
      <c r="E2339" s="2"/>
      <c r="F2339" s="2"/>
      <c r="G2339" s="2"/>
      <c r="H2339" s="2"/>
      <c r="I2339" s="5"/>
    </row>
    <row r="2340" spans="1:9" ht="17.399999999999999" x14ac:dyDescent="0.25">
      <c r="A2340" s="16"/>
      <c r="B2340" s="17"/>
      <c r="C2340" s="2" t="b">
        <v>0</v>
      </c>
      <c r="D2340" s="2"/>
      <c r="E2340" s="2"/>
      <c r="F2340" s="2"/>
      <c r="G2340" s="2"/>
      <c r="H2340" s="2"/>
      <c r="I2340" s="5"/>
    </row>
    <row r="2341" spans="1:9" ht="17.399999999999999" x14ac:dyDescent="0.25">
      <c r="A2341" s="16"/>
      <c r="B2341" s="17"/>
      <c r="C2341" s="2" t="b">
        <v>0</v>
      </c>
      <c r="D2341" s="2"/>
      <c r="E2341" s="2"/>
      <c r="F2341" s="2"/>
      <c r="G2341" s="2"/>
      <c r="H2341" s="2"/>
      <c r="I2341" s="5"/>
    </row>
    <row r="2342" spans="1:9" ht="17.399999999999999" x14ac:dyDescent="0.25">
      <c r="A2342" s="16"/>
      <c r="B2342" s="17"/>
      <c r="C2342" s="2" t="b">
        <v>0</v>
      </c>
      <c r="D2342" s="2"/>
      <c r="E2342" s="2"/>
      <c r="F2342" s="2"/>
      <c r="G2342" s="2"/>
      <c r="H2342" s="2"/>
      <c r="I2342" s="5"/>
    </row>
    <row r="2343" spans="1:9" ht="17.399999999999999" x14ac:dyDescent="0.25">
      <c r="A2343" s="16"/>
      <c r="B2343" s="17"/>
      <c r="C2343" s="2" t="b">
        <v>0</v>
      </c>
      <c r="D2343" s="2"/>
      <c r="E2343" s="2"/>
      <c r="F2343" s="2"/>
      <c r="G2343" s="2"/>
      <c r="H2343" s="2"/>
      <c r="I2343" s="5"/>
    </row>
    <row r="2344" spans="1:9" ht="17.399999999999999" x14ac:dyDescent="0.25">
      <c r="A2344" s="16"/>
      <c r="B2344" s="17"/>
      <c r="C2344" s="2" t="b">
        <v>0</v>
      </c>
      <c r="D2344" s="2"/>
      <c r="E2344" s="2"/>
      <c r="F2344" s="2"/>
      <c r="G2344" s="2"/>
      <c r="H2344" s="2"/>
      <c r="I2344" s="5"/>
    </row>
    <row r="2345" spans="1:9" ht="17.399999999999999" x14ac:dyDescent="0.25">
      <c r="A2345" s="16"/>
      <c r="B2345" s="17"/>
      <c r="C2345" s="2" t="b">
        <v>0</v>
      </c>
      <c r="D2345" s="2"/>
      <c r="E2345" s="2"/>
      <c r="F2345" s="2"/>
      <c r="G2345" s="2"/>
      <c r="H2345" s="2"/>
      <c r="I2345" s="5"/>
    </row>
    <row r="2346" spans="1:9" ht="17.399999999999999" x14ac:dyDescent="0.25">
      <c r="A2346" s="16"/>
      <c r="B2346" s="17"/>
      <c r="C2346" s="2" t="b">
        <v>0</v>
      </c>
      <c r="D2346" s="2"/>
      <c r="E2346" s="2"/>
      <c r="F2346" s="2"/>
      <c r="G2346" s="2"/>
      <c r="H2346" s="2"/>
      <c r="I2346" s="5"/>
    </row>
    <row r="2347" spans="1:9" ht="17.399999999999999" x14ac:dyDescent="0.25">
      <c r="A2347" s="16"/>
      <c r="B2347" s="17"/>
      <c r="C2347" s="2" t="b">
        <v>0</v>
      </c>
      <c r="D2347" s="2"/>
      <c r="E2347" s="2"/>
      <c r="F2347" s="2"/>
      <c r="G2347" s="2"/>
      <c r="H2347" s="2"/>
      <c r="I2347" s="5"/>
    </row>
    <row r="2348" spans="1:9" ht="17.399999999999999" x14ac:dyDescent="0.25">
      <c r="A2348" s="16"/>
      <c r="B2348" s="17"/>
      <c r="C2348" s="2" t="b">
        <v>0</v>
      </c>
      <c r="D2348" s="2"/>
      <c r="E2348" s="2"/>
      <c r="F2348" s="2"/>
      <c r="G2348" s="2"/>
      <c r="H2348" s="2"/>
      <c r="I2348" s="5"/>
    </row>
    <row r="2349" spans="1:9" ht="17.399999999999999" x14ac:dyDescent="0.25">
      <c r="A2349" s="16"/>
      <c r="B2349" s="17"/>
      <c r="C2349" s="2" t="b">
        <v>0</v>
      </c>
      <c r="D2349" s="2"/>
      <c r="E2349" s="2"/>
      <c r="F2349" s="2"/>
      <c r="G2349" s="2"/>
      <c r="H2349" s="2"/>
      <c r="I2349" s="5"/>
    </row>
    <row r="2350" spans="1:9" ht="17.399999999999999" x14ac:dyDescent="0.25">
      <c r="A2350" s="16"/>
      <c r="B2350" s="17"/>
      <c r="C2350" s="2" t="b">
        <v>0</v>
      </c>
      <c r="D2350" s="2"/>
      <c r="E2350" s="2"/>
      <c r="F2350" s="2"/>
      <c r="G2350" s="2"/>
      <c r="H2350" s="2"/>
      <c r="I2350" s="5"/>
    </row>
    <row r="2351" spans="1:9" ht="17.399999999999999" x14ac:dyDescent="0.25">
      <c r="A2351" s="16"/>
      <c r="B2351" s="17"/>
      <c r="C2351" s="2" t="b">
        <v>0</v>
      </c>
      <c r="D2351" s="2"/>
      <c r="E2351" s="2"/>
      <c r="F2351" s="2"/>
      <c r="G2351" s="2"/>
      <c r="H2351" s="2"/>
      <c r="I2351" s="5"/>
    </row>
    <row r="2352" spans="1:9" ht="17.399999999999999" x14ac:dyDescent="0.25">
      <c r="A2352" s="16"/>
      <c r="B2352" s="17"/>
      <c r="C2352" s="2" t="b">
        <v>0</v>
      </c>
      <c r="D2352" s="2"/>
      <c r="E2352" s="2"/>
      <c r="F2352" s="2"/>
      <c r="G2352" s="2"/>
      <c r="H2352" s="2"/>
      <c r="I2352" s="5"/>
    </row>
    <row r="2353" spans="1:9" ht="17.399999999999999" x14ac:dyDescent="0.25">
      <c r="A2353" s="16"/>
      <c r="B2353" s="17"/>
      <c r="C2353" s="2" t="b">
        <v>0</v>
      </c>
      <c r="D2353" s="2"/>
      <c r="E2353" s="2"/>
      <c r="F2353" s="2"/>
      <c r="G2353" s="2"/>
      <c r="H2353" s="2"/>
      <c r="I2353" s="5"/>
    </row>
    <row r="2354" spans="1:9" ht="17.399999999999999" x14ac:dyDescent="0.25">
      <c r="A2354" s="16"/>
      <c r="B2354" s="17"/>
      <c r="C2354" s="2" t="b">
        <v>0</v>
      </c>
      <c r="D2354" s="2"/>
      <c r="E2354" s="2"/>
      <c r="F2354" s="2"/>
      <c r="G2354" s="2"/>
      <c r="H2354" s="2"/>
      <c r="I2354" s="5"/>
    </row>
    <row r="2355" spans="1:9" ht="17.399999999999999" x14ac:dyDescent="0.25">
      <c r="A2355" s="16"/>
      <c r="B2355" s="17"/>
      <c r="C2355" s="2" t="b">
        <v>0</v>
      </c>
      <c r="D2355" s="2"/>
      <c r="E2355" s="2"/>
      <c r="F2355" s="2"/>
      <c r="G2355" s="2"/>
      <c r="H2355" s="2"/>
      <c r="I2355" s="5"/>
    </row>
    <row r="2356" spans="1:9" ht="17.399999999999999" x14ac:dyDescent="0.25">
      <c r="A2356" s="16"/>
      <c r="B2356" s="17"/>
      <c r="C2356" s="2" t="b">
        <v>0</v>
      </c>
      <c r="D2356" s="2"/>
      <c r="E2356" s="2"/>
      <c r="F2356" s="2"/>
      <c r="G2356" s="2"/>
      <c r="H2356" s="2"/>
      <c r="I2356" s="5"/>
    </row>
    <row r="2357" spans="1:9" ht="17.399999999999999" x14ac:dyDescent="0.25">
      <c r="A2357" s="16"/>
      <c r="B2357" s="17"/>
      <c r="C2357" s="2" t="b">
        <v>0</v>
      </c>
      <c r="D2357" s="2"/>
      <c r="E2357" s="2"/>
      <c r="F2357" s="2"/>
      <c r="G2357" s="2"/>
      <c r="H2357" s="2"/>
      <c r="I2357" s="5"/>
    </row>
    <row r="2358" spans="1:9" ht="17.399999999999999" x14ac:dyDescent="0.25">
      <c r="A2358" s="16"/>
      <c r="B2358" s="17"/>
      <c r="C2358" s="2" t="b">
        <v>0</v>
      </c>
      <c r="D2358" s="2"/>
      <c r="E2358" s="2"/>
      <c r="F2358" s="2"/>
      <c r="G2358" s="2"/>
      <c r="H2358" s="2"/>
      <c r="I2358" s="5"/>
    </row>
    <row r="2359" spans="1:9" ht="17.399999999999999" x14ac:dyDescent="0.25">
      <c r="A2359" s="16"/>
      <c r="B2359" s="17"/>
      <c r="C2359" s="2" t="b">
        <v>0</v>
      </c>
      <c r="D2359" s="2"/>
      <c r="E2359" s="2"/>
      <c r="F2359" s="2"/>
      <c r="G2359" s="2"/>
      <c r="H2359" s="2"/>
      <c r="I2359" s="5"/>
    </row>
    <row r="2360" spans="1:9" ht="17.399999999999999" x14ac:dyDescent="0.25">
      <c r="A2360" s="16"/>
      <c r="B2360" s="17"/>
      <c r="C2360" s="2" t="b">
        <v>0</v>
      </c>
      <c r="D2360" s="2"/>
      <c r="E2360" s="2"/>
      <c r="F2360" s="2"/>
      <c r="G2360" s="2"/>
      <c r="H2360" s="2"/>
      <c r="I2360" s="5"/>
    </row>
    <row r="2361" spans="1:9" ht="17.399999999999999" x14ac:dyDescent="0.25">
      <c r="A2361" s="16"/>
      <c r="B2361" s="17"/>
      <c r="C2361" s="2" t="b">
        <v>0</v>
      </c>
      <c r="D2361" s="2"/>
      <c r="E2361" s="2"/>
      <c r="F2361" s="2"/>
      <c r="G2361" s="2"/>
      <c r="H2361" s="2"/>
      <c r="I2361" s="5"/>
    </row>
    <row r="2362" spans="1:9" ht="17.399999999999999" x14ac:dyDescent="0.25">
      <c r="A2362" s="16"/>
      <c r="B2362" s="17"/>
      <c r="C2362" s="2" t="b">
        <v>0</v>
      </c>
      <c r="D2362" s="2"/>
      <c r="E2362" s="2"/>
      <c r="F2362" s="2"/>
      <c r="G2362" s="2"/>
      <c r="H2362" s="2"/>
      <c r="I2362" s="5"/>
    </row>
    <row r="2363" spans="1:9" ht="17.399999999999999" x14ac:dyDescent="0.25">
      <c r="A2363" s="16"/>
      <c r="B2363" s="17"/>
      <c r="C2363" s="2" t="b">
        <v>0</v>
      </c>
      <c r="D2363" s="2"/>
      <c r="E2363" s="2"/>
      <c r="F2363" s="2"/>
      <c r="G2363" s="2"/>
      <c r="H2363" s="2"/>
      <c r="I2363" s="5"/>
    </row>
    <row r="2364" spans="1:9" ht="17.399999999999999" x14ac:dyDescent="0.25">
      <c r="A2364" s="16"/>
      <c r="B2364" s="17"/>
      <c r="C2364" s="2" t="b">
        <v>0</v>
      </c>
      <c r="D2364" s="2"/>
      <c r="E2364" s="2"/>
      <c r="F2364" s="2"/>
      <c r="G2364" s="2"/>
      <c r="H2364" s="2"/>
      <c r="I2364" s="5"/>
    </row>
    <row r="2365" spans="1:9" ht="17.399999999999999" x14ac:dyDescent="0.25">
      <c r="A2365" s="16"/>
      <c r="B2365" s="17"/>
      <c r="C2365" s="2" t="b">
        <v>0</v>
      </c>
      <c r="D2365" s="2"/>
      <c r="E2365" s="2"/>
      <c r="F2365" s="2"/>
      <c r="G2365" s="2"/>
      <c r="H2365" s="2"/>
      <c r="I2365" s="5"/>
    </row>
    <row r="2366" spans="1:9" ht="17.399999999999999" x14ac:dyDescent="0.25">
      <c r="A2366" s="16"/>
      <c r="B2366" s="17"/>
      <c r="C2366" s="2" t="b">
        <v>0</v>
      </c>
      <c r="D2366" s="2"/>
      <c r="E2366" s="2"/>
      <c r="F2366" s="2"/>
      <c r="G2366" s="2"/>
      <c r="H2366" s="2"/>
      <c r="I2366" s="5"/>
    </row>
    <row r="2367" spans="1:9" ht="17.399999999999999" x14ac:dyDescent="0.25">
      <c r="A2367" s="16"/>
      <c r="B2367" s="17"/>
      <c r="C2367" s="2" t="b">
        <v>0</v>
      </c>
      <c r="D2367" s="2"/>
      <c r="E2367" s="2"/>
      <c r="F2367" s="2"/>
      <c r="G2367" s="2"/>
      <c r="H2367" s="2"/>
      <c r="I2367" s="5"/>
    </row>
    <row r="2368" spans="1:9" ht="17.399999999999999" x14ac:dyDescent="0.25">
      <c r="A2368" s="16"/>
      <c r="B2368" s="17"/>
      <c r="C2368" s="2" t="b">
        <v>0</v>
      </c>
      <c r="D2368" s="2"/>
      <c r="E2368" s="2"/>
      <c r="F2368" s="2"/>
      <c r="G2368" s="2"/>
      <c r="H2368" s="2"/>
      <c r="I2368" s="5"/>
    </row>
    <row r="2369" spans="1:9" ht="17.399999999999999" x14ac:dyDescent="0.25">
      <c r="A2369" s="16"/>
      <c r="B2369" s="17"/>
      <c r="C2369" s="2" t="b">
        <v>0</v>
      </c>
      <c r="D2369" s="2"/>
      <c r="E2369" s="2"/>
      <c r="F2369" s="2"/>
      <c r="G2369" s="2"/>
      <c r="H2369" s="2"/>
      <c r="I2369" s="5"/>
    </row>
    <row r="2370" spans="1:9" ht="17.399999999999999" x14ac:dyDescent="0.25">
      <c r="A2370" s="16"/>
      <c r="B2370" s="17"/>
      <c r="C2370" s="2" t="b">
        <v>0</v>
      </c>
      <c r="D2370" s="2"/>
      <c r="E2370" s="2"/>
      <c r="F2370" s="2"/>
      <c r="G2370" s="2"/>
      <c r="H2370" s="2"/>
      <c r="I2370" s="5"/>
    </row>
    <row r="2371" spans="1:9" ht="17.399999999999999" x14ac:dyDescent="0.25">
      <c r="A2371" s="16"/>
      <c r="B2371" s="17"/>
      <c r="C2371" s="2" t="b">
        <v>0</v>
      </c>
      <c r="D2371" s="2"/>
      <c r="E2371" s="2"/>
      <c r="F2371" s="2"/>
      <c r="G2371" s="2"/>
      <c r="H2371" s="2"/>
      <c r="I2371" s="5"/>
    </row>
    <row r="2372" spans="1:9" ht="17.399999999999999" x14ac:dyDescent="0.25">
      <c r="A2372" s="16"/>
      <c r="B2372" s="17"/>
      <c r="C2372" s="2" t="b">
        <v>0</v>
      </c>
      <c r="D2372" s="2"/>
      <c r="E2372" s="2"/>
      <c r="F2372" s="2"/>
      <c r="G2372" s="2"/>
      <c r="H2372" s="2"/>
      <c r="I2372" s="5"/>
    </row>
    <row r="2373" spans="1:9" ht="17.399999999999999" x14ac:dyDescent="0.25">
      <c r="A2373" s="16"/>
      <c r="B2373" s="17"/>
      <c r="C2373" s="2" t="b">
        <v>0</v>
      </c>
      <c r="D2373" s="2"/>
      <c r="E2373" s="2"/>
      <c r="F2373" s="2"/>
      <c r="G2373" s="2"/>
      <c r="H2373" s="2"/>
      <c r="I2373" s="5"/>
    </row>
    <row r="2374" spans="1:9" ht="17.399999999999999" x14ac:dyDescent="0.25">
      <c r="A2374" s="16"/>
      <c r="B2374" s="17"/>
      <c r="C2374" s="2" t="b">
        <v>0</v>
      </c>
      <c r="D2374" s="2"/>
      <c r="E2374" s="2"/>
      <c r="F2374" s="2"/>
      <c r="G2374" s="2"/>
      <c r="H2374" s="2"/>
      <c r="I2374" s="5"/>
    </row>
    <row r="2375" spans="1:9" ht="17.399999999999999" x14ac:dyDescent="0.25">
      <c r="A2375" s="16"/>
      <c r="B2375" s="17"/>
      <c r="C2375" s="2" t="b">
        <v>0</v>
      </c>
      <c r="D2375" s="2"/>
      <c r="E2375" s="2"/>
      <c r="F2375" s="2"/>
      <c r="G2375" s="2"/>
      <c r="H2375" s="2"/>
      <c r="I2375" s="5"/>
    </row>
    <row r="2376" spans="1:9" ht="17.399999999999999" x14ac:dyDescent="0.25">
      <c r="A2376" s="16"/>
      <c r="B2376" s="17"/>
      <c r="C2376" s="2" t="b">
        <v>0</v>
      </c>
      <c r="D2376" s="2"/>
      <c r="E2376" s="2"/>
      <c r="F2376" s="2"/>
      <c r="G2376" s="2"/>
      <c r="H2376" s="2"/>
      <c r="I2376" s="5"/>
    </row>
    <row r="2377" spans="1:9" ht="17.399999999999999" x14ac:dyDescent="0.25">
      <c r="A2377" s="16"/>
      <c r="B2377" s="17"/>
      <c r="C2377" s="2" t="b">
        <v>0</v>
      </c>
      <c r="D2377" s="2"/>
      <c r="E2377" s="2"/>
      <c r="F2377" s="2"/>
      <c r="G2377" s="2"/>
      <c r="H2377" s="2"/>
      <c r="I2377" s="5"/>
    </row>
    <row r="2378" spans="1:9" ht="17.399999999999999" x14ac:dyDescent="0.25">
      <c r="A2378" s="16"/>
      <c r="B2378" s="17"/>
      <c r="C2378" s="2" t="b">
        <v>0</v>
      </c>
      <c r="D2378" s="2"/>
      <c r="E2378" s="2"/>
      <c r="F2378" s="2"/>
      <c r="G2378" s="2"/>
      <c r="H2378" s="2"/>
      <c r="I2378" s="5"/>
    </row>
    <row r="2379" spans="1:9" ht="17.399999999999999" x14ac:dyDescent="0.25">
      <c r="A2379" s="16"/>
      <c r="B2379" s="17"/>
      <c r="C2379" s="2" t="b">
        <v>0</v>
      </c>
      <c r="D2379" s="2"/>
      <c r="E2379" s="2"/>
      <c r="F2379" s="2"/>
      <c r="G2379" s="2"/>
      <c r="H2379" s="2"/>
      <c r="I2379" s="5"/>
    </row>
    <row r="2380" spans="1:9" ht="17.399999999999999" x14ac:dyDescent="0.25">
      <c r="A2380" s="16"/>
      <c r="B2380" s="17"/>
      <c r="C2380" s="2" t="b">
        <v>0</v>
      </c>
      <c r="D2380" s="2"/>
      <c r="E2380" s="2"/>
      <c r="F2380" s="2"/>
      <c r="G2380" s="2"/>
      <c r="H2380" s="2"/>
      <c r="I2380" s="5"/>
    </row>
    <row r="2381" spans="1:9" ht="17.399999999999999" x14ac:dyDescent="0.25">
      <c r="A2381" s="16"/>
      <c r="B2381" s="17"/>
      <c r="C2381" s="2" t="b">
        <v>0</v>
      </c>
      <c r="D2381" s="2"/>
      <c r="E2381" s="2"/>
      <c r="F2381" s="2"/>
      <c r="G2381" s="2"/>
      <c r="H2381" s="2"/>
      <c r="I2381" s="5"/>
    </row>
    <row r="2382" spans="1:9" ht="17.399999999999999" x14ac:dyDescent="0.25">
      <c r="A2382" s="16"/>
      <c r="B2382" s="17"/>
      <c r="C2382" s="2" t="b">
        <v>0</v>
      </c>
      <c r="D2382" s="2"/>
      <c r="E2382" s="2"/>
      <c r="F2382" s="2"/>
      <c r="G2382" s="2"/>
      <c r="H2382" s="2"/>
      <c r="I2382" s="5"/>
    </row>
    <row r="2383" spans="1:9" ht="17.399999999999999" x14ac:dyDescent="0.25">
      <c r="A2383" s="16"/>
      <c r="B2383" s="17"/>
      <c r="C2383" s="2" t="b">
        <v>0</v>
      </c>
      <c r="D2383" s="2"/>
      <c r="E2383" s="2"/>
      <c r="F2383" s="2"/>
      <c r="G2383" s="2"/>
      <c r="H2383" s="2"/>
      <c r="I2383" s="5"/>
    </row>
    <row r="2384" spans="1:9" ht="17.399999999999999" x14ac:dyDescent="0.25">
      <c r="A2384" s="16"/>
      <c r="B2384" s="17"/>
      <c r="C2384" s="2" t="b">
        <v>0</v>
      </c>
      <c r="D2384" s="2"/>
      <c r="E2384" s="2"/>
      <c r="F2384" s="2"/>
      <c r="G2384" s="2"/>
      <c r="H2384" s="2"/>
      <c r="I2384" s="5"/>
    </row>
    <row r="2385" spans="1:9" ht="17.399999999999999" x14ac:dyDescent="0.25">
      <c r="A2385" s="16"/>
      <c r="B2385" s="17"/>
      <c r="C2385" s="2" t="b">
        <v>0</v>
      </c>
      <c r="D2385" s="2"/>
      <c r="E2385" s="2"/>
      <c r="F2385" s="2"/>
      <c r="G2385" s="2"/>
      <c r="H2385" s="2"/>
      <c r="I2385" s="5"/>
    </row>
    <row r="2386" spans="1:9" ht="17.399999999999999" x14ac:dyDescent="0.25">
      <c r="A2386" s="16"/>
      <c r="B2386" s="17"/>
      <c r="C2386" s="2" t="b">
        <v>0</v>
      </c>
      <c r="D2386" s="2"/>
      <c r="E2386" s="2"/>
      <c r="F2386" s="2"/>
      <c r="G2386" s="2"/>
      <c r="H2386" s="2"/>
      <c r="I2386" s="5"/>
    </row>
    <row r="2387" spans="1:9" ht="17.399999999999999" x14ac:dyDescent="0.25">
      <c r="A2387" s="16"/>
      <c r="B2387" s="17"/>
      <c r="C2387" s="2" t="b">
        <v>0</v>
      </c>
      <c r="D2387" s="2"/>
      <c r="E2387" s="2"/>
      <c r="F2387" s="2"/>
      <c r="G2387" s="2"/>
      <c r="H2387" s="2"/>
      <c r="I2387" s="5"/>
    </row>
    <row r="2388" spans="1:9" ht="17.399999999999999" x14ac:dyDescent="0.25">
      <c r="A2388" s="16"/>
      <c r="B2388" s="17"/>
      <c r="C2388" s="2" t="b">
        <v>0</v>
      </c>
      <c r="D2388" s="2"/>
      <c r="E2388" s="2"/>
      <c r="F2388" s="2"/>
      <c r="G2388" s="2"/>
      <c r="H2388" s="2"/>
      <c r="I2388" s="5"/>
    </row>
    <row r="2389" spans="1:9" ht="17.399999999999999" x14ac:dyDescent="0.25">
      <c r="A2389" s="16"/>
      <c r="B2389" s="17"/>
      <c r="C2389" s="2" t="b">
        <v>0</v>
      </c>
      <c r="D2389" s="2"/>
      <c r="E2389" s="2"/>
      <c r="F2389" s="2"/>
      <c r="G2389" s="2"/>
      <c r="H2389" s="2"/>
      <c r="I2389" s="5"/>
    </row>
    <row r="2390" spans="1:9" ht="17.399999999999999" x14ac:dyDescent="0.25">
      <c r="A2390" s="16"/>
      <c r="B2390" s="17"/>
      <c r="C2390" s="2" t="b">
        <v>0</v>
      </c>
      <c r="D2390" s="2"/>
      <c r="E2390" s="2"/>
      <c r="F2390" s="2"/>
      <c r="G2390" s="2"/>
      <c r="H2390" s="2"/>
      <c r="I2390" s="5"/>
    </row>
    <row r="2391" spans="1:9" ht="17.399999999999999" x14ac:dyDescent="0.25">
      <c r="A2391" s="16"/>
      <c r="B2391" s="17"/>
      <c r="C2391" s="2" t="b">
        <v>0</v>
      </c>
      <c r="D2391" s="2"/>
      <c r="E2391" s="2"/>
      <c r="F2391" s="2"/>
      <c r="G2391" s="2"/>
      <c r="H2391" s="2"/>
      <c r="I2391" s="5"/>
    </row>
    <row r="2392" spans="1:9" ht="17.399999999999999" x14ac:dyDescent="0.25">
      <c r="A2392" s="16"/>
      <c r="B2392" s="17"/>
      <c r="C2392" s="2" t="b">
        <v>0</v>
      </c>
      <c r="D2392" s="2"/>
      <c r="E2392" s="2"/>
      <c r="F2392" s="2"/>
      <c r="G2392" s="2"/>
      <c r="H2392" s="2"/>
      <c r="I2392" s="5"/>
    </row>
    <row r="2393" spans="1:9" ht="17.399999999999999" x14ac:dyDescent="0.25">
      <c r="A2393" s="16"/>
      <c r="B2393" s="17"/>
      <c r="C2393" s="2" t="b">
        <v>0</v>
      </c>
      <c r="D2393" s="2"/>
      <c r="E2393" s="2"/>
      <c r="F2393" s="2"/>
      <c r="G2393" s="2"/>
      <c r="H2393" s="2"/>
      <c r="I2393" s="5"/>
    </row>
    <row r="2394" spans="1:9" ht="17.399999999999999" x14ac:dyDescent="0.25">
      <c r="A2394" s="16"/>
      <c r="B2394" s="17"/>
      <c r="C2394" s="2" t="b">
        <v>0</v>
      </c>
      <c r="D2394" s="2"/>
      <c r="E2394" s="2"/>
      <c r="F2394" s="2"/>
      <c r="G2394" s="2"/>
      <c r="H2394" s="2"/>
      <c r="I2394" s="5"/>
    </row>
    <row r="2395" spans="1:9" ht="17.399999999999999" x14ac:dyDescent="0.25">
      <c r="A2395" s="16"/>
      <c r="B2395" s="17"/>
      <c r="C2395" s="2" t="b">
        <v>0</v>
      </c>
      <c r="D2395" s="2"/>
      <c r="E2395" s="2"/>
      <c r="F2395" s="2"/>
      <c r="G2395" s="2"/>
      <c r="H2395" s="2"/>
      <c r="I2395" s="5"/>
    </row>
    <row r="2396" spans="1:9" ht="17.399999999999999" x14ac:dyDescent="0.25">
      <c r="A2396" s="16"/>
      <c r="B2396" s="17"/>
      <c r="C2396" s="2" t="b">
        <v>0</v>
      </c>
      <c r="D2396" s="2"/>
      <c r="E2396" s="2"/>
      <c r="F2396" s="2"/>
      <c r="G2396" s="2"/>
      <c r="H2396" s="2"/>
      <c r="I2396" s="5"/>
    </row>
    <row r="2397" spans="1:9" ht="17.399999999999999" x14ac:dyDescent="0.25">
      <c r="A2397" s="16"/>
      <c r="B2397" s="17"/>
      <c r="C2397" s="2" t="b">
        <v>0</v>
      </c>
      <c r="D2397" s="2"/>
      <c r="E2397" s="2"/>
      <c r="F2397" s="2"/>
      <c r="G2397" s="2"/>
      <c r="H2397" s="2"/>
      <c r="I2397" s="5"/>
    </row>
    <row r="2398" spans="1:9" ht="17.399999999999999" x14ac:dyDescent="0.25">
      <c r="A2398" s="16"/>
      <c r="B2398" s="17"/>
      <c r="C2398" s="2" t="b">
        <v>0</v>
      </c>
      <c r="D2398" s="2"/>
      <c r="E2398" s="2"/>
      <c r="F2398" s="2"/>
      <c r="G2398" s="2"/>
      <c r="H2398" s="2"/>
      <c r="I2398" s="5"/>
    </row>
    <row r="2399" spans="1:9" ht="17.399999999999999" x14ac:dyDescent="0.25">
      <c r="A2399" s="16"/>
      <c r="B2399" s="17"/>
      <c r="C2399" s="2" t="b">
        <v>0</v>
      </c>
      <c r="D2399" s="2"/>
      <c r="E2399" s="2"/>
      <c r="F2399" s="2"/>
      <c r="G2399" s="2"/>
      <c r="H2399" s="2"/>
      <c r="I2399" s="5"/>
    </row>
    <row r="2400" spans="1:9" ht="17.399999999999999" x14ac:dyDescent="0.25">
      <c r="A2400" s="16"/>
      <c r="B2400" s="17"/>
      <c r="C2400" s="2" t="b">
        <v>0</v>
      </c>
      <c r="D2400" s="2"/>
      <c r="E2400" s="2"/>
      <c r="F2400" s="2"/>
      <c r="G2400" s="2"/>
      <c r="H2400" s="2"/>
      <c r="I2400" s="5"/>
    </row>
    <row r="2401" spans="1:9" ht="17.399999999999999" x14ac:dyDescent="0.25">
      <c r="A2401" s="16"/>
      <c r="B2401" s="17"/>
      <c r="C2401" s="2" t="b">
        <v>0</v>
      </c>
      <c r="D2401" s="2"/>
      <c r="E2401" s="2"/>
      <c r="F2401" s="2"/>
      <c r="G2401" s="2"/>
      <c r="H2401" s="2"/>
      <c r="I2401" s="5"/>
    </row>
    <row r="2402" spans="1:9" ht="17.399999999999999" x14ac:dyDescent="0.25">
      <c r="A2402" s="16"/>
      <c r="B2402" s="17"/>
      <c r="C2402" s="2" t="b">
        <v>0</v>
      </c>
      <c r="D2402" s="2"/>
      <c r="E2402" s="2"/>
      <c r="F2402" s="2"/>
      <c r="G2402" s="2"/>
      <c r="H2402" s="2"/>
      <c r="I2402" s="5"/>
    </row>
    <row r="2403" spans="1:9" ht="17.399999999999999" x14ac:dyDescent="0.25">
      <c r="A2403" s="16"/>
      <c r="B2403" s="17"/>
      <c r="C2403" s="2" t="b">
        <v>0</v>
      </c>
      <c r="D2403" s="2"/>
      <c r="E2403" s="2"/>
      <c r="F2403" s="2"/>
      <c r="G2403" s="2"/>
      <c r="H2403" s="2"/>
      <c r="I2403" s="5"/>
    </row>
    <row r="2404" spans="1:9" ht="17.399999999999999" x14ac:dyDescent="0.25">
      <c r="A2404" s="16"/>
      <c r="B2404" s="17"/>
      <c r="C2404" s="2" t="b">
        <v>0</v>
      </c>
      <c r="D2404" s="2"/>
      <c r="E2404" s="2"/>
      <c r="F2404" s="2"/>
      <c r="G2404" s="2"/>
      <c r="H2404" s="2"/>
      <c r="I2404" s="5"/>
    </row>
    <row r="2405" spans="1:9" ht="17.399999999999999" x14ac:dyDescent="0.25">
      <c r="A2405" s="16"/>
      <c r="B2405" s="17"/>
      <c r="C2405" s="2" t="b">
        <v>0</v>
      </c>
      <c r="D2405" s="2"/>
      <c r="E2405" s="2"/>
      <c r="F2405" s="2"/>
      <c r="G2405" s="2"/>
      <c r="H2405" s="2"/>
      <c r="I2405" s="5"/>
    </row>
    <row r="2406" spans="1:9" ht="17.399999999999999" x14ac:dyDescent="0.25">
      <c r="A2406" s="16"/>
      <c r="B2406" s="17"/>
      <c r="C2406" s="2" t="b">
        <v>0</v>
      </c>
      <c r="D2406" s="2"/>
      <c r="E2406" s="2"/>
      <c r="F2406" s="2"/>
      <c r="G2406" s="2"/>
      <c r="H2406" s="2"/>
      <c r="I2406" s="5"/>
    </row>
    <row r="2407" spans="1:9" ht="17.399999999999999" x14ac:dyDescent="0.25">
      <c r="A2407" s="16"/>
      <c r="B2407" s="17"/>
      <c r="C2407" s="2" t="b">
        <v>0</v>
      </c>
      <c r="D2407" s="2"/>
      <c r="E2407" s="2"/>
      <c r="F2407" s="2"/>
      <c r="G2407" s="2"/>
      <c r="H2407" s="2"/>
      <c r="I2407" s="5"/>
    </row>
    <row r="2408" spans="1:9" ht="17.399999999999999" x14ac:dyDescent="0.25">
      <c r="A2408" s="16"/>
      <c r="B2408" s="17"/>
      <c r="C2408" s="2" t="b">
        <v>0</v>
      </c>
      <c r="D2408" s="2"/>
      <c r="E2408" s="2"/>
      <c r="F2408" s="2"/>
      <c r="G2408" s="2"/>
      <c r="H2408" s="2"/>
      <c r="I2408" s="5"/>
    </row>
    <row r="2409" spans="1:9" ht="17.399999999999999" x14ac:dyDescent="0.25">
      <c r="A2409" s="16"/>
      <c r="B2409" s="17"/>
      <c r="C2409" s="2" t="b">
        <v>0</v>
      </c>
      <c r="D2409" s="2"/>
      <c r="E2409" s="2"/>
      <c r="F2409" s="2"/>
      <c r="G2409" s="2"/>
      <c r="H2409" s="2"/>
      <c r="I2409" s="5"/>
    </row>
    <row r="2410" spans="1:9" ht="17.399999999999999" x14ac:dyDescent="0.25">
      <c r="A2410" s="16"/>
      <c r="B2410" s="17"/>
      <c r="C2410" s="2" t="b">
        <v>0</v>
      </c>
      <c r="D2410" s="2"/>
      <c r="E2410" s="2"/>
      <c r="F2410" s="2"/>
      <c r="G2410" s="2"/>
      <c r="H2410" s="2"/>
      <c r="I2410" s="5"/>
    </row>
    <row r="2411" spans="1:9" ht="17.399999999999999" x14ac:dyDescent="0.25">
      <c r="A2411" s="16"/>
      <c r="B2411" s="17"/>
      <c r="C2411" s="2" t="b">
        <v>0</v>
      </c>
      <c r="D2411" s="2"/>
      <c r="E2411" s="2"/>
      <c r="F2411" s="2"/>
      <c r="G2411" s="2"/>
      <c r="H2411" s="2"/>
      <c r="I2411" s="5"/>
    </row>
    <row r="2412" spans="1:9" ht="17.399999999999999" x14ac:dyDescent="0.25">
      <c r="A2412" s="16"/>
      <c r="B2412" s="17"/>
      <c r="C2412" s="2" t="b">
        <v>0</v>
      </c>
      <c r="D2412" s="2"/>
      <c r="E2412" s="2"/>
      <c r="F2412" s="2"/>
      <c r="G2412" s="2"/>
      <c r="H2412" s="2"/>
      <c r="I2412" s="5"/>
    </row>
    <row r="2413" spans="1:9" ht="17.399999999999999" x14ac:dyDescent="0.25">
      <c r="A2413" s="16"/>
      <c r="B2413" s="17"/>
      <c r="C2413" s="2" t="b">
        <v>0</v>
      </c>
      <c r="D2413" s="2"/>
      <c r="E2413" s="2"/>
      <c r="F2413" s="2"/>
      <c r="G2413" s="2"/>
      <c r="H2413" s="2"/>
      <c r="I2413" s="5"/>
    </row>
    <row r="2414" spans="1:9" ht="17.399999999999999" x14ac:dyDescent="0.25">
      <c r="A2414" s="16"/>
      <c r="B2414" s="17"/>
      <c r="C2414" s="2" t="b">
        <v>0</v>
      </c>
      <c r="D2414" s="2"/>
      <c r="E2414" s="2"/>
      <c r="F2414" s="2"/>
      <c r="G2414" s="2"/>
      <c r="H2414" s="2"/>
      <c r="I2414" s="5"/>
    </row>
    <row r="2415" spans="1:9" ht="17.399999999999999" x14ac:dyDescent="0.25">
      <c r="A2415" s="16"/>
      <c r="B2415" s="17"/>
      <c r="C2415" s="2" t="b">
        <v>0</v>
      </c>
      <c r="D2415" s="2"/>
      <c r="E2415" s="2"/>
      <c r="F2415" s="2"/>
      <c r="G2415" s="2"/>
      <c r="H2415" s="2"/>
      <c r="I2415" s="5"/>
    </row>
    <row r="2416" spans="1:9" ht="17.399999999999999" x14ac:dyDescent="0.25">
      <c r="A2416" s="16"/>
      <c r="B2416" s="17"/>
      <c r="C2416" s="2" t="b">
        <v>0</v>
      </c>
      <c r="D2416" s="2"/>
      <c r="E2416" s="2"/>
      <c r="F2416" s="2"/>
      <c r="G2416" s="2"/>
      <c r="H2416" s="2"/>
      <c r="I2416" s="5"/>
    </row>
    <row r="2417" spans="1:9" ht="17.399999999999999" x14ac:dyDescent="0.25">
      <c r="A2417" s="16"/>
      <c r="B2417" s="17"/>
      <c r="C2417" s="2" t="b">
        <v>0</v>
      </c>
      <c r="D2417" s="2"/>
      <c r="E2417" s="2"/>
      <c r="F2417" s="2"/>
      <c r="G2417" s="2"/>
      <c r="H2417" s="2"/>
      <c r="I2417" s="5"/>
    </row>
    <row r="2418" spans="1:9" ht="17.399999999999999" x14ac:dyDescent="0.25">
      <c r="A2418" s="16"/>
      <c r="B2418" s="17"/>
      <c r="C2418" s="2" t="b">
        <v>0</v>
      </c>
      <c r="D2418" s="2"/>
      <c r="E2418" s="2"/>
      <c r="F2418" s="2"/>
      <c r="G2418" s="2"/>
      <c r="H2418" s="2"/>
      <c r="I2418" s="5"/>
    </row>
    <row r="2419" spans="1:9" ht="17.399999999999999" x14ac:dyDescent="0.25">
      <c r="A2419" s="16"/>
      <c r="B2419" s="17"/>
      <c r="C2419" s="2" t="b">
        <v>0</v>
      </c>
      <c r="D2419" s="2"/>
      <c r="E2419" s="2"/>
      <c r="F2419" s="2"/>
      <c r="G2419" s="2"/>
      <c r="H2419" s="2"/>
      <c r="I2419" s="5"/>
    </row>
    <row r="2420" spans="1:9" ht="17.399999999999999" x14ac:dyDescent="0.25">
      <c r="A2420" s="16"/>
      <c r="B2420" s="17"/>
      <c r="C2420" s="2" t="b">
        <v>0</v>
      </c>
      <c r="D2420" s="2"/>
      <c r="E2420" s="2"/>
      <c r="F2420" s="2"/>
      <c r="G2420" s="2"/>
      <c r="H2420" s="2"/>
      <c r="I2420" s="5"/>
    </row>
    <row r="2421" spans="1:9" ht="17.399999999999999" x14ac:dyDescent="0.25">
      <c r="A2421" s="16"/>
      <c r="B2421" s="17"/>
      <c r="C2421" s="2" t="b">
        <v>0</v>
      </c>
      <c r="D2421" s="2"/>
      <c r="E2421" s="2"/>
      <c r="F2421" s="2"/>
      <c r="G2421" s="2"/>
      <c r="H2421" s="2"/>
      <c r="I2421" s="5"/>
    </row>
    <row r="2422" spans="1:9" ht="17.399999999999999" x14ac:dyDescent="0.25">
      <c r="A2422" s="16"/>
      <c r="B2422" s="17"/>
      <c r="C2422" s="2" t="b">
        <v>0</v>
      </c>
      <c r="D2422" s="2"/>
      <c r="E2422" s="2"/>
      <c r="F2422" s="2"/>
      <c r="G2422" s="2"/>
      <c r="H2422" s="2"/>
      <c r="I2422" s="5"/>
    </row>
    <row r="2423" spans="1:9" ht="17.399999999999999" x14ac:dyDescent="0.25">
      <c r="A2423" s="16"/>
      <c r="B2423" s="17"/>
      <c r="C2423" s="2" t="b">
        <v>0</v>
      </c>
      <c r="D2423" s="2"/>
      <c r="E2423" s="2"/>
      <c r="F2423" s="2"/>
      <c r="G2423" s="2"/>
      <c r="H2423" s="2"/>
      <c r="I2423" s="5"/>
    </row>
    <row r="2424" spans="1:9" ht="17.399999999999999" x14ac:dyDescent="0.25">
      <c r="A2424" s="16"/>
      <c r="B2424" s="17"/>
      <c r="C2424" s="2" t="b">
        <v>0</v>
      </c>
      <c r="D2424" s="2"/>
      <c r="E2424" s="2"/>
      <c r="F2424" s="2"/>
      <c r="G2424" s="2"/>
      <c r="H2424" s="2"/>
      <c r="I2424" s="5"/>
    </row>
    <row r="2425" spans="1:9" ht="17.399999999999999" x14ac:dyDescent="0.25">
      <c r="A2425" s="16"/>
      <c r="B2425" s="17"/>
      <c r="C2425" s="2" t="b">
        <v>0</v>
      </c>
      <c r="D2425" s="2"/>
      <c r="E2425" s="2"/>
      <c r="F2425" s="2"/>
      <c r="G2425" s="2"/>
      <c r="H2425" s="2"/>
      <c r="I2425" s="5"/>
    </row>
    <row r="2426" spans="1:9" ht="17.399999999999999" x14ac:dyDescent="0.25">
      <c r="A2426" s="16"/>
      <c r="B2426" s="17"/>
      <c r="C2426" s="2" t="b">
        <v>0</v>
      </c>
      <c r="D2426" s="2"/>
      <c r="E2426" s="2"/>
      <c r="F2426" s="2"/>
      <c r="G2426" s="2"/>
      <c r="H2426" s="2"/>
      <c r="I2426" s="5"/>
    </row>
    <row r="2427" spans="1:9" ht="17.399999999999999" x14ac:dyDescent="0.25">
      <c r="A2427" s="16"/>
      <c r="B2427" s="17"/>
      <c r="C2427" s="2" t="b">
        <v>0</v>
      </c>
      <c r="D2427" s="2"/>
      <c r="E2427" s="2"/>
      <c r="F2427" s="2"/>
      <c r="G2427" s="2"/>
      <c r="H2427" s="2"/>
      <c r="I2427" s="5"/>
    </row>
    <row r="2428" spans="1:9" ht="17.399999999999999" x14ac:dyDescent="0.25">
      <c r="A2428" s="16"/>
      <c r="B2428" s="17"/>
      <c r="C2428" s="2" t="b">
        <v>0</v>
      </c>
      <c r="D2428" s="2"/>
      <c r="E2428" s="2"/>
      <c r="F2428" s="2"/>
      <c r="G2428" s="2"/>
      <c r="H2428" s="2"/>
      <c r="I2428" s="5"/>
    </row>
    <row r="2429" spans="1:9" ht="17.399999999999999" x14ac:dyDescent="0.25">
      <c r="A2429" s="16"/>
      <c r="B2429" s="17"/>
      <c r="C2429" s="2" t="b">
        <v>0</v>
      </c>
      <c r="D2429" s="2"/>
      <c r="E2429" s="2"/>
      <c r="F2429" s="2"/>
      <c r="G2429" s="2"/>
      <c r="H2429" s="2"/>
      <c r="I2429" s="5"/>
    </row>
    <row r="2430" spans="1:9" ht="17.399999999999999" x14ac:dyDescent="0.25">
      <c r="A2430" s="16"/>
      <c r="B2430" s="17"/>
      <c r="C2430" s="2" t="b">
        <v>0</v>
      </c>
      <c r="D2430" s="2"/>
      <c r="E2430" s="2"/>
      <c r="F2430" s="2"/>
      <c r="G2430" s="2"/>
      <c r="H2430" s="2"/>
      <c r="I2430" s="5"/>
    </row>
    <row r="2431" spans="1:9" ht="17.399999999999999" x14ac:dyDescent="0.25">
      <c r="A2431" s="16"/>
      <c r="B2431" s="17"/>
      <c r="C2431" s="2" t="b">
        <v>0</v>
      </c>
      <c r="D2431" s="2"/>
      <c r="E2431" s="2"/>
      <c r="F2431" s="2"/>
      <c r="G2431" s="2"/>
      <c r="H2431" s="2"/>
      <c r="I2431" s="5"/>
    </row>
    <row r="2432" spans="1:9" ht="17.399999999999999" x14ac:dyDescent="0.25">
      <c r="A2432" s="16"/>
      <c r="B2432" s="17"/>
      <c r="C2432" s="2" t="b">
        <v>0</v>
      </c>
      <c r="D2432" s="2"/>
      <c r="E2432" s="2"/>
      <c r="F2432" s="2"/>
      <c r="G2432" s="2"/>
      <c r="H2432" s="2"/>
      <c r="I2432" s="5"/>
    </row>
    <row r="2433" spans="1:9" ht="17.399999999999999" x14ac:dyDescent="0.25">
      <c r="A2433" s="16"/>
      <c r="B2433" s="17"/>
      <c r="C2433" s="2" t="b">
        <v>0</v>
      </c>
      <c r="D2433" s="2"/>
      <c r="E2433" s="2"/>
      <c r="F2433" s="2"/>
      <c r="G2433" s="2"/>
      <c r="H2433" s="2"/>
      <c r="I2433" s="5"/>
    </row>
    <row r="2434" spans="1:9" ht="17.399999999999999" x14ac:dyDescent="0.25">
      <c r="A2434" s="16"/>
      <c r="B2434" s="17"/>
      <c r="C2434" s="2" t="b">
        <v>0</v>
      </c>
      <c r="D2434" s="2"/>
      <c r="E2434" s="2"/>
      <c r="F2434" s="2"/>
      <c r="G2434" s="2"/>
      <c r="H2434" s="2"/>
      <c r="I2434" s="5"/>
    </row>
    <row r="2435" spans="1:9" ht="17.399999999999999" x14ac:dyDescent="0.25">
      <c r="A2435" s="16"/>
      <c r="B2435" s="17"/>
      <c r="C2435" s="2" t="b">
        <v>0</v>
      </c>
      <c r="D2435" s="2"/>
      <c r="E2435" s="2"/>
      <c r="F2435" s="2"/>
      <c r="G2435" s="2"/>
      <c r="H2435" s="2"/>
      <c r="I2435" s="5"/>
    </row>
    <row r="2436" spans="1:9" ht="17.399999999999999" x14ac:dyDescent="0.25">
      <c r="A2436" s="16"/>
      <c r="B2436" s="17"/>
      <c r="C2436" s="2" t="b">
        <v>0</v>
      </c>
      <c r="D2436" s="2"/>
      <c r="E2436" s="2"/>
      <c r="F2436" s="2"/>
      <c r="G2436" s="2"/>
      <c r="H2436" s="2"/>
      <c r="I2436" s="5"/>
    </row>
    <row r="2437" spans="1:9" ht="17.399999999999999" x14ac:dyDescent="0.25">
      <c r="A2437" s="16"/>
      <c r="B2437" s="17"/>
      <c r="C2437" s="2" t="b">
        <v>0</v>
      </c>
      <c r="D2437" s="2"/>
      <c r="E2437" s="2"/>
      <c r="F2437" s="2"/>
      <c r="G2437" s="2"/>
      <c r="H2437" s="2"/>
      <c r="I2437" s="5"/>
    </row>
    <row r="2438" spans="1:9" ht="17.399999999999999" x14ac:dyDescent="0.25">
      <c r="A2438" s="16"/>
      <c r="B2438" s="17"/>
      <c r="C2438" s="2" t="b">
        <v>0</v>
      </c>
      <c r="D2438" s="2"/>
      <c r="E2438" s="2"/>
      <c r="F2438" s="2"/>
      <c r="G2438" s="2"/>
      <c r="H2438" s="2"/>
      <c r="I2438" s="5"/>
    </row>
    <row r="2439" spans="1:9" ht="17.399999999999999" x14ac:dyDescent="0.25">
      <c r="A2439" s="16"/>
      <c r="B2439" s="17"/>
      <c r="C2439" s="2" t="b">
        <v>0</v>
      </c>
      <c r="D2439" s="2"/>
      <c r="E2439" s="2"/>
      <c r="F2439" s="2"/>
      <c r="G2439" s="2"/>
      <c r="H2439" s="2"/>
      <c r="I2439" s="5"/>
    </row>
    <row r="2440" spans="1:9" ht="17.399999999999999" x14ac:dyDescent="0.25">
      <c r="A2440" s="16"/>
      <c r="B2440" s="17"/>
      <c r="C2440" s="2" t="b">
        <v>0</v>
      </c>
      <c r="D2440" s="2"/>
      <c r="E2440" s="2"/>
      <c r="F2440" s="2"/>
      <c r="G2440" s="2"/>
      <c r="H2440" s="2"/>
      <c r="I2440" s="5"/>
    </row>
  </sheetData>
  <mergeCells count="2">
    <mergeCell ref="B2:H2"/>
    <mergeCell ref="B3:H3"/>
  </mergeCells>
  <conditionalFormatting sqref="A1:H2440">
    <cfRule type="cellIs" dxfId="23" priority="1" operator="equal">
      <formula>"Purchased Perks"</formula>
    </cfRule>
    <cfRule type="expression" dxfId="22" priority="2">
      <formula>IF($E1="Purchased Perks",TRUE,FALSE)</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ummaryRight="0"/>
  </sheetPr>
  <dimension ref="A1:XFD2440"/>
  <sheetViews>
    <sheetView workbookViewId="0">
      <pane ySplit="4" topLeftCell="A5" activePane="bottomLeft" state="frozen"/>
      <selection pane="bottomLeft" activeCell="B6" sqref="B6"/>
    </sheetView>
  </sheetViews>
  <sheetFormatPr defaultColWidth="12.6640625" defaultRowHeight="15.75" customHeight="1" x14ac:dyDescent="0.25"/>
  <cols>
    <col min="1" max="1" width="3.21875" customWidth="1"/>
    <col min="2" max="2" width="3.33203125" customWidth="1"/>
    <col min="3" max="3" width="10" customWidth="1"/>
    <col min="4" max="4" width="7.6640625" customWidth="1"/>
    <col min="5" max="5" width="20.88671875" customWidth="1"/>
    <col min="6" max="6" width="14.77734375" customWidth="1"/>
    <col min="7" max="7" width="19.44140625" customWidth="1"/>
    <col min="8" max="8" width="105.109375" customWidth="1"/>
    <col min="9" max="9" width="3.21875" customWidth="1"/>
    <col min="16384" max="16384" width="0" hidden="1" customWidth="1"/>
  </cols>
  <sheetData>
    <row r="1" spans="1:9 16384:16384" ht="18.75" hidden="1" customHeight="1" x14ac:dyDescent="0.25">
      <c r="A1" s="16"/>
      <c r="B1" s="16"/>
      <c r="C1" s="26"/>
      <c r="D1" s="26"/>
      <c r="E1" s="26"/>
      <c r="F1" s="26"/>
      <c r="G1" s="26"/>
      <c r="H1" s="26"/>
      <c r="I1" s="5"/>
      <c r="XFD1">
        <f ca="1">IF('Roll All'!$B$4="Roll!",RAND(),RAND())</f>
        <v>0.86778455652158459</v>
      </c>
    </row>
    <row r="2" spans="1:9 16384:16384" ht="43.5" customHeight="1" x14ac:dyDescent="0.25">
      <c r="A2" s="16"/>
      <c r="B2" s="54" t="s">
        <v>54</v>
      </c>
      <c r="C2" s="40"/>
      <c r="D2" s="40"/>
      <c r="E2" s="40"/>
      <c r="F2" s="40"/>
      <c r="G2" s="40"/>
      <c r="H2" s="40"/>
      <c r="I2" s="5"/>
    </row>
    <row r="3" spans="1:9 16384:16384" ht="30" customHeight="1" x14ac:dyDescent="0.25">
      <c r="A3" s="16"/>
      <c r="B3" s="42" t="s">
        <v>5651</v>
      </c>
      <c r="C3" s="40"/>
      <c r="D3" s="40"/>
      <c r="E3" s="40"/>
      <c r="F3" s="40"/>
      <c r="G3" s="40"/>
      <c r="H3" s="40"/>
      <c r="I3" s="5"/>
    </row>
    <row r="4" spans="1:9 16384:16384" ht="34.799999999999997" x14ac:dyDescent="0.25">
      <c r="A4" s="16"/>
      <c r="B4" s="17">
        <f t="array" ref="B4:B131">ROW(B4:B2440)-4</f>
        <v>0</v>
      </c>
      <c r="C4" s="10" t="s">
        <v>50</v>
      </c>
      <c r="D4" s="10" t="s">
        <v>20</v>
      </c>
      <c r="E4" s="10" t="s">
        <v>21</v>
      </c>
      <c r="F4" s="10" t="s">
        <v>22</v>
      </c>
      <c r="G4" s="10" t="s">
        <v>23</v>
      </c>
      <c r="H4" s="10" t="s">
        <v>24</v>
      </c>
      <c r="I4" s="5"/>
    </row>
    <row r="5" spans="1:9 16384:16384" ht="104.4" x14ac:dyDescent="0.25">
      <c r="A5" s="16"/>
      <c r="B5" s="17">
        <v>1</v>
      </c>
      <c r="C5" s="3" t="b">
        <f ca="1">IFERROR(__xludf.DUMMYFUNCTION("sort(filter('Full Perk List'!B3:G1935,'Full Perk List'!F3:F1935=B2),1,1,2,1,3,1)"),FALSE)</f>
        <v>0</v>
      </c>
      <c r="D5" s="3">
        <f ca="1">IFERROR(__xludf.DUMMYFUNCTION("""COMPUTED_VALUE"""),0)</f>
        <v>0</v>
      </c>
      <c r="E5" s="3" t="str">
        <f ca="1">IFERROR(__xludf.DUMMYFUNCTION("""COMPUTED_VALUE"""),"Blessing of Aura of...")</f>
        <v>Blessing of Aura of...</v>
      </c>
      <c r="F5" s="3" t="str">
        <f ca="1">IFERROR(__xludf.DUMMYFUNCTION("""COMPUTED_VALUE"""),"Feeder Fantasy")</f>
        <v>Feeder Fantasy</v>
      </c>
      <c r="G5" s="3" t="str">
        <f ca="1">IFERROR(__xludf.DUMMYFUNCTION("""COMPUTED_VALUE"""),"Corruption")</f>
        <v>Corruption</v>
      </c>
      <c r="H5" s="3" t="str">
        <f ca="1">IFERROR(__xludf.DUMMYFUNCTION("""COMPUTED_VALUE"""),"A bit wordy? Yes, yes it is. By default this ""blessing"" from the Goddess mirrors Sura's own 'weight gain aura,' that does nothing more than make it significantly easier for women to get fat in a radius large enough to cover a small town like Mordau. Unl"&amp;"ike Sura's aura, should you be a woman you are exempt from your own 'corruption' influence. If weight gain isn't your cup of tea, you may instead alter it to some other small, yet biologically possible/natural metamorphosis. Excessive breast growth, for e"&amp;"xample. Growing new body parts is not possible.")</f>
        <v>A bit wordy? Yes, yes it is. By default this "blessing" from the Goddess mirrors Sura's own 'weight gain aura,' that does nothing more than make it significantly easier for women to get fat in a radius large enough to cover a small town like Mordau. Unlike Sura's aura, should you be a woman you are exempt from your own 'corruption' influence. If weight gain isn't your cup of tea, you may instead alter it to some other small, yet biologically possible/natural metamorphosis. Excessive breast growth, for example. Growing new body parts is not possible.</v>
      </c>
      <c r="I5" s="5"/>
    </row>
    <row r="6" spans="1:9 16384:16384" ht="156.6" x14ac:dyDescent="0.25">
      <c r="A6" s="16"/>
      <c r="B6" s="17">
        <v>2</v>
      </c>
      <c r="C6" s="4" t="b">
        <f ca="1">IFERROR(__xludf.DUMMYFUNCTION("""COMPUTED_VALUE"""),FALSE)</f>
        <v>0</v>
      </c>
      <c r="D6" s="4">
        <f ca="1">IFERROR(__xludf.DUMMYFUNCTION("""COMPUTED_VALUE"""),50)</f>
        <v>50</v>
      </c>
      <c r="E6" s="4" t="str">
        <f ca="1">IFERROR(__xludf.DUMMYFUNCTION("""COMPUTED_VALUE"""),"An Essay on Lust")</f>
        <v>An Essay on Lust</v>
      </c>
      <c r="F6" s="4" t="str">
        <f ca="1">IFERROR(__xludf.DUMMYFUNCTION("""COMPUTED_VALUE"""),"Bricola")</f>
        <v>Bricola</v>
      </c>
      <c r="G6" s="4" t="str">
        <f ca="1">IFERROR(__xludf.DUMMYFUNCTION("""COMPUTED_VALUE"""),"Corruption")</f>
        <v>Corruption</v>
      </c>
      <c r="H6" s="4" t="str">
        <f ca="1">IFERROR(__xludf.DUMMYFUNCTION("""COMPUTED_VALUE"""),"It's incredibly unlikely that future worlds will have plotlines like this one, and even less so that they could mutate beyond canon and into something like that happening here. Still, that’s not a reason not to try! This essay - or rather, these essays - "&amp;"are a sound and logical argument for how sex, lust, or even skimpy clothing can supposedly help any situation you'd care to name. Whether it's something big like convincing a company to set up a retreat similar to the Gotei 13s private island where you ca"&amp;"n sleep with its hottest members, or something simpler like making the dress code a tad bit more lax, if it's possible to make an argument, it's here. That said, I make no guarantees about you even being heard out, let alone keeping your job for such a ‘d"&amp;"isgusting’ proposal. That part I leave up to you.")</f>
        <v>It's incredibly unlikely that future worlds will have plotlines like this one, and even less so that they could mutate beyond canon and into something like that happening here. Still, that’s not a reason not to try! This essay - or rather, these essays - are a sound and logical argument for how sex, lust, or even skimpy clothing can supposedly help any situation you'd care to name. Whether it's something big like convincing a company to set up a retreat similar to the Gotei 13s private island where you can sleep with its hottest members, or something simpler like making the dress code a tad bit more lax, if it's possible to make an argument, it's here. That said, I make no guarantees about you even being heard out, let alone keeping your job for such a ‘disgusting’ proposal. That part I leave up to you.</v>
      </c>
      <c r="I6" s="5"/>
    </row>
    <row r="7" spans="1:9 16384:16384" ht="69.599999999999994" x14ac:dyDescent="0.25">
      <c r="A7" s="16"/>
      <c r="B7" s="17">
        <v>3</v>
      </c>
      <c r="C7" s="2" t="b">
        <f ca="1">IFERROR(__xludf.DUMMYFUNCTION("""COMPUTED_VALUE"""),FALSE)</f>
        <v>0</v>
      </c>
      <c r="D7" s="2">
        <f ca="1">IFERROR(__xludf.DUMMYFUNCTION("""COMPUTED_VALUE"""),100)</f>
        <v>100</v>
      </c>
      <c r="E7" s="2" t="str">
        <f ca="1">IFERROR(__xludf.DUMMYFUNCTION("""COMPUTED_VALUE"""),"Cock Sleeve")</f>
        <v>Cock Sleeve</v>
      </c>
      <c r="F7" s="2" t="str">
        <f ca="1">IFERROR(__xludf.DUMMYFUNCTION("""COMPUTED_VALUE"""),"Niplheim’s Hunter")</f>
        <v>Niplheim’s Hunter</v>
      </c>
      <c r="G7" s="2" t="str">
        <f ca="1">IFERROR(__xludf.DUMMYFUNCTION("""COMPUTED_VALUE"""),"Corruption")</f>
        <v>Corruption</v>
      </c>
      <c r="H7" s="2" t="str">
        <f ca="1">IFERROR(__xludf.DUMMYFUNCTION("""COMPUTED_VALUE"""),"A former human who’s been broken and trained to your liking, this item is a lust brand bearer like Azel who’s been reduced to being an eager cock-addicted slave to your every whim. Smart enough and well-trained enough to obey you, she can be trusted to ma"&amp;"ke trips into town on her own to fetch items from the stores or lure unsuspecting huntresses back to your lair.")</f>
        <v>A former human who’s been broken and trained to your liking, this item is a lust brand bearer like Azel who’s been reduced to being an eager cock-addicted slave to your every whim. Smart enough and well-trained enough to obey you, she can be trusted to make trips into town on her own to fetch items from the stores or lure unsuspecting huntresses back to your lair.</v>
      </c>
      <c r="I7" s="5"/>
    </row>
    <row r="8" spans="1:9 16384:16384" ht="104.4" x14ac:dyDescent="0.25">
      <c r="A8" s="16"/>
      <c r="B8" s="17">
        <v>4</v>
      </c>
      <c r="C8" s="2" t="b">
        <f ca="1">IFERROR(__xludf.DUMMYFUNCTION("""COMPUTED_VALUE"""),FALSE)</f>
        <v>0</v>
      </c>
      <c r="D8" s="2">
        <f ca="1">IFERROR(__xludf.DUMMYFUNCTION("""COMPUTED_VALUE"""),100)</f>
        <v>100</v>
      </c>
      <c r="E8" s="2" t="str">
        <f ca="1">IFERROR(__xludf.DUMMYFUNCTION("""COMPUTED_VALUE"""),"Collar and Leash")</f>
        <v>Collar and Leash</v>
      </c>
      <c r="F8" s="2" t="str">
        <f ca="1">IFERROR(__xludf.DUMMYFUNCTION("""COMPUTED_VALUE"""),"Boyce Park")</f>
        <v>Boyce Park</v>
      </c>
      <c r="G8" s="2" t="str">
        <f ca="1">IFERROR(__xludf.DUMMYFUNCTION("""COMPUTED_VALUE"""),"Corruption")</f>
        <v>Corruption</v>
      </c>
      <c r="H8" s="2" t="str">
        <f ca="1">IFERROR(__xludf.DUMMYFUNCTION("""COMPUTED_VALUE"""),"A special collar that can’t be forced on you, but doesn’t open without your owner’s permission once it is shut. The same goes for shutting down all agreed on powers, allowing you to submit fully even after you grow in power. The leash is unbreakable and n"&amp;"ever gets in the way. Those legally mark you as owned property and never draw unwanted attention.
Yes, you can use it on someone else, if you must.")</f>
        <v>A special collar that can’t be forced on you, but doesn’t open without your owner’s permission once it is shut. The same goes for shutting down all agreed on powers, allowing you to submit fully even after you grow in power. The leash is unbreakable and never gets in the way. Those legally mark you as owned property and never draw unwanted attention.
Yes, you can use it on someone else, if you must.</v>
      </c>
      <c r="I8" s="5"/>
    </row>
    <row r="9" spans="1:9 16384:16384" ht="52.2" x14ac:dyDescent="0.25">
      <c r="A9" s="16"/>
      <c r="B9" s="17">
        <v>5</v>
      </c>
      <c r="C9" s="2" t="b">
        <f ca="1">IFERROR(__xludf.DUMMYFUNCTION("""COMPUTED_VALUE"""),FALSE)</f>
        <v>0</v>
      </c>
      <c r="D9" s="2">
        <f ca="1">IFERROR(__xludf.DUMMYFUNCTION("""COMPUTED_VALUE"""),100)</f>
        <v>100</v>
      </c>
      <c r="E9" s="2" t="str">
        <f ca="1">IFERROR(__xludf.DUMMYFUNCTION("""COMPUTED_VALUE"""),"Corrupting Aura")</f>
        <v>Corrupting Aura</v>
      </c>
      <c r="F9" s="2" t="str">
        <f ca="1">IFERROR(__xludf.DUMMYFUNCTION("""COMPUTED_VALUE"""),"Corruption of Champions")</f>
        <v>Corruption of Champions</v>
      </c>
      <c r="G9" s="2" t="str">
        <f ca="1">IFERROR(__xludf.DUMMYFUNCTION("""COMPUTED_VALUE"""),"Corruption")</f>
        <v>Corruption</v>
      </c>
      <c r="H9" s="2" t="str">
        <f ca="1">IFERROR(__xludf.DUMMYFUNCTION("""COMPUTED_VALUE"""),"With this poisons, potions, magics, and actions by your hand will have a greater chance at getting their desired effect if intended to corrupt a target. Minor elements of corruption also seems to spring up around you infecting your general environment sho"&amp;"uld you wish it.")</f>
        <v>With this poisons, potions, magics, and actions by your hand will have a greater chance at getting their desired effect if intended to corrupt a target. Minor elements of corruption also seems to spring up around you infecting your general environment should you wish it.</v>
      </c>
      <c r="I9" s="5"/>
    </row>
    <row r="10" spans="1:9 16384:16384" ht="104.4" x14ac:dyDescent="0.25">
      <c r="A10" s="16"/>
      <c r="B10" s="17">
        <v>6</v>
      </c>
      <c r="C10" s="2" t="b">
        <f ca="1">IFERROR(__xludf.DUMMYFUNCTION("""COMPUTED_VALUE"""),FALSE)</f>
        <v>0</v>
      </c>
      <c r="D10" s="2">
        <f ca="1">IFERROR(__xludf.DUMMYFUNCTION("""COMPUTED_VALUE"""),100)</f>
        <v>100</v>
      </c>
      <c r="E10" s="2" t="str">
        <f ca="1">IFERROR(__xludf.DUMMYFUNCTION("""COMPUTED_VALUE"""),"Dirty Mouth")</f>
        <v>Dirty Mouth</v>
      </c>
      <c r="F10" s="2" t="str">
        <f ca="1">IFERROR(__xludf.DUMMYFUNCTION("""COMPUTED_VALUE"""),"Kyonyuu Fantasy 2")</f>
        <v>Kyonyuu Fantasy 2</v>
      </c>
      <c r="G10" s="2" t="str">
        <f ca="1">IFERROR(__xludf.DUMMYFUNCTION("""COMPUTED_VALUE"""),"Corruption")</f>
        <v>Corruption</v>
      </c>
      <c r="H10" s="2" t="str">
        <f ca="1">IFERROR(__xludf.DUMMYFUNCTION("""COMPUTED_VALUE"""),"The problem with all this ‘society?’ People have all this trouble stating what they want, brazenly and honestly. You do not have this problem, and rarely if ever will you face consequences for it. Yes, that barmaid will feel abashed that you publicly stat"&amp;"ed you want to rail her womanly valley like a bull in heat, but you were honest about it. No, it is not uncouth of you to publically laud and describe how good mermaids are at paizuri on account of them not having a pussy. No, that man isn’t going to slow"&amp;"ly back away because you said you need to bathe in his baby batter... I think you get the idea.")</f>
        <v>The problem with all this ‘society?’ People have all this trouble stating what they want, brazenly and honestly. You do not have this problem, and rarely if ever will you face consequences for it. Yes, that barmaid will feel abashed that you publicly stated you want to rail her womanly valley like a bull in heat, but you were honest about it. No, it is not uncouth of you to publically laud and describe how good mermaids are at paizuri on account of them not having a pussy. No, that man isn’t going to slowly back away because you said you need to bathe in his baby batter... I think you get the idea.</v>
      </c>
      <c r="I10" s="5"/>
    </row>
    <row r="11" spans="1:9 16384:16384" ht="69.599999999999994" x14ac:dyDescent="0.25">
      <c r="A11" s="16"/>
      <c r="B11" s="17">
        <v>7</v>
      </c>
      <c r="C11" s="2" t="b">
        <f ca="1">IFERROR(__xludf.DUMMYFUNCTION("""COMPUTED_VALUE"""),FALSE)</f>
        <v>0</v>
      </c>
      <c r="D11" s="2">
        <f ca="1">IFERROR(__xludf.DUMMYFUNCTION("""COMPUTED_VALUE"""),100)</f>
        <v>100</v>
      </c>
      <c r="E11" s="2" t="str">
        <f ca="1">IFERROR(__xludf.DUMMYFUNCTION("""COMPUTED_VALUE"""),"Golden Decoration")</f>
        <v>Golden Decoration</v>
      </c>
      <c r="F11" s="2" t="str">
        <f ca="1">IFERROR(__xludf.DUMMYFUNCTION("""COMPUTED_VALUE"""),"Princess Sacrifice")</f>
        <v>Princess Sacrifice</v>
      </c>
      <c r="G11" s="2" t="str">
        <f ca="1">IFERROR(__xludf.DUMMYFUNCTION("""COMPUTED_VALUE"""),"Corruption")</f>
        <v>Corruption</v>
      </c>
      <c r="H11" s="2" t="str">
        <f ca="1">IFERROR(__xludf.DUMMYFUNCTION("""COMPUTED_VALUE"""),"Golden Decorations are essentially a set of nipple piercings, labia piercings, and a clitoral piercing all linked with a thin gold chain. The labia piercings are used to pull them apart and open the vagina for view. Great for showing off that lovely human"&amp;" you’ve taken as a cum dump. They also can reduce the will of the one wearing them and making them more docile towards the owner.")</f>
        <v>Golden Decorations are essentially a set of nipple piercings, labia piercings, and a clitoral piercing all linked with a thin gold chain. The labia piercings are used to pull them apart and open the vagina for view. Great for showing off that lovely human you’ve taken as a cum dump. They also can reduce the will of the one wearing them and making them more docile towards the owner.</v>
      </c>
      <c r="I11" s="5"/>
    </row>
    <row r="12" spans="1:9 16384:16384" ht="104.4" x14ac:dyDescent="0.25">
      <c r="A12" s="16"/>
      <c r="B12" s="17">
        <v>8</v>
      </c>
      <c r="C12" s="2" t="b">
        <f ca="1">IFERROR(__xludf.DUMMYFUNCTION("""COMPUTED_VALUE"""),FALSE)</f>
        <v>0</v>
      </c>
      <c r="D12" s="2">
        <f ca="1">IFERROR(__xludf.DUMMYFUNCTION("""COMPUTED_VALUE"""),100)</f>
        <v>100</v>
      </c>
      <c r="E12" s="2" t="str">
        <f ca="1">IFERROR(__xludf.DUMMYFUNCTION("""COMPUTED_VALUE"""),"No Distractions")</f>
        <v>No Distractions</v>
      </c>
      <c r="F12" s="2" t="str">
        <f ca="1">IFERROR(__xludf.DUMMYFUNCTION("""COMPUTED_VALUE"""),"Bloom Pirate Hooker")</f>
        <v>Bloom Pirate Hooker</v>
      </c>
      <c r="G12" s="2" t="str">
        <f ca="1">IFERROR(__xludf.DUMMYFUNCTION("""COMPUTED_VALUE"""),"Corruption")</f>
        <v>Corruption</v>
      </c>
      <c r="H12" s="2" t="str">
        <f ca="1">IFERROR(__xludf.DUMMYFUNCTION("""COMPUTED_VALUE"""),"But of course, sleeping with the enemy comes with it’s own risks. What if they somehow get the upper hand, they fake their defeat, try and woo out some critical information from you? Thankfully, those are concerns for other people. You always know when th"&amp;"e person you’ve been working over the coals is actually ready to talk, or if they’re lying to save their skin. A subtle difference in the way a proper sex slave walks and how someone who’d only pretending walks. Even the tiniest flame of rebellion is like"&amp;" the dawn itself to you - you’d have to be blind to miss it.")</f>
        <v>But of course, sleeping with the enemy comes with it’s own risks. What if they somehow get the upper hand, they fake their defeat, try and woo out some critical information from you? Thankfully, those are concerns for other people. You always know when the person you’ve been working over the coals is actually ready to talk, or if they’re lying to save their skin. A subtle difference in the way a proper sex slave walks and how someone who’d only pretending walks. Even the tiniest flame of rebellion is like the dawn itself to you - you’d have to be blind to miss it.</v>
      </c>
      <c r="I12" s="5"/>
    </row>
    <row r="13" spans="1:9 16384:16384" ht="87" x14ac:dyDescent="0.25">
      <c r="A13" s="16"/>
      <c r="B13" s="17">
        <v>9</v>
      </c>
      <c r="C13" s="2" t="b">
        <f ca="1">IFERROR(__xludf.DUMMYFUNCTION("""COMPUTED_VALUE"""),FALSE)</f>
        <v>0</v>
      </c>
      <c r="D13" s="2">
        <f ca="1">IFERROR(__xludf.DUMMYFUNCTION("""COMPUTED_VALUE"""),100)</f>
        <v>100</v>
      </c>
      <c r="E13" s="2" t="str">
        <f ca="1">IFERROR(__xludf.DUMMYFUNCTION("""COMPUTED_VALUE"""),"Play Rough")</f>
        <v>Play Rough</v>
      </c>
      <c r="F13" s="2" t="str">
        <f ca="1">IFERROR(__xludf.DUMMYFUNCTION("""COMPUTED_VALUE"""),"My Bride is the Demon Lord")</f>
        <v>My Bride is the Demon Lord</v>
      </c>
      <c r="G13" s="2" t="str">
        <f ca="1">IFERROR(__xludf.DUMMYFUNCTION("""COMPUTED_VALUE"""),"Corruption")</f>
        <v>Corruption</v>
      </c>
      <c r="H13" s="2" t="str">
        <f ca="1">IFERROR(__xludf.DUMMYFUNCTION("""COMPUTED_VALUE"""),"Nobody really minds if you get a bit rough during sex. This doesn’t cover anything like hitting or abuse, but shoving your cock down your partner’s throat during a blowjob, spanking without permission, surprise anal sex, and similar rough play are all eas"&amp;"ily smoothed over and quickly forgotten. Do it often enough, and they might just develop a fetish for it... especially considering that this perk also gives you a natural talent for giving incredible amount of pleasure.")</f>
        <v>Nobody really minds if you get a bit rough during sex. This doesn’t cover anything like hitting or abuse, but shoving your cock down your partner’s throat during a blowjob, spanking without permission, surprise anal sex, and similar rough play are all easily smoothed over and quickly forgotten. Do it often enough, and they might just develop a fetish for it... especially considering that this perk also gives you a natural talent for giving incredible amount of pleasure.</v>
      </c>
      <c r="I13" s="5"/>
    </row>
    <row r="14" spans="1:9 16384:16384" ht="139.19999999999999" x14ac:dyDescent="0.25">
      <c r="A14" s="16"/>
      <c r="B14" s="17">
        <v>10</v>
      </c>
      <c r="C14" s="2" t="b">
        <f ca="1">IFERROR(__xludf.DUMMYFUNCTION("""COMPUTED_VALUE"""),FALSE)</f>
        <v>0</v>
      </c>
      <c r="D14" s="2">
        <f ca="1">IFERROR(__xludf.DUMMYFUNCTION("""COMPUTED_VALUE"""),100)</f>
        <v>100</v>
      </c>
      <c r="E14" s="2" t="str">
        <f ca="1">IFERROR(__xludf.DUMMYFUNCTION("""COMPUTED_VALUE"""),"Royal Stockade")</f>
        <v>Royal Stockade</v>
      </c>
      <c r="F14" s="2" t="str">
        <f ca="1">IFERROR(__xludf.DUMMYFUNCTION("""COMPUTED_VALUE"""),"Breathless Wild")</f>
        <v>Breathless Wild</v>
      </c>
      <c r="G14" s="2" t="str">
        <f ca="1">IFERROR(__xludf.DUMMYFUNCTION("""COMPUTED_VALUE"""),"Corruption")</f>
        <v>Corruption</v>
      </c>
      <c r="H14" s="2" t="str">
        <f ca="1">IFERROR(__xludf.DUMMYFUNCTION("""COMPUTED_VALUE"""),"When all else fails you can always fall back on selling your body to make whatever you need to survive. It might be degrading and humiliating but there’s no denying that it’s incredibly effective at raking in rupees by the bucketload. This is a stockade w"&amp;"here you (or someone else you pressured into it) can do a brisk business servicing customers with your body. You have a knack  for putting it where it's private enough that you won’t be disturbed by anyone who’d take umbrage with you for running a busines"&amp;"s there but also public enough to draw a constant stream of customers who’ll happily part with their money for a sample of your talents, and the better your talents are the more money you can rake in from each patron you serve.")</f>
        <v>When all else fails you can always fall back on selling your body to make whatever you need to survive. It might be degrading and humiliating but there’s no denying that it’s incredibly effective at raking in rupees by the bucketload. This is a stockade where you (or someone else you pressured into it) can do a brisk business servicing customers with your body. You have a knack  for putting it where it's private enough that you won’t be disturbed by anyone who’d take umbrage with you for running a business there but also public enough to draw a constant stream of customers who’ll happily part with their money for a sample of your talents, and the better your talents are the more money you can rake in from each patron you serve.</v>
      </c>
      <c r="I14" s="5"/>
    </row>
    <row r="15" spans="1:9 16384:16384" ht="87" x14ac:dyDescent="0.25">
      <c r="A15" s="16"/>
      <c r="B15" s="17">
        <v>11</v>
      </c>
      <c r="C15" s="2" t="b">
        <f ca="1">IFERROR(__xludf.DUMMYFUNCTION("""COMPUTED_VALUE"""),FALSE)</f>
        <v>0</v>
      </c>
      <c r="D15" s="2">
        <f ca="1">IFERROR(__xludf.DUMMYFUNCTION("""COMPUTED_VALUE"""),100)</f>
        <v>100</v>
      </c>
      <c r="E15" s="2" t="str">
        <f ca="1">IFERROR(__xludf.DUMMYFUNCTION("""COMPUTED_VALUE"""),"Smart Piercing")</f>
        <v>Smart Piercing</v>
      </c>
      <c r="F15" s="2" t="str">
        <f ca="1">IFERROR(__xludf.DUMMYFUNCTION("""COMPUTED_VALUE"""),"Free Cities - Zenaku82 Edition")</f>
        <v>Free Cities - Zenaku82 Edition</v>
      </c>
      <c r="G15" s="2" t="str">
        <f ca="1">IFERROR(__xludf.DUMMYFUNCTION("""COMPUTED_VALUE"""),"Corruption")</f>
        <v>Corruption</v>
      </c>
      <c r="H15" s="2" t="str">
        <f ca="1">IFERROR(__xludf.DUMMYFUNCTION("""COMPUTED_VALUE"""),"A special clitorl ring that can be placed on a slave. Once programmed, it’ll go off when the slave indulges in certain activities. This will help make the activity more pleasant, and eventually develop a fetish for it. Have it go after during a titfuck an"&amp;"d she’ll start considering her breasts to be her primary sex organ. Have it go off during buttsex, and she might become anally orgasmic. Have it go off when you’re holding hands and watch how lewd she gets.")</f>
        <v>A special clitorl ring that can be placed on a slave. Once programmed, it’ll go off when the slave indulges in certain activities. This will help make the activity more pleasant, and eventually develop a fetish for it. Have it go after during a titfuck and she’ll start considering her breasts to be her primary sex organ. Have it go off during buttsex, and she might become anally orgasmic. Have it go off when you’re holding hands and watch how lewd she gets.</v>
      </c>
      <c r="I15" s="5"/>
    </row>
    <row r="16" spans="1:9 16384:16384" ht="87" x14ac:dyDescent="0.25">
      <c r="A16" s="16"/>
      <c r="B16" s="17">
        <v>12</v>
      </c>
      <c r="C16" s="2" t="b">
        <f ca="1">IFERROR(__xludf.DUMMYFUNCTION("""COMPUTED_VALUE"""),FALSE)</f>
        <v>0</v>
      </c>
      <c r="D16" s="2">
        <f ca="1">IFERROR(__xludf.DUMMYFUNCTION("""COMPUTED_VALUE"""),100)</f>
        <v>100</v>
      </c>
      <c r="E16" s="2" t="str">
        <f ca="1">IFERROR(__xludf.DUMMYFUNCTION("""COMPUTED_VALUE"""),"You Know You Want To")</f>
        <v>You Know You Want To</v>
      </c>
      <c r="F16" s="2" t="str">
        <f ca="1">IFERROR(__xludf.DUMMYFUNCTION("""COMPUTED_VALUE"""),"Chichikko Bitch / Witch Bitch Collection")</f>
        <v>Chichikko Bitch / Witch Bitch Collection</v>
      </c>
      <c r="G16" s="2" t="str">
        <f ca="1">IFERROR(__xludf.DUMMYFUNCTION("""COMPUTED_VALUE"""),"Corruption")</f>
        <v>Corruption</v>
      </c>
      <c r="H16" s="2" t="str">
        <f ca="1">IFERROR(__xludf.DUMMYFUNCTION("""COMPUTED_VALUE"""),"If you don’t like being molested, they why are you so wet? If you don’t like being raped, then why did you just cum? I’m sure you can see where I’m going with this. Your words are now... tempting. Just enough logic and accusation to shame the fight out of"&amp;" someone. To convince them for a moment that they really do enjoy this, that they really are a slut. Of course, words are nothing without the proper mood... and a thorough bitch breaking to drive the point in deeper.")</f>
        <v>If you don’t like being molested, they why are you so wet? If you don’t like being raped, then why did you just cum? I’m sure you can see where I’m going with this. Your words are now... tempting. Just enough logic and accusation to shame the fight out of someone. To convince them for a moment that they really do enjoy this, that they really are a slut. Of course, words are nothing without the proper mood... and a thorough bitch breaking to drive the point in deeper.</v>
      </c>
      <c r="I16" s="5"/>
    </row>
    <row r="17" spans="1:9" ht="121.8" x14ac:dyDescent="0.25">
      <c r="A17" s="16"/>
      <c r="B17" s="17">
        <v>13</v>
      </c>
      <c r="C17" s="2" t="b">
        <f ca="1">IFERROR(__xludf.DUMMYFUNCTION("""COMPUTED_VALUE"""),FALSE)</f>
        <v>0</v>
      </c>
      <c r="D17" s="2">
        <f ca="1">IFERROR(__xludf.DUMMYFUNCTION("""COMPUTED_VALUE"""),200)</f>
        <v>200</v>
      </c>
      <c r="E17" s="2" t="str">
        <f ca="1">IFERROR(__xludf.DUMMYFUNCTION("""COMPUTED_VALUE"""),"A Hero's Gentle Fall")</f>
        <v>A Hero's Gentle Fall</v>
      </c>
      <c r="F17" s="2" t="str">
        <f ca="1">IFERROR(__xludf.DUMMYFUNCTION("""COMPUTED_VALUE"""),"Boku To Nottori Nakademia")</f>
        <v>Boku To Nottori Nakademia</v>
      </c>
      <c r="G17" s="2" t="str">
        <f ca="1">IFERROR(__xludf.DUMMYFUNCTION("""COMPUTED_VALUE"""),"Corruption")</f>
        <v>Corruption</v>
      </c>
      <c r="H17" s="2" t="str">
        <f ca="1">IFERROR(__xludf.DUMMYFUNCTION("""COMPUTED_VALUE"""),"In situations like this, you can’t be blamed if you slip a little and enjoy yourself if the other option is someone losing their life, right? Right! In situations where you’ve been trapped in a metaphorical corner, where the only options are morally dubio"&amp;"us at best, you’ll find that as long as you were genuinely forced into the situation, others won’t hold it against you for...getting a little carried away. Pumping your puppeted (and very attractive) class president full of semen without the original owne"&amp;"r of the body’s consent won’t have your other female classmates calling for your arrest in disgust. After all, it wasn’t your fault.")</f>
        <v>In situations like this, you can’t be blamed if you slip a little and enjoy yourself if the other option is someone losing their life, right? Right! In situations where you’ve been trapped in a metaphorical corner, where the only options are morally dubious at best, you’ll find that as long as you were genuinely forced into the situation, others won’t hold it against you for...getting a little carried away. Pumping your puppeted (and very attractive) class president full of semen without the original owner of the body’s consent won’t have your other female classmates calling for your arrest in disgust. After all, it wasn’t your fault.</v>
      </c>
      <c r="I17" s="5"/>
    </row>
    <row r="18" spans="1:9" ht="104.4" x14ac:dyDescent="0.25">
      <c r="A18" s="16"/>
      <c r="B18" s="17">
        <v>14</v>
      </c>
      <c r="C18" s="2" t="b">
        <f ca="1">IFERROR(__xludf.DUMMYFUNCTION("""COMPUTED_VALUE"""),FALSE)</f>
        <v>0</v>
      </c>
      <c r="D18" s="2">
        <f ca="1">IFERROR(__xludf.DUMMYFUNCTION("""COMPUTED_VALUE"""),200)</f>
        <v>200</v>
      </c>
      <c r="E18" s="2" t="str">
        <f ca="1">IFERROR(__xludf.DUMMYFUNCTION("""COMPUTED_VALUE"""),"A Sadist's Mercy")</f>
        <v>A Sadist's Mercy</v>
      </c>
      <c r="F18" s="2" t="str">
        <f ca="1">IFERROR(__xludf.DUMMYFUNCTION("""COMPUTED_VALUE"""),"Earth Defense Team Star Guardians")</f>
        <v>Earth Defense Team Star Guardians</v>
      </c>
      <c r="G18" s="2" t="str">
        <f ca="1">IFERROR(__xludf.DUMMYFUNCTION("""COMPUTED_VALUE"""),"Corruption")</f>
        <v>Corruption</v>
      </c>
      <c r="H18" s="2" t="str">
        <f ca="1">IFERROR(__xludf.DUMMYFUNCTION("""COMPUTED_VALUE"""),"The galaxy isn’t going to roll over and conquer itself for you, but take care that you don’t destroy the things you’re trying to conquer or kill the people you’re trying to enslave. Whether you’re interrogating a prisoner by almost drowning her or knockin"&amp;"g out an enemy ship by targeting its engines you can always pull your punches and ensure that you do not deal more damage than you intend to inflict, allowing you to much more easily take captives instead of corpses. The only way you’ll ever break a slave"&amp;" beyond repair is if you choose to do so deliberately.")</f>
        <v>The galaxy isn’t going to roll over and conquer itself for you, but take care that you don’t destroy the things you’re trying to conquer or kill the people you’re trying to enslave. Whether you’re interrogating a prisoner by almost drowning her or knocking out an enemy ship by targeting its engines you can always pull your punches and ensure that you do not deal more damage than you intend to inflict, allowing you to much more easily take captives instead of corpses. The only way you’ll ever break a slave beyond repair is if you choose to do so deliberately.</v>
      </c>
      <c r="I18" s="5"/>
    </row>
    <row r="19" spans="1:9" ht="365.4" x14ac:dyDescent="0.25">
      <c r="A19" s="16"/>
      <c r="B19" s="17">
        <v>15</v>
      </c>
      <c r="C19" s="2" t="b">
        <f ca="1">IFERROR(__xludf.DUMMYFUNCTION("""COMPUTED_VALUE"""),FALSE)</f>
        <v>0</v>
      </c>
      <c r="D19" s="2">
        <f ca="1">IFERROR(__xludf.DUMMYFUNCTION("""COMPUTED_VALUE"""),200)</f>
        <v>200</v>
      </c>
      <c r="E19" s="2" t="str">
        <f ca="1">IFERROR(__xludf.DUMMYFUNCTION("""COMPUTED_VALUE"""),"Addictive Cum/Milk")</f>
        <v>Addictive Cum/Milk</v>
      </c>
      <c r="F19" s="2" t="str">
        <f ca="1">IFERROR(__xludf.DUMMYFUNCTION("""COMPUTED_VALUE"""),"Corruption of Champions v1.1")</f>
        <v>Corruption of Champions v1.1</v>
      </c>
      <c r="G19" s="2" t="str">
        <f ca="1">IFERROR(__xludf.DUMMYFUNCTION("""COMPUTED_VALUE"""),"Corruption")</f>
        <v>Corruption</v>
      </c>
      <c r="H19" s="2" t="str">
        <f ca="1">IFERROR(__xludf.DUMMYFUNCTION("""COMPUTED_VALUE"""),"While they may not look like demons, aside from the horns, the minotaur bull-men of the mountains and the lacta bovine cowgirls might as well be demons themselves in some views. Perhaps an unkind assertion, but not an unfounded one. The corruption of thes"&amp;"e creatures has resulted in their body fluids becoming addictive, the cum of minotaurs being a powerful narcotic and aphrodisiac, while the milk of lacta bovines both strengthens the drinkers and gradually makes them completely, fatally dependent on the c"&amp;"owgirls.
Whether or not you are a member of these species, you do have that most distinctive feature of their biology, with addictive chemicals in either your cum or milk (or both, depending on which you can produce). Powerful enough that simply the sme"&amp;"ll is intoxicating, merely being in your presence can make even the most hardened people feel turned on. Not even the demons themselves are immune to this, leading some to co-dependent relationships.
Whether from a quirk of biology or not, you can choos"&amp;"e not to produce the addictive chemicals too, diluting or entirely stopping the effects. Additionally, you’ll also find that you can mix and match these chemicals internally, if you'd prefer having all your fluids be narcotic drugs or if you'd like everyt"&amp;"hing to be as thoroughly binding as a bovine's milk.
To facilitate the use of this new ability, you also seem to have acquired the near limitless production enjoyed by the bulls and cows, able to continually produce milk without fail for your entire lif"&amp;"e and/or cum enough to distend stomachs and fill small pools.")</f>
        <v>While they may not look like demons, aside from the horns, the minotaur bull-men of the mountains and the lacta bovine cowgirls might as well be demons themselves in some views. Perhaps an unkind assertion, but not an unfounded one. The corruption of these creatures has resulted in their body fluids becoming addictive, the cum of minotaurs being a powerful narcotic and aphrodisiac, while the milk of lacta bovines both strengthens the drinkers and gradually makes them completely, fatally dependent on the cowgirls.
Whether or not you are a member of these species, you do have that most distinctive feature of their biology, with addictive chemicals in either your cum or milk (or both, depending on which you can produce). Powerful enough that simply the smell is intoxicating, merely being in your presence can make even the most hardened people feel turned on. Not even the demons themselves are immune to this, leading some to co-dependent relationships.
Whether from a quirk of biology or not, you can choose not to produce the addictive chemicals too, diluting or entirely stopping the effects. Additionally, you’ll also find that you can mix and match these chemicals internally, if you'd prefer having all your fluids be narcotic drugs or if you'd like everything to be as thoroughly binding as a bovine's milk.
To facilitate the use of this new ability, you also seem to have acquired the near limitless production enjoyed by the bulls and cows, able to continually produce milk without fail for your entire life and/or cum enough to distend stomachs and fill small pools.</v>
      </c>
      <c r="I19" s="5"/>
    </row>
    <row r="20" spans="1:9" ht="139.19999999999999" x14ac:dyDescent="0.25">
      <c r="A20" s="16"/>
      <c r="B20" s="17">
        <v>16</v>
      </c>
      <c r="C20" s="2" t="b">
        <f ca="1">IFERROR(__xludf.DUMMYFUNCTION("""COMPUTED_VALUE"""),FALSE)</f>
        <v>0</v>
      </c>
      <c r="D20" s="2">
        <f ca="1">IFERROR(__xludf.DUMMYFUNCTION("""COMPUTED_VALUE"""),200)</f>
        <v>200</v>
      </c>
      <c r="E20" s="2" t="str">
        <f ca="1">IFERROR(__xludf.DUMMYFUNCTION("""COMPUTED_VALUE"""),"Base Instincts")</f>
        <v>Base Instincts</v>
      </c>
      <c r="F20" s="2" t="str">
        <f ca="1">IFERROR(__xludf.DUMMYFUNCTION("""COMPUTED_VALUE"""),"Naruto Blacked")</f>
        <v>Naruto Blacked</v>
      </c>
      <c r="G20" s="2" t="str">
        <f ca="1">IFERROR(__xludf.DUMMYFUNCTION("""COMPUTED_VALUE"""),"Corruption")</f>
        <v>Corruption</v>
      </c>
      <c r="H20" s="2" t="str">
        <f ca="1">IFERROR(__xludf.DUMMYFUNCTION("""COMPUTED_VALUE"""),"Her heart may belong to him, but her body has another master. That’s what people say about the women you lure into your bed once they’ve had a taste of your cock and all the amazing things it can do to them. You’ve mastered the art of sexual conquest, tur"&amp;"ning your partners into your fucktoys by drowning them in the indescribable pleasure of being dominated by a superior lover. Your partner's consent is unnecessary but don’t be surprised if you wind up getting it anyways, as you can fuck the will to resist"&amp;" right out of your victims after their first few orgasms. They might regret submitting once the afterglow fades but each time you conquer them it gets that much easier to do so again until eventually they become completely yours.")</f>
        <v>Her heart may belong to him, but her body has another master. That’s what people say about the women you lure into your bed once they’ve had a taste of your cock and all the amazing things it can do to them. You’ve mastered the art of sexual conquest, turning your partners into your fucktoys by drowning them in the indescribable pleasure of being dominated by a superior lover. Your partner's consent is unnecessary but don’t be surprised if you wind up getting it anyways, as you can fuck the will to resist right out of your victims after their first few orgasms. They might regret submitting once the afterglow fades but each time you conquer them it gets that much easier to do so again until eventually they become completely yours.</v>
      </c>
      <c r="I20" s="5"/>
    </row>
    <row r="21" spans="1:9" ht="174" x14ac:dyDescent="0.25">
      <c r="A21" s="16"/>
      <c r="B21" s="17">
        <v>17</v>
      </c>
      <c r="C21" s="2" t="b">
        <f ca="1">IFERROR(__xludf.DUMMYFUNCTION("""COMPUTED_VALUE"""),FALSE)</f>
        <v>0</v>
      </c>
      <c r="D21" s="2">
        <f ca="1">IFERROR(__xludf.DUMMYFUNCTION("""COMPUTED_VALUE"""),200)</f>
        <v>200</v>
      </c>
      <c r="E21" s="2" t="str">
        <f ca="1">IFERROR(__xludf.DUMMYFUNCTION("""COMPUTED_VALUE"""),"Black Mud and Impure Desires")</f>
        <v>Black Mud and Impure Desires</v>
      </c>
      <c r="F21" s="2" t="str">
        <f ca="1">IFERROR(__xludf.DUMMYFUNCTION("""COMPUTED_VALUE"""),"Fate/Worm Night")</f>
        <v>Fate/Worm Night</v>
      </c>
      <c r="G21" s="2" t="str">
        <f ca="1">IFERROR(__xludf.DUMMYFUNCTION("""COMPUTED_VALUE"""),"Corruption")</f>
        <v>Corruption</v>
      </c>
      <c r="H21" s="2" t="str">
        <f ca="1">IFERROR(__xludf.DUMMYFUNCTION("""COMPUTED_VALUE"""),"Sometimes, life sucks. Sometimes it sucks so badly that you just sort of snap and lash out at the nearest thing, and accidentally convince your rapist kidnapper that also kidnapping and raping your sister is a good idea. You on the other hand? Well, congr"&amp;"atulations because you can do it on purpose. With just a few words and maybe some suggestive pelvic thrusts, you can take any misfortune that befalls you and spread it out to the people around you. You get kidnapped, your sister gets kidnapped. You don’t "&amp;"sleep well and do poorly on a test, everybody does poorly on the test. It’s petty as hell and twice as bitchy to do, but it also serves the purpose of lessening the focus on you be it because there's half as many people raping you or because the sight of "&amp;"their missery and panic somehow manages calm and focus you. Just be aware that this isn’t exactly going to win you many friends.")</f>
        <v>Sometimes, life sucks. Sometimes it sucks so badly that you just sort of snap and lash out at the nearest thing, and accidentally convince your rapist kidnapper that also kidnapping and raping your sister is a good idea. You on the other hand? Well, congratulations because you can do it on purpose. With just a few words and maybe some suggestive pelvic thrusts, you can take any misfortune that befalls you and spread it out to the people around you. You get kidnapped, your sister gets kidnapped. You don’t sleep well and do poorly on a test, everybody does poorly on the test. It’s petty as hell and twice as bitchy to do, but it also serves the purpose of lessening the focus on you be it because there's half as many people raping you or because the sight of their missery and panic somehow manages calm and focus you. Just be aware that this isn’t exactly going to win you many friends.</v>
      </c>
      <c r="I21" s="5"/>
    </row>
    <row r="22" spans="1:9" ht="174" x14ac:dyDescent="0.25">
      <c r="A22" s="16"/>
      <c r="B22" s="17">
        <v>18</v>
      </c>
      <c r="C22" s="2" t="b">
        <f ca="1">IFERROR(__xludf.DUMMYFUNCTION("""COMPUTED_VALUE"""),FALSE)</f>
        <v>0</v>
      </c>
      <c r="D22" s="2">
        <f ca="1">IFERROR(__xludf.DUMMYFUNCTION("""COMPUTED_VALUE"""),200)</f>
        <v>200</v>
      </c>
      <c r="E22" s="2" t="str">
        <f ca="1">IFERROR(__xludf.DUMMYFUNCTION("""COMPUTED_VALUE"""),"Blameless")</f>
        <v>Blameless</v>
      </c>
      <c r="F22" s="2" t="str">
        <f ca="1">IFERROR(__xludf.DUMMYFUNCTION("""COMPUTED_VALUE"""),"Mind Control University")</f>
        <v>Mind Control University</v>
      </c>
      <c r="G22" s="2" t="str">
        <f ca="1">IFERROR(__xludf.DUMMYFUNCTION("""COMPUTED_VALUE"""),"Corruption")</f>
        <v>Corruption</v>
      </c>
      <c r="H22" s="2" t="str">
        <f ca="1">IFERROR(__xludf.DUMMYFUNCTION("""COMPUTED_VALUE"""),"Let's just take a moment to state the obvious thing everybody already knows: mind-controlling someone without their consent is wrong. Horribly wrong. One of the vilest acts one can perpetrate against another. But for some reason, no one thinks that about "&amp;"you doing it. Oh, they still won't WANT you to enslave them, and they’ll actively fight against you enslaving them or others if they can, but if you DO bend their minds to your will, then even if they break free, they'll never hold it against you, they wo"&amp;"n’t be traumatized by the experience, they won’t try to come after you for it, and they'll never be mad at you or think less of you for enslaving others against their will either. (If you make serving you enjoyable enough, those who’ve broken free may eve"&amp;"n decide to submit of their own accord.) Useful if you find yourself needing to work with someone who would otherwise reject you on moral grounds.")</f>
        <v>Let's just take a moment to state the obvious thing everybody already knows: mind-controlling someone without their consent is wrong. Horribly wrong. One of the vilest acts one can perpetrate against another. But for some reason, no one thinks that about you doing it. Oh, they still won't WANT you to enslave them, and they’ll actively fight against you enslaving them or others if they can, but if you DO bend their minds to your will, then even if they break free, they'll never hold it against you, they won’t be traumatized by the experience, they won’t try to come after you for it, and they'll never be mad at you or think less of you for enslaving others against their will either. (If you make serving you enjoyable enough, those who’ve broken free may even decide to submit of their own accord.) Useful if you find yourself needing to work with someone who would otherwise reject you on moral grounds.</v>
      </c>
      <c r="I22" s="5"/>
    </row>
    <row r="23" spans="1:9" ht="104.4" x14ac:dyDescent="0.25">
      <c r="A23" s="16"/>
      <c r="B23" s="17">
        <v>19</v>
      </c>
      <c r="C23" s="2" t="b">
        <f ca="1">IFERROR(__xludf.DUMMYFUNCTION("""COMPUTED_VALUE"""),FALSE)</f>
        <v>0</v>
      </c>
      <c r="D23" s="2">
        <f ca="1">IFERROR(__xludf.DUMMYFUNCTION("""COMPUTED_VALUE"""),200)</f>
        <v>200</v>
      </c>
      <c r="E23" s="2" t="str">
        <f ca="1">IFERROR(__xludf.DUMMYFUNCTION("""COMPUTED_VALUE"""),"Broken, Yet Not")</f>
        <v>Broken, Yet Not</v>
      </c>
      <c r="F23" s="2" t="str">
        <f ca="1">IFERROR(__xludf.DUMMYFUNCTION("""COMPUTED_VALUE"""),"Generic: Hentai Occult")</f>
        <v>Generic: Hentai Occult</v>
      </c>
      <c r="G23" s="2" t="str">
        <f ca="1">IFERROR(__xludf.DUMMYFUNCTION("""COMPUTED_VALUE"""),"Corruption")</f>
        <v>Corruption</v>
      </c>
      <c r="H23" s="2" t="str">
        <f ca="1">IFERROR(__xludf.DUMMYFUNCTION("""COMPUTED_VALUE"""),"Sometimes you need to just make a few light changes, maybe reorder their priorities. But, most of the time that won't happen - your dick will get the better of you and you’ll utterly break your new toy. And all the useful skills they had in their pretty l"&amp;"ittle head will go down the drain. Thankfully, you don’t have that problem. Your toys will bounce back somewhat from what you do to them. Slavish devotion will remain, but they could at least pretend to be normal, and would be able to spend just under a w"&amp;"eek without the D without collapsing into an undersexed wreck.")</f>
        <v>Sometimes you need to just make a few light changes, maybe reorder their priorities. But, most of the time that won't happen - your dick will get the better of you and you’ll utterly break your new toy. And all the useful skills they had in their pretty little head will go down the drain. Thankfully, you don’t have that problem. Your toys will bounce back somewhat from what you do to them. Slavish devotion will remain, but they could at least pretend to be normal, and would be able to spend just under a week without the D without collapsing into an undersexed wreck.</v>
      </c>
      <c r="I23" s="5"/>
    </row>
    <row r="24" spans="1:9" ht="174" x14ac:dyDescent="0.25">
      <c r="A24" s="16"/>
      <c r="B24" s="17">
        <v>20</v>
      </c>
      <c r="C24" s="2" t="b">
        <f ca="1">IFERROR(__xludf.DUMMYFUNCTION("""COMPUTED_VALUE"""),FALSE)</f>
        <v>0</v>
      </c>
      <c r="D24" s="2">
        <f ca="1">IFERROR(__xludf.DUMMYFUNCTION("""COMPUTED_VALUE"""),200)</f>
        <v>200</v>
      </c>
      <c r="E24" s="2" t="str">
        <f ca="1">IFERROR(__xludf.DUMMYFUNCTION("""COMPUTED_VALUE"""),"Delicate Manipulations")</f>
        <v>Delicate Manipulations</v>
      </c>
      <c r="F24" s="2" t="str">
        <f ca="1">IFERROR(__xludf.DUMMYFUNCTION("""COMPUTED_VALUE"""),"Archangel of Love, Love Mary ~Malignant Conception~")</f>
        <v>Archangel of Love, Love Mary ~Malignant Conception~</v>
      </c>
      <c r="G24" s="2" t="str">
        <f ca="1">IFERROR(__xludf.DUMMYFUNCTION("""COMPUTED_VALUE"""),"Corruption")</f>
        <v>Corruption</v>
      </c>
      <c r="H24" s="2" t="str">
        <f ca="1">IFERROR(__xludf.DUMMYFUNCTION("""COMPUTED_VALUE"""),"It’s no simple thing, to corrupt an outstanding member of society into a depraved fucktoy eager to drag down the rest of humanity. It requires fine precision, delicate control, and the ability to realize when you’re pushing too far. Fortunately, you are a"&amp;" deft hand when it comes to manipulating other people, and you find it easy to twist others to your whim. Perhaps Ravana required demonic essence and mind control to drag down her pet project into depravity, but you’re even better than her; with words alo"&amp;"ne, you could despoil the heart and mind of even the purest and most determined. Oh, it would take you time — a long time, longer than Ravana’s method — but a mere resistance to mind control would never be sufficient to stop you from poisoning someone’s s"&amp;"oul wit h your words. If you were to bolster your influence through mind magic, illusions, and other such tricks, well… the world would be your oyster, wouldn’t it?")</f>
        <v>It’s no simple thing, to corrupt an outstanding member of society into a depraved fucktoy eager to drag down the rest of humanity. It requires fine precision, delicate control, and the ability to realize when you’re pushing too far. Fortunately, you are a deft hand when it comes to manipulating other people, and you find it easy to twist others to your whim. Perhaps Ravana required demonic essence and mind control to drag down her pet project into depravity, but you’re even better than her; with words alone, you could despoil the heart and mind of even the purest and most determined. Oh, it would take you time — a long time, longer than Ravana’s method — but a mere resistance to mind control would never be sufficient to stop you from poisoning someone’s soul wit h your words. If you were to bolster your influence through mind magic, illusions, and other such tricks, well… the world would be your oyster, wouldn’t it?</v>
      </c>
      <c r="I24" s="5"/>
    </row>
    <row r="25" spans="1:9" ht="139.19999999999999" x14ac:dyDescent="0.25">
      <c r="A25" s="16"/>
      <c r="B25" s="17">
        <v>21</v>
      </c>
      <c r="C25" s="2" t="b">
        <f ca="1">IFERROR(__xludf.DUMMYFUNCTION("""COMPUTED_VALUE"""),FALSE)</f>
        <v>0</v>
      </c>
      <c r="D25" s="2">
        <f ca="1">IFERROR(__xludf.DUMMYFUNCTION("""COMPUTED_VALUE"""),200)</f>
        <v>200</v>
      </c>
      <c r="E25" s="2" t="str">
        <f ca="1">IFERROR(__xludf.DUMMYFUNCTION("""COMPUTED_VALUE"""),"Essence of Evil")</f>
        <v>Essence of Evil</v>
      </c>
      <c r="F25" s="2" t="str">
        <f ca="1">IFERROR(__xludf.DUMMYFUNCTION("""COMPUTED_VALUE"""),"Breathless Wild")</f>
        <v>Breathless Wild</v>
      </c>
      <c r="G25" s="2" t="str">
        <f ca="1">IFERROR(__xludf.DUMMYFUNCTION("""COMPUTED_VALUE"""),"Corruption")</f>
        <v>Corruption</v>
      </c>
      <c r="H25" s="2" t="str">
        <f ca="1">IFERROR(__xludf.DUMMYFUNCTION("""COMPUTED_VALUE"""),"Ganon’s essence taints everything it touches, but few things are more corrupt than the bodily fluids of the monsters he creates. Your essence is infused with dark magic, transforming your blood, sweat, cum, and other fluids into powerful aphrodisiacs. You"&amp;"r scent is a potent musk which stirs arousal in men or women of interest to you, and your bodily fluids are powerfully addictive if ingested. A single dose can cripple a victim with arousal, sapping her strength and giving her cravings for more. If taken "&amp;"in large enough quantities even the most stalwart heroine could be reduced to a mewling cum slut desperate for her next hit, though you can also reduce these effects if they become inconvenient. You’re also immune to your own fluids and any similar kinds "&amp;"of drugs.")</f>
        <v>Ganon’s essence taints everything it touches, but few things are more corrupt than the bodily fluids of the monsters he creates. Your essence is infused with dark magic, transforming your blood, sweat, cum, and other fluids into powerful aphrodisiacs. Your scent is a potent musk which stirs arousal in men or women of interest to you, and your bodily fluids are powerfully addictive if ingested. A single dose can cripple a victim with arousal, sapping her strength and giving her cravings for more. If taken in large enough quantities even the most stalwart heroine could be reduced to a mewling cum slut desperate for her next hit, though you can also reduce these effects if they become inconvenient. You’re also immune to your own fluids and any similar kinds of drugs.</v>
      </c>
      <c r="I25" s="5"/>
    </row>
    <row r="26" spans="1:9" ht="121.8" x14ac:dyDescent="0.25">
      <c r="A26" s="16"/>
      <c r="B26" s="17">
        <v>22</v>
      </c>
      <c r="C26" s="2" t="b">
        <f ca="1">IFERROR(__xludf.DUMMYFUNCTION("""COMPUTED_VALUE"""),FALSE)</f>
        <v>0</v>
      </c>
      <c r="D26" s="2">
        <f ca="1">IFERROR(__xludf.DUMMYFUNCTION("""COMPUTED_VALUE"""),200)</f>
        <v>200</v>
      </c>
      <c r="E26" s="2" t="str">
        <f ca="1">IFERROR(__xludf.DUMMYFUNCTION("""COMPUTED_VALUE"""),"Faith in the Holy Slime")</f>
        <v>Faith in the Holy Slime</v>
      </c>
      <c r="F26" s="2" t="str">
        <f ca="1">IFERROR(__xludf.DUMMYFUNCTION("""COMPUTED_VALUE"""),"Slimy Sextet")</f>
        <v>Slimy Sextet</v>
      </c>
      <c r="G26" s="2" t="str">
        <f ca="1">IFERROR(__xludf.DUMMYFUNCTION("""COMPUTED_VALUE"""),"Corruption")</f>
        <v>Corruption</v>
      </c>
      <c r="H26" s="2" t="str">
        <f ca="1">IFERROR(__xludf.DUMMYFUNCTION("""COMPUTED_VALUE"""),"You have prodigious skills at conversion. You can easily see where someone’s current religion has left them wanting, can determine a person’s needs that their faith has failed to meet, and can even tell a person’s subconscious conflicts with their faith a"&amp;"fter only a few minutes of meeting them. What’s more, you know how to play up other faiths in ways that answer this person’s needs; only the most stubborn of individuals would refuse to submit. And enough sexual pleasure could break through even those bar"&amp;"riers—you could get a devout priestess to dedicate herself to you as her new god if your prowess was great enough, even if you had no actual divine powers.")</f>
        <v>You have prodigious skills at conversion. You can easily see where someone’s current religion has left them wanting, can determine a person’s needs that their faith has failed to meet, and can even tell a person’s subconscious conflicts with their faith after only a few minutes of meeting them. What’s more, you know how to play up other faiths in ways that answer this person’s needs; only the most stubborn of individuals would refuse to submit. And enough sexual pleasure could break through even those barriers—you could get a devout priestess to dedicate herself to you as her new god if your prowess was great enough, even if you had no actual divine powers.</v>
      </c>
      <c r="I26" s="5"/>
    </row>
    <row r="27" spans="1:9" ht="104.4" x14ac:dyDescent="0.25">
      <c r="A27" s="16"/>
      <c r="B27" s="17">
        <v>23</v>
      </c>
      <c r="C27" s="2" t="b">
        <f ca="1">IFERROR(__xludf.DUMMYFUNCTION("""COMPUTED_VALUE"""),FALSE)</f>
        <v>0</v>
      </c>
      <c r="D27" s="2">
        <f ca="1">IFERROR(__xludf.DUMMYFUNCTION("""COMPUTED_VALUE"""),200)</f>
        <v>200</v>
      </c>
      <c r="E27" s="2" t="str">
        <f ca="1">IFERROR(__xludf.DUMMYFUNCTION("""COMPUTED_VALUE"""),"Fetish Idol")</f>
        <v>Fetish Idol</v>
      </c>
      <c r="F27" s="2" t="str">
        <f ca="1">IFERROR(__xludf.DUMMYFUNCTION("""COMPUTED_VALUE"""),"Generic: Hentai Occult")</f>
        <v>Generic: Hentai Occult</v>
      </c>
      <c r="G27" s="2" t="str">
        <f ca="1">IFERROR(__xludf.DUMMYFUNCTION("""COMPUTED_VALUE"""),"Corruption")</f>
        <v>Corruption</v>
      </c>
      <c r="H27" s="2" t="str">
        <f ca="1">IFERROR(__xludf.DUMMYFUNCTION("""COMPUTED_VALUE"""),"A small statuette depicting a young woman in a provocative pose. Quite possibly cursed by ancient powers, damned beyond imagination... Or maybe a prank from a bored succubus. Either way, leaving it near someone - no more than fifty feet - will slowly warp"&amp;" their mind to, let’s say ‘appreciate’ whatever fetish you choose to imprint onto the statue. If applicable, it will also warp the body - Using MILFs as an example, a young girl and a teenager might be unaffected, but a elderly woman or a mother would beg"&amp;"in to become... more like a ‘prime’ example of the desired form.")</f>
        <v>A small statuette depicting a young woman in a provocative pose. Quite possibly cursed by ancient powers, damned beyond imagination... Or maybe a prank from a bored succubus. Either way, leaving it near someone - no more than fifty feet - will slowly warp their mind to, let’s say ‘appreciate’ whatever fetish you choose to imprint onto the statue. If applicable, it will also warp the body - Using MILFs as an example, a young girl and a teenager might be unaffected, but a elderly woman or a mother would begin to become... more like a ‘prime’ example of the desired form.</v>
      </c>
      <c r="I27" s="5"/>
    </row>
    <row r="28" spans="1:9" ht="174" x14ac:dyDescent="0.25">
      <c r="A28" s="16"/>
      <c r="B28" s="17">
        <v>24</v>
      </c>
      <c r="C28" s="2" t="b">
        <f ca="1">IFERROR(__xludf.DUMMYFUNCTION("""COMPUTED_VALUE"""),FALSE)</f>
        <v>0</v>
      </c>
      <c r="D28" s="2">
        <f ca="1">IFERROR(__xludf.DUMMYFUNCTION("""COMPUTED_VALUE"""),200)</f>
        <v>200</v>
      </c>
      <c r="E28" s="2" t="str">
        <f ca="1">IFERROR(__xludf.DUMMYFUNCTION("""COMPUTED_VALUE"""),"Leading by Example")</f>
        <v>Leading by Example</v>
      </c>
      <c r="F28" s="2" t="str">
        <f ca="1">IFERROR(__xludf.DUMMYFUNCTION("""COMPUTED_VALUE"""),"World of Tentacles")</f>
        <v>World of Tentacles</v>
      </c>
      <c r="G28" s="2" t="str">
        <f ca="1">IFERROR(__xludf.DUMMYFUNCTION("""COMPUTED_VALUE"""),"Corruption")</f>
        <v>Corruption</v>
      </c>
      <c r="H28" s="2" t="str">
        <f ca="1">IFERROR(__xludf.DUMMYFUNCTION("""COMPUTED_VALUE"""),"A true king leads his people by the example he sets for them, and your example will lead your followers down a path of hedonism and debauchery. Your charismatic influence allows you to spread your values and fetishes to those who are loyal to you, even su"&amp;"bverting moral codes and sexual taboos if necessary to do so. A demon king who favors bondage and slavery could gradually reshape a traditional kingdom into a slave state where his values are celebrated, even influencing the realm’s art and culture. The m"&amp;"ore influence you have over your subjects the more pervasive your influence and the more extensive your reach will become, so a king or emperor will have much greater sway over his people than an elected or temporary leader. You may also choose to limit t"&amp;"his perk’s effects and spread your influence selectively, perhaps excluding particular followers or spreading some fetishes but not others.")</f>
        <v>A true king leads his people by the example he sets for them, and your example will lead your followers down a path of hedonism and debauchery. Your charismatic influence allows you to spread your values and fetishes to those who are loyal to you, even subverting moral codes and sexual taboos if necessary to do so. A demon king who favors bondage and slavery could gradually reshape a traditional kingdom into a slave state where his values are celebrated, even influencing the realm’s art and culture. The more influence you have over your subjects the more pervasive your influence and the more extensive your reach will become, so a king or emperor will have much greater sway over his people than an elected or temporary leader. You may also choose to limit this perk’s effects and spread your influence selectively, perhaps excluding particular followers or spreading some fetishes but not others.</v>
      </c>
      <c r="I28" s="5"/>
    </row>
    <row r="29" spans="1:9" ht="104.4" x14ac:dyDescent="0.25">
      <c r="A29" s="16"/>
      <c r="B29" s="17">
        <v>25</v>
      </c>
      <c r="C29" s="2" t="b">
        <f ca="1">IFERROR(__xludf.DUMMYFUNCTION("""COMPUTED_VALUE"""),FALSE)</f>
        <v>0</v>
      </c>
      <c r="D29" s="2">
        <f ca="1">IFERROR(__xludf.DUMMYFUNCTION("""COMPUTED_VALUE"""),200)</f>
        <v>200</v>
      </c>
      <c r="E29" s="2" t="str">
        <f ca="1">IFERROR(__xludf.DUMMYFUNCTION("""COMPUTED_VALUE"""),"Man-Sized Box")</f>
        <v>Man-Sized Box</v>
      </c>
      <c r="F29" s="2" t="str">
        <f ca="1">IFERROR(__xludf.DUMMYFUNCTION("""COMPUTED_VALUE"""),"Succubi’s Supporter")</f>
        <v>Succubi’s Supporter</v>
      </c>
      <c r="G29" s="2" t="str">
        <f ca="1">IFERROR(__xludf.DUMMYFUNCTION("""COMPUTED_VALUE"""),"Corruption")</f>
        <v>Corruption</v>
      </c>
      <c r="H29" s="2" t="str">
        <f ca="1">IFERROR(__xludf.DUMMYFUNCTION("""COMPUTED_VALUE"""),"This is a large, sturdy box, filled with packing peanuts and large enough for a full-grown human to sit inside it. The packing peanuts are enchanted to keep the person shoved into the box in a form of stasis until the box is opened. Once the lid is closed"&amp;", a variety of subtle spells come into play to keep other people from being interested in what is inside the box. As a result, this would let you ship a human being via the mail to the other side of the world without resulting in any legal problems. You g"&amp;"et a new one one day after it arrives.")</f>
        <v>This is a large, sturdy box, filled with packing peanuts and large enough for a full-grown human to sit inside it. The packing peanuts are enchanted to keep the person shoved into the box in a form of stasis until the box is opened. Once the lid is closed, a variety of subtle spells come into play to keep other people from being interested in what is inside the box. As a result, this would let you ship a human being via the mail to the other side of the world without resulting in any legal problems. You get a new one one day after it arrives.</v>
      </c>
      <c r="I29" s="5"/>
    </row>
    <row r="30" spans="1:9" ht="87" x14ac:dyDescent="0.25">
      <c r="A30" s="16"/>
      <c r="B30" s="17">
        <v>26</v>
      </c>
      <c r="C30" s="2" t="b">
        <f ca="1">IFERROR(__xludf.DUMMYFUNCTION("""COMPUTED_VALUE"""),FALSE)</f>
        <v>0</v>
      </c>
      <c r="D30" s="2">
        <f ca="1">IFERROR(__xludf.DUMMYFUNCTION("""COMPUTED_VALUE"""),200)</f>
        <v>200</v>
      </c>
      <c r="E30" s="2" t="str">
        <f ca="1">IFERROR(__xludf.DUMMYFUNCTION("""COMPUTED_VALUE"""),"Raping Willow")</f>
        <v>Raping Willow</v>
      </c>
      <c r="F30" s="2" t="str">
        <f ca="1">IFERROR(__xludf.DUMMYFUNCTION("""COMPUTED_VALUE"""),"Defiler Wings")</f>
        <v>Defiler Wings</v>
      </c>
      <c r="G30" s="2" t="str">
        <f ca="1">IFERROR(__xludf.DUMMYFUNCTION("""COMPUTED_VALUE"""),"Corruption")</f>
        <v>Corruption</v>
      </c>
      <c r="H30" s="2" t="str">
        <f ca="1">IFERROR(__xludf.DUMMYFUNCTION("""COMPUTED_VALUE"""),"Alright, once more just to be safe. You know a good way to not get eaten by a dragon? Planting this tree close to your village. Similar to the Weeping Willow breed of tree, but it also gives off pheromones that cause monsters to want to rape you. And whil"&amp;"e that's honestly not a great thing, it prevents you from getting eaten, which is way better than being eaten. Things harvested from the tree will share this aspect, albeit to a lesser extent.")</f>
        <v>Alright, once more just to be safe. You know a good way to not get eaten by a dragon? Planting this tree close to your village. Similar to the Weeping Willow breed of tree, but it also gives off pheromones that cause monsters to want to rape you. And while that's honestly not a great thing, it prevents you from getting eaten, which is way better than being eaten. Things harvested from the tree will share this aspect, albeit to a lesser extent.</v>
      </c>
      <c r="I30" s="5"/>
    </row>
    <row r="31" spans="1:9" ht="191.4" x14ac:dyDescent="0.25">
      <c r="A31" s="16"/>
      <c r="B31" s="17">
        <v>27</v>
      </c>
      <c r="C31" s="2" t="b">
        <f ca="1">IFERROR(__xludf.DUMMYFUNCTION("""COMPUTED_VALUE"""),FALSE)</f>
        <v>0</v>
      </c>
      <c r="D31" s="2">
        <f ca="1">IFERROR(__xludf.DUMMYFUNCTION("""COMPUTED_VALUE"""),200)</f>
        <v>200</v>
      </c>
      <c r="E31" s="2" t="str">
        <f ca="1">IFERROR(__xludf.DUMMYFUNCTION("""COMPUTED_VALUE"""),"Sin and Temptation")</f>
        <v>Sin and Temptation</v>
      </c>
      <c r="F31" s="2" t="str">
        <f ca="1">IFERROR(__xludf.DUMMYFUNCTION("""COMPUTED_VALUE"""),"Majuu Purification Girl Utea")</f>
        <v>Majuu Purification Girl Utea</v>
      </c>
      <c r="G31" s="2" t="str">
        <f ca="1">IFERROR(__xludf.DUMMYFUNCTION("""COMPUTED_VALUE"""),"Corruption")</f>
        <v>Corruption</v>
      </c>
      <c r="H31" s="2" t="str">
        <f ca="1">IFERROR(__xludf.DUMMYFUNCTION("""COMPUTED_VALUE"""),"Having transformed into an injuu, a corrupted Utea becomes intimately familiar with lust and desires, both her own and those of other people. This makes her the ideal temptress, a seductive agent of evil who can sink her claws into her enemies without eve"&amp;"r casting a single spell. You’re a wicked witch whose power to corrupt even affects your words and body language, and even those who can resist your magic might still fall prey to your silver tongue and sinful body. Beyond this skill at seduction, your ab"&amp;"ility extends even into the supernatural: just by looking at someone, human or monster, you can tell what makes them hot or leaves them cold, their deepest and darkest desires as exposed as an open book before your eyes. You can then masterfully tailor yo"&amp;"ur seduction to your target, exploiting the tiniest crack in their resistance to lead them into temptation and sin. Should they fail to resist these mundane temptations, even the most powerful magical defenses will crumble, leaving your victims naked and "&amp;"exposed to your spellwork.")</f>
        <v>Having transformed into an injuu, a corrupted Utea becomes intimately familiar with lust and desires, both her own and those of other people. This makes her the ideal temptress, a seductive agent of evil who can sink her claws into her enemies without ever casting a single spell. You’re a wicked witch whose power to corrupt even affects your words and body language, and even those who can resist your magic might still fall prey to your silver tongue and sinful body. Beyond this skill at seduction, your ability extends even into the supernatural: just by looking at someone, human or monster, you can tell what makes them hot or leaves them cold, their deepest and darkest desires as exposed as an open book before your eyes. You can then masterfully tailor your seduction to your target, exploiting the tiniest crack in their resistance to lead them into temptation and sin. Should they fail to resist these mundane temptations, even the most powerful magical defenses will crumble, leaving your victims naked and exposed to your spellwork.</v>
      </c>
      <c r="I31" s="5"/>
    </row>
    <row r="32" spans="1:9" ht="121.8" x14ac:dyDescent="0.25">
      <c r="A32" s="16"/>
      <c r="B32" s="17">
        <v>28</v>
      </c>
      <c r="C32" s="2" t="b">
        <f ca="1">IFERROR(__xludf.DUMMYFUNCTION("""COMPUTED_VALUE"""),FALSE)</f>
        <v>0</v>
      </c>
      <c r="D32" s="2">
        <f ca="1">IFERROR(__xludf.DUMMYFUNCTION("""COMPUTED_VALUE"""),200)</f>
        <v>200</v>
      </c>
      <c r="E32" s="2" t="str">
        <f ca="1">IFERROR(__xludf.DUMMYFUNCTION("""COMPUTED_VALUE"""),"Submissive and Ruinable")</f>
        <v>Submissive and Ruinable</v>
      </c>
      <c r="F32" s="2" t="str">
        <f ca="1">IFERROR(__xludf.DUMMYFUNCTION("""COMPUTED_VALUE"""),"Victim Girls (Veronica Edition)")</f>
        <v>Victim Girls (Veronica Edition)</v>
      </c>
      <c r="G32" s="2" t="str">
        <f ca="1">IFERROR(__xludf.DUMMYFUNCTION("""COMPUTED_VALUE"""),"Corruption")</f>
        <v>Corruption</v>
      </c>
      <c r="H32" s="2" t="str">
        <f ca="1">IFERROR(__xludf.DUMMYFUNCTION("""COMPUTED_VALUE"""),"They act nice sometimes but you know what they’re all wanting from you. Men are all brutes, savage beasts salivating at the thought of tearing you to pieces. The right look, the right smug little smile from you and you can start to tease it out of anyone."&amp;" You’re able to slowly bring out a more dominant and, eventually, more violent side to anyone you spend enough time with. The more depraved you want them to be, the harder it’ll get, and they’ll need a real push to start hurting people other than you. Som"&amp;"etimes the nice guy really can be fixed, into the nasty monsters you love to have slapping you around.")</f>
        <v>They act nice sometimes but you know what they’re all wanting from you. Men are all brutes, savage beasts salivating at the thought of tearing you to pieces. The right look, the right smug little smile from you and you can start to tease it out of anyone. You’re able to slowly bring out a more dominant and, eventually, more violent side to anyone you spend enough time with. The more depraved you want them to be, the harder it’ll get, and they’ll need a real push to start hurting people other than you. Sometimes the nice guy really can be fixed, into the nasty monsters you love to have slapping you around.</v>
      </c>
      <c r="I32" s="5"/>
    </row>
    <row r="33" spans="1:9" ht="174" x14ac:dyDescent="0.25">
      <c r="A33" s="16"/>
      <c r="B33" s="17">
        <v>29</v>
      </c>
      <c r="C33" s="2" t="b">
        <f ca="1">IFERROR(__xludf.DUMMYFUNCTION("""COMPUTED_VALUE"""),FALSE)</f>
        <v>0</v>
      </c>
      <c r="D33" s="2">
        <f ca="1">IFERROR(__xludf.DUMMYFUNCTION("""COMPUTED_VALUE"""),300)</f>
        <v>300</v>
      </c>
      <c r="E33" s="2" t="str">
        <f ca="1">IFERROR(__xludf.DUMMYFUNCTION("""COMPUTED_VALUE"""),"A Bed Full of Slaves")</f>
        <v>A Bed Full of Slaves</v>
      </c>
      <c r="F33" s="2" t="str">
        <f ca="1">IFERROR(__xludf.DUMMYFUNCTION("""COMPUTED_VALUE"""),"A Change of Tactics V2.2")</f>
        <v>A Change of Tactics V2.2</v>
      </c>
      <c r="G33" s="2" t="str">
        <f ca="1">IFERROR(__xludf.DUMMYFUNCTION("""COMPUTED_VALUE"""),"Corruption")</f>
        <v>Corruption</v>
      </c>
      <c r="H33" s="2" t="str">
        <f ca="1">IFERROR(__xludf.DUMMYFUNCTION("""COMPUTED_VALUE"""),"Dragons have no equals in this world, not among monsters and certainly not among humans. Even if they were once royalty or mighty heroines, once you’ve conquered their hearts those chosen to be your mates are merely your loyal slaves or beloved concubines"&amp;". Through pleasure or discipline you’re able to awaken submissive desires in your lovers and conquer their hearts, earning their loyalty and devotion and training them into willing and eager slaves. While they must come to you willingly at first, once you"&amp;"’ve lured a new conquest into your bed, every mote of pleasure you grant her becomes another lesson in submission, not only training her to serve you but to love her chains and take joy in submission. Once forged, these bonds of love and loyalty bind thei"&amp;"r bodies and souls to yours so strongly that nobody else will ever satisfy them, and neither magic nor mind control can force them to betray you, their very souls rebelling against it.")</f>
        <v>Dragons have no equals in this world, not among monsters and certainly not among humans. Even if they were once royalty or mighty heroines, once you’ve conquered their hearts those chosen to be your mates are merely your loyal slaves or beloved concubines. Through pleasure or discipline you’re able to awaken submissive desires in your lovers and conquer their hearts, earning their loyalty and devotion and training them into willing and eager slaves. While they must come to you willingly at first, once you’ve lured a new conquest into your bed, every mote of pleasure you grant her becomes another lesson in submission, not only training her to serve you but to love her chains and take joy in submission. Once forged, these bonds of love and loyalty bind their bodies and souls to yours so strongly that nobody else will ever satisfy them, and neither magic nor mind control can force them to betray you, their very souls rebelling against it.</v>
      </c>
      <c r="I33" s="5"/>
    </row>
    <row r="34" spans="1:9" ht="104.4" x14ac:dyDescent="0.25">
      <c r="A34" s="16"/>
      <c r="B34" s="17">
        <v>30</v>
      </c>
      <c r="C34" s="2" t="b">
        <f ca="1">IFERROR(__xludf.DUMMYFUNCTION("""COMPUTED_VALUE"""),FALSE)</f>
        <v>0</v>
      </c>
      <c r="D34" s="2">
        <f ca="1">IFERROR(__xludf.DUMMYFUNCTION("""COMPUTED_VALUE"""),300)</f>
        <v>300</v>
      </c>
      <c r="E34" s="2" t="str">
        <f ca="1">IFERROR(__xludf.DUMMYFUNCTION("""COMPUTED_VALUE"""),"Backdoor Access")</f>
        <v>Backdoor Access</v>
      </c>
      <c r="F34" s="2" t="str">
        <f ca="1">IFERROR(__xludf.DUMMYFUNCTION("""COMPUTED_VALUE"""),"Generic: Hentai Magical Girl")</f>
        <v>Generic: Hentai Magical Girl</v>
      </c>
      <c r="G34" s="2" t="str">
        <f ca="1">IFERROR(__xludf.DUMMYFUNCTION("""COMPUTED_VALUE"""),"Corruption")</f>
        <v>Corruption</v>
      </c>
      <c r="H34" s="2" t="str">
        <f ca="1">IFERROR(__xludf.DUMMYFUNCTION("""COMPUTED_VALUE"""),"The fun thing about being the mysterious benefactor for an entire generation of magical girls is that you get to dictate everything about their powers. Or, in this case, how they repay you for that loaned power. Normally a Shoujo would be resistant to thi"&amp;"ngs like mind control or corruption, as a part of the packaged deal. However, the longer someone relies on power you gave them, the weaker to those efforts (originating from you, or your minions) they become. Let them keep ‘their’ powers for long enough, "&amp;"and you could completely rewrite them from the ground up in minutes.")</f>
        <v>The fun thing about being the mysterious benefactor for an entire generation of magical girls is that you get to dictate everything about their powers. Or, in this case, how they repay you for that loaned power. Normally a Shoujo would be resistant to things like mind control or corruption, as a part of the packaged deal. However, the longer someone relies on power you gave them, the weaker to those efforts (originating from you, or your minions) they become. Let them keep ‘their’ powers for long enough, and you could completely rewrite them from the ground up in minutes.</v>
      </c>
      <c r="I34" s="5"/>
    </row>
    <row r="35" spans="1:9" ht="208.8" x14ac:dyDescent="0.25">
      <c r="A35" s="16"/>
      <c r="B35" s="17">
        <v>31</v>
      </c>
      <c r="C35" s="2" t="b">
        <f ca="1">IFERROR(__xludf.DUMMYFUNCTION("""COMPUTED_VALUE"""),FALSE)</f>
        <v>0</v>
      </c>
      <c r="D35" s="2">
        <f ca="1">IFERROR(__xludf.DUMMYFUNCTION("""COMPUTED_VALUE"""),300)</f>
        <v>300</v>
      </c>
      <c r="E35" s="2" t="str">
        <f ca="1">IFERROR(__xludf.DUMMYFUNCTION("""COMPUTED_VALUE"""),"Black Widow")</f>
        <v>Black Widow</v>
      </c>
      <c r="F35" s="2" t="str">
        <f ca="1">IFERROR(__xludf.DUMMYFUNCTION("""COMPUTED_VALUE"""),"Tifa Lockhart - Agent of Avalanche")</f>
        <v>Tifa Lockhart - Agent of Avalanche</v>
      </c>
      <c r="G35" s="2" t="str">
        <f ca="1">IFERROR(__xludf.DUMMYFUNCTION("""COMPUTED_VALUE"""),"Corruption")</f>
        <v>Corruption</v>
      </c>
      <c r="H35" s="2" t="str">
        <f ca="1">IFERROR(__xludf.DUMMYFUNCTION("""COMPUTED_VALUE"""),"Shinra is full of rich and powerful men and women, and powerful men are known for their powerful needs. Who better than a high-class courtesan to see to those needs? A shame they won’t see the pistol in your purse until it’s far too late. You’re the most "&amp;"dangerous type of whore, the kind who uses intimacy to get in close and coax your partners into letting their guards down. Having sex naturally causes your partners to relax their guard around you and causes them great difficulty bringing those defenses b"&amp;"ack up in a hurry. 
Even partners who would normally be beyond human lose some of that fighting prowess and superhuman strength when they’re with you (not that they’ll ever notice), and they gradually lose more and more of it the longer you carry on a re"&amp;"lationship with them. Given a long relationship eventually you’ll even be able to bring legendary SOLDIERs down to the level of ordinary humans long enough to snap their necks.")</f>
        <v>Shinra is full of rich and powerful men and women, and powerful men are known for their powerful needs. Who better than a high-class courtesan to see to those needs? A shame they won’t see the pistol in your purse until it’s far too late. You’re the most dangerous type of whore, the kind who uses intimacy to get in close and coax your partners into letting their guards down. Having sex naturally causes your partners to relax their guard around you and causes them great difficulty bringing those defenses back up in a hurry. 
Even partners who would normally be beyond human lose some of that fighting prowess and superhuman strength when they’re with you (not that they’ll ever notice), and they gradually lose more and more of it the longer you carry on a relationship with them. Given a long relationship eventually you’ll even be able to bring legendary SOLDIERs down to the level of ordinary humans long enough to snap their necks.</v>
      </c>
      <c r="I35" s="5"/>
    </row>
    <row r="36" spans="1:9" ht="104.4" x14ac:dyDescent="0.25">
      <c r="A36" s="16"/>
      <c r="B36" s="17">
        <v>32</v>
      </c>
      <c r="C36" s="2" t="b">
        <f ca="1">IFERROR(__xludf.DUMMYFUNCTION("""COMPUTED_VALUE"""),FALSE)</f>
        <v>0</v>
      </c>
      <c r="D36" s="2">
        <f ca="1">IFERROR(__xludf.DUMMYFUNCTION("""COMPUTED_VALUE"""),300)</f>
        <v>300</v>
      </c>
      <c r="E36" s="2" t="str">
        <f ca="1">IFERROR(__xludf.DUMMYFUNCTION("""COMPUTED_VALUE"""),"Carve a Place in her Heart")</f>
        <v>Carve a Place in her Heart</v>
      </c>
      <c r="F36" s="2" t="str">
        <f ca="1">IFERROR(__xludf.DUMMYFUNCTION("""COMPUTED_VALUE"""),"Eyeing the Hot Elf in Another World")</f>
        <v>Eyeing the Hot Elf in Another World</v>
      </c>
      <c r="G36" s="2" t="str">
        <f ca="1">IFERROR(__xludf.DUMMYFUNCTION("""COMPUTED_VALUE"""),"Corruption")</f>
        <v>Corruption</v>
      </c>
      <c r="H36" s="2" t="str">
        <f ca="1">IFERROR(__xludf.DUMMYFUNCTION("""COMPUTED_VALUE"""),"You’re a lustful beast. You wouldn’t be here otherwise. Opportunities to get laid all but drop into your lap, consent optional. And somehow, that lack of consent, that you’ll do as you please and damn their opinion on the matter? That just makes things be"&amp;"tter for you. Call it blackmail, netorare, corruption, whatever you like. Once you’ve forced yourself on a woman, events will start lining up to not only prevent her from lashing out at you, but to drag her back into your grasp. You’ve staked a claim on h"&amp;"er, and no piddly boyfriend will keep her from you.")</f>
        <v>You’re a lustful beast. You wouldn’t be here otherwise. Opportunities to get laid all but drop into your lap, consent optional. And somehow, that lack of consent, that you’ll do as you please and damn their opinion on the matter? That just makes things better for you. Call it blackmail, netorare, corruption, whatever you like. Once you’ve forced yourself on a woman, events will start lining up to not only prevent her from lashing out at you, but to drag her back into your grasp. You’ve staked a claim on her, and no piddly boyfriend will keep her from you.</v>
      </c>
      <c r="I36" s="5"/>
    </row>
    <row r="37" spans="1:9" ht="52.2" x14ac:dyDescent="0.25">
      <c r="A37" s="16"/>
      <c r="B37" s="17">
        <v>33</v>
      </c>
      <c r="C37" s="2" t="b">
        <f ca="1">IFERROR(__xludf.DUMMYFUNCTION("""COMPUTED_VALUE"""),FALSE)</f>
        <v>0</v>
      </c>
      <c r="D37" s="2">
        <f ca="1">IFERROR(__xludf.DUMMYFUNCTION("""COMPUTED_VALUE"""),300)</f>
        <v>300</v>
      </c>
      <c r="E37" s="2" t="str">
        <f ca="1">IFERROR(__xludf.DUMMYFUNCTION("""COMPUTED_VALUE"""),"Dark Bindings")</f>
        <v>Dark Bindings</v>
      </c>
      <c r="F37" s="2" t="str">
        <f ca="1">IFERROR(__xludf.DUMMYFUNCTION("""COMPUTED_VALUE"""),"Generic: Hentai Tentacles")</f>
        <v>Generic: Hentai Tentacles</v>
      </c>
      <c r="G37" s="2" t="str">
        <f ca="1">IFERROR(__xludf.DUMMYFUNCTION("""COMPUTED_VALUE"""),"Corruption")</f>
        <v>Corruption</v>
      </c>
      <c r="H37" s="2" t="str">
        <f ca="1">IFERROR(__xludf.DUMMYFUNCTION("""COMPUTED_VALUE"""),"Through demonic magic and dark rituals, you bind your victims to you. They are unable to leave you, unable to go further than 50 feet from you without horrific pain and suffering.")</f>
        <v>Through demonic magic and dark rituals, you bind your victims to you. They are unable to leave you, unable to go further than 50 feet from you without horrific pain and suffering.</v>
      </c>
      <c r="I37" s="5"/>
    </row>
    <row r="38" spans="1:9" ht="208.8" x14ac:dyDescent="0.25">
      <c r="A38" s="16"/>
      <c r="B38" s="17">
        <v>34</v>
      </c>
      <c r="C38" s="2" t="b">
        <f ca="1">IFERROR(__xludf.DUMMYFUNCTION("""COMPUTED_VALUE"""),FALSE)</f>
        <v>0</v>
      </c>
      <c r="D38" s="2">
        <f ca="1">IFERROR(__xludf.DUMMYFUNCTION("""COMPUTED_VALUE"""),300)</f>
        <v>300</v>
      </c>
      <c r="E38" s="2" t="str">
        <f ca="1">IFERROR(__xludf.DUMMYFUNCTION("""COMPUTED_VALUE"""),"Domination")</f>
        <v>Domination</v>
      </c>
      <c r="F38" s="2" t="str">
        <f ca="1">IFERROR(__xludf.DUMMYFUNCTION("""COMPUTED_VALUE"""),"Corruption of Champions v1.1")</f>
        <v>Corruption of Champions v1.1</v>
      </c>
      <c r="G38" s="2" t="str">
        <f ca="1">IFERROR(__xludf.DUMMYFUNCTION("""COMPUTED_VALUE"""),"Corruption")</f>
        <v>Corruption</v>
      </c>
      <c r="H38" s="2" t="str">
        <f ca="1">IFERROR(__xludf.DUMMYFUNCTION("""COMPUTED_VALUE"""),"Whether naturally rising from your corruption or perhaps gained from a demon’s blessing, you have a kind of aura around you. Bolstering your dominance over others and making it harder for them to deny you. The more they submit to you, in battle, sexually,"&amp;" or simply to demands you make, the more eager your future pets become to do so on later occasions. It’ll start with easily ignored desires of submission, but will quickly grow stronger over subsequent meetings until they start dreaming of simply surrende"&amp;"ring themselves to you.
Their own thoughts will grow treacherous, justifying their submission to themselves and reasoning that an occasional indulgence wouldn’t hurt. Eventually they’ll consciously or subconsciously throw any fights they would normally "&amp;"put up, unable to fight their hardest due to the deep-rooted desire to submit to you. By that point, they are liable to beg and plead for you to keep them around, abandoning their own goals in favor of your domination.")</f>
        <v>Whether naturally rising from your corruption or perhaps gained from a demon’s blessing, you have a kind of aura around you. Bolstering your dominance over others and making it harder for them to deny you. The more they submit to you, in battle, sexually, or simply to demands you make, the more eager your future pets become to do so on later occasions. It’ll start with easily ignored desires of submission, but will quickly grow stronger over subsequent meetings until they start dreaming of simply surrendering themselves to you.
Their own thoughts will grow treacherous, justifying their submission to themselves and reasoning that an occasional indulgence wouldn’t hurt. Eventually they’ll consciously or subconsciously throw any fights they would normally put up, unable to fight their hardest due to the deep-rooted desire to submit to you. By that point, they are liable to beg and plead for you to keep them around, abandoning their own goals in favor of your domination.</v>
      </c>
      <c r="I38" s="5"/>
    </row>
    <row r="39" spans="1:9" ht="104.4" x14ac:dyDescent="0.25">
      <c r="A39" s="16"/>
      <c r="B39" s="17">
        <v>35</v>
      </c>
      <c r="C39" s="2" t="b">
        <f ca="1">IFERROR(__xludf.DUMMYFUNCTION("""COMPUTED_VALUE"""),FALSE)</f>
        <v>0</v>
      </c>
      <c r="D39" s="2">
        <f ca="1">IFERROR(__xludf.DUMMYFUNCTION("""COMPUTED_VALUE"""),300)</f>
        <v>300</v>
      </c>
      <c r="E39" s="2" t="str">
        <f ca="1">IFERROR(__xludf.DUMMYFUNCTION("""COMPUTED_VALUE"""),"Foul Breath")</f>
        <v>Foul Breath</v>
      </c>
      <c r="F39" s="2" t="str">
        <f ca="1">IFERROR(__xludf.DUMMYFUNCTION("""COMPUTED_VALUE"""),"The Lamuros Of Seven Colors")</f>
        <v>The Lamuros Of Seven Colors</v>
      </c>
      <c r="G39" s="2" t="str">
        <f ca="1">IFERROR(__xludf.DUMMYFUNCTION("""COMPUTED_VALUE"""),"Corruption")</f>
        <v>Corruption</v>
      </c>
      <c r="H39" s="2" t="str">
        <f ca="1">IFERROR(__xludf.DUMMYFUNCTION("""COMPUTED_VALUE"""),"A demon’s breath is a toxic thing, though not in the traditional sense. It does not corrode wood or metal or stone, but the hearts and mind of any who have the misfortune to breath that tainted air. With just a drop of magical energy, your every breath wi"&amp;"ll unleash a powerful aphrodisiac into the world around you. So much so that a woman running away from you might just come crawling back moments later, begging for your touch. Of course, you are still weak. Against stronger opponents, something more would"&amp;" be required.")</f>
        <v>A demon’s breath is a toxic thing, though not in the traditional sense. It does not corrode wood or metal or stone, but the hearts and mind of any who have the misfortune to breath that tainted air. With just a drop of magical energy, your every breath will unleash a powerful aphrodisiac into the world around you. So much so that a woman running away from you might just come crawling back moments later, begging for your touch. Of course, you are still weak. Against stronger opponents, something more would be required.</v>
      </c>
      <c r="I39" s="5"/>
    </row>
    <row r="40" spans="1:9" ht="174" x14ac:dyDescent="0.25">
      <c r="A40" s="16"/>
      <c r="B40" s="17">
        <v>36</v>
      </c>
      <c r="C40" s="2" t="b">
        <f ca="1">IFERROR(__xludf.DUMMYFUNCTION("""COMPUTED_VALUE"""),FALSE)</f>
        <v>0</v>
      </c>
      <c r="D40" s="2">
        <f ca="1">IFERROR(__xludf.DUMMYFUNCTION("""COMPUTED_VALUE"""),300)</f>
        <v>300</v>
      </c>
      <c r="E40" s="2" t="str">
        <f ca="1">IFERROR(__xludf.DUMMYFUNCTION("""COMPUTED_VALUE"""),"Internalised Sexism")</f>
        <v>Internalised Sexism</v>
      </c>
      <c r="F40" s="2" t="str">
        <f ca="1">IFERROR(__xludf.DUMMYFUNCTION("""COMPUTED_VALUE"""),"Victim Girls (Veronica Edition)")</f>
        <v>Victim Girls (Veronica Edition)</v>
      </c>
      <c r="G40" s="2" t="str">
        <f ca="1">IFERROR(__xludf.DUMMYFUNCTION("""COMPUTED_VALUE"""),"Corruption")</f>
        <v>Corruption</v>
      </c>
      <c r="H40" s="2" t="str">
        <f ca="1">IFERROR(__xludf.DUMMYFUNCTION("""COMPUTED_VALUE"""),"Even as your current victim struggles and squirms on you, onlookers won’t be able to help themselves thinking positively of you. “There’s a real man.” “What a lucky girl.” “So cool...” Your current victim might hate it but those around you find indecent t"&amp;"houghts creeping in. Your aggressive actions become attractive and cute. Slapping your partner around slowly takes on romantic connotations. Even a violent rape starts to become idolised over time. People exposed to you acting lewdly for long enough, even"&amp;" if the acts are minor still, will make up excuses for you as you act out more. It takes a lot longer to work on those close to your victims but eventually, even friends and family would rather finger themselves to the thought of you than step in to help "&amp;"their sister or lover. It becomes easier over time to get away with things and makes new targets all the more vulnerable.")</f>
        <v>Even as your current victim struggles and squirms on you, onlookers won’t be able to help themselves thinking positively of you. “There’s a real man.” “What a lucky girl.” “So cool...” Your current victim might hate it but those around you find indecent thoughts creeping in. Your aggressive actions become attractive and cute. Slapping your partner around slowly takes on romantic connotations. Even a violent rape starts to become idolised over time. People exposed to you acting lewdly for long enough, even if the acts are minor still, will make up excuses for you as you act out more. It takes a lot longer to work on those close to your victims but eventually, even friends and family would rather finger themselves to the thought of you than step in to help their sister or lover. It becomes easier over time to get away with things and makes new targets all the more vulnerable.</v>
      </c>
      <c r="I40" s="5"/>
    </row>
    <row r="41" spans="1:9" ht="121.8" x14ac:dyDescent="0.25">
      <c r="A41" s="16"/>
      <c r="B41" s="17">
        <v>37</v>
      </c>
      <c r="C41" s="2" t="b">
        <f ca="1">IFERROR(__xludf.DUMMYFUNCTION("""COMPUTED_VALUE"""),FALSE)</f>
        <v>0</v>
      </c>
      <c r="D41" s="2">
        <f ca="1">IFERROR(__xludf.DUMMYFUNCTION("""COMPUTED_VALUE"""),300)</f>
        <v>300</v>
      </c>
      <c r="E41" s="2" t="str">
        <f ca="1">IFERROR(__xludf.DUMMYFUNCTION("""COMPUTED_VALUE"""),"Making a Lasting Impression")</f>
        <v>Making a Lasting Impression</v>
      </c>
      <c r="F41" s="2" t="str">
        <f ca="1">IFERROR(__xludf.DUMMYFUNCTION("""COMPUTED_VALUE"""),"Chichikko Bitch / Witch Bitch Collection")</f>
        <v>Chichikko Bitch / Witch Bitch Collection</v>
      </c>
      <c r="G41" s="2" t="str">
        <f ca="1">IFERROR(__xludf.DUMMYFUNCTION("""COMPUTED_VALUE"""),"Corruption")</f>
        <v>Corruption</v>
      </c>
      <c r="H41" s="2" t="str">
        <f ca="1">IFERROR(__xludf.DUMMYFUNCTION("""COMPUTED_VALUE"""),"I mentioned before that your words were convincing. Well, now they’re a little bit more than that. See, you are now physically capable of literally beating a new fetish into some. With your meat stick. Not actual trauma. Anyways, through the oh so simple "&amp;"act of having sex with someone, you can ‘convince’ them that their favorite fetish is whatever kind of sex you just had. Go out of your way to creampie her a few (dozen) times, and the next session that’ll be how she asks you to end it. Or maybe she just "&amp;"can’t get into the mood anymore without you raping her throat? Well, it’s up to you - quite literally.")</f>
        <v>I mentioned before that your words were convincing. Well, now they’re a little bit more than that. See, you are now physically capable of literally beating a new fetish into some. With your meat stick. Not actual trauma. Anyways, through the oh so simple act of having sex with someone, you can ‘convince’ them that their favorite fetish is whatever kind of sex you just had. Go out of your way to creampie her a few (dozen) times, and the next session that’ll be how she asks you to end it. Or maybe she just can’t get into the mood anymore without you raping her throat? Well, it’s up to you - quite literally.</v>
      </c>
      <c r="I41" s="5"/>
    </row>
    <row r="42" spans="1:9" ht="139.19999999999999" x14ac:dyDescent="0.25">
      <c r="A42" s="16"/>
      <c r="B42" s="17">
        <v>38</v>
      </c>
      <c r="C42" s="2" t="b">
        <f ca="1">IFERROR(__xludf.DUMMYFUNCTION("""COMPUTED_VALUE"""),FALSE)</f>
        <v>0</v>
      </c>
      <c r="D42" s="2">
        <f ca="1">IFERROR(__xludf.DUMMYFUNCTION("""COMPUTED_VALUE"""),300)</f>
        <v>300</v>
      </c>
      <c r="E42" s="2" t="str">
        <f ca="1">IFERROR(__xludf.DUMMYFUNCTION("""COMPUTED_VALUE"""),"Patient Predator")</f>
        <v>Patient Predator</v>
      </c>
      <c r="F42" s="2" t="str">
        <f ca="1">IFERROR(__xludf.DUMMYFUNCTION("""COMPUTED_VALUE"""),"Sailor Uranus")</f>
        <v>Sailor Uranus</v>
      </c>
      <c r="G42" s="2" t="str">
        <f ca="1">IFERROR(__xludf.DUMMYFUNCTION("""COMPUTED_VALUE"""),"Corruption")</f>
        <v>Corruption</v>
      </c>
      <c r="H42" s="2" t="str">
        <f ca="1">IFERROR(__xludf.DUMMYFUNCTION("""COMPUTED_VALUE"""),"The fear at the heart of any form of corruption is its insidious nature. It is not an obstacle surmountable with fire, steel, or lead. Fitness and martial prowess are useless wards against it. It is a clever force that drives one to want and love what the"&amp;"y once hated, often in such a manner that it seemed their own idea. This is more frequently the case for you. Defilement that you lay upon someone, spiritual, magical, or otherwise, is more difficult to detect. If they do not specifically scan for corrupt"&amp;"ion, they will likely never notice it. If they do, it is so faint that it might be missed regardless. Such forces are no more potent in your hands, but they are better suited to subtly warp and alter as befits their nature.")</f>
        <v>The fear at the heart of any form of corruption is its insidious nature. It is not an obstacle surmountable with fire, steel, or lead. Fitness and martial prowess are useless wards against it. It is a clever force that drives one to want and love what they once hated, often in such a manner that it seemed their own idea. This is more frequently the case for you. Defilement that you lay upon someone, spiritual, magical, or otherwise, is more difficult to detect. If they do not specifically scan for corruption, they will likely never notice it. If they do, it is so faint that it might be missed regardless. Such forces are no more potent in your hands, but they are better suited to subtly warp and alter as befits their nature.</v>
      </c>
      <c r="I42" s="5"/>
    </row>
    <row r="43" spans="1:9" ht="69.599999999999994" x14ac:dyDescent="0.25">
      <c r="A43" s="16"/>
      <c r="B43" s="17">
        <v>39</v>
      </c>
      <c r="C43" s="2" t="b">
        <f ca="1">IFERROR(__xludf.DUMMYFUNCTION("""COMPUTED_VALUE"""),FALSE)</f>
        <v>0</v>
      </c>
      <c r="D43" s="2">
        <f ca="1">IFERROR(__xludf.DUMMYFUNCTION("""COMPUTED_VALUE"""),300)</f>
        <v>300</v>
      </c>
      <c r="E43" s="2" t="str">
        <f ca="1">IFERROR(__xludf.DUMMYFUNCTION("""COMPUTED_VALUE"""),"Pleasure Equals Consent")</f>
        <v>Pleasure Equals Consent</v>
      </c>
      <c r="F43" s="2" t="str">
        <f ca="1">IFERROR(__xludf.DUMMYFUNCTION("""COMPUTED_VALUE"""),"Generic: Hentai Tentacles")</f>
        <v>Generic: Hentai Tentacles</v>
      </c>
      <c r="G43" s="2" t="str">
        <f ca="1">IFERROR(__xludf.DUMMYFUNCTION("""COMPUTED_VALUE"""),"Corruption")</f>
        <v>Corruption</v>
      </c>
      <c r="H43" s="2" t="str">
        <f ca="1">IFERROR(__xludf.DUMMYFUNCTION("""COMPUTED_VALUE"""),"Ever notice how the victim of tentacle rape doesn’t go out and tell people what happened? Well, that’s because the more pleasure they feel, the more confused they get by it. Perhaps it wasn’t rape. Perhaps it was simply sex they didn’t know they wanted. I"&amp;"f you make them orgasm hard enough, they might even come back for more.")</f>
        <v>Ever notice how the victim of tentacle rape doesn’t go out and tell people what happened? Well, that’s because the more pleasure they feel, the more confused they get by it. Perhaps it wasn’t rape. Perhaps it was simply sex they didn’t know they wanted. If you make them orgasm hard enough, they might even come back for more.</v>
      </c>
      <c r="I43" s="5"/>
    </row>
    <row r="44" spans="1:9" ht="191.4" x14ac:dyDescent="0.25">
      <c r="A44" s="16"/>
      <c r="B44" s="17">
        <v>40</v>
      </c>
      <c r="C44" s="2" t="b">
        <f ca="1">IFERROR(__xludf.DUMMYFUNCTION("""COMPUTED_VALUE"""),FALSE)</f>
        <v>0</v>
      </c>
      <c r="D44" s="2">
        <f ca="1">IFERROR(__xludf.DUMMYFUNCTION("""COMPUTED_VALUE"""),300)</f>
        <v>300</v>
      </c>
      <c r="E44" s="2" t="str">
        <f ca="1">IFERROR(__xludf.DUMMYFUNCTION("""COMPUTED_VALUE"""),"Rape, Pillage, and Plunder")</f>
        <v>Rape, Pillage, and Plunder</v>
      </c>
      <c r="F44" s="2" t="str">
        <f ca="1">IFERROR(__xludf.DUMMYFUNCTION("""COMPUTED_VALUE"""),"Breathless Wild")</f>
        <v>Breathless Wild</v>
      </c>
      <c r="G44" s="2" t="str">
        <f ca="1">IFERROR(__xludf.DUMMYFUNCTION("""COMPUTED_VALUE"""),"Corruption")</f>
        <v>Corruption</v>
      </c>
      <c r="H44" s="2" t="str">
        <f ca="1">IFERROR(__xludf.DUMMYFUNCTION("""COMPUTED_VALUE"""),"Ganon’s minions were designed to dominate and enslave all who oppose them and it’d be terribly strange if they were no good at it. You’re a master of conquest and domination, and even seasoned heroines risk becoming your slaves if they fall into your clut"&amp;"ches. Your mastery of sexual conquest allows you to break minds with pleasure and force your captives to orgasm after orgasm using only brute force rather than the skills of a more considerate lover, though having such skills will make your efforts that m"&amp;"uch more potent. These pleasures strip your slaves of their strength and resolve until all they can do is shake their hips and beg for more, all thought of escape or resistance completely forgotten. The more a person submits to you, whether beaten in batt"&amp;"le, ravished into submission, or merely following your orders, the more you conquer their hearts and dominate their souls, gradually stripping away their desire (and ability) to resist you at all. Dominate someone hard enough and they’ll practically colla"&amp;"r themselves for you.")</f>
        <v>Ganon’s minions were designed to dominate and enslave all who oppose them and it’d be terribly strange if they were no good at it. You’re a master of conquest and domination, and even seasoned heroines risk becoming your slaves if they fall into your clutches. Your mastery of sexual conquest allows you to break minds with pleasure and force your captives to orgasm after orgasm using only brute force rather than the skills of a more considerate lover, though having such skills will make your efforts that much more potent. These pleasures strip your slaves of their strength and resolve until all they can do is shake their hips and beg for more, all thought of escape or resistance completely forgotten. The more a person submits to you, whether beaten in battle, ravished into submission, or merely following your orders, the more you conquer their hearts and dominate their souls, gradually stripping away their desire (and ability) to resist you at all. Dominate someone hard enough and they’ll practically collar themselves for you.</v>
      </c>
      <c r="I44" s="5"/>
    </row>
    <row r="45" spans="1:9" ht="174" x14ac:dyDescent="0.25">
      <c r="A45" s="16"/>
      <c r="B45" s="17">
        <v>41</v>
      </c>
      <c r="C45" s="2" t="b">
        <f ca="1">IFERROR(__xludf.DUMMYFUNCTION("""COMPUTED_VALUE"""),FALSE)</f>
        <v>0</v>
      </c>
      <c r="D45" s="2">
        <f ca="1">IFERROR(__xludf.DUMMYFUNCTION("""COMPUTED_VALUE"""),300)</f>
        <v>300</v>
      </c>
      <c r="E45" s="2" t="str">
        <f ca="1">IFERROR(__xludf.DUMMYFUNCTION("""COMPUTED_VALUE"""),"Snap Crackle Pop")</f>
        <v>Snap Crackle Pop</v>
      </c>
      <c r="F45" s="2" t="str">
        <f ca="1">IFERROR(__xludf.DUMMYFUNCTION("""COMPUTED_VALUE"""),"Hypno App Fantasia")</f>
        <v>Hypno App Fantasia</v>
      </c>
      <c r="G45" s="2" t="str">
        <f ca="1">IFERROR(__xludf.DUMMYFUNCTION("""COMPUTED_VALUE"""),"Corruption")</f>
        <v>Corruption</v>
      </c>
      <c r="H45" s="2" t="str">
        <f ca="1">IFERROR(__xludf.DUMMYFUNCTION("""COMPUTED_VALUE"""),"Now look at that, you’ve broken her completely! What are you supposed to do with a smashed up toy like that? It’s gotta be pretty boring even for a really extreme pervert. Not that I doubt you’re that. But since it’s so much more fun to have a reacting pa"&amp;"rtner, you’re always able to bring them back to that state. It’s pointless to try with this if it didn’t happen while you were fucking like rabbits but otherwise you’re able to repair and put back together any sort of harm, broken bodies, shattered minds "&amp;"or outright death of the mind and body. It’s relatively easy to do, so you can get back to your fun in a few days at most, but it’ll never apply outside these situations. Even madness or death won’t be an escape for your favourite pets, if you can be both"&amp;"ered to put in the effort for them. If not...well, you can share this effect with one other person who can use it on anyone you break in these sexual situations too. What’s the use of slaves that make you work, eh?")</f>
        <v>Now look at that, you’ve broken her completely! What are you supposed to do with a smashed up toy like that? It’s gotta be pretty boring even for a really extreme pervert. Not that I doubt you’re that. But since it’s so much more fun to have a reacting partner, you’re always able to bring them back to that state. It’s pointless to try with this if it didn’t happen while you were fucking like rabbits but otherwise you’re able to repair and put back together any sort of harm, broken bodies, shattered minds or outright death of the mind and body. It’s relatively easy to do, so you can get back to your fun in a few days at most, but it’ll never apply outside these situations. Even madness or death won’t be an escape for your favourite pets, if you can be bothered to put in the effort for them. If not...well, you can share this effect with one other person who can use it on anyone you break in these sexual situations too. What’s the use of slaves that make you work, eh?</v>
      </c>
      <c r="I45" s="5"/>
    </row>
    <row r="46" spans="1:9" ht="191.4" x14ac:dyDescent="0.25">
      <c r="A46" s="16"/>
      <c r="B46" s="17">
        <v>42</v>
      </c>
      <c r="C46" s="2" t="b">
        <f ca="1">IFERROR(__xludf.DUMMYFUNCTION("""COMPUTED_VALUE"""),FALSE)</f>
        <v>0</v>
      </c>
      <c r="D46" s="2">
        <f ca="1">IFERROR(__xludf.DUMMYFUNCTION("""COMPUTED_VALUE"""),300)</f>
        <v>300</v>
      </c>
      <c r="E46" s="2" t="str">
        <f ca="1">IFERROR(__xludf.DUMMYFUNCTION("""COMPUTED_VALUE"""),"Training Harness")</f>
        <v>Training Harness</v>
      </c>
      <c r="F46" s="2" t="str">
        <f ca="1">IFERROR(__xludf.DUMMYFUNCTION("""COMPUTED_VALUE"""),"Generic: BDSM")</f>
        <v>Generic: BDSM</v>
      </c>
      <c r="G46" s="2" t="str">
        <f ca="1">IFERROR(__xludf.DUMMYFUNCTION("""COMPUTED_VALUE"""),"Corruption")</f>
        <v>Corruption</v>
      </c>
      <c r="H46" s="2" t="str">
        <f ca="1">IFERROR(__xludf.DUMMYFUNCTION("""COMPUTED_VALUE"""),"The perfect outfit for an unruly slave, the training harness is a full set of revealing leather straps with a modular design allowing for extra components such as a posture collar or ball gag harness or chastity belt to be locked in to it or removed depen"&amp;"ding on the master’s preference. The entire harness is sufficiently minimalist that it can be worn underneath most outfits that cover the torso.
To a willing slave this outfit is about as comfortable as it can be. It never chafes and any attached toys o"&amp;"r accessories never cause more pain or discomfort than they’re intended to, and it serves to constantly remind the slave of their submissive status, making them more effective at carrying out orders in your name. To an unwilling slave... well, it’s still "&amp;"quite comfortable whether they like it or not, although they probably won’t appreciate being constantly reminded of their slave status at all hours of the day, at least not until said reminders finish wearing down the slave’s rebelliousness.")</f>
        <v>The perfect outfit for an unruly slave, the training harness is a full set of revealing leather straps with a modular design allowing for extra components such as a posture collar or ball gag harness or chastity belt to be locked in to it or removed depending on the master’s preference. The entire harness is sufficiently minimalist that it can be worn underneath most outfits that cover the torso.
To a willing slave this outfit is about as comfortable as it can be. It never chafes and any attached toys or accessories never cause more pain or discomfort than they’re intended to, and it serves to constantly remind the slave of their submissive status, making them more effective at carrying out orders in your name. To an unwilling slave... well, it’s still quite comfortable whether they like it or not, although they probably won’t appreciate being constantly reminded of their slave status at all hours of the day, at least not until said reminders finish wearing down the slave’s rebelliousness.</v>
      </c>
      <c r="I46" s="5"/>
    </row>
    <row r="47" spans="1:9" ht="104.4" x14ac:dyDescent="0.25">
      <c r="A47" s="16"/>
      <c r="B47" s="17">
        <v>43</v>
      </c>
      <c r="C47" s="2" t="b">
        <f ca="1">IFERROR(__xludf.DUMMYFUNCTION("""COMPUTED_VALUE"""),FALSE)</f>
        <v>0</v>
      </c>
      <c r="D47" s="2">
        <f ca="1">IFERROR(__xludf.DUMMYFUNCTION("""COMPUTED_VALUE"""),300)</f>
        <v>300</v>
      </c>
      <c r="E47" s="2" t="str">
        <f ca="1">IFERROR(__xludf.DUMMYFUNCTION("""COMPUTED_VALUE"""),"Your New God")</f>
        <v>Your New God</v>
      </c>
      <c r="F47" s="2" t="str">
        <f ca="1">IFERROR(__xludf.DUMMYFUNCTION("""COMPUTED_VALUE"""),"Fate / Blacked")</f>
        <v>Fate / Blacked</v>
      </c>
      <c r="G47" s="2" t="str">
        <f ca="1">IFERROR(__xludf.DUMMYFUNCTION("""COMPUTED_VALUE"""),"Corruption")</f>
        <v>Corruption</v>
      </c>
      <c r="H47" s="2" t="str">
        <f ca="1">IFERROR(__xludf.DUMMYFUNCTION("""COMPUTED_VALUE"""),"Faith is a powerful thing. It can keep people going in the darkest of days, or provide unimaginable strength when against superior foes. What it can’t do is save a bitch from breaking on your cock. You’re exceptionally skilled at breaking women and replac"&amp;"ing their priorities in life with something more appropriate, being a good cumdump. This goes double for holy women such as nuns, monks, and priestesses, and may even cause them to start the church of cock if you put enough effort into breaking them.")</f>
        <v>Faith is a powerful thing. It can keep people going in the darkest of days, or provide unimaginable strength when against superior foes. What it can’t do is save a bitch from breaking on your cock. You’re exceptionally skilled at breaking women and replacing their priorities in life with something more appropriate, being a good cumdump. This goes double for holy women such as nuns, monks, and priestesses, and may even cause them to start the church of cock if you put enough effort into breaking them.</v>
      </c>
      <c r="I47" s="5"/>
    </row>
    <row r="48" spans="1:9" ht="278.39999999999998" x14ac:dyDescent="0.25">
      <c r="A48" s="16"/>
      <c r="B48" s="17">
        <v>44</v>
      </c>
      <c r="C48" s="2" t="b">
        <f ca="1">IFERROR(__xludf.DUMMYFUNCTION("""COMPUTED_VALUE"""),FALSE)</f>
        <v>0</v>
      </c>
      <c r="D48" s="2">
        <f ca="1">IFERROR(__xludf.DUMMYFUNCTION("""COMPUTED_VALUE"""),300)</f>
        <v>300</v>
      </c>
      <c r="E48" s="2" t="str">
        <f ca="1">IFERROR(__xludf.DUMMYFUNCTION("""COMPUTED_VALUE"""),"Your Resistance Makes My Penis Harder!")</f>
        <v>Your Resistance Makes My Penis Harder!</v>
      </c>
      <c r="F48" s="2" t="str">
        <f ca="1">IFERROR(__xludf.DUMMYFUNCTION("""COMPUTED_VALUE"""),"Generic: Hentai World")</f>
        <v>Generic: Hentai World</v>
      </c>
      <c r="G48" s="2" t="str">
        <f ca="1">IFERROR(__xludf.DUMMYFUNCTION("""COMPUTED_VALUE"""),"Corruption")</f>
        <v>Corruption</v>
      </c>
      <c r="H48" s="2" t="str">
        <f ca="1">IFERROR(__xludf.DUMMYFUNCTION("""COMPUTED_VALUE"""),"You’re a violent, forceful bastard and you get off on it... and so will they, whether they want to or not. Your already formidable sexual prowess and endurance is boosted even further by your darker emotions. Whether it be from fighting them in a fair due"&amp;"l to the death or from abusing a helpless victim, that little whiff of violence or that taste of their fear somehow makes everything just that much better. And when you finally get past the “foreplay” and it comes time for the main event all that delightf"&amp;"ul build-up of tension will be channeled back into your victim several times over, blowing their mind and forcing them to heights of pleasure no matter how disgusted they might be with themselves for being unable to hold out. They might not like you any b"&amp;"etter after the moment passes, but they’ll be forced to admit that yet again you have conquered their resistance. It doesn’t necessarily take physical violence to ‘prime the pump’; any form of cruelty or coercion works equally as well, be it physical, men"&amp;"tal, or other.
The one limitation of this perk is that it's only fun if they genuinely don’t want it (having a love/hate relationship with the experience is fine, but if they’re actually looking forward to it then it's not really “resistance”); consensu"&amp;"al sex isn’t any less satisfying for you but neither does it get any special ‘charge’.")</f>
        <v>You’re a violent, forceful bastard and you get off on it... and so will they, whether they want to or not. Your already formidable sexual prowess and endurance is boosted even further by your darker emotions. Whether it be from fighting them in a fair duel to the death or from abusing a helpless victim, that little whiff of violence or that taste of their fear somehow makes everything just that much better. And when you finally get past the “foreplay” and it comes time for the main event all that delightful build-up of tension will be channeled back into your victim several times over, blowing their mind and forcing them to heights of pleasure no matter how disgusted they might be with themselves for being unable to hold out. They might not like you any better after the moment passes, but they’ll be forced to admit that yet again you have conquered their resistance. It doesn’t necessarily take physical violence to ‘prime the pump’; any form of cruelty or coercion works equally as well, be it physical, mental, or other.
The one limitation of this perk is that it's only fun if they genuinely don’t want it (having a love/hate relationship with the experience is fine, but if they’re actually looking forward to it then it's not really “resistance”); consensual sex isn’t any less satisfying for you but neither does it get any special ‘charge’.</v>
      </c>
      <c r="I48" s="5"/>
    </row>
    <row r="49" spans="1:9" ht="104.4" x14ac:dyDescent="0.25">
      <c r="A49" s="16"/>
      <c r="B49" s="17">
        <v>45</v>
      </c>
      <c r="C49" s="2" t="b">
        <f ca="1">IFERROR(__xludf.DUMMYFUNCTION("""COMPUTED_VALUE"""),FALSE)</f>
        <v>0</v>
      </c>
      <c r="D49" s="2">
        <f ca="1">IFERROR(__xludf.DUMMYFUNCTION("""COMPUTED_VALUE"""),400)</f>
        <v>400</v>
      </c>
      <c r="E49" s="2" t="str">
        <f ca="1">IFERROR(__xludf.DUMMYFUNCTION("""COMPUTED_VALUE"""),"Affection Born from Humiliation")</f>
        <v>Affection Born from Humiliation</v>
      </c>
      <c r="F49" s="2" t="str">
        <f ca="1">IFERROR(__xludf.DUMMYFUNCTION("""COMPUTED_VALUE"""),"Shunned by the Village")</f>
        <v>Shunned by the Village</v>
      </c>
      <c r="G49" s="2" t="str">
        <f ca="1">IFERROR(__xludf.DUMMYFUNCTION("""COMPUTED_VALUE"""),"Corruption")</f>
        <v>Corruption</v>
      </c>
      <c r="H49" s="2" t="str">
        <f ca="1">IFERROR(__xludf.DUMMYFUNCTION("""COMPUTED_VALUE"""),"When you’re involved, shame has a way of opening up people’s hearts. The more you embarrass someone, the more that person will want to be humiliated by you. And the more degradation they experience, the more your positive actions towards them start to sta"&amp;"nd out. Every little pat on the head and word of praise from you becomes mightily amplified in effectiveness, to the point that you could make people start to fall in love with you over a few moments of tenderness following them being publicly humiliated "&amp;"by you, if the humiliation was extreme enough.")</f>
        <v>When you’re involved, shame has a way of opening up people’s hearts. The more you embarrass someone, the more that person will want to be humiliated by you. And the more degradation they experience, the more your positive actions towards them start to stand out. Every little pat on the head and word of praise from you becomes mightily amplified in effectiveness, to the point that you could make people start to fall in love with you over a few moments of tenderness following them being publicly humiliated by you, if the humiliation was extreme enough.</v>
      </c>
      <c r="I49" s="5"/>
    </row>
    <row r="50" spans="1:9" ht="208.8" x14ac:dyDescent="0.25">
      <c r="A50" s="16"/>
      <c r="B50" s="17">
        <v>46</v>
      </c>
      <c r="C50" s="2" t="b">
        <f ca="1">IFERROR(__xludf.DUMMYFUNCTION("""COMPUTED_VALUE"""),FALSE)</f>
        <v>0</v>
      </c>
      <c r="D50" s="2">
        <f ca="1">IFERROR(__xludf.DUMMYFUNCTION("""COMPUTED_VALUE"""),400)</f>
        <v>400</v>
      </c>
      <c r="E50" s="2" t="str">
        <f ca="1">IFERROR(__xludf.DUMMYFUNCTION("""COMPUTED_VALUE"""),"Bad Ender")</f>
        <v>Bad Ender</v>
      </c>
      <c r="F50" s="2" t="str">
        <f ca="1">IFERROR(__xludf.DUMMYFUNCTION("""COMPUTED_VALUE"""),"Corruption of Champions v1.1")</f>
        <v>Corruption of Champions v1.1</v>
      </c>
      <c r="G50" s="2" t="str">
        <f ca="1">IFERROR(__xludf.DUMMYFUNCTION("""COMPUTED_VALUE"""),"Corruption")</f>
        <v>Corruption</v>
      </c>
      <c r="H50" s="2" t="str">
        <f ca="1">IFERROR(__xludf.DUMMYFUNCTION("""COMPUTED_VALUE"""),"Almost anyone can break a slut’s mind, just chain them up and let the imps at ‘em. It takes a lot more skill to keep your pets just functional enough, even as you replace everything they were with loyalty to yourself. Using pleasure and denial to correct "&amp;"their behavior, to mold and shape their psyche. All to remove such silly thoughts like ‘resistance’ or ‘independence’ and instead train them in new skills, like pleasing you or making your next captive scream. Luckily, you’re one of the best. By the time "&amp;"you’re done with your future pet’s training, they will be lucky too if they can remember their original name. That would mean you didn’t decide to rename them while you were turning them into a better toy. Keeping their mind a hair away from breaking thro"&amp;"ugh your training, you can carefully preserve everything you liked about them through the process. Whether it be their combat skill or even most of their mind, so they can understand how far they’ve fallen, while also training them to feel more pleasure t"&amp;"han they’ve ever known before from simply obeying their master’s commands.")</f>
        <v>Almost anyone can break a slut’s mind, just chain them up and let the imps at ‘em. It takes a lot more skill to keep your pets just functional enough, even as you replace everything they were with loyalty to yourself. Using pleasure and denial to correct their behavior, to mold and shape their psyche. All to remove such silly thoughts like ‘resistance’ or ‘independence’ and instead train them in new skills, like pleasing you or making your next captive scream. Luckily, you’re one of the best. By the time you’re done with your future pet’s training, they will be lucky too if they can remember their original name. That would mean you didn’t decide to rename them while you were turning them into a better toy. Keeping their mind a hair away from breaking through your training, you can carefully preserve everything you liked about them through the process. Whether it be their combat skill or even most of their mind, so they can understand how far they’ve fallen, while also training them to feel more pleasure than they’ve ever known before from simply obeying their master’s commands.</v>
      </c>
      <c r="I50" s="5"/>
    </row>
    <row r="51" spans="1:9" ht="156.6" x14ac:dyDescent="0.25">
      <c r="A51" s="16"/>
      <c r="B51" s="17">
        <v>47</v>
      </c>
      <c r="C51" s="2" t="b">
        <f ca="1">IFERROR(__xludf.DUMMYFUNCTION("""COMPUTED_VALUE"""),FALSE)</f>
        <v>0</v>
      </c>
      <c r="D51" s="2">
        <f ca="1">IFERROR(__xludf.DUMMYFUNCTION("""COMPUTED_VALUE"""),400)</f>
        <v>400</v>
      </c>
      <c r="E51" s="2" t="str">
        <f ca="1">IFERROR(__xludf.DUMMYFUNCTION("""COMPUTED_VALUE"""),"Big Dick Brainwashing")</f>
        <v>Big Dick Brainwashing</v>
      </c>
      <c r="F51" s="2" t="str">
        <f ca="1">IFERROR(__xludf.DUMMYFUNCTION("""COMPUTED_VALUE"""),"Naruto Blacked")</f>
        <v>Naruto Blacked</v>
      </c>
      <c r="G51" s="2" t="str">
        <f ca="1">IFERROR(__xludf.DUMMYFUNCTION("""COMPUTED_VALUE"""),"Corruption")</f>
        <v>Corruption</v>
      </c>
      <c r="H51" s="2" t="str">
        <f ca="1">IFERROR(__xludf.DUMMYFUNCTION("""COMPUTED_VALUE"""),"Why would women need any other man when they could just be owned by someone like you? There’s no point to point being in love with a limp-dicked little boy who can’t fuck his woman’s brains out like you can. You’re able to drill this truth into the woman "&amp;"you conquer, dominating their hearts and bodies and claiming them as your possessions. The more pleasure a woman experiences at your hands the less they can feel from any other partners and the more they’ll grow to love you and your cock. Simultaneously a"&amp;"ny feelings they have for their former lovers will wither and fade, eventually dying out entirely. On the other hand, once you’ve conquered a woman’s body and made her your bitch, nothing short of full on mind control can free her from her addiction to yo"&amp;"u and your cock.")</f>
        <v>Why would women need any other man when they could just be owned by someone like you? There’s no point to point being in love with a limp-dicked little boy who can’t fuck his woman’s brains out like you can. You’re able to drill this truth into the woman you conquer, dominating their hearts and bodies and claiming them as your possessions. The more pleasure a woman experiences at your hands the less they can feel from any other partners and the more they’ll grow to love you and your cock. Simultaneously any feelings they have for their former lovers will wither and fade, eventually dying out entirely. On the other hand, once you’ve conquered a woman’s body and made her your bitch, nothing short of full on mind control can free her from her addiction to you and your cock.</v>
      </c>
      <c r="I51" s="5"/>
    </row>
    <row r="52" spans="1:9" ht="278.39999999999998" x14ac:dyDescent="0.25">
      <c r="A52" s="16"/>
      <c r="B52" s="17">
        <v>48</v>
      </c>
      <c r="C52" s="2" t="b">
        <f ca="1">IFERROR(__xludf.DUMMYFUNCTION("""COMPUTED_VALUE"""),FALSE)</f>
        <v>0</v>
      </c>
      <c r="D52" s="2">
        <f ca="1">IFERROR(__xludf.DUMMYFUNCTION("""COMPUTED_VALUE"""),400)</f>
        <v>400</v>
      </c>
      <c r="E52" s="2" t="str">
        <f ca="1">IFERROR(__xludf.DUMMYFUNCTION("""COMPUTED_VALUE"""),"Big Master/Madame's Slave Emporium")</f>
        <v>Big Master/Madame's Slave Emporium</v>
      </c>
      <c r="F52" s="2" t="str">
        <f ca="1">IFERROR(__xludf.DUMMYFUNCTION("""COMPUTED_VALUE"""),"Baalbuddy")</f>
        <v>Baalbuddy</v>
      </c>
      <c r="G52" s="2" t="str">
        <f ca="1">IFERROR(__xludf.DUMMYFUNCTION("""COMPUTED_VALUE"""),"Corruption")</f>
        <v>Corruption</v>
      </c>
      <c r="H52" s="2" t="str">
        <f ca="1">IFERROR(__xludf.DUMMYFUNCTION("""COMPUTED_VALUE"""),"Anyone else is likely to rescue a few slaves during their time here and get a new waifu out of the deal. You? You’re the one that enslaves prospective waifus in the first place. You are legally authorized to take and keep slaves, which is a valid response"&amp;" to many situations. Get attacked by bandits or muggers? Defeat and enslave them. Someone can’t pay a debt they owe you? Slave. Catch an escaped slave? They’re yours now. Catch someone breaking any kind of rule? You can chain them up and the relevant auth"&amp;"orities will let you keep them in lieu of the normal punishment. You can even sell slaves too, and no one will think buying them from you or keeping one is anything strange. Of course, there is one catch. Slavery is legal for you now, which means there ar"&amp;"e laws you have to follow. You’re only free to enslave someone if there’s at least some kind of legal pretense to do so, otherwise it’s just kidnapping. Also, depending on the society you work in there are regulations (which you will always know by heart)"&amp;" regarding maximum terms of enslavement for various reasons, care and feeding, allowable fun slave activities and punishments, etc. More ethical societies have stricter rules, but they always lean heavily in a lewd way. Spanking or making them work naked "&amp;"(in warm weather) is something you can always get away with. Though nothing prevents you from doing dirty deeds to drive someone into debt or keep them in chains, being caught breaking the law will get you in trouble.")</f>
        <v>Anyone else is likely to rescue a few slaves during their time here and get a new waifu out of the deal. You? You’re the one that enslaves prospective waifus in the first place. You are legally authorized to take and keep slaves, which is a valid response to many situations. Get attacked by bandits or muggers? Defeat and enslave them. Someone can’t pay a debt they owe you? Slave. Catch an escaped slave? They’re yours now. Catch someone breaking any kind of rule? You can chain them up and the relevant authorities will let you keep them in lieu of the normal punishment. You can even sell slaves too, and no one will think buying them from you or keeping one is anything strange. Of course, there is one catch. Slavery is legal for you now, which means there are laws you have to follow. You’re only free to enslave someone if there’s at least some kind of legal pretense to do so, otherwise it’s just kidnapping. Also, depending on the society you work in there are regulations (which you will always know by heart) regarding maximum terms of enslavement for various reasons, care and feeding, allowable fun slave activities and punishments, etc. More ethical societies have stricter rules, but they always lean heavily in a lewd way. Spanking or making them work naked (in warm weather) is something you can always get away with. Though nothing prevents you from doing dirty deeds to drive someone into debt or keep them in chains, being caught breaking the law will get you in trouble.</v>
      </c>
      <c r="I52" s="5"/>
    </row>
    <row r="53" spans="1:9" ht="87" x14ac:dyDescent="0.25">
      <c r="A53" s="16"/>
      <c r="B53" s="17">
        <v>49</v>
      </c>
      <c r="C53" s="2" t="b">
        <f ca="1">IFERROR(__xludf.DUMMYFUNCTION("""COMPUTED_VALUE"""),FALSE)</f>
        <v>0</v>
      </c>
      <c r="D53" s="2">
        <f ca="1">IFERROR(__xludf.DUMMYFUNCTION("""COMPUTED_VALUE"""),400)</f>
        <v>400</v>
      </c>
      <c r="E53" s="2" t="str">
        <f ca="1">IFERROR(__xludf.DUMMYFUNCTION("""COMPUTED_VALUE"""),"Black Ooze")</f>
        <v>Black Ooze</v>
      </c>
      <c r="F53" s="2" t="str">
        <f ca="1">IFERROR(__xludf.DUMMYFUNCTION("""COMPUTED_VALUE"""),"Generic: Hentai Occult")</f>
        <v>Generic: Hentai Occult</v>
      </c>
      <c r="G53" s="2" t="str">
        <f ca="1">IFERROR(__xludf.DUMMYFUNCTION("""COMPUTED_VALUE"""),"Corruption")</f>
        <v>Corruption</v>
      </c>
      <c r="H53" s="2" t="str">
        <f ca="1">IFERROR(__xludf.DUMMYFUNCTION("""COMPUTED_VALUE"""),"Did you make a deal with a ‘God’? No? Then perhaps you’d like to make one with this ‘demon’? This black ooze is barely alive and somehow entirely yours. It feeds by reaching inside a person and sucking them out, leaving only their skin. Speaking of, you c"&amp;"an now slip inside of said skin, and wear them to steal their life. You can of course refill them with the ooze, but their personality will more or less be gone. You’ll have to rewrite them from the ground up.")</f>
        <v>Did you make a deal with a ‘God’? No? Then perhaps you’d like to make one with this ‘demon’? This black ooze is barely alive and somehow entirely yours. It feeds by reaching inside a person and sucking them out, leaving only their skin. Speaking of, you can now slip inside of said skin, and wear them to steal their life. You can of course refill them with the ooze, but their personality will more or less be gone. You’ll have to rewrite them from the ground up.</v>
      </c>
      <c r="I53" s="5"/>
    </row>
    <row r="54" spans="1:9" ht="191.4" x14ac:dyDescent="0.25">
      <c r="A54" s="16"/>
      <c r="B54" s="17">
        <v>50</v>
      </c>
      <c r="C54" s="2" t="b">
        <f ca="1">IFERROR(__xludf.DUMMYFUNCTION("""COMPUTED_VALUE"""),FALSE)</f>
        <v>0</v>
      </c>
      <c r="D54" s="2">
        <f ca="1">IFERROR(__xludf.DUMMYFUNCTION("""COMPUTED_VALUE"""),400)</f>
        <v>400</v>
      </c>
      <c r="E54" s="2" t="str">
        <f ca="1">IFERROR(__xludf.DUMMYFUNCTION("""COMPUTED_VALUE"""),"Blessing of Power")</f>
        <v>Blessing of Power</v>
      </c>
      <c r="F54" s="2" t="str">
        <f ca="1">IFERROR(__xludf.DUMMYFUNCTION("""COMPUTED_VALUE"""),"Breathless Wild")</f>
        <v>Breathless Wild</v>
      </c>
      <c r="G54" s="2" t="str">
        <f ca="1">IFERROR(__xludf.DUMMYFUNCTION("""COMPUTED_VALUE"""),"Corruption")</f>
        <v>Corruption</v>
      </c>
      <c r="H54" s="2" t="str">
        <f ca="1">IFERROR(__xludf.DUMMYFUNCTION("""COMPUTED_VALUE"""),"Ganon’s minions have no need of training to grow stronger the way knights and heroes do. Their strength comes not from practice and skill but from conquest and corruption, building their unholy might atop a pile of vanquished enemies and corrupted slaves."&amp;" Even a lowly bokoblin can become a glorious golden beast if it has enough cunning and ambition. You’re able to gain greater strength by defeating or corrupting your enemies, reducing them to mere stepping stones on your path to power. Whenever you defeat"&amp;" an enemy who was stronger than you in some way your strength grows as if you’d stolen some of their strength and added it to your own. Defeat a lynel and your physical strength or cock size might grow, while a sorceress might fuel the growth of your inte"&amp;"lligence or magical abilities. Corrupting or enslaving your conquests after defeating them allows you to harvest even greater power by actually stealing their strength, turning great heroes into helpless slaves and wise princesses into thoughtless sluts.")</f>
        <v>Ganon’s minions have no need of training to grow stronger the way knights and heroes do. Their strength comes not from practice and skill but from conquest and corruption, building their unholy might atop a pile of vanquished enemies and corrupted slaves. Even a lowly bokoblin can become a glorious golden beast if it has enough cunning and ambition. You’re able to gain greater strength by defeating or corrupting your enemies, reducing them to mere stepping stones on your path to power. Whenever you defeat an enemy who was stronger than you in some way your strength grows as if you’d stolen some of their strength and added it to your own. Defeat a lynel and your physical strength or cock size might grow, while a sorceress might fuel the growth of your intelligence or magical abilities. Corrupting or enslaving your conquests after defeating them allows you to harvest even greater power by actually stealing their strength, turning great heroes into helpless slaves and wise princesses into thoughtless sluts.</v>
      </c>
      <c r="I54" s="5"/>
    </row>
    <row r="55" spans="1:9" ht="121.8" x14ac:dyDescent="0.25">
      <c r="A55" s="16"/>
      <c r="B55" s="17">
        <v>51</v>
      </c>
      <c r="C55" s="2" t="b">
        <f ca="1">IFERROR(__xludf.DUMMYFUNCTION("""COMPUTED_VALUE"""),FALSE)</f>
        <v>0</v>
      </c>
      <c r="D55" s="2">
        <f ca="1">IFERROR(__xludf.DUMMYFUNCTION("""COMPUTED_VALUE"""),400)</f>
        <v>400</v>
      </c>
      <c r="E55" s="2" t="str">
        <f ca="1">IFERROR(__xludf.DUMMYFUNCTION("""COMPUTED_VALUE"""),"Break my Skin and Drain me")</f>
        <v>Break my Skin and Drain me</v>
      </c>
      <c r="F55" s="2" t="str">
        <f ca="1">IFERROR(__xludf.DUMMYFUNCTION("""COMPUTED_VALUE"""),"World of Lewd Horror")</f>
        <v>World of Lewd Horror</v>
      </c>
      <c r="G55" s="2" t="str">
        <f ca="1">IFERROR(__xludf.DUMMYFUNCTION("""COMPUTED_VALUE"""),"Corruption")</f>
        <v>Corruption</v>
      </c>
      <c r="H55" s="2" t="str">
        <f ca="1">IFERROR(__xludf.DUMMYFUNCTION("""COMPUTED_VALUE"""),"Some metaphors for sex in horror are just barely metaphorical. Like the vampire who places his lip’s to a young lady’s neck to drink or the succubus who drains life with a kiss, you have a method of feeding during sex. This weakens your partner, but is ex"&amp;"quisitely pleasurable. Even a single experience is enough to make someone addicted to you, desperate and begging to be fed from again. Luckily pure sex is just as satisfying once someone is hooked, though they’ll eventually need to be fed from again if yo"&amp;"u don’t want the addiction to wane. You could easily talk someone into doing quite a lot in exchange for another hit from your dick.")</f>
        <v>Some metaphors for sex in horror are just barely metaphorical. Like the vampire who places his lip’s to a young lady’s neck to drink or the succubus who drains life with a kiss, you have a method of feeding during sex. This weakens your partner, but is exquisitely pleasurable. Even a single experience is enough to make someone addicted to you, desperate and begging to be fed from again. Luckily pure sex is just as satisfying once someone is hooked, though they’ll eventually need to be fed from again if you don’t want the addiction to wane. You could easily talk someone into doing quite a lot in exchange for another hit from your dick.</v>
      </c>
      <c r="I55" s="5"/>
    </row>
    <row r="56" spans="1:9" ht="174" x14ac:dyDescent="0.25">
      <c r="A56" s="16"/>
      <c r="B56" s="17">
        <v>52</v>
      </c>
      <c r="C56" s="2" t="b">
        <f ca="1">IFERROR(__xludf.DUMMYFUNCTION("""COMPUTED_VALUE"""),FALSE)</f>
        <v>0</v>
      </c>
      <c r="D56" s="2">
        <f ca="1">IFERROR(__xludf.DUMMYFUNCTION("""COMPUTED_VALUE"""),400)</f>
        <v>400</v>
      </c>
      <c r="E56" s="2" t="str">
        <f ca="1">IFERROR(__xludf.DUMMYFUNCTION("""COMPUTED_VALUE"""),"Breaking the Mask")</f>
        <v>Breaking the Mask</v>
      </c>
      <c r="F56" s="2" t="str">
        <f ca="1">IFERROR(__xludf.DUMMYFUNCTION("""COMPUTED_VALUE"""),"Angel Academy ~ Hardcore Dorm Sex Life")</f>
        <v>Angel Academy ~ Hardcore Dorm Sex Life</v>
      </c>
      <c r="G56" s="2" t="str">
        <f ca="1">IFERROR(__xludf.DUMMYFUNCTION("""COMPUTED_VALUE"""),"Corruption")</f>
        <v>Corruption</v>
      </c>
      <c r="H56" s="2" t="str">
        <f ca="1">IFERROR(__xludf.DUMMYFUNCTION("""COMPUTED_VALUE"""),"Behind the mask of a prim and proper princess lies a horny sow begging for a dick, she just doesn’t know it yet. You have ways of exposing a person’s true character when you fuck them, and by this I mean that you can selectively warp a partner’s personali"&amp;"ty as you seduce them, exposing their “true self” once you strip away the mask of their inhibitions. That cold fish headmistress could become a slob who ignores her responsibilities to get fucked, or she could be a closeted dominatrix ready to help you wh"&amp;"ip her students into shape. The degree to which you can warp a person’s personality is directly related to how sexually repressed they were before you seduced them: the aforementioned headmistress could become wildly different and a person who is merely i"&amp;"nexperienced could have things to learn about themselves, but a person with no hang-ups about sex would have few if any hidden desires for you to expose.")</f>
        <v>Behind the mask of a prim and proper princess lies a horny sow begging for a dick, she just doesn’t know it yet. You have ways of exposing a person’s true character when you fuck them, and by this I mean that you can selectively warp a partner’s personality as you seduce them, exposing their “true self” once you strip away the mask of their inhibitions. That cold fish headmistress could become a slob who ignores her responsibilities to get fucked, or she could be a closeted dominatrix ready to help you whip her students into shape. The degree to which you can warp a person’s personality is directly related to how sexually repressed they were before you seduced them: the aforementioned headmistress could become wildly different and a person who is merely inexperienced could have things to learn about themselves, but a person with no hang-ups about sex would have few if any hidden desires for you to expose.</v>
      </c>
      <c r="I56" s="5"/>
    </row>
    <row r="57" spans="1:9" ht="121.8" x14ac:dyDescent="0.25">
      <c r="A57" s="16"/>
      <c r="B57" s="17">
        <v>53</v>
      </c>
      <c r="C57" s="2" t="b">
        <f ca="1">IFERROR(__xludf.DUMMYFUNCTION("""COMPUTED_VALUE"""),FALSE)</f>
        <v>0</v>
      </c>
      <c r="D57" s="2">
        <f ca="1">IFERROR(__xludf.DUMMYFUNCTION("""COMPUTED_VALUE"""),400)</f>
        <v>400</v>
      </c>
      <c r="E57" s="2" t="str">
        <f ca="1">IFERROR(__xludf.DUMMYFUNCTION("""COMPUTED_VALUE"""),"Chains of Love Submission")</f>
        <v>Chains of Love Submission</v>
      </c>
      <c r="F57" s="2" t="str">
        <f ca="1">IFERROR(__xludf.DUMMYFUNCTION("""COMPUTED_VALUE"""),"How Not to Summon a Demon Lord")</f>
        <v>How Not to Summon a Demon Lord</v>
      </c>
      <c r="G57" s="2" t="str">
        <f ca="1">IFERROR(__xludf.DUMMYFUNCTION("""COMPUTED_VALUE"""),"Corruption")</f>
        <v>Corruption</v>
      </c>
      <c r="H57" s="2" t="str">
        <f ca="1">IFERROR(__xludf.DUMMYFUNCTION("""COMPUTED_VALUE"""),"A demon lord has no need for such things as “love” and “waifus”, he only needs his slaves to respect and obey him. So why do your slaves keep falling in love with you? It’s probably because you take good care of your minions, inspiring personal devotion a"&amp;"nd sometimes even love in those who follow you. Even if they came into your service against their will, so long as you treat your slaves or other minions well they’ll quickly come to enjoy serving you and do so loyally and enthusiastically. The shared lov"&amp;"e and loyalty your slaves have for you even serves to unite them in bonds of friendship or sisterhood rather than dividing them with petty squabbling for your favor or attention.")</f>
        <v>A demon lord has no need for such things as “love” and “waifus”, he only needs his slaves to respect and obey him. So why do your slaves keep falling in love with you? It’s probably because you take good care of your minions, inspiring personal devotion and sometimes even love in those who follow you. Even if they came into your service against their will, so long as you treat your slaves or other minions well they’ll quickly come to enjoy serving you and do so loyally and enthusiastically. The shared love and loyalty your slaves have for you even serves to unite them in bonds of friendship or sisterhood rather than dividing them with petty squabbling for your favor or attention.</v>
      </c>
      <c r="I57" s="5"/>
    </row>
    <row r="58" spans="1:9" ht="104.4" x14ac:dyDescent="0.25">
      <c r="A58" s="16"/>
      <c r="B58" s="17">
        <v>54</v>
      </c>
      <c r="C58" s="2" t="b">
        <f ca="1">IFERROR(__xludf.DUMMYFUNCTION("""COMPUTED_VALUE"""),FALSE)</f>
        <v>0</v>
      </c>
      <c r="D58" s="2">
        <f ca="1">IFERROR(__xludf.DUMMYFUNCTION("""COMPUTED_VALUE"""),400)</f>
        <v>400</v>
      </c>
      <c r="E58" s="2" t="str">
        <f ca="1">IFERROR(__xludf.DUMMYFUNCTION("""COMPUTED_VALUE"""),"Contagious Corruption")</f>
        <v>Contagious Corruption</v>
      </c>
      <c r="F58" s="2" t="str">
        <f ca="1">IFERROR(__xludf.DUMMYFUNCTION("""COMPUTED_VALUE"""),"Archangel of Love, Love Mary ~Malignant Conception~")</f>
        <v>Archangel of Love, Love Mary ~Malignant Conception~</v>
      </c>
      <c r="G58" s="2" t="str">
        <f ca="1">IFERROR(__xludf.DUMMYFUNCTION("""COMPUTED_VALUE"""),"Corruption")</f>
        <v>Corruption</v>
      </c>
      <c r="H58" s="2" t="str">
        <f ca="1">IFERROR(__xludf.DUMMYFUNCTION("""COMPUTED_VALUE"""),"With your Lord Elysium having been sealed for so long, there was no way he could directly replenish the number of demons serving him. Instead, demons were forced to do it themselves — and not by any method as slow as mating and bearing children. No, what "&amp;"they did was rape and violate. By giving pleasure to someone — even forced pleasure — they could awaken the corruption in the hearts of the deeply impure, and cause it to erupt and overwhelm the flesh, which would turn the subject into another demon. Beco"&amp;"ming a demon in this manner also makes them fully loyal to you.")</f>
        <v>With your Lord Elysium having been sealed for so long, there was no way he could directly replenish the number of demons serving him. Instead, demons were forced to do it themselves — and not by any method as slow as mating and bearing children. No, what they did was rape and violate. By giving pleasure to someone — even forced pleasure — they could awaken the corruption in the hearts of the deeply impure, and cause it to erupt and overwhelm the flesh, which would turn the subject into another demon. Becoming a demon in this manner also makes them fully loyal to you.</v>
      </c>
      <c r="I58" s="5"/>
    </row>
    <row r="59" spans="1:9" ht="156.6" x14ac:dyDescent="0.25">
      <c r="A59" s="16"/>
      <c r="B59" s="17">
        <v>55</v>
      </c>
      <c r="C59" s="2" t="b">
        <f ca="1">IFERROR(__xludf.DUMMYFUNCTION("""COMPUTED_VALUE"""),FALSE)</f>
        <v>0</v>
      </c>
      <c r="D59" s="2">
        <f ca="1">IFERROR(__xludf.DUMMYFUNCTION("""COMPUTED_VALUE"""),400)</f>
        <v>400</v>
      </c>
      <c r="E59" s="2" t="str">
        <f ca="1">IFERROR(__xludf.DUMMYFUNCTION("""COMPUTED_VALUE"""),"Corruption and Conviction")</f>
        <v>Corruption and Conviction</v>
      </c>
      <c r="F59" s="2" t="str">
        <f ca="1">IFERROR(__xludf.DUMMYFUNCTION("""COMPUTED_VALUE"""),"World of Tentacles")</f>
        <v>World of Tentacles</v>
      </c>
      <c r="G59" s="2" t="str">
        <f ca="1">IFERROR(__xludf.DUMMYFUNCTION("""COMPUTED_VALUE"""),"Corruption")</f>
        <v>Corruption</v>
      </c>
      <c r="H59" s="2" t="str">
        <f ca="1">IFERROR(__xludf.DUMMYFUNCTION("""COMPUTED_VALUE"""),"A dark and twisted power is the birthright of every demon king, and sin flows through your veins like blood. Is it any wonder, then, that the corruption which normally afflicts practitioners of the dark arts has so little hold on you? You possess a will o"&amp;"f steel and are immune to most forms of corruption and mind control. No matter what depraved powers you might possess or be subjected to, your mind and body will always remain your own. Should you choose to indulge in the effects such magics might normall"&amp;"y foist on you then that is another matter, but these effects influence you only with your express permission, and you may rescind that permission whenever you please. But beware of holy and divine magics, for your resistance is less effective against mag"&amp;"ic that cleanses and purifies.")</f>
        <v>A dark and twisted power is the birthright of every demon king, and sin flows through your veins like blood. Is it any wonder, then, that the corruption which normally afflicts practitioners of the dark arts has so little hold on you? You possess a will of steel and are immune to most forms of corruption and mind control. No matter what depraved powers you might possess or be subjected to, your mind and body will always remain your own. Should you choose to indulge in the effects such magics might normally foist on you then that is another matter, but these effects influence you only with your express permission, and you may rescind that permission whenever you please. But beware of holy and divine magics, for your resistance is less effective against magic that cleanses and purifies.</v>
      </c>
      <c r="I59" s="5"/>
    </row>
    <row r="60" spans="1:9" ht="104.4" x14ac:dyDescent="0.25">
      <c r="A60" s="16"/>
      <c r="B60" s="17">
        <v>56</v>
      </c>
      <c r="C60" s="2" t="b">
        <f ca="1">IFERROR(__xludf.DUMMYFUNCTION("""COMPUTED_VALUE"""),FALSE)</f>
        <v>0</v>
      </c>
      <c r="D60" s="2">
        <f ca="1">IFERROR(__xludf.DUMMYFUNCTION("""COMPUTED_VALUE"""),400)</f>
        <v>400</v>
      </c>
      <c r="E60" s="2" t="str">
        <f ca="1">IFERROR(__xludf.DUMMYFUNCTION("""COMPUTED_VALUE"""),"Corruption of Heroines, Downfall of Heroes")</f>
        <v>Corruption of Heroines, Downfall of Heroes</v>
      </c>
      <c r="F60" s="2" t="str">
        <f ca="1">IFERROR(__xludf.DUMMYFUNCTION("""COMPUTED_VALUE"""),"Master of the Harem Guild")</f>
        <v>Master of the Harem Guild</v>
      </c>
      <c r="G60" s="2" t="str">
        <f ca="1">IFERROR(__xludf.DUMMYFUNCTION("""COMPUTED_VALUE"""),"Corruption")</f>
        <v>Corruption</v>
      </c>
      <c r="H60" s="2" t="str">
        <f ca="1">IFERROR(__xludf.DUMMYFUNCTION("""COMPUTED_VALUE"""),"Do you know what sucks? When you carefully craft a plan to take over the world, have your monsters slaughter the normal soldiers, and then a band of Heroes and Heroines show up and send all your plans crashing down. Luckily you know just how to deal with "&amp;"all those pests... sexually. You seem to have great luck with finding random guys and gals to fuck your enemies and distract them from opposing you. And any hero/heroine who had their lover cucked also seems to lose the will to fight making them easy pick"&amp;"ings.")</f>
        <v>Do you know what sucks? When you carefully craft a plan to take over the world, have your monsters slaughter the normal soldiers, and then a band of Heroes and Heroines show up and send all your plans crashing down. Luckily you know just how to deal with all those pests... sexually. You seem to have great luck with finding random guys and gals to fuck your enemies and distract them from opposing you. And any hero/heroine who had their lover cucked also seems to lose the will to fight making them easy pickings.</v>
      </c>
      <c r="I60" s="5"/>
    </row>
    <row r="61" spans="1:9" ht="191.4" x14ac:dyDescent="0.25">
      <c r="A61" s="16"/>
      <c r="B61" s="17">
        <v>57</v>
      </c>
      <c r="C61" s="2" t="b">
        <f ca="1">IFERROR(__xludf.DUMMYFUNCTION("""COMPUTED_VALUE"""),FALSE)</f>
        <v>0</v>
      </c>
      <c r="D61" s="2">
        <f ca="1">IFERROR(__xludf.DUMMYFUNCTION("""COMPUTED_VALUE"""),400)</f>
        <v>400</v>
      </c>
      <c r="E61" s="2" t="str">
        <f ca="1">IFERROR(__xludf.DUMMYFUNCTION("""COMPUTED_VALUE"""),"Creampie Diplomacy")</f>
        <v>Creampie Diplomacy</v>
      </c>
      <c r="F61" s="2" t="str">
        <f ca="1">IFERROR(__xludf.DUMMYFUNCTION("""COMPUTED_VALUE"""),"Haramase Simulator")</f>
        <v>Haramase Simulator</v>
      </c>
      <c r="G61" s="2" t="str">
        <f ca="1">IFERROR(__xludf.DUMMYFUNCTION("""COMPUTED_VALUE"""),"Corruption")</f>
        <v>Corruption</v>
      </c>
      <c r="H61" s="2" t="str">
        <f ca="1">IFERROR(__xludf.DUMMYFUNCTION("""COMPUTED_VALUE"""),"Now, not everyone’s going to be equally happy about being required by law to fuck a total stranger. Depending on their first impressions, they might even think you’re a creep, lowlife, or filthy commoner. Luckily, you have a way of changing someone’s mind"&amp;" with repeated pregnancies. Regardless of how they feel about you before, they’ll begin enjoying your presence even as bearing your children starts to feel normal to them. Over time, you can go from being considered a creep or lowlife to a trusted friend,"&amp;" lover, or even master.
This also helps change their mind about the pregnancies itself. Even if they start out disliking or hating it, they’ll soon begin to feel a strange sense of disappointment if a creampie doesn't actually manage to impregnate them."&amp;" Eventually they might start fantasizing about it, asking you to impregnate them, and thank you for getting them pregnant again.")</f>
        <v>Now, not everyone’s going to be equally happy about being required by law to fuck a total stranger. Depending on their first impressions, they might even think you’re a creep, lowlife, or filthy commoner. Luckily, you have a way of changing someone’s mind with repeated pregnancies. Regardless of how they feel about you before, they’ll begin enjoying your presence even as bearing your children starts to feel normal to them. Over time, you can go from being considered a creep or lowlife to a trusted friend, lover, or even master.
This also helps change their mind about the pregnancies itself. Even if they start out disliking or hating it, they’ll soon begin to feel a strange sense of disappointment if a creampie doesn't actually manage to impregnate them. Eventually they might start fantasizing about it, asking you to impregnate them, and thank you for getting them pregnant again.</v>
      </c>
      <c r="I61" s="5"/>
    </row>
    <row r="62" spans="1:9" ht="121.8" x14ac:dyDescent="0.25">
      <c r="A62" s="16"/>
      <c r="B62" s="17">
        <v>58</v>
      </c>
      <c r="C62" s="2" t="b">
        <f ca="1">IFERROR(__xludf.DUMMYFUNCTION("""COMPUTED_VALUE"""),FALSE)</f>
        <v>0</v>
      </c>
      <c r="D62" s="2">
        <f ca="1">IFERROR(__xludf.DUMMYFUNCTION("""COMPUTED_VALUE"""),400)</f>
        <v>400</v>
      </c>
      <c r="E62" s="2" t="str">
        <f ca="1">IFERROR(__xludf.DUMMYFUNCTION("""COMPUTED_VALUE"""),"Dibellan' Scriptures")</f>
        <v>Dibellan' Scriptures</v>
      </c>
      <c r="F62" s="2" t="str">
        <f ca="1">IFERROR(__xludf.DUMMYFUNCTION("""COMPUTED_VALUE"""),"Modded Skyrim")</f>
        <v>Modded Skyrim</v>
      </c>
      <c r="G62" s="2" t="str">
        <f ca="1">IFERROR(__xludf.DUMMYFUNCTION("""COMPUTED_VALUE"""),"Corruption")</f>
        <v>Corruption</v>
      </c>
      <c r="H62" s="2" t="str">
        <f ca="1">IFERROR(__xludf.DUMMYFUNCTION("""COMPUTED_VALUE"""),"It might be a bit of a stereotype, but being the goddess of love and beauty, Dibella is clearly the divine whore, and her priestesses probably aren't much better. This book is 'proof' of that. In the hands of her priestesses (or anybody with or following "&amp;"someone with similar domains) the book pulls this ‘truth’ closer to reality. While it won’t actually make them act as such, it will leave them far more... sensual. This is primarily apparent in the priestesses, but the congregation, or even just people wh"&amp;"o wander in needing a roof for the night will benefit from a minor appearance boost and some skill in bed.")</f>
        <v>It might be a bit of a stereotype, but being the goddess of love and beauty, Dibella is clearly the divine whore, and her priestesses probably aren't much better. This book is 'proof' of that. In the hands of her priestesses (or anybody with or following someone with similar domains) the book pulls this ‘truth’ closer to reality. While it won’t actually make them act as such, it will leave them far more... sensual. This is primarily apparent in the priestesses, but the congregation, or even just people who wander in needing a roof for the night will benefit from a minor appearance boost and some skill in bed.</v>
      </c>
      <c r="I62" s="5"/>
    </row>
    <row r="63" spans="1:9" ht="87" x14ac:dyDescent="0.25">
      <c r="A63" s="16"/>
      <c r="B63" s="17">
        <v>59</v>
      </c>
      <c r="C63" s="2" t="b">
        <f ca="1">IFERROR(__xludf.DUMMYFUNCTION("""COMPUTED_VALUE"""),FALSE)</f>
        <v>0</v>
      </c>
      <c r="D63" s="2">
        <f ca="1">IFERROR(__xludf.DUMMYFUNCTION("""COMPUTED_VALUE"""),400)</f>
        <v>400</v>
      </c>
      <c r="E63" s="2" t="str">
        <f ca="1">IFERROR(__xludf.DUMMYFUNCTION("""COMPUTED_VALUE"""),"Don't Mind the Evil")</f>
        <v>Don't Mind the Evil</v>
      </c>
      <c r="F63" s="2" t="str">
        <f ca="1">IFERROR(__xludf.DUMMYFUNCTION("""COMPUTED_VALUE"""),"Generic: Hentai Fantasy")</f>
        <v>Generic: Hentai Fantasy</v>
      </c>
      <c r="G63" s="2" t="str">
        <f ca="1">IFERROR(__xludf.DUMMYFUNCTION("""COMPUTED_VALUE"""),"Corruption")</f>
        <v>Corruption</v>
      </c>
      <c r="H63" s="2" t="str">
        <f ca="1">IFERROR(__xludf.DUMMYFUNCTION("""COMPUTED_VALUE"""),"Even though your goal here may be to steal people’s hearts, that’s no reason why they can’t actually like you beyond the whole ‘lots of sex’ part of your relationship. Treat your new brainwashed slaves well, and they’ll have doubts about actually killing "&amp;"you if they get free. Treat them like an actual person, and not just a walking fuckmachine, and they might even fall in love with you. Make actual love to them? Expect them to fight in order to be re-corrupted.")</f>
        <v>Even though your goal here may be to steal people’s hearts, that’s no reason why they can’t actually like you beyond the whole ‘lots of sex’ part of your relationship. Treat your new brainwashed slaves well, and they’ll have doubts about actually killing you if they get free. Treat them like an actual person, and not just a walking fuckmachine, and they might even fall in love with you. Make actual love to them? Expect them to fight in order to be re-corrupted.</v>
      </c>
      <c r="I63" s="5"/>
    </row>
    <row r="64" spans="1:9" ht="139.19999999999999" x14ac:dyDescent="0.25">
      <c r="A64" s="16"/>
      <c r="B64" s="17">
        <v>60</v>
      </c>
      <c r="C64" s="2" t="b">
        <f ca="1">IFERROR(__xludf.DUMMYFUNCTION("""COMPUTED_VALUE"""),FALSE)</f>
        <v>0</v>
      </c>
      <c r="D64" s="2">
        <f ca="1">IFERROR(__xludf.DUMMYFUNCTION("""COMPUTED_VALUE"""),400)</f>
        <v>400</v>
      </c>
      <c r="E64" s="2" t="str">
        <f ca="1">IFERROR(__xludf.DUMMYFUNCTION("""COMPUTED_VALUE"""),"Drunk on Love")</f>
        <v>Drunk on Love</v>
      </c>
      <c r="F64" s="2" t="str">
        <f ca="1">IFERROR(__xludf.DUMMYFUNCTION("""COMPUTED_VALUE"""),"Dulce Report")</f>
        <v>Dulce Report</v>
      </c>
      <c r="G64" s="2" t="str">
        <f ca="1">IFERROR(__xludf.DUMMYFUNCTION("""COMPUTED_VALUE"""),"Corruption")</f>
        <v>Corruption</v>
      </c>
      <c r="H64" s="2" t="str">
        <f ca="1">IFERROR(__xludf.DUMMYFUNCTION("""COMPUTED_VALUE"""),"Angels', you see, are eusocial like bees; they have a queen, workers, and drones, all converted from humans. And this is how that is accomplished. Unlike creating a queen, which requires the previously mentioned genetic compatibility, a worker - another f"&amp;"utanari, though not one that can create more - can be created simply by fucking them with that intention. Doing so without that desire will simply overwrite a small part of their genetic code, brainwashing them into obedience and a desire to fulfill your "&amp;"every whim - and to be filled by you again. Fun, right?
And if you don't have a penis, well, I'm sure that'll get fixed eventually, right?")</f>
        <v>Angels', you see, are eusocial like bees; they have a queen, workers, and drones, all converted from humans. And this is how that is accomplished. Unlike creating a queen, which requires the previously mentioned genetic compatibility, a worker - another futanari, though not one that can create more - can be created simply by fucking them with that intention. Doing so without that desire will simply overwrite a small part of their genetic code, brainwashing them into obedience and a desire to fulfill your every whim - and to be filled by you again. Fun, right?
And if you don't have a penis, well, I'm sure that'll get fixed eventually, right?</v>
      </c>
      <c r="I64" s="5"/>
    </row>
    <row r="65" spans="1:9" ht="104.4" x14ac:dyDescent="0.25">
      <c r="A65" s="16"/>
      <c r="B65" s="17">
        <v>61</v>
      </c>
      <c r="C65" s="2" t="b">
        <f ca="1">IFERROR(__xludf.DUMMYFUNCTION("""COMPUTED_VALUE"""),FALSE)</f>
        <v>0</v>
      </c>
      <c r="D65" s="2">
        <f ca="1">IFERROR(__xludf.DUMMYFUNCTION("""COMPUTED_VALUE"""),400)</f>
        <v>400</v>
      </c>
      <c r="E65" s="2" t="str">
        <f ca="1">IFERROR(__xludf.DUMMYFUNCTION("""COMPUTED_VALUE"""),"Forget Your Friends")</f>
        <v>Forget Your Friends</v>
      </c>
      <c r="F65" s="2" t="str">
        <f ca="1">IFERROR(__xludf.DUMMYFUNCTION("""COMPUTED_VALUE"""),"Bloom Pirate Hooker")</f>
        <v>Bloom Pirate Hooker</v>
      </c>
      <c r="G65" s="2" t="str">
        <f ca="1">IFERROR(__xludf.DUMMYFUNCTION("""COMPUTED_VALUE"""),"Corruption")</f>
        <v>Corruption</v>
      </c>
      <c r="H65" s="2" t="str">
        <f ca="1">IFERROR(__xludf.DUMMYFUNCTION("""COMPUTED_VALUE"""),"Given enough time, even the most stubborn of souls will give into despair. Of course, why wait? You should be giving them a helping hand instead! When you overload someone - it makes no difference if this is with pain or pleasure - they’ll very slowly for"&amp;"get that things other than that sensation exist. Enough pain would make them forget their happy memories... Enough pleasure would make them forget they ever loved anyone who wasn’t you. Of course, if they just stand up and walk outside, that ruins everyth"&amp;"ing. Best to keep them on lockdown.")</f>
        <v>Given enough time, even the most stubborn of souls will give into despair. Of course, why wait? You should be giving them a helping hand instead! When you overload someone - it makes no difference if this is with pain or pleasure - they’ll very slowly forget that things other than that sensation exist. Enough pain would make them forget their happy memories... Enough pleasure would make them forget they ever loved anyone who wasn’t you. Of course, if they just stand up and walk outside, that ruins everything. Best to keep them on lockdown.</v>
      </c>
      <c r="I65" s="5"/>
    </row>
    <row r="66" spans="1:9" ht="121.8" x14ac:dyDescent="0.25">
      <c r="A66" s="16"/>
      <c r="B66" s="17">
        <v>62</v>
      </c>
      <c r="C66" s="2" t="b">
        <f ca="1">IFERROR(__xludf.DUMMYFUNCTION("""COMPUTED_VALUE"""),FALSE)</f>
        <v>0</v>
      </c>
      <c r="D66" s="2">
        <f ca="1">IFERROR(__xludf.DUMMYFUNCTION("""COMPUTED_VALUE"""),400)</f>
        <v>400</v>
      </c>
      <c r="E66" s="2" t="str">
        <f ca="1">IFERROR(__xludf.DUMMYFUNCTION("""COMPUTED_VALUE"""),"Heart Jar")</f>
        <v>Heart Jar</v>
      </c>
      <c r="F66" s="2" t="str">
        <f ca="1">IFERROR(__xludf.DUMMYFUNCTION("""COMPUTED_VALUE"""),"Seven Mortal Sins/Seven Heavenly Virtues")</f>
        <v>Seven Mortal Sins/Seven Heavenly Virtues</v>
      </c>
      <c r="G66" s="2" t="str">
        <f ca="1">IFERROR(__xludf.DUMMYFUNCTION("""COMPUTED_VALUE"""),"Corruption")</f>
        <v>Corruption</v>
      </c>
      <c r="H66" s="2" t="str">
        <f ca="1">IFERROR(__xludf.DUMMYFUNCTION("""COMPUTED_VALUE"""),"Feeling dickish, Master/Madame? Hold this crystaline container up before someone, ideally as a surprise, and you can tear their heart out. They won’t die. In fact they will become immortal and eternally youthfull while you hold their heart. Of course, now"&amp;" they have no choice whatsoever when it comes to obeying your every whim. A simple squeeze of the container is enough to induce agonizing pain on a spiritual level in the heart-ripped individual. But hey, free servant. Although, do be mindful, if you aren"&amp;"’t ordering them around they DO still have free will. And could easily backstab you, with outside help, if you abuse them.")</f>
        <v>Feeling dickish, Master/Madame? Hold this crystaline container up before someone, ideally as a surprise, and you can tear their heart out. They won’t die. In fact they will become immortal and eternally youthfull while you hold their heart. Of course, now they have no choice whatsoever when it comes to obeying your every whim. A simple squeeze of the container is enough to induce agonizing pain on a spiritual level in the heart-ripped individual. But hey, free servant. Although, do be mindful, if you aren’t ordering them around they DO still have free will. And could easily backstab you, with outside help, if you abuse them.</v>
      </c>
      <c r="I66" s="5"/>
    </row>
    <row r="67" spans="1:9" ht="139.19999999999999" x14ac:dyDescent="0.25">
      <c r="A67" s="16"/>
      <c r="B67" s="17">
        <v>63</v>
      </c>
      <c r="C67" s="2" t="b">
        <f ca="1">IFERROR(__xludf.DUMMYFUNCTION("""COMPUTED_VALUE"""),FALSE)</f>
        <v>0</v>
      </c>
      <c r="D67" s="2">
        <f ca="1">IFERROR(__xludf.DUMMYFUNCTION("""COMPUTED_VALUE"""),400)</f>
        <v>400</v>
      </c>
      <c r="E67" s="2" t="str">
        <f ca="1">IFERROR(__xludf.DUMMYFUNCTION("""COMPUTED_VALUE"""),"Huntress Trainer")</f>
        <v>Huntress Trainer</v>
      </c>
      <c r="F67" s="2" t="str">
        <f ca="1">IFERROR(__xludf.DUMMYFUNCTION("""COMPUTED_VALUE"""),"Niplheim’s Hunter")</f>
        <v>Niplheim’s Hunter</v>
      </c>
      <c r="G67" s="2" t="str">
        <f ca="1">IFERROR(__xludf.DUMMYFUNCTION("""COMPUTED_VALUE"""),"Corruption")</f>
        <v>Corruption</v>
      </c>
      <c r="H67" s="2" t="str">
        <f ca="1">IFERROR(__xludf.DUMMYFUNCTION("""COMPUTED_VALUE"""),"Maybe it’s because of how you spend all day beating metal and materials into newer and more pleasing shapes but you also seem to have a knack for doing the same with people. You have a sadistic streak a mile wide and can train your partners to enjoy even "&amp;"the most depraved forms of sex, starting with training their erogenous zones to be more sensitive and working your way up from there. With enough exposure to it, the pleasure of anything from BDSM to bestiality can be drilled into your partners until they"&amp;"’re happily dropping their panties on command for acts they might have hated once. Further, this training makes them much more effective in any kind of sex-based combat, such as when facing down a monster intent on raping them.")</f>
        <v>Maybe it’s because of how you spend all day beating metal and materials into newer and more pleasing shapes but you also seem to have a knack for doing the same with people. You have a sadistic streak a mile wide and can train your partners to enjoy even the most depraved forms of sex, starting with training their erogenous zones to be more sensitive and working your way up from there. With enough exposure to it, the pleasure of anything from BDSM to bestiality can be drilled into your partners until they’re happily dropping their panties on command for acts they might have hated once. Further, this training makes them much more effective in any kind of sex-based combat, such as when facing down a monster intent on raping them.</v>
      </c>
      <c r="I67" s="5"/>
    </row>
    <row r="68" spans="1:9" ht="87" x14ac:dyDescent="0.25">
      <c r="A68" s="16"/>
      <c r="B68" s="17">
        <v>64</v>
      </c>
      <c r="C68" s="2" t="b">
        <f ca="1">IFERROR(__xludf.DUMMYFUNCTION("""COMPUTED_VALUE"""),FALSE)</f>
        <v>0</v>
      </c>
      <c r="D68" s="2">
        <f ca="1">IFERROR(__xludf.DUMMYFUNCTION("""COMPUTED_VALUE"""),400)</f>
        <v>400</v>
      </c>
      <c r="E68" s="2" t="str">
        <f ca="1">IFERROR(__xludf.DUMMYFUNCTION("""COMPUTED_VALUE"""),"I Fuck the Darkness")</f>
        <v>I Fuck the Darkness</v>
      </c>
      <c r="F68" s="2" t="str">
        <f ca="1">IFERROR(__xludf.DUMMYFUNCTION("""COMPUTED_VALUE"""),"Destiny: Fuck the Darkness")</f>
        <v>Destiny: Fuck the Darkness</v>
      </c>
      <c r="G68" s="2" t="str">
        <f ca="1">IFERROR(__xludf.DUMMYFUNCTION("""COMPUTED_VALUE"""),"Corruption")</f>
        <v>Corruption</v>
      </c>
      <c r="H68" s="2" t="str">
        <f ca="1">IFERROR(__xludf.DUMMYFUNCTION("""COMPUTED_VALUE"""),"You can outright fuck the Evil out of (or into) someone/something. “Inject” your own morality into them, with every thrust. An enemy peon like a Thrall or Dreg could be flipped and redeemed in a single row. But, of course, the more thoroughly entrenched t"&amp;"heir morality is, the longer, and more often, you’ll have to plow to rewrite their morality. Someone like Savathun could be the work of an entire decade, for instance.")</f>
        <v>You can outright fuck the Evil out of (or into) someone/something. “Inject” your own morality into them, with every thrust. An enemy peon like a Thrall or Dreg could be flipped and redeemed in a single row. But, of course, the more thoroughly entrenched their morality is, the longer, and more often, you’ll have to plow to rewrite their morality. Someone like Savathun could be the work of an entire decade, for instance.</v>
      </c>
      <c r="I68" s="5"/>
    </row>
    <row r="69" spans="1:9" ht="278.39999999999998" x14ac:dyDescent="0.25">
      <c r="A69" s="16"/>
      <c r="B69" s="17">
        <v>65</v>
      </c>
      <c r="C69" s="2" t="b">
        <f ca="1">IFERROR(__xludf.DUMMYFUNCTION("""COMPUTED_VALUE"""),FALSE)</f>
        <v>0</v>
      </c>
      <c r="D69" s="2">
        <f ca="1">IFERROR(__xludf.DUMMYFUNCTION("""COMPUTED_VALUE"""),400)</f>
        <v>400</v>
      </c>
      <c r="E69" s="2" t="str">
        <f ca="1">IFERROR(__xludf.DUMMYFUNCTION("""COMPUTED_VALUE"""),"Iron Maiden")</f>
        <v>Iron Maiden</v>
      </c>
      <c r="F69" s="2" t="str">
        <f ca="1">IFERROR(__xludf.DUMMYFUNCTION("""COMPUTED_VALUE"""),"Monster Girl Quest V2")</f>
        <v>Monster Girl Quest V2</v>
      </c>
      <c r="G69" s="2" t="str">
        <f ca="1">IFERROR(__xludf.DUMMYFUNCTION("""COMPUTED_VALUE"""),"Corruption")</f>
        <v>Corruption</v>
      </c>
      <c r="H69" s="2" t="str">
        <f ca="1">IFERROR(__xludf.DUMMYFUNCTION("""COMPUTED_VALUE"""),"You have found an Iron Maiden MK.3 super-prototype abandoned by the Seekers of Truth. Upon activation you have earned it’s loyalty. It has shape shifting properties to allow for torture of creatures possessing unusual dimensions like a lamia’s, up to crea"&amp;"tures of 12 feet in height. It can be placed on your property to deter intruders and has a host of sexual functions to assault both genders. It can also take the shape of furniture such as a chest or a wardrobe. If it is killed or damaged it will be able "&amp;"to self-repair even from disintegration in twenty four hours but will go into hibernation mode until further orders. It is fully sapient and intelligent and can understand complex orders, it is more than willing to let you safely partake of its pleasures "&amp;"if you request it. Furthermore it can make intelligent conversation and learn skills if you are willing to teach it. Lastly, it can make amazing dirty talk sure to arouse their victims or corrode their will and break their minds depending on orders and ho"&amp;"w she is feeling that day. However if it feels abused, bored or lonely (not a common occurrence) it might take things a bit farther than normal such as keeping you inside for thirty minutes to an hour longer than you asked or toy with it’s victims such as"&amp;" draining someone close to death, letting them recover, then as they try to run away trap them again. No matter what though, it would never harm it’s precious master’s mind by traumatizing it, unless of course that is what they want.")</f>
        <v>You have found an Iron Maiden MK.3 super-prototype abandoned by the Seekers of Truth. Upon activation you have earned it’s loyalty. It has shape shifting properties to allow for torture of creatures possessing unusual dimensions like a lamia’s, up to creatures of 12 feet in height. It can be placed on your property to deter intruders and has a host of sexual functions to assault both genders. It can also take the shape of furniture such as a chest or a wardrobe. If it is killed or damaged it will be able to self-repair even from disintegration in twenty four hours but will go into hibernation mode until further orders. It is fully sapient and intelligent and can understand complex orders, it is more than willing to let you safely partake of its pleasures if you request it. Furthermore it can make intelligent conversation and learn skills if you are willing to teach it. Lastly, it can make amazing dirty talk sure to arouse their victims or corrode their will and break their minds depending on orders and how she is feeling that day. However if it feels abused, bored or lonely (not a common occurrence) it might take things a bit farther than normal such as keeping you inside for thirty minutes to an hour longer than you asked or toy with it’s victims such as draining someone close to death, letting them recover, then as they try to run away trap them again. No matter what though, it would never harm it’s precious master’s mind by traumatizing it, unless of course that is what they want.</v>
      </c>
      <c r="I69" s="5"/>
    </row>
    <row r="70" spans="1:9" ht="121.8" x14ac:dyDescent="0.25">
      <c r="A70" s="16"/>
      <c r="B70" s="17">
        <v>66</v>
      </c>
      <c r="C70" s="2" t="b">
        <f ca="1">IFERROR(__xludf.DUMMYFUNCTION("""COMPUTED_VALUE"""),FALSE)</f>
        <v>0</v>
      </c>
      <c r="D70" s="2">
        <f ca="1">IFERROR(__xludf.DUMMYFUNCTION("""COMPUTED_VALUE"""),400)</f>
        <v>400</v>
      </c>
      <c r="E70" s="2" t="str">
        <f ca="1">IFERROR(__xludf.DUMMYFUNCTION("""COMPUTED_VALUE"""),"Iron Maiden Grip")</f>
        <v>Iron Maiden Grip</v>
      </c>
      <c r="F70" s="2" t="str">
        <f ca="1">IFERROR(__xludf.DUMMYFUNCTION("""COMPUTED_VALUE"""),"Metal &amp; Lace")</f>
        <v>Metal &amp; Lace</v>
      </c>
      <c r="G70" s="2" t="str">
        <f ca="1">IFERROR(__xludf.DUMMYFUNCTION("""COMPUTED_VALUE"""),"Corruption")</f>
        <v>Corruption</v>
      </c>
      <c r="H70" s="2" t="str">
        <f ca="1">IFERROR(__xludf.DUMMYFUNCTION("""COMPUTED_VALUE"""),"You know how a gal will be kicking ass and piling up bodies, but the moment someone grabs her by the wrist or upper arm, she suddenly turns into a helpless damsel? You can do that. Everyone’s ‘handle’ is slightly different, but you can identify it by brie"&amp;"f examination. Doesn’t work if the intended victim is significantly larger than you are (such that you can’t get good leverage), a machine, embodying a Silhouette (unless you are as well), or not actually female. Victims will instantly recognize if you’ve"&amp;" lapsed your grip enough for them to break free and retaliate, which can be disastrous if they’re significantly stronger, more skilled, or supernaturally empowered.")</f>
        <v>You know how a gal will be kicking ass and piling up bodies, but the moment someone grabs her by the wrist or upper arm, she suddenly turns into a helpless damsel? You can do that. Everyone’s ‘handle’ is slightly different, but you can identify it by brief examination. Doesn’t work if the intended victim is significantly larger than you are (such that you can’t get good leverage), a machine, embodying a Silhouette (unless you are as well), or not actually female. Victims will instantly recognize if you’ve lapsed your grip enough for them to break free and retaliate, which can be disastrous if they’re significantly stronger, more skilled, or supernaturally empowered.</v>
      </c>
      <c r="I70" s="5"/>
    </row>
    <row r="71" spans="1:9" ht="104.4" x14ac:dyDescent="0.25">
      <c r="A71" s="16"/>
      <c r="B71" s="17">
        <v>67</v>
      </c>
      <c r="C71" s="2" t="b">
        <f ca="1">IFERROR(__xludf.DUMMYFUNCTION("""COMPUTED_VALUE"""),FALSE)</f>
        <v>0</v>
      </c>
      <c r="D71" s="2">
        <f ca="1">IFERROR(__xludf.DUMMYFUNCTION("""COMPUTED_VALUE"""),400)</f>
        <v>400</v>
      </c>
      <c r="E71" s="2" t="str">
        <f ca="1">IFERROR(__xludf.DUMMYFUNCTION("""COMPUTED_VALUE"""),"Kinklestial Spirit Mage")</f>
        <v>Kinklestial Spirit Mage</v>
      </c>
      <c r="F71" s="2" t="str">
        <f ca="1">IFERROR(__xludf.DUMMYFUNCTION("""COMPUTED_VALUE"""),"Chichikko Bitch / Witch Bitch Collection")</f>
        <v>Chichikko Bitch / Witch Bitch Collection</v>
      </c>
      <c r="G71" s="2" t="str">
        <f ca="1">IFERROR(__xludf.DUMMYFUNCTION("""COMPUTED_VALUE"""),"Corruption")</f>
        <v>Corruption</v>
      </c>
      <c r="H71" s="2" t="str">
        <f ca="1">IFERROR(__xludf.DUMMYFUNCTION("""COMPUTED_VALUE"""),"You know, it’s a bit interesting that both Lucy and Yukino are massive sluts. Lucy at least does it for money - Yukino just likes getting gangbanged. Once is a coincidence, but twice is a pattern. See, right now, two is actually just under half the female"&amp;" celestial spirit mages. It stands to reason then, that the others are massive whores as well. In other words, you can basically infect a specific demographic (for example: pyromancer wizards, tinker heroes) with lewdness via fucking it’s members.")</f>
        <v>You know, it’s a bit interesting that both Lucy and Yukino are massive sluts. Lucy at least does it for money - Yukino just likes getting gangbanged. Once is a coincidence, but twice is a pattern. See, right now, two is actually just under half the female celestial spirit mages. It stands to reason then, that the others are massive whores as well. In other words, you can basically infect a specific demographic (for example: pyromancer wizards, tinker heroes) with lewdness via fucking it’s members.</v>
      </c>
      <c r="I71" s="5"/>
    </row>
    <row r="72" spans="1:9" ht="87" x14ac:dyDescent="0.25">
      <c r="A72" s="16"/>
      <c r="B72" s="17">
        <v>68</v>
      </c>
      <c r="C72" s="2" t="b">
        <f ca="1">IFERROR(__xludf.DUMMYFUNCTION("""COMPUTED_VALUE"""),FALSE)</f>
        <v>0</v>
      </c>
      <c r="D72" s="2">
        <f ca="1">IFERROR(__xludf.DUMMYFUNCTION("""COMPUTED_VALUE"""),400)</f>
        <v>400</v>
      </c>
      <c r="E72" s="2" t="str">
        <f ca="1">IFERROR(__xludf.DUMMYFUNCTION("""COMPUTED_VALUE"""),"Light Touch")</f>
        <v>Light Touch</v>
      </c>
      <c r="F72" s="2" t="str">
        <f ca="1">IFERROR(__xludf.DUMMYFUNCTION("""COMPUTED_VALUE"""),"Generic: Hentai Occult")</f>
        <v>Generic: Hentai Occult</v>
      </c>
      <c r="G72" s="2" t="str">
        <f ca="1">IFERROR(__xludf.DUMMYFUNCTION("""COMPUTED_VALUE"""),"Corruption")</f>
        <v>Corruption</v>
      </c>
      <c r="H72" s="2" t="str">
        <f ca="1">IFERROR(__xludf.DUMMYFUNCTION("""COMPUTED_VALUE"""),"You could modify a person into believing whatever you want, warp their body to fit your tastes... or you could make them change themselves to please you, or to pleasure themselves. You have a knack for the tools and toys that grant you your power, getting"&amp;" larger effects from smaller changes. Why bother dedicating any real effort towards acquiring an asset when you could issue just one or two commands, and set of a chain of dominoes that could save you days or weeks?")</f>
        <v>You could modify a person into believing whatever you want, warp their body to fit your tastes... or you could make them change themselves to please you, or to pleasure themselves. You have a knack for the tools and toys that grant you your power, getting larger effects from smaller changes. Why bother dedicating any real effort towards acquiring an asset when you could issue just one or two commands, and set of a chain of dominoes that could save you days or weeks?</v>
      </c>
      <c r="I72" s="5"/>
    </row>
    <row r="73" spans="1:9" ht="261" x14ac:dyDescent="0.25">
      <c r="A73" s="16"/>
      <c r="B73" s="17">
        <v>69</v>
      </c>
      <c r="C73" s="2" t="b">
        <f ca="1">IFERROR(__xludf.DUMMYFUNCTION("""COMPUTED_VALUE"""),FALSE)</f>
        <v>0</v>
      </c>
      <c r="D73" s="2">
        <f ca="1">IFERROR(__xludf.DUMMYFUNCTION("""COMPUTED_VALUE"""),400)</f>
        <v>400</v>
      </c>
      <c r="E73" s="2" t="str">
        <f ca="1">IFERROR(__xludf.DUMMYFUNCTION("""COMPUTED_VALUE"""),"My Erona")</f>
        <v>My Erona</v>
      </c>
      <c r="F73" s="2" t="str">
        <f ca="1">IFERROR(__xludf.DUMMYFUNCTION("""COMPUTED_VALUE"""),"Erona")</f>
        <v>Erona</v>
      </c>
      <c r="G73" s="2" t="str">
        <f ca="1">IFERROR(__xludf.DUMMYFUNCTION("""COMPUTED_VALUE"""),"Corruption")</f>
        <v>Corruption</v>
      </c>
      <c r="H73" s="2" t="str">
        <f ca="1">IFERROR(__xludf.DUMMYFUNCTION("""COMPUTED_VALUE"""),"Occasionally a slave you spent so hard training could find a way to escape your grasp, or a noble knight could force you to retreat and ‘rescue’ his loved one. Your slave could even have the gall to find some magic and remove your curse mark and the memor"&amp;"y of any conditioning you put her through and go off to live a ‘happily ever after’. But no matter in what way she runs, your slave could never forget her time at your feet, and the memories will haunt her dreams and make it so that she will find no sexua"&amp;"l relief at her own hand or the hands of her spouse. Eventually, she will find herself coming back to you out of the mistaken belief she can take revenge. Of course the moment she comes face to face with you, all the training you put her through will come"&amp;" crashing back down on her, leaving even the strongest-willed knights to fall to their knees and beg you to make them yours again.
After willingly giving themselves up again, any tricks, like memory alteration or purging their bodies of foreign magics, "&amp;"that their former friends or allies try to do to bring them back will be completely ineffective; they may have been blinded by magic and lust before, but they now serve you of their own free will.")</f>
        <v>Occasionally a slave you spent so hard training could find a way to escape your grasp, or a noble knight could force you to retreat and ‘rescue’ his loved one. Your slave could even have the gall to find some magic and remove your curse mark and the memory of any conditioning you put her through and go off to live a ‘happily ever after’. But no matter in what way she runs, your slave could never forget her time at your feet, and the memories will haunt her dreams and make it so that she will find no sexual relief at her own hand or the hands of her spouse. Eventually, she will find herself coming back to you out of the mistaken belief she can take revenge. Of course the moment she comes face to face with you, all the training you put her through will come crashing back down on her, leaving even the strongest-willed knights to fall to their knees and beg you to make them yours again.
After willingly giving themselves up again, any tricks, like memory alteration or purging their bodies of foreign magics, that their former friends or allies try to do to bring them back will be completely ineffective; they may have been blinded by magic and lust before, but they now serve you of their own free will.</v>
      </c>
      <c r="I73" s="5"/>
    </row>
    <row r="74" spans="1:9" ht="156.6" x14ac:dyDescent="0.25">
      <c r="A74" s="16"/>
      <c r="B74" s="17">
        <v>70</v>
      </c>
      <c r="C74" s="2" t="b">
        <f ca="1">IFERROR(__xludf.DUMMYFUNCTION("""COMPUTED_VALUE"""),FALSE)</f>
        <v>0</v>
      </c>
      <c r="D74" s="2">
        <f ca="1">IFERROR(__xludf.DUMMYFUNCTION("""COMPUTED_VALUE"""),400)</f>
        <v>400</v>
      </c>
      <c r="E74" s="2" t="str">
        <f ca="1">IFERROR(__xludf.DUMMYFUNCTION("""COMPUTED_VALUE"""),"Pleasure Slave")</f>
        <v>Pleasure Slave</v>
      </c>
      <c r="F74" s="2" t="str">
        <f ca="1">IFERROR(__xludf.DUMMYFUNCTION("""COMPUTED_VALUE"""),"Earth Defense Team Star Guardians")</f>
        <v>Earth Defense Team Star Guardians</v>
      </c>
      <c r="G74" s="2" t="str">
        <f ca="1">IFERROR(__xludf.DUMMYFUNCTION("""COMPUTED_VALUE"""),"Corruption")</f>
        <v>Corruption</v>
      </c>
      <c r="H74" s="2" t="str">
        <f ca="1">IFERROR(__xludf.DUMMYFUNCTION("""COMPUTED_VALUE"""),"The most insidious part of the Dystopian conquest isn’t how they turn free people into slaves, but how they can make those slaves enjoy becoming the playthings of their new masters. You are a master slave trainer, skilled not only at breaking down the wil"&amp;"ls of your captives but also at building them back up again once you’ve broken them, turning your enemies into loyal pawns or mindless pets or whatever you have in mind for them. Moreover, unlike most slave trainers you needn’t torture your pets with conv"&amp;"entional methods to break their wills. Pain and discipline may have their place, but in your hands pleasure alone can turn a defiant slave into a mewling pet begging for her next orgasm. It will take time to break strong-willed girls like the Star Guardia"&amp;"ns but even those brave little heroines can be brought to heel with enough time and patience...")</f>
        <v>The most insidious part of the Dystopian conquest isn’t how they turn free people into slaves, but how they can make those slaves enjoy becoming the playthings of their new masters. You are a master slave trainer, skilled not only at breaking down the wills of your captives but also at building them back up again once you’ve broken them, turning your enemies into loyal pawns or mindless pets or whatever you have in mind for them. Moreover, unlike most slave trainers you needn’t torture your pets with conventional methods to break their wills. Pain and discipline may have their place, but in your hands pleasure alone can turn a defiant slave into a mewling pet begging for her next orgasm. It will take time to break strong-willed girls like the Star Guardians but even those brave little heroines can be brought to heel with enough time and patience...</v>
      </c>
      <c r="I74" s="5"/>
    </row>
    <row r="75" spans="1:9" ht="191.4" x14ac:dyDescent="0.25">
      <c r="A75" s="16"/>
      <c r="B75" s="17">
        <v>71</v>
      </c>
      <c r="C75" s="2" t="b">
        <f ca="1">IFERROR(__xludf.DUMMYFUNCTION("""COMPUTED_VALUE"""),FALSE)</f>
        <v>0</v>
      </c>
      <c r="D75" s="2">
        <f ca="1">IFERROR(__xludf.DUMMYFUNCTION("""COMPUTED_VALUE"""),400)</f>
        <v>400</v>
      </c>
      <c r="E75" s="2" t="str">
        <f ca="1">IFERROR(__xludf.DUMMYFUNCTION("""COMPUTED_VALUE"""),"Poisonous Friendships")</f>
        <v>Poisonous Friendships</v>
      </c>
      <c r="F75" s="2" t="str">
        <f ca="1">IFERROR(__xludf.DUMMYFUNCTION("""COMPUTED_VALUE"""),"Majuu Purification Girl Utea")</f>
        <v>Majuu Purification Girl Utea</v>
      </c>
      <c r="G75" s="2" t="str">
        <f ca="1">IFERROR(__xludf.DUMMYFUNCTION("""COMPUTED_VALUE"""),"Corruption")</f>
        <v>Corruption</v>
      </c>
      <c r="H75" s="2" t="str">
        <f ca="1">IFERROR(__xludf.DUMMYFUNCTION("""COMPUTED_VALUE"""),"The very bonds that make help the Utea a force to be reckoned with can also become chains that shackle them to each other, and when one magical girl falls to darkness she might very well drag her friends down with her if they don’t save her quickly. But f"&amp;"or a dark magical girl this is quite ideal: who better than friends and loved ones to receive her dark gifts? Your relationships are the ideal vectors for spreading corruption to other people, allowing you to bypass resistances and immunities that might n"&amp;"ormally stop such magics by exploiting what they feel for you, even those for whom your friendship was an act all along. Even once you reveal your true nature those who fell for the act will still struggle to fight their so-called friend, pulling their pu"&amp;"nches and trying to capture and redeem you rather than dealing with you like any other opponent. Even if they do capture and purify you, you can choose to use the experience of hiding your corruption to husband a tiny ember of darkness deep in your womb r"&amp;"eady to be stoked into a raging bonfire once more.")</f>
        <v>The very bonds that make help the Utea a force to be reckoned with can also become chains that shackle them to each other, and when one magical girl falls to darkness she might very well drag her friends down with her if they don’t save her quickly. But for a dark magical girl this is quite ideal: who better than friends and loved ones to receive her dark gifts? Your relationships are the ideal vectors for spreading corruption to other people, allowing you to bypass resistances and immunities that might normally stop such magics by exploiting what they feel for you, even those for whom your friendship was an act all along. Even once you reveal your true nature those who fell for the act will still struggle to fight their so-called friend, pulling their punches and trying to capture and redeem you rather than dealing with you like any other opponent. Even if they do capture and purify you, you can choose to use the experience of hiding your corruption to husband a tiny ember of darkness deep in your womb ready to be stoked into a raging bonfire once more.</v>
      </c>
      <c r="I75" s="5"/>
    </row>
    <row r="76" spans="1:9" ht="87" x14ac:dyDescent="0.25">
      <c r="A76" s="16"/>
      <c r="B76" s="17">
        <v>72</v>
      </c>
      <c r="C76" s="2" t="b">
        <f ca="1">IFERROR(__xludf.DUMMYFUNCTION("""COMPUTED_VALUE"""),FALSE)</f>
        <v>0</v>
      </c>
      <c r="D76" s="2">
        <f ca="1">IFERROR(__xludf.DUMMYFUNCTION("""COMPUTED_VALUE"""),400)</f>
        <v>400</v>
      </c>
      <c r="E76" s="2" t="str">
        <f ca="1">IFERROR(__xludf.DUMMYFUNCTION("""COMPUTED_VALUE"""),"Power Begets Powerlessness")</f>
        <v>Power Begets Powerlessness</v>
      </c>
      <c r="F76" s="2" t="str">
        <f ca="1">IFERROR(__xludf.DUMMYFUNCTION("""COMPUTED_VALUE"""),"Fate / Blacked")</f>
        <v>Fate / Blacked</v>
      </c>
      <c r="G76" s="2" t="str">
        <f ca="1">IFERROR(__xludf.DUMMYFUNCTION("""COMPUTED_VALUE"""),"Corruption")</f>
        <v>Corruption</v>
      </c>
      <c r="H76" s="2" t="str">
        <f ca="1">IFERROR(__xludf.DUMMYFUNCTION("""COMPUTED_VALUE"""),"Heroes, goddesses, immortal god queens, you know what they all have in common? They don’t yet realize they’re addicted to cock. Their resistance is still likely to happen if they can remember to do so, but for some reason the personal power levels of your"&amp;" new breeding bitch only serve to make their enjoyment of their enslavement even harder to resist. A normal woman might feel bad about cheating, a goddess wouldn’t bother.")</f>
        <v>Heroes, goddesses, immortal god queens, you know what they all have in common? They don’t yet realize they’re addicted to cock. Their resistance is still likely to happen if they can remember to do so, but for some reason the personal power levels of your new breeding bitch only serve to make their enjoyment of their enslavement even harder to resist. A normal woman might feel bad about cheating, a goddess wouldn’t bother.</v>
      </c>
      <c r="I76" s="5"/>
    </row>
    <row r="77" spans="1:9" ht="104.4" x14ac:dyDescent="0.25">
      <c r="A77" s="16"/>
      <c r="B77" s="17">
        <v>73</v>
      </c>
      <c r="C77" s="2" t="b">
        <f ca="1">IFERROR(__xludf.DUMMYFUNCTION("""COMPUTED_VALUE"""),FALSE)</f>
        <v>0</v>
      </c>
      <c r="D77" s="2">
        <f ca="1">IFERROR(__xludf.DUMMYFUNCTION("""COMPUTED_VALUE"""),400)</f>
        <v>400</v>
      </c>
      <c r="E77" s="2" t="str">
        <f ca="1">IFERROR(__xludf.DUMMYFUNCTION("""COMPUTED_VALUE"""),"Revenge in Kind")</f>
        <v>Revenge in Kind</v>
      </c>
      <c r="F77" s="2" t="str">
        <f ca="1">IFERROR(__xludf.DUMMYFUNCTION("""COMPUTED_VALUE"""),"Generic: Hentai Magical Girl")</f>
        <v>Generic: Hentai Magical Girl</v>
      </c>
      <c r="G77" s="2" t="str">
        <f ca="1">IFERROR(__xludf.DUMMYFUNCTION("""COMPUTED_VALUE"""),"Corruption")</f>
        <v>Corruption</v>
      </c>
      <c r="H77" s="2" t="str">
        <f ca="1">IFERROR(__xludf.DUMMYFUNCTION("""COMPUTED_VALUE"""),"So, you beat the Shoujo into the ground and took your reward from her. Probably her virginity. All of them. Regardless, unless you’re the scheming type with a lair and minions, you probably left her there, lying in a pool of cum. But you know she’ll be ba"&amp;"ck right? She’ll want to beat you into the ground and blast you with whatever her special move is until you’re dead and gone. Thankfully however, she’s become convinced that she needs to take revenge in the same manner, to beat you at your own game. She n"&amp;"eeds to rape you. As you can imagine, this is probably doomed to failure.")</f>
        <v>So, you beat the Shoujo into the ground and took your reward from her. Probably her virginity. All of them. Regardless, unless you’re the scheming type with a lair and minions, you probably left her there, lying in a pool of cum. But you know she’ll be back right? She’ll want to beat you into the ground and blast you with whatever her special move is until you’re dead and gone. Thankfully however, she’s become convinced that she needs to take revenge in the same manner, to beat you at your own game. She needs to rape you. As you can imagine, this is probably doomed to failure.</v>
      </c>
      <c r="I77" s="5"/>
    </row>
    <row r="78" spans="1:9" ht="243.6" x14ac:dyDescent="0.25">
      <c r="A78" s="16"/>
      <c r="B78" s="17">
        <v>74</v>
      </c>
      <c r="C78" s="2" t="b">
        <f ca="1">IFERROR(__xludf.DUMMYFUNCTION("""COMPUTED_VALUE"""),FALSE)</f>
        <v>0</v>
      </c>
      <c r="D78" s="2">
        <f ca="1">IFERROR(__xludf.DUMMYFUNCTION("""COMPUTED_VALUE"""),400)</f>
        <v>400</v>
      </c>
      <c r="E78" s="2" t="str">
        <f ca="1">IFERROR(__xludf.DUMMYFUNCTION("""COMPUTED_VALUE"""),"Sharp Minds, Captured Hearts")</f>
        <v>Sharp Minds, Captured Hearts</v>
      </c>
      <c r="F78" s="2" t="str">
        <f ca="1">IFERROR(__xludf.DUMMYFUNCTION("""COMPUTED_VALUE"""),"World of Lewd Elves")</f>
        <v>World of Lewd Elves</v>
      </c>
      <c r="G78" s="2" t="str">
        <f ca="1">IFERROR(__xludf.DUMMYFUNCTION("""COMPUTED_VALUE"""),"Corruption")</f>
        <v>Corruption</v>
      </c>
      <c r="H78" s="2" t="str">
        <f ca="1">IFERROR(__xludf.DUMMYFUNCTION("""COMPUTED_VALUE"""),"Well, breaking a haughty elf into your personal meat toilet is nice and all, but it loses its charm when you realize you actually lost a valuable ally in favor of a glorified stress reliever. At least you won’t have to deal with those troubles anymore, no"&amp;"w the ‘victims’ of your ‘love’ retain their physical and mental faculties even after being broken into your loyal toys. Sure a warrior might constantly fantasize about being pierced by your ‘sword’ but she will be just as skilled in fighting and training "&amp;"than as if you hadn’t fucked her into submission and a noble would be just as sharp witted and clever as ever, even if she would happily stop whatever plot she is working on to suck you off under the table. As an added bonus those you turn into loyal sex "&amp;"slaves seem to become really good at acting as if nothing has changed, even an attentive boyfriend would think absolutely nothing is wrong even when his ‘loyal’ girlfriend was cheerfully fucking you behind his back and a whole city would be capable of foo"&amp;"ling most outsiders that everything is normal and that you haven’t made it into a sexual paradise.
You can still choose to make them nothing but sexblobs if you want though.")</f>
        <v>Well, breaking a haughty elf into your personal meat toilet is nice and all, but it loses its charm when you realize you actually lost a valuable ally in favor of a glorified stress reliever. At least you won’t have to deal with those troubles anymore, now the ‘victims’ of your ‘love’ retain their physical and mental faculties even after being broken into your loyal toys. Sure a warrior might constantly fantasize about being pierced by your ‘sword’ but she will be just as skilled in fighting and training than as if you hadn’t fucked her into submission and a noble would be just as sharp witted and clever as ever, even if she would happily stop whatever plot she is working on to suck you off under the table. As an added bonus those you turn into loyal sex slaves seem to become really good at acting as if nothing has changed, even an attentive boyfriend would think absolutely nothing is wrong even when his ‘loyal’ girlfriend was cheerfully fucking you behind his back and a whole city would be capable of fooling most outsiders that everything is normal and that you haven’t made it into a sexual paradise.
You can still choose to make them nothing but sexblobs if you want though.</v>
      </c>
      <c r="I78" s="5"/>
    </row>
    <row r="79" spans="1:9" ht="174" x14ac:dyDescent="0.25">
      <c r="A79" s="16"/>
      <c r="B79" s="17">
        <v>75</v>
      </c>
      <c r="C79" s="2" t="b">
        <f ca="1">IFERROR(__xludf.DUMMYFUNCTION("""COMPUTED_VALUE"""),FALSE)</f>
        <v>0</v>
      </c>
      <c r="D79" s="2">
        <f ca="1">IFERROR(__xludf.DUMMYFUNCTION("""COMPUTED_VALUE"""),400)</f>
        <v>400</v>
      </c>
      <c r="E79" s="2" t="str">
        <f ca="1">IFERROR(__xludf.DUMMYFUNCTION("""COMPUTED_VALUE"""),"Slave Contract")</f>
        <v>Slave Contract</v>
      </c>
      <c r="F79" s="2" t="str">
        <f ca="1">IFERROR(__xludf.DUMMYFUNCTION("""COMPUTED_VALUE"""),"Gun Tribe")</f>
        <v>Gun Tribe</v>
      </c>
      <c r="G79" s="2" t="str">
        <f ca="1">IFERROR(__xludf.DUMMYFUNCTION("""COMPUTED_VALUE"""),"Corruption")</f>
        <v>Corruption</v>
      </c>
      <c r="H79" s="2" t="str">
        <f ca="1">IFERROR(__xludf.DUMMYFUNCTION("""COMPUTED_VALUE"""),"Slavery is a very recent part of history in this version of America, and something that could get you in a lot of trouble for engaging in it—or it could have, before you purchased this item. By buying this paper, you are legally considered the owner of al"&amp;"l the slaves that you possess, regardless of the law’s actual stance on slavery. But more than legal protection of having slaves, you are a giant social blind spot. When it comes to you and your slaves, even the most ardently pro-freedom individual will a"&amp;"ccept your right to have a slave and not find anything strange about it. This applies to both slaves you own at the start of the jump, and those you take; people might fight against you when you try to claim someone as a slave, but once you’ve taken them "&amp;"as your own and are indisputably their master, even those that previously fought for their rights will accept that you are their new owner and stand aside.")</f>
        <v>Slavery is a very recent part of history in this version of America, and something that could get you in a lot of trouble for engaging in it—or it could have, before you purchased this item. By buying this paper, you are legally considered the owner of all the slaves that you possess, regardless of the law’s actual stance on slavery. But more than legal protection of having slaves, you are a giant social blind spot. When it comes to you and your slaves, even the most ardently pro-freedom individual will accept your right to have a slave and not find anything strange about it. This applies to both slaves you own at the start of the jump, and those you take; people might fight against you when you try to claim someone as a slave, but once you’ve taken them as your own and are indisputably their master, even those that previously fought for their rights will accept that you are their new owner and stand aside.</v>
      </c>
      <c r="I79" s="5"/>
    </row>
    <row r="80" spans="1:9" ht="121.8" x14ac:dyDescent="0.25">
      <c r="A80" s="16"/>
      <c r="B80" s="17">
        <v>76</v>
      </c>
      <c r="C80" s="2" t="b">
        <f ca="1">IFERROR(__xludf.DUMMYFUNCTION("""COMPUTED_VALUE"""),FALSE)</f>
        <v>0</v>
      </c>
      <c r="D80" s="2">
        <f ca="1">IFERROR(__xludf.DUMMYFUNCTION("""COMPUTED_VALUE"""),400)</f>
        <v>400</v>
      </c>
      <c r="E80" s="2" t="str">
        <f ca="1">IFERROR(__xludf.DUMMYFUNCTION("""COMPUTED_VALUE"""),"Slave Trainer")</f>
        <v>Slave Trainer</v>
      </c>
      <c r="F80" s="2" t="str">
        <f ca="1">IFERROR(__xludf.DUMMYFUNCTION("""COMPUTED_VALUE"""),"Free Cities - 9anon Edition")</f>
        <v>Free Cities - 9anon Edition</v>
      </c>
      <c r="G80" s="2" t="str">
        <f ca="1">IFERROR(__xludf.DUMMYFUNCTION("""COMPUTED_VALUE"""),"Corruption")</f>
        <v>Corruption</v>
      </c>
      <c r="H80" s="2" t="str">
        <f ca="1">IFERROR(__xludf.DUMMYFUNCTION("""COMPUTED_VALUE"""),"A skilled slave is a valuable slave, and you have the skills and know-how to make even the most useless slave worth having around. Beyond knowing how to instill your thralls with a mastery of the sexual arts and all manner of skills that’re practical to a"&amp;" slave, you’re also able to teach them any skills you personally possess rather quickly, even if they don’t have the capacity for them. Like teaching magic to someone without the ability to use it, or getting a dunce up to speed on quantum physics. This i"&amp;"s still on the scale of many weeks, probably months, but that’s likely far faster than normal.")</f>
        <v>A skilled slave is a valuable slave, and you have the skills and know-how to make even the most useless slave worth having around. Beyond knowing how to instill your thralls with a mastery of the sexual arts and all manner of skills that’re practical to a slave, you’re also able to teach them any skills you personally possess rather quickly, even if they don’t have the capacity for them. Like teaching magic to someone without the ability to use it, or getting a dunce up to speed on quantum physics. This is still on the scale of many weeks, probably months, but that’s likely far faster than normal.</v>
      </c>
      <c r="I80" s="5"/>
    </row>
    <row r="81" spans="1:9" ht="121.8" x14ac:dyDescent="0.25">
      <c r="A81" s="16"/>
      <c r="B81" s="17">
        <v>77</v>
      </c>
      <c r="C81" s="2" t="b">
        <f ca="1">IFERROR(__xludf.DUMMYFUNCTION("""COMPUTED_VALUE"""),FALSE)</f>
        <v>0</v>
      </c>
      <c r="D81" s="2">
        <f ca="1">IFERROR(__xludf.DUMMYFUNCTION("""COMPUTED_VALUE"""),400)</f>
        <v>400</v>
      </c>
      <c r="E81" s="2" t="str">
        <f ca="1">IFERROR(__xludf.DUMMYFUNCTION("""COMPUTED_VALUE"""),"Slut Breaker")</f>
        <v>Slut Breaker</v>
      </c>
      <c r="F81" s="2" t="str">
        <f ca="1">IFERROR(__xludf.DUMMYFUNCTION("""COMPUTED_VALUE"""),"Generic: Hentai World")</f>
        <v>Generic: Hentai World</v>
      </c>
      <c r="G81" s="2" t="str">
        <f ca="1">IFERROR(__xludf.DUMMYFUNCTION("""COMPUTED_VALUE"""),"Corruption")</f>
        <v>Corruption</v>
      </c>
      <c r="H81" s="2" t="str">
        <f ca="1">IFERROR(__xludf.DUMMYFUNCTION("""COMPUTED_VALUE"""),"You find that, despite their feelings or intentions, even virgins act like sluts once you have gotten properly started on them. As you force pleasure upon, or take your own from someone, they find their attempts to resist you weakening. Progressively thei"&amp;"r body will cooperate no matter what their mind thinks, their hips grinding without prompting or their tongue swirling even though they wish to bite down. The more often you inflict this state on someone the easier they fall back into it and the longer it"&amp;" will last even while they are not being actively stimulated. Keep it up and you can see the hatred in their eyes even as they dress like a whore or dance for your pleasure.")</f>
        <v>You find that, despite their feelings or intentions, even virgins act like sluts once you have gotten properly started on them. As you force pleasure upon, or take your own from someone, they find their attempts to resist you weakening. Progressively their body will cooperate no matter what their mind thinks, their hips grinding without prompting or their tongue swirling even though they wish to bite down. The more often you inflict this state on someone the easier they fall back into it and the longer it will last even while they are not being actively stimulated. Keep it up and you can see the hatred in their eyes even as they dress like a whore or dance for your pleasure.</v>
      </c>
      <c r="I81" s="5"/>
    </row>
    <row r="82" spans="1:9" ht="104.4" x14ac:dyDescent="0.25">
      <c r="A82" s="16"/>
      <c r="B82" s="17">
        <v>78</v>
      </c>
      <c r="C82" s="2" t="b">
        <f ca="1">IFERROR(__xludf.DUMMYFUNCTION("""COMPUTED_VALUE"""),FALSE)</f>
        <v>0</v>
      </c>
      <c r="D82" s="2">
        <f ca="1">IFERROR(__xludf.DUMMYFUNCTION("""COMPUTED_VALUE"""),400)</f>
        <v>400</v>
      </c>
      <c r="E82" s="2" t="str">
        <f ca="1">IFERROR(__xludf.DUMMYFUNCTION("""COMPUTED_VALUE"""),"Slut Sorting Algorithm")</f>
        <v>Slut Sorting Algorithm</v>
      </c>
      <c r="F82" s="2" t="str">
        <f ca="1">IFERROR(__xludf.DUMMYFUNCTION("""COMPUTED_VALUE"""),"Generic: Hentai Occult")</f>
        <v>Generic: Hentai Occult</v>
      </c>
      <c r="G82" s="2" t="str">
        <f ca="1">IFERROR(__xludf.DUMMYFUNCTION("""COMPUTED_VALUE"""),"Corruption")</f>
        <v>Corruption</v>
      </c>
      <c r="H82" s="2" t="str">
        <f ca="1">IFERROR(__xludf.DUMMYFUNCTION("""COMPUTED_VALUE"""),"Most people will tell you that people cannot be reduced down to numbers. Most companies will try anyways, in an ever escalating and privacy invading attempt to sell you things. You, along with the council of censored faces, have pooled resource to put thi"&amp;"s together. A computer program that finds the women out there in the world who just need the tiniest push to dedicate their lives to lust. It also records the patterns of what does and doesn't work to make them fall, and will slowly learn to advise you on"&amp;" the process.")</f>
        <v>Most people will tell you that people cannot be reduced down to numbers. Most companies will try anyways, in an ever escalating and privacy invading attempt to sell you things. You, along with the council of censored faces, have pooled resource to put this together. A computer program that finds the women out there in the world who just need the tiniest push to dedicate their lives to lust. It also records the patterns of what does and doesn't work to make them fall, and will slowly learn to advise you on the process.</v>
      </c>
      <c r="I82" s="5"/>
    </row>
    <row r="83" spans="1:9" ht="191.4" x14ac:dyDescent="0.25">
      <c r="A83" s="16"/>
      <c r="B83" s="17">
        <v>79</v>
      </c>
      <c r="C83" s="2" t="b">
        <f ca="1">IFERROR(__xludf.DUMMYFUNCTION("""COMPUTED_VALUE"""),FALSE)</f>
        <v>0</v>
      </c>
      <c r="D83" s="2">
        <f ca="1">IFERROR(__xludf.DUMMYFUNCTION("""COMPUTED_VALUE"""),400)</f>
        <v>400</v>
      </c>
      <c r="E83" s="2" t="str">
        <f ca="1">IFERROR(__xludf.DUMMYFUNCTION("""COMPUTED_VALUE"""),"Subjugation")</f>
        <v>Subjugation</v>
      </c>
      <c r="F83" s="2" t="str">
        <f ca="1">IFERROR(__xludf.DUMMYFUNCTION("""COMPUTED_VALUE"""),"Collar 6")</f>
        <v>Collar 6</v>
      </c>
      <c r="G83" s="2" t="str">
        <f ca="1">IFERROR(__xludf.DUMMYFUNCTION("""COMPUTED_VALUE"""),"Corruption")</f>
        <v>Corruption</v>
      </c>
      <c r="H83" s="2" t="str">
        <f ca="1">IFERROR(__xludf.DUMMYFUNCTION("""COMPUTED_VALUE"""),"If you can keep someone under your thumb, you can eventually bring them to heel. Doing this might not be easy or even practical in the most extreme cases, but the possibility will always exist, if you look for it. Always. “Absolute” mental defenses will t"&amp;"urn out to have some tiny weakness you can exploit, “infinite” willpower will eventually run out for a short while, and the most intractably stubborn personalities will turn out to have some kind of fear you can use to your advantage. What form this oppor"&amp;"tunity takes will never be immediately obvious, but it will be there.
Moreover, this perk also lets you know how close you are to the red lines of breaking someone beyond recovery, just in case you want to take a step back and avoid personality death. A"&amp;"fter all, you’re not a little kid and, if you break your toys, it won’t be an accident, but because you wanted them broken.")</f>
        <v>If you can keep someone under your thumb, you can eventually bring them to heel. Doing this might not be easy or even practical in the most extreme cases, but the possibility will always exist, if you look for it. Always. “Absolute” mental defenses will turn out to have some tiny weakness you can exploit, “infinite” willpower will eventually run out for a short while, and the most intractably stubborn personalities will turn out to have some kind of fear you can use to your advantage. What form this opportunity takes will never be immediately obvious, but it will be there.
Moreover, this perk also lets you know how close you are to the red lines of breaking someone beyond recovery, just in case you want to take a step back and avoid personality death. After all, you’re not a little kid and, if you break your toys, it won’t be an accident, but because you wanted them broken.</v>
      </c>
      <c r="I83" s="5"/>
    </row>
    <row r="84" spans="1:9" ht="174" x14ac:dyDescent="0.25">
      <c r="A84" s="16"/>
      <c r="B84" s="17">
        <v>80</v>
      </c>
      <c r="C84" s="2" t="b">
        <f ca="1">IFERROR(__xludf.DUMMYFUNCTION("""COMPUTED_VALUE"""),FALSE)</f>
        <v>0</v>
      </c>
      <c r="D84" s="2">
        <f ca="1">IFERROR(__xludf.DUMMYFUNCTION("""COMPUTED_VALUE"""),400)</f>
        <v>400</v>
      </c>
      <c r="E84" s="2" t="str">
        <f ca="1">IFERROR(__xludf.DUMMYFUNCTION("""COMPUTED_VALUE"""),"The ‘Rewards’ of Loyalty")</f>
        <v>The ‘Rewards’ of Loyalty</v>
      </c>
      <c r="F84" s="2" t="str">
        <f ca="1">IFERROR(__xludf.DUMMYFUNCTION("""COMPUTED_VALUE"""),"Kuroinu")</f>
        <v>Kuroinu</v>
      </c>
      <c r="G84" s="2" t="str">
        <f ca="1">IFERROR(__xludf.DUMMYFUNCTION("""COMPUTED_VALUE"""),"Corruption")</f>
        <v>Corruption</v>
      </c>
      <c r="H84" s="2" t="str">
        <f ca="1">IFERROR(__xludf.DUMMYFUNCTION("""COMPUTED_VALUE"""),"You’d think a group or empire that runs basically on lust would crumble the moment it meets any stiff resistance, but you’d be wrong. The men under your command, when motivated by proper ‘rewards’ seem to fight like devils, fighting when many other men wo"&amp;"uld have already broke and ran. A ragtag group of mercenaries, for instance, could even take the heavily defended Sixth Fortress from the Seven Shield Alliance’s most veteran knights. Give them enough ‘rewards’ and your men would be unshakably loyal to yo"&amp;"u and to your lust filled campaign. I guess you could also just pay them in gold and plunder too...but where’s the fun in that?
If your army so happened to be made up of women instead, then they will be motivated to fight at similar levels for a chance "&amp;"to be ‘rewarded’ by you, or any captive men (or women) you have.")</f>
        <v>You’d think a group or empire that runs basically on lust would crumble the moment it meets any stiff resistance, but you’d be wrong. The men under your command, when motivated by proper ‘rewards’ seem to fight like devils, fighting when many other men would have already broke and ran. A ragtag group of mercenaries, for instance, could even take the heavily defended Sixth Fortress from the Seven Shield Alliance’s most veteran knights. Give them enough ‘rewards’ and your men would be unshakably loyal to you and to your lust filled campaign. I guess you could also just pay them in gold and plunder too...but where’s the fun in that?
If your army so happened to be made up of women instead, then they will be motivated to fight at similar levels for a chance to be ‘rewarded’ by you, or any captive men (or women) you have.</v>
      </c>
      <c r="I84" s="5"/>
    </row>
    <row r="85" spans="1:9" ht="191.4" x14ac:dyDescent="0.25">
      <c r="A85" s="16"/>
      <c r="B85" s="17">
        <v>81</v>
      </c>
      <c r="C85" s="2" t="b">
        <f ca="1">IFERROR(__xludf.DUMMYFUNCTION("""COMPUTED_VALUE"""),FALSE)</f>
        <v>0</v>
      </c>
      <c r="D85" s="2">
        <f ca="1">IFERROR(__xludf.DUMMYFUNCTION("""COMPUTED_VALUE"""),400)</f>
        <v>400</v>
      </c>
      <c r="E85" s="2" t="str">
        <f ca="1">IFERROR(__xludf.DUMMYFUNCTION("""COMPUTED_VALUE"""),"The Lewd Virus")</f>
        <v>The Lewd Virus</v>
      </c>
      <c r="F85" s="2" t="str">
        <f ca="1">IFERROR(__xludf.DUMMYFUNCTION("""COMPUTED_VALUE"""),"Lewd Virus")</f>
        <v>Lewd Virus</v>
      </c>
      <c r="G85" s="2" t="str">
        <f ca="1">IFERROR(__xludf.DUMMYFUNCTION("""COMPUTED_VALUE"""),"Corruption")</f>
        <v>Corruption</v>
      </c>
      <c r="H85" s="2" t="str">
        <f ca="1">IFERROR(__xludf.DUMMYFUNCTION("""COMPUTED_VALUE"""),"The Lewd Virus has a 100% fatality rate in women between the ages of 10-20. The infected have higher libidos, lower inhibitions, enlarged genitals, and an extreme resistance to fertilization (in women) and/or the ability to release ludicrous amounts of cu"&amp;"m (in men). While (rarely infected) men can generally survive this illness, women must give birth, which will both cure and immunise them. And, due to their resistance to fertilisation, only infected men (or others with a similar copious volume in their l"&amp;"oads) can impregnante them.
If this sounds like a world that you want to see, you're in luck! You get a single vial of this disease that will restock once every ten years if used. It won’t guarantee that everyone—or even the majority of people—catch the "&amp;"virus, but you can definitely come close with some careful planning and a bit of luck.")</f>
        <v>The Lewd Virus has a 100% fatality rate in women between the ages of 10-20. The infected have higher libidos, lower inhibitions, enlarged genitals, and an extreme resistance to fertilization (in women) and/or the ability to release ludicrous amounts of cum (in men). While (rarely infected) men can generally survive this illness, women must give birth, which will both cure and immunise them. And, due to their resistance to fertilisation, only infected men (or others with a similar copious volume in their loads) can impregnante them.
If this sounds like a world that you want to see, you're in luck! You get a single vial of this disease that will restock once every ten years if used. It won’t guarantee that everyone—or even the majority of people—catch the virus, but you can definitely come close with some careful planning and a bit of luck.</v>
      </c>
      <c r="I85" s="5"/>
    </row>
    <row r="86" spans="1:9" ht="156.6" x14ac:dyDescent="0.25">
      <c r="A86" s="16"/>
      <c r="B86" s="17">
        <v>82</v>
      </c>
      <c r="C86" s="2" t="b">
        <f ca="1">IFERROR(__xludf.DUMMYFUNCTION("""COMPUTED_VALUE"""),FALSE)</f>
        <v>0</v>
      </c>
      <c r="D86" s="2">
        <f ca="1">IFERROR(__xludf.DUMMYFUNCTION("""COMPUTED_VALUE"""),400)</f>
        <v>400</v>
      </c>
      <c r="E86" s="2" t="str">
        <f ca="1">IFERROR(__xludf.DUMMYFUNCTION("""COMPUTED_VALUE"""),"The Power of Lust")</f>
        <v>The Power of Lust</v>
      </c>
      <c r="F86" s="2" t="str">
        <f ca="1">IFERROR(__xludf.DUMMYFUNCTION("""COMPUTED_VALUE"""),"Generic: Hentai World")</f>
        <v>Generic: Hentai World</v>
      </c>
      <c r="G86" s="2" t="str">
        <f ca="1">IFERROR(__xludf.DUMMYFUNCTION("""COMPUTED_VALUE"""),"Corruption")</f>
        <v>Corruption</v>
      </c>
      <c r="H86" s="2" t="str">
        <f ca="1">IFERROR(__xludf.DUMMYFUNCTION("""COMPUTED_VALUE"""),"Romantics and Harem Protagonists might win the hearts of their partners with the power of love but a Scoundrel gets much more mileage out of raw lust and naked desire. For you the surest way to win a woman’s heart is to tame her body first. You can choose"&amp;" to use any kind of sexual contact with another person to train that person’s body and mind to become more erotic; stoking their libidos, making their bodies more sensitive to pleasure, training them to enjoy new and exciting fetishes, or even making mino"&amp;"r cosmetic adjustments, like making their tits and asses grow round and full. With a few weeks of daily encounters you could train a virgin schoolgirl into a perpetually-horny sex addict and get her hooked on all of your favorite fetishes. However this pe"&amp;"rk only works with consensual sex; your partners have to genuinely desire you before you can start feeding that desire.")</f>
        <v>Romantics and Harem Protagonists might win the hearts of their partners with the power of love but a Scoundrel gets much more mileage out of raw lust and naked desire. For you the surest way to win a woman’s heart is to tame her body first. You can choose to use any kind of sexual contact with another person to train that person’s body and mind to become more erotic; stoking their libidos, making their bodies more sensitive to pleasure, training them to enjoy new and exciting fetishes, or even making minor cosmetic adjustments, like making their tits and asses grow round and full. With a few weeks of daily encounters you could train a virgin schoolgirl into a perpetually-horny sex addict and get her hooked on all of your favorite fetishes. However this perk only works with consensual sex; your partners have to genuinely desire you before you can start feeding that desire.</v>
      </c>
      <c r="I86" s="5"/>
    </row>
    <row r="87" spans="1:9" ht="174" x14ac:dyDescent="0.25">
      <c r="A87" s="16"/>
      <c r="B87" s="17">
        <v>83</v>
      </c>
      <c r="C87" s="2" t="b">
        <f ca="1">IFERROR(__xludf.DUMMYFUNCTION("""COMPUTED_VALUE"""),FALSE)</f>
        <v>0</v>
      </c>
      <c r="D87" s="2">
        <f ca="1">IFERROR(__xludf.DUMMYFUNCTION("""COMPUTED_VALUE"""),400)</f>
        <v>400</v>
      </c>
      <c r="E87" s="2" t="str">
        <f ca="1">IFERROR(__xludf.DUMMYFUNCTION("""COMPUTED_VALUE"""),"To Rule the Nest")</f>
        <v>To Rule the Nest</v>
      </c>
      <c r="F87" s="2" t="str">
        <f ca="1">IFERROR(__xludf.DUMMYFUNCTION("""COMPUTED_VALUE"""),"High Elf x High School")</f>
        <v>High Elf x High School</v>
      </c>
      <c r="G87" s="2" t="str">
        <f ca="1">IFERROR(__xludf.DUMMYFUNCTION("""COMPUTED_VALUE"""),"Corruption")</f>
        <v>Corruption</v>
      </c>
      <c r="H87" s="2" t="str">
        <f ca="1">IFERROR(__xludf.DUMMYFUNCTION("""COMPUTED_VALUE"""),"But it’s not enough to just be at the center of a nest, you need to command it. And now you can; if someone desires to have sex with you and you are attracted to them, then that desire will become, from their perspective, a need. And as a“need”, almost an"&amp;"yone will be willing to go to great extents to see that need satisfied. Just like a starving person would willingly eat a food they normally hate, someone deprived of sex with you is likely to do just about anything you ask of them, no matter how degradin"&amp;"g the act might be, as long as there’s the promise of you fucking them at the end.
To keep you from just being raped, this effect won’t interfere with the person’s respect for consent. Even if they were at their absolute desperate ends, they wouldn’t ra"&amp;"pe you... unless they’d be willing to rape you even without the enforcement of this lewd “need”.")</f>
        <v>But it’s not enough to just be at the center of a nest, you need to command it. And now you can; if someone desires to have sex with you and you are attracted to them, then that desire will become, from their perspective, a need. And as a“need”, almost anyone will be willing to go to great extents to see that need satisfied. Just like a starving person would willingly eat a food they normally hate, someone deprived of sex with you is likely to do just about anything you ask of them, no matter how degrading the act might be, as long as there’s the promise of you fucking them at the end.
To keep you from just being raped, this effect won’t interfere with the person’s respect for consent. Even if they were at their absolute desperate ends, they wouldn’t rape you... unless they’d be willing to rape you even without the enforcement of this lewd “need”.</v>
      </c>
      <c r="I87" s="5"/>
    </row>
    <row r="88" spans="1:9" ht="191.4" x14ac:dyDescent="0.25">
      <c r="A88" s="16"/>
      <c r="B88" s="17">
        <v>84</v>
      </c>
      <c r="C88" s="2" t="b">
        <f ca="1">IFERROR(__xludf.DUMMYFUNCTION("""COMPUTED_VALUE"""),FALSE)</f>
        <v>0</v>
      </c>
      <c r="D88" s="2">
        <f ca="1">IFERROR(__xludf.DUMMYFUNCTION("""COMPUTED_VALUE"""),400)</f>
        <v>400</v>
      </c>
      <c r="E88" s="2" t="str">
        <f ca="1">IFERROR(__xludf.DUMMYFUNCTION("""COMPUTED_VALUE"""),"Touch of Darkness")</f>
        <v>Touch of Darkness</v>
      </c>
      <c r="F88" s="2" t="str">
        <f ca="1">IFERROR(__xludf.DUMMYFUNCTION("""COMPUTED_VALUE"""),"Majuu Purification Girl Utea")</f>
        <v>Majuu Purification Girl Utea</v>
      </c>
      <c r="G88" s="2" t="str">
        <f ca="1">IFERROR(__xludf.DUMMYFUNCTION("""COMPUTED_VALUE"""),"Corruption")</f>
        <v>Corruption</v>
      </c>
      <c r="H88" s="2" t="str">
        <f ca="1">IFERROR(__xludf.DUMMYFUNCTION("""COMPUTED_VALUE"""),"Corrupted Utea command darkness and corruption just as competently as they once wielded healing and purification magic and they delight in using their tainted gifts to drag others down into depravity with them. Most injuu spawn new demons by forcing women"&amp;" to give birth to them, but you’re able to corrupt men and women alike: first rousing their desires through sex or temptation, and then utilizing them as the catalyst for an unholy tantric ritual that transforms your partner into a sex demon, unquestionin"&amp;"gly loyal and bound to your soul. The more powerful your partner the more powerful the demon they become, but anyone with a great deal of lust or pent-up desire makes a magnificent injuu even if they have no magic whatsoever, and as your power grows you c"&amp;"an make even stronger demons out of ordinary humans, to say nothing of magical girls or any other powerful individuals. A strong will can resist your power but only having no sexual desire whatsoever can grant total immunity to it.")</f>
        <v>Corrupted Utea command darkness and corruption just as competently as they once wielded healing and purification magic and they delight in using their tainted gifts to drag others down into depravity with them. Most injuu spawn new demons by forcing women to give birth to them, but you’re able to corrupt men and women alike: first rousing their desires through sex or temptation, and then utilizing them as the catalyst for an unholy tantric ritual that transforms your partner into a sex demon, unquestioningly loyal and bound to your soul. The more powerful your partner the more powerful the demon they become, but anyone with a great deal of lust or pent-up desire makes a magnificent injuu even if they have no magic whatsoever, and as your power grows you can make even stronger demons out of ordinary humans, to say nothing of magical girls or any other powerful individuals. A strong will can resist your power but only having no sexual desire whatsoever can grant total immunity to it.</v>
      </c>
      <c r="I88" s="5"/>
    </row>
    <row r="89" spans="1:9" ht="156.6" x14ac:dyDescent="0.25">
      <c r="A89" s="16"/>
      <c r="B89" s="17">
        <v>85</v>
      </c>
      <c r="C89" s="2" t="b">
        <f ca="1">IFERROR(__xludf.DUMMYFUNCTION("""COMPUTED_VALUE"""),FALSE)</f>
        <v>0</v>
      </c>
      <c r="D89" s="2">
        <f ca="1">IFERROR(__xludf.DUMMYFUNCTION("""COMPUTED_VALUE"""),400)</f>
        <v>400</v>
      </c>
      <c r="E89" s="2" t="str">
        <f ca="1">IFERROR(__xludf.DUMMYFUNCTION("""COMPUTED_VALUE"""),"Wedding Crasher")</f>
        <v>Wedding Crasher</v>
      </c>
      <c r="F89" s="2" t="str">
        <f ca="1">IFERROR(__xludf.DUMMYFUNCTION("""COMPUTED_VALUE"""),"Angel Academy ~ Hardcore Dorm Sex Life")</f>
        <v>Angel Academy ~ Hardcore Dorm Sex Life</v>
      </c>
      <c r="G89" s="2" t="str">
        <f ca="1">IFERROR(__xludf.DUMMYFUNCTION("""COMPUTED_VALUE"""),"Corruption")</f>
        <v>Corruption</v>
      </c>
      <c r="H89" s="2" t="str">
        <f ca="1">IFERROR(__xludf.DUMMYFUNCTION("""COMPUTED_VALUE"""),"Your sexual skills are unparalleled and your partners ache for your touch, but when you’re not around they might try going to others to scratch the itch you’ve given them. (Un?)fortunately you’ve already left your mark on your conquests, and nobody can sa"&amp;"tisfy them like you do anymore. The more pleasure you inflict on a partner’s body the harder it becomes for them to be satisfied by anyone else, though you can limit the perk’s effects to specific targets, such as only ruining your partners for other men."&amp;" You can even drive a wedge between your conquest and any current partners they may have. Stronger relationships take more effort to break up: a chaste or abusive relationship might be damaged by a smouldering kiss, but True Love might need a month or two"&amp;" of regular cucking before you finish driving off the other guy.")</f>
        <v>Your sexual skills are unparalleled and your partners ache for your touch, but when you’re not around they might try going to others to scratch the itch you’ve given them. (Un?)fortunately you’ve already left your mark on your conquests, and nobody can satisfy them like you do anymore. The more pleasure you inflict on a partner’s body the harder it becomes for them to be satisfied by anyone else, though you can limit the perk’s effects to specific targets, such as only ruining your partners for other men. You can even drive a wedge between your conquest and any current partners they may have. Stronger relationships take more effort to break up: a chaste or abusive relationship might be damaged by a smouldering kiss, but True Love might need a month or two of regular cucking before you finish driving off the other guy.</v>
      </c>
      <c r="I89" s="5"/>
    </row>
    <row r="90" spans="1:9" ht="87" x14ac:dyDescent="0.25">
      <c r="A90" s="16"/>
      <c r="B90" s="17">
        <v>86</v>
      </c>
      <c r="C90" s="2" t="b">
        <f ca="1">IFERROR(__xludf.DUMMYFUNCTION("""COMPUTED_VALUE"""),FALSE)</f>
        <v>0</v>
      </c>
      <c r="D90" s="2">
        <f ca="1">IFERROR(__xludf.DUMMYFUNCTION("""COMPUTED_VALUE"""),400)</f>
        <v>400</v>
      </c>
      <c r="E90" s="2" t="str">
        <f ca="1">IFERROR(__xludf.DUMMYFUNCTION("""COMPUTED_VALUE"""),"Women Should Serve You")</f>
        <v>Women Should Serve You</v>
      </c>
      <c r="F90" s="2" t="str">
        <f ca="1">IFERROR(__xludf.DUMMYFUNCTION("""COMPUTED_VALUE"""),"Kuroinu")</f>
        <v>Kuroinu</v>
      </c>
      <c r="G90" s="2" t="str">
        <f ca="1">IFERROR(__xludf.DUMMYFUNCTION("""COMPUTED_VALUE"""),"Corruption")</f>
        <v>Corruption</v>
      </c>
      <c r="H90" s="2" t="str">
        <f ca="1">IFERROR(__xludf.DUMMYFUNCTION("""COMPUTED_VALUE"""),"You might give those that you mindbreak to your men to ‘inspire’ them but both your men and the heroines both know who they serve. While I hesitate to call this anything as substantial as love they will find sex with others to have become duller and sex w"&amp;"ith you to have become more pleasurable. Given the option of a night of lovemaking with one guy or a short blowjob with you, she’d take the blowjob every time.")</f>
        <v>You might give those that you mindbreak to your men to ‘inspire’ them but both your men and the heroines both know who they serve. While I hesitate to call this anything as substantial as love they will find sex with others to have become duller and sex with you to have become more pleasurable. Given the option of a night of lovemaking with one guy or a short blowjob with you, she’d take the blowjob every time.</v>
      </c>
      <c r="I90" s="5"/>
    </row>
    <row r="91" spans="1:9" ht="156.6" x14ac:dyDescent="0.25">
      <c r="A91" s="16"/>
      <c r="B91" s="17">
        <v>87</v>
      </c>
      <c r="C91" s="2" t="b">
        <f ca="1">IFERROR(__xludf.DUMMYFUNCTION("""COMPUTED_VALUE"""),FALSE)</f>
        <v>0</v>
      </c>
      <c r="D91" s="2">
        <f ca="1">IFERROR(__xludf.DUMMYFUNCTION("""COMPUTED_VALUE"""),500)</f>
        <v>500</v>
      </c>
      <c r="E91" s="2" t="str">
        <f ca="1">IFERROR(__xludf.DUMMYFUNCTION("""COMPUTED_VALUE"""),"Ass of Legend")</f>
        <v>Ass of Legend</v>
      </c>
      <c r="F91" s="2" t="str">
        <f ca="1">IFERROR(__xludf.DUMMYFUNCTION("""COMPUTED_VALUE"""),"Elzikyuchi’s Dickgirls 2")</f>
        <v>Elzikyuchi’s Dickgirls 2</v>
      </c>
      <c r="G91" s="2" t="str">
        <f ca="1">IFERROR(__xludf.DUMMYFUNCTION("""COMPUTED_VALUE"""),"Corruption")</f>
        <v>Corruption</v>
      </c>
      <c r="H91" s="2" t="str">
        <f ca="1">IFERROR(__xludf.DUMMYFUNCTION("""COMPUTED_VALUE"""),"While the rather natural assumption about Dickgirls is that their cocks are so large and overpowering that anyone they fuck rapidly becomes addicted to them, there’s no rule that you can’t have an ass so amazingly fuckable that they end up addicted to you"&amp;" instead. Such an ass would be a weapon of mass destruction, taming Dickgirls by leaving them unable to fully pleasure themselves unless that divine booty was involved. You have such an ass. Once it’s been tasted, there are very few people alive - male, f"&amp;"emale, or shemale - that will fail to do anything you want in exchange for another opportunity to fuck it. To be perfectly clear, this does not apply to your hands, mouth, breasts, or any other body part. Only your ass is so overpoweringly absurd as to tu"&amp;"rn a highly dominant Dickgirl into a sumbissive slave in exchange for more.")</f>
        <v>While the rather natural assumption about Dickgirls is that their cocks are so large and overpowering that anyone they fuck rapidly becomes addicted to them, there’s no rule that you can’t have an ass so amazingly fuckable that they end up addicted to you instead. Such an ass would be a weapon of mass destruction, taming Dickgirls by leaving them unable to fully pleasure themselves unless that divine booty was involved. You have such an ass. Once it’s been tasted, there are very few people alive - male, female, or shemale - that will fail to do anything you want in exchange for another opportunity to fuck it. To be perfectly clear, this does not apply to your hands, mouth, breasts, or any other body part. Only your ass is so overpoweringly absurd as to turn a highly dominant Dickgirl into a sumbissive slave in exchange for more.</v>
      </c>
      <c r="I91" s="5"/>
    </row>
    <row r="92" spans="1:9" ht="104.4" x14ac:dyDescent="0.25">
      <c r="A92" s="16"/>
      <c r="B92" s="17">
        <v>88</v>
      </c>
      <c r="C92" s="2" t="b">
        <f ca="1">IFERROR(__xludf.DUMMYFUNCTION("""COMPUTED_VALUE"""),FALSE)</f>
        <v>0</v>
      </c>
      <c r="D92" s="2">
        <f ca="1">IFERROR(__xludf.DUMMYFUNCTION("""COMPUTED_VALUE"""),500)</f>
        <v>500</v>
      </c>
      <c r="E92" s="2" t="str">
        <f ca="1">IFERROR(__xludf.DUMMYFUNCTION("""COMPUTED_VALUE"""),"Can't Argue with Results")</f>
        <v>Can't Argue with Results</v>
      </c>
      <c r="F92" s="2" t="str">
        <f ca="1">IFERROR(__xludf.DUMMYFUNCTION("""COMPUTED_VALUE"""),"Generic: Lewd School")</f>
        <v>Generic: Lewd School</v>
      </c>
      <c r="G92" s="2" t="str">
        <f ca="1">IFERROR(__xludf.DUMMYFUNCTION("""COMPUTED_VALUE"""),"Corruption")</f>
        <v>Corruption</v>
      </c>
      <c r="H92" s="2" t="str">
        <f ca="1">IFERROR(__xludf.DUMMYFUNCTION("""COMPUTED_VALUE"""),"​All that people care about is results. When you're doing a job for someone, so long as that job is being done well, no one will care how you do it. If you're a teacher, as long as the people learning from you are getting good grades and behaving in the p"&amp;"ublic eye, no one will care what your teaching style is. Trade correct answers for orgasms, as long as those test results are high. Punish the girl always talking in class by making her give you a blowjob. No one will bat an eye as long as her behaviour g"&amp;"ets better. Still, be careful, this will only go so far.")</f>
        <v>​All that people care about is results. When you're doing a job for someone, so long as that job is being done well, no one will care how you do it. If you're a teacher, as long as the people learning from you are getting good grades and behaving in the public eye, no one will care what your teaching style is. Trade correct answers for orgasms, as long as those test results are high. Punish the girl always talking in class by making her give you a blowjob. No one will bat an eye as long as her behaviour gets better. Still, be careful, this will only go so far.</v>
      </c>
      <c r="I92" s="5"/>
    </row>
    <row r="93" spans="1:9" ht="121.8" x14ac:dyDescent="0.25">
      <c r="A93" s="16"/>
      <c r="B93" s="17">
        <v>89</v>
      </c>
      <c r="C93" s="2" t="b">
        <f ca="1">IFERROR(__xludf.DUMMYFUNCTION("""COMPUTED_VALUE"""),FALSE)</f>
        <v>0</v>
      </c>
      <c r="D93" s="2">
        <f ca="1">IFERROR(__xludf.DUMMYFUNCTION("""COMPUTED_VALUE"""),500)</f>
        <v>500</v>
      </c>
      <c r="E93" s="2" t="str">
        <f ca="1">IFERROR(__xludf.DUMMYFUNCTION("""COMPUTED_VALUE"""),"Demon King of Pleasure")</f>
        <v>Demon King of Pleasure</v>
      </c>
      <c r="F93" s="2" t="str">
        <f ca="1">IFERROR(__xludf.DUMMYFUNCTION("""COMPUTED_VALUE"""),"Fate / Blacked")</f>
        <v>Fate / Blacked</v>
      </c>
      <c r="G93" s="2" t="str">
        <f ca="1">IFERROR(__xludf.DUMMYFUNCTION("""COMPUTED_VALUE"""),"Corruption")</f>
        <v>Corruption</v>
      </c>
      <c r="H93" s="2" t="str">
        <f ca="1">IFERROR(__xludf.DUMMYFUNCTION("""COMPUTED_VALUE"""),"You may be a whore, but you are not one to be claimed. No, you are quite simply too slutty to break. You can genuinely claim to love every fetish that exists with all your heart, unless you have some personal trauma that prevents one of two of them from a"&amp;"ppealing to you. A big fat cock could make you cum buckets, as could a tiny microdick and a tearful love confession - honestly, the tiny dick might even be more erotic somehow, if only for the passion within it. More to the point, you’re fully capable of "&amp;"turning the situation around on an arrogant lover and addicting them to you instead of the other way around via sheer overwhelming skill at thottery.")</f>
        <v>You may be a whore, but you are not one to be claimed. No, you are quite simply too slutty to break. You can genuinely claim to love every fetish that exists with all your heart, unless you have some personal trauma that prevents one of two of them from appealing to you. A big fat cock could make you cum buckets, as could a tiny microdick and a tearful love confession - honestly, the tiny dick might even be more erotic somehow, if only for the passion within it. More to the point, you’re fully capable of turning the situation around on an arrogant lover and addicting them to you instead of the other way around via sheer overwhelming skill at thottery.</v>
      </c>
      <c r="I93" s="5"/>
    </row>
    <row r="94" spans="1:9" ht="121.8" x14ac:dyDescent="0.25">
      <c r="A94" s="16"/>
      <c r="B94" s="17">
        <v>90</v>
      </c>
      <c r="C94" s="2" t="b">
        <f ca="1">IFERROR(__xludf.DUMMYFUNCTION("""COMPUTED_VALUE"""),FALSE)</f>
        <v>0</v>
      </c>
      <c r="D94" s="2">
        <f ca="1">IFERROR(__xludf.DUMMYFUNCTION("""COMPUTED_VALUE"""),500)</f>
        <v>500</v>
      </c>
      <c r="E94" s="2" t="str">
        <f ca="1">IFERROR(__xludf.DUMMYFUNCTION("""COMPUTED_VALUE"""),"Instant Loss")</f>
        <v>Instant Loss</v>
      </c>
      <c r="F94" s="2" t="str">
        <f ca="1">IFERROR(__xludf.DUMMYFUNCTION("""COMPUTED_VALUE"""),"Celestial Bordello")</f>
        <v>Celestial Bordello</v>
      </c>
      <c r="G94" s="2" t="str">
        <f ca="1">IFERROR(__xludf.DUMMYFUNCTION("""COMPUTED_VALUE"""),"Corruption")</f>
        <v>Corruption</v>
      </c>
      <c r="H94" s="2" t="str">
        <f ca="1">IFERROR(__xludf.DUMMYFUNCTION("""COMPUTED_VALUE"""),"By taking a moment to gather your might, you can shatter the resistance of a woman with the first thrust of your cock, leaving them entirely broken from pleasure even before you spend the next few hours battering their innermost folds. Once you're done, t"&amp;"hey certainly won't be walking away from you - not only because they likely can’t walk after that, but also because they know that no one will ever come close to giving them the same kind of high as you. Perhaps with support or extraordinary willpower, th"&amp;"ey might be able to resist the burning desire, but that just gives you a second oppurtunity to make them snap.")</f>
        <v>By taking a moment to gather your might, you can shatter the resistance of a woman with the first thrust of your cock, leaving them entirely broken from pleasure even before you spend the next few hours battering their innermost folds. Once you're done, they certainly won't be walking away from you - not only because they likely can’t walk after that, but also because they know that no one will ever come close to giving them the same kind of high as you. Perhaps with support or extraordinary willpower, they might be able to resist the burning desire, but that just gives you a second oppurtunity to make them snap.</v>
      </c>
      <c r="I94" s="5"/>
    </row>
    <row r="95" spans="1:9" ht="208.8" x14ac:dyDescent="0.25">
      <c r="A95" s="16"/>
      <c r="B95" s="17">
        <v>91</v>
      </c>
      <c r="C95" s="2" t="b">
        <f ca="1">IFERROR(__xludf.DUMMYFUNCTION("""COMPUTED_VALUE"""),FALSE)</f>
        <v>0</v>
      </c>
      <c r="D95" s="2">
        <f ca="1">IFERROR(__xludf.DUMMYFUNCTION("""COMPUTED_VALUE"""),500)</f>
        <v>500</v>
      </c>
      <c r="E95" s="2" t="str">
        <f ca="1">IFERROR(__xludf.DUMMYFUNCTION("""COMPUTED_VALUE"""),"Lust Brand")</f>
        <v>Lust Brand</v>
      </c>
      <c r="F95" s="2" t="str">
        <f ca="1">IFERROR(__xludf.DUMMYFUNCTION("""COMPUTED_VALUE"""),"Niplheim’s Hunter")</f>
        <v>Niplheim’s Hunter</v>
      </c>
      <c r="G95" s="2" t="str">
        <f ca="1">IFERROR(__xludf.DUMMYFUNCTION("""COMPUTED_VALUE"""),"Corruption")</f>
        <v>Corruption</v>
      </c>
      <c r="H95" s="2" t="str">
        <f ca="1">IFERROR(__xludf.DUMMYFUNCTION("""COMPUTED_VALUE"""),"Ah, and now we come the selling point of the whole adventure. The lust brand is a heart-shaped tattoo etched with magical power onto the navel of an unlucky (?) target, such as our heroine Azel. The bearer gains a well of magical power which they can use "&amp;"by drawing on the brand, but the more power is drawn the more the brand demands a price in return, inflicting the wearer’s body with supernatural lust that grows and grows until they can think of nothing but relieving it by any means necessary. This same "&amp;"lust will also afflict those around her, turning her into a potent form of rape bait.
While Azel possesses something similar to this item, this Lust Brand differs from hers in one very important way: the more the wearer is overcome by the seal’s aphrodi"&amp;"siac, the more they are subconsciously shaped into an obedient pet of the one who placed the seal on them. This is a seal you’d place on your enemies, not your friends. I hope. You do have those, right?")</f>
        <v>Ah, and now we come the selling point of the whole adventure. The lust brand is a heart-shaped tattoo etched with magical power onto the navel of an unlucky (?) target, such as our heroine Azel. The bearer gains a well of magical power which they can use by drawing on the brand, but the more power is drawn the more the brand demands a price in return, inflicting the wearer’s body with supernatural lust that grows and grows until they can think of nothing but relieving it by any means necessary. This same lust will also afflict those around her, turning her into a potent form of rape bait.
While Azel possesses something similar to this item, this Lust Brand differs from hers in one very important way: the more the wearer is overcome by the seal’s aphrodisiac, the more they are subconsciously shaped into an obedient pet of the one who placed the seal on them. This is a seal you’d place on your enemies, not your friends. I hope. You do have those, right?</v>
      </c>
      <c r="I95" s="5"/>
    </row>
    <row r="96" spans="1:9" ht="156.6" x14ac:dyDescent="0.25">
      <c r="A96" s="16"/>
      <c r="B96" s="17">
        <v>92</v>
      </c>
      <c r="C96" s="2" t="b">
        <f ca="1">IFERROR(__xludf.DUMMYFUNCTION("""COMPUTED_VALUE"""),FALSE)</f>
        <v>0</v>
      </c>
      <c r="D96" s="2">
        <f ca="1">IFERROR(__xludf.DUMMYFUNCTION("""COMPUTED_VALUE"""),500)</f>
        <v>500</v>
      </c>
      <c r="E96" s="2" t="str">
        <f ca="1">IFERROR(__xludf.DUMMYFUNCTION("""COMPUTED_VALUE"""),"MILF Minded")</f>
        <v>MILF Minded</v>
      </c>
      <c r="F96" s="2" t="str">
        <f ca="1">IFERROR(__xludf.DUMMYFUNCTION("""COMPUTED_VALUE"""),"World of Tentacles")</f>
        <v>World of Tentacles</v>
      </c>
      <c r="G96" s="2" t="str">
        <f ca="1">IFERROR(__xludf.DUMMYFUNCTION("""COMPUTED_VALUE"""),"Corruption")</f>
        <v>Corruption</v>
      </c>
      <c r="H96" s="2" t="str">
        <f ca="1">IFERROR(__xludf.DUMMYFUNCTION("""COMPUTED_VALUE"""),"Few women are fully-prepared to become a mother to human babies, much less to a tentacle monster’s spawn, but that’s nothing you can’t fix. When you have sex with someone you can opt to mentally or even physically adjust them for the role. You can slowly "&amp;"layer into a victim's mind feelings and compulsions for a broad range of effects related to motherhood, ranging from inflicting a fetish for impregnation to a horror at the idea of an abortion or compulsions such as one to tend to and care for their young"&amp;" no matter what. Similarly you can easily cure infertility, cause someone to lactate, correct a non-viable pregnancy, or even turn a man into a woman (albeit with a lot of work). You can accelerate these changes by having more sex and giving even greater "&amp;"pleasure to the expecting mother.")</f>
        <v>Few women are fully-prepared to become a mother to human babies, much less to a tentacle monster’s spawn, but that’s nothing you can’t fix. When you have sex with someone you can opt to mentally or even physically adjust them for the role. You can slowly layer into a victim's mind feelings and compulsions for a broad range of effects related to motherhood, ranging from inflicting a fetish for impregnation to a horror at the idea of an abortion or compulsions such as one to tend to and care for their young no matter what. Similarly you can easily cure infertility, cause someone to lactate, correct a non-viable pregnancy, or even turn a man into a woman (albeit with a lot of work). You can accelerate these changes by having more sex and giving even greater pleasure to the expecting mother.</v>
      </c>
      <c r="I96" s="5"/>
    </row>
    <row r="97" spans="1:9" ht="139.19999999999999" x14ac:dyDescent="0.25">
      <c r="A97" s="16"/>
      <c r="B97" s="17">
        <v>93</v>
      </c>
      <c r="C97" s="2" t="b">
        <f ca="1">IFERROR(__xludf.DUMMYFUNCTION("""COMPUTED_VALUE"""),FALSE)</f>
        <v>0</v>
      </c>
      <c r="D97" s="2">
        <f ca="1">IFERROR(__xludf.DUMMYFUNCTION("""COMPUTED_VALUE"""),500)</f>
        <v>500</v>
      </c>
      <c r="E97" s="2" t="str">
        <f ca="1">IFERROR(__xludf.DUMMYFUNCTION("""COMPUTED_VALUE"""),"Mindfucking")</f>
        <v>Mindfucking</v>
      </c>
      <c r="F97" s="2" t="str">
        <f ca="1">IFERROR(__xludf.DUMMYFUNCTION("""COMPUTED_VALUE"""),"Celestial Bordello")</f>
        <v>Celestial Bordello</v>
      </c>
      <c r="G97" s="2" t="str">
        <f ca="1">IFERROR(__xludf.DUMMYFUNCTION("""COMPUTED_VALUE"""),"Corruption")</f>
        <v>Corruption</v>
      </c>
      <c r="H97" s="2" t="str">
        <f ca="1">IFERROR(__xludf.DUMMYFUNCTION("""COMPUTED_VALUE"""),"Corrupting your victims with magic, or words, or pleasure- it all falls under the auspices of mind fucking, sure, but sometimes you just want to be more literal. You now have the ability to penetrate the braincases of anything you want to fuck without hur"&amp;"ting yourself, usually through the ear. How pleasureable (or lethal for that matter) this is for your victim is up to you. Cumming inside them will fill their brain with your seed, literally impregnating their mind with an overwhelming, unquenchable arous"&amp;"al. If you have tentacles, or other means of finely manipulating such things, you can be more specific in your mental fuckery, wiping away certain ideas in favour of lust, or drowning particular stimuli in arousal. A little cum on the brain can go a long "&amp;"way.")</f>
        <v>Corrupting your victims with magic, or words, or pleasure- it all falls under the auspices of mind fucking, sure, but sometimes you just want to be more literal. You now have the ability to penetrate the braincases of anything you want to fuck without hurting yourself, usually through the ear. How pleasureable (or lethal for that matter) this is for your victim is up to you. Cumming inside them will fill their brain with your seed, literally impregnating their mind with an overwhelming, unquenchable arousal. If you have tentacles, or other means of finely manipulating such things, you can be more specific in your mental fuckery, wiping away certain ideas in favour of lust, or drowning particular stimuli in arousal. A little cum on the brain can go a long way.</v>
      </c>
      <c r="I97" s="5"/>
    </row>
    <row r="98" spans="1:9" ht="243.6" x14ac:dyDescent="0.25">
      <c r="A98" s="16"/>
      <c r="B98" s="17">
        <v>94</v>
      </c>
      <c r="C98" s="2" t="b">
        <f ca="1">IFERROR(__xludf.DUMMYFUNCTION("""COMPUTED_VALUE"""),FALSE)</f>
        <v>0</v>
      </c>
      <c r="D98" s="2">
        <f ca="1">IFERROR(__xludf.DUMMYFUNCTION("""COMPUTED_VALUE"""),500)</f>
        <v>500</v>
      </c>
      <c r="E98" s="2" t="str">
        <f ca="1">IFERROR(__xludf.DUMMYFUNCTION("""COMPUTED_VALUE"""),"Slave's Ensemble")</f>
        <v>Slave's Ensemble</v>
      </c>
      <c r="F98" s="2" t="str">
        <f ca="1">IFERROR(__xludf.DUMMYFUNCTION("""COMPUTED_VALUE"""),"Breathless Wild")</f>
        <v>Breathless Wild</v>
      </c>
      <c r="G98" s="2" t="str">
        <f ca="1">IFERROR(__xludf.DUMMYFUNCTION("""COMPUTED_VALUE"""),"Corruption")</f>
        <v>Corruption</v>
      </c>
      <c r="H98" s="2" t="str">
        <f ca="1">IFERROR(__xludf.DUMMYFUNCTION("""COMPUTED_VALUE"""),"The Gerudo were the most militant of Hyrule’s races even before the Nightmare began, and their thirst for conquest has only grown since Ganon’s curse began subtly grooming them to serve him once more when he inevitably returns. These fetching clothes, fin"&amp;"e jewelry, and magical tattoos will soon adorn your slaves and mark them as your property just as they do for many in the Gerudo and Yiga clans. The exact outfit is yours to pick: it can be as bold as a uniform or as subtle as a collar, womb tattoo, or pi"&amp;"ercings, and comes in as many forms as you like. 
At any moment, you can reach out and ping a given slave seal to learn its wearer’s location and general status, and cast spells on them even at great distances, whether to toy with their bodies and minds "&amp;"from across an entire kingdom or to protect them whenever rival monsters think to lay hands on your slaves. But few will dare do so: each seal holds an impression of your power and warns all who see it that harming your property will incur your wrath, and"&amp;" the greater your power grows the more effective this protection becomes. A bokoblin’s threats intimidate nobody, but a demon lord’s servants are nearly as safe as if he loomed over their shoulders at all times.")</f>
        <v>The Gerudo were the most militant of Hyrule’s races even before the Nightmare began, and their thirst for conquest has only grown since Ganon’s curse began subtly grooming them to serve him once more when he inevitably returns. These fetching clothes, fine jewelry, and magical tattoos will soon adorn your slaves and mark them as your property just as they do for many in the Gerudo and Yiga clans. The exact outfit is yours to pick: it can be as bold as a uniform or as subtle as a collar, womb tattoo, or piercings, and comes in as many forms as you like. 
At any moment, you can reach out and ping a given slave seal to learn its wearer’s location and general status, and cast spells on them even at great distances, whether to toy with their bodies and minds from across an entire kingdom or to protect them whenever rival monsters think to lay hands on your slaves. But few will dare do so: each seal holds an impression of your power and warns all who see it that harming your property will incur your wrath, and the greater your power grows the more effective this protection becomes. A bokoblin’s threats intimidate nobody, but a demon lord’s servants are nearly as safe as if he loomed over their shoulders at all times.</v>
      </c>
      <c r="I98" s="5"/>
    </row>
    <row r="99" spans="1:9" ht="174" x14ac:dyDescent="0.25">
      <c r="A99" s="16"/>
      <c r="B99" s="17">
        <v>95</v>
      </c>
      <c r="C99" s="2" t="b">
        <f ca="1">IFERROR(__xludf.DUMMYFUNCTION("""COMPUTED_VALUE"""),FALSE)</f>
        <v>0</v>
      </c>
      <c r="D99" s="2">
        <f ca="1">IFERROR(__xludf.DUMMYFUNCTION("""COMPUTED_VALUE"""),500)</f>
        <v>500</v>
      </c>
      <c r="E99" s="2" t="str">
        <f ca="1">IFERROR(__xludf.DUMMYFUNCTION("""COMPUTED_VALUE"""),"Strength is Relative")</f>
        <v>Strength is Relative</v>
      </c>
      <c r="F99" s="2" t="str">
        <f ca="1">IFERROR(__xludf.DUMMYFUNCTION("""COMPUTED_VALUE"""),"Waifu Fighter")</f>
        <v>Waifu Fighter</v>
      </c>
      <c r="G99" s="2" t="str">
        <f ca="1">IFERROR(__xludf.DUMMYFUNCTION("""COMPUTED_VALUE"""),"Corruption")</f>
        <v>Corruption</v>
      </c>
      <c r="H99" s="2" t="str">
        <f ca="1">IFERROR(__xludf.DUMMYFUNCTION("""COMPUTED_VALUE"""),"Despite having the strength to easily snap Jack’s arms without even trying, none of the women Jack rapes put up any actual resistance when he violates them. From now on, you’ll find that when it comes to forced sex, people just sort of don’t use the power"&amp;"s they have to fight back against you. Once you start making things sexual, your opponent just sort of... stops using their abilities against you. An ordinary human with this perk could rape Supergirl, and she wouldn’t just break free with her super stren"&amp;"gth. They will never find it strange that they don’t really fight back against you with all they have. 
This only applies for non-violent sex; if you start injuring them, this restriction on their powers completely disappears.")</f>
        <v>Despite having the strength to easily snap Jack’s arms without even trying, none of the women Jack rapes put up any actual resistance when he violates them. From now on, you’ll find that when it comes to forced sex, people just sort of don’t use the powers they have to fight back against you. Once you start making things sexual, your opponent just sort of... stops using their abilities against you. An ordinary human with this perk could rape Supergirl, and she wouldn’t just break free with her super strength. They will never find it strange that they don’t really fight back against you with all they have. 
This only applies for non-violent sex; if you start injuring them, this restriction on their powers completely disappears.</v>
      </c>
      <c r="I99" s="5"/>
    </row>
    <row r="100" spans="1:9" ht="174" x14ac:dyDescent="0.25">
      <c r="A100" s="16"/>
      <c r="B100" s="17">
        <v>96</v>
      </c>
      <c r="C100" s="2" t="b">
        <f ca="1">IFERROR(__xludf.DUMMYFUNCTION("""COMPUTED_VALUE"""),FALSE)</f>
        <v>0</v>
      </c>
      <c r="D100" s="2">
        <f ca="1">IFERROR(__xludf.DUMMYFUNCTION("""COMPUTED_VALUE"""),500)</f>
        <v>500</v>
      </c>
      <c r="E100" s="2" t="str">
        <f ca="1">IFERROR(__xludf.DUMMYFUNCTION("""COMPUTED_VALUE"""),"Tarnished Gold")</f>
        <v>Tarnished Gold</v>
      </c>
      <c r="F100" s="2" t="str">
        <f ca="1">IFERROR(__xludf.DUMMYFUNCTION("""COMPUTED_VALUE"""),"Breathless Wild")</f>
        <v>Breathless Wild</v>
      </c>
      <c r="G100" s="2" t="str">
        <f ca="1">IFERROR(__xludf.DUMMYFUNCTION("""COMPUTED_VALUE"""),"Corruption")</f>
        <v>Corruption</v>
      </c>
      <c r="H100" s="2" t="str">
        <f ca="1">IFERROR(__xludf.DUMMYFUNCTION("""COMPUTED_VALUE"""),"Few monsters and even fewer slaves are brave or cunning enough to defeat the likes of you, and anyone who tries and fails will pay the price for being foolish enough to challenge you. Whenever you defeat your enemies through strength or sexual prowess the"&amp;"y’re sure to meet with a terrible fate as you gain immense power over them. Having already beaten them once before, your new slaves now find it nearly impossible to defy you again: a princess’s holy magic, a heroine’s clever skills, and a monster’s brute "&amp;"strength simply fail to work against you, making them slaves in spirit even if they still have a rebellious streak left in them. They’ll remain useful slaves so long as they remain loyal but their strength fails them the moment they try to betray you. You"&amp;" however can toy with your new slaves with impunity, as whatever resistance they might have to your power fails and leaves them utterly exposed to corruption, transformation, and domination.")</f>
        <v>Few monsters and even fewer slaves are brave or cunning enough to defeat the likes of you, and anyone who tries and fails will pay the price for being foolish enough to challenge you. Whenever you defeat your enemies through strength or sexual prowess they’re sure to meet with a terrible fate as you gain immense power over them. Having already beaten them once before, your new slaves now find it nearly impossible to defy you again: a princess’s holy magic, a heroine’s clever skills, and a monster’s brute strength simply fail to work against you, making them slaves in spirit even if they still have a rebellious streak left in them. They’ll remain useful slaves so long as they remain loyal but their strength fails them the moment they try to betray you. You however can toy with your new slaves with impunity, as whatever resistance they might have to your power fails and leaves them utterly exposed to corruption, transformation, and domination.</v>
      </c>
      <c r="I100" s="5"/>
    </row>
    <row r="101" spans="1:9" ht="208.8" x14ac:dyDescent="0.25">
      <c r="A101" s="16"/>
      <c r="B101" s="17">
        <v>97</v>
      </c>
      <c r="C101" s="2" t="b">
        <f ca="1">IFERROR(__xludf.DUMMYFUNCTION("""COMPUTED_VALUE"""),FALSE)</f>
        <v>0</v>
      </c>
      <c r="D101" s="2">
        <f ca="1">IFERROR(__xludf.DUMMYFUNCTION("""COMPUTED_VALUE"""),500)</f>
        <v>500</v>
      </c>
      <c r="E101" s="2" t="str">
        <f ca="1">IFERROR(__xludf.DUMMYFUNCTION("""COMPUTED_VALUE"""),"Vae Victis!")</f>
        <v>Vae Victis!</v>
      </c>
      <c r="F101" s="2" t="str">
        <f ca="1">IFERROR(__xludf.DUMMYFUNCTION("""COMPUTED_VALUE"""),"World of Lewd Fantasy")</f>
        <v>World of Lewd Fantasy</v>
      </c>
      <c r="G101" s="2" t="str">
        <f ca="1">IFERROR(__xludf.DUMMYFUNCTION("""COMPUTED_VALUE"""),"Corruption")</f>
        <v>Corruption</v>
      </c>
      <c r="H101" s="2" t="str">
        <f ca="1">IFERROR(__xludf.DUMMYFUNCTION("""COMPUTED_VALUE"""),"Any time you sexually take someone while completely disregarding trifles like their comfort or consent, the pleasure you can effortlessly force upon them is magnified by such an absolutely mind shattering degree that the goddess of celibacy herself could "&amp;"be broken by the agonizing ecstasies you bring, no matter how much she may hate herself for it after the fact. Additionally, for as long as you are fucking them like this, and then until the afterglow fades, your victims have any and all of their resistan"&amp;"ces to your powers striped away, leaving them totally helpless to fight off your various abilities. 
This unholy dominance even extends to the macro level, as where there's a whip, there's a way. The more and longer others are controlled or oppressed by "&amp;"you, ether in person or as your ruled subjects, the more they come to view it as a good thing and how the world ought to be. Given enough time all shall love and worship you for the blessing that is their slavery.")</f>
        <v>Any time you sexually take someone while completely disregarding trifles like their comfort or consent, the pleasure you can effortlessly force upon them is magnified by such an absolutely mind shattering degree that the goddess of celibacy herself could be broken by the agonizing ecstasies you bring, no matter how much she may hate herself for it after the fact. Additionally, for as long as you are fucking them like this, and then until the afterglow fades, your victims have any and all of their resistances to your powers striped away, leaving them totally helpless to fight off your various abilities. 
This unholy dominance even extends to the macro level, as where there's a whip, there's a way. The more and longer others are controlled or oppressed by you, ether in person or as your ruled subjects, the more they come to view it as a good thing and how the world ought to be. Given enough time all shall love and worship you for the blessing that is their slavery.</v>
      </c>
      <c r="I101" s="5"/>
    </row>
    <row r="102" spans="1:9" ht="156.6" x14ac:dyDescent="0.25">
      <c r="A102" s="16"/>
      <c r="B102" s="17">
        <v>98</v>
      </c>
      <c r="C102" s="2" t="b">
        <f ca="1">IFERROR(__xludf.DUMMYFUNCTION("""COMPUTED_VALUE"""),FALSE)</f>
        <v>0</v>
      </c>
      <c r="D102" s="2">
        <f ca="1">IFERROR(__xludf.DUMMYFUNCTION("""COMPUTED_VALUE"""),500)</f>
        <v>500</v>
      </c>
      <c r="E102" s="2" t="str">
        <f ca="1">IFERROR(__xludf.DUMMYFUNCTION("""COMPUTED_VALUE"""),"You Need Me")</f>
        <v>You Need Me</v>
      </c>
      <c r="F102" s="2" t="str">
        <f ca="1">IFERROR(__xludf.DUMMYFUNCTION("""COMPUTED_VALUE"""),"Milk Hunters")</f>
        <v>Milk Hunters</v>
      </c>
      <c r="G102" s="2" t="str">
        <f ca="1">IFERROR(__xludf.DUMMYFUNCTION("""COMPUTED_VALUE"""),"Corruption")</f>
        <v>Corruption</v>
      </c>
      <c r="H102" s="2" t="str">
        <f ca="1">IFERROR(__xludf.DUMMYFUNCTION("""COMPUTED_VALUE"""),"It's nice to know that you're needed. Especially when you know that you can take advantage of that fact. The more that someone needs you, the less capable they are of turning down your demands. If you're the star player on a sports team, you can get away "&amp;"with treating your teammates like shit, verbally abusing them, and stealing from them. If you're the only thing keeping someone from losing their life and the lives of everyone they know and love? There's literally nothing you can't make them do. Well, as"&amp;" long as it doesn't make them risk their life and the lives of everyone they know and love, of course. Best of all, they won't try to get revenge, or anything like that, when they no longer need you. As a bonus, I'll make it so you'll have a feeling of ju"&amp;"st how far you can push this, and a talent for getting people under your power.")</f>
        <v>It's nice to know that you're needed. Especially when you know that you can take advantage of that fact. The more that someone needs you, the less capable they are of turning down your demands. If you're the star player on a sports team, you can get away with treating your teammates like shit, verbally abusing them, and stealing from them. If you're the only thing keeping someone from losing their life and the lives of everyone they know and love? There's literally nothing you can't make them do. Well, as long as it doesn't make them risk their life and the lives of everyone they know and love, of course. Best of all, they won't try to get revenge, or anything like that, when they no longer need you. As a bonus, I'll make it so you'll have a feeling of just how far you can push this, and a talent for getting people under your power.</v>
      </c>
      <c r="I102" s="5"/>
    </row>
    <row r="103" spans="1:9" ht="156.6" x14ac:dyDescent="0.25">
      <c r="A103" s="16"/>
      <c r="B103" s="17">
        <v>99</v>
      </c>
      <c r="C103" s="2" t="b">
        <f ca="1">IFERROR(__xludf.DUMMYFUNCTION("""COMPUTED_VALUE"""),FALSE)</f>
        <v>0</v>
      </c>
      <c r="D103" s="2">
        <f ca="1">IFERROR(__xludf.DUMMYFUNCTION("""COMPUTED_VALUE"""),600)</f>
        <v>600</v>
      </c>
      <c r="E103" s="2" t="str">
        <f ca="1">IFERROR(__xludf.DUMMYFUNCTION("""COMPUTED_VALUE"""),"A Darker Path")</f>
        <v>A Darker Path</v>
      </c>
      <c r="F103" s="2" t="str">
        <f ca="1">IFERROR(__xludf.DUMMYFUNCTION("""COMPUTED_VALUE"""),"Emergence")</f>
        <v>Emergence</v>
      </c>
      <c r="G103" s="2" t="str">
        <f ca="1">IFERROR(__xludf.DUMMYFUNCTION("""COMPUTED_VALUE"""),"Corruption")</f>
        <v>Corruption</v>
      </c>
      <c r="H103" s="2" t="str">
        <f ca="1">IFERROR(__xludf.DUMMYFUNCTION("""COMPUTED_VALUE"""),"You wanna drench yourself in sin huh? Drown in filth and bathe in misery. It’s not just the fucking anymore, not even the drugs. You love the misery of it all, the pain and humiliation and loss. But going too far is dangerous, isn’t it? Some things you ca"&amp;"n only do once. Yet, you’re lucky. You can keep falling and throwing yourself away...and it’ll keep coming back to you so you can enjoy it all over again. Even if you defile every inch of your body, abandon friends and family in the pursuit of pleasure, e"&amp;"ven bring yourself to the brink of death for fun, you’ll find yourself making your way back to how you once were. Purified in body, your loved ones reconnecting or finding new ones, even finding a new home and life. Not that it’ll last for long. We both k"&amp;"now you won’t resist going back to that black hole of self-hate again and again and again.")</f>
        <v>You wanna drench yourself in sin huh? Drown in filth and bathe in misery. It’s not just the fucking anymore, not even the drugs. You love the misery of it all, the pain and humiliation and loss. But going too far is dangerous, isn’t it? Some things you can only do once. Yet, you’re lucky. You can keep falling and throwing yourself away...and it’ll keep coming back to you so you can enjoy it all over again. Even if you defile every inch of your body, abandon friends and family in the pursuit of pleasure, even bring yourself to the brink of death for fun, you’ll find yourself making your way back to how you once were. Purified in body, your loved ones reconnecting or finding new ones, even finding a new home and life. Not that it’ll last for long. We both know you won’t resist going back to that black hole of self-hate again and again and again.</v>
      </c>
      <c r="I103" s="5"/>
    </row>
    <row r="104" spans="1:9" ht="156.6" x14ac:dyDescent="0.25">
      <c r="A104" s="16"/>
      <c r="B104" s="17">
        <v>100</v>
      </c>
      <c r="C104" s="2" t="b">
        <f ca="1">IFERROR(__xludf.DUMMYFUNCTION("""COMPUTED_VALUE"""),FALSE)</f>
        <v>0</v>
      </c>
      <c r="D104" s="2">
        <f ca="1">IFERROR(__xludf.DUMMYFUNCTION("""COMPUTED_VALUE"""),600)</f>
        <v>600</v>
      </c>
      <c r="E104" s="2" t="str">
        <f ca="1">IFERROR(__xludf.DUMMYFUNCTION("""COMPUTED_VALUE"""),"Asanagi Battles")</f>
        <v>Asanagi Battles</v>
      </c>
      <c r="F104" s="2" t="str">
        <f ca="1">IFERROR(__xludf.DUMMYFUNCTION("""COMPUTED_VALUE"""),"Victim Girls (Rose Edition)")</f>
        <v>Victim Girls (Rose Edition)</v>
      </c>
      <c r="G104" s="2" t="str">
        <f ca="1">IFERROR(__xludf.DUMMYFUNCTION("""COMPUTED_VALUE"""),"Corruption")</f>
        <v>Corruption</v>
      </c>
      <c r="H104" s="2" t="str">
        <f ca="1">IFERROR(__xludf.DUMMYFUNCTION("""COMPUTED_VALUE"""),"The greater their reasons to resist, the weaker they seem to become. Girls with loving boyfriends or husbands, warrior women fighting against your empire with their sisters of battle, those who’ve struggled against your factions brutal oppression for year"&amp;"s. Despite all the reasons they’d have to be the hardest to break, their resistance feels like paper against your efforts. The more reasons they have to defy you when it comes to you breaking them to heel, in a fight or otherwise, the less they’ll inwardl"&amp;"y feel that when they come up against you directly. Sure, they’ll put up a fight on the outside but when everyone thought on the inside is about how hot you make their body feel, they won’t have nearly the strength they usually would. Even the greatest wa"&amp;"rrior goddess might turn into an ineffectual kitten if you can plan the encounter right.")</f>
        <v>The greater their reasons to resist, the weaker they seem to become. Girls with loving boyfriends or husbands, warrior women fighting against your empire with their sisters of battle, those who’ve struggled against your factions brutal oppression for years. Despite all the reasons they’d have to be the hardest to break, their resistance feels like paper against your efforts. The more reasons they have to defy you when it comes to you breaking them to heel, in a fight or otherwise, the less they’ll inwardly feel that when they come up against you directly. Sure, they’ll put up a fight on the outside but when everyone thought on the inside is about how hot you make their body feel, they won’t have nearly the strength they usually would. Even the greatest warrior goddess might turn into an ineffectual kitten if you can plan the encounter right.</v>
      </c>
      <c r="I104" s="5"/>
    </row>
    <row r="105" spans="1:9" ht="174" x14ac:dyDescent="0.25">
      <c r="A105" s="16"/>
      <c r="B105" s="17">
        <v>101</v>
      </c>
      <c r="C105" s="2" t="b">
        <f ca="1">IFERROR(__xludf.DUMMYFUNCTION("""COMPUTED_VALUE"""),FALSE)</f>
        <v>0</v>
      </c>
      <c r="D105" s="2">
        <f ca="1">IFERROR(__xludf.DUMMYFUNCTION("""COMPUTED_VALUE"""),600)</f>
        <v>600</v>
      </c>
      <c r="E105" s="2" t="str">
        <f ca="1">IFERROR(__xludf.DUMMYFUNCTION("""COMPUTED_VALUE"""),"Beast of Lust")</f>
        <v>Beast of Lust</v>
      </c>
      <c r="F105" s="2" t="str">
        <f ca="1">IFERROR(__xludf.DUMMYFUNCTION("""COMPUTED_VALUE"""),"Shinmai Maou no Testament")</f>
        <v>Shinmai Maou no Testament</v>
      </c>
      <c r="G105" s="2" t="str">
        <f ca="1">IFERROR(__xludf.DUMMYFUNCTION("""COMPUTED_VALUE"""),"Corruption")</f>
        <v>Corruption</v>
      </c>
      <c r="H105" s="2" t="str">
        <f ca="1">IFERROR(__xludf.DUMMYFUNCTION("""COMPUTED_VALUE"""),"There are demons and then there are monsters, the  darkest and most depraved souls in all three realms. Like Zolgia and Belphegor you are a creature torn straight from the pages of the Hero Clan’s most twisted tales, a monster who feeds on lust and devour"&amp;"s the souls of his victims, consuming their life and power to add to his own. In your hands sex becomes a powerful weapon, a tool which you can use to destroy your enemies and reduce them to broken shells of their former selves. By forcing unwanted pleasu"&amp;"re onto your victims you assault their sense of self, battering down the walls of their minds until all that’s left of them is a broken husk. A strong will can hold out against such torture for a time but even great heroes can’t last forever, and once a p"&amp;"erson has broken you’re able to feed on their vital essence, consuming any special powers they possess and taking them for your own in ways that even the most powerful succubus in all of hell can’t imitate.")</f>
        <v>There are demons and then there are monsters, the  darkest and most depraved souls in all three realms. Like Zolgia and Belphegor you are a creature torn straight from the pages of the Hero Clan’s most twisted tales, a monster who feeds on lust and devours the souls of his victims, consuming their life and power to add to his own. In your hands sex becomes a powerful weapon, a tool which you can use to destroy your enemies and reduce them to broken shells of their former selves. By forcing unwanted pleasure onto your victims you assault their sense of self, battering down the walls of their minds until all that’s left of them is a broken husk. A strong will can hold out against such torture for a time but even great heroes can’t last forever, and once a person has broken you’re able to feed on their vital essence, consuming any special powers they possess and taking them for your own in ways that even the most powerful succubus in all of hell can’t imitate.</v>
      </c>
      <c r="I105" s="5"/>
    </row>
    <row r="106" spans="1:9" ht="87" x14ac:dyDescent="0.25">
      <c r="A106" s="16"/>
      <c r="B106" s="17">
        <v>102</v>
      </c>
      <c r="C106" s="2" t="b">
        <f ca="1">IFERROR(__xludf.DUMMYFUNCTION("""COMPUTED_VALUE"""),FALSE)</f>
        <v>0</v>
      </c>
      <c r="D106" s="2">
        <f ca="1">IFERROR(__xludf.DUMMYFUNCTION("""COMPUTED_VALUE"""),600)</f>
        <v>600</v>
      </c>
      <c r="E106" s="2" t="str">
        <f ca="1">IFERROR(__xludf.DUMMYFUNCTION("""COMPUTED_VALUE"""),"Bedroom Coup")</f>
        <v>Bedroom Coup</v>
      </c>
      <c r="F106" s="2" t="str">
        <f ca="1">IFERROR(__xludf.DUMMYFUNCTION("""COMPUTED_VALUE"""),"eratohoK")</f>
        <v>eratohoK</v>
      </c>
      <c r="G106" s="2" t="str">
        <f ca="1">IFERROR(__xludf.DUMMYFUNCTION("""COMPUTED_VALUE"""),"Corruption")</f>
        <v>Corruption</v>
      </c>
      <c r="H106" s="2" t="str">
        <f ca="1">IFERROR(__xludf.DUMMYFUNCTION("""COMPUTED_VALUE"""),"By becoming the lover of a powerful political figure you’re able to usurp power from them. You will find that the person will love you so much, they’ll simply surrender all authority to you without a fight, and their vassals and servants will happily acce"&amp;"pt this transition with nary a protest. Additionally, should you cause a foreign leader to fall in love with you, will find it easy to convince them to surrender their nation to you; all the better to be close to you again.")</f>
        <v>By becoming the lover of a powerful political figure you’re able to usurp power from them. You will find that the person will love you so much, they’ll simply surrender all authority to you without a fight, and their vassals and servants will happily accept this transition with nary a protest. Additionally, should you cause a foreign leader to fall in love with you, will find it easy to convince them to surrender their nation to you; all the better to be close to you again.</v>
      </c>
      <c r="I106" s="5"/>
    </row>
    <row r="107" spans="1:9" ht="243.6" x14ac:dyDescent="0.25">
      <c r="A107" s="16"/>
      <c r="B107" s="17">
        <v>103</v>
      </c>
      <c r="C107" s="2" t="b">
        <f ca="1">IFERROR(__xludf.DUMMYFUNCTION("""COMPUTED_VALUE"""),FALSE)</f>
        <v>0</v>
      </c>
      <c r="D107" s="2">
        <f ca="1">IFERROR(__xludf.DUMMYFUNCTION("""COMPUTED_VALUE"""),600)</f>
        <v>600</v>
      </c>
      <c r="E107" s="2" t="str">
        <f ca="1">IFERROR(__xludf.DUMMYFUNCTION("""COMPUTED_VALUE"""),"Bound Princess")</f>
        <v>Bound Princess</v>
      </c>
      <c r="F107" s="2" t="str">
        <f ca="1">IFERROR(__xludf.DUMMYFUNCTION("""COMPUTED_VALUE"""),"Rope Master")</f>
        <v>Rope Master</v>
      </c>
      <c r="G107" s="2" t="str">
        <f ca="1">IFERROR(__xludf.DUMMYFUNCTION("""COMPUTED_VALUE"""),"Corruption")</f>
        <v>Corruption</v>
      </c>
      <c r="H107" s="2" t="str">
        <f ca="1">IFERROR(__xludf.DUMMYFUNCTION("""COMPUTED_VALUE"""),"If sexual desires are sinful and impure then maybe purity isn’t all it’s cracked up to be. There’s strength to be found in embracing your darker and lewder self, and you’ve found that strength and made it your own. 
Like Hina and friends, you're a magica"&amp;"l girl (or boy) whose sexual desires have transformed into a source of magical power, allowing you to use magic based on your kinks. As a bondage-themed magical girl you might gain the power to conjure and command magical ropes and chains like a veteran r"&amp;"ope master, while a love of wax play and electrostimulation might grant you fire and lightning magic. These magical powers (and any others you have) are at their strongest when you’re being subjected to your own kinks, turning pleasure into even greater p"&amp;"ower. A bondage princess can multiply the strength of her magical powers by binding herself in her own ropes or sealing herself into a gimp suit, and by bringing herself to orgasm she can fire off super-powerful finishing move spells even stronger than th"&amp;"at. Despite their lewd nature these powers are considered holy and are extremely effective against ayakashi, demons, and similarly evil foes.")</f>
        <v>If sexual desires are sinful and impure then maybe purity isn’t all it’s cracked up to be. There’s strength to be found in embracing your darker and lewder self, and you’ve found that strength and made it your own. 
Like Hina and friends, you're a magical girl (or boy) whose sexual desires have transformed into a source of magical power, allowing you to use magic based on your kinks. As a bondage-themed magical girl you might gain the power to conjure and command magical ropes and chains like a veteran rope master, while a love of wax play and electrostimulation might grant you fire and lightning magic. These magical powers (and any others you have) are at their strongest when you’re being subjected to your own kinks, turning pleasure into even greater power. A bondage princess can multiply the strength of her magical powers by binding herself in her own ropes or sealing herself into a gimp suit, and by bringing herself to orgasm she can fire off super-powerful finishing move spells even stronger than that. Despite their lewd nature these powers are considered holy and are extremely effective against ayakashi, demons, and similarly evil foes.</v>
      </c>
      <c r="I107" s="5"/>
    </row>
    <row r="108" spans="1:9" ht="191.4" x14ac:dyDescent="0.25">
      <c r="A108" s="16"/>
      <c r="B108" s="17">
        <v>104</v>
      </c>
      <c r="C108" s="2" t="b">
        <f ca="1">IFERROR(__xludf.DUMMYFUNCTION("""COMPUTED_VALUE"""),FALSE)</f>
        <v>0</v>
      </c>
      <c r="D108" s="2">
        <f ca="1">IFERROR(__xludf.DUMMYFUNCTION("""COMPUTED_VALUE"""),600)</f>
        <v>600</v>
      </c>
      <c r="E108" s="2" t="str">
        <f ca="1">IFERROR(__xludf.DUMMYFUNCTION("""COMPUTED_VALUE"""),"Carnal Conquest")</f>
        <v>Carnal Conquest</v>
      </c>
      <c r="F108" s="2" t="str">
        <f ca="1">IFERROR(__xludf.DUMMYFUNCTION("""COMPUTED_VALUE"""),"Breathless Wild")</f>
        <v>Breathless Wild</v>
      </c>
      <c r="G108" s="2" t="str">
        <f ca="1">IFERROR(__xludf.DUMMYFUNCTION("""COMPUTED_VALUE"""),"Corruption")</f>
        <v>Corruption</v>
      </c>
      <c r="H108" s="2" t="str">
        <f ca="1">IFERROR(__xludf.DUMMYFUNCTION("""COMPUTED_VALUE"""),"As vast as Hyrule may be, Ganon’s ambition has always been to rule over all of it, if not the world beyond its borders as well, and he’s proven himself quite capable of doing so many times in the past. The trick is simply to remove or corrupt the previous"&amp;" rulers, then step in to assert dominance over their former lands. Your iron-fisted rule allows you to use these tactics to great effect: by dominating or corrupting princesses or champions or other people of great importance you also assert dominance ove"&amp;"r all who followed them, allowing you to conquer entire towns, regions, and even countries in one fell swoop. Entire armies will fall apart in despair after you make their princess your concubine, while civilians take on the broad strokes of your ideals a"&amp;"nd desires for them, some eagerly and some reluctantly, snuffing out resistance to your rule as your new subjects embrace their new master whether they like it or not. Heroes and others with strong wills can still reject you, but if their wills break some"&amp;"how they’ll submit just the same as anyone else.")</f>
        <v>As vast as Hyrule may be, Ganon’s ambition has always been to rule over all of it, if not the world beyond its borders as well, and he’s proven himself quite capable of doing so many times in the past. The trick is simply to remove or corrupt the previous rulers, then step in to assert dominance over their former lands. Your iron-fisted rule allows you to use these tactics to great effect: by dominating or corrupting princesses or champions or other people of great importance you also assert dominance over all who followed them, allowing you to conquer entire towns, regions, and even countries in one fell swoop. Entire armies will fall apart in despair after you make their princess your concubine, while civilians take on the broad strokes of your ideals and desires for them, some eagerly and some reluctantly, snuffing out resistance to your rule as your new subjects embrace their new master whether they like it or not. Heroes and others with strong wills can still reject you, but if their wills break somehow they’ll submit just the same as anyone else.</v>
      </c>
      <c r="I108" s="5"/>
    </row>
    <row r="109" spans="1:9" ht="208.8" x14ac:dyDescent="0.25">
      <c r="A109" s="16"/>
      <c r="B109" s="17">
        <v>105</v>
      </c>
      <c r="C109" s="2" t="b">
        <f ca="1">IFERROR(__xludf.DUMMYFUNCTION("""COMPUTED_VALUE"""),FALSE)</f>
        <v>0</v>
      </c>
      <c r="D109" s="2">
        <f ca="1">IFERROR(__xludf.DUMMYFUNCTION("""COMPUTED_VALUE"""),600)</f>
        <v>600</v>
      </c>
      <c r="E109" s="2" t="str">
        <f ca="1">IFERROR(__xludf.DUMMYFUNCTION("""COMPUTED_VALUE"""),"Corrupter of Men and Nations")</f>
        <v>Corrupter of Men and Nations</v>
      </c>
      <c r="F109" s="2" t="str">
        <f ca="1">IFERROR(__xludf.DUMMYFUNCTION("""COMPUTED_VALUE"""),"Kuroinu")</f>
        <v>Kuroinu</v>
      </c>
      <c r="G109" s="2" t="str">
        <f ca="1">IFERROR(__xludf.DUMMYFUNCTION("""COMPUTED_VALUE"""),"Corruption")</f>
        <v>Corruption</v>
      </c>
      <c r="H109" s="2" t="str">
        <f ca="1">IFERROR(__xludf.DUMMYFUNCTION("""COMPUTED_VALUE"""),"It takes a certain soul to not only revel in their own debauchery but to spread it to anyone they meet as well. You possess the will, knowledge, and influence to spread your corruption. You could slowly corrupt a paragon of a knight like Alicia or even Ce"&amp;"lestine herself from serving their nation into ‘serving’ their nation’s men and get those same men who once loyally followed her into treating her as nothing but a slut. The corruption you inflict on others is so great that it lingers on even after your d"&amp;"eath or disappearance and you could easily establish a self perpetuated empire that would thrive and prosper for decades.
Additionally when you conquer places you can easily massively swell the size of your army with people drawn to your victories. Even"&amp;" the once loyal soldiers of your enemy would join your force to make ends meet, and would gradually become corrupted in the same way that your men are and continue your debauchery.")</f>
        <v>It takes a certain soul to not only revel in their own debauchery but to spread it to anyone they meet as well. You possess the will, knowledge, and influence to spread your corruption. You could slowly corrupt a paragon of a knight like Alicia or even Celestine herself from serving their nation into ‘serving’ their nation’s men and get those same men who once loyally followed her into treating her as nothing but a slut. The corruption you inflict on others is so great that it lingers on even after your death or disappearance and you could easily establish a self perpetuated empire that would thrive and prosper for decades.
Additionally when you conquer places you can easily massively swell the size of your army with people drawn to your victories. Even the once loyal soldiers of your enemy would join your force to make ends meet, and would gradually become corrupted in the same way that your men are and continue your debauchery.</v>
      </c>
      <c r="I109" s="5"/>
    </row>
    <row r="110" spans="1:9" ht="261" x14ac:dyDescent="0.25">
      <c r="A110" s="16"/>
      <c r="B110" s="17">
        <v>106</v>
      </c>
      <c r="C110" s="2" t="b">
        <f ca="1">IFERROR(__xludf.DUMMYFUNCTION("""COMPUTED_VALUE"""),FALSE)</f>
        <v>0</v>
      </c>
      <c r="D110" s="2">
        <f ca="1">IFERROR(__xludf.DUMMYFUNCTION("""COMPUTED_VALUE"""),600)</f>
        <v>600</v>
      </c>
      <c r="E110" s="2" t="str">
        <f ca="1">IFERROR(__xludf.DUMMYFUNCTION("""COMPUTED_VALUE"""),"Demon Lord")</f>
        <v>Demon Lord</v>
      </c>
      <c r="F110" s="2" t="str">
        <f ca="1">IFERROR(__xludf.DUMMYFUNCTION("""COMPUTED_VALUE"""),"Baalbuddy")</f>
        <v>Baalbuddy</v>
      </c>
      <c r="G110" s="2" t="str">
        <f ca="1">IFERROR(__xludf.DUMMYFUNCTION("""COMPUTED_VALUE"""),"Corruption")</f>
        <v>Corruption</v>
      </c>
      <c r="H110" s="2" t="str">
        <f ca="1">IFERROR(__xludf.DUMMYFUNCTION("""COMPUTED_VALUE"""),"You are the demon lord (not really) but you are a veritable font of degeneracy. The longer you stay in an area the more you can corrupt people nearby, emphasizing something through larger and larger tweaks to mind and body. Of course, there will always be"&amp;" a lewd bent to it. If simple lewdness is your aim, people will become more sexually open and permissive. A particular fetish can become the standard almost to the exclusion of anything else. Even pushing the idea of something like monogamy would see fait"&amp;"hful couples being viewed as the ideal relationship and a wedding dress as the kinkiest of fetishwear. Given enough time these changes will become more overt and extend to the environment. People in general or certain demographics might have their bodies "&amp;"change in specific ways while articles of clothing and decorations begin to spontaneously change in cut and design. Some people might notice or even resist the changes, but most will eventually come to view the changes as the way things have always been a"&amp;"nd quite normal with dissenters and non-conformers becoming shunned and distained. You have full and precise control over how your corruption manifests. While this perk can’t make massive, impossible changes to the world or to people, it will slowly take "&amp;"effect on anything that enters your range. Which after a few years, can extend over a small country.")</f>
        <v>You are the demon lord (not really) but you are a veritable font of degeneracy. The longer you stay in an area the more you can corrupt people nearby, emphasizing something through larger and larger tweaks to mind and body. Of course, there will always be a lewd bent to it. If simple lewdness is your aim, people will become more sexually open and permissive. A particular fetish can become the standard almost to the exclusion of anything else. Even pushing the idea of something like monogamy would see faithful couples being viewed as the ideal relationship and a wedding dress as the kinkiest of fetishwear. Given enough time these changes will become more overt and extend to the environment. People in general or certain demographics might have their bodies change in specific ways while articles of clothing and decorations begin to spontaneously change in cut and design. Some people might notice or even resist the changes, but most will eventually come to view the changes as the way things have always been and quite normal with dissenters and non-conformers becoming shunned and distained. You have full and precise control over how your corruption manifests. While this perk can’t make massive, impossible changes to the world or to people, it will slowly take effect on anything that enters your range. Which after a few years, can extend over a small country.</v>
      </c>
      <c r="I110" s="5"/>
    </row>
    <row r="111" spans="1:9" ht="313.2" x14ac:dyDescent="0.25">
      <c r="A111" s="16"/>
      <c r="B111" s="17">
        <v>107</v>
      </c>
      <c r="C111" s="2" t="b">
        <f ca="1">IFERROR(__xludf.DUMMYFUNCTION("""COMPUTED_VALUE"""),FALSE)</f>
        <v>0</v>
      </c>
      <c r="D111" s="2">
        <f ca="1">IFERROR(__xludf.DUMMYFUNCTION("""COMPUTED_VALUE"""),600)</f>
        <v>600</v>
      </c>
      <c r="E111" s="2" t="str">
        <f ca="1">IFERROR(__xludf.DUMMYFUNCTION("""COMPUTED_VALUE"""),"Demonic Essence")</f>
        <v>Demonic Essence</v>
      </c>
      <c r="F111" s="2" t="str">
        <f ca="1">IFERROR(__xludf.DUMMYFUNCTION("""COMPUTED_VALUE"""),"Archangel of Love, Love Mary ~Malignant Conception~")</f>
        <v>Archangel of Love, Love Mary ~Malignant Conception~</v>
      </c>
      <c r="G111" s="2" t="str">
        <f ca="1">IFERROR(__xludf.DUMMYFUNCTION("""COMPUTED_VALUE"""),"Corruption")</f>
        <v>Corruption</v>
      </c>
      <c r="H111" s="2" t="str">
        <f ca="1">IFERROR(__xludf.DUMMYFUNCTION("""COMPUTED_VALUE"""),"You are able to summon and channel the tainted divinity from which sprung Lord Elysium, and form him, all of demonkind. Using this power, you can corrupt and pervert the minds of others, using pleasure as a vector to slowly whittle down their morals and b"&amp;"ring them into depravity. Well, “slowly” only applies to someone as strong as Love Mary P… for an ordinary human, only a few minutes of exposure to demonic essence would be enough to indelibly twist their mind into… well, whatever you want them to be, rea"&amp;"lly. Nothing says that corruption needs to only have one end result. But this corruption affects more than the mind. It can twist into the core of a being and start to affect their powers and purity; if someone was as pure as Primera, it would take a long"&amp;" time of frequent injections of demonic essence to establish a true seed of corruption, and they’d no doubt fight back all the time. But once it takes root, it will twist “pure” and “good” powers into something lewd and evil, such as turning a transformat"&amp;"ion into a magical girl into a transformation into a succubus. After falling to corruption, any power that would be dependent upon love, would now be dependent upon lust. You may freely corrupt any of your own “pure” or “good” abilities into corrupted and"&amp;" evil alternates, if you so desire. If you are a God, then you may choose to have this corruption instead take the characteristics of one of your domains; perhaps you’d prefer to give things an elemental twist rather simply turning them evil, or maybe you"&amp;"r corruption slowly turns things mechanical? The precise details of how your own demonic essence functions are up to you, but you have to decide the details now; no changing your mind later!")</f>
        <v>You are able to summon and channel the tainted divinity from which sprung Lord Elysium, and form him, all of demonkind. Using this power, you can corrupt and pervert the minds of others, using pleasure as a vector to slowly whittle down their morals and bring them into depravity. Well, “slowly” only applies to someone as strong as Love Mary P… for an ordinary human, only a few minutes of exposure to demonic essence would be enough to indelibly twist their mind into… well, whatever you want them to be, really. Nothing says that corruption needs to only have one end result. But this corruption affects more than the mind. It can twist into the core of a being and start to affect their powers and purity; if someone was as pure as Primera, it would take a long time of frequent injections of demonic essence to establish a true seed of corruption, and they’d no doubt fight back all the time. But once it takes root, it will twist “pure” and “good” powers into something lewd and evil, such as turning a transformation into a magical girl into a transformation into a succubus. After falling to corruption, any power that would be dependent upon love, would now be dependent upon lust. You may freely corrupt any of your own “pure” or “good” abilities into corrupted and evil alternates, if you so desire. If you are a God, then you may choose to have this corruption instead take the characteristics of one of your domains; perhaps you’d prefer to give things an elemental twist rather simply turning them evil, or maybe your corruption slowly turns things mechanical? The precise details of how your own demonic essence functions are up to you, but you have to decide the details now; no changing your mind later!</v>
      </c>
      <c r="I111" s="5"/>
    </row>
    <row r="112" spans="1:9" ht="243.6" x14ac:dyDescent="0.25">
      <c r="A112" s="16"/>
      <c r="B112" s="17">
        <v>108</v>
      </c>
      <c r="C112" s="2" t="b">
        <f ca="1">IFERROR(__xludf.DUMMYFUNCTION("""COMPUTED_VALUE"""),FALSE)</f>
        <v>0</v>
      </c>
      <c r="D112" s="2">
        <f ca="1">IFERROR(__xludf.DUMMYFUNCTION("""COMPUTED_VALUE"""),600)</f>
        <v>600</v>
      </c>
      <c r="E112" s="2" t="str">
        <f ca="1">IFERROR(__xludf.DUMMYFUNCTION("""COMPUTED_VALUE"""),"Forceful Expulsion")</f>
        <v>Forceful Expulsion</v>
      </c>
      <c r="F112" s="2" t="str">
        <f ca="1">IFERROR(__xludf.DUMMYFUNCTION("""COMPUTED_VALUE"""),"Sailor Uranus")</f>
        <v>Sailor Uranus</v>
      </c>
      <c r="G112" s="2" t="str">
        <f ca="1">IFERROR(__xludf.DUMMYFUNCTION("""COMPUTED_VALUE"""),"Corruption")</f>
        <v>Corruption</v>
      </c>
      <c r="H112" s="2" t="str">
        <f ca="1">IFERROR(__xludf.DUMMYFUNCTION("""COMPUTED_VALUE"""),"How, exactly, does one “lose to cock”? You might just have an answer. Whenever you bring someone to climax, some of the fight falls out of them. Their desire to resist, their physical stamina, their reserves of mystical power, so on and so forth. Anything"&amp;" they might use to resist you is gone with the wind, piece by titillating piece. A small portion will go to supplement your sexual endurance, but you otherwise do not gain from this. Additionally, it will take slightly longer to recover such resources for"&amp;" every orgasm they sustain, meaning that escape is unlikely for as long as you continue to use them.
This effect may be applied, to a much lesser extent, to those under your command. Your minions extract less energy than you do and do not suppress energ"&amp;"y regeneration in the same way, but they can still be useful when you need a break. If they run a train on her, it won’t be an issue, but in this case there’s no rest for the wicked: If so much as a second passes between their ministrations, the effect te"&amp;"mporarily halts. Only until the next man has his way, but over time, it may be enough to pose a danger.")</f>
        <v>How, exactly, does one “lose to cock”? You might just have an answer. Whenever you bring someone to climax, some of the fight falls out of them. Their desire to resist, their physical stamina, their reserves of mystical power, so on and so forth. Anything they might use to resist you is gone with the wind, piece by titillating piece. A small portion will go to supplement your sexual endurance, but you otherwise do not gain from this. Additionally, it will take slightly longer to recover such resources for every orgasm they sustain, meaning that escape is unlikely for as long as you continue to use them.
This effect may be applied, to a much lesser extent, to those under your command. Your minions extract less energy than you do and do not suppress energy regeneration in the same way, but they can still be useful when you need a break. If they run a train on her, it won’t be an issue, but in this case there’s no rest for the wicked: If so much as a second passes between their ministrations, the effect temporarily halts. Only until the next man has his way, but over time, it may be enough to pose a danger.</v>
      </c>
      <c r="I112" s="5"/>
    </row>
    <row r="113" spans="1:9" ht="208.8" x14ac:dyDescent="0.25">
      <c r="A113" s="16"/>
      <c r="B113" s="17">
        <v>109</v>
      </c>
      <c r="C113" s="2" t="b">
        <f ca="1">IFERROR(__xludf.DUMMYFUNCTION("""COMPUTED_VALUE"""),FALSE)</f>
        <v>0</v>
      </c>
      <c r="D113" s="2">
        <f ca="1">IFERROR(__xludf.DUMMYFUNCTION("""COMPUTED_VALUE"""),600)</f>
        <v>600</v>
      </c>
      <c r="E113" s="2" t="str">
        <f ca="1">IFERROR(__xludf.DUMMYFUNCTION("""COMPUTED_VALUE"""),"Genbu Tale")</f>
        <v>Genbu Tale</v>
      </c>
      <c r="F113" s="2" t="str">
        <f ca="1">IFERROR(__xludf.DUMMYFUNCTION("""COMPUTED_VALUE"""),"Rope Master")</f>
        <v>Rope Master</v>
      </c>
      <c r="G113" s="2" t="str">
        <f ca="1">IFERROR(__xludf.DUMMYFUNCTION("""COMPUTED_VALUE"""),"Corruption")</f>
        <v>Corruption</v>
      </c>
      <c r="H113" s="2" t="str">
        <f ca="1">IFERROR(__xludf.DUMMYFUNCTION("""COMPUTED_VALUE"""),"You may be an exorcist or a magician by trade but at heart what you really are is a slave trainer. Few will admit to admiring your talents but none will deny your skills, for you’re a master of your craft who can turn an ordinary person into a work of ero"&amp;"tic art. A slave under your care is as malleable as the finest clay, and you can easily sculpt them as you please, from breaking down unwanted resistance or training new skills to reshaping your slave’s entire personality. Under your care your slaves deve"&amp;"lop their powers and skills in a fraction of the time they’d need on their own even if you lack specific knowledge of their chosen fields (though obviously being a skilled and knowledgeable teacher will help them grow even faster). Those who have supernat"&amp;"ural powers can even unlock new levels of power and shatter any mental blocks holding back their progress. But such gains come at a price: anyone you train as a slave becomes your slave in truth, searing the pleasures of submission and eternal loyalty int"&amp;"o their bodies and souls, until not even magic or mind control can take them from you.")</f>
        <v>You may be an exorcist or a magician by trade but at heart what you really are is a slave trainer. Few will admit to admiring your talents but none will deny your skills, for you’re a master of your craft who can turn an ordinary person into a work of erotic art. A slave under your care is as malleable as the finest clay, and you can easily sculpt them as you please, from breaking down unwanted resistance or training new skills to reshaping your slave’s entire personality. Under your care your slaves develop their powers and skills in a fraction of the time they’d need on their own even if you lack specific knowledge of their chosen fields (though obviously being a skilled and knowledgeable teacher will help them grow even faster). Those who have supernatural powers can even unlock new levels of power and shatter any mental blocks holding back their progress. But such gains come at a price: anyone you train as a slave becomes your slave in truth, searing the pleasures of submission and eternal loyalty into their bodies and souls, until not even magic or mind control can take them from you.</v>
      </c>
      <c r="I113" s="5"/>
    </row>
    <row r="114" spans="1:9" ht="174" x14ac:dyDescent="0.25">
      <c r="A114" s="16"/>
      <c r="B114" s="17">
        <v>110</v>
      </c>
      <c r="C114" s="2" t="b">
        <f ca="1">IFERROR(__xludf.DUMMYFUNCTION("""COMPUTED_VALUE"""),FALSE)</f>
        <v>0</v>
      </c>
      <c r="D114" s="2">
        <f ca="1">IFERROR(__xludf.DUMMYFUNCTION("""COMPUTED_VALUE"""),600)</f>
        <v>600</v>
      </c>
      <c r="E114" s="2" t="str">
        <f ca="1">IFERROR(__xludf.DUMMYFUNCTION("""COMPUTED_VALUE"""),"Incubator")</f>
        <v>Incubator</v>
      </c>
      <c r="F114" s="2" t="str">
        <f ca="1">IFERROR(__xludf.DUMMYFUNCTION("""COMPUTED_VALUE"""),"Majuu Purification Girl Utea")</f>
        <v>Majuu Purification Girl Utea</v>
      </c>
      <c r="G114" s="2" t="str">
        <f ca="1">IFERROR(__xludf.DUMMYFUNCTION("""COMPUTED_VALUE"""),"Corruption")</f>
        <v>Corruption</v>
      </c>
      <c r="H114" s="2" t="str">
        <f ca="1">IFERROR(__xludf.DUMMYFUNCTION("""COMPUTED_VALUE"""),"The Utea are much like uncut gemstones: beautiful, but in need of polish before they can become proper slaves for their future masters. You have a rare gift for teaching and would be a perfect mentor if only you weren’t corrupting your students. You have "&amp;"an eye for special or hidden talents, like naive girls who have untapped magical potential and would make powerful magical girls, and your world-class teaching talents allow you to take your students all the way to the peaks of their potential. Of course "&amp;"the more you train up your proteges the easier it becomes to manipulate and corrupt them as they eagerly drink in every lesson you teach them, even the ones that are actually just giving them hidden weaknesses that only you can exploit. You could easily m"&amp;"ake your students hyper-sensitive to certain kinds of pleasure, make them incapable of cumming without your touch, force their bodies to have lewd growth spurts, or simply awaken them to a litany of new fetishes.")</f>
        <v>The Utea are much like uncut gemstones: beautiful, but in need of polish before they can become proper slaves for their future masters. You have a rare gift for teaching and would be a perfect mentor if only you weren’t corrupting your students. You have an eye for special or hidden talents, like naive girls who have untapped magical potential and would make powerful magical girls, and your world-class teaching talents allow you to take your students all the way to the peaks of their potential. Of course the more you train up your proteges the easier it becomes to manipulate and corrupt them as they eagerly drink in every lesson you teach them, even the ones that are actually just giving them hidden weaknesses that only you can exploit. You could easily make your students hyper-sensitive to certain kinds of pleasure, make them incapable of cumming without your touch, force their bodies to have lewd growth spurts, or simply awaken them to a litany of new fetishes.</v>
      </c>
      <c r="I114" s="5"/>
    </row>
    <row r="115" spans="1:9" ht="226.2" x14ac:dyDescent="0.25">
      <c r="A115" s="16"/>
      <c r="B115" s="17">
        <v>111</v>
      </c>
      <c r="C115" s="2" t="b">
        <f ca="1">IFERROR(__xludf.DUMMYFUNCTION("""COMPUTED_VALUE"""),FALSE)</f>
        <v>0</v>
      </c>
      <c r="D115" s="2">
        <f ca="1">IFERROR(__xludf.DUMMYFUNCTION("""COMPUTED_VALUE"""),600)</f>
        <v>600</v>
      </c>
      <c r="E115" s="2" t="str">
        <f ca="1">IFERROR(__xludf.DUMMYFUNCTION("""COMPUTED_VALUE"""),"Joyous Reunion")</f>
        <v>Joyous Reunion</v>
      </c>
      <c r="F115" s="2" t="str">
        <f ca="1">IFERROR(__xludf.DUMMYFUNCTION("""COMPUTED_VALUE"""),"Tifa Lockhart - Agent of Avalanche")</f>
        <v>Tifa Lockhart - Agent of Avalanche</v>
      </c>
      <c r="G115" s="2" t="str">
        <f ca="1">IFERROR(__xludf.DUMMYFUNCTION("""COMPUTED_VALUE"""),"Corruption")</f>
        <v>Corruption</v>
      </c>
      <c r="H115" s="2" t="str">
        <f ca="1">IFERROR(__xludf.DUMMYFUNCTION("""COMPUTED_VALUE"""),"There have been other visitors to this world from beyond before you arrived, but will there be others after? Your love is a truly insidious thing, akin to the Calamity from the Sky that doomed the Ancients. Your body can twist itself to become the perfect"&amp;" lure for your target, a being straight from their wet dreams. And once the bait is taken, they'll find themselves hooked, unable to resist the pleasures your flesh can give them. But the worst is yet to come for them: as they indulge in your body, you to"&amp;"o may indulge in theirs, twisting them to be more to your liking in body and soul. Eventually they'll grow so devoted to your addictive love that they themselves will become a vector for you to infect and change others through them, your victims existing "&amp;"in a state of blissful subservience to your will as they become extensions of you. As the infection that is you spreads throughout the land, your body draws strength from those who join with it. You could twist your muscle fibers to gain the strength of a"&amp;" mighty swordsman, or increase your curves and beauty in the image of a lovely young flower girl that you seduced. And as your body gains strength, so too does the infection. Will you be a second Calamity to this world, so damaged from the first?")</f>
        <v>There have been other visitors to this world from beyond before you arrived, but will there be others after? Your love is a truly insidious thing, akin to the Calamity from the Sky that doomed the Ancients. Your body can twist itself to become the perfect lure for your target, a being straight from their wet dreams. And once the bait is taken, they'll find themselves hooked, unable to resist the pleasures your flesh can give them. But the worst is yet to come for them: as they indulge in your body, you too may indulge in theirs, twisting them to be more to your liking in body and soul. Eventually they'll grow so devoted to your addictive love that they themselves will become a vector for you to infect and change others through them, your victims existing in a state of blissful subservience to your will as they become extensions of you. As the infection that is you spreads throughout the land, your body draws strength from those who join with it. You could twist your muscle fibers to gain the strength of a mighty swordsman, or increase your curves and beauty in the image of a lovely young flower girl that you seduced. And as your body gains strength, so too does the infection. Will you be a second Calamity to this world, so damaged from the first?</v>
      </c>
      <c r="I115" s="5"/>
    </row>
    <row r="116" spans="1:9" ht="174" x14ac:dyDescent="0.25">
      <c r="A116" s="16"/>
      <c r="B116" s="17">
        <v>112</v>
      </c>
      <c r="C116" s="2" t="b">
        <f ca="1">IFERROR(__xludf.DUMMYFUNCTION("""COMPUTED_VALUE"""),FALSE)</f>
        <v>0</v>
      </c>
      <c r="D116" s="2">
        <f ca="1">IFERROR(__xludf.DUMMYFUNCTION("""COMPUTED_VALUE"""),600)</f>
        <v>600</v>
      </c>
      <c r="E116" s="2" t="str">
        <f ca="1">IFERROR(__xludf.DUMMYFUNCTION("""COMPUTED_VALUE"""),"Mistakes were Made")</f>
        <v>Mistakes were Made</v>
      </c>
      <c r="F116" s="2" t="str">
        <f ca="1">IFERROR(__xludf.DUMMYFUNCTION("""COMPUTED_VALUE"""),"High School DxD Blacked")</f>
        <v>High School DxD Blacked</v>
      </c>
      <c r="G116" s="2" t="str">
        <f ca="1">IFERROR(__xludf.DUMMYFUNCTION("""COMPUTED_VALUE"""),"Corruption")</f>
        <v>Corruption</v>
      </c>
      <c r="H116" s="2" t="str">
        <f ca="1">IFERROR(__xludf.DUMMYFUNCTION("""COMPUTED_VALUE"""),"Deals with the devil are a tale as old as time, but the Devil's don’t actually have the monopoly on them - if anything, they learned some of their best tricks from humans. Things like “I’ll sleep with you if you stop bullying my son”, or “I’ll suck your c"&amp;"ock if you don’t release that photo”. There’s no one better at sinning than us humans, after all. Those who make deals with you will find them slowly sliding to become overwhelmingly in your favor, or even outright in opposition to their original goals - "&amp;"someone who paid you not to target someone by sleeping with you might eventually pay you to sleep with them by creating more opportunities for you to target the one they originally defended. Once the bargain is struck and you begin to conquer them, it won"&amp;"’t be long until they happily and gleefully reverse their position and give you anything you ask for in exchange for not stopping your abuse of their poor bodies.")</f>
        <v>Deals with the devil are a tale as old as time, but the Devil's don’t actually have the monopoly on them - if anything, they learned some of their best tricks from humans. Things like “I’ll sleep with you if you stop bullying my son”, or “I’ll suck your cock if you don’t release that photo”. There’s no one better at sinning than us humans, after all. Those who make deals with you will find them slowly sliding to become overwhelmingly in your favor, or even outright in opposition to their original goals - someone who paid you not to target someone by sleeping with you might eventually pay you to sleep with them by creating more opportunities for you to target the one they originally defended. Once the bargain is struck and you begin to conquer them, it won’t be long until they happily and gleefully reverse their position and give you anything you ask for in exchange for not stopping your abuse of their poor bodies.</v>
      </c>
      <c r="I116" s="5"/>
    </row>
    <row r="117" spans="1:9" ht="139.19999999999999" x14ac:dyDescent="0.25">
      <c r="A117" s="16"/>
      <c r="B117" s="17">
        <v>113</v>
      </c>
      <c r="C117" s="2" t="b">
        <f ca="1">IFERROR(__xludf.DUMMYFUNCTION("""COMPUTED_VALUE"""),FALSE)</f>
        <v>0</v>
      </c>
      <c r="D117" s="2">
        <f ca="1">IFERROR(__xludf.DUMMYFUNCTION("""COMPUTED_VALUE"""),600)</f>
        <v>600</v>
      </c>
      <c r="E117" s="2" t="str">
        <f ca="1">IFERROR(__xludf.DUMMYFUNCTION("""COMPUTED_VALUE"""),"Parasitical Love")</f>
        <v>Parasitical Love</v>
      </c>
      <c r="F117" s="2" t="str">
        <f ca="1">IFERROR(__xludf.DUMMYFUNCTION("""COMPUTED_VALUE"""),"Victim Girls (Veronica Edition)")</f>
        <v>Victim Girls (Veronica Edition)</v>
      </c>
      <c r="G117" s="2" t="str">
        <f ca="1">IFERROR(__xludf.DUMMYFUNCTION("""COMPUTED_VALUE"""),"Corruption")</f>
        <v>Corruption</v>
      </c>
      <c r="H117" s="2" t="str">
        <f ca="1">IFERROR(__xludf.DUMMYFUNCTION("""COMPUTED_VALUE"""),"Just conquering your foes isn’t enough. You need to defile them, to take everything from them as you sate your lusts. Whether you’re stretching someone’s holes wide or riding them into the dirt, sexual domination becomes a devouring act. Each time you mak"&amp;"e your partner orgasm, you can steal away their power, absorbed directly or ejected through their sexual fluids. Levels, skills, talents, raw strength and more. Their rape will hollow out their very being, until they’re as weak as the mewling kittens you "&amp;"leave them looking like. Every orgasm will drain an appreciable fraction of whatever you’re taking and if you’ve no use for it yourself, others can benefit by licking up the fluids you leave behind.")</f>
        <v>Just conquering your foes isn’t enough. You need to defile them, to take everything from them as you sate your lusts. Whether you’re stretching someone’s holes wide or riding them into the dirt, sexual domination becomes a devouring act. Each time you make your partner orgasm, you can steal away their power, absorbed directly or ejected through their sexual fluids. Levels, skills, talents, raw strength and more. Their rape will hollow out their very being, until they’re as weak as the mewling kittens you leave them looking like. Every orgasm will drain an appreciable fraction of whatever you’re taking and if you’ve no use for it yourself, others can benefit by licking up the fluids you leave behind.</v>
      </c>
      <c r="I117" s="5"/>
    </row>
    <row r="118" spans="1:9" ht="121.8" x14ac:dyDescent="0.25">
      <c r="A118" s="16"/>
      <c r="B118" s="17">
        <v>114</v>
      </c>
      <c r="C118" s="2" t="b">
        <f ca="1">IFERROR(__xludf.DUMMYFUNCTION("""COMPUTED_VALUE"""),FALSE)</f>
        <v>0</v>
      </c>
      <c r="D118" s="2">
        <f ca="1">IFERROR(__xludf.DUMMYFUNCTION("""COMPUTED_VALUE"""),600)</f>
        <v>600</v>
      </c>
      <c r="E118" s="2" t="str">
        <f ca="1">IFERROR(__xludf.DUMMYFUNCTION("""COMPUTED_VALUE"""),"Shared Will")</f>
        <v>Shared Will</v>
      </c>
      <c r="F118" s="2" t="str">
        <f ca="1">IFERROR(__xludf.DUMMYFUNCTION("""COMPUTED_VALUE"""),"The Lamuros Of Seven Colors")</f>
        <v>The Lamuros Of Seven Colors</v>
      </c>
      <c r="G118" s="2" t="str">
        <f ca="1">IFERROR(__xludf.DUMMYFUNCTION("""COMPUTED_VALUE"""),"Corruption")</f>
        <v>Corruption</v>
      </c>
      <c r="H118" s="2" t="str">
        <f ca="1">IFERROR(__xludf.DUMMYFUNCTION("""COMPUTED_VALUE"""),"It should come as no surprise that the demon king is the best at rape out of all the demons alive. It might even be why he’s king. In an imitation of his skill, you have gained the power to rape their mind too. Normally you’d have driven their body crazy "&amp;"and left the mind reeling, barely able to recover. With this, you can make it more permanent, leaving their state of lust to be what they consider normal. By instilling a fragment of your own will into them, your own memories of what is ‘right’... They wi"&amp;"ll never recover. Or perhaps they will never betray you? Recovery implies something is wrong, after all...")</f>
        <v>It should come as no surprise that the demon king is the best at rape out of all the demons alive. It might even be why he’s king. In an imitation of his skill, you have gained the power to rape their mind too. Normally you’d have driven their body crazy and left the mind reeling, barely able to recover. With this, you can make it more permanent, leaving their state of lust to be what they consider normal. By instilling a fragment of your own will into them, your own memories of what is ‘right’... They will never recover. Or perhaps they will never betray you? Recovery implies something is wrong, after all...</v>
      </c>
      <c r="I118" s="5"/>
    </row>
    <row r="119" spans="1:9" ht="121.8" x14ac:dyDescent="0.25">
      <c r="A119" s="16"/>
      <c r="B119" s="17">
        <v>115</v>
      </c>
      <c r="C119" s="2" t="b">
        <f ca="1">IFERROR(__xludf.DUMMYFUNCTION("""COMPUTED_VALUE"""),FALSE)</f>
        <v>0</v>
      </c>
      <c r="D119" s="2">
        <f ca="1">IFERROR(__xludf.DUMMYFUNCTION("""COMPUTED_VALUE"""),600)</f>
        <v>600</v>
      </c>
      <c r="E119" s="2" t="str">
        <f ca="1">IFERROR(__xludf.DUMMYFUNCTION("""COMPUTED_VALUE"""),"Suffer in Silence")</f>
        <v>Suffer in Silence</v>
      </c>
      <c r="F119" s="2" t="str">
        <f ca="1">IFERROR(__xludf.DUMMYFUNCTION("""COMPUTED_VALUE"""),"Generic: Hentai World")</f>
        <v>Generic: Hentai World</v>
      </c>
      <c r="G119" s="2" t="str">
        <f ca="1">IFERROR(__xludf.DUMMYFUNCTION("""COMPUTED_VALUE"""),"Corruption")</f>
        <v>Corruption</v>
      </c>
      <c r="H119" s="2" t="str">
        <f ca="1">IFERROR(__xludf.DUMMYFUNCTION("""COMPUTED_VALUE"""),"All it takes for evil to triumph is for good men to do nothing. Lucky for you, the good men are all out to lunch and the good women are too busy getting stuffed full of cock. You will generally face far fewer complications for evil actions than other peop"&amp;"le would. Blackmail victims give in rather than go to the authorities, bystanders ignore you as you molest a woman on a crowded train, and neighboring kingdoms turn a blind eye to the threat you pose as you conquer a nation and turn all its citizens into "&amp;"sex slaves. Beware heroic individuals though, as this perk has no impact on their ability to oppose you directly.")</f>
        <v>All it takes for evil to triumph is for good men to do nothing. Lucky for you, the good men are all out to lunch and the good women are too busy getting stuffed full of cock. You will generally face far fewer complications for evil actions than other people would. Blackmail victims give in rather than go to the authorities, bystanders ignore you as you molest a woman on a crowded train, and neighboring kingdoms turn a blind eye to the threat you pose as you conquer a nation and turn all its citizens into sex slaves. Beware heroic individuals though, as this perk has no impact on their ability to oppose you directly.</v>
      </c>
      <c r="I119" s="5"/>
    </row>
    <row r="120" spans="1:9" ht="174" x14ac:dyDescent="0.25">
      <c r="A120" s="16"/>
      <c r="B120" s="17">
        <v>116</v>
      </c>
      <c r="C120" s="2" t="b">
        <f ca="1">IFERROR(__xludf.DUMMYFUNCTION("""COMPUTED_VALUE"""),FALSE)</f>
        <v>0</v>
      </c>
      <c r="D120" s="2">
        <f ca="1">IFERROR(__xludf.DUMMYFUNCTION("""COMPUTED_VALUE"""),600)</f>
        <v>600</v>
      </c>
      <c r="E120" s="2" t="str">
        <f ca="1">IFERROR(__xludf.DUMMYFUNCTION("""COMPUTED_VALUE"""),"Tainted Seed")</f>
        <v>Tainted Seed</v>
      </c>
      <c r="F120" s="2" t="str">
        <f ca="1">IFERROR(__xludf.DUMMYFUNCTION("""COMPUTED_VALUE"""),"Majuu Purification Girl Utea")</f>
        <v>Majuu Purification Girl Utea</v>
      </c>
      <c r="G120" s="2" t="str">
        <f ca="1">IFERROR(__xludf.DUMMYFUNCTION("""COMPUTED_VALUE"""),"Corruption")</f>
        <v>Corruption</v>
      </c>
      <c r="H120" s="2" t="str">
        <f ca="1">IFERROR(__xludf.DUMMYFUNCTION("""COMPUTED_VALUE"""),"The secret weapon of the injuu king and key to the success of the Utea Plan, these corrupted Utea seeds allow the injuu to transform ordinary girls into powerful slaves with all the powers of a magical girl and the lustful nature of a sex demon. These tai"&amp;"nted seeds can only be granted to a person with their consent but those who accept become magical girls at the cost of becoming permanently shackled to you. While they appear to be ordinary magical girls at first, your new slaves are incapable of harming "&amp;"you with any powers they have regardless of whether they got them from you or not, and the more that they indulge in the new desires that now stain their soul the more powerful they become. Eventually they’ll blossom into corrupted dark magical girls like"&amp;" Charm and Grace’s corrupted “uterus” forms. You only receive two seeds at first but you can make as many more as you want, though it requires an expense of magical power.")</f>
        <v>The secret weapon of the injuu king and key to the success of the Utea Plan, these corrupted Utea seeds allow the injuu to transform ordinary girls into powerful slaves with all the powers of a magical girl and the lustful nature of a sex demon. These tainted seeds can only be granted to a person with their consent but those who accept become magical girls at the cost of becoming permanently shackled to you. While they appear to be ordinary magical girls at first, your new slaves are incapable of harming you with any powers they have regardless of whether they got them from you or not, and the more that they indulge in the new desires that now stain their soul the more powerful they become. Eventually they’ll blossom into corrupted dark magical girls like Charm and Grace’s corrupted “uterus” forms. You only receive two seeds at first but you can make as many more as you want, though it requires an expense of magical power.</v>
      </c>
      <c r="I120" s="5"/>
    </row>
    <row r="121" spans="1:9" ht="139.19999999999999" x14ac:dyDescent="0.25">
      <c r="A121" s="16"/>
      <c r="B121" s="17">
        <v>117</v>
      </c>
      <c r="C121" s="2" t="b">
        <f ca="1">IFERROR(__xludf.DUMMYFUNCTION("""COMPUTED_VALUE"""),FALSE)</f>
        <v>0</v>
      </c>
      <c r="D121" s="2">
        <f ca="1">IFERROR(__xludf.DUMMYFUNCTION("""COMPUTED_VALUE"""),600)</f>
        <v>600</v>
      </c>
      <c r="E121" s="2" t="str">
        <f ca="1">IFERROR(__xludf.DUMMYFUNCTION("""COMPUTED_VALUE"""),"Taking Possession")</f>
        <v>Taking Possession</v>
      </c>
      <c r="F121" s="2" t="str">
        <f ca="1">IFERROR(__xludf.DUMMYFUNCTION("""COMPUTED_VALUE"""),"Generic: Hentai World")</f>
        <v>Generic: Hentai World</v>
      </c>
      <c r="G121" s="2" t="str">
        <f ca="1">IFERROR(__xludf.DUMMYFUNCTION("""COMPUTED_VALUE"""),"Corruption")</f>
        <v>Corruption</v>
      </c>
      <c r="H121" s="2" t="str">
        <f ca="1">IFERROR(__xludf.DUMMYFUNCTION("""COMPUTED_VALUE"""),"The more sexual pleasure you bring someone, the more that which is theirs become yours instead. This is a progressive transfer of any assets which they could give to you or which you would receive or share while married to them, up to and including themse"&amp;"lves once they have nothing else left to give. Whatever you gain is yours alone, legally and metaphysically, but you may choose to conceal the transfer from your lover and temporarily permit them continued access. If you do actually marry someone then the"&amp;" transfer is immediate and total, irreversible even by separation, from the moment the ceremony is complete. In such a case you also, for the duration of the marriage, are able to give or deny their legal and metaphysical consent for them despite their pe"&amp;"rsonal wishes.")</f>
        <v>The more sexual pleasure you bring someone, the more that which is theirs become yours instead. This is a progressive transfer of any assets which they could give to you or which you would receive or share while married to them, up to and including themselves once they have nothing else left to give. Whatever you gain is yours alone, legally and metaphysically, but you may choose to conceal the transfer from your lover and temporarily permit them continued access. If you do actually marry someone then the transfer is immediate and total, irreversible even by separation, from the moment the ceremony is complete. In such a case you also, for the duration of the marriage, are able to give or deny their legal and metaphysical consent for them despite their personal wishes.</v>
      </c>
      <c r="I121" s="5"/>
    </row>
    <row r="122" spans="1:9" ht="156.6" x14ac:dyDescent="0.25">
      <c r="A122" s="16"/>
      <c r="B122" s="17">
        <v>118</v>
      </c>
      <c r="C122" s="2" t="b">
        <f ca="1">IFERROR(__xludf.DUMMYFUNCTION("""COMPUTED_VALUE"""),FALSE)</f>
        <v>0</v>
      </c>
      <c r="D122" s="2">
        <f ca="1">IFERROR(__xludf.DUMMYFUNCTION("""COMPUTED_VALUE"""),600)</f>
        <v>600</v>
      </c>
      <c r="E122" s="2" t="str">
        <f ca="1">IFERROR(__xludf.DUMMYFUNCTION("""COMPUTED_VALUE"""),"What is Sex?")</f>
        <v>What is Sex?</v>
      </c>
      <c r="F122" s="2" t="str">
        <f ca="1">IFERROR(__xludf.DUMMYFUNCTION("""COMPUTED_VALUE"""),"Bloom Pirate Hooker")</f>
        <v>Bloom Pirate Hooker</v>
      </c>
      <c r="G122" s="2" t="str">
        <f ca="1">IFERROR(__xludf.DUMMYFUNCTION("""COMPUTED_VALUE"""),"Corruption")</f>
        <v>Corruption</v>
      </c>
      <c r="H122" s="2" t="str">
        <f ca="1">IFERROR(__xludf.DUMMYFUNCTION("""COMPUTED_VALUE"""),"So, funny story. The most beautiful woman in the world and Queen of Amazon Lily, Pirate Empress Boa Hancock, has no idea what sex is. Neither do her sisters, and the three of them used to be slaves to the world nobles. Pretty girl, slave, arrogant noble.."&amp;". How do they not know this? Regardless, Boa Marigold was quickly educated by the Soul Pirates on the intricacies of sex after seeing their copy of ‘Midarezaki Joshuu Kaizoku’ and wondering what it was. It was porn. Much like the Soul Pirates, with even t"&amp;"he vaguest hint of innocence, you can turn any woman - or man, though they tend to dislike dickgirls for some reason - into functionally whatever you want. And of course, once you have your claws - or dick, as the case may be - in her, you can retain that"&amp;" control. Want her to spend years as a high class hooker, only to turn into your blushing bride? You can do that.")</f>
        <v>So, funny story. The most beautiful woman in the world and Queen of Amazon Lily, Pirate Empress Boa Hancock, has no idea what sex is. Neither do her sisters, and the three of them used to be slaves to the world nobles. Pretty girl, slave, arrogant noble... How do they not know this? Regardless, Boa Marigold was quickly educated by the Soul Pirates on the intricacies of sex after seeing their copy of ‘Midarezaki Joshuu Kaizoku’ and wondering what it was. It was porn. Much like the Soul Pirates, with even the vaguest hint of innocence, you can turn any woman - or man, though they tend to dislike dickgirls for some reason - into functionally whatever you want. And of course, once you have your claws - or dick, as the case may be - in her, you can retain that control. Want her to spend years as a high class hooker, only to turn into your blushing bride? You can do that.</v>
      </c>
      <c r="I122" s="5"/>
    </row>
    <row r="123" spans="1:9" ht="174" x14ac:dyDescent="0.25">
      <c r="A123" s="16"/>
      <c r="B123" s="17">
        <v>119</v>
      </c>
      <c r="C123" s="2" t="b">
        <f ca="1">IFERROR(__xludf.DUMMYFUNCTION("""COMPUTED_VALUE"""),FALSE)</f>
        <v>0</v>
      </c>
      <c r="D123" s="2">
        <f ca="1">IFERROR(__xludf.DUMMYFUNCTION("""COMPUTED_VALUE"""),600)</f>
        <v>600</v>
      </c>
      <c r="E123" s="2" t="str">
        <f ca="1">IFERROR(__xludf.DUMMYFUNCTION("""COMPUTED_VALUE"""),"What it Means to Love")</f>
        <v>What it Means to Love</v>
      </c>
      <c r="F123" s="2" t="str">
        <f ca="1">IFERROR(__xludf.DUMMYFUNCTION("""COMPUTED_VALUE"""),"Archangel of Love, Love Mary ~Malignant Conception~")</f>
        <v>Archangel of Love, Love Mary ~Malignant Conception~</v>
      </c>
      <c r="G123" s="2" t="str">
        <f ca="1">IFERROR(__xludf.DUMMYFUNCTION("""COMPUTED_VALUE"""),"Corruption")</f>
        <v>Corruption</v>
      </c>
      <c r="H123" s="2" t="str">
        <f ca="1">IFERROR(__xludf.DUMMYFUNCTION("""COMPUTED_VALUE"""),"Your touch is marvelous, and to most humans would definitely be the most pleasurable thing they’ve ever experienced. And wouldn’t anyone who experienced something wonderful want to share it with those they care for? People who you corrupt will start to fo"&amp;"cus on the idea of sharing this corruption and sexual pleasure with people they care for. They will work to expose people to you, to give them to you, to make them experience the amazing pleasures you shared with them. But this works the other way around,"&amp;" too. When someone that a person cares about falls to corruption, the more appealing corruption seems to that individual. Turn everyone that somebody knows to your side, and that person is almost guaranteed to willingly give themselves over to you. This d"&amp;"oesn’t only work with corruption, but with more mundane forms of persuasion, too, in a somewhat twisted form of peer pressure.")</f>
        <v>Your touch is marvelous, and to most humans would definitely be the most pleasurable thing they’ve ever experienced. And wouldn’t anyone who experienced something wonderful want to share it with those they care for? People who you corrupt will start to focus on the idea of sharing this corruption and sexual pleasure with people they care for. They will work to expose people to you, to give them to you, to make them experience the amazing pleasures you shared with them. But this works the other way around, too. When someone that a person cares about falls to corruption, the more appealing corruption seems to that individual. Turn everyone that somebody knows to your side, and that person is almost guaranteed to willingly give themselves over to you. This doesn’t only work with corruption, but with more mundane forms of persuasion, too, in a somewhat twisted form of peer pressure.</v>
      </c>
      <c r="I123" s="5"/>
    </row>
    <row r="124" spans="1:9" ht="87" x14ac:dyDescent="0.25">
      <c r="A124" s="16"/>
      <c r="B124" s="17">
        <v>120</v>
      </c>
      <c r="C124" s="2" t="b">
        <f ca="1">IFERROR(__xludf.DUMMYFUNCTION("""COMPUTED_VALUE"""),FALSE)</f>
        <v>0</v>
      </c>
      <c r="D124" s="2">
        <f ca="1">IFERROR(__xludf.DUMMYFUNCTION("""COMPUTED_VALUE"""),700)</f>
        <v>700</v>
      </c>
      <c r="E124" s="2" t="str">
        <f ca="1">IFERROR(__xludf.DUMMYFUNCTION("""COMPUTED_VALUE"""),"Absolute Corruption")</f>
        <v>Absolute Corruption</v>
      </c>
      <c r="F124" s="2" t="str">
        <f ca="1">IFERROR(__xludf.DUMMYFUNCTION("""COMPUTED_VALUE"""),"Generic: Hentai Tentacles")</f>
        <v>Generic: Hentai Tentacles</v>
      </c>
      <c r="G124" s="2" t="str">
        <f ca="1">IFERROR(__xludf.DUMMYFUNCTION("""COMPUTED_VALUE"""),"Corruption")</f>
        <v>Corruption</v>
      </c>
      <c r="H124" s="2" t="str">
        <f ca="1">IFERROR(__xludf.DUMMYFUNCTION("""COMPUTED_VALUE"""),"The soul is a powerful thing. By consuming a person's soul completely, you kill them. However, you can now fill them with your own power. Rebirthing them. Becoming a demon in their own right. Their body changes to suit your needs, their mind becoming comp"&amp;"letely loyal to you. A demon created in such a manner is twice as powerful as they were before and gain the ability to consume slivers of soul through sex.")</f>
        <v>The soul is a powerful thing. By consuming a person's soul completely, you kill them. However, you can now fill them with your own power. Rebirthing them. Becoming a demon in their own right. Their body changes to suit your needs, their mind becoming completely loyal to you. A demon created in such a manner is twice as powerful as they were before and gain the ability to consume slivers of soul through sex.</v>
      </c>
      <c r="I124" s="5"/>
    </row>
    <row r="125" spans="1:9" ht="208.8" x14ac:dyDescent="0.25">
      <c r="A125" s="16"/>
      <c r="B125" s="17">
        <v>121</v>
      </c>
      <c r="C125" s="2" t="b">
        <f ca="1">IFERROR(__xludf.DUMMYFUNCTION("""COMPUTED_VALUE"""),FALSE)</f>
        <v>0</v>
      </c>
      <c r="D125" s="2">
        <f ca="1">IFERROR(__xludf.DUMMYFUNCTION("""COMPUTED_VALUE"""),700)</f>
        <v>700</v>
      </c>
      <c r="E125" s="2" t="str">
        <f ca="1">IFERROR(__xludf.DUMMYFUNCTION("""COMPUTED_VALUE"""),"Corruption Incarnate")</f>
        <v>Corruption Incarnate</v>
      </c>
      <c r="F125" s="2" t="str">
        <f ca="1">IFERROR(__xludf.DUMMYFUNCTION("""COMPUTED_VALUE"""),"Overwhored")</f>
        <v>Overwhored</v>
      </c>
      <c r="G125" s="2" t="str">
        <f ca="1">IFERROR(__xludf.DUMMYFUNCTION("""COMPUTED_VALUE"""),"Corruption")</f>
        <v>Corruption</v>
      </c>
      <c r="H125" s="2" t="str">
        <f ca="1">IFERROR(__xludf.DUMMYFUNCTION("""COMPUTED_VALUE"""),"The oldest trap in the book. Just because the Overmind isn’t using his power doesn’t mean you’re safe from his influence. You can't touch fire without getting burned and you can't play with the Overmind without getting corrupted. Even just being in his pr"&amp;"esence feels so good that it inspires lurid fantasies and makes people want to give in.
It doesn’t actually matter if you’re using your power or not. All you really have to do to brainwash people is just be around them for long enough. The longer someon"&amp;"e stays near you and the more they see what you do, the more eager and brainwashed they become until they’re willingly, happily asking you to fully enslave them. Willpower only slows the process down by a little bit. And if you end up acquiring other form"&amp;"s of corruptive or mind-affecting powers from somewhere, you can apply the benefits of this to those as well, inflicting your favored form of corruption on people with your mere presence.")</f>
        <v>The oldest trap in the book. Just because the Overmind isn’t using his power doesn’t mean you’re safe from his influence. You can't touch fire without getting burned and you can't play with the Overmind without getting corrupted. Even just being in his presence feels so good that it inspires lurid fantasies and makes people want to give in.
It doesn’t actually matter if you’re using your power or not. All you really have to do to brainwash people is just be around them for long enough. The longer someone stays near you and the more they see what you do, the more eager and brainwashed they become until they’re willingly, happily asking you to fully enslave them. Willpower only slows the process down by a little bit. And if you end up acquiring other forms of corruptive or mind-affecting powers from somewhere, you can apply the benefits of this to those as well, inflicting your favored form of corruption on people with your mere presence.</v>
      </c>
      <c r="I125" s="5"/>
    </row>
    <row r="126" spans="1:9" ht="191.4" x14ac:dyDescent="0.25">
      <c r="A126" s="16"/>
      <c r="B126" s="17">
        <v>122</v>
      </c>
      <c r="C126" s="2" t="b">
        <f ca="1">IFERROR(__xludf.DUMMYFUNCTION("""COMPUTED_VALUE"""),FALSE)</f>
        <v>0</v>
      </c>
      <c r="D126" s="2">
        <f ca="1">IFERROR(__xludf.DUMMYFUNCTION("""COMPUTED_VALUE"""),700)</f>
        <v>700</v>
      </c>
      <c r="E126" s="2" t="str">
        <f ca="1">IFERROR(__xludf.DUMMYFUNCTION("""COMPUTED_VALUE"""),"Darkness Covers the Land")</f>
        <v>Darkness Covers the Land</v>
      </c>
      <c r="F126" s="2" t="str">
        <f ca="1">IFERROR(__xludf.DUMMYFUNCTION("""COMPUTED_VALUE"""),"Breathless Wild")</f>
        <v>Breathless Wild</v>
      </c>
      <c r="G126" s="2" t="str">
        <f ca="1">IFERROR(__xludf.DUMMYFUNCTION("""COMPUTED_VALUE"""),"Corruption")</f>
        <v>Corruption</v>
      </c>
      <c r="H126" s="2" t="str">
        <f ca="1">IFERROR(__xludf.DUMMYFUNCTION("""COMPUTED_VALUE"""),"The power of darkness corrupts any lands you control with a curse of lust, not unlike Ganon’s Nightmare. Seeds of corruption seep into the bodies and minds of all who inhabit your territories, transforming every man, woman, and monster into a slave waitin"&amp;"g to be collared by their rightful king. This corruption allows you to sculpt the bodies and minds of your subjects as you please, imposing royal decrees in the form of unconscious desires and rewarding any who submit with addictive pleasures which grant "&amp;"your corruption even greater hold over them. You might curse a farming village’s girls with a desire to be impregnated by their animals while reducing the men to spineless cuckolds, or turn those same men into violent rapists who turn physically into mons"&amp;"ters as they give in to those urges, even as their women behave more and more like animals themselves. Strong wills can resist this corruption but must do so consistently to avoid allowing you any influence over their minds.")</f>
        <v>The power of darkness corrupts any lands you control with a curse of lust, not unlike Ganon’s Nightmare. Seeds of corruption seep into the bodies and minds of all who inhabit your territories, transforming every man, woman, and monster into a slave waiting to be collared by their rightful king. This corruption allows you to sculpt the bodies and minds of your subjects as you please, imposing royal decrees in the form of unconscious desires and rewarding any who submit with addictive pleasures which grant your corruption even greater hold over them. You might curse a farming village’s girls with a desire to be impregnated by their animals while reducing the men to spineless cuckolds, or turn those same men into violent rapists who turn physically into monsters as they give in to those urges, even as their women behave more and more like animals themselves. Strong wills can resist this corruption but must do so consistently to avoid allowing you any influence over their minds.</v>
      </c>
      <c r="I126" s="5"/>
    </row>
    <row r="127" spans="1:9" ht="278.39999999999998" x14ac:dyDescent="0.25">
      <c r="A127" s="16"/>
      <c r="B127" s="17">
        <v>123</v>
      </c>
      <c r="C127" s="2" t="b">
        <f ca="1">IFERROR(__xludf.DUMMYFUNCTION("""COMPUTED_VALUE"""),FALSE)</f>
        <v>0</v>
      </c>
      <c r="D127" s="2">
        <f ca="1">IFERROR(__xludf.DUMMYFUNCTION("""COMPUTED_VALUE"""),700)</f>
        <v>700</v>
      </c>
      <c r="E127" s="2" t="str">
        <f ca="1">IFERROR(__xludf.DUMMYFUNCTION("""COMPUTED_VALUE"""),"Domination and Desecration")</f>
        <v>Domination and Desecration</v>
      </c>
      <c r="F127" s="2" t="str">
        <f ca="1">IFERROR(__xludf.DUMMYFUNCTION("""COMPUTED_VALUE"""),"World of Tentacles")</f>
        <v>World of Tentacles</v>
      </c>
      <c r="G127" s="2" t="str">
        <f ca="1">IFERROR(__xludf.DUMMYFUNCTION("""COMPUTED_VALUE"""),"Corruption")</f>
        <v>Corruption</v>
      </c>
      <c r="H127" s="2" t="str">
        <f ca="1">IFERROR(__xludf.DUMMYFUNCTION("""COMPUTED_VALUE"""),"In ages past a succubus once claimed the title of demon lord, and with her vast magical power she reshaped her world from the earth to the very heavens themselves. Like this ancient Lord of Monster Girls your magical power is colored, corrupted some would"&amp;" say, by your lustful nature, giving it an aphrodisiac quality and allowing you to corrupt others by subjecting them to your power. Any spell that you cast, any artifact that you forge, and any minion that you summon or create can become a vector for this"&amp;" power if you choose to make it so. With a truly vast expenditure of power even the land itself can be corrupted, and once the land is tainted it is only a matter of time before all who live upon it fall under your sway.
Magical protections can mitigate "&amp;"this and most kinds of holy magic can wash away your influence, but once a being’s corruption passes a critical threshold they will slowly transform in lewd ways according to your desires, such as men and women becoming succubi and incubi. Corrupted human"&amp;"s and creatures retain whatever minds, personalities, and morals they may or may not have had before their corruption, but they will recognize you instinctively as a powerful authority figure whether they like it or not and are much more vulnerable to any"&amp;" charisma perks or other forms of corruption magic you might possess.")</f>
        <v>In ages past a succubus once claimed the title of demon lord, and with her vast magical power she reshaped her world from the earth to the very heavens themselves. Like this ancient Lord of Monster Girls your magical power is colored, corrupted some would say, by your lustful nature, giving it an aphrodisiac quality and allowing you to corrupt others by subjecting them to your power. Any spell that you cast, any artifact that you forge, and any minion that you summon or create can become a vector for this power if you choose to make it so. With a truly vast expenditure of power even the land itself can be corrupted, and once the land is tainted it is only a matter of time before all who live upon it fall under your sway.
Magical protections can mitigate this and most kinds of holy magic can wash away your influence, but once a being’s corruption passes a critical threshold they will slowly transform in lewd ways according to your desires, such as men and women becoming succubi and incubi. Corrupted humans and creatures retain whatever minds, personalities, and morals they may or may not have had before their corruption, but they will recognize you instinctively as a powerful authority figure whether they like it or not and are much more vulnerable to any charisma perks or other forms of corruption magic you might possess.</v>
      </c>
      <c r="I127" s="5"/>
    </row>
    <row r="128" spans="1:9" ht="174" x14ac:dyDescent="0.25">
      <c r="A128" s="16"/>
      <c r="B128" s="17">
        <v>124</v>
      </c>
      <c r="C128" s="2" t="b">
        <f ca="1">IFERROR(__xludf.DUMMYFUNCTION("""COMPUTED_VALUE"""),FALSE)</f>
        <v>0</v>
      </c>
      <c r="D128" s="2">
        <f ca="1">IFERROR(__xludf.DUMMYFUNCTION("""COMPUTED_VALUE"""),700)</f>
        <v>700</v>
      </c>
      <c r="E128" s="2" t="str">
        <f ca="1">IFERROR(__xludf.DUMMYFUNCTION("""COMPUTED_VALUE"""),"Mine")</f>
        <v>Mine</v>
      </c>
      <c r="F128" s="2" t="str">
        <f ca="1">IFERROR(__xludf.DUMMYFUNCTION("""COMPUTED_VALUE"""),"World of Lewd Horror")</f>
        <v>World of Lewd Horror</v>
      </c>
      <c r="G128" s="2" t="str">
        <f ca="1">IFERROR(__xludf.DUMMYFUNCTION("""COMPUTED_VALUE"""),"Corruption")</f>
        <v>Corruption</v>
      </c>
      <c r="H128" s="2" t="str">
        <f ca="1">IFERROR(__xludf.DUMMYFUNCTION("""COMPUTED_VALUE"""),"Eventually, when they can’t take it any more, you can offer them release. Not death, you could have done that anyway. No, when someone is finally at rope’s end, they can surrender themselves utterly to you. They must freely offer up their body, mind, and "&amp;"soul and it must be done out of true desperation or desire. Merely holding a gun to your victim’s head so that they rationally decide to obey you isn’t enough. Once they submit, you have total control over them. You can make them do, think, or feel whatev"&amp;"er you want, even giving them (temporary) freedom. By default, the relief of being yours induces a state of complete bliss, enough that they can’t remember why they ever wanted to resist, though you can take this away if you want to punish them. If you ha"&amp;"ve the ability to turn intangible or ghostly you can possess them. If not, you could always give them a mask and have them work as your proxy in stalking the next girl.")</f>
        <v>Eventually, when they can’t take it any more, you can offer them release. Not death, you could have done that anyway. No, when someone is finally at rope’s end, they can surrender themselves utterly to you. They must freely offer up their body, mind, and soul and it must be done out of true desperation or desire. Merely holding a gun to your victim’s head so that they rationally decide to obey you isn’t enough. Once they submit, you have total control over them. You can make them do, think, or feel whatever you want, even giving them (temporary) freedom. By default, the relief of being yours induces a state of complete bliss, enough that they can’t remember why they ever wanted to resist, though you can take this away if you want to punish them. If you have the ability to turn intangible or ghostly you can possess them. If not, you could always give them a mask and have them work as your proxy in stalking the next girl.</v>
      </c>
      <c r="I128" s="5"/>
    </row>
    <row r="129" spans="1:10" ht="191.4" x14ac:dyDescent="0.25">
      <c r="A129" s="16"/>
      <c r="B129" s="17">
        <v>125</v>
      </c>
      <c r="C129" s="2" t="b">
        <f ca="1">IFERROR(__xludf.DUMMYFUNCTION("""COMPUTED_VALUE"""),FALSE)</f>
        <v>0</v>
      </c>
      <c r="D129" s="2">
        <f ca="1">IFERROR(__xludf.DUMMYFUNCTION("""COMPUTED_VALUE"""),700)</f>
        <v>700</v>
      </c>
      <c r="E129" s="2" t="str">
        <f ca="1">IFERROR(__xludf.DUMMYFUNCTION("""COMPUTED_VALUE"""),"Persistent Seed")</f>
        <v>Persistent Seed</v>
      </c>
      <c r="F129" s="2" t="str">
        <f ca="1">IFERROR(__xludf.DUMMYFUNCTION("""COMPUTED_VALUE"""),"Sailor Uranus")</f>
        <v>Sailor Uranus</v>
      </c>
      <c r="G129" s="2" t="str">
        <f ca="1">IFERROR(__xludf.DUMMYFUNCTION("""COMPUTED_VALUE"""),"Corruption")</f>
        <v>Corruption</v>
      </c>
      <c r="H129" s="2" t="str">
        <f ca="1">IFERROR(__xludf.DUMMYFUNCTION("""COMPUTED_VALUE"""),"The most dangerous inflictions in this world can neither be staved off nor cured through mundane means. No cleansing bath will dispel a curse, and no vaccine will immunize against an illness of the soul. The emotions you feel are supernaturally contagious"&amp;". With contact, you can inspire a disturbing degree of lust or anger in your targets. Prolonged contact will promote greater results, whereas higher willpower will lessen the effect... But even the most determined are not entirely immune. Your “corruption"&amp;"” extends from your skin, to the deepest layers of your flesh and everything in between. Your blood, your seed, your saliva. If it is of you, then it will transmit emotions to those it touches and those it fills, endlessly prodding at their mental substan"&amp;"ce. Every time they are successfully influenced, they are made ever more susceptible. The more of you is in them, the better, though a mere drop may produce spectacular effects with time and patience. Not even the greatest warriors can keep their guard up"&amp;" forever.")</f>
        <v>The most dangerous inflictions in this world can neither be staved off nor cured through mundane means. No cleansing bath will dispel a curse, and no vaccine will immunize against an illness of the soul. The emotions you feel are supernaturally contagious. With contact, you can inspire a disturbing degree of lust or anger in your targets. Prolonged contact will promote greater results, whereas higher willpower will lessen the effect... But even the most determined are not entirely immune. Your “corruption” extends from your skin, to the deepest layers of your flesh and everything in between. Your blood, your seed, your saliva. If it is of you, then it will transmit emotions to those it touches and those it fills, endlessly prodding at their mental substance. Every time they are successfully influenced, they are made ever more susceptible. The more of you is in them, the better, though a mere drop may produce spectacular effects with time and patience. Not even the greatest warriors can keep their guard up forever.</v>
      </c>
      <c r="I129" s="5"/>
    </row>
    <row r="130" spans="1:10" ht="139.19999999999999" x14ac:dyDescent="0.25">
      <c r="A130" s="16"/>
      <c r="B130" s="17">
        <v>126</v>
      </c>
      <c r="C130" s="2" t="b">
        <f ca="1">IFERROR(__xludf.DUMMYFUNCTION("""COMPUTED_VALUE"""),FALSE)</f>
        <v>0</v>
      </c>
      <c r="D130" s="2">
        <f ca="1">IFERROR(__xludf.DUMMYFUNCTION("""COMPUTED_VALUE"""),700)</f>
        <v>700</v>
      </c>
      <c r="E130" s="2" t="str">
        <f ca="1">IFERROR(__xludf.DUMMYFUNCTION("""COMPUTED_VALUE"""),"The Black Pharoah's Whore")</f>
        <v>The Black Pharoah's Whore</v>
      </c>
      <c r="F130" s="2" t="str">
        <f ca="1">IFERROR(__xludf.DUMMYFUNCTION("""COMPUTED_VALUE"""),"Fate / Blacked")</f>
        <v>Fate / Blacked</v>
      </c>
      <c r="G130" s="2" t="str">
        <f ca="1">IFERROR(__xludf.DUMMYFUNCTION("""COMPUTED_VALUE"""),"Corruption")</f>
        <v>Corruption</v>
      </c>
      <c r="H130" s="2" t="str">
        <f ca="1">IFERROR(__xludf.DUMMYFUNCTION("""COMPUTED_VALUE"""),"Yes you’re a slut for big cock, but this instead refers to the powers granted to you by a being not of this world - or even of these laws of physics. This grants you a number of abilities that subtly (or not so subtly) warp the world and minds of people a"&amp;"round you. Examples include certain fetishes becoming more or less common as you prefer on a roughly continent wide scale, individuals mysteriously forgetting that their loved one has cheated on them so that you can enjoy the look of discovery on their fa"&amp;"ces time and time again, or people taking actions that you command of them while thinking it was their own idea. This also makes the being that granted you these powers genuinely like you, something that may come in useful should you encounter them again "&amp;"later.")</f>
        <v>Yes you’re a slut for big cock, but this instead refers to the powers granted to you by a being not of this world - or even of these laws of physics. This grants you a number of abilities that subtly (or not so subtly) warp the world and minds of people around you. Examples include certain fetishes becoming more or less common as you prefer on a roughly continent wide scale, individuals mysteriously forgetting that their loved one has cheated on them so that you can enjoy the look of discovery on their faces time and time again, or people taking actions that you command of them while thinking it was their own idea. This also makes the being that granted you these powers genuinely like you, something that may come in useful should you encounter them again later.</v>
      </c>
      <c r="I130" s="5"/>
    </row>
    <row r="131" spans="1:10" ht="409.6" x14ac:dyDescent="0.25">
      <c r="A131" s="16"/>
      <c r="B131" s="17">
        <v>127</v>
      </c>
      <c r="C131" s="2" t="b">
        <f ca="1">IFERROR(__xludf.DUMMYFUNCTION("""COMPUTED_VALUE"""),FALSE)</f>
        <v>0</v>
      </c>
      <c r="D131" s="2">
        <f ca="1">IFERROR(__xludf.DUMMYFUNCTION("""COMPUTED_VALUE"""),800)</f>
        <v>800</v>
      </c>
      <c r="E131" s="2" t="str">
        <f ca="1">IFERROR(__xludf.DUMMYFUNCTION("""COMPUTED_VALUE"""),"The Shadow of My Purpose")</f>
        <v>The Shadow of My Purpose</v>
      </c>
      <c r="F131" s="2" t="str">
        <f ca="1">IFERROR(__xludf.DUMMYFUNCTION("""COMPUTED_VALUE"""),"World of Lewd Fantasy")</f>
        <v>World of Lewd Fantasy</v>
      </c>
      <c r="G131" s="2" t="str">
        <f ca="1">IFERROR(__xludf.DUMMYFUNCTION("""COMPUTED_VALUE"""),"Corruption")</f>
        <v>Corruption</v>
      </c>
      <c r="H131" s="2" t="str">
        <f ca="1">IFERROR(__xludf.DUMMYFUNCTION("""COMPUTED_VALUE"""),"With focus, touch, and the expending of great amounts of energy your lordly soul is able to reforge the world and all that resides within it into proper alignment with your will. This allows you to twist both living beings and inanimate objects alike to l"&amp;"ook however you desire, or change how thinking things behave simply by seeping your power into them and focusing on exactly how you wish for them to be altered. Though the greater the changes you wish to make and the less willing the subject is the longer"&amp;" it will take and the increasingly exhausting the process is for you, but anything once so corrupted will become in all ways far more susceptible to you in the future, whether it be your supernatural powers, or simple charisma it will act on them with gre"&amp;"ater strength and any resistance will be much lower. 
And by making an even greater expenditure of energy you are able to infuse the very earth around you with your dominating power, corrupting the land everything in it so that anything you don't specifi"&amp;"cally exclude will slowly be twisted in accordance to your general desires and tastes. An egotist might see statues start to change to his own likeness and people inclined to literally sing their master's praises, while a truly lustful lord could find eve"&amp;"n the local flora and fauna taking on extremely suggestive forms. However this passive method does have its drawbacks. For one the effects are generalized and lack the customization you get by doing it personally. Secondly intelligent beings who resist yo"&amp;"ur influence will take a very long time to break, needing maybe several generations living under your shadow before being fully corrupted. All the more reason for you to give your foes some personal attention.
Your very being is so corruptive in fact tha"&amp;"t it also gives you complete mastery over any other corrupting forces you may wield, allowing you to combine them in any way you wish. Remove an unwanted side effect from one by mixing it with a differing dark power that lacks it, or switch out some physi"&amp;"cal changes with others from a more aesthetically pleasing corruption. Even the vilest of forces shall be bent to your great purpose.")</f>
        <v>With focus, touch, and the expending of great amounts of energy your lordly soul is able to reforge the world and all that resides within it into proper alignment with your will. This allows you to twist both living beings and inanimate objects alike to look however you desire, or change how thinking things behave simply by seeping your power into them and focusing on exactly how you wish for them to be altered. Though the greater the changes you wish to make and the less willing the subject is the longer it will take and the increasingly exhausting the process is for you, but anything once so corrupted will become in all ways far more susceptible to you in the future, whether it be your supernatural powers, or simple charisma it will act on them with greater strength and any resistance will be much lower. 
And by making an even greater expenditure of energy you are able to infuse the very earth around you with your dominating power, corrupting the land everything in it so that anything you don't specifically exclude will slowly be twisted in accordance to your general desires and tastes. An egotist might see statues start to change to his own likeness and people inclined to literally sing their master's praises, while a truly lustful lord could find even the local flora and fauna taking on extremely suggestive forms. However this passive method does have its drawbacks. For one the effects are generalized and lack the customization you get by doing it personally. Secondly intelligent beings who resist your influence will take a very long time to break, needing maybe several generations living under your shadow before being fully corrupted. All the more reason for you to give your foes some personal attention.
Your very being is so corruptive in fact that it also gives you complete mastery over any other corrupting forces you may wield, allowing you to combine them in any way you wish. Remove an unwanted side effect from one by mixing it with a differing dark power that lacks it, or switch out some physical changes with others from a more aesthetically pleasing corruption. Even the vilest of forces shall be bent to your great purpose.</v>
      </c>
      <c r="I131" s="5"/>
    </row>
    <row r="132" spans="1:10" ht="17.399999999999999" x14ac:dyDescent="0.25">
      <c r="A132" s="16"/>
      <c r="B132" s="17"/>
      <c r="C132" s="2" t="b">
        <f ca="1">IFERROR(__xludf.DUMMYFUNCTION("""COMPUTED_VALUE"""),TRUE)</f>
        <v>1</v>
      </c>
      <c r="D132" s="2">
        <f ca="1">IFERROR(__xludf.DUMMYFUNCTION("""COMPUTED_VALUE"""),-100)</f>
        <v>-100</v>
      </c>
      <c r="E132" s="2" t="str">
        <f ca="1">IFERROR(__xludf.DUMMYFUNCTION("""COMPUTED_VALUE"""),"Purchased Perks")</f>
        <v>Purchased Perks</v>
      </c>
      <c r="F132" s="2">
        <f ca="1">IFERROR(__xludf.DUMMYFUNCTION("""COMPUTED_VALUE"""),3)</f>
        <v>3</v>
      </c>
      <c r="G132" s="2" t="str">
        <f ca="1">IFERROR(__xludf.DUMMYFUNCTION("""COMPUTED_VALUE"""),"Corruption")</f>
        <v>Corruption</v>
      </c>
      <c r="H132" s="2"/>
      <c r="I132" s="5"/>
    </row>
    <row r="133" spans="1:10" ht="17.399999999999999" x14ac:dyDescent="0.35">
      <c r="A133" s="16"/>
      <c r="B133" s="17"/>
      <c r="C133" s="2"/>
      <c r="D133" s="2"/>
      <c r="E133" s="2"/>
      <c r="F133" s="2"/>
      <c r="G133" s="2"/>
      <c r="H133" s="2"/>
      <c r="I133" s="5"/>
      <c r="J133" s="13"/>
    </row>
    <row r="134" spans="1:10" ht="17.399999999999999" x14ac:dyDescent="0.35">
      <c r="A134" s="16"/>
      <c r="B134" s="17"/>
      <c r="C134" s="2"/>
      <c r="D134" s="2"/>
      <c r="E134" s="2"/>
      <c r="F134" s="2"/>
      <c r="G134" s="2"/>
      <c r="H134" s="2"/>
      <c r="I134" s="5"/>
      <c r="J134" s="27"/>
    </row>
    <row r="135" spans="1:10" ht="17.399999999999999" x14ac:dyDescent="0.25">
      <c r="A135" s="16"/>
      <c r="B135" s="17"/>
      <c r="C135" s="2"/>
      <c r="D135" s="2"/>
      <c r="E135" s="2"/>
      <c r="F135" s="2"/>
      <c r="G135" s="2"/>
      <c r="H135" s="2"/>
      <c r="I135" s="5"/>
    </row>
    <row r="136" spans="1:10" ht="17.399999999999999" x14ac:dyDescent="0.25">
      <c r="A136" s="16"/>
      <c r="B136" s="17"/>
      <c r="C136" s="2"/>
      <c r="D136" s="2"/>
      <c r="E136" s="2"/>
      <c r="F136" s="2"/>
      <c r="G136" s="2"/>
      <c r="H136" s="2"/>
      <c r="I136" s="5"/>
    </row>
    <row r="137" spans="1:10" ht="17.399999999999999" x14ac:dyDescent="0.25">
      <c r="A137" s="16"/>
      <c r="B137" s="17"/>
      <c r="C137" s="2"/>
      <c r="D137" s="2"/>
      <c r="E137" s="2"/>
      <c r="F137" s="2"/>
      <c r="G137" s="2"/>
      <c r="H137" s="2"/>
      <c r="I137" s="5"/>
    </row>
    <row r="138" spans="1:10" ht="17.399999999999999" x14ac:dyDescent="0.25">
      <c r="A138" s="16"/>
      <c r="B138" s="17"/>
      <c r="C138" s="2"/>
      <c r="D138" s="2"/>
      <c r="E138" s="2"/>
      <c r="F138" s="2"/>
      <c r="G138" s="2"/>
      <c r="H138" s="2"/>
      <c r="I138" s="5"/>
    </row>
    <row r="139" spans="1:10" ht="17.399999999999999" x14ac:dyDescent="0.25">
      <c r="A139" s="16"/>
      <c r="B139" s="17"/>
      <c r="C139" s="2"/>
      <c r="D139" s="2"/>
      <c r="E139" s="2"/>
      <c r="F139" s="2"/>
      <c r="G139" s="2"/>
      <c r="H139" s="2"/>
      <c r="I139" s="5"/>
    </row>
    <row r="140" spans="1:10" ht="17.399999999999999" x14ac:dyDescent="0.25">
      <c r="A140" s="16"/>
      <c r="B140" s="17"/>
      <c r="C140" s="2"/>
      <c r="D140" s="2"/>
      <c r="E140" s="2"/>
      <c r="F140" s="2"/>
      <c r="G140" s="2"/>
      <c r="H140" s="2"/>
      <c r="I140" s="5"/>
    </row>
    <row r="141" spans="1:10" ht="17.399999999999999" x14ac:dyDescent="0.25">
      <c r="A141" s="16"/>
      <c r="B141" s="17"/>
      <c r="C141" s="2"/>
      <c r="D141" s="2"/>
      <c r="E141" s="2"/>
      <c r="F141" s="2"/>
      <c r="G141" s="2"/>
      <c r="H141" s="2"/>
      <c r="I141" s="5"/>
    </row>
    <row r="142" spans="1:10" ht="17.399999999999999" x14ac:dyDescent="0.25">
      <c r="A142" s="16"/>
      <c r="B142" s="17"/>
      <c r="C142" s="2"/>
      <c r="D142" s="2"/>
      <c r="E142" s="2"/>
      <c r="F142" s="2"/>
      <c r="G142" s="2"/>
      <c r="H142" s="2"/>
      <c r="I142" s="5"/>
    </row>
    <row r="143" spans="1:10" ht="17.399999999999999" x14ac:dyDescent="0.25">
      <c r="A143" s="16"/>
      <c r="B143" s="17"/>
      <c r="C143" s="2"/>
      <c r="D143" s="2"/>
      <c r="E143" s="2"/>
      <c r="F143" s="2"/>
      <c r="G143" s="2"/>
      <c r="H143" s="2"/>
      <c r="I143" s="5"/>
    </row>
    <row r="144" spans="1:10" ht="17.399999999999999" x14ac:dyDescent="0.25">
      <c r="A144" s="16"/>
      <c r="B144" s="17"/>
      <c r="C144" s="2"/>
      <c r="D144" s="2"/>
      <c r="E144" s="2"/>
      <c r="F144" s="2"/>
      <c r="G144" s="2"/>
      <c r="H144" s="2"/>
      <c r="I144" s="5"/>
    </row>
    <row r="145" spans="1:9" ht="17.399999999999999" x14ac:dyDescent="0.25">
      <c r="A145" s="16"/>
      <c r="B145" s="17"/>
      <c r="C145" s="2"/>
      <c r="D145" s="2"/>
      <c r="E145" s="2"/>
      <c r="F145" s="2"/>
      <c r="G145" s="2"/>
      <c r="H145" s="2"/>
      <c r="I145" s="5"/>
    </row>
    <row r="146" spans="1:9" ht="17.399999999999999" x14ac:dyDescent="0.25">
      <c r="A146" s="16"/>
      <c r="B146" s="17"/>
      <c r="C146" s="2"/>
      <c r="D146" s="2"/>
      <c r="E146" s="2"/>
      <c r="F146" s="2"/>
      <c r="G146" s="2"/>
      <c r="H146" s="2"/>
      <c r="I146" s="5"/>
    </row>
    <row r="147" spans="1:9" ht="17.399999999999999" x14ac:dyDescent="0.25">
      <c r="A147" s="16"/>
      <c r="B147" s="17"/>
      <c r="C147" s="2"/>
      <c r="D147" s="2"/>
      <c r="E147" s="2"/>
      <c r="F147" s="2"/>
      <c r="G147" s="2"/>
      <c r="H147" s="2"/>
      <c r="I147" s="5"/>
    </row>
    <row r="148" spans="1:9" ht="17.399999999999999" x14ac:dyDescent="0.25">
      <c r="A148" s="16"/>
      <c r="B148" s="17"/>
      <c r="C148" s="2"/>
      <c r="D148" s="2"/>
      <c r="E148" s="2"/>
      <c r="F148" s="2"/>
      <c r="G148" s="2"/>
      <c r="H148" s="2"/>
      <c r="I148" s="5"/>
    </row>
    <row r="149" spans="1:9" ht="17.399999999999999" x14ac:dyDescent="0.25">
      <c r="A149" s="16"/>
      <c r="B149" s="17"/>
      <c r="C149" s="2"/>
      <c r="D149" s="2"/>
      <c r="E149" s="2"/>
      <c r="F149" s="2"/>
      <c r="G149" s="2"/>
      <c r="H149" s="2"/>
      <c r="I149" s="5"/>
    </row>
    <row r="150" spans="1:9" ht="17.399999999999999" x14ac:dyDescent="0.25">
      <c r="A150" s="16"/>
      <c r="B150" s="17"/>
      <c r="C150" s="2"/>
      <c r="D150" s="2"/>
      <c r="E150" s="2"/>
      <c r="F150" s="2"/>
      <c r="G150" s="2"/>
      <c r="H150" s="2"/>
      <c r="I150" s="5"/>
    </row>
    <row r="151" spans="1:9" ht="17.399999999999999" x14ac:dyDescent="0.25">
      <c r="A151" s="16"/>
      <c r="B151" s="17"/>
      <c r="C151" s="2"/>
      <c r="D151" s="2"/>
      <c r="E151" s="2"/>
      <c r="F151" s="2"/>
      <c r="G151" s="2"/>
      <c r="H151" s="2"/>
      <c r="I151" s="5"/>
    </row>
    <row r="152" spans="1:9" ht="17.399999999999999" x14ac:dyDescent="0.25">
      <c r="A152" s="16"/>
      <c r="B152" s="17"/>
      <c r="C152" s="2"/>
      <c r="D152" s="2"/>
      <c r="E152" s="2"/>
      <c r="F152" s="2"/>
      <c r="G152" s="2"/>
      <c r="H152" s="2"/>
      <c r="I152" s="5"/>
    </row>
    <row r="153" spans="1:9" ht="17.399999999999999" x14ac:dyDescent="0.25">
      <c r="A153" s="16"/>
      <c r="B153" s="17"/>
      <c r="C153" s="2"/>
      <c r="D153" s="2"/>
      <c r="E153" s="2"/>
      <c r="F153" s="2"/>
      <c r="G153" s="2"/>
      <c r="H153" s="2"/>
      <c r="I153" s="5"/>
    </row>
    <row r="154" spans="1:9" ht="17.399999999999999" x14ac:dyDescent="0.25">
      <c r="A154" s="16"/>
      <c r="B154" s="17"/>
      <c r="C154" s="2"/>
      <c r="D154" s="2"/>
      <c r="E154" s="2"/>
      <c r="F154" s="2"/>
      <c r="G154" s="2"/>
      <c r="H154" s="2"/>
      <c r="I154" s="5"/>
    </row>
    <row r="155" spans="1:9" ht="17.399999999999999" x14ac:dyDescent="0.25">
      <c r="A155" s="16"/>
      <c r="B155" s="17"/>
      <c r="C155" s="2"/>
      <c r="D155" s="2"/>
      <c r="E155" s="2"/>
      <c r="F155" s="2"/>
      <c r="G155" s="2"/>
      <c r="H155" s="2"/>
      <c r="I155" s="5"/>
    </row>
    <row r="156" spans="1:9" ht="17.399999999999999" x14ac:dyDescent="0.25">
      <c r="A156" s="16"/>
      <c r="B156" s="17"/>
      <c r="C156" s="2"/>
      <c r="D156" s="2"/>
      <c r="E156" s="2"/>
      <c r="F156" s="2"/>
      <c r="G156" s="2"/>
      <c r="H156" s="2"/>
      <c r="I156" s="5"/>
    </row>
    <row r="157" spans="1:9" ht="17.399999999999999" x14ac:dyDescent="0.25">
      <c r="A157" s="16"/>
      <c r="B157" s="17"/>
      <c r="C157" s="2"/>
      <c r="D157" s="2"/>
      <c r="E157" s="2"/>
      <c r="F157" s="2"/>
      <c r="G157" s="2"/>
      <c r="H157" s="2"/>
      <c r="I157" s="5"/>
    </row>
    <row r="158" spans="1:9" ht="17.399999999999999" x14ac:dyDescent="0.25">
      <c r="A158" s="16"/>
      <c r="B158" s="17"/>
      <c r="C158" s="2"/>
      <c r="D158" s="2"/>
      <c r="E158" s="2"/>
      <c r="F158" s="2"/>
      <c r="G158" s="2"/>
      <c r="H158" s="2"/>
      <c r="I158" s="5"/>
    </row>
    <row r="159" spans="1:9" ht="17.399999999999999" x14ac:dyDescent="0.25">
      <c r="A159" s="16"/>
      <c r="B159" s="17"/>
      <c r="C159" s="2"/>
      <c r="D159" s="2"/>
      <c r="E159" s="2"/>
      <c r="F159" s="2"/>
      <c r="G159" s="2"/>
      <c r="H159" s="2"/>
      <c r="I159" s="5"/>
    </row>
    <row r="160" spans="1:9" ht="17.399999999999999" x14ac:dyDescent="0.25">
      <c r="A160" s="16"/>
      <c r="B160" s="17"/>
      <c r="C160" s="2"/>
      <c r="D160" s="2"/>
      <c r="E160" s="2"/>
      <c r="F160" s="2"/>
      <c r="G160" s="2"/>
      <c r="H160" s="2"/>
      <c r="I160" s="5"/>
    </row>
    <row r="161" spans="1:9" ht="17.399999999999999" x14ac:dyDescent="0.25">
      <c r="A161" s="16"/>
      <c r="B161" s="17"/>
      <c r="C161" s="2"/>
      <c r="D161" s="2"/>
      <c r="E161" s="2"/>
      <c r="F161" s="2"/>
      <c r="G161" s="2"/>
      <c r="H161" s="2"/>
      <c r="I161" s="5"/>
    </row>
    <row r="162" spans="1:9" ht="17.399999999999999" x14ac:dyDescent="0.25">
      <c r="A162" s="16"/>
      <c r="B162" s="17"/>
      <c r="C162" s="2"/>
      <c r="D162" s="2"/>
      <c r="E162" s="2"/>
      <c r="F162" s="2"/>
      <c r="G162" s="2"/>
      <c r="H162" s="2"/>
      <c r="I162" s="5"/>
    </row>
    <row r="163" spans="1:9" ht="17.399999999999999" x14ac:dyDescent="0.25">
      <c r="A163" s="16"/>
      <c r="B163" s="17"/>
      <c r="C163" s="2"/>
      <c r="D163" s="2"/>
      <c r="E163" s="2"/>
      <c r="F163" s="2"/>
      <c r="G163" s="2"/>
      <c r="H163" s="2"/>
      <c r="I163" s="5"/>
    </row>
    <row r="164" spans="1:9" ht="17.399999999999999" x14ac:dyDescent="0.25">
      <c r="A164" s="16"/>
      <c r="B164" s="17"/>
      <c r="C164" s="2"/>
      <c r="D164" s="2"/>
      <c r="E164" s="2"/>
      <c r="F164" s="2"/>
      <c r="G164" s="2"/>
      <c r="H164" s="2"/>
      <c r="I164" s="5"/>
    </row>
    <row r="165" spans="1:9" ht="17.399999999999999" x14ac:dyDescent="0.25">
      <c r="A165" s="16"/>
      <c r="B165" s="17"/>
      <c r="C165" s="2"/>
      <c r="D165" s="2"/>
      <c r="E165" s="2"/>
      <c r="F165" s="2"/>
      <c r="G165" s="2"/>
      <c r="H165" s="2"/>
      <c r="I165" s="5"/>
    </row>
    <row r="166" spans="1:9" ht="17.399999999999999" x14ac:dyDescent="0.25">
      <c r="A166" s="16"/>
      <c r="B166" s="17"/>
      <c r="C166" s="2"/>
      <c r="D166" s="2"/>
      <c r="E166" s="2"/>
      <c r="F166" s="2"/>
      <c r="G166" s="2"/>
      <c r="H166" s="2"/>
      <c r="I166" s="5"/>
    </row>
    <row r="167" spans="1:9" ht="17.399999999999999" x14ac:dyDescent="0.25">
      <c r="A167" s="16"/>
      <c r="B167" s="17"/>
      <c r="C167" s="2"/>
      <c r="D167" s="2"/>
      <c r="E167" s="2"/>
      <c r="F167" s="2"/>
      <c r="G167" s="2"/>
      <c r="H167" s="2"/>
      <c r="I167" s="5"/>
    </row>
    <row r="168" spans="1:9" ht="17.399999999999999" x14ac:dyDescent="0.25">
      <c r="A168" s="16"/>
      <c r="B168" s="17"/>
      <c r="C168" s="2"/>
      <c r="D168" s="2"/>
      <c r="E168" s="2"/>
      <c r="F168" s="2"/>
      <c r="G168" s="2"/>
      <c r="H168" s="2"/>
      <c r="I168" s="5"/>
    </row>
    <row r="169" spans="1:9" ht="17.399999999999999" x14ac:dyDescent="0.25">
      <c r="A169" s="16"/>
      <c r="B169" s="17"/>
      <c r="C169" s="2"/>
      <c r="D169" s="2"/>
      <c r="E169" s="2"/>
      <c r="F169" s="2"/>
      <c r="G169" s="2"/>
      <c r="H169" s="2"/>
      <c r="I169" s="5"/>
    </row>
    <row r="170" spans="1:9" ht="17.399999999999999" x14ac:dyDescent="0.25">
      <c r="A170" s="16"/>
      <c r="B170" s="17"/>
      <c r="C170" s="2"/>
      <c r="D170" s="2"/>
      <c r="E170" s="2"/>
      <c r="F170" s="2"/>
      <c r="G170" s="2"/>
      <c r="H170" s="2"/>
      <c r="I170" s="5"/>
    </row>
    <row r="171" spans="1:9" ht="17.399999999999999" x14ac:dyDescent="0.25">
      <c r="A171" s="16"/>
      <c r="B171" s="17"/>
      <c r="C171" s="2"/>
      <c r="D171" s="2"/>
      <c r="E171" s="2"/>
      <c r="F171" s="2"/>
      <c r="G171" s="2"/>
      <c r="H171" s="2"/>
      <c r="I171" s="5"/>
    </row>
    <row r="172" spans="1:9" ht="17.399999999999999" x14ac:dyDescent="0.25">
      <c r="A172" s="16"/>
      <c r="B172" s="17"/>
      <c r="C172" s="2"/>
      <c r="D172" s="2"/>
      <c r="E172" s="2"/>
      <c r="F172" s="2"/>
      <c r="G172" s="2"/>
      <c r="H172" s="2"/>
      <c r="I172" s="5"/>
    </row>
    <row r="173" spans="1:9" ht="17.399999999999999" x14ac:dyDescent="0.25">
      <c r="A173" s="16"/>
      <c r="B173" s="17"/>
      <c r="C173" s="2"/>
      <c r="D173" s="2"/>
      <c r="E173" s="2"/>
      <c r="F173" s="2"/>
      <c r="G173" s="2"/>
      <c r="H173" s="2"/>
      <c r="I173" s="5"/>
    </row>
    <row r="174" spans="1:9" ht="17.399999999999999" x14ac:dyDescent="0.25">
      <c r="A174" s="16"/>
      <c r="B174" s="17"/>
      <c r="C174" s="2"/>
      <c r="D174" s="2"/>
      <c r="E174" s="2"/>
      <c r="F174" s="2"/>
      <c r="G174" s="2"/>
      <c r="H174" s="2"/>
      <c r="I174" s="5"/>
    </row>
    <row r="175" spans="1:9" ht="17.399999999999999" x14ac:dyDescent="0.25">
      <c r="A175" s="16"/>
      <c r="B175" s="17"/>
      <c r="C175" s="2"/>
      <c r="D175" s="2"/>
      <c r="E175" s="2"/>
      <c r="F175" s="2"/>
      <c r="G175" s="2"/>
      <c r="H175" s="2"/>
      <c r="I175" s="5"/>
    </row>
    <row r="176" spans="1:9" ht="17.399999999999999" x14ac:dyDescent="0.25">
      <c r="A176" s="16"/>
      <c r="B176" s="17"/>
      <c r="C176" s="2"/>
      <c r="D176" s="2"/>
      <c r="E176" s="2"/>
      <c r="F176" s="2"/>
      <c r="G176" s="2"/>
      <c r="H176" s="2"/>
      <c r="I176" s="5"/>
    </row>
    <row r="177" spans="1:9" ht="17.399999999999999" x14ac:dyDescent="0.25">
      <c r="A177" s="16"/>
      <c r="B177" s="17"/>
      <c r="C177" s="2"/>
      <c r="D177" s="2"/>
      <c r="E177" s="2"/>
      <c r="F177" s="2"/>
      <c r="G177" s="2"/>
      <c r="H177" s="2"/>
      <c r="I177" s="5"/>
    </row>
    <row r="178" spans="1:9" ht="17.399999999999999" x14ac:dyDescent="0.25">
      <c r="A178" s="16"/>
      <c r="B178" s="17"/>
      <c r="C178" s="2"/>
      <c r="D178" s="2"/>
      <c r="E178" s="2"/>
      <c r="F178" s="2"/>
      <c r="G178" s="2"/>
      <c r="H178" s="2"/>
      <c r="I178" s="5"/>
    </row>
    <row r="179" spans="1:9" ht="17.399999999999999" x14ac:dyDescent="0.25">
      <c r="A179" s="16"/>
      <c r="B179" s="17"/>
      <c r="C179" s="2"/>
      <c r="D179" s="2"/>
      <c r="E179" s="2"/>
      <c r="F179" s="2"/>
      <c r="G179" s="2"/>
      <c r="H179" s="2"/>
      <c r="I179" s="5"/>
    </row>
    <row r="180" spans="1:9" ht="17.399999999999999" x14ac:dyDescent="0.25">
      <c r="A180" s="16"/>
      <c r="B180" s="17"/>
      <c r="C180" s="2"/>
      <c r="D180" s="2"/>
      <c r="E180" s="2"/>
      <c r="F180" s="2"/>
      <c r="G180" s="2"/>
      <c r="H180" s="2"/>
      <c r="I180" s="5"/>
    </row>
    <row r="181" spans="1:9" ht="17.399999999999999" x14ac:dyDescent="0.25">
      <c r="A181" s="16"/>
      <c r="B181" s="17"/>
      <c r="C181" s="2"/>
      <c r="D181" s="2"/>
      <c r="E181" s="2"/>
      <c r="F181" s="2"/>
      <c r="G181" s="2"/>
      <c r="H181" s="2"/>
      <c r="I181" s="5"/>
    </row>
    <row r="182" spans="1:9" ht="17.399999999999999" x14ac:dyDescent="0.25">
      <c r="A182" s="16"/>
      <c r="B182" s="17"/>
      <c r="C182" s="2"/>
      <c r="D182" s="2"/>
      <c r="E182" s="2"/>
      <c r="F182" s="2"/>
      <c r="G182" s="2"/>
      <c r="H182" s="2"/>
      <c r="I182" s="5"/>
    </row>
    <row r="183" spans="1:9" ht="17.399999999999999" x14ac:dyDescent="0.25">
      <c r="A183" s="16"/>
      <c r="B183" s="17"/>
      <c r="C183" s="2"/>
      <c r="D183" s="2"/>
      <c r="E183" s="2"/>
      <c r="F183" s="2"/>
      <c r="G183" s="2"/>
      <c r="H183" s="2"/>
      <c r="I183" s="5"/>
    </row>
    <row r="184" spans="1:9" ht="17.399999999999999" x14ac:dyDescent="0.25">
      <c r="A184" s="16"/>
      <c r="B184" s="17"/>
      <c r="C184" s="2"/>
      <c r="D184" s="2"/>
      <c r="E184" s="2"/>
      <c r="F184" s="2"/>
      <c r="G184" s="2"/>
      <c r="H184" s="2"/>
      <c r="I184" s="5"/>
    </row>
    <row r="185" spans="1:9" ht="17.399999999999999" x14ac:dyDescent="0.25">
      <c r="A185" s="16"/>
      <c r="B185" s="17"/>
      <c r="C185" s="2"/>
      <c r="D185" s="2"/>
      <c r="E185" s="2"/>
      <c r="F185" s="2"/>
      <c r="G185" s="2"/>
      <c r="H185" s="2"/>
      <c r="I185" s="5"/>
    </row>
    <row r="186" spans="1:9" ht="17.399999999999999" x14ac:dyDescent="0.25">
      <c r="A186" s="16"/>
      <c r="B186" s="17"/>
      <c r="C186" s="2"/>
      <c r="D186" s="2"/>
      <c r="E186" s="2"/>
      <c r="F186" s="2"/>
      <c r="G186" s="2"/>
      <c r="H186" s="2"/>
      <c r="I186" s="5"/>
    </row>
    <row r="187" spans="1:9" ht="17.399999999999999" x14ac:dyDescent="0.25">
      <c r="A187" s="16"/>
      <c r="B187" s="17"/>
      <c r="C187" s="2"/>
      <c r="D187" s="2"/>
      <c r="E187" s="2"/>
      <c r="F187" s="2"/>
      <c r="G187" s="2"/>
      <c r="H187" s="2"/>
      <c r="I187" s="5"/>
    </row>
    <row r="188" spans="1:9" ht="17.399999999999999" x14ac:dyDescent="0.25">
      <c r="A188" s="16"/>
      <c r="B188" s="17"/>
      <c r="C188" s="2"/>
      <c r="D188" s="2"/>
      <c r="E188" s="2"/>
      <c r="F188" s="2"/>
      <c r="G188" s="2"/>
      <c r="H188" s="2"/>
      <c r="I188" s="5"/>
    </row>
    <row r="189" spans="1:9" ht="17.399999999999999" x14ac:dyDescent="0.25">
      <c r="A189" s="16"/>
      <c r="B189" s="17"/>
      <c r="C189" s="2"/>
      <c r="D189" s="2"/>
      <c r="E189" s="2"/>
      <c r="F189" s="2"/>
      <c r="G189" s="2"/>
      <c r="H189" s="2"/>
      <c r="I189" s="5"/>
    </row>
    <row r="190" spans="1:9" ht="17.399999999999999" x14ac:dyDescent="0.25">
      <c r="A190" s="16"/>
      <c r="B190" s="17"/>
      <c r="C190" s="2"/>
      <c r="D190" s="2"/>
      <c r="E190" s="2"/>
      <c r="F190" s="2"/>
      <c r="G190" s="2"/>
      <c r="H190" s="2"/>
      <c r="I190" s="5"/>
    </row>
    <row r="191" spans="1:9" ht="17.399999999999999" x14ac:dyDescent="0.25">
      <c r="A191" s="16"/>
      <c r="B191" s="17"/>
      <c r="C191" s="2"/>
      <c r="D191" s="2"/>
      <c r="E191" s="2"/>
      <c r="F191" s="2"/>
      <c r="G191" s="2"/>
      <c r="H191" s="2"/>
      <c r="I191" s="5"/>
    </row>
    <row r="192" spans="1:9" ht="17.399999999999999" x14ac:dyDescent="0.25">
      <c r="A192" s="16"/>
      <c r="B192" s="17"/>
      <c r="C192" s="2"/>
      <c r="D192" s="2"/>
      <c r="E192" s="2"/>
      <c r="F192" s="2"/>
      <c r="G192" s="2"/>
      <c r="H192" s="2"/>
      <c r="I192" s="5"/>
    </row>
    <row r="193" spans="1:9" ht="17.399999999999999" x14ac:dyDescent="0.25">
      <c r="A193" s="16"/>
      <c r="B193" s="17"/>
      <c r="C193" s="2"/>
      <c r="D193" s="2"/>
      <c r="E193" s="2"/>
      <c r="F193" s="2"/>
      <c r="G193" s="2"/>
      <c r="H193" s="2"/>
      <c r="I193" s="5"/>
    </row>
    <row r="194" spans="1:9" ht="17.399999999999999" x14ac:dyDescent="0.25">
      <c r="A194" s="16"/>
      <c r="B194" s="17"/>
      <c r="C194" s="2"/>
      <c r="D194" s="2"/>
      <c r="E194" s="2"/>
      <c r="F194" s="2"/>
      <c r="G194" s="2"/>
      <c r="H194" s="2"/>
      <c r="I194" s="5"/>
    </row>
    <row r="195" spans="1:9" ht="17.399999999999999" x14ac:dyDescent="0.25">
      <c r="A195" s="16"/>
      <c r="B195" s="17"/>
      <c r="C195" s="2"/>
      <c r="D195" s="2"/>
      <c r="E195" s="2"/>
      <c r="F195" s="2"/>
      <c r="G195" s="2"/>
      <c r="H195" s="2"/>
      <c r="I195" s="5"/>
    </row>
    <row r="196" spans="1:9" ht="17.399999999999999" x14ac:dyDescent="0.25">
      <c r="A196" s="16"/>
      <c r="B196" s="17"/>
      <c r="C196" s="2"/>
      <c r="D196" s="2"/>
      <c r="E196" s="2"/>
      <c r="F196" s="2"/>
      <c r="G196" s="2"/>
      <c r="H196" s="2"/>
      <c r="I196" s="5"/>
    </row>
    <row r="197" spans="1:9" ht="17.399999999999999" x14ac:dyDescent="0.25">
      <c r="A197" s="16"/>
      <c r="B197" s="17"/>
      <c r="C197" s="2"/>
      <c r="D197" s="2"/>
      <c r="E197" s="2"/>
      <c r="F197" s="2"/>
      <c r="G197" s="2"/>
      <c r="H197" s="2"/>
      <c r="I197" s="5"/>
    </row>
    <row r="198" spans="1:9" ht="17.399999999999999" x14ac:dyDescent="0.25">
      <c r="A198" s="16"/>
      <c r="B198" s="17"/>
      <c r="C198" s="2"/>
      <c r="D198" s="2"/>
      <c r="E198" s="2"/>
      <c r="F198" s="2"/>
      <c r="G198" s="2"/>
      <c r="H198" s="2"/>
      <c r="I198" s="5"/>
    </row>
    <row r="199" spans="1:9" ht="17.399999999999999" x14ac:dyDescent="0.25">
      <c r="A199" s="16"/>
      <c r="B199" s="17"/>
      <c r="C199" s="2"/>
      <c r="D199" s="2"/>
      <c r="E199" s="2"/>
      <c r="F199" s="2"/>
      <c r="G199" s="2"/>
      <c r="H199" s="2"/>
      <c r="I199" s="5"/>
    </row>
    <row r="200" spans="1:9" ht="17.399999999999999" x14ac:dyDescent="0.25">
      <c r="A200" s="16"/>
      <c r="B200" s="17"/>
      <c r="C200" s="2"/>
      <c r="D200" s="2"/>
      <c r="E200" s="2"/>
      <c r="F200" s="2"/>
      <c r="G200" s="2"/>
      <c r="H200" s="2"/>
      <c r="I200" s="5"/>
    </row>
    <row r="201" spans="1:9" ht="17.399999999999999" x14ac:dyDescent="0.25">
      <c r="A201" s="16"/>
      <c r="B201" s="17"/>
      <c r="C201" s="2"/>
      <c r="D201" s="2"/>
      <c r="E201" s="2"/>
      <c r="F201" s="2"/>
      <c r="G201" s="2"/>
      <c r="H201" s="2"/>
      <c r="I201" s="5"/>
    </row>
    <row r="202" spans="1:9" ht="17.399999999999999" x14ac:dyDescent="0.25">
      <c r="A202" s="16"/>
      <c r="B202" s="17"/>
      <c r="C202" s="2"/>
      <c r="D202" s="2"/>
      <c r="E202" s="2"/>
      <c r="F202" s="2"/>
      <c r="G202" s="2"/>
      <c r="H202" s="2"/>
      <c r="I202" s="5"/>
    </row>
    <row r="203" spans="1:9" ht="17.399999999999999" x14ac:dyDescent="0.25">
      <c r="A203" s="16"/>
      <c r="B203" s="17"/>
      <c r="C203" s="2"/>
      <c r="D203" s="2"/>
      <c r="E203" s="2"/>
      <c r="F203" s="2"/>
      <c r="G203" s="2"/>
      <c r="H203" s="2"/>
      <c r="I203" s="5"/>
    </row>
    <row r="204" spans="1:9" ht="17.399999999999999" x14ac:dyDescent="0.25">
      <c r="A204" s="16"/>
      <c r="B204" s="17"/>
      <c r="C204" s="2"/>
      <c r="D204" s="2"/>
      <c r="E204" s="2"/>
      <c r="F204" s="2"/>
      <c r="G204" s="2"/>
      <c r="H204" s="2"/>
      <c r="I204" s="5"/>
    </row>
    <row r="205" spans="1:9" ht="17.399999999999999" x14ac:dyDescent="0.25">
      <c r="A205" s="16"/>
      <c r="B205" s="17"/>
      <c r="C205" s="2"/>
      <c r="D205" s="2"/>
      <c r="E205" s="2"/>
      <c r="F205" s="2"/>
      <c r="G205" s="2"/>
      <c r="H205" s="2"/>
      <c r="I205" s="5"/>
    </row>
    <row r="206" spans="1:9" ht="17.399999999999999" x14ac:dyDescent="0.25">
      <c r="A206" s="16"/>
      <c r="B206" s="17"/>
      <c r="C206" s="2"/>
      <c r="D206" s="2"/>
      <c r="E206" s="2"/>
      <c r="F206" s="2"/>
      <c r="G206" s="2"/>
      <c r="H206" s="2"/>
      <c r="I206" s="5"/>
    </row>
    <row r="207" spans="1:9" ht="17.399999999999999" x14ac:dyDescent="0.25">
      <c r="A207" s="16"/>
      <c r="B207" s="17"/>
      <c r="C207" s="2"/>
      <c r="D207" s="2"/>
      <c r="E207" s="2"/>
      <c r="F207" s="2"/>
      <c r="G207" s="2"/>
      <c r="H207" s="2"/>
      <c r="I207" s="5"/>
    </row>
    <row r="208" spans="1:9" ht="17.399999999999999" x14ac:dyDescent="0.25">
      <c r="A208" s="16"/>
      <c r="B208" s="17"/>
      <c r="C208" s="2"/>
      <c r="D208" s="2"/>
      <c r="E208" s="2"/>
      <c r="F208" s="2"/>
      <c r="G208" s="2"/>
      <c r="H208" s="2"/>
      <c r="I208" s="5"/>
    </row>
    <row r="209" spans="1:9" ht="17.399999999999999" x14ac:dyDescent="0.25">
      <c r="A209" s="16"/>
      <c r="B209" s="17"/>
      <c r="C209" s="2"/>
      <c r="D209" s="2"/>
      <c r="E209" s="2"/>
      <c r="F209" s="2"/>
      <c r="G209" s="2"/>
      <c r="H209" s="2"/>
      <c r="I209" s="5"/>
    </row>
    <row r="210" spans="1:9" ht="17.399999999999999" x14ac:dyDescent="0.25">
      <c r="A210" s="16"/>
      <c r="B210" s="17"/>
      <c r="C210" s="2"/>
      <c r="D210" s="2"/>
      <c r="E210" s="2"/>
      <c r="F210" s="2"/>
      <c r="G210" s="2"/>
      <c r="H210" s="2"/>
      <c r="I210" s="5"/>
    </row>
    <row r="211" spans="1:9" ht="17.399999999999999" x14ac:dyDescent="0.25">
      <c r="A211" s="16"/>
      <c r="B211" s="17"/>
      <c r="C211" s="2"/>
      <c r="D211" s="2"/>
      <c r="E211" s="2"/>
      <c r="F211" s="2"/>
      <c r="G211" s="2"/>
      <c r="H211" s="2"/>
      <c r="I211" s="5"/>
    </row>
    <row r="212" spans="1:9" ht="17.399999999999999" x14ac:dyDescent="0.25">
      <c r="A212" s="16"/>
      <c r="B212" s="17"/>
      <c r="C212" s="2"/>
      <c r="D212" s="2"/>
      <c r="E212" s="2"/>
      <c r="F212" s="2"/>
      <c r="G212" s="2"/>
      <c r="H212" s="2"/>
      <c r="I212" s="5"/>
    </row>
    <row r="213" spans="1:9" ht="17.399999999999999" x14ac:dyDescent="0.25">
      <c r="A213" s="16"/>
      <c r="B213" s="17"/>
      <c r="C213" s="2"/>
      <c r="D213" s="2"/>
      <c r="E213" s="2"/>
      <c r="F213" s="2"/>
      <c r="G213" s="2"/>
      <c r="H213" s="2"/>
      <c r="I213" s="5"/>
    </row>
    <row r="214" spans="1:9" ht="17.399999999999999" x14ac:dyDescent="0.25">
      <c r="A214" s="16"/>
      <c r="B214" s="17"/>
      <c r="C214" s="2"/>
      <c r="D214" s="2"/>
      <c r="E214" s="2"/>
      <c r="F214" s="2"/>
      <c r="G214" s="2"/>
      <c r="H214" s="2"/>
      <c r="I214" s="5"/>
    </row>
    <row r="215" spans="1:9" ht="17.399999999999999" x14ac:dyDescent="0.25">
      <c r="A215" s="16"/>
      <c r="B215" s="17"/>
      <c r="C215" s="2"/>
      <c r="D215" s="2"/>
      <c r="E215" s="2"/>
      <c r="F215" s="2"/>
      <c r="G215" s="2"/>
      <c r="H215" s="2"/>
      <c r="I215" s="5"/>
    </row>
    <row r="216" spans="1:9" ht="17.399999999999999" x14ac:dyDescent="0.25">
      <c r="A216" s="16"/>
      <c r="B216" s="17"/>
      <c r="C216" s="2"/>
      <c r="D216" s="2"/>
      <c r="E216" s="2"/>
      <c r="F216" s="2"/>
      <c r="G216" s="2"/>
      <c r="H216" s="2"/>
      <c r="I216" s="5"/>
    </row>
    <row r="217" spans="1:9" ht="17.399999999999999" x14ac:dyDescent="0.25">
      <c r="A217" s="16"/>
      <c r="B217" s="17"/>
      <c r="C217" s="2"/>
      <c r="D217" s="2"/>
      <c r="E217" s="2"/>
      <c r="F217" s="2"/>
      <c r="G217" s="2"/>
      <c r="H217" s="2"/>
      <c r="I217" s="5"/>
    </row>
    <row r="218" spans="1:9" ht="17.399999999999999" x14ac:dyDescent="0.25">
      <c r="A218" s="16"/>
      <c r="B218" s="17"/>
      <c r="C218" s="2"/>
      <c r="D218" s="2"/>
      <c r="E218" s="2"/>
      <c r="F218" s="2"/>
      <c r="G218" s="2"/>
      <c r="H218" s="2"/>
      <c r="I218" s="5"/>
    </row>
    <row r="219" spans="1:9" ht="17.399999999999999" x14ac:dyDescent="0.25">
      <c r="A219" s="16"/>
      <c r="B219" s="17"/>
      <c r="C219" s="2"/>
      <c r="D219" s="2"/>
      <c r="E219" s="2"/>
      <c r="F219" s="2"/>
      <c r="G219" s="2"/>
      <c r="H219" s="2"/>
      <c r="I219" s="5"/>
    </row>
    <row r="220" spans="1:9" ht="17.399999999999999" x14ac:dyDescent="0.25">
      <c r="A220" s="16"/>
      <c r="B220" s="17"/>
      <c r="C220" s="2"/>
      <c r="D220" s="2"/>
      <c r="E220" s="2"/>
      <c r="F220" s="2"/>
      <c r="G220" s="2"/>
      <c r="H220" s="2"/>
      <c r="I220" s="5"/>
    </row>
    <row r="221" spans="1:9" ht="17.399999999999999" x14ac:dyDescent="0.25">
      <c r="A221" s="16"/>
      <c r="B221" s="17"/>
      <c r="C221" s="2"/>
      <c r="D221" s="2"/>
      <c r="E221" s="2"/>
      <c r="F221" s="2"/>
      <c r="G221" s="2"/>
      <c r="H221" s="2"/>
      <c r="I221" s="5"/>
    </row>
    <row r="222" spans="1:9" ht="17.399999999999999" x14ac:dyDescent="0.25">
      <c r="A222" s="16"/>
      <c r="B222" s="17"/>
      <c r="C222" s="2"/>
      <c r="D222" s="2"/>
      <c r="E222" s="2"/>
      <c r="F222" s="2"/>
      <c r="G222" s="2"/>
      <c r="H222" s="2"/>
      <c r="I222" s="5"/>
    </row>
    <row r="223" spans="1:9" ht="17.399999999999999" x14ac:dyDescent="0.25">
      <c r="A223" s="16"/>
      <c r="B223" s="17"/>
      <c r="C223" s="2"/>
      <c r="D223" s="2"/>
      <c r="E223" s="2"/>
      <c r="F223" s="2"/>
      <c r="G223" s="2"/>
      <c r="H223" s="2"/>
      <c r="I223" s="5"/>
    </row>
    <row r="224" spans="1:9" ht="17.399999999999999" x14ac:dyDescent="0.25">
      <c r="A224" s="16"/>
      <c r="B224" s="17"/>
      <c r="C224" s="2"/>
      <c r="D224" s="2"/>
      <c r="E224" s="2"/>
      <c r="F224" s="2"/>
      <c r="G224" s="2"/>
      <c r="H224" s="2"/>
      <c r="I224" s="5"/>
    </row>
    <row r="225" spans="1:9" ht="17.399999999999999" x14ac:dyDescent="0.25">
      <c r="A225" s="16"/>
      <c r="B225" s="17"/>
      <c r="C225" s="2"/>
      <c r="D225" s="2"/>
      <c r="E225" s="2"/>
      <c r="F225" s="2"/>
      <c r="G225" s="2"/>
      <c r="H225" s="2"/>
      <c r="I225" s="5"/>
    </row>
    <row r="226" spans="1:9" ht="17.399999999999999" x14ac:dyDescent="0.25">
      <c r="A226" s="16"/>
      <c r="B226" s="17"/>
      <c r="C226" s="2"/>
      <c r="D226" s="2"/>
      <c r="E226" s="2"/>
      <c r="F226" s="2"/>
      <c r="G226" s="2"/>
      <c r="H226" s="2"/>
      <c r="I226" s="5"/>
    </row>
    <row r="227" spans="1:9" ht="17.399999999999999" x14ac:dyDescent="0.25">
      <c r="A227" s="16"/>
      <c r="B227" s="17"/>
      <c r="C227" s="2"/>
      <c r="D227" s="2"/>
      <c r="E227" s="2"/>
      <c r="F227" s="2"/>
      <c r="G227" s="2"/>
      <c r="H227" s="2"/>
      <c r="I227" s="5"/>
    </row>
    <row r="228" spans="1:9" ht="17.399999999999999" x14ac:dyDescent="0.25">
      <c r="A228" s="16"/>
      <c r="B228" s="17"/>
      <c r="C228" s="2"/>
      <c r="D228" s="2"/>
      <c r="E228" s="2"/>
      <c r="F228" s="2"/>
      <c r="G228" s="2"/>
      <c r="H228" s="2"/>
      <c r="I228" s="5"/>
    </row>
    <row r="229" spans="1:9" ht="17.399999999999999" x14ac:dyDescent="0.25">
      <c r="A229" s="16"/>
      <c r="B229" s="17"/>
      <c r="C229" s="2"/>
      <c r="D229" s="2"/>
      <c r="E229" s="2"/>
      <c r="F229" s="2"/>
      <c r="G229" s="2"/>
      <c r="H229" s="2"/>
      <c r="I229" s="5"/>
    </row>
    <row r="230" spans="1:9" ht="17.399999999999999" x14ac:dyDescent="0.25">
      <c r="A230" s="16"/>
      <c r="B230" s="17"/>
      <c r="C230" s="2"/>
      <c r="D230" s="2"/>
      <c r="E230" s="2"/>
      <c r="F230" s="2"/>
      <c r="G230" s="2"/>
      <c r="H230" s="2"/>
      <c r="I230" s="5"/>
    </row>
    <row r="231" spans="1:9" ht="17.399999999999999" x14ac:dyDescent="0.25">
      <c r="A231" s="16"/>
      <c r="B231" s="17"/>
      <c r="C231" s="2"/>
      <c r="D231" s="2"/>
      <c r="E231" s="2"/>
      <c r="F231" s="2"/>
      <c r="G231" s="2"/>
      <c r="H231" s="2"/>
      <c r="I231" s="5"/>
    </row>
    <row r="232" spans="1:9" ht="17.399999999999999" x14ac:dyDescent="0.25">
      <c r="A232" s="16"/>
      <c r="B232" s="17"/>
      <c r="C232" s="2"/>
      <c r="D232" s="2"/>
      <c r="E232" s="2"/>
      <c r="F232" s="2"/>
      <c r="G232" s="2"/>
      <c r="H232" s="2"/>
      <c r="I232" s="5"/>
    </row>
    <row r="233" spans="1:9" ht="17.399999999999999" x14ac:dyDescent="0.25">
      <c r="A233" s="16"/>
      <c r="B233" s="17"/>
      <c r="C233" s="2"/>
      <c r="D233" s="2"/>
      <c r="E233" s="2"/>
      <c r="F233" s="2"/>
      <c r="G233" s="2"/>
      <c r="H233" s="2"/>
      <c r="I233" s="5"/>
    </row>
    <row r="234" spans="1:9" ht="17.399999999999999" x14ac:dyDescent="0.25">
      <c r="A234" s="16"/>
      <c r="B234" s="17"/>
      <c r="C234" s="2"/>
      <c r="D234" s="2"/>
      <c r="E234" s="2"/>
      <c r="F234" s="2"/>
      <c r="G234" s="2"/>
      <c r="H234" s="2"/>
      <c r="I234" s="5"/>
    </row>
    <row r="235" spans="1:9" ht="17.399999999999999" x14ac:dyDescent="0.25">
      <c r="A235" s="16"/>
      <c r="B235" s="17"/>
      <c r="C235" s="2"/>
      <c r="D235" s="2"/>
      <c r="E235" s="2"/>
      <c r="F235" s="2"/>
      <c r="G235" s="2"/>
      <c r="H235" s="2"/>
      <c r="I235" s="5"/>
    </row>
    <row r="236" spans="1:9" ht="17.399999999999999" x14ac:dyDescent="0.25">
      <c r="A236" s="16"/>
      <c r="B236" s="17"/>
      <c r="C236" s="2"/>
      <c r="D236" s="2"/>
      <c r="E236" s="2"/>
      <c r="F236" s="2"/>
      <c r="G236" s="2"/>
      <c r="H236" s="2"/>
      <c r="I236" s="5"/>
    </row>
    <row r="237" spans="1:9" ht="17.399999999999999" x14ac:dyDescent="0.25">
      <c r="A237" s="16"/>
      <c r="B237" s="17"/>
      <c r="C237" s="2"/>
      <c r="D237" s="2"/>
      <c r="E237" s="2"/>
      <c r="F237" s="2"/>
      <c r="G237" s="2"/>
      <c r="H237" s="2"/>
      <c r="I237" s="5"/>
    </row>
    <row r="238" spans="1:9" ht="17.399999999999999" x14ac:dyDescent="0.25">
      <c r="A238" s="16"/>
      <c r="B238" s="17"/>
      <c r="C238" s="2"/>
      <c r="D238" s="2"/>
      <c r="E238" s="2"/>
      <c r="F238" s="2"/>
      <c r="G238" s="2"/>
      <c r="H238" s="2"/>
      <c r="I238" s="5"/>
    </row>
    <row r="239" spans="1:9" ht="17.399999999999999" x14ac:dyDescent="0.25">
      <c r="A239" s="16"/>
      <c r="B239" s="17"/>
      <c r="C239" s="2"/>
      <c r="D239" s="2"/>
      <c r="E239" s="2"/>
      <c r="F239" s="2"/>
      <c r="G239" s="2"/>
      <c r="H239" s="2"/>
      <c r="I239" s="5"/>
    </row>
    <row r="240" spans="1:9" ht="17.399999999999999" x14ac:dyDescent="0.25">
      <c r="A240" s="16"/>
      <c r="B240" s="17"/>
      <c r="C240" s="2"/>
      <c r="D240" s="2"/>
      <c r="E240" s="2"/>
      <c r="F240" s="2"/>
      <c r="G240" s="2"/>
      <c r="H240" s="2"/>
      <c r="I240" s="5"/>
    </row>
    <row r="241" spans="1:9" ht="17.399999999999999" x14ac:dyDescent="0.25">
      <c r="A241" s="16"/>
      <c r="B241" s="17"/>
      <c r="C241" s="2"/>
      <c r="D241" s="2"/>
      <c r="E241" s="2"/>
      <c r="F241" s="2"/>
      <c r="G241" s="2"/>
      <c r="H241" s="2"/>
      <c r="I241" s="5"/>
    </row>
    <row r="242" spans="1:9" ht="17.399999999999999" x14ac:dyDescent="0.25">
      <c r="A242" s="16"/>
      <c r="B242" s="17"/>
      <c r="C242" s="2"/>
      <c r="D242" s="2"/>
      <c r="E242" s="2"/>
      <c r="F242" s="2"/>
      <c r="G242" s="2"/>
      <c r="H242" s="2"/>
      <c r="I242" s="5"/>
    </row>
    <row r="243" spans="1:9" ht="17.399999999999999" x14ac:dyDescent="0.25">
      <c r="A243" s="16"/>
      <c r="B243" s="17"/>
      <c r="C243" s="2"/>
      <c r="D243" s="2"/>
      <c r="E243" s="2"/>
      <c r="F243" s="2"/>
      <c r="G243" s="2"/>
      <c r="H243" s="2"/>
      <c r="I243" s="5"/>
    </row>
    <row r="244" spans="1:9" ht="17.399999999999999" x14ac:dyDescent="0.25">
      <c r="A244" s="16"/>
      <c r="B244" s="17"/>
      <c r="C244" s="2"/>
      <c r="D244" s="2"/>
      <c r="E244" s="2"/>
      <c r="F244" s="2"/>
      <c r="G244" s="2"/>
      <c r="H244" s="2"/>
      <c r="I244" s="5"/>
    </row>
    <row r="245" spans="1:9" ht="17.399999999999999" x14ac:dyDescent="0.25">
      <c r="A245" s="16"/>
      <c r="B245" s="17"/>
      <c r="C245" s="2"/>
      <c r="D245" s="2"/>
      <c r="E245" s="2"/>
      <c r="F245" s="2"/>
      <c r="G245" s="2"/>
      <c r="H245" s="2"/>
      <c r="I245" s="5"/>
    </row>
    <row r="246" spans="1:9" ht="17.399999999999999" x14ac:dyDescent="0.25">
      <c r="A246" s="16"/>
      <c r="B246" s="17"/>
      <c r="C246" s="2"/>
      <c r="D246" s="2"/>
      <c r="E246" s="2"/>
      <c r="F246" s="2"/>
      <c r="G246" s="2"/>
      <c r="H246" s="2"/>
      <c r="I246" s="5"/>
    </row>
    <row r="247" spans="1:9" ht="17.399999999999999" x14ac:dyDescent="0.25">
      <c r="A247" s="16"/>
      <c r="B247" s="17"/>
      <c r="C247" s="2"/>
      <c r="D247" s="2"/>
      <c r="E247" s="2"/>
      <c r="F247" s="2"/>
      <c r="G247" s="2"/>
      <c r="H247" s="2"/>
      <c r="I247" s="5"/>
    </row>
    <row r="248" spans="1:9" ht="17.399999999999999" x14ac:dyDescent="0.25">
      <c r="A248" s="16"/>
      <c r="B248" s="17"/>
      <c r="C248" s="2"/>
      <c r="D248" s="2"/>
      <c r="E248" s="2"/>
      <c r="F248" s="2"/>
      <c r="G248" s="2"/>
      <c r="H248" s="2"/>
      <c r="I248" s="5"/>
    </row>
    <row r="249" spans="1:9" ht="17.399999999999999" x14ac:dyDescent="0.25">
      <c r="A249" s="16"/>
      <c r="B249" s="17"/>
      <c r="C249" s="2"/>
      <c r="D249" s="2"/>
      <c r="E249" s="2"/>
      <c r="F249" s="2"/>
      <c r="G249" s="2"/>
      <c r="H249" s="2"/>
      <c r="I249" s="5"/>
    </row>
    <row r="250" spans="1:9" ht="17.399999999999999" x14ac:dyDescent="0.25">
      <c r="A250" s="16"/>
      <c r="B250" s="17"/>
      <c r="C250" s="2"/>
      <c r="D250" s="2"/>
      <c r="E250" s="2"/>
      <c r="F250" s="2"/>
      <c r="G250" s="2"/>
      <c r="H250" s="2"/>
      <c r="I250" s="5"/>
    </row>
    <row r="251" spans="1:9" ht="17.399999999999999" x14ac:dyDescent="0.25">
      <c r="A251" s="16"/>
      <c r="B251" s="17"/>
      <c r="C251" s="2"/>
      <c r="D251" s="2"/>
      <c r="E251" s="2"/>
      <c r="F251" s="2"/>
      <c r="G251" s="2"/>
      <c r="H251" s="2"/>
      <c r="I251" s="5"/>
    </row>
    <row r="252" spans="1:9" ht="17.399999999999999" x14ac:dyDescent="0.25">
      <c r="A252" s="16"/>
      <c r="B252" s="17"/>
      <c r="C252" s="2"/>
      <c r="D252" s="2"/>
      <c r="E252" s="2"/>
      <c r="F252" s="2"/>
      <c r="G252" s="2"/>
      <c r="H252" s="2"/>
      <c r="I252" s="5"/>
    </row>
    <row r="253" spans="1:9" ht="17.399999999999999" x14ac:dyDescent="0.25">
      <c r="A253" s="16"/>
      <c r="B253" s="17"/>
      <c r="C253" s="2"/>
      <c r="D253" s="2"/>
      <c r="E253" s="2"/>
      <c r="F253" s="2"/>
      <c r="G253" s="2"/>
      <c r="H253" s="2"/>
      <c r="I253" s="5"/>
    </row>
    <row r="254" spans="1:9" ht="17.399999999999999" x14ac:dyDescent="0.25">
      <c r="A254" s="16"/>
      <c r="B254" s="17"/>
      <c r="C254" s="2"/>
      <c r="D254" s="2"/>
      <c r="E254" s="2"/>
      <c r="F254" s="2"/>
      <c r="G254" s="2"/>
      <c r="H254" s="2"/>
      <c r="I254" s="5"/>
    </row>
    <row r="255" spans="1:9" ht="17.399999999999999" x14ac:dyDescent="0.25">
      <c r="A255" s="16"/>
      <c r="B255" s="17"/>
      <c r="C255" s="2"/>
      <c r="D255" s="2"/>
      <c r="E255" s="2"/>
      <c r="F255" s="2"/>
      <c r="G255" s="2"/>
      <c r="H255" s="2"/>
      <c r="I255" s="5"/>
    </row>
    <row r="256" spans="1:9" ht="17.399999999999999" x14ac:dyDescent="0.25">
      <c r="A256" s="16"/>
      <c r="B256" s="17"/>
      <c r="C256" s="2"/>
      <c r="D256" s="2"/>
      <c r="E256" s="2"/>
      <c r="F256" s="2"/>
      <c r="G256" s="2"/>
      <c r="H256" s="2"/>
      <c r="I256" s="5"/>
    </row>
    <row r="257" spans="1:9" ht="17.399999999999999" x14ac:dyDescent="0.25">
      <c r="A257" s="16"/>
      <c r="B257" s="17"/>
      <c r="C257" s="2"/>
      <c r="D257" s="2"/>
      <c r="E257" s="2"/>
      <c r="F257" s="2"/>
      <c r="G257" s="2"/>
      <c r="H257" s="2"/>
      <c r="I257" s="5"/>
    </row>
    <row r="258" spans="1:9" ht="17.399999999999999" x14ac:dyDescent="0.25">
      <c r="A258" s="16"/>
      <c r="B258" s="17"/>
      <c r="C258" s="2"/>
      <c r="D258" s="2"/>
      <c r="E258" s="2"/>
      <c r="F258" s="2"/>
      <c r="G258" s="2"/>
      <c r="H258" s="2"/>
      <c r="I258" s="5"/>
    </row>
    <row r="259" spans="1:9" ht="17.399999999999999" x14ac:dyDescent="0.25">
      <c r="A259" s="16"/>
      <c r="B259" s="17"/>
      <c r="C259" s="2"/>
      <c r="D259" s="2"/>
      <c r="E259" s="2"/>
      <c r="F259" s="2"/>
      <c r="G259" s="2"/>
      <c r="H259" s="2"/>
      <c r="I259" s="5"/>
    </row>
    <row r="260" spans="1:9" ht="17.399999999999999" x14ac:dyDescent="0.25">
      <c r="A260" s="16"/>
      <c r="B260" s="17"/>
      <c r="C260" s="2"/>
      <c r="D260" s="2"/>
      <c r="E260" s="2"/>
      <c r="F260" s="2"/>
      <c r="G260" s="2"/>
      <c r="H260" s="2"/>
      <c r="I260" s="5"/>
    </row>
    <row r="261" spans="1:9" ht="17.399999999999999" x14ac:dyDescent="0.25">
      <c r="A261" s="16"/>
      <c r="B261" s="17"/>
      <c r="C261" s="2"/>
      <c r="D261" s="2"/>
      <c r="E261" s="2"/>
      <c r="F261" s="2"/>
      <c r="G261" s="2"/>
      <c r="H261" s="2"/>
      <c r="I261" s="5"/>
    </row>
    <row r="262" spans="1:9" ht="17.399999999999999" x14ac:dyDescent="0.25">
      <c r="A262" s="16"/>
      <c r="B262" s="17"/>
      <c r="C262" s="2"/>
      <c r="D262" s="2"/>
      <c r="E262" s="2"/>
      <c r="F262" s="2"/>
      <c r="G262" s="2"/>
      <c r="H262" s="2"/>
      <c r="I262" s="5"/>
    </row>
    <row r="263" spans="1:9" ht="17.399999999999999" x14ac:dyDescent="0.25">
      <c r="A263" s="16"/>
      <c r="B263" s="17"/>
      <c r="C263" s="2"/>
      <c r="D263" s="2"/>
      <c r="E263" s="2"/>
      <c r="F263" s="2"/>
      <c r="G263" s="2"/>
      <c r="H263" s="2"/>
      <c r="I263" s="5"/>
    </row>
    <row r="264" spans="1:9" ht="17.399999999999999" x14ac:dyDescent="0.25">
      <c r="A264" s="16"/>
      <c r="B264" s="17"/>
      <c r="C264" s="2"/>
      <c r="D264" s="2"/>
      <c r="E264" s="2"/>
      <c r="F264" s="2"/>
      <c r="G264" s="2"/>
      <c r="H264" s="2"/>
      <c r="I264" s="5"/>
    </row>
    <row r="265" spans="1:9" ht="17.399999999999999" x14ac:dyDescent="0.25">
      <c r="A265" s="16"/>
      <c r="B265" s="17"/>
      <c r="C265" s="2"/>
      <c r="D265" s="2"/>
      <c r="E265" s="2"/>
      <c r="F265" s="2"/>
      <c r="G265" s="2"/>
      <c r="H265" s="2"/>
      <c r="I265" s="5"/>
    </row>
    <row r="266" spans="1:9" ht="17.399999999999999" x14ac:dyDescent="0.25">
      <c r="A266" s="16"/>
      <c r="B266" s="17"/>
      <c r="C266" s="2"/>
      <c r="D266" s="2"/>
      <c r="E266" s="2"/>
      <c r="F266" s="2"/>
      <c r="G266" s="2"/>
      <c r="H266" s="2"/>
      <c r="I266" s="5"/>
    </row>
    <row r="267" spans="1:9" ht="17.399999999999999" x14ac:dyDescent="0.25">
      <c r="A267" s="16"/>
      <c r="B267" s="17"/>
      <c r="C267" s="2"/>
      <c r="D267" s="2"/>
      <c r="E267" s="2"/>
      <c r="F267" s="2"/>
      <c r="G267" s="2"/>
      <c r="H267" s="2"/>
      <c r="I267" s="5"/>
    </row>
    <row r="268" spans="1:9" ht="17.399999999999999" x14ac:dyDescent="0.25">
      <c r="A268" s="16"/>
      <c r="B268" s="17"/>
      <c r="C268" s="2"/>
      <c r="D268" s="2"/>
      <c r="E268" s="2"/>
      <c r="F268" s="2"/>
      <c r="G268" s="2"/>
      <c r="H268" s="2"/>
      <c r="I268" s="5"/>
    </row>
    <row r="269" spans="1:9" ht="17.399999999999999" x14ac:dyDescent="0.25">
      <c r="A269" s="16"/>
      <c r="B269" s="17"/>
      <c r="C269" s="2"/>
      <c r="D269" s="2"/>
      <c r="E269" s="2"/>
      <c r="F269" s="2"/>
      <c r="G269" s="2"/>
      <c r="H269" s="2"/>
      <c r="I269" s="5"/>
    </row>
    <row r="270" spans="1:9" ht="17.399999999999999" x14ac:dyDescent="0.25">
      <c r="A270" s="16"/>
      <c r="B270" s="17"/>
      <c r="C270" s="2"/>
      <c r="D270" s="2"/>
      <c r="E270" s="2"/>
      <c r="F270" s="2"/>
      <c r="G270" s="2"/>
      <c r="H270" s="2"/>
      <c r="I270" s="5"/>
    </row>
    <row r="271" spans="1:9" ht="17.399999999999999" x14ac:dyDescent="0.25">
      <c r="A271" s="16"/>
      <c r="B271" s="17"/>
      <c r="C271" s="2"/>
      <c r="D271" s="2"/>
      <c r="E271" s="2"/>
      <c r="F271" s="2"/>
      <c r="G271" s="2"/>
      <c r="H271" s="2"/>
      <c r="I271" s="5"/>
    </row>
    <row r="272" spans="1:9" ht="17.399999999999999" x14ac:dyDescent="0.25">
      <c r="A272" s="16"/>
      <c r="B272" s="17"/>
      <c r="C272" s="2"/>
      <c r="D272" s="2"/>
      <c r="E272" s="2"/>
      <c r="F272" s="2"/>
      <c r="G272" s="2"/>
      <c r="H272" s="2"/>
      <c r="I272" s="5"/>
    </row>
    <row r="273" spans="1:9" ht="17.399999999999999" x14ac:dyDescent="0.25">
      <c r="A273" s="16"/>
      <c r="B273" s="17"/>
      <c r="C273" s="2"/>
      <c r="D273" s="2"/>
      <c r="E273" s="2"/>
      <c r="F273" s="2"/>
      <c r="G273" s="2"/>
      <c r="H273" s="2"/>
      <c r="I273" s="5"/>
    </row>
    <row r="274" spans="1:9" ht="17.399999999999999" x14ac:dyDescent="0.25">
      <c r="A274" s="16"/>
      <c r="B274" s="17"/>
      <c r="C274" s="2"/>
      <c r="D274" s="2"/>
      <c r="E274" s="2"/>
      <c r="F274" s="2"/>
      <c r="G274" s="2"/>
      <c r="H274" s="2"/>
      <c r="I274" s="5"/>
    </row>
    <row r="275" spans="1:9" ht="17.399999999999999" x14ac:dyDescent="0.25">
      <c r="A275" s="16"/>
      <c r="B275" s="17"/>
      <c r="C275" s="2"/>
      <c r="D275" s="2"/>
      <c r="E275" s="2"/>
      <c r="F275" s="2"/>
      <c r="G275" s="2"/>
      <c r="H275" s="2"/>
      <c r="I275" s="5"/>
    </row>
    <row r="276" spans="1:9" ht="17.399999999999999" x14ac:dyDescent="0.25">
      <c r="A276" s="16"/>
      <c r="B276" s="17"/>
      <c r="C276" s="2"/>
      <c r="D276" s="2"/>
      <c r="E276" s="2"/>
      <c r="F276" s="2"/>
      <c r="G276" s="2"/>
      <c r="H276" s="2"/>
      <c r="I276" s="5"/>
    </row>
    <row r="277" spans="1:9" ht="17.399999999999999" x14ac:dyDescent="0.25">
      <c r="A277" s="16"/>
      <c r="B277" s="17"/>
      <c r="C277" s="2"/>
      <c r="D277" s="2"/>
      <c r="E277" s="2"/>
      <c r="F277" s="2"/>
      <c r="G277" s="2"/>
      <c r="H277" s="2"/>
      <c r="I277" s="5"/>
    </row>
    <row r="278" spans="1:9" ht="17.399999999999999" x14ac:dyDescent="0.25">
      <c r="A278" s="16"/>
      <c r="B278" s="17"/>
      <c r="C278" s="2"/>
      <c r="D278" s="2"/>
      <c r="E278" s="2"/>
      <c r="F278" s="2"/>
      <c r="G278" s="2"/>
      <c r="H278" s="2"/>
      <c r="I278" s="5"/>
    </row>
    <row r="279" spans="1:9" ht="17.399999999999999" x14ac:dyDescent="0.25">
      <c r="A279" s="16"/>
      <c r="B279" s="17"/>
      <c r="C279" s="2"/>
      <c r="D279" s="2"/>
      <c r="E279" s="2"/>
      <c r="F279" s="2"/>
      <c r="G279" s="2"/>
      <c r="H279" s="2"/>
      <c r="I279" s="5"/>
    </row>
    <row r="280" spans="1:9" ht="17.399999999999999" x14ac:dyDescent="0.25">
      <c r="A280" s="16"/>
      <c r="B280" s="17"/>
      <c r="C280" s="2"/>
      <c r="D280" s="2"/>
      <c r="E280" s="2"/>
      <c r="F280" s="2"/>
      <c r="G280" s="2"/>
      <c r="H280" s="2"/>
      <c r="I280" s="5"/>
    </row>
    <row r="281" spans="1:9" ht="17.399999999999999" x14ac:dyDescent="0.25">
      <c r="A281" s="16"/>
      <c r="B281" s="17"/>
      <c r="C281" s="2"/>
      <c r="D281" s="2"/>
      <c r="E281" s="2"/>
      <c r="F281" s="2"/>
      <c r="G281" s="2"/>
      <c r="H281" s="2"/>
      <c r="I281" s="5"/>
    </row>
    <row r="282" spans="1:9" ht="17.399999999999999" x14ac:dyDescent="0.25">
      <c r="A282" s="16"/>
      <c r="B282" s="17"/>
      <c r="C282" s="2"/>
      <c r="D282" s="2"/>
      <c r="E282" s="2"/>
      <c r="F282" s="2"/>
      <c r="G282" s="2"/>
      <c r="H282" s="2"/>
      <c r="I282" s="5"/>
    </row>
    <row r="283" spans="1:9" ht="17.399999999999999" x14ac:dyDescent="0.25">
      <c r="A283" s="16"/>
      <c r="B283" s="17"/>
      <c r="C283" s="2"/>
      <c r="D283" s="2"/>
      <c r="E283" s="2"/>
      <c r="F283" s="2"/>
      <c r="G283" s="2"/>
      <c r="H283" s="2"/>
      <c r="I283" s="5"/>
    </row>
    <row r="284" spans="1:9" ht="17.399999999999999" x14ac:dyDescent="0.25">
      <c r="A284" s="16"/>
      <c r="B284" s="17"/>
      <c r="C284" s="2"/>
      <c r="D284" s="2"/>
      <c r="E284" s="2"/>
      <c r="F284" s="2"/>
      <c r="G284" s="2"/>
      <c r="H284" s="2"/>
      <c r="I284" s="5"/>
    </row>
    <row r="285" spans="1:9" ht="17.399999999999999" x14ac:dyDescent="0.25">
      <c r="A285" s="16"/>
      <c r="B285" s="17"/>
      <c r="C285" s="2"/>
      <c r="D285" s="2"/>
      <c r="E285" s="2"/>
      <c r="F285" s="2"/>
      <c r="G285" s="2"/>
      <c r="H285" s="2"/>
      <c r="I285" s="5"/>
    </row>
    <row r="286" spans="1:9" ht="17.399999999999999" x14ac:dyDescent="0.25">
      <c r="A286" s="16"/>
      <c r="B286" s="17"/>
      <c r="C286" s="2"/>
      <c r="D286" s="2"/>
      <c r="E286" s="2"/>
      <c r="F286" s="2"/>
      <c r="G286" s="2"/>
      <c r="H286" s="2"/>
      <c r="I286" s="5"/>
    </row>
    <row r="287" spans="1:9" ht="17.399999999999999" x14ac:dyDescent="0.25">
      <c r="A287" s="16"/>
      <c r="B287" s="17"/>
      <c r="C287" s="2"/>
      <c r="D287" s="2"/>
      <c r="E287" s="2"/>
      <c r="F287" s="2"/>
      <c r="G287" s="2"/>
      <c r="H287" s="2"/>
      <c r="I287" s="5"/>
    </row>
    <row r="288" spans="1:9" ht="17.399999999999999" x14ac:dyDescent="0.25">
      <c r="A288" s="16"/>
      <c r="B288" s="17"/>
      <c r="C288" s="2"/>
      <c r="D288" s="2"/>
      <c r="E288" s="2"/>
      <c r="F288" s="2"/>
      <c r="G288" s="2"/>
      <c r="H288" s="2"/>
      <c r="I288" s="5"/>
    </row>
    <row r="289" spans="1:9" ht="17.399999999999999" x14ac:dyDescent="0.25">
      <c r="A289" s="16"/>
      <c r="B289" s="17"/>
      <c r="C289" s="2"/>
      <c r="D289" s="2"/>
      <c r="E289" s="2"/>
      <c r="F289" s="2"/>
      <c r="G289" s="2"/>
      <c r="H289" s="2"/>
      <c r="I289" s="5"/>
    </row>
    <row r="290" spans="1:9" ht="17.399999999999999" x14ac:dyDescent="0.25">
      <c r="A290" s="16"/>
      <c r="B290" s="17"/>
      <c r="C290" s="2"/>
      <c r="D290" s="2"/>
      <c r="E290" s="2"/>
      <c r="F290" s="2"/>
      <c r="G290" s="2"/>
      <c r="H290" s="2"/>
      <c r="I290" s="5"/>
    </row>
    <row r="291" spans="1:9" ht="17.399999999999999" x14ac:dyDescent="0.25">
      <c r="A291" s="16"/>
      <c r="B291" s="17"/>
      <c r="C291" s="2"/>
      <c r="D291" s="2"/>
      <c r="E291" s="2"/>
      <c r="F291" s="2"/>
      <c r="G291" s="2"/>
      <c r="H291" s="2"/>
      <c r="I291" s="5"/>
    </row>
    <row r="292" spans="1:9" ht="17.399999999999999" x14ac:dyDescent="0.25">
      <c r="A292" s="16"/>
      <c r="B292" s="17"/>
      <c r="C292" s="2"/>
      <c r="D292" s="2"/>
      <c r="E292" s="2"/>
      <c r="F292" s="2"/>
      <c r="G292" s="2"/>
      <c r="H292" s="2"/>
      <c r="I292" s="5"/>
    </row>
    <row r="293" spans="1:9" ht="17.399999999999999" x14ac:dyDescent="0.25">
      <c r="A293" s="16"/>
      <c r="B293" s="17"/>
      <c r="C293" s="2"/>
      <c r="D293" s="2"/>
      <c r="E293" s="2"/>
      <c r="F293" s="2"/>
      <c r="G293" s="2"/>
      <c r="H293" s="2"/>
      <c r="I293" s="5"/>
    </row>
    <row r="294" spans="1:9" ht="17.399999999999999" x14ac:dyDescent="0.25">
      <c r="A294" s="16"/>
      <c r="B294" s="17"/>
      <c r="C294" s="2"/>
      <c r="D294" s="2"/>
      <c r="E294" s="2"/>
      <c r="F294" s="2"/>
      <c r="G294" s="2"/>
      <c r="H294" s="2"/>
      <c r="I294" s="5"/>
    </row>
    <row r="295" spans="1:9" ht="17.399999999999999" x14ac:dyDescent="0.25">
      <c r="A295" s="16"/>
      <c r="B295" s="17"/>
      <c r="C295" s="2"/>
      <c r="D295" s="2"/>
      <c r="E295" s="2"/>
      <c r="F295" s="2"/>
      <c r="G295" s="2"/>
      <c r="H295" s="2"/>
      <c r="I295" s="5"/>
    </row>
    <row r="296" spans="1:9" ht="17.399999999999999" x14ac:dyDescent="0.25">
      <c r="A296" s="16"/>
      <c r="B296" s="17"/>
      <c r="C296" s="2"/>
      <c r="D296" s="2"/>
      <c r="E296" s="2"/>
      <c r="F296" s="2"/>
      <c r="G296" s="2"/>
      <c r="H296" s="2"/>
      <c r="I296" s="5"/>
    </row>
    <row r="297" spans="1:9" ht="17.399999999999999" x14ac:dyDescent="0.25">
      <c r="A297" s="16"/>
      <c r="B297" s="17"/>
      <c r="C297" s="2"/>
      <c r="D297" s="2"/>
      <c r="E297" s="2"/>
      <c r="F297" s="2"/>
      <c r="G297" s="2"/>
      <c r="H297" s="2"/>
      <c r="I297" s="5"/>
    </row>
    <row r="298" spans="1:9" ht="17.399999999999999" x14ac:dyDescent="0.25">
      <c r="A298" s="16"/>
      <c r="B298" s="17"/>
      <c r="C298" s="2"/>
      <c r="D298" s="2"/>
      <c r="E298" s="2"/>
      <c r="F298" s="2"/>
      <c r="G298" s="2"/>
      <c r="H298" s="2"/>
      <c r="I298" s="5"/>
    </row>
    <row r="299" spans="1:9" ht="17.399999999999999" x14ac:dyDescent="0.25">
      <c r="A299" s="16"/>
      <c r="B299" s="17"/>
      <c r="C299" s="2"/>
      <c r="D299" s="2"/>
      <c r="E299" s="2"/>
      <c r="F299" s="2"/>
      <c r="G299" s="2"/>
      <c r="H299" s="2"/>
      <c r="I299" s="5"/>
    </row>
    <row r="300" spans="1:9" ht="17.399999999999999" x14ac:dyDescent="0.25">
      <c r="A300" s="16"/>
      <c r="B300" s="17"/>
      <c r="C300" s="2"/>
      <c r="D300" s="2"/>
      <c r="E300" s="2"/>
      <c r="F300" s="2"/>
      <c r="G300" s="2"/>
      <c r="H300" s="2"/>
      <c r="I300" s="5"/>
    </row>
    <row r="301" spans="1:9" ht="17.399999999999999" x14ac:dyDescent="0.25">
      <c r="A301" s="16"/>
      <c r="B301" s="17"/>
      <c r="C301" s="2"/>
      <c r="D301" s="2"/>
      <c r="E301" s="2"/>
      <c r="F301" s="2"/>
      <c r="G301" s="2"/>
      <c r="H301" s="2"/>
      <c r="I301" s="5"/>
    </row>
    <row r="302" spans="1:9" ht="17.399999999999999" x14ac:dyDescent="0.25">
      <c r="A302" s="16"/>
      <c r="B302" s="17"/>
      <c r="C302" s="2"/>
      <c r="D302" s="2"/>
      <c r="E302" s="2"/>
      <c r="F302" s="2"/>
      <c r="G302" s="2"/>
      <c r="H302" s="2"/>
      <c r="I302" s="5"/>
    </row>
    <row r="303" spans="1:9" ht="17.399999999999999" x14ac:dyDescent="0.25">
      <c r="A303" s="16"/>
      <c r="B303" s="17"/>
      <c r="C303" s="2"/>
      <c r="D303" s="2"/>
      <c r="E303" s="2"/>
      <c r="F303" s="2"/>
      <c r="G303" s="2"/>
      <c r="H303" s="2"/>
      <c r="I303" s="5"/>
    </row>
    <row r="304" spans="1:9" ht="17.399999999999999" x14ac:dyDescent="0.25">
      <c r="A304" s="16"/>
      <c r="B304" s="17"/>
      <c r="C304" s="2"/>
      <c r="D304" s="2"/>
      <c r="E304" s="2"/>
      <c r="F304" s="2"/>
      <c r="G304" s="2"/>
      <c r="H304" s="2"/>
      <c r="I304" s="5"/>
    </row>
    <row r="305" spans="1:9" ht="17.399999999999999" x14ac:dyDescent="0.25">
      <c r="A305" s="16"/>
      <c r="B305" s="17"/>
      <c r="C305" s="2"/>
      <c r="D305" s="2"/>
      <c r="E305" s="2"/>
      <c r="F305" s="2"/>
      <c r="G305" s="2"/>
      <c r="H305" s="2"/>
      <c r="I305" s="5"/>
    </row>
    <row r="306" spans="1:9" ht="17.399999999999999" x14ac:dyDescent="0.25">
      <c r="A306" s="16"/>
      <c r="B306" s="17"/>
      <c r="C306" s="2"/>
      <c r="D306" s="2"/>
      <c r="E306" s="2"/>
      <c r="F306" s="2"/>
      <c r="G306" s="2"/>
      <c r="H306" s="2"/>
      <c r="I306" s="5"/>
    </row>
    <row r="307" spans="1:9" ht="17.399999999999999" x14ac:dyDescent="0.25">
      <c r="A307" s="16"/>
      <c r="B307" s="17"/>
      <c r="C307" s="2"/>
      <c r="D307" s="2"/>
      <c r="E307" s="2"/>
      <c r="F307" s="2"/>
      <c r="G307" s="2"/>
      <c r="H307" s="2"/>
      <c r="I307" s="5"/>
    </row>
    <row r="308" spans="1:9" ht="17.399999999999999" x14ac:dyDescent="0.25">
      <c r="A308" s="16"/>
      <c r="B308" s="17"/>
      <c r="C308" s="2"/>
      <c r="D308" s="2"/>
      <c r="E308" s="2"/>
      <c r="F308" s="2"/>
      <c r="G308" s="2"/>
      <c r="H308" s="2"/>
      <c r="I308" s="5"/>
    </row>
    <row r="309" spans="1:9" ht="17.399999999999999" x14ac:dyDescent="0.25">
      <c r="A309" s="16"/>
      <c r="B309" s="17"/>
      <c r="C309" s="2"/>
      <c r="D309" s="2"/>
      <c r="E309" s="2"/>
      <c r="F309" s="2"/>
      <c r="G309" s="2"/>
      <c r="H309" s="2"/>
      <c r="I309" s="5"/>
    </row>
    <row r="310" spans="1:9" ht="17.399999999999999" x14ac:dyDescent="0.25">
      <c r="A310" s="16"/>
      <c r="B310" s="17"/>
      <c r="C310" s="2"/>
      <c r="D310" s="2"/>
      <c r="E310" s="2"/>
      <c r="F310" s="2"/>
      <c r="G310" s="2"/>
      <c r="H310" s="2"/>
      <c r="I310" s="5"/>
    </row>
    <row r="311" spans="1:9" ht="17.399999999999999" x14ac:dyDescent="0.25">
      <c r="A311" s="16"/>
      <c r="B311" s="17"/>
      <c r="C311" s="2"/>
      <c r="D311" s="2"/>
      <c r="E311" s="2"/>
      <c r="F311" s="2"/>
      <c r="G311" s="2"/>
      <c r="H311" s="2"/>
      <c r="I311" s="5"/>
    </row>
    <row r="312" spans="1:9" ht="17.399999999999999" x14ac:dyDescent="0.25">
      <c r="A312" s="16"/>
      <c r="B312" s="17"/>
      <c r="C312" s="2"/>
      <c r="D312" s="2"/>
      <c r="E312" s="2"/>
      <c r="F312" s="2"/>
      <c r="G312" s="2"/>
      <c r="H312" s="2"/>
      <c r="I312" s="5"/>
    </row>
    <row r="313" spans="1:9" ht="17.399999999999999" x14ac:dyDescent="0.25">
      <c r="A313" s="16"/>
      <c r="B313" s="17"/>
      <c r="C313" s="2"/>
      <c r="D313" s="2"/>
      <c r="E313" s="2"/>
      <c r="F313" s="2"/>
      <c r="G313" s="2"/>
      <c r="H313" s="2"/>
      <c r="I313" s="5"/>
    </row>
    <row r="314" spans="1:9" ht="17.399999999999999" x14ac:dyDescent="0.25">
      <c r="A314" s="16"/>
      <c r="B314" s="17"/>
      <c r="C314" s="2"/>
      <c r="D314" s="2"/>
      <c r="E314" s="2"/>
      <c r="F314" s="2"/>
      <c r="G314" s="2"/>
      <c r="H314" s="2"/>
      <c r="I314" s="5"/>
    </row>
    <row r="315" spans="1:9" ht="17.399999999999999" x14ac:dyDescent="0.25">
      <c r="A315" s="16"/>
      <c r="B315" s="17"/>
      <c r="C315" s="2"/>
      <c r="D315" s="2"/>
      <c r="E315" s="2"/>
      <c r="F315" s="2"/>
      <c r="G315" s="2"/>
      <c r="H315" s="2"/>
      <c r="I315" s="5"/>
    </row>
    <row r="316" spans="1:9" ht="17.399999999999999" x14ac:dyDescent="0.25">
      <c r="A316" s="16"/>
      <c r="B316" s="17"/>
      <c r="C316" s="2"/>
      <c r="D316" s="2"/>
      <c r="E316" s="2"/>
      <c r="F316" s="2"/>
      <c r="G316" s="2"/>
      <c r="H316" s="2"/>
      <c r="I316" s="5"/>
    </row>
    <row r="317" spans="1:9" ht="17.399999999999999" x14ac:dyDescent="0.25">
      <c r="A317" s="16"/>
      <c r="B317" s="17"/>
      <c r="C317" s="2"/>
      <c r="D317" s="2"/>
      <c r="E317" s="2"/>
      <c r="F317" s="2"/>
      <c r="G317" s="2"/>
      <c r="H317" s="2"/>
      <c r="I317" s="5"/>
    </row>
    <row r="318" spans="1:9" ht="17.399999999999999" x14ac:dyDescent="0.25">
      <c r="A318" s="16"/>
      <c r="B318" s="17"/>
      <c r="C318" s="2"/>
      <c r="D318" s="2"/>
      <c r="E318" s="2"/>
      <c r="F318" s="2"/>
      <c r="G318" s="2"/>
      <c r="H318" s="2"/>
      <c r="I318" s="5"/>
    </row>
    <row r="319" spans="1:9" ht="17.399999999999999" x14ac:dyDescent="0.25">
      <c r="A319" s="16"/>
      <c r="B319" s="17"/>
      <c r="C319" s="2"/>
      <c r="D319" s="2"/>
      <c r="E319" s="2"/>
      <c r="F319" s="2"/>
      <c r="G319" s="2"/>
      <c r="H319" s="2"/>
      <c r="I319" s="5"/>
    </row>
    <row r="320" spans="1:9" ht="17.399999999999999" x14ac:dyDescent="0.25">
      <c r="A320" s="16"/>
      <c r="B320" s="17"/>
      <c r="C320" s="2"/>
      <c r="D320" s="2"/>
      <c r="E320" s="2"/>
      <c r="F320" s="2"/>
      <c r="G320" s="2"/>
      <c r="H320" s="2"/>
      <c r="I320" s="5"/>
    </row>
    <row r="321" spans="1:9" ht="17.399999999999999" x14ac:dyDescent="0.25">
      <c r="A321" s="16"/>
      <c r="B321" s="17"/>
      <c r="C321" s="2"/>
      <c r="D321" s="2"/>
      <c r="E321" s="2"/>
      <c r="F321" s="2"/>
      <c r="G321" s="2"/>
      <c r="H321" s="2"/>
      <c r="I321" s="5"/>
    </row>
    <row r="322" spans="1:9" ht="17.399999999999999" x14ac:dyDescent="0.25">
      <c r="A322" s="16"/>
      <c r="B322" s="17"/>
      <c r="C322" s="2"/>
      <c r="D322" s="2"/>
      <c r="E322" s="2"/>
      <c r="F322" s="2"/>
      <c r="G322" s="2"/>
      <c r="H322" s="2"/>
      <c r="I322" s="5"/>
    </row>
    <row r="323" spans="1:9" ht="17.399999999999999" x14ac:dyDescent="0.25">
      <c r="A323" s="16"/>
      <c r="B323" s="17"/>
      <c r="C323" s="2"/>
      <c r="D323" s="2"/>
      <c r="E323" s="2"/>
      <c r="F323" s="2"/>
      <c r="G323" s="2"/>
      <c r="H323" s="2"/>
      <c r="I323" s="5"/>
    </row>
    <row r="324" spans="1:9" ht="17.399999999999999" x14ac:dyDescent="0.25">
      <c r="A324" s="16"/>
      <c r="B324" s="17"/>
      <c r="C324" s="2"/>
      <c r="D324" s="2"/>
      <c r="E324" s="2"/>
      <c r="F324" s="2"/>
      <c r="G324" s="2"/>
      <c r="H324" s="2"/>
      <c r="I324" s="5"/>
    </row>
    <row r="325" spans="1:9" ht="17.399999999999999" x14ac:dyDescent="0.25">
      <c r="A325" s="16"/>
      <c r="B325" s="17"/>
      <c r="C325" s="2"/>
      <c r="D325" s="2"/>
      <c r="E325" s="2"/>
      <c r="F325" s="2"/>
      <c r="G325" s="2"/>
      <c r="H325" s="2"/>
      <c r="I325" s="5"/>
    </row>
    <row r="326" spans="1:9" ht="17.399999999999999" x14ac:dyDescent="0.25">
      <c r="A326" s="16"/>
      <c r="B326" s="17"/>
      <c r="C326" s="2"/>
      <c r="D326" s="2"/>
      <c r="E326" s="2"/>
      <c r="F326" s="2"/>
      <c r="G326" s="2"/>
      <c r="H326" s="2"/>
      <c r="I326" s="5"/>
    </row>
    <row r="327" spans="1:9" ht="17.399999999999999" x14ac:dyDescent="0.25">
      <c r="A327" s="16"/>
      <c r="B327" s="17"/>
      <c r="C327" s="2"/>
      <c r="D327" s="2"/>
      <c r="E327" s="2"/>
      <c r="F327" s="2"/>
      <c r="G327" s="2"/>
      <c r="H327" s="2"/>
      <c r="I327" s="5"/>
    </row>
    <row r="328" spans="1:9" ht="17.399999999999999" x14ac:dyDescent="0.25">
      <c r="A328" s="16"/>
      <c r="B328" s="17"/>
      <c r="C328" s="2"/>
      <c r="D328" s="2"/>
      <c r="E328" s="2"/>
      <c r="F328" s="2"/>
      <c r="G328" s="2"/>
      <c r="H328" s="2"/>
      <c r="I328" s="5"/>
    </row>
    <row r="329" spans="1:9" ht="17.399999999999999" x14ac:dyDescent="0.25">
      <c r="A329" s="16"/>
      <c r="B329" s="17"/>
      <c r="C329" s="2"/>
      <c r="D329" s="2"/>
      <c r="E329" s="2"/>
      <c r="F329" s="2"/>
      <c r="G329" s="2"/>
      <c r="H329" s="2"/>
      <c r="I329" s="5"/>
    </row>
    <row r="330" spans="1:9" ht="17.399999999999999" x14ac:dyDescent="0.25">
      <c r="A330" s="16"/>
      <c r="B330" s="17"/>
      <c r="C330" s="2"/>
      <c r="D330" s="2"/>
      <c r="E330" s="2"/>
      <c r="F330" s="2"/>
      <c r="G330" s="2"/>
      <c r="H330" s="2"/>
      <c r="I330" s="5"/>
    </row>
    <row r="331" spans="1:9" ht="17.399999999999999" x14ac:dyDescent="0.25">
      <c r="A331" s="16"/>
      <c r="B331" s="17"/>
      <c r="C331" s="2"/>
      <c r="D331" s="2"/>
      <c r="E331" s="2"/>
      <c r="F331" s="2"/>
      <c r="G331" s="2"/>
      <c r="H331" s="2"/>
      <c r="I331" s="5"/>
    </row>
    <row r="332" spans="1:9" ht="17.399999999999999" x14ac:dyDescent="0.25">
      <c r="A332" s="16"/>
      <c r="B332" s="17"/>
      <c r="C332" s="2"/>
      <c r="D332" s="2"/>
      <c r="E332" s="2"/>
      <c r="F332" s="2"/>
      <c r="G332" s="2"/>
      <c r="H332" s="2"/>
      <c r="I332" s="5"/>
    </row>
    <row r="333" spans="1:9" ht="17.399999999999999" x14ac:dyDescent="0.25">
      <c r="A333" s="16"/>
      <c r="B333" s="17"/>
      <c r="C333" s="2"/>
      <c r="D333" s="2"/>
      <c r="E333" s="2"/>
      <c r="F333" s="2"/>
      <c r="G333" s="2"/>
      <c r="H333" s="2"/>
      <c r="I333" s="5"/>
    </row>
    <row r="334" spans="1:9" ht="17.399999999999999" x14ac:dyDescent="0.25">
      <c r="A334" s="16"/>
      <c r="B334" s="17"/>
      <c r="C334" s="2"/>
      <c r="D334" s="2"/>
      <c r="E334" s="2"/>
      <c r="F334" s="2"/>
      <c r="G334" s="2"/>
      <c r="H334" s="2"/>
      <c r="I334" s="5"/>
    </row>
    <row r="335" spans="1:9" ht="17.399999999999999" x14ac:dyDescent="0.25">
      <c r="A335" s="16"/>
      <c r="B335" s="17"/>
      <c r="C335" s="2"/>
      <c r="D335" s="2"/>
      <c r="E335" s="2"/>
      <c r="F335" s="2"/>
      <c r="G335" s="2"/>
      <c r="H335" s="2"/>
      <c r="I335" s="5"/>
    </row>
    <row r="336" spans="1:9" ht="17.399999999999999" x14ac:dyDescent="0.25">
      <c r="A336" s="16"/>
      <c r="B336" s="17"/>
      <c r="C336" s="2"/>
      <c r="D336" s="2"/>
      <c r="E336" s="2"/>
      <c r="F336" s="2"/>
      <c r="G336" s="2"/>
      <c r="H336" s="2"/>
      <c r="I336" s="5"/>
    </row>
    <row r="337" spans="1:9" ht="17.399999999999999" x14ac:dyDescent="0.25">
      <c r="A337" s="16"/>
      <c r="B337" s="17"/>
      <c r="C337" s="2"/>
      <c r="D337" s="2"/>
      <c r="E337" s="2"/>
      <c r="F337" s="2"/>
      <c r="G337" s="2"/>
      <c r="H337" s="2"/>
      <c r="I337" s="5"/>
    </row>
    <row r="338" spans="1:9" ht="17.399999999999999" x14ac:dyDescent="0.25">
      <c r="A338" s="16"/>
      <c r="B338" s="17"/>
      <c r="C338" s="2"/>
      <c r="D338" s="2"/>
      <c r="E338" s="2"/>
      <c r="F338" s="2"/>
      <c r="G338" s="2"/>
      <c r="H338" s="2"/>
      <c r="I338" s="5"/>
    </row>
    <row r="339" spans="1:9" ht="17.399999999999999" x14ac:dyDescent="0.25">
      <c r="A339" s="16"/>
      <c r="B339" s="17"/>
      <c r="C339" s="2"/>
      <c r="D339" s="2"/>
      <c r="E339" s="2"/>
      <c r="F339" s="2"/>
      <c r="G339" s="2"/>
      <c r="H339" s="2"/>
      <c r="I339" s="5"/>
    </row>
    <row r="340" spans="1:9" ht="17.399999999999999" x14ac:dyDescent="0.25">
      <c r="A340" s="16"/>
      <c r="B340" s="17"/>
      <c r="C340" s="2"/>
      <c r="D340" s="2"/>
      <c r="E340" s="2"/>
      <c r="F340" s="2"/>
      <c r="G340" s="2"/>
      <c r="H340" s="2"/>
      <c r="I340" s="5"/>
    </row>
    <row r="341" spans="1:9" ht="17.399999999999999" x14ac:dyDescent="0.25">
      <c r="A341" s="16"/>
      <c r="B341" s="17"/>
      <c r="C341" s="2"/>
      <c r="D341" s="2"/>
      <c r="E341" s="2"/>
      <c r="F341" s="2"/>
      <c r="G341" s="2"/>
      <c r="H341" s="2"/>
      <c r="I341" s="5"/>
    </row>
    <row r="342" spans="1:9" ht="17.399999999999999" x14ac:dyDescent="0.25">
      <c r="A342" s="16"/>
      <c r="B342" s="17"/>
      <c r="C342" s="2"/>
      <c r="D342" s="2"/>
      <c r="E342" s="2"/>
      <c r="F342" s="2"/>
      <c r="G342" s="2"/>
      <c r="H342" s="2"/>
      <c r="I342" s="5"/>
    </row>
    <row r="343" spans="1:9" ht="17.399999999999999" x14ac:dyDescent="0.25">
      <c r="A343" s="16"/>
      <c r="B343" s="17"/>
      <c r="C343" s="2"/>
      <c r="D343" s="2"/>
      <c r="E343" s="2"/>
      <c r="F343" s="2"/>
      <c r="G343" s="2"/>
      <c r="H343" s="2"/>
      <c r="I343" s="5"/>
    </row>
    <row r="344" spans="1:9" ht="17.399999999999999" x14ac:dyDescent="0.25">
      <c r="A344" s="16"/>
      <c r="B344" s="17"/>
      <c r="C344" s="2"/>
      <c r="D344" s="2"/>
      <c r="E344" s="2"/>
      <c r="F344" s="2"/>
      <c r="G344" s="2"/>
      <c r="H344" s="2"/>
      <c r="I344" s="5"/>
    </row>
    <row r="345" spans="1:9" ht="17.399999999999999" x14ac:dyDescent="0.25">
      <c r="A345" s="16"/>
      <c r="B345" s="17"/>
      <c r="C345" s="2"/>
      <c r="D345" s="2"/>
      <c r="E345" s="2"/>
      <c r="F345" s="2"/>
      <c r="G345" s="2"/>
      <c r="H345" s="2"/>
      <c r="I345" s="5"/>
    </row>
    <row r="346" spans="1:9" ht="17.399999999999999" x14ac:dyDescent="0.25">
      <c r="A346" s="16"/>
      <c r="B346" s="17"/>
      <c r="C346" s="2"/>
      <c r="D346" s="2"/>
      <c r="E346" s="2"/>
      <c r="F346" s="2"/>
      <c r="G346" s="2"/>
      <c r="H346" s="2"/>
      <c r="I346" s="5"/>
    </row>
    <row r="347" spans="1:9" ht="17.399999999999999" x14ac:dyDescent="0.25">
      <c r="A347" s="16"/>
      <c r="B347" s="17"/>
      <c r="C347" s="2"/>
      <c r="D347" s="2"/>
      <c r="E347" s="2"/>
      <c r="F347" s="2"/>
      <c r="G347" s="2"/>
      <c r="H347" s="2"/>
      <c r="I347" s="5"/>
    </row>
    <row r="348" spans="1:9" ht="17.399999999999999" x14ac:dyDescent="0.25">
      <c r="A348" s="16"/>
      <c r="B348" s="17"/>
      <c r="C348" s="2"/>
      <c r="D348" s="2"/>
      <c r="E348" s="2"/>
      <c r="F348" s="2"/>
      <c r="G348" s="2"/>
      <c r="H348" s="2"/>
      <c r="I348" s="5"/>
    </row>
    <row r="349" spans="1:9" ht="17.399999999999999" x14ac:dyDescent="0.25">
      <c r="A349" s="16"/>
      <c r="B349" s="17"/>
      <c r="C349" s="2"/>
      <c r="D349" s="2"/>
      <c r="E349" s="2"/>
      <c r="F349" s="2"/>
      <c r="G349" s="2"/>
      <c r="H349" s="2"/>
      <c r="I349" s="5"/>
    </row>
    <row r="350" spans="1:9" ht="17.399999999999999" x14ac:dyDescent="0.25">
      <c r="A350" s="16"/>
      <c r="B350" s="17"/>
      <c r="C350" s="2"/>
      <c r="D350" s="2"/>
      <c r="E350" s="2"/>
      <c r="F350" s="2"/>
      <c r="G350" s="2"/>
      <c r="H350" s="2"/>
      <c r="I350" s="5"/>
    </row>
    <row r="351" spans="1:9" ht="17.399999999999999" x14ac:dyDescent="0.25">
      <c r="A351" s="16"/>
      <c r="B351" s="17"/>
      <c r="C351" s="2"/>
      <c r="D351" s="2"/>
      <c r="E351" s="2"/>
      <c r="F351" s="2"/>
      <c r="G351" s="2"/>
      <c r="H351" s="2"/>
      <c r="I351" s="5"/>
    </row>
    <row r="352" spans="1:9" ht="17.399999999999999" x14ac:dyDescent="0.25">
      <c r="A352" s="16"/>
      <c r="B352" s="17"/>
      <c r="C352" s="2"/>
      <c r="D352" s="2"/>
      <c r="E352" s="2"/>
      <c r="F352" s="2"/>
      <c r="G352" s="2"/>
      <c r="H352" s="2"/>
      <c r="I352" s="5"/>
    </row>
    <row r="353" spans="1:9" ht="17.399999999999999" x14ac:dyDescent="0.25">
      <c r="A353" s="16"/>
      <c r="B353" s="17"/>
      <c r="C353" s="2"/>
      <c r="D353" s="2"/>
      <c r="E353" s="2"/>
      <c r="F353" s="2"/>
      <c r="G353" s="2"/>
      <c r="H353" s="2"/>
      <c r="I353" s="5"/>
    </row>
    <row r="354" spans="1:9" ht="17.399999999999999" x14ac:dyDescent="0.25">
      <c r="A354" s="16"/>
      <c r="B354" s="17"/>
      <c r="C354" s="2"/>
      <c r="D354" s="2"/>
      <c r="E354" s="2"/>
      <c r="F354" s="2"/>
      <c r="G354" s="2"/>
      <c r="H354" s="2"/>
      <c r="I354" s="5"/>
    </row>
    <row r="355" spans="1:9" ht="17.399999999999999" x14ac:dyDescent="0.25">
      <c r="A355" s="16"/>
      <c r="B355" s="17"/>
      <c r="C355" s="2"/>
      <c r="D355" s="2"/>
      <c r="E355" s="2"/>
      <c r="F355" s="2"/>
      <c r="G355" s="2"/>
      <c r="H355" s="2"/>
      <c r="I355" s="5"/>
    </row>
    <row r="356" spans="1:9" ht="17.399999999999999" x14ac:dyDescent="0.25">
      <c r="A356" s="16"/>
      <c r="B356" s="17"/>
      <c r="C356" s="2"/>
      <c r="D356" s="2"/>
      <c r="E356" s="2"/>
      <c r="F356" s="2"/>
      <c r="G356" s="2"/>
      <c r="H356" s="2"/>
      <c r="I356" s="5"/>
    </row>
    <row r="357" spans="1:9" ht="17.399999999999999" x14ac:dyDescent="0.25">
      <c r="A357" s="16"/>
      <c r="B357" s="17"/>
      <c r="C357" s="2"/>
      <c r="D357" s="2"/>
      <c r="E357" s="2"/>
      <c r="F357" s="2"/>
      <c r="G357" s="2"/>
      <c r="H357" s="2"/>
      <c r="I357" s="5"/>
    </row>
    <row r="358" spans="1:9" ht="17.399999999999999" x14ac:dyDescent="0.25">
      <c r="A358" s="16"/>
      <c r="B358" s="17"/>
      <c r="C358" s="2"/>
      <c r="D358" s="2"/>
      <c r="E358" s="2"/>
      <c r="F358" s="2"/>
      <c r="G358" s="2"/>
      <c r="H358" s="2"/>
      <c r="I358" s="5"/>
    </row>
    <row r="359" spans="1:9" ht="17.399999999999999" x14ac:dyDescent="0.25">
      <c r="A359" s="16"/>
      <c r="B359" s="17"/>
      <c r="C359" s="2"/>
      <c r="D359" s="2"/>
      <c r="E359" s="2"/>
      <c r="F359" s="2"/>
      <c r="G359" s="2"/>
      <c r="H359" s="2"/>
      <c r="I359" s="5"/>
    </row>
    <row r="360" spans="1:9" ht="17.399999999999999" x14ac:dyDescent="0.25">
      <c r="A360" s="16"/>
      <c r="B360" s="17"/>
      <c r="C360" s="2"/>
      <c r="D360" s="2"/>
      <c r="E360" s="2"/>
      <c r="F360" s="2"/>
      <c r="G360" s="2"/>
      <c r="H360" s="2"/>
      <c r="I360" s="5"/>
    </row>
    <row r="361" spans="1:9" ht="17.399999999999999" x14ac:dyDescent="0.25">
      <c r="A361" s="16"/>
      <c r="B361" s="17"/>
      <c r="C361" s="2"/>
      <c r="D361" s="2"/>
      <c r="E361" s="2"/>
      <c r="F361" s="2"/>
      <c r="G361" s="2"/>
      <c r="H361" s="2"/>
      <c r="I361" s="5"/>
    </row>
    <row r="362" spans="1:9" ht="17.399999999999999" x14ac:dyDescent="0.25">
      <c r="A362" s="16"/>
      <c r="B362" s="17"/>
      <c r="C362" s="2"/>
      <c r="D362" s="2"/>
      <c r="E362" s="2"/>
      <c r="F362" s="2"/>
      <c r="G362" s="2"/>
      <c r="H362" s="2"/>
      <c r="I362" s="5"/>
    </row>
    <row r="363" spans="1:9" ht="17.399999999999999" x14ac:dyDescent="0.25">
      <c r="A363" s="16"/>
      <c r="B363" s="17"/>
      <c r="C363" s="2"/>
      <c r="D363" s="2"/>
      <c r="E363" s="2"/>
      <c r="F363" s="2"/>
      <c r="G363" s="2"/>
      <c r="H363" s="2"/>
      <c r="I363" s="5"/>
    </row>
    <row r="364" spans="1:9" ht="17.399999999999999" x14ac:dyDescent="0.25">
      <c r="A364" s="16"/>
      <c r="B364" s="17"/>
      <c r="C364" s="2"/>
      <c r="D364" s="2"/>
      <c r="E364" s="2"/>
      <c r="F364" s="2"/>
      <c r="G364" s="2"/>
      <c r="H364" s="2"/>
      <c r="I364" s="5"/>
    </row>
    <row r="365" spans="1:9" ht="17.399999999999999" x14ac:dyDescent="0.25">
      <c r="A365" s="16"/>
      <c r="B365" s="17"/>
      <c r="C365" s="2"/>
      <c r="D365" s="2"/>
      <c r="E365" s="2"/>
      <c r="F365" s="2"/>
      <c r="G365" s="2"/>
      <c r="H365" s="2"/>
      <c r="I365" s="5"/>
    </row>
    <row r="366" spans="1:9" ht="17.399999999999999" x14ac:dyDescent="0.25">
      <c r="A366" s="16"/>
      <c r="B366" s="17"/>
      <c r="C366" s="2"/>
      <c r="D366" s="2"/>
      <c r="E366" s="2"/>
      <c r="F366" s="2"/>
      <c r="G366" s="2"/>
      <c r="H366" s="2"/>
      <c r="I366" s="5"/>
    </row>
    <row r="367" spans="1:9" ht="17.399999999999999" x14ac:dyDescent="0.25">
      <c r="A367" s="16"/>
      <c r="B367" s="17"/>
      <c r="C367" s="2"/>
      <c r="D367" s="2"/>
      <c r="E367" s="2"/>
      <c r="F367" s="2"/>
      <c r="G367" s="2"/>
      <c r="H367" s="2"/>
      <c r="I367" s="5"/>
    </row>
    <row r="368" spans="1:9" ht="17.399999999999999" x14ac:dyDescent="0.25">
      <c r="A368" s="16"/>
      <c r="B368" s="17"/>
      <c r="C368" s="2"/>
      <c r="D368" s="2"/>
      <c r="E368" s="2"/>
      <c r="F368" s="2"/>
      <c r="G368" s="2"/>
      <c r="H368" s="2"/>
      <c r="I368" s="5"/>
    </row>
    <row r="369" spans="1:9" ht="17.399999999999999" x14ac:dyDescent="0.25">
      <c r="A369" s="16"/>
      <c r="B369" s="17"/>
      <c r="C369" s="2"/>
      <c r="D369" s="2"/>
      <c r="E369" s="2"/>
      <c r="F369" s="2"/>
      <c r="G369" s="2"/>
      <c r="H369" s="2"/>
      <c r="I369" s="5"/>
    </row>
    <row r="370" spans="1:9" ht="17.399999999999999" x14ac:dyDescent="0.25">
      <c r="A370" s="16"/>
      <c r="B370" s="17"/>
      <c r="C370" s="2"/>
      <c r="D370" s="2"/>
      <c r="E370" s="2"/>
      <c r="F370" s="2"/>
      <c r="G370" s="2"/>
      <c r="H370" s="2"/>
      <c r="I370" s="5"/>
    </row>
    <row r="371" spans="1:9" ht="17.399999999999999" x14ac:dyDescent="0.25">
      <c r="A371" s="16"/>
      <c r="B371" s="17"/>
      <c r="C371" s="2"/>
      <c r="D371" s="2"/>
      <c r="E371" s="2"/>
      <c r="F371" s="2"/>
      <c r="G371" s="2"/>
      <c r="H371" s="2"/>
      <c r="I371" s="5"/>
    </row>
    <row r="372" spans="1:9" ht="17.399999999999999" x14ac:dyDescent="0.25">
      <c r="A372" s="16"/>
      <c r="B372" s="17"/>
      <c r="C372" s="2"/>
      <c r="D372" s="2"/>
      <c r="E372" s="2"/>
      <c r="F372" s="2"/>
      <c r="G372" s="2"/>
      <c r="H372" s="2"/>
      <c r="I372" s="5"/>
    </row>
    <row r="373" spans="1:9" ht="17.399999999999999" x14ac:dyDescent="0.25">
      <c r="A373" s="16"/>
      <c r="B373" s="17"/>
      <c r="C373" s="2"/>
      <c r="D373" s="2"/>
      <c r="E373" s="2"/>
      <c r="F373" s="2"/>
      <c r="G373" s="2"/>
      <c r="H373" s="2"/>
      <c r="I373" s="5"/>
    </row>
    <row r="374" spans="1:9" ht="17.399999999999999" x14ac:dyDescent="0.25">
      <c r="A374" s="16"/>
      <c r="B374" s="17"/>
      <c r="C374" s="2"/>
      <c r="D374" s="2"/>
      <c r="E374" s="2"/>
      <c r="F374" s="2"/>
      <c r="G374" s="2"/>
      <c r="H374" s="2"/>
      <c r="I374" s="5"/>
    </row>
    <row r="375" spans="1:9" ht="17.399999999999999" x14ac:dyDescent="0.25">
      <c r="A375" s="16"/>
      <c r="B375" s="17"/>
      <c r="C375" s="2"/>
      <c r="D375" s="2"/>
      <c r="E375" s="2"/>
      <c r="F375" s="2"/>
      <c r="G375" s="2"/>
      <c r="H375" s="2"/>
      <c r="I375" s="5"/>
    </row>
    <row r="376" spans="1:9" ht="17.399999999999999" x14ac:dyDescent="0.25">
      <c r="A376" s="16"/>
      <c r="B376" s="17"/>
      <c r="C376" s="2"/>
      <c r="D376" s="2"/>
      <c r="E376" s="2"/>
      <c r="F376" s="2"/>
      <c r="G376" s="2"/>
      <c r="H376" s="2"/>
      <c r="I376" s="5"/>
    </row>
    <row r="377" spans="1:9" ht="17.399999999999999" x14ac:dyDescent="0.25">
      <c r="A377" s="16"/>
      <c r="B377" s="17"/>
      <c r="C377" s="2"/>
      <c r="D377" s="2"/>
      <c r="E377" s="2"/>
      <c r="F377" s="2"/>
      <c r="G377" s="2"/>
      <c r="H377" s="2"/>
      <c r="I377" s="5"/>
    </row>
    <row r="378" spans="1:9" ht="17.399999999999999" x14ac:dyDescent="0.25">
      <c r="A378" s="16"/>
      <c r="B378" s="17"/>
      <c r="C378" s="2"/>
      <c r="D378" s="2"/>
      <c r="E378" s="2"/>
      <c r="F378" s="2"/>
      <c r="G378" s="2"/>
      <c r="H378" s="2"/>
      <c r="I378" s="5"/>
    </row>
    <row r="379" spans="1:9" ht="17.399999999999999" x14ac:dyDescent="0.25">
      <c r="A379" s="16"/>
      <c r="B379" s="17"/>
      <c r="C379" s="2"/>
      <c r="D379" s="2"/>
      <c r="E379" s="2"/>
      <c r="F379" s="2"/>
      <c r="G379" s="2"/>
      <c r="H379" s="2"/>
      <c r="I379" s="5"/>
    </row>
    <row r="380" spans="1:9" ht="17.399999999999999" x14ac:dyDescent="0.25">
      <c r="A380" s="16"/>
      <c r="B380" s="17"/>
      <c r="C380" s="2"/>
      <c r="D380" s="2"/>
      <c r="E380" s="2"/>
      <c r="F380" s="2"/>
      <c r="G380" s="2"/>
      <c r="H380" s="2"/>
      <c r="I380" s="5"/>
    </row>
    <row r="381" spans="1:9" ht="17.399999999999999" x14ac:dyDescent="0.25">
      <c r="A381" s="16"/>
      <c r="B381" s="17"/>
      <c r="C381" s="2"/>
      <c r="D381" s="2"/>
      <c r="E381" s="2"/>
      <c r="F381" s="2"/>
      <c r="G381" s="2"/>
      <c r="H381" s="2"/>
      <c r="I381" s="5"/>
    </row>
    <row r="382" spans="1:9" ht="17.399999999999999" x14ac:dyDescent="0.25">
      <c r="A382" s="16"/>
      <c r="B382" s="17"/>
      <c r="C382" s="2"/>
      <c r="D382" s="2"/>
      <c r="E382" s="2"/>
      <c r="F382" s="2"/>
      <c r="G382" s="2"/>
      <c r="H382" s="2"/>
      <c r="I382" s="5"/>
    </row>
    <row r="383" spans="1:9" ht="17.399999999999999" x14ac:dyDescent="0.25">
      <c r="A383" s="16"/>
      <c r="B383" s="17"/>
      <c r="C383" s="2"/>
      <c r="D383" s="2"/>
      <c r="E383" s="2"/>
      <c r="F383" s="2"/>
      <c r="G383" s="2"/>
      <c r="H383" s="2"/>
      <c r="I383" s="5"/>
    </row>
    <row r="384" spans="1:9" ht="17.399999999999999" x14ac:dyDescent="0.25">
      <c r="A384" s="16"/>
      <c r="B384" s="17"/>
      <c r="C384" s="2"/>
      <c r="D384" s="2"/>
      <c r="E384" s="2"/>
      <c r="F384" s="2"/>
      <c r="G384" s="2"/>
      <c r="H384" s="2"/>
      <c r="I384" s="5"/>
    </row>
    <row r="385" spans="1:9" ht="17.399999999999999" x14ac:dyDescent="0.25">
      <c r="A385" s="16"/>
      <c r="B385" s="17"/>
      <c r="C385" s="2"/>
      <c r="D385" s="2"/>
      <c r="E385" s="2"/>
      <c r="F385" s="2"/>
      <c r="G385" s="2"/>
      <c r="H385" s="2"/>
      <c r="I385" s="5"/>
    </row>
    <row r="386" spans="1:9" ht="17.399999999999999" x14ac:dyDescent="0.25">
      <c r="A386" s="16"/>
      <c r="B386" s="17"/>
      <c r="C386" s="2"/>
      <c r="D386" s="2"/>
      <c r="E386" s="2"/>
      <c r="F386" s="2"/>
      <c r="G386" s="2"/>
      <c r="H386" s="2"/>
      <c r="I386" s="5"/>
    </row>
    <row r="387" spans="1:9" ht="17.399999999999999" x14ac:dyDescent="0.25">
      <c r="A387" s="16"/>
      <c r="B387" s="17"/>
      <c r="C387" s="2"/>
      <c r="D387" s="2"/>
      <c r="E387" s="2"/>
      <c r="F387" s="2"/>
      <c r="G387" s="2"/>
      <c r="H387" s="2"/>
      <c r="I387" s="5"/>
    </row>
    <row r="388" spans="1:9" ht="17.399999999999999" x14ac:dyDescent="0.25">
      <c r="A388" s="16"/>
      <c r="B388" s="17"/>
      <c r="C388" s="2"/>
      <c r="D388" s="2"/>
      <c r="E388" s="2"/>
      <c r="F388" s="2"/>
      <c r="G388" s="2"/>
      <c r="H388" s="2"/>
      <c r="I388" s="5"/>
    </row>
    <row r="389" spans="1:9" ht="17.399999999999999" x14ac:dyDescent="0.25">
      <c r="A389" s="16"/>
      <c r="B389" s="17"/>
      <c r="C389" s="2"/>
      <c r="D389" s="2"/>
      <c r="E389" s="2"/>
      <c r="F389" s="2"/>
      <c r="G389" s="2"/>
      <c r="H389" s="2"/>
      <c r="I389" s="5"/>
    </row>
    <row r="390" spans="1:9" ht="17.399999999999999" x14ac:dyDescent="0.25">
      <c r="A390" s="16"/>
      <c r="B390" s="17"/>
      <c r="C390" s="2"/>
      <c r="D390" s="2"/>
      <c r="E390" s="2"/>
      <c r="F390" s="2"/>
      <c r="G390" s="2"/>
      <c r="H390" s="2"/>
      <c r="I390" s="5"/>
    </row>
    <row r="391" spans="1:9" ht="17.399999999999999" x14ac:dyDescent="0.25">
      <c r="A391" s="16"/>
      <c r="B391" s="17"/>
      <c r="C391" s="2"/>
      <c r="D391" s="2"/>
      <c r="E391" s="2"/>
      <c r="F391" s="2"/>
      <c r="G391" s="2"/>
      <c r="H391" s="2"/>
      <c r="I391" s="5"/>
    </row>
    <row r="392" spans="1:9" ht="17.399999999999999" x14ac:dyDescent="0.25">
      <c r="A392" s="16"/>
      <c r="B392" s="17"/>
      <c r="C392" s="2"/>
      <c r="D392" s="2"/>
      <c r="E392" s="2"/>
      <c r="F392" s="2"/>
      <c r="G392" s="2"/>
      <c r="H392" s="2"/>
      <c r="I392" s="5"/>
    </row>
    <row r="393" spans="1:9" ht="17.399999999999999" x14ac:dyDescent="0.25">
      <c r="A393" s="16"/>
      <c r="B393" s="17"/>
      <c r="C393" s="2"/>
      <c r="D393" s="2"/>
      <c r="E393" s="2"/>
      <c r="F393" s="2"/>
      <c r="G393" s="2"/>
      <c r="H393" s="2"/>
      <c r="I393" s="5"/>
    </row>
    <row r="394" spans="1:9" ht="17.399999999999999" x14ac:dyDescent="0.25">
      <c r="A394" s="16"/>
      <c r="B394" s="17"/>
      <c r="C394" s="2"/>
      <c r="D394" s="2"/>
      <c r="E394" s="2"/>
      <c r="F394" s="2"/>
      <c r="G394" s="2"/>
      <c r="H394" s="2"/>
      <c r="I394" s="5"/>
    </row>
    <row r="395" spans="1:9" ht="17.399999999999999" x14ac:dyDescent="0.25">
      <c r="A395" s="16"/>
      <c r="B395" s="17"/>
      <c r="C395" s="2"/>
      <c r="D395" s="2"/>
      <c r="E395" s="2"/>
      <c r="F395" s="2"/>
      <c r="G395" s="2"/>
      <c r="H395" s="2"/>
      <c r="I395" s="5"/>
    </row>
    <row r="396" spans="1:9" ht="17.399999999999999" x14ac:dyDescent="0.25">
      <c r="A396" s="16"/>
      <c r="B396" s="17"/>
      <c r="C396" s="2"/>
      <c r="D396" s="2"/>
      <c r="E396" s="2"/>
      <c r="F396" s="2"/>
      <c r="G396" s="2"/>
      <c r="H396" s="2"/>
      <c r="I396" s="5"/>
    </row>
    <row r="397" spans="1:9" ht="17.399999999999999" x14ac:dyDescent="0.25">
      <c r="A397" s="16"/>
      <c r="B397" s="17"/>
      <c r="C397" s="2"/>
      <c r="D397" s="2"/>
      <c r="E397" s="2"/>
      <c r="F397" s="2"/>
      <c r="G397" s="2"/>
      <c r="H397" s="2"/>
      <c r="I397" s="5"/>
    </row>
    <row r="398" spans="1:9" ht="17.399999999999999" x14ac:dyDescent="0.25">
      <c r="A398" s="16"/>
      <c r="B398" s="17"/>
      <c r="C398" s="2"/>
      <c r="D398" s="2"/>
      <c r="E398" s="2"/>
      <c r="F398" s="2"/>
      <c r="G398" s="2"/>
      <c r="H398" s="2"/>
      <c r="I398" s="5"/>
    </row>
    <row r="399" spans="1:9" ht="17.399999999999999" x14ac:dyDescent="0.25">
      <c r="A399" s="16"/>
      <c r="B399" s="17"/>
      <c r="C399" s="2"/>
      <c r="D399" s="2"/>
      <c r="E399" s="2"/>
      <c r="F399" s="2"/>
      <c r="G399" s="2"/>
      <c r="H399" s="2"/>
      <c r="I399" s="5"/>
    </row>
    <row r="400" spans="1:9" ht="17.399999999999999" x14ac:dyDescent="0.25">
      <c r="A400" s="16"/>
      <c r="B400" s="17"/>
      <c r="C400" s="2"/>
      <c r="D400" s="2"/>
      <c r="E400" s="2"/>
      <c r="F400" s="2"/>
      <c r="G400" s="2"/>
      <c r="H400" s="2"/>
      <c r="I400" s="5"/>
    </row>
    <row r="401" spans="1:9" ht="17.399999999999999" x14ac:dyDescent="0.25">
      <c r="A401" s="16"/>
      <c r="B401" s="17"/>
      <c r="C401" s="2"/>
      <c r="D401" s="2"/>
      <c r="E401" s="2"/>
      <c r="F401" s="2"/>
      <c r="G401" s="2"/>
      <c r="H401" s="2"/>
      <c r="I401" s="5"/>
    </row>
    <row r="402" spans="1:9" ht="17.399999999999999" x14ac:dyDescent="0.25">
      <c r="A402" s="16"/>
      <c r="B402" s="17"/>
      <c r="C402" s="2"/>
      <c r="D402" s="2"/>
      <c r="E402" s="2"/>
      <c r="F402" s="2"/>
      <c r="G402" s="2"/>
      <c r="H402" s="2"/>
      <c r="I402" s="5"/>
    </row>
    <row r="403" spans="1:9" ht="17.399999999999999" x14ac:dyDescent="0.25">
      <c r="A403" s="16"/>
      <c r="B403" s="17"/>
      <c r="C403" s="2"/>
      <c r="D403" s="2"/>
      <c r="E403" s="2"/>
      <c r="F403" s="2"/>
      <c r="G403" s="2"/>
      <c r="H403" s="2"/>
      <c r="I403" s="5"/>
    </row>
    <row r="404" spans="1:9" ht="17.399999999999999" x14ac:dyDescent="0.25">
      <c r="A404" s="16"/>
      <c r="B404" s="17"/>
      <c r="C404" s="2"/>
      <c r="D404" s="2"/>
      <c r="E404" s="2"/>
      <c r="F404" s="2"/>
      <c r="G404" s="2"/>
      <c r="H404" s="2"/>
      <c r="I404" s="5"/>
    </row>
    <row r="405" spans="1:9" ht="17.399999999999999" x14ac:dyDescent="0.25">
      <c r="A405" s="16"/>
      <c r="B405" s="17"/>
      <c r="C405" s="2"/>
      <c r="D405" s="2"/>
      <c r="E405" s="2"/>
      <c r="F405" s="2"/>
      <c r="G405" s="2"/>
      <c r="H405" s="2"/>
      <c r="I405" s="5"/>
    </row>
    <row r="406" spans="1:9" ht="17.399999999999999" x14ac:dyDescent="0.25">
      <c r="A406" s="16"/>
      <c r="B406" s="17"/>
      <c r="C406" s="2"/>
      <c r="D406" s="2"/>
      <c r="E406" s="2"/>
      <c r="F406" s="2"/>
      <c r="G406" s="2"/>
      <c r="H406" s="2"/>
      <c r="I406" s="5"/>
    </row>
    <row r="407" spans="1:9" ht="17.399999999999999" x14ac:dyDescent="0.25">
      <c r="A407" s="16"/>
      <c r="B407" s="17"/>
      <c r="C407" s="2"/>
      <c r="D407" s="2"/>
      <c r="E407" s="2"/>
      <c r="F407" s="2"/>
      <c r="G407" s="2"/>
      <c r="H407" s="2"/>
      <c r="I407" s="5"/>
    </row>
    <row r="408" spans="1:9" ht="17.399999999999999" x14ac:dyDescent="0.25">
      <c r="A408" s="16"/>
      <c r="B408" s="17"/>
      <c r="C408" s="2"/>
      <c r="D408" s="2"/>
      <c r="E408" s="2"/>
      <c r="F408" s="2"/>
      <c r="G408" s="2"/>
      <c r="H408" s="2"/>
      <c r="I408" s="5"/>
    </row>
    <row r="409" spans="1:9" ht="17.399999999999999" x14ac:dyDescent="0.25">
      <c r="A409" s="16"/>
      <c r="B409" s="17"/>
      <c r="C409" s="2"/>
      <c r="D409" s="2"/>
      <c r="E409" s="2"/>
      <c r="F409" s="2"/>
      <c r="G409" s="2"/>
      <c r="H409" s="2"/>
      <c r="I409" s="5"/>
    </row>
    <row r="410" spans="1:9" ht="17.399999999999999" x14ac:dyDescent="0.25">
      <c r="A410" s="16"/>
      <c r="B410" s="17"/>
      <c r="C410" s="2"/>
      <c r="D410" s="2"/>
      <c r="E410" s="2"/>
      <c r="F410" s="2"/>
      <c r="G410" s="2"/>
      <c r="H410" s="2"/>
      <c r="I410" s="5"/>
    </row>
    <row r="411" spans="1:9" ht="17.399999999999999" x14ac:dyDescent="0.25">
      <c r="A411" s="16"/>
      <c r="B411" s="17"/>
      <c r="C411" s="2"/>
      <c r="D411" s="2"/>
      <c r="E411" s="2"/>
      <c r="F411" s="2"/>
      <c r="G411" s="2"/>
      <c r="H411" s="2"/>
      <c r="I411" s="5"/>
    </row>
    <row r="412" spans="1:9" ht="17.399999999999999" x14ac:dyDescent="0.25">
      <c r="A412" s="16"/>
      <c r="B412" s="17"/>
      <c r="C412" s="2"/>
      <c r="D412" s="2"/>
      <c r="E412" s="2"/>
      <c r="F412" s="2"/>
      <c r="G412" s="2"/>
      <c r="H412" s="2"/>
      <c r="I412" s="5"/>
    </row>
    <row r="413" spans="1:9" ht="17.399999999999999" x14ac:dyDescent="0.25">
      <c r="A413" s="16"/>
      <c r="B413" s="17"/>
      <c r="C413" s="2"/>
      <c r="D413" s="2"/>
      <c r="E413" s="2"/>
      <c r="F413" s="2"/>
      <c r="G413" s="2"/>
      <c r="H413" s="2"/>
      <c r="I413" s="5"/>
    </row>
    <row r="414" spans="1:9" ht="17.399999999999999" x14ac:dyDescent="0.25">
      <c r="A414" s="16"/>
      <c r="B414" s="17"/>
      <c r="C414" s="2"/>
      <c r="D414" s="2"/>
      <c r="E414" s="2"/>
      <c r="F414" s="2"/>
      <c r="G414" s="2"/>
      <c r="H414" s="2"/>
      <c r="I414" s="5"/>
    </row>
    <row r="415" spans="1:9" ht="17.399999999999999" x14ac:dyDescent="0.25">
      <c r="A415" s="16"/>
      <c r="B415" s="17"/>
      <c r="C415" s="2"/>
      <c r="D415" s="2"/>
      <c r="E415" s="2"/>
      <c r="F415" s="2"/>
      <c r="G415" s="2"/>
      <c r="H415" s="2"/>
      <c r="I415" s="5"/>
    </row>
    <row r="416" spans="1:9" ht="17.399999999999999" x14ac:dyDescent="0.25">
      <c r="A416" s="16"/>
      <c r="B416" s="17"/>
      <c r="C416" s="2"/>
      <c r="D416" s="2"/>
      <c r="E416" s="2"/>
      <c r="F416" s="2"/>
      <c r="G416" s="2"/>
      <c r="H416" s="2"/>
      <c r="I416" s="5"/>
    </row>
    <row r="417" spans="1:9" ht="17.399999999999999" x14ac:dyDescent="0.25">
      <c r="A417" s="16"/>
      <c r="B417" s="17"/>
      <c r="C417" s="2"/>
      <c r="D417" s="2"/>
      <c r="E417" s="2"/>
      <c r="F417" s="2"/>
      <c r="G417" s="2"/>
      <c r="H417" s="2"/>
      <c r="I417" s="5"/>
    </row>
    <row r="418" spans="1:9" ht="17.399999999999999" x14ac:dyDescent="0.25">
      <c r="A418" s="16"/>
      <c r="B418" s="17"/>
      <c r="C418" s="2"/>
      <c r="D418" s="2"/>
      <c r="E418" s="2"/>
      <c r="F418" s="2"/>
      <c r="G418" s="2"/>
      <c r="H418" s="2"/>
      <c r="I418" s="5"/>
    </row>
    <row r="419" spans="1:9" ht="17.399999999999999" x14ac:dyDescent="0.25">
      <c r="A419" s="16"/>
      <c r="B419" s="17"/>
      <c r="C419" s="2"/>
      <c r="D419" s="2"/>
      <c r="E419" s="2"/>
      <c r="F419" s="2"/>
      <c r="G419" s="2"/>
      <c r="H419" s="2"/>
      <c r="I419" s="5"/>
    </row>
    <row r="420" spans="1:9" ht="17.399999999999999" x14ac:dyDescent="0.25">
      <c r="A420" s="16"/>
      <c r="B420" s="17"/>
      <c r="C420" s="2"/>
      <c r="D420" s="2"/>
      <c r="E420" s="2"/>
      <c r="F420" s="2"/>
      <c r="G420" s="2"/>
      <c r="H420" s="2"/>
      <c r="I420" s="5"/>
    </row>
    <row r="421" spans="1:9" ht="17.399999999999999" x14ac:dyDescent="0.25">
      <c r="A421" s="16"/>
      <c r="B421" s="17"/>
      <c r="C421" s="2"/>
      <c r="D421" s="2"/>
      <c r="E421" s="2"/>
      <c r="F421" s="2"/>
      <c r="G421" s="2"/>
      <c r="H421" s="2"/>
      <c r="I421" s="5"/>
    </row>
    <row r="422" spans="1:9" ht="17.399999999999999" x14ac:dyDescent="0.25">
      <c r="A422" s="16"/>
      <c r="B422" s="17"/>
      <c r="C422" s="2"/>
      <c r="D422" s="2"/>
      <c r="E422" s="2"/>
      <c r="F422" s="2"/>
      <c r="G422" s="2"/>
      <c r="H422" s="2"/>
      <c r="I422" s="5"/>
    </row>
    <row r="423" spans="1:9" ht="17.399999999999999" x14ac:dyDescent="0.25">
      <c r="A423" s="16"/>
      <c r="B423" s="17"/>
      <c r="C423" s="2"/>
      <c r="D423" s="2"/>
      <c r="E423" s="2"/>
      <c r="F423" s="2"/>
      <c r="G423" s="2"/>
      <c r="H423" s="2"/>
      <c r="I423" s="5"/>
    </row>
    <row r="424" spans="1:9" ht="17.399999999999999" x14ac:dyDescent="0.25">
      <c r="A424" s="16"/>
      <c r="B424" s="17"/>
      <c r="C424" s="2"/>
      <c r="D424" s="2"/>
      <c r="E424" s="2"/>
      <c r="F424" s="2"/>
      <c r="G424" s="2"/>
      <c r="H424" s="2"/>
      <c r="I424" s="5"/>
    </row>
    <row r="425" spans="1:9" ht="17.399999999999999" x14ac:dyDescent="0.25">
      <c r="A425" s="16"/>
      <c r="B425" s="17"/>
      <c r="C425" s="2"/>
      <c r="D425" s="2"/>
      <c r="E425" s="2"/>
      <c r="F425" s="2"/>
      <c r="G425" s="2"/>
      <c r="H425" s="2"/>
      <c r="I425" s="5"/>
    </row>
    <row r="426" spans="1:9" ht="17.399999999999999" x14ac:dyDescent="0.25">
      <c r="A426" s="16"/>
      <c r="B426" s="17"/>
      <c r="C426" s="2"/>
      <c r="D426" s="2"/>
      <c r="E426" s="2"/>
      <c r="F426" s="2"/>
      <c r="G426" s="2"/>
      <c r="H426" s="2"/>
      <c r="I426" s="5"/>
    </row>
    <row r="427" spans="1:9" ht="17.399999999999999" x14ac:dyDescent="0.25">
      <c r="A427" s="16"/>
      <c r="B427" s="17"/>
      <c r="C427" s="2"/>
      <c r="D427" s="2"/>
      <c r="E427" s="2"/>
      <c r="F427" s="2"/>
      <c r="G427" s="2"/>
      <c r="H427" s="2"/>
      <c r="I427" s="5"/>
    </row>
    <row r="428" spans="1:9" ht="17.399999999999999" x14ac:dyDescent="0.25">
      <c r="A428" s="16"/>
      <c r="B428" s="17"/>
      <c r="C428" s="2"/>
      <c r="D428" s="2"/>
      <c r="E428" s="2"/>
      <c r="F428" s="2"/>
      <c r="G428" s="2"/>
      <c r="H428" s="2"/>
      <c r="I428" s="5"/>
    </row>
    <row r="429" spans="1:9" ht="17.399999999999999" x14ac:dyDescent="0.25">
      <c r="A429" s="16"/>
      <c r="B429" s="17"/>
      <c r="C429" s="2"/>
      <c r="D429" s="2"/>
      <c r="E429" s="2"/>
      <c r="F429" s="2"/>
      <c r="G429" s="2"/>
      <c r="H429" s="2"/>
      <c r="I429" s="5"/>
    </row>
    <row r="430" spans="1:9" ht="17.399999999999999" x14ac:dyDescent="0.25">
      <c r="A430" s="16"/>
      <c r="B430" s="17"/>
      <c r="C430" s="2"/>
      <c r="D430" s="2"/>
      <c r="E430" s="2"/>
      <c r="F430" s="2"/>
      <c r="G430" s="2"/>
      <c r="H430" s="2"/>
      <c r="I430" s="5"/>
    </row>
    <row r="431" spans="1:9" ht="17.399999999999999" x14ac:dyDescent="0.25">
      <c r="A431" s="16"/>
      <c r="B431" s="17"/>
      <c r="C431" s="2"/>
      <c r="D431" s="2"/>
      <c r="E431" s="2"/>
      <c r="F431" s="2"/>
      <c r="G431" s="2"/>
      <c r="H431" s="2"/>
      <c r="I431" s="5"/>
    </row>
    <row r="432" spans="1:9" ht="17.399999999999999" x14ac:dyDescent="0.25">
      <c r="A432" s="16"/>
      <c r="B432" s="17"/>
      <c r="C432" s="2"/>
      <c r="D432" s="2"/>
      <c r="E432" s="2"/>
      <c r="F432" s="2"/>
      <c r="G432" s="2"/>
      <c r="H432" s="2"/>
      <c r="I432" s="5"/>
    </row>
    <row r="433" spans="1:9" ht="17.399999999999999" x14ac:dyDescent="0.25">
      <c r="A433" s="16"/>
      <c r="B433" s="17"/>
      <c r="C433" s="2"/>
      <c r="D433" s="2"/>
      <c r="E433" s="2"/>
      <c r="F433" s="2"/>
      <c r="G433" s="2"/>
      <c r="H433" s="2"/>
      <c r="I433" s="5"/>
    </row>
    <row r="434" spans="1:9" ht="17.399999999999999" x14ac:dyDescent="0.25">
      <c r="A434" s="16"/>
      <c r="B434" s="17"/>
      <c r="C434" s="2"/>
      <c r="D434" s="2"/>
      <c r="E434" s="2"/>
      <c r="F434" s="2"/>
      <c r="G434" s="2"/>
      <c r="H434" s="2"/>
      <c r="I434" s="5"/>
    </row>
    <row r="435" spans="1:9" ht="17.399999999999999" x14ac:dyDescent="0.25">
      <c r="A435" s="16"/>
      <c r="B435" s="17"/>
      <c r="C435" s="2"/>
      <c r="D435" s="2"/>
      <c r="E435" s="2"/>
      <c r="F435" s="2"/>
      <c r="G435" s="2"/>
      <c r="H435" s="2"/>
      <c r="I435" s="5"/>
    </row>
    <row r="436" spans="1:9" ht="17.399999999999999" x14ac:dyDescent="0.25">
      <c r="A436" s="16"/>
      <c r="B436" s="17"/>
      <c r="C436" s="2"/>
      <c r="D436" s="2"/>
      <c r="E436" s="2"/>
      <c r="F436" s="2"/>
      <c r="G436" s="2"/>
      <c r="H436" s="2"/>
      <c r="I436" s="5"/>
    </row>
    <row r="437" spans="1:9" ht="17.399999999999999" x14ac:dyDescent="0.25">
      <c r="A437" s="16"/>
      <c r="B437" s="17"/>
      <c r="C437" s="2"/>
      <c r="D437" s="2"/>
      <c r="E437" s="2"/>
      <c r="F437" s="2"/>
      <c r="G437" s="2"/>
      <c r="H437" s="2"/>
      <c r="I437" s="5"/>
    </row>
    <row r="438" spans="1:9" ht="17.399999999999999" x14ac:dyDescent="0.25">
      <c r="A438" s="16"/>
      <c r="B438" s="17"/>
      <c r="C438" s="2"/>
      <c r="D438" s="2"/>
      <c r="E438" s="2"/>
      <c r="F438" s="2"/>
      <c r="G438" s="2"/>
      <c r="H438" s="2"/>
      <c r="I438" s="5"/>
    </row>
    <row r="439" spans="1:9" ht="17.399999999999999" x14ac:dyDescent="0.25">
      <c r="A439" s="16"/>
      <c r="B439" s="17"/>
      <c r="C439" s="2"/>
      <c r="D439" s="2"/>
      <c r="E439" s="2"/>
      <c r="F439" s="2"/>
      <c r="G439" s="2"/>
      <c r="H439" s="2"/>
      <c r="I439" s="5"/>
    </row>
    <row r="440" spans="1:9" ht="17.399999999999999" x14ac:dyDescent="0.25">
      <c r="A440" s="16"/>
      <c r="B440" s="17"/>
      <c r="C440" s="2"/>
      <c r="D440" s="2"/>
      <c r="E440" s="2"/>
      <c r="F440" s="2"/>
      <c r="G440" s="2"/>
      <c r="H440" s="2"/>
      <c r="I440" s="5"/>
    </row>
    <row r="441" spans="1:9" ht="17.399999999999999" x14ac:dyDescent="0.25">
      <c r="A441" s="16"/>
      <c r="B441" s="17"/>
      <c r="C441" s="2"/>
      <c r="D441" s="2"/>
      <c r="E441" s="2"/>
      <c r="F441" s="2"/>
      <c r="G441" s="2"/>
      <c r="H441" s="2"/>
      <c r="I441" s="5"/>
    </row>
    <row r="442" spans="1:9" ht="17.399999999999999" x14ac:dyDescent="0.25">
      <c r="A442" s="16"/>
      <c r="B442" s="17"/>
      <c r="C442" s="2"/>
      <c r="D442" s="2"/>
      <c r="E442" s="2"/>
      <c r="F442" s="2"/>
      <c r="G442" s="2"/>
      <c r="H442" s="2"/>
      <c r="I442" s="5"/>
    </row>
    <row r="443" spans="1:9" ht="17.399999999999999" x14ac:dyDescent="0.25">
      <c r="A443" s="16"/>
      <c r="B443" s="17"/>
      <c r="C443" s="2"/>
      <c r="D443" s="2"/>
      <c r="E443" s="2"/>
      <c r="F443" s="2"/>
      <c r="G443" s="2"/>
      <c r="H443" s="2"/>
      <c r="I443" s="5"/>
    </row>
    <row r="444" spans="1:9" ht="17.399999999999999" x14ac:dyDescent="0.25">
      <c r="A444" s="16"/>
      <c r="B444" s="17"/>
      <c r="C444" s="2"/>
      <c r="D444" s="2"/>
      <c r="E444" s="2"/>
      <c r="F444" s="2"/>
      <c r="G444" s="2"/>
      <c r="H444" s="2"/>
      <c r="I444" s="5"/>
    </row>
    <row r="445" spans="1:9" ht="17.399999999999999" x14ac:dyDescent="0.25">
      <c r="A445" s="16"/>
      <c r="B445" s="17"/>
      <c r="C445" s="2"/>
      <c r="D445" s="2"/>
      <c r="E445" s="2"/>
      <c r="F445" s="2"/>
      <c r="G445" s="2"/>
      <c r="H445" s="2"/>
      <c r="I445" s="5"/>
    </row>
    <row r="446" spans="1:9" ht="17.399999999999999" x14ac:dyDescent="0.25">
      <c r="A446" s="16"/>
      <c r="B446" s="17"/>
      <c r="C446" s="2"/>
      <c r="D446" s="2"/>
      <c r="E446" s="2"/>
      <c r="F446" s="2"/>
      <c r="G446" s="2"/>
      <c r="H446" s="2"/>
      <c r="I446" s="5"/>
    </row>
    <row r="447" spans="1:9" ht="17.399999999999999" x14ac:dyDescent="0.25">
      <c r="A447" s="16"/>
      <c r="B447" s="17"/>
      <c r="C447" s="2"/>
      <c r="D447" s="2"/>
      <c r="E447" s="2"/>
      <c r="F447" s="2"/>
      <c r="G447" s="2"/>
      <c r="H447" s="2"/>
      <c r="I447" s="5"/>
    </row>
    <row r="448" spans="1:9" ht="17.399999999999999" x14ac:dyDescent="0.25">
      <c r="A448" s="16"/>
      <c r="B448" s="17"/>
      <c r="C448" s="2"/>
      <c r="D448" s="2"/>
      <c r="E448" s="2"/>
      <c r="F448" s="2"/>
      <c r="G448" s="2"/>
      <c r="H448" s="2"/>
      <c r="I448" s="5"/>
    </row>
    <row r="449" spans="1:9" ht="17.399999999999999" x14ac:dyDescent="0.25">
      <c r="A449" s="16"/>
      <c r="B449" s="17"/>
      <c r="C449" s="2"/>
      <c r="D449" s="2"/>
      <c r="E449" s="2"/>
      <c r="F449" s="2"/>
      <c r="G449" s="2"/>
      <c r="H449" s="2"/>
      <c r="I449" s="5"/>
    </row>
    <row r="450" spans="1:9" ht="17.399999999999999" x14ac:dyDescent="0.25">
      <c r="A450" s="16"/>
      <c r="B450" s="17"/>
      <c r="C450" s="2"/>
      <c r="D450" s="2"/>
      <c r="E450" s="2"/>
      <c r="F450" s="2"/>
      <c r="G450" s="2"/>
      <c r="H450" s="2"/>
      <c r="I450" s="5"/>
    </row>
    <row r="451" spans="1:9" ht="17.399999999999999" x14ac:dyDescent="0.25">
      <c r="A451" s="16"/>
      <c r="B451" s="17"/>
      <c r="C451" s="2"/>
      <c r="D451" s="2"/>
      <c r="E451" s="2"/>
      <c r="F451" s="2"/>
      <c r="G451" s="2"/>
      <c r="H451" s="2"/>
      <c r="I451" s="5"/>
    </row>
    <row r="452" spans="1:9" ht="17.399999999999999" x14ac:dyDescent="0.25">
      <c r="A452" s="16"/>
      <c r="B452" s="17"/>
      <c r="C452" s="2"/>
      <c r="D452" s="2"/>
      <c r="E452" s="2"/>
      <c r="F452" s="2"/>
      <c r="G452" s="2"/>
      <c r="H452" s="2"/>
      <c r="I452" s="5"/>
    </row>
    <row r="453" spans="1:9" ht="17.399999999999999" x14ac:dyDescent="0.25">
      <c r="A453" s="16"/>
      <c r="B453" s="17"/>
      <c r="C453" s="2"/>
      <c r="D453" s="2"/>
      <c r="E453" s="2"/>
      <c r="F453" s="2"/>
      <c r="G453" s="2"/>
      <c r="H453" s="2"/>
      <c r="I453" s="5"/>
    </row>
    <row r="454" spans="1:9" ht="17.399999999999999" x14ac:dyDescent="0.25">
      <c r="A454" s="16"/>
      <c r="B454" s="17"/>
      <c r="C454" s="2"/>
      <c r="D454" s="2"/>
      <c r="E454" s="2"/>
      <c r="F454" s="2"/>
      <c r="G454" s="2"/>
      <c r="H454" s="2"/>
      <c r="I454" s="5"/>
    </row>
    <row r="455" spans="1:9" ht="17.399999999999999" x14ac:dyDescent="0.25">
      <c r="A455" s="16"/>
      <c r="B455" s="17"/>
      <c r="C455" s="2"/>
      <c r="D455" s="2"/>
      <c r="E455" s="2"/>
      <c r="F455" s="2"/>
      <c r="G455" s="2"/>
      <c r="H455" s="2"/>
      <c r="I455" s="5"/>
    </row>
    <row r="456" spans="1:9" ht="17.399999999999999" x14ac:dyDescent="0.25">
      <c r="A456" s="16"/>
      <c r="B456" s="17"/>
      <c r="C456" s="2"/>
      <c r="D456" s="2"/>
      <c r="E456" s="2"/>
      <c r="F456" s="2"/>
      <c r="G456" s="2"/>
      <c r="H456" s="2"/>
      <c r="I456" s="5"/>
    </row>
    <row r="457" spans="1:9" ht="17.399999999999999" x14ac:dyDescent="0.25">
      <c r="A457" s="16"/>
      <c r="B457" s="17"/>
      <c r="C457" s="2"/>
      <c r="D457" s="2"/>
      <c r="E457" s="2"/>
      <c r="F457" s="2"/>
      <c r="G457" s="2"/>
      <c r="H457" s="2"/>
      <c r="I457" s="5"/>
    </row>
    <row r="458" spans="1:9" ht="17.399999999999999" x14ac:dyDescent="0.25">
      <c r="A458" s="16"/>
      <c r="B458" s="17"/>
      <c r="C458" s="2"/>
      <c r="D458" s="2"/>
      <c r="E458" s="2"/>
      <c r="F458" s="2"/>
      <c r="G458" s="2"/>
      <c r="H458" s="2"/>
      <c r="I458" s="5"/>
    </row>
    <row r="459" spans="1:9" ht="17.399999999999999" x14ac:dyDescent="0.25">
      <c r="A459" s="16"/>
      <c r="B459" s="17"/>
      <c r="C459" s="2"/>
      <c r="D459" s="2"/>
      <c r="E459" s="2"/>
      <c r="F459" s="2"/>
      <c r="G459" s="2"/>
      <c r="H459" s="2"/>
      <c r="I459" s="5"/>
    </row>
    <row r="460" spans="1:9" ht="17.399999999999999" x14ac:dyDescent="0.25">
      <c r="A460" s="16"/>
      <c r="B460" s="17"/>
      <c r="C460" s="2"/>
      <c r="D460" s="2"/>
      <c r="E460" s="2"/>
      <c r="F460" s="2"/>
      <c r="G460" s="2"/>
      <c r="H460" s="2"/>
      <c r="I460" s="5"/>
    </row>
    <row r="461" spans="1:9" ht="17.399999999999999" x14ac:dyDescent="0.25">
      <c r="A461" s="16"/>
      <c r="B461" s="17"/>
      <c r="C461" s="2"/>
      <c r="D461" s="2"/>
      <c r="E461" s="2"/>
      <c r="F461" s="2"/>
      <c r="G461" s="2"/>
      <c r="H461" s="2"/>
      <c r="I461" s="5"/>
    </row>
    <row r="462" spans="1:9" ht="17.399999999999999" x14ac:dyDescent="0.25">
      <c r="A462" s="16"/>
      <c r="B462" s="17"/>
      <c r="C462" s="2"/>
      <c r="D462" s="2"/>
      <c r="E462" s="2"/>
      <c r="F462" s="2"/>
      <c r="G462" s="2"/>
      <c r="H462" s="2"/>
      <c r="I462" s="5"/>
    </row>
    <row r="463" spans="1:9" ht="17.399999999999999" x14ac:dyDescent="0.25">
      <c r="A463" s="16"/>
      <c r="B463" s="17"/>
      <c r="C463" s="2"/>
      <c r="D463" s="2"/>
      <c r="E463" s="2"/>
      <c r="F463" s="2"/>
      <c r="G463" s="2"/>
      <c r="H463" s="2"/>
      <c r="I463" s="5"/>
    </row>
    <row r="464" spans="1:9" ht="17.399999999999999" x14ac:dyDescent="0.25">
      <c r="A464" s="16"/>
      <c r="B464" s="17"/>
      <c r="C464" s="2"/>
      <c r="D464" s="2"/>
      <c r="E464" s="2"/>
      <c r="F464" s="2"/>
      <c r="G464" s="2"/>
      <c r="H464" s="2"/>
      <c r="I464" s="5"/>
    </row>
    <row r="465" spans="1:9" ht="17.399999999999999" x14ac:dyDescent="0.25">
      <c r="A465" s="16"/>
      <c r="B465" s="17"/>
      <c r="C465" s="2"/>
      <c r="D465" s="2"/>
      <c r="E465" s="2"/>
      <c r="F465" s="2"/>
      <c r="G465" s="2"/>
      <c r="H465" s="2"/>
      <c r="I465" s="5"/>
    </row>
    <row r="466" spans="1:9" ht="17.399999999999999" x14ac:dyDescent="0.25">
      <c r="A466" s="16"/>
      <c r="B466" s="17"/>
      <c r="C466" s="2"/>
      <c r="D466" s="2"/>
      <c r="E466" s="2"/>
      <c r="F466" s="2"/>
      <c r="G466" s="2"/>
      <c r="H466" s="2"/>
      <c r="I466" s="5"/>
    </row>
    <row r="467" spans="1:9" ht="17.399999999999999" x14ac:dyDescent="0.25">
      <c r="A467" s="16"/>
      <c r="B467" s="17"/>
      <c r="C467" s="2"/>
      <c r="D467" s="2"/>
      <c r="E467" s="2"/>
      <c r="F467" s="2"/>
      <c r="G467" s="2"/>
      <c r="H467" s="2"/>
      <c r="I467" s="5"/>
    </row>
    <row r="468" spans="1:9" ht="17.399999999999999" x14ac:dyDescent="0.25">
      <c r="A468" s="16"/>
      <c r="B468" s="17"/>
      <c r="C468" s="2"/>
      <c r="D468" s="2"/>
      <c r="E468" s="2"/>
      <c r="F468" s="2"/>
      <c r="G468" s="2"/>
      <c r="H468" s="2"/>
      <c r="I468" s="5"/>
    </row>
    <row r="469" spans="1:9" ht="17.399999999999999" x14ac:dyDescent="0.25">
      <c r="A469" s="16"/>
      <c r="B469" s="17"/>
      <c r="C469" s="2"/>
      <c r="D469" s="2"/>
      <c r="E469" s="2"/>
      <c r="F469" s="2"/>
      <c r="G469" s="2"/>
      <c r="H469" s="2"/>
      <c r="I469" s="5"/>
    </row>
    <row r="470" spans="1:9" ht="17.399999999999999" x14ac:dyDescent="0.25">
      <c r="A470" s="16"/>
      <c r="B470" s="17"/>
      <c r="C470" s="2"/>
      <c r="D470" s="2"/>
      <c r="E470" s="2"/>
      <c r="F470" s="2"/>
      <c r="G470" s="2"/>
      <c r="H470" s="2"/>
      <c r="I470" s="5"/>
    </row>
    <row r="471" spans="1:9" ht="17.399999999999999" x14ac:dyDescent="0.25">
      <c r="A471" s="16"/>
      <c r="B471" s="17"/>
      <c r="C471" s="2"/>
      <c r="D471" s="2"/>
      <c r="E471" s="2"/>
      <c r="F471" s="2"/>
      <c r="G471" s="2"/>
      <c r="H471" s="2"/>
      <c r="I471" s="5"/>
    </row>
    <row r="472" spans="1:9" ht="17.399999999999999" x14ac:dyDescent="0.25">
      <c r="A472" s="16"/>
      <c r="B472" s="17"/>
      <c r="C472" s="2"/>
      <c r="D472" s="2"/>
      <c r="E472" s="2"/>
      <c r="F472" s="2"/>
      <c r="G472" s="2"/>
      <c r="H472" s="2"/>
      <c r="I472" s="5"/>
    </row>
    <row r="473" spans="1:9" ht="17.399999999999999" x14ac:dyDescent="0.25">
      <c r="A473" s="16"/>
      <c r="B473" s="17"/>
      <c r="C473" s="2"/>
      <c r="D473" s="2"/>
      <c r="E473" s="2"/>
      <c r="F473" s="2"/>
      <c r="G473" s="2"/>
      <c r="H473" s="2"/>
      <c r="I473" s="5"/>
    </row>
    <row r="474" spans="1:9" ht="17.399999999999999" x14ac:dyDescent="0.25">
      <c r="A474" s="16"/>
      <c r="B474" s="17"/>
      <c r="C474" s="2"/>
      <c r="D474" s="2"/>
      <c r="E474" s="2"/>
      <c r="F474" s="2"/>
      <c r="G474" s="2"/>
      <c r="H474" s="2"/>
      <c r="I474" s="5"/>
    </row>
    <row r="475" spans="1:9" ht="17.399999999999999" x14ac:dyDescent="0.25">
      <c r="A475" s="16"/>
      <c r="B475" s="17"/>
      <c r="C475" s="2"/>
      <c r="D475" s="2"/>
      <c r="E475" s="2"/>
      <c r="F475" s="2"/>
      <c r="G475" s="2"/>
      <c r="H475" s="2"/>
      <c r="I475" s="5"/>
    </row>
    <row r="476" spans="1:9" ht="17.399999999999999" x14ac:dyDescent="0.25">
      <c r="A476" s="16"/>
      <c r="B476" s="17"/>
      <c r="C476" s="2"/>
      <c r="D476" s="2"/>
      <c r="E476" s="2"/>
      <c r="F476" s="2"/>
      <c r="G476" s="2"/>
      <c r="H476" s="2"/>
      <c r="I476" s="5"/>
    </row>
    <row r="477" spans="1:9" ht="17.399999999999999" x14ac:dyDescent="0.25">
      <c r="A477" s="16"/>
      <c r="B477" s="17"/>
      <c r="C477" s="2"/>
      <c r="D477" s="2"/>
      <c r="E477" s="2"/>
      <c r="F477" s="2"/>
      <c r="G477" s="2"/>
      <c r="H477" s="2"/>
      <c r="I477" s="5"/>
    </row>
    <row r="478" spans="1:9" ht="17.399999999999999" x14ac:dyDescent="0.25">
      <c r="A478" s="16"/>
      <c r="B478" s="17"/>
      <c r="C478" s="2"/>
      <c r="D478" s="2"/>
      <c r="E478" s="2"/>
      <c r="F478" s="2"/>
      <c r="G478" s="2"/>
      <c r="H478" s="2"/>
      <c r="I478" s="5"/>
    </row>
    <row r="479" spans="1:9" ht="17.399999999999999" x14ac:dyDescent="0.25">
      <c r="A479" s="16"/>
      <c r="B479" s="17"/>
      <c r="C479" s="2"/>
      <c r="D479" s="2"/>
      <c r="E479" s="2"/>
      <c r="F479" s="2"/>
      <c r="G479" s="2"/>
      <c r="H479" s="2"/>
      <c r="I479" s="5"/>
    </row>
    <row r="480" spans="1:9" ht="17.399999999999999" x14ac:dyDescent="0.25">
      <c r="A480" s="16"/>
      <c r="B480" s="17"/>
      <c r="C480" s="2"/>
      <c r="D480" s="2"/>
      <c r="E480" s="2"/>
      <c r="F480" s="2"/>
      <c r="G480" s="2"/>
      <c r="H480" s="2"/>
      <c r="I480" s="5"/>
    </row>
    <row r="481" spans="1:9" ht="17.399999999999999" x14ac:dyDescent="0.25">
      <c r="A481" s="16"/>
      <c r="B481" s="17"/>
      <c r="C481" s="2"/>
      <c r="D481" s="2"/>
      <c r="E481" s="2"/>
      <c r="F481" s="2"/>
      <c r="G481" s="2"/>
      <c r="H481" s="2"/>
      <c r="I481" s="5"/>
    </row>
    <row r="482" spans="1:9" ht="17.399999999999999" x14ac:dyDescent="0.25">
      <c r="A482" s="16"/>
      <c r="B482" s="17"/>
      <c r="C482" s="2"/>
      <c r="D482" s="2"/>
      <c r="E482" s="2"/>
      <c r="F482" s="2"/>
      <c r="G482" s="2"/>
      <c r="H482" s="2"/>
      <c r="I482" s="5"/>
    </row>
    <row r="483" spans="1:9" ht="17.399999999999999" x14ac:dyDescent="0.25">
      <c r="A483" s="16"/>
      <c r="B483" s="17"/>
      <c r="C483" s="2"/>
      <c r="D483" s="2"/>
      <c r="E483" s="2"/>
      <c r="F483" s="2"/>
      <c r="G483" s="2"/>
      <c r="H483" s="2"/>
      <c r="I483" s="5"/>
    </row>
    <row r="484" spans="1:9" ht="17.399999999999999" x14ac:dyDescent="0.25">
      <c r="A484" s="16"/>
      <c r="B484" s="17"/>
      <c r="C484" s="2"/>
      <c r="D484" s="2"/>
      <c r="E484" s="2"/>
      <c r="F484" s="2"/>
      <c r="G484" s="2"/>
      <c r="H484" s="2"/>
      <c r="I484" s="5"/>
    </row>
    <row r="485" spans="1:9" ht="17.399999999999999" x14ac:dyDescent="0.25">
      <c r="A485" s="16"/>
      <c r="B485" s="17"/>
      <c r="C485" s="2"/>
      <c r="D485" s="2"/>
      <c r="E485" s="2"/>
      <c r="F485" s="2"/>
      <c r="G485" s="2"/>
      <c r="H485" s="2"/>
      <c r="I485" s="5"/>
    </row>
    <row r="486" spans="1:9" ht="17.399999999999999" x14ac:dyDescent="0.25">
      <c r="A486" s="16"/>
      <c r="B486" s="17"/>
      <c r="C486" s="2"/>
      <c r="D486" s="2"/>
      <c r="E486" s="2"/>
      <c r="F486" s="2"/>
      <c r="G486" s="2"/>
      <c r="H486" s="2"/>
      <c r="I486" s="5"/>
    </row>
    <row r="487" spans="1:9" ht="17.399999999999999" x14ac:dyDescent="0.25">
      <c r="A487" s="16"/>
      <c r="B487" s="17"/>
      <c r="C487" s="2"/>
      <c r="D487" s="2"/>
      <c r="E487" s="2"/>
      <c r="F487" s="2"/>
      <c r="G487" s="2"/>
      <c r="H487" s="2"/>
      <c r="I487" s="5"/>
    </row>
    <row r="488" spans="1:9" ht="17.399999999999999" x14ac:dyDescent="0.25">
      <c r="A488" s="16"/>
      <c r="B488" s="17"/>
      <c r="C488" s="2"/>
      <c r="D488" s="2"/>
      <c r="E488" s="2"/>
      <c r="F488" s="2"/>
      <c r="G488" s="2"/>
      <c r="H488" s="2"/>
      <c r="I488" s="5"/>
    </row>
    <row r="489" spans="1:9" ht="17.399999999999999" x14ac:dyDescent="0.25">
      <c r="A489" s="16"/>
      <c r="B489" s="17"/>
      <c r="C489" s="2"/>
      <c r="D489" s="2"/>
      <c r="E489" s="2"/>
      <c r="F489" s="2"/>
      <c r="G489" s="2"/>
      <c r="H489" s="2"/>
      <c r="I489" s="5"/>
    </row>
    <row r="490" spans="1:9" ht="17.399999999999999" x14ac:dyDescent="0.25">
      <c r="A490" s="16"/>
      <c r="B490" s="17"/>
      <c r="C490" s="2"/>
      <c r="D490" s="2"/>
      <c r="E490" s="2"/>
      <c r="F490" s="2"/>
      <c r="G490" s="2"/>
      <c r="H490" s="2"/>
      <c r="I490" s="5"/>
    </row>
    <row r="491" spans="1:9" ht="17.399999999999999" x14ac:dyDescent="0.25">
      <c r="A491" s="16"/>
      <c r="B491" s="17"/>
      <c r="C491" s="2"/>
      <c r="D491" s="2"/>
      <c r="E491" s="2"/>
      <c r="F491" s="2"/>
      <c r="G491" s="2"/>
      <c r="H491" s="2"/>
      <c r="I491" s="5"/>
    </row>
    <row r="492" spans="1:9" ht="17.399999999999999" x14ac:dyDescent="0.25">
      <c r="A492" s="16"/>
      <c r="B492" s="17"/>
      <c r="C492" s="2"/>
      <c r="D492" s="2"/>
      <c r="E492" s="2"/>
      <c r="F492" s="2"/>
      <c r="G492" s="2"/>
      <c r="H492" s="2"/>
      <c r="I492" s="5"/>
    </row>
    <row r="493" spans="1:9" ht="17.399999999999999" x14ac:dyDescent="0.25">
      <c r="A493" s="16"/>
      <c r="B493" s="17"/>
      <c r="C493" s="2"/>
      <c r="D493" s="2"/>
      <c r="E493" s="2"/>
      <c r="F493" s="2"/>
      <c r="G493" s="2"/>
      <c r="H493" s="2"/>
      <c r="I493" s="5"/>
    </row>
    <row r="494" spans="1:9" ht="17.399999999999999" x14ac:dyDescent="0.25">
      <c r="A494" s="16"/>
      <c r="B494" s="17"/>
      <c r="C494" s="2"/>
      <c r="D494" s="2"/>
      <c r="E494" s="2"/>
      <c r="F494" s="2"/>
      <c r="G494" s="2"/>
      <c r="H494" s="2"/>
      <c r="I494" s="5"/>
    </row>
    <row r="495" spans="1:9" ht="17.399999999999999" x14ac:dyDescent="0.25">
      <c r="A495" s="16"/>
      <c r="B495" s="17"/>
      <c r="C495" s="2"/>
      <c r="D495" s="2"/>
      <c r="E495" s="2"/>
      <c r="F495" s="2"/>
      <c r="G495" s="2"/>
      <c r="H495" s="2"/>
      <c r="I495" s="5"/>
    </row>
    <row r="496" spans="1:9" ht="17.399999999999999" x14ac:dyDescent="0.25">
      <c r="A496" s="16"/>
      <c r="B496" s="17"/>
      <c r="C496" s="2"/>
      <c r="D496" s="2"/>
      <c r="E496" s="2"/>
      <c r="F496" s="2"/>
      <c r="G496" s="2"/>
      <c r="H496" s="2"/>
      <c r="I496" s="5"/>
    </row>
    <row r="497" spans="1:9" ht="17.399999999999999" x14ac:dyDescent="0.25">
      <c r="A497" s="16"/>
      <c r="B497" s="17"/>
      <c r="C497" s="2"/>
      <c r="D497" s="2"/>
      <c r="E497" s="2"/>
      <c r="F497" s="2"/>
      <c r="G497" s="2"/>
      <c r="H497" s="2"/>
      <c r="I497" s="5"/>
    </row>
    <row r="498" spans="1:9" ht="17.399999999999999" x14ac:dyDescent="0.25">
      <c r="A498" s="16"/>
      <c r="B498" s="17"/>
      <c r="C498" s="2"/>
      <c r="D498" s="2"/>
      <c r="E498" s="2"/>
      <c r="F498" s="2"/>
      <c r="G498" s="2"/>
      <c r="H498" s="2"/>
      <c r="I498" s="5"/>
    </row>
    <row r="499" spans="1:9" ht="17.399999999999999" x14ac:dyDescent="0.25">
      <c r="A499" s="16"/>
      <c r="B499" s="17"/>
      <c r="C499" s="2"/>
      <c r="D499" s="2"/>
      <c r="E499" s="2"/>
      <c r="F499" s="2"/>
      <c r="G499" s="2"/>
      <c r="H499" s="2"/>
      <c r="I499" s="5"/>
    </row>
    <row r="500" spans="1:9" ht="17.399999999999999" x14ac:dyDescent="0.25">
      <c r="A500" s="16"/>
      <c r="B500" s="17"/>
      <c r="C500" s="2"/>
      <c r="D500" s="2"/>
      <c r="E500" s="2"/>
      <c r="F500" s="2"/>
      <c r="G500" s="2"/>
      <c r="H500" s="2"/>
      <c r="I500" s="5"/>
    </row>
    <row r="501" spans="1:9" ht="17.399999999999999" x14ac:dyDescent="0.25">
      <c r="A501" s="16"/>
      <c r="B501" s="17"/>
      <c r="C501" s="2"/>
      <c r="D501" s="2"/>
      <c r="E501" s="2"/>
      <c r="F501" s="2"/>
      <c r="G501" s="2"/>
      <c r="H501" s="2"/>
      <c r="I501" s="5"/>
    </row>
    <row r="502" spans="1:9" ht="17.399999999999999" x14ac:dyDescent="0.25">
      <c r="A502" s="16"/>
      <c r="B502" s="17"/>
      <c r="C502" s="2"/>
      <c r="D502" s="2"/>
      <c r="E502" s="2"/>
      <c r="F502" s="2"/>
      <c r="G502" s="2"/>
      <c r="H502" s="2"/>
      <c r="I502" s="5"/>
    </row>
    <row r="503" spans="1:9" ht="17.399999999999999" x14ac:dyDescent="0.25">
      <c r="A503" s="16"/>
      <c r="B503" s="17"/>
      <c r="C503" s="2"/>
      <c r="D503" s="2"/>
      <c r="E503" s="2"/>
      <c r="F503" s="2"/>
      <c r="G503" s="2"/>
      <c r="H503" s="2"/>
      <c r="I503" s="5"/>
    </row>
    <row r="504" spans="1:9" ht="17.399999999999999" x14ac:dyDescent="0.25">
      <c r="A504" s="16"/>
      <c r="B504" s="17"/>
      <c r="C504" s="2"/>
      <c r="D504" s="2"/>
      <c r="E504" s="2"/>
      <c r="F504" s="2"/>
      <c r="G504" s="2"/>
      <c r="H504" s="2"/>
      <c r="I504" s="5"/>
    </row>
    <row r="505" spans="1:9" ht="17.399999999999999" x14ac:dyDescent="0.25">
      <c r="A505" s="16"/>
      <c r="B505" s="17"/>
      <c r="C505" s="2"/>
      <c r="D505" s="2"/>
      <c r="E505" s="2"/>
      <c r="F505" s="2"/>
      <c r="G505" s="2"/>
      <c r="H505" s="2"/>
      <c r="I505" s="5"/>
    </row>
    <row r="506" spans="1:9" ht="17.399999999999999" x14ac:dyDescent="0.25">
      <c r="A506" s="16"/>
      <c r="B506" s="17"/>
      <c r="C506" s="2"/>
      <c r="D506" s="2"/>
      <c r="E506" s="2"/>
      <c r="F506" s="2"/>
      <c r="G506" s="2"/>
      <c r="H506" s="2"/>
      <c r="I506" s="5"/>
    </row>
    <row r="507" spans="1:9" ht="17.399999999999999" x14ac:dyDescent="0.25">
      <c r="A507" s="16"/>
      <c r="B507" s="17"/>
      <c r="C507" s="2"/>
      <c r="D507" s="2"/>
      <c r="E507" s="2"/>
      <c r="F507" s="2"/>
      <c r="G507" s="2"/>
      <c r="H507" s="2"/>
      <c r="I507" s="5"/>
    </row>
    <row r="508" spans="1:9" ht="17.399999999999999" x14ac:dyDescent="0.25">
      <c r="A508" s="16"/>
      <c r="B508" s="17"/>
      <c r="C508" s="2"/>
      <c r="D508" s="2"/>
      <c r="E508" s="2"/>
      <c r="F508" s="2"/>
      <c r="G508" s="2"/>
      <c r="H508" s="2"/>
      <c r="I508" s="5"/>
    </row>
    <row r="509" spans="1:9" ht="17.399999999999999" x14ac:dyDescent="0.25">
      <c r="A509" s="16"/>
      <c r="B509" s="17"/>
      <c r="C509" s="2"/>
      <c r="D509" s="2"/>
      <c r="E509" s="2"/>
      <c r="F509" s="2"/>
      <c r="G509" s="2"/>
      <c r="H509" s="2"/>
      <c r="I509" s="5"/>
    </row>
    <row r="510" spans="1:9" ht="17.399999999999999" x14ac:dyDescent="0.25">
      <c r="A510" s="16"/>
      <c r="B510" s="17"/>
      <c r="C510" s="2"/>
      <c r="D510" s="2"/>
      <c r="E510" s="2"/>
      <c r="F510" s="2"/>
      <c r="G510" s="2"/>
      <c r="H510" s="2"/>
      <c r="I510" s="5"/>
    </row>
    <row r="511" spans="1:9" ht="17.399999999999999" x14ac:dyDescent="0.25">
      <c r="A511" s="16"/>
      <c r="B511" s="17"/>
      <c r="C511" s="2"/>
      <c r="D511" s="2"/>
      <c r="E511" s="2"/>
      <c r="F511" s="2"/>
      <c r="G511" s="2"/>
      <c r="H511" s="2"/>
      <c r="I511" s="5"/>
    </row>
    <row r="512" spans="1:9" ht="17.399999999999999" x14ac:dyDescent="0.25">
      <c r="A512" s="16"/>
      <c r="B512" s="17"/>
      <c r="C512" s="2"/>
      <c r="D512" s="2"/>
      <c r="E512" s="2"/>
      <c r="F512" s="2"/>
      <c r="G512" s="2"/>
      <c r="H512" s="2"/>
      <c r="I512" s="5"/>
    </row>
    <row r="513" spans="1:9" ht="17.399999999999999" x14ac:dyDescent="0.25">
      <c r="A513" s="16"/>
      <c r="B513" s="17"/>
      <c r="C513" s="2"/>
      <c r="D513" s="2"/>
      <c r="E513" s="2"/>
      <c r="F513" s="2"/>
      <c r="G513" s="2"/>
      <c r="H513" s="2"/>
      <c r="I513" s="5"/>
    </row>
    <row r="514" spans="1:9" ht="17.399999999999999" x14ac:dyDescent="0.25">
      <c r="A514" s="16"/>
      <c r="B514" s="17"/>
      <c r="C514" s="2"/>
      <c r="D514" s="2"/>
      <c r="E514" s="2"/>
      <c r="F514" s="2"/>
      <c r="G514" s="2"/>
      <c r="H514" s="2"/>
      <c r="I514" s="5"/>
    </row>
    <row r="515" spans="1:9" ht="17.399999999999999" x14ac:dyDescent="0.25">
      <c r="A515" s="16"/>
      <c r="B515" s="17"/>
      <c r="C515" s="2"/>
      <c r="D515" s="2"/>
      <c r="E515" s="2"/>
      <c r="F515" s="2"/>
      <c r="G515" s="2"/>
      <c r="H515" s="2"/>
      <c r="I515" s="5"/>
    </row>
    <row r="516" spans="1:9" ht="17.399999999999999" x14ac:dyDescent="0.25">
      <c r="A516" s="16"/>
      <c r="B516" s="17"/>
      <c r="C516" s="2"/>
      <c r="D516" s="2"/>
      <c r="E516" s="2"/>
      <c r="F516" s="2"/>
      <c r="G516" s="2"/>
      <c r="H516" s="2"/>
      <c r="I516" s="5"/>
    </row>
    <row r="517" spans="1:9" ht="17.399999999999999" x14ac:dyDescent="0.25">
      <c r="A517" s="16"/>
      <c r="B517" s="17"/>
      <c r="C517" s="2"/>
      <c r="D517" s="2"/>
      <c r="E517" s="2"/>
      <c r="F517" s="2"/>
      <c r="G517" s="2"/>
      <c r="H517" s="2"/>
      <c r="I517" s="5"/>
    </row>
    <row r="518" spans="1:9" ht="17.399999999999999" x14ac:dyDescent="0.25">
      <c r="A518" s="16"/>
      <c r="B518" s="17"/>
      <c r="C518" s="2"/>
      <c r="D518" s="2"/>
      <c r="E518" s="2"/>
      <c r="F518" s="2"/>
      <c r="G518" s="2"/>
      <c r="H518" s="2"/>
      <c r="I518" s="5"/>
    </row>
    <row r="519" spans="1:9" ht="17.399999999999999" x14ac:dyDescent="0.25">
      <c r="A519" s="16"/>
      <c r="B519" s="17"/>
      <c r="C519" s="2"/>
      <c r="D519" s="2"/>
      <c r="E519" s="2"/>
      <c r="F519" s="2"/>
      <c r="G519" s="2"/>
      <c r="H519" s="2"/>
      <c r="I519" s="5"/>
    </row>
    <row r="520" spans="1:9" ht="17.399999999999999" x14ac:dyDescent="0.25">
      <c r="A520" s="16"/>
      <c r="B520" s="17"/>
      <c r="C520" s="2"/>
      <c r="D520" s="2"/>
      <c r="E520" s="2"/>
      <c r="F520" s="2"/>
      <c r="G520" s="2"/>
      <c r="H520" s="2"/>
      <c r="I520" s="5"/>
    </row>
    <row r="521" spans="1:9" ht="17.399999999999999" x14ac:dyDescent="0.25">
      <c r="A521" s="16"/>
      <c r="B521" s="17"/>
      <c r="C521" s="2"/>
      <c r="D521" s="2"/>
      <c r="E521" s="2"/>
      <c r="F521" s="2"/>
      <c r="G521" s="2"/>
      <c r="H521" s="2"/>
      <c r="I521" s="5"/>
    </row>
    <row r="522" spans="1:9" ht="17.399999999999999" x14ac:dyDescent="0.25">
      <c r="A522" s="16"/>
      <c r="B522" s="17"/>
      <c r="C522" s="2"/>
      <c r="D522" s="2"/>
      <c r="E522" s="2"/>
      <c r="F522" s="2"/>
      <c r="G522" s="2"/>
      <c r="H522" s="2"/>
      <c r="I522" s="5"/>
    </row>
    <row r="523" spans="1:9" ht="17.399999999999999" x14ac:dyDescent="0.25">
      <c r="A523" s="16"/>
      <c r="B523" s="17"/>
      <c r="C523" s="2"/>
      <c r="D523" s="2"/>
      <c r="E523" s="2"/>
      <c r="F523" s="2"/>
      <c r="G523" s="2"/>
      <c r="H523" s="2"/>
      <c r="I523" s="5"/>
    </row>
    <row r="524" spans="1:9" ht="17.399999999999999" x14ac:dyDescent="0.25">
      <c r="A524" s="16"/>
      <c r="B524" s="17"/>
      <c r="C524" s="2"/>
      <c r="D524" s="2"/>
      <c r="E524" s="2"/>
      <c r="F524" s="2"/>
      <c r="G524" s="2"/>
      <c r="H524" s="2"/>
      <c r="I524" s="5"/>
    </row>
    <row r="525" spans="1:9" ht="17.399999999999999" x14ac:dyDescent="0.25">
      <c r="A525" s="16"/>
      <c r="B525" s="17"/>
      <c r="C525" s="2"/>
      <c r="D525" s="2"/>
      <c r="E525" s="2"/>
      <c r="F525" s="2"/>
      <c r="G525" s="2"/>
      <c r="H525" s="2"/>
      <c r="I525" s="5"/>
    </row>
    <row r="526" spans="1:9" ht="17.399999999999999" x14ac:dyDescent="0.25">
      <c r="A526" s="16"/>
      <c r="B526" s="17"/>
      <c r="C526" s="2"/>
      <c r="D526" s="2"/>
      <c r="E526" s="2"/>
      <c r="F526" s="2"/>
      <c r="G526" s="2"/>
      <c r="H526" s="2"/>
      <c r="I526" s="5"/>
    </row>
    <row r="527" spans="1:9" ht="17.399999999999999" x14ac:dyDescent="0.25">
      <c r="A527" s="16"/>
      <c r="B527" s="17"/>
      <c r="C527" s="2"/>
      <c r="D527" s="2"/>
      <c r="E527" s="2"/>
      <c r="F527" s="2"/>
      <c r="G527" s="2"/>
      <c r="H527" s="2"/>
      <c r="I527" s="5"/>
    </row>
    <row r="528" spans="1:9" ht="17.399999999999999" x14ac:dyDescent="0.25">
      <c r="A528" s="16"/>
      <c r="B528" s="17"/>
      <c r="C528" s="2"/>
      <c r="D528" s="2"/>
      <c r="E528" s="2"/>
      <c r="F528" s="2"/>
      <c r="G528" s="2"/>
      <c r="H528" s="2"/>
      <c r="I528" s="5"/>
    </row>
    <row r="529" spans="1:9" ht="17.399999999999999" x14ac:dyDescent="0.25">
      <c r="A529" s="16"/>
      <c r="B529" s="17"/>
      <c r="C529" s="2"/>
      <c r="D529" s="2"/>
      <c r="E529" s="2"/>
      <c r="F529" s="2"/>
      <c r="G529" s="2"/>
      <c r="H529" s="2"/>
      <c r="I529" s="5"/>
    </row>
    <row r="530" spans="1:9" ht="17.399999999999999" x14ac:dyDescent="0.25">
      <c r="A530" s="16"/>
      <c r="B530" s="17"/>
      <c r="C530" s="2"/>
      <c r="D530" s="2"/>
      <c r="E530" s="2"/>
      <c r="F530" s="2"/>
      <c r="G530" s="2"/>
      <c r="H530" s="2"/>
      <c r="I530" s="5"/>
    </row>
    <row r="531" spans="1:9" ht="17.399999999999999" x14ac:dyDescent="0.25">
      <c r="A531" s="16"/>
      <c r="B531" s="17"/>
      <c r="C531" s="2"/>
      <c r="D531" s="2"/>
      <c r="E531" s="2"/>
      <c r="F531" s="2"/>
      <c r="G531" s="2"/>
      <c r="H531" s="2"/>
      <c r="I531" s="5"/>
    </row>
    <row r="532" spans="1:9" ht="17.399999999999999" x14ac:dyDescent="0.25">
      <c r="A532" s="16"/>
      <c r="B532" s="17"/>
      <c r="C532" s="2"/>
      <c r="D532" s="2"/>
      <c r="E532" s="2"/>
      <c r="F532" s="2"/>
      <c r="G532" s="2"/>
      <c r="H532" s="2"/>
      <c r="I532" s="5"/>
    </row>
    <row r="533" spans="1:9" ht="17.399999999999999" x14ac:dyDescent="0.25">
      <c r="A533" s="16"/>
      <c r="B533" s="17"/>
      <c r="C533" s="2"/>
      <c r="D533" s="2"/>
      <c r="E533" s="2"/>
      <c r="F533" s="2"/>
      <c r="G533" s="2"/>
      <c r="H533" s="2"/>
      <c r="I533" s="5"/>
    </row>
    <row r="534" spans="1:9" ht="17.399999999999999" x14ac:dyDescent="0.25">
      <c r="A534" s="16"/>
      <c r="B534" s="17"/>
      <c r="C534" s="2"/>
      <c r="D534" s="2"/>
      <c r="E534" s="2"/>
      <c r="F534" s="2"/>
      <c r="G534" s="2"/>
      <c r="H534" s="2"/>
      <c r="I534" s="5"/>
    </row>
    <row r="535" spans="1:9" ht="17.399999999999999" x14ac:dyDescent="0.25">
      <c r="A535" s="16"/>
      <c r="B535" s="17"/>
      <c r="C535" s="2"/>
      <c r="D535" s="2"/>
      <c r="E535" s="2"/>
      <c r="F535" s="2"/>
      <c r="G535" s="2"/>
      <c r="H535" s="2"/>
      <c r="I535" s="5"/>
    </row>
    <row r="536" spans="1:9" ht="17.399999999999999" x14ac:dyDescent="0.25">
      <c r="A536" s="16"/>
      <c r="B536" s="17"/>
      <c r="C536" s="2"/>
      <c r="D536" s="2"/>
      <c r="E536" s="2"/>
      <c r="F536" s="2"/>
      <c r="G536" s="2"/>
      <c r="H536" s="2"/>
      <c r="I536" s="5"/>
    </row>
    <row r="537" spans="1:9" ht="17.399999999999999" x14ac:dyDescent="0.25">
      <c r="A537" s="16"/>
      <c r="B537" s="17"/>
      <c r="C537" s="2"/>
      <c r="D537" s="2"/>
      <c r="E537" s="2"/>
      <c r="F537" s="2"/>
      <c r="G537" s="2"/>
      <c r="H537" s="2"/>
      <c r="I537" s="5"/>
    </row>
    <row r="538" spans="1:9" ht="17.399999999999999" x14ac:dyDescent="0.25">
      <c r="A538" s="16"/>
      <c r="B538" s="17"/>
      <c r="C538" s="2"/>
      <c r="D538" s="2"/>
      <c r="E538" s="2"/>
      <c r="F538" s="2"/>
      <c r="G538" s="2"/>
      <c r="H538" s="2"/>
      <c r="I538" s="5"/>
    </row>
    <row r="539" spans="1:9" ht="17.399999999999999" x14ac:dyDescent="0.25">
      <c r="A539" s="16"/>
      <c r="B539" s="17"/>
      <c r="C539" s="2"/>
      <c r="D539" s="2"/>
      <c r="E539" s="2"/>
      <c r="F539" s="2"/>
      <c r="G539" s="2"/>
      <c r="H539" s="2"/>
      <c r="I539" s="5"/>
    </row>
    <row r="540" spans="1:9" ht="17.399999999999999" x14ac:dyDescent="0.25">
      <c r="A540" s="16"/>
      <c r="B540" s="17"/>
      <c r="C540" s="2"/>
      <c r="D540" s="2"/>
      <c r="E540" s="2"/>
      <c r="F540" s="2"/>
      <c r="G540" s="2"/>
      <c r="H540" s="2"/>
      <c r="I540" s="5"/>
    </row>
    <row r="541" spans="1:9" ht="17.399999999999999" x14ac:dyDescent="0.25">
      <c r="A541" s="16"/>
      <c r="B541" s="17"/>
      <c r="C541" s="2"/>
      <c r="D541" s="2"/>
      <c r="E541" s="2"/>
      <c r="F541" s="2"/>
      <c r="G541" s="2"/>
      <c r="H541" s="2"/>
      <c r="I541" s="5"/>
    </row>
    <row r="542" spans="1:9" ht="17.399999999999999" x14ac:dyDescent="0.25">
      <c r="A542" s="16"/>
      <c r="B542" s="17"/>
      <c r="C542" s="2"/>
      <c r="D542" s="2"/>
      <c r="E542" s="2"/>
      <c r="F542" s="2"/>
      <c r="G542" s="2"/>
      <c r="H542" s="2"/>
      <c r="I542" s="5"/>
    </row>
    <row r="543" spans="1:9" ht="17.399999999999999" x14ac:dyDescent="0.25">
      <c r="A543" s="16"/>
      <c r="B543" s="17"/>
      <c r="C543" s="2"/>
      <c r="D543" s="2"/>
      <c r="E543" s="2"/>
      <c r="F543" s="2"/>
      <c r="G543" s="2"/>
      <c r="H543" s="2"/>
      <c r="I543" s="5"/>
    </row>
    <row r="544" spans="1:9" ht="17.399999999999999" x14ac:dyDescent="0.25">
      <c r="A544" s="16"/>
      <c r="B544" s="17"/>
      <c r="C544" s="2"/>
      <c r="D544" s="2"/>
      <c r="E544" s="2"/>
      <c r="F544" s="2"/>
      <c r="G544" s="2"/>
      <c r="H544" s="2"/>
      <c r="I544" s="5"/>
    </row>
    <row r="545" spans="1:9" ht="17.399999999999999" x14ac:dyDescent="0.25">
      <c r="A545" s="16"/>
      <c r="B545" s="17"/>
      <c r="C545" s="2"/>
      <c r="D545" s="2"/>
      <c r="E545" s="2"/>
      <c r="F545" s="2"/>
      <c r="G545" s="2"/>
      <c r="H545" s="2"/>
      <c r="I545" s="5"/>
    </row>
    <row r="546" spans="1:9" ht="17.399999999999999" x14ac:dyDescent="0.25">
      <c r="A546" s="16"/>
      <c r="B546" s="17"/>
      <c r="C546" s="2"/>
      <c r="D546" s="2"/>
      <c r="E546" s="2"/>
      <c r="F546" s="2"/>
      <c r="G546" s="2"/>
      <c r="H546" s="2"/>
      <c r="I546" s="5"/>
    </row>
    <row r="547" spans="1:9" ht="17.399999999999999" x14ac:dyDescent="0.25">
      <c r="A547" s="16"/>
      <c r="B547" s="17"/>
      <c r="C547" s="2"/>
      <c r="D547" s="2"/>
      <c r="E547" s="2"/>
      <c r="F547" s="2"/>
      <c r="G547" s="2"/>
      <c r="H547" s="2"/>
      <c r="I547" s="5"/>
    </row>
    <row r="548" spans="1:9" ht="17.399999999999999" x14ac:dyDescent="0.25">
      <c r="A548" s="16"/>
      <c r="B548" s="17"/>
      <c r="C548" s="2"/>
      <c r="D548" s="2"/>
      <c r="E548" s="2"/>
      <c r="F548" s="2"/>
      <c r="G548" s="2"/>
      <c r="H548" s="2"/>
      <c r="I548" s="5"/>
    </row>
    <row r="549" spans="1:9" ht="17.399999999999999" x14ac:dyDescent="0.25">
      <c r="A549" s="16"/>
      <c r="B549" s="17"/>
      <c r="C549" s="2"/>
      <c r="D549" s="2"/>
      <c r="E549" s="2"/>
      <c r="F549" s="2"/>
      <c r="G549" s="2"/>
      <c r="H549" s="2"/>
      <c r="I549" s="5"/>
    </row>
    <row r="550" spans="1:9" ht="17.399999999999999" x14ac:dyDescent="0.25">
      <c r="A550" s="16"/>
      <c r="B550" s="17"/>
      <c r="C550" s="2"/>
      <c r="D550" s="2"/>
      <c r="E550" s="2"/>
      <c r="F550" s="2"/>
      <c r="G550" s="2"/>
      <c r="H550" s="2"/>
      <c r="I550" s="5"/>
    </row>
    <row r="551" spans="1:9" ht="17.399999999999999" x14ac:dyDescent="0.25">
      <c r="A551" s="16"/>
      <c r="B551" s="17"/>
      <c r="C551" s="2"/>
      <c r="D551" s="2"/>
      <c r="E551" s="2"/>
      <c r="F551" s="2"/>
      <c r="G551" s="2"/>
      <c r="H551" s="2"/>
      <c r="I551" s="5"/>
    </row>
    <row r="552" spans="1:9" ht="17.399999999999999" x14ac:dyDescent="0.25">
      <c r="A552" s="16"/>
      <c r="B552" s="17"/>
      <c r="C552" s="2"/>
      <c r="D552" s="2"/>
      <c r="E552" s="2"/>
      <c r="F552" s="2"/>
      <c r="G552" s="2"/>
      <c r="H552" s="2"/>
      <c r="I552" s="5"/>
    </row>
    <row r="553" spans="1:9" ht="17.399999999999999" x14ac:dyDescent="0.25">
      <c r="A553" s="16"/>
      <c r="B553" s="17"/>
      <c r="C553" s="2"/>
      <c r="D553" s="2"/>
      <c r="E553" s="2"/>
      <c r="F553" s="2"/>
      <c r="G553" s="2"/>
      <c r="H553" s="2"/>
      <c r="I553" s="5"/>
    </row>
    <row r="554" spans="1:9" ht="17.399999999999999" x14ac:dyDescent="0.25">
      <c r="A554" s="16"/>
      <c r="B554" s="17"/>
      <c r="C554" s="2"/>
      <c r="D554" s="2"/>
      <c r="E554" s="2"/>
      <c r="F554" s="2"/>
      <c r="G554" s="2"/>
      <c r="H554" s="2"/>
      <c r="I554" s="5"/>
    </row>
    <row r="555" spans="1:9" ht="17.399999999999999" x14ac:dyDescent="0.25">
      <c r="A555" s="16"/>
      <c r="B555" s="17"/>
      <c r="C555" s="2"/>
      <c r="D555" s="2"/>
      <c r="E555" s="2"/>
      <c r="F555" s="2"/>
      <c r="G555" s="2"/>
      <c r="H555" s="2"/>
      <c r="I555" s="5"/>
    </row>
    <row r="556" spans="1:9" ht="17.399999999999999" x14ac:dyDescent="0.25">
      <c r="A556" s="16"/>
      <c r="B556" s="17"/>
      <c r="C556" s="2"/>
      <c r="D556" s="2"/>
      <c r="E556" s="2"/>
      <c r="F556" s="2"/>
      <c r="G556" s="2"/>
      <c r="H556" s="2"/>
      <c r="I556" s="5"/>
    </row>
    <row r="557" spans="1:9" ht="17.399999999999999" x14ac:dyDescent="0.25">
      <c r="A557" s="16"/>
      <c r="B557" s="17"/>
      <c r="C557" s="2"/>
      <c r="D557" s="2"/>
      <c r="E557" s="2"/>
      <c r="F557" s="2"/>
      <c r="G557" s="2"/>
      <c r="H557" s="2"/>
      <c r="I557" s="5"/>
    </row>
    <row r="558" spans="1:9" ht="17.399999999999999" x14ac:dyDescent="0.25">
      <c r="A558" s="16"/>
      <c r="B558" s="17"/>
      <c r="C558" s="2"/>
      <c r="D558" s="2"/>
      <c r="E558" s="2"/>
      <c r="F558" s="2"/>
      <c r="G558" s="2"/>
      <c r="H558" s="2"/>
      <c r="I558" s="5"/>
    </row>
    <row r="559" spans="1:9" ht="17.399999999999999" x14ac:dyDescent="0.25">
      <c r="A559" s="16"/>
      <c r="B559" s="17"/>
      <c r="C559" s="2"/>
      <c r="D559" s="2"/>
      <c r="E559" s="2"/>
      <c r="F559" s="2"/>
      <c r="G559" s="2"/>
      <c r="H559" s="2"/>
      <c r="I559" s="5"/>
    </row>
    <row r="560" spans="1:9" ht="17.399999999999999" x14ac:dyDescent="0.25">
      <c r="A560" s="16"/>
      <c r="B560" s="17"/>
      <c r="C560" s="2"/>
      <c r="D560" s="2"/>
      <c r="E560" s="2"/>
      <c r="F560" s="2"/>
      <c r="G560" s="2"/>
      <c r="H560" s="2"/>
      <c r="I560" s="5"/>
    </row>
    <row r="561" spans="1:9" ht="17.399999999999999" x14ac:dyDescent="0.25">
      <c r="A561" s="16"/>
      <c r="B561" s="17"/>
      <c r="C561" s="2"/>
      <c r="D561" s="2"/>
      <c r="E561" s="2"/>
      <c r="F561" s="2"/>
      <c r="G561" s="2"/>
      <c r="H561" s="2"/>
      <c r="I561" s="5"/>
    </row>
    <row r="562" spans="1:9" ht="17.399999999999999" x14ac:dyDescent="0.25">
      <c r="A562" s="16"/>
      <c r="B562" s="17"/>
      <c r="C562" s="2"/>
      <c r="D562" s="2"/>
      <c r="E562" s="2"/>
      <c r="F562" s="2"/>
      <c r="G562" s="2"/>
      <c r="H562" s="2"/>
      <c r="I562" s="5"/>
    </row>
    <row r="563" spans="1:9" ht="17.399999999999999" x14ac:dyDescent="0.25">
      <c r="A563" s="16"/>
      <c r="B563" s="17"/>
      <c r="C563" s="2"/>
      <c r="D563" s="2"/>
      <c r="E563" s="2"/>
      <c r="F563" s="2"/>
      <c r="G563" s="2"/>
      <c r="H563" s="2"/>
      <c r="I563" s="5"/>
    </row>
    <row r="564" spans="1:9" ht="17.399999999999999" x14ac:dyDescent="0.25">
      <c r="A564" s="16"/>
      <c r="B564" s="17"/>
      <c r="C564" s="2"/>
      <c r="D564" s="2"/>
      <c r="E564" s="2"/>
      <c r="F564" s="2"/>
      <c r="G564" s="2"/>
      <c r="H564" s="2"/>
      <c r="I564" s="5"/>
    </row>
    <row r="565" spans="1:9" ht="17.399999999999999" x14ac:dyDescent="0.25">
      <c r="A565" s="16"/>
      <c r="B565" s="17"/>
      <c r="C565" s="2"/>
      <c r="D565" s="2"/>
      <c r="E565" s="2"/>
      <c r="F565" s="2"/>
      <c r="G565" s="2"/>
      <c r="H565" s="2"/>
      <c r="I565" s="5"/>
    </row>
    <row r="566" spans="1:9" ht="17.399999999999999" x14ac:dyDescent="0.25">
      <c r="A566" s="16"/>
      <c r="B566" s="17"/>
      <c r="C566" s="2"/>
      <c r="D566" s="2"/>
      <c r="E566" s="2"/>
      <c r="F566" s="2"/>
      <c r="G566" s="2"/>
      <c r="H566" s="2"/>
      <c r="I566" s="5"/>
    </row>
    <row r="567" spans="1:9" ht="17.399999999999999" x14ac:dyDescent="0.25">
      <c r="A567" s="16"/>
      <c r="B567" s="17"/>
      <c r="C567" s="2"/>
      <c r="D567" s="2"/>
      <c r="E567" s="2"/>
      <c r="F567" s="2"/>
      <c r="G567" s="2"/>
      <c r="H567" s="2"/>
      <c r="I567" s="5"/>
    </row>
    <row r="568" spans="1:9" ht="17.399999999999999" x14ac:dyDescent="0.25">
      <c r="A568" s="16"/>
      <c r="B568" s="17"/>
      <c r="C568" s="2"/>
      <c r="D568" s="2"/>
      <c r="E568" s="2"/>
      <c r="F568" s="2"/>
      <c r="G568" s="2"/>
      <c r="H568" s="2"/>
      <c r="I568" s="5"/>
    </row>
    <row r="569" spans="1:9" ht="17.399999999999999" x14ac:dyDescent="0.25">
      <c r="A569" s="16"/>
      <c r="B569" s="17"/>
      <c r="C569" s="2"/>
      <c r="D569" s="2"/>
      <c r="E569" s="2"/>
      <c r="F569" s="2"/>
      <c r="G569" s="2"/>
      <c r="H569" s="2"/>
      <c r="I569" s="5"/>
    </row>
    <row r="570" spans="1:9" ht="17.399999999999999" x14ac:dyDescent="0.25">
      <c r="A570" s="16"/>
      <c r="B570" s="17"/>
      <c r="C570" s="2"/>
      <c r="D570" s="2"/>
      <c r="E570" s="2"/>
      <c r="F570" s="2"/>
      <c r="G570" s="2"/>
      <c r="H570" s="2"/>
      <c r="I570" s="5"/>
    </row>
    <row r="571" spans="1:9" ht="17.399999999999999" x14ac:dyDescent="0.25">
      <c r="A571" s="16"/>
      <c r="B571" s="17"/>
      <c r="C571" s="2"/>
      <c r="D571" s="2"/>
      <c r="E571" s="2"/>
      <c r="F571" s="2"/>
      <c r="G571" s="2"/>
      <c r="H571" s="2"/>
      <c r="I571" s="5"/>
    </row>
    <row r="572" spans="1:9" ht="17.399999999999999" x14ac:dyDescent="0.25">
      <c r="A572" s="16"/>
      <c r="B572" s="17"/>
      <c r="C572" s="2"/>
      <c r="D572" s="2"/>
      <c r="E572" s="2"/>
      <c r="F572" s="2"/>
      <c r="G572" s="2"/>
      <c r="H572" s="2"/>
      <c r="I572" s="5"/>
    </row>
    <row r="573" spans="1:9" ht="17.399999999999999" x14ac:dyDescent="0.25">
      <c r="A573" s="16"/>
      <c r="B573" s="17"/>
      <c r="C573" s="2"/>
      <c r="D573" s="2"/>
      <c r="E573" s="2"/>
      <c r="F573" s="2"/>
      <c r="G573" s="2"/>
      <c r="H573" s="2"/>
      <c r="I573" s="5"/>
    </row>
    <row r="574" spans="1:9" ht="17.399999999999999" x14ac:dyDescent="0.25">
      <c r="A574" s="16"/>
      <c r="B574" s="17"/>
      <c r="C574" s="2"/>
      <c r="D574" s="2"/>
      <c r="E574" s="2"/>
      <c r="F574" s="2"/>
      <c r="G574" s="2"/>
      <c r="H574" s="2"/>
      <c r="I574" s="5"/>
    </row>
    <row r="575" spans="1:9" ht="17.399999999999999" x14ac:dyDescent="0.25">
      <c r="A575" s="16"/>
      <c r="B575" s="17"/>
      <c r="C575" s="2"/>
      <c r="D575" s="2"/>
      <c r="E575" s="2"/>
      <c r="F575" s="2"/>
      <c r="G575" s="2"/>
      <c r="H575" s="2"/>
      <c r="I575" s="5"/>
    </row>
    <row r="576" spans="1:9" ht="17.399999999999999" x14ac:dyDescent="0.25">
      <c r="A576" s="16"/>
      <c r="B576" s="17"/>
      <c r="C576" s="2"/>
      <c r="D576" s="2"/>
      <c r="E576" s="2"/>
      <c r="F576" s="2"/>
      <c r="G576" s="2"/>
      <c r="H576" s="2"/>
      <c r="I576" s="5"/>
    </row>
    <row r="577" spans="1:9" ht="17.399999999999999" x14ac:dyDescent="0.25">
      <c r="A577" s="16"/>
      <c r="B577" s="17"/>
      <c r="C577" s="2"/>
      <c r="D577" s="2"/>
      <c r="E577" s="2"/>
      <c r="F577" s="2"/>
      <c r="G577" s="2"/>
      <c r="H577" s="2"/>
      <c r="I577" s="5"/>
    </row>
    <row r="578" spans="1:9" ht="17.399999999999999" x14ac:dyDescent="0.25">
      <c r="A578" s="16"/>
      <c r="B578" s="17"/>
      <c r="C578" s="2"/>
      <c r="D578" s="2"/>
      <c r="E578" s="2"/>
      <c r="F578" s="2"/>
      <c r="G578" s="2"/>
      <c r="H578" s="2"/>
      <c r="I578" s="5"/>
    </row>
    <row r="579" spans="1:9" ht="17.399999999999999" x14ac:dyDescent="0.25">
      <c r="A579" s="16"/>
      <c r="B579" s="17"/>
      <c r="C579" s="2"/>
      <c r="D579" s="2"/>
      <c r="E579" s="2"/>
      <c r="F579" s="2"/>
      <c r="G579" s="2"/>
      <c r="H579" s="2"/>
      <c r="I579" s="5"/>
    </row>
    <row r="580" spans="1:9" ht="17.399999999999999" x14ac:dyDescent="0.25">
      <c r="A580" s="16"/>
      <c r="B580" s="17"/>
      <c r="C580" s="2"/>
      <c r="D580" s="2"/>
      <c r="E580" s="2"/>
      <c r="F580" s="2"/>
      <c r="G580" s="2"/>
      <c r="H580" s="2"/>
      <c r="I580" s="5"/>
    </row>
    <row r="581" spans="1:9" ht="17.399999999999999" x14ac:dyDescent="0.25">
      <c r="A581" s="16"/>
      <c r="B581" s="17"/>
      <c r="C581" s="2"/>
      <c r="D581" s="2"/>
      <c r="E581" s="2"/>
      <c r="F581" s="2"/>
      <c r="G581" s="2"/>
      <c r="H581" s="2"/>
      <c r="I581" s="5"/>
    </row>
    <row r="582" spans="1:9" ht="17.399999999999999" x14ac:dyDescent="0.25">
      <c r="A582" s="16"/>
      <c r="B582" s="17"/>
      <c r="C582" s="2"/>
      <c r="D582" s="2"/>
      <c r="E582" s="2"/>
      <c r="F582" s="2"/>
      <c r="G582" s="2"/>
      <c r="H582" s="2"/>
      <c r="I582" s="5"/>
    </row>
    <row r="583" spans="1:9" ht="17.399999999999999" x14ac:dyDescent="0.25">
      <c r="A583" s="16"/>
      <c r="B583" s="17"/>
      <c r="C583" s="2"/>
      <c r="D583" s="2"/>
      <c r="E583" s="2"/>
      <c r="F583" s="2"/>
      <c r="G583" s="2"/>
      <c r="H583" s="2"/>
      <c r="I583" s="5"/>
    </row>
    <row r="584" spans="1:9" ht="17.399999999999999" x14ac:dyDescent="0.25">
      <c r="A584" s="16"/>
      <c r="B584" s="17"/>
      <c r="C584" s="2"/>
      <c r="D584" s="2"/>
      <c r="E584" s="2"/>
      <c r="F584" s="2"/>
      <c r="G584" s="2"/>
      <c r="H584" s="2"/>
      <c r="I584" s="5"/>
    </row>
    <row r="585" spans="1:9" ht="17.399999999999999" x14ac:dyDescent="0.25">
      <c r="A585" s="16"/>
      <c r="B585" s="17"/>
      <c r="C585" s="2"/>
      <c r="D585" s="2"/>
      <c r="E585" s="2"/>
      <c r="F585" s="2"/>
      <c r="G585" s="2"/>
      <c r="H585" s="2"/>
      <c r="I585" s="5"/>
    </row>
    <row r="586" spans="1:9" ht="17.399999999999999" x14ac:dyDescent="0.25">
      <c r="A586" s="16"/>
      <c r="B586" s="17"/>
      <c r="C586" s="2"/>
      <c r="D586" s="2"/>
      <c r="E586" s="2"/>
      <c r="F586" s="2"/>
      <c r="G586" s="2"/>
      <c r="H586" s="2"/>
      <c r="I586" s="5"/>
    </row>
    <row r="587" spans="1:9" ht="17.399999999999999" x14ac:dyDescent="0.25">
      <c r="A587" s="16"/>
      <c r="B587" s="17"/>
      <c r="C587" s="2"/>
      <c r="D587" s="2"/>
      <c r="E587" s="2"/>
      <c r="F587" s="2"/>
      <c r="G587" s="2"/>
      <c r="H587" s="2"/>
      <c r="I587" s="5"/>
    </row>
    <row r="588" spans="1:9" ht="17.399999999999999" x14ac:dyDescent="0.25">
      <c r="A588" s="16"/>
      <c r="B588" s="17"/>
      <c r="C588" s="2"/>
      <c r="D588" s="2"/>
      <c r="E588" s="2"/>
      <c r="F588" s="2"/>
      <c r="G588" s="2"/>
      <c r="H588" s="2"/>
      <c r="I588" s="5"/>
    </row>
    <row r="589" spans="1:9" ht="17.399999999999999" x14ac:dyDescent="0.25">
      <c r="A589" s="16"/>
      <c r="B589" s="17"/>
      <c r="C589" s="2"/>
      <c r="D589" s="2"/>
      <c r="E589" s="2"/>
      <c r="F589" s="2"/>
      <c r="G589" s="2"/>
      <c r="H589" s="2"/>
      <c r="I589" s="5"/>
    </row>
    <row r="590" spans="1:9" ht="17.399999999999999" x14ac:dyDescent="0.25">
      <c r="A590" s="16"/>
      <c r="B590" s="17"/>
      <c r="C590" s="2"/>
      <c r="D590" s="2"/>
      <c r="E590" s="2"/>
      <c r="F590" s="2"/>
      <c r="G590" s="2"/>
      <c r="H590" s="2"/>
      <c r="I590" s="5"/>
    </row>
    <row r="591" spans="1:9" ht="17.399999999999999" x14ac:dyDescent="0.25">
      <c r="A591" s="16"/>
      <c r="B591" s="17"/>
      <c r="C591" s="2"/>
      <c r="D591" s="2"/>
      <c r="E591" s="2"/>
      <c r="F591" s="2"/>
      <c r="G591" s="2"/>
      <c r="H591" s="2"/>
      <c r="I591" s="5"/>
    </row>
    <row r="592" spans="1:9" ht="17.399999999999999" x14ac:dyDescent="0.25">
      <c r="A592" s="16"/>
      <c r="B592" s="17"/>
      <c r="C592" s="2"/>
      <c r="D592" s="2"/>
      <c r="E592" s="2"/>
      <c r="F592" s="2"/>
      <c r="G592" s="2"/>
      <c r="H592" s="2"/>
      <c r="I592" s="5"/>
    </row>
    <row r="593" spans="1:9" ht="17.399999999999999" x14ac:dyDescent="0.25">
      <c r="A593" s="16"/>
      <c r="B593" s="17"/>
      <c r="C593" s="2"/>
      <c r="D593" s="2"/>
      <c r="E593" s="2"/>
      <c r="F593" s="2"/>
      <c r="G593" s="2"/>
      <c r="H593" s="2"/>
      <c r="I593" s="5"/>
    </row>
    <row r="594" spans="1:9" ht="17.399999999999999" x14ac:dyDescent="0.25">
      <c r="A594" s="16"/>
      <c r="B594" s="17"/>
      <c r="C594" s="2"/>
      <c r="D594" s="2"/>
      <c r="E594" s="2"/>
      <c r="F594" s="2"/>
      <c r="G594" s="2"/>
      <c r="H594" s="2"/>
      <c r="I594" s="5"/>
    </row>
    <row r="595" spans="1:9" ht="17.399999999999999" x14ac:dyDescent="0.25">
      <c r="A595" s="16"/>
      <c r="B595" s="17"/>
      <c r="C595" s="2"/>
      <c r="D595" s="2"/>
      <c r="E595" s="2"/>
      <c r="F595" s="2"/>
      <c r="G595" s="2"/>
      <c r="H595" s="2"/>
      <c r="I595" s="5"/>
    </row>
    <row r="596" spans="1:9" ht="17.399999999999999" x14ac:dyDescent="0.25">
      <c r="A596" s="16"/>
      <c r="B596" s="17"/>
      <c r="C596" s="2"/>
      <c r="D596" s="2"/>
      <c r="E596" s="2"/>
      <c r="F596" s="2"/>
      <c r="G596" s="2"/>
      <c r="H596" s="2"/>
      <c r="I596" s="5"/>
    </row>
    <row r="597" spans="1:9" ht="17.399999999999999" x14ac:dyDescent="0.25">
      <c r="A597" s="16"/>
      <c r="B597" s="17"/>
      <c r="C597" s="2"/>
      <c r="D597" s="2"/>
      <c r="E597" s="2"/>
      <c r="F597" s="2"/>
      <c r="G597" s="2"/>
      <c r="H597" s="2"/>
      <c r="I597" s="5"/>
    </row>
    <row r="598" spans="1:9" ht="17.399999999999999" x14ac:dyDescent="0.25">
      <c r="A598" s="16"/>
      <c r="B598" s="17"/>
      <c r="C598" s="2"/>
      <c r="D598" s="2"/>
      <c r="E598" s="2"/>
      <c r="F598" s="2"/>
      <c r="G598" s="2"/>
      <c r="H598" s="2"/>
      <c r="I598" s="5"/>
    </row>
    <row r="599" spans="1:9" ht="17.399999999999999" x14ac:dyDescent="0.25">
      <c r="A599" s="16"/>
      <c r="B599" s="17"/>
      <c r="C599" s="2"/>
      <c r="D599" s="2"/>
      <c r="E599" s="2"/>
      <c r="F599" s="2"/>
      <c r="G599" s="2"/>
      <c r="H599" s="2"/>
      <c r="I599" s="5"/>
    </row>
    <row r="600" spans="1:9" ht="17.399999999999999" x14ac:dyDescent="0.25">
      <c r="A600" s="16"/>
      <c r="B600" s="17"/>
      <c r="C600" s="2"/>
      <c r="D600" s="2"/>
      <c r="E600" s="2"/>
      <c r="F600" s="2"/>
      <c r="G600" s="2"/>
      <c r="H600" s="2"/>
      <c r="I600" s="5"/>
    </row>
    <row r="601" spans="1:9" ht="17.399999999999999" x14ac:dyDescent="0.25">
      <c r="A601" s="16"/>
      <c r="B601" s="17"/>
      <c r="C601" s="2"/>
      <c r="D601" s="2"/>
      <c r="E601" s="2"/>
      <c r="F601" s="2"/>
      <c r="G601" s="2"/>
      <c r="H601" s="2"/>
      <c r="I601" s="5"/>
    </row>
    <row r="602" spans="1:9" ht="17.399999999999999" x14ac:dyDescent="0.25">
      <c r="A602" s="16"/>
      <c r="B602" s="17"/>
      <c r="C602" s="2"/>
      <c r="D602" s="2"/>
      <c r="E602" s="2"/>
      <c r="F602" s="2"/>
      <c r="G602" s="2"/>
      <c r="H602" s="2"/>
      <c r="I602" s="5"/>
    </row>
    <row r="603" spans="1:9" ht="17.399999999999999" x14ac:dyDescent="0.25">
      <c r="A603" s="16"/>
      <c r="B603" s="17"/>
      <c r="C603" s="2"/>
      <c r="D603" s="2"/>
      <c r="E603" s="2"/>
      <c r="F603" s="2"/>
      <c r="G603" s="2"/>
      <c r="H603" s="2"/>
      <c r="I603" s="5"/>
    </row>
    <row r="604" spans="1:9" ht="17.399999999999999" x14ac:dyDescent="0.25">
      <c r="A604" s="16"/>
      <c r="B604" s="17"/>
      <c r="C604" s="2"/>
      <c r="D604" s="2"/>
      <c r="E604" s="2"/>
      <c r="F604" s="2"/>
      <c r="G604" s="2"/>
      <c r="H604" s="2"/>
      <c r="I604" s="5"/>
    </row>
    <row r="605" spans="1:9" ht="17.399999999999999" x14ac:dyDescent="0.25">
      <c r="A605" s="16"/>
      <c r="B605" s="17"/>
      <c r="C605" s="2"/>
      <c r="D605" s="2"/>
      <c r="E605" s="2"/>
      <c r="F605" s="2"/>
      <c r="G605" s="2"/>
      <c r="H605" s="2"/>
      <c r="I605" s="5"/>
    </row>
    <row r="606" spans="1:9" ht="17.399999999999999" x14ac:dyDescent="0.25">
      <c r="A606" s="16"/>
      <c r="B606" s="17"/>
      <c r="C606" s="2"/>
      <c r="D606" s="2"/>
      <c r="E606" s="2"/>
      <c r="F606" s="2"/>
      <c r="G606" s="2"/>
      <c r="H606" s="2"/>
      <c r="I606" s="5"/>
    </row>
    <row r="607" spans="1:9" ht="17.399999999999999" x14ac:dyDescent="0.25">
      <c r="A607" s="16"/>
      <c r="B607" s="17"/>
      <c r="C607" s="2"/>
      <c r="D607" s="2"/>
      <c r="E607" s="2"/>
      <c r="F607" s="2"/>
      <c r="G607" s="2"/>
      <c r="H607" s="2"/>
      <c r="I607" s="5"/>
    </row>
    <row r="608" spans="1:9" ht="17.399999999999999" x14ac:dyDescent="0.25">
      <c r="A608" s="16"/>
      <c r="B608" s="17"/>
      <c r="C608" s="2"/>
      <c r="D608" s="2"/>
      <c r="E608" s="2"/>
      <c r="F608" s="2"/>
      <c r="G608" s="2"/>
      <c r="H608" s="2"/>
      <c r="I608" s="5"/>
    </row>
    <row r="609" spans="1:9" ht="17.399999999999999" x14ac:dyDescent="0.25">
      <c r="A609" s="16"/>
      <c r="B609" s="17"/>
      <c r="C609" s="2"/>
      <c r="D609" s="2"/>
      <c r="E609" s="2"/>
      <c r="F609" s="2"/>
      <c r="G609" s="2"/>
      <c r="H609" s="2"/>
      <c r="I609" s="5"/>
    </row>
    <row r="610" spans="1:9" ht="17.399999999999999" x14ac:dyDescent="0.25">
      <c r="A610" s="16"/>
      <c r="B610" s="17"/>
      <c r="C610" s="2"/>
      <c r="D610" s="2"/>
      <c r="E610" s="2"/>
      <c r="F610" s="2"/>
      <c r="G610" s="2"/>
      <c r="H610" s="2"/>
      <c r="I610" s="5"/>
    </row>
    <row r="611" spans="1:9" ht="17.399999999999999" x14ac:dyDescent="0.25">
      <c r="A611" s="16"/>
      <c r="B611" s="17"/>
      <c r="C611" s="2"/>
      <c r="D611" s="2"/>
      <c r="E611" s="2"/>
      <c r="F611" s="2"/>
      <c r="G611" s="2"/>
      <c r="H611" s="2"/>
      <c r="I611" s="5"/>
    </row>
    <row r="612" spans="1:9" ht="17.399999999999999" x14ac:dyDescent="0.25">
      <c r="A612" s="16"/>
      <c r="B612" s="17"/>
      <c r="C612" s="2"/>
      <c r="D612" s="2"/>
      <c r="E612" s="2"/>
      <c r="F612" s="2"/>
      <c r="G612" s="2"/>
      <c r="H612" s="2"/>
      <c r="I612" s="5"/>
    </row>
    <row r="613" spans="1:9" ht="17.399999999999999" x14ac:dyDescent="0.25">
      <c r="A613" s="16"/>
      <c r="B613" s="17"/>
      <c r="C613" s="2"/>
      <c r="D613" s="2"/>
      <c r="E613" s="2"/>
      <c r="F613" s="2"/>
      <c r="G613" s="2"/>
      <c r="H613" s="2"/>
      <c r="I613" s="5"/>
    </row>
    <row r="614" spans="1:9" ht="17.399999999999999" x14ac:dyDescent="0.25">
      <c r="A614" s="16"/>
      <c r="B614" s="17"/>
      <c r="C614" s="2"/>
      <c r="D614" s="2"/>
      <c r="E614" s="2"/>
      <c r="F614" s="2"/>
      <c r="G614" s="2"/>
      <c r="H614" s="2"/>
      <c r="I614" s="5"/>
    </row>
    <row r="615" spans="1:9" ht="17.399999999999999" x14ac:dyDescent="0.25">
      <c r="A615" s="16"/>
      <c r="B615" s="17"/>
      <c r="C615" s="2"/>
      <c r="D615" s="2"/>
      <c r="E615" s="2"/>
      <c r="F615" s="2"/>
      <c r="G615" s="2"/>
      <c r="H615" s="2"/>
      <c r="I615" s="5"/>
    </row>
    <row r="616" spans="1:9" ht="17.399999999999999" x14ac:dyDescent="0.25">
      <c r="A616" s="16"/>
      <c r="B616" s="17"/>
      <c r="C616" s="2"/>
      <c r="D616" s="2"/>
      <c r="E616" s="2"/>
      <c r="F616" s="2"/>
      <c r="G616" s="2"/>
      <c r="H616" s="2"/>
      <c r="I616" s="5"/>
    </row>
    <row r="617" spans="1:9" ht="17.399999999999999" x14ac:dyDescent="0.25">
      <c r="A617" s="16"/>
      <c r="B617" s="17"/>
      <c r="C617" s="2"/>
      <c r="D617" s="2"/>
      <c r="E617" s="2"/>
      <c r="F617" s="2"/>
      <c r="G617" s="2"/>
      <c r="H617" s="2"/>
      <c r="I617" s="5"/>
    </row>
    <row r="618" spans="1:9" ht="17.399999999999999" x14ac:dyDescent="0.25">
      <c r="A618" s="16"/>
      <c r="B618" s="17"/>
      <c r="C618" s="2"/>
      <c r="D618" s="2"/>
      <c r="E618" s="2"/>
      <c r="F618" s="2"/>
      <c r="G618" s="2"/>
      <c r="H618" s="2"/>
      <c r="I618" s="5"/>
    </row>
    <row r="619" spans="1:9" ht="17.399999999999999" x14ac:dyDescent="0.25">
      <c r="A619" s="16"/>
      <c r="B619" s="17"/>
      <c r="C619" s="2"/>
      <c r="D619" s="2"/>
      <c r="E619" s="2"/>
      <c r="F619" s="2"/>
      <c r="G619" s="2"/>
      <c r="H619" s="2"/>
      <c r="I619" s="5"/>
    </row>
    <row r="620" spans="1:9" ht="17.399999999999999" x14ac:dyDescent="0.25">
      <c r="A620" s="16"/>
      <c r="B620" s="17"/>
      <c r="C620" s="2"/>
      <c r="D620" s="2"/>
      <c r="E620" s="2"/>
      <c r="F620" s="2"/>
      <c r="G620" s="2"/>
      <c r="H620" s="2"/>
      <c r="I620" s="5"/>
    </row>
    <row r="621" spans="1:9" ht="17.399999999999999" x14ac:dyDescent="0.25">
      <c r="A621" s="16"/>
      <c r="B621" s="17"/>
      <c r="C621" s="2"/>
      <c r="D621" s="2"/>
      <c r="E621" s="2"/>
      <c r="F621" s="2"/>
      <c r="G621" s="2"/>
      <c r="H621" s="2"/>
      <c r="I621" s="5"/>
    </row>
    <row r="622" spans="1:9" ht="17.399999999999999" x14ac:dyDescent="0.25">
      <c r="A622" s="16"/>
      <c r="B622" s="17"/>
      <c r="C622" s="2"/>
      <c r="D622" s="2"/>
      <c r="E622" s="2"/>
      <c r="F622" s="2"/>
      <c r="G622" s="2"/>
      <c r="H622" s="2"/>
      <c r="I622" s="5"/>
    </row>
    <row r="623" spans="1:9" ht="17.399999999999999" x14ac:dyDescent="0.25">
      <c r="A623" s="16"/>
      <c r="B623" s="17"/>
      <c r="C623" s="2"/>
      <c r="D623" s="2"/>
      <c r="E623" s="2"/>
      <c r="F623" s="2"/>
      <c r="G623" s="2"/>
      <c r="H623" s="2"/>
      <c r="I623" s="5"/>
    </row>
    <row r="624" spans="1:9" ht="17.399999999999999" x14ac:dyDescent="0.25">
      <c r="A624" s="16"/>
      <c r="B624" s="17"/>
      <c r="C624" s="2"/>
      <c r="D624" s="2"/>
      <c r="E624" s="2"/>
      <c r="F624" s="2"/>
      <c r="G624" s="2"/>
      <c r="H624" s="2"/>
      <c r="I624" s="5"/>
    </row>
    <row r="625" spans="1:9" ht="17.399999999999999" x14ac:dyDescent="0.25">
      <c r="A625" s="16"/>
      <c r="B625" s="17"/>
      <c r="C625" s="2"/>
      <c r="D625" s="2"/>
      <c r="E625" s="2"/>
      <c r="F625" s="2"/>
      <c r="G625" s="2"/>
      <c r="H625" s="2"/>
      <c r="I625" s="5"/>
    </row>
    <row r="626" spans="1:9" ht="17.399999999999999" x14ac:dyDescent="0.25">
      <c r="A626" s="16"/>
      <c r="B626" s="17"/>
      <c r="C626" s="2"/>
      <c r="D626" s="2"/>
      <c r="E626" s="2"/>
      <c r="F626" s="2"/>
      <c r="G626" s="2"/>
      <c r="H626" s="2"/>
      <c r="I626" s="5"/>
    </row>
    <row r="627" spans="1:9" ht="17.399999999999999" x14ac:dyDescent="0.25">
      <c r="A627" s="16"/>
      <c r="B627" s="17"/>
      <c r="C627" s="2"/>
      <c r="D627" s="2"/>
      <c r="E627" s="2"/>
      <c r="F627" s="2"/>
      <c r="G627" s="2"/>
      <c r="H627" s="2"/>
      <c r="I627" s="5"/>
    </row>
    <row r="628" spans="1:9" ht="17.399999999999999" x14ac:dyDescent="0.25">
      <c r="A628" s="16"/>
      <c r="B628" s="17"/>
      <c r="C628" s="2"/>
      <c r="D628" s="2"/>
      <c r="E628" s="2"/>
      <c r="F628" s="2"/>
      <c r="G628" s="2"/>
      <c r="H628" s="2"/>
      <c r="I628" s="5"/>
    </row>
    <row r="629" spans="1:9" ht="17.399999999999999" x14ac:dyDescent="0.25">
      <c r="A629" s="16"/>
      <c r="B629" s="17"/>
      <c r="C629" s="2"/>
      <c r="D629" s="2"/>
      <c r="E629" s="2"/>
      <c r="F629" s="2"/>
      <c r="G629" s="2"/>
      <c r="H629" s="2"/>
      <c r="I629" s="5"/>
    </row>
    <row r="630" spans="1:9" ht="17.399999999999999" x14ac:dyDescent="0.25">
      <c r="A630" s="16"/>
      <c r="B630" s="17"/>
      <c r="C630" s="2"/>
      <c r="D630" s="2"/>
      <c r="E630" s="2"/>
      <c r="F630" s="2"/>
      <c r="G630" s="2"/>
      <c r="H630" s="2"/>
      <c r="I630" s="5"/>
    </row>
    <row r="631" spans="1:9" ht="17.399999999999999" x14ac:dyDescent="0.25">
      <c r="A631" s="16"/>
      <c r="B631" s="17"/>
      <c r="C631" s="2"/>
      <c r="D631" s="2"/>
      <c r="E631" s="2"/>
      <c r="F631" s="2"/>
      <c r="G631" s="2"/>
      <c r="H631" s="2"/>
      <c r="I631" s="5"/>
    </row>
    <row r="632" spans="1:9" ht="17.399999999999999" x14ac:dyDescent="0.25">
      <c r="A632" s="16"/>
      <c r="B632" s="17"/>
      <c r="C632" s="2"/>
      <c r="D632" s="2"/>
      <c r="E632" s="2"/>
      <c r="F632" s="2"/>
      <c r="G632" s="2"/>
      <c r="H632" s="2"/>
      <c r="I632" s="5"/>
    </row>
    <row r="633" spans="1:9" ht="17.399999999999999" x14ac:dyDescent="0.25">
      <c r="A633" s="16"/>
      <c r="B633" s="17"/>
      <c r="C633" s="2"/>
      <c r="D633" s="2"/>
      <c r="E633" s="2"/>
      <c r="F633" s="2"/>
      <c r="G633" s="2"/>
      <c r="H633" s="2"/>
      <c r="I633" s="5"/>
    </row>
    <row r="634" spans="1:9" ht="17.399999999999999" x14ac:dyDescent="0.25">
      <c r="A634" s="16"/>
      <c r="B634" s="17"/>
      <c r="C634" s="2"/>
      <c r="D634" s="2"/>
      <c r="E634" s="2"/>
      <c r="F634" s="2"/>
      <c r="G634" s="2"/>
      <c r="H634" s="2"/>
      <c r="I634" s="5"/>
    </row>
    <row r="635" spans="1:9" ht="17.399999999999999" x14ac:dyDescent="0.25">
      <c r="A635" s="16"/>
      <c r="B635" s="17"/>
      <c r="C635" s="2"/>
      <c r="D635" s="2"/>
      <c r="E635" s="2"/>
      <c r="F635" s="2"/>
      <c r="G635" s="2"/>
      <c r="H635" s="2"/>
      <c r="I635" s="5"/>
    </row>
    <row r="636" spans="1:9" ht="17.399999999999999" x14ac:dyDescent="0.25">
      <c r="A636" s="16"/>
      <c r="B636" s="17"/>
      <c r="C636" s="2"/>
      <c r="D636" s="2"/>
      <c r="E636" s="2"/>
      <c r="F636" s="2"/>
      <c r="G636" s="2"/>
      <c r="H636" s="2"/>
      <c r="I636" s="5"/>
    </row>
    <row r="637" spans="1:9" ht="17.399999999999999" x14ac:dyDescent="0.25">
      <c r="A637" s="16"/>
      <c r="B637" s="17"/>
      <c r="C637" s="2"/>
      <c r="D637" s="2"/>
      <c r="E637" s="2"/>
      <c r="F637" s="2"/>
      <c r="G637" s="2"/>
      <c r="H637" s="2"/>
      <c r="I637" s="5"/>
    </row>
    <row r="638" spans="1:9" ht="17.399999999999999" x14ac:dyDescent="0.25">
      <c r="A638" s="16"/>
      <c r="B638" s="17"/>
      <c r="C638" s="2"/>
      <c r="D638" s="2"/>
      <c r="E638" s="2"/>
      <c r="F638" s="2"/>
      <c r="G638" s="2"/>
      <c r="H638" s="2"/>
      <c r="I638" s="5"/>
    </row>
    <row r="639" spans="1:9" ht="17.399999999999999" x14ac:dyDescent="0.25">
      <c r="A639" s="16"/>
      <c r="B639" s="17"/>
      <c r="C639" s="2"/>
      <c r="D639" s="2"/>
      <c r="E639" s="2"/>
      <c r="F639" s="2"/>
      <c r="G639" s="2"/>
      <c r="H639" s="2"/>
      <c r="I639" s="5"/>
    </row>
    <row r="640" spans="1:9" ht="17.399999999999999" x14ac:dyDescent="0.25">
      <c r="A640" s="16"/>
      <c r="B640" s="17"/>
      <c r="C640" s="2"/>
      <c r="D640" s="2"/>
      <c r="E640" s="2"/>
      <c r="F640" s="2"/>
      <c r="G640" s="2"/>
      <c r="H640" s="2"/>
      <c r="I640" s="5"/>
    </row>
    <row r="641" spans="1:9" ht="17.399999999999999" x14ac:dyDescent="0.25">
      <c r="A641" s="16"/>
      <c r="B641" s="17"/>
      <c r="C641" s="2"/>
      <c r="D641" s="2"/>
      <c r="E641" s="2"/>
      <c r="F641" s="2"/>
      <c r="G641" s="2"/>
      <c r="H641" s="2"/>
      <c r="I641" s="5"/>
    </row>
    <row r="642" spans="1:9" ht="17.399999999999999" x14ac:dyDescent="0.25">
      <c r="A642" s="16"/>
      <c r="B642" s="17"/>
      <c r="C642" s="2"/>
      <c r="D642" s="2"/>
      <c r="E642" s="2"/>
      <c r="F642" s="2"/>
      <c r="G642" s="2"/>
      <c r="H642" s="2"/>
      <c r="I642" s="5"/>
    </row>
    <row r="643" spans="1:9" ht="17.399999999999999" x14ac:dyDescent="0.25">
      <c r="A643" s="16"/>
      <c r="B643" s="17"/>
      <c r="C643" s="2"/>
      <c r="D643" s="2"/>
      <c r="E643" s="2"/>
      <c r="F643" s="2"/>
      <c r="G643" s="2"/>
      <c r="H643" s="2"/>
      <c r="I643" s="5"/>
    </row>
    <row r="644" spans="1:9" ht="17.399999999999999" x14ac:dyDescent="0.25">
      <c r="A644" s="16"/>
      <c r="B644" s="17"/>
      <c r="C644" s="2"/>
      <c r="D644" s="2"/>
      <c r="E644" s="2"/>
      <c r="F644" s="2"/>
      <c r="G644" s="2"/>
      <c r="H644" s="2"/>
      <c r="I644" s="5"/>
    </row>
    <row r="645" spans="1:9" ht="17.399999999999999" x14ac:dyDescent="0.25">
      <c r="A645" s="16"/>
      <c r="B645" s="17"/>
      <c r="C645" s="2"/>
      <c r="D645" s="2"/>
      <c r="E645" s="2"/>
      <c r="F645" s="2"/>
      <c r="G645" s="2"/>
      <c r="H645" s="2"/>
      <c r="I645" s="5"/>
    </row>
    <row r="646" spans="1:9" ht="17.399999999999999" x14ac:dyDescent="0.25">
      <c r="A646" s="16"/>
      <c r="B646" s="17"/>
      <c r="C646" s="2"/>
      <c r="D646" s="2"/>
      <c r="E646" s="2"/>
      <c r="F646" s="2"/>
      <c r="G646" s="2"/>
      <c r="H646" s="2"/>
      <c r="I646" s="5"/>
    </row>
    <row r="647" spans="1:9" ht="17.399999999999999" x14ac:dyDescent="0.25">
      <c r="A647" s="16"/>
      <c r="B647" s="17"/>
      <c r="C647" s="2"/>
      <c r="D647" s="2"/>
      <c r="E647" s="2"/>
      <c r="F647" s="2"/>
      <c r="G647" s="2"/>
      <c r="H647" s="2"/>
      <c r="I647" s="5"/>
    </row>
    <row r="648" spans="1:9" ht="17.399999999999999" x14ac:dyDescent="0.25">
      <c r="A648" s="16"/>
      <c r="B648" s="17"/>
      <c r="C648" s="2"/>
      <c r="D648" s="2"/>
      <c r="E648" s="2"/>
      <c r="F648" s="2"/>
      <c r="G648" s="2"/>
      <c r="H648" s="2"/>
      <c r="I648" s="5"/>
    </row>
    <row r="649" spans="1:9" ht="17.399999999999999" x14ac:dyDescent="0.25">
      <c r="A649" s="16"/>
      <c r="B649" s="17"/>
      <c r="C649" s="2"/>
      <c r="D649" s="2"/>
      <c r="E649" s="2"/>
      <c r="F649" s="2"/>
      <c r="G649" s="2"/>
      <c r="H649" s="2"/>
      <c r="I649" s="5"/>
    </row>
    <row r="650" spans="1:9" ht="17.399999999999999" x14ac:dyDescent="0.25">
      <c r="A650" s="16"/>
      <c r="B650" s="17"/>
      <c r="C650" s="2"/>
      <c r="D650" s="2"/>
      <c r="E650" s="2"/>
      <c r="F650" s="2"/>
      <c r="G650" s="2"/>
      <c r="H650" s="2"/>
      <c r="I650" s="5"/>
    </row>
    <row r="651" spans="1:9" ht="17.399999999999999" x14ac:dyDescent="0.25">
      <c r="A651" s="16"/>
      <c r="B651" s="17"/>
      <c r="C651" s="2"/>
      <c r="D651" s="2"/>
      <c r="E651" s="2"/>
      <c r="F651" s="2"/>
      <c r="G651" s="2"/>
      <c r="H651" s="2"/>
      <c r="I651" s="5"/>
    </row>
    <row r="652" spans="1:9" ht="17.399999999999999" x14ac:dyDescent="0.25">
      <c r="A652" s="16"/>
      <c r="B652" s="17"/>
      <c r="C652" s="2"/>
      <c r="D652" s="2"/>
      <c r="E652" s="2"/>
      <c r="F652" s="2"/>
      <c r="G652" s="2"/>
      <c r="H652" s="2"/>
      <c r="I652" s="5"/>
    </row>
    <row r="653" spans="1:9" ht="17.399999999999999" x14ac:dyDescent="0.25">
      <c r="A653" s="16"/>
      <c r="B653" s="17"/>
      <c r="C653" s="2"/>
      <c r="D653" s="2"/>
      <c r="E653" s="2"/>
      <c r="F653" s="2"/>
      <c r="G653" s="2"/>
      <c r="H653" s="2"/>
      <c r="I653" s="5"/>
    </row>
    <row r="654" spans="1:9" ht="17.399999999999999" x14ac:dyDescent="0.25">
      <c r="A654" s="16"/>
      <c r="B654" s="17"/>
      <c r="C654" s="2"/>
      <c r="D654" s="2"/>
      <c r="E654" s="2"/>
      <c r="F654" s="2"/>
      <c r="G654" s="2"/>
      <c r="H654" s="2"/>
      <c r="I654" s="5"/>
    </row>
    <row r="655" spans="1:9" ht="17.399999999999999" x14ac:dyDescent="0.25">
      <c r="A655" s="16"/>
      <c r="B655" s="17"/>
      <c r="C655" s="2"/>
      <c r="D655" s="2"/>
      <c r="E655" s="2"/>
      <c r="F655" s="2"/>
      <c r="G655" s="2"/>
      <c r="H655" s="2"/>
      <c r="I655" s="5"/>
    </row>
    <row r="656" spans="1:9" ht="17.399999999999999" x14ac:dyDescent="0.25">
      <c r="A656" s="16"/>
      <c r="B656" s="17"/>
      <c r="C656" s="2"/>
      <c r="D656" s="2"/>
      <c r="E656" s="2"/>
      <c r="F656" s="2"/>
      <c r="G656" s="2"/>
      <c r="H656" s="2"/>
      <c r="I656" s="5"/>
    </row>
    <row r="657" spans="1:9" ht="17.399999999999999" x14ac:dyDescent="0.25">
      <c r="A657" s="16"/>
      <c r="B657" s="17"/>
      <c r="C657" s="2"/>
      <c r="D657" s="2"/>
      <c r="E657" s="2"/>
      <c r="F657" s="2"/>
      <c r="G657" s="2"/>
      <c r="H657" s="2"/>
      <c r="I657" s="5"/>
    </row>
    <row r="658" spans="1:9" ht="17.399999999999999" x14ac:dyDescent="0.25">
      <c r="A658" s="16"/>
      <c r="B658" s="17"/>
      <c r="C658" s="2"/>
      <c r="D658" s="2"/>
      <c r="E658" s="2"/>
      <c r="F658" s="2"/>
      <c r="G658" s="2"/>
      <c r="H658" s="2"/>
      <c r="I658" s="5"/>
    </row>
    <row r="659" spans="1:9" ht="17.399999999999999" x14ac:dyDescent="0.25">
      <c r="A659" s="16"/>
      <c r="B659" s="17"/>
      <c r="C659" s="2"/>
      <c r="D659" s="2"/>
      <c r="E659" s="2"/>
      <c r="F659" s="2"/>
      <c r="G659" s="2"/>
      <c r="H659" s="2"/>
      <c r="I659" s="5"/>
    </row>
    <row r="660" spans="1:9" ht="17.399999999999999" x14ac:dyDescent="0.25">
      <c r="A660" s="16"/>
      <c r="B660" s="17"/>
      <c r="C660" s="2"/>
      <c r="D660" s="2"/>
      <c r="E660" s="2"/>
      <c r="F660" s="2"/>
      <c r="G660" s="2"/>
      <c r="H660" s="2"/>
      <c r="I660" s="5"/>
    </row>
    <row r="661" spans="1:9" ht="17.399999999999999" x14ac:dyDescent="0.25">
      <c r="A661" s="16"/>
      <c r="B661" s="17"/>
      <c r="C661" s="2"/>
      <c r="D661" s="2"/>
      <c r="E661" s="2"/>
      <c r="F661" s="2"/>
      <c r="G661" s="2"/>
      <c r="H661" s="2"/>
      <c r="I661" s="5"/>
    </row>
    <row r="662" spans="1:9" ht="17.399999999999999" x14ac:dyDescent="0.25">
      <c r="A662" s="16"/>
      <c r="B662" s="17"/>
      <c r="C662" s="2"/>
      <c r="D662" s="2"/>
      <c r="E662" s="2"/>
      <c r="F662" s="2"/>
      <c r="G662" s="2"/>
      <c r="H662" s="2"/>
      <c r="I662" s="5"/>
    </row>
    <row r="663" spans="1:9" ht="17.399999999999999" x14ac:dyDescent="0.25">
      <c r="A663" s="16"/>
      <c r="B663" s="17"/>
      <c r="C663" s="2"/>
      <c r="D663" s="2"/>
      <c r="E663" s="2"/>
      <c r="F663" s="2"/>
      <c r="G663" s="2"/>
      <c r="H663" s="2"/>
      <c r="I663" s="5"/>
    </row>
    <row r="664" spans="1:9" ht="17.399999999999999" x14ac:dyDescent="0.25">
      <c r="A664" s="16"/>
      <c r="B664" s="17"/>
      <c r="C664" s="2"/>
      <c r="D664" s="2"/>
      <c r="E664" s="2"/>
      <c r="F664" s="2"/>
      <c r="G664" s="2"/>
      <c r="H664" s="2"/>
      <c r="I664" s="5"/>
    </row>
    <row r="665" spans="1:9" ht="17.399999999999999" x14ac:dyDescent="0.25">
      <c r="A665" s="16"/>
      <c r="B665" s="17"/>
      <c r="C665" s="2"/>
      <c r="D665" s="2"/>
      <c r="E665" s="2"/>
      <c r="F665" s="2"/>
      <c r="G665" s="2"/>
      <c r="H665" s="2"/>
      <c r="I665" s="5"/>
    </row>
    <row r="666" spans="1:9" ht="17.399999999999999" x14ac:dyDescent="0.25">
      <c r="A666" s="16"/>
      <c r="B666" s="17"/>
      <c r="C666" s="2"/>
      <c r="D666" s="2"/>
      <c r="E666" s="2"/>
      <c r="F666" s="2"/>
      <c r="G666" s="2"/>
      <c r="H666" s="2"/>
      <c r="I666" s="5"/>
    </row>
    <row r="667" spans="1:9" ht="17.399999999999999" x14ac:dyDescent="0.25">
      <c r="A667" s="16"/>
      <c r="B667" s="17"/>
      <c r="C667" s="2"/>
      <c r="D667" s="2"/>
      <c r="E667" s="2"/>
      <c r="F667" s="2"/>
      <c r="G667" s="2"/>
      <c r="H667" s="2"/>
      <c r="I667" s="5"/>
    </row>
    <row r="668" spans="1:9" ht="17.399999999999999" x14ac:dyDescent="0.25">
      <c r="A668" s="16"/>
      <c r="B668" s="17"/>
      <c r="C668" s="2"/>
      <c r="D668" s="2"/>
      <c r="E668" s="2"/>
      <c r="F668" s="2"/>
      <c r="G668" s="2"/>
      <c r="H668" s="2"/>
      <c r="I668" s="5"/>
    </row>
    <row r="669" spans="1:9" ht="17.399999999999999" x14ac:dyDescent="0.25">
      <c r="A669" s="16"/>
      <c r="B669" s="17"/>
      <c r="C669" s="2"/>
      <c r="D669" s="2"/>
      <c r="E669" s="2"/>
      <c r="F669" s="2"/>
      <c r="G669" s="2"/>
      <c r="H669" s="2"/>
      <c r="I669" s="5"/>
    </row>
    <row r="670" spans="1:9" ht="17.399999999999999" x14ac:dyDescent="0.25">
      <c r="A670" s="16"/>
      <c r="B670" s="17"/>
      <c r="C670" s="2"/>
      <c r="D670" s="2"/>
      <c r="E670" s="2"/>
      <c r="F670" s="2"/>
      <c r="G670" s="2"/>
      <c r="H670" s="2"/>
      <c r="I670" s="5"/>
    </row>
    <row r="671" spans="1:9" ht="17.399999999999999" x14ac:dyDescent="0.25">
      <c r="A671" s="16"/>
      <c r="B671" s="17"/>
      <c r="C671" s="2"/>
      <c r="D671" s="2"/>
      <c r="E671" s="2"/>
      <c r="F671" s="2"/>
      <c r="G671" s="2"/>
      <c r="H671" s="2"/>
      <c r="I671" s="5"/>
    </row>
    <row r="672" spans="1:9" ht="17.399999999999999" x14ac:dyDescent="0.25">
      <c r="A672" s="16"/>
      <c r="B672" s="17"/>
      <c r="C672" s="2"/>
      <c r="D672" s="2"/>
      <c r="E672" s="2"/>
      <c r="F672" s="2"/>
      <c r="G672" s="2"/>
      <c r="H672" s="2"/>
      <c r="I672" s="5"/>
    </row>
    <row r="673" spans="1:9" ht="17.399999999999999" x14ac:dyDescent="0.25">
      <c r="A673" s="16"/>
      <c r="B673" s="17"/>
      <c r="C673" s="2"/>
      <c r="D673" s="2"/>
      <c r="E673" s="2"/>
      <c r="F673" s="2"/>
      <c r="G673" s="2"/>
      <c r="H673" s="2"/>
      <c r="I673" s="5"/>
    </row>
    <row r="674" spans="1:9" ht="17.399999999999999" x14ac:dyDescent="0.25">
      <c r="A674" s="16"/>
      <c r="B674" s="17"/>
      <c r="C674" s="2"/>
      <c r="D674" s="2"/>
      <c r="E674" s="2"/>
      <c r="F674" s="2"/>
      <c r="G674" s="2"/>
      <c r="H674" s="2"/>
      <c r="I674" s="5"/>
    </row>
    <row r="675" spans="1:9" ht="17.399999999999999" x14ac:dyDescent="0.25">
      <c r="A675" s="16"/>
      <c r="B675" s="17"/>
      <c r="C675" s="2"/>
      <c r="D675" s="2"/>
      <c r="E675" s="2"/>
      <c r="F675" s="2"/>
      <c r="G675" s="2"/>
      <c r="H675" s="2"/>
      <c r="I675" s="5"/>
    </row>
    <row r="676" spans="1:9" ht="17.399999999999999" x14ac:dyDescent="0.25">
      <c r="A676" s="16"/>
      <c r="B676" s="17"/>
      <c r="C676" s="2"/>
      <c r="D676" s="2"/>
      <c r="E676" s="2"/>
      <c r="F676" s="2"/>
      <c r="G676" s="2"/>
      <c r="H676" s="2"/>
      <c r="I676" s="5"/>
    </row>
    <row r="677" spans="1:9" ht="17.399999999999999" x14ac:dyDescent="0.25">
      <c r="A677" s="16"/>
      <c r="B677" s="17"/>
      <c r="C677" s="2"/>
      <c r="D677" s="2"/>
      <c r="E677" s="2"/>
      <c r="F677" s="2"/>
      <c r="G677" s="2"/>
      <c r="H677" s="2"/>
      <c r="I677" s="5"/>
    </row>
    <row r="678" spans="1:9" ht="17.399999999999999" x14ac:dyDescent="0.25">
      <c r="A678" s="16"/>
      <c r="B678" s="17"/>
      <c r="C678" s="2"/>
      <c r="D678" s="2"/>
      <c r="E678" s="2"/>
      <c r="F678" s="2"/>
      <c r="G678" s="2"/>
      <c r="H678" s="2"/>
      <c r="I678" s="5"/>
    </row>
    <row r="679" spans="1:9" ht="17.399999999999999" x14ac:dyDescent="0.25">
      <c r="A679" s="16"/>
      <c r="B679" s="17"/>
      <c r="C679" s="2"/>
      <c r="D679" s="2"/>
      <c r="E679" s="2"/>
      <c r="F679" s="2"/>
      <c r="G679" s="2"/>
      <c r="H679" s="2"/>
      <c r="I679" s="5"/>
    </row>
    <row r="680" spans="1:9" ht="17.399999999999999" x14ac:dyDescent="0.25">
      <c r="A680" s="16"/>
      <c r="B680" s="17"/>
      <c r="C680" s="2"/>
      <c r="D680" s="2"/>
      <c r="E680" s="2"/>
      <c r="F680" s="2"/>
      <c r="G680" s="2"/>
      <c r="H680" s="2"/>
      <c r="I680" s="5"/>
    </row>
    <row r="681" spans="1:9" ht="17.399999999999999" x14ac:dyDescent="0.25">
      <c r="A681" s="16"/>
      <c r="B681" s="17"/>
      <c r="C681" s="2"/>
      <c r="D681" s="2"/>
      <c r="E681" s="2"/>
      <c r="F681" s="2"/>
      <c r="G681" s="2"/>
      <c r="H681" s="2"/>
      <c r="I681" s="5"/>
    </row>
    <row r="682" spans="1:9" ht="17.399999999999999" x14ac:dyDescent="0.25">
      <c r="A682" s="16"/>
      <c r="B682" s="17"/>
      <c r="C682" s="2"/>
      <c r="D682" s="2"/>
      <c r="E682" s="2"/>
      <c r="F682" s="2"/>
      <c r="G682" s="2"/>
      <c r="H682" s="2"/>
      <c r="I682" s="5"/>
    </row>
    <row r="683" spans="1:9" ht="17.399999999999999" x14ac:dyDescent="0.25">
      <c r="A683" s="16"/>
      <c r="B683" s="17"/>
      <c r="C683" s="2"/>
      <c r="D683" s="2"/>
      <c r="E683" s="2"/>
      <c r="F683" s="2"/>
      <c r="G683" s="2"/>
      <c r="H683" s="2"/>
      <c r="I683" s="5"/>
    </row>
    <row r="684" spans="1:9" ht="17.399999999999999" x14ac:dyDescent="0.25">
      <c r="A684" s="16"/>
      <c r="B684" s="17"/>
      <c r="C684" s="2"/>
      <c r="D684" s="2"/>
      <c r="E684" s="2"/>
      <c r="F684" s="2"/>
      <c r="G684" s="2"/>
      <c r="H684" s="2"/>
      <c r="I684" s="5"/>
    </row>
    <row r="685" spans="1:9" ht="17.399999999999999" x14ac:dyDescent="0.25">
      <c r="A685" s="16"/>
      <c r="B685" s="17"/>
      <c r="C685" s="2"/>
      <c r="D685" s="2"/>
      <c r="E685" s="2"/>
      <c r="F685" s="2"/>
      <c r="G685" s="2"/>
      <c r="H685" s="2"/>
      <c r="I685" s="5"/>
    </row>
    <row r="686" spans="1:9" ht="17.399999999999999" x14ac:dyDescent="0.25">
      <c r="A686" s="16"/>
      <c r="B686" s="17"/>
      <c r="C686" s="2"/>
      <c r="D686" s="2"/>
      <c r="E686" s="2"/>
      <c r="F686" s="2"/>
      <c r="G686" s="2"/>
      <c r="H686" s="2"/>
      <c r="I686" s="5"/>
    </row>
    <row r="687" spans="1:9" ht="17.399999999999999" x14ac:dyDescent="0.25">
      <c r="A687" s="16"/>
      <c r="B687" s="17"/>
      <c r="C687" s="2"/>
      <c r="D687" s="2"/>
      <c r="E687" s="2"/>
      <c r="F687" s="2"/>
      <c r="G687" s="2"/>
      <c r="H687" s="2"/>
      <c r="I687" s="5"/>
    </row>
    <row r="688" spans="1:9" ht="17.399999999999999" x14ac:dyDescent="0.25">
      <c r="A688" s="16"/>
      <c r="B688" s="17"/>
      <c r="C688" s="2"/>
      <c r="D688" s="2"/>
      <c r="E688" s="2"/>
      <c r="F688" s="2"/>
      <c r="G688" s="2"/>
      <c r="H688" s="2"/>
      <c r="I688" s="5"/>
    </row>
    <row r="689" spans="1:9" ht="17.399999999999999" x14ac:dyDescent="0.25">
      <c r="A689" s="16"/>
      <c r="B689" s="17"/>
      <c r="C689" s="2"/>
      <c r="D689" s="2"/>
      <c r="E689" s="2"/>
      <c r="F689" s="2"/>
      <c r="G689" s="2"/>
      <c r="H689" s="2"/>
      <c r="I689" s="5"/>
    </row>
    <row r="690" spans="1:9" ht="17.399999999999999" x14ac:dyDescent="0.25">
      <c r="A690" s="16"/>
      <c r="B690" s="17"/>
      <c r="C690" s="2"/>
      <c r="D690" s="2"/>
      <c r="E690" s="2"/>
      <c r="F690" s="2"/>
      <c r="G690" s="2"/>
      <c r="H690" s="2"/>
      <c r="I690" s="5"/>
    </row>
    <row r="691" spans="1:9" ht="17.399999999999999" x14ac:dyDescent="0.25">
      <c r="A691" s="16"/>
      <c r="B691" s="17"/>
      <c r="C691" s="2"/>
      <c r="D691" s="2"/>
      <c r="E691" s="2"/>
      <c r="F691" s="2"/>
      <c r="G691" s="2"/>
      <c r="H691" s="2"/>
      <c r="I691" s="5"/>
    </row>
    <row r="692" spans="1:9" ht="17.399999999999999" x14ac:dyDescent="0.25">
      <c r="A692" s="16"/>
      <c r="B692" s="17"/>
      <c r="C692" s="2"/>
      <c r="D692" s="2"/>
      <c r="E692" s="2"/>
      <c r="F692" s="2"/>
      <c r="G692" s="2"/>
      <c r="H692" s="2"/>
      <c r="I692" s="5"/>
    </row>
    <row r="693" spans="1:9" ht="17.399999999999999" x14ac:dyDescent="0.25">
      <c r="A693" s="16"/>
      <c r="B693" s="17"/>
      <c r="C693" s="2"/>
      <c r="D693" s="2"/>
      <c r="E693" s="2"/>
      <c r="F693" s="2"/>
      <c r="G693" s="2"/>
      <c r="H693" s="2"/>
      <c r="I693" s="5"/>
    </row>
    <row r="694" spans="1:9" ht="17.399999999999999" x14ac:dyDescent="0.25">
      <c r="A694" s="16"/>
      <c r="B694" s="17"/>
      <c r="C694" s="2"/>
      <c r="D694" s="2"/>
      <c r="E694" s="2"/>
      <c r="F694" s="2"/>
      <c r="G694" s="2"/>
      <c r="H694" s="2"/>
      <c r="I694" s="5"/>
    </row>
    <row r="695" spans="1:9" ht="17.399999999999999" x14ac:dyDescent="0.25">
      <c r="A695" s="16"/>
      <c r="B695" s="17"/>
      <c r="C695" s="2"/>
      <c r="D695" s="2"/>
      <c r="E695" s="2"/>
      <c r="F695" s="2"/>
      <c r="G695" s="2"/>
      <c r="H695" s="2"/>
      <c r="I695" s="5"/>
    </row>
    <row r="696" spans="1:9" ht="17.399999999999999" x14ac:dyDescent="0.25">
      <c r="A696" s="16"/>
      <c r="B696" s="17"/>
      <c r="C696" s="2"/>
      <c r="D696" s="2"/>
      <c r="E696" s="2"/>
      <c r="F696" s="2"/>
      <c r="G696" s="2"/>
      <c r="H696" s="2"/>
      <c r="I696" s="5"/>
    </row>
    <row r="697" spans="1:9" ht="17.399999999999999" x14ac:dyDescent="0.25">
      <c r="A697" s="16"/>
      <c r="B697" s="17"/>
      <c r="C697" s="2"/>
      <c r="D697" s="2"/>
      <c r="E697" s="2"/>
      <c r="F697" s="2"/>
      <c r="G697" s="2"/>
      <c r="H697" s="2"/>
      <c r="I697" s="5"/>
    </row>
    <row r="698" spans="1:9" ht="17.399999999999999" x14ac:dyDescent="0.25">
      <c r="A698" s="16"/>
      <c r="B698" s="17"/>
      <c r="C698" s="2"/>
      <c r="D698" s="2"/>
      <c r="E698" s="2"/>
      <c r="F698" s="2"/>
      <c r="G698" s="2"/>
      <c r="H698" s="2"/>
      <c r="I698" s="5"/>
    </row>
    <row r="699" spans="1:9" ht="17.399999999999999" x14ac:dyDescent="0.25">
      <c r="A699" s="16"/>
      <c r="B699" s="17"/>
      <c r="C699" s="2"/>
      <c r="D699" s="2"/>
      <c r="E699" s="2"/>
      <c r="F699" s="2"/>
      <c r="G699" s="2"/>
      <c r="H699" s="2"/>
      <c r="I699" s="5"/>
    </row>
    <row r="700" spans="1:9" ht="17.399999999999999" x14ac:dyDescent="0.25">
      <c r="A700" s="16"/>
      <c r="B700" s="17"/>
      <c r="C700" s="2"/>
      <c r="D700" s="2"/>
      <c r="E700" s="2"/>
      <c r="F700" s="2"/>
      <c r="G700" s="2"/>
      <c r="H700" s="2"/>
      <c r="I700" s="5"/>
    </row>
    <row r="701" spans="1:9" ht="17.399999999999999" x14ac:dyDescent="0.25">
      <c r="A701" s="16"/>
      <c r="B701" s="17"/>
      <c r="C701" s="2"/>
      <c r="D701" s="2"/>
      <c r="E701" s="2"/>
      <c r="F701" s="2"/>
      <c r="G701" s="2"/>
      <c r="H701" s="2"/>
      <c r="I701" s="5"/>
    </row>
    <row r="702" spans="1:9" ht="17.399999999999999" x14ac:dyDescent="0.25">
      <c r="A702" s="16"/>
      <c r="B702" s="17"/>
      <c r="C702" s="2"/>
      <c r="D702" s="2"/>
      <c r="E702" s="2"/>
      <c r="F702" s="2"/>
      <c r="G702" s="2"/>
      <c r="H702" s="2"/>
      <c r="I702" s="5"/>
    </row>
    <row r="703" spans="1:9" ht="17.399999999999999" x14ac:dyDescent="0.25">
      <c r="A703" s="16"/>
      <c r="B703" s="17"/>
      <c r="C703" s="2"/>
      <c r="D703" s="2"/>
      <c r="E703" s="2"/>
      <c r="F703" s="2"/>
      <c r="G703" s="2"/>
      <c r="H703" s="2"/>
      <c r="I703" s="5"/>
    </row>
    <row r="704" spans="1:9" ht="17.399999999999999" x14ac:dyDescent="0.25">
      <c r="A704" s="16"/>
      <c r="B704" s="17"/>
      <c r="C704" s="2"/>
      <c r="D704" s="2"/>
      <c r="E704" s="2"/>
      <c r="F704" s="2"/>
      <c r="G704" s="2"/>
      <c r="H704" s="2"/>
      <c r="I704" s="5"/>
    </row>
    <row r="705" spans="1:9" ht="17.399999999999999" x14ac:dyDescent="0.25">
      <c r="A705" s="16"/>
      <c r="B705" s="17"/>
      <c r="C705" s="2"/>
      <c r="D705" s="2"/>
      <c r="E705" s="2"/>
      <c r="F705" s="2"/>
      <c r="G705" s="2"/>
      <c r="H705" s="2"/>
      <c r="I705" s="5"/>
    </row>
    <row r="706" spans="1:9" ht="17.399999999999999" x14ac:dyDescent="0.25">
      <c r="A706" s="16"/>
      <c r="B706" s="17"/>
      <c r="C706" s="2"/>
      <c r="D706" s="2"/>
      <c r="E706" s="2"/>
      <c r="F706" s="2"/>
      <c r="G706" s="2"/>
      <c r="H706" s="2"/>
      <c r="I706" s="5"/>
    </row>
    <row r="707" spans="1:9" ht="17.399999999999999" x14ac:dyDescent="0.25">
      <c r="A707" s="16"/>
      <c r="B707" s="17"/>
      <c r="C707" s="2"/>
      <c r="D707" s="2"/>
      <c r="E707" s="2"/>
      <c r="F707" s="2"/>
      <c r="G707" s="2"/>
      <c r="H707" s="2"/>
      <c r="I707" s="5"/>
    </row>
    <row r="708" spans="1:9" ht="17.399999999999999" x14ac:dyDescent="0.25">
      <c r="A708" s="16"/>
      <c r="B708" s="17"/>
      <c r="C708" s="2"/>
      <c r="D708" s="2"/>
      <c r="E708" s="2"/>
      <c r="F708" s="2"/>
      <c r="G708" s="2"/>
      <c r="H708" s="2"/>
      <c r="I708" s="5"/>
    </row>
    <row r="709" spans="1:9" ht="17.399999999999999" x14ac:dyDescent="0.25">
      <c r="A709" s="16"/>
      <c r="B709" s="17"/>
      <c r="C709" s="2"/>
      <c r="D709" s="2"/>
      <c r="E709" s="2"/>
      <c r="F709" s="2"/>
      <c r="G709" s="2"/>
      <c r="H709" s="2"/>
      <c r="I709" s="5"/>
    </row>
    <row r="710" spans="1:9" ht="17.399999999999999" x14ac:dyDescent="0.25">
      <c r="A710" s="16"/>
      <c r="B710" s="17"/>
      <c r="C710" s="2"/>
      <c r="D710" s="2"/>
      <c r="E710" s="2"/>
      <c r="F710" s="2"/>
      <c r="G710" s="2"/>
      <c r="H710" s="2"/>
      <c r="I710" s="5"/>
    </row>
    <row r="711" spans="1:9" ht="17.399999999999999" x14ac:dyDescent="0.25">
      <c r="A711" s="16"/>
      <c r="B711" s="17"/>
      <c r="C711" s="2"/>
      <c r="D711" s="2"/>
      <c r="E711" s="2"/>
      <c r="F711" s="2"/>
      <c r="G711" s="2"/>
      <c r="H711" s="2"/>
      <c r="I711" s="5"/>
    </row>
    <row r="712" spans="1:9" ht="17.399999999999999" x14ac:dyDescent="0.25">
      <c r="A712" s="16"/>
      <c r="B712" s="17"/>
      <c r="C712" s="2"/>
      <c r="D712" s="2"/>
      <c r="E712" s="2"/>
      <c r="F712" s="2"/>
      <c r="G712" s="2"/>
      <c r="H712" s="2"/>
      <c r="I712" s="5"/>
    </row>
    <row r="713" spans="1:9" ht="17.399999999999999" x14ac:dyDescent="0.25">
      <c r="A713" s="16"/>
      <c r="B713" s="17"/>
      <c r="C713" s="2"/>
      <c r="D713" s="2"/>
      <c r="E713" s="2"/>
      <c r="F713" s="2"/>
      <c r="G713" s="2"/>
      <c r="H713" s="2"/>
      <c r="I713" s="5"/>
    </row>
    <row r="714" spans="1:9" ht="17.399999999999999" x14ac:dyDescent="0.25">
      <c r="A714" s="16"/>
      <c r="B714" s="17"/>
      <c r="C714" s="2"/>
      <c r="D714" s="2"/>
      <c r="E714" s="2"/>
      <c r="F714" s="2"/>
      <c r="G714" s="2"/>
      <c r="H714" s="2"/>
      <c r="I714" s="5"/>
    </row>
    <row r="715" spans="1:9" ht="17.399999999999999" x14ac:dyDescent="0.25">
      <c r="A715" s="16"/>
      <c r="B715" s="17"/>
      <c r="C715" s="2"/>
      <c r="D715" s="2"/>
      <c r="E715" s="2"/>
      <c r="F715" s="2"/>
      <c r="G715" s="2"/>
      <c r="H715" s="2"/>
      <c r="I715" s="5"/>
    </row>
    <row r="716" spans="1:9" ht="17.399999999999999" x14ac:dyDescent="0.25">
      <c r="A716" s="16"/>
      <c r="B716" s="17"/>
      <c r="C716" s="2"/>
      <c r="D716" s="2"/>
      <c r="E716" s="2"/>
      <c r="F716" s="2"/>
      <c r="G716" s="2"/>
      <c r="H716" s="2"/>
      <c r="I716" s="5"/>
    </row>
    <row r="717" spans="1:9" ht="17.399999999999999" x14ac:dyDescent="0.25">
      <c r="A717" s="16"/>
      <c r="B717" s="17"/>
      <c r="C717" s="2"/>
      <c r="D717" s="2"/>
      <c r="E717" s="2"/>
      <c r="F717" s="2"/>
      <c r="G717" s="2"/>
      <c r="H717" s="2"/>
      <c r="I717" s="5"/>
    </row>
    <row r="718" spans="1:9" ht="17.399999999999999" x14ac:dyDescent="0.25">
      <c r="A718" s="16"/>
      <c r="B718" s="17"/>
      <c r="C718" s="2"/>
      <c r="D718" s="2"/>
      <c r="E718" s="2"/>
      <c r="F718" s="2"/>
      <c r="G718" s="2"/>
      <c r="H718" s="2"/>
      <c r="I718" s="5"/>
    </row>
    <row r="719" spans="1:9" ht="17.399999999999999" x14ac:dyDescent="0.25">
      <c r="A719" s="16"/>
      <c r="B719" s="17"/>
      <c r="C719" s="2"/>
      <c r="D719" s="2"/>
      <c r="E719" s="2"/>
      <c r="F719" s="2"/>
      <c r="G719" s="2"/>
      <c r="H719" s="2"/>
      <c r="I719" s="5"/>
    </row>
    <row r="720" spans="1:9" ht="17.399999999999999" x14ac:dyDescent="0.25">
      <c r="A720" s="16"/>
      <c r="B720" s="17"/>
      <c r="C720" s="2"/>
      <c r="D720" s="2"/>
      <c r="E720" s="2"/>
      <c r="F720" s="2"/>
      <c r="G720" s="2"/>
      <c r="H720" s="2"/>
      <c r="I720" s="5"/>
    </row>
    <row r="721" spans="1:9" ht="17.399999999999999" x14ac:dyDescent="0.25">
      <c r="A721" s="16"/>
      <c r="B721" s="17"/>
      <c r="C721" s="2"/>
      <c r="D721" s="2"/>
      <c r="E721" s="2"/>
      <c r="F721" s="2"/>
      <c r="G721" s="2"/>
      <c r="H721" s="2"/>
      <c r="I721" s="5"/>
    </row>
    <row r="722" spans="1:9" ht="17.399999999999999" x14ac:dyDescent="0.25">
      <c r="A722" s="16"/>
      <c r="B722" s="17"/>
      <c r="C722" s="2"/>
      <c r="D722" s="2"/>
      <c r="E722" s="2"/>
      <c r="F722" s="2"/>
      <c r="G722" s="2"/>
      <c r="H722" s="2"/>
      <c r="I722" s="5"/>
    </row>
    <row r="723" spans="1:9" ht="17.399999999999999" x14ac:dyDescent="0.25">
      <c r="A723" s="16"/>
      <c r="B723" s="17"/>
      <c r="C723" s="2"/>
      <c r="D723" s="2"/>
      <c r="E723" s="2"/>
      <c r="F723" s="2"/>
      <c r="G723" s="2"/>
      <c r="H723" s="2"/>
      <c r="I723" s="5"/>
    </row>
    <row r="724" spans="1:9" ht="17.399999999999999" x14ac:dyDescent="0.25">
      <c r="A724" s="16"/>
      <c r="B724" s="17"/>
      <c r="C724" s="2"/>
      <c r="D724" s="2"/>
      <c r="E724" s="2"/>
      <c r="F724" s="2"/>
      <c r="G724" s="2"/>
      <c r="H724" s="2"/>
      <c r="I724" s="5"/>
    </row>
    <row r="725" spans="1:9" ht="17.399999999999999" x14ac:dyDescent="0.25">
      <c r="A725" s="16"/>
      <c r="B725" s="17"/>
      <c r="C725" s="2"/>
      <c r="D725" s="2"/>
      <c r="E725" s="2"/>
      <c r="F725" s="2"/>
      <c r="G725" s="2"/>
      <c r="H725" s="2"/>
      <c r="I725" s="5"/>
    </row>
    <row r="726" spans="1:9" ht="17.399999999999999" x14ac:dyDescent="0.25">
      <c r="A726" s="16"/>
      <c r="B726" s="17"/>
      <c r="C726" s="2"/>
      <c r="D726" s="2"/>
      <c r="E726" s="2"/>
      <c r="F726" s="2"/>
      <c r="G726" s="2"/>
      <c r="H726" s="2"/>
      <c r="I726" s="5"/>
    </row>
    <row r="727" spans="1:9" ht="17.399999999999999" x14ac:dyDescent="0.25">
      <c r="A727" s="16"/>
      <c r="B727" s="17"/>
      <c r="C727" s="2"/>
      <c r="D727" s="2"/>
      <c r="E727" s="2"/>
      <c r="F727" s="2"/>
      <c r="G727" s="2"/>
      <c r="H727" s="2"/>
      <c r="I727" s="5"/>
    </row>
    <row r="728" spans="1:9" ht="17.399999999999999" x14ac:dyDescent="0.25">
      <c r="A728" s="16"/>
      <c r="B728" s="17"/>
      <c r="C728" s="2"/>
      <c r="D728" s="2"/>
      <c r="E728" s="2"/>
      <c r="F728" s="2"/>
      <c r="G728" s="2"/>
      <c r="H728" s="2"/>
      <c r="I728" s="5"/>
    </row>
    <row r="729" spans="1:9" ht="17.399999999999999" x14ac:dyDescent="0.25">
      <c r="A729" s="16"/>
      <c r="B729" s="17"/>
      <c r="C729" s="2"/>
      <c r="D729" s="2"/>
      <c r="E729" s="2"/>
      <c r="F729" s="2"/>
      <c r="G729" s="2"/>
      <c r="H729" s="2"/>
      <c r="I729" s="5"/>
    </row>
    <row r="730" spans="1:9" ht="17.399999999999999" x14ac:dyDescent="0.25">
      <c r="A730" s="16"/>
      <c r="B730" s="17"/>
      <c r="C730" s="2"/>
      <c r="D730" s="2"/>
      <c r="E730" s="2"/>
      <c r="F730" s="2"/>
      <c r="G730" s="2"/>
      <c r="H730" s="2"/>
      <c r="I730" s="5"/>
    </row>
    <row r="731" spans="1:9" ht="17.399999999999999" x14ac:dyDescent="0.25">
      <c r="A731" s="16"/>
      <c r="B731" s="17"/>
      <c r="C731" s="2"/>
      <c r="D731" s="2"/>
      <c r="E731" s="2"/>
      <c r="F731" s="2"/>
      <c r="G731" s="2"/>
      <c r="H731" s="2"/>
      <c r="I731" s="5"/>
    </row>
    <row r="732" spans="1:9" ht="17.399999999999999" x14ac:dyDescent="0.25">
      <c r="A732" s="16"/>
      <c r="B732" s="17"/>
      <c r="C732" s="2"/>
      <c r="D732" s="2"/>
      <c r="E732" s="2"/>
      <c r="F732" s="2"/>
      <c r="G732" s="2"/>
      <c r="H732" s="2"/>
      <c r="I732" s="5"/>
    </row>
    <row r="733" spans="1:9" ht="17.399999999999999" x14ac:dyDescent="0.25">
      <c r="A733" s="16"/>
      <c r="B733" s="17"/>
      <c r="C733" s="2"/>
      <c r="D733" s="2"/>
      <c r="E733" s="2"/>
      <c r="F733" s="2"/>
      <c r="G733" s="2"/>
      <c r="H733" s="2"/>
      <c r="I733" s="5"/>
    </row>
    <row r="734" spans="1:9" ht="17.399999999999999" x14ac:dyDescent="0.25">
      <c r="A734" s="16"/>
      <c r="B734" s="17"/>
      <c r="C734" s="2"/>
      <c r="D734" s="2"/>
      <c r="E734" s="2"/>
      <c r="F734" s="2"/>
      <c r="G734" s="2"/>
      <c r="H734" s="2"/>
      <c r="I734" s="5"/>
    </row>
    <row r="735" spans="1:9" ht="17.399999999999999" x14ac:dyDescent="0.25">
      <c r="A735" s="16"/>
      <c r="B735" s="17"/>
      <c r="C735" s="2"/>
      <c r="D735" s="2"/>
      <c r="E735" s="2"/>
      <c r="F735" s="2"/>
      <c r="G735" s="2"/>
      <c r="H735" s="2"/>
      <c r="I735" s="5"/>
    </row>
    <row r="736" spans="1:9" ht="17.399999999999999" x14ac:dyDescent="0.25">
      <c r="A736" s="16"/>
      <c r="B736" s="17"/>
      <c r="C736" s="2"/>
      <c r="D736" s="2"/>
      <c r="E736" s="2"/>
      <c r="F736" s="2"/>
      <c r="G736" s="2"/>
      <c r="H736" s="2"/>
      <c r="I736" s="5"/>
    </row>
    <row r="737" spans="1:9" ht="17.399999999999999" x14ac:dyDescent="0.25">
      <c r="A737" s="16"/>
      <c r="B737" s="17"/>
      <c r="C737" s="2"/>
      <c r="D737" s="2"/>
      <c r="E737" s="2"/>
      <c r="F737" s="2"/>
      <c r="G737" s="2"/>
      <c r="H737" s="2"/>
      <c r="I737" s="5"/>
    </row>
    <row r="738" spans="1:9" ht="17.399999999999999" x14ac:dyDescent="0.25">
      <c r="A738" s="16"/>
      <c r="B738" s="17"/>
      <c r="C738" s="2"/>
      <c r="D738" s="2"/>
      <c r="E738" s="2"/>
      <c r="F738" s="2"/>
      <c r="G738" s="2"/>
      <c r="H738" s="2"/>
      <c r="I738" s="5"/>
    </row>
    <row r="739" spans="1:9" ht="17.399999999999999" x14ac:dyDescent="0.25">
      <c r="A739" s="16"/>
      <c r="B739" s="17"/>
      <c r="C739" s="2"/>
      <c r="D739" s="2"/>
      <c r="E739" s="2"/>
      <c r="F739" s="2"/>
      <c r="G739" s="2"/>
      <c r="H739" s="2"/>
      <c r="I739" s="5"/>
    </row>
    <row r="740" spans="1:9" ht="17.399999999999999" x14ac:dyDescent="0.25">
      <c r="A740" s="16"/>
      <c r="B740" s="17"/>
      <c r="C740" s="2"/>
      <c r="D740" s="2"/>
      <c r="E740" s="2"/>
      <c r="F740" s="2"/>
      <c r="G740" s="2"/>
      <c r="H740" s="2"/>
      <c r="I740" s="5"/>
    </row>
    <row r="741" spans="1:9" ht="17.399999999999999" x14ac:dyDescent="0.25">
      <c r="A741" s="16"/>
      <c r="B741" s="17"/>
      <c r="C741" s="2"/>
      <c r="D741" s="2"/>
      <c r="E741" s="2"/>
      <c r="F741" s="2"/>
      <c r="G741" s="2"/>
      <c r="H741" s="2"/>
      <c r="I741" s="5"/>
    </row>
    <row r="742" spans="1:9" ht="17.399999999999999" x14ac:dyDescent="0.25">
      <c r="A742" s="16"/>
      <c r="B742" s="17"/>
      <c r="C742" s="2"/>
      <c r="D742" s="2"/>
      <c r="E742" s="2"/>
      <c r="F742" s="2"/>
      <c r="G742" s="2"/>
      <c r="H742" s="2"/>
      <c r="I742" s="5"/>
    </row>
    <row r="743" spans="1:9" ht="17.399999999999999" x14ac:dyDescent="0.25">
      <c r="A743" s="16"/>
      <c r="B743" s="17"/>
      <c r="C743" s="2"/>
      <c r="D743" s="2"/>
      <c r="E743" s="2"/>
      <c r="F743" s="2"/>
      <c r="G743" s="2"/>
      <c r="H743" s="2"/>
      <c r="I743" s="5"/>
    </row>
    <row r="744" spans="1:9" ht="17.399999999999999" x14ac:dyDescent="0.25">
      <c r="A744" s="16"/>
      <c r="B744" s="17"/>
      <c r="C744" s="2"/>
      <c r="D744" s="2"/>
      <c r="E744" s="2"/>
      <c r="F744" s="2"/>
      <c r="G744" s="2"/>
      <c r="H744" s="2"/>
      <c r="I744" s="5"/>
    </row>
    <row r="745" spans="1:9" ht="17.399999999999999" x14ac:dyDescent="0.25">
      <c r="A745" s="16"/>
      <c r="B745" s="17"/>
      <c r="C745" s="2"/>
      <c r="D745" s="2"/>
      <c r="E745" s="2"/>
      <c r="F745" s="2"/>
      <c r="G745" s="2"/>
      <c r="H745" s="2"/>
      <c r="I745" s="5"/>
    </row>
    <row r="746" spans="1:9" ht="17.399999999999999" x14ac:dyDescent="0.25">
      <c r="A746" s="16"/>
      <c r="B746" s="17"/>
      <c r="C746" s="2"/>
      <c r="D746" s="2"/>
      <c r="E746" s="2"/>
      <c r="F746" s="2"/>
      <c r="G746" s="2"/>
      <c r="H746" s="2"/>
      <c r="I746" s="5"/>
    </row>
    <row r="747" spans="1:9" ht="17.399999999999999" x14ac:dyDescent="0.25">
      <c r="A747" s="16"/>
      <c r="B747" s="17"/>
      <c r="C747" s="2"/>
      <c r="D747" s="2"/>
      <c r="E747" s="2"/>
      <c r="F747" s="2"/>
      <c r="G747" s="2"/>
      <c r="H747" s="2"/>
      <c r="I747" s="5"/>
    </row>
    <row r="748" spans="1:9" ht="17.399999999999999" x14ac:dyDescent="0.25">
      <c r="A748" s="16"/>
      <c r="B748" s="17"/>
      <c r="C748" s="2"/>
      <c r="D748" s="2"/>
      <c r="E748" s="2"/>
      <c r="F748" s="2"/>
      <c r="G748" s="2"/>
      <c r="H748" s="2"/>
      <c r="I748" s="5"/>
    </row>
    <row r="749" spans="1:9" ht="17.399999999999999" x14ac:dyDescent="0.25">
      <c r="A749" s="16"/>
      <c r="B749" s="17"/>
      <c r="C749" s="2"/>
      <c r="D749" s="2"/>
      <c r="E749" s="2"/>
      <c r="F749" s="2"/>
      <c r="G749" s="2"/>
      <c r="H749" s="2"/>
      <c r="I749" s="5"/>
    </row>
    <row r="750" spans="1:9" ht="17.399999999999999" x14ac:dyDescent="0.25">
      <c r="A750" s="16"/>
      <c r="B750" s="17"/>
      <c r="C750" s="2"/>
      <c r="D750" s="2"/>
      <c r="E750" s="2"/>
      <c r="F750" s="2"/>
      <c r="G750" s="2"/>
      <c r="H750" s="2"/>
      <c r="I750" s="5"/>
    </row>
    <row r="751" spans="1:9" ht="17.399999999999999" x14ac:dyDescent="0.25">
      <c r="A751" s="16"/>
      <c r="B751" s="17"/>
      <c r="C751" s="2"/>
      <c r="D751" s="2"/>
      <c r="E751" s="2"/>
      <c r="F751" s="2"/>
      <c r="G751" s="2"/>
      <c r="H751" s="2"/>
      <c r="I751" s="5"/>
    </row>
    <row r="752" spans="1:9" ht="17.399999999999999" x14ac:dyDescent="0.25">
      <c r="A752" s="16"/>
      <c r="B752" s="17"/>
      <c r="C752" s="2"/>
      <c r="D752" s="2"/>
      <c r="E752" s="2"/>
      <c r="F752" s="2"/>
      <c r="G752" s="2"/>
      <c r="H752" s="2"/>
      <c r="I752" s="5"/>
    </row>
    <row r="753" spans="1:9" ht="17.399999999999999" x14ac:dyDescent="0.25">
      <c r="A753" s="16"/>
      <c r="B753" s="17"/>
      <c r="C753" s="2"/>
      <c r="D753" s="2"/>
      <c r="E753" s="2"/>
      <c r="F753" s="2"/>
      <c r="G753" s="2"/>
      <c r="H753" s="2"/>
      <c r="I753" s="5"/>
    </row>
    <row r="754" spans="1:9" ht="17.399999999999999" x14ac:dyDescent="0.25">
      <c r="A754" s="16"/>
      <c r="B754" s="17"/>
      <c r="C754" s="2"/>
      <c r="D754" s="2"/>
      <c r="E754" s="2"/>
      <c r="F754" s="2"/>
      <c r="G754" s="2"/>
      <c r="H754" s="2"/>
      <c r="I754" s="5"/>
    </row>
    <row r="755" spans="1:9" ht="17.399999999999999" x14ac:dyDescent="0.25">
      <c r="A755" s="16"/>
      <c r="B755" s="17"/>
      <c r="C755" s="2"/>
      <c r="D755" s="2"/>
      <c r="E755" s="2"/>
      <c r="F755" s="2"/>
      <c r="G755" s="2"/>
      <c r="H755" s="2"/>
      <c r="I755" s="5"/>
    </row>
    <row r="756" spans="1:9" ht="17.399999999999999" x14ac:dyDescent="0.25">
      <c r="A756" s="16"/>
      <c r="B756" s="17"/>
      <c r="C756" s="2"/>
      <c r="D756" s="2"/>
      <c r="E756" s="2"/>
      <c r="F756" s="2"/>
      <c r="G756" s="2"/>
      <c r="H756" s="2"/>
      <c r="I756" s="5"/>
    </row>
    <row r="757" spans="1:9" ht="17.399999999999999" x14ac:dyDescent="0.25">
      <c r="A757" s="16"/>
      <c r="B757" s="17"/>
      <c r="C757" s="2"/>
      <c r="D757" s="2"/>
      <c r="E757" s="2"/>
      <c r="F757" s="2"/>
      <c r="G757" s="2"/>
      <c r="H757" s="2"/>
      <c r="I757" s="5"/>
    </row>
    <row r="758" spans="1:9" ht="17.399999999999999" x14ac:dyDescent="0.25">
      <c r="A758" s="16"/>
      <c r="B758" s="17"/>
      <c r="C758" s="2"/>
      <c r="D758" s="2"/>
      <c r="E758" s="2"/>
      <c r="F758" s="2"/>
      <c r="G758" s="2"/>
      <c r="H758" s="2"/>
      <c r="I758" s="5"/>
    </row>
    <row r="759" spans="1:9" ht="17.399999999999999" x14ac:dyDescent="0.25">
      <c r="A759" s="16"/>
      <c r="B759" s="17"/>
      <c r="C759" s="2"/>
      <c r="D759" s="2"/>
      <c r="E759" s="2"/>
      <c r="F759" s="2"/>
      <c r="G759" s="2"/>
      <c r="H759" s="2"/>
      <c r="I759" s="5"/>
    </row>
    <row r="760" spans="1:9" ht="17.399999999999999" x14ac:dyDescent="0.25">
      <c r="A760" s="16"/>
      <c r="B760" s="17"/>
      <c r="C760" s="2"/>
      <c r="D760" s="2"/>
      <c r="E760" s="2"/>
      <c r="F760" s="2"/>
      <c r="G760" s="2"/>
      <c r="H760" s="2"/>
      <c r="I760" s="5"/>
    </row>
    <row r="761" spans="1:9" ht="17.399999999999999" x14ac:dyDescent="0.25">
      <c r="A761" s="16"/>
      <c r="B761" s="17"/>
      <c r="C761" s="2"/>
      <c r="D761" s="2"/>
      <c r="E761" s="2"/>
      <c r="F761" s="2"/>
      <c r="G761" s="2"/>
      <c r="H761" s="2"/>
      <c r="I761" s="5"/>
    </row>
    <row r="762" spans="1:9" ht="17.399999999999999" x14ac:dyDescent="0.25">
      <c r="A762" s="16"/>
      <c r="B762" s="17"/>
      <c r="C762" s="2"/>
      <c r="D762" s="2"/>
      <c r="E762" s="2"/>
      <c r="F762" s="2"/>
      <c r="G762" s="2"/>
      <c r="H762" s="2"/>
      <c r="I762" s="5"/>
    </row>
    <row r="763" spans="1:9" ht="17.399999999999999" x14ac:dyDescent="0.25">
      <c r="A763" s="16"/>
      <c r="B763" s="17"/>
      <c r="C763" s="2"/>
      <c r="D763" s="2"/>
      <c r="E763" s="2"/>
      <c r="F763" s="2"/>
      <c r="G763" s="2"/>
      <c r="H763" s="2"/>
      <c r="I763" s="5"/>
    </row>
    <row r="764" spans="1:9" ht="17.399999999999999" x14ac:dyDescent="0.25">
      <c r="A764" s="16"/>
      <c r="B764" s="17"/>
      <c r="C764" s="2"/>
      <c r="D764" s="2"/>
      <c r="E764" s="2"/>
      <c r="F764" s="2"/>
      <c r="G764" s="2"/>
      <c r="H764" s="2"/>
      <c r="I764" s="5"/>
    </row>
    <row r="765" spans="1:9" ht="17.399999999999999" x14ac:dyDescent="0.25">
      <c r="A765" s="16"/>
      <c r="B765" s="17"/>
      <c r="C765" s="2"/>
      <c r="D765" s="2"/>
      <c r="E765" s="2"/>
      <c r="F765" s="2"/>
      <c r="G765" s="2"/>
      <c r="H765" s="2"/>
      <c r="I765" s="5"/>
    </row>
    <row r="766" spans="1:9" ht="17.399999999999999" x14ac:dyDescent="0.25">
      <c r="A766" s="16"/>
      <c r="B766" s="17"/>
      <c r="C766" s="2"/>
      <c r="D766" s="2"/>
      <c r="E766" s="2"/>
      <c r="F766" s="2"/>
      <c r="G766" s="2"/>
      <c r="H766" s="2"/>
      <c r="I766" s="5"/>
    </row>
    <row r="767" spans="1:9" ht="17.399999999999999" x14ac:dyDescent="0.25">
      <c r="A767" s="16"/>
      <c r="B767" s="17"/>
      <c r="C767" s="2"/>
      <c r="D767" s="2"/>
      <c r="E767" s="2"/>
      <c r="F767" s="2"/>
      <c r="G767" s="2"/>
      <c r="H767" s="2"/>
      <c r="I767" s="5"/>
    </row>
    <row r="768" spans="1:9" ht="17.399999999999999" x14ac:dyDescent="0.25">
      <c r="A768" s="16"/>
      <c r="B768" s="17"/>
      <c r="C768" s="2"/>
      <c r="D768" s="2"/>
      <c r="E768" s="2"/>
      <c r="F768" s="2"/>
      <c r="G768" s="2"/>
      <c r="H768" s="2"/>
      <c r="I768" s="5"/>
    </row>
    <row r="769" spans="1:9" ht="17.399999999999999" x14ac:dyDescent="0.25">
      <c r="A769" s="16"/>
      <c r="B769" s="17"/>
      <c r="C769" s="2"/>
      <c r="D769" s="2"/>
      <c r="E769" s="2"/>
      <c r="F769" s="2"/>
      <c r="G769" s="2"/>
      <c r="H769" s="2"/>
      <c r="I769" s="5"/>
    </row>
    <row r="770" spans="1:9" ht="17.399999999999999" x14ac:dyDescent="0.25">
      <c r="A770" s="16"/>
      <c r="B770" s="17"/>
      <c r="C770" s="2"/>
      <c r="D770" s="2"/>
      <c r="E770" s="2"/>
      <c r="F770" s="2"/>
      <c r="G770" s="2"/>
      <c r="H770" s="2"/>
      <c r="I770" s="5"/>
    </row>
    <row r="771" spans="1:9" ht="17.399999999999999" x14ac:dyDescent="0.25">
      <c r="A771" s="16"/>
      <c r="B771" s="17"/>
      <c r="C771" s="2"/>
      <c r="D771" s="2"/>
      <c r="E771" s="2"/>
      <c r="F771" s="2"/>
      <c r="G771" s="2"/>
      <c r="H771" s="2"/>
      <c r="I771" s="5"/>
    </row>
    <row r="772" spans="1:9" ht="17.399999999999999" x14ac:dyDescent="0.25">
      <c r="A772" s="16"/>
      <c r="B772" s="17"/>
      <c r="C772" s="2"/>
      <c r="D772" s="2"/>
      <c r="E772" s="2"/>
      <c r="F772" s="2"/>
      <c r="G772" s="2"/>
      <c r="H772" s="2"/>
      <c r="I772" s="5"/>
    </row>
    <row r="773" spans="1:9" ht="17.399999999999999" x14ac:dyDescent="0.25">
      <c r="A773" s="16"/>
      <c r="B773" s="17"/>
      <c r="C773" s="2"/>
      <c r="D773" s="2"/>
      <c r="E773" s="2"/>
      <c r="F773" s="2"/>
      <c r="G773" s="2"/>
      <c r="H773" s="2"/>
      <c r="I773" s="5"/>
    </row>
    <row r="774" spans="1:9" ht="17.399999999999999" x14ac:dyDescent="0.25">
      <c r="A774" s="16"/>
      <c r="B774" s="17"/>
      <c r="C774" s="2"/>
      <c r="D774" s="2"/>
      <c r="E774" s="2"/>
      <c r="F774" s="2"/>
      <c r="G774" s="2"/>
      <c r="H774" s="2"/>
      <c r="I774" s="5"/>
    </row>
    <row r="775" spans="1:9" ht="17.399999999999999" x14ac:dyDescent="0.25">
      <c r="A775" s="16"/>
      <c r="B775" s="17"/>
      <c r="C775" s="2"/>
      <c r="D775" s="2"/>
      <c r="E775" s="2"/>
      <c r="F775" s="2"/>
      <c r="G775" s="2"/>
      <c r="H775" s="2"/>
      <c r="I775" s="5"/>
    </row>
    <row r="776" spans="1:9" ht="17.399999999999999" x14ac:dyDescent="0.25">
      <c r="A776" s="16"/>
      <c r="B776" s="17"/>
      <c r="C776" s="2"/>
      <c r="D776" s="2"/>
      <c r="E776" s="2"/>
      <c r="F776" s="2"/>
      <c r="G776" s="2"/>
      <c r="H776" s="2"/>
      <c r="I776" s="5"/>
    </row>
    <row r="777" spans="1:9" ht="17.399999999999999" x14ac:dyDescent="0.25">
      <c r="A777" s="16"/>
      <c r="B777" s="17"/>
      <c r="C777" s="2"/>
      <c r="D777" s="2"/>
      <c r="E777" s="2"/>
      <c r="F777" s="2"/>
      <c r="G777" s="2"/>
      <c r="H777" s="2"/>
      <c r="I777" s="5"/>
    </row>
    <row r="778" spans="1:9" ht="17.399999999999999" x14ac:dyDescent="0.25">
      <c r="A778" s="16"/>
      <c r="B778" s="17"/>
      <c r="C778" s="2"/>
      <c r="D778" s="2"/>
      <c r="E778" s="2"/>
      <c r="F778" s="2"/>
      <c r="G778" s="2"/>
      <c r="H778" s="2"/>
      <c r="I778" s="5"/>
    </row>
    <row r="779" spans="1:9" ht="17.399999999999999" x14ac:dyDescent="0.25">
      <c r="A779" s="16"/>
      <c r="B779" s="17"/>
      <c r="C779" s="2"/>
      <c r="D779" s="2"/>
      <c r="E779" s="2"/>
      <c r="F779" s="2"/>
      <c r="G779" s="2"/>
      <c r="H779" s="2"/>
      <c r="I779" s="5"/>
    </row>
    <row r="780" spans="1:9" ht="17.399999999999999" x14ac:dyDescent="0.25">
      <c r="A780" s="16"/>
      <c r="B780" s="17"/>
      <c r="C780" s="2"/>
      <c r="D780" s="2"/>
      <c r="E780" s="2"/>
      <c r="F780" s="2"/>
      <c r="G780" s="2"/>
      <c r="H780" s="2"/>
      <c r="I780" s="5"/>
    </row>
    <row r="781" spans="1:9" ht="17.399999999999999" x14ac:dyDescent="0.25">
      <c r="A781" s="16"/>
      <c r="B781" s="17"/>
      <c r="C781" s="2"/>
      <c r="D781" s="2"/>
      <c r="E781" s="2"/>
      <c r="F781" s="2"/>
      <c r="G781" s="2"/>
      <c r="H781" s="2"/>
      <c r="I781" s="5"/>
    </row>
    <row r="782" spans="1:9" ht="17.399999999999999" x14ac:dyDescent="0.25">
      <c r="A782" s="16"/>
      <c r="B782" s="17"/>
      <c r="C782" s="2"/>
      <c r="D782" s="2"/>
      <c r="E782" s="2"/>
      <c r="F782" s="2"/>
      <c r="G782" s="2"/>
      <c r="H782" s="2"/>
      <c r="I782" s="5"/>
    </row>
    <row r="783" spans="1:9" ht="17.399999999999999" x14ac:dyDescent="0.25">
      <c r="A783" s="16"/>
      <c r="B783" s="17"/>
      <c r="C783" s="2"/>
      <c r="D783" s="2"/>
      <c r="E783" s="2"/>
      <c r="F783" s="2"/>
      <c r="G783" s="2"/>
      <c r="H783" s="2"/>
      <c r="I783" s="5"/>
    </row>
    <row r="784" spans="1:9" ht="17.399999999999999" x14ac:dyDescent="0.25">
      <c r="A784" s="16"/>
      <c r="B784" s="17"/>
      <c r="C784" s="2"/>
      <c r="D784" s="2"/>
      <c r="E784" s="2"/>
      <c r="F784" s="2"/>
      <c r="G784" s="2"/>
      <c r="H784" s="2"/>
      <c r="I784" s="5"/>
    </row>
    <row r="785" spans="1:9" ht="17.399999999999999" x14ac:dyDescent="0.25">
      <c r="A785" s="16"/>
      <c r="B785" s="17"/>
      <c r="C785" s="2"/>
      <c r="D785" s="2"/>
      <c r="E785" s="2"/>
      <c r="F785" s="2"/>
      <c r="G785" s="2"/>
      <c r="H785" s="2"/>
      <c r="I785" s="5"/>
    </row>
    <row r="786" spans="1:9" ht="17.399999999999999" x14ac:dyDescent="0.25">
      <c r="A786" s="16"/>
      <c r="B786" s="17"/>
      <c r="C786" s="2"/>
      <c r="D786" s="2"/>
      <c r="E786" s="2"/>
      <c r="F786" s="2"/>
      <c r="G786" s="2"/>
      <c r="H786" s="2"/>
      <c r="I786" s="5"/>
    </row>
    <row r="787" spans="1:9" ht="17.399999999999999" x14ac:dyDescent="0.25">
      <c r="A787" s="16"/>
      <c r="B787" s="17"/>
      <c r="C787" s="2"/>
      <c r="D787" s="2"/>
      <c r="E787" s="2"/>
      <c r="F787" s="2"/>
      <c r="G787" s="2"/>
      <c r="H787" s="2"/>
      <c r="I787" s="5"/>
    </row>
    <row r="788" spans="1:9" ht="17.399999999999999" x14ac:dyDescent="0.25">
      <c r="A788" s="16"/>
      <c r="B788" s="17"/>
      <c r="C788" s="2"/>
      <c r="D788" s="2"/>
      <c r="E788" s="2"/>
      <c r="F788" s="2"/>
      <c r="G788" s="2"/>
      <c r="H788" s="2"/>
      <c r="I788" s="5"/>
    </row>
    <row r="789" spans="1:9" ht="17.399999999999999" x14ac:dyDescent="0.25">
      <c r="A789" s="16"/>
      <c r="B789" s="17"/>
      <c r="C789" s="2"/>
      <c r="D789" s="2"/>
      <c r="E789" s="2"/>
      <c r="F789" s="2"/>
      <c r="G789" s="2"/>
      <c r="H789" s="2"/>
      <c r="I789" s="5"/>
    </row>
    <row r="790" spans="1:9" ht="17.399999999999999" x14ac:dyDescent="0.25">
      <c r="A790" s="16"/>
      <c r="B790" s="17"/>
      <c r="C790" s="2"/>
      <c r="D790" s="2"/>
      <c r="E790" s="2"/>
      <c r="F790" s="2"/>
      <c r="G790" s="2"/>
      <c r="H790" s="2"/>
      <c r="I790" s="5"/>
    </row>
    <row r="791" spans="1:9" ht="17.399999999999999" x14ac:dyDescent="0.25">
      <c r="A791" s="16"/>
      <c r="B791" s="17"/>
      <c r="C791" s="2"/>
      <c r="D791" s="2"/>
      <c r="E791" s="2"/>
      <c r="F791" s="2"/>
      <c r="G791" s="2"/>
      <c r="H791" s="2"/>
      <c r="I791" s="5"/>
    </row>
    <row r="792" spans="1:9" ht="17.399999999999999" x14ac:dyDescent="0.25">
      <c r="A792" s="16"/>
      <c r="B792" s="17"/>
      <c r="C792" s="2"/>
      <c r="D792" s="2"/>
      <c r="E792" s="2"/>
      <c r="F792" s="2"/>
      <c r="G792" s="2"/>
      <c r="H792" s="2"/>
      <c r="I792" s="5"/>
    </row>
    <row r="793" spans="1:9" ht="17.399999999999999" x14ac:dyDescent="0.25">
      <c r="A793" s="16"/>
      <c r="B793" s="17"/>
      <c r="C793" s="2"/>
      <c r="D793" s="2"/>
      <c r="E793" s="2"/>
      <c r="F793" s="2"/>
      <c r="G793" s="2"/>
      <c r="H793" s="2"/>
      <c r="I793" s="5"/>
    </row>
    <row r="794" spans="1:9" ht="17.399999999999999" x14ac:dyDescent="0.25">
      <c r="A794" s="16"/>
      <c r="B794" s="17"/>
      <c r="C794" s="2"/>
      <c r="D794" s="2"/>
      <c r="E794" s="2"/>
      <c r="F794" s="2"/>
      <c r="G794" s="2"/>
      <c r="H794" s="2"/>
      <c r="I794" s="5"/>
    </row>
    <row r="795" spans="1:9" ht="17.399999999999999" x14ac:dyDescent="0.25">
      <c r="A795" s="16"/>
      <c r="B795" s="17"/>
      <c r="C795" s="2"/>
      <c r="D795" s="2"/>
      <c r="E795" s="2"/>
      <c r="F795" s="2"/>
      <c r="G795" s="2"/>
      <c r="H795" s="2"/>
      <c r="I795" s="5"/>
    </row>
    <row r="796" spans="1:9" ht="17.399999999999999" x14ac:dyDescent="0.25">
      <c r="A796" s="16"/>
      <c r="B796" s="17"/>
      <c r="C796" s="2"/>
      <c r="D796" s="2"/>
      <c r="E796" s="2"/>
      <c r="F796" s="2"/>
      <c r="G796" s="2"/>
      <c r="H796" s="2"/>
      <c r="I796" s="5"/>
    </row>
    <row r="797" spans="1:9" ht="17.399999999999999" x14ac:dyDescent="0.25">
      <c r="A797" s="16"/>
      <c r="B797" s="17"/>
      <c r="C797" s="2"/>
      <c r="D797" s="2"/>
      <c r="E797" s="2"/>
      <c r="F797" s="2"/>
      <c r="G797" s="2"/>
      <c r="H797" s="2"/>
      <c r="I797" s="5"/>
    </row>
    <row r="798" spans="1:9" ht="17.399999999999999" x14ac:dyDescent="0.25">
      <c r="A798" s="16"/>
      <c r="B798" s="17"/>
      <c r="C798" s="2"/>
      <c r="D798" s="2"/>
      <c r="E798" s="2"/>
      <c r="F798" s="2"/>
      <c r="G798" s="2"/>
      <c r="H798" s="2"/>
      <c r="I798" s="5"/>
    </row>
    <row r="799" spans="1:9" ht="17.399999999999999" x14ac:dyDescent="0.25">
      <c r="A799" s="16"/>
      <c r="B799" s="17"/>
      <c r="C799" s="2"/>
      <c r="D799" s="2"/>
      <c r="E799" s="2"/>
      <c r="F799" s="2"/>
      <c r="G799" s="2"/>
      <c r="H799" s="2"/>
      <c r="I799" s="5"/>
    </row>
    <row r="800" spans="1:9" ht="17.399999999999999" x14ac:dyDescent="0.25">
      <c r="A800" s="16"/>
      <c r="B800" s="17"/>
      <c r="C800" s="2"/>
      <c r="D800" s="2"/>
      <c r="E800" s="2"/>
      <c r="F800" s="2"/>
      <c r="G800" s="2"/>
      <c r="H800" s="2"/>
      <c r="I800" s="5"/>
    </row>
    <row r="801" spans="1:9" ht="17.399999999999999" x14ac:dyDescent="0.25">
      <c r="A801" s="16"/>
      <c r="B801" s="17"/>
      <c r="C801" s="2"/>
      <c r="D801" s="2"/>
      <c r="E801" s="2"/>
      <c r="F801" s="2"/>
      <c r="G801" s="2"/>
      <c r="H801" s="2"/>
      <c r="I801" s="5"/>
    </row>
    <row r="802" spans="1:9" ht="17.399999999999999" x14ac:dyDescent="0.25">
      <c r="A802" s="16"/>
      <c r="B802" s="17"/>
      <c r="C802" s="2"/>
      <c r="D802" s="2"/>
      <c r="E802" s="2"/>
      <c r="F802" s="2"/>
      <c r="G802" s="2"/>
      <c r="H802" s="2"/>
      <c r="I802" s="5"/>
    </row>
    <row r="803" spans="1:9" ht="17.399999999999999" x14ac:dyDescent="0.25">
      <c r="A803" s="16"/>
      <c r="B803" s="17"/>
      <c r="C803" s="2"/>
      <c r="D803" s="2"/>
      <c r="E803" s="2"/>
      <c r="F803" s="2"/>
      <c r="G803" s="2"/>
      <c r="H803" s="2"/>
      <c r="I803" s="5"/>
    </row>
    <row r="804" spans="1:9" ht="17.399999999999999" x14ac:dyDescent="0.25">
      <c r="A804" s="16"/>
      <c r="B804" s="17"/>
      <c r="C804" s="2"/>
      <c r="D804" s="2"/>
      <c r="E804" s="2"/>
      <c r="F804" s="2"/>
      <c r="G804" s="2"/>
      <c r="H804" s="2"/>
      <c r="I804" s="5"/>
    </row>
    <row r="805" spans="1:9" ht="17.399999999999999" x14ac:dyDescent="0.25">
      <c r="A805" s="16"/>
      <c r="B805" s="17"/>
      <c r="C805" s="2"/>
      <c r="D805" s="2"/>
      <c r="E805" s="2"/>
      <c r="F805" s="2"/>
      <c r="G805" s="2"/>
      <c r="H805" s="2"/>
      <c r="I805" s="5"/>
    </row>
    <row r="806" spans="1:9" ht="17.399999999999999" x14ac:dyDescent="0.25">
      <c r="A806" s="16"/>
      <c r="B806" s="17"/>
      <c r="C806" s="2"/>
      <c r="D806" s="2"/>
      <c r="E806" s="2"/>
      <c r="F806" s="2"/>
      <c r="G806" s="2"/>
      <c r="H806" s="2"/>
      <c r="I806" s="5"/>
    </row>
    <row r="807" spans="1:9" ht="17.399999999999999" x14ac:dyDescent="0.25">
      <c r="A807" s="16"/>
      <c r="B807" s="17"/>
      <c r="C807" s="2"/>
      <c r="D807" s="2"/>
      <c r="E807" s="2"/>
      <c r="F807" s="2"/>
      <c r="G807" s="2"/>
      <c r="H807" s="2"/>
      <c r="I807" s="5"/>
    </row>
    <row r="808" spans="1:9" ht="17.399999999999999" x14ac:dyDescent="0.25">
      <c r="A808" s="16"/>
      <c r="B808" s="17"/>
      <c r="C808" s="2"/>
      <c r="D808" s="2"/>
      <c r="E808" s="2"/>
      <c r="F808" s="2"/>
      <c r="G808" s="2"/>
      <c r="H808" s="2"/>
      <c r="I808" s="5"/>
    </row>
    <row r="809" spans="1:9" ht="17.399999999999999" x14ac:dyDescent="0.25">
      <c r="A809" s="16"/>
      <c r="B809" s="17"/>
      <c r="C809" s="2"/>
      <c r="D809" s="2"/>
      <c r="E809" s="2"/>
      <c r="F809" s="2"/>
      <c r="G809" s="2"/>
      <c r="H809" s="2"/>
      <c r="I809" s="5"/>
    </row>
    <row r="810" spans="1:9" ht="17.399999999999999" x14ac:dyDescent="0.25">
      <c r="A810" s="16"/>
      <c r="B810" s="17"/>
      <c r="C810" s="2"/>
      <c r="D810" s="2"/>
      <c r="E810" s="2"/>
      <c r="F810" s="2"/>
      <c r="G810" s="2"/>
      <c r="H810" s="2"/>
      <c r="I810" s="5"/>
    </row>
    <row r="811" spans="1:9" ht="17.399999999999999" x14ac:dyDescent="0.25">
      <c r="A811" s="16"/>
      <c r="B811" s="17"/>
      <c r="C811" s="2"/>
      <c r="D811" s="2"/>
      <c r="E811" s="2"/>
      <c r="F811" s="2"/>
      <c r="G811" s="2"/>
      <c r="H811" s="2"/>
      <c r="I811" s="5"/>
    </row>
    <row r="812" spans="1:9" ht="17.399999999999999" x14ac:dyDescent="0.25">
      <c r="A812" s="16"/>
      <c r="B812" s="17"/>
      <c r="C812" s="2"/>
      <c r="D812" s="2"/>
      <c r="E812" s="2"/>
      <c r="F812" s="2"/>
      <c r="G812" s="2"/>
      <c r="H812" s="2"/>
      <c r="I812" s="5"/>
    </row>
    <row r="813" spans="1:9" ht="17.399999999999999" x14ac:dyDescent="0.25">
      <c r="A813" s="16"/>
      <c r="B813" s="17"/>
      <c r="C813" s="2"/>
      <c r="D813" s="2"/>
      <c r="E813" s="2"/>
      <c r="F813" s="2"/>
      <c r="G813" s="2"/>
      <c r="H813" s="2"/>
      <c r="I813" s="5"/>
    </row>
    <row r="814" spans="1:9" ht="17.399999999999999" x14ac:dyDescent="0.25">
      <c r="A814" s="16"/>
      <c r="B814" s="17"/>
      <c r="C814" s="2"/>
      <c r="D814" s="2"/>
      <c r="E814" s="2"/>
      <c r="F814" s="2"/>
      <c r="G814" s="2"/>
      <c r="H814" s="2"/>
      <c r="I814" s="5"/>
    </row>
    <row r="815" spans="1:9" ht="17.399999999999999" x14ac:dyDescent="0.25">
      <c r="A815" s="16"/>
      <c r="B815" s="17"/>
      <c r="C815" s="2"/>
      <c r="D815" s="2"/>
      <c r="E815" s="2"/>
      <c r="F815" s="2"/>
      <c r="G815" s="2"/>
      <c r="H815" s="2"/>
      <c r="I815" s="5"/>
    </row>
    <row r="816" spans="1:9" ht="17.399999999999999" x14ac:dyDescent="0.25">
      <c r="A816" s="16"/>
      <c r="B816" s="17"/>
      <c r="C816" s="2"/>
      <c r="D816" s="2"/>
      <c r="E816" s="2"/>
      <c r="F816" s="2"/>
      <c r="G816" s="2"/>
      <c r="H816" s="2"/>
      <c r="I816" s="5"/>
    </row>
    <row r="817" spans="1:9" ht="17.399999999999999" x14ac:dyDescent="0.25">
      <c r="A817" s="16"/>
      <c r="B817" s="17"/>
      <c r="C817" s="2"/>
      <c r="D817" s="2"/>
      <c r="E817" s="2"/>
      <c r="F817" s="2"/>
      <c r="G817" s="2"/>
      <c r="H817" s="2"/>
      <c r="I817" s="5"/>
    </row>
    <row r="818" spans="1:9" ht="17.399999999999999" x14ac:dyDescent="0.25">
      <c r="A818" s="16"/>
      <c r="B818" s="17"/>
      <c r="C818" s="2"/>
      <c r="D818" s="2"/>
      <c r="E818" s="2"/>
      <c r="F818" s="2"/>
      <c r="G818" s="2"/>
      <c r="H818" s="2"/>
      <c r="I818" s="5"/>
    </row>
    <row r="819" spans="1:9" ht="17.399999999999999" x14ac:dyDescent="0.25">
      <c r="A819" s="16"/>
      <c r="B819" s="17"/>
      <c r="C819" s="2"/>
      <c r="D819" s="2"/>
      <c r="E819" s="2"/>
      <c r="F819" s="2"/>
      <c r="G819" s="2"/>
      <c r="H819" s="2"/>
      <c r="I819" s="5"/>
    </row>
    <row r="820" spans="1:9" ht="17.399999999999999" x14ac:dyDescent="0.25">
      <c r="A820" s="16"/>
      <c r="B820" s="17"/>
      <c r="C820" s="2"/>
      <c r="D820" s="2"/>
      <c r="E820" s="2"/>
      <c r="F820" s="2"/>
      <c r="G820" s="2"/>
      <c r="H820" s="2"/>
      <c r="I820" s="5"/>
    </row>
    <row r="821" spans="1:9" ht="17.399999999999999" x14ac:dyDescent="0.25">
      <c r="A821" s="16"/>
      <c r="B821" s="17"/>
      <c r="C821" s="2"/>
      <c r="D821" s="2"/>
      <c r="E821" s="2"/>
      <c r="F821" s="2"/>
      <c r="G821" s="2"/>
      <c r="H821" s="2"/>
      <c r="I821" s="5"/>
    </row>
    <row r="822" spans="1:9" ht="17.399999999999999" x14ac:dyDescent="0.25">
      <c r="A822" s="16"/>
      <c r="B822" s="17"/>
      <c r="C822" s="2"/>
      <c r="D822" s="2"/>
      <c r="E822" s="2"/>
      <c r="F822" s="2"/>
      <c r="G822" s="2"/>
      <c r="H822" s="2"/>
      <c r="I822" s="5"/>
    </row>
    <row r="823" spans="1:9" ht="17.399999999999999" x14ac:dyDescent="0.25">
      <c r="A823" s="16"/>
      <c r="B823" s="17"/>
      <c r="C823" s="2"/>
      <c r="D823" s="2"/>
      <c r="E823" s="2"/>
      <c r="F823" s="2"/>
      <c r="G823" s="2"/>
      <c r="H823" s="2"/>
      <c r="I823" s="5"/>
    </row>
    <row r="824" spans="1:9" ht="17.399999999999999" x14ac:dyDescent="0.25">
      <c r="A824" s="16"/>
      <c r="B824" s="17"/>
      <c r="C824" s="2"/>
      <c r="D824" s="2"/>
      <c r="E824" s="2"/>
      <c r="F824" s="2"/>
      <c r="G824" s="2"/>
      <c r="H824" s="2"/>
      <c r="I824" s="5"/>
    </row>
    <row r="825" spans="1:9" ht="17.399999999999999" x14ac:dyDescent="0.25">
      <c r="A825" s="16"/>
      <c r="B825" s="17"/>
      <c r="C825" s="2"/>
      <c r="D825" s="2"/>
      <c r="E825" s="2"/>
      <c r="F825" s="2"/>
      <c r="G825" s="2"/>
      <c r="H825" s="2"/>
      <c r="I825" s="5"/>
    </row>
    <row r="826" spans="1:9" ht="17.399999999999999" x14ac:dyDescent="0.25">
      <c r="A826" s="16"/>
      <c r="B826" s="17"/>
      <c r="C826" s="2"/>
      <c r="D826" s="2"/>
      <c r="E826" s="2"/>
      <c r="F826" s="2"/>
      <c r="G826" s="2"/>
      <c r="H826" s="2"/>
      <c r="I826" s="5"/>
    </row>
    <row r="827" spans="1:9" ht="17.399999999999999" x14ac:dyDescent="0.25">
      <c r="A827" s="16"/>
      <c r="B827" s="17"/>
      <c r="C827" s="2"/>
      <c r="D827" s="2"/>
      <c r="E827" s="2"/>
      <c r="F827" s="2"/>
      <c r="G827" s="2"/>
      <c r="H827" s="2"/>
      <c r="I827" s="5"/>
    </row>
    <row r="828" spans="1:9" ht="17.399999999999999" x14ac:dyDescent="0.25">
      <c r="A828" s="16"/>
      <c r="B828" s="17"/>
      <c r="C828" s="2"/>
      <c r="D828" s="2"/>
      <c r="E828" s="2"/>
      <c r="F828" s="2"/>
      <c r="G828" s="2"/>
      <c r="H828" s="2"/>
      <c r="I828" s="5"/>
    </row>
    <row r="829" spans="1:9" ht="17.399999999999999" x14ac:dyDescent="0.25">
      <c r="A829" s="16"/>
      <c r="B829" s="17"/>
      <c r="C829" s="2"/>
      <c r="D829" s="2"/>
      <c r="E829" s="2"/>
      <c r="F829" s="2"/>
      <c r="G829" s="2"/>
      <c r="H829" s="2"/>
      <c r="I829" s="5"/>
    </row>
    <row r="830" spans="1:9" ht="17.399999999999999" x14ac:dyDescent="0.25">
      <c r="A830" s="16"/>
      <c r="B830" s="17"/>
      <c r="C830" s="2"/>
      <c r="D830" s="2"/>
      <c r="E830" s="2"/>
      <c r="F830" s="2"/>
      <c r="G830" s="2"/>
      <c r="H830" s="2"/>
      <c r="I830" s="5"/>
    </row>
    <row r="831" spans="1:9" ht="17.399999999999999" x14ac:dyDescent="0.25">
      <c r="A831" s="16"/>
      <c r="B831" s="17"/>
      <c r="C831" s="2"/>
      <c r="D831" s="2"/>
      <c r="E831" s="2"/>
      <c r="F831" s="2"/>
      <c r="G831" s="2"/>
      <c r="H831" s="2"/>
      <c r="I831" s="5"/>
    </row>
    <row r="832" spans="1:9" ht="17.399999999999999" x14ac:dyDescent="0.25">
      <c r="A832" s="16"/>
      <c r="B832" s="17"/>
      <c r="C832" s="2"/>
      <c r="D832" s="2"/>
      <c r="E832" s="2"/>
      <c r="F832" s="2"/>
      <c r="G832" s="2"/>
      <c r="H832" s="2"/>
      <c r="I832" s="5"/>
    </row>
    <row r="833" spans="1:9" ht="17.399999999999999" x14ac:dyDescent="0.25">
      <c r="A833" s="16"/>
      <c r="B833" s="17"/>
      <c r="C833" s="2"/>
      <c r="D833" s="2"/>
      <c r="E833" s="2"/>
      <c r="F833" s="2"/>
      <c r="G833" s="2"/>
      <c r="H833" s="2"/>
      <c r="I833" s="5"/>
    </row>
    <row r="834" spans="1:9" ht="17.399999999999999" x14ac:dyDescent="0.25">
      <c r="A834" s="16"/>
      <c r="B834" s="17"/>
      <c r="C834" s="2"/>
      <c r="D834" s="2"/>
      <c r="E834" s="2"/>
      <c r="F834" s="2"/>
      <c r="G834" s="2"/>
      <c r="H834" s="2"/>
      <c r="I834" s="5"/>
    </row>
    <row r="835" spans="1:9" ht="17.399999999999999" x14ac:dyDescent="0.25">
      <c r="A835" s="16"/>
      <c r="B835" s="17"/>
      <c r="C835" s="2"/>
      <c r="D835" s="2"/>
      <c r="E835" s="2"/>
      <c r="F835" s="2"/>
      <c r="G835" s="2"/>
      <c r="H835" s="2"/>
      <c r="I835" s="5"/>
    </row>
    <row r="836" spans="1:9" ht="17.399999999999999" x14ac:dyDescent="0.25">
      <c r="A836" s="16"/>
      <c r="B836" s="17"/>
      <c r="C836" s="2"/>
      <c r="D836" s="2"/>
      <c r="E836" s="2"/>
      <c r="F836" s="2"/>
      <c r="G836" s="2"/>
      <c r="H836" s="2"/>
      <c r="I836" s="5"/>
    </row>
    <row r="837" spans="1:9" ht="17.399999999999999" x14ac:dyDescent="0.25">
      <c r="A837" s="16"/>
      <c r="B837" s="17"/>
      <c r="C837" s="2"/>
      <c r="D837" s="2"/>
      <c r="E837" s="2"/>
      <c r="F837" s="2"/>
      <c r="G837" s="2"/>
      <c r="H837" s="2"/>
      <c r="I837" s="5"/>
    </row>
    <row r="838" spans="1:9" ht="17.399999999999999" x14ac:dyDescent="0.25">
      <c r="A838" s="16"/>
      <c r="B838" s="17"/>
      <c r="C838" s="2"/>
      <c r="D838" s="2"/>
      <c r="E838" s="2"/>
      <c r="F838" s="2"/>
      <c r="G838" s="2"/>
      <c r="H838" s="2"/>
      <c r="I838" s="5"/>
    </row>
    <row r="839" spans="1:9" ht="17.399999999999999" x14ac:dyDescent="0.25">
      <c r="A839" s="16"/>
      <c r="B839" s="17"/>
      <c r="C839" s="2"/>
      <c r="D839" s="2"/>
      <c r="E839" s="2"/>
      <c r="F839" s="2"/>
      <c r="G839" s="2"/>
      <c r="H839" s="2"/>
      <c r="I839" s="5"/>
    </row>
    <row r="840" spans="1:9" ht="17.399999999999999" x14ac:dyDescent="0.25">
      <c r="A840" s="16"/>
      <c r="B840" s="17"/>
      <c r="C840" s="2"/>
      <c r="D840" s="2"/>
      <c r="E840" s="2"/>
      <c r="F840" s="2"/>
      <c r="G840" s="2"/>
      <c r="H840" s="2"/>
      <c r="I840" s="5"/>
    </row>
    <row r="841" spans="1:9" ht="17.399999999999999" x14ac:dyDescent="0.25">
      <c r="A841" s="16"/>
      <c r="B841" s="17"/>
      <c r="C841" s="2"/>
      <c r="D841" s="2"/>
      <c r="E841" s="2"/>
      <c r="F841" s="2"/>
      <c r="G841" s="2"/>
      <c r="H841" s="2"/>
      <c r="I841" s="5"/>
    </row>
    <row r="842" spans="1:9" ht="17.399999999999999" x14ac:dyDescent="0.25">
      <c r="A842" s="16"/>
      <c r="B842" s="17"/>
      <c r="C842" s="2"/>
      <c r="D842" s="2"/>
      <c r="E842" s="2"/>
      <c r="F842" s="2"/>
      <c r="G842" s="2"/>
      <c r="H842" s="2"/>
      <c r="I842" s="5"/>
    </row>
    <row r="843" spans="1:9" ht="17.399999999999999" x14ac:dyDescent="0.25">
      <c r="A843" s="16"/>
      <c r="B843" s="17"/>
      <c r="C843" s="2"/>
      <c r="D843" s="2"/>
      <c r="E843" s="2"/>
      <c r="F843" s="2"/>
      <c r="G843" s="2"/>
      <c r="H843" s="2"/>
      <c r="I843" s="5"/>
    </row>
    <row r="844" spans="1:9" ht="17.399999999999999" x14ac:dyDescent="0.25">
      <c r="A844" s="16"/>
      <c r="B844" s="17"/>
      <c r="C844" s="2"/>
      <c r="D844" s="2"/>
      <c r="E844" s="2"/>
      <c r="F844" s="2"/>
      <c r="G844" s="2"/>
      <c r="H844" s="2"/>
      <c r="I844" s="5"/>
    </row>
    <row r="845" spans="1:9" ht="17.399999999999999" x14ac:dyDescent="0.25">
      <c r="A845" s="16"/>
      <c r="B845" s="17"/>
      <c r="C845" s="2"/>
      <c r="D845" s="2"/>
      <c r="E845" s="2"/>
      <c r="F845" s="2"/>
      <c r="G845" s="2"/>
      <c r="H845" s="2"/>
      <c r="I845" s="5"/>
    </row>
    <row r="846" spans="1:9" ht="17.399999999999999" x14ac:dyDescent="0.25">
      <c r="A846" s="16"/>
      <c r="B846" s="17"/>
      <c r="C846" s="2"/>
      <c r="D846" s="2"/>
      <c r="E846" s="2"/>
      <c r="F846" s="2"/>
      <c r="G846" s="2"/>
      <c r="H846" s="2"/>
      <c r="I846" s="5"/>
    </row>
    <row r="847" spans="1:9" ht="17.399999999999999" x14ac:dyDescent="0.25">
      <c r="A847" s="16"/>
      <c r="B847" s="17"/>
      <c r="C847" s="2"/>
      <c r="D847" s="2"/>
      <c r="E847" s="2"/>
      <c r="F847" s="2"/>
      <c r="G847" s="2"/>
      <c r="H847" s="2"/>
      <c r="I847" s="5"/>
    </row>
    <row r="848" spans="1:9" ht="17.399999999999999" x14ac:dyDescent="0.25">
      <c r="A848" s="16"/>
      <c r="B848" s="17"/>
      <c r="C848" s="2"/>
      <c r="D848" s="2"/>
      <c r="E848" s="2"/>
      <c r="F848" s="2"/>
      <c r="G848" s="2"/>
      <c r="H848" s="2"/>
      <c r="I848" s="5"/>
    </row>
    <row r="849" spans="1:9" ht="17.399999999999999" x14ac:dyDescent="0.25">
      <c r="A849" s="16"/>
      <c r="B849" s="17"/>
      <c r="C849" s="2"/>
      <c r="D849" s="2"/>
      <c r="E849" s="2"/>
      <c r="F849" s="2"/>
      <c r="G849" s="2"/>
      <c r="H849" s="2"/>
      <c r="I849" s="5"/>
    </row>
    <row r="850" spans="1:9" ht="17.399999999999999" x14ac:dyDescent="0.25">
      <c r="A850" s="16"/>
      <c r="B850" s="17"/>
      <c r="C850" s="2"/>
      <c r="D850" s="2"/>
      <c r="E850" s="2"/>
      <c r="F850" s="2"/>
      <c r="G850" s="2"/>
      <c r="H850" s="2"/>
      <c r="I850" s="5"/>
    </row>
    <row r="851" spans="1:9" ht="17.399999999999999" x14ac:dyDescent="0.25">
      <c r="A851" s="16"/>
      <c r="B851" s="17"/>
      <c r="C851" s="2"/>
      <c r="D851" s="2"/>
      <c r="E851" s="2"/>
      <c r="F851" s="2"/>
      <c r="G851" s="2"/>
      <c r="H851" s="2"/>
      <c r="I851" s="5"/>
    </row>
    <row r="852" spans="1:9" ht="17.399999999999999" x14ac:dyDescent="0.25">
      <c r="A852" s="16"/>
      <c r="B852" s="17"/>
      <c r="C852" s="2"/>
      <c r="D852" s="2"/>
      <c r="E852" s="2"/>
      <c r="F852" s="2"/>
      <c r="G852" s="2"/>
      <c r="H852" s="2"/>
      <c r="I852" s="5"/>
    </row>
    <row r="853" spans="1:9" ht="17.399999999999999" x14ac:dyDescent="0.25">
      <c r="A853" s="16"/>
      <c r="B853" s="17"/>
      <c r="C853" s="2"/>
      <c r="D853" s="2"/>
      <c r="E853" s="2"/>
      <c r="F853" s="2"/>
      <c r="G853" s="2"/>
      <c r="H853" s="2"/>
      <c r="I853" s="5"/>
    </row>
    <row r="854" spans="1:9" ht="17.399999999999999" x14ac:dyDescent="0.25">
      <c r="A854" s="16"/>
      <c r="B854" s="17"/>
      <c r="C854" s="2"/>
      <c r="D854" s="2"/>
      <c r="E854" s="2"/>
      <c r="F854" s="2"/>
      <c r="G854" s="2"/>
      <c r="H854" s="2"/>
      <c r="I854" s="5"/>
    </row>
    <row r="855" spans="1:9" ht="17.399999999999999" x14ac:dyDescent="0.25">
      <c r="A855" s="16"/>
      <c r="B855" s="17"/>
      <c r="C855" s="2"/>
      <c r="D855" s="2"/>
      <c r="E855" s="2"/>
      <c r="F855" s="2"/>
      <c r="G855" s="2"/>
      <c r="H855" s="2"/>
      <c r="I855" s="5"/>
    </row>
    <row r="856" spans="1:9" ht="17.399999999999999" x14ac:dyDescent="0.25">
      <c r="A856" s="16"/>
      <c r="B856" s="17"/>
      <c r="C856" s="2"/>
      <c r="D856" s="2"/>
      <c r="E856" s="2"/>
      <c r="F856" s="2"/>
      <c r="G856" s="2"/>
      <c r="H856" s="2"/>
      <c r="I856" s="5"/>
    </row>
    <row r="857" spans="1:9" ht="17.399999999999999" x14ac:dyDescent="0.25">
      <c r="A857" s="16"/>
      <c r="B857" s="17"/>
      <c r="C857" s="2"/>
      <c r="D857" s="2"/>
      <c r="E857" s="2"/>
      <c r="F857" s="2"/>
      <c r="G857" s="2"/>
      <c r="H857" s="2"/>
      <c r="I857" s="5"/>
    </row>
    <row r="858" spans="1:9" ht="17.399999999999999" x14ac:dyDescent="0.25">
      <c r="A858" s="16"/>
      <c r="B858" s="17"/>
      <c r="C858" s="2"/>
      <c r="D858" s="2"/>
      <c r="E858" s="2"/>
      <c r="F858" s="2"/>
      <c r="G858" s="2"/>
      <c r="H858" s="2"/>
      <c r="I858" s="5"/>
    </row>
    <row r="859" spans="1:9" ht="17.399999999999999" x14ac:dyDescent="0.25">
      <c r="A859" s="16"/>
      <c r="B859" s="17"/>
      <c r="C859" s="2"/>
      <c r="D859" s="2"/>
      <c r="E859" s="2"/>
      <c r="F859" s="2"/>
      <c r="G859" s="2"/>
      <c r="H859" s="2"/>
      <c r="I859" s="5"/>
    </row>
    <row r="860" spans="1:9" ht="17.399999999999999" x14ac:dyDescent="0.25">
      <c r="A860" s="16"/>
      <c r="B860" s="17"/>
      <c r="C860" s="2"/>
      <c r="D860" s="2"/>
      <c r="E860" s="2"/>
      <c r="F860" s="2"/>
      <c r="G860" s="2"/>
      <c r="H860" s="2"/>
      <c r="I860" s="5"/>
    </row>
    <row r="861" spans="1:9" ht="17.399999999999999" x14ac:dyDescent="0.25">
      <c r="A861" s="16"/>
      <c r="B861" s="17"/>
      <c r="C861" s="2"/>
      <c r="D861" s="2"/>
      <c r="E861" s="2"/>
      <c r="F861" s="2"/>
      <c r="G861" s="2"/>
      <c r="H861" s="2"/>
      <c r="I861" s="5"/>
    </row>
    <row r="862" spans="1:9" ht="17.399999999999999" x14ac:dyDescent="0.25">
      <c r="A862" s="16"/>
      <c r="B862" s="17"/>
      <c r="C862" s="2"/>
      <c r="D862" s="2"/>
      <c r="E862" s="2"/>
      <c r="F862" s="2"/>
      <c r="G862" s="2"/>
      <c r="H862" s="2"/>
      <c r="I862" s="5"/>
    </row>
    <row r="863" spans="1:9" ht="17.399999999999999" x14ac:dyDescent="0.25">
      <c r="A863" s="16"/>
      <c r="B863" s="17"/>
      <c r="C863" s="2"/>
      <c r="D863" s="2"/>
      <c r="E863" s="2"/>
      <c r="F863" s="2"/>
      <c r="G863" s="2"/>
      <c r="H863" s="2"/>
      <c r="I863" s="5"/>
    </row>
    <row r="864" spans="1:9" ht="17.399999999999999" x14ac:dyDescent="0.25">
      <c r="A864" s="16"/>
      <c r="B864" s="17"/>
      <c r="C864" s="2"/>
      <c r="D864" s="2"/>
      <c r="E864" s="2"/>
      <c r="F864" s="2"/>
      <c r="G864" s="2"/>
      <c r="H864" s="2"/>
      <c r="I864" s="5"/>
    </row>
    <row r="865" spans="1:9" ht="17.399999999999999" x14ac:dyDescent="0.25">
      <c r="A865" s="16"/>
      <c r="B865" s="17"/>
      <c r="C865" s="2"/>
      <c r="D865" s="2"/>
      <c r="E865" s="2"/>
      <c r="F865" s="2"/>
      <c r="G865" s="2"/>
      <c r="H865" s="2"/>
      <c r="I865" s="5"/>
    </row>
    <row r="866" spans="1:9" ht="17.399999999999999" x14ac:dyDescent="0.25">
      <c r="A866" s="16"/>
      <c r="B866" s="17"/>
      <c r="C866" s="2"/>
      <c r="D866" s="2"/>
      <c r="E866" s="2"/>
      <c r="F866" s="2"/>
      <c r="G866" s="2"/>
      <c r="H866" s="2"/>
      <c r="I866" s="5"/>
    </row>
    <row r="867" spans="1:9" ht="17.399999999999999" x14ac:dyDescent="0.25">
      <c r="A867" s="16"/>
      <c r="B867" s="17"/>
      <c r="C867" s="2"/>
      <c r="D867" s="2"/>
      <c r="E867" s="2"/>
      <c r="F867" s="2"/>
      <c r="G867" s="2"/>
      <c r="H867" s="2"/>
      <c r="I867" s="5"/>
    </row>
    <row r="868" spans="1:9" ht="17.399999999999999" x14ac:dyDescent="0.25">
      <c r="A868" s="16"/>
      <c r="B868" s="17"/>
      <c r="C868" s="2"/>
      <c r="D868" s="2"/>
      <c r="E868" s="2"/>
      <c r="F868" s="2"/>
      <c r="G868" s="2"/>
      <c r="H868" s="2"/>
      <c r="I868" s="5"/>
    </row>
    <row r="869" spans="1:9" ht="17.399999999999999" x14ac:dyDescent="0.25">
      <c r="A869" s="16"/>
      <c r="B869" s="17"/>
      <c r="C869" s="2"/>
      <c r="D869" s="2"/>
      <c r="E869" s="2"/>
      <c r="F869" s="2"/>
      <c r="G869" s="2"/>
      <c r="H869" s="2"/>
      <c r="I869" s="5"/>
    </row>
    <row r="870" spans="1:9" ht="17.399999999999999" x14ac:dyDescent="0.25">
      <c r="A870" s="16"/>
      <c r="B870" s="17"/>
      <c r="C870" s="2"/>
      <c r="D870" s="2"/>
      <c r="E870" s="2"/>
      <c r="F870" s="2"/>
      <c r="G870" s="2"/>
      <c r="H870" s="2"/>
      <c r="I870" s="5"/>
    </row>
    <row r="871" spans="1:9" ht="17.399999999999999" x14ac:dyDescent="0.25">
      <c r="A871" s="16"/>
      <c r="B871" s="17"/>
      <c r="C871" s="2"/>
      <c r="D871" s="2"/>
      <c r="E871" s="2"/>
      <c r="F871" s="2"/>
      <c r="G871" s="2"/>
      <c r="H871" s="2"/>
      <c r="I871" s="5"/>
    </row>
    <row r="872" spans="1:9" ht="17.399999999999999" x14ac:dyDescent="0.25">
      <c r="A872" s="16"/>
      <c r="B872" s="17"/>
      <c r="C872" s="2"/>
      <c r="D872" s="2"/>
      <c r="E872" s="2"/>
      <c r="F872" s="2"/>
      <c r="G872" s="2"/>
      <c r="H872" s="2"/>
      <c r="I872" s="5"/>
    </row>
    <row r="873" spans="1:9" ht="17.399999999999999" x14ac:dyDescent="0.25">
      <c r="A873" s="16"/>
      <c r="B873" s="17"/>
      <c r="C873" s="2"/>
      <c r="D873" s="2"/>
      <c r="E873" s="2"/>
      <c r="F873" s="2"/>
      <c r="G873" s="2"/>
      <c r="H873" s="2"/>
      <c r="I873" s="5"/>
    </row>
    <row r="874" spans="1:9" ht="17.399999999999999" x14ac:dyDescent="0.25">
      <c r="A874" s="16"/>
      <c r="B874" s="17"/>
      <c r="C874" s="2"/>
      <c r="D874" s="2"/>
      <c r="E874" s="2"/>
      <c r="F874" s="2"/>
      <c r="G874" s="2"/>
      <c r="H874" s="2"/>
      <c r="I874" s="5"/>
    </row>
    <row r="875" spans="1:9" ht="17.399999999999999" x14ac:dyDescent="0.25">
      <c r="A875" s="16"/>
      <c r="B875" s="17"/>
      <c r="C875" s="2"/>
      <c r="D875" s="2"/>
      <c r="E875" s="2"/>
      <c r="F875" s="2"/>
      <c r="G875" s="2"/>
      <c r="H875" s="2"/>
      <c r="I875" s="5"/>
    </row>
    <row r="876" spans="1:9" ht="17.399999999999999" x14ac:dyDescent="0.25">
      <c r="A876" s="16"/>
      <c r="B876" s="17"/>
      <c r="C876" s="2"/>
      <c r="D876" s="2"/>
      <c r="E876" s="2"/>
      <c r="F876" s="2"/>
      <c r="G876" s="2"/>
      <c r="H876" s="2"/>
      <c r="I876" s="5"/>
    </row>
    <row r="877" spans="1:9" ht="17.399999999999999" x14ac:dyDescent="0.25">
      <c r="A877" s="16"/>
      <c r="B877" s="17"/>
      <c r="C877" s="2"/>
      <c r="D877" s="2"/>
      <c r="E877" s="2"/>
      <c r="F877" s="2"/>
      <c r="G877" s="2"/>
      <c r="H877" s="2"/>
      <c r="I877" s="5"/>
    </row>
    <row r="878" spans="1:9" ht="17.399999999999999" x14ac:dyDescent="0.25">
      <c r="A878" s="16"/>
      <c r="B878" s="17"/>
      <c r="C878" s="2"/>
      <c r="D878" s="2"/>
      <c r="E878" s="2"/>
      <c r="F878" s="2"/>
      <c r="G878" s="2"/>
      <c r="H878" s="2"/>
      <c r="I878" s="5"/>
    </row>
    <row r="879" spans="1:9" ht="17.399999999999999" x14ac:dyDescent="0.25">
      <c r="A879" s="16"/>
      <c r="B879" s="17"/>
      <c r="C879" s="2"/>
      <c r="D879" s="2"/>
      <c r="E879" s="2"/>
      <c r="F879" s="2"/>
      <c r="G879" s="2"/>
      <c r="H879" s="2"/>
      <c r="I879" s="5"/>
    </row>
    <row r="880" spans="1:9" ht="17.399999999999999" x14ac:dyDescent="0.25">
      <c r="A880" s="16"/>
      <c r="B880" s="17"/>
      <c r="C880" s="2"/>
      <c r="D880" s="2"/>
      <c r="E880" s="2"/>
      <c r="F880" s="2"/>
      <c r="G880" s="2"/>
      <c r="H880" s="2"/>
      <c r="I880" s="5"/>
    </row>
    <row r="881" spans="1:9" ht="17.399999999999999" x14ac:dyDescent="0.25">
      <c r="A881" s="16"/>
      <c r="B881" s="17"/>
      <c r="C881" s="2"/>
      <c r="D881" s="2"/>
      <c r="E881" s="2"/>
      <c r="F881" s="2"/>
      <c r="G881" s="2"/>
      <c r="H881" s="2"/>
      <c r="I881" s="5"/>
    </row>
    <row r="882" spans="1:9" ht="17.399999999999999" x14ac:dyDescent="0.25">
      <c r="A882" s="16"/>
      <c r="B882" s="17"/>
      <c r="C882" s="2"/>
      <c r="D882" s="2"/>
      <c r="E882" s="2"/>
      <c r="F882" s="2"/>
      <c r="G882" s="2"/>
      <c r="H882" s="2"/>
      <c r="I882" s="5"/>
    </row>
    <row r="883" spans="1:9" ht="17.399999999999999" x14ac:dyDescent="0.25">
      <c r="A883" s="16"/>
      <c r="B883" s="17"/>
      <c r="C883" s="2"/>
      <c r="D883" s="2"/>
      <c r="E883" s="2"/>
      <c r="F883" s="2"/>
      <c r="G883" s="2"/>
      <c r="H883" s="2"/>
      <c r="I883" s="5"/>
    </row>
    <row r="884" spans="1:9" ht="17.399999999999999" x14ac:dyDescent="0.25">
      <c r="A884" s="16"/>
      <c r="B884" s="17"/>
      <c r="C884" s="2"/>
      <c r="D884" s="2"/>
      <c r="E884" s="2"/>
      <c r="F884" s="2"/>
      <c r="G884" s="2"/>
      <c r="H884" s="2"/>
      <c r="I884" s="5"/>
    </row>
    <row r="885" spans="1:9" ht="17.399999999999999" x14ac:dyDescent="0.25">
      <c r="A885" s="16"/>
      <c r="B885" s="17"/>
      <c r="C885" s="2"/>
      <c r="D885" s="2"/>
      <c r="E885" s="2"/>
      <c r="F885" s="2"/>
      <c r="G885" s="2"/>
      <c r="H885" s="2"/>
      <c r="I885" s="5"/>
    </row>
    <row r="886" spans="1:9" ht="17.399999999999999" x14ac:dyDescent="0.25">
      <c r="A886" s="16"/>
      <c r="B886" s="17"/>
      <c r="C886" s="2"/>
      <c r="D886" s="2"/>
      <c r="E886" s="2"/>
      <c r="F886" s="2"/>
      <c r="G886" s="2"/>
      <c r="H886" s="2"/>
      <c r="I886" s="5"/>
    </row>
    <row r="887" spans="1:9" ht="17.399999999999999" x14ac:dyDescent="0.25">
      <c r="A887" s="16"/>
      <c r="B887" s="17"/>
      <c r="C887" s="2"/>
      <c r="D887" s="2"/>
      <c r="E887" s="2"/>
      <c r="F887" s="2"/>
      <c r="G887" s="2"/>
      <c r="H887" s="2"/>
      <c r="I887" s="5"/>
    </row>
    <row r="888" spans="1:9" ht="17.399999999999999" x14ac:dyDescent="0.25">
      <c r="A888" s="16"/>
      <c r="B888" s="17"/>
      <c r="C888" s="2"/>
      <c r="D888" s="2"/>
      <c r="E888" s="2"/>
      <c r="F888" s="2"/>
      <c r="G888" s="2"/>
      <c r="H888" s="2"/>
      <c r="I888" s="5"/>
    </row>
    <row r="889" spans="1:9" ht="17.399999999999999" x14ac:dyDescent="0.25">
      <c r="A889" s="16"/>
      <c r="B889" s="17"/>
      <c r="C889" s="2"/>
      <c r="D889" s="2"/>
      <c r="E889" s="2"/>
      <c r="F889" s="2"/>
      <c r="G889" s="2"/>
      <c r="H889" s="2"/>
      <c r="I889" s="5"/>
    </row>
    <row r="890" spans="1:9" ht="17.399999999999999" x14ac:dyDescent="0.25">
      <c r="A890" s="16"/>
      <c r="B890" s="17"/>
      <c r="C890" s="2"/>
      <c r="D890" s="2"/>
      <c r="E890" s="2"/>
      <c r="F890" s="2"/>
      <c r="G890" s="2"/>
      <c r="H890" s="2"/>
      <c r="I890" s="5"/>
    </row>
    <row r="891" spans="1:9" ht="17.399999999999999" x14ac:dyDescent="0.25">
      <c r="A891" s="16"/>
      <c r="B891" s="17"/>
      <c r="C891" s="2"/>
      <c r="D891" s="2"/>
      <c r="E891" s="2"/>
      <c r="F891" s="2"/>
      <c r="G891" s="2"/>
      <c r="H891" s="2"/>
      <c r="I891" s="5"/>
    </row>
    <row r="892" spans="1:9" ht="17.399999999999999" x14ac:dyDescent="0.25">
      <c r="A892" s="16"/>
      <c r="B892" s="17"/>
      <c r="C892" s="2"/>
      <c r="D892" s="2"/>
      <c r="E892" s="2"/>
      <c r="F892" s="2"/>
      <c r="G892" s="2"/>
      <c r="H892" s="2"/>
      <c r="I892" s="5"/>
    </row>
    <row r="893" spans="1:9" ht="17.399999999999999" x14ac:dyDescent="0.25">
      <c r="A893" s="16"/>
      <c r="B893" s="17"/>
      <c r="C893" s="2"/>
      <c r="D893" s="2"/>
      <c r="E893" s="2"/>
      <c r="F893" s="2"/>
      <c r="G893" s="2"/>
      <c r="H893" s="2"/>
      <c r="I893" s="5"/>
    </row>
    <row r="894" spans="1:9" ht="17.399999999999999" x14ac:dyDescent="0.25">
      <c r="A894" s="16"/>
      <c r="B894" s="17"/>
      <c r="C894" s="2"/>
      <c r="D894" s="2"/>
      <c r="E894" s="2"/>
      <c r="F894" s="2"/>
      <c r="G894" s="2"/>
      <c r="H894" s="2"/>
      <c r="I894" s="5"/>
    </row>
    <row r="895" spans="1:9" ht="17.399999999999999" x14ac:dyDescent="0.25">
      <c r="A895" s="16"/>
      <c r="B895" s="17"/>
      <c r="C895" s="2"/>
      <c r="D895" s="2"/>
      <c r="E895" s="2"/>
      <c r="F895" s="2"/>
      <c r="G895" s="2"/>
      <c r="H895" s="2"/>
      <c r="I895" s="5"/>
    </row>
    <row r="896" spans="1:9" ht="17.399999999999999" x14ac:dyDescent="0.25">
      <c r="A896" s="16"/>
      <c r="B896" s="17"/>
      <c r="C896" s="2"/>
      <c r="D896" s="2"/>
      <c r="E896" s="2"/>
      <c r="F896" s="2"/>
      <c r="G896" s="2"/>
      <c r="H896" s="2"/>
      <c r="I896" s="5"/>
    </row>
    <row r="897" spans="1:9" ht="17.399999999999999" x14ac:dyDescent="0.25">
      <c r="A897" s="16"/>
      <c r="B897" s="17"/>
      <c r="C897" s="2"/>
      <c r="D897" s="2"/>
      <c r="E897" s="2"/>
      <c r="F897" s="2"/>
      <c r="G897" s="2"/>
      <c r="H897" s="2"/>
      <c r="I897" s="5"/>
    </row>
    <row r="898" spans="1:9" ht="17.399999999999999" x14ac:dyDescent="0.25">
      <c r="A898" s="16"/>
      <c r="B898" s="17"/>
      <c r="C898" s="2"/>
      <c r="D898" s="2"/>
      <c r="E898" s="2"/>
      <c r="F898" s="2"/>
      <c r="G898" s="2"/>
      <c r="H898" s="2"/>
      <c r="I898" s="5"/>
    </row>
    <row r="899" spans="1:9" ht="17.399999999999999" x14ac:dyDescent="0.25">
      <c r="A899" s="16"/>
      <c r="B899" s="17"/>
      <c r="C899" s="2"/>
      <c r="D899" s="2"/>
      <c r="E899" s="2"/>
      <c r="F899" s="2"/>
      <c r="G899" s="2"/>
      <c r="H899" s="2"/>
      <c r="I899" s="5"/>
    </row>
    <row r="900" spans="1:9" ht="17.399999999999999" x14ac:dyDescent="0.25">
      <c r="A900" s="16"/>
      <c r="B900" s="17"/>
      <c r="C900" s="2"/>
      <c r="D900" s="2"/>
      <c r="E900" s="2"/>
      <c r="F900" s="2"/>
      <c r="G900" s="2"/>
      <c r="H900" s="2"/>
      <c r="I900" s="5"/>
    </row>
    <row r="901" spans="1:9" ht="17.399999999999999" x14ac:dyDescent="0.25">
      <c r="A901" s="16"/>
      <c r="B901" s="17"/>
      <c r="C901" s="2"/>
      <c r="D901" s="2"/>
      <c r="E901" s="2"/>
      <c r="F901" s="2"/>
      <c r="G901" s="2"/>
      <c r="H901" s="2"/>
      <c r="I901" s="5"/>
    </row>
    <row r="902" spans="1:9" ht="17.399999999999999" x14ac:dyDescent="0.25">
      <c r="A902" s="16"/>
      <c r="B902" s="17"/>
      <c r="C902" s="2"/>
      <c r="D902" s="2"/>
      <c r="E902" s="2"/>
      <c r="F902" s="2"/>
      <c r="G902" s="2"/>
      <c r="H902" s="2"/>
      <c r="I902" s="5"/>
    </row>
    <row r="903" spans="1:9" ht="17.399999999999999" x14ac:dyDescent="0.25">
      <c r="A903" s="16"/>
      <c r="B903" s="17"/>
      <c r="C903" s="2"/>
      <c r="D903" s="2"/>
      <c r="E903" s="2"/>
      <c r="F903" s="2"/>
      <c r="G903" s="2"/>
      <c r="H903" s="2"/>
      <c r="I903" s="5"/>
    </row>
    <row r="904" spans="1:9" ht="17.399999999999999" x14ac:dyDescent="0.25">
      <c r="A904" s="16"/>
      <c r="B904" s="17"/>
      <c r="C904" s="2"/>
      <c r="D904" s="2"/>
      <c r="E904" s="2"/>
      <c r="F904" s="2"/>
      <c r="G904" s="2"/>
      <c r="H904" s="2"/>
      <c r="I904" s="5"/>
    </row>
    <row r="905" spans="1:9" ht="17.399999999999999" x14ac:dyDescent="0.25">
      <c r="A905" s="16"/>
      <c r="B905" s="17"/>
      <c r="C905" s="2"/>
      <c r="D905" s="2"/>
      <c r="E905" s="2"/>
      <c r="F905" s="2"/>
      <c r="G905" s="2"/>
      <c r="H905" s="2"/>
      <c r="I905" s="5"/>
    </row>
    <row r="906" spans="1:9" ht="17.399999999999999" x14ac:dyDescent="0.25">
      <c r="A906" s="16"/>
      <c r="B906" s="17"/>
      <c r="C906" s="2"/>
      <c r="D906" s="2"/>
      <c r="E906" s="2"/>
      <c r="F906" s="2"/>
      <c r="G906" s="2"/>
      <c r="H906" s="2"/>
      <c r="I906" s="5"/>
    </row>
    <row r="907" spans="1:9" ht="17.399999999999999" x14ac:dyDescent="0.25">
      <c r="A907" s="16"/>
      <c r="B907" s="17"/>
      <c r="C907" s="2"/>
      <c r="D907" s="2"/>
      <c r="E907" s="2"/>
      <c r="F907" s="2"/>
      <c r="G907" s="2"/>
      <c r="H907" s="2"/>
      <c r="I907" s="5"/>
    </row>
    <row r="908" spans="1:9" ht="17.399999999999999" x14ac:dyDescent="0.25">
      <c r="A908" s="16"/>
      <c r="B908" s="17"/>
      <c r="C908" s="2"/>
      <c r="D908" s="2"/>
      <c r="E908" s="2"/>
      <c r="F908" s="2"/>
      <c r="G908" s="2"/>
      <c r="H908" s="2"/>
      <c r="I908" s="5"/>
    </row>
    <row r="909" spans="1:9" ht="17.399999999999999" x14ac:dyDescent="0.25">
      <c r="A909" s="16"/>
      <c r="B909" s="17"/>
      <c r="C909" s="2"/>
      <c r="D909" s="2"/>
      <c r="E909" s="2"/>
      <c r="F909" s="2"/>
      <c r="G909" s="2"/>
      <c r="H909" s="2"/>
      <c r="I909" s="5"/>
    </row>
    <row r="910" spans="1:9" ht="17.399999999999999" x14ac:dyDescent="0.25">
      <c r="A910" s="16"/>
      <c r="B910" s="17"/>
      <c r="C910" s="2"/>
      <c r="D910" s="2"/>
      <c r="E910" s="2"/>
      <c r="F910" s="2"/>
      <c r="G910" s="2"/>
      <c r="H910" s="2"/>
      <c r="I910" s="5"/>
    </row>
    <row r="911" spans="1:9" ht="17.399999999999999" x14ac:dyDescent="0.25">
      <c r="A911" s="16"/>
      <c r="B911" s="17"/>
      <c r="C911" s="2"/>
      <c r="D911" s="2"/>
      <c r="E911" s="2"/>
      <c r="F911" s="2"/>
      <c r="G911" s="2"/>
      <c r="H911" s="2"/>
      <c r="I911" s="5"/>
    </row>
    <row r="912" spans="1:9" ht="17.399999999999999" x14ac:dyDescent="0.25">
      <c r="A912" s="16"/>
      <c r="B912" s="17"/>
      <c r="C912" s="2"/>
      <c r="D912" s="2"/>
      <c r="E912" s="2"/>
      <c r="F912" s="2"/>
      <c r="G912" s="2"/>
      <c r="H912" s="2"/>
      <c r="I912" s="5"/>
    </row>
    <row r="913" spans="1:9" ht="17.399999999999999" x14ac:dyDescent="0.25">
      <c r="A913" s="16"/>
      <c r="B913" s="17"/>
      <c r="C913" s="2"/>
      <c r="D913" s="2"/>
      <c r="E913" s="2"/>
      <c r="F913" s="2"/>
      <c r="G913" s="2"/>
      <c r="H913" s="2"/>
      <c r="I913" s="5"/>
    </row>
    <row r="914" spans="1:9" ht="17.399999999999999" x14ac:dyDescent="0.25">
      <c r="A914" s="16"/>
      <c r="B914" s="17"/>
      <c r="C914" s="2"/>
      <c r="D914" s="2"/>
      <c r="E914" s="2"/>
      <c r="F914" s="2"/>
      <c r="G914" s="2"/>
      <c r="H914" s="2"/>
      <c r="I914" s="5"/>
    </row>
    <row r="915" spans="1:9" ht="17.399999999999999" x14ac:dyDescent="0.25">
      <c r="A915" s="16"/>
      <c r="B915" s="17"/>
      <c r="C915" s="2"/>
      <c r="D915" s="2"/>
      <c r="E915" s="2"/>
      <c r="F915" s="2"/>
      <c r="G915" s="2"/>
      <c r="H915" s="2"/>
      <c r="I915" s="5"/>
    </row>
    <row r="916" spans="1:9" ht="17.399999999999999" x14ac:dyDescent="0.25">
      <c r="A916" s="16"/>
      <c r="B916" s="17"/>
      <c r="C916" s="2"/>
      <c r="D916" s="2"/>
      <c r="E916" s="2"/>
      <c r="F916" s="2"/>
      <c r="G916" s="2"/>
      <c r="H916" s="2"/>
      <c r="I916" s="5"/>
    </row>
    <row r="917" spans="1:9" ht="17.399999999999999" x14ac:dyDescent="0.25">
      <c r="A917" s="16"/>
      <c r="B917" s="17"/>
      <c r="C917" s="2"/>
      <c r="D917" s="2"/>
      <c r="E917" s="2"/>
      <c r="F917" s="2"/>
      <c r="G917" s="2"/>
      <c r="H917" s="2"/>
      <c r="I917" s="5"/>
    </row>
    <row r="918" spans="1:9" ht="17.399999999999999" x14ac:dyDescent="0.25">
      <c r="A918" s="16"/>
      <c r="B918" s="17"/>
      <c r="C918" s="2"/>
      <c r="D918" s="2"/>
      <c r="E918" s="2"/>
      <c r="F918" s="2"/>
      <c r="G918" s="2"/>
      <c r="H918" s="2"/>
      <c r="I918" s="5"/>
    </row>
    <row r="919" spans="1:9" ht="17.399999999999999" x14ac:dyDescent="0.25">
      <c r="A919" s="16"/>
      <c r="B919" s="17"/>
      <c r="C919" s="2"/>
      <c r="D919" s="2"/>
      <c r="E919" s="2"/>
      <c r="F919" s="2"/>
      <c r="G919" s="2"/>
      <c r="H919" s="2"/>
      <c r="I919" s="5"/>
    </row>
    <row r="920" spans="1:9" ht="17.399999999999999" x14ac:dyDescent="0.25">
      <c r="A920" s="16"/>
      <c r="B920" s="17"/>
      <c r="C920" s="2"/>
      <c r="D920" s="2"/>
      <c r="E920" s="2"/>
      <c r="F920" s="2"/>
      <c r="G920" s="2"/>
      <c r="H920" s="2"/>
      <c r="I920" s="5"/>
    </row>
    <row r="921" spans="1:9" ht="17.399999999999999" x14ac:dyDescent="0.25">
      <c r="A921" s="16"/>
      <c r="B921" s="17"/>
      <c r="C921" s="2"/>
      <c r="D921" s="2"/>
      <c r="E921" s="2"/>
      <c r="F921" s="2"/>
      <c r="G921" s="2"/>
      <c r="H921" s="2"/>
      <c r="I921" s="5"/>
    </row>
    <row r="922" spans="1:9" ht="17.399999999999999" x14ac:dyDescent="0.25">
      <c r="A922" s="16"/>
      <c r="B922" s="17"/>
      <c r="C922" s="2"/>
      <c r="D922" s="2"/>
      <c r="E922" s="2"/>
      <c r="F922" s="2"/>
      <c r="G922" s="2"/>
      <c r="H922" s="2"/>
      <c r="I922" s="5"/>
    </row>
    <row r="923" spans="1:9" ht="17.399999999999999" x14ac:dyDescent="0.25">
      <c r="A923" s="16"/>
      <c r="B923" s="17"/>
      <c r="C923" s="2"/>
      <c r="D923" s="2"/>
      <c r="E923" s="2"/>
      <c r="F923" s="2"/>
      <c r="G923" s="2"/>
      <c r="H923" s="2"/>
      <c r="I923" s="5"/>
    </row>
    <row r="924" spans="1:9" ht="17.399999999999999" x14ac:dyDescent="0.25">
      <c r="A924" s="16"/>
      <c r="B924" s="17"/>
      <c r="C924" s="2"/>
      <c r="D924" s="2"/>
      <c r="E924" s="2"/>
      <c r="F924" s="2"/>
      <c r="G924" s="2"/>
      <c r="H924" s="2"/>
      <c r="I924" s="5"/>
    </row>
    <row r="925" spans="1:9" ht="17.399999999999999" x14ac:dyDescent="0.25">
      <c r="A925" s="16"/>
      <c r="B925" s="17"/>
      <c r="C925" s="2"/>
      <c r="D925" s="2"/>
      <c r="E925" s="2"/>
      <c r="F925" s="2"/>
      <c r="G925" s="2"/>
      <c r="H925" s="2"/>
      <c r="I925" s="5"/>
    </row>
    <row r="926" spans="1:9" ht="17.399999999999999" x14ac:dyDescent="0.25">
      <c r="A926" s="16"/>
      <c r="B926" s="17"/>
      <c r="C926" s="2"/>
      <c r="D926" s="2"/>
      <c r="E926" s="2"/>
      <c r="F926" s="2"/>
      <c r="G926" s="2"/>
      <c r="H926" s="2"/>
      <c r="I926" s="5"/>
    </row>
    <row r="927" spans="1:9" ht="17.399999999999999" x14ac:dyDescent="0.25">
      <c r="A927" s="16"/>
      <c r="B927" s="17"/>
      <c r="C927" s="2"/>
      <c r="D927" s="2"/>
      <c r="E927" s="2"/>
      <c r="F927" s="2"/>
      <c r="G927" s="2"/>
      <c r="H927" s="2"/>
      <c r="I927" s="5"/>
    </row>
    <row r="928" spans="1:9" ht="17.399999999999999" x14ac:dyDescent="0.25">
      <c r="A928" s="16"/>
      <c r="B928" s="17"/>
      <c r="C928" s="2"/>
      <c r="D928" s="2"/>
      <c r="E928" s="2"/>
      <c r="F928" s="2"/>
      <c r="G928" s="2"/>
      <c r="H928" s="2"/>
      <c r="I928" s="5"/>
    </row>
    <row r="929" spans="1:9" ht="17.399999999999999" x14ac:dyDescent="0.25">
      <c r="A929" s="16"/>
      <c r="B929" s="17"/>
      <c r="C929" s="2"/>
      <c r="D929" s="2"/>
      <c r="E929" s="2"/>
      <c r="F929" s="2"/>
      <c r="G929" s="2"/>
      <c r="H929" s="2"/>
      <c r="I929" s="5"/>
    </row>
    <row r="930" spans="1:9" ht="17.399999999999999" x14ac:dyDescent="0.25">
      <c r="A930" s="16"/>
      <c r="B930" s="17"/>
      <c r="C930" s="2"/>
      <c r="D930" s="2"/>
      <c r="E930" s="2"/>
      <c r="F930" s="2"/>
      <c r="G930" s="2"/>
      <c r="H930" s="2"/>
      <c r="I930" s="5"/>
    </row>
    <row r="931" spans="1:9" ht="17.399999999999999" x14ac:dyDescent="0.25">
      <c r="A931" s="16"/>
      <c r="B931" s="17"/>
      <c r="C931" s="2"/>
      <c r="D931" s="2"/>
      <c r="E931" s="2"/>
      <c r="F931" s="2"/>
      <c r="G931" s="2"/>
      <c r="H931" s="2"/>
      <c r="I931" s="5"/>
    </row>
    <row r="932" spans="1:9" ht="17.399999999999999" x14ac:dyDescent="0.25">
      <c r="A932" s="16"/>
      <c r="B932" s="17"/>
      <c r="C932" s="2"/>
      <c r="D932" s="2"/>
      <c r="E932" s="2"/>
      <c r="F932" s="2"/>
      <c r="G932" s="2"/>
      <c r="H932" s="2"/>
      <c r="I932" s="5"/>
    </row>
    <row r="933" spans="1:9" ht="17.399999999999999" x14ac:dyDescent="0.25">
      <c r="A933" s="16"/>
      <c r="B933" s="17"/>
      <c r="C933" s="2"/>
      <c r="D933" s="2"/>
      <c r="E933" s="2"/>
      <c r="F933" s="2"/>
      <c r="G933" s="2"/>
      <c r="H933" s="2"/>
      <c r="I933" s="5"/>
    </row>
    <row r="934" spans="1:9" ht="17.399999999999999" x14ac:dyDescent="0.25">
      <c r="A934" s="16"/>
      <c r="B934" s="17"/>
      <c r="C934" s="2"/>
      <c r="D934" s="2"/>
      <c r="E934" s="2"/>
      <c r="F934" s="2"/>
      <c r="G934" s="2"/>
      <c r="H934" s="2"/>
      <c r="I934" s="5"/>
    </row>
    <row r="935" spans="1:9" ht="17.399999999999999" x14ac:dyDescent="0.25">
      <c r="A935" s="16"/>
      <c r="B935" s="17"/>
      <c r="C935" s="2"/>
      <c r="D935" s="2"/>
      <c r="E935" s="2"/>
      <c r="F935" s="2"/>
      <c r="G935" s="2"/>
      <c r="H935" s="2"/>
      <c r="I935" s="5"/>
    </row>
    <row r="936" spans="1:9" ht="17.399999999999999" x14ac:dyDescent="0.25">
      <c r="A936" s="16"/>
      <c r="B936" s="17"/>
      <c r="C936" s="2"/>
      <c r="D936" s="2"/>
      <c r="E936" s="2"/>
      <c r="F936" s="2"/>
      <c r="G936" s="2"/>
      <c r="H936" s="2"/>
      <c r="I936" s="5"/>
    </row>
    <row r="937" spans="1:9" ht="17.399999999999999" x14ac:dyDescent="0.25">
      <c r="A937" s="16"/>
      <c r="B937" s="17"/>
      <c r="C937" s="2"/>
      <c r="D937" s="2"/>
      <c r="E937" s="2"/>
      <c r="F937" s="2"/>
      <c r="G937" s="2"/>
      <c r="H937" s="2"/>
      <c r="I937" s="5"/>
    </row>
    <row r="938" spans="1:9" ht="17.399999999999999" x14ac:dyDescent="0.25">
      <c r="A938" s="16"/>
      <c r="B938" s="17"/>
      <c r="C938" s="2"/>
      <c r="D938" s="2"/>
      <c r="E938" s="2"/>
      <c r="F938" s="2"/>
      <c r="G938" s="2"/>
      <c r="H938" s="2"/>
      <c r="I938" s="5"/>
    </row>
    <row r="939" spans="1:9" ht="17.399999999999999" x14ac:dyDescent="0.25">
      <c r="A939" s="16"/>
      <c r="B939" s="17"/>
      <c r="C939" s="2"/>
      <c r="D939" s="2"/>
      <c r="E939" s="2"/>
      <c r="F939" s="2"/>
      <c r="G939" s="2"/>
      <c r="H939" s="2"/>
      <c r="I939" s="5"/>
    </row>
    <row r="940" spans="1:9" ht="17.399999999999999" x14ac:dyDescent="0.25">
      <c r="A940" s="16"/>
      <c r="B940" s="17"/>
      <c r="C940" s="2"/>
      <c r="D940" s="2"/>
      <c r="E940" s="2"/>
      <c r="F940" s="2"/>
      <c r="G940" s="2"/>
      <c r="H940" s="2"/>
      <c r="I940" s="5"/>
    </row>
    <row r="941" spans="1:9" ht="17.399999999999999" x14ac:dyDescent="0.25">
      <c r="A941" s="16"/>
      <c r="B941" s="17"/>
      <c r="C941" s="2"/>
      <c r="D941" s="2"/>
      <c r="E941" s="2"/>
      <c r="F941" s="2"/>
      <c r="G941" s="2"/>
      <c r="H941" s="2"/>
      <c r="I941" s="5"/>
    </row>
    <row r="942" spans="1:9" ht="17.399999999999999" x14ac:dyDescent="0.25">
      <c r="A942" s="16"/>
      <c r="B942" s="17"/>
      <c r="C942" s="2"/>
      <c r="D942" s="2"/>
      <c r="E942" s="2"/>
      <c r="F942" s="2"/>
      <c r="G942" s="2"/>
      <c r="H942" s="2"/>
      <c r="I942" s="5"/>
    </row>
    <row r="943" spans="1:9" ht="17.399999999999999" x14ac:dyDescent="0.25">
      <c r="A943" s="16"/>
      <c r="B943" s="17"/>
      <c r="C943" s="2"/>
      <c r="D943" s="2"/>
      <c r="E943" s="2"/>
      <c r="F943" s="2"/>
      <c r="G943" s="2"/>
      <c r="H943" s="2"/>
      <c r="I943" s="5"/>
    </row>
    <row r="944" spans="1:9" ht="17.399999999999999" x14ac:dyDescent="0.25">
      <c r="A944" s="16"/>
      <c r="B944" s="17"/>
      <c r="C944" s="2"/>
      <c r="D944" s="2"/>
      <c r="E944" s="2"/>
      <c r="F944" s="2"/>
      <c r="G944" s="2"/>
      <c r="H944" s="2"/>
      <c r="I944" s="5"/>
    </row>
    <row r="945" spans="1:9" ht="17.399999999999999" x14ac:dyDescent="0.25">
      <c r="A945" s="16"/>
      <c r="B945" s="17"/>
      <c r="C945" s="2"/>
      <c r="D945" s="2"/>
      <c r="E945" s="2"/>
      <c r="F945" s="2"/>
      <c r="G945" s="2"/>
      <c r="H945" s="2"/>
      <c r="I945" s="5"/>
    </row>
    <row r="946" spans="1:9" ht="17.399999999999999" x14ac:dyDescent="0.25">
      <c r="A946" s="16"/>
      <c r="B946" s="17"/>
      <c r="C946" s="2"/>
      <c r="D946" s="2"/>
      <c r="E946" s="2"/>
      <c r="F946" s="2"/>
      <c r="G946" s="2"/>
      <c r="H946" s="2"/>
      <c r="I946" s="5"/>
    </row>
    <row r="947" spans="1:9" ht="17.399999999999999" x14ac:dyDescent="0.25">
      <c r="A947" s="16"/>
      <c r="B947" s="17"/>
      <c r="C947" s="2"/>
      <c r="D947" s="2"/>
      <c r="E947" s="2"/>
      <c r="F947" s="2"/>
      <c r="G947" s="2"/>
      <c r="H947" s="2"/>
      <c r="I947" s="5"/>
    </row>
    <row r="948" spans="1:9" ht="17.399999999999999" x14ac:dyDescent="0.25">
      <c r="A948" s="16"/>
      <c r="B948" s="17"/>
      <c r="C948" s="2"/>
      <c r="D948" s="2"/>
      <c r="E948" s="2"/>
      <c r="F948" s="2"/>
      <c r="G948" s="2"/>
      <c r="H948" s="2"/>
      <c r="I948" s="5"/>
    </row>
    <row r="949" spans="1:9" ht="17.399999999999999" x14ac:dyDescent="0.25">
      <c r="A949" s="16"/>
      <c r="B949" s="17"/>
      <c r="C949" s="2"/>
      <c r="D949" s="2"/>
      <c r="E949" s="2"/>
      <c r="F949" s="2"/>
      <c r="G949" s="2"/>
      <c r="H949" s="2"/>
      <c r="I949" s="5"/>
    </row>
    <row r="950" spans="1:9" ht="17.399999999999999" x14ac:dyDescent="0.25">
      <c r="A950" s="16"/>
      <c r="B950" s="17"/>
      <c r="C950" s="2"/>
      <c r="D950" s="2"/>
      <c r="E950" s="2"/>
      <c r="F950" s="2"/>
      <c r="G950" s="2"/>
      <c r="H950" s="2"/>
      <c r="I950" s="5"/>
    </row>
    <row r="951" spans="1:9" ht="17.399999999999999" x14ac:dyDescent="0.25">
      <c r="A951" s="16"/>
      <c r="B951" s="17"/>
      <c r="C951" s="2"/>
      <c r="D951" s="2"/>
      <c r="E951" s="2"/>
      <c r="F951" s="2"/>
      <c r="G951" s="2"/>
      <c r="H951" s="2"/>
      <c r="I951" s="5"/>
    </row>
    <row r="952" spans="1:9" ht="17.399999999999999" x14ac:dyDescent="0.25">
      <c r="A952" s="16"/>
      <c r="B952" s="17"/>
      <c r="C952" s="2"/>
      <c r="D952" s="2"/>
      <c r="E952" s="2"/>
      <c r="F952" s="2"/>
      <c r="G952" s="2"/>
      <c r="H952" s="2"/>
      <c r="I952" s="5"/>
    </row>
    <row r="953" spans="1:9" ht="17.399999999999999" x14ac:dyDescent="0.25">
      <c r="A953" s="16"/>
      <c r="B953" s="17"/>
      <c r="C953" s="2"/>
      <c r="D953" s="2"/>
      <c r="E953" s="2"/>
      <c r="F953" s="2"/>
      <c r="G953" s="2"/>
      <c r="H953" s="2"/>
      <c r="I953" s="5"/>
    </row>
    <row r="954" spans="1:9" ht="17.399999999999999" x14ac:dyDescent="0.25">
      <c r="A954" s="16"/>
      <c r="B954" s="17"/>
      <c r="C954" s="2"/>
      <c r="D954" s="2"/>
      <c r="E954" s="2"/>
      <c r="F954" s="2"/>
      <c r="G954" s="2"/>
      <c r="H954" s="2"/>
      <c r="I954" s="5"/>
    </row>
    <row r="955" spans="1:9" ht="17.399999999999999" x14ac:dyDescent="0.25">
      <c r="A955" s="16"/>
      <c r="B955" s="17"/>
      <c r="C955" s="2"/>
      <c r="D955" s="2"/>
      <c r="E955" s="2"/>
      <c r="F955" s="2"/>
      <c r="G955" s="2"/>
      <c r="H955" s="2"/>
      <c r="I955" s="5"/>
    </row>
    <row r="956" spans="1:9" ht="17.399999999999999" x14ac:dyDescent="0.25">
      <c r="A956" s="16"/>
      <c r="B956" s="17"/>
      <c r="C956" s="2"/>
      <c r="D956" s="2"/>
      <c r="E956" s="2"/>
      <c r="F956" s="2"/>
      <c r="G956" s="2"/>
      <c r="H956" s="2"/>
      <c r="I956" s="5"/>
    </row>
    <row r="957" spans="1:9" ht="17.399999999999999" x14ac:dyDescent="0.25">
      <c r="A957" s="16"/>
      <c r="B957" s="17"/>
      <c r="C957" s="2"/>
      <c r="D957" s="2"/>
      <c r="E957" s="2"/>
      <c r="F957" s="2"/>
      <c r="G957" s="2"/>
      <c r="H957" s="2"/>
      <c r="I957" s="5"/>
    </row>
    <row r="958" spans="1:9" ht="17.399999999999999" x14ac:dyDescent="0.25">
      <c r="A958" s="16"/>
      <c r="B958" s="17"/>
      <c r="C958" s="2"/>
      <c r="D958" s="2"/>
      <c r="E958" s="2"/>
      <c r="F958" s="2"/>
      <c r="G958" s="2"/>
      <c r="H958" s="2"/>
      <c r="I958" s="5"/>
    </row>
    <row r="959" spans="1:9" ht="17.399999999999999" x14ac:dyDescent="0.25">
      <c r="A959" s="16"/>
      <c r="B959" s="17"/>
      <c r="C959" s="2"/>
      <c r="D959" s="2"/>
      <c r="E959" s="2"/>
      <c r="F959" s="2"/>
      <c r="G959" s="2"/>
      <c r="H959" s="2"/>
      <c r="I959" s="5"/>
    </row>
    <row r="960" spans="1:9" ht="17.399999999999999" x14ac:dyDescent="0.25">
      <c r="A960" s="16"/>
      <c r="B960" s="17"/>
      <c r="C960" s="2"/>
      <c r="D960" s="2"/>
      <c r="E960" s="2"/>
      <c r="F960" s="2"/>
      <c r="G960" s="2"/>
      <c r="H960" s="2"/>
      <c r="I960" s="5"/>
    </row>
    <row r="961" spans="1:9" ht="17.399999999999999" x14ac:dyDescent="0.25">
      <c r="A961" s="16"/>
      <c r="B961" s="17"/>
      <c r="C961" s="2"/>
      <c r="D961" s="2"/>
      <c r="E961" s="2"/>
      <c r="F961" s="2"/>
      <c r="G961" s="2"/>
      <c r="H961" s="2"/>
      <c r="I961" s="5"/>
    </row>
    <row r="962" spans="1:9" ht="17.399999999999999" x14ac:dyDescent="0.25">
      <c r="A962" s="16"/>
      <c r="B962" s="17"/>
      <c r="C962" s="2"/>
      <c r="D962" s="2"/>
      <c r="E962" s="2"/>
      <c r="F962" s="2"/>
      <c r="G962" s="2"/>
      <c r="H962" s="2"/>
      <c r="I962" s="5"/>
    </row>
    <row r="963" spans="1:9" ht="17.399999999999999" x14ac:dyDescent="0.25">
      <c r="A963" s="16"/>
      <c r="B963" s="17"/>
      <c r="C963" s="2"/>
      <c r="D963" s="2"/>
      <c r="E963" s="2"/>
      <c r="F963" s="2"/>
      <c r="G963" s="2"/>
      <c r="H963" s="2"/>
      <c r="I963" s="5"/>
    </row>
    <row r="964" spans="1:9" ht="17.399999999999999" x14ac:dyDescent="0.25">
      <c r="A964" s="16"/>
      <c r="B964" s="17"/>
      <c r="C964" s="2"/>
      <c r="D964" s="2"/>
      <c r="E964" s="2"/>
      <c r="F964" s="2"/>
      <c r="G964" s="2"/>
      <c r="H964" s="2"/>
      <c r="I964" s="5"/>
    </row>
    <row r="965" spans="1:9" ht="17.399999999999999" x14ac:dyDescent="0.25">
      <c r="A965" s="16"/>
      <c r="B965" s="17"/>
      <c r="C965" s="2"/>
      <c r="D965" s="2"/>
      <c r="E965" s="2"/>
      <c r="F965" s="2"/>
      <c r="G965" s="2"/>
      <c r="H965" s="2"/>
      <c r="I965" s="5"/>
    </row>
    <row r="966" spans="1:9" ht="17.399999999999999" x14ac:dyDescent="0.25">
      <c r="A966" s="16"/>
      <c r="B966" s="17"/>
      <c r="C966" s="2"/>
      <c r="D966" s="2"/>
      <c r="E966" s="2"/>
      <c r="F966" s="2"/>
      <c r="G966" s="2"/>
      <c r="H966" s="2"/>
      <c r="I966" s="5"/>
    </row>
    <row r="967" spans="1:9" ht="17.399999999999999" x14ac:dyDescent="0.25">
      <c r="A967" s="16"/>
      <c r="B967" s="17"/>
      <c r="C967" s="2"/>
      <c r="D967" s="2"/>
      <c r="E967" s="2"/>
      <c r="F967" s="2"/>
      <c r="G967" s="2"/>
      <c r="H967" s="2"/>
      <c r="I967" s="5"/>
    </row>
    <row r="968" spans="1:9" ht="17.399999999999999" x14ac:dyDescent="0.25">
      <c r="A968" s="16"/>
      <c r="B968" s="17"/>
      <c r="C968" s="2"/>
      <c r="D968" s="2"/>
      <c r="E968" s="2"/>
      <c r="F968" s="2"/>
      <c r="G968" s="2"/>
      <c r="H968" s="2"/>
      <c r="I968" s="5"/>
    </row>
    <row r="969" spans="1:9" ht="17.399999999999999" x14ac:dyDescent="0.25">
      <c r="A969" s="16"/>
      <c r="B969" s="17"/>
      <c r="C969" s="2"/>
      <c r="D969" s="2"/>
      <c r="E969" s="2"/>
      <c r="F969" s="2"/>
      <c r="G969" s="2"/>
      <c r="H969" s="2"/>
      <c r="I969" s="5"/>
    </row>
    <row r="970" spans="1:9" ht="17.399999999999999" x14ac:dyDescent="0.25">
      <c r="A970" s="16"/>
      <c r="B970" s="17"/>
      <c r="C970" s="2"/>
      <c r="D970" s="2"/>
      <c r="E970" s="2"/>
      <c r="F970" s="2"/>
      <c r="G970" s="2"/>
      <c r="H970" s="2"/>
      <c r="I970" s="5"/>
    </row>
    <row r="971" spans="1:9" ht="17.399999999999999" x14ac:dyDescent="0.25">
      <c r="A971" s="16"/>
      <c r="B971" s="17"/>
      <c r="C971" s="2"/>
      <c r="D971" s="2"/>
      <c r="E971" s="2"/>
      <c r="F971" s="2"/>
      <c r="G971" s="2"/>
      <c r="H971" s="2"/>
      <c r="I971" s="5"/>
    </row>
    <row r="972" spans="1:9" ht="17.399999999999999" x14ac:dyDescent="0.25">
      <c r="A972" s="16"/>
      <c r="B972" s="17"/>
      <c r="C972" s="2"/>
      <c r="D972" s="2"/>
      <c r="E972" s="2"/>
      <c r="F972" s="2"/>
      <c r="G972" s="2"/>
      <c r="H972" s="2"/>
      <c r="I972" s="5"/>
    </row>
    <row r="973" spans="1:9" ht="17.399999999999999" x14ac:dyDescent="0.25">
      <c r="A973" s="16"/>
      <c r="B973" s="17"/>
      <c r="C973" s="2"/>
      <c r="D973" s="2"/>
      <c r="E973" s="2"/>
      <c r="F973" s="2"/>
      <c r="G973" s="2"/>
      <c r="H973" s="2"/>
      <c r="I973" s="5"/>
    </row>
    <row r="974" spans="1:9" ht="17.399999999999999" x14ac:dyDescent="0.25">
      <c r="A974" s="16"/>
      <c r="B974" s="17"/>
      <c r="C974" s="2"/>
      <c r="D974" s="2"/>
      <c r="E974" s="2"/>
      <c r="F974" s="2"/>
      <c r="G974" s="2"/>
      <c r="H974" s="2"/>
      <c r="I974" s="5"/>
    </row>
    <row r="975" spans="1:9" ht="17.399999999999999" x14ac:dyDescent="0.25">
      <c r="A975" s="16"/>
      <c r="B975" s="17"/>
      <c r="C975" s="2"/>
      <c r="D975" s="2"/>
      <c r="E975" s="2"/>
      <c r="F975" s="2"/>
      <c r="G975" s="2"/>
      <c r="H975" s="2"/>
      <c r="I975" s="5"/>
    </row>
    <row r="976" spans="1:9" ht="17.399999999999999" x14ac:dyDescent="0.25">
      <c r="A976" s="16"/>
      <c r="B976" s="17"/>
      <c r="C976" s="2"/>
      <c r="D976" s="2"/>
      <c r="E976" s="2"/>
      <c r="F976" s="2"/>
      <c r="G976" s="2"/>
      <c r="H976" s="2"/>
      <c r="I976" s="5"/>
    </row>
    <row r="977" spans="1:9" ht="17.399999999999999" x14ac:dyDescent="0.25">
      <c r="A977" s="16"/>
      <c r="B977" s="17"/>
      <c r="C977" s="2"/>
      <c r="D977" s="2"/>
      <c r="E977" s="2"/>
      <c r="F977" s="2"/>
      <c r="G977" s="2"/>
      <c r="H977" s="2"/>
      <c r="I977" s="5"/>
    </row>
    <row r="978" spans="1:9" ht="17.399999999999999" x14ac:dyDescent="0.25">
      <c r="A978" s="16"/>
      <c r="B978" s="17"/>
      <c r="C978" s="2"/>
      <c r="D978" s="2"/>
      <c r="E978" s="2"/>
      <c r="F978" s="2"/>
      <c r="G978" s="2"/>
      <c r="H978" s="2"/>
      <c r="I978" s="5"/>
    </row>
    <row r="979" spans="1:9" ht="17.399999999999999" x14ac:dyDescent="0.25">
      <c r="A979" s="16"/>
      <c r="B979" s="17"/>
      <c r="C979" s="2"/>
      <c r="D979" s="2"/>
      <c r="E979" s="2"/>
      <c r="F979" s="2"/>
      <c r="G979" s="2"/>
      <c r="H979" s="2"/>
      <c r="I979" s="5"/>
    </row>
    <row r="980" spans="1:9" ht="17.399999999999999" x14ac:dyDescent="0.25">
      <c r="A980" s="16"/>
      <c r="B980" s="17"/>
      <c r="C980" s="2"/>
      <c r="D980" s="2"/>
      <c r="E980" s="2"/>
      <c r="F980" s="2"/>
      <c r="G980" s="2"/>
      <c r="H980" s="2"/>
      <c r="I980" s="5"/>
    </row>
    <row r="981" spans="1:9" ht="17.399999999999999" x14ac:dyDescent="0.25">
      <c r="A981" s="16"/>
      <c r="B981" s="17"/>
      <c r="C981" s="2"/>
      <c r="D981" s="2"/>
      <c r="E981" s="2"/>
      <c r="F981" s="2"/>
      <c r="G981" s="2"/>
      <c r="H981" s="2"/>
      <c r="I981" s="5"/>
    </row>
    <row r="982" spans="1:9" ht="17.399999999999999" x14ac:dyDescent="0.25">
      <c r="A982" s="16"/>
      <c r="B982" s="17"/>
      <c r="C982" s="2"/>
      <c r="D982" s="2"/>
      <c r="E982" s="2"/>
      <c r="F982" s="2"/>
      <c r="G982" s="2"/>
      <c r="H982" s="2"/>
      <c r="I982" s="5"/>
    </row>
    <row r="983" spans="1:9" ht="17.399999999999999" x14ac:dyDescent="0.25">
      <c r="A983" s="16"/>
      <c r="B983" s="17"/>
      <c r="C983" s="2"/>
      <c r="D983" s="2"/>
      <c r="E983" s="2"/>
      <c r="F983" s="2"/>
      <c r="G983" s="2"/>
      <c r="H983" s="2"/>
      <c r="I983" s="5"/>
    </row>
    <row r="984" spans="1:9" ht="17.399999999999999" x14ac:dyDescent="0.25">
      <c r="A984" s="16"/>
      <c r="B984" s="17"/>
      <c r="C984" s="2"/>
      <c r="D984" s="2"/>
      <c r="E984" s="2"/>
      <c r="F984" s="2"/>
      <c r="G984" s="2"/>
      <c r="H984" s="2"/>
      <c r="I984" s="5"/>
    </row>
    <row r="985" spans="1:9" ht="17.399999999999999" x14ac:dyDescent="0.25">
      <c r="A985" s="16"/>
      <c r="B985" s="17"/>
      <c r="C985" s="2"/>
      <c r="D985" s="2"/>
      <c r="E985" s="2"/>
      <c r="F985" s="2"/>
      <c r="G985" s="2"/>
      <c r="H985" s="2"/>
      <c r="I985" s="5"/>
    </row>
    <row r="986" spans="1:9" ht="17.399999999999999" x14ac:dyDescent="0.25">
      <c r="A986" s="16"/>
      <c r="B986" s="17"/>
      <c r="C986" s="2"/>
      <c r="D986" s="2"/>
      <c r="E986" s="2"/>
      <c r="F986" s="2"/>
      <c r="G986" s="2"/>
      <c r="H986" s="2"/>
      <c r="I986" s="5"/>
    </row>
    <row r="987" spans="1:9" ht="17.399999999999999" x14ac:dyDescent="0.25">
      <c r="A987" s="16"/>
      <c r="B987" s="17"/>
      <c r="C987" s="2"/>
      <c r="D987" s="2"/>
      <c r="E987" s="2"/>
      <c r="F987" s="2"/>
      <c r="G987" s="2"/>
      <c r="H987" s="2"/>
      <c r="I987" s="5"/>
    </row>
    <row r="988" spans="1:9" ht="17.399999999999999" x14ac:dyDescent="0.25">
      <c r="A988" s="16"/>
      <c r="B988" s="17"/>
      <c r="C988" s="2"/>
      <c r="D988" s="2"/>
      <c r="E988" s="2"/>
      <c r="F988" s="2"/>
      <c r="G988" s="2"/>
      <c r="H988" s="2"/>
      <c r="I988" s="5"/>
    </row>
    <row r="989" spans="1:9" ht="17.399999999999999" x14ac:dyDescent="0.25">
      <c r="A989" s="16"/>
      <c r="B989" s="17"/>
      <c r="C989" s="2"/>
      <c r="D989" s="2"/>
      <c r="E989" s="2"/>
      <c r="F989" s="2"/>
      <c r="G989" s="2"/>
      <c r="H989" s="2"/>
      <c r="I989" s="5"/>
    </row>
    <row r="990" spans="1:9" ht="17.399999999999999" x14ac:dyDescent="0.25">
      <c r="A990" s="16"/>
      <c r="B990" s="17"/>
      <c r="C990" s="2"/>
      <c r="D990" s="2"/>
      <c r="E990" s="2"/>
      <c r="F990" s="2"/>
      <c r="G990" s="2"/>
      <c r="H990" s="2"/>
      <c r="I990" s="5"/>
    </row>
    <row r="991" spans="1:9" ht="17.399999999999999" x14ac:dyDescent="0.25">
      <c r="A991" s="16"/>
      <c r="B991" s="17"/>
      <c r="C991" s="2"/>
      <c r="D991" s="2"/>
      <c r="E991" s="2"/>
      <c r="F991" s="2"/>
      <c r="G991" s="2"/>
      <c r="H991" s="2"/>
      <c r="I991" s="5"/>
    </row>
    <row r="992" spans="1:9" ht="17.399999999999999" x14ac:dyDescent="0.25">
      <c r="A992" s="16"/>
      <c r="B992" s="17"/>
      <c r="C992" s="2"/>
      <c r="D992" s="2"/>
      <c r="E992" s="2"/>
      <c r="F992" s="2"/>
      <c r="G992" s="2"/>
      <c r="H992" s="2"/>
      <c r="I992" s="5"/>
    </row>
    <row r="993" spans="1:9" ht="17.399999999999999" x14ac:dyDescent="0.25">
      <c r="A993" s="16"/>
      <c r="B993" s="17"/>
      <c r="C993" s="2"/>
      <c r="D993" s="2"/>
      <c r="E993" s="2"/>
      <c r="F993" s="2"/>
      <c r="G993" s="2"/>
      <c r="H993" s="2"/>
      <c r="I993" s="5"/>
    </row>
    <row r="994" spans="1:9" ht="17.399999999999999" x14ac:dyDescent="0.25">
      <c r="A994" s="16"/>
      <c r="B994" s="17"/>
      <c r="C994" s="2"/>
      <c r="D994" s="2"/>
      <c r="E994" s="2"/>
      <c r="F994" s="2"/>
      <c r="G994" s="2"/>
      <c r="H994" s="2"/>
      <c r="I994" s="5"/>
    </row>
    <row r="995" spans="1:9" ht="17.399999999999999" x14ac:dyDescent="0.25">
      <c r="A995" s="16"/>
      <c r="B995" s="17"/>
      <c r="C995" s="2"/>
      <c r="D995" s="2"/>
      <c r="E995" s="2"/>
      <c r="F995" s="2"/>
      <c r="G995" s="2"/>
      <c r="H995" s="2"/>
      <c r="I995" s="5"/>
    </row>
    <row r="996" spans="1:9" ht="17.399999999999999" x14ac:dyDescent="0.25">
      <c r="A996" s="16"/>
      <c r="B996" s="17"/>
      <c r="C996" s="2"/>
      <c r="D996" s="2"/>
      <c r="E996" s="2"/>
      <c r="F996" s="2"/>
      <c r="G996" s="2"/>
      <c r="H996" s="2"/>
      <c r="I996" s="5"/>
    </row>
    <row r="997" spans="1:9" ht="17.399999999999999" x14ac:dyDescent="0.25">
      <c r="A997" s="16"/>
      <c r="B997" s="17"/>
      <c r="C997" s="2"/>
      <c r="D997" s="2"/>
      <c r="E997" s="2"/>
      <c r="F997" s="2"/>
      <c r="G997" s="2"/>
      <c r="H997" s="2"/>
      <c r="I997" s="5"/>
    </row>
    <row r="998" spans="1:9" ht="17.399999999999999" x14ac:dyDescent="0.25">
      <c r="A998" s="16"/>
      <c r="B998" s="17"/>
      <c r="C998" s="2"/>
      <c r="D998" s="2"/>
      <c r="E998" s="2"/>
      <c r="F998" s="2"/>
      <c r="G998" s="2"/>
      <c r="H998" s="2"/>
      <c r="I998" s="5"/>
    </row>
    <row r="999" spans="1:9" ht="17.399999999999999" x14ac:dyDescent="0.25">
      <c r="A999" s="16"/>
      <c r="B999" s="17"/>
      <c r="C999" s="2"/>
      <c r="D999" s="2"/>
      <c r="E999" s="2"/>
      <c r="F999" s="2"/>
      <c r="G999" s="2"/>
      <c r="H999" s="2"/>
      <c r="I999" s="5"/>
    </row>
    <row r="1000" spans="1:9" ht="17.399999999999999" x14ac:dyDescent="0.25">
      <c r="A1000" s="16"/>
      <c r="B1000" s="17"/>
      <c r="C1000" s="2"/>
      <c r="D1000" s="2"/>
      <c r="E1000" s="2"/>
      <c r="F1000" s="2"/>
      <c r="G1000" s="2"/>
      <c r="H1000" s="2"/>
      <c r="I1000" s="5"/>
    </row>
    <row r="1001" spans="1:9" ht="17.399999999999999" x14ac:dyDescent="0.25">
      <c r="A1001" s="16"/>
      <c r="B1001" s="17"/>
      <c r="C1001" s="2"/>
      <c r="D1001" s="2"/>
      <c r="E1001" s="2"/>
      <c r="F1001" s="2"/>
      <c r="G1001" s="2"/>
      <c r="H1001" s="2"/>
      <c r="I1001" s="5"/>
    </row>
    <row r="1002" spans="1:9" ht="17.399999999999999" x14ac:dyDescent="0.25">
      <c r="A1002" s="16"/>
      <c r="B1002" s="17"/>
      <c r="C1002" s="2"/>
      <c r="D1002" s="2"/>
      <c r="E1002" s="2"/>
      <c r="F1002" s="2"/>
      <c r="G1002" s="2"/>
      <c r="H1002" s="2"/>
      <c r="I1002" s="5"/>
    </row>
    <row r="1003" spans="1:9" ht="17.399999999999999" x14ac:dyDescent="0.25">
      <c r="A1003" s="16"/>
      <c r="B1003" s="17"/>
      <c r="C1003" s="2"/>
      <c r="D1003" s="2"/>
      <c r="E1003" s="2"/>
      <c r="F1003" s="2"/>
      <c r="G1003" s="2"/>
      <c r="H1003" s="2"/>
      <c r="I1003" s="5"/>
    </row>
    <row r="1004" spans="1:9" ht="17.399999999999999" x14ac:dyDescent="0.25">
      <c r="A1004" s="16"/>
      <c r="B1004" s="17"/>
      <c r="C1004" s="2"/>
      <c r="D1004" s="2"/>
      <c r="E1004" s="2"/>
      <c r="F1004" s="2"/>
      <c r="G1004" s="2"/>
      <c r="H1004" s="2"/>
      <c r="I1004" s="5"/>
    </row>
    <row r="1005" spans="1:9" ht="17.399999999999999" x14ac:dyDescent="0.25">
      <c r="A1005" s="16"/>
      <c r="B1005" s="17"/>
      <c r="C1005" s="2"/>
      <c r="D1005" s="2"/>
      <c r="E1005" s="2"/>
      <c r="F1005" s="2"/>
      <c r="G1005" s="2"/>
      <c r="H1005" s="2"/>
      <c r="I1005" s="5"/>
    </row>
    <row r="1006" spans="1:9" ht="17.399999999999999" x14ac:dyDescent="0.25">
      <c r="A1006" s="16"/>
      <c r="B1006" s="17"/>
      <c r="C1006" s="2"/>
      <c r="D1006" s="2"/>
      <c r="E1006" s="2"/>
      <c r="F1006" s="2"/>
      <c r="G1006" s="2"/>
      <c r="H1006" s="2"/>
      <c r="I1006" s="5"/>
    </row>
    <row r="1007" spans="1:9" ht="17.399999999999999" x14ac:dyDescent="0.25">
      <c r="A1007" s="16"/>
      <c r="B1007" s="17"/>
      <c r="C1007" s="2"/>
      <c r="D1007" s="2"/>
      <c r="E1007" s="2"/>
      <c r="F1007" s="2"/>
      <c r="G1007" s="2"/>
      <c r="H1007" s="2"/>
      <c r="I1007" s="5"/>
    </row>
    <row r="1008" spans="1:9" ht="17.399999999999999" x14ac:dyDescent="0.25">
      <c r="A1008" s="16"/>
      <c r="B1008" s="17"/>
      <c r="C1008" s="2"/>
      <c r="D1008" s="2"/>
      <c r="E1008" s="2"/>
      <c r="F1008" s="2"/>
      <c r="G1008" s="2"/>
      <c r="H1008" s="2"/>
      <c r="I1008" s="5"/>
    </row>
    <row r="1009" spans="1:9" ht="17.399999999999999" x14ac:dyDescent="0.25">
      <c r="A1009" s="16"/>
      <c r="B1009" s="17"/>
      <c r="C1009" s="2"/>
      <c r="D1009" s="2"/>
      <c r="E1009" s="2"/>
      <c r="F1009" s="2"/>
      <c r="G1009" s="2"/>
      <c r="H1009" s="2"/>
      <c r="I1009" s="5"/>
    </row>
    <row r="1010" spans="1:9" ht="17.399999999999999" x14ac:dyDescent="0.25">
      <c r="A1010" s="16"/>
      <c r="B1010" s="17"/>
      <c r="C1010" s="2"/>
      <c r="D1010" s="2"/>
      <c r="E1010" s="2"/>
      <c r="F1010" s="2"/>
      <c r="G1010" s="2"/>
      <c r="H1010" s="2"/>
      <c r="I1010" s="5"/>
    </row>
    <row r="1011" spans="1:9" ht="17.399999999999999" x14ac:dyDescent="0.25">
      <c r="A1011" s="16"/>
      <c r="B1011" s="17"/>
      <c r="C1011" s="2"/>
      <c r="D1011" s="2"/>
      <c r="E1011" s="2"/>
      <c r="F1011" s="2"/>
      <c r="G1011" s="2"/>
      <c r="H1011" s="2"/>
      <c r="I1011" s="5"/>
    </row>
    <row r="1012" spans="1:9" ht="17.399999999999999" x14ac:dyDescent="0.25">
      <c r="A1012" s="16"/>
      <c r="B1012" s="17"/>
      <c r="C1012" s="2"/>
      <c r="D1012" s="2"/>
      <c r="E1012" s="2"/>
      <c r="F1012" s="2"/>
      <c r="G1012" s="2"/>
      <c r="H1012" s="2"/>
      <c r="I1012" s="5"/>
    </row>
    <row r="1013" spans="1:9" ht="17.399999999999999" x14ac:dyDescent="0.25">
      <c r="A1013" s="16"/>
      <c r="B1013" s="17"/>
      <c r="C1013" s="2"/>
      <c r="D1013" s="2"/>
      <c r="E1013" s="2"/>
      <c r="F1013" s="2"/>
      <c r="G1013" s="2"/>
      <c r="H1013" s="2"/>
      <c r="I1013" s="5"/>
    </row>
    <row r="1014" spans="1:9" ht="17.399999999999999" x14ac:dyDescent="0.25">
      <c r="A1014" s="16"/>
      <c r="B1014" s="17"/>
      <c r="C1014" s="2"/>
      <c r="D1014" s="2"/>
      <c r="E1014" s="2"/>
      <c r="F1014" s="2"/>
      <c r="G1014" s="2"/>
      <c r="H1014" s="2"/>
      <c r="I1014" s="5"/>
    </row>
    <row r="1015" spans="1:9" ht="17.399999999999999" x14ac:dyDescent="0.25">
      <c r="A1015" s="16"/>
      <c r="B1015" s="17"/>
      <c r="C1015" s="2"/>
      <c r="D1015" s="2"/>
      <c r="E1015" s="2"/>
      <c r="F1015" s="2"/>
      <c r="G1015" s="2"/>
      <c r="H1015" s="2"/>
      <c r="I1015" s="5"/>
    </row>
    <row r="1016" spans="1:9" ht="17.399999999999999" x14ac:dyDescent="0.25">
      <c r="A1016" s="16"/>
      <c r="B1016" s="17"/>
      <c r="C1016" s="2"/>
      <c r="D1016" s="2"/>
      <c r="E1016" s="2"/>
      <c r="F1016" s="2"/>
      <c r="G1016" s="2"/>
      <c r="H1016" s="2"/>
      <c r="I1016" s="5"/>
    </row>
    <row r="1017" spans="1:9" ht="17.399999999999999" x14ac:dyDescent="0.25">
      <c r="A1017" s="16"/>
      <c r="B1017" s="17"/>
      <c r="C1017" s="2"/>
      <c r="D1017" s="2"/>
      <c r="E1017" s="2"/>
      <c r="F1017" s="2"/>
      <c r="G1017" s="2"/>
      <c r="H1017" s="2"/>
      <c r="I1017" s="5"/>
    </row>
    <row r="1018" spans="1:9" ht="17.399999999999999" x14ac:dyDescent="0.25">
      <c r="A1018" s="16"/>
      <c r="B1018" s="17"/>
      <c r="C1018" s="2"/>
      <c r="D1018" s="2"/>
      <c r="E1018" s="2"/>
      <c r="F1018" s="2"/>
      <c r="G1018" s="2"/>
      <c r="H1018" s="2"/>
      <c r="I1018" s="5"/>
    </row>
    <row r="1019" spans="1:9" ht="17.399999999999999" x14ac:dyDescent="0.25">
      <c r="A1019" s="16"/>
      <c r="B1019" s="17"/>
      <c r="C1019" s="2"/>
      <c r="D1019" s="2"/>
      <c r="E1019" s="2"/>
      <c r="F1019" s="2"/>
      <c r="G1019" s="2"/>
      <c r="H1019" s="2"/>
      <c r="I1019" s="5"/>
    </row>
    <row r="1020" spans="1:9" ht="17.399999999999999" x14ac:dyDescent="0.25">
      <c r="A1020" s="16"/>
      <c r="B1020" s="17"/>
      <c r="C1020" s="2"/>
      <c r="D1020" s="2"/>
      <c r="E1020" s="2"/>
      <c r="F1020" s="2"/>
      <c r="G1020" s="2"/>
      <c r="H1020" s="2"/>
      <c r="I1020" s="5"/>
    </row>
    <row r="1021" spans="1:9" ht="17.399999999999999" x14ac:dyDescent="0.25">
      <c r="A1021" s="16"/>
      <c r="B1021" s="17"/>
      <c r="C1021" s="2"/>
      <c r="D1021" s="2"/>
      <c r="E1021" s="2"/>
      <c r="F1021" s="2"/>
      <c r="G1021" s="2"/>
      <c r="H1021" s="2"/>
      <c r="I1021" s="5"/>
    </row>
    <row r="1022" spans="1:9" ht="17.399999999999999" x14ac:dyDescent="0.25">
      <c r="A1022" s="16"/>
      <c r="B1022" s="17"/>
      <c r="C1022" s="2"/>
      <c r="D1022" s="2"/>
      <c r="E1022" s="2"/>
      <c r="F1022" s="2"/>
      <c r="G1022" s="2"/>
      <c r="H1022" s="2"/>
      <c r="I1022" s="5"/>
    </row>
    <row r="1023" spans="1:9" ht="17.399999999999999" x14ac:dyDescent="0.25">
      <c r="A1023" s="16"/>
      <c r="B1023" s="17"/>
      <c r="C1023" s="2"/>
      <c r="D1023" s="2"/>
      <c r="E1023" s="2"/>
      <c r="F1023" s="2"/>
      <c r="G1023" s="2"/>
      <c r="H1023" s="2"/>
      <c r="I1023" s="5"/>
    </row>
    <row r="1024" spans="1:9" ht="17.399999999999999" x14ac:dyDescent="0.25">
      <c r="A1024" s="16"/>
      <c r="B1024" s="17"/>
      <c r="C1024" s="2"/>
      <c r="D1024" s="2"/>
      <c r="E1024" s="2"/>
      <c r="F1024" s="2"/>
      <c r="G1024" s="2"/>
      <c r="H1024" s="2"/>
      <c r="I1024" s="5"/>
    </row>
    <row r="1025" spans="1:9" ht="17.399999999999999" x14ac:dyDescent="0.25">
      <c r="A1025" s="16"/>
      <c r="B1025" s="17"/>
      <c r="C1025" s="2"/>
      <c r="D1025" s="2"/>
      <c r="E1025" s="2"/>
      <c r="F1025" s="2"/>
      <c r="G1025" s="2"/>
      <c r="H1025" s="2"/>
      <c r="I1025" s="5"/>
    </row>
    <row r="1026" spans="1:9" ht="17.399999999999999" x14ac:dyDescent="0.25">
      <c r="A1026" s="16"/>
      <c r="B1026" s="17"/>
      <c r="C1026" s="2"/>
      <c r="D1026" s="2"/>
      <c r="E1026" s="2"/>
      <c r="F1026" s="2"/>
      <c r="G1026" s="2"/>
      <c r="H1026" s="2"/>
      <c r="I1026" s="5"/>
    </row>
    <row r="1027" spans="1:9" ht="17.399999999999999" x14ac:dyDescent="0.25">
      <c r="A1027" s="16"/>
      <c r="B1027" s="17"/>
      <c r="C1027" s="2"/>
      <c r="D1027" s="2"/>
      <c r="E1027" s="2"/>
      <c r="F1027" s="2"/>
      <c r="G1027" s="2"/>
      <c r="H1027" s="2"/>
      <c r="I1027" s="5"/>
    </row>
    <row r="1028" spans="1:9" ht="17.399999999999999" x14ac:dyDescent="0.25">
      <c r="A1028" s="16"/>
      <c r="B1028" s="17"/>
      <c r="C1028" s="2"/>
      <c r="D1028" s="2"/>
      <c r="E1028" s="2"/>
      <c r="F1028" s="2"/>
      <c r="G1028" s="2"/>
      <c r="H1028" s="2"/>
      <c r="I1028" s="5"/>
    </row>
    <row r="1029" spans="1:9" ht="17.399999999999999" x14ac:dyDescent="0.25">
      <c r="A1029" s="16"/>
      <c r="B1029" s="17"/>
      <c r="C1029" s="2"/>
      <c r="D1029" s="2"/>
      <c r="E1029" s="2"/>
      <c r="F1029" s="2"/>
      <c r="G1029" s="2"/>
      <c r="H1029" s="2"/>
      <c r="I1029" s="5"/>
    </row>
    <row r="1030" spans="1:9" ht="17.399999999999999" x14ac:dyDescent="0.25">
      <c r="A1030" s="16"/>
      <c r="B1030" s="17"/>
      <c r="C1030" s="2"/>
      <c r="D1030" s="2"/>
      <c r="E1030" s="2"/>
      <c r="F1030" s="2"/>
      <c r="G1030" s="2"/>
      <c r="H1030" s="2"/>
      <c r="I1030" s="5"/>
    </row>
    <row r="1031" spans="1:9" ht="17.399999999999999" x14ac:dyDescent="0.25">
      <c r="A1031" s="16"/>
      <c r="B1031" s="17"/>
      <c r="C1031" s="2"/>
      <c r="D1031" s="2"/>
      <c r="E1031" s="2"/>
      <c r="F1031" s="2"/>
      <c r="G1031" s="2"/>
      <c r="H1031" s="2"/>
      <c r="I1031" s="5"/>
    </row>
    <row r="1032" spans="1:9" ht="17.399999999999999" x14ac:dyDescent="0.25">
      <c r="A1032" s="16"/>
      <c r="B1032" s="17"/>
      <c r="C1032" s="2"/>
      <c r="D1032" s="2"/>
      <c r="E1032" s="2"/>
      <c r="F1032" s="2"/>
      <c r="G1032" s="2"/>
      <c r="H1032" s="2"/>
      <c r="I1032" s="5"/>
    </row>
    <row r="1033" spans="1:9" ht="17.399999999999999" x14ac:dyDescent="0.25">
      <c r="A1033" s="16"/>
      <c r="B1033" s="17"/>
      <c r="C1033" s="2"/>
      <c r="D1033" s="2"/>
      <c r="E1033" s="2"/>
      <c r="F1033" s="2"/>
      <c r="G1033" s="2"/>
      <c r="H1033" s="2"/>
      <c r="I1033" s="5"/>
    </row>
    <row r="1034" spans="1:9" ht="17.399999999999999" x14ac:dyDescent="0.25">
      <c r="A1034" s="16"/>
      <c r="B1034" s="17"/>
      <c r="C1034" s="2"/>
      <c r="D1034" s="2"/>
      <c r="E1034" s="2"/>
      <c r="F1034" s="2"/>
      <c r="G1034" s="2"/>
      <c r="H1034" s="2"/>
      <c r="I1034" s="5"/>
    </row>
    <row r="1035" spans="1:9" ht="17.399999999999999" x14ac:dyDescent="0.25">
      <c r="A1035" s="16"/>
      <c r="B1035" s="17"/>
      <c r="C1035" s="2"/>
      <c r="D1035" s="2"/>
      <c r="E1035" s="2"/>
      <c r="F1035" s="2"/>
      <c r="G1035" s="2"/>
      <c r="H1035" s="2"/>
      <c r="I1035" s="5"/>
    </row>
    <row r="1036" spans="1:9" ht="17.399999999999999" x14ac:dyDescent="0.25">
      <c r="A1036" s="16"/>
      <c r="B1036" s="17"/>
      <c r="C1036" s="2"/>
      <c r="D1036" s="2"/>
      <c r="E1036" s="2"/>
      <c r="F1036" s="2"/>
      <c r="G1036" s="2"/>
      <c r="H1036" s="2"/>
      <c r="I1036" s="5"/>
    </row>
    <row r="1037" spans="1:9" ht="17.399999999999999" x14ac:dyDescent="0.25">
      <c r="A1037" s="16"/>
      <c r="B1037" s="17"/>
      <c r="C1037" s="2"/>
      <c r="D1037" s="2"/>
      <c r="E1037" s="2"/>
      <c r="F1037" s="2"/>
      <c r="G1037" s="2"/>
      <c r="H1037" s="2"/>
      <c r="I1037" s="5"/>
    </row>
    <row r="1038" spans="1:9" ht="17.399999999999999" x14ac:dyDescent="0.25">
      <c r="A1038" s="16"/>
      <c r="B1038" s="17"/>
      <c r="C1038" s="2"/>
      <c r="D1038" s="2"/>
      <c r="E1038" s="2"/>
      <c r="F1038" s="2"/>
      <c r="G1038" s="2"/>
      <c r="H1038" s="2"/>
      <c r="I1038" s="5"/>
    </row>
    <row r="1039" spans="1:9" ht="17.399999999999999" x14ac:dyDescent="0.25">
      <c r="A1039" s="16"/>
      <c r="B1039" s="17"/>
      <c r="C1039" s="2"/>
      <c r="D1039" s="2"/>
      <c r="E1039" s="2"/>
      <c r="F1039" s="2"/>
      <c r="G1039" s="2"/>
      <c r="H1039" s="2"/>
      <c r="I1039" s="5"/>
    </row>
    <row r="1040" spans="1:9" ht="17.399999999999999" x14ac:dyDescent="0.25">
      <c r="A1040" s="16"/>
      <c r="B1040" s="17"/>
      <c r="C1040" s="2"/>
      <c r="D1040" s="2"/>
      <c r="E1040" s="2"/>
      <c r="F1040" s="2"/>
      <c r="G1040" s="2"/>
      <c r="H1040" s="2"/>
      <c r="I1040" s="5"/>
    </row>
    <row r="1041" spans="1:9" ht="17.399999999999999" x14ac:dyDescent="0.25">
      <c r="A1041" s="16"/>
      <c r="B1041" s="17"/>
      <c r="C1041" s="2"/>
      <c r="D1041" s="2"/>
      <c r="E1041" s="2"/>
      <c r="F1041" s="2"/>
      <c r="G1041" s="2"/>
      <c r="H1041" s="2"/>
      <c r="I1041" s="5"/>
    </row>
    <row r="1042" spans="1:9" ht="17.399999999999999" x14ac:dyDescent="0.25">
      <c r="A1042" s="16"/>
      <c r="B1042" s="17"/>
      <c r="C1042" s="2"/>
      <c r="D1042" s="2"/>
      <c r="E1042" s="2"/>
      <c r="F1042" s="2"/>
      <c r="G1042" s="2"/>
      <c r="H1042" s="2"/>
      <c r="I1042" s="5"/>
    </row>
    <row r="1043" spans="1:9" ht="17.399999999999999" x14ac:dyDescent="0.25">
      <c r="A1043" s="16"/>
      <c r="B1043" s="17"/>
      <c r="C1043" s="2"/>
      <c r="D1043" s="2"/>
      <c r="E1043" s="2"/>
      <c r="F1043" s="2"/>
      <c r="G1043" s="2"/>
      <c r="H1043" s="2"/>
      <c r="I1043" s="5"/>
    </row>
    <row r="1044" spans="1:9" ht="17.399999999999999" x14ac:dyDescent="0.25">
      <c r="A1044" s="16"/>
      <c r="B1044" s="17"/>
      <c r="C1044" s="2"/>
      <c r="D1044" s="2"/>
      <c r="E1044" s="2"/>
      <c r="F1044" s="2"/>
      <c r="G1044" s="2"/>
      <c r="H1044" s="2"/>
      <c r="I1044" s="5"/>
    </row>
    <row r="1045" spans="1:9" ht="17.399999999999999" x14ac:dyDescent="0.25">
      <c r="A1045" s="16"/>
      <c r="B1045" s="17"/>
      <c r="C1045" s="2"/>
      <c r="D1045" s="2"/>
      <c r="E1045" s="2"/>
      <c r="F1045" s="2"/>
      <c r="G1045" s="2"/>
      <c r="H1045" s="2"/>
      <c r="I1045" s="5"/>
    </row>
    <row r="1046" spans="1:9" ht="17.399999999999999" x14ac:dyDescent="0.25">
      <c r="A1046" s="16"/>
      <c r="B1046" s="17"/>
      <c r="C1046" s="2"/>
      <c r="D1046" s="2"/>
      <c r="E1046" s="2"/>
      <c r="F1046" s="2"/>
      <c r="G1046" s="2"/>
      <c r="H1046" s="2"/>
      <c r="I1046" s="5"/>
    </row>
    <row r="1047" spans="1:9" ht="17.399999999999999" x14ac:dyDescent="0.25">
      <c r="A1047" s="16"/>
      <c r="B1047" s="17"/>
      <c r="C1047" s="2"/>
      <c r="D1047" s="2"/>
      <c r="E1047" s="2"/>
      <c r="F1047" s="2"/>
      <c r="G1047" s="2"/>
      <c r="H1047" s="2"/>
      <c r="I1047" s="5"/>
    </row>
    <row r="1048" spans="1:9" ht="17.399999999999999" x14ac:dyDescent="0.25">
      <c r="A1048" s="16"/>
      <c r="B1048" s="17"/>
      <c r="C1048" s="2"/>
      <c r="D1048" s="2"/>
      <c r="E1048" s="2"/>
      <c r="F1048" s="2"/>
      <c r="G1048" s="2"/>
      <c r="H1048" s="2"/>
      <c r="I1048" s="5"/>
    </row>
    <row r="1049" spans="1:9" ht="17.399999999999999" x14ac:dyDescent="0.25">
      <c r="A1049" s="16"/>
      <c r="B1049" s="17"/>
      <c r="C1049" s="2"/>
      <c r="D1049" s="2"/>
      <c r="E1049" s="2"/>
      <c r="F1049" s="2"/>
      <c r="G1049" s="2"/>
      <c r="H1049" s="2"/>
      <c r="I1049" s="5"/>
    </row>
    <row r="1050" spans="1:9" ht="17.399999999999999" x14ac:dyDescent="0.25">
      <c r="A1050" s="16"/>
      <c r="B1050" s="17"/>
      <c r="C1050" s="2"/>
      <c r="D1050" s="2"/>
      <c r="E1050" s="2"/>
      <c r="F1050" s="2"/>
      <c r="G1050" s="2"/>
      <c r="H1050" s="2"/>
      <c r="I1050" s="5"/>
    </row>
    <row r="1051" spans="1:9" ht="17.399999999999999" x14ac:dyDescent="0.25">
      <c r="A1051" s="16"/>
      <c r="B1051" s="17"/>
      <c r="C1051" s="2"/>
      <c r="D1051" s="2"/>
      <c r="E1051" s="2"/>
      <c r="F1051" s="2"/>
      <c r="G1051" s="2"/>
      <c r="H1051" s="2"/>
      <c r="I1051" s="5"/>
    </row>
    <row r="1052" spans="1:9" ht="17.399999999999999" x14ac:dyDescent="0.25">
      <c r="A1052" s="16"/>
      <c r="B1052" s="17"/>
      <c r="C1052" s="2"/>
      <c r="D1052" s="2"/>
      <c r="E1052" s="2"/>
      <c r="F1052" s="2"/>
      <c r="G1052" s="2"/>
      <c r="H1052" s="2"/>
      <c r="I1052" s="5"/>
    </row>
    <row r="1053" spans="1:9" ht="17.399999999999999" x14ac:dyDescent="0.25">
      <c r="A1053" s="16"/>
      <c r="B1053" s="17"/>
      <c r="C1053" s="2"/>
      <c r="D1053" s="2"/>
      <c r="E1053" s="2"/>
      <c r="F1053" s="2"/>
      <c r="G1053" s="2"/>
      <c r="H1053" s="2"/>
      <c r="I1053" s="5"/>
    </row>
    <row r="1054" spans="1:9" ht="17.399999999999999" x14ac:dyDescent="0.25">
      <c r="A1054" s="16"/>
      <c r="B1054" s="17"/>
      <c r="C1054" s="2"/>
      <c r="D1054" s="2"/>
      <c r="E1054" s="2"/>
      <c r="F1054" s="2"/>
      <c r="G1054" s="2"/>
      <c r="H1054" s="2"/>
      <c r="I1054" s="5"/>
    </row>
    <row r="1055" spans="1:9" ht="17.399999999999999" x14ac:dyDescent="0.25">
      <c r="A1055" s="16"/>
      <c r="B1055" s="17"/>
      <c r="C1055" s="2"/>
      <c r="D1055" s="2"/>
      <c r="E1055" s="2"/>
      <c r="F1055" s="2"/>
      <c r="G1055" s="2"/>
      <c r="H1055" s="2"/>
      <c r="I1055" s="5"/>
    </row>
    <row r="1056" spans="1:9" ht="17.399999999999999" x14ac:dyDescent="0.25">
      <c r="A1056" s="16"/>
      <c r="B1056" s="17"/>
      <c r="C1056" s="2"/>
      <c r="D1056" s="2"/>
      <c r="E1056" s="2"/>
      <c r="F1056" s="2"/>
      <c r="G1056" s="2"/>
      <c r="H1056" s="2"/>
      <c r="I1056" s="5"/>
    </row>
    <row r="1057" spans="1:9" ht="17.399999999999999" x14ac:dyDescent="0.25">
      <c r="A1057" s="16"/>
      <c r="B1057" s="17"/>
      <c r="C1057" s="2"/>
      <c r="D1057" s="2"/>
      <c r="E1057" s="2"/>
      <c r="F1057" s="2"/>
      <c r="G1057" s="2"/>
      <c r="H1057" s="2"/>
      <c r="I1057" s="5"/>
    </row>
    <row r="1058" spans="1:9" ht="17.399999999999999" x14ac:dyDescent="0.25">
      <c r="A1058" s="16"/>
      <c r="B1058" s="17"/>
      <c r="C1058" s="2"/>
      <c r="D1058" s="2"/>
      <c r="E1058" s="2"/>
      <c r="F1058" s="2"/>
      <c r="G1058" s="2"/>
      <c r="H1058" s="2"/>
      <c r="I1058" s="5"/>
    </row>
    <row r="1059" spans="1:9" ht="17.399999999999999" x14ac:dyDescent="0.25">
      <c r="A1059" s="16"/>
      <c r="B1059" s="17"/>
      <c r="C1059" s="2"/>
      <c r="D1059" s="2"/>
      <c r="E1059" s="2"/>
      <c r="F1059" s="2"/>
      <c r="G1059" s="2"/>
      <c r="H1059" s="2"/>
      <c r="I1059" s="5"/>
    </row>
    <row r="1060" spans="1:9" ht="17.399999999999999" x14ac:dyDescent="0.25">
      <c r="A1060" s="16"/>
      <c r="B1060" s="17"/>
      <c r="C1060" s="2"/>
      <c r="D1060" s="2"/>
      <c r="E1060" s="2"/>
      <c r="F1060" s="2"/>
      <c r="G1060" s="2"/>
      <c r="H1060" s="2"/>
      <c r="I1060" s="5"/>
    </row>
    <row r="1061" spans="1:9" ht="17.399999999999999" x14ac:dyDescent="0.25">
      <c r="A1061" s="16"/>
      <c r="B1061" s="17"/>
      <c r="C1061" s="2"/>
      <c r="D1061" s="2"/>
      <c r="E1061" s="2"/>
      <c r="F1061" s="2"/>
      <c r="G1061" s="2"/>
      <c r="H1061" s="2"/>
      <c r="I1061" s="5"/>
    </row>
    <row r="1062" spans="1:9" ht="17.399999999999999" x14ac:dyDescent="0.25">
      <c r="A1062" s="16"/>
      <c r="B1062" s="17"/>
      <c r="C1062" s="2"/>
      <c r="D1062" s="2"/>
      <c r="E1062" s="2"/>
      <c r="F1062" s="2"/>
      <c r="G1062" s="2"/>
      <c r="H1062" s="2"/>
      <c r="I1062" s="5"/>
    </row>
    <row r="1063" spans="1:9" ht="17.399999999999999" x14ac:dyDescent="0.25">
      <c r="A1063" s="16"/>
      <c r="B1063" s="17"/>
      <c r="C1063" s="2"/>
      <c r="D1063" s="2"/>
      <c r="E1063" s="2"/>
      <c r="F1063" s="2"/>
      <c r="G1063" s="2"/>
      <c r="H1063" s="2"/>
      <c r="I1063" s="5"/>
    </row>
    <row r="1064" spans="1:9" ht="17.399999999999999" x14ac:dyDescent="0.25">
      <c r="A1064" s="16"/>
      <c r="B1064" s="17"/>
      <c r="C1064" s="2"/>
      <c r="D1064" s="2"/>
      <c r="E1064" s="2"/>
      <c r="F1064" s="2"/>
      <c r="G1064" s="2"/>
      <c r="H1064" s="2"/>
      <c r="I1064" s="5"/>
    </row>
    <row r="1065" spans="1:9" ht="17.399999999999999" x14ac:dyDescent="0.25">
      <c r="A1065" s="16"/>
      <c r="B1065" s="17"/>
      <c r="C1065" s="2"/>
      <c r="D1065" s="2"/>
      <c r="E1065" s="2"/>
      <c r="F1065" s="2"/>
      <c r="G1065" s="2"/>
      <c r="H1065" s="2"/>
      <c r="I1065" s="5"/>
    </row>
    <row r="1066" spans="1:9" ht="17.399999999999999" x14ac:dyDescent="0.25">
      <c r="A1066" s="16"/>
      <c r="B1066" s="17"/>
      <c r="C1066" s="2"/>
      <c r="D1066" s="2"/>
      <c r="E1066" s="2"/>
      <c r="F1066" s="2"/>
      <c r="G1066" s="2"/>
      <c r="H1066" s="2"/>
      <c r="I1066" s="5"/>
    </row>
    <row r="1067" spans="1:9" ht="17.399999999999999" x14ac:dyDescent="0.25">
      <c r="A1067" s="16"/>
      <c r="B1067" s="17"/>
      <c r="C1067" s="2"/>
      <c r="D1067" s="2"/>
      <c r="E1067" s="2"/>
      <c r="F1067" s="2"/>
      <c r="G1067" s="2"/>
      <c r="H1067" s="2"/>
      <c r="I1067" s="5"/>
    </row>
    <row r="1068" spans="1:9" ht="17.399999999999999" x14ac:dyDescent="0.25">
      <c r="A1068" s="16"/>
      <c r="B1068" s="17"/>
      <c r="C1068" s="2"/>
      <c r="D1068" s="2"/>
      <c r="E1068" s="2"/>
      <c r="F1068" s="2"/>
      <c r="G1068" s="2"/>
      <c r="H1068" s="2"/>
      <c r="I1068" s="5"/>
    </row>
    <row r="1069" spans="1:9" ht="17.399999999999999" x14ac:dyDescent="0.25">
      <c r="A1069" s="16"/>
      <c r="B1069" s="17"/>
      <c r="C1069" s="2"/>
      <c r="D1069" s="2"/>
      <c r="E1069" s="2"/>
      <c r="F1069" s="2"/>
      <c r="G1069" s="2"/>
      <c r="H1069" s="2"/>
      <c r="I1069" s="5"/>
    </row>
    <row r="1070" spans="1:9" ht="17.399999999999999" x14ac:dyDescent="0.25">
      <c r="A1070" s="16"/>
      <c r="B1070" s="17"/>
      <c r="C1070" s="2"/>
      <c r="D1070" s="2"/>
      <c r="E1070" s="2"/>
      <c r="F1070" s="2"/>
      <c r="G1070" s="2"/>
      <c r="H1070" s="2"/>
      <c r="I1070" s="5"/>
    </row>
    <row r="1071" spans="1:9" ht="17.399999999999999" x14ac:dyDescent="0.25">
      <c r="A1071" s="16"/>
      <c r="B1071" s="17"/>
      <c r="C1071" s="2"/>
      <c r="D1071" s="2"/>
      <c r="E1071" s="2"/>
      <c r="F1071" s="2"/>
      <c r="G1071" s="2"/>
      <c r="H1071" s="2"/>
      <c r="I1071" s="5"/>
    </row>
    <row r="1072" spans="1:9" ht="17.399999999999999" x14ac:dyDescent="0.25">
      <c r="A1072" s="16"/>
      <c r="B1072" s="17"/>
      <c r="C1072" s="2"/>
      <c r="D1072" s="2"/>
      <c r="E1072" s="2"/>
      <c r="F1072" s="2"/>
      <c r="G1072" s="2"/>
      <c r="H1072" s="2"/>
      <c r="I1072" s="5"/>
    </row>
    <row r="1073" spans="1:9" ht="17.399999999999999" x14ac:dyDescent="0.25">
      <c r="A1073" s="16"/>
      <c r="B1073" s="17"/>
      <c r="C1073" s="2"/>
      <c r="D1073" s="2"/>
      <c r="E1073" s="2"/>
      <c r="F1073" s="2"/>
      <c r="G1073" s="2"/>
      <c r="H1073" s="2"/>
      <c r="I1073" s="5"/>
    </row>
    <row r="1074" spans="1:9" ht="17.399999999999999" x14ac:dyDescent="0.25">
      <c r="A1074" s="16"/>
      <c r="B1074" s="17"/>
      <c r="C1074" s="2"/>
      <c r="D1074" s="2"/>
      <c r="E1074" s="2"/>
      <c r="F1074" s="2"/>
      <c r="G1074" s="2"/>
      <c r="H1074" s="2"/>
      <c r="I1074" s="5"/>
    </row>
    <row r="1075" spans="1:9" ht="17.399999999999999" x14ac:dyDescent="0.25">
      <c r="A1075" s="16"/>
      <c r="B1075" s="17"/>
      <c r="C1075" s="2"/>
      <c r="D1075" s="2"/>
      <c r="E1075" s="2"/>
      <c r="F1075" s="2"/>
      <c r="G1075" s="2"/>
      <c r="H1075" s="2"/>
      <c r="I1075" s="5"/>
    </row>
    <row r="1076" spans="1:9" ht="17.399999999999999" x14ac:dyDescent="0.25">
      <c r="A1076" s="16"/>
      <c r="B1076" s="17"/>
      <c r="C1076" s="2"/>
      <c r="D1076" s="2"/>
      <c r="E1076" s="2"/>
      <c r="F1076" s="2"/>
      <c r="G1076" s="2"/>
      <c r="H1076" s="2"/>
      <c r="I1076" s="5"/>
    </row>
    <row r="1077" spans="1:9" ht="17.399999999999999" x14ac:dyDescent="0.25">
      <c r="A1077" s="16"/>
      <c r="B1077" s="17"/>
      <c r="C1077" s="2"/>
      <c r="D1077" s="2"/>
      <c r="E1077" s="2"/>
      <c r="F1077" s="2"/>
      <c r="G1077" s="2"/>
      <c r="H1077" s="2"/>
      <c r="I1077" s="5"/>
    </row>
    <row r="1078" spans="1:9" ht="17.399999999999999" x14ac:dyDescent="0.25">
      <c r="A1078" s="16"/>
      <c r="B1078" s="17"/>
      <c r="C1078" s="2"/>
      <c r="D1078" s="2"/>
      <c r="E1078" s="2"/>
      <c r="F1078" s="2"/>
      <c r="G1078" s="2"/>
      <c r="H1078" s="2"/>
      <c r="I1078" s="5"/>
    </row>
    <row r="1079" spans="1:9" ht="17.399999999999999" x14ac:dyDescent="0.25">
      <c r="A1079" s="16"/>
      <c r="B1079" s="17"/>
      <c r="C1079" s="2"/>
      <c r="D1079" s="2"/>
      <c r="E1079" s="2"/>
      <c r="F1079" s="2"/>
      <c r="G1079" s="2"/>
      <c r="H1079" s="2"/>
      <c r="I1079" s="5"/>
    </row>
    <row r="1080" spans="1:9" ht="17.399999999999999" x14ac:dyDescent="0.25">
      <c r="A1080" s="16"/>
      <c r="B1080" s="17"/>
      <c r="C1080" s="2"/>
      <c r="D1080" s="2"/>
      <c r="E1080" s="2"/>
      <c r="F1080" s="2"/>
      <c r="G1080" s="2"/>
      <c r="H1080" s="2"/>
      <c r="I1080" s="5"/>
    </row>
    <row r="1081" spans="1:9" ht="17.399999999999999" x14ac:dyDescent="0.25">
      <c r="A1081" s="16"/>
      <c r="B1081" s="17"/>
      <c r="C1081" s="2"/>
      <c r="D1081" s="2"/>
      <c r="E1081" s="2"/>
      <c r="F1081" s="2"/>
      <c r="G1081" s="2"/>
      <c r="H1081" s="2"/>
      <c r="I1081" s="5"/>
    </row>
    <row r="1082" spans="1:9" ht="17.399999999999999" x14ac:dyDescent="0.25">
      <c r="A1082" s="16"/>
      <c r="B1082" s="17"/>
      <c r="C1082" s="2"/>
      <c r="D1082" s="2"/>
      <c r="E1082" s="2"/>
      <c r="F1082" s="2"/>
      <c r="G1082" s="2"/>
      <c r="H1082" s="2"/>
      <c r="I1082" s="5"/>
    </row>
    <row r="1083" spans="1:9" ht="17.399999999999999" x14ac:dyDescent="0.25">
      <c r="A1083" s="16"/>
      <c r="B1083" s="17"/>
      <c r="C1083" s="2"/>
      <c r="D1083" s="2"/>
      <c r="E1083" s="2"/>
      <c r="F1083" s="2"/>
      <c r="G1083" s="2"/>
      <c r="H1083" s="2"/>
      <c r="I1083" s="5"/>
    </row>
    <row r="1084" spans="1:9" ht="17.399999999999999" x14ac:dyDescent="0.25">
      <c r="A1084" s="16"/>
      <c r="B1084" s="17"/>
      <c r="C1084" s="2"/>
      <c r="D1084" s="2"/>
      <c r="E1084" s="2"/>
      <c r="F1084" s="2"/>
      <c r="G1084" s="2"/>
      <c r="H1084" s="2"/>
      <c r="I1084" s="5"/>
    </row>
    <row r="1085" spans="1:9" ht="17.399999999999999" x14ac:dyDescent="0.25">
      <c r="A1085" s="16"/>
      <c r="B1085" s="17"/>
      <c r="C1085" s="2"/>
      <c r="D1085" s="2"/>
      <c r="E1085" s="2"/>
      <c r="F1085" s="2"/>
      <c r="G1085" s="2"/>
      <c r="H1085" s="2"/>
      <c r="I1085" s="5"/>
    </row>
    <row r="1086" spans="1:9" ht="17.399999999999999" x14ac:dyDescent="0.25">
      <c r="A1086" s="16"/>
      <c r="B1086" s="17"/>
      <c r="C1086" s="2"/>
      <c r="D1086" s="2"/>
      <c r="E1086" s="2"/>
      <c r="F1086" s="2"/>
      <c r="G1086" s="2"/>
      <c r="H1086" s="2"/>
      <c r="I1086" s="5"/>
    </row>
    <row r="1087" spans="1:9" ht="17.399999999999999" x14ac:dyDescent="0.25">
      <c r="A1087" s="16"/>
      <c r="B1087" s="17"/>
      <c r="C1087" s="2"/>
      <c r="D1087" s="2"/>
      <c r="E1087" s="2"/>
      <c r="F1087" s="2"/>
      <c r="G1087" s="2"/>
      <c r="H1087" s="2"/>
      <c r="I1087" s="5"/>
    </row>
    <row r="1088" spans="1:9" ht="17.399999999999999" x14ac:dyDescent="0.25">
      <c r="A1088" s="16"/>
      <c r="B1088" s="17"/>
      <c r="C1088" s="2"/>
      <c r="D1088" s="2"/>
      <c r="E1088" s="2"/>
      <c r="F1088" s="2"/>
      <c r="G1088" s="2"/>
      <c r="H1088" s="2"/>
      <c r="I1088" s="5"/>
    </row>
    <row r="1089" spans="1:9" ht="17.399999999999999" x14ac:dyDescent="0.25">
      <c r="A1089" s="16"/>
      <c r="B1089" s="17"/>
      <c r="C1089" s="2"/>
      <c r="D1089" s="2"/>
      <c r="E1089" s="2"/>
      <c r="F1089" s="2"/>
      <c r="G1089" s="2"/>
      <c r="H1089" s="2"/>
      <c r="I1089" s="5"/>
    </row>
    <row r="1090" spans="1:9" ht="17.399999999999999" x14ac:dyDescent="0.25">
      <c r="A1090" s="16"/>
      <c r="B1090" s="17"/>
      <c r="C1090" s="2"/>
      <c r="D1090" s="2"/>
      <c r="E1090" s="2"/>
      <c r="F1090" s="2"/>
      <c r="G1090" s="2"/>
      <c r="H1090" s="2"/>
      <c r="I1090" s="5"/>
    </row>
    <row r="1091" spans="1:9" ht="17.399999999999999" x14ac:dyDescent="0.25">
      <c r="A1091" s="16"/>
      <c r="B1091" s="17"/>
      <c r="C1091" s="2"/>
      <c r="D1091" s="2"/>
      <c r="E1091" s="2"/>
      <c r="F1091" s="2"/>
      <c r="G1091" s="2"/>
      <c r="H1091" s="2"/>
      <c r="I1091" s="5"/>
    </row>
    <row r="1092" spans="1:9" ht="17.399999999999999" x14ac:dyDescent="0.25">
      <c r="A1092" s="16"/>
      <c r="B1092" s="17"/>
      <c r="C1092" s="2"/>
      <c r="D1092" s="2"/>
      <c r="E1092" s="2"/>
      <c r="F1092" s="2"/>
      <c r="G1092" s="2"/>
      <c r="H1092" s="2"/>
      <c r="I1092" s="5"/>
    </row>
    <row r="1093" spans="1:9" ht="17.399999999999999" x14ac:dyDescent="0.25">
      <c r="A1093" s="16"/>
      <c r="B1093" s="17"/>
      <c r="C1093" s="2"/>
      <c r="D1093" s="2"/>
      <c r="E1093" s="2"/>
      <c r="F1093" s="2"/>
      <c r="G1093" s="2"/>
      <c r="H1093" s="2"/>
      <c r="I1093" s="5"/>
    </row>
    <row r="1094" spans="1:9" ht="17.399999999999999" x14ac:dyDescent="0.25">
      <c r="A1094" s="16"/>
      <c r="B1094" s="17"/>
      <c r="C1094" s="2"/>
      <c r="D1094" s="2"/>
      <c r="E1094" s="2"/>
      <c r="F1094" s="2"/>
      <c r="G1094" s="2"/>
      <c r="H1094" s="2"/>
      <c r="I1094" s="5"/>
    </row>
    <row r="1095" spans="1:9" ht="17.399999999999999" x14ac:dyDescent="0.25">
      <c r="A1095" s="16"/>
      <c r="B1095" s="17"/>
      <c r="C1095" s="2"/>
      <c r="D1095" s="2"/>
      <c r="E1095" s="2"/>
      <c r="F1095" s="2"/>
      <c r="G1095" s="2"/>
      <c r="H1095" s="2"/>
      <c r="I1095" s="5"/>
    </row>
    <row r="1096" spans="1:9" ht="17.399999999999999" x14ac:dyDescent="0.25">
      <c r="A1096" s="16"/>
      <c r="B1096" s="17"/>
      <c r="C1096" s="2"/>
      <c r="D1096" s="2"/>
      <c r="E1096" s="2"/>
      <c r="F1096" s="2"/>
      <c r="G1096" s="2"/>
      <c r="H1096" s="2"/>
      <c r="I1096" s="5"/>
    </row>
    <row r="1097" spans="1:9" ht="17.399999999999999" x14ac:dyDescent="0.25">
      <c r="A1097" s="16"/>
      <c r="B1097" s="17"/>
      <c r="C1097" s="2"/>
      <c r="D1097" s="2"/>
      <c r="E1097" s="2"/>
      <c r="F1097" s="2"/>
      <c r="G1097" s="2"/>
      <c r="H1097" s="2"/>
      <c r="I1097" s="5"/>
    </row>
    <row r="1098" spans="1:9" ht="17.399999999999999" x14ac:dyDescent="0.25">
      <c r="A1098" s="16"/>
      <c r="B1098" s="17"/>
      <c r="C1098" s="2"/>
      <c r="D1098" s="2"/>
      <c r="E1098" s="2"/>
      <c r="F1098" s="2"/>
      <c r="G1098" s="2"/>
      <c r="H1098" s="2"/>
      <c r="I1098" s="5"/>
    </row>
    <row r="1099" spans="1:9" ht="17.399999999999999" x14ac:dyDescent="0.25">
      <c r="A1099" s="16"/>
      <c r="B1099" s="17"/>
      <c r="C1099" s="2"/>
      <c r="D1099" s="2"/>
      <c r="E1099" s="2"/>
      <c r="F1099" s="2"/>
      <c r="G1099" s="2"/>
      <c r="H1099" s="2"/>
      <c r="I1099" s="5"/>
    </row>
    <row r="1100" spans="1:9" ht="17.399999999999999" x14ac:dyDescent="0.25">
      <c r="A1100" s="16"/>
      <c r="B1100" s="17"/>
      <c r="C1100" s="2"/>
      <c r="D1100" s="2"/>
      <c r="E1100" s="2"/>
      <c r="F1100" s="2"/>
      <c r="G1100" s="2"/>
      <c r="H1100" s="2"/>
      <c r="I1100" s="5"/>
    </row>
    <row r="1101" spans="1:9" ht="17.399999999999999" x14ac:dyDescent="0.25">
      <c r="A1101" s="16"/>
      <c r="B1101" s="17"/>
      <c r="C1101" s="2"/>
      <c r="D1101" s="2"/>
      <c r="E1101" s="2"/>
      <c r="F1101" s="2"/>
      <c r="G1101" s="2"/>
      <c r="H1101" s="2"/>
      <c r="I1101" s="5"/>
    </row>
    <row r="1102" spans="1:9" ht="17.399999999999999" x14ac:dyDescent="0.25">
      <c r="A1102" s="16"/>
      <c r="B1102" s="17"/>
      <c r="C1102" s="2"/>
      <c r="D1102" s="2"/>
      <c r="E1102" s="2"/>
      <c r="F1102" s="2"/>
      <c r="G1102" s="2"/>
      <c r="H1102" s="2"/>
      <c r="I1102" s="5"/>
    </row>
    <row r="1103" spans="1:9" ht="17.399999999999999" x14ac:dyDescent="0.25">
      <c r="A1103" s="16"/>
      <c r="B1103" s="17"/>
      <c r="C1103" s="2"/>
      <c r="D1103" s="2"/>
      <c r="E1103" s="2"/>
      <c r="F1103" s="2"/>
      <c r="G1103" s="2"/>
      <c r="H1103" s="2"/>
      <c r="I1103" s="5"/>
    </row>
    <row r="1104" spans="1:9" ht="17.399999999999999" x14ac:dyDescent="0.25">
      <c r="A1104" s="16"/>
      <c r="B1104" s="17"/>
      <c r="C1104" s="2"/>
      <c r="D1104" s="2"/>
      <c r="E1104" s="2"/>
      <c r="F1104" s="2"/>
      <c r="G1104" s="2"/>
      <c r="H1104" s="2"/>
      <c r="I1104" s="5"/>
    </row>
    <row r="1105" spans="1:9" ht="17.399999999999999" x14ac:dyDescent="0.25">
      <c r="A1105" s="16"/>
      <c r="B1105" s="17"/>
      <c r="C1105" s="2"/>
      <c r="D1105" s="2"/>
      <c r="E1105" s="2"/>
      <c r="F1105" s="2"/>
      <c r="G1105" s="2"/>
      <c r="H1105" s="2"/>
      <c r="I1105" s="5"/>
    </row>
    <row r="1106" spans="1:9" ht="17.399999999999999" x14ac:dyDescent="0.25">
      <c r="A1106" s="16"/>
      <c r="B1106" s="17"/>
      <c r="C1106" s="2"/>
      <c r="D1106" s="2"/>
      <c r="E1106" s="2"/>
      <c r="F1106" s="2"/>
      <c r="G1106" s="2"/>
      <c r="H1106" s="2"/>
      <c r="I1106" s="5"/>
    </row>
    <row r="1107" spans="1:9" ht="17.399999999999999" x14ac:dyDescent="0.25">
      <c r="A1107" s="16"/>
      <c r="B1107" s="17"/>
      <c r="C1107" s="2"/>
      <c r="D1107" s="2"/>
      <c r="E1107" s="2"/>
      <c r="F1107" s="2"/>
      <c r="G1107" s="2"/>
      <c r="H1107" s="2"/>
      <c r="I1107" s="5"/>
    </row>
    <row r="1108" spans="1:9" ht="17.399999999999999" x14ac:dyDescent="0.25">
      <c r="A1108" s="16"/>
      <c r="B1108" s="17"/>
      <c r="C1108" s="2"/>
      <c r="D1108" s="2"/>
      <c r="E1108" s="2"/>
      <c r="F1108" s="2"/>
      <c r="G1108" s="2"/>
      <c r="H1108" s="2"/>
      <c r="I1108" s="5"/>
    </row>
    <row r="1109" spans="1:9" ht="17.399999999999999" x14ac:dyDescent="0.25">
      <c r="A1109" s="16"/>
      <c r="B1109" s="17"/>
      <c r="C1109" s="2"/>
      <c r="D1109" s="2"/>
      <c r="E1109" s="2"/>
      <c r="F1109" s="2"/>
      <c r="G1109" s="2"/>
      <c r="H1109" s="2"/>
      <c r="I1109" s="5"/>
    </row>
    <row r="1110" spans="1:9" ht="17.399999999999999" x14ac:dyDescent="0.25">
      <c r="A1110" s="16"/>
      <c r="B1110" s="17"/>
      <c r="C1110" s="2"/>
      <c r="D1110" s="2"/>
      <c r="E1110" s="2"/>
      <c r="F1110" s="2"/>
      <c r="G1110" s="2"/>
      <c r="H1110" s="2"/>
      <c r="I1110" s="5"/>
    </row>
    <row r="1111" spans="1:9" ht="17.399999999999999" x14ac:dyDescent="0.25">
      <c r="A1111" s="16"/>
      <c r="B1111" s="17"/>
      <c r="C1111" s="2"/>
      <c r="D1111" s="2"/>
      <c r="E1111" s="2"/>
      <c r="F1111" s="2"/>
      <c r="G1111" s="2"/>
      <c r="H1111" s="2"/>
      <c r="I1111" s="5"/>
    </row>
    <row r="1112" spans="1:9" ht="17.399999999999999" x14ac:dyDescent="0.25">
      <c r="A1112" s="16"/>
      <c r="B1112" s="17"/>
      <c r="C1112" s="2"/>
      <c r="D1112" s="2"/>
      <c r="E1112" s="2"/>
      <c r="F1112" s="2"/>
      <c r="G1112" s="2"/>
      <c r="H1112" s="2"/>
      <c r="I1112" s="5"/>
    </row>
    <row r="1113" spans="1:9" ht="17.399999999999999" x14ac:dyDescent="0.25">
      <c r="A1113" s="16"/>
      <c r="B1113" s="17"/>
      <c r="C1113" s="2"/>
      <c r="D1113" s="2"/>
      <c r="E1113" s="2"/>
      <c r="F1113" s="2"/>
      <c r="G1113" s="2"/>
      <c r="H1113" s="2"/>
      <c r="I1113" s="5"/>
    </row>
    <row r="1114" spans="1:9" ht="17.399999999999999" x14ac:dyDescent="0.25">
      <c r="A1114" s="16"/>
      <c r="B1114" s="17"/>
      <c r="C1114" s="2"/>
      <c r="D1114" s="2"/>
      <c r="E1114" s="2"/>
      <c r="F1114" s="2"/>
      <c r="G1114" s="2"/>
      <c r="H1114" s="2"/>
      <c r="I1114" s="5"/>
    </row>
    <row r="1115" spans="1:9" ht="17.399999999999999" x14ac:dyDescent="0.25">
      <c r="A1115" s="16"/>
      <c r="B1115" s="17"/>
      <c r="C1115" s="2"/>
      <c r="D1115" s="2"/>
      <c r="E1115" s="2"/>
      <c r="F1115" s="2"/>
      <c r="G1115" s="2"/>
      <c r="H1115" s="2"/>
      <c r="I1115" s="5"/>
    </row>
    <row r="1116" spans="1:9" ht="17.399999999999999" x14ac:dyDescent="0.25">
      <c r="A1116" s="16"/>
      <c r="B1116" s="17"/>
      <c r="C1116" s="2"/>
      <c r="D1116" s="2"/>
      <c r="E1116" s="2"/>
      <c r="F1116" s="2"/>
      <c r="G1116" s="2"/>
      <c r="H1116" s="2"/>
      <c r="I1116" s="5"/>
    </row>
    <row r="1117" spans="1:9" ht="17.399999999999999" x14ac:dyDescent="0.25">
      <c r="A1117" s="16"/>
      <c r="B1117" s="17"/>
      <c r="C1117" s="2"/>
      <c r="D1117" s="2"/>
      <c r="E1117" s="2"/>
      <c r="F1117" s="2"/>
      <c r="G1117" s="2"/>
      <c r="H1117" s="2"/>
      <c r="I1117" s="5"/>
    </row>
    <row r="1118" spans="1:9" ht="17.399999999999999" x14ac:dyDescent="0.25">
      <c r="A1118" s="16"/>
      <c r="B1118" s="17"/>
      <c r="C1118" s="2"/>
      <c r="D1118" s="2"/>
      <c r="E1118" s="2"/>
      <c r="F1118" s="2"/>
      <c r="G1118" s="2"/>
      <c r="H1118" s="2"/>
      <c r="I1118" s="5"/>
    </row>
    <row r="1119" spans="1:9" ht="17.399999999999999" x14ac:dyDescent="0.25">
      <c r="A1119" s="16"/>
      <c r="B1119" s="17"/>
      <c r="C1119" s="2"/>
      <c r="D1119" s="2"/>
      <c r="E1119" s="2"/>
      <c r="F1119" s="2"/>
      <c r="G1119" s="2"/>
      <c r="H1119" s="2"/>
      <c r="I1119" s="5"/>
    </row>
    <row r="1120" spans="1:9" ht="17.399999999999999" x14ac:dyDescent="0.25">
      <c r="A1120" s="16"/>
      <c r="B1120" s="17"/>
      <c r="C1120" s="2"/>
      <c r="D1120" s="2"/>
      <c r="E1120" s="2"/>
      <c r="F1120" s="2"/>
      <c r="G1120" s="2"/>
      <c r="H1120" s="2"/>
      <c r="I1120" s="5"/>
    </row>
    <row r="1121" spans="1:9" ht="17.399999999999999" x14ac:dyDescent="0.25">
      <c r="A1121" s="16"/>
      <c r="B1121" s="17"/>
      <c r="C1121" s="2"/>
      <c r="D1121" s="2"/>
      <c r="E1121" s="2"/>
      <c r="F1121" s="2"/>
      <c r="G1121" s="2"/>
      <c r="H1121" s="2"/>
      <c r="I1121" s="5"/>
    </row>
    <row r="1122" spans="1:9" ht="17.399999999999999" x14ac:dyDescent="0.25">
      <c r="A1122" s="16"/>
      <c r="B1122" s="17"/>
      <c r="C1122" s="2"/>
      <c r="D1122" s="2"/>
      <c r="E1122" s="2"/>
      <c r="F1122" s="2"/>
      <c r="G1122" s="2"/>
      <c r="H1122" s="2"/>
      <c r="I1122" s="5"/>
    </row>
    <row r="1123" spans="1:9" ht="17.399999999999999" x14ac:dyDescent="0.25">
      <c r="A1123" s="16"/>
      <c r="B1123" s="17"/>
      <c r="C1123" s="2"/>
      <c r="D1123" s="2"/>
      <c r="E1123" s="2"/>
      <c r="F1123" s="2"/>
      <c r="G1123" s="2"/>
      <c r="H1123" s="2"/>
      <c r="I1123" s="5"/>
    </row>
    <row r="1124" spans="1:9" ht="17.399999999999999" x14ac:dyDescent="0.25">
      <c r="A1124" s="16"/>
      <c r="B1124" s="17"/>
      <c r="C1124" s="2"/>
      <c r="D1124" s="2"/>
      <c r="E1124" s="2"/>
      <c r="F1124" s="2"/>
      <c r="G1124" s="2"/>
      <c r="H1124" s="2"/>
      <c r="I1124" s="5"/>
    </row>
    <row r="1125" spans="1:9" ht="17.399999999999999" x14ac:dyDescent="0.25">
      <c r="A1125" s="16"/>
      <c r="B1125" s="17"/>
      <c r="C1125" s="2"/>
      <c r="D1125" s="2"/>
      <c r="E1125" s="2"/>
      <c r="F1125" s="2"/>
      <c r="G1125" s="2"/>
      <c r="H1125" s="2"/>
      <c r="I1125" s="5"/>
    </row>
    <row r="1126" spans="1:9" ht="17.399999999999999" x14ac:dyDescent="0.25">
      <c r="A1126" s="16"/>
      <c r="B1126" s="17"/>
      <c r="C1126" s="2"/>
      <c r="D1126" s="2"/>
      <c r="E1126" s="2"/>
      <c r="F1126" s="2"/>
      <c r="G1126" s="2"/>
      <c r="H1126" s="2"/>
      <c r="I1126" s="5"/>
    </row>
    <row r="1127" spans="1:9" ht="17.399999999999999" x14ac:dyDescent="0.25">
      <c r="A1127" s="16"/>
      <c r="B1127" s="17"/>
      <c r="C1127" s="2"/>
      <c r="D1127" s="2"/>
      <c r="E1127" s="2"/>
      <c r="F1127" s="2"/>
      <c r="G1127" s="2"/>
      <c r="H1127" s="2"/>
      <c r="I1127" s="5"/>
    </row>
    <row r="1128" spans="1:9" ht="17.399999999999999" x14ac:dyDescent="0.25">
      <c r="A1128" s="16"/>
      <c r="B1128" s="17"/>
      <c r="C1128" s="2"/>
      <c r="D1128" s="2"/>
      <c r="E1128" s="2"/>
      <c r="F1128" s="2"/>
      <c r="G1128" s="2"/>
      <c r="H1128" s="2"/>
      <c r="I1128" s="5"/>
    </row>
    <row r="1129" spans="1:9" ht="17.399999999999999" x14ac:dyDescent="0.25">
      <c r="A1129" s="16"/>
      <c r="B1129" s="17"/>
      <c r="C1129" s="2"/>
      <c r="D1129" s="2"/>
      <c r="E1129" s="2"/>
      <c r="F1129" s="2"/>
      <c r="G1129" s="2"/>
      <c r="H1129" s="2"/>
      <c r="I1129" s="5"/>
    </row>
    <row r="1130" spans="1:9" ht="17.399999999999999" x14ac:dyDescent="0.25">
      <c r="A1130" s="16"/>
      <c r="B1130" s="17"/>
      <c r="C1130" s="2"/>
      <c r="D1130" s="2"/>
      <c r="E1130" s="2"/>
      <c r="F1130" s="2"/>
      <c r="G1130" s="2"/>
      <c r="H1130" s="2"/>
      <c r="I1130" s="5"/>
    </row>
    <row r="1131" spans="1:9" ht="17.399999999999999" x14ac:dyDescent="0.25">
      <c r="A1131" s="16"/>
      <c r="B1131" s="17"/>
      <c r="C1131" s="2"/>
      <c r="D1131" s="2"/>
      <c r="E1131" s="2"/>
      <c r="F1131" s="2"/>
      <c r="G1131" s="2"/>
      <c r="H1131" s="2"/>
      <c r="I1131" s="5"/>
    </row>
    <row r="1132" spans="1:9" ht="17.399999999999999" x14ac:dyDescent="0.25">
      <c r="A1132" s="16"/>
      <c r="B1132" s="17"/>
      <c r="C1132" s="2"/>
      <c r="D1132" s="2"/>
      <c r="E1132" s="2"/>
      <c r="F1132" s="2"/>
      <c r="G1132" s="2"/>
      <c r="H1132" s="2"/>
      <c r="I1132" s="5"/>
    </row>
    <row r="1133" spans="1:9" ht="17.399999999999999" x14ac:dyDescent="0.25">
      <c r="A1133" s="16"/>
      <c r="B1133" s="17"/>
      <c r="C1133" s="2"/>
      <c r="D1133" s="2"/>
      <c r="E1133" s="2"/>
      <c r="F1133" s="2"/>
      <c r="G1133" s="2"/>
      <c r="H1133" s="2"/>
      <c r="I1133" s="5"/>
    </row>
    <row r="1134" spans="1:9" ht="17.399999999999999" x14ac:dyDescent="0.25">
      <c r="A1134" s="16"/>
      <c r="B1134" s="17"/>
      <c r="C1134" s="2"/>
      <c r="D1134" s="2"/>
      <c r="E1134" s="2"/>
      <c r="F1134" s="2"/>
      <c r="G1134" s="2"/>
      <c r="H1134" s="2"/>
      <c r="I1134" s="5"/>
    </row>
    <row r="1135" spans="1:9" ht="17.399999999999999" x14ac:dyDescent="0.25">
      <c r="A1135" s="16"/>
      <c r="B1135" s="17"/>
      <c r="C1135" s="2"/>
      <c r="D1135" s="2"/>
      <c r="E1135" s="2"/>
      <c r="F1135" s="2"/>
      <c r="G1135" s="2"/>
      <c r="H1135" s="2"/>
      <c r="I1135" s="5"/>
    </row>
    <row r="1136" spans="1:9" ht="17.399999999999999" x14ac:dyDescent="0.25">
      <c r="A1136" s="16"/>
      <c r="B1136" s="17"/>
      <c r="C1136" s="2"/>
      <c r="D1136" s="2"/>
      <c r="E1136" s="2"/>
      <c r="F1136" s="2"/>
      <c r="G1136" s="2"/>
      <c r="H1136" s="2"/>
      <c r="I1136" s="5"/>
    </row>
    <row r="1137" spans="1:9" ht="17.399999999999999" x14ac:dyDescent="0.25">
      <c r="A1137" s="16"/>
      <c r="B1137" s="17"/>
      <c r="C1137" s="2"/>
      <c r="D1137" s="2"/>
      <c r="E1137" s="2"/>
      <c r="F1137" s="2"/>
      <c r="G1137" s="2"/>
      <c r="H1137" s="2"/>
      <c r="I1137" s="5"/>
    </row>
    <row r="1138" spans="1:9" ht="17.399999999999999" x14ac:dyDescent="0.25">
      <c r="A1138" s="16"/>
      <c r="B1138" s="17"/>
      <c r="C1138" s="2"/>
      <c r="D1138" s="2"/>
      <c r="E1138" s="2"/>
      <c r="F1138" s="2"/>
      <c r="G1138" s="2"/>
      <c r="H1138" s="2"/>
      <c r="I1138" s="5"/>
    </row>
    <row r="1139" spans="1:9" ht="17.399999999999999" x14ac:dyDescent="0.25">
      <c r="A1139" s="16"/>
      <c r="B1139" s="17"/>
      <c r="C1139" s="2"/>
      <c r="D1139" s="2"/>
      <c r="E1139" s="2"/>
      <c r="F1139" s="2"/>
      <c r="G1139" s="2"/>
      <c r="H1139" s="2"/>
      <c r="I1139" s="5"/>
    </row>
    <row r="1140" spans="1:9" ht="17.399999999999999" x14ac:dyDescent="0.25">
      <c r="A1140" s="16"/>
      <c r="B1140" s="17"/>
      <c r="C1140" s="2"/>
      <c r="D1140" s="2"/>
      <c r="E1140" s="2"/>
      <c r="F1140" s="2"/>
      <c r="G1140" s="2"/>
      <c r="H1140" s="2"/>
      <c r="I1140" s="5"/>
    </row>
    <row r="1141" spans="1:9" ht="17.399999999999999" x14ac:dyDescent="0.25">
      <c r="A1141" s="16"/>
      <c r="B1141" s="17"/>
      <c r="C1141" s="2"/>
      <c r="D1141" s="2"/>
      <c r="E1141" s="2"/>
      <c r="F1141" s="2"/>
      <c r="G1141" s="2"/>
      <c r="H1141" s="2"/>
      <c r="I1141" s="5"/>
    </row>
    <row r="1142" spans="1:9" ht="17.399999999999999" x14ac:dyDescent="0.25">
      <c r="A1142" s="16"/>
      <c r="B1142" s="17"/>
      <c r="C1142" s="2"/>
      <c r="D1142" s="2"/>
      <c r="E1142" s="2"/>
      <c r="F1142" s="2"/>
      <c r="G1142" s="2"/>
      <c r="H1142" s="2"/>
      <c r="I1142" s="5"/>
    </row>
    <row r="1143" spans="1:9" ht="17.399999999999999" x14ac:dyDescent="0.25">
      <c r="A1143" s="16"/>
      <c r="B1143" s="17"/>
      <c r="C1143" s="2"/>
      <c r="D1143" s="2"/>
      <c r="E1143" s="2"/>
      <c r="F1143" s="2"/>
      <c r="G1143" s="2"/>
      <c r="H1143" s="2"/>
      <c r="I1143" s="5"/>
    </row>
    <row r="1144" spans="1:9" ht="17.399999999999999" x14ac:dyDescent="0.25">
      <c r="A1144" s="16"/>
      <c r="B1144" s="17"/>
      <c r="C1144" s="2"/>
      <c r="D1144" s="2"/>
      <c r="E1144" s="2"/>
      <c r="F1144" s="2"/>
      <c r="G1144" s="2"/>
      <c r="H1144" s="2"/>
      <c r="I1144" s="5"/>
    </row>
    <row r="1145" spans="1:9" ht="17.399999999999999" x14ac:dyDescent="0.25">
      <c r="A1145" s="16"/>
      <c r="B1145" s="17"/>
      <c r="C1145" s="2"/>
      <c r="D1145" s="2"/>
      <c r="E1145" s="2"/>
      <c r="F1145" s="2"/>
      <c r="G1145" s="2"/>
      <c r="H1145" s="2"/>
      <c r="I1145" s="5"/>
    </row>
    <row r="1146" spans="1:9" ht="17.399999999999999" x14ac:dyDescent="0.25">
      <c r="A1146" s="16"/>
      <c r="B1146" s="17"/>
      <c r="C1146" s="2"/>
      <c r="D1146" s="2"/>
      <c r="E1146" s="2"/>
      <c r="F1146" s="2"/>
      <c r="G1146" s="2"/>
      <c r="H1146" s="2"/>
      <c r="I1146" s="5"/>
    </row>
    <row r="1147" spans="1:9" ht="17.399999999999999" x14ac:dyDescent="0.25">
      <c r="A1147" s="16"/>
      <c r="B1147" s="17"/>
      <c r="C1147" s="2"/>
      <c r="D1147" s="2"/>
      <c r="E1147" s="2"/>
      <c r="F1147" s="2"/>
      <c r="G1147" s="2"/>
      <c r="H1147" s="2"/>
      <c r="I1147" s="5"/>
    </row>
    <row r="1148" spans="1:9" ht="17.399999999999999" x14ac:dyDescent="0.25">
      <c r="A1148" s="16"/>
      <c r="B1148" s="17"/>
      <c r="C1148" s="2"/>
      <c r="D1148" s="2"/>
      <c r="E1148" s="2"/>
      <c r="F1148" s="2"/>
      <c r="G1148" s="2"/>
      <c r="H1148" s="2"/>
      <c r="I1148" s="5"/>
    </row>
    <row r="1149" spans="1:9" ht="17.399999999999999" x14ac:dyDescent="0.25">
      <c r="A1149" s="16"/>
      <c r="B1149" s="17"/>
      <c r="C1149" s="2"/>
      <c r="D1149" s="2"/>
      <c r="E1149" s="2"/>
      <c r="F1149" s="2"/>
      <c r="G1149" s="2"/>
      <c r="H1149" s="2"/>
      <c r="I1149" s="5"/>
    </row>
    <row r="1150" spans="1:9" ht="17.399999999999999" x14ac:dyDescent="0.25">
      <c r="A1150" s="16"/>
      <c r="B1150" s="17"/>
      <c r="C1150" s="2"/>
      <c r="D1150" s="2"/>
      <c r="E1150" s="2"/>
      <c r="F1150" s="2"/>
      <c r="G1150" s="2"/>
      <c r="H1150" s="2"/>
      <c r="I1150" s="5"/>
    </row>
    <row r="1151" spans="1:9" ht="17.399999999999999" x14ac:dyDescent="0.25">
      <c r="A1151" s="16"/>
      <c r="B1151" s="17"/>
      <c r="C1151" s="2"/>
      <c r="D1151" s="2"/>
      <c r="E1151" s="2"/>
      <c r="F1151" s="2"/>
      <c r="G1151" s="2"/>
      <c r="H1151" s="2"/>
      <c r="I1151" s="5"/>
    </row>
    <row r="1152" spans="1:9" ht="17.399999999999999" x14ac:dyDescent="0.25">
      <c r="A1152" s="16"/>
      <c r="B1152" s="17"/>
      <c r="C1152" s="2"/>
      <c r="D1152" s="2"/>
      <c r="E1152" s="2"/>
      <c r="F1152" s="2"/>
      <c r="G1152" s="2"/>
      <c r="H1152" s="2"/>
      <c r="I1152" s="5"/>
    </row>
    <row r="1153" spans="1:9" ht="17.399999999999999" x14ac:dyDescent="0.25">
      <c r="A1153" s="16"/>
      <c r="B1153" s="17"/>
      <c r="C1153" s="2"/>
      <c r="D1153" s="2"/>
      <c r="E1153" s="2"/>
      <c r="F1153" s="2"/>
      <c r="G1153" s="2"/>
      <c r="H1153" s="2"/>
      <c r="I1153" s="5"/>
    </row>
    <row r="1154" spans="1:9" ht="17.399999999999999" x14ac:dyDescent="0.25">
      <c r="A1154" s="16"/>
      <c r="B1154" s="17"/>
      <c r="C1154" s="2"/>
      <c r="D1154" s="2"/>
      <c r="E1154" s="2"/>
      <c r="F1154" s="2"/>
      <c r="G1154" s="2"/>
      <c r="H1154" s="2"/>
      <c r="I1154" s="5"/>
    </row>
    <row r="1155" spans="1:9" ht="17.399999999999999" x14ac:dyDescent="0.25">
      <c r="A1155" s="16"/>
      <c r="B1155" s="17"/>
      <c r="C1155" s="2"/>
      <c r="D1155" s="2"/>
      <c r="E1155" s="2"/>
      <c r="F1155" s="2"/>
      <c r="G1155" s="2"/>
      <c r="H1155" s="2"/>
      <c r="I1155" s="5"/>
    </row>
    <row r="1156" spans="1:9" ht="17.399999999999999" x14ac:dyDescent="0.25">
      <c r="A1156" s="16"/>
      <c r="B1156" s="17"/>
      <c r="C1156" s="2"/>
      <c r="D1156" s="2"/>
      <c r="E1156" s="2"/>
      <c r="F1156" s="2"/>
      <c r="G1156" s="2"/>
      <c r="H1156" s="2"/>
      <c r="I1156" s="5"/>
    </row>
    <row r="1157" spans="1:9" ht="17.399999999999999" x14ac:dyDescent="0.25">
      <c r="A1157" s="16"/>
      <c r="B1157" s="17"/>
      <c r="C1157" s="2"/>
      <c r="D1157" s="2"/>
      <c r="E1157" s="2"/>
      <c r="F1157" s="2"/>
      <c r="G1157" s="2"/>
      <c r="H1157" s="2"/>
      <c r="I1157" s="5"/>
    </row>
    <row r="1158" spans="1:9" ht="17.399999999999999" x14ac:dyDescent="0.25">
      <c r="A1158" s="16"/>
      <c r="B1158" s="17"/>
      <c r="C1158" s="2"/>
      <c r="D1158" s="2"/>
      <c r="E1158" s="2"/>
      <c r="F1158" s="2"/>
      <c r="G1158" s="2"/>
      <c r="H1158" s="2"/>
      <c r="I1158" s="5"/>
    </row>
    <row r="1159" spans="1:9" ht="17.399999999999999" x14ac:dyDescent="0.25">
      <c r="A1159" s="16"/>
      <c r="B1159" s="17"/>
      <c r="C1159" s="2"/>
      <c r="D1159" s="2"/>
      <c r="E1159" s="2"/>
      <c r="F1159" s="2"/>
      <c r="G1159" s="2"/>
      <c r="H1159" s="2"/>
      <c r="I1159" s="5"/>
    </row>
    <row r="1160" spans="1:9" ht="17.399999999999999" x14ac:dyDescent="0.25">
      <c r="A1160" s="16"/>
      <c r="B1160" s="17"/>
      <c r="C1160" s="2"/>
      <c r="D1160" s="2"/>
      <c r="E1160" s="2"/>
      <c r="F1160" s="2"/>
      <c r="G1160" s="2"/>
      <c r="H1160" s="2"/>
      <c r="I1160" s="5"/>
    </row>
    <row r="1161" spans="1:9" ht="17.399999999999999" x14ac:dyDescent="0.25">
      <c r="A1161" s="16"/>
      <c r="B1161" s="17"/>
      <c r="C1161" s="2"/>
      <c r="D1161" s="2"/>
      <c r="E1161" s="2"/>
      <c r="F1161" s="2"/>
      <c r="G1161" s="2"/>
      <c r="H1161" s="2"/>
      <c r="I1161" s="5"/>
    </row>
    <row r="1162" spans="1:9" ht="17.399999999999999" x14ac:dyDescent="0.25">
      <c r="A1162" s="16"/>
      <c r="B1162" s="17"/>
      <c r="C1162" s="2"/>
      <c r="D1162" s="2"/>
      <c r="E1162" s="2"/>
      <c r="F1162" s="2"/>
      <c r="G1162" s="2"/>
      <c r="H1162" s="2"/>
      <c r="I1162" s="5"/>
    </row>
    <row r="1163" spans="1:9" ht="17.399999999999999" x14ac:dyDescent="0.25">
      <c r="A1163" s="16"/>
      <c r="B1163" s="17"/>
      <c r="C1163" s="2"/>
      <c r="D1163" s="2"/>
      <c r="E1163" s="2"/>
      <c r="F1163" s="2"/>
      <c r="G1163" s="2"/>
      <c r="H1163" s="2"/>
      <c r="I1163" s="5"/>
    </row>
    <row r="1164" spans="1:9" ht="17.399999999999999" x14ac:dyDescent="0.25">
      <c r="A1164" s="16"/>
      <c r="B1164" s="17"/>
      <c r="C1164" s="2"/>
      <c r="D1164" s="2"/>
      <c r="E1164" s="2"/>
      <c r="F1164" s="2"/>
      <c r="G1164" s="2"/>
      <c r="H1164" s="2"/>
      <c r="I1164" s="5"/>
    </row>
    <row r="1165" spans="1:9" ht="17.399999999999999" x14ac:dyDescent="0.25">
      <c r="A1165" s="16"/>
      <c r="B1165" s="17"/>
      <c r="C1165" s="2"/>
      <c r="D1165" s="2"/>
      <c r="E1165" s="2"/>
      <c r="F1165" s="2"/>
      <c r="G1165" s="2"/>
      <c r="H1165" s="2"/>
      <c r="I1165" s="5"/>
    </row>
    <row r="1166" spans="1:9" ht="17.399999999999999" x14ac:dyDescent="0.25">
      <c r="A1166" s="16"/>
      <c r="B1166" s="17"/>
      <c r="C1166" s="2"/>
      <c r="D1166" s="2"/>
      <c r="E1166" s="2"/>
      <c r="F1166" s="2"/>
      <c r="G1166" s="2"/>
      <c r="H1166" s="2"/>
      <c r="I1166" s="5"/>
    </row>
    <row r="1167" spans="1:9" ht="17.399999999999999" x14ac:dyDescent="0.25">
      <c r="A1167" s="16"/>
      <c r="B1167" s="17"/>
      <c r="C1167" s="2"/>
      <c r="D1167" s="2"/>
      <c r="E1167" s="2"/>
      <c r="F1167" s="2"/>
      <c r="G1167" s="2"/>
      <c r="H1167" s="2"/>
      <c r="I1167" s="5"/>
    </row>
    <row r="1168" spans="1:9" ht="17.399999999999999" x14ac:dyDescent="0.25">
      <c r="A1168" s="16"/>
      <c r="B1168" s="17"/>
      <c r="C1168" s="2"/>
      <c r="D1168" s="2"/>
      <c r="E1168" s="2"/>
      <c r="F1168" s="2"/>
      <c r="G1168" s="2"/>
      <c r="H1168" s="2"/>
      <c r="I1168" s="5"/>
    </row>
    <row r="1169" spans="1:9" ht="17.399999999999999" x14ac:dyDescent="0.25">
      <c r="A1169" s="16"/>
      <c r="B1169" s="17"/>
      <c r="C1169" s="2"/>
      <c r="D1169" s="2"/>
      <c r="E1169" s="2"/>
      <c r="F1169" s="2"/>
      <c r="G1169" s="2"/>
      <c r="H1169" s="2"/>
      <c r="I1169" s="5"/>
    </row>
    <row r="1170" spans="1:9" ht="17.399999999999999" x14ac:dyDescent="0.25">
      <c r="A1170" s="16"/>
      <c r="B1170" s="17"/>
      <c r="C1170" s="2"/>
      <c r="D1170" s="2"/>
      <c r="E1170" s="2"/>
      <c r="F1170" s="2"/>
      <c r="G1170" s="2"/>
      <c r="H1170" s="2"/>
      <c r="I1170" s="5"/>
    </row>
    <row r="1171" spans="1:9" ht="17.399999999999999" x14ac:dyDescent="0.25">
      <c r="A1171" s="16"/>
      <c r="B1171" s="17"/>
      <c r="C1171" s="2"/>
      <c r="D1171" s="2"/>
      <c r="E1171" s="2"/>
      <c r="F1171" s="2"/>
      <c r="G1171" s="2"/>
      <c r="H1171" s="2"/>
      <c r="I1171" s="5"/>
    </row>
    <row r="1172" spans="1:9" ht="17.399999999999999" x14ac:dyDescent="0.25">
      <c r="A1172" s="16"/>
      <c r="B1172" s="17"/>
      <c r="C1172" s="2"/>
      <c r="D1172" s="2"/>
      <c r="E1172" s="2"/>
      <c r="F1172" s="2"/>
      <c r="G1172" s="2"/>
      <c r="H1172" s="2"/>
      <c r="I1172" s="5"/>
    </row>
    <row r="1173" spans="1:9" ht="17.399999999999999" x14ac:dyDescent="0.25">
      <c r="A1173" s="16"/>
      <c r="B1173" s="17"/>
      <c r="C1173" s="2"/>
      <c r="D1173" s="2"/>
      <c r="E1173" s="2"/>
      <c r="F1173" s="2"/>
      <c r="G1173" s="2"/>
      <c r="H1173" s="2"/>
      <c r="I1173" s="5"/>
    </row>
    <row r="1174" spans="1:9" ht="17.399999999999999" x14ac:dyDescent="0.25">
      <c r="A1174" s="16"/>
      <c r="B1174" s="17"/>
      <c r="C1174" s="2"/>
      <c r="D1174" s="2"/>
      <c r="E1174" s="2"/>
      <c r="F1174" s="2"/>
      <c r="G1174" s="2"/>
      <c r="H1174" s="2"/>
      <c r="I1174" s="5"/>
    </row>
    <row r="1175" spans="1:9" ht="17.399999999999999" x14ac:dyDescent="0.25">
      <c r="A1175" s="16"/>
      <c r="B1175" s="17"/>
      <c r="C1175" s="2"/>
      <c r="D1175" s="2"/>
      <c r="E1175" s="2"/>
      <c r="F1175" s="2"/>
      <c r="G1175" s="2"/>
      <c r="H1175" s="2"/>
      <c r="I1175" s="5"/>
    </row>
    <row r="1176" spans="1:9" ht="17.399999999999999" x14ac:dyDescent="0.25">
      <c r="A1176" s="16"/>
      <c r="B1176" s="17"/>
      <c r="C1176" s="2"/>
      <c r="D1176" s="2"/>
      <c r="E1176" s="2"/>
      <c r="F1176" s="2"/>
      <c r="G1176" s="2"/>
      <c r="H1176" s="2"/>
      <c r="I1176" s="5"/>
    </row>
    <row r="1177" spans="1:9" ht="17.399999999999999" x14ac:dyDescent="0.25">
      <c r="A1177" s="16"/>
      <c r="B1177" s="17"/>
      <c r="C1177" s="2"/>
      <c r="D1177" s="2"/>
      <c r="E1177" s="2"/>
      <c r="F1177" s="2"/>
      <c r="G1177" s="2"/>
      <c r="H1177" s="2"/>
      <c r="I1177" s="5"/>
    </row>
    <row r="1178" spans="1:9" ht="17.399999999999999" x14ac:dyDescent="0.25">
      <c r="A1178" s="16"/>
      <c r="B1178" s="17"/>
      <c r="C1178" s="2"/>
      <c r="D1178" s="2"/>
      <c r="E1178" s="2"/>
      <c r="F1178" s="2"/>
      <c r="G1178" s="2"/>
      <c r="H1178" s="2"/>
      <c r="I1178" s="5"/>
    </row>
    <row r="1179" spans="1:9" ht="17.399999999999999" x14ac:dyDescent="0.25">
      <c r="A1179" s="16"/>
      <c r="B1179" s="17"/>
      <c r="C1179" s="2"/>
      <c r="D1179" s="2"/>
      <c r="E1179" s="2"/>
      <c r="F1179" s="2"/>
      <c r="G1179" s="2"/>
      <c r="H1179" s="2"/>
      <c r="I1179" s="5"/>
    </row>
    <row r="1180" spans="1:9" ht="17.399999999999999" x14ac:dyDescent="0.25">
      <c r="A1180" s="16"/>
      <c r="B1180" s="17"/>
      <c r="C1180" s="2"/>
      <c r="D1180" s="2"/>
      <c r="E1180" s="2"/>
      <c r="F1180" s="2"/>
      <c r="G1180" s="2"/>
      <c r="H1180" s="2"/>
      <c r="I1180" s="5"/>
    </row>
    <row r="1181" spans="1:9" ht="17.399999999999999" x14ac:dyDescent="0.25">
      <c r="A1181" s="16"/>
      <c r="B1181" s="17"/>
      <c r="C1181" s="2"/>
      <c r="D1181" s="2"/>
      <c r="E1181" s="2"/>
      <c r="F1181" s="2"/>
      <c r="G1181" s="2"/>
      <c r="H1181" s="2"/>
      <c r="I1181" s="5"/>
    </row>
    <row r="1182" spans="1:9" ht="17.399999999999999" x14ac:dyDescent="0.25">
      <c r="A1182" s="16"/>
      <c r="B1182" s="17"/>
      <c r="C1182" s="2"/>
      <c r="D1182" s="2"/>
      <c r="E1182" s="2"/>
      <c r="F1182" s="2"/>
      <c r="G1182" s="2"/>
      <c r="H1182" s="2"/>
      <c r="I1182" s="5"/>
    </row>
    <row r="1183" spans="1:9" ht="17.399999999999999" x14ac:dyDescent="0.25">
      <c r="A1183" s="16"/>
      <c r="B1183" s="17"/>
      <c r="C1183" s="2"/>
      <c r="D1183" s="2"/>
      <c r="E1183" s="2"/>
      <c r="F1183" s="2"/>
      <c r="G1183" s="2"/>
      <c r="H1183" s="2"/>
      <c r="I1183" s="5"/>
    </row>
    <row r="1184" spans="1:9" ht="17.399999999999999" x14ac:dyDescent="0.25">
      <c r="A1184" s="16"/>
      <c r="B1184" s="17"/>
      <c r="C1184" s="2"/>
      <c r="D1184" s="2"/>
      <c r="E1184" s="2"/>
      <c r="F1184" s="2"/>
      <c r="G1184" s="2"/>
      <c r="H1184" s="2"/>
      <c r="I1184" s="5"/>
    </row>
    <row r="1185" spans="1:9" ht="17.399999999999999" x14ac:dyDescent="0.25">
      <c r="A1185" s="16"/>
      <c r="B1185" s="17"/>
      <c r="C1185" s="2"/>
      <c r="D1185" s="2"/>
      <c r="E1185" s="2"/>
      <c r="F1185" s="2"/>
      <c r="G1185" s="2"/>
      <c r="H1185" s="2"/>
      <c r="I1185" s="5"/>
    </row>
    <row r="1186" spans="1:9" ht="17.399999999999999" x14ac:dyDescent="0.25">
      <c r="A1186" s="16"/>
      <c r="B1186" s="17"/>
      <c r="C1186" s="2"/>
      <c r="D1186" s="2"/>
      <c r="E1186" s="2"/>
      <c r="F1186" s="2"/>
      <c r="G1186" s="2"/>
      <c r="H1186" s="2"/>
      <c r="I1186" s="5"/>
    </row>
    <row r="1187" spans="1:9" ht="17.399999999999999" x14ac:dyDescent="0.25">
      <c r="A1187" s="16"/>
      <c r="B1187" s="17"/>
      <c r="C1187" s="2"/>
      <c r="D1187" s="2"/>
      <c r="E1187" s="2"/>
      <c r="F1187" s="2"/>
      <c r="G1187" s="2"/>
      <c r="H1187" s="2"/>
      <c r="I1187" s="5"/>
    </row>
    <row r="1188" spans="1:9" ht="17.399999999999999" x14ac:dyDescent="0.25">
      <c r="A1188" s="16"/>
      <c r="B1188" s="17"/>
      <c r="C1188" s="2"/>
      <c r="D1188" s="2"/>
      <c r="E1188" s="2"/>
      <c r="F1188" s="2"/>
      <c r="G1188" s="2"/>
      <c r="H1188" s="2"/>
      <c r="I1188" s="5"/>
    </row>
    <row r="1189" spans="1:9" ht="17.399999999999999" x14ac:dyDescent="0.25">
      <c r="A1189" s="16"/>
      <c r="B1189" s="17"/>
      <c r="C1189" s="2"/>
      <c r="D1189" s="2"/>
      <c r="E1189" s="2"/>
      <c r="F1189" s="2"/>
      <c r="G1189" s="2"/>
      <c r="H1189" s="2"/>
      <c r="I1189" s="5"/>
    </row>
    <row r="1190" spans="1:9" ht="17.399999999999999" x14ac:dyDescent="0.25">
      <c r="A1190" s="16"/>
      <c r="B1190" s="17"/>
      <c r="C1190" s="2"/>
      <c r="D1190" s="2"/>
      <c r="E1190" s="2"/>
      <c r="F1190" s="2"/>
      <c r="G1190" s="2"/>
      <c r="H1190" s="2"/>
      <c r="I1190" s="5"/>
    </row>
    <row r="1191" spans="1:9" ht="17.399999999999999" x14ac:dyDescent="0.25">
      <c r="A1191" s="16"/>
      <c r="B1191" s="17"/>
      <c r="C1191" s="2"/>
      <c r="D1191" s="2"/>
      <c r="E1191" s="2"/>
      <c r="F1191" s="2"/>
      <c r="G1191" s="2"/>
      <c r="H1191" s="2"/>
      <c r="I1191" s="5"/>
    </row>
    <row r="1192" spans="1:9" ht="17.399999999999999" x14ac:dyDescent="0.25">
      <c r="A1192" s="16"/>
      <c r="B1192" s="17"/>
      <c r="C1192" s="2"/>
      <c r="D1192" s="2"/>
      <c r="E1192" s="2"/>
      <c r="F1192" s="2"/>
      <c r="G1192" s="2"/>
      <c r="H1192" s="2"/>
      <c r="I1192" s="5"/>
    </row>
    <row r="1193" spans="1:9" ht="17.399999999999999" x14ac:dyDescent="0.25">
      <c r="A1193" s="16"/>
      <c r="B1193" s="17"/>
      <c r="C1193" s="2"/>
      <c r="D1193" s="2"/>
      <c r="E1193" s="2"/>
      <c r="F1193" s="2"/>
      <c r="G1193" s="2"/>
      <c r="H1193" s="2"/>
      <c r="I1193" s="5"/>
    </row>
    <row r="1194" spans="1:9" ht="17.399999999999999" x14ac:dyDescent="0.25">
      <c r="A1194" s="16"/>
      <c r="B1194" s="17"/>
      <c r="C1194" s="2"/>
      <c r="D1194" s="2"/>
      <c r="E1194" s="2"/>
      <c r="F1194" s="2"/>
      <c r="G1194" s="2"/>
      <c r="H1194" s="2"/>
      <c r="I1194" s="5"/>
    </row>
    <row r="1195" spans="1:9" ht="17.399999999999999" x14ac:dyDescent="0.25">
      <c r="A1195" s="16"/>
      <c r="B1195" s="17"/>
      <c r="C1195" s="2"/>
      <c r="D1195" s="2"/>
      <c r="E1195" s="2"/>
      <c r="F1195" s="2"/>
      <c r="G1195" s="2"/>
      <c r="H1195" s="2"/>
      <c r="I1195" s="5"/>
    </row>
    <row r="1196" spans="1:9" ht="17.399999999999999" x14ac:dyDescent="0.25">
      <c r="A1196" s="16"/>
      <c r="B1196" s="17"/>
      <c r="C1196" s="2"/>
      <c r="D1196" s="2"/>
      <c r="E1196" s="2"/>
      <c r="F1196" s="2"/>
      <c r="G1196" s="2"/>
      <c r="H1196" s="2"/>
      <c r="I1196" s="5"/>
    </row>
    <row r="1197" spans="1:9" ht="17.399999999999999" x14ac:dyDescent="0.25">
      <c r="A1197" s="16"/>
      <c r="B1197" s="17"/>
      <c r="C1197" s="2"/>
      <c r="D1197" s="2"/>
      <c r="E1197" s="2"/>
      <c r="F1197" s="2"/>
      <c r="G1197" s="2"/>
      <c r="H1197" s="2"/>
      <c r="I1197" s="5"/>
    </row>
    <row r="1198" spans="1:9" ht="17.399999999999999" x14ac:dyDescent="0.25">
      <c r="A1198" s="16"/>
      <c r="B1198" s="17"/>
      <c r="C1198" s="2"/>
      <c r="D1198" s="2"/>
      <c r="E1198" s="2"/>
      <c r="F1198" s="2"/>
      <c r="G1198" s="2"/>
      <c r="H1198" s="2"/>
      <c r="I1198" s="5"/>
    </row>
    <row r="1199" spans="1:9" ht="17.399999999999999" x14ac:dyDescent="0.25">
      <c r="A1199" s="16"/>
      <c r="B1199" s="17"/>
      <c r="C1199" s="2"/>
      <c r="D1199" s="2"/>
      <c r="E1199" s="2"/>
      <c r="F1199" s="2"/>
      <c r="G1199" s="2"/>
      <c r="H1199" s="2"/>
      <c r="I1199" s="5"/>
    </row>
    <row r="1200" spans="1:9" ht="17.399999999999999" x14ac:dyDescent="0.25">
      <c r="A1200" s="16"/>
      <c r="B1200" s="17"/>
      <c r="C1200" s="2"/>
      <c r="D1200" s="2"/>
      <c r="E1200" s="2"/>
      <c r="F1200" s="2"/>
      <c r="G1200" s="2"/>
      <c r="H1200" s="2"/>
      <c r="I1200" s="5"/>
    </row>
    <row r="1201" spans="1:9" ht="17.399999999999999" x14ac:dyDescent="0.25">
      <c r="A1201" s="16"/>
      <c r="B1201" s="17"/>
      <c r="C1201" s="2"/>
      <c r="D1201" s="2"/>
      <c r="E1201" s="2"/>
      <c r="F1201" s="2"/>
      <c r="G1201" s="2"/>
      <c r="H1201" s="2"/>
      <c r="I1201" s="5"/>
    </row>
    <row r="1202" spans="1:9" ht="17.399999999999999" x14ac:dyDescent="0.25">
      <c r="A1202" s="16"/>
      <c r="B1202" s="17"/>
      <c r="C1202" s="2"/>
      <c r="D1202" s="2"/>
      <c r="E1202" s="2"/>
      <c r="F1202" s="2"/>
      <c r="G1202" s="2"/>
      <c r="H1202" s="2"/>
      <c r="I1202" s="5"/>
    </row>
    <row r="1203" spans="1:9" ht="17.399999999999999" x14ac:dyDescent="0.25">
      <c r="A1203" s="16"/>
      <c r="B1203" s="17"/>
      <c r="C1203" s="2"/>
      <c r="D1203" s="2"/>
      <c r="E1203" s="2"/>
      <c r="F1203" s="2"/>
      <c r="G1203" s="2"/>
      <c r="H1203" s="2"/>
      <c r="I1203" s="5"/>
    </row>
    <row r="1204" spans="1:9" ht="17.399999999999999" x14ac:dyDescent="0.25">
      <c r="A1204" s="16"/>
      <c r="B1204" s="17"/>
      <c r="C1204" s="2"/>
      <c r="D1204" s="2"/>
      <c r="E1204" s="2"/>
      <c r="F1204" s="2"/>
      <c r="G1204" s="2"/>
      <c r="H1204" s="2"/>
      <c r="I1204" s="5"/>
    </row>
    <row r="1205" spans="1:9" ht="17.399999999999999" x14ac:dyDescent="0.25">
      <c r="A1205" s="16"/>
      <c r="B1205" s="17"/>
      <c r="C1205" s="2"/>
      <c r="D1205" s="2"/>
      <c r="E1205" s="2"/>
      <c r="F1205" s="2"/>
      <c r="G1205" s="2"/>
      <c r="H1205" s="2"/>
      <c r="I1205" s="5"/>
    </row>
    <row r="1206" spans="1:9" ht="17.399999999999999" x14ac:dyDescent="0.25">
      <c r="A1206" s="16"/>
      <c r="B1206" s="17"/>
      <c r="C1206" s="2"/>
      <c r="D1206" s="2"/>
      <c r="E1206" s="2"/>
      <c r="F1206" s="2"/>
      <c r="G1206" s="2"/>
      <c r="H1206" s="2"/>
      <c r="I1206" s="5"/>
    </row>
    <row r="1207" spans="1:9" ht="17.399999999999999" x14ac:dyDescent="0.25">
      <c r="A1207" s="16"/>
      <c r="B1207" s="17"/>
      <c r="C1207" s="2"/>
      <c r="D1207" s="2"/>
      <c r="E1207" s="2"/>
      <c r="F1207" s="2"/>
      <c r="G1207" s="2"/>
      <c r="H1207" s="2"/>
      <c r="I1207" s="5"/>
    </row>
    <row r="1208" spans="1:9" ht="17.399999999999999" x14ac:dyDescent="0.25">
      <c r="A1208" s="16"/>
      <c r="B1208" s="17"/>
      <c r="C1208" s="2"/>
      <c r="D1208" s="2"/>
      <c r="E1208" s="2"/>
      <c r="F1208" s="2"/>
      <c r="G1208" s="2"/>
      <c r="H1208" s="2"/>
      <c r="I1208" s="5"/>
    </row>
    <row r="1209" spans="1:9" ht="17.399999999999999" x14ac:dyDescent="0.25">
      <c r="A1209" s="16"/>
      <c r="B1209" s="17"/>
      <c r="C1209" s="2"/>
      <c r="D1209" s="2"/>
      <c r="E1209" s="2"/>
      <c r="F1209" s="2"/>
      <c r="G1209" s="2"/>
      <c r="H1209" s="2"/>
      <c r="I1209" s="5"/>
    </row>
    <row r="1210" spans="1:9" ht="17.399999999999999" x14ac:dyDescent="0.25">
      <c r="A1210" s="16"/>
      <c r="B1210" s="17"/>
      <c r="C1210" s="2"/>
      <c r="D1210" s="2"/>
      <c r="E1210" s="2"/>
      <c r="F1210" s="2"/>
      <c r="G1210" s="2"/>
      <c r="H1210" s="2"/>
      <c r="I1210" s="5"/>
    </row>
    <row r="1211" spans="1:9" ht="17.399999999999999" x14ac:dyDescent="0.25">
      <c r="A1211" s="16"/>
      <c r="B1211" s="17"/>
      <c r="C1211" s="2"/>
      <c r="D1211" s="2"/>
      <c r="E1211" s="2"/>
      <c r="F1211" s="2"/>
      <c r="G1211" s="2"/>
      <c r="H1211" s="2"/>
      <c r="I1211" s="5"/>
    </row>
    <row r="1212" spans="1:9" ht="17.399999999999999" x14ac:dyDescent="0.25">
      <c r="A1212" s="16"/>
      <c r="B1212" s="17"/>
      <c r="C1212" s="2"/>
      <c r="D1212" s="2"/>
      <c r="E1212" s="2"/>
      <c r="F1212" s="2"/>
      <c r="G1212" s="2"/>
      <c r="H1212" s="2"/>
      <c r="I1212" s="5"/>
    </row>
    <row r="1213" spans="1:9" ht="17.399999999999999" x14ac:dyDescent="0.25">
      <c r="A1213" s="16"/>
      <c r="B1213" s="17"/>
      <c r="C1213" s="2"/>
      <c r="D1213" s="2"/>
      <c r="E1213" s="2"/>
      <c r="F1213" s="2"/>
      <c r="G1213" s="2"/>
      <c r="H1213" s="2"/>
      <c r="I1213" s="5"/>
    </row>
    <row r="1214" spans="1:9" ht="17.399999999999999" x14ac:dyDescent="0.25">
      <c r="A1214" s="16"/>
      <c r="B1214" s="17"/>
      <c r="C1214" s="2"/>
      <c r="D1214" s="2"/>
      <c r="E1214" s="2"/>
      <c r="F1214" s="2"/>
      <c r="G1214" s="2"/>
      <c r="H1214" s="2"/>
      <c r="I1214" s="5"/>
    </row>
    <row r="1215" spans="1:9" ht="17.399999999999999" x14ac:dyDescent="0.25">
      <c r="A1215" s="16"/>
      <c r="B1215" s="17"/>
      <c r="C1215" s="2"/>
      <c r="D1215" s="2"/>
      <c r="E1215" s="2"/>
      <c r="F1215" s="2"/>
      <c r="G1215" s="2"/>
      <c r="H1215" s="2"/>
      <c r="I1215" s="5"/>
    </row>
    <row r="1216" spans="1:9" ht="17.399999999999999" x14ac:dyDescent="0.25">
      <c r="A1216" s="16"/>
      <c r="B1216" s="17"/>
      <c r="C1216" s="2"/>
      <c r="D1216" s="2"/>
      <c r="E1216" s="2"/>
      <c r="F1216" s="2"/>
      <c r="G1216" s="2"/>
      <c r="H1216" s="2"/>
      <c r="I1216" s="5"/>
    </row>
    <row r="1217" spans="1:9" ht="17.399999999999999" x14ac:dyDescent="0.25">
      <c r="A1217" s="16"/>
      <c r="B1217" s="17"/>
      <c r="C1217" s="2"/>
      <c r="D1217" s="2"/>
      <c r="E1217" s="2"/>
      <c r="F1217" s="2"/>
      <c r="G1217" s="2"/>
      <c r="H1217" s="2"/>
      <c r="I1217" s="5"/>
    </row>
    <row r="1218" spans="1:9" ht="17.399999999999999" x14ac:dyDescent="0.25">
      <c r="A1218" s="16"/>
      <c r="B1218" s="17"/>
      <c r="C1218" s="2"/>
      <c r="D1218" s="2"/>
      <c r="E1218" s="2"/>
      <c r="F1218" s="2"/>
      <c r="G1218" s="2"/>
      <c r="H1218" s="2"/>
      <c r="I1218" s="5"/>
    </row>
    <row r="1219" spans="1:9" ht="17.399999999999999" x14ac:dyDescent="0.25">
      <c r="A1219" s="16"/>
      <c r="B1219" s="17"/>
      <c r="C1219" s="2"/>
      <c r="D1219" s="2"/>
      <c r="E1219" s="2"/>
      <c r="F1219" s="2"/>
      <c r="G1219" s="2"/>
      <c r="H1219" s="2"/>
      <c r="I1219" s="5"/>
    </row>
    <row r="1220" spans="1:9" ht="17.399999999999999" x14ac:dyDescent="0.25">
      <c r="A1220" s="16"/>
      <c r="B1220" s="17"/>
      <c r="C1220" s="2"/>
      <c r="D1220" s="2"/>
      <c r="E1220" s="2"/>
      <c r="F1220" s="2"/>
      <c r="G1220" s="2"/>
      <c r="H1220" s="2"/>
      <c r="I1220" s="5"/>
    </row>
    <row r="1221" spans="1:9" ht="17.399999999999999" x14ac:dyDescent="0.25">
      <c r="A1221" s="16"/>
      <c r="B1221" s="17"/>
      <c r="C1221" s="2"/>
      <c r="D1221" s="2"/>
      <c r="E1221" s="2"/>
      <c r="F1221" s="2"/>
      <c r="G1221" s="2"/>
      <c r="H1221" s="2"/>
      <c r="I1221" s="5"/>
    </row>
    <row r="1222" spans="1:9" ht="17.399999999999999" x14ac:dyDescent="0.25">
      <c r="A1222" s="16"/>
      <c r="B1222" s="17"/>
      <c r="C1222" s="2"/>
      <c r="D1222" s="2"/>
      <c r="E1222" s="2"/>
      <c r="F1222" s="2"/>
      <c r="G1222" s="2"/>
      <c r="H1222" s="2"/>
      <c r="I1222" s="5"/>
    </row>
    <row r="1223" spans="1:9" ht="17.399999999999999" x14ac:dyDescent="0.25">
      <c r="A1223" s="16"/>
      <c r="B1223" s="17"/>
      <c r="C1223" s="2"/>
      <c r="D1223" s="2"/>
      <c r="E1223" s="2"/>
      <c r="F1223" s="2"/>
      <c r="G1223" s="2"/>
      <c r="H1223" s="2"/>
      <c r="I1223" s="5"/>
    </row>
    <row r="1224" spans="1:9" ht="17.399999999999999" x14ac:dyDescent="0.25">
      <c r="A1224" s="16"/>
      <c r="B1224" s="17"/>
      <c r="C1224" s="2"/>
      <c r="D1224" s="2"/>
      <c r="E1224" s="2"/>
      <c r="F1224" s="2"/>
      <c r="G1224" s="2"/>
      <c r="H1224" s="2"/>
      <c r="I1224" s="5"/>
    </row>
    <row r="1225" spans="1:9" ht="17.399999999999999" x14ac:dyDescent="0.25">
      <c r="A1225" s="16"/>
      <c r="B1225" s="17"/>
      <c r="C1225" s="2"/>
      <c r="D1225" s="2"/>
      <c r="E1225" s="2"/>
      <c r="F1225" s="2"/>
      <c r="G1225" s="2"/>
      <c r="H1225" s="2"/>
      <c r="I1225" s="5"/>
    </row>
    <row r="1226" spans="1:9" ht="17.399999999999999" x14ac:dyDescent="0.25">
      <c r="A1226" s="16"/>
      <c r="B1226" s="17"/>
      <c r="C1226" s="2"/>
      <c r="D1226" s="2"/>
      <c r="E1226" s="2"/>
      <c r="F1226" s="2"/>
      <c r="G1226" s="2"/>
      <c r="H1226" s="2"/>
      <c r="I1226" s="5"/>
    </row>
    <row r="1227" spans="1:9" ht="17.399999999999999" x14ac:dyDescent="0.25">
      <c r="A1227" s="16"/>
      <c r="B1227" s="17"/>
      <c r="C1227" s="2"/>
      <c r="D1227" s="2"/>
      <c r="E1227" s="2"/>
      <c r="F1227" s="2"/>
      <c r="G1227" s="2"/>
      <c r="H1227" s="2"/>
      <c r="I1227" s="5"/>
    </row>
    <row r="1228" spans="1:9" ht="17.399999999999999" x14ac:dyDescent="0.25">
      <c r="A1228" s="16"/>
      <c r="B1228" s="17"/>
      <c r="C1228" s="2"/>
      <c r="D1228" s="2"/>
      <c r="E1228" s="2"/>
      <c r="F1228" s="2"/>
      <c r="G1228" s="2"/>
      <c r="H1228" s="2"/>
      <c r="I1228" s="5"/>
    </row>
    <row r="1229" spans="1:9" ht="17.399999999999999" x14ac:dyDescent="0.25">
      <c r="A1229" s="16"/>
      <c r="B1229" s="17"/>
      <c r="C1229" s="2"/>
      <c r="D1229" s="2"/>
      <c r="E1229" s="2"/>
      <c r="F1229" s="2"/>
      <c r="G1229" s="2"/>
      <c r="H1229" s="2"/>
      <c r="I1229" s="5"/>
    </row>
    <row r="1230" spans="1:9" ht="17.399999999999999" x14ac:dyDescent="0.25">
      <c r="A1230" s="16"/>
      <c r="B1230" s="17"/>
      <c r="C1230" s="2"/>
      <c r="D1230" s="2"/>
      <c r="E1230" s="2"/>
      <c r="F1230" s="2"/>
      <c r="G1230" s="2"/>
      <c r="H1230" s="2"/>
      <c r="I1230" s="5"/>
    </row>
    <row r="1231" spans="1:9" ht="17.399999999999999" x14ac:dyDescent="0.25">
      <c r="A1231" s="16"/>
      <c r="B1231" s="17"/>
      <c r="C1231" s="2"/>
      <c r="D1231" s="2"/>
      <c r="E1231" s="2"/>
      <c r="F1231" s="2"/>
      <c r="G1231" s="2"/>
      <c r="H1231" s="2"/>
      <c r="I1231" s="5"/>
    </row>
    <row r="1232" spans="1:9" ht="17.399999999999999" x14ac:dyDescent="0.25">
      <c r="A1232" s="16"/>
      <c r="B1232" s="17"/>
      <c r="C1232" s="2"/>
      <c r="D1232" s="2"/>
      <c r="E1232" s="2"/>
      <c r="F1232" s="2"/>
      <c r="G1232" s="2"/>
      <c r="H1232" s="2"/>
      <c r="I1232" s="5"/>
    </row>
    <row r="1233" spans="1:9" ht="17.399999999999999" x14ac:dyDescent="0.25">
      <c r="A1233" s="16"/>
      <c r="B1233" s="17"/>
      <c r="C1233" s="2"/>
      <c r="D1233" s="2"/>
      <c r="E1233" s="2"/>
      <c r="F1233" s="2"/>
      <c r="G1233" s="2"/>
      <c r="H1233" s="2"/>
      <c r="I1233" s="5"/>
    </row>
    <row r="1234" spans="1:9" ht="17.399999999999999" x14ac:dyDescent="0.25">
      <c r="A1234" s="16"/>
      <c r="B1234" s="17"/>
      <c r="C1234" s="2"/>
      <c r="D1234" s="2"/>
      <c r="E1234" s="2"/>
      <c r="F1234" s="2"/>
      <c r="G1234" s="2"/>
      <c r="H1234" s="2"/>
      <c r="I1234" s="5"/>
    </row>
    <row r="1235" spans="1:9" ht="17.399999999999999" x14ac:dyDescent="0.25">
      <c r="A1235" s="16"/>
      <c r="B1235" s="17"/>
      <c r="C1235" s="2"/>
      <c r="D1235" s="2"/>
      <c r="E1235" s="2"/>
      <c r="F1235" s="2"/>
      <c r="G1235" s="2"/>
      <c r="H1235" s="2"/>
      <c r="I1235" s="5"/>
    </row>
    <row r="1236" spans="1:9" ht="17.399999999999999" x14ac:dyDescent="0.25">
      <c r="A1236" s="16"/>
      <c r="B1236" s="17"/>
      <c r="C1236" s="2"/>
      <c r="D1236" s="2"/>
      <c r="E1236" s="2"/>
      <c r="F1236" s="2"/>
      <c r="G1236" s="2"/>
      <c r="H1236" s="2"/>
      <c r="I1236" s="5"/>
    </row>
    <row r="1237" spans="1:9" ht="17.399999999999999" x14ac:dyDescent="0.25">
      <c r="A1237" s="16"/>
      <c r="B1237" s="17"/>
      <c r="C1237" s="2"/>
      <c r="D1237" s="2"/>
      <c r="E1237" s="2"/>
      <c r="F1237" s="2"/>
      <c r="G1237" s="2"/>
      <c r="H1237" s="2"/>
      <c r="I1237" s="5"/>
    </row>
    <row r="1238" spans="1:9" ht="17.399999999999999" x14ac:dyDescent="0.25">
      <c r="A1238" s="16"/>
      <c r="B1238" s="17"/>
      <c r="C1238" s="2"/>
      <c r="D1238" s="2"/>
      <c r="E1238" s="2"/>
      <c r="F1238" s="2"/>
      <c r="G1238" s="2"/>
      <c r="H1238" s="2"/>
      <c r="I1238" s="5"/>
    </row>
    <row r="1239" spans="1:9" ht="17.399999999999999" x14ac:dyDescent="0.25">
      <c r="A1239" s="16"/>
      <c r="B1239" s="17"/>
      <c r="C1239" s="2"/>
      <c r="D1239" s="2"/>
      <c r="E1239" s="2"/>
      <c r="F1239" s="2"/>
      <c r="G1239" s="2"/>
      <c r="H1239" s="2"/>
      <c r="I1239" s="5"/>
    </row>
    <row r="1240" spans="1:9" ht="17.399999999999999" x14ac:dyDescent="0.25">
      <c r="A1240" s="16"/>
      <c r="B1240" s="17"/>
      <c r="C1240" s="2"/>
      <c r="D1240" s="2"/>
      <c r="E1240" s="2"/>
      <c r="F1240" s="2"/>
      <c r="G1240" s="2"/>
      <c r="H1240" s="2"/>
      <c r="I1240" s="5"/>
    </row>
    <row r="1241" spans="1:9" ht="17.399999999999999" x14ac:dyDescent="0.25">
      <c r="A1241" s="16"/>
      <c r="B1241" s="17"/>
      <c r="C1241" s="2"/>
      <c r="D1241" s="2"/>
      <c r="E1241" s="2"/>
      <c r="F1241" s="2"/>
      <c r="G1241" s="2"/>
      <c r="H1241" s="2"/>
      <c r="I1241" s="5"/>
    </row>
    <row r="1242" spans="1:9" ht="17.399999999999999" x14ac:dyDescent="0.25">
      <c r="A1242" s="16"/>
      <c r="B1242" s="17"/>
      <c r="C1242" s="2"/>
      <c r="D1242" s="2"/>
      <c r="E1242" s="2"/>
      <c r="F1242" s="2"/>
      <c r="G1242" s="2"/>
      <c r="H1242" s="2"/>
      <c r="I1242" s="5"/>
    </row>
    <row r="1243" spans="1:9" ht="17.399999999999999" x14ac:dyDescent="0.25">
      <c r="A1243" s="16"/>
      <c r="B1243" s="17"/>
      <c r="C1243" s="2"/>
      <c r="D1243" s="2"/>
      <c r="E1243" s="2"/>
      <c r="F1243" s="2"/>
      <c r="G1243" s="2"/>
      <c r="H1243" s="2"/>
      <c r="I1243" s="5"/>
    </row>
    <row r="1244" spans="1:9" ht="17.399999999999999" x14ac:dyDescent="0.25">
      <c r="A1244" s="16"/>
      <c r="B1244" s="17"/>
      <c r="C1244" s="2"/>
      <c r="D1244" s="2"/>
      <c r="E1244" s="2"/>
      <c r="F1244" s="2"/>
      <c r="G1244" s="2"/>
      <c r="H1244" s="2"/>
      <c r="I1244" s="5"/>
    </row>
    <row r="1245" spans="1:9" ht="17.399999999999999" x14ac:dyDescent="0.25">
      <c r="A1245" s="16"/>
      <c r="B1245" s="17"/>
      <c r="C1245" s="2"/>
      <c r="D1245" s="2"/>
      <c r="E1245" s="2"/>
      <c r="F1245" s="2"/>
      <c r="G1245" s="2"/>
      <c r="H1245" s="2"/>
      <c r="I1245" s="5"/>
    </row>
    <row r="1246" spans="1:9" ht="17.399999999999999" x14ac:dyDescent="0.25">
      <c r="A1246" s="16"/>
      <c r="B1246" s="17"/>
      <c r="C1246" s="2"/>
      <c r="D1246" s="2"/>
      <c r="E1246" s="2"/>
      <c r="F1246" s="2"/>
      <c r="G1246" s="2"/>
      <c r="H1246" s="2"/>
      <c r="I1246" s="5"/>
    </row>
    <row r="1247" spans="1:9" ht="17.399999999999999" x14ac:dyDescent="0.25">
      <c r="A1247" s="16"/>
      <c r="B1247" s="17"/>
      <c r="C1247" s="2"/>
      <c r="D1247" s="2"/>
      <c r="E1247" s="2"/>
      <c r="F1247" s="2"/>
      <c r="G1247" s="2"/>
      <c r="H1247" s="2"/>
      <c r="I1247" s="5"/>
    </row>
    <row r="1248" spans="1:9" ht="17.399999999999999" x14ac:dyDescent="0.25">
      <c r="A1248" s="16"/>
      <c r="B1248" s="17"/>
      <c r="C1248" s="2"/>
      <c r="D1248" s="2"/>
      <c r="E1248" s="2"/>
      <c r="F1248" s="2"/>
      <c r="G1248" s="2"/>
      <c r="H1248" s="2"/>
      <c r="I1248" s="5"/>
    </row>
    <row r="1249" spans="1:9" ht="17.399999999999999" x14ac:dyDescent="0.25">
      <c r="A1249" s="16"/>
      <c r="B1249" s="17"/>
      <c r="C1249" s="2"/>
      <c r="D1249" s="2"/>
      <c r="E1249" s="2"/>
      <c r="F1249" s="2"/>
      <c r="G1249" s="2"/>
      <c r="H1249" s="2"/>
      <c r="I1249" s="5"/>
    </row>
    <row r="1250" spans="1:9" ht="17.399999999999999" x14ac:dyDescent="0.25">
      <c r="A1250" s="16"/>
      <c r="B1250" s="17"/>
      <c r="C1250" s="2"/>
      <c r="D1250" s="2"/>
      <c r="E1250" s="2"/>
      <c r="F1250" s="2"/>
      <c r="G1250" s="2"/>
      <c r="H1250" s="2"/>
      <c r="I1250" s="5"/>
    </row>
    <row r="1251" spans="1:9" ht="17.399999999999999" x14ac:dyDescent="0.25">
      <c r="A1251" s="16"/>
      <c r="B1251" s="17"/>
      <c r="C1251" s="2"/>
      <c r="D1251" s="2"/>
      <c r="E1251" s="2"/>
      <c r="F1251" s="2"/>
      <c r="G1251" s="2"/>
      <c r="H1251" s="2"/>
      <c r="I1251" s="5"/>
    </row>
    <row r="1252" spans="1:9" ht="17.399999999999999" x14ac:dyDescent="0.25">
      <c r="A1252" s="16"/>
      <c r="B1252" s="17"/>
      <c r="C1252" s="2"/>
      <c r="D1252" s="2"/>
      <c r="E1252" s="2"/>
      <c r="F1252" s="2"/>
      <c r="G1252" s="2"/>
      <c r="H1252" s="2"/>
      <c r="I1252" s="5"/>
    </row>
    <row r="1253" spans="1:9" ht="17.399999999999999" x14ac:dyDescent="0.25">
      <c r="A1253" s="16"/>
      <c r="B1253" s="17"/>
      <c r="C1253" s="2"/>
      <c r="D1253" s="2"/>
      <c r="E1253" s="2"/>
      <c r="F1253" s="2"/>
      <c r="G1253" s="2"/>
      <c r="H1253" s="2"/>
      <c r="I1253" s="5"/>
    </row>
    <row r="1254" spans="1:9" ht="17.399999999999999" x14ac:dyDescent="0.25">
      <c r="A1254" s="16"/>
      <c r="B1254" s="17"/>
      <c r="C1254" s="2"/>
      <c r="D1254" s="2"/>
      <c r="E1254" s="2"/>
      <c r="F1254" s="2"/>
      <c r="G1254" s="2"/>
      <c r="H1254" s="2"/>
      <c r="I1254" s="5"/>
    </row>
    <row r="1255" spans="1:9" ht="17.399999999999999" x14ac:dyDescent="0.25">
      <c r="A1255" s="16"/>
      <c r="B1255" s="17"/>
      <c r="C1255" s="2"/>
      <c r="D1255" s="2"/>
      <c r="E1255" s="2"/>
      <c r="F1255" s="2"/>
      <c r="G1255" s="2"/>
      <c r="H1255" s="2"/>
      <c r="I1255" s="5"/>
    </row>
    <row r="1256" spans="1:9" ht="17.399999999999999" x14ac:dyDescent="0.25">
      <c r="A1256" s="16"/>
      <c r="B1256" s="17"/>
      <c r="C1256" s="2"/>
      <c r="D1256" s="2"/>
      <c r="E1256" s="2"/>
      <c r="F1256" s="2"/>
      <c r="G1256" s="2"/>
      <c r="H1256" s="2"/>
      <c r="I1256" s="5"/>
    </row>
    <row r="1257" spans="1:9" ht="17.399999999999999" x14ac:dyDescent="0.25">
      <c r="A1257" s="16"/>
      <c r="B1257" s="17"/>
      <c r="C1257" s="2"/>
      <c r="D1257" s="2"/>
      <c r="E1257" s="2"/>
      <c r="F1257" s="2"/>
      <c r="G1257" s="2"/>
      <c r="H1257" s="2"/>
      <c r="I1257" s="5"/>
    </row>
    <row r="1258" spans="1:9" ht="17.399999999999999" x14ac:dyDescent="0.25">
      <c r="A1258" s="16"/>
      <c r="B1258" s="17"/>
      <c r="C1258" s="2"/>
      <c r="D1258" s="2"/>
      <c r="E1258" s="2"/>
      <c r="F1258" s="2"/>
      <c r="G1258" s="2"/>
      <c r="H1258" s="2"/>
      <c r="I1258" s="5"/>
    </row>
    <row r="1259" spans="1:9" ht="17.399999999999999" x14ac:dyDescent="0.25">
      <c r="A1259" s="16"/>
      <c r="B1259" s="17"/>
      <c r="C1259" s="2"/>
      <c r="D1259" s="2"/>
      <c r="E1259" s="2"/>
      <c r="F1259" s="2"/>
      <c r="G1259" s="2"/>
      <c r="H1259" s="2"/>
      <c r="I1259" s="5"/>
    </row>
    <row r="1260" spans="1:9" ht="17.399999999999999" x14ac:dyDescent="0.25">
      <c r="A1260" s="16"/>
      <c r="B1260" s="17"/>
      <c r="C1260" s="2"/>
      <c r="D1260" s="2"/>
      <c r="E1260" s="2"/>
      <c r="F1260" s="2"/>
      <c r="G1260" s="2"/>
      <c r="H1260" s="2"/>
      <c r="I1260" s="5"/>
    </row>
    <row r="1261" spans="1:9" ht="17.399999999999999" x14ac:dyDescent="0.25">
      <c r="A1261" s="16"/>
      <c r="B1261" s="17"/>
      <c r="C1261" s="2"/>
      <c r="D1261" s="2"/>
      <c r="E1261" s="2"/>
      <c r="F1261" s="2"/>
      <c r="G1261" s="2"/>
      <c r="H1261" s="2"/>
      <c r="I1261" s="5"/>
    </row>
    <row r="1262" spans="1:9" ht="17.399999999999999" x14ac:dyDescent="0.25">
      <c r="A1262" s="16"/>
      <c r="B1262" s="17"/>
      <c r="C1262" s="2"/>
      <c r="D1262" s="2"/>
      <c r="E1262" s="2"/>
      <c r="F1262" s="2"/>
      <c r="G1262" s="2"/>
      <c r="H1262" s="2"/>
      <c r="I1262" s="5"/>
    </row>
    <row r="1263" spans="1:9" ht="17.399999999999999" x14ac:dyDescent="0.25">
      <c r="A1263" s="16"/>
      <c r="B1263" s="17"/>
      <c r="C1263" s="2"/>
      <c r="D1263" s="2"/>
      <c r="E1263" s="2"/>
      <c r="F1263" s="2"/>
      <c r="G1263" s="2"/>
      <c r="H1263" s="2"/>
      <c r="I1263" s="5"/>
    </row>
    <row r="1264" spans="1:9" ht="17.399999999999999" x14ac:dyDescent="0.25">
      <c r="A1264" s="16"/>
      <c r="B1264" s="17"/>
      <c r="C1264" s="2"/>
      <c r="D1264" s="2"/>
      <c r="E1264" s="2"/>
      <c r="F1264" s="2"/>
      <c r="G1264" s="2"/>
      <c r="H1264" s="2"/>
      <c r="I1264" s="5"/>
    </row>
    <row r="1265" spans="1:9" ht="17.399999999999999" x14ac:dyDescent="0.25">
      <c r="A1265" s="16"/>
      <c r="B1265" s="17"/>
      <c r="C1265" s="2"/>
      <c r="D1265" s="2"/>
      <c r="E1265" s="2"/>
      <c r="F1265" s="2"/>
      <c r="G1265" s="2"/>
      <c r="H1265" s="2"/>
      <c r="I1265" s="5"/>
    </row>
    <row r="1266" spans="1:9" ht="17.399999999999999" x14ac:dyDescent="0.25">
      <c r="A1266" s="16"/>
      <c r="B1266" s="17"/>
      <c r="C1266" s="2"/>
      <c r="D1266" s="2"/>
      <c r="E1266" s="2"/>
      <c r="F1266" s="2"/>
      <c r="G1266" s="2"/>
      <c r="H1266" s="2"/>
      <c r="I1266" s="5"/>
    </row>
    <row r="1267" spans="1:9" ht="17.399999999999999" x14ac:dyDescent="0.25">
      <c r="A1267" s="16"/>
      <c r="B1267" s="17"/>
      <c r="C1267" s="2"/>
      <c r="D1267" s="2"/>
      <c r="E1267" s="2"/>
      <c r="F1267" s="2"/>
      <c r="G1267" s="2"/>
      <c r="H1267" s="2"/>
      <c r="I1267" s="5"/>
    </row>
    <row r="1268" spans="1:9" ht="17.399999999999999" x14ac:dyDescent="0.25">
      <c r="A1268" s="16"/>
      <c r="B1268" s="17"/>
      <c r="C1268" s="2"/>
      <c r="D1268" s="2"/>
      <c r="E1268" s="2"/>
      <c r="F1268" s="2"/>
      <c r="G1268" s="2"/>
      <c r="H1268" s="2"/>
      <c r="I1268" s="5"/>
    </row>
    <row r="1269" spans="1:9" ht="17.399999999999999" x14ac:dyDescent="0.25">
      <c r="A1269" s="16"/>
      <c r="B1269" s="17"/>
      <c r="C1269" s="2"/>
      <c r="D1269" s="2"/>
      <c r="E1269" s="2"/>
      <c r="F1269" s="2"/>
      <c r="G1269" s="2"/>
      <c r="H1269" s="2"/>
      <c r="I1269" s="5"/>
    </row>
    <row r="1270" spans="1:9" ht="17.399999999999999" x14ac:dyDescent="0.25">
      <c r="A1270" s="16"/>
      <c r="B1270" s="17"/>
      <c r="C1270" s="2"/>
      <c r="D1270" s="2"/>
      <c r="E1270" s="2"/>
      <c r="F1270" s="2"/>
      <c r="G1270" s="2"/>
      <c r="H1270" s="2"/>
      <c r="I1270" s="5"/>
    </row>
    <row r="1271" spans="1:9" ht="17.399999999999999" x14ac:dyDescent="0.25">
      <c r="A1271" s="16"/>
      <c r="B1271" s="17"/>
      <c r="C1271" s="2"/>
      <c r="D1271" s="2"/>
      <c r="E1271" s="2"/>
      <c r="F1271" s="2"/>
      <c r="G1271" s="2"/>
      <c r="H1271" s="2"/>
      <c r="I1271" s="5"/>
    </row>
    <row r="1272" spans="1:9" ht="17.399999999999999" x14ac:dyDescent="0.25">
      <c r="A1272" s="16"/>
      <c r="B1272" s="17"/>
      <c r="C1272" s="2"/>
      <c r="D1272" s="2"/>
      <c r="E1272" s="2"/>
      <c r="F1272" s="2"/>
      <c r="G1272" s="2"/>
      <c r="H1272" s="2"/>
      <c r="I1272" s="5"/>
    </row>
    <row r="1273" spans="1:9" ht="17.399999999999999" x14ac:dyDescent="0.25">
      <c r="A1273" s="16"/>
      <c r="B1273" s="17"/>
      <c r="C1273" s="2"/>
      <c r="D1273" s="2"/>
      <c r="E1273" s="2"/>
      <c r="F1273" s="2"/>
      <c r="G1273" s="2"/>
      <c r="H1273" s="2"/>
      <c r="I1273" s="5"/>
    </row>
    <row r="1274" spans="1:9" ht="17.399999999999999" x14ac:dyDescent="0.25">
      <c r="A1274" s="16"/>
      <c r="B1274" s="17"/>
      <c r="C1274" s="2"/>
      <c r="D1274" s="2"/>
      <c r="E1274" s="2"/>
      <c r="F1274" s="2"/>
      <c r="G1274" s="2"/>
      <c r="H1274" s="2"/>
      <c r="I1274" s="5"/>
    </row>
    <row r="1275" spans="1:9" ht="17.399999999999999" x14ac:dyDescent="0.25">
      <c r="A1275" s="16"/>
      <c r="B1275" s="17"/>
      <c r="C1275" s="2"/>
      <c r="D1275" s="2"/>
      <c r="E1275" s="2"/>
      <c r="F1275" s="2"/>
      <c r="G1275" s="2"/>
      <c r="H1275" s="2"/>
      <c r="I1275" s="5"/>
    </row>
    <row r="1276" spans="1:9" ht="17.399999999999999" x14ac:dyDescent="0.25">
      <c r="A1276" s="16"/>
      <c r="B1276" s="17"/>
      <c r="C1276" s="2"/>
      <c r="D1276" s="2"/>
      <c r="E1276" s="2"/>
      <c r="F1276" s="2"/>
      <c r="G1276" s="2"/>
      <c r="H1276" s="2"/>
      <c r="I1276" s="5"/>
    </row>
    <row r="1277" spans="1:9" ht="17.399999999999999" x14ac:dyDescent="0.25">
      <c r="A1277" s="16"/>
      <c r="B1277" s="17"/>
      <c r="C1277" s="2"/>
      <c r="D1277" s="2"/>
      <c r="E1277" s="2"/>
      <c r="F1277" s="2"/>
      <c r="G1277" s="2"/>
      <c r="H1277" s="2"/>
      <c r="I1277" s="5"/>
    </row>
    <row r="1278" spans="1:9" ht="17.399999999999999" x14ac:dyDescent="0.25">
      <c r="A1278" s="16"/>
      <c r="B1278" s="17"/>
      <c r="C1278" s="2"/>
      <c r="D1278" s="2"/>
      <c r="E1278" s="2"/>
      <c r="F1278" s="2"/>
      <c r="G1278" s="2"/>
      <c r="H1278" s="2"/>
      <c r="I1278" s="5"/>
    </row>
    <row r="1279" spans="1:9" ht="17.399999999999999" x14ac:dyDescent="0.25">
      <c r="A1279" s="16"/>
      <c r="B1279" s="17"/>
      <c r="C1279" s="2"/>
      <c r="D1279" s="2"/>
      <c r="E1279" s="2"/>
      <c r="F1279" s="2"/>
      <c r="G1279" s="2"/>
      <c r="H1279" s="2"/>
      <c r="I1279" s="5"/>
    </row>
    <row r="1280" spans="1:9" ht="17.399999999999999" x14ac:dyDescent="0.25">
      <c r="A1280" s="16"/>
      <c r="B1280" s="17"/>
      <c r="C1280" s="2"/>
      <c r="D1280" s="2"/>
      <c r="E1280" s="2"/>
      <c r="F1280" s="2"/>
      <c r="G1280" s="2"/>
      <c r="H1280" s="2"/>
      <c r="I1280" s="5"/>
    </row>
    <row r="1281" spans="1:9" ht="17.399999999999999" x14ac:dyDescent="0.25">
      <c r="A1281" s="16"/>
      <c r="B1281" s="17"/>
      <c r="C1281" s="2"/>
      <c r="D1281" s="2"/>
      <c r="E1281" s="2"/>
      <c r="F1281" s="2"/>
      <c r="G1281" s="2"/>
      <c r="H1281" s="2"/>
      <c r="I1281" s="5"/>
    </row>
    <row r="1282" spans="1:9" ht="17.399999999999999" x14ac:dyDescent="0.25">
      <c r="A1282" s="16"/>
      <c r="B1282" s="17"/>
      <c r="C1282" s="2"/>
      <c r="D1282" s="2"/>
      <c r="E1282" s="2"/>
      <c r="F1282" s="2"/>
      <c r="G1282" s="2"/>
      <c r="H1282" s="2"/>
      <c r="I1282" s="5"/>
    </row>
    <row r="1283" spans="1:9" ht="17.399999999999999" x14ac:dyDescent="0.25">
      <c r="A1283" s="16"/>
      <c r="B1283" s="17"/>
      <c r="C1283" s="2"/>
      <c r="D1283" s="2"/>
      <c r="E1283" s="2"/>
      <c r="F1283" s="2"/>
      <c r="G1283" s="2"/>
      <c r="H1283" s="2"/>
      <c r="I1283" s="5"/>
    </row>
    <row r="1284" spans="1:9" ht="17.399999999999999" x14ac:dyDescent="0.25">
      <c r="A1284" s="16"/>
      <c r="B1284" s="17"/>
      <c r="C1284" s="2"/>
      <c r="D1284" s="2"/>
      <c r="E1284" s="2"/>
      <c r="F1284" s="2"/>
      <c r="G1284" s="2"/>
      <c r="H1284" s="2"/>
      <c r="I1284" s="5"/>
    </row>
    <row r="1285" spans="1:9" ht="17.399999999999999" x14ac:dyDescent="0.25">
      <c r="A1285" s="16"/>
      <c r="B1285" s="17"/>
      <c r="C1285" s="2"/>
      <c r="D1285" s="2"/>
      <c r="E1285" s="2"/>
      <c r="F1285" s="2"/>
      <c r="G1285" s="2"/>
      <c r="H1285" s="2"/>
      <c r="I1285" s="5"/>
    </row>
    <row r="1286" spans="1:9" ht="17.399999999999999" x14ac:dyDescent="0.25">
      <c r="A1286" s="16"/>
      <c r="B1286" s="17"/>
      <c r="C1286" s="2"/>
      <c r="D1286" s="2"/>
      <c r="E1286" s="2"/>
      <c r="F1286" s="2"/>
      <c r="G1286" s="2"/>
      <c r="H1286" s="2"/>
      <c r="I1286" s="5"/>
    </row>
    <row r="1287" spans="1:9" ht="17.399999999999999" x14ac:dyDescent="0.25">
      <c r="A1287" s="16"/>
      <c r="B1287" s="17"/>
      <c r="C1287" s="2"/>
      <c r="D1287" s="2"/>
      <c r="E1287" s="2"/>
      <c r="F1287" s="2"/>
      <c r="G1287" s="2"/>
      <c r="H1287" s="2"/>
      <c r="I1287" s="5"/>
    </row>
    <row r="1288" spans="1:9" ht="17.399999999999999" x14ac:dyDescent="0.25">
      <c r="A1288" s="16"/>
      <c r="B1288" s="17"/>
      <c r="C1288" s="2"/>
      <c r="D1288" s="2"/>
      <c r="E1288" s="2"/>
      <c r="F1288" s="2"/>
      <c r="G1288" s="2"/>
      <c r="H1288" s="2"/>
      <c r="I1288" s="5"/>
    </row>
    <row r="1289" spans="1:9" ht="17.399999999999999" x14ac:dyDescent="0.25">
      <c r="A1289" s="16"/>
      <c r="B1289" s="17"/>
      <c r="C1289" s="2"/>
      <c r="D1289" s="2"/>
      <c r="E1289" s="2"/>
      <c r="F1289" s="2"/>
      <c r="G1289" s="2"/>
      <c r="H1289" s="2"/>
      <c r="I1289" s="5"/>
    </row>
    <row r="1290" spans="1:9" ht="17.399999999999999" x14ac:dyDescent="0.25">
      <c r="A1290" s="16"/>
      <c r="B1290" s="17"/>
      <c r="C1290" s="2"/>
      <c r="D1290" s="2"/>
      <c r="E1290" s="2"/>
      <c r="F1290" s="2"/>
      <c r="G1290" s="2"/>
      <c r="H1290" s="2"/>
      <c r="I1290" s="5"/>
    </row>
    <row r="1291" spans="1:9" ht="17.399999999999999" x14ac:dyDescent="0.25">
      <c r="A1291" s="16"/>
      <c r="B1291" s="17"/>
      <c r="C1291" s="2"/>
      <c r="D1291" s="2"/>
      <c r="E1291" s="2"/>
      <c r="F1291" s="2"/>
      <c r="G1291" s="2"/>
      <c r="H1291" s="2"/>
      <c r="I1291" s="5"/>
    </row>
    <row r="1292" spans="1:9" ht="17.399999999999999" x14ac:dyDescent="0.25">
      <c r="A1292" s="16"/>
      <c r="B1292" s="17"/>
      <c r="C1292" s="2"/>
      <c r="D1292" s="2"/>
      <c r="E1292" s="2"/>
      <c r="F1292" s="2"/>
      <c r="G1292" s="2"/>
      <c r="H1292" s="2"/>
      <c r="I1292" s="5"/>
    </row>
    <row r="1293" spans="1:9" ht="17.399999999999999" x14ac:dyDescent="0.25">
      <c r="A1293" s="16"/>
      <c r="B1293" s="17"/>
      <c r="C1293" s="2"/>
      <c r="D1293" s="2"/>
      <c r="E1293" s="2"/>
      <c r="F1293" s="2"/>
      <c r="G1293" s="2"/>
      <c r="H1293" s="2"/>
      <c r="I1293" s="5"/>
    </row>
    <row r="1294" spans="1:9" ht="17.399999999999999" x14ac:dyDescent="0.25">
      <c r="A1294" s="16"/>
      <c r="B1294" s="17"/>
      <c r="C1294" s="2"/>
      <c r="D1294" s="2"/>
      <c r="E1294" s="2"/>
      <c r="F1294" s="2"/>
      <c r="G1294" s="2"/>
      <c r="H1294" s="2"/>
      <c r="I1294" s="5"/>
    </row>
    <row r="1295" spans="1:9" ht="17.399999999999999" x14ac:dyDescent="0.25">
      <c r="A1295" s="16"/>
      <c r="B1295" s="17"/>
      <c r="C1295" s="2"/>
      <c r="D1295" s="2"/>
      <c r="E1295" s="2"/>
      <c r="F1295" s="2"/>
      <c r="G1295" s="2"/>
      <c r="H1295" s="2"/>
      <c r="I1295" s="5"/>
    </row>
    <row r="1296" spans="1:9" ht="17.399999999999999" x14ac:dyDescent="0.25">
      <c r="A1296" s="16"/>
      <c r="B1296" s="17"/>
      <c r="C1296" s="2"/>
      <c r="D1296" s="2"/>
      <c r="E1296" s="2"/>
      <c r="F1296" s="2"/>
      <c r="G1296" s="2"/>
      <c r="H1296" s="2"/>
      <c r="I1296" s="5"/>
    </row>
    <row r="1297" spans="1:9" ht="17.399999999999999" x14ac:dyDescent="0.25">
      <c r="A1297" s="16"/>
      <c r="B1297" s="17"/>
      <c r="C1297" s="2"/>
      <c r="D1297" s="2"/>
      <c r="E1297" s="2"/>
      <c r="F1297" s="2"/>
      <c r="G1297" s="2"/>
      <c r="H1297" s="2"/>
      <c r="I1297" s="5"/>
    </row>
    <row r="1298" spans="1:9" ht="17.399999999999999" x14ac:dyDescent="0.25">
      <c r="A1298" s="16"/>
      <c r="B1298" s="17"/>
      <c r="C1298" s="2"/>
      <c r="D1298" s="2"/>
      <c r="E1298" s="2"/>
      <c r="F1298" s="2"/>
      <c r="G1298" s="2"/>
      <c r="H1298" s="2"/>
      <c r="I1298" s="5"/>
    </row>
    <row r="1299" spans="1:9" ht="17.399999999999999" x14ac:dyDescent="0.25">
      <c r="A1299" s="16"/>
      <c r="B1299" s="17"/>
      <c r="C1299" s="2"/>
      <c r="D1299" s="2"/>
      <c r="E1299" s="2"/>
      <c r="F1299" s="2"/>
      <c r="G1299" s="2"/>
      <c r="H1299" s="2"/>
      <c r="I1299" s="5"/>
    </row>
    <row r="1300" spans="1:9" ht="17.399999999999999" x14ac:dyDescent="0.25">
      <c r="A1300" s="16"/>
      <c r="B1300" s="17"/>
      <c r="C1300" s="2"/>
      <c r="D1300" s="2"/>
      <c r="E1300" s="2"/>
      <c r="F1300" s="2"/>
      <c r="G1300" s="2"/>
      <c r="H1300" s="2"/>
      <c r="I1300" s="5"/>
    </row>
    <row r="1301" spans="1:9" ht="17.399999999999999" x14ac:dyDescent="0.25">
      <c r="A1301" s="16"/>
      <c r="B1301" s="17"/>
      <c r="C1301" s="2"/>
      <c r="D1301" s="2"/>
      <c r="E1301" s="2"/>
      <c r="F1301" s="2"/>
      <c r="G1301" s="2"/>
      <c r="H1301" s="2"/>
      <c r="I1301" s="5"/>
    </row>
    <row r="1302" spans="1:9" ht="17.399999999999999" x14ac:dyDescent="0.25">
      <c r="A1302" s="16"/>
      <c r="B1302" s="17"/>
      <c r="C1302" s="2"/>
      <c r="D1302" s="2"/>
      <c r="E1302" s="2"/>
      <c r="F1302" s="2"/>
      <c r="G1302" s="2"/>
      <c r="H1302" s="2"/>
      <c r="I1302" s="5"/>
    </row>
    <row r="1303" spans="1:9" ht="17.399999999999999" x14ac:dyDescent="0.25">
      <c r="A1303" s="16"/>
      <c r="B1303" s="17"/>
      <c r="C1303" s="2"/>
      <c r="D1303" s="2"/>
      <c r="E1303" s="2"/>
      <c r="F1303" s="2"/>
      <c r="G1303" s="2"/>
      <c r="H1303" s="2"/>
      <c r="I1303" s="5"/>
    </row>
    <row r="1304" spans="1:9" ht="17.399999999999999" x14ac:dyDescent="0.25">
      <c r="A1304" s="16"/>
      <c r="B1304" s="17"/>
      <c r="C1304" s="2"/>
      <c r="D1304" s="2"/>
      <c r="E1304" s="2"/>
      <c r="F1304" s="2"/>
      <c r="G1304" s="2"/>
      <c r="H1304" s="2"/>
      <c r="I1304" s="5"/>
    </row>
    <row r="1305" spans="1:9" ht="17.399999999999999" x14ac:dyDescent="0.25">
      <c r="A1305" s="16"/>
      <c r="B1305" s="17"/>
      <c r="C1305" s="2"/>
      <c r="D1305" s="2"/>
      <c r="E1305" s="2"/>
      <c r="F1305" s="2"/>
      <c r="G1305" s="2"/>
      <c r="H1305" s="2"/>
      <c r="I1305" s="5"/>
    </row>
    <row r="1306" spans="1:9" ht="17.399999999999999" x14ac:dyDescent="0.25">
      <c r="A1306" s="16"/>
      <c r="B1306" s="17"/>
      <c r="C1306" s="2"/>
      <c r="D1306" s="2"/>
      <c r="E1306" s="2"/>
      <c r="F1306" s="2"/>
      <c r="G1306" s="2"/>
      <c r="H1306" s="2"/>
      <c r="I1306" s="5"/>
    </row>
    <row r="1307" spans="1:9" ht="17.399999999999999" x14ac:dyDescent="0.25">
      <c r="A1307" s="16"/>
      <c r="B1307" s="17"/>
      <c r="C1307" s="2"/>
      <c r="D1307" s="2"/>
      <c r="E1307" s="2"/>
      <c r="F1307" s="2"/>
      <c r="G1307" s="2"/>
      <c r="H1307" s="2"/>
      <c r="I1307" s="5"/>
    </row>
    <row r="1308" spans="1:9" ht="17.399999999999999" x14ac:dyDescent="0.25">
      <c r="A1308" s="16"/>
      <c r="B1308" s="17"/>
      <c r="C1308" s="2"/>
      <c r="D1308" s="2"/>
      <c r="E1308" s="2"/>
      <c r="F1308" s="2"/>
      <c r="G1308" s="2"/>
      <c r="H1308" s="2"/>
      <c r="I1308" s="5"/>
    </row>
    <row r="1309" spans="1:9" ht="17.399999999999999" x14ac:dyDescent="0.25">
      <c r="A1309" s="16"/>
      <c r="B1309" s="17"/>
      <c r="C1309" s="2"/>
      <c r="D1309" s="2"/>
      <c r="E1309" s="2"/>
      <c r="F1309" s="2"/>
      <c r="G1309" s="2"/>
      <c r="H1309" s="2"/>
      <c r="I1309" s="5"/>
    </row>
    <row r="1310" spans="1:9" ht="17.399999999999999" x14ac:dyDescent="0.25">
      <c r="A1310" s="16"/>
      <c r="B1310" s="17"/>
      <c r="C1310" s="2"/>
      <c r="D1310" s="2"/>
      <c r="E1310" s="2"/>
      <c r="F1310" s="2"/>
      <c r="G1310" s="2"/>
      <c r="H1310" s="2"/>
      <c r="I1310" s="5"/>
    </row>
    <row r="1311" spans="1:9" ht="17.399999999999999" x14ac:dyDescent="0.25">
      <c r="A1311" s="16"/>
      <c r="B1311" s="17"/>
      <c r="C1311" s="2"/>
      <c r="D1311" s="2"/>
      <c r="E1311" s="2"/>
      <c r="F1311" s="2"/>
      <c r="G1311" s="2"/>
      <c r="H1311" s="2"/>
      <c r="I1311" s="5"/>
    </row>
    <row r="1312" spans="1:9" ht="17.399999999999999" x14ac:dyDescent="0.25">
      <c r="A1312" s="16"/>
      <c r="B1312" s="17"/>
      <c r="C1312" s="2"/>
      <c r="D1312" s="2"/>
      <c r="E1312" s="2"/>
      <c r="F1312" s="2"/>
      <c r="G1312" s="2"/>
      <c r="H1312" s="2"/>
      <c r="I1312" s="5"/>
    </row>
    <row r="1313" spans="1:9" ht="17.399999999999999" x14ac:dyDescent="0.25">
      <c r="A1313" s="16"/>
      <c r="B1313" s="17"/>
      <c r="C1313" s="2"/>
      <c r="D1313" s="2"/>
      <c r="E1313" s="2"/>
      <c r="F1313" s="2"/>
      <c r="G1313" s="2"/>
      <c r="H1313" s="2"/>
      <c r="I1313" s="5"/>
    </row>
    <row r="1314" spans="1:9" ht="17.399999999999999" x14ac:dyDescent="0.25">
      <c r="A1314" s="16"/>
      <c r="B1314" s="17"/>
      <c r="C1314" s="2"/>
      <c r="D1314" s="2"/>
      <c r="E1314" s="2"/>
      <c r="F1314" s="2"/>
      <c r="G1314" s="2"/>
      <c r="H1314" s="2"/>
      <c r="I1314" s="5"/>
    </row>
    <row r="1315" spans="1:9" ht="17.399999999999999" x14ac:dyDescent="0.25">
      <c r="A1315" s="16"/>
      <c r="B1315" s="17"/>
      <c r="C1315" s="2"/>
      <c r="D1315" s="2"/>
      <c r="E1315" s="2"/>
      <c r="F1315" s="2"/>
      <c r="G1315" s="2"/>
      <c r="H1315" s="2"/>
      <c r="I1315" s="5"/>
    </row>
    <row r="1316" spans="1:9" ht="17.399999999999999" x14ac:dyDescent="0.25">
      <c r="A1316" s="16"/>
      <c r="B1316" s="17"/>
      <c r="C1316" s="2"/>
      <c r="D1316" s="2"/>
      <c r="E1316" s="2"/>
      <c r="F1316" s="2"/>
      <c r="G1316" s="2"/>
      <c r="H1316" s="2"/>
      <c r="I1316" s="5"/>
    </row>
    <row r="1317" spans="1:9" ht="17.399999999999999" x14ac:dyDescent="0.25">
      <c r="A1317" s="16"/>
      <c r="B1317" s="17"/>
      <c r="C1317" s="2"/>
      <c r="D1317" s="2"/>
      <c r="E1317" s="2"/>
      <c r="F1317" s="2"/>
      <c r="G1317" s="2"/>
      <c r="H1317" s="2"/>
      <c r="I1317" s="5"/>
    </row>
    <row r="1318" spans="1:9" ht="17.399999999999999" x14ac:dyDescent="0.25">
      <c r="A1318" s="16"/>
      <c r="B1318" s="17"/>
      <c r="C1318" s="2"/>
      <c r="D1318" s="2"/>
      <c r="E1318" s="2"/>
      <c r="F1318" s="2"/>
      <c r="G1318" s="2"/>
      <c r="H1318" s="2"/>
      <c r="I1318" s="5"/>
    </row>
    <row r="1319" spans="1:9" ht="17.399999999999999" x14ac:dyDescent="0.25">
      <c r="A1319" s="16"/>
      <c r="B1319" s="17"/>
      <c r="C1319" s="2"/>
      <c r="D1319" s="2"/>
      <c r="E1319" s="2"/>
      <c r="F1319" s="2"/>
      <c r="G1319" s="2"/>
      <c r="H1319" s="2"/>
      <c r="I1319" s="5"/>
    </row>
    <row r="1320" spans="1:9" ht="17.399999999999999" x14ac:dyDescent="0.25">
      <c r="A1320" s="16"/>
      <c r="B1320" s="17"/>
      <c r="C1320" s="2"/>
      <c r="D1320" s="2"/>
      <c r="E1320" s="2"/>
      <c r="F1320" s="2"/>
      <c r="G1320" s="2"/>
      <c r="H1320" s="2"/>
      <c r="I1320" s="5"/>
    </row>
    <row r="1321" spans="1:9" ht="17.399999999999999" x14ac:dyDescent="0.25">
      <c r="A1321" s="16"/>
      <c r="B1321" s="17"/>
      <c r="C1321" s="2"/>
      <c r="D1321" s="2"/>
      <c r="E1321" s="2"/>
      <c r="F1321" s="2"/>
      <c r="G1321" s="2"/>
      <c r="H1321" s="2"/>
      <c r="I1321" s="5"/>
    </row>
    <row r="1322" spans="1:9" ht="17.399999999999999" x14ac:dyDescent="0.25">
      <c r="A1322" s="16"/>
      <c r="B1322" s="17"/>
      <c r="C1322" s="2"/>
      <c r="D1322" s="2"/>
      <c r="E1322" s="2"/>
      <c r="F1322" s="2"/>
      <c r="G1322" s="2"/>
      <c r="H1322" s="2"/>
      <c r="I1322" s="5"/>
    </row>
    <row r="1323" spans="1:9" ht="17.399999999999999" x14ac:dyDescent="0.25">
      <c r="A1323" s="16"/>
      <c r="B1323" s="17"/>
      <c r="C1323" s="2"/>
      <c r="D1323" s="2"/>
      <c r="E1323" s="2"/>
      <c r="F1323" s="2"/>
      <c r="G1323" s="2"/>
      <c r="H1323" s="2"/>
      <c r="I1323" s="5"/>
    </row>
    <row r="1324" spans="1:9" ht="17.399999999999999" x14ac:dyDescent="0.25">
      <c r="A1324" s="16"/>
      <c r="B1324" s="17"/>
      <c r="C1324" s="2"/>
      <c r="D1324" s="2"/>
      <c r="E1324" s="2"/>
      <c r="F1324" s="2"/>
      <c r="G1324" s="2"/>
      <c r="H1324" s="2"/>
      <c r="I1324" s="5"/>
    </row>
    <row r="1325" spans="1:9" ht="17.399999999999999" x14ac:dyDescent="0.25">
      <c r="A1325" s="16"/>
      <c r="B1325" s="17"/>
      <c r="C1325" s="2"/>
      <c r="D1325" s="2"/>
      <c r="E1325" s="2"/>
      <c r="F1325" s="2"/>
      <c r="G1325" s="2"/>
      <c r="H1325" s="2"/>
      <c r="I1325" s="5"/>
    </row>
    <row r="1326" spans="1:9" ht="17.399999999999999" x14ac:dyDescent="0.25">
      <c r="A1326" s="16"/>
      <c r="B1326" s="17"/>
      <c r="C1326" s="2"/>
      <c r="D1326" s="2"/>
      <c r="E1326" s="2"/>
      <c r="F1326" s="2"/>
      <c r="G1326" s="2"/>
      <c r="H1326" s="2"/>
      <c r="I1326" s="5"/>
    </row>
    <row r="1327" spans="1:9" ht="17.399999999999999" x14ac:dyDescent="0.25">
      <c r="A1327" s="16"/>
      <c r="B1327" s="17"/>
      <c r="C1327" s="2"/>
      <c r="D1327" s="2"/>
      <c r="E1327" s="2"/>
      <c r="F1327" s="2"/>
      <c r="G1327" s="2"/>
      <c r="H1327" s="2"/>
      <c r="I1327" s="5"/>
    </row>
    <row r="1328" spans="1:9" ht="17.399999999999999" x14ac:dyDescent="0.25">
      <c r="A1328" s="16"/>
      <c r="B1328" s="17"/>
      <c r="C1328" s="2"/>
      <c r="D1328" s="2"/>
      <c r="E1328" s="2"/>
      <c r="F1328" s="2"/>
      <c r="G1328" s="2"/>
      <c r="H1328" s="2"/>
      <c r="I1328" s="5"/>
    </row>
    <row r="1329" spans="1:9" ht="17.399999999999999" x14ac:dyDescent="0.25">
      <c r="A1329" s="16"/>
      <c r="B1329" s="17"/>
      <c r="C1329" s="2"/>
      <c r="D1329" s="2"/>
      <c r="E1329" s="2"/>
      <c r="F1329" s="2"/>
      <c r="G1329" s="2"/>
      <c r="H1329" s="2"/>
      <c r="I1329" s="5"/>
    </row>
    <row r="1330" spans="1:9" ht="17.399999999999999" x14ac:dyDescent="0.25">
      <c r="A1330" s="16"/>
      <c r="B1330" s="17"/>
      <c r="C1330" s="2"/>
      <c r="D1330" s="2"/>
      <c r="E1330" s="2"/>
      <c r="F1330" s="2"/>
      <c r="G1330" s="2"/>
      <c r="H1330" s="2"/>
      <c r="I1330" s="5"/>
    </row>
    <row r="1331" spans="1:9" ht="17.399999999999999" x14ac:dyDescent="0.25">
      <c r="A1331" s="16"/>
      <c r="B1331" s="17"/>
      <c r="C1331" s="2"/>
      <c r="D1331" s="2"/>
      <c r="E1331" s="2"/>
      <c r="F1331" s="2"/>
      <c r="G1331" s="2"/>
      <c r="H1331" s="2"/>
      <c r="I1331" s="5"/>
    </row>
    <row r="1332" spans="1:9" ht="17.399999999999999" x14ac:dyDescent="0.25">
      <c r="A1332" s="16"/>
      <c r="B1332" s="17"/>
      <c r="C1332" s="2"/>
      <c r="D1332" s="2"/>
      <c r="E1332" s="2"/>
      <c r="F1332" s="2"/>
      <c r="G1332" s="2"/>
      <c r="H1332" s="2"/>
      <c r="I1332" s="5"/>
    </row>
    <row r="1333" spans="1:9" ht="17.399999999999999" x14ac:dyDescent="0.25">
      <c r="A1333" s="16"/>
      <c r="B1333" s="17"/>
      <c r="C1333" s="2"/>
      <c r="D1333" s="2"/>
      <c r="E1333" s="2"/>
      <c r="F1333" s="2"/>
      <c r="G1333" s="2"/>
      <c r="H1333" s="2"/>
      <c r="I1333" s="5"/>
    </row>
    <row r="1334" spans="1:9" ht="17.399999999999999" x14ac:dyDescent="0.25">
      <c r="A1334" s="16"/>
      <c r="B1334" s="17"/>
      <c r="C1334" s="2"/>
      <c r="D1334" s="2"/>
      <c r="E1334" s="2"/>
      <c r="F1334" s="2"/>
      <c r="G1334" s="2"/>
      <c r="H1334" s="2"/>
      <c r="I1334" s="5"/>
    </row>
    <row r="1335" spans="1:9" ht="17.399999999999999" x14ac:dyDescent="0.25">
      <c r="A1335" s="16"/>
      <c r="B1335" s="17"/>
      <c r="C1335" s="2"/>
      <c r="D1335" s="2"/>
      <c r="E1335" s="2"/>
      <c r="F1335" s="2"/>
      <c r="G1335" s="2"/>
      <c r="H1335" s="2"/>
      <c r="I1335" s="5"/>
    </row>
    <row r="1336" spans="1:9" ht="17.399999999999999" x14ac:dyDescent="0.25">
      <c r="A1336" s="16"/>
      <c r="B1336" s="17"/>
      <c r="C1336" s="2"/>
      <c r="D1336" s="2"/>
      <c r="E1336" s="2"/>
      <c r="F1336" s="2"/>
      <c r="G1336" s="2"/>
      <c r="H1336" s="2"/>
      <c r="I1336" s="5"/>
    </row>
    <row r="1337" spans="1:9" ht="17.399999999999999" x14ac:dyDescent="0.25">
      <c r="A1337" s="16"/>
      <c r="B1337" s="17"/>
      <c r="C1337" s="2"/>
      <c r="D1337" s="2"/>
      <c r="E1337" s="2"/>
      <c r="F1337" s="2"/>
      <c r="G1337" s="2"/>
      <c r="H1337" s="2"/>
      <c r="I1337" s="5"/>
    </row>
    <row r="1338" spans="1:9" ht="17.399999999999999" x14ac:dyDescent="0.25">
      <c r="A1338" s="16"/>
      <c r="B1338" s="17"/>
      <c r="C1338" s="2"/>
      <c r="D1338" s="2"/>
      <c r="E1338" s="2"/>
      <c r="F1338" s="2"/>
      <c r="G1338" s="2"/>
      <c r="H1338" s="2"/>
      <c r="I1338" s="5"/>
    </row>
    <row r="1339" spans="1:9" ht="17.399999999999999" x14ac:dyDescent="0.25">
      <c r="A1339" s="16"/>
      <c r="B1339" s="17"/>
      <c r="C1339" s="2"/>
      <c r="D1339" s="2"/>
      <c r="E1339" s="2"/>
      <c r="F1339" s="2"/>
      <c r="G1339" s="2"/>
      <c r="H1339" s="2"/>
      <c r="I1339" s="5"/>
    </row>
    <row r="1340" spans="1:9" ht="17.399999999999999" x14ac:dyDescent="0.25">
      <c r="A1340" s="16"/>
      <c r="B1340" s="17"/>
      <c r="C1340" s="2"/>
      <c r="D1340" s="2"/>
      <c r="E1340" s="2"/>
      <c r="F1340" s="2"/>
      <c r="G1340" s="2"/>
      <c r="H1340" s="2"/>
      <c r="I1340" s="5"/>
    </row>
    <row r="1341" spans="1:9" ht="17.399999999999999" x14ac:dyDescent="0.25">
      <c r="A1341" s="16"/>
      <c r="B1341" s="17"/>
      <c r="C1341" s="2"/>
      <c r="D1341" s="2"/>
      <c r="E1341" s="2"/>
      <c r="F1341" s="2"/>
      <c r="G1341" s="2"/>
      <c r="H1341" s="2"/>
      <c r="I1341" s="5"/>
    </row>
    <row r="1342" spans="1:9" ht="17.399999999999999" x14ac:dyDescent="0.25">
      <c r="A1342" s="16"/>
      <c r="B1342" s="17"/>
      <c r="C1342" s="2"/>
      <c r="D1342" s="2"/>
      <c r="E1342" s="2"/>
      <c r="F1342" s="2"/>
      <c r="G1342" s="2"/>
      <c r="H1342" s="2"/>
      <c r="I1342" s="5"/>
    </row>
    <row r="1343" spans="1:9" ht="17.399999999999999" x14ac:dyDescent="0.25">
      <c r="A1343" s="16"/>
      <c r="B1343" s="17"/>
      <c r="C1343" s="2"/>
      <c r="D1343" s="2"/>
      <c r="E1343" s="2"/>
      <c r="F1343" s="2"/>
      <c r="G1343" s="2"/>
      <c r="H1343" s="2"/>
      <c r="I1343" s="5"/>
    </row>
    <row r="1344" spans="1:9" ht="17.399999999999999" x14ac:dyDescent="0.25">
      <c r="A1344" s="16"/>
      <c r="B1344" s="17"/>
      <c r="C1344" s="2"/>
      <c r="D1344" s="2"/>
      <c r="E1344" s="2"/>
      <c r="F1344" s="2"/>
      <c r="G1344" s="2"/>
      <c r="H1344" s="2"/>
      <c r="I1344" s="5"/>
    </row>
    <row r="1345" spans="1:9" ht="17.399999999999999" x14ac:dyDescent="0.25">
      <c r="A1345" s="16"/>
      <c r="B1345" s="17"/>
      <c r="C1345" s="2"/>
      <c r="D1345" s="2"/>
      <c r="E1345" s="2"/>
      <c r="F1345" s="2"/>
      <c r="G1345" s="2"/>
      <c r="H1345" s="2"/>
      <c r="I1345" s="5"/>
    </row>
    <row r="1346" spans="1:9" ht="17.399999999999999" x14ac:dyDescent="0.25">
      <c r="A1346" s="16"/>
      <c r="B1346" s="17"/>
      <c r="C1346" s="2"/>
      <c r="D1346" s="2"/>
      <c r="E1346" s="2"/>
      <c r="F1346" s="2"/>
      <c r="G1346" s="2"/>
      <c r="H1346" s="2"/>
      <c r="I1346" s="5"/>
    </row>
    <row r="1347" spans="1:9" ht="17.399999999999999" x14ac:dyDescent="0.25">
      <c r="A1347" s="16"/>
      <c r="B1347" s="17"/>
      <c r="C1347" s="2"/>
      <c r="D1347" s="2"/>
      <c r="E1347" s="2"/>
      <c r="F1347" s="2"/>
      <c r="G1347" s="2"/>
      <c r="H1347" s="2"/>
      <c r="I1347" s="5"/>
    </row>
    <row r="1348" spans="1:9" ht="17.399999999999999" x14ac:dyDescent="0.25">
      <c r="A1348" s="16"/>
      <c r="B1348" s="17"/>
      <c r="C1348" s="2"/>
      <c r="D1348" s="2"/>
      <c r="E1348" s="2"/>
      <c r="F1348" s="2"/>
      <c r="G1348" s="2"/>
      <c r="H1348" s="2"/>
      <c r="I1348" s="5"/>
    </row>
    <row r="1349" spans="1:9" ht="17.399999999999999" x14ac:dyDescent="0.25">
      <c r="A1349" s="16"/>
      <c r="B1349" s="17"/>
      <c r="C1349" s="2"/>
      <c r="D1349" s="2"/>
      <c r="E1349" s="2"/>
      <c r="F1349" s="2"/>
      <c r="G1349" s="2"/>
      <c r="H1349" s="2"/>
      <c r="I1349" s="5"/>
    </row>
    <row r="1350" spans="1:9" ht="17.399999999999999" x14ac:dyDescent="0.25">
      <c r="A1350" s="16"/>
      <c r="B1350" s="17"/>
      <c r="C1350" s="2"/>
      <c r="D1350" s="2"/>
      <c r="E1350" s="2"/>
      <c r="F1350" s="2"/>
      <c r="G1350" s="2"/>
      <c r="H1350" s="2"/>
      <c r="I1350" s="5"/>
    </row>
    <row r="1351" spans="1:9" ht="17.399999999999999" x14ac:dyDescent="0.25">
      <c r="A1351" s="16"/>
      <c r="B1351" s="17"/>
      <c r="C1351" s="2"/>
      <c r="D1351" s="2"/>
      <c r="E1351" s="2"/>
      <c r="F1351" s="2"/>
      <c r="G1351" s="2"/>
      <c r="H1351" s="2"/>
      <c r="I1351" s="5"/>
    </row>
    <row r="1352" spans="1:9" ht="17.399999999999999" x14ac:dyDescent="0.25">
      <c r="A1352" s="16"/>
      <c r="B1352" s="17"/>
      <c r="C1352" s="2"/>
      <c r="D1352" s="2"/>
      <c r="E1352" s="2"/>
      <c r="F1352" s="2"/>
      <c r="G1352" s="2"/>
      <c r="H1352" s="2"/>
      <c r="I1352" s="5"/>
    </row>
    <row r="1353" spans="1:9" ht="17.399999999999999" x14ac:dyDescent="0.25">
      <c r="A1353" s="16"/>
      <c r="B1353" s="17"/>
      <c r="C1353" s="2"/>
      <c r="D1353" s="2"/>
      <c r="E1353" s="2"/>
      <c r="F1353" s="2"/>
      <c r="G1353" s="2"/>
      <c r="H1353" s="2"/>
      <c r="I1353" s="5"/>
    </row>
    <row r="1354" spans="1:9" ht="17.399999999999999" x14ac:dyDescent="0.25">
      <c r="A1354" s="16"/>
      <c r="B1354" s="17"/>
      <c r="C1354" s="2"/>
      <c r="D1354" s="2"/>
      <c r="E1354" s="2"/>
      <c r="F1354" s="2"/>
      <c r="G1354" s="2"/>
      <c r="H1354" s="2"/>
      <c r="I1354" s="5"/>
    </row>
    <row r="1355" spans="1:9" ht="17.399999999999999" x14ac:dyDescent="0.25">
      <c r="A1355" s="16"/>
      <c r="B1355" s="17"/>
      <c r="C1355" s="2"/>
      <c r="D1355" s="2"/>
      <c r="E1355" s="2"/>
      <c r="F1355" s="2"/>
      <c r="G1355" s="2"/>
      <c r="H1355" s="2"/>
      <c r="I1355" s="5"/>
    </row>
    <row r="1356" spans="1:9" ht="17.399999999999999" x14ac:dyDescent="0.25">
      <c r="A1356" s="16"/>
      <c r="B1356" s="17"/>
      <c r="C1356" s="2"/>
      <c r="D1356" s="2"/>
      <c r="E1356" s="2"/>
      <c r="F1356" s="2"/>
      <c r="G1356" s="2"/>
      <c r="H1356" s="2"/>
      <c r="I1356" s="5"/>
    </row>
    <row r="1357" spans="1:9" ht="17.399999999999999" x14ac:dyDescent="0.25">
      <c r="A1357" s="16"/>
      <c r="B1357" s="17"/>
      <c r="C1357" s="2"/>
      <c r="D1357" s="2"/>
      <c r="E1357" s="2"/>
      <c r="F1357" s="2"/>
      <c r="G1357" s="2"/>
      <c r="H1357" s="2"/>
      <c r="I1357" s="5"/>
    </row>
    <row r="1358" spans="1:9" ht="17.399999999999999" x14ac:dyDescent="0.25">
      <c r="A1358" s="16"/>
      <c r="B1358" s="17"/>
      <c r="C1358" s="2"/>
      <c r="D1358" s="2"/>
      <c r="E1358" s="2"/>
      <c r="F1358" s="2"/>
      <c r="G1358" s="2"/>
      <c r="H1358" s="2"/>
      <c r="I1358" s="5"/>
    </row>
    <row r="1359" spans="1:9" ht="17.399999999999999" x14ac:dyDescent="0.25">
      <c r="A1359" s="16"/>
      <c r="B1359" s="17"/>
      <c r="C1359" s="2"/>
      <c r="D1359" s="2"/>
      <c r="E1359" s="2"/>
      <c r="F1359" s="2"/>
      <c r="G1359" s="2"/>
      <c r="H1359" s="2"/>
      <c r="I1359" s="5"/>
    </row>
    <row r="1360" spans="1:9" ht="17.399999999999999" x14ac:dyDescent="0.25">
      <c r="A1360" s="16"/>
      <c r="B1360" s="17"/>
      <c r="C1360" s="2"/>
      <c r="D1360" s="2"/>
      <c r="E1360" s="2"/>
      <c r="F1360" s="2"/>
      <c r="G1360" s="2"/>
      <c r="H1360" s="2"/>
      <c r="I1360" s="5"/>
    </row>
    <row r="1361" spans="1:9" ht="17.399999999999999" x14ac:dyDescent="0.25">
      <c r="A1361" s="16"/>
      <c r="B1361" s="17"/>
      <c r="C1361" s="2"/>
      <c r="D1361" s="2"/>
      <c r="E1361" s="2"/>
      <c r="F1361" s="2"/>
      <c r="G1361" s="2"/>
      <c r="H1361" s="2"/>
      <c r="I1361" s="5"/>
    </row>
    <row r="1362" spans="1:9" ht="17.399999999999999" x14ac:dyDescent="0.25">
      <c r="A1362" s="16"/>
      <c r="B1362" s="17"/>
      <c r="C1362" s="2"/>
      <c r="D1362" s="2"/>
      <c r="E1362" s="2"/>
      <c r="F1362" s="2"/>
      <c r="G1362" s="2"/>
      <c r="H1362" s="2"/>
      <c r="I1362" s="5"/>
    </row>
    <row r="1363" spans="1:9" ht="17.399999999999999" x14ac:dyDescent="0.25">
      <c r="A1363" s="16"/>
      <c r="B1363" s="17"/>
      <c r="C1363" s="2"/>
      <c r="D1363" s="2"/>
      <c r="E1363" s="2"/>
      <c r="F1363" s="2"/>
      <c r="G1363" s="2"/>
      <c r="H1363" s="2"/>
      <c r="I1363" s="5"/>
    </row>
    <row r="1364" spans="1:9" ht="17.399999999999999" x14ac:dyDescent="0.25">
      <c r="A1364" s="16"/>
      <c r="B1364" s="17"/>
      <c r="C1364" s="2"/>
      <c r="D1364" s="2"/>
      <c r="E1364" s="2"/>
      <c r="F1364" s="2"/>
      <c r="G1364" s="2"/>
      <c r="H1364" s="2"/>
      <c r="I1364" s="5"/>
    </row>
    <row r="1365" spans="1:9" ht="17.399999999999999" x14ac:dyDescent="0.25">
      <c r="A1365" s="16"/>
      <c r="B1365" s="17"/>
      <c r="C1365" s="2"/>
      <c r="D1365" s="2"/>
      <c r="E1365" s="2"/>
      <c r="F1365" s="2"/>
      <c r="G1365" s="2"/>
      <c r="H1365" s="2"/>
      <c r="I1365" s="5"/>
    </row>
    <row r="1366" spans="1:9" ht="17.399999999999999" x14ac:dyDescent="0.25">
      <c r="A1366" s="16"/>
      <c r="B1366" s="17"/>
      <c r="C1366" s="2"/>
      <c r="D1366" s="2"/>
      <c r="E1366" s="2"/>
      <c r="F1366" s="2"/>
      <c r="G1366" s="2"/>
      <c r="H1366" s="2"/>
      <c r="I1366" s="5"/>
    </row>
    <row r="1367" spans="1:9" ht="17.399999999999999" x14ac:dyDescent="0.25">
      <c r="A1367" s="16"/>
      <c r="B1367" s="17"/>
      <c r="C1367" s="2"/>
      <c r="D1367" s="2"/>
      <c r="E1367" s="2"/>
      <c r="F1367" s="2"/>
      <c r="G1367" s="2"/>
      <c r="H1367" s="2"/>
      <c r="I1367" s="5"/>
    </row>
    <row r="1368" spans="1:9" ht="17.399999999999999" x14ac:dyDescent="0.25">
      <c r="A1368" s="16"/>
      <c r="B1368" s="17"/>
      <c r="C1368" s="2"/>
      <c r="D1368" s="2"/>
      <c r="E1368" s="2"/>
      <c r="F1368" s="2"/>
      <c r="G1368" s="2"/>
      <c r="H1368" s="2"/>
      <c r="I1368" s="5"/>
    </row>
    <row r="1369" spans="1:9" ht="17.399999999999999" x14ac:dyDescent="0.25">
      <c r="A1369" s="16"/>
      <c r="B1369" s="17"/>
      <c r="C1369" s="2"/>
      <c r="D1369" s="2"/>
      <c r="E1369" s="2"/>
      <c r="F1369" s="2"/>
      <c r="G1369" s="2"/>
      <c r="H1369" s="2"/>
      <c r="I1369" s="5"/>
    </row>
    <row r="1370" spans="1:9" ht="17.399999999999999" x14ac:dyDescent="0.25">
      <c r="A1370" s="16"/>
      <c r="B1370" s="17"/>
      <c r="C1370" s="2"/>
      <c r="D1370" s="2"/>
      <c r="E1370" s="2"/>
      <c r="F1370" s="2"/>
      <c r="G1370" s="2"/>
      <c r="H1370" s="2"/>
      <c r="I1370" s="5"/>
    </row>
    <row r="1371" spans="1:9" ht="17.399999999999999" x14ac:dyDescent="0.25">
      <c r="A1371" s="16"/>
      <c r="B1371" s="17"/>
      <c r="C1371" s="2"/>
      <c r="D1371" s="2"/>
      <c r="E1371" s="2"/>
      <c r="F1371" s="2"/>
      <c r="G1371" s="2"/>
      <c r="H1371" s="2"/>
      <c r="I1371" s="5"/>
    </row>
    <row r="1372" spans="1:9" ht="17.399999999999999" x14ac:dyDescent="0.25">
      <c r="A1372" s="16"/>
      <c r="B1372" s="17"/>
      <c r="C1372" s="2"/>
      <c r="D1372" s="2"/>
      <c r="E1372" s="2"/>
      <c r="F1372" s="2"/>
      <c r="G1372" s="2"/>
      <c r="H1372" s="2"/>
      <c r="I1372" s="5"/>
    </row>
    <row r="1373" spans="1:9" ht="17.399999999999999" x14ac:dyDescent="0.25">
      <c r="A1373" s="16"/>
      <c r="B1373" s="17"/>
      <c r="C1373" s="2"/>
      <c r="D1373" s="2"/>
      <c r="E1373" s="2"/>
      <c r="F1373" s="2"/>
      <c r="G1373" s="2"/>
      <c r="H1373" s="2"/>
      <c r="I1373" s="5"/>
    </row>
    <row r="1374" spans="1:9" ht="17.399999999999999" x14ac:dyDescent="0.25">
      <c r="A1374" s="16"/>
      <c r="B1374" s="17"/>
      <c r="C1374" s="2"/>
      <c r="D1374" s="2"/>
      <c r="E1374" s="2"/>
      <c r="F1374" s="2"/>
      <c r="G1374" s="2"/>
      <c r="H1374" s="2"/>
      <c r="I1374" s="5"/>
    </row>
    <row r="1375" spans="1:9" ht="17.399999999999999" x14ac:dyDescent="0.25">
      <c r="A1375" s="16"/>
      <c r="B1375" s="17"/>
      <c r="C1375" s="2"/>
      <c r="D1375" s="2"/>
      <c r="E1375" s="2"/>
      <c r="F1375" s="2"/>
      <c r="G1375" s="2"/>
      <c r="H1375" s="2"/>
      <c r="I1375" s="5"/>
    </row>
    <row r="1376" spans="1:9" ht="17.399999999999999" x14ac:dyDescent="0.25">
      <c r="A1376" s="16"/>
      <c r="B1376" s="17"/>
      <c r="C1376" s="2"/>
      <c r="D1376" s="2"/>
      <c r="E1376" s="2"/>
      <c r="F1376" s="2"/>
      <c r="G1376" s="2"/>
      <c r="H1376" s="2"/>
      <c r="I1376" s="5"/>
    </row>
    <row r="1377" spans="1:9" ht="17.399999999999999" x14ac:dyDescent="0.25">
      <c r="A1377" s="16"/>
      <c r="B1377" s="17"/>
      <c r="C1377" s="2"/>
      <c r="D1377" s="2"/>
      <c r="E1377" s="2"/>
      <c r="F1377" s="2"/>
      <c r="G1377" s="2"/>
      <c r="H1377" s="2"/>
      <c r="I1377" s="5"/>
    </row>
    <row r="1378" spans="1:9" ht="17.399999999999999" x14ac:dyDescent="0.25">
      <c r="A1378" s="16"/>
      <c r="B1378" s="17"/>
      <c r="C1378" s="2"/>
      <c r="D1378" s="2"/>
      <c r="E1378" s="2"/>
      <c r="F1378" s="2"/>
      <c r="G1378" s="2"/>
      <c r="H1378" s="2"/>
      <c r="I1378" s="5"/>
    </row>
    <row r="1379" spans="1:9" ht="17.399999999999999" x14ac:dyDescent="0.25">
      <c r="A1379" s="16"/>
      <c r="B1379" s="17"/>
      <c r="C1379" s="2"/>
      <c r="D1379" s="2"/>
      <c r="E1379" s="2"/>
      <c r="F1379" s="2"/>
      <c r="G1379" s="2"/>
      <c r="H1379" s="2"/>
      <c r="I1379" s="5"/>
    </row>
    <row r="1380" spans="1:9" ht="17.399999999999999" x14ac:dyDescent="0.25">
      <c r="A1380" s="16"/>
      <c r="B1380" s="17"/>
      <c r="C1380" s="2"/>
      <c r="D1380" s="2"/>
      <c r="E1380" s="2"/>
      <c r="F1380" s="2"/>
      <c r="G1380" s="2"/>
      <c r="H1380" s="2"/>
      <c r="I1380" s="5"/>
    </row>
    <row r="1381" spans="1:9" ht="17.399999999999999" x14ac:dyDescent="0.25">
      <c r="A1381" s="16"/>
      <c r="B1381" s="17"/>
      <c r="C1381" s="2"/>
      <c r="D1381" s="2"/>
      <c r="E1381" s="2"/>
      <c r="F1381" s="2"/>
      <c r="G1381" s="2"/>
      <c r="H1381" s="2"/>
      <c r="I1381" s="5"/>
    </row>
    <row r="1382" spans="1:9" ht="17.399999999999999" x14ac:dyDescent="0.25">
      <c r="A1382" s="16"/>
      <c r="B1382" s="17"/>
      <c r="C1382" s="2"/>
      <c r="D1382" s="2"/>
      <c r="E1382" s="2"/>
      <c r="F1382" s="2"/>
      <c r="G1382" s="2"/>
      <c r="H1382" s="2"/>
      <c r="I1382" s="5"/>
    </row>
    <row r="1383" spans="1:9" ht="17.399999999999999" x14ac:dyDescent="0.25">
      <c r="A1383" s="16"/>
      <c r="B1383" s="17"/>
      <c r="C1383" s="2"/>
      <c r="D1383" s="2"/>
      <c r="E1383" s="2"/>
      <c r="F1383" s="2"/>
      <c r="G1383" s="2"/>
      <c r="H1383" s="2"/>
      <c r="I1383" s="5"/>
    </row>
    <row r="1384" spans="1:9" ht="17.399999999999999" x14ac:dyDescent="0.25">
      <c r="A1384" s="16"/>
      <c r="B1384" s="17"/>
      <c r="C1384" s="2"/>
      <c r="D1384" s="2"/>
      <c r="E1384" s="2"/>
      <c r="F1384" s="2"/>
      <c r="G1384" s="2"/>
      <c r="H1384" s="2"/>
      <c r="I1384" s="5"/>
    </row>
    <row r="1385" spans="1:9" ht="17.399999999999999" x14ac:dyDescent="0.25">
      <c r="A1385" s="16"/>
      <c r="B1385" s="17"/>
      <c r="C1385" s="2"/>
      <c r="D1385" s="2"/>
      <c r="E1385" s="2"/>
      <c r="F1385" s="2"/>
      <c r="G1385" s="2"/>
      <c r="H1385" s="2"/>
      <c r="I1385" s="5"/>
    </row>
    <row r="1386" spans="1:9" ht="17.399999999999999" x14ac:dyDescent="0.25">
      <c r="A1386" s="16"/>
      <c r="B1386" s="17"/>
      <c r="C1386" s="2"/>
      <c r="D1386" s="2"/>
      <c r="E1386" s="2"/>
      <c r="F1386" s="2"/>
      <c r="G1386" s="2"/>
      <c r="H1386" s="2"/>
      <c r="I1386" s="5"/>
    </row>
    <row r="1387" spans="1:9" ht="17.399999999999999" x14ac:dyDescent="0.25">
      <c r="A1387" s="16"/>
      <c r="B1387" s="17"/>
      <c r="C1387" s="2"/>
      <c r="D1387" s="2"/>
      <c r="E1387" s="2"/>
      <c r="F1387" s="2"/>
      <c r="G1387" s="2"/>
      <c r="H1387" s="2"/>
      <c r="I1387" s="5"/>
    </row>
    <row r="1388" spans="1:9" ht="17.399999999999999" x14ac:dyDescent="0.25">
      <c r="A1388" s="16"/>
      <c r="B1388" s="17"/>
      <c r="C1388" s="2"/>
      <c r="D1388" s="2"/>
      <c r="E1388" s="2"/>
      <c r="F1388" s="2"/>
      <c r="G1388" s="2"/>
      <c r="H1388" s="2"/>
      <c r="I1388" s="5"/>
    </row>
    <row r="1389" spans="1:9" ht="17.399999999999999" x14ac:dyDescent="0.25">
      <c r="A1389" s="16"/>
      <c r="B1389" s="17"/>
      <c r="C1389" s="2"/>
      <c r="D1389" s="2"/>
      <c r="E1389" s="2"/>
      <c r="F1389" s="2"/>
      <c r="G1389" s="2"/>
      <c r="H1389" s="2"/>
      <c r="I1389" s="5"/>
    </row>
    <row r="1390" spans="1:9" ht="17.399999999999999" x14ac:dyDescent="0.25">
      <c r="A1390" s="16"/>
      <c r="B1390" s="17"/>
      <c r="C1390" s="2"/>
      <c r="D1390" s="2"/>
      <c r="E1390" s="2"/>
      <c r="F1390" s="2"/>
      <c r="G1390" s="2"/>
      <c r="H1390" s="2"/>
      <c r="I1390" s="5"/>
    </row>
    <row r="1391" spans="1:9" ht="17.399999999999999" x14ac:dyDescent="0.25">
      <c r="A1391" s="16"/>
      <c r="B1391" s="17"/>
      <c r="C1391" s="2"/>
      <c r="D1391" s="2"/>
      <c r="E1391" s="2"/>
      <c r="F1391" s="2"/>
      <c r="G1391" s="2"/>
      <c r="H1391" s="2"/>
      <c r="I1391" s="5"/>
    </row>
    <row r="1392" spans="1:9" ht="17.399999999999999" x14ac:dyDescent="0.25">
      <c r="A1392" s="16"/>
      <c r="B1392" s="17"/>
      <c r="C1392" s="2"/>
      <c r="D1392" s="2"/>
      <c r="E1392" s="2"/>
      <c r="F1392" s="2"/>
      <c r="G1392" s="2"/>
      <c r="H1392" s="2"/>
      <c r="I1392" s="5"/>
    </row>
    <row r="1393" spans="1:9" ht="17.399999999999999" x14ac:dyDescent="0.25">
      <c r="A1393" s="16"/>
      <c r="B1393" s="17"/>
      <c r="C1393" s="2"/>
      <c r="D1393" s="2"/>
      <c r="E1393" s="2"/>
      <c r="F1393" s="2"/>
      <c r="G1393" s="2"/>
      <c r="H1393" s="2"/>
      <c r="I1393" s="5"/>
    </row>
    <row r="1394" spans="1:9" ht="17.399999999999999" x14ac:dyDescent="0.25">
      <c r="A1394" s="16"/>
      <c r="B1394" s="17"/>
      <c r="C1394" s="2"/>
      <c r="D1394" s="2"/>
      <c r="E1394" s="2"/>
      <c r="F1394" s="2"/>
      <c r="G1394" s="2"/>
      <c r="H1394" s="2"/>
      <c r="I1394" s="5"/>
    </row>
    <row r="1395" spans="1:9" ht="17.399999999999999" x14ac:dyDescent="0.25">
      <c r="A1395" s="16"/>
      <c r="B1395" s="17"/>
      <c r="C1395" s="2"/>
      <c r="D1395" s="2"/>
      <c r="E1395" s="2"/>
      <c r="F1395" s="2"/>
      <c r="G1395" s="2"/>
      <c r="H1395" s="2"/>
      <c r="I1395" s="5"/>
    </row>
    <row r="1396" spans="1:9" ht="17.399999999999999" x14ac:dyDescent="0.25">
      <c r="A1396" s="16"/>
      <c r="B1396" s="17"/>
      <c r="C1396" s="2"/>
      <c r="D1396" s="2"/>
      <c r="E1396" s="2"/>
      <c r="F1396" s="2"/>
      <c r="G1396" s="2"/>
      <c r="H1396" s="2"/>
      <c r="I1396" s="5"/>
    </row>
    <row r="1397" spans="1:9" ht="17.399999999999999" x14ac:dyDescent="0.25">
      <c r="A1397" s="16"/>
      <c r="B1397" s="17"/>
      <c r="C1397" s="2"/>
      <c r="D1397" s="2"/>
      <c r="E1397" s="2"/>
      <c r="F1397" s="2"/>
      <c r="G1397" s="2"/>
      <c r="H1397" s="2"/>
      <c r="I1397" s="5"/>
    </row>
    <row r="1398" spans="1:9" ht="17.399999999999999" x14ac:dyDescent="0.25">
      <c r="A1398" s="16"/>
      <c r="B1398" s="17"/>
      <c r="C1398" s="2"/>
      <c r="D1398" s="2"/>
      <c r="E1398" s="2"/>
      <c r="F1398" s="2"/>
      <c r="G1398" s="2"/>
      <c r="H1398" s="2"/>
      <c r="I1398" s="5"/>
    </row>
    <row r="1399" spans="1:9" ht="17.399999999999999" x14ac:dyDescent="0.25">
      <c r="A1399" s="16"/>
      <c r="B1399" s="17"/>
      <c r="C1399" s="2"/>
      <c r="D1399" s="2"/>
      <c r="E1399" s="2"/>
      <c r="F1399" s="2"/>
      <c r="G1399" s="2"/>
      <c r="H1399" s="2"/>
      <c r="I1399" s="5"/>
    </row>
    <row r="1400" spans="1:9" ht="17.399999999999999" x14ac:dyDescent="0.25">
      <c r="A1400" s="16"/>
      <c r="B1400" s="17"/>
      <c r="C1400" s="2"/>
      <c r="D1400" s="2"/>
      <c r="E1400" s="2"/>
      <c r="F1400" s="2"/>
      <c r="G1400" s="2"/>
      <c r="H1400" s="2"/>
      <c r="I1400" s="5"/>
    </row>
    <row r="1401" spans="1:9" ht="17.399999999999999" x14ac:dyDescent="0.25">
      <c r="A1401" s="16"/>
      <c r="B1401" s="17"/>
      <c r="C1401" s="2"/>
      <c r="D1401" s="2"/>
      <c r="E1401" s="2"/>
      <c r="F1401" s="2"/>
      <c r="G1401" s="2"/>
      <c r="H1401" s="2"/>
      <c r="I1401" s="5"/>
    </row>
    <row r="1402" spans="1:9" ht="17.399999999999999" x14ac:dyDescent="0.25">
      <c r="A1402" s="16"/>
      <c r="B1402" s="17"/>
      <c r="C1402" s="2"/>
      <c r="D1402" s="2"/>
      <c r="E1402" s="2"/>
      <c r="F1402" s="2"/>
      <c r="G1402" s="2"/>
      <c r="H1402" s="2"/>
      <c r="I1402" s="5"/>
    </row>
    <row r="1403" spans="1:9" ht="17.399999999999999" x14ac:dyDescent="0.25">
      <c r="A1403" s="16"/>
      <c r="B1403" s="17"/>
      <c r="C1403" s="2"/>
      <c r="D1403" s="2"/>
      <c r="E1403" s="2"/>
      <c r="F1403" s="2"/>
      <c r="G1403" s="2"/>
      <c r="H1403" s="2"/>
      <c r="I1403" s="5"/>
    </row>
    <row r="1404" spans="1:9" ht="17.399999999999999" x14ac:dyDescent="0.25">
      <c r="A1404" s="16"/>
      <c r="B1404" s="17"/>
      <c r="C1404" s="2"/>
      <c r="D1404" s="2"/>
      <c r="E1404" s="2"/>
      <c r="F1404" s="2"/>
      <c r="G1404" s="2"/>
      <c r="H1404" s="2"/>
      <c r="I1404" s="5"/>
    </row>
    <row r="1405" spans="1:9" ht="17.399999999999999" x14ac:dyDescent="0.25">
      <c r="A1405" s="16"/>
      <c r="B1405" s="17"/>
      <c r="C1405" s="2"/>
      <c r="D1405" s="2"/>
      <c r="E1405" s="2"/>
      <c r="F1405" s="2"/>
      <c r="G1405" s="2"/>
      <c r="H1405" s="2"/>
      <c r="I1405" s="5"/>
    </row>
    <row r="1406" spans="1:9" ht="17.399999999999999" x14ac:dyDescent="0.25">
      <c r="A1406" s="16"/>
      <c r="B1406" s="17"/>
      <c r="C1406" s="2"/>
      <c r="D1406" s="2"/>
      <c r="E1406" s="2"/>
      <c r="F1406" s="2"/>
      <c r="G1406" s="2"/>
      <c r="H1406" s="2"/>
      <c r="I1406" s="5"/>
    </row>
    <row r="1407" spans="1:9" ht="17.399999999999999" x14ac:dyDescent="0.25">
      <c r="A1407" s="16"/>
      <c r="B1407" s="17"/>
      <c r="C1407" s="2"/>
      <c r="D1407" s="2"/>
      <c r="E1407" s="2"/>
      <c r="F1407" s="2"/>
      <c r="G1407" s="2"/>
      <c r="H1407" s="2"/>
      <c r="I1407" s="5"/>
    </row>
    <row r="1408" spans="1:9" ht="17.399999999999999" x14ac:dyDescent="0.25">
      <c r="A1408" s="16"/>
      <c r="B1408" s="17"/>
      <c r="C1408" s="2"/>
      <c r="D1408" s="2"/>
      <c r="E1408" s="2"/>
      <c r="F1408" s="2"/>
      <c r="G1408" s="2"/>
      <c r="H1408" s="2"/>
      <c r="I1408" s="5"/>
    </row>
    <row r="1409" spans="1:9" ht="17.399999999999999" x14ac:dyDescent="0.25">
      <c r="A1409" s="16"/>
      <c r="B1409" s="17"/>
      <c r="C1409" s="2"/>
      <c r="D1409" s="2"/>
      <c r="E1409" s="2"/>
      <c r="F1409" s="2"/>
      <c r="G1409" s="2"/>
      <c r="H1409" s="2"/>
      <c r="I1409" s="5"/>
    </row>
    <row r="1410" spans="1:9" ht="17.399999999999999" x14ac:dyDescent="0.25">
      <c r="A1410" s="16"/>
      <c r="B1410" s="17"/>
      <c r="C1410" s="2"/>
      <c r="D1410" s="2"/>
      <c r="E1410" s="2"/>
      <c r="F1410" s="2"/>
      <c r="G1410" s="2"/>
      <c r="H1410" s="2"/>
      <c r="I1410" s="5"/>
    </row>
    <row r="1411" spans="1:9" ht="17.399999999999999" x14ac:dyDescent="0.25">
      <c r="A1411" s="16"/>
      <c r="B1411" s="17"/>
      <c r="C1411" s="2"/>
      <c r="D1411" s="2"/>
      <c r="E1411" s="2"/>
      <c r="F1411" s="2"/>
      <c r="G1411" s="2"/>
      <c r="H1411" s="2"/>
      <c r="I1411" s="5"/>
    </row>
    <row r="1412" spans="1:9" ht="17.399999999999999" x14ac:dyDescent="0.25">
      <c r="A1412" s="16"/>
      <c r="B1412" s="17"/>
      <c r="C1412" s="2"/>
      <c r="D1412" s="2"/>
      <c r="E1412" s="2"/>
      <c r="F1412" s="2"/>
      <c r="G1412" s="2"/>
      <c r="H1412" s="2"/>
      <c r="I1412" s="5"/>
    </row>
    <row r="1413" spans="1:9" ht="17.399999999999999" x14ac:dyDescent="0.25">
      <c r="A1413" s="16"/>
      <c r="B1413" s="17"/>
      <c r="C1413" s="2"/>
      <c r="D1413" s="2"/>
      <c r="E1413" s="2"/>
      <c r="F1413" s="2"/>
      <c r="G1413" s="2"/>
      <c r="H1413" s="2"/>
      <c r="I1413" s="5"/>
    </row>
    <row r="1414" spans="1:9" ht="17.399999999999999" x14ac:dyDescent="0.25">
      <c r="A1414" s="16"/>
      <c r="B1414" s="17"/>
      <c r="C1414" s="2"/>
      <c r="D1414" s="2"/>
      <c r="E1414" s="2"/>
      <c r="F1414" s="2"/>
      <c r="G1414" s="2"/>
      <c r="H1414" s="2"/>
      <c r="I1414" s="5"/>
    </row>
    <row r="1415" spans="1:9" ht="17.399999999999999" x14ac:dyDescent="0.25">
      <c r="A1415" s="16"/>
      <c r="B1415" s="17"/>
      <c r="C1415" s="2"/>
      <c r="D1415" s="2"/>
      <c r="E1415" s="2"/>
      <c r="F1415" s="2"/>
      <c r="G1415" s="2"/>
      <c r="H1415" s="2"/>
      <c r="I1415" s="5"/>
    </row>
    <row r="1416" spans="1:9" ht="17.399999999999999" x14ac:dyDescent="0.25">
      <c r="A1416" s="16"/>
      <c r="B1416" s="17"/>
      <c r="C1416" s="2"/>
      <c r="D1416" s="2"/>
      <c r="E1416" s="2"/>
      <c r="F1416" s="2"/>
      <c r="G1416" s="2"/>
      <c r="H1416" s="2"/>
      <c r="I1416" s="5"/>
    </row>
    <row r="1417" spans="1:9" ht="17.399999999999999" x14ac:dyDescent="0.25">
      <c r="A1417" s="16"/>
      <c r="B1417" s="17"/>
      <c r="C1417" s="2"/>
      <c r="D1417" s="2"/>
      <c r="E1417" s="2"/>
      <c r="F1417" s="2"/>
      <c r="G1417" s="2"/>
      <c r="H1417" s="2"/>
      <c r="I1417" s="5"/>
    </row>
    <row r="1418" spans="1:9" ht="17.399999999999999" x14ac:dyDescent="0.25">
      <c r="A1418" s="16"/>
      <c r="B1418" s="17"/>
      <c r="C1418" s="2"/>
      <c r="D1418" s="2"/>
      <c r="E1418" s="2"/>
      <c r="F1418" s="2"/>
      <c r="G1418" s="2"/>
      <c r="H1418" s="2"/>
      <c r="I1418" s="5"/>
    </row>
    <row r="1419" spans="1:9" ht="17.399999999999999" x14ac:dyDescent="0.25">
      <c r="A1419" s="16"/>
      <c r="B1419" s="17"/>
      <c r="C1419" s="2"/>
      <c r="D1419" s="2"/>
      <c r="E1419" s="2"/>
      <c r="F1419" s="2"/>
      <c r="G1419" s="2"/>
      <c r="H1419" s="2"/>
      <c r="I1419" s="5"/>
    </row>
    <row r="1420" spans="1:9" ht="17.399999999999999" x14ac:dyDescent="0.25">
      <c r="A1420" s="16"/>
      <c r="B1420" s="17"/>
      <c r="C1420" s="2"/>
      <c r="D1420" s="2"/>
      <c r="E1420" s="2"/>
      <c r="F1420" s="2"/>
      <c r="G1420" s="2"/>
      <c r="H1420" s="2"/>
      <c r="I1420" s="5"/>
    </row>
    <row r="1421" spans="1:9" ht="17.399999999999999" x14ac:dyDescent="0.25">
      <c r="A1421" s="16"/>
      <c r="B1421" s="17"/>
      <c r="C1421" s="2"/>
      <c r="D1421" s="2"/>
      <c r="E1421" s="2"/>
      <c r="F1421" s="2"/>
      <c r="G1421" s="2"/>
      <c r="H1421" s="2"/>
      <c r="I1421" s="5"/>
    </row>
    <row r="1422" spans="1:9" ht="17.399999999999999" x14ac:dyDescent="0.25">
      <c r="A1422" s="16"/>
      <c r="B1422" s="17"/>
      <c r="C1422" s="2"/>
      <c r="D1422" s="2"/>
      <c r="E1422" s="2"/>
      <c r="F1422" s="2"/>
      <c r="G1422" s="2"/>
      <c r="H1422" s="2"/>
      <c r="I1422" s="5"/>
    </row>
    <row r="1423" spans="1:9" ht="17.399999999999999" x14ac:dyDescent="0.25">
      <c r="A1423" s="16"/>
      <c r="B1423" s="17"/>
      <c r="C1423" s="2"/>
      <c r="D1423" s="2"/>
      <c r="E1423" s="2"/>
      <c r="F1423" s="2"/>
      <c r="G1423" s="2"/>
      <c r="H1423" s="2"/>
      <c r="I1423" s="5"/>
    </row>
    <row r="1424" spans="1:9" ht="17.399999999999999" x14ac:dyDescent="0.25">
      <c r="A1424" s="16"/>
      <c r="B1424" s="17"/>
      <c r="C1424" s="2"/>
      <c r="D1424" s="2"/>
      <c r="E1424" s="2"/>
      <c r="F1424" s="2"/>
      <c r="G1424" s="2"/>
      <c r="H1424" s="2"/>
      <c r="I1424" s="5"/>
    </row>
    <row r="1425" spans="1:9" ht="17.399999999999999" x14ac:dyDescent="0.25">
      <c r="A1425" s="16"/>
      <c r="B1425" s="17"/>
      <c r="C1425" s="2"/>
      <c r="D1425" s="2"/>
      <c r="E1425" s="2"/>
      <c r="F1425" s="2"/>
      <c r="G1425" s="2"/>
      <c r="H1425" s="2"/>
      <c r="I1425" s="5"/>
    </row>
    <row r="1426" spans="1:9" ht="17.399999999999999" x14ac:dyDescent="0.25">
      <c r="A1426" s="16"/>
      <c r="B1426" s="17"/>
      <c r="C1426" s="2"/>
      <c r="D1426" s="2"/>
      <c r="E1426" s="2"/>
      <c r="F1426" s="2"/>
      <c r="G1426" s="2"/>
      <c r="H1426" s="2"/>
      <c r="I1426" s="5"/>
    </row>
    <row r="1427" spans="1:9" ht="17.399999999999999" x14ac:dyDescent="0.25">
      <c r="A1427" s="16"/>
      <c r="B1427" s="17"/>
      <c r="C1427" s="2"/>
      <c r="D1427" s="2"/>
      <c r="E1427" s="2"/>
      <c r="F1427" s="2"/>
      <c r="G1427" s="2"/>
      <c r="H1427" s="2"/>
      <c r="I1427" s="5"/>
    </row>
    <row r="1428" spans="1:9" ht="17.399999999999999" x14ac:dyDescent="0.25">
      <c r="A1428" s="16"/>
      <c r="B1428" s="17"/>
      <c r="C1428" s="2"/>
      <c r="D1428" s="2"/>
      <c r="E1428" s="2"/>
      <c r="F1428" s="2"/>
      <c r="G1428" s="2"/>
      <c r="H1428" s="2"/>
      <c r="I1428" s="5"/>
    </row>
    <row r="1429" spans="1:9" ht="17.399999999999999" x14ac:dyDescent="0.25">
      <c r="A1429" s="16"/>
      <c r="B1429" s="17"/>
      <c r="C1429" s="2"/>
      <c r="D1429" s="2"/>
      <c r="E1429" s="2"/>
      <c r="F1429" s="2"/>
      <c r="G1429" s="2"/>
      <c r="H1429" s="2"/>
      <c r="I1429" s="5"/>
    </row>
    <row r="1430" spans="1:9" ht="17.399999999999999" x14ac:dyDescent="0.25">
      <c r="A1430" s="16"/>
      <c r="B1430" s="17"/>
      <c r="C1430" s="2"/>
      <c r="D1430" s="2"/>
      <c r="E1430" s="2"/>
      <c r="F1430" s="2"/>
      <c r="G1430" s="2"/>
      <c r="H1430" s="2"/>
      <c r="I1430" s="5"/>
    </row>
    <row r="1431" spans="1:9" ht="17.399999999999999" x14ac:dyDescent="0.25">
      <c r="A1431" s="16"/>
      <c r="B1431" s="17"/>
      <c r="C1431" s="2"/>
      <c r="D1431" s="2"/>
      <c r="E1431" s="2"/>
      <c r="F1431" s="2"/>
      <c r="G1431" s="2"/>
      <c r="H1431" s="2"/>
      <c r="I1431" s="5"/>
    </row>
    <row r="1432" spans="1:9" ht="17.399999999999999" x14ac:dyDescent="0.25">
      <c r="A1432" s="16"/>
      <c r="B1432" s="17"/>
      <c r="C1432" s="2"/>
      <c r="D1432" s="2"/>
      <c r="E1432" s="2"/>
      <c r="F1432" s="2"/>
      <c r="G1432" s="2"/>
      <c r="H1432" s="2"/>
      <c r="I1432" s="5"/>
    </row>
    <row r="1433" spans="1:9" ht="17.399999999999999" x14ac:dyDescent="0.25">
      <c r="A1433" s="16"/>
      <c r="B1433" s="17"/>
      <c r="C1433" s="2"/>
      <c r="D1433" s="2"/>
      <c r="E1433" s="2"/>
      <c r="F1433" s="2"/>
      <c r="G1433" s="2"/>
      <c r="H1433" s="2"/>
      <c r="I1433" s="5"/>
    </row>
    <row r="1434" spans="1:9" ht="17.399999999999999" x14ac:dyDescent="0.25">
      <c r="A1434" s="16"/>
      <c r="B1434" s="17"/>
      <c r="C1434" s="2"/>
      <c r="D1434" s="2"/>
      <c r="E1434" s="2"/>
      <c r="F1434" s="2"/>
      <c r="G1434" s="2"/>
      <c r="H1434" s="2"/>
      <c r="I1434" s="5"/>
    </row>
    <row r="1435" spans="1:9" ht="17.399999999999999" x14ac:dyDescent="0.25">
      <c r="A1435" s="16"/>
      <c r="B1435" s="17"/>
      <c r="C1435" s="2"/>
      <c r="D1435" s="2"/>
      <c r="E1435" s="2"/>
      <c r="F1435" s="2"/>
      <c r="G1435" s="2"/>
      <c r="H1435" s="2"/>
      <c r="I1435" s="5"/>
    </row>
    <row r="1436" spans="1:9" ht="17.399999999999999" x14ac:dyDescent="0.25">
      <c r="A1436" s="16"/>
      <c r="B1436" s="17"/>
      <c r="C1436" s="2"/>
      <c r="D1436" s="2"/>
      <c r="E1436" s="2"/>
      <c r="F1436" s="2"/>
      <c r="G1436" s="2"/>
      <c r="H1436" s="2"/>
      <c r="I1436" s="5"/>
    </row>
    <row r="1437" spans="1:9" ht="17.399999999999999" x14ac:dyDescent="0.25">
      <c r="A1437" s="16"/>
      <c r="B1437" s="17"/>
      <c r="C1437" s="2"/>
      <c r="D1437" s="2"/>
      <c r="E1437" s="2"/>
      <c r="F1437" s="2"/>
      <c r="G1437" s="2"/>
      <c r="H1437" s="2"/>
      <c r="I1437" s="5"/>
    </row>
    <row r="1438" spans="1:9" ht="17.399999999999999" x14ac:dyDescent="0.25">
      <c r="A1438" s="16"/>
      <c r="B1438" s="17"/>
      <c r="C1438" s="2"/>
      <c r="D1438" s="2"/>
      <c r="E1438" s="2"/>
      <c r="F1438" s="2"/>
      <c r="G1438" s="2"/>
      <c r="H1438" s="2"/>
      <c r="I1438" s="5"/>
    </row>
    <row r="1439" spans="1:9" ht="17.399999999999999" x14ac:dyDescent="0.25">
      <c r="A1439" s="16"/>
      <c r="B1439" s="17"/>
      <c r="C1439" s="2"/>
      <c r="D1439" s="2"/>
      <c r="E1439" s="2"/>
      <c r="F1439" s="2"/>
      <c r="G1439" s="2"/>
      <c r="H1439" s="2"/>
      <c r="I1439" s="5"/>
    </row>
    <row r="1440" spans="1:9" ht="17.399999999999999" x14ac:dyDescent="0.25">
      <c r="A1440" s="16"/>
      <c r="B1440" s="17"/>
      <c r="C1440" s="2"/>
      <c r="D1440" s="2"/>
      <c r="E1440" s="2"/>
      <c r="F1440" s="2"/>
      <c r="G1440" s="2"/>
      <c r="H1440" s="2"/>
      <c r="I1440" s="5"/>
    </row>
    <row r="1441" spans="1:9" ht="17.399999999999999" x14ac:dyDescent="0.25">
      <c r="A1441" s="16"/>
      <c r="B1441" s="17"/>
      <c r="C1441" s="2"/>
      <c r="D1441" s="2"/>
      <c r="E1441" s="2"/>
      <c r="F1441" s="2"/>
      <c r="G1441" s="2"/>
      <c r="H1441" s="2"/>
      <c r="I1441" s="5"/>
    </row>
    <row r="1442" spans="1:9" ht="17.399999999999999" x14ac:dyDescent="0.25">
      <c r="A1442" s="16"/>
      <c r="B1442" s="17"/>
      <c r="C1442" s="2"/>
      <c r="D1442" s="2"/>
      <c r="E1442" s="2"/>
      <c r="F1442" s="2"/>
      <c r="G1442" s="2"/>
      <c r="H1442" s="2"/>
      <c r="I1442" s="5"/>
    </row>
    <row r="1443" spans="1:9" ht="17.399999999999999" x14ac:dyDescent="0.25">
      <c r="A1443" s="16"/>
      <c r="B1443" s="17"/>
      <c r="C1443" s="2"/>
      <c r="D1443" s="2"/>
      <c r="E1443" s="2"/>
      <c r="F1443" s="2"/>
      <c r="G1443" s="2"/>
      <c r="H1443" s="2"/>
      <c r="I1443" s="5"/>
    </row>
    <row r="1444" spans="1:9" ht="17.399999999999999" x14ac:dyDescent="0.25">
      <c r="A1444" s="16"/>
      <c r="B1444" s="17"/>
      <c r="C1444" s="2"/>
      <c r="D1444" s="2"/>
      <c r="E1444" s="2"/>
      <c r="F1444" s="2"/>
      <c r="G1444" s="2"/>
      <c r="H1444" s="2"/>
      <c r="I1444" s="5"/>
    </row>
    <row r="1445" spans="1:9" ht="17.399999999999999" x14ac:dyDescent="0.25">
      <c r="A1445" s="16"/>
      <c r="B1445" s="17"/>
      <c r="C1445" s="2"/>
      <c r="D1445" s="2"/>
      <c r="E1445" s="2"/>
      <c r="F1445" s="2"/>
      <c r="G1445" s="2"/>
      <c r="H1445" s="2"/>
      <c r="I1445" s="5"/>
    </row>
    <row r="1446" spans="1:9" ht="17.399999999999999" x14ac:dyDescent="0.25">
      <c r="A1446" s="16"/>
      <c r="B1446" s="17"/>
      <c r="C1446" s="2"/>
      <c r="D1446" s="2"/>
      <c r="E1446" s="2"/>
      <c r="F1446" s="2"/>
      <c r="G1446" s="2"/>
      <c r="H1446" s="2"/>
      <c r="I1446" s="5"/>
    </row>
    <row r="1447" spans="1:9" ht="17.399999999999999" x14ac:dyDescent="0.25">
      <c r="A1447" s="16"/>
      <c r="B1447" s="17"/>
      <c r="C1447" s="2"/>
      <c r="D1447" s="2"/>
      <c r="E1447" s="2"/>
      <c r="F1447" s="2"/>
      <c r="G1447" s="2"/>
      <c r="H1447" s="2"/>
      <c r="I1447" s="5"/>
    </row>
    <row r="1448" spans="1:9" ht="17.399999999999999" x14ac:dyDescent="0.25">
      <c r="A1448" s="16"/>
      <c r="B1448" s="17"/>
      <c r="C1448" s="2"/>
      <c r="D1448" s="2"/>
      <c r="E1448" s="2"/>
      <c r="F1448" s="2"/>
      <c r="G1448" s="2"/>
      <c r="H1448" s="2"/>
      <c r="I1448" s="5"/>
    </row>
    <row r="1449" spans="1:9" ht="17.399999999999999" x14ac:dyDescent="0.25">
      <c r="A1449" s="16"/>
      <c r="B1449" s="17"/>
      <c r="C1449" s="2"/>
      <c r="D1449" s="2"/>
      <c r="E1449" s="2"/>
      <c r="F1449" s="2"/>
      <c r="G1449" s="2"/>
      <c r="H1449" s="2"/>
      <c r="I1449" s="5"/>
    </row>
    <row r="1450" spans="1:9" ht="17.399999999999999" x14ac:dyDescent="0.25">
      <c r="A1450" s="16"/>
      <c r="B1450" s="17"/>
      <c r="C1450" s="2"/>
      <c r="D1450" s="2"/>
      <c r="E1450" s="2"/>
      <c r="F1450" s="2"/>
      <c r="G1450" s="2"/>
      <c r="H1450" s="2"/>
      <c r="I1450" s="5"/>
    </row>
    <row r="1451" spans="1:9" ht="17.399999999999999" x14ac:dyDescent="0.25">
      <c r="A1451" s="16"/>
      <c r="B1451" s="17"/>
      <c r="C1451" s="2"/>
      <c r="D1451" s="2"/>
      <c r="E1451" s="2"/>
      <c r="F1451" s="2"/>
      <c r="G1451" s="2"/>
      <c r="H1451" s="2"/>
      <c r="I1451" s="5"/>
    </row>
    <row r="1452" spans="1:9" ht="17.399999999999999" x14ac:dyDescent="0.25">
      <c r="A1452" s="16"/>
      <c r="B1452" s="17"/>
      <c r="C1452" s="2"/>
      <c r="D1452" s="2"/>
      <c r="E1452" s="2"/>
      <c r="F1452" s="2"/>
      <c r="G1452" s="2"/>
      <c r="H1452" s="2"/>
      <c r="I1452" s="5"/>
    </row>
    <row r="1453" spans="1:9" ht="17.399999999999999" x14ac:dyDescent="0.25">
      <c r="A1453" s="16"/>
      <c r="B1453" s="17"/>
      <c r="C1453" s="2"/>
      <c r="D1453" s="2"/>
      <c r="E1453" s="2"/>
      <c r="F1453" s="2"/>
      <c r="G1453" s="2"/>
      <c r="H1453" s="2"/>
      <c r="I1453" s="5"/>
    </row>
    <row r="1454" spans="1:9" ht="17.399999999999999" x14ac:dyDescent="0.25">
      <c r="A1454" s="16"/>
      <c r="B1454" s="17"/>
      <c r="C1454" s="2"/>
      <c r="D1454" s="2"/>
      <c r="E1454" s="2"/>
      <c r="F1454" s="2"/>
      <c r="G1454" s="2"/>
      <c r="H1454" s="2"/>
      <c r="I1454" s="5"/>
    </row>
    <row r="1455" spans="1:9" ht="17.399999999999999" x14ac:dyDescent="0.25">
      <c r="A1455" s="16"/>
      <c r="B1455" s="17"/>
      <c r="C1455" s="2"/>
      <c r="D1455" s="2"/>
      <c r="E1455" s="2"/>
      <c r="F1455" s="2"/>
      <c r="G1455" s="2"/>
      <c r="H1455" s="2"/>
      <c r="I1455" s="5"/>
    </row>
    <row r="1456" spans="1:9" ht="17.399999999999999" x14ac:dyDescent="0.25">
      <c r="A1456" s="16"/>
      <c r="B1456" s="17"/>
      <c r="C1456" s="2"/>
      <c r="D1456" s="2"/>
      <c r="E1456" s="2"/>
      <c r="F1456" s="2"/>
      <c r="G1456" s="2"/>
      <c r="H1456" s="2"/>
      <c r="I1456" s="5"/>
    </row>
    <row r="1457" spans="1:9" ht="17.399999999999999" x14ac:dyDescent="0.25">
      <c r="A1457" s="16"/>
      <c r="B1457" s="17"/>
      <c r="C1457" s="2"/>
      <c r="D1457" s="2"/>
      <c r="E1457" s="2"/>
      <c r="F1457" s="2"/>
      <c r="G1457" s="2"/>
      <c r="H1457" s="2"/>
      <c r="I1457" s="5"/>
    </row>
    <row r="1458" spans="1:9" ht="17.399999999999999" x14ac:dyDescent="0.25">
      <c r="A1458" s="16"/>
      <c r="B1458" s="17"/>
      <c r="C1458" s="2"/>
      <c r="D1458" s="2"/>
      <c r="E1458" s="2"/>
      <c r="F1458" s="2"/>
      <c r="G1458" s="2"/>
      <c r="H1458" s="2"/>
      <c r="I1458" s="5"/>
    </row>
    <row r="1459" spans="1:9" ht="17.399999999999999" x14ac:dyDescent="0.25">
      <c r="A1459" s="16"/>
      <c r="B1459" s="17"/>
      <c r="C1459" s="2"/>
      <c r="D1459" s="2"/>
      <c r="E1459" s="2"/>
      <c r="F1459" s="2"/>
      <c r="G1459" s="2"/>
      <c r="H1459" s="2"/>
      <c r="I1459" s="5"/>
    </row>
    <row r="1460" spans="1:9" ht="17.399999999999999" x14ac:dyDescent="0.25">
      <c r="A1460" s="16"/>
      <c r="B1460" s="17"/>
      <c r="C1460" s="2"/>
      <c r="D1460" s="2"/>
      <c r="E1460" s="2"/>
      <c r="F1460" s="2"/>
      <c r="G1460" s="2"/>
      <c r="H1460" s="2"/>
      <c r="I1460" s="5"/>
    </row>
    <row r="1461" spans="1:9" ht="17.399999999999999" x14ac:dyDescent="0.25">
      <c r="A1461" s="16"/>
      <c r="B1461" s="17"/>
      <c r="C1461" s="2"/>
      <c r="D1461" s="2"/>
      <c r="E1461" s="2"/>
      <c r="F1461" s="2"/>
      <c r="G1461" s="2"/>
      <c r="H1461" s="2"/>
      <c r="I1461" s="5"/>
    </row>
    <row r="1462" spans="1:9" ht="17.399999999999999" x14ac:dyDescent="0.25">
      <c r="A1462" s="16"/>
      <c r="B1462" s="17"/>
      <c r="C1462" s="2"/>
      <c r="D1462" s="2"/>
      <c r="E1462" s="2"/>
      <c r="F1462" s="2"/>
      <c r="G1462" s="2"/>
      <c r="H1462" s="2"/>
      <c r="I1462" s="5"/>
    </row>
    <row r="1463" spans="1:9" ht="17.399999999999999" x14ac:dyDescent="0.25">
      <c r="A1463" s="16"/>
      <c r="B1463" s="17"/>
      <c r="C1463" s="2"/>
      <c r="D1463" s="2"/>
      <c r="E1463" s="2"/>
      <c r="F1463" s="2"/>
      <c r="G1463" s="2"/>
      <c r="H1463" s="2"/>
      <c r="I1463" s="5"/>
    </row>
    <row r="1464" spans="1:9" ht="17.399999999999999" x14ac:dyDescent="0.25">
      <c r="A1464" s="16"/>
      <c r="B1464" s="17"/>
      <c r="C1464" s="2"/>
      <c r="D1464" s="2"/>
      <c r="E1464" s="2"/>
      <c r="F1464" s="2"/>
      <c r="G1464" s="2"/>
      <c r="H1464" s="2"/>
      <c r="I1464" s="5"/>
    </row>
    <row r="1465" spans="1:9" ht="17.399999999999999" x14ac:dyDescent="0.25">
      <c r="A1465" s="16"/>
      <c r="B1465" s="17"/>
      <c r="C1465" s="2"/>
      <c r="D1465" s="2"/>
      <c r="E1465" s="2"/>
      <c r="F1465" s="2"/>
      <c r="G1465" s="2"/>
      <c r="H1465" s="2"/>
      <c r="I1465" s="5"/>
    </row>
    <row r="1466" spans="1:9" ht="17.399999999999999" x14ac:dyDescent="0.25">
      <c r="A1466" s="16"/>
      <c r="B1466" s="17"/>
      <c r="C1466" s="2"/>
      <c r="D1466" s="2"/>
      <c r="E1466" s="2"/>
      <c r="F1466" s="2"/>
      <c r="G1466" s="2"/>
      <c r="H1466" s="2"/>
      <c r="I1466" s="5"/>
    </row>
    <row r="1467" spans="1:9" ht="17.399999999999999" x14ac:dyDescent="0.25">
      <c r="A1467" s="16"/>
      <c r="B1467" s="17"/>
      <c r="C1467" s="2"/>
      <c r="D1467" s="2"/>
      <c r="E1467" s="2"/>
      <c r="F1467" s="2"/>
      <c r="G1467" s="2"/>
      <c r="H1467" s="2"/>
      <c r="I1467" s="5"/>
    </row>
    <row r="1468" spans="1:9" ht="17.399999999999999" x14ac:dyDescent="0.25">
      <c r="A1468" s="16"/>
      <c r="B1468" s="17"/>
      <c r="C1468" s="2"/>
      <c r="D1468" s="2"/>
      <c r="E1468" s="2"/>
      <c r="F1468" s="2"/>
      <c r="G1468" s="2"/>
      <c r="H1468" s="2"/>
      <c r="I1468" s="5"/>
    </row>
    <row r="1469" spans="1:9" ht="17.399999999999999" x14ac:dyDescent="0.25">
      <c r="A1469" s="16"/>
      <c r="B1469" s="17"/>
      <c r="C1469" s="2"/>
      <c r="D1469" s="2"/>
      <c r="E1469" s="2"/>
      <c r="F1469" s="2"/>
      <c r="G1469" s="2"/>
      <c r="H1469" s="2"/>
      <c r="I1469" s="5"/>
    </row>
    <row r="1470" spans="1:9" ht="17.399999999999999" x14ac:dyDescent="0.25">
      <c r="A1470" s="16"/>
      <c r="B1470" s="17"/>
      <c r="C1470" s="2"/>
      <c r="D1470" s="2"/>
      <c r="E1470" s="2"/>
      <c r="F1470" s="2"/>
      <c r="G1470" s="2"/>
      <c r="H1470" s="2"/>
      <c r="I1470" s="5"/>
    </row>
    <row r="1471" spans="1:9" ht="17.399999999999999" x14ac:dyDescent="0.25">
      <c r="A1471" s="16"/>
      <c r="B1471" s="17"/>
      <c r="C1471" s="2"/>
      <c r="D1471" s="2"/>
      <c r="E1471" s="2"/>
      <c r="F1471" s="2"/>
      <c r="G1471" s="2"/>
      <c r="H1471" s="2"/>
      <c r="I1471" s="5"/>
    </row>
    <row r="1472" spans="1:9" ht="17.399999999999999" x14ac:dyDescent="0.25">
      <c r="A1472" s="16"/>
      <c r="B1472" s="17"/>
      <c r="C1472" s="2"/>
      <c r="D1472" s="2"/>
      <c r="E1472" s="2"/>
      <c r="F1472" s="2"/>
      <c r="G1472" s="2"/>
      <c r="H1472" s="2"/>
      <c r="I1472" s="5"/>
    </row>
    <row r="1473" spans="1:9" ht="17.399999999999999" x14ac:dyDescent="0.25">
      <c r="A1473" s="16"/>
      <c r="B1473" s="17"/>
      <c r="C1473" s="2"/>
      <c r="D1473" s="2"/>
      <c r="E1473" s="2"/>
      <c r="F1473" s="2"/>
      <c r="G1473" s="2"/>
      <c r="H1473" s="2"/>
      <c r="I1473" s="5"/>
    </row>
    <row r="1474" spans="1:9" ht="17.399999999999999" x14ac:dyDescent="0.25">
      <c r="A1474" s="16"/>
      <c r="B1474" s="17"/>
      <c r="C1474" s="2"/>
      <c r="D1474" s="2"/>
      <c r="E1474" s="2"/>
      <c r="F1474" s="2"/>
      <c r="G1474" s="2"/>
      <c r="H1474" s="2"/>
      <c r="I1474" s="5"/>
    </row>
    <row r="1475" spans="1:9" ht="17.399999999999999" x14ac:dyDescent="0.25">
      <c r="A1475" s="16"/>
      <c r="B1475" s="17"/>
      <c r="C1475" s="2"/>
      <c r="D1475" s="2"/>
      <c r="E1475" s="2"/>
      <c r="F1475" s="2"/>
      <c r="G1475" s="2"/>
      <c r="H1475" s="2"/>
      <c r="I1475" s="5"/>
    </row>
    <row r="1476" spans="1:9" ht="17.399999999999999" x14ac:dyDescent="0.25">
      <c r="A1476" s="16"/>
      <c r="B1476" s="17"/>
      <c r="C1476" s="2"/>
      <c r="D1476" s="2"/>
      <c r="E1476" s="2"/>
      <c r="F1476" s="2"/>
      <c r="G1476" s="2"/>
      <c r="H1476" s="2"/>
      <c r="I1476" s="5"/>
    </row>
    <row r="1477" spans="1:9" ht="17.399999999999999" x14ac:dyDescent="0.25">
      <c r="A1477" s="16"/>
      <c r="B1477" s="17"/>
      <c r="C1477" s="2"/>
      <c r="D1477" s="2"/>
      <c r="E1477" s="2"/>
      <c r="F1477" s="2"/>
      <c r="G1477" s="2"/>
      <c r="H1477" s="2"/>
      <c r="I1477" s="5"/>
    </row>
    <row r="1478" spans="1:9" ht="17.399999999999999" x14ac:dyDescent="0.25">
      <c r="A1478" s="16"/>
      <c r="B1478" s="17"/>
      <c r="C1478" s="2"/>
      <c r="D1478" s="2"/>
      <c r="E1478" s="2"/>
      <c r="F1478" s="2"/>
      <c r="G1478" s="2"/>
      <c r="H1478" s="2"/>
      <c r="I1478" s="5"/>
    </row>
    <row r="1479" spans="1:9" ht="17.399999999999999" x14ac:dyDescent="0.25">
      <c r="A1479" s="16"/>
      <c r="B1479" s="17"/>
      <c r="C1479" s="2"/>
      <c r="D1479" s="2"/>
      <c r="E1479" s="2"/>
      <c r="F1479" s="2"/>
      <c r="G1479" s="2"/>
      <c r="H1479" s="2"/>
      <c r="I1479" s="5"/>
    </row>
    <row r="1480" spans="1:9" ht="17.399999999999999" x14ac:dyDescent="0.25">
      <c r="A1480" s="16"/>
      <c r="B1480" s="17"/>
      <c r="C1480" s="2"/>
      <c r="D1480" s="2"/>
      <c r="E1480" s="2"/>
      <c r="F1480" s="2"/>
      <c r="G1480" s="2"/>
      <c r="H1480" s="2"/>
      <c r="I1480" s="5"/>
    </row>
    <row r="1481" spans="1:9" ht="17.399999999999999" x14ac:dyDescent="0.25">
      <c r="A1481" s="16"/>
      <c r="B1481" s="17"/>
      <c r="C1481" s="2"/>
      <c r="D1481" s="2"/>
      <c r="E1481" s="2"/>
      <c r="F1481" s="2"/>
      <c r="G1481" s="2"/>
      <c r="H1481" s="2"/>
      <c r="I1481" s="5"/>
    </row>
    <row r="1482" spans="1:9" ht="17.399999999999999" x14ac:dyDescent="0.25">
      <c r="A1482" s="16"/>
      <c r="B1482" s="17"/>
      <c r="C1482" s="2"/>
      <c r="D1482" s="2"/>
      <c r="E1482" s="2"/>
      <c r="F1482" s="2"/>
      <c r="G1482" s="2"/>
      <c r="H1482" s="2"/>
      <c r="I1482" s="5"/>
    </row>
    <row r="1483" spans="1:9" ht="17.399999999999999" x14ac:dyDescent="0.25">
      <c r="A1483" s="16"/>
      <c r="B1483" s="17"/>
      <c r="C1483" s="2"/>
      <c r="D1483" s="2"/>
      <c r="E1483" s="2"/>
      <c r="F1483" s="2"/>
      <c r="G1483" s="2"/>
      <c r="H1483" s="2"/>
      <c r="I1483" s="5"/>
    </row>
    <row r="1484" spans="1:9" ht="17.399999999999999" x14ac:dyDescent="0.25">
      <c r="A1484" s="16"/>
      <c r="B1484" s="17"/>
      <c r="C1484" s="2"/>
      <c r="D1484" s="2"/>
      <c r="E1484" s="2"/>
      <c r="F1484" s="2"/>
      <c r="G1484" s="2"/>
      <c r="H1484" s="2"/>
      <c r="I1484" s="5"/>
    </row>
    <row r="1485" spans="1:9" ht="17.399999999999999" x14ac:dyDescent="0.25">
      <c r="A1485" s="16"/>
      <c r="B1485" s="17"/>
      <c r="C1485" s="2"/>
      <c r="D1485" s="2"/>
      <c r="E1485" s="2"/>
      <c r="F1485" s="2"/>
      <c r="G1485" s="2"/>
      <c r="H1485" s="2"/>
      <c r="I1485" s="5"/>
    </row>
    <row r="1486" spans="1:9" ht="17.399999999999999" x14ac:dyDescent="0.25">
      <c r="A1486" s="16"/>
      <c r="B1486" s="17"/>
      <c r="C1486" s="2"/>
      <c r="D1486" s="2"/>
      <c r="E1486" s="2"/>
      <c r="F1486" s="2"/>
      <c r="G1486" s="2"/>
      <c r="H1486" s="2"/>
      <c r="I1486" s="5"/>
    </row>
    <row r="1487" spans="1:9" ht="17.399999999999999" x14ac:dyDescent="0.25">
      <c r="A1487" s="16"/>
      <c r="B1487" s="17"/>
      <c r="C1487" s="2"/>
      <c r="D1487" s="2"/>
      <c r="E1487" s="2"/>
      <c r="F1487" s="2"/>
      <c r="G1487" s="2"/>
      <c r="H1487" s="2"/>
      <c r="I1487" s="5"/>
    </row>
    <row r="1488" spans="1:9" ht="17.399999999999999" x14ac:dyDescent="0.25">
      <c r="A1488" s="16"/>
      <c r="B1488" s="17"/>
      <c r="C1488" s="2"/>
      <c r="D1488" s="2"/>
      <c r="E1488" s="2"/>
      <c r="F1488" s="2"/>
      <c r="G1488" s="2"/>
      <c r="H1488" s="2"/>
      <c r="I1488" s="5"/>
    </row>
    <row r="1489" spans="1:9" ht="17.399999999999999" x14ac:dyDescent="0.25">
      <c r="A1489" s="16"/>
      <c r="B1489" s="17"/>
      <c r="C1489" s="2"/>
      <c r="D1489" s="2"/>
      <c r="E1489" s="2"/>
      <c r="F1489" s="2"/>
      <c r="G1489" s="2"/>
      <c r="H1489" s="2"/>
      <c r="I1489" s="5"/>
    </row>
    <row r="1490" spans="1:9" ht="17.399999999999999" x14ac:dyDescent="0.25">
      <c r="A1490" s="16"/>
      <c r="B1490" s="17"/>
      <c r="C1490" s="2"/>
      <c r="D1490" s="2"/>
      <c r="E1490" s="2"/>
      <c r="F1490" s="2"/>
      <c r="G1490" s="2"/>
      <c r="H1490" s="2"/>
      <c r="I1490" s="5"/>
    </row>
    <row r="1491" spans="1:9" ht="17.399999999999999" x14ac:dyDescent="0.25">
      <c r="A1491" s="16"/>
      <c r="B1491" s="17"/>
      <c r="C1491" s="2"/>
      <c r="D1491" s="2"/>
      <c r="E1491" s="2"/>
      <c r="F1491" s="2"/>
      <c r="G1491" s="2"/>
      <c r="H1491" s="2"/>
      <c r="I1491" s="5"/>
    </row>
    <row r="1492" spans="1:9" ht="17.399999999999999" x14ac:dyDescent="0.25">
      <c r="A1492" s="16"/>
      <c r="B1492" s="17"/>
      <c r="C1492" s="2"/>
      <c r="D1492" s="2"/>
      <c r="E1492" s="2"/>
      <c r="F1492" s="2"/>
      <c r="G1492" s="2"/>
      <c r="H1492" s="2"/>
      <c r="I1492" s="5"/>
    </row>
    <row r="1493" spans="1:9" ht="17.399999999999999" x14ac:dyDescent="0.25">
      <c r="A1493" s="16"/>
      <c r="B1493" s="17"/>
      <c r="C1493" s="2"/>
      <c r="D1493" s="2"/>
      <c r="E1493" s="2"/>
      <c r="F1493" s="2"/>
      <c r="G1493" s="2"/>
      <c r="H1493" s="2"/>
      <c r="I1493" s="5"/>
    </row>
    <row r="1494" spans="1:9" ht="17.399999999999999" x14ac:dyDescent="0.25">
      <c r="A1494" s="16"/>
      <c r="B1494" s="17"/>
      <c r="C1494" s="2"/>
      <c r="D1494" s="2"/>
      <c r="E1494" s="2"/>
      <c r="F1494" s="2"/>
      <c r="G1494" s="2"/>
      <c r="H1494" s="2"/>
      <c r="I1494" s="5"/>
    </row>
    <row r="1495" spans="1:9" ht="17.399999999999999" x14ac:dyDescent="0.25">
      <c r="A1495" s="16"/>
      <c r="B1495" s="17"/>
      <c r="C1495" s="2"/>
      <c r="D1495" s="2"/>
      <c r="E1495" s="2"/>
      <c r="F1495" s="2"/>
      <c r="G1495" s="2"/>
      <c r="H1495" s="2"/>
      <c r="I1495" s="5"/>
    </row>
    <row r="1496" spans="1:9" ht="17.399999999999999" x14ac:dyDescent="0.25">
      <c r="A1496" s="16"/>
      <c r="B1496" s="17"/>
      <c r="C1496" s="2"/>
      <c r="D1496" s="2"/>
      <c r="E1496" s="2"/>
      <c r="F1496" s="2"/>
      <c r="G1496" s="2"/>
      <c r="H1496" s="2"/>
      <c r="I1496" s="5"/>
    </row>
    <row r="1497" spans="1:9" ht="17.399999999999999" x14ac:dyDescent="0.25">
      <c r="A1497" s="16"/>
      <c r="B1497" s="17"/>
      <c r="C1497" s="2"/>
      <c r="D1497" s="2"/>
      <c r="E1497" s="2"/>
      <c r="F1497" s="2"/>
      <c r="G1497" s="2"/>
      <c r="H1497" s="2"/>
      <c r="I1497" s="5"/>
    </row>
    <row r="1498" spans="1:9" ht="17.399999999999999" x14ac:dyDescent="0.25">
      <c r="A1498" s="16"/>
      <c r="B1498" s="17"/>
      <c r="C1498" s="2"/>
      <c r="D1498" s="2"/>
      <c r="E1498" s="2"/>
      <c r="F1498" s="2"/>
      <c r="G1498" s="2"/>
      <c r="H1498" s="2"/>
      <c r="I1498" s="5"/>
    </row>
    <row r="1499" spans="1:9" ht="17.399999999999999" x14ac:dyDescent="0.25">
      <c r="A1499" s="16"/>
      <c r="B1499" s="17"/>
      <c r="C1499" s="2"/>
      <c r="D1499" s="2"/>
      <c r="E1499" s="2"/>
      <c r="F1499" s="2"/>
      <c r="G1499" s="2"/>
      <c r="H1499" s="2"/>
      <c r="I1499" s="5"/>
    </row>
    <row r="1500" spans="1:9" ht="17.399999999999999" x14ac:dyDescent="0.25">
      <c r="A1500" s="16"/>
      <c r="B1500" s="17"/>
      <c r="C1500" s="2"/>
      <c r="D1500" s="2"/>
      <c r="E1500" s="2"/>
      <c r="F1500" s="2"/>
      <c r="G1500" s="2"/>
      <c r="H1500" s="2"/>
      <c r="I1500" s="5"/>
    </row>
    <row r="1501" spans="1:9" ht="17.399999999999999" x14ac:dyDescent="0.25">
      <c r="A1501" s="16"/>
      <c r="B1501" s="17"/>
      <c r="C1501" s="2"/>
      <c r="D1501" s="2"/>
      <c r="E1501" s="2"/>
      <c r="F1501" s="2"/>
      <c r="G1501" s="2"/>
      <c r="H1501" s="2"/>
      <c r="I1501" s="5"/>
    </row>
    <row r="1502" spans="1:9" ht="17.399999999999999" x14ac:dyDescent="0.25">
      <c r="A1502" s="16"/>
      <c r="B1502" s="17"/>
      <c r="C1502" s="2"/>
      <c r="D1502" s="2"/>
      <c r="E1502" s="2"/>
      <c r="F1502" s="2"/>
      <c r="G1502" s="2"/>
      <c r="H1502" s="2"/>
      <c r="I1502" s="5"/>
    </row>
    <row r="1503" spans="1:9" ht="17.399999999999999" x14ac:dyDescent="0.25">
      <c r="A1503" s="16"/>
      <c r="B1503" s="17"/>
      <c r="C1503" s="2"/>
      <c r="D1503" s="2"/>
      <c r="E1503" s="2"/>
      <c r="F1503" s="2"/>
      <c r="G1503" s="2"/>
      <c r="H1503" s="2"/>
      <c r="I1503" s="5"/>
    </row>
    <row r="1504" spans="1:9" ht="17.399999999999999" x14ac:dyDescent="0.25">
      <c r="A1504" s="16"/>
      <c r="B1504" s="17"/>
      <c r="C1504" s="2"/>
      <c r="D1504" s="2"/>
      <c r="E1504" s="2"/>
      <c r="F1504" s="2"/>
      <c r="G1504" s="2"/>
      <c r="H1504" s="2"/>
      <c r="I1504" s="5"/>
    </row>
    <row r="1505" spans="1:9" ht="17.399999999999999" x14ac:dyDescent="0.25">
      <c r="A1505" s="16"/>
      <c r="B1505" s="17"/>
      <c r="C1505" s="2"/>
      <c r="D1505" s="2"/>
      <c r="E1505" s="2"/>
      <c r="F1505" s="2"/>
      <c r="G1505" s="2"/>
      <c r="H1505" s="2"/>
      <c r="I1505" s="5"/>
    </row>
    <row r="1506" spans="1:9" ht="17.399999999999999" x14ac:dyDescent="0.25">
      <c r="A1506" s="16"/>
      <c r="B1506" s="17"/>
      <c r="C1506" s="2"/>
      <c r="D1506" s="2"/>
      <c r="E1506" s="2"/>
      <c r="F1506" s="2"/>
      <c r="G1506" s="2"/>
      <c r="H1506" s="2"/>
      <c r="I1506" s="5"/>
    </row>
    <row r="1507" spans="1:9" ht="17.399999999999999" x14ac:dyDescent="0.25">
      <c r="A1507" s="16"/>
      <c r="B1507" s="17"/>
      <c r="C1507" s="2"/>
      <c r="D1507" s="2"/>
      <c r="E1507" s="2"/>
      <c r="F1507" s="2"/>
      <c r="G1507" s="2"/>
      <c r="H1507" s="2"/>
      <c r="I1507" s="5"/>
    </row>
    <row r="1508" spans="1:9" ht="17.399999999999999" x14ac:dyDescent="0.25">
      <c r="A1508" s="16"/>
      <c r="B1508" s="17"/>
      <c r="C1508" s="2"/>
      <c r="D1508" s="2"/>
      <c r="E1508" s="2"/>
      <c r="F1508" s="2"/>
      <c r="G1508" s="2"/>
      <c r="H1508" s="2"/>
      <c r="I1508" s="5"/>
    </row>
    <row r="1509" spans="1:9" ht="17.399999999999999" x14ac:dyDescent="0.25">
      <c r="A1509" s="16"/>
      <c r="B1509" s="17"/>
      <c r="C1509" s="2"/>
      <c r="D1509" s="2"/>
      <c r="E1509" s="2"/>
      <c r="F1509" s="2"/>
      <c r="G1509" s="2"/>
      <c r="H1509" s="2"/>
      <c r="I1509" s="5"/>
    </row>
    <row r="1510" spans="1:9" ht="17.399999999999999" x14ac:dyDescent="0.25">
      <c r="A1510" s="16"/>
      <c r="B1510" s="17"/>
      <c r="C1510" s="2"/>
      <c r="D1510" s="2"/>
      <c r="E1510" s="2"/>
      <c r="F1510" s="2"/>
      <c r="G1510" s="2"/>
      <c r="H1510" s="2"/>
      <c r="I1510" s="5"/>
    </row>
    <row r="1511" spans="1:9" ht="17.399999999999999" x14ac:dyDescent="0.25">
      <c r="A1511" s="16"/>
      <c r="B1511" s="17"/>
      <c r="C1511" s="2"/>
      <c r="D1511" s="2"/>
      <c r="E1511" s="2"/>
      <c r="F1511" s="2"/>
      <c r="G1511" s="2"/>
      <c r="H1511" s="2"/>
      <c r="I1511" s="5"/>
    </row>
    <row r="1512" spans="1:9" ht="17.399999999999999" x14ac:dyDescent="0.25">
      <c r="A1512" s="16"/>
      <c r="B1512" s="17"/>
      <c r="C1512" s="2"/>
      <c r="D1512" s="2"/>
      <c r="E1512" s="2"/>
      <c r="F1512" s="2"/>
      <c r="G1512" s="2"/>
      <c r="H1512" s="2"/>
      <c r="I1512" s="5"/>
    </row>
    <row r="1513" spans="1:9" ht="17.399999999999999" x14ac:dyDescent="0.25">
      <c r="A1513" s="16"/>
      <c r="B1513" s="17"/>
      <c r="C1513" s="2"/>
      <c r="D1513" s="2"/>
      <c r="E1513" s="2"/>
      <c r="F1513" s="2"/>
      <c r="G1513" s="2"/>
      <c r="H1513" s="2"/>
      <c r="I1513" s="5"/>
    </row>
    <row r="1514" spans="1:9" ht="17.399999999999999" x14ac:dyDescent="0.25">
      <c r="A1514" s="16"/>
      <c r="B1514" s="17"/>
      <c r="C1514" s="2"/>
      <c r="D1514" s="2"/>
      <c r="E1514" s="2"/>
      <c r="F1514" s="2"/>
      <c r="G1514" s="2"/>
      <c r="H1514" s="2"/>
      <c r="I1514" s="5"/>
    </row>
    <row r="1515" spans="1:9" ht="17.399999999999999" x14ac:dyDescent="0.25">
      <c r="A1515" s="16"/>
      <c r="B1515" s="17"/>
      <c r="C1515" s="2"/>
      <c r="D1515" s="2"/>
      <c r="E1515" s="2"/>
      <c r="F1515" s="2"/>
      <c r="G1515" s="2"/>
      <c r="H1515" s="2"/>
      <c r="I1515" s="5"/>
    </row>
    <row r="1516" spans="1:9" ht="17.399999999999999" x14ac:dyDescent="0.25">
      <c r="A1516" s="16"/>
      <c r="B1516" s="17"/>
      <c r="C1516" s="2"/>
      <c r="D1516" s="2"/>
      <c r="E1516" s="2"/>
      <c r="F1516" s="2"/>
      <c r="G1516" s="2"/>
      <c r="H1516" s="2"/>
      <c r="I1516" s="5"/>
    </row>
    <row r="1517" spans="1:9" ht="17.399999999999999" x14ac:dyDescent="0.25">
      <c r="A1517" s="16"/>
      <c r="B1517" s="17"/>
      <c r="C1517" s="2"/>
      <c r="D1517" s="2"/>
      <c r="E1517" s="2"/>
      <c r="F1517" s="2"/>
      <c r="G1517" s="2"/>
      <c r="H1517" s="2"/>
      <c r="I1517" s="5"/>
    </row>
    <row r="1518" spans="1:9" ht="17.399999999999999" x14ac:dyDescent="0.25">
      <c r="A1518" s="16"/>
      <c r="B1518" s="17"/>
      <c r="C1518" s="2"/>
      <c r="D1518" s="2"/>
      <c r="E1518" s="2"/>
      <c r="F1518" s="2"/>
      <c r="G1518" s="2"/>
      <c r="H1518" s="2"/>
      <c r="I1518" s="5"/>
    </row>
    <row r="1519" spans="1:9" ht="17.399999999999999" x14ac:dyDescent="0.25">
      <c r="A1519" s="16"/>
      <c r="B1519" s="17"/>
      <c r="C1519" s="2"/>
      <c r="D1519" s="2"/>
      <c r="E1519" s="2"/>
      <c r="F1519" s="2"/>
      <c r="G1519" s="2"/>
      <c r="H1519" s="2"/>
      <c r="I1519" s="5"/>
    </row>
    <row r="1520" spans="1:9" ht="17.399999999999999" x14ac:dyDescent="0.25">
      <c r="A1520" s="16"/>
      <c r="B1520" s="17"/>
      <c r="C1520" s="2"/>
      <c r="D1520" s="2"/>
      <c r="E1520" s="2"/>
      <c r="F1520" s="2"/>
      <c r="G1520" s="2"/>
      <c r="H1520" s="2"/>
      <c r="I1520" s="5"/>
    </row>
    <row r="1521" spans="1:9" ht="17.399999999999999" x14ac:dyDescent="0.25">
      <c r="A1521" s="16"/>
      <c r="B1521" s="17"/>
      <c r="C1521" s="2"/>
      <c r="D1521" s="2"/>
      <c r="E1521" s="2"/>
      <c r="F1521" s="2"/>
      <c r="G1521" s="2"/>
      <c r="H1521" s="2"/>
      <c r="I1521" s="5"/>
    </row>
    <row r="1522" spans="1:9" ht="17.399999999999999" x14ac:dyDescent="0.25">
      <c r="A1522" s="16"/>
      <c r="B1522" s="17"/>
      <c r="C1522" s="2"/>
      <c r="D1522" s="2"/>
      <c r="E1522" s="2"/>
      <c r="F1522" s="2"/>
      <c r="G1522" s="2"/>
      <c r="H1522" s="2"/>
      <c r="I1522" s="5"/>
    </row>
    <row r="1523" spans="1:9" ht="17.399999999999999" x14ac:dyDescent="0.25">
      <c r="A1523" s="16"/>
      <c r="B1523" s="17"/>
      <c r="C1523" s="2"/>
      <c r="D1523" s="2"/>
      <c r="E1523" s="2"/>
      <c r="F1523" s="2"/>
      <c r="G1523" s="2"/>
      <c r="H1523" s="2"/>
      <c r="I1523" s="5"/>
    </row>
    <row r="1524" spans="1:9" ht="17.399999999999999" x14ac:dyDescent="0.25">
      <c r="A1524" s="16"/>
      <c r="B1524" s="17"/>
      <c r="C1524" s="2"/>
      <c r="D1524" s="2"/>
      <c r="E1524" s="2"/>
      <c r="F1524" s="2"/>
      <c r="G1524" s="2"/>
      <c r="H1524" s="2"/>
      <c r="I1524" s="5"/>
    </row>
    <row r="1525" spans="1:9" ht="17.399999999999999" x14ac:dyDescent="0.25">
      <c r="A1525" s="16"/>
      <c r="B1525" s="17"/>
      <c r="C1525" s="2"/>
      <c r="D1525" s="2"/>
      <c r="E1525" s="2"/>
      <c r="F1525" s="2"/>
      <c r="G1525" s="2"/>
      <c r="H1525" s="2"/>
      <c r="I1525" s="5"/>
    </row>
    <row r="1526" spans="1:9" ht="17.399999999999999" x14ac:dyDescent="0.25">
      <c r="A1526" s="16"/>
      <c r="B1526" s="17"/>
      <c r="C1526" s="2"/>
      <c r="D1526" s="2"/>
      <c r="E1526" s="2"/>
      <c r="F1526" s="2"/>
      <c r="G1526" s="2"/>
      <c r="H1526" s="2"/>
      <c r="I1526" s="5"/>
    </row>
    <row r="1527" spans="1:9" ht="17.399999999999999" x14ac:dyDescent="0.25">
      <c r="A1527" s="16"/>
      <c r="B1527" s="17"/>
      <c r="C1527" s="2"/>
      <c r="D1527" s="2"/>
      <c r="E1527" s="2"/>
      <c r="F1527" s="2"/>
      <c r="G1527" s="2"/>
      <c r="H1527" s="2"/>
      <c r="I1527" s="5"/>
    </row>
    <row r="1528" spans="1:9" ht="17.399999999999999" x14ac:dyDescent="0.25">
      <c r="A1528" s="16"/>
      <c r="B1528" s="17"/>
      <c r="C1528" s="2"/>
      <c r="D1528" s="2"/>
      <c r="E1528" s="2"/>
      <c r="F1528" s="2"/>
      <c r="G1528" s="2"/>
      <c r="H1528" s="2"/>
      <c r="I1528" s="5"/>
    </row>
    <row r="1529" spans="1:9" ht="17.399999999999999" x14ac:dyDescent="0.25">
      <c r="A1529" s="16"/>
      <c r="B1529" s="17"/>
      <c r="C1529" s="2"/>
      <c r="D1529" s="2"/>
      <c r="E1529" s="2"/>
      <c r="F1529" s="2"/>
      <c r="G1529" s="2"/>
      <c r="H1529" s="2"/>
      <c r="I1529" s="5"/>
    </row>
    <row r="1530" spans="1:9" ht="17.399999999999999" x14ac:dyDescent="0.25">
      <c r="A1530" s="16"/>
      <c r="B1530" s="17"/>
      <c r="C1530" s="2"/>
      <c r="D1530" s="2"/>
      <c r="E1530" s="2"/>
      <c r="F1530" s="2"/>
      <c r="G1530" s="2"/>
      <c r="H1530" s="2"/>
      <c r="I1530" s="5"/>
    </row>
    <row r="1531" spans="1:9" ht="17.399999999999999" x14ac:dyDescent="0.25">
      <c r="A1531" s="16"/>
      <c r="B1531" s="17"/>
      <c r="C1531" s="2"/>
      <c r="D1531" s="2"/>
      <c r="E1531" s="2"/>
      <c r="F1531" s="2"/>
      <c r="G1531" s="2"/>
      <c r="H1531" s="2"/>
      <c r="I1531" s="5"/>
    </row>
    <row r="1532" spans="1:9" ht="17.399999999999999" x14ac:dyDescent="0.25">
      <c r="A1532" s="16"/>
      <c r="B1532" s="17"/>
      <c r="C1532" s="2"/>
      <c r="D1532" s="2"/>
      <c r="E1532" s="2"/>
      <c r="F1532" s="2"/>
      <c r="G1532" s="2"/>
      <c r="H1532" s="2"/>
      <c r="I1532" s="5"/>
    </row>
    <row r="1533" spans="1:9" ht="17.399999999999999" x14ac:dyDescent="0.25">
      <c r="A1533" s="16"/>
      <c r="B1533" s="17"/>
      <c r="C1533" s="2"/>
      <c r="D1533" s="2"/>
      <c r="E1533" s="2"/>
      <c r="F1533" s="2"/>
      <c r="G1533" s="2"/>
      <c r="H1533" s="2"/>
      <c r="I1533" s="5"/>
    </row>
    <row r="1534" spans="1:9" ht="17.399999999999999" x14ac:dyDescent="0.25">
      <c r="A1534" s="16"/>
      <c r="B1534" s="17"/>
      <c r="C1534" s="2"/>
      <c r="D1534" s="2"/>
      <c r="E1534" s="2"/>
      <c r="F1534" s="2"/>
      <c r="G1534" s="2"/>
      <c r="H1534" s="2"/>
      <c r="I1534" s="5"/>
    </row>
    <row r="1535" spans="1:9" ht="17.399999999999999" x14ac:dyDescent="0.25">
      <c r="A1535" s="16"/>
      <c r="B1535" s="17"/>
      <c r="C1535" s="2"/>
      <c r="D1535" s="2"/>
      <c r="E1535" s="2"/>
      <c r="F1535" s="2"/>
      <c r="G1535" s="2"/>
      <c r="H1535" s="2"/>
      <c r="I1535" s="5"/>
    </row>
    <row r="1536" spans="1:9" ht="17.399999999999999" x14ac:dyDescent="0.25">
      <c r="A1536" s="16"/>
      <c r="B1536" s="17"/>
      <c r="C1536" s="2"/>
      <c r="D1536" s="2"/>
      <c r="E1536" s="2"/>
      <c r="F1536" s="2"/>
      <c r="G1536" s="2"/>
      <c r="H1536" s="2"/>
      <c r="I1536" s="5"/>
    </row>
    <row r="1537" spans="1:9" ht="17.399999999999999" x14ac:dyDescent="0.25">
      <c r="A1537" s="16"/>
      <c r="B1537" s="17"/>
      <c r="C1537" s="2"/>
      <c r="D1537" s="2"/>
      <c r="E1537" s="2"/>
      <c r="F1537" s="2"/>
      <c r="G1537" s="2"/>
      <c r="H1537" s="2"/>
      <c r="I1537" s="5"/>
    </row>
    <row r="1538" spans="1:9" ht="17.399999999999999" x14ac:dyDescent="0.25">
      <c r="A1538" s="16"/>
      <c r="B1538" s="17"/>
      <c r="C1538" s="2"/>
      <c r="D1538" s="2"/>
      <c r="E1538" s="2"/>
      <c r="F1538" s="2"/>
      <c r="G1538" s="2"/>
      <c r="H1538" s="2"/>
      <c r="I1538" s="5"/>
    </row>
    <row r="1539" spans="1:9" ht="17.399999999999999" x14ac:dyDescent="0.25">
      <c r="A1539" s="16"/>
      <c r="B1539" s="17"/>
      <c r="C1539" s="2"/>
      <c r="D1539" s="2"/>
      <c r="E1539" s="2"/>
      <c r="F1539" s="2"/>
      <c r="G1539" s="2"/>
      <c r="H1539" s="2"/>
      <c r="I1539" s="5"/>
    </row>
    <row r="1540" spans="1:9" ht="17.399999999999999" x14ac:dyDescent="0.25">
      <c r="A1540" s="16"/>
      <c r="B1540" s="17"/>
      <c r="C1540" s="2"/>
      <c r="D1540" s="2"/>
      <c r="E1540" s="2"/>
      <c r="F1540" s="2"/>
      <c r="G1540" s="2"/>
      <c r="H1540" s="2"/>
      <c r="I1540" s="5"/>
    </row>
    <row r="1541" spans="1:9" ht="17.399999999999999" x14ac:dyDescent="0.25">
      <c r="A1541" s="16"/>
      <c r="B1541" s="17"/>
      <c r="C1541" s="2"/>
      <c r="D1541" s="2"/>
      <c r="E1541" s="2"/>
      <c r="F1541" s="2"/>
      <c r="G1541" s="2"/>
      <c r="H1541" s="2"/>
      <c r="I1541" s="5"/>
    </row>
    <row r="1542" spans="1:9" ht="17.399999999999999" x14ac:dyDescent="0.25">
      <c r="A1542" s="16"/>
      <c r="B1542" s="17"/>
      <c r="C1542" s="2"/>
      <c r="D1542" s="2"/>
      <c r="E1542" s="2"/>
      <c r="F1542" s="2"/>
      <c r="G1542" s="2"/>
      <c r="H1542" s="2"/>
      <c r="I1542" s="5"/>
    </row>
    <row r="1543" spans="1:9" ht="17.399999999999999" x14ac:dyDescent="0.25">
      <c r="A1543" s="16"/>
      <c r="B1543" s="17"/>
      <c r="C1543" s="2"/>
      <c r="D1543" s="2"/>
      <c r="E1543" s="2"/>
      <c r="F1543" s="2"/>
      <c r="G1543" s="2"/>
      <c r="H1543" s="2"/>
      <c r="I1543" s="5"/>
    </row>
    <row r="1544" spans="1:9" ht="17.399999999999999" x14ac:dyDescent="0.25">
      <c r="A1544" s="16"/>
      <c r="B1544" s="17"/>
      <c r="C1544" s="2"/>
      <c r="D1544" s="2"/>
      <c r="E1544" s="2"/>
      <c r="F1544" s="2"/>
      <c r="G1544" s="2"/>
      <c r="H1544" s="2"/>
      <c r="I1544" s="5"/>
    </row>
    <row r="1545" spans="1:9" ht="17.399999999999999" x14ac:dyDescent="0.25">
      <c r="A1545" s="16"/>
      <c r="B1545" s="17"/>
      <c r="C1545" s="2"/>
      <c r="D1545" s="2"/>
      <c r="E1545" s="2"/>
      <c r="F1545" s="2"/>
      <c r="G1545" s="2"/>
      <c r="H1545" s="2"/>
      <c r="I1545" s="5"/>
    </row>
    <row r="1546" spans="1:9" ht="17.399999999999999" x14ac:dyDescent="0.25">
      <c r="A1546" s="16"/>
      <c r="B1546" s="17"/>
      <c r="C1546" s="2"/>
      <c r="D1546" s="2"/>
      <c r="E1546" s="2"/>
      <c r="F1546" s="2"/>
      <c r="G1546" s="2"/>
      <c r="H1546" s="2"/>
      <c r="I1546" s="5"/>
    </row>
    <row r="1547" spans="1:9" ht="17.399999999999999" x14ac:dyDescent="0.25">
      <c r="A1547" s="16"/>
      <c r="B1547" s="17"/>
      <c r="C1547" s="2"/>
      <c r="D1547" s="2"/>
      <c r="E1547" s="2"/>
      <c r="F1547" s="2"/>
      <c r="G1547" s="2"/>
      <c r="H1547" s="2"/>
      <c r="I1547" s="5"/>
    </row>
    <row r="1548" spans="1:9" ht="17.399999999999999" x14ac:dyDescent="0.25">
      <c r="A1548" s="16"/>
      <c r="B1548" s="17"/>
      <c r="C1548" s="2"/>
      <c r="D1548" s="2"/>
      <c r="E1548" s="2"/>
      <c r="F1548" s="2"/>
      <c r="G1548" s="2"/>
      <c r="H1548" s="2"/>
      <c r="I1548" s="5"/>
    </row>
    <row r="1549" spans="1:9" ht="17.399999999999999" x14ac:dyDescent="0.25">
      <c r="A1549" s="16"/>
      <c r="B1549" s="17"/>
      <c r="C1549" s="2"/>
      <c r="D1549" s="2"/>
      <c r="E1549" s="2"/>
      <c r="F1549" s="2"/>
      <c r="G1549" s="2"/>
      <c r="H1549" s="2"/>
      <c r="I1549" s="5"/>
    </row>
    <row r="1550" spans="1:9" ht="17.399999999999999" x14ac:dyDescent="0.25">
      <c r="A1550" s="16"/>
      <c r="B1550" s="17"/>
      <c r="C1550" s="2"/>
      <c r="D1550" s="2"/>
      <c r="E1550" s="2"/>
      <c r="F1550" s="2"/>
      <c r="G1550" s="2"/>
      <c r="H1550" s="2"/>
      <c r="I1550" s="5"/>
    </row>
    <row r="1551" spans="1:9" ht="17.399999999999999" x14ac:dyDescent="0.25">
      <c r="A1551" s="16"/>
      <c r="B1551" s="17"/>
      <c r="C1551" s="2"/>
      <c r="D1551" s="2"/>
      <c r="E1551" s="2"/>
      <c r="F1551" s="2"/>
      <c r="G1551" s="2"/>
      <c r="H1551" s="2"/>
      <c r="I1551" s="5"/>
    </row>
    <row r="1552" spans="1:9" ht="17.399999999999999" x14ac:dyDescent="0.25">
      <c r="A1552" s="16"/>
      <c r="B1552" s="17"/>
      <c r="C1552" s="2"/>
      <c r="D1552" s="2"/>
      <c r="E1552" s="2"/>
      <c r="F1552" s="2"/>
      <c r="G1552" s="2"/>
      <c r="H1552" s="2"/>
      <c r="I1552" s="5"/>
    </row>
    <row r="1553" spans="1:9" ht="17.399999999999999" x14ac:dyDescent="0.25">
      <c r="A1553" s="16"/>
      <c r="B1553" s="17"/>
      <c r="C1553" s="2"/>
      <c r="D1553" s="2"/>
      <c r="E1553" s="2"/>
      <c r="F1553" s="2"/>
      <c r="G1553" s="2"/>
      <c r="H1553" s="2"/>
      <c r="I1553" s="5"/>
    </row>
    <row r="1554" spans="1:9" ht="17.399999999999999" x14ac:dyDescent="0.25">
      <c r="A1554" s="16"/>
      <c r="B1554" s="17"/>
      <c r="C1554" s="2"/>
      <c r="D1554" s="2"/>
      <c r="E1554" s="2"/>
      <c r="F1554" s="2"/>
      <c r="G1554" s="2"/>
      <c r="H1554" s="2"/>
      <c r="I1554" s="5"/>
    </row>
    <row r="1555" spans="1:9" ht="17.399999999999999" x14ac:dyDescent="0.25">
      <c r="A1555" s="16"/>
      <c r="B1555" s="17"/>
      <c r="C1555" s="2"/>
      <c r="D1555" s="2"/>
      <c r="E1555" s="2"/>
      <c r="F1555" s="2"/>
      <c r="G1555" s="2"/>
      <c r="H1555" s="2"/>
      <c r="I1555" s="5"/>
    </row>
    <row r="1556" spans="1:9" ht="17.399999999999999" x14ac:dyDescent="0.25">
      <c r="A1556" s="16"/>
      <c r="B1556" s="17"/>
      <c r="C1556" s="2"/>
      <c r="D1556" s="2"/>
      <c r="E1556" s="2"/>
      <c r="F1556" s="2"/>
      <c r="G1556" s="2"/>
      <c r="H1556" s="2"/>
      <c r="I1556" s="5"/>
    </row>
    <row r="1557" spans="1:9" ht="17.399999999999999" x14ac:dyDescent="0.25">
      <c r="A1557" s="16"/>
      <c r="B1557" s="17"/>
      <c r="C1557" s="2"/>
      <c r="D1557" s="2"/>
      <c r="E1557" s="2"/>
      <c r="F1557" s="2"/>
      <c r="G1557" s="2"/>
      <c r="H1557" s="2"/>
      <c r="I1557" s="5"/>
    </row>
    <row r="1558" spans="1:9" ht="17.399999999999999" x14ac:dyDescent="0.25">
      <c r="A1558" s="16"/>
      <c r="B1558" s="17"/>
      <c r="C1558" s="2"/>
      <c r="D1558" s="2"/>
      <c r="E1558" s="2"/>
      <c r="F1558" s="2"/>
      <c r="G1558" s="2"/>
      <c r="H1558" s="2"/>
      <c r="I1558" s="5"/>
    </row>
    <row r="1559" spans="1:9" ht="17.399999999999999" x14ac:dyDescent="0.25">
      <c r="A1559" s="16"/>
      <c r="B1559" s="17"/>
      <c r="C1559" s="2"/>
      <c r="D1559" s="2"/>
      <c r="E1559" s="2"/>
      <c r="F1559" s="2"/>
      <c r="G1559" s="2"/>
      <c r="H1559" s="2"/>
      <c r="I1559" s="5"/>
    </row>
    <row r="1560" spans="1:9" ht="17.399999999999999" x14ac:dyDescent="0.25">
      <c r="A1560" s="16"/>
      <c r="B1560" s="17"/>
      <c r="C1560" s="2"/>
      <c r="D1560" s="2"/>
      <c r="E1560" s="2"/>
      <c r="F1560" s="2"/>
      <c r="G1560" s="2"/>
      <c r="H1560" s="2"/>
      <c r="I1560" s="5"/>
    </row>
    <row r="1561" spans="1:9" ht="17.399999999999999" x14ac:dyDescent="0.25">
      <c r="A1561" s="16"/>
      <c r="B1561" s="17"/>
      <c r="C1561" s="2"/>
      <c r="D1561" s="2"/>
      <c r="E1561" s="2"/>
      <c r="F1561" s="2"/>
      <c r="G1561" s="2"/>
      <c r="H1561" s="2"/>
      <c r="I1561" s="5"/>
    </row>
    <row r="1562" spans="1:9" ht="17.399999999999999" x14ac:dyDescent="0.25">
      <c r="A1562" s="16"/>
      <c r="B1562" s="17"/>
      <c r="C1562" s="2"/>
      <c r="D1562" s="2"/>
      <c r="E1562" s="2"/>
      <c r="F1562" s="2"/>
      <c r="G1562" s="2"/>
      <c r="H1562" s="2"/>
      <c r="I1562" s="5"/>
    </row>
    <row r="1563" spans="1:9" ht="17.399999999999999" x14ac:dyDescent="0.25">
      <c r="A1563" s="16"/>
      <c r="B1563" s="17"/>
      <c r="C1563" s="2"/>
      <c r="D1563" s="2"/>
      <c r="E1563" s="2"/>
      <c r="F1563" s="2"/>
      <c r="G1563" s="2"/>
      <c r="H1563" s="2"/>
      <c r="I1563" s="5"/>
    </row>
    <row r="1564" spans="1:9" ht="17.399999999999999" x14ac:dyDescent="0.25">
      <c r="A1564" s="16"/>
      <c r="B1564" s="17"/>
      <c r="C1564" s="2"/>
      <c r="D1564" s="2"/>
      <c r="E1564" s="2"/>
      <c r="F1564" s="2"/>
      <c r="G1564" s="2"/>
      <c r="H1564" s="2"/>
      <c r="I1564" s="5"/>
    </row>
    <row r="1565" spans="1:9" ht="17.399999999999999" x14ac:dyDescent="0.25">
      <c r="A1565" s="16"/>
      <c r="B1565" s="17"/>
      <c r="C1565" s="2"/>
      <c r="D1565" s="2"/>
      <c r="E1565" s="2"/>
      <c r="F1565" s="2"/>
      <c r="G1565" s="2"/>
      <c r="H1565" s="2"/>
      <c r="I1565" s="5"/>
    </row>
    <row r="1566" spans="1:9" ht="17.399999999999999" x14ac:dyDescent="0.25">
      <c r="A1566" s="16"/>
      <c r="B1566" s="17"/>
      <c r="C1566" s="2"/>
      <c r="D1566" s="2"/>
      <c r="E1566" s="2"/>
      <c r="F1566" s="2"/>
      <c r="G1566" s="2"/>
      <c r="H1566" s="2"/>
      <c r="I1566" s="5"/>
    </row>
    <row r="1567" spans="1:9" ht="17.399999999999999" x14ac:dyDescent="0.25">
      <c r="A1567" s="16"/>
      <c r="B1567" s="17"/>
      <c r="C1567" s="2"/>
      <c r="D1567" s="2"/>
      <c r="E1567" s="2"/>
      <c r="F1567" s="2"/>
      <c r="G1567" s="2"/>
      <c r="H1567" s="2"/>
      <c r="I1567" s="5"/>
    </row>
    <row r="1568" spans="1:9" ht="17.399999999999999" x14ac:dyDescent="0.25">
      <c r="A1568" s="16"/>
      <c r="B1568" s="17"/>
      <c r="C1568" s="2"/>
      <c r="D1568" s="2"/>
      <c r="E1568" s="2"/>
      <c r="F1568" s="2"/>
      <c r="G1568" s="2"/>
      <c r="H1568" s="2"/>
      <c r="I1568" s="5"/>
    </row>
    <row r="1569" spans="1:9" ht="17.399999999999999" x14ac:dyDescent="0.25">
      <c r="A1569" s="16"/>
      <c r="B1569" s="17"/>
      <c r="C1569" s="2"/>
      <c r="D1569" s="2"/>
      <c r="E1569" s="2"/>
      <c r="F1569" s="2"/>
      <c r="G1569" s="2"/>
      <c r="H1569" s="2"/>
      <c r="I1569" s="5"/>
    </row>
    <row r="1570" spans="1:9" ht="17.399999999999999" x14ac:dyDescent="0.25">
      <c r="A1570" s="16"/>
      <c r="B1570" s="17"/>
      <c r="C1570" s="2"/>
      <c r="D1570" s="2"/>
      <c r="E1570" s="2"/>
      <c r="F1570" s="2"/>
      <c r="G1570" s="2"/>
      <c r="H1570" s="2"/>
      <c r="I1570" s="5"/>
    </row>
    <row r="1571" spans="1:9" ht="17.399999999999999" x14ac:dyDescent="0.25">
      <c r="A1571" s="16"/>
      <c r="B1571" s="17"/>
      <c r="C1571" s="2"/>
      <c r="D1571" s="2"/>
      <c r="E1571" s="2"/>
      <c r="F1571" s="2"/>
      <c r="G1571" s="2"/>
      <c r="H1571" s="2"/>
      <c r="I1571" s="5"/>
    </row>
    <row r="1572" spans="1:9" ht="17.399999999999999" x14ac:dyDescent="0.25">
      <c r="A1572" s="16"/>
      <c r="B1572" s="17"/>
      <c r="C1572" s="2"/>
      <c r="D1572" s="2"/>
      <c r="E1572" s="2"/>
      <c r="F1572" s="2"/>
      <c r="G1572" s="2"/>
      <c r="H1572" s="2"/>
      <c r="I1572" s="5"/>
    </row>
    <row r="1573" spans="1:9" ht="17.399999999999999" x14ac:dyDescent="0.25">
      <c r="A1573" s="16"/>
      <c r="B1573" s="17"/>
      <c r="C1573" s="2"/>
      <c r="D1573" s="2"/>
      <c r="E1573" s="2"/>
      <c r="F1573" s="2"/>
      <c r="G1573" s="2"/>
      <c r="H1573" s="2"/>
      <c r="I1573" s="5"/>
    </row>
    <row r="1574" spans="1:9" ht="17.399999999999999" x14ac:dyDescent="0.25">
      <c r="A1574" s="16"/>
      <c r="B1574" s="17"/>
      <c r="C1574" s="2"/>
      <c r="D1574" s="2"/>
      <c r="E1574" s="2"/>
      <c r="F1574" s="2"/>
      <c r="G1574" s="2"/>
      <c r="H1574" s="2"/>
      <c r="I1574" s="5"/>
    </row>
    <row r="1575" spans="1:9" ht="17.399999999999999" x14ac:dyDescent="0.25">
      <c r="A1575" s="16"/>
      <c r="B1575" s="17"/>
      <c r="C1575" s="2"/>
      <c r="D1575" s="2"/>
      <c r="E1575" s="2"/>
      <c r="F1575" s="2"/>
      <c r="G1575" s="2"/>
      <c r="H1575" s="2"/>
      <c r="I1575" s="5"/>
    </row>
    <row r="1576" spans="1:9" ht="17.399999999999999" x14ac:dyDescent="0.25">
      <c r="A1576" s="16"/>
      <c r="B1576" s="17"/>
      <c r="C1576" s="2"/>
      <c r="D1576" s="2"/>
      <c r="E1576" s="2"/>
      <c r="F1576" s="2"/>
      <c r="G1576" s="2"/>
      <c r="H1576" s="2"/>
      <c r="I1576" s="5"/>
    </row>
    <row r="1577" spans="1:9" ht="17.399999999999999" x14ac:dyDescent="0.25">
      <c r="A1577" s="16"/>
      <c r="B1577" s="17"/>
      <c r="C1577" s="2"/>
      <c r="D1577" s="2"/>
      <c r="E1577" s="2"/>
      <c r="F1577" s="2"/>
      <c r="G1577" s="2"/>
      <c r="H1577" s="2"/>
      <c r="I1577" s="5"/>
    </row>
    <row r="1578" spans="1:9" ht="17.399999999999999" x14ac:dyDescent="0.25">
      <c r="A1578" s="16"/>
      <c r="B1578" s="17"/>
      <c r="C1578" s="2"/>
      <c r="D1578" s="2"/>
      <c r="E1578" s="2"/>
      <c r="F1578" s="2"/>
      <c r="G1578" s="2"/>
      <c r="H1578" s="2"/>
      <c r="I1578" s="5"/>
    </row>
    <row r="1579" spans="1:9" ht="17.399999999999999" x14ac:dyDescent="0.25">
      <c r="A1579" s="16"/>
      <c r="B1579" s="17"/>
      <c r="C1579" s="2"/>
      <c r="D1579" s="2"/>
      <c r="E1579" s="2"/>
      <c r="F1579" s="2"/>
      <c r="G1579" s="2"/>
      <c r="H1579" s="2"/>
      <c r="I1579" s="5"/>
    </row>
    <row r="1580" spans="1:9" ht="17.399999999999999" x14ac:dyDescent="0.25">
      <c r="A1580" s="16"/>
      <c r="B1580" s="17"/>
      <c r="C1580" s="2"/>
      <c r="D1580" s="2"/>
      <c r="E1580" s="2"/>
      <c r="F1580" s="2"/>
      <c r="G1580" s="2"/>
      <c r="H1580" s="2"/>
      <c r="I1580" s="5"/>
    </row>
    <row r="1581" spans="1:9" ht="17.399999999999999" x14ac:dyDescent="0.25">
      <c r="A1581" s="16"/>
      <c r="B1581" s="17"/>
      <c r="C1581" s="2"/>
      <c r="D1581" s="2"/>
      <c r="E1581" s="2"/>
      <c r="F1581" s="2"/>
      <c r="G1581" s="2"/>
      <c r="H1581" s="2"/>
      <c r="I1581" s="5"/>
    </row>
    <row r="1582" spans="1:9" ht="17.399999999999999" x14ac:dyDescent="0.25">
      <c r="A1582" s="16"/>
      <c r="B1582" s="17"/>
      <c r="C1582" s="2"/>
      <c r="D1582" s="2"/>
      <c r="E1582" s="2"/>
      <c r="F1582" s="2"/>
      <c r="G1582" s="2"/>
      <c r="H1582" s="2"/>
      <c r="I1582" s="5"/>
    </row>
    <row r="1583" spans="1:9" ht="17.399999999999999" x14ac:dyDescent="0.25">
      <c r="A1583" s="16"/>
      <c r="B1583" s="17"/>
      <c r="C1583" s="2"/>
      <c r="D1583" s="2"/>
      <c r="E1583" s="2"/>
      <c r="F1583" s="2"/>
      <c r="G1583" s="2"/>
      <c r="H1583" s="2"/>
      <c r="I1583" s="5"/>
    </row>
    <row r="1584" spans="1:9" ht="17.399999999999999" x14ac:dyDescent="0.25">
      <c r="A1584" s="16"/>
      <c r="B1584" s="17"/>
      <c r="C1584" s="2"/>
      <c r="D1584" s="2"/>
      <c r="E1584" s="2"/>
      <c r="F1584" s="2"/>
      <c r="G1584" s="2"/>
      <c r="H1584" s="2"/>
      <c r="I1584" s="5"/>
    </row>
    <row r="1585" spans="1:9" ht="17.399999999999999" x14ac:dyDescent="0.25">
      <c r="A1585" s="16"/>
      <c r="B1585" s="17"/>
      <c r="C1585" s="2"/>
      <c r="D1585" s="2"/>
      <c r="E1585" s="2"/>
      <c r="F1585" s="2"/>
      <c r="G1585" s="2"/>
      <c r="H1585" s="2"/>
      <c r="I1585" s="5"/>
    </row>
    <row r="1586" spans="1:9" ht="17.399999999999999" x14ac:dyDescent="0.25">
      <c r="A1586" s="16"/>
      <c r="B1586" s="17"/>
      <c r="C1586" s="2"/>
      <c r="D1586" s="2"/>
      <c r="E1586" s="2"/>
      <c r="F1586" s="2"/>
      <c r="G1586" s="2"/>
      <c r="H1586" s="2"/>
      <c r="I1586" s="5"/>
    </row>
    <row r="1587" spans="1:9" ht="17.399999999999999" x14ac:dyDescent="0.25">
      <c r="A1587" s="16"/>
      <c r="B1587" s="17"/>
      <c r="C1587" s="2"/>
      <c r="D1587" s="2"/>
      <c r="E1587" s="2"/>
      <c r="F1587" s="2"/>
      <c r="G1587" s="2"/>
      <c r="H1587" s="2"/>
      <c r="I1587" s="5"/>
    </row>
    <row r="1588" spans="1:9" ht="17.399999999999999" x14ac:dyDescent="0.25">
      <c r="A1588" s="16"/>
      <c r="B1588" s="17"/>
      <c r="C1588" s="2"/>
      <c r="D1588" s="2"/>
      <c r="E1588" s="2"/>
      <c r="F1588" s="2"/>
      <c r="G1588" s="2"/>
      <c r="H1588" s="2"/>
      <c r="I1588" s="5"/>
    </row>
    <row r="1589" spans="1:9" ht="17.399999999999999" x14ac:dyDescent="0.25">
      <c r="A1589" s="16"/>
      <c r="B1589" s="17"/>
      <c r="C1589" s="2"/>
      <c r="D1589" s="2"/>
      <c r="E1589" s="2"/>
      <c r="F1589" s="2"/>
      <c r="G1589" s="2"/>
      <c r="H1589" s="2"/>
      <c r="I1589" s="5"/>
    </row>
    <row r="1590" spans="1:9" ht="17.399999999999999" x14ac:dyDescent="0.25">
      <c r="A1590" s="16"/>
      <c r="B1590" s="17"/>
      <c r="C1590" s="2"/>
      <c r="D1590" s="2"/>
      <c r="E1590" s="2"/>
      <c r="F1590" s="2"/>
      <c r="G1590" s="2"/>
      <c r="H1590" s="2"/>
      <c r="I1590" s="5"/>
    </row>
    <row r="1591" spans="1:9" ht="17.399999999999999" x14ac:dyDescent="0.25">
      <c r="A1591" s="16"/>
      <c r="B1591" s="17"/>
      <c r="C1591" s="2"/>
      <c r="D1591" s="2"/>
      <c r="E1591" s="2"/>
      <c r="F1591" s="2"/>
      <c r="G1591" s="2"/>
      <c r="H1591" s="2"/>
      <c r="I1591" s="5"/>
    </row>
    <row r="1592" spans="1:9" ht="17.399999999999999" x14ac:dyDescent="0.25">
      <c r="A1592" s="16"/>
      <c r="B1592" s="17"/>
      <c r="C1592" s="2"/>
      <c r="D1592" s="2"/>
      <c r="E1592" s="2"/>
      <c r="F1592" s="2"/>
      <c r="G1592" s="2"/>
      <c r="H1592" s="2"/>
      <c r="I1592" s="5"/>
    </row>
    <row r="1593" spans="1:9" ht="17.399999999999999" x14ac:dyDescent="0.25">
      <c r="A1593" s="16"/>
      <c r="B1593" s="17"/>
      <c r="C1593" s="2"/>
      <c r="D1593" s="2"/>
      <c r="E1593" s="2"/>
      <c r="F1593" s="2"/>
      <c r="G1593" s="2"/>
      <c r="H1593" s="2"/>
      <c r="I1593" s="5"/>
    </row>
    <row r="1594" spans="1:9" ht="17.399999999999999" x14ac:dyDescent="0.25">
      <c r="A1594" s="16"/>
      <c r="B1594" s="17"/>
      <c r="C1594" s="2"/>
      <c r="D1594" s="2"/>
      <c r="E1594" s="2"/>
      <c r="F1594" s="2"/>
      <c r="G1594" s="2"/>
      <c r="H1594" s="2"/>
      <c r="I1594" s="5"/>
    </row>
    <row r="1595" spans="1:9" ht="17.399999999999999" x14ac:dyDescent="0.25">
      <c r="A1595" s="16"/>
      <c r="B1595" s="17"/>
      <c r="C1595" s="2"/>
      <c r="D1595" s="2"/>
      <c r="E1595" s="2"/>
      <c r="F1595" s="2"/>
      <c r="G1595" s="2"/>
      <c r="H1595" s="2"/>
      <c r="I1595" s="5"/>
    </row>
    <row r="1596" spans="1:9" ht="17.399999999999999" x14ac:dyDescent="0.25">
      <c r="A1596" s="16"/>
      <c r="B1596" s="17"/>
      <c r="C1596" s="2"/>
      <c r="D1596" s="2"/>
      <c r="E1596" s="2"/>
      <c r="F1596" s="2"/>
      <c r="G1596" s="2"/>
      <c r="H1596" s="2"/>
      <c r="I1596" s="5"/>
    </row>
    <row r="1597" spans="1:9" ht="17.399999999999999" x14ac:dyDescent="0.25">
      <c r="A1597" s="16"/>
      <c r="B1597" s="17"/>
      <c r="C1597" s="2"/>
      <c r="D1597" s="2"/>
      <c r="E1597" s="2"/>
      <c r="F1597" s="2"/>
      <c r="G1597" s="2"/>
      <c r="H1597" s="2"/>
      <c r="I1597" s="5"/>
    </row>
    <row r="1598" spans="1:9" ht="17.399999999999999" x14ac:dyDescent="0.25">
      <c r="A1598" s="16"/>
      <c r="B1598" s="17"/>
      <c r="C1598" s="2"/>
      <c r="D1598" s="2"/>
      <c r="E1598" s="2"/>
      <c r="F1598" s="2"/>
      <c r="G1598" s="2"/>
      <c r="H1598" s="2"/>
      <c r="I1598" s="5"/>
    </row>
    <row r="1599" spans="1:9" ht="17.399999999999999" x14ac:dyDescent="0.25">
      <c r="A1599" s="16"/>
      <c r="B1599" s="17"/>
      <c r="C1599" s="2"/>
      <c r="D1599" s="2"/>
      <c r="E1599" s="2"/>
      <c r="F1599" s="2"/>
      <c r="G1599" s="2"/>
      <c r="H1599" s="2"/>
      <c r="I1599" s="5"/>
    </row>
    <row r="1600" spans="1:9" ht="17.399999999999999" x14ac:dyDescent="0.25">
      <c r="A1600" s="16"/>
      <c r="B1600" s="17"/>
      <c r="C1600" s="2"/>
      <c r="D1600" s="2"/>
      <c r="E1600" s="2"/>
      <c r="F1600" s="2"/>
      <c r="G1600" s="2"/>
      <c r="H1600" s="2"/>
      <c r="I1600" s="5"/>
    </row>
    <row r="1601" spans="1:9" ht="17.399999999999999" x14ac:dyDescent="0.25">
      <c r="A1601" s="16"/>
      <c r="B1601" s="17"/>
      <c r="C1601" s="2"/>
      <c r="D1601" s="2"/>
      <c r="E1601" s="2"/>
      <c r="F1601" s="2"/>
      <c r="G1601" s="2"/>
      <c r="H1601" s="2"/>
      <c r="I1601" s="5"/>
    </row>
    <row r="1602" spans="1:9" ht="17.399999999999999" x14ac:dyDescent="0.25">
      <c r="A1602" s="16"/>
      <c r="B1602" s="17"/>
      <c r="C1602" s="2"/>
      <c r="D1602" s="2"/>
      <c r="E1602" s="2"/>
      <c r="F1602" s="2"/>
      <c r="G1602" s="2"/>
      <c r="H1602" s="2"/>
      <c r="I1602" s="5"/>
    </row>
    <row r="1603" spans="1:9" ht="17.399999999999999" x14ac:dyDescent="0.25">
      <c r="A1603" s="16"/>
      <c r="B1603" s="17"/>
      <c r="C1603" s="2"/>
      <c r="D1603" s="2"/>
      <c r="E1603" s="2"/>
      <c r="F1603" s="2"/>
      <c r="G1603" s="2"/>
      <c r="H1603" s="2"/>
      <c r="I1603" s="5"/>
    </row>
    <row r="1604" spans="1:9" ht="17.399999999999999" x14ac:dyDescent="0.25">
      <c r="A1604" s="16"/>
      <c r="B1604" s="17"/>
      <c r="C1604" s="2"/>
      <c r="D1604" s="2"/>
      <c r="E1604" s="2"/>
      <c r="F1604" s="2"/>
      <c r="G1604" s="2"/>
      <c r="H1604" s="2"/>
      <c r="I1604" s="5"/>
    </row>
    <row r="1605" spans="1:9" ht="17.399999999999999" x14ac:dyDescent="0.25">
      <c r="A1605" s="16"/>
      <c r="B1605" s="17"/>
      <c r="C1605" s="2"/>
      <c r="D1605" s="2"/>
      <c r="E1605" s="2"/>
      <c r="F1605" s="2"/>
      <c r="G1605" s="2"/>
      <c r="H1605" s="2"/>
      <c r="I1605" s="5"/>
    </row>
    <row r="1606" spans="1:9" ht="17.399999999999999" x14ac:dyDescent="0.25">
      <c r="A1606" s="16"/>
      <c r="B1606" s="17"/>
      <c r="C1606" s="2"/>
      <c r="D1606" s="2"/>
      <c r="E1606" s="2"/>
      <c r="F1606" s="2"/>
      <c r="G1606" s="2"/>
      <c r="H1606" s="2"/>
      <c r="I1606" s="5"/>
    </row>
    <row r="1607" spans="1:9" ht="17.399999999999999" x14ac:dyDescent="0.25">
      <c r="A1607" s="16"/>
      <c r="B1607" s="17"/>
      <c r="C1607" s="2"/>
      <c r="D1607" s="2"/>
      <c r="E1607" s="2"/>
      <c r="F1607" s="2"/>
      <c r="G1607" s="2"/>
      <c r="H1607" s="2"/>
      <c r="I1607" s="5"/>
    </row>
    <row r="1608" spans="1:9" ht="17.399999999999999" x14ac:dyDescent="0.25">
      <c r="A1608" s="16"/>
      <c r="B1608" s="17"/>
      <c r="C1608" s="2"/>
      <c r="D1608" s="2"/>
      <c r="E1608" s="2"/>
      <c r="F1608" s="2"/>
      <c r="G1608" s="2"/>
      <c r="H1608" s="2"/>
      <c r="I1608" s="5"/>
    </row>
    <row r="1609" spans="1:9" ht="17.399999999999999" x14ac:dyDescent="0.25">
      <c r="A1609" s="16"/>
      <c r="B1609" s="17"/>
      <c r="C1609" s="2"/>
      <c r="D1609" s="2"/>
      <c r="E1609" s="2"/>
      <c r="F1609" s="2"/>
      <c r="G1609" s="2"/>
      <c r="H1609" s="2"/>
      <c r="I1609" s="5"/>
    </row>
    <row r="1610" spans="1:9" ht="17.399999999999999" x14ac:dyDescent="0.25">
      <c r="A1610" s="16"/>
      <c r="B1610" s="17"/>
      <c r="C1610" s="2"/>
      <c r="D1610" s="2"/>
      <c r="E1610" s="2"/>
      <c r="F1610" s="2"/>
      <c r="G1610" s="2"/>
      <c r="H1610" s="2"/>
      <c r="I1610" s="5"/>
    </row>
    <row r="1611" spans="1:9" ht="17.399999999999999" x14ac:dyDescent="0.25">
      <c r="A1611" s="16"/>
      <c r="B1611" s="17"/>
      <c r="C1611" s="2"/>
      <c r="D1611" s="2"/>
      <c r="E1611" s="2"/>
      <c r="F1611" s="2"/>
      <c r="G1611" s="2"/>
      <c r="H1611" s="2"/>
      <c r="I1611" s="5"/>
    </row>
    <row r="1612" spans="1:9" ht="17.399999999999999" x14ac:dyDescent="0.25">
      <c r="A1612" s="16"/>
      <c r="B1612" s="17"/>
      <c r="C1612" s="2"/>
      <c r="D1612" s="2"/>
      <c r="E1612" s="2"/>
      <c r="F1612" s="2"/>
      <c r="G1612" s="2"/>
      <c r="H1612" s="2"/>
      <c r="I1612" s="5"/>
    </row>
    <row r="1613" spans="1:9" ht="17.399999999999999" x14ac:dyDescent="0.25">
      <c r="A1613" s="16"/>
      <c r="B1613" s="17"/>
      <c r="C1613" s="2"/>
      <c r="D1613" s="2"/>
      <c r="E1613" s="2"/>
      <c r="F1613" s="2"/>
      <c r="G1613" s="2"/>
      <c r="H1613" s="2"/>
      <c r="I1613" s="5"/>
    </row>
    <row r="1614" spans="1:9" ht="17.399999999999999" x14ac:dyDescent="0.25">
      <c r="A1614" s="16"/>
      <c r="B1614" s="17"/>
      <c r="C1614" s="2"/>
      <c r="D1614" s="2"/>
      <c r="E1614" s="2"/>
      <c r="F1614" s="2"/>
      <c r="G1614" s="2"/>
      <c r="H1614" s="2"/>
      <c r="I1614" s="5"/>
    </row>
    <row r="1615" spans="1:9" ht="17.399999999999999" x14ac:dyDescent="0.25">
      <c r="A1615" s="16"/>
      <c r="B1615" s="17"/>
      <c r="C1615" s="2"/>
      <c r="D1615" s="2"/>
      <c r="E1615" s="2"/>
      <c r="F1615" s="2"/>
      <c r="G1615" s="2"/>
      <c r="H1615" s="2"/>
      <c r="I1615" s="5"/>
    </row>
    <row r="1616" spans="1:9" ht="17.399999999999999" x14ac:dyDescent="0.25">
      <c r="A1616" s="16"/>
      <c r="B1616" s="17"/>
      <c r="C1616" s="2"/>
      <c r="D1616" s="2"/>
      <c r="E1616" s="2"/>
      <c r="F1616" s="2"/>
      <c r="G1616" s="2"/>
      <c r="H1616" s="2"/>
      <c r="I1616" s="5"/>
    </row>
    <row r="1617" spans="1:9" ht="17.399999999999999" x14ac:dyDescent="0.25">
      <c r="A1617" s="16"/>
      <c r="B1617" s="17"/>
      <c r="C1617" s="2"/>
      <c r="D1617" s="2"/>
      <c r="E1617" s="2"/>
      <c r="F1617" s="2"/>
      <c r="G1617" s="2"/>
      <c r="H1617" s="2"/>
      <c r="I1617" s="5"/>
    </row>
    <row r="1618" spans="1:9" ht="17.399999999999999" x14ac:dyDescent="0.25">
      <c r="A1618" s="16"/>
      <c r="B1618" s="17"/>
      <c r="C1618" s="2"/>
      <c r="D1618" s="2"/>
      <c r="E1618" s="2"/>
      <c r="F1618" s="2"/>
      <c r="G1618" s="2"/>
      <c r="H1618" s="2"/>
      <c r="I1618" s="5"/>
    </row>
    <row r="1619" spans="1:9" ht="17.399999999999999" x14ac:dyDescent="0.25">
      <c r="A1619" s="16"/>
      <c r="B1619" s="17"/>
      <c r="C1619" s="2"/>
      <c r="D1619" s="2"/>
      <c r="E1619" s="2"/>
      <c r="F1619" s="2"/>
      <c r="G1619" s="2"/>
      <c r="H1619" s="2"/>
      <c r="I1619" s="5"/>
    </row>
    <row r="1620" spans="1:9" ht="17.399999999999999" x14ac:dyDescent="0.25">
      <c r="A1620" s="16"/>
      <c r="B1620" s="17"/>
      <c r="C1620" s="2"/>
      <c r="D1620" s="2"/>
      <c r="E1620" s="2"/>
      <c r="F1620" s="2"/>
      <c r="G1620" s="2"/>
      <c r="H1620" s="2"/>
      <c r="I1620" s="5"/>
    </row>
    <row r="1621" spans="1:9" ht="17.399999999999999" x14ac:dyDescent="0.25">
      <c r="A1621" s="16"/>
      <c r="B1621" s="17"/>
      <c r="C1621" s="2"/>
      <c r="D1621" s="2"/>
      <c r="E1621" s="2"/>
      <c r="F1621" s="2"/>
      <c r="G1621" s="2"/>
      <c r="H1621" s="2"/>
      <c r="I1621" s="5"/>
    </row>
    <row r="1622" spans="1:9" ht="17.399999999999999" x14ac:dyDescent="0.25">
      <c r="A1622" s="16"/>
      <c r="B1622" s="17"/>
      <c r="C1622" s="2"/>
      <c r="D1622" s="2"/>
      <c r="E1622" s="2"/>
      <c r="F1622" s="2"/>
      <c r="G1622" s="2"/>
      <c r="H1622" s="2"/>
      <c r="I1622" s="5"/>
    </row>
    <row r="1623" spans="1:9" ht="17.399999999999999" x14ac:dyDescent="0.25">
      <c r="A1623" s="16"/>
      <c r="B1623" s="17"/>
      <c r="C1623" s="2"/>
      <c r="D1623" s="2"/>
      <c r="E1623" s="2"/>
      <c r="F1623" s="2"/>
      <c r="G1623" s="2"/>
      <c r="H1623" s="2"/>
      <c r="I1623" s="5"/>
    </row>
    <row r="1624" spans="1:9" ht="17.399999999999999" x14ac:dyDescent="0.25">
      <c r="A1624" s="16"/>
      <c r="B1624" s="17"/>
      <c r="C1624" s="2"/>
      <c r="D1624" s="2"/>
      <c r="E1624" s="2"/>
      <c r="F1624" s="2"/>
      <c r="G1624" s="2"/>
      <c r="H1624" s="2"/>
      <c r="I1624" s="5"/>
    </row>
    <row r="1625" spans="1:9" ht="17.399999999999999" x14ac:dyDescent="0.25">
      <c r="A1625" s="16"/>
      <c r="B1625" s="17"/>
      <c r="C1625" s="2"/>
      <c r="D1625" s="2"/>
      <c r="E1625" s="2"/>
      <c r="F1625" s="2"/>
      <c r="G1625" s="2"/>
      <c r="H1625" s="2"/>
      <c r="I1625" s="5"/>
    </row>
    <row r="1626" spans="1:9" ht="17.399999999999999" x14ac:dyDescent="0.25">
      <c r="A1626" s="16"/>
      <c r="B1626" s="17"/>
      <c r="C1626" s="2"/>
      <c r="D1626" s="2"/>
      <c r="E1626" s="2"/>
      <c r="F1626" s="2"/>
      <c r="G1626" s="2"/>
      <c r="H1626" s="2"/>
      <c r="I1626" s="5"/>
    </row>
    <row r="1627" spans="1:9" ht="17.399999999999999" x14ac:dyDescent="0.25">
      <c r="A1627" s="16"/>
      <c r="B1627" s="17"/>
      <c r="C1627" s="2"/>
      <c r="D1627" s="2"/>
      <c r="E1627" s="2"/>
      <c r="F1627" s="2"/>
      <c r="G1627" s="2"/>
      <c r="H1627" s="2"/>
      <c r="I1627" s="5"/>
    </row>
    <row r="1628" spans="1:9" ht="17.399999999999999" x14ac:dyDescent="0.25">
      <c r="A1628" s="16"/>
      <c r="B1628" s="17"/>
      <c r="C1628" s="2"/>
      <c r="D1628" s="2"/>
      <c r="E1628" s="2"/>
      <c r="F1628" s="2"/>
      <c r="G1628" s="2"/>
      <c r="H1628" s="2"/>
      <c r="I1628" s="5"/>
    </row>
    <row r="1629" spans="1:9" ht="17.399999999999999" x14ac:dyDescent="0.25">
      <c r="A1629" s="16"/>
      <c r="B1629" s="17"/>
      <c r="C1629" s="2"/>
      <c r="D1629" s="2"/>
      <c r="E1629" s="2"/>
      <c r="F1629" s="2"/>
      <c r="G1629" s="2"/>
      <c r="H1629" s="2"/>
      <c r="I1629" s="5"/>
    </row>
    <row r="1630" spans="1:9" ht="17.399999999999999" x14ac:dyDescent="0.25">
      <c r="A1630" s="16"/>
      <c r="B1630" s="17"/>
      <c r="C1630" s="2"/>
      <c r="D1630" s="2"/>
      <c r="E1630" s="2"/>
      <c r="F1630" s="2"/>
      <c r="G1630" s="2"/>
      <c r="H1630" s="2"/>
      <c r="I1630" s="5"/>
    </row>
    <row r="1631" spans="1:9" ht="17.399999999999999" x14ac:dyDescent="0.25">
      <c r="A1631" s="16"/>
      <c r="B1631" s="17"/>
      <c r="C1631" s="2"/>
      <c r="D1631" s="2"/>
      <c r="E1631" s="2"/>
      <c r="F1631" s="2"/>
      <c r="G1631" s="2"/>
      <c r="H1631" s="2"/>
      <c r="I1631" s="5"/>
    </row>
    <row r="1632" spans="1:9" ht="17.399999999999999" x14ac:dyDescent="0.25">
      <c r="A1632" s="16"/>
      <c r="B1632" s="17"/>
      <c r="C1632" s="2"/>
      <c r="D1632" s="2"/>
      <c r="E1632" s="2"/>
      <c r="F1632" s="2"/>
      <c r="G1632" s="2"/>
      <c r="H1632" s="2"/>
      <c r="I1632" s="5"/>
    </row>
    <row r="1633" spans="1:9" ht="17.399999999999999" x14ac:dyDescent="0.25">
      <c r="A1633" s="16"/>
      <c r="B1633" s="17"/>
      <c r="C1633" s="2"/>
      <c r="D1633" s="2"/>
      <c r="E1633" s="2"/>
      <c r="F1633" s="2"/>
      <c r="G1633" s="2"/>
      <c r="H1633" s="2"/>
      <c r="I1633" s="5"/>
    </row>
    <row r="1634" spans="1:9" ht="17.399999999999999" x14ac:dyDescent="0.25">
      <c r="A1634" s="16"/>
      <c r="B1634" s="17"/>
      <c r="C1634" s="2"/>
      <c r="D1634" s="2"/>
      <c r="E1634" s="2"/>
      <c r="F1634" s="2"/>
      <c r="G1634" s="2"/>
      <c r="H1634" s="2"/>
      <c r="I1634" s="5"/>
    </row>
    <row r="1635" spans="1:9" ht="17.399999999999999" x14ac:dyDescent="0.25">
      <c r="A1635" s="16"/>
      <c r="B1635" s="17"/>
      <c r="C1635" s="2"/>
      <c r="D1635" s="2"/>
      <c r="E1635" s="2"/>
      <c r="F1635" s="2"/>
      <c r="G1635" s="2"/>
      <c r="H1635" s="2"/>
      <c r="I1635" s="5"/>
    </row>
    <row r="1636" spans="1:9" ht="17.399999999999999" x14ac:dyDescent="0.25">
      <c r="A1636" s="16"/>
      <c r="B1636" s="17"/>
      <c r="C1636" s="2"/>
      <c r="D1636" s="2"/>
      <c r="E1636" s="2"/>
      <c r="F1636" s="2"/>
      <c r="G1636" s="2"/>
      <c r="H1636" s="2"/>
      <c r="I1636" s="5"/>
    </row>
    <row r="1637" spans="1:9" ht="17.399999999999999" x14ac:dyDescent="0.25">
      <c r="A1637" s="16"/>
      <c r="B1637" s="17"/>
      <c r="C1637" s="2"/>
      <c r="D1637" s="2"/>
      <c r="E1637" s="2"/>
      <c r="F1637" s="2"/>
      <c r="G1637" s="2"/>
      <c r="H1637" s="2"/>
      <c r="I1637" s="5"/>
    </row>
    <row r="1638" spans="1:9" ht="17.399999999999999" x14ac:dyDescent="0.25">
      <c r="A1638" s="16"/>
      <c r="B1638" s="17"/>
      <c r="C1638" s="2"/>
      <c r="D1638" s="2"/>
      <c r="E1638" s="2"/>
      <c r="F1638" s="2"/>
      <c r="G1638" s="2"/>
      <c r="H1638" s="2"/>
      <c r="I1638" s="5"/>
    </row>
    <row r="1639" spans="1:9" ht="17.399999999999999" x14ac:dyDescent="0.25">
      <c r="A1639" s="16"/>
      <c r="B1639" s="17"/>
      <c r="C1639" s="2"/>
      <c r="D1639" s="2"/>
      <c r="E1639" s="2"/>
      <c r="F1639" s="2"/>
      <c r="G1639" s="2"/>
      <c r="H1639" s="2"/>
      <c r="I1639" s="5"/>
    </row>
    <row r="1640" spans="1:9" ht="17.399999999999999" x14ac:dyDescent="0.25">
      <c r="A1640" s="16"/>
      <c r="B1640" s="17"/>
      <c r="C1640" s="2"/>
      <c r="D1640" s="2"/>
      <c r="E1640" s="2"/>
      <c r="F1640" s="2"/>
      <c r="G1640" s="2"/>
      <c r="H1640" s="2"/>
      <c r="I1640" s="5"/>
    </row>
    <row r="1641" spans="1:9" ht="17.399999999999999" x14ac:dyDescent="0.25">
      <c r="A1641" s="16"/>
      <c r="B1641" s="17"/>
      <c r="C1641" s="2"/>
      <c r="D1641" s="2"/>
      <c r="E1641" s="2"/>
      <c r="F1641" s="2"/>
      <c r="G1641" s="2"/>
      <c r="H1641" s="2"/>
      <c r="I1641" s="5"/>
    </row>
    <row r="1642" spans="1:9" ht="17.399999999999999" x14ac:dyDescent="0.25">
      <c r="A1642" s="16"/>
      <c r="B1642" s="17"/>
      <c r="C1642" s="2"/>
      <c r="D1642" s="2"/>
      <c r="E1642" s="2"/>
      <c r="F1642" s="2"/>
      <c r="G1642" s="2"/>
      <c r="H1642" s="2"/>
      <c r="I1642" s="5"/>
    </row>
    <row r="1643" spans="1:9" ht="17.399999999999999" x14ac:dyDescent="0.25">
      <c r="A1643" s="16"/>
      <c r="B1643" s="17"/>
      <c r="C1643" s="2"/>
      <c r="D1643" s="2"/>
      <c r="E1643" s="2"/>
      <c r="F1643" s="2"/>
      <c r="G1643" s="2"/>
      <c r="H1643" s="2"/>
      <c r="I1643" s="5"/>
    </row>
    <row r="1644" spans="1:9" ht="17.399999999999999" x14ac:dyDescent="0.25">
      <c r="A1644" s="16"/>
      <c r="B1644" s="17"/>
      <c r="C1644" s="2"/>
      <c r="D1644" s="2"/>
      <c r="E1644" s="2"/>
      <c r="F1644" s="2"/>
      <c r="G1644" s="2"/>
      <c r="H1644" s="2"/>
      <c r="I1644" s="5"/>
    </row>
    <row r="1645" spans="1:9" ht="17.399999999999999" x14ac:dyDescent="0.25">
      <c r="A1645" s="16"/>
      <c r="B1645" s="17"/>
      <c r="C1645" s="2"/>
      <c r="D1645" s="2"/>
      <c r="E1645" s="2"/>
      <c r="F1645" s="2"/>
      <c r="G1645" s="2"/>
      <c r="H1645" s="2"/>
      <c r="I1645" s="5"/>
    </row>
    <row r="1646" spans="1:9" ht="17.399999999999999" x14ac:dyDescent="0.25">
      <c r="A1646" s="16"/>
      <c r="B1646" s="17"/>
      <c r="C1646" s="2"/>
      <c r="D1646" s="2"/>
      <c r="E1646" s="2"/>
      <c r="F1646" s="2"/>
      <c r="G1646" s="2"/>
      <c r="H1646" s="2"/>
      <c r="I1646" s="5"/>
    </row>
    <row r="1647" spans="1:9" ht="17.399999999999999" x14ac:dyDescent="0.25">
      <c r="A1647" s="16"/>
      <c r="B1647" s="17"/>
      <c r="C1647" s="2"/>
      <c r="D1647" s="2"/>
      <c r="E1647" s="2"/>
      <c r="F1647" s="2"/>
      <c r="G1647" s="2"/>
      <c r="H1647" s="2"/>
      <c r="I1647" s="5"/>
    </row>
    <row r="1648" spans="1:9" ht="17.399999999999999" x14ac:dyDescent="0.25">
      <c r="A1648" s="16"/>
      <c r="B1648" s="17"/>
      <c r="C1648" s="2"/>
      <c r="D1648" s="2"/>
      <c r="E1648" s="2"/>
      <c r="F1648" s="2"/>
      <c r="G1648" s="2"/>
      <c r="H1648" s="2"/>
      <c r="I1648" s="5"/>
    </row>
    <row r="1649" spans="1:9" ht="17.399999999999999" x14ac:dyDescent="0.25">
      <c r="A1649" s="16"/>
      <c r="B1649" s="17"/>
      <c r="C1649" s="2"/>
      <c r="D1649" s="2"/>
      <c r="E1649" s="2"/>
      <c r="F1649" s="2"/>
      <c r="G1649" s="2"/>
      <c r="H1649" s="2"/>
      <c r="I1649" s="5"/>
    </row>
    <row r="1650" spans="1:9" ht="17.399999999999999" x14ac:dyDescent="0.25">
      <c r="A1650" s="16"/>
      <c r="B1650" s="17"/>
      <c r="C1650" s="2"/>
      <c r="D1650" s="2"/>
      <c r="E1650" s="2"/>
      <c r="F1650" s="2"/>
      <c r="G1650" s="2"/>
      <c r="H1650" s="2"/>
      <c r="I1650" s="5"/>
    </row>
    <row r="1651" spans="1:9" ht="17.399999999999999" x14ac:dyDescent="0.25">
      <c r="A1651" s="16"/>
      <c r="B1651" s="17"/>
      <c r="C1651" s="2"/>
      <c r="D1651" s="2"/>
      <c r="E1651" s="2"/>
      <c r="F1651" s="2"/>
      <c r="G1651" s="2"/>
      <c r="H1651" s="2"/>
      <c r="I1651" s="5"/>
    </row>
    <row r="1652" spans="1:9" ht="17.399999999999999" x14ac:dyDescent="0.25">
      <c r="A1652" s="16"/>
      <c r="B1652" s="17"/>
      <c r="C1652" s="2"/>
      <c r="D1652" s="2"/>
      <c r="E1652" s="2"/>
      <c r="F1652" s="2"/>
      <c r="G1652" s="2"/>
      <c r="H1652" s="2"/>
      <c r="I1652" s="5"/>
    </row>
    <row r="1653" spans="1:9" ht="17.399999999999999" x14ac:dyDescent="0.25">
      <c r="A1653" s="16"/>
      <c r="B1653" s="17"/>
      <c r="C1653" s="2"/>
      <c r="D1653" s="2"/>
      <c r="E1653" s="2"/>
      <c r="F1653" s="2"/>
      <c r="G1653" s="2"/>
      <c r="H1653" s="2"/>
      <c r="I1653" s="5"/>
    </row>
    <row r="1654" spans="1:9" ht="17.399999999999999" x14ac:dyDescent="0.25">
      <c r="A1654" s="16"/>
      <c r="B1654" s="17"/>
      <c r="C1654" s="2"/>
      <c r="D1654" s="2"/>
      <c r="E1654" s="2"/>
      <c r="F1654" s="2"/>
      <c r="G1654" s="2"/>
      <c r="H1654" s="2"/>
      <c r="I1654" s="5"/>
    </row>
    <row r="1655" spans="1:9" ht="17.399999999999999" x14ac:dyDescent="0.25">
      <c r="A1655" s="16"/>
      <c r="B1655" s="17"/>
      <c r="C1655" s="2"/>
      <c r="D1655" s="2"/>
      <c r="E1655" s="2"/>
      <c r="F1655" s="2"/>
      <c r="G1655" s="2"/>
      <c r="H1655" s="2"/>
      <c r="I1655" s="5"/>
    </row>
    <row r="1656" spans="1:9" ht="17.399999999999999" x14ac:dyDescent="0.25">
      <c r="A1656" s="16"/>
      <c r="B1656" s="17"/>
      <c r="C1656" s="2"/>
      <c r="D1656" s="2"/>
      <c r="E1656" s="2"/>
      <c r="F1656" s="2"/>
      <c r="G1656" s="2"/>
      <c r="H1656" s="2"/>
      <c r="I1656" s="5"/>
    </row>
    <row r="1657" spans="1:9" ht="17.399999999999999" x14ac:dyDescent="0.25">
      <c r="A1657" s="16"/>
      <c r="B1657" s="17"/>
      <c r="C1657" s="2"/>
      <c r="D1657" s="2"/>
      <c r="E1657" s="2"/>
      <c r="F1657" s="2"/>
      <c r="G1657" s="2"/>
      <c r="H1657" s="2"/>
      <c r="I1657" s="5"/>
    </row>
    <row r="1658" spans="1:9" ht="17.399999999999999" x14ac:dyDescent="0.25">
      <c r="A1658" s="16"/>
      <c r="B1658" s="17"/>
      <c r="C1658" s="2"/>
      <c r="D1658" s="2"/>
      <c r="E1658" s="2"/>
      <c r="F1658" s="2"/>
      <c r="G1658" s="2"/>
      <c r="H1658" s="2"/>
      <c r="I1658" s="5"/>
    </row>
    <row r="1659" spans="1:9" ht="17.399999999999999" x14ac:dyDescent="0.25">
      <c r="A1659" s="16"/>
      <c r="B1659" s="17"/>
      <c r="C1659" s="2"/>
      <c r="D1659" s="2"/>
      <c r="E1659" s="2"/>
      <c r="F1659" s="2"/>
      <c r="G1659" s="2"/>
      <c r="H1659" s="2"/>
      <c r="I1659" s="5"/>
    </row>
    <row r="1660" spans="1:9" ht="17.399999999999999" x14ac:dyDescent="0.25">
      <c r="A1660" s="16"/>
      <c r="B1660" s="17"/>
      <c r="C1660" s="2"/>
      <c r="D1660" s="2"/>
      <c r="E1660" s="2"/>
      <c r="F1660" s="2"/>
      <c r="G1660" s="2"/>
      <c r="H1660" s="2"/>
      <c r="I1660" s="5"/>
    </row>
    <row r="1661" spans="1:9" ht="17.399999999999999" x14ac:dyDescent="0.25">
      <c r="A1661" s="16"/>
      <c r="B1661" s="17"/>
      <c r="C1661" s="2"/>
      <c r="D1661" s="2"/>
      <c r="E1661" s="2"/>
      <c r="F1661" s="2"/>
      <c r="G1661" s="2"/>
      <c r="H1661" s="2"/>
      <c r="I1661" s="5"/>
    </row>
    <row r="1662" spans="1:9" ht="17.399999999999999" x14ac:dyDescent="0.25">
      <c r="A1662" s="16"/>
      <c r="B1662" s="17"/>
      <c r="C1662" s="2"/>
      <c r="D1662" s="2"/>
      <c r="E1662" s="2"/>
      <c r="F1662" s="2"/>
      <c r="G1662" s="2"/>
      <c r="H1662" s="2"/>
      <c r="I1662" s="5"/>
    </row>
    <row r="1663" spans="1:9" ht="17.399999999999999" x14ac:dyDescent="0.25">
      <c r="A1663" s="16"/>
      <c r="B1663" s="17"/>
      <c r="C1663" s="2"/>
      <c r="D1663" s="2"/>
      <c r="E1663" s="2"/>
      <c r="F1663" s="2"/>
      <c r="G1663" s="2"/>
      <c r="H1663" s="2"/>
      <c r="I1663" s="5"/>
    </row>
    <row r="1664" spans="1:9" ht="17.399999999999999" x14ac:dyDescent="0.25">
      <c r="A1664" s="16"/>
      <c r="B1664" s="17"/>
      <c r="C1664" s="2"/>
      <c r="D1664" s="2"/>
      <c r="E1664" s="2"/>
      <c r="F1664" s="2"/>
      <c r="G1664" s="2"/>
      <c r="H1664" s="2"/>
      <c r="I1664" s="5"/>
    </row>
    <row r="1665" spans="1:9" ht="17.399999999999999" x14ac:dyDescent="0.25">
      <c r="A1665" s="16"/>
      <c r="B1665" s="17"/>
      <c r="C1665" s="2"/>
      <c r="D1665" s="2"/>
      <c r="E1665" s="2"/>
      <c r="F1665" s="2"/>
      <c r="G1665" s="2"/>
      <c r="H1665" s="2"/>
      <c r="I1665" s="5"/>
    </row>
    <row r="1666" spans="1:9" ht="17.399999999999999" x14ac:dyDescent="0.25">
      <c r="A1666" s="16"/>
      <c r="B1666" s="17"/>
      <c r="C1666" s="2"/>
      <c r="D1666" s="2"/>
      <c r="E1666" s="2"/>
      <c r="F1666" s="2"/>
      <c r="G1666" s="2"/>
      <c r="H1666" s="2"/>
      <c r="I1666" s="5"/>
    </row>
    <row r="1667" spans="1:9" ht="17.399999999999999" x14ac:dyDescent="0.25">
      <c r="A1667" s="16"/>
      <c r="B1667" s="17"/>
      <c r="C1667" s="2"/>
      <c r="D1667" s="2"/>
      <c r="E1667" s="2"/>
      <c r="F1667" s="2"/>
      <c r="G1667" s="2"/>
      <c r="H1667" s="2"/>
      <c r="I1667" s="5"/>
    </row>
    <row r="1668" spans="1:9" ht="17.399999999999999" x14ac:dyDescent="0.25">
      <c r="A1668" s="16"/>
      <c r="B1668" s="17"/>
      <c r="C1668" s="2"/>
      <c r="D1668" s="2"/>
      <c r="E1668" s="2"/>
      <c r="F1668" s="2"/>
      <c r="G1668" s="2"/>
      <c r="H1668" s="2"/>
      <c r="I1668" s="5"/>
    </row>
    <row r="1669" spans="1:9" ht="17.399999999999999" x14ac:dyDescent="0.25">
      <c r="A1669" s="16"/>
      <c r="B1669" s="17"/>
      <c r="C1669" s="2"/>
      <c r="D1669" s="2"/>
      <c r="E1669" s="2"/>
      <c r="F1669" s="2"/>
      <c r="G1669" s="2"/>
      <c r="H1669" s="2"/>
      <c r="I1669" s="5"/>
    </row>
    <row r="1670" spans="1:9" ht="17.399999999999999" x14ac:dyDescent="0.25">
      <c r="A1670" s="16"/>
      <c r="B1670" s="17"/>
      <c r="C1670" s="2"/>
      <c r="D1670" s="2"/>
      <c r="E1670" s="2"/>
      <c r="F1670" s="2"/>
      <c r="G1670" s="2"/>
      <c r="H1670" s="2"/>
      <c r="I1670" s="5"/>
    </row>
    <row r="1671" spans="1:9" ht="17.399999999999999" x14ac:dyDescent="0.25">
      <c r="A1671" s="16"/>
      <c r="B1671" s="17"/>
      <c r="C1671" s="2"/>
      <c r="D1671" s="2"/>
      <c r="E1671" s="2"/>
      <c r="F1671" s="2"/>
      <c r="G1671" s="2"/>
      <c r="H1671" s="2"/>
      <c r="I1671" s="5"/>
    </row>
    <row r="1672" spans="1:9" ht="17.399999999999999" x14ac:dyDescent="0.25">
      <c r="A1672" s="16"/>
      <c r="B1672" s="17"/>
      <c r="C1672" s="2"/>
      <c r="D1672" s="2"/>
      <c r="E1672" s="2"/>
      <c r="F1672" s="2"/>
      <c r="G1672" s="2"/>
      <c r="H1672" s="2"/>
      <c r="I1672" s="5"/>
    </row>
    <row r="1673" spans="1:9" ht="17.399999999999999" x14ac:dyDescent="0.25">
      <c r="A1673" s="16"/>
      <c r="B1673" s="17"/>
      <c r="C1673" s="2"/>
      <c r="D1673" s="2"/>
      <c r="E1673" s="2"/>
      <c r="F1673" s="2"/>
      <c r="G1673" s="2"/>
      <c r="H1673" s="2"/>
      <c r="I1673" s="5"/>
    </row>
    <row r="1674" spans="1:9" ht="17.399999999999999" x14ac:dyDescent="0.25">
      <c r="A1674" s="16"/>
      <c r="B1674" s="17"/>
      <c r="C1674" s="2"/>
      <c r="D1674" s="2"/>
      <c r="E1674" s="2"/>
      <c r="F1674" s="2"/>
      <c r="G1674" s="2"/>
      <c r="H1674" s="2"/>
      <c r="I1674" s="5"/>
    </row>
    <row r="1675" spans="1:9" ht="17.399999999999999" x14ac:dyDescent="0.25">
      <c r="A1675" s="16"/>
      <c r="B1675" s="17"/>
      <c r="C1675" s="2"/>
      <c r="D1675" s="2"/>
      <c r="E1675" s="2"/>
      <c r="F1675" s="2"/>
      <c r="G1675" s="2"/>
      <c r="H1675" s="2"/>
      <c r="I1675" s="5"/>
    </row>
    <row r="1676" spans="1:9" ht="17.399999999999999" x14ac:dyDescent="0.25">
      <c r="A1676" s="16"/>
      <c r="B1676" s="17"/>
      <c r="C1676" s="2"/>
      <c r="D1676" s="2"/>
      <c r="E1676" s="2"/>
      <c r="F1676" s="2"/>
      <c r="G1676" s="2"/>
      <c r="H1676" s="2"/>
      <c r="I1676" s="5"/>
    </row>
    <row r="1677" spans="1:9" ht="17.399999999999999" x14ac:dyDescent="0.25">
      <c r="A1677" s="16"/>
      <c r="B1677" s="17"/>
      <c r="C1677" s="2"/>
      <c r="D1677" s="2"/>
      <c r="E1677" s="2"/>
      <c r="F1677" s="2"/>
      <c r="G1677" s="2"/>
      <c r="H1677" s="2"/>
      <c r="I1677" s="5"/>
    </row>
    <row r="1678" spans="1:9" ht="17.399999999999999" x14ac:dyDescent="0.25">
      <c r="A1678" s="16"/>
      <c r="B1678" s="17"/>
      <c r="C1678" s="2"/>
      <c r="D1678" s="2"/>
      <c r="E1678" s="2"/>
      <c r="F1678" s="2"/>
      <c r="G1678" s="2"/>
      <c r="H1678" s="2"/>
      <c r="I1678" s="5"/>
    </row>
    <row r="1679" spans="1:9" ht="17.399999999999999" x14ac:dyDescent="0.25">
      <c r="A1679" s="16"/>
      <c r="B1679" s="17"/>
      <c r="C1679" s="2"/>
      <c r="D1679" s="2"/>
      <c r="E1679" s="2"/>
      <c r="F1679" s="2"/>
      <c r="G1679" s="2"/>
      <c r="H1679" s="2"/>
      <c r="I1679" s="5"/>
    </row>
    <row r="1680" spans="1:9" ht="17.399999999999999" x14ac:dyDescent="0.25">
      <c r="A1680" s="16"/>
      <c r="B1680" s="17"/>
      <c r="C1680" s="2"/>
      <c r="D1680" s="2"/>
      <c r="E1680" s="2"/>
      <c r="F1680" s="2"/>
      <c r="G1680" s="2"/>
      <c r="H1680" s="2"/>
      <c r="I1680" s="5"/>
    </row>
    <row r="1681" spans="1:9" ht="17.399999999999999" x14ac:dyDescent="0.25">
      <c r="A1681" s="16"/>
      <c r="B1681" s="17"/>
      <c r="C1681" s="2"/>
      <c r="D1681" s="2"/>
      <c r="E1681" s="2"/>
      <c r="F1681" s="2"/>
      <c r="G1681" s="2"/>
      <c r="H1681" s="2"/>
      <c r="I1681" s="5"/>
    </row>
    <row r="1682" spans="1:9" ht="17.399999999999999" x14ac:dyDescent="0.25">
      <c r="A1682" s="16"/>
      <c r="B1682" s="17"/>
      <c r="C1682" s="2"/>
      <c r="D1682" s="2"/>
      <c r="E1682" s="2"/>
      <c r="F1682" s="2"/>
      <c r="G1682" s="2"/>
      <c r="H1682" s="2"/>
      <c r="I1682" s="5"/>
    </row>
    <row r="1683" spans="1:9" ht="17.399999999999999" x14ac:dyDescent="0.25">
      <c r="A1683" s="16"/>
      <c r="B1683" s="17"/>
      <c r="C1683" s="2"/>
      <c r="D1683" s="2"/>
      <c r="E1683" s="2"/>
      <c r="F1683" s="2"/>
      <c r="G1683" s="2"/>
      <c r="H1683" s="2"/>
      <c r="I1683" s="5"/>
    </row>
    <row r="1684" spans="1:9" ht="17.399999999999999" x14ac:dyDescent="0.25">
      <c r="A1684" s="16"/>
      <c r="B1684" s="17"/>
      <c r="C1684" s="2"/>
      <c r="D1684" s="2"/>
      <c r="E1684" s="2"/>
      <c r="F1684" s="2"/>
      <c r="G1684" s="2"/>
      <c r="H1684" s="2"/>
      <c r="I1684" s="5"/>
    </row>
    <row r="1685" spans="1:9" ht="17.399999999999999" x14ac:dyDescent="0.25">
      <c r="A1685" s="16"/>
      <c r="B1685" s="17"/>
      <c r="C1685" s="2"/>
      <c r="D1685" s="2"/>
      <c r="E1685" s="2"/>
      <c r="F1685" s="2"/>
      <c r="G1685" s="2"/>
      <c r="H1685" s="2"/>
      <c r="I1685" s="5"/>
    </row>
    <row r="1686" spans="1:9" ht="17.399999999999999" x14ac:dyDescent="0.25">
      <c r="A1686" s="16"/>
      <c r="B1686" s="17"/>
      <c r="C1686" s="2"/>
      <c r="D1686" s="2"/>
      <c r="E1686" s="2"/>
      <c r="F1686" s="2"/>
      <c r="G1686" s="2"/>
      <c r="H1686" s="2"/>
      <c r="I1686" s="5"/>
    </row>
    <row r="1687" spans="1:9" ht="17.399999999999999" x14ac:dyDescent="0.25">
      <c r="A1687" s="16"/>
      <c r="B1687" s="17"/>
      <c r="C1687" s="2"/>
      <c r="D1687" s="2"/>
      <c r="E1687" s="2"/>
      <c r="F1687" s="2"/>
      <c r="G1687" s="2"/>
      <c r="H1687" s="2"/>
      <c r="I1687" s="5"/>
    </row>
    <row r="1688" spans="1:9" ht="17.399999999999999" x14ac:dyDescent="0.25">
      <c r="A1688" s="16"/>
      <c r="B1688" s="17"/>
      <c r="C1688" s="2"/>
      <c r="D1688" s="2"/>
      <c r="E1688" s="2"/>
      <c r="F1688" s="2"/>
      <c r="G1688" s="2"/>
      <c r="H1688" s="2"/>
      <c r="I1688" s="5"/>
    </row>
    <row r="1689" spans="1:9" ht="17.399999999999999" x14ac:dyDescent="0.25">
      <c r="A1689" s="16"/>
      <c r="B1689" s="17"/>
      <c r="C1689" s="2"/>
      <c r="D1689" s="2"/>
      <c r="E1689" s="2"/>
      <c r="F1689" s="2"/>
      <c r="G1689" s="2"/>
      <c r="H1689" s="2"/>
      <c r="I1689" s="5"/>
    </row>
    <row r="1690" spans="1:9" ht="17.399999999999999" x14ac:dyDescent="0.25">
      <c r="A1690" s="16"/>
      <c r="B1690" s="17"/>
      <c r="C1690" s="2"/>
      <c r="D1690" s="2"/>
      <c r="E1690" s="2"/>
      <c r="F1690" s="2"/>
      <c r="G1690" s="2"/>
      <c r="H1690" s="2"/>
      <c r="I1690" s="5"/>
    </row>
    <row r="1691" spans="1:9" ht="17.399999999999999" x14ac:dyDescent="0.25">
      <c r="A1691" s="16"/>
      <c r="B1691" s="17"/>
      <c r="C1691" s="2"/>
      <c r="D1691" s="2"/>
      <c r="E1691" s="2"/>
      <c r="F1691" s="2"/>
      <c r="G1691" s="2"/>
      <c r="H1691" s="2"/>
      <c r="I1691" s="5"/>
    </row>
    <row r="1692" spans="1:9" ht="17.399999999999999" x14ac:dyDescent="0.25">
      <c r="A1692" s="16"/>
      <c r="B1692" s="17"/>
      <c r="C1692" s="2"/>
      <c r="D1692" s="2"/>
      <c r="E1692" s="2"/>
      <c r="F1692" s="2"/>
      <c r="G1692" s="2"/>
      <c r="H1692" s="2"/>
      <c r="I1692" s="5"/>
    </row>
    <row r="1693" spans="1:9" ht="17.399999999999999" x14ac:dyDescent="0.25">
      <c r="A1693" s="16"/>
      <c r="B1693" s="17"/>
      <c r="C1693" s="2"/>
      <c r="D1693" s="2"/>
      <c r="E1693" s="2"/>
      <c r="F1693" s="2"/>
      <c r="G1693" s="2"/>
      <c r="H1693" s="2"/>
      <c r="I1693" s="5"/>
    </row>
    <row r="1694" spans="1:9" ht="17.399999999999999" x14ac:dyDescent="0.25">
      <c r="A1694" s="16"/>
      <c r="B1694" s="17"/>
      <c r="C1694" s="2"/>
      <c r="D1694" s="2"/>
      <c r="E1694" s="2"/>
      <c r="F1694" s="2"/>
      <c r="G1694" s="2"/>
      <c r="H1694" s="2"/>
      <c r="I1694" s="5"/>
    </row>
    <row r="1695" spans="1:9" ht="17.399999999999999" x14ac:dyDescent="0.25">
      <c r="A1695" s="16"/>
      <c r="B1695" s="17"/>
      <c r="C1695" s="2"/>
      <c r="D1695" s="2"/>
      <c r="E1695" s="2"/>
      <c r="F1695" s="2"/>
      <c r="G1695" s="2"/>
      <c r="H1695" s="2"/>
      <c r="I1695" s="5"/>
    </row>
    <row r="1696" spans="1:9" ht="17.399999999999999" x14ac:dyDescent="0.25">
      <c r="A1696" s="16"/>
      <c r="B1696" s="17"/>
      <c r="C1696" s="2"/>
      <c r="D1696" s="2"/>
      <c r="E1696" s="2"/>
      <c r="F1696" s="2"/>
      <c r="G1696" s="2"/>
      <c r="H1696" s="2"/>
      <c r="I1696" s="5"/>
    </row>
    <row r="1697" spans="1:9" ht="17.399999999999999" x14ac:dyDescent="0.25">
      <c r="A1697" s="16"/>
      <c r="B1697" s="17"/>
      <c r="C1697" s="2"/>
      <c r="D1697" s="2"/>
      <c r="E1697" s="2"/>
      <c r="F1697" s="2"/>
      <c r="G1697" s="2"/>
      <c r="H1697" s="2"/>
      <c r="I1697" s="5"/>
    </row>
    <row r="1698" spans="1:9" ht="17.399999999999999" x14ac:dyDescent="0.25">
      <c r="A1698" s="16"/>
      <c r="B1698" s="17"/>
      <c r="C1698" s="2"/>
      <c r="D1698" s="2"/>
      <c r="E1698" s="2"/>
      <c r="F1698" s="2"/>
      <c r="G1698" s="2"/>
      <c r="H1698" s="2"/>
      <c r="I1698" s="5"/>
    </row>
    <row r="1699" spans="1:9" ht="17.399999999999999" x14ac:dyDescent="0.25">
      <c r="A1699" s="16"/>
      <c r="B1699" s="17"/>
      <c r="C1699" s="2"/>
      <c r="D1699" s="2"/>
      <c r="E1699" s="2"/>
      <c r="F1699" s="2"/>
      <c r="G1699" s="2"/>
      <c r="H1699" s="2"/>
      <c r="I1699" s="5"/>
    </row>
    <row r="1700" spans="1:9" ht="17.399999999999999" x14ac:dyDescent="0.25">
      <c r="A1700" s="16"/>
      <c r="B1700" s="17"/>
      <c r="C1700" s="2"/>
      <c r="D1700" s="2"/>
      <c r="E1700" s="2"/>
      <c r="F1700" s="2"/>
      <c r="G1700" s="2"/>
      <c r="H1700" s="2"/>
      <c r="I1700" s="5"/>
    </row>
    <row r="1701" spans="1:9" ht="17.399999999999999" x14ac:dyDescent="0.25">
      <c r="A1701" s="16"/>
      <c r="B1701" s="17"/>
      <c r="C1701" s="2"/>
      <c r="D1701" s="2"/>
      <c r="E1701" s="2"/>
      <c r="F1701" s="2"/>
      <c r="G1701" s="2"/>
      <c r="H1701" s="2"/>
      <c r="I1701" s="5"/>
    </row>
    <row r="1702" spans="1:9" ht="17.399999999999999" x14ac:dyDescent="0.25">
      <c r="A1702" s="16"/>
      <c r="B1702" s="17"/>
      <c r="C1702" s="2"/>
      <c r="D1702" s="2"/>
      <c r="E1702" s="2"/>
      <c r="F1702" s="2"/>
      <c r="G1702" s="2"/>
      <c r="H1702" s="2"/>
      <c r="I1702" s="5"/>
    </row>
    <row r="1703" spans="1:9" ht="17.399999999999999" x14ac:dyDescent="0.25">
      <c r="A1703" s="16"/>
      <c r="B1703" s="17"/>
      <c r="C1703" s="2"/>
      <c r="D1703" s="2"/>
      <c r="E1703" s="2"/>
      <c r="F1703" s="2"/>
      <c r="G1703" s="2"/>
      <c r="H1703" s="2"/>
      <c r="I1703" s="5"/>
    </row>
    <row r="1704" spans="1:9" ht="17.399999999999999" x14ac:dyDescent="0.25">
      <c r="A1704" s="16"/>
      <c r="B1704" s="17"/>
      <c r="C1704" s="2"/>
      <c r="D1704" s="2"/>
      <c r="E1704" s="2"/>
      <c r="F1704" s="2"/>
      <c r="G1704" s="2"/>
      <c r="H1704" s="2"/>
      <c r="I1704" s="5"/>
    </row>
    <row r="1705" spans="1:9" ht="17.399999999999999" x14ac:dyDescent="0.25">
      <c r="A1705" s="16"/>
      <c r="B1705" s="17"/>
      <c r="C1705" s="2"/>
      <c r="D1705" s="2"/>
      <c r="E1705" s="2"/>
      <c r="F1705" s="2"/>
      <c r="G1705" s="2"/>
      <c r="H1705" s="2"/>
      <c r="I1705" s="5"/>
    </row>
    <row r="1706" spans="1:9" ht="17.399999999999999" x14ac:dyDescent="0.25">
      <c r="A1706" s="16"/>
      <c r="B1706" s="17"/>
      <c r="C1706" s="2"/>
      <c r="D1706" s="2"/>
      <c r="E1706" s="2"/>
      <c r="F1706" s="2"/>
      <c r="G1706" s="2"/>
      <c r="H1706" s="2"/>
      <c r="I1706" s="5"/>
    </row>
    <row r="1707" spans="1:9" ht="17.399999999999999" x14ac:dyDescent="0.25">
      <c r="A1707" s="16"/>
      <c r="B1707" s="17"/>
      <c r="C1707" s="2"/>
      <c r="D1707" s="2"/>
      <c r="E1707" s="2"/>
      <c r="F1707" s="2"/>
      <c r="G1707" s="2"/>
      <c r="H1707" s="2"/>
      <c r="I1707" s="5"/>
    </row>
    <row r="1708" spans="1:9" ht="17.399999999999999" x14ac:dyDescent="0.25">
      <c r="A1708" s="16"/>
      <c r="B1708" s="17"/>
      <c r="C1708" s="2"/>
      <c r="D1708" s="2"/>
      <c r="E1708" s="2"/>
      <c r="F1708" s="2"/>
      <c r="G1708" s="2"/>
      <c r="H1708" s="2"/>
      <c r="I1708" s="5"/>
    </row>
    <row r="1709" spans="1:9" ht="17.399999999999999" x14ac:dyDescent="0.25">
      <c r="A1709" s="16"/>
      <c r="B1709" s="17"/>
      <c r="C1709" s="2"/>
      <c r="D1709" s="2"/>
      <c r="E1709" s="2"/>
      <c r="F1709" s="2"/>
      <c r="G1709" s="2"/>
      <c r="H1709" s="2"/>
      <c r="I1709" s="5"/>
    </row>
    <row r="1710" spans="1:9" ht="17.399999999999999" x14ac:dyDescent="0.25">
      <c r="A1710" s="16"/>
      <c r="B1710" s="17"/>
      <c r="C1710" s="2"/>
      <c r="D1710" s="2"/>
      <c r="E1710" s="2"/>
      <c r="F1710" s="2"/>
      <c r="G1710" s="2"/>
      <c r="H1710" s="2"/>
      <c r="I1710" s="5"/>
    </row>
    <row r="1711" spans="1:9" ht="17.399999999999999" x14ac:dyDescent="0.25">
      <c r="A1711" s="16"/>
      <c r="B1711" s="17"/>
      <c r="C1711" s="2"/>
      <c r="D1711" s="2"/>
      <c r="E1711" s="2"/>
      <c r="F1711" s="2"/>
      <c r="G1711" s="2"/>
      <c r="H1711" s="2"/>
      <c r="I1711" s="5"/>
    </row>
    <row r="1712" spans="1:9" ht="17.399999999999999" x14ac:dyDescent="0.25">
      <c r="A1712" s="16"/>
      <c r="B1712" s="17"/>
      <c r="C1712" s="2"/>
      <c r="D1712" s="2"/>
      <c r="E1712" s="2"/>
      <c r="F1712" s="2"/>
      <c r="G1712" s="2"/>
      <c r="H1712" s="2"/>
      <c r="I1712" s="5"/>
    </row>
    <row r="1713" spans="1:9" ht="17.399999999999999" x14ac:dyDescent="0.25">
      <c r="A1713" s="16"/>
      <c r="B1713" s="17"/>
      <c r="C1713" s="2"/>
      <c r="D1713" s="2"/>
      <c r="E1713" s="2"/>
      <c r="F1713" s="2"/>
      <c r="G1713" s="2"/>
      <c r="H1713" s="2"/>
      <c r="I1713" s="5"/>
    </row>
    <row r="1714" spans="1:9" ht="17.399999999999999" x14ac:dyDescent="0.25">
      <c r="A1714" s="16"/>
      <c r="B1714" s="17"/>
      <c r="C1714" s="2"/>
      <c r="D1714" s="2"/>
      <c r="E1714" s="2"/>
      <c r="F1714" s="2"/>
      <c r="G1714" s="2"/>
      <c r="H1714" s="2"/>
      <c r="I1714" s="5"/>
    </row>
    <row r="1715" spans="1:9" ht="17.399999999999999" x14ac:dyDescent="0.25">
      <c r="A1715" s="16"/>
      <c r="B1715" s="17"/>
      <c r="C1715" s="2"/>
      <c r="D1715" s="2"/>
      <c r="E1715" s="2"/>
      <c r="F1715" s="2"/>
      <c r="G1715" s="2"/>
      <c r="H1715" s="2"/>
      <c r="I1715" s="5"/>
    </row>
    <row r="1716" spans="1:9" ht="17.399999999999999" x14ac:dyDescent="0.25">
      <c r="A1716" s="16"/>
      <c r="B1716" s="17"/>
      <c r="C1716" s="2"/>
      <c r="D1716" s="2"/>
      <c r="E1716" s="2"/>
      <c r="F1716" s="2"/>
      <c r="G1716" s="2"/>
      <c r="H1716" s="2"/>
      <c r="I1716" s="5"/>
    </row>
    <row r="1717" spans="1:9" ht="17.399999999999999" x14ac:dyDescent="0.25">
      <c r="A1717" s="16"/>
      <c r="B1717" s="17"/>
      <c r="C1717" s="2"/>
      <c r="D1717" s="2"/>
      <c r="E1717" s="2"/>
      <c r="F1717" s="2"/>
      <c r="G1717" s="2"/>
      <c r="H1717" s="2"/>
      <c r="I1717" s="5"/>
    </row>
    <row r="1718" spans="1:9" ht="17.399999999999999" x14ac:dyDescent="0.25">
      <c r="A1718" s="16"/>
      <c r="B1718" s="17"/>
      <c r="C1718" s="2"/>
      <c r="D1718" s="2"/>
      <c r="E1718" s="2"/>
      <c r="F1718" s="2"/>
      <c r="G1718" s="2"/>
      <c r="H1718" s="2"/>
      <c r="I1718" s="5"/>
    </row>
    <row r="1719" spans="1:9" ht="17.399999999999999" x14ac:dyDescent="0.25">
      <c r="A1719" s="16"/>
      <c r="B1719" s="17"/>
      <c r="C1719" s="2"/>
      <c r="D1719" s="2"/>
      <c r="E1719" s="2"/>
      <c r="F1719" s="2"/>
      <c r="G1719" s="2"/>
      <c r="H1719" s="2"/>
      <c r="I1719" s="5"/>
    </row>
    <row r="1720" spans="1:9" ht="17.399999999999999" x14ac:dyDescent="0.25">
      <c r="A1720" s="16"/>
      <c r="B1720" s="17"/>
      <c r="C1720" s="2"/>
      <c r="D1720" s="2"/>
      <c r="E1720" s="2"/>
      <c r="F1720" s="2"/>
      <c r="G1720" s="2"/>
      <c r="H1720" s="2"/>
      <c r="I1720" s="5"/>
    </row>
    <row r="1721" spans="1:9" ht="17.399999999999999" x14ac:dyDescent="0.25">
      <c r="A1721" s="16"/>
      <c r="B1721" s="17"/>
      <c r="C1721" s="2"/>
      <c r="D1721" s="2"/>
      <c r="E1721" s="2"/>
      <c r="F1721" s="2"/>
      <c r="G1721" s="2"/>
      <c r="H1721" s="2"/>
      <c r="I1721" s="5"/>
    </row>
    <row r="1722" spans="1:9" ht="17.399999999999999" x14ac:dyDescent="0.25">
      <c r="A1722" s="16"/>
      <c r="B1722" s="17"/>
      <c r="C1722" s="2"/>
      <c r="D1722" s="2"/>
      <c r="E1722" s="2"/>
      <c r="F1722" s="2"/>
      <c r="G1722" s="2"/>
      <c r="H1722" s="2"/>
      <c r="I1722" s="5"/>
    </row>
    <row r="1723" spans="1:9" ht="17.399999999999999" x14ac:dyDescent="0.25">
      <c r="A1723" s="16"/>
      <c r="B1723" s="17"/>
      <c r="C1723" s="2"/>
      <c r="D1723" s="2"/>
      <c r="E1723" s="2"/>
      <c r="F1723" s="2"/>
      <c r="G1723" s="2"/>
      <c r="H1723" s="2"/>
      <c r="I1723" s="5"/>
    </row>
    <row r="1724" spans="1:9" ht="17.399999999999999" x14ac:dyDescent="0.25">
      <c r="A1724" s="16"/>
      <c r="B1724" s="17"/>
      <c r="C1724" s="2"/>
      <c r="D1724" s="2"/>
      <c r="E1724" s="2"/>
      <c r="F1724" s="2"/>
      <c r="G1724" s="2"/>
      <c r="H1724" s="2"/>
      <c r="I1724" s="5"/>
    </row>
    <row r="1725" spans="1:9" ht="17.399999999999999" x14ac:dyDescent="0.25">
      <c r="A1725" s="16"/>
      <c r="B1725" s="17"/>
      <c r="C1725" s="2"/>
      <c r="D1725" s="2"/>
      <c r="E1725" s="2"/>
      <c r="F1725" s="2"/>
      <c r="G1725" s="2"/>
      <c r="H1725" s="2"/>
      <c r="I1725" s="5"/>
    </row>
    <row r="1726" spans="1:9" ht="17.399999999999999" x14ac:dyDescent="0.25">
      <c r="A1726" s="16"/>
      <c r="B1726" s="17"/>
      <c r="C1726" s="2"/>
      <c r="D1726" s="2"/>
      <c r="E1726" s="2"/>
      <c r="F1726" s="2"/>
      <c r="G1726" s="2"/>
      <c r="H1726" s="2"/>
      <c r="I1726" s="5"/>
    </row>
    <row r="1727" spans="1:9" ht="17.399999999999999" x14ac:dyDescent="0.25">
      <c r="A1727" s="16"/>
      <c r="B1727" s="17"/>
      <c r="C1727" s="2"/>
      <c r="D1727" s="2"/>
      <c r="E1727" s="2"/>
      <c r="F1727" s="2"/>
      <c r="G1727" s="2"/>
      <c r="H1727" s="2"/>
      <c r="I1727" s="5"/>
    </row>
    <row r="1728" spans="1:9" ht="17.399999999999999" x14ac:dyDescent="0.25">
      <c r="A1728" s="16"/>
      <c r="B1728" s="17"/>
      <c r="C1728" s="2"/>
      <c r="D1728" s="2"/>
      <c r="E1728" s="2"/>
      <c r="F1728" s="2"/>
      <c r="G1728" s="2"/>
      <c r="H1728" s="2"/>
      <c r="I1728" s="5"/>
    </row>
    <row r="1729" spans="1:9" ht="17.399999999999999" x14ac:dyDescent="0.25">
      <c r="A1729" s="16"/>
      <c r="B1729" s="17"/>
      <c r="C1729" s="2"/>
      <c r="D1729" s="2"/>
      <c r="E1729" s="2"/>
      <c r="F1729" s="2"/>
      <c r="G1729" s="2"/>
      <c r="H1729" s="2"/>
      <c r="I1729" s="5"/>
    </row>
    <row r="1730" spans="1:9" ht="17.399999999999999" x14ac:dyDescent="0.25">
      <c r="A1730" s="16"/>
      <c r="B1730" s="17"/>
      <c r="C1730" s="2"/>
      <c r="D1730" s="2"/>
      <c r="E1730" s="2"/>
      <c r="F1730" s="2"/>
      <c r="G1730" s="2"/>
      <c r="H1730" s="2"/>
      <c r="I1730" s="5"/>
    </row>
    <row r="1731" spans="1:9" ht="17.399999999999999" x14ac:dyDescent="0.25">
      <c r="A1731" s="16"/>
      <c r="B1731" s="17"/>
      <c r="C1731" s="2"/>
      <c r="D1731" s="2"/>
      <c r="E1731" s="2"/>
      <c r="F1731" s="2"/>
      <c r="G1731" s="2"/>
      <c r="H1731" s="2"/>
      <c r="I1731" s="5"/>
    </row>
    <row r="1732" spans="1:9" ht="17.399999999999999" x14ac:dyDescent="0.25">
      <c r="A1732" s="16"/>
      <c r="B1732" s="17"/>
      <c r="C1732" s="2"/>
      <c r="D1732" s="2"/>
      <c r="E1732" s="2"/>
      <c r="F1732" s="2"/>
      <c r="G1732" s="2"/>
      <c r="H1732" s="2"/>
      <c r="I1732" s="5"/>
    </row>
    <row r="1733" spans="1:9" ht="17.399999999999999" x14ac:dyDescent="0.25">
      <c r="A1733" s="16"/>
      <c r="B1733" s="17"/>
      <c r="C1733" s="2"/>
      <c r="D1733" s="2"/>
      <c r="E1733" s="2"/>
      <c r="F1733" s="2"/>
      <c r="G1733" s="2"/>
      <c r="H1733" s="2"/>
      <c r="I1733" s="5"/>
    </row>
    <row r="1734" spans="1:9" ht="17.399999999999999" x14ac:dyDescent="0.25">
      <c r="A1734" s="16"/>
      <c r="B1734" s="17"/>
      <c r="C1734" s="2"/>
      <c r="D1734" s="2"/>
      <c r="E1734" s="2"/>
      <c r="F1734" s="2"/>
      <c r="G1734" s="2"/>
      <c r="H1734" s="2"/>
      <c r="I1734" s="5"/>
    </row>
    <row r="1735" spans="1:9" ht="17.399999999999999" x14ac:dyDescent="0.25">
      <c r="A1735" s="16"/>
      <c r="B1735" s="17"/>
      <c r="C1735" s="2"/>
      <c r="D1735" s="2"/>
      <c r="E1735" s="2"/>
      <c r="F1735" s="2"/>
      <c r="G1735" s="2"/>
      <c r="H1735" s="2"/>
      <c r="I1735" s="5"/>
    </row>
    <row r="1736" spans="1:9" ht="17.399999999999999" x14ac:dyDescent="0.25">
      <c r="A1736" s="16"/>
      <c r="B1736" s="17"/>
      <c r="C1736" s="2"/>
      <c r="D1736" s="2"/>
      <c r="E1736" s="2"/>
      <c r="F1736" s="2"/>
      <c r="G1736" s="2"/>
      <c r="H1736" s="2"/>
      <c r="I1736" s="5"/>
    </row>
    <row r="1737" spans="1:9" ht="17.399999999999999" x14ac:dyDescent="0.25">
      <c r="A1737" s="16"/>
      <c r="B1737" s="17"/>
      <c r="C1737" s="2"/>
      <c r="D1737" s="2"/>
      <c r="E1737" s="2"/>
      <c r="F1737" s="2"/>
      <c r="G1737" s="2"/>
      <c r="H1737" s="2"/>
      <c r="I1737" s="5"/>
    </row>
    <row r="1738" spans="1:9" ht="17.399999999999999" x14ac:dyDescent="0.25">
      <c r="A1738" s="16"/>
      <c r="B1738" s="17"/>
      <c r="C1738" s="2"/>
      <c r="D1738" s="2"/>
      <c r="E1738" s="2"/>
      <c r="F1738" s="2"/>
      <c r="G1738" s="2"/>
      <c r="H1738" s="2"/>
      <c r="I1738" s="5"/>
    </row>
    <row r="1739" spans="1:9" ht="17.399999999999999" x14ac:dyDescent="0.25">
      <c r="A1739" s="16"/>
      <c r="B1739" s="17"/>
      <c r="C1739" s="2"/>
      <c r="D1739" s="2"/>
      <c r="E1739" s="2"/>
      <c r="F1739" s="2"/>
      <c r="G1739" s="2"/>
      <c r="H1739" s="2"/>
      <c r="I1739" s="5"/>
    </row>
    <row r="1740" spans="1:9" ht="17.399999999999999" x14ac:dyDescent="0.25">
      <c r="A1740" s="16"/>
      <c r="B1740" s="17"/>
      <c r="C1740" s="2"/>
      <c r="D1740" s="2"/>
      <c r="E1740" s="2"/>
      <c r="F1740" s="2"/>
      <c r="G1740" s="2"/>
      <c r="H1740" s="2"/>
      <c r="I1740" s="5"/>
    </row>
    <row r="1741" spans="1:9" ht="17.399999999999999" x14ac:dyDescent="0.25">
      <c r="A1741" s="16"/>
      <c r="B1741" s="17"/>
      <c r="C1741" s="2"/>
      <c r="D1741" s="2"/>
      <c r="E1741" s="2"/>
      <c r="F1741" s="2"/>
      <c r="G1741" s="2"/>
      <c r="H1741" s="2"/>
      <c r="I1741" s="5"/>
    </row>
    <row r="1742" spans="1:9" ht="17.399999999999999" x14ac:dyDescent="0.25">
      <c r="A1742" s="16"/>
      <c r="B1742" s="17"/>
      <c r="C1742" s="2"/>
      <c r="D1742" s="2"/>
      <c r="E1742" s="2"/>
      <c r="F1742" s="2"/>
      <c r="G1742" s="2"/>
      <c r="H1742" s="2"/>
      <c r="I1742" s="5"/>
    </row>
    <row r="1743" spans="1:9" ht="17.399999999999999" x14ac:dyDescent="0.25">
      <c r="A1743" s="16"/>
      <c r="B1743" s="17"/>
      <c r="C1743" s="2"/>
      <c r="D1743" s="2"/>
      <c r="E1743" s="2"/>
      <c r="F1743" s="2"/>
      <c r="G1743" s="2"/>
      <c r="H1743" s="2"/>
      <c r="I1743" s="5"/>
    </row>
    <row r="1744" spans="1:9" ht="17.399999999999999" x14ac:dyDescent="0.25">
      <c r="A1744" s="16"/>
      <c r="B1744" s="17"/>
      <c r="C1744" s="2"/>
      <c r="D1744" s="2"/>
      <c r="E1744" s="2"/>
      <c r="F1744" s="2"/>
      <c r="G1744" s="2"/>
      <c r="H1744" s="2"/>
      <c r="I1744" s="5"/>
    </row>
    <row r="1745" spans="1:9" ht="17.399999999999999" x14ac:dyDescent="0.25">
      <c r="A1745" s="16"/>
      <c r="B1745" s="17"/>
      <c r="C1745" s="2"/>
      <c r="D1745" s="2"/>
      <c r="E1745" s="2"/>
      <c r="F1745" s="2"/>
      <c r="G1745" s="2"/>
      <c r="H1745" s="2"/>
      <c r="I1745" s="5"/>
    </row>
    <row r="1746" spans="1:9" ht="17.399999999999999" x14ac:dyDescent="0.25">
      <c r="A1746" s="16"/>
      <c r="B1746" s="17"/>
      <c r="C1746" s="2"/>
      <c r="D1746" s="2"/>
      <c r="E1746" s="2"/>
      <c r="F1746" s="2"/>
      <c r="G1746" s="2"/>
      <c r="H1746" s="2"/>
      <c r="I1746" s="5"/>
    </row>
    <row r="1747" spans="1:9" ht="17.399999999999999" x14ac:dyDescent="0.25">
      <c r="A1747" s="16"/>
      <c r="B1747" s="17"/>
      <c r="C1747" s="2"/>
      <c r="D1747" s="2"/>
      <c r="E1747" s="2"/>
      <c r="F1747" s="2"/>
      <c r="G1747" s="2"/>
      <c r="H1747" s="2"/>
      <c r="I1747" s="5"/>
    </row>
    <row r="1748" spans="1:9" ht="17.399999999999999" x14ac:dyDescent="0.25">
      <c r="A1748" s="16"/>
      <c r="B1748" s="17"/>
      <c r="C1748" s="2"/>
      <c r="D1748" s="2"/>
      <c r="E1748" s="2"/>
      <c r="F1748" s="2"/>
      <c r="G1748" s="2"/>
      <c r="H1748" s="2"/>
      <c r="I1748" s="5"/>
    </row>
    <row r="1749" spans="1:9" ht="17.399999999999999" x14ac:dyDescent="0.25">
      <c r="A1749" s="16"/>
      <c r="B1749" s="17"/>
      <c r="C1749" s="2"/>
      <c r="D1749" s="2"/>
      <c r="E1749" s="2"/>
      <c r="F1749" s="2"/>
      <c r="G1749" s="2"/>
      <c r="H1749" s="2"/>
      <c r="I1749" s="5"/>
    </row>
    <row r="1750" spans="1:9" ht="17.399999999999999" x14ac:dyDescent="0.25">
      <c r="A1750" s="16"/>
      <c r="B1750" s="17"/>
      <c r="C1750" s="2"/>
      <c r="D1750" s="2"/>
      <c r="E1750" s="2"/>
      <c r="F1750" s="2"/>
      <c r="G1750" s="2"/>
      <c r="H1750" s="2"/>
      <c r="I1750" s="5"/>
    </row>
    <row r="1751" spans="1:9" ht="17.399999999999999" x14ac:dyDescent="0.25">
      <c r="A1751" s="16"/>
      <c r="B1751" s="17"/>
      <c r="C1751" s="2"/>
      <c r="D1751" s="2"/>
      <c r="E1751" s="2"/>
      <c r="F1751" s="2"/>
      <c r="G1751" s="2"/>
      <c r="H1751" s="2"/>
      <c r="I1751" s="5"/>
    </row>
    <row r="1752" spans="1:9" ht="17.399999999999999" x14ac:dyDescent="0.25">
      <c r="A1752" s="16"/>
      <c r="B1752" s="17"/>
      <c r="C1752" s="2"/>
      <c r="D1752" s="2"/>
      <c r="E1752" s="2"/>
      <c r="F1752" s="2"/>
      <c r="G1752" s="2"/>
      <c r="H1752" s="2"/>
      <c r="I1752" s="5"/>
    </row>
    <row r="1753" spans="1:9" ht="17.399999999999999" x14ac:dyDescent="0.25">
      <c r="A1753" s="16"/>
      <c r="B1753" s="17"/>
      <c r="C1753" s="2"/>
      <c r="D1753" s="2"/>
      <c r="E1753" s="2"/>
      <c r="F1753" s="2"/>
      <c r="G1753" s="2"/>
      <c r="H1753" s="2"/>
      <c r="I1753" s="5"/>
    </row>
    <row r="1754" spans="1:9" ht="17.399999999999999" x14ac:dyDescent="0.25">
      <c r="A1754" s="16"/>
      <c r="B1754" s="17"/>
      <c r="C1754" s="2"/>
      <c r="D1754" s="2"/>
      <c r="E1754" s="2"/>
      <c r="F1754" s="2"/>
      <c r="G1754" s="2"/>
      <c r="H1754" s="2"/>
      <c r="I1754" s="5"/>
    </row>
    <row r="1755" spans="1:9" ht="17.399999999999999" x14ac:dyDescent="0.25">
      <c r="A1755" s="16"/>
      <c r="B1755" s="17"/>
      <c r="C1755" s="2"/>
      <c r="D1755" s="2"/>
      <c r="E1755" s="2"/>
      <c r="F1755" s="2"/>
      <c r="G1755" s="2"/>
      <c r="H1755" s="2"/>
      <c r="I1755" s="5"/>
    </row>
    <row r="1756" spans="1:9" ht="17.399999999999999" x14ac:dyDescent="0.25">
      <c r="A1756" s="16"/>
      <c r="B1756" s="17"/>
      <c r="C1756" s="2"/>
      <c r="D1756" s="2"/>
      <c r="E1756" s="2"/>
      <c r="F1756" s="2"/>
      <c r="G1756" s="2"/>
      <c r="H1756" s="2"/>
      <c r="I1756" s="5"/>
    </row>
    <row r="1757" spans="1:9" ht="17.399999999999999" x14ac:dyDescent="0.25">
      <c r="A1757" s="16"/>
      <c r="B1757" s="17"/>
      <c r="C1757" s="2"/>
      <c r="D1757" s="2"/>
      <c r="E1757" s="2"/>
      <c r="F1757" s="2"/>
      <c r="G1757" s="2"/>
      <c r="H1757" s="2"/>
      <c r="I1757" s="5"/>
    </row>
    <row r="1758" spans="1:9" ht="17.399999999999999" x14ac:dyDescent="0.25">
      <c r="A1758" s="16"/>
      <c r="B1758" s="17"/>
      <c r="C1758" s="2"/>
      <c r="D1758" s="2"/>
      <c r="E1758" s="2"/>
      <c r="F1758" s="2"/>
      <c r="G1758" s="2"/>
      <c r="H1758" s="2"/>
      <c r="I1758" s="5"/>
    </row>
    <row r="1759" spans="1:9" ht="17.399999999999999" x14ac:dyDescent="0.25">
      <c r="A1759" s="16"/>
      <c r="B1759" s="17"/>
      <c r="C1759" s="2"/>
      <c r="D1759" s="2"/>
      <c r="E1759" s="2"/>
      <c r="F1759" s="2"/>
      <c r="G1759" s="2"/>
      <c r="H1759" s="2"/>
      <c r="I1759" s="5"/>
    </row>
    <row r="1760" spans="1:9" ht="17.399999999999999" x14ac:dyDescent="0.25">
      <c r="A1760" s="16"/>
      <c r="B1760" s="17"/>
      <c r="C1760" s="2"/>
      <c r="D1760" s="2"/>
      <c r="E1760" s="2"/>
      <c r="F1760" s="2"/>
      <c r="G1760" s="2"/>
      <c r="H1760" s="2"/>
      <c r="I1760" s="5"/>
    </row>
    <row r="1761" spans="1:9" ht="17.399999999999999" x14ac:dyDescent="0.25">
      <c r="A1761" s="16"/>
      <c r="B1761" s="17"/>
      <c r="C1761" s="2"/>
      <c r="D1761" s="2"/>
      <c r="E1761" s="2"/>
      <c r="F1761" s="2"/>
      <c r="G1761" s="2"/>
      <c r="H1761" s="2"/>
      <c r="I1761" s="5"/>
    </row>
    <row r="1762" spans="1:9" ht="17.399999999999999" x14ac:dyDescent="0.25">
      <c r="A1762" s="16"/>
      <c r="B1762" s="17"/>
      <c r="C1762" s="2"/>
      <c r="D1762" s="2"/>
      <c r="E1762" s="2"/>
      <c r="F1762" s="2"/>
      <c r="G1762" s="2"/>
      <c r="H1762" s="2"/>
      <c r="I1762" s="5"/>
    </row>
    <row r="1763" spans="1:9" ht="17.399999999999999" x14ac:dyDescent="0.25">
      <c r="A1763" s="16"/>
      <c r="B1763" s="17"/>
      <c r="C1763" s="2"/>
      <c r="D1763" s="2"/>
      <c r="E1763" s="2"/>
      <c r="F1763" s="2"/>
      <c r="G1763" s="2"/>
      <c r="H1763" s="2"/>
      <c r="I1763" s="5"/>
    </row>
    <row r="1764" spans="1:9" ht="17.399999999999999" x14ac:dyDescent="0.25">
      <c r="A1764" s="16"/>
      <c r="B1764" s="17"/>
      <c r="C1764" s="2"/>
      <c r="D1764" s="2"/>
      <c r="E1764" s="2"/>
      <c r="F1764" s="2"/>
      <c r="G1764" s="2"/>
      <c r="H1764" s="2"/>
      <c r="I1764" s="5"/>
    </row>
    <row r="1765" spans="1:9" ht="17.399999999999999" x14ac:dyDescent="0.25">
      <c r="A1765" s="16"/>
      <c r="B1765" s="17"/>
      <c r="C1765" s="2"/>
      <c r="D1765" s="2"/>
      <c r="E1765" s="2"/>
      <c r="F1765" s="2"/>
      <c r="G1765" s="2"/>
      <c r="H1765" s="2"/>
      <c r="I1765" s="5"/>
    </row>
    <row r="1766" spans="1:9" ht="17.399999999999999" x14ac:dyDescent="0.25">
      <c r="A1766" s="16"/>
      <c r="B1766" s="17"/>
      <c r="C1766" s="2"/>
      <c r="D1766" s="2"/>
      <c r="E1766" s="2"/>
      <c r="F1766" s="2"/>
      <c r="G1766" s="2"/>
      <c r="H1766" s="2"/>
      <c r="I1766" s="5"/>
    </row>
    <row r="1767" spans="1:9" ht="17.399999999999999" x14ac:dyDescent="0.25">
      <c r="A1767" s="16"/>
      <c r="B1767" s="17"/>
      <c r="C1767" s="2"/>
      <c r="D1767" s="2"/>
      <c r="E1767" s="2"/>
      <c r="F1767" s="2"/>
      <c r="G1767" s="2"/>
      <c r="H1767" s="2"/>
      <c r="I1767" s="5"/>
    </row>
    <row r="1768" spans="1:9" ht="17.399999999999999" x14ac:dyDescent="0.25">
      <c r="A1768" s="16"/>
      <c r="B1768" s="17"/>
      <c r="C1768" s="2"/>
      <c r="D1768" s="2"/>
      <c r="E1768" s="2"/>
      <c r="F1768" s="2"/>
      <c r="G1768" s="2"/>
      <c r="H1768" s="2"/>
      <c r="I1768" s="5"/>
    </row>
    <row r="1769" spans="1:9" ht="17.399999999999999" x14ac:dyDescent="0.25">
      <c r="A1769" s="16"/>
      <c r="B1769" s="17"/>
      <c r="C1769" s="2"/>
      <c r="D1769" s="2"/>
      <c r="E1769" s="2"/>
      <c r="F1769" s="2"/>
      <c r="G1769" s="2"/>
      <c r="H1769" s="2"/>
      <c r="I1769" s="5"/>
    </row>
    <row r="1770" spans="1:9" ht="17.399999999999999" x14ac:dyDescent="0.25">
      <c r="A1770" s="16"/>
      <c r="B1770" s="17"/>
      <c r="C1770" s="2"/>
      <c r="D1770" s="2"/>
      <c r="E1770" s="2"/>
      <c r="F1770" s="2"/>
      <c r="G1770" s="2"/>
      <c r="H1770" s="2"/>
      <c r="I1770" s="5"/>
    </row>
    <row r="1771" spans="1:9" ht="17.399999999999999" x14ac:dyDescent="0.25">
      <c r="A1771" s="16"/>
      <c r="B1771" s="17"/>
      <c r="C1771" s="2"/>
      <c r="D1771" s="2"/>
      <c r="E1771" s="2"/>
      <c r="F1771" s="2"/>
      <c r="G1771" s="2"/>
      <c r="H1771" s="2"/>
      <c r="I1771" s="5"/>
    </row>
    <row r="1772" spans="1:9" ht="17.399999999999999" x14ac:dyDescent="0.25">
      <c r="A1772" s="16"/>
      <c r="B1772" s="17"/>
      <c r="C1772" s="2"/>
      <c r="D1772" s="2"/>
      <c r="E1772" s="2"/>
      <c r="F1772" s="2"/>
      <c r="G1772" s="2"/>
      <c r="H1772" s="2"/>
      <c r="I1772" s="5"/>
    </row>
    <row r="1773" spans="1:9" ht="17.399999999999999" x14ac:dyDescent="0.25">
      <c r="A1773" s="16"/>
      <c r="B1773" s="17"/>
      <c r="C1773" s="2"/>
      <c r="D1773" s="2"/>
      <c r="E1773" s="2"/>
      <c r="F1773" s="2"/>
      <c r="G1773" s="2"/>
      <c r="H1773" s="2"/>
      <c r="I1773" s="5"/>
    </row>
    <row r="1774" spans="1:9" ht="17.399999999999999" x14ac:dyDescent="0.25">
      <c r="A1774" s="16"/>
      <c r="B1774" s="17"/>
      <c r="C1774" s="2"/>
      <c r="D1774" s="2"/>
      <c r="E1774" s="2"/>
      <c r="F1774" s="2"/>
      <c r="G1774" s="2"/>
      <c r="H1774" s="2"/>
      <c r="I1774" s="5"/>
    </row>
    <row r="1775" spans="1:9" ht="17.399999999999999" x14ac:dyDescent="0.25">
      <c r="A1775" s="16"/>
      <c r="B1775" s="17"/>
      <c r="C1775" s="2"/>
      <c r="D1775" s="2"/>
      <c r="E1775" s="2"/>
      <c r="F1775" s="2"/>
      <c r="G1775" s="2"/>
      <c r="H1775" s="2"/>
      <c r="I1775" s="5"/>
    </row>
    <row r="1776" spans="1:9" ht="17.399999999999999" x14ac:dyDescent="0.25">
      <c r="A1776" s="16"/>
      <c r="B1776" s="17"/>
      <c r="C1776" s="2"/>
      <c r="D1776" s="2"/>
      <c r="E1776" s="2"/>
      <c r="F1776" s="2"/>
      <c r="G1776" s="2"/>
      <c r="H1776" s="2"/>
      <c r="I1776" s="5"/>
    </row>
    <row r="1777" spans="1:9" ht="17.399999999999999" x14ac:dyDescent="0.25">
      <c r="A1777" s="16"/>
      <c r="B1777" s="17"/>
      <c r="C1777" s="2"/>
      <c r="D1777" s="2"/>
      <c r="E1777" s="2"/>
      <c r="F1777" s="2"/>
      <c r="G1777" s="2"/>
      <c r="H1777" s="2"/>
      <c r="I1777" s="5"/>
    </row>
    <row r="1778" spans="1:9" ht="17.399999999999999" x14ac:dyDescent="0.25">
      <c r="A1778" s="16"/>
      <c r="B1778" s="17"/>
      <c r="C1778" s="2"/>
      <c r="D1778" s="2"/>
      <c r="E1778" s="2"/>
      <c r="F1778" s="2"/>
      <c r="G1778" s="2"/>
      <c r="H1778" s="2"/>
      <c r="I1778" s="5"/>
    </row>
    <row r="1779" spans="1:9" ht="17.399999999999999" x14ac:dyDescent="0.25">
      <c r="A1779" s="16"/>
      <c r="B1779" s="17"/>
      <c r="C1779" s="2"/>
      <c r="D1779" s="2"/>
      <c r="E1779" s="2"/>
      <c r="F1779" s="2"/>
      <c r="G1779" s="2"/>
      <c r="H1779" s="2"/>
      <c r="I1779" s="5"/>
    </row>
    <row r="1780" spans="1:9" ht="17.399999999999999" x14ac:dyDescent="0.25">
      <c r="A1780" s="16"/>
      <c r="B1780" s="17"/>
      <c r="C1780" s="2"/>
      <c r="D1780" s="2"/>
      <c r="E1780" s="2"/>
      <c r="F1780" s="2"/>
      <c r="G1780" s="2"/>
      <c r="H1780" s="2"/>
      <c r="I1780" s="5"/>
    </row>
    <row r="1781" spans="1:9" ht="17.399999999999999" x14ac:dyDescent="0.25">
      <c r="A1781" s="16"/>
      <c r="B1781" s="17"/>
      <c r="C1781" s="2"/>
      <c r="D1781" s="2"/>
      <c r="E1781" s="2"/>
      <c r="F1781" s="2"/>
      <c r="G1781" s="2"/>
      <c r="H1781" s="2"/>
      <c r="I1781" s="5"/>
    </row>
    <row r="1782" spans="1:9" ht="17.399999999999999" x14ac:dyDescent="0.25">
      <c r="A1782" s="16"/>
      <c r="B1782" s="17"/>
      <c r="C1782" s="2"/>
      <c r="D1782" s="2"/>
      <c r="E1782" s="2"/>
      <c r="F1782" s="2"/>
      <c r="G1782" s="2"/>
      <c r="H1782" s="2"/>
      <c r="I1782" s="5"/>
    </row>
    <row r="1783" spans="1:9" ht="17.399999999999999" x14ac:dyDescent="0.25">
      <c r="A1783" s="16"/>
      <c r="B1783" s="17"/>
      <c r="C1783" s="2"/>
      <c r="D1783" s="2"/>
      <c r="E1783" s="2"/>
      <c r="F1783" s="2"/>
      <c r="G1783" s="2"/>
      <c r="H1783" s="2"/>
      <c r="I1783" s="5"/>
    </row>
    <row r="1784" spans="1:9" ht="17.399999999999999" x14ac:dyDescent="0.25">
      <c r="A1784" s="16"/>
      <c r="B1784" s="17"/>
      <c r="C1784" s="2"/>
      <c r="D1784" s="2"/>
      <c r="E1784" s="2"/>
      <c r="F1784" s="2"/>
      <c r="G1784" s="2"/>
      <c r="H1784" s="2"/>
      <c r="I1784" s="5"/>
    </row>
    <row r="1785" spans="1:9" ht="17.399999999999999" x14ac:dyDescent="0.25">
      <c r="A1785" s="16"/>
      <c r="B1785" s="17"/>
      <c r="C1785" s="2"/>
      <c r="D1785" s="2"/>
      <c r="E1785" s="2"/>
      <c r="F1785" s="2"/>
      <c r="G1785" s="2"/>
      <c r="H1785" s="2"/>
      <c r="I1785" s="5"/>
    </row>
    <row r="1786" spans="1:9" ht="17.399999999999999" x14ac:dyDescent="0.25">
      <c r="A1786" s="16"/>
      <c r="B1786" s="17"/>
      <c r="C1786" s="2"/>
      <c r="D1786" s="2"/>
      <c r="E1786" s="2"/>
      <c r="F1786" s="2"/>
      <c r="G1786" s="2"/>
      <c r="H1786" s="2"/>
      <c r="I1786" s="5"/>
    </row>
    <row r="1787" spans="1:9" ht="17.399999999999999" x14ac:dyDescent="0.25">
      <c r="A1787" s="16"/>
      <c r="B1787" s="17"/>
      <c r="C1787" s="2"/>
      <c r="D1787" s="2"/>
      <c r="E1787" s="2"/>
      <c r="F1787" s="2"/>
      <c r="G1787" s="2"/>
      <c r="H1787" s="2"/>
      <c r="I1787" s="5"/>
    </row>
    <row r="1788" spans="1:9" ht="17.399999999999999" x14ac:dyDescent="0.25">
      <c r="A1788" s="16"/>
      <c r="B1788" s="17"/>
      <c r="C1788" s="2"/>
      <c r="D1788" s="2"/>
      <c r="E1788" s="2"/>
      <c r="F1788" s="2"/>
      <c r="G1788" s="2"/>
      <c r="H1788" s="2"/>
      <c r="I1788" s="5"/>
    </row>
    <row r="1789" spans="1:9" ht="17.399999999999999" x14ac:dyDescent="0.25">
      <c r="A1789" s="16"/>
      <c r="B1789" s="17"/>
      <c r="C1789" s="2"/>
      <c r="D1789" s="2"/>
      <c r="E1789" s="2"/>
      <c r="F1789" s="2"/>
      <c r="G1789" s="2"/>
      <c r="H1789" s="2"/>
      <c r="I1789" s="5"/>
    </row>
    <row r="1790" spans="1:9" ht="17.399999999999999" x14ac:dyDescent="0.25">
      <c r="A1790" s="16"/>
      <c r="B1790" s="17"/>
      <c r="C1790" s="2"/>
      <c r="D1790" s="2"/>
      <c r="E1790" s="2"/>
      <c r="F1790" s="2"/>
      <c r="G1790" s="2"/>
      <c r="H1790" s="2"/>
      <c r="I1790" s="5"/>
    </row>
    <row r="1791" spans="1:9" ht="17.399999999999999" x14ac:dyDescent="0.25">
      <c r="A1791" s="16"/>
      <c r="B1791" s="17"/>
      <c r="C1791" s="2"/>
      <c r="D1791" s="2"/>
      <c r="E1791" s="2"/>
      <c r="F1791" s="2"/>
      <c r="G1791" s="2"/>
      <c r="H1791" s="2"/>
      <c r="I1791" s="5"/>
    </row>
    <row r="1792" spans="1:9" ht="17.399999999999999" x14ac:dyDescent="0.25">
      <c r="A1792" s="16"/>
      <c r="B1792" s="17"/>
      <c r="C1792" s="2"/>
      <c r="D1792" s="2"/>
      <c r="E1792" s="2"/>
      <c r="F1792" s="2"/>
      <c r="G1792" s="2"/>
      <c r="H1792" s="2"/>
      <c r="I1792" s="5"/>
    </row>
    <row r="1793" spans="1:9" ht="17.399999999999999" x14ac:dyDescent="0.25">
      <c r="A1793" s="16"/>
      <c r="B1793" s="17"/>
      <c r="C1793" s="2"/>
      <c r="D1793" s="2"/>
      <c r="E1793" s="2"/>
      <c r="F1793" s="2"/>
      <c r="G1793" s="2"/>
      <c r="H1793" s="2"/>
      <c r="I1793" s="5"/>
    </row>
    <row r="1794" spans="1:9" ht="17.399999999999999" x14ac:dyDescent="0.25">
      <c r="A1794" s="16"/>
      <c r="B1794" s="17"/>
      <c r="C1794" s="2"/>
      <c r="D1794" s="2"/>
      <c r="E1794" s="2"/>
      <c r="F1794" s="2"/>
      <c r="G1794" s="2"/>
      <c r="H1794" s="2"/>
      <c r="I1794" s="5"/>
    </row>
    <row r="1795" spans="1:9" ht="17.399999999999999" x14ac:dyDescent="0.25">
      <c r="A1795" s="16"/>
      <c r="B1795" s="17"/>
      <c r="C1795" s="2"/>
      <c r="D1795" s="2"/>
      <c r="E1795" s="2"/>
      <c r="F1795" s="2"/>
      <c r="G1795" s="2"/>
      <c r="H1795" s="2"/>
      <c r="I1795" s="5"/>
    </row>
    <row r="1796" spans="1:9" ht="17.399999999999999" x14ac:dyDescent="0.25">
      <c r="A1796" s="16"/>
      <c r="B1796" s="17"/>
      <c r="C1796" s="2"/>
      <c r="D1796" s="2"/>
      <c r="E1796" s="2"/>
      <c r="F1796" s="2"/>
      <c r="G1796" s="2"/>
      <c r="H1796" s="2"/>
      <c r="I1796" s="5"/>
    </row>
    <row r="1797" spans="1:9" ht="17.399999999999999" x14ac:dyDescent="0.25">
      <c r="A1797" s="16"/>
      <c r="B1797" s="17"/>
      <c r="C1797" s="2"/>
      <c r="D1797" s="2"/>
      <c r="E1797" s="2"/>
      <c r="F1797" s="2"/>
      <c r="G1797" s="2"/>
      <c r="H1797" s="2"/>
      <c r="I1797" s="5"/>
    </row>
    <row r="1798" spans="1:9" ht="17.399999999999999" x14ac:dyDescent="0.25">
      <c r="A1798" s="16"/>
      <c r="B1798" s="17"/>
      <c r="C1798" s="2"/>
      <c r="D1798" s="2"/>
      <c r="E1798" s="2"/>
      <c r="F1798" s="2"/>
      <c r="G1798" s="2"/>
      <c r="H1798" s="2"/>
      <c r="I1798" s="5"/>
    </row>
    <row r="1799" spans="1:9" ht="17.399999999999999" x14ac:dyDescent="0.25">
      <c r="A1799" s="16"/>
      <c r="B1799" s="17"/>
      <c r="C1799" s="2"/>
      <c r="D1799" s="2"/>
      <c r="E1799" s="2"/>
      <c r="F1799" s="2"/>
      <c r="G1799" s="2"/>
      <c r="H1799" s="2"/>
      <c r="I1799" s="5"/>
    </row>
    <row r="1800" spans="1:9" ht="17.399999999999999" x14ac:dyDescent="0.25">
      <c r="A1800" s="16"/>
      <c r="B1800" s="17"/>
      <c r="C1800" s="2"/>
      <c r="D1800" s="2"/>
      <c r="E1800" s="2"/>
      <c r="F1800" s="2"/>
      <c r="G1800" s="2"/>
      <c r="H1800" s="2"/>
      <c r="I1800" s="5"/>
    </row>
    <row r="1801" spans="1:9" ht="17.399999999999999" x14ac:dyDescent="0.25">
      <c r="A1801" s="16"/>
      <c r="B1801" s="17"/>
      <c r="C1801" s="2"/>
      <c r="D1801" s="2"/>
      <c r="E1801" s="2"/>
      <c r="F1801" s="2"/>
      <c r="G1801" s="2"/>
      <c r="H1801" s="2"/>
      <c r="I1801" s="5"/>
    </row>
    <row r="1802" spans="1:9" ht="17.399999999999999" x14ac:dyDescent="0.25">
      <c r="A1802" s="16"/>
      <c r="B1802" s="17"/>
      <c r="C1802" s="2"/>
      <c r="D1802" s="2"/>
      <c r="E1802" s="2"/>
      <c r="F1802" s="2"/>
      <c r="G1802" s="2"/>
      <c r="H1802" s="2"/>
      <c r="I1802" s="5"/>
    </row>
    <row r="1803" spans="1:9" ht="17.399999999999999" x14ac:dyDescent="0.25">
      <c r="A1803" s="16"/>
      <c r="B1803" s="17"/>
      <c r="C1803" s="2"/>
      <c r="D1803" s="2"/>
      <c r="E1803" s="2"/>
      <c r="F1803" s="2"/>
      <c r="G1803" s="2"/>
      <c r="H1803" s="2"/>
      <c r="I1803" s="5"/>
    </row>
    <row r="1804" spans="1:9" ht="17.399999999999999" x14ac:dyDescent="0.25">
      <c r="A1804" s="16"/>
      <c r="B1804" s="17"/>
      <c r="C1804" s="2"/>
      <c r="D1804" s="2"/>
      <c r="E1804" s="2"/>
      <c r="F1804" s="2"/>
      <c r="G1804" s="2"/>
      <c r="H1804" s="2"/>
      <c r="I1804" s="5"/>
    </row>
    <row r="1805" spans="1:9" ht="17.399999999999999" x14ac:dyDescent="0.25">
      <c r="A1805" s="16"/>
      <c r="B1805" s="17"/>
      <c r="C1805" s="2"/>
      <c r="D1805" s="2"/>
      <c r="E1805" s="2"/>
      <c r="F1805" s="2"/>
      <c r="G1805" s="2"/>
      <c r="H1805" s="2"/>
      <c r="I1805" s="5"/>
    </row>
    <row r="1806" spans="1:9" ht="17.399999999999999" x14ac:dyDescent="0.25">
      <c r="A1806" s="16"/>
      <c r="B1806" s="17"/>
      <c r="C1806" s="2"/>
      <c r="D1806" s="2"/>
      <c r="E1806" s="2"/>
      <c r="F1806" s="2"/>
      <c r="G1806" s="2"/>
      <c r="H1806" s="2"/>
      <c r="I1806" s="5"/>
    </row>
    <row r="1807" spans="1:9" ht="17.399999999999999" x14ac:dyDescent="0.25">
      <c r="A1807" s="16"/>
      <c r="B1807" s="17"/>
      <c r="C1807" s="2"/>
      <c r="D1807" s="2"/>
      <c r="E1807" s="2"/>
      <c r="F1807" s="2"/>
      <c r="G1807" s="2"/>
      <c r="H1807" s="2"/>
      <c r="I1807" s="5"/>
    </row>
    <row r="1808" spans="1:9" ht="17.399999999999999" x14ac:dyDescent="0.25">
      <c r="A1808" s="16"/>
      <c r="B1808" s="17"/>
      <c r="C1808" s="2"/>
      <c r="D1808" s="2"/>
      <c r="E1808" s="2"/>
      <c r="F1808" s="2"/>
      <c r="G1808" s="2"/>
      <c r="H1808" s="2"/>
      <c r="I1808" s="5"/>
    </row>
    <row r="1809" spans="1:9" ht="17.399999999999999" x14ac:dyDescent="0.25">
      <c r="A1809" s="16"/>
      <c r="B1809" s="17"/>
      <c r="C1809" s="2"/>
      <c r="D1809" s="2"/>
      <c r="E1809" s="2"/>
      <c r="F1809" s="2"/>
      <c r="G1809" s="2"/>
      <c r="H1809" s="2"/>
      <c r="I1809" s="5"/>
    </row>
    <row r="1810" spans="1:9" ht="17.399999999999999" x14ac:dyDescent="0.25">
      <c r="A1810" s="16"/>
      <c r="B1810" s="17"/>
      <c r="C1810" s="2"/>
      <c r="D1810" s="2"/>
      <c r="E1810" s="2"/>
      <c r="F1810" s="2"/>
      <c r="G1810" s="2"/>
      <c r="H1810" s="2"/>
      <c r="I1810" s="5"/>
    </row>
    <row r="1811" spans="1:9" ht="17.399999999999999" x14ac:dyDescent="0.25">
      <c r="A1811" s="16"/>
      <c r="B1811" s="17"/>
      <c r="C1811" s="2"/>
      <c r="D1811" s="2"/>
      <c r="E1811" s="2"/>
      <c r="F1811" s="2"/>
      <c r="G1811" s="2"/>
      <c r="H1811" s="2"/>
      <c r="I1811" s="5"/>
    </row>
    <row r="1812" spans="1:9" ht="17.399999999999999" x14ac:dyDescent="0.25">
      <c r="A1812" s="16"/>
      <c r="B1812" s="17"/>
      <c r="C1812" s="2"/>
      <c r="D1812" s="2"/>
      <c r="E1812" s="2"/>
      <c r="F1812" s="2"/>
      <c r="G1812" s="2"/>
      <c r="H1812" s="2"/>
      <c r="I1812" s="5"/>
    </row>
    <row r="1813" spans="1:9" ht="17.399999999999999" x14ac:dyDescent="0.25">
      <c r="A1813" s="16"/>
      <c r="B1813" s="17"/>
      <c r="C1813" s="2"/>
      <c r="D1813" s="2"/>
      <c r="E1813" s="2"/>
      <c r="F1813" s="2"/>
      <c r="G1813" s="2"/>
      <c r="H1813" s="2"/>
      <c r="I1813" s="5"/>
    </row>
    <row r="1814" spans="1:9" ht="17.399999999999999" x14ac:dyDescent="0.25">
      <c r="A1814" s="16"/>
      <c r="B1814" s="17"/>
      <c r="C1814" s="2"/>
      <c r="D1814" s="2"/>
      <c r="E1814" s="2"/>
      <c r="F1814" s="2"/>
      <c r="G1814" s="2"/>
      <c r="H1814" s="2"/>
      <c r="I1814" s="5"/>
    </row>
    <row r="1815" spans="1:9" ht="17.399999999999999" x14ac:dyDescent="0.25">
      <c r="A1815" s="16"/>
      <c r="B1815" s="17"/>
      <c r="C1815" s="2"/>
      <c r="D1815" s="2"/>
      <c r="E1815" s="2"/>
      <c r="F1815" s="2"/>
      <c r="G1815" s="2"/>
      <c r="H1815" s="2"/>
      <c r="I1815" s="5"/>
    </row>
    <row r="1816" spans="1:9" ht="17.399999999999999" x14ac:dyDescent="0.25">
      <c r="A1816" s="16"/>
      <c r="B1816" s="17"/>
      <c r="C1816" s="2"/>
      <c r="D1816" s="2"/>
      <c r="E1816" s="2"/>
      <c r="F1816" s="2"/>
      <c r="G1816" s="2"/>
      <c r="H1816" s="2"/>
      <c r="I1816" s="5"/>
    </row>
    <row r="1817" spans="1:9" ht="17.399999999999999" x14ac:dyDescent="0.25">
      <c r="A1817" s="16"/>
      <c r="B1817" s="17"/>
      <c r="C1817" s="2"/>
      <c r="D1817" s="2"/>
      <c r="E1817" s="2"/>
      <c r="F1817" s="2"/>
      <c r="G1817" s="2"/>
      <c r="H1817" s="2"/>
      <c r="I1817" s="5"/>
    </row>
    <row r="1818" spans="1:9" ht="17.399999999999999" x14ac:dyDescent="0.25">
      <c r="A1818" s="16"/>
      <c r="B1818" s="17"/>
      <c r="C1818" s="2"/>
      <c r="D1818" s="2"/>
      <c r="E1818" s="2"/>
      <c r="F1818" s="2"/>
      <c r="G1818" s="2"/>
      <c r="H1818" s="2"/>
      <c r="I1818" s="5"/>
    </row>
    <row r="1819" spans="1:9" ht="17.399999999999999" x14ac:dyDescent="0.25">
      <c r="A1819" s="16"/>
      <c r="B1819" s="17"/>
      <c r="C1819" s="2"/>
      <c r="D1819" s="2"/>
      <c r="E1819" s="2"/>
      <c r="F1819" s="2"/>
      <c r="G1819" s="2"/>
      <c r="H1819" s="2"/>
      <c r="I1819" s="5"/>
    </row>
    <row r="1820" spans="1:9" ht="17.399999999999999" x14ac:dyDescent="0.25">
      <c r="A1820" s="16"/>
      <c r="B1820" s="17"/>
      <c r="C1820" s="2"/>
      <c r="D1820" s="2"/>
      <c r="E1820" s="2"/>
      <c r="F1820" s="2"/>
      <c r="G1820" s="2"/>
      <c r="H1820" s="2"/>
      <c r="I1820" s="5"/>
    </row>
    <row r="1821" spans="1:9" ht="17.399999999999999" x14ac:dyDescent="0.25">
      <c r="A1821" s="16"/>
      <c r="B1821" s="17"/>
      <c r="C1821" s="2"/>
      <c r="D1821" s="2"/>
      <c r="E1821" s="2"/>
      <c r="F1821" s="2"/>
      <c r="G1821" s="2"/>
      <c r="H1821" s="2"/>
      <c r="I1821" s="5"/>
    </row>
    <row r="1822" spans="1:9" ht="17.399999999999999" x14ac:dyDescent="0.25">
      <c r="A1822" s="16"/>
      <c r="B1822" s="17"/>
      <c r="C1822" s="2"/>
      <c r="D1822" s="2"/>
      <c r="E1822" s="2"/>
      <c r="F1822" s="2"/>
      <c r="G1822" s="2"/>
      <c r="H1822" s="2"/>
      <c r="I1822" s="5"/>
    </row>
    <row r="1823" spans="1:9" ht="17.399999999999999" x14ac:dyDescent="0.25">
      <c r="A1823" s="16"/>
      <c r="B1823" s="17"/>
      <c r="C1823" s="2"/>
      <c r="D1823" s="2"/>
      <c r="E1823" s="2"/>
      <c r="F1823" s="2"/>
      <c r="G1823" s="2"/>
      <c r="H1823" s="2"/>
      <c r="I1823" s="5"/>
    </row>
    <row r="1824" spans="1:9" ht="17.399999999999999" x14ac:dyDescent="0.25">
      <c r="A1824" s="16"/>
      <c r="B1824" s="17"/>
      <c r="C1824" s="2"/>
      <c r="D1824" s="2"/>
      <c r="E1824" s="2"/>
      <c r="F1824" s="2"/>
      <c r="G1824" s="2"/>
      <c r="H1824" s="2"/>
      <c r="I1824" s="5"/>
    </row>
    <row r="1825" spans="1:9" ht="17.399999999999999" x14ac:dyDescent="0.25">
      <c r="A1825" s="16"/>
      <c r="B1825" s="17"/>
      <c r="C1825" s="2"/>
      <c r="D1825" s="2"/>
      <c r="E1825" s="2"/>
      <c r="F1825" s="2"/>
      <c r="G1825" s="2"/>
      <c r="H1825" s="2"/>
      <c r="I1825" s="5"/>
    </row>
    <row r="1826" spans="1:9" ht="17.399999999999999" x14ac:dyDescent="0.25">
      <c r="A1826" s="16"/>
      <c r="B1826" s="17"/>
      <c r="C1826" s="2"/>
      <c r="D1826" s="2"/>
      <c r="E1826" s="2"/>
      <c r="F1826" s="2"/>
      <c r="G1826" s="2"/>
      <c r="H1826" s="2"/>
      <c r="I1826" s="5"/>
    </row>
    <row r="1827" spans="1:9" ht="17.399999999999999" x14ac:dyDescent="0.25">
      <c r="A1827" s="16"/>
      <c r="B1827" s="17"/>
      <c r="C1827" s="2"/>
      <c r="D1827" s="2"/>
      <c r="E1827" s="2"/>
      <c r="F1827" s="2"/>
      <c r="G1827" s="2"/>
      <c r="H1827" s="2"/>
      <c r="I1827" s="5"/>
    </row>
    <row r="1828" spans="1:9" ht="17.399999999999999" x14ac:dyDescent="0.25">
      <c r="A1828" s="16"/>
      <c r="B1828" s="17"/>
      <c r="C1828" s="2"/>
      <c r="D1828" s="2"/>
      <c r="E1828" s="2"/>
      <c r="F1828" s="2"/>
      <c r="G1828" s="2"/>
      <c r="H1828" s="2"/>
      <c r="I1828" s="5"/>
    </row>
    <row r="1829" spans="1:9" ht="17.399999999999999" x14ac:dyDescent="0.25">
      <c r="A1829" s="16"/>
      <c r="B1829" s="17"/>
      <c r="C1829" s="2"/>
      <c r="D1829" s="2"/>
      <c r="E1829" s="2"/>
      <c r="F1829" s="2"/>
      <c r="G1829" s="2"/>
      <c r="H1829" s="2"/>
      <c r="I1829" s="5"/>
    </row>
    <row r="1830" spans="1:9" ht="17.399999999999999" x14ac:dyDescent="0.25">
      <c r="A1830" s="16"/>
      <c r="B1830" s="17"/>
      <c r="C1830" s="2"/>
      <c r="D1830" s="2"/>
      <c r="E1830" s="2"/>
      <c r="F1830" s="2"/>
      <c r="G1830" s="2"/>
      <c r="H1830" s="2"/>
      <c r="I1830" s="5"/>
    </row>
    <row r="1831" spans="1:9" ht="17.399999999999999" x14ac:dyDescent="0.25">
      <c r="A1831" s="16"/>
      <c r="B1831" s="17"/>
      <c r="C1831" s="2"/>
      <c r="D1831" s="2"/>
      <c r="E1831" s="2"/>
      <c r="F1831" s="2"/>
      <c r="G1831" s="2"/>
      <c r="H1831" s="2"/>
      <c r="I1831" s="5"/>
    </row>
    <row r="1832" spans="1:9" ht="17.399999999999999" x14ac:dyDescent="0.25">
      <c r="A1832" s="16"/>
      <c r="B1832" s="17"/>
      <c r="C1832" s="2"/>
      <c r="D1832" s="2"/>
      <c r="E1832" s="2"/>
      <c r="F1832" s="2"/>
      <c r="G1832" s="2"/>
      <c r="H1832" s="2"/>
      <c r="I1832" s="5"/>
    </row>
    <row r="1833" spans="1:9" ht="17.399999999999999" x14ac:dyDescent="0.25">
      <c r="A1833" s="16"/>
      <c r="B1833" s="17"/>
      <c r="C1833" s="2"/>
      <c r="D1833" s="2"/>
      <c r="E1833" s="2"/>
      <c r="F1833" s="2"/>
      <c r="G1833" s="2"/>
      <c r="H1833" s="2"/>
      <c r="I1833" s="5"/>
    </row>
    <row r="1834" spans="1:9" ht="17.399999999999999" x14ac:dyDescent="0.25">
      <c r="A1834" s="16"/>
      <c r="B1834" s="17"/>
      <c r="C1834" s="2"/>
      <c r="D1834" s="2"/>
      <c r="E1834" s="2"/>
      <c r="F1834" s="2"/>
      <c r="G1834" s="2"/>
      <c r="H1834" s="2"/>
      <c r="I1834" s="5"/>
    </row>
    <row r="1835" spans="1:9" ht="17.399999999999999" x14ac:dyDescent="0.25">
      <c r="A1835" s="16"/>
      <c r="B1835" s="17"/>
      <c r="C1835" s="2"/>
      <c r="D1835" s="2"/>
      <c r="E1835" s="2"/>
      <c r="F1835" s="2"/>
      <c r="G1835" s="2"/>
      <c r="H1835" s="2"/>
      <c r="I1835" s="5"/>
    </row>
    <row r="1836" spans="1:9" ht="17.399999999999999" x14ac:dyDescent="0.25">
      <c r="A1836" s="16"/>
      <c r="B1836" s="17"/>
      <c r="C1836" s="2"/>
      <c r="D1836" s="2"/>
      <c r="E1836" s="2"/>
      <c r="F1836" s="2"/>
      <c r="G1836" s="2"/>
      <c r="H1836" s="2"/>
      <c r="I1836" s="5"/>
    </row>
    <row r="1837" spans="1:9" ht="17.399999999999999" x14ac:dyDescent="0.25">
      <c r="A1837" s="16"/>
      <c r="B1837" s="17"/>
      <c r="C1837" s="2"/>
      <c r="D1837" s="2"/>
      <c r="E1837" s="2"/>
      <c r="F1837" s="2"/>
      <c r="G1837" s="2"/>
      <c r="H1837" s="2"/>
      <c r="I1837" s="5"/>
    </row>
    <row r="1838" spans="1:9" ht="17.399999999999999" x14ac:dyDescent="0.25">
      <c r="A1838" s="16"/>
      <c r="B1838" s="17"/>
      <c r="C1838" s="2"/>
      <c r="D1838" s="2"/>
      <c r="E1838" s="2"/>
      <c r="F1838" s="2"/>
      <c r="G1838" s="2"/>
      <c r="H1838" s="2"/>
      <c r="I1838" s="5"/>
    </row>
    <row r="1839" spans="1:9" ht="17.399999999999999" x14ac:dyDescent="0.25">
      <c r="A1839" s="16"/>
      <c r="B1839" s="17"/>
      <c r="C1839" s="2"/>
      <c r="D1839" s="2"/>
      <c r="E1839" s="2"/>
      <c r="F1839" s="2"/>
      <c r="G1839" s="2"/>
      <c r="H1839" s="2"/>
      <c r="I1839" s="5"/>
    </row>
    <row r="1840" spans="1:9" ht="17.399999999999999" x14ac:dyDescent="0.25">
      <c r="A1840" s="16"/>
      <c r="B1840" s="17"/>
      <c r="C1840" s="2"/>
      <c r="D1840" s="2"/>
      <c r="E1840" s="2"/>
      <c r="F1840" s="2"/>
      <c r="G1840" s="2"/>
      <c r="H1840" s="2"/>
      <c r="I1840" s="5"/>
    </row>
    <row r="1841" spans="1:9" ht="17.399999999999999" x14ac:dyDescent="0.25">
      <c r="A1841" s="16"/>
      <c r="B1841" s="17"/>
      <c r="C1841" s="2"/>
      <c r="D1841" s="2"/>
      <c r="E1841" s="2"/>
      <c r="F1841" s="2"/>
      <c r="G1841" s="2"/>
      <c r="H1841" s="2"/>
      <c r="I1841" s="5"/>
    </row>
    <row r="1842" spans="1:9" ht="17.399999999999999" x14ac:dyDescent="0.25">
      <c r="A1842" s="16"/>
      <c r="B1842" s="17"/>
      <c r="C1842" s="2"/>
      <c r="D1842" s="2"/>
      <c r="E1842" s="2"/>
      <c r="F1842" s="2"/>
      <c r="G1842" s="2"/>
      <c r="H1842" s="2"/>
      <c r="I1842" s="5"/>
    </row>
    <row r="1843" spans="1:9" ht="17.399999999999999" x14ac:dyDescent="0.25">
      <c r="A1843" s="16"/>
      <c r="B1843" s="17"/>
      <c r="C1843" s="2"/>
      <c r="D1843" s="2"/>
      <c r="E1843" s="2"/>
      <c r="F1843" s="2"/>
      <c r="G1843" s="2"/>
      <c r="H1843" s="2"/>
      <c r="I1843" s="5"/>
    </row>
    <row r="1844" spans="1:9" ht="17.399999999999999" x14ac:dyDescent="0.25">
      <c r="A1844" s="16"/>
      <c r="B1844" s="17"/>
      <c r="C1844" s="2"/>
      <c r="D1844" s="2"/>
      <c r="E1844" s="2"/>
      <c r="F1844" s="2"/>
      <c r="G1844" s="2"/>
      <c r="H1844" s="2"/>
      <c r="I1844" s="5"/>
    </row>
    <row r="1845" spans="1:9" ht="17.399999999999999" x14ac:dyDescent="0.25">
      <c r="A1845" s="16"/>
      <c r="B1845" s="17"/>
      <c r="C1845" s="2"/>
      <c r="D1845" s="2"/>
      <c r="E1845" s="2"/>
      <c r="F1845" s="2"/>
      <c r="G1845" s="2"/>
      <c r="H1845" s="2"/>
      <c r="I1845" s="5"/>
    </row>
    <row r="1846" spans="1:9" ht="17.399999999999999" x14ac:dyDescent="0.25">
      <c r="A1846" s="16"/>
      <c r="B1846" s="17"/>
      <c r="C1846" s="2"/>
      <c r="D1846" s="2"/>
      <c r="E1846" s="2"/>
      <c r="F1846" s="2"/>
      <c r="G1846" s="2"/>
      <c r="H1846" s="2"/>
      <c r="I1846" s="5"/>
    </row>
    <row r="1847" spans="1:9" ht="17.399999999999999" x14ac:dyDescent="0.25">
      <c r="A1847" s="16"/>
      <c r="B1847" s="17"/>
      <c r="C1847" s="2"/>
      <c r="D1847" s="2"/>
      <c r="E1847" s="2"/>
      <c r="F1847" s="2"/>
      <c r="G1847" s="2"/>
      <c r="H1847" s="2"/>
      <c r="I1847" s="5"/>
    </row>
    <row r="1848" spans="1:9" ht="17.399999999999999" x14ac:dyDescent="0.25">
      <c r="A1848" s="16"/>
      <c r="B1848" s="17"/>
      <c r="C1848" s="2"/>
      <c r="D1848" s="2"/>
      <c r="E1848" s="2"/>
      <c r="F1848" s="2"/>
      <c r="G1848" s="2"/>
      <c r="H1848" s="2"/>
      <c r="I1848" s="5"/>
    </row>
    <row r="1849" spans="1:9" ht="17.399999999999999" x14ac:dyDescent="0.25">
      <c r="A1849" s="16"/>
      <c r="B1849" s="17"/>
      <c r="C1849" s="2"/>
      <c r="D1849" s="2"/>
      <c r="E1849" s="2"/>
      <c r="F1849" s="2"/>
      <c r="G1849" s="2"/>
      <c r="H1849" s="2"/>
      <c r="I1849" s="5"/>
    </row>
    <row r="1850" spans="1:9" ht="17.399999999999999" x14ac:dyDescent="0.25">
      <c r="A1850" s="16"/>
      <c r="B1850" s="17"/>
      <c r="C1850" s="2"/>
      <c r="D1850" s="2"/>
      <c r="E1850" s="2"/>
      <c r="F1850" s="2"/>
      <c r="G1850" s="2"/>
      <c r="H1850" s="2"/>
      <c r="I1850" s="5"/>
    </row>
    <row r="1851" spans="1:9" ht="17.399999999999999" x14ac:dyDescent="0.25">
      <c r="A1851" s="16"/>
      <c r="B1851" s="17"/>
      <c r="C1851" s="2"/>
      <c r="D1851" s="2"/>
      <c r="E1851" s="2"/>
      <c r="F1851" s="2"/>
      <c r="G1851" s="2"/>
      <c r="H1851" s="2"/>
      <c r="I1851" s="5"/>
    </row>
    <row r="1852" spans="1:9" ht="17.399999999999999" x14ac:dyDescent="0.25">
      <c r="A1852" s="16"/>
      <c r="B1852" s="17"/>
      <c r="C1852" s="2"/>
      <c r="D1852" s="2"/>
      <c r="E1852" s="2"/>
      <c r="F1852" s="2"/>
      <c r="G1852" s="2"/>
      <c r="H1852" s="2"/>
      <c r="I1852" s="5"/>
    </row>
    <row r="1853" spans="1:9" ht="17.399999999999999" x14ac:dyDescent="0.25">
      <c r="A1853" s="16"/>
      <c r="B1853" s="17"/>
      <c r="C1853" s="2"/>
      <c r="D1853" s="2"/>
      <c r="E1853" s="2"/>
      <c r="F1853" s="2"/>
      <c r="G1853" s="2"/>
      <c r="H1853" s="2"/>
      <c r="I1853" s="5"/>
    </row>
    <row r="1854" spans="1:9" ht="17.399999999999999" x14ac:dyDescent="0.25">
      <c r="A1854" s="16"/>
      <c r="B1854" s="17"/>
      <c r="C1854" s="2"/>
      <c r="D1854" s="2"/>
      <c r="E1854" s="2"/>
      <c r="F1854" s="2"/>
      <c r="G1854" s="2"/>
      <c r="H1854" s="2"/>
      <c r="I1854" s="5"/>
    </row>
    <row r="1855" spans="1:9" ht="17.399999999999999" x14ac:dyDescent="0.25">
      <c r="A1855" s="16"/>
      <c r="B1855" s="17"/>
      <c r="C1855" s="2"/>
      <c r="D1855" s="2"/>
      <c r="E1855" s="2"/>
      <c r="F1855" s="2"/>
      <c r="G1855" s="2"/>
      <c r="H1855" s="2"/>
      <c r="I1855" s="5"/>
    </row>
    <row r="1856" spans="1:9" ht="17.399999999999999" x14ac:dyDescent="0.25">
      <c r="A1856" s="16"/>
      <c r="B1856" s="17"/>
      <c r="C1856" s="2"/>
      <c r="D1856" s="2"/>
      <c r="E1856" s="2"/>
      <c r="F1856" s="2"/>
      <c r="G1856" s="2"/>
      <c r="H1856" s="2"/>
      <c r="I1856" s="5"/>
    </row>
    <row r="1857" spans="1:9" ht="17.399999999999999" x14ac:dyDescent="0.25">
      <c r="A1857" s="16"/>
      <c r="B1857" s="17"/>
      <c r="C1857" s="2"/>
      <c r="D1857" s="2"/>
      <c r="E1857" s="2"/>
      <c r="F1857" s="2"/>
      <c r="G1857" s="2"/>
      <c r="H1857" s="2"/>
      <c r="I1857" s="5"/>
    </row>
    <row r="1858" spans="1:9" ht="17.399999999999999" x14ac:dyDescent="0.25">
      <c r="A1858" s="16"/>
      <c r="B1858" s="17"/>
      <c r="C1858" s="2"/>
      <c r="D1858" s="2"/>
      <c r="E1858" s="2"/>
      <c r="F1858" s="2"/>
      <c r="G1858" s="2"/>
      <c r="H1858" s="2"/>
      <c r="I1858" s="5"/>
    </row>
    <row r="1859" spans="1:9" ht="17.399999999999999" x14ac:dyDescent="0.25">
      <c r="A1859" s="16"/>
      <c r="B1859" s="17"/>
      <c r="C1859" s="2"/>
      <c r="D1859" s="2"/>
      <c r="E1859" s="2"/>
      <c r="F1859" s="2"/>
      <c r="G1859" s="2"/>
      <c r="H1859" s="2"/>
      <c r="I1859" s="5"/>
    </row>
    <row r="1860" spans="1:9" ht="17.399999999999999" x14ac:dyDescent="0.25">
      <c r="A1860" s="16"/>
      <c r="B1860" s="17"/>
      <c r="C1860" s="2"/>
      <c r="D1860" s="2"/>
      <c r="E1860" s="2"/>
      <c r="F1860" s="2"/>
      <c r="G1860" s="2"/>
      <c r="H1860" s="2"/>
      <c r="I1860" s="5"/>
    </row>
    <row r="1861" spans="1:9" ht="17.399999999999999" x14ac:dyDescent="0.25">
      <c r="A1861" s="16"/>
      <c r="B1861" s="17"/>
      <c r="C1861" s="2"/>
      <c r="D1861" s="2"/>
      <c r="E1861" s="2"/>
      <c r="F1861" s="2"/>
      <c r="G1861" s="2"/>
      <c r="H1861" s="2"/>
      <c r="I1861" s="5"/>
    </row>
    <row r="1862" spans="1:9" ht="17.399999999999999" x14ac:dyDescent="0.25">
      <c r="A1862" s="16"/>
      <c r="B1862" s="17"/>
      <c r="C1862" s="2"/>
      <c r="D1862" s="2"/>
      <c r="E1862" s="2"/>
      <c r="F1862" s="2"/>
      <c r="G1862" s="2"/>
      <c r="H1862" s="2"/>
      <c r="I1862" s="5"/>
    </row>
    <row r="1863" spans="1:9" ht="17.399999999999999" x14ac:dyDescent="0.25">
      <c r="A1863" s="16"/>
      <c r="B1863" s="17"/>
      <c r="C1863" s="2"/>
      <c r="D1863" s="2"/>
      <c r="E1863" s="2"/>
      <c r="F1863" s="2"/>
      <c r="G1863" s="2"/>
      <c r="H1863" s="2"/>
      <c r="I1863" s="5"/>
    </row>
    <row r="1864" spans="1:9" ht="17.399999999999999" x14ac:dyDescent="0.25">
      <c r="A1864" s="16"/>
      <c r="B1864" s="17"/>
      <c r="C1864" s="2"/>
      <c r="D1864" s="2"/>
      <c r="E1864" s="2"/>
      <c r="F1864" s="2"/>
      <c r="G1864" s="2"/>
      <c r="H1864" s="2"/>
      <c r="I1864" s="5"/>
    </row>
    <row r="1865" spans="1:9" ht="17.399999999999999" x14ac:dyDescent="0.25">
      <c r="A1865" s="16"/>
      <c r="B1865" s="17"/>
      <c r="C1865" s="2"/>
      <c r="D1865" s="2"/>
      <c r="E1865" s="2"/>
      <c r="F1865" s="2"/>
      <c r="G1865" s="2"/>
      <c r="H1865" s="2"/>
      <c r="I1865" s="5"/>
    </row>
    <row r="1866" spans="1:9" ht="17.399999999999999" x14ac:dyDescent="0.25">
      <c r="A1866" s="16"/>
      <c r="B1866" s="17"/>
      <c r="C1866" s="2"/>
      <c r="D1866" s="2"/>
      <c r="E1866" s="2"/>
      <c r="F1866" s="2"/>
      <c r="G1866" s="2"/>
      <c r="H1866" s="2"/>
      <c r="I1866" s="5"/>
    </row>
    <row r="1867" spans="1:9" ht="17.399999999999999" x14ac:dyDescent="0.25">
      <c r="A1867" s="16"/>
      <c r="B1867" s="17"/>
      <c r="C1867" s="2"/>
      <c r="D1867" s="2"/>
      <c r="E1867" s="2"/>
      <c r="F1867" s="2"/>
      <c r="G1867" s="2"/>
      <c r="H1867" s="2"/>
      <c r="I1867" s="5"/>
    </row>
    <row r="1868" spans="1:9" ht="17.399999999999999" x14ac:dyDescent="0.25">
      <c r="A1868" s="16"/>
      <c r="B1868" s="17"/>
      <c r="C1868" s="2"/>
      <c r="D1868" s="2"/>
      <c r="E1868" s="2"/>
      <c r="F1868" s="2"/>
      <c r="G1868" s="2"/>
      <c r="H1868" s="2"/>
      <c r="I1868" s="5"/>
    </row>
    <row r="1869" spans="1:9" ht="17.399999999999999" x14ac:dyDescent="0.25">
      <c r="A1869" s="16"/>
      <c r="B1869" s="17"/>
      <c r="C1869" s="2"/>
      <c r="D1869" s="2"/>
      <c r="E1869" s="2"/>
      <c r="F1869" s="2"/>
      <c r="G1869" s="2"/>
      <c r="H1869" s="2"/>
      <c r="I1869" s="5"/>
    </row>
    <row r="1870" spans="1:9" ht="17.399999999999999" x14ac:dyDescent="0.25">
      <c r="A1870" s="16"/>
      <c r="B1870" s="17"/>
      <c r="C1870" s="2"/>
      <c r="D1870" s="2"/>
      <c r="E1870" s="2"/>
      <c r="F1870" s="2"/>
      <c r="G1870" s="2"/>
      <c r="H1870" s="2"/>
      <c r="I1870" s="5"/>
    </row>
    <row r="1871" spans="1:9" ht="17.399999999999999" x14ac:dyDescent="0.25">
      <c r="A1871" s="16"/>
      <c r="B1871" s="17"/>
      <c r="C1871" s="2"/>
      <c r="D1871" s="2"/>
      <c r="E1871" s="2"/>
      <c r="F1871" s="2"/>
      <c r="G1871" s="2"/>
      <c r="H1871" s="2"/>
      <c r="I1871" s="5"/>
    </row>
    <row r="1872" spans="1:9" ht="17.399999999999999" x14ac:dyDescent="0.25">
      <c r="A1872" s="16"/>
      <c r="B1872" s="17"/>
      <c r="C1872" s="2"/>
      <c r="D1872" s="2"/>
      <c r="E1872" s="2"/>
      <c r="F1872" s="2"/>
      <c r="G1872" s="2"/>
      <c r="H1872" s="2"/>
      <c r="I1872" s="5"/>
    </row>
    <row r="1873" spans="1:9" ht="17.399999999999999" x14ac:dyDescent="0.25">
      <c r="A1873" s="16"/>
      <c r="B1873" s="17"/>
      <c r="C1873" s="2"/>
      <c r="D1873" s="2"/>
      <c r="E1873" s="2"/>
      <c r="F1873" s="2"/>
      <c r="G1873" s="2"/>
      <c r="H1873" s="2"/>
      <c r="I1873" s="5"/>
    </row>
    <row r="1874" spans="1:9" ht="17.399999999999999" x14ac:dyDescent="0.25">
      <c r="A1874" s="16"/>
      <c r="B1874" s="17"/>
      <c r="C1874" s="2"/>
      <c r="D1874" s="2"/>
      <c r="E1874" s="2"/>
      <c r="F1874" s="2"/>
      <c r="G1874" s="2"/>
      <c r="H1874" s="2"/>
      <c r="I1874" s="5"/>
    </row>
    <row r="1875" spans="1:9" ht="17.399999999999999" x14ac:dyDescent="0.25">
      <c r="A1875" s="16"/>
      <c r="B1875" s="17"/>
      <c r="C1875" s="2"/>
      <c r="D1875" s="2"/>
      <c r="E1875" s="2"/>
      <c r="F1875" s="2"/>
      <c r="G1875" s="2"/>
      <c r="H1875" s="2"/>
      <c r="I1875" s="5"/>
    </row>
    <row r="1876" spans="1:9" ht="17.399999999999999" x14ac:dyDescent="0.25">
      <c r="A1876" s="16"/>
      <c r="B1876" s="17"/>
      <c r="C1876" s="2"/>
      <c r="D1876" s="2"/>
      <c r="E1876" s="2"/>
      <c r="F1876" s="2"/>
      <c r="G1876" s="2"/>
      <c r="H1876" s="2"/>
      <c r="I1876" s="5"/>
    </row>
    <row r="1877" spans="1:9" ht="17.399999999999999" x14ac:dyDescent="0.25">
      <c r="A1877" s="16"/>
      <c r="B1877" s="17"/>
      <c r="C1877" s="2"/>
      <c r="D1877" s="2"/>
      <c r="E1877" s="2"/>
      <c r="F1877" s="2"/>
      <c r="G1877" s="2"/>
      <c r="H1877" s="2"/>
      <c r="I1877" s="5"/>
    </row>
    <row r="1878" spans="1:9" ht="17.399999999999999" x14ac:dyDescent="0.25">
      <c r="A1878" s="16"/>
      <c r="B1878" s="17"/>
      <c r="C1878" s="2"/>
      <c r="D1878" s="2"/>
      <c r="E1878" s="2"/>
      <c r="F1878" s="2"/>
      <c r="G1878" s="2"/>
      <c r="H1878" s="2"/>
      <c r="I1878" s="5"/>
    </row>
    <row r="1879" spans="1:9" ht="17.399999999999999" x14ac:dyDescent="0.25">
      <c r="A1879" s="16"/>
      <c r="B1879" s="17"/>
      <c r="C1879" s="2"/>
      <c r="D1879" s="2"/>
      <c r="E1879" s="2"/>
      <c r="F1879" s="2"/>
      <c r="G1879" s="2"/>
      <c r="H1879" s="2"/>
      <c r="I1879" s="5"/>
    </row>
    <row r="1880" spans="1:9" ht="17.399999999999999" x14ac:dyDescent="0.25">
      <c r="A1880" s="16"/>
      <c r="B1880" s="17"/>
      <c r="C1880" s="2"/>
      <c r="D1880" s="2"/>
      <c r="E1880" s="2"/>
      <c r="F1880" s="2"/>
      <c r="G1880" s="2"/>
      <c r="H1880" s="2"/>
      <c r="I1880" s="5"/>
    </row>
    <row r="1881" spans="1:9" ht="17.399999999999999" x14ac:dyDescent="0.25">
      <c r="A1881" s="16"/>
      <c r="B1881" s="17"/>
      <c r="C1881" s="2"/>
      <c r="D1881" s="2"/>
      <c r="E1881" s="2"/>
      <c r="F1881" s="2"/>
      <c r="G1881" s="2"/>
      <c r="H1881" s="2"/>
      <c r="I1881" s="5"/>
    </row>
    <row r="1882" spans="1:9" ht="17.399999999999999" x14ac:dyDescent="0.25">
      <c r="A1882" s="16"/>
      <c r="B1882" s="17"/>
      <c r="C1882" s="2"/>
      <c r="D1882" s="2"/>
      <c r="E1882" s="2"/>
      <c r="F1882" s="2"/>
      <c r="G1882" s="2"/>
      <c r="H1882" s="2"/>
      <c r="I1882" s="5"/>
    </row>
    <row r="1883" spans="1:9" ht="17.399999999999999" x14ac:dyDescent="0.25">
      <c r="A1883" s="16"/>
      <c r="B1883" s="17"/>
      <c r="C1883" s="2"/>
      <c r="D1883" s="2"/>
      <c r="E1883" s="2"/>
      <c r="F1883" s="2"/>
      <c r="G1883" s="2"/>
      <c r="H1883" s="2"/>
      <c r="I1883" s="5"/>
    </row>
    <row r="1884" spans="1:9" ht="17.399999999999999" x14ac:dyDescent="0.25">
      <c r="A1884" s="16"/>
      <c r="B1884" s="17"/>
      <c r="C1884" s="2"/>
      <c r="D1884" s="2"/>
      <c r="E1884" s="2"/>
      <c r="F1884" s="2"/>
      <c r="G1884" s="2"/>
      <c r="H1884" s="2"/>
      <c r="I1884" s="5"/>
    </row>
    <row r="1885" spans="1:9" ht="17.399999999999999" x14ac:dyDescent="0.25">
      <c r="A1885" s="16"/>
      <c r="B1885" s="17"/>
      <c r="C1885" s="2"/>
      <c r="D1885" s="2"/>
      <c r="E1885" s="2"/>
      <c r="F1885" s="2"/>
      <c r="G1885" s="2"/>
      <c r="H1885" s="2"/>
      <c r="I1885" s="5"/>
    </row>
    <row r="1886" spans="1:9" ht="17.399999999999999" x14ac:dyDescent="0.25">
      <c r="A1886" s="16"/>
      <c r="B1886" s="17"/>
      <c r="C1886" s="2"/>
      <c r="D1886" s="2"/>
      <c r="E1886" s="2"/>
      <c r="F1886" s="2"/>
      <c r="G1886" s="2"/>
      <c r="H1886" s="2"/>
      <c r="I1886" s="5"/>
    </row>
    <row r="1887" spans="1:9" ht="17.399999999999999" x14ac:dyDescent="0.25">
      <c r="A1887" s="16"/>
      <c r="B1887" s="17"/>
      <c r="C1887" s="2"/>
      <c r="D1887" s="2"/>
      <c r="E1887" s="2"/>
      <c r="F1887" s="2"/>
      <c r="G1887" s="2"/>
      <c r="H1887" s="2"/>
      <c r="I1887" s="5"/>
    </row>
    <row r="1888" spans="1:9" ht="17.399999999999999" x14ac:dyDescent="0.25">
      <c r="A1888" s="16"/>
      <c r="B1888" s="17"/>
      <c r="C1888" s="2"/>
      <c r="D1888" s="2"/>
      <c r="E1888" s="2"/>
      <c r="F1888" s="2"/>
      <c r="G1888" s="2"/>
      <c r="H1888" s="2"/>
      <c r="I1888" s="5"/>
    </row>
    <row r="1889" spans="1:9" ht="17.399999999999999" x14ac:dyDescent="0.25">
      <c r="A1889" s="16"/>
      <c r="B1889" s="17"/>
      <c r="C1889" s="2"/>
      <c r="D1889" s="2"/>
      <c r="E1889" s="2"/>
      <c r="F1889" s="2"/>
      <c r="G1889" s="2"/>
      <c r="H1889" s="2"/>
      <c r="I1889" s="5"/>
    </row>
    <row r="1890" spans="1:9" ht="17.399999999999999" x14ac:dyDescent="0.25">
      <c r="A1890" s="16"/>
      <c r="B1890" s="17"/>
      <c r="C1890" s="2"/>
      <c r="D1890" s="2"/>
      <c r="E1890" s="2"/>
      <c r="F1890" s="2"/>
      <c r="G1890" s="2"/>
      <c r="H1890" s="2"/>
      <c r="I1890" s="5"/>
    </row>
    <row r="1891" spans="1:9" ht="17.399999999999999" x14ac:dyDescent="0.25">
      <c r="A1891" s="16"/>
      <c r="B1891" s="17"/>
      <c r="C1891" s="2"/>
      <c r="D1891" s="2"/>
      <c r="E1891" s="2"/>
      <c r="F1891" s="2"/>
      <c r="G1891" s="2"/>
      <c r="H1891" s="2"/>
      <c r="I1891" s="5"/>
    </row>
    <row r="1892" spans="1:9" ht="17.399999999999999" x14ac:dyDescent="0.25">
      <c r="A1892" s="16"/>
      <c r="B1892" s="17"/>
      <c r="C1892" s="2"/>
      <c r="D1892" s="2"/>
      <c r="E1892" s="2"/>
      <c r="F1892" s="2"/>
      <c r="G1892" s="2"/>
      <c r="H1892" s="2"/>
      <c r="I1892" s="5"/>
    </row>
    <row r="1893" spans="1:9" ht="17.399999999999999" x14ac:dyDescent="0.25">
      <c r="A1893" s="16"/>
      <c r="B1893" s="17"/>
      <c r="C1893" s="2"/>
      <c r="D1893" s="2"/>
      <c r="E1893" s="2"/>
      <c r="F1893" s="2"/>
      <c r="G1893" s="2"/>
      <c r="H1893" s="2"/>
      <c r="I1893" s="5"/>
    </row>
    <row r="1894" spans="1:9" ht="17.399999999999999" x14ac:dyDescent="0.25">
      <c r="A1894" s="16"/>
      <c r="B1894" s="17"/>
      <c r="C1894" s="2"/>
      <c r="D1894" s="2"/>
      <c r="E1894" s="2"/>
      <c r="F1894" s="2"/>
      <c r="G1894" s="2"/>
      <c r="H1894" s="2"/>
      <c r="I1894" s="5"/>
    </row>
    <row r="1895" spans="1:9" ht="17.399999999999999" x14ac:dyDescent="0.25">
      <c r="A1895" s="16"/>
      <c r="B1895" s="17"/>
      <c r="C1895" s="2"/>
      <c r="D1895" s="2"/>
      <c r="E1895" s="2"/>
      <c r="F1895" s="2"/>
      <c r="G1895" s="2"/>
      <c r="H1895" s="2"/>
      <c r="I1895" s="5"/>
    </row>
    <row r="1896" spans="1:9" ht="17.399999999999999" x14ac:dyDescent="0.25">
      <c r="A1896" s="16"/>
      <c r="B1896" s="17"/>
      <c r="C1896" s="2"/>
      <c r="D1896" s="2"/>
      <c r="E1896" s="2"/>
      <c r="F1896" s="2"/>
      <c r="G1896" s="2"/>
      <c r="H1896" s="2"/>
      <c r="I1896" s="5"/>
    </row>
    <row r="1897" spans="1:9" ht="17.399999999999999" x14ac:dyDescent="0.25">
      <c r="A1897" s="16"/>
      <c r="B1897" s="17"/>
      <c r="C1897" s="2"/>
      <c r="D1897" s="2"/>
      <c r="E1897" s="2"/>
      <c r="F1897" s="2"/>
      <c r="G1897" s="2"/>
      <c r="H1897" s="2"/>
      <c r="I1897" s="5"/>
    </row>
    <row r="1898" spans="1:9" ht="17.399999999999999" x14ac:dyDescent="0.25">
      <c r="A1898" s="16"/>
      <c r="B1898" s="17"/>
      <c r="C1898" s="2"/>
      <c r="D1898" s="2"/>
      <c r="E1898" s="2"/>
      <c r="F1898" s="2"/>
      <c r="G1898" s="2"/>
      <c r="H1898" s="2"/>
      <c r="I1898" s="5"/>
    </row>
    <row r="1899" spans="1:9" ht="17.399999999999999" x14ac:dyDescent="0.25">
      <c r="A1899" s="16"/>
      <c r="B1899" s="17"/>
      <c r="C1899" s="2"/>
      <c r="D1899" s="2"/>
      <c r="E1899" s="2"/>
      <c r="F1899" s="2"/>
      <c r="G1899" s="2"/>
      <c r="H1899" s="2"/>
      <c r="I1899" s="5"/>
    </row>
    <row r="1900" spans="1:9" ht="17.399999999999999" x14ac:dyDescent="0.25">
      <c r="A1900" s="16"/>
      <c r="B1900" s="17"/>
      <c r="C1900" s="2"/>
      <c r="D1900" s="2"/>
      <c r="E1900" s="2"/>
      <c r="F1900" s="2"/>
      <c r="G1900" s="2"/>
      <c r="H1900" s="2"/>
      <c r="I1900" s="5"/>
    </row>
    <row r="1901" spans="1:9" ht="17.399999999999999" x14ac:dyDescent="0.25">
      <c r="A1901" s="16"/>
      <c r="B1901" s="17"/>
      <c r="C1901" s="2"/>
      <c r="D1901" s="2"/>
      <c r="E1901" s="2"/>
      <c r="F1901" s="2"/>
      <c r="G1901" s="2"/>
      <c r="H1901" s="2"/>
      <c r="I1901" s="5"/>
    </row>
    <row r="1902" spans="1:9" ht="17.399999999999999" x14ac:dyDescent="0.25">
      <c r="A1902" s="16"/>
      <c r="B1902" s="17"/>
      <c r="C1902" s="2"/>
      <c r="D1902" s="2"/>
      <c r="E1902" s="2"/>
      <c r="F1902" s="2"/>
      <c r="G1902" s="2"/>
      <c r="H1902" s="2"/>
      <c r="I1902" s="5"/>
    </row>
    <row r="1903" spans="1:9" ht="17.399999999999999" x14ac:dyDescent="0.25">
      <c r="A1903" s="16"/>
      <c r="B1903" s="17"/>
      <c r="C1903" s="2"/>
      <c r="D1903" s="2"/>
      <c r="E1903" s="2"/>
      <c r="F1903" s="2"/>
      <c r="G1903" s="2"/>
      <c r="H1903" s="2"/>
      <c r="I1903" s="5"/>
    </row>
    <row r="1904" spans="1:9" ht="17.399999999999999" x14ac:dyDescent="0.25">
      <c r="A1904" s="16"/>
      <c r="B1904" s="17"/>
      <c r="C1904" s="2"/>
      <c r="D1904" s="2"/>
      <c r="E1904" s="2"/>
      <c r="F1904" s="2"/>
      <c r="G1904" s="2"/>
      <c r="H1904" s="2"/>
      <c r="I1904" s="5"/>
    </row>
    <row r="1905" spans="1:9" ht="17.399999999999999" x14ac:dyDescent="0.25">
      <c r="A1905" s="16"/>
      <c r="B1905" s="17"/>
      <c r="C1905" s="2"/>
      <c r="D1905" s="2"/>
      <c r="E1905" s="2"/>
      <c r="F1905" s="2"/>
      <c r="G1905" s="2"/>
      <c r="H1905" s="2"/>
      <c r="I1905" s="5"/>
    </row>
    <row r="1906" spans="1:9" ht="17.399999999999999" x14ac:dyDescent="0.25">
      <c r="A1906" s="16"/>
      <c r="B1906" s="17"/>
      <c r="C1906" s="2"/>
      <c r="D1906" s="2"/>
      <c r="E1906" s="2"/>
      <c r="F1906" s="2"/>
      <c r="G1906" s="2"/>
      <c r="H1906" s="2"/>
      <c r="I1906" s="5"/>
    </row>
    <row r="1907" spans="1:9" ht="17.399999999999999" x14ac:dyDescent="0.25">
      <c r="A1907" s="16"/>
      <c r="B1907" s="17"/>
      <c r="C1907" s="2"/>
      <c r="D1907" s="2"/>
      <c r="E1907" s="2"/>
      <c r="F1907" s="2"/>
      <c r="G1907" s="2"/>
      <c r="H1907" s="2"/>
      <c r="I1907" s="5"/>
    </row>
    <row r="1908" spans="1:9" ht="17.399999999999999" x14ac:dyDescent="0.25">
      <c r="A1908" s="16"/>
      <c r="B1908" s="17"/>
      <c r="C1908" s="2"/>
      <c r="D1908" s="2"/>
      <c r="E1908" s="2"/>
      <c r="F1908" s="2"/>
      <c r="G1908" s="2"/>
      <c r="H1908" s="2"/>
      <c r="I1908" s="5"/>
    </row>
    <row r="1909" spans="1:9" ht="17.399999999999999" x14ac:dyDescent="0.25">
      <c r="A1909" s="16"/>
      <c r="B1909" s="17"/>
      <c r="C1909" s="2"/>
      <c r="D1909" s="2"/>
      <c r="E1909" s="2"/>
      <c r="F1909" s="2"/>
      <c r="G1909" s="2"/>
      <c r="H1909" s="2"/>
      <c r="I1909" s="5"/>
    </row>
    <row r="1910" spans="1:9" ht="17.399999999999999" x14ac:dyDescent="0.25">
      <c r="A1910" s="16"/>
      <c r="B1910" s="17"/>
      <c r="C1910" s="2"/>
      <c r="D1910" s="2"/>
      <c r="E1910" s="2"/>
      <c r="F1910" s="2"/>
      <c r="G1910" s="2"/>
      <c r="H1910" s="2"/>
      <c r="I1910" s="5"/>
    </row>
    <row r="1911" spans="1:9" ht="17.399999999999999" x14ac:dyDescent="0.25">
      <c r="A1911" s="16"/>
      <c r="B1911" s="17"/>
      <c r="C1911" s="2"/>
      <c r="D1911" s="2"/>
      <c r="E1911" s="2"/>
      <c r="F1911" s="2"/>
      <c r="G1911" s="2"/>
      <c r="H1911" s="2"/>
      <c r="I1911" s="5"/>
    </row>
    <row r="1912" spans="1:9" ht="17.399999999999999" x14ac:dyDescent="0.25">
      <c r="A1912" s="16"/>
      <c r="B1912" s="17"/>
      <c r="C1912" s="2"/>
      <c r="D1912" s="2"/>
      <c r="E1912" s="2"/>
      <c r="F1912" s="2"/>
      <c r="G1912" s="2"/>
      <c r="H1912" s="2"/>
      <c r="I1912" s="5"/>
    </row>
    <row r="1913" spans="1:9" ht="17.399999999999999" x14ac:dyDescent="0.25">
      <c r="A1913" s="16"/>
      <c r="B1913" s="17"/>
      <c r="C1913" s="2"/>
      <c r="D1913" s="2"/>
      <c r="E1913" s="2"/>
      <c r="F1913" s="2"/>
      <c r="G1913" s="2"/>
      <c r="H1913" s="2"/>
      <c r="I1913" s="5"/>
    </row>
    <row r="1914" spans="1:9" ht="17.399999999999999" x14ac:dyDescent="0.25">
      <c r="A1914" s="16"/>
      <c r="B1914" s="17"/>
      <c r="C1914" s="2"/>
      <c r="D1914" s="2"/>
      <c r="E1914" s="2"/>
      <c r="F1914" s="2"/>
      <c r="G1914" s="2"/>
      <c r="H1914" s="2"/>
      <c r="I1914" s="5"/>
    </row>
    <row r="1915" spans="1:9" ht="17.399999999999999" x14ac:dyDescent="0.25">
      <c r="A1915" s="16"/>
      <c r="B1915" s="17"/>
      <c r="C1915" s="2"/>
      <c r="D1915" s="2"/>
      <c r="E1915" s="2"/>
      <c r="F1915" s="2"/>
      <c r="G1915" s="2"/>
      <c r="H1915" s="2"/>
      <c r="I1915" s="5"/>
    </row>
    <row r="1916" spans="1:9" ht="17.399999999999999" x14ac:dyDescent="0.25">
      <c r="A1916" s="16"/>
      <c r="B1916" s="17"/>
      <c r="C1916" s="2"/>
      <c r="D1916" s="2"/>
      <c r="E1916" s="2"/>
      <c r="F1916" s="2"/>
      <c r="G1916" s="2"/>
      <c r="H1916" s="2"/>
      <c r="I1916" s="5"/>
    </row>
    <row r="1917" spans="1:9" ht="17.399999999999999" x14ac:dyDescent="0.25">
      <c r="A1917" s="16"/>
      <c r="B1917" s="17"/>
      <c r="C1917" s="2"/>
      <c r="D1917" s="2"/>
      <c r="E1917" s="2"/>
      <c r="F1917" s="2"/>
      <c r="G1917" s="2"/>
      <c r="H1917" s="2"/>
      <c r="I1917" s="5"/>
    </row>
    <row r="1918" spans="1:9" ht="17.399999999999999" x14ac:dyDescent="0.25">
      <c r="A1918" s="16"/>
      <c r="B1918" s="17"/>
      <c r="C1918" s="2"/>
      <c r="D1918" s="2"/>
      <c r="E1918" s="2"/>
      <c r="F1918" s="2"/>
      <c r="G1918" s="2"/>
      <c r="H1918" s="2"/>
      <c r="I1918" s="5"/>
    </row>
    <row r="1919" spans="1:9" ht="17.399999999999999" x14ac:dyDescent="0.25">
      <c r="A1919" s="16"/>
      <c r="B1919" s="17"/>
      <c r="C1919" s="2"/>
      <c r="D1919" s="2"/>
      <c r="E1919" s="2"/>
      <c r="F1919" s="2"/>
      <c r="G1919" s="2"/>
      <c r="H1919" s="2"/>
      <c r="I1919" s="5"/>
    </row>
    <row r="1920" spans="1:9" ht="17.399999999999999" x14ac:dyDescent="0.25">
      <c r="A1920" s="16"/>
      <c r="B1920" s="17"/>
      <c r="C1920" s="2"/>
      <c r="D1920" s="2"/>
      <c r="E1920" s="2"/>
      <c r="F1920" s="2"/>
      <c r="G1920" s="2"/>
      <c r="H1920" s="2"/>
      <c r="I1920" s="5"/>
    </row>
    <row r="1921" spans="1:9" ht="17.399999999999999" x14ac:dyDescent="0.25">
      <c r="A1921" s="16"/>
      <c r="B1921" s="17"/>
      <c r="C1921" s="2"/>
      <c r="D1921" s="2"/>
      <c r="E1921" s="2"/>
      <c r="F1921" s="2"/>
      <c r="G1921" s="2"/>
      <c r="H1921" s="2"/>
      <c r="I1921" s="5"/>
    </row>
    <row r="1922" spans="1:9" ht="17.399999999999999" x14ac:dyDescent="0.25">
      <c r="A1922" s="16"/>
      <c r="B1922" s="17"/>
      <c r="C1922" s="2"/>
      <c r="D1922" s="2"/>
      <c r="E1922" s="2"/>
      <c r="F1922" s="2"/>
      <c r="G1922" s="2"/>
      <c r="H1922" s="2"/>
      <c r="I1922" s="5"/>
    </row>
    <row r="1923" spans="1:9" ht="17.399999999999999" x14ac:dyDescent="0.25">
      <c r="A1923" s="16"/>
      <c r="B1923" s="17"/>
      <c r="C1923" s="2"/>
      <c r="D1923" s="2"/>
      <c r="E1923" s="2"/>
      <c r="F1923" s="2"/>
      <c r="G1923" s="2"/>
      <c r="H1923" s="2"/>
      <c r="I1923" s="5"/>
    </row>
    <row r="1924" spans="1:9" ht="17.399999999999999" x14ac:dyDescent="0.25">
      <c r="A1924" s="16"/>
      <c r="B1924" s="17"/>
      <c r="C1924" s="2"/>
      <c r="D1924" s="2"/>
      <c r="E1924" s="2"/>
      <c r="F1924" s="2"/>
      <c r="G1924" s="2"/>
      <c r="H1924" s="2"/>
      <c r="I1924" s="5"/>
    </row>
    <row r="1925" spans="1:9" ht="17.399999999999999" x14ac:dyDescent="0.25">
      <c r="A1925" s="16"/>
      <c r="B1925" s="17"/>
      <c r="C1925" s="2"/>
      <c r="D1925" s="2"/>
      <c r="E1925" s="2"/>
      <c r="F1925" s="2"/>
      <c r="G1925" s="2"/>
      <c r="H1925" s="2"/>
      <c r="I1925" s="5"/>
    </row>
    <row r="1926" spans="1:9" ht="17.399999999999999" x14ac:dyDescent="0.25">
      <c r="A1926" s="16"/>
      <c r="B1926" s="17"/>
      <c r="C1926" s="2"/>
      <c r="D1926" s="2"/>
      <c r="E1926" s="2"/>
      <c r="F1926" s="2"/>
      <c r="G1926" s="2"/>
      <c r="H1926" s="2"/>
      <c r="I1926" s="5"/>
    </row>
    <row r="1927" spans="1:9" ht="17.399999999999999" x14ac:dyDescent="0.25">
      <c r="A1927" s="16"/>
      <c r="B1927" s="17"/>
      <c r="C1927" s="2"/>
      <c r="D1927" s="2"/>
      <c r="E1927" s="2"/>
      <c r="F1927" s="2"/>
      <c r="G1927" s="2"/>
      <c r="H1927" s="2"/>
      <c r="I1927" s="5"/>
    </row>
    <row r="1928" spans="1:9" ht="17.399999999999999" x14ac:dyDescent="0.25">
      <c r="A1928" s="16"/>
      <c r="B1928" s="17"/>
      <c r="C1928" s="2"/>
      <c r="D1928" s="2"/>
      <c r="E1928" s="2"/>
      <c r="F1928" s="2"/>
      <c r="G1928" s="2"/>
      <c r="H1928" s="2"/>
      <c r="I1928" s="5"/>
    </row>
    <row r="1929" spans="1:9" ht="17.399999999999999" x14ac:dyDescent="0.25">
      <c r="A1929" s="16"/>
      <c r="B1929" s="17"/>
      <c r="C1929" s="2"/>
      <c r="D1929" s="2"/>
      <c r="E1929" s="2"/>
      <c r="F1929" s="2"/>
      <c r="G1929" s="2"/>
      <c r="H1929" s="2"/>
      <c r="I1929" s="5"/>
    </row>
    <row r="1930" spans="1:9" ht="17.399999999999999" x14ac:dyDescent="0.25">
      <c r="A1930" s="16"/>
      <c r="B1930" s="17"/>
      <c r="C1930" s="2"/>
      <c r="D1930" s="2"/>
      <c r="E1930" s="2"/>
      <c r="F1930" s="2"/>
      <c r="G1930" s="2"/>
      <c r="H1930" s="2"/>
      <c r="I1930" s="5"/>
    </row>
    <row r="1931" spans="1:9" ht="17.399999999999999" x14ac:dyDescent="0.25">
      <c r="A1931" s="16"/>
      <c r="B1931" s="17"/>
      <c r="C1931" s="2"/>
      <c r="D1931" s="2"/>
      <c r="E1931" s="2"/>
      <c r="F1931" s="2"/>
      <c r="G1931" s="2"/>
      <c r="H1931" s="2"/>
      <c r="I1931" s="5"/>
    </row>
    <row r="1932" spans="1:9" ht="17.399999999999999" x14ac:dyDescent="0.25">
      <c r="A1932" s="16"/>
      <c r="B1932" s="17"/>
      <c r="C1932" s="2"/>
      <c r="D1932" s="2"/>
      <c r="E1932" s="2"/>
      <c r="F1932" s="2"/>
      <c r="G1932" s="2"/>
      <c r="H1932" s="2"/>
      <c r="I1932" s="5"/>
    </row>
    <row r="1933" spans="1:9" ht="17.399999999999999" x14ac:dyDescent="0.25">
      <c r="A1933" s="16"/>
      <c r="B1933" s="17"/>
      <c r="C1933" s="2"/>
      <c r="D1933" s="2"/>
      <c r="E1933" s="2"/>
      <c r="F1933" s="2"/>
      <c r="G1933" s="2"/>
      <c r="H1933" s="2"/>
      <c r="I1933" s="5"/>
    </row>
    <row r="1934" spans="1:9" ht="17.399999999999999" x14ac:dyDescent="0.25">
      <c r="A1934" s="16"/>
      <c r="B1934" s="17"/>
      <c r="C1934" s="2"/>
      <c r="D1934" s="2"/>
      <c r="E1934" s="2"/>
      <c r="F1934" s="2"/>
      <c r="G1934" s="2"/>
      <c r="H1934" s="2"/>
      <c r="I1934" s="5"/>
    </row>
    <row r="1935" spans="1:9" ht="17.399999999999999" x14ac:dyDescent="0.25">
      <c r="A1935" s="16"/>
      <c r="B1935" s="17"/>
      <c r="C1935" s="2"/>
      <c r="D1935" s="2"/>
      <c r="E1935" s="2"/>
      <c r="F1935" s="2"/>
      <c r="G1935" s="2"/>
      <c r="H1935" s="2"/>
      <c r="I1935" s="5"/>
    </row>
    <row r="1936" spans="1:9" ht="17.399999999999999" x14ac:dyDescent="0.25">
      <c r="A1936" s="16"/>
      <c r="B1936" s="17"/>
      <c r="C1936" s="2"/>
      <c r="D1936" s="2"/>
      <c r="E1936" s="2"/>
      <c r="F1936" s="2"/>
      <c r="G1936" s="2"/>
      <c r="H1936" s="2"/>
      <c r="I1936" s="5"/>
    </row>
    <row r="1937" spans="1:9" ht="17.399999999999999" x14ac:dyDescent="0.25">
      <c r="A1937" s="16"/>
      <c r="B1937" s="17"/>
      <c r="C1937" s="2"/>
      <c r="D1937" s="2"/>
      <c r="E1937" s="2"/>
      <c r="F1937" s="2"/>
      <c r="G1937" s="2"/>
      <c r="H1937" s="2"/>
      <c r="I1937" s="5"/>
    </row>
    <row r="1938" spans="1:9" ht="17.399999999999999" x14ac:dyDescent="0.25">
      <c r="A1938" s="16"/>
      <c r="B1938" s="17"/>
      <c r="C1938" s="2"/>
      <c r="D1938" s="2"/>
      <c r="E1938" s="2"/>
      <c r="F1938" s="2"/>
      <c r="G1938" s="2"/>
      <c r="H1938" s="2"/>
      <c r="I1938" s="5"/>
    </row>
    <row r="1939" spans="1:9" ht="17.399999999999999" x14ac:dyDescent="0.25">
      <c r="A1939" s="16"/>
      <c r="B1939" s="17"/>
      <c r="C1939" s="2"/>
      <c r="D1939" s="2"/>
      <c r="E1939" s="2"/>
      <c r="F1939" s="2"/>
      <c r="G1939" s="2"/>
      <c r="H1939" s="2"/>
      <c r="I1939" s="5"/>
    </row>
    <row r="1940" spans="1:9" ht="17.399999999999999" x14ac:dyDescent="0.25">
      <c r="A1940" s="16"/>
      <c r="B1940" s="17"/>
      <c r="C1940" s="2"/>
      <c r="D1940" s="2"/>
      <c r="E1940" s="2"/>
      <c r="F1940" s="2"/>
      <c r="G1940" s="2"/>
      <c r="H1940" s="2"/>
      <c r="I1940" s="5"/>
    </row>
    <row r="1941" spans="1:9" ht="17.399999999999999" x14ac:dyDescent="0.25">
      <c r="A1941" s="16"/>
      <c r="B1941" s="17"/>
      <c r="C1941" s="2" t="b">
        <v>0</v>
      </c>
      <c r="D1941" s="2"/>
      <c r="E1941" s="2"/>
      <c r="F1941" s="2"/>
      <c r="G1941" s="2"/>
      <c r="H1941" s="2"/>
      <c r="I1941" s="5"/>
    </row>
    <row r="1942" spans="1:9" ht="17.399999999999999" x14ac:dyDescent="0.25">
      <c r="A1942" s="16"/>
      <c r="B1942" s="17"/>
      <c r="C1942" s="2" t="b">
        <v>0</v>
      </c>
      <c r="D1942" s="2"/>
      <c r="E1942" s="2"/>
      <c r="F1942" s="2"/>
      <c r="G1942" s="2"/>
      <c r="H1942" s="2"/>
      <c r="I1942" s="5"/>
    </row>
    <row r="1943" spans="1:9" ht="17.399999999999999" x14ac:dyDescent="0.25">
      <c r="A1943" s="16"/>
      <c r="B1943" s="17"/>
      <c r="C1943" s="2" t="b">
        <v>0</v>
      </c>
      <c r="D1943" s="2"/>
      <c r="E1943" s="2"/>
      <c r="F1943" s="2"/>
      <c r="G1943" s="2"/>
      <c r="H1943" s="2"/>
      <c r="I1943" s="5"/>
    </row>
    <row r="1944" spans="1:9" ht="17.399999999999999" x14ac:dyDescent="0.25">
      <c r="A1944" s="16"/>
      <c r="B1944" s="17"/>
      <c r="C1944" s="2" t="b">
        <v>0</v>
      </c>
      <c r="D1944" s="2"/>
      <c r="E1944" s="2"/>
      <c r="F1944" s="2"/>
      <c r="G1944" s="2"/>
      <c r="H1944" s="2"/>
      <c r="I1944" s="5"/>
    </row>
    <row r="1945" spans="1:9" ht="17.399999999999999" x14ac:dyDescent="0.25">
      <c r="A1945" s="16"/>
      <c r="B1945" s="17"/>
      <c r="C1945" s="2" t="b">
        <v>0</v>
      </c>
      <c r="D1945" s="2"/>
      <c r="E1945" s="2"/>
      <c r="F1945" s="2"/>
      <c r="G1945" s="2"/>
      <c r="H1945" s="2"/>
      <c r="I1945" s="5"/>
    </row>
    <row r="1946" spans="1:9" ht="17.399999999999999" x14ac:dyDescent="0.25">
      <c r="A1946" s="16"/>
      <c r="B1946" s="17"/>
      <c r="C1946" s="2" t="b">
        <v>0</v>
      </c>
      <c r="D1946" s="2"/>
      <c r="E1946" s="2"/>
      <c r="F1946" s="2"/>
      <c r="G1946" s="2"/>
      <c r="H1946" s="2"/>
      <c r="I1946" s="5"/>
    </row>
    <row r="1947" spans="1:9" ht="17.399999999999999" x14ac:dyDescent="0.25">
      <c r="A1947" s="16"/>
      <c r="B1947" s="17"/>
      <c r="C1947" s="2" t="b">
        <v>0</v>
      </c>
      <c r="D1947" s="2"/>
      <c r="E1947" s="2"/>
      <c r="F1947" s="2"/>
      <c r="G1947" s="2"/>
      <c r="H1947" s="2"/>
      <c r="I1947" s="5"/>
    </row>
    <row r="1948" spans="1:9" ht="17.399999999999999" x14ac:dyDescent="0.25">
      <c r="A1948" s="16"/>
      <c r="B1948" s="17"/>
      <c r="C1948" s="2" t="b">
        <v>0</v>
      </c>
      <c r="D1948" s="2"/>
      <c r="E1948" s="2"/>
      <c r="F1948" s="2"/>
      <c r="G1948" s="2"/>
      <c r="H1948" s="2"/>
      <c r="I1948" s="5"/>
    </row>
    <row r="1949" spans="1:9" ht="17.399999999999999" x14ac:dyDescent="0.25">
      <c r="A1949" s="16"/>
      <c r="B1949" s="17"/>
      <c r="C1949" s="2" t="b">
        <v>0</v>
      </c>
      <c r="D1949" s="2"/>
      <c r="E1949" s="2"/>
      <c r="F1949" s="2"/>
      <c r="G1949" s="2"/>
      <c r="H1949" s="2"/>
      <c r="I1949" s="5"/>
    </row>
    <row r="1950" spans="1:9" ht="17.399999999999999" x14ac:dyDescent="0.25">
      <c r="A1950" s="16"/>
      <c r="B1950" s="17"/>
      <c r="C1950" s="2" t="b">
        <v>0</v>
      </c>
      <c r="D1950" s="2"/>
      <c r="E1950" s="2"/>
      <c r="F1950" s="2"/>
      <c r="G1950" s="2"/>
      <c r="H1950" s="2"/>
      <c r="I1950" s="5"/>
    </row>
    <row r="1951" spans="1:9" ht="17.399999999999999" x14ac:dyDescent="0.25">
      <c r="A1951" s="16"/>
      <c r="B1951" s="17"/>
      <c r="C1951" s="2" t="b">
        <v>0</v>
      </c>
      <c r="D1951" s="2"/>
      <c r="E1951" s="2"/>
      <c r="F1951" s="2"/>
      <c r="G1951" s="2"/>
      <c r="H1951" s="2"/>
      <c r="I1951" s="5"/>
    </row>
    <row r="1952" spans="1:9" ht="17.399999999999999" x14ac:dyDescent="0.25">
      <c r="A1952" s="16"/>
      <c r="B1952" s="17"/>
      <c r="C1952" s="2" t="b">
        <v>0</v>
      </c>
      <c r="D1952" s="2"/>
      <c r="E1952" s="2"/>
      <c r="F1952" s="2"/>
      <c r="G1952" s="2"/>
      <c r="H1952" s="2"/>
      <c r="I1952" s="5"/>
    </row>
    <row r="1953" spans="1:9" ht="17.399999999999999" x14ac:dyDescent="0.25">
      <c r="A1953" s="16"/>
      <c r="B1953" s="17"/>
      <c r="C1953" s="2" t="b">
        <v>0</v>
      </c>
      <c r="D1953" s="2"/>
      <c r="E1953" s="2"/>
      <c r="F1953" s="2"/>
      <c r="G1953" s="2"/>
      <c r="H1953" s="2"/>
      <c r="I1953" s="5"/>
    </row>
    <row r="1954" spans="1:9" ht="17.399999999999999" x14ac:dyDescent="0.25">
      <c r="A1954" s="16"/>
      <c r="B1954" s="17"/>
      <c r="C1954" s="2" t="b">
        <v>0</v>
      </c>
      <c r="D1954" s="2"/>
      <c r="E1954" s="2"/>
      <c r="F1954" s="2"/>
      <c r="G1954" s="2"/>
      <c r="H1954" s="2"/>
      <c r="I1954" s="5"/>
    </row>
    <row r="1955" spans="1:9" ht="17.399999999999999" x14ac:dyDescent="0.25">
      <c r="A1955" s="16"/>
      <c r="B1955" s="17"/>
      <c r="C1955" s="2" t="b">
        <v>0</v>
      </c>
      <c r="D1955" s="2"/>
      <c r="E1955" s="2"/>
      <c r="F1955" s="2"/>
      <c r="G1955" s="2"/>
      <c r="H1955" s="2"/>
      <c r="I1955" s="5"/>
    </row>
    <row r="1956" spans="1:9" ht="17.399999999999999" x14ac:dyDescent="0.25">
      <c r="A1956" s="16"/>
      <c r="B1956" s="17"/>
      <c r="C1956" s="2" t="b">
        <v>0</v>
      </c>
      <c r="D1956" s="2"/>
      <c r="E1956" s="2"/>
      <c r="F1956" s="2"/>
      <c r="G1956" s="2"/>
      <c r="H1956" s="2"/>
      <c r="I1956" s="5"/>
    </row>
    <row r="1957" spans="1:9" ht="17.399999999999999" x14ac:dyDescent="0.25">
      <c r="A1957" s="16"/>
      <c r="B1957" s="17"/>
      <c r="C1957" s="2" t="b">
        <v>0</v>
      </c>
      <c r="D1957" s="2"/>
      <c r="E1957" s="2"/>
      <c r="F1957" s="2"/>
      <c r="G1957" s="2"/>
      <c r="H1957" s="2"/>
      <c r="I1957" s="5"/>
    </row>
    <row r="1958" spans="1:9" ht="17.399999999999999" x14ac:dyDescent="0.25">
      <c r="A1958" s="16"/>
      <c r="B1958" s="17"/>
      <c r="C1958" s="2" t="b">
        <v>0</v>
      </c>
      <c r="D1958" s="2"/>
      <c r="E1958" s="2"/>
      <c r="F1958" s="2"/>
      <c r="G1958" s="2"/>
      <c r="H1958" s="2"/>
      <c r="I1958" s="5"/>
    </row>
    <row r="1959" spans="1:9" ht="17.399999999999999" x14ac:dyDescent="0.25">
      <c r="A1959" s="16"/>
      <c r="B1959" s="17"/>
      <c r="C1959" s="2" t="b">
        <v>0</v>
      </c>
      <c r="D1959" s="2"/>
      <c r="E1959" s="2"/>
      <c r="F1959" s="2"/>
      <c r="G1959" s="2"/>
      <c r="H1959" s="2"/>
      <c r="I1959" s="5"/>
    </row>
    <row r="1960" spans="1:9" ht="17.399999999999999" x14ac:dyDescent="0.25">
      <c r="A1960" s="16"/>
      <c r="B1960" s="17"/>
      <c r="C1960" s="2" t="b">
        <v>0</v>
      </c>
      <c r="D1960" s="2"/>
      <c r="E1960" s="2"/>
      <c r="F1960" s="2"/>
      <c r="G1960" s="2"/>
      <c r="H1960" s="2"/>
      <c r="I1960" s="5"/>
    </row>
    <row r="1961" spans="1:9" ht="17.399999999999999" x14ac:dyDescent="0.25">
      <c r="A1961" s="16"/>
      <c r="B1961" s="17"/>
      <c r="C1961" s="2" t="b">
        <v>0</v>
      </c>
      <c r="D1961" s="2"/>
      <c r="E1961" s="2"/>
      <c r="F1961" s="2"/>
      <c r="G1961" s="2"/>
      <c r="H1961" s="2"/>
      <c r="I1961" s="5"/>
    </row>
    <row r="1962" spans="1:9" ht="17.399999999999999" x14ac:dyDescent="0.25">
      <c r="A1962" s="16"/>
      <c r="B1962" s="17"/>
      <c r="C1962" s="2" t="b">
        <v>0</v>
      </c>
      <c r="D1962" s="2"/>
      <c r="E1962" s="2"/>
      <c r="F1962" s="2"/>
      <c r="G1962" s="2"/>
      <c r="H1962" s="2"/>
      <c r="I1962" s="5"/>
    </row>
    <row r="1963" spans="1:9" ht="17.399999999999999" x14ac:dyDescent="0.25">
      <c r="A1963" s="16"/>
      <c r="B1963" s="17"/>
      <c r="C1963" s="2" t="b">
        <v>0</v>
      </c>
      <c r="D1963" s="2"/>
      <c r="E1963" s="2"/>
      <c r="F1963" s="2"/>
      <c r="G1963" s="2"/>
      <c r="H1963" s="2"/>
      <c r="I1963" s="5"/>
    </row>
    <row r="1964" spans="1:9" ht="17.399999999999999" x14ac:dyDescent="0.25">
      <c r="A1964" s="16"/>
      <c r="B1964" s="17"/>
      <c r="C1964" s="2" t="b">
        <v>0</v>
      </c>
      <c r="D1964" s="2"/>
      <c r="E1964" s="2"/>
      <c r="F1964" s="2"/>
      <c r="G1964" s="2"/>
      <c r="H1964" s="2"/>
      <c r="I1964" s="5"/>
    </row>
    <row r="1965" spans="1:9" ht="17.399999999999999" x14ac:dyDescent="0.25">
      <c r="A1965" s="16"/>
      <c r="B1965" s="17"/>
      <c r="C1965" s="2" t="b">
        <v>0</v>
      </c>
      <c r="D1965" s="2"/>
      <c r="E1965" s="2"/>
      <c r="F1965" s="2"/>
      <c r="G1965" s="2"/>
      <c r="H1965" s="2"/>
      <c r="I1965" s="5"/>
    </row>
    <row r="1966" spans="1:9" ht="17.399999999999999" x14ac:dyDescent="0.25">
      <c r="A1966" s="16"/>
      <c r="B1966" s="17"/>
      <c r="C1966" s="2" t="b">
        <v>0</v>
      </c>
      <c r="D1966" s="2"/>
      <c r="E1966" s="2"/>
      <c r="F1966" s="2"/>
      <c r="G1966" s="2"/>
      <c r="H1966" s="2"/>
      <c r="I1966" s="5"/>
    </row>
    <row r="1967" spans="1:9" ht="17.399999999999999" x14ac:dyDescent="0.25">
      <c r="A1967" s="16"/>
      <c r="B1967" s="17"/>
      <c r="C1967" s="2" t="b">
        <v>0</v>
      </c>
      <c r="D1967" s="2"/>
      <c r="E1967" s="2"/>
      <c r="F1967" s="2"/>
      <c r="G1967" s="2"/>
      <c r="H1967" s="2"/>
      <c r="I1967" s="5"/>
    </row>
    <row r="1968" spans="1:9" ht="17.399999999999999" x14ac:dyDescent="0.25">
      <c r="A1968" s="16"/>
      <c r="B1968" s="17"/>
      <c r="C1968" s="2" t="b">
        <v>0</v>
      </c>
      <c r="D1968" s="2"/>
      <c r="E1968" s="2"/>
      <c r="F1968" s="2"/>
      <c r="G1968" s="2"/>
      <c r="H1968" s="2"/>
      <c r="I1968" s="5"/>
    </row>
    <row r="1969" spans="1:9" ht="17.399999999999999" x14ac:dyDescent="0.25">
      <c r="A1969" s="16"/>
      <c r="B1969" s="17"/>
      <c r="C1969" s="2" t="b">
        <v>0</v>
      </c>
      <c r="D1969" s="2"/>
      <c r="E1969" s="2"/>
      <c r="F1969" s="2"/>
      <c r="G1969" s="2"/>
      <c r="H1969" s="2"/>
      <c r="I1969" s="5"/>
    </row>
    <row r="1970" spans="1:9" ht="17.399999999999999" x14ac:dyDescent="0.25">
      <c r="A1970" s="16"/>
      <c r="B1970" s="17"/>
      <c r="C1970" s="2" t="b">
        <v>0</v>
      </c>
      <c r="D1970" s="2"/>
      <c r="E1970" s="2"/>
      <c r="F1970" s="2"/>
      <c r="G1970" s="2"/>
      <c r="H1970" s="2"/>
      <c r="I1970" s="5"/>
    </row>
    <row r="1971" spans="1:9" ht="17.399999999999999" x14ac:dyDescent="0.25">
      <c r="A1971" s="16"/>
      <c r="B1971" s="17"/>
      <c r="C1971" s="2" t="b">
        <v>0</v>
      </c>
      <c r="D1971" s="2"/>
      <c r="E1971" s="2"/>
      <c r="F1971" s="2"/>
      <c r="G1971" s="2"/>
      <c r="H1971" s="2"/>
      <c r="I1971" s="5"/>
    </row>
    <row r="1972" spans="1:9" ht="17.399999999999999" x14ac:dyDescent="0.25">
      <c r="A1972" s="16"/>
      <c r="B1972" s="17"/>
      <c r="C1972" s="2" t="b">
        <v>0</v>
      </c>
      <c r="D1972" s="2"/>
      <c r="E1972" s="2"/>
      <c r="F1972" s="2"/>
      <c r="G1972" s="2"/>
      <c r="H1972" s="2"/>
      <c r="I1972" s="5"/>
    </row>
    <row r="1973" spans="1:9" ht="17.399999999999999" x14ac:dyDescent="0.25">
      <c r="A1973" s="16"/>
      <c r="B1973" s="17"/>
      <c r="C1973" s="2" t="b">
        <v>0</v>
      </c>
      <c r="D1973" s="2"/>
      <c r="E1973" s="2"/>
      <c r="F1973" s="2"/>
      <c r="G1973" s="2"/>
      <c r="H1973" s="2"/>
      <c r="I1973" s="5"/>
    </row>
    <row r="1974" spans="1:9" ht="17.399999999999999" x14ac:dyDescent="0.25">
      <c r="A1974" s="16"/>
      <c r="B1974" s="17"/>
      <c r="C1974" s="2" t="b">
        <v>0</v>
      </c>
      <c r="D1974" s="2"/>
      <c r="E1974" s="2"/>
      <c r="F1974" s="2"/>
      <c r="G1974" s="2"/>
      <c r="H1974" s="2"/>
      <c r="I1974" s="5"/>
    </row>
    <row r="1975" spans="1:9" ht="17.399999999999999" x14ac:dyDescent="0.25">
      <c r="A1975" s="16"/>
      <c r="B1975" s="17"/>
      <c r="C1975" s="2" t="b">
        <v>0</v>
      </c>
      <c r="D1975" s="2"/>
      <c r="E1975" s="2"/>
      <c r="F1975" s="2"/>
      <c r="G1975" s="2"/>
      <c r="H1975" s="2"/>
      <c r="I1975" s="5"/>
    </row>
    <row r="1976" spans="1:9" ht="17.399999999999999" x14ac:dyDescent="0.25">
      <c r="A1976" s="16"/>
      <c r="B1976" s="17"/>
      <c r="C1976" s="2" t="b">
        <v>0</v>
      </c>
      <c r="D1976" s="2"/>
      <c r="E1976" s="2"/>
      <c r="F1976" s="2"/>
      <c r="G1976" s="2"/>
      <c r="H1976" s="2"/>
      <c r="I1976" s="5"/>
    </row>
    <row r="1977" spans="1:9" ht="17.399999999999999" x14ac:dyDescent="0.25">
      <c r="A1977" s="16"/>
      <c r="B1977" s="17"/>
      <c r="C1977" s="2" t="b">
        <v>0</v>
      </c>
      <c r="D1977" s="2"/>
      <c r="E1977" s="2"/>
      <c r="F1977" s="2"/>
      <c r="G1977" s="2"/>
      <c r="H1977" s="2"/>
      <c r="I1977" s="5"/>
    </row>
    <row r="1978" spans="1:9" ht="17.399999999999999" x14ac:dyDescent="0.25">
      <c r="A1978" s="16"/>
      <c r="B1978" s="17"/>
      <c r="C1978" s="2" t="b">
        <v>0</v>
      </c>
      <c r="D1978" s="2"/>
      <c r="E1978" s="2"/>
      <c r="F1978" s="2"/>
      <c r="G1978" s="2"/>
      <c r="H1978" s="2"/>
      <c r="I1978" s="5"/>
    </row>
    <row r="1979" spans="1:9" ht="17.399999999999999" x14ac:dyDescent="0.25">
      <c r="A1979" s="16"/>
      <c r="B1979" s="17"/>
      <c r="C1979" s="2" t="b">
        <v>0</v>
      </c>
      <c r="D1979" s="2"/>
      <c r="E1979" s="2"/>
      <c r="F1979" s="2"/>
      <c r="G1979" s="2"/>
      <c r="H1979" s="2"/>
      <c r="I1979" s="5"/>
    </row>
    <row r="1980" spans="1:9" ht="17.399999999999999" x14ac:dyDescent="0.25">
      <c r="A1980" s="16"/>
      <c r="B1980" s="17"/>
      <c r="C1980" s="2" t="b">
        <v>0</v>
      </c>
      <c r="D1980" s="2"/>
      <c r="E1980" s="2"/>
      <c r="F1980" s="2"/>
      <c r="G1980" s="2"/>
      <c r="H1980" s="2"/>
      <c r="I1980" s="5"/>
    </row>
    <row r="1981" spans="1:9" ht="17.399999999999999" x14ac:dyDescent="0.25">
      <c r="A1981" s="16"/>
      <c r="B1981" s="17"/>
      <c r="C1981" s="2" t="b">
        <v>0</v>
      </c>
      <c r="D1981" s="2"/>
      <c r="E1981" s="2"/>
      <c r="F1981" s="2"/>
      <c r="G1981" s="2"/>
      <c r="H1981" s="2"/>
      <c r="I1981" s="5"/>
    </row>
    <row r="1982" spans="1:9" ht="17.399999999999999" x14ac:dyDescent="0.25">
      <c r="A1982" s="16"/>
      <c r="B1982" s="17"/>
      <c r="C1982" s="2" t="b">
        <v>0</v>
      </c>
      <c r="D1982" s="2"/>
      <c r="E1982" s="2"/>
      <c r="F1982" s="2"/>
      <c r="G1982" s="2"/>
      <c r="H1982" s="2"/>
      <c r="I1982" s="5"/>
    </row>
    <row r="1983" spans="1:9" ht="17.399999999999999" x14ac:dyDescent="0.25">
      <c r="A1983" s="16"/>
      <c r="B1983" s="17"/>
      <c r="C1983" s="2" t="b">
        <v>0</v>
      </c>
      <c r="D1983" s="2"/>
      <c r="E1983" s="2"/>
      <c r="F1983" s="2"/>
      <c r="G1983" s="2"/>
      <c r="H1983" s="2"/>
      <c r="I1983" s="5"/>
    </row>
    <row r="1984" spans="1:9" ht="17.399999999999999" x14ac:dyDescent="0.25">
      <c r="A1984" s="16"/>
      <c r="B1984" s="17"/>
      <c r="C1984" s="2" t="b">
        <v>0</v>
      </c>
      <c r="D1984" s="2"/>
      <c r="E1984" s="2"/>
      <c r="F1984" s="2"/>
      <c r="G1984" s="2"/>
      <c r="H1984" s="2"/>
      <c r="I1984" s="5"/>
    </row>
    <row r="1985" spans="1:9" ht="17.399999999999999" x14ac:dyDescent="0.25">
      <c r="A1985" s="16"/>
      <c r="B1985" s="17"/>
      <c r="C1985" s="2" t="b">
        <v>0</v>
      </c>
      <c r="D1985" s="2"/>
      <c r="E1985" s="2"/>
      <c r="F1985" s="2"/>
      <c r="G1985" s="2"/>
      <c r="H1985" s="2"/>
      <c r="I1985" s="5"/>
    </row>
    <row r="1986" spans="1:9" ht="17.399999999999999" x14ac:dyDescent="0.25">
      <c r="A1986" s="16"/>
      <c r="B1986" s="17"/>
      <c r="C1986" s="2" t="b">
        <v>0</v>
      </c>
      <c r="D1986" s="2"/>
      <c r="E1986" s="2"/>
      <c r="F1986" s="2"/>
      <c r="G1986" s="2"/>
      <c r="H1986" s="2"/>
      <c r="I1986" s="5"/>
    </row>
    <row r="1987" spans="1:9" ht="17.399999999999999" x14ac:dyDescent="0.25">
      <c r="A1987" s="16"/>
      <c r="B1987" s="17"/>
      <c r="C1987" s="2" t="b">
        <v>0</v>
      </c>
      <c r="D1987" s="2"/>
      <c r="E1987" s="2"/>
      <c r="F1987" s="2"/>
      <c r="G1987" s="2"/>
      <c r="H1987" s="2"/>
      <c r="I1987" s="5"/>
    </row>
    <row r="1988" spans="1:9" ht="17.399999999999999" x14ac:dyDescent="0.25">
      <c r="A1988" s="16"/>
      <c r="B1988" s="17"/>
      <c r="C1988" s="2" t="b">
        <v>0</v>
      </c>
      <c r="D1988" s="2"/>
      <c r="E1988" s="2"/>
      <c r="F1988" s="2"/>
      <c r="G1988" s="2"/>
      <c r="H1988" s="2"/>
      <c r="I1988" s="5"/>
    </row>
    <row r="1989" spans="1:9" ht="17.399999999999999" x14ac:dyDescent="0.25">
      <c r="A1989" s="16"/>
      <c r="B1989" s="17"/>
      <c r="C1989" s="2" t="b">
        <v>0</v>
      </c>
      <c r="D1989" s="2"/>
      <c r="E1989" s="2"/>
      <c r="F1989" s="2"/>
      <c r="G1989" s="2"/>
      <c r="H1989" s="2"/>
      <c r="I1989" s="5"/>
    </row>
    <row r="1990" spans="1:9" ht="17.399999999999999" x14ac:dyDescent="0.25">
      <c r="A1990" s="16"/>
      <c r="B1990" s="17"/>
      <c r="C1990" s="2" t="b">
        <v>0</v>
      </c>
      <c r="D1990" s="2"/>
      <c r="E1990" s="2"/>
      <c r="F1990" s="2"/>
      <c r="G1990" s="2"/>
      <c r="H1990" s="2"/>
      <c r="I1990" s="5"/>
    </row>
    <row r="1991" spans="1:9" ht="17.399999999999999" x14ac:dyDescent="0.25">
      <c r="A1991" s="16"/>
      <c r="B1991" s="17"/>
      <c r="C1991" s="2" t="b">
        <v>0</v>
      </c>
      <c r="D1991" s="2"/>
      <c r="E1991" s="2"/>
      <c r="F1991" s="2"/>
      <c r="G1991" s="2"/>
      <c r="H1991" s="2"/>
      <c r="I1991" s="5"/>
    </row>
    <row r="1992" spans="1:9" ht="17.399999999999999" x14ac:dyDescent="0.25">
      <c r="A1992" s="16"/>
      <c r="B1992" s="17"/>
      <c r="C1992" s="2" t="b">
        <v>0</v>
      </c>
      <c r="D1992" s="2"/>
      <c r="E1992" s="2"/>
      <c r="F1992" s="2"/>
      <c r="G1992" s="2"/>
      <c r="H1992" s="2"/>
      <c r="I1992" s="5"/>
    </row>
    <row r="1993" spans="1:9" ht="17.399999999999999" x14ac:dyDescent="0.25">
      <c r="A1993" s="16"/>
      <c r="B1993" s="17"/>
      <c r="C1993" s="2" t="b">
        <v>0</v>
      </c>
      <c r="D1993" s="2"/>
      <c r="E1993" s="2"/>
      <c r="F1993" s="2"/>
      <c r="G1993" s="2"/>
      <c r="H1993" s="2"/>
      <c r="I1993" s="5"/>
    </row>
    <row r="1994" spans="1:9" ht="17.399999999999999" x14ac:dyDescent="0.25">
      <c r="A1994" s="16"/>
      <c r="B1994" s="17"/>
      <c r="C1994" s="2" t="b">
        <v>0</v>
      </c>
      <c r="D1994" s="2"/>
      <c r="E1994" s="2"/>
      <c r="F1994" s="2"/>
      <c r="G1994" s="2"/>
      <c r="H1994" s="2"/>
      <c r="I1994" s="5"/>
    </row>
    <row r="1995" spans="1:9" ht="17.399999999999999" x14ac:dyDescent="0.25">
      <c r="A1995" s="16"/>
      <c r="B1995" s="17"/>
      <c r="C1995" s="2" t="b">
        <v>0</v>
      </c>
      <c r="D1995" s="2"/>
      <c r="E1995" s="2"/>
      <c r="F1995" s="2"/>
      <c r="G1995" s="2"/>
      <c r="H1995" s="2"/>
      <c r="I1995" s="5"/>
    </row>
    <row r="1996" spans="1:9" ht="17.399999999999999" x14ac:dyDescent="0.25">
      <c r="A1996" s="16"/>
      <c r="B1996" s="17"/>
      <c r="C1996" s="2" t="b">
        <v>0</v>
      </c>
      <c r="D1996" s="2"/>
      <c r="E1996" s="2"/>
      <c r="F1996" s="2"/>
      <c r="G1996" s="2"/>
      <c r="H1996" s="2"/>
      <c r="I1996" s="5"/>
    </row>
    <row r="1997" spans="1:9" ht="17.399999999999999" x14ac:dyDescent="0.25">
      <c r="A1997" s="16"/>
      <c r="B1997" s="17"/>
      <c r="C1997" s="2" t="b">
        <v>0</v>
      </c>
      <c r="D1997" s="2"/>
      <c r="E1997" s="2"/>
      <c r="F1997" s="2"/>
      <c r="G1997" s="2"/>
      <c r="H1997" s="2"/>
      <c r="I1997" s="5"/>
    </row>
    <row r="1998" spans="1:9" ht="17.399999999999999" x14ac:dyDescent="0.25">
      <c r="A1998" s="16"/>
      <c r="B1998" s="17"/>
      <c r="C1998" s="2" t="b">
        <v>0</v>
      </c>
      <c r="D1998" s="2"/>
      <c r="E1998" s="2"/>
      <c r="F1998" s="2"/>
      <c r="G1998" s="2"/>
      <c r="H1998" s="2"/>
      <c r="I1998" s="5"/>
    </row>
    <row r="1999" spans="1:9" ht="17.399999999999999" x14ac:dyDescent="0.25">
      <c r="A1999" s="16"/>
      <c r="B1999" s="17"/>
      <c r="C1999" s="2" t="b">
        <v>0</v>
      </c>
      <c r="D1999" s="2"/>
      <c r="E1999" s="2"/>
      <c r="F1999" s="2"/>
      <c r="G1999" s="2"/>
      <c r="H1999" s="2"/>
      <c r="I1999" s="5"/>
    </row>
    <row r="2000" spans="1:9" ht="17.399999999999999" x14ac:dyDescent="0.25">
      <c r="A2000" s="16"/>
      <c r="B2000" s="17"/>
      <c r="C2000" s="2" t="b">
        <v>0</v>
      </c>
      <c r="D2000" s="2"/>
      <c r="E2000" s="2"/>
      <c r="F2000" s="2"/>
      <c r="G2000" s="2"/>
      <c r="H2000" s="2"/>
      <c r="I2000" s="5"/>
    </row>
    <row r="2001" spans="1:9" ht="17.399999999999999" x14ac:dyDescent="0.25">
      <c r="A2001" s="16"/>
      <c r="B2001" s="17"/>
      <c r="C2001" s="2" t="b">
        <v>0</v>
      </c>
      <c r="D2001" s="2"/>
      <c r="E2001" s="2"/>
      <c r="F2001" s="2"/>
      <c r="G2001" s="2"/>
      <c r="H2001" s="2"/>
      <c r="I2001" s="5"/>
    </row>
    <row r="2002" spans="1:9" ht="17.399999999999999" x14ac:dyDescent="0.25">
      <c r="A2002" s="16"/>
      <c r="B2002" s="17"/>
      <c r="C2002" s="2" t="b">
        <v>0</v>
      </c>
      <c r="D2002" s="2"/>
      <c r="E2002" s="2"/>
      <c r="F2002" s="2"/>
      <c r="G2002" s="2"/>
      <c r="H2002" s="2"/>
      <c r="I2002" s="5"/>
    </row>
    <row r="2003" spans="1:9" ht="17.399999999999999" x14ac:dyDescent="0.25">
      <c r="A2003" s="16"/>
      <c r="B2003" s="17"/>
      <c r="C2003" s="2" t="b">
        <v>0</v>
      </c>
      <c r="D2003" s="2"/>
      <c r="E2003" s="2"/>
      <c r="F2003" s="2"/>
      <c r="G2003" s="2"/>
      <c r="H2003" s="2"/>
      <c r="I2003" s="5"/>
    </row>
    <row r="2004" spans="1:9" ht="17.399999999999999" x14ac:dyDescent="0.25">
      <c r="A2004" s="16"/>
      <c r="B2004" s="17"/>
      <c r="C2004" s="2" t="b">
        <v>0</v>
      </c>
      <c r="D2004" s="2"/>
      <c r="E2004" s="2"/>
      <c r="F2004" s="2"/>
      <c r="G2004" s="2"/>
      <c r="H2004" s="2"/>
      <c r="I2004" s="5"/>
    </row>
    <row r="2005" spans="1:9" ht="17.399999999999999" x14ac:dyDescent="0.25">
      <c r="A2005" s="16"/>
      <c r="B2005" s="17"/>
      <c r="C2005" s="2" t="b">
        <v>0</v>
      </c>
      <c r="D2005" s="2"/>
      <c r="E2005" s="2"/>
      <c r="F2005" s="2"/>
      <c r="G2005" s="2"/>
      <c r="H2005" s="2"/>
      <c r="I2005" s="5"/>
    </row>
    <row r="2006" spans="1:9" ht="17.399999999999999" x14ac:dyDescent="0.25">
      <c r="A2006" s="16"/>
      <c r="B2006" s="17"/>
      <c r="C2006" s="2" t="b">
        <v>0</v>
      </c>
      <c r="D2006" s="2"/>
      <c r="E2006" s="2"/>
      <c r="F2006" s="2"/>
      <c r="G2006" s="2"/>
      <c r="H2006" s="2"/>
      <c r="I2006" s="5"/>
    </row>
    <row r="2007" spans="1:9" ht="17.399999999999999" x14ac:dyDescent="0.25">
      <c r="A2007" s="16"/>
      <c r="B2007" s="17"/>
      <c r="C2007" s="2" t="b">
        <v>0</v>
      </c>
      <c r="D2007" s="2"/>
      <c r="E2007" s="2"/>
      <c r="F2007" s="2"/>
      <c r="G2007" s="2"/>
      <c r="H2007" s="2"/>
      <c r="I2007" s="5"/>
    </row>
    <row r="2008" spans="1:9" ht="17.399999999999999" x14ac:dyDescent="0.25">
      <c r="A2008" s="16"/>
      <c r="B2008" s="17"/>
      <c r="C2008" s="2" t="b">
        <v>0</v>
      </c>
      <c r="D2008" s="2"/>
      <c r="E2008" s="2"/>
      <c r="F2008" s="2"/>
      <c r="G2008" s="2"/>
      <c r="H2008" s="2"/>
      <c r="I2008" s="5"/>
    </row>
    <row r="2009" spans="1:9" ht="17.399999999999999" x14ac:dyDescent="0.25">
      <c r="A2009" s="16"/>
      <c r="B2009" s="17"/>
      <c r="C2009" s="2" t="b">
        <v>0</v>
      </c>
      <c r="D2009" s="2"/>
      <c r="E2009" s="2"/>
      <c r="F2009" s="2"/>
      <c r="G2009" s="2"/>
      <c r="H2009" s="2"/>
      <c r="I2009" s="5"/>
    </row>
    <row r="2010" spans="1:9" ht="17.399999999999999" x14ac:dyDescent="0.25">
      <c r="A2010" s="16"/>
      <c r="B2010" s="17"/>
      <c r="C2010" s="2" t="b">
        <v>0</v>
      </c>
      <c r="D2010" s="2"/>
      <c r="E2010" s="2"/>
      <c r="F2010" s="2"/>
      <c r="G2010" s="2"/>
      <c r="H2010" s="2"/>
      <c r="I2010" s="5"/>
    </row>
    <row r="2011" spans="1:9" ht="17.399999999999999" x14ac:dyDescent="0.25">
      <c r="A2011" s="16"/>
      <c r="B2011" s="17"/>
      <c r="C2011" s="2" t="b">
        <v>0</v>
      </c>
      <c r="D2011" s="2"/>
      <c r="E2011" s="2"/>
      <c r="F2011" s="2"/>
      <c r="G2011" s="2"/>
      <c r="H2011" s="2"/>
      <c r="I2011" s="5"/>
    </row>
    <row r="2012" spans="1:9" ht="17.399999999999999" x14ac:dyDescent="0.25">
      <c r="A2012" s="16"/>
      <c r="B2012" s="17"/>
      <c r="C2012" s="2" t="b">
        <v>0</v>
      </c>
      <c r="D2012" s="2"/>
      <c r="E2012" s="2"/>
      <c r="F2012" s="2"/>
      <c r="G2012" s="2"/>
      <c r="H2012" s="2"/>
      <c r="I2012" s="5"/>
    </row>
    <row r="2013" spans="1:9" ht="17.399999999999999" x14ac:dyDescent="0.25">
      <c r="A2013" s="16"/>
      <c r="B2013" s="17"/>
      <c r="C2013" s="2" t="b">
        <v>0</v>
      </c>
      <c r="D2013" s="2"/>
      <c r="E2013" s="2"/>
      <c r="F2013" s="2"/>
      <c r="G2013" s="2"/>
      <c r="H2013" s="2"/>
      <c r="I2013" s="5"/>
    </row>
    <row r="2014" spans="1:9" ht="17.399999999999999" x14ac:dyDescent="0.25">
      <c r="A2014" s="16"/>
      <c r="B2014" s="17"/>
      <c r="C2014" s="2" t="b">
        <v>0</v>
      </c>
      <c r="D2014" s="2"/>
      <c r="E2014" s="2"/>
      <c r="F2014" s="2"/>
      <c r="G2014" s="2"/>
      <c r="H2014" s="2"/>
      <c r="I2014" s="5"/>
    </row>
    <row r="2015" spans="1:9" ht="17.399999999999999" x14ac:dyDescent="0.25">
      <c r="A2015" s="16"/>
      <c r="B2015" s="17"/>
      <c r="C2015" s="2" t="b">
        <v>0</v>
      </c>
      <c r="D2015" s="2"/>
      <c r="E2015" s="2"/>
      <c r="F2015" s="2"/>
      <c r="G2015" s="2"/>
      <c r="H2015" s="2"/>
      <c r="I2015" s="5"/>
    </row>
    <row r="2016" spans="1:9" ht="17.399999999999999" x14ac:dyDescent="0.25">
      <c r="A2016" s="16"/>
      <c r="B2016" s="17"/>
      <c r="C2016" s="2" t="b">
        <v>0</v>
      </c>
      <c r="D2016" s="2"/>
      <c r="E2016" s="2"/>
      <c r="F2016" s="2"/>
      <c r="G2016" s="2"/>
      <c r="H2016" s="2"/>
      <c r="I2016" s="5"/>
    </row>
    <row r="2017" spans="1:9" ht="17.399999999999999" x14ac:dyDescent="0.25">
      <c r="A2017" s="16"/>
      <c r="B2017" s="17"/>
      <c r="C2017" s="2" t="b">
        <v>0</v>
      </c>
      <c r="D2017" s="2"/>
      <c r="E2017" s="2"/>
      <c r="F2017" s="2"/>
      <c r="G2017" s="2"/>
      <c r="H2017" s="2"/>
      <c r="I2017" s="5"/>
    </row>
    <row r="2018" spans="1:9" ht="17.399999999999999" x14ac:dyDescent="0.25">
      <c r="A2018" s="16"/>
      <c r="B2018" s="17"/>
      <c r="C2018" s="2" t="b">
        <v>0</v>
      </c>
      <c r="D2018" s="2"/>
      <c r="E2018" s="2"/>
      <c r="F2018" s="2"/>
      <c r="G2018" s="2"/>
      <c r="H2018" s="2"/>
      <c r="I2018" s="5"/>
    </row>
    <row r="2019" spans="1:9" ht="17.399999999999999" x14ac:dyDescent="0.25">
      <c r="A2019" s="16"/>
      <c r="B2019" s="17"/>
      <c r="C2019" s="2" t="b">
        <v>0</v>
      </c>
      <c r="D2019" s="2"/>
      <c r="E2019" s="2"/>
      <c r="F2019" s="2"/>
      <c r="G2019" s="2"/>
      <c r="H2019" s="2"/>
      <c r="I2019" s="5"/>
    </row>
    <row r="2020" spans="1:9" ht="17.399999999999999" x14ac:dyDescent="0.25">
      <c r="A2020" s="16"/>
      <c r="B2020" s="17"/>
      <c r="C2020" s="2" t="b">
        <v>0</v>
      </c>
      <c r="D2020" s="2"/>
      <c r="E2020" s="2"/>
      <c r="F2020" s="2"/>
      <c r="G2020" s="2"/>
      <c r="H2020" s="2"/>
      <c r="I2020" s="5"/>
    </row>
    <row r="2021" spans="1:9" ht="17.399999999999999" x14ac:dyDescent="0.25">
      <c r="A2021" s="16"/>
      <c r="B2021" s="17"/>
      <c r="C2021" s="2" t="b">
        <v>0</v>
      </c>
      <c r="D2021" s="2"/>
      <c r="E2021" s="2"/>
      <c r="F2021" s="2"/>
      <c r="G2021" s="2"/>
      <c r="H2021" s="2"/>
      <c r="I2021" s="5"/>
    </row>
    <row r="2022" spans="1:9" ht="17.399999999999999" x14ac:dyDescent="0.25">
      <c r="A2022" s="16"/>
      <c r="B2022" s="17"/>
      <c r="C2022" s="2" t="b">
        <v>0</v>
      </c>
      <c r="D2022" s="2"/>
      <c r="E2022" s="2"/>
      <c r="F2022" s="2"/>
      <c r="G2022" s="2"/>
      <c r="H2022" s="2"/>
      <c r="I2022" s="5"/>
    </row>
    <row r="2023" spans="1:9" ht="17.399999999999999" x14ac:dyDescent="0.25">
      <c r="A2023" s="16"/>
      <c r="B2023" s="17"/>
      <c r="C2023" s="2" t="b">
        <v>0</v>
      </c>
      <c r="D2023" s="2"/>
      <c r="E2023" s="2"/>
      <c r="F2023" s="2"/>
      <c r="G2023" s="2"/>
      <c r="H2023" s="2"/>
      <c r="I2023" s="5"/>
    </row>
    <row r="2024" spans="1:9" ht="17.399999999999999" x14ac:dyDescent="0.25">
      <c r="A2024" s="16"/>
      <c r="B2024" s="17"/>
      <c r="C2024" s="2" t="b">
        <v>0</v>
      </c>
      <c r="D2024" s="2"/>
      <c r="E2024" s="2"/>
      <c r="F2024" s="2"/>
      <c r="G2024" s="2"/>
      <c r="H2024" s="2"/>
      <c r="I2024" s="5"/>
    </row>
    <row r="2025" spans="1:9" ht="17.399999999999999" x14ac:dyDescent="0.25">
      <c r="A2025" s="16"/>
      <c r="B2025" s="17"/>
      <c r="C2025" s="2" t="b">
        <v>0</v>
      </c>
      <c r="D2025" s="2"/>
      <c r="E2025" s="2"/>
      <c r="F2025" s="2"/>
      <c r="G2025" s="2"/>
      <c r="H2025" s="2"/>
      <c r="I2025" s="5"/>
    </row>
    <row r="2026" spans="1:9" ht="17.399999999999999" x14ac:dyDescent="0.25">
      <c r="A2026" s="16"/>
      <c r="B2026" s="17"/>
      <c r="C2026" s="2" t="b">
        <v>0</v>
      </c>
      <c r="D2026" s="2"/>
      <c r="E2026" s="2"/>
      <c r="F2026" s="2"/>
      <c r="G2026" s="2"/>
      <c r="H2026" s="2"/>
      <c r="I2026" s="5"/>
    </row>
    <row r="2027" spans="1:9" ht="17.399999999999999" x14ac:dyDescent="0.25">
      <c r="A2027" s="16"/>
      <c r="B2027" s="17"/>
      <c r="C2027" s="2" t="b">
        <v>0</v>
      </c>
      <c r="D2027" s="2"/>
      <c r="E2027" s="2"/>
      <c r="F2027" s="2"/>
      <c r="G2027" s="2"/>
      <c r="H2027" s="2"/>
      <c r="I2027" s="5"/>
    </row>
    <row r="2028" spans="1:9" ht="17.399999999999999" x14ac:dyDescent="0.25">
      <c r="A2028" s="16"/>
      <c r="B2028" s="17"/>
      <c r="C2028" s="2" t="b">
        <v>0</v>
      </c>
      <c r="D2028" s="2"/>
      <c r="E2028" s="2"/>
      <c r="F2028" s="2"/>
      <c r="G2028" s="2"/>
      <c r="H2028" s="2"/>
      <c r="I2028" s="5"/>
    </row>
    <row r="2029" spans="1:9" ht="17.399999999999999" x14ac:dyDescent="0.25">
      <c r="A2029" s="16"/>
      <c r="B2029" s="17"/>
      <c r="C2029" s="2" t="b">
        <v>0</v>
      </c>
      <c r="D2029" s="2"/>
      <c r="E2029" s="2"/>
      <c r="F2029" s="2"/>
      <c r="G2029" s="2"/>
      <c r="H2029" s="2"/>
      <c r="I2029" s="5"/>
    </row>
    <row r="2030" spans="1:9" ht="17.399999999999999" x14ac:dyDescent="0.25">
      <c r="A2030" s="16"/>
      <c r="B2030" s="17"/>
      <c r="C2030" s="2" t="b">
        <v>0</v>
      </c>
      <c r="D2030" s="2"/>
      <c r="E2030" s="2"/>
      <c r="F2030" s="2"/>
      <c r="G2030" s="2"/>
      <c r="H2030" s="2"/>
      <c r="I2030" s="5"/>
    </row>
    <row r="2031" spans="1:9" ht="17.399999999999999" x14ac:dyDescent="0.25">
      <c r="A2031" s="16"/>
      <c r="B2031" s="17"/>
      <c r="C2031" s="2" t="b">
        <v>0</v>
      </c>
      <c r="D2031" s="2"/>
      <c r="E2031" s="2"/>
      <c r="F2031" s="2"/>
      <c r="G2031" s="2"/>
      <c r="H2031" s="2"/>
      <c r="I2031" s="5"/>
    </row>
    <row r="2032" spans="1:9" ht="17.399999999999999" x14ac:dyDescent="0.25">
      <c r="A2032" s="16"/>
      <c r="B2032" s="17"/>
      <c r="C2032" s="2" t="b">
        <v>0</v>
      </c>
      <c r="D2032" s="2"/>
      <c r="E2032" s="2"/>
      <c r="F2032" s="2"/>
      <c r="G2032" s="2"/>
      <c r="H2032" s="2"/>
      <c r="I2032" s="5"/>
    </row>
    <row r="2033" spans="1:9" ht="17.399999999999999" x14ac:dyDescent="0.25">
      <c r="A2033" s="16"/>
      <c r="B2033" s="17"/>
      <c r="C2033" s="2" t="b">
        <v>0</v>
      </c>
      <c r="D2033" s="2"/>
      <c r="E2033" s="2"/>
      <c r="F2033" s="2"/>
      <c r="G2033" s="2"/>
      <c r="H2033" s="2"/>
      <c r="I2033" s="5"/>
    </row>
    <row r="2034" spans="1:9" ht="17.399999999999999" x14ac:dyDescent="0.25">
      <c r="A2034" s="16"/>
      <c r="B2034" s="17"/>
      <c r="C2034" s="2" t="b">
        <v>0</v>
      </c>
      <c r="D2034" s="2"/>
      <c r="E2034" s="2"/>
      <c r="F2034" s="2"/>
      <c r="G2034" s="2"/>
      <c r="H2034" s="2"/>
      <c r="I2034" s="5"/>
    </row>
    <row r="2035" spans="1:9" ht="17.399999999999999" x14ac:dyDescent="0.25">
      <c r="A2035" s="16"/>
      <c r="B2035" s="17"/>
      <c r="C2035" s="2" t="b">
        <v>0</v>
      </c>
      <c r="D2035" s="2"/>
      <c r="E2035" s="2"/>
      <c r="F2035" s="2"/>
      <c r="G2035" s="2"/>
      <c r="H2035" s="2"/>
      <c r="I2035" s="5"/>
    </row>
    <row r="2036" spans="1:9" ht="17.399999999999999" x14ac:dyDescent="0.25">
      <c r="A2036" s="16"/>
      <c r="B2036" s="17"/>
      <c r="C2036" s="2" t="b">
        <v>0</v>
      </c>
      <c r="D2036" s="2"/>
      <c r="E2036" s="2"/>
      <c r="F2036" s="2"/>
      <c r="G2036" s="2"/>
      <c r="H2036" s="2"/>
      <c r="I2036" s="5"/>
    </row>
    <row r="2037" spans="1:9" ht="17.399999999999999" x14ac:dyDescent="0.25">
      <c r="A2037" s="16"/>
      <c r="B2037" s="17"/>
      <c r="C2037" s="2" t="b">
        <v>0</v>
      </c>
      <c r="D2037" s="2"/>
      <c r="E2037" s="2"/>
      <c r="F2037" s="2"/>
      <c r="G2037" s="2"/>
      <c r="H2037" s="2"/>
      <c r="I2037" s="5"/>
    </row>
    <row r="2038" spans="1:9" ht="17.399999999999999" x14ac:dyDescent="0.25">
      <c r="A2038" s="16"/>
      <c r="B2038" s="17"/>
      <c r="C2038" s="2" t="b">
        <v>0</v>
      </c>
      <c r="D2038" s="2"/>
      <c r="E2038" s="2"/>
      <c r="F2038" s="2"/>
      <c r="G2038" s="2"/>
      <c r="H2038" s="2"/>
      <c r="I2038" s="5"/>
    </row>
    <row r="2039" spans="1:9" ht="17.399999999999999" x14ac:dyDescent="0.25">
      <c r="A2039" s="16"/>
      <c r="B2039" s="17"/>
      <c r="C2039" s="2" t="b">
        <v>0</v>
      </c>
      <c r="D2039" s="2"/>
      <c r="E2039" s="2"/>
      <c r="F2039" s="2"/>
      <c r="G2039" s="2"/>
      <c r="H2039" s="2"/>
      <c r="I2039" s="5"/>
    </row>
    <row r="2040" spans="1:9" ht="17.399999999999999" x14ac:dyDescent="0.25">
      <c r="A2040" s="16"/>
      <c r="B2040" s="17"/>
      <c r="C2040" s="2" t="b">
        <v>0</v>
      </c>
      <c r="D2040" s="2"/>
      <c r="E2040" s="2"/>
      <c r="F2040" s="2"/>
      <c r="G2040" s="2"/>
      <c r="H2040" s="2"/>
      <c r="I2040" s="5"/>
    </row>
    <row r="2041" spans="1:9" ht="17.399999999999999" x14ac:dyDescent="0.25">
      <c r="A2041" s="16"/>
      <c r="B2041" s="17"/>
      <c r="C2041" s="2" t="b">
        <v>0</v>
      </c>
      <c r="D2041" s="2"/>
      <c r="E2041" s="2"/>
      <c r="F2041" s="2"/>
      <c r="G2041" s="2"/>
      <c r="H2041" s="2"/>
      <c r="I2041" s="5"/>
    </row>
    <row r="2042" spans="1:9" ht="17.399999999999999" x14ac:dyDescent="0.25">
      <c r="A2042" s="16"/>
      <c r="B2042" s="17"/>
      <c r="C2042" s="2" t="b">
        <v>0</v>
      </c>
      <c r="D2042" s="2"/>
      <c r="E2042" s="2"/>
      <c r="F2042" s="2"/>
      <c r="G2042" s="2"/>
      <c r="H2042" s="2"/>
      <c r="I2042" s="5"/>
    </row>
    <row r="2043" spans="1:9" ht="17.399999999999999" x14ac:dyDescent="0.25">
      <c r="A2043" s="16"/>
      <c r="B2043" s="17"/>
      <c r="C2043" s="2" t="b">
        <v>0</v>
      </c>
      <c r="D2043" s="2"/>
      <c r="E2043" s="2"/>
      <c r="F2043" s="2"/>
      <c r="G2043" s="2"/>
      <c r="H2043" s="2"/>
      <c r="I2043" s="5"/>
    </row>
    <row r="2044" spans="1:9" ht="17.399999999999999" x14ac:dyDescent="0.25">
      <c r="A2044" s="16"/>
      <c r="B2044" s="17"/>
      <c r="C2044" s="2" t="b">
        <v>0</v>
      </c>
      <c r="D2044" s="2"/>
      <c r="E2044" s="2"/>
      <c r="F2044" s="2"/>
      <c r="G2044" s="2"/>
      <c r="H2044" s="2"/>
      <c r="I2044" s="5"/>
    </row>
    <row r="2045" spans="1:9" ht="17.399999999999999" x14ac:dyDescent="0.25">
      <c r="A2045" s="16"/>
      <c r="B2045" s="17"/>
      <c r="C2045" s="2" t="b">
        <v>0</v>
      </c>
      <c r="D2045" s="2"/>
      <c r="E2045" s="2"/>
      <c r="F2045" s="2"/>
      <c r="G2045" s="2"/>
      <c r="H2045" s="2"/>
      <c r="I2045" s="5"/>
    </row>
    <row r="2046" spans="1:9" ht="17.399999999999999" x14ac:dyDescent="0.25">
      <c r="A2046" s="16"/>
      <c r="B2046" s="17"/>
      <c r="C2046" s="2" t="b">
        <v>0</v>
      </c>
      <c r="D2046" s="2"/>
      <c r="E2046" s="2"/>
      <c r="F2046" s="2"/>
      <c r="G2046" s="2"/>
      <c r="H2046" s="2"/>
      <c r="I2046" s="5"/>
    </row>
    <row r="2047" spans="1:9" ht="17.399999999999999" x14ac:dyDescent="0.25">
      <c r="A2047" s="16"/>
      <c r="B2047" s="17"/>
      <c r="C2047" s="2" t="b">
        <v>0</v>
      </c>
      <c r="D2047" s="2"/>
      <c r="E2047" s="2"/>
      <c r="F2047" s="2"/>
      <c r="G2047" s="2"/>
      <c r="H2047" s="2"/>
      <c r="I2047" s="5"/>
    </row>
    <row r="2048" spans="1:9" ht="17.399999999999999" x14ac:dyDescent="0.25">
      <c r="A2048" s="16"/>
      <c r="B2048" s="17"/>
      <c r="C2048" s="2" t="b">
        <v>0</v>
      </c>
      <c r="D2048" s="2"/>
      <c r="E2048" s="2"/>
      <c r="F2048" s="2"/>
      <c r="G2048" s="2"/>
      <c r="H2048" s="2"/>
      <c r="I2048" s="5"/>
    </row>
    <row r="2049" spans="1:9" ht="17.399999999999999" x14ac:dyDescent="0.25">
      <c r="A2049" s="16"/>
      <c r="B2049" s="17"/>
      <c r="C2049" s="2" t="b">
        <v>0</v>
      </c>
      <c r="D2049" s="2"/>
      <c r="E2049" s="2"/>
      <c r="F2049" s="2"/>
      <c r="G2049" s="2"/>
      <c r="H2049" s="2"/>
      <c r="I2049" s="5"/>
    </row>
    <row r="2050" spans="1:9" ht="17.399999999999999" x14ac:dyDescent="0.25">
      <c r="A2050" s="16"/>
      <c r="B2050" s="17"/>
      <c r="C2050" s="2" t="b">
        <v>0</v>
      </c>
      <c r="D2050" s="2"/>
      <c r="E2050" s="2"/>
      <c r="F2050" s="2"/>
      <c r="G2050" s="2"/>
      <c r="H2050" s="2"/>
      <c r="I2050" s="5"/>
    </row>
    <row r="2051" spans="1:9" ht="17.399999999999999" x14ac:dyDescent="0.25">
      <c r="A2051" s="16"/>
      <c r="B2051" s="17"/>
      <c r="C2051" s="2" t="b">
        <v>0</v>
      </c>
      <c r="D2051" s="2"/>
      <c r="E2051" s="2"/>
      <c r="F2051" s="2"/>
      <c r="G2051" s="2"/>
      <c r="H2051" s="2"/>
      <c r="I2051" s="5"/>
    </row>
    <row r="2052" spans="1:9" ht="17.399999999999999" x14ac:dyDescent="0.25">
      <c r="A2052" s="16"/>
      <c r="B2052" s="17"/>
      <c r="C2052" s="2" t="b">
        <v>0</v>
      </c>
      <c r="D2052" s="2"/>
      <c r="E2052" s="2"/>
      <c r="F2052" s="2"/>
      <c r="G2052" s="2"/>
      <c r="H2052" s="2"/>
      <c r="I2052" s="5"/>
    </row>
    <row r="2053" spans="1:9" ht="17.399999999999999" x14ac:dyDescent="0.25">
      <c r="A2053" s="16"/>
      <c r="B2053" s="17"/>
      <c r="C2053" s="2" t="b">
        <v>0</v>
      </c>
      <c r="D2053" s="2"/>
      <c r="E2053" s="2"/>
      <c r="F2053" s="2"/>
      <c r="G2053" s="2"/>
      <c r="H2053" s="2"/>
      <c r="I2053" s="5"/>
    </row>
    <row r="2054" spans="1:9" ht="17.399999999999999" x14ac:dyDescent="0.25">
      <c r="A2054" s="16"/>
      <c r="B2054" s="17"/>
      <c r="C2054" s="2" t="b">
        <v>0</v>
      </c>
      <c r="D2054" s="2"/>
      <c r="E2054" s="2"/>
      <c r="F2054" s="2"/>
      <c r="G2054" s="2"/>
      <c r="H2054" s="2"/>
      <c r="I2054" s="5"/>
    </row>
    <row r="2055" spans="1:9" ht="17.399999999999999" x14ac:dyDescent="0.25">
      <c r="A2055" s="16"/>
      <c r="B2055" s="17"/>
      <c r="C2055" s="2" t="b">
        <v>0</v>
      </c>
      <c r="D2055" s="2"/>
      <c r="E2055" s="2"/>
      <c r="F2055" s="2"/>
      <c r="G2055" s="2"/>
      <c r="H2055" s="2"/>
      <c r="I2055" s="5"/>
    </row>
    <row r="2056" spans="1:9" ht="17.399999999999999" x14ac:dyDescent="0.25">
      <c r="A2056" s="16"/>
      <c r="B2056" s="17"/>
      <c r="C2056" s="2" t="b">
        <v>0</v>
      </c>
      <c r="D2056" s="2"/>
      <c r="E2056" s="2"/>
      <c r="F2056" s="2"/>
      <c r="G2056" s="2"/>
      <c r="H2056" s="2"/>
      <c r="I2056" s="5"/>
    </row>
    <row r="2057" spans="1:9" ht="17.399999999999999" x14ac:dyDescent="0.25">
      <c r="A2057" s="16"/>
      <c r="B2057" s="17"/>
      <c r="C2057" s="2" t="b">
        <v>0</v>
      </c>
      <c r="D2057" s="2"/>
      <c r="E2057" s="2"/>
      <c r="F2057" s="2"/>
      <c r="G2057" s="2"/>
      <c r="H2057" s="2"/>
      <c r="I2057" s="5"/>
    </row>
    <row r="2058" spans="1:9" ht="17.399999999999999" x14ac:dyDescent="0.25">
      <c r="A2058" s="16"/>
      <c r="B2058" s="17"/>
      <c r="C2058" s="2" t="b">
        <v>0</v>
      </c>
      <c r="D2058" s="2"/>
      <c r="E2058" s="2"/>
      <c r="F2058" s="2"/>
      <c r="G2058" s="2"/>
      <c r="H2058" s="2"/>
      <c r="I2058" s="5"/>
    </row>
    <row r="2059" spans="1:9" ht="17.399999999999999" x14ac:dyDescent="0.25">
      <c r="A2059" s="16"/>
      <c r="B2059" s="17"/>
      <c r="C2059" s="2" t="b">
        <v>0</v>
      </c>
      <c r="D2059" s="2"/>
      <c r="E2059" s="2"/>
      <c r="F2059" s="2"/>
      <c r="G2059" s="2"/>
      <c r="H2059" s="2"/>
      <c r="I2059" s="5"/>
    </row>
    <row r="2060" spans="1:9" ht="17.399999999999999" x14ac:dyDescent="0.25">
      <c r="A2060" s="16"/>
      <c r="B2060" s="17"/>
      <c r="C2060" s="2" t="b">
        <v>0</v>
      </c>
      <c r="D2060" s="2"/>
      <c r="E2060" s="2"/>
      <c r="F2060" s="2"/>
      <c r="G2060" s="2"/>
      <c r="H2060" s="2"/>
      <c r="I2060" s="5"/>
    </row>
    <row r="2061" spans="1:9" ht="17.399999999999999" x14ac:dyDescent="0.25">
      <c r="A2061" s="16"/>
      <c r="B2061" s="17"/>
      <c r="C2061" s="2" t="b">
        <v>0</v>
      </c>
      <c r="D2061" s="2"/>
      <c r="E2061" s="2"/>
      <c r="F2061" s="2"/>
      <c r="G2061" s="2"/>
      <c r="H2061" s="2"/>
      <c r="I2061" s="5"/>
    </row>
    <row r="2062" spans="1:9" ht="17.399999999999999" x14ac:dyDescent="0.25">
      <c r="A2062" s="16"/>
      <c r="B2062" s="17"/>
      <c r="C2062" s="2" t="b">
        <v>0</v>
      </c>
      <c r="D2062" s="2"/>
      <c r="E2062" s="2"/>
      <c r="F2062" s="2"/>
      <c r="G2062" s="2"/>
      <c r="H2062" s="2"/>
      <c r="I2062" s="5"/>
    </row>
    <row r="2063" spans="1:9" ht="17.399999999999999" x14ac:dyDescent="0.25">
      <c r="A2063" s="16"/>
      <c r="B2063" s="17"/>
      <c r="C2063" s="2" t="b">
        <v>0</v>
      </c>
      <c r="D2063" s="2"/>
      <c r="E2063" s="2"/>
      <c r="F2063" s="2"/>
      <c r="G2063" s="2"/>
      <c r="H2063" s="2"/>
      <c r="I2063" s="5"/>
    </row>
    <row r="2064" spans="1:9" ht="17.399999999999999" x14ac:dyDescent="0.25">
      <c r="A2064" s="16"/>
      <c r="B2064" s="17"/>
      <c r="C2064" s="2" t="b">
        <v>0</v>
      </c>
      <c r="D2064" s="2"/>
      <c r="E2064" s="2"/>
      <c r="F2064" s="2"/>
      <c r="G2064" s="2"/>
      <c r="H2064" s="2"/>
      <c r="I2064" s="5"/>
    </row>
    <row r="2065" spans="1:9" ht="17.399999999999999" x14ac:dyDescent="0.25">
      <c r="A2065" s="16"/>
      <c r="B2065" s="17"/>
      <c r="C2065" s="2" t="b">
        <v>0</v>
      </c>
      <c r="D2065" s="2"/>
      <c r="E2065" s="2"/>
      <c r="F2065" s="2"/>
      <c r="G2065" s="2"/>
      <c r="H2065" s="2"/>
      <c r="I2065" s="5"/>
    </row>
    <row r="2066" spans="1:9" ht="17.399999999999999" x14ac:dyDescent="0.25">
      <c r="A2066" s="16"/>
      <c r="B2066" s="17"/>
      <c r="C2066" s="2" t="b">
        <v>0</v>
      </c>
      <c r="D2066" s="2"/>
      <c r="E2066" s="2"/>
      <c r="F2066" s="2"/>
      <c r="G2066" s="2"/>
      <c r="H2066" s="2"/>
      <c r="I2066" s="5"/>
    </row>
    <row r="2067" spans="1:9" ht="17.399999999999999" x14ac:dyDescent="0.25">
      <c r="A2067" s="16"/>
      <c r="B2067" s="17"/>
      <c r="C2067" s="2" t="b">
        <v>0</v>
      </c>
      <c r="D2067" s="2"/>
      <c r="E2067" s="2"/>
      <c r="F2067" s="2"/>
      <c r="G2067" s="2"/>
      <c r="H2067" s="2"/>
      <c r="I2067" s="5"/>
    </row>
    <row r="2068" spans="1:9" ht="17.399999999999999" x14ac:dyDescent="0.25">
      <c r="A2068" s="16"/>
      <c r="B2068" s="17"/>
      <c r="C2068" s="2" t="b">
        <v>0</v>
      </c>
      <c r="D2068" s="2"/>
      <c r="E2068" s="2"/>
      <c r="F2068" s="2"/>
      <c r="G2068" s="2"/>
      <c r="H2068" s="2"/>
      <c r="I2068" s="5"/>
    </row>
    <row r="2069" spans="1:9" ht="17.399999999999999" x14ac:dyDescent="0.25">
      <c r="A2069" s="16"/>
      <c r="B2069" s="17"/>
      <c r="C2069" s="2" t="b">
        <v>0</v>
      </c>
      <c r="D2069" s="2"/>
      <c r="E2069" s="2"/>
      <c r="F2069" s="2"/>
      <c r="G2069" s="2"/>
      <c r="H2069" s="2"/>
      <c r="I2069" s="5"/>
    </row>
    <row r="2070" spans="1:9" ht="17.399999999999999" x14ac:dyDescent="0.25">
      <c r="A2070" s="16"/>
      <c r="B2070" s="17"/>
      <c r="C2070" s="2" t="b">
        <v>0</v>
      </c>
      <c r="D2070" s="2"/>
      <c r="E2070" s="2"/>
      <c r="F2070" s="2"/>
      <c r="G2070" s="2"/>
      <c r="H2070" s="2"/>
      <c r="I2070" s="5"/>
    </row>
    <row r="2071" spans="1:9" ht="17.399999999999999" x14ac:dyDescent="0.25">
      <c r="A2071" s="16"/>
      <c r="B2071" s="17"/>
      <c r="C2071" s="2" t="b">
        <v>0</v>
      </c>
      <c r="D2071" s="2"/>
      <c r="E2071" s="2"/>
      <c r="F2071" s="2"/>
      <c r="G2071" s="2"/>
      <c r="H2071" s="2"/>
      <c r="I2071" s="5"/>
    </row>
    <row r="2072" spans="1:9" ht="17.399999999999999" x14ac:dyDescent="0.25">
      <c r="A2072" s="16"/>
      <c r="B2072" s="17"/>
      <c r="C2072" s="2" t="b">
        <v>0</v>
      </c>
      <c r="D2072" s="2"/>
      <c r="E2072" s="2"/>
      <c r="F2072" s="2"/>
      <c r="G2072" s="2"/>
      <c r="H2072" s="2"/>
      <c r="I2072" s="5"/>
    </row>
    <row r="2073" spans="1:9" ht="17.399999999999999" x14ac:dyDescent="0.25">
      <c r="A2073" s="16"/>
      <c r="B2073" s="17"/>
      <c r="C2073" s="2" t="b">
        <v>0</v>
      </c>
      <c r="D2073" s="2"/>
      <c r="E2073" s="2"/>
      <c r="F2073" s="2"/>
      <c r="G2073" s="2"/>
      <c r="H2073" s="2"/>
      <c r="I2073" s="5"/>
    </row>
    <row r="2074" spans="1:9" ht="17.399999999999999" x14ac:dyDescent="0.25">
      <c r="A2074" s="16"/>
      <c r="B2074" s="17"/>
      <c r="C2074" s="2" t="b">
        <v>0</v>
      </c>
      <c r="D2074" s="2"/>
      <c r="E2074" s="2"/>
      <c r="F2074" s="2"/>
      <c r="G2074" s="2"/>
      <c r="H2074" s="2"/>
      <c r="I2074" s="5"/>
    </row>
    <row r="2075" spans="1:9" ht="17.399999999999999" x14ac:dyDescent="0.25">
      <c r="A2075" s="16"/>
      <c r="B2075" s="17"/>
      <c r="C2075" s="2" t="b">
        <v>0</v>
      </c>
      <c r="D2075" s="2"/>
      <c r="E2075" s="2"/>
      <c r="F2075" s="2"/>
      <c r="G2075" s="2"/>
      <c r="H2075" s="2"/>
      <c r="I2075" s="5"/>
    </row>
    <row r="2076" spans="1:9" ht="17.399999999999999" x14ac:dyDescent="0.25">
      <c r="A2076" s="16"/>
      <c r="B2076" s="17"/>
      <c r="C2076" s="2" t="b">
        <v>0</v>
      </c>
      <c r="D2076" s="2"/>
      <c r="E2076" s="2"/>
      <c r="F2076" s="2"/>
      <c r="G2076" s="2"/>
      <c r="H2076" s="2"/>
      <c r="I2076" s="5"/>
    </row>
    <row r="2077" spans="1:9" ht="17.399999999999999" x14ac:dyDescent="0.25">
      <c r="A2077" s="16"/>
      <c r="B2077" s="17"/>
      <c r="C2077" s="2" t="b">
        <v>0</v>
      </c>
      <c r="D2077" s="2"/>
      <c r="E2077" s="2"/>
      <c r="F2077" s="2"/>
      <c r="G2077" s="2"/>
      <c r="H2077" s="2"/>
      <c r="I2077" s="5"/>
    </row>
    <row r="2078" spans="1:9" ht="17.399999999999999" x14ac:dyDescent="0.25">
      <c r="A2078" s="16"/>
      <c r="B2078" s="17"/>
      <c r="C2078" s="2" t="b">
        <v>0</v>
      </c>
      <c r="D2078" s="2"/>
      <c r="E2078" s="2"/>
      <c r="F2078" s="2"/>
      <c r="G2078" s="2"/>
      <c r="H2078" s="2"/>
      <c r="I2078" s="5"/>
    </row>
    <row r="2079" spans="1:9" ht="17.399999999999999" x14ac:dyDescent="0.25">
      <c r="A2079" s="16"/>
      <c r="B2079" s="17"/>
      <c r="C2079" s="2" t="b">
        <v>0</v>
      </c>
      <c r="D2079" s="2"/>
      <c r="E2079" s="2"/>
      <c r="F2079" s="2"/>
      <c r="G2079" s="2"/>
      <c r="H2079" s="2"/>
      <c r="I2079" s="5"/>
    </row>
    <row r="2080" spans="1:9" ht="17.399999999999999" x14ac:dyDescent="0.25">
      <c r="A2080" s="16"/>
      <c r="B2080" s="17"/>
      <c r="C2080" s="2" t="b">
        <v>0</v>
      </c>
      <c r="D2080" s="2"/>
      <c r="E2080" s="2"/>
      <c r="F2080" s="2"/>
      <c r="G2080" s="2"/>
      <c r="H2080" s="2"/>
      <c r="I2080" s="5"/>
    </row>
    <row r="2081" spans="1:9" ht="17.399999999999999" x14ac:dyDescent="0.25">
      <c r="A2081" s="16"/>
      <c r="B2081" s="17"/>
      <c r="C2081" s="2" t="b">
        <v>0</v>
      </c>
      <c r="D2081" s="2"/>
      <c r="E2081" s="2"/>
      <c r="F2081" s="2"/>
      <c r="G2081" s="2"/>
      <c r="H2081" s="2"/>
      <c r="I2081" s="5"/>
    </row>
    <row r="2082" spans="1:9" ht="17.399999999999999" x14ac:dyDescent="0.25">
      <c r="A2082" s="16"/>
      <c r="B2082" s="17"/>
      <c r="C2082" s="2" t="b">
        <v>0</v>
      </c>
      <c r="D2082" s="2"/>
      <c r="E2082" s="2"/>
      <c r="F2082" s="2"/>
      <c r="G2082" s="2"/>
      <c r="H2082" s="2"/>
      <c r="I2082" s="5"/>
    </row>
    <row r="2083" spans="1:9" ht="17.399999999999999" x14ac:dyDescent="0.25">
      <c r="A2083" s="16"/>
      <c r="B2083" s="17"/>
      <c r="C2083" s="2" t="b">
        <v>0</v>
      </c>
      <c r="D2083" s="2"/>
      <c r="E2083" s="2"/>
      <c r="F2083" s="2"/>
      <c r="G2083" s="2"/>
      <c r="H2083" s="2"/>
      <c r="I2083" s="5"/>
    </row>
    <row r="2084" spans="1:9" ht="17.399999999999999" x14ac:dyDescent="0.25">
      <c r="A2084" s="16"/>
      <c r="B2084" s="17"/>
      <c r="C2084" s="2" t="b">
        <v>0</v>
      </c>
      <c r="D2084" s="2"/>
      <c r="E2084" s="2"/>
      <c r="F2084" s="2"/>
      <c r="G2084" s="2"/>
      <c r="H2084" s="2"/>
      <c r="I2084" s="5"/>
    </row>
    <row r="2085" spans="1:9" ht="17.399999999999999" x14ac:dyDescent="0.25">
      <c r="A2085" s="16"/>
      <c r="B2085" s="17"/>
      <c r="C2085" s="2" t="b">
        <v>0</v>
      </c>
      <c r="D2085" s="2"/>
      <c r="E2085" s="2"/>
      <c r="F2085" s="2"/>
      <c r="G2085" s="2"/>
      <c r="H2085" s="2"/>
      <c r="I2085" s="5"/>
    </row>
    <row r="2086" spans="1:9" ht="17.399999999999999" x14ac:dyDescent="0.25">
      <c r="A2086" s="16"/>
      <c r="B2086" s="17"/>
      <c r="C2086" s="2" t="b">
        <v>0</v>
      </c>
      <c r="D2086" s="2"/>
      <c r="E2086" s="2"/>
      <c r="F2086" s="2"/>
      <c r="G2086" s="2"/>
      <c r="H2086" s="2"/>
      <c r="I2086" s="5"/>
    </row>
    <row r="2087" spans="1:9" ht="17.399999999999999" x14ac:dyDescent="0.25">
      <c r="A2087" s="16"/>
      <c r="B2087" s="17"/>
      <c r="C2087" s="2" t="b">
        <v>0</v>
      </c>
      <c r="D2087" s="2"/>
      <c r="E2087" s="2"/>
      <c r="F2087" s="2"/>
      <c r="G2087" s="2"/>
      <c r="H2087" s="2"/>
      <c r="I2087" s="5"/>
    </row>
    <row r="2088" spans="1:9" ht="17.399999999999999" x14ac:dyDescent="0.25">
      <c r="A2088" s="16"/>
      <c r="B2088" s="17"/>
      <c r="C2088" s="2" t="b">
        <v>0</v>
      </c>
      <c r="D2088" s="2"/>
      <c r="E2088" s="2"/>
      <c r="F2088" s="2"/>
      <c r="G2088" s="2"/>
      <c r="H2088" s="2"/>
      <c r="I2088" s="5"/>
    </row>
    <row r="2089" spans="1:9" ht="17.399999999999999" x14ac:dyDescent="0.25">
      <c r="A2089" s="16"/>
      <c r="B2089" s="17"/>
      <c r="C2089" s="2" t="b">
        <v>0</v>
      </c>
      <c r="D2089" s="2"/>
      <c r="E2089" s="2"/>
      <c r="F2089" s="2"/>
      <c r="G2089" s="2"/>
      <c r="H2089" s="2"/>
      <c r="I2089" s="5"/>
    </row>
    <row r="2090" spans="1:9" ht="17.399999999999999" x14ac:dyDescent="0.25">
      <c r="A2090" s="16"/>
      <c r="B2090" s="17"/>
      <c r="C2090" s="2" t="b">
        <v>0</v>
      </c>
      <c r="D2090" s="2"/>
      <c r="E2090" s="2"/>
      <c r="F2090" s="2"/>
      <c r="G2090" s="2"/>
      <c r="H2090" s="2"/>
      <c r="I2090" s="5"/>
    </row>
    <row r="2091" spans="1:9" ht="17.399999999999999" x14ac:dyDescent="0.25">
      <c r="A2091" s="16"/>
      <c r="B2091" s="17"/>
      <c r="C2091" s="2" t="b">
        <v>0</v>
      </c>
      <c r="D2091" s="2"/>
      <c r="E2091" s="2"/>
      <c r="F2091" s="2"/>
      <c r="G2091" s="2"/>
      <c r="H2091" s="2"/>
      <c r="I2091" s="5"/>
    </row>
    <row r="2092" spans="1:9" ht="17.399999999999999" x14ac:dyDescent="0.25">
      <c r="A2092" s="16"/>
      <c r="B2092" s="17"/>
      <c r="C2092" s="2" t="b">
        <v>0</v>
      </c>
      <c r="D2092" s="2"/>
      <c r="E2092" s="2"/>
      <c r="F2092" s="2"/>
      <c r="G2092" s="2"/>
      <c r="H2092" s="2"/>
      <c r="I2092" s="5"/>
    </row>
    <row r="2093" spans="1:9" ht="17.399999999999999" x14ac:dyDescent="0.25">
      <c r="A2093" s="16"/>
      <c r="B2093" s="17"/>
      <c r="C2093" s="2" t="b">
        <v>0</v>
      </c>
      <c r="D2093" s="2"/>
      <c r="E2093" s="2"/>
      <c r="F2093" s="2"/>
      <c r="G2093" s="2"/>
      <c r="H2093" s="2"/>
      <c r="I2093" s="5"/>
    </row>
    <row r="2094" spans="1:9" ht="17.399999999999999" x14ac:dyDescent="0.25">
      <c r="A2094" s="16"/>
      <c r="B2094" s="17"/>
      <c r="C2094" s="2" t="b">
        <v>0</v>
      </c>
      <c r="D2094" s="2"/>
      <c r="E2094" s="2"/>
      <c r="F2094" s="2"/>
      <c r="G2094" s="2"/>
      <c r="H2094" s="2"/>
      <c r="I2094" s="5"/>
    </row>
    <row r="2095" spans="1:9" ht="17.399999999999999" x14ac:dyDescent="0.25">
      <c r="A2095" s="16"/>
      <c r="B2095" s="17"/>
      <c r="C2095" s="2" t="b">
        <v>0</v>
      </c>
      <c r="D2095" s="2"/>
      <c r="E2095" s="2"/>
      <c r="F2095" s="2"/>
      <c r="G2095" s="2"/>
      <c r="H2095" s="2"/>
      <c r="I2095" s="5"/>
    </row>
    <row r="2096" spans="1:9" ht="17.399999999999999" x14ac:dyDescent="0.25">
      <c r="A2096" s="16"/>
      <c r="B2096" s="17"/>
      <c r="C2096" s="2" t="b">
        <v>0</v>
      </c>
      <c r="D2096" s="2"/>
      <c r="E2096" s="2"/>
      <c r="F2096" s="2"/>
      <c r="G2096" s="2"/>
      <c r="H2096" s="2"/>
      <c r="I2096" s="5"/>
    </row>
    <row r="2097" spans="1:9" ht="17.399999999999999" x14ac:dyDescent="0.25">
      <c r="A2097" s="16"/>
      <c r="B2097" s="17"/>
      <c r="C2097" s="2" t="b">
        <v>0</v>
      </c>
      <c r="D2097" s="2"/>
      <c r="E2097" s="2"/>
      <c r="F2097" s="2"/>
      <c r="G2097" s="2"/>
      <c r="H2097" s="2"/>
      <c r="I2097" s="5"/>
    </row>
    <row r="2098" spans="1:9" ht="17.399999999999999" x14ac:dyDescent="0.25">
      <c r="A2098" s="16"/>
      <c r="B2098" s="17"/>
      <c r="C2098" s="2" t="b">
        <v>0</v>
      </c>
      <c r="D2098" s="2"/>
      <c r="E2098" s="2"/>
      <c r="F2098" s="2"/>
      <c r="G2098" s="2"/>
      <c r="H2098" s="2"/>
      <c r="I2098" s="5"/>
    </row>
    <row r="2099" spans="1:9" ht="17.399999999999999" x14ac:dyDescent="0.25">
      <c r="A2099" s="16"/>
      <c r="B2099" s="17"/>
      <c r="C2099" s="2" t="b">
        <v>0</v>
      </c>
      <c r="D2099" s="2"/>
      <c r="E2099" s="2"/>
      <c r="F2099" s="2"/>
      <c r="G2099" s="2"/>
      <c r="H2099" s="2"/>
      <c r="I2099" s="5"/>
    </row>
    <row r="2100" spans="1:9" ht="17.399999999999999" x14ac:dyDescent="0.25">
      <c r="A2100" s="16"/>
      <c r="B2100" s="17"/>
      <c r="C2100" s="2" t="b">
        <v>0</v>
      </c>
      <c r="D2100" s="2"/>
      <c r="E2100" s="2"/>
      <c r="F2100" s="2"/>
      <c r="G2100" s="2"/>
      <c r="H2100" s="2"/>
      <c r="I2100" s="5"/>
    </row>
    <row r="2101" spans="1:9" ht="17.399999999999999" x14ac:dyDescent="0.25">
      <c r="A2101" s="16"/>
      <c r="B2101" s="17"/>
      <c r="C2101" s="2" t="b">
        <v>0</v>
      </c>
      <c r="D2101" s="2"/>
      <c r="E2101" s="2"/>
      <c r="F2101" s="2"/>
      <c r="G2101" s="2"/>
      <c r="H2101" s="2"/>
      <c r="I2101" s="5"/>
    </row>
    <row r="2102" spans="1:9" ht="17.399999999999999" x14ac:dyDescent="0.25">
      <c r="A2102" s="16"/>
      <c r="B2102" s="17"/>
      <c r="C2102" s="2" t="b">
        <v>0</v>
      </c>
      <c r="D2102" s="2"/>
      <c r="E2102" s="2"/>
      <c r="F2102" s="2"/>
      <c r="G2102" s="2"/>
      <c r="H2102" s="2"/>
      <c r="I2102" s="5"/>
    </row>
    <row r="2103" spans="1:9" ht="17.399999999999999" x14ac:dyDescent="0.25">
      <c r="A2103" s="16"/>
      <c r="B2103" s="17"/>
      <c r="C2103" s="2" t="b">
        <v>0</v>
      </c>
      <c r="D2103" s="2"/>
      <c r="E2103" s="2"/>
      <c r="F2103" s="2"/>
      <c r="G2103" s="2"/>
      <c r="H2103" s="2"/>
      <c r="I2103" s="5"/>
    </row>
    <row r="2104" spans="1:9" ht="17.399999999999999" x14ac:dyDescent="0.25">
      <c r="A2104" s="16"/>
      <c r="B2104" s="17"/>
      <c r="C2104" s="2" t="b">
        <v>0</v>
      </c>
      <c r="D2104" s="2"/>
      <c r="E2104" s="2"/>
      <c r="F2104" s="2"/>
      <c r="G2104" s="2"/>
      <c r="H2104" s="2"/>
      <c r="I2104" s="5"/>
    </row>
    <row r="2105" spans="1:9" ht="17.399999999999999" x14ac:dyDescent="0.25">
      <c r="A2105" s="16"/>
      <c r="B2105" s="17"/>
      <c r="C2105" s="2" t="b">
        <v>0</v>
      </c>
      <c r="D2105" s="2"/>
      <c r="E2105" s="2"/>
      <c r="F2105" s="2"/>
      <c r="G2105" s="2"/>
      <c r="H2105" s="2"/>
      <c r="I2105" s="5"/>
    </row>
    <row r="2106" spans="1:9" ht="17.399999999999999" x14ac:dyDescent="0.25">
      <c r="A2106" s="16"/>
      <c r="B2106" s="17"/>
      <c r="C2106" s="2" t="b">
        <v>0</v>
      </c>
      <c r="D2106" s="2"/>
      <c r="E2106" s="2"/>
      <c r="F2106" s="2"/>
      <c r="G2106" s="2"/>
      <c r="H2106" s="2"/>
      <c r="I2106" s="5"/>
    </row>
    <row r="2107" spans="1:9" ht="17.399999999999999" x14ac:dyDescent="0.25">
      <c r="A2107" s="16"/>
      <c r="B2107" s="17"/>
      <c r="C2107" s="2" t="b">
        <v>0</v>
      </c>
      <c r="D2107" s="2"/>
      <c r="E2107" s="2"/>
      <c r="F2107" s="2"/>
      <c r="G2107" s="2"/>
      <c r="H2107" s="2"/>
      <c r="I2107" s="5"/>
    </row>
    <row r="2108" spans="1:9" ht="17.399999999999999" x14ac:dyDescent="0.25">
      <c r="A2108" s="16"/>
      <c r="B2108" s="17"/>
      <c r="C2108" s="2" t="b">
        <v>0</v>
      </c>
      <c r="D2108" s="2"/>
      <c r="E2108" s="2"/>
      <c r="F2108" s="2"/>
      <c r="G2108" s="2"/>
      <c r="H2108" s="2"/>
      <c r="I2108" s="5"/>
    </row>
    <row r="2109" spans="1:9" ht="17.399999999999999" x14ac:dyDescent="0.25">
      <c r="A2109" s="16"/>
      <c r="B2109" s="17"/>
      <c r="C2109" s="2" t="b">
        <v>0</v>
      </c>
      <c r="D2109" s="2"/>
      <c r="E2109" s="2"/>
      <c r="F2109" s="2"/>
      <c r="G2109" s="2"/>
      <c r="H2109" s="2"/>
      <c r="I2109" s="5"/>
    </row>
    <row r="2110" spans="1:9" ht="17.399999999999999" x14ac:dyDescent="0.25">
      <c r="A2110" s="16"/>
      <c r="B2110" s="17"/>
      <c r="C2110" s="2" t="b">
        <v>0</v>
      </c>
      <c r="D2110" s="2"/>
      <c r="E2110" s="2"/>
      <c r="F2110" s="2"/>
      <c r="G2110" s="2"/>
      <c r="H2110" s="2"/>
      <c r="I2110" s="5"/>
    </row>
    <row r="2111" spans="1:9" ht="17.399999999999999" x14ac:dyDescent="0.25">
      <c r="A2111" s="16"/>
      <c r="B2111" s="17"/>
      <c r="C2111" s="2" t="b">
        <v>0</v>
      </c>
      <c r="D2111" s="2"/>
      <c r="E2111" s="2"/>
      <c r="F2111" s="2"/>
      <c r="G2111" s="2"/>
      <c r="H2111" s="2"/>
      <c r="I2111" s="5"/>
    </row>
    <row r="2112" spans="1:9" ht="17.399999999999999" x14ac:dyDescent="0.25">
      <c r="A2112" s="16"/>
      <c r="B2112" s="17"/>
      <c r="C2112" s="2" t="b">
        <v>0</v>
      </c>
      <c r="D2112" s="2"/>
      <c r="E2112" s="2"/>
      <c r="F2112" s="2"/>
      <c r="G2112" s="2"/>
      <c r="H2112" s="2"/>
      <c r="I2112" s="5"/>
    </row>
    <row r="2113" spans="1:9" ht="17.399999999999999" x14ac:dyDescent="0.25">
      <c r="A2113" s="16"/>
      <c r="B2113" s="17"/>
      <c r="C2113" s="2" t="b">
        <v>0</v>
      </c>
      <c r="D2113" s="2"/>
      <c r="E2113" s="2"/>
      <c r="F2113" s="2"/>
      <c r="G2113" s="2"/>
      <c r="H2113" s="2"/>
      <c r="I2113" s="5"/>
    </row>
    <row r="2114" spans="1:9" ht="17.399999999999999" x14ac:dyDescent="0.25">
      <c r="A2114" s="16"/>
      <c r="B2114" s="17"/>
      <c r="C2114" s="2" t="b">
        <v>0</v>
      </c>
      <c r="D2114" s="2"/>
      <c r="E2114" s="2"/>
      <c r="F2114" s="2"/>
      <c r="G2114" s="2"/>
      <c r="H2114" s="2"/>
      <c r="I2114" s="5"/>
    </row>
    <row r="2115" spans="1:9" ht="17.399999999999999" x14ac:dyDescent="0.25">
      <c r="A2115" s="16"/>
      <c r="B2115" s="17"/>
      <c r="C2115" s="2" t="b">
        <v>0</v>
      </c>
      <c r="D2115" s="2"/>
      <c r="E2115" s="2"/>
      <c r="F2115" s="2"/>
      <c r="G2115" s="2"/>
      <c r="H2115" s="2"/>
      <c r="I2115" s="5"/>
    </row>
    <row r="2116" spans="1:9" ht="17.399999999999999" x14ac:dyDescent="0.25">
      <c r="A2116" s="16"/>
      <c r="B2116" s="17"/>
      <c r="C2116" s="2" t="b">
        <v>0</v>
      </c>
      <c r="D2116" s="2"/>
      <c r="E2116" s="2"/>
      <c r="F2116" s="2"/>
      <c r="G2116" s="2"/>
      <c r="H2116" s="2"/>
      <c r="I2116" s="5"/>
    </row>
    <row r="2117" spans="1:9" ht="17.399999999999999" x14ac:dyDescent="0.25">
      <c r="A2117" s="16"/>
      <c r="B2117" s="17"/>
      <c r="C2117" s="2" t="b">
        <v>0</v>
      </c>
      <c r="D2117" s="2"/>
      <c r="E2117" s="2"/>
      <c r="F2117" s="2"/>
      <c r="G2117" s="2"/>
      <c r="H2117" s="2"/>
      <c r="I2117" s="5"/>
    </row>
    <row r="2118" spans="1:9" ht="17.399999999999999" x14ac:dyDescent="0.25">
      <c r="A2118" s="16"/>
      <c r="B2118" s="17"/>
      <c r="C2118" s="2" t="b">
        <v>0</v>
      </c>
      <c r="D2118" s="2"/>
      <c r="E2118" s="2"/>
      <c r="F2118" s="2"/>
      <c r="G2118" s="2"/>
      <c r="H2118" s="2"/>
      <c r="I2118" s="5"/>
    </row>
    <row r="2119" spans="1:9" ht="17.399999999999999" x14ac:dyDescent="0.25">
      <c r="A2119" s="16"/>
      <c r="B2119" s="17"/>
      <c r="C2119" s="2" t="b">
        <v>0</v>
      </c>
      <c r="D2119" s="2"/>
      <c r="E2119" s="2"/>
      <c r="F2119" s="2"/>
      <c r="G2119" s="2"/>
      <c r="H2119" s="2"/>
      <c r="I2119" s="5"/>
    </row>
    <row r="2120" spans="1:9" ht="17.399999999999999" x14ac:dyDescent="0.25">
      <c r="A2120" s="16"/>
      <c r="B2120" s="17"/>
      <c r="C2120" s="2" t="b">
        <v>0</v>
      </c>
      <c r="D2120" s="2"/>
      <c r="E2120" s="2"/>
      <c r="F2120" s="2"/>
      <c r="G2120" s="2"/>
      <c r="H2120" s="2"/>
      <c r="I2120" s="5"/>
    </row>
    <row r="2121" spans="1:9" ht="17.399999999999999" x14ac:dyDescent="0.25">
      <c r="A2121" s="16"/>
      <c r="B2121" s="17"/>
      <c r="C2121" s="2" t="b">
        <v>0</v>
      </c>
      <c r="D2121" s="2"/>
      <c r="E2121" s="2"/>
      <c r="F2121" s="2"/>
      <c r="G2121" s="2"/>
      <c r="H2121" s="2"/>
      <c r="I2121" s="5"/>
    </row>
    <row r="2122" spans="1:9" ht="17.399999999999999" x14ac:dyDescent="0.25">
      <c r="A2122" s="16"/>
      <c r="B2122" s="17"/>
      <c r="C2122" s="2" t="b">
        <v>0</v>
      </c>
      <c r="D2122" s="2"/>
      <c r="E2122" s="2"/>
      <c r="F2122" s="2"/>
      <c r="G2122" s="2"/>
      <c r="H2122" s="2"/>
      <c r="I2122" s="5"/>
    </row>
    <row r="2123" spans="1:9" ht="17.399999999999999" x14ac:dyDescent="0.25">
      <c r="A2123" s="16"/>
      <c r="B2123" s="17"/>
      <c r="C2123" s="2" t="b">
        <v>0</v>
      </c>
      <c r="D2123" s="2"/>
      <c r="E2123" s="2"/>
      <c r="F2123" s="2"/>
      <c r="G2123" s="2"/>
      <c r="H2123" s="2"/>
      <c r="I2123" s="5"/>
    </row>
    <row r="2124" spans="1:9" ht="17.399999999999999" x14ac:dyDescent="0.25">
      <c r="A2124" s="16"/>
      <c r="B2124" s="17"/>
      <c r="C2124" s="2" t="b">
        <v>0</v>
      </c>
      <c r="D2124" s="2"/>
      <c r="E2124" s="2"/>
      <c r="F2124" s="2"/>
      <c r="G2124" s="2"/>
      <c r="H2124" s="2"/>
      <c r="I2124" s="5"/>
    </row>
    <row r="2125" spans="1:9" ht="17.399999999999999" x14ac:dyDescent="0.25">
      <c r="A2125" s="16"/>
      <c r="B2125" s="17"/>
      <c r="C2125" s="2" t="b">
        <v>0</v>
      </c>
      <c r="D2125" s="2"/>
      <c r="E2125" s="2"/>
      <c r="F2125" s="2"/>
      <c r="G2125" s="2"/>
      <c r="H2125" s="2"/>
      <c r="I2125" s="5"/>
    </row>
    <row r="2126" spans="1:9" ht="17.399999999999999" x14ac:dyDescent="0.25">
      <c r="A2126" s="16"/>
      <c r="B2126" s="17"/>
      <c r="C2126" s="2" t="b">
        <v>0</v>
      </c>
      <c r="D2126" s="2"/>
      <c r="E2126" s="2"/>
      <c r="F2126" s="2"/>
      <c r="G2126" s="2"/>
      <c r="H2126" s="2"/>
      <c r="I2126" s="5"/>
    </row>
    <row r="2127" spans="1:9" ht="17.399999999999999" x14ac:dyDescent="0.25">
      <c r="A2127" s="16"/>
      <c r="B2127" s="17"/>
      <c r="C2127" s="2" t="b">
        <v>0</v>
      </c>
      <c r="D2127" s="2"/>
      <c r="E2127" s="2"/>
      <c r="F2127" s="2"/>
      <c r="G2127" s="2"/>
      <c r="H2127" s="2"/>
      <c r="I2127" s="5"/>
    </row>
    <row r="2128" spans="1:9" ht="17.399999999999999" x14ac:dyDescent="0.25">
      <c r="A2128" s="16"/>
      <c r="B2128" s="17"/>
      <c r="C2128" s="2" t="b">
        <v>0</v>
      </c>
      <c r="D2128" s="2"/>
      <c r="E2128" s="2"/>
      <c r="F2128" s="2"/>
      <c r="G2128" s="2"/>
      <c r="H2128" s="2"/>
      <c r="I2128" s="5"/>
    </row>
    <row r="2129" spans="1:9" ht="17.399999999999999" x14ac:dyDescent="0.25">
      <c r="A2129" s="16"/>
      <c r="B2129" s="17"/>
      <c r="C2129" s="2" t="b">
        <v>0</v>
      </c>
      <c r="D2129" s="2"/>
      <c r="E2129" s="2"/>
      <c r="F2129" s="2"/>
      <c r="G2129" s="2"/>
      <c r="H2129" s="2"/>
      <c r="I2129" s="5"/>
    </row>
    <row r="2130" spans="1:9" ht="17.399999999999999" x14ac:dyDescent="0.25">
      <c r="A2130" s="16"/>
      <c r="B2130" s="17"/>
      <c r="C2130" s="2" t="b">
        <v>0</v>
      </c>
      <c r="D2130" s="2"/>
      <c r="E2130" s="2"/>
      <c r="F2130" s="2"/>
      <c r="G2130" s="2"/>
      <c r="H2130" s="2"/>
      <c r="I2130" s="5"/>
    </row>
    <row r="2131" spans="1:9" ht="17.399999999999999" x14ac:dyDescent="0.25">
      <c r="A2131" s="16"/>
      <c r="B2131" s="17"/>
      <c r="C2131" s="2" t="b">
        <v>0</v>
      </c>
      <c r="D2131" s="2"/>
      <c r="E2131" s="2"/>
      <c r="F2131" s="2"/>
      <c r="G2131" s="2"/>
      <c r="H2131" s="2"/>
      <c r="I2131" s="5"/>
    </row>
    <row r="2132" spans="1:9" ht="17.399999999999999" x14ac:dyDescent="0.25">
      <c r="A2132" s="16"/>
      <c r="B2132" s="17"/>
      <c r="C2132" s="2" t="b">
        <v>0</v>
      </c>
      <c r="D2132" s="2"/>
      <c r="E2132" s="2"/>
      <c r="F2132" s="2"/>
      <c r="G2132" s="2"/>
      <c r="H2132" s="2"/>
      <c r="I2132" s="5"/>
    </row>
    <row r="2133" spans="1:9" ht="17.399999999999999" x14ac:dyDescent="0.25">
      <c r="A2133" s="16"/>
      <c r="B2133" s="17"/>
      <c r="C2133" s="2" t="b">
        <v>0</v>
      </c>
      <c r="D2133" s="2"/>
      <c r="E2133" s="2"/>
      <c r="F2133" s="2"/>
      <c r="G2133" s="2"/>
      <c r="H2133" s="2"/>
      <c r="I2133" s="5"/>
    </row>
    <row r="2134" spans="1:9" ht="17.399999999999999" x14ac:dyDescent="0.25">
      <c r="A2134" s="16"/>
      <c r="B2134" s="17"/>
      <c r="C2134" s="2" t="b">
        <v>0</v>
      </c>
      <c r="D2134" s="2"/>
      <c r="E2134" s="2"/>
      <c r="F2134" s="2"/>
      <c r="G2134" s="2"/>
      <c r="H2134" s="2"/>
      <c r="I2134" s="5"/>
    </row>
    <row r="2135" spans="1:9" ht="17.399999999999999" x14ac:dyDescent="0.25">
      <c r="A2135" s="16"/>
      <c r="B2135" s="17"/>
      <c r="C2135" s="2" t="b">
        <v>0</v>
      </c>
      <c r="D2135" s="2"/>
      <c r="E2135" s="2"/>
      <c r="F2135" s="2"/>
      <c r="G2135" s="2"/>
      <c r="H2135" s="2"/>
      <c r="I2135" s="5"/>
    </row>
    <row r="2136" spans="1:9" ht="17.399999999999999" x14ac:dyDescent="0.25">
      <c r="A2136" s="16"/>
      <c r="B2136" s="17"/>
      <c r="C2136" s="2" t="b">
        <v>0</v>
      </c>
      <c r="D2136" s="2"/>
      <c r="E2136" s="2"/>
      <c r="F2136" s="2"/>
      <c r="G2136" s="2"/>
      <c r="H2136" s="2"/>
      <c r="I2136" s="5"/>
    </row>
    <row r="2137" spans="1:9" ht="17.399999999999999" x14ac:dyDescent="0.25">
      <c r="A2137" s="16"/>
      <c r="B2137" s="17"/>
      <c r="C2137" s="2" t="b">
        <v>0</v>
      </c>
      <c r="D2137" s="2"/>
      <c r="E2137" s="2"/>
      <c r="F2137" s="2"/>
      <c r="G2137" s="2"/>
      <c r="H2137" s="2"/>
      <c r="I2137" s="5"/>
    </row>
    <row r="2138" spans="1:9" ht="17.399999999999999" x14ac:dyDescent="0.25">
      <c r="A2138" s="16"/>
      <c r="B2138" s="17"/>
      <c r="C2138" s="2" t="b">
        <v>0</v>
      </c>
      <c r="D2138" s="2"/>
      <c r="E2138" s="2"/>
      <c r="F2138" s="2"/>
      <c r="G2138" s="2"/>
      <c r="H2138" s="2"/>
      <c r="I2138" s="5"/>
    </row>
    <row r="2139" spans="1:9" ht="17.399999999999999" x14ac:dyDescent="0.25">
      <c r="A2139" s="16"/>
      <c r="B2139" s="17"/>
      <c r="C2139" s="2" t="b">
        <v>0</v>
      </c>
      <c r="D2139" s="2"/>
      <c r="E2139" s="2"/>
      <c r="F2139" s="2"/>
      <c r="G2139" s="2"/>
      <c r="H2139" s="2"/>
      <c r="I2139" s="5"/>
    </row>
    <row r="2140" spans="1:9" ht="17.399999999999999" x14ac:dyDescent="0.25">
      <c r="A2140" s="16"/>
      <c r="B2140" s="17"/>
      <c r="C2140" s="2" t="b">
        <v>0</v>
      </c>
      <c r="D2140" s="2"/>
      <c r="E2140" s="2"/>
      <c r="F2140" s="2"/>
      <c r="G2140" s="2"/>
      <c r="H2140" s="2"/>
      <c r="I2140" s="5"/>
    </row>
    <row r="2141" spans="1:9" ht="17.399999999999999" x14ac:dyDescent="0.25">
      <c r="A2141" s="16"/>
      <c r="B2141" s="17"/>
      <c r="C2141" s="2" t="b">
        <v>0</v>
      </c>
      <c r="D2141" s="2"/>
      <c r="E2141" s="2"/>
      <c r="F2141" s="2"/>
      <c r="G2141" s="2"/>
      <c r="H2141" s="2"/>
      <c r="I2141" s="5"/>
    </row>
    <row r="2142" spans="1:9" ht="17.399999999999999" x14ac:dyDescent="0.25">
      <c r="A2142" s="16"/>
      <c r="B2142" s="17"/>
      <c r="C2142" s="2" t="b">
        <v>0</v>
      </c>
      <c r="D2142" s="2"/>
      <c r="E2142" s="2"/>
      <c r="F2142" s="2"/>
      <c r="G2142" s="2"/>
      <c r="H2142" s="2"/>
      <c r="I2142" s="5"/>
    </row>
    <row r="2143" spans="1:9" ht="17.399999999999999" x14ac:dyDescent="0.25">
      <c r="A2143" s="16"/>
      <c r="B2143" s="17"/>
      <c r="C2143" s="2" t="b">
        <v>0</v>
      </c>
      <c r="D2143" s="2"/>
      <c r="E2143" s="2"/>
      <c r="F2143" s="2"/>
      <c r="G2143" s="2"/>
      <c r="H2143" s="2"/>
      <c r="I2143" s="5"/>
    </row>
    <row r="2144" spans="1:9" ht="17.399999999999999" x14ac:dyDescent="0.25">
      <c r="A2144" s="16"/>
      <c r="B2144" s="17"/>
      <c r="C2144" s="2" t="b">
        <v>0</v>
      </c>
      <c r="D2144" s="2"/>
      <c r="E2144" s="2"/>
      <c r="F2144" s="2"/>
      <c r="G2144" s="2"/>
      <c r="H2144" s="2"/>
      <c r="I2144" s="5"/>
    </row>
    <row r="2145" spans="1:9" ht="17.399999999999999" x14ac:dyDescent="0.25">
      <c r="A2145" s="16"/>
      <c r="B2145" s="17"/>
      <c r="C2145" s="2" t="b">
        <v>0</v>
      </c>
      <c r="D2145" s="2"/>
      <c r="E2145" s="2"/>
      <c r="F2145" s="2"/>
      <c r="G2145" s="2"/>
      <c r="H2145" s="2"/>
      <c r="I2145" s="5"/>
    </row>
    <row r="2146" spans="1:9" ht="17.399999999999999" x14ac:dyDescent="0.25">
      <c r="A2146" s="16"/>
      <c r="B2146" s="17"/>
      <c r="C2146" s="2" t="b">
        <v>0</v>
      </c>
      <c r="D2146" s="2"/>
      <c r="E2146" s="2"/>
      <c r="F2146" s="2"/>
      <c r="G2146" s="2"/>
      <c r="H2146" s="2"/>
      <c r="I2146" s="5"/>
    </row>
    <row r="2147" spans="1:9" ht="17.399999999999999" x14ac:dyDescent="0.25">
      <c r="A2147" s="16"/>
      <c r="B2147" s="17"/>
      <c r="C2147" s="2" t="b">
        <v>0</v>
      </c>
      <c r="D2147" s="2"/>
      <c r="E2147" s="2"/>
      <c r="F2147" s="2"/>
      <c r="G2147" s="2"/>
      <c r="H2147" s="2"/>
      <c r="I2147" s="5"/>
    </row>
    <row r="2148" spans="1:9" ht="17.399999999999999" x14ac:dyDescent="0.25">
      <c r="A2148" s="16"/>
      <c r="B2148" s="17"/>
      <c r="C2148" s="2" t="b">
        <v>0</v>
      </c>
      <c r="D2148" s="2"/>
      <c r="E2148" s="2"/>
      <c r="F2148" s="2"/>
      <c r="G2148" s="2"/>
      <c r="H2148" s="2"/>
      <c r="I2148" s="5"/>
    </row>
    <row r="2149" spans="1:9" ht="17.399999999999999" x14ac:dyDescent="0.25">
      <c r="A2149" s="16"/>
      <c r="B2149" s="17"/>
      <c r="C2149" s="2" t="b">
        <v>0</v>
      </c>
      <c r="D2149" s="2"/>
      <c r="E2149" s="2"/>
      <c r="F2149" s="2"/>
      <c r="G2149" s="2"/>
      <c r="H2149" s="2"/>
      <c r="I2149" s="5"/>
    </row>
    <row r="2150" spans="1:9" ht="17.399999999999999" x14ac:dyDescent="0.25">
      <c r="A2150" s="16"/>
      <c r="B2150" s="17"/>
      <c r="C2150" s="2" t="b">
        <v>0</v>
      </c>
      <c r="D2150" s="2"/>
      <c r="E2150" s="2"/>
      <c r="F2150" s="2"/>
      <c r="G2150" s="2"/>
      <c r="H2150" s="2"/>
      <c r="I2150" s="5"/>
    </row>
    <row r="2151" spans="1:9" ht="17.399999999999999" x14ac:dyDescent="0.25">
      <c r="A2151" s="16"/>
      <c r="B2151" s="17"/>
      <c r="C2151" s="2" t="b">
        <v>0</v>
      </c>
      <c r="D2151" s="2"/>
      <c r="E2151" s="2"/>
      <c r="F2151" s="2"/>
      <c r="G2151" s="2"/>
      <c r="H2151" s="2"/>
      <c r="I2151" s="5"/>
    </row>
    <row r="2152" spans="1:9" ht="17.399999999999999" x14ac:dyDescent="0.25">
      <c r="A2152" s="16"/>
      <c r="B2152" s="17"/>
      <c r="C2152" s="2" t="b">
        <v>0</v>
      </c>
      <c r="D2152" s="2"/>
      <c r="E2152" s="2"/>
      <c r="F2152" s="2"/>
      <c r="G2152" s="2"/>
      <c r="H2152" s="2"/>
      <c r="I2152" s="5"/>
    </row>
    <row r="2153" spans="1:9" ht="17.399999999999999" x14ac:dyDescent="0.25">
      <c r="A2153" s="16"/>
      <c r="B2153" s="17"/>
      <c r="C2153" s="2" t="b">
        <v>0</v>
      </c>
      <c r="D2153" s="2"/>
      <c r="E2153" s="2"/>
      <c r="F2153" s="2"/>
      <c r="G2153" s="2"/>
      <c r="H2153" s="2"/>
      <c r="I2153" s="5"/>
    </row>
    <row r="2154" spans="1:9" ht="17.399999999999999" x14ac:dyDescent="0.25">
      <c r="A2154" s="16"/>
      <c r="B2154" s="17"/>
      <c r="C2154" s="2" t="b">
        <v>0</v>
      </c>
      <c r="D2154" s="2"/>
      <c r="E2154" s="2"/>
      <c r="F2154" s="2"/>
      <c r="G2154" s="2"/>
      <c r="H2154" s="2"/>
      <c r="I2154" s="5"/>
    </row>
    <row r="2155" spans="1:9" ht="17.399999999999999" x14ac:dyDescent="0.25">
      <c r="A2155" s="16"/>
      <c r="B2155" s="17"/>
      <c r="C2155" s="2" t="b">
        <v>0</v>
      </c>
      <c r="D2155" s="2"/>
      <c r="E2155" s="2"/>
      <c r="F2155" s="2"/>
      <c r="G2155" s="2"/>
      <c r="H2155" s="2"/>
      <c r="I2155" s="5"/>
    </row>
    <row r="2156" spans="1:9" ht="17.399999999999999" x14ac:dyDescent="0.25">
      <c r="A2156" s="16"/>
      <c r="B2156" s="17"/>
      <c r="C2156" s="2" t="b">
        <v>0</v>
      </c>
      <c r="D2156" s="2"/>
      <c r="E2156" s="2"/>
      <c r="F2156" s="2"/>
      <c r="G2156" s="2"/>
      <c r="H2156" s="2"/>
      <c r="I2156" s="5"/>
    </row>
    <row r="2157" spans="1:9" ht="17.399999999999999" x14ac:dyDescent="0.25">
      <c r="A2157" s="16"/>
      <c r="B2157" s="17"/>
      <c r="C2157" s="2" t="b">
        <v>0</v>
      </c>
      <c r="D2157" s="2"/>
      <c r="E2157" s="2"/>
      <c r="F2157" s="2"/>
      <c r="G2157" s="2"/>
      <c r="H2157" s="2"/>
      <c r="I2157" s="5"/>
    </row>
    <row r="2158" spans="1:9" ht="17.399999999999999" x14ac:dyDescent="0.25">
      <c r="A2158" s="16"/>
      <c r="B2158" s="17"/>
      <c r="C2158" s="2" t="b">
        <v>0</v>
      </c>
      <c r="D2158" s="2"/>
      <c r="E2158" s="2"/>
      <c r="F2158" s="2"/>
      <c r="G2158" s="2"/>
      <c r="H2158" s="2"/>
      <c r="I2158" s="5"/>
    </row>
    <row r="2159" spans="1:9" ht="17.399999999999999" x14ac:dyDescent="0.25">
      <c r="A2159" s="16"/>
      <c r="B2159" s="17"/>
      <c r="C2159" s="2" t="b">
        <v>0</v>
      </c>
      <c r="D2159" s="2"/>
      <c r="E2159" s="2"/>
      <c r="F2159" s="2"/>
      <c r="G2159" s="2"/>
      <c r="H2159" s="2"/>
      <c r="I2159" s="5"/>
    </row>
    <row r="2160" spans="1:9" ht="17.399999999999999" x14ac:dyDescent="0.25">
      <c r="A2160" s="16"/>
      <c r="B2160" s="17"/>
      <c r="C2160" s="2" t="b">
        <v>0</v>
      </c>
      <c r="D2160" s="2"/>
      <c r="E2160" s="2"/>
      <c r="F2160" s="2"/>
      <c r="G2160" s="2"/>
      <c r="H2160" s="2"/>
      <c r="I2160" s="5"/>
    </row>
    <row r="2161" spans="1:9" ht="17.399999999999999" x14ac:dyDescent="0.25">
      <c r="A2161" s="16"/>
      <c r="B2161" s="17"/>
      <c r="C2161" s="2" t="b">
        <v>0</v>
      </c>
      <c r="D2161" s="2"/>
      <c r="E2161" s="2"/>
      <c r="F2161" s="2"/>
      <c r="G2161" s="2"/>
      <c r="H2161" s="2"/>
      <c r="I2161" s="5"/>
    </row>
    <row r="2162" spans="1:9" ht="17.399999999999999" x14ac:dyDescent="0.25">
      <c r="A2162" s="16"/>
      <c r="B2162" s="17"/>
      <c r="C2162" s="2" t="b">
        <v>0</v>
      </c>
      <c r="D2162" s="2"/>
      <c r="E2162" s="2"/>
      <c r="F2162" s="2"/>
      <c r="G2162" s="2"/>
      <c r="H2162" s="2"/>
      <c r="I2162" s="5"/>
    </row>
    <row r="2163" spans="1:9" ht="17.399999999999999" x14ac:dyDescent="0.25">
      <c r="A2163" s="16"/>
      <c r="B2163" s="17"/>
      <c r="C2163" s="2" t="b">
        <v>0</v>
      </c>
      <c r="D2163" s="2"/>
      <c r="E2163" s="2"/>
      <c r="F2163" s="2"/>
      <c r="G2163" s="2"/>
      <c r="H2163" s="2"/>
      <c r="I2163" s="5"/>
    </row>
    <row r="2164" spans="1:9" ht="17.399999999999999" x14ac:dyDescent="0.25">
      <c r="A2164" s="16"/>
      <c r="B2164" s="17"/>
      <c r="C2164" s="2" t="b">
        <v>0</v>
      </c>
      <c r="D2164" s="2"/>
      <c r="E2164" s="2"/>
      <c r="F2164" s="2"/>
      <c r="G2164" s="2"/>
      <c r="H2164" s="2"/>
      <c r="I2164" s="5"/>
    </row>
    <row r="2165" spans="1:9" ht="17.399999999999999" x14ac:dyDescent="0.25">
      <c r="A2165" s="16"/>
      <c r="B2165" s="17"/>
      <c r="C2165" s="2" t="b">
        <v>0</v>
      </c>
      <c r="D2165" s="2"/>
      <c r="E2165" s="2"/>
      <c r="F2165" s="2"/>
      <c r="G2165" s="2"/>
      <c r="H2165" s="2"/>
      <c r="I2165" s="5"/>
    </row>
    <row r="2166" spans="1:9" ht="17.399999999999999" x14ac:dyDescent="0.25">
      <c r="A2166" s="16"/>
      <c r="B2166" s="17"/>
      <c r="C2166" s="2" t="b">
        <v>0</v>
      </c>
      <c r="D2166" s="2"/>
      <c r="E2166" s="2"/>
      <c r="F2166" s="2"/>
      <c r="G2166" s="2"/>
      <c r="H2166" s="2"/>
      <c r="I2166" s="5"/>
    </row>
    <row r="2167" spans="1:9" ht="17.399999999999999" x14ac:dyDescent="0.25">
      <c r="A2167" s="16"/>
      <c r="B2167" s="17"/>
      <c r="C2167" s="2" t="b">
        <v>0</v>
      </c>
      <c r="D2167" s="2"/>
      <c r="E2167" s="2"/>
      <c r="F2167" s="2"/>
      <c r="G2167" s="2"/>
      <c r="H2167" s="2"/>
      <c r="I2167" s="5"/>
    </row>
    <row r="2168" spans="1:9" ht="17.399999999999999" x14ac:dyDescent="0.25">
      <c r="A2168" s="16"/>
      <c r="B2168" s="17"/>
      <c r="C2168" s="2" t="b">
        <v>0</v>
      </c>
      <c r="D2168" s="2"/>
      <c r="E2168" s="2"/>
      <c r="F2168" s="2"/>
      <c r="G2168" s="2"/>
      <c r="H2168" s="2"/>
      <c r="I2168" s="5"/>
    </row>
    <row r="2169" spans="1:9" ht="17.399999999999999" x14ac:dyDescent="0.25">
      <c r="A2169" s="16"/>
      <c r="B2169" s="17"/>
      <c r="C2169" s="2" t="b">
        <v>0</v>
      </c>
      <c r="D2169" s="2"/>
      <c r="E2169" s="2"/>
      <c r="F2169" s="2"/>
      <c r="G2169" s="2"/>
      <c r="H2169" s="2"/>
      <c r="I2169" s="5"/>
    </row>
    <row r="2170" spans="1:9" ht="17.399999999999999" x14ac:dyDescent="0.25">
      <c r="A2170" s="16"/>
      <c r="B2170" s="17"/>
      <c r="C2170" s="2" t="b">
        <v>0</v>
      </c>
      <c r="D2170" s="2"/>
      <c r="E2170" s="2"/>
      <c r="F2170" s="2"/>
      <c r="G2170" s="2"/>
      <c r="H2170" s="2"/>
      <c r="I2170" s="5"/>
    </row>
    <row r="2171" spans="1:9" ht="17.399999999999999" x14ac:dyDescent="0.25">
      <c r="A2171" s="16"/>
      <c r="B2171" s="17"/>
      <c r="C2171" s="2" t="b">
        <v>0</v>
      </c>
      <c r="D2171" s="2"/>
      <c r="E2171" s="2"/>
      <c r="F2171" s="2"/>
      <c r="G2171" s="2"/>
      <c r="H2171" s="2"/>
      <c r="I2171" s="5"/>
    </row>
    <row r="2172" spans="1:9" ht="17.399999999999999" x14ac:dyDescent="0.25">
      <c r="A2172" s="16"/>
      <c r="B2172" s="17"/>
      <c r="C2172" s="2" t="b">
        <v>0</v>
      </c>
      <c r="D2172" s="2"/>
      <c r="E2172" s="2"/>
      <c r="F2172" s="2"/>
      <c r="G2172" s="2"/>
      <c r="H2172" s="2"/>
      <c r="I2172" s="5"/>
    </row>
    <row r="2173" spans="1:9" ht="17.399999999999999" x14ac:dyDescent="0.25">
      <c r="A2173" s="16"/>
      <c r="B2173" s="17"/>
      <c r="C2173" s="2" t="b">
        <v>0</v>
      </c>
      <c r="D2173" s="2"/>
      <c r="E2173" s="2"/>
      <c r="F2173" s="2"/>
      <c r="G2173" s="2"/>
      <c r="H2173" s="2"/>
      <c r="I2173" s="5"/>
    </row>
    <row r="2174" spans="1:9" ht="17.399999999999999" x14ac:dyDescent="0.25">
      <c r="A2174" s="16"/>
      <c r="B2174" s="17"/>
      <c r="C2174" s="2" t="b">
        <v>0</v>
      </c>
      <c r="D2174" s="2"/>
      <c r="E2174" s="2"/>
      <c r="F2174" s="2"/>
      <c r="G2174" s="2"/>
      <c r="H2174" s="2"/>
      <c r="I2174" s="5"/>
    </row>
    <row r="2175" spans="1:9" ht="17.399999999999999" x14ac:dyDescent="0.25">
      <c r="A2175" s="16"/>
      <c r="B2175" s="17"/>
      <c r="C2175" s="2" t="b">
        <v>0</v>
      </c>
      <c r="D2175" s="2"/>
      <c r="E2175" s="2"/>
      <c r="F2175" s="2"/>
      <c r="G2175" s="2"/>
      <c r="H2175" s="2"/>
      <c r="I2175" s="5"/>
    </row>
    <row r="2176" spans="1:9" ht="17.399999999999999" x14ac:dyDescent="0.25">
      <c r="A2176" s="16"/>
      <c r="B2176" s="17"/>
      <c r="C2176" s="2" t="b">
        <v>0</v>
      </c>
      <c r="D2176" s="2"/>
      <c r="E2176" s="2"/>
      <c r="F2176" s="2"/>
      <c r="G2176" s="2"/>
      <c r="H2176" s="2"/>
      <c r="I2176" s="5"/>
    </row>
    <row r="2177" spans="1:9" ht="17.399999999999999" x14ac:dyDescent="0.25">
      <c r="A2177" s="16"/>
      <c r="B2177" s="17"/>
      <c r="C2177" s="2" t="b">
        <v>0</v>
      </c>
      <c r="D2177" s="2"/>
      <c r="E2177" s="2"/>
      <c r="F2177" s="2"/>
      <c r="G2177" s="2"/>
      <c r="H2177" s="2"/>
      <c r="I2177" s="5"/>
    </row>
    <row r="2178" spans="1:9" ht="17.399999999999999" x14ac:dyDescent="0.25">
      <c r="A2178" s="16"/>
      <c r="B2178" s="17"/>
      <c r="C2178" s="2" t="b">
        <v>0</v>
      </c>
      <c r="D2178" s="2"/>
      <c r="E2178" s="2"/>
      <c r="F2178" s="2"/>
      <c r="G2178" s="2"/>
      <c r="H2178" s="2"/>
      <c r="I2178" s="5"/>
    </row>
    <row r="2179" spans="1:9" ht="17.399999999999999" x14ac:dyDescent="0.25">
      <c r="A2179" s="16"/>
      <c r="B2179" s="17"/>
      <c r="C2179" s="2" t="b">
        <v>0</v>
      </c>
      <c r="D2179" s="2"/>
      <c r="E2179" s="2"/>
      <c r="F2179" s="2"/>
      <c r="G2179" s="2"/>
      <c r="H2179" s="2"/>
      <c r="I2179" s="5"/>
    </row>
    <row r="2180" spans="1:9" ht="17.399999999999999" x14ac:dyDescent="0.25">
      <c r="A2180" s="16"/>
      <c r="B2180" s="17"/>
      <c r="C2180" s="2" t="b">
        <v>0</v>
      </c>
      <c r="D2180" s="2"/>
      <c r="E2180" s="2"/>
      <c r="F2180" s="2"/>
      <c r="G2180" s="2"/>
      <c r="H2180" s="2"/>
      <c r="I2180" s="5"/>
    </row>
    <row r="2181" spans="1:9" ht="17.399999999999999" x14ac:dyDescent="0.25">
      <c r="A2181" s="16"/>
      <c r="B2181" s="17"/>
      <c r="C2181" s="2" t="b">
        <v>0</v>
      </c>
      <c r="D2181" s="2"/>
      <c r="E2181" s="2"/>
      <c r="F2181" s="2"/>
      <c r="G2181" s="2"/>
      <c r="H2181" s="2"/>
      <c r="I2181" s="5"/>
    </row>
    <row r="2182" spans="1:9" ht="17.399999999999999" x14ac:dyDescent="0.25">
      <c r="A2182" s="16"/>
      <c r="B2182" s="17"/>
      <c r="C2182" s="2" t="b">
        <v>0</v>
      </c>
      <c r="D2182" s="2"/>
      <c r="E2182" s="2"/>
      <c r="F2182" s="2"/>
      <c r="G2182" s="2"/>
      <c r="H2182" s="2"/>
      <c r="I2182" s="5"/>
    </row>
    <row r="2183" spans="1:9" ht="17.399999999999999" x14ac:dyDescent="0.25">
      <c r="A2183" s="16"/>
      <c r="B2183" s="17"/>
      <c r="C2183" s="2" t="b">
        <v>0</v>
      </c>
      <c r="D2183" s="2"/>
      <c r="E2183" s="2"/>
      <c r="F2183" s="2"/>
      <c r="G2183" s="2"/>
      <c r="H2183" s="2"/>
      <c r="I2183" s="5"/>
    </row>
    <row r="2184" spans="1:9" ht="17.399999999999999" x14ac:dyDescent="0.25">
      <c r="A2184" s="16"/>
      <c r="B2184" s="17"/>
      <c r="C2184" s="2" t="b">
        <v>0</v>
      </c>
      <c r="D2184" s="2"/>
      <c r="E2184" s="2"/>
      <c r="F2184" s="2"/>
      <c r="G2184" s="2"/>
      <c r="H2184" s="2"/>
      <c r="I2184" s="5"/>
    </row>
    <row r="2185" spans="1:9" ht="17.399999999999999" x14ac:dyDescent="0.25">
      <c r="A2185" s="16"/>
      <c r="B2185" s="17"/>
      <c r="C2185" s="2" t="b">
        <v>0</v>
      </c>
      <c r="D2185" s="2"/>
      <c r="E2185" s="2"/>
      <c r="F2185" s="2"/>
      <c r="G2185" s="2"/>
      <c r="H2185" s="2"/>
      <c r="I2185" s="5"/>
    </row>
    <row r="2186" spans="1:9" ht="17.399999999999999" x14ac:dyDescent="0.25">
      <c r="A2186" s="16"/>
      <c r="B2186" s="17"/>
      <c r="C2186" s="2" t="b">
        <v>0</v>
      </c>
      <c r="D2186" s="2"/>
      <c r="E2186" s="2"/>
      <c r="F2186" s="2"/>
      <c r="G2186" s="2"/>
      <c r="H2186" s="2"/>
      <c r="I2186" s="5"/>
    </row>
    <row r="2187" spans="1:9" ht="17.399999999999999" x14ac:dyDescent="0.25">
      <c r="A2187" s="16"/>
      <c r="B2187" s="17"/>
      <c r="C2187" s="2" t="b">
        <v>0</v>
      </c>
      <c r="D2187" s="2"/>
      <c r="E2187" s="2"/>
      <c r="F2187" s="2"/>
      <c r="G2187" s="2"/>
      <c r="H2187" s="2"/>
      <c r="I2187" s="5"/>
    </row>
    <row r="2188" spans="1:9" ht="17.399999999999999" x14ac:dyDescent="0.25">
      <c r="A2188" s="16"/>
      <c r="B2188" s="17"/>
      <c r="C2188" s="2" t="b">
        <v>0</v>
      </c>
      <c r="D2188" s="2"/>
      <c r="E2188" s="2"/>
      <c r="F2188" s="2"/>
      <c r="G2188" s="2"/>
      <c r="H2188" s="2"/>
      <c r="I2188" s="5"/>
    </row>
    <row r="2189" spans="1:9" ht="17.399999999999999" x14ac:dyDescent="0.25">
      <c r="A2189" s="16"/>
      <c r="B2189" s="17"/>
      <c r="C2189" s="2" t="b">
        <v>0</v>
      </c>
      <c r="D2189" s="2"/>
      <c r="E2189" s="2"/>
      <c r="F2189" s="2"/>
      <c r="G2189" s="2"/>
      <c r="H2189" s="2"/>
      <c r="I2189" s="5"/>
    </row>
    <row r="2190" spans="1:9" ht="17.399999999999999" x14ac:dyDescent="0.25">
      <c r="A2190" s="16"/>
      <c r="B2190" s="17"/>
      <c r="C2190" s="2" t="b">
        <v>0</v>
      </c>
      <c r="D2190" s="2"/>
      <c r="E2190" s="2"/>
      <c r="F2190" s="2"/>
      <c r="G2190" s="2"/>
      <c r="H2190" s="2"/>
      <c r="I2190" s="5"/>
    </row>
    <row r="2191" spans="1:9" ht="17.399999999999999" x14ac:dyDescent="0.25">
      <c r="A2191" s="16"/>
      <c r="B2191" s="17"/>
      <c r="C2191" s="2" t="b">
        <v>0</v>
      </c>
      <c r="D2191" s="2"/>
      <c r="E2191" s="2"/>
      <c r="F2191" s="2"/>
      <c r="G2191" s="2"/>
      <c r="H2191" s="2"/>
      <c r="I2191" s="5"/>
    </row>
    <row r="2192" spans="1:9" ht="17.399999999999999" x14ac:dyDescent="0.25">
      <c r="A2192" s="16"/>
      <c r="B2192" s="17"/>
      <c r="C2192" s="2" t="b">
        <v>0</v>
      </c>
      <c r="D2192" s="2"/>
      <c r="E2192" s="2"/>
      <c r="F2192" s="2"/>
      <c r="G2192" s="2"/>
      <c r="H2192" s="2"/>
      <c r="I2192" s="5"/>
    </row>
    <row r="2193" spans="1:9" ht="17.399999999999999" x14ac:dyDescent="0.25">
      <c r="A2193" s="16"/>
      <c r="B2193" s="17"/>
      <c r="C2193" s="2" t="b">
        <v>0</v>
      </c>
      <c r="D2193" s="2"/>
      <c r="E2193" s="2"/>
      <c r="F2193" s="2"/>
      <c r="G2193" s="2"/>
      <c r="H2193" s="2"/>
      <c r="I2193" s="5"/>
    </row>
    <row r="2194" spans="1:9" ht="17.399999999999999" x14ac:dyDescent="0.25">
      <c r="A2194" s="16"/>
      <c r="B2194" s="17"/>
      <c r="C2194" s="2" t="b">
        <v>0</v>
      </c>
      <c r="D2194" s="2"/>
      <c r="E2194" s="2"/>
      <c r="F2194" s="2"/>
      <c r="G2194" s="2"/>
      <c r="H2194" s="2"/>
      <c r="I2194" s="5"/>
    </row>
    <row r="2195" spans="1:9" ht="17.399999999999999" x14ac:dyDescent="0.25">
      <c r="A2195" s="16"/>
      <c r="B2195" s="17"/>
      <c r="C2195" s="2" t="b">
        <v>0</v>
      </c>
      <c r="D2195" s="2"/>
      <c r="E2195" s="2"/>
      <c r="F2195" s="2"/>
      <c r="G2195" s="2"/>
      <c r="H2195" s="2"/>
      <c r="I2195" s="5"/>
    </row>
    <row r="2196" spans="1:9" ht="17.399999999999999" x14ac:dyDescent="0.25">
      <c r="A2196" s="16"/>
      <c r="B2196" s="17"/>
      <c r="C2196" s="2" t="b">
        <v>0</v>
      </c>
      <c r="D2196" s="2"/>
      <c r="E2196" s="2"/>
      <c r="F2196" s="2"/>
      <c r="G2196" s="2"/>
      <c r="H2196" s="2"/>
      <c r="I2196" s="5"/>
    </row>
    <row r="2197" spans="1:9" ht="17.399999999999999" x14ac:dyDescent="0.25">
      <c r="A2197" s="16"/>
      <c r="B2197" s="17"/>
      <c r="C2197" s="2" t="b">
        <v>0</v>
      </c>
      <c r="D2197" s="2"/>
      <c r="E2197" s="2"/>
      <c r="F2197" s="2"/>
      <c r="G2197" s="2"/>
      <c r="H2197" s="2"/>
      <c r="I2197" s="5"/>
    </row>
    <row r="2198" spans="1:9" ht="17.399999999999999" x14ac:dyDescent="0.25">
      <c r="A2198" s="16"/>
      <c r="B2198" s="17"/>
      <c r="C2198" s="2" t="b">
        <v>0</v>
      </c>
      <c r="D2198" s="2"/>
      <c r="E2198" s="2"/>
      <c r="F2198" s="2"/>
      <c r="G2198" s="2"/>
      <c r="H2198" s="2"/>
      <c r="I2198" s="5"/>
    </row>
    <row r="2199" spans="1:9" ht="17.399999999999999" x14ac:dyDescent="0.25">
      <c r="A2199" s="16"/>
      <c r="B2199" s="17"/>
      <c r="C2199" s="2" t="b">
        <v>0</v>
      </c>
      <c r="D2199" s="2"/>
      <c r="E2199" s="2"/>
      <c r="F2199" s="2"/>
      <c r="G2199" s="2"/>
      <c r="H2199" s="2"/>
      <c r="I2199" s="5"/>
    </row>
    <row r="2200" spans="1:9" ht="17.399999999999999" x14ac:dyDescent="0.25">
      <c r="A2200" s="16"/>
      <c r="B2200" s="17"/>
      <c r="C2200" s="2" t="b">
        <v>0</v>
      </c>
      <c r="D2200" s="2"/>
      <c r="E2200" s="2"/>
      <c r="F2200" s="2"/>
      <c r="G2200" s="2"/>
      <c r="H2200" s="2"/>
      <c r="I2200" s="5"/>
    </row>
    <row r="2201" spans="1:9" ht="17.399999999999999" x14ac:dyDescent="0.25">
      <c r="A2201" s="16"/>
      <c r="B2201" s="17"/>
      <c r="C2201" s="2" t="b">
        <v>0</v>
      </c>
      <c r="D2201" s="2"/>
      <c r="E2201" s="2"/>
      <c r="F2201" s="2"/>
      <c r="G2201" s="2"/>
      <c r="H2201" s="2"/>
      <c r="I2201" s="5"/>
    </row>
    <row r="2202" spans="1:9" ht="17.399999999999999" x14ac:dyDescent="0.25">
      <c r="A2202" s="16"/>
      <c r="B2202" s="17"/>
      <c r="C2202" s="2" t="b">
        <v>0</v>
      </c>
      <c r="D2202" s="2"/>
      <c r="E2202" s="2"/>
      <c r="F2202" s="2"/>
      <c r="G2202" s="2"/>
      <c r="H2202" s="2"/>
      <c r="I2202" s="5"/>
    </row>
    <row r="2203" spans="1:9" ht="17.399999999999999" x14ac:dyDescent="0.25">
      <c r="A2203" s="16"/>
      <c r="B2203" s="17"/>
      <c r="C2203" s="2" t="b">
        <v>0</v>
      </c>
      <c r="D2203" s="2"/>
      <c r="E2203" s="2"/>
      <c r="F2203" s="2"/>
      <c r="G2203" s="2"/>
      <c r="H2203" s="2"/>
      <c r="I2203" s="5"/>
    </row>
    <row r="2204" spans="1:9" ht="17.399999999999999" x14ac:dyDescent="0.25">
      <c r="A2204" s="16"/>
      <c r="B2204" s="17"/>
      <c r="C2204" s="2" t="b">
        <v>0</v>
      </c>
      <c r="D2204" s="2"/>
      <c r="E2204" s="2"/>
      <c r="F2204" s="2"/>
      <c r="G2204" s="2"/>
      <c r="H2204" s="2"/>
      <c r="I2204" s="5"/>
    </row>
    <row r="2205" spans="1:9" ht="17.399999999999999" x14ac:dyDescent="0.25">
      <c r="A2205" s="16"/>
      <c r="B2205" s="17"/>
      <c r="C2205" s="2" t="b">
        <v>0</v>
      </c>
      <c r="D2205" s="2"/>
      <c r="E2205" s="2"/>
      <c r="F2205" s="2"/>
      <c r="G2205" s="2"/>
      <c r="H2205" s="2"/>
      <c r="I2205" s="5"/>
    </row>
    <row r="2206" spans="1:9" ht="17.399999999999999" x14ac:dyDescent="0.25">
      <c r="A2206" s="16"/>
      <c r="B2206" s="17"/>
      <c r="C2206" s="2" t="b">
        <v>0</v>
      </c>
      <c r="D2206" s="2"/>
      <c r="E2206" s="2"/>
      <c r="F2206" s="2"/>
      <c r="G2206" s="2"/>
      <c r="H2206" s="2"/>
      <c r="I2206" s="5"/>
    </row>
    <row r="2207" spans="1:9" ht="17.399999999999999" x14ac:dyDescent="0.25">
      <c r="A2207" s="16"/>
      <c r="B2207" s="17"/>
      <c r="C2207" s="2" t="b">
        <v>0</v>
      </c>
      <c r="D2207" s="2"/>
      <c r="E2207" s="2"/>
      <c r="F2207" s="2"/>
      <c r="G2207" s="2"/>
      <c r="H2207" s="2"/>
      <c r="I2207" s="5"/>
    </row>
    <row r="2208" spans="1:9" ht="17.399999999999999" x14ac:dyDescent="0.25">
      <c r="A2208" s="16"/>
      <c r="B2208" s="17"/>
      <c r="C2208" s="2" t="b">
        <v>0</v>
      </c>
      <c r="D2208" s="2"/>
      <c r="E2208" s="2"/>
      <c r="F2208" s="2"/>
      <c r="G2208" s="2"/>
      <c r="H2208" s="2"/>
      <c r="I2208" s="5"/>
    </row>
    <row r="2209" spans="1:9" ht="17.399999999999999" x14ac:dyDescent="0.25">
      <c r="A2209" s="16"/>
      <c r="B2209" s="17"/>
      <c r="C2209" s="2" t="b">
        <v>0</v>
      </c>
      <c r="D2209" s="2"/>
      <c r="E2209" s="2"/>
      <c r="F2209" s="2"/>
      <c r="G2209" s="2"/>
      <c r="H2209" s="2"/>
      <c r="I2209" s="5"/>
    </row>
    <row r="2210" spans="1:9" ht="17.399999999999999" x14ac:dyDescent="0.25">
      <c r="A2210" s="16"/>
      <c r="B2210" s="17"/>
      <c r="C2210" s="2" t="b">
        <v>0</v>
      </c>
      <c r="D2210" s="2"/>
      <c r="E2210" s="2"/>
      <c r="F2210" s="2"/>
      <c r="G2210" s="2"/>
      <c r="H2210" s="2"/>
      <c r="I2210" s="5"/>
    </row>
    <row r="2211" spans="1:9" ht="17.399999999999999" x14ac:dyDescent="0.25">
      <c r="A2211" s="16"/>
      <c r="B2211" s="17"/>
      <c r="C2211" s="2" t="b">
        <v>0</v>
      </c>
      <c r="D2211" s="2"/>
      <c r="E2211" s="2"/>
      <c r="F2211" s="2"/>
      <c r="G2211" s="2"/>
      <c r="H2211" s="2"/>
      <c r="I2211" s="5"/>
    </row>
    <row r="2212" spans="1:9" ht="17.399999999999999" x14ac:dyDescent="0.25">
      <c r="A2212" s="16"/>
      <c r="B2212" s="17"/>
      <c r="C2212" s="2" t="b">
        <v>0</v>
      </c>
      <c r="D2212" s="2"/>
      <c r="E2212" s="2"/>
      <c r="F2212" s="2"/>
      <c r="G2212" s="2"/>
      <c r="H2212" s="2"/>
      <c r="I2212" s="5"/>
    </row>
    <row r="2213" spans="1:9" ht="17.399999999999999" x14ac:dyDescent="0.25">
      <c r="A2213" s="16"/>
      <c r="B2213" s="17"/>
      <c r="C2213" s="2" t="b">
        <v>0</v>
      </c>
      <c r="D2213" s="2"/>
      <c r="E2213" s="2"/>
      <c r="F2213" s="2"/>
      <c r="G2213" s="2"/>
      <c r="H2213" s="2"/>
      <c r="I2213" s="5"/>
    </row>
    <row r="2214" spans="1:9" ht="17.399999999999999" x14ac:dyDescent="0.25">
      <c r="A2214" s="16"/>
      <c r="B2214" s="17"/>
      <c r="C2214" s="2" t="b">
        <v>0</v>
      </c>
      <c r="D2214" s="2"/>
      <c r="E2214" s="2"/>
      <c r="F2214" s="2"/>
      <c r="G2214" s="2"/>
      <c r="H2214" s="2"/>
      <c r="I2214" s="5"/>
    </row>
    <row r="2215" spans="1:9" ht="17.399999999999999" x14ac:dyDescent="0.25">
      <c r="A2215" s="16"/>
      <c r="B2215" s="17"/>
      <c r="C2215" s="2" t="b">
        <v>0</v>
      </c>
      <c r="D2215" s="2"/>
      <c r="E2215" s="2"/>
      <c r="F2215" s="2"/>
      <c r="G2215" s="2"/>
      <c r="H2215" s="2"/>
      <c r="I2215" s="5"/>
    </row>
    <row r="2216" spans="1:9" ht="17.399999999999999" x14ac:dyDescent="0.25">
      <c r="A2216" s="16"/>
      <c r="B2216" s="17"/>
      <c r="C2216" s="2" t="b">
        <v>0</v>
      </c>
      <c r="D2216" s="2"/>
      <c r="E2216" s="2"/>
      <c r="F2216" s="2"/>
      <c r="G2216" s="2"/>
      <c r="H2216" s="2"/>
      <c r="I2216" s="5"/>
    </row>
    <row r="2217" spans="1:9" ht="17.399999999999999" x14ac:dyDescent="0.25">
      <c r="A2217" s="16"/>
      <c r="B2217" s="17"/>
      <c r="C2217" s="2" t="b">
        <v>0</v>
      </c>
      <c r="D2217" s="2"/>
      <c r="E2217" s="2"/>
      <c r="F2217" s="2"/>
      <c r="G2217" s="2"/>
      <c r="H2217" s="2"/>
      <c r="I2217" s="5"/>
    </row>
    <row r="2218" spans="1:9" ht="17.399999999999999" x14ac:dyDescent="0.25">
      <c r="A2218" s="16"/>
      <c r="B2218" s="17"/>
      <c r="C2218" s="2" t="b">
        <v>0</v>
      </c>
      <c r="D2218" s="2"/>
      <c r="E2218" s="2"/>
      <c r="F2218" s="2"/>
      <c r="G2218" s="2"/>
      <c r="H2218" s="2"/>
      <c r="I2218" s="5"/>
    </row>
    <row r="2219" spans="1:9" ht="17.399999999999999" x14ac:dyDescent="0.25">
      <c r="A2219" s="16"/>
      <c r="B2219" s="17"/>
      <c r="C2219" s="2" t="b">
        <v>0</v>
      </c>
      <c r="D2219" s="2"/>
      <c r="E2219" s="2"/>
      <c r="F2219" s="2"/>
      <c r="G2219" s="2"/>
      <c r="H2219" s="2"/>
      <c r="I2219" s="5"/>
    </row>
    <row r="2220" spans="1:9" ht="17.399999999999999" x14ac:dyDescent="0.25">
      <c r="A2220" s="16"/>
      <c r="B2220" s="17"/>
      <c r="C2220" s="2" t="b">
        <v>0</v>
      </c>
      <c r="D2220" s="2"/>
      <c r="E2220" s="2"/>
      <c r="F2220" s="2"/>
      <c r="G2220" s="2"/>
      <c r="H2220" s="2"/>
      <c r="I2220" s="5"/>
    </row>
    <row r="2221" spans="1:9" ht="17.399999999999999" x14ac:dyDescent="0.25">
      <c r="A2221" s="16"/>
      <c r="B2221" s="17"/>
      <c r="C2221" s="2" t="b">
        <v>0</v>
      </c>
      <c r="D2221" s="2"/>
      <c r="E2221" s="2"/>
      <c r="F2221" s="2"/>
      <c r="G2221" s="2"/>
      <c r="H2221" s="2"/>
      <c r="I2221" s="5"/>
    </row>
    <row r="2222" spans="1:9" ht="17.399999999999999" x14ac:dyDescent="0.25">
      <c r="A2222" s="16"/>
      <c r="B2222" s="17"/>
      <c r="C2222" s="2" t="b">
        <v>0</v>
      </c>
      <c r="D2222" s="2"/>
      <c r="E2222" s="2"/>
      <c r="F2222" s="2"/>
      <c r="G2222" s="2"/>
      <c r="H2222" s="2"/>
      <c r="I2222" s="5"/>
    </row>
    <row r="2223" spans="1:9" ht="17.399999999999999" x14ac:dyDescent="0.25">
      <c r="A2223" s="16"/>
      <c r="B2223" s="17"/>
      <c r="C2223" s="2" t="b">
        <v>0</v>
      </c>
      <c r="D2223" s="2"/>
      <c r="E2223" s="2"/>
      <c r="F2223" s="2"/>
      <c r="G2223" s="2"/>
      <c r="H2223" s="2"/>
      <c r="I2223" s="5"/>
    </row>
    <row r="2224" spans="1:9" ht="17.399999999999999" x14ac:dyDescent="0.25">
      <c r="A2224" s="16"/>
      <c r="B2224" s="17"/>
      <c r="C2224" s="2" t="b">
        <v>0</v>
      </c>
      <c r="D2224" s="2"/>
      <c r="E2224" s="2"/>
      <c r="F2224" s="2"/>
      <c r="G2224" s="2"/>
      <c r="H2224" s="2"/>
      <c r="I2224" s="5"/>
    </row>
    <row r="2225" spans="1:9" ht="17.399999999999999" x14ac:dyDescent="0.25">
      <c r="A2225" s="16"/>
      <c r="B2225" s="17"/>
      <c r="C2225" s="2" t="b">
        <v>0</v>
      </c>
      <c r="D2225" s="2"/>
      <c r="E2225" s="2"/>
      <c r="F2225" s="2"/>
      <c r="G2225" s="2"/>
      <c r="H2225" s="2"/>
      <c r="I2225" s="5"/>
    </row>
    <row r="2226" spans="1:9" ht="17.399999999999999" x14ac:dyDescent="0.25">
      <c r="A2226" s="16"/>
      <c r="B2226" s="17"/>
      <c r="C2226" s="2" t="b">
        <v>0</v>
      </c>
      <c r="D2226" s="2"/>
      <c r="E2226" s="2"/>
      <c r="F2226" s="2"/>
      <c r="G2226" s="2"/>
      <c r="H2226" s="2"/>
      <c r="I2226" s="5"/>
    </row>
    <row r="2227" spans="1:9" ht="17.399999999999999" x14ac:dyDescent="0.25">
      <c r="A2227" s="16"/>
      <c r="B2227" s="17"/>
      <c r="C2227" s="2" t="b">
        <v>0</v>
      </c>
      <c r="D2227" s="2"/>
      <c r="E2227" s="2"/>
      <c r="F2227" s="2"/>
      <c r="G2227" s="2"/>
      <c r="H2227" s="2"/>
      <c r="I2227" s="5"/>
    </row>
    <row r="2228" spans="1:9" ht="17.399999999999999" x14ac:dyDescent="0.25">
      <c r="A2228" s="16"/>
      <c r="B2228" s="17"/>
      <c r="C2228" s="2" t="b">
        <v>0</v>
      </c>
      <c r="D2228" s="2"/>
      <c r="E2228" s="2"/>
      <c r="F2228" s="2"/>
      <c r="G2228" s="2"/>
      <c r="H2228" s="2"/>
      <c r="I2228" s="5"/>
    </row>
    <row r="2229" spans="1:9" ht="17.399999999999999" x14ac:dyDescent="0.25">
      <c r="A2229" s="16"/>
      <c r="B2229" s="17"/>
      <c r="C2229" s="2" t="b">
        <v>0</v>
      </c>
      <c r="D2229" s="2"/>
      <c r="E2229" s="2"/>
      <c r="F2229" s="2"/>
      <c r="G2229" s="2"/>
      <c r="H2229" s="2"/>
      <c r="I2229" s="5"/>
    </row>
    <row r="2230" spans="1:9" ht="17.399999999999999" x14ac:dyDescent="0.25">
      <c r="A2230" s="16"/>
      <c r="B2230" s="17"/>
      <c r="C2230" s="2" t="b">
        <v>0</v>
      </c>
      <c r="D2230" s="2"/>
      <c r="E2230" s="2"/>
      <c r="F2230" s="2"/>
      <c r="G2230" s="2"/>
      <c r="H2230" s="2"/>
      <c r="I2230" s="5"/>
    </row>
    <row r="2231" spans="1:9" ht="17.399999999999999" x14ac:dyDescent="0.25">
      <c r="A2231" s="16"/>
      <c r="B2231" s="17"/>
      <c r="C2231" s="2" t="b">
        <v>0</v>
      </c>
      <c r="D2231" s="2"/>
      <c r="E2231" s="2"/>
      <c r="F2231" s="2"/>
      <c r="G2231" s="2"/>
      <c r="H2231" s="2"/>
      <c r="I2231" s="5"/>
    </row>
    <row r="2232" spans="1:9" ht="17.399999999999999" x14ac:dyDescent="0.25">
      <c r="A2232" s="16"/>
      <c r="B2232" s="17"/>
      <c r="C2232" s="2" t="b">
        <v>0</v>
      </c>
      <c r="D2232" s="2"/>
      <c r="E2232" s="2"/>
      <c r="F2232" s="2"/>
      <c r="G2232" s="2"/>
      <c r="H2232" s="2"/>
      <c r="I2232" s="5"/>
    </row>
    <row r="2233" spans="1:9" ht="17.399999999999999" x14ac:dyDescent="0.25">
      <c r="A2233" s="16"/>
      <c r="B2233" s="17"/>
      <c r="C2233" s="2" t="b">
        <v>0</v>
      </c>
      <c r="D2233" s="2"/>
      <c r="E2233" s="2"/>
      <c r="F2233" s="2"/>
      <c r="G2233" s="2"/>
      <c r="H2233" s="2"/>
      <c r="I2233" s="5"/>
    </row>
    <row r="2234" spans="1:9" ht="17.399999999999999" x14ac:dyDescent="0.25">
      <c r="A2234" s="16"/>
      <c r="B2234" s="17"/>
      <c r="C2234" s="2" t="b">
        <v>0</v>
      </c>
      <c r="D2234" s="2"/>
      <c r="E2234" s="2"/>
      <c r="F2234" s="2"/>
      <c r="G2234" s="2"/>
      <c r="H2234" s="2"/>
      <c r="I2234" s="5"/>
    </row>
    <row r="2235" spans="1:9" ht="17.399999999999999" x14ac:dyDescent="0.25">
      <c r="A2235" s="16"/>
      <c r="B2235" s="17"/>
      <c r="C2235" s="2" t="b">
        <v>0</v>
      </c>
      <c r="D2235" s="2"/>
      <c r="E2235" s="2"/>
      <c r="F2235" s="2"/>
      <c r="G2235" s="2"/>
      <c r="H2235" s="2"/>
      <c r="I2235" s="5"/>
    </row>
    <row r="2236" spans="1:9" ht="17.399999999999999" x14ac:dyDescent="0.25">
      <c r="A2236" s="16"/>
      <c r="B2236" s="17"/>
      <c r="C2236" s="2" t="b">
        <v>0</v>
      </c>
      <c r="D2236" s="2"/>
      <c r="E2236" s="2"/>
      <c r="F2236" s="2"/>
      <c r="G2236" s="2"/>
      <c r="H2236" s="2"/>
      <c r="I2236" s="5"/>
    </row>
    <row r="2237" spans="1:9" ht="17.399999999999999" x14ac:dyDescent="0.25">
      <c r="A2237" s="16"/>
      <c r="B2237" s="17"/>
      <c r="C2237" s="2" t="b">
        <v>0</v>
      </c>
      <c r="D2237" s="2"/>
      <c r="E2237" s="2"/>
      <c r="F2237" s="2"/>
      <c r="G2237" s="2"/>
      <c r="H2237" s="2"/>
      <c r="I2237" s="5"/>
    </row>
    <row r="2238" spans="1:9" ht="17.399999999999999" x14ac:dyDescent="0.25">
      <c r="A2238" s="16"/>
      <c r="B2238" s="17"/>
      <c r="C2238" s="2" t="b">
        <v>0</v>
      </c>
      <c r="D2238" s="2"/>
      <c r="E2238" s="2"/>
      <c r="F2238" s="2"/>
      <c r="G2238" s="2"/>
      <c r="H2238" s="2"/>
      <c r="I2238" s="5"/>
    </row>
    <row r="2239" spans="1:9" ht="17.399999999999999" x14ac:dyDescent="0.25">
      <c r="A2239" s="16"/>
      <c r="B2239" s="17"/>
      <c r="C2239" s="2" t="b">
        <v>0</v>
      </c>
      <c r="D2239" s="2"/>
      <c r="E2239" s="2"/>
      <c r="F2239" s="2"/>
      <c r="G2239" s="2"/>
      <c r="H2239" s="2"/>
      <c r="I2239" s="5"/>
    </row>
    <row r="2240" spans="1:9" ht="17.399999999999999" x14ac:dyDescent="0.25">
      <c r="A2240" s="16"/>
      <c r="B2240" s="17"/>
      <c r="C2240" s="2" t="b">
        <v>0</v>
      </c>
      <c r="D2240" s="2"/>
      <c r="E2240" s="2"/>
      <c r="F2240" s="2"/>
      <c r="G2240" s="2"/>
      <c r="H2240" s="2"/>
      <c r="I2240" s="5"/>
    </row>
    <row r="2241" spans="1:9" ht="17.399999999999999" x14ac:dyDescent="0.25">
      <c r="A2241" s="16"/>
      <c r="B2241" s="17"/>
      <c r="C2241" s="2" t="b">
        <v>0</v>
      </c>
      <c r="D2241" s="2"/>
      <c r="E2241" s="2"/>
      <c r="F2241" s="2"/>
      <c r="G2241" s="2"/>
      <c r="H2241" s="2"/>
      <c r="I2241" s="5"/>
    </row>
    <row r="2242" spans="1:9" ht="17.399999999999999" x14ac:dyDescent="0.25">
      <c r="A2242" s="16"/>
      <c r="B2242" s="17"/>
      <c r="C2242" s="2" t="b">
        <v>0</v>
      </c>
      <c r="D2242" s="2"/>
      <c r="E2242" s="2"/>
      <c r="F2242" s="2"/>
      <c r="G2242" s="2"/>
      <c r="H2242" s="2"/>
      <c r="I2242" s="5"/>
    </row>
    <row r="2243" spans="1:9" ht="17.399999999999999" x14ac:dyDescent="0.25">
      <c r="A2243" s="16"/>
      <c r="B2243" s="17"/>
      <c r="C2243" s="2" t="b">
        <v>0</v>
      </c>
      <c r="D2243" s="2"/>
      <c r="E2243" s="2"/>
      <c r="F2243" s="2"/>
      <c r="G2243" s="2"/>
      <c r="H2243" s="2"/>
      <c r="I2243" s="5"/>
    </row>
    <row r="2244" spans="1:9" ht="17.399999999999999" x14ac:dyDescent="0.25">
      <c r="A2244" s="16"/>
      <c r="B2244" s="17"/>
      <c r="C2244" s="2" t="b">
        <v>0</v>
      </c>
      <c r="D2244" s="2"/>
      <c r="E2244" s="2"/>
      <c r="F2244" s="2"/>
      <c r="G2244" s="2"/>
      <c r="H2244" s="2"/>
      <c r="I2244" s="5"/>
    </row>
    <row r="2245" spans="1:9" ht="17.399999999999999" x14ac:dyDescent="0.25">
      <c r="A2245" s="16"/>
      <c r="B2245" s="17"/>
      <c r="C2245" s="2" t="b">
        <v>0</v>
      </c>
      <c r="D2245" s="2"/>
      <c r="E2245" s="2"/>
      <c r="F2245" s="2"/>
      <c r="G2245" s="2"/>
      <c r="H2245" s="2"/>
      <c r="I2245" s="5"/>
    </row>
    <row r="2246" spans="1:9" ht="17.399999999999999" x14ac:dyDescent="0.25">
      <c r="A2246" s="16"/>
      <c r="B2246" s="17"/>
      <c r="C2246" s="2" t="b">
        <v>0</v>
      </c>
      <c r="D2246" s="2"/>
      <c r="E2246" s="2"/>
      <c r="F2246" s="2"/>
      <c r="G2246" s="2"/>
      <c r="H2246" s="2"/>
      <c r="I2246" s="5"/>
    </row>
    <row r="2247" spans="1:9" ht="17.399999999999999" x14ac:dyDescent="0.25">
      <c r="A2247" s="16"/>
      <c r="B2247" s="17"/>
      <c r="C2247" s="2" t="b">
        <v>0</v>
      </c>
      <c r="D2247" s="2"/>
      <c r="E2247" s="2"/>
      <c r="F2247" s="2"/>
      <c r="G2247" s="2"/>
      <c r="H2247" s="2"/>
      <c r="I2247" s="5"/>
    </row>
    <row r="2248" spans="1:9" ht="17.399999999999999" x14ac:dyDescent="0.25">
      <c r="A2248" s="16"/>
      <c r="B2248" s="17"/>
      <c r="C2248" s="2" t="b">
        <v>0</v>
      </c>
      <c r="D2248" s="2"/>
      <c r="E2248" s="2"/>
      <c r="F2248" s="2"/>
      <c r="G2248" s="2"/>
      <c r="H2248" s="2"/>
      <c r="I2248" s="5"/>
    </row>
    <row r="2249" spans="1:9" ht="17.399999999999999" x14ac:dyDescent="0.25">
      <c r="A2249" s="16"/>
      <c r="B2249" s="17"/>
      <c r="C2249" s="2" t="b">
        <v>0</v>
      </c>
      <c r="D2249" s="2"/>
      <c r="E2249" s="2"/>
      <c r="F2249" s="2"/>
      <c r="G2249" s="2"/>
      <c r="H2249" s="2"/>
      <c r="I2249" s="5"/>
    </row>
    <row r="2250" spans="1:9" ht="17.399999999999999" x14ac:dyDescent="0.25">
      <c r="A2250" s="16"/>
      <c r="B2250" s="17"/>
      <c r="C2250" s="2" t="b">
        <v>0</v>
      </c>
      <c r="D2250" s="2"/>
      <c r="E2250" s="2"/>
      <c r="F2250" s="2"/>
      <c r="G2250" s="2"/>
      <c r="H2250" s="2"/>
      <c r="I2250" s="5"/>
    </row>
    <row r="2251" spans="1:9" ht="17.399999999999999" x14ac:dyDescent="0.25">
      <c r="A2251" s="16"/>
      <c r="B2251" s="17"/>
      <c r="C2251" s="2" t="b">
        <v>0</v>
      </c>
      <c r="D2251" s="2"/>
      <c r="E2251" s="2"/>
      <c r="F2251" s="2"/>
      <c r="G2251" s="2"/>
      <c r="H2251" s="2"/>
      <c r="I2251" s="5"/>
    </row>
    <row r="2252" spans="1:9" ht="17.399999999999999" x14ac:dyDescent="0.25">
      <c r="A2252" s="16"/>
      <c r="B2252" s="17"/>
      <c r="C2252" s="2" t="b">
        <v>0</v>
      </c>
      <c r="D2252" s="2"/>
      <c r="E2252" s="2"/>
      <c r="F2252" s="2"/>
      <c r="G2252" s="2"/>
      <c r="H2252" s="2"/>
      <c r="I2252" s="5"/>
    </row>
    <row r="2253" spans="1:9" ht="17.399999999999999" x14ac:dyDescent="0.25">
      <c r="A2253" s="16"/>
      <c r="B2253" s="17"/>
      <c r="C2253" s="2" t="b">
        <v>0</v>
      </c>
      <c r="D2253" s="2"/>
      <c r="E2253" s="2"/>
      <c r="F2253" s="2"/>
      <c r="G2253" s="2"/>
      <c r="H2253" s="2"/>
      <c r="I2253" s="5"/>
    </row>
    <row r="2254" spans="1:9" ht="17.399999999999999" x14ac:dyDescent="0.25">
      <c r="A2254" s="16"/>
      <c r="B2254" s="17"/>
      <c r="C2254" s="2" t="b">
        <v>0</v>
      </c>
      <c r="D2254" s="2"/>
      <c r="E2254" s="2"/>
      <c r="F2254" s="2"/>
      <c r="G2254" s="2"/>
      <c r="H2254" s="2"/>
      <c r="I2254" s="5"/>
    </row>
    <row r="2255" spans="1:9" ht="17.399999999999999" x14ac:dyDescent="0.25">
      <c r="A2255" s="16"/>
      <c r="B2255" s="17"/>
      <c r="C2255" s="2" t="b">
        <v>0</v>
      </c>
      <c r="D2255" s="2"/>
      <c r="E2255" s="2"/>
      <c r="F2255" s="2"/>
      <c r="G2255" s="2"/>
      <c r="H2255" s="2"/>
      <c r="I2255" s="5"/>
    </row>
    <row r="2256" spans="1:9" ht="17.399999999999999" x14ac:dyDescent="0.25">
      <c r="A2256" s="16"/>
      <c r="B2256" s="17"/>
      <c r="C2256" s="2" t="b">
        <v>0</v>
      </c>
      <c r="D2256" s="2"/>
      <c r="E2256" s="2"/>
      <c r="F2256" s="2"/>
      <c r="G2256" s="2"/>
      <c r="H2256" s="2"/>
      <c r="I2256" s="5"/>
    </row>
    <row r="2257" spans="1:9" ht="17.399999999999999" x14ac:dyDescent="0.25">
      <c r="A2257" s="16"/>
      <c r="B2257" s="17"/>
      <c r="C2257" s="2" t="b">
        <v>0</v>
      </c>
      <c r="D2257" s="2"/>
      <c r="E2257" s="2"/>
      <c r="F2257" s="2"/>
      <c r="G2257" s="2"/>
      <c r="H2257" s="2"/>
      <c r="I2257" s="5"/>
    </row>
    <row r="2258" spans="1:9" ht="17.399999999999999" x14ac:dyDescent="0.25">
      <c r="A2258" s="16"/>
      <c r="B2258" s="17"/>
      <c r="C2258" s="2" t="b">
        <v>0</v>
      </c>
      <c r="D2258" s="2"/>
      <c r="E2258" s="2"/>
      <c r="F2258" s="2"/>
      <c r="G2258" s="2"/>
      <c r="H2258" s="2"/>
      <c r="I2258" s="5"/>
    </row>
    <row r="2259" spans="1:9" ht="17.399999999999999" x14ac:dyDescent="0.25">
      <c r="A2259" s="16"/>
      <c r="B2259" s="17"/>
      <c r="C2259" s="2" t="b">
        <v>0</v>
      </c>
      <c r="D2259" s="2"/>
      <c r="E2259" s="2"/>
      <c r="F2259" s="2"/>
      <c r="G2259" s="2"/>
      <c r="H2259" s="2"/>
      <c r="I2259" s="5"/>
    </row>
    <row r="2260" spans="1:9" ht="17.399999999999999" x14ac:dyDescent="0.25">
      <c r="A2260" s="16"/>
      <c r="B2260" s="17"/>
      <c r="C2260" s="2" t="b">
        <v>0</v>
      </c>
      <c r="D2260" s="2"/>
      <c r="E2260" s="2"/>
      <c r="F2260" s="2"/>
      <c r="G2260" s="2"/>
      <c r="H2260" s="2"/>
      <c r="I2260" s="5"/>
    </row>
    <row r="2261" spans="1:9" ht="17.399999999999999" x14ac:dyDescent="0.25">
      <c r="A2261" s="16"/>
      <c r="B2261" s="17"/>
      <c r="C2261" s="2" t="b">
        <v>0</v>
      </c>
      <c r="D2261" s="2"/>
      <c r="E2261" s="2"/>
      <c r="F2261" s="2"/>
      <c r="G2261" s="2"/>
      <c r="H2261" s="2"/>
      <c r="I2261" s="5"/>
    </row>
    <row r="2262" spans="1:9" ht="17.399999999999999" x14ac:dyDescent="0.25">
      <c r="A2262" s="16"/>
      <c r="B2262" s="17"/>
      <c r="C2262" s="2" t="b">
        <v>0</v>
      </c>
      <c r="D2262" s="2"/>
      <c r="E2262" s="2"/>
      <c r="F2262" s="2"/>
      <c r="G2262" s="2"/>
      <c r="H2262" s="2"/>
      <c r="I2262" s="5"/>
    </row>
    <row r="2263" spans="1:9" ht="17.399999999999999" x14ac:dyDescent="0.25">
      <c r="A2263" s="16"/>
      <c r="B2263" s="17"/>
      <c r="C2263" s="2" t="b">
        <v>0</v>
      </c>
      <c r="D2263" s="2"/>
      <c r="E2263" s="2"/>
      <c r="F2263" s="2"/>
      <c r="G2263" s="2"/>
      <c r="H2263" s="2"/>
      <c r="I2263" s="5"/>
    </row>
    <row r="2264" spans="1:9" ht="17.399999999999999" x14ac:dyDescent="0.25">
      <c r="A2264" s="16"/>
      <c r="B2264" s="17"/>
      <c r="C2264" s="2" t="b">
        <v>0</v>
      </c>
      <c r="D2264" s="2"/>
      <c r="E2264" s="2"/>
      <c r="F2264" s="2"/>
      <c r="G2264" s="2"/>
      <c r="H2264" s="2"/>
      <c r="I2264" s="5"/>
    </row>
    <row r="2265" spans="1:9" ht="17.399999999999999" x14ac:dyDescent="0.25">
      <c r="A2265" s="16"/>
      <c r="B2265" s="17"/>
      <c r="C2265" s="2" t="b">
        <v>0</v>
      </c>
      <c r="D2265" s="2"/>
      <c r="E2265" s="2"/>
      <c r="F2265" s="2"/>
      <c r="G2265" s="2"/>
      <c r="H2265" s="2"/>
      <c r="I2265" s="5"/>
    </row>
    <row r="2266" spans="1:9" ht="17.399999999999999" x14ac:dyDescent="0.25">
      <c r="A2266" s="16"/>
      <c r="B2266" s="17"/>
      <c r="C2266" s="2" t="b">
        <v>0</v>
      </c>
      <c r="D2266" s="2"/>
      <c r="E2266" s="2"/>
      <c r="F2266" s="2"/>
      <c r="G2266" s="2"/>
      <c r="H2266" s="2"/>
      <c r="I2266" s="5"/>
    </row>
    <row r="2267" spans="1:9" ht="17.399999999999999" x14ac:dyDescent="0.25">
      <c r="A2267" s="16"/>
      <c r="B2267" s="17"/>
      <c r="C2267" s="2" t="b">
        <v>0</v>
      </c>
      <c r="D2267" s="2"/>
      <c r="E2267" s="2"/>
      <c r="F2267" s="2"/>
      <c r="G2267" s="2"/>
      <c r="H2267" s="2"/>
      <c r="I2267" s="5"/>
    </row>
    <row r="2268" spans="1:9" ht="17.399999999999999" x14ac:dyDescent="0.25">
      <c r="A2268" s="16"/>
      <c r="B2268" s="17"/>
      <c r="C2268" s="2" t="b">
        <v>0</v>
      </c>
      <c r="D2268" s="2"/>
      <c r="E2268" s="2"/>
      <c r="F2268" s="2"/>
      <c r="G2268" s="2"/>
      <c r="H2268" s="2"/>
      <c r="I2268" s="5"/>
    </row>
    <row r="2269" spans="1:9" ht="17.399999999999999" x14ac:dyDescent="0.25">
      <c r="A2269" s="16"/>
      <c r="B2269" s="17"/>
      <c r="C2269" s="2" t="b">
        <v>0</v>
      </c>
      <c r="D2269" s="2"/>
      <c r="E2269" s="2"/>
      <c r="F2269" s="2"/>
      <c r="G2269" s="2"/>
      <c r="H2269" s="2"/>
      <c r="I2269" s="5"/>
    </row>
    <row r="2270" spans="1:9" ht="17.399999999999999" x14ac:dyDescent="0.25">
      <c r="A2270" s="16"/>
      <c r="B2270" s="17"/>
      <c r="C2270" s="2" t="b">
        <v>0</v>
      </c>
      <c r="D2270" s="2"/>
      <c r="E2270" s="2"/>
      <c r="F2270" s="2"/>
      <c r="G2270" s="2"/>
      <c r="H2270" s="2"/>
      <c r="I2270" s="5"/>
    </row>
    <row r="2271" spans="1:9" ht="17.399999999999999" x14ac:dyDescent="0.25">
      <c r="A2271" s="16"/>
      <c r="B2271" s="17"/>
      <c r="C2271" s="2" t="b">
        <v>0</v>
      </c>
      <c r="D2271" s="2"/>
      <c r="E2271" s="2"/>
      <c r="F2271" s="2"/>
      <c r="G2271" s="2"/>
      <c r="H2271" s="2"/>
      <c r="I2271" s="5"/>
    </row>
    <row r="2272" spans="1:9" ht="17.399999999999999" x14ac:dyDescent="0.25">
      <c r="A2272" s="16"/>
      <c r="B2272" s="17"/>
      <c r="C2272" s="2" t="b">
        <v>0</v>
      </c>
      <c r="D2272" s="2"/>
      <c r="E2272" s="2"/>
      <c r="F2272" s="2"/>
      <c r="G2272" s="2"/>
      <c r="H2272" s="2"/>
      <c r="I2272" s="5"/>
    </row>
    <row r="2273" spans="1:9" ht="17.399999999999999" x14ac:dyDescent="0.25">
      <c r="A2273" s="16"/>
      <c r="B2273" s="17"/>
      <c r="C2273" s="2" t="b">
        <v>0</v>
      </c>
      <c r="D2273" s="2"/>
      <c r="E2273" s="2"/>
      <c r="F2273" s="2"/>
      <c r="G2273" s="2"/>
      <c r="H2273" s="2"/>
      <c r="I2273" s="5"/>
    </row>
    <row r="2274" spans="1:9" ht="17.399999999999999" x14ac:dyDescent="0.25">
      <c r="A2274" s="16"/>
      <c r="B2274" s="17"/>
      <c r="C2274" s="2" t="b">
        <v>0</v>
      </c>
      <c r="D2274" s="2"/>
      <c r="E2274" s="2"/>
      <c r="F2274" s="2"/>
      <c r="G2274" s="2"/>
      <c r="H2274" s="2"/>
      <c r="I2274" s="5"/>
    </row>
    <row r="2275" spans="1:9" ht="17.399999999999999" x14ac:dyDescent="0.25">
      <c r="A2275" s="16"/>
      <c r="B2275" s="17"/>
      <c r="C2275" s="2" t="b">
        <v>0</v>
      </c>
      <c r="D2275" s="2"/>
      <c r="E2275" s="2"/>
      <c r="F2275" s="2"/>
      <c r="G2275" s="2"/>
      <c r="H2275" s="2"/>
      <c r="I2275" s="5"/>
    </row>
    <row r="2276" spans="1:9" ht="17.399999999999999" x14ac:dyDescent="0.25">
      <c r="A2276" s="16"/>
      <c r="B2276" s="17"/>
      <c r="C2276" s="2" t="b">
        <v>0</v>
      </c>
      <c r="D2276" s="2"/>
      <c r="E2276" s="2"/>
      <c r="F2276" s="2"/>
      <c r="G2276" s="2"/>
      <c r="H2276" s="2"/>
      <c r="I2276" s="5"/>
    </row>
    <row r="2277" spans="1:9" ht="17.399999999999999" x14ac:dyDescent="0.25">
      <c r="A2277" s="16"/>
      <c r="B2277" s="17"/>
      <c r="C2277" s="2" t="b">
        <v>0</v>
      </c>
      <c r="D2277" s="2"/>
      <c r="E2277" s="2"/>
      <c r="F2277" s="2"/>
      <c r="G2277" s="2"/>
      <c r="H2277" s="2"/>
      <c r="I2277" s="5"/>
    </row>
    <row r="2278" spans="1:9" ht="17.399999999999999" x14ac:dyDescent="0.25">
      <c r="A2278" s="16"/>
      <c r="B2278" s="17"/>
      <c r="C2278" s="2" t="b">
        <v>0</v>
      </c>
      <c r="D2278" s="2"/>
      <c r="E2278" s="2"/>
      <c r="F2278" s="2"/>
      <c r="G2278" s="2"/>
      <c r="H2278" s="2"/>
      <c r="I2278" s="5"/>
    </row>
    <row r="2279" spans="1:9" ht="17.399999999999999" x14ac:dyDescent="0.25">
      <c r="A2279" s="16"/>
      <c r="B2279" s="17"/>
      <c r="C2279" s="2" t="b">
        <v>0</v>
      </c>
      <c r="D2279" s="2"/>
      <c r="E2279" s="2"/>
      <c r="F2279" s="2"/>
      <c r="G2279" s="2"/>
      <c r="H2279" s="2"/>
      <c r="I2279" s="5"/>
    </row>
    <row r="2280" spans="1:9" ht="17.399999999999999" x14ac:dyDescent="0.25">
      <c r="A2280" s="16"/>
      <c r="B2280" s="17"/>
      <c r="C2280" s="2" t="b">
        <v>0</v>
      </c>
      <c r="D2280" s="2"/>
      <c r="E2280" s="2"/>
      <c r="F2280" s="2"/>
      <c r="G2280" s="2"/>
      <c r="H2280" s="2"/>
      <c r="I2280" s="5"/>
    </row>
    <row r="2281" spans="1:9" ht="17.399999999999999" x14ac:dyDescent="0.25">
      <c r="A2281" s="16"/>
      <c r="B2281" s="17"/>
      <c r="C2281" s="2" t="b">
        <v>0</v>
      </c>
      <c r="D2281" s="2"/>
      <c r="E2281" s="2"/>
      <c r="F2281" s="2"/>
      <c r="G2281" s="2"/>
      <c r="H2281" s="2"/>
      <c r="I2281" s="5"/>
    </row>
    <row r="2282" spans="1:9" ht="17.399999999999999" x14ac:dyDescent="0.25">
      <c r="A2282" s="16"/>
      <c r="B2282" s="17"/>
      <c r="C2282" s="2" t="b">
        <v>0</v>
      </c>
      <c r="D2282" s="2"/>
      <c r="E2282" s="2"/>
      <c r="F2282" s="2"/>
      <c r="G2282" s="2"/>
      <c r="H2282" s="2"/>
      <c r="I2282" s="5"/>
    </row>
    <row r="2283" spans="1:9" ht="17.399999999999999" x14ac:dyDescent="0.25">
      <c r="A2283" s="16"/>
      <c r="B2283" s="17"/>
      <c r="C2283" s="2" t="b">
        <v>0</v>
      </c>
      <c r="D2283" s="2"/>
      <c r="E2283" s="2"/>
      <c r="F2283" s="2"/>
      <c r="G2283" s="2"/>
      <c r="H2283" s="2"/>
      <c r="I2283" s="5"/>
    </row>
    <row r="2284" spans="1:9" ht="17.399999999999999" x14ac:dyDescent="0.25">
      <c r="A2284" s="16"/>
      <c r="B2284" s="17"/>
      <c r="C2284" s="2" t="b">
        <v>0</v>
      </c>
      <c r="D2284" s="2"/>
      <c r="E2284" s="2"/>
      <c r="F2284" s="2"/>
      <c r="G2284" s="2"/>
      <c r="H2284" s="2"/>
      <c r="I2284" s="5"/>
    </row>
    <row r="2285" spans="1:9" ht="17.399999999999999" x14ac:dyDescent="0.25">
      <c r="A2285" s="16"/>
      <c r="B2285" s="17"/>
      <c r="C2285" s="2" t="b">
        <v>0</v>
      </c>
      <c r="D2285" s="2"/>
      <c r="E2285" s="2"/>
      <c r="F2285" s="2"/>
      <c r="G2285" s="2"/>
      <c r="H2285" s="2"/>
      <c r="I2285" s="5"/>
    </row>
    <row r="2286" spans="1:9" ht="17.399999999999999" x14ac:dyDescent="0.25">
      <c r="A2286" s="16"/>
      <c r="B2286" s="17"/>
      <c r="C2286" s="2" t="b">
        <v>0</v>
      </c>
      <c r="D2286" s="2"/>
      <c r="E2286" s="2"/>
      <c r="F2286" s="2"/>
      <c r="G2286" s="2"/>
      <c r="H2286" s="2"/>
      <c r="I2286" s="5"/>
    </row>
    <row r="2287" spans="1:9" ht="17.399999999999999" x14ac:dyDescent="0.25">
      <c r="A2287" s="16"/>
      <c r="B2287" s="17"/>
      <c r="C2287" s="2" t="b">
        <v>0</v>
      </c>
      <c r="D2287" s="2"/>
      <c r="E2287" s="2"/>
      <c r="F2287" s="2"/>
      <c r="G2287" s="2"/>
      <c r="H2287" s="2"/>
      <c r="I2287" s="5"/>
    </row>
    <row r="2288" spans="1:9" ht="17.399999999999999" x14ac:dyDescent="0.25">
      <c r="A2288" s="16"/>
      <c r="B2288" s="17"/>
      <c r="C2288" s="2" t="b">
        <v>0</v>
      </c>
      <c r="D2288" s="2"/>
      <c r="E2288" s="2"/>
      <c r="F2288" s="2"/>
      <c r="G2288" s="2"/>
      <c r="H2288" s="2"/>
      <c r="I2288" s="5"/>
    </row>
    <row r="2289" spans="1:9" ht="17.399999999999999" x14ac:dyDescent="0.25">
      <c r="A2289" s="16"/>
      <c r="B2289" s="17"/>
      <c r="C2289" s="2" t="b">
        <v>0</v>
      </c>
      <c r="D2289" s="2"/>
      <c r="E2289" s="2"/>
      <c r="F2289" s="2"/>
      <c r="G2289" s="2"/>
      <c r="H2289" s="2"/>
      <c r="I2289" s="5"/>
    </row>
    <row r="2290" spans="1:9" ht="17.399999999999999" x14ac:dyDescent="0.25">
      <c r="A2290" s="16"/>
      <c r="B2290" s="17"/>
      <c r="C2290" s="2" t="b">
        <v>0</v>
      </c>
      <c r="D2290" s="2"/>
      <c r="E2290" s="2"/>
      <c r="F2290" s="2"/>
      <c r="G2290" s="2"/>
      <c r="H2290" s="2"/>
      <c r="I2290" s="5"/>
    </row>
    <row r="2291" spans="1:9" ht="17.399999999999999" x14ac:dyDescent="0.25">
      <c r="A2291" s="16"/>
      <c r="B2291" s="17"/>
      <c r="C2291" s="2" t="b">
        <v>0</v>
      </c>
      <c r="D2291" s="2"/>
      <c r="E2291" s="2"/>
      <c r="F2291" s="2"/>
      <c r="G2291" s="2"/>
      <c r="H2291" s="2"/>
      <c r="I2291" s="5"/>
    </row>
    <row r="2292" spans="1:9" ht="17.399999999999999" x14ac:dyDescent="0.25">
      <c r="A2292" s="16"/>
      <c r="B2292" s="17"/>
      <c r="C2292" s="2" t="b">
        <v>0</v>
      </c>
      <c r="D2292" s="2"/>
      <c r="E2292" s="2"/>
      <c r="F2292" s="2"/>
      <c r="G2292" s="2"/>
      <c r="H2292" s="2"/>
      <c r="I2292" s="5"/>
    </row>
    <row r="2293" spans="1:9" ht="17.399999999999999" x14ac:dyDescent="0.25">
      <c r="A2293" s="16"/>
      <c r="B2293" s="17"/>
      <c r="C2293" s="2" t="b">
        <v>0</v>
      </c>
      <c r="D2293" s="2"/>
      <c r="E2293" s="2"/>
      <c r="F2293" s="2"/>
      <c r="G2293" s="2"/>
      <c r="H2293" s="2"/>
      <c r="I2293" s="5"/>
    </row>
    <row r="2294" spans="1:9" ht="17.399999999999999" x14ac:dyDescent="0.25">
      <c r="A2294" s="16"/>
      <c r="B2294" s="17"/>
      <c r="C2294" s="2" t="b">
        <v>0</v>
      </c>
      <c r="D2294" s="2"/>
      <c r="E2294" s="2"/>
      <c r="F2294" s="2"/>
      <c r="G2294" s="2"/>
      <c r="H2294" s="2"/>
      <c r="I2294" s="5"/>
    </row>
    <row r="2295" spans="1:9" ht="17.399999999999999" x14ac:dyDescent="0.25">
      <c r="A2295" s="16"/>
      <c r="B2295" s="17"/>
      <c r="C2295" s="2" t="b">
        <v>0</v>
      </c>
      <c r="D2295" s="2"/>
      <c r="E2295" s="2"/>
      <c r="F2295" s="2"/>
      <c r="G2295" s="2"/>
      <c r="H2295" s="2"/>
      <c r="I2295" s="5"/>
    </row>
    <row r="2296" spans="1:9" ht="17.399999999999999" x14ac:dyDescent="0.25">
      <c r="A2296" s="16"/>
      <c r="B2296" s="17"/>
      <c r="C2296" s="2" t="b">
        <v>0</v>
      </c>
      <c r="D2296" s="2"/>
      <c r="E2296" s="2"/>
      <c r="F2296" s="2"/>
      <c r="G2296" s="2"/>
      <c r="H2296" s="2"/>
      <c r="I2296" s="5"/>
    </row>
    <row r="2297" spans="1:9" ht="17.399999999999999" x14ac:dyDescent="0.25">
      <c r="A2297" s="16"/>
      <c r="B2297" s="17"/>
      <c r="C2297" s="2" t="b">
        <v>0</v>
      </c>
      <c r="D2297" s="2"/>
      <c r="E2297" s="2"/>
      <c r="F2297" s="2"/>
      <c r="G2297" s="2"/>
      <c r="H2297" s="2"/>
      <c r="I2297" s="5"/>
    </row>
    <row r="2298" spans="1:9" ht="17.399999999999999" x14ac:dyDescent="0.25">
      <c r="A2298" s="16"/>
      <c r="B2298" s="17"/>
      <c r="C2298" s="2" t="b">
        <v>0</v>
      </c>
      <c r="D2298" s="2"/>
      <c r="E2298" s="2"/>
      <c r="F2298" s="2"/>
      <c r="G2298" s="2"/>
      <c r="H2298" s="2"/>
      <c r="I2298" s="5"/>
    </row>
    <row r="2299" spans="1:9" ht="17.399999999999999" x14ac:dyDescent="0.25">
      <c r="A2299" s="16"/>
      <c r="B2299" s="17"/>
      <c r="C2299" s="2" t="b">
        <v>0</v>
      </c>
      <c r="D2299" s="2"/>
      <c r="E2299" s="2"/>
      <c r="F2299" s="2"/>
      <c r="G2299" s="2"/>
      <c r="H2299" s="2"/>
      <c r="I2299" s="5"/>
    </row>
    <row r="2300" spans="1:9" ht="17.399999999999999" x14ac:dyDescent="0.25">
      <c r="A2300" s="16"/>
      <c r="B2300" s="17"/>
      <c r="C2300" s="2" t="b">
        <v>0</v>
      </c>
      <c r="D2300" s="2"/>
      <c r="E2300" s="2"/>
      <c r="F2300" s="2"/>
      <c r="G2300" s="2"/>
      <c r="H2300" s="2"/>
      <c r="I2300" s="5"/>
    </row>
    <row r="2301" spans="1:9" ht="17.399999999999999" x14ac:dyDescent="0.25">
      <c r="A2301" s="16"/>
      <c r="B2301" s="17"/>
      <c r="C2301" s="2" t="b">
        <v>0</v>
      </c>
      <c r="D2301" s="2"/>
      <c r="E2301" s="2"/>
      <c r="F2301" s="2"/>
      <c r="G2301" s="2"/>
      <c r="H2301" s="2"/>
      <c r="I2301" s="5"/>
    </row>
    <row r="2302" spans="1:9" ht="17.399999999999999" x14ac:dyDescent="0.25">
      <c r="A2302" s="16"/>
      <c r="B2302" s="17"/>
      <c r="C2302" s="2" t="b">
        <v>0</v>
      </c>
      <c r="D2302" s="2"/>
      <c r="E2302" s="2"/>
      <c r="F2302" s="2"/>
      <c r="G2302" s="2"/>
      <c r="H2302" s="2"/>
      <c r="I2302" s="5"/>
    </row>
    <row r="2303" spans="1:9" ht="17.399999999999999" x14ac:dyDescent="0.25">
      <c r="A2303" s="16"/>
      <c r="B2303" s="17"/>
      <c r="C2303" s="2" t="b">
        <v>0</v>
      </c>
      <c r="D2303" s="2"/>
      <c r="E2303" s="2"/>
      <c r="F2303" s="2"/>
      <c r="G2303" s="2"/>
      <c r="H2303" s="2"/>
      <c r="I2303" s="5"/>
    </row>
    <row r="2304" spans="1:9" ht="17.399999999999999" x14ac:dyDescent="0.25">
      <c r="A2304" s="16"/>
      <c r="B2304" s="17"/>
      <c r="C2304" s="2" t="b">
        <v>0</v>
      </c>
      <c r="D2304" s="2"/>
      <c r="E2304" s="2"/>
      <c r="F2304" s="2"/>
      <c r="G2304" s="2"/>
      <c r="H2304" s="2"/>
      <c r="I2304" s="5"/>
    </row>
    <row r="2305" spans="1:9" ht="17.399999999999999" x14ac:dyDescent="0.25">
      <c r="A2305" s="16"/>
      <c r="B2305" s="17"/>
      <c r="C2305" s="2" t="b">
        <v>0</v>
      </c>
      <c r="D2305" s="2"/>
      <c r="E2305" s="2"/>
      <c r="F2305" s="2"/>
      <c r="G2305" s="2"/>
      <c r="H2305" s="2"/>
      <c r="I2305" s="5"/>
    </row>
    <row r="2306" spans="1:9" ht="17.399999999999999" x14ac:dyDescent="0.25">
      <c r="A2306" s="16"/>
      <c r="B2306" s="17"/>
      <c r="C2306" s="2" t="b">
        <v>0</v>
      </c>
      <c r="D2306" s="2"/>
      <c r="E2306" s="2"/>
      <c r="F2306" s="2"/>
      <c r="G2306" s="2"/>
      <c r="H2306" s="2"/>
      <c r="I2306" s="5"/>
    </row>
    <row r="2307" spans="1:9" ht="17.399999999999999" x14ac:dyDescent="0.25">
      <c r="A2307" s="16"/>
      <c r="B2307" s="17"/>
      <c r="C2307" s="2" t="b">
        <v>0</v>
      </c>
      <c r="D2307" s="2"/>
      <c r="E2307" s="2"/>
      <c r="F2307" s="2"/>
      <c r="G2307" s="2"/>
      <c r="H2307" s="2"/>
      <c r="I2307" s="5"/>
    </row>
    <row r="2308" spans="1:9" ht="17.399999999999999" x14ac:dyDescent="0.25">
      <c r="A2308" s="16"/>
      <c r="B2308" s="17"/>
      <c r="C2308" s="2" t="b">
        <v>0</v>
      </c>
      <c r="D2308" s="2"/>
      <c r="E2308" s="2"/>
      <c r="F2308" s="2"/>
      <c r="G2308" s="2"/>
      <c r="H2308" s="2"/>
      <c r="I2308" s="5"/>
    </row>
    <row r="2309" spans="1:9" ht="17.399999999999999" x14ac:dyDescent="0.25">
      <c r="A2309" s="16"/>
      <c r="B2309" s="17"/>
      <c r="C2309" s="2" t="b">
        <v>0</v>
      </c>
      <c r="D2309" s="2"/>
      <c r="E2309" s="2"/>
      <c r="F2309" s="2"/>
      <c r="G2309" s="2"/>
      <c r="H2309" s="2"/>
      <c r="I2309" s="5"/>
    </row>
    <row r="2310" spans="1:9" ht="17.399999999999999" x14ac:dyDescent="0.25">
      <c r="A2310" s="16"/>
      <c r="B2310" s="17"/>
      <c r="C2310" s="2" t="b">
        <v>0</v>
      </c>
      <c r="D2310" s="2"/>
      <c r="E2310" s="2"/>
      <c r="F2310" s="2"/>
      <c r="G2310" s="2"/>
      <c r="H2310" s="2"/>
      <c r="I2310" s="5"/>
    </row>
    <row r="2311" spans="1:9" ht="17.399999999999999" x14ac:dyDescent="0.25">
      <c r="A2311" s="16"/>
      <c r="B2311" s="17"/>
      <c r="C2311" s="2" t="b">
        <v>0</v>
      </c>
      <c r="D2311" s="2"/>
      <c r="E2311" s="2"/>
      <c r="F2311" s="2"/>
      <c r="G2311" s="2"/>
      <c r="H2311" s="2"/>
      <c r="I2311" s="5"/>
    </row>
    <row r="2312" spans="1:9" ht="17.399999999999999" x14ac:dyDescent="0.25">
      <c r="A2312" s="16"/>
      <c r="B2312" s="17"/>
      <c r="C2312" s="2" t="b">
        <v>0</v>
      </c>
      <c r="D2312" s="2"/>
      <c r="E2312" s="2"/>
      <c r="F2312" s="2"/>
      <c r="G2312" s="2"/>
      <c r="H2312" s="2"/>
      <c r="I2312" s="5"/>
    </row>
    <row r="2313" spans="1:9" ht="17.399999999999999" x14ac:dyDescent="0.25">
      <c r="A2313" s="16"/>
      <c r="B2313" s="17"/>
      <c r="C2313" s="2" t="b">
        <v>0</v>
      </c>
      <c r="D2313" s="2"/>
      <c r="E2313" s="2"/>
      <c r="F2313" s="2"/>
      <c r="G2313" s="2"/>
      <c r="H2313" s="2"/>
      <c r="I2313" s="5"/>
    </row>
    <row r="2314" spans="1:9" ht="17.399999999999999" x14ac:dyDescent="0.25">
      <c r="A2314" s="16"/>
      <c r="B2314" s="17"/>
      <c r="C2314" s="2" t="b">
        <v>0</v>
      </c>
      <c r="D2314" s="2"/>
      <c r="E2314" s="2"/>
      <c r="F2314" s="2"/>
      <c r="G2314" s="2"/>
      <c r="H2314" s="2"/>
      <c r="I2314" s="5"/>
    </row>
    <row r="2315" spans="1:9" ht="17.399999999999999" x14ac:dyDescent="0.25">
      <c r="A2315" s="16"/>
      <c r="B2315" s="17"/>
      <c r="C2315" s="2" t="b">
        <v>0</v>
      </c>
      <c r="D2315" s="2"/>
      <c r="E2315" s="2"/>
      <c r="F2315" s="2"/>
      <c r="G2315" s="2"/>
      <c r="H2315" s="2"/>
      <c r="I2315" s="5"/>
    </row>
    <row r="2316" spans="1:9" ht="17.399999999999999" x14ac:dyDescent="0.25">
      <c r="A2316" s="16"/>
      <c r="B2316" s="17"/>
      <c r="C2316" s="2" t="b">
        <v>0</v>
      </c>
      <c r="D2316" s="2"/>
      <c r="E2316" s="2"/>
      <c r="F2316" s="2"/>
      <c r="G2316" s="2"/>
      <c r="H2316" s="2"/>
      <c r="I2316" s="5"/>
    </row>
    <row r="2317" spans="1:9" ht="17.399999999999999" x14ac:dyDescent="0.25">
      <c r="A2317" s="16"/>
      <c r="B2317" s="17"/>
      <c r="C2317" s="2" t="b">
        <v>0</v>
      </c>
      <c r="D2317" s="2"/>
      <c r="E2317" s="2"/>
      <c r="F2317" s="2"/>
      <c r="G2317" s="2"/>
      <c r="H2317" s="2"/>
      <c r="I2317" s="5"/>
    </row>
    <row r="2318" spans="1:9" ht="17.399999999999999" x14ac:dyDescent="0.25">
      <c r="A2318" s="16"/>
      <c r="B2318" s="17"/>
      <c r="C2318" s="2" t="b">
        <v>0</v>
      </c>
      <c r="D2318" s="2"/>
      <c r="E2318" s="2"/>
      <c r="F2318" s="2"/>
      <c r="G2318" s="2"/>
      <c r="H2318" s="2"/>
      <c r="I2318" s="5"/>
    </row>
    <row r="2319" spans="1:9" ht="17.399999999999999" x14ac:dyDescent="0.25">
      <c r="A2319" s="16"/>
      <c r="B2319" s="17"/>
      <c r="C2319" s="2" t="b">
        <v>0</v>
      </c>
      <c r="D2319" s="2"/>
      <c r="E2319" s="2"/>
      <c r="F2319" s="2"/>
      <c r="G2319" s="2"/>
      <c r="H2319" s="2"/>
      <c r="I2319" s="5"/>
    </row>
    <row r="2320" spans="1:9" ht="17.399999999999999" x14ac:dyDescent="0.25">
      <c r="A2320" s="16"/>
      <c r="B2320" s="17"/>
      <c r="C2320" s="2" t="b">
        <v>0</v>
      </c>
      <c r="D2320" s="2"/>
      <c r="E2320" s="2"/>
      <c r="F2320" s="2"/>
      <c r="G2320" s="2"/>
      <c r="H2320" s="2"/>
      <c r="I2320" s="5"/>
    </row>
    <row r="2321" spans="1:9" ht="17.399999999999999" x14ac:dyDescent="0.25">
      <c r="A2321" s="16"/>
      <c r="B2321" s="17"/>
      <c r="C2321" s="2" t="b">
        <v>0</v>
      </c>
      <c r="D2321" s="2"/>
      <c r="E2321" s="2"/>
      <c r="F2321" s="2"/>
      <c r="G2321" s="2"/>
      <c r="H2321" s="2"/>
      <c r="I2321" s="5"/>
    </row>
    <row r="2322" spans="1:9" ht="17.399999999999999" x14ac:dyDescent="0.25">
      <c r="A2322" s="16"/>
      <c r="B2322" s="17"/>
      <c r="C2322" s="2" t="b">
        <v>0</v>
      </c>
      <c r="D2322" s="2"/>
      <c r="E2322" s="2"/>
      <c r="F2322" s="2"/>
      <c r="G2322" s="2"/>
      <c r="H2322" s="2"/>
      <c r="I2322" s="5"/>
    </row>
    <row r="2323" spans="1:9" ht="17.399999999999999" x14ac:dyDescent="0.25">
      <c r="A2323" s="16"/>
      <c r="B2323" s="17"/>
      <c r="C2323" s="2" t="b">
        <v>0</v>
      </c>
      <c r="D2323" s="2"/>
      <c r="E2323" s="2"/>
      <c r="F2323" s="2"/>
      <c r="G2323" s="2"/>
      <c r="H2323" s="2"/>
      <c r="I2323" s="5"/>
    </row>
    <row r="2324" spans="1:9" ht="17.399999999999999" x14ac:dyDescent="0.25">
      <c r="A2324" s="16"/>
      <c r="B2324" s="17"/>
      <c r="C2324" s="2" t="b">
        <v>0</v>
      </c>
      <c r="D2324" s="2"/>
      <c r="E2324" s="2"/>
      <c r="F2324" s="2"/>
      <c r="G2324" s="2"/>
      <c r="H2324" s="2"/>
      <c r="I2324" s="5"/>
    </row>
    <row r="2325" spans="1:9" ht="17.399999999999999" x14ac:dyDescent="0.25">
      <c r="A2325" s="16"/>
      <c r="B2325" s="17"/>
      <c r="C2325" s="2" t="b">
        <v>0</v>
      </c>
      <c r="D2325" s="2"/>
      <c r="E2325" s="2"/>
      <c r="F2325" s="2"/>
      <c r="G2325" s="2"/>
      <c r="H2325" s="2"/>
      <c r="I2325" s="5"/>
    </row>
    <row r="2326" spans="1:9" ht="17.399999999999999" x14ac:dyDescent="0.25">
      <c r="A2326" s="16"/>
      <c r="B2326" s="17"/>
      <c r="C2326" s="2" t="b">
        <v>0</v>
      </c>
      <c r="D2326" s="2"/>
      <c r="E2326" s="2"/>
      <c r="F2326" s="2"/>
      <c r="G2326" s="2"/>
      <c r="H2326" s="2"/>
      <c r="I2326" s="5"/>
    </row>
    <row r="2327" spans="1:9" ht="17.399999999999999" x14ac:dyDescent="0.25">
      <c r="A2327" s="16"/>
      <c r="B2327" s="17"/>
      <c r="C2327" s="2" t="b">
        <v>0</v>
      </c>
      <c r="D2327" s="2"/>
      <c r="E2327" s="2"/>
      <c r="F2327" s="2"/>
      <c r="G2327" s="2"/>
      <c r="H2327" s="2"/>
      <c r="I2327" s="5"/>
    </row>
    <row r="2328" spans="1:9" ht="17.399999999999999" x14ac:dyDescent="0.25">
      <c r="A2328" s="16"/>
      <c r="B2328" s="17"/>
      <c r="C2328" s="2" t="b">
        <v>0</v>
      </c>
      <c r="D2328" s="2"/>
      <c r="E2328" s="2"/>
      <c r="F2328" s="2"/>
      <c r="G2328" s="2"/>
      <c r="H2328" s="2"/>
      <c r="I2328" s="5"/>
    </row>
    <row r="2329" spans="1:9" ht="17.399999999999999" x14ac:dyDescent="0.25">
      <c r="A2329" s="16"/>
      <c r="B2329" s="17"/>
      <c r="C2329" s="2" t="b">
        <v>0</v>
      </c>
      <c r="D2329" s="2"/>
      <c r="E2329" s="2"/>
      <c r="F2329" s="2"/>
      <c r="G2329" s="2"/>
      <c r="H2329" s="2"/>
      <c r="I2329" s="5"/>
    </row>
    <row r="2330" spans="1:9" ht="17.399999999999999" x14ac:dyDescent="0.25">
      <c r="A2330" s="16"/>
      <c r="B2330" s="17"/>
      <c r="C2330" s="2" t="b">
        <v>0</v>
      </c>
      <c r="D2330" s="2"/>
      <c r="E2330" s="2"/>
      <c r="F2330" s="2"/>
      <c r="G2330" s="2"/>
      <c r="H2330" s="2"/>
      <c r="I2330" s="5"/>
    </row>
    <row r="2331" spans="1:9" ht="17.399999999999999" x14ac:dyDescent="0.25">
      <c r="A2331" s="16"/>
      <c r="B2331" s="17"/>
      <c r="C2331" s="2" t="b">
        <v>0</v>
      </c>
      <c r="D2331" s="2"/>
      <c r="E2331" s="2"/>
      <c r="F2331" s="2"/>
      <c r="G2331" s="2"/>
      <c r="H2331" s="2"/>
      <c r="I2331" s="5"/>
    </row>
    <row r="2332" spans="1:9" ht="17.399999999999999" x14ac:dyDescent="0.25">
      <c r="A2332" s="16"/>
      <c r="B2332" s="17"/>
      <c r="C2332" s="2" t="b">
        <v>0</v>
      </c>
      <c r="D2332" s="2"/>
      <c r="E2332" s="2"/>
      <c r="F2332" s="2"/>
      <c r="G2332" s="2"/>
      <c r="H2332" s="2"/>
      <c r="I2332" s="5"/>
    </row>
    <row r="2333" spans="1:9" ht="17.399999999999999" x14ac:dyDescent="0.25">
      <c r="A2333" s="16"/>
      <c r="B2333" s="17"/>
      <c r="C2333" s="2" t="b">
        <v>0</v>
      </c>
      <c r="D2333" s="2"/>
      <c r="E2333" s="2"/>
      <c r="F2333" s="2"/>
      <c r="G2333" s="2"/>
      <c r="H2333" s="2"/>
      <c r="I2333" s="5"/>
    </row>
    <row r="2334" spans="1:9" ht="17.399999999999999" x14ac:dyDescent="0.25">
      <c r="A2334" s="16"/>
      <c r="B2334" s="17"/>
      <c r="C2334" s="2" t="b">
        <v>0</v>
      </c>
      <c r="D2334" s="2"/>
      <c r="E2334" s="2"/>
      <c r="F2334" s="2"/>
      <c r="G2334" s="2"/>
      <c r="H2334" s="2"/>
      <c r="I2334" s="5"/>
    </row>
    <row r="2335" spans="1:9" ht="17.399999999999999" x14ac:dyDescent="0.25">
      <c r="A2335" s="16"/>
      <c r="B2335" s="17"/>
      <c r="C2335" s="2" t="b">
        <v>0</v>
      </c>
      <c r="D2335" s="2"/>
      <c r="E2335" s="2"/>
      <c r="F2335" s="2"/>
      <c r="G2335" s="2"/>
      <c r="H2335" s="2"/>
      <c r="I2335" s="5"/>
    </row>
    <row r="2336" spans="1:9" ht="17.399999999999999" x14ac:dyDescent="0.25">
      <c r="A2336" s="16"/>
      <c r="B2336" s="17"/>
      <c r="C2336" s="2" t="b">
        <v>0</v>
      </c>
      <c r="D2336" s="2"/>
      <c r="E2336" s="2"/>
      <c r="F2336" s="2"/>
      <c r="G2336" s="2"/>
      <c r="H2336" s="2"/>
      <c r="I2336" s="5"/>
    </row>
    <row r="2337" spans="1:9" ht="17.399999999999999" x14ac:dyDescent="0.25">
      <c r="A2337" s="16"/>
      <c r="B2337" s="17"/>
      <c r="C2337" s="2" t="b">
        <v>0</v>
      </c>
      <c r="D2337" s="2"/>
      <c r="E2337" s="2"/>
      <c r="F2337" s="2"/>
      <c r="G2337" s="2"/>
      <c r="H2337" s="2"/>
      <c r="I2337" s="5"/>
    </row>
    <row r="2338" spans="1:9" ht="17.399999999999999" x14ac:dyDescent="0.25">
      <c r="A2338" s="16"/>
      <c r="B2338" s="17"/>
      <c r="C2338" s="2" t="b">
        <v>0</v>
      </c>
      <c r="D2338" s="2"/>
      <c r="E2338" s="2"/>
      <c r="F2338" s="2"/>
      <c r="G2338" s="2"/>
      <c r="H2338" s="2"/>
      <c r="I2338" s="5"/>
    </row>
    <row r="2339" spans="1:9" ht="17.399999999999999" x14ac:dyDescent="0.25">
      <c r="A2339" s="16"/>
      <c r="B2339" s="17"/>
      <c r="C2339" s="2" t="b">
        <v>0</v>
      </c>
      <c r="D2339" s="2"/>
      <c r="E2339" s="2"/>
      <c r="F2339" s="2"/>
      <c r="G2339" s="2"/>
      <c r="H2339" s="2"/>
      <c r="I2339" s="5"/>
    </row>
    <row r="2340" spans="1:9" ht="17.399999999999999" x14ac:dyDescent="0.25">
      <c r="A2340" s="16"/>
      <c r="B2340" s="17"/>
      <c r="C2340" s="2" t="b">
        <v>0</v>
      </c>
      <c r="D2340" s="2"/>
      <c r="E2340" s="2"/>
      <c r="F2340" s="2"/>
      <c r="G2340" s="2"/>
      <c r="H2340" s="2"/>
      <c r="I2340" s="5"/>
    </row>
    <row r="2341" spans="1:9" ht="17.399999999999999" x14ac:dyDescent="0.25">
      <c r="A2341" s="16"/>
      <c r="B2341" s="17"/>
      <c r="C2341" s="2" t="b">
        <v>0</v>
      </c>
      <c r="D2341" s="2"/>
      <c r="E2341" s="2"/>
      <c r="F2341" s="2"/>
      <c r="G2341" s="2"/>
      <c r="H2341" s="2"/>
      <c r="I2341" s="5"/>
    </row>
    <row r="2342" spans="1:9" ht="17.399999999999999" x14ac:dyDescent="0.25">
      <c r="A2342" s="16"/>
      <c r="B2342" s="17"/>
      <c r="C2342" s="2" t="b">
        <v>0</v>
      </c>
      <c r="D2342" s="2"/>
      <c r="E2342" s="2"/>
      <c r="F2342" s="2"/>
      <c r="G2342" s="2"/>
      <c r="H2342" s="2"/>
      <c r="I2342" s="5"/>
    </row>
    <row r="2343" spans="1:9" ht="17.399999999999999" x14ac:dyDescent="0.25">
      <c r="A2343" s="16"/>
      <c r="B2343" s="17"/>
      <c r="C2343" s="2" t="b">
        <v>0</v>
      </c>
      <c r="D2343" s="2"/>
      <c r="E2343" s="2"/>
      <c r="F2343" s="2"/>
      <c r="G2343" s="2"/>
      <c r="H2343" s="2"/>
      <c r="I2343" s="5"/>
    </row>
    <row r="2344" spans="1:9" ht="17.399999999999999" x14ac:dyDescent="0.25">
      <c r="A2344" s="16"/>
      <c r="B2344" s="17"/>
      <c r="C2344" s="2" t="b">
        <v>0</v>
      </c>
      <c r="D2344" s="2"/>
      <c r="E2344" s="2"/>
      <c r="F2344" s="2"/>
      <c r="G2344" s="2"/>
      <c r="H2344" s="2"/>
      <c r="I2344" s="5"/>
    </row>
    <row r="2345" spans="1:9" ht="17.399999999999999" x14ac:dyDescent="0.25">
      <c r="A2345" s="16"/>
      <c r="B2345" s="17"/>
      <c r="C2345" s="2" t="b">
        <v>0</v>
      </c>
      <c r="D2345" s="2"/>
      <c r="E2345" s="2"/>
      <c r="F2345" s="2"/>
      <c r="G2345" s="2"/>
      <c r="H2345" s="2"/>
      <c r="I2345" s="5"/>
    </row>
    <row r="2346" spans="1:9" ht="17.399999999999999" x14ac:dyDescent="0.25">
      <c r="A2346" s="16"/>
      <c r="B2346" s="17"/>
      <c r="C2346" s="2" t="b">
        <v>0</v>
      </c>
      <c r="D2346" s="2"/>
      <c r="E2346" s="2"/>
      <c r="F2346" s="2"/>
      <c r="G2346" s="2"/>
      <c r="H2346" s="2"/>
      <c r="I2346" s="5"/>
    </row>
    <row r="2347" spans="1:9" ht="17.399999999999999" x14ac:dyDescent="0.25">
      <c r="A2347" s="16"/>
      <c r="B2347" s="17"/>
      <c r="C2347" s="2" t="b">
        <v>0</v>
      </c>
      <c r="D2347" s="2"/>
      <c r="E2347" s="2"/>
      <c r="F2347" s="2"/>
      <c r="G2347" s="2"/>
      <c r="H2347" s="2"/>
      <c r="I2347" s="5"/>
    </row>
    <row r="2348" spans="1:9" ht="17.399999999999999" x14ac:dyDescent="0.25">
      <c r="A2348" s="16"/>
      <c r="B2348" s="17"/>
      <c r="C2348" s="2" t="b">
        <v>0</v>
      </c>
      <c r="D2348" s="2"/>
      <c r="E2348" s="2"/>
      <c r="F2348" s="2"/>
      <c r="G2348" s="2"/>
      <c r="H2348" s="2"/>
      <c r="I2348" s="5"/>
    </row>
    <row r="2349" spans="1:9" ht="17.399999999999999" x14ac:dyDescent="0.25">
      <c r="A2349" s="16"/>
      <c r="B2349" s="17"/>
      <c r="C2349" s="2" t="b">
        <v>0</v>
      </c>
      <c r="D2349" s="2"/>
      <c r="E2349" s="2"/>
      <c r="F2349" s="2"/>
      <c r="G2349" s="2"/>
      <c r="H2349" s="2"/>
      <c r="I2349" s="5"/>
    </row>
    <row r="2350" spans="1:9" ht="17.399999999999999" x14ac:dyDescent="0.25">
      <c r="A2350" s="16"/>
      <c r="B2350" s="17"/>
      <c r="C2350" s="2" t="b">
        <v>0</v>
      </c>
      <c r="D2350" s="2"/>
      <c r="E2350" s="2"/>
      <c r="F2350" s="2"/>
      <c r="G2350" s="2"/>
      <c r="H2350" s="2"/>
      <c r="I2350" s="5"/>
    </row>
    <row r="2351" spans="1:9" ht="17.399999999999999" x14ac:dyDescent="0.25">
      <c r="A2351" s="16"/>
      <c r="B2351" s="17"/>
      <c r="C2351" s="2" t="b">
        <v>0</v>
      </c>
      <c r="D2351" s="2"/>
      <c r="E2351" s="2"/>
      <c r="F2351" s="2"/>
      <c r="G2351" s="2"/>
      <c r="H2351" s="2"/>
      <c r="I2351" s="5"/>
    </row>
    <row r="2352" spans="1:9" ht="17.399999999999999" x14ac:dyDescent="0.25">
      <c r="A2352" s="16"/>
      <c r="B2352" s="17"/>
      <c r="C2352" s="2" t="b">
        <v>0</v>
      </c>
      <c r="D2352" s="2"/>
      <c r="E2352" s="2"/>
      <c r="F2352" s="2"/>
      <c r="G2352" s="2"/>
      <c r="H2352" s="2"/>
      <c r="I2352" s="5"/>
    </row>
    <row r="2353" spans="1:9" ht="17.399999999999999" x14ac:dyDescent="0.25">
      <c r="A2353" s="16"/>
      <c r="B2353" s="17"/>
      <c r="C2353" s="2" t="b">
        <v>0</v>
      </c>
      <c r="D2353" s="2"/>
      <c r="E2353" s="2"/>
      <c r="F2353" s="2"/>
      <c r="G2353" s="2"/>
      <c r="H2353" s="2"/>
      <c r="I2353" s="5"/>
    </row>
    <row r="2354" spans="1:9" ht="17.399999999999999" x14ac:dyDescent="0.25">
      <c r="A2354" s="16"/>
      <c r="B2354" s="17"/>
      <c r="C2354" s="2" t="b">
        <v>0</v>
      </c>
      <c r="D2354" s="2"/>
      <c r="E2354" s="2"/>
      <c r="F2354" s="2"/>
      <c r="G2354" s="2"/>
      <c r="H2354" s="2"/>
      <c r="I2354" s="5"/>
    </row>
    <row r="2355" spans="1:9" ht="17.399999999999999" x14ac:dyDescent="0.25">
      <c r="A2355" s="16"/>
      <c r="B2355" s="17"/>
      <c r="C2355" s="2" t="b">
        <v>0</v>
      </c>
      <c r="D2355" s="2"/>
      <c r="E2355" s="2"/>
      <c r="F2355" s="2"/>
      <c r="G2355" s="2"/>
      <c r="H2355" s="2"/>
      <c r="I2355" s="5"/>
    </row>
    <row r="2356" spans="1:9" ht="17.399999999999999" x14ac:dyDescent="0.25">
      <c r="A2356" s="16"/>
      <c r="B2356" s="17"/>
      <c r="C2356" s="2" t="b">
        <v>0</v>
      </c>
      <c r="D2356" s="2"/>
      <c r="E2356" s="2"/>
      <c r="F2356" s="2"/>
      <c r="G2356" s="2"/>
      <c r="H2356" s="2"/>
      <c r="I2356" s="5"/>
    </row>
    <row r="2357" spans="1:9" ht="17.399999999999999" x14ac:dyDescent="0.25">
      <c r="A2357" s="16"/>
      <c r="B2357" s="17"/>
      <c r="C2357" s="2" t="b">
        <v>0</v>
      </c>
      <c r="D2357" s="2"/>
      <c r="E2357" s="2"/>
      <c r="F2357" s="2"/>
      <c r="G2357" s="2"/>
      <c r="H2357" s="2"/>
      <c r="I2357" s="5"/>
    </row>
    <row r="2358" spans="1:9" ht="17.399999999999999" x14ac:dyDescent="0.25">
      <c r="A2358" s="16"/>
      <c r="B2358" s="17"/>
      <c r="C2358" s="2" t="b">
        <v>0</v>
      </c>
      <c r="D2358" s="2"/>
      <c r="E2358" s="2"/>
      <c r="F2358" s="2"/>
      <c r="G2358" s="2"/>
      <c r="H2358" s="2"/>
      <c r="I2358" s="5"/>
    </row>
    <row r="2359" spans="1:9" ht="17.399999999999999" x14ac:dyDescent="0.25">
      <c r="A2359" s="16"/>
      <c r="B2359" s="17"/>
      <c r="C2359" s="2" t="b">
        <v>0</v>
      </c>
      <c r="D2359" s="2"/>
      <c r="E2359" s="2"/>
      <c r="F2359" s="2"/>
      <c r="G2359" s="2"/>
      <c r="H2359" s="2"/>
      <c r="I2359" s="5"/>
    </row>
    <row r="2360" spans="1:9" ht="17.399999999999999" x14ac:dyDescent="0.25">
      <c r="A2360" s="16"/>
      <c r="B2360" s="17"/>
      <c r="C2360" s="2" t="b">
        <v>0</v>
      </c>
      <c r="D2360" s="2"/>
      <c r="E2360" s="2"/>
      <c r="F2360" s="2"/>
      <c r="G2360" s="2"/>
      <c r="H2360" s="2"/>
      <c r="I2360" s="5"/>
    </row>
    <row r="2361" spans="1:9" ht="17.399999999999999" x14ac:dyDescent="0.25">
      <c r="A2361" s="16"/>
      <c r="B2361" s="17"/>
      <c r="C2361" s="2" t="b">
        <v>0</v>
      </c>
      <c r="D2361" s="2"/>
      <c r="E2361" s="2"/>
      <c r="F2361" s="2"/>
      <c r="G2361" s="2"/>
      <c r="H2361" s="2"/>
      <c r="I2361" s="5"/>
    </row>
    <row r="2362" spans="1:9" ht="17.399999999999999" x14ac:dyDescent="0.25">
      <c r="A2362" s="16"/>
      <c r="B2362" s="17"/>
      <c r="C2362" s="2" t="b">
        <v>0</v>
      </c>
      <c r="D2362" s="2"/>
      <c r="E2362" s="2"/>
      <c r="F2362" s="2"/>
      <c r="G2362" s="2"/>
      <c r="H2362" s="2"/>
      <c r="I2362" s="5"/>
    </row>
    <row r="2363" spans="1:9" ht="17.399999999999999" x14ac:dyDescent="0.25">
      <c r="A2363" s="16"/>
      <c r="B2363" s="17"/>
      <c r="C2363" s="2" t="b">
        <v>0</v>
      </c>
      <c r="D2363" s="2"/>
      <c r="E2363" s="2"/>
      <c r="F2363" s="2"/>
      <c r="G2363" s="2"/>
      <c r="H2363" s="2"/>
      <c r="I2363" s="5"/>
    </row>
    <row r="2364" spans="1:9" ht="17.399999999999999" x14ac:dyDescent="0.25">
      <c r="A2364" s="16"/>
      <c r="B2364" s="17"/>
      <c r="C2364" s="2" t="b">
        <v>0</v>
      </c>
      <c r="D2364" s="2"/>
      <c r="E2364" s="2"/>
      <c r="F2364" s="2"/>
      <c r="G2364" s="2"/>
      <c r="H2364" s="2"/>
      <c r="I2364" s="5"/>
    </row>
    <row r="2365" spans="1:9" ht="17.399999999999999" x14ac:dyDescent="0.25">
      <c r="A2365" s="16"/>
      <c r="B2365" s="17"/>
      <c r="C2365" s="2" t="b">
        <v>0</v>
      </c>
      <c r="D2365" s="2"/>
      <c r="E2365" s="2"/>
      <c r="F2365" s="2"/>
      <c r="G2365" s="2"/>
      <c r="H2365" s="2"/>
      <c r="I2365" s="5"/>
    </row>
    <row r="2366" spans="1:9" ht="17.399999999999999" x14ac:dyDescent="0.25">
      <c r="A2366" s="16"/>
      <c r="B2366" s="17"/>
      <c r="C2366" s="2" t="b">
        <v>0</v>
      </c>
      <c r="D2366" s="2"/>
      <c r="E2366" s="2"/>
      <c r="F2366" s="2"/>
      <c r="G2366" s="2"/>
      <c r="H2366" s="2"/>
      <c r="I2366" s="5"/>
    </row>
    <row r="2367" spans="1:9" ht="17.399999999999999" x14ac:dyDescent="0.25">
      <c r="A2367" s="16"/>
      <c r="B2367" s="17"/>
      <c r="C2367" s="2" t="b">
        <v>0</v>
      </c>
      <c r="D2367" s="2"/>
      <c r="E2367" s="2"/>
      <c r="F2367" s="2"/>
      <c r="G2367" s="2"/>
      <c r="H2367" s="2"/>
      <c r="I2367" s="5"/>
    </row>
    <row r="2368" spans="1:9" ht="17.399999999999999" x14ac:dyDescent="0.25">
      <c r="A2368" s="16"/>
      <c r="B2368" s="17"/>
      <c r="C2368" s="2" t="b">
        <v>0</v>
      </c>
      <c r="D2368" s="2"/>
      <c r="E2368" s="2"/>
      <c r="F2368" s="2"/>
      <c r="G2368" s="2"/>
      <c r="H2368" s="2"/>
      <c r="I2368" s="5"/>
    </row>
    <row r="2369" spans="1:9" ht="17.399999999999999" x14ac:dyDescent="0.25">
      <c r="A2369" s="16"/>
      <c r="B2369" s="17"/>
      <c r="C2369" s="2" t="b">
        <v>0</v>
      </c>
      <c r="D2369" s="2"/>
      <c r="E2369" s="2"/>
      <c r="F2369" s="2"/>
      <c r="G2369" s="2"/>
      <c r="H2369" s="2"/>
      <c r="I2369" s="5"/>
    </row>
    <row r="2370" spans="1:9" ht="17.399999999999999" x14ac:dyDescent="0.25">
      <c r="A2370" s="16"/>
      <c r="B2370" s="17"/>
      <c r="C2370" s="2" t="b">
        <v>0</v>
      </c>
      <c r="D2370" s="2"/>
      <c r="E2370" s="2"/>
      <c r="F2370" s="2"/>
      <c r="G2370" s="2"/>
      <c r="H2370" s="2"/>
      <c r="I2370" s="5"/>
    </row>
    <row r="2371" spans="1:9" ht="17.399999999999999" x14ac:dyDescent="0.25">
      <c r="A2371" s="16"/>
      <c r="B2371" s="17"/>
      <c r="C2371" s="2" t="b">
        <v>0</v>
      </c>
      <c r="D2371" s="2"/>
      <c r="E2371" s="2"/>
      <c r="F2371" s="2"/>
      <c r="G2371" s="2"/>
      <c r="H2371" s="2"/>
      <c r="I2371" s="5"/>
    </row>
    <row r="2372" spans="1:9" ht="17.399999999999999" x14ac:dyDescent="0.25">
      <c r="A2372" s="16"/>
      <c r="B2372" s="17"/>
      <c r="C2372" s="2" t="b">
        <v>0</v>
      </c>
      <c r="D2372" s="2"/>
      <c r="E2372" s="2"/>
      <c r="F2372" s="2"/>
      <c r="G2372" s="2"/>
      <c r="H2372" s="2"/>
      <c r="I2372" s="5"/>
    </row>
    <row r="2373" spans="1:9" ht="17.399999999999999" x14ac:dyDescent="0.25">
      <c r="A2373" s="16"/>
      <c r="B2373" s="17"/>
      <c r="C2373" s="2" t="b">
        <v>0</v>
      </c>
      <c r="D2373" s="2"/>
      <c r="E2373" s="2"/>
      <c r="F2373" s="2"/>
      <c r="G2373" s="2"/>
      <c r="H2373" s="2"/>
      <c r="I2373" s="5"/>
    </row>
    <row r="2374" spans="1:9" ht="17.399999999999999" x14ac:dyDescent="0.25">
      <c r="A2374" s="16"/>
      <c r="B2374" s="17"/>
      <c r="C2374" s="2" t="b">
        <v>0</v>
      </c>
      <c r="D2374" s="2"/>
      <c r="E2374" s="2"/>
      <c r="F2374" s="2"/>
      <c r="G2374" s="2"/>
      <c r="H2374" s="2"/>
      <c r="I2374" s="5"/>
    </row>
    <row r="2375" spans="1:9" ht="17.399999999999999" x14ac:dyDescent="0.25">
      <c r="A2375" s="16"/>
      <c r="B2375" s="17"/>
      <c r="C2375" s="2" t="b">
        <v>0</v>
      </c>
      <c r="D2375" s="2"/>
      <c r="E2375" s="2"/>
      <c r="F2375" s="2"/>
      <c r="G2375" s="2"/>
      <c r="H2375" s="2"/>
      <c r="I2375" s="5"/>
    </row>
    <row r="2376" spans="1:9" ht="17.399999999999999" x14ac:dyDescent="0.25">
      <c r="A2376" s="16"/>
      <c r="B2376" s="17"/>
      <c r="C2376" s="2" t="b">
        <v>0</v>
      </c>
      <c r="D2376" s="2"/>
      <c r="E2376" s="2"/>
      <c r="F2376" s="2"/>
      <c r="G2376" s="2"/>
      <c r="H2376" s="2"/>
      <c r="I2376" s="5"/>
    </row>
    <row r="2377" spans="1:9" ht="17.399999999999999" x14ac:dyDescent="0.25">
      <c r="A2377" s="16"/>
      <c r="B2377" s="17"/>
      <c r="C2377" s="2" t="b">
        <v>0</v>
      </c>
      <c r="D2377" s="2"/>
      <c r="E2377" s="2"/>
      <c r="F2377" s="2"/>
      <c r="G2377" s="2"/>
      <c r="H2377" s="2"/>
      <c r="I2377" s="5"/>
    </row>
    <row r="2378" spans="1:9" ht="17.399999999999999" x14ac:dyDescent="0.25">
      <c r="A2378" s="16"/>
      <c r="B2378" s="17"/>
      <c r="C2378" s="2" t="b">
        <v>0</v>
      </c>
      <c r="D2378" s="2"/>
      <c r="E2378" s="2"/>
      <c r="F2378" s="2"/>
      <c r="G2378" s="2"/>
      <c r="H2378" s="2"/>
      <c r="I2378" s="5"/>
    </row>
    <row r="2379" spans="1:9" ht="17.399999999999999" x14ac:dyDescent="0.25">
      <c r="A2379" s="16"/>
      <c r="B2379" s="17"/>
      <c r="C2379" s="2" t="b">
        <v>0</v>
      </c>
      <c r="D2379" s="2"/>
      <c r="E2379" s="2"/>
      <c r="F2379" s="2"/>
      <c r="G2379" s="2"/>
      <c r="H2379" s="2"/>
      <c r="I2379" s="5"/>
    </row>
    <row r="2380" spans="1:9" ht="17.399999999999999" x14ac:dyDescent="0.25">
      <c r="A2380" s="16"/>
      <c r="B2380" s="17"/>
      <c r="C2380" s="2" t="b">
        <v>0</v>
      </c>
      <c r="D2380" s="2"/>
      <c r="E2380" s="2"/>
      <c r="F2380" s="2"/>
      <c r="G2380" s="2"/>
      <c r="H2380" s="2"/>
      <c r="I2380" s="5"/>
    </row>
    <row r="2381" spans="1:9" ht="17.399999999999999" x14ac:dyDescent="0.25">
      <c r="A2381" s="16"/>
      <c r="B2381" s="17"/>
      <c r="C2381" s="2" t="b">
        <v>0</v>
      </c>
      <c r="D2381" s="2"/>
      <c r="E2381" s="2"/>
      <c r="F2381" s="2"/>
      <c r="G2381" s="2"/>
      <c r="H2381" s="2"/>
      <c r="I2381" s="5"/>
    </row>
    <row r="2382" spans="1:9" ht="17.399999999999999" x14ac:dyDescent="0.25">
      <c r="A2382" s="16"/>
      <c r="B2382" s="17"/>
      <c r="C2382" s="2" t="b">
        <v>0</v>
      </c>
      <c r="D2382" s="2"/>
      <c r="E2382" s="2"/>
      <c r="F2382" s="2"/>
      <c r="G2382" s="2"/>
      <c r="H2382" s="2"/>
      <c r="I2382" s="5"/>
    </row>
    <row r="2383" spans="1:9" ht="17.399999999999999" x14ac:dyDescent="0.25">
      <c r="A2383" s="16"/>
      <c r="B2383" s="17"/>
      <c r="C2383" s="2" t="b">
        <v>0</v>
      </c>
      <c r="D2383" s="2"/>
      <c r="E2383" s="2"/>
      <c r="F2383" s="2"/>
      <c r="G2383" s="2"/>
      <c r="H2383" s="2"/>
      <c r="I2383" s="5"/>
    </row>
    <row r="2384" spans="1:9" ht="17.399999999999999" x14ac:dyDescent="0.25">
      <c r="A2384" s="16"/>
      <c r="B2384" s="17"/>
      <c r="C2384" s="2" t="b">
        <v>0</v>
      </c>
      <c r="D2384" s="2"/>
      <c r="E2384" s="2"/>
      <c r="F2384" s="2"/>
      <c r="G2384" s="2"/>
      <c r="H2384" s="2"/>
      <c r="I2384" s="5"/>
    </row>
    <row r="2385" spans="1:9" ht="17.399999999999999" x14ac:dyDescent="0.25">
      <c r="A2385" s="16"/>
      <c r="B2385" s="17"/>
      <c r="C2385" s="2" t="b">
        <v>0</v>
      </c>
      <c r="D2385" s="2"/>
      <c r="E2385" s="2"/>
      <c r="F2385" s="2"/>
      <c r="G2385" s="2"/>
      <c r="H2385" s="2"/>
      <c r="I2385" s="5"/>
    </row>
    <row r="2386" spans="1:9" ht="17.399999999999999" x14ac:dyDescent="0.25">
      <c r="A2386" s="16"/>
      <c r="B2386" s="17"/>
      <c r="C2386" s="2" t="b">
        <v>0</v>
      </c>
      <c r="D2386" s="2"/>
      <c r="E2386" s="2"/>
      <c r="F2386" s="2"/>
      <c r="G2386" s="2"/>
      <c r="H2386" s="2"/>
      <c r="I2386" s="5"/>
    </row>
    <row r="2387" spans="1:9" ht="17.399999999999999" x14ac:dyDescent="0.25">
      <c r="A2387" s="16"/>
      <c r="B2387" s="17"/>
      <c r="C2387" s="2" t="b">
        <v>0</v>
      </c>
      <c r="D2387" s="2"/>
      <c r="E2387" s="2"/>
      <c r="F2387" s="2"/>
      <c r="G2387" s="2"/>
      <c r="H2387" s="2"/>
      <c r="I2387" s="5"/>
    </row>
    <row r="2388" spans="1:9" ht="17.399999999999999" x14ac:dyDescent="0.25">
      <c r="A2388" s="16"/>
      <c r="B2388" s="17"/>
      <c r="C2388" s="2" t="b">
        <v>0</v>
      </c>
      <c r="D2388" s="2"/>
      <c r="E2388" s="2"/>
      <c r="F2388" s="2"/>
      <c r="G2388" s="2"/>
      <c r="H2388" s="2"/>
      <c r="I2388" s="5"/>
    </row>
    <row r="2389" spans="1:9" ht="17.399999999999999" x14ac:dyDescent="0.25">
      <c r="A2389" s="16"/>
      <c r="B2389" s="17"/>
      <c r="C2389" s="2" t="b">
        <v>0</v>
      </c>
      <c r="D2389" s="2"/>
      <c r="E2389" s="2"/>
      <c r="F2389" s="2"/>
      <c r="G2389" s="2"/>
      <c r="H2389" s="2"/>
      <c r="I2389" s="5"/>
    </row>
    <row r="2390" spans="1:9" ht="17.399999999999999" x14ac:dyDescent="0.25">
      <c r="A2390" s="16"/>
      <c r="B2390" s="17"/>
      <c r="C2390" s="2" t="b">
        <v>0</v>
      </c>
      <c r="D2390" s="2"/>
      <c r="E2390" s="2"/>
      <c r="F2390" s="2"/>
      <c r="G2390" s="2"/>
      <c r="H2390" s="2"/>
      <c r="I2390" s="5"/>
    </row>
    <row r="2391" spans="1:9" ht="17.399999999999999" x14ac:dyDescent="0.25">
      <c r="A2391" s="16"/>
      <c r="B2391" s="17"/>
      <c r="C2391" s="2" t="b">
        <v>0</v>
      </c>
      <c r="D2391" s="2"/>
      <c r="E2391" s="2"/>
      <c r="F2391" s="2"/>
      <c r="G2391" s="2"/>
      <c r="H2391" s="2"/>
      <c r="I2391" s="5"/>
    </row>
    <row r="2392" spans="1:9" ht="17.399999999999999" x14ac:dyDescent="0.25">
      <c r="A2392" s="16"/>
      <c r="B2392" s="17"/>
      <c r="C2392" s="2" t="b">
        <v>0</v>
      </c>
      <c r="D2392" s="2"/>
      <c r="E2392" s="2"/>
      <c r="F2392" s="2"/>
      <c r="G2392" s="2"/>
      <c r="H2392" s="2"/>
      <c r="I2392" s="5"/>
    </row>
    <row r="2393" spans="1:9" ht="17.399999999999999" x14ac:dyDescent="0.25">
      <c r="A2393" s="16"/>
      <c r="B2393" s="17"/>
      <c r="C2393" s="2" t="b">
        <v>0</v>
      </c>
      <c r="D2393" s="2"/>
      <c r="E2393" s="2"/>
      <c r="F2393" s="2"/>
      <c r="G2393" s="2"/>
      <c r="H2393" s="2"/>
      <c r="I2393" s="5"/>
    </row>
    <row r="2394" spans="1:9" ht="17.399999999999999" x14ac:dyDescent="0.25">
      <c r="A2394" s="16"/>
      <c r="B2394" s="17"/>
      <c r="C2394" s="2" t="b">
        <v>0</v>
      </c>
      <c r="D2394" s="2"/>
      <c r="E2394" s="2"/>
      <c r="F2394" s="2"/>
      <c r="G2394" s="2"/>
      <c r="H2394" s="2"/>
      <c r="I2394" s="5"/>
    </row>
    <row r="2395" spans="1:9" ht="17.399999999999999" x14ac:dyDescent="0.25">
      <c r="A2395" s="16"/>
      <c r="B2395" s="17"/>
      <c r="C2395" s="2" t="b">
        <v>0</v>
      </c>
      <c r="D2395" s="2"/>
      <c r="E2395" s="2"/>
      <c r="F2395" s="2"/>
      <c r="G2395" s="2"/>
      <c r="H2395" s="2"/>
      <c r="I2395" s="5"/>
    </row>
    <row r="2396" spans="1:9" ht="17.399999999999999" x14ac:dyDescent="0.25">
      <c r="A2396" s="16"/>
      <c r="B2396" s="17"/>
      <c r="C2396" s="2" t="b">
        <v>0</v>
      </c>
      <c r="D2396" s="2"/>
      <c r="E2396" s="2"/>
      <c r="F2396" s="2"/>
      <c r="G2396" s="2"/>
      <c r="H2396" s="2"/>
      <c r="I2396" s="5"/>
    </row>
    <row r="2397" spans="1:9" ht="17.399999999999999" x14ac:dyDescent="0.25">
      <c r="A2397" s="16"/>
      <c r="B2397" s="17"/>
      <c r="C2397" s="2" t="b">
        <v>0</v>
      </c>
      <c r="D2397" s="2"/>
      <c r="E2397" s="2"/>
      <c r="F2397" s="2"/>
      <c r="G2397" s="2"/>
      <c r="H2397" s="2"/>
      <c r="I2397" s="5"/>
    </row>
    <row r="2398" spans="1:9" ht="17.399999999999999" x14ac:dyDescent="0.25">
      <c r="A2398" s="16"/>
      <c r="B2398" s="17"/>
      <c r="C2398" s="2" t="b">
        <v>0</v>
      </c>
      <c r="D2398" s="2"/>
      <c r="E2398" s="2"/>
      <c r="F2398" s="2"/>
      <c r="G2398" s="2"/>
      <c r="H2398" s="2"/>
      <c r="I2398" s="5"/>
    </row>
    <row r="2399" spans="1:9" ht="17.399999999999999" x14ac:dyDescent="0.25">
      <c r="A2399" s="16"/>
      <c r="B2399" s="17"/>
      <c r="C2399" s="2" t="b">
        <v>0</v>
      </c>
      <c r="D2399" s="2"/>
      <c r="E2399" s="2"/>
      <c r="F2399" s="2"/>
      <c r="G2399" s="2"/>
      <c r="H2399" s="2"/>
      <c r="I2399" s="5"/>
    </row>
    <row r="2400" spans="1:9" ht="17.399999999999999" x14ac:dyDescent="0.25">
      <c r="A2400" s="16"/>
      <c r="B2400" s="17"/>
      <c r="C2400" s="2" t="b">
        <v>0</v>
      </c>
      <c r="D2400" s="2"/>
      <c r="E2400" s="2"/>
      <c r="F2400" s="2"/>
      <c r="G2400" s="2"/>
      <c r="H2400" s="2"/>
      <c r="I2400" s="5"/>
    </row>
    <row r="2401" spans="1:9" ht="17.399999999999999" x14ac:dyDescent="0.25">
      <c r="A2401" s="16"/>
      <c r="B2401" s="17"/>
      <c r="C2401" s="2" t="b">
        <v>0</v>
      </c>
      <c r="D2401" s="2"/>
      <c r="E2401" s="2"/>
      <c r="F2401" s="2"/>
      <c r="G2401" s="2"/>
      <c r="H2401" s="2"/>
      <c r="I2401" s="5"/>
    </row>
    <row r="2402" spans="1:9" ht="17.399999999999999" x14ac:dyDescent="0.25">
      <c r="A2402" s="16"/>
      <c r="B2402" s="17"/>
      <c r="C2402" s="2" t="b">
        <v>0</v>
      </c>
      <c r="D2402" s="2"/>
      <c r="E2402" s="2"/>
      <c r="F2402" s="2"/>
      <c r="G2402" s="2"/>
      <c r="H2402" s="2"/>
      <c r="I2402" s="5"/>
    </row>
    <row r="2403" spans="1:9" ht="17.399999999999999" x14ac:dyDescent="0.25">
      <c r="A2403" s="16"/>
      <c r="B2403" s="17"/>
      <c r="C2403" s="2" t="b">
        <v>0</v>
      </c>
      <c r="D2403" s="2"/>
      <c r="E2403" s="2"/>
      <c r="F2403" s="2"/>
      <c r="G2403" s="2"/>
      <c r="H2403" s="2"/>
      <c r="I2403" s="5"/>
    </row>
    <row r="2404" spans="1:9" ht="17.399999999999999" x14ac:dyDescent="0.25">
      <c r="A2404" s="16"/>
      <c r="B2404" s="17"/>
      <c r="C2404" s="2" t="b">
        <v>0</v>
      </c>
      <c r="D2404" s="2"/>
      <c r="E2404" s="2"/>
      <c r="F2404" s="2"/>
      <c r="G2404" s="2"/>
      <c r="H2404" s="2"/>
      <c r="I2404" s="5"/>
    </row>
    <row r="2405" spans="1:9" ht="17.399999999999999" x14ac:dyDescent="0.25">
      <c r="A2405" s="16"/>
      <c r="B2405" s="17"/>
      <c r="C2405" s="2" t="b">
        <v>0</v>
      </c>
      <c r="D2405" s="2"/>
      <c r="E2405" s="2"/>
      <c r="F2405" s="2"/>
      <c r="G2405" s="2"/>
      <c r="H2405" s="2"/>
      <c r="I2405" s="5"/>
    </row>
    <row r="2406" spans="1:9" ht="17.399999999999999" x14ac:dyDescent="0.25">
      <c r="A2406" s="16"/>
      <c r="B2406" s="17"/>
      <c r="C2406" s="2" t="b">
        <v>0</v>
      </c>
      <c r="D2406" s="2"/>
      <c r="E2406" s="2"/>
      <c r="F2406" s="2"/>
      <c r="G2406" s="2"/>
      <c r="H2406" s="2"/>
      <c r="I2406" s="5"/>
    </row>
    <row r="2407" spans="1:9" ht="17.399999999999999" x14ac:dyDescent="0.25">
      <c r="A2407" s="16"/>
      <c r="B2407" s="17"/>
      <c r="C2407" s="2" t="b">
        <v>0</v>
      </c>
      <c r="D2407" s="2"/>
      <c r="E2407" s="2"/>
      <c r="F2407" s="2"/>
      <c r="G2407" s="2"/>
      <c r="H2407" s="2"/>
      <c r="I2407" s="5"/>
    </row>
    <row r="2408" spans="1:9" ht="17.399999999999999" x14ac:dyDescent="0.25">
      <c r="A2408" s="16"/>
      <c r="B2408" s="17"/>
      <c r="C2408" s="2" t="b">
        <v>0</v>
      </c>
      <c r="D2408" s="2"/>
      <c r="E2408" s="2"/>
      <c r="F2408" s="2"/>
      <c r="G2408" s="2"/>
      <c r="H2408" s="2"/>
      <c r="I2408" s="5"/>
    </row>
    <row r="2409" spans="1:9" ht="17.399999999999999" x14ac:dyDescent="0.25">
      <c r="A2409" s="16"/>
      <c r="B2409" s="17"/>
      <c r="C2409" s="2" t="b">
        <v>0</v>
      </c>
      <c r="D2409" s="2"/>
      <c r="E2409" s="2"/>
      <c r="F2409" s="2"/>
      <c r="G2409" s="2"/>
      <c r="H2409" s="2"/>
      <c r="I2409" s="5"/>
    </row>
    <row r="2410" spans="1:9" ht="17.399999999999999" x14ac:dyDescent="0.25">
      <c r="A2410" s="16"/>
      <c r="B2410" s="17"/>
      <c r="C2410" s="2" t="b">
        <v>0</v>
      </c>
      <c r="D2410" s="2"/>
      <c r="E2410" s="2"/>
      <c r="F2410" s="2"/>
      <c r="G2410" s="2"/>
      <c r="H2410" s="2"/>
      <c r="I2410" s="5"/>
    </row>
    <row r="2411" spans="1:9" ht="17.399999999999999" x14ac:dyDescent="0.25">
      <c r="A2411" s="16"/>
      <c r="B2411" s="17"/>
      <c r="C2411" s="2" t="b">
        <v>0</v>
      </c>
      <c r="D2411" s="2"/>
      <c r="E2411" s="2"/>
      <c r="F2411" s="2"/>
      <c r="G2411" s="2"/>
      <c r="H2411" s="2"/>
      <c r="I2411" s="5"/>
    </row>
    <row r="2412" spans="1:9" ht="17.399999999999999" x14ac:dyDescent="0.25">
      <c r="A2412" s="16"/>
      <c r="B2412" s="17"/>
      <c r="C2412" s="2" t="b">
        <v>0</v>
      </c>
      <c r="D2412" s="2"/>
      <c r="E2412" s="2"/>
      <c r="F2412" s="2"/>
      <c r="G2412" s="2"/>
      <c r="H2412" s="2"/>
      <c r="I2412" s="5"/>
    </row>
    <row r="2413" spans="1:9" ht="17.399999999999999" x14ac:dyDescent="0.25">
      <c r="A2413" s="16"/>
      <c r="B2413" s="17"/>
      <c r="C2413" s="2" t="b">
        <v>0</v>
      </c>
      <c r="D2413" s="2"/>
      <c r="E2413" s="2"/>
      <c r="F2413" s="2"/>
      <c r="G2413" s="2"/>
      <c r="H2413" s="2"/>
      <c r="I2413" s="5"/>
    </row>
    <row r="2414" spans="1:9" ht="17.399999999999999" x14ac:dyDescent="0.25">
      <c r="A2414" s="16"/>
      <c r="B2414" s="17"/>
      <c r="C2414" s="2" t="b">
        <v>0</v>
      </c>
      <c r="D2414" s="2"/>
      <c r="E2414" s="2"/>
      <c r="F2414" s="2"/>
      <c r="G2414" s="2"/>
      <c r="H2414" s="2"/>
      <c r="I2414" s="5"/>
    </row>
    <row r="2415" spans="1:9" ht="17.399999999999999" x14ac:dyDescent="0.25">
      <c r="A2415" s="16"/>
      <c r="B2415" s="17"/>
      <c r="C2415" s="2" t="b">
        <v>0</v>
      </c>
      <c r="D2415" s="2"/>
      <c r="E2415" s="2"/>
      <c r="F2415" s="2"/>
      <c r="G2415" s="2"/>
      <c r="H2415" s="2"/>
      <c r="I2415" s="5"/>
    </row>
    <row r="2416" spans="1:9" ht="17.399999999999999" x14ac:dyDescent="0.25">
      <c r="A2416" s="16"/>
      <c r="B2416" s="17"/>
      <c r="C2416" s="2" t="b">
        <v>0</v>
      </c>
      <c r="D2416" s="2"/>
      <c r="E2416" s="2"/>
      <c r="F2416" s="2"/>
      <c r="G2416" s="2"/>
      <c r="H2416" s="2"/>
      <c r="I2416" s="5"/>
    </row>
    <row r="2417" spans="1:9" ht="17.399999999999999" x14ac:dyDescent="0.25">
      <c r="A2417" s="16"/>
      <c r="B2417" s="17"/>
      <c r="C2417" s="2" t="b">
        <v>0</v>
      </c>
      <c r="D2417" s="2"/>
      <c r="E2417" s="2"/>
      <c r="F2417" s="2"/>
      <c r="G2417" s="2"/>
      <c r="H2417" s="2"/>
      <c r="I2417" s="5"/>
    </row>
    <row r="2418" spans="1:9" ht="17.399999999999999" x14ac:dyDescent="0.25">
      <c r="A2418" s="16"/>
      <c r="B2418" s="17"/>
      <c r="C2418" s="2" t="b">
        <v>0</v>
      </c>
      <c r="D2418" s="2"/>
      <c r="E2418" s="2"/>
      <c r="F2418" s="2"/>
      <c r="G2418" s="2"/>
      <c r="H2418" s="2"/>
      <c r="I2418" s="5"/>
    </row>
    <row r="2419" spans="1:9" ht="17.399999999999999" x14ac:dyDescent="0.25">
      <c r="A2419" s="16"/>
      <c r="B2419" s="17"/>
      <c r="C2419" s="2" t="b">
        <v>0</v>
      </c>
      <c r="D2419" s="2"/>
      <c r="E2419" s="2"/>
      <c r="F2419" s="2"/>
      <c r="G2419" s="2"/>
      <c r="H2419" s="2"/>
      <c r="I2419" s="5"/>
    </row>
    <row r="2420" spans="1:9" ht="17.399999999999999" x14ac:dyDescent="0.25">
      <c r="A2420" s="16"/>
      <c r="B2420" s="17"/>
      <c r="C2420" s="2" t="b">
        <v>0</v>
      </c>
      <c r="D2420" s="2"/>
      <c r="E2420" s="2"/>
      <c r="F2420" s="2"/>
      <c r="G2420" s="2"/>
      <c r="H2420" s="2"/>
      <c r="I2420" s="5"/>
    </row>
    <row r="2421" spans="1:9" ht="17.399999999999999" x14ac:dyDescent="0.25">
      <c r="A2421" s="16"/>
      <c r="B2421" s="17"/>
      <c r="C2421" s="2" t="b">
        <v>0</v>
      </c>
      <c r="D2421" s="2"/>
      <c r="E2421" s="2"/>
      <c r="F2421" s="2"/>
      <c r="G2421" s="2"/>
      <c r="H2421" s="2"/>
      <c r="I2421" s="5"/>
    </row>
    <row r="2422" spans="1:9" ht="17.399999999999999" x14ac:dyDescent="0.25">
      <c r="A2422" s="16"/>
      <c r="B2422" s="17"/>
      <c r="C2422" s="2" t="b">
        <v>0</v>
      </c>
      <c r="D2422" s="2"/>
      <c r="E2422" s="2"/>
      <c r="F2422" s="2"/>
      <c r="G2422" s="2"/>
      <c r="H2422" s="2"/>
      <c r="I2422" s="5"/>
    </row>
    <row r="2423" spans="1:9" ht="17.399999999999999" x14ac:dyDescent="0.25">
      <c r="A2423" s="16"/>
      <c r="B2423" s="17"/>
      <c r="C2423" s="2" t="b">
        <v>0</v>
      </c>
      <c r="D2423" s="2"/>
      <c r="E2423" s="2"/>
      <c r="F2423" s="2"/>
      <c r="G2423" s="2"/>
      <c r="H2423" s="2"/>
      <c r="I2423" s="5"/>
    </row>
    <row r="2424" spans="1:9" ht="17.399999999999999" x14ac:dyDescent="0.25">
      <c r="A2424" s="16"/>
      <c r="B2424" s="17"/>
      <c r="C2424" s="2" t="b">
        <v>0</v>
      </c>
      <c r="D2424" s="2"/>
      <c r="E2424" s="2"/>
      <c r="F2424" s="2"/>
      <c r="G2424" s="2"/>
      <c r="H2424" s="2"/>
      <c r="I2424" s="5"/>
    </row>
    <row r="2425" spans="1:9" ht="17.399999999999999" x14ac:dyDescent="0.25">
      <c r="A2425" s="16"/>
      <c r="B2425" s="17"/>
      <c r="C2425" s="2" t="b">
        <v>0</v>
      </c>
      <c r="D2425" s="2"/>
      <c r="E2425" s="2"/>
      <c r="F2425" s="2"/>
      <c r="G2425" s="2"/>
      <c r="H2425" s="2"/>
      <c r="I2425" s="5"/>
    </row>
    <row r="2426" spans="1:9" ht="17.399999999999999" x14ac:dyDescent="0.25">
      <c r="A2426" s="16"/>
      <c r="B2426" s="17"/>
      <c r="C2426" s="2" t="b">
        <v>0</v>
      </c>
      <c r="D2426" s="2"/>
      <c r="E2426" s="2"/>
      <c r="F2426" s="2"/>
      <c r="G2426" s="2"/>
      <c r="H2426" s="2"/>
      <c r="I2426" s="5"/>
    </row>
    <row r="2427" spans="1:9" ht="17.399999999999999" x14ac:dyDescent="0.25">
      <c r="A2427" s="16"/>
      <c r="B2427" s="17"/>
      <c r="C2427" s="2" t="b">
        <v>0</v>
      </c>
      <c r="D2427" s="2"/>
      <c r="E2427" s="2"/>
      <c r="F2427" s="2"/>
      <c r="G2427" s="2"/>
      <c r="H2427" s="2"/>
      <c r="I2427" s="5"/>
    </row>
    <row r="2428" spans="1:9" ht="17.399999999999999" x14ac:dyDescent="0.25">
      <c r="A2428" s="16"/>
      <c r="B2428" s="17"/>
      <c r="C2428" s="2" t="b">
        <v>0</v>
      </c>
      <c r="D2428" s="2"/>
      <c r="E2428" s="2"/>
      <c r="F2428" s="2"/>
      <c r="G2428" s="2"/>
      <c r="H2428" s="2"/>
      <c r="I2428" s="5"/>
    </row>
    <row r="2429" spans="1:9" ht="17.399999999999999" x14ac:dyDescent="0.25">
      <c r="A2429" s="16"/>
      <c r="B2429" s="17"/>
      <c r="C2429" s="2" t="b">
        <v>0</v>
      </c>
      <c r="D2429" s="2"/>
      <c r="E2429" s="2"/>
      <c r="F2429" s="2"/>
      <c r="G2429" s="2"/>
      <c r="H2429" s="2"/>
      <c r="I2429" s="5"/>
    </row>
    <row r="2430" spans="1:9" ht="17.399999999999999" x14ac:dyDescent="0.25">
      <c r="A2430" s="16"/>
      <c r="B2430" s="17"/>
      <c r="C2430" s="2" t="b">
        <v>0</v>
      </c>
      <c r="D2430" s="2"/>
      <c r="E2430" s="2"/>
      <c r="F2430" s="2"/>
      <c r="G2430" s="2"/>
      <c r="H2430" s="2"/>
      <c r="I2430" s="5"/>
    </row>
    <row r="2431" spans="1:9" ht="17.399999999999999" x14ac:dyDescent="0.25">
      <c r="A2431" s="16"/>
      <c r="B2431" s="17"/>
      <c r="C2431" s="2" t="b">
        <v>0</v>
      </c>
      <c r="D2431" s="2"/>
      <c r="E2431" s="2"/>
      <c r="F2431" s="2"/>
      <c r="G2431" s="2"/>
      <c r="H2431" s="2"/>
      <c r="I2431" s="5"/>
    </row>
    <row r="2432" spans="1:9" ht="17.399999999999999" x14ac:dyDescent="0.25">
      <c r="A2432" s="16"/>
      <c r="B2432" s="17"/>
      <c r="C2432" s="2" t="b">
        <v>0</v>
      </c>
      <c r="D2432" s="2"/>
      <c r="E2432" s="2"/>
      <c r="F2432" s="2"/>
      <c r="G2432" s="2"/>
      <c r="H2432" s="2"/>
      <c r="I2432" s="5"/>
    </row>
    <row r="2433" spans="1:9" ht="17.399999999999999" x14ac:dyDescent="0.25">
      <c r="A2433" s="16"/>
      <c r="B2433" s="17"/>
      <c r="C2433" s="2" t="b">
        <v>0</v>
      </c>
      <c r="D2433" s="2"/>
      <c r="E2433" s="2"/>
      <c r="F2433" s="2"/>
      <c r="G2433" s="2"/>
      <c r="H2433" s="2"/>
      <c r="I2433" s="5"/>
    </row>
    <row r="2434" spans="1:9" ht="17.399999999999999" x14ac:dyDescent="0.25">
      <c r="A2434" s="16"/>
      <c r="B2434" s="17"/>
      <c r="C2434" s="2" t="b">
        <v>0</v>
      </c>
      <c r="D2434" s="2"/>
      <c r="E2434" s="2"/>
      <c r="F2434" s="2"/>
      <c r="G2434" s="2"/>
      <c r="H2434" s="2"/>
      <c r="I2434" s="5"/>
    </row>
    <row r="2435" spans="1:9" ht="17.399999999999999" x14ac:dyDescent="0.25">
      <c r="A2435" s="16"/>
      <c r="B2435" s="17"/>
      <c r="C2435" s="2" t="b">
        <v>0</v>
      </c>
      <c r="D2435" s="2"/>
      <c r="E2435" s="2"/>
      <c r="F2435" s="2"/>
      <c r="G2435" s="2"/>
      <c r="H2435" s="2"/>
      <c r="I2435" s="5"/>
    </row>
    <row r="2436" spans="1:9" ht="17.399999999999999" x14ac:dyDescent="0.25">
      <c r="A2436" s="16"/>
      <c r="B2436" s="17"/>
      <c r="C2436" s="2" t="b">
        <v>0</v>
      </c>
      <c r="D2436" s="2"/>
      <c r="E2436" s="2"/>
      <c r="F2436" s="2"/>
      <c r="G2436" s="2"/>
      <c r="H2436" s="2"/>
      <c r="I2436" s="5"/>
    </row>
    <row r="2437" spans="1:9" ht="17.399999999999999" x14ac:dyDescent="0.25">
      <c r="A2437" s="16"/>
      <c r="B2437" s="17"/>
      <c r="C2437" s="2" t="b">
        <v>0</v>
      </c>
      <c r="D2437" s="2"/>
      <c r="E2437" s="2"/>
      <c r="F2437" s="2"/>
      <c r="G2437" s="2"/>
      <c r="H2437" s="2"/>
      <c r="I2437" s="5"/>
    </row>
    <row r="2438" spans="1:9" ht="17.399999999999999" x14ac:dyDescent="0.25">
      <c r="A2438" s="16"/>
      <c r="B2438" s="17"/>
      <c r="C2438" s="2" t="b">
        <v>0</v>
      </c>
      <c r="D2438" s="2"/>
      <c r="E2438" s="2"/>
      <c r="F2438" s="2"/>
      <c r="G2438" s="2"/>
      <c r="H2438" s="2"/>
      <c r="I2438" s="5"/>
    </row>
    <row r="2439" spans="1:9" ht="17.399999999999999" x14ac:dyDescent="0.25">
      <c r="A2439" s="16"/>
      <c r="B2439" s="17"/>
      <c r="C2439" s="2" t="b">
        <v>0</v>
      </c>
      <c r="D2439" s="2"/>
      <c r="E2439" s="2"/>
      <c r="F2439" s="2"/>
      <c r="G2439" s="2"/>
      <c r="H2439" s="2"/>
      <c r="I2439" s="5"/>
    </row>
    <row r="2440" spans="1:9" ht="17.399999999999999" x14ac:dyDescent="0.25">
      <c r="A2440" s="16"/>
      <c r="B2440" s="17"/>
      <c r="C2440" s="2" t="b">
        <v>0</v>
      </c>
      <c r="D2440" s="2"/>
      <c r="E2440" s="2"/>
      <c r="F2440" s="2"/>
      <c r="G2440" s="2"/>
      <c r="H2440" s="2"/>
      <c r="I2440" s="5"/>
    </row>
  </sheetData>
  <mergeCells count="2">
    <mergeCell ref="B2:H2"/>
    <mergeCell ref="B3:H3"/>
  </mergeCells>
  <conditionalFormatting sqref="A1:H2440">
    <cfRule type="cellIs" dxfId="21" priority="1" operator="equal">
      <formula>"Purchased Perks"</formula>
    </cfRule>
    <cfRule type="expression" dxfId="20" priority="2">
      <formula>IF($E1="Purchased Perks",TRUE,FALSE)</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outlinePr summaryBelow="0" summaryRight="0"/>
  </sheetPr>
  <dimension ref="A1:XFD2440"/>
  <sheetViews>
    <sheetView workbookViewId="0">
      <pane ySplit="4" topLeftCell="A5" activePane="bottomLeft" state="frozen"/>
      <selection pane="bottomLeft" activeCell="B6" sqref="B6"/>
    </sheetView>
  </sheetViews>
  <sheetFormatPr defaultColWidth="12.6640625" defaultRowHeight="15.75" customHeight="1" x14ac:dyDescent="0.25"/>
  <cols>
    <col min="1" max="1" width="3.21875" customWidth="1"/>
    <col min="2" max="2" width="3.33203125" customWidth="1"/>
    <col min="3" max="3" width="10" customWidth="1"/>
    <col min="4" max="4" width="7.6640625" customWidth="1"/>
    <col min="5" max="5" width="20.88671875" customWidth="1"/>
    <col min="6" max="6" width="14.77734375" customWidth="1"/>
    <col min="7" max="7" width="19.44140625" customWidth="1"/>
    <col min="8" max="8" width="105.109375" customWidth="1"/>
    <col min="9" max="9" width="3.21875" customWidth="1"/>
    <col min="16384" max="16384" width="0" hidden="1" customWidth="1"/>
  </cols>
  <sheetData>
    <row r="1" spans="1:9 16384:16384" ht="18.75" hidden="1" customHeight="1" x14ac:dyDescent="0.25">
      <c r="A1" s="16"/>
      <c r="B1" s="16"/>
      <c r="C1" s="26"/>
      <c r="D1" s="26"/>
      <c r="E1" s="26"/>
      <c r="F1" s="26"/>
      <c r="G1" s="26"/>
      <c r="H1" s="26"/>
      <c r="I1" s="5"/>
      <c r="XFD1">
        <f ca="1">IF('Roll All'!$B$4="Roll!",RAND(),RAND())</f>
        <v>0.89099119089322876</v>
      </c>
    </row>
    <row r="2" spans="1:9 16384:16384" ht="43.5" customHeight="1" x14ac:dyDescent="0.25">
      <c r="A2" s="16"/>
      <c r="B2" s="54" t="s">
        <v>55</v>
      </c>
      <c r="C2" s="40"/>
      <c r="D2" s="40"/>
      <c r="E2" s="40"/>
      <c r="F2" s="40"/>
      <c r="G2" s="40"/>
      <c r="H2" s="40"/>
      <c r="I2" s="5"/>
    </row>
    <row r="3" spans="1:9 16384:16384" ht="39" customHeight="1" x14ac:dyDescent="0.25">
      <c r="A3" s="16"/>
      <c r="B3" s="42" t="s">
        <v>5652</v>
      </c>
      <c r="C3" s="40"/>
      <c r="D3" s="40"/>
      <c r="E3" s="40"/>
      <c r="F3" s="40"/>
      <c r="G3" s="40"/>
      <c r="H3" s="40"/>
      <c r="I3" s="5"/>
    </row>
    <row r="4" spans="1:9 16384:16384" ht="34.799999999999997" x14ac:dyDescent="0.25">
      <c r="A4" s="16"/>
      <c r="B4" s="17">
        <f t="array" ref="B4:B82">ROW(B4:B2440)-4</f>
        <v>0</v>
      </c>
      <c r="C4" s="10" t="s">
        <v>50</v>
      </c>
      <c r="D4" s="10" t="s">
        <v>20</v>
      </c>
      <c r="E4" s="10" t="s">
        <v>21</v>
      </c>
      <c r="F4" s="10" t="s">
        <v>22</v>
      </c>
      <c r="G4" s="10" t="s">
        <v>23</v>
      </c>
      <c r="H4" s="10" t="s">
        <v>24</v>
      </c>
      <c r="I4" s="5"/>
    </row>
    <row r="5" spans="1:9 16384:16384" ht="52.2" x14ac:dyDescent="0.25">
      <c r="A5" s="16"/>
      <c r="B5" s="17">
        <v>1</v>
      </c>
      <c r="C5" s="3" t="b">
        <f ca="1">IFERROR(__xludf.DUMMYFUNCTION("sort(filter('Full Perk List'!B3:G1935,'Full Perk List'!F3:F1935=B2),1,1,2,1,3,1)"),FALSE)</f>
        <v>0</v>
      </c>
      <c r="D5" s="3">
        <f ca="1">IFERROR(__xludf.DUMMYFUNCTION("""COMPUTED_VALUE"""),50)</f>
        <v>50</v>
      </c>
      <c r="E5" s="3" t="str">
        <f ca="1">IFERROR(__xludf.DUMMYFUNCTION("""COMPUTED_VALUE"""),"Bag of Crystals")</f>
        <v>Bag of Crystals</v>
      </c>
      <c r="F5" s="3" t="str">
        <f ca="1">IFERROR(__xludf.DUMMYFUNCTION("""COMPUTED_VALUE"""),"Adam and Gaia")</f>
        <v>Adam and Gaia</v>
      </c>
      <c r="G5" s="3" t="str">
        <f ca="1">IFERROR(__xludf.DUMMYFUNCTION("""COMPUTED_VALUE"""),"Fertility &amp; Family")</f>
        <v>Fertility &amp; Family</v>
      </c>
      <c r="H5" s="3" t="str">
        <f ca="1">IFERROR(__xludf.DUMMYFUNCTION("""COMPUTED_VALUE"""),"Crystals of Gaia fashioned into a necklace, each contains the essence of all those killed by the curse. by placing it around the neck of an infant the newborn will rapidly age physically and mentally to the prime age of their species over the course of on"&amp;"e week.")</f>
        <v>Crystals of Gaia fashioned into a necklace, each contains the essence of all those killed by the curse. by placing it around the neck of an infant the newborn will rapidly age physically and mentally to the prime age of their species over the course of one week.</v>
      </c>
      <c r="I5" s="5"/>
    </row>
    <row r="6" spans="1:9 16384:16384" ht="52.2" x14ac:dyDescent="0.25">
      <c r="A6" s="16"/>
      <c r="B6" s="17">
        <v>2</v>
      </c>
      <c r="C6" s="4" t="b">
        <f ca="1">IFERROR(__xludf.DUMMYFUNCTION("""COMPUTED_VALUE"""),FALSE)</f>
        <v>0</v>
      </c>
      <c r="D6" s="4">
        <f ca="1">IFERROR(__xludf.DUMMYFUNCTION("""COMPUTED_VALUE"""),50)</f>
        <v>50</v>
      </c>
      <c r="E6" s="4" t="str">
        <f ca="1">IFERROR(__xludf.DUMMYFUNCTION("""COMPUTED_VALUE"""),"Endless Contraceptives")</f>
        <v>Endless Contraceptives</v>
      </c>
      <c r="F6" s="4" t="str">
        <f ca="1">IFERROR(__xludf.DUMMYFUNCTION("""COMPUTED_VALUE"""),"Futadom World")</f>
        <v>Futadom World</v>
      </c>
      <c r="G6" s="4" t="str">
        <f ca="1">IFERROR(__xludf.DUMMYFUNCTION("""COMPUTED_VALUE"""),"Fertility &amp; Family")</f>
        <v>Fertility &amp; Family</v>
      </c>
      <c r="H6" s="4" t="str">
        <f ca="1">IFERROR(__xludf.DUMMYFUNCTION("""COMPUTED_VALUE"""),"It wouldn’t be a lewd jump without the requisite infinite supply of mediocre contraceptives. Go wild kid. Have as much fun as you want. This pack contains 30 mid-range condoms, 20 dental dams, 5 morning after pills, and a cheap pair of fluffy pink handcuf"&amp;"fs, and refreshes each week.")</f>
        <v>It wouldn’t be a lewd jump without the requisite infinite supply of mediocre contraceptives. Go wild kid. Have as much fun as you want. This pack contains 30 mid-range condoms, 20 dental dams, 5 morning after pills, and a cheap pair of fluffy pink handcuffs, and refreshes each week.</v>
      </c>
      <c r="I6" s="5"/>
    </row>
    <row r="7" spans="1:9 16384:16384" ht="69.599999999999994" x14ac:dyDescent="0.25">
      <c r="A7" s="16"/>
      <c r="B7" s="17">
        <v>3</v>
      </c>
      <c r="C7" s="2" t="b">
        <f ca="1">IFERROR(__xludf.DUMMYFUNCTION("""COMPUTED_VALUE"""),FALSE)</f>
        <v>0</v>
      </c>
      <c r="D7" s="2">
        <f ca="1">IFERROR(__xludf.DUMMYFUNCTION("""COMPUTED_VALUE"""),50)</f>
        <v>50</v>
      </c>
      <c r="E7" s="2" t="str">
        <f ca="1">IFERROR(__xludf.DUMMYFUNCTION("""COMPUTED_VALUE"""),"Futa-Built Condoms")</f>
        <v>Futa-Built Condoms</v>
      </c>
      <c r="F7" s="2" t="str">
        <f ca="1">IFERROR(__xludf.DUMMYFUNCTION("""COMPUTED_VALUE"""),"Futadom World")</f>
        <v>Futadom World</v>
      </c>
      <c r="G7" s="2" t="str">
        <f ca="1">IFERROR(__xludf.DUMMYFUNCTION("""COMPUTED_VALUE"""),"Fertility &amp; Family")</f>
        <v>Fertility &amp; Family</v>
      </c>
      <c r="H7" s="2" t="str">
        <f ca="1">IFERROR(__xludf.DUMMYFUNCTION("""COMPUTED_VALUE"""),"Futas can cum a lot. You know. A lot. Thankfully, these industrial strength condoms can handle anything you throw at them. Anything. With an upper capacity of a cubic mile of liquid volume, you may never need to clean up again. Good luck finding a place t"&amp;"o dispose of them though. This pack contains 10 condoms, and refreshes each week.")</f>
        <v>Futas can cum a lot. You know. A lot. Thankfully, these industrial strength condoms can handle anything you throw at them. Anything. With an upper capacity of a cubic mile of liquid volume, you may never need to clean up again. Good luck finding a place to dispose of them though. This pack contains 10 condoms, and refreshes each week.</v>
      </c>
      <c r="I7" s="5"/>
    </row>
    <row r="8" spans="1:9 16384:16384" ht="52.2" x14ac:dyDescent="0.25">
      <c r="A8" s="16"/>
      <c r="B8" s="17">
        <v>4</v>
      </c>
      <c r="C8" s="2" t="b">
        <f ca="1">IFERROR(__xludf.DUMMYFUNCTION("""COMPUTED_VALUE"""),FALSE)</f>
        <v>0</v>
      </c>
      <c r="D8" s="2">
        <f ca="1">IFERROR(__xludf.DUMMYFUNCTION("""COMPUTED_VALUE"""),50)</f>
        <v>50</v>
      </c>
      <c r="E8" s="2" t="str">
        <f ca="1">IFERROR(__xludf.DUMMYFUNCTION("""COMPUTED_VALUE"""),"Red Crystals")</f>
        <v>Red Crystals</v>
      </c>
      <c r="F8" s="2" t="str">
        <f ca="1">IFERROR(__xludf.DUMMYFUNCTION("""COMPUTED_VALUE"""),"Adam and Gaia")</f>
        <v>Adam and Gaia</v>
      </c>
      <c r="G8" s="2" t="str">
        <f ca="1">IFERROR(__xludf.DUMMYFUNCTION("""COMPUTED_VALUE"""),"Fertility &amp; Family")</f>
        <v>Fertility &amp; Family</v>
      </c>
      <c r="H8" s="2" t="str">
        <f ca="1">IFERROR(__xludf.DUMMYFUNCTION("""COMPUTED_VALUE"""),"A bag of red crystals these inhibit fertility as long as they are worn, so no matter how fertile or virile a person normally is they will not have to worry about children while these things are on their person.")</f>
        <v>A bag of red crystals these inhibit fertility as long as they are worn, so no matter how fertile or virile a person normally is they will not have to worry about children while these things are on their person.</v>
      </c>
      <c r="I8" s="5"/>
    </row>
    <row r="9" spans="1:9 16384:16384" ht="104.4" x14ac:dyDescent="0.25">
      <c r="A9" s="16"/>
      <c r="B9" s="17">
        <v>5</v>
      </c>
      <c r="C9" s="2" t="b">
        <f ca="1">IFERROR(__xludf.DUMMYFUNCTION("""COMPUTED_VALUE"""),FALSE)</f>
        <v>0</v>
      </c>
      <c r="D9" s="2">
        <f ca="1">IFERROR(__xludf.DUMMYFUNCTION("""COMPUTED_VALUE"""),50)</f>
        <v>50</v>
      </c>
      <c r="E9" s="2" t="str">
        <f ca="1">IFERROR(__xludf.DUMMYFUNCTION("""COMPUTED_VALUE"""),"Reproductive Control")</f>
        <v>Reproductive Control</v>
      </c>
      <c r="F9" s="2" t="str">
        <f ca="1">IFERROR(__xludf.DUMMYFUNCTION("""COMPUTED_VALUE"""),"Bible Black")</f>
        <v>Bible Black</v>
      </c>
      <c r="G9" s="2" t="str">
        <f ca="1">IFERROR(__xludf.DUMMYFUNCTION("""COMPUTED_VALUE"""),"Fertility &amp; Family")</f>
        <v>Fertility &amp; Family</v>
      </c>
      <c r="H9" s="2" t="str">
        <f ca="1">IFERROR(__xludf.DUMMYFUNCTION("""COMPUTED_VALUE"""),"This is a lewd world. Sex and violence are stuff you will have to face here, especially the sex. We wouldn’t want you to have any accidents along the way. Or maybe you do? Either way, you will gain complete control over your reproductive system to the poi"&amp;"nt of making yourself selectively fertile/infertile. Ladies get the added bonus of having little to no painful symptoms from their menstrual cycle and/or the ability to suspend it altogether. You’re also immune to sexually transmitted illnesses (STIs).")</f>
        <v>This is a lewd world. Sex and violence are stuff you will have to face here, especially the sex. We wouldn’t want you to have any accidents along the way. Or maybe you do? Either way, you will gain complete control over your reproductive system to the point of making yourself selectively fertile/infertile. Ladies get the added bonus of having little to no painful symptoms from their menstrual cycle and/or the ability to suspend it altogether. You’re also immune to sexually transmitted illnesses (STIs).</v>
      </c>
      <c r="I9" s="5"/>
    </row>
    <row r="10" spans="1:9 16384:16384" ht="104.4" x14ac:dyDescent="0.25">
      <c r="A10" s="16"/>
      <c r="B10" s="17">
        <v>6</v>
      </c>
      <c r="C10" s="2" t="b">
        <f ca="1">IFERROR(__xludf.DUMMYFUNCTION("""COMPUTED_VALUE"""),FALSE)</f>
        <v>0</v>
      </c>
      <c r="D10" s="2">
        <f ca="1">IFERROR(__xludf.DUMMYFUNCTION("""COMPUTED_VALUE"""),100)</f>
        <v>100</v>
      </c>
      <c r="E10" s="2" t="str">
        <f ca="1">IFERROR(__xludf.DUMMYFUNCTION("""COMPUTED_VALUE"""),"Beloved Younger Brother")</f>
        <v>Beloved Younger Brother</v>
      </c>
      <c r="F10" s="2" t="str">
        <f ca="1">IFERROR(__xludf.DUMMYFUNCTION("""COMPUTED_VALUE"""),"Merry Marry")</f>
        <v>Merry Marry</v>
      </c>
      <c r="G10" s="2" t="str">
        <f ca="1">IFERROR(__xludf.DUMMYFUNCTION("""COMPUTED_VALUE"""),"Fertility &amp; Family")</f>
        <v>Fertility &amp; Family</v>
      </c>
      <c r="H10" s="2" t="str">
        <f ca="1">IFERROR(__xludf.DUMMYFUNCTION("""COMPUTED_VALUE"""),"Look, I’ll be honest. Both in this story and in the one it’s based on, there are moments where Sasuke seems to want Itachi’s approval and affection even more than that of his own parents. Possibly something to do with how little those parents emote compar"&amp;"ed to Itachi. Anyways, your relationship with your siblings is one of the best around. Rivalries and general dislike don’t exist between you. Well, from them to you, especially if they’re older than you. While Itachi never went this far, you might find an"&amp;" elder sibling of yours doting on you as if they were your actual parents.")</f>
        <v>Look, I’ll be honest. Both in this story and in the one it’s based on, there are moments where Sasuke seems to want Itachi’s approval and affection even more than that of his own parents. Possibly something to do with how little those parents emote compared to Itachi. Anyways, your relationship with your siblings is one of the best around. Rivalries and general dislike don’t exist between you. Well, from them to you, especially if they’re older than you. While Itachi never went this far, you might find an elder sibling of yours doting on you as if they were your actual parents.</v>
      </c>
      <c r="I10" s="5"/>
    </row>
    <row r="11" spans="1:9 16384:16384" ht="69.599999999999994" x14ac:dyDescent="0.25">
      <c r="A11" s="16"/>
      <c r="B11" s="17">
        <v>7</v>
      </c>
      <c r="C11" s="2" t="b">
        <f ca="1">IFERROR(__xludf.DUMMYFUNCTION("""COMPUTED_VALUE"""),FALSE)</f>
        <v>0</v>
      </c>
      <c r="D11" s="2">
        <f ca="1">IFERROR(__xludf.DUMMYFUNCTION("""COMPUTED_VALUE"""),100)</f>
        <v>100</v>
      </c>
      <c r="E11" s="2" t="str">
        <f ca="1">IFERROR(__xludf.DUMMYFUNCTION("""COMPUTED_VALUE"""),"Breeder")</f>
        <v>Breeder</v>
      </c>
      <c r="F11" s="2" t="str">
        <f ca="1">IFERROR(__xludf.DUMMYFUNCTION("""COMPUTED_VALUE"""),"Carbon Pink")</f>
        <v>Carbon Pink</v>
      </c>
      <c r="G11" s="2" t="str">
        <f ca="1">IFERROR(__xludf.DUMMYFUNCTION("""COMPUTED_VALUE"""),"Fertility &amp; Family")</f>
        <v>Fertility &amp; Family</v>
      </c>
      <c r="H11" s="2" t="str">
        <f ca="1">IFERROR(__xludf.DUMMYFUNCTION("""COMPUTED_VALUE"""),"You are a lot more virile/fertile than normal, either being able to shoot out a lot more cum than you could before and impregnate someone with a ridiculously large amount of children, or being able to give birth to said amount of kids. This is, of course,"&amp;" something you can toggle at will, in case you find it would be inconvenient in the current situation.")</f>
        <v>You are a lot more virile/fertile than normal, either being able to shoot out a lot more cum than you could before and impregnate someone with a ridiculously large amount of children, or being able to give birth to said amount of kids. This is, of course, something you can toggle at will, in case you find it would be inconvenient in the current situation.</v>
      </c>
      <c r="I11" s="5"/>
    </row>
    <row r="12" spans="1:9 16384:16384" ht="243.6" x14ac:dyDescent="0.25">
      <c r="A12" s="16"/>
      <c r="B12" s="17">
        <v>8</v>
      </c>
      <c r="C12" s="2" t="b">
        <f ca="1">IFERROR(__xludf.DUMMYFUNCTION("""COMPUTED_VALUE"""),FALSE)</f>
        <v>0</v>
      </c>
      <c r="D12" s="2">
        <f ca="1">IFERROR(__xludf.DUMMYFUNCTION("""COMPUTED_VALUE"""),100)</f>
        <v>100</v>
      </c>
      <c r="E12" s="2" t="str">
        <f ca="1">IFERROR(__xludf.DUMMYFUNCTION("""COMPUTED_VALUE"""),"Contraceptive Herbs")</f>
        <v>Contraceptive Herbs</v>
      </c>
      <c r="F12" s="2" t="str">
        <f ca="1">IFERROR(__xludf.DUMMYFUNCTION("""COMPUTED_VALUE"""),"Corruption of Champions v1.1")</f>
        <v>Corruption of Champions v1.1</v>
      </c>
      <c r="G12" s="2" t="str">
        <f ca="1">IFERROR(__xludf.DUMMYFUNCTION("""COMPUTED_VALUE"""),"Fertility &amp; Family")</f>
        <v>Fertility &amp; Family</v>
      </c>
      <c r="H12" s="2" t="str">
        <f ca="1">IFERROR(__xludf.DUMMYFUNCTION("""COMPUTED_VALUE"""),"These consist of a replenishing store of strange, crumpled leaves along with two containers of separate brown and pink pills. While the container of herbs is unlabelled, the pill containers are marked with the words: ""Tnangerp rof knip, nerrab rof nworb."&amp;"""
The leaves are birth control herbs to avoid unwanted pregnancies, and eating one of the odd leaves after having sex is guaranteed to prevent any pregnancy, no matter the virility of their partner, as long as the leaf is eaten before or relatively sho"&amp;"rtly afterwards. At least before conception. Eating a leaf on a regular basis also allows for a bit more of a lasting effect...
But if you'd like a more long-term solution, the stores of dual medicines offer another and much simpler option for a lasting"&amp;" protection from pregnancy. Swallowing one of the brown pills renders one unable to bear children or be impregnated entirely, though it doesn’t do anything about any existing pregnancies. This leaves them permanently barren regardless of their normal fert"&amp;"ility, at least until a pink pill is taken to cancel the effect.")</f>
        <v>These consist of a replenishing store of strange, crumpled leaves along with two containers of separate brown and pink pills. While the container of herbs is unlabelled, the pill containers are marked with the words: "Tnangerp rof knip, nerrab rof nworb."
The leaves are birth control herbs to avoid unwanted pregnancies, and eating one of the odd leaves after having sex is guaranteed to prevent any pregnancy, no matter the virility of their partner, as long as the leaf is eaten before or relatively shortly afterwards. At least before conception. Eating a leaf on a regular basis also allows for a bit more of a lasting effect...
But if you'd like a more long-term solution, the stores of dual medicines offer another and much simpler option for a lasting protection from pregnancy. Swallowing one of the brown pills renders one unable to bear children or be impregnated entirely, though it doesn’t do anything about any existing pregnancies. This leaves them permanently barren regardless of their normal fertility, at least until a pink pill is taken to cancel the effect.</v>
      </c>
      <c r="I12" s="5"/>
    </row>
    <row r="13" spans="1:9 16384:16384" ht="104.4" x14ac:dyDescent="0.25">
      <c r="A13" s="16"/>
      <c r="B13" s="17">
        <v>9</v>
      </c>
      <c r="C13" s="2" t="b">
        <f ca="1">IFERROR(__xludf.DUMMYFUNCTION("""COMPUTED_VALUE"""),FALSE)</f>
        <v>0</v>
      </c>
      <c r="D13" s="2">
        <f ca="1">IFERROR(__xludf.DUMMYFUNCTION("""COMPUTED_VALUE"""),100)</f>
        <v>100</v>
      </c>
      <c r="E13" s="2" t="str">
        <f ca="1">IFERROR(__xludf.DUMMYFUNCTION("""COMPUTED_VALUE"""),"Contraceptives And Aphrodisiacs")</f>
        <v>Contraceptives And Aphrodisiacs</v>
      </c>
      <c r="F13" s="2" t="str">
        <f ca="1">IFERROR(__xludf.DUMMYFUNCTION("""COMPUTED_VALUE"""),"Bloom Pirate Hooker")</f>
        <v>Bloom Pirate Hooker</v>
      </c>
      <c r="G13" s="2" t="str">
        <f ca="1">IFERROR(__xludf.DUMMYFUNCTION("""COMPUTED_VALUE"""),"Fertility &amp; Family")</f>
        <v>Fertility &amp; Family</v>
      </c>
      <c r="H13" s="2" t="str">
        <f ca="1">IFERROR(__xludf.DUMMYFUNCTION("""COMPUTED_VALUE"""),"What’s a dickgirl pirate with the sex drive of three men to do on the open ocean? Well, fuck like nuts. But of course, the open ocean is no place to get pregnant. You can do that after reaching Raftel! That's why you have a supply of these two drugs. The "&amp;"first is of course the solution to the vigorous impregnation you’ll be giving or receiving - or maybe both? - on a regular basis. The other is a contact based ‘mood setter’. Not that you’ll actually NEED one, but it’s good for keeping things going, you kn"&amp;"ow?")</f>
        <v>What’s a dickgirl pirate with the sex drive of three men to do on the open ocean? Well, fuck like nuts. But of course, the open ocean is no place to get pregnant. You can do that after reaching Raftel! That's why you have a supply of these two drugs. The first is of course the solution to the vigorous impregnation you’ll be giving or receiving - or maybe both? - on a regular basis. The other is a contact based ‘mood setter’. Not that you’ll actually NEED one, but it’s good for keeping things going, you know?</v>
      </c>
      <c r="I13" s="5"/>
    </row>
    <row r="14" spans="1:9 16384:16384" ht="139.19999999999999" x14ac:dyDescent="0.25">
      <c r="A14" s="16"/>
      <c r="B14" s="17">
        <v>10</v>
      </c>
      <c r="C14" s="2" t="b">
        <f ca="1">IFERROR(__xludf.DUMMYFUNCTION("""COMPUTED_VALUE"""),FALSE)</f>
        <v>0</v>
      </c>
      <c r="D14" s="2">
        <f ca="1">IFERROR(__xludf.DUMMYFUNCTION("""COMPUTED_VALUE"""),100)</f>
        <v>100</v>
      </c>
      <c r="E14" s="2" t="str">
        <f ca="1">IFERROR(__xludf.DUMMYFUNCTION("""COMPUTED_VALUE"""),"Easy Pregnancy")</f>
        <v>Easy Pregnancy</v>
      </c>
      <c r="F14" s="2" t="str">
        <f ca="1">IFERROR(__xludf.DUMMYFUNCTION("""COMPUTED_VALUE"""),"Haramase Simulator")</f>
        <v>Haramase Simulator</v>
      </c>
      <c r="G14" s="2" t="str">
        <f ca="1">IFERROR(__xludf.DUMMYFUNCTION("""COMPUTED_VALUE"""),"Fertility &amp; Family")</f>
        <v>Fertility &amp; Family</v>
      </c>
      <c r="H14" s="2" t="str">
        <f ca="1">IFERROR(__xludf.DUMMYFUNCTION("""COMPUTED_VALUE"""),"With you either knocking up as many people as possible, or repeatedly getting pregnant yourself, having those pregnancies go smoothly is pretty important. With this purchase, you’ll have a guarantee that there aren’t going to be any medical issues with th"&amp;"em.
And in addition to not having to deal with any medical problems or complications, this also minimizes the lesser negative aspects of pregnancy like morning sickness and mood swings. Even the recovery afterwards is much lighter and easier, allowing a"&amp;" new mother to be fully healed and ready for more within just a week after delivery.")</f>
        <v>With you either knocking up as many people as possible, or repeatedly getting pregnant yourself, having those pregnancies go smoothly is pretty important. With this purchase, you’ll have a guarantee that there aren’t going to be any medical issues with them.
And in addition to not having to deal with any medical problems or complications, this also minimizes the lesser negative aspects of pregnancy like morning sickness and mood swings. Even the recovery afterwards is much lighter and easier, allowing a new mother to be fully healed and ready for more within just a week after delivery.</v>
      </c>
      <c r="I14" s="5"/>
    </row>
    <row r="15" spans="1:9 16384:16384" ht="174" x14ac:dyDescent="0.25">
      <c r="A15" s="16"/>
      <c r="B15" s="17">
        <v>11</v>
      </c>
      <c r="C15" s="2" t="b">
        <f ca="1">IFERROR(__xludf.DUMMYFUNCTION("""COMPUTED_VALUE"""),FALSE)</f>
        <v>0</v>
      </c>
      <c r="D15" s="2">
        <f ca="1">IFERROR(__xludf.DUMMYFUNCTION("""COMPUTED_VALUE"""),100)</f>
        <v>100</v>
      </c>
      <c r="E15" s="2" t="str">
        <f ca="1">IFERROR(__xludf.DUMMYFUNCTION("""COMPUTED_VALUE"""),"Experimental Fertility Drugs")</f>
        <v>Experimental Fertility Drugs</v>
      </c>
      <c r="F15" s="2" t="str">
        <f ca="1">IFERROR(__xludf.DUMMYFUNCTION("""COMPUTED_VALUE"""),"Shiritsu Risshin Gakuen")</f>
        <v>Shiritsu Risshin Gakuen</v>
      </c>
      <c r="G15" s="2" t="str">
        <f ca="1">IFERROR(__xludf.DUMMYFUNCTION("""COMPUTED_VALUE"""),"Fertility &amp; Family")</f>
        <v>Fertility &amp; Family</v>
      </c>
      <c r="H15" s="2" t="str">
        <f ca="1">IFERROR(__xludf.DUMMYFUNCTION("""COMPUTED_VALUE"""),"As part of the Government Study, all males at Risshin Academy must sign a waiver and take part in testing out an experimental one-time drug treatment. This Treatment essentially enhances the potency and production of sperm and seminal fluid in men with a "&amp;"side effect of also enhancing their libido. Normally, it would just be applied guys, but we didn’t want to leave you girls hanging. So the government also has a version for the ladies too. The female version enhances the ovaries to increase the production"&amp;" of eggs, as well as improve their ability to receive sperm. As a side effect, their menstrual cycle becomes easier and lasts only a couple of days out of the month.
You have a dose of both versions. Just one quick injection and the effects will kick in "&amp;"over the next few days.")</f>
        <v>As part of the Government Study, all males at Risshin Academy must sign a waiver and take part in testing out an experimental one-time drug treatment. This Treatment essentially enhances the potency and production of sperm and seminal fluid in men with a side effect of also enhancing their libido. Normally, it would just be applied guys, but we didn’t want to leave you girls hanging. So the government also has a version for the ladies too. The female version enhances the ovaries to increase the production of eggs, as well as improve their ability to receive sperm. As a side effect, their menstrual cycle becomes easier and lasts only a couple of days out of the month.
You have a dose of both versions. Just one quick injection and the effects will kick in over the next few days.</v>
      </c>
      <c r="I15" s="5"/>
    </row>
    <row r="16" spans="1:9 16384:16384" ht="174" x14ac:dyDescent="0.25">
      <c r="A16" s="16"/>
      <c r="B16" s="17">
        <v>12</v>
      </c>
      <c r="C16" s="2" t="b">
        <f ca="1">IFERROR(__xludf.DUMMYFUNCTION("""COMPUTED_VALUE"""),FALSE)</f>
        <v>0</v>
      </c>
      <c r="D16" s="2">
        <f ca="1">IFERROR(__xludf.DUMMYFUNCTION("""COMPUTED_VALUE"""),100)</f>
        <v>100</v>
      </c>
      <c r="E16" s="2" t="str">
        <f ca="1">IFERROR(__xludf.DUMMYFUNCTION("""COMPUTED_VALUE"""),"Good Sisters Share")</f>
        <v>Good Sisters Share</v>
      </c>
      <c r="F16" s="2" t="str">
        <f ca="1">IFERROR(__xludf.DUMMYFUNCTION("""COMPUTED_VALUE"""),"High School DxD Blacked")</f>
        <v>High School DxD Blacked</v>
      </c>
      <c r="G16" s="2" t="str">
        <f ca="1">IFERROR(__xludf.DUMMYFUNCTION("""COMPUTED_VALUE"""),"Fertility &amp; Family")</f>
        <v>Fertility &amp; Family</v>
      </c>
      <c r="H16" s="2" t="str">
        <f ca="1">IFERROR(__xludf.DUMMYFUNCTION("""COMPUTED_VALUE"""),"Whether you’re a sister, a mother, or even a daughter, you are a dutiful one and have slowly refined an excellent sense for the affairs of your family members. This sense is so refined that you could simply feel that your mother is ill without laying eyes"&amp;" on her, or that your sister is going into heat from halfway across the continent. Or perhaps you can look at a store and instantly pick out the doll your daughter would most like to have? What a loving mother you would be. On the flip side to that, this "&amp;"sense also allows you to lead them around quite a bit by meeting or subverting their expectations of you as you please. Something that you could just as easily use to construct an argument as to why you should be allowed to fuck your sisters boyfriend, wh"&amp;"y your sister should fuck your boyfriend, or why both of you should go wander into the bad part of town and find a nice man to get ruined by.")</f>
        <v>Whether you’re a sister, a mother, or even a daughter, you are a dutiful one and have slowly refined an excellent sense for the affairs of your family members. This sense is so refined that you could simply feel that your mother is ill without laying eyes on her, or that your sister is going into heat from halfway across the continent. Or perhaps you can look at a store and instantly pick out the doll your daughter would most like to have? What a loving mother you would be. On the flip side to that, this sense also allows you to lead them around quite a bit by meeting or subverting their expectations of you as you please. Something that you could just as easily use to construct an argument as to why you should be allowed to fuck your sisters boyfriend, why your sister should fuck your boyfriend, or why both of you should go wander into the bad part of town and find a nice man to get ruined by.</v>
      </c>
      <c r="I16" s="5"/>
    </row>
    <row r="17" spans="1:9" ht="121.8" x14ac:dyDescent="0.25">
      <c r="A17" s="16"/>
      <c r="B17" s="17">
        <v>13</v>
      </c>
      <c r="C17" s="2" t="b">
        <f ca="1">IFERROR(__xludf.DUMMYFUNCTION("""COMPUTED_VALUE"""),FALSE)</f>
        <v>0</v>
      </c>
      <c r="D17" s="2">
        <f ca="1">IFERROR(__xludf.DUMMYFUNCTION("""COMPUTED_VALUE"""),100)</f>
        <v>100</v>
      </c>
      <c r="E17" s="2" t="str">
        <f ca="1">IFERROR(__xludf.DUMMYFUNCTION("""COMPUTED_VALUE"""),"Heart Bracelet")</f>
        <v>Heart Bracelet</v>
      </c>
      <c r="F17" s="2" t="str">
        <f ca="1">IFERROR(__xludf.DUMMYFUNCTION("""COMPUTED_VALUE"""),"Fate/Loli Order")</f>
        <v>Fate/Loli Order</v>
      </c>
      <c r="G17" s="2" t="str">
        <f ca="1">IFERROR(__xludf.DUMMYFUNCTION("""COMPUTED_VALUE"""),"Fertility &amp; Family")</f>
        <v>Fertility &amp; Family</v>
      </c>
      <c r="H17" s="2" t="str">
        <f ca="1">IFERROR(__xludf.DUMMYFUNCTION("""COMPUTED_VALUE"""),"There isn’t really anything special about this bracelet, just a short length of string with a heart shaped charm on it. It was probably given to you by a family member as a birthday gift or maybe a small gift to cheer you up on a particularly bad day. But"&amp;" even if it’s utterly ordinary, looking at the charm reminds you that not everything is horrible. Reminds you of the one who gave it to you, of your family. Simply put, the bracelet stokes and feeds that spark of hope that everything will be fine in your "&amp;"chest if I should flicker. Maybe even reignite it entirely if all seems lost and that flame has gone out.")</f>
        <v>There isn’t really anything special about this bracelet, just a short length of string with a heart shaped charm on it. It was probably given to you by a family member as a birthday gift or maybe a small gift to cheer you up on a particularly bad day. But even if it’s utterly ordinary, looking at the charm reminds you that not everything is horrible. Reminds you of the one who gave it to you, of your family. Simply put, the bracelet stokes and feeds that spark of hope that everything will be fine in your chest if I should flicker. Maybe even reignite it entirely if all seems lost and that flame has gone out.</v>
      </c>
      <c r="I17" s="5"/>
    </row>
    <row r="18" spans="1:9" ht="87" x14ac:dyDescent="0.25">
      <c r="A18" s="16"/>
      <c r="B18" s="17">
        <v>14</v>
      </c>
      <c r="C18" s="2" t="b">
        <f ca="1">IFERROR(__xludf.DUMMYFUNCTION("""COMPUTED_VALUE"""),FALSE)</f>
        <v>0</v>
      </c>
      <c r="D18" s="2">
        <f ca="1">IFERROR(__xludf.DUMMYFUNCTION("""COMPUTED_VALUE"""),100)</f>
        <v>100</v>
      </c>
      <c r="E18" s="2" t="str">
        <f ca="1">IFERROR(__xludf.DUMMYFUNCTION("""COMPUTED_VALUE"""),"Mizuryu Condom")</f>
        <v>Mizuryu Condom</v>
      </c>
      <c r="F18" s="2" t="str">
        <f ca="1">IFERROR(__xludf.DUMMYFUNCTION("""COMPUTED_VALUE"""),"Mizuryu Kei Land")</f>
        <v>Mizuryu Kei Land</v>
      </c>
      <c r="G18" s="2" t="str">
        <f ca="1">IFERROR(__xludf.DUMMYFUNCTION("""COMPUTED_VALUE"""),"Fertility &amp; Family")</f>
        <v>Fertility &amp; Family</v>
      </c>
      <c r="H18" s="2" t="str">
        <f ca="1">IFERROR(__xludf.DUMMYFUNCTION("""COMPUTED_VALUE"""),"You wouldn't really expect groundbreaking technological advancements to come about in order to have more sex, but this one did. This special condom is super thin to the point you can barely feel it, and sterilizes your sperm as it passes through. In order"&amp;" words, it feels like it's not there and even lets you give/get a creampie. No wonder the guests love it compared to regular condoms, eh? Anyways, you now have a functionally infinite supply of them, in case of emergency.")</f>
        <v>You wouldn't really expect groundbreaking technological advancements to come about in order to have more sex, but this one did. This special condom is super thin to the point you can barely feel it, and sterilizes your sperm as it passes through. In order words, it feels like it's not there and even lets you give/get a creampie. No wonder the guests love it compared to regular condoms, eh? Anyways, you now have a functionally infinite supply of them, in case of emergency.</v>
      </c>
      <c r="I18" s="5"/>
    </row>
    <row r="19" spans="1:9" ht="104.4" x14ac:dyDescent="0.25">
      <c r="A19" s="16"/>
      <c r="B19" s="17">
        <v>15</v>
      </c>
      <c r="C19" s="2" t="b">
        <f ca="1">IFERROR(__xludf.DUMMYFUNCTION("""COMPUTED_VALUE"""),FALSE)</f>
        <v>0</v>
      </c>
      <c r="D19" s="2">
        <f ca="1">IFERROR(__xludf.DUMMYFUNCTION("""COMPUTED_VALUE"""),100)</f>
        <v>100</v>
      </c>
      <c r="E19" s="2" t="str">
        <f ca="1">IFERROR(__xludf.DUMMYFUNCTION("""COMPUTED_VALUE"""),"Morning After Magic")</f>
        <v>Morning After Magic</v>
      </c>
      <c r="F19" s="2" t="str">
        <f ca="1">IFERROR(__xludf.DUMMYFUNCTION("""COMPUTED_VALUE"""),"Chichikko Bitch / Witch Bitch Collection")</f>
        <v>Chichikko Bitch / Witch Bitch Collection</v>
      </c>
      <c r="G19" s="2" t="str">
        <f ca="1">IFERROR(__xludf.DUMMYFUNCTION("""COMPUTED_VALUE"""),"Fertility &amp; Family")</f>
        <v>Fertility &amp; Family</v>
      </c>
      <c r="H19" s="2" t="str">
        <f ca="1">IFERROR(__xludf.DUMMYFUNCTION("""COMPUTED_VALUE"""),"Sure, you could dose yourself up to the gills on contraceptives that you buy by the truckload. But wouldn’t it be so much simpler to just cast a magic spell? With that in mind, you can now do just that. Maybe you bought it from a pawnshop, maybe you found"&amp;" it hidden behind a shelf in the library. No matter how you got your hands on it, you’ve found a simple spell that only drains a little bit of energy to temporarily remove your fertility. For 24 hours after casting, the chance of conception is zero. Warni"&amp;"ng, does not work on fetus more than a week old.")</f>
        <v>Sure, you could dose yourself up to the gills on contraceptives that you buy by the truckload. But wouldn’t it be so much simpler to just cast a magic spell? With that in mind, you can now do just that. Maybe you bought it from a pawnshop, maybe you found it hidden behind a shelf in the library. No matter how you got your hands on it, you’ve found a simple spell that only drains a little bit of energy to temporarily remove your fertility. For 24 hours after casting, the chance of conception is zero. Warning, does not work on fetus more than a week old.</v>
      </c>
      <c r="I19" s="5"/>
    </row>
    <row r="20" spans="1:9" ht="87" x14ac:dyDescent="0.25">
      <c r="A20" s="16"/>
      <c r="B20" s="17">
        <v>16</v>
      </c>
      <c r="C20" s="2" t="b">
        <f ca="1">IFERROR(__xludf.DUMMYFUNCTION("""COMPUTED_VALUE"""),FALSE)</f>
        <v>0</v>
      </c>
      <c r="D20" s="2">
        <f ca="1">IFERROR(__xludf.DUMMYFUNCTION("""COMPUTED_VALUE"""),100)</f>
        <v>100</v>
      </c>
      <c r="E20" s="2" t="str">
        <f ca="1">IFERROR(__xludf.DUMMYFUNCTION("""COMPUTED_VALUE"""),"Protection")</f>
        <v>Protection</v>
      </c>
      <c r="F20" s="2" t="str">
        <f ca="1">IFERROR(__xludf.DUMMYFUNCTION("""COMPUTED_VALUE"""),"Milk Hunters")</f>
        <v>Milk Hunters</v>
      </c>
      <c r="G20" s="2" t="str">
        <f ca="1">IFERROR(__xludf.DUMMYFUNCTION("""COMPUTED_VALUE"""),"Fertility &amp; Family")</f>
        <v>Fertility &amp; Family</v>
      </c>
      <c r="H20" s="2" t="str">
        <f ca="1">IFERROR(__xludf.DUMMYFUNCTION("""COMPUTED_VALUE"""),"With Senpai going around and raping anyone who catches his eye during monster attacks, it might be a good idea to have a bit of “protection.” Protection against STDs and unwanted pregnancies, that is. From now on, you can choose whether or not you will ge"&amp;"t pregnant or impregnate someone during sex, and you’re not only immune to STDs, but you’ll cure any that your partners have. Unless you don’t want to, for some reason.")</f>
        <v>With Senpai going around and raping anyone who catches his eye during monster attacks, it might be a good idea to have a bit of “protection.” Protection against STDs and unwanted pregnancies, that is. From now on, you can choose whether or not you will get pregnant or impregnate someone during sex, and you’re not only immune to STDs, but you’ll cure any that your partners have. Unless you don’t want to, for some reason.</v>
      </c>
      <c r="I20" s="5"/>
    </row>
    <row r="21" spans="1:9" ht="87" x14ac:dyDescent="0.25">
      <c r="A21" s="16"/>
      <c r="B21" s="17">
        <v>17</v>
      </c>
      <c r="C21" s="2" t="b">
        <f ca="1">IFERROR(__xludf.DUMMYFUNCTION("""COMPUTED_VALUE"""),FALSE)</f>
        <v>0</v>
      </c>
      <c r="D21" s="2">
        <f ca="1">IFERROR(__xludf.DUMMYFUNCTION("""COMPUTED_VALUE"""),100)</f>
        <v>100</v>
      </c>
      <c r="E21" s="2" t="str">
        <f ca="1">IFERROR(__xludf.DUMMYFUNCTION("""COMPUTED_VALUE"""),"Purebred")</f>
        <v>Purebred</v>
      </c>
      <c r="F21" s="2" t="str">
        <f ca="1">IFERROR(__xludf.DUMMYFUNCTION("""COMPUTED_VALUE"""),"Magical Girl Celesphonia")</f>
        <v>Magical Girl Celesphonia</v>
      </c>
      <c r="G21" s="2" t="str">
        <f ca="1">IFERROR(__xludf.DUMMYFUNCTION("""COMPUTED_VALUE"""),"Fertility &amp; Family")</f>
        <v>Fertility &amp; Family</v>
      </c>
      <c r="H21" s="2" t="str">
        <f ca="1">IFERROR(__xludf.DUMMYFUNCTION("""COMPUTED_VALUE"""),"They don’t make minions like they used to so why don’t you make them yourself? Whether you are throwing a girl to a pack of tentacle beasts or handling the breeding personally, you’ll find that the resulting offspring are that little bit better in all reg"&amp;"ards, as well as being more loyal and faster to reach an age that they become useful. If you wish to toggle this perk off for whatever reason, you may do so.")</f>
        <v>They don’t make minions like they used to so why don’t you make them yourself? Whether you are throwing a girl to a pack of tentacle beasts or handling the breeding personally, you’ll find that the resulting offspring are that little bit better in all regards, as well as being more loyal and faster to reach an age that they become useful. If you wish to toggle this perk off for whatever reason, you may do so.</v>
      </c>
      <c r="I21" s="5"/>
    </row>
    <row r="22" spans="1:9" ht="34.799999999999997" x14ac:dyDescent="0.25">
      <c r="A22" s="16"/>
      <c r="B22" s="17">
        <v>18</v>
      </c>
      <c r="C22" s="2" t="b">
        <f ca="1">IFERROR(__xludf.DUMMYFUNCTION("""COMPUTED_VALUE"""),FALSE)</f>
        <v>0</v>
      </c>
      <c r="D22" s="2">
        <f ca="1">IFERROR(__xludf.DUMMYFUNCTION("""COMPUTED_VALUE"""),100)</f>
        <v>100</v>
      </c>
      <c r="E22" s="2" t="str">
        <f ca="1">IFERROR(__xludf.DUMMYFUNCTION("""COMPUTED_VALUE"""),"Unbreakable Condoms")</f>
        <v>Unbreakable Condoms</v>
      </c>
      <c r="F22" s="2" t="str">
        <f ca="1">IFERROR(__xludf.DUMMYFUNCTION("""COMPUTED_VALUE"""),"Carbon Pink")</f>
        <v>Carbon Pink</v>
      </c>
      <c r="G22" s="2" t="str">
        <f ca="1">IFERROR(__xludf.DUMMYFUNCTION("""COMPUTED_VALUE"""),"Fertility &amp; Family")</f>
        <v>Fertility &amp; Family</v>
      </c>
      <c r="H22" s="2" t="str">
        <f ca="1">IFERROR(__xludf.DUMMYFUNCTION("""COMPUTED_VALUE"""),"These condoms are enhanced with special materials, in order to make sure that they don’t break under the girth and force of the penises found in this kind of setting.")</f>
        <v>These condoms are enhanced with special materials, in order to make sure that they don’t break under the girth and force of the penises found in this kind of setting.</v>
      </c>
      <c r="I22" s="5"/>
    </row>
    <row r="23" spans="1:9" ht="121.8" x14ac:dyDescent="0.25">
      <c r="A23" s="16"/>
      <c r="B23" s="17">
        <v>19</v>
      </c>
      <c r="C23" s="2" t="b">
        <f ca="1">IFERROR(__xludf.DUMMYFUNCTION("""COMPUTED_VALUE"""),FALSE)</f>
        <v>0</v>
      </c>
      <c r="D23" s="2">
        <f ca="1">IFERROR(__xludf.DUMMYFUNCTION("""COMPUTED_VALUE"""),100)</f>
        <v>100</v>
      </c>
      <c r="E23" s="2" t="str">
        <f ca="1">IFERROR(__xludf.DUMMYFUNCTION("""COMPUTED_VALUE"""),"Xenophilic Fertility")</f>
        <v>Xenophilic Fertility</v>
      </c>
      <c r="F23" s="2" t="str">
        <f ca="1">IFERROR(__xludf.DUMMYFUNCTION("""COMPUTED_VALUE"""),"Elrk")</f>
        <v>Elrk</v>
      </c>
      <c r="G23" s="2" t="str">
        <f ca="1">IFERROR(__xludf.DUMMYFUNCTION("""COMPUTED_VALUE"""),"Fertility &amp; Family")</f>
        <v>Fertility &amp; Family</v>
      </c>
      <c r="H23" s="2" t="str">
        <f ca="1">IFERROR(__xludf.DUMMYFUNCTION("""COMPUTED_VALUE"""),"The Elrk race practically specializes in interbreeding and hybridization. There are more half blooded than pure blooded Elrk, and that’s the way they like it. It’s said that an Elrk and another race has an 80% chance of conception, but only 10% between tw"&amp;"o Elrks, something that you now share. Well, the interbreeding part, not the lesser rates of producing a pureblood part. As long as you’re breeding with another race, your chances of conception are jacked way up. Enough so that you could probably impregna"&amp;"te with - or be impregnated by - a single drop. Mind you, don’t let that stop you from practically drowning them in cum in the proper Elrk fashion.")</f>
        <v>The Elrk race practically specializes in interbreeding and hybridization. There are more half blooded than pure blooded Elrk, and that’s the way they like it. It’s said that an Elrk and another race has an 80% chance of conception, but only 10% between two Elrks, something that you now share. Well, the interbreeding part, not the lesser rates of producing a pureblood part. As long as you’re breeding with another race, your chances of conception are jacked way up. Enough so that you could probably impregnate with - or be impregnated by - a single drop. Mind you, don’t let that stop you from practically drowning them in cum in the proper Elrk fashion.</v>
      </c>
      <c r="I23" s="5"/>
    </row>
    <row r="24" spans="1:9" ht="156.6" x14ac:dyDescent="0.25">
      <c r="A24" s="16"/>
      <c r="B24" s="17">
        <v>20</v>
      </c>
      <c r="C24" s="2" t="b">
        <f ca="1">IFERROR(__xludf.DUMMYFUNCTION("""COMPUTED_VALUE"""),FALSE)</f>
        <v>0</v>
      </c>
      <c r="D24" s="2">
        <f ca="1">IFERROR(__xludf.DUMMYFUNCTION("""COMPUTED_VALUE"""),200)</f>
        <v>200</v>
      </c>
      <c r="E24" s="2" t="str">
        <f ca="1">IFERROR(__xludf.DUMMYFUNCTION("""COMPUTED_VALUE"""),"""Grandfather""")</f>
        <v>"Grandfather"</v>
      </c>
      <c r="F24" s="2" t="str">
        <f ca="1">IFERROR(__xludf.DUMMYFUNCTION("""COMPUTED_VALUE"""),"Fate/Worm Night")</f>
        <v>Fate/Worm Night</v>
      </c>
      <c r="G24" s="2" t="str">
        <f ca="1">IFERROR(__xludf.DUMMYFUNCTION("""COMPUTED_VALUE"""),"Fertility &amp; Family")</f>
        <v>Fertility &amp; Family</v>
      </c>
      <c r="H24" s="2" t="str">
        <f ca="1">IFERROR(__xludf.DUMMYFUNCTION("""COMPUTED_VALUE"""),"Your grandson calls you that. And so does his son. And his son. There’s no convoluted family tree here, just your various descendants being too pants-shittingly terrified of you to call you anything but what you ask to be called. See, you’ve got an iron g"&amp;"rip on your family, and most of them would rather bow to your whims than actually put up anything resembling a fight. And the ones who do fight you will do it by running the hell away so that they don’t get caught up in your schemes. Or maybe you want to "&amp;"be the cool old guy who everybody loves because you’re crazy awesome? Well, you have the acting skills for it... No matter how you go about it, running rings around your descendants is as easy as stealing candy from a baby - hell, you probably did just th"&amp;"at when they were babies.")</f>
        <v>Your grandson calls you that. And so does his son. And his son. There’s no convoluted family tree here, just your various descendants being too pants-shittingly terrified of you to call you anything but what you ask to be called. See, you’ve got an iron grip on your family, and most of them would rather bow to your whims than actually put up anything resembling a fight. And the ones who do fight you will do it by running the hell away so that they don’t get caught up in your schemes. Or maybe you want to be the cool old guy who everybody loves because you’re crazy awesome? Well, you have the acting skills for it... No matter how you go about it, running rings around your descendants is as easy as stealing candy from a baby - hell, you probably did just that when they were babies.</v>
      </c>
      <c r="I24" s="5"/>
    </row>
    <row r="25" spans="1:9" ht="52.2" x14ac:dyDescent="0.25">
      <c r="A25" s="16"/>
      <c r="B25" s="17">
        <v>21</v>
      </c>
      <c r="C25" s="2" t="b">
        <f ca="1">IFERROR(__xludf.DUMMYFUNCTION("""COMPUTED_VALUE"""),FALSE)</f>
        <v>0</v>
      </c>
      <c r="D25" s="2">
        <f ca="1">IFERROR(__xludf.DUMMYFUNCTION("""COMPUTED_VALUE"""),200)</f>
        <v>200</v>
      </c>
      <c r="E25" s="2" t="str">
        <f ca="1">IFERROR(__xludf.DUMMYFUNCTION("""COMPUTED_VALUE"""),"All in the Family")</f>
        <v>All in the Family</v>
      </c>
      <c r="F25" s="2" t="str">
        <f ca="1">IFERROR(__xludf.DUMMYFUNCTION("""COMPUTED_VALUE"""),"Generic: Virgin")</f>
        <v>Generic: Virgin</v>
      </c>
      <c r="G25" s="2" t="str">
        <f ca="1">IFERROR(__xludf.DUMMYFUNCTION("""COMPUTED_VALUE"""),"Fertility &amp; Family")</f>
        <v>Fertility &amp; Family</v>
      </c>
      <c r="H25" s="2" t="str">
        <f ca="1">IFERROR(__xludf.DUMMYFUNCTION("""COMPUTED_VALUE"""),"Your genome is super stable. Any pregnancy you’re involved in, be that as parent or facilitator or medical care, will result in a healthy child with no risk to the mother. Inbreeding actually produces stronger children when you’re involved rather than wea"&amp;"ker ones.")</f>
        <v>Your genome is super stable. Any pregnancy you’re involved in, be that as parent or facilitator or medical care, will result in a healthy child with no risk to the mother. Inbreeding actually produces stronger children when you’re involved rather than weaker ones.</v>
      </c>
      <c r="I25" s="5"/>
    </row>
    <row r="26" spans="1:9" ht="226.2" x14ac:dyDescent="0.25">
      <c r="A26" s="16"/>
      <c r="B26" s="17">
        <v>22</v>
      </c>
      <c r="C26" s="2" t="b">
        <f ca="1">IFERROR(__xludf.DUMMYFUNCTION("""COMPUTED_VALUE"""),FALSE)</f>
        <v>0</v>
      </c>
      <c r="D26" s="2">
        <f ca="1">IFERROR(__xludf.DUMMYFUNCTION("""COMPUTED_VALUE"""),200)</f>
        <v>200</v>
      </c>
      <c r="E26" s="2" t="str">
        <f ca="1">IFERROR(__xludf.DUMMYFUNCTION("""COMPUTED_VALUE"""),"Better Luck Next Time")</f>
        <v>Better Luck Next Time</v>
      </c>
      <c r="F26" s="2" t="str">
        <f ca="1">IFERROR(__xludf.DUMMYFUNCTION("""COMPUTED_VALUE"""),"Haramase Simulator")</f>
        <v>Haramase Simulator</v>
      </c>
      <c r="G26" s="2" t="str">
        <f ca="1">IFERROR(__xludf.DUMMYFUNCTION("""COMPUTED_VALUE"""),"Fertility &amp; Family")</f>
        <v>Fertility &amp; Family</v>
      </c>
      <c r="H26" s="2" t="str">
        <f ca="1">IFERROR(__xludf.DUMMYFUNCTION("""COMPUTED_VALUE"""),"Pregnancy is hardly guaranteed to occur in all but the most excessively fertile. Sometimes it takes quite a few shots before succeeding, even for a particularly virile HFF cardholder. If they had to wait for the results of a pregnancy test whenever they t"&amp;"ried to knock someone up, the spontaneous usage of their cards would be much more complicated.
Luckily, there’s no need for any of that. You just have a sense for pregnancy now, able to feel it when you are impregnated. Immediately after taking a creamp"&amp;"ie you’d know whether or not it is enough to knock you up, the feeling allowing you to derive a deep-seated feeling of pleasure from successful conception. Perhaps it’s less surprising now that some of the women in this world grow incredibly eager and alm"&amp;"ost addicted to being impregnated.
Should you be male, you could either apply this to your partners to allow them to sense whether or not you’ve impregnated them or get a more detached sense for it yourself.")</f>
        <v>Pregnancy is hardly guaranteed to occur in all but the most excessively fertile. Sometimes it takes quite a few shots before succeeding, even for a particularly virile HFF cardholder. If they had to wait for the results of a pregnancy test whenever they tried to knock someone up, the spontaneous usage of their cards would be much more complicated.
Luckily, there’s no need for any of that. You just have a sense for pregnancy now, able to feel it when you are impregnated. Immediately after taking a creampie you’d know whether or not it is enough to knock you up, the feeling allowing you to derive a deep-seated feeling of pleasure from successful conception. Perhaps it’s less surprising now that some of the women in this world grow incredibly eager and almost addicted to being impregnated.
Should you be male, you could either apply this to your partners to allow them to sense whether or not you’ve impregnated them or get a more detached sense for it yourself.</v>
      </c>
      <c r="I26" s="5"/>
    </row>
    <row r="27" spans="1:9" ht="87" x14ac:dyDescent="0.25">
      <c r="A27" s="16"/>
      <c r="B27" s="17">
        <v>23</v>
      </c>
      <c r="C27" s="2" t="b">
        <f ca="1">IFERROR(__xludf.DUMMYFUNCTION("""COMPUTED_VALUE"""),FALSE)</f>
        <v>0</v>
      </c>
      <c r="D27" s="2">
        <f ca="1">IFERROR(__xludf.DUMMYFUNCTION("""COMPUTED_VALUE"""),200)</f>
        <v>200</v>
      </c>
      <c r="E27" s="2" t="str">
        <f ca="1">IFERROR(__xludf.DUMMYFUNCTION("""COMPUTED_VALUE"""),"Breeding Bitch")</f>
        <v>Breeding Bitch</v>
      </c>
      <c r="F27" s="2" t="str">
        <f ca="1">IFERROR(__xludf.DUMMYFUNCTION("""COMPUTED_VALUE"""),"Generic: Hentai Fantasy")</f>
        <v>Generic: Hentai Fantasy</v>
      </c>
      <c r="G27" s="2" t="str">
        <f ca="1">IFERROR(__xludf.DUMMYFUNCTION("""COMPUTED_VALUE"""),"Fertility &amp; Family")</f>
        <v>Fertility &amp; Family</v>
      </c>
      <c r="H27" s="2" t="str">
        <f ca="1">IFERROR(__xludf.DUMMYFUNCTION("""COMPUTED_VALUE"""),"Rape is all well and good, but with enough hate, a captive could murder their new child before trying to kill you as well. And, with the next generation being as precious as it is, that simply won’t do. Thanks to a special something in your cum, the women"&amp;" you sleep with are modified to grow emotionally weak during their pregnancy. Even if they hated your guts on day one, by the time they give birth, they’ll be head over heels in love with you after only slight manipulation.")</f>
        <v>Rape is all well and good, but with enough hate, a captive could murder their new child before trying to kill you as well. And, with the next generation being as precious as it is, that simply won’t do. Thanks to a special something in your cum, the women you sleep with are modified to grow emotionally weak during their pregnancy. Even if they hated your guts on day one, by the time they give birth, they’ll be head over heels in love with you after only slight manipulation.</v>
      </c>
      <c r="I27" s="5"/>
    </row>
    <row r="28" spans="1:9" ht="87" x14ac:dyDescent="0.25">
      <c r="A28" s="16"/>
      <c r="B28" s="17">
        <v>24</v>
      </c>
      <c r="C28" s="2" t="b">
        <f ca="1">IFERROR(__xludf.DUMMYFUNCTION("""COMPUTED_VALUE"""),FALSE)</f>
        <v>0</v>
      </c>
      <c r="D28" s="2">
        <f ca="1">IFERROR(__xludf.DUMMYFUNCTION("""COMPUTED_VALUE"""),200)</f>
        <v>200</v>
      </c>
      <c r="E28" s="2" t="str">
        <f ca="1">IFERROR(__xludf.DUMMYFUNCTION("""COMPUTED_VALUE"""),"Census")</f>
        <v>Census</v>
      </c>
      <c r="F28" s="2" t="str">
        <f ca="1">IFERROR(__xludf.DUMMYFUNCTION("""COMPUTED_VALUE"""),"Adam and Gaia")</f>
        <v>Adam and Gaia</v>
      </c>
      <c r="G28" s="2" t="str">
        <f ca="1">IFERROR(__xludf.DUMMYFUNCTION("""COMPUTED_VALUE"""),"Fertility &amp; Family")</f>
        <v>Fertility &amp; Family</v>
      </c>
      <c r="H28" s="2" t="str">
        <f ca="1">IFERROR(__xludf.DUMMYFUNCTION("""COMPUTED_VALUE"""),"Sowing wild oats long enough and hard enough will eventually leave you overwhelmed at how many kids you might have helped spawn. Thankfully you now can seem to pull up a mental list of all the children you have, their names, habits, and location. This als"&amp;"o works to a more limited degree with the population of wherever you are though it will only give you the exact number of a specific species or group located there.")</f>
        <v>Sowing wild oats long enough and hard enough will eventually leave you overwhelmed at how many kids you might have helped spawn. Thankfully you now can seem to pull up a mental list of all the children you have, their names, habits, and location. This also works to a more limited degree with the population of wherever you are though it will only give you the exact number of a specific species or group located there.</v>
      </c>
      <c r="I28" s="5"/>
    </row>
    <row r="29" spans="1:9" ht="69.599999999999994" x14ac:dyDescent="0.25">
      <c r="A29" s="16"/>
      <c r="B29" s="17">
        <v>25</v>
      </c>
      <c r="C29" s="2" t="b">
        <f ca="1">IFERROR(__xludf.DUMMYFUNCTION("""COMPUTED_VALUE"""),FALSE)</f>
        <v>0</v>
      </c>
      <c r="D29" s="2">
        <f ca="1">IFERROR(__xludf.DUMMYFUNCTION("""COMPUTED_VALUE"""),200)</f>
        <v>200</v>
      </c>
      <c r="E29" s="2" t="str">
        <f ca="1">IFERROR(__xludf.DUMMYFUNCTION("""COMPUTED_VALUE"""),"Eldritch Impregnation")</f>
        <v>Eldritch Impregnation</v>
      </c>
      <c r="F29" s="2" t="str">
        <f ca="1">IFERROR(__xludf.DUMMYFUNCTION("""COMPUTED_VALUE"""),"Generic: Hentai Tentacles")</f>
        <v>Generic: Hentai Tentacles</v>
      </c>
      <c r="G29" s="2" t="str">
        <f ca="1">IFERROR(__xludf.DUMMYFUNCTION("""COMPUTED_VALUE"""),"Fertility &amp; Family")</f>
        <v>Fertility &amp; Family</v>
      </c>
      <c r="H29" s="2" t="str">
        <f ca="1">IFERROR(__xludf.DUMMYFUNCTION("""COMPUTED_VALUE"""),"Your are now capable of taking samples from other living creatures. These genetic samples can be mixed with your own, and implanted into a host body to create an offspring of up to three genetic donors. This offspring can have the dna of any combination o"&amp;"f yourself, the sample, and the host. Creating a mix of all three, any of the two, or a complete clone of one of them.")</f>
        <v>Your are now capable of taking samples from other living creatures. These genetic samples can be mixed with your own, and implanted into a host body to create an offspring of up to three genetic donors. This offspring can have the dna of any combination of yourself, the sample, and the host. Creating a mix of all three, any of the two, or a complete clone of one of them.</v>
      </c>
      <c r="I29" s="5"/>
    </row>
    <row r="30" spans="1:9" ht="121.8" x14ac:dyDescent="0.25">
      <c r="A30" s="16"/>
      <c r="B30" s="17">
        <v>26</v>
      </c>
      <c r="C30" s="2" t="b">
        <f ca="1">IFERROR(__xludf.DUMMYFUNCTION("""COMPUTED_VALUE"""),FALSE)</f>
        <v>0</v>
      </c>
      <c r="D30" s="2">
        <f ca="1">IFERROR(__xludf.DUMMYFUNCTION("""COMPUTED_VALUE"""),200)</f>
        <v>200</v>
      </c>
      <c r="E30" s="2" t="str">
        <f ca="1">IFERROR(__xludf.DUMMYFUNCTION("""COMPUTED_VALUE"""),"Genetic Lottery")</f>
        <v>Genetic Lottery</v>
      </c>
      <c r="F30" s="2" t="str">
        <f ca="1">IFERROR(__xludf.DUMMYFUNCTION("""COMPUTED_VALUE"""),"Elzikyuchi’s Dickgirls 2")</f>
        <v>Elzikyuchi’s Dickgirls 2</v>
      </c>
      <c r="G30" s="2" t="str">
        <f ca="1">IFERROR(__xludf.DUMMYFUNCTION("""COMPUTED_VALUE"""),"Fertility &amp; Family")</f>
        <v>Fertility &amp; Family</v>
      </c>
      <c r="H30" s="2" t="str">
        <f ca="1">IFERROR(__xludf.DUMMYFUNCTION("""COMPUTED_VALUE"""),"While it is possible for a girl to be born as a dickgirl, the vast majority of them are not. A virus, a mutation, surgery and lots of drugs, fucking magic, there’s lots of ways for it to happen artificially. But at the same time, it’s not exactly a natura"&amp;"l occurrence if it’s the result of a virus now is it? For some strange reason, any modification to your body now reads as a natural part of your DNA, and thus something that can be passed onto your kids. Dye your hair red, you kids now have a chance to be"&amp;" redheads. Get some breast implants, your daughters have a better chance to be bigger. Become a dickgirl? Your daughters might just be born that way.")</f>
        <v>While it is possible for a girl to be born as a dickgirl, the vast majority of them are not. A virus, a mutation, surgery and lots of drugs, fucking magic, there’s lots of ways for it to happen artificially. But at the same time, it’s not exactly a natural occurrence if it’s the result of a virus now is it? For some strange reason, any modification to your body now reads as a natural part of your DNA, and thus something that can be passed onto your kids. Dye your hair red, you kids now have a chance to be redheads. Get some breast implants, your daughters have a better chance to be bigger. Become a dickgirl? Your daughters might just be born that way.</v>
      </c>
      <c r="I30" s="5"/>
    </row>
    <row r="31" spans="1:9" ht="87" x14ac:dyDescent="0.25">
      <c r="A31" s="16"/>
      <c r="B31" s="17">
        <v>27</v>
      </c>
      <c r="C31" s="2" t="b">
        <f ca="1">IFERROR(__xludf.DUMMYFUNCTION("""COMPUTED_VALUE"""),FALSE)</f>
        <v>0</v>
      </c>
      <c r="D31" s="2">
        <f ca="1">IFERROR(__xludf.DUMMYFUNCTION("""COMPUTED_VALUE"""),200)</f>
        <v>200</v>
      </c>
      <c r="E31" s="2" t="str">
        <f ca="1">IFERROR(__xludf.DUMMYFUNCTION("""COMPUTED_VALUE"""),"Goddess Vase")</f>
        <v>Goddess Vase</v>
      </c>
      <c r="F31" s="2" t="str">
        <f ca="1">IFERROR(__xludf.DUMMYFUNCTION("""COMPUTED_VALUE"""),"Prina the Dungeoneering Princess")</f>
        <v>Prina the Dungeoneering Princess</v>
      </c>
      <c r="G31" s="2" t="str">
        <f ca="1">IFERROR(__xludf.DUMMYFUNCTION("""COMPUTED_VALUE"""),"Fertility &amp; Family")</f>
        <v>Fertility &amp; Family</v>
      </c>
      <c r="H31" s="2" t="str">
        <f ca="1">IFERROR(__xludf.DUMMYFUNCTION("""COMPUTED_VALUE"""),"A poison jar is a pot filled to the brim with poisonous animals - the last one standing is the most toxic, clearly. This jar is somewhat similar. It absorbs cum in a seemingly endless amount, and slowly condenses it down into a single pool of cum containi"&amp;"ng all the best traits of the various donors and none of their weaknesses. Well, it’s supposed to have none of the weaknesses. Those may or may not leak out in the form of a twin sibling to your perfect child.")</f>
        <v>A poison jar is a pot filled to the brim with poisonous animals - the last one standing is the most toxic, clearly. This jar is somewhat similar. It absorbs cum in a seemingly endless amount, and slowly condenses it down into a single pool of cum containing all the best traits of the various donors and none of their weaknesses. Well, it’s supposed to have none of the weaknesses. Those may or may not leak out in the form of a twin sibling to your perfect child.</v>
      </c>
      <c r="I31" s="5"/>
    </row>
    <row r="32" spans="1:9" ht="87" x14ac:dyDescent="0.25">
      <c r="A32" s="16"/>
      <c r="B32" s="17">
        <v>28</v>
      </c>
      <c r="C32" s="2" t="b">
        <f ca="1">IFERROR(__xludf.DUMMYFUNCTION("""COMPUTED_VALUE"""),FALSE)</f>
        <v>0</v>
      </c>
      <c r="D32" s="2">
        <f ca="1">IFERROR(__xludf.DUMMYFUNCTION("""COMPUTED_VALUE"""),200)</f>
        <v>200</v>
      </c>
      <c r="E32" s="2" t="str">
        <f ca="1">IFERROR(__xludf.DUMMYFUNCTION("""COMPUTED_VALUE"""),"Heartwarming")</f>
        <v>Heartwarming</v>
      </c>
      <c r="F32" s="2" t="str">
        <f ca="1">IFERROR(__xludf.DUMMYFUNCTION("""COMPUTED_VALUE"""),"Slimy Sextet")</f>
        <v>Slimy Sextet</v>
      </c>
      <c r="G32" s="2" t="str">
        <f ca="1">IFERROR(__xludf.DUMMYFUNCTION("""COMPUTED_VALUE"""),"Fertility &amp; Family")</f>
        <v>Fertility &amp; Family</v>
      </c>
      <c r="H32" s="2" t="str">
        <f ca="1">IFERROR(__xludf.DUMMYFUNCTION("""COMPUTED_VALUE"""),"You can quickly become the emotional center of any group you’re a part of. Your presence influences others in the group to treat each other more like a family, and not a dysfunctional one, either; familial love will soon flow (in addition to whatever othe"&amp;"r types of love may be present), and even strangers will start to become closer to and care for one another. You inspire other people to be better and brighten up the days of those you meet.")</f>
        <v>You can quickly become the emotional center of any group you’re a part of. Your presence influences others in the group to treat each other more like a family, and not a dysfunctional one, either; familial love will soon flow (in addition to whatever other types of love may be present), and even strangers will start to become closer to and care for one another. You inspire other people to be better and brighten up the days of those you meet.</v>
      </c>
      <c r="I32" s="5"/>
    </row>
    <row r="33" spans="1:9" ht="104.4" x14ac:dyDescent="0.25">
      <c r="A33" s="16"/>
      <c r="B33" s="17">
        <v>29</v>
      </c>
      <c r="C33" s="2" t="b">
        <f ca="1">IFERROR(__xludf.DUMMYFUNCTION("""COMPUTED_VALUE"""),FALSE)</f>
        <v>0</v>
      </c>
      <c r="D33" s="2">
        <f ca="1">IFERROR(__xludf.DUMMYFUNCTION("""COMPUTED_VALUE"""),200)</f>
        <v>200</v>
      </c>
      <c r="E33" s="2" t="str">
        <f ca="1">IFERROR(__xludf.DUMMYFUNCTION("""COMPUTED_VALUE"""),"Like Mother, Like Daughter")</f>
        <v>Like Mother, Like Daughter</v>
      </c>
      <c r="F33" s="2" t="str">
        <f ca="1">IFERROR(__xludf.DUMMYFUNCTION("""COMPUTED_VALUE"""),"The Works of Aomizuan")</f>
        <v>The Works of Aomizuan</v>
      </c>
      <c r="G33" s="2" t="str">
        <f ca="1">IFERROR(__xludf.DUMMYFUNCTION("""COMPUTED_VALUE"""),"Fertility &amp; Family")</f>
        <v>Fertility &amp; Family</v>
      </c>
      <c r="H33" s="2" t="str">
        <f ca="1">IFERROR(__xludf.DUMMYFUNCTION("""COMPUTED_VALUE"""),"If you loved fucking the mother, wouldn’t someone descended from her and you just be an even better match? Your children will always be of a sex and gender you are attracted to, and when they grow up, they will start to feel sexually attracted to you. You"&amp;" and those you have sex with will never experience any problems from incest; there will be no social stigma against you for it, there will be no genetic abnormalities, and the subjects of the incestuous relationship will never experience any trauma over t"&amp;"he perversion of their family bonds.")</f>
        <v>If you loved fucking the mother, wouldn’t someone descended from her and you just be an even better match? Your children will always be of a sex and gender you are attracted to, and when they grow up, they will start to feel sexually attracted to you. You and those you have sex with will never experience any problems from incest; there will be no social stigma against you for it, there will be no genetic abnormalities, and the subjects of the incestuous relationship will never experience any trauma over the perversion of their family bonds.</v>
      </c>
      <c r="I33" s="5"/>
    </row>
    <row r="34" spans="1:9" ht="226.2" x14ac:dyDescent="0.25">
      <c r="A34" s="16"/>
      <c r="B34" s="17">
        <v>30</v>
      </c>
      <c r="C34" s="2" t="b">
        <f ca="1">IFERROR(__xludf.DUMMYFUNCTION("""COMPUTED_VALUE"""),FALSE)</f>
        <v>0</v>
      </c>
      <c r="D34" s="2">
        <f ca="1">IFERROR(__xludf.DUMMYFUNCTION("""COMPUTED_VALUE"""),200)</f>
        <v>200</v>
      </c>
      <c r="E34" s="2" t="str">
        <f ca="1">IFERROR(__xludf.DUMMYFUNCTION("""COMPUTED_VALUE"""),"Maternity Leave")</f>
        <v>Maternity Leave</v>
      </c>
      <c r="F34" s="2" t="str">
        <f ca="1">IFERROR(__xludf.DUMMYFUNCTION("""COMPUTED_VALUE"""),"Haramase Simulator")</f>
        <v>Haramase Simulator</v>
      </c>
      <c r="G34" s="2" t="str">
        <f ca="1">IFERROR(__xludf.DUMMYFUNCTION("""COMPUTED_VALUE"""),"Fertility &amp; Family")</f>
        <v>Fertility &amp; Family</v>
      </c>
      <c r="H34" s="2" t="str">
        <f ca="1">IFERROR(__xludf.DUMMYFUNCTION("""COMPUTED_VALUE"""),"Should you end up involved with a H.F.F. member, you’re going to spend a lot of time being pregnant. Even with the faster pregnancies in this world, that is going to involve a lot of time in which you’ll be unable to get much work done as well. On the bri"&amp;"ght side, taking a period of maternity leave off from work could be very nice if you’ve been overworked.
Regardless of how often it happens though, you can be assured that you can take a leave of absence from your job without having to worry about anythi"&amp;"ng but your actual pregnancy.  Bosses won’t mind your absence even if this is the fifth time this year, emergencies that require your personal attention won’t come up, and at the end of your leave you can seamlessly pick up and continue right where you le"&amp;"ft off.
If you happen to be male, you can apply this to the women you impregnate instead, making sure that they won’t have to worry while your child is growing inside them.")</f>
        <v>Should you end up involved with a H.F.F. member, you’re going to spend a lot of time being pregnant. Even with the faster pregnancies in this world, that is going to involve a lot of time in which you’ll be unable to get much work done as well. On the bright side, taking a period of maternity leave off from work could be very nice if you’ve been overworked.
Regardless of how often it happens though, you can be assured that you can take a leave of absence from your job without having to worry about anything but your actual pregnancy.  Bosses won’t mind your absence even if this is the fifth time this year, emergencies that require your personal attention won’t come up, and at the end of your leave you can seamlessly pick up and continue right where you left off.
If you happen to be male, you can apply this to the women you impregnate instead, making sure that they won’t have to worry while your child is growing inside them.</v>
      </c>
      <c r="I34" s="5"/>
    </row>
    <row r="35" spans="1:9" ht="69.599999999999994" x14ac:dyDescent="0.25">
      <c r="A35" s="16"/>
      <c r="B35" s="17">
        <v>31</v>
      </c>
      <c r="C35" s="2" t="b">
        <f ca="1">IFERROR(__xludf.DUMMYFUNCTION("""COMPUTED_VALUE"""),FALSE)</f>
        <v>0</v>
      </c>
      <c r="D35" s="2">
        <f ca="1">IFERROR(__xludf.DUMMYFUNCTION("""COMPUTED_VALUE"""),200)</f>
        <v>200</v>
      </c>
      <c r="E35" s="2" t="str">
        <f ca="1">IFERROR(__xludf.DUMMYFUNCTION("""COMPUTED_VALUE"""),"Milf-ification")</f>
        <v>Milf-ification</v>
      </c>
      <c r="F35" s="2" t="str">
        <f ca="1">IFERROR(__xludf.DUMMYFUNCTION("""COMPUTED_VALUE"""),"Celestial Bordello")</f>
        <v>Celestial Bordello</v>
      </c>
      <c r="G35" s="2" t="str">
        <f ca="1">IFERROR(__xludf.DUMMYFUNCTION("""COMPUTED_VALUE"""),"Fertility &amp; Family")</f>
        <v>Fertility &amp; Family</v>
      </c>
      <c r="H35" s="2" t="str">
        <f ca="1">IFERROR(__xludf.DUMMYFUNCTION("""COMPUTED_VALUE"""),"It would be a shame if the mothers of your children suffered any loss of looks from carrying your children. Now, that will never be the case. Anyone that carries one of your children will be guranteed to have their appearance mature into a perfect blend o"&amp;"f MILFy goodness and the traits that drew you to them.")</f>
        <v>It would be a shame if the mothers of your children suffered any loss of looks from carrying your children. Now, that will never be the case. Anyone that carries one of your children will be guranteed to have their appearance mature into a perfect blend of MILFy goodness and the traits that drew you to them.</v>
      </c>
      <c r="I35" s="5"/>
    </row>
    <row r="36" spans="1:9" ht="104.4" x14ac:dyDescent="0.25">
      <c r="A36" s="16"/>
      <c r="B36" s="17">
        <v>32</v>
      </c>
      <c r="C36" s="2" t="b">
        <f ca="1">IFERROR(__xludf.DUMMYFUNCTION("""COMPUTED_VALUE"""),FALSE)</f>
        <v>0</v>
      </c>
      <c r="D36" s="2">
        <f ca="1">IFERROR(__xludf.DUMMYFUNCTION("""COMPUTED_VALUE"""),200)</f>
        <v>200</v>
      </c>
      <c r="E36" s="2" t="str">
        <f ca="1">IFERROR(__xludf.DUMMYFUNCTION("""COMPUTED_VALUE"""),"Mother of Corruption")</f>
        <v>Mother of Corruption</v>
      </c>
      <c r="F36" s="2" t="str">
        <f ca="1">IFERROR(__xludf.DUMMYFUNCTION("""COMPUTED_VALUE"""),"Archangel of Love, Love Mary ~Malignant Conception~")</f>
        <v>Archangel of Love, Love Mary ~Malignant Conception~</v>
      </c>
      <c r="G36" s="2" t="str">
        <f ca="1">IFERROR(__xludf.DUMMYFUNCTION("""COMPUTED_VALUE"""),"Fertility &amp; Family")</f>
        <v>Fertility &amp; Family</v>
      </c>
      <c r="H36" s="2" t="str">
        <f ca="1">IFERROR(__xludf.DUMMYFUNCTION("""COMPUTED_VALUE"""),"A Succubus Mary’s most important duty is to give birth to Elysium’s offspring; now, the entire process is made much more convenient — and enjoyable — for you (or those you’ve sired children upon) , regardless of if you’ve been corrupted or not . Not only "&amp;"does this make the process of pregnancy easier and quicker — reducing the time to only a few months — but it makes the sensations of the unborn child moving with the mother to be highly pleasurable, such that birth is simply a parade of orgasms as the chi"&amp;"ld emerges.")</f>
        <v>A Succubus Mary’s most important duty is to give birth to Elysium’s offspring; now, the entire process is made much more convenient — and enjoyable — for you (or those you’ve sired children upon) , regardless of if you’ve been corrupted or not . Not only does this make the process of pregnancy easier and quicker — reducing the time to only a few months — but it makes the sensations of the unborn child moving with the mother to be highly pleasurable, such that birth is simply a parade of orgasms as the child emerges.</v>
      </c>
      <c r="I36" s="5"/>
    </row>
    <row r="37" spans="1:9" ht="104.4" x14ac:dyDescent="0.25">
      <c r="A37" s="16"/>
      <c r="B37" s="17">
        <v>33</v>
      </c>
      <c r="C37" s="2" t="b">
        <f ca="1">IFERROR(__xludf.DUMMYFUNCTION("""COMPUTED_VALUE"""),FALSE)</f>
        <v>0</v>
      </c>
      <c r="D37" s="2">
        <f ca="1">IFERROR(__xludf.DUMMYFUNCTION("""COMPUTED_VALUE"""),200)</f>
        <v>200</v>
      </c>
      <c r="E37" s="2" t="str">
        <f ca="1">IFERROR(__xludf.DUMMYFUNCTION("""COMPUTED_VALUE"""),"New Warriors are Born")</f>
        <v>New Warriors are Born</v>
      </c>
      <c r="F37" s="2" t="str">
        <f ca="1">IFERROR(__xludf.DUMMYFUNCTION("""COMPUTED_VALUE"""),"Dragon Ball: Troop of Beasts")</f>
        <v>Dragon Ball: Troop of Beasts</v>
      </c>
      <c r="G37" s="2" t="str">
        <f ca="1">IFERROR(__xludf.DUMMYFUNCTION("""COMPUTED_VALUE"""),"Fertility &amp; Family")</f>
        <v>Fertility &amp; Family</v>
      </c>
      <c r="H37" s="2" t="str">
        <f ca="1">IFERROR(__xludf.DUMMYFUNCTION("""COMPUTED_VALUE"""),"Beside finding something to eat, a top priority amongst animals is to make offspring to inherit their genetic heritage. You have no problem with that, as you can reproduce with any creatures you can have sexual intercourse with, even if they’re a robot or"&amp;" an alien with strange biology, without any risk for the child or the mother at birth. Furthermore, your children will always inherit the best part of you and your mate, with the potential to surpass you. You could very well result in a new, better hybrid"&amp;" race.")</f>
        <v>Beside finding something to eat, a top priority amongst animals is to make offspring to inherit their genetic heritage. You have no problem with that, as you can reproduce with any creatures you can have sexual intercourse with, even if they’re a robot or an alien with strange biology, without any risk for the child or the mother at birth. Furthermore, your children will always inherit the best part of you and your mate, with the potential to surpass you. You could very well result in a new, better hybrid race.</v>
      </c>
      <c r="I37" s="5"/>
    </row>
    <row r="38" spans="1:9" ht="87" x14ac:dyDescent="0.25">
      <c r="A38" s="16"/>
      <c r="B38" s="17">
        <v>34</v>
      </c>
      <c r="C38" s="2" t="b">
        <f ca="1">IFERROR(__xludf.DUMMYFUNCTION("""COMPUTED_VALUE"""),FALSE)</f>
        <v>0</v>
      </c>
      <c r="D38" s="2">
        <f ca="1">IFERROR(__xludf.DUMMYFUNCTION("""COMPUTED_VALUE"""),200)</f>
        <v>200</v>
      </c>
      <c r="E38" s="2" t="str">
        <f ca="1">IFERROR(__xludf.DUMMYFUNCTION("""COMPUTED_VALUE"""),"Parent of Monsters")</f>
        <v>Parent of Monsters</v>
      </c>
      <c r="F38" s="2" t="str">
        <f ca="1">IFERROR(__xludf.DUMMYFUNCTION("""COMPUTED_VALUE"""),"Bio-Weapon Quest")</f>
        <v>Bio-Weapon Quest</v>
      </c>
      <c r="G38" s="2" t="str">
        <f ca="1">IFERROR(__xludf.DUMMYFUNCTION("""COMPUTED_VALUE"""),"Fertility &amp; Family")</f>
        <v>Fertility &amp; Family</v>
      </c>
      <c r="H38" s="2" t="str">
        <f ca="1">IFERROR(__xludf.DUMMYFUNCTION("""COMPUTED_VALUE"""),"In addition to anything that is naturally inheritable, your offspring - whether human or monster - also develop unique traits based on the powers of their parents which might not normally be inherited. If your Heart Powers specialise in shooting beams of "&amp;"energy, then perhaps they can fire a beam from their mouths once every so often, or if some non-inheritable power makes you a heavy hitter, their muscles might be extremely well developed.")</f>
        <v>In addition to anything that is naturally inheritable, your offspring - whether human or monster - also develop unique traits based on the powers of their parents which might not normally be inherited. If your Heart Powers specialise in shooting beams of energy, then perhaps they can fire a beam from their mouths once every so often, or if some non-inheritable power makes you a heavy hitter, their muscles might be extremely well developed.</v>
      </c>
      <c r="I38" s="5"/>
    </row>
    <row r="39" spans="1:9" ht="243.6" x14ac:dyDescent="0.25">
      <c r="A39" s="16"/>
      <c r="B39" s="17">
        <v>35</v>
      </c>
      <c r="C39" s="2" t="b">
        <f ca="1">IFERROR(__xludf.DUMMYFUNCTION("""COMPUTED_VALUE"""),FALSE)</f>
        <v>0</v>
      </c>
      <c r="D39" s="2">
        <f ca="1">IFERROR(__xludf.DUMMYFUNCTION("""COMPUTED_VALUE"""),200)</f>
        <v>200</v>
      </c>
      <c r="E39" s="2" t="str">
        <f ca="1">IFERROR(__xludf.DUMMYFUNCTION("""COMPUTED_VALUE"""),"Pregnancy Durations")</f>
        <v>Pregnancy Durations</v>
      </c>
      <c r="F39" s="2" t="str">
        <f ca="1">IFERROR(__xludf.DUMMYFUNCTION("""COMPUTED_VALUE"""),"Haramase Simulator")</f>
        <v>Haramase Simulator</v>
      </c>
      <c r="G39" s="2" t="str">
        <f ca="1">IFERROR(__xludf.DUMMYFUNCTION("""COMPUTED_VALUE"""),"Fertility &amp; Family")</f>
        <v>Fertility &amp; Family</v>
      </c>
      <c r="H39" s="2" t="str">
        <f ca="1">IFERROR(__xludf.DUMMYFUNCTION("""COMPUTED_VALUE"""),"In the last few decades, many advances in the science of genetics have been made, particularly in the fields of pregnancy and sex. Genetic engineering to ensure accelerated pregnancy speed has reached widespread use just out of the necessity to repopulate"&amp;" after the disaster of the gender-virus. With the duration of each pregnancy reduced to a mere seven weeks, some enthusiastic women have even had upwards of thirty pregnancies.
You go a bit further than the norm however, with the ability to mentally adj"&amp;"ust the duration of any of your pregnancies. Perhaps seven weeks is still too much, and you’d rather shorten it all the way down to only a minimum of three weeks? Or if you’d like to enjoy carrying a child for as long as possible, you could extend the tim"&amp;"e for your baby to develop to a staggering 128 weeks at the longest. Or equivalent time frames should you somehow not be human. If you happened to be male, you could apply this to your partners instead, to change how long they have to carry your children."&amp;" Just pick a length of time before the actual conception, as these changes don’t apply to existing pregnancies.")</f>
        <v>In the last few decades, many advances in the science of genetics have been made, particularly in the fields of pregnancy and sex. Genetic engineering to ensure accelerated pregnancy speed has reached widespread use just out of the necessity to repopulate after the disaster of the gender-virus. With the duration of each pregnancy reduced to a mere seven weeks, some enthusiastic women have even had upwards of thirty pregnancies.
You go a bit further than the norm however, with the ability to mentally adjust the duration of any of your pregnancies. Perhaps seven weeks is still too much, and you’d rather shorten it all the way down to only a minimum of three weeks? Or if you’d like to enjoy carrying a child for as long as possible, you could extend the time for your baby to develop to a staggering 128 weeks at the longest. Or equivalent time frames should you somehow not be human. If you happened to be male, you could apply this to your partners instead, to change how long they have to carry your children. Just pick a length of time before the actual conception, as these changes don’t apply to existing pregnancies.</v>
      </c>
      <c r="I39" s="5"/>
    </row>
    <row r="40" spans="1:9" ht="104.4" x14ac:dyDescent="0.25">
      <c r="A40" s="16"/>
      <c r="B40" s="17">
        <v>36</v>
      </c>
      <c r="C40" s="2" t="b">
        <f ca="1">IFERROR(__xludf.DUMMYFUNCTION("""COMPUTED_VALUE"""),FALSE)</f>
        <v>0</v>
      </c>
      <c r="D40" s="2">
        <f ca="1">IFERROR(__xludf.DUMMYFUNCTION("""COMPUTED_VALUE"""),200)</f>
        <v>200</v>
      </c>
      <c r="E40" s="2" t="str">
        <f ca="1">IFERROR(__xludf.DUMMYFUNCTION("""COMPUTED_VALUE"""),"Rapid Growth Machine")</f>
        <v>Rapid Growth Machine</v>
      </c>
      <c r="F40" s="2" t="str">
        <f ca="1">IFERROR(__xludf.DUMMYFUNCTION("""COMPUTED_VALUE"""),"The Otaku in 2200 AD")</f>
        <v>The Otaku in 2200 AD</v>
      </c>
      <c r="G40" s="2" t="str">
        <f ca="1">IFERROR(__xludf.DUMMYFUNCTION("""COMPUTED_VALUE"""),"Fertility &amp; Family")</f>
        <v>Fertility &amp; Family</v>
      </c>
      <c r="H40" s="2" t="str">
        <f ca="1">IFERROR(__xludf.DUMMYFUNCTION("""COMPUTED_VALUE"""),"One of the specialties of O-Bio that are unavailable everywhere else, this tank will make those within it age at 30 times the normal rate (although this is only physical aging rather than mental). The machine can induce unconsciousness in those placed wit"&amp;"hin, and floats them in an oxygenated nutrient substance that keeps them alive. Electric shocks are used to stimulate the muscles to prevent atrophy over long periods of time subject to the Rapid Growth Machine. It has a time so it automatically stops onc"&amp;"e a certain period of time has passed.")</f>
        <v>One of the specialties of O-Bio that are unavailable everywhere else, this tank will make those within it age at 30 times the normal rate (although this is only physical aging rather than mental). The machine can induce unconsciousness in those placed within, and floats them in an oxygenated nutrient substance that keeps them alive. Electric shocks are used to stimulate the muscles to prevent atrophy over long periods of time subject to the Rapid Growth Machine. It has a time so it automatically stops once a certain period of time has passed.</v>
      </c>
      <c r="I40" s="5"/>
    </row>
    <row r="41" spans="1:9" ht="121.8" x14ac:dyDescent="0.25">
      <c r="A41" s="16"/>
      <c r="B41" s="17">
        <v>37</v>
      </c>
      <c r="C41" s="2" t="b">
        <f ca="1">IFERROR(__xludf.DUMMYFUNCTION("""COMPUTED_VALUE"""),FALSE)</f>
        <v>0</v>
      </c>
      <c r="D41" s="2">
        <f ca="1">IFERROR(__xludf.DUMMYFUNCTION("""COMPUTED_VALUE"""),200)</f>
        <v>200</v>
      </c>
      <c r="E41" s="2" t="str">
        <f ca="1">IFERROR(__xludf.DUMMYFUNCTION("""COMPUTED_VALUE"""),"Selective Breeding")</f>
        <v>Selective Breeding</v>
      </c>
      <c r="F41" s="2" t="str">
        <f ca="1">IFERROR(__xludf.DUMMYFUNCTION("""COMPUTED_VALUE"""),"High Elf x High School")</f>
        <v>High Elf x High School</v>
      </c>
      <c r="G41" s="2" t="str">
        <f ca="1">IFERROR(__xludf.DUMMYFUNCTION("""COMPUTED_VALUE"""),"Fertility &amp; Family")</f>
        <v>Fertility &amp; Family</v>
      </c>
      <c r="H41" s="2" t="str">
        <f ca="1">IFERROR(__xludf.DUMMYFUNCTION("""COMPUTED_VALUE"""),"Of course, plenty of Masters and Mistresses have various... biological oddities about them. Even if they are human or elf, that doesn’t stop you from having perks that might make you half-shoggoth or something. Fortunately, you can always control what tra"&amp;"its are inherited by your offspring—including features such as what race you are, allowing you to make it so that the child of a human and a high elf would also be a 100% pure high elf, a half-elf, a true human, or anything in between. Might have a hard t"&amp;"ime explaining how a first-generation hybrid of human and elf has only 1/13th elven blood, though.")</f>
        <v>Of course, plenty of Masters and Mistresses have various... biological oddities about them. Even if they are human or elf, that doesn’t stop you from having perks that might make you half-shoggoth or something. Fortunately, you can always control what traits are inherited by your offspring—including features such as what race you are, allowing you to make it so that the child of a human and a high elf would also be a 100% pure high elf, a half-elf, a true human, or anything in between. Might have a hard time explaining how a first-generation hybrid of human and elf has only 1/13th elven blood, though.</v>
      </c>
      <c r="I41" s="5"/>
    </row>
    <row r="42" spans="1:9" ht="104.4" x14ac:dyDescent="0.25">
      <c r="A42" s="16"/>
      <c r="B42" s="17">
        <v>38</v>
      </c>
      <c r="C42" s="2" t="b">
        <f ca="1">IFERROR(__xludf.DUMMYFUNCTION("""COMPUTED_VALUE"""),FALSE)</f>
        <v>0</v>
      </c>
      <c r="D42" s="2">
        <f ca="1">IFERROR(__xludf.DUMMYFUNCTION("""COMPUTED_VALUE"""),200)</f>
        <v>200</v>
      </c>
      <c r="E42" s="2" t="str">
        <f ca="1">IFERROR(__xludf.DUMMYFUNCTION("""COMPUTED_VALUE"""),"Succubus Oil")</f>
        <v>Succubus Oil</v>
      </c>
      <c r="F42" s="2" t="str">
        <f ca="1">IFERROR(__xludf.DUMMYFUNCTION("""COMPUTED_VALUE"""),"Prina the Dungeoneering Princess")</f>
        <v>Prina the Dungeoneering Princess</v>
      </c>
      <c r="G42" s="2" t="str">
        <f ca="1">IFERROR(__xludf.DUMMYFUNCTION("""COMPUTED_VALUE"""),"Fertility &amp; Family")</f>
        <v>Fertility &amp; Family</v>
      </c>
      <c r="H42" s="2" t="str">
        <f ca="1">IFERROR(__xludf.DUMMYFUNCTION("""COMPUTED_VALUE"""),"Now I know what you’re thinking. Made for succubus, or from succubus? Little bit of both, honestly. The oil is made from succubus cum twisted through a few alchemical processes. It seems normal at first, a high grade aphrodisiac and pleasure enhancer, but"&amp;" it has an extra function that’s quite useful. See, it drastically ups the fertility of anyone it’s used on. As in, a pregnancy is guaranteed to be twins, maybe even triplets. Or multiple pregnancies at once, even if you’re supposed to be too old to get p"&amp;"regnant. Also makes for excellent massage oil.")</f>
        <v>Now I know what you’re thinking. Made for succubus, or from succubus? Little bit of both, honestly. The oil is made from succubus cum twisted through a few alchemical processes. It seems normal at first, a high grade aphrodisiac and pleasure enhancer, but it has an extra function that’s quite useful. See, it drastically ups the fertility of anyone it’s used on. As in, a pregnancy is guaranteed to be twins, maybe even triplets. Or multiple pregnancies at once, even if you’re supposed to be too old to get pregnant. Also makes for excellent massage oil.</v>
      </c>
      <c r="I42" s="5"/>
    </row>
    <row r="43" spans="1:9" ht="52.2" x14ac:dyDescent="0.25">
      <c r="A43" s="16"/>
      <c r="B43" s="17">
        <v>39</v>
      </c>
      <c r="C43" s="2" t="b">
        <f ca="1">IFERROR(__xludf.DUMMYFUNCTION("""COMPUTED_VALUE"""),FALSE)</f>
        <v>0</v>
      </c>
      <c r="D43" s="2">
        <f ca="1">IFERROR(__xludf.DUMMYFUNCTION("""COMPUTED_VALUE"""),200)</f>
        <v>200</v>
      </c>
      <c r="E43" s="2" t="str">
        <f ca="1">IFERROR(__xludf.DUMMYFUNCTION("""COMPUTED_VALUE"""),"Take Care")</f>
        <v>Take Care</v>
      </c>
      <c r="F43" s="2" t="str">
        <f ca="1">IFERROR(__xludf.DUMMYFUNCTION("""COMPUTED_VALUE"""),"Legend Of Krystal")</f>
        <v>Legend Of Krystal</v>
      </c>
      <c r="G43" s="2" t="str">
        <f ca="1">IFERROR(__xludf.DUMMYFUNCTION("""COMPUTED_VALUE"""),"Fertility &amp; Family")</f>
        <v>Fertility &amp; Family</v>
      </c>
      <c r="H43" s="2" t="str">
        <f ca="1">IFERROR(__xludf.DUMMYFUNCTION("""COMPUTED_VALUE"""),"To take care of ones tribe is not just a necessity, but the right thing to do. You excel at caring for those in your tribe, your friends, and your family. Whether it’s raising the hatchlings or taking care of a sexy vixen who crashed nearby, your skills a"&amp;"s a caretaker are second to none.")</f>
        <v>To take care of ones tribe is not just a necessity, but the right thing to do. You excel at caring for those in your tribe, your friends, and your family. Whether it’s raising the hatchlings or taking care of a sexy vixen who crashed nearby, your skills as a caretaker are second to none.</v>
      </c>
      <c r="I43" s="5"/>
    </row>
    <row r="44" spans="1:9" ht="121.8" x14ac:dyDescent="0.25">
      <c r="A44" s="16"/>
      <c r="B44" s="17">
        <v>40</v>
      </c>
      <c r="C44" s="2" t="b">
        <f ca="1">IFERROR(__xludf.DUMMYFUNCTION("""COMPUTED_VALUE"""),FALSE)</f>
        <v>0</v>
      </c>
      <c r="D44" s="2">
        <f ca="1">IFERROR(__xludf.DUMMYFUNCTION("""COMPUTED_VALUE"""),200)</f>
        <v>200</v>
      </c>
      <c r="E44" s="2" t="str">
        <f ca="1">IFERROR(__xludf.DUMMYFUNCTION("""COMPUTED_VALUE"""),"Winning the Genetic Lottery")</f>
        <v>Winning the Genetic Lottery</v>
      </c>
      <c r="F44" s="2" t="str">
        <f ca="1">IFERROR(__xludf.DUMMYFUNCTION("""COMPUTED_VALUE"""),"Elrk")</f>
        <v>Elrk</v>
      </c>
      <c r="G44" s="2" t="str">
        <f ca="1">IFERROR(__xludf.DUMMYFUNCTION("""COMPUTED_VALUE"""),"Fertility &amp; Family")</f>
        <v>Fertility &amp; Family</v>
      </c>
      <c r="H44" s="2" t="str">
        <f ca="1">IFERROR(__xludf.DUMMYFUNCTION("""COMPUTED_VALUE"""),"I suppose it goes without saying that the Elrks’ prefered breeding habits can produce some very strange looking children. Second and third generation hybrids, such as shamans, are even stranger looking, as the genes from more and more creatures are mashed"&amp;" into one being. With that said, the Elrk are always visibly an Elrk. Bright to dark green, big breasts, and a fat cock hanging between their legs. Much like them, no matter how screwed up your genetics get - or those of your children - you’ll always be r"&amp;"ecognizable as a person, and probably as beautiful. The extraneous limbs and often armor-like additions to your body only serve to enhance your beauty, not warp you into a monster.")</f>
        <v>I suppose it goes without saying that the Elrks’ prefered breeding habits can produce some very strange looking children. Second and third generation hybrids, such as shamans, are even stranger looking, as the genes from more and more creatures are mashed into one being. With that said, the Elrk are always visibly an Elrk. Bright to dark green, big breasts, and a fat cock hanging between their legs. Much like them, no matter how screwed up your genetics get - or those of your children - you’ll always be recognizable as a person, and probably as beautiful. The extraneous limbs and often armor-like additions to your body only serve to enhance your beauty, not warp you into a monster.</v>
      </c>
      <c r="I44" s="5"/>
    </row>
    <row r="45" spans="1:9" ht="87" x14ac:dyDescent="0.25">
      <c r="A45" s="16"/>
      <c r="B45" s="17">
        <v>41</v>
      </c>
      <c r="C45" s="2" t="b">
        <f ca="1">IFERROR(__xludf.DUMMYFUNCTION("""COMPUTED_VALUE"""),FALSE)</f>
        <v>0</v>
      </c>
      <c r="D45" s="2">
        <f ca="1">IFERROR(__xludf.DUMMYFUNCTION("""COMPUTED_VALUE"""),300)</f>
        <v>300</v>
      </c>
      <c r="E45" s="2" t="str">
        <f ca="1">IFERROR(__xludf.DUMMYFUNCTION("""COMPUTED_VALUE"""),"Birthing Bed")</f>
        <v>Birthing Bed</v>
      </c>
      <c r="F45" s="2" t="str">
        <f ca="1">IFERROR(__xludf.DUMMYFUNCTION("""COMPUTED_VALUE"""),"Futadom World")</f>
        <v>Futadom World</v>
      </c>
      <c r="G45" s="2" t="str">
        <f ca="1">IFERROR(__xludf.DUMMYFUNCTION("""COMPUTED_VALUE"""),"Fertility &amp; Family")</f>
        <v>Fertility &amp; Family</v>
      </c>
      <c r="H45" s="2" t="str">
        <f ca="1">IFERROR(__xludf.DUMMYFUNCTION("""COMPUTED_VALUE"""),"Dairy Cows aren’t just there for the dairy. This item will help cover the breeding aspect of your job. A complex contraption, similar in size to the Milking Machine, this all-in-one medical marval will take care of any and all pregnancy related medical ne"&amp;"eds quickly and painlessly. Everything from routine checkups to complicated births are made not merely easy, but extremely sexually pleasurable by this automatic midwife!")</f>
        <v>Dairy Cows aren’t just there for the dairy. This item will help cover the breeding aspect of your job. A complex contraption, similar in size to the Milking Machine, this all-in-one medical marval will take care of any and all pregnancy related medical needs quickly and painlessly. Everything from routine checkups to complicated births are made not merely easy, but extremely sexually pleasurable by this automatic midwife!</v>
      </c>
      <c r="I45" s="5"/>
    </row>
    <row r="46" spans="1:9" ht="139.19999999999999" x14ac:dyDescent="0.25">
      <c r="A46" s="16"/>
      <c r="B46" s="17">
        <v>42</v>
      </c>
      <c r="C46" s="2" t="b">
        <f ca="1">IFERROR(__xludf.DUMMYFUNCTION("""COMPUTED_VALUE"""),FALSE)</f>
        <v>0</v>
      </c>
      <c r="D46" s="2">
        <f ca="1">IFERROR(__xludf.DUMMYFUNCTION("""COMPUTED_VALUE"""),300)</f>
        <v>300</v>
      </c>
      <c r="E46" s="2" t="str">
        <f ca="1">IFERROR(__xludf.DUMMYFUNCTION("""COMPUTED_VALUE"""),"Family Time")</f>
        <v>Family Time</v>
      </c>
      <c r="F46" s="2" t="str">
        <f ca="1">IFERROR(__xludf.DUMMYFUNCTION("""COMPUTED_VALUE"""),"Futadom World")</f>
        <v>Futadom World</v>
      </c>
      <c r="G46" s="2" t="str">
        <f ca="1">IFERROR(__xludf.DUMMYFUNCTION("""COMPUTED_VALUE"""),"Fertility &amp; Family")</f>
        <v>Fertility &amp; Family</v>
      </c>
      <c r="H46" s="2" t="str">
        <f ca="1">IFERROR(__xludf.DUMMYFUNCTION("""COMPUTED_VALUE"""),"Family is everything, and you’ve taken that to heart! So long as you genuinely care for your family, in any setting they always seem an engaged and important part of your life. No matter where you are, what you’re doing, your family will be cheering you o"&amp;"n, helping you out, and just generally giving it their all to make sure you have a good life. In addition, your family always seems just that littlest bit better at working out issues, finding common ground, and maintaining healthy relationships with each"&amp;" other. No matter what, your family will always seem to be good at staying friends.
This perk can be toggled on and off.")</f>
        <v>Family is everything, and you’ve taken that to heart! So long as you genuinely care for your family, in any setting they always seem an engaged and important part of your life. No matter where you are, what you’re doing, your family will be cheering you on, helping you out, and just generally giving it their all to make sure you have a good life. In addition, your family always seems just that littlest bit better at working out issues, finding common ground, and maintaining healthy relationships with each other. No matter what, your family will always seem to be good at staying friends.
This perk can be toggled on and off.</v>
      </c>
      <c r="I46" s="5"/>
    </row>
    <row r="47" spans="1:9" ht="121.8" x14ac:dyDescent="0.25">
      <c r="A47" s="16"/>
      <c r="B47" s="17">
        <v>43</v>
      </c>
      <c r="C47" s="2" t="b">
        <f ca="1">IFERROR(__xludf.DUMMYFUNCTION("""COMPUTED_VALUE"""),FALSE)</f>
        <v>0</v>
      </c>
      <c r="D47" s="2">
        <f ca="1">IFERROR(__xludf.DUMMYFUNCTION("""COMPUTED_VALUE"""),300)</f>
        <v>300</v>
      </c>
      <c r="E47" s="2" t="str">
        <f ca="1">IFERROR(__xludf.DUMMYFUNCTION("""COMPUTED_VALUE"""),"Hizashi's Plan")</f>
        <v>Hizashi's Plan</v>
      </c>
      <c r="F47" s="2" t="str">
        <f ca="1">IFERROR(__xludf.DUMMYFUNCTION("""COMPUTED_VALUE"""),"Naruto Blacked")</f>
        <v>Naruto Blacked</v>
      </c>
      <c r="G47" s="2" t="str">
        <f ca="1">IFERROR(__xludf.DUMMYFUNCTION("""COMPUTED_VALUE"""),"Fertility &amp; Family")</f>
        <v>Fertility &amp; Family</v>
      </c>
      <c r="H47" s="2" t="str">
        <f ca="1">IFERROR(__xludf.DUMMYFUNCTION("""COMPUTED_VALUE"""),"Boy, NaruHina sure turned out some pretty powerful heirs for the Hyuuga clan, didn’t it? You think maybe somebody planned that all out...? Naaah. But you sure could do something like that if you wanted, thanks to this expansive billboard covered with an i"&amp;"ntricate web of all the bloodlines and inheritable powers which are known to you along with who has them and intricate details about the possessors in question. Thanks to this chart, which automatically organizes and updates itself with new information wh"&amp;"enever you obtain it, it would be trivially easy to plot out which potential pairings would produce the strongest heirs.")</f>
        <v>Boy, NaruHina sure turned out some pretty powerful heirs for the Hyuuga clan, didn’t it? You think maybe somebody planned that all out...? Naaah. But you sure could do something like that if you wanted, thanks to this expansive billboard covered with an intricate web of all the bloodlines and inheritable powers which are known to you along with who has them and intricate details about the possessors in question. Thanks to this chart, which automatically organizes and updates itself with new information whenever you obtain it, it would be trivially easy to plot out which potential pairings would produce the strongest heirs.</v>
      </c>
      <c r="I47" s="5"/>
    </row>
    <row r="48" spans="1:9" ht="87" x14ac:dyDescent="0.25">
      <c r="A48" s="16"/>
      <c r="B48" s="17">
        <v>44</v>
      </c>
      <c r="C48" s="2" t="b">
        <f ca="1">IFERROR(__xludf.DUMMYFUNCTION("""COMPUTED_VALUE"""),FALSE)</f>
        <v>0</v>
      </c>
      <c r="D48" s="2">
        <f ca="1">IFERROR(__xludf.DUMMYFUNCTION("""COMPUTED_VALUE"""),300)</f>
        <v>300</v>
      </c>
      <c r="E48" s="2" t="str">
        <f ca="1">IFERROR(__xludf.DUMMYFUNCTION("""COMPUTED_VALUE"""),"M-Preg")</f>
        <v>M-Preg</v>
      </c>
      <c r="F48" s="2" t="str">
        <f ca="1">IFERROR(__xludf.DUMMYFUNCTION("""COMPUTED_VALUE"""),"Flexible Survival")</f>
        <v>Flexible Survival</v>
      </c>
      <c r="G48" s="2" t="str">
        <f ca="1">IFERROR(__xludf.DUMMYFUNCTION("""COMPUTED_VALUE"""),"Fertility &amp; Family")</f>
        <v>Fertility &amp; Family</v>
      </c>
      <c r="H48" s="2" t="str">
        <f ca="1">IFERROR(__xludf.DUMMYFUNCTION("""COMPUTED_VALUE"""),"You have gained the ability to be impregnated and give birth as a male/neuter. Your offspring develop in eggs, and grow to the size of a baseball in seven days. They are then ejected from the body (anus) and rapidly grow to a normal size infant in minutes"&amp;". You could decide at birth that they will grow to physically mature adults if you want, instead of stopping development at the infant stage.")</f>
        <v>You have gained the ability to be impregnated and give birth as a male/neuter. Your offspring develop in eggs, and grow to the size of a baseball in seven days. They are then ejected from the body (anus) and rapidly grow to a normal size infant in minutes. You could decide at birth that they will grow to physically mature adults if you want, instead of stopping development at the infant stage.</v>
      </c>
      <c r="I48" s="5"/>
    </row>
    <row r="49" spans="1:9" ht="69.599999999999994" x14ac:dyDescent="0.25">
      <c r="A49" s="16"/>
      <c r="B49" s="17">
        <v>45</v>
      </c>
      <c r="C49" s="2" t="b">
        <f ca="1">IFERROR(__xludf.DUMMYFUNCTION("""COMPUTED_VALUE"""),FALSE)</f>
        <v>0</v>
      </c>
      <c r="D49" s="2">
        <f ca="1">IFERROR(__xludf.DUMMYFUNCTION("""COMPUTED_VALUE"""),300)</f>
        <v>300</v>
      </c>
      <c r="E49" s="2" t="str">
        <f ca="1">IFERROR(__xludf.DUMMYFUNCTION("""COMPUTED_VALUE"""),"Omni Fertility")</f>
        <v>Omni Fertility</v>
      </c>
      <c r="F49" s="2" t="str">
        <f ca="1">IFERROR(__xludf.DUMMYFUNCTION("""COMPUTED_VALUE"""),"Adam and Gaia")</f>
        <v>Adam and Gaia</v>
      </c>
      <c r="G49" s="2" t="str">
        <f ca="1">IFERROR(__xludf.DUMMYFUNCTION("""COMPUTED_VALUE"""),"Fertility &amp; Family")</f>
        <v>Fertility &amp; Family</v>
      </c>
      <c r="H49" s="2" t="str">
        <f ca="1">IFERROR(__xludf.DUMMYFUNCTION("""COMPUTED_VALUE"""),"With the world as diminished as it is repopulating is difficult enough, the fact that each time isn’t a guarantee the seed took makes any effort even more frustrating. Perhaps you have been blessed by Gaia or just have a supernatural ability to make life "&amp;"spring forth. Any living thing that has functioning reproductive organs you have sex with will get pregnant or vice versa.")</f>
        <v>With the world as diminished as it is repopulating is difficult enough, the fact that each time isn’t a guarantee the seed took makes any effort even more frustrating. Perhaps you have been blessed by Gaia or just have a supernatural ability to make life spring forth. Any living thing that has functioning reproductive organs you have sex with will get pregnant or vice versa.</v>
      </c>
      <c r="I49" s="5"/>
    </row>
    <row r="50" spans="1:9" ht="87" x14ac:dyDescent="0.25">
      <c r="A50" s="16"/>
      <c r="B50" s="17">
        <v>46</v>
      </c>
      <c r="C50" s="2" t="b">
        <f ca="1">IFERROR(__xludf.DUMMYFUNCTION("""COMPUTED_VALUE"""),FALSE)</f>
        <v>0</v>
      </c>
      <c r="D50" s="2">
        <f ca="1">IFERROR(__xludf.DUMMYFUNCTION("""COMPUTED_VALUE"""),300)</f>
        <v>300</v>
      </c>
      <c r="E50" s="2" t="str">
        <f ca="1">IFERROR(__xludf.DUMMYFUNCTION("""COMPUTED_VALUE"""),"Omni-Contraceptive")</f>
        <v>Omni-Contraceptive</v>
      </c>
      <c r="F50" s="2" t="str">
        <f ca="1">IFERROR(__xludf.DUMMYFUNCTION("""COMPUTED_VALUE"""),"Generic: Lewd Science Fiction")</f>
        <v>Generic: Lewd Science Fiction</v>
      </c>
      <c r="G50" s="2" t="str">
        <f ca="1">IFERROR(__xludf.DUMMYFUNCTION("""COMPUTED_VALUE"""),"Fertility &amp; Family")</f>
        <v>Fertility &amp; Family</v>
      </c>
      <c r="H50" s="2" t="str">
        <f ca="1">IFERROR(__xludf.DUMMYFUNCTION("""COMPUTED_VALUE"""),"This little pill functions not only as a contraceptive, but also works against any outside being trying to use your body to reproduce. From parasites and diseases to alien facehuggers and grey goo, it will stop them using your body as a breeding factory o"&amp;"r converting you into more of them. Doesn’t stop them just killing or eating you, though. The drug lasts for a week, when a new pill will appear in your pocket.")</f>
        <v>This little pill functions not only as a contraceptive, but also works against any outside being trying to use your body to reproduce. From parasites and diseases to alien facehuggers and grey goo, it will stop them using your body as a breeding factory or converting you into more of them. Doesn’t stop them just killing or eating you, though. The drug lasts for a week, when a new pill will appear in your pocket.</v>
      </c>
      <c r="I50" s="5"/>
    </row>
    <row r="51" spans="1:9" ht="104.4" x14ac:dyDescent="0.25">
      <c r="A51" s="16"/>
      <c r="B51" s="17">
        <v>47</v>
      </c>
      <c r="C51" s="2" t="b">
        <f ca="1">IFERROR(__xludf.DUMMYFUNCTION("""COMPUTED_VALUE"""),FALSE)</f>
        <v>0</v>
      </c>
      <c r="D51" s="2">
        <f ca="1">IFERROR(__xludf.DUMMYFUNCTION("""COMPUTED_VALUE"""),300)</f>
        <v>300</v>
      </c>
      <c r="E51" s="2" t="str">
        <f ca="1">IFERROR(__xludf.DUMMYFUNCTION("""COMPUTED_VALUE"""),"Properly Equipped")</f>
        <v>Properly Equipped</v>
      </c>
      <c r="F51" s="2" t="str">
        <f ca="1">IFERROR(__xludf.DUMMYFUNCTION("""COMPUTED_VALUE"""),"High Elf x High School")</f>
        <v>High Elf x High School</v>
      </c>
      <c r="G51" s="2" t="str">
        <f ca="1">IFERROR(__xludf.DUMMYFUNCTION("""COMPUTED_VALUE"""),"Fertility &amp; Family")</f>
        <v>Fertility &amp; Family</v>
      </c>
      <c r="H51" s="2" t="str">
        <f ca="1">IFERROR(__xludf.DUMMYFUNCTION("""COMPUTED_VALUE"""),"If you want to help a species overcome its terminal case of inbreeding, what’s the most important thing? The ability to actually get it on. While humans normally don’t have much magical potential, you’re one of the rare exceptions, which is fortunate as o"&amp;"therwise you wouldn’t be able to impregnate an elf in the first place. What’s more, the amount of magic you have serves to increase your fertility overall; if you’re strong enough with magic, you could impregnate even someone who is incapable of bearing c"&amp;"hildren.")</f>
        <v>If you want to help a species overcome its terminal case of inbreeding, what’s the most important thing? The ability to actually get it on. While humans normally don’t have much magical potential, you’re one of the rare exceptions, which is fortunate as otherwise you wouldn’t be able to impregnate an elf in the first place. What’s more, the amount of magic you have serves to increase your fertility overall; if you’re strong enough with magic, you could impregnate even someone who is incapable of bearing children.</v>
      </c>
      <c r="I51" s="5"/>
    </row>
    <row r="52" spans="1:9" ht="226.2" x14ac:dyDescent="0.25">
      <c r="A52" s="16"/>
      <c r="B52" s="17">
        <v>48</v>
      </c>
      <c r="C52" s="2" t="b">
        <f ca="1">IFERROR(__xludf.DUMMYFUNCTION("""COMPUTED_VALUE"""),FALSE)</f>
        <v>0</v>
      </c>
      <c r="D52" s="2">
        <f ca="1">IFERROR(__xludf.DUMMYFUNCTION("""COMPUTED_VALUE"""),300)</f>
        <v>300</v>
      </c>
      <c r="E52" s="2" t="str">
        <f ca="1">IFERROR(__xludf.DUMMYFUNCTION("""COMPUTED_VALUE"""),"Woes of a Mother")</f>
        <v>Woes of a Mother</v>
      </c>
      <c r="F52" s="2" t="str">
        <f ca="1">IFERROR(__xludf.DUMMYFUNCTION("""COMPUTED_VALUE"""),"Succubi’s Supporter")</f>
        <v>Succubi’s Supporter</v>
      </c>
      <c r="G52" s="2" t="str">
        <f ca="1">IFERROR(__xludf.DUMMYFUNCTION("""COMPUTED_VALUE"""),"Fertility &amp; Family")</f>
        <v>Fertility &amp; Family</v>
      </c>
      <c r="H52" s="2" t="str">
        <f ca="1">IFERROR(__xludf.DUMMYFUNCTION("""COMPUTED_VALUE"""),"Sure, it should be every parent’s goal to have children who are even more successful than they are. But still, any parent wishes to be looked up to by their children, which is kind of hard when they’re just too amazing. 
Your children, and all your desce"&amp;"ndants, will always be exceptional. They will be smarter, luckier, stronger, more beautiful, and more sexually impressive than their peers, and will additionally inherit any perks you may have had that would let them excel in these areas. They are destine"&amp;"d to have amazing, successful lives, and as long as they devote even a smidgen of effort to it are effectively guaranteed to become wealthy and popular, without losing themselves to fame and fortune.
But no matter how great they become, even if they over"&amp;"shadow you, your descendants will never stop looking up to and admiring you. No matter what you need in life, they will always be willing to provide it.")</f>
        <v>Sure, it should be every parent’s goal to have children who are even more successful than they are. But still, any parent wishes to be looked up to by their children, which is kind of hard when they’re just too amazing. 
Your children, and all your descendants, will always be exceptional. They will be smarter, luckier, stronger, more beautiful, and more sexually impressive than their peers, and will additionally inherit any perks you may have had that would let them excel in these areas. They are destined to have amazing, successful lives, and as long as they devote even a smidgen of effort to it are effectively guaranteed to become wealthy and popular, without losing themselves to fame and fortune.
But no matter how great they become, even if they overshadow you, your descendants will never stop looking up to and admiring you. No matter what you need in life, they will always be willing to provide it.</v>
      </c>
      <c r="I52" s="5"/>
    </row>
    <row r="53" spans="1:9" ht="104.4" x14ac:dyDescent="0.25">
      <c r="A53" s="16"/>
      <c r="B53" s="17">
        <v>49</v>
      </c>
      <c r="C53" s="2" t="b">
        <f ca="1">IFERROR(__xludf.DUMMYFUNCTION("""COMPUTED_VALUE"""),FALSE)</f>
        <v>0</v>
      </c>
      <c r="D53" s="2">
        <f ca="1">IFERROR(__xludf.DUMMYFUNCTION("""COMPUTED_VALUE"""),400)</f>
        <v>400</v>
      </c>
      <c r="E53" s="2" t="str">
        <f ca="1">IFERROR(__xludf.DUMMYFUNCTION("""COMPUTED_VALUE"""),"100% Success Rate")</f>
        <v>100% Success Rate</v>
      </c>
      <c r="F53" s="2" t="str">
        <f ca="1">IFERROR(__xludf.DUMMYFUNCTION("""COMPUTED_VALUE"""),"Generic: Virgin")</f>
        <v>Generic: Virgin</v>
      </c>
      <c r="G53" s="2" t="str">
        <f ca="1">IFERROR(__xludf.DUMMYFUNCTION("""COMPUTED_VALUE"""),"Fertility &amp; Family")</f>
        <v>Fertility &amp; Family</v>
      </c>
      <c r="H53" s="2" t="str">
        <f ca="1">IFERROR(__xludf.DUMMYFUNCTION("""COMPUTED_VALUE"""),"Why do it more than you have to, right? Intercourse is, primarily, for reproduction, and now you can impregnate anyone able to get pregnant the first time you try. This doesn’t require any male genitalia on your part. Any part of your body will do to deli"&amp;"ver the needed gamete where it needs to go. Hell, you could even use someone else’s gametes if you want to. Finger one girl to orgasm and then use her gametes to impregnate her sister or something. Taking or giving a gamete requires that the target orgasm"&amp;"s.")</f>
        <v>Why do it more than you have to, right? Intercourse is, primarily, for reproduction, and now you can impregnate anyone able to get pregnant the first time you try. This doesn’t require any male genitalia on your part. Any part of your body will do to deliver the needed gamete where it needs to go. Hell, you could even use someone else’s gametes if you want to. Finger one girl to orgasm and then use her gametes to impregnate her sister or something. Taking or giving a gamete requires that the target orgasms.</v>
      </c>
      <c r="I53" s="5"/>
    </row>
    <row r="54" spans="1:9" ht="191.4" x14ac:dyDescent="0.25">
      <c r="A54" s="16"/>
      <c r="B54" s="17">
        <v>50</v>
      </c>
      <c r="C54" s="2" t="b">
        <f ca="1">IFERROR(__xludf.DUMMYFUNCTION("""COMPUTED_VALUE"""),FALSE)</f>
        <v>0</v>
      </c>
      <c r="D54" s="2">
        <f ca="1">IFERROR(__xludf.DUMMYFUNCTION("""COMPUTED_VALUE"""),400)</f>
        <v>400</v>
      </c>
      <c r="E54" s="2" t="str">
        <f ca="1">IFERROR(__xludf.DUMMYFUNCTION("""COMPUTED_VALUE"""),"A Future of [Kemokko] Cuteness")</f>
        <v>A Future of [Kemokko] Cuteness</v>
      </c>
      <c r="F54" s="2" t="str">
        <f ca="1">IFERROR(__xludf.DUMMYFUNCTION("""COMPUTED_VALUE"""),"Kemokko Zoo")</f>
        <v>Kemokko Zoo</v>
      </c>
      <c r="G54" s="2" t="str">
        <f ca="1">IFERROR(__xludf.DUMMYFUNCTION("""COMPUTED_VALUE"""),"Fertility &amp; Family")</f>
        <v>Fertility &amp; Family</v>
      </c>
      <c r="H54" s="2" t="str">
        <f ca="1">IFERROR(__xludf.DUMMYFUNCTION("""COMPUTED_VALUE"""),"The zoo’s animals becoming cute and sexy kemokko girls is just the start of the Director’s brilliant dream, for she envisions a day in the distant future where, through love, they will have birthed a new kemokko race, holding the genes of both humans and "&amp;"other animals – and being incredibly cute!
With this perk, any children you have, even with other species, will bring in the best, cutest genes from both sides. They’ll take the cutest features from each parent to form a wonderful hybrid with a beautifu"&amp;"l yet healthy body. They’re so lovable that, even if they’re a hybrid of different races, people just can’t help but find them adorable and will accept their existence.
As an extra bonus, your own forms will likewise inherit the cutest parts of your par"&amp;"ents.")</f>
        <v>The zoo’s animals becoming cute and sexy kemokko girls is just the start of the Director’s brilliant dream, for she envisions a day in the distant future where, through love, they will have birthed a new kemokko race, holding the genes of both humans and other animals – and being incredibly cute!
With this perk, any children you have, even with other species, will bring in the best, cutest genes from both sides. They’ll take the cutest features from each parent to form a wonderful hybrid with a beautiful yet healthy body. They’re so lovable that, even if they’re a hybrid of different races, people just can’t help but find them adorable and will accept their existence.
As an extra bonus, your own forms will likewise inherit the cutest parts of your parents.</v>
      </c>
      <c r="I54" s="5"/>
    </row>
    <row r="55" spans="1:9" ht="121.8" x14ac:dyDescent="0.25">
      <c r="A55" s="16"/>
      <c r="B55" s="17">
        <v>51</v>
      </c>
      <c r="C55" s="2" t="b">
        <f ca="1">IFERROR(__xludf.DUMMYFUNCTION("""COMPUTED_VALUE"""),FALSE)</f>
        <v>0</v>
      </c>
      <c r="D55" s="2">
        <f ca="1">IFERROR(__xludf.DUMMYFUNCTION("""COMPUTED_VALUE"""),400)</f>
        <v>400</v>
      </c>
      <c r="E55" s="2" t="str">
        <f ca="1">IFERROR(__xludf.DUMMYFUNCTION("""COMPUTED_VALUE"""),"Baby Box")</f>
        <v>Baby Box</v>
      </c>
      <c r="F55" s="2" t="str">
        <f ca="1">IFERROR(__xludf.DUMMYFUNCTION("""COMPUTED_VALUE"""),"Lexx")</f>
        <v>Lexx</v>
      </c>
      <c r="G55" s="2" t="str">
        <f ca="1">IFERROR(__xludf.DUMMYFUNCTION("""COMPUTED_VALUE"""),"Fertility &amp; Family")</f>
        <v>Fertility &amp; Family</v>
      </c>
      <c r="H55" s="2" t="str">
        <f ca="1">IFERROR(__xludf.DUMMYFUNCTION("""COMPUTED_VALUE"""),"Similar to the box on B3K where Zev Bellringer was raised, this machine, the size of a small room, is capable of taking a human infant and raising it into an adult. The television screens and robot arms provide for the child’s basic needs, as well as educ"&amp;"ation and simulated socialization. This will somehow not result in a child who is more screwed up than one raised by conventional means. If for whatever reason you don’t want to take a completely hands off approach to child rearing, you can take the child"&amp;" in and out of the box, using it as a school, daycare, and/or babysitter. As a special bonus, you may apply any parenting or teaching perks you may have through the box.")</f>
        <v>Similar to the box on B3K where Zev Bellringer was raised, this machine, the size of a small room, is capable of taking a human infant and raising it into an adult. The television screens and robot arms provide for the child’s basic needs, as well as education and simulated socialization. This will somehow not result in a child who is more screwed up than one raised by conventional means. If for whatever reason you don’t want to take a completely hands off approach to child rearing, you can take the child in and out of the box, using it as a school, daycare, and/or babysitter. As a special bonus, you may apply any parenting or teaching perks you may have through the box.</v>
      </c>
      <c r="I55" s="5"/>
    </row>
    <row r="56" spans="1:9" ht="69.599999999999994" x14ac:dyDescent="0.25">
      <c r="A56" s="16"/>
      <c r="B56" s="17">
        <v>52</v>
      </c>
      <c r="C56" s="2" t="b">
        <f ca="1">IFERROR(__xludf.DUMMYFUNCTION("""COMPUTED_VALUE"""),FALSE)</f>
        <v>0</v>
      </c>
      <c r="D56" s="2">
        <f ca="1">IFERROR(__xludf.DUMMYFUNCTION("""COMPUTED_VALUE"""),400)</f>
        <v>400</v>
      </c>
      <c r="E56" s="2" t="str">
        <f ca="1">IFERROR(__xludf.DUMMYFUNCTION("""COMPUTED_VALUE"""),"Beloved Father")</f>
        <v>Beloved Father</v>
      </c>
      <c r="F56" s="2" t="str">
        <f ca="1">IFERROR(__xludf.DUMMYFUNCTION("""COMPUTED_VALUE"""),"Adam and Gaia")</f>
        <v>Adam and Gaia</v>
      </c>
      <c r="G56" s="2" t="str">
        <f ca="1">IFERROR(__xludf.DUMMYFUNCTION("""COMPUTED_VALUE"""),"Fertility &amp; Family")</f>
        <v>Fertility &amp; Family</v>
      </c>
      <c r="H56" s="2" t="str">
        <f ca="1">IFERROR(__xludf.DUMMYFUNCTION("""COMPUTED_VALUE"""),"Or mother, or both, if it works it works after all. All of your children will love you and be fiercely loyal throwing themselves into whatever role you assign them. It helps that you are very much in tune with the needs and wants of your children, even un"&amp;"derstand their individual mind and how they think with a just few conversations.")</f>
        <v>Or mother, or both, if it works it works after all. All of your children will love you and be fiercely loyal throwing themselves into whatever role you assign them. It helps that you are very much in tune with the needs and wants of your children, even understand their individual mind and how they think with a just few conversations.</v>
      </c>
      <c r="I56" s="5"/>
    </row>
    <row r="57" spans="1:9" ht="226.2" x14ac:dyDescent="0.25">
      <c r="A57" s="16"/>
      <c r="B57" s="17">
        <v>53</v>
      </c>
      <c r="C57" s="2" t="b">
        <f ca="1">IFERROR(__xludf.DUMMYFUNCTION("""COMPUTED_VALUE"""),FALSE)</f>
        <v>0</v>
      </c>
      <c r="D57" s="2">
        <f ca="1">IFERROR(__xludf.DUMMYFUNCTION("""COMPUTED_VALUE"""),400)</f>
        <v>400</v>
      </c>
      <c r="E57" s="2" t="str">
        <f ca="1">IFERROR(__xludf.DUMMYFUNCTION("""COMPUTED_VALUE"""),"Ditto Reproduction")</f>
        <v>Ditto Reproduction</v>
      </c>
      <c r="F57" s="2" t="str">
        <f ca="1">IFERROR(__xludf.DUMMYFUNCTION("""COMPUTED_VALUE"""),"Pokemon Ecchi Version")</f>
        <v>Pokemon Ecchi Version</v>
      </c>
      <c r="G57" s="2" t="str">
        <f ca="1">IFERROR(__xludf.DUMMYFUNCTION("""COMPUTED_VALUE"""),"Fertility &amp; Family")</f>
        <v>Fertility &amp; Family</v>
      </c>
      <c r="H57" s="2" t="str">
        <f ca="1">IFERROR(__xludf.DUMMYFUNCTION("""COMPUTED_VALUE"""),"Dr Wankenstein is a mad scientist who dreams of creating pokemon through the wombs of humans. He would love to get his hands on you, as you are the epitome of that dream. What he does with technology, you do naturally. Anytime you have sex with something "&amp;"you normally can’t reproduce with, you can breed them and/or be bred with essentially a clone of the other party. For example, a Charizard creates a Charmander, whether it’s fucking you or you fucking it. If you are the one being bred, then the new organi"&amp;"sm is first created in an egg, that once laid then grows further into whatever the baby/child stage is. If you are the one breeding something else, the mother essentially starts carrying a clone of herself. As an unexpected benefit, the child created by t"&amp;"his process knows every power/skill the parent knows, even ones the child can’t logically do. For example, a Charmander being able to pull off Wing Attack without having a wing. One particularly noteworthy example is the Eevee line, as being bred by a Fla"&amp;"reon with Flamethrower will create an Eevee with Flamethrower, who can then be evolved into a Vaporeon with Flamethrower. Lastly, this perk comes with a toggle, in case you don’t want to start creating new life everywhere.")</f>
        <v>Dr Wankenstein is a mad scientist who dreams of creating pokemon through the wombs of humans. He would love to get his hands on you, as you are the epitome of that dream. What he does with technology, you do naturally. Anytime you have sex with something you normally can’t reproduce with, you can breed them and/or be bred with essentially a clone of the other party. For example, a Charizard creates a Charmander, whether it’s fucking you or you fucking it. If you are the one being bred, then the new organism is first created in an egg, that once laid then grows further into whatever the baby/child stage is. If you are the one breeding something else, the mother essentially starts carrying a clone of herself. As an unexpected benefit, the child created by this process knows every power/skill the parent knows, even ones the child can’t logically do. For example, a Charmander being able to pull off Wing Attack without having a wing. One particularly noteworthy example is the Eevee line, as being bred by a Flareon with Flamethrower will create an Eevee with Flamethrower, who can then be evolved into a Vaporeon with Flamethrower. Lastly, this perk comes with a toggle, in case you don’t want to start creating new life everywhere.</v>
      </c>
      <c r="I57" s="5"/>
    </row>
    <row r="58" spans="1:9" ht="104.4" x14ac:dyDescent="0.25">
      <c r="A58" s="16"/>
      <c r="B58" s="17">
        <v>54</v>
      </c>
      <c r="C58" s="2" t="b">
        <f ca="1">IFERROR(__xludf.DUMMYFUNCTION("""COMPUTED_VALUE"""),FALSE)</f>
        <v>0</v>
      </c>
      <c r="D58" s="2">
        <f ca="1">IFERROR(__xludf.DUMMYFUNCTION("""COMPUTED_VALUE"""),400)</f>
        <v>400</v>
      </c>
      <c r="E58" s="2" t="str">
        <f ca="1">IFERROR(__xludf.DUMMYFUNCTION("""COMPUTED_VALUE"""),"Genesis Pillar")</f>
        <v>Genesis Pillar</v>
      </c>
      <c r="F58" s="2" t="str">
        <f ca="1">IFERROR(__xludf.DUMMYFUNCTION("""COMPUTED_VALUE"""),"Masou Gakuen HxH")</f>
        <v>Masou Gakuen HxH</v>
      </c>
      <c r="G58" s="2" t="str">
        <f ca="1">IFERROR(__xludf.DUMMYFUNCTION("""COMPUTED_VALUE"""),"Fertility &amp; Family")</f>
        <v>Fertility &amp; Family</v>
      </c>
      <c r="H58" s="2" t="str">
        <f ca="1">IFERROR(__xludf.DUMMYFUNCTION("""COMPUTED_VALUE"""),"Well, I guess if you really want it... Ahem, this piece of Vatlantean magi-tech is responsible for the exclusively female population, specifically by allowing women to become pregnant through a blood offering, bearing exclusively other women, without the "&amp;"involvement of a man. Naturally, because men have lower inherent magical potential (in this setting) than women, the men of Vatlantis were steadily bred out of existence. If you wanted to make a pure matriarchy work, this is the tool to use. Technically s"&amp;"peaking, if you wanted to gift this to Vatlantis, you might be able to cancel the war.")</f>
        <v>Well, I guess if you really want it... Ahem, this piece of Vatlantean magi-tech is responsible for the exclusively female population, specifically by allowing women to become pregnant through a blood offering, bearing exclusively other women, without the involvement of a man. Naturally, because men have lower inherent magical potential (in this setting) than women, the men of Vatlantis were steadily bred out of existence. If you wanted to make a pure matriarchy work, this is the tool to use. Technically speaking, if you wanted to gift this to Vatlantis, you might be able to cancel the war.</v>
      </c>
      <c r="I58" s="5"/>
    </row>
    <row r="59" spans="1:9" ht="174" x14ac:dyDescent="0.25">
      <c r="A59" s="16"/>
      <c r="B59" s="17">
        <v>55</v>
      </c>
      <c r="C59" s="2" t="b">
        <f ca="1">IFERROR(__xludf.DUMMYFUNCTION("""COMPUTED_VALUE"""),FALSE)</f>
        <v>0</v>
      </c>
      <c r="D59" s="2">
        <f ca="1">IFERROR(__xludf.DUMMYFUNCTION("""COMPUTED_VALUE"""),400)</f>
        <v>400</v>
      </c>
      <c r="E59" s="2" t="str">
        <f ca="1">IFERROR(__xludf.DUMMYFUNCTION("""COMPUTED_VALUE"""),"Immaculate Conception")</f>
        <v>Immaculate Conception</v>
      </c>
      <c r="F59" s="2" t="str">
        <f ca="1">IFERROR(__xludf.DUMMYFUNCTION("""COMPUTED_VALUE"""),"Shinmai Maou no Testament")</f>
        <v>Shinmai Maou no Testament</v>
      </c>
      <c r="G59" s="2" t="str">
        <f ca="1">IFERROR(__xludf.DUMMYFUNCTION("""COMPUTED_VALUE"""),"Fertility &amp; Family")</f>
        <v>Fertility &amp; Family</v>
      </c>
      <c r="H59" s="2" t="str">
        <f ca="1">IFERROR(__xludf.DUMMYFUNCTION("""COMPUTED_VALUE"""),"Tojo Basara holds the unique status of having been born of three parents: his first mother, Sapphire, his father, Tojo Jin, and his second mother, Raphaeline, who carried him to term when Sapphire couldn’t do so safely. This mixed birth helped create a he"&amp;"ro with the potential of all three realms, enough to rival even the Ten Gods themselves. You share in Raphaeline’s power over conception and birth, which allows you to safely transfer an unborn child between mothers, even to yourself if you are female. An"&amp;"y child born in this way is guaranteed to become magically-powerful as they grow, inheriting many of the powers that any of his or her parents may have possessed. In addition to this highly specific ability you also possess broad magical influence over fe"&amp;"rtility and childbirth in general, allowing you to bestow blessings of health upon a mother or fine-tune an infant’s appearance and talents while they’re still in the womb.")</f>
        <v>Tojo Basara holds the unique status of having been born of three parents: his first mother, Sapphire, his father, Tojo Jin, and his second mother, Raphaeline, who carried him to term when Sapphire couldn’t do so safely. This mixed birth helped create a hero with the potential of all three realms, enough to rival even the Ten Gods themselves. You share in Raphaeline’s power over conception and birth, which allows you to safely transfer an unborn child between mothers, even to yourself if you are female. Any child born in this way is guaranteed to become magically-powerful as they grow, inheriting many of the powers that any of his or her parents may have possessed. In addition to this highly specific ability you also possess broad magical influence over fertility and childbirth in general, allowing you to bestow blessings of health upon a mother or fine-tune an infant’s appearance and talents while they’re still in the womb.</v>
      </c>
      <c r="I59" s="5"/>
    </row>
    <row r="60" spans="1:9" ht="191.4" x14ac:dyDescent="0.25">
      <c r="A60" s="16"/>
      <c r="B60" s="17">
        <v>56</v>
      </c>
      <c r="C60" s="2" t="b">
        <f ca="1">IFERROR(__xludf.DUMMYFUNCTION("""COMPUTED_VALUE"""),FALSE)</f>
        <v>0</v>
      </c>
      <c r="D60" s="2">
        <f ca="1">IFERROR(__xludf.DUMMYFUNCTION("""COMPUTED_VALUE"""),400)</f>
        <v>400</v>
      </c>
      <c r="E60" s="2" t="str">
        <f ca="1">IFERROR(__xludf.DUMMYFUNCTION("""COMPUTED_VALUE"""),"Mother of Darkness")</f>
        <v>Mother of Darkness</v>
      </c>
      <c r="F60" s="2" t="str">
        <f ca="1">IFERROR(__xludf.DUMMYFUNCTION("""COMPUTED_VALUE"""),"Majuu Purification Girl Utea")</f>
        <v>Majuu Purification Girl Utea</v>
      </c>
      <c r="G60" s="2" t="str">
        <f ca="1">IFERROR(__xludf.DUMMYFUNCTION("""COMPUTED_VALUE"""),"Fertility &amp; Family")</f>
        <v>Fertility &amp; Family</v>
      </c>
      <c r="H60" s="2" t="str">
        <f ca="1">IFERROR(__xludf.DUMMYFUNCTION("""COMPUTED_VALUE"""),"The Utea might be broodmares to the injuu but that doesn’t mean they lack power or influence over them. They’re still mothers after all, and what sort of mother can’t raise her children properly? Even if they have bestial or inhuman natures you have a gre"&amp;"at deal of influence over your offspring. Even the most demonic creatures you birth pay great heed to your opinions and sensibilities. Although they won't completely deny their natures, they'll try to channel it in a way you would approve of. Moreover, up"&amp;"on birth, you can choose to have your new offspring harbor great lust for you and the prospect of having sex with you will motivate them greatly, making them much more capable at whatever tasks you set them than they really should be if you reward them se"&amp;"xually. Should you go back on your promise, though, they might just try to take it by force. They’re your children, not your slaves. Lastly, the children of such an excellent broodmare as you are always prime specimens of their kind, far better in every w"&amp;"ay than those borne by inferior mothers.")</f>
        <v>The Utea might be broodmares to the injuu but that doesn’t mean they lack power or influence over them. They’re still mothers after all, and what sort of mother can’t raise her children properly? Even if they have bestial or inhuman natures you have a great deal of influence over your offspring. Even the most demonic creatures you birth pay great heed to your opinions and sensibilities. Although they won't completely deny their natures, they'll try to channel it in a way you would approve of. Moreover, upon birth, you can choose to have your new offspring harbor great lust for you and the prospect of having sex with you will motivate them greatly, making them much more capable at whatever tasks you set them than they really should be if you reward them sexually. Should you go back on your promise, though, they might just try to take it by force. They’re your children, not your slaves. Lastly, the children of such an excellent broodmare as you are always prime specimens of their kind, far better in every way than those borne by inferior mothers.</v>
      </c>
      <c r="I60" s="5"/>
    </row>
    <row r="61" spans="1:9" ht="87" x14ac:dyDescent="0.25">
      <c r="A61" s="16"/>
      <c r="B61" s="17">
        <v>57</v>
      </c>
      <c r="C61" s="2" t="b">
        <f ca="1">IFERROR(__xludf.DUMMYFUNCTION("""COMPUTED_VALUE"""),FALSE)</f>
        <v>0</v>
      </c>
      <c r="D61" s="2">
        <f ca="1">IFERROR(__xludf.DUMMYFUNCTION("""COMPUTED_VALUE"""),400)</f>
        <v>400</v>
      </c>
      <c r="E61" s="2" t="str">
        <f ca="1">IFERROR(__xludf.DUMMYFUNCTION("""COMPUTED_VALUE"""),"My Beloved Smother")</f>
        <v>My Beloved Smother</v>
      </c>
      <c r="F61" s="2" t="str">
        <f ca="1">IFERROR(__xludf.DUMMYFUNCTION("""COMPUTED_VALUE"""),"Defiler Wings")</f>
        <v>Defiler Wings</v>
      </c>
      <c r="G61" s="2" t="str">
        <f ca="1">IFERROR(__xludf.DUMMYFUNCTION("""COMPUTED_VALUE"""),"Fertility &amp; Family")</f>
        <v>Fertility &amp; Family</v>
      </c>
      <c r="H61" s="2" t="str">
        <f ca="1">IFERROR(__xludf.DUMMYFUNCTION("""COMPUTED_VALUE"""),"Somewhere along the line, you obtained a crystal ball. Maybe you bought it from a witch, stole it from a gypsy, or made it yourself. It doesn't really matter. What does matter is that this orb is an orb of scrying, and it will allow you to watch *cough*sp"&amp;"y*cough* your children. Supervise the armies' training from your bedroom, or critique the Dragon’s fighting style from halfway across the continent. It can only lock onto your children however.")</f>
        <v>Somewhere along the line, you obtained a crystal ball. Maybe you bought it from a witch, stole it from a gypsy, or made it yourself. It doesn't really matter. What does matter is that this orb is an orb of scrying, and it will allow you to watch *cough*spy*cough* your children. Supervise the armies' training from your bedroom, or critique the Dragon’s fighting style from halfway across the continent. It can only lock onto your children however.</v>
      </c>
      <c r="I61" s="5"/>
    </row>
    <row r="62" spans="1:9" ht="156.6" x14ac:dyDescent="0.25">
      <c r="A62" s="16"/>
      <c r="B62" s="17">
        <v>58</v>
      </c>
      <c r="C62" s="2" t="b">
        <f ca="1">IFERROR(__xludf.DUMMYFUNCTION("""COMPUTED_VALUE"""),FALSE)</f>
        <v>0</v>
      </c>
      <c r="D62" s="2">
        <f ca="1">IFERROR(__xludf.DUMMYFUNCTION("""COMPUTED_VALUE"""),400)</f>
        <v>400</v>
      </c>
      <c r="E62" s="2" t="str">
        <f ca="1">IFERROR(__xludf.DUMMYFUNCTION("""COMPUTED_VALUE"""),"Rapid Pregnancies")</f>
        <v>Rapid Pregnancies</v>
      </c>
      <c r="F62" s="2" t="str">
        <f ca="1">IFERROR(__xludf.DUMMYFUNCTION("""COMPUTED_VALUE"""),"The Works of Aomizuan")</f>
        <v>The Works of Aomizuan</v>
      </c>
      <c r="G62" s="2" t="str">
        <f ca="1">IFERROR(__xludf.DUMMYFUNCTION("""COMPUTED_VALUE"""),"Fertility &amp; Family")</f>
        <v>Fertility &amp; Family</v>
      </c>
      <c r="H62" s="2" t="str">
        <f ca="1">IFERROR(__xludf.DUMMYFUNCTION("""COMPUTED_VALUE"""),"Like the women of Ushihijima, your pregnancies (and the pregnancies of those you impregnate) are insanely fast, taking only two weeks to reach completion. Well, two weeks normally. If the impregnator and the impregnated both love each other, then the preg"&amp;"nancy will be instead be completed in but two days.
All such rushed pregnancies are completely safe, cause no extra physical trauma, don’t require extra food, and are so easy to recover from that you could walk home immediately after giving birth. Nobod"&amp;"y will ever consider such quick gestation times to be in any way abnormal, and nurses will never insist a mother stay in the hospital when they try to leave right after giving birth.")</f>
        <v>Like the women of Ushihijima, your pregnancies (and the pregnancies of those you impregnate) are insanely fast, taking only two weeks to reach completion. Well, two weeks normally. If the impregnator and the impregnated both love each other, then the pregnancy will be instead be completed in but two days.
All such rushed pregnancies are completely safe, cause no extra physical trauma, don’t require extra food, and are so easy to recover from that you could walk home immediately after giving birth. Nobody will ever consider such quick gestation times to be in any way abnormal, and nurses will never insist a mother stay in the hospital when they try to leave right after giving birth.</v>
      </c>
      <c r="I62" s="5"/>
    </row>
    <row r="63" spans="1:9" ht="121.8" x14ac:dyDescent="0.25">
      <c r="A63" s="16"/>
      <c r="B63" s="17">
        <v>59</v>
      </c>
      <c r="C63" s="2" t="b">
        <f ca="1">IFERROR(__xludf.DUMMYFUNCTION("""COMPUTED_VALUE"""),FALSE)</f>
        <v>0</v>
      </c>
      <c r="D63" s="2">
        <f ca="1">IFERROR(__xludf.DUMMYFUNCTION("""COMPUTED_VALUE"""),400)</f>
        <v>400</v>
      </c>
      <c r="E63" s="2" t="str">
        <f ca="1">IFERROR(__xludf.DUMMYFUNCTION("""COMPUTED_VALUE"""),"SSR Rank Breeder")</f>
        <v>SSR Rank Breeder</v>
      </c>
      <c r="F63" s="2" t="str">
        <f ca="1">IFERROR(__xludf.DUMMYFUNCTION("""COMPUTED_VALUE"""),"Victim Girls (Veronica Edition)")</f>
        <v>Victim Girls (Veronica Edition)</v>
      </c>
      <c r="G63" s="2" t="str">
        <f ca="1">IFERROR(__xludf.DUMMYFUNCTION("""COMPUTED_VALUE"""),"Fertility &amp; Family")</f>
        <v>Fertility &amp; Family</v>
      </c>
      <c r="H63" s="2" t="str">
        <f ca="1">IFERROR(__xludf.DUMMYFUNCTION("""COMPUTED_VALUE"""),"A woman who was born solely to breed. Anything birthed by your body is a superior lifeform. The reasons from this are many. The superior quality of your reproductive abilities lead to far superior spawn, easily outmatching other members of the same specie"&amp;"s. None of the weakness of your female form will bleed into your children, taking only the better traits from you and the father. Unique genes in your ova give a high chance of developing Esper powers, which can range from control over elements to the abi"&amp;"lity to stop time. One might very well say that the most, and only, valuable part of you is now your womb.")</f>
        <v>A woman who was born solely to breed. Anything birthed by your body is a superior lifeform. The reasons from this are many. The superior quality of your reproductive abilities lead to far superior spawn, easily outmatching other members of the same species. None of the weakness of your female form will bleed into your children, taking only the better traits from you and the father. Unique genes in your ova give a high chance of developing Esper powers, which can range from control over elements to the ability to stop time. One might very well say that the most, and only, valuable part of you is now your womb.</v>
      </c>
      <c r="I63" s="5"/>
    </row>
    <row r="64" spans="1:9" ht="295.8" x14ac:dyDescent="0.25">
      <c r="A64" s="16"/>
      <c r="B64" s="17">
        <v>60</v>
      </c>
      <c r="C64" s="2" t="b">
        <f ca="1">IFERROR(__xludf.DUMMYFUNCTION("""COMPUTED_VALUE"""),FALSE)</f>
        <v>0</v>
      </c>
      <c r="D64" s="2">
        <f ca="1">IFERROR(__xludf.DUMMYFUNCTION("""COMPUTED_VALUE"""),400)</f>
        <v>400</v>
      </c>
      <c r="E64" s="2" t="str">
        <f ca="1">IFERROR(__xludf.DUMMYFUNCTION("""COMPUTED_VALUE"""),"To Be Impregnated")</f>
        <v>To Be Impregnated</v>
      </c>
      <c r="F64" s="2" t="str">
        <f ca="1">IFERROR(__xludf.DUMMYFUNCTION("""COMPUTED_VALUE"""),"Lewd Virus")</f>
        <v>Lewd Virus</v>
      </c>
      <c r="G64" s="2" t="str">
        <f ca="1">IFERROR(__xludf.DUMMYFUNCTION("""COMPUTED_VALUE"""),"Fertility &amp; Family")</f>
        <v>Fertility &amp; Family</v>
      </c>
      <c r="H64" s="2" t="str">
        <f ca="1">IFERROR(__xludf.DUMMYFUNCTION("""COMPUTED_VALUE"""),"The only known cure to the virus—as well as the only vaccine—is to be impregnated by an infected male and give birth to their child. This is a bit of a problem, as growing a baby normally takes most of a year. Or rather, it would be a problem if the virus"&amp;" didn’t conveniently speed things along. Infected women experience extremely rapid gestation and development of the child, reaching a state equivalent to roughly eight months of pregnancy in a single week, before the process slows for the remaining weeks "&amp;"of the pregnancy, giving birth in a total of a single month.
This does not consume as much energy or nutrients as it seems like it should, is perfectly safe to both parent and child (unlike such rapid growth has any right to be), and the developing fetus"&amp;" is unusually protected, preventing the pregnancy from interfering overmuch in the daily life of the woman in question; they can even get bloated up cum again without risking the baby. Strange cravings, morning sickness, and the daily pains of pregnancy a"&amp;"re entirely absent. Furthermore, the mothers-to-be experience a higher degree of serotonin, the so-called “happiness hormone”, resulting in them being much happier with their condition than they might ordinarily be... which is important, considering that "&amp;"they need to carry the baby to term to survive the virus.
Men who take this perk will provide the benefits of it to anyone they impregnate.")</f>
        <v>The only known cure to the virus—as well as the only vaccine—is to be impregnated by an infected male and give birth to their child. This is a bit of a problem, as growing a baby normally takes most of a year. Or rather, it would be a problem if the virus didn’t conveniently speed things along. Infected women experience extremely rapid gestation and development of the child, reaching a state equivalent to roughly eight months of pregnancy in a single week, before the process slows for the remaining weeks of the pregnancy, giving birth in a total of a single month.
This does not consume as much energy or nutrients as it seems like it should, is perfectly safe to both parent and child (unlike such rapid growth has any right to be), and the developing fetus is unusually protected, preventing the pregnancy from interfering overmuch in the daily life of the woman in question; they can even get bloated up cum again without risking the baby. Strange cravings, morning sickness, and the daily pains of pregnancy are entirely absent. Furthermore, the mothers-to-be experience a higher degree of serotonin, the so-called “happiness hormone”, resulting in them being much happier with their condition than they might ordinarily be... which is important, considering that they need to carry the baby to term to survive the virus.
Men who take this perk will provide the benefits of it to anyone they impregnate.</v>
      </c>
      <c r="I64" s="5"/>
    </row>
    <row r="65" spans="1:9" ht="104.4" x14ac:dyDescent="0.25">
      <c r="A65" s="16"/>
      <c r="B65" s="17">
        <v>61</v>
      </c>
      <c r="C65" s="2" t="b">
        <f ca="1">IFERROR(__xludf.DUMMYFUNCTION("""COMPUTED_VALUE"""),FALSE)</f>
        <v>0</v>
      </c>
      <c r="D65" s="2">
        <f ca="1">IFERROR(__xludf.DUMMYFUNCTION("""COMPUTED_VALUE"""),500)</f>
        <v>500</v>
      </c>
      <c r="E65" s="2" t="str">
        <f ca="1">IFERROR(__xludf.DUMMYFUNCTION("""COMPUTED_VALUE"""),"Army of Darkness")</f>
        <v>Army of Darkness</v>
      </c>
      <c r="F65" s="2" t="str">
        <f ca="1">IFERROR(__xludf.DUMMYFUNCTION("""COMPUTED_VALUE"""),"Defiler Wings")</f>
        <v>Defiler Wings</v>
      </c>
      <c r="G65" s="2" t="str">
        <f ca="1">IFERROR(__xludf.DUMMYFUNCTION("""COMPUTED_VALUE"""),"Fertility &amp; Family")</f>
        <v>Fertility &amp; Family</v>
      </c>
      <c r="H65" s="2" t="str">
        <f ca="1">IFERROR(__xludf.DUMMYFUNCTION("""COMPUTED_VALUE"""),"You know, dragons are known for being arrogant. Maybe you shouldn’t base your entire army on one? Or maybe you should, it’s not like they’d ever betray mother dearest, right? Your children are now utterly loyal to you, capable of harming you no more than "&amp;"a papercut without your permission. The effect weakens with each generation, but it would take, lets say five, before someone would be able to plot against you normally, and by that time they’re either your child anyways, because you’ve been fucking your "&amp;"kids, or too weak to really do anything against you.")</f>
        <v>You know, dragons are known for being arrogant. Maybe you shouldn’t base your entire army on one? Or maybe you should, it’s not like they’d ever betray mother dearest, right? Your children are now utterly loyal to you, capable of harming you no more than a papercut without your permission. The effect weakens with each generation, but it would take, lets say five, before someone would be able to plot against you normally, and by that time they’re either your child anyways, because you’ve been fucking your kids, or too weak to really do anything against you.</v>
      </c>
      <c r="I65" s="5"/>
    </row>
    <row r="66" spans="1:9" ht="69.599999999999994" x14ac:dyDescent="0.25">
      <c r="A66" s="16"/>
      <c r="B66" s="17">
        <v>62</v>
      </c>
      <c r="C66" s="2" t="b">
        <f ca="1">IFERROR(__xludf.DUMMYFUNCTION("""COMPUTED_VALUE"""),FALSE)</f>
        <v>0</v>
      </c>
      <c r="D66" s="2">
        <f ca="1">IFERROR(__xludf.DUMMYFUNCTION("""COMPUTED_VALUE"""),500)</f>
        <v>500</v>
      </c>
      <c r="E66" s="2" t="str">
        <f ca="1">IFERROR(__xludf.DUMMYFUNCTION("""COMPUTED_VALUE"""),"Babies Ever After")</f>
        <v>Babies Ever After</v>
      </c>
      <c r="F66" s="2" t="str">
        <f ca="1">IFERROR(__xludf.DUMMYFUNCTION("""COMPUTED_VALUE"""),"Generic: Virgin")</f>
        <v>Generic: Virgin</v>
      </c>
      <c r="G66" s="2" t="str">
        <f ca="1">IFERROR(__xludf.DUMMYFUNCTION("""COMPUTED_VALUE"""),"Fertility &amp; Family")</f>
        <v>Fertility &amp; Family</v>
      </c>
      <c r="H66" s="2" t="str">
        <f ca="1">IFERROR(__xludf.DUMMYFUNCTION("""COMPUTED_VALUE"""),"You are hyper-fertile, able to get pregnant or impregnate someone at will. All your pregnancies, and all those you cause, take mere days to come full term and never suffer from medical difficulties. The actual births will be easy, safe and mostly pain-fre"&amp;"e, and all your children (whether you carried them or not), will mature to toddlers in a week. Any or all of these effects can be toggled off at will.")</f>
        <v>You are hyper-fertile, able to get pregnant or impregnate someone at will. All your pregnancies, and all those you cause, take mere days to come full term and never suffer from medical difficulties. The actual births will be easy, safe and mostly pain-free, and all your children (whether you carried them or not), will mature to toddlers in a week. Any or all of these effects can be toggled off at will.</v>
      </c>
      <c r="I66" s="5"/>
    </row>
    <row r="67" spans="1:9" ht="208.8" x14ac:dyDescent="0.25">
      <c r="A67" s="16"/>
      <c r="B67" s="17">
        <v>63</v>
      </c>
      <c r="C67" s="2" t="b">
        <f ca="1">IFERROR(__xludf.DUMMYFUNCTION("""COMPUTED_VALUE"""),FALSE)</f>
        <v>0</v>
      </c>
      <c r="D67" s="2">
        <f ca="1">IFERROR(__xludf.DUMMYFUNCTION("""COMPUTED_VALUE"""),500)</f>
        <v>500</v>
      </c>
      <c r="E67" s="2" t="str">
        <f ca="1">IFERROR(__xludf.DUMMYFUNCTION("""COMPUTED_VALUE"""),"Broodmother")</f>
        <v>Broodmother</v>
      </c>
      <c r="F67" s="2" t="str">
        <f ca="1">IFERROR(__xludf.DUMMYFUNCTION("""COMPUTED_VALUE"""),"Corruption of Champions v1.1")</f>
        <v>Corruption of Champions v1.1</v>
      </c>
      <c r="G67" s="2" t="str">
        <f ca="1">IFERROR(__xludf.DUMMYFUNCTION("""COMPUTED_VALUE"""),"Fertility &amp; Family")</f>
        <v>Fertility &amp; Family</v>
      </c>
      <c r="H67" s="2" t="str">
        <f ca="1">IFERROR(__xludf.DUMMYFUNCTION("""COMPUTED_VALUE"""),"The greatest advantage of the corrupted races is simply how damn many of them there are, with puny creatures like imps and goblins found almost everywhere in the world. Why not get in on that? You breed like a goblin, with pregnancies that last a mere wee"&amp;"k and births feel like one long, continuous orgasm. Even if you end up fathering your children instead, your partners' pregnancies end up being similarly rapid and pleasurable.
Twins are the bare minimum, with up to octuplets not being uncommon dependin"&amp;"g on the virility or fertility of your partners. These children develop at astounding rates too, able to stand and walk almost immediately, and can potentially grow to look and act practically fully grown as they suckle from their mother for the first tim"&amp;"e. Though if you really wanted to, you could dial this down to a less extreme corrupted growth speed or a more reasonable number of children. Perhaps if you wanted more time to teach your children.")</f>
        <v>The greatest advantage of the corrupted races is simply how damn many of them there are, with puny creatures like imps and goblins found almost everywhere in the world. Why not get in on that? You breed like a goblin, with pregnancies that last a mere week and births feel like one long, continuous orgasm. Even if you end up fathering your children instead, your partners' pregnancies end up being similarly rapid and pleasurable.
Twins are the bare minimum, with up to octuplets not being uncommon depending on the virility or fertility of your partners. These children develop at astounding rates too, able to stand and walk almost immediately, and can potentially grow to look and act practically fully grown as they suckle from their mother for the first time. Though if you really wanted to, you could dial this down to a less extreme corrupted growth speed or a more reasonable number of children. Perhaps if you wanted more time to teach your children.</v>
      </c>
      <c r="I67" s="5"/>
    </row>
    <row r="68" spans="1:9" ht="208.8" x14ac:dyDescent="0.25">
      <c r="A68" s="16"/>
      <c r="B68" s="17">
        <v>64</v>
      </c>
      <c r="C68" s="2" t="b">
        <f ca="1">IFERROR(__xludf.DUMMYFUNCTION("""COMPUTED_VALUE"""),FALSE)</f>
        <v>0</v>
      </c>
      <c r="D68" s="2">
        <f ca="1">IFERROR(__xludf.DUMMYFUNCTION("""COMPUTED_VALUE"""),500)</f>
        <v>500</v>
      </c>
      <c r="E68" s="2" t="str">
        <f ca="1">IFERROR(__xludf.DUMMYFUNCTION("""COMPUTED_VALUE"""),"Don't Let Life Die Out")</f>
        <v>Don't Let Life Die Out</v>
      </c>
      <c r="F68" s="2" t="str">
        <f ca="1">IFERROR(__xludf.DUMMYFUNCTION("""COMPUTED_VALUE"""),"Adam and Gaia")</f>
        <v>Adam and Gaia</v>
      </c>
      <c r="G68" s="2" t="str">
        <f ca="1">IFERROR(__xludf.DUMMYFUNCTION("""COMPUTED_VALUE"""),"Fertility &amp; Family")</f>
        <v>Fertility &amp; Family</v>
      </c>
      <c r="H68" s="2" t="str">
        <f ca="1">IFERROR(__xludf.DUMMYFUNCTION("""COMPUTED_VALUE"""),"Life goes on, even after a major extinction event life has always found a way to hobble its way back to normality until it comes time for another round. This time it is different, it is not the wrath of nature that brought ruin unto the world but the desp"&amp;"eration of the elves. You are the solution.
You have an aura of fertility that intensifies the greater any threat to life itself becomes. Barren women could be successfully impregnated, even things that couldn’t normally be impregnated can be if you try "&amp;"hard enough. Such pregnancies will be especially fecund too, being twins, or more. Malignant magics or other effects meant to prevent children or childen of a certain gender cannot stop you (this does not apply to willingly taken contraception). Any desce"&amp;"ndants you have will be healthy, hardy, and not suffer from the ravages of genetic diseases or incest, if they or you copulate with the other and have kids. They will also share a piece of this aura, ensuring that your legacy will always endure.")</f>
        <v>Life goes on, even after a major extinction event life has always found a way to hobble its way back to normality until it comes time for another round. This time it is different, it is not the wrath of nature that brought ruin unto the world but the desperation of the elves. You are the solution.
You have an aura of fertility that intensifies the greater any threat to life itself becomes. Barren women could be successfully impregnated, even things that couldn’t normally be impregnated can be if you try hard enough. Such pregnancies will be especially fecund too, being twins, or more. Malignant magics or other effects meant to prevent children or childen of a certain gender cannot stop you (this does not apply to willingly taken contraception). Any descendants you have will be healthy, hardy, and not suffer from the ravages of genetic diseases or incest, if they or you copulate with the other and have kids. They will also share a piece of this aura, ensuring that your legacy will always endure.</v>
      </c>
      <c r="I68" s="5"/>
    </row>
    <row r="69" spans="1:9" ht="87" x14ac:dyDescent="0.25">
      <c r="A69" s="16"/>
      <c r="B69" s="17">
        <v>65</v>
      </c>
      <c r="C69" s="2" t="b">
        <f ca="1">IFERROR(__xludf.DUMMYFUNCTION("""COMPUTED_VALUE"""),FALSE)</f>
        <v>0</v>
      </c>
      <c r="D69" s="2">
        <f ca="1">IFERROR(__xludf.DUMMYFUNCTION("""COMPUTED_VALUE"""),500)</f>
        <v>500</v>
      </c>
      <c r="E69" s="2" t="str">
        <f ca="1">IFERROR(__xludf.DUMMYFUNCTION("""COMPUTED_VALUE"""),"Evil Always finds a Way")</f>
        <v>Evil Always finds a Way</v>
      </c>
      <c r="F69" s="2" t="str">
        <f ca="1">IFERROR(__xludf.DUMMYFUNCTION("""COMPUTED_VALUE"""),"Defiler Wings")</f>
        <v>Defiler Wings</v>
      </c>
      <c r="G69" s="2" t="str">
        <f ca="1">IFERROR(__xludf.DUMMYFUNCTION("""COMPUTED_VALUE"""),"Fertility &amp; Family")</f>
        <v>Fertility &amp; Family</v>
      </c>
      <c r="H69" s="2" t="str">
        <f ca="1">IFERROR(__xludf.DUMMYFUNCTION("""COMPUTED_VALUE"""),"The 13th and final dragon that the Mistress gave birth too was given 1000 years to build up the army of darkness before they would attempt to invade the kingdom. And at the end of it, the Mistress still stood, a peerless and monstrous beauty who could not"&amp;" be matched. Your lifespan is now functionally indefinite - so long as you have a single living child, moving past the prime of your life simply won’t happen.")</f>
        <v>The 13th and final dragon that the Mistress gave birth too was given 1000 years to build up the army of darkness before they would attempt to invade the kingdom. And at the end of it, the Mistress still stood, a peerless and monstrous beauty who could not be matched. Your lifespan is now functionally indefinite - so long as you have a single living child, moving past the prime of your life simply won’t happen.</v>
      </c>
      <c r="I69" s="5"/>
    </row>
    <row r="70" spans="1:9" ht="104.4" x14ac:dyDescent="0.25">
      <c r="A70" s="16"/>
      <c r="B70" s="17">
        <v>66</v>
      </c>
      <c r="C70" s="2" t="b">
        <f ca="1">IFERROR(__xludf.DUMMYFUNCTION("""COMPUTED_VALUE"""),FALSE)</f>
        <v>0</v>
      </c>
      <c r="D70" s="2">
        <f ca="1">IFERROR(__xludf.DUMMYFUNCTION("""COMPUTED_VALUE"""),500)</f>
        <v>500</v>
      </c>
      <c r="E70" s="2" t="str">
        <f ca="1">IFERROR(__xludf.DUMMYFUNCTION("""COMPUTED_VALUE"""),"Forbidden Texts")</f>
        <v>Forbidden Texts</v>
      </c>
      <c r="F70" s="2" t="str">
        <f ca="1">IFERROR(__xludf.DUMMYFUNCTION("""COMPUTED_VALUE"""),"Slimy Sextet")</f>
        <v>Slimy Sextet</v>
      </c>
      <c r="G70" s="2" t="str">
        <f ca="1">IFERROR(__xludf.DUMMYFUNCTION("""COMPUTED_VALUE"""),"Fertility &amp; Family")</f>
        <v>Fertility &amp; Family</v>
      </c>
      <c r="H70" s="2" t="str">
        <f ca="1">IFERROR(__xludf.DUMMYFUNCTION("""COMPUTED_VALUE"""),"These ancient writings detail how to create monsters with magic and alchemy—but not just any ordinary beasts, no. It details the creation of powerful sexual monstrosities, with a variety of powers meant to lewdly break down the resistance of others and en"&amp;"snare them with traps of pleasure. For instance, it was this very book that allowed Celeste to create the Slime that the story revolves around, who could create aphrodisiacs and love potions custom-made for their victims, and who had speed and strength en"&amp;"ough to restrain even the great hero Quinn.")</f>
        <v>These ancient writings detail how to create monsters with magic and alchemy—but not just any ordinary beasts, no. It details the creation of powerful sexual monstrosities, with a variety of powers meant to lewdly break down the resistance of others and ensnare them with traps of pleasure. For instance, it was this very book that allowed Celeste to create the Slime that the story revolves around, who could create aphrodisiacs and love potions custom-made for their victims, and who had speed and strength enough to restrain even the great hero Quinn.</v>
      </c>
      <c r="I70" s="5"/>
    </row>
    <row r="71" spans="1:9" ht="208.8" x14ac:dyDescent="0.25">
      <c r="A71" s="16"/>
      <c r="B71" s="17">
        <v>67</v>
      </c>
      <c r="C71" s="2" t="b">
        <f ca="1">IFERROR(__xludf.DUMMYFUNCTION("""COMPUTED_VALUE"""),FALSE)</f>
        <v>0</v>
      </c>
      <c r="D71" s="2">
        <f ca="1">IFERROR(__xludf.DUMMYFUNCTION("""COMPUTED_VALUE"""),500)</f>
        <v>500</v>
      </c>
      <c r="E71" s="2" t="str">
        <f ca="1">IFERROR(__xludf.DUMMYFUNCTION("""COMPUTED_VALUE"""),"Postpartum Ahegao")</f>
        <v>Postpartum Ahegao</v>
      </c>
      <c r="F71" s="2" t="str">
        <f ca="1">IFERROR(__xludf.DUMMYFUNCTION("""COMPUTED_VALUE"""),"World of Tentacles")</f>
        <v>World of Tentacles</v>
      </c>
      <c r="G71" s="2" t="str">
        <f ca="1">IFERROR(__xludf.DUMMYFUNCTION("""COMPUTED_VALUE"""),"Fertility &amp; Family")</f>
        <v>Fertility &amp; Family</v>
      </c>
      <c r="H71" s="2" t="str">
        <f ca="1">IFERROR(__xludf.DUMMYFUNCTION("""COMPUTED_VALUE"""),"Being pregnant with a tentacle monster’s spawn is a life-changing experience for any woman, for better or for worse. Any pregnancy you cause is highly pleasurable for the mother, replacing less pleasant side effects such as morning sickness and mood swing"&amp;"s with heightened arousal and sensitivity to pleasure. These effects reach their peak as the mother comes to term, and the delivery is a multi-orgasmic affair devoid of the typical pains of labor. But the mother isn’t the only beneficiary of this perk: fr"&amp;"om conception until birth, the mothers of your spawn become psychologically and metaphysically open to you, and are unable to resist any additional effects you might choose to inflict on them which they might otherwise be able to. Even the most unwilling "&amp;"victim can be sculpted into a happy complacent broodmare once she has experienced the unrivaled ecstasy of giving birth to your spawn. Finally, those who witness or hear about these pregnancies find the idea strangely alluring, and to a greater degree dep"&amp;"ending on their proximity to the event in question.")</f>
        <v>Being pregnant with a tentacle monster’s spawn is a life-changing experience for any woman, for better or for worse. Any pregnancy you cause is highly pleasurable for the mother, replacing less pleasant side effects such as morning sickness and mood swings with heightened arousal and sensitivity to pleasure. These effects reach their peak as the mother comes to term, and the delivery is a multi-orgasmic affair devoid of the typical pains of labor. But the mother isn’t the only beneficiary of this perk: from conception until birth, the mothers of your spawn become psychologically and metaphysically open to you, and are unable to resist any additional effects you might choose to inflict on them which they might otherwise be able to. Even the most unwilling victim can be sculpted into a happy complacent broodmare once she has experienced the unrivaled ecstasy of giving birth to your spawn. Finally, those who witness or hear about these pregnancies find the idea strangely alluring, and to a greater degree depending on their proximity to the event in question.</v>
      </c>
      <c r="I71" s="5"/>
    </row>
    <row r="72" spans="1:9" ht="261" x14ac:dyDescent="0.25">
      <c r="A72" s="16"/>
      <c r="B72" s="17">
        <v>68</v>
      </c>
      <c r="C72" s="2" t="b">
        <f ca="1">IFERROR(__xludf.DUMMYFUNCTION("""COMPUTED_VALUE"""),FALSE)</f>
        <v>0</v>
      </c>
      <c r="D72" s="2">
        <f ca="1">IFERROR(__xludf.DUMMYFUNCTION("""COMPUTED_VALUE"""),500)</f>
        <v>500</v>
      </c>
      <c r="E72" s="2" t="str">
        <f ca="1">IFERROR(__xludf.DUMMYFUNCTION("""COMPUTED_VALUE"""),"The Maker")</f>
        <v>The Maker</v>
      </c>
      <c r="F72" s="2" t="str">
        <f ca="1">IFERROR(__xludf.DUMMYFUNCTION("""COMPUTED_VALUE"""),"Generic: Monster Fucker/Horny Horror")</f>
        <v>Generic: Monster Fucker/Horny Horror</v>
      </c>
      <c r="G72" s="2" t="str">
        <f ca="1">IFERROR(__xludf.DUMMYFUNCTION("""COMPUTED_VALUE"""),"Fertility &amp; Family")</f>
        <v>Fertility &amp; Family</v>
      </c>
      <c r="H72" s="2" t="str">
        <f ca="1">IFERROR(__xludf.DUMMYFUNCTION("""COMPUTED_VALUE"""),"It’s taken a long time. Too long you would say. Weeks, months, maybe even years of work culminate in this moment. Are you ready to play god?! It is you who now have the power to create life! For...very petty reasons. 
You have perfected a form of nonsens"&amp;"ical pseudo-science that allows you to make virtually whatever kind of monster you can think of. How can lightning return dead tissue to an entirely living state once more? Who knows!? You barely do. 
The resources and time spent contribute to the qualit"&amp;"y of the end product. While lightning is difficult to capture, it is that difficulty and strength that helps make your ‘Bride of Frankenstein’ into a hardy, powerful, untiring animal of a woman. 
While reanimation and splicing are your forte, you can mak"&amp;"e all kinds of monsters with your strange methods.. Many of your creations will at first view you as a god, their maker. But, that may change if sufficiently abused, and/or betrayed.")</f>
        <v>It’s taken a long time. Too long you would say. Weeks, months, maybe even years of work culminate in this moment. Are you ready to play god?! It is you who now have the power to create life! For...very petty reasons. 
You have perfected a form of nonsensical pseudo-science that allows you to make virtually whatever kind of monster you can think of. How can lightning return dead tissue to an entirely living state once more? Who knows!? You barely do. 
The resources and time spent contribute to the quality of the end product. While lightning is difficult to capture, it is that difficulty and strength that helps make your ‘Bride of Frankenstein’ into a hardy, powerful, untiring animal of a woman. 
While reanimation and splicing are your forte, you can make all kinds of monsters with your strange methods.. Many of your creations will at first view you as a god, their maker. But, that may change if sufficiently abused, and/or betrayed.</v>
      </c>
      <c r="I72" s="5"/>
    </row>
    <row r="73" spans="1:9" ht="191.4" x14ac:dyDescent="0.25">
      <c r="A73" s="16"/>
      <c r="B73" s="17">
        <v>69</v>
      </c>
      <c r="C73" s="2" t="b">
        <f ca="1">IFERROR(__xludf.DUMMYFUNCTION("""COMPUTED_VALUE"""),FALSE)</f>
        <v>0</v>
      </c>
      <c r="D73" s="2">
        <f ca="1">IFERROR(__xludf.DUMMYFUNCTION("""COMPUTED_VALUE"""),600)</f>
        <v>600</v>
      </c>
      <c r="E73" s="2" t="str">
        <f ca="1">IFERROR(__xludf.DUMMYFUNCTION("""COMPUTED_VALUE"""),"Black Mass Production")</f>
        <v>Black Mass Production</v>
      </c>
      <c r="F73" s="2" t="str">
        <f ca="1">IFERROR(__xludf.DUMMYFUNCTION("""COMPUTED_VALUE"""),"World of Tentacles")</f>
        <v>World of Tentacles</v>
      </c>
      <c r="G73" s="2" t="str">
        <f ca="1">IFERROR(__xludf.DUMMYFUNCTION("""COMPUTED_VALUE"""),"Fertility &amp; Family")</f>
        <v>Fertility &amp; Family</v>
      </c>
      <c r="H73" s="2" t="str">
        <f ca="1">IFERROR(__xludf.DUMMYFUNCTION("""COMPUTED_VALUE"""),"Through perverse experimentation and forbidden research you have uncovered the secrets of producing horrors beyond imagining, in numbers beyond belief. Whenever you summon or create creatures, you are able to produce twice as many as you would normally be"&amp;" able, at no extra cost in time, materials, or effort. Creatures that you personally bring into the world can be made be twice as fertile as usual if you wish, increasing their odds of siring or conceiving offspring as well as the chances of multiple spaw"&amp;"n per birth. Should you incorporate perverse methods into the production process you can take things further: for instance, a ritual that normally summons a single demon (and would call up two with the basic form of this perk) will instead bring forth thr"&amp;"ee monsters if you perform a virgin(ity) sacrifice, four if you add a couple of extra participants, five with a full-blown orgy, and so on. There is no cap on the number of extra creatures that can be acquired in this manner, so long as you can meet the e"&amp;"scalating costs.")</f>
        <v>Through perverse experimentation and forbidden research you have uncovered the secrets of producing horrors beyond imagining, in numbers beyond belief. Whenever you summon or create creatures, you are able to produce twice as many as you would normally be able, at no extra cost in time, materials, or effort. Creatures that you personally bring into the world can be made be twice as fertile as usual if you wish, increasing their odds of siring or conceiving offspring as well as the chances of multiple spawn per birth. Should you incorporate perverse methods into the production process you can take things further: for instance, a ritual that normally summons a single demon (and would call up two with the basic form of this perk) will instead bring forth three monsters if you perform a virgin(ity) sacrifice, four if you add a couple of extra participants, five with a full-blown orgy, and so on. There is no cap on the number of extra creatures that can be acquired in this manner, so long as you can meet the escalating costs.</v>
      </c>
      <c r="I73" s="5"/>
    </row>
    <row r="74" spans="1:9" ht="104.4" x14ac:dyDescent="0.25">
      <c r="A74" s="16"/>
      <c r="B74" s="17">
        <v>70</v>
      </c>
      <c r="C74" s="2" t="b">
        <f ca="1">IFERROR(__xludf.DUMMYFUNCTION("""COMPUTED_VALUE"""),FALSE)</f>
        <v>0</v>
      </c>
      <c r="D74" s="2">
        <f ca="1">IFERROR(__xludf.DUMMYFUNCTION("""COMPUTED_VALUE"""),600)</f>
        <v>600</v>
      </c>
      <c r="E74" s="2" t="str">
        <f ca="1">IFERROR(__xludf.DUMMYFUNCTION("""COMPUTED_VALUE"""),"Clone Tanking")</f>
        <v>Clone Tanking</v>
      </c>
      <c r="F74" s="2" t="str">
        <f ca="1">IFERROR(__xludf.DUMMYFUNCTION("""COMPUTED_VALUE"""),"Generic: Norithics")</f>
        <v>Generic: Norithics</v>
      </c>
      <c r="G74" s="2" t="str">
        <f ca="1">IFERROR(__xludf.DUMMYFUNCTION("""COMPUTED_VALUE"""),"Fertility &amp; Family")</f>
        <v>Fertility &amp; Family</v>
      </c>
      <c r="H74" s="2" t="str">
        <f ca="1">IFERROR(__xludf.DUMMYFUNCTION("""COMPUTED_VALUE"""),"Instead of having kids like normal, you instead give birth to a hive-mind of clones of yourself. These clones aren't entirely accurate, having a fair share of the other parent’s DNA, but with your mind and personality. Unlike the titular tanuki, this can "&amp;"be adjusted so that you don't necessarily overwrite your own kids unless you decide to. Unfortunately, if a continuous effect binds itself to your soul or something, it will still follow you into your next body, since your mind and soul supplant your chil"&amp;"d’s whenever you take them over.")</f>
        <v>Instead of having kids like normal, you instead give birth to a hive-mind of clones of yourself. These clones aren't entirely accurate, having a fair share of the other parent’s DNA, but with your mind and personality. Unlike the titular tanuki, this can be adjusted so that you don't necessarily overwrite your own kids unless you decide to. Unfortunately, if a continuous effect binds itself to your soul or something, it will still follow you into your next body, since your mind and soul supplant your child’s whenever you take them over.</v>
      </c>
      <c r="I74" s="5"/>
    </row>
    <row r="75" spans="1:9" ht="87" x14ac:dyDescent="0.25">
      <c r="A75" s="16"/>
      <c r="B75" s="17">
        <v>71</v>
      </c>
      <c r="C75" s="2" t="b">
        <f ca="1">IFERROR(__xludf.DUMMYFUNCTION("""COMPUTED_VALUE"""),FALSE)</f>
        <v>0</v>
      </c>
      <c r="D75" s="2">
        <f ca="1">IFERROR(__xludf.DUMMYFUNCTION("""COMPUTED_VALUE"""),600)</f>
        <v>600</v>
      </c>
      <c r="E75" s="2" t="str">
        <f ca="1">IFERROR(__xludf.DUMMYFUNCTION("""COMPUTED_VALUE"""),"Going Down in Legend")</f>
        <v>Going Down in Legend</v>
      </c>
      <c r="F75" s="2" t="str">
        <f ca="1">IFERROR(__xludf.DUMMYFUNCTION("""COMPUTED_VALUE"""),"Defiler Wings")</f>
        <v>Defiler Wings</v>
      </c>
      <c r="G75" s="2" t="str">
        <f ca="1">IFERROR(__xludf.DUMMYFUNCTION("""COMPUTED_VALUE"""),"Fertility &amp; Family")</f>
        <v>Fertility &amp; Family</v>
      </c>
      <c r="H75" s="2" t="str">
        <f ca="1">IFERROR(__xludf.DUMMYFUNCTION("""COMPUTED_VALUE"""),"You are going to be the one. The one who got away, the one who slew the dragon, the one who did IT. And if you actually manage to do it, you'll find your children are one step closer to being the one. If you manage to slay a dragon, your family will event"&amp;"ually become renowned as dragonslayers, with your great grandchildren killing three of them with ease, as compared to your one just barely. The more you become known for, the better this becomes, and it keeps growing for every generation.")</f>
        <v>You are going to be the one. The one who got away, the one who slew the dragon, the one who did IT. And if you actually manage to do it, you'll find your children are one step closer to being the one. If you manage to slay a dragon, your family will eventually become renowned as dragonslayers, with your great grandchildren killing three of them with ease, as compared to your one just barely. The more you become known for, the better this becomes, and it keeps growing for every generation.</v>
      </c>
      <c r="I75" s="5"/>
    </row>
    <row r="76" spans="1:9" ht="121.8" x14ac:dyDescent="0.25">
      <c r="A76" s="16"/>
      <c r="B76" s="17">
        <v>72</v>
      </c>
      <c r="C76" s="2" t="b">
        <f ca="1">IFERROR(__xludf.DUMMYFUNCTION("""COMPUTED_VALUE"""),FALSE)</f>
        <v>0</v>
      </c>
      <c r="D76" s="2">
        <f ca="1">IFERROR(__xludf.DUMMYFUNCTION("""COMPUTED_VALUE"""),600)</f>
        <v>600</v>
      </c>
      <c r="E76" s="2" t="str">
        <f ca="1">IFERROR(__xludf.DUMMYFUNCTION("""COMPUTED_VALUE"""),"Hips that Shake the Heavens")</f>
        <v>Hips that Shake the Heavens</v>
      </c>
      <c r="F76" s="2" t="str">
        <f ca="1">IFERROR(__xludf.DUMMYFUNCTION("""COMPUTED_VALUE"""),"Defiler Wings")</f>
        <v>Defiler Wings</v>
      </c>
      <c r="G76" s="2" t="str">
        <f ca="1">IFERROR(__xludf.DUMMYFUNCTION("""COMPUTED_VALUE"""),"Fertility &amp; Family")</f>
        <v>Fertility &amp; Family</v>
      </c>
      <c r="H76" s="2" t="str">
        <f ca="1">IFERROR(__xludf.DUMMYFUNCTION("""COMPUTED_VALUE"""),"Your body is now some sort of pregnancy factory. All the major downsides/pain in the ass are minimal at best, it can take less time if you want, and your body recovers from the damage, as minor as it now is, in record time. In addition, once you are pregn"&amp;"ant, nothing (bar you) can prevent the baby, so you can have as much sex as you want, or eat as unhealthy as you like. Also, your hips are now as slim or THICC as you like, and everybody is gonna drool over them. Lastly, permanent damage to your figure is"&amp;" basically impossible - no matter how much you stretch to take a cock that huge, you’ll be fine in a day or two.")</f>
        <v>Your body is now some sort of pregnancy factory. All the major downsides/pain in the ass are minimal at best, it can take less time if you want, and your body recovers from the damage, as minor as it now is, in record time. In addition, once you are pregnant, nothing (bar you) can prevent the baby, so you can have as much sex as you want, or eat as unhealthy as you like. Also, your hips are now as slim or THICC as you like, and everybody is gonna drool over them. Lastly, permanent damage to your figure is basically impossible - no matter how much you stretch to take a cock that huge, you’ll be fine in a day or two.</v>
      </c>
      <c r="I76" s="5"/>
    </row>
    <row r="77" spans="1:9" ht="87" x14ac:dyDescent="0.25">
      <c r="A77" s="16"/>
      <c r="B77" s="17">
        <v>73</v>
      </c>
      <c r="C77" s="2" t="b">
        <f ca="1">IFERROR(__xludf.DUMMYFUNCTION("""COMPUTED_VALUE"""),FALSE)</f>
        <v>0</v>
      </c>
      <c r="D77" s="2">
        <f ca="1">IFERROR(__xludf.DUMMYFUNCTION("""COMPUTED_VALUE"""),600)</f>
        <v>600</v>
      </c>
      <c r="E77" s="2" t="str">
        <f ca="1">IFERROR(__xludf.DUMMYFUNCTION("""COMPUTED_VALUE"""),"Legacy of Lust")</f>
        <v>Legacy of Lust</v>
      </c>
      <c r="F77" s="2" t="str">
        <f ca="1">IFERROR(__xludf.DUMMYFUNCTION("""COMPUTED_VALUE"""),"Generic: Hentai Fantasy")</f>
        <v>Generic: Hentai Fantasy</v>
      </c>
      <c r="G77" s="2" t="str">
        <f ca="1">IFERROR(__xludf.DUMMYFUNCTION("""COMPUTED_VALUE"""),"Fertility &amp; Family")</f>
        <v>Fertility &amp; Family</v>
      </c>
      <c r="H77" s="2" t="str">
        <f ca="1">IFERROR(__xludf.DUMMYFUNCTION("""COMPUTED_VALUE"""),"Sometimes, you just won’t be able to do what you want to within your own lifetime. That means you need kids! By default, any child of yours will inevitably inherit some of your lewder powers, and maybe one or two combat traits. But, sometimes you need a l"&amp;"ittle more. Pick a theme for your child, and said child will gain everything you have that fits it. Fire powers, ice powers, durability, excessive learning speed, things like that. You can’t just say something like ‘magic’, unfortunately.")</f>
        <v>Sometimes, you just won’t be able to do what you want to within your own lifetime. That means you need kids! By default, any child of yours will inevitably inherit some of your lewder powers, and maybe one or two combat traits. But, sometimes you need a little more. Pick a theme for your child, and said child will gain everything you have that fits it. Fire powers, ice powers, durability, excessive learning speed, things like that. You can’t just say something like ‘magic’, unfortunately.</v>
      </c>
      <c r="I77" s="5"/>
    </row>
    <row r="78" spans="1:9" ht="139.19999999999999" x14ac:dyDescent="0.25">
      <c r="A78" s="16"/>
      <c r="B78" s="17">
        <v>74</v>
      </c>
      <c r="C78" s="2" t="b">
        <f ca="1">IFERROR(__xludf.DUMMYFUNCTION("""COMPUTED_VALUE"""),FALSE)</f>
        <v>0</v>
      </c>
      <c r="D78" s="2">
        <f ca="1">IFERROR(__xludf.DUMMYFUNCTION("""COMPUTED_VALUE"""),600)</f>
        <v>600</v>
      </c>
      <c r="E78" s="2" t="str">
        <f ca="1">IFERROR(__xludf.DUMMYFUNCTION("""COMPUTED_VALUE"""),"Love of the Creator")</f>
        <v>Love of the Creator</v>
      </c>
      <c r="F78" s="2" t="str">
        <f ca="1">IFERROR(__xludf.DUMMYFUNCTION("""COMPUTED_VALUE"""),"Dragon Ball: Troop of Beasts")</f>
        <v>Dragon Ball: Troop of Beasts</v>
      </c>
      <c r="G78" s="2" t="str">
        <f ca="1">IFERROR(__xludf.DUMMYFUNCTION("""COMPUTED_VALUE"""),"Fertility &amp; Family")</f>
        <v>Fertility &amp; Family</v>
      </c>
      <c r="H78" s="2" t="str">
        <f ca="1">IFERROR(__xludf.DUMMYFUNCTION("""COMPUTED_VALUE"""),"An all-too-common problem for scientists is that their creations tend to harbor resentment towards them, often to the point of rebelling and killing their unfortunate makers. Fortunately, this won’t be a problem for you. Any beings you create possess an i"&amp;"nnate love and loyalty to you and indeed, are quite happy to do things for you be it slay your enemies or accompany you in bed. This even extends to your creations that were made from preexisting people, which in other words you could very well remake an "&amp;"unfortunate woman into a loyal and loving sex cyborg. Though it should be said that this loyalty can be really tested if you do heinous things to your creations such as trying to destroy them without any reason.")</f>
        <v>An all-too-common problem for scientists is that their creations tend to harbor resentment towards them, often to the point of rebelling and killing their unfortunate makers. Fortunately, this won’t be a problem for you. Any beings you create possess an innate love and loyalty to you and indeed, are quite happy to do things for you be it slay your enemies or accompany you in bed. This even extends to your creations that were made from preexisting people, which in other words you could very well remake an unfortunate woman into a loyal and loving sex cyborg. Though it should be said that this loyalty can be really tested if you do heinous things to your creations such as trying to destroy them without any reason.</v>
      </c>
      <c r="I78" s="5"/>
    </row>
    <row r="79" spans="1:9" ht="104.4" x14ac:dyDescent="0.25">
      <c r="A79" s="16"/>
      <c r="B79" s="17">
        <v>75</v>
      </c>
      <c r="C79" s="2" t="b">
        <f ca="1">IFERROR(__xludf.DUMMYFUNCTION("""COMPUTED_VALUE"""),FALSE)</f>
        <v>0</v>
      </c>
      <c r="D79" s="2">
        <f ca="1">IFERROR(__xludf.DUMMYFUNCTION("""COMPUTED_VALUE"""),600)</f>
        <v>600</v>
      </c>
      <c r="E79" s="2" t="str">
        <f ca="1">IFERROR(__xludf.DUMMYFUNCTION("""COMPUTED_VALUE"""),"Mother of Monsters")</f>
        <v>Mother of Monsters</v>
      </c>
      <c r="F79" s="2" t="str">
        <f ca="1">IFERROR(__xludf.DUMMYFUNCTION("""COMPUTED_VALUE"""),"Defiler Wings")</f>
        <v>Defiler Wings</v>
      </c>
      <c r="G79" s="2" t="str">
        <f ca="1">IFERROR(__xludf.DUMMYFUNCTION("""COMPUTED_VALUE"""),"Fertility &amp; Family")</f>
        <v>Fertility &amp; Family</v>
      </c>
      <c r="H79" s="2" t="str">
        <f ca="1">IFERROR(__xludf.DUMMYFUNCTION("""COMPUTED_VALUE"""),"What's an evil overlady down in the dumps to to do about her run down army? Well, breed a new one. Where to get a good breeding sow though? Well, let's use yourself a few times and go from there. You can now mix and match the biological makeup - and there"&amp;"fore powers - of anyone you’ve ever fucked - or rather, who’s fucked you, you dirty slut. Feel free to make the perfect child from the primordial soup that is your womb, but keep in mind some things don’t play well together. Also, don’t worry about incest"&amp;", genetic defects and the like can’t sneak past you.")</f>
        <v>What's an evil overlady down in the dumps to to do about her run down army? Well, breed a new one. Where to get a good breeding sow though? Well, let's use yourself a few times and go from there. You can now mix and match the biological makeup - and therefore powers - of anyone you’ve ever fucked - or rather, who’s fucked you, you dirty slut. Feel free to make the perfect child from the primordial soup that is your womb, but keep in mind some things don’t play well together. Also, don’t worry about incest, genetic defects and the like can’t sneak past you.</v>
      </c>
      <c r="I79" s="5"/>
    </row>
    <row r="80" spans="1:9" ht="139.19999999999999" x14ac:dyDescent="0.25">
      <c r="A80" s="16"/>
      <c r="B80" s="17">
        <v>76</v>
      </c>
      <c r="C80" s="2" t="b">
        <f ca="1">IFERROR(__xludf.DUMMYFUNCTION("""COMPUTED_VALUE"""),FALSE)</f>
        <v>0</v>
      </c>
      <c r="D80" s="2">
        <f ca="1">IFERROR(__xludf.DUMMYFUNCTION("""COMPUTED_VALUE"""),600)</f>
        <v>600</v>
      </c>
      <c r="E80" s="2" t="str">
        <f ca="1">IFERROR(__xludf.DUMMYFUNCTION("""COMPUTED_VALUE"""),"Passing the Torch of Terror")</f>
        <v>Passing the Torch of Terror</v>
      </c>
      <c r="F80" s="2" t="str">
        <f ca="1">IFERROR(__xludf.DUMMYFUNCTION("""COMPUTED_VALUE"""),"Defiler Wings")</f>
        <v>Defiler Wings</v>
      </c>
      <c r="G80" s="2" t="str">
        <f ca="1">IFERROR(__xludf.DUMMYFUNCTION("""COMPUTED_VALUE"""),"Fertility &amp; Family")</f>
        <v>Fertility &amp; Family</v>
      </c>
      <c r="H80" s="2" t="str">
        <f ca="1">IFERROR(__xludf.DUMMYFUNCTION("""COMPUTED_VALUE"""),"The Mistress has raised many generations of the great snakes, and then embraced them as her lover in an attempt to breed an even greater dragon. However, soon after that embrace, they’d become useless, replaced in her army and bed by your even stronger ch"&amp;"ild. Sometimes in less than five years, far too short a time. That's why you can now pass the torch onto one of your children - not just the torch of terror, but also of YOU. Possessing them before they grow too much, replacing everything they are with ev"&amp;"erything you were... And keeping everything they could have become. You may do this no more than once a year, or you may use it one time as a 1up, allowing you to survive death in the form of your child should you die.")</f>
        <v>The Mistress has raised many generations of the great snakes, and then embraced them as her lover in an attempt to breed an even greater dragon. However, soon after that embrace, they’d become useless, replaced in her army and bed by your even stronger child. Sometimes in less than five years, far too short a time. That's why you can now pass the torch onto one of your children - not just the torch of terror, but also of YOU. Possessing them before they grow too much, replacing everything they are with everything you were... And keeping everything they could have become. You may do this no more than once a year, or you may use it one time as a 1up, allowing you to survive death in the form of your child should you die.</v>
      </c>
      <c r="I80" s="5"/>
    </row>
    <row r="81" spans="1:9" ht="156.6" x14ac:dyDescent="0.25">
      <c r="A81" s="16"/>
      <c r="B81" s="17">
        <v>77</v>
      </c>
      <c r="C81" s="2" t="b">
        <f ca="1">IFERROR(__xludf.DUMMYFUNCTION("""COMPUTED_VALUE"""),FALSE)</f>
        <v>0</v>
      </c>
      <c r="D81" s="2">
        <f ca="1">IFERROR(__xludf.DUMMYFUNCTION("""COMPUTED_VALUE"""),700)</f>
        <v>700</v>
      </c>
      <c r="E81" s="2" t="str">
        <f ca="1">IFERROR(__xludf.DUMMYFUNCTION("""COMPUTED_VALUE"""),"Founding of Prulina")</f>
        <v>Founding of Prulina</v>
      </c>
      <c r="F81" s="2" t="str">
        <f ca="1">IFERROR(__xludf.DUMMYFUNCTION("""COMPUTED_VALUE"""),"Prina the Dungeoneering Princess")</f>
        <v>Prina the Dungeoneering Princess</v>
      </c>
      <c r="G81" s="2" t="str">
        <f ca="1">IFERROR(__xludf.DUMMYFUNCTION("""COMPUTED_VALUE"""),"Fertility &amp; Family")</f>
        <v>Fertility &amp; Family</v>
      </c>
      <c r="H81" s="2" t="str">
        <f ca="1">IFERROR(__xludf.DUMMYFUNCTION("""COMPUTED_VALUE"""),"It has already been said, but Prulina is a nation of futanari. No child born inside its borders since its founding has been male or female. Only futanari. With that in mind, you can now exert a level of control over birth and inheritance across any land y"&amp;"ou hold sway over. A policeman might hold a neighborhood or two, a doctor their hospital, a politician a city, and a queen over her nation. Within that boundary, you can influence the details of birth. No child born this year shall have blue eyes. Every c"&amp;"hild shall be futanari. A certain magical trait will always be passed down. There are limits, or course. If genetics decree that blue eyes is the only possible outcome, or if there is no magical trait to pass down, then clearly your decreed outcome will n"&amp;"ot come to pass. Still, call it probability. With your royal decree, even a 1% chance of a certain trait being passed down becomes 100%.")</f>
        <v>It has already been said, but Prulina is a nation of futanari. No child born inside its borders since its founding has been male or female. Only futanari. With that in mind, you can now exert a level of control over birth and inheritance across any land you hold sway over. A policeman might hold a neighborhood or two, a doctor their hospital, a politician a city, and a queen over her nation. Within that boundary, you can influence the details of birth. No child born this year shall have blue eyes. Every child shall be futanari. A certain magical trait will always be passed down. There are limits, or course. If genetics decree that blue eyes is the only possible outcome, or if there is no magical trait to pass down, then clearly your decreed outcome will not come to pass. Still, call it probability. With your royal decree, even a 1% chance of a certain trait being passed down becomes 100%.</v>
      </c>
      <c r="I81" s="5"/>
    </row>
    <row r="82" spans="1:9" ht="191.4" x14ac:dyDescent="0.25">
      <c r="A82" s="16"/>
      <c r="B82" s="17">
        <v>78</v>
      </c>
      <c r="C82" s="2" t="b">
        <f ca="1">IFERROR(__xludf.DUMMYFUNCTION("""COMPUTED_VALUE"""),FALSE)</f>
        <v>0</v>
      </c>
      <c r="D82" s="2">
        <f ca="1">IFERROR(__xludf.DUMMYFUNCTION("""COMPUTED_VALUE"""),700)</f>
        <v>700</v>
      </c>
      <c r="E82" s="2" t="str">
        <f ca="1">IFERROR(__xludf.DUMMYFUNCTION("""COMPUTED_VALUE"""),"Patriarch of the Injuu")</f>
        <v>Patriarch of the Injuu</v>
      </c>
      <c r="F82" s="2" t="str">
        <f ca="1">IFERROR(__xludf.DUMMYFUNCTION("""COMPUTED_VALUE"""),"Majuu Purification Girl Utea")</f>
        <v>Majuu Purification Girl Utea</v>
      </c>
      <c r="G82" s="2" t="str">
        <f ca="1">IFERROR(__xludf.DUMMYFUNCTION("""COMPUTED_VALUE"""),"Fertility &amp; Family")</f>
        <v>Fertility &amp; Family</v>
      </c>
      <c r="H82" s="2" t="str">
        <f ca="1">IFERROR(__xludf.DUMMYFUNCTION("""COMPUTED_VALUE"""),"In the beginning the king was the only injuu, but thanks to his prolific breeding the demons have become a force that threatens many worlds. You have the supernatural virility to be the patriarch of an entire race, having enormous power over your offsprin"&amp;"g. While you’re still capable of having normal children, a simple investment of power into your seed makes them so much more, allowing you to sculpt them to your liking. You can freely control the child’s race, appearance, and nascent personality, as well"&amp;" as bestow any power you possess on them, or even reduce them to mere extensions of your will instead of independent beings. Once per decade you can invest every drop of power you possess into one of these newborns, reincarnating yourself into a new child"&amp;" body and inheriting all of the powers that the child’s mother possessed as well as retaining all of your own powers. Unlike the injuu king, this process can’t be used to harm you in any way, such as a magical girl trying to purify your soul during her pr"&amp;"egnancy.")</f>
        <v>In the beginning the king was the only injuu, but thanks to his prolific breeding the demons have become a force that threatens many worlds. You have the supernatural virility to be the patriarch of an entire race, having enormous power over your offspring. While you’re still capable of having normal children, a simple investment of power into your seed makes them so much more, allowing you to sculpt them to your liking. You can freely control the child’s race, appearance, and nascent personality, as well as bestow any power you possess on them, or even reduce them to mere extensions of your will instead of independent beings. Once per decade you can invest every drop of power you possess into one of these newborns, reincarnating yourself into a new child body and inheriting all of the powers that the child’s mother possessed as well as retaining all of your own powers. Unlike the injuu king, this process can’t be used to harm you in any way, such as a magical girl trying to purify your soul during her pregnancy.</v>
      </c>
      <c r="I82" s="5"/>
    </row>
    <row r="83" spans="1:9" ht="17.399999999999999" x14ac:dyDescent="0.25">
      <c r="A83" s="16"/>
      <c r="B83" s="17"/>
      <c r="C83" s="2" t="b">
        <f ca="1">IFERROR(__xludf.DUMMYFUNCTION("""COMPUTED_VALUE"""),TRUE)</f>
        <v>1</v>
      </c>
      <c r="D83" s="2">
        <f ca="1">IFERROR(__xludf.DUMMYFUNCTION("""COMPUTED_VALUE"""),-100)</f>
        <v>-100</v>
      </c>
      <c r="E83" s="2" t="str">
        <f ca="1">IFERROR(__xludf.DUMMYFUNCTION("""COMPUTED_VALUE"""),"Purchased Perks")</f>
        <v>Purchased Perks</v>
      </c>
      <c r="F83" s="2">
        <f ca="1">IFERROR(__xludf.DUMMYFUNCTION("""COMPUTED_VALUE"""),4)</f>
        <v>4</v>
      </c>
      <c r="G83" s="2" t="str">
        <f ca="1">IFERROR(__xludf.DUMMYFUNCTION("""COMPUTED_VALUE"""),"Fertility &amp; Family")</f>
        <v>Fertility &amp; Family</v>
      </c>
      <c r="H83" s="2"/>
      <c r="I83" s="5"/>
    </row>
    <row r="84" spans="1:9" ht="17.399999999999999" x14ac:dyDescent="0.25">
      <c r="A84" s="16"/>
      <c r="B84" s="17"/>
      <c r="C84" s="2"/>
      <c r="D84" s="2"/>
      <c r="E84" s="2"/>
      <c r="F84" s="2"/>
      <c r="G84" s="2"/>
      <c r="H84" s="2"/>
      <c r="I84" s="5"/>
    </row>
    <row r="85" spans="1:9" ht="17.399999999999999" x14ac:dyDescent="0.25">
      <c r="A85" s="16"/>
      <c r="B85" s="17"/>
      <c r="C85" s="2"/>
      <c r="D85" s="2"/>
      <c r="E85" s="2"/>
      <c r="F85" s="2"/>
      <c r="G85" s="2"/>
      <c r="H85" s="2"/>
      <c r="I85" s="5"/>
    </row>
    <row r="86" spans="1:9" ht="17.399999999999999" x14ac:dyDescent="0.25">
      <c r="A86" s="16"/>
      <c r="B86" s="17"/>
      <c r="C86" s="2"/>
      <c r="D86" s="2"/>
      <c r="E86" s="2"/>
      <c r="F86" s="2"/>
      <c r="G86" s="2"/>
      <c r="H86" s="2"/>
      <c r="I86" s="5"/>
    </row>
    <row r="87" spans="1:9" ht="17.399999999999999" x14ac:dyDescent="0.25">
      <c r="A87" s="16"/>
      <c r="B87" s="17"/>
      <c r="C87" s="2"/>
      <c r="D87" s="2"/>
      <c r="E87" s="2"/>
      <c r="F87" s="2"/>
      <c r="G87" s="2"/>
      <c r="H87" s="2"/>
      <c r="I87" s="5"/>
    </row>
    <row r="88" spans="1:9" ht="17.399999999999999" x14ac:dyDescent="0.25">
      <c r="A88" s="16"/>
      <c r="B88" s="17"/>
      <c r="C88" s="2"/>
      <c r="D88" s="2"/>
      <c r="E88" s="2"/>
      <c r="F88" s="2"/>
      <c r="G88" s="2"/>
      <c r="H88" s="2"/>
      <c r="I88" s="5"/>
    </row>
    <row r="89" spans="1:9" ht="17.399999999999999" x14ac:dyDescent="0.25">
      <c r="A89" s="16"/>
      <c r="B89" s="17"/>
      <c r="C89" s="2"/>
      <c r="D89" s="2"/>
      <c r="E89" s="2"/>
      <c r="F89" s="2"/>
      <c r="G89" s="2"/>
      <c r="H89" s="2"/>
      <c r="I89" s="5"/>
    </row>
    <row r="90" spans="1:9" ht="17.399999999999999" x14ac:dyDescent="0.25">
      <c r="A90" s="16"/>
      <c r="B90" s="17"/>
      <c r="C90" s="2"/>
      <c r="D90" s="2"/>
      <c r="E90" s="2"/>
      <c r="F90" s="2"/>
      <c r="G90" s="2"/>
      <c r="H90" s="2"/>
      <c r="I90" s="5"/>
    </row>
    <row r="91" spans="1:9" ht="17.399999999999999" x14ac:dyDescent="0.25">
      <c r="A91" s="16"/>
      <c r="B91" s="17"/>
      <c r="C91" s="2"/>
      <c r="D91" s="2"/>
      <c r="E91" s="2"/>
      <c r="F91" s="2"/>
      <c r="G91" s="2"/>
      <c r="H91" s="2"/>
      <c r="I91" s="5"/>
    </row>
    <row r="92" spans="1:9" ht="17.399999999999999" x14ac:dyDescent="0.25">
      <c r="A92" s="16"/>
      <c r="B92" s="17"/>
      <c r="C92" s="2"/>
      <c r="D92" s="2"/>
      <c r="E92" s="2"/>
      <c r="F92" s="2"/>
      <c r="G92" s="2"/>
      <c r="H92" s="2"/>
      <c r="I92" s="5"/>
    </row>
    <row r="93" spans="1:9" ht="17.399999999999999" x14ac:dyDescent="0.25">
      <c r="A93" s="16"/>
      <c r="B93" s="17"/>
      <c r="C93" s="2"/>
      <c r="D93" s="2"/>
      <c r="E93" s="2"/>
      <c r="F93" s="2"/>
      <c r="G93" s="2"/>
      <c r="H93" s="2"/>
      <c r="I93" s="5"/>
    </row>
    <row r="94" spans="1:9" ht="17.399999999999999" x14ac:dyDescent="0.25">
      <c r="A94" s="16"/>
      <c r="B94" s="17"/>
      <c r="C94" s="2"/>
      <c r="D94" s="2"/>
      <c r="E94" s="2"/>
      <c r="F94" s="2"/>
      <c r="G94" s="2"/>
      <c r="H94" s="2"/>
      <c r="I94" s="5"/>
    </row>
    <row r="95" spans="1:9" ht="17.399999999999999" x14ac:dyDescent="0.25">
      <c r="A95" s="16"/>
      <c r="B95" s="17"/>
      <c r="C95" s="2"/>
      <c r="D95" s="2"/>
      <c r="E95" s="2"/>
      <c r="F95" s="2"/>
      <c r="G95" s="2"/>
      <c r="H95" s="2"/>
      <c r="I95" s="5"/>
    </row>
    <row r="96" spans="1:9" ht="17.399999999999999" x14ac:dyDescent="0.25">
      <c r="A96" s="16"/>
      <c r="B96" s="17"/>
      <c r="C96" s="2"/>
      <c r="D96" s="2"/>
      <c r="E96" s="2"/>
      <c r="F96" s="2"/>
      <c r="G96" s="2"/>
      <c r="H96" s="2"/>
      <c r="I96" s="5"/>
    </row>
    <row r="97" spans="1:9" ht="17.399999999999999" x14ac:dyDescent="0.25">
      <c r="A97" s="16"/>
      <c r="B97" s="17"/>
      <c r="C97" s="2"/>
      <c r="D97" s="2"/>
      <c r="E97" s="2"/>
      <c r="F97" s="2"/>
      <c r="G97" s="2"/>
      <c r="H97" s="2"/>
      <c r="I97" s="5"/>
    </row>
    <row r="98" spans="1:9" ht="17.399999999999999" x14ac:dyDescent="0.25">
      <c r="A98" s="16"/>
      <c r="B98" s="17"/>
      <c r="C98" s="2"/>
      <c r="D98" s="2"/>
      <c r="E98" s="2"/>
      <c r="F98" s="2"/>
      <c r="G98" s="2"/>
      <c r="H98" s="2"/>
      <c r="I98" s="5"/>
    </row>
    <row r="99" spans="1:9" ht="17.399999999999999" x14ac:dyDescent="0.25">
      <c r="A99" s="16"/>
      <c r="B99" s="17"/>
      <c r="C99" s="2"/>
      <c r="D99" s="2"/>
      <c r="E99" s="2"/>
      <c r="F99" s="2"/>
      <c r="G99" s="2"/>
      <c r="H99" s="2"/>
      <c r="I99" s="5"/>
    </row>
    <row r="100" spans="1:9" ht="17.399999999999999" x14ac:dyDescent="0.25">
      <c r="A100" s="16"/>
      <c r="B100" s="17"/>
      <c r="C100" s="2"/>
      <c r="D100" s="2"/>
      <c r="E100" s="2"/>
      <c r="F100" s="2"/>
      <c r="G100" s="2"/>
      <c r="H100" s="2"/>
      <c r="I100" s="5"/>
    </row>
    <row r="101" spans="1:9" ht="17.399999999999999" x14ac:dyDescent="0.25">
      <c r="A101" s="16"/>
      <c r="B101" s="17"/>
      <c r="C101" s="2"/>
      <c r="D101" s="2"/>
      <c r="E101" s="2"/>
      <c r="F101" s="2"/>
      <c r="G101" s="2"/>
      <c r="H101" s="2"/>
      <c r="I101" s="5"/>
    </row>
    <row r="102" spans="1:9" ht="17.399999999999999" x14ac:dyDescent="0.25">
      <c r="A102" s="16"/>
      <c r="B102" s="17"/>
      <c r="C102" s="2"/>
      <c r="D102" s="2"/>
      <c r="E102" s="2"/>
      <c r="F102" s="2"/>
      <c r="G102" s="2"/>
      <c r="H102" s="2"/>
      <c r="I102" s="5"/>
    </row>
    <row r="103" spans="1:9" ht="17.399999999999999" x14ac:dyDescent="0.25">
      <c r="A103" s="16"/>
      <c r="B103" s="17"/>
      <c r="C103" s="2"/>
      <c r="D103" s="2"/>
      <c r="E103" s="2"/>
      <c r="F103" s="2"/>
      <c r="G103" s="2"/>
      <c r="H103" s="2"/>
      <c r="I103" s="5"/>
    </row>
    <row r="104" spans="1:9" ht="17.399999999999999" x14ac:dyDescent="0.25">
      <c r="A104" s="16"/>
      <c r="B104" s="17"/>
      <c r="C104" s="2"/>
      <c r="D104" s="2"/>
      <c r="E104" s="2"/>
      <c r="F104" s="2"/>
      <c r="G104" s="2"/>
      <c r="H104" s="2"/>
      <c r="I104" s="5"/>
    </row>
    <row r="105" spans="1:9" ht="17.399999999999999" x14ac:dyDescent="0.25">
      <c r="A105" s="16"/>
      <c r="B105" s="17"/>
      <c r="C105" s="2"/>
      <c r="D105" s="2"/>
      <c r="E105" s="2"/>
      <c r="F105" s="2"/>
      <c r="G105" s="2"/>
      <c r="H105" s="2"/>
      <c r="I105" s="5"/>
    </row>
    <row r="106" spans="1:9" ht="17.399999999999999" x14ac:dyDescent="0.25">
      <c r="A106" s="16"/>
      <c r="B106" s="17"/>
      <c r="C106" s="2"/>
      <c r="D106" s="2"/>
      <c r="E106" s="2"/>
      <c r="F106" s="2"/>
      <c r="G106" s="2"/>
      <c r="H106" s="2"/>
      <c r="I106" s="5"/>
    </row>
    <row r="107" spans="1:9" ht="17.399999999999999" x14ac:dyDescent="0.25">
      <c r="A107" s="16"/>
      <c r="B107" s="17"/>
      <c r="C107" s="2"/>
      <c r="D107" s="2"/>
      <c r="E107" s="2"/>
      <c r="F107" s="2"/>
      <c r="G107" s="2"/>
      <c r="H107" s="2"/>
      <c r="I107" s="5"/>
    </row>
    <row r="108" spans="1:9" ht="17.399999999999999" x14ac:dyDescent="0.25">
      <c r="A108" s="16"/>
      <c r="B108" s="17"/>
      <c r="C108" s="2"/>
      <c r="D108" s="2"/>
      <c r="E108" s="2"/>
      <c r="F108" s="2"/>
      <c r="G108" s="2"/>
      <c r="H108" s="2"/>
      <c r="I108" s="5"/>
    </row>
    <row r="109" spans="1:9" ht="17.399999999999999" x14ac:dyDescent="0.25">
      <c r="A109" s="16"/>
      <c r="B109" s="17"/>
      <c r="C109" s="2"/>
      <c r="D109" s="2"/>
      <c r="E109" s="2"/>
      <c r="F109" s="2"/>
      <c r="G109" s="2"/>
      <c r="H109" s="2"/>
      <c r="I109" s="5"/>
    </row>
    <row r="110" spans="1:9" ht="17.399999999999999" x14ac:dyDescent="0.25">
      <c r="A110" s="16"/>
      <c r="B110" s="17"/>
      <c r="C110" s="2"/>
      <c r="D110" s="2"/>
      <c r="E110" s="2"/>
      <c r="F110" s="2"/>
      <c r="G110" s="2"/>
      <c r="H110" s="2"/>
      <c r="I110" s="5"/>
    </row>
    <row r="111" spans="1:9" ht="17.399999999999999" x14ac:dyDescent="0.25">
      <c r="A111" s="16"/>
      <c r="B111" s="17"/>
      <c r="C111" s="2"/>
      <c r="D111" s="2"/>
      <c r="E111" s="2"/>
      <c r="F111" s="2"/>
      <c r="G111" s="2"/>
      <c r="H111" s="2"/>
      <c r="I111" s="5"/>
    </row>
    <row r="112" spans="1:9" ht="17.399999999999999" x14ac:dyDescent="0.25">
      <c r="A112" s="16"/>
      <c r="B112" s="17"/>
      <c r="C112" s="2"/>
      <c r="D112" s="2"/>
      <c r="E112" s="2"/>
      <c r="F112" s="2"/>
      <c r="G112" s="2"/>
      <c r="H112" s="2"/>
      <c r="I112" s="5"/>
    </row>
    <row r="113" spans="1:9" ht="17.399999999999999" x14ac:dyDescent="0.25">
      <c r="A113" s="16"/>
      <c r="B113" s="17"/>
      <c r="C113" s="2"/>
      <c r="D113" s="2"/>
      <c r="E113" s="2"/>
      <c r="F113" s="2"/>
      <c r="G113" s="2"/>
      <c r="H113" s="2"/>
      <c r="I113" s="5"/>
    </row>
    <row r="114" spans="1:9" ht="17.399999999999999" x14ac:dyDescent="0.25">
      <c r="A114" s="16"/>
      <c r="B114" s="17"/>
      <c r="C114" s="2"/>
      <c r="D114" s="2"/>
      <c r="E114" s="2"/>
      <c r="F114" s="2"/>
      <c r="G114" s="2"/>
      <c r="H114" s="2"/>
      <c r="I114" s="5"/>
    </row>
    <row r="115" spans="1:9" ht="17.399999999999999" x14ac:dyDescent="0.25">
      <c r="A115" s="16"/>
      <c r="B115" s="17"/>
      <c r="C115" s="2"/>
      <c r="D115" s="2"/>
      <c r="E115" s="2"/>
      <c r="F115" s="2"/>
      <c r="G115" s="2"/>
      <c r="H115" s="2"/>
      <c r="I115" s="5"/>
    </row>
    <row r="116" spans="1:9" ht="17.399999999999999" x14ac:dyDescent="0.25">
      <c r="A116" s="16"/>
      <c r="B116" s="17"/>
      <c r="C116" s="2"/>
      <c r="D116" s="2"/>
      <c r="E116" s="2"/>
      <c r="F116" s="2"/>
      <c r="G116" s="2"/>
      <c r="H116" s="2"/>
      <c r="I116" s="5"/>
    </row>
    <row r="117" spans="1:9" ht="17.399999999999999" x14ac:dyDescent="0.25">
      <c r="A117" s="16"/>
      <c r="B117" s="17"/>
      <c r="C117" s="2"/>
      <c r="D117" s="2"/>
      <c r="E117" s="2"/>
      <c r="F117" s="2"/>
      <c r="G117" s="2"/>
      <c r="H117" s="2"/>
      <c r="I117" s="5"/>
    </row>
    <row r="118" spans="1:9" ht="17.399999999999999" x14ac:dyDescent="0.25">
      <c r="A118" s="16"/>
      <c r="B118" s="17"/>
      <c r="C118" s="2"/>
      <c r="D118" s="2"/>
      <c r="E118" s="2"/>
      <c r="F118" s="2"/>
      <c r="G118" s="2"/>
      <c r="H118" s="2"/>
      <c r="I118" s="5"/>
    </row>
    <row r="119" spans="1:9" ht="17.399999999999999" x14ac:dyDescent="0.25">
      <c r="A119" s="16"/>
      <c r="B119" s="17"/>
      <c r="C119" s="2"/>
      <c r="D119" s="2"/>
      <c r="E119" s="2"/>
      <c r="F119" s="2"/>
      <c r="G119" s="2"/>
      <c r="H119" s="2"/>
      <c r="I119" s="5"/>
    </row>
    <row r="120" spans="1:9" ht="17.399999999999999" x14ac:dyDescent="0.25">
      <c r="A120" s="16"/>
      <c r="B120" s="17"/>
      <c r="C120" s="2"/>
      <c r="D120" s="2"/>
      <c r="E120" s="2"/>
      <c r="F120" s="2"/>
      <c r="G120" s="2"/>
      <c r="H120" s="2"/>
      <c r="I120" s="5"/>
    </row>
    <row r="121" spans="1:9" ht="17.399999999999999" x14ac:dyDescent="0.25">
      <c r="A121" s="16"/>
      <c r="B121" s="17"/>
      <c r="C121" s="2"/>
      <c r="D121" s="2"/>
      <c r="E121" s="2"/>
      <c r="F121" s="2"/>
      <c r="G121" s="2"/>
      <c r="H121" s="2"/>
      <c r="I121" s="5"/>
    </row>
    <row r="122" spans="1:9" ht="17.399999999999999" x14ac:dyDescent="0.25">
      <c r="A122" s="16"/>
      <c r="B122" s="17"/>
      <c r="C122" s="2"/>
      <c r="D122" s="2"/>
      <c r="E122" s="2"/>
      <c r="F122" s="2"/>
      <c r="G122" s="2"/>
      <c r="H122" s="2"/>
      <c r="I122" s="5"/>
    </row>
    <row r="123" spans="1:9" ht="17.399999999999999" x14ac:dyDescent="0.25">
      <c r="A123" s="16"/>
      <c r="B123" s="17"/>
      <c r="C123" s="2"/>
      <c r="D123" s="2"/>
      <c r="E123" s="2"/>
      <c r="F123" s="2"/>
      <c r="G123" s="2"/>
      <c r="H123" s="2"/>
      <c r="I123" s="5"/>
    </row>
    <row r="124" spans="1:9" ht="17.399999999999999" x14ac:dyDescent="0.25">
      <c r="A124" s="16"/>
      <c r="B124" s="17"/>
      <c r="C124" s="2"/>
      <c r="D124" s="2"/>
      <c r="E124" s="2"/>
      <c r="F124" s="2"/>
      <c r="G124" s="2"/>
      <c r="H124" s="2"/>
      <c r="I124" s="5"/>
    </row>
    <row r="125" spans="1:9" ht="17.399999999999999" x14ac:dyDescent="0.25">
      <c r="A125" s="16"/>
      <c r="B125" s="17"/>
      <c r="C125" s="2"/>
      <c r="D125" s="2"/>
      <c r="E125" s="2"/>
      <c r="F125" s="2"/>
      <c r="G125" s="2"/>
      <c r="H125" s="2"/>
      <c r="I125" s="5"/>
    </row>
    <row r="126" spans="1:9" ht="17.399999999999999" x14ac:dyDescent="0.25">
      <c r="A126" s="16"/>
      <c r="B126" s="17"/>
      <c r="C126" s="2"/>
      <c r="D126" s="2"/>
      <c r="E126" s="2"/>
      <c r="F126" s="2"/>
      <c r="G126" s="2"/>
      <c r="H126" s="2"/>
      <c r="I126" s="5"/>
    </row>
    <row r="127" spans="1:9" ht="17.399999999999999" x14ac:dyDescent="0.25">
      <c r="A127" s="16"/>
      <c r="B127" s="17"/>
      <c r="C127" s="2"/>
      <c r="D127" s="2"/>
      <c r="E127" s="2"/>
      <c r="F127" s="2"/>
      <c r="G127" s="2"/>
      <c r="H127" s="2"/>
      <c r="I127" s="5"/>
    </row>
    <row r="128" spans="1:9" ht="17.399999999999999" x14ac:dyDescent="0.25">
      <c r="A128" s="16"/>
      <c r="B128" s="17"/>
      <c r="C128" s="2"/>
      <c r="D128" s="2"/>
      <c r="E128" s="2"/>
      <c r="F128" s="2"/>
      <c r="G128" s="2"/>
      <c r="H128" s="2"/>
      <c r="I128" s="5"/>
    </row>
    <row r="129" spans="1:10" ht="17.399999999999999" x14ac:dyDescent="0.25">
      <c r="A129" s="16"/>
      <c r="B129" s="17"/>
      <c r="C129" s="2"/>
      <c r="D129" s="2"/>
      <c r="E129" s="2"/>
      <c r="F129" s="2"/>
      <c r="G129" s="2"/>
      <c r="H129" s="2"/>
      <c r="I129" s="5"/>
    </row>
    <row r="130" spans="1:10" ht="17.399999999999999" x14ac:dyDescent="0.25">
      <c r="A130" s="16"/>
      <c r="B130" s="17"/>
      <c r="C130" s="2"/>
      <c r="D130" s="2"/>
      <c r="E130" s="2"/>
      <c r="F130" s="2"/>
      <c r="G130" s="2"/>
      <c r="H130" s="2"/>
      <c r="I130" s="5"/>
    </row>
    <row r="131" spans="1:10" ht="17.399999999999999" x14ac:dyDescent="0.25">
      <c r="A131" s="16"/>
      <c r="B131" s="17"/>
      <c r="C131" s="2"/>
      <c r="D131" s="2"/>
      <c r="E131" s="2"/>
      <c r="F131" s="2"/>
      <c r="G131" s="2"/>
      <c r="H131" s="2"/>
      <c r="I131" s="5"/>
    </row>
    <row r="132" spans="1:10" ht="17.399999999999999" x14ac:dyDescent="0.25">
      <c r="A132" s="16"/>
      <c r="B132" s="17"/>
      <c r="C132" s="2"/>
      <c r="D132" s="2"/>
      <c r="E132" s="2"/>
      <c r="F132" s="2"/>
      <c r="G132" s="2"/>
      <c r="H132" s="2"/>
      <c r="I132" s="5"/>
    </row>
    <row r="133" spans="1:10" ht="17.399999999999999" x14ac:dyDescent="0.35">
      <c r="A133" s="16"/>
      <c r="B133" s="17"/>
      <c r="C133" s="2"/>
      <c r="D133" s="2"/>
      <c r="E133" s="2"/>
      <c r="F133" s="2"/>
      <c r="G133" s="2"/>
      <c r="H133" s="2"/>
      <c r="I133" s="5"/>
      <c r="J133" s="13"/>
    </row>
    <row r="134" spans="1:10" ht="17.399999999999999" x14ac:dyDescent="0.35">
      <c r="A134" s="16"/>
      <c r="B134" s="17"/>
      <c r="C134" s="2"/>
      <c r="D134" s="2"/>
      <c r="E134" s="2"/>
      <c r="F134" s="2"/>
      <c r="G134" s="2"/>
      <c r="H134" s="2"/>
      <c r="I134" s="5"/>
      <c r="J134" s="27"/>
    </row>
    <row r="135" spans="1:10" ht="17.399999999999999" x14ac:dyDescent="0.25">
      <c r="A135" s="16"/>
      <c r="B135" s="17"/>
      <c r="C135" s="2"/>
      <c r="D135" s="2"/>
      <c r="E135" s="2"/>
      <c r="F135" s="2"/>
      <c r="G135" s="2"/>
      <c r="H135" s="2"/>
      <c r="I135" s="5"/>
    </row>
    <row r="136" spans="1:10" ht="17.399999999999999" x14ac:dyDescent="0.25">
      <c r="A136" s="16"/>
      <c r="B136" s="17"/>
      <c r="C136" s="2"/>
      <c r="D136" s="2"/>
      <c r="E136" s="2"/>
      <c r="F136" s="2"/>
      <c r="G136" s="2"/>
      <c r="H136" s="2"/>
      <c r="I136" s="5"/>
    </row>
    <row r="137" spans="1:10" ht="17.399999999999999" x14ac:dyDescent="0.25">
      <c r="A137" s="16"/>
      <c r="B137" s="17"/>
      <c r="C137" s="2"/>
      <c r="D137" s="2"/>
      <c r="E137" s="2"/>
      <c r="F137" s="2"/>
      <c r="G137" s="2"/>
      <c r="H137" s="2"/>
      <c r="I137" s="5"/>
    </row>
    <row r="138" spans="1:10" ht="17.399999999999999" x14ac:dyDescent="0.25">
      <c r="A138" s="16"/>
      <c r="B138" s="17"/>
      <c r="C138" s="2"/>
      <c r="D138" s="2"/>
      <c r="E138" s="2"/>
      <c r="F138" s="2"/>
      <c r="G138" s="2"/>
      <c r="H138" s="2"/>
      <c r="I138" s="5"/>
    </row>
    <row r="139" spans="1:10" ht="17.399999999999999" x14ac:dyDescent="0.25">
      <c r="A139" s="16"/>
      <c r="B139" s="17"/>
      <c r="C139" s="2"/>
      <c r="D139" s="2"/>
      <c r="E139" s="2"/>
      <c r="F139" s="2"/>
      <c r="G139" s="2"/>
      <c r="H139" s="2"/>
      <c r="I139" s="5"/>
    </row>
    <row r="140" spans="1:10" ht="17.399999999999999" x14ac:dyDescent="0.25">
      <c r="A140" s="16"/>
      <c r="B140" s="17"/>
      <c r="C140" s="2"/>
      <c r="D140" s="2"/>
      <c r="E140" s="2"/>
      <c r="F140" s="2"/>
      <c r="G140" s="2"/>
      <c r="H140" s="2"/>
      <c r="I140" s="5"/>
    </row>
    <row r="141" spans="1:10" ht="17.399999999999999" x14ac:dyDescent="0.25">
      <c r="A141" s="16"/>
      <c r="B141" s="17"/>
      <c r="C141" s="2"/>
      <c r="D141" s="2"/>
      <c r="E141" s="2"/>
      <c r="F141" s="2"/>
      <c r="G141" s="2"/>
      <c r="H141" s="2"/>
      <c r="I141" s="5"/>
    </row>
    <row r="142" spans="1:10" ht="17.399999999999999" x14ac:dyDescent="0.25">
      <c r="A142" s="16"/>
      <c r="B142" s="17"/>
      <c r="C142" s="2"/>
      <c r="D142" s="2"/>
      <c r="E142" s="2"/>
      <c r="F142" s="2"/>
      <c r="G142" s="2"/>
      <c r="H142" s="2"/>
      <c r="I142" s="5"/>
    </row>
    <row r="143" spans="1:10" ht="17.399999999999999" x14ac:dyDescent="0.25">
      <c r="A143" s="16"/>
      <c r="B143" s="17"/>
      <c r="C143" s="2"/>
      <c r="D143" s="2"/>
      <c r="E143" s="2"/>
      <c r="F143" s="2"/>
      <c r="G143" s="2"/>
      <c r="H143" s="2"/>
      <c r="I143" s="5"/>
    </row>
    <row r="144" spans="1:10" ht="17.399999999999999" x14ac:dyDescent="0.25">
      <c r="A144" s="16"/>
      <c r="B144" s="17"/>
      <c r="C144" s="2"/>
      <c r="D144" s="2"/>
      <c r="E144" s="2"/>
      <c r="F144" s="2"/>
      <c r="G144" s="2"/>
      <c r="H144" s="2"/>
      <c r="I144" s="5"/>
    </row>
    <row r="145" spans="1:9" ht="17.399999999999999" x14ac:dyDescent="0.25">
      <c r="A145" s="16"/>
      <c r="B145" s="17"/>
      <c r="C145" s="2"/>
      <c r="D145" s="2"/>
      <c r="E145" s="2"/>
      <c r="F145" s="2"/>
      <c r="G145" s="2"/>
      <c r="H145" s="2"/>
      <c r="I145" s="5"/>
    </row>
    <row r="146" spans="1:9" ht="17.399999999999999" x14ac:dyDescent="0.25">
      <c r="A146" s="16"/>
      <c r="B146" s="17"/>
      <c r="C146" s="2"/>
      <c r="D146" s="2"/>
      <c r="E146" s="2"/>
      <c r="F146" s="2"/>
      <c r="G146" s="2"/>
      <c r="H146" s="2"/>
      <c r="I146" s="5"/>
    </row>
    <row r="147" spans="1:9" ht="17.399999999999999" x14ac:dyDescent="0.25">
      <c r="A147" s="16"/>
      <c r="B147" s="17"/>
      <c r="C147" s="2"/>
      <c r="D147" s="2"/>
      <c r="E147" s="2"/>
      <c r="F147" s="2"/>
      <c r="G147" s="2"/>
      <c r="H147" s="2"/>
      <c r="I147" s="5"/>
    </row>
    <row r="148" spans="1:9" ht="17.399999999999999" x14ac:dyDescent="0.25">
      <c r="A148" s="16"/>
      <c r="B148" s="17"/>
      <c r="C148" s="2"/>
      <c r="D148" s="2"/>
      <c r="E148" s="2"/>
      <c r="F148" s="2"/>
      <c r="G148" s="2"/>
      <c r="H148" s="2"/>
      <c r="I148" s="5"/>
    </row>
    <row r="149" spans="1:9" ht="17.399999999999999" x14ac:dyDescent="0.25">
      <c r="A149" s="16"/>
      <c r="B149" s="17"/>
      <c r="C149" s="2"/>
      <c r="D149" s="2"/>
      <c r="E149" s="2"/>
      <c r="F149" s="2"/>
      <c r="G149" s="2"/>
      <c r="H149" s="2"/>
      <c r="I149" s="5"/>
    </row>
    <row r="150" spans="1:9" ht="17.399999999999999" x14ac:dyDescent="0.25">
      <c r="A150" s="16"/>
      <c r="B150" s="17"/>
      <c r="C150" s="2"/>
      <c r="D150" s="2"/>
      <c r="E150" s="2"/>
      <c r="F150" s="2"/>
      <c r="G150" s="2"/>
      <c r="H150" s="2"/>
      <c r="I150" s="5"/>
    </row>
    <row r="151" spans="1:9" ht="17.399999999999999" x14ac:dyDescent="0.25">
      <c r="A151" s="16"/>
      <c r="B151" s="17"/>
      <c r="C151" s="2"/>
      <c r="D151" s="2"/>
      <c r="E151" s="2"/>
      <c r="F151" s="2"/>
      <c r="G151" s="2"/>
      <c r="H151" s="2"/>
      <c r="I151" s="5"/>
    </row>
    <row r="152" spans="1:9" ht="17.399999999999999" x14ac:dyDescent="0.25">
      <c r="A152" s="16"/>
      <c r="B152" s="17"/>
      <c r="C152" s="2"/>
      <c r="D152" s="2"/>
      <c r="E152" s="2"/>
      <c r="F152" s="2"/>
      <c r="G152" s="2"/>
      <c r="H152" s="2"/>
      <c r="I152" s="5"/>
    </row>
    <row r="153" spans="1:9" ht="17.399999999999999" x14ac:dyDescent="0.25">
      <c r="A153" s="16"/>
      <c r="B153" s="17"/>
      <c r="C153" s="2"/>
      <c r="D153" s="2"/>
      <c r="E153" s="2"/>
      <c r="F153" s="2"/>
      <c r="G153" s="2"/>
      <c r="H153" s="2"/>
      <c r="I153" s="5"/>
    </row>
    <row r="154" spans="1:9" ht="17.399999999999999" x14ac:dyDescent="0.25">
      <c r="A154" s="16"/>
      <c r="B154" s="17"/>
      <c r="C154" s="2"/>
      <c r="D154" s="2"/>
      <c r="E154" s="2"/>
      <c r="F154" s="2"/>
      <c r="G154" s="2"/>
      <c r="H154" s="2"/>
      <c r="I154" s="5"/>
    </row>
    <row r="155" spans="1:9" ht="17.399999999999999" x14ac:dyDescent="0.25">
      <c r="A155" s="16"/>
      <c r="B155" s="17"/>
      <c r="C155" s="2"/>
      <c r="D155" s="2"/>
      <c r="E155" s="2"/>
      <c r="F155" s="2"/>
      <c r="G155" s="2"/>
      <c r="H155" s="2"/>
      <c r="I155" s="5"/>
    </row>
    <row r="156" spans="1:9" ht="17.399999999999999" x14ac:dyDescent="0.25">
      <c r="A156" s="16"/>
      <c r="B156" s="17"/>
      <c r="C156" s="2"/>
      <c r="D156" s="2"/>
      <c r="E156" s="2"/>
      <c r="F156" s="2"/>
      <c r="G156" s="2"/>
      <c r="H156" s="2"/>
      <c r="I156" s="5"/>
    </row>
    <row r="157" spans="1:9" ht="17.399999999999999" x14ac:dyDescent="0.25">
      <c r="A157" s="16"/>
      <c r="B157" s="17"/>
      <c r="C157" s="2"/>
      <c r="D157" s="2"/>
      <c r="E157" s="2"/>
      <c r="F157" s="2"/>
      <c r="G157" s="2"/>
      <c r="H157" s="2"/>
      <c r="I157" s="5"/>
    </row>
    <row r="158" spans="1:9" ht="17.399999999999999" x14ac:dyDescent="0.25">
      <c r="A158" s="16"/>
      <c r="B158" s="17"/>
      <c r="C158" s="2"/>
      <c r="D158" s="2"/>
      <c r="E158" s="2"/>
      <c r="F158" s="2"/>
      <c r="G158" s="2"/>
      <c r="H158" s="2"/>
      <c r="I158" s="5"/>
    </row>
    <row r="159" spans="1:9" ht="17.399999999999999" x14ac:dyDescent="0.25">
      <c r="A159" s="16"/>
      <c r="B159" s="17"/>
      <c r="C159" s="2"/>
      <c r="D159" s="2"/>
      <c r="E159" s="2"/>
      <c r="F159" s="2"/>
      <c r="G159" s="2"/>
      <c r="H159" s="2"/>
      <c r="I159" s="5"/>
    </row>
    <row r="160" spans="1:9" ht="17.399999999999999" x14ac:dyDescent="0.25">
      <c r="A160" s="16"/>
      <c r="B160" s="17"/>
      <c r="C160" s="2"/>
      <c r="D160" s="2"/>
      <c r="E160" s="2"/>
      <c r="F160" s="2"/>
      <c r="G160" s="2"/>
      <c r="H160" s="2"/>
      <c r="I160" s="5"/>
    </row>
    <row r="161" spans="1:9" ht="17.399999999999999" x14ac:dyDescent="0.25">
      <c r="A161" s="16"/>
      <c r="B161" s="17"/>
      <c r="C161" s="2"/>
      <c r="D161" s="2"/>
      <c r="E161" s="2"/>
      <c r="F161" s="2"/>
      <c r="G161" s="2"/>
      <c r="H161" s="2"/>
      <c r="I161" s="5"/>
    </row>
    <row r="162" spans="1:9" ht="17.399999999999999" x14ac:dyDescent="0.25">
      <c r="A162" s="16"/>
      <c r="B162" s="17"/>
      <c r="C162" s="2"/>
      <c r="D162" s="2"/>
      <c r="E162" s="2"/>
      <c r="F162" s="2"/>
      <c r="G162" s="2"/>
      <c r="H162" s="2"/>
      <c r="I162" s="5"/>
    </row>
    <row r="163" spans="1:9" ht="17.399999999999999" x14ac:dyDescent="0.25">
      <c r="A163" s="16"/>
      <c r="B163" s="17"/>
      <c r="C163" s="2"/>
      <c r="D163" s="2"/>
      <c r="E163" s="2"/>
      <c r="F163" s="2"/>
      <c r="G163" s="2"/>
      <c r="H163" s="2"/>
      <c r="I163" s="5"/>
    </row>
    <row r="164" spans="1:9" ht="17.399999999999999" x14ac:dyDescent="0.25">
      <c r="A164" s="16"/>
      <c r="B164" s="17"/>
      <c r="C164" s="2"/>
      <c r="D164" s="2"/>
      <c r="E164" s="2"/>
      <c r="F164" s="2"/>
      <c r="G164" s="2"/>
      <c r="H164" s="2"/>
      <c r="I164" s="5"/>
    </row>
    <row r="165" spans="1:9" ht="17.399999999999999" x14ac:dyDescent="0.25">
      <c r="A165" s="16"/>
      <c r="B165" s="17"/>
      <c r="C165" s="2"/>
      <c r="D165" s="2"/>
      <c r="E165" s="2"/>
      <c r="F165" s="2"/>
      <c r="G165" s="2"/>
      <c r="H165" s="2"/>
      <c r="I165" s="5"/>
    </row>
    <row r="166" spans="1:9" ht="17.399999999999999" x14ac:dyDescent="0.25">
      <c r="A166" s="16"/>
      <c r="B166" s="17"/>
      <c r="C166" s="2"/>
      <c r="D166" s="2"/>
      <c r="E166" s="2"/>
      <c r="F166" s="2"/>
      <c r="G166" s="2"/>
      <c r="H166" s="2"/>
      <c r="I166" s="5"/>
    </row>
    <row r="167" spans="1:9" ht="17.399999999999999" x14ac:dyDescent="0.25">
      <c r="A167" s="16"/>
      <c r="B167" s="17"/>
      <c r="C167" s="2"/>
      <c r="D167" s="2"/>
      <c r="E167" s="2"/>
      <c r="F167" s="2"/>
      <c r="G167" s="2"/>
      <c r="H167" s="2"/>
      <c r="I167" s="5"/>
    </row>
    <row r="168" spans="1:9" ht="17.399999999999999" x14ac:dyDescent="0.25">
      <c r="A168" s="16"/>
      <c r="B168" s="17"/>
      <c r="C168" s="2"/>
      <c r="D168" s="2"/>
      <c r="E168" s="2"/>
      <c r="F168" s="2"/>
      <c r="G168" s="2"/>
      <c r="H168" s="2"/>
      <c r="I168" s="5"/>
    </row>
    <row r="169" spans="1:9" ht="17.399999999999999" x14ac:dyDescent="0.25">
      <c r="A169" s="16"/>
      <c r="B169" s="17"/>
      <c r="C169" s="2"/>
      <c r="D169" s="2"/>
      <c r="E169" s="2"/>
      <c r="F169" s="2"/>
      <c r="G169" s="2"/>
      <c r="H169" s="2"/>
      <c r="I169" s="5"/>
    </row>
    <row r="170" spans="1:9" ht="17.399999999999999" x14ac:dyDescent="0.25">
      <c r="A170" s="16"/>
      <c r="B170" s="17"/>
      <c r="C170" s="2"/>
      <c r="D170" s="2"/>
      <c r="E170" s="2"/>
      <c r="F170" s="2"/>
      <c r="G170" s="2"/>
      <c r="H170" s="2"/>
      <c r="I170" s="5"/>
    </row>
    <row r="171" spans="1:9" ht="17.399999999999999" x14ac:dyDescent="0.25">
      <c r="A171" s="16"/>
      <c r="B171" s="17"/>
      <c r="C171" s="2"/>
      <c r="D171" s="2"/>
      <c r="E171" s="2"/>
      <c r="F171" s="2"/>
      <c r="G171" s="2"/>
      <c r="H171" s="2"/>
      <c r="I171" s="5"/>
    </row>
    <row r="172" spans="1:9" ht="17.399999999999999" x14ac:dyDescent="0.25">
      <c r="A172" s="16"/>
      <c r="B172" s="17"/>
      <c r="C172" s="2"/>
      <c r="D172" s="2"/>
      <c r="E172" s="2"/>
      <c r="F172" s="2"/>
      <c r="G172" s="2"/>
      <c r="H172" s="2"/>
      <c r="I172" s="5"/>
    </row>
    <row r="173" spans="1:9" ht="17.399999999999999" x14ac:dyDescent="0.25">
      <c r="A173" s="16"/>
      <c r="B173" s="17"/>
      <c r="C173" s="2"/>
      <c r="D173" s="2"/>
      <c r="E173" s="2"/>
      <c r="F173" s="2"/>
      <c r="G173" s="2"/>
      <c r="H173" s="2"/>
      <c r="I173" s="5"/>
    </row>
    <row r="174" spans="1:9" ht="17.399999999999999" x14ac:dyDescent="0.25">
      <c r="A174" s="16"/>
      <c r="B174" s="17"/>
      <c r="C174" s="2"/>
      <c r="D174" s="2"/>
      <c r="E174" s="2"/>
      <c r="F174" s="2"/>
      <c r="G174" s="2"/>
      <c r="H174" s="2"/>
      <c r="I174" s="5"/>
    </row>
    <row r="175" spans="1:9" ht="17.399999999999999" x14ac:dyDescent="0.25">
      <c r="A175" s="16"/>
      <c r="B175" s="17"/>
      <c r="C175" s="2"/>
      <c r="D175" s="2"/>
      <c r="E175" s="2"/>
      <c r="F175" s="2"/>
      <c r="G175" s="2"/>
      <c r="H175" s="2"/>
      <c r="I175" s="5"/>
    </row>
    <row r="176" spans="1:9" ht="17.399999999999999" x14ac:dyDescent="0.25">
      <c r="A176" s="16"/>
      <c r="B176" s="17"/>
      <c r="C176" s="2"/>
      <c r="D176" s="2"/>
      <c r="E176" s="2"/>
      <c r="F176" s="2"/>
      <c r="G176" s="2"/>
      <c r="H176" s="2"/>
      <c r="I176" s="5"/>
    </row>
    <row r="177" spans="1:9" ht="17.399999999999999" x14ac:dyDescent="0.25">
      <c r="A177" s="16"/>
      <c r="B177" s="17"/>
      <c r="C177" s="2"/>
      <c r="D177" s="2"/>
      <c r="E177" s="2"/>
      <c r="F177" s="2"/>
      <c r="G177" s="2"/>
      <c r="H177" s="2"/>
      <c r="I177" s="5"/>
    </row>
    <row r="178" spans="1:9" ht="17.399999999999999" x14ac:dyDescent="0.25">
      <c r="A178" s="16"/>
      <c r="B178" s="17"/>
      <c r="C178" s="2"/>
      <c r="D178" s="2"/>
      <c r="E178" s="2"/>
      <c r="F178" s="2"/>
      <c r="G178" s="2"/>
      <c r="H178" s="2"/>
      <c r="I178" s="5"/>
    </row>
    <row r="179" spans="1:9" ht="17.399999999999999" x14ac:dyDescent="0.25">
      <c r="A179" s="16"/>
      <c r="B179" s="17"/>
      <c r="C179" s="2"/>
      <c r="D179" s="2"/>
      <c r="E179" s="2"/>
      <c r="F179" s="2"/>
      <c r="G179" s="2"/>
      <c r="H179" s="2"/>
      <c r="I179" s="5"/>
    </row>
    <row r="180" spans="1:9" ht="17.399999999999999" x14ac:dyDescent="0.25">
      <c r="A180" s="16"/>
      <c r="B180" s="17"/>
      <c r="C180" s="2"/>
      <c r="D180" s="2"/>
      <c r="E180" s="2"/>
      <c r="F180" s="2"/>
      <c r="G180" s="2"/>
      <c r="H180" s="2"/>
      <c r="I180" s="5"/>
    </row>
    <row r="181" spans="1:9" ht="17.399999999999999" x14ac:dyDescent="0.25">
      <c r="A181" s="16"/>
      <c r="B181" s="17"/>
      <c r="C181" s="2"/>
      <c r="D181" s="2"/>
      <c r="E181" s="2"/>
      <c r="F181" s="2"/>
      <c r="G181" s="2"/>
      <c r="H181" s="2"/>
      <c r="I181" s="5"/>
    </row>
    <row r="182" spans="1:9" ht="17.399999999999999" x14ac:dyDescent="0.25">
      <c r="A182" s="16"/>
      <c r="B182" s="17"/>
      <c r="C182" s="2"/>
      <c r="D182" s="2"/>
      <c r="E182" s="2"/>
      <c r="F182" s="2"/>
      <c r="G182" s="2"/>
      <c r="H182" s="2"/>
      <c r="I182" s="5"/>
    </row>
    <row r="183" spans="1:9" ht="17.399999999999999" x14ac:dyDescent="0.25">
      <c r="A183" s="16"/>
      <c r="B183" s="17"/>
      <c r="C183" s="2"/>
      <c r="D183" s="2"/>
      <c r="E183" s="2"/>
      <c r="F183" s="2"/>
      <c r="G183" s="2"/>
      <c r="H183" s="2"/>
      <c r="I183" s="5"/>
    </row>
    <row r="184" spans="1:9" ht="17.399999999999999" x14ac:dyDescent="0.25">
      <c r="A184" s="16"/>
      <c r="B184" s="17"/>
      <c r="C184" s="2"/>
      <c r="D184" s="2"/>
      <c r="E184" s="2"/>
      <c r="F184" s="2"/>
      <c r="G184" s="2"/>
      <c r="H184" s="2"/>
      <c r="I184" s="5"/>
    </row>
    <row r="185" spans="1:9" ht="17.399999999999999" x14ac:dyDescent="0.25">
      <c r="A185" s="16"/>
      <c r="B185" s="17"/>
      <c r="C185" s="2"/>
      <c r="D185" s="2"/>
      <c r="E185" s="2"/>
      <c r="F185" s="2"/>
      <c r="G185" s="2"/>
      <c r="H185" s="2"/>
      <c r="I185" s="5"/>
    </row>
    <row r="186" spans="1:9" ht="17.399999999999999" x14ac:dyDescent="0.25">
      <c r="A186" s="16"/>
      <c r="B186" s="17"/>
      <c r="C186" s="2"/>
      <c r="D186" s="2"/>
      <c r="E186" s="2"/>
      <c r="F186" s="2"/>
      <c r="G186" s="2"/>
      <c r="H186" s="2"/>
      <c r="I186" s="5"/>
    </row>
    <row r="187" spans="1:9" ht="17.399999999999999" x14ac:dyDescent="0.25">
      <c r="A187" s="16"/>
      <c r="B187" s="17"/>
      <c r="C187" s="2"/>
      <c r="D187" s="2"/>
      <c r="E187" s="2"/>
      <c r="F187" s="2"/>
      <c r="G187" s="2"/>
      <c r="H187" s="2"/>
      <c r="I187" s="5"/>
    </row>
    <row r="188" spans="1:9" ht="17.399999999999999" x14ac:dyDescent="0.25">
      <c r="A188" s="16"/>
      <c r="B188" s="17"/>
      <c r="C188" s="2"/>
      <c r="D188" s="2"/>
      <c r="E188" s="2"/>
      <c r="F188" s="2"/>
      <c r="G188" s="2"/>
      <c r="H188" s="2"/>
      <c r="I188" s="5"/>
    </row>
    <row r="189" spans="1:9" ht="17.399999999999999" x14ac:dyDescent="0.25">
      <c r="A189" s="16"/>
      <c r="B189" s="17"/>
      <c r="C189" s="2"/>
      <c r="D189" s="2"/>
      <c r="E189" s="2"/>
      <c r="F189" s="2"/>
      <c r="G189" s="2"/>
      <c r="H189" s="2"/>
      <c r="I189" s="5"/>
    </row>
    <row r="190" spans="1:9" ht="17.399999999999999" x14ac:dyDescent="0.25">
      <c r="A190" s="16"/>
      <c r="B190" s="17"/>
      <c r="C190" s="2"/>
      <c r="D190" s="2"/>
      <c r="E190" s="2"/>
      <c r="F190" s="2"/>
      <c r="G190" s="2"/>
      <c r="H190" s="2"/>
      <c r="I190" s="5"/>
    </row>
    <row r="191" spans="1:9" ht="17.399999999999999" x14ac:dyDescent="0.25">
      <c r="A191" s="16"/>
      <c r="B191" s="17"/>
      <c r="C191" s="2"/>
      <c r="D191" s="2"/>
      <c r="E191" s="2"/>
      <c r="F191" s="2"/>
      <c r="G191" s="2"/>
      <c r="H191" s="2"/>
      <c r="I191" s="5"/>
    </row>
    <row r="192" spans="1:9" ht="17.399999999999999" x14ac:dyDescent="0.25">
      <c r="A192" s="16"/>
      <c r="B192" s="17"/>
      <c r="C192" s="2"/>
      <c r="D192" s="2"/>
      <c r="E192" s="2"/>
      <c r="F192" s="2"/>
      <c r="G192" s="2"/>
      <c r="H192" s="2"/>
      <c r="I192" s="5"/>
    </row>
    <row r="193" spans="1:9" ht="17.399999999999999" x14ac:dyDescent="0.25">
      <c r="A193" s="16"/>
      <c r="B193" s="17"/>
      <c r="C193" s="2"/>
      <c r="D193" s="2"/>
      <c r="E193" s="2"/>
      <c r="F193" s="2"/>
      <c r="G193" s="2"/>
      <c r="H193" s="2"/>
      <c r="I193" s="5"/>
    </row>
    <row r="194" spans="1:9" ht="17.399999999999999" x14ac:dyDescent="0.25">
      <c r="A194" s="16"/>
      <c r="B194" s="17"/>
      <c r="C194" s="2"/>
      <c r="D194" s="2"/>
      <c r="E194" s="2"/>
      <c r="F194" s="2"/>
      <c r="G194" s="2"/>
      <c r="H194" s="2"/>
      <c r="I194" s="5"/>
    </row>
    <row r="195" spans="1:9" ht="17.399999999999999" x14ac:dyDescent="0.25">
      <c r="A195" s="16"/>
      <c r="B195" s="17"/>
      <c r="C195" s="2"/>
      <c r="D195" s="2"/>
      <c r="E195" s="2"/>
      <c r="F195" s="2"/>
      <c r="G195" s="2"/>
      <c r="H195" s="2"/>
      <c r="I195" s="5"/>
    </row>
    <row r="196" spans="1:9" ht="17.399999999999999" x14ac:dyDescent="0.25">
      <c r="A196" s="16"/>
      <c r="B196" s="17"/>
      <c r="C196" s="2"/>
      <c r="D196" s="2"/>
      <c r="E196" s="2"/>
      <c r="F196" s="2"/>
      <c r="G196" s="2"/>
      <c r="H196" s="2"/>
      <c r="I196" s="5"/>
    </row>
    <row r="197" spans="1:9" ht="17.399999999999999" x14ac:dyDescent="0.25">
      <c r="A197" s="16"/>
      <c r="B197" s="17"/>
      <c r="C197" s="2"/>
      <c r="D197" s="2"/>
      <c r="E197" s="2"/>
      <c r="F197" s="2"/>
      <c r="G197" s="2"/>
      <c r="H197" s="2"/>
      <c r="I197" s="5"/>
    </row>
    <row r="198" spans="1:9" ht="17.399999999999999" x14ac:dyDescent="0.25">
      <c r="A198" s="16"/>
      <c r="B198" s="17"/>
      <c r="C198" s="2"/>
      <c r="D198" s="2"/>
      <c r="E198" s="2"/>
      <c r="F198" s="2"/>
      <c r="G198" s="2"/>
      <c r="H198" s="2"/>
      <c r="I198" s="5"/>
    </row>
    <row r="199" spans="1:9" ht="17.399999999999999" x14ac:dyDescent="0.25">
      <c r="A199" s="16"/>
      <c r="B199" s="17"/>
      <c r="C199" s="2"/>
      <c r="D199" s="2"/>
      <c r="E199" s="2"/>
      <c r="F199" s="2"/>
      <c r="G199" s="2"/>
      <c r="H199" s="2"/>
      <c r="I199" s="5"/>
    </row>
    <row r="200" spans="1:9" ht="17.399999999999999" x14ac:dyDescent="0.25">
      <c r="A200" s="16"/>
      <c r="B200" s="17"/>
      <c r="C200" s="2"/>
      <c r="D200" s="2"/>
      <c r="E200" s="2"/>
      <c r="F200" s="2"/>
      <c r="G200" s="2"/>
      <c r="H200" s="2"/>
      <c r="I200" s="5"/>
    </row>
    <row r="201" spans="1:9" ht="17.399999999999999" x14ac:dyDescent="0.25">
      <c r="A201" s="16"/>
      <c r="B201" s="17"/>
      <c r="C201" s="2"/>
      <c r="D201" s="2"/>
      <c r="E201" s="2"/>
      <c r="F201" s="2"/>
      <c r="G201" s="2"/>
      <c r="H201" s="2"/>
      <c r="I201" s="5"/>
    </row>
    <row r="202" spans="1:9" ht="17.399999999999999" x14ac:dyDescent="0.25">
      <c r="A202" s="16"/>
      <c r="B202" s="17"/>
      <c r="C202" s="2"/>
      <c r="D202" s="2"/>
      <c r="E202" s="2"/>
      <c r="F202" s="2"/>
      <c r="G202" s="2"/>
      <c r="H202" s="2"/>
      <c r="I202" s="5"/>
    </row>
    <row r="203" spans="1:9" ht="17.399999999999999" x14ac:dyDescent="0.25">
      <c r="A203" s="16"/>
      <c r="B203" s="17"/>
      <c r="C203" s="2"/>
      <c r="D203" s="2"/>
      <c r="E203" s="2"/>
      <c r="F203" s="2"/>
      <c r="G203" s="2"/>
      <c r="H203" s="2"/>
      <c r="I203" s="5"/>
    </row>
    <row r="204" spans="1:9" ht="17.399999999999999" x14ac:dyDescent="0.25">
      <c r="A204" s="16"/>
      <c r="B204" s="17"/>
      <c r="C204" s="2"/>
      <c r="D204" s="2"/>
      <c r="E204" s="2"/>
      <c r="F204" s="2"/>
      <c r="G204" s="2"/>
      <c r="H204" s="2"/>
      <c r="I204" s="5"/>
    </row>
    <row r="205" spans="1:9" ht="17.399999999999999" x14ac:dyDescent="0.25">
      <c r="A205" s="16"/>
      <c r="B205" s="17"/>
      <c r="C205" s="2"/>
      <c r="D205" s="2"/>
      <c r="E205" s="2"/>
      <c r="F205" s="2"/>
      <c r="G205" s="2"/>
      <c r="H205" s="2"/>
      <c r="I205" s="5"/>
    </row>
    <row r="206" spans="1:9" ht="17.399999999999999" x14ac:dyDescent="0.25">
      <c r="A206" s="16"/>
      <c r="B206" s="17"/>
      <c r="C206" s="2"/>
      <c r="D206" s="2"/>
      <c r="E206" s="2"/>
      <c r="F206" s="2"/>
      <c r="G206" s="2"/>
      <c r="H206" s="2"/>
      <c r="I206" s="5"/>
    </row>
    <row r="207" spans="1:9" ht="17.399999999999999" x14ac:dyDescent="0.25">
      <c r="A207" s="16"/>
      <c r="B207" s="17"/>
      <c r="C207" s="2"/>
      <c r="D207" s="2"/>
      <c r="E207" s="2"/>
      <c r="F207" s="2"/>
      <c r="G207" s="2"/>
      <c r="H207" s="2"/>
      <c r="I207" s="5"/>
    </row>
    <row r="208" spans="1:9" ht="17.399999999999999" x14ac:dyDescent="0.25">
      <c r="A208" s="16"/>
      <c r="B208" s="17"/>
      <c r="C208" s="2"/>
      <c r="D208" s="2"/>
      <c r="E208" s="2"/>
      <c r="F208" s="2"/>
      <c r="G208" s="2"/>
      <c r="H208" s="2"/>
      <c r="I208" s="5"/>
    </row>
    <row r="209" spans="1:9" ht="17.399999999999999" x14ac:dyDescent="0.25">
      <c r="A209" s="16"/>
      <c r="B209" s="17"/>
      <c r="C209" s="2"/>
      <c r="D209" s="2"/>
      <c r="E209" s="2"/>
      <c r="F209" s="2"/>
      <c r="G209" s="2"/>
      <c r="H209" s="2"/>
      <c r="I209" s="5"/>
    </row>
    <row r="210" spans="1:9" ht="17.399999999999999" x14ac:dyDescent="0.25">
      <c r="A210" s="16"/>
      <c r="B210" s="17"/>
      <c r="C210" s="2"/>
      <c r="D210" s="2"/>
      <c r="E210" s="2"/>
      <c r="F210" s="2"/>
      <c r="G210" s="2"/>
      <c r="H210" s="2"/>
      <c r="I210" s="5"/>
    </row>
    <row r="211" spans="1:9" ht="17.399999999999999" x14ac:dyDescent="0.25">
      <c r="A211" s="16"/>
      <c r="B211" s="17"/>
      <c r="C211" s="2"/>
      <c r="D211" s="2"/>
      <c r="E211" s="2"/>
      <c r="F211" s="2"/>
      <c r="G211" s="2"/>
      <c r="H211" s="2"/>
      <c r="I211" s="5"/>
    </row>
    <row r="212" spans="1:9" ht="17.399999999999999" x14ac:dyDescent="0.25">
      <c r="A212" s="16"/>
      <c r="B212" s="17"/>
      <c r="C212" s="2"/>
      <c r="D212" s="2"/>
      <c r="E212" s="2"/>
      <c r="F212" s="2"/>
      <c r="G212" s="2"/>
      <c r="H212" s="2"/>
      <c r="I212" s="5"/>
    </row>
    <row r="213" spans="1:9" ht="17.399999999999999" x14ac:dyDescent="0.25">
      <c r="A213" s="16"/>
      <c r="B213" s="17"/>
      <c r="C213" s="2"/>
      <c r="D213" s="2"/>
      <c r="E213" s="2"/>
      <c r="F213" s="2"/>
      <c r="G213" s="2"/>
      <c r="H213" s="2"/>
      <c r="I213" s="5"/>
    </row>
    <row r="214" spans="1:9" ht="17.399999999999999" x14ac:dyDescent="0.25">
      <c r="A214" s="16"/>
      <c r="B214" s="17"/>
      <c r="C214" s="2"/>
      <c r="D214" s="2"/>
      <c r="E214" s="2"/>
      <c r="F214" s="2"/>
      <c r="G214" s="2"/>
      <c r="H214" s="2"/>
      <c r="I214" s="5"/>
    </row>
    <row r="215" spans="1:9" ht="17.399999999999999" x14ac:dyDescent="0.25">
      <c r="A215" s="16"/>
      <c r="B215" s="17"/>
      <c r="C215" s="2"/>
      <c r="D215" s="2"/>
      <c r="E215" s="2"/>
      <c r="F215" s="2"/>
      <c r="G215" s="2"/>
      <c r="H215" s="2"/>
      <c r="I215" s="5"/>
    </row>
    <row r="216" spans="1:9" ht="17.399999999999999" x14ac:dyDescent="0.25">
      <c r="A216" s="16"/>
      <c r="B216" s="17"/>
      <c r="C216" s="2"/>
      <c r="D216" s="2"/>
      <c r="E216" s="2"/>
      <c r="F216" s="2"/>
      <c r="G216" s="2"/>
      <c r="H216" s="2"/>
      <c r="I216" s="5"/>
    </row>
    <row r="217" spans="1:9" ht="17.399999999999999" x14ac:dyDescent="0.25">
      <c r="A217" s="16"/>
      <c r="B217" s="17"/>
      <c r="C217" s="2"/>
      <c r="D217" s="2"/>
      <c r="E217" s="2"/>
      <c r="F217" s="2"/>
      <c r="G217" s="2"/>
      <c r="H217" s="2"/>
      <c r="I217" s="5"/>
    </row>
    <row r="218" spans="1:9" ht="17.399999999999999" x14ac:dyDescent="0.25">
      <c r="A218" s="16"/>
      <c r="B218" s="17"/>
      <c r="C218" s="2"/>
      <c r="D218" s="2"/>
      <c r="E218" s="2"/>
      <c r="F218" s="2"/>
      <c r="G218" s="2"/>
      <c r="H218" s="2"/>
      <c r="I218" s="5"/>
    </row>
    <row r="219" spans="1:9" ht="17.399999999999999" x14ac:dyDescent="0.25">
      <c r="A219" s="16"/>
      <c r="B219" s="17"/>
      <c r="C219" s="2"/>
      <c r="D219" s="2"/>
      <c r="E219" s="2"/>
      <c r="F219" s="2"/>
      <c r="G219" s="2"/>
      <c r="H219" s="2"/>
      <c r="I219" s="5"/>
    </row>
    <row r="220" spans="1:9" ht="17.399999999999999" x14ac:dyDescent="0.25">
      <c r="A220" s="16"/>
      <c r="B220" s="17"/>
      <c r="C220" s="2"/>
      <c r="D220" s="2"/>
      <c r="E220" s="2"/>
      <c r="F220" s="2"/>
      <c r="G220" s="2"/>
      <c r="H220" s="2"/>
      <c r="I220" s="5"/>
    </row>
    <row r="221" spans="1:9" ht="17.399999999999999" x14ac:dyDescent="0.25">
      <c r="A221" s="16"/>
      <c r="B221" s="17"/>
      <c r="C221" s="2"/>
      <c r="D221" s="2"/>
      <c r="E221" s="2"/>
      <c r="F221" s="2"/>
      <c r="G221" s="2"/>
      <c r="H221" s="2"/>
      <c r="I221" s="5"/>
    </row>
    <row r="222" spans="1:9" ht="17.399999999999999" x14ac:dyDescent="0.25">
      <c r="A222" s="16"/>
      <c r="B222" s="17"/>
      <c r="C222" s="2"/>
      <c r="D222" s="2"/>
      <c r="E222" s="2"/>
      <c r="F222" s="2"/>
      <c r="G222" s="2"/>
      <c r="H222" s="2"/>
      <c r="I222" s="5"/>
    </row>
    <row r="223" spans="1:9" ht="17.399999999999999" x14ac:dyDescent="0.25">
      <c r="A223" s="16"/>
      <c r="B223" s="17"/>
      <c r="C223" s="2"/>
      <c r="D223" s="2"/>
      <c r="E223" s="2"/>
      <c r="F223" s="2"/>
      <c r="G223" s="2"/>
      <c r="H223" s="2"/>
      <c r="I223" s="5"/>
    </row>
    <row r="224" spans="1:9" ht="17.399999999999999" x14ac:dyDescent="0.25">
      <c r="A224" s="16"/>
      <c r="B224" s="17"/>
      <c r="C224" s="2"/>
      <c r="D224" s="2"/>
      <c r="E224" s="2"/>
      <c r="F224" s="2"/>
      <c r="G224" s="2"/>
      <c r="H224" s="2"/>
      <c r="I224" s="5"/>
    </row>
    <row r="225" spans="1:9" ht="17.399999999999999" x14ac:dyDescent="0.25">
      <c r="A225" s="16"/>
      <c r="B225" s="17"/>
      <c r="C225" s="2"/>
      <c r="D225" s="2"/>
      <c r="E225" s="2"/>
      <c r="F225" s="2"/>
      <c r="G225" s="2"/>
      <c r="H225" s="2"/>
      <c r="I225" s="5"/>
    </row>
    <row r="226" spans="1:9" ht="17.399999999999999" x14ac:dyDescent="0.25">
      <c r="A226" s="16"/>
      <c r="B226" s="17"/>
      <c r="C226" s="2"/>
      <c r="D226" s="2"/>
      <c r="E226" s="2"/>
      <c r="F226" s="2"/>
      <c r="G226" s="2"/>
      <c r="H226" s="2"/>
      <c r="I226" s="5"/>
    </row>
    <row r="227" spans="1:9" ht="17.399999999999999" x14ac:dyDescent="0.25">
      <c r="A227" s="16"/>
      <c r="B227" s="17"/>
      <c r="C227" s="2"/>
      <c r="D227" s="2"/>
      <c r="E227" s="2"/>
      <c r="F227" s="2"/>
      <c r="G227" s="2"/>
      <c r="H227" s="2"/>
      <c r="I227" s="5"/>
    </row>
    <row r="228" spans="1:9" ht="17.399999999999999" x14ac:dyDescent="0.25">
      <c r="A228" s="16"/>
      <c r="B228" s="17"/>
      <c r="C228" s="2"/>
      <c r="D228" s="2"/>
      <c r="E228" s="2"/>
      <c r="F228" s="2"/>
      <c r="G228" s="2"/>
      <c r="H228" s="2"/>
      <c r="I228" s="5"/>
    </row>
    <row r="229" spans="1:9" ht="17.399999999999999" x14ac:dyDescent="0.25">
      <c r="A229" s="16"/>
      <c r="B229" s="17"/>
      <c r="C229" s="2"/>
      <c r="D229" s="2"/>
      <c r="E229" s="2"/>
      <c r="F229" s="2"/>
      <c r="G229" s="2"/>
      <c r="H229" s="2"/>
      <c r="I229" s="5"/>
    </row>
    <row r="230" spans="1:9" ht="17.399999999999999" x14ac:dyDescent="0.25">
      <c r="A230" s="16"/>
      <c r="B230" s="17"/>
      <c r="C230" s="2"/>
      <c r="D230" s="2"/>
      <c r="E230" s="2"/>
      <c r="F230" s="2"/>
      <c r="G230" s="2"/>
      <c r="H230" s="2"/>
      <c r="I230" s="5"/>
    </row>
    <row r="231" spans="1:9" ht="17.399999999999999" x14ac:dyDescent="0.25">
      <c r="A231" s="16"/>
      <c r="B231" s="17"/>
      <c r="C231" s="2"/>
      <c r="D231" s="2"/>
      <c r="E231" s="2"/>
      <c r="F231" s="2"/>
      <c r="G231" s="2"/>
      <c r="H231" s="2"/>
      <c r="I231" s="5"/>
    </row>
    <row r="232" spans="1:9" ht="17.399999999999999" x14ac:dyDescent="0.25">
      <c r="A232" s="16"/>
      <c r="B232" s="17"/>
      <c r="C232" s="2"/>
      <c r="D232" s="2"/>
      <c r="E232" s="2"/>
      <c r="F232" s="2"/>
      <c r="G232" s="2"/>
      <c r="H232" s="2"/>
      <c r="I232" s="5"/>
    </row>
    <row r="233" spans="1:9" ht="17.399999999999999" x14ac:dyDescent="0.25">
      <c r="A233" s="16"/>
      <c r="B233" s="17"/>
      <c r="C233" s="2"/>
      <c r="D233" s="2"/>
      <c r="E233" s="2"/>
      <c r="F233" s="2"/>
      <c r="G233" s="2"/>
      <c r="H233" s="2"/>
      <c r="I233" s="5"/>
    </row>
    <row r="234" spans="1:9" ht="17.399999999999999" x14ac:dyDescent="0.25">
      <c r="A234" s="16"/>
      <c r="B234" s="17"/>
      <c r="C234" s="2"/>
      <c r="D234" s="2"/>
      <c r="E234" s="2"/>
      <c r="F234" s="2"/>
      <c r="G234" s="2"/>
      <c r="H234" s="2"/>
      <c r="I234" s="5"/>
    </row>
    <row r="235" spans="1:9" ht="17.399999999999999" x14ac:dyDescent="0.25">
      <c r="A235" s="16"/>
      <c r="B235" s="17"/>
      <c r="C235" s="2"/>
      <c r="D235" s="2"/>
      <c r="E235" s="2"/>
      <c r="F235" s="2"/>
      <c r="G235" s="2"/>
      <c r="H235" s="2"/>
      <c r="I235" s="5"/>
    </row>
    <row r="236" spans="1:9" ht="17.399999999999999" x14ac:dyDescent="0.25">
      <c r="A236" s="16"/>
      <c r="B236" s="17"/>
      <c r="C236" s="2"/>
      <c r="D236" s="2"/>
      <c r="E236" s="2"/>
      <c r="F236" s="2"/>
      <c r="G236" s="2"/>
      <c r="H236" s="2"/>
      <c r="I236" s="5"/>
    </row>
    <row r="237" spans="1:9" ht="17.399999999999999" x14ac:dyDescent="0.25">
      <c r="A237" s="16"/>
      <c r="B237" s="17"/>
      <c r="C237" s="2"/>
      <c r="D237" s="2"/>
      <c r="E237" s="2"/>
      <c r="F237" s="2"/>
      <c r="G237" s="2"/>
      <c r="H237" s="2"/>
      <c r="I237" s="5"/>
    </row>
    <row r="238" spans="1:9" ht="17.399999999999999" x14ac:dyDescent="0.25">
      <c r="A238" s="16"/>
      <c r="B238" s="17"/>
      <c r="C238" s="2"/>
      <c r="D238" s="2"/>
      <c r="E238" s="2"/>
      <c r="F238" s="2"/>
      <c r="G238" s="2"/>
      <c r="H238" s="2"/>
      <c r="I238" s="5"/>
    </row>
    <row r="239" spans="1:9" ht="17.399999999999999" x14ac:dyDescent="0.25">
      <c r="A239" s="16"/>
      <c r="B239" s="17"/>
      <c r="C239" s="2"/>
      <c r="D239" s="2"/>
      <c r="E239" s="2"/>
      <c r="F239" s="2"/>
      <c r="G239" s="2"/>
      <c r="H239" s="2"/>
      <c r="I239" s="5"/>
    </row>
    <row r="240" spans="1:9" ht="17.399999999999999" x14ac:dyDescent="0.25">
      <c r="A240" s="16"/>
      <c r="B240" s="17"/>
      <c r="C240" s="2"/>
      <c r="D240" s="2"/>
      <c r="E240" s="2"/>
      <c r="F240" s="2"/>
      <c r="G240" s="2"/>
      <c r="H240" s="2"/>
      <c r="I240" s="5"/>
    </row>
    <row r="241" spans="1:9" ht="17.399999999999999" x14ac:dyDescent="0.25">
      <c r="A241" s="16"/>
      <c r="B241" s="17"/>
      <c r="C241" s="2"/>
      <c r="D241" s="2"/>
      <c r="E241" s="2"/>
      <c r="F241" s="2"/>
      <c r="G241" s="2"/>
      <c r="H241" s="2"/>
      <c r="I241" s="5"/>
    </row>
    <row r="242" spans="1:9" ht="17.399999999999999" x14ac:dyDescent="0.25">
      <c r="A242" s="16"/>
      <c r="B242" s="17"/>
      <c r="C242" s="2"/>
      <c r="D242" s="2"/>
      <c r="E242" s="2"/>
      <c r="F242" s="2"/>
      <c r="G242" s="2"/>
      <c r="H242" s="2"/>
      <c r="I242" s="5"/>
    </row>
    <row r="243" spans="1:9" ht="17.399999999999999" x14ac:dyDescent="0.25">
      <c r="A243" s="16"/>
      <c r="B243" s="17"/>
      <c r="C243" s="2"/>
      <c r="D243" s="2"/>
      <c r="E243" s="2"/>
      <c r="F243" s="2"/>
      <c r="G243" s="2"/>
      <c r="H243" s="2"/>
      <c r="I243" s="5"/>
    </row>
    <row r="244" spans="1:9" ht="17.399999999999999" x14ac:dyDescent="0.25">
      <c r="A244" s="16"/>
      <c r="B244" s="17"/>
      <c r="C244" s="2"/>
      <c r="D244" s="2"/>
      <c r="E244" s="2"/>
      <c r="F244" s="2"/>
      <c r="G244" s="2"/>
      <c r="H244" s="2"/>
      <c r="I244" s="5"/>
    </row>
    <row r="245" spans="1:9" ht="17.399999999999999" x14ac:dyDescent="0.25">
      <c r="A245" s="16"/>
      <c r="B245" s="17"/>
      <c r="C245" s="2"/>
      <c r="D245" s="2"/>
      <c r="E245" s="2"/>
      <c r="F245" s="2"/>
      <c r="G245" s="2"/>
      <c r="H245" s="2"/>
      <c r="I245" s="5"/>
    </row>
    <row r="246" spans="1:9" ht="17.399999999999999" x14ac:dyDescent="0.25">
      <c r="A246" s="16"/>
      <c r="B246" s="17"/>
      <c r="C246" s="2"/>
      <c r="D246" s="2"/>
      <c r="E246" s="2"/>
      <c r="F246" s="2"/>
      <c r="G246" s="2"/>
      <c r="H246" s="2"/>
      <c r="I246" s="5"/>
    </row>
    <row r="247" spans="1:9" ht="17.399999999999999" x14ac:dyDescent="0.25">
      <c r="A247" s="16"/>
      <c r="B247" s="17"/>
      <c r="C247" s="2"/>
      <c r="D247" s="2"/>
      <c r="E247" s="2"/>
      <c r="F247" s="2"/>
      <c r="G247" s="2"/>
      <c r="H247" s="2"/>
      <c r="I247" s="5"/>
    </row>
    <row r="248" spans="1:9" ht="17.399999999999999" x14ac:dyDescent="0.25">
      <c r="A248" s="16"/>
      <c r="B248" s="17"/>
      <c r="C248" s="2"/>
      <c r="D248" s="2"/>
      <c r="E248" s="2"/>
      <c r="F248" s="2"/>
      <c r="G248" s="2"/>
      <c r="H248" s="2"/>
      <c r="I248" s="5"/>
    </row>
    <row r="249" spans="1:9" ht="17.399999999999999" x14ac:dyDescent="0.25">
      <c r="A249" s="16"/>
      <c r="B249" s="17"/>
      <c r="C249" s="2"/>
      <c r="D249" s="2"/>
      <c r="E249" s="2"/>
      <c r="F249" s="2"/>
      <c r="G249" s="2"/>
      <c r="H249" s="2"/>
      <c r="I249" s="5"/>
    </row>
    <row r="250" spans="1:9" ht="17.399999999999999" x14ac:dyDescent="0.25">
      <c r="A250" s="16"/>
      <c r="B250" s="17"/>
      <c r="C250" s="2"/>
      <c r="D250" s="2"/>
      <c r="E250" s="2"/>
      <c r="F250" s="2"/>
      <c r="G250" s="2"/>
      <c r="H250" s="2"/>
      <c r="I250" s="5"/>
    </row>
    <row r="251" spans="1:9" ht="17.399999999999999" x14ac:dyDescent="0.25">
      <c r="A251" s="16"/>
      <c r="B251" s="17"/>
      <c r="C251" s="2"/>
      <c r="D251" s="2"/>
      <c r="E251" s="2"/>
      <c r="F251" s="2"/>
      <c r="G251" s="2"/>
      <c r="H251" s="2"/>
      <c r="I251" s="5"/>
    </row>
    <row r="252" spans="1:9" ht="17.399999999999999" x14ac:dyDescent="0.25">
      <c r="A252" s="16"/>
      <c r="B252" s="17"/>
      <c r="C252" s="2"/>
      <c r="D252" s="2"/>
      <c r="E252" s="2"/>
      <c r="F252" s="2"/>
      <c r="G252" s="2"/>
      <c r="H252" s="2"/>
      <c r="I252" s="5"/>
    </row>
    <row r="253" spans="1:9" ht="17.399999999999999" x14ac:dyDescent="0.25">
      <c r="A253" s="16"/>
      <c r="B253" s="17"/>
      <c r="C253" s="2"/>
      <c r="D253" s="2"/>
      <c r="E253" s="2"/>
      <c r="F253" s="2"/>
      <c r="G253" s="2"/>
      <c r="H253" s="2"/>
      <c r="I253" s="5"/>
    </row>
    <row r="254" spans="1:9" ht="17.399999999999999" x14ac:dyDescent="0.25">
      <c r="A254" s="16"/>
      <c r="B254" s="17"/>
      <c r="C254" s="2"/>
      <c r="D254" s="2"/>
      <c r="E254" s="2"/>
      <c r="F254" s="2"/>
      <c r="G254" s="2"/>
      <c r="H254" s="2"/>
      <c r="I254" s="5"/>
    </row>
    <row r="255" spans="1:9" ht="17.399999999999999" x14ac:dyDescent="0.25">
      <c r="A255" s="16"/>
      <c r="B255" s="17"/>
      <c r="C255" s="2"/>
      <c r="D255" s="2"/>
      <c r="E255" s="2"/>
      <c r="F255" s="2"/>
      <c r="G255" s="2"/>
      <c r="H255" s="2"/>
      <c r="I255" s="5"/>
    </row>
    <row r="256" spans="1:9" ht="17.399999999999999" x14ac:dyDescent="0.25">
      <c r="A256" s="16"/>
      <c r="B256" s="17"/>
      <c r="C256" s="2"/>
      <c r="D256" s="2"/>
      <c r="E256" s="2"/>
      <c r="F256" s="2"/>
      <c r="G256" s="2"/>
      <c r="H256" s="2"/>
      <c r="I256" s="5"/>
    </row>
    <row r="257" spans="1:9" ht="17.399999999999999" x14ac:dyDescent="0.25">
      <c r="A257" s="16"/>
      <c r="B257" s="17"/>
      <c r="C257" s="2"/>
      <c r="D257" s="2"/>
      <c r="E257" s="2"/>
      <c r="F257" s="2"/>
      <c r="G257" s="2"/>
      <c r="H257" s="2"/>
      <c r="I257" s="5"/>
    </row>
    <row r="258" spans="1:9" ht="17.399999999999999" x14ac:dyDescent="0.25">
      <c r="A258" s="16"/>
      <c r="B258" s="17"/>
      <c r="C258" s="2"/>
      <c r="D258" s="2"/>
      <c r="E258" s="2"/>
      <c r="F258" s="2"/>
      <c r="G258" s="2"/>
      <c r="H258" s="2"/>
      <c r="I258" s="5"/>
    </row>
    <row r="259" spans="1:9" ht="17.399999999999999" x14ac:dyDescent="0.25">
      <c r="A259" s="16"/>
      <c r="B259" s="17"/>
      <c r="C259" s="2"/>
      <c r="D259" s="2"/>
      <c r="E259" s="2"/>
      <c r="F259" s="2"/>
      <c r="G259" s="2"/>
      <c r="H259" s="2"/>
      <c r="I259" s="5"/>
    </row>
    <row r="260" spans="1:9" ht="17.399999999999999" x14ac:dyDescent="0.25">
      <c r="A260" s="16"/>
      <c r="B260" s="17"/>
      <c r="C260" s="2"/>
      <c r="D260" s="2"/>
      <c r="E260" s="2"/>
      <c r="F260" s="2"/>
      <c r="G260" s="2"/>
      <c r="H260" s="2"/>
      <c r="I260" s="5"/>
    </row>
    <row r="261" spans="1:9" ht="17.399999999999999" x14ac:dyDescent="0.25">
      <c r="A261" s="16"/>
      <c r="B261" s="17"/>
      <c r="C261" s="2"/>
      <c r="D261" s="2"/>
      <c r="E261" s="2"/>
      <c r="F261" s="2"/>
      <c r="G261" s="2"/>
      <c r="H261" s="2"/>
      <c r="I261" s="5"/>
    </row>
    <row r="262" spans="1:9" ht="17.399999999999999" x14ac:dyDescent="0.25">
      <c r="A262" s="16"/>
      <c r="B262" s="17"/>
      <c r="C262" s="2"/>
      <c r="D262" s="2"/>
      <c r="E262" s="2"/>
      <c r="F262" s="2"/>
      <c r="G262" s="2"/>
      <c r="H262" s="2"/>
      <c r="I262" s="5"/>
    </row>
    <row r="263" spans="1:9" ht="17.399999999999999" x14ac:dyDescent="0.25">
      <c r="A263" s="16"/>
      <c r="B263" s="17"/>
      <c r="C263" s="2"/>
      <c r="D263" s="2"/>
      <c r="E263" s="2"/>
      <c r="F263" s="2"/>
      <c r="G263" s="2"/>
      <c r="H263" s="2"/>
      <c r="I263" s="5"/>
    </row>
    <row r="264" spans="1:9" ht="17.399999999999999" x14ac:dyDescent="0.25">
      <c r="A264" s="16"/>
      <c r="B264" s="17"/>
      <c r="C264" s="2"/>
      <c r="D264" s="2"/>
      <c r="E264" s="2"/>
      <c r="F264" s="2"/>
      <c r="G264" s="2"/>
      <c r="H264" s="2"/>
      <c r="I264" s="5"/>
    </row>
    <row r="265" spans="1:9" ht="17.399999999999999" x14ac:dyDescent="0.25">
      <c r="A265" s="16"/>
      <c r="B265" s="17"/>
      <c r="C265" s="2"/>
      <c r="D265" s="2"/>
      <c r="E265" s="2"/>
      <c r="F265" s="2"/>
      <c r="G265" s="2"/>
      <c r="H265" s="2"/>
      <c r="I265" s="5"/>
    </row>
    <row r="266" spans="1:9" ht="17.399999999999999" x14ac:dyDescent="0.25">
      <c r="A266" s="16"/>
      <c r="B266" s="17"/>
      <c r="C266" s="2"/>
      <c r="D266" s="2"/>
      <c r="E266" s="2"/>
      <c r="F266" s="2"/>
      <c r="G266" s="2"/>
      <c r="H266" s="2"/>
      <c r="I266" s="5"/>
    </row>
    <row r="267" spans="1:9" ht="17.399999999999999" x14ac:dyDescent="0.25">
      <c r="A267" s="16"/>
      <c r="B267" s="17"/>
      <c r="C267" s="2"/>
      <c r="D267" s="2"/>
      <c r="E267" s="2"/>
      <c r="F267" s="2"/>
      <c r="G267" s="2"/>
      <c r="H267" s="2"/>
      <c r="I267" s="5"/>
    </row>
    <row r="268" spans="1:9" ht="17.399999999999999" x14ac:dyDescent="0.25">
      <c r="A268" s="16"/>
      <c r="B268" s="17"/>
      <c r="C268" s="2"/>
      <c r="D268" s="2"/>
      <c r="E268" s="2"/>
      <c r="F268" s="2"/>
      <c r="G268" s="2"/>
      <c r="H268" s="2"/>
      <c r="I268" s="5"/>
    </row>
    <row r="269" spans="1:9" ht="17.399999999999999" x14ac:dyDescent="0.25">
      <c r="A269" s="16"/>
      <c r="B269" s="17"/>
      <c r="C269" s="2"/>
      <c r="D269" s="2"/>
      <c r="E269" s="2"/>
      <c r="F269" s="2"/>
      <c r="G269" s="2"/>
      <c r="H269" s="2"/>
      <c r="I269" s="5"/>
    </row>
    <row r="270" spans="1:9" ht="17.399999999999999" x14ac:dyDescent="0.25">
      <c r="A270" s="16"/>
      <c r="B270" s="17"/>
      <c r="C270" s="2"/>
      <c r="D270" s="2"/>
      <c r="E270" s="2"/>
      <c r="F270" s="2"/>
      <c r="G270" s="2"/>
      <c r="H270" s="2"/>
      <c r="I270" s="5"/>
    </row>
    <row r="271" spans="1:9" ht="17.399999999999999" x14ac:dyDescent="0.25">
      <c r="A271" s="16"/>
      <c r="B271" s="17"/>
      <c r="C271" s="2"/>
      <c r="D271" s="2"/>
      <c r="E271" s="2"/>
      <c r="F271" s="2"/>
      <c r="G271" s="2"/>
      <c r="H271" s="2"/>
      <c r="I271" s="5"/>
    </row>
    <row r="272" spans="1:9" ht="17.399999999999999" x14ac:dyDescent="0.25">
      <c r="A272" s="16"/>
      <c r="B272" s="17"/>
      <c r="C272" s="2"/>
      <c r="D272" s="2"/>
      <c r="E272" s="2"/>
      <c r="F272" s="2"/>
      <c r="G272" s="2"/>
      <c r="H272" s="2"/>
      <c r="I272" s="5"/>
    </row>
    <row r="273" spans="1:9" ht="17.399999999999999" x14ac:dyDescent="0.25">
      <c r="A273" s="16"/>
      <c r="B273" s="17"/>
      <c r="C273" s="2"/>
      <c r="D273" s="2"/>
      <c r="E273" s="2"/>
      <c r="F273" s="2"/>
      <c r="G273" s="2"/>
      <c r="H273" s="2"/>
      <c r="I273" s="5"/>
    </row>
    <row r="274" spans="1:9" ht="17.399999999999999" x14ac:dyDescent="0.25">
      <c r="A274" s="16"/>
      <c r="B274" s="17"/>
      <c r="C274" s="2"/>
      <c r="D274" s="2"/>
      <c r="E274" s="2"/>
      <c r="F274" s="2"/>
      <c r="G274" s="2"/>
      <c r="H274" s="2"/>
      <c r="I274" s="5"/>
    </row>
    <row r="275" spans="1:9" ht="17.399999999999999" x14ac:dyDescent="0.25">
      <c r="A275" s="16"/>
      <c r="B275" s="17"/>
      <c r="C275" s="2"/>
      <c r="D275" s="2"/>
      <c r="E275" s="2"/>
      <c r="F275" s="2"/>
      <c r="G275" s="2"/>
      <c r="H275" s="2"/>
      <c r="I275" s="5"/>
    </row>
    <row r="276" spans="1:9" ht="17.399999999999999" x14ac:dyDescent="0.25">
      <c r="A276" s="16"/>
      <c r="B276" s="17"/>
      <c r="C276" s="2"/>
      <c r="D276" s="2"/>
      <c r="E276" s="2"/>
      <c r="F276" s="2"/>
      <c r="G276" s="2"/>
      <c r="H276" s="2"/>
      <c r="I276" s="5"/>
    </row>
    <row r="277" spans="1:9" ht="17.399999999999999" x14ac:dyDescent="0.25">
      <c r="A277" s="16"/>
      <c r="B277" s="17"/>
      <c r="C277" s="2"/>
      <c r="D277" s="2"/>
      <c r="E277" s="2"/>
      <c r="F277" s="2"/>
      <c r="G277" s="2"/>
      <c r="H277" s="2"/>
      <c r="I277" s="5"/>
    </row>
    <row r="278" spans="1:9" ht="17.399999999999999" x14ac:dyDescent="0.25">
      <c r="A278" s="16"/>
      <c r="B278" s="17"/>
      <c r="C278" s="2"/>
      <c r="D278" s="2"/>
      <c r="E278" s="2"/>
      <c r="F278" s="2"/>
      <c r="G278" s="2"/>
      <c r="H278" s="2"/>
      <c r="I278" s="5"/>
    </row>
    <row r="279" spans="1:9" ht="17.399999999999999" x14ac:dyDescent="0.25">
      <c r="A279" s="16"/>
      <c r="B279" s="17"/>
      <c r="C279" s="2"/>
      <c r="D279" s="2"/>
      <c r="E279" s="2"/>
      <c r="F279" s="2"/>
      <c r="G279" s="2"/>
      <c r="H279" s="2"/>
      <c r="I279" s="5"/>
    </row>
    <row r="280" spans="1:9" ht="17.399999999999999" x14ac:dyDescent="0.25">
      <c r="A280" s="16"/>
      <c r="B280" s="17"/>
      <c r="C280" s="2"/>
      <c r="D280" s="2"/>
      <c r="E280" s="2"/>
      <c r="F280" s="2"/>
      <c r="G280" s="2"/>
      <c r="H280" s="2"/>
      <c r="I280" s="5"/>
    </row>
    <row r="281" spans="1:9" ht="17.399999999999999" x14ac:dyDescent="0.25">
      <c r="A281" s="16"/>
      <c r="B281" s="17"/>
      <c r="C281" s="2"/>
      <c r="D281" s="2"/>
      <c r="E281" s="2"/>
      <c r="F281" s="2"/>
      <c r="G281" s="2"/>
      <c r="H281" s="2"/>
      <c r="I281" s="5"/>
    </row>
    <row r="282" spans="1:9" ht="17.399999999999999" x14ac:dyDescent="0.25">
      <c r="A282" s="16"/>
      <c r="B282" s="17"/>
      <c r="C282" s="2"/>
      <c r="D282" s="2"/>
      <c r="E282" s="2"/>
      <c r="F282" s="2"/>
      <c r="G282" s="2"/>
      <c r="H282" s="2"/>
      <c r="I282" s="5"/>
    </row>
    <row r="283" spans="1:9" ht="17.399999999999999" x14ac:dyDescent="0.25">
      <c r="A283" s="16"/>
      <c r="B283" s="17"/>
      <c r="C283" s="2"/>
      <c r="D283" s="2"/>
      <c r="E283" s="2"/>
      <c r="F283" s="2"/>
      <c r="G283" s="2"/>
      <c r="H283" s="2"/>
      <c r="I283" s="5"/>
    </row>
    <row r="284" spans="1:9" ht="17.399999999999999" x14ac:dyDescent="0.25">
      <c r="A284" s="16"/>
      <c r="B284" s="17"/>
      <c r="C284" s="2"/>
      <c r="D284" s="2"/>
      <c r="E284" s="2"/>
      <c r="F284" s="2"/>
      <c r="G284" s="2"/>
      <c r="H284" s="2"/>
      <c r="I284" s="5"/>
    </row>
    <row r="285" spans="1:9" ht="17.399999999999999" x14ac:dyDescent="0.25">
      <c r="A285" s="16"/>
      <c r="B285" s="17"/>
      <c r="C285" s="2"/>
      <c r="D285" s="2"/>
      <c r="E285" s="2"/>
      <c r="F285" s="2"/>
      <c r="G285" s="2"/>
      <c r="H285" s="2"/>
      <c r="I285" s="5"/>
    </row>
    <row r="286" spans="1:9" ht="17.399999999999999" x14ac:dyDescent="0.25">
      <c r="A286" s="16"/>
      <c r="B286" s="17"/>
      <c r="C286" s="2"/>
      <c r="D286" s="2"/>
      <c r="E286" s="2"/>
      <c r="F286" s="2"/>
      <c r="G286" s="2"/>
      <c r="H286" s="2"/>
      <c r="I286" s="5"/>
    </row>
    <row r="287" spans="1:9" ht="17.399999999999999" x14ac:dyDescent="0.25">
      <c r="A287" s="16"/>
      <c r="B287" s="17"/>
      <c r="C287" s="2"/>
      <c r="D287" s="2"/>
      <c r="E287" s="2"/>
      <c r="F287" s="2"/>
      <c r="G287" s="2"/>
      <c r="H287" s="2"/>
      <c r="I287" s="5"/>
    </row>
    <row r="288" spans="1:9" ht="17.399999999999999" x14ac:dyDescent="0.25">
      <c r="A288" s="16"/>
      <c r="B288" s="17"/>
      <c r="C288" s="2"/>
      <c r="D288" s="2"/>
      <c r="E288" s="2"/>
      <c r="F288" s="2"/>
      <c r="G288" s="2"/>
      <c r="H288" s="2"/>
      <c r="I288" s="5"/>
    </row>
    <row r="289" spans="1:9" ht="17.399999999999999" x14ac:dyDescent="0.25">
      <c r="A289" s="16"/>
      <c r="B289" s="17"/>
      <c r="C289" s="2"/>
      <c r="D289" s="2"/>
      <c r="E289" s="2"/>
      <c r="F289" s="2"/>
      <c r="G289" s="2"/>
      <c r="H289" s="2"/>
      <c r="I289" s="5"/>
    </row>
    <row r="290" spans="1:9" ht="17.399999999999999" x14ac:dyDescent="0.25">
      <c r="A290" s="16"/>
      <c r="B290" s="17"/>
      <c r="C290" s="2"/>
      <c r="D290" s="2"/>
      <c r="E290" s="2"/>
      <c r="F290" s="2"/>
      <c r="G290" s="2"/>
      <c r="H290" s="2"/>
      <c r="I290" s="5"/>
    </row>
    <row r="291" spans="1:9" ht="17.399999999999999" x14ac:dyDescent="0.25">
      <c r="A291" s="16"/>
      <c r="B291" s="17"/>
      <c r="C291" s="2"/>
      <c r="D291" s="2"/>
      <c r="E291" s="2"/>
      <c r="F291" s="2"/>
      <c r="G291" s="2"/>
      <c r="H291" s="2"/>
      <c r="I291" s="5"/>
    </row>
    <row r="292" spans="1:9" ht="17.399999999999999" x14ac:dyDescent="0.25">
      <c r="A292" s="16"/>
      <c r="B292" s="17"/>
      <c r="C292" s="2"/>
      <c r="D292" s="2"/>
      <c r="E292" s="2"/>
      <c r="F292" s="2"/>
      <c r="G292" s="2"/>
      <c r="H292" s="2"/>
      <c r="I292" s="5"/>
    </row>
    <row r="293" spans="1:9" ht="17.399999999999999" x14ac:dyDescent="0.25">
      <c r="A293" s="16"/>
      <c r="B293" s="17"/>
      <c r="C293" s="2"/>
      <c r="D293" s="2"/>
      <c r="E293" s="2"/>
      <c r="F293" s="2"/>
      <c r="G293" s="2"/>
      <c r="H293" s="2"/>
      <c r="I293" s="5"/>
    </row>
    <row r="294" spans="1:9" ht="17.399999999999999" x14ac:dyDescent="0.25">
      <c r="A294" s="16"/>
      <c r="B294" s="17"/>
      <c r="C294" s="2"/>
      <c r="D294" s="2"/>
      <c r="E294" s="2"/>
      <c r="F294" s="2"/>
      <c r="G294" s="2"/>
      <c r="H294" s="2"/>
      <c r="I294" s="5"/>
    </row>
    <row r="295" spans="1:9" ht="17.399999999999999" x14ac:dyDescent="0.25">
      <c r="A295" s="16"/>
      <c r="B295" s="17"/>
      <c r="C295" s="2"/>
      <c r="D295" s="2"/>
      <c r="E295" s="2"/>
      <c r="F295" s="2"/>
      <c r="G295" s="2"/>
      <c r="H295" s="2"/>
      <c r="I295" s="5"/>
    </row>
    <row r="296" spans="1:9" ht="17.399999999999999" x14ac:dyDescent="0.25">
      <c r="A296" s="16"/>
      <c r="B296" s="17"/>
      <c r="C296" s="2"/>
      <c r="D296" s="2"/>
      <c r="E296" s="2"/>
      <c r="F296" s="2"/>
      <c r="G296" s="2"/>
      <c r="H296" s="2"/>
      <c r="I296" s="5"/>
    </row>
    <row r="297" spans="1:9" ht="17.399999999999999" x14ac:dyDescent="0.25">
      <c r="A297" s="16"/>
      <c r="B297" s="17"/>
      <c r="C297" s="2"/>
      <c r="D297" s="2"/>
      <c r="E297" s="2"/>
      <c r="F297" s="2"/>
      <c r="G297" s="2"/>
      <c r="H297" s="2"/>
      <c r="I297" s="5"/>
    </row>
    <row r="298" spans="1:9" ht="17.399999999999999" x14ac:dyDescent="0.25">
      <c r="A298" s="16"/>
      <c r="B298" s="17"/>
      <c r="C298" s="2"/>
      <c r="D298" s="2"/>
      <c r="E298" s="2"/>
      <c r="F298" s="2"/>
      <c r="G298" s="2"/>
      <c r="H298" s="2"/>
      <c r="I298" s="5"/>
    </row>
    <row r="299" spans="1:9" ht="17.399999999999999" x14ac:dyDescent="0.25">
      <c r="A299" s="16"/>
      <c r="B299" s="17"/>
      <c r="C299" s="2"/>
      <c r="D299" s="2"/>
      <c r="E299" s="2"/>
      <c r="F299" s="2"/>
      <c r="G299" s="2"/>
      <c r="H299" s="2"/>
      <c r="I299" s="5"/>
    </row>
    <row r="300" spans="1:9" ht="17.399999999999999" x14ac:dyDescent="0.25">
      <c r="A300" s="16"/>
      <c r="B300" s="17"/>
      <c r="C300" s="2"/>
      <c r="D300" s="2"/>
      <c r="E300" s="2"/>
      <c r="F300" s="2"/>
      <c r="G300" s="2"/>
      <c r="H300" s="2"/>
      <c r="I300" s="5"/>
    </row>
    <row r="301" spans="1:9" ht="17.399999999999999" x14ac:dyDescent="0.25">
      <c r="A301" s="16"/>
      <c r="B301" s="17"/>
      <c r="C301" s="2"/>
      <c r="D301" s="2"/>
      <c r="E301" s="2"/>
      <c r="F301" s="2"/>
      <c r="G301" s="2"/>
      <c r="H301" s="2"/>
      <c r="I301" s="5"/>
    </row>
    <row r="302" spans="1:9" ht="17.399999999999999" x14ac:dyDescent="0.25">
      <c r="A302" s="16"/>
      <c r="B302" s="17"/>
      <c r="C302" s="2"/>
      <c r="D302" s="2"/>
      <c r="E302" s="2"/>
      <c r="F302" s="2"/>
      <c r="G302" s="2"/>
      <c r="H302" s="2"/>
      <c r="I302" s="5"/>
    </row>
    <row r="303" spans="1:9" ht="17.399999999999999" x14ac:dyDescent="0.25">
      <c r="A303" s="16"/>
      <c r="B303" s="17"/>
      <c r="C303" s="2"/>
      <c r="D303" s="2"/>
      <c r="E303" s="2"/>
      <c r="F303" s="2"/>
      <c r="G303" s="2"/>
      <c r="H303" s="2"/>
      <c r="I303" s="5"/>
    </row>
    <row r="304" spans="1:9" ht="17.399999999999999" x14ac:dyDescent="0.25">
      <c r="A304" s="16"/>
      <c r="B304" s="17"/>
      <c r="C304" s="2"/>
      <c r="D304" s="2"/>
      <c r="E304" s="2"/>
      <c r="F304" s="2"/>
      <c r="G304" s="2"/>
      <c r="H304" s="2"/>
      <c r="I304" s="5"/>
    </row>
    <row r="305" spans="1:9" ht="17.399999999999999" x14ac:dyDescent="0.25">
      <c r="A305" s="16"/>
      <c r="B305" s="17"/>
      <c r="C305" s="2"/>
      <c r="D305" s="2"/>
      <c r="E305" s="2"/>
      <c r="F305" s="2"/>
      <c r="G305" s="2"/>
      <c r="H305" s="2"/>
      <c r="I305" s="5"/>
    </row>
    <row r="306" spans="1:9" ht="17.399999999999999" x14ac:dyDescent="0.25">
      <c r="A306" s="16"/>
      <c r="B306" s="17"/>
      <c r="C306" s="2"/>
      <c r="D306" s="2"/>
      <c r="E306" s="2"/>
      <c r="F306" s="2"/>
      <c r="G306" s="2"/>
      <c r="H306" s="2"/>
      <c r="I306" s="5"/>
    </row>
    <row r="307" spans="1:9" ht="17.399999999999999" x14ac:dyDescent="0.25">
      <c r="A307" s="16"/>
      <c r="B307" s="17"/>
      <c r="C307" s="2"/>
      <c r="D307" s="2"/>
      <c r="E307" s="2"/>
      <c r="F307" s="2"/>
      <c r="G307" s="2"/>
      <c r="H307" s="2"/>
      <c r="I307" s="5"/>
    </row>
    <row r="308" spans="1:9" ht="17.399999999999999" x14ac:dyDescent="0.25">
      <c r="A308" s="16"/>
      <c r="B308" s="17"/>
      <c r="C308" s="2"/>
      <c r="D308" s="2"/>
      <c r="E308" s="2"/>
      <c r="F308" s="2"/>
      <c r="G308" s="2"/>
      <c r="H308" s="2"/>
      <c r="I308" s="5"/>
    </row>
    <row r="309" spans="1:9" ht="17.399999999999999" x14ac:dyDescent="0.25">
      <c r="A309" s="16"/>
      <c r="B309" s="17"/>
      <c r="C309" s="2"/>
      <c r="D309" s="2"/>
      <c r="E309" s="2"/>
      <c r="F309" s="2"/>
      <c r="G309" s="2"/>
      <c r="H309" s="2"/>
      <c r="I309" s="5"/>
    </row>
    <row r="310" spans="1:9" ht="17.399999999999999" x14ac:dyDescent="0.25">
      <c r="A310" s="16"/>
      <c r="B310" s="17"/>
      <c r="C310" s="2"/>
      <c r="D310" s="2"/>
      <c r="E310" s="2"/>
      <c r="F310" s="2"/>
      <c r="G310" s="2"/>
      <c r="H310" s="2"/>
      <c r="I310" s="5"/>
    </row>
    <row r="311" spans="1:9" ht="17.399999999999999" x14ac:dyDescent="0.25">
      <c r="A311" s="16"/>
      <c r="B311" s="17"/>
      <c r="C311" s="2"/>
      <c r="D311" s="2"/>
      <c r="E311" s="2"/>
      <c r="F311" s="2"/>
      <c r="G311" s="2"/>
      <c r="H311" s="2"/>
      <c r="I311" s="5"/>
    </row>
    <row r="312" spans="1:9" ht="17.399999999999999" x14ac:dyDescent="0.25">
      <c r="A312" s="16"/>
      <c r="B312" s="17"/>
      <c r="C312" s="2"/>
      <c r="D312" s="2"/>
      <c r="E312" s="2"/>
      <c r="F312" s="2"/>
      <c r="G312" s="2"/>
      <c r="H312" s="2"/>
      <c r="I312" s="5"/>
    </row>
    <row r="313" spans="1:9" ht="17.399999999999999" x14ac:dyDescent="0.25">
      <c r="A313" s="16"/>
      <c r="B313" s="17"/>
      <c r="C313" s="2"/>
      <c r="D313" s="2"/>
      <c r="E313" s="2"/>
      <c r="F313" s="2"/>
      <c r="G313" s="2"/>
      <c r="H313" s="2"/>
      <c r="I313" s="5"/>
    </row>
    <row r="314" spans="1:9" ht="17.399999999999999" x14ac:dyDescent="0.25">
      <c r="A314" s="16"/>
      <c r="B314" s="17"/>
      <c r="C314" s="2"/>
      <c r="D314" s="2"/>
      <c r="E314" s="2"/>
      <c r="F314" s="2"/>
      <c r="G314" s="2"/>
      <c r="H314" s="2"/>
      <c r="I314" s="5"/>
    </row>
    <row r="315" spans="1:9" ht="17.399999999999999" x14ac:dyDescent="0.25">
      <c r="A315" s="16"/>
      <c r="B315" s="17"/>
      <c r="C315" s="2"/>
      <c r="D315" s="2"/>
      <c r="E315" s="2"/>
      <c r="F315" s="2"/>
      <c r="G315" s="2"/>
      <c r="H315" s="2"/>
      <c r="I315" s="5"/>
    </row>
    <row r="316" spans="1:9" ht="17.399999999999999" x14ac:dyDescent="0.25">
      <c r="A316" s="16"/>
      <c r="B316" s="17"/>
      <c r="C316" s="2"/>
      <c r="D316" s="2"/>
      <c r="E316" s="2"/>
      <c r="F316" s="2"/>
      <c r="G316" s="2"/>
      <c r="H316" s="2"/>
      <c r="I316" s="5"/>
    </row>
    <row r="317" spans="1:9" ht="17.399999999999999" x14ac:dyDescent="0.25">
      <c r="A317" s="16"/>
      <c r="B317" s="17"/>
      <c r="C317" s="2"/>
      <c r="D317" s="2"/>
      <c r="E317" s="2"/>
      <c r="F317" s="2"/>
      <c r="G317" s="2"/>
      <c r="H317" s="2"/>
      <c r="I317" s="5"/>
    </row>
    <row r="318" spans="1:9" ht="17.399999999999999" x14ac:dyDescent="0.25">
      <c r="A318" s="16"/>
      <c r="B318" s="17"/>
      <c r="C318" s="2"/>
      <c r="D318" s="2"/>
      <c r="E318" s="2"/>
      <c r="F318" s="2"/>
      <c r="G318" s="2"/>
      <c r="H318" s="2"/>
      <c r="I318" s="5"/>
    </row>
    <row r="319" spans="1:9" ht="17.399999999999999" x14ac:dyDescent="0.25">
      <c r="A319" s="16"/>
      <c r="B319" s="17"/>
      <c r="C319" s="2"/>
      <c r="D319" s="2"/>
      <c r="E319" s="2"/>
      <c r="F319" s="2"/>
      <c r="G319" s="2"/>
      <c r="H319" s="2"/>
      <c r="I319" s="5"/>
    </row>
    <row r="320" spans="1:9" ht="17.399999999999999" x14ac:dyDescent="0.25">
      <c r="A320" s="16"/>
      <c r="B320" s="17"/>
      <c r="C320" s="2"/>
      <c r="D320" s="2"/>
      <c r="E320" s="2"/>
      <c r="F320" s="2"/>
      <c r="G320" s="2"/>
      <c r="H320" s="2"/>
      <c r="I320" s="5"/>
    </row>
    <row r="321" spans="1:9" ht="17.399999999999999" x14ac:dyDescent="0.25">
      <c r="A321" s="16"/>
      <c r="B321" s="17"/>
      <c r="C321" s="2"/>
      <c r="D321" s="2"/>
      <c r="E321" s="2"/>
      <c r="F321" s="2"/>
      <c r="G321" s="2"/>
      <c r="H321" s="2"/>
      <c r="I321" s="5"/>
    </row>
    <row r="322" spans="1:9" ht="17.399999999999999" x14ac:dyDescent="0.25">
      <c r="A322" s="16"/>
      <c r="B322" s="17"/>
      <c r="C322" s="2"/>
      <c r="D322" s="2"/>
      <c r="E322" s="2"/>
      <c r="F322" s="2"/>
      <c r="G322" s="2"/>
      <c r="H322" s="2"/>
      <c r="I322" s="5"/>
    </row>
    <row r="323" spans="1:9" ht="17.399999999999999" x14ac:dyDescent="0.25">
      <c r="A323" s="16"/>
      <c r="B323" s="17"/>
      <c r="C323" s="2"/>
      <c r="D323" s="2"/>
      <c r="E323" s="2"/>
      <c r="F323" s="2"/>
      <c r="G323" s="2"/>
      <c r="H323" s="2"/>
      <c r="I323" s="5"/>
    </row>
    <row r="324" spans="1:9" ht="17.399999999999999" x14ac:dyDescent="0.25">
      <c r="A324" s="16"/>
      <c r="B324" s="17"/>
      <c r="C324" s="2"/>
      <c r="D324" s="2"/>
      <c r="E324" s="2"/>
      <c r="F324" s="2"/>
      <c r="G324" s="2"/>
      <c r="H324" s="2"/>
      <c r="I324" s="5"/>
    </row>
    <row r="325" spans="1:9" ht="17.399999999999999" x14ac:dyDescent="0.25">
      <c r="A325" s="16"/>
      <c r="B325" s="17"/>
      <c r="C325" s="2"/>
      <c r="D325" s="2"/>
      <c r="E325" s="2"/>
      <c r="F325" s="2"/>
      <c r="G325" s="2"/>
      <c r="H325" s="2"/>
      <c r="I325" s="5"/>
    </row>
    <row r="326" spans="1:9" ht="17.399999999999999" x14ac:dyDescent="0.25">
      <c r="A326" s="16"/>
      <c r="B326" s="17"/>
      <c r="C326" s="2"/>
      <c r="D326" s="2"/>
      <c r="E326" s="2"/>
      <c r="F326" s="2"/>
      <c r="G326" s="2"/>
      <c r="H326" s="2"/>
      <c r="I326" s="5"/>
    </row>
    <row r="327" spans="1:9" ht="17.399999999999999" x14ac:dyDescent="0.25">
      <c r="A327" s="16"/>
      <c r="B327" s="17"/>
      <c r="C327" s="2"/>
      <c r="D327" s="2"/>
      <c r="E327" s="2"/>
      <c r="F327" s="2"/>
      <c r="G327" s="2"/>
      <c r="H327" s="2"/>
      <c r="I327" s="5"/>
    </row>
    <row r="328" spans="1:9" ht="17.399999999999999" x14ac:dyDescent="0.25">
      <c r="A328" s="16"/>
      <c r="B328" s="17"/>
      <c r="C328" s="2"/>
      <c r="D328" s="2"/>
      <c r="E328" s="2"/>
      <c r="F328" s="2"/>
      <c r="G328" s="2"/>
      <c r="H328" s="2"/>
      <c r="I328" s="5"/>
    </row>
    <row r="329" spans="1:9" ht="17.399999999999999" x14ac:dyDescent="0.25">
      <c r="A329" s="16"/>
      <c r="B329" s="17"/>
      <c r="C329" s="2"/>
      <c r="D329" s="2"/>
      <c r="E329" s="2"/>
      <c r="F329" s="2"/>
      <c r="G329" s="2"/>
      <c r="H329" s="2"/>
      <c r="I329" s="5"/>
    </row>
    <row r="330" spans="1:9" ht="17.399999999999999" x14ac:dyDescent="0.25">
      <c r="A330" s="16"/>
      <c r="B330" s="17"/>
      <c r="C330" s="2"/>
      <c r="D330" s="2"/>
      <c r="E330" s="2"/>
      <c r="F330" s="2"/>
      <c r="G330" s="2"/>
      <c r="H330" s="2"/>
      <c r="I330" s="5"/>
    </row>
    <row r="331" spans="1:9" ht="17.399999999999999" x14ac:dyDescent="0.25">
      <c r="A331" s="16"/>
      <c r="B331" s="17"/>
      <c r="C331" s="2"/>
      <c r="D331" s="2"/>
      <c r="E331" s="2"/>
      <c r="F331" s="2"/>
      <c r="G331" s="2"/>
      <c r="H331" s="2"/>
      <c r="I331" s="5"/>
    </row>
    <row r="332" spans="1:9" ht="17.399999999999999" x14ac:dyDescent="0.25">
      <c r="A332" s="16"/>
      <c r="B332" s="17"/>
      <c r="C332" s="2"/>
      <c r="D332" s="2"/>
      <c r="E332" s="2"/>
      <c r="F332" s="2"/>
      <c r="G332" s="2"/>
      <c r="H332" s="2"/>
      <c r="I332" s="5"/>
    </row>
    <row r="333" spans="1:9" ht="17.399999999999999" x14ac:dyDescent="0.25">
      <c r="A333" s="16"/>
      <c r="B333" s="17"/>
      <c r="C333" s="2"/>
      <c r="D333" s="2"/>
      <c r="E333" s="2"/>
      <c r="F333" s="2"/>
      <c r="G333" s="2"/>
      <c r="H333" s="2"/>
      <c r="I333" s="5"/>
    </row>
    <row r="334" spans="1:9" ht="17.399999999999999" x14ac:dyDescent="0.25">
      <c r="A334" s="16"/>
      <c r="B334" s="17"/>
      <c r="C334" s="2"/>
      <c r="D334" s="2"/>
      <c r="E334" s="2"/>
      <c r="F334" s="2"/>
      <c r="G334" s="2"/>
      <c r="H334" s="2"/>
      <c r="I334" s="5"/>
    </row>
    <row r="335" spans="1:9" ht="17.399999999999999" x14ac:dyDescent="0.25">
      <c r="A335" s="16"/>
      <c r="B335" s="17"/>
      <c r="C335" s="2"/>
      <c r="D335" s="2"/>
      <c r="E335" s="2"/>
      <c r="F335" s="2"/>
      <c r="G335" s="2"/>
      <c r="H335" s="2"/>
      <c r="I335" s="5"/>
    </row>
    <row r="336" spans="1:9" ht="17.399999999999999" x14ac:dyDescent="0.25">
      <c r="A336" s="16"/>
      <c r="B336" s="17"/>
      <c r="C336" s="2"/>
      <c r="D336" s="2"/>
      <c r="E336" s="2"/>
      <c r="F336" s="2"/>
      <c r="G336" s="2"/>
      <c r="H336" s="2"/>
      <c r="I336" s="5"/>
    </row>
    <row r="337" spans="1:9" ht="17.399999999999999" x14ac:dyDescent="0.25">
      <c r="A337" s="16"/>
      <c r="B337" s="17"/>
      <c r="C337" s="2"/>
      <c r="D337" s="2"/>
      <c r="E337" s="2"/>
      <c r="F337" s="2"/>
      <c r="G337" s="2"/>
      <c r="H337" s="2"/>
      <c r="I337" s="5"/>
    </row>
    <row r="338" spans="1:9" ht="17.399999999999999" x14ac:dyDescent="0.25">
      <c r="A338" s="16"/>
      <c r="B338" s="17"/>
      <c r="C338" s="2"/>
      <c r="D338" s="2"/>
      <c r="E338" s="2"/>
      <c r="F338" s="2"/>
      <c r="G338" s="2"/>
      <c r="H338" s="2"/>
      <c r="I338" s="5"/>
    </row>
    <row r="339" spans="1:9" ht="17.399999999999999" x14ac:dyDescent="0.25">
      <c r="A339" s="16"/>
      <c r="B339" s="17"/>
      <c r="C339" s="2"/>
      <c r="D339" s="2"/>
      <c r="E339" s="2"/>
      <c r="F339" s="2"/>
      <c r="G339" s="2"/>
      <c r="H339" s="2"/>
      <c r="I339" s="5"/>
    </row>
    <row r="340" spans="1:9" ht="17.399999999999999" x14ac:dyDescent="0.25">
      <c r="A340" s="16"/>
      <c r="B340" s="17"/>
      <c r="C340" s="2"/>
      <c r="D340" s="2"/>
      <c r="E340" s="2"/>
      <c r="F340" s="2"/>
      <c r="G340" s="2"/>
      <c r="H340" s="2"/>
      <c r="I340" s="5"/>
    </row>
    <row r="341" spans="1:9" ht="17.399999999999999" x14ac:dyDescent="0.25">
      <c r="A341" s="16"/>
      <c r="B341" s="17"/>
      <c r="C341" s="2"/>
      <c r="D341" s="2"/>
      <c r="E341" s="2"/>
      <c r="F341" s="2"/>
      <c r="G341" s="2"/>
      <c r="H341" s="2"/>
      <c r="I341" s="5"/>
    </row>
    <row r="342" spans="1:9" ht="17.399999999999999" x14ac:dyDescent="0.25">
      <c r="A342" s="16"/>
      <c r="B342" s="17"/>
      <c r="C342" s="2"/>
      <c r="D342" s="2"/>
      <c r="E342" s="2"/>
      <c r="F342" s="2"/>
      <c r="G342" s="2"/>
      <c r="H342" s="2"/>
      <c r="I342" s="5"/>
    </row>
    <row r="343" spans="1:9" ht="17.399999999999999" x14ac:dyDescent="0.25">
      <c r="A343" s="16"/>
      <c r="B343" s="17"/>
      <c r="C343" s="2"/>
      <c r="D343" s="2"/>
      <c r="E343" s="2"/>
      <c r="F343" s="2"/>
      <c r="G343" s="2"/>
      <c r="H343" s="2"/>
      <c r="I343" s="5"/>
    </row>
    <row r="344" spans="1:9" ht="17.399999999999999" x14ac:dyDescent="0.25">
      <c r="A344" s="16"/>
      <c r="B344" s="17"/>
      <c r="C344" s="2"/>
      <c r="D344" s="2"/>
      <c r="E344" s="2"/>
      <c r="F344" s="2"/>
      <c r="G344" s="2"/>
      <c r="H344" s="2"/>
      <c r="I344" s="5"/>
    </row>
    <row r="345" spans="1:9" ht="17.399999999999999" x14ac:dyDescent="0.25">
      <c r="A345" s="16"/>
      <c r="B345" s="17"/>
      <c r="C345" s="2"/>
      <c r="D345" s="2"/>
      <c r="E345" s="2"/>
      <c r="F345" s="2"/>
      <c r="G345" s="2"/>
      <c r="H345" s="2"/>
      <c r="I345" s="5"/>
    </row>
    <row r="346" spans="1:9" ht="17.399999999999999" x14ac:dyDescent="0.25">
      <c r="A346" s="16"/>
      <c r="B346" s="17"/>
      <c r="C346" s="2"/>
      <c r="D346" s="2"/>
      <c r="E346" s="2"/>
      <c r="F346" s="2"/>
      <c r="G346" s="2"/>
      <c r="H346" s="2"/>
      <c r="I346" s="5"/>
    </row>
    <row r="347" spans="1:9" ht="17.399999999999999" x14ac:dyDescent="0.25">
      <c r="A347" s="16"/>
      <c r="B347" s="17"/>
      <c r="C347" s="2"/>
      <c r="D347" s="2"/>
      <c r="E347" s="2"/>
      <c r="F347" s="2"/>
      <c r="G347" s="2"/>
      <c r="H347" s="2"/>
      <c r="I347" s="5"/>
    </row>
    <row r="348" spans="1:9" ht="17.399999999999999" x14ac:dyDescent="0.25">
      <c r="A348" s="16"/>
      <c r="B348" s="17"/>
      <c r="C348" s="2"/>
      <c r="D348" s="2"/>
      <c r="E348" s="2"/>
      <c r="F348" s="2"/>
      <c r="G348" s="2"/>
      <c r="H348" s="2"/>
      <c r="I348" s="5"/>
    </row>
    <row r="349" spans="1:9" ht="17.399999999999999" x14ac:dyDescent="0.25">
      <c r="A349" s="16"/>
      <c r="B349" s="17"/>
      <c r="C349" s="2"/>
      <c r="D349" s="2"/>
      <c r="E349" s="2"/>
      <c r="F349" s="2"/>
      <c r="G349" s="2"/>
      <c r="H349" s="2"/>
      <c r="I349" s="5"/>
    </row>
    <row r="350" spans="1:9" ht="17.399999999999999" x14ac:dyDescent="0.25">
      <c r="A350" s="16"/>
      <c r="B350" s="17"/>
      <c r="C350" s="2"/>
      <c r="D350" s="2"/>
      <c r="E350" s="2"/>
      <c r="F350" s="2"/>
      <c r="G350" s="2"/>
      <c r="H350" s="2"/>
      <c r="I350" s="5"/>
    </row>
    <row r="351" spans="1:9" ht="17.399999999999999" x14ac:dyDescent="0.25">
      <c r="A351" s="16"/>
      <c r="B351" s="17"/>
      <c r="C351" s="2"/>
      <c r="D351" s="2"/>
      <c r="E351" s="2"/>
      <c r="F351" s="2"/>
      <c r="G351" s="2"/>
      <c r="H351" s="2"/>
      <c r="I351" s="5"/>
    </row>
    <row r="352" spans="1:9" ht="17.399999999999999" x14ac:dyDescent="0.25">
      <c r="A352" s="16"/>
      <c r="B352" s="17"/>
      <c r="C352" s="2"/>
      <c r="D352" s="2"/>
      <c r="E352" s="2"/>
      <c r="F352" s="2"/>
      <c r="G352" s="2"/>
      <c r="H352" s="2"/>
      <c r="I352" s="5"/>
    </row>
    <row r="353" spans="1:9" ht="17.399999999999999" x14ac:dyDescent="0.25">
      <c r="A353" s="16"/>
      <c r="B353" s="17"/>
      <c r="C353" s="2"/>
      <c r="D353" s="2"/>
      <c r="E353" s="2"/>
      <c r="F353" s="2"/>
      <c r="G353" s="2"/>
      <c r="H353" s="2"/>
      <c r="I353" s="5"/>
    </row>
    <row r="354" spans="1:9" ht="17.399999999999999" x14ac:dyDescent="0.25">
      <c r="A354" s="16"/>
      <c r="B354" s="17"/>
      <c r="C354" s="2"/>
      <c r="D354" s="2"/>
      <c r="E354" s="2"/>
      <c r="F354" s="2"/>
      <c r="G354" s="2"/>
      <c r="H354" s="2"/>
      <c r="I354" s="5"/>
    </row>
    <row r="355" spans="1:9" ht="17.399999999999999" x14ac:dyDescent="0.25">
      <c r="A355" s="16"/>
      <c r="B355" s="17"/>
      <c r="C355" s="2"/>
      <c r="D355" s="2"/>
      <c r="E355" s="2"/>
      <c r="F355" s="2"/>
      <c r="G355" s="2"/>
      <c r="H355" s="2"/>
      <c r="I355" s="5"/>
    </row>
    <row r="356" spans="1:9" ht="17.399999999999999" x14ac:dyDescent="0.25">
      <c r="A356" s="16"/>
      <c r="B356" s="17"/>
      <c r="C356" s="2"/>
      <c r="D356" s="2"/>
      <c r="E356" s="2"/>
      <c r="F356" s="2"/>
      <c r="G356" s="2"/>
      <c r="H356" s="2"/>
      <c r="I356" s="5"/>
    </row>
    <row r="357" spans="1:9" ht="17.399999999999999" x14ac:dyDescent="0.25">
      <c r="A357" s="16"/>
      <c r="B357" s="17"/>
      <c r="C357" s="2"/>
      <c r="D357" s="2"/>
      <c r="E357" s="2"/>
      <c r="F357" s="2"/>
      <c r="G357" s="2"/>
      <c r="H357" s="2"/>
      <c r="I357" s="5"/>
    </row>
    <row r="358" spans="1:9" ht="17.399999999999999" x14ac:dyDescent="0.25">
      <c r="A358" s="16"/>
      <c r="B358" s="17"/>
      <c r="C358" s="2"/>
      <c r="D358" s="2"/>
      <c r="E358" s="2"/>
      <c r="F358" s="2"/>
      <c r="G358" s="2"/>
      <c r="H358" s="2"/>
      <c r="I358" s="5"/>
    </row>
    <row r="359" spans="1:9" ht="17.399999999999999" x14ac:dyDescent="0.25">
      <c r="A359" s="16"/>
      <c r="B359" s="17"/>
      <c r="C359" s="2"/>
      <c r="D359" s="2"/>
      <c r="E359" s="2"/>
      <c r="F359" s="2"/>
      <c r="G359" s="2"/>
      <c r="H359" s="2"/>
      <c r="I359" s="5"/>
    </row>
    <row r="360" spans="1:9" ht="17.399999999999999" x14ac:dyDescent="0.25">
      <c r="A360" s="16"/>
      <c r="B360" s="17"/>
      <c r="C360" s="2"/>
      <c r="D360" s="2"/>
      <c r="E360" s="2"/>
      <c r="F360" s="2"/>
      <c r="G360" s="2"/>
      <c r="H360" s="2"/>
      <c r="I360" s="5"/>
    </row>
    <row r="361" spans="1:9" ht="17.399999999999999" x14ac:dyDescent="0.25">
      <c r="A361" s="16"/>
      <c r="B361" s="17"/>
      <c r="C361" s="2"/>
      <c r="D361" s="2"/>
      <c r="E361" s="2"/>
      <c r="F361" s="2"/>
      <c r="G361" s="2"/>
      <c r="H361" s="2"/>
      <c r="I361" s="5"/>
    </row>
    <row r="362" spans="1:9" ht="17.399999999999999" x14ac:dyDescent="0.25">
      <c r="A362" s="16"/>
      <c r="B362" s="17"/>
      <c r="C362" s="2"/>
      <c r="D362" s="2"/>
      <c r="E362" s="2"/>
      <c r="F362" s="2"/>
      <c r="G362" s="2"/>
      <c r="H362" s="2"/>
      <c r="I362" s="5"/>
    </row>
    <row r="363" spans="1:9" ht="17.399999999999999" x14ac:dyDescent="0.25">
      <c r="A363" s="16"/>
      <c r="B363" s="17"/>
      <c r="C363" s="2"/>
      <c r="D363" s="2"/>
      <c r="E363" s="2"/>
      <c r="F363" s="2"/>
      <c r="G363" s="2"/>
      <c r="H363" s="2"/>
      <c r="I363" s="5"/>
    </row>
    <row r="364" spans="1:9" ht="17.399999999999999" x14ac:dyDescent="0.25">
      <c r="A364" s="16"/>
      <c r="B364" s="17"/>
      <c r="C364" s="2"/>
      <c r="D364" s="2"/>
      <c r="E364" s="2"/>
      <c r="F364" s="2"/>
      <c r="G364" s="2"/>
      <c r="H364" s="2"/>
      <c r="I364" s="5"/>
    </row>
    <row r="365" spans="1:9" ht="17.399999999999999" x14ac:dyDescent="0.25">
      <c r="A365" s="16"/>
      <c r="B365" s="17"/>
      <c r="C365" s="2"/>
      <c r="D365" s="2"/>
      <c r="E365" s="2"/>
      <c r="F365" s="2"/>
      <c r="G365" s="2"/>
      <c r="H365" s="2"/>
      <c r="I365" s="5"/>
    </row>
    <row r="366" spans="1:9" ht="17.399999999999999" x14ac:dyDescent="0.25">
      <c r="A366" s="16"/>
      <c r="B366" s="17"/>
      <c r="C366" s="2"/>
      <c r="D366" s="2"/>
      <c r="E366" s="2"/>
      <c r="F366" s="2"/>
      <c r="G366" s="2"/>
      <c r="H366" s="2"/>
      <c r="I366" s="5"/>
    </row>
    <row r="367" spans="1:9" ht="17.399999999999999" x14ac:dyDescent="0.25">
      <c r="A367" s="16"/>
      <c r="B367" s="17"/>
      <c r="C367" s="2"/>
      <c r="D367" s="2"/>
      <c r="E367" s="2"/>
      <c r="F367" s="2"/>
      <c r="G367" s="2"/>
      <c r="H367" s="2"/>
      <c r="I367" s="5"/>
    </row>
    <row r="368" spans="1:9" ht="17.399999999999999" x14ac:dyDescent="0.25">
      <c r="A368" s="16"/>
      <c r="B368" s="17"/>
      <c r="C368" s="2"/>
      <c r="D368" s="2"/>
      <c r="E368" s="2"/>
      <c r="F368" s="2"/>
      <c r="G368" s="2"/>
      <c r="H368" s="2"/>
      <c r="I368" s="5"/>
    </row>
    <row r="369" spans="1:9" ht="17.399999999999999" x14ac:dyDescent="0.25">
      <c r="A369" s="16"/>
      <c r="B369" s="17"/>
      <c r="C369" s="2"/>
      <c r="D369" s="2"/>
      <c r="E369" s="2"/>
      <c r="F369" s="2"/>
      <c r="G369" s="2"/>
      <c r="H369" s="2"/>
      <c r="I369" s="5"/>
    </row>
    <row r="370" spans="1:9" ht="17.399999999999999" x14ac:dyDescent="0.25">
      <c r="A370" s="16"/>
      <c r="B370" s="17"/>
      <c r="C370" s="2"/>
      <c r="D370" s="2"/>
      <c r="E370" s="2"/>
      <c r="F370" s="2"/>
      <c r="G370" s="2"/>
      <c r="H370" s="2"/>
      <c r="I370" s="5"/>
    </row>
    <row r="371" spans="1:9" ht="17.399999999999999" x14ac:dyDescent="0.25">
      <c r="A371" s="16"/>
      <c r="B371" s="17"/>
      <c r="C371" s="2"/>
      <c r="D371" s="2"/>
      <c r="E371" s="2"/>
      <c r="F371" s="2"/>
      <c r="G371" s="2"/>
      <c r="H371" s="2"/>
      <c r="I371" s="5"/>
    </row>
    <row r="372" spans="1:9" ht="17.399999999999999" x14ac:dyDescent="0.25">
      <c r="A372" s="16"/>
      <c r="B372" s="17"/>
      <c r="C372" s="2"/>
      <c r="D372" s="2"/>
      <c r="E372" s="2"/>
      <c r="F372" s="2"/>
      <c r="G372" s="2"/>
      <c r="H372" s="2"/>
      <c r="I372" s="5"/>
    </row>
    <row r="373" spans="1:9" ht="17.399999999999999" x14ac:dyDescent="0.25">
      <c r="A373" s="16"/>
      <c r="B373" s="17"/>
      <c r="C373" s="2"/>
      <c r="D373" s="2"/>
      <c r="E373" s="2"/>
      <c r="F373" s="2"/>
      <c r="G373" s="2"/>
      <c r="H373" s="2"/>
      <c r="I373" s="5"/>
    </row>
    <row r="374" spans="1:9" ht="17.399999999999999" x14ac:dyDescent="0.25">
      <c r="A374" s="16"/>
      <c r="B374" s="17"/>
      <c r="C374" s="2"/>
      <c r="D374" s="2"/>
      <c r="E374" s="2"/>
      <c r="F374" s="2"/>
      <c r="G374" s="2"/>
      <c r="H374" s="2"/>
      <c r="I374" s="5"/>
    </row>
    <row r="375" spans="1:9" ht="17.399999999999999" x14ac:dyDescent="0.25">
      <c r="A375" s="16"/>
      <c r="B375" s="17"/>
      <c r="C375" s="2"/>
      <c r="D375" s="2"/>
      <c r="E375" s="2"/>
      <c r="F375" s="2"/>
      <c r="G375" s="2"/>
      <c r="H375" s="2"/>
      <c r="I375" s="5"/>
    </row>
    <row r="376" spans="1:9" ht="17.399999999999999" x14ac:dyDescent="0.25">
      <c r="A376" s="16"/>
      <c r="B376" s="17"/>
      <c r="C376" s="2"/>
      <c r="D376" s="2"/>
      <c r="E376" s="2"/>
      <c r="F376" s="2"/>
      <c r="G376" s="2"/>
      <c r="H376" s="2"/>
      <c r="I376" s="5"/>
    </row>
    <row r="377" spans="1:9" ht="17.399999999999999" x14ac:dyDescent="0.25">
      <c r="A377" s="16"/>
      <c r="B377" s="17"/>
      <c r="C377" s="2"/>
      <c r="D377" s="2"/>
      <c r="E377" s="2"/>
      <c r="F377" s="2"/>
      <c r="G377" s="2"/>
      <c r="H377" s="2"/>
      <c r="I377" s="5"/>
    </row>
    <row r="378" spans="1:9" ht="17.399999999999999" x14ac:dyDescent="0.25">
      <c r="A378" s="16"/>
      <c r="B378" s="17"/>
      <c r="C378" s="2"/>
      <c r="D378" s="2"/>
      <c r="E378" s="2"/>
      <c r="F378" s="2"/>
      <c r="G378" s="2"/>
      <c r="H378" s="2"/>
      <c r="I378" s="5"/>
    </row>
    <row r="379" spans="1:9" ht="17.399999999999999" x14ac:dyDescent="0.25">
      <c r="A379" s="16"/>
      <c r="B379" s="17"/>
      <c r="C379" s="2"/>
      <c r="D379" s="2"/>
      <c r="E379" s="2"/>
      <c r="F379" s="2"/>
      <c r="G379" s="2"/>
      <c r="H379" s="2"/>
      <c r="I379" s="5"/>
    </row>
    <row r="380" spans="1:9" ht="17.399999999999999" x14ac:dyDescent="0.25">
      <c r="A380" s="16"/>
      <c r="B380" s="17"/>
      <c r="C380" s="2"/>
      <c r="D380" s="2"/>
      <c r="E380" s="2"/>
      <c r="F380" s="2"/>
      <c r="G380" s="2"/>
      <c r="H380" s="2"/>
      <c r="I380" s="5"/>
    </row>
    <row r="381" spans="1:9" ht="17.399999999999999" x14ac:dyDescent="0.25">
      <c r="A381" s="16"/>
      <c r="B381" s="17"/>
      <c r="C381" s="2"/>
      <c r="D381" s="2"/>
      <c r="E381" s="2"/>
      <c r="F381" s="2"/>
      <c r="G381" s="2"/>
      <c r="H381" s="2"/>
      <c r="I381" s="5"/>
    </row>
    <row r="382" spans="1:9" ht="17.399999999999999" x14ac:dyDescent="0.25">
      <c r="A382" s="16"/>
      <c r="B382" s="17"/>
      <c r="C382" s="2"/>
      <c r="D382" s="2"/>
      <c r="E382" s="2"/>
      <c r="F382" s="2"/>
      <c r="G382" s="2"/>
      <c r="H382" s="2"/>
      <c r="I382" s="5"/>
    </row>
    <row r="383" spans="1:9" ht="17.399999999999999" x14ac:dyDescent="0.25">
      <c r="A383" s="16"/>
      <c r="B383" s="17"/>
      <c r="C383" s="2"/>
      <c r="D383" s="2"/>
      <c r="E383" s="2"/>
      <c r="F383" s="2"/>
      <c r="G383" s="2"/>
      <c r="H383" s="2"/>
      <c r="I383" s="5"/>
    </row>
    <row r="384" spans="1:9" ht="17.399999999999999" x14ac:dyDescent="0.25">
      <c r="A384" s="16"/>
      <c r="B384" s="17"/>
      <c r="C384" s="2"/>
      <c r="D384" s="2"/>
      <c r="E384" s="2"/>
      <c r="F384" s="2"/>
      <c r="G384" s="2"/>
      <c r="H384" s="2"/>
      <c r="I384" s="5"/>
    </row>
    <row r="385" spans="1:9" ht="17.399999999999999" x14ac:dyDescent="0.25">
      <c r="A385" s="16"/>
      <c r="B385" s="17"/>
      <c r="C385" s="2"/>
      <c r="D385" s="2"/>
      <c r="E385" s="2"/>
      <c r="F385" s="2"/>
      <c r="G385" s="2"/>
      <c r="H385" s="2"/>
      <c r="I385" s="5"/>
    </row>
    <row r="386" spans="1:9" ht="17.399999999999999" x14ac:dyDescent="0.25">
      <c r="A386" s="16"/>
      <c r="B386" s="17"/>
      <c r="C386" s="2"/>
      <c r="D386" s="2"/>
      <c r="E386" s="2"/>
      <c r="F386" s="2"/>
      <c r="G386" s="2"/>
      <c r="H386" s="2"/>
      <c r="I386" s="5"/>
    </row>
    <row r="387" spans="1:9" ht="17.399999999999999" x14ac:dyDescent="0.25">
      <c r="A387" s="16"/>
      <c r="B387" s="17"/>
      <c r="C387" s="2"/>
      <c r="D387" s="2"/>
      <c r="E387" s="2"/>
      <c r="F387" s="2"/>
      <c r="G387" s="2"/>
      <c r="H387" s="2"/>
      <c r="I387" s="5"/>
    </row>
    <row r="388" spans="1:9" ht="17.399999999999999" x14ac:dyDescent="0.25">
      <c r="A388" s="16"/>
      <c r="B388" s="17"/>
      <c r="C388" s="2"/>
      <c r="D388" s="2"/>
      <c r="E388" s="2"/>
      <c r="F388" s="2"/>
      <c r="G388" s="2"/>
      <c r="H388" s="2"/>
      <c r="I388" s="5"/>
    </row>
    <row r="389" spans="1:9" ht="17.399999999999999" x14ac:dyDescent="0.25">
      <c r="A389" s="16"/>
      <c r="B389" s="17"/>
      <c r="C389" s="2"/>
      <c r="D389" s="2"/>
      <c r="E389" s="2"/>
      <c r="F389" s="2"/>
      <c r="G389" s="2"/>
      <c r="H389" s="2"/>
      <c r="I389" s="5"/>
    </row>
    <row r="390" spans="1:9" ht="17.399999999999999" x14ac:dyDescent="0.25">
      <c r="A390" s="16"/>
      <c r="B390" s="17"/>
      <c r="C390" s="2"/>
      <c r="D390" s="2"/>
      <c r="E390" s="2"/>
      <c r="F390" s="2"/>
      <c r="G390" s="2"/>
      <c r="H390" s="2"/>
      <c r="I390" s="5"/>
    </row>
    <row r="391" spans="1:9" ht="17.399999999999999" x14ac:dyDescent="0.25">
      <c r="A391" s="16"/>
      <c r="B391" s="17"/>
      <c r="C391" s="2"/>
      <c r="D391" s="2"/>
      <c r="E391" s="2"/>
      <c r="F391" s="2"/>
      <c r="G391" s="2"/>
      <c r="H391" s="2"/>
      <c r="I391" s="5"/>
    </row>
    <row r="392" spans="1:9" ht="17.399999999999999" x14ac:dyDescent="0.25">
      <c r="A392" s="16"/>
      <c r="B392" s="17"/>
      <c r="C392" s="2"/>
      <c r="D392" s="2"/>
      <c r="E392" s="2"/>
      <c r="F392" s="2"/>
      <c r="G392" s="2"/>
      <c r="H392" s="2"/>
      <c r="I392" s="5"/>
    </row>
    <row r="393" spans="1:9" ht="17.399999999999999" x14ac:dyDescent="0.25">
      <c r="A393" s="16"/>
      <c r="B393" s="17"/>
      <c r="C393" s="2"/>
      <c r="D393" s="2"/>
      <c r="E393" s="2"/>
      <c r="F393" s="2"/>
      <c r="G393" s="2"/>
      <c r="H393" s="2"/>
      <c r="I393" s="5"/>
    </row>
    <row r="394" spans="1:9" ht="17.399999999999999" x14ac:dyDescent="0.25">
      <c r="A394" s="16"/>
      <c r="B394" s="17"/>
      <c r="C394" s="2"/>
      <c r="D394" s="2"/>
      <c r="E394" s="2"/>
      <c r="F394" s="2"/>
      <c r="G394" s="2"/>
      <c r="H394" s="2"/>
      <c r="I394" s="5"/>
    </row>
    <row r="395" spans="1:9" ht="17.399999999999999" x14ac:dyDescent="0.25">
      <c r="A395" s="16"/>
      <c r="B395" s="17"/>
      <c r="C395" s="2"/>
      <c r="D395" s="2"/>
      <c r="E395" s="2"/>
      <c r="F395" s="2"/>
      <c r="G395" s="2"/>
      <c r="H395" s="2"/>
      <c r="I395" s="5"/>
    </row>
    <row r="396" spans="1:9" ht="17.399999999999999" x14ac:dyDescent="0.25">
      <c r="A396" s="16"/>
      <c r="B396" s="17"/>
      <c r="C396" s="2"/>
      <c r="D396" s="2"/>
      <c r="E396" s="2"/>
      <c r="F396" s="2"/>
      <c r="G396" s="2"/>
      <c r="H396" s="2"/>
      <c r="I396" s="5"/>
    </row>
    <row r="397" spans="1:9" ht="17.399999999999999" x14ac:dyDescent="0.25">
      <c r="A397" s="16"/>
      <c r="B397" s="17"/>
      <c r="C397" s="2"/>
      <c r="D397" s="2"/>
      <c r="E397" s="2"/>
      <c r="F397" s="2"/>
      <c r="G397" s="2"/>
      <c r="H397" s="2"/>
      <c r="I397" s="5"/>
    </row>
    <row r="398" spans="1:9" ht="17.399999999999999" x14ac:dyDescent="0.25">
      <c r="A398" s="16"/>
      <c r="B398" s="17"/>
      <c r="C398" s="2"/>
      <c r="D398" s="2"/>
      <c r="E398" s="2"/>
      <c r="F398" s="2"/>
      <c r="G398" s="2"/>
      <c r="H398" s="2"/>
      <c r="I398" s="5"/>
    </row>
    <row r="399" spans="1:9" ht="17.399999999999999" x14ac:dyDescent="0.25">
      <c r="A399" s="16"/>
      <c r="B399" s="17"/>
      <c r="C399" s="2"/>
      <c r="D399" s="2"/>
      <c r="E399" s="2"/>
      <c r="F399" s="2"/>
      <c r="G399" s="2"/>
      <c r="H399" s="2"/>
      <c r="I399" s="5"/>
    </row>
    <row r="400" spans="1:9" ht="17.399999999999999" x14ac:dyDescent="0.25">
      <c r="A400" s="16"/>
      <c r="B400" s="17"/>
      <c r="C400" s="2"/>
      <c r="D400" s="2"/>
      <c r="E400" s="2"/>
      <c r="F400" s="2"/>
      <c r="G400" s="2"/>
      <c r="H400" s="2"/>
      <c r="I400" s="5"/>
    </row>
    <row r="401" spans="1:9" ht="17.399999999999999" x14ac:dyDescent="0.25">
      <c r="A401" s="16"/>
      <c r="B401" s="17"/>
      <c r="C401" s="2"/>
      <c r="D401" s="2"/>
      <c r="E401" s="2"/>
      <c r="F401" s="2"/>
      <c r="G401" s="2"/>
      <c r="H401" s="2"/>
      <c r="I401" s="5"/>
    </row>
    <row r="402" spans="1:9" ht="17.399999999999999" x14ac:dyDescent="0.25">
      <c r="A402" s="16"/>
      <c r="B402" s="17"/>
      <c r="C402" s="2"/>
      <c r="D402" s="2"/>
      <c r="E402" s="2"/>
      <c r="F402" s="2"/>
      <c r="G402" s="2"/>
      <c r="H402" s="2"/>
      <c r="I402" s="5"/>
    </row>
    <row r="403" spans="1:9" ht="17.399999999999999" x14ac:dyDescent="0.25">
      <c r="A403" s="16"/>
      <c r="B403" s="17"/>
      <c r="C403" s="2"/>
      <c r="D403" s="2"/>
      <c r="E403" s="2"/>
      <c r="F403" s="2"/>
      <c r="G403" s="2"/>
      <c r="H403" s="2"/>
      <c r="I403" s="5"/>
    </row>
    <row r="404" spans="1:9" ht="17.399999999999999" x14ac:dyDescent="0.25">
      <c r="A404" s="16"/>
      <c r="B404" s="17"/>
      <c r="C404" s="2"/>
      <c r="D404" s="2"/>
      <c r="E404" s="2"/>
      <c r="F404" s="2"/>
      <c r="G404" s="2"/>
      <c r="H404" s="2"/>
      <c r="I404" s="5"/>
    </row>
    <row r="405" spans="1:9" ht="17.399999999999999" x14ac:dyDescent="0.25">
      <c r="A405" s="16"/>
      <c r="B405" s="17"/>
      <c r="C405" s="2"/>
      <c r="D405" s="2"/>
      <c r="E405" s="2"/>
      <c r="F405" s="2"/>
      <c r="G405" s="2"/>
      <c r="H405" s="2"/>
      <c r="I405" s="5"/>
    </row>
    <row r="406" spans="1:9" ht="17.399999999999999" x14ac:dyDescent="0.25">
      <c r="A406" s="16"/>
      <c r="B406" s="17"/>
      <c r="C406" s="2"/>
      <c r="D406" s="2"/>
      <c r="E406" s="2"/>
      <c r="F406" s="2"/>
      <c r="G406" s="2"/>
      <c r="H406" s="2"/>
      <c r="I406" s="5"/>
    </row>
    <row r="407" spans="1:9" ht="17.399999999999999" x14ac:dyDescent="0.25">
      <c r="A407" s="16"/>
      <c r="B407" s="17"/>
      <c r="C407" s="2"/>
      <c r="D407" s="2"/>
      <c r="E407" s="2"/>
      <c r="F407" s="2"/>
      <c r="G407" s="2"/>
      <c r="H407" s="2"/>
      <c r="I407" s="5"/>
    </row>
    <row r="408" spans="1:9" ht="17.399999999999999" x14ac:dyDescent="0.25">
      <c r="A408" s="16"/>
      <c r="B408" s="17"/>
      <c r="C408" s="2"/>
      <c r="D408" s="2"/>
      <c r="E408" s="2"/>
      <c r="F408" s="2"/>
      <c r="G408" s="2"/>
      <c r="H408" s="2"/>
      <c r="I408" s="5"/>
    </row>
    <row r="409" spans="1:9" ht="17.399999999999999" x14ac:dyDescent="0.25">
      <c r="A409" s="16"/>
      <c r="B409" s="17"/>
      <c r="C409" s="2"/>
      <c r="D409" s="2"/>
      <c r="E409" s="2"/>
      <c r="F409" s="2"/>
      <c r="G409" s="2"/>
      <c r="H409" s="2"/>
      <c r="I409" s="5"/>
    </row>
    <row r="410" spans="1:9" ht="17.399999999999999" x14ac:dyDescent="0.25">
      <c r="A410" s="16"/>
      <c r="B410" s="17"/>
      <c r="C410" s="2"/>
      <c r="D410" s="2"/>
      <c r="E410" s="2"/>
      <c r="F410" s="2"/>
      <c r="G410" s="2"/>
      <c r="H410" s="2"/>
      <c r="I410" s="5"/>
    </row>
    <row r="411" spans="1:9" ht="17.399999999999999" x14ac:dyDescent="0.25">
      <c r="A411" s="16"/>
      <c r="B411" s="17"/>
      <c r="C411" s="2"/>
      <c r="D411" s="2"/>
      <c r="E411" s="2"/>
      <c r="F411" s="2"/>
      <c r="G411" s="2"/>
      <c r="H411" s="2"/>
      <c r="I411" s="5"/>
    </row>
    <row r="412" spans="1:9" ht="17.399999999999999" x14ac:dyDescent="0.25">
      <c r="A412" s="16"/>
      <c r="B412" s="17"/>
      <c r="C412" s="2"/>
      <c r="D412" s="2"/>
      <c r="E412" s="2"/>
      <c r="F412" s="2"/>
      <c r="G412" s="2"/>
      <c r="H412" s="2"/>
      <c r="I412" s="5"/>
    </row>
    <row r="413" spans="1:9" ht="17.399999999999999" x14ac:dyDescent="0.25">
      <c r="A413" s="16"/>
      <c r="B413" s="17"/>
      <c r="C413" s="2"/>
      <c r="D413" s="2"/>
      <c r="E413" s="2"/>
      <c r="F413" s="2"/>
      <c r="G413" s="2"/>
      <c r="H413" s="2"/>
      <c r="I413" s="5"/>
    </row>
    <row r="414" spans="1:9" ht="17.399999999999999" x14ac:dyDescent="0.25">
      <c r="A414" s="16"/>
      <c r="B414" s="17"/>
      <c r="C414" s="2"/>
      <c r="D414" s="2"/>
      <c r="E414" s="2"/>
      <c r="F414" s="2"/>
      <c r="G414" s="2"/>
      <c r="H414" s="2"/>
      <c r="I414" s="5"/>
    </row>
    <row r="415" spans="1:9" ht="17.399999999999999" x14ac:dyDescent="0.25">
      <c r="A415" s="16"/>
      <c r="B415" s="17"/>
      <c r="C415" s="2"/>
      <c r="D415" s="2"/>
      <c r="E415" s="2"/>
      <c r="F415" s="2"/>
      <c r="G415" s="2"/>
      <c r="H415" s="2"/>
      <c r="I415" s="5"/>
    </row>
    <row r="416" spans="1:9" ht="17.399999999999999" x14ac:dyDescent="0.25">
      <c r="A416" s="16"/>
      <c r="B416" s="17"/>
      <c r="C416" s="2"/>
      <c r="D416" s="2"/>
      <c r="E416" s="2"/>
      <c r="F416" s="2"/>
      <c r="G416" s="2"/>
      <c r="H416" s="2"/>
      <c r="I416" s="5"/>
    </row>
    <row r="417" spans="1:9" ht="17.399999999999999" x14ac:dyDescent="0.25">
      <c r="A417" s="16"/>
      <c r="B417" s="17"/>
      <c r="C417" s="2"/>
      <c r="D417" s="2"/>
      <c r="E417" s="2"/>
      <c r="F417" s="2"/>
      <c r="G417" s="2"/>
      <c r="H417" s="2"/>
      <c r="I417" s="5"/>
    </row>
    <row r="418" spans="1:9" ht="17.399999999999999" x14ac:dyDescent="0.25">
      <c r="A418" s="16"/>
      <c r="B418" s="17"/>
      <c r="C418" s="2"/>
      <c r="D418" s="2"/>
      <c r="E418" s="2"/>
      <c r="F418" s="2"/>
      <c r="G418" s="2"/>
      <c r="H418" s="2"/>
      <c r="I418" s="5"/>
    </row>
    <row r="419" spans="1:9" ht="17.399999999999999" x14ac:dyDescent="0.25">
      <c r="A419" s="16"/>
      <c r="B419" s="17"/>
      <c r="C419" s="2"/>
      <c r="D419" s="2"/>
      <c r="E419" s="2"/>
      <c r="F419" s="2"/>
      <c r="G419" s="2"/>
      <c r="H419" s="2"/>
      <c r="I419" s="5"/>
    </row>
    <row r="420" spans="1:9" ht="17.399999999999999" x14ac:dyDescent="0.25">
      <c r="A420" s="16"/>
      <c r="B420" s="17"/>
      <c r="C420" s="2"/>
      <c r="D420" s="2"/>
      <c r="E420" s="2"/>
      <c r="F420" s="2"/>
      <c r="G420" s="2"/>
      <c r="H420" s="2"/>
      <c r="I420" s="5"/>
    </row>
    <row r="421" spans="1:9" ht="17.399999999999999" x14ac:dyDescent="0.25">
      <c r="A421" s="16"/>
      <c r="B421" s="17"/>
      <c r="C421" s="2"/>
      <c r="D421" s="2"/>
      <c r="E421" s="2"/>
      <c r="F421" s="2"/>
      <c r="G421" s="2"/>
      <c r="H421" s="2"/>
      <c r="I421" s="5"/>
    </row>
    <row r="422" spans="1:9" ht="17.399999999999999" x14ac:dyDescent="0.25">
      <c r="A422" s="16"/>
      <c r="B422" s="17"/>
      <c r="C422" s="2"/>
      <c r="D422" s="2"/>
      <c r="E422" s="2"/>
      <c r="F422" s="2"/>
      <c r="G422" s="2"/>
      <c r="H422" s="2"/>
      <c r="I422" s="5"/>
    </row>
    <row r="423" spans="1:9" ht="17.399999999999999" x14ac:dyDescent="0.25">
      <c r="A423" s="16"/>
      <c r="B423" s="17"/>
      <c r="C423" s="2"/>
      <c r="D423" s="2"/>
      <c r="E423" s="2"/>
      <c r="F423" s="2"/>
      <c r="G423" s="2"/>
      <c r="H423" s="2"/>
      <c r="I423" s="5"/>
    </row>
    <row r="424" spans="1:9" ht="17.399999999999999" x14ac:dyDescent="0.25">
      <c r="A424" s="16"/>
      <c r="B424" s="17"/>
      <c r="C424" s="2"/>
      <c r="D424" s="2"/>
      <c r="E424" s="2"/>
      <c r="F424" s="2"/>
      <c r="G424" s="2"/>
      <c r="H424" s="2"/>
      <c r="I424" s="5"/>
    </row>
    <row r="425" spans="1:9" ht="17.399999999999999" x14ac:dyDescent="0.25">
      <c r="A425" s="16"/>
      <c r="B425" s="17"/>
      <c r="C425" s="2"/>
      <c r="D425" s="2"/>
      <c r="E425" s="2"/>
      <c r="F425" s="2"/>
      <c r="G425" s="2"/>
      <c r="H425" s="2"/>
      <c r="I425" s="5"/>
    </row>
    <row r="426" spans="1:9" ht="17.399999999999999" x14ac:dyDescent="0.25">
      <c r="A426" s="16"/>
      <c r="B426" s="17"/>
      <c r="C426" s="2"/>
      <c r="D426" s="2"/>
      <c r="E426" s="2"/>
      <c r="F426" s="2"/>
      <c r="G426" s="2"/>
      <c r="H426" s="2"/>
      <c r="I426" s="5"/>
    </row>
    <row r="427" spans="1:9" ht="17.399999999999999" x14ac:dyDescent="0.25">
      <c r="A427" s="16"/>
      <c r="B427" s="17"/>
      <c r="C427" s="2"/>
      <c r="D427" s="2"/>
      <c r="E427" s="2"/>
      <c r="F427" s="2"/>
      <c r="G427" s="2"/>
      <c r="H427" s="2"/>
      <c r="I427" s="5"/>
    </row>
    <row r="428" spans="1:9" ht="17.399999999999999" x14ac:dyDescent="0.25">
      <c r="A428" s="16"/>
      <c r="B428" s="17"/>
      <c r="C428" s="2"/>
      <c r="D428" s="2"/>
      <c r="E428" s="2"/>
      <c r="F428" s="2"/>
      <c r="G428" s="2"/>
      <c r="H428" s="2"/>
      <c r="I428" s="5"/>
    </row>
    <row r="429" spans="1:9" ht="17.399999999999999" x14ac:dyDescent="0.25">
      <c r="A429" s="16"/>
      <c r="B429" s="17"/>
      <c r="C429" s="2"/>
      <c r="D429" s="2"/>
      <c r="E429" s="2"/>
      <c r="F429" s="2"/>
      <c r="G429" s="2"/>
      <c r="H429" s="2"/>
      <c r="I429" s="5"/>
    </row>
    <row r="430" spans="1:9" ht="17.399999999999999" x14ac:dyDescent="0.25">
      <c r="A430" s="16"/>
      <c r="B430" s="17"/>
      <c r="C430" s="2"/>
      <c r="D430" s="2"/>
      <c r="E430" s="2"/>
      <c r="F430" s="2"/>
      <c r="G430" s="2"/>
      <c r="H430" s="2"/>
      <c r="I430" s="5"/>
    </row>
    <row r="431" spans="1:9" ht="17.399999999999999" x14ac:dyDescent="0.25">
      <c r="A431" s="16"/>
      <c r="B431" s="17"/>
      <c r="C431" s="2"/>
      <c r="D431" s="2"/>
      <c r="E431" s="2"/>
      <c r="F431" s="2"/>
      <c r="G431" s="2"/>
      <c r="H431" s="2"/>
      <c r="I431" s="5"/>
    </row>
    <row r="432" spans="1:9" ht="17.399999999999999" x14ac:dyDescent="0.25">
      <c r="A432" s="16"/>
      <c r="B432" s="17"/>
      <c r="C432" s="2"/>
      <c r="D432" s="2"/>
      <c r="E432" s="2"/>
      <c r="F432" s="2"/>
      <c r="G432" s="2"/>
      <c r="H432" s="2"/>
      <c r="I432" s="5"/>
    </row>
    <row r="433" spans="1:9" ht="17.399999999999999" x14ac:dyDescent="0.25">
      <c r="A433" s="16"/>
      <c r="B433" s="17"/>
      <c r="C433" s="2"/>
      <c r="D433" s="2"/>
      <c r="E433" s="2"/>
      <c r="F433" s="2"/>
      <c r="G433" s="2"/>
      <c r="H433" s="2"/>
      <c r="I433" s="5"/>
    </row>
    <row r="434" spans="1:9" ht="17.399999999999999" x14ac:dyDescent="0.25">
      <c r="A434" s="16"/>
      <c r="B434" s="17"/>
      <c r="C434" s="2"/>
      <c r="D434" s="2"/>
      <c r="E434" s="2"/>
      <c r="F434" s="2"/>
      <c r="G434" s="2"/>
      <c r="H434" s="2"/>
      <c r="I434" s="5"/>
    </row>
    <row r="435" spans="1:9" ht="17.399999999999999" x14ac:dyDescent="0.25">
      <c r="A435" s="16"/>
      <c r="B435" s="17"/>
      <c r="C435" s="2"/>
      <c r="D435" s="2"/>
      <c r="E435" s="2"/>
      <c r="F435" s="2"/>
      <c r="G435" s="2"/>
      <c r="H435" s="2"/>
      <c r="I435" s="5"/>
    </row>
    <row r="436" spans="1:9" ht="17.399999999999999" x14ac:dyDescent="0.25">
      <c r="A436" s="16"/>
      <c r="B436" s="17"/>
      <c r="C436" s="2"/>
      <c r="D436" s="2"/>
      <c r="E436" s="2"/>
      <c r="F436" s="2"/>
      <c r="G436" s="2"/>
      <c r="H436" s="2"/>
      <c r="I436" s="5"/>
    </row>
    <row r="437" spans="1:9" ht="17.399999999999999" x14ac:dyDescent="0.25">
      <c r="A437" s="16"/>
      <c r="B437" s="17"/>
      <c r="C437" s="2"/>
      <c r="D437" s="2"/>
      <c r="E437" s="2"/>
      <c r="F437" s="2"/>
      <c r="G437" s="2"/>
      <c r="H437" s="2"/>
      <c r="I437" s="5"/>
    </row>
    <row r="438" spans="1:9" ht="17.399999999999999" x14ac:dyDescent="0.25">
      <c r="A438" s="16"/>
      <c r="B438" s="17"/>
      <c r="C438" s="2"/>
      <c r="D438" s="2"/>
      <c r="E438" s="2"/>
      <c r="F438" s="2"/>
      <c r="G438" s="2"/>
      <c r="H438" s="2"/>
      <c r="I438" s="5"/>
    </row>
    <row r="439" spans="1:9" ht="17.399999999999999" x14ac:dyDescent="0.25">
      <c r="A439" s="16"/>
      <c r="B439" s="17"/>
      <c r="C439" s="2"/>
      <c r="D439" s="2"/>
      <c r="E439" s="2"/>
      <c r="F439" s="2"/>
      <c r="G439" s="2"/>
      <c r="H439" s="2"/>
      <c r="I439" s="5"/>
    </row>
    <row r="440" spans="1:9" ht="17.399999999999999" x14ac:dyDescent="0.25">
      <c r="A440" s="16"/>
      <c r="B440" s="17"/>
      <c r="C440" s="2"/>
      <c r="D440" s="2"/>
      <c r="E440" s="2"/>
      <c r="F440" s="2"/>
      <c r="G440" s="2"/>
      <c r="H440" s="2"/>
      <c r="I440" s="5"/>
    </row>
    <row r="441" spans="1:9" ht="17.399999999999999" x14ac:dyDescent="0.25">
      <c r="A441" s="16"/>
      <c r="B441" s="17"/>
      <c r="C441" s="2"/>
      <c r="D441" s="2"/>
      <c r="E441" s="2"/>
      <c r="F441" s="2"/>
      <c r="G441" s="2"/>
      <c r="H441" s="2"/>
      <c r="I441" s="5"/>
    </row>
    <row r="442" spans="1:9" ht="17.399999999999999" x14ac:dyDescent="0.25">
      <c r="A442" s="16"/>
      <c r="B442" s="17"/>
      <c r="C442" s="2"/>
      <c r="D442" s="2"/>
      <c r="E442" s="2"/>
      <c r="F442" s="2"/>
      <c r="G442" s="2"/>
      <c r="H442" s="2"/>
      <c r="I442" s="5"/>
    </row>
    <row r="443" spans="1:9" ht="17.399999999999999" x14ac:dyDescent="0.25">
      <c r="A443" s="16"/>
      <c r="B443" s="17"/>
      <c r="C443" s="2"/>
      <c r="D443" s="2"/>
      <c r="E443" s="2"/>
      <c r="F443" s="2"/>
      <c r="G443" s="2"/>
      <c r="H443" s="2"/>
      <c r="I443" s="5"/>
    </row>
    <row r="444" spans="1:9" ht="17.399999999999999" x14ac:dyDescent="0.25">
      <c r="A444" s="16"/>
      <c r="B444" s="17"/>
      <c r="C444" s="2"/>
      <c r="D444" s="2"/>
      <c r="E444" s="2"/>
      <c r="F444" s="2"/>
      <c r="G444" s="2"/>
      <c r="H444" s="2"/>
      <c r="I444" s="5"/>
    </row>
    <row r="445" spans="1:9" ht="17.399999999999999" x14ac:dyDescent="0.25">
      <c r="A445" s="16"/>
      <c r="B445" s="17"/>
      <c r="C445" s="2"/>
      <c r="D445" s="2"/>
      <c r="E445" s="2"/>
      <c r="F445" s="2"/>
      <c r="G445" s="2"/>
      <c r="H445" s="2"/>
      <c r="I445" s="5"/>
    </row>
    <row r="446" spans="1:9" ht="17.399999999999999" x14ac:dyDescent="0.25">
      <c r="A446" s="16"/>
      <c r="B446" s="17"/>
      <c r="C446" s="2"/>
      <c r="D446" s="2"/>
      <c r="E446" s="2"/>
      <c r="F446" s="2"/>
      <c r="G446" s="2"/>
      <c r="H446" s="2"/>
      <c r="I446" s="5"/>
    </row>
    <row r="447" spans="1:9" ht="17.399999999999999" x14ac:dyDescent="0.25">
      <c r="A447" s="16"/>
      <c r="B447" s="17"/>
      <c r="C447" s="2"/>
      <c r="D447" s="2"/>
      <c r="E447" s="2"/>
      <c r="F447" s="2"/>
      <c r="G447" s="2"/>
      <c r="H447" s="2"/>
      <c r="I447" s="5"/>
    </row>
    <row r="448" spans="1:9" ht="17.399999999999999" x14ac:dyDescent="0.25">
      <c r="A448" s="16"/>
      <c r="B448" s="17"/>
      <c r="C448" s="2"/>
      <c r="D448" s="2"/>
      <c r="E448" s="2"/>
      <c r="F448" s="2"/>
      <c r="G448" s="2"/>
      <c r="H448" s="2"/>
      <c r="I448" s="5"/>
    </row>
    <row r="449" spans="1:9" ht="17.399999999999999" x14ac:dyDescent="0.25">
      <c r="A449" s="16"/>
      <c r="B449" s="17"/>
      <c r="C449" s="2"/>
      <c r="D449" s="2"/>
      <c r="E449" s="2"/>
      <c r="F449" s="2"/>
      <c r="G449" s="2"/>
      <c r="H449" s="2"/>
      <c r="I449" s="5"/>
    </row>
    <row r="450" spans="1:9" ht="17.399999999999999" x14ac:dyDescent="0.25">
      <c r="A450" s="16"/>
      <c r="B450" s="17"/>
      <c r="C450" s="2"/>
      <c r="D450" s="2"/>
      <c r="E450" s="2"/>
      <c r="F450" s="2"/>
      <c r="G450" s="2"/>
      <c r="H450" s="2"/>
      <c r="I450" s="5"/>
    </row>
    <row r="451" spans="1:9" ht="17.399999999999999" x14ac:dyDescent="0.25">
      <c r="A451" s="16"/>
      <c r="B451" s="17"/>
      <c r="C451" s="2"/>
      <c r="D451" s="2"/>
      <c r="E451" s="2"/>
      <c r="F451" s="2"/>
      <c r="G451" s="2"/>
      <c r="H451" s="2"/>
      <c r="I451" s="5"/>
    </row>
    <row r="452" spans="1:9" ht="17.399999999999999" x14ac:dyDescent="0.25">
      <c r="A452" s="16"/>
      <c r="B452" s="17"/>
      <c r="C452" s="2"/>
      <c r="D452" s="2"/>
      <c r="E452" s="2"/>
      <c r="F452" s="2"/>
      <c r="G452" s="2"/>
      <c r="H452" s="2"/>
      <c r="I452" s="5"/>
    </row>
    <row r="453" spans="1:9" ht="17.399999999999999" x14ac:dyDescent="0.25">
      <c r="A453" s="16"/>
      <c r="B453" s="17"/>
      <c r="C453" s="2"/>
      <c r="D453" s="2"/>
      <c r="E453" s="2"/>
      <c r="F453" s="2"/>
      <c r="G453" s="2"/>
      <c r="H453" s="2"/>
      <c r="I453" s="5"/>
    </row>
    <row r="454" spans="1:9" ht="17.399999999999999" x14ac:dyDescent="0.25">
      <c r="A454" s="16"/>
      <c r="B454" s="17"/>
      <c r="C454" s="2"/>
      <c r="D454" s="2"/>
      <c r="E454" s="2"/>
      <c r="F454" s="2"/>
      <c r="G454" s="2"/>
      <c r="H454" s="2"/>
      <c r="I454" s="5"/>
    </row>
    <row r="455" spans="1:9" ht="17.399999999999999" x14ac:dyDescent="0.25">
      <c r="A455" s="16"/>
      <c r="B455" s="17"/>
      <c r="C455" s="2"/>
      <c r="D455" s="2"/>
      <c r="E455" s="2"/>
      <c r="F455" s="2"/>
      <c r="G455" s="2"/>
      <c r="H455" s="2"/>
      <c r="I455" s="5"/>
    </row>
    <row r="456" spans="1:9" ht="17.399999999999999" x14ac:dyDescent="0.25">
      <c r="A456" s="16"/>
      <c r="B456" s="17"/>
      <c r="C456" s="2"/>
      <c r="D456" s="2"/>
      <c r="E456" s="2"/>
      <c r="F456" s="2"/>
      <c r="G456" s="2"/>
      <c r="H456" s="2"/>
      <c r="I456" s="5"/>
    </row>
    <row r="457" spans="1:9" ht="17.399999999999999" x14ac:dyDescent="0.25">
      <c r="A457" s="16"/>
      <c r="B457" s="17"/>
      <c r="C457" s="2"/>
      <c r="D457" s="2"/>
      <c r="E457" s="2"/>
      <c r="F457" s="2"/>
      <c r="G457" s="2"/>
      <c r="H457" s="2"/>
      <c r="I457" s="5"/>
    </row>
    <row r="458" spans="1:9" ht="17.399999999999999" x14ac:dyDescent="0.25">
      <c r="A458" s="16"/>
      <c r="B458" s="17"/>
      <c r="C458" s="2"/>
      <c r="D458" s="2"/>
      <c r="E458" s="2"/>
      <c r="F458" s="2"/>
      <c r="G458" s="2"/>
      <c r="H458" s="2"/>
      <c r="I458" s="5"/>
    </row>
    <row r="459" spans="1:9" ht="17.399999999999999" x14ac:dyDescent="0.25">
      <c r="A459" s="16"/>
      <c r="B459" s="17"/>
      <c r="C459" s="2"/>
      <c r="D459" s="2"/>
      <c r="E459" s="2"/>
      <c r="F459" s="2"/>
      <c r="G459" s="2"/>
      <c r="H459" s="2"/>
      <c r="I459" s="5"/>
    </row>
    <row r="460" spans="1:9" ht="17.399999999999999" x14ac:dyDescent="0.25">
      <c r="A460" s="16"/>
      <c r="B460" s="17"/>
      <c r="C460" s="2"/>
      <c r="D460" s="2"/>
      <c r="E460" s="2"/>
      <c r="F460" s="2"/>
      <c r="G460" s="2"/>
      <c r="H460" s="2"/>
      <c r="I460" s="5"/>
    </row>
    <row r="461" spans="1:9" ht="17.399999999999999" x14ac:dyDescent="0.25">
      <c r="A461" s="16"/>
      <c r="B461" s="17"/>
      <c r="C461" s="2"/>
      <c r="D461" s="2"/>
      <c r="E461" s="2"/>
      <c r="F461" s="2"/>
      <c r="G461" s="2"/>
      <c r="H461" s="2"/>
      <c r="I461" s="5"/>
    </row>
    <row r="462" spans="1:9" ht="17.399999999999999" x14ac:dyDescent="0.25">
      <c r="A462" s="16"/>
      <c r="B462" s="17"/>
      <c r="C462" s="2"/>
      <c r="D462" s="2"/>
      <c r="E462" s="2"/>
      <c r="F462" s="2"/>
      <c r="G462" s="2"/>
      <c r="H462" s="2"/>
      <c r="I462" s="5"/>
    </row>
    <row r="463" spans="1:9" ht="17.399999999999999" x14ac:dyDescent="0.25">
      <c r="A463" s="16"/>
      <c r="B463" s="17"/>
      <c r="C463" s="2"/>
      <c r="D463" s="2"/>
      <c r="E463" s="2"/>
      <c r="F463" s="2"/>
      <c r="G463" s="2"/>
      <c r="H463" s="2"/>
      <c r="I463" s="5"/>
    </row>
    <row r="464" spans="1:9" ht="17.399999999999999" x14ac:dyDescent="0.25">
      <c r="A464" s="16"/>
      <c r="B464" s="17"/>
      <c r="C464" s="2"/>
      <c r="D464" s="2"/>
      <c r="E464" s="2"/>
      <c r="F464" s="2"/>
      <c r="G464" s="2"/>
      <c r="H464" s="2"/>
      <c r="I464" s="5"/>
    </row>
    <row r="465" spans="1:9" ht="17.399999999999999" x14ac:dyDescent="0.25">
      <c r="A465" s="16"/>
      <c r="B465" s="17"/>
      <c r="C465" s="2"/>
      <c r="D465" s="2"/>
      <c r="E465" s="2"/>
      <c r="F465" s="2"/>
      <c r="G465" s="2"/>
      <c r="H465" s="2"/>
      <c r="I465" s="5"/>
    </row>
    <row r="466" spans="1:9" ht="17.399999999999999" x14ac:dyDescent="0.25">
      <c r="A466" s="16"/>
      <c r="B466" s="17"/>
      <c r="C466" s="2"/>
      <c r="D466" s="2"/>
      <c r="E466" s="2"/>
      <c r="F466" s="2"/>
      <c r="G466" s="2"/>
      <c r="H466" s="2"/>
      <c r="I466" s="5"/>
    </row>
    <row r="467" spans="1:9" ht="17.399999999999999" x14ac:dyDescent="0.25">
      <c r="A467" s="16"/>
      <c r="B467" s="17"/>
      <c r="C467" s="2"/>
      <c r="D467" s="2"/>
      <c r="E467" s="2"/>
      <c r="F467" s="2"/>
      <c r="G467" s="2"/>
      <c r="H467" s="2"/>
      <c r="I467" s="5"/>
    </row>
    <row r="468" spans="1:9" ht="17.399999999999999" x14ac:dyDescent="0.25">
      <c r="A468" s="16"/>
      <c r="B468" s="17"/>
      <c r="C468" s="2"/>
      <c r="D468" s="2"/>
      <c r="E468" s="2"/>
      <c r="F468" s="2"/>
      <c r="G468" s="2"/>
      <c r="H468" s="2"/>
      <c r="I468" s="5"/>
    </row>
    <row r="469" spans="1:9" ht="17.399999999999999" x14ac:dyDescent="0.25">
      <c r="A469" s="16"/>
      <c r="B469" s="17"/>
      <c r="C469" s="2"/>
      <c r="D469" s="2"/>
      <c r="E469" s="2"/>
      <c r="F469" s="2"/>
      <c r="G469" s="2"/>
      <c r="H469" s="2"/>
      <c r="I469" s="5"/>
    </row>
    <row r="470" spans="1:9" ht="17.399999999999999" x14ac:dyDescent="0.25">
      <c r="A470" s="16"/>
      <c r="B470" s="17"/>
      <c r="C470" s="2"/>
      <c r="D470" s="2"/>
      <c r="E470" s="2"/>
      <c r="F470" s="2"/>
      <c r="G470" s="2"/>
      <c r="H470" s="2"/>
      <c r="I470" s="5"/>
    </row>
    <row r="471" spans="1:9" ht="17.399999999999999" x14ac:dyDescent="0.25">
      <c r="A471" s="16"/>
      <c r="B471" s="17"/>
      <c r="C471" s="2"/>
      <c r="D471" s="2"/>
      <c r="E471" s="2"/>
      <c r="F471" s="2"/>
      <c r="G471" s="2"/>
      <c r="H471" s="2"/>
      <c r="I471" s="5"/>
    </row>
    <row r="472" spans="1:9" ht="17.399999999999999" x14ac:dyDescent="0.25">
      <c r="A472" s="16"/>
      <c r="B472" s="17"/>
      <c r="C472" s="2"/>
      <c r="D472" s="2"/>
      <c r="E472" s="2"/>
      <c r="F472" s="2"/>
      <c r="G472" s="2"/>
      <c r="H472" s="2"/>
      <c r="I472" s="5"/>
    </row>
    <row r="473" spans="1:9" ht="17.399999999999999" x14ac:dyDescent="0.25">
      <c r="A473" s="16"/>
      <c r="B473" s="17"/>
      <c r="C473" s="2"/>
      <c r="D473" s="2"/>
      <c r="E473" s="2"/>
      <c r="F473" s="2"/>
      <c r="G473" s="2"/>
      <c r="H473" s="2"/>
      <c r="I473" s="5"/>
    </row>
    <row r="474" spans="1:9" ht="17.399999999999999" x14ac:dyDescent="0.25">
      <c r="A474" s="16"/>
      <c r="B474" s="17"/>
      <c r="C474" s="2"/>
      <c r="D474" s="2"/>
      <c r="E474" s="2"/>
      <c r="F474" s="2"/>
      <c r="G474" s="2"/>
      <c r="H474" s="2"/>
      <c r="I474" s="5"/>
    </row>
    <row r="475" spans="1:9" ht="17.399999999999999" x14ac:dyDescent="0.25">
      <c r="A475" s="16"/>
      <c r="B475" s="17"/>
      <c r="C475" s="2"/>
      <c r="D475" s="2"/>
      <c r="E475" s="2"/>
      <c r="F475" s="2"/>
      <c r="G475" s="2"/>
      <c r="H475" s="2"/>
      <c r="I475" s="5"/>
    </row>
    <row r="476" spans="1:9" ht="17.399999999999999" x14ac:dyDescent="0.25">
      <c r="A476" s="16"/>
      <c r="B476" s="17"/>
      <c r="C476" s="2"/>
      <c r="D476" s="2"/>
      <c r="E476" s="2"/>
      <c r="F476" s="2"/>
      <c r="G476" s="2"/>
      <c r="H476" s="2"/>
      <c r="I476" s="5"/>
    </row>
    <row r="477" spans="1:9" ht="17.399999999999999" x14ac:dyDescent="0.25">
      <c r="A477" s="16"/>
      <c r="B477" s="17"/>
      <c r="C477" s="2"/>
      <c r="D477" s="2"/>
      <c r="E477" s="2"/>
      <c r="F477" s="2"/>
      <c r="G477" s="2"/>
      <c r="H477" s="2"/>
      <c r="I477" s="5"/>
    </row>
    <row r="478" spans="1:9" ht="17.399999999999999" x14ac:dyDescent="0.25">
      <c r="A478" s="16"/>
      <c r="B478" s="17"/>
      <c r="C478" s="2"/>
      <c r="D478" s="2"/>
      <c r="E478" s="2"/>
      <c r="F478" s="2"/>
      <c r="G478" s="2"/>
      <c r="H478" s="2"/>
      <c r="I478" s="5"/>
    </row>
    <row r="479" spans="1:9" ht="17.399999999999999" x14ac:dyDescent="0.25">
      <c r="A479" s="16"/>
      <c r="B479" s="17"/>
      <c r="C479" s="2"/>
      <c r="D479" s="2"/>
      <c r="E479" s="2"/>
      <c r="F479" s="2"/>
      <c r="G479" s="2"/>
      <c r="H479" s="2"/>
      <c r="I479" s="5"/>
    </row>
    <row r="480" spans="1:9" ht="17.399999999999999" x14ac:dyDescent="0.25">
      <c r="A480" s="16"/>
      <c r="B480" s="17"/>
      <c r="C480" s="2"/>
      <c r="D480" s="2"/>
      <c r="E480" s="2"/>
      <c r="F480" s="2"/>
      <c r="G480" s="2"/>
      <c r="H480" s="2"/>
      <c r="I480" s="5"/>
    </row>
    <row r="481" spans="1:9" ht="17.399999999999999" x14ac:dyDescent="0.25">
      <c r="A481" s="16"/>
      <c r="B481" s="17"/>
      <c r="C481" s="2"/>
      <c r="D481" s="2"/>
      <c r="E481" s="2"/>
      <c r="F481" s="2"/>
      <c r="G481" s="2"/>
      <c r="H481" s="2"/>
      <c r="I481" s="5"/>
    </row>
    <row r="482" spans="1:9" ht="17.399999999999999" x14ac:dyDescent="0.25">
      <c r="A482" s="16"/>
      <c r="B482" s="17"/>
      <c r="C482" s="2"/>
      <c r="D482" s="2"/>
      <c r="E482" s="2"/>
      <c r="F482" s="2"/>
      <c r="G482" s="2"/>
      <c r="H482" s="2"/>
      <c r="I482" s="5"/>
    </row>
    <row r="483" spans="1:9" ht="17.399999999999999" x14ac:dyDescent="0.25">
      <c r="A483" s="16"/>
      <c r="B483" s="17"/>
      <c r="C483" s="2"/>
      <c r="D483" s="2"/>
      <c r="E483" s="2"/>
      <c r="F483" s="2"/>
      <c r="G483" s="2"/>
      <c r="H483" s="2"/>
      <c r="I483" s="5"/>
    </row>
    <row r="484" spans="1:9" ht="17.399999999999999" x14ac:dyDescent="0.25">
      <c r="A484" s="16"/>
      <c r="B484" s="17"/>
      <c r="C484" s="2"/>
      <c r="D484" s="2"/>
      <c r="E484" s="2"/>
      <c r="F484" s="2"/>
      <c r="G484" s="2"/>
      <c r="H484" s="2"/>
      <c r="I484" s="5"/>
    </row>
    <row r="485" spans="1:9" ht="17.399999999999999" x14ac:dyDescent="0.25">
      <c r="A485" s="16"/>
      <c r="B485" s="17"/>
      <c r="C485" s="2"/>
      <c r="D485" s="2"/>
      <c r="E485" s="2"/>
      <c r="F485" s="2"/>
      <c r="G485" s="2"/>
      <c r="H485" s="2"/>
      <c r="I485" s="5"/>
    </row>
    <row r="486" spans="1:9" ht="17.399999999999999" x14ac:dyDescent="0.25">
      <c r="A486" s="16"/>
      <c r="B486" s="17"/>
      <c r="C486" s="2"/>
      <c r="D486" s="2"/>
      <c r="E486" s="2"/>
      <c r="F486" s="2"/>
      <c r="G486" s="2"/>
      <c r="H486" s="2"/>
      <c r="I486" s="5"/>
    </row>
    <row r="487" spans="1:9" ht="17.399999999999999" x14ac:dyDescent="0.25">
      <c r="A487" s="16"/>
      <c r="B487" s="17"/>
      <c r="C487" s="2"/>
      <c r="D487" s="2"/>
      <c r="E487" s="2"/>
      <c r="F487" s="2"/>
      <c r="G487" s="2"/>
      <c r="H487" s="2"/>
      <c r="I487" s="5"/>
    </row>
    <row r="488" spans="1:9" ht="17.399999999999999" x14ac:dyDescent="0.25">
      <c r="A488" s="16"/>
      <c r="B488" s="17"/>
      <c r="C488" s="2"/>
      <c r="D488" s="2"/>
      <c r="E488" s="2"/>
      <c r="F488" s="2"/>
      <c r="G488" s="2"/>
      <c r="H488" s="2"/>
      <c r="I488" s="5"/>
    </row>
    <row r="489" spans="1:9" ht="17.399999999999999" x14ac:dyDescent="0.25">
      <c r="A489" s="16"/>
      <c r="B489" s="17"/>
      <c r="C489" s="2"/>
      <c r="D489" s="2"/>
      <c r="E489" s="2"/>
      <c r="F489" s="2"/>
      <c r="G489" s="2"/>
      <c r="H489" s="2"/>
      <c r="I489" s="5"/>
    </row>
    <row r="490" spans="1:9" ht="17.399999999999999" x14ac:dyDescent="0.25">
      <c r="A490" s="16"/>
      <c r="B490" s="17"/>
      <c r="C490" s="2"/>
      <c r="D490" s="2"/>
      <c r="E490" s="2"/>
      <c r="F490" s="2"/>
      <c r="G490" s="2"/>
      <c r="H490" s="2"/>
      <c r="I490" s="5"/>
    </row>
    <row r="491" spans="1:9" ht="17.399999999999999" x14ac:dyDescent="0.25">
      <c r="A491" s="16"/>
      <c r="B491" s="17"/>
      <c r="C491" s="2"/>
      <c r="D491" s="2"/>
      <c r="E491" s="2"/>
      <c r="F491" s="2"/>
      <c r="G491" s="2"/>
      <c r="H491" s="2"/>
      <c r="I491" s="5"/>
    </row>
    <row r="492" spans="1:9" ht="17.399999999999999" x14ac:dyDescent="0.25">
      <c r="A492" s="16"/>
      <c r="B492" s="17"/>
      <c r="C492" s="2"/>
      <c r="D492" s="2"/>
      <c r="E492" s="2"/>
      <c r="F492" s="2"/>
      <c r="G492" s="2"/>
      <c r="H492" s="2"/>
      <c r="I492" s="5"/>
    </row>
    <row r="493" spans="1:9" ht="17.399999999999999" x14ac:dyDescent="0.25">
      <c r="A493" s="16"/>
      <c r="B493" s="17"/>
      <c r="C493" s="2"/>
      <c r="D493" s="2"/>
      <c r="E493" s="2"/>
      <c r="F493" s="2"/>
      <c r="G493" s="2"/>
      <c r="H493" s="2"/>
      <c r="I493" s="5"/>
    </row>
    <row r="494" spans="1:9" ht="17.399999999999999" x14ac:dyDescent="0.25">
      <c r="A494" s="16"/>
      <c r="B494" s="17"/>
      <c r="C494" s="2"/>
      <c r="D494" s="2"/>
      <c r="E494" s="2"/>
      <c r="F494" s="2"/>
      <c r="G494" s="2"/>
      <c r="H494" s="2"/>
      <c r="I494" s="5"/>
    </row>
    <row r="495" spans="1:9" ht="17.399999999999999" x14ac:dyDescent="0.25">
      <c r="A495" s="16"/>
      <c r="B495" s="17"/>
      <c r="C495" s="2"/>
      <c r="D495" s="2"/>
      <c r="E495" s="2"/>
      <c r="F495" s="2"/>
      <c r="G495" s="2"/>
      <c r="H495" s="2"/>
      <c r="I495" s="5"/>
    </row>
    <row r="496" spans="1:9" ht="17.399999999999999" x14ac:dyDescent="0.25">
      <c r="A496" s="16"/>
      <c r="B496" s="17"/>
      <c r="C496" s="2"/>
      <c r="D496" s="2"/>
      <c r="E496" s="2"/>
      <c r="F496" s="2"/>
      <c r="G496" s="2"/>
      <c r="H496" s="2"/>
      <c r="I496" s="5"/>
    </row>
    <row r="497" spans="1:9" ht="17.399999999999999" x14ac:dyDescent="0.25">
      <c r="A497" s="16"/>
      <c r="B497" s="17"/>
      <c r="C497" s="2"/>
      <c r="D497" s="2"/>
      <c r="E497" s="2"/>
      <c r="F497" s="2"/>
      <c r="G497" s="2"/>
      <c r="H497" s="2"/>
      <c r="I497" s="5"/>
    </row>
    <row r="498" spans="1:9" ht="17.399999999999999" x14ac:dyDescent="0.25">
      <c r="A498" s="16"/>
      <c r="B498" s="17"/>
      <c r="C498" s="2"/>
      <c r="D498" s="2"/>
      <c r="E498" s="2"/>
      <c r="F498" s="2"/>
      <c r="G498" s="2"/>
      <c r="H498" s="2"/>
      <c r="I498" s="5"/>
    </row>
    <row r="499" spans="1:9" ht="17.399999999999999" x14ac:dyDescent="0.25">
      <c r="A499" s="16"/>
      <c r="B499" s="17"/>
      <c r="C499" s="2"/>
      <c r="D499" s="2"/>
      <c r="E499" s="2"/>
      <c r="F499" s="2"/>
      <c r="G499" s="2"/>
      <c r="H499" s="2"/>
      <c r="I499" s="5"/>
    </row>
    <row r="500" spans="1:9" ht="17.399999999999999" x14ac:dyDescent="0.25">
      <c r="A500" s="16"/>
      <c r="B500" s="17"/>
      <c r="C500" s="2"/>
      <c r="D500" s="2"/>
      <c r="E500" s="2"/>
      <c r="F500" s="2"/>
      <c r="G500" s="2"/>
      <c r="H500" s="2"/>
      <c r="I500" s="5"/>
    </row>
    <row r="501" spans="1:9" ht="17.399999999999999" x14ac:dyDescent="0.25">
      <c r="A501" s="16"/>
      <c r="B501" s="17"/>
      <c r="C501" s="2"/>
      <c r="D501" s="2"/>
      <c r="E501" s="2"/>
      <c r="F501" s="2"/>
      <c r="G501" s="2"/>
      <c r="H501" s="2"/>
      <c r="I501" s="5"/>
    </row>
    <row r="502" spans="1:9" ht="17.399999999999999" x14ac:dyDescent="0.25">
      <c r="A502" s="16"/>
      <c r="B502" s="17"/>
      <c r="C502" s="2"/>
      <c r="D502" s="2"/>
      <c r="E502" s="2"/>
      <c r="F502" s="2"/>
      <c r="G502" s="2"/>
      <c r="H502" s="2"/>
      <c r="I502" s="5"/>
    </row>
    <row r="503" spans="1:9" ht="17.399999999999999" x14ac:dyDescent="0.25">
      <c r="A503" s="16"/>
      <c r="B503" s="17"/>
      <c r="C503" s="2"/>
      <c r="D503" s="2"/>
      <c r="E503" s="2"/>
      <c r="F503" s="2"/>
      <c r="G503" s="2"/>
      <c r="H503" s="2"/>
      <c r="I503" s="5"/>
    </row>
    <row r="504" spans="1:9" ht="17.399999999999999" x14ac:dyDescent="0.25">
      <c r="A504" s="16"/>
      <c r="B504" s="17"/>
      <c r="C504" s="2"/>
      <c r="D504" s="2"/>
      <c r="E504" s="2"/>
      <c r="F504" s="2"/>
      <c r="G504" s="2"/>
      <c r="H504" s="2"/>
      <c r="I504" s="5"/>
    </row>
    <row r="505" spans="1:9" ht="17.399999999999999" x14ac:dyDescent="0.25">
      <c r="A505" s="16"/>
      <c r="B505" s="17"/>
      <c r="C505" s="2"/>
      <c r="D505" s="2"/>
      <c r="E505" s="2"/>
      <c r="F505" s="2"/>
      <c r="G505" s="2"/>
      <c r="H505" s="2"/>
      <c r="I505" s="5"/>
    </row>
    <row r="506" spans="1:9" ht="17.399999999999999" x14ac:dyDescent="0.25">
      <c r="A506" s="16"/>
      <c r="B506" s="17"/>
      <c r="C506" s="2"/>
      <c r="D506" s="2"/>
      <c r="E506" s="2"/>
      <c r="F506" s="2"/>
      <c r="G506" s="2"/>
      <c r="H506" s="2"/>
      <c r="I506" s="5"/>
    </row>
    <row r="507" spans="1:9" ht="17.399999999999999" x14ac:dyDescent="0.25">
      <c r="A507" s="16"/>
      <c r="B507" s="17"/>
      <c r="C507" s="2"/>
      <c r="D507" s="2"/>
      <c r="E507" s="2"/>
      <c r="F507" s="2"/>
      <c r="G507" s="2"/>
      <c r="H507" s="2"/>
      <c r="I507" s="5"/>
    </row>
    <row r="508" spans="1:9" ht="17.399999999999999" x14ac:dyDescent="0.25">
      <c r="A508" s="16"/>
      <c r="B508" s="17"/>
      <c r="C508" s="2"/>
      <c r="D508" s="2"/>
      <c r="E508" s="2"/>
      <c r="F508" s="2"/>
      <c r="G508" s="2"/>
      <c r="H508" s="2"/>
      <c r="I508" s="5"/>
    </row>
    <row r="509" spans="1:9" ht="17.399999999999999" x14ac:dyDescent="0.25">
      <c r="A509" s="16"/>
      <c r="B509" s="17"/>
      <c r="C509" s="2"/>
      <c r="D509" s="2"/>
      <c r="E509" s="2"/>
      <c r="F509" s="2"/>
      <c r="G509" s="2"/>
      <c r="H509" s="2"/>
      <c r="I509" s="5"/>
    </row>
    <row r="510" spans="1:9" ht="17.399999999999999" x14ac:dyDescent="0.25">
      <c r="A510" s="16"/>
      <c r="B510" s="17"/>
      <c r="C510" s="2"/>
      <c r="D510" s="2"/>
      <c r="E510" s="2"/>
      <c r="F510" s="2"/>
      <c r="G510" s="2"/>
      <c r="H510" s="2"/>
      <c r="I510" s="5"/>
    </row>
    <row r="511" spans="1:9" ht="17.399999999999999" x14ac:dyDescent="0.25">
      <c r="A511" s="16"/>
      <c r="B511" s="17"/>
      <c r="C511" s="2"/>
      <c r="D511" s="2"/>
      <c r="E511" s="2"/>
      <c r="F511" s="2"/>
      <c r="G511" s="2"/>
      <c r="H511" s="2"/>
      <c r="I511" s="5"/>
    </row>
    <row r="512" spans="1:9" ht="17.399999999999999" x14ac:dyDescent="0.25">
      <c r="A512" s="16"/>
      <c r="B512" s="17"/>
      <c r="C512" s="2"/>
      <c r="D512" s="2"/>
      <c r="E512" s="2"/>
      <c r="F512" s="2"/>
      <c r="G512" s="2"/>
      <c r="H512" s="2"/>
      <c r="I512" s="5"/>
    </row>
    <row r="513" spans="1:9" ht="17.399999999999999" x14ac:dyDescent="0.25">
      <c r="A513" s="16"/>
      <c r="B513" s="17"/>
      <c r="C513" s="2"/>
      <c r="D513" s="2"/>
      <c r="E513" s="2"/>
      <c r="F513" s="2"/>
      <c r="G513" s="2"/>
      <c r="H513" s="2"/>
      <c r="I513" s="5"/>
    </row>
    <row r="514" spans="1:9" ht="17.399999999999999" x14ac:dyDescent="0.25">
      <c r="A514" s="16"/>
      <c r="B514" s="17"/>
      <c r="C514" s="2"/>
      <c r="D514" s="2"/>
      <c r="E514" s="2"/>
      <c r="F514" s="2"/>
      <c r="G514" s="2"/>
      <c r="H514" s="2"/>
      <c r="I514" s="5"/>
    </row>
    <row r="515" spans="1:9" ht="17.399999999999999" x14ac:dyDescent="0.25">
      <c r="A515" s="16"/>
      <c r="B515" s="17"/>
      <c r="C515" s="2"/>
      <c r="D515" s="2"/>
      <c r="E515" s="2"/>
      <c r="F515" s="2"/>
      <c r="G515" s="2"/>
      <c r="H515" s="2"/>
      <c r="I515" s="5"/>
    </row>
    <row r="516" spans="1:9" ht="17.399999999999999" x14ac:dyDescent="0.25">
      <c r="A516" s="16"/>
      <c r="B516" s="17"/>
      <c r="C516" s="2"/>
      <c r="D516" s="2"/>
      <c r="E516" s="2"/>
      <c r="F516" s="2"/>
      <c r="G516" s="2"/>
      <c r="H516" s="2"/>
      <c r="I516" s="5"/>
    </row>
    <row r="517" spans="1:9" ht="17.399999999999999" x14ac:dyDescent="0.25">
      <c r="A517" s="16"/>
      <c r="B517" s="17"/>
      <c r="C517" s="2"/>
      <c r="D517" s="2"/>
      <c r="E517" s="2"/>
      <c r="F517" s="2"/>
      <c r="G517" s="2"/>
      <c r="H517" s="2"/>
      <c r="I517" s="5"/>
    </row>
    <row r="518" spans="1:9" ht="17.399999999999999" x14ac:dyDescent="0.25">
      <c r="A518" s="16"/>
      <c r="B518" s="17"/>
      <c r="C518" s="2"/>
      <c r="D518" s="2"/>
      <c r="E518" s="2"/>
      <c r="F518" s="2"/>
      <c r="G518" s="2"/>
      <c r="H518" s="2"/>
      <c r="I518" s="5"/>
    </row>
    <row r="519" spans="1:9" ht="17.399999999999999" x14ac:dyDescent="0.25">
      <c r="A519" s="16"/>
      <c r="B519" s="17"/>
      <c r="C519" s="2"/>
      <c r="D519" s="2"/>
      <c r="E519" s="2"/>
      <c r="F519" s="2"/>
      <c r="G519" s="2"/>
      <c r="H519" s="2"/>
      <c r="I519" s="5"/>
    </row>
    <row r="520" spans="1:9" ht="17.399999999999999" x14ac:dyDescent="0.25">
      <c r="A520" s="16"/>
      <c r="B520" s="17"/>
      <c r="C520" s="2"/>
      <c r="D520" s="2"/>
      <c r="E520" s="2"/>
      <c r="F520" s="2"/>
      <c r="G520" s="2"/>
      <c r="H520" s="2"/>
      <c r="I520" s="5"/>
    </row>
    <row r="521" spans="1:9" ht="17.399999999999999" x14ac:dyDescent="0.25">
      <c r="A521" s="16"/>
      <c r="B521" s="17"/>
      <c r="C521" s="2"/>
      <c r="D521" s="2"/>
      <c r="E521" s="2"/>
      <c r="F521" s="2"/>
      <c r="G521" s="2"/>
      <c r="H521" s="2"/>
      <c r="I521" s="5"/>
    </row>
    <row r="522" spans="1:9" ht="17.399999999999999" x14ac:dyDescent="0.25">
      <c r="A522" s="16"/>
      <c r="B522" s="17"/>
      <c r="C522" s="2"/>
      <c r="D522" s="2"/>
      <c r="E522" s="2"/>
      <c r="F522" s="2"/>
      <c r="G522" s="2"/>
      <c r="H522" s="2"/>
      <c r="I522" s="5"/>
    </row>
    <row r="523" spans="1:9" ht="17.399999999999999" x14ac:dyDescent="0.25">
      <c r="A523" s="16"/>
      <c r="B523" s="17"/>
      <c r="C523" s="2"/>
      <c r="D523" s="2"/>
      <c r="E523" s="2"/>
      <c r="F523" s="2"/>
      <c r="G523" s="2"/>
      <c r="H523" s="2"/>
      <c r="I523" s="5"/>
    </row>
    <row r="524" spans="1:9" ht="17.399999999999999" x14ac:dyDescent="0.25">
      <c r="A524" s="16"/>
      <c r="B524" s="17"/>
      <c r="C524" s="2"/>
      <c r="D524" s="2"/>
      <c r="E524" s="2"/>
      <c r="F524" s="2"/>
      <c r="G524" s="2"/>
      <c r="H524" s="2"/>
      <c r="I524" s="5"/>
    </row>
    <row r="525" spans="1:9" ht="17.399999999999999" x14ac:dyDescent="0.25">
      <c r="A525" s="16"/>
      <c r="B525" s="17"/>
      <c r="C525" s="2"/>
      <c r="D525" s="2"/>
      <c r="E525" s="2"/>
      <c r="F525" s="2"/>
      <c r="G525" s="2"/>
      <c r="H525" s="2"/>
      <c r="I525" s="5"/>
    </row>
    <row r="526" spans="1:9" ht="17.399999999999999" x14ac:dyDescent="0.25">
      <c r="A526" s="16"/>
      <c r="B526" s="17"/>
      <c r="C526" s="2"/>
      <c r="D526" s="2"/>
      <c r="E526" s="2"/>
      <c r="F526" s="2"/>
      <c r="G526" s="2"/>
      <c r="H526" s="2"/>
      <c r="I526" s="5"/>
    </row>
    <row r="527" spans="1:9" ht="17.399999999999999" x14ac:dyDescent="0.25">
      <c r="A527" s="16"/>
      <c r="B527" s="17"/>
      <c r="C527" s="2"/>
      <c r="D527" s="2"/>
      <c r="E527" s="2"/>
      <c r="F527" s="2"/>
      <c r="G527" s="2"/>
      <c r="H527" s="2"/>
      <c r="I527" s="5"/>
    </row>
    <row r="528" spans="1:9" ht="17.399999999999999" x14ac:dyDescent="0.25">
      <c r="A528" s="16"/>
      <c r="B528" s="17"/>
      <c r="C528" s="2"/>
      <c r="D528" s="2"/>
      <c r="E528" s="2"/>
      <c r="F528" s="2"/>
      <c r="G528" s="2"/>
      <c r="H528" s="2"/>
      <c r="I528" s="5"/>
    </row>
    <row r="529" spans="1:9" ht="17.399999999999999" x14ac:dyDescent="0.25">
      <c r="A529" s="16"/>
      <c r="B529" s="17"/>
      <c r="C529" s="2"/>
      <c r="D529" s="2"/>
      <c r="E529" s="2"/>
      <c r="F529" s="2"/>
      <c r="G529" s="2"/>
      <c r="H529" s="2"/>
      <c r="I529" s="5"/>
    </row>
    <row r="530" spans="1:9" ht="17.399999999999999" x14ac:dyDescent="0.25">
      <c r="A530" s="16"/>
      <c r="B530" s="17"/>
      <c r="C530" s="2"/>
      <c r="D530" s="2"/>
      <c r="E530" s="2"/>
      <c r="F530" s="2"/>
      <c r="G530" s="2"/>
      <c r="H530" s="2"/>
      <c r="I530" s="5"/>
    </row>
    <row r="531" spans="1:9" ht="17.399999999999999" x14ac:dyDescent="0.25">
      <c r="A531" s="16"/>
      <c r="B531" s="17"/>
      <c r="C531" s="2"/>
      <c r="D531" s="2"/>
      <c r="E531" s="2"/>
      <c r="F531" s="2"/>
      <c r="G531" s="2"/>
      <c r="H531" s="2"/>
      <c r="I531" s="5"/>
    </row>
    <row r="532" spans="1:9" ht="17.399999999999999" x14ac:dyDescent="0.25">
      <c r="A532" s="16"/>
      <c r="B532" s="17"/>
      <c r="C532" s="2"/>
      <c r="D532" s="2"/>
      <c r="E532" s="2"/>
      <c r="F532" s="2"/>
      <c r="G532" s="2"/>
      <c r="H532" s="2"/>
      <c r="I532" s="5"/>
    </row>
    <row r="533" spans="1:9" ht="17.399999999999999" x14ac:dyDescent="0.25">
      <c r="A533" s="16"/>
      <c r="B533" s="17"/>
      <c r="C533" s="2"/>
      <c r="D533" s="2"/>
      <c r="E533" s="2"/>
      <c r="F533" s="2"/>
      <c r="G533" s="2"/>
      <c r="H533" s="2"/>
      <c r="I533" s="5"/>
    </row>
    <row r="534" spans="1:9" ht="17.399999999999999" x14ac:dyDescent="0.25">
      <c r="A534" s="16"/>
      <c r="B534" s="17"/>
      <c r="C534" s="2"/>
      <c r="D534" s="2"/>
      <c r="E534" s="2"/>
      <c r="F534" s="2"/>
      <c r="G534" s="2"/>
      <c r="H534" s="2"/>
      <c r="I534" s="5"/>
    </row>
    <row r="535" spans="1:9" ht="17.399999999999999" x14ac:dyDescent="0.25">
      <c r="A535" s="16"/>
      <c r="B535" s="17"/>
      <c r="C535" s="2"/>
      <c r="D535" s="2"/>
      <c r="E535" s="2"/>
      <c r="F535" s="2"/>
      <c r="G535" s="2"/>
      <c r="H535" s="2"/>
      <c r="I535" s="5"/>
    </row>
    <row r="536" spans="1:9" ht="17.399999999999999" x14ac:dyDescent="0.25">
      <c r="A536" s="16"/>
      <c r="B536" s="17"/>
      <c r="C536" s="2"/>
      <c r="D536" s="2"/>
      <c r="E536" s="2"/>
      <c r="F536" s="2"/>
      <c r="G536" s="2"/>
      <c r="H536" s="2"/>
      <c r="I536" s="5"/>
    </row>
    <row r="537" spans="1:9" ht="17.399999999999999" x14ac:dyDescent="0.25">
      <c r="A537" s="16"/>
      <c r="B537" s="17"/>
      <c r="C537" s="2"/>
      <c r="D537" s="2"/>
      <c r="E537" s="2"/>
      <c r="F537" s="2"/>
      <c r="G537" s="2"/>
      <c r="H537" s="2"/>
      <c r="I537" s="5"/>
    </row>
    <row r="538" spans="1:9" ht="17.399999999999999" x14ac:dyDescent="0.25">
      <c r="A538" s="16"/>
      <c r="B538" s="17"/>
      <c r="C538" s="2"/>
      <c r="D538" s="2"/>
      <c r="E538" s="2"/>
      <c r="F538" s="2"/>
      <c r="G538" s="2"/>
      <c r="H538" s="2"/>
      <c r="I538" s="5"/>
    </row>
    <row r="539" spans="1:9" ht="17.399999999999999" x14ac:dyDescent="0.25">
      <c r="A539" s="16"/>
      <c r="B539" s="17"/>
      <c r="C539" s="2"/>
      <c r="D539" s="2"/>
      <c r="E539" s="2"/>
      <c r="F539" s="2"/>
      <c r="G539" s="2"/>
      <c r="H539" s="2"/>
      <c r="I539" s="5"/>
    </row>
    <row r="540" spans="1:9" ht="17.399999999999999" x14ac:dyDescent="0.25">
      <c r="A540" s="16"/>
      <c r="B540" s="17"/>
      <c r="C540" s="2"/>
      <c r="D540" s="2"/>
      <c r="E540" s="2"/>
      <c r="F540" s="2"/>
      <c r="G540" s="2"/>
      <c r="H540" s="2"/>
      <c r="I540" s="5"/>
    </row>
    <row r="541" spans="1:9" ht="17.399999999999999" x14ac:dyDescent="0.25">
      <c r="A541" s="16"/>
      <c r="B541" s="17"/>
      <c r="C541" s="2"/>
      <c r="D541" s="2"/>
      <c r="E541" s="2"/>
      <c r="F541" s="2"/>
      <c r="G541" s="2"/>
      <c r="H541" s="2"/>
      <c r="I541" s="5"/>
    </row>
    <row r="542" spans="1:9" ht="17.399999999999999" x14ac:dyDescent="0.25">
      <c r="A542" s="16"/>
      <c r="B542" s="17"/>
      <c r="C542" s="2"/>
      <c r="D542" s="2"/>
      <c r="E542" s="2"/>
      <c r="F542" s="2"/>
      <c r="G542" s="2"/>
      <c r="H542" s="2"/>
      <c r="I542" s="5"/>
    </row>
    <row r="543" spans="1:9" ht="17.399999999999999" x14ac:dyDescent="0.25">
      <c r="A543" s="16"/>
      <c r="B543" s="17"/>
      <c r="C543" s="2"/>
      <c r="D543" s="2"/>
      <c r="E543" s="2"/>
      <c r="F543" s="2"/>
      <c r="G543" s="2"/>
      <c r="H543" s="2"/>
      <c r="I543" s="5"/>
    </row>
    <row r="544" spans="1:9" ht="17.399999999999999" x14ac:dyDescent="0.25">
      <c r="A544" s="16"/>
      <c r="B544" s="17"/>
      <c r="C544" s="2"/>
      <c r="D544" s="2"/>
      <c r="E544" s="2"/>
      <c r="F544" s="2"/>
      <c r="G544" s="2"/>
      <c r="H544" s="2"/>
      <c r="I544" s="5"/>
    </row>
    <row r="545" spans="1:9" ht="17.399999999999999" x14ac:dyDescent="0.25">
      <c r="A545" s="16"/>
      <c r="B545" s="17"/>
      <c r="C545" s="2"/>
      <c r="D545" s="2"/>
      <c r="E545" s="2"/>
      <c r="F545" s="2"/>
      <c r="G545" s="2"/>
      <c r="H545" s="2"/>
      <c r="I545" s="5"/>
    </row>
    <row r="546" spans="1:9" ht="17.399999999999999" x14ac:dyDescent="0.25">
      <c r="A546" s="16"/>
      <c r="B546" s="17"/>
      <c r="C546" s="2"/>
      <c r="D546" s="2"/>
      <c r="E546" s="2"/>
      <c r="F546" s="2"/>
      <c r="G546" s="2"/>
      <c r="H546" s="2"/>
      <c r="I546" s="5"/>
    </row>
    <row r="547" spans="1:9" ht="17.399999999999999" x14ac:dyDescent="0.25">
      <c r="A547" s="16"/>
      <c r="B547" s="17"/>
      <c r="C547" s="2"/>
      <c r="D547" s="2"/>
      <c r="E547" s="2"/>
      <c r="F547" s="2"/>
      <c r="G547" s="2"/>
      <c r="H547" s="2"/>
      <c r="I547" s="5"/>
    </row>
    <row r="548" spans="1:9" ht="17.399999999999999" x14ac:dyDescent="0.25">
      <c r="A548" s="16"/>
      <c r="B548" s="17"/>
      <c r="C548" s="2"/>
      <c r="D548" s="2"/>
      <c r="E548" s="2"/>
      <c r="F548" s="2"/>
      <c r="G548" s="2"/>
      <c r="H548" s="2"/>
      <c r="I548" s="5"/>
    </row>
    <row r="549" spans="1:9" ht="17.399999999999999" x14ac:dyDescent="0.25">
      <c r="A549" s="16"/>
      <c r="B549" s="17"/>
      <c r="C549" s="2"/>
      <c r="D549" s="2"/>
      <c r="E549" s="2"/>
      <c r="F549" s="2"/>
      <c r="G549" s="2"/>
      <c r="H549" s="2"/>
      <c r="I549" s="5"/>
    </row>
    <row r="550" spans="1:9" ht="17.399999999999999" x14ac:dyDescent="0.25">
      <c r="A550" s="16"/>
      <c r="B550" s="17"/>
      <c r="C550" s="2"/>
      <c r="D550" s="2"/>
      <c r="E550" s="2"/>
      <c r="F550" s="2"/>
      <c r="G550" s="2"/>
      <c r="H550" s="2"/>
      <c r="I550" s="5"/>
    </row>
    <row r="551" spans="1:9" ht="17.399999999999999" x14ac:dyDescent="0.25">
      <c r="A551" s="16"/>
      <c r="B551" s="17"/>
      <c r="C551" s="2"/>
      <c r="D551" s="2"/>
      <c r="E551" s="2"/>
      <c r="F551" s="2"/>
      <c r="G551" s="2"/>
      <c r="H551" s="2"/>
      <c r="I551" s="5"/>
    </row>
    <row r="552" spans="1:9" ht="17.399999999999999" x14ac:dyDescent="0.25">
      <c r="A552" s="16"/>
      <c r="B552" s="17"/>
      <c r="C552" s="2"/>
      <c r="D552" s="2"/>
      <c r="E552" s="2"/>
      <c r="F552" s="2"/>
      <c r="G552" s="2"/>
      <c r="H552" s="2"/>
      <c r="I552" s="5"/>
    </row>
    <row r="553" spans="1:9" ht="17.399999999999999" x14ac:dyDescent="0.25">
      <c r="A553" s="16"/>
      <c r="B553" s="17"/>
      <c r="C553" s="2"/>
      <c r="D553" s="2"/>
      <c r="E553" s="2"/>
      <c r="F553" s="2"/>
      <c r="G553" s="2"/>
      <c r="H553" s="2"/>
      <c r="I553" s="5"/>
    </row>
    <row r="554" spans="1:9" ht="17.399999999999999" x14ac:dyDescent="0.25">
      <c r="A554" s="16"/>
      <c r="B554" s="17"/>
      <c r="C554" s="2"/>
      <c r="D554" s="2"/>
      <c r="E554" s="2"/>
      <c r="F554" s="2"/>
      <c r="G554" s="2"/>
      <c r="H554" s="2"/>
      <c r="I554" s="5"/>
    </row>
    <row r="555" spans="1:9" ht="17.399999999999999" x14ac:dyDescent="0.25">
      <c r="A555" s="16"/>
      <c r="B555" s="17"/>
      <c r="C555" s="2"/>
      <c r="D555" s="2"/>
      <c r="E555" s="2"/>
      <c r="F555" s="2"/>
      <c r="G555" s="2"/>
      <c r="H555" s="2"/>
      <c r="I555" s="5"/>
    </row>
    <row r="556" spans="1:9" ht="17.399999999999999" x14ac:dyDescent="0.25">
      <c r="A556" s="16"/>
      <c r="B556" s="17"/>
      <c r="C556" s="2"/>
      <c r="D556" s="2"/>
      <c r="E556" s="2"/>
      <c r="F556" s="2"/>
      <c r="G556" s="2"/>
      <c r="H556" s="2"/>
      <c r="I556" s="5"/>
    </row>
    <row r="557" spans="1:9" ht="17.399999999999999" x14ac:dyDescent="0.25">
      <c r="A557" s="16"/>
      <c r="B557" s="17"/>
      <c r="C557" s="2"/>
      <c r="D557" s="2"/>
      <c r="E557" s="2"/>
      <c r="F557" s="2"/>
      <c r="G557" s="2"/>
      <c r="H557" s="2"/>
      <c r="I557" s="5"/>
    </row>
    <row r="558" spans="1:9" ht="17.399999999999999" x14ac:dyDescent="0.25">
      <c r="A558" s="16"/>
      <c r="B558" s="17"/>
      <c r="C558" s="2"/>
      <c r="D558" s="2"/>
      <c r="E558" s="2"/>
      <c r="F558" s="2"/>
      <c r="G558" s="2"/>
      <c r="H558" s="2"/>
      <c r="I558" s="5"/>
    </row>
    <row r="559" spans="1:9" ht="17.399999999999999" x14ac:dyDescent="0.25">
      <c r="A559" s="16"/>
      <c r="B559" s="17"/>
      <c r="C559" s="2"/>
      <c r="D559" s="2"/>
      <c r="E559" s="2"/>
      <c r="F559" s="2"/>
      <c r="G559" s="2"/>
      <c r="H559" s="2"/>
      <c r="I559" s="5"/>
    </row>
    <row r="560" spans="1:9" ht="17.399999999999999" x14ac:dyDescent="0.25">
      <c r="A560" s="16"/>
      <c r="B560" s="17"/>
      <c r="C560" s="2"/>
      <c r="D560" s="2"/>
      <c r="E560" s="2"/>
      <c r="F560" s="2"/>
      <c r="G560" s="2"/>
      <c r="H560" s="2"/>
      <c r="I560" s="5"/>
    </row>
    <row r="561" spans="1:9" ht="17.399999999999999" x14ac:dyDescent="0.25">
      <c r="A561" s="16"/>
      <c r="B561" s="17"/>
      <c r="C561" s="2"/>
      <c r="D561" s="2"/>
      <c r="E561" s="2"/>
      <c r="F561" s="2"/>
      <c r="G561" s="2"/>
      <c r="H561" s="2"/>
      <c r="I561" s="5"/>
    </row>
    <row r="562" spans="1:9" ht="17.399999999999999" x14ac:dyDescent="0.25">
      <c r="A562" s="16"/>
      <c r="B562" s="17"/>
      <c r="C562" s="2"/>
      <c r="D562" s="2"/>
      <c r="E562" s="2"/>
      <c r="F562" s="2"/>
      <c r="G562" s="2"/>
      <c r="H562" s="2"/>
      <c r="I562" s="5"/>
    </row>
    <row r="563" spans="1:9" ht="17.399999999999999" x14ac:dyDescent="0.25">
      <c r="A563" s="16"/>
      <c r="B563" s="17"/>
      <c r="C563" s="2"/>
      <c r="D563" s="2"/>
      <c r="E563" s="2"/>
      <c r="F563" s="2"/>
      <c r="G563" s="2"/>
      <c r="H563" s="2"/>
      <c r="I563" s="5"/>
    </row>
    <row r="564" spans="1:9" ht="17.399999999999999" x14ac:dyDescent="0.25">
      <c r="A564" s="16"/>
      <c r="B564" s="17"/>
      <c r="C564" s="2"/>
      <c r="D564" s="2"/>
      <c r="E564" s="2"/>
      <c r="F564" s="2"/>
      <c r="G564" s="2"/>
      <c r="H564" s="2"/>
      <c r="I564" s="5"/>
    </row>
    <row r="565" spans="1:9" ht="17.399999999999999" x14ac:dyDescent="0.25">
      <c r="A565" s="16"/>
      <c r="B565" s="17"/>
      <c r="C565" s="2"/>
      <c r="D565" s="2"/>
      <c r="E565" s="2"/>
      <c r="F565" s="2"/>
      <c r="G565" s="2"/>
      <c r="H565" s="2"/>
      <c r="I565" s="5"/>
    </row>
    <row r="566" spans="1:9" ht="17.399999999999999" x14ac:dyDescent="0.25">
      <c r="A566" s="16"/>
      <c r="B566" s="17"/>
      <c r="C566" s="2"/>
      <c r="D566" s="2"/>
      <c r="E566" s="2"/>
      <c r="F566" s="2"/>
      <c r="G566" s="2"/>
      <c r="H566" s="2"/>
      <c r="I566" s="5"/>
    </row>
    <row r="567" spans="1:9" ht="17.399999999999999" x14ac:dyDescent="0.25">
      <c r="A567" s="16"/>
      <c r="B567" s="17"/>
      <c r="C567" s="2"/>
      <c r="D567" s="2"/>
      <c r="E567" s="2"/>
      <c r="F567" s="2"/>
      <c r="G567" s="2"/>
      <c r="H567" s="2"/>
      <c r="I567" s="5"/>
    </row>
    <row r="568" spans="1:9" ht="17.399999999999999" x14ac:dyDescent="0.25">
      <c r="A568" s="16"/>
      <c r="B568" s="17"/>
      <c r="C568" s="2"/>
      <c r="D568" s="2"/>
      <c r="E568" s="2"/>
      <c r="F568" s="2"/>
      <c r="G568" s="2"/>
      <c r="H568" s="2"/>
      <c r="I568" s="5"/>
    </row>
    <row r="569" spans="1:9" ht="17.399999999999999" x14ac:dyDescent="0.25">
      <c r="A569" s="16"/>
      <c r="B569" s="17"/>
      <c r="C569" s="2"/>
      <c r="D569" s="2"/>
      <c r="E569" s="2"/>
      <c r="F569" s="2"/>
      <c r="G569" s="2"/>
      <c r="H569" s="2"/>
      <c r="I569" s="5"/>
    </row>
    <row r="570" spans="1:9" ht="17.399999999999999" x14ac:dyDescent="0.25">
      <c r="A570" s="16"/>
      <c r="B570" s="17"/>
      <c r="C570" s="2"/>
      <c r="D570" s="2"/>
      <c r="E570" s="2"/>
      <c r="F570" s="2"/>
      <c r="G570" s="2"/>
      <c r="H570" s="2"/>
      <c r="I570" s="5"/>
    </row>
    <row r="571" spans="1:9" ht="17.399999999999999" x14ac:dyDescent="0.25">
      <c r="A571" s="16"/>
      <c r="B571" s="17"/>
      <c r="C571" s="2"/>
      <c r="D571" s="2"/>
      <c r="E571" s="2"/>
      <c r="F571" s="2"/>
      <c r="G571" s="2"/>
      <c r="H571" s="2"/>
      <c r="I571" s="5"/>
    </row>
    <row r="572" spans="1:9" ht="17.399999999999999" x14ac:dyDescent="0.25">
      <c r="A572" s="16"/>
      <c r="B572" s="17"/>
      <c r="C572" s="2"/>
      <c r="D572" s="2"/>
      <c r="E572" s="2"/>
      <c r="F572" s="2"/>
      <c r="G572" s="2"/>
      <c r="H572" s="2"/>
      <c r="I572" s="5"/>
    </row>
    <row r="573" spans="1:9" ht="17.399999999999999" x14ac:dyDescent="0.25">
      <c r="A573" s="16"/>
      <c r="B573" s="17"/>
      <c r="C573" s="2"/>
      <c r="D573" s="2"/>
      <c r="E573" s="2"/>
      <c r="F573" s="2"/>
      <c r="G573" s="2"/>
      <c r="H573" s="2"/>
      <c r="I573" s="5"/>
    </row>
    <row r="574" spans="1:9" ht="17.399999999999999" x14ac:dyDescent="0.25">
      <c r="A574" s="16"/>
      <c r="B574" s="17"/>
      <c r="C574" s="2"/>
      <c r="D574" s="2"/>
      <c r="E574" s="2"/>
      <c r="F574" s="2"/>
      <c r="G574" s="2"/>
      <c r="H574" s="2"/>
      <c r="I574" s="5"/>
    </row>
    <row r="575" spans="1:9" ht="17.399999999999999" x14ac:dyDescent="0.25">
      <c r="A575" s="16"/>
      <c r="B575" s="17"/>
      <c r="C575" s="2"/>
      <c r="D575" s="2"/>
      <c r="E575" s="2"/>
      <c r="F575" s="2"/>
      <c r="G575" s="2"/>
      <c r="H575" s="2"/>
      <c r="I575" s="5"/>
    </row>
    <row r="576" spans="1:9" ht="17.399999999999999" x14ac:dyDescent="0.25">
      <c r="A576" s="16"/>
      <c r="B576" s="17"/>
      <c r="C576" s="2"/>
      <c r="D576" s="2"/>
      <c r="E576" s="2"/>
      <c r="F576" s="2"/>
      <c r="G576" s="2"/>
      <c r="H576" s="2"/>
      <c r="I576" s="5"/>
    </row>
    <row r="577" spans="1:9" ht="17.399999999999999" x14ac:dyDescent="0.25">
      <c r="A577" s="16"/>
      <c r="B577" s="17"/>
      <c r="C577" s="2"/>
      <c r="D577" s="2"/>
      <c r="E577" s="2"/>
      <c r="F577" s="2"/>
      <c r="G577" s="2"/>
      <c r="H577" s="2"/>
      <c r="I577" s="5"/>
    </row>
    <row r="578" spans="1:9" ht="17.399999999999999" x14ac:dyDescent="0.25">
      <c r="A578" s="16"/>
      <c r="B578" s="17"/>
      <c r="C578" s="2"/>
      <c r="D578" s="2"/>
      <c r="E578" s="2"/>
      <c r="F578" s="2"/>
      <c r="G578" s="2"/>
      <c r="H578" s="2"/>
      <c r="I578" s="5"/>
    </row>
    <row r="579" spans="1:9" ht="17.399999999999999" x14ac:dyDescent="0.25">
      <c r="A579" s="16"/>
      <c r="B579" s="17"/>
      <c r="C579" s="2"/>
      <c r="D579" s="2"/>
      <c r="E579" s="2"/>
      <c r="F579" s="2"/>
      <c r="G579" s="2"/>
      <c r="H579" s="2"/>
      <c r="I579" s="5"/>
    </row>
    <row r="580" spans="1:9" ht="17.399999999999999" x14ac:dyDescent="0.25">
      <c r="A580" s="16"/>
      <c r="B580" s="17"/>
      <c r="C580" s="2"/>
      <c r="D580" s="2"/>
      <c r="E580" s="2"/>
      <c r="F580" s="2"/>
      <c r="G580" s="2"/>
      <c r="H580" s="2"/>
      <c r="I580" s="5"/>
    </row>
    <row r="581" spans="1:9" ht="17.399999999999999" x14ac:dyDescent="0.25">
      <c r="A581" s="16"/>
      <c r="B581" s="17"/>
      <c r="C581" s="2"/>
      <c r="D581" s="2"/>
      <c r="E581" s="2"/>
      <c r="F581" s="2"/>
      <c r="G581" s="2"/>
      <c r="H581" s="2"/>
      <c r="I581" s="5"/>
    </row>
    <row r="582" spans="1:9" ht="17.399999999999999" x14ac:dyDescent="0.25">
      <c r="A582" s="16"/>
      <c r="B582" s="17"/>
      <c r="C582" s="2"/>
      <c r="D582" s="2"/>
      <c r="E582" s="2"/>
      <c r="F582" s="2"/>
      <c r="G582" s="2"/>
      <c r="H582" s="2"/>
      <c r="I582" s="5"/>
    </row>
    <row r="583" spans="1:9" ht="17.399999999999999" x14ac:dyDescent="0.25">
      <c r="A583" s="16"/>
      <c r="B583" s="17"/>
      <c r="C583" s="2"/>
      <c r="D583" s="2"/>
      <c r="E583" s="2"/>
      <c r="F583" s="2"/>
      <c r="G583" s="2"/>
      <c r="H583" s="2"/>
      <c r="I583" s="5"/>
    </row>
    <row r="584" spans="1:9" ht="17.399999999999999" x14ac:dyDescent="0.25">
      <c r="A584" s="16"/>
      <c r="B584" s="17"/>
      <c r="C584" s="2"/>
      <c r="D584" s="2"/>
      <c r="E584" s="2"/>
      <c r="F584" s="2"/>
      <c r="G584" s="2"/>
      <c r="H584" s="2"/>
      <c r="I584" s="5"/>
    </row>
    <row r="585" spans="1:9" ht="17.399999999999999" x14ac:dyDescent="0.25">
      <c r="A585" s="16"/>
      <c r="B585" s="17"/>
      <c r="C585" s="2"/>
      <c r="D585" s="2"/>
      <c r="E585" s="2"/>
      <c r="F585" s="2"/>
      <c r="G585" s="2"/>
      <c r="H585" s="2"/>
      <c r="I585" s="5"/>
    </row>
    <row r="586" spans="1:9" ht="17.399999999999999" x14ac:dyDescent="0.25">
      <c r="A586" s="16"/>
      <c r="B586" s="17"/>
      <c r="C586" s="2"/>
      <c r="D586" s="2"/>
      <c r="E586" s="2"/>
      <c r="F586" s="2"/>
      <c r="G586" s="2"/>
      <c r="H586" s="2"/>
      <c r="I586" s="5"/>
    </row>
    <row r="587" spans="1:9" ht="17.399999999999999" x14ac:dyDescent="0.25">
      <c r="A587" s="16"/>
      <c r="B587" s="17"/>
      <c r="C587" s="2"/>
      <c r="D587" s="2"/>
      <c r="E587" s="2"/>
      <c r="F587" s="2"/>
      <c r="G587" s="2"/>
      <c r="H587" s="2"/>
      <c r="I587" s="5"/>
    </row>
    <row r="588" spans="1:9" ht="17.399999999999999" x14ac:dyDescent="0.25">
      <c r="A588" s="16"/>
      <c r="B588" s="17"/>
      <c r="C588" s="2"/>
      <c r="D588" s="2"/>
      <c r="E588" s="2"/>
      <c r="F588" s="2"/>
      <c r="G588" s="2"/>
      <c r="H588" s="2"/>
      <c r="I588" s="5"/>
    </row>
    <row r="589" spans="1:9" ht="17.399999999999999" x14ac:dyDescent="0.25">
      <c r="A589" s="16"/>
      <c r="B589" s="17"/>
      <c r="C589" s="2"/>
      <c r="D589" s="2"/>
      <c r="E589" s="2"/>
      <c r="F589" s="2"/>
      <c r="G589" s="2"/>
      <c r="H589" s="2"/>
      <c r="I589" s="5"/>
    </row>
    <row r="590" spans="1:9" ht="17.399999999999999" x14ac:dyDescent="0.25">
      <c r="A590" s="16"/>
      <c r="B590" s="17"/>
      <c r="C590" s="2"/>
      <c r="D590" s="2"/>
      <c r="E590" s="2"/>
      <c r="F590" s="2"/>
      <c r="G590" s="2"/>
      <c r="H590" s="2"/>
      <c r="I590" s="5"/>
    </row>
    <row r="591" spans="1:9" ht="17.399999999999999" x14ac:dyDescent="0.25">
      <c r="A591" s="16"/>
      <c r="B591" s="17"/>
      <c r="C591" s="2"/>
      <c r="D591" s="2"/>
      <c r="E591" s="2"/>
      <c r="F591" s="2"/>
      <c r="G591" s="2"/>
      <c r="H591" s="2"/>
      <c r="I591" s="5"/>
    </row>
    <row r="592" spans="1:9" ht="17.399999999999999" x14ac:dyDescent="0.25">
      <c r="A592" s="16"/>
      <c r="B592" s="17"/>
      <c r="C592" s="2"/>
      <c r="D592" s="2"/>
      <c r="E592" s="2"/>
      <c r="F592" s="2"/>
      <c r="G592" s="2"/>
      <c r="H592" s="2"/>
      <c r="I592" s="5"/>
    </row>
    <row r="593" spans="1:9" ht="17.399999999999999" x14ac:dyDescent="0.25">
      <c r="A593" s="16"/>
      <c r="B593" s="17"/>
      <c r="C593" s="2"/>
      <c r="D593" s="2"/>
      <c r="E593" s="2"/>
      <c r="F593" s="2"/>
      <c r="G593" s="2"/>
      <c r="H593" s="2"/>
      <c r="I593" s="5"/>
    </row>
    <row r="594" spans="1:9" ht="17.399999999999999" x14ac:dyDescent="0.25">
      <c r="A594" s="16"/>
      <c r="B594" s="17"/>
      <c r="C594" s="2"/>
      <c r="D594" s="2"/>
      <c r="E594" s="2"/>
      <c r="F594" s="2"/>
      <c r="G594" s="2"/>
      <c r="H594" s="2"/>
      <c r="I594" s="5"/>
    </row>
    <row r="595" spans="1:9" ht="17.399999999999999" x14ac:dyDescent="0.25">
      <c r="A595" s="16"/>
      <c r="B595" s="17"/>
      <c r="C595" s="2"/>
      <c r="D595" s="2"/>
      <c r="E595" s="2"/>
      <c r="F595" s="2"/>
      <c r="G595" s="2"/>
      <c r="H595" s="2"/>
      <c r="I595" s="5"/>
    </row>
    <row r="596" spans="1:9" ht="17.399999999999999" x14ac:dyDescent="0.25">
      <c r="A596" s="16"/>
      <c r="B596" s="17"/>
      <c r="C596" s="2"/>
      <c r="D596" s="2"/>
      <c r="E596" s="2"/>
      <c r="F596" s="2"/>
      <c r="G596" s="2"/>
      <c r="H596" s="2"/>
      <c r="I596" s="5"/>
    </row>
    <row r="597" spans="1:9" ht="17.399999999999999" x14ac:dyDescent="0.25">
      <c r="A597" s="16"/>
      <c r="B597" s="17"/>
      <c r="C597" s="2"/>
      <c r="D597" s="2"/>
      <c r="E597" s="2"/>
      <c r="F597" s="2"/>
      <c r="G597" s="2"/>
      <c r="H597" s="2"/>
      <c r="I597" s="5"/>
    </row>
    <row r="598" spans="1:9" ht="17.399999999999999" x14ac:dyDescent="0.25">
      <c r="A598" s="16"/>
      <c r="B598" s="17"/>
      <c r="C598" s="2"/>
      <c r="D598" s="2"/>
      <c r="E598" s="2"/>
      <c r="F598" s="2"/>
      <c r="G598" s="2"/>
      <c r="H598" s="2"/>
      <c r="I598" s="5"/>
    </row>
    <row r="599" spans="1:9" ht="17.399999999999999" x14ac:dyDescent="0.25">
      <c r="A599" s="16"/>
      <c r="B599" s="17"/>
      <c r="C599" s="2"/>
      <c r="D599" s="2"/>
      <c r="E599" s="2"/>
      <c r="F599" s="2"/>
      <c r="G599" s="2"/>
      <c r="H599" s="2"/>
      <c r="I599" s="5"/>
    </row>
    <row r="600" spans="1:9" ht="17.399999999999999" x14ac:dyDescent="0.25">
      <c r="A600" s="16"/>
      <c r="B600" s="17"/>
      <c r="C600" s="2"/>
      <c r="D600" s="2"/>
      <c r="E600" s="2"/>
      <c r="F600" s="2"/>
      <c r="G600" s="2"/>
      <c r="H600" s="2"/>
      <c r="I600" s="5"/>
    </row>
    <row r="601" spans="1:9" ht="17.399999999999999" x14ac:dyDescent="0.25">
      <c r="A601" s="16"/>
      <c r="B601" s="17"/>
      <c r="C601" s="2"/>
      <c r="D601" s="2"/>
      <c r="E601" s="2"/>
      <c r="F601" s="2"/>
      <c r="G601" s="2"/>
      <c r="H601" s="2"/>
      <c r="I601" s="5"/>
    </row>
    <row r="602" spans="1:9" ht="17.399999999999999" x14ac:dyDescent="0.25">
      <c r="A602" s="16"/>
      <c r="B602" s="17"/>
      <c r="C602" s="2"/>
      <c r="D602" s="2"/>
      <c r="E602" s="2"/>
      <c r="F602" s="2"/>
      <c r="G602" s="2"/>
      <c r="H602" s="2"/>
      <c r="I602" s="5"/>
    </row>
    <row r="603" spans="1:9" ht="17.399999999999999" x14ac:dyDescent="0.25">
      <c r="A603" s="16"/>
      <c r="B603" s="17"/>
      <c r="C603" s="2"/>
      <c r="D603" s="2"/>
      <c r="E603" s="2"/>
      <c r="F603" s="2"/>
      <c r="G603" s="2"/>
      <c r="H603" s="2"/>
      <c r="I603" s="5"/>
    </row>
    <row r="604" spans="1:9" ht="17.399999999999999" x14ac:dyDescent="0.25">
      <c r="A604" s="16"/>
      <c r="B604" s="17"/>
      <c r="C604" s="2"/>
      <c r="D604" s="2"/>
      <c r="E604" s="2"/>
      <c r="F604" s="2"/>
      <c r="G604" s="2"/>
      <c r="H604" s="2"/>
      <c r="I604" s="5"/>
    </row>
    <row r="605" spans="1:9" ht="17.399999999999999" x14ac:dyDescent="0.25">
      <c r="A605" s="16"/>
      <c r="B605" s="17"/>
      <c r="C605" s="2"/>
      <c r="D605" s="2"/>
      <c r="E605" s="2"/>
      <c r="F605" s="2"/>
      <c r="G605" s="2"/>
      <c r="H605" s="2"/>
      <c r="I605" s="5"/>
    </row>
    <row r="606" spans="1:9" ht="17.399999999999999" x14ac:dyDescent="0.25">
      <c r="A606" s="16"/>
      <c r="B606" s="17"/>
      <c r="C606" s="2"/>
      <c r="D606" s="2"/>
      <c r="E606" s="2"/>
      <c r="F606" s="2"/>
      <c r="G606" s="2"/>
      <c r="H606" s="2"/>
      <c r="I606" s="5"/>
    </row>
    <row r="607" spans="1:9" ht="17.399999999999999" x14ac:dyDescent="0.25">
      <c r="A607" s="16"/>
      <c r="B607" s="17"/>
      <c r="C607" s="2"/>
      <c r="D607" s="2"/>
      <c r="E607" s="2"/>
      <c r="F607" s="2"/>
      <c r="G607" s="2"/>
      <c r="H607" s="2"/>
      <c r="I607" s="5"/>
    </row>
    <row r="608" spans="1:9" ht="17.399999999999999" x14ac:dyDescent="0.25">
      <c r="A608" s="16"/>
      <c r="B608" s="17"/>
      <c r="C608" s="2"/>
      <c r="D608" s="2"/>
      <c r="E608" s="2"/>
      <c r="F608" s="2"/>
      <c r="G608" s="2"/>
      <c r="H608" s="2"/>
      <c r="I608" s="5"/>
    </row>
    <row r="609" spans="1:9" ht="17.399999999999999" x14ac:dyDescent="0.25">
      <c r="A609" s="16"/>
      <c r="B609" s="17"/>
      <c r="C609" s="2"/>
      <c r="D609" s="2"/>
      <c r="E609" s="2"/>
      <c r="F609" s="2"/>
      <c r="G609" s="2"/>
      <c r="H609" s="2"/>
      <c r="I609" s="5"/>
    </row>
    <row r="610" spans="1:9" ht="17.399999999999999" x14ac:dyDescent="0.25">
      <c r="A610" s="16"/>
      <c r="B610" s="17"/>
      <c r="C610" s="2"/>
      <c r="D610" s="2"/>
      <c r="E610" s="2"/>
      <c r="F610" s="2"/>
      <c r="G610" s="2"/>
      <c r="H610" s="2"/>
      <c r="I610" s="5"/>
    </row>
    <row r="611" spans="1:9" ht="17.399999999999999" x14ac:dyDescent="0.25">
      <c r="A611" s="16"/>
      <c r="B611" s="17"/>
      <c r="C611" s="2"/>
      <c r="D611" s="2"/>
      <c r="E611" s="2"/>
      <c r="F611" s="2"/>
      <c r="G611" s="2"/>
      <c r="H611" s="2"/>
      <c r="I611" s="5"/>
    </row>
    <row r="612" spans="1:9" ht="17.399999999999999" x14ac:dyDescent="0.25">
      <c r="A612" s="16"/>
      <c r="B612" s="17"/>
      <c r="C612" s="2"/>
      <c r="D612" s="2"/>
      <c r="E612" s="2"/>
      <c r="F612" s="2"/>
      <c r="G612" s="2"/>
      <c r="H612" s="2"/>
      <c r="I612" s="5"/>
    </row>
    <row r="613" spans="1:9" ht="17.399999999999999" x14ac:dyDescent="0.25">
      <c r="A613" s="16"/>
      <c r="B613" s="17"/>
      <c r="C613" s="2"/>
      <c r="D613" s="2"/>
      <c r="E613" s="2"/>
      <c r="F613" s="2"/>
      <c r="G613" s="2"/>
      <c r="H613" s="2"/>
      <c r="I613" s="5"/>
    </row>
    <row r="614" spans="1:9" ht="17.399999999999999" x14ac:dyDescent="0.25">
      <c r="A614" s="16"/>
      <c r="B614" s="17"/>
      <c r="C614" s="2"/>
      <c r="D614" s="2"/>
      <c r="E614" s="2"/>
      <c r="F614" s="2"/>
      <c r="G614" s="2"/>
      <c r="H614" s="2"/>
      <c r="I614" s="5"/>
    </row>
    <row r="615" spans="1:9" ht="17.399999999999999" x14ac:dyDescent="0.25">
      <c r="A615" s="16"/>
      <c r="B615" s="17"/>
      <c r="C615" s="2"/>
      <c r="D615" s="2"/>
      <c r="E615" s="2"/>
      <c r="F615" s="2"/>
      <c r="G615" s="2"/>
      <c r="H615" s="2"/>
      <c r="I615" s="5"/>
    </row>
    <row r="616" spans="1:9" ht="17.399999999999999" x14ac:dyDescent="0.25">
      <c r="A616" s="16"/>
      <c r="B616" s="17"/>
      <c r="C616" s="2"/>
      <c r="D616" s="2"/>
      <c r="E616" s="2"/>
      <c r="F616" s="2"/>
      <c r="G616" s="2"/>
      <c r="H616" s="2"/>
      <c r="I616" s="5"/>
    </row>
    <row r="617" spans="1:9" ht="17.399999999999999" x14ac:dyDescent="0.25">
      <c r="A617" s="16"/>
      <c r="B617" s="17"/>
      <c r="C617" s="2"/>
      <c r="D617" s="2"/>
      <c r="E617" s="2"/>
      <c r="F617" s="2"/>
      <c r="G617" s="2"/>
      <c r="H617" s="2"/>
      <c r="I617" s="5"/>
    </row>
    <row r="618" spans="1:9" ht="17.399999999999999" x14ac:dyDescent="0.25">
      <c r="A618" s="16"/>
      <c r="B618" s="17"/>
      <c r="C618" s="2"/>
      <c r="D618" s="2"/>
      <c r="E618" s="2"/>
      <c r="F618" s="2"/>
      <c r="G618" s="2"/>
      <c r="H618" s="2"/>
      <c r="I618" s="5"/>
    </row>
    <row r="619" spans="1:9" ht="17.399999999999999" x14ac:dyDescent="0.25">
      <c r="A619" s="16"/>
      <c r="B619" s="17"/>
      <c r="C619" s="2"/>
      <c r="D619" s="2"/>
      <c r="E619" s="2"/>
      <c r="F619" s="2"/>
      <c r="G619" s="2"/>
      <c r="H619" s="2"/>
      <c r="I619" s="5"/>
    </row>
    <row r="620" spans="1:9" ht="17.399999999999999" x14ac:dyDescent="0.25">
      <c r="A620" s="16"/>
      <c r="B620" s="17"/>
      <c r="C620" s="2"/>
      <c r="D620" s="2"/>
      <c r="E620" s="2"/>
      <c r="F620" s="2"/>
      <c r="G620" s="2"/>
      <c r="H620" s="2"/>
      <c r="I620" s="5"/>
    </row>
    <row r="621" spans="1:9" ht="17.399999999999999" x14ac:dyDescent="0.25">
      <c r="A621" s="16"/>
      <c r="B621" s="17"/>
      <c r="C621" s="2"/>
      <c r="D621" s="2"/>
      <c r="E621" s="2"/>
      <c r="F621" s="2"/>
      <c r="G621" s="2"/>
      <c r="H621" s="2"/>
      <c r="I621" s="5"/>
    </row>
    <row r="622" spans="1:9" ht="17.399999999999999" x14ac:dyDescent="0.25">
      <c r="A622" s="16"/>
      <c r="B622" s="17"/>
      <c r="C622" s="2"/>
      <c r="D622" s="2"/>
      <c r="E622" s="2"/>
      <c r="F622" s="2"/>
      <c r="G622" s="2"/>
      <c r="H622" s="2"/>
      <c r="I622" s="5"/>
    </row>
    <row r="623" spans="1:9" ht="17.399999999999999" x14ac:dyDescent="0.25">
      <c r="A623" s="16"/>
      <c r="B623" s="17"/>
      <c r="C623" s="2"/>
      <c r="D623" s="2"/>
      <c r="E623" s="2"/>
      <c r="F623" s="2"/>
      <c r="G623" s="2"/>
      <c r="H623" s="2"/>
      <c r="I623" s="5"/>
    </row>
    <row r="624" spans="1:9" ht="17.399999999999999" x14ac:dyDescent="0.25">
      <c r="A624" s="16"/>
      <c r="B624" s="17"/>
      <c r="C624" s="2"/>
      <c r="D624" s="2"/>
      <c r="E624" s="2"/>
      <c r="F624" s="2"/>
      <c r="G624" s="2"/>
      <c r="H624" s="2"/>
      <c r="I624" s="5"/>
    </row>
    <row r="625" spans="1:9" ht="17.399999999999999" x14ac:dyDescent="0.25">
      <c r="A625" s="16"/>
      <c r="B625" s="17"/>
      <c r="C625" s="2"/>
      <c r="D625" s="2"/>
      <c r="E625" s="2"/>
      <c r="F625" s="2"/>
      <c r="G625" s="2"/>
      <c r="H625" s="2"/>
      <c r="I625" s="5"/>
    </row>
    <row r="626" spans="1:9" ht="17.399999999999999" x14ac:dyDescent="0.25">
      <c r="A626" s="16"/>
      <c r="B626" s="17"/>
      <c r="C626" s="2"/>
      <c r="D626" s="2"/>
      <c r="E626" s="2"/>
      <c r="F626" s="2"/>
      <c r="G626" s="2"/>
      <c r="H626" s="2"/>
      <c r="I626" s="5"/>
    </row>
    <row r="627" spans="1:9" ht="17.399999999999999" x14ac:dyDescent="0.25">
      <c r="A627" s="16"/>
      <c r="B627" s="17"/>
      <c r="C627" s="2"/>
      <c r="D627" s="2"/>
      <c r="E627" s="2"/>
      <c r="F627" s="2"/>
      <c r="G627" s="2"/>
      <c r="H627" s="2"/>
      <c r="I627" s="5"/>
    </row>
    <row r="628" spans="1:9" ht="17.399999999999999" x14ac:dyDescent="0.25">
      <c r="A628" s="16"/>
      <c r="B628" s="17"/>
      <c r="C628" s="2"/>
      <c r="D628" s="2"/>
      <c r="E628" s="2"/>
      <c r="F628" s="2"/>
      <c r="G628" s="2"/>
      <c r="H628" s="2"/>
      <c r="I628" s="5"/>
    </row>
    <row r="629" spans="1:9" ht="17.399999999999999" x14ac:dyDescent="0.25">
      <c r="A629" s="16"/>
      <c r="B629" s="17"/>
      <c r="C629" s="2"/>
      <c r="D629" s="2"/>
      <c r="E629" s="2"/>
      <c r="F629" s="2"/>
      <c r="G629" s="2"/>
      <c r="H629" s="2"/>
      <c r="I629" s="5"/>
    </row>
    <row r="630" spans="1:9" ht="17.399999999999999" x14ac:dyDescent="0.25">
      <c r="A630" s="16"/>
      <c r="B630" s="17"/>
      <c r="C630" s="2"/>
      <c r="D630" s="2"/>
      <c r="E630" s="2"/>
      <c r="F630" s="2"/>
      <c r="G630" s="2"/>
      <c r="H630" s="2"/>
      <c r="I630" s="5"/>
    </row>
    <row r="631" spans="1:9" ht="17.399999999999999" x14ac:dyDescent="0.25">
      <c r="A631" s="16"/>
      <c r="B631" s="17"/>
      <c r="C631" s="2"/>
      <c r="D631" s="2"/>
      <c r="E631" s="2"/>
      <c r="F631" s="2"/>
      <c r="G631" s="2"/>
      <c r="H631" s="2"/>
      <c r="I631" s="5"/>
    </row>
    <row r="632" spans="1:9" ht="17.399999999999999" x14ac:dyDescent="0.25">
      <c r="A632" s="16"/>
      <c r="B632" s="17"/>
      <c r="C632" s="2"/>
      <c r="D632" s="2"/>
      <c r="E632" s="2"/>
      <c r="F632" s="2"/>
      <c r="G632" s="2"/>
      <c r="H632" s="2"/>
      <c r="I632" s="5"/>
    </row>
    <row r="633" spans="1:9" ht="17.399999999999999" x14ac:dyDescent="0.25">
      <c r="A633" s="16"/>
      <c r="B633" s="17"/>
      <c r="C633" s="2"/>
      <c r="D633" s="2"/>
      <c r="E633" s="2"/>
      <c r="F633" s="2"/>
      <c r="G633" s="2"/>
      <c r="H633" s="2"/>
      <c r="I633" s="5"/>
    </row>
    <row r="634" spans="1:9" ht="17.399999999999999" x14ac:dyDescent="0.25">
      <c r="A634" s="16"/>
      <c r="B634" s="17"/>
      <c r="C634" s="2"/>
      <c r="D634" s="2"/>
      <c r="E634" s="2"/>
      <c r="F634" s="2"/>
      <c r="G634" s="2"/>
      <c r="H634" s="2"/>
      <c r="I634" s="5"/>
    </row>
    <row r="635" spans="1:9" ht="17.399999999999999" x14ac:dyDescent="0.25">
      <c r="A635" s="16"/>
      <c r="B635" s="17"/>
      <c r="C635" s="2"/>
      <c r="D635" s="2"/>
      <c r="E635" s="2"/>
      <c r="F635" s="2"/>
      <c r="G635" s="2"/>
      <c r="H635" s="2"/>
      <c r="I635" s="5"/>
    </row>
    <row r="636" spans="1:9" ht="17.399999999999999" x14ac:dyDescent="0.25">
      <c r="A636" s="16"/>
      <c r="B636" s="17"/>
      <c r="C636" s="2"/>
      <c r="D636" s="2"/>
      <c r="E636" s="2"/>
      <c r="F636" s="2"/>
      <c r="G636" s="2"/>
      <c r="H636" s="2"/>
      <c r="I636" s="5"/>
    </row>
    <row r="637" spans="1:9" ht="17.399999999999999" x14ac:dyDescent="0.25">
      <c r="A637" s="16"/>
      <c r="B637" s="17"/>
      <c r="C637" s="2"/>
      <c r="D637" s="2"/>
      <c r="E637" s="2"/>
      <c r="F637" s="2"/>
      <c r="G637" s="2"/>
      <c r="H637" s="2"/>
      <c r="I637" s="5"/>
    </row>
    <row r="638" spans="1:9" ht="17.399999999999999" x14ac:dyDescent="0.25">
      <c r="A638" s="16"/>
      <c r="B638" s="17"/>
      <c r="C638" s="2"/>
      <c r="D638" s="2"/>
      <c r="E638" s="2"/>
      <c r="F638" s="2"/>
      <c r="G638" s="2"/>
      <c r="H638" s="2"/>
      <c r="I638" s="5"/>
    </row>
    <row r="639" spans="1:9" ht="17.399999999999999" x14ac:dyDescent="0.25">
      <c r="A639" s="16"/>
      <c r="B639" s="17"/>
      <c r="C639" s="2"/>
      <c r="D639" s="2"/>
      <c r="E639" s="2"/>
      <c r="F639" s="2"/>
      <c r="G639" s="2"/>
      <c r="H639" s="2"/>
      <c r="I639" s="5"/>
    </row>
    <row r="640" spans="1:9" ht="17.399999999999999" x14ac:dyDescent="0.25">
      <c r="A640" s="16"/>
      <c r="B640" s="17"/>
      <c r="C640" s="2"/>
      <c r="D640" s="2"/>
      <c r="E640" s="2"/>
      <c r="F640" s="2"/>
      <c r="G640" s="2"/>
      <c r="H640" s="2"/>
      <c r="I640" s="5"/>
    </row>
    <row r="641" spans="1:9" ht="17.399999999999999" x14ac:dyDescent="0.25">
      <c r="A641" s="16"/>
      <c r="B641" s="17"/>
      <c r="C641" s="2"/>
      <c r="D641" s="2"/>
      <c r="E641" s="2"/>
      <c r="F641" s="2"/>
      <c r="G641" s="2"/>
      <c r="H641" s="2"/>
      <c r="I641" s="5"/>
    </row>
    <row r="642" spans="1:9" ht="17.399999999999999" x14ac:dyDescent="0.25">
      <c r="A642" s="16"/>
      <c r="B642" s="17"/>
      <c r="C642" s="2"/>
      <c r="D642" s="2"/>
      <c r="E642" s="2"/>
      <c r="F642" s="2"/>
      <c r="G642" s="2"/>
      <c r="H642" s="2"/>
      <c r="I642" s="5"/>
    </row>
    <row r="643" spans="1:9" ht="17.399999999999999" x14ac:dyDescent="0.25">
      <c r="A643" s="16"/>
      <c r="B643" s="17"/>
      <c r="C643" s="2"/>
      <c r="D643" s="2"/>
      <c r="E643" s="2"/>
      <c r="F643" s="2"/>
      <c r="G643" s="2"/>
      <c r="H643" s="2"/>
      <c r="I643" s="5"/>
    </row>
    <row r="644" spans="1:9" ht="17.399999999999999" x14ac:dyDescent="0.25">
      <c r="A644" s="16"/>
      <c r="B644" s="17"/>
      <c r="C644" s="2"/>
      <c r="D644" s="2"/>
      <c r="E644" s="2"/>
      <c r="F644" s="2"/>
      <c r="G644" s="2"/>
      <c r="H644" s="2"/>
      <c r="I644" s="5"/>
    </row>
    <row r="645" spans="1:9" ht="17.399999999999999" x14ac:dyDescent="0.25">
      <c r="A645" s="16"/>
      <c r="B645" s="17"/>
      <c r="C645" s="2"/>
      <c r="D645" s="2"/>
      <c r="E645" s="2"/>
      <c r="F645" s="2"/>
      <c r="G645" s="2"/>
      <c r="H645" s="2"/>
      <c r="I645" s="5"/>
    </row>
    <row r="646" spans="1:9" ht="17.399999999999999" x14ac:dyDescent="0.25">
      <c r="A646" s="16"/>
      <c r="B646" s="17"/>
      <c r="C646" s="2"/>
      <c r="D646" s="2"/>
      <c r="E646" s="2"/>
      <c r="F646" s="2"/>
      <c r="G646" s="2"/>
      <c r="H646" s="2"/>
      <c r="I646" s="5"/>
    </row>
    <row r="647" spans="1:9" ht="17.399999999999999" x14ac:dyDescent="0.25">
      <c r="A647" s="16"/>
      <c r="B647" s="17"/>
      <c r="C647" s="2"/>
      <c r="D647" s="2"/>
      <c r="E647" s="2"/>
      <c r="F647" s="2"/>
      <c r="G647" s="2"/>
      <c r="H647" s="2"/>
      <c r="I647" s="5"/>
    </row>
    <row r="648" spans="1:9" ht="17.399999999999999" x14ac:dyDescent="0.25">
      <c r="A648" s="16"/>
      <c r="B648" s="17"/>
      <c r="C648" s="2"/>
      <c r="D648" s="2"/>
      <c r="E648" s="2"/>
      <c r="F648" s="2"/>
      <c r="G648" s="2"/>
      <c r="H648" s="2"/>
      <c r="I648" s="5"/>
    </row>
    <row r="649" spans="1:9" ht="17.399999999999999" x14ac:dyDescent="0.25">
      <c r="A649" s="16"/>
      <c r="B649" s="17"/>
      <c r="C649" s="2"/>
      <c r="D649" s="2"/>
      <c r="E649" s="2"/>
      <c r="F649" s="2"/>
      <c r="G649" s="2"/>
      <c r="H649" s="2"/>
      <c r="I649" s="5"/>
    </row>
    <row r="650" spans="1:9" ht="17.399999999999999" x14ac:dyDescent="0.25">
      <c r="A650" s="16"/>
      <c r="B650" s="17"/>
      <c r="C650" s="2"/>
      <c r="D650" s="2"/>
      <c r="E650" s="2"/>
      <c r="F650" s="2"/>
      <c r="G650" s="2"/>
      <c r="H650" s="2"/>
      <c r="I650" s="5"/>
    </row>
    <row r="651" spans="1:9" ht="17.399999999999999" x14ac:dyDescent="0.25">
      <c r="A651" s="16"/>
      <c r="B651" s="17"/>
      <c r="C651" s="2"/>
      <c r="D651" s="2"/>
      <c r="E651" s="2"/>
      <c r="F651" s="2"/>
      <c r="G651" s="2"/>
      <c r="H651" s="2"/>
      <c r="I651" s="5"/>
    </row>
    <row r="652" spans="1:9" ht="17.399999999999999" x14ac:dyDescent="0.25">
      <c r="A652" s="16"/>
      <c r="B652" s="17"/>
      <c r="C652" s="2"/>
      <c r="D652" s="2"/>
      <c r="E652" s="2"/>
      <c r="F652" s="2"/>
      <c r="G652" s="2"/>
      <c r="H652" s="2"/>
      <c r="I652" s="5"/>
    </row>
    <row r="653" spans="1:9" ht="17.399999999999999" x14ac:dyDescent="0.25">
      <c r="A653" s="16"/>
      <c r="B653" s="17"/>
      <c r="C653" s="2"/>
      <c r="D653" s="2"/>
      <c r="E653" s="2"/>
      <c r="F653" s="2"/>
      <c r="G653" s="2"/>
      <c r="H653" s="2"/>
      <c r="I653" s="5"/>
    </row>
    <row r="654" spans="1:9" ht="17.399999999999999" x14ac:dyDescent="0.25">
      <c r="A654" s="16"/>
      <c r="B654" s="17"/>
      <c r="C654" s="2"/>
      <c r="D654" s="2"/>
      <c r="E654" s="2"/>
      <c r="F654" s="2"/>
      <c r="G654" s="2"/>
      <c r="H654" s="2"/>
      <c r="I654" s="5"/>
    </row>
    <row r="655" spans="1:9" ht="17.399999999999999" x14ac:dyDescent="0.25">
      <c r="A655" s="16"/>
      <c r="B655" s="17"/>
      <c r="C655" s="2"/>
      <c r="D655" s="2"/>
      <c r="E655" s="2"/>
      <c r="F655" s="2"/>
      <c r="G655" s="2"/>
      <c r="H655" s="2"/>
      <c r="I655" s="5"/>
    </row>
    <row r="656" spans="1:9" ht="17.399999999999999" x14ac:dyDescent="0.25">
      <c r="A656" s="16"/>
      <c r="B656" s="17"/>
      <c r="C656" s="2"/>
      <c r="D656" s="2"/>
      <c r="E656" s="2"/>
      <c r="F656" s="2"/>
      <c r="G656" s="2"/>
      <c r="H656" s="2"/>
      <c r="I656" s="5"/>
    </row>
    <row r="657" spans="1:9" ht="17.399999999999999" x14ac:dyDescent="0.25">
      <c r="A657" s="16"/>
      <c r="B657" s="17"/>
      <c r="C657" s="2"/>
      <c r="D657" s="2"/>
      <c r="E657" s="2"/>
      <c r="F657" s="2"/>
      <c r="G657" s="2"/>
      <c r="H657" s="2"/>
      <c r="I657" s="5"/>
    </row>
    <row r="658" spans="1:9" ht="17.399999999999999" x14ac:dyDescent="0.25">
      <c r="A658" s="16"/>
      <c r="B658" s="17"/>
      <c r="C658" s="2"/>
      <c r="D658" s="2"/>
      <c r="E658" s="2"/>
      <c r="F658" s="2"/>
      <c r="G658" s="2"/>
      <c r="H658" s="2"/>
      <c r="I658" s="5"/>
    </row>
    <row r="659" spans="1:9" ht="17.399999999999999" x14ac:dyDescent="0.25">
      <c r="A659" s="16"/>
      <c r="B659" s="17"/>
      <c r="C659" s="2"/>
      <c r="D659" s="2"/>
      <c r="E659" s="2"/>
      <c r="F659" s="2"/>
      <c r="G659" s="2"/>
      <c r="H659" s="2"/>
      <c r="I659" s="5"/>
    </row>
    <row r="660" spans="1:9" ht="17.399999999999999" x14ac:dyDescent="0.25">
      <c r="A660" s="16"/>
      <c r="B660" s="17"/>
      <c r="C660" s="2"/>
      <c r="D660" s="2"/>
      <c r="E660" s="2"/>
      <c r="F660" s="2"/>
      <c r="G660" s="2"/>
      <c r="H660" s="2"/>
      <c r="I660" s="5"/>
    </row>
    <row r="661" spans="1:9" ht="17.399999999999999" x14ac:dyDescent="0.25">
      <c r="A661" s="16"/>
      <c r="B661" s="17"/>
      <c r="C661" s="2"/>
      <c r="D661" s="2"/>
      <c r="E661" s="2"/>
      <c r="F661" s="2"/>
      <c r="G661" s="2"/>
      <c r="H661" s="2"/>
      <c r="I661" s="5"/>
    </row>
    <row r="662" spans="1:9" ht="17.399999999999999" x14ac:dyDescent="0.25">
      <c r="A662" s="16"/>
      <c r="B662" s="17"/>
      <c r="C662" s="2"/>
      <c r="D662" s="2"/>
      <c r="E662" s="2"/>
      <c r="F662" s="2"/>
      <c r="G662" s="2"/>
      <c r="H662" s="2"/>
      <c r="I662" s="5"/>
    </row>
    <row r="663" spans="1:9" ht="17.399999999999999" x14ac:dyDescent="0.25">
      <c r="A663" s="16"/>
      <c r="B663" s="17"/>
      <c r="C663" s="2"/>
      <c r="D663" s="2"/>
      <c r="E663" s="2"/>
      <c r="F663" s="2"/>
      <c r="G663" s="2"/>
      <c r="H663" s="2"/>
      <c r="I663" s="5"/>
    </row>
    <row r="664" spans="1:9" ht="17.399999999999999" x14ac:dyDescent="0.25">
      <c r="A664" s="16"/>
      <c r="B664" s="17"/>
      <c r="C664" s="2"/>
      <c r="D664" s="2"/>
      <c r="E664" s="2"/>
      <c r="F664" s="2"/>
      <c r="G664" s="2"/>
      <c r="H664" s="2"/>
      <c r="I664" s="5"/>
    </row>
    <row r="665" spans="1:9" ht="17.399999999999999" x14ac:dyDescent="0.25">
      <c r="A665" s="16"/>
      <c r="B665" s="17"/>
      <c r="C665" s="2"/>
      <c r="D665" s="2"/>
      <c r="E665" s="2"/>
      <c r="F665" s="2"/>
      <c r="G665" s="2"/>
      <c r="H665" s="2"/>
      <c r="I665" s="5"/>
    </row>
    <row r="666" spans="1:9" ht="17.399999999999999" x14ac:dyDescent="0.25">
      <c r="A666" s="16"/>
      <c r="B666" s="17"/>
      <c r="C666" s="2"/>
      <c r="D666" s="2"/>
      <c r="E666" s="2"/>
      <c r="F666" s="2"/>
      <c r="G666" s="2"/>
      <c r="H666" s="2"/>
      <c r="I666" s="5"/>
    </row>
    <row r="667" spans="1:9" ht="17.399999999999999" x14ac:dyDescent="0.25">
      <c r="A667" s="16"/>
      <c r="B667" s="17"/>
      <c r="C667" s="2"/>
      <c r="D667" s="2"/>
      <c r="E667" s="2"/>
      <c r="F667" s="2"/>
      <c r="G667" s="2"/>
      <c r="H667" s="2"/>
      <c r="I667" s="5"/>
    </row>
    <row r="668" spans="1:9" ht="17.399999999999999" x14ac:dyDescent="0.25">
      <c r="A668" s="16"/>
      <c r="B668" s="17"/>
      <c r="C668" s="2"/>
      <c r="D668" s="2"/>
      <c r="E668" s="2"/>
      <c r="F668" s="2"/>
      <c r="G668" s="2"/>
      <c r="H668" s="2"/>
      <c r="I668" s="5"/>
    </row>
    <row r="669" spans="1:9" ht="17.399999999999999" x14ac:dyDescent="0.25">
      <c r="A669" s="16"/>
      <c r="B669" s="17"/>
      <c r="C669" s="2"/>
      <c r="D669" s="2"/>
      <c r="E669" s="2"/>
      <c r="F669" s="2"/>
      <c r="G669" s="2"/>
      <c r="H669" s="2"/>
      <c r="I669" s="5"/>
    </row>
    <row r="670" spans="1:9" ht="17.399999999999999" x14ac:dyDescent="0.25">
      <c r="A670" s="16"/>
      <c r="B670" s="17"/>
      <c r="C670" s="2"/>
      <c r="D670" s="2"/>
      <c r="E670" s="2"/>
      <c r="F670" s="2"/>
      <c r="G670" s="2"/>
      <c r="H670" s="2"/>
      <c r="I670" s="5"/>
    </row>
    <row r="671" spans="1:9" ht="17.399999999999999" x14ac:dyDescent="0.25">
      <c r="A671" s="16"/>
      <c r="B671" s="17"/>
      <c r="C671" s="2"/>
      <c r="D671" s="2"/>
      <c r="E671" s="2"/>
      <c r="F671" s="2"/>
      <c r="G671" s="2"/>
      <c r="H671" s="2"/>
      <c r="I671" s="5"/>
    </row>
    <row r="672" spans="1:9" ht="17.399999999999999" x14ac:dyDescent="0.25">
      <c r="A672" s="16"/>
      <c r="B672" s="17"/>
      <c r="C672" s="2"/>
      <c r="D672" s="2"/>
      <c r="E672" s="2"/>
      <c r="F672" s="2"/>
      <c r="G672" s="2"/>
      <c r="H672" s="2"/>
      <c r="I672" s="5"/>
    </row>
    <row r="673" spans="1:9" ht="17.399999999999999" x14ac:dyDescent="0.25">
      <c r="A673" s="16"/>
      <c r="B673" s="17"/>
      <c r="C673" s="2"/>
      <c r="D673" s="2"/>
      <c r="E673" s="2"/>
      <c r="F673" s="2"/>
      <c r="G673" s="2"/>
      <c r="H673" s="2"/>
      <c r="I673" s="5"/>
    </row>
    <row r="674" spans="1:9" ht="17.399999999999999" x14ac:dyDescent="0.25">
      <c r="A674" s="16"/>
      <c r="B674" s="17"/>
      <c r="C674" s="2"/>
      <c r="D674" s="2"/>
      <c r="E674" s="2"/>
      <c r="F674" s="2"/>
      <c r="G674" s="2"/>
      <c r="H674" s="2"/>
      <c r="I674" s="5"/>
    </row>
    <row r="675" spans="1:9" ht="17.399999999999999" x14ac:dyDescent="0.25">
      <c r="A675" s="16"/>
      <c r="B675" s="17"/>
      <c r="C675" s="2"/>
      <c r="D675" s="2"/>
      <c r="E675" s="2"/>
      <c r="F675" s="2"/>
      <c r="G675" s="2"/>
      <c r="H675" s="2"/>
      <c r="I675" s="5"/>
    </row>
    <row r="676" spans="1:9" ht="17.399999999999999" x14ac:dyDescent="0.25">
      <c r="A676" s="16"/>
      <c r="B676" s="17"/>
      <c r="C676" s="2"/>
      <c r="D676" s="2"/>
      <c r="E676" s="2"/>
      <c r="F676" s="2"/>
      <c r="G676" s="2"/>
      <c r="H676" s="2"/>
      <c r="I676" s="5"/>
    </row>
    <row r="677" spans="1:9" ht="17.399999999999999" x14ac:dyDescent="0.25">
      <c r="A677" s="16"/>
      <c r="B677" s="17"/>
      <c r="C677" s="2"/>
      <c r="D677" s="2"/>
      <c r="E677" s="2"/>
      <c r="F677" s="2"/>
      <c r="G677" s="2"/>
      <c r="H677" s="2"/>
      <c r="I677" s="5"/>
    </row>
    <row r="678" spans="1:9" ht="17.399999999999999" x14ac:dyDescent="0.25">
      <c r="A678" s="16"/>
      <c r="B678" s="17"/>
      <c r="C678" s="2"/>
      <c r="D678" s="2"/>
      <c r="E678" s="2"/>
      <c r="F678" s="2"/>
      <c r="G678" s="2"/>
      <c r="H678" s="2"/>
      <c r="I678" s="5"/>
    </row>
    <row r="679" spans="1:9" ht="17.399999999999999" x14ac:dyDescent="0.25">
      <c r="A679" s="16"/>
      <c r="B679" s="17"/>
      <c r="C679" s="2"/>
      <c r="D679" s="2"/>
      <c r="E679" s="2"/>
      <c r="F679" s="2"/>
      <c r="G679" s="2"/>
      <c r="H679" s="2"/>
      <c r="I679" s="5"/>
    </row>
    <row r="680" spans="1:9" ht="17.399999999999999" x14ac:dyDescent="0.25">
      <c r="A680" s="16"/>
      <c r="B680" s="17"/>
      <c r="C680" s="2"/>
      <c r="D680" s="2"/>
      <c r="E680" s="2"/>
      <c r="F680" s="2"/>
      <c r="G680" s="2"/>
      <c r="H680" s="2"/>
      <c r="I680" s="5"/>
    </row>
    <row r="681" spans="1:9" ht="17.399999999999999" x14ac:dyDescent="0.25">
      <c r="A681" s="16"/>
      <c r="B681" s="17"/>
      <c r="C681" s="2"/>
      <c r="D681" s="2"/>
      <c r="E681" s="2"/>
      <c r="F681" s="2"/>
      <c r="G681" s="2"/>
      <c r="H681" s="2"/>
      <c r="I681" s="5"/>
    </row>
    <row r="682" spans="1:9" ht="17.399999999999999" x14ac:dyDescent="0.25">
      <c r="A682" s="16"/>
      <c r="B682" s="17"/>
      <c r="C682" s="2"/>
      <c r="D682" s="2"/>
      <c r="E682" s="2"/>
      <c r="F682" s="2"/>
      <c r="G682" s="2"/>
      <c r="H682" s="2"/>
      <c r="I682" s="5"/>
    </row>
    <row r="683" spans="1:9" ht="17.399999999999999" x14ac:dyDescent="0.25">
      <c r="A683" s="16"/>
      <c r="B683" s="17"/>
      <c r="C683" s="2"/>
      <c r="D683" s="2"/>
      <c r="E683" s="2"/>
      <c r="F683" s="2"/>
      <c r="G683" s="2"/>
      <c r="H683" s="2"/>
      <c r="I683" s="5"/>
    </row>
    <row r="684" spans="1:9" ht="17.399999999999999" x14ac:dyDescent="0.25">
      <c r="A684" s="16"/>
      <c r="B684" s="17"/>
      <c r="C684" s="2"/>
      <c r="D684" s="2"/>
      <c r="E684" s="2"/>
      <c r="F684" s="2"/>
      <c r="G684" s="2"/>
      <c r="H684" s="2"/>
      <c r="I684" s="5"/>
    </row>
    <row r="685" spans="1:9" ht="17.399999999999999" x14ac:dyDescent="0.25">
      <c r="A685" s="16"/>
      <c r="B685" s="17"/>
      <c r="C685" s="2"/>
      <c r="D685" s="2"/>
      <c r="E685" s="2"/>
      <c r="F685" s="2"/>
      <c r="G685" s="2"/>
      <c r="H685" s="2"/>
      <c r="I685" s="5"/>
    </row>
    <row r="686" spans="1:9" ht="17.399999999999999" x14ac:dyDescent="0.25">
      <c r="A686" s="16"/>
      <c r="B686" s="17"/>
      <c r="C686" s="2"/>
      <c r="D686" s="2"/>
      <c r="E686" s="2"/>
      <c r="F686" s="2"/>
      <c r="G686" s="2"/>
      <c r="H686" s="2"/>
      <c r="I686" s="5"/>
    </row>
    <row r="687" spans="1:9" ht="17.399999999999999" x14ac:dyDescent="0.25">
      <c r="A687" s="16"/>
      <c r="B687" s="17"/>
      <c r="C687" s="2"/>
      <c r="D687" s="2"/>
      <c r="E687" s="2"/>
      <c r="F687" s="2"/>
      <c r="G687" s="2"/>
      <c r="H687" s="2"/>
      <c r="I687" s="5"/>
    </row>
    <row r="688" spans="1:9" ht="17.399999999999999" x14ac:dyDescent="0.25">
      <c r="A688" s="16"/>
      <c r="B688" s="17"/>
      <c r="C688" s="2"/>
      <c r="D688" s="2"/>
      <c r="E688" s="2"/>
      <c r="F688" s="2"/>
      <c r="G688" s="2"/>
      <c r="H688" s="2"/>
      <c r="I688" s="5"/>
    </row>
    <row r="689" spans="1:9" ht="17.399999999999999" x14ac:dyDescent="0.25">
      <c r="A689" s="16"/>
      <c r="B689" s="17"/>
      <c r="C689" s="2"/>
      <c r="D689" s="2"/>
      <c r="E689" s="2"/>
      <c r="F689" s="2"/>
      <c r="G689" s="2"/>
      <c r="H689" s="2"/>
      <c r="I689" s="5"/>
    </row>
    <row r="690" spans="1:9" ht="17.399999999999999" x14ac:dyDescent="0.25">
      <c r="A690" s="16"/>
      <c r="B690" s="17"/>
      <c r="C690" s="2"/>
      <c r="D690" s="2"/>
      <c r="E690" s="2"/>
      <c r="F690" s="2"/>
      <c r="G690" s="2"/>
      <c r="H690" s="2"/>
      <c r="I690" s="5"/>
    </row>
    <row r="691" spans="1:9" ht="17.399999999999999" x14ac:dyDescent="0.25">
      <c r="A691" s="16"/>
      <c r="B691" s="17"/>
      <c r="C691" s="2"/>
      <c r="D691" s="2"/>
      <c r="E691" s="2"/>
      <c r="F691" s="2"/>
      <c r="G691" s="2"/>
      <c r="H691" s="2"/>
      <c r="I691" s="5"/>
    </row>
    <row r="692" spans="1:9" ht="17.399999999999999" x14ac:dyDescent="0.25">
      <c r="A692" s="16"/>
      <c r="B692" s="17"/>
      <c r="C692" s="2"/>
      <c r="D692" s="2"/>
      <c r="E692" s="2"/>
      <c r="F692" s="2"/>
      <c r="G692" s="2"/>
      <c r="H692" s="2"/>
      <c r="I692" s="5"/>
    </row>
    <row r="693" spans="1:9" ht="17.399999999999999" x14ac:dyDescent="0.25">
      <c r="A693" s="16"/>
      <c r="B693" s="17"/>
      <c r="C693" s="2"/>
      <c r="D693" s="2"/>
      <c r="E693" s="2"/>
      <c r="F693" s="2"/>
      <c r="G693" s="2"/>
      <c r="H693" s="2"/>
      <c r="I693" s="5"/>
    </row>
    <row r="694" spans="1:9" ht="17.399999999999999" x14ac:dyDescent="0.25">
      <c r="A694" s="16"/>
      <c r="B694" s="17"/>
      <c r="C694" s="2"/>
      <c r="D694" s="2"/>
      <c r="E694" s="2"/>
      <c r="F694" s="2"/>
      <c r="G694" s="2"/>
      <c r="H694" s="2"/>
      <c r="I694" s="5"/>
    </row>
    <row r="695" spans="1:9" ht="17.399999999999999" x14ac:dyDescent="0.25">
      <c r="A695" s="16"/>
      <c r="B695" s="17"/>
      <c r="C695" s="2"/>
      <c r="D695" s="2"/>
      <c r="E695" s="2"/>
      <c r="F695" s="2"/>
      <c r="G695" s="2"/>
      <c r="H695" s="2"/>
      <c r="I695" s="5"/>
    </row>
    <row r="696" spans="1:9" ht="17.399999999999999" x14ac:dyDescent="0.25">
      <c r="A696" s="16"/>
      <c r="B696" s="17"/>
      <c r="C696" s="2"/>
      <c r="D696" s="2"/>
      <c r="E696" s="2"/>
      <c r="F696" s="2"/>
      <c r="G696" s="2"/>
      <c r="H696" s="2"/>
      <c r="I696" s="5"/>
    </row>
    <row r="697" spans="1:9" ht="17.399999999999999" x14ac:dyDescent="0.25">
      <c r="A697" s="16"/>
      <c r="B697" s="17"/>
      <c r="C697" s="2"/>
      <c r="D697" s="2"/>
      <c r="E697" s="2"/>
      <c r="F697" s="2"/>
      <c r="G697" s="2"/>
      <c r="H697" s="2"/>
      <c r="I697" s="5"/>
    </row>
    <row r="698" spans="1:9" ht="17.399999999999999" x14ac:dyDescent="0.25">
      <c r="A698" s="16"/>
      <c r="B698" s="17"/>
      <c r="C698" s="2"/>
      <c r="D698" s="2"/>
      <c r="E698" s="2"/>
      <c r="F698" s="2"/>
      <c r="G698" s="2"/>
      <c r="H698" s="2"/>
      <c r="I698" s="5"/>
    </row>
    <row r="699" spans="1:9" ht="17.399999999999999" x14ac:dyDescent="0.25">
      <c r="A699" s="16"/>
      <c r="B699" s="17"/>
      <c r="C699" s="2"/>
      <c r="D699" s="2"/>
      <c r="E699" s="2"/>
      <c r="F699" s="2"/>
      <c r="G699" s="2"/>
      <c r="H699" s="2"/>
      <c r="I699" s="5"/>
    </row>
    <row r="700" spans="1:9" ht="17.399999999999999" x14ac:dyDescent="0.25">
      <c r="A700" s="16"/>
      <c r="B700" s="17"/>
      <c r="C700" s="2"/>
      <c r="D700" s="2"/>
      <c r="E700" s="2"/>
      <c r="F700" s="2"/>
      <c r="G700" s="2"/>
      <c r="H700" s="2"/>
      <c r="I700" s="5"/>
    </row>
    <row r="701" spans="1:9" ht="17.399999999999999" x14ac:dyDescent="0.25">
      <c r="A701" s="16"/>
      <c r="B701" s="17"/>
      <c r="C701" s="2"/>
      <c r="D701" s="2"/>
      <c r="E701" s="2"/>
      <c r="F701" s="2"/>
      <c r="G701" s="2"/>
      <c r="H701" s="2"/>
      <c r="I701" s="5"/>
    </row>
    <row r="702" spans="1:9" ht="17.399999999999999" x14ac:dyDescent="0.25">
      <c r="A702" s="16"/>
      <c r="B702" s="17"/>
      <c r="C702" s="2"/>
      <c r="D702" s="2"/>
      <c r="E702" s="2"/>
      <c r="F702" s="2"/>
      <c r="G702" s="2"/>
      <c r="H702" s="2"/>
      <c r="I702" s="5"/>
    </row>
    <row r="703" spans="1:9" ht="17.399999999999999" x14ac:dyDescent="0.25">
      <c r="A703" s="16"/>
      <c r="B703" s="17"/>
      <c r="C703" s="2"/>
      <c r="D703" s="2"/>
      <c r="E703" s="2"/>
      <c r="F703" s="2"/>
      <c r="G703" s="2"/>
      <c r="H703" s="2"/>
      <c r="I703" s="5"/>
    </row>
    <row r="704" spans="1:9" ht="17.399999999999999" x14ac:dyDescent="0.25">
      <c r="A704" s="16"/>
      <c r="B704" s="17"/>
      <c r="C704" s="2"/>
      <c r="D704" s="2"/>
      <c r="E704" s="2"/>
      <c r="F704" s="2"/>
      <c r="G704" s="2"/>
      <c r="H704" s="2"/>
      <c r="I704" s="5"/>
    </row>
    <row r="705" spans="1:9" ht="17.399999999999999" x14ac:dyDescent="0.25">
      <c r="A705" s="16"/>
      <c r="B705" s="17"/>
      <c r="C705" s="2"/>
      <c r="D705" s="2"/>
      <c r="E705" s="2"/>
      <c r="F705" s="2"/>
      <c r="G705" s="2"/>
      <c r="H705" s="2"/>
      <c r="I705" s="5"/>
    </row>
    <row r="706" spans="1:9" ht="17.399999999999999" x14ac:dyDescent="0.25">
      <c r="A706" s="16"/>
      <c r="B706" s="17"/>
      <c r="C706" s="2"/>
      <c r="D706" s="2"/>
      <c r="E706" s="2"/>
      <c r="F706" s="2"/>
      <c r="G706" s="2"/>
      <c r="H706" s="2"/>
      <c r="I706" s="5"/>
    </row>
    <row r="707" spans="1:9" ht="17.399999999999999" x14ac:dyDescent="0.25">
      <c r="A707" s="16"/>
      <c r="B707" s="17"/>
      <c r="C707" s="2"/>
      <c r="D707" s="2"/>
      <c r="E707" s="2"/>
      <c r="F707" s="2"/>
      <c r="G707" s="2"/>
      <c r="H707" s="2"/>
      <c r="I707" s="5"/>
    </row>
    <row r="708" spans="1:9" ht="17.399999999999999" x14ac:dyDescent="0.25">
      <c r="A708" s="16"/>
      <c r="B708" s="17"/>
      <c r="C708" s="2"/>
      <c r="D708" s="2"/>
      <c r="E708" s="2"/>
      <c r="F708" s="2"/>
      <c r="G708" s="2"/>
      <c r="H708" s="2"/>
      <c r="I708" s="5"/>
    </row>
    <row r="709" spans="1:9" ht="17.399999999999999" x14ac:dyDescent="0.25">
      <c r="A709" s="16"/>
      <c r="B709" s="17"/>
      <c r="C709" s="2"/>
      <c r="D709" s="2"/>
      <c r="E709" s="2"/>
      <c r="F709" s="2"/>
      <c r="G709" s="2"/>
      <c r="H709" s="2"/>
      <c r="I709" s="5"/>
    </row>
    <row r="710" spans="1:9" ht="17.399999999999999" x14ac:dyDescent="0.25">
      <c r="A710" s="16"/>
      <c r="B710" s="17"/>
      <c r="C710" s="2"/>
      <c r="D710" s="2"/>
      <c r="E710" s="2"/>
      <c r="F710" s="2"/>
      <c r="G710" s="2"/>
      <c r="H710" s="2"/>
      <c r="I710" s="5"/>
    </row>
    <row r="711" spans="1:9" ht="17.399999999999999" x14ac:dyDescent="0.25">
      <c r="A711" s="16"/>
      <c r="B711" s="17"/>
      <c r="C711" s="2"/>
      <c r="D711" s="2"/>
      <c r="E711" s="2"/>
      <c r="F711" s="2"/>
      <c r="G711" s="2"/>
      <c r="H711" s="2"/>
      <c r="I711" s="5"/>
    </row>
    <row r="712" spans="1:9" ht="17.399999999999999" x14ac:dyDescent="0.25">
      <c r="A712" s="16"/>
      <c r="B712" s="17"/>
      <c r="C712" s="2"/>
      <c r="D712" s="2"/>
      <c r="E712" s="2"/>
      <c r="F712" s="2"/>
      <c r="G712" s="2"/>
      <c r="H712" s="2"/>
      <c r="I712" s="5"/>
    </row>
    <row r="713" spans="1:9" ht="17.399999999999999" x14ac:dyDescent="0.25">
      <c r="A713" s="16"/>
      <c r="B713" s="17"/>
      <c r="C713" s="2"/>
      <c r="D713" s="2"/>
      <c r="E713" s="2"/>
      <c r="F713" s="2"/>
      <c r="G713" s="2"/>
      <c r="H713" s="2"/>
      <c r="I713" s="5"/>
    </row>
    <row r="714" spans="1:9" ht="17.399999999999999" x14ac:dyDescent="0.25">
      <c r="A714" s="16"/>
      <c r="B714" s="17"/>
      <c r="C714" s="2"/>
      <c r="D714" s="2"/>
      <c r="E714" s="2"/>
      <c r="F714" s="2"/>
      <c r="G714" s="2"/>
      <c r="H714" s="2"/>
      <c r="I714" s="5"/>
    </row>
    <row r="715" spans="1:9" ht="17.399999999999999" x14ac:dyDescent="0.25">
      <c r="A715" s="16"/>
      <c r="B715" s="17"/>
      <c r="C715" s="2"/>
      <c r="D715" s="2"/>
      <c r="E715" s="2"/>
      <c r="F715" s="2"/>
      <c r="G715" s="2"/>
      <c r="H715" s="2"/>
      <c r="I715" s="5"/>
    </row>
    <row r="716" spans="1:9" ht="17.399999999999999" x14ac:dyDescent="0.25">
      <c r="A716" s="16"/>
      <c r="B716" s="17"/>
      <c r="C716" s="2"/>
      <c r="D716" s="2"/>
      <c r="E716" s="2"/>
      <c r="F716" s="2"/>
      <c r="G716" s="2"/>
      <c r="H716" s="2"/>
      <c r="I716" s="5"/>
    </row>
    <row r="717" spans="1:9" ht="17.399999999999999" x14ac:dyDescent="0.25">
      <c r="A717" s="16"/>
      <c r="B717" s="17"/>
      <c r="C717" s="2"/>
      <c r="D717" s="2"/>
      <c r="E717" s="2"/>
      <c r="F717" s="2"/>
      <c r="G717" s="2"/>
      <c r="H717" s="2"/>
      <c r="I717" s="5"/>
    </row>
    <row r="718" spans="1:9" ht="17.399999999999999" x14ac:dyDescent="0.25">
      <c r="A718" s="16"/>
      <c r="B718" s="17"/>
      <c r="C718" s="2"/>
      <c r="D718" s="2"/>
      <c r="E718" s="2"/>
      <c r="F718" s="2"/>
      <c r="G718" s="2"/>
      <c r="H718" s="2"/>
      <c r="I718" s="5"/>
    </row>
    <row r="719" spans="1:9" ht="17.399999999999999" x14ac:dyDescent="0.25">
      <c r="A719" s="16"/>
      <c r="B719" s="17"/>
      <c r="C719" s="2"/>
      <c r="D719" s="2"/>
      <c r="E719" s="2"/>
      <c r="F719" s="2"/>
      <c r="G719" s="2"/>
      <c r="H719" s="2"/>
      <c r="I719" s="5"/>
    </row>
    <row r="720" spans="1:9" ht="17.399999999999999" x14ac:dyDescent="0.25">
      <c r="A720" s="16"/>
      <c r="B720" s="17"/>
      <c r="C720" s="2"/>
      <c r="D720" s="2"/>
      <c r="E720" s="2"/>
      <c r="F720" s="2"/>
      <c r="G720" s="2"/>
      <c r="H720" s="2"/>
      <c r="I720" s="5"/>
    </row>
    <row r="721" spans="1:9" ht="17.399999999999999" x14ac:dyDescent="0.25">
      <c r="A721" s="16"/>
      <c r="B721" s="17"/>
      <c r="C721" s="2"/>
      <c r="D721" s="2"/>
      <c r="E721" s="2"/>
      <c r="F721" s="2"/>
      <c r="G721" s="2"/>
      <c r="H721" s="2"/>
      <c r="I721" s="5"/>
    </row>
    <row r="722" spans="1:9" ht="17.399999999999999" x14ac:dyDescent="0.25">
      <c r="A722" s="16"/>
      <c r="B722" s="17"/>
      <c r="C722" s="2"/>
      <c r="D722" s="2"/>
      <c r="E722" s="2"/>
      <c r="F722" s="2"/>
      <c r="G722" s="2"/>
      <c r="H722" s="2"/>
      <c r="I722" s="5"/>
    </row>
    <row r="723" spans="1:9" ht="17.399999999999999" x14ac:dyDescent="0.25">
      <c r="A723" s="16"/>
      <c r="B723" s="17"/>
      <c r="C723" s="2"/>
      <c r="D723" s="2"/>
      <c r="E723" s="2"/>
      <c r="F723" s="2"/>
      <c r="G723" s="2"/>
      <c r="H723" s="2"/>
      <c r="I723" s="5"/>
    </row>
    <row r="724" spans="1:9" ht="17.399999999999999" x14ac:dyDescent="0.25">
      <c r="A724" s="16"/>
      <c r="B724" s="17"/>
      <c r="C724" s="2"/>
      <c r="D724" s="2"/>
      <c r="E724" s="2"/>
      <c r="F724" s="2"/>
      <c r="G724" s="2"/>
      <c r="H724" s="2"/>
      <c r="I724" s="5"/>
    </row>
    <row r="725" spans="1:9" ht="17.399999999999999" x14ac:dyDescent="0.25">
      <c r="A725" s="16"/>
      <c r="B725" s="17"/>
      <c r="C725" s="2"/>
      <c r="D725" s="2"/>
      <c r="E725" s="2"/>
      <c r="F725" s="2"/>
      <c r="G725" s="2"/>
      <c r="H725" s="2"/>
      <c r="I725" s="5"/>
    </row>
    <row r="726" spans="1:9" ht="17.399999999999999" x14ac:dyDescent="0.25">
      <c r="A726" s="16"/>
      <c r="B726" s="17"/>
      <c r="C726" s="2"/>
      <c r="D726" s="2"/>
      <c r="E726" s="2"/>
      <c r="F726" s="2"/>
      <c r="G726" s="2"/>
      <c r="H726" s="2"/>
      <c r="I726" s="5"/>
    </row>
    <row r="727" spans="1:9" ht="17.399999999999999" x14ac:dyDescent="0.25">
      <c r="A727" s="16"/>
      <c r="B727" s="17"/>
      <c r="C727" s="2"/>
      <c r="D727" s="2"/>
      <c r="E727" s="2"/>
      <c r="F727" s="2"/>
      <c r="G727" s="2"/>
      <c r="H727" s="2"/>
      <c r="I727" s="5"/>
    </row>
    <row r="728" spans="1:9" ht="17.399999999999999" x14ac:dyDescent="0.25">
      <c r="A728" s="16"/>
      <c r="B728" s="17"/>
      <c r="C728" s="2"/>
      <c r="D728" s="2"/>
      <c r="E728" s="2"/>
      <c r="F728" s="2"/>
      <c r="G728" s="2"/>
      <c r="H728" s="2"/>
      <c r="I728" s="5"/>
    </row>
    <row r="729" spans="1:9" ht="17.399999999999999" x14ac:dyDescent="0.25">
      <c r="A729" s="16"/>
      <c r="B729" s="17"/>
      <c r="C729" s="2"/>
      <c r="D729" s="2"/>
      <c r="E729" s="2"/>
      <c r="F729" s="2"/>
      <c r="G729" s="2"/>
      <c r="H729" s="2"/>
      <c r="I729" s="5"/>
    </row>
    <row r="730" spans="1:9" ht="17.399999999999999" x14ac:dyDescent="0.25">
      <c r="A730" s="16"/>
      <c r="B730" s="17"/>
      <c r="C730" s="2"/>
      <c r="D730" s="2"/>
      <c r="E730" s="2"/>
      <c r="F730" s="2"/>
      <c r="G730" s="2"/>
      <c r="H730" s="2"/>
      <c r="I730" s="5"/>
    </row>
    <row r="731" spans="1:9" ht="17.399999999999999" x14ac:dyDescent="0.25">
      <c r="A731" s="16"/>
      <c r="B731" s="17"/>
      <c r="C731" s="2"/>
      <c r="D731" s="2"/>
      <c r="E731" s="2"/>
      <c r="F731" s="2"/>
      <c r="G731" s="2"/>
      <c r="H731" s="2"/>
      <c r="I731" s="5"/>
    </row>
    <row r="732" spans="1:9" ht="17.399999999999999" x14ac:dyDescent="0.25">
      <c r="A732" s="16"/>
      <c r="B732" s="17"/>
      <c r="C732" s="2"/>
      <c r="D732" s="2"/>
      <c r="E732" s="2"/>
      <c r="F732" s="2"/>
      <c r="G732" s="2"/>
      <c r="H732" s="2"/>
      <c r="I732" s="5"/>
    </row>
    <row r="733" spans="1:9" ht="17.399999999999999" x14ac:dyDescent="0.25">
      <c r="A733" s="16"/>
      <c r="B733" s="17"/>
      <c r="C733" s="2"/>
      <c r="D733" s="2"/>
      <c r="E733" s="2"/>
      <c r="F733" s="2"/>
      <c r="G733" s="2"/>
      <c r="H733" s="2"/>
      <c r="I733" s="5"/>
    </row>
    <row r="734" spans="1:9" ht="17.399999999999999" x14ac:dyDescent="0.25">
      <c r="A734" s="16"/>
      <c r="B734" s="17"/>
      <c r="C734" s="2"/>
      <c r="D734" s="2"/>
      <c r="E734" s="2"/>
      <c r="F734" s="2"/>
      <c r="G734" s="2"/>
      <c r="H734" s="2"/>
      <c r="I734" s="5"/>
    </row>
    <row r="735" spans="1:9" ht="17.399999999999999" x14ac:dyDescent="0.25">
      <c r="A735" s="16"/>
      <c r="B735" s="17"/>
      <c r="C735" s="2"/>
      <c r="D735" s="2"/>
      <c r="E735" s="2"/>
      <c r="F735" s="2"/>
      <c r="G735" s="2"/>
      <c r="H735" s="2"/>
      <c r="I735" s="5"/>
    </row>
    <row r="736" spans="1:9" ht="17.399999999999999" x14ac:dyDescent="0.25">
      <c r="A736" s="16"/>
      <c r="B736" s="17"/>
      <c r="C736" s="2"/>
      <c r="D736" s="2"/>
      <c r="E736" s="2"/>
      <c r="F736" s="2"/>
      <c r="G736" s="2"/>
      <c r="H736" s="2"/>
      <c r="I736" s="5"/>
    </row>
    <row r="737" spans="1:9" ht="17.399999999999999" x14ac:dyDescent="0.25">
      <c r="A737" s="16"/>
      <c r="B737" s="17"/>
      <c r="C737" s="2"/>
      <c r="D737" s="2"/>
      <c r="E737" s="2"/>
      <c r="F737" s="2"/>
      <c r="G737" s="2"/>
      <c r="H737" s="2"/>
      <c r="I737" s="5"/>
    </row>
    <row r="738" spans="1:9" ht="17.399999999999999" x14ac:dyDescent="0.25">
      <c r="A738" s="16"/>
      <c r="B738" s="17"/>
      <c r="C738" s="2"/>
      <c r="D738" s="2"/>
      <c r="E738" s="2"/>
      <c r="F738" s="2"/>
      <c r="G738" s="2"/>
      <c r="H738" s="2"/>
      <c r="I738" s="5"/>
    </row>
    <row r="739" spans="1:9" ht="17.399999999999999" x14ac:dyDescent="0.25">
      <c r="A739" s="16"/>
      <c r="B739" s="17"/>
      <c r="C739" s="2"/>
      <c r="D739" s="2"/>
      <c r="E739" s="2"/>
      <c r="F739" s="2"/>
      <c r="G739" s="2"/>
      <c r="H739" s="2"/>
      <c r="I739" s="5"/>
    </row>
    <row r="740" spans="1:9" ht="17.399999999999999" x14ac:dyDescent="0.25">
      <c r="A740" s="16"/>
      <c r="B740" s="17"/>
      <c r="C740" s="2"/>
      <c r="D740" s="2"/>
      <c r="E740" s="2"/>
      <c r="F740" s="2"/>
      <c r="G740" s="2"/>
      <c r="H740" s="2"/>
      <c r="I740" s="5"/>
    </row>
    <row r="741" spans="1:9" ht="17.399999999999999" x14ac:dyDescent="0.25">
      <c r="A741" s="16"/>
      <c r="B741" s="17"/>
      <c r="C741" s="2"/>
      <c r="D741" s="2"/>
      <c r="E741" s="2"/>
      <c r="F741" s="2"/>
      <c r="G741" s="2"/>
      <c r="H741" s="2"/>
      <c r="I741" s="5"/>
    </row>
    <row r="742" spans="1:9" ht="17.399999999999999" x14ac:dyDescent="0.25">
      <c r="A742" s="16"/>
      <c r="B742" s="17"/>
      <c r="C742" s="2"/>
      <c r="D742" s="2"/>
      <c r="E742" s="2"/>
      <c r="F742" s="2"/>
      <c r="G742" s="2"/>
      <c r="H742" s="2"/>
      <c r="I742" s="5"/>
    </row>
    <row r="743" spans="1:9" ht="17.399999999999999" x14ac:dyDescent="0.25">
      <c r="A743" s="16"/>
      <c r="B743" s="17"/>
      <c r="C743" s="2"/>
      <c r="D743" s="2"/>
      <c r="E743" s="2"/>
      <c r="F743" s="2"/>
      <c r="G743" s="2"/>
      <c r="H743" s="2"/>
      <c r="I743" s="5"/>
    </row>
    <row r="744" spans="1:9" ht="17.399999999999999" x14ac:dyDescent="0.25">
      <c r="A744" s="16"/>
      <c r="B744" s="17"/>
      <c r="C744" s="2"/>
      <c r="D744" s="2"/>
      <c r="E744" s="2"/>
      <c r="F744" s="2"/>
      <c r="G744" s="2"/>
      <c r="H744" s="2"/>
      <c r="I744" s="5"/>
    </row>
    <row r="745" spans="1:9" ht="17.399999999999999" x14ac:dyDescent="0.25">
      <c r="A745" s="16"/>
      <c r="B745" s="17"/>
      <c r="C745" s="2"/>
      <c r="D745" s="2"/>
      <c r="E745" s="2"/>
      <c r="F745" s="2"/>
      <c r="G745" s="2"/>
      <c r="H745" s="2"/>
      <c r="I745" s="5"/>
    </row>
    <row r="746" spans="1:9" ht="17.399999999999999" x14ac:dyDescent="0.25">
      <c r="A746" s="16"/>
      <c r="B746" s="17"/>
      <c r="C746" s="2"/>
      <c r="D746" s="2"/>
      <c r="E746" s="2"/>
      <c r="F746" s="2"/>
      <c r="G746" s="2"/>
      <c r="H746" s="2"/>
      <c r="I746" s="5"/>
    </row>
    <row r="747" spans="1:9" ht="17.399999999999999" x14ac:dyDescent="0.25">
      <c r="A747" s="16"/>
      <c r="B747" s="17"/>
      <c r="C747" s="2"/>
      <c r="D747" s="2"/>
      <c r="E747" s="2"/>
      <c r="F747" s="2"/>
      <c r="G747" s="2"/>
      <c r="H747" s="2"/>
      <c r="I747" s="5"/>
    </row>
    <row r="748" spans="1:9" ht="17.399999999999999" x14ac:dyDescent="0.25">
      <c r="A748" s="16"/>
      <c r="B748" s="17"/>
      <c r="C748" s="2"/>
      <c r="D748" s="2"/>
      <c r="E748" s="2"/>
      <c r="F748" s="2"/>
      <c r="G748" s="2"/>
      <c r="H748" s="2"/>
      <c r="I748" s="5"/>
    </row>
    <row r="749" spans="1:9" ht="17.399999999999999" x14ac:dyDescent="0.25">
      <c r="A749" s="16"/>
      <c r="B749" s="17"/>
      <c r="C749" s="2"/>
      <c r="D749" s="2"/>
      <c r="E749" s="2"/>
      <c r="F749" s="2"/>
      <c r="G749" s="2"/>
      <c r="H749" s="2"/>
      <c r="I749" s="5"/>
    </row>
    <row r="750" spans="1:9" ht="17.399999999999999" x14ac:dyDescent="0.25">
      <c r="A750" s="16"/>
      <c r="B750" s="17"/>
      <c r="C750" s="2"/>
      <c r="D750" s="2"/>
      <c r="E750" s="2"/>
      <c r="F750" s="2"/>
      <c r="G750" s="2"/>
      <c r="H750" s="2"/>
      <c r="I750" s="5"/>
    </row>
    <row r="751" spans="1:9" ht="17.399999999999999" x14ac:dyDescent="0.25">
      <c r="A751" s="16"/>
      <c r="B751" s="17"/>
      <c r="C751" s="2"/>
      <c r="D751" s="2"/>
      <c r="E751" s="2"/>
      <c r="F751" s="2"/>
      <c r="G751" s="2"/>
      <c r="H751" s="2"/>
      <c r="I751" s="5"/>
    </row>
    <row r="752" spans="1:9" ht="17.399999999999999" x14ac:dyDescent="0.25">
      <c r="A752" s="16"/>
      <c r="B752" s="17"/>
      <c r="C752" s="2"/>
      <c r="D752" s="2"/>
      <c r="E752" s="2"/>
      <c r="F752" s="2"/>
      <c r="G752" s="2"/>
      <c r="H752" s="2"/>
      <c r="I752" s="5"/>
    </row>
    <row r="753" spans="1:9" ht="17.399999999999999" x14ac:dyDescent="0.25">
      <c r="A753" s="16"/>
      <c r="B753" s="17"/>
      <c r="C753" s="2"/>
      <c r="D753" s="2"/>
      <c r="E753" s="2"/>
      <c r="F753" s="2"/>
      <c r="G753" s="2"/>
      <c r="H753" s="2"/>
      <c r="I753" s="5"/>
    </row>
    <row r="754" spans="1:9" ht="17.399999999999999" x14ac:dyDescent="0.25">
      <c r="A754" s="16"/>
      <c r="B754" s="17"/>
      <c r="C754" s="2"/>
      <c r="D754" s="2"/>
      <c r="E754" s="2"/>
      <c r="F754" s="2"/>
      <c r="G754" s="2"/>
      <c r="H754" s="2"/>
      <c r="I754" s="5"/>
    </row>
    <row r="755" spans="1:9" ht="17.399999999999999" x14ac:dyDescent="0.25">
      <c r="A755" s="16"/>
      <c r="B755" s="17"/>
      <c r="C755" s="2"/>
      <c r="D755" s="2"/>
      <c r="E755" s="2"/>
      <c r="F755" s="2"/>
      <c r="G755" s="2"/>
      <c r="H755" s="2"/>
      <c r="I755" s="5"/>
    </row>
    <row r="756" spans="1:9" ht="17.399999999999999" x14ac:dyDescent="0.25">
      <c r="A756" s="16"/>
      <c r="B756" s="17"/>
      <c r="C756" s="2"/>
      <c r="D756" s="2"/>
      <c r="E756" s="2"/>
      <c r="F756" s="2"/>
      <c r="G756" s="2"/>
      <c r="H756" s="2"/>
      <c r="I756" s="5"/>
    </row>
    <row r="757" spans="1:9" ht="17.399999999999999" x14ac:dyDescent="0.25">
      <c r="A757" s="16"/>
      <c r="B757" s="17"/>
      <c r="C757" s="2"/>
      <c r="D757" s="2"/>
      <c r="E757" s="2"/>
      <c r="F757" s="2"/>
      <c r="G757" s="2"/>
      <c r="H757" s="2"/>
      <c r="I757" s="5"/>
    </row>
    <row r="758" spans="1:9" ht="17.399999999999999" x14ac:dyDescent="0.25">
      <c r="A758" s="16"/>
      <c r="B758" s="17"/>
      <c r="C758" s="2"/>
      <c r="D758" s="2"/>
      <c r="E758" s="2"/>
      <c r="F758" s="2"/>
      <c r="G758" s="2"/>
      <c r="H758" s="2"/>
      <c r="I758" s="5"/>
    </row>
    <row r="759" spans="1:9" ht="17.399999999999999" x14ac:dyDescent="0.25">
      <c r="A759" s="16"/>
      <c r="B759" s="17"/>
      <c r="C759" s="2"/>
      <c r="D759" s="2"/>
      <c r="E759" s="2"/>
      <c r="F759" s="2"/>
      <c r="G759" s="2"/>
      <c r="H759" s="2"/>
      <c r="I759" s="5"/>
    </row>
    <row r="760" spans="1:9" ht="17.399999999999999" x14ac:dyDescent="0.25">
      <c r="A760" s="16"/>
      <c r="B760" s="17"/>
      <c r="C760" s="2"/>
      <c r="D760" s="2"/>
      <c r="E760" s="2"/>
      <c r="F760" s="2"/>
      <c r="G760" s="2"/>
      <c r="H760" s="2"/>
      <c r="I760" s="5"/>
    </row>
    <row r="761" spans="1:9" ht="17.399999999999999" x14ac:dyDescent="0.25">
      <c r="A761" s="16"/>
      <c r="B761" s="17"/>
      <c r="C761" s="2"/>
      <c r="D761" s="2"/>
      <c r="E761" s="2"/>
      <c r="F761" s="2"/>
      <c r="G761" s="2"/>
      <c r="H761" s="2"/>
      <c r="I761" s="5"/>
    </row>
    <row r="762" spans="1:9" ht="17.399999999999999" x14ac:dyDescent="0.25">
      <c r="A762" s="16"/>
      <c r="B762" s="17"/>
      <c r="C762" s="2"/>
      <c r="D762" s="2"/>
      <c r="E762" s="2"/>
      <c r="F762" s="2"/>
      <c r="G762" s="2"/>
      <c r="H762" s="2"/>
      <c r="I762" s="5"/>
    </row>
    <row r="763" spans="1:9" ht="17.399999999999999" x14ac:dyDescent="0.25">
      <c r="A763" s="16"/>
      <c r="B763" s="17"/>
      <c r="C763" s="2"/>
      <c r="D763" s="2"/>
      <c r="E763" s="2"/>
      <c r="F763" s="2"/>
      <c r="G763" s="2"/>
      <c r="H763" s="2"/>
      <c r="I763" s="5"/>
    </row>
    <row r="764" spans="1:9" ht="17.399999999999999" x14ac:dyDescent="0.25">
      <c r="A764" s="16"/>
      <c r="B764" s="17"/>
      <c r="C764" s="2"/>
      <c r="D764" s="2"/>
      <c r="E764" s="2"/>
      <c r="F764" s="2"/>
      <c r="G764" s="2"/>
      <c r="H764" s="2"/>
      <c r="I764" s="5"/>
    </row>
    <row r="765" spans="1:9" ht="17.399999999999999" x14ac:dyDescent="0.25">
      <c r="A765" s="16"/>
      <c r="B765" s="17"/>
      <c r="C765" s="2"/>
      <c r="D765" s="2"/>
      <c r="E765" s="2"/>
      <c r="F765" s="2"/>
      <c r="G765" s="2"/>
      <c r="H765" s="2"/>
      <c r="I765" s="5"/>
    </row>
    <row r="766" spans="1:9" ht="17.399999999999999" x14ac:dyDescent="0.25">
      <c r="A766" s="16"/>
      <c r="B766" s="17"/>
      <c r="C766" s="2"/>
      <c r="D766" s="2"/>
      <c r="E766" s="2"/>
      <c r="F766" s="2"/>
      <c r="G766" s="2"/>
      <c r="H766" s="2"/>
      <c r="I766" s="5"/>
    </row>
    <row r="767" spans="1:9" ht="17.399999999999999" x14ac:dyDescent="0.25">
      <c r="A767" s="16"/>
      <c r="B767" s="17"/>
      <c r="C767" s="2"/>
      <c r="D767" s="2"/>
      <c r="E767" s="2"/>
      <c r="F767" s="2"/>
      <c r="G767" s="2"/>
      <c r="H767" s="2"/>
      <c r="I767" s="5"/>
    </row>
    <row r="768" spans="1:9" ht="17.399999999999999" x14ac:dyDescent="0.25">
      <c r="A768" s="16"/>
      <c r="B768" s="17"/>
      <c r="C768" s="2"/>
      <c r="D768" s="2"/>
      <c r="E768" s="2"/>
      <c r="F768" s="2"/>
      <c r="G768" s="2"/>
      <c r="H768" s="2"/>
      <c r="I768" s="5"/>
    </row>
    <row r="769" spans="1:9" ht="17.399999999999999" x14ac:dyDescent="0.25">
      <c r="A769" s="16"/>
      <c r="B769" s="17"/>
      <c r="C769" s="2"/>
      <c r="D769" s="2"/>
      <c r="E769" s="2"/>
      <c r="F769" s="2"/>
      <c r="G769" s="2"/>
      <c r="H769" s="2"/>
      <c r="I769" s="5"/>
    </row>
    <row r="770" spans="1:9" ht="17.399999999999999" x14ac:dyDescent="0.25">
      <c r="A770" s="16"/>
      <c r="B770" s="17"/>
      <c r="C770" s="2"/>
      <c r="D770" s="2"/>
      <c r="E770" s="2"/>
      <c r="F770" s="2"/>
      <c r="G770" s="2"/>
      <c r="H770" s="2"/>
      <c r="I770" s="5"/>
    </row>
    <row r="771" spans="1:9" ht="17.399999999999999" x14ac:dyDescent="0.25">
      <c r="A771" s="16"/>
      <c r="B771" s="17"/>
      <c r="C771" s="2"/>
      <c r="D771" s="2"/>
      <c r="E771" s="2"/>
      <c r="F771" s="2"/>
      <c r="G771" s="2"/>
      <c r="H771" s="2"/>
      <c r="I771" s="5"/>
    </row>
    <row r="772" spans="1:9" ht="17.399999999999999" x14ac:dyDescent="0.25">
      <c r="A772" s="16"/>
      <c r="B772" s="17"/>
      <c r="C772" s="2"/>
      <c r="D772" s="2"/>
      <c r="E772" s="2"/>
      <c r="F772" s="2"/>
      <c r="G772" s="2"/>
      <c r="H772" s="2"/>
      <c r="I772" s="5"/>
    </row>
    <row r="773" spans="1:9" ht="17.399999999999999" x14ac:dyDescent="0.25">
      <c r="A773" s="16"/>
      <c r="B773" s="17"/>
      <c r="C773" s="2"/>
      <c r="D773" s="2"/>
      <c r="E773" s="2"/>
      <c r="F773" s="2"/>
      <c r="G773" s="2"/>
      <c r="H773" s="2"/>
      <c r="I773" s="5"/>
    </row>
    <row r="774" spans="1:9" ht="17.399999999999999" x14ac:dyDescent="0.25">
      <c r="A774" s="16"/>
      <c r="B774" s="17"/>
      <c r="C774" s="2"/>
      <c r="D774" s="2"/>
      <c r="E774" s="2"/>
      <c r="F774" s="2"/>
      <c r="G774" s="2"/>
      <c r="H774" s="2"/>
      <c r="I774" s="5"/>
    </row>
    <row r="775" spans="1:9" ht="17.399999999999999" x14ac:dyDescent="0.25">
      <c r="A775" s="16"/>
      <c r="B775" s="17"/>
      <c r="C775" s="2"/>
      <c r="D775" s="2"/>
      <c r="E775" s="2"/>
      <c r="F775" s="2"/>
      <c r="G775" s="2"/>
      <c r="H775" s="2"/>
      <c r="I775" s="5"/>
    </row>
    <row r="776" spans="1:9" ht="17.399999999999999" x14ac:dyDescent="0.25">
      <c r="A776" s="16"/>
      <c r="B776" s="17"/>
      <c r="C776" s="2"/>
      <c r="D776" s="2"/>
      <c r="E776" s="2"/>
      <c r="F776" s="2"/>
      <c r="G776" s="2"/>
      <c r="H776" s="2"/>
      <c r="I776" s="5"/>
    </row>
    <row r="777" spans="1:9" ht="17.399999999999999" x14ac:dyDescent="0.25">
      <c r="A777" s="16"/>
      <c r="B777" s="17"/>
      <c r="C777" s="2"/>
      <c r="D777" s="2"/>
      <c r="E777" s="2"/>
      <c r="F777" s="2"/>
      <c r="G777" s="2"/>
      <c r="H777" s="2"/>
      <c r="I777" s="5"/>
    </row>
    <row r="778" spans="1:9" ht="17.399999999999999" x14ac:dyDescent="0.25">
      <c r="A778" s="16"/>
      <c r="B778" s="17"/>
      <c r="C778" s="2"/>
      <c r="D778" s="2"/>
      <c r="E778" s="2"/>
      <c r="F778" s="2"/>
      <c r="G778" s="2"/>
      <c r="H778" s="2"/>
      <c r="I778" s="5"/>
    </row>
    <row r="779" spans="1:9" ht="17.399999999999999" x14ac:dyDescent="0.25">
      <c r="A779" s="16"/>
      <c r="B779" s="17"/>
      <c r="C779" s="2"/>
      <c r="D779" s="2"/>
      <c r="E779" s="2"/>
      <c r="F779" s="2"/>
      <c r="G779" s="2"/>
      <c r="H779" s="2"/>
      <c r="I779" s="5"/>
    </row>
    <row r="780" spans="1:9" ht="17.399999999999999" x14ac:dyDescent="0.25">
      <c r="A780" s="16"/>
      <c r="B780" s="17"/>
      <c r="C780" s="2"/>
      <c r="D780" s="2"/>
      <c r="E780" s="2"/>
      <c r="F780" s="2"/>
      <c r="G780" s="2"/>
      <c r="H780" s="2"/>
      <c r="I780" s="5"/>
    </row>
    <row r="781" spans="1:9" ht="17.399999999999999" x14ac:dyDescent="0.25">
      <c r="A781" s="16"/>
      <c r="B781" s="17"/>
      <c r="C781" s="2"/>
      <c r="D781" s="2"/>
      <c r="E781" s="2"/>
      <c r="F781" s="2"/>
      <c r="G781" s="2"/>
      <c r="H781" s="2"/>
      <c r="I781" s="5"/>
    </row>
    <row r="782" spans="1:9" ht="17.399999999999999" x14ac:dyDescent="0.25">
      <c r="A782" s="16"/>
      <c r="B782" s="17"/>
      <c r="C782" s="2"/>
      <c r="D782" s="2"/>
      <c r="E782" s="2"/>
      <c r="F782" s="2"/>
      <c r="G782" s="2"/>
      <c r="H782" s="2"/>
      <c r="I782" s="5"/>
    </row>
    <row r="783" spans="1:9" ht="17.399999999999999" x14ac:dyDescent="0.25">
      <c r="A783" s="16"/>
      <c r="B783" s="17"/>
      <c r="C783" s="2"/>
      <c r="D783" s="2"/>
      <c r="E783" s="2"/>
      <c r="F783" s="2"/>
      <c r="G783" s="2"/>
      <c r="H783" s="2"/>
      <c r="I783" s="5"/>
    </row>
    <row r="784" spans="1:9" ht="17.399999999999999" x14ac:dyDescent="0.25">
      <c r="A784" s="16"/>
      <c r="B784" s="17"/>
      <c r="C784" s="2"/>
      <c r="D784" s="2"/>
      <c r="E784" s="2"/>
      <c r="F784" s="2"/>
      <c r="G784" s="2"/>
      <c r="H784" s="2"/>
      <c r="I784" s="5"/>
    </row>
    <row r="785" spans="1:9" ht="17.399999999999999" x14ac:dyDescent="0.25">
      <c r="A785" s="16"/>
      <c r="B785" s="17"/>
      <c r="C785" s="2"/>
      <c r="D785" s="2"/>
      <c r="E785" s="2"/>
      <c r="F785" s="2"/>
      <c r="G785" s="2"/>
      <c r="H785" s="2"/>
      <c r="I785" s="5"/>
    </row>
    <row r="786" spans="1:9" ht="17.399999999999999" x14ac:dyDescent="0.25">
      <c r="A786" s="16"/>
      <c r="B786" s="17"/>
      <c r="C786" s="2"/>
      <c r="D786" s="2"/>
      <c r="E786" s="2"/>
      <c r="F786" s="2"/>
      <c r="G786" s="2"/>
      <c r="H786" s="2"/>
      <c r="I786" s="5"/>
    </row>
    <row r="787" spans="1:9" ht="17.399999999999999" x14ac:dyDescent="0.25">
      <c r="A787" s="16"/>
      <c r="B787" s="17"/>
      <c r="C787" s="2"/>
      <c r="D787" s="2"/>
      <c r="E787" s="2"/>
      <c r="F787" s="2"/>
      <c r="G787" s="2"/>
      <c r="H787" s="2"/>
      <c r="I787" s="5"/>
    </row>
    <row r="788" spans="1:9" ht="17.399999999999999" x14ac:dyDescent="0.25">
      <c r="A788" s="16"/>
      <c r="B788" s="17"/>
      <c r="C788" s="2"/>
      <c r="D788" s="2"/>
      <c r="E788" s="2"/>
      <c r="F788" s="2"/>
      <c r="G788" s="2"/>
      <c r="H788" s="2"/>
      <c r="I788" s="5"/>
    </row>
    <row r="789" spans="1:9" ht="17.399999999999999" x14ac:dyDescent="0.25">
      <c r="A789" s="16"/>
      <c r="B789" s="17"/>
      <c r="C789" s="2"/>
      <c r="D789" s="2"/>
      <c r="E789" s="2"/>
      <c r="F789" s="2"/>
      <c r="G789" s="2"/>
      <c r="H789" s="2"/>
      <c r="I789" s="5"/>
    </row>
    <row r="790" spans="1:9" ht="17.399999999999999" x14ac:dyDescent="0.25">
      <c r="A790" s="16"/>
      <c r="B790" s="17"/>
      <c r="C790" s="2"/>
      <c r="D790" s="2"/>
      <c r="E790" s="2"/>
      <c r="F790" s="2"/>
      <c r="G790" s="2"/>
      <c r="H790" s="2"/>
      <c r="I790" s="5"/>
    </row>
    <row r="791" spans="1:9" ht="17.399999999999999" x14ac:dyDescent="0.25">
      <c r="A791" s="16"/>
      <c r="B791" s="17"/>
      <c r="C791" s="2"/>
      <c r="D791" s="2"/>
      <c r="E791" s="2"/>
      <c r="F791" s="2"/>
      <c r="G791" s="2"/>
      <c r="H791" s="2"/>
      <c r="I791" s="5"/>
    </row>
    <row r="792" spans="1:9" ht="17.399999999999999" x14ac:dyDescent="0.25">
      <c r="A792" s="16"/>
      <c r="B792" s="17"/>
      <c r="C792" s="2"/>
      <c r="D792" s="2"/>
      <c r="E792" s="2"/>
      <c r="F792" s="2"/>
      <c r="G792" s="2"/>
      <c r="H792" s="2"/>
      <c r="I792" s="5"/>
    </row>
    <row r="793" spans="1:9" ht="17.399999999999999" x14ac:dyDescent="0.25">
      <c r="A793" s="16"/>
      <c r="B793" s="17"/>
      <c r="C793" s="2"/>
      <c r="D793" s="2"/>
      <c r="E793" s="2"/>
      <c r="F793" s="2"/>
      <c r="G793" s="2"/>
      <c r="H793" s="2"/>
      <c r="I793" s="5"/>
    </row>
    <row r="794" spans="1:9" ht="17.399999999999999" x14ac:dyDescent="0.25">
      <c r="A794" s="16"/>
      <c r="B794" s="17"/>
      <c r="C794" s="2"/>
      <c r="D794" s="2"/>
      <c r="E794" s="2"/>
      <c r="F794" s="2"/>
      <c r="G794" s="2"/>
      <c r="H794" s="2"/>
      <c r="I794" s="5"/>
    </row>
    <row r="795" spans="1:9" ht="17.399999999999999" x14ac:dyDescent="0.25">
      <c r="A795" s="16"/>
      <c r="B795" s="17"/>
      <c r="C795" s="2"/>
      <c r="D795" s="2"/>
      <c r="E795" s="2"/>
      <c r="F795" s="2"/>
      <c r="G795" s="2"/>
      <c r="H795" s="2"/>
      <c r="I795" s="5"/>
    </row>
    <row r="796" spans="1:9" ht="17.399999999999999" x14ac:dyDescent="0.25">
      <c r="A796" s="16"/>
      <c r="B796" s="17"/>
      <c r="C796" s="2"/>
      <c r="D796" s="2"/>
      <c r="E796" s="2"/>
      <c r="F796" s="2"/>
      <c r="G796" s="2"/>
      <c r="H796" s="2"/>
      <c r="I796" s="5"/>
    </row>
    <row r="797" spans="1:9" ht="17.399999999999999" x14ac:dyDescent="0.25">
      <c r="A797" s="16"/>
      <c r="B797" s="17"/>
      <c r="C797" s="2"/>
      <c r="D797" s="2"/>
      <c r="E797" s="2"/>
      <c r="F797" s="2"/>
      <c r="G797" s="2"/>
      <c r="H797" s="2"/>
      <c r="I797" s="5"/>
    </row>
    <row r="798" spans="1:9" ht="17.399999999999999" x14ac:dyDescent="0.25">
      <c r="A798" s="16"/>
      <c r="B798" s="17"/>
      <c r="C798" s="2"/>
      <c r="D798" s="2"/>
      <c r="E798" s="2"/>
      <c r="F798" s="2"/>
      <c r="G798" s="2"/>
      <c r="H798" s="2"/>
      <c r="I798" s="5"/>
    </row>
    <row r="799" spans="1:9" ht="17.399999999999999" x14ac:dyDescent="0.25">
      <c r="A799" s="16"/>
      <c r="B799" s="17"/>
      <c r="C799" s="2"/>
      <c r="D799" s="2"/>
      <c r="E799" s="2"/>
      <c r="F799" s="2"/>
      <c r="G799" s="2"/>
      <c r="H799" s="2"/>
      <c r="I799" s="5"/>
    </row>
    <row r="800" spans="1:9" ht="17.399999999999999" x14ac:dyDescent="0.25">
      <c r="A800" s="16"/>
      <c r="B800" s="17"/>
      <c r="C800" s="2"/>
      <c r="D800" s="2"/>
      <c r="E800" s="2"/>
      <c r="F800" s="2"/>
      <c r="G800" s="2"/>
      <c r="H800" s="2"/>
      <c r="I800" s="5"/>
    </row>
    <row r="801" spans="1:9" ht="17.399999999999999" x14ac:dyDescent="0.25">
      <c r="A801" s="16"/>
      <c r="B801" s="17"/>
      <c r="C801" s="2"/>
      <c r="D801" s="2"/>
      <c r="E801" s="2"/>
      <c r="F801" s="2"/>
      <c r="G801" s="2"/>
      <c r="H801" s="2"/>
      <c r="I801" s="5"/>
    </row>
    <row r="802" spans="1:9" ht="17.399999999999999" x14ac:dyDescent="0.25">
      <c r="A802" s="16"/>
      <c r="B802" s="17"/>
      <c r="C802" s="2"/>
      <c r="D802" s="2"/>
      <c r="E802" s="2"/>
      <c r="F802" s="2"/>
      <c r="G802" s="2"/>
      <c r="H802" s="2"/>
      <c r="I802" s="5"/>
    </row>
    <row r="803" spans="1:9" ht="17.399999999999999" x14ac:dyDescent="0.25">
      <c r="A803" s="16"/>
      <c r="B803" s="17"/>
      <c r="C803" s="2"/>
      <c r="D803" s="2"/>
      <c r="E803" s="2"/>
      <c r="F803" s="2"/>
      <c r="G803" s="2"/>
      <c r="H803" s="2"/>
      <c r="I803" s="5"/>
    </row>
    <row r="804" spans="1:9" ht="17.399999999999999" x14ac:dyDescent="0.25">
      <c r="A804" s="16"/>
      <c r="B804" s="17"/>
      <c r="C804" s="2"/>
      <c r="D804" s="2"/>
      <c r="E804" s="2"/>
      <c r="F804" s="2"/>
      <c r="G804" s="2"/>
      <c r="H804" s="2"/>
      <c r="I804" s="5"/>
    </row>
    <row r="805" spans="1:9" ht="17.399999999999999" x14ac:dyDescent="0.25">
      <c r="A805" s="16"/>
      <c r="B805" s="17"/>
      <c r="C805" s="2"/>
      <c r="D805" s="2"/>
      <c r="E805" s="2"/>
      <c r="F805" s="2"/>
      <c r="G805" s="2"/>
      <c r="H805" s="2"/>
      <c r="I805" s="5"/>
    </row>
    <row r="806" spans="1:9" ht="17.399999999999999" x14ac:dyDescent="0.25">
      <c r="A806" s="16"/>
      <c r="B806" s="17"/>
      <c r="C806" s="2"/>
      <c r="D806" s="2"/>
      <c r="E806" s="2"/>
      <c r="F806" s="2"/>
      <c r="G806" s="2"/>
      <c r="H806" s="2"/>
      <c r="I806" s="5"/>
    </row>
    <row r="807" spans="1:9" ht="17.399999999999999" x14ac:dyDescent="0.25">
      <c r="A807" s="16"/>
      <c r="B807" s="17"/>
      <c r="C807" s="2"/>
      <c r="D807" s="2"/>
      <c r="E807" s="2"/>
      <c r="F807" s="2"/>
      <c r="G807" s="2"/>
      <c r="H807" s="2"/>
      <c r="I807" s="5"/>
    </row>
    <row r="808" spans="1:9" ht="17.399999999999999" x14ac:dyDescent="0.25">
      <c r="A808" s="16"/>
      <c r="B808" s="17"/>
      <c r="C808" s="2"/>
      <c r="D808" s="2"/>
      <c r="E808" s="2"/>
      <c r="F808" s="2"/>
      <c r="G808" s="2"/>
      <c r="H808" s="2"/>
      <c r="I808" s="5"/>
    </row>
    <row r="809" spans="1:9" ht="17.399999999999999" x14ac:dyDescent="0.25">
      <c r="A809" s="16"/>
      <c r="B809" s="17"/>
      <c r="C809" s="2"/>
      <c r="D809" s="2"/>
      <c r="E809" s="2"/>
      <c r="F809" s="2"/>
      <c r="G809" s="2"/>
      <c r="H809" s="2"/>
      <c r="I809" s="5"/>
    </row>
    <row r="810" spans="1:9" ht="17.399999999999999" x14ac:dyDescent="0.25">
      <c r="A810" s="16"/>
      <c r="B810" s="17"/>
      <c r="C810" s="2"/>
      <c r="D810" s="2"/>
      <c r="E810" s="2"/>
      <c r="F810" s="2"/>
      <c r="G810" s="2"/>
      <c r="H810" s="2"/>
      <c r="I810" s="5"/>
    </row>
    <row r="811" spans="1:9" ht="17.399999999999999" x14ac:dyDescent="0.25">
      <c r="A811" s="16"/>
      <c r="B811" s="17"/>
      <c r="C811" s="2"/>
      <c r="D811" s="2"/>
      <c r="E811" s="2"/>
      <c r="F811" s="2"/>
      <c r="G811" s="2"/>
      <c r="H811" s="2"/>
      <c r="I811" s="5"/>
    </row>
    <row r="812" spans="1:9" ht="17.399999999999999" x14ac:dyDescent="0.25">
      <c r="A812" s="16"/>
      <c r="B812" s="17"/>
      <c r="C812" s="2"/>
      <c r="D812" s="2"/>
      <c r="E812" s="2"/>
      <c r="F812" s="2"/>
      <c r="G812" s="2"/>
      <c r="H812" s="2"/>
      <c r="I812" s="5"/>
    </row>
    <row r="813" spans="1:9" ht="17.399999999999999" x14ac:dyDescent="0.25">
      <c r="A813" s="16"/>
      <c r="B813" s="17"/>
      <c r="C813" s="2"/>
      <c r="D813" s="2"/>
      <c r="E813" s="2"/>
      <c r="F813" s="2"/>
      <c r="G813" s="2"/>
      <c r="H813" s="2"/>
      <c r="I813" s="5"/>
    </row>
    <row r="814" spans="1:9" ht="17.399999999999999" x14ac:dyDescent="0.25">
      <c r="A814" s="16"/>
      <c r="B814" s="17"/>
      <c r="C814" s="2"/>
      <c r="D814" s="2"/>
      <c r="E814" s="2"/>
      <c r="F814" s="2"/>
      <c r="G814" s="2"/>
      <c r="H814" s="2"/>
      <c r="I814" s="5"/>
    </row>
    <row r="815" spans="1:9" ht="17.399999999999999" x14ac:dyDescent="0.25">
      <c r="A815" s="16"/>
      <c r="B815" s="17"/>
      <c r="C815" s="2"/>
      <c r="D815" s="2"/>
      <c r="E815" s="2"/>
      <c r="F815" s="2"/>
      <c r="G815" s="2"/>
      <c r="H815" s="2"/>
      <c r="I815" s="5"/>
    </row>
    <row r="816" spans="1:9" ht="17.399999999999999" x14ac:dyDescent="0.25">
      <c r="A816" s="16"/>
      <c r="B816" s="17"/>
      <c r="C816" s="2"/>
      <c r="D816" s="2"/>
      <c r="E816" s="2"/>
      <c r="F816" s="2"/>
      <c r="G816" s="2"/>
      <c r="H816" s="2"/>
      <c r="I816" s="5"/>
    </row>
    <row r="817" spans="1:9" ht="17.399999999999999" x14ac:dyDescent="0.25">
      <c r="A817" s="16"/>
      <c r="B817" s="17"/>
      <c r="C817" s="2"/>
      <c r="D817" s="2"/>
      <c r="E817" s="2"/>
      <c r="F817" s="2"/>
      <c r="G817" s="2"/>
      <c r="H817" s="2"/>
      <c r="I817" s="5"/>
    </row>
    <row r="818" spans="1:9" ht="17.399999999999999" x14ac:dyDescent="0.25">
      <c r="A818" s="16"/>
      <c r="B818" s="17"/>
      <c r="C818" s="2"/>
      <c r="D818" s="2"/>
      <c r="E818" s="2"/>
      <c r="F818" s="2"/>
      <c r="G818" s="2"/>
      <c r="H818" s="2"/>
      <c r="I818" s="5"/>
    </row>
    <row r="819" spans="1:9" ht="17.399999999999999" x14ac:dyDescent="0.25">
      <c r="A819" s="16"/>
      <c r="B819" s="17"/>
      <c r="C819" s="2"/>
      <c r="D819" s="2"/>
      <c r="E819" s="2"/>
      <c r="F819" s="2"/>
      <c r="G819" s="2"/>
      <c r="H819" s="2"/>
      <c r="I819" s="5"/>
    </row>
    <row r="820" spans="1:9" ht="17.399999999999999" x14ac:dyDescent="0.25">
      <c r="A820" s="16"/>
      <c r="B820" s="17"/>
      <c r="C820" s="2"/>
      <c r="D820" s="2"/>
      <c r="E820" s="2"/>
      <c r="F820" s="2"/>
      <c r="G820" s="2"/>
      <c r="H820" s="2"/>
      <c r="I820" s="5"/>
    </row>
    <row r="821" spans="1:9" ht="17.399999999999999" x14ac:dyDescent="0.25">
      <c r="A821" s="16"/>
      <c r="B821" s="17"/>
      <c r="C821" s="2"/>
      <c r="D821" s="2"/>
      <c r="E821" s="2"/>
      <c r="F821" s="2"/>
      <c r="G821" s="2"/>
      <c r="H821" s="2"/>
      <c r="I821" s="5"/>
    </row>
    <row r="822" spans="1:9" ht="17.399999999999999" x14ac:dyDescent="0.25">
      <c r="A822" s="16"/>
      <c r="B822" s="17"/>
      <c r="C822" s="2"/>
      <c r="D822" s="2"/>
      <c r="E822" s="2"/>
      <c r="F822" s="2"/>
      <c r="G822" s="2"/>
      <c r="H822" s="2"/>
      <c r="I822" s="5"/>
    </row>
    <row r="823" spans="1:9" ht="17.399999999999999" x14ac:dyDescent="0.25">
      <c r="A823" s="16"/>
      <c r="B823" s="17"/>
      <c r="C823" s="2"/>
      <c r="D823" s="2"/>
      <c r="E823" s="2"/>
      <c r="F823" s="2"/>
      <c r="G823" s="2"/>
      <c r="H823" s="2"/>
      <c r="I823" s="5"/>
    </row>
    <row r="824" spans="1:9" ht="17.399999999999999" x14ac:dyDescent="0.25">
      <c r="A824" s="16"/>
      <c r="B824" s="17"/>
      <c r="C824" s="2"/>
      <c r="D824" s="2"/>
      <c r="E824" s="2"/>
      <c r="F824" s="2"/>
      <c r="G824" s="2"/>
      <c r="H824" s="2"/>
      <c r="I824" s="5"/>
    </row>
    <row r="825" spans="1:9" ht="17.399999999999999" x14ac:dyDescent="0.25">
      <c r="A825" s="16"/>
      <c r="B825" s="17"/>
      <c r="C825" s="2"/>
      <c r="D825" s="2"/>
      <c r="E825" s="2"/>
      <c r="F825" s="2"/>
      <c r="G825" s="2"/>
      <c r="H825" s="2"/>
      <c r="I825" s="5"/>
    </row>
    <row r="826" spans="1:9" ht="17.399999999999999" x14ac:dyDescent="0.25">
      <c r="A826" s="16"/>
      <c r="B826" s="17"/>
      <c r="C826" s="2"/>
      <c r="D826" s="2"/>
      <c r="E826" s="2"/>
      <c r="F826" s="2"/>
      <c r="G826" s="2"/>
      <c r="H826" s="2"/>
      <c r="I826" s="5"/>
    </row>
    <row r="827" spans="1:9" ht="17.399999999999999" x14ac:dyDescent="0.25">
      <c r="A827" s="16"/>
      <c r="B827" s="17"/>
      <c r="C827" s="2"/>
      <c r="D827" s="2"/>
      <c r="E827" s="2"/>
      <c r="F827" s="2"/>
      <c r="G827" s="2"/>
      <c r="H827" s="2"/>
      <c r="I827" s="5"/>
    </row>
    <row r="828" spans="1:9" ht="17.399999999999999" x14ac:dyDescent="0.25">
      <c r="A828" s="16"/>
      <c r="B828" s="17"/>
      <c r="C828" s="2"/>
      <c r="D828" s="2"/>
      <c r="E828" s="2"/>
      <c r="F828" s="2"/>
      <c r="G828" s="2"/>
      <c r="H828" s="2"/>
      <c r="I828" s="5"/>
    </row>
    <row r="829" spans="1:9" ht="17.399999999999999" x14ac:dyDescent="0.25">
      <c r="A829" s="16"/>
      <c r="B829" s="17"/>
      <c r="C829" s="2"/>
      <c r="D829" s="2"/>
      <c r="E829" s="2"/>
      <c r="F829" s="2"/>
      <c r="G829" s="2"/>
      <c r="H829" s="2"/>
      <c r="I829" s="5"/>
    </row>
    <row r="830" spans="1:9" ht="17.399999999999999" x14ac:dyDescent="0.25">
      <c r="A830" s="16"/>
      <c r="B830" s="17"/>
      <c r="C830" s="2"/>
      <c r="D830" s="2"/>
      <c r="E830" s="2"/>
      <c r="F830" s="2"/>
      <c r="G830" s="2"/>
      <c r="H830" s="2"/>
      <c r="I830" s="5"/>
    </row>
    <row r="831" spans="1:9" ht="17.399999999999999" x14ac:dyDescent="0.25">
      <c r="A831" s="16"/>
      <c r="B831" s="17"/>
      <c r="C831" s="2"/>
      <c r="D831" s="2"/>
      <c r="E831" s="2"/>
      <c r="F831" s="2"/>
      <c r="G831" s="2"/>
      <c r="H831" s="2"/>
      <c r="I831" s="5"/>
    </row>
    <row r="832" spans="1:9" ht="17.399999999999999" x14ac:dyDescent="0.25">
      <c r="A832" s="16"/>
      <c r="B832" s="17"/>
      <c r="C832" s="2"/>
      <c r="D832" s="2"/>
      <c r="E832" s="2"/>
      <c r="F832" s="2"/>
      <c r="G832" s="2"/>
      <c r="H832" s="2"/>
      <c r="I832" s="5"/>
    </row>
    <row r="833" spans="1:9" ht="17.399999999999999" x14ac:dyDescent="0.25">
      <c r="A833" s="16"/>
      <c r="B833" s="17"/>
      <c r="C833" s="2"/>
      <c r="D833" s="2"/>
      <c r="E833" s="2"/>
      <c r="F833" s="2"/>
      <c r="G833" s="2"/>
      <c r="H833" s="2"/>
      <c r="I833" s="5"/>
    </row>
    <row r="834" spans="1:9" ht="17.399999999999999" x14ac:dyDescent="0.25">
      <c r="A834" s="16"/>
      <c r="B834" s="17"/>
      <c r="C834" s="2"/>
      <c r="D834" s="2"/>
      <c r="E834" s="2"/>
      <c r="F834" s="2"/>
      <c r="G834" s="2"/>
      <c r="H834" s="2"/>
      <c r="I834" s="5"/>
    </row>
    <row r="835" spans="1:9" ht="17.399999999999999" x14ac:dyDescent="0.25">
      <c r="A835" s="16"/>
      <c r="B835" s="17"/>
      <c r="C835" s="2"/>
      <c r="D835" s="2"/>
      <c r="E835" s="2"/>
      <c r="F835" s="2"/>
      <c r="G835" s="2"/>
      <c r="H835" s="2"/>
      <c r="I835" s="5"/>
    </row>
    <row r="836" spans="1:9" ht="17.399999999999999" x14ac:dyDescent="0.25">
      <c r="A836" s="16"/>
      <c r="B836" s="17"/>
      <c r="C836" s="2"/>
      <c r="D836" s="2"/>
      <c r="E836" s="2"/>
      <c r="F836" s="2"/>
      <c r="G836" s="2"/>
      <c r="H836" s="2"/>
      <c r="I836" s="5"/>
    </row>
    <row r="837" spans="1:9" ht="17.399999999999999" x14ac:dyDescent="0.25">
      <c r="A837" s="16"/>
      <c r="B837" s="17"/>
      <c r="C837" s="2"/>
      <c r="D837" s="2"/>
      <c r="E837" s="2"/>
      <c r="F837" s="2"/>
      <c r="G837" s="2"/>
      <c r="H837" s="2"/>
      <c r="I837" s="5"/>
    </row>
    <row r="838" spans="1:9" ht="17.399999999999999" x14ac:dyDescent="0.25">
      <c r="A838" s="16"/>
      <c r="B838" s="17"/>
      <c r="C838" s="2"/>
      <c r="D838" s="2"/>
      <c r="E838" s="2"/>
      <c r="F838" s="2"/>
      <c r="G838" s="2"/>
      <c r="H838" s="2"/>
      <c r="I838" s="5"/>
    </row>
    <row r="839" spans="1:9" ht="17.399999999999999" x14ac:dyDescent="0.25">
      <c r="A839" s="16"/>
      <c r="B839" s="17"/>
      <c r="C839" s="2"/>
      <c r="D839" s="2"/>
      <c r="E839" s="2"/>
      <c r="F839" s="2"/>
      <c r="G839" s="2"/>
      <c r="H839" s="2"/>
      <c r="I839" s="5"/>
    </row>
    <row r="840" spans="1:9" ht="17.399999999999999" x14ac:dyDescent="0.25">
      <c r="A840" s="16"/>
      <c r="B840" s="17"/>
      <c r="C840" s="2"/>
      <c r="D840" s="2"/>
      <c r="E840" s="2"/>
      <c r="F840" s="2"/>
      <c r="G840" s="2"/>
      <c r="H840" s="2"/>
      <c r="I840" s="5"/>
    </row>
    <row r="841" spans="1:9" ht="17.399999999999999" x14ac:dyDescent="0.25">
      <c r="A841" s="16"/>
      <c r="B841" s="17"/>
      <c r="C841" s="2"/>
      <c r="D841" s="2"/>
      <c r="E841" s="2"/>
      <c r="F841" s="2"/>
      <c r="G841" s="2"/>
      <c r="H841" s="2"/>
      <c r="I841" s="5"/>
    </row>
    <row r="842" spans="1:9" ht="17.399999999999999" x14ac:dyDescent="0.25">
      <c r="A842" s="16"/>
      <c r="B842" s="17"/>
      <c r="C842" s="2"/>
      <c r="D842" s="2"/>
      <c r="E842" s="2"/>
      <c r="F842" s="2"/>
      <c r="G842" s="2"/>
      <c r="H842" s="2"/>
      <c r="I842" s="5"/>
    </row>
    <row r="843" spans="1:9" ht="17.399999999999999" x14ac:dyDescent="0.25">
      <c r="A843" s="16"/>
      <c r="B843" s="17"/>
      <c r="C843" s="2"/>
      <c r="D843" s="2"/>
      <c r="E843" s="2"/>
      <c r="F843" s="2"/>
      <c r="G843" s="2"/>
      <c r="H843" s="2"/>
      <c r="I843" s="5"/>
    </row>
    <row r="844" spans="1:9" ht="17.399999999999999" x14ac:dyDescent="0.25">
      <c r="A844" s="16"/>
      <c r="B844" s="17"/>
      <c r="C844" s="2"/>
      <c r="D844" s="2"/>
      <c r="E844" s="2"/>
      <c r="F844" s="2"/>
      <c r="G844" s="2"/>
      <c r="H844" s="2"/>
      <c r="I844" s="5"/>
    </row>
    <row r="845" spans="1:9" ht="17.399999999999999" x14ac:dyDescent="0.25">
      <c r="A845" s="16"/>
      <c r="B845" s="17"/>
      <c r="C845" s="2"/>
      <c r="D845" s="2"/>
      <c r="E845" s="2"/>
      <c r="F845" s="2"/>
      <c r="G845" s="2"/>
      <c r="H845" s="2"/>
      <c r="I845" s="5"/>
    </row>
    <row r="846" spans="1:9" ht="17.399999999999999" x14ac:dyDescent="0.25">
      <c r="A846" s="16"/>
      <c r="B846" s="17"/>
      <c r="C846" s="2"/>
      <c r="D846" s="2"/>
      <c r="E846" s="2"/>
      <c r="F846" s="2"/>
      <c r="G846" s="2"/>
      <c r="H846" s="2"/>
      <c r="I846" s="5"/>
    </row>
    <row r="847" spans="1:9" ht="17.399999999999999" x14ac:dyDescent="0.25">
      <c r="A847" s="16"/>
      <c r="B847" s="17"/>
      <c r="C847" s="2"/>
      <c r="D847" s="2"/>
      <c r="E847" s="2"/>
      <c r="F847" s="2"/>
      <c r="G847" s="2"/>
      <c r="H847" s="2"/>
      <c r="I847" s="5"/>
    </row>
    <row r="848" spans="1:9" ht="17.399999999999999" x14ac:dyDescent="0.25">
      <c r="A848" s="16"/>
      <c r="B848" s="17"/>
      <c r="C848" s="2"/>
      <c r="D848" s="2"/>
      <c r="E848" s="2"/>
      <c r="F848" s="2"/>
      <c r="G848" s="2"/>
      <c r="H848" s="2"/>
      <c r="I848" s="5"/>
    </row>
    <row r="849" spans="1:9" ht="17.399999999999999" x14ac:dyDescent="0.25">
      <c r="A849" s="16"/>
      <c r="B849" s="17"/>
      <c r="C849" s="2"/>
      <c r="D849" s="2"/>
      <c r="E849" s="2"/>
      <c r="F849" s="2"/>
      <c r="G849" s="2"/>
      <c r="H849" s="2"/>
      <c r="I849" s="5"/>
    </row>
    <row r="850" spans="1:9" ht="17.399999999999999" x14ac:dyDescent="0.25">
      <c r="A850" s="16"/>
      <c r="B850" s="17"/>
      <c r="C850" s="2"/>
      <c r="D850" s="2"/>
      <c r="E850" s="2"/>
      <c r="F850" s="2"/>
      <c r="G850" s="2"/>
      <c r="H850" s="2"/>
      <c r="I850" s="5"/>
    </row>
    <row r="851" spans="1:9" ht="17.399999999999999" x14ac:dyDescent="0.25">
      <c r="A851" s="16"/>
      <c r="B851" s="17"/>
      <c r="C851" s="2"/>
      <c r="D851" s="2"/>
      <c r="E851" s="2"/>
      <c r="F851" s="2"/>
      <c r="G851" s="2"/>
      <c r="H851" s="2"/>
      <c r="I851" s="5"/>
    </row>
    <row r="852" spans="1:9" ht="17.399999999999999" x14ac:dyDescent="0.25">
      <c r="A852" s="16"/>
      <c r="B852" s="17"/>
      <c r="C852" s="2"/>
      <c r="D852" s="2"/>
      <c r="E852" s="2"/>
      <c r="F852" s="2"/>
      <c r="G852" s="2"/>
      <c r="H852" s="2"/>
      <c r="I852" s="5"/>
    </row>
    <row r="853" spans="1:9" ht="17.399999999999999" x14ac:dyDescent="0.25">
      <c r="A853" s="16"/>
      <c r="B853" s="17"/>
      <c r="C853" s="2"/>
      <c r="D853" s="2"/>
      <c r="E853" s="2"/>
      <c r="F853" s="2"/>
      <c r="G853" s="2"/>
      <c r="H853" s="2"/>
      <c r="I853" s="5"/>
    </row>
    <row r="854" spans="1:9" ht="17.399999999999999" x14ac:dyDescent="0.25">
      <c r="A854" s="16"/>
      <c r="B854" s="17"/>
      <c r="C854" s="2"/>
      <c r="D854" s="2"/>
      <c r="E854" s="2"/>
      <c r="F854" s="2"/>
      <c r="G854" s="2"/>
      <c r="H854" s="2"/>
      <c r="I854" s="5"/>
    </row>
    <row r="855" spans="1:9" ht="17.399999999999999" x14ac:dyDescent="0.25">
      <c r="A855" s="16"/>
      <c r="B855" s="17"/>
      <c r="C855" s="2"/>
      <c r="D855" s="2"/>
      <c r="E855" s="2"/>
      <c r="F855" s="2"/>
      <c r="G855" s="2"/>
      <c r="H855" s="2"/>
      <c r="I855" s="5"/>
    </row>
    <row r="856" spans="1:9" ht="17.399999999999999" x14ac:dyDescent="0.25">
      <c r="A856" s="16"/>
      <c r="B856" s="17"/>
      <c r="C856" s="2"/>
      <c r="D856" s="2"/>
      <c r="E856" s="2"/>
      <c r="F856" s="2"/>
      <c r="G856" s="2"/>
      <c r="H856" s="2"/>
      <c r="I856" s="5"/>
    </row>
    <row r="857" spans="1:9" ht="17.399999999999999" x14ac:dyDescent="0.25">
      <c r="A857" s="16"/>
      <c r="B857" s="17"/>
      <c r="C857" s="2"/>
      <c r="D857" s="2"/>
      <c r="E857" s="2"/>
      <c r="F857" s="2"/>
      <c r="G857" s="2"/>
      <c r="H857" s="2"/>
      <c r="I857" s="5"/>
    </row>
    <row r="858" spans="1:9" ht="17.399999999999999" x14ac:dyDescent="0.25">
      <c r="A858" s="16"/>
      <c r="B858" s="17"/>
      <c r="C858" s="2"/>
      <c r="D858" s="2"/>
      <c r="E858" s="2"/>
      <c r="F858" s="2"/>
      <c r="G858" s="2"/>
      <c r="H858" s="2"/>
      <c r="I858" s="5"/>
    </row>
    <row r="859" spans="1:9" ht="17.399999999999999" x14ac:dyDescent="0.25">
      <c r="A859" s="16"/>
      <c r="B859" s="17"/>
      <c r="C859" s="2"/>
      <c r="D859" s="2"/>
      <c r="E859" s="2"/>
      <c r="F859" s="2"/>
      <c r="G859" s="2"/>
      <c r="H859" s="2"/>
      <c r="I859" s="5"/>
    </row>
    <row r="860" spans="1:9" ht="17.399999999999999" x14ac:dyDescent="0.25">
      <c r="A860" s="16"/>
      <c r="B860" s="17"/>
      <c r="C860" s="2"/>
      <c r="D860" s="2"/>
      <c r="E860" s="2"/>
      <c r="F860" s="2"/>
      <c r="G860" s="2"/>
      <c r="H860" s="2"/>
      <c r="I860" s="5"/>
    </row>
    <row r="861" spans="1:9" ht="17.399999999999999" x14ac:dyDescent="0.25">
      <c r="A861" s="16"/>
      <c r="B861" s="17"/>
      <c r="C861" s="2"/>
      <c r="D861" s="2"/>
      <c r="E861" s="2"/>
      <c r="F861" s="2"/>
      <c r="G861" s="2"/>
      <c r="H861" s="2"/>
      <c r="I861" s="5"/>
    </row>
    <row r="862" spans="1:9" ht="17.399999999999999" x14ac:dyDescent="0.25">
      <c r="A862" s="16"/>
      <c r="B862" s="17"/>
      <c r="C862" s="2"/>
      <c r="D862" s="2"/>
      <c r="E862" s="2"/>
      <c r="F862" s="2"/>
      <c r="G862" s="2"/>
      <c r="H862" s="2"/>
      <c r="I862" s="5"/>
    </row>
    <row r="863" spans="1:9" ht="17.399999999999999" x14ac:dyDescent="0.25">
      <c r="A863" s="16"/>
      <c r="B863" s="17"/>
      <c r="C863" s="2"/>
      <c r="D863" s="2"/>
      <c r="E863" s="2"/>
      <c r="F863" s="2"/>
      <c r="G863" s="2"/>
      <c r="H863" s="2"/>
      <c r="I863" s="5"/>
    </row>
    <row r="864" spans="1:9" ht="17.399999999999999" x14ac:dyDescent="0.25">
      <c r="A864" s="16"/>
      <c r="B864" s="17"/>
      <c r="C864" s="2"/>
      <c r="D864" s="2"/>
      <c r="E864" s="2"/>
      <c r="F864" s="2"/>
      <c r="G864" s="2"/>
      <c r="H864" s="2"/>
      <c r="I864" s="5"/>
    </row>
    <row r="865" spans="1:9" ht="17.399999999999999" x14ac:dyDescent="0.25">
      <c r="A865" s="16"/>
      <c r="B865" s="17"/>
      <c r="C865" s="2"/>
      <c r="D865" s="2"/>
      <c r="E865" s="2"/>
      <c r="F865" s="2"/>
      <c r="G865" s="2"/>
      <c r="H865" s="2"/>
      <c r="I865" s="5"/>
    </row>
    <row r="866" spans="1:9" ht="17.399999999999999" x14ac:dyDescent="0.25">
      <c r="A866" s="16"/>
      <c r="B866" s="17"/>
      <c r="C866" s="2"/>
      <c r="D866" s="2"/>
      <c r="E866" s="2"/>
      <c r="F866" s="2"/>
      <c r="G866" s="2"/>
      <c r="H866" s="2"/>
      <c r="I866" s="5"/>
    </row>
    <row r="867" spans="1:9" ht="17.399999999999999" x14ac:dyDescent="0.25">
      <c r="A867" s="16"/>
      <c r="B867" s="17"/>
      <c r="C867" s="2"/>
      <c r="D867" s="2"/>
      <c r="E867" s="2"/>
      <c r="F867" s="2"/>
      <c r="G867" s="2"/>
      <c r="H867" s="2"/>
      <c r="I867" s="5"/>
    </row>
    <row r="868" spans="1:9" ht="17.399999999999999" x14ac:dyDescent="0.25">
      <c r="A868" s="16"/>
      <c r="B868" s="17"/>
      <c r="C868" s="2"/>
      <c r="D868" s="2"/>
      <c r="E868" s="2"/>
      <c r="F868" s="2"/>
      <c r="G868" s="2"/>
      <c r="H868" s="2"/>
      <c r="I868" s="5"/>
    </row>
    <row r="869" spans="1:9" ht="17.399999999999999" x14ac:dyDescent="0.25">
      <c r="A869" s="16"/>
      <c r="B869" s="17"/>
      <c r="C869" s="2"/>
      <c r="D869" s="2"/>
      <c r="E869" s="2"/>
      <c r="F869" s="2"/>
      <c r="G869" s="2"/>
      <c r="H869" s="2"/>
      <c r="I869" s="5"/>
    </row>
    <row r="870" spans="1:9" ht="17.399999999999999" x14ac:dyDescent="0.25">
      <c r="A870" s="16"/>
      <c r="B870" s="17"/>
      <c r="C870" s="2"/>
      <c r="D870" s="2"/>
      <c r="E870" s="2"/>
      <c r="F870" s="2"/>
      <c r="G870" s="2"/>
      <c r="H870" s="2"/>
      <c r="I870" s="5"/>
    </row>
    <row r="871" spans="1:9" ht="17.399999999999999" x14ac:dyDescent="0.25">
      <c r="A871" s="16"/>
      <c r="B871" s="17"/>
      <c r="C871" s="2"/>
      <c r="D871" s="2"/>
      <c r="E871" s="2"/>
      <c r="F871" s="2"/>
      <c r="G871" s="2"/>
      <c r="H871" s="2"/>
      <c r="I871" s="5"/>
    </row>
    <row r="872" spans="1:9" ht="17.399999999999999" x14ac:dyDescent="0.25">
      <c r="A872" s="16"/>
      <c r="B872" s="17"/>
      <c r="C872" s="2"/>
      <c r="D872" s="2"/>
      <c r="E872" s="2"/>
      <c r="F872" s="2"/>
      <c r="G872" s="2"/>
      <c r="H872" s="2"/>
      <c r="I872" s="5"/>
    </row>
    <row r="873" spans="1:9" ht="17.399999999999999" x14ac:dyDescent="0.25">
      <c r="A873" s="16"/>
      <c r="B873" s="17"/>
      <c r="C873" s="2"/>
      <c r="D873" s="2"/>
      <c r="E873" s="2"/>
      <c r="F873" s="2"/>
      <c r="G873" s="2"/>
      <c r="H873" s="2"/>
      <c r="I873" s="5"/>
    </row>
    <row r="874" spans="1:9" ht="17.399999999999999" x14ac:dyDescent="0.25">
      <c r="A874" s="16"/>
      <c r="B874" s="17"/>
      <c r="C874" s="2"/>
      <c r="D874" s="2"/>
      <c r="E874" s="2"/>
      <c r="F874" s="2"/>
      <c r="G874" s="2"/>
      <c r="H874" s="2"/>
      <c r="I874" s="5"/>
    </row>
    <row r="875" spans="1:9" ht="17.399999999999999" x14ac:dyDescent="0.25">
      <c r="A875" s="16"/>
      <c r="B875" s="17"/>
      <c r="C875" s="2"/>
      <c r="D875" s="2"/>
      <c r="E875" s="2"/>
      <c r="F875" s="2"/>
      <c r="G875" s="2"/>
      <c r="H875" s="2"/>
      <c r="I875" s="5"/>
    </row>
    <row r="876" spans="1:9" ht="17.399999999999999" x14ac:dyDescent="0.25">
      <c r="A876" s="16"/>
      <c r="B876" s="17"/>
      <c r="C876" s="2"/>
      <c r="D876" s="2"/>
      <c r="E876" s="2"/>
      <c r="F876" s="2"/>
      <c r="G876" s="2"/>
      <c r="H876" s="2"/>
      <c r="I876" s="5"/>
    </row>
    <row r="877" spans="1:9" ht="17.399999999999999" x14ac:dyDescent="0.25">
      <c r="A877" s="16"/>
      <c r="B877" s="17"/>
      <c r="C877" s="2"/>
      <c r="D877" s="2"/>
      <c r="E877" s="2"/>
      <c r="F877" s="2"/>
      <c r="G877" s="2"/>
      <c r="H877" s="2"/>
      <c r="I877" s="5"/>
    </row>
    <row r="878" spans="1:9" ht="17.399999999999999" x14ac:dyDescent="0.25">
      <c r="A878" s="16"/>
      <c r="B878" s="17"/>
      <c r="C878" s="2"/>
      <c r="D878" s="2"/>
      <c r="E878" s="2"/>
      <c r="F878" s="2"/>
      <c r="G878" s="2"/>
      <c r="H878" s="2"/>
      <c r="I878" s="5"/>
    </row>
    <row r="879" spans="1:9" ht="17.399999999999999" x14ac:dyDescent="0.25">
      <c r="A879" s="16"/>
      <c r="B879" s="17"/>
      <c r="C879" s="2"/>
      <c r="D879" s="2"/>
      <c r="E879" s="2"/>
      <c r="F879" s="2"/>
      <c r="G879" s="2"/>
      <c r="H879" s="2"/>
      <c r="I879" s="5"/>
    </row>
    <row r="880" spans="1:9" ht="17.399999999999999" x14ac:dyDescent="0.25">
      <c r="A880" s="16"/>
      <c r="B880" s="17"/>
      <c r="C880" s="2"/>
      <c r="D880" s="2"/>
      <c r="E880" s="2"/>
      <c r="F880" s="2"/>
      <c r="G880" s="2"/>
      <c r="H880" s="2"/>
      <c r="I880" s="5"/>
    </row>
    <row r="881" spans="1:9" ht="17.399999999999999" x14ac:dyDescent="0.25">
      <c r="A881" s="16"/>
      <c r="B881" s="17"/>
      <c r="C881" s="2"/>
      <c r="D881" s="2"/>
      <c r="E881" s="2"/>
      <c r="F881" s="2"/>
      <c r="G881" s="2"/>
      <c r="H881" s="2"/>
      <c r="I881" s="5"/>
    </row>
    <row r="882" spans="1:9" ht="17.399999999999999" x14ac:dyDescent="0.25">
      <c r="A882" s="16"/>
      <c r="B882" s="17"/>
      <c r="C882" s="2"/>
      <c r="D882" s="2"/>
      <c r="E882" s="2"/>
      <c r="F882" s="2"/>
      <c r="G882" s="2"/>
      <c r="H882" s="2"/>
      <c r="I882" s="5"/>
    </row>
    <row r="883" spans="1:9" ht="17.399999999999999" x14ac:dyDescent="0.25">
      <c r="A883" s="16"/>
      <c r="B883" s="17"/>
      <c r="C883" s="2"/>
      <c r="D883" s="2"/>
      <c r="E883" s="2"/>
      <c r="F883" s="2"/>
      <c r="G883" s="2"/>
      <c r="H883" s="2"/>
      <c r="I883" s="5"/>
    </row>
    <row r="884" spans="1:9" ht="17.399999999999999" x14ac:dyDescent="0.25">
      <c r="A884" s="16"/>
      <c r="B884" s="17"/>
      <c r="C884" s="2"/>
      <c r="D884" s="2"/>
      <c r="E884" s="2"/>
      <c r="F884" s="2"/>
      <c r="G884" s="2"/>
      <c r="H884" s="2"/>
      <c r="I884" s="5"/>
    </row>
    <row r="885" spans="1:9" ht="17.399999999999999" x14ac:dyDescent="0.25">
      <c r="A885" s="16"/>
      <c r="B885" s="17"/>
      <c r="C885" s="2"/>
      <c r="D885" s="2"/>
      <c r="E885" s="2"/>
      <c r="F885" s="2"/>
      <c r="G885" s="2"/>
      <c r="H885" s="2"/>
      <c r="I885" s="5"/>
    </row>
    <row r="886" spans="1:9" ht="17.399999999999999" x14ac:dyDescent="0.25">
      <c r="A886" s="16"/>
      <c r="B886" s="17"/>
      <c r="C886" s="2"/>
      <c r="D886" s="2"/>
      <c r="E886" s="2"/>
      <c r="F886" s="2"/>
      <c r="G886" s="2"/>
      <c r="H886" s="2"/>
      <c r="I886" s="5"/>
    </row>
    <row r="887" spans="1:9" ht="17.399999999999999" x14ac:dyDescent="0.25">
      <c r="A887" s="16"/>
      <c r="B887" s="17"/>
      <c r="C887" s="2"/>
      <c r="D887" s="2"/>
      <c r="E887" s="2"/>
      <c r="F887" s="2"/>
      <c r="G887" s="2"/>
      <c r="H887" s="2"/>
      <c r="I887" s="5"/>
    </row>
    <row r="888" spans="1:9" ht="17.399999999999999" x14ac:dyDescent="0.25">
      <c r="A888" s="16"/>
      <c r="B888" s="17"/>
      <c r="C888" s="2"/>
      <c r="D888" s="2"/>
      <c r="E888" s="2"/>
      <c r="F888" s="2"/>
      <c r="G888" s="2"/>
      <c r="H888" s="2"/>
      <c r="I888" s="5"/>
    </row>
    <row r="889" spans="1:9" ht="17.399999999999999" x14ac:dyDescent="0.25">
      <c r="A889" s="16"/>
      <c r="B889" s="17"/>
      <c r="C889" s="2"/>
      <c r="D889" s="2"/>
      <c r="E889" s="2"/>
      <c r="F889" s="2"/>
      <c r="G889" s="2"/>
      <c r="H889" s="2"/>
      <c r="I889" s="5"/>
    </row>
    <row r="890" spans="1:9" ht="17.399999999999999" x14ac:dyDescent="0.25">
      <c r="A890" s="16"/>
      <c r="B890" s="17"/>
      <c r="C890" s="2"/>
      <c r="D890" s="2"/>
      <c r="E890" s="2"/>
      <c r="F890" s="2"/>
      <c r="G890" s="2"/>
      <c r="H890" s="2"/>
      <c r="I890" s="5"/>
    </row>
    <row r="891" spans="1:9" ht="17.399999999999999" x14ac:dyDescent="0.25">
      <c r="A891" s="16"/>
      <c r="B891" s="17"/>
      <c r="C891" s="2"/>
      <c r="D891" s="2"/>
      <c r="E891" s="2"/>
      <c r="F891" s="2"/>
      <c r="G891" s="2"/>
      <c r="H891" s="2"/>
      <c r="I891" s="5"/>
    </row>
    <row r="892" spans="1:9" ht="17.399999999999999" x14ac:dyDescent="0.25">
      <c r="A892" s="16"/>
      <c r="B892" s="17"/>
      <c r="C892" s="2"/>
      <c r="D892" s="2"/>
      <c r="E892" s="2"/>
      <c r="F892" s="2"/>
      <c r="G892" s="2"/>
      <c r="H892" s="2"/>
      <c r="I892" s="5"/>
    </row>
    <row r="893" spans="1:9" ht="17.399999999999999" x14ac:dyDescent="0.25">
      <c r="A893" s="16"/>
      <c r="B893" s="17"/>
      <c r="C893" s="2"/>
      <c r="D893" s="2"/>
      <c r="E893" s="2"/>
      <c r="F893" s="2"/>
      <c r="G893" s="2"/>
      <c r="H893" s="2"/>
      <c r="I893" s="5"/>
    </row>
    <row r="894" spans="1:9" ht="17.399999999999999" x14ac:dyDescent="0.25">
      <c r="A894" s="16"/>
      <c r="B894" s="17"/>
      <c r="C894" s="2"/>
      <c r="D894" s="2"/>
      <c r="E894" s="2"/>
      <c r="F894" s="2"/>
      <c r="G894" s="2"/>
      <c r="H894" s="2"/>
      <c r="I894" s="5"/>
    </row>
    <row r="895" spans="1:9" ht="17.399999999999999" x14ac:dyDescent="0.25">
      <c r="A895" s="16"/>
      <c r="B895" s="17"/>
      <c r="C895" s="2"/>
      <c r="D895" s="2"/>
      <c r="E895" s="2"/>
      <c r="F895" s="2"/>
      <c r="G895" s="2"/>
      <c r="H895" s="2"/>
      <c r="I895" s="5"/>
    </row>
    <row r="896" spans="1:9" ht="17.399999999999999" x14ac:dyDescent="0.25">
      <c r="A896" s="16"/>
      <c r="B896" s="17"/>
      <c r="C896" s="2"/>
      <c r="D896" s="2"/>
      <c r="E896" s="2"/>
      <c r="F896" s="2"/>
      <c r="G896" s="2"/>
      <c r="H896" s="2"/>
      <c r="I896" s="5"/>
    </row>
    <row r="897" spans="1:9" ht="17.399999999999999" x14ac:dyDescent="0.25">
      <c r="A897" s="16"/>
      <c r="B897" s="17"/>
      <c r="C897" s="2"/>
      <c r="D897" s="2"/>
      <c r="E897" s="2"/>
      <c r="F897" s="2"/>
      <c r="G897" s="2"/>
      <c r="H897" s="2"/>
      <c r="I897" s="5"/>
    </row>
    <row r="898" spans="1:9" ht="17.399999999999999" x14ac:dyDescent="0.25">
      <c r="A898" s="16"/>
      <c r="B898" s="17"/>
      <c r="C898" s="2"/>
      <c r="D898" s="2"/>
      <c r="E898" s="2"/>
      <c r="F898" s="2"/>
      <c r="G898" s="2"/>
      <c r="H898" s="2"/>
      <c r="I898" s="5"/>
    </row>
    <row r="899" spans="1:9" ht="17.399999999999999" x14ac:dyDescent="0.25">
      <c r="A899" s="16"/>
      <c r="B899" s="17"/>
      <c r="C899" s="2"/>
      <c r="D899" s="2"/>
      <c r="E899" s="2"/>
      <c r="F899" s="2"/>
      <c r="G899" s="2"/>
      <c r="H899" s="2"/>
      <c r="I899" s="5"/>
    </row>
    <row r="900" spans="1:9" ht="17.399999999999999" x14ac:dyDescent="0.25">
      <c r="A900" s="16"/>
      <c r="B900" s="17"/>
      <c r="C900" s="2"/>
      <c r="D900" s="2"/>
      <c r="E900" s="2"/>
      <c r="F900" s="2"/>
      <c r="G900" s="2"/>
      <c r="H900" s="2"/>
      <c r="I900" s="5"/>
    </row>
    <row r="901" spans="1:9" ht="17.399999999999999" x14ac:dyDescent="0.25">
      <c r="A901" s="16"/>
      <c r="B901" s="17"/>
      <c r="C901" s="2"/>
      <c r="D901" s="2"/>
      <c r="E901" s="2"/>
      <c r="F901" s="2"/>
      <c r="G901" s="2"/>
      <c r="H901" s="2"/>
      <c r="I901" s="5"/>
    </row>
    <row r="902" spans="1:9" ht="17.399999999999999" x14ac:dyDescent="0.25">
      <c r="A902" s="16"/>
      <c r="B902" s="17"/>
      <c r="C902" s="2"/>
      <c r="D902" s="2"/>
      <c r="E902" s="2"/>
      <c r="F902" s="2"/>
      <c r="G902" s="2"/>
      <c r="H902" s="2"/>
      <c r="I902" s="5"/>
    </row>
    <row r="903" spans="1:9" ht="17.399999999999999" x14ac:dyDescent="0.25">
      <c r="A903" s="16"/>
      <c r="B903" s="17"/>
      <c r="C903" s="2"/>
      <c r="D903" s="2"/>
      <c r="E903" s="2"/>
      <c r="F903" s="2"/>
      <c r="G903" s="2"/>
      <c r="H903" s="2"/>
      <c r="I903" s="5"/>
    </row>
    <row r="904" spans="1:9" ht="17.399999999999999" x14ac:dyDescent="0.25">
      <c r="A904" s="16"/>
      <c r="B904" s="17"/>
      <c r="C904" s="2"/>
      <c r="D904" s="2"/>
      <c r="E904" s="2"/>
      <c r="F904" s="2"/>
      <c r="G904" s="2"/>
      <c r="H904" s="2"/>
      <c r="I904" s="5"/>
    </row>
    <row r="905" spans="1:9" ht="17.399999999999999" x14ac:dyDescent="0.25">
      <c r="A905" s="16"/>
      <c r="B905" s="17"/>
      <c r="C905" s="2"/>
      <c r="D905" s="2"/>
      <c r="E905" s="2"/>
      <c r="F905" s="2"/>
      <c r="G905" s="2"/>
      <c r="H905" s="2"/>
      <c r="I905" s="5"/>
    </row>
    <row r="906" spans="1:9" ht="17.399999999999999" x14ac:dyDescent="0.25">
      <c r="A906" s="16"/>
      <c r="B906" s="17"/>
      <c r="C906" s="2"/>
      <c r="D906" s="2"/>
      <c r="E906" s="2"/>
      <c r="F906" s="2"/>
      <c r="G906" s="2"/>
      <c r="H906" s="2"/>
      <c r="I906" s="5"/>
    </row>
    <row r="907" spans="1:9" ht="17.399999999999999" x14ac:dyDescent="0.25">
      <c r="A907" s="16"/>
      <c r="B907" s="17"/>
      <c r="C907" s="2"/>
      <c r="D907" s="2"/>
      <c r="E907" s="2"/>
      <c r="F907" s="2"/>
      <c r="G907" s="2"/>
      <c r="H907" s="2"/>
      <c r="I907" s="5"/>
    </row>
    <row r="908" spans="1:9" ht="17.399999999999999" x14ac:dyDescent="0.25">
      <c r="A908" s="16"/>
      <c r="B908" s="17"/>
      <c r="C908" s="2"/>
      <c r="D908" s="2"/>
      <c r="E908" s="2"/>
      <c r="F908" s="2"/>
      <c r="G908" s="2"/>
      <c r="H908" s="2"/>
      <c r="I908" s="5"/>
    </row>
    <row r="909" spans="1:9" ht="17.399999999999999" x14ac:dyDescent="0.25">
      <c r="A909" s="16"/>
      <c r="B909" s="17"/>
      <c r="C909" s="2"/>
      <c r="D909" s="2"/>
      <c r="E909" s="2"/>
      <c r="F909" s="2"/>
      <c r="G909" s="2"/>
      <c r="H909" s="2"/>
      <c r="I909" s="5"/>
    </row>
    <row r="910" spans="1:9" ht="17.399999999999999" x14ac:dyDescent="0.25">
      <c r="A910" s="16"/>
      <c r="B910" s="17"/>
      <c r="C910" s="2"/>
      <c r="D910" s="2"/>
      <c r="E910" s="2"/>
      <c r="F910" s="2"/>
      <c r="G910" s="2"/>
      <c r="H910" s="2"/>
      <c r="I910" s="5"/>
    </row>
    <row r="911" spans="1:9" ht="17.399999999999999" x14ac:dyDescent="0.25">
      <c r="A911" s="16"/>
      <c r="B911" s="17"/>
      <c r="C911" s="2"/>
      <c r="D911" s="2"/>
      <c r="E911" s="2"/>
      <c r="F911" s="2"/>
      <c r="G911" s="2"/>
      <c r="H911" s="2"/>
      <c r="I911" s="5"/>
    </row>
    <row r="912" spans="1:9" ht="17.399999999999999" x14ac:dyDescent="0.25">
      <c r="A912" s="16"/>
      <c r="B912" s="17"/>
      <c r="C912" s="2"/>
      <c r="D912" s="2"/>
      <c r="E912" s="2"/>
      <c r="F912" s="2"/>
      <c r="G912" s="2"/>
      <c r="H912" s="2"/>
      <c r="I912" s="5"/>
    </row>
    <row r="913" spans="1:9" ht="17.399999999999999" x14ac:dyDescent="0.25">
      <c r="A913" s="16"/>
      <c r="B913" s="17"/>
      <c r="C913" s="2"/>
      <c r="D913" s="2"/>
      <c r="E913" s="2"/>
      <c r="F913" s="2"/>
      <c r="G913" s="2"/>
      <c r="H913" s="2"/>
      <c r="I913" s="5"/>
    </row>
    <row r="914" spans="1:9" ht="17.399999999999999" x14ac:dyDescent="0.25">
      <c r="A914" s="16"/>
      <c r="B914" s="17"/>
      <c r="C914" s="2"/>
      <c r="D914" s="2"/>
      <c r="E914" s="2"/>
      <c r="F914" s="2"/>
      <c r="G914" s="2"/>
      <c r="H914" s="2"/>
      <c r="I914" s="5"/>
    </row>
    <row r="915" spans="1:9" ht="17.399999999999999" x14ac:dyDescent="0.25">
      <c r="A915" s="16"/>
      <c r="B915" s="17"/>
      <c r="C915" s="2"/>
      <c r="D915" s="2"/>
      <c r="E915" s="2"/>
      <c r="F915" s="2"/>
      <c r="G915" s="2"/>
      <c r="H915" s="2"/>
      <c r="I915" s="5"/>
    </row>
    <row r="916" spans="1:9" ht="17.399999999999999" x14ac:dyDescent="0.25">
      <c r="A916" s="16"/>
      <c r="B916" s="17"/>
      <c r="C916" s="2"/>
      <c r="D916" s="2"/>
      <c r="E916" s="2"/>
      <c r="F916" s="2"/>
      <c r="G916" s="2"/>
      <c r="H916" s="2"/>
      <c r="I916" s="5"/>
    </row>
    <row r="917" spans="1:9" ht="17.399999999999999" x14ac:dyDescent="0.25">
      <c r="A917" s="16"/>
      <c r="B917" s="17"/>
      <c r="C917" s="2"/>
      <c r="D917" s="2"/>
      <c r="E917" s="2"/>
      <c r="F917" s="2"/>
      <c r="G917" s="2"/>
      <c r="H917" s="2"/>
      <c r="I917" s="5"/>
    </row>
    <row r="918" spans="1:9" ht="17.399999999999999" x14ac:dyDescent="0.25">
      <c r="A918" s="16"/>
      <c r="B918" s="17"/>
      <c r="C918" s="2"/>
      <c r="D918" s="2"/>
      <c r="E918" s="2"/>
      <c r="F918" s="2"/>
      <c r="G918" s="2"/>
      <c r="H918" s="2"/>
      <c r="I918" s="5"/>
    </row>
    <row r="919" spans="1:9" ht="17.399999999999999" x14ac:dyDescent="0.25">
      <c r="A919" s="16"/>
      <c r="B919" s="17"/>
      <c r="C919" s="2"/>
      <c r="D919" s="2"/>
      <c r="E919" s="2"/>
      <c r="F919" s="2"/>
      <c r="G919" s="2"/>
      <c r="H919" s="2"/>
      <c r="I919" s="5"/>
    </row>
    <row r="920" spans="1:9" ht="17.399999999999999" x14ac:dyDescent="0.25">
      <c r="A920" s="16"/>
      <c r="B920" s="17"/>
      <c r="C920" s="2"/>
      <c r="D920" s="2"/>
      <c r="E920" s="2"/>
      <c r="F920" s="2"/>
      <c r="G920" s="2"/>
      <c r="H920" s="2"/>
      <c r="I920" s="5"/>
    </row>
    <row r="921" spans="1:9" ht="17.399999999999999" x14ac:dyDescent="0.25">
      <c r="A921" s="16"/>
      <c r="B921" s="17"/>
      <c r="C921" s="2"/>
      <c r="D921" s="2"/>
      <c r="E921" s="2"/>
      <c r="F921" s="2"/>
      <c r="G921" s="2"/>
      <c r="H921" s="2"/>
      <c r="I921" s="5"/>
    </row>
    <row r="922" spans="1:9" ht="17.399999999999999" x14ac:dyDescent="0.25">
      <c r="A922" s="16"/>
      <c r="B922" s="17"/>
      <c r="C922" s="2"/>
      <c r="D922" s="2"/>
      <c r="E922" s="2"/>
      <c r="F922" s="2"/>
      <c r="G922" s="2"/>
      <c r="H922" s="2"/>
      <c r="I922" s="5"/>
    </row>
    <row r="923" spans="1:9" ht="17.399999999999999" x14ac:dyDescent="0.25">
      <c r="A923" s="16"/>
      <c r="B923" s="17"/>
      <c r="C923" s="2"/>
      <c r="D923" s="2"/>
      <c r="E923" s="2"/>
      <c r="F923" s="2"/>
      <c r="G923" s="2"/>
      <c r="H923" s="2"/>
      <c r="I923" s="5"/>
    </row>
    <row r="924" spans="1:9" ht="17.399999999999999" x14ac:dyDescent="0.25">
      <c r="A924" s="16"/>
      <c r="B924" s="17"/>
      <c r="C924" s="2"/>
      <c r="D924" s="2"/>
      <c r="E924" s="2"/>
      <c r="F924" s="2"/>
      <c r="G924" s="2"/>
      <c r="H924" s="2"/>
      <c r="I924" s="5"/>
    </row>
    <row r="925" spans="1:9" ht="17.399999999999999" x14ac:dyDescent="0.25">
      <c r="A925" s="16"/>
      <c r="B925" s="17"/>
      <c r="C925" s="2"/>
      <c r="D925" s="2"/>
      <c r="E925" s="2"/>
      <c r="F925" s="2"/>
      <c r="G925" s="2"/>
      <c r="H925" s="2"/>
      <c r="I925" s="5"/>
    </row>
    <row r="926" spans="1:9" ht="17.399999999999999" x14ac:dyDescent="0.25">
      <c r="A926" s="16"/>
      <c r="B926" s="17"/>
      <c r="C926" s="2"/>
      <c r="D926" s="2"/>
      <c r="E926" s="2"/>
      <c r="F926" s="2"/>
      <c r="G926" s="2"/>
      <c r="H926" s="2"/>
      <c r="I926" s="5"/>
    </row>
    <row r="927" spans="1:9" ht="17.399999999999999" x14ac:dyDescent="0.25">
      <c r="A927" s="16"/>
      <c r="B927" s="17"/>
      <c r="C927" s="2"/>
      <c r="D927" s="2"/>
      <c r="E927" s="2"/>
      <c r="F927" s="2"/>
      <c r="G927" s="2"/>
      <c r="H927" s="2"/>
      <c r="I927" s="5"/>
    </row>
    <row r="928" spans="1:9" ht="17.399999999999999" x14ac:dyDescent="0.25">
      <c r="A928" s="16"/>
      <c r="B928" s="17"/>
      <c r="C928" s="2"/>
      <c r="D928" s="2"/>
      <c r="E928" s="2"/>
      <c r="F928" s="2"/>
      <c r="G928" s="2"/>
      <c r="H928" s="2"/>
      <c r="I928" s="5"/>
    </row>
    <row r="929" spans="1:9" ht="17.399999999999999" x14ac:dyDescent="0.25">
      <c r="A929" s="16"/>
      <c r="B929" s="17"/>
      <c r="C929" s="2"/>
      <c r="D929" s="2"/>
      <c r="E929" s="2"/>
      <c r="F929" s="2"/>
      <c r="G929" s="2"/>
      <c r="H929" s="2"/>
      <c r="I929" s="5"/>
    </row>
    <row r="930" spans="1:9" ht="17.399999999999999" x14ac:dyDescent="0.25">
      <c r="A930" s="16"/>
      <c r="B930" s="17"/>
      <c r="C930" s="2"/>
      <c r="D930" s="2"/>
      <c r="E930" s="2"/>
      <c r="F930" s="2"/>
      <c r="G930" s="2"/>
      <c r="H930" s="2"/>
      <c r="I930" s="5"/>
    </row>
    <row r="931" spans="1:9" ht="17.399999999999999" x14ac:dyDescent="0.25">
      <c r="A931" s="16"/>
      <c r="B931" s="17"/>
      <c r="C931" s="2"/>
      <c r="D931" s="2"/>
      <c r="E931" s="2"/>
      <c r="F931" s="2"/>
      <c r="G931" s="2"/>
      <c r="H931" s="2"/>
      <c r="I931" s="5"/>
    </row>
    <row r="932" spans="1:9" ht="17.399999999999999" x14ac:dyDescent="0.25">
      <c r="A932" s="16"/>
      <c r="B932" s="17"/>
      <c r="C932" s="2"/>
      <c r="D932" s="2"/>
      <c r="E932" s="2"/>
      <c r="F932" s="2"/>
      <c r="G932" s="2"/>
      <c r="H932" s="2"/>
      <c r="I932" s="5"/>
    </row>
    <row r="933" spans="1:9" ht="17.399999999999999" x14ac:dyDescent="0.25">
      <c r="A933" s="16"/>
      <c r="B933" s="17"/>
      <c r="C933" s="2"/>
      <c r="D933" s="2"/>
      <c r="E933" s="2"/>
      <c r="F933" s="2"/>
      <c r="G933" s="2"/>
      <c r="H933" s="2"/>
      <c r="I933" s="5"/>
    </row>
    <row r="934" spans="1:9" ht="17.399999999999999" x14ac:dyDescent="0.25">
      <c r="A934" s="16"/>
      <c r="B934" s="17"/>
      <c r="C934" s="2"/>
      <c r="D934" s="2"/>
      <c r="E934" s="2"/>
      <c r="F934" s="2"/>
      <c r="G934" s="2"/>
      <c r="H934" s="2"/>
      <c r="I934" s="5"/>
    </row>
    <row r="935" spans="1:9" ht="17.399999999999999" x14ac:dyDescent="0.25">
      <c r="A935" s="16"/>
      <c r="B935" s="17"/>
      <c r="C935" s="2"/>
      <c r="D935" s="2"/>
      <c r="E935" s="2"/>
      <c r="F935" s="2"/>
      <c r="G935" s="2"/>
      <c r="H935" s="2"/>
      <c r="I935" s="5"/>
    </row>
    <row r="936" spans="1:9" ht="17.399999999999999" x14ac:dyDescent="0.25">
      <c r="A936" s="16"/>
      <c r="B936" s="17"/>
      <c r="C936" s="2"/>
      <c r="D936" s="2"/>
      <c r="E936" s="2"/>
      <c r="F936" s="2"/>
      <c r="G936" s="2"/>
      <c r="H936" s="2"/>
      <c r="I936" s="5"/>
    </row>
    <row r="937" spans="1:9" ht="17.399999999999999" x14ac:dyDescent="0.25">
      <c r="A937" s="16"/>
      <c r="B937" s="17"/>
      <c r="C937" s="2"/>
      <c r="D937" s="2"/>
      <c r="E937" s="2"/>
      <c r="F937" s="2"/>
      <c r="G937" s="2"/>
      <c r="H937" s="2"/>
      <c r="I937" s="5"/>
    </row>
    <row r="938" spans="1:9" ht="17.399999999999999" x14ac:dyDescent="0.25">
      <c r="A938" s="16"/>
      <c r="B938" s="17"/>
      <c r="C938" s="2"/>
      <c r="D938" s="2"/>
      <c r="E938" s="2"/>
      <c r="F938" s="2"/>
      <c r="G938" s="2"/>
      <c r="H938" s="2"/>
      <c r="I938" s="5"/>
    </row>
    <row r="939" spans="1:9" ht="17.399999999999999" x14ac:dyDescent="0.25">
      <c r="A939" s="16"/>
      <c r="B939" s="17"/>
      <c r="C939" s="2"/>
      <c r="D939" s="2"/>
      <c r="E939" s="2"/>
      <c r="F939" s="2"/>
      <c r="G939" s="2"/>
      <c r="H939" s="2"/>
      <c r="I939" s="5"/>
    </row>
    <row r="940" spans="1:9" ht="17.399999999999999" x14ac:dyDescent="0.25">
      <c r="A940" s="16"/>
      <c r="B940" s="17"/>
      <c r="C940" s="2"/>
      <c r="D940" s="2"/>
      <c r="E940" s="2"/>
      <c r="F940" s="2"/>
      <c r="G940" s="2"/>
      <c r="H940" s="2"/>
      <c r="I940" s="5"/>
    </row>
    <row r="941" spans="1:9" ht="17.399999999999999" x14ac:dyDescent="0.25">
      <c r="A941" s="16"/>
      <c r="B941" s="17"/>
      <c r="C941" s="2"/>
      <c r="D941" s="2"/>
      <c r="E941" s="2"/>
      <c r="F941" s="2"/>
      <c r="G941" s="2"/>
      <c r="H941" s="2"/>
      <c r="I941" s="5"/>
    </row>
    <row r="942" spans="1:9" ht="17.399999999999999" x14ac:dyDescent="0.25">
      <c r="A942" s="16"/>
      <c r="B942" s="17"/>
      <c r="C942" s="2"/>
      <c r="D942" s="2"/>
      <c r="E942" s="2"/>
      <c r="F942" s="2"/>
      <c r="G942" s="2"/>
      <c r="H942" s="2"/>
      <c r="I942" s="5"/>
    </row>
    <row r="943" spans="1:9" ht="17.399999999999999" x14ac:dyDescent="0.25">
      <c r="A943" s="16"/>
      <c r="B943" s="17"/>
      <c r="C943" s="2"/>
      <c r="D943" s="2"/>
      <c r="E943" s="2"/>
      <c r="F943" s="2"/>
      <c r="G943" s="2"/>
      <c r="H943" s="2"/>
      <c r="I943" s="5"/>
    </row>
    <row r="944" spans="1:9" ht="17.399999999999999" x14ac:dyDescent="0.25">
      <c r="A944" s="16"/>
      <c r="B944" s="17"/>
      <c r="C944" s="2"/>
      <c r="D944" s="2"/>
      <c r="E944" s="2"/>
      <c r="F944" s="2"/>
      <c r="G944" s="2"/>
      <c r="H944" s="2"/>
      <c r="I944" s="5"/>
    </row>
    <row r="945" spans="1:9" ht="17.399999999999999" x14ac:dyDescent="0.25">
      <c r="A945" s="16"/>
      <c r="B945" s="17"/>
      <c r="C945" s="2"/>
      <c r="D945" s="2"/>
      <c r="E945" s="2"/>
      <c r="F945" s="2"/>
      <c r="G945" s="2"/>
      <c r="H945" s="2"/>
      <c r="I945" s="5"/>
    </row>
    <row r="946" spans="1:9" ht="17.399999999999999" x14ac:dyDescent="0.25">
      <c r="A946" s="16"/>
      <c r="B946" s="17"/>
      <c r="C946" s="2"/>
      <c r="D946" s="2"/>
      <c r="E946" s="2"/>
      <c r="F946" s="2"/>
      <c r="G946" s="2"/>
      <c r="H946" s="2"/>
      <c r="I946" s="5"/>
    </row>
    <row r="947" spans="1:9" ht="17.399999999999999" x14ac:dyDescent="0.25">
      <c r="A947" s="16"/>
      <c r="B947" s="17"/>
      <c r="C947" s="2"/>
      <c r="D947" s="2"/>
      <c r="E947" s="2"/>
      <c r="F947" s="2"/>
      <c r="G947" s="2"/>
      <c r="H947" s="2"/>
      <c r="I947" s="5"/>
    </row>
    <row r="948" spans="1:9" ht="17.399999999999999" x14ac:dyDescent="0.25">
      <c r="A948" s="16"/>
      <c r="B948" s="17"/>
      <c r="C948" s="2"/>
      <c r="D948" s="2"/>
      <c r="E948" s="2"/>
      <c r="F948" s="2"/>
      <c r="G948" s="2"/>
      <c r="H948" s="2"/>
      <c r="I948" s="5"/>
    </row>
    <row r="949" spans="1:9" ht="17.399999999999999" x14ac:dyDescent="0.25">
      <c r="A949" s="16"/>
      <c r="B949" s="17"/>
      <c r="C949" s="2"/>
      <c r="D949" s="2"/>
      <c r="E949" s="2"/>
      <c r="F949" s="2"/>
      <c r="G949" s="2"/>
      <c r="H949" s="2"/>
      <c r="I949" s="5"/>
    </row>
    <row r="950" spans="1:9" ht="17.399999999999999" x14ac:dyDescent="0.25">
      <c r="A950" s="16"/>
      <c r="B950" s="17"/>
      <c r="C950" s="2"/>
      <c r="D950" s="2"/>
      <c r="E950" s="2"/>
      <c r="F950" s="2"/>
      <c r="G950" s="2"/>
      <c r="H950" s="2"/>
      <c r="I950" s="5"/>
    </row>
    <row r="951" spans="1:9" ht="17.399999999999999" x14ac:dyDescent="0.25">
      <c r="A951" s="16"/>
      <c r="B951" s="17"/>
      <c r="C951" s="2"/>
      <c r="D951" s="2"/>
      <c r="E951" s="2"/>
      <c r="F951" s="2"/>
      <c r="G951" s="2"/>
      <c r="H951" s="2"/>
      <c r="I951" s="5"/>
    </row>
    <row r="952" spans="1:9" ht="17.399999999999999" x14ac:dyDescent="0.25">
      <c r="A952" s="16"/>
      <c r="B952" s="17"/>
      <c r="C952" s="2"/>
      <c r="D952" s="2"/>
      <c r="E952" s="2"/>
      <c r="F952" s="2"/>
      <c r="G952" s="2"/>
      <c r="H952" s="2"/>
      <c r="I952" s="5"/>
    </row>
    <row r="953" spans="1:9" ht="17.399999999999999" x14ac:dyDescent="0.25">
      <c r="A953" s="16"/>
      <c r="B953" s="17"/>
      <c r="C953" s="2"/>
      <c r="D953" s="2"/>
      <c r="E953" s="2"/>
      <c r="F953" s="2"/>
      <c r="G953" s="2"/>
      <c r="H953" s="2"/>
      <c r="I953" s="5"/>
    </row>
    <row r="954" spans="1:9" ht="17.399999999999999" x14ac:dyDescent="0.25">
      <c r="A954" s="16"/>
      <c r="B954" s="17"/>
      <c r="C954" s="2"/>
      <c r="D954" s="2"/>
      <c r="E954" s="2"/>
      <c r="F954" s="2"/>
      <c r="G954" s="2"/>
      <c r="H954" s="2"/>
      <c r="I954" s="5"/>
    </row>
    <row r="955" spans="1:9" ht="17.399999999999999" x14ac:dyDescent="0.25">
      <c r="A955" s="16"/>
      <c r="B955" s="17"/>
      <c r="C955" s="2"/>
      <c r="D955" s="2"/>
      <c r="E955" s="2"/>
      <c r="F955" s="2"/>
      <c r="G955" s="2"/>
      <c r="H955" s="2"/>
      <c r="I955" s="5"/>
    </row>
    <row r="956" spans="1:9" ht="17.399999999999999" x14ac:dyDescent="0.25">
      <c r="A956" s="16"/>
      <c r="B956" s="17"/>
      <c r="C956" s="2"/>
      <c r="D956" s="2"/>
      <c r="E956" s="2"/>
      <c r="F956" s="2"/>
      <c r="G956" s="2"/>
      <c r="H956" s="2"/>
      <c r="I956" s="5"/>
    </row>
    <row r="957" spans="1:9" ht="17.399999999999999" x14ac:dyDescent="0.25">
      <c r="A957" s="16"/>
      <c r="B957" s="17"/>
      <c r="C957" s="2"/>
      <c r="D957" s="2"/>
      <c r="E957" s="2"/>
      <c r="F957" s="2"/>
      <c r="G957" s="2"/>
      <c r="H957" s="2"/>
      <c r="I957" s="5"/>
    </row>
    <row r="958" spans="1:9" ht="17.399999999999999" x14ac:dyDescent="0.25">
      <c r="A958" s="16"/>
      <c r="B958" s="17"/>
      <c r="C958" s="2"/>
      <c r="D958" s="2"/>
      <c r="E958" s="2"/>
      <c r="F958" s="2"/>
      <c r="G958" s="2"/>
      <c r="H958" s="2"/>
      <c r="I958" s="5"/>
    </row>
    <row r="959" spans="1:9" ht="17.399999999999999" x14ac:dyDescent="0.25">
      <c r="A959" s="16"/>
      <c r="B959" s="17"/>
      <c r="C959" s="2"/>
      <c r="D959" s="2"/>
      <c r="E959" s="2"/>
      <c r="F959" s="2"/>
      <c r="G959" s="2"/>
      <c r="H959" s="2"/>
      <c r="I959" s="5"/>
    </row>
    <row r="960" spans="1:9" ht="17.399999999999999" x14ac:dyDescent="0.25">
      <c r="A960" s="16"/>
      <c r="B960" s="17"/>
      <c r="C960" s="2"/>
      <c r="D960" s="2"/>
      <c r="E960" s="2"/>
      <c r="F960" s="2"/>
      <c r="G960" s="2"/>
      <c r="H960" s="2"/>
      <c r="I960" s="5"/>
    </row>
    <row r="961" spans="1:9" ht="17.399999999999999" x14ac:dyDescent="0.25">
      <c r="A961" s="16"/>
      <c r="B961" s="17"/>
      <c r="C961" s="2"/>
      <c r="D961" s="2"/>
      <c r="E961" s="2"/>
      <c r="F961" s="2"/>
      <c r="G961" s="2"/>
      <c r="H961" s="2"/>
      <c r="I961" s="5"/>
    </row>
    <row r="962" spans="1:9" ht="17.399999999999999" x14ac:dyDescent="0.25">
      <c r="A962" s="16"/>
      <c r="B962" s="17"/>
      <c r="C962" s="2"/>
      <c r="D962" s="2"/>
      <c r="E962" s="2"/>
      <c r="F962" s="2"/>
      <c r="G962" s="2"/>
      <c r="H962" s="2"/>
      <c r="I962" s="5"/>
    </row>
    <row r="963" spans="1:9" ht="17.399999999999999" x14ac:dyDescent="0.25">
      <c r="A963" s="16"/>
      <c r="B963" s="17"/>
      <c r="C963" s="2"/>
      <c r="D963" s="2"/>
      <c r="E963" s="2"/>
      <c r="F963" s="2"/>
      <c r="G963" s="2"/>
      <c r="H963" s="2"/>
      <c r="I963" s="5"/>
    </row>
    <row r="964" spans="1:9" ht="17.399999999999999" x14ac:dyDescent="0.25">
      <c r="A964" s="16"/>
      <c r="B964" s="17"/>
      <c r="C964" s="2"/>
      <c r="D964" s="2"/>
      <c r="E964" s="2"/>
      <c r="F964" s="2"/>
      <c r="G964" s="2"/>
      <c r="H964" s="2"/>
      <c r="I964" s="5"/>
    </row>
    <row r="965" spans="1:9" ht="17.399999999999999" x14ac:dyDescent="0.25">
      <c r="A965" s="16"/>
      <c r="B965" s="17"/>
      <c r="C965" s="2"/>
      <c r="D965" s="2"/>
      <c r="E965" s="2"/>
      <c r="F965" s="2"/>
      <c r="G965" s="2"/>
      <c r="H965" s="2"/>
      <c r="I965" s="5"/>
    </row>
    <row r="966" spans="1:9" ht="17.399999999999999" x14ac:dyDescent="0.25">
      <c r="A966" s="16"/>
      <c r="B966" s="17"/>
      <c r="C966" s="2"/>
      <c r="D966" s="2"/>
      <c r="E966" s="2"/>
      <c r="F966" s="2"/>
      <c r="G966" s="2"/>
      <c r="H966" s="2"/>
      <c r="I966" s="5"/>
    </row>
    <row r="967" spans="1:9" ht="17.399999999999999" x14ac:dyDescent="0.25">
      <c r="A967" s="16"/>
      <c r="B967" s="17"/>
      <c r="C967" s="2"/>
      <c r="D967" s="2"/>
      <c r="E967" s="2"/>
      <c r="F967" s="2"/>
      <c r="G967" s="2"/>
      <c r="H967" s="2"/>
      <c r="I967" s="5"/>
    </row>
    <row r="968" spans="1:9" ht="17.399999999999999" x14ac:dyDescent="0.25">
      <c r="A968" s="16"/>
      <c r="B968" s="17"/>
      <c r="C968" s="2"/>
      <c r="D968" s="2"/>
      <c r="E968" s="2"/>
      <c r="F968" s="2"/>
      <c r="G968" s="2"/>
      <c r="H968" s="2"/>
      <c r="I968" s="5"/>
    </row>
    <row r="969" spans="1:9" ht="17.399999999999999" x14ac:dyDescent="0.25">
      <c r="A969" s="16"/>
      <c r="B969" s="17"/>
      <c r="C969" s="2"/>
      <c r="D969" s="2"/>
      <c r="E969" s="2"/>
      <c r="F969" s="2"/>
      <c r="G969" s="2"/>
      <c r="H969" s="2"/>
      <c r="I969" s="5"/>
    </row>
    <row r="970" spans="1:9" ht="17.399999999999999" x14ac:dyDescent="0.25">
      <c r="A970" s="16"/>
      <c r="B970" s="17"/>
      <c r="C970" s="2"/>
      <c r="D970" s="2"/>
      <c r="E970" s="2"/>
      <c r="F970" s="2"/>
      <c r="G970" s="2"/>
      <c r="H970" s="2"/>
      <c r="I970" s="5"/>
    </row>
    <row r="971" spans="1:9" ht="17.399999999999999" x14ac:dyDescent="0.25">
      <c r="A971" s="16"/>
      <c r="B971" s="17"/>
      <c r="C971" s="2"/>
      <c r="D971" s="2"/>
      <c r="E971" s="2"/>
      <c r="F971" s="2"/>
      <c r="G971" s="2"/>
      <c r="H971" s="2"/>
      <c r="I971" s="5"/>
    </row>
    <row r="972" spans="1:9" ht="17.399999999999999" x14ac:dyDescent="0.25">
      <c r="A972" s="16"/>
      <c r="B972" s="17"/>
      <c r="C972" s="2"/>
      <c r="D972" s="2"/>
      <c r="E972" s="2"/>
      <c r="F972" s="2"/>
      <c r="G972" s="2"/>
      <c r="H972" s="2"/>
      <c r="I972" s="5"/>
    </row>
    <row r="973" spans="1:9" ht="17.399999999999999" x14ac:dyDescent="0.25">
      <c r="A973" s="16"/>
      <c r="B973" s="17"/>
      <c r="C973" s="2"/>
      <c r="D973" s="2"/>
      <c r="E973" s="2"/>
      <c r="F973" s="2"/>
      <c r="G973" s="2"/>
      <c r="H973" s="2"/>
      <c r="I973" s="5"/>
    </row>
    <row r="974" spans="1:9" ht="17.399999999999999" x14ac:dyDescent="0.25">
      <c r="A974" s="16"/>
      <c r="B974" s="17"/>
      <c r="C974" s="2"/>
      <c r="D974" s="2"/>
      <c r="E974" s="2"/>
      <c r="F974" s="2"/>
      <c r="G974" s="2"/>
      <c r="H974" s="2"/>
      <c r="I974" s="5"/>
    </row>
    <row r="975" spans="1:9" ht="17.399999999999999" x14ac:dyDescent="0.25">
      <c r="A975" s="16"/>
      <c r="B975" s="17"/>
      <c r="C975" s="2"/>
      <c r="D975" s="2"/>
      <c r="E975" s="2"/>
      <c r="F975" s="2"/>
      <c r="G975" s="2"/>
      <c r="H975" s="2"/>
      <c r="I975" s="5"/>
    </row>
    <row r="976" spans="1:9" ht="17.399999999999999" x14ac:dyDescent="0.25">
      <c r="A976" s="16"/>
      <c r="B976" s="17"/>
      <c r="C976" s="2"/>
      <c r="D976" s="2"/>
      <c r="E976" s="2"/>
      <c r="F976" s="2"/>
      <c r="G976" s="2"/>
      <c r="H976" s="2"/>
      <c r="I976" s="5"/>
    </row>
    <row r="977" spans="1:9" ht="17.399999999999999" x14ac:dyDescent="0.25">
      <c r="A977" s="16"/>
      <c r="B977" s="17"/>
      <c r="C977" s="2"/>
      <c r="D977" s="2"/>
      <c r="E977" s="2"/>
      <c r="F977" s="2"/>
      <c r="G977" s="2"/>
      <c r="H977" s="2"/>
      <c r="I977" s="5"/>
    </row>
    <row r="978" spans="1:9" ht="17.399999999999999" x14ac:dyDescent="0.25">
      <c r="A978" s="16"/>
      <c r="B978" s="17"/>
      <c r="C978" s="2"/>
      <c r="D978" s="2"/>
      <c r="E978" s="2"/>
      <c r="F978" s="2"/>
      <c r="G978" s="2"/>
      <c r="H978" s="2"/>
      <c r="I978" s="5"/>
    </row>
    <row r="979" spans="1:9" ht="17.399999999999999" x14ac:dyDescent="0.25">
      <c r="A979" s="16"/>
      <c r="B979" s="17"/>
      <c r="C979" s="2"/>
      <c r="D979" s="2"/>
      <c r="E979" s="2"/>
      <c r="F979" s="2"/>
      <c r="G979" s="2"/>
      <c r="H979" s="2"/>
      <c r="I979" s="5"/>
    </row>
    <row r="980" spans="1:9" ht="17.399999999999999" x14ac:dyDescent="0.25">
      <c r="A980" s="16"/>
      <c r="B980" s="17"/>
      <c r="C980" s="2"/>
      <c r="D980" s="2"/>
      <c r="E980" s="2"/>
      <c r="F980" s="2"/>
      <c r="G980" s="2"/>
      <c r="H980" s="2"/>
      <c r="I980" s="5"/>
    </row>
    <row r="981" spans="1:9" ht="17.399999999999999" x14ac:dyDescent="0.25">
      <c r="A981" s="16"/>
      <c r="B981" s="17"/>
      <c r="C981" s="2"/>
      <c r="D981" s="2"/>
      <c r="E981" s="2"/>
      <c r="F981" s="2"/>
      <c r="G981" s="2"/>
      <c r="H981" s="2"/>
      <c r="I981" s="5"/>
    </row>
    <row r="982" spans="1:9" ht="17.399999999999999" x14ac:dyDescent="0.25">
      <c r="A982" s="16"/>
      <c r="B982" s="17"/>
      <c r="C982" s="2"/>
      <c r="D982" s="2"/>
      <c r="E982" s="2"/>
      <c r="F982" s="2"/>
      <c r="G982" s="2"/>
      <c r="H982" s="2"/>
      <c r="I982" s="5"/>
    </row>
    <row r="983" spans="1:9" ht="17.399999999999999" x14ac:dyDescent="0.25">
      <c r="A983" s="16"/>
      <c r="B983" s="17"/>
      <c r="C983" s="2"/>
      <c r="D983" s="2"/>
      <c r="E983" s="2"/>
      <c r="F983" s="2"/>
      <c r="G983" s="2"/>
      <c r="H983" s="2"/>
      <c r="I983" s="5"/>
    </row>
    <row r="984" spans="1:9" ht="17.399999999999999" x14ac:dyDescent="0.25">
      <c r="A984" s="16"/>
      <c r="B984" s="17"/>
      <c r="C984" s="2"/>
      <c r="D984" s="2"/>
      <c r="E984" s="2"/>
      <c r="F984" s="2"/>
      <c r="G984" s="2"/>
      <c r="H984" s="2"/>
      <c r="I984" s="5"/>
    </row>
    <row r="985" spans="1:9" ht="17.399999999999999" x14ac:dyDescent="0.25">
      <c r="A985" s="16"/>
      <c r="B985" s="17"/>
      <c r="C985" s="2"/>
      <c r="D985" s="2"/>
      <c r="E985" s="2"/>
      <c r="F985" s="2"/>
      <c r="G985" s="2"/>
      <c r="H985" s="2"/>
      <c r="I985" s="5"/>
    </row>
    <row r="986" spans="1:9" ht="17.399999999999999" x14ac:dyDescent="0.25">
      <c r="A986" s="16"/>
      <c r="B986" s="17"/>
      <c r="C986" s="2"/>
      <c r="D986" s="2"/>
      <c r="E986" s="2"/>
      <c r="F986" s="2"/>
      <c r="G986" s="2"/>
      <c r="H986" s="2"/>
      <c r="I986" s="5"/>
    </row>
    <row r="987" spans="1:9" ht="17.399999999999999" x14ac:dyDescent="0.25">
      <c r="A987" s="16"/>
      <c r="B987" s="17"/>
      <c r="C987" s="2"/>
      <c r="D987" s="2"/>
      <c r="E987" s="2"/>
      <c r="F987" s="2"/>
      <c r="G987" s="2"/>
      <c r="H987" s="2"/>
      <c r="I987" s="5"/>
    </row>
    <row r="988" spans="1:9" ht="17.399999999999999" x14ac:dyDescent="0.25">
      <c r="A988" s="16"/>
      <c r="B988" s="17"/>
      <c r="C988" s="2"/>
      <c r="D988" s="2"/>
      <c r="E988" s="2"/>
      <c r="F988" s="2"/>
      <c r="G988" s="2"/>
      <c r="H988" s="2"/>
      <c r="I988" s="5"/>
    </row>
    <row r="989" spans="1:9" ht="17.399999999999999" x14ac:dyDescent="0.25">
      <c r="A989" s="16"/>
      <c r="B989" s="17"/>
      <c r="C989" s="2"/>
      <c r="D989" s="2"/>
      <c r="E989" s="2"/>
      <c r="F989" s="2"/>
      <c r="G989" s="2"/>
      <c r="H989" s="2"/>
      <c r="I989" s="5"/>
    </row>
    <row r="990" spans="1:9" ht="17.399999999999999" x14ac:dyDescent="0.25">
      <c r="A990" s="16"/>
      <c r="B990" s="17"/>
      <c r="C990" s="2"/>
      <c r="D990" s="2"/>
      <c r="E990" s="2"/>
      <c r="F990" s="2"/>
      <c r="G990" s="2"/>
      <c r="H990" s="2"/>
      <c r="I990" s="5"/>
    </row>
    <row r="991" spans="1:9" ht="17.399999999999999" x14ac:dyDescent="0.25">
      <c r="A991" s="16"/>
      <c r="B991" s="17"/>
      <c r="C991" s="2"/>
      <c r="D991" s="2"/>
      <c r="E991" s="2"/>
      <c r="F991" s="2"/>
      <c r="G991" s="2"/>
      <c r="H991" s="2"/>
      <c r="I991" s="5"/>
    </row>
    <row r="992" spans="1:9" ht="17.399999999999999" x14ac:dyDescent="0.25">
      <c r="A992" s="16"/>
      <c r="B992" s="17"/>
      <c r="C992" s="2"/>
      <c r="D992" s="2"/>
      <c r="E992" s="2"/>
      <c r="F992" s="2"/>
      <c r="G992" s="2"/>
      <c r="H992" s="2"/>
      <c r="I992" s="5"/>
    </row>
    <row r="993" spans="1:9" ht="17.399999999999999" x14ac:dyDescent="0.25">
      <c r="A993" s="16"/>
      <c r="B993" s="17"/>
      <c r="C993" s="2"/>
      <c r="D993" s="2"/>
      <c r="E993" s="2"/>
      <c r="F993" s="2"/>
      <c r="G993" s="2"/>
      <c r="H993" s="2"/>
      <c r="I993" s="5"/>
    </row>
    <row r="994" spans="1:9" ht="17.399999999999999" x14ac:dyDescent="0.25">
      <c r="A994" s="16"/>
      <c r="B994" s="17"/>
      <c r="C994" s="2"/>
      <c r="D994" s="2"/>
      <c r="E994" s="2"/>
      <c r="F994" s="2"/>
      <c r="G994" s="2"/>
      <c r="H994" s="2"/>
      <c r="I994" s="5"/>
    </row>
    <row r="995" spans="1:9" ht="17.399999999999999" x14ac:dyDescent="0.25">
      <c r="A995" s="16"/>
      <c r="B995" s="17"/>
      <c r="C995" s="2"/>
      <c r="D995" s="2"/>
      <c r="E995" s="2"/>
      <c r="F995" s="2"/>
      <c r="G995" s="2"/>
      <c r="H995" s="2"/>
      <c r="I995" s="5"/>
    </row>
    <row r="996" spans="1:9" ht="17.399999999999999" x14ac:dyDescent="0.25">
      <c r="A996" s="16"/>
      <c r="B996" s="17"/>
      <c r="C996" s="2"/>
      <c r="D996" s="2"/>
      <c r="E996" s="2"/>
      <c r="F996" s="2"/>
      <c r="G996" s="2"/>
      <c r="H996" s="2"/>
      <c r="I996" s="5"/>
    </row>
    <row r="997" spans="1:9" ht="17.399999999999999" x14ac:dyDescent="0.25">
      <c r="A997" s="16"/>
      <c r="B997" s="17"/>
      <c r="C997" s="2"/>
      <c r="D997" s="2"/>
      <c r="E997" s="2"/>
      <c r="F997" s="2"/>
      <c r="G997" s="2"/>
      <c r="H997" s="2"/>
      <c r="I997" s="5"/>
    </row>
    <row r="998" spans="1:9" ht="17.399999999999999" x14ac:dyDescent="0.25">
      <c r="A998" s="16"/>
      <c r="B998" s="17"/>
      <c r="C998" s="2"/>
      <c r="D998" s="2"/>
      <c r="E998" s="2"/>
      <c r="F998" s="2"/>
      <c r="G998" s="2"/>
      <c r="H998" s="2"/>
      <c r="I998" s="5"/>
    </row>
    <row r="999" spans="1:9" ht="17.399999999999999" x14ac:dyDescent="0.25">
      <c r="A999" s="16"/>
      <c r="B999" s="17"/>
      <c r="C999" s="2"/>
      <c r="D999" s="2"/>
      <c r="E999" s="2"/>
      <c r="F999" s="2"/>
      <c r="G999" s="2"/>
      <c r="H999" s="2"/>
      <c r="I999" s="5"/>
    </row>
    <row r="1000" spans="1:9" ht="17.399999999999999" x14ac:dyDescent="0.25">
      <c r="A1000" s="16"/>
      <c r="B1000" s="17"/>
      <c r="C1000" s="2"/>
      <c r="D1000" s="2"/>
      <c r="E1000" s="2"/>
      <c r="F1000" s="2"/>
      <c r="G1000" s="2"/>
      <c r="H1000" s="2"/>
      <c r="I1000" s="5"/>
    </row>
    <row r="1001" spans="1:9" ht="17.399999999999999" x14ac:dyDescent="0.25">
      <c r="A1001" s="16"/>
      <c r="B1001" s="17"/>
      <c r="C1001" s="2"/>
      <c r="D1001" s="2"/>
      <c r="E1001" s="2"/>
      <c r="F1001" s="2"/>
      <c r="G1001" s="2"/>
      <c r="H1001" s="2"/>
      <c r="I1001" s="5"/>
    </row>
    <row r="1002" spans="1:9" ht="17.399999999999999" x14ac:dyDescent="0.25">
      <c r="A1002" s="16"/>
      <c r="B1002" s="17"/>
      <c r="C1002" s="2"/>
      <c r="D1002" s="2"/>
      <c r="E1002" s="2"/>
      <c r="F1002" s="2"/>
      <c r="G1002" s="2"/>
      <c r="H1002" s="2"/>
      <c r="I1002" s="5"/>
    </row>
    <row r="1003" spans="1:9" ht="17.399999999999999" x14ac:dyDescent="0.25">
      <c r="A1003" s="16"/>
      <c r="B1003" s="17"/>
      <c r="C1003" s="2"/>
      <c r="D1003" s="2"/>
      <c r="E1003" s="2"/>
      <c r="F1003" s="2"/>
      <c r="G1003" s="2"/>
      <c r="H1003" s="2"/>
      <c r="I1003" s="5"/>
    </row>
    <row r="1004" spans="1:9" ht="17.399999999999999" x14ac:dyDescent="0.25">
      <c r="A1004" s="16"/>
      <c r="B1004" s="17"/>
      <c r="C1004" s="2"/>
      <c r="D1004" s="2"/>
      <c r="E1004" s="2"/>
      <c r="F1004" s="2"/>
      <c r="G1004" s="2"/>
      <c r="H1004" s="2"/>
      <c r="I1004" s="5"/>
    </row>
    <row r="1005" spans="1:9" ht="17.399999999999999" x14ac:dyDescent="0.25">
      <c r="A1005" s="16"/>
      <c r="B1005" s="17"/>
      <c r="C1005" s="2"/>
      <c r="D1005" s="2"/>
      <c r="E1005" s="2"/>
      <c r="F1005" s="2"/>
      <c r="G1005" s="2"/>
      <c r="H1005" s="2"/>
      <c r="I1005" s="5"/>
    </row>
    <row r="1006" spans="1:9" ht="17.399999999999999" x14ac:dyDescent="0.25">
      <c r="A1006" s="16"/>
      <c r="B1006" s="17"/>
      <c r="C1006" s="2"/>
      <c r="D1006" s="2"/>
      <c r="E1006" s="2"/>
      <c r="F1006" s="2"/>
      <c r="G1006" s="2"/>
      <c r="H1006" s="2"/>
      <c r="I1006" s="5"/>
    </row>
    <row r="1007" spans="1:9" ht="17.399999999999999" x14ac:dyDescent="0.25">
      <c r="A1007" s="16"/>
      <c r="B1007" s="17"/>
      <c r="C1007" s="2"/>
      <c r="D1007" s="2"/>
      <c r="E1007" s="2"/>
      <c r="F1007" s="2"/>
      <c r="G1007" s="2"/>
      <c r="H1007" s="2"/>
      <c r="I1007" s="5"/>
    </row>
    <row r="1008" spans="1:9" ht="17.399999999999999" x14ac:dyDescent="0.25">
      <c r="A1008" s="16"/>
      <c r="B1008" s="17"/>
      <c r="C1008" s="2"/>
      <c r="D1008" s="2"/>
      <c r="E1008" s="2"/>
      <c r="F1008" s="2"/>
      <c r="G1008" s="2"/>
      <c r="H1008" s="2"/>
      <c r="I1008" s="5"/>
    </row>
    <row r="1009" spans="1:9" ht="17.399999999999999" x14ac:dyDescent="0.25">
      <c r="A1009" s="16"/>
      <c r="B1009" s="17"/>
      <c r="C1009" s="2"/>
      <c r="D1009" s="2"/>
      <c r="E1009" s="2"/>
      <c r="F1009" s="2"/>
      <c r="G1009" s="2"/>
      <c r="H1009" s="2"/>
      <c r="I1009" s="5"/>
    </row>
    <row r="1010" spans="1:9" ht="17.399999999999999" x14ac:dyDescent="0.25">
      <c r="A1010" s="16"/>
      <c r="B1010" s="17"/>
      <c r="C1010" s="2"/>
      <c r="D1010" s="2"/>
      <c r="E1010" s="2"/>
      <c r="F1010" s="2"/>
      <c r="G1010" s="2"/>
      <c r="H1010" s="2"/>
      <c r="I1010" s="5"/>
    </row>
    <row r="1011" spans="1:9" ht="17.399999999999999" x14ac:dyDescent="0.25">
      <c r="A1011" s="16"/>
      <c r="B1011" s="17"/>
      <c r="C1011" s="2"/>
      <c r="D1011" s="2"/>
      <c r="E1011" s="2"/>
      <c r="F1011" s="2"/>
      <c r="G1011" s="2"/>
      <c r="H1011" s="2"/>
      <c r="I1011" s="5"/>
    </row>
    <row r="1012" spans="1:9" ht="17.399999999999999" x14ac:dyDescent="0.25">
      <c r="A1012" s="16"/>
      <c r="B1012" s="17"/>
      <c r="C1012" s="2"/>
      <c r="D1012" s="2"/>
      <c r="E1012" s="2"/>
      <c r="F1012" s="2"/>
      <c r="G1012" s="2"/>
      <c r="H1012" s="2"/>
      <c r="I1012" s="5"/>
    </row>
    <row r="1013" spans="1:9" ht="17.399999999999999" x14ac:dyDescent="0.25">
      <c r="A1013" s="16"/>
      <c r="B1013" s="17"/>
      <c r="C1013" s="2"/>
      <c r="D1013" s="2"/>
      <c r="E1013" s="2"/>
      <c r="F1013" s="2"/>
      <c r="G1013" s="2"/>
      <c r="H1013" s="2"/>
      <c r="I1013" s="5"/>
    </row>
    <row r="1014" spans="1:9" ht="17.399999999999999" x14ac:dyDescent="0.25">
      <c r="A1014" s="16"/>
      <c r="B1014" s="17"/>
      <c r="C1014" s="2"/>
      <c r="D1014" s="2"/>
      <c r="E1014" s="2"/>
      <c r="F1014" s="2"/>
      <c r="G1014" s="2"/>
      <c r="H1014" s="2"/>
      <c r="I1014" s="5"/>
    </row>
    <row r="1015" spans="1:9" ht="17.399999999999999" x14ac:dyDescent="0.25">
      <c r="A1015" s="16"/>
      <c r="B1015" s="17"/>
      <c r="C1015" s="2"/>
      <c r="D1015" s="2"/>
      <c r="E1015" s="2"/>
      <c r="F1015" s="2"/>
      <c r="G1015" s="2"/>
      <c r="H1015" s="2"/>
      <c r="I1015" s="5"/>
    </row>
    <row r="1016" spans="1:9" ht="17.399999999999999" x14ac:dyDescent="0.25">
      <c r="A1016" s="16"/>
      <c r="B1016" s="17"/>
      <c r="C1016" s="2"/>
      <c r="D1016" s="2"/>
      <c r="E1016" s="2"/>
      <c r="F1016" s="2"/>
      <c r="G1016" s="2"/>
      <c r="H1016" s="2"/>
      <c r="I1016" s="5"/>
    </row>
    <row r="1017" spans="1:9" ht="17.399999999999999" x14ac:dyDescent="0.25">
      <c r="A1017" s="16"/>
      <c r="B1017" s="17"/>
      <c r="C1017" s="2"/>
      <c r="D1017" s="2"/>
      <c r="E1017" s="2"/>
      <c r="F1017" s="2"/>
      <c r="G1017" s="2"/>
      <c r="H1017" s="2"/>
      <c r="I1017" s="5"/>
    </row>
    <row r="1018" spans="1:9" ht="17.399999999999999" x14ac:dyDescent="0.25">
      <c r="A1018" s="16"/>
      <c r="B1018" s="17"/>
      <c r="C1018" s="2"/>
      <c r="D1018" s="2"/>
      <c r="E1018" s="2"/>
      <c r="F1018" s="2"/>
      <c r="G1018" s="2"/>
      <c r="H1018" s="2"/>
      <c r="I1018" s="5"/>
    </row>
    <row r="1019" spans="1:9" ht="17.399999999999999" x14ac:dyDescent="0.25">
      <c r="A1019" s="16"/>
      <c r="B1019" s="17"/>
      <c r="C1019" s="2"/>
      <c r="D1019" s="2"/>
      <c r="E1019" s="2"/>
      <c r="F1019" s="2"/>
      <c r="G1019" s="2"/>
      <c r="H1019" s="2"/>
      <c r="I1019" s="5"/>
    </row>
    <row r="1020" spans="1:9" ht="17.399999999999999" x14ac:dyDescent="0.25">
      <c r="A1020" s="16"/>
      <c r="B1020" s="17"/>
      <c r="C1020" s="2"/>
      <c r="D1020" s="2"/>
      <c r="E1020" s="2"/>
      <c r="F1020" s="2"/>
      <c r="G1020" s="2"/>
      <c r="H1020" s="2"/>
      <c r="I1020" s="5"/>
    </row>
    <row r="1021" spans="1:9" ht="17.399999999999999" x14ac:dyDescent="0.25">
      <c r="A1021" s="16"/>
      <c r="B1021" s="17"/>
      <c r="C1021" s="2"/>
      <c r="D1021" s="2"/>
      <c r="E1021" s="2"/>
      <c r="F1021" s="2"/>
      <c r="G1021" s="2"/>
      <c r="H1021" s="2"/>
      <c r="I1021" s="5"/>
    </row>
    <row r="1022" spans="1:9" ht="17.399999999999999" x14ac:dyDescent="0.25">
      <c r="A1022" s="16"/>
      <c r="B1022" s="17"/>
      <c r="C1022" s="2"/>
      <c r="D1022" s="2"/>
      <c r="E1022" s="2"/>
      <c r="F1022" s="2"/>
      <c r="G1022" s="2"/>
      <c r="H1022" s="2"/>
      <c r="I1022" s="5"/>
    </row>
    <row r="1023" spans="1:9" ht="17.399999999999999" x14ac:dyDescent="0.25">
      <c r="A1023" s="16"/>
      <c r="B1023" s="17"/>
      <c r="C1023" s="2"/>
      <c r="D1023" s="2"/>
      <c r="E1023" s="2"/>
      <c r="F1023" s="2"/>
      <c r="G1023" s="2"/>
      <c r="H1023" s="2"/>
      <c r="I1023" s="5"/>
    </row>
    <row r="1024" spans="1:9" ht="17.399999999999999" x14ac:dyDescent="0.25">
      <c r="A1024" s="16"/>
      <c r="B1024" s="17"/>
      <c r="C1024" s="2"/>
      <c r="D1024" s="2"/>
      <c r="E1024" s="2"/>
      <c r="F1024" s="2"/>
      <c r="G1024" s="2"/>
      <c r="H1024" s="2"/>
      <c r="I1024" s="5"/>
    </row>
    <row r="1025" spans="1:9" ht="17.399999999999999" x14ac:dyDescent="0.25">
      <c r="A1025" s="16"/>
      <c r="B1025" s="17"/>
      <c r="C1025" s="2"/>
      <c r="D1025" s="2"/>
      <c r="E1025" s="2"/>
      <c r="F1025" s="2"/>
      <c r="G1025" s="2"/>
      <c r="H1025" s="2"/>
      <c r="I1025" s="5"/>
    </row>
    <row r="1026" spans="1:9" ht="17.399999999999999" x14ac:dyDescent="0.25">
      <c r="A1026" s="16"/>
      <c r="B1026" s="17"/>
      <c r="C1026" s="2"/>
      <c r="D1026" s="2"/>
      <c r="E1026" s="2"/>
      <c r="F1026" s="2"/>
      <c r="G1026" s="2"/>
      <c r="H1026" s="2"/>
      <c r="I1026" s="5"/>
    </row>
    <row r="1027" spans="1:9" ht="17.399999999999999" x14ac:dyDescent="0.25">
      <c r="A1027" s="16"/>
      <c r="B1027" s="17"/>
      <c r="C1027" s="2"/>
      <c r="D1027" s="2"/>
      <c r="E1027" s="2"/>
      <c r="F1027" s="2"/>
      <c r="G1027" s="2"/>
      <c r="H1027" s="2"/>
      <c r="I1027" s="5"/>
    </row>
    <row r="1028" spans="1:9" ht="17.399999999999999" x14ac:dyDescent="0.25">
      <c r="A1028" s="16"/>
      <c r="B1028" s="17"/>
      <c r="C1028" s="2"/>
      <c r="D1028" s="2"/>
      <c r="E1028" s="2"/>
      <c r="F1028" s="2"/>
      <c r="G1028" s="2"/>
      <c r="H1028" s="2"/>
      <c r="I1028" s="5"/>
    </row>
    <row r="1029" spans="1:9" ht="17.399999999999999" x14ac:dyDescent="0.25">
      <c r="A1029" s="16"/>
      <c r="B1029" s="17"/>
      <c r="C1029" s="2"/>
      <c r="D1029" s="2"/>
      <c r="E1029" s="2"/>
      <c r="F1029" s="2"/>
      <c r="G1029" s="2"/>
      <c r="H1029" s="2"/>
      <c r="I1029" s="5"/>
    </row>
    <row r="1030" spans="1:9" ht="17.399999999999999" x14ac:dyDescent="0.25">
      <c r="A1030" s="16"/>
      <c r="B1030" s="17"/>
      <c r="C1030" s="2"/>
      <c r="D1030" s="2"/>
      <c r="E1030" s="2"/>
      <c r="F1030" s="2"/>
      <c r="G1030" s="2"/>
      <c r="H1030" s="2"/>
      <c r="I1030" s="5"/>
    </row>
    <row r="1031" spans="1:9" ht="17.399999999999999" x14ac:dyDescent="0.25">
      <c r="A1031" s="16"/>
      <c r="B1031" s="17"/>
      <c r="C1031" s="2"/>
      <c r="D1031" s="2"/>
      <c r="E1031" s="2"/>
      <c r="F1031" s="2"/>
      <c r="G1031" s="2"/>
      <c r="H1031" s="2"/>
      <c r="I1031" s="5"/>
    </row>
    <row r="1032" spans="1:9" ht="17.399999999999999" x14ac:dyDescent="0.25">
      <c r="A1032" s="16"/>
      <c r="B1032" s="17"/>
      <c r="C1032" s="2"/>
      <c r="D1032" s="2"/>
      <c r="E1032" s="2"/>
      <c r="F1032" s="2"/>
      <c r="G1032" s="2"/>
      <c r="H1032" s="2"/>
      <c r="I1032" s="5"/>
    </row>
    <row r="1033" spans="1:9" ht="17.399999999999999" x14ac:dyDescent="0.25">
      <c r="A1033" s="16"/>
      <c r="B1033" s="17"/>
      <c r="C1033" s="2"/>
      <c r="D1033" s="2"/>
      <c r="E1033" s="2"/>
      <c r="F1033" s="2"/>
      <c r="G1033" s="2"/>
      <c r="H1033" s="2"/>
      <c r="I1033" s="5"/>
    </row>
    <row r="1034" spans="1:9" ht="17.399999999999999" x14ac:dyDescent="0.25">
      <c r="A1034" s="16"/>
      <c r="B1034" s="17"/>
      <c r="C1034" s="2"/>
      <c r="D1034" s="2"/>
      <c r="E1034" s="2"/>
      <c r="F1034" s="2"/>
      <c r="G1034" s="2"/>
      <c r="H1034" s="2"/>
      <c r="I1034" s="5"/>
    </row>
    <row r="1035" spans="1:9" ht="17.399999999999999" x14ac:dyDescent="0.25">
      <c r="A1035" s="16"/>
      <c r="B1035" s="17"/>
      <c r="C1035" s="2"/>
      <c r="D1035" s="2"/>
      <c r="E1035" s="2"/>
      <c r="F1035" s="2"/>
      <c r="G1035" s="2"/>
      <c r="H1035" s="2"/>
      <c r="I1035" s="5"/>
    </row>
    <row r="1036" spans="1:9" ht="17.399999999999999" x14ac:dyDescent="0.25">
      <c r="A1036" s="16"/>
      <c r="B1036" s="17"/>
      <c r="C1036" s="2"/>
      <c r="D1036" s="2"/>
      <c r="E1036" s="2"/>
      <c r="F1036" s="2"/>
      <c r="G1036" s="2"/>
      <c r="H1036" s="2"/>
      <c r="I1036" s="5"/>
    </row>
    <row r="1037" spans="1:9" ht="17.399999999999999" x14ac:dyDescent="0.25">
      <c r="A1037" s="16"/>
      <c r="B1037" s="17"/>
      <c r="C1037" s="2"/>
      <c r="D1037" s="2"/>
      <c r="E1037" s="2"/>
      <c r="F1037" s="2"/>
      <c r="G1037" s="2"/>
      <c r="H1037" s="2"/>
      <c r="I1037" s="5"/>
    </row>
    <row r="1038" spans="1:9" ht="17.399999999999999" x14ac:dyDescent="0.25">
      <c r="A1038" s="16"/>
      <c r="B1038" s="17"/>
      <c r="C1038" s="2"/>
      <c r="D1038" s="2"/>
      <c r="E1038" s="2"/>
      <c r="F1038" s="2"/>
      <c r="G1038" s="2"/>
      <c r="H1038" s="2"/>
      <c r="I1038" s="5"/>
    </row>
    <row r="1039" spans="1:9" ht="17.399999999999999" x14ac:dyDescent="0.25">
      <c r="A1039" s="16"/>
      <c r="B1039" s="17"/>
      <c r="C1039" s="2"/>
      <c r="D1039" s="2"/>
      <c r="E1039" s="2"/>
      <c r="F1039" s="2"/>
      <c r="G1039" s="2"/>
      <c r="H1039" s="2"/>
      <c r="I1039" s="5"/>
    </row>
    <row r="1040" spans="1:9" ht="17.399999999999999" x14ac:dyDescent="0.25">
      <c r="A1040" s="16"/>
      <c r="B1040" s="17"/>
      <c r="C1040" s="2"/>
      <c r="D1040" s="2"/>
      <c r="E1040" s="2"/>
      <c r="F1040" s="2"/>
      <c r="G1040" s="2"/>
      <c r="H1040" s="2"/>
      <c r="I1040" s="5"/>
    </row>
    <row r="1041" spans="1:9" ht="17.399999999999999" x14ac:dyDescent="0.25">
      <c r="A1041" s="16"/>
      <c r="B1041" s="17"/>
      <c r="C1041" s="2"/>
      <c r="D1041" s="2"/>
      <c r="E1041" s="2"/>
      <c r="F1041" s="2"/>
      <c r="G1041" s="2"/>
      <c r="H1041" s="2"/>
      <c r="I1041" s="5"/>
    </row>
    <row r="1042" spans="1:9" ht="17.399999999999999" x14ac:dyDescent="0.25">
      <c r="A1042" s="16"/>
      <c r="B1042" s="17"/>
      <c r="C1042" s="2"/>
      <c r="D1042" s="2"/>
      <c r="E1042" s="2"/>
      <c r="F1042" s="2"/>
      <c r="G1042" s="2"/>
      <c r="H1042" s="2"/>
      <c r="I1042" s="5"/>
    </row>
    <row r="1043" spans="1:9" ht="17.399999999999999" x14ac:dyDescent="0.25">
      <c r="A1043" s="16"/>
      <c r="B1043" s="17"/>
      <c r="C1043" s="2"/>
      <c r="D1043" s="2"/>
      <c r="E1043" s="2"/>
      <c r="F1043" s="2"/>
      <c r="G1043" s="2"/>
      <c r="H1043" s="2"/>
      <c r="I1043" s="5"/>
    </row>
    <row r="1044" spans="1:9" ht="17.399999999999999" x14ac:dyDescent="0.25">
      <c r="A1044" s="16"/>
      <c r="B1044" s="17"/>
      <c r="C1044" s="2"/>
      <c r="D1044" s="2"/>
      <c r="E1044" s="2"/>
      <c r="F1044" s="2"/>
      <c r="G1044" s="2"/>
      <c r="H1044" s="2"/>
      <c r="I1044" s="5"/>
    </row>
    <row r="1045" spans="1:9" ht="17.399999999999999" x14ac:dyDescent="0.25">
      <c r="A1045" s="16"/>
      <c r="B1045" s="17"/>
      <c r="C1045" s="2"/>
      <c r="D1045" s="2"/>
      <c r="E1045" s="2"/>
      <c r="F1045" s="2"/>
      <c r="G1045" s="2"/>
      <c r="H1045" s="2"/>
      <c r="I1045" s="5"/>
    </row>
    <row r="1046" spans="1:9" ht="17.399999999999999" x14ac:dyDescent="0.25">
      <c r="A1046" s="16"/>
      <c r="B1046" s="17"/>
      <c r="C1046" s="2"/>
      <c r="D1046" s="2"/>
      <c r="E1046" s="2"/>
      <c r="F1046" s="2"/>
      <c r="G1046" s="2"/>
      <c r="H1046" s="2"/>
      <c r="I1046" s="5"/>
    </row>
    <row r="1047" spans="1:9" ht="17.399999999999999" x14ac:dyDescent="0.25">
      <c r="A1047" s="16"/>
      <c r="B1047" s="17"/>
      <c r="C1047" s="2"/>
      <c r="D1047" s="2"/>
      <c r="E1047" s="2"/>
      <c r="F1047" s="2"/>
      <c r="G1047" s="2"/>
      <c r="H1047" s="2"/>
      <c r="I1047" s="5"/>
    </row>
    <row r="1048" spans="1:9" ht="17.399999999999999" x14ac:dyDescent="0.25">
      <c r="A1048" s="16"/>
      <c r="B1048" s="17"/>
      <c r="C1048" s="2"/>
      <c r="D1048" s="2"/>
      <c r="E1048" s="2"/>
      <c r="F1048" s="2"/>
      <c r="G1048" s="2"/>
      <c r="H1048" s="2"/>
      <c r="I1048" s="5"/>
    </row>
    <row r="1049" spans="1:9" ht="17.399999999999999" x14ac:dyDescent="0.25">
      <c r="A1049" s="16"/>
      <c r="B1049" s="17"/>
      <c r="C1049" s="2"/>
      <c r="D1049" s="2"/>
      <c r="E1049" s="2"/>
      <c r="F1049" s="2"/>
      <c r="G1049" s="2"/>
      <c r="H1049" s="2"/>
      <c r="I1049" s="5"/>
    </row>
    <row r="1050" spans="1:9" ht="17.399999999999999" x14ac:dyDescent="0.25">
      <c r="A1050" s="16"/>
      <c r="B1050" s="17"/>
      <c r="C1050" s="2"/>
      <c r="D1050" s="2"/>
      <c r="E1050" s="2"/>
      <c r="F1050" s="2"/>
      <c r="G1050" s="2"/>
      <c r="H1050" s="2"/>
      <c r="I1050" s="5"/>
    </row>
    <row r="1051" spans="1:9" ht="17.399999999999999" x14ac:dyDescent="0.25">
      <c r="A1051" s="16"/>
      <c r="B1051" s="17"/>
      <c r="C1051" s="2"/>
      <c r="D1051" s="2"/>
      <c r="E1051" s="2"/>
      <c r="F1051" s="2"/>
      <c r="G1051" s="2"/>
      <c r="H1051" s="2"/>
      <c r="I1051" s="5"/>
    </row>
    <row r="1052" spans="1:9" ht="17.399999999999999" x14ac:dyDescent="0.25">
      <c r="A1052" s="16"/>
      <c r="B1052" s="17"/>
      <c r="C1052" s="2"/>
      <c r="D1052" s="2"/>
      <c r="E1052" s="2"/>
      <c r="F1052" s="2"/>
      <c r="G1052" s="2"/>
      <c r="H1052" s="2"/>
      <c r="I1052" s="5"/>
    </row>
    <row r="1053" spans="1:9" ht="17.399999999999999" x14ac:dyDescent="0.25">
      <c r="A1053" s="16"/>
      <c r="B1053" s="17"/>
      <c r="C1053" s="2"/>
      <c r="D1053" s="2"/>
      <c r="E1053" s="2"/>
      <c r="F1053" s="2"/>
      <c r="G1053" s="2"/>
      <c r="H1053" s="2"/>
      <c r="I1053" s="5"/>
    </row>
    <row r="1054" spans="1:9" ht="17.399999999999999" x14ac:dyDescent="0.25">
      <c r="A1054" s="16"/>
      <c r="B1054" s="17"/>
      <c r="C1054" s="2"/>
      <c r="D1054" s="2"/>
      <c r="E1054" s="2"/>
      <c r="F1054" s="2"/>
      <c r="G1054" s="2"/>
      <c r="H1054" s="2"/>
      <c r="I1054" s="5"/>
    </row>
    <row r="1055" spans="1:9" ht="17.399999999999999" x14ac:dyDescent="0.25">
      <c r="A1055" s="16"/>
      <c r="B1055" s="17"/>
      <c r="C1055" s="2"/>
      <c r="D1055" s="2"/>
      <c r="E1055" s="2"/>
      <c r="F1055" s="2"/>
      <c r="G1055" s="2"/>
      <c r="H1055" s="2"/>
      <c r="I1055" s="5"/>
    </row>
    <row r="1056" spans="1:9" ht="17.399999999999999" x14ac:dyDescent="0.25">
      <c r="A1056" s="16"/>
      <c r="B1056" s="17"/>
      <c r="C1056" s="2"/>
      <c r="D1056" s="2"/>
      <c r="E1056" s="2"/>
      <c r="F1056" s="2"/>
      <c r="G1056" s="2"/>
      <c r="H1056" s="2"/>
      <c r="I1056" s="5"/>
    </row>
    <row r="1057" spans="1:9" ht="17.399999999999999" x14ac:dyDescent="0.25">
      <c r="A1057" s="16"/>
      <c r="B1057" s="17"/>
      <c r="C1057" s="2"/>
      <c r="D1057" s="2"/>
      <c r="E1057" s="2"/>
      <c r="F1057" s="2"/>
      <c r="G1057" s="2"/>
      <c r="H1057" s="2"/>
      <c r="I1057" s="5"/>
    </row>
    <row r="1058" spans="1:9" ht="17.399999999999999" x14ac:dyDescent="0.25">
      <c r="A1058" s="16"/>
      <c r="B1058" s="17"/>
      <c r="C1058" s="2"/>
      <c r="D1058" s="2"/>
      <c r="E1058" s="2"/>
      <c r="F1058" s="2"/>
      <c r="G1058" s="2"/>
      <c r="H1058" s="2"/>
      <c r="I1058" s="5"/>
    </row>
    <row r="1059" spans="1:9" ht="17.399999999999999" x14ac:dyDescent="0.25">
      <c r="A1059" s="16"/>
      <c r="B1059" s="17"/>
      <c r="C1059" s="2"/>
      <c r="D1059" s="2"/>
      <c r="E1059" s="2"/>
      <c r="F1059" s="2"/>
      <c r="G1059" s="2"/>
      <c r="H1059" s="2"/>
      <c r="I1059" s="5"/>
    </row>
    <row r="1060" spans="1:9" ht="17.399999999999999" x14ac:dyDescent="0.25">
      <c r="A1060" s="16"/>
      <c r="B1060" s="17"/>
      <c r="C1060" s="2"/>
      <c r="D1060" s="2"/>
      <c r="E1060" s="2"/>
      <c r="F1060" s="2"/>
      <c r="G1060" s="2"/>
      <c r="H1060" s="2"/>
      <c r="I1060" s="5"/>
    </row>
    <row r="1061" spans="1:9" ht="17.399999999999999" x14ac:dyDescent="0.25">
      <c r="A1061" s="16"/>
      <c r="B1061" s="17"/>
      <c r="C1061" s="2"/>
      <c r="D1061" s="2"/>
      <c r="E1061" s="2"/>
      <c r="F1061" s="2"/>
      <c r="G1061" s="2"/>
      <c r="H1061" s="2"/>
      <c r="I1061" s="5"/>
    </row>
    <row r="1062" spans="1:9" ht="17.399999999999999" x14ac:dyDescent="0.25">
      <c r="A1062" s="16"/>
      <c r="B1062" s="17"/>
      <c r="C1062" s="2"/>
      <c r="D1062" s="2"/>
      <c r="E1062" s="2"/>
      <c r="F1062" s="2"/>
      <c r="G1062" s="2"/>
      <c r="H1062" s="2"/>
      <c r="I1062" s="5"/>
    </row>
    <row r="1063" spans="1:9" ht="17.399999999999999" x14ac:dyDescent="0.25">
      <c r="A1063" s="16"/>
      <c r="B1063" s="17"/>
      <c r="C1063" s="2"/>
      <c r="D1063" s="2"/>
      <c r="E1063" s="2"/>
      <c r="F1063" s="2"/>
      <c r="G1063" s="2"/>
      <c r="H1063" s="2"/>
      <c r="I1063" s="5"/>
    </row>
    <row r="1064" spans="1:9" ht="17.399999999999999" x14ac:dyDescent="0.25">
      <c r="A1064" s="16"/>
      <c r="B1064" s="17"/>
      <c r="C1064" s="2"/>
      <c r="D1064" s="2"/>
      <c r="E1064" s="2"/>
      <c r="F1064" s="2"/>
      <c r="G1064" s="2"/>
      <c r="H1064" s="2"/>
      <c r="I1064" s="5"/>
    </row>
    <row r="1065" spans="1:9" ht="17.399999999999999" x14ac:dyDescent="0.25">
      <c r="A1065" s="16"/>
      <c r="B1065" s="17"/>
      <c r="C1065" s="2"/>
      <c r="D1065" s="2"/>
      <c r="E1065" s="2"/>
      <c r="F1065" s="2"/>
      <c r="G1065" s="2"/>
      <c r="H1065" s="2"/>
      <c r="I1065" s="5"/>
    </row>
    <row r="1066" spans="1:9" ht="17.399999999999999" x14ac:dyDescent="0.25">
      <c r="A1066" s="16"/>
      <c r="B1066" s="17"/>
      <c r="C1066" s="2"/>
      <c r="D1066" s="2"/>
      <c r="E1066" s="2"/>
      <c r="F1066" s="2"/>
      <c r="G1066" s="2"/>
      <c r="H1066" s="2"/>
      <c r="I1066" s="5"/>
    </row>
    <row r="1067" spans="1:9" ht="17.399999999999999" x14ac:dyDescent="0.25">
      <c r="A1067" s="16"/>
      <c r="B1067" s="17"/>
      <c r="C1067" s="2"/>
      <c r="D1067" s="2"/>
      <c r="E1067" s="2"/>
      <c r="F1067" s="2"/>
      <c r="G1067" s="2"/>
      <c r="H1067" s="2"/>
      <c r="I1067" s="5"/>
    </row>
    <row r="1068" spans="1:9" ht="17.399999999999999" x14ac:dyDescent="0.25">
      <c r="A1068" s="16"/>
      <c r="B1068" s="17"/>
      <c r="C1068" s="2"/>
      <c r="D1068" s="2"/>
      <c r="E1068" s="2"/>
      <c r="F1068" s="2"/>
      <c r="G1068" s="2"/>
      <c r="H1068" s="2"/>
      <c r="I1068" s="5"/>
    </row>
    <row r="1069" spans="1:9" ht="17.399999999999999" x14ac:dyDescent="0.25">
      <c r="A1069" s="16"/>
      <c r="B1069" s="17"/>
      <c r="C1069" s="2"/>
      <c r="D1069" s="2"/>
      <c r="E1069" s="2"/>
      <c r="F1069" s="2"/>
      <c r="G1069" s="2"/>
      <c r="H1069" s="2"/>
      <c r="I1069" s="5"/>
    </row>
    <row r="1070" spans="1:9" ht="17.399999999999999" x14ac:dyDescent="0.25">
      <c r="A1070" s="16"/>
      <c r="B1070" s="17"/>
      <c r="C1070" s="2"/>
      <c r="D1070" s="2"/>
      <c r="E1070" s="2"/>
      <c r="F1070" s="2"/>
      <c r="G1070" s="2"/>
      <c r="H1070" s="2"/>
      <c r="I1070" s="5"/>
    </row>
    <row r="1071" spans="1:9" ht="17.399999999999999" x14ac:dyDescent="0.25">
      <c r="A1071" s="16"/>
      <c r="B1071" s="17"/>
      <c r="C1071" s="2"/>
      <c r="D1071" s="2"/>
      <c r="E1071" s="2"/>
      <c r="F1071" s="2"/>
      <c r="G1071" s="2"/>
      <c r="H1071" s="2"/>
      <c r="I1071" s="5"/>
    </row>
    <row r="1072" spans="1:9" ht="17.399999999999999" x14ac:dyDescent="0.25">
      <c r="A1072" s="16"/>
      <c r="B1072" s="17"/>
      <c r="C1072" s="2"/>
      <c r="D1072" s="2"/>
      <c r="E1072" s="2"/>
      <c r="F1072" s="2"/>
      <c r="G1072" s="2"/>
      <c r="H1072" s="2"/>
      <c r="I1072" s="5"/>
    </row>
    <row r="1073" spans="1:9" ht="17.399999999999999" x14ac:dyDescent="0.25">
      <c r="A1073" s="16"/>
      <c r="B1073" s="17"/>
      <c r="C1073" s="2"/>
      <c r="D1073" s="2"/>
      <c r="E1073" s="2"/>
      <c r="F1073" s="2"/>
      <c r="G1073" s="2"/>
      <c r="H1073" s="2"/>
      <c r="I1073" s="5"/>
    </row>
    <row r="1074" spans="1:9" ht="17.399999999999999" x14ac:dyDescent="0.25">
      <c r="A1074" s="16"/>
      <c r="B1074" s="17"/>
      <c r="C1074" s="2"/>
      <c r="D1074" s="2"/>
      <c r="E1074" s="2"/>
      <c r="F1074" s="2"/>
      <c r="G1074" s="2"/>
      <c r="H1074" s="2"/>
      <c r="I1074" s="5"/>
    </row>
    <row r="1075" spans="1:9" ht="17.399999999999999" x14ac:dyDescent="0.25">
      <c r="A1075" s="16"/>
      <c r="B1075" s="17"/>
      <c r="C1075" s="2"/>
      <c r="D1075" s="2"/>
      <c r="E1075" s="2"/>
      <c r="F1075" s="2"/>
      <c r="G1075" s="2"/>
      <c r="H1075" s="2"/>
      <c r="I1075" s="5"/>
    </row>
    <row r="1076" spans="1:9" ht="17.399999999999999" x14ac:dyDescent="0.25">
      <c r="A1076" s="16"/>
      <c r="B1076" s="17"/>
      <c r="C1076" s="2"/>
      <c r="D1076" s="2"/>
      <c r="E1076" s="2"/>
      <c r="F1076" s="2"/>
      <c r="G1076" s="2"/>
      <c r="H1076" s="2"/>
      <c r="I1076" s="5"/>
    </row>
    <row r="1077" spans="1:9" ht="17.399999999999999" x14ac:dyDescent="0.25">
      <c r="A1077" s="16"/>
      <c r="B1077" s="17"/>
      <c r="C1077" s="2"/>
      <c r="D1077" s="2"/>
      <c r="E1077" s="2"/>
      <c r="F1077" s="2"/>
      <c r="G1077" s="2"/>
      <c r="H1077" s="2"/>
      <c r="I1077" s="5"/>
    </row>
    <row r="1078" spans="1:9" ht="17.399999999999999" x14ac:dyDescent="0.25">
      <c r="A1078" s="16"/>
      <c r="B1078" s="17"/>
      <c r="C1078" s="2"/>
      <c r="D1078" s="2"/>
      <c r="E1078" s="2"/>
      <c r="F1078" s="2"/>
      <c r="G1078" s="2"/>
      <c r="H1078" s="2"/>
      <c r="I1078" s="5"/>
    </row>
    <row r="1079" spans="1:9" ht="17.399999999999999" x14ac:dyDescent="0.25">
      <c r="A1079" s="16"/>
      <c r="B1079" s="17"/>
      <c r="C1079" s="2"/>
      <c r="D1079" s="2"/>
      <c r="E1079" s="2"/>
      <c r="F1079" s="2"/>
      <c r="G1079" s="2"/>
      <c r="H1079" s="2"/>
      <c r="I1079" s="5"/>
    </row>
    <row r="1080" spans="1:9" ht="17.399999999999999" x14ac:dyDescent="0.25">
      <c r="A1080" s="16"/>
      <c r="B1080" s="17"/>
      <c r="C1080" s="2"/>
      <c r="D1080" s="2"/>
      <c r="E1080" s="2"/>
      <c r="F1080" s="2"/>
      <c r="G1080" s="2"/>
      <c r="H1080" s="2"/>
      <c r="I1080" s="5"/>
    </row>
    <row r="1081" spans="1:9" ht="17.399999999999999" x14ac:dyDescent="0.25">
      <c r="A1081" s="16"/>
      <c r="B1081" s="17"/>
      <c r="C1081" s="2"/>
      <c r="D1081" s="2"/>
      <c r="E1081" s="2"/>
      <c r="F1081" s="2"/>
      <c r="G1081" s="2"/>
      <c r="H1081" s="2"/>
      <c r="I1081" s="5"/>
    </row>
    <row r="1082" spans="1:9" ht="17.399999999999999" x14ac:dyDescent="0.25">
      <c r="A1082" s="16"/>
      <c r="B1082" s="17"/>
      <c r="C1082" s="2"/>
      <c r="D1082" s="2"/>
      <c r="E1082" s="2"/>
      <c r="F1082" s="2"/>
      <c r="G1082" s="2"/>
      <c r="H1082" s="2"/>
      <c r="I1082" s="5"/>
    </row>
    <row r="1083" spans="1:9" ht="17.399999999999999" x14ac:dyDescent="0.25">
      <c r="A1083" s="16"/>
      <c r="B1083" s="17"/>
      <c r="C1083" s="2"/>
      <c r="D1083" s="2"/>
      <c r="E1083" s="2"/>
      <c r="F1083" s="2"/>
      <c r="G1083" s="2"/>
      <c r="H1083" s="2"/>
      <c r="I1083" s="5"/>
    </row>
    <row r="1084" spans="1:9" ht="17.399999999999999" x14ac:dyDescent="0.25">
      <c r="A1084" s="16"/>
      <c r="B1084" s="17"/>
      <c r="C1084" s="2"/>
      <c r="D1084" s="2"/>
      <c r="E1084" s="2"/>
      <c r="F1084" s="2"/>
      <c r="G1084" s="2"/>
      <c r="H1084" s="2"/>
      <c r="I1084" s="5"/>
    </row>
    <row r="1085" spans="1:9" ht="17.399999999999999" x14ac:dyDescent="0.25">
      <c r="A1085" s="16"/>
      <c r="B1085" s="17"/>
      <c r="C1085" s="2"/>
      <c r="D1085" s="2"/>
      <c r="E1085" s="2"/>
      <c r="F1085" s="2"/>
      <c r="G1085" s="2"/>
      <c r="H1085" s="2"/>
      <c r="I1085" s="5"/>
    </row>
    <row r="1086" spans="1:9" ht="17.399999999999999" x14ac:dyDescent="0.25">
      <c r="A1086" s="16"/>
      <c r="B1086" s="17"/>
      <c r="C1086" s="2"/>
      <c r="D1086" s="2"/>
      <c r="E1086" s="2"/>
      <c r="F1086" s="2"/>
      <c r="G1086" s="2"/>
      <c r="H1086" s="2"/>
      <c r="I1086" s="5"/>
    </row>
    <row r="1087" spans="1:9" ht="17.399999999999999" x14ac:dyDescent="0.25">
      <c r="A1087" s="16"/>
      <c r="B1087" s="17"/>
      <c r="C1087" s="2"/>
      <c r="D1087" s="2"/>
      <c r="E1087" s="2"/>
      <c r="F1087" s="2"/>
      <c r="G1087" s="2"/>
      <c r="H1087" s="2"/>
      <c r="I1087" s="5"/>
    </row>
    <row r="1088" spans="1:9" ht="17.399999999999999" x14ac:dyDescent="0.25">
      <c r="A1088" s="16"/>
      <c r="B1088" s="17"/>
      <c r="C1088" s="2"/>
      <c r="D1088" s="2"/>
      <c r="E1088" s="2"/>
      <c r="F1088" s="2"/>
      <c r="G1088" s="2"/>
      <c r="H1088" s="2"/>
      <c r="I1088" s="5"/>
    </row>
    <row r="1089" spans="1:9" ht="17.399999999999999" x14ac:dyDescent="0.25">
      <c r="A1089" s="16"/>
      <c r="B1089" s="17"/>
      <c r="C1089" s="2"/>
      <c r="D1089" s="2"/>
      <c r="E1089" s="2"/>
      <c r="F1089" s="2"/>
      <c r="G1089" s="2"/>
      <c r="H1089" s="2"/>
      <c r="I1089" s="5"/>
    </row>
    <row r="1090" spans="1:9" ht="17.399999999999999" x14ac:dyDescent="0.25">
      <c r="A1090" s="16"/>
      <c r="B1090" s="17"/>
      <c r="C1090" s="2"/>
      <c r="D1090" s="2"/>
      <c r="E1090" s="2"/>
      <c r="F1090" s="2"/>
      <c r="G1090" s="2"/>
      <c r="H1090" s="2"/>
      <c r="I1090" s="5"/>
    </row>
    <row r="1091" spans="1:9" ht="17.399999999999999" x14ac:dyDescent="0.25">
      <c r="A1091" s="16"/>
      <c r="B1091" s="17"/>
      <c r="C1091" s="2"/>
      <c r="D1091" s="2"/>
      <c r="E1091" s="2"/>
      <c r="F1091" s="2"/>
      <c r="G1091" s="2"/>
      <c r="H1091" s="2"/>
      <c r="I1091" s="5"/>
    </row>
    <row r="1092" spans="1:9" ht="17.399999999999999" x14ac:dyDescent="0.25">
      <c r="A1092" s="16"/>
      <c r="B1092" s="17"/>
      <c r="C1092" s="2"/>
      <c r="D1092" s="2"/>
      <c r="E1092" s="2"/>
      <c r="F1092" s="2"/>
      <c r="G1092" s="2"/>
      <c r="H1092" s="2"/>
      <c r="I1092" s="5"/>
    </row>
    <row r="1093" spans="1:9" ht="17.399999999999999" x14ac:dyDescent="0.25">
      <c r="A1093" s="16"/>
      <c r="B1093" s="17"/>
      <c r="C1093" s="2"/>
      <c r="D1093" s="2"/>
      <c r="E1093" s="2"/>
      <c r="F1093" s="2"/>
      <c r="G1093" s="2"/>
      <c r="H1093" s="2"/>
      <c r="I1093" s="5"/>
    </row>
    <row r="1094" spans="1:9" ht="17.399999999999999" x14ac:dyDescent="0.25">
      <c r="A1094" s="16"/>
      <c r="B1094" s="17"/>
      <c r="C1094" s="2"/>
      <c r="D1094" s="2"/>
      <c r="E1094" s="2"/>
      <c r="F1094" s="2"/>
      <c r="G1094" s="2"/>
      <c r="H1094" s="2"/>
      <c r="I1094" s="5"/>
    </row>
    <row r="1095" spans="1:9" ht="17.399999999999999" x14ac:dyDescent="0.25">
      <c r="A1095" s="16"/>
      <c r="B1095" s="17"/>
      <c r="C1095" s="2"/>
      <c r="D1095" s="2"/>
      <c r="E1095" s="2"/>
      <c r="F1095" s="2"/>
      <c r="G1095" s="2"/>
      <c r="H1095" s="2"/>
      <c r="I1095" s="5"/>
    </row>
    <row r="1096" spans="1:9" ht="17.399999999999999" x14ac:dyDescent="0.25">
      <c r="A1096" s="16"/>
      <c r="B1096" s="17"/>
      <c r="C1096" s="2"/>
      <c r="D1096" s="2"/>
      <c r="E1096" s="2"/>
      <c r="F1096" s="2"/>
      <c r="G1096" s="2"/>
      <c r="H1096" s="2"/>
      <c r="I1096" s="5"/>
    </row>
    <row r="1097" spans="1:9" ht="17.399999999999999" x14ac:dyDescent="0.25">
      <c r="A1097" s="16"/>
      <c r="B1097" s="17"/>
      <c r="C1097" s="2"/>
      <c r="D1097" s="2"/>
      <c r="E1097" s="2"/>
      <c r="F1097" s="2"/>
      <c r="G1097" s="2"/>
      <c r="H1097" s="2"/>
      <c r="I1097" s="5"/>
    </row>
    <row r="1098" spans="1:9" ht="17.399999999999999" x14ac:dyDescent="0.25">
      <c r="A1098" s="16"/>
      <c r="B1098" s="17"/>
      <c r="C1098" s="2"/>
      <c r="D1098" s="2"/>
      <c r="E1098" s="2"/>
      <c r="F1098" s="2"/>
      <c r="G1098" s="2"/>
      <c r="H1098" s="2"/>
      <c r="I1098" s="5"/>
    </row>
    <row r="1099" spans="1:9" ht="17.399999999999999" x14ac:dyDescent="0.25">
      <c r="A1099" s="16"/>
      <c r="B1099" s="17"/>
      <c r="C1099" s="2"/>
      <c r="D1099" s="2"/>
      <c r="E1099" s="2"/>
      <c r="F1099" s="2"/>
      <c r="G1099" s="2"/>
      <c r="H1099" s="2"/>
      <c r="I1099" s="5"/>
    </row>
    <row r="1100" spans="1:9" ht="17.399999999999999" x14ac:dyDescent="0.25">
      <c r="A1100" s="16"/>
      <c r="B1100" s="17"/>
      <c r="C1100" s="2"/>
      <c r="D1100" s="2"/>
      <c r="E1100" s="2"/>
      <c r="F1100" s="2"/>
      <c r="G1100" s="2"/>
      <c r="H1100" s="2"/>
      <c r="I1100" s="5"/>
    </row>
    <row r="1101" spans="1:9" ht="17.399999999999999" x14ac:dyDescent="0.25">
      <c r="A1101" s="16"/>
      <c r="B1101" s="17"/>
      <c r="C1101" s="2"/>
      <c r="D1101" s="2"/>
      <c r="E1101" s="2"/>
      <c r="F1101" s="2"/>
      <c r="G1101" s="2"/>
      <c r="H1101" s="2"/>
      <c r="I1101" s="5"/>
    </row>
    <row r="1102" spans="1:9" ht="17.399999999999999" x14ac:dyDescent="0.25">
      <c r="A1102" s="16"/>
      <c r="B1102" s="17"/>
      <c r="C1102" s="2"/>
      <c r="D1102" s="2"/>
      <c r="E1102" s="2"/>
      <c r="F1102" s="2"/>
      <c r="G1102" s="2"/>
      <c r="H1102" s="2"/>
      <c r="I1102" s="5"/>
    </row>
    <row r="1103" spans="1:9" ht="17.399999999999999" x14ac:dyDescent="0.25">
      <c r="A1103" s="16"/>
      <c r="B1103" s="17"/>
      <c r="C1103" s="2"/>
      <c r="D1103" s="2"/>
      <c r="E1103" s="2"/>
      <c r="F1103" s="2"/>
      <c r="G1103" s="2"/>
      <c r="H1103" s="2"/>
      <c r="I1103" s="5"/>
    </row>
    <row r="1104" spans="1:9" ht="17.399999999999999" x14ac:dyDescent="0.25">
      <c r="A1104" s="16"/>
      <c r="B1104" s="17"/>
      <c r="C1104" s="2"/>
      <c r="D1104" s="2"/>
      <c r="E1104" s="2"/>
      <c r="F1104" s="2"/>
      <c r="G1104" s="2"/>
      <c r="H1104" s="2"/>
      <c r="I1104" s="5"/>
    </row>
    <row r="1105" spans="1:9" ht="17.399999999999999" x14ac:dyDescent="0.25">
      <c r="A1105" s="16"/>
      <c r="B1105" s="17"/>
      <c r="C1105" s="2"/>
      <c r="D1105" s="2"/>
      <c r="E1105" s="2"/>
      <c r="F1105" s="2"/>
      <c r="G1105" s="2"/>
      <c r="H1105" s="2"/>
      <c r="I1105" s="5"/>
    </row>
    <row r="1106" spans="1:9" ht="17.399999999999999" x14ac:dyDescent="0.25">
      <c r="A1106" s="16"/>
      <c r="B1106" s="17"/>
      <c r="C1106" s="2"/>
      <c r="D1106" s="2"/>
      <c r="E1106" s="2"/>
      <c r="F1106" s="2"/>
      <c r="G1106" s="2"/>
      <c r="H1106" s="2"/>
      <c r="I1106" s="5"/>
    </row>
    <row r="1107" spans="1:9" ht="17.399999999999999" x14ac:dyDescent="0.25">
      <c r="A1107" s="16"/>
      <c r="B1107" s="17"/>
      <c r="C1107" s="2"/>
      <c r="D1107" s="2"/>
      <c r="E1107" s="2"/>
      <c r="F1107" s="2"/>
      <c r="G1107" s="2"/>
      <c r="H1107" s="2"/>
      <c r="I1107" s="5"/>
    </row>
    <row r="1108" spans="1:9" ht="17.399999999999999" x14ac:dyDescent="0.25">
      <c r="A1108" s="16"/>
      <c r="B1108" s="17"/>
      <c r="C1108" s="2"/>
      <c r="D1108" s="2"/>
      <c r="E1108" s="2"/>
      <c r="F1108" s="2"/>
      <c r="G1108" s="2"/>
      <c r="H1108" s="2"/>
      <c r="I1108" s="5"/>
    </row>
    <row r="1109" spans="1:9" ht="17.399999999999999" x14ac:dyDescent="0.25">
      <c r="A1109" s="16"/>
      <c r="B1109" s="17"/>
      <c r="C1109" s="2"/>
      <c r="D1109" s="2"/>
      <c r="E1109" s="2"/>
      <c r="F1109" s="2"/>
      <c r="G1109" s="2"/>
      <c r="H1109" s="2"/>
      <c r="I1109" s="5"/>
    </row>
    <row r="1110" spans="1:9" ht="17.399999999999999" x14ac:dyDescent="0.25">
      <c r="A1110" s="16"/>
      <c r="B1110" s="17"/>
      <c r="C1110" s="2"/>
      <c r="D1110" s="2"/>
      <c r="E1110" s="2"/>
      <c r="F1110" s="2"/>
      <c r="G1110" s="2"/>
      <c r="H1110" s="2"/>
      <c r="I1110" s="5"/>
    </row>
    <row r="1111" spans="1:9" ht="17.399999999999999" x14ac:dyDescent="0.25">
      <c r="A1111" s="16"/>
      <c r="B1111" s="17"/>
      <c r="C1111" s="2"/>
      <c r="D1111" s="2"/>
      <c r="E1111" s="2"/>
      <c r="F1111" s="2"/>
      <c r="G1111" s="2"/>
      <c r="H1111" s="2"/>
      <c r="I1111" s="5"/>
    </row>
    <row r="1112" spans="1:9" ht="17.399999999999999" x14ac:dyDescent="0.25">
      <c r="A1112" s="16"/>
      <c r="B1112" s="17"/>
      <c r="C1112" s="2"/>
      <c r="D1112" s="2"/>
      <c r="E1112" s="2"/>
      <c r="F1112" s="2"/>
      <c r="G1112" s="2"/>
      <c r="H1112" s="2"/>
      <c r="I1112" s="5"/>
    </row>
    <row r="1113" spans="1:9" ht="17.399999999999999" x14ac:dyDescent="0.25">
      <c r="A1113" s="16"/>
      <c r="B1113" s="17"/>
      <c r="C1113" s="2"/>
      <c r="D1113" s="2"/>
      <c r="E1113" s="2"/>
      <c r="F1113" s="2"/>
      <c r="G1113" s="2"/>
      <c r="H1113" s="2"/>
      <c r="I1113" s="5"/>
    </row>
    <row r="1114" spans="1:9" ht="17.399999999999999" x14ac:dyDescent="0.25">
      <c r="A1114" s="16"/>
      <c r="B1114" s="17"/>
      <c r="C1114" s="2"/>
      <c r="D1114" s="2"/>
      <c r="E1114" s="2"/>
      <c r="F1114" s="2"/>
      <c r="G1114" s="2"/>
      <c r="H1114" s="2"/>
      <c r="I1114" s="5"/>
    </row>
    <row r="1115" spans="1:9" ht="17.399999999999999" x14ac:dyDescent="0.25">
      <c r="A1115" s="16"/>
      <c r="B1115" s="17"/>
      <c r="C1115" s="2"/>
      <c r="D1115" s="2"/>
      <c r="E1115" s="2"/>
      <c r="F1115" s="2"/>
      <c r="G1115" s="2"/>
      <c r="H1115" s="2"/>
      <c r="I1115" s="5"/>
    </row>
    <row r="1116" spans="1:9" ht="17.399999999999999" x14ac:dyDescent="0.25">
      <c r="A1116" s="16"/>
      <c r="B1116" s="17"/>
      <c r="C1116" s="2"/>
      <c r="D1116" s="2"/>
      <c r="E1116" s="2"/>
      <c r="F1116" s="2"/>
      <c r="G1116" s="2"/>
      <c r="H1116" s="2"/>
      <c r="I1116" s="5"/>
    </row>
    <row r="1117" spans="1:9" ht="17.399999999999999" x14ac:dyDescent="0.25">
      <c r="A1117" s="16"/>
      <c r="B1117" s="17"/>
      <c r="C1117" s="2"/>
      <c r="D1117" s="2"/>
      <c r="E1117" s="2"/>
      <c r="F1117" s="2"/>
      <c r="G1117" s="2"/>
      <c r="H1117" s="2"/>
      <c r="I1117" s="5"/>
    </row>
    <row r="1118" spans="1:9" ht="17.399999999999999" x14ac:dyDescent="0.25">
      <c r="A1118" s="16"/>
      <c r="B1118" s="17"/>
      <c r="C1118" s="2"/>
      <c r="D1118" s="2"/>
      <c r="E1118" s="2"/>
      <c r="F1118" s="2"/>
      <c r="G1118" s="2"/>
      <c r="H1118" s="2"/>
      <c r="I1118" s="5"/>
    </row>
    <row r="1119" spans="1:9" ht="17.399999999999999" x14ac:dyDescent="0.25">
      <c r="A1119" s="16"/>
      <c r="B1119" s="17"/>
      <c r="C1119" s="2"/>
      <c r="D1119" s="2"/>
      <c r="E1119" s="2"/>
      <c r="F1119" s="2"/>
      <c r="G1119" s="2"/>
      <c r="H1119" s="2"/>
      <c r="I1119" s="5"/>
    </row>
    <row r="1120" spans="1:9" ht="17.399999999999999" x14ac:dyDescent="0.25">
      <c r="A1120" s="16"/>
      <c r="B1120" s="17"/>
      <c r="C1120" s="2"/>
      <c r="D1120" s="2"/>
      <c r="E1120" s="2"/>
      <c r="F1120" s="2"/>
      <c r="G1120" s="2"/>
      <c r="H1120" s="2"/>
      <c r="I1120" s="5"/>
    </row>
    <row r="1121" spans="1:9" ht="17.399999999999999" x14ac:dyDescent="0.25">
      <c r="A1121" s="16"/>
      <c r="B1121" s="17"/>
      <c r="C1121" s="2"/>
      <c r="D1121" s="2"/>
      <c r="E1121" s="2"/>
      <c r="F1121" s="2"/>
      <c r="G1121" s="2"/>
      <c r="H1121" s="2"/>
      <c r="I1121" s="5"/>
    </row>
    <row r="1122" spans="1:9" ht="17.399999999999999" x14ac:dyDescent="0.25">
      <c r="A1122" s="16"/>
      <c r="B1122" s="17"/>
      <c r="C1122" s="2"/>
      <c r="D1122" s="2"/>
      <c r="E1122" s="2"/>
      <c r="F1122" s="2"/>
      <c r="G1122" s="2"/>
      <c r="H1122" s="2"/>
      <c r="I1122" s="5"/>
    </row>
    <row r="1123" spans="1:9" ht="17.399999999999999" x14ac:dyDescent="0.25">
      <c r="A1123" s="16"/>
      <c r="B1123" s="17"/>
      <c r="C1123" s="2"/>
      <c r="D1123" s="2"/>
      <c r="E1123" s="2"/>
      <c r="F1123" s="2"/>
      <c r="G1123" s="2"/>
      <c r="H1123" s="2"/>
      <c r="I1123" s="5"/>
    </row>
    <row r="1124" spans="1:9" ht="17.399999999999999" x14ac:dyDescent="0.25">
      <c r="A1124" s="16"/>
      <c r="B1124" s="17"/>
      <c r="C1124" s="2"/>
      <c r="D1124" s="2"/>
      <c r="E1124" s="2"/>
      <c r="F1124" s="2"/>
      <c r="G1124" s="2"/>
      <c r="H1124" s="2"/>
      <c r="I1124" s="5"/>
    </row>
    <row r="1125" spans="1:9" ht="17.399999999999999" x14ac:dyDescent="0.25">
      <c r="A1125" s="16"/>
      <c r="B1125" s="17"/>
      <c r="C1125" s="2"/>
      <c r="D1125" s="2"/>
      <c r="E1125" s="2"/>
      <c r="F1125" s="2"/>
      <c r="G1125" s="2"/>
      <c r="H1125" s="2"/>
      <c r="I1125" s="5"/>
    </row>
    <row r="1126" spans="1:9" ht="17.399999999999999" x14ac:dyDescent="0.25">
      <c r="A1126" s="16"/>
      <c r="B1126" s="17"/>
      <c r="C1126" s="2"/>
      <c r="D1126" s="2"/>
      <c r="E1126" s="2"/>
      <c r="F1126" s="2"/>
      <c r="G1126" s="2"/>
      <c r="H1126" s="2"/>
      <c r="I1126" s="5"/>
    </row>
    <row r="1127" spans="1:9" ht="17.399999999999999" x14ac:dyDescent="0.25">
      <c r="A1127" s="16"/>
      <c r="B1127" s="17"/>
      <c r="C1127" s="2"/>
      <c r="D1127" s="2"/>
      <c r="E1127" s="2"/>
      <c r="F1127" s="2"/>
      <c r="G1127" s="2"/>
      <c r="H1127" s="2"/>
      <c r="I1127" s="5"/>
    </row>
    <row r="1128" spans="1:9" ht="17.399999999999999" x14ac:dyDescent="0.25">
      <c r="A1128" s="16"/>
      <c r="B1128" s="17"/>
      <c r="C1128" s="2"/>
      <c r="D1128" s="2"/>
      <c r="E1128" s="2"/>
      <c r="F1128" s="2"/>
      <c r="G1128" s="2"/>
      <c r="H1128" s="2"/>
      <c r="I1128" s="5"/>
    </row>
    <row r="1129" spans="1:9" ht="17.399999999999999" x14ac:dyDescent="0.25">
      <c r="A1129" s="16"/>
      <c r="B1129" s="17"/>
      <c r="C1129" s="2"/>
      <c r="D1129" s="2"/>
      <c r="E1129" s="2"/>
      <c r="F1129" s="2"/>
      <c r="G1129" s="2"/>
      <c r="H1129" s="2"/>
      <c r="I1129" s="5"/>
    </row>
    <row r="1130" spans="1:9" ht="17.399999999999999" x14ac:dyDescent="0.25">
      <c r="A1130" s="16"/>
      <c r="B1130" s="17"/>
      <c r="C1130" s="2"/>
      <c r="D1130" s="2"/>
      <c r="E1130" s="2"/>
      <c r="F1130" s="2"/>
      <c r="G1130" s="2"/>
      <c r="H1130" s="2"/>
      <c r="I1130" s="5"/>
    </row>
    <row r="1131" spans="1:9" ht="17.399999999999999" x14ac:dyDescent="0.25">
      <c r="A1131" s="16"/>
      <c r="B1131" s="17"/>
      <c r="C1131" s="2"/>
      <c r="D1131" s="2"/>
      <c r="E1131" s="2"/>
      <c r="F1131" s="2"/>
      <c r="G1131" s="2"/>
      <c r="H1131" s="2"/>
      <c r="I1131" s="5"/>
    </row>
    <row r="1132" spans="1:9" ht="17.399999999999999" x14ac:dyDescent="0.25">
      <c r="A1132" s="16"/>
      <c r="B1132" s="17"/>
      <c r="C1132" s="2"/>
      <c r="D1132" s="2"/>
      <c r="E1132" s="2"/>
      <c r="F1132" s="2"/>
      <c r="G1132" s="2"/>
      <c r="H1132" s="2"/>
      <c r="I1132" s="5"/>
    </row>
    <row r="1133" spans="1:9" ht="17.399999999999999" x14ac:dyDescent="0.25">
      <c r="A1133" s="16"/>
      <c r="B1133" s="17"/>
      <c r="C1133" s="2"/>
      <c r="D1133" s="2"/>
      <c r="E1133" s="2"/>
      <c r="F1133" s="2"/>
      <c r="G1133" s="2"/>
      <c r="H1133" s="2"/>
      <c r="I1133" s="5"/>
    </row>
    <row r="1134" spans="1:9" ht="17.399999999999999" x14ac:dyDescent="0.25">
      <c r="A1134" s="16"/>
      <c r="B1134" s="17"/>
      <c r="C1134" s="2"/>
      <c r="D1134" s="2"/>
      <c r="E1134" s="2"/>
      <c r="F1134" s="2"/>
      <c r="G1134" s="2"/>
      <c r="H1134" s="2"/>
      <c r="I1134" s="5"/>
    </row>
    <row r="1135" spans="1:9" ht="17.399999999999999" x14ac:dyDescent="0.25">
      <c r="A1135" s="16"/>
      <c r="B1135" s="17"/>
      <c r="C1135" s="2"/>
      <c r="D1135" s="2"/>
      <c r="E1135" s="2"/>
      <c r="F1135" s="2"/>
      <c r="G1135" s="2"/>
      <c r="H1135" s="2"/>
      <c r="I1135" s="5"/>
    </row>
    <row r="1136" spans="1:9" ht="17.399999999999999" x14ac:dyDescent="0.25">
      <c r="A1136" s="16"/>
      <c r="B1136" s="17"/>
      <c r="C1136" s="2"/>
      <c r="D1136" s="2"/>
      <c r="E1136" s="2"/>
      <c r="F1136" s="2"/>
      <c r="G1136" s="2"/>
      <c r="H1136" s="2"/>
      <c r="I1136" s="5"/>
    </row>
    <row r="1137" spans="1:9" ht="17.399999999999999" x14ac:dyDescent="0.25">
      <c r="A1137" s="16"/>
      <c r="B1137" s="17"/>
      <c r="C1137" s="2"/>
      <c r="D1137" s="2"/>
      <c r="E1137" s="2"/>
      <c r="F1137" s="2"/>
      <c r="G1137" s="2"/>
      <c r="H1137" s="2"/>
      <c r="I1137" s="5"/>
    </row>
    <row r="1138" spans="1:9" ht="17.399999999999999" x14ac:dyDescent="0.25">
      <c r="A1138" s="16"/>
      <c r="B1138" s="17"/>
      <c r="C1138" s="2"/>
      <c r="D1138" s="2"/>
      <c r="E1138" s="2"/>
      <c r="F1138" s="2"/>
      <c r="G1138" s="2"/>
      <c r="H1138" s="2"/>
      <c r="I1138" s="5"/>
    </row>
    <row r="1139" spans="1:9" ht="17.399999999999999" x14ac:dyDescent="0.25">
      <c r="A1139" s="16"/>
      <c r="B1139" s="17"/>
      <c r="C1139" s="2"/>
      <c r="D1139" s="2"/>
      <c r="E1139" s="2"/>
      <c r="F1139" s="2"/>
      <c r="G1139" s="2"/>
      <c r="H1139" s="2"/>
      <c r="I1139" s="5"/>
    </row>
    <row r="1140" spans="1:9" ht="17.399999999999999" x14ac:dyDescent="0.25">
      <c r="A1140" s="16"/>
      <c r="B1140" s="17"/>
      <c r="C1140" s="2"/>
      <c r="D1140" s="2"/>
      <c r="E1140" s="2"/>
      <c r="F1140" s="2"/>
      <c r="G1140" s="2"/>
      <c r="H1140" s="2"/>
      <c r="I1140" s="5"/>
    </row>
    <row r="1141" spans="1:9" ht="17.399999999999999" x14ac:dyDescent="0.25">
      <c r="A1141" s="16"/>
      <c r="B1141" s="17"/>
      <c r="C1141" s="2"/>
      <c r="D1141" s="2"/>
      <c r="E1141" s="2"/>
      <c r="F1141" s="2"/>
      <c r="G1141" s="2"/>
      <c r="H1141" s="2"/>
      <c r="I1141" s="5"/>
    </row>
    <row r="1142" spans="1:9" ht="17.399999999999999" x14ac:dyDescent="0.25">
      <c r="A1142" s="16"/>
      <c r="B1142" s="17"/>
      <c r="C1142" s="2"/>
      <c r="D1142" s="2"/>
      <c r="E1142" s="2"/>
      <c r="F1142" s="2"/>
      <c r="G1142" s="2"/>
      <c r="H1142" s="2"/>
      <c r="I1142" s="5"/>
    </row>
    <row r="1143" spans="1:9" ht="17.399999999999999" x14ac:dyDescent="0.25">
      <c r="A1143" s="16"/>
      <c r="B1143" s="17"/>
      <c r="C1143" s="2"/>
      <c r="D1143" s="2"/>
      <c r="E1143" s="2"/>
      <c r="F1143" s="2"/>
      <c r="G1143" s="2"/>
      <c r="H1143" s="2"/>
      <c r="I1143" s="5"/>
    </row>
    <row r="1144" spans="1:9" ht="17.399999999999999" x14ac:dyDescent="0.25">
      <c r="A1144" s="16"/>
      <c r="B1144" s="17"/>
      <c r="C1144" s="2"/>
      <c r="D1144" s="2"/>
      <c r="E1144" s="2"/>
      <c r="F1144" s="2"/>
      <c r="G1144" s="2"/>
      <c r="H1144" s="2"/>
      <c r="I1144" s="5"/>
    </row>
    <row r="1145" spans="1:9" ht="17.399999999999999" x14ac:dyDescent="0.25">
      <c r="A1145" s="16"/>
      <c r="B1145" s="17"/>
      <c r="C1145" s="2"/>
      <c r="D1145" s="2"/>
      <c r="E1145" s="2"/>
      <c r="F1145" s="2"/>
      <c r="G1145" s="2"/>
      <c r="H1145" s="2"/>
      <c r="I1145" s="5"/>
    </row>
    <row r="1146" spans="1:9" ht="17.399999999999999" x14ac:dyDescent="0.25">
      <c r="A1146" s="16"/>
      <c r="B1146" s="17"/>
      <c r="C1146" s="2"/>
      <c r="D1146" s="2"/>
      <c r="E1146" s="2"/>
      <c r="F1146" s="2"/>
      <c r="G1146" s="2"/>
      <c r="H1146" s="2"/>
      <c r="I1146" s="5"/>
    </row>
    <row r="1147" spans="1:9" ht="17.399999999999999" x14ac:dyDescent="0.25">
      <c r="A1147" s="16"/>
      <c r="B1147" s="17"/>
      <c r="C1147" s="2"/>
      <c r="D1147" s="2"/>
      <c r="E1147" s="2"/>
      <c r="F1147" s="2"/>
      <c r="G1147" s="2"/>
      <c r="H1147" s="2"/>
      <c r="I1147" s="5"/>
    </row>
    <row r="1148" spans="1:9" ht="17.399999999999999" x14ac:dyDescent="0.25">
      <c r="A1148" s="16"/>
      <c r="B1148" s="17"/>
      <c r="C1148" s="2"/>
      <c r="D1148" s="2"/>
      <c r="E1148" s="2"/>
      <c r="F1148" s="2"/>
      <c r="G1148" s="2"/>
      <c r="H1148" s="2"/>
      <c r="I1148" s="5"/>
    </row>
    <row r="1149" spans="1:9" ht="17.399999999999999" x14ac:dyDescent="0.25">
      <c r="A1149" s="16"/>
      <c r="B1149" s="17"/>
      <c r="C1149" s="2"/>
      <c r="D1149" s="2"/>
      <c r="E1149" s="2"/>
      <c r="F1149" s="2"/>
      <c r="G1149" s="2"/>
      <c r="H1149" s="2"/>
      <c r="I1149" s="5"/>
    </row>
    <row r="1150" spans="1:9" ht="17.399999999999999" x14ac:dyDescent="0.25">
      <c r="A1150" s="16"/>
      <c r="B1150" s="17"/>
      <c r="C1150" s="2"/>
      <c r="D1150" s="2"/>
      <c r="E1150" s="2"/>
      <c r="F1150" s="2"/>
      <c r="G1150" s="2"/>
      <c r="H1150" s="2"/>
      <c r="I1150" s="5"/>
    </row>
    <row r="1151" spans="1:9" ht="17.399999999999999" x14ac:dyDescent="0.25">
      <c r="A1151" s="16"/>
      <c r="B1151" s="17"/>
      <c r="C1151" s="2"/>
      <c r="D1151" s="2"/>
      <c r="E1151" s="2"/>
      <c r="F1151" s="2"/>
      <c r="G1151" s="2"/>
      <c r="H1151" s="2"/>
      <c r="I1151" s="5"/>
    </row>
    <row r="1152" spans="1:9" ht="17.399999999999999" x14ac:dyDescent="0.25">
      <c r="A1152" s="16"/>
      <c r="B1152" s="17"/>
      <c r="C1152" s="2"/>
      <c r="D1152" s="2"/>
      <c r="E1152" s="2"/>
      <c r="F1152" s="2"/>
      <c r="G1152" s="2"/>
      <c r="H1152" s="2"/>
      <c r="I1152" s="5"/>
    </row>
    <row r="1153" spans="1:9" ht="17.399999999999999" x14ac:dyDescent="0.25">
      <c r="A1153" s="16"/>
      <c r="B1153" s="17"/>
      <c r="C1153" s="2"/>
      <c r="D1153" s="2"/>
      <c r="E1153" s="2"/>
      <c r="F1153" s="2"/>
      <c r="G1153" s="2"/>
      <c r="H1153" s="2"/>
      <c r="I1153" s="5"/>
    </row>
    <row r="1154" spans="1:9" ht="17.399999999999999" x14ac:dyDescent="0.25">
      <c r="A1154" s="16"/>
      <c r="B1154" s="17"/>
      <c r="C1154" s="2"/>
      <c r="D1154" s="2"/>
      <c r="E1154" s="2"/>
      <c r="F1154" s="2"/>
      <c r="G1154" s="2"/>
      <c r="H1154" s="2"/>
      <c r="I1154" s="5"/>
    </row>
    <row r="1155" spans="1:9" ht="17.399999999999999" x14ac:dyDescent="0.25">
      <c r="A1155" s="16"/>
      <c r="B1155" s="17"/>
      <c r="C1155" s="2"/>
      <c r="D1155" s="2"/>
      <c r="E1155" s="2"/>
      <c r="F1155" s="2"/>
      <c r="G1155" s="2"/>
      <c r="H1155" s="2"/>
      <c r="I1155" s="5"/>
    </row>
    <row r="1156" spans="1:9" ht="17.399999999999999" x14ac:dyDescent="0.25">
      <c r="A1156" s="16"/>
      <c r="B1156" s="17"/>
      <c r="C1156" s="2"/>
      <c r="D1156" s="2"/>
      <c r="E1156" s="2"/>
      <c r="F1156" s="2"/>
      <c r="G1156" s="2"/>
      <c r="H1156" s="2"/>
      <c r="I1156" s="5"/>
    </row>
    <row r="1157" spans="1:9" ht="17.399999999999999" x14ac:dyDescent="0.25">
      <c r="A1157" s="16"/>
      <c r="B1157" s="17"/>
      <c r="C1157" s="2"/>
      <c r="D1157" s="2"/>
      <c r="E1157" s="2"/>
      <c r="F1157" s="2"/>
      <c r="G1157" s="2"/>
      <c r="H1157" s="2"/>
      <c r="I1157" s="5"/>
    </row>
    <row r="1158" spans="1:9" ht="17.399999999999999" x14ac:dyDescent="0.25">
      <c r="A1158" s="16"/>
      <c r="B1158" s="17"/>
      <c r="C1158" s="2"/>
      <c r="D1158" s="2"/>
      <c r="E1158" s="2"/>
      <c r="F1158" s="2"/>
      <c r="G1158" s="2"/>
      <c r="H1158" s="2"/>
      <c r="I1158" s="5"/>
    </row>
    <row r="1159" spans="1:9" ht="17.399999999999999" x14ac:dyDescent="0.25">
      <c r="A1159" s="16"/>
      <c r="B1159" s="17"/>
      <c r="C1159" s="2"/>
      <c r="D1159" s="2"/>
      <c r="E1159" s="2"/>
      <c r="F1159" s="2"/>
      <c r="G1159" s="2"/>
      <c r="H1159" s="2"/>
      <c r="I1159" s="5"/>
    </row>
    <row r="1160" spans="1:9" ht="17.399999999999999" x14ac:dyDescent="0.25">
      <c r="A1160" s="16"/>
      <c r="B1160" s="17"/>
      <c r="C1160" s="2"/>
      <c r="D1160" s="2"/>
      <c r="E1160" s="2"/>
      <c r="F1160" s="2"/>
      <c r="G1160" s="2"/>
      <c r="H1160" s="2"/>
      <c r="I1160" s="5"/>
    </row>
    <row r="1161" spans="1:9" ht="17.399999999999999" x14ac:dyDescent="0.25">
      <c r="A1161" s="16"/>
      <c r="B1161" s="17"/>
      <c r="C1161" s="2"/>
      <c r="D1161" s="2"/>
      <c r="E1161" s="2"/>
      <c r="F1161" s="2"/>
      <c r="G1161" s="2"/>
      <c r="H1161" s="2"/>
      <c r="I1161" s="5"/>
    </row>
    <row r="1162" spans="1:9" ht="17.399999999999999" x14ac:dyDescent="0.25">
      <c r="A1162" s="16"/>
      <c r="B1162" s="17"/>
      <c r="C1162" s="2"/>
      <c r="D1162" s="2"/>
      <c r="E1162" s="2"/>
      <c r="F1162" s="2"/>
      <c r="G1162" s="2"/>
      <c r="H1162" s="2"/>
      <c r="I1162" s="5"/>
    </row>
    <row r="1163" spans="1:9" ht="17.399999999999999" x14ac:dyDescent="0.25">
      <c r="A1163" s="16"/>
      <c r="B1163" s="17"/>
      <c r="C1163" s="2"/>
      <c r="D1163" s="2"/>
      <c r="E1163" s="2"/>
      <c r="F1163" s="2"/>
      <c r="G1163" s="2"/>
      <c r="H1163" s="2"/>
      <c r="I1163" s="5"/>
    </row>
    <row r="1164" spans="1:9" ht="17.399999999999999" x14ac:dyDescent="0.25">
      <c r="A1164" s="16"/>
      <c r="B1164" s="17"/>
      <c r="C1164" s="2"/>
      <c r="D1164" s="2"/>
      <c r="E1164" s="2"/>
      <c r="F1164" s="2"/>
      <c r="G1164" s="2"/>
      <c r="H1164" s="2"/>
      <c r="I1164" s="5"/>
    </row>
    <row r="1165" spans="1:9" ht="17.399999999999999" x14ac:dyDescent="0.25">
      <c r="A1165" s="16"/>
      <c r="B1165" s="17"/>
      <c r="C1165" s="2"/>
      <c r="D1165" s="2"/>
      <c r="E1165" s="2"/>
      <c r="F1165" s="2"/>
      <c r="G1165" s="2"/>
      <c r="H1165" s="2"/>
      <c r="I1165" s="5"/>
    </row>
    <row r="1166" spans="1:9" ht="17.399999999999999" x14ac:dyDescent="0.25">
      <c r="A1166" s="16"/>
      <c r="B1166" s="17"/>
      <c r="C1166" s="2"/>
      <c r="D1166" s="2"/>
      <c r="E1166" s="2"/>
      <c r="F1166" s="2"/>
      <c r="G1166" s="2"/>
      <c r="H1166" s="2"/>
      <c r="I1166" s="5"/>
    </row>
    <row r="1167" spans="1:9" ht="17.399999999999999" x14ac:dyDescent="0.25">
      <c r="A1167" s="16"/>
      <c r="B1167" s="17"/>
      <c r="C1167" s="2"/>
      <c r="D1167" s="2"/>
      <c r="E1167" s="2"/>
      <c r="F1167" s="2"/>
      <c r="G1167" s="2"/>
      <c r="H1167" s="2"/>
      <c r="I1167" s="5"/>
    </row>
    <row r="1168" spans="1:9" ht="17.399999999999999" x14ac:dyDescent="0.25">
      <c r="A1168" s="16"/>
      <c r="B1168" s="17"/>
      <c r="C1168" s="2"/>
      <c r="D1168" s="2"/>
      <c r="E1168" s="2"/>
      <c r="F1168" s="2"/>
      <c r="G1168" s="2"/>
      <c r="H1168" s="2"/>
      <c r="I1168" s="5"/>
    </row>
    <row r="1169" spans="1:9" ht="17.399999999999999" x14ac:dyDescent="0.25">
      <c r="A1169" s="16"/>
      <c r="B1169" s="17"/>
      <c r="C1169" s="2"/>
      <c r="D1169" s="2"/>
      <c r="E1169" s="2"/>
      <c r="F1169" s="2"/>
      <c r="G1169" s="2"/>
      <c r="H1169" s="2"/>
      <c r="I1169" s="5"/>
    </row>
    <row r="1170" spans="1:9" ht="17.399999999999999" x14ac:dyDescent="0.25">
      <c r="A1170" s="16"/>
      <c r="B1170" s="17"/>
      <c r="C1170" s="2"/>
      <c r="D1170" s="2"/>
      <c r="E1170" s="2"/>
      <c r="F1170" s="2"/>
      <c r="G1170" s="2"/>
      <c r="H1170" s="2"/>
      <c r="I1170" s="5"/>
    </row>
    <row r="1171" spans="1:9" ht="17.399999999999999" x14ac:dyDescent="0.25">
      <c r="A1171" s="16"/>
      <c r="B1171" s="17"/>
      <c r="C1171" s="2"/>
      <c r="D1171" s="2"/>
      <c r="E1171" s="2"/>
      <c r="F1171" s="2"/>
      <c r="G1171" s="2"/>
      <c r="H1171" s="2"/>
      <c r="I1171" s="5"/>
    </row>
    <row r="1172" spans="1:9" ht="17.399999999999999" x14ac:dyDescent="0.25">
      <c r="A1172" s="16"/>
      <c r="B1172" s="17"/>
      <c r="C1172" s="2"/>
      <c r="D1172" s="2"/>
      <c r="E1172" s="2"/>
      <c r="F1172" s="2"/>
      <c r="G1172" s="2"/>
      <c r="H1172" s="2"/>
      <c r="I1172" s="5"/>
    </row>
    <row r="1173" spans="1:9" ht="17.399999999999999" x14ac:dyDescent="0.25">
      <c r="A1173" s="16"/>
      <c r="B1173" s="17"/>
      <c r="C1173" s="2"/>
      <c r="D1173" s="2"/>
      <c r="E1173" s="2"/>
      <c r="F1173" s="2"/>
      <c r="G1173" s="2"/>
      <c r="H1173" s="2"/>
      <c r="I1173" s="5"/>
    </row>
    <row r="1174" spans="1:9" ht="17.399999999999999" x14ac:dyDescent="0.25">
      <c r="A1174" s="16"/>
      <c r="B1174" s="17"/>
      <c r="C1174" s="2"/>
      <c r="D1174" s="2"/>
      <c r="E1174" s="2"/>
      <c r="F1174" s="2"/>
      <c r="G1174" s="2"/>
      <c r="H1174" s="2"/>
      <c r="I1174" s="5"/>
    </row>
    <row r="1175" spans="1:9" ht="17.399999999999999" x14ac:dyDescent="0.25">
      <c r="A1175" s="16"/>
      <c r="B1175" s="17"/>
      <c r="C1175" s="2"/>
      <c r="D1175" s="2"/>
      <c r="E1175" s="2"/>
      <c r="F1175" s="2"/>
      <c r="G1175" s="2"/>
      <c r="H1175" s="2"/>
      <c r="I1175" s="5"/>
    </row>
    <row r="1176" spans="1:9" ht="17.399999999999999" x14ac:dyDescent="0.25">
      <c r="A1176" s="16"/>
      <c r="B1176" s="17"/>
      <c r="C1176" s="2"/>
      <c r="D1176" s="2"/>
      <c r="E1176" s="2"/>
      <c r="F1176" s="2"/>
      <c r="G1176" s="2"/>
      <c r="H1176" s="2"/>
      <c r="I1176" s="5"/>
    </row>
    <row r="1177" spans="1:9" ht="17.399999999999999" x14ac:dyDescent="0.25">
      <c r="A1177" s="16"/>
      <c r="B1177" s="17"/>
      <c r="C1177" s="2"/>
      <c r="D1177" s="2"/>
      <c r="E1177" s="2"/>
      <c r="F1177" s="2"/>
      <c r="G1177" s="2"/>
      <c r="H1177" s="2"/>
      <c r="I1177" s="5"/>
    </row>
    <row r="1178" spans="1:9" ht="17.399999999999999" x14ac:dyDescent="0.25">
      <c r="A1178" s="16"/>
      <c r="B1178" s="17"/>
      <c r="C1178" s="2"/>
      <c r="D1178" s="2"/>
      <c r="E1178" s="2"/>
      <c r="F1178" s="2"/>
      <c r="G1178" s="2"/>
      <c r="H1178" s="2"/>
      <c r="I1178" s="5"/>
    </row>
    <row r="1179" spans="1:9" ht="17.399999999999999" x14ac:dyDescent="0.25">
      <c r="A1179" s="16"/>
      <c r="B1179" s="17"/>
      <c r="C1179" s="2"/>
      <c r="D1179" s="2"/>
      <c r="E1179" s="2"/>
      <c r="F1179" s="2"/>
      <c r="G1179" s="2"/>
      <c r="H1179" s="2"/>
      <c r="I1179" s="5"/>
    </row>
    <row r="1180" spans="1:9" ht="17.399999999999999" x14ac:dyDescent="0.25">
      <c r="A1180" s="16"/>
      <c r="B1180" s="17"/>
      <c r="C1180" s="2"/>
      <c r="D1180" s="2"/>
      <c r="E1180" s="2"/>
      <c r="F1180" s="2"/>
      <c r="G1180" s="2"/>
      <c r="H1180" s="2"/>
      <c r="I1180" s="5"/>
    </row>
    <row r="1181" spans="1:9" ht="17.399999999999999" x14ac:dyDescent="0.25">
      <c r="A1181" s="16"/>
      <c r="B1181" s="17"/>
      <c r="C1181" s="2"/>
      <c r="D1181" s="2"/>
      <c r="E1181" s="2"/>
      <c r="F1181" s="2"/>
      <c r="G1181" s="2"/>
      <c r="H1181" s="2"/>
      <c r="I1181" s="5"/>
    </row>
    <row r="1182" spans="1:9" ht="17.399999999999999" x14ac:dyDescent="0.25">
      <c r="A1182" s="16"/>
      <c r="B1182" s="17"/>
      <c r="C1182" s="2"/>
      <c r="D1182" s="2"/>
      <c r="E1182" s="2"/>
      <c r="F1182" s="2"/>
      <c r="G1182" s="2"/>
      <c r="H1182" s="2"/>
      <c r="I1182" s="5"/>
    </row>
    <row r="1183" spans="1:9" ht="17.399999999999999" x14ac:dyDescent="0.25">
      <c r="A1183" s="16"/>
      <c r="B1183" s="17"/>
      <c r="C1183" s="2"/>
      <c r="D1183" s="2"/>
      <c r="E1183" s="2"/>
      <c r="F1183" s="2"/>
      <c r="G1183" s="2"/>
      <c r="H1183" s="2"/>
      <c r="I1183" s="5"/>
    </row>
    <row r="1184" spans="1:9" ht="17.399999999999999" x14ac:dyDescent="0.25">
      <c r="A1184" s="16"/>
      <c r="B1184" s="17"/>
      <c r="C1184" s="2"/>
      <c r="D1184" s="2"/>
      <c r="E1184" s="2"/>
      <c r="F1184" s="2"/>
      <c r="G1184" s="2"/>
      <c r="H1184" s="2"/>
      <c r="I1184" s="5"/>
    </row>
    <row r="1185" spans="1:9" ht="17.399999999999999" x14ac:dyDescent="0.25">
      <c r="A1185" s="16"/>
      <c r="B1185" s="17"/>
      <c r="C1185" s="2"/>
      <c r="D1185" s="2"/>
      <c r="E1185" s="2"/>
      <c r="F1185" s="2"/>
      <c r="G1185" s="2"/>
      <c r="H1185" s="2"/>
      <c r="I1185" s="5"/>
    </row>
    <row r="1186" spans="1:9" ht="17.399999999999999" x14ac:dyDescent="0.25">
      <c r="A1186" s="16"/>
      <c r="B1186" s="17"/>
      <c r="C1186" s="2"/>
      <c r="D1186" s="2"/>
      <c r="E1186" s="2"/>
      <c r="F1186" s="2"/>
      <c r="G1186" s="2"/>
      <c r="H1186" s="2"/>
      <c r="I1186" s="5"/>
    </row>
    <row r="1187" spans="1:9" ht="17.399999999999999" x14ac:dyDescent="0.25">
      <c r="A1187" s="16"/>
      <c r="B1187" s="17"/>
      <c r="C1187" s="2"/>
      <c r="D1187" s="2"/>
      <c r="E1187" s="2"/>
      <c r="F1187" s="2"/>
      <c r="G1187" s="2"/>
      <c r="H1187" s="2"/>
      <c r="I1187" s="5"/>
    </row>
    <row r="1188" spans="1:9" ht="17.399999999999999" x14ac:dyDescent="0.25">
      <c r="A1188" s="16"/>
      <c r="B1188" s="17"/>
      <c r="C1188" s="2"/>
      <c r="D1188" s="2"/>
      <c r="E1188" s="2"/>
      <c r="F1188" s="2"/>
      <c r="G1188" s="2"/>
      <c r="H1188" s="2"/>
      <c r="I1188" s="5"/>
    </row>
    <row r="1189" spans="1:9" ht="17.399999999999999" x14ac:dyDescent="0.25">
      <c r="A1189" s="16"/>
      <c r="B1189" s="17"/>
      <c r="C1189" s="2"/>
      <c r="D1189" s="2"/>
      <c r="E1189" s="2"/>
      <c r="F1189" s="2"/>
      <c r="G1189" s="2"/>
      <c r="H1189" s="2"/>
      <c r="I1189" s="5"/>
    </row>
    <row r="1190" spans="1:9" ht="17.399999999999999" x14ac:dyDescent="0.25">
      <c r="A1190" s="16"/>
      <c r="B1190" s="17"/>
      <c r="C1190" s="2"/>
      <c r="D1190" s="2"/>
      <c r="E1190" s="2"/>
      <c r="F1190" s="2"/>
      <c r="G1190" s="2"/>
      <c r="H1190" s="2"/>
      <c r="I1190" s="5"/>
    </row>
    <row r="1191" spans="1:9" ht="17.399999999999999" x14ac:dyDescent="0.25">
      <c r="A1191" s="16"/>
      <c r="B1191" s="17"/>
      <c r="C1191" s="2"/>
      <c r="D1191" s="2"/>
      <c r="E1191" s="2"/>
      <c r="F1191" s="2"/>
      <c r="G1191" s="2"/>
      <c r="H1191" s="2"/>
      <c r="I1191" s="5"/>
    </row>
    <row r="1192" spans="1:9" ht="17.399999999999999" x14ac:dyDescent="0.25">
      <c r="A1192" s="16"/>
      <c r="B1192" s="17"/>
      <c r="C1192" s="2"/>
      <c r="D1192" s="2"/>
      <c r="E1192" s="2"/>
      <c r="F1192" s="2"/>
      <c r="G1192" s="2"/>
      <c r="H1192" s="2"/>
      <c r="I1192" s="5"/>
    </row>
    <row r="1193" spans="1:9" ht="17.399999999999999" x14ac:dyDescent="0.25">
      <c r="A1193" s="16"/>
      <c r="B1193" s="17"/>
      <c r="C1193" s="2"/>
      <c r="D1193" s="2"/>
      <c r="E1193" s="2"/>
      <c r="F1193" s="2"/>
      <c r="G1193" s="2"/>
      <c r="H1193" s="2"/>
      <c r="I1193" s="5"/>
    </row>
    <row r="1194" spans="1:9" ht="17.399999999999999" x14ac:dyDescent="0.25">
      <c r="A1194" s="16"/>
      <c r="B1194" s="17"/>
      <c r="C1194" s="2"/>
      <c r="D1194" s="2"/>
      <c r="E1194" s="2"/>
      <c r="F1194" s="2"/>
      <c r="G1194" s="2"/>
      <c r="H1194" s="2"/>
      <c r="I1194" s="5"/>
    </row>
    <row r="1195" spans="1:9" ht="17.399999999999999" x14ac:dyDescent="0.25">
      <c r="A1195" s="16"/>
      <c r="B1195" s="17"/>
      <c r="C1195" s="2"/>
      <c r="D1195" s="2"/>
      <c r="E1195" s="2"/>
      <c r="F1195" s="2"/>
      <c r="G1195" s="2"/>
      <c r="H1195" s="2"/>
      <c r="I1195" s="5"/>
    </row>
    <row r="1196" spans="1:9" ht="17.399999999999999" x14ac:dyDescent="0.25">
      <c r="A1196" s="16"/>
      <c r="B1196" s="17"/>
      <c r="C1196" s="2"/>
      <c r="D1196" s="2"/>
      <c r="E1196" s="2"/>
      <c r="F1196" s="2"/>
      <c r="G1196" s="2"/>
      <c r="H1196" s="2"/>
      <c r="I1196" s="5"/>
    </row>
    <row r="1197" spans="1:9" ht="17.399999999999999" x14ac:dyDescent="0.25">
      <c r="A1197" s="16"/>
      <c r="B1197" s="17"/>
      <c r="C1197" s="2"/>
      <c r="D1197" s="2"/>
      <c r="E1197" s="2"/>
      <c r="F1197" s="2"/>
      <c r="G1197" s="2"/>
      <c r="H1197" s="2"/>
      <c r="I1197" s="5"/>
    </row>
    <row r="1198" spans="1:9" ht="17.399999999999999" x14ac:dyDescent="0.25">
      <c r="A1198" s="16"/>
      <c r="B1198" s="17"/>
      <c r="C1198" s="2"/>
      <c r="D1198" s="2"/>
      <c r="E1198" s="2"/>
      <c r="F1198" s="2"/>
      <c r="G1198" s="2"/>
      <c r="H1198" s="2"/>
      <c r="I1198" s="5"/>
    </row>
    <row r="1199" spans="1:9" ht="17.399999999999999" x14ac:dyDescent="0.25">
      <c r="A1199" s="16"/>
      <c r="B1199" s="17"/>
      <c r="C1199" s="2"/>
      <c r="D1199" s="2"/>
      <c r="E1199" s="2"/>
      <c r="F1199" s="2"/>
      <c r="G1199" s="2"/>
      <c r="H1199" s="2"/>
      <c r="I1199" s="5"/>
    </row>
    <row r="1200" spans="1:9" ht="17.399999999999999" x14ac:dyDescent="0.25">
      <c r="A1200" s="16"/>
      <c r="B1200" s="17"/>
      <c r="C1200" s="2"/>
      <c r="D1200" s="2"/>
      <c r="E1200" s="2"/>
      <c r="F1200" s="2"/>
      <c r="G1200" s="2"/>
      <c r="H1200" s="2"/>
      <c r="I1200" s="5"/>
    </row>
    <row r="1201" spans="1:9" ht="17.399999999999999" x14ac:dyDescent="0.25">
      <c r="A1201" s="16"/>
      <c r="B1201" s="17"/>
      <c r="C1201" s="2"/>
      <c r="D1201" s="2"/>
      <c r="E1201" s="2"/>
      <c r="F1201" s="2"/>
      <c r="G1201" s="2"/>
      <c r="H1201" s="2"/>
      <c r="I1201" s="5"/>
    </row>
    <row r="1202" spans="1:9" ht="17.399999999999999" x14ac:dyDescent="0.25">
      <c r="A1202" s="16"/>
      <c r="B1202" s="17"/>
      <c r="C1202" s="2"/>
      <c r="D1202" s="2"/>
      <c r="E1202" s="2"/>
      <c r="F1202" s="2"/>
      <c r="G1202" s="2"/>
      <c r="H1202" s="2"/>
      <c r="I1202" s="5"/>
    </row>
    <row r="1203" spans="1:9" ht="17.399999999999999" x14ac:dyDescent="0.25">
      <c r="A1203" s="16"/>
      <c r="B1203" s="17"/>
      <c r="C1203" s="2"/>
      <c r="D1203" s="2"/>
      <c r="E1203" s="2"/>
      <c r="F1203" s="2"/>
      <c r="G1203" s="2"/>
      <c r="H1203" s="2"/>
      <c r="I1203" s="5"/>
    </row>
    <row r="1204" spans="1:9" ht="17.399999999999999" x14ac:dyDescent="0.25">
      <c r="A1204" s="16"/>
      <c r="B1204" s="17"/>
      <c r="C1204" s="2"/>
      <c r="D1204" s="2"/>
      <c r="E1204" s="2"/>
      <c r="F1204" s="2"/>
      <c r="G1204" s="2"/>
      <c r="H1204" s="2"/>
      <c r="I1204" s="5"/>
    </row>
    <row r="1205" spans="1:9" ht="17.399999999999999" x14ac:dyDescent="0.25">
      <c r="A1205" s="16"/>
      <c r="B1205" s="17"/>
      <c r="C1205" s="2"/>
      <c r="D1205" s="2"/>
      <c r="E1205" s="2"/>
      <c r="F1205" s="2"/>
      <c r="G1205" s="2"/>
      <c r="H1205" s="2"/>
      <c r="I1205" s="5"/>
    </row>
    <row r="1206" spans="1:9" ht="17.399999999999999" x14ac:dyDescent="0.25">
      <c r="A1206" s="16"/>
      <c r="B1206" s="17"/>
      <c r="C1206" s="2"/>
      <c r="D1206" s="2"/>
      <c r="E1206" s="2"/>
      <c r="F1206" s="2"/>
      <c r="G1206" s="2"/>
      <c r="H1206" s="2"/>
      <c r="I1206" s="5"/>
    </row>
    <row r="1207" spans="1:9" ht="17.399999999999999" x14ac:dyDescent="0.25">
      <c r="A1207" s="16"/>
      <c r="B1207" s="17"/>
      <c r="C1207" s="2"/>
      <c r="D1207" s="2"/>
      <c r="E1207" s="2"/>
      <c r="F1207" s="2"/>
      <c r="G1207" s="2"/>
      <c r="H1207" s="2"/>
      <c r="I1207" s="5"/>
    </row>
    <row r="1208" spans="1:9" ht="17.399999999999999" x14ac:dyDescent="0.25">
      <c r="A1208" s="16"/>
      <c r="B1208" s="17"/>
      <c r="C1208" s="2"/>
      <c r="D1208" s="2"/>
      <c r="E1208" s="2"/>
      <c r="F1208" s="2"/>
      <c r="G1208" s="2"/>
      <c r="H1208" s="2"/>
      <c r="I1208" s="5"/>
    </row>
    <row r="1209" spans="1:9" ht="17.399999999999999" x14ac:dyDescent="0.25">
      <c r="A1209" s="16"/>
      <c r="B1209" s="17"/>
      <c r="C1209" s="2"/>
      <c r="D1209" s="2"/>
      <c r="E1209" s="2"/>
      <c r="F1209" s="2"/>
      <c r="G1209" s="2"/>
      <c r="H1209" s="2"/>
      <c r="I1209" s="5"/>
    </row>
    <row r="1210" spans="1:9" ht="17.399999999999999" x14ac:dyDescent="0.25">
      <c r="A1210" s="16"/>
      <c r="B1210" s="17"/>
      <c r="C1210" s="2"/>
      <c r="D1210" s="2"/>
      <c r="E1210" s="2"/>
      <c r="F1210" s="2"/>
      <c r="G1210" s="2"/>
      <c r="H1210" s="2"/>
      <c r="I1210" s="5"/>
    </row>
    <row r="1211" spans="1:9" ht="17.399999999999999" x14ac:dyDescent="0.25">
      <c r="A1211" s="16"/>
      <c r="B1211" s="17"/>
      <c r="C1211" s="2"/>
      <c r="D1211" s="2"/>
      <c r="E1211" s="2"/>
      <c r="F1211" s="2"/>
      <c r="G1211" s="2"/>
      <c r="H1211" s="2"/>
      <c r="I1211" s="5"/>
    </row>
    <row r="1212" spans="1:9" ht="17.399999999999999" x14ac:dyDescent="0.25">
      <c r="A1212" s="16"/>
      <c r="B1212" s="17"/>
      <c r="C1212" s="2"/>
      <c r="D1212" s="2"/>
      <c r="E1212" s="2"/>
      <c r="F1212" s="2"/>
      <c r="G1212" s="2"/>
      <c r="H1212" s="2"/>
      <c r="I1212" s="5"/>
    </row>
    <row r="1213" spans="1:9" ht="17.399999999999999" x14ac:dyDescent="0.25">
      <c r="A1213" s="16"/>
      <c r="B1213" s="17"/>
      <c r="C1213" s="2"/>
      <c r="D1213" s="2"/>
      <c r="E1213" s="2"/>
      <c r="F1213" s="2"/>
      <c r="G1213" s="2"/>
      <c r="H1213" s="2"/>
      <c r="I1213" s="5"/>
    </row>
    <row r="1214" spans="1:9" ht="17.399999999999999" x14ac:dyDescent="0.25">
      <c r="A1214" s="16"/>
      <c r="B1214" s="17"/>
      <c r="C1214" s="2"/>
      <c r="D1214" s="2"/>
      <c r="E1214" s="2"/>
      <c r="F1214" s="2"/>
      <c r="G1214" s="2"/>
      <c r="H1214" s="2"/>
      <c r="I1214" s="5"/>
    </row>
    <row r="1215" spans="1:9" ht="17.399999999999999" x14ac:dyDescent="0.25">
      <c r="A1215" s="16"/>
      <c r="B1215" s="17"/>
      <c r="C1215" s="2"/>
      <c r="D1215" s="2"/>
      <c r="E1215" s="2"/>
      <c r="F1215" s="2"/>
      <c r="G1215" s="2"/>
      <c r="H1215" s="2"/>
      <c r="I1215" s="5"/>
    </row>
    <row r="1216" spans="1:9" ht="17.399999999999999" x14ac:dyDescent="0.25">
      <c r="A1216" s="16"/>
      <c r="B1216" s="17"/>
      <c r="C1216" s="2"/>
      <c r="D1216" s="2"/>
      <c r="E1216" s="2"/>
      <c r="F1216" s="2"/>
      <c r="G1216" s="2"/>
      <c r="H1216" s="2"/>
      <c r="I1216" s="5"/>
    </row>
    <row r="1217" spans="1:9" ht="17.399999999999999" x14ac:dyDescent="0.25">
      <c r="A1217" s="16"/>
      <c r="B1217" s="17"/>
      <c r="C1217" s="2"/>
      <c r="D1217" s="2"/>
      <c r="E1217" s="2"/>
      <c r="F1217" s="2"/>
      <c r="G1217" s="2"/>
      <c r="H1217" s="2"/>
      <c r="I1217" s="5"/>
    </row>
    <row r="1218" spans="1:9" ht="17.399999999999999" x14ac:dyDescent="0.25">
      <c r="A1218" s="16"/>
      <c r="B1218" s="17"/>
      <c r="C1218" s="2"/>
      <c r="D1218" s="2"/>
      <c r="E1218" s="2"/>
      <c r="F1218" s="2"/>
      <c r="G1218" s="2"/>
      <c r="H1218" s="2"/>
      <c r="I1218" s="5"/>
    </row>
    <row r="1219" spans="1:9" ht="17.399999999999999" x14ac:dyDescent="0.25">
      <c r="A1219" s="16"/>
      <c r="B1219" s="17"/>
      <c r="C1219" s="2"/>
      <c r="D1219" s="2"/>
      <c r="E1219" s="2"/>
      <c r="F1219" s="2"/>
      <c r="G1219" s="2"/>
      <c r="H1219" s="2"/>
      <c r="I1219" s="5"/>
    </row>
    <row r="1220" spans="1:9" ht="17.399999999999999" x14ac:dyDescent="0.25">
      <c r="A1220" s="16"/>
      <c r="B1220" s="17"/>
      <c r="C1220" s="2"/>
      <c r="D1220" s="2"/>
      <c r="E1220" s="2"/>
      <c r="F1220" s="2"/>
      <c r="G1220" s="2"/>
      <c r="H1220" s="2"/>
      <c r="I1220" s="5"/>
    </row>
    <row r="1221" spans="1:9" ht="17.399999999999999" x14ac:dyDescent="0.25">
      <c r="A1221" s="16"/>
      <c r="B1221" s="17"/>
      <c r="C1221" s="2"/>
      <c r="D1221" s="2"/>
      <c r="E1221" s="2"/>
      <c r="F1221" s="2"/>
      <c r="G1221" s="2"/>
      <c r="H1221" s="2"/>
      <c r="I1221" s="5"/>
    </row>
    <row r="1222" spans="1:9" ht="17.399999999999999" x14ac:dyDescent="0.25">
      <c r="A1222" s="16"/>
      <c r="B1222" s="17"/>
      <c r="C1222" s="2"/>
      <c r="D1222" s="2"/>
      <c r="E1222" s="2"/>
      <c r="F1222" s="2"/>
      <c r="G1222" s="2"/>
      <c r="H1222" s="2"/>
      <c r="I1222" s="5"/>
    </row>
    <row r="1223" spans="1:9" ht="17.399999999999999" x14ac:dyDescent="0.25">
      <c r="A1223" s="16"/>
      <c r="B1223" s="17"/>
      <c r="C1223" s="2"/>
      <c r="D1223" s="2"/>
      <c r="E1223" s="2"/>
      <c r="F1223" s="2"/>
      <c r="G1223" s="2"/>
      <c r="H1223" s="2"/>
      <c r="I1223" s="5"/>
    </row>
    <row r="1224" spans="1:9" ht="17.399999999999999" x14ac:dyDescent="0.25">
      <c r="A1224" s="16"/>
      <c r="B1224" s="17"/>
      <c r="C1224" s="2"/>
      <c r="D1224" s="2"/>
      <c r="E1224" s="2"/>
      <c r="F1224" s="2"/>
      <c r="G1224" s="2"/>
      <c r="H1224" s="2"/>
      <c r="I1224" s="5"/>
    </row>
    <row r="1225" spans="1:9" ht="17.399999999999999" x14ac:dyDescent="0.25">
      <c r="A1225" s="16"/>
      <c r="B1225" s="17"/>
      <c r="C1225" s="2"/>
      <c r="D1225" s="2"/>
      <c r="E1225" s="2"/>
      <c r="F1225" s="2"/>
      <c r="G1225" s="2"/>
      <c r="H1225" s="2"/>
      <c r="I1225" s="5"/>
    </row>
    <row r="1226" spans="1:9" ht="17.399999999999999" x14ac:dyDescent="0.25">
      <c r="A1226" s="16"/>
      <c r="B1226" s="17"/>
      <c r="C1226" s="2"/>
      <c r="D1226" s="2"/>
      <c r="E1226" s="2"/>
      <c r="F1226" s="2"/>
      <c r="G1226" s="2"/>
      <c r="H1226" s="2"/>
      <c r="I1226" s="5"/>
    </row>
    <row r="1227" spans="1:9" ht="17.399999999999999" x14ac:dyDescent="0.25">
      <c r="A1227" s="16"/>
      <c r="B1227" s="17"/>
      <c r="C1227" s="2"/>
      <c r="D1227" s="2"/>
      <c r="E1227" s="2"/>
      <c r="F1227" s="2"/>
      <c r="G1227" s="2"/>
      <c r="H1227" s="2"/>
      <c r="I1227" s="5"/>
    </row>
    <row r="1228" spans="1:9" ht="17.399999999999999" x14ac:dyDescent="0.25">
      <c r="A1228" s="16"/>
      <c r="B1228" s="17"/>
      <c r="C1228" s="2"/>
      <c r="D1228" s="2"/>
      <c r="E1228" s="2"/>
      <c r="F1228" s="2"/>
      <c r="G1228" s="2"/>
      <c r="H1228" s="2"/>
      <c r="I1228" s="5"/>
    </row>
    <row r="1229" spans="1:9" ht="17.399999999999999" x14ac:dyDescent="0.25">
      <c r="A1229" s="16"/>
      <c r="B1229" s="17"/>
      <c r="C1229" s="2"/>
      <c r="D1229" s="2"/>
      <c r="E1229" s="2"/>
      <c r="F1229" s="2"/>
      <c r="G1229" s="2"/>
      <c r="H1229" s="2"/>
      <c r="I1229" s="5"/>
    </row>
    <row r="1230" spans="1:9" ht="17.399999999999999" x14ac:dyDescent="0.25">
      <c r="A1230" s="16"/>
      <c r="B1230" s="17"/>
      <c r="C1230" s="2"/>
      <c r="D1230" s="2"/>
      <c r="E1230" s="2"/>
      <c r="F1230" s="2"/>
      <c r="G1230" s="2"/>
      <c r="H1230" s="2"/>
      <c r="I1230" s="5"/>
    </row>
    <row r="1231" spans="1:9" ht="17.399999999999999" x14ac:dyDescent="0.25">
      <c r="A1231" s="16"/>
      <c r="B1231" s="17"/>
      <c r="C1231" s="2"/>
      <c r="D1231" s="2"/>
      <c r="E1231" s="2"/>
      <c r="F1231" s="2"/>
      <c r="G1231" s="2"/>
      <c r="H1231" s="2"/>
      <c r="I1231" s="5"/>
    </row>
    <row r="1232" spans="1:9" ht="17.399999999999999" x14ac:dyDescent="0.25">
      <c r="A1232" s="16"/>
      <c r="B1232" s="17"/>
      <c r="C1232" s="2"/>
      <c r="D1232" s="2"/>
      <c r="E1232" s="2"/>
      <c r="F1232" s="2"/>
      <c r="G1232" s="2"/>
      <c r="H1232" s="2"/>
      <c r="I1232" s="5"/>
    </row>
    <row r="1233" spans="1:9" ht="17.399999999999999" x14ac:dyDescent="0.25">
      <c r="A1233" s="16"/>
      <c r="B1233" s="17"/>
      <c r="C1233" s="2"/>
      <c r="D1233" s="2"/>
      <c r="E1233" s="2"/>
      <c r="F1233" s="2"/>
      <c r="G1233" s="2"/>
      <c r="H1233" s="2"/>
      <c r="I1233" s="5"/>
    </row>
    <row r="1234" spans="1:9" ht="17.399999999999999" x14ac:dyDescent="0.25">
      <c r="A1234" s="16"/>
      <c r="B1234" s="17"/>
      <c r="C1234" s="2"/>
      <c r="D1234" s="2"/>
      <c r="E1234" s="2"/>
      <c r="F1234" s="2"/>
      <c r="G1234" s="2"/>
      <c r="H1234" s="2"/>
      <c r="I1234" s="5"/>
    </row>
    <row r="1235" spans="1:9" ht="17.399999999999999" x14ac:dyDescent="0.25">
      <c r="A1235" s="16"/>
      <c r="B1235" s="17"/>
      <c r="C1235" s="2"/>
      <c r="D1235" s="2"/>
      <c r="E1235" s="2"/>
      <c r="F1235" s="2"/>
      <c r="G1235" s="2"/>
      <c r="H1235" s="2"/>
      <c r="I1235" s="5"/>
    </row>
    <row r="1236" spans="1:9" ht="17.399999999999999" x14ac:dyDescent="0.25">
      <c r="A1236" s="16"/>
      <c r="B1236" s="17"/>
      <c r="C1236" s="2"/>
      <c r="D1236" s="2"/>
      <c r="E1236" s="2"/>
      <c r="F1236" s="2"/>
      <c r="G1236" s="2"/>
      <c r="H1236" s="2"/>
      <c r="I1236" s="5"/>
    </row>
    <row r="1237" spans="1:9" ht="17.399999999999999" x14ac:dyDescent="0.25">
      <c r="A1237" s="16"/>
      <c r="B1237" s="17"/>
      <c r="C1237" s="2"/>
      <c r="D1237" s="2"/>
      <c r="E1237" s="2"/>
      <c r="F1237" s="2"/>
      <c r="G1237" s="2"/>
      <c r="H1237" s="2"/>
      <c r="I1237" s="5"/>
    </row>
    <row r="1238" spans="1:9" ht="17.399999999999999" x14ac:dyDescent="0.25">
      <c r="A1238" s="16"/>
      <c r="B1238" s="17"/>
      <c r="C1238" s="2"/>
      <c r="D1238" s="2"/>
      <c r="E1238" s="2"/>
      <c r="F1238" s="2"/>
      <c r="G1238" s="2"/>
      <c r="H1238" s="2"/>
      <c r="I1238" s="5"/>
    </row>
    <row r="1239" spans="1:9" ht="17.399999999999999" x14ac:dyDescent="0.25">
      <c r="A1239" s="16"/>
      <c r="B1239" s="17"/>
      <c r="C1239" s="2"/>
      <c r="D1239" s="2"/>
      <c r="E1239" s="2"/>
      <c r="F1239" s="2"/>
      <c r="G1239" s="2"/>
      <c r="H1239" s="2"/>
      <c r="I1239" s="5"/>
    </row>
    <row r="1240" spans="1:9" ht="17.399999999999999" x14ac:dyDescent="0.25">
      <c r="A1240" s="16"/>
      <c r="B1240" s="17"/>
      <c r="C1240" s="2"/>
      <c r="D1240" s="2"/>
      <c r="E1240" s="2"/>
      <c r="F1240" s="2"/>
      <c r="G1240" s="2"/>
      <c r="H1240" s="2"/>
      <c r="I1240" s="5"/>
    </row>
    <row r="1241" spans="1:9" ht="17.399999999999999" x14ac:dyDescent="0.25">
      <c r="A1241" s="16"/>
      <c r="B1241" s="17"/>
      <c r="C1241" s="2"/>
      <c r="D1241" s="2"/>
      <c r="E1241" s="2"/>
      <c r="F1241" s="2"/>
      <c r="G1241" s="2"/>
      <c r="H1241" s="2"/>
      <c r="I1241" s="5"/>
    </row>
    <row r="1242" spans="1:9" ht="17.399999999999999" x14ac:dyDescent="0.25">
      <c r="A1242" s="16"/>
      <c r="B1242" s="17"/>
      <c r="C1242" s="2"/>
      <c r="D1242" s="2"/>
      <c r="E1242" s="2"/>
      <c r="F1242" s="2"/>
      <c r="G1242" s="2"/>
      <c r="H1242" s="2"/>
      <c r="I1242" s="5"/>
    </row>
    <row r="1243" spans="1:9" ht="17.399999999999999" x14ac:dyDescent="0.25">
      <c r="A1243" s="16"/>
      <c r="B1243" s="17"/>
      <c r="C1243" s="2"/>
      <c r="D1243" s="2"/>
      <c r="E1243" s="2"/>
      <c r="F1243" s="2"/>
      <c r="G1243" s="2"/>
      <c r="H1243" s="2"/>
      <c r="I1243" s="5"/>
    </row>
    <row r="1244" spans="1:9" ht="17.399999999999999" x14ac:dyDescent="0.25">
      <c r="A1244" s="16"/>
      <c r="B1244" s="17"/>
      <c r="C1244" s="2"/>
      <c r="D1244" s="2"/>
      <c r="E1244" s="2"/>
      <c r="F1244" s="2"/>
      <c r="G1244" s="2"/>
      <c r="H1244" s="2"/>
      <c r="I1244" s="5"/>
    </row>
    <row r="1245" spans="1:9" ht="17.399999999999999" x14ac:dyDescent="0.25">
      <c r="A1245" s="16"/>
      <c r="B1245" s="17"/>
      <c r="C1245" s="2"/>
      <c r="D1245" s="2"/>
      <c r="E1245" s="2"/>
      <c r="F1245" s="2"/>
      <c r="G1245" s="2"/>
      <c r="H1245" s="2"/>
      <c r="I1245" s="5"/>
    </row>
    <row r="1246" spans="1:9" ht="17.399999999999999" x14ac:dyDescent="0.25">
      <c r="A1246" s="16"/>
      <c r="B1246" s="17"/>
      <c r="C1246" s="2"/>
      <c r="D1246" s="2"/>
      <c r="E1246" s="2"/>
      <c r="F1246" s="2"/>
      <c r="G1246" s="2"/>
      <c r="H1246" s="2"/>
      <c r="I1246" s="5"/>
    </row>
    <row r="1247" spans="1:9" ht="17.399999999999999" x14ac:dyDescent="0.25">
      <c r="A1247" s="16"/>
      <c r="B1247" s="17"/>
      <c r="C1247" s="2"/>
      <c r="D1247" s="2"/>
      <c r="E1247" s="2"/>
      <c r="F1247" s="2"/>
      <c r="G1247" s="2"/>
      <c r="H1247" s="2"/>
      <c r="I1247" s="5"/>
    </row>
    <row r="1248" spans="1:9" ht="17.399999999999999" x14ac:dyDescent="0.25">
      <c r="A1248" s="16"/>
      <c r="B1248" s="17"/>
      <c r="C1248" s="2"/>
      <c r="D1248" s="2"/>
      <c r="E1248" s="2"/>
      <c r="F1248" s="2"/>
      <c r="G1248" s="2"/>
      <c r="H1248" s="2"/>
      <c r="I1248" s="5"/>
    </row>
    <row r="1249" spans="1:9" ht="17.399999999999999" x14ac:dyDescent="0.25">
      <c r="A1249" s="16"/>
      <c r="B1249" s="17"/>
      <c r="C1249" s="2"/>
      <c r="D1249" s="2"/>
      <c r="E1249" s="2"/>
      <c r="F1249" s="2"/>
      <c r="G1249" s="2"/>
      <c r="H1249" s="2"/>
      <c r="I1249" s="5"/>
    </row>
    <row r="1250" spans="1:9" ht="17.399999999999999" x14ac:dyDescent="0.25">
      <c r="A1250" s="16"/>
      <c r="B1250" s="17"/>
      <c r="C1250" s="2"/>
      <c r="D1250" s="2"/>
      <c r="E1250" s="2"/>
      <c r="F1250" s="2"/>
      <c r="G1250" s="2"/>
      <c r="H1250" s="2"/>
      <c r="I1250" s="5"/>
    </row>
    <row r="1251" spans="1:9" ht="17.399999999999999" x14ac:dyDescent="0.25">
      <c r="A1251" s="16"/>
      <c r="B1251" s="17"/>
      <c r="C1251" s="2"/>
      <c r="D1251" s="2"/>
      <c r="E1251" s="2"/>
      <c r="F1251" s="2"/>
      <c r="G1251" s="2"/>
      <c r="H1251" s="2"/>
      <c r="I1251" s="5"/>
    </row>
    <row r="1252" spans="1:9" ht="17.399999999999999" x14ac:dyDescent="0.25">
      <c r="A1252" s="16"/>
      <c r="B1252" s="17"/>
      <c r="C1252" s="2"/>
      <c r="D1252" s="2"/>
      <c r="E1252" s="2"/>
      <c r="F1252" s="2"/>
      <c r="G1252" s="2"/>
      <c r="H1252" s="2"/>
      <c r="I1252" s="5"/>
    </row>
    <row r="1253" spans="1:9" ht="17.399999999999999" x14ac:dyDescent="0.25">
      <c r="A1253" s="16"/>
      <c r="B1253" s="17"/>
      <c r="C1253" s="2"/>
      <c r="D1253" s="2"/>
      <c r="E1253" s="2"/>
      <c r="F1253" s="2"/>
      <c r="G1253" s="2"/>
      <c r="H1253" s="2"/>
      <c r="I1253" s="5"/>
    </row>
    <row r="1254" spans="1:9" ht="17.399999999999999" x14ac:dyDescent="0.25">
      <c r="A1254" s="16"/>
      <c r="B1254" s="17"/>
      <c r="C1254" s="2"/>
      <c r="D1254" s="2"/>
      <c r="E1254" s="2"/>
      <c r="F1254" s="2"/>
      <c r="G1254" s="2"/>
      <c r="H1254" s="2"/>
      <c r="I1254" s="5"/>
    </row>
    <row r="1255" spans="1:9" ht="17.399999999999999" x14ac:dyDescent="0.25">
      <c r="A1255" s="16"/>
      <c r="B1255" s="17"/>
      <c r="C1255" s="2"/>
      <c r="D1255" s="2"/>
      <c r="E1255" s="2"/>
      <c r="F1255" s="2"/>
      <c r="G1255" s="2"/>
      <c r="H1255" s="2"/>
      <c r="I1255" s="5"/>
    </row>
    <row r="1256" spans="1:9" ht="17.399999999999999" x14ac:dyDescent="0.25">
      <c r="A1256" s="16"/>
      <c r="B1256" s="17"/>
      <c r="C1256" s="2"/>
      <c r="D1256" s="2"/>
      <c r="E1256" s="2"/>
      <c r="F1256" s="2"/>
      <c r="G1256" s="2"/>
      <c r="H1256" s="2"/>
      <c r="I1256" s="5"/>
    </row>
    <row r="1257" spans="1:9" ht="17.399999999999999" x14ac:dyDescent="0.25">
      <c r="A1257" s="16"/>
      <c r="B1257" s="17"/>
      <c r="C1257" s="2"/>
      <c r="D1257" s="2"/>
      <c r="E1257" s="2"/>
      <c r="F1257" s="2"/>
      <c r="G1257" s="2"/>
      <c r="H1257" s="2"/>
      <c r="I1257" s="5"/>
    </row>
    <row r="1258" spans="1:9" ht="17.399999999999999" x14ac:dyDescent="0.25">
      <c r="A1258" s="16"/>
      <c r="B1258" s="17"/>
      <c r="C1258" s="2"/>
      <c r="D1258" s="2"/>
      <c r="E1258" s="2"/>
      <c r="F1258" s="2"/>
      <c r="G1258" s="2"/>
      <c r="H1258" s="2"/>
      <c r="I1258" s="5"/>
    </row>
    <row r="1259" spans="1:9" ht="17.399999999999999" x14ac:dyDescent="0.25">
      <c r="A1259" s="16"/>
      <c r="B1259" s="17"/>
      <c r="C1259" s="2"/>
      <c r="D1259" s="2"/>
      <c r="E1259" s="2"/>
      <c r="F1259" s="2"/>
      <c r="G1259" s="2"/>
      <c r="H1259" s="2"/>
      <c r="I1259" s="5"/>
    </row>
    <row r="1260" spans="1:9" ht="17.399999999999999" x14ac:dyDescent="0.25">
      <c r="A1260" s="16"/>
      <c r="B1260" s="17"/>
      <c r="C1260" s="2"/>
      <c r="D1260" s="2"/>
      <c r="E1260" s="2"/>
      <c r="F1260" s="2"/>
      <c r="G1260" s="2"/>
      <c r="H1260" s="2"/>
      <c r="I1260" s="5"/>
    </row>
    <row r="1261" spans="1:9" ht="17.399999999999999" x14ac:dyDescent="0.25">
      <c r="A1261" s="16"/>
      <c r="B1261" s="17"/>
      <c r="C1261" s="2"/>
      <c r="D1261" s="2"/>
      <c r="E1261" s="2"/>
      <c r="F1261" s="2"/>
      <c r="G1261" s="2"/>
      <c r="H1261" s="2"/>
      <c r="I1261" s="5"/>
    </row>
    <row r="1262" spans="1:9" ht="17.399999999999999" x14ac:dyDescent="0.25">
      <c r="A1262" s="16"/>
      <c r="B1262" s="17"/>
      <c r="C1262" s="2"/>
      <c r="D1262" s="2"/>
      <c r="E1262" s="2"/>
      <c r="F1262" s="2"/>
      <c r="G1262" s="2"/>
      <c r="H1262" s="2"/>
      <c r="I1262" s="5"/>
    </row>
    <row r="1263" spans="1:9" ht="17.399999999999999" x14ac:dyDescent="0.25">
      <c r="A1263" s="16"/>
      <c r="B1263" s="17"/>
      <c r="C1263" s="2"/>
      <c r="D1263" s="2"/>
      <c r="E1263" s="2"/>
      <c r="F1263" s="2"/>
      <c r="G1263" s="2"/>
      <c r="H1263" s="2"/>
      <c r="I1263" s="5"/>
    </row>
    <row r="1264" spans="1:9" ht="17.399999999999999" x14ac:dyDescent="0.25">
      <c r="A1264" s="16"/>
      <c r="B1264" s="17"/>
      <c r="C1264" s="2"/>
      <c r="D1264" s="2"/>
      <c r="E1264" s="2"/>
      <c r="F1264" s="2"/>
      <c r="G1264" s="2"/>
      <c r="H1264" s="2"/>
      <c r="I1264" s="5"/>
    </row>
    <row r="1265" spans="1:9" ht="17.399999999999999" x14ac:dyDescent="0.25">
      <c r="A1265" s="16"/>
      <c r="B1265" s="17"/>
      <c r="C1265" s="2"/>
      <c r="D1265" s="2"/>
      <c r="E1265" s="2"/>
      <c r="F1265" s="2"/>
      <c r="G1265" s="2"/>
      <c r="H1265" s="2"/>
      <c r="I1265" s="5"/>
    </row>
    <row r="1266" spans="1:9" ht="17.399999999999999" x14ac:dyDescent="0.25">
      <c r="A1266" s="16"/>
      <c r="B1266" s="17"/>
      <c r="C1266" s="2"/>
      <c r="D1266" s="2"/>
      <c r="E1266" s="2"/>
      <c r="F1266" s="2"/>
      <c r="G1266" s="2"/>
      <c r="H1266" s="2"/>
      <c r="I1266" s="5"/>
    </row>
    <row r="1267" spans="1:9" ht="17.399999999999999" x14ac:dyDescent="0.25">
      <c r="A1267" s="16"/>
      <c r="B1267" s="17"/>
      <c r="C1267" s="2"/>
      <c r="D1267" s="2"/>
      <c r="E1267" s="2"/>
      <c r="F1267" s="2"/>
      <c r="G1267" s="2"/>
      <c r="H1267" s="2"/>
      <c r="I1267" s="5"/>
    </row>
    <row r="1268" spans="1:9" ht="17.399999999999999" x14ac:dyDescent="0.25">
      <c r="A1268" s="16"/>
      <c r="B1268" s="17"/>
      <c r="C1268" s="2"/>
      <c r="D1268" s="2"/>
      <c r="E1268" s="2"/>
      <c r="F1268" s="2"/>
      <c r="G1268" s="2"/>
      <c r="H1268" s="2"/>
      <c r="I1268" s="5"/>
    </row>
    <row r="1269" spans="1:9" ht="17.399999999999999" x14ac:dyDescent="0.25">
      <c r="A1269" s="16"/>
      <c r="B1269" s="17"/>
      <c r="C1269" s="2"/>
      <c r="D1269" s="2"/>
      <c r="E1269" s="2"/>
      <c r="F1269" s="2"/>
      <c r="G1269" s="2"/>
      <c r="H1269" s="2"/>
      <c r="I1269" s="5"/>
    </row>
    <row r="1270" spans="1:9" ht="17.399999999999999" x14ac:dyDescent="0.25">
      <c r="A1270" s="16"/>
      <c r="B1270" s="17"/>
      <c r="C1270" s="2"/>
      <c r="D1270" s="2"/>
      <c r="E1270" s="2"/>
      <c r="F1270" s="2"/>
      <c r="G1270" s="2"/>
      <c r="H1270" s="2"/>
      <c r="I1270" s="5"/>
    </row>
    <row r="1271" spans="1:9" ht="17.399999999999999" x14ac:dyDescent="0.25">
      <c r="A1271" s="16"/>
      <c r="B1271" s="17"/>
      <c r="C1271" s="2"/>
      <c r="D1271" s="2"/>
      <c r="E1271" s="2"/>
      <c r="F1271" s="2"/>
      <c r="G1271" s="2"/>
      <c r="H1271" s="2"/>
      <c r="I1271" s="5"/>
    </row>
    <row r="1272" spans="1:9" ht="17.399999999999999" x14ac:dyDescent="0.25">
      <c r="A1272" s="16"/>
      <c r="B1272" s="17"/>
      <c r="C1272" s="2"/>
      <c r="D1272" s="2"/>
      <c r="E1272" s="2"/>
      <c r="F1272" s="2"/>
      <c r="G1272" s="2"/>
      <c r="H1272" s="2"/>
      <c r="I1272" s="5"/>
    </row>
    <row r="1273" spans="1:9" ht="17.399999999999999" x14ac:dyDescent="0.25">
      <c r="A1273" s="16"/>
      <c r="B1273" s="17"/>
      <c r="C1273" s="2"/>
      <c r="D1273" s="2"/>
      <c r="E1273" s="2"/>
      <c r="F1273" s="2"/>
      <c r="G1273" s="2"/>
      <c r="H1273" s="2"/>
      <c r="I1273" s="5"/>
    </row>
    <row r="1274" spans="1:9" ht="17.399999999999999" x14ac:dyDescent="0.25">
      <c r="A1274" s="16"/>
      <c r="B1274" s="17"/>
      <c r="C1274" s="2"/>
      <c r="D1274" s="2"/>
      <c r="E1274" s="2"/>
      <c r="F1274" s="2"/>
      <c r="G1274" s="2"/>
      <c r="H1274" s="2"/>
      <c r="I1274" s="5"/>
    </row>
    <row r="1275" spans="1:9" ht="17.399999999999999" x14ac:dyDescent="0.25">
      <c r="A1275" s="16"/>
      <c r="B1275" s="17"/>
      <c r="C1275" s="2"/>
      <c r="D1275" s="2"/>
      <c r="E1275" s="2"/>
      <c r="F1275" s="2"/>
      <c r="G1275" s="2"/>
      <c r="H1275" s="2"/>
      <c r="I1275" s="5"/>
    </row>
    <row r="1276" spans="1:9" ht="17.399999999999999" x14ac:dyDescent="0.25">
      <c r="A1276" s="16"/>
      <c r="B1276" s="17"/>
      <c r="C1276" s="2"/>
      <c r="D1276" s="2"/>
      <c r="E1276" s="2"/>
      <c r="F1276" s="2"/>
      <c r="G1276" s="2"/>
      <c r="H1276" s="2"/>
      <c r="I1276" s="5"/>
    </row>
    <row r="1277" spans="1:9" ht="17.399999999999999" x14ac:dyDescent="0.25">
      <c r="A1277" s="16"/>
      <c r="B1277" s="17"/>
      <c r="C1277" s="2"/>
      <c r="D1277" s="2"/>
      <c r="E1277" s="2"/>
      <c r="F1277" s="2"/>
      <c r="G1277" s="2"/>
      <c r="H1277" s="2"/>
      <c r="I1277" s="5"/>
    </row>
    <row r="1278" spans="1:9" ht="17.399999999999999" x14ac:dyDescent="0.25">
      <c r="A1278" s="16"/>
      <c r="B1278" s="17"/>
      <c r="C1278" s="2"/>
      <c r="D1278" s="2"/>
      <c r="E1278" s="2"/>
      <c r="F1278" s="2"/>
      <c r="G1278" s="2"/>
      <c r="H1278" s="2"/>
      <c r="I1278" s="5"/>
    </row>
    <row r="1279" spans="1:9" ht="17.399999999999999" x14ac:dyDescent="0.25">
      <c r="A1279" s="16"/>
      <c r="B1279" s="17"/>
      <c r="C1279" s="2"/>
      <c r="D1279" s="2"/>
      <c r="E1279" s="2"/>
      <c r="F1279" s="2"/>
      <c r="G1279" s="2"/>
      <c r="H1279" s="2"/>
      <c r="I1279" s="5"/>
    </row>
    <row r="1280" spans="1:9" ht="17.399999999999999" x14ac:dyDescent="0.25">
      <c r="A1280" s="16"/>
      <c r="B1280" s="17"/>
      <c r="C1280" s="2"/>
      <c r="D1280" s="2"/>
      <c r="E1280" s="2"/>
      <c r="F1280" s="2"/>
      <c r="G1280" s="2"/>
      <c r="H1280" s="2"/>
      <c r="I1280" s="5"/>
    </row>
    <row r="1281" spans="1:9" ht="17.399999999999999" x14ac:dyDescent="0.25">
      <c r="A1281" s="16"/>
      <c r="B1281" s="17"/>
      <c r="C1281" s="2"/>
      <c r="D1281" s="2"/>
      <c r="E1281" s="2"/>
      <c r="F1281" s="2"/>
      <c r="G1281" s="2"/>
      <c r="H1281" s="2"/>
      <c r="I1281" s="5"/>
    </row>
    <row r="1282" spans="1:9" ht="17.399999999999999" x14ac:dyDescent="0.25">
      <c r="A1282" s="16"/>
      <c r="B1282" s="17"/>
      <c r="C1282" s="2"/>
      <c r="D1282" s="2"/>
      <c r="E1282" s="2"/>
      <c r="F1282" s="2"/>
      <c r="G1282" s="2"/>
      <c r="H1282" s="2"/>
      <c r="I1282" s="5"/>
    </row>
    <row r="1283" spans="1:9" ht="17.399999999999999" x14ac:dyDescent="0.25">
      <c r="A1283" s="16"/>
      <c r="B1283" s="17"/>
      <c r="C1283" s="2"/>
      <c r="D1283" s="2"/>
      <c r="E1283" s="2"/>
      <c r="F1283" s="2"/>
      <c r="G1283" s="2"/>
      <c r="H1283" s="2"/>
      <c r="I1283" s="5"/>
    </row>
    <row r="1284" spans="1:9" ht="17.399999999999999" x14ac:dyDescent="0.25">
      <c r="A1284" s="16"/>
      <c r="B1284" s="17"/>
      <c r="C1284" s="2"/>
      <c r="D1284" s="2"/>
      <c r="E1284" s="2"/>
      <c r="F1284" s="2"/>
      <c r="G1284" s="2"/>
      <c r="H1284" s="2"/>
      <c r="I1284" s="5"/>
    </row>
    <row r="1285" spans="1:9" ht="17.399999999999999" x14ac:dyDescent="0.25">
      <c r="A1285" s="16"/>
      <c r="B1285" s="17"/>
      <c r="C1285" s="2"/>
      <c r="D1285" s="2"/>
      <c r="E1285" s="2"/>
      <c r="F1285" s="2"/>
      <c r="G1285" s="2"/>
      <c r="H1285" s="2"/>
      <c r="I1285" s="5"/>
    </row>
    <row r="1286" spans="1:9" ht="17.399999999999999" x14ac:dyDescent="0.25">
      <c r="A1286" s="16"/>
      <c r="B1286" s="17"/>
      <c r="C1286" s="2"/>
      <c r="D1286" s="2"/>
      <c r="E1286" s="2"/>
      <c r="F1286" s="2"/>
      <c r="G1286" s="2"/>
      <c r="H1286" s="2"/>
      <c r="I1286" s="5"/>
    </row>
    <row r="1287" spans="1:9" ht="17.399999999999999" x14ac:dyDescent="0.25">
      <c r="A1287" s="16"/>
      <c r="B1287" s="17"/>
      <c r="C1287" s="2"/>
      <c r="D1287" s="2"/>
      <c r="E1287" s="2"/>
      <c r="F1287" s="2"/>
      <c r="G1287" s="2"/>
      <c r="H1287" s="2"/>
      <c r="I1287" s="5"/>
    </row>
    <row r="1288" spans="1:9" ht="17.399999999999999" x14ac:dyDescent="0.25">
      <c r="A1288" s="16"/>
      <c r="B1288" s="17"/>
      <c r="C1288" s="2"/>
      <c r="D1288" s="2"/>
      <c r="E1288" s="2"/>
      <c r="F1288" s="2"/>
      <c r="G1288" s="2"/>
      <c r="H1288" s="2"/>
      <c r="I1288" s="5"/>
    </row>
    <row r="1289" spans="1:9" ht="17.399999999999999" x14ac:dyDescent="0.25">
      <c r="A1289" s="16"/>
      <c r="B1289" s="17"/>
      <c r="C1289" s="2"/>
      <c r="D1289" s="2"/>
      <c r="E1289" s="2"/>
      <c r="F1289" s="2"/>
      <c r="G1289" s="2"/>
      <c r="H1289" s="2"/>
      <c r="I1289" s="5"/>
    </row>
    <row r="1290" spans="1:9" ht="17.399999999999999" x14ac:dyDescent="0.25">
      <c r="A1290" s="16"/>
      <c r="B1290" s="17"/>
      <c r="C1290" s="2"/>
      <c r="D1290" s="2"/>
      <c r="E1290" s="2"/>
      <c r="F1290" s="2"/>
      <c r="G1290" s="2"/>
      <c r="H1290" s="2"/>
      <c r="I1290" s="5"/>
    </row>
    <row r="1291" spans="1:9" ht="17.399999999999999" x14ac:dyDescent="0.25">
      <c r="A1291" s="16"/>
      <c r="B1291" s="17"/>
      <c r="C1291" s="2"/>
      <c r="D1291" s="2"/>
      <c r="E1291" s="2"/>
      <c r="F1291" s="2"/>
      <c r="G1291" s="2"/>
      <c r="H1291" s="2"/>
      <c r="I1291" s="5"/>
    </row>
    <row r="1292" spans="1:9" ht="17.399999999999999" x14ac:dyDescent="0.25">
      <c r="A1292" s="16"/>
      <c r="B1292" s="17"/>
      <c r="C1292" s="2"/>
      <c r="D1292" s="2"/>
      <c r="E1292" s="2"/>
      <c r="F1292" s="2"/>
      <c r="G1292" s="2"/>
      <c r="H1292" s="2"/>
      <c r="I1292" s="5"/>
    </row>
    <row r="1293" spans="1:9" ht="17.399999999999999" x14ac:dyDescent="0.25">
      <c r="A1293" s="16"/>
      <c r="B1293" s="17"/>
      <c r="C1293" s="2"/>
      <c r="D1293" s="2"/>
      <c r="E1293" s="2"/>
      <c r="F1293" s="2"/>
      <c r="G1293" s="2"/>
      <c r="H1293" s="2"/>
      <c r="I1293" s="5"/>
    </row>
    <row r="1294" spans="1:9" ht="17.399999999999999" x14ac:dyDescent="0.25">
      <c r="A1294" s="16"/>
      <c r="B1294" s="17"/>
      <c r="C1294" s="2"/>
      <c r="D1294" s="2"/>
      <c r="E1294" s="2"/>
      <c r="F1294" s="2"/>
      <c r="G1294" s="2"/>
      <c r="H1294" s="2"/>
      <c r="I1294" s="5"/>
    </row>
    <row r="1295" spans="1:9" ht="17.399999999999999" x14ac:dyDescent="0.25">
      <c r="A1295" s="16"/>
      <c r="B1295" s="17"/>
      <c r="C1295" s="2"/>
      <c r="D1295" s="2"/>
      <c r="E1295" s="2"/>
      <c r="F1295" s="2"/>
      <c r="G1295" s="2"/>
      <c r="H1295" s="2"/>
      <c r="I1295" s="5"/>
    </row>
    <row r="1296" spans="1:9" ht="17.399999999999999" x14ac:dyDescent="0.25">
      <c r="A1296" s="16"/>
      <c r="B1296" s="17"/>
      <c r="C1296" s="2"/>
      <c r="D1296" s="2"/>
      <c r="E1296" s="2"/>
      <c r="F1296" s="2"/>
      <c r="G1296" s="2"/>
      <c r="H1296" s="2"/>
      <c r="I1296" s="5"/>
    </row>
    <row r="1297" spans="1:9" ht="17.399999999999999" x14ac:dyDescent="0.25">
      <c r="A1297" s="16"/>
      <c r="B1297" s="17"/>
      <c r="C1297" s="2"/>
      <c r="D1297" s="2"/>
      <c r="E1297" s="2"/>
      <c r="F1297" s="2"/>
      <c r="G1297" s="2"/>
      <c r="H1297" s="2"/>
      <c r="I1297" s="5"/>
    </row>
    <row r="1298" spans="1:9" ht="17.399999999999999" x14ac:dyDescent="0.25">
      <c r="A1298" s="16"/>
      <c r="B1298" s="17"/>
      <c r="C1298" s="2"/>
      <c r="D1298" s="2"/>
      <c r="E1298" s="2"/>
      <c r="F1298" s="2"/>
      <c r="G1298" s="2"/>
      <c r="H1298" s="2"/>
      <c r="I1298" s="5"/>
    </row>
    <row r="1299" spans="1:9" ht="17.399999999999999" x14ac:dyDescent="0.25">
      <c r="A1299" s="16"/>
      <c r="B1299" s="17"/>
      <c r="C1299" s="2"/>
      <c r="D1299" s="2"/>
      <c r="E1299" s="2"/>
      <c r="F1299" s="2"/>
      <c r="G1299" s="2"/>
      <c r="H1299" s="2"/>
      <c r="I1299" s="5"/>
    </row>
    <row r="1300" spans="1:9" ht="17.399999999999999" x14ac:dyDescent="0.25">
      <c r="A1300" s="16"/>
      <c r="B1300" s="17"/>
      <c r="C1300" s="2"/>
      <c r="D1300" s="2"/>
      <c r="E1300" s="2"/>
      <c r="F1300" s="2"/>
      <c r="G1300" s="2"/>
      <c r="H1300" s="2"/>
      <c r="I1300" s="5"/>
    </row>
    <row r="1301" spans="1:9" ht="17.399999999999999" x14ac:dyDescent="0.25">
      <c r="A1301" s="16"/>
      <c r="B1301" s="17"/>
      <c r="C1301" s="2"/>
      <c r="D1301" s="2"/>
      <c r="E1301" s="2"/>
      <c r="F1301" s="2"/>
      <c r="G1301" s="2"/>
      <c r="H1301" s="2"/>
      <c r="I1301" s="5"/>
    </row>
    <row r="1302" spans="1:9" ht="17.399999999999999" x14ac:dyDescent="0.25">
      <c r="A1302" s="16"/>
      <c r="B1302" s="17"/>
      <c r="C1302" s="2"/>
      <c r="D1302" s="2"/>
      <c r="E1302" s="2"/>
      <c r="F1302" s="2"/>
      <c r="G1302" s="2"/>
      <c r="H1302" s="2"/>
      <c r="I1302" s="5"/>
    </row>
    <row r="1303" spans="1:9" ht="17.399999999999999" x14ac:dyDescent="0.25">
      <c r="A1303" s="16"/>
      <c r="B1303" s="17"/>
      <c r="C1303" s="2"/>
      <c r="D1303" s="2"/>
      <c r="E1303" s="2"/>
      <c r="F1303" s="2"/>
      <c r="G1303" s="2"/>
      <c r="H1303" s="2"/>
      <c r="I1303" s="5"/>
    </row>
    <row r="1304" spans="1:9" ht="17.399999999999999" x14ac:dyDescent="0.25">
      <c r="A1304" s="16"/>
      <c r="B1304" s="17"/>
      <c r="C1304" s="2"/>
      <c r="D1304" s="2"/>
      <c r="E1304" s="2"/>
      <c r="F1304" s="2"/>
      <c r="G1304" s="2"/>
      <c r="H1304" s="2"/>
      <c r="I1304" s="5"/>
    </row>
    <row r="1305" spans="1:9" ht="17.399999999999999" x14ac:dyDescent="0.25">
      <c r="A1305" s="16"/>
      <c r="B1305" s="17"/>
      <c r="C1305" s="2"/>
      <c r="D1305" s="2"/>
      <c r="E1305" s="2"/>
      <c r="F1305" s="2"/>
      <c r="G1305" s="2"/>
      <c r="H1305" s="2"/>
      <c r="I1305" s="5"/>
    </row>
    <row r="1306" spans="1:9" ht="17.399999999999999" x14ac:dyDescent="0.25">
      <c r="A1306" s="16"/>
      <c r="B1306" s="17"/>
      <c r="C1306" s="2"/>
      <c r="D1306" s="2"/>
      <c r="E1306" s="2"/>
      <c r="F1306" s="2"/>
      <c r="G1306" s="2"/>
      <c r="H1306" s="2"/>
      <c r="I1306" s="5"/>
    </row>
    <row r="1307" spans="1:9" ht="17.399999999999999" x14ac:dyDescent="0.25">
      <c r="A1307" s="16"/>
      <c r="B1307" s="17"/>
      <c r="C1307" s="2"/>
      <c r="D1307" s="2"/>
      <c r="E1307" s="2"/>
      <c r="F1307" s="2"/>
      <c r="G1307" s="2"/>
      <c r="H1307" s="2"/>
      <c r="I1307" s="5"/>
    </row>
    <row r="1308" spans="1:9" ht="17.399999999999999" x14ac:dyDescent="0.25">
      <c r="A1308" s="16"/>
      <c r="B1308" s="17"/>
      <c r="C1308" s="2"/>
      <c r="D1308" s="2"/>
      <c r="E1308" s="2"/>
      <c r="F1308" s="2"/>
      <c r="G1308" s="2"/>
      <c r="H1308" s="2"/>
      <c r="I1308" s="5"/>
    </row>
    <row r="1309" spans="1:9" ht="17.399999999999999" x14ac:dyDescent="0.25">
      <c r="A1309" s="16"/>
      <c r="B1309" s="17"/>
      <c r="C1309" s="2"/>
      <c r="D1309" s="2"/>
      <c r="E1309" s="2"/>
      <c r="F1309" s="2"/>
      <c r="G1309" s="2"/>
      <c r="H1309" s="2"/>
      <c r="I1309" s="5"/>
    </row>
    <row r="1310" spans="1:9" ht="17.399999999999999" x14ac:dyDescent="0.25">
      <c r="A1310" s="16"/>
      <c r="B1310" s="17"/>
      <c r="C1310" s="2"/>
      <c r="D1310" s="2"/>
      <c r="E1310" s="2"/>
      <c r="F1310" s="2"/>
      <c r="G1310" s="2"/>
      <c r="H1310" s="2"/>
      <c r="I1310" s="5"/>
    </row>
    <row r="1311" spans="1:9" ht="17.399999999999999" x14ac:dyDescent="0.25">
      <c r="A1311" s="16"/>
      <c r="B1311" s="17"/>
      <c r="C1311" s="2"/>
      <c r="D1311" s="2"/>
      <c r="E1311" s="2"/>
      <c r="F1311" s="2"/>
      <c r="G1311" s="2"/>
      <c r="H1311" s="2"/>
      <c r="I1311" s="5"/>
    </row>
    <row r="1312" spans="1:9" ht="17.399999999999999" x14ac:dyDescent="0.25">
      <c r="A1312" s="16"/>
      <c r="B1312" s="17"/>
      <c r="C1312" s="2"/>
      <c r="D1312" s="2"/>
      <c r="E1312" s="2"/>
      <c r="F1312" s="2"/>
      <c r="G1312" s="2"/>
      <c r="H1312" s="2"/>
      <c r="I1312" s="5"/>
    </row>
    <row r="1313" spans="1:9" ht="17.399999999999999" x14ac:dyDescent="0.25">
      <c r="A1313" s="16"/>
      <c r="B1313" s="17"/>
      <c r="C1313" s="2"/>
      <c r="D1313" s="2"/>
      <c r="E1313" s="2"/>
      <c r="F1313" s="2"/>
      <c r="G1313" s="2"/>
      <c r="H1313" s="2"/>
      <c r="I1313" s="5"/>
    </row>
    <row r="1314" spans="1:9" ht="17.399999999999999" x14ac:dyDescent="0.25">
      <c r="A1314" s="16"/>
      <c r="B1314" s="17"/>
      <c r="C1314" s="2"/>
      <c r="D1314" s="2"/>
      <c r="E1314" s="2"/>
      <c r="F1314" s="2"/>
      <c r="G1314" s="2"/>
      <c r="H1314" s="2"/>
      <c r="I1314" s="5"/>
    </row>
    <row r="1315" spans="1:9" ht="17.399999999999999" x14ac:dyDescent="0.25">
      <c r="A1315" s="16"/>
      <c r="B1315" s="17"/>
      <c r="C1315" s="2"/>
      <c r="D1315" s="2"/>
      <c r="E1315" s="2"/>
      <c r="F1315" s="2"/>
      <c r="G1315" s="2"/>
      <c r="H1315" s="2"/>
      <c r="I1315" s="5"/>
    </row>
    <row r="1316" spans="1:9" ht="17.399999999999999" x14ac:dyDescent="0.25">
      <c r="A1316" s="16"/>
      <c r="B1316" s="17"/>
      <c r="C1316" s="2"/>
      <c r="D1316" s="2"/>
      <c r="E1316" s="2"/>
      <c r="F1316" s="2"/>
      <c r="G1316" s="2"/>
      <c r="H1316" s="2"/>
      <c r="I1316" s="5"/>
    </row>
    <row r="1317" spans="1:9" ht="17.399999999999999" x14ac:dyDescent="0.25">
      <c r="A1317" s="16"/>
      <c r="B1317" s="17"/>
      <c r="C1317" s="2"/>
      <c r="D1317" s="2"/>
      <c r="E1317" s="2"/>
      <c r="F1317" s="2"/>
      <c r="G1317" s="2"/>
      <c r="H1317" s="2"/>
      <c r="I1317" s="5"/>
    </row>
    <row r="1318" spans="1:9" ht="17.399999999999999" x14ac:dyDescent="0.25">
      <c r="A1318" s="16"/>
      <c r="B1318" s="17"/>
      <c r="C1318" s="2"/>
      <c r="D1318" s="2"/>
      <c r="E1318" s="2"/>
      <c r="F1318" s="2"/>
      <c r="G1318" s="2"/>
      <c r="H1318" s="2"/>
      <c r="I1318" s="5"/>
    </row>
    <row r="1319" spans="1:9" ht="17.399999999999999" x14ac:dyDescent="0.25">
      <c r="A1319" s="16"/>
      <c r="B1319" s="17"/>
      <c r="C1319" s="2"/>
      <c r="D1319" s="2"/>
      <c r="E1319" s="2"/>
      <c r="F1319" s="2"/>
      <c r="G1319" s="2"/>
      <c r="H1319" s="2"/>
      <c r="I1319" s="5"/>
    </row>
    <row r="1320" spans="1:9" ht="17.399999999999999" x14ac:dyDescent="0.25">
      <c r="A1320" s="16"/>
      <c r="B1320" s="17"/>
      <c r="C1320" s="2"/>
      <c r="D1320" s="2"/>
      <c r="E1320" s="2"/>
      <c r="F1320" s="2"/>
      <c r="G1320" s="2"/>
      <c r="H1320" s="2"/>
      <c r="I1320" s="5"/>
    </row>
    <row r="1321" spans="1:9" ht="17.399999999999999" x14ac:dyDescent="0.25">
      <c r="A1321" s="16"/>
      <c r="B1321" s="17"/>
      <c r="C1321" s="2"/>
      <c r="D1321" s="2"/>
      <c r="E1321" s="2"/>
      <c r="F1321" s="2"/>
      <c r="G1321" s="2"/>
      <c r="H1321" s="2"/>
      <c r="I1321" s="5"/>
    </row>
    <row r="1322" spans="1:9" ht="17.399999999999999" x14ac:dyDescent="0.25">
      <c r="A1322" s="16"/>
      <c r="B1322" s="17"/>
      <c r="C1322" s="2"/>
      <c r="D1322" s="2"/>
      <c r="E1322" s="2"/>
      <c r="F1322" s="2"/>
      <c r="G1322" s="2"/>
      <c r="H1322" s="2"/>
      <c r="I1322" s="5"/>
    </row>
    <row r="1323" spans="1:9" ht="17.399999999999999" x14ac:dyDescent="0.25">
      <c r="A1323" s="16"/>
      <c r="B1323" s="17"/>
      <c r="C1323" s="2"/>
      <c r="D1323" s="2"/>
      <c r="E1323" s="2"/>
      <c r="F1323" s="2"/>
      <c r="G1323" s="2"/>
      <c r="H1323" s="2"/>
      <c r="I1323" s="5"/>
    </row>
    <row r="1324" spans="1:9" ht="17.399999999999999" x14ac:dyDescent="0.25">
      <c r="A1324" s="16"/>
      <c r="B1324" s="17"/>
      <c r="C1324" s="2"/>
      <c r="D1324" s="2"/>
      <c r="E1324" s="2"/>
      <c r="F1324" s="2"/>
      <c r="G1324" s="2"/>
      <c r="H1324" s="2"/>
      <c r="I1324" s="5"/>
    </row>
    <row r="1325" spans="1:9" ht="17.399999999999999" x14ac:dyDescent="0.25">
      <c r="A1325" s="16"/>
      <c r="B1325" s="17"/>
      <c r="C1325" s="2"/>
      <c r="D1325" s="2"/>
      <c r="E1325" s="2"/>
      <c r="F1325" s="2"/>
      <c r="G1325" s="2"/>
      <c r="H1325" s="2"/>
      <c r="I1325" s="5"/>
    </row>
    <row r="1326" spans="1:9" ht="17.399999999999999" x14ac:dyDescent="0.25">
      <c r="A1326" s="16"/>
      <c r="B1326" s="17"/>
      <c r="C1326" s="2"/>
      <c r="D1326" s="2"/>
      <c r="E1326" s="2"/>
      <c r="F1326" s="2"/>
      <c r="G1326" s="2"/>
      <c r="H1326" s="2"/>
      <c r="I1326" s="5"/>
    </row>
    <row r="1327" spans="1:9" ht="17.399999999999999" x14ac:dyDescent="0.25">
      <c r="A1327" s="16"/>
      <c r="B1327" s="17"/>
      <c r="C1327" s="2"/>
      <c r="D1327" s="2"/>
      <c r="E1327" s="2"/>
      <c r="F1327" s="2"/>
      <c r="G1327" s="2"/>
      <c r="H1327" s="2"/>
      <c r="I1327" s="5"/>
    </row>
    <row r="1328" spans="1:9" ht="17.399999999999999" x14ac:dyDescent="0.25">
      <c r="A1328" s="16"/>
      <c r="B1328" s="17"/>
      <c r="C1328" s="2"/>
      <c r="D1328" s="2"/>
      <c r="E1328" s="2"/>
      <c r="F1328" s="2"/>
      <c r="G1328" s="2"/>
      <c r="H1328" s="2"/>
      <c r="I1328" s="5"/>
    </row>
    <row r="1329" spans="1:9" ht="17.399999999999999" x14ac:dyDescent="0.25">
      <c r="A1329" s="16"/>
      <c r="B1329" s="17"/>
      <c r="C1329" s="2"/>
      <c r="D1329" s="2"/>
      <c r="E1329" s="2"/>
      <c r="F1329" s="2"/>
      <c r="G1329" s="2"/>
      <c r="H1329" s="2"/>
      <c r="I1329" s="5"/>
    </row>
    <row r="1330" spans="1:9" ht="17.399999999999999" x14ac:dyDescent="0.25">
      <c r="A1330" s="16"/>
      <c r="B1330" s="17"/>
      <c r="C1330" s="2"/>
      <c r="D1330" s="2"/>
      <c r="E1330" s="2"/>
      <c r="F1330" s="2"/>
      <c r="G1330" s="2"/>
      <c r="H1330" s="2"/>
      <c r="I1330" s="5"/>
    </row>
    <row r="1331" spans="1:9" ht="17.399999999999999" x14ac:dyDescent="0.25">
      <c r="A1331" s="16"/>
      <c r="B1331" s="17"/>
      <c r="C1331" s="2"/>
      <c r="D1331" s="2"/>
      <c r="E1331" s="2"/>
      <c r="F1331" s="2"/>
      <c r="G1331" s="2"/>
      <c r="H1331" s="2"/>
      <c r="I1331" s="5"/>
    </row>
    <row r="1332" spans="1:9" ht="17.399999999999999" x14ac:dyDescent="0.25">
      <c r="A1332" s="16"/>
      <c r="B1332" s="17"/>
      <c r="C1332" s="2"/>
      <c r="D1332" s="2"/>
      <c r="E1332" s="2"/>
      <c r="F1332" s="2"/>
      <c r="G1332" s="2"/>
      <c r="H1332" s="2"/>
      <c r="I1332" s="5"/>
    </row>
    <row r="1333" spans="1:9" ht="17.399999999999999" x14ac:dyDescent="0.25">
      <c r="A1333" s="16"/>
      <c r="B1333" s="17"/>
      <c r="C1333" s="2"/>
      <c r="D1333" s="2"/>
      <c r="E1333" s="2"/>
      <c r="F1333" s="2"/>
      <c r="G1333" s="2"/>
      <c r="H1333" s="2"/>
      <c r="I1333" s="5"/>
    </row>
    <row r="1334" spans="1:9" ht="17.399999999999999" x14ac:dyDescent="0.25">
      <c r="A1334" s="16"/>
      <c r="B1334" s="17"/>
      <c r="C1334" s="2"/>
      <c r="D1334" s="2"/>
      <c r="E1334" s="2"/>
      <c r="F1334" s="2"/>
      <c r="G1334" s="2"/>
      <c r="H1334" s="2"/>
      <c r="I1334" s="5"/>
    </row>
    <row r="1335" spans="1:9" ht="17.399999999999999" x14ac:dyDescent="0.25">
      <c r="A1335" s="16"/>
      <c r="B1335" s="17"/>
      <c r="C1335" s="2"/>
      <c r="D1335" s="2"/>
      <c r="E1335" s="2"/>
      <c r="F1335" s="2"/>
      <c r="G1335" s="2"/>
      <c r="H1335" s="2"/>
      <c r="I1335" s="5"/>
    </row>
    <row r="1336" spans="1:9" ht="17.399999999999999" x14ac:dyDescent="0.25">
      <c r="A1336" s="16"/>
      <c r="B1336" s="17"/>
      <c r="C1336" s="2"/>
      <c r="D1336" s="2"/>
      <c r="E1336" s="2"/>
      <c r="F1336" s="2"/>
      <c r="G1336" s="2"/>
      <c r="H1336" s="2"/>
      <c r="I1336" s="5"/>
    </row>
    <row r="1337" spans="1:9" ht="17.399999999999999" x14ac:dyDescent="0.25">
      <c r="A1337" s="16"/>
      <c r="B1337" s="17"/>
      <c r="C1337" s="2"/>
      <c r="D1337" s="2"/>
      <c r="E1337" s="2"/>
      <c r="F1337" s="2"/>
      <c r="G1337" s="2"/>
      <c r="H1337" s="2"/>
      <c r="I1337" s="5"/>
    </row>
    <row r="1338" spans="1:9" ht="17.399999999999999" x14ac:dyDescent="0.25">
      <c r="A1338" s="16"/>
      <c r="B1338" s="17"/>
      <c r="C1338" s="2"/>
      <c r="D1338" s="2"/>
      <c r="E1338" s="2"/>
      <c r="F1338" s="2"/>
      <c r="G1338" s="2"/>
      <c r="H1338" s="2"/>
      <c r="I1338" s="5"/>
    </row>
    <row r="1339" spans="1:9" ht="17.399999999999999" x14ac:dyDescent="0.25">
      <c r="A1339" s="16"/>
      <c r="B1339" s="17"/>
      <c r="C1339" s="2"/>
      <c r="D1339" s="2"/>
      <c r="E1339" s="2"/>
      <c r="F1339" s="2"/>
      <c r="G1339" s="2"/>
      <c r="H1339" s="2"/>
      <c r="I1339" s="5"/>
    </row>
    <row r="1340" spans="1:9" ht="17.399999999999999" x14ac:dyDescent="0.25">
      <c r="A1340" s="16"/>
      <c r="B1340" s="17"/>
      <c r="C1340" s="2"/>
      <c r="D1340" s="2"/>
      <c r="E1340" s="2"/>
      <c r="F1340" s="2"/>
      <c r="G1340" s="2"/>
      <c r="H1340" s="2"/>
      <c r="I1340" s="5"/>
    </row>
    <row r="1341" spans="1:9" ht="17.399999999999999" x14ac:dyDescent="0.25">
      <c r="A1341" s="16"/>
      <c r="B1341" s="17"/>
      <c r="C1341" s="2"/>
      <c r="D1341" s="2"/>
      <c r="E1341" s="2"/>
      <c r="F1341" s="2"/>
      <c r="G1341" s="2"/>
      <c r="H1341" s="2"/>
      <c r="I1341" s="5"/>
    </row>
    <row r="1342" spans="1:9" ht="17.399999999999999" x14ac:dyDescent="0.25">
      <c r="A1342" s="16"/>
      <c r="B1342" s="17"/>
      <c r="C1342" s="2"/>
      <c r="D1342" s="2"/>
      <c r="E1342" s="2"/>
      <c r="F1342" s="2"/>
      <c r="G1342" s="2"/>
      <c r="H1342" s="2"/>
      <c r="I1342" s="5"/>
    </row>
    <row r="1343" spans="1:9" ht="17.399999999999999" x14ac:dyDescent="0.25">
      <c r="A1343" s="16"/>
      <c r="B1343" s="17"/>
      <c r="C1343" s="2"/>
      <c r="D1343" s="2"/>
      <c r="E1343" s="2"/>
      <c r="F1343" s="2"/>
      <c r="G1343" s="2"/>
      <c r="H1343" s="2"/>
      <c r="I1343" s="5"/>
    </row>
    <row r="1344" spans="1:9" ht="17.399999999999999" x14ac:dyDescent="0.25">
      <c r="A1344" s="16"/>
      <c r="B1344" s="17"/>
      <c r="C1344" s="2"/>
      <c r="D1344" s="2"/>
      <c r="E1344" s="2"/>
      <c r="F1344" s="2"/>
      <c r="G1344" s="2"/>
      <c r="H1344" s="2"/>
      <c r="I1344" s="5"/>
    </row>
    <row r="1345" spans="1:9" ht="17.399999999999999" x14ac:dyDescent="0.25">
      <c r="A1345" s="16"/>
      <c r="B1345" s="17"/>
      <c r="C1345" s="2"/>
      <c r="D1345" s="2"/>
      <c r="E1345" s="2"/>
      <c r="F1345" s="2"/>
      <c r="G1345" s="2"/>
      <c r="H1345" s="2"/>
      <c r="I1345" s="5"/>
    </row>
    <row r="1346" spans="1:9" ht="17.399999999999999" x14ac:dyDescent="0.25">
      <c r="A1346" s="16"/>
      <c r="B1346" s="17"/>
      <c r="C1346" s="2"/>
      <c r="D1346" s="2"/>
      <c r="E1346" s="2"/>
      <c r="F1346" s="2"/>
      <c r="G1346" s="2"/>
      <c r="H1346" s="2"/>
      <c r="I1346" s="5"/>
    </row>
    <row r="1347" spans="1:9" ht="17.399999999999999" x14ac:dyDescent="0.25">
      <c r="A1347" s="16"/>
      <c r="B1347" s="17"/>
      <c r="C1347" s="2"/>
      <c r="D1347" s="2"/>
      <c r="E1347" s="2"/>
      <c r="F1347" s="2"/>
      <c r="G1347" s="2"/>
      <c r="H1347" s="2"/>
      <c r="I1347" s="5"/>
    </row>
    <row r="1348" spans="1:9" ht="17.399999999999999" x14ac:dyDescent="0.25">
      <c r="A1348" s="16"/>
      <c r="B1348" s="17"/>
      <c r="C1348" s="2"/>
      <c r="D1348" s="2"/>
      <c r="E1348" s="2"/>
      <c r="F1348" s="2"/>
      <c r="G1348" s="2"/>
      <c r="H1348" s="2"/>
      <c r="I1348" s="5"/>
    </row>
    <row r="1349" spans="1:9" ht="17.399999999999999" x14ac:dyDescent="0.25">
      <c r="A1349" s="16"/>
      <c r="B1349" s="17"/>
      <c r="C1349" s="2"/>
      <c r="D1349" s="2"/>
      <c r="E1349" s="2"/>
      <c r="F1349" s="2"/>
      <c r="G1349" s="2"/>
      <c r="H1349" s="2"/>
      <c r="I1349" s="5"/>
    </row>
    <row r="1350" spans="1:9" ht="17.399999999999999" x14ac:dyDescent="0.25">
      <c r="A1350" s="16"/>
      <c r="B1350" s="17"/>
      <c r="C1350" s="2"/>
      <c r="D1350" s="2"/>
      <c r="E1350" s="2"/>
      <c r="F1350" s="2"/>
      <c r="G1350" s="2"/>
      <c r="H1350" s="2"/>
      <c r="I1350" s="5"/>
    </row>
    <row r="1351" spans="1:9" ht="17.399999999999999" x14ac:dyDescent="0.25">
      <c r="A1351" s="16"/>
      <c r="B1351" s="17"/>
      <c r="C1351" s="2"/>
      <c r="D1351" s="2"/>
      <c r="E1351" s="2"/>
      <c r="F1351" s="2"/>
      <c r="G1351" s="2"/>
      <c r="H1351" s="2"/>
      <c r="I1351" s="5"/>
    </row>
    <row r="1352" spans="1:9" ht="17.399999999999999" x14ac:dyDescent="0.25">
      <c r="A1352" s="16"/>
      <c r="B1352" s="17"/>
      <c r="C1352" s="2"/>
      <c r="D1352" s="2"/>
      <c r="E1352" s="2"/>
      <c r="F1352" s="2"/>
      <c r="G1352" s="2"/>
      <c r="H1352" s="2"/>
      <c r="I1352" s="5"/>
    </row>
    <row r="1353" spans="1:9" ht="17.399999999999999" x14ac:dyDescent="0.25">
      <c r="A1353" s="16"/>
      <c r="B1353" s="17"/>
      <c r="C1353" s="2"/>
      <c r="D1353" s="2"/>
      <c r="E1353" s="2"/>
      <c r="F1353" s="2"/>
      <c r="G1353" s="2"/>
      <c r="H1353" s="2"/>
      <c r="I1353" s="5"/>
    </row>
    <row r="1354" spans="1:9" ht="17.399999999999999" x14ac:dyDescent="0.25">
      <c r="A1354" s="16"/>
      <c r="B1354" s="17"/>
      <c r="C1354" s="2"/>
      <c r="D1354" s="2"/>
      <c r="E1354" s="2"/>
      <c r="F1354" s="2"/>
      <c r="G1354" s="2"/>
      <c r="H1354" s="2"/>
      <c r="I1354" s="5"/>
    </row>
    <row r="1355" spans="1:9" ht="17.399999999999999" x14ac:dyDescent="0.25">
      <c r="A1355" s="16"/>
      <c r="B1355" s="17"/>
      <c r="C1355" s="2"/>
      <c r="D1355" s="2"/>
      <c r="E1355" s="2"/>
      <c r="F1355" s="2"/>
      <c r="G1355" s="2"/>
      <c r="H1355" s="2"/>
      <c r="I1355" s="5"/>
    </row>
    <row r="1356" spans="1:9" ht="17.399999999999999" x14ac:dyDescent="0.25">
      <c r="A1356" s="16"/>
      <c r="B1356" s="17"/>
      <c r="C1356" s="2"/>
      <c r="D1356" s="2"/>
      <c r="E1356" s="2"/>
      <c r="F1356" s="2"/>
      <c r="G1356" s="2"/>
      <c r="H1356" s="2"/>
      <c r="I1356" s="5"/>
    </row>
    <row r="1357" spans="1:9" ht="17.399999999999999" x14ac:dyDescent="0.25">
      <c r="A1357" s="16"/>
      <c r="B1357" s="17"/>
      <c r="C1357" s="2"/>
      <c r="D1357" s="2"/>
      <c r="E1357" s="2"/>
      <c r="F1357" s="2"/>
      <c r="G1357" s="2"/>
      <c r="H1357" s="2"/>
      <c r="I1357" s="5"/>
    </row>
    <row r="1358" spans="1:9" ht="17.399999999999999" x14ac:dyDescent="0.25">
      <c r="A1358" s="16"/>
      <c r="B1358" s="17"/>
      <c r="C1358" s="2"/>
      <c r="D1358" s="2"/>
      <c r="E1358" s="2"/>
      <c r="F1358" s="2"/>
      <c r="G1358" s="2"/>
      <c r="H1358" s="2"/>
      <c r="I1358" s="5"/>
    </row>
    <row r="1359" spans="1:9" ht="17.399999999999999" x14ac:dyDescent="0.25">
      <c r="A1359" s="16"/>
      <c r="B1359" s="17"/>
      <c r="C1359" s="2"/>
      <c r="D1359" s="2"/>
      <c r="E1359" s="2"/>
      <c r="F1359" s="2"/>
      <c r="G1359" s="2"/>
      <c r="H1359" s="2"/>
      <c r="I1359" s="5"/>
    </row>
    <row r="1360" spans="1:9" ht="17.399999999999999" x14ac:dyDescent="0.25">
      <c r="A1360" s="16"/>
      <c r="B1360" s="17"/>
      <c r="C1360" s="2"/>
      <c r="D1360" s="2"/>
      <c r="E1360" s="2"/>
      <c r="F1360" s="2"/>
      <c r="G1360" s="2"/>
      <c r="H1360" s="2"/>
      <c r="I1360" s="5"/>
    </row>
    <row r="1361" spans="1:9" ht="17.399999999999999" x14ac:dyDescent="0.25">
      <c r="A1361" s="16"/>
      <c r="B1361" s="17"/>
      <c r="C1361" s="2"/>
      <c r="D1361" s="2"/>
      <c r="E1361" s="2"/>
      <c r="F1361" s="2"/>
      <c r="G1361" s="2"/>
      <c r="H1361" s="2"/>
      <c r="I1361" s="5"/>
    </row>
    <row r="1362" spans="1:9" ht="17.399999999999999" x14ac:dyDescent="0.25">
      <c r="A1362" s="16"/>
      <c r="B1362" s="17"/>
      <c r="C1362" s="2"/>
      <c r="D1362" s="2"/>
      <c r="E1362" s="2"/>
      <c r="F1362" s="2"/>
      <c r="G1362" s="2"/>
      <c r="H1362" s="2"/>
      <c r="I1362" s="5"/>
    </row>
    <row r="1363" spans="1:9" ht="17.399999999999999" x14ac:dyDescent="0.25">
      <c r="A1363" s="16"/>
      <c r="B1363" s="17"/>
      <c r="C1363" s="2"/>
      <c r="D1363" s="2"/>
      <c r="E1363" s="2"/>
      <c r="F1363" s="2"/>
      <c r="G1363" s="2"/>
      <c r="H1363" s="2"/>
      <c r="I1363" s="5"/>
    </row>
    <row r="1364" spans="1:9" ht="17.399999999999999" x14ac:dyDescent="0.25">
      <c r="A1364" s="16"/>
      <c r="B1364" s="17"/>
      <c r="C1364" s="2"/>
      <c r="D1364" s="2"/>
      <c r="E1364" s="2"/>
      <c r="F1364" s="2"/>
      <c r="G1364" s="2"/>
      <c r="H1364" s="2"/>
      <c r="I1364" s="5"/>
    </row>
    <row r="1365" spans="1:9" ht="17.399999999999999" x14ac:dyDescent="0.25">
      <c r="A1365" s="16"/>
      <c r="B1365" s="17"/>
      <c r="C1365" s="2"/>
      <c r="D1365" s="2"/>
      <c r="E1365" s="2"/>
      <c r="F1365" s="2"/>
      <c r="G1365" s="2"/>
      <c r="H1365" s="2"/>
      <c r="I1365" s="5"/>
    </row>
    <row r="1366" spans="1:9" ht="17.399999999999999" x14ac:dyDescent="0.25">
      <c r="A1366" s="16"/>
      <c r="B1366" s="17"/>
      <c r="C1366" s="2"/>
      <c r="D1366" s="2"/>
      <c r="E1366" s="2"/>
      <c r="F1366" s="2"/>
      <c r="G1366" s="2"/>
      <c r="H1366" s="2"/>
      <c r="I1366" s="5"/>
    </row>
    <row r="1367" spans="1:9" ht="17.399999999999999" x14ac:dyDescent="0.25">
      <c r="A1367" s="16"/>
      <c r="B1367" s="17"/>
      <c r="C1367" s="2"/>
      <c r="D1367" s="2"/>
      <c r="E1367" s="2"/>
      <c r="F1367" s="2"/>
      <c r="G1367" s="2"/>
      <c r="H1367" s="2"/>
      <c r="I1367" s="5"/>
    </row>
    <row r="1368" spans="1:9" ht="17.399999999999999" x14ac:dyDescent="0.25">
      <c r="A1368" s="16"/>
      <c r="B1368" s="17"/>
      <c r="C1368" s="2"/>
      <c r="D1368" s="2"/>
      <c r="E1368" s="2"/>
      <c r="F1368" s="2"/>
      <c r="G1368" s="2"/>
      <c r="H1368" s="2"/>
      <c r="I1368" s="5"/>
    </row>
    <row r="1369" spans="1:9" ht="17.399999999999999" x14ac:dyDescent="0.25">
      <c r="A1369" s="16"/>
      <c r="B1369" s="17"/>
      <c r="C1369" s="2"/>
      <c r="D1369" s="2"/>
      <c r="E1369" s="2"/>
      <c r="F1369" s="2"/>
      <c r="G1369" s="2"/>
      <c r="H1369" s="2"/>
      <c r="I1369" s="5"/>
    </row>
    <row r="1370" spans="1:9" ht="17.399999999999999" x14ac:dyDescent="0.25">
      <c r="A1370" s="16"/>
      <c r="B1370" s="17"/>
      <c r="C1370" s="2"/>
      <c r="D1370" s="2"/>
      <c r="E1370" s="2"/>
      <c r="F1370" s="2"/>
      <c r="G1370" s="2"/>
      <c r="H1370" s="2"/>
      <c r="I1370" s="5"/>
    </row>
    <row r="1371" spans="1:9" ht="17.399999999999999" x14ac:dyDescent="0.25">
      <c r="A1371" s="16"/>
      <c r="B1371" s="17"/>
      <c r="C1371" s="2"/>
      <c r="D1371" s="2"/>
      <c r="E1371" s="2"/>
      <c r="F1371" s="2"/>
      <c r="G1371" s="2"/>
      <c r="H1371" s="2"/>
      <c r="I1371" s="5"/>
    </row>
    <row r="1372" spans="1:9" ht="17.399999999999999" x14ac:dyDescent="0.25">
      <c r="A1372" s="16"/>
      <c r="B1372" s="17"/>
      <c r="C1372" s="2"/>
      <c r="D1372" s="2"/>
      <c r="E1372" s="2"/>
      <c r="F1372" s="2"/>
      <c r="G1372" s="2"/>
      <c r="H1372" s="2"/>
      <c r="I1372" s="5"/>
    </row>
    <row r="1373" spans="1:9" ht="17.399999999999999" x14ac:dyDescent="0.25">
      <c r="A1373" s="16"/>
      <c r="B1373" s="17"/>
      <c r="C1373" s="2"/>
      <c r="D1373" s="2"/>
      <c r="E1373" s="2"/>
      <c r="F1373" s="2"/>
      <c r="G1373" s="2"/>
      <c r="H1373" s="2"/>
      <c r="I1373" s="5"/>
    </row>
    <row r="1374" spans="1:9" ht="17.399999999999999" x14ac:dyDescent="0.25">
      <c r="A1374" s="16"/>
      <c r="B1374" s="17"/>
      <c r="C1374" s="2"/>
      <c r="D1374" s="2"/>
      <c r="E1374" s="2"/>
      <c r="F1374" s="2"/>
      <c r="G1374" s="2"/>
      <c r="H1374" s="2"/>
      <c r="I1374" s="5"/>
    </row>
    <row r="1375" spans="1:9" ht="17.399999999999999" x14ac:dyDescent="0.25">
      <c r="A1375" s="16"/>
      <c r="B1375" s="17"/>
      <c r="C1375" s="2"/>
      <c r="D1375" s="2"/>
      <c r="E1375" s="2"/>
      <c r="F1375" s="2"/>
      <c r="G1375" s="2"/>
      <c r="H1375" s="2"/>
      <c r="I1375" s="5"/>
    </row>
    <row r="1376" spans="1:9" ht="17.399999999999999" x14ac:dyDescent="0.25">
      <c r="A1376" s="16"/>
      <c r="B1376" s="17"/>
      <c r="C1376" s="2"/>
      <c r="D1376" s="2"/>
      <c r="E1376" s="2"/>
      <c r="F1376" s="2"/>
      <c r="G1376" s="2"/>
      <c r="H1376" s="2"/>
      <c r="I1376" s="5"/>
    </row>
    <row r="1377" spans="1:9" ht="17.399999999999999" x14ac:dyDescent="0.25">
      <c r="A1377" s="16"/>
      <c r="B1377" s="17"/>
      <c r="C1377" s="2"/>
      <c r="D1377" s="2"/>
      <c r="E1377" s="2"/>
      <c r="F1377" s="2"/>
      <c r="G1377" s="2"/>
      <c r="H1377" s="2"/>
      <c r="I1377" s="5"/>
    </row>
    <row r="1378" spans="1:9" ht="17.399999999999999" x14ac:dyDescent="0.25">
      <c r="A1378" s="16"/>
      <c r="B1378" s="17"/>
      <c r="C1378" s="2"/>
      <c r="D1378" s="2"/>
      <c r="E1378" s="2"/>
      <c r="F1378" s="2"/>
      <c r="G1378" s="2"/>
      <c r="H1378" s="2"/>
      <c r="I1378" s="5"/>
    </row>
    <row r="1379" spans="1:9" ht="17.399999999999999" x14ac:dyDescent="0.25">
      <c r="A1379" s="16"/>
      <c r="B1379" s="17"/>
      <c r="C1379" s="2"/>
      <c r="D1379" s="2"/>
      <c r="E1379" s="2"/>
      <c r="F1379" s="2"/>
      <c r="G1379" s="2"/>
      <c r="H1379" s="2"/>
      <c r="I1379" s="5"/>
    </row>
    <row r="1380" spans="1:9" ht="17.399999999999999" x14ac:dyDescent="0.25">
      <c r="A1380" s="16"/>
      <c r="B1380" s="17"/>
      <c r="C1380" s="2"/>
      <c r="D1380" s="2"/>
      <c r="E1380" s="2"/>
      <c r="F1380" s="2"/>
      <c r="G1380" s="2"/>
      <c r="H1380" s="2"/>
      <c r="I1380" s="5"/>
    </row>
    <row r="1381" spans="1:9" ht="17.399999999999999" x14ac:dyDescent="0.25">
      <c r="A1381" s="16"/>
      <c r="B1381" s="17"/>
      <c r="C1381" s="2"/>
      <c r="D1381" s="2"/>
      <c r="E1381" s="2"/>
      <c r="F1381" s="2"/>
      <c r="G1381" s="2"/>
      <c r="H1381" s="2"/>
      <c r="I1381" s="5"/>
    </row>
    <row r="1382" spans="1:9" ht="17.399999999999999" x14ac:dyDescent="0.25">
      <c r="A1382" s="16"/>
      <c r="B1382" s="17"/>
      <c r="C1382" s="2"/>
      <c r="D1382" s="2"/>
      <c r="E1382" s="2"/>
      <c r="F1382" s="2"/>
      <c r="G1382" s="2"/>
      <c r="H1382" s="2"/>
      <c r="I1382" s="5"/>
    </row>
    <row r="1383" spans="1:9" ht="17.399999999999999" x14ac:dyDescent="0.25">
      <c r="A1383" s="16"/>
      <c r="B1383" s="17"/>
      <c r="C1383" s="2"/>
      <c r="D1383" s="2"/>
      <c r="E1383" s="2"/>
      <c r="F1383" s="2"/>
      <c r="G1383" s="2"/>
      <c r="H1383" s="2"/>
      <c r="I1383" s="5"/>
    </row>
    <row r="1384" spans="1:9" ht="17.399999999999999" x14ac:dyDescent="0.25">
      <c r="A1384" s="16"/>
      <c r="B1384" s="17"/>
      <c r="C1384" s="2"/>
      <c r="D1384" s="2"/>
      <c r="E1384" s="2"/>
      <c r="F1384" s="2"/>
      <c r="G1384" s="2"/>
      <c r="H1384" s="2"/>
      <c r="I1384" s="5"/>
    </row>
    <row r="1385" spans="1:9" ht="17.399999999999999" x14ac:dyDescent="0.25">
      <c r="A1385" s="16"/>
      <c r="B1385" s="17"/>
      <c r="C1385" s="2"/>
      <c r="D1385" s="2"/>
      <c r="E1385" s="2"/>
      <c r="F1385" s="2"/>
      <c r="G1385" s="2"/>
      <c r="H1385" s="2"/>
      <c r="I1385" s="5"/>
    </row>
    <row r="1386" spans="1:9" ht="17.399999999999999" x14ac:dyDescent="0.25">
      <c r="A1386" s="16"/>
      <c r="B1386" s="17"/>
      <c r="C1386" s="2"/>
      <c r="D1386" s="2"/>
      <c r="E1386" s="2"/>
      <c r="F1386" s="2"/>
      <c r="G1386" s="2"/>
      <c r="H1386" s="2"/>
      <c r="I1386" s="5"/>
    </row>
    <row r="1387" spans="1:9" ht="17.399999999999999" x14ac:dyDescent="0.25">
      <c r="A1387" s="16"/>
      <c r="B1387" s="17"/>
      <c r="C1387" s="2"/>
      <c r="D1387" s="2"/>
      <c r="E1387" s="2"/>
      <c r="F1387" s="2"/>
      <c r="G1387" s="2"/>
      <c r="H1387" s="2"/>
      <c r="I1387" s="5"/>
    </row>
    <row r="1388" spans="1:9" ht="17.399999999999999" x14ac:dyDescent="0.25">
      <c r="A1388" s="16"/>
      <c r="B1388" s="17"/>
      <c r="C1388" s="2"/>
      <c r="D1388" s="2"/>
      <c r="E1388" s="2"/>
      <c r="F1388" s="2"/>
      <c r="G1388" s="2"/>
      <c r="H1388" s="2"/>
      <c r="I1388" s="5"/>
    </row>
    <row r="1389" spans="1:9" ht="17.399999999999999" x14ac:dyDescent="0.25">
      <c r="A1389" s="16"/>
      <c r="B1389" s="17"/>
      <c r="C1389" s="2"/>
      <c r="D1389" s="2"/>
      <c r="E1389" s="2"/>
      <c r="F1389" s="2"/>
      <c r="G1389" s="2"/>
      <c r="H1389" s="2"/>
      <c r="I1389" s="5"/>
    </row>
    <row r="1390" spans="1:9" ht="17.399999999999999" x14ac:dyDescent="0.25">
      <c r="A1390" s="16"/>
      <c r="B1390" s="17"/>
      <c r="C1390" s="2"/>
      <c r="D1390" s="2"/>
      <c r="E1390" s="2"/>
      <c r="F1390" s="2"/>
      <c r="G1390" s="2"/>
      <c r="H1390" s="2"/>
      <c r="I1390" s="5"/>
    </row>
    <row r="1391" spans="1:9" ht="17.399999999999999" x14ac:dyDescent="0.25">
      <c r="A1391" s="16"/>
      <c r="B1391" s="17"/>
      <c r="C1391" s="2"/>
      <c r="D1391" s="2"/>
      <c r="E1391" s="2"/>
      <c r="F1391" s="2"/>
      <c r="G1391" s="2"/>
      <c r="H1391" s="2"/>
      <c r="I1391" s="5"/>
    </row>
    <row r="1392" spans="1:9" ht="17.399999999999999" x14ac:dyDescent="0.25">
      <c r="A1392" s="16"/>
      <c r="B1392" s="17"/>
      <c r="C1392" s="2"/>
      <c r="D1392" s="2"/>
      <c r="E1392" s="2"/>
      <c r="F1392" s="2"/>
      <c r="G1392" s="2"/>
      <c r="H1392" s="2"/>
      <c r="I1392" s="5"/>
    </row>
    <row r="1393" spans="1:9" ht="17.399999999999999" x14ac:dyDescent="0.25">
      <c r="A1393" s="16"/>
      <c r="B1393" s="17"/>
      <c r="C1393" s="2"/>
      <c r="D1393" s="2"/>
      <c r="E1393" s="2"/>
      <c r="F1393" s="2"/>
      <c r="G1393" s="2"/>
      <c r="H1393" s="2"/>
      <c r="I1393" s="5"/>
    </row>
    <row r="1394" spans="1:9" ht="17.399999999999999" x14ac:dyDescent="0.25">
      <c r="A1394" s="16"/>
      <c r="B1394" s="17"/>
      <c r="C1394" s="2"/>
      <c r="D1394" s="2"/>
      <c r="E1394" s="2"/>
      <c r="F1394" s="2"/>
      <c r="G1394" s="2"/>
      <c r="H1394" s="2"/>
      <c r="I1394" s="5"/>
    </row>
    <row r="1395" spans="1:9" ht="17.399999999999999" x14ac:dyDescent="0.25">
      <c r="A1395" s="16"/>
      <c r="B1395" s="17"/>
      <c r="C1395" s="2"/>
      <c r="D1395" s="2"/>
      <c r="E1395" s="2"/>
      <c r="F1395" s="2"/>
      <c r="G1395" s="2"/>
      <c r="H1395" s="2"/>
      <c r="I1395" s="5"/>
    </row>
    <row r="1396" spans="1:9" ht="17.399999999999999" x14ac:dyDescent="0.25">
      <c r="A1396" s="16"/>
      <c r="B1396" s="17"/>
      <c r="C1396" s="2"/>
      <c r="D1396" s="2"/>
      <c r="E1396" s="2"/>
      <c r="F1396" s="2"/>
      <c r="G1396" s="2"/>
      <c r="H1396" s="2"/>
      <c r="I1396" s="5"/>
    </row>
    <row r="1397" spans="1:9" ht="17.399999999999999" x14ac:dyDescent="0.25">
      <c r="A1397" s="16"/>
      <c r="B1397" s="17"/>
      <c r="C1397" s="2"/>
      <c r="D1397" s="2"/>
      <c r="E1397" s="2"/>
      <c r="F1397" s="2"/>
      <c r="G1397" s="2"/>
      <c r="H1397" s="2"/>
      <c r="I1397" s="5"/>
    </row>
    <row r="1398" spans="1:9" ht="17.399999999999999" x14ac:dyDescent="0.25">
      <c r="A1398" s="16"/>
      <c r="B1398" s="17"/>
      <c r="C1398" s="2"/>
      <c r="D1398" s="2"/>
      <c r="E1398" s="2"/>
      <c r="F1398" s="2"/>
      <c r="G1398" s="2"/>
      <c r="H1398" s="2"/>
      <c r="I1398" s="5"/>
    </row>
    <row r="1399" spans="1:9" ht="17.399999999999999" x14ac:dyDescent="0.25">
      <c r="A1399" s="16"/>
      <c r="B1399" s="17"/>
      <c r="C1399" s="2"/>
      <c r="D1399" s="2"/>
      <c r="E1399" s="2"/>
      <c r="F1399" s="2"/>
      <c r="G1399" s="2"/>
      <c r="H1399" s="2"/>
      <c r="I1399" s="5"/>
    </row>
    <row r="1400" spans="1:9" ht="17.399999999999999" x14ac:dyDescent="0.25">
      <c r="A1400" s="16"/>
      <c r="B1400" s="17"/>
      <c r="C1400" s="2"/>
      <c r="D1400" s="2"/>
      <c r="E1400" s="2"/>
      <c r="F1400" s="2"/>
      <c r="G1400" s="2"/>
      <c r="H1400" s="2"/>
      <c r="I1400" s="5"/>
    </row>
    <row r="1401" spans="1:9" ht="17.399999999999999" x14ac:dyDescent="0.25">
      <c r="A1401" s="16"/>
      <c r="B1401" s="17"/>
      <c r="C1401" s="2"/>
      <c r="D1401" s="2"/>
      <c r="E1401" s="2"/>
      <c r="F1401" s="2"/>
      <c r="G1401" s="2"/>
      <c r="H1401" s="2"/>
      <c r="I1401" s="5"/>
    </row>
    <row r="1402" spans="1:9" ht="17.399999999999999" x14ac:dyDescent="0.25">
      <c r="A1402" s="16"/>
      <c r="B1402" s="17"/>
      <c r="C1402" s="2"/>
      <c r="D1402" s="2"/>
      <c r="E1402" s="2"/>
      <c r="F1402" s="2"/>
      <c r="G1402" s="2"/>
      <c r="H1402" s="2"/>
      <c r="I1402" s="5"/>
    </row>
    <row r="1403" spans="1:9" ht="17.399999999999999" x14ac:dyDescent="0.25">
      <c r="A1403" s="16"/>
      <c r="B1403" s="17"/>
      <c r="C1403" s="2"/>
      <c r="D1403" s="2"/>
      <c r="E1403" s="2"/>
      <c r="F1403" s="2"/>
      <c r="G1403" s="2"/>
      <c r="H1403" s="2"/>
      <c r="I1403" s="5"/>
    </row>
    <row r="1404" spans="1:9" ht="17.399999999999999" x14ac:dyDescent="0.25">
      <c r="A1404" s="16"/>
      <c r="B1404" s="17"/>
      <c r="C1404" s="2"/>
      <c r="D1404" s="2"/>
      <c r="E1404" s="2"/>
      <c r="F1404" s="2"/>
      <c r="G1404" s="2"/>
      <c r="H1404" s="2"/>
      <c r="I1404" s="5"/>
    </row>
    <row r="1405" spans="1:9" ht="17.399999999999999" x14ac:dyDescent="0.25">
      <c r="A1405" s="16"/>
      <c r="B1405" s="17"/>
      <c r="C1405" s="2"/>
      <c r="D1405" s="2"/>
      <c r="E1405" s="2"/>
      <c r="F1405" s="2"/>
      <c r="G1405" s="2"/>
      <c r="H1405" s="2"/>
      <c r="I1405" s="5"/>
    </row>
    <row r="1406" spans="1:9" ht="17.399999999999999" x14ac:dyDescent="0.25">
      <c r="A1406" s="16"/>
      <c r="B1406" s="17"/>
      <c r="C1406" s="2"/>
      <c r="D1406" s="2"/>
      <c r="E1406" s="2"/>
      <c r="F1406" s="2"/>
      <c r="G1406" s="2"/>
      <c r="H1406" s="2"/>
      <c r="I1406" s="5"/>
    </row>
    <row r="1407" spans="1:9" ht="17.399999999999999" x14ac:dyDescent="0.25">
      <c r="A1407" s="16"/>
      <c r="B1407" s="17"/>
      <c r="C1407" s="2"/>
      <c r="D1407" s="2"/>
      <c r="E1407" s="2"/>
      <c r="F1407" s="2"/>
      <c r="G1407" s="2"/>
      <c r="H1407" s="2"/>
      <c r="I1407" s="5"/>
    </row>
    <row r="1408" spans="1:9" ht="17.399999999999999" x14ac:dyDescent="0.25">
      <c r="A1408" s="16"/>
      <c r="B1408" s="17"/>
      <c r="C1408" s="2"/>
      <c r="D1408" s="2"/>
      <c r="E1408" s="2"/>
      <c r="F1408" s="2"/>
      <c r="G1408" s="2"/>
      <c r="H1408" s="2"/>
      <c r="I1408" s="5"/>
    </row>
    <row r="1409" spans="1:9" ht="17.399999999999999" x14ac:dyDescent="0.25">
      <c r="A1409" s="16"/>
      <c r="B1409" s="17"/>
      <c r="C1409" s="2"/>
      <c r="D1409" s="2"/>
      <c r="E1409" s="2"/>
      <c r="F1409" s="2"/>
      <c r="G1409" s="2"/>
      <c r="H1409" s="2"/>
      <c r="I1409" s="5"/>
    </row>
    <row r="1410" spans="1:9" ht="17.399999999999999" x14ac:dyDescent="0.25">
      <c r="A1410" s="16"/>
      <c r="B1410" s="17"/>
      <c r="C1410" s="2"/>
      <c r="D1410" s="2"/>
      <c r="E1410" s="2"/>
      <c r="F1410" s="2"/>
      <c r="G1410" s="2"/>
      <c r="H1410" s="2"/>
      <c r="I1410" s="5"/>
    </row>
    <row r="1411" spans="1:9" ht="17.399999999999999" x14ac:dyDescent="0.25">
      <c r="A1411" s="16"/>
      <c r="B1411" s="17"/>
      <c r="C1411" s="2"/>
      <c r="D1411" s="2"/>
      <c r="E1411" s="2"/>
      <c r="F1411" s="2"/>
      <c r="G1411" s="2"/>
      <c r="H1411" s="2"/>
      <c r="I1411" s="5"/>
    </row>
    <row r="1412" spans="1:9" ht="17.399999999999999" x14ac:dyDescent="0.25">
      <c r="A1412" s="16"/>
      <c r="B1412" s="17"/>
      <c r="C1412" s="2"/>
      <c r="D1412" s="2"/>
      <c r="E1412" s="2"/>
      <c r="F1412" s="2"/>
      <c r="G1412" s="2"/>
      <c r="H1412" s="2"/>
      <c r="I1412" s="5"/>
    </row>
    <row r="1413" spans="1:9" ht="17.399999999999999" x14ac:dyDescent="0.25">
      <c r="A1413" s="16"/>
      <c r="B1413" s="17"/>
      <c r="C1413" s="2"/>
      <c r="D1413" s="2"/>
      <c r="E1413" s="2"/>
      <c r="F1413" s="2"/>
      <c r="G1413" s="2"/>
      <c r="H1413" s="2"/>
      <c r="I1413" s="5"/>
    </row>
    <row r="1414" spans="1:9" ht="17.399999999999999" x14ac:dyDescent="0.25">
      <c r="A1414" s="16"/>
      <c r="B1414" s="17"/>
      <c r="C1414" s="2"/>
      <c r="D1414" s="2"/>
      <c r="E1414" s="2"/>
      <c r="F1414" s="2"/>
      <c r="G1414" s="2"/>
      <c r="H1414" s="2"/>
      <c r="I1414" s="5"/>
    </row>
    <row r="1415" spans="1:9" ht="17.399999999999999" x14ac:dyDescent="0.25">
      <c r="A1415" s="16"/>
      <c r="B1415" s="17"/>
      <c r="C1415" s="2"/>
      <c r="D1415" s="2"/>
      <c r="E1415" s="2"/>
      <c r="F1415" s="2"/>
      <c r="G1415" s="2"/>
      <c r="H1415" s="2"/>
      <c r="I1415" s="5"/>
    </row>
    <row r="1416" spans="1:9" ht="17.399999999999999" x14ac:dyDescent="0.25">
      <c r="A1416" s="16"/>
      <c r="B1416" s="17"/>
      <c r="C1416" s="2"/>
      <c r="D1416" s="2"/>
      <c r="E1416" s="2"/>
      <c r="F1416" s="2"/>
      <c r="G1416" s="2"/>
      <c r="H1416" s="2"/>
      <c r="I1416" s="5"/>
    </row>
    <row r="1417" spans="1:9" ht="17.399999999999999" x14ac:dyDescent="0.25">
      <c r="A1417" s="16"/>
      <c r="B1417" s="17"/>
      <c r="C1417" s="2"/>
      <c r="D1417" s="2"/>
      <c r="E1417" s="2"/>
      <c r="F1417" s="2"/>
      <c r="G1417" s="2"/>
      <c r="H1417" s="2"/>
      <c r="I1417" s="5"/>
    </row>
    <row r="1418" spans="1:9" ht="17.399999999999999" x14ac:dyDescent="0.25">
      <c r="A1418" s="16"/>
      <c r="B1418" s="17"/>
      <c r="C1418" s="2"/>
      <c r="D1418" s="2"/>
      <c r="E1418" s="2"/>
      <c r="F1418" s="2"/>
      <c r="G1418" s="2"/>
      <c r="H1418" s="2"/>
      <c r="I1418" s="5"/>
    </row>
    <row r="1419" spans="1:9" ht="17.399999999999999" x14ac:dyDescent="0.25">
      <c r="A1419" s="16"/>
      <c r="B1419" s="17"/>
      <c r="C1419" s="2"/>
      <c r="D1419" s="2"/>
      <c r="E1419" s="2"/>
      <c r="F1419" s="2"/>
      <c r="G1419" s="2"/>
      <c r="H1419" s="2"/>
      <c r="I1419" s="5"/>
    </row>
    <row r="1420" spans="1:9" ht="17.399999999999999" x14ac:dyDescent="0.25">
      <c r="A1420" s="16"/>
      <c r="B1420" s="17"/>
      <c r="C1420" s="2"/>
      <c r="D1420" s="2"/>
      <c r="E1420" s="2"/>
      <c r="F1420" s="2"/>
      <c r="G1420" s="2"/>
      <c r="H1420" s="2"/>
      <c r="I1420" s="5"/>
    </row>
    <row r="1421" spans="1:9" ht="17.399999999999999" x14ac:dyDescent="0.25">
      <c r="A1421" s="16"/>
      <c r="B1421" s="17"/>
      <c r="C1421" s="2"/>
      <c r="D1421" s="2"/>
      <c r="E1421" s="2"/>
      <c r="F1421" s="2"/>
      <c r="G1421" s="2"/>
      <c r="H1421" s="2"/>
      <c r="I1421" s="5"/>
    </row>
    <row r="1422" spans="1:9" ht="17.399999999999999" x14ac:dyDescent="0.25">
      <c r="A1422" s="16"/>
      <c r="B1422" s="17"/>
      <c r="C1422" s="2"/>
      <c r="D1422" s="2"/>
      <c r="E1422" s="2"/>
      <c r="F1422" s="2"/>
      <c r="G1422" s="2"/>
      <c r="H1422" s="2"/>
      <c r="I1422" s="5"/>
    </row>
    <row r="1423" spans="1:9" ht="17.399999999999999" x14ac:dyDescent="0.25">
      <c r="A1423" s="16"/>
      <c r="B1423" s="17"/>
      <c r="C1423" s="2"/>
      <c r="D1423" s="2"/>
      <c r="E1423" s="2"/>
      <c r="F1423" s="2"/>
      <c r="G1423" s="2"/>
      <c r="H1423" s="2"/>
      <c r="I1423" s="5"/>
    </row>
    <row r="1424" spans="1:9" ht="17.399999999999999" x14ac:dyDescent="0.25">
      <c r="A1424" s="16"/>
      <c r="B1424" s="17"/>
      <c r="C1424" s="2"/>
      <c r="D1424" s="2"/>
      <c r="E1424" s="2"/>
      <c r="F1424" s="2"/>
      <c r="G1424" s="2"/>
      <c r="H1424" s="2"/>
      <c r="I1424" s="5"/>
    </row>
    <row r="1425" spans="1:9" ht="17.399999999999999" x14ac:dyDescent="0.25">
      <c r="A1425" s="16"/>
      <c r="B1425" s="17"/>
      <c r="C1425" s="2"/>
      <c r="D1425" s="2"/>
      <c r="E1425" s="2"/>
      <c r="F1425" s="2"/>
      <c r="G1425" s="2"/>
      <c r="H1425" s="2"/>
      <c r="I1425" s="5"/>
    </row>
    <row r="1426" spans="1:9" ht="17.399999999999999" x14ac:dyDescent="0.25">
      <c r="A1426" s="16"/>
      <c r="B1426" s="17"/>
      <c r="C1426" s="2"/>
      <c r="D1426" s="2"/>
      <c r="E1426" s="2"/>
      <c r="F1426" s="2"/>
      <c r="G1426" s="2"/>
      <c r="H1426" s="2"/>
      <c r="I1426" s="5"/>
    </row>
    <row r="1427" spans="1:9" ht="17.399999999999999" x14ac:dyDescent="0.25">
      <c r="A1427" s="16"/>
      <c r="B1427" s="17"/>
      <c r="C1427" s="2"/>
      <c r="D1427" s="2"/>
      <c r="E1427" s="2"/>
      <c r="F1427" s="2"/>
      <c r="G1427" s="2"/>
      <c r="H1427" s="2"/>
      <c r="I1427" s="5"/>
    </row>
    <row r="1428" spans="1:9" ht="17.399999999999999" x14ac:dyDescent="0.25">
      <c r="A1428" s="16"/>
      <c r="B1428" s="17"/>
      <c r="C1428" s="2"/>
      <c r="D1428" s="2"/>
      <c r="E1428" s="2"/>
      <c r="F1428" s="2"/>
      <c r="G1428" s="2"/>
      <c r="H1428" s="2"/>
      <c r="I1428" s="5"/>
    </row>
    <row r="1429" spans="1:9" ht="17.399999999999999" x14ac:dyDescent="0.25">
      <c r="A1429" s="16"/>
      <c r="B1429" s="17"/>
      <c r="C1429" s="2"/>
      <c r="D1429" s="2"/>
      <c r="E1429" s="2"/>
      <c r="F1429" s="2"/>
      <c r="G1429" s="2"/>
      <c r="H1429" s="2"/>
      <c r="I1429" s="5"/>
    </row>
    <row r="1430" spans="1:9" ht="17.399999999999999" x14ac:dyDescent="0.25">
      <c r="A1430" s="16"/>
      <c r="B1430" s="17"/>
      <c r="C1430" s="2"/>
      <c r="D1430" s="2"/>
      <c r="E1430" s="2"/>
      <c r="F1430" s="2"/>
      <c r="G1430" s="2"/>
      <c r="H1430" s="2"/>
      <c r="I1430" s="5"/>
    </row>
    <row r="1431" spans="1:9" ht="17.399999999999999" x14ac:dyDescent="0.25">
      <c r="A1431" s="16"/>
      <c r="B1431" s="17"/>
      <c r="C1431" s="2"/>
      <c r="D1431" s="2"/>
      <c r="E1431" s="2"/>
      <c r="F1431" s="2"/>
      <c r="G1431" s="2"/>
      <c r="H1431" s="2"/>
      <c r="I1431" s="5"/>
    </row>
    <row r="1432" spans="1:9" ht="17.399999999999999" x14ac:dyDescent="0.25">
      <c r="A1432" s="16"/>
      <c r="B1432" s="17"/>
      <c r="C1432" s="2"/>
      <c r="D1432" s="2"/>
      <c r="E1432" s="2"/>
      <c r="F1432" s="2"/>
      <c r="G1432" s="2"/>
      <c r="H1432" s="2"/>
      <c r="I1432" s="5"/>
    </row>
    <row r="1433" spans="1:9" ht="17.399999999999999" x14ac:dyDescent="0.25">
      <c r="A1433" s="16"/>
      <c r="B1433" s="17"/>
      <c r="C1433" s="2"/>
      <c r="D1433" s="2"/>
      <c r="E1433" s="2"/>
      <c r="F1433" s="2"/>
      <c r="G1433" s="2"/>
      <c r="H1433" s="2"/>
      <c r="I1433" s="5"/>
    </row>
    <row r="1434" spans="1:9" ht="17.399999999999999" x14ac:dyDescent="0.25">
      <c r="A1434" s="16"/>
      <c r="B1434" s="17"/>
      <c r="C1434" s="2"/>
      <c r="D1434" s="2"/>
      <c r="E1434" s="2"/>
      <c r="F1434" s="2"/>
      <c r="G1434" s="2"/>
      <c r="H1434" s="2"/>
      <c r="I1434" s="5"/>
    </row>
    <row r="1435" spans="1:9" ht="17.399999999999999" x14ac:dyDescent="0.25">
      <c r="A1435" s="16"/>
      <c r="B1435" s="17"/>
      <c r="C1435" s="2"/>
      <c r="D1435" s="2"/>
      <c r="E1435" s="2"/>
      <c r="F1435" s="2"/>
      <c r="G1435" s="2"/>
      <c r="H1435" s="2"/>
      <c r="I1435" s="5"/>
    </row>
    <row r="1436" spans="1:9" ht="17.399999999999999" x14ac:dyDescent="0.25">
      <c r="A1436" s="16"/>
      <c r="B1436" s="17"/>
      <c r="C1436" s="2"/>
      <c r="D1436" s="2"/>
      <c r="E1436" s="2"/>
      <c r="F1436" s="2"/>
      <c r="G1436" s="2"/>
      <c r="H1436" s="2"/>
      <c r="I1436" s="5"/>
    </row>
    <row r="1437" spans="1:9" ht="17.399999999999999" x14ac:dyDescent="0.25">
      <c r="A1437" s="16"/>
      <c r="B1437" s="17"/>
      <c r="C1437" s="2"/>
      <c r="D1437" s="2"/>
      <c r="E1437" s="2"/>
      <c r="F1437" s="2"/>
      <c r="G1437" s="2"/>
      <c r="H1437" s="2"/>
      <c r="I1437" s="5"/>
    </row>
    <row r="1438" spans="1:9" ht="17.399999999999999" x14ac:dyDescent="0.25">
      <c r="A1438" s="16"/>
      <c r="B1438" s="17"/>
      <c r="C1438" s="2"/>
      <c r="D1438" s="2"/>
      <c r="E1438" s="2"/>
      <c r="F1438" s="2"/>
      <c r="G1438" s="2"/>
      <c r="H1438" s="2"/>
      <c r="I1438" s="5"/>
    </row>
    <row r="1439" spans="1:9" ht="17.399999999999999" x14ac:dyDescent="0.25">
      <c r="A1439" s="16"/>
      <c r="B1439" s="17"/>
      <c r="C1439" s="2"/>
      <c r="D1439" s="2"/>
      <c r="E1439" s="2"/>
      <c r="F1439" s="2"/>
      <c r="G1439" s="2"/>
      <c r="H1439" s="2"/>
      <c r="I1439" s="5"/>
    </row>
    <row r="1440" spans="1:9" ht="17.399999999999999" x14ac:dyDescent="0.25">
      <c r="A1440" s="16"/>
      <c r="B1440" s="17"/>
      <c r="C1440" s="2"/>
      <c r="D1440" s="2"/>
      <c r="E1440" s="2"/>
      <c r="F1440" s="2"/>
      <c r="G1440" s="2"/>
      <c r="H1440" s="2"/>
      <c r="I1440" s="5"/>
    </row>
    <row r="1441" spans="1:9" ht="17.399999999999999" x14ac:dyDescent="0.25">
      <c r="A1441" s="16"/>
      <c r="B1441" s="17"/>
      <c r="C1441" s="2"/>
      <c r="D1441" s="2"/>
      <c r="E1441" s="2"/>
      <c r="F1441" s="2"/>
      <c r="G1441" s="2"/>
      <c r="H1441" s="2"/>
      <c r="I1441" s="5"/>
    </row>
    <row r="1442" spans="1:9" ht="17.399999999999999" x14ac:dyDescent="0.25">
      <c r="A1442" s="16"/>
      <c r="B1442" s="17"/>
      <c r="C1442" s="2"/>
      <c r="D1442" s="2"/>
      <c r="E1442" s="2"/>
      <c r="F1442" s="2"/>
      <c r="G1442" s="2"/>
      <c r="H1442" s="2"/>
      <c r="I1442" s="5"/>
    </row>
    <row r="1443" spans="1:9" ht="17.399999999999999" x14ac:dyDescent="0.25">
      <c r="A1443" s="16"/>
      <c r="B1443" s="17"/>
      <c r="C1443" s="2"/>
      <c r="D1443" s="2"/>
      <c r="E1443" s="2"/>
      <c r="F1443" s="2"/>
      <c r="G1443" s="2"/>
      <c r="H1443" s="2"/>
      <c r="I1443" s="5"/>
    </row>
    <row r="1444" spans="1:9" ht="17.399999999999999" x14ac:dyDescent="0.25">
      <c r="A1444" s="16"/>
      <c r="B1444" s="17"/>
      <c r="C1444" s="2"/>
      <c r="D1444" s="2"/>
      <c r="E1444" s="2"/>
      <c r="F1444" s="2"/>
      <c r="G1444" s="2"/>
      <c r="H1444" s="2"/>
      <c r="I1444" s="5"/>
    </row>
    <row r="1445" spans="1:9" ht="17.399999999999999" x14ac:dyDescent="0.25">
      <c r="A1445" s="16"/>
      <c r="B1445" s="17"/>
      <c r="C1445" s="2"/>
      <c r="D1445" s="2"/>
      <c r="E1445" s="2"/>
      <c r="F1445" s="2"/>
      <c r="G1445" s="2"/>
      <c r="H1445" s="2"/>
      <c r="I1445" s="5"/>
    </row>
    <row r="1446" spans="1:9" ht="17.399999999999999" x14ac:dyDescent="0.25">
      <c r="A1446" s="16"/>
      <c r="B1446" s="17"/>
      <c r="C1446" s="2"/>
      <c r="D1446" s="2"/>
      <c r="E1446" s="2"/>
      <c r="F1446" s="2"/>
      <c r="G1446" s="2"/>
      <c r="H1446" s="2"/>
      <c r="I1446" s="5"/>
    </row>
    <row r="1447" spans="1:9" ht="17.399999999999999" x14ac:dyDescent="0.25">
      <c r="A1447" s="16"/>
      <c r="B1447" s="17"/>
      <c r="C1447" s="2"/>
      <c r="D1447" s="2"/>
      <c r="E1447" s="2"/>
      <c r="F1447" s="2"/>
      <c r="G1447" s="2"/>
      <c r="H1447" s="2"/>
      <c r="I1447" s="5"/>
    </row>
    <row r="1448" spans="1:9" ht="17.399999999999999" x14ac:dyDescent="0.25">
      <c r="A1448" s="16"/>
      <c r="B1448" s="17"/>
      <c r="C1448" s="2"/>
      <c r="D1448" s="2"/>
      <c r="E1448" s="2"/>
      <c r="F1448" s="2"/>
      <c r="G1448" s="2"/>
      <c r="H1448" s="2"/>
      <c r="I1448" s="5"/>
    </row>
    <row r="1449" spans="1:9" ht="17.399999999999999" x14ac:dyDescent="0.25">
      <c r="A1449" s="16"/>
      <c r="B1449" s="17"/>
      <c r="C1449" s="2"/>
      <c r="D1449" s="2"/>
      <c r="E1449" s="2"/>
      <c r="F1449" s="2"/>
      <c r="G1449" s="2"/>
      <c r="H1449" s="2"/>
      <c r="I1449" s="5"/>
    </row>
    <row r="1450" spans="1:9" ht="17.399999999999999" x14ac:dyDescent="0.25">
      <c r="A1450" s="16"/>
      <c r="B1450" s="17"/>
      <c r="C1450" s="2"/>
      <c r="D1450" s="2"/>
      <c r="E1450" s="2"/>
      <c r="F1450" s="2"/>
      <c r="G1450" s="2"/>
      <c r="H1450" s="2"/>
      <c r="I1450" s="5"/>
    </row>
    <row r="1451" spans="1:9" ht="17.399999999999999" x14ac:dyDescent="0.25">
      <c r="A1451" s="16"/>
      <c r="B1451" s="17"/>
      <c r="C1451" s="2"/>
      <c r="D1451" s="2"/>
      <c r="E1451" s="2"/>
      <c r="F1451" s="2"/>
      <c r="G1451" s="2"/>
      <c r="H1451" s="2"/>
      <c r="I1451" s="5"/>
    </row>
    <row r="1452" spans="1:9" ht="17.399999999999999" x14ac:dyDescent="0.25">
      <c r="A1452" s="16"/>
      <c r="B1452" s="17"/>
      <c r="C1452" s="2"/>
      <c r="D1452" s="2"/>
      <c r="E1452" s="2"/>
      <c r="F1452" s="2"/>
      <c r="G1452" s="2"/>
      <c r="H1452" s="2"/>
      <c r="I1452" s="5"/>
    </row>
    <row r="1453" spans="1:9" ht="17.399999999999999" x14ac:dyDescent="0.25">
      <c r="A1453" s="16"/>
      <c r="B1453" s="17"/>
      <c r="C1453" s="2"/>
      <c r="D1453" s="2"/>
      <c r="E1453" s="2"/>
      <c r="F1453" s="2"/>
      <c r="G1453" s="2"/>
      <c r="H1453" s="2"/>
      <c r="I1453" s="5"/>
    </row>
    <row r="1454" spans="1:9" ht="17.399999999999999" x14ac:dyDescent="0.25">
      <c r="A1454" s="16"/>
      <c r="B1454" s="17"/>
      <c r="C1454" s="2"/>
      <c r="D1454" s="2"/>
      <c r="E1454" s="2"/>
      <c r="F1454" s="2"/>
      <c r="G1454" s="2"/>
      <c r="H1454" s="2"/>
      <c r="I1454" s="5"/>
    </row>
    <row r="1455" spans="1:9" ht="17.399999999999999" x14ac:dyDescent="0.25">
      <c r="A1455" s="16"/>
      <c r="B1455" s="17"/>
      <c r="C1455" s="2"/>
      <c r="D1455" s="2"/>
      <c r="E1455" s="2"/>
      <c r="F1455" s="2"/>
      <c r="G1455" s="2"/>
      <c r="H1455" s="2"/>
      <c r="I1455" s="5"/>
    </row>
    <row r="1456" spans="1:9" ht="17.399999999999999" x14ac:dyDescent="0.25">
      <c r="A1456" s="16"/>
      <c r="B1456" s="17"/>
      <c r="C1456" s="2"/>
      <c r="D1456" s="2"/>
      <c r="E1456" s="2"/>
      <c r="F1456" s="2"/>
      <c r="G1456" s="2"/>
      <c r="H1456" s="2"/>
      <c r="I1456" s="5"/>
    </row>
    <row r="1457" spans="1:9" ht="17.399999999999999" x14ac:dyDescent="0.25">
      <c r="A1457" s="16"/>
      <c r="B1457" s="17"/>
      <c r="C1457" s="2"/>
      <c r="D1457" s="2"/>
      <c r="E1457" s="2"/>
      <c r="F1457" s="2"/>
      <c r="G1457" s="2"/>
      <c r="H1457" s="2"/>
      <c r="I1457" s="5"/>
    </row>
    <row r="1458" spans="1:9" ht="17.399999999999999" x14ac:dyDescent="0.25">
      <c r="A1458" s="16"/>
      <c r="B1458" s="17"/>
      <c r="C1458" s="2"/>
      <c r="D1458" s="2"/>
      <c r="E1458" s="2"/>
      <c r="F1458" s="2"/>
      <c r="G1458" s="2"/>
      <c r="H1458" s="2"/>
      <c r="I1458" s="5"/>
    </row>
    <row r="1459" spans="1:9" ht="17.399999999999999" x14ac:dyDescent="0.25">
      <c r="A1459" s="16"/>
      <c r="B1459" s="17"/>
      <c r="C1459" s="2"/>
      <c r="D1459" s="2"/>
      <c r="E1459" s="2"/>
      <c r="F1459" s="2"/>
      <c r="G1459" s="2"/>
      <c r="H1459" s="2"/>
      <c r="I1459" s="5"/>
    </row>
    <row r="1460" spans="1:9" ht="17.399999999999999" x14ac:dyDescent="0.25">
      <c r="A1460" s="16"/>
      <c r="B1460" s="17"/>
      <c r="C1460" s="2"/>
      <c r="D1460" s="2"/>
      <c r="E1460" s="2"/>
      <c r="F1460" s="2"/>
      <c r="G1460" s="2"/>
      <c r="H1460" s="2"/>
      <c r="I1460" s="5"/>
    </row>
    <row r="1461" spans="1:9" ht="17.399999999999999" x14ac:dyDescent="0.25">
      <c r="A1461" s="16"/>
      <c r="B1461" s="17"/>
      <c r="C1461" s="2"/>
      <c r="D1461" s="2"/>
      <c r="E1461" s="2"/>
      <c r="F1461" s="2"/>
      <c r="G1461" s="2"/>
      <c r="H1461" s="2"/>
      <c r="I1461" s="5"/>
    </row>
    <row r="1462" spans="1:9" ht="17.399999999999999" x14ac:dyDescent="0.25">
      <c r="A1462" s="16"/>
      <c r="B1462" s="17"/>
      <c r="C1462" s="2"/>
      <c r="D1462" s="2"/>
      <c r="E1462" s="2"/>
      <c r="F1462" s="2"/>
      <c r="G1462" s="2"/>
      <c r="H1462" s="2"/>
      <c r="I1462" s="5"/>
    </row>
    <row r="1463" spans="1:9" ht="17.399999999999999" x14ac:dyDescent="0.25">
      <c r="A1463" s="16"/>
      <c r="B1463" s="17"/>
      <c r="C1463" s="2"/>
      <c r="D1463" s="2"/>
      <c r="E1463" s="2"/>
      <c r="F1463" s="2"/>
      <c r="G1463" s="2"/>
      <c r="H1463" s="2"/>
      <c r="I1463" s="5"/>
    </row>
    <row r="1464" spans="1:9" ht="17.399999999999999" x14ac:dyDescent="0.25">
      <c r="A1464" s="16"/>
      <c r="B1464" s="17"/>
      <c r="C1464" s="2"/>
      <c r="D1464" s="2"/>
      <c r="E1464" s="2"/>
      <c r="F1464" s="2"/>
      <c r="G1464" s="2"/>
      <c r="H1464" s="2"/>
      <c r="I1464" s="5"/>
    </row>
    <row r="1465" spans="1:9" ht="17.399999999999999" x14ac:dyDescent="0.25">
      <c r="A1465" s="16"/>
      <c r="B1465" s="17"/>
      <c r="C1465" s="2"/>
      <c r="D1465" s="2"/>
      <c r="E1465" s="2"/>
      <c r="F1465" s="2"/>
      <c r="G1465" s="2"/>
      <c r="H1465" s="2"/>
      <c r="I1465" s="5"/>
    </row>
    <row r="1466" spans="1:9" ht="17.399999999999999" x14ac:dyDescent="0.25">
      <c r="A1466" s="16"/>
      <c r="B1466" s="17"/>
      <c r="C1466" s="2"/>
      <c r="D1466" s="2"/>
      <c r="E1466" s="2"/>
      <c r="F1466" s="2"/>
      <c r="G1466" s="2"/>
      <c r="H1466" s="2"/>
      <c r="I1466" s="5"/>
    </row>
    <row r="1467" spans="1:9" ht="17.399999999999999" x14ac:dyDescent="0.25">
      <c r="A1467" s="16"/>
      <c r="B1467" s="17"/>
      <c r="C1467" s="2"/>
      <c r="D1467" s="2"/>
      <c r="E1467" s="2"/>
      <c r="F1467" s="2"/>
      <c r="G1467" s="2"/>
      <c r="H1467" s="2"/>
      <c r="I1467" s="5"/>
    </row>
    <row r="1468" spans="1:9" ht="17.399999999999999" x14ac:dyDescent="0.25">
      <c r="A1468" s="16"/>
      <c r="B1468" s="17"/>
      <c r="C1468" s="2"/>
      <c r="D1468" s="2"/>
      <c r="E1468" s="2"/>
      <c r="F1468" s="2"/>
      <c r="G1468" s="2"/>
      <c r="H1468" s="2"/>
      <c r="I1468" s="5"/>
    </row>
    <row r="1469" spans="1:9" ht="17.399999999999999" x14ac:dyDescent="0.25">
      <c r="A1469" s="16"/>
      <c r="B1469" s="17"/>
      <c r="C1469" s="2"/>
      <c r="D1469" s="2"/>
      <c r="E1469" s="2"/>
      <c r="F1469" s="2"/>
      <c r="G1469" s="2"/>
      <c r="H1469" s="2"/>
      <c r="I1469" s="5"/>
    </row>
    <row r="1470" spans="1:9" ht="17.399999999999999" x14ac:dyDescent="0.25">
      <c r="A1470" s="16"/>
      <c r="B1470" s="17"/>
      <c r="C1470" s="2"/>
      <c r="D1470" s="2"/>
      <c r="E1470" s="2"/>
      <c r="F1470" s="2"/>
      <c r="G1470" s="2"/>
      <c r="H1470" s="2"/>
      <c r="I1470" s="5"/>
    </row>
    <row r="1471" spans="1:9" ht="17.399999999999999" x14ac:dyDescent="0.25">
      <c r="A1471" s="16"/>
      <c r="B1471" s="17"/>
      <c r="C1471" s="2"/>
      <c r="D1471" s="2"/>
      <c r="E1471" s="2"/>
      <c r="F1471" s="2"/>
      <c r="G1471" s="2"/>
      <c r="H1471" s="2"/>
      <c r="I1471" s="5"/>
    </row>
    <row r="1472" spans="1:9" ht="17.399999999999999" x14ac:dyDescent="0.25">
      <c r="A1472" s="16"/>
      <c r="B1472" s="17"/>
      <c r="C1472" s="2"/>
      <c r="D1472" s="2"/>
      <c r="E1472" s="2"/>
      <c r="F1472" s="2"/>
      <c r="G1472" s="2"/>
      <c r="H1472" s="2"/>
      <c r="I1472" s="5"/>
    </row>
    <row r="1473" spans="1:9" ht="17.399999999999999" x14ac:dyDescent="0.25">
      <c r="A1473" s="16"/>
      <c r="B1473" s="17"/>
      <c r="C1473" s="2"/>
      <c r="D1473" s="2"/>
      <c r="E1473" s="2"/>
      <c r="F1473" s="2"/>
      <c r="G1473" s="2"/>
      <c r="H1473" s="2"/>
      <c r="I1473" s="5"/>
    </row>
    <row r="1474" spans="1:9" ht="17.399999999999999" x14ac:dyDescent="0.25">
      <c r="A1474" s="16"/>
      <c r="B1474" s="17"/>
      <c r="C1474" s="2"/>
      <c r="D1474" s="2"/>
      <c r="E1474" s="2"/>
      <c r="F1474" s="2"/>
      <c r="G1474" s="2"/>
      <c r="H1474" s="2"/>
      <c r="I1474" s="5"/>
    </row>
    <row r="1475" spans="1:9" ht="17.399999999999999" x14ac:dyDescent="0.25">
      <c r="A1475" s="16"/>
      <c r="B1475" s="17"/>
      <c r="C1475" s="2"/>
      <c r="D1475" s="2"/>
      <c r="E1475" s="2"/>
      <c r="F1475" s="2"/>
      <c r="G1475" s="2"/>
      <c r="H1475" s="2"/>
      <c r="I1475" s="5"/>
    </row>
    <row r="1476" spans="1:9" ht="17.399999999999999" x14ac:dyDescent="0.25">
      <c r="A1476" s="16"/>
      <c r="B1476" s="17"/>
      <c r="C1476" s="2"/>
      <c r="D1476" s="2"/>
      <c r="E1476" s="2"/>
      <c r="F1476" s="2"/>
      <c r="G1476" s="2"/>
      <c r="H1476" s="2"/>
      <c r="I1476" s="5"/>
    </row>
    <row r="1477" spans="1:9" ht="17.399999999999999" x14ac:dyDescent="0.25">
      <c r="A1477" s="16"/>
      <c r="B1477" s="17"/>
      <c r="C1477" s="2"/>
      <c r="D1477" s="2"/>
      <c r="E1477" s="2"/>
      <c r="F1477" s="2"/>
      <c r="G1477" s="2"/>
      <c r="H1477" s="2"/>
      <c r="I1477" s="5"/>
    </row>
    <row r="1478" spans="1:9" ht="17.399999999999999" x14ac:dyDescent="0.25">
      <c r="A1478" s="16"/>
      <c r="B1478" s="17"/>
      <c r="C1478" s="2"/>
      <c r="D1478" s="2"/>
      <c r="E1478" s="2"/>
      <c r="F1478" s="2"/>
      <c r="G1478" s="2"/>
      <c r="H1478" s="2"/>
      <c r="I1478" s="5"/>
    </row>
    <row r="1479" spans="1:9" ht="17.399999999999999" x14ac:dyDescent="0.25">
      <c r="A1479" s="16"/>
      <c r="B1479" s="17"/>
      <c r="C1479" s="2"/>
      <c r="D1479" s="2"/>
      <c r="E1479" s="2"/>
      <c r="F1479" s="2"/>
      <c r="G1479" s="2"/>
      <c r="H1479" s="2"/>
      <c r="I1479" s="5"/>
    </row>
    <row r="1480" spans="1:9" ht="17.399999999999999" x14ac:dyDescent="0.25">
      <c r="A1480" s="16"/>
      <c r="B1480" s="17"/>
      <c r="C1480" s="2"/>
      <c r="D1480" s="2"/>
      <c r="E1480" s="2"/>
      <c r="F1480" s="2"/>
      <c r="G1480" s="2"/>
      <c r="H1480" s="2"/>
      <c r="I1480" s="5"/>
    </row>
    <row r="1481" spans="1:9" ht="17.399999999999999" x14ac:dyDescent="0.25">
      <c r="A1481" s="16"/>
      <c r="B1481" s="17"/>
      <c r="C1481" s="2"/>
      <c r="D1481" s="2"/>
      <c r="E1481" s="2"/>
      <c r="F1481" s="2"/>
      <c r="G1481" s="2"/>
      <c r="H1481" s="2"/>
      <c r="I1481" s="5"/>
    </row>
    <row r="1482" spans="1:9" ht="17.399999999999999" x14ac:dyDescent="0.25">
      <c r="A1482" s="16"/>
      <c r="B1482" s="17"/>
      <c r="C1482" s="2"/>
      <c r="D1482" s="2"/>
      <c r="E1482" s="2"/>
      <c r="F1482" s="2"/>
      <c r="G1482" s="2"/>
      <c r="H1482" s="2"/>
      <c r="I1482" s="5"/>
    </row>
    <row r="1483" spans="1:9" ht="17.399999999999999" x14ac:dyDescent="0.25">
      <c r="A1483" s="16"/>
      <c r="B1483" s="17"/>
      <c r="C1483" s="2"/>
      <c r="D1483" s="2"/>
      <c r="E1483" s="2"/>
      <c r="F1483" s="2"/>
      <c r="G1483" s="2"/>
      <c r="H1483" s="2"/>
      <c r="I1483" s="5"/>
    </row>
    <row r="1484" spans="1:9" ht="17.399999999999999" x14ac:dyDescent="0.25">
      <c r="A1484" s="16"/>
      <c r="B1484" s="17"/>
      <c r="C1484" s="2"/>
      <c r="D1484" s="2"/>
      <c r="E1484" s="2"/>
      <c r="F1484" s="2"/>
      <c r="G1484" s="2"/>
      <c r="H1484" s="2"/>
      <c r="I1484" s="5"/>
    </row>
    <row r="1485" spans="1:9" ht="17.399999999999999" x14ac:dyDescent="0.25">
      <c r="A1485" s="16"/>
      <c r="B1485" s="17"/>
      <c r="C1485" s="2"/>
      <c r="D1485" s="2"/>
      <c r="E1485" s="2"/>
      <c r="F1485" s="2"/>
      <c r="G1485" s="2"/>
      <c r="H1485" s="2"/>
      <c r="I1485" s="5"/>
    </row>
    <row r="1486" spans="1:9" ht="17.399999999999999" x14ac:dyDescent="0.25">
      <c r="A1486" s="16"/>
      <c r="B1486" s="17"/>
      <c r="C1486" s="2"/>
      <c r="D1486" s="2"/>
      <c r="E1486" s="2"/>
      <c r="F1486" s="2"/>
      <c r="G1486" s="2"/>
      <c r="H1486" s="2"/>
      <c r="I1486" s="5"/>
    </row>
    <row r="1487" spans="1:9" ht="17.399999999999999" x14ac:dyDescent="0.25">
      <c r="A1487" s="16"/>
      <c r="B1487" s="17"/>
      <c r="C1487" s="2"/>
      <c r="D1487" s="2"/>
      <c r="E1487" s="2"/>
      <c r="F1487" s="2"/>
      <c r="G1487" s="2"/>
      <c r="H1487" s="2"/>
      <c r="I1487" s="5"/>
    </row>
    <row r="1488" spans="1:9" ht="17.399999999999999" x14ac:dyDescent="0.25">
      <c r="A1488" s="16"/>
      <c r="B1488" s="17"/>
      <c r="C1488" s="2"/>
      <c r="D1488" s="2"/>
      <c r="E1488" s="2"/>
      <c r="F1488" s="2"/>
      <c r="G1488" s="2"/>
      <c r="H1488" s="2"/>
      <c r="I1488" s="5"/>
    </row>
    <row r="1489" spans="1:9" ht="17.399999999999999" x14ac:dyDescent="0.25">
      <c r="A1489" s="16"/>
      <c r="B1489" s="17"/>
      <c r="C1489" s="2"/>
      <c r="D1489" s="2"/>
      <c r="E1489" s="2"/>
      <c r="F1489" s="2"/>
      <c r="G1489" s="2"/>
      <c r="H1489" s="2"/>
      <c r="I1489" s="5"/>
    </row>
    <row r="1490" spans="1:9" ht="17.399999999999999" x14ac:dyDescent="0.25">
      <c r="A1490" s="16"/>
      <c r="B1490" s="17"/>
      <c r="C1490" s="2"/>
      <c r="D1490" s="2"/>
      <c r="E1490" s="2"/>
      <c r="F1490" s="2"/>
      <c r="G1490" s="2"/>
      <c r="H1490" s="2"/>
      <c r="I1490" s="5"/>
    </row>
    <row r="1491" spans="1:9" ht="17.399999999999999" x14ac:dyDescent="0.25">
      <c r="A1491" s="16"/>
      <c r="B1491" s="17"/>
      <c r="C1491" s="2"/>
      <c r="D1491" s="2"/>
      <c r="E1491" s="2"/>
      <c r="F1491" s="2"/>
      <c r="G1491" s="2"/>
      <c r="H1491" s="2"/>
      <c r="I1491" s="5"/>
    </row>
    <row r="1492" spans="1:9" ht="17.399999999999999" x14ac:dyDescent="0.25">
      <c r="A1492" s="16"/>
      <c r="B1492" s="17"/>
      <c r="C1492" s="2"/>
      <c r="D1492" s="2"/>
      <c r="E1492" s="2"/>
      <c r="F1492" s="2"/>
      <c r="G1492" s="2"/>
      <c r="H1492" s="2"/>
      <c r="I1492" s="5"/>
    </row>
    <row r="1493" spans="1:9" ht="17.399999999999999" x14ac:dyDescent="0.25">
      <c r="A1493" s="16"/>
      <c r="B1493" s="17"/>
      <c r="C1493" s="2"/>
      <c r="D1493" s="2"/>
      <c r="E1493" s="2"/>
      <c r="F1493" s="2"/>
      <c r="G1493" s="2"/>
      <c r="H1493" s="2"/>
      <c r="I1493" s="5"/>
    </row>
    <row r="1494" spans="1:9" ht="17.399999999999999" x14ac:dyDescent="0.25">
      <c r="A1494" s="16"/>
      <c r="B1494" s="17"/>
      <c r="C1494" s="2"/>
      <c r="D1494" s="2"/>
      <c r="E1494" s="2"/>
      <c r="F1494" s="2"/>
      <c r="G1494" s="2"/>
      <c r="H1494" s="2"/>
      <c r="I1494" s="5"/>
    </row>
    <row r="1495" spans="1:9" ht="17.399999999999999" x14ac:dyDescent="0.25">
      <c r="A1495" s="16"/>
      <c r="B1495" s="17"/>
      <c r="C1495" s="2"/>
      <c r="D1495" s="2"/>
      <c r="E1495" s="2"/>
      <c r="F1495" s="2"/>
      <c r="G1495" s="2"/>
      <c r="H1495" s="2"/>
      <c r="I1495" s="5"/>
    </row>
    <row r="1496" spans="1:9" ht="17.399999999999999" x14ac:dyDescent="0.25">
      <c r="A1496" s="16"/>
      <c r="B1496" s="17"/>
      <c r="C1496" s="2"/>
      <c r="D1496" s="2"/>
      <c r="E1496" s="2"/>
      <c r="F1496" s="2"/>
      <c r="G1496" s="2"/>
      <c r="H1496" s="2"/>
      <c r="I1496" s="5"/>
    </row>
    <row r="1497" spans="1:9" ht="17.399999999999999" x14ac:dyDescent="0.25">
      <c r="A1497" s="16"/>
      <c r="B1497" s="17"/>
      <c r="C1497" s="2"/>
      <c r="D1497" s="2"/>
      <c r="E1497" s="2"/>
      <c r="F1497" s="2"/>
      <c r="G1497" s="2"/>
      <c r="H1497" s="2"/>
      <c r="I1497" s="5"/>
    </row>
    <row r="1498" spans="1:9" ht="17.399999999999999" x14ac:dyDescent="0.25">
      <c r="A1498" s="16"/>
      <c r="B1498" s="17"/>
      <c r="C1498" s="2"/>
      <c r="D1498" s="2"/>
      <c r="E1498" s="2"/>
      <c r="F1498" s="2"/>
      <c r="G1498" s="2"/>
      <c r="H1498" s="2"/>
      <c r="I1498" s="5"/>
    </row>
    <row r="1499" spans="1:9" ht="17.399999999999999" x14ac:dyDescent="0.25">
      <c r="A1499" s="16"/>
      <c r="B1499" s="17"/>
      <c r="C1499" s="2"/>
      <c r="D1499" s="2"/>
      <c r="E1499" s="2"/>
      <c r="F1499" s="2"/>
      <c r="G1499" s="2"/>
      <c r="H1499" s="2"/>
      <c r="I1499" s="5"/>
    </row>
    <row r="1500" spans="1:9" ht="17.399999999999999" x14ac:dyDescent="0.25">
      <c r="A1500" s="16"/>
      <c r="B1500" s="17"/>
      <c r="C1500" s="2"/>
      <c r="D1500" s="2"/>
      <c r="E1500" s="2"/>
      <c r="F1500" s="2"/>
      <c r="G1500" s="2"/>
      <c r="H1500" s="2"/>
      <c r="I1500" s="5"/>
    </row>
    <row r="1501" spans="1:9" ht="17.399999999999999" x14ac:dyDescent="0.25">
      <c r="A1501" s="16"/>
      <c r="B1501" s="17"/>
      <c r="C1501" s="2"/>
      <c r="D1501" s="2"/>
      <c r="E1501" s="2"/>
      <c r="F1501" s="2"/>
      <c r="G1501" s="2"/>
      <c r="H1501" s="2"/>
      <c r="I1501" s="5"/>
    </row>
    <row r="1502" spans="1:9" ht="17.399999999999999" x14ac:dyDescent="0.25">
      <c r="A1502" s="16"/>
      <c r="B1502" s="17"/>
      <c r="C1502" s="2"/>
      <c r="D1502" s="2"/>
      <c r="E1502" s="2"/>
      <c r="F1502" s="2"/>
      <c r="G1502" s="2"/>
      <c r="H1502" s="2"/>
      <c r="I1502" s="5"/>
    </row>
    <row r="1503" spans="1:9" ht="17.399999999999999" x14ac:dyDescent="0.25">
      <c r="A1503" s="16"/>
      <c r="B1503" s="17"/>
      <c r="C1503" s="2"/>
      <c r="D1503" s="2"/>
      <c r="E1503" s="2"/>
      <c r="F1503" s="2"/>
      <c r="G1503" s="2"/>
      <c r="H1503" s="2"/>
      <c r="I1503" s="5"/>
    </row>
    <row r="1504" spans="1:9" ht="17.399999999999999" x14ac:dyDescent="0.25">
      <c r="A1504" s="16"/>
      <c r="B1504" s="17"/>
      <c r="C1504" s="2"/>
      <c r="D1504" s="2"/>
      <c r="E1504" s="2"/>
      <c r="F1504" s="2"/>
      <c r="G1504" s="2"/>
      <c r="H1504" s="2"/>
      <c r="I1504" s="5"/>
    </row>
    <row r="1505" spans="1:9" ht="17.399999999999999" x14ac:dyDescent="0.25">
      <c r="A1505" s="16"/>
      <c r="B1505" s="17"/>
      <c r="C1505" s="2"/>
      <c r="D1505" s="2"/>
      <c r="E1505" s="2"/>
      <c r="F1505" s="2"/>
      <c r="G1505" s="2"/>
      <c r="H1505" s="2"/>
      <c r="I1505" s="5"/>
    </row>
    <row r="1506" spans="1:9" ht="17.399999999999999" x14ac:dyDescent="0.25">
      <c r="A1506" s="16"/>
      <c r="B1506" s="17"/>
      <c r="C1506" s="2"/>
      <c r="D1506" s="2"/>
      <c r="E1506" s="2"/>
      <c r="F1506" s="2"/>
      <c r="G1506" s="2"/>
      <c r="H1506" s="2"/>
      <c r="I1506" s="5"/>
    </row>
    <row r="1507" spans="1:9" ht="17.399999999999999" x14ac:dyDescent="0.25">
      <c r="A1507" s="16"/>
      <c r="B1507" s="17"/>
      <c r="C1507" s="2"/>
      <c r="D1507" s="2"/>
      <c r="E1507" s="2"/>
      <c r="F1507" s="2"/>
      <c r="G1507" s="2"/>
      <c r="H1507" s="2"/>
      <c r="I1507" s="5"/>
    </row>
    <row r="1508" spans="1:9" ht="17.399999999999999" x14ac:dyDescent="0.25">
      <c r="A1508" s="16"/>
      <c r="B1508" s="17"/>
      <c r="C1508" s="2"/>
      <c r="D1508" s="2"/>
      <c r="E1508" s="2"/>
      <c r="F1508" s="2"/>
      <c r="G1508" s="2"/>
      <c r="H1508" s="2"/>
      <c r="I1508" s="5"/>
    </row>
    <row r="1509" spans="1:9" ht="17.399999999999999" x14ac:dyDescent="0.25">
      <c r="A1509" s="16"/>
      <c r="B1509" s="17"/>
      <c r="C1509" s="2"/>
      <c r="D1509" s="2"/>
      <c r="E1509" s="2"/>
      <c r="F1509" s="2"/>
      <c r="G1509" s="2"/>
      <c r="H1509" s="2"/>
      <c r="I1509" s="5"/>
    </row>
    <row r="1510" spans="1:9" ht="17.399999999999999" x14ac:dyDescent="0.25">
      <c r="A1510" s="16"/>
      <c r="B1510" s="17"/>
      <c r="C1510" s="2"/>
      <c r="D1510" s="2"/>
      <c r="E1510" s="2"/>
      <c r="F1510" s="2"/>
      <c r="G1510" s="2"/>
      <c r="H1510" s="2"/>
      <c r="I1510" s="5"/>
    </row>
    <row r="1511" spans="1:9" ht="17.399999999999999" x14ac:dyDescent="0.25">
      <c r="A1511" s="16"/>
      <c r="B1511" s="17"/>
      <c r="C1511" s="2"/>
      <c r="D1511" s="2"/>
      <c r="E1511" s="2"/>
      <c r="F1511" s="2"/>
      <c r="G1511" s="2"/>
      <c r="H1511" s="2"/>
      <c r="I1511" s="5"/>
    </row>
    <row r="1512" spans="1:9" ht="17.399999999999999" x14ac:dyDescent="0.25">
      <c r="A1512" s="16"/>
      <c r="B1512" s="17"/>
      <c r="C1512" s="2"/>
      <c r="D1512" s="2"/>
      <c r="E1512" s="2"/>
      <c r="F1512" s="2"/>
      <c r="G1512" s="2"/>
      <c r="H1512" s="2"/>
      <c r="I1512" s="5"/>
    </row>
    <row r="1513" spans="1:9" ht="17.399999999999999" x14ac:dyDescent="0.25">
      <c r="A1513" s="16"/>
      <c r="B1513" s="17"/>
      <c r="C1513" s="2"/>
      <c r="D1513" s="2"/>
      <c r="E1513" s="2"/>
      <c r="F1513" s="2"/>
      <c r="G1513" s="2"/>
      <c r="H1513" s="2"/>
      <c r="I1513" s="5"/>
    </row>
    <row r="1514" spans="1:9" ht="17.399999999999999" x14ac:dyDescent="0.25">
      <c r="A1514" s="16"/>
      <c r="B1514" s="17"/>
      <c r="C1514" s="2"/>
      <c r="D1514" s="2"/>
      <c r="E1514" s="2"/>
      <c r="F1514" s="2"/>
      <c r="G1514" s="2"/>
      <c r="H1514" s="2"/>
      <c r="I1514" s="5"/>
    </row>
    <row r="1515" spans="1:9" ht="17.399999999999999" x14ac:dyDescent="0.25">
      <c r="A1515" s="16"/>
      <c r="B1515" s="17"/>
      <c r="C1515" s="2"/>
      <c r="D1515" s="2"/>
      <c r="E1515" s="2"/>
      <c r="F1515" s="2"/>
      <c r="G1515" s="2"/>
      <c r="H1515" s="2"/>
      <c r="I1515" s="5"/>
    </row>
    <row r="1516" spans="1:9" ht="17.399999999999999" x14ac:dyDescent="0.25">
      <c r="A1516" s="16"/>
      <c r="B1516" s="17"/>
      <c r="C1516" s="2"/>
      <c r="D1516" s="2"/>
      <c r="E1516" s="2"/>
      <c r="F1516" s="2"/>
      <c r="G1516" s="2"/>
      <c r="H1516" s="2"/>
      <c r="I1516" s="5"/>
    </row>
    <row r="1517" spans="1:9" ht="17.399999999999999" x14ac:dyDescent="0.25">
      <c r="A1517" s="16"/>
      <c r="B1517" s="17"/>
      <c r="C1517" s="2"/>
      <c r="D1517" s="2"/>
      <c r="E1517" s="2"/>
      <c r="F1517" s="2"/>
      <c r="G1517" s="2"/>
      <c r="H1517" s="2"/>
      <c r="I1517" s="5"/>
    </row>
    <row r="1518" spans="1:9" ht="17.399999999999999" x14ac:dyDescent="0.25">
      <c r="A1518" s="16"/>
      <c r="B1518" s="17"/>
      <c r="C1518" s="2"/>
      <c r="D1518" s="2"/>
      <c r="E1518" s="2"/>
      <c r="F1518" s="2"/>
      <c r="G1518" s="2"/>
      <c r="H1518" s="2"/>
      <c r="I1518" s="5"/>
    </row>
    <row r="1519" spans="1:9" ht="17.399999999999999" x14ac:dyDescent="0.25">
      <c r="A1519" s="16"/>
      <c r="B1519" s="17"/>
      <c r="C1519" s="2"/>
      <c r="D1519" s="2"/>
      <c r="E1519" s="2"/>
      <c r="F1519" s="2"/>
      <c r="G1519" s="2"/>
      <c r="H1519" s="2"/>
      <c r="I1519" s="5"/>
    </row>
    <row r="1520" spans="1:9" ht="17.399999999999999" x14ac:dyDescent="0.25">
      <c r="A1520" s="16"/>
      <c r="B1520" s="17"/>
      <c r="C1520" s="2"/>
      <c r="D1520" s="2"/>
      <c r="E1520" s="2"/>
      <c r="F1520" s="2"/>
      <c r="G1520" s="2"/>
      <c r="H1520" s="2"/>
      <c r="I1520" s="5"/>
    </row>
    <row r="1521" spans="1:9" ht="17.399999999999999" x14ac:dyDescent="0.25">
      <c r="A1521" s="16"/>
      <c r="B1521" s="17"/>
      <c r="C1521" s="2"/>
      <c r="D1521" s="2"/>
      <c r="E1521" s="2"/>
      <c r="F1521" s="2"/>
      <c r="G1521" s="2"/>
      <c r="H1521" s="2"/>
      <c r="I1521" s="5"/>
    </row>
    <row r="1522" spans="1:9" ht="17.399999999999999" x14ac:dyDescent="0.25">
      <c r="A1522" s="16"/>
      <c r="B1522" s="17"/>
      <c r="C1522" s="2"/>
      <c r="D1522" s="2"/>
      <c r="E1522" s="2"/>
      <c r="F1522" s="2"/>
      <c r="G1522" s="2"/>
      <c r="H1522" s="2"/>
      <c r="I1522" s="5"/>
    </row>
    <row r="1523" spans="1:9" ht="17.399999999999999" x14ac:dyDescent="0.25">
      <c r="A1523" s="16"/>
      <c r="B1523" s="17"/>
      <c r="C1523" s="2"/>
      <c r="D1523" s="2"/>
      <c r="E1523" s="2"/>
      <c r="F1523" s="2"/>
      <c r="G1523" s="2"/>
      <c r="H1523" s="2"/>
      <c r="I1523" s="5"/>
    </row>
    <row r="1524" spans="1:9" ht="17.399999999999999" x14ac:dyDescent="0.25">
      <c r="A1524" s="16"/>
      <c r="B1524" s="17"/>
      <c r="C1524" s="2"/>
      <c r="D1524" s="2"/>
      <c r="E1524" s="2"/>
      <c r="F1524" s="2"/>
      <c r="G1524" s="2"/>
      <c r="H1524" s="2"/>
      <c r="I1524" s="5"/>
    </row>
    <row r="1525" spans="1:9" ht="17.399999999999999" x14ac:dyDescent="0.25">
      <c r="A1525" s="16"/>
      <c r="B1525" s="17"/>
      <c r="C1525" s="2"/>
      <c r="D1525" s="2"/>
      <c r="E1525" s="2"/>
      <c r="F1525" s="2"/>
      <c r="G1525" s="2"/>
      <c r="H1525" s="2"/>
      <c r="I1525" s="5"/>
    </row>
    <row r="1526" spans="1:9" ht="17.399999999999999" x14ac:dyDescent="0.25">
      <c r="A1526" s="16"/>
      <c r="B1526" s="17"/>
      <c r="C1526" s="2"/>
      <c r="D1526" s="2"/>
      <c r="E1526" s="2"/>
      <c r="F1526" s="2"/>
      <c r="G1526" s="2"/>
      <c r="H1526" s="2"/>
      <c r="I1526" s="5"/>
    </row>
    <row r="1527" spans="1:9" ht="17.399999999999999" x14ac:dyDescent="0.25">
      <c r="A1527" s="16"/>
      <c r="B1527" s="17"/>
      <c r="C1527" s="2"/>
      <c r="D1527" s="2"/>
      <c r="E1527" s="2"/>
      <c r="F1527" s="2"/>
      <c r="G1527" s="2"/>
      <c r="H1527" s="2"/>
      <c r="I1527" s="5"/>
    </row>
    <row r="1528" spans="1:9" ht="17.399999999999999" x14ac:dyDescent="0.25">
      <c r="A1528" s="16"/>
      <c r="B1528" s="17"/>
      <c r="C1528" s="2"/>
      <c r="D1528" s="2"/>
      <c r="E1528" s="2"/>
      <c r="F1528" s="2"/>
      <c r="G1528" s="2"/>
      <c r="H1528" s="2"/>
      <c r="I1528" s="5"/>
    </row>
    <row r="1529" spans="1:9" ht="17.399999999999999" x14ac:dyDescent="0.25">
      <c r="A1529" s="16"/>
      <c r="B1529" s="17"/>
      <c r="C1529" s="2"/>
      <c r="D1529" s="2"/>
      <c r="E1529" s="2"/>
      <c r="F1529" s="2"/>
      <c r="G1529" s="2"/>
      <c r="H1529" s="2"/>
      <c r="I1529" s="5"/>
    </row>
    <row r="1530" spans="1:9" ht="17.399999999999999" x14ac:dyDescent="0.25">
      <c r="A1530" s="16"/>
      <c r="B1530" s="17"/>
      <c r="C1530" s="2"/>
      <c r="D1530" s="2"/>
      <c r="E1530" s="2"/>
      <c r="F1530" s="2"/>
      <c r="G1530" s="2"/>
      <c r="H1530" s="2"/>
      <c r="I1530" s="5"/>
    </row>
    <row r="1531" spans="1:9" ht="17.399999999999999" x14ac:dyDescent="0.25">
      <c r="A1531" s="16"/>
      <c r="B1531" s="17"/>
      <c r="C1531" s="2"/>
      <c r="D1531" s="2"/>
      <c r="E1531" s="2"/>
      <c r="F1531" s="2"/>
      <c r="G1531" s="2"/>
      <c r="H1531" s="2"/>
      <c r="I1531" s="5"/>
    </row>
    <row r="1532" spans="1:9" ht="17.399999999999999" x14ac:dyDescent="0.25">
      <c r="A1532" s="16"/>
      <c r="B1532" s="17"/>
      <c r="C1532" s="2"/>
      <c r="D1532" s="2"/>
      <c r="E1532" s="2"/>
      <c r="F1532" s="2"/>
      <c r="G1532" s="2"/>
      <c r="H1532" s="2"/>
      <c r="I1532" s="5"/>
    </row>
    <row r="1533" spans="1:9" ht="17.399999999999999" x14ac:dyDescent="0.25">
      <c r="A1533" s="16"/>
      <c r="B1533" s="17"/>
      <c r="C1533" s="2"/>
      <c r="D1533" s="2"/>
      <c r="E1533" s="2"/>
      <c r="F1533" s="2"/>
      <c r="G1533" s="2"/>
      <c r="H1533" s="2"/>
      <c r="I1533" s="5"/>
    </row>
    <row r="1534" spans="1:9" ht="17.399999999999999" x14ac:dyDescent="0.25">
      <c r="A1534" s="16"/>
      <c r="B1534" s="17"/>
      <c r="C1534" s="2"/>
      <c r="D1534" s="2"/>
      <c r="E1534" s="2"/>
      <c r="F1534" s="2"/>
      <c r="G1534" s="2"/>
      <c r="H1534" s="2"/>
      <c r="I1534" s="5"/>
    </row>
    <row r="1535" spans="1:9" ht="17.399999999999999" x14ac:dyDescent="0.25">
      <c r="A1535" s="16"/>
      <c r="B1535" s="17"/>
      <c r="C1535" s="2"/>
      <c r="D1535" s="2"/>
      <c r="E1535" s="2"/>
      <c r="F1535" s="2"/>
      <c r="G1535" s="2"/>
      <c r="H1535" s="2"/>
      <c r="I1535" s="5"/>
    </row>
    <row r="1536" spans="1:9" ht="17.399999999999999" x14ac:dyDescent="0.25">
      <c r="A1536" s="16"/>
      <c r="B1536" s="17"/>
      <c r="C1536" s="2"/>
      <c r="D1536" s="2"/>
      <c r="E1536" s="2"/>
      <c r="F1536" s="2"/>
      <c r="G1536" s="2"/>
      <c r="H1536" s="2"/>
      <c r="I1536" s="5"/>
    </row>
    <row r="1537" spans="1:9" ht="17.399999999999999" x14ac:dyDescent="0.25">
      <c r="A1537" s="16"/>
      <c r="B1537" s="17"/>
      <c r="C1537" s="2"/>
      <c r="D1537" s="2"/>
      <c r="E1537" s="2"/>
      <c r="F1537" s="2"/>
      <c r="G1537" s="2"/>
      <c r="H1537" s="2"/>
      <c r="I1537" s="5"/>
    </row>
    <row r="1538" spans="1:9" ht="17.399999999999999" x14ac:dyDescent="0.25">
      <c r="A1538" s="16"/>
      <c r="B1538" s="17"/>
      <c r="C1538" s="2"/>
      <c r="D1538" s="2"/>
      <c r="E1538" s="2"/>
      <c r="F1538" s="2"/>
      <c r="G1538" s="2"/>
      <c r="H1538" s="2"/>
      <c r="I1538" s="5"/>
    </row>
    <row r="1539" spans="1:9" ht="17.399999999999999" x14ac:dyDescent="0.25">
      <c r="A1539" s="16"/>
      <c r="B1539" s="17"/>
      <c r="C1539" s="2"/>
      <c r="D1539" s="2"/>
      <c r="E1539" s="2"/>
      <c r="F1539" s="2"/>
      <c r="G1539" s="2"/>
      <c r="H1539" s="2"/>
      <c r="I1539" s="5"/>
    </row>
    <row r="1540" spans="1:9" ht="17.399999999999999" x14ac:dyDescent="0.25">
      <c r="A1540" s="16"/>
      <c r="B1540" s="17"/>
      <c r="C1540" s="2"/>
      <c r="D1540" s="2"/>
      <c r="E1540" s="2"/>
      <c r="F1540" s="2"/>
      <c r="G1540" s="2"/>
      <c r="H1540" s="2"/>
      <c r="I1540" s="5"/>
    </row>
    <row r="1541" spans="1:9" ht="17.399999999999999" x14ac:dyDescent="0.25">
      <c r="A1541" s="16"/>
      <c r="B1541" s="17"/>
      <c r="C1541" s="2"/>
      <c r="D1541" s="2"/>
      <c r="E1541" s="2"/>
      <c r="F1541" s="2"/>
      <c r="G1541" s="2"/>
      <c r="H1541" s="2"/>
      <c r="I1541" s="5"/>
    </row>
    <row r="1542" spans="1:9" ht="17.399999999999999" x14ac:dyDescent="0.25">
      <c r="A1542" s="16"/>
      <c r="B1542" s="17"/>
      <c r="C1542" s="2"/>
      <c r="D1542" s="2"/>
      <c r="E1542" s="2"/>
      <c r="F1542" s="2"/>
      <c r="G1542" s="2"/>
      <c r="H1542" s="2"/>
      <c r="I1542" s="5"/>
    </row>
    <row r="1543" spans="1:9" ht="17.399999999999999" x14ac:dyDescent="0.25">
      <c r="A1543" s="16"/>
      <c r="B1543" s="17"/>
      <c r="C1543" s="2"/>
      <c r="D1543" s="2"/>
      <c r="E1543" s="2"/>
      <c r="F1543" s="2"/>
      <c r="G1543" s="2"/>
      <c r="H1543" s="2"/>
      <c r="I1543" s="5"/>
    </row>
    <row r="1544" spans="1:9" ht="17.399999999999999" x14ac:dyDescent="0.25">
      <c r="A1544" s="16"/>
      <c r="B1544" s="17"/>
      <c r="C1544" s="2"/>
      <c r="D1544" s="2"/>
      <c r="E1544" s="2"/>
      <c r="F1544" s="2"/>
      <c r="G1544" s="2"/>
      <c r="H1544" s="2"/>
      <c r="I1544" s="5"/>
    </row>
    <row r="1545" spans="1:9" ht="17.399999999999999" x14ac:dyDescent="0.25">
      <c r="A1545" s="16"/>
      <c r="B1545" s="17"/>
      <c r="C1545" s="2"/>
      <c r="D1545" s="2"/>
      <c r="E1545" s="2"/>
      <c r="F1545" s="2"/>
      <c r="G1545" s="2"/>
      <c r="H1545" s="2"/>
      <c r="I1545" s="5"/>
    </row>
    <row r="1546" spans="1:9" ht="17.399999999999999" x14ac:dyDescent="0.25">
      <c r="A1546" s="16"/>
      <c r="B1546" s="17"/>
      <c r="C1546" s="2"/>
      <c r="D1546" s="2"/>
      <c r="E1546" s="2"/>
      <c r="F1546" s="2"/>
      <c r="G1546" s="2"/>
      <c r="H1546" s="2"/>
      <c r="I1546" s="5"/>
    </row>
    <row r="1547" spans="1:9" ht="17.399999999999999" x14ac:dyDescent="0.25">
      <c r="A1547" s="16"/>
      <c r="B1547" s="17"/>
      <c r="C1547" s="2"/>
      <c r="D1547" s="2"/>
      <c r="E1547" s="2"/>
      <c r="F1547" s="2"/>
      <c r="G1547" s="2"/>
      <c r="H1547" s="2"/>
      <c r="I1547" s="5"/>
    </row>
    <row r="1548" spans="1:9" ht="17.399999999999999" x14ac:dyDescent="0.25">
      <c r="A1548" s="16"/>
      <c r="B1548" s="17"/>
      <c r="C1548" s="2"/>
      <c r="D1548" s="2"/>
      <c r="E1548" s="2"/>
      <c r="F1548" s="2"/>
      <c r="G1548" s="2"/>
      <c r="H1548" s="2"/>
      <c r="I1548" s="5"/>
    </row>
    <row r="1549" spans="1:9" ht="17.399999999999999" x14ac:dyDescent="0.25">
      <c r="A1549" s="16"/>
      <c r="B1549" s="17"/>
      <c r="C1549" s="2"/>
      <c r="D1549" s="2"/>
      <c r="E1549" s="2"/>
      <c r="F1549" s="2"/>
      <c r="G1549" s="2"/>
      <c r="H1549" s="2"/>
      <c r="I1549" s="5"/>
    </row>
    <row r="1550" spans="1:9" ht="17.399999999999999" x14ac:dyDescent="0.25">
      <c r="A1550" s="16"/>
      <c r="B1550" s="17"/>
      <c r="C1550" s="2"/>
      <c r="D1550" s="2"/>
      <c r="E1550" s="2"/>
      <c r="F1550" s="2"/>
      <c r="G1550" s="2"/>
      <c r="H1550" s="2"/>
      <c r="I1550" s="5"/>
    </row>
    <row r="1551" spans="1:9" ht="17.399999999999999" x14ac:dyDescent="0.25">
      <c r="A1551" s="16"/>
      <c r="B1551" s="17"/>
      <c r="C1551" s="2"/>
      <c r="D1551" s="2"/>
      <c r="E1551" s="2"/>
      <c r="F1551" s="2"/>
      <c r="G1551" s="2"/>
      <c r="H1551" s="2"/>
      <c r="I1551" s="5"/>
    </row>
    <row r="1552" spans="1:9" ht="17.399999999999999" x14ac:dyDescent="0.25">
      <c r="A1552" s="16"/>
      <c r="B1552" s="17"/>
      <c r="C1552" s="2"/>
      <c r="D1552" s="2"/>
      <c r="E1552" s="2"/>
      <c r="F1552" s="2"/>
      <c r="G1552" s="2"/>
      <c r="H1552" s="2"/>
      <c r="I1552" s="5"/>
    </row>
    <row r="1553" spans="1:9" ht="17.399999999999999" x14ac:dyDescent="0.25">
      <c r="A1553" s="16"/>
      <c r="B1553" s="17"/>
      <c r="C1553" s="2"/>
      <c r="D1553" s="2"/>
      <c r="E1553" s="2"/>
      <c r="F1553" s="2"/>
      <c r="G1553" s="2"/>
      <c r="H1553" s="2"/>
      <c r="I1553" s="5"/>
    </row>
    <row r="1554" spans="1:9" ht="17.399999999999999" x14ac:dyDescent="0.25">
      <c r="A1554" s="16"/>
      <c r="B1554" s="17"/>
      <c r="C1554" s="2"/>
      <c r="D1554" s="2"/>
      <c r="E1554" s="2"/>
      <c r="F1554" s="2"/>
      <c r="G1554" s="2"/>
      <c r="H1554" s="2"/>
      <c r="I1554" s="5"/>
    </row>
    <row r="1555" spans="1:9" ht="17.399999999999999" x14ac:dyDescent="0.25">
      <c r="A1555" s="16"/>
      <c r="B1555" s="17"/>
      <c r="C1555" s="2"/>
      <c r="D1555" s="2"/>
      <c r="E1555" s="2"/>
      <c r="F1555" s="2"/>
      <c r="G1555" s="2"/>
      <c r="H1555" s="2"/>
      <c r="I1555" s="5"/>
    </row>
    <row r="1556" spans="1:9" ht="17.399999999999999" x14ac:dyDescent="0.25">
      <c r="A1556" s="16"/>
      <c r="B1556" s="17"/>
      <c r="C1556" s="2"/>
      <c r="D1556" s="2"/>
      <c r="E1556" s="2"/>
      <c r="F1556" s="2"/>
      <c r="G1556" s="2"/>
      <c r="H1556" s="2"/>
      <c r="I1556" s="5"/>
    </row>
    <row r="1557" spans="1:9" ht="17.399999999999999" x14ac:dyDescent="0.25">
      <c r="A1557" s="16"/>
      <c r="B1557" s="17"/>
      <c r="C1557" s="2"/>
      <c r="D1557" s="2"/>
      <c r="E1557" s="2"/>
      <c r="F1557" s="2"/>
      <c r="G1557" s="2"/>
      <c r="H1557" s="2"/>
      <c r="I1557" s="5"/>
    </row>
    <row r="1558" spans="1:9" ht="17.399999999999999" x14ac:dyDescent="0.25">
      <c r="A1558" s="16"/>
      <c r="B1558" s="17"/>
      <c r="C1558" s="2"/>
      <c r="D1558" s="2"/>
      <c r="E1558" s="2"/>
      <c r="F1558" s="2"/>
      <c r="G1558" s="2"/>
      <c r="H1558" s="2"/>
      <c r="I1558" s="5"/>
    </row>
    <row r="1559" spans="1:9" ht="17.399999999999999" x14ac:dyDescent="0.25">
      <c r="A1559" s="16"/>
      <c r="B1559" s="17"/>
      <c r="C1559" s="2"/>
      <c r="D1559" s="2"/>
      <c r="E1559" s="2"/>
      <c r="F1559" s="2"/>
      <c r="G1559" s="2"/>
      <c r="H1559" s="2"/>
      <c r="I1559" s="5"/>
    </row>
    <row r="1560" spans="1:9" ht="17.399999999999999" x14ac:dyDescent="0.25">
      <c r="A1560" s="16"/>
      <c r="B1560" s="17"/>
      <c r="C1560" s="2"/>
      <c r="D1560" s="2"/>
      <c r="E1560" s="2"/>
      <c r="F1560" s="2"/>
      <c r="G1560" s="2"/>
      <c r="H1560" s="2"/>
      <c r="I1560" s="5"/>
    </row>
    <row r="1561" spans="1:9" ht="17.399999999999999" x14ac:dyDescent="0.25">
      <c r="A1561" s="16"/>
      <c r="B1561" s="17"/>
      <c r="C1561" s="2"/>
      <c r="D1561" s="2"/>
      <c r="E1561" s="2"/>
      <c r="F1561" s="2"/>
      <c r="G1561" s="2"/>
      <c r="H1561" s="2"/>
      <c r="I1561" s="5"/>
    </row>
    <row r="1562" spans="1:9" ht="17.399999999999999" x14ac:dyDescent="0.25">
      <c r="A1562" s="16"/>
      <c r="B1562" s="17"/>
      <c r="C1562" s="2"/>
      <c r="D1562" s="2"/>
      <c r="E1562" s="2"/>
      <c r="F1562" s="2"/>
      <c r="G1562" s="2"/>
      <c r="H1562" s="2"/>
      <c r="I1562" s="5"/>
    </row>
    <row r="1563" spans="1:9" ht="17.399999999999999" x14ac:dyDescent="0.25">
      <c r="A1563" s="16"/>
      <c r="B1563" s="17"/>
      <c r="C1563" s="2"/>
      <c r="D1563" s="2"/>
      <c r="E1563" s="2"/>
      <c r="F1563" s="2"/>
      <c r="G1563" s="2"/>
      <c r="H1563" s="2"/>
      <c r="I1563" s="5"/>
    </row>
    <row r="1564" spans="1:9" ht="17.399999999999999" x14ac:dyDescent="0.25">
      <c r="A1564" s="16"/>
      <c r="B1564" s="17"/>
      <c r="C1564" s="2"/>
      <c r="D1564" s="2"/>
      <c r="E1564" s="2"/>
      <c r="F1564" s="2"/>
      <c r="G1564" s="2"/>
      <c r="H1564" s="2"/>
      <c r="I1564" s="5"/>
    </row>
    <row r="1565" spans="1:9" ht="17.399999999999999" x14ac:dyDescent="0.25">
      <c r="A1565" s="16"/>
      <c r="B1565" s="17"/>
      <c r="C1565" s="2"/>
      <c r="D1565" s="2"/>
      <c r="E1565" s="2"/>
      <c r="F1565" s="2"/>
      <c r="G1565" s="2"/>
      <c r="H1565" s="2"/>
      <c r="I1565" s="5"/>
    </row>
    <row r="1566" spans="1:9" ht="17.399999999999999" x14ac:dyDescent="0.25">
      <c r="A1566" s="16"/>
      <c r="B1566" s="17"/>
      <c r="C1566" s="2"/>
      <c r="D1566" s="2"/>
      <c r="E1566" s="2"/>
      <c r="F1566" s="2"/>
      <c r="G1566" s="2"/>
      <c r="H1566" s="2"/>
      <c r="I1566" s="5"/>
    </row>
    <row r="1567" spans="1:9" ht="17.399999999999999" x14ac:dyDescent="0.25">
      <c r="A1567" s="16"/>
      <c r="B1567" s="17"/>
      <c r="C1567" s="2"/>
      <c r="D1567" s="2"/>
      <c r="E1567" s="2"/>
      <c r="F1567" s="2"/>
      <c r="G1567" s="2"/>
      <c r="H1567" s="2"/>
      <c r="I1567" s="5"/>
    </row>
    <row r="1568" spans="1:9" ht="17.399999999999999" x14ac:dyDescent="0.25">
      <c r="A1568" s="16"/>
      <c r="B1568" s="17"/>
      <c r="C1568" s="2"/>
      <c r="D1568" s="2"/>
      <c r="E1568" s="2"/>
      <c r="F1568" s="2"/>
      <c r="G1568" s="2"/>
      <c r="H1568" s="2"/>
      <c r="I1568" s="5"/>
    </row>
    <row r="1569" spans="1:9" ht="17.399999999999999" x14ac:dyDescent="0.25">
      <c r="A1569" s="16"/>
      <c r="B1569" s="17"/>
      <c r="C1569" s="2"/>
      <c r="D1569" s="2"/>
      <c r="E1569" s="2"/>
      <c r="F1569" s="2"/>
      <c r="G1569" s="2"/>
      <c r="H1569" s="2"/>
      <c r="I1569" s="5"/>
    </row>
    <row r="1570" spans="1:9" ht="17.399999999999999" x14ac:dyDescent="0.25">
      <c r="A1570" s="16"/>
      <c r="B1570" s="17"/>
      <c r="C1570" s="2"/>
      <c r="D1570" s="2"/>
      <c r="E1570" s="2"/>
      <c r="F1570" s="2"/>
      <c r="G1570" s="2"/>
      <c r="H1570" s="2"/>
      <c r="I1570" s="5"/>
    </row>
    <row r="1571" spans="1:9" ht="17.399999999999999" x14ac:dyDescent="0.25">
      <c r="A1571" s="16"/>
      <c r="B1571" s="17"/>
      <c r="C1571" s="2"/>
      <c r="D1571" s="2"/>
      <c r="E1571" s="2"/>
      <c r="F1571" s="2"/>
      <c r="G1571" s="2"/>
      <c r="H1571" s="2"/>
      <c r="I1571" s="5"/>
    </row>
    <row r="1572" spans="1:9" ht="17.399999999999999" x14ac:dyDescent="0.25">
      <c r="A1572" s="16"/>
      <c r="B1572" s="17"/>
      <c r="C1572" s="2"/>
      <c r="D1572" s="2"/>
      <c r="E1572" s="2"/>
      <c r="F1572" s="2"/>
      <c r="G1572" s="2"/>
      <c r="H1572" s="2"/>
      <c r="I1572" s="5"/>
    </row>
    <row r="1573" spans="1:9" ht="17.399999999999999" x14ac:dyDescent="0.25">
      <c r="A1573" s="16"/>
      <c r="B1573" s="17"/>
      <c r="C1573" s="2"/>
      <c r="D1573" s="2"/>
      <c r="E1573" s="2"/>
      <c r="F1573" s="2"/>
      <c r="G1573" s="2"/>
      <c r="H1573" s="2"/>
      <c r="I1573" s="5"/>
    </row>
    <row r="1574" spans="1:9" ht="17.399999999999999" x14ac:dyDescent="0.25">
      <c r="A1574" s="16"/>
      <c r="B1574" s="17"/>
      <c r="C1574" s="2"/>
      <c r="D1574" s="2"/>
      <c r="E1574" s="2"/>
      <c r="F1574" s="2"/>
      <c r="G1574" s="2"/>
      <c r="H1574" s="2"/>
      <c r="I1574" s="5"/>
    </row>
    <row r="1575" spans="1:9" ht="17.399999999999999" x14ac:dyDescent="0.25">
      <c r="A1575" s="16"/>
      <c r="B1575" s="17"/>
      <c r="C1575" s="2"/>
      <c r="D1575" s="2"/>
      <c r="E1575" s="2"/>
      <c r="F1575" s="2"/>
      <c r="G1575" s="2"/>
      <c r="H1575" s="2"/>
      <c r="I1575" s="5"/>
    </row>
    <row r="1576" spans="1:9" ht="17.399999999999999" x14ac:dyDescent="0.25">
      <c r="A1576" s="16"/>
      <c r="B1576" s="17"/>
      <c r="C1576" s="2"/>
      <c r="D1576" s="2"/>
      <c r="E1576" s="2"/>
      <c r="F1576" s="2"/>
      <c r="G1576" s="2"/>
      <c r="H1576" s="2"/>
      <c r="I1576" s="5"/>
    </row>
    <row r="1577" spans="1:9" ht="17.399999999999999" x14ac:dyDescent="0.25">
      <c r="A1577" s="16"/>
      <c r="B1577" s="17"/>
      <c r="C1577" s="2"/>
      <c r="D1577" s="2"/>
      <c r="E1577" s="2"/>
      <c r="F1577" s="2"/>
      <c r="G1577" s="2"/>
      <c r="H1577" s="2"/>
      <c r="I1577" s="5"/>
    </row>
    <row r="1578" spans="1:9" ht="17.399999999999999" x14ac:dyDescent="0.25">
      <c r="A1578" s="16"/>
      <c r="B1578" s="17"/>
      <c r="C1578" s="2"/>
      <c r="D1578" s="2"/>
      <c r="E1578" s="2"/>
      <c r="F1578" s="2"/>
      <c r="G1578" s="2"/>
      <c r="H1578" s="2"/>
      <c r="I1578" s="5"/>
    </row>
    <row r="1579" spans="1:9" ht="17.399999999999999" x14ac:dyDescent="0.25">
      <c r="A1579" s="16"/>
      <c r="B1579" s="17"/>
      <c r="C1579" s="2"/>
      <c r="D1579" s="2"/>
      <c r="E1579" s="2"/>
      <c r="F1579" s="2"/>
      <c r="G1579" s="2"/>
      <c r="H1579" s="2"/>
      <c r="I1579" s="5"/>
    </row>
    <row r="1580" spans="1:9" ht="17.399999999999999" x14ac:dyDescent="0.25">
      <c r="A1580" s="16"/>
      <c r="B1580" s="17"/>
      <c r="C1580" s="2"/>
      <c r="D1580" s="2"/>
      <c r="E1580" s="2"/>
      <c r="F1580" s="2"/>
      <c r="G1580" s="2"/>
      <c r="H1580" s="2"/>
      <c r="I1580" s="5"/>
    </row>
    <row r="1581" spans="1:9" ht="17.399999999999999" x14ac:dyDescent="0.25">
      <c r="A1581" s="16"/>
      <c r="B1581" s="17"/>
      <c r="C1581" s="2"/>
      <c r="D1581" s="2"/>
      <c r="E1581" s="2"/>
      <c r="F1581" s="2"/>
      <c r="G1581" s="2"/>
      <c r="H1581" s="2"/>
      <c r="I1581" s="5"/>
    </row>
    <row r="1582" spans="1:9" ht="17.399999999999999" x14ac:dyDescent="0.25">
      <c r="A1582" s="16"/>
      <c r="B1582" s="17"/>
      <c r="C1582" s="2"/>
      <c r="D1582" s="2"/>
      <c r="E1582" s="2"/>
      <c r="F1582" s="2"/>
      <c r="G1582" s="2"/>
      <c r="H1582" s="2"/>
      <c r="I1582" s="5"/>
    </row>
    <row r="1583" spans="1:9" ht="17.399999999999999" x14ac:dyDescent="0.25">
      <c r="A1583" s="16"/>
      <c r="B1583" s="17"/>
      <c r="C1583" s="2"/>
      <c r="D1583" s="2"/>
      <c r="E1583" s="2"/>
      <c r="F1583" s="2"/>
      <c r="G1583" s="2"/>
      <c r="H1583" s="2"/>
      <c r="I1583" s="5"/>
    </row>
    <row r="1584" spans="1:9" ht="17.399999999999999" x14ac:dyDescent="0.25">
      <c r="A1584" s="16"/>
      <c r="B1584" s="17"/>
      <c r="C1584" s="2"/>
      <c r="D1584" s="2"/>
      <c r="E1584" s="2"/>
      <c r="F1584" s="2"/>
      <c r="G1584" s="2"/>
      <c r="H1584" s="2"/>
      <c r="I1584" s="5"/>
    </row>
    <row r="1585" spans="1:9" ht="17.399999999999999" x14ac:dyDescent="0.25">
      <c r="A1585" s="16"/>
      <c r="B1585" s="17"/>
      <c r="C1585" s="2"/>
      <c r="D1585" s="2"/>
      <c r="E1585" s="2"/>
      <c r="F1585" s="2"/>
      <c r="G1585" s="2"/>
      <c r="H1585" s="2"/>
      <c r="I1585" s="5"/>
    </row>
    <row r="1586" spans="1:9" ht="17.399999999999999" x14ac:dyDescent="0.25">
      <c r="A1586" s="16"/>
      <c r="B1586" s="17"/>
      <c r="C1586" s="2"/>
      <c r="D1586" s="2"/>
      <c r="E1586" s="2"/>
      <c r="F1586" s="2"/>
      <c r="G1586" s="2"/>
      <c r="H1586" s="2"/>
      <c r="I1586" s="5"/>
    </row>
    <row r="1587" spans="1:9" ht="17.399999999999999" x14ac:dyDescent="0.25">
      <c r="A1587" s="16"/>
      <c r="B1587" s="17"/>
      <c r="C1587" s="2"/>
      <c r="D1587" s="2"/>
      <c r="E1587" s="2"/>
      <c r="F1587" s="2"/>
      <c r="G1587" s="2"/>
      <c r="H1587" s="2"/>
      <c r="I1587" s="5"/>
    </row>
    <row r="1588" spans="1:9" ht="17.399999999999999" x14ac:dyDescent="0.25">
      <c r="A1588" s="16"/>
      <c r="B1588" s="17"/>
      <c r="C1588" s="2"/>
      <c r="D1588" s="2"/>
      <c r="E1588" s="2"/>
      <c r="F1588" s="2"/>
      <c r="G1588" s="2"/>
      <c r="H1588" s="2"/>
      <c r="I1588" s="5"/>
    </row>
    <row r="1589" spans="1:9" ht="17.399999999999999" x14ac:dyDescent="0.25">
      <c r="A1589" s="16"/>
      <c r="B1589" s="17"/>
      <c r="C1589" s="2"/>
      <c r="D1589" s="2"/>
      <c r="E1589" s="2"/>
      <c r="F1589" s="2"/>
      <c r="G1589" s="2"/>
      <c r="H1589" s="2"/>
      <c r="I1589" s="5"/>
    </row>
    <row r="1590" spans="1:9" ht="17.399999999999999" x14ac:dyDescent="0.25">
      <c r="A1590" s="16"/>
      <c r="B1590" s="17"/>
      <c r="C1590" s="2"/>
      <c r="D1590" s="2"/>
      <c r="E1590" s="2"/>
      <c r="F1590" s="2"/>
      <c r="G1590" s="2"/>
      <c r="H1590" s="2"/>
      <c r="I1590" s="5"/>
    </row>
    <row r="1591" spans="1:9" ht="17.399999999999999" x14ac:dyDescent="0.25">
      <c r="A1591" s="16"/>
      <c r="B1591" s="17"/>
      <c r="C1591" s="2"/>
      <c r="D1591" s="2"/>
      <c r="E1591" s="2"/>
      <c r="F1591" s="2"/>
      <c r="G1591" s="2"/>
      <c r="H1591" s="2"/>
      <c r="I1591" s="5"/>
    </row>
    <row r="1592" spans="1:9" ht="17.399999999999999" x14ac:dyDescent="0.25">
      <c r="A1592" s="16"/>
      <c r="B1592" s="17"/>
      <c r="C1592" s="2"/>
      <c r="D1592" s="2"/>
      <c r="E1592" s="2"/>
      <c r="F1592" s="2"/>
      <c r="G1592" s="2"/>
      <c r="H1592" s="2"/>
      <c r="I1592" s="5"/>
    </row>
    <row r="1593" spans="1:9" ht="17.399999999999999" x14ac:dyDescent="0.25">
      <c r="A1593" s="16"/>
      <c r="B1593" s="17"/>
      <c r="C1593" s="2"/>
      <c r="D1593" s="2"/>
      <c r="E1593" s="2"/>
      <c r="F1593" s="2"/>
      <c r="G1593" s="2"/>
      <c r="H1593" s="2"/>
      <c r="I1593" s="5"/>
    </row>
    <row r="1594" spans="1:9" ht="17.399999999999999" x14ac:dyDescent="0.25">
      <c r="A1594" s="16"/>
      <c r="B1594" s="17"/>
      <c r="C1594" s="2"/>
      <c r="D1594" s="2"/>
      <c r="E1594" s="2"/>
      <c r="F1594" s="2"/>
      <c r="G1594" s="2"/>
      <c r="H1594" s="2"/>
      <c r="I1594" s="5"/>
    </row>
    <row r="1595" spans="1:9" ht="17.399999999999999" x14ac:dyDescent="0.25">
      <c r="A1595" s="16"/>
      <c r="B1595" s="17"/>
      <c r="C1595" s="2"/>
      <c r="D1595" s="2"/>
      <c r="E1595" s="2"/>
      <c r="F1595" s="2"/>
      <c r="G1595" s="2"/>
      <c r="H1595" s="2"/>
      <c r="I1595" s="5"/>
    </row>
    <row r="1596" spans="1:9" ht="17.399999999999999" x14ac:dyDescent="0.25">
      <c r="A1596" s="16"/>
      <c r="B1596" s="17"/>
      <c r="C1596" s="2"/>
      <c r="D1596" s="2"/>
      <c r="E1596" s="2"/>
      <c r="F1596" s="2"/>
      <c r="G1596" s="2"/>
      <c r="H1596" s="2"/>
      <c r="I1596" s="5"/>
    </row>
    <row r="1597" spans="1:9" ht="17.399999999999999" x14ac:dyDescent="0.25">
      <c r="A1597" s="16"/>
      <c r="B1597" s="17"/>
      <c r="C1597" s="2"/>
      <c r="D1597" s="2"/>
      <c r="E1597" s="2"/>
      <c r="F1597" s="2"/>
      <c r="G1597" s="2"/>
      <c r="H1597" s="2"/>
      <c r="I1597" s="5"/>
    </row>
    <row r="1598" spans="1:9" ht="17.399999999999999" x14ac:dyDescent="0.25">
      <c r="A1598" s="16"/>
      <c r="B1598" s="17"/>
      <c r="C1598" s="2"/>
      <c r="D1598" s="2"/>
      <c r="E1598" s="2"/>
      <c r="F1598" s="2"/>
      <c r="G1598" s="2"/>
      <c r="H1598" s="2"/>
      <c r="I1598" s="5"/>
    </row>
    <row r="1599" spans="1:9" ht="17.399999999999999" x14ac:dyDescent="0.25">
      <c r="A1599" s="16"/>
      <c r="B1599" s="17"/>
      <c r="C1599" s="2"/>
      <c r="D1599" s="2"/>
      <c r="E1599" s="2"/>
      <c r="F1599" s="2"/>
      <c r="G1599" s="2"/>
      <c r="H1599" s="2"/>
      <c r="I1599" s="5"/>
    </row>
    <row r="1600" spans="1:9" ht="17.399999999999999" x14ac:dyDescent="0.25">
      <c r="A1600" s="16"/>
      <c r="B1600" s="17"/>
      <c r="C1600" s="2"/>
      <c r="D1600" s="2"/>
      <c r="E1600" s="2"/>
      <c r="F1600" s="2"/>
      <c r="G1600" s="2"/>
      <c r="H1600" s="2"/>
      <c r="I1600" s="5"/>
    </row>
    <row r="1601" spans="1:9" ht="17.399999999999999" x14ac:dyDescent="0.25">
      <c r="A1601" s="16"/>
      <c r="B1601" s="17"/>
      <c r="C1601" s="2"/>
      <c r="D1601" s="2"/>
      <c r="E1601" s="2"/>
      <c r="F1601" s="2"/>
      <c r="G1601" s="2"/>
      <c r="H1601" s="2"/>
      <c r="I1601" s="5"/>
    </row>
    <row r="1602" spans="1:9" ht="17.399999999999999" x14ac:dyDescent="0.25">
      <c r="A1602" s="16"/>
      <c r="B1602" s="17"/>
      <c r="C1602" s="2"/>
      <c r="D1602" s="2"/>
      <c r="E1602" s="2"/>
      <c r="F1602" s="2"/>
      <c r="G1602" s="2"/>
      <c r="H1602" s="2"/>
      <c r="I1602" s="5"/>
    </row>
    <row r="1603" spans="1:9" ht="17.399999999999999" x14ac:dyDescent="0.25">
      <c r="A1603" s="16"/>
      <c r="B1603" s="17"/>
      <c r="C1603" s="2"/>
      <c r="D1603" s="2"/>
      <c r="E1603" s="2"/>
      <c r="F1603" s="2"/>
      <c r="G1603" s="2"/>
      <c r="H1603" s="2"/>
      <c r="I1603" s="5"/>
    </row>
    <row r="1604" spans="1:9" ht="17.399999999999999" x14ac:dyDescent="0.25">
      <c r="A1604" s="16"/>
      <c r="B1604" s="17"/>
      <c r="C1604" s="2"/>
      <c r="D1604" s="2"/>
      <c r="E1604" s="2"/>
      <c r="F1604" s="2"/>
      <c r="G1604" s="2"/>
      <c r="H1604" s="2"/>
      <c r="I1604" s="5"/>
    </row>
    <row r="1605" spans="1:9" ht="17.399999999999999" x14ac:dyDescent="0.25">
      <c r="A1605" s="16"/>
      <c r="B1605" s="17"/>
      <c r="C1605" s="2"/>
      <c r="D1605" s="2"/>
      <c r="E1605" s="2"/>
      <c r="F1605" s="2"/>
      <c r="G1605" s="2"/>
      <c r="H1605" s="2"/>
      <c r="I1605" s="5"/>
    </row>
    <row r="1606" spans="1:9" ht="17.399999999999999" x14ac:dyDescent="0.25">
      <c r="A1606" s="16"/>
      <c r="B1606" s="17"/>
      <c r="C1606" s="2"/>
      <c r="D1606" s="2"/>
      <c r="E1606" s="2"/>
      <c r="F1606" s="2"/>
      <c r="G1606" s="2"/>
      <c r="H1606" s="2"/>
      <c r="I1606" s="5"/>
    </row>
    <row r="1607" spans="1:9" ht="17.399999999999999" x14ac:dyDescent="0.25">
      <c r="A1607" s="16"/>
      <c r="B1607" s="17"/>
      <c r="C1607" s="2"/>
      <c r="D1607" s="2"/>
      <c r="E1607" s="2"/>
      <c r="F1607" s="2"/>
      <c r="G1607" s="2"/>
      <c r="H1607" s="2"/>
      <c r="I1607" s="5"/>
    </row>
    <row r="1608" spans="1:9" ht="17.399999999999999" x14ac:dyDescent="0.25">
      <c r="A1608" s="16"/>
      <c r="B1608" s="17"/>
      <c r="C1608" s="2"/>
      <c r="D1608" s="2"/>
      <c r="E1608" s="2"/>
      <c r="F1608" s="2"/>
      <c r="G1608" s="2"/>
      <c r="H1608" s="2"/>
      <c r="I1608" s="5"/>
    </row>
    <row r="1609" spans="1:9" ht="17.399999999999999" x14ac:dyDescent="0.25">
      <c r="A1609" s="16"/>
      <c r="B1609" s="17"/>
      <c r="C1609" s="2"/>
      <c r="D1609" s="2"/>
      <c r="E1609" s="2"/>
      <c r="F1609" s="2"/>
      <c r="G1609" s="2"/>
      <c r="H1609" s="2"/>
      <c r="I1609" s="5"/>
    </row>
    <row r="1610" spans="1:9" ht="17.399999999999999" x14ac:dyDescent="0.25">
      <c r="A1610" s="16"/>
      <c r="B1610" s="17"/>
      <c r="C1610" s="2"/>
      <c r="D1610" s="2"/>
      <c r="E1610" s="2"/>
      <c r="F1610" s="2"/>
      <c r="G1610" s="2"/>
      <c r="H1610" s="2"/>
      <c r="I1610" s="5"/>
    </row>
    <row r="1611" spans="1:9" ht="17.399999999999999" x14ac:dyDescent="0.25">
      <c r="A1611" s="16"/>
      <c r="B1611" s="17"/>
      <c r="C1611" s="2"/>
      <c r="D1611" s="2"/>
      <c r="E1611" s="2"/>
      <c r="F1611" s="2"/>
      <c r="G1611" s="2"/>
      <c r="H1611" s="2"/>
      <c r="I1611" s="5"/>
    </row>
    <row r="1612" spans="1:9" ht="17.399999999999999" x14ac:dyDescent="0.25">
      <c r="A1612" s="16"/>
      <c r="B1612" s="17"/>
      <c r="C1612" s="2"/>
      <c r="D1612" s="2"/>
      <c r="E1612" s="2"/>
      <c r="F1612" s="2"/>
      <c r="G1612" s="2"/>
      <c r="H1612" s="2"/>
      <c r="I1612" s="5"/>
    </row>
    <row r="1613" spans="1:9" ht="17.399999999999999" x14ac:dyDescent="0.25">
      <c r="A1613" s="16"/>
      <c r="B1613" s="17"/>
      <c r="C1613" s="2"/>
      <c r="D1613" s="2"/>
      <c r="E1613" s="2"/>
      <c r="F1613" s="2"/>
      <c r="G1613" s="2"/>
      <c r="H1613" s="2"/>
      <c r="I1613" s="5"/>
    </row>
    <row r="1614" spans="1:9" ht="17.399999999999999" x14ac:dyDescent="0.25">
      <c r="A1614" s="16"/>
      <c r="B1614" s="17"/>
      <c r="C1614" s="2"/>
      <c r="D1614" s="2"/>
      <c r="E1614" s="2"/>
      <c r="F1614" s="2"/>
      <c r="G1614" s="2"/>
      <c r="H1614" s="2"/>
      <c r="I1614" s="5"/>
    </row>
    <row r="1615" spans="1:9" ht="17.399999999999999" x14ac:dyDescent="0.25">
      <c r="A1615" s="16"/>
      <c r="B1615" s="17"/>
      <c r="C1615" s="2"/>
      <c r="D1615" s="2"/>
      <c r="E1615" s="2"/>
      <c r="F1615" s="2"/>
      <c r="G1615" s="2"/>
      <c r="H1615" s="2"/>
      <c r="I1615" s="5"/>
    </row>
    <row r="1616" spans="1:9" ht="17.399999999999999" x14ac:dyDescent="0.25">
      <c r="A1616" s="16"/>
      <c r="B1616" s="17"/>
      <c r="C1616" s="2"/>
      <c r="D1616" s="2"/>
      <c r="E1616" s="2"/>
      <c r="F1616" s="2"/>
      <c r="G1616" s="2"/>
      <c r="H1616" s="2"/>
      <c r="I1616" s="5"/>
    </row>
    <row r="1617" spans="1:9" ht="17.399999999999999" x14ac:dyDescent="0.25">
      <c r="A1617" s="16"/>
      <c r="B1617" s="17"/>
      <c r="C1617" s="2"/>
      <c r="D1617" s="2"/>
      <c r="E1617" s="2"/>
      <c r="F1617" s="2"/>
      <c r="G1617" s="2"/>
      <c r="H1617" s="2"/>
      <c r="I1617" s="5"/>
    </row>
    <row r="1618" spans="1:9" ht="17.399999999999999" x14ac:dyDescent="0.25">
      <c r="A1618" s="16"/>
      <c r="B1618" s="17"/>
      <c r="C1618" s="2"/>
      <c r="D1618" s="2"/>
      <c r="E1618" s="2"/>
      <c r="F1618" s="2"/>
      <c r="G1618" s="2"/>
      <c r="H1618" s="2"/>
      <c r="I1618" s="5"/>
    </row>
    <row r="1619" spans="1:9" ht="17.399999999999999" x14ac:dyDescent="0.25">
      <c r="A1619" s="16"/>
      <c r="B1619" s="17"/>
      <c r="C1619" s="2"/>
      <c r="D1619" s="2"/>
      <c r="E1619" s="2"/>
      <c r="F1619" s="2"/>
      <c r="G1619" s="2"/>
      <c r="H1619" s="2"/>
      <c r="I1619" s="5"/>
    </row>
    <row r="1620" spans="1:9" ht="17.399999999999999" x14ac:dyDescent="0.25">
      <c r="A1620" s="16"/>
      <c r="B1620" s="17"/>
      <c r="C1620" s="2"/>
      <c r="D1620" s="2"/>
      <c r="E1620" s="2"/>
      <c r="F1620" s="2"/>
      <c r="G1620" s="2"/>
      <c r="H1620" s="2"/>
      <c r="I1620" s="5"/>
    </row>
    <row r="1621" spans="1:9" ht="17.399999999999999" x14ac:dyDescent="0.25">
      <c r="A1621" s="16"/>
      <c r="B1621" s="17"/>
      <c r="C1621" s="2"/>
      <c r="D1621" s="2"/>
      <c r="E1621" s="2"/>
      <c r="F1621" s="2"/>
      <c r="G1621" s="2"/>
      <c r="H1621" s="2"/>
      <c r="I1621" s="5"/>
    </row>
    <row r="1622" spans="1:9" ht="17.399999999999999" x14ac:dyDescent="0.25">
      <c r="A1622" s="16"/>
      <c r="B1622" s="17"/>
      <c r="C1622" s="2"/>
      <c r="D1622" s="2"/>
      <c r="E1622" s="2"/>
      <c r="F1622" s="2"/>
      <c r="G1622" s="2"/>
      <c r="H1622" s="2"/>
      <c r="I1622" s="5"/>
    </row>
    <row r="1623" spans="1:9" ht="17.399999999999999" x14ac:dyDescent="0.25">
      <c r="A1623" s="16"/>
      <c r="B1623" s="17"/>
      <c r="C1623" s="2"/>
      <c r="D1623" s="2"/>
      <c r="E1623" s="2"/>
      <c r="F1623" s="2"/>
      <c r="G1623" s="2"/>
      <c r="H1623" s="2"/>
      <c r="I1623" s="5"/>
    </row>
    <row r="1624" spans="1:9" ht="17.399999999999999" x14ac:dyDescent="0.25">
      <c r="A1624" s="16"/>
      <c r="B1624" s="17"/>
      <c r="C1624" s="2"/>
      <c r="D1624" s="2"/>
      <c r="E1624" s="2"/>
      <c r="F1624" s="2"/>
      <c r="G1624" s="2"/>
      <c r="H1624" s="2"/>
      <c r="I1624" s="5"/>
    </row>
    <row r="1625" spans="1:9" ht="17.399999999999999" x14ac:dyDescent="0.25">
      <c r="A1625" s="16"/>
      <c r="B1625" s="17"/>
      <c r="C1625" s="2"/>
      <c r="D1625" s="2"/>
      <c r="E1625" s="2"/>
      <c r="F1625" s="2"/>
      <c r="G1625" s="2"/>
      <c r="H1625" s="2"/>
      <c r="I1625" s="5"/>
    </row>
    <row r="1626" spans="1:9" ht="17.399999999999999" x14ac:dyDescent="0.25">
      <c r="A1626" s="16"/>
      <c r="B1626" s="17"/>
      <c r="C1626" s="2"/>
      <c r="D1626" s="2"/>
      <c r="E1626" s="2"/>
      <c r="F1626" s="2"/>
      <c r="G1626" s="2"/>
      <c r="H1626" s="2"/>
      <c r="I1626" s="5"/>
    </row>
    <row r="1627" spans="1:9" ht="17.399999999999999" x14ac:dyDescent="0.25">
      <c r="A1627" s="16"/>
      <c r="B1627" s="17"/>
      <c r="C1627" s="2"/>
      <c r="D1627" s="2"/>
      <c r="E1627" s="2"/>
      <c r="F1627" s="2"/>
      <c r="G1627" s="2"/>
      <c r="H1627" s="2"/>
      <c r="I1627" s="5"/>
    </row>
    <row r="1628" spans="1:9" ht="17.399999999999999" x14ac:dyDescent="0.25">
      <c r="A1628" s="16"/>
      <c r="B1628" s="17"/>
      <c r="C1628" s="2"/>
      <c r="D1628" s="2"/>
      <c r="E1628" s="2"/>
      <c r="F1628" s="2"/>
      <c r="G1628" s="2"/>
      <c r="H1628" s="2"/>
      <c r="I1628" s="5"/>
    </row>
    <row r="1629" spans="1:9" ht="17.399999999999999" x14ac:dyDescent="0.25">
      <c r="A1629" s="16"/>
      <c r="B1629" s="17"/>
      <c r="C1629" s="2"/>
      <c r="D1629" s="2"/>
      <c r="E1629" s="2"/>
      <c r="F1629" s="2"/>
      <c r="G1629" s="2"/>
      <c r="H1629" s="2"/>
      <c r="I1629" s="5"/>
    </row>
    <row r="1630" spans="1:9" ht="17.399999999999999" x14ac:dyDescent="0.25">
      <c r="A1630" s="16"/>
      <c r="B1630" s="17"/>
      <c r="C1630" s="2"/>
      <c r="D1630" s="2"/>
      <c r="E1630" s="2"/>
      <c r="F1630" s="2"/>
      <c r="G1630" s="2"/>
      <c r="H1630" s="2"/>
      <c r="I1630" s="5"/>
    </row>
    <row r="1631" spans="1:9" ht="17.399999999999999" x14ac:dyDescent="0.25">
      <c r="A1631" s="16"/>
      <c r="B1631" s="17"/>
      <c r="C1631" s="2"/>
      <c r="D1631" s="2"/>
      <c r="E1631" s="2"/>
      <c r="F1631" s="2"/>
      <c r="G1631" s="2"/>
      <c r="H1631" s="2"/>
      <c r="I1631" s="5"/>
    </row>
    <row r="1632" spans="1:9" ht="17.399999999999999" x14ac:dyDescent="0.25">
      <c r="A1632" s="16"/>
      <c r="B1632" s="17"/>
      <c r="C1632" s="2"/>
      <c r="D1632" s="2"/>
      <c r="E1632" s="2"/>
      <c r="F1632" s="2"/>
      <c r="G1632" s="2"/>
      <c r="H1632" s="2"/>
      <c r="I1632" s="5"/>
    </row>
    <row r="1633" spans="1:9" ht="17.399999999999999" x14ac:dyDescent="0.25">
      <c r="A1633" s="16"/>
      <c r="B1633" s="17"/>
      <c r="C1633" s="2"/>
      <c r="D1633" s="2"/>
      <c r="E1633" s="2"/>
      <c r="F1633" s="2"/>
      <c r="G1633" s="2"/>
      <c r="H1633" s="2"/>
      <c r="I1633" s="5"/>
    </row>
    <row r="1634" spans="1:9" ht="17.399999999999999" x14ac:dyDescent="0.25">
      <c r="A1634" s="16"/>
      <c r="B1634" s="17"/>
      <c r="C1634" s="2"/>
      <c r="D1634" s="2"/>
      <c r="E1634" s="2"/>
      <c r="F1634" s="2"/>
      <c r="G1634" s="2"/>
      <c r="H1634" s="2"/>
      <c r="I1634" s="5"/>
    </row>
    <row r="1635" spans="1:9" ht="17.399999999999999" x14ac:dyDescent="0.25">
      <c r="A1635" s="16"/>
      <c r="B1635" s="17"/>
      <c r="C1635" s="2"/>
      <c r="D1635" s="2"/>
      <c r="E1635" s="2"/>
      <c r="F1635" s="2"/>
      <c r="G1635" s="2"/>
      <c r="H1635" s="2"/>
      <c r="I1635" s="5"/>
    </row>
    <row r="1636" spans="1:9" ht="17.399999999999999" x14ac:dyDescent="0.25">
      <c r="A1636" s="16"/>
      <c r="B1636" s="17"/>
      <c r="C1636" s="2"/>
      <c r="D1636" s="2"/>
      <c r="E1636" s="2"/>
      <c r="F1636" s="2"/>
      <c r="G1636" s="2"/>
      <c r="H1636" s="2"/>
      <c r="I1636" s="5"/>
    </row>
    <row r="1637" spans="1:9" ht="17.399999999999999" x14ac:dyDescent="0.25">
      <c r="A1637" s="16"/>
      <c r="B1637" s="17"/>
      <c r="C1637" s="2"/>
      <c r="D1637" s="2"/>
      <c r="E1637" s="2"/>
      <c r="F1637" s="2"/>
      <c r="G1637" s="2"/>
      <c r="H1637" s="2"/>
      <c r="I1637" s="5"/>
    </row>
    <row r="1638" spans="1:9" ht="17.399999999999999" x14ac:dyDescent="0.25">
      <c r="A1638" s="16"/>
      <c r="B1638" s="17"/>
      <c r="C1638" s="2"/>
      <c r="D1638" s="2"/>
      <c r="E1638" s="2"/>
      <c r="F1638" s="2"/>
      <c r="G1638" s="2"/>
      <c r="H1638" s="2"/>
      <c r="I1638" s="5"/>
    </row>
    <row r="1639" spans="1:9" ht="17.399999999999999" x14ac:dyDescent="0.25">
      <c r="A1639" s="16"/>
      <c r="B1639" s="17"/>
      <c r="C1639" s="2"/>
      <c r="D1639" s="2"/>
      <c r="E1639" s="2"/>
      <c r="F1639" s="2"/>
      <c r="G1639" s="2"/>
      <c r="H1639" s="2"/>
      <c r="I1639" s="5"/>
    </row>
    <row r="1640" spans="1:9" ht="17.399999999999999" x14ac:dyDescent="0.25">
      <c r="A1640" s="16"/>
      <c r="B1640" s="17"/>
      <c r="C1640" s="2"/>
      <c r="D1640" s="2"/>
      <c r="E1640" s="2"/>
      <c r="F1640" s="2"/>
      <c r="G1640" s="2"/>
      <c r="H1640" s="2"/>
      <c r="I1640" s="5"/>
    </row>
    <row r="1641" spans="1:9" ht="17.399999999999999" x14ac:dyDescent="0.25">
      <c r="A1641" s="16"/>
      <c r="B1641" s="17"/>
      <c r="C1641" s="2"/>
      <c r="D1641" s="2"/>
      <c r="E1641" s="2"/>
      <c r="F1641" s="2"/>
      <c r="G1641" s="2"/>
      <c r="H1641" s="2"/>
      <c r="I1641" s="5"/>
    </row>
    <row r="1642" spans="1:9" ht="17.399999999999999" x14ac:dyDescent="0.25">
      <c r="A1642" s="16"/>
      <c r="B1642" s="17"/>
      <c r="C1642" s="2"/>
      <c r="D1642" s="2"/>
      <c r="E1642" s="2"/>
      <c r="F1642" s="2"/>
      <c r="G1642" s="2"/>
      <c r="H1642" s="2"/>
      <c r="I1642" s="5"/>
    </row>
    <row r="1643" spans="1:9" ht="17.399999999999999" x14ac:dyDescent="0.25">
      <c r="A1643" s="16"/>
      <c r="B1643" s="17"/>
      <c r="C1643" s="2"/>
      <c r="D1643" s="2"/>
      <c r="E1643" s="2"/>
      <c r="F1643" s="2"/>
      <c r="G1643" s="2"/>
      <c r="H1643" s="2"/>
      <c r="I1643" s="5"/>
    </row>
    <row r="1644" spans="1:9" ht="17.399999999999999" x14ac:dyDescent="0.25">
      <c r="A1644" s="16"/>
      <c r="B1644" s="17"/>
      <c r="C1644" s="2"/>
      <c r="D1644" s="2"/>
      <c r="E1644" s="2"/>
      <c r="F1644" s="2"/>
      <c r="G1644" s="2"/>
      <c r="H1644" s="2"/>
      <c r="I1644" s="5"/>
    </row>
    <row r="1645" spans="1:9" ht="17.399999999999999" x14ac:dyDescent="0.25">
      <c r="A1645" s="16"/>
      <c r="B1645" s="17"/>
      <c r="C1645" s="2"/>
      <c r="D1645" s="2"/>
      <c r="E1645" s="2"/>
      <c r="F1645" s="2"/>
      <c r="G1645" s="2"/>
      <c r="H1645" s="2"/>
      <c r="I1645" s="5"/>
    </row>
    <row r="1646" spans="1:9" ht="17.399999999999999" x14ac:dyDescent="0.25">
      <c r="A1646" s="16"/>
      <c r="B1646" s="17"/>
      <c r="C1646" s="2"/>
      <c r="D1646" s="2"/>
      <c r="E1646" s="2"/>
      <c r="F1646" s="2"/>
      <c r="G1646" s="2"/>
      <c r="H1646" s="2"/>
      <c r="I1646" s="5"/>
    </row>
    <row r="1647" spans="1:9" ht="17.399999999999999" x14ac:dyDescent="0.25">
      <c r="A1647" s="16"/>
      <c r="B1647" s="17"/>
      <c r="C1647" s="2"/>
      <c r="D1647" s="2"/>
      <c r="E1647" s="2"/>
      <c r="F1647" s="2"/>
      <c r="G1647" s="2"/>
      <c r="H1647" s="2"/>
      <c r="I1647" s="5"/>
    </row>
    <row r="1648" spans="1:9" ht="17.399999999999999" x14ac:dyDescent="0.25">
      <c r="A1648" s="16"/>
      <c r="B1648" s="17"/>
      <c r="C1648" s="2"/>
      <c r="D1648" s="2"/>
      <c r="E1648" s="2"/>
      <c r="F1648" s="2"/>
      <c r="G1648" s="2"/>
      <c r="H1648" s="2"/>
      <c r="I1648" s="5"/>
    </row>
    <row r="1649" spans="1:9" ht="17.399999999999999" x14ac:dyDescent="0.25">
      <c r="A1649" s="16"/>
      <c r="B1649" s="17"/>
      <c r="C1649" s="2"/>
      <c r="D1649" s="2"/>
      <c r="E1649" s="2"/>
      <c r="F1649" s="2"/>
      <c r="G1649" s="2"/>
      <c r="H1649" s="2"/>
      <c r="I1649" s="5"/>
    </row>
    <row r="1650" spans="1:9" ht="17.399999999999999" x14ac:dyDescent="0.25">
      <c r="A1650" s="16"/>
      <c r="B1650" s="17"/>
      <c r="C1650" s="2"/>
      <c r="D1650" s="2"/>
      <c r="E1650" s="2"/>
      <c r="F1650" s="2"/>
      <c r="G1650" s="2"/>
      <c r="H1650" s="2"/>
      <c r="I1650" s="5"/>
    </row>
    <row r="1651" spans="1:9" ht="17.399999999999999" x14ac:dyDescent="0.25">
      <c r="A1651" s="16"/>
      <c r="B1651" s="17"/>
      <c r="C1651" s="2"/>
      <c r="D1651" s="2"/>
      <c r="E1651" s="2"/>
      <c r="F1651" s="2"/>
      <c r="G1651" s="2"/>
      <c r="H1651" s="2"/>
      <c r="I1651" s="5"/>
    </row>
    <row r="1652" spans="1:9" ht="17.399999999999999" x14ac:dyDescent="0.25">
      <c r="A1652" s="16"/>
      <c r="B1652" s="17"/>
      <c r="C1652" s="2"/>
      <c r="D1652" s="2"/>
      <c r="E1652" s="2"/>
      <c r="F1652" s="2"/>
      <c r="G1652" s="2"/>
      <c r="H1652" s="2"/>
      <c r="I1652" s="5"/>
    </row>
    <row r="1653" spans="1:9" ht="17.399999999999999" x14ac:dyDescent="0.25">
      <c r="A1653" s="16"/>
      <c r="B1653" s="17"/>
      <c r="C1653" s="2"/>
      <c r="D1653" s="2"/>
      <c r="E1653" s="2"/>
      <c r="F1653" s="2"/>
      <c r="G1653" s="2"/>
      <c r="H1653" s="2"/>
      <c r="I1653" s="5"/>
    </row>
    <row r="1654" spans="1:9" ht="17.399999999999999" x14ac:dyDescent="0.25">
      <c r="A1654" s="16"/>
      <c r="B1654" s="17"/>
      <c r="C1654" s="2"/>
      <c r="D1654" s="2"/>
      <c r="E1654" s="2"/>
      <c r="F1654" s="2"/>
      <c r="G1654" s="2"/>
      <c r="H1654" s="2"/>
      <c r="I1654" s="5"/>
    </row>
    <row r="1655" spans="1:9" ht="17.399999999999999" x14ac:dyDescent="0.25">
      <c r="A1655" s="16"/>
      <c r="B1655" s="17"/>
      <c r="C1655" s="2"/>
      <c r="D1655" s="2"/>
      <c r="E1655" s="2"/>
      <c r="F1655" s="2"/>
      <c r="G1655" s="2"/>
      <c r="H1655" s="2"/>
      <c r="I1655" s="5"/>
    </row>
    <row r="1656" spans="1:9" ht="17.399999999999999" x14ac:dyDescent="0.25">
      <c r="A1656" s="16"/>
      <c r="B1656" s="17"/>
      <c r="C1656" s="2"/>
      <c r="D1656" s="2"/>
      <c r="E1656" s="2"/>
      <c r="F1656" s="2"/>
      <c r="G1656" s="2"/>
      <c r="H1656" s="2"/>
      <c r="I1656" s="5"/>
    </row>
    <row r="1657" spans="1:9" ht="17.399999999999999" x14ac:dyDescent="0.25">
      <c r="A1657" s="16"/>
      <c r="B1657" s="17"/>
      <c r="C1657" s="2"/>
      <c r="D1657" s="2"/>
      <c r="E1657" s="2"/>
      <c r="F1657" s="2"/>
      <c r="G1657" s="2"/>
      <c r="H1657" s="2"/>
      <c r="I1657" s="5"/>
    </row>
    <row r="1658" spans="1:9" ht="17.399999999999999" x14ac:dyDescent="0.25">
      <c r="A1658" s="16"/>
      <c r="B1658" s="17"/>
      <c r="C1658" s="2"/>
      <c r="D1658" s="2"/>
      <c r="E1658" s="2"/>
      <c r="F1658" s="2"/>
      <c r="G1658" s="2"/>
      <c r="H1658" s="2"/>
      <c r="I1658" s="5"/>
    </row>
    <row r="1659" spans="1:9" ht="17.399999999999999" x14ac:dyDescent="0.25">
      <c r="A1659" s="16"/>
      <c r="B1659" s="17"/>
      <c r="C1659" s="2"/>
      <c r="D1659" s="2"/>
      <c r="E1659" s="2"/>
      <c r="F1659" s="2"/>
      <c r="G1659" s="2"/>
      <c r="H1659" s="2"/>
      <c r="I1659" s="5"/>
    </row>
    <row r="1660" spans="1:9" ht="17.399999999999999" x14ac:dyDescent="0.25">
      <c r="A1660" s="16"/>
      <c r="B1660" s="17"/>
      <c r="C1660" s="2"/>
      <c r="D1660" s="2"/>
      <c r="E1660" s="2"/>
      <c r="F1660" s="2"/>
      <c r="G1660" s="2"/>
      <c r="H1660" s="2"/>
      <c r="I1660" s="5"/>
    </row>
    <row r="1661" spans="1:9" ht="17.399999999999999" x14ac:dyDescent="0.25">
      <c r="A1661" s="16"/>
      <c r="B1661" s="17"/>
      <c r="C1661" s="2"/>
      <c r="D1661" s="2"/>
      <c r="E1661" s="2"/>
      <c r="F1661" s="2"/>
      <c r="G1661" s="2"/>
      <c r="H1661" s="2"/>
      <c r="I1661" s="5"/>
    </row>
    <row r="1662" spans="1:9" ht="17.399999999999999" x14ac:dyDescent="0.25">
      <c r="A1662" s="16"/>
      <c r="B1662" s="17"/>
      <c r="C1662" s="2"/>
      <c r="D1662" s="2"/>
      <c r="E1662" s="2"/>
      <c r="F1662" s="2"/>
      <c r="G1662" s="2"/>
      <c r="H1662" s="2"/>
      <c r="I1662" s="5"/>
    </row>
    <row r="1663" spans="1:9" ht="17.399999999999999" x14ac:dyDescent="0.25">
      <c r="A1663" s="16"/>
      <c r="B1663" s="17"/>
      <c r="C1663" s="2"/>
      <c r="D1663" s="2"/>
      <c r="E1663" s="2"/>
      <c r="F1663" s="2"/>
      <c r="G1663" s="2"/>
      <c r="H1663" s="2"/>
      <c r="I1663" s="5"/>
    </row>
    <row r="1664" spans="1:9" ht="17.399999999999999" x14ac:dyDescent="0.25">
      <c r="A1664" s="16"/>
      <c r="B1664" s="17"/>
      <c r="C1664" s="2"/>
      <c r="D1664" s="2"/>
      <c r="E1664" s="2"/>
      <c r="F1664" s="2"/>
      <c r="G1664" s="2"/>
      <c r="H1664" s="2"/>
      <c r="I1664" s="5"/>
    </row>
    <row r="1665" spans="1:9" ht="17.399999999999999" x14ac:dyDescent="0.25">
      <c r="A1665" s="16"/>
      <c r="B1665" s="17"/>
      <c r="C1665" s="2"/>
      <c r="D1665" s="2"/>
      <c r="E1665" s="2"/>
      <c r="F1665" s="2"/>
      <c r="G1665" s="2"/>
      <c r="H1665" s="2"/>
      <c r="I1665" s="5"/>
    </row>
    <row r="1666" spans="1:9" ht="17.399999999999999" x14ac:dyDescent="0.25">
      <c r="A1666" s="16"/>
      <c r="B1666" s="17"/>
      <c r="C1666" s="2"/>
      <c r="D1666" s="2"/>
      <c r="E1666" s="2"/>
      <c r="F1666" s="2"/>
      <c r="G1666" s="2"/>
      <c r="H1666" s="2"/>
      <c r="I1666" s="5"/>
    </row>
    <row r="1667" spans="1:9" ht="17.399999999999999" x14ac:dyDescent="0.25">
      <c r="A1667" s="16"/>
      <c r="B1667" s="17"/>
      <c r="C1667" s="2"/>
      <c r="D1667" s="2"/>
      <c r="E1667" s="2"/>
      <c r="F1667" s="2"/>
      <c r="G1667" s="2"/>
      <c r="H1667" s="2"/>
      <c r="I1667" s="5"/>
    </row>
    <row r="1668" spans="1:9" ht="17.399999999999999" x14ac:dyDescent="0.25">
      <c r="A1668" s="16"/>
      <c r="B1668" s="17"/>
      <c r="C1668" s="2"/>
      <c r="D1668" s="2"/>
      <c r="E1668" s="2"/>
      <c r="F1668" s="2"/>
      <c r="G1668" s="2"/>
      <c r="H1668" s="2"/>
      <c r="I1668" s="5"/>
    </row>
    <row r="1669" spans="1:9" ht="17.399999999999999" x14ac:dyDescent="0.25">
      <c r="A1669" s="16"/>
      <c r="B1669" s="17"/>
      <c r="C1669" s="2"/>
      <c r="D1669" s="2"/>
      <c r="E1669" s="2"/>
      <c r="F1669" s="2"/>
      <c r="G1669" s="2"/>
      <c r="H1669" s="2"/>
      <c r="I1669" s="5"/>
    </row>
    <row r="1670" spans="1:9" ht="17.399999999999999" x14ac:dyDescent="0.25">
      <c r="A1670" s="16"/>
      <c r="B1670" s="17"/>
      <c r="C1670" s="2"/>
      <c r="D1670" s="2"/>
      <c r="E1670" s="2"/>
      <c r="F1670" s="2"/>
      <c r="G1670" s="2"/>
      <c r="H1670" s="2"/>
      <c r="I1670" s="5"/>
    </row>
    <row r="1671" spans="1:9" ht="17.399999999999999" x14ac:dyDescent="0.25">
      <c r="A1671" s="16"/>
      <c r="B1671" s="17"/>
      <c r="C1671" s="2"/>
      <c r="D1671" s="2"/>
      <c r="E1671" s="2"/>
      <c r="F1671" s="2"/>
      <c r="G1671" s="2"/>
      <c r="H1671" s="2"/>
      <c r="I1671" s="5"/>
    </row>
    <row r="1672" spans="1:9" ht="17.399999999999999" x14ac:dyDescent="0.25">
      <c r="A1672" s="16"/>
      <c r="B1672" s="17"/>
      <c r="C1672" s="2"/>
      <c r="D1672" s="2"/>
      <c r="E1672" s="2"/>
      <c r="F1672" s="2"/>
      <c r="G1672" s="2"/>
      <c r="H1672" s="2"/>
      <c r="I1672" s="5"/>
    </row>
    <row r="1673" spans="1:9" ht="17.399999999999999" x14ac:dyDescent="0.25">
      <c r="A1673" s="16"/>
      <c r="B1673" s="17"/>
      <c r="C1673" s="2"/>
      <c r="D1673" s="2"/>
      <c r="E1673" s="2"/>
      <c r="F1673" s="2"/>
      <c r="G1673" s="2"/>
      <c r="H1673" s="2"/>
      <c r="I1673" s="5"/>
    </row>
    <row r="1674" spans="1:9" ht="17.399999999999999" x14ac:dyDescent="0.25">
      <c r="A1674" s="16"/>
      <c r="B1674" s="17"/>
      <c r="C1674" s="2"/>
      <c r="D1674" s="2"/>
      <c r="E1674" s="2"/>
      <c r="F1674" s="2"/>
      <c r="G1674" s="2"/>
      <c r="H1674" s="2"/>
      <c r="I1674" s="5"/>
    </row>
    <row r="1675" spans="1:9" ht="17.399999999999999" x14ac:dyDescent="0.25">
      <c r="A1675" s="16"/>
      <c r="B1675" s="17"/>
      <c r="C1675" s="2"/>
      <c r="D1675" s="2"/>
      <c r="E1675" s="2"/>
      <c r="F1675" s="2"/>
      <c r="G1675" s="2"/>
      <c r="H1675" s="2"/>
      <c r="I1675" s="5"/>
    </row>
    <row r="1676" spans="1:9" ht="17.399999999999999" x14ac:dyDescent="0.25">
      <c r="A1676" s="16"/>
      <c r="B1676" s="17"/>
      <c r="C1676" s="2"/>
      <c r="D1676" s="2"/>
      <c r="E1676" s="2"/>
      <c r="F1676" s="2"/>
      <c r="G1676" s="2"/>
      <c r="H1676" s="2"/>
      <c r="I1676" s="5"/>
    </row>
    <row r="1677" spans="1:9" ht="17.399999999999999" x14ac:dyDescent="0.25">
      <c r="A1677" s="16"/>
      <c r="B1677" s="17"/>
      <c r="C1677" s="2"/>
      <c r="D1677" s="2"/>
      <c r="E1677" s="2"/>
      <c r="F1677" s="2"/>
      <c r="G1677" s="2"/>
      <c r="H1677" s="2"/>
      <c r="I1677" s="5"/>
    </row>
    <row r="1678" spans="1:9" ht="17.399999999999999" x14ac:dyDescent="0.25">
      <c r="A1678" s="16"/>
      <c r="B1678" s="17"/>
      <c r="C1678" s="2"/>
      <c r="D1678" s="2"/>
      <c r="E1678" s="2"/>
      <c r="F1678" s="2"/>
      <c r="G1678" s="2"/>
      <c r="H1678" s="2"/>
      <c r="I1678" s="5"/>
    </row>
    <row r="1679" spans="1:9" ht="17.399999999999999" x14ac:dyDescent="0.25">
      <c r="A1679" s="16"/>
      <c r="B1679" s="17"/>
      <c r="C1679" s="2"/>
      <c r="D1679" s="2"/>
      <c r="E1679" s="2"/>
      <c r="F1679" s="2"/>
      <c r="G1679" s="2"/>
      <c r="H1679" s="2"/>
      <c r="I1679" s="5"/>
    </row>
    <row r="1680" spans="1:9" ht="17.399999999999999" x14ac:dyDescent="0.25">
      <c r="A1680" s="16"/>
      <c r="B1680" s="17"/>
      <c r="C1680" s="2"/>
      <c r="D1680" s="2"/>
      <c r="E1680" s="2"/>
      <c r="F1680" s="2"/>
      <c r="G1680" s="2"/>
      <c r="H1680" s="2"/>
      <c r="I1680" s="5"/>
    </row>
    <row r="1681" spans="1:9" ht="17.399999999999999" x14ac:dyDescent="0.25">
      <c r="A1681" s="16"/>
      <c r="B1681" s="17"/>
      <c r="C1681" s="2"/>
      <c r="D1681" s="2"/>
      <c r="E1681" s="2"/>
      <c r="F1681" s="2"/>
      <c r="G1681" s="2"/>
      <c r="H1681" s="2"/>
      <c r="I1681" s="5"/>
    </row>
    <row r="1682" spans="1:9" ht="17.399999999999999" x14ac:dyDescent="0.25">
      <c r="A1682" s="16"/>
      <c r="B1682" s="17"/>
      <c r="C1682" s="2"/>
      <c r="D1682" s="2"/>
      <c r="E1682" s="2"/>
      <c r="F1682" s="2"/>
      <c r="G1682" s="2"/>
      <c r="H1682" s="2"/>
      <c r="I1682" s="5"/>
    </row>
    <row r="1683" spans="1:9" ht="17.399999999999999" x14ac:dyDescent="0.25">
      <c r="A1683" s="16"/>
      <c r="B1683" s="17"/>
      <c r="C1683" s="2"/>
      <c r="D1683" s="2"/>
      <c r="E1683" s="2"/>
      <c r="F1683" s="2"/>
      <c r="G1683" s="2"/>
      <c r="H1683" s="2"/>
      <c r="I1683" s="5"/>
    </row>
    <row r="1684" spans="1:9" ht="17.399999999999999" x14ac:dyDescent="0.25">
      <c r="A1684" s="16"/>
      <c r="B1684" s="17"/>
      <c r="C1684" s="2"/>
      <c r="D1684" s="2"/>
      <c r="E1684" s="2"/>
      <c r="F1684" s="2"/>
      <c r="G1684" s="2"/>
      <c r="H1684" s="2"/>
      <c r="I1684" s="5"/>
    </row>
    <row r="1685" spans="1:9" ht="17.399999999999999" x14ac:dyDescent="0.25">
      <c r="A1685" s="16"/>
      <c r="B1685" s="17"/>
      <c r="C1685" s="2"/>
      <c r="D1685" s="2"/>
      <c r="E1685" s="2"/>
      <c r="F1685" s="2"/>
      <c r="G1685" s="2"/>
      <c r="H1685" s="2"/>
      <c r="I1685" s="5"/>
    </row>
    <row r="1686" spans="1:9" ht="17.399999999999999" x14ac:dyDescent="0.25">
      <c r="A1686" s="16"/>
      <c r="B1686" s="17"/>
      <c r="C1686" s="2"/>
      <c r="D1686" s="2"/>
      <c r="E1686" s="2"/>
      <c r="F1686" s="2"/>
      <c r="G1686" s="2"/>
      <c r="H1686" s="2"/>
      <c r="I1686" s="5"/>
    </row>
    <row r="1687" spans="1:9" ht="17.399999999999999" x14ac:dyDescent="0.25">
      <c r="A1687" s="16"/>
      <c r="B1687" s="17"/>
      <c r="C1687" s="2"/>
      <c r="D1687" s="2"/>
      <c r="E1687" s="2"/>
      <c r="F1687" s="2"/>
      <c r="G1687" s="2"/>
      <c r="H1687" s="2"/>
      <c r="I1687" s="5"/>
    </row>
    <row r="1688" spans="1:9" ht="17.399999999999999" x14ac:dyDescent="0.25">
      <c r="A1688" s="16"/>
      <c r="B1688" s="17"/>
      <c r="C1688" s="2"/>
      <c r="D1688" s="2"/>
      <c r="E1688" s="2"/>
      <c r="F1688" s="2"/>
      <c r="G1688" s="2"/>
      <c r="H1688" s="2"/>
      <c r="I1688" s="5"/>
    </row>
    <row r="1689" spans="1:9" ht="17.399999999999999" x14ac:dyDescent="0.25">
      <c r="A1689" s="16"/>
      <c r="B1689" s="17"/>
      <c r="C1689" s="2"/>
      <c r="D1689" s="2"/>
      <c r="E1689" s="2"/>
      <c r="F1689" s="2"/>
      <c r="G1689" s="2"/>
      <c r="H1689" s="2"/>
      <c r="I1689" s="5"/>
    </row>
    <row r="1690" spans="1:9" ht="17.399999999999999" x14ac:dyDescent="0.25">
      <c r="A1690" s="16"/>
      <c r="B1690" s="17"/>
      <c r="C1690" s="2"/>
      <c r="D1690" s="2"/>
      <c r="E1690" s="2"/>
      <c r="F1690" s="2"/>
      <c r="G1690" s="2"/>
      <c r="H1690" s="2"/>
      <c r="I1690" s="5"/>
    </row>
    <row r="1691" spans="1:9" ht="17.399999999999999" x14ac:dyDescent="0.25">
      <c r="A1691" s="16"/>
      <c r="B1691" s="17"/>
      <c r="C1691" s="2"/>
      <c r="D1691" s="2"/>
      <c r="E1691" s="2"/>
      <c r="F1691" s="2"/>
      <c r="G1691" s="2"/>
      <c r="H1691" s="2"/>
      <c r="I1691" s="5"/>
    </row>
    <row r="1692" spans="1:9" ht="17.399999999999999" x14ac:dyDescent="0.25">
      <c r="A1692" s="16"/>
      <c r="B1692" s="17"/>
      <c r="C1692" s="2"/>
      <c r="D1692" s="2"/>
      <c r="E1692" s="2"/>
      <c r="F1692" s="2"/>
      <c r="G1692" s="2"/>
      <c r="H1692" s="2"/>
      <c r="I1692" s="5"/>
    </row>
    <row r="1693" spans="1:9" ht="17.399999999999999" x14ac:dyDescent="0.25">
      <c r="A1693" s="16"/>
      <c r="B1693" s="17"/>
      <c r="C1693" s="2"/>
      <c r="D1693" s="2"/>
      <c r="E1693" s="2"/>
      <c r="F1693" s="2"/>
      <c r="G1693" s="2"/>
      <c r="H1693" s="2"/>
      <c r="I1693" s="5"/>
    </row>
    <row r="1694" spans="1:9" ht="17.399999999999999" x14ac:dyDescent="0.25">
      <c r="A1694" s="16"/>
      <c r="B1694" s="17"/>
      <c r="C1694" s="2"/>
      <c r="D1694" s="2"/>
      <c r="E1694" s="2"/>
      <c r="F1694" s="2"/>
      <c r="G1694" s="2"/>
      <c r="H1694" s="2"/>
      <c r="I1694" s="5"/>
    </row>
    <row r="1695" spans="1:9" ht="17.399999999999999" x14ac:dyDescent="0.25">
      <c r="A1695" s="16"/>
      <c r="B1695" s="17"/>
      <c r="C1695" s="2"/>
      <c r="D1695" s="2"/>
      <c r="E1695" s="2"/>
      <c r="F1695" s="2"/>
      <c r="G1695" s="2"/>
      <c r="H1695" s="2"/>
      <c r="I1695" s="5"/>
    </row>
    <row r="1696" spans="1:9" ht="17.399999999999999" x14ac:dyDescent="0.25">
      <c r="A1696" s="16"/>
      <c r="B1696" s="17"/>
      <c r="C1696" s="2"/>
      <c r="D1696" s="2"/>
      <c r="E1696" s="2"/>
      <c r="F1696" s="2"/>
      <c r="G1696" s="2"/>
      <c r="H1696" s="2"/>
      <c r="I1696" s="5"/>
    </row>
    <row r="1697" spans="1:9" ht="17.399999999999999" x14ac:dyDescent="0.25">
      <c r="A1697" s="16"/>
      <c r="B1697" s="17"/>
      <c r="C1697" s="2"/>
      <c r="D1697" s="2"/>
      <c r="E1697" s="2"/>
      <c r="F1697" s="2"/>
      <c r="G1697" s="2"/>
      <c r="H1697" s="2"/>
      <c r="I1697" s="5"/>
    </row>
    <row r="1698" spans="1:9" ht="17.399999999999999" x14ac:dyDescent="0.25">
      <c r="A1698" s="16"/>
      <c r="B1698" s="17"/>
      <c r="C1698" s="2"/>
      <c r="D1698" s="2"/>
      <c r="E1698" s="2"/>
      <c r="F1698" s="2"/>
      <c r="G1698" s="2"/>
      <c r="H1698" s="2"/>
      <c r="I1698" s="5"/>
    </row>
    <row r="1699" spans="1:9" ht="17.399999999999999" x14ac:dyDescent="0.25">
      <c r="A1699" s="16"/>
      <c r="B1699" s="17"/>
      <c r="C1699" s="2"/>
      <c r="D1699" s="2"/>
      <c r="E1699" s="2"/>
      <c r="F1699" s="2"/>
      <c r="G1699" s="2"/>
      <c r="H1699" s="2"/>
      <c r="I1699" s="5"/>
    </row>
    <row r="1700" spans="1:9" ht="17.399999999999999" x14ac:dyDescent="0.25">
      <c r="A1700" s="16"/>
      <c r="B1700" s="17"/>
      <c r="C1700" s="2"/>
      <c r="D1700" s="2"/>
      <c r="E1700" s="2"/>
      <c r="F1700" s="2"/>
      <c r="G1700" s="2"/>
      <c r="H1700" s="2"/>
      <c r="I1700" s="5"/>
    </row>
    <row r="1701" spans="1:9" ht="17.399999999999999" x14ac:dyDescent="0.25">
      <c r="A1701" s="16"/>
      <c r="B1701" s="17"/>
      <c r="C1701" s="2"/>
      <c r="D1701" s="2"/>
      <c r="E1701" s="2"/>
      <c r="F1701" s="2"/>
      <c r="G1701" s="2"/>
      <c r="H1701" s="2"/>
      <c r="I1701" s="5"/>
    </row>
    <row r="1702" spans="1:9" ht="17.399999999999999" x14ac:dyDescent="0.25">
      <c r="A1702" s="16"/>
      <c r="B1702" s="17"/>
      <c r="C1702" s="2"/>
      <c r="D1702" s="2"/>
      <c r="E1702" s="2"/>
      <c r="F1702" s="2"/>
      <c r="G1702" s="2"/>
      <c r="H1702" s="2"/>
      <c r="I1702" s="5"/>
    </row>
    <row r="1703" spans="1:9" ht="17.399999999999999" x14ac:dyDescent="0.25">
      <c r="A1703" s="16"/>
      <c r="B1703" s="17"/>
      <c r="C1703" s="2"/>
      <c r="D1703" s="2"/>
      <c r="E1703" s="2"/>
      <c r="F1703" s="2"/>
      <c r="G1703" s="2"/>
      <c r="H1703" s="2"/>
      <c r="I1703" s="5"/>
    </row>
    <row r="1704" spans="1:9" ht="17.399999999999999" x14ac:dyDescent="0.25">
      <c r="A1704" s="16"/>
      <c r="B1704" s="17"/>
      <c r="C1704" s="2"/>
      <c r="D1704" s="2"/>
      <c r="E1704" s="2"/>
      <c r="F1704" s="2"/>
      <c r="G1704" s="2"/>
      <c r="H1704" s="2"/>
      <c r="I1704" s="5"/>
    </row>
    <row r="1705" spans="1:9" ht="17.399999999999999" x14ac:dyDescent="0.25">
      <c r="A1705" s="16"/>
      <c r="B1705" s="17"/>
      <c r="C1705" s="2"/>
      <c r="D1705" s="2"/>
      <c r="E1705" s="2"/>
      <c r="F1705" s="2"/>
      <c r="G1705" s="2"/>
      <c r="H1705" s="2"/>
      <c r="I1705" s="5"/>
    </row>
    <row r="1706" spans="1:9" ht="17.399999999999999" x14ac:dyDescent="0.25">
      <c r="A1706" s="16"/>
      <c r="B1706" s="17"/>
      <c r="C1706" s="2"/>
      <c r="D1706" s="2"/>
      <c r="E1706" s="2"/>
      <c r="F1706" s="2"/>
      <c r="G1706" s="2"/>
      <c r="H1706" s="2"/>
      <c r="I1706" s="5"/>
    </row>
    <row r="1707" spans="1:9" ht="17.399999999999999" x14ac:dyDescent="0.25">
      <c r="A1707" s="16"/>
      <c r="B1707" s="17"/>
      <c r="C1707" s="2"/>
      <c r="D1707" s="2"/>
      <c r="E1707" s="2"/>
      <c r="F1707" s="2"/>
      <c r="G1707" s="2"/>
      <c r="H1707" s="2"/>
      <c r="I1707" s="5"/>
    </row>
    <row r="1708" spans="1:9" ht="17.399999999999999" x14ac:dyDescent="0.25">
      <c r="A1708" s="16"/>
      <c r="B1708" s="17"/>
      <c r="C1708" s="2"/>
      <c r="D1708" s="2"/>
      <c r="E1708" s="2"/>
      <c r="F1708" s="2"/>
      <c r="G1708" s="2"/>
      <c r="H1708" s="2"/>
      <c r="I1708" s="5"/>
    </row>
    <row r="1709" spans="1:9" ht="17.399999999999999" x14ac:dyDescent="0.25">
      <c r="A1709" s="16"/>
      <c r="B1709" s="17"/>
      <c r="C1709" s="2"/>
      <c r="D1709" s="2"/>
      <c r="E1709" s="2"/>
      <c r="F1709" s="2"/>
      <c r="G1709" s="2"/>
      <c r="H1709" s="2"/>
      <c r="I1709" s="5"/>
    </row>
    <row r="1710" spans="1:9" ht="17.399999999999999" x14ac:dyDescent="0.25">
      <c r="A1710" s="16"/>
      <c r="B1710" s="17"/>
      <c r="C1710" s="2"/>
      <c r="D1710" s="2"/>
      <c r="E1710" s="2"/>
      <c r="F1710" s="2"/>
      <c r="G1710" s="2"/>
      <c r="H1710" s="2"/>
      <c r="I1710" s="5"/>
    </row>
    <row r="1711" spans="1:9" ht="17.399999999999999" x14ac:dyDescent="0.25">
      <c r="A1711" s="16"/>
      <c r="B1711" s="17"/>
      <c r="C1711" s="2"/>
      <c r="D1711" s="2"/>
      <c r="E1711" s="2"/>
      <c r="F1711" s="2"/>
      <c r="G1711" s="2"/>
      <c r="H1711" s="2"/>
      <c r="I1711" s="5"/>
    </row>
    <row r="1712" spans="1:9" ht="17.399999999999999" x14ac:dyDescent="0.25">
      <c r="A1712" s="16"/>
      <c r="B1712" s="17"/>
      <c r="C1712" s="2"/>
      <c r="D1712" s="2"/>
      <c r="E1712" s="2"/>
      <c r="F1712" s="2"/>
      <c r="G1712" s="2"/>
      <c r="H1712" s="2"/>
      <c r="I1712" s="5"/>
    </row>
    <row r="1713" spans="1:9" ht="17.399999999999999" x14ac:dyDescent="0.25">
      <c r="A1713" s="16"/>
      <c r="B1713" s="17"/>
      <c r="C1713" s="2"/>
      <c r="D1713" s="2"/>
      <c r="E1713" s="2"/>
      <c r="F1713" s="2"/>
      <c r="G1713" s="2"/>
      <c r="H1713" s="2"/>
      <c r="I1713" s="5"/>
    </row>
    <row r="1714" spans="1:9" ht="17.399999999999999" x14ac:dyDescent="0.25">
      <c r="A1714" s="16"/>
      <c r="B1714" s="17"/>
      <c r="C1714" s="2"/>
      <c r="D1714" s="2"/>
      <c r="E1714" s="2"/>
      <c r="F1714" s="2"/>
      <c r="G1714" s="2"/>
      <c r="H1714" s="2"/>
      <c r="I1714" s="5"/>
    </row>
    <row r="1715" spans="1:9" ht="17.399999999999999" x14ac:dyDescent="0.25">
      <c r="A1715" s="16"/>
      <c r="B1715" s="17"/>
      <c r="C1715" s="2"/>
      <c r="D1715" s="2"/>
      <c r="E1715" s="2"/>
      <c r="F1715" s="2"/>
      <c r="G1715" s="2"/>
      <c r="H1715" s="2"/>
      <c r="I1715" s="5"/>
    </row>
    <row r="1716" spans="1:9" ht="17.399999999999999" x14ac:dyDescent="0.25">
      <c r="A1716" s="16"/>
      <c r="B1716" s="17"/>
      <c r="C1716" s="2"/>
      <c r="D1716" s="2"/>
      <c r="E1716" s="2"/>
      <c r="F1716" s="2"/>
      <c r="G1716" s="2"/>
      <c r="H1716" s="2"/>
      <c r="I1716" s="5"/>
    </row>
    <row r="1717" spans="1:9" ht="17.399999999999999" x14ac:dyDescent="0.25">
      <c r="A1717" s="16"/>
      <c r="B1717" s="17"/>
      <c r="C1717" s="2"/>
      <c r="D1717" s="2"/>
      <c r="E1717" s="2"/>
      <c r="F1717" s="2"/>
      <c r="G1717" s="2"/>
      <c r="H1717" s="2"/>
      <c r="I1717" s="5"/>
    </row>
    <row r="1718" spans="1:9" ht="17.399999999999999" x14ac:dyDescent="0.25">
      <c r="A1718" s="16"/>
      <c r="B1718" s="17"/>
      <c r="C1718" s="2"/>
      <c r="D1718" s="2"/>
      <c r="E1718" s="2"/>
      <c r="F1718" s="2"/>
      <c r="G1718" s="2"/>
      <c r="H1718" s="2"/>
      <c r="I1718" s="5"/>
    </row>
    <row r="1719" spans="1:9" ht="17.399999999999999" x14ac:dyDescent="0.25">
      <c r="A1719" s="16"/>
      <c r="B1719" s="17"/>
      <c r="C1719" s="2"/>
      <c r="D1719" s="2"/>
      <c r="E1719" s="2"/>
      <c r="F1719" s="2"/>
      <c r="G1719" s="2"/>
      <c r="H1719" s="2"/>
      <c r="I1719" s="5"/>
    </row>
    <row r="1720" spans="1:9" ht="17.399999999999999" x14ac:dyDescent="0.25">
      <c r="A1720" s="16"/>
      <c r="B1720" s="17"/>
      <c r="C1720" s="2"/>
      <c r="D1720" s="2"/>
      <c r="E1720" s="2"/>
      <c r="F1720" s="2"/>
      <c r="G1720" s="2"/>
      <c r="H1720" s="2"/>
      <c r="I1720" s="5"/>
    </row>
    <row r="1721" spans="1:9" ht="17.399999999999999" x14ac:dyDescent="0.25">
      <c r="A1721" s="16"/>
      <c r="B1721" s="17"/>
      <c r="C1721" s="2"/>
      <c r="D1721" s="2"/>
      <c r="E1721" s="2"/>
      <c r="F1721" s="2"/>
      <c r="G1721" s="2"/>
      <c r="H1721" s="2"/>
      <c r="I1721" s="5"/>
    </row>
    <row r="1722" spans="1:9" ht="17.399999999999999" x14ac:dyDescent="0.25">
      <c r="A1722" s="16"/>
      <c r="B1722" s="17"/>
      <c r="C1722" s="2"/>
      <c r="D1722" s="2"/>
      <c r="E1722" s="2"/>
      <c r="F1722" s="2"/>
      <c r="G1722" s="2"/>
      <c r="H1722" s="2"/>
      <c r="I1722" s="5"/>
    </row>
    <row r="1723" spans="1:9" ht="17.399999999999999" x14ac:dyDescent="0.25">
      <c r="A1723" s="16"/>
      <c r="B1723" s="17"/>
      <c r="C1723" s="2"/>
      <c r="D1723" s="2"/>
      <c r="E1723" s="2"/>
      <c r="F1723" s="2"/>
      <c r="G1723" s="2"/>
      <c r="H1723" s="2"/>
      <c r="I1723" s="5"/>
    </row>
    <row r="1724" spans="1:9" ht="17.399999999999999" x14ac:dyDescent="0.25">
      <c r="A1724" s="16"/>
      <c r="B1724" s="17"/>
      <c r="C1724" s="2"/>
      <c r="D1724" s="2"/>
      <c r="E1724" s="2"/>
      <c r="F1724" s="2"/>
      <c r="G1724" s="2"/>
      <c r="H1724" s="2"/>
      <c r="I1724" s="5"/>
    </row>
    <row r="1725" spans="1:9" ht="17.399999999999999" x14ac:dyDescent="0.25">
      <c r="A1725" s="16"/>
      <c r="B1725" s="17"/>
      <c r="C1725" s="2"/>
      <c r="D1725" s="2"/>
      <c r="E1725" s="2"/>
      <c r="F1725" s="2"/>
      <c r="G1725" s="2"/>
      <c r="H1725" s="2"/>
      <c r="I1725" s="5"/>
    </row>
    <row r="1726" spans="1:9" ht="17.399999999999999" x14ac:dyDescent="0.25">
      <c r="A1726" s="16"/>
      <c r="B1726" s="17"/>
      <c r="C1726" s="2"/>
      <c r="D1726" s="2"/>
      <c r="E1726" s="2"/>
      <c r="F1726" s="2"/>
      <c r="G1726" s="2"/>
      <c r="H1726" s="2"/>
      <c r="I1726" s="5"/>
    </row>
    <row r="1727" spans="1:9" ht="17.399999999999999" x14ac:dyDescent="0.25">
      <c r="A1727" s="16"/>
      <c r="B1727" s="17"/>
      <c r="C1727" s="2"/>
      <c r="D1727" s="2"/>
      <c r="E1727" s="2"/>
      <c r="F1727" s="2"/>
      <c r="G1727" s="2"/>
      <c r="H1727" s="2"/>
      <c r="I1727" s="5"/>
    </row>
    <row r="1728" spans="1:9" ht="17.399999999999999" x14ac:dyDescent="0.25">
      <c r="A1728" s="16"/>
      <c r="B1728" s="17"/>
      <c r="C1728" s="2"/>
      <c r="D1728" s="2"/>
      <c r="E1728" s="2"/>
      <c r="F1728" s="2"/>
      <c r="G1728" s="2"/>
      <c r="H1728" s="2"/>
      <c r="I1728" s="5"/>
    </row>
    <row r="1729" spans="1:9" ht="17.399999999999999" x14ac:dyDescent="0.25">
      <c r="A1729" s="16"/>
      <c r="B1729" s="17"/>
      <c r="C1729" s="2"/>
      <c r="D1729" s="2"/>
      <c r="E1729" s="2"/>
      <c r="F1729" s="2"/>
      <c r="G1729" s="2"/>
      <c r="H1729" s="2"/>
      <c r="I1729" s="5"/>
    </row>
    <row r="1730" spans="1:9" ht="17.399999999999999" x14ac:dyDescent="0.25">
      <c r="A1730" s="16"/>
      <c r="B1730" s="17"/>
      <c r="C1730" s="2"/>
      <c r="D1730" s="2"/>
      <c r="E1730" s="2"/>
      <c r="F1730" s="2"/>
      <c r="G1730" s="2"/>
      <c r="H1730" s="2"/>
      <c r="I1730" s="5"/>
    </row>
    <row r="1731" spans="1:9" ht="17.399999999999999" x14ac:dyDescent="0.25">
      <c r="A1731" s="16"/>
      <c r="B1731" s="17"/>
      <c r="C1731" s="2"/>
      <c r="D1731" s="2"/>
      <c r="E1731" s="2"/>
      <c r="F1731" s="2"/>
      <c r="G1731" s="2"/>
      <c r="H1731" s="2"/>
      <c r="I1731" s="5"/>
    </row>
    <row r="1732" spans="1:9" ht="17.399999999999999" x14ac:dyDescent="0.25">
      <c r="A1732" s="16"/>
      <c r="B1732" s="17"/>
      <c r="C1732" s="2"/>
      <c r="D1732" s="2"/>
      <c r="E1732" s="2"/>
      <c r="F1732" s="2"/>
      <c r="G1732" s="2"/>
      <c r="H1732" s="2"/>
      <c r="I1732" s="5"/>
    </row>
    <row r="1733" spans="1:9" ht="17.399999999999999" x14ac:dyDescent="0.25">
      <c r="A1733" s="16"/>
      <c r="B1733" s="17"/>
      <c r="C1733" s="2"/>
      <c r="D1733" s="2"/>
      <c r="E1733" s="2"/>
      <c r="F1733" s="2"/>
      <c r="G1733" s="2"/>
      <c r="H1733" s="2"/>
      <c r="I1733" s="5"/>
    </row>
    <row r="1734" spans="1:9" ht="17.399999999999999" x14ac:dyDescent="0.25">
      <c r="A1734" s="16"/>
      <c r="B1734" s="17"/>
      <c r="C1734" s="2"/>
      <c r="D1734" s="2"/>
      <c r="E1734" s="2"/>
      <c r="F1734" s="2"/>
      <c r="G1734" s="2"/>
      <c r="H1734" s="2"/>
      <c r="I1734" s="5"/>
    </row>
    <row r="1735" spans="1:9" ht="17.399999999999999" x14ac:dyDescent="0.25">
      <c r="A1735" s="16"/>
      <c r="B1735" s="17"/>
      <c r="C1735" s="2"/>
      <c r="D1735" s="2"/>
      <c r="E1735" s="2"/>
      <c r="F1735" s="2"/>
      <c r="G1735" s="2"/>
      <c r="H1735" s="2"/>
      <c r="I1735" s="5"/>
    </row>
    <row r="1736" spans="1:9" ht="17.399999999999999" x14ac:dyDescent="0.25">
      <c r="A1736" s="16"/>
      <c r="B1736" s="17"/>
      <c r="C1736" s="2"/>
      <c r="D1736" s="2"/>
      <c r="E1736" s="2"/>
      <c r="F1736" s="2"/>
      <c r="G1736" s="2"/>
      <c r="H1736" s="2"/>
      <c r="I1736" s="5"/>
    </row>
    <row r="1737" spans="1:9" ht="17.399999999999999" x14ac:dyDescent="0.25">
      <c r="A1737" s="16"/>
      <c r="B1737" s="17"/>
      <c r="C1737" s="2"/>
      <c r="D1737" s="2"/>
      <c r="E1737" s="2"/>
      <c r="F1737" s="2"/>
      <c r="G1737" s="2"/>
      <c r="H1737" s="2"/>
      <c r="I1737" s="5"/>
    </row>
    <row r="1738" spans="1:9" ht="17.399999999999999" x14ac:dyDescent="0.25">
      <c r="A1738" s="16"/>
      <c r="B1738" s="17"/>
      <c r="C1738" s="2"/>
      <c r="D1738" s="2"/>
      <c r="E1738" s="2"/>
      <c r="F1738" s="2"/>
      <c r="G1738" s="2"/>
      <c r="H1738" s="2"/>
      <c r="I1738" s="5"/>
    </row>
    <row r="1739" spans="1:9" ht="17.399999999999999" x14ac:dyDescent="0.25">
      <c r="A1739" s="16"/>
      <c r="B1739" s="17"/>
      <c r="C1739" s="2"/>
      <c r="D1739" s="2"/>
      <c r="E1739" s="2"/>
      <c r="F1739" s="2"/>
      <c r="G1739" s="2"/>
      <c r="H1739" s="2"/>
      <c r="I1739" s="5"/>
    </row>
    <row r="1740" spans="1:9" ht="17.399999999999999" x14ac:dyDescent="0.25">
      <c r="A1740" s="16"/>
      <c r="B1740" s="17"/>
      <c r="C1740" s="2"/>
      <c r="D1740" s="2"/>
      <c r="E1740" s="2"/>
      <c r="F1740" s="2"/>
      <c r="G1740" s="2"/>
      <c r="H1740" s="2"/>
      <c r="I1740" s="5"/>
    </row>
    <row r="1741" spans="1:9" ht="17.399999999999999" x14ac:dyDescent="0.25">
      <c r="A1741" s="16"/>
      <c r="B1741" s="17"/>
      <c r="C1741" s="2"/>
      <c r="D1741" s="2"/>
      <c r="E1741" s="2"/>
      <c r="F1741" s="2"/>
      <c r="G1741" s="2"/>
      <c r="H1741" s="2"/>
      <c r="I1741" s="5"/>
    </row>
    <row r="1742" spans="1:9" ht="17.399999999999999" x14ac:dyDescent="0.25">
      <c r="A1742" s="16"/>
      <c r="B1742" s="17"/>
      <c r="C1742" s="2"/>
      <c r="D1742" s="2"/>
      <c r="E1742" s="2"/>
      <c r="F1742" s="2"/>
      <c r="G1742" s="2"/>
      <c r="H1742" s="2"/>
      <c r="I1742" s="5"/>
    </row>
    <row r="1743" spans="1:9" ht="17.399999999999999" x14ac:dyDescent="0.25">
      <c r="A1743" s="16"/>
      <c r="B1743" s="17"/>
      <c r="C1743" s="2"/>
      <c r="D1743" s="2"/>
      <c r="E1743" s="2"/>
      <c r="F1743" s="2"/>
      <c r="G1743" s="2"/>
      <c r="H1743" s="2"/>
      <c r="I1743" s="5"/>
    </row>
    <row r="1744" spans="1:9" ht="17.399999999999999" x14ac:dyDescent="0.25">
      <c r="A1744" s="16"/>
      <c r="B1744" s="17"/>
      <c r="C1744" s="2"/>
      <c r="D1744" s="2"/>
      <c r="E1744" s="2"/>
      <c r="F1744" s="2"/>
      <c r="G1744" s="2"/>
      <c r="H1744" s="2"/>
      <c r="I1744" s="5"/>
    </row>
    <row r="1745" spans="1:9" ht="17.399999999999999" x14ac:dyDescent="0.25">
      <c r="A1745" s="16"/>
      <c r="B1745" s="17"/>
      <c r="C1745" s="2"/>
      <c r="D1745" s="2"/>
      <c r="E1745" s="2"/>
      <c r="F1745" s="2"/>
      <c r="G1745" s="2"/>
      <c r="H1745" s="2"/>
      <c r="I1745" s="5"/>
    </row>
    <row r="1746" spans="1:9" ht="17.399999999999999" x14ac:dyDescent="0.25">
      <c r="A1746" s="16"/>
      <c r="B1746" s="17"/>
      <c r="C1746" s="2"/>
      <c r="D1746" s="2"/>
      <c r="E1746" s="2"/>
      <c r="F1746" s="2"/>
      <c r="G1746" s="2"/>
      <c r="H1746" s="2"/>
      <c r="I1746" s="5"/>
    </row>
    <row r="1747" spans="1:9" ht="17.399999999999999" x14ac:dyDescent="0.25">
      <c r="A1747" s="16"/>
      <c r="B1747" s="17"/>
      <c r="C1747" s="2"/>
      <c r="D1747" s="2"/>
      <c r="E1747" s="2"/>
      <c r="F1747" s="2"/>
      <c r="G1747" s="2"/>
      <c r="H1747" s="2"/>
      <c r="I1747" s="5"/>
    </row>
    <row r="1748" spans="1:9" ht="17.399999999999999" x14ac:dyDescent="0.25">
      <c r="A1748" s="16"/>
      <c r="B1748" s="17"/>
      <c r="C1748" s="2"/>
      <c r="D1748" s="2"/>
      <c r="E1748" s="2"/>
      <c r="F1748" s="2"/>
      <c r="G1748" s="2"/>
      <c r="H1748" s="2"/>
      <c r="I1748" s="5"/>
    </row>
    <row r="1749" spans="1:9" ht="17.399999999999999" x14ac:dyDescent="0.25">
      <c r="A1749" s="16"/>
      <c r="B1749" s="17"/>
      <c r="C1749" s="2"/>
      <c r="D1749" s="2"/>
      <c r="E1749" s="2"/>
      <c r="F1749" s="2"/>
      <c r="G1749" s="2"/>
      <c r="H1749" s="2"/>
      <c r="I1749" s="5"/>
    </row>
    <row r="1750" spans="1:9" ht="17.399999999999999" x14ac:dyDescent="0.25">
      <c r="A1750" s="16"/>
      <c r="B1750" s="17"/>
      <c r="C1750" s="2"/>
      <c r="D1750" s="2"/>
      <c r="E1750" s="2"/>
      <c r="F1750" s="2"/>
      <c r="G1750" s="2"/>
      <c r="H1750" s="2"/>
      <c r="I1750" s="5"/>
    </row>
    <row r="1751" spans="1:9" ht="17.399999999999999" x14ac:dyDescent="0.25">
      <c r="A1751" s="16"/>
      <c r="B1751" s="17"/>
      <c r="C1751" s="2"/>
      <c r="D1751" s="2"/>
      <c r="E1751" s="2"/>
      <c r="F1751" s="2"/>
      <c r="G1751" s="2"/>
      <c r="H1751" s="2"/>
      <c r="I1751" s="5"/>
    </row>
    <row r="1752" spans="1:9" ht="17.399999999999999" x14ac:dyDescent="0.25">
      <c r="A1752" s="16"/>
      <c r="B1752" s="17"/>
      <c r="C1752" s="2"/>
      <c r="D1752" s="2"/>
      <c r="E1752" s="2"/>
      <c r="F1752" s="2"/>
      <c r="G1752" s="2"/>
      <c r="H1752" s="2"/>
      <c r="I1752" s="5"/>
    </row>
    <row r="1753" spans="1:9" ht="17.399999999999999" x14ac:dyDescent="0.25">
      <c r="A1753" s="16"/>
      <c r="B1753" s="17"/>
      <c r="C1753" s="2"/>
      <c r="D1753" s="2"/>
      <c r="E1753" s="2"/>
      <c r="F1753" s="2"/>
      <c r="G1753" s="2"/>
      <c r="H1753" s="2"/>
      <c r="I1753" s="5"/>
    </row>
    <row r="1754" spans="1:9" ht="17.399999999999999" x14ac:dyDescent="0.25">
      <c r="A1754" s="16"/>
      <c r="B1754" s="17"/>
      <c r="C1754" s="2"/>
      <c r="D1754" s="2"/>
      <c r="E1754" s="2"/>
      <c r="F1754" s="2"/>
      <c r="G1754" s="2"/>
      <c r="H1754" s="2"/>
      <c r="I1754" s="5"/>
    </row>
    <row r="1755" spans="1:9" ht="17.399999999999999" x14ac:dyDescent="0.25">
      <c r="A1755" s="16"/>
      <c r="B1755" s="17"/>
      <c r="C1755" s="2"/>
      <c r="D1755" s="2"/>
      <c r="E1755" s="2"/>
      <c r="F1755" s="2"/>
      <c r="G1755" s="2"/>
      <c r="H1755" s="2"/>
      <c r="I1755" s="5"/>
    </row>
    <row r="1756" spans="1:9" ht="17.399999999999999" x14ac:dyDescent="0.25">
      <c r="A1756" s="16"/>
      <c r="B1756" s="17"/>
      <c r="C1756" s="2"/>
      <c r="D1756" s="2"/>
      <c r="E1756" s="2"/>
      <c r="F1756" s="2"/>
      <c r="G1756" s="2"/>
      <c r="H1756" s="2"/>
      <c r="I1756" s="5"/>
    </row>
    <row r="1757" spans="1:9" ht="17.399999999999999" x14ac:dyDescent="0.25">
      <c r="A1757" s="16"/>
      <c r="B1757" s="17"/>
      <c r="C1757" s="2"/>
      <c r="D1757" s="2"/>
      <c r="E1757" s="2"/>
      <c r="F1757" s="2"/>
      <c r="G1757" s="2"/>
      <c r="H1757" s="2"/>
      <c r="I1757" s="5"/>
    </row>
    <row r="1758" spans="1:9" ht="17.399999999999999" x14ac:dyDescent="0.25">
      <c r="A1758" s="16"/>
      <c r="B1758" s="17"/>
      <c r="C1758" s="2"/>
      <c r="D1758" s="2"/>
      <c r="E1758" s="2"/>
      <c r="F1758" s="2"/>
      <c r="G1758" s="2"/>
      <c r="H1758" s="2"/>
      <c r="I1758" s="5"/>
    </row>
    <row r="1759" spans="1:9" ht="17.399999999999999" x14ac:dyDescent="0.25">
      <c r="A1759" s="16"/>
      <c r="B1759" s="17"/>
      <c r="C1759" s="2"/>
      <c r="D1759" s="2"/>
      <c r="E1759" s="2"/>
      <c r="F1759" s="2"/>
      <c r="G1759" s="2"/>
      <c r="H1759" s="2"/>
      <c r="I1759" s="5"/>
    </row>
    <row r="1760" spans="1:9" ht="17.399999999999999" x14ac:dyDescent="0.25">
      <c r="A1760" s="16"/>
      <c r="B1760" s="17"/>
      <c r="C1760" s="2"/>
      <c r="D1760" s="2"/>
      <c r="E1760" s="2"/>
      <c r="F1760" s="2"/>
      <c r="G1760" s="2"/>
      <c r="H1760" s="2"/>
      <c r="I1760" s="5"/>
    </row>
    <row r="1761" spans="1:9" ht="17.399999999999999" x14ac:dyDescent="0.25">
      <c r="A1761" s="16"/>
      <c r="B1761" s="17"/>
      <c r="C1761" s="2"/>
      <c r="D1761" s="2"/>
      <c r="E1761" s="2"/>
      <c r="F1761" s="2"/>
      <c r="G1761" s="2"/>
      <c r="H1761" s="2"/>
      <c r="I1761" s="5"/>
    </row>
    <row r="1762" spans="1:9" ht="17.399999999999999" x14ac:dyDescent="0.25">
      <c r="A1762" s="16"/>
      <c r="B1762" s="17"/>
      <c r="C1762" s="2"/>
      <c r="D1762" s="2"/>
      <c r="E1762" s="2"/>
      <c r="F1762" s="2"/>
      <c r="G1762" s="2"/>
      <c r="H1762" s="2"/>
      <c r="I1762" s="5"/>
    </row>
    <row r="1763" spans="1:9" ht="17.399999999999999" x14ac:dyDescent="0.25">
      <c r="A1763" s="16"/>
      <c r="B1763" s="17"/>
      <c r="C1763" s="2"/>
      <c r="D1763" s="2"/>
      <c r="E1763" s="2"/>
      <c r="F1763" s="2"/>
      <c r="G1763" s="2"/>
      <c r="H1763" s="2"/>
      <c r="I1763" s="5"/>
    </row>
    <row r="1764" spans="1:9" ht="17.399999999999999" x14ac:dyDescent="0.25">
      <c r="A1764" s="16"/>
      <c r="B1764" s="17"/>
      <c r="C1764" s="2"/>
      <c r="D1764" s="2"/>
      <c r="E1764" s="2"/>
      <c r="F1764" s="2"/>
      <c r="G1764" s="2"/>
      <c r="H1764" s="2"/>
      <c r="I1764" s="5"/>
    </row>
    <row r="1765" spans="1:9" ht="17.399999999999999" x14ac:dyDescent="0.25">
      <c r="A1765" s="16"/>
      <c r="B1765" s="17"/>
      <c r="C1765" s="2"/>
      <c r="D1765" s="2"/>
      <c r="E1765" s="2"/>
      <c r="F1765" s="2"/>
      <c r="G1765" s="2"/>
      <c r="H1765" s="2"/>
      <c r="I1765" s="5"/>
    </row>
    <row r="1766" spans="1:9" ht="17.399999999999999" x14ac:dyDescent="0.25">
      <c r="A1766" s="16"/>
      <c r="B1766" s="17"/>
      <c r="C1766" s="2"/>
      <c r="D1766" s="2"/>
      <c r="E1766" s="2"/>
      <c r="F1766" s="2"/>
      <c r="G1766" s="2"/>
      <c r="H1766" s="2"/>
      <c r="I1766" s="5"/>
    </row>
    <row r="1767" spans="1:9" ht="17.399999999999999" x14ac:dyDescent="0.25">
      <c r="A1767" s="16"/>
      <c r="B1767" s="17"/>
      <c r="C1767" s="2"/>
      <c r="D1767" s="2"/>
      <c r="E1767" s="2"/>
      <c r="F1767" s="2"/>
      <c r="G1767" s="2"/>
      <c r="H1767" s="2"/>
      <c r="I1767" s="5"/>
    </row>
    <row r="1768" spans="1:9" ht="17.399999999999999" x14ac:dyDescent="0.25">
      <c r="A1768" s="16"/>
      <c r="B1768" s="17"/>
      <c r="C1768" s="2"/>
      <c r="D1768" s="2"/>
      <c r="E1768" s="2"/>
      <c r="F1768" s="2"/>
      <c r="G1768" s="2"/>
      <c r="H1768" s="2"/>
      <c r="I1768" s="5"/>
    </row>
    <row r="1769" spans="1:9" ht="17.399999999999999" x14ac:dyDescent="0.25">
      <c r="A1769" s="16"/>
      <c r="B1769" s="17"/>
      <c r="C1769" s="2"/>
      <c r="D1769" s="2"/>
      <c r="E1769" s="2"/>
      <c r="F1769" s="2"/>
      <c r="G1769" s="2"/>
      <c r="H1769" s="2"/>
      <c r="I1769" s="5"/>
    </row>
    <row r="1770" spans="1:9" ht="17.399999999999999" x14ac:dyDescent="0.25">
      <c r="A1770" s="16"/>
      <c r="B1770" s="17"/>
      <c r="C1770" s="2"/>
      <c r="D1770" s="2"/>
      <c r="E1770" s="2"/>
      <c r="F1770" s="2"/>
      <c r="G1770" s="2"/>
      <c r="H1770" s="2"/>
      <c r="I1770" s="5"/>
    </row>
    <row r="1771" spans="1:9" ht="17.399999999999999" x14ac:dyDescent="0.25">
      <c r="A1771" s="16"/>
      <c r="B1771" s="17"/>
      <c r="C1771" s="2"/>
      <c r="D1771" s="2"/>
      <c r="E1771" s="2"/>
      <c r="F1771" s="2"/>
      <c r="G1771" s="2"/>
      <c r="H1771" s="2"/>
      <c r="I1771" s="5"/>
    </row>
    <row r="1772" spans="1:9" ht="17.399999999999999" x14ac:dyDescent="0.25">
      <c r="A1772" s="16"/>
      <c r="B1772" s="17"/>
      <c r="C1772" s="2"/>
      <c r="D1772" s="2"/>
      <c r="E1772" s="2"/>
      <c r="F1772" s="2"/>
      <c r="G1772" s="2"/>
      <c r="H1772" s="2"/>
      <c r="I1772" s="5"/>
    </row>
    <row r="1773" spans="1:9" ht="17.399999999999999" x14ac:dyDescent="0.25">
      <c r="A1773" s="16"/>
      <c r="B1773" s="17"/>
      <c r="C1773" s="2"/>
      <c r="D1773" s="2"/>
      <c r="E1773" s="2"/>
      <c r="F1773" s="2"/>
      <c r="G1773" s="2"/>
      <c r="H1773" s="2"/>
      <c r="I1773" s="5"/>
    </row>
    <row r="1774" spans="1:9" ht="17.399999999999999" x14ac:dyDescent="0.25">
      <c r="A1774" s="16"/>
      <c r="B1774" s="17"/>
      <c r="C1774" s="2"/>
      <c r="D1774" s="2"/>
      <c r="E1774" s="2"/>
      <c r="F1774" s="2"/>
      <c r="G1774" s="2"/>
      <c r="H1774" s="2"/>
      <c r="I1774" s="5"/>
    </row>
    <row r="1775" spans="1:9" ht="17.399999999999999" x14ac:dyDescent="0.25">
      <c r="A1775" s="16"/>
      <c r="B1775" s="17"/>
      <c r="C1775" s="2"/>
      <c r="D1775" s="2"/>
      <c r="E1775" s="2"/>
      <c r="F1775" s="2"/>
      <c r="G1775" s="2"/>
      <c r="H1775" s="2"/>
      <c r="I1775" s="5"/>
    </row>
    <row r="1776" spans="1:9" ht="17.399999999999999" x14ac:dyDescent="0.25">
      <c r="A1776" s="16"/>
      <c r="B1776" s="17"/>
      <c r="C1776" s="2"/>
      <c r="D1776" s="2"/>
      <c r="E1776" s="2"/>
      <c r="F1776" s="2"/>
      <c r="G1776" s="2"/>
      <c r="H1776" s="2"/>
      <c r="I1776" s="5"/>
    </row>
    <row r="1777" spans="1:9" ht="17.399999999999999" x14ac:dyDescent="0.25">
      <c r="A1777" s="16"/>
      <c r="B1777" s="17"/>
      <c r="C1777" s="2"/>
      <c r="D1777" s="2"/>
      <c r="E1777" s="2"/>
      <c r="F1777" s="2"/>
      <c r="G1777" s="2"/>
      <c r="H1777" s="2"/>
      <c r="I1777" s="5"/>
    </row>
    <row r="1778" spans="1:9" ht="17.399999999999999" x14ac:dyDescent="0.25">
      <c r="A1778" s="16"/>
      <c r="B1778" s="17"/>
      <c r="C1778" s="2"/>
      <c r="D1778" s="2"/>
      <c r="E1778" s="2"/>
      <c r="F1778" s="2"/>
      <c r="G1778" s="2"/>
      <c r="H1778" s="2"/>
      <c r="I1778" s="5"/>
    </row>
    <row r="1779" spans="1:9" ht="17.399999999999999" x14ac:dyDescent="0.25">
      <c r="A1779" s="16"/>
      <c r="B1779" s="17"/>
      <c r="C1779" s="2"/>
      <c r="D1779" s="2"/>
      <c r="E1779" s="2"/>
      <c r="F1779" s="2"/>
      <c r="G1779" s="2"/>
      <c r="H1779" s="2"/>
      <c r="I1779" s="5"/>
    </row>
    <row r="1780" spans="1:9" ht="17.399999999999999" x14ac:dyDescent="0.25">
      <c r="A1780" s="16"/>
      <c r="B1780" s="17"/>
      <c r="C1780" s="2"/>
      <c r="D1780" s="2"/>
      <c r="E1780" s="2"/>
      <c r="F1780" s="2"/>
      <c r="G1780" s="2"/>
      <c r="H1780" s="2"/>
      <c r="I1780" s="5"/>
    </row>
    <row r="1781" spans="1:9" ht="17.399999999999999" x14ac:dyDescent="0.25">
      <c r="A1781" s="16"/>
      <c r="B1781" s="17"/>
      <c r="C1781" s="2"/>
      <c r="D1781" s="2"/>
      <c r="E1781" s="2"/>
      <c r="F1781" s="2"/>
      <c r="G1781" s="2"/>
      <c r="H1781" s="2"/>
      <c r="I1781" s="5"/>
    </row>
    <row r="1782" spans="1:9" ht="17.399999999999999" x14ac:dyDescent="0.25">
      <c r="A1782" s="16"/>
      <c r="B1782" s="17"/>
      <c r="C1782" s="2"/>
      <c r="D1782" s="2"/>
      <c r="E1782" s="2"/>
      <c r="F1782" s="2"/>
      <c r="G1782" s="2"/>
      <c r="H1782" s="2"/>
      <c r="I1782" s="5"/>
    </row>
    <row r="1783" spans="1:9" ht="17.399999999999999" x14ac:dyDescent="0.25">
      <c r="A1783" s="16"/>
      <c r="B1783" s="17"/>
      <c r="C1783" s="2"/>
      <c r="D1783" s="2"/>
      <c r="E1783" s="2"/>
      <c r="F1783" s="2"/>
      <c r="G1783" s="2"/>
      <c r="H1783" s="2"/>
      <c r="I1783" s="5"/>
    </row>
    <row r="1784" spans="1:9" ht="17.399999999999999" x14ac:dyDescent="0.25">
      <c r="A1784" s="16"/>
      <c r="B1784" s="17"/>
      <c r="C1784" s="2"/>
      <c r="D1784" s="2"/>
      <c r="E1784" s="2"/>
      <c r="F1784" s="2"/>
      <c r="G1784" s="2"/>
      <c r="H1784" s="2"/>
      <c r="I1784" s="5"/>
    </row>
    <row r="1785" spans="1:9" ht="17.399999999999999" x14ac:dyDescent="0.25">
      <c r="A1785" s="16"/>
      <c r="B1785" s="17"/>
      <c r="C1785" s="2"/>
      <c r="D1785" s="2"/>
      <c r="E1785" s="2"/>
      <c r="F1785" s="2"/>
      <c r="G1785" s="2"/>
      <c r="H1785" s="2"/>
      <c r="I1785" s="5"/>
    </row>
    <row r="1786" spans="1:9" ht="17.399999999999999" x14ac:dyDescent="0.25">
      <c r="A1786" s="16"/>
      <c r="B1786" s="17"/>
      <c r="C1786" s="2"/>
      <c r="D1786" s="2"/>
      <c r="E1786" s="2"/>
      <c r="F1786" s="2"/>
      <c r="G1786" s="2"/>
      <c r="H1786" s="2"/>
      <c r="I1786" s="5"/>
    </row>
    <row r="1787" spans="1:9" ht="17.399999999999999" x14ac:dyDescent="0.25">
      <c r="A1787" s="16"/>
      <c r="B1787" s="17"/>
      <c r="C1787" s="2"/>
      <c r="D1787" s="2"/>
      <c r="E1787" s="2"/>
      <c r="F1787" s="2"/>
      <c r="G1787" s="2"/>
      <c r="H1787" s="2"/>
      <c r="I1787" s="5"/>
    </row>
    <row r="1788" spans="1:9" ht="17.399999999999999" x14ac:dyDescent="0.25">
      <c r="A1788" s="16"/>
      <c r="B1788" s="17"/>
      <c r="C1788" s="2"/>
      <c r="D1788" s="2"/>
      <c r="E1788" s="2"/>
      <c r="F1788" s="2"/>
      <c r="G1788" s="2"/>
      <c r="H1788" s="2"/>
      <c r="I1788" s="5"/>
    </row>
    <row r="1789" spans="1:9" ht="17.399999999999999" x14ac:dyDescent="0.25">
      <c r="A1789" s="16"/>
      <c r="B1789" s="17"/>
      <c r="C1789" s="2"/>
      <c r="D1789" s="2"/>
      <c r="E1789" s="2"/>
      <c r="F1789" s="2"/>
      <c r="G1789" s="2"/>
      <c r="H1789" s="2"/>
      <c r="I1789" s="5"/>
    </row>
    <row r="1790" spans="1:9" ht="17.399999999999999" x14ac:dyDescent="0.25">
      <c r="A1790" s="16"/>
      <c r="B1790" s="17"/>
      <c r="C1790" s="2"/>
      <c r="D1790" s="2"/>
      <c r="E1790" s="2"/>
      <c r="F1790" s="2"/>
      <c r="G1790" s="2"/>
      <c r="H1790" s="2"/>
      <c r="I1790" s="5"/>
    </row>
    <row r="1791" spans="1:9" ht="17.399999999999999" x14ac:dyDescent="0.25">
      <c r="A1791" s="16"/>
      <c r="B1791" s="17"/>
      <c r="C1791" s="2"/>
      <c r="D1791" s="2"/>
      <c r="E1791" s="2"/>
      <c r="F1791" s="2"/>
      <c r="G1791" s="2"/>
      <c r="H1791" s="2"/>
      <c r="I1791" s="5"/>
    </row>
    <row r="1792" spans="1:9" ht="17.399999999999999" x14ac:dyDescent="0.25">
      <c r="A1792" s="16"/>
      <c r="B1792" s="17"/>
      <c r="C1792" s="2"/>
      <c r="D1792" s="2"/>
      <c r="E1792" s="2"/>
      <c r="F1792" s="2"/>
      <c r="G1792" s="2"/>
      <c r="H1792" s="2"/>
      <c r="I1792" s="5"/>
    </row>
    <row r="1793" spans="1:9" ht="17.399999999999999" x14ac:dyDescent="0.25">
      <c r="A1793" s="16"/>
      <c r="B1793" s="17"/>
      <c r="C1793" s="2"/>
      <c r="D1793" s="2"/>
      <c r="E1793" s="2"/>
      <c r="F1793" s="2"/>
      <c r="G1793" s="2"/>
      <c r="H1793" s="2"/>
      <c r="I1793" s="5"/>
    </row>
    <row r="1794" spans="1:9" ht="17.399999999999999" x14ac:dyDescent="0.25">
      <c r="A1794" s="16"/>
      <c r="B1794" s="17"/>
      <c r="C1794" s="2"/>
      <c r="D1794" s="2"/>
      <c r="E1794" s="2"/>
      <c r="F1794" s="2"/>
      <c r="G1794" s="2"/>
      <c r="H1794" s="2"/>
      <c r="I1794" s="5"/>
    </row>
    <row r="1795" spans="1:9" ht="17.399999999999999" x14ac:dyDescent="0.25">
      <c r="A1795" s="16"/>
      <c r="B1795" s="17"/>
      <c r="C1795" s="2"/>
      <c r="D1795" s="2"/>
      <c r="E1795" s="2"/>
      <c r="F1795" s="2"/>
      <c r="G1795" s="2"/>
      <c r="H1795" s="2"/>
      <c r="I1795" s="5"/>
    </row>
    <row r="1796" spans="1:9" ht="17.399999999999999" x14ac:dyDescent="0.25">
      <c r="A1796" s="16"/>
      <c r="B1796" s="17"/>
      <c r="C1796" s="2"/>
      <c r="D1796" s="2"/>
      <c r="E1796" s="2"/>
      <c r="F1796" s="2"/>
      <c r="G1796" s="2"/>
      <c r="H1796" s="2"/>
      <c r="I1796" s="5"/>
    </row>
    <row r="1797" spans="1:9" ht="17.399999999999999" x14ac:dyDescent="0.25">
      <c r="A1797" s="16"/>
      <c r="B1797" s="17"/>
      <c r="C1797" s="2"/>
      <c r="D1797" s="2"/>
      <c r="E1797" s="2"/>
      <c r="F1797" s="2"/>
      <c r="G1797" s="2"/>
      <c r="H1797" s="2"/>
      <c r="I1797" s="5"/>
    </row>
    <row r="1798" spans="1:9" ht="17.399999999999999" x14ac:dyDescent="0.25">
      <c r="A1798" s="16"/>
      <c r="B1798" s="17"/>
      <c r="C1798" s="2"/>
      <c r="D1798" s="2"/>
      <c r="E1798" s="2"/>
      <c r="F1798" s="2"/>
      <c r="G1798" s="2"/>
      <c r="H1798" s="2"/>
      <c r="I1798" s="5"/>
    </row>
    <row r="1799" spans="1:9" ht="17.399999999999999" x14ac:dyDescent="0.25">
      <c r="A1799" s="16"/>
      <c r="B1799" s="17"/>
      <c r="C1799" s="2"/>
      <c r="D1799" s="2"/>
      <c r="E1799" s="2"/>
      <c r="F1799" s="2"/>
      <c r="G1799" s="2"/>
      <c r="H1799" s="2"/>
      <c r="I1799" s="5"/>
    </row>
    <row r="1800" spans="1:9" ht="17.399999999999999" x14ac:dyDescent="0.25">
      <c r="A1800" s="16"/>
      <c r="B1800" s="17"/>
      <c r="C1800" s="2"/>
      <c r="D1800" s="2"/>
      <c r="E1800" s="2"/>
      <c r="F1800" s="2"/>
      <c r="G1800" s="2"/>
      <c r="H1800" s="2"/>
      <c r="I1800" s="5"/>
    </row>
    <row r="1801" spans="1:9" ht="17.399999999999999" x14ac:dyDescent="0.25">
      <c r="A1801" s="16"/>
      <c r="B1801" s="17"/>
      <c r="C1801" s="2"/>
      <c r="D1801" s="2"/>
      <c r="E1801" s="2"/>
      <c r="F1801" s="2"/>
      <c r="G1801" s="2"/>
      <c r="H1801" s="2"/>
      <c r="I1801" s="5"/>
    </row>
    <row r="1802" spans="1:9" ht="17.399999999999999" x14ac:dyDescent="0.25">
      <c r="A1802" s="16"/>
      <c r="B1802" s="17"/>
      <c r="C1802" s="2"/>
      <c r="D1802" s="2"/>
      <c r="E1802" s="2"/>
      <c r="F1802" s="2"/>
      <c r="G1802" s="2"/>
      <c r="H1802" s="2"/>
      <c r="I1802" s="5"/>
    </row>
    <row r="1803" spans="1:9" ht="17.399999999999999" x14ac:dyDescent="0.25">
      <c r="A1803" s="16"/>
      <c r="B1803" s="17"/>
      <c r="C1803" s="2"/>
      <c r="D1803" s="2"/>
      <c r="E1803" s="2"/>
      <c r="F1803" s="2"/>
      <c r="G1803" s="2"/>
      <c r="H1803" s="2"/>
      <c r="I1803" s="5"/>
    </row>
    <row r="1804" spans="1:9" ht="17.399999999999999" x14ac:dyDescent="0.25">
      <c r="A1804" s="16"/>
      <c r="B1804" s="17"/>
      <c r="C1804" s="2"/>
      <c r="D1804" s="2"/>
      <c r="E1804" s="2"/>
      <c r="F1804" s="2"/>
      <c r="G1804" s="2"/>
      <c r="H1804" s="2"/>
      <c r="I1804" s="5"/>
    </row>
    <row r="1805" spans="1:9" ht="17.399999999999999" x14ac:dyDescent="0.25">
      <c r="A1805" s="16"/>
      <c r="B1805" s="17"/>
      <c r="C1805" s="2"/>
      <c r="D1805" s="2"/>
      <c r="E1805" s="2"/>
      <c r="F1805" s="2"/>
      <c r="G1805" s="2"/>
      <c r="H1805" s="2"/>
      <c r="I1805" s="5"/>
    </row>
    <row r="1806" spans="1:9" ht="17.399999999999999" x14ac:dyDescent="0.25">
      <c r="A1806" s="16"/>
      <c r="B1806" s="17"/>
      <c r="C1806" s="2"/>
      <c r="D1806" s="2"/>
      <c r="E1806" s="2"/>
      <c r="F1806" s="2"/>
      <c r="G1806" s="2"/>
      <c r="H1806" s="2"/>
      <c r="I1806" s="5"/>
    </row>
    <row r="1807" spans="1:9" ht="17.399999999999999" x14ac:dyDescent="0.25">
      <c r="A1807" s="16"/>
      <c r="B1807" s="17"/>
      <c r="C1807" s="2"/>
      <c r="D1807" s="2"/>
      <c r="E1807" s="2"/>
      <c r="F1807" s="2"/>
      <c r="G1807" s="2"/>
      <c r="H1807" s="2"/>
      <c r="I1807" s="5"/>
    </row>
    <row r="1808" spans="1:9" ht="17.399999999999999" x14ac:dyDescent="0.25">
      <c r="A1808" s="16"/>
      <c r="B1808" s="17"/>
      <c r="C1808" s="2"/>
      <c r="D1808" s="2"/>
      <c r="E1808" s="2"/>
      <c r="F1808" s="2"/>
      <c r="G1808" s="2"/>
      <c r="H1808" s="2"/>
      <c r="I1808" s="5"/>
    </row>
    <row r="1809" spans="1:9" ht="17.399999999999999" x14ac:dyDescent="0.25">
      <c r="A1809" s="16"/>
      <c r="B1809" s="17"/>
      <c r="C1809" s="2"/>
      <c r="D1809" s="2"/>
      <c r="E1809" s="2"/>
      <c r="F1809" s="2"/>
      <c r="G1809" s="2"/>
      <c r="H1809" s="2"/>
      <c r="I1809" s="5"/>
    </row>
    <row r="1810" spans="1:9" ht="17.399999999999999" x14ac:dyDescent="0.25">
      <c r="A1810" s="16"/>
      <c r="B1810" s="17"/>
      <c r="C1810" s="2"/>
      <c r="D1810" s="2"/>
      <c r="E1810" s="2"/>
      <c r="F1810" s="2"/>
      <c r="G1810" s="2"/>
      <c r="H1810" s="2"/>
      <c r="I1810" s="5"/>
    </row>
    <row r="1811" spans="1:9" ht="17.399999999999999" x14ac:dyDescent="0.25">
      <c r="A1811" s="16"/>
      <c r="B1811" s="17"/>
      <c r="C1811" s="2"/>
      <c r="D1811" s="2"/>
      <c r="E1811" s="2"/>
      <c r="F1811" s="2"/>
      <c r="G1811" s="2"/>
      <c r="H1811" s="2"/>
      <c r="I1811" s="5"/>
    </row>
    <row r="1812" spans="1:9" ht="17.399999999999999" x14ac:dyDescent="0.25">
      <c r="A1812" s="16"/>
      <c r="B1812" s="17"/>
      <c r="C1812" s="2"/>
      <c r="D1812" s="2"/>
      <c r="E1812" s="2"/>
      <c r="F1812" s="2"/>
      <c r="G1812" s="2"/>
      <c r="H1812" s="2"/>
      <c r="I1812" s="5"/>
    </row>
    <row r="1813" spans="1:9" ht="17.399999999999999" x14ac:dyDescent="0.25">
      <c r="A1813" s="16"/>
      <c r="B1813" s="17"/>
      <c r="C1813" s="2"/>
      <c r="D1813" s="2"/>
      <c r="E1813" s="2"/>
      <c r="F1813" s="2"/>
      <c r="G1813" s="2"/>
      <c r="H1813" s="2"/>
      <c r="I1813" s="5"/>
    </row>
    <row r="1814" spans="1:9" ht="17.399999999999999" x14ac:dyDescent="0.25">
      <c r="A1814" s="16"/>
      <c r="B1814" s="17"/>
      <c r="C1814" s="2"/>
      <c r="D1814" s="2"/>
      <c r="E1814" s="2"/>
      <c r="F1814" s="2"/>
      <c r="G1814" s="2"/>
      <c r="H1814" s="2"/>
      <c r="I1814" s="5"/>
    </row>
    <row r="1815" spans="1:9" ht="17.399999999999999" x14ac:dyDescent="0.25">
      <c r="A1815" s="16"/>
      <c r="B1815" s="17"/>
      <c r="C1815" s="2"/>
      <c r="D1815" s="2"/>
      <c r="E1815" s="2"/>
      <c r="F1815" s="2"/>
      <c r="G1815" s="2"/>
      <c r="H1815" s="2"/>
      <c r="I1815" s="5"/>
    </row>
    <row r="1816" spans="1:9" ht="17.399999999999999" x14ac:dyDescent="0.25">
      <c r="A1816" s="16"/>
      <c r="B1816" s="17"/>
      <c r="C1816" s="2"/>
      <c r="D1816" s="2"/>
      <c r="E1816" s="2"/>
      <c r="F1816" s="2"/>
      <c r="G1816" s="2"/>
      <c r="H1816" s="2"/>
      <c r="I1816" s="5"/>
    </row>
    <row r="1817" spans="1:9" ht="17.399999999999999" x14ac:dyDescent="0.25">
      <c r="A1817" s="16"/>
      <c r="B1817" s="17"/>
      <c r="C1817" s="2"/>
      <c r="D1817" s="2"/>
      <c r="E1817" s="2"/>
      <c r="F1817" s="2"/>
      <c r="G1817" s="2"/>
      <c r="H1817" s="2"/>
      <c r="I1817" s="5"/>
    </row>
    <row r="1818" spans="1:9" ht="17.399999999999999" x14ac:dyDescent="0.25">
      <c r="A1818" s="16"/>
      <c r="B1818" s="17"/>
      <c r="C1818" s="2"/>
      <c r="D1818" s="2"/>
      <c r="E1818" s="2"/>
      <c r="F1818" s="2"/>
      <c r="G1818" s="2"/>
      <c r="H1818" s="2"/>
      <c r="I1818" s="5"/>
    </row>
    <row r="1819" spans="1:9" ht="17.399999999999999" x14ac:dyDescent="0.25">
      <c r="A1819" s="16"/>
      <c r="B1819" s="17"/>
      <c r="C1819" s="2"/>
      <c r="D1819" s="2"/>
      <c r="E1819" s="2"/>
      <c r="F1819" s="2"/>
      <c r="G1819" s="2"/>
      <c r="H1819" s="2"/>
      <c r="I1819" s="5"/>
    </row>
    <row r="1820" spans="1:9" ht="17.399999999999999" x14ac:dyDescent="0.25">
      <c r="A1820" s="16"/>
      <c r="B1820" s="17"/>
      <c r="C1820" s="2"/>
      <c r="D1820" s="2"/>
      <c r="E1820" s="2"/>
      <c r="F1820" s="2"/>
      <c r="G1820" s="2"/>
      <c r="H1820" s="2"/>
      <c r="I1820" s="5"/>
    </row>
    <row r="1821" spans="1:9" ht="17.399999999999999" x14ac:dyDescent="0.25">
      <c r="A1821" s="16"/>
      <c r="B1821" s="17"/>
      <c r="C1821" s="2"/>
      <c r="D1821" s="2"/>
      <c r="E1821" s="2"/>
      <c r="F1821" s="2"/>
      <c r="G1821" s="2"/>
      <c r="H1821" s="2"/>
      <c r="I1821" s="5"/>
    </row>
    <row r="1822" spans="1:9" ht="17.399999999999999" x14ac:dyDescent="0.25">
      <c r="A1822" s="16"/>
      <c r="B1822" s="17"/>
      <c r="C1822" s="2"/>
      <c r="D1822" s="2"/>
      <c r="E1822" s="2"/>
      <c r="F1822" s="2"/>
      <c r="G1822" s="2"/>
      <c r="H1822" s="2"/>
      <c r="I1822" s="5"/>
    </row>
    <row r="1823" spans="1:9" ht="17.399999999999999" x14ac:dyDescent="0.25">
      <c r="A1823" s="16"/>
      <c r="B1823" s="17"/>
      <c r="C1823" s="2"/>
      <c r="D1823" s="2"/>
      <c r="E1823" s="2"/>
      <c r="F1823" s="2"/>
      <c r="G1823" s="2"/>
      <c r="H1823" s="2"/>
      <c r="I1823" s="5"/>
    </row>
    <row r="1824" spans="1:9" ht="17.399999999999999" x14ac:dyDescent="0.25">
      <c r="A1824" s="16"/>
      <c r="B1824" s="17"/>
      <c r="C1824" s="2"/>
      <c r="D1824" s="2"/>
      <c r="E1824" s="2"/>
      <c r="F1824" s="2"/>
      <c r="G1824" s="2"/>
      <c r="H1824" s="2"/>
      <c r="I1824" s="5"/>
    </row>
    <row r="1825" spans="1:9" ht="17.399999999999999" x14ac:dyDescent="0.25">
      <c r="A1825" s="16"/>
      <c r="B1825" s="17"/>
      <c r="C1825" s="2"/>
      <c r="D1825" s="2"/>
      <c r="E1825" s="2"/>
      <c r="F1825" s="2"/>
      <c r="G1825" s="2"/>
      <c r="H1825" s="2"/>
      <c r="I1825" s="5"/>
    </row>
    <row r="1826" spans="1:9" ht="17.399999999999999" x14ac:dyDescent="0.25">
      <c r="A1826" s="16"/>
      <c r="B1826" s="17"/>
      <c r="C1826" s="2"/>
      <c r="D1826" s="2"/>
      <c r="E1826" s="2"/>
      <c r="F1826" s="2"/>
      <c r="G1826" s="2"/>
      <c r="H1826" s="2"/>
      <c r="I1826" s="5"/>
    </row>
    <row r="1827" spans="1:9" ht="17.399999999999999" x14ac:dyDescent="0.25">
      <c r="A1827" s="16"/>
      <c r="B1827" s="17"/>
      <c r="C1827" s="2"/>
      <c r="D1827" s="2"/>
      <c r="E1827" s="2"/>
      <c r="F1827" s="2"/>
      <c r="G1827" s="2"/>
      <c r="H1827" s="2"/>
      <c r="I1827" s="5"/>
    </row>
    <row r="1828" spans="1:9" ht="17.399999999999999" x14ac:dyDescent="0.25">
      <c r="A1828" s="16"/>
      <c r="B1828" s="17"/>
      <c r="C1828" s="2"/>
      <c r="D1828" s="2"/>
      <c r="E1828" s="2"/>
      <c r="F1828" s="2"/>
      <c r="G1828" s="2"/>
      <c r="H1828" s="2"/>
      <c r="I1828" s="5"/>
    </row>
    <row r="1829" spans="1:9" ht="17.399999999999999" x14ac:dyDescent="0.25">
      <c r="A1829" s="16"/>
      <c r="B1829" s="17"/>
      <c r="C1829" s="2"/>
      <c r="D1829" s="2"/>
      <c r="E1829" s="2"/>
      <c r="F1829" s="2"/>
      <c r="G1829" s="2"/>
      <c r="H1829" s="2"/>
      <c r="I1829" s="5"/>
    </row>
    <row r="1830" spans="1:9" ht="17.399999999999999" x14ac:dyDescent="0.25">
      <c r="A1830" s="16"/>
      <c r="B1830" s="17"/>
      <c r="C1830" s="2"/>
      <c r="D1830" s="2"/>
      <c r="E1830" s="2"/>
      <c r="F1830" s="2"/>
      <c r="G1830" s="2"/>
      <c r="H1830" s="2"/>
      <c r="I1830" s="5"/>
    </row>
    <row r="1831" spans="1:9" ht="17.399999999999999" x14ac:dyDescent="0.25">
      <c r="A1831" s="16"/>
      <c r="B1831" s="17"/>
      <c r="C1831" s="2"/>
      <c r="D1831" s="2"/>
      <c r="E1831" s="2"/>
      <c r="F1831" s="2"/>
      <c r="G1831" s="2"/>
      <c r="H1831" s="2"/>
      <c r="I1831" s="5"/>
    </row>
    <row r="1832" spans="1:9" ht="17.399999999999999" x14ac:dyDescent="0.25">
      <c r="A1832" s="16"/>
      <c r="B1832" s="17"/>
      <c r="C1832" s="2"/>
      <c r="D1832" s="2"/>
      <c r="E1832" s="2"/>
      <c r="F1832" s="2"/>
      <c r="G1832" s="2"/>
      <c r="H1832" s="2"/>
      <c r="I1832" s="5"/>
    </row>
    <row r="1833" spans="1:9" ht="17.399999999999999" x14ac:dyDescent="0.25">
      <c r="A1833" s="16"/>
      <c r="B1833" s="17"/>
      <c r="C1833" s="2"/>
      <c r="D1833" s="2"/>
      <c r="E1833" s="2"/>
      <c r="F1833" s="2"/>
      <c r="G1833" s="2"/>
      <c r="H1833" s="2"/>
      <c r="I1833" s="5"/>
    </row>
    <row r="1834" spans="1:9" ht="17.399999999999999" x14ac:dyDescent="0.25">
      <c r="A1834" s="16"/>
      <c r="B1834" s="17"/>
      <c r="C1834" s="2"/>
      <c r="D1834" s="2"/>
      <c r="E1834" s="2"/>
      <c r="F1834" s="2"/>
      <c r="G1834" s="2"/>
      <c r="H1834" s="2"/>
      <c r="I1834" s="5"/>
    </row>
    <row r="1835" spans="1:9" ht="17.399999999999999" x14ac:dyDescent="0.25">
      <c r="A1835" s="16"/>
      <c r="B1835" s="17"/>
      <c r="C1835" s="2"/>
      <c r="D1835" s="2"/>
      <c r="E1835" s="2"/>
      <c r="F1835" s="2"/>
      <c r="G1835" s="2"/>
      <c r="H1835" s="2"/>
      <c r="I1835" s="5"/>
    </row>
    <row r="1836" spans="1:9" ht="17.399999999999999" x14ac:dyDescent="0.25">
      <c r="A1836" s="16"/>
      <c r="B1836" s="17"/>
      <c r="C1836" s="2"/>
      <c r="D1836" s="2"/>
      <c r="E1836" s="2"/>
      <c r="F1836" s="2"/>
      <c r="G1836" s="2"/>
      <c r="H1836" s="2"/>
      <c r="I1836" s="5"/>
    </row>
    <row r="1837" spans="1:9" ht="17.399999999999999" x14ac:dyDescent="0.25">
      <c r="A1837" s="16"/>
      <c r="B1837" s="17"/>
      <c r="C1837" s="2"/>
      <c r="D1837" s="2"/>
      <c r="E1837" s="2"/>
      <c r="F1837" s="2"/>
      <c r="G1837" s="2"/>
      <c r="H1837" s="2"/>
      <c r="I1837" s="5"/>
    </row>
    <row r="1838" spans="1:9" ht="17.399999999999999" x14ac:dyDescent="0.25">
      <c r="A1838" s="16"/>
      <c r="B1838" s="17"/>
      <c r="C1838" s="2"/>
      <c r="D1838" s="2"/>
      <c r="E1838" s="2"/>
      <c r="F1838" s="2"/>
      <c r="G1838" s="2"/>
      <c r="H1838" s="2"/>
      <c r="I1838" s="5"/>
    </row>
    <row r="1839" spans="1:9" ht="17.399999999999999" x14ac:dyDescent="0.25">
      <c r="A1839" s="16"/>
      <c r="B1839" s="17"/>
      <c r="C1839" s="2"/>
      <c r="D1839" s="2"/>
      <c r="E1839" s="2"/>
      <c r="F1839" s="2"/>
      <c r="G1839" s="2"/>
      <c r="H1839" s="2"/>
      <c r="I1839" s="5"/>
    </row>
    <row r="1840" spans="1:9" ht="17.399999999999999" x14ac:dyDescent="0.25">
      <c r="A1840" s="16"/>
      <c r="B1840" s="17"/>
      <c r="C1840" s="2"/>
      <c r="D1840" s="2"/>
      <c r="E1840" s="2"/>
      <c r="F1840" s="2"/>
      <c r="G1840" s="2"/>
      <c r="H1840" s="2"/>
      <c r="I1840" s="5"/>
    </row>
    <row r="1841" spans="1:9" ht="17.399999999999999" x14ac:dyDescent="0.25">
      <c r="A1841" s="16"/>
      <c r="B1841" s="17"/>
      <c r="C1841" s="2"/>
      <c r="D1841" s="2"/>
      <c r="E1841" s="2"/>
      <c r="F1841" s="2"/>
      <c r="G1841" s="2"/>
      <c r="H1841" s="2"/>
      <c r="I1841" s="5"/>
    </row>
    <row r="1842" spans="1:9" ht="17.399999999999999" x14ac:dyDescent="0.25">
      <c r="A1842" s="16"/>
      <c r="B1842" s="17"/>
      <c r="C1842" s="2"/>
      <c r="D1842" s="2"/>
      <c r="E1842" s="2"/>
      <c r="F1842" s="2"/>
      <c r="G1842" s="2"/>
      <c r="H1842" s="2"/>
      <c r="I1842" s="5"/>
    </row>
    <row r="1843" spans="1:9" ht="17.399999999999999" x14ac:dyDescent="0.25">
      <c r="A1843" s="16"/>
      <c r="B1843" s="17"/>
      <c r="C1843" s="2"/>
      <c r="D1843" s="2"/>
      <c r="E1843" s="2"/>
      <c r="F1843" s="2"/>
      <c r="G1843" s="2"/>
      <c r="H1843" s="2"/>
      <c r="I1843" s="5"/>
    </row>
    <row r="1844" spans="1:9" ht="17.399999999999999" x14ac:dyDescent="0.25">
      <c r="A1844" s="16"/>
      <c r="B1844" s="17"/>
      <c r="C1844" s="2"/>
      <c r="D1844" s="2"/>
      <c r="E1844" s="2"/>
      <c r="F1844" s="2"/>
      <c r="G1844" s="2"/>
      <c r="H1844" s="2"/>
      <c r="I1844" s="5"/>
    </row>
    <row r="1845" spans="1:9" ht="17.399999999999999" x14ac:dyDescent="0.25">
      <c r="A1845" s="16"/>
      <c r="B1845" s="17"/>
      <c r="C1845" s="2"/>
      <c r="D1845" s="2"/>
      <c r="E1845" s="2"/>
      <c r="F1845" s="2"/>
      <c r="G1845" s="2"/>
      <c r="H1845" s="2"/>
      <c r="I1845" s="5"/>
    </row>
    <row r="1846" spans="1:9" ht="17.399999999999999" x14ac:dyDescent="0.25">
      <c r="A1846" s="16"/>
      <c r="B1846" s="17"/>
      <c r="C1846" s="2"/>
      <c r="D1846" s="2"/>
      <c r="E1846" s="2"/>
      <c r="F1846" s="2"/>
      <c r="G1846" s="2"/>
      <c r="H1846" s="2"/>
      <c r="I1846" s="5"/>
    </row>
    <row r="1847" spans="1:9" ht="17.399999999999999" x14ac:dyDescent="0.25">
      <c r="A1847" s="16"/>
      <c r="B1847" s="17"/>
      <c r="C1847" s="2"/>
      <c r="D1847" s="2"/>
      <c r="E1847" s="2"/>
      <c r="F1847" s="2"/>
      <c r="G1847" s="2"/>
      <c r="H1847" s="2"/>
      <c r="I1847" s="5"/>
    </row>
    <row r="1848" spans="1:9" ht="17.399999999999999" x14ac:dyDescent="0.25">
      <c r="A1848" s="16"/>
      <c r="B1848" s="17"/>
      <c r="C1848" s="2"/>
      <c r="D1848" s="2"/>
      <c r="E1848" s="2"/>
      <c r="F1848" s="2"/>
      <c r="G1848" s="2"/>
      <c r="H1848" s="2"/>
      <c r="I1848" s="5"/>
    </row>
    <row r="1849" spans="1:9" ht="17.399999999999999" x14ac:dyDescent="0.25">
      <c r="A1849" s="16"/>
      <c r="B1849" s="17"/>
      <c r="C1849" s="2"/>
      <c r="D1849" s="2"/>
      <c r="E1849" s="2"/>
      <c r="F1849" s="2"/>
      <c r="G1849" s="2"/>
      <c r="H1849" s="2"/>
      <c r="I1849" s="5"/>
    </row>
    <row r="1850" spans="1:9" ht="17.399999999999999" x14ac:dyDescent="0.25">
      <c r="A1850" s="16"/>
      <c r="B1850" s="17"/>
      <c r="C1850" s="2"/>
      <c r="D1850" s="2"/>
      <c r="E1850" s="2"/>
      <c r="F1850" s="2"/>
      <c r="G1850" s="2"/>
      <c r="H1850" s="2"/>
      <c r="I1850" s="5"/>
    </row>
    <row r="1851" spans="1:9" ht="17.399999999999999" x14ac:dyDescent="0.25">
      <c r="A1851" s="16"/>
      <c r="B1851" s="17"/>
      <c r="C1851" s="2"/>
      <c r="D1851" s="2"/>
      <c r="E1851" s="2"/>
      <c r="F1851" s="2"/>
      <c r="G1851" s="2"/>
      <c r="H1851" s="2"/>
      <c r="I1851" s="5"/>
    </row>
    <row r="1852" spans="1:9" ht="17.399999999999999" x14ac:dyDescent="0.25">
      <c r="A1852" s="16"/>
      <c r="B1852" s="17"/>
      <c r="C1852" s="2"/>
      <c r="D1852" s="2"/>
      <c r="E1852" s="2"/>
      <c r="F1852" s="2"/>
      <c r="G1852" s="2"/>
      <c r="H1852" s="2"/>
      <c r="I1852" s="5"/>
    </row>
    <row r="1853" spans="1:9" ht="17.399999999999999" x14ac:dyDescent="0.25">
      <c r="A1853" s="16"/>
      <c r="B1853" s="17"/>
      <c r="C1853" s="2"/>
      <c r="D1853" s="2"/>
      <c r="E1853" s="2"/>
      <c r="F1853" s="2"/>
      <c r="G1853" s="2"/>
      <c r="H1853" s="2"/>
      <c r="I1853" s="5"/>
    </row>
    <row r="1854" spans="1:9" ht="17.399999999999999" x14ac:dyDescent="0.25">
      <c r="A1854" s="16"/>
      <c r="B1854" s="17"/>
      <c r="C1854" s="2"/>
      <c r="D1854" s="2"/>
      <c r="E1854" s="2"/>
      <c r="F1854" s="2"/>
      <c r="G1854" s="2"/>
      <c r="H1854" s="2"/>
      <c r="I1854" s="5"/>
    </row>
    <row r="1855" spans="1:9" ht="17.399999999999999" x14ac:dyDescent="0.25">
      <c r="A1855" s="16"/>
      <c r="B1855" s="17"/>
      <c r="C1855" s="2"/>
      <c r="D1855" s="2"/>
      <c r="E1855" s="2"/>
      <c r="F1855" s="2"/>
      <c r="G1855" s="2"/>
      <c r="H1855" s="2"/>
      <c r="I1855" s="5"/>
    </row>
    <row r="1856" spans="1:9" ht="17.399999999999999" x14ac:dyDescent="0.25">
      <c r="A1856" s="16"/>
      <c r="B1856" s="17"/>
      <c r="C1856" s="2"/>
      <c r="D1856" s="2"/>
      <c r="E1856" s="2"/>
      <c r="F1856" s="2"/>
      <c r="G1856" s="2"/>
      <c r="H1856" s="2"/>
      <c r="I1856" s="5"/>
    </row>
    <row r="1857" spans="1:9" ht="17.399999999999999" x14ac:dyDescent="0.25">
      <c r="A1857" s="16"/>
      <c r="B1857" s="17"/>
      <c r="C1857" s="2"/>
      <c r="D1857" s="2"/>
      <c r="E1857" s="2"/>
      <c r="F1857" s="2"/>
      <c r="G1857" s="2"/>
      <c r="H1857" s="2"/>
      <c r="I1857" s="5"/>
    </row>
    <row r="1858" spans="1:9" ht="17.399999999999999" x14ac:dyDescent="0.25">
      <c r="A1858" s="16"/>
      <c r="B1858" s="17"/>
      <c r="C1858" s="2"/>
      <c r="D1858" s="2"/>
      <c r="E1858" s="2"/>
      <c r="F1858" s="2"/>
      <c r="G1858" s="2"/>
      <c r="H1858" s="2"/>
      <c r="I1858" s="5"/>
    </row>
    <row r="1859" spans="1:9" ht="17.399999999999999" x14ac:dyDescent="0.25">
      <c r="A1859" s="16"/>
      <c r="B1859" s="17"/>
      <c r="C1859" s="2"/>
      <c r="D1859" s="2"/>
      <c r="E1859" s="2"/>
      <c r="F1859" s="2"/>
      <c r="G1859" s="2"/>
      <c r="H1859" s="2"/>
      <c r="I1859" s="5"/>
    </row>
    <row r="1860" spans="1:9" ht="17.399999999999999" x14ac:dyDescent="0.25">
      <c r="A1860" s="16"/>
      <c r="B1860" s="17"/>
      <c r="C1860" s="2"/>
      <c r="D1860" s="2"/>
      <c r="E1860" s="2"/>
      <c r="F1860" s="2"/>
      <c r="G1860" s="2"/>
      <c r="H1860" s="2"/>
      <c r="I1860" s="5"/>
    </row>
    <row r="1861" spans="1:9" ht="17.399999999999999" x14ac:dyDescent="0.25">
      <c r="A1861" s="16"/>
      <c r="B1861" s="17"/>
      <c r="C1861" s="2"/>
      <c r="D1861" s="2"/>
      <c r="E1861" s="2"/>
      <c r="F1861" s="2"/>
      <c r="G1861" s="2"/>
      <c r="H1861" s="2"/>
      <c r="I1861" s="5"/>
    </row>
    <row r="1862" spans="1:9" ht="17.399999999999999" x14ac:dyDescent="0.25">
      <c r="A1862" s="16"/>
      <c r="B1862" s="17"/>
      <c r="C1862" s="2"/>
      <c r="D1862" s="2"/>
      <c r="E1862" s="2"/>
      <c r="F1862" s="2"/>
      <c r="G1862" s="2"/>
      <c r="H1862" s="2"/>
      <c r="I1862" s="5"/>
    </row>
    <row r="1863" spans="1:9" ht="17.399999999999999" x14ac:dyDescent="0.25">
      <c r="A1863" s="16"/>
      <c r="B1863" s="17"/>
      <c r="C1863" s="2"/>
      <c r="D1863" s="2"/>
      <c r="E1863" s="2"/>
      <c r="F1863" s="2"/>
      <c r="G1863" s="2"/>
      <c r="H1863" s="2"/>
      <c r="I1863" s="5"/>
    </row>
    <row r="1864" spans="1:9" ht="17.399999999999999" x14ac:dyDescent="0.25">
      <c r="A1864" s="16"/>
      <c r="B1864" s="17"/>
      <c r="C1864" s="2"/>
      <c r="D1864" s="2"/>
      <c r="E1864" s="2"/>
      <c r="F1864" s="2"/>
      <c r="G1864" s="2"/>
      <c r="H1864" s="2"/>
      <c r="I1864" s="5"/>
    </row>
    <row r="1865" spans="1:9" ht="17.399999999999999" x14ac:dyDescent="0.25">
      <c r="A1865" s="16"/>
      <c r="B1865" s="17"/>
      <c r="C1865" s="2"/>
      <c r="D1865" s="2"/>
      <c r="E1865" s="2"/>
      <c r="F1865" s="2"/>
      <c r="G1865" s="2"/>
      <c r="H1865" s="2"/>
      <c r="I1865" s="5"/>
    </row>
    <row r="1866" spans="1:9" ht="17.399999999999999" x14ac:dyDescent="0.25">
      <c r="A1866" s="16"/>
      <c r="B1866" s="17"/>
      <c r="C1866" s="2"/>
      <c r="D1866" s="2"/>
      <c r="E1866" s="2"/>
      <c r="F1866" s="2"/>
      <c r="G1866" s="2"/>
      <c r="H1866" s="2"/>
      <c r="I1866" s="5"/>
    </row>
    <row r="1867" spans="1:9" ht="17.399999999999999" x14ac:dyDescent="0.25">
      <c r="A1867" s="16"/>
      <c r="B1867" s="17"/>
      <c r="C1867" s="2"/>
      <c r="D1867" s="2"/>
      <c r="E1867" s="2"/>
      <c r="F1867" s="2"/>
      <c r="G1867" s="2"/>
      <c r="H1867" s="2"/>
      <c r="I1867" s="5"/>
    </row>
    <row r="1868" spans="1:9" ht="17.399999999999999" x14ac:dyDescent="0.25">
      <c r="A1868" s="16"/>
      <c r="B1868" s="17"/>
      <c r="C1868" s="2"/>
      <c r="D1868" s="2"/>
      <c r="E1868" s="2"/>
      <c r="F1868" s="2"/>
      <c r="G1868" s="2"/>
      <c r="H1868" s="2"/>
      <c r="I1868" s="5"/>
    </row>
    <row r="1869" spans="1:9" ht="17.399999999999999" x14ac:dyDescent="0.25">
      <c r="A1869" s="16"/>
      <c r="B1869" s="17"/>
      <c r="C1869" s="2"/>
      <c r="D1869" s="2"/>
      <c r="E1869" s="2"/>
      <c r="F1869" s="2"/>
      <c r="G1869" s="2"/>
      <c r="H1869" s="2"/>
      <c r="I1869" s="5"/>
    </row>
    <row r="1870" spans="1:9" ht="17.399999999999999" x14ac:dyDescent="0.25">
      <c r="A1870" s="16"/>
      <c r="B1870" s="17"/>
      <c r="C1870" s="2"/>
      <c r="D1870" s="2"/>
      <c r="E1870" s="2"/>
      <c r="F1870" s="2"/>
      <c r="G1870" s="2"/>
      <c r="H1870" s="2"/>
      <c r="I1870" s="5"/>
    </row>
    <row r="1871" spans="1:9" ht="17.399999999999999" x14ac:dyDescent="0.25">
      <c r="A1871" s="16"/>
      <c r="B1871" s="17"/>
      <c r="C1871" s="2"/>
      <c r="D1871" s="2"/>
      <c r="E1871" s="2"/>
      <c r="F1871" s="2"/>
      <c r="G1871" s="2"/>
      <c r="H1871" s="2"/>
      <c r="I1871" s="5"/>
    </row>
    <row r="1872" spans="1:9" ht="17.399999999999999" x14ac:dyDescent="0.25">
      <c r="A1872" s="16"/>
      <c r="B1872" s="17"/>
      <c r="C1872" s="2"/>
      <c r="D1872" s="2"/>
      <c r="E1872" s="2"/>
      <c r="F1872" s="2"/>
      <c r="G1872" s="2"/>
      <c r="H1872" s="2"/>
      <c r="I1872" s="5"/>
    </row>
    <row r="1873" spans="1:9" ht="17.399999999999999" x14ac:dyDescent="0.25">
      <c r="A1873" s="16"/>
      <c r="B1873" s="17"/>
      <c r="C1873" s="2"/>
      <c r="D1873" s="2"/>
      <c r="E1873" s="2"/>
      <c r="F1873" s="2"/>
      <c r="G1873" s="2"/>
      <c r="H1873" s="2"/>
      <c r="I1873" s="5"/>
    </row>
    <row r="1874" spans="1:9" ht="17.399999999999999" x14ac:dyDescent="0.25">
      <c r="A1874" s="16"/>
      <c r="B1874" s="17"/>
      <c r="C1874" s="2"/>
      <c r="D1874" s="2"/>
      <c r="E1874" s="2"/>
      <c r="F1874" s="2"/>
      <c r="G1874" s="2"/>
      <c r="H1874" s="2"/>
      <c r="I1874" s="5"/>
    </row>
    <row r="1875" spans="1:9" ht="17.399999999999999" x14ac:dyDescent="0.25">
      <c r="A1875" s="16"/>
      <c r="B1875" s="17"/>
      <c r="C1875" s="2"/>
      <c r="D1875" s="2"/>
      <c r="E1875" s="2"/>
      <c r="F1875" s="2"/>
      <c r="G1875" s="2"/>
      <c r="H1875" s="2"/>
      <c r="I1875" s="5"/>
    </row>
    <row r="1876" spans="1:9" ht="17.399999999999999" x14ac:dyDescent="0.25">
      <c r="A1876" s="16"/>
      <c r="B1876" s="17"/>
      <c r="C1876" s="2"/>
      <c r="D1876" s="2"/>
      <c r="E1876" s="2"/>
      <c r="F1876" s="2"/>
      <c r="G1876" s="2"/>
      <c r="H1876" s="2"/>
      <c r="I1876" s="5"/>
    </row>
    <row r="1877" spans="1:9" ht="17.399999999999999" x14ac:dyDescent="0.25">
      <c r="A1877" s="16"/>
      <c r="B1877" s="17"/>
      <c r="C1877" s="2"/>
      <c r="D1877" s="2"/>
      <c r="E1877" s="2"/>
      <c r="F1877" s="2"/>
      <c r="G1877" s="2"/>
      <c r="H1877" s="2"/>
      <c r="I1877" s="5"/>
    </row>
    <row r="1878" spans="1:9" ht="17.399999999999999" x14ac:dyDescent="0.25">
      <c r="A1878" s="16"/>
      <c r="B1878" s="17"/>
      <c r="C1878" s="2"/>
      <c r="D1878" s="2"/>
      <c r="E1878" s="2"/>
      <c r="F1878" s="2"/>
      <c r="G1878" s="2"/>
      <c r="H1878" s="2"/>
      <c r="I1878" s="5"/>
    </row>
    <row r="1879" spans="1:9" ht="17.399999999999999" x14ac:dyDescent="0.25">
      <c r="A1879" s="16"/>
      <c r="B1879" s="17"/>
      <c r="C1879" s="2"/>
      <c r="D1879" s="2"/>
      <c r="E1879" s="2"/>
      <c r="F1879" s="2"/>
      <c r="G1879" s="2"/>
      <c r="H1879" s="2"/>
      <c r="I1879" s="5"/>
    </row>
    <row r="1880" spans="1:9" ht="17.399999999999999" x14ac:dyDescent="0.25">
      <c r="A1880" s="16"/>
      <c r="B1880" s="17"/>
      <c r="C1880" s="2"/>
      <c r="D1880" s="2"/>
      <c r="E1880" s="2"/>
      <c r="F1880" s="2"/>
      <c r="G1880" s="2"/>
      <c r="H1880" s="2"/>
      <c r="I1880" s="5"/>
    </row>
    <row r="1881" spans="1:9" ht="17.399999999999999" x14ac:dyDescent="0.25">
      <c r="A1881" s="16"/>
      <c r="B1881" s="17"/>
      <c r="C1881" s="2"/>
      <c r="D1881" s="2"/>
      <c r="E1881" s="2"/>
      <c r="F1881" s="2"/>
      <c r="G1881" s="2"/>
      <c r="H1881" s="2"/>
      <c r="I1881" s="5"/>
    </row>
    <row r="1882" spans="1:9" ht="17.399999999999999" x14ac:dyDescent="0.25">
      <c r="A1882" s="16"/>
      <c r="B1882" s="17"/>
      <c r="C1882" s="2"/>
      <c r="D1882" s="2"/>
      <c r="E1882" s="2"/>
      <c r="F1882" s="2"/>
      <c r="G1882" s="2"/>
      <c r="H1882" s="2"/>
      <c r="I1882" s="5"/>
    </row>
    <row r="1883" spans="1:9" ht="17.399999999999999" x14ac:dyDescent="0.25">
      <c r="A1883" s="16"/>
      <c r="B1883" s="17"/>
      <c r="C1883" s="2"/>
      <c r="D1883" s="2"/>
      <c r="E1883" s="2"/>
      <c r="F1883" s="2"/>
      <c r="G1883" s="2"/>
      <c r="H1883" s="2"/>
      <c r="I1883" s="5"/>
    </row>
    <row r="1884" spans="1:9" ht="17.399999999999999" x14ac:dyDescent="0.25">
      <c r="A1884" s="16"/>
      <c r="B1884" s="17"/>
      <c r="C1884" s="2"/>
      <c r="D1884" s="2"/>
      <c r="E1884" s="2"/>
      <c r="F1884" s="2"/>
      <c r="G1884" s="2"/>
      <c r="H1884" s="2"/>
      <c r="I1884" s="5"/>
    </row>
    <row r="1885" spans="1:9" ht="17.399999999999999" x14ac:dyDescent="0.25">
      <c r="A1885" s="16"/>
      <c r="B1885" s="17"/>
      <c r="C1885" s="2"/>
      <c r="D1885" s="2"/>
      <c r="E1885" s="2"/>
      <c r="F1885" s="2"/>
      <c r="G1885" s="2"/>
      <c r="H1885" s="2"/>
      <c r="I1885" s="5"/>
    </row>
    <row r="1886" spans="1:9" ht="17.399999999999999" x14ac:dyDescent="0.25">
      <c r="A1886" s="16"/>
      <c r="B1886" s="17"/>
      <c r="C1886" s="2"/>
      <c r="D1886" s="2"/>
      <c r="E1886" s="2"/>
      <c r="F1886" s="2"/>
      <c r="G1886" s="2"/>
      <c r="H1886" s="2"/>
      <c r="I1886" s="5"/>
    </row>
    <row r="1887" spans="1:9" ht="17.399999999999999" x14ac:dyDescent="0.25">
      <c r="A1887" s="16"/>
      <c r="B1887" s="17"/>
      <c r="C1887" s="2"/>
      <c r="D1887" s="2"/>
      <c r="E1887" s="2"/>
      <c r="F1887" s="2"/>
      <c r="G1887" s="2"/>
      <c r="H1887" s="2"/>
      <c r="I1887" s="5"/>
    </row>
    <row r="1888" spans="1:9" ht="17.399999999999999" x14ac:dyDescent="0.25">
      <c r="A1888" s="16"/>
      <c r="B1888" s="17"/>
      <c r="C1888" s="2"/>
      <c r="D1888" s="2"/>
      <c r="E1888" s="2"/>
      <c r="F1888" s="2"/>
      <c r="G1888" s="2"/>
      <c r="H1888" s="2"/>
      <c r="I1888" s="5"/>
    </row>
    <row r="1889" spans="1:9" ht="17.399999999999999" x14ac:dyDescent="0.25">
      <c r="A1889" s="16"/>
      <c r="B1889" s="17"/>
      <c r="C1889" s="2"/>
      <c r="D1889" s="2"/>
      <c r="E1889" s="2"/>
      <c r="F1889" s="2"/>
      <c r="G1889" s="2"/>
      <c r="H1889" s="2"/>
      <c r="I1889" s="5"/>
    </row>
    <row r="1890" spans="1:9" ht="17.399999999999999" x14ac:dyDescent="0.25">
      <c r="A1890" s="16"/>
      <c r="B1890" s="17"/>
      <c r="C1890" s="2"/>
      <c r="D1890" s="2"/>
      <c r="E1890" s="2"/>
      <c r="F1890" s="2"/>
      <c r="G1890" s="2"/>
      <c r="H1890" s="2"/>
      <c r="I1890" s="5"/>
    </row>
    <row r="1891" spans="1:9" ht="17.399999999999999" x14ac:dyDescent="0.25">
      <c r="A1891" s="16"/>
      <c r="B1891" s="17"/>
      <c r="C1891" s="2"/>
      <c r="D1891" s="2"/>
      <c r="E1891" s="2"/>
      <c r="F1891" s="2"/>
      <c r="G1891" s="2"/>
      <c r="H1891" s="2"/>
      <c r="I1891" s="5"/>
    </row>
    <row r="1892" spans="1:9" ht="17.399999999999999" x14ac:dyDescent="0.25">
      <c r="A1892" s="16"/>
      <c r="B1892" s="17"/>
      <c r="C1892" s="2"/>
      <c r="D1892" s="2"/>
      <c r="E1892" s="2"/>
      <c r="F1892" s="2"/>
      <c r="G1892" s="2"/>
      <c r="H1892" s="2"/>
      <c r="I1892" s="5"/>
    </row>
    <row r="1893" spans="1:9" ht="17.399999999999999" x14ac:dyDescent="0.25">
      <c r="A1893" s="16"/>
      <c r="B1893" s="17"/>
      <c r="C1893" s="2"/>
      <c r="D1893" s="2"/>
      <c r="E1893" s="2"/>
      <c r="F1893" s="2"/>
      <c r="G1893" s="2"/>
      <c r="H1893" s="2"/>
      <c r="I1893" s="5"/>
    </row>
    <row r="1894" spans="1:9" ht="17.399999999999999" x14ac:dyDescent="0.25">
      <c r="A1894" s="16"/>
      <c r="B1894" s="17"/>
      <c r="C1894" s="2"/>
      <c r="D1894" s="2"/>
      <c r="E1894" s="2"/>
      <c r="F1894" s="2"/>
      <c r="G1894" s="2"/>
      <c r="H1894" s="2"/>
      <c r="I1894" s="5"/>
    </row>
    <row r="1895" spans="1:9" ht="17.399999999999999" x14ac:dyDescent="0.25">
      <c r="A1895" s="16"/>
      <c r="B1895" s="17"/>
      <c r="C1895" s="2"/>
      <c r="D1895" s="2"/>
      <c r="E1895" s="2"/>
      <c r="F1895" s="2"/>
      <c r="G1895" s="2"/>
      <c r="H1895" s="2"/>
      <c r="I1895" s="5"/>
    </row>
    <row r="1896" spans="1:9" ht="17.399999999999999" x14ac:dyDescent="0.25">
      <c r="A1896" s="16"/>
      <c r="B1896" s="17"/>
      <c r="C1896" s="2"/>
      <c r="D1896" s="2"/>
      <c r="E1896" s="2"/>
      <c r="F1896" s="2"/>
      <c r="G1896" s="2"/>
      <c r="H1896" s="2"/>
      <c r="I1896" s="5"/>
    </row>
    <row r="1897" spans="1:9" ht="17.399999999999999" x14ac:dyDescent="0.25">
      <c r="A1897" s="16"/>
      <c r="B1897" s="17"/>
      <c r="C1897" s="2"/>
      <c r="D1897" s="2"/>
      <c r="E1897" s="2"/>
      <c r="F1897" s="2"/>
      <c r="G1897" s="2"/>
      <c r="H1897" s="2"/>
      <c r="I1897" s="5"/>
    </row>
    <row r="1898" spans="1:9" ht="17.399999999999999" x14ac:dyDescent="0.25">
      <c r="A1898" s="16"/>
      <c r="B1898" s="17"/>
      <c r="C1898" s="2"/>
      <c r="D1898" s="2"/>
      <c r="E1898" s="2"/>
      <c r="F1898" s="2"/>
      <c r="G1898" s="2"/>
      <c r="H1898" s="2"/>
      <c r="I1898" s="5"/>
    </row>
    <row r="1899" spans="1:9" ht="17.399999999999999" x14ac:dyDescent="0.25">
      <c r="A1899" s="16"/>
      <c r="B1899" s="17"/>
      <c r="C1899" s="2"/>
      <c r="D1899" s="2"/>
      <c r="E1899" s="2"/>
      <c r="F1899" s="2"/>
      <c r="G1899" s="2"/>
      <c r="H1899" s="2"/>
      <c r="I1899" s="5"/>
    </row>
    <row r="1900" spans="1:9" ht="17.399999999999999" x14ac:dyDescent="0.25">
      <c r="A1900" s="16"/>
      <c r="B1900" s="17"/>
      <c r="C1900" s="2"/>
      <c r="D1900" s="2"/>
      <c r="E1900" s="2"/>
      <c r="F1900" s="2"/>
      <c r="G1900" s="2"/>
      <c r="H1900" s="2"/>
      <c r="I1900" s="5"/>
    </row>
    <row r="1901" spans="1:9" ht="17.399999999999999" x14ac:dyDescent="0.25">
      <c r="A1901" s="16"/>
      <c r="B1901" s="17"/>
      <c r="C1901" s="2"/>
      <c r="D1901" s="2"/>
      <c r="E1901" s="2"/>
      <c r="F1901" s="2"/>
      <c r="G1901" s="2"/>
      <c r="H1901" s="2"/>
      <c r="I1901" s="5"/>
    </row>
    <row r="1902" spans="1:9" ht="17.399999999999999" x14ac:dyDescent="0.25">
      <c r="A1902" s="16"/>
      <c r="B1902" s="17"/>
      <c r="C1902" s="2"/>
      <c r="D1902" s="2"/>
      <c r="E1902" s="2"/>
      <c r="F1902" s="2"/>
      <c r="G1902" s="2"/>
      <c r="H1902" s="2"/>
      <c r="I1902" s="5"/>
    </row>
    <row r="1903" spans="1:9" ht="17.399999999999999" x14ac:dyDescent="0.25">
      <c r="A1903" s="16"/>
      <c r="B1903" s="17"/>
      <c r="C1903" s="2"/>
      <c r="D1903" s="2"/>
      <c r="E1903" s="2"/>
      <c r="F1903" s="2"/>
      <c r="G1903" s="2"/>
      <c r="H1903" s="2"/>
      <c r="I1903" s="5"/>
    </row>
    <row r="1904" spans="1:9" ht="17.399999999999999" x14ac:dyDescent="0.25">
      <c r="A1904" s="16"/>
      <c r="B1904" s="17"/>
      <c r="C1904" s="2"/>
      <c r="D1904" s="2"/>
      <c r="E1904" s="2"/>
      <c r="F1904" s="2"/>
      <c r="G1904" s="2"/>
      <c r="H1904" s="2"/>
      <c r="I1904" s="5"/>
    </row>
    <row r="1905" spans="1:9" ht="17.399999999999999" x14ac:dyDescent="0.25">
      <c r="A1905" s="16"/>
      <c r="B1905" s="17"/>
      <c r="C1905" s="2"/>
      <c r="D1905" s="2"/>
      <c r="E1905" s="2"/>
      <c r="F1905" s="2"/>
      <c r="G1905" s="2"/>
      <c r="H1905" s="2"/>
      <c r="I1905" s="5"/>
    </row>
    <row r="1906" spans="1:9" ht="17.399999999999999" x14ac:dyDescent="0.25">
      <c r="A1906" s="16"/>
      <c r="B1906" s="17"/>
      <c r="C1906" s="2"/>
      <c r="D1906" s="2"/>
      <c r="E1906" s="2"/>
      <c r="F1906" s="2"/>
      <c r="G1906" s="2"/>
      <c r="H1906" s="2"/>
      <c r="I1906" s="5"/>
    </row>
    <row r="1907" spans="1:9" ht="17.399999999999999" x14ac:dyDescent="0.25">
      <c r="A1907" s="16"/>
      <c r="B1907" s="17"/>
      <c r="C1907" s="2"/>
      <c r="D1907" s="2"/>
      <c r="E1907" s="2"/>
      <c r="F1907" s="2"/>
      <c r="G1907" s="2"/>
      <c r="H1907" s="2"/>
      <c r="I1907" s="5"/>
    </row>
    <row r="1908" spans="1:9" ht="17.399999999999999" x14ac:dyDescent="0.25">
      <c r="A1908" s="16"/>
      <c r="B1908" s="17"/>
      <c r="C1908" s="2"/>
      <c r="D1908" s="2"/>
      <c r="E1908" s="2"/>
      <c r="F1908" s="2"/>
      <c r="G1908" s="2"/>
      <c r="H1908" s="2"/>
      <c r="I1908" s="5"/>
    </row>
    <row r="1909" spans="1:9" ht="17.399999999999999" x14ac:dyDescent="0.25">
      <c r="A1909" s="16"/>
      <c r="B1909" s="17"/>
      <c r="C1909" s="2"/>
      <c r="D1909" s="2"/>
      <c r="E1909" s="2"/>
      <c r="F1909" s="2"/>
      <c r="G1909" s="2"/>
      <c r="H1909" s="2"/>
      <c r="I1909" s="5"/>
    </row>
    <row r="1910" spans="1:9" ht="17.399999999999999" x14ac:dyDescent="0.25">
      <c r="A1910" s="16"/>
      <c r="B1910" s="17"/>
      <c r="C1910" s="2"/>
      <c r="D1910" s="2"/>
      <c r="E1910" s="2"/>
      <c r="F1910" s="2"/>
      <c r="G1910" s="2"/>
      <c r="H1910" s="2"/>
      <c r="I1910" s="5"/>
    </row>
    <row r="1911" spans="1:9" ht="17.399999999999999" x14ac:dyDescent="0.25">
      <c r="A1911" s="16"/>
      <c r="B1911" s="17"/>
      <c r="C1911" s="2"/>
      <c r="D1911" s="2"/>
      <c r="E1911" s="2"/>
      <c r="F1911" s="2"/>
      <c r="G1911" s="2"/>
      <c r="H1911" s="2"/>
      <c r="I1911" s="5"/>
    </row>
    <row r="1912" spans="1:9" ht="17.399999999999999" x14ac:dyDescent="0.25">
      <c r="A1912" s="16"/>
      <c r="B1912" s="17"/>
      <c r="C1912" s="2"/>
      <c r="D1912" s="2"/>
      <c r="E1912" s="2"/>
      <c r="F1912" s="2"/>
      <c r="G1912" s="2"/>
      <c r="H1912" s="2"/>
      <c r="I1912" s="5"/>
    </row>
    <row r="1913" spans="1:9" ht="17.399999999999999" x14ac:dyDescent="0.25">
      <c r="A1913" s="16"/>
      <c r="B1913" s="17"/>
      <c r="C1913" s="2"/>
      <c r="D1913" s="2"/>
      <c r="E1913" s="2"/>
      <c r="F1913" s="2"/>
      <c r="G1913" s="2"/>
      <c r="H1913" s="2"/>
      <c r="I1913" s="5"/>
    </row>
    <row r="1914" spans="1:9" ht="17.399999999999999" x14ac:dyDescent="0.25">
      <c r="A1914" s="16"/>
      <c r="B1914" s="17"/>
      <c r="C1914" s="2"/>
      <c r="D1914" s="2"/>
      <c r="E1914" s="2"/>
      <c r="F1914" s="2"/>
      <c r="G1914" s="2"/>
      <c r="H1914" s="2"/>
      <c r="I1914" s="5"/>
    </row>
    <row r="1915" spans="1:9" ht="17.399999999999999" x14ac:dyDescent="0.25">
      <c r="A1915" s="16"/>
      <c r="B1915" s="17"/>
      <c r="C1915" s="2"/>
      <c r="D1915" s="2"/>
      <c r="E1915" s="2"/>
      <c r="F1915" s="2"/>
      <c r="G1915" s="2"/>
      <c r="H1915" s="2"/>
      <c r="I1915" s="5"/>
    </row>
    <row r="1916" spans="1:9" ht="17.399999999999999" x14ac:dyDescent="0.25">
      <c r="A1916" s="16"/>
      <c r="B1916" s="17"/>
      <c r="C1916" s="2"/>
      <c r="D1916" s="2"/>
      <c r="E1916" s="2"/>
      <c r="F1916" s="2"/>
      <c r="G1916" s="2"/>
      <c r="H1916" s="2"/>
      <c r="I1916" s="5"/>
    </row>
    <row r="1917" spans="1:9" ht="17.399999999999999" x14ac:dyDescent="0.25">
      <c r="A1917" s="16"/>
      <c r="B1917" s="17"/>
      <c r="C1917" s="2"/>
      <c r="D1917" s="2"/>
      <c r="E1917" s="2"/>
      <c r="F1917" s="2"/>
      <c r="G1917" s="2"/>
      <c r="H1917" s="2"/>
      <c r="I1917" s="5"/>
    </row>
    <row r="1918" spans="1:9" ht="17.399999999999999" x14ac:dyDescent="0.25">
      <c r="A1918" s="16"/>
      <c r="B1918" s="17"/>
      <c r="C1918" s="2"/>
      <c r="D1918" s="2"/>
      <c r="E1918" s="2"/>
      <c r="F1918" s="2"/>
      <c r="G1918" s="2"/>
      <c r="H1918" s="2"/>
      <c r="I1918" s="5"/>
    </row>
    <row r="1919" spans="1:9" ht="17.399999999999999" x14ac:dyDescent="0.25">
      <c r="A1919" s="16"/>
      <c r="B1919" s="17"/>
      <c r="C1919" s="2"/>
      <c r="D1919" s="2"/>
      <c r="E1919" s="2"/>
      <c r="F1919" s="2"/>
      <c r="G1919" s="2"/>
      <c r="H1919" s="2"/>
      <c r="I1919" s="5"/>
    </row>
    <row r="1920" spans="1:9" ht="17.399999999999999" x14ac:dyDescent="0.25">
      <c r="A1920" s="16"/>
      <c r="B1920" s="17"/>
      <c r="C1920" s="2"/>
      <c r="D1920" s="2"/>
      <c r="E1920" s="2"/>
      <c r="F1920" s="2"/>
      <c r="G1920" s="2"/>
      <c r="H1920" s="2"/>
      <c r="I1920" s="5"/>
    </row>
    <row r="1921" spans="1:9" ht="17.399999999999999" x14ac:dyDescent="0.25">
      <c r="A1921" s="16"/>
      <c r="B1921" s="17"/>
      <c r="C1921" s="2"/>
      <c r="D1921" s="2"/>
      <c r="E1921" s="2"/>
      <c r="F1921" s="2"/>
      <c r="G1921" s="2"/>
      <c r="H1921" s="2"/>
      <c r="I1921" s="5"/>
    </row>
    <row r="1922" spans="1:9" ht="17.399999999999999" x14ac:dyDescent="0.25">
      <c r="A1922" s="16"/>
      <c r="B1922" s="17"/>
      <c r="C1922" s="2"/>
      <c r="D1922" s="2"/>
      <c r="E1922" s="2"/>
      <c r="F1922" s="2"/>
      <c r="G1922" s="2"/>
      <c r="H1922" s="2"/>
      <c r="I1922" s="5"/>
    </row>
    <row r="1923" spans="1:9" ht="17.399999999999999" x14ac:dyDescent="0.25">
      <c r="A1923" s="16"/>
      <c r="B1923" s="17"/>
      <c r="C1923" s="2"/>
      <c r="D1923" s="2"/>
      <c r="E1923" s="2"/>
      <c r="F1923" s="2"/>
      <c r="G1923" s="2"/>
      <c r="H1923" s="2"/>
      <c r="I1923" s="5"/>
    </row>
    <row r="1924" spans="1:9" ht="17.399999999999999" x14ac:dyDescent="0.25">
      <c r="A1924" s="16"/>
      <c r="B1924" s="17"/>
      <c r="C1924" s="2"/>
      <c r="D1924" s="2"/>
      <c r="E1924" s="2"/>
      <c r="F1924" s="2"/>
      <c r="G1924" s="2"/>
      <c r="H1924" s="2"/>
      <c r="I1924" s="5"/>
    </row>
    <row r="1925" spans="1:9" ht="17.399999999999999" x14ac:dyDescent="0.25">
      <c r="A1925" s="16"/>
      <c r="B1925" s="17"/>
      <c r="C1925" s="2"/>
      <c r="D1925" s="2"/>
      <c r="E1925" s="2"/>
      <c r="F1925" s="2"/>
      <c r="G1925" s="2"/>
      <c r="H1925" s="2"/>
      <c r="I1925" s="5"/>
    </row>
    <row r="1926" spans="1:9" ht="17.399999999999999" x14ac:dyDescent="0.25">
      <c r="A1926" s="16"/>
      <c r="B1926" s="17"/>
      <c r="C1926" s="2"/>
      <c r="D1926" s="2"/>
      <c r="E1926" s="2"/>
      <c r="F1926" s="2"/>
      <c r="G1926" s="2"/>
      <c r="H1926" s="2"/>
      <c r="I1926" s="5"/>
    </row>
    <row r="1927" spans="1:9" ht="17.399999999999999" x14ac:dyDescent="0.25">
      <c r="A1927" s="16"/>
      <c r="B1927" s="17"/>
      <c r="C1927" s="2"/>
      <c r="D1927" s="2"/>
      <c r="E1927" s="2"/>
      <c r="F1927" s="2"/>
      <c r="G1927" s="2"/>
      <c r="H1927" s="2"/>
      <c r="I1927" s="5"/>
    </row>
    <row r="1928" spans="1:9" ht="17.399999999999999" x14ac:dyDescent="0.25">
      <c r="A1928" s="16"/>
      <c r="B1928" s="17"/>
      <c r="C1928" s="2"/>
      <c r="D1928" s="2"/>
      <c r="E1928" s="2"/>
      <c r="F1928" s="2"/>
      <c r="G1928" s="2"/>
      <c r="H1928" s="2"/>
      <c r="I1928" s="5"/>
    </row>
    <row r="1929" spans="1:9" ht="17.399999999999999" x14ac:dyDescent="0.25">
      <c r="A1929" s="16"/>
      <c r="B1929" s="17"/>
      <c r="C1929" s="2"/>
      <c r="D1929" s="2"/>
      <c r="E1929" s="2"/>
      <c r="F1929" s="2"/>
      <c r="G1929" s="2"/>
      <c r="H1929" s="2"/>
      <c r="I1929" s="5"/>
    </row>
    <row r="1930" spans="1:9" ht="17.399999999999999" x14ac:dyDescent="0.25">
      <c r="A1930" s="16"/>
      <c r="B1930" s="17"/>
      <c r="C1930" s="2"/>
      <c r="D1930" s="2"/>
      <c r="E1930" s="2"/>
      <c r="F1930" s="2"/>
      <c r="G1930" s="2"/>
      <c r="H1930" s="2"/>
      <c r="I1930" s="5"/>
    </row>
    <row r="1931" spans="1:9" ht="17.399999999999999" x14ac:dyDescent="0.25">
      <c r="A1931" s="16"/>
      <c r="B1931" s="17"/>
      <c r="C1931" s="2"/>
      <c r="D1931" s="2"/>
      <c r="E1931" s="2"/>
      <c r="F1931" s="2"/>
      <c r="G1931" s="2"/>
      <c r="H1931" s="2"/>
      <c r="I1931" s="5"/>
    </row>
    <row r="1932" spans="1:9" ht="17.399999999999999" x14ac:dyDescent="0.25">
      <c r="A1932" s="16"/>
      <c r="B1932" s="17"/>
      <c r="C1932" s="2"/>
      <c r="D1932" s="2"/>
      <c r="E1932" s="2"/>
      <c r="F1932" s="2"/>
      <c r="G1932" s="2"/>
      <c r="H1932" s="2"/>
      <c r="I1932" s="5"/>
    </row>
    <row r="1933" spans="1:9" ht="17.399999999999999" x14ac:dyDescent="0.25">
      <c r="A1933" s="16"/>
      <c r="B1933" s="17"/>
      <c r="C1933" s="2"/>
      <c r="D1933" s="2"/>
      <c r="E1933" s="2"/>
      <c r="F1933" s="2"/>
      <c r="G1933" s="2"/>
      <c r="H1933" s="2"/>
      <c r="I1933" s="5"/>
    </row>
    <row r="1934" spans="1:9" ht="17.399999999999999" x14ac:dyDescent="0.25">
      <c r="A1934" s="16"/>
      <c r="B1934" s="17"/>
      <c r="C1934" s="2"/>
      <c r="D1934" s="2"/>
      <c r="E1934" s="2"/>
      <c r="F1934" s="2"/>
      <c r="G1934" s="2"/>
      <c r="H1934" s="2"/>
      <c r="I1934" s="5"/>
    </row>
    <row r="1935" spans="1:9" ht="17.399999999999999" x14ac:dyDescent="0.25">
      <c r="A1935" s="16"/>
      <c r="B1935" s="17"/>
      <c r="C1935" s="2"/>
      <c r="D1935" s="2"/>
      <c r="E1935" s="2"/>
      <c r="F1935" s="2"/>
      <c r="G1935" s="2"/>
      <c r="H1935" s="2"/>
      <c r="I1935" s="5"/>
    </row>
    <row r="1936" spans="1:9" ht="17.399999999999999" x14ac:dyDescent="0.25">
      <c r="A1936" s="16"/>
      <c r="B1936" s="17"/>
      <c r="C1936" s="2"/>
      <c r="D1936" s="2"/>
      <c r="E1936" s="2"/>
      <c r="F1936" s="2"/>
      <c r="G1936" s="2"/>
      <c r="H1936" s="2"/>
      <c r="I1936" s="5"/>
    </row>
    <row r="1937" spans="1:9" ht="17.399999999999999" x14ac:dyDescent="0.25">
      <c r="A1937" s="16"/>
      <c r="B1937" s="17"/>
      <c r="C1937" s="2"/>
      <c r="D1937" s="2"/>
      <c r="E1937" s="2"/>
      <c r="F1937" s="2"/>
      <c r="G1937" s="2"/>
      <c r="H1937" s="2"/>
      <c r="I1937" s="5"/>
    </row>
    <row r="1938" spans="1:9" ht="17.399999999999999" x14ac:dyDescent="0.25">
      <c r="A1938" s="16"/>
      <c r="B1938" s="17"/>
      <c r="C1938" s="2"/>
      <c r="D1938" s="2"/>
      <c r="E1938" s="2"/>
      <c r="F1938" s="2"/>
      <c r="G1938" s="2"/>
      <c r="H1938" s="2"/>
      <c r="I1938" s="5"/>
    </row>
    <row r="1939" spans="1:9" ht="17.399999999999999" x14ac:dyDescent="0.25">
      <c r="A1939" s="16"/>
      <c r="B1939" s="17"/>
      <c r="C1939" s="2"/>
      <c r="D1939" s="2"/>
      <c r="E1939" s="2"/>
      <c r="F1939" s="2"/>
      <c r="G1939" s="2"/>
      <c r="H1939" s="2"/>
      <c r="I1939" s="5"/>
    </row>
    <row r="1940" spans="1:9" ht="17.399999999999999" x14ac:dyDescent="0.25">
      <c r="A1940" s="16"/>
      <c r="B1940" s="17"/>
      <c r="C1940" s="2"/>
      <c r="D1940" s="2"/>
      <c r="E1940" s="2"/>
      <c r="F1940" s="2"/>
      <c r="G1940" s="2"/>
      <c r="H1940" s="2"/>
      <c r="I1940" s="5"/>
    </row>
    <row r="1941" spans="1:9" ht="17.399999999999999" x14ac:dyDescent="0.25">
      <c r="A1941" s="16"/>
      <c r="B1941" s="17"/>
      <c r="C1941" s="2" t="b">
        <v>0</v>
      </c>
      <c r="D1941" s="2"/>
      <c r="E1941" s="2"/>
      <c r="F1941" s="2"/>
      <c r="G1941" s="2"/>
      <c r="H1941" s="2"/>
      <c r="I1941" s="5"/>
    </row>
    <row r="1942" spans="1:9" ht="17.399999999999999" x14ac:dyDescent="0.25">
      <c r="A1942" s="16"/>
      <c r="B1942" s="17"/>
      <c r="C1942" s="2" t="b">
        <v>0</v>
      </c>
      <c r="D1942" s="2"/>
      <c r="E1942" s="2"/>
      <c r="F1942" s="2"/>
      <c r="G1942" s="2"/>
      <c r="H1942" s="2"/>
      <c r="I1942" s="5"/>
    </row>
    <row r="1943" spans="1:9" ht="17.399999999999999" x14ac:dyDescent="0.25">
      <c r="A1943" s="16"/>
      <c r="B1943" s="17"/>
      <c r="C1943" s="2" t="b">
        <v>0</v>
      </c>
      <c r="D1943" s="2"/>
      <c r="E1943" s="2"/>
      <c r="F1943" s="2"/>
      <c r="G1943" s="2"/>
      <c r="H1943" s="2"/>
      <c r="I1943" s="5"/>
    </row>
    <row r="1944" spans="1:9" ht="17.399999999999999" x14ac:dyDescent="0.25">
      <c r="A1944" s="16"/>
      <c r="B1944" s="17"/>
      <c r="C1944" s="2" t="b">
        <v>0</v>
      </c>
      <c r="D1944" s="2"/>
      <c r="E1944" s="2"/>
      <c r="F1944" s="2"/>
      <c r="G1944" s="2"/>
      <c r="H1944" s="2"/>
      <c r="I1944" s="5"/>
    </row>
    <row r="1945" spans="1:9" ht="17.399999999999999" x14ac:dyDescent="0.25">
      <c r="A1945" s="16"/>
      <c r="B1945" s="17"/>
      <c r="C1945" s="2" t="b">
        <v>0</v>
      </c>
      <c r="D1945" s="2"/>
      <c r="E1945" s="2"/>
      <c r="F1945" s="2"/>
      <c r="G1945" s="2"/>
      <c r="H1945" s="2"/>
      <c r="I1945" s="5"/>
    </row>
    <row r="1946" spans="1:9" ht="17.399999999999999" x14ac:dyDescent="0.25">
      <c r="A1946" s="16"/>
      <c r="B1946" s="17"/>
      <c r="C1946" s="2" t="b">
        <v>0</v>
      </c>
      <c r="D1946" s="2"/>
      <c r="E1946" s="2"/>
      <c r="F1946" s="2"/>
      <c r="G1946" s="2"/>
      <c r="H1946" s="2"/>
      <c r="I1946" s="5"/>
    </row>
    <row r="1947" spans="1:9" ht="17.399999999999999" x14ac:dyDescent="0.25">
      <c r="A1947" s="16"/>
      <c r="B1947" s="17"/>
      <c r="C1947" s="2" t="b">
        <v>0</v>
      </c>
      <c r="D1947" s="2"/>
      <c r="E1947" s="2"/>
      <c r="F1947" s="2"/>
      <c r="G1947" s="2"/>
      <c r="H1947" s="2"/>
      <c r="I1947" s="5"/>
    </row>
    <row r="1948" spans="1:9" ht="17.399999999999999" x14ac:dyDescent="0.25">
      <c r="A1948" s="16"/>
      <c r="B1948" s="17"/>
      <c r="C1948" s="2" t="b">
        <v>0</v>
      </c>
      <c r="D1948" s="2"/>
      <c r="E1948" s="2"/>
      <c r="F1948" s="2"/>
      <c r="G1948" s="2"/>
      <c r="H1948" s="2"/>
      <c r="I1948" s="5"/>
    </row>
    <row r="1949" spans="1:9" ht="17.399999999999999" x14ac:dyDescent="0.25">
      <c r="A1949" s="16"/>
      <c r="B1949" s="17"/>
      <c r="C1949" s="2" t="b">
        <v>0</v>
      </c>
      <c r="D1949" s="2"/>
      <c r="E1949" s="2"/>
      <c r="F1949" s="2"/>
      <c r="G1949" s="2"/>
      <c r="H1949" s="2"/>
      <c r="I1949" s="5"/>
    </row>
    <row r="1950" spans="1:9" ht="17.399999999999999" x14ac:dyDescent="0.25">
      <c r="A1950" s="16"/>
      <c r="B1950" s="17"/>
      <c r="C1950" s="2" t="b">
        <v>0</v>
      </c>
      <c r="D1950" s="2"/>
      <c r="E1950" s="2"/>
      <c r="F1950" s="2"/>
      <c r="G1950" s="2"/>
      <c r="H1950" s="2"/>
      <c r="I1950" s="5"/>
    </row>
    <row r="1951" spans="1:9" ht="17.399999999999999" x14ac:dyDescent="0.25">
      <c r="A1951" s="16"/>
      <c r="B1951" s="17"/>
      <c r="C1951" s="2" t="b">
        <v>0</v>
      </c>
      <c r="D1951" s="2"/>
      <c r="E1951" s="2"/>
      <c r="F1951" s="2"/>
      <c r="G1951" s="2"/>
      <c r="H1951" s="2"/>
      <c r="I1951" s="5"/>
    </row>
    <row r="1952" spans="1:9" ht="17.399999999999999" x14ac:dyDescent="0.25">
      <c r="A1952" s="16"/>
      <c r="B1952" s="17"/>
      <c r="C1952" s="2" t="b">
        <v>0</v>
      </c>
      <c r="D1952" s="2"/>
      <c r="E1952" s="2"/>
      <c r="F1952" s="2"/>
      <c r="G1952" s="2"/>
      <c r="H1952" s="2"/>
      <c r="I1952" s="5"/>
    </row>
    <row r="1953" spans="1:9" ht="17.399999999999999" x14ac:dyDescent="0.25">
      <c r="A1953" s="16"/>
      <c r="B1953" s="17"/>
      <c r="C1953" s="2" t="b">
        <v>0</v>
      </c>
      <c r="D1953" s="2"/>
      <c r="E1953" s="2"/>
      <c r="F1953" s="2"/>
      <c r="G1953" s="2"/>
      <c r="H1953" s="2"/>
      <c r="I1953" s="5"/>
    </row>
    <row r="1954" spans="1:9" ht="17.399999999999999" x14ac:dyDescent="0.25">
      <c r="A1954" s="16"/>
      <c r="B1954" s="17"/>
      <c r="C1954" s="2" t="b">
        <v>0</v>
      </c>
      <c r="D1954" s="2"/>
      <c r="E1954" s="2"/>
      <c r="F1954" s="2"/>
      <c r="G1954" s="2"/>
      <c r="H1954" s="2"/>
      <c r="I1954" s="5"/>
    </row>
    <row r="1955" spans="1:9" ht="17.399999999999999" x14ac:dyDescent="0.25">
      <c r="A1955" s="16"/>
      <c r="B1955" s="17"/>
      <c r="C1955" s="2" t="b">
        <v>0</v>
      </c>
      <c r="D1955" s="2"/>
      <c r="E1955" s="2"/>
      <c r="F1955" s="2"/>
      <c r="G1955" s="2"/>
      <c r="H1955" s="2"/>
      <c r="I1955" s="5"/>
    </row>
    <row r="1956" spans="1:9" ht="17.399999999999999" x14ac:dyDescent="0.25">
      <c r="A1956" s="16"/>
      <c r="B1956" s="17"/>
      <c r="C1956" s="2" t="b">
        <v>0</v>
      </c>
      <c r="D1956" s="2"/>
      <c r="E1956" s="2"/>
      <c r="F1956" s="2"/>
      <c r="G1956" s="2"/>
      <c r="H1956" s="2"/>
      <c r="I1956" s="5"/>
    </row>
    <row r="1957" spans="1:9" ht="17.399999999999999" x14ac:dyDescent="0.25">
      <c r="A1957" s="16"/>
      <c r="B1957" s="17"/>
      <c r="C1957" s="2" t="b">
        <v>0</v>
      </c>
      <c r="D1957" s="2"/>
      <c r="E1957" s="2"/>
      <c r="F1957" s="2"/>
      <c r="G1957" s="2"/>
      <c r="H1957" s="2"/>
      <c r="I1957" s="5"/>
    </row>
    <row r="1958" spans="1:9" ht="17.399999999999999" x14ac:dyDescent="0.25">
      <c r="A1958" s="16"/>
      <c r="B1958" s="17"/>
      <c r="C1958" s="2" t="b">
        <v>0</v>
      </c>
      <c r="D1958" s="2"/>
      <c r="E1958" s="2"/>
      <c r="F1958" s="2"/>
      <c r="G1958" s="2"/>
      <c r="H1958" s="2"/>
      <c r="I1958" s="5"/>
    </row>
    <row r="1959" spans="1:9" ht="17.399999999999999" x14ac:dyDescent="0.25">
      <c r="A1959" s="16"/>
      <c r="B1959" s="17"/>
      <c r="C1959" s="2" t="b">
        <v>0</v>
      </c>
      <c r="D1959" s="2"/>
      <c r="E1959" s="2"/>
      <c r="F1959" s="2"/>
      <c r="G1959" s="2"/>
      <c r="H1959" s="2"/>
      <c r="I1959" s="5"/>
    </row>
    <row r="1960" spans="1:9" ht="17.399999999999999" x14ac:dyDescent="0.25">
      <c r="A1960" s="16"/>
      <c r="B1960" s="17"/>
      <c r="C1960" s="2" t="b">
        <v>0</v>
      </c>
      <c r="D1960" s="2"/>
      <c r="E1960" s="2"/>
      <c r="F1960" s="2"/>
      <c r="G1960" s="2"/>
      <c r="H1960" s="2"/>
      <c r="I1960" s="5"/>
    </row>
    <row r="1961" spans="1:9" ht="17.399999999999999" x14ac:dyDescent="0.25">
      <c r="A1961" s="16"/>
      <c r="B1961" s="17"/>
      <c r="C1961" s="2" t="b">
        <v>0</v>
      </c>
      <c r="D1961" s="2"/>
      <c r="E1961" s="2"/>
      <c r="F1961" s="2"/>
      <c r="G1961" s="2"/>
      <c r="H1961" s="2"/>
      <c r="I1961" s="5"/>
    </row>
    <row r="1962" spans="1:9" ht="17.399999999999999" x14ac:dyDescent="0.25">
      <c r="A1962" s="16"/>
      <c r="B1962" s="17"/>
      <c r="C1962" s="2" t="b">
        <v>0</v>
      </c>
      <c r="D1962" s="2"/>
      <c r="E1962" s="2"/>
      <c r="F1962" s="2"/>
      <c r="G1962" s="2"/>
      <c r="H1962" s="2"/>
      <c r="I1962" s="5"/>
    </row>
    <row r="1963" spans="1:9" ht="17.399999999999999" x14ac:dyDescent="0.25">
      <c r="A1963" s="16"/>
      <c r="B1963" s="17"/>
      <c r="C1963" s="2" t="b">
        <v>0</v>
      </c>
      <c r="D1963" s="2"/>
      <c r="E1963" s="2"/>
      <c r="F1963" s="2"/>
      <c r="G1963" s="2"/>
      <c r="H1963" s="2"/>
      <c r="I1963" s="5"/>
    </row>
    <row r="1964" spans="1:9" ht="17.399999999999999" x14ac:dyDescent="0.25">
      <c r="A1964" s="16"/>
      <c r="B1964" s="17"/>
      <c r="C1964" s="2" t="b">
        <v>0</v>
      </c>
      <c r="D1964" s="2"/>
      <c r="E1964" s="2"/>
      <c r="F1964" s="2"/>
      <c r="G1964" s="2"/>
      <c r="H1964" s="2"/>
      <c r="I1964" s="5"/>
    </row>
    <row r="1965" spans="1:9" ht="17.399999999999999" x14ac:dyDescent="0.25">
      <c r="A1965" s="16"/>
      <c r="B1965" s="17"/>
      <c r="C1965" s="2" t="b">
        <v>0</v>
      </c>
      <c r="D1965" s="2"/>
      <c r="E1965" s="2"/>
      <c r="F1965" s="2"/>
      <c r="G1965" s="2"/>
      <c r="H1965" s="2"/>
      <c r="I1965" s="5"/>
    </row>
    <row r="1966" spans="1:9" ht="17.399999999999999" x14ac:dyDescent="0.25">
      <c r="A1966" s="16"/>
      <c r="B1966" s="17"/>
      <c r="C1966" s="2" t="b">
        <v>0</v>
      </c>
      <c r="D1966" s="2"/>
      <c r="E1966" s="2"/>
      <c r="F1966" s="2"/>
      <c r="G1966" s="2"/>
      <c r="H1966" s="2"/>
      <c r="I1966" s="5"/>
    </row>
    <row r="1967" spans="1:9" ht="17.399999999999999" x14ac:dyDescent="0.25">
      <c r="A1967" s="16"/>
      <c r="B1967" s="17"/>
      <c r="C1967" s="2" t="b">
        <v>0</v>
      </c>
      <c r="D1967" s="2"/>
      <c r="E1967" s="2"/>
      <c r="F1967" s="2"/>
      <c r="G1967" s="2"/>
      <c r="H1967" s="2"/>
      <c r="I1967" s="5"/>
    </row>
    <row r="1968" spans="1:9" ht="17.399999999999999" x14ac:dyDescent="0.25">
      <c r="A1968" s="16"/>
      <c r="B1968" s="17"/>
      <c r="C1968" s="2" t="b">
        <v>0</v>
      </c>
      <c r="D1968" s="2"/>
      <c r="E1968" s="2"/>
      <c r="F1968" s="2"/>
      <c r="G1968" s="2"/>
      <c r="H1968" s="2"/>
      <c r="I1968" s="5"/>
    </row>
    <row r="1969" spans="1:9" ht="17.399999999999999" x14ac:dyDescent="0.25">
      <c r="A1969" s="16"/>
      <c r="B1969" s="17"/>
      <c r="C1969" s="2" t="b">
        <v>0</v>
      </c>
      <c r="D1969" s="2"/>
      <c r="E1969" s="2"/>
      <c r="F1969" s="2"/>
      <c r="G1969" s="2"/>
      <c r="H1969" s="2"/>
      <c r="I1969" s="5"/>
    </row>
    <row r="1970" spans="1:9" ht="17.399999999999999" x14ac:dyDescent="0.25">
      <c r="A1970" s="16"/>
      <c r="B1970" s="17"/>
      <c r="C1970" s="2" t="b">
        <v>0</v>
      </c>
      <c r="D1970" s="2"/>
      <c r="E1970" s="2"/>
      <c r="F1970" s="2"/>
      <c r="G1970" s="2"/>
      <c r="H1970" s="2"/>
      <c r="I1970" s="5"/>
    </row>
    <row r="1971" spans="1:9" ht="17.399999999999999" x14ac:dyDescent="0.25">
      <c r="A1971" s="16"/>
      <c r="B1971" s="17"/>
      <c r="C1971" s="2" t="b">
        <v>0</v>
      </c>
      <c r="D1971" s="2"/>
      <c r="E1971" s="2"/>
      <c r="F1971" s="2"/>
      <c r="G1971" s="2"/>
      <c r="H1971" s="2"/>
      <c r="I1971" s="5"/>
    </row>
    <row r="1972" spans="1:9" ht="17.399999999999999" x14ac:dyDescent="0.25">
      <c r="A1972" s="16"/>
      <c r="B1972" s="17"/>
      <c r="C1972" s="2" t="b">
        <v>0</v>
      </c>
      <c r="D1972" s="2"/>
      <c r="E1972" s="2"/>
      <c r="F1972" s="2"/>
      <c r="G1972" s="2"/>
      <c r="H1972" s="2"/>
      <c r="I1972" s="5"/>
    </row>
    <row r="1973" spans="1:9" ht="17.399999999999999" x14ac:dyDescent="0.25">
      <c r="A1973" s="16"/>
      <c r="B1973" s="17"/>
      <c r="C1973" s="2" t="b">
        <v>0</v>
      </c>
      <c r="D1973" s="2"/>
      <c r="E1973" s="2"/>
      <c r="F1973" s="2"/>
      <c r="G1973" s="2"/>
      <c r="H1973" s="2"/>
      <c r="I1973" s="5"/>
    </row>
    <row r="1974" spans="1:9" ht="17.399999999999999" x14ac:dyDescent="0.25">
      <c r="A1974" s="16"/>
      <c r="B1974" s="17"/>
      <c r="C1974" s="2" t="b">
        <v>0</v>
      </c>
      <c r="D1974" s="2"/>
      <c r="E1974" s="2"/>
      <c r="F1974" s="2"/>
      <c r="G1974" s="2"/>
      <c r="H1974" s="2"/>
      <c r="I1974" s="5"/>
    </row>
    <row r="1975" spans="1:9" ht="17.399999999999999" x14ac:dyDescent="0.25">
      <c r="A1975" s="16"/>
      <c r="B1975" s="17"/>
      <c r="C1975" s="2" t="b">
        <v>0</v>
      </c>
      <c r="D1975" s="2"/>
      <c r="E1975" s="2"/>
      <c r="F1975" s="2"/>
      <c r="G1975" s="2"/>
      <c r="H1975" s="2"/>
      <c r="I1975" s="5"/>
    </row>
    <row r="1976" spans="1:9" ht="17.399999999999999" x14ac:dyDescent="0.25">
      <c r="A1976" s="16"/>
      <c r="B1976" s="17"/>
      <c r="C1976" s="2" t="b">
        <v>0</v>
      </c>
      <c r="D1976" s="2"/>
      <c r="E1976" s="2"/>
      <c r="F1976" s="2"/>
      <c r="G1976" s="2"/>
      <c r="H1976" s="2"/>
      <c r="I1976" s="5"/>
    </row>
    <row r="1977" spans="1:9" ht="17.399999999999999" x14ac:dyDescent="0.25">
      <c r="A1977" s="16"/>
      <c r="B1977" s="17"/>
      <c r="C1977" s="2" t="b">
        <v>0</v>
      </c>
      <c r="D1977" s="2"/>
      <c r="E1977" s="2"/>
      <c r="F1977" s="2"/>
      <c r="G1977" s="2"/>
      <c r="H1977" s="2"/>
      <c r="I1977" s="5"/>
    </row>
    <row r="1978" spans="1:9" ht="17.399999999999999" x14ac:dyDescent="0.25">
      <c r="A1978" s="16"/>
      <c r="B1978" s="17"/>
      <c r="C1978" s="2" t="b">
        <v>0</v>
      </c>
      <c r="D1978" s="2"/>
      <c r="E1978" s="2"/>
      <c r="F1978" s="2"/>
      <c r="G1978" s="2"/>
      <c r="H1978" s="2"/>
      <c r="I1978" s="5"/>
    </row>
    <row r="1979" spans="1:9" ht="17.399999999999999" x14ac:dyDescent="0.25">
      <c r="A1979" s="16"/>
      <c r="B1979" s="17"/>
      <c r="C1979" s="2" t="b">
        <v>0</v>
      </c>
      <c r="D1979" s="2"/>
      <c r="E1979" s="2"/>
      <c r="F1979" s="2"/>
      <c r="G1979" s="2"/>
      <c r="H1979" s="2"/>
      <c r="I1979" s="5"/>
    </row>
    <row r="1980" spans="1:9" ht="17.399999999999999" x14ac:dyDescent="0.25">
      <c r="A1980" s="16"/>
      <c r="B1980" s="17"/>
      <c r="C1980" s="2" t="b">
        <v>0</v>
      </c>
      <c r="D1980" s="2"/>
      <c r="E1980" s="2"/>
      <c r="F1980" s="2"/>
      <c r="G1980" s="2"/>
      <c r="H1980" s="2"/>
      <c r="I1980" s="5"/>
    </row>
    <row r="1981" spans="1:9" ht="17.399999999999999" x14ac:dyDescent="0.25">
      <c r="A1981" s="16"/>
      <c r="B1981" s="17"/>
      <c r="C1981" s="2" t="b">
        <v>0</v>
      </c>
      <c r="D1981" s="2"/>
      <c r="E1981" s="2"/>
      <c r="F1981" s="2"/>
      <c r="G1981" s="2"/>
      <c r="H1981" s="2"/>
      <c r="I1981" s="5"/>
    </row>
    <row r="1982" spans="1:9" ht="17.399999999999999" x14ac:dyDescent="0.25">
      <c r="A1982" s="16"/>
      <c r="B1982" s="17"/>
      <c r="C1982" s="2" t="b">
        <v>0</v>
      </c>
      <c r="D1982" s="2"/>
      <c r="E1982" s="2"/>
      <c r="F1982" s="2"/>
      <c r="G1982" s="2"/>
      <c r="H1982" s="2"/>
      <c r="I1982" s="5"/>
    </row>
    <row r="1983" spans="1:9" ht="17.399999999999999" x14ac:dyDescent="0.25">
      <c r="A1983" s="16"/>
      <c r="B1983" s="17"/>
      <c r="C1983" s="2" t="b">
        <v>0</v>
      </c>
      <c r="D1983" s="2"/>
      <c r="E1983" s="2"/>
      <c r="F1983" s="2"/>
      <c r="G1983" s="2"/>
      <c r="H1983" s="2"/>
      <c r="I1983" s="5"/>
    </row>
    <row r="1984" spans="1:9" ht="17.399999999999999" x14ac:dyDescent="0.25">
      <c r="A1984" s="16"/>
      <c r="B1984" s="17"/>
      <c r="C1984" s="2" t="b">
        <v>0</v>
      </c>
      <c r="D1984" s="2"/>
      <c r="E1984" s="2"/>
      <c r="F1984" s="2"/>
      <c r="G1984" s="2"/>
      <c r="H1984" s="2"/>
      <c r="I1984" s="5"/>
    </row>
    <row r="1985" spans="1:9" ht="17.399999999999999" x14ac:dyDescent="0.25">
      <c r="A1985" s="16"/>
      <c r="B1985" s="17"/>
      <c r="C1985" s="2" t="b">
        <v>0</v>
      </c>
      <c r="D1985" s="2"/>
      <c r="E1985" s="2"/>
      <c r="F1985" s="2"/>
      <c r="G1985" s="2"/>
      <c r="H1985" s="2"/>
      <c r="I1985" s="5"/>
    </row>
    <row r="1986" spans="1:9" ht="17.399999999999999" x14ac:dyDescent="0.25">
      <c r="A1986" s="16"/>
      <c r="B1986" s="17"/>
      <c r="C1986" s="2" t="b">
        <v>0</v>
      </c>
      <c r="D1986" s="2"/>
      <c r="E1986" s="2"/>
      <c r="F1986" s="2"/>
      <c r="G1986" s="2"/>
      <c r="H1986" s="2"/>
      <c r="I1986" s="5"/>
    </row>
    <row r="1987" spans="1:9" ht="17.399999999999999" x14ac:dyDescent="0.25">
      <c r="A1987" s="16"/>
      <c r="B1987" s="17"/>
      <c r="C1987" s="2" t="b">
        <v>0</v>
      </c>
      <c r="D1987" s="2"/>
      <c r="E1987" s="2"/>
      <c r="F1987" s="2"/>
      <c r="G1987" s="2"/>
      <c r="H1987" s="2"/>
      <c r="I1987" s="5"/>
    </row>
    <row r="1988" spans="1:9" ht="17.399999999999999" x14ac:dyDescent="0.25">
      <c r="A1988" s="16"/>
      <c r="B1988" s="17"/>
      <c r="C1988" s="2" t="b">
        <v>0</v>
      </c>
      <c r="D1988" s="2"/>
      <c r="E1988" s="2"/>
      <c r="F1988" s="2"/>
      <c r="G1988" s="2"/>
      <c r="H1988" s="2"/>
      <c r="I1988" s="5"/>
    </row>
    <row r="1989" spans="1:9" ht="17.399999999999999" x14ac:dyDescent="0.25">
      <c r="A1989" s="16"/>
      <c r="B1989" s="17"/>
      <c r="C1989" s="2" t="b">
        <v>0</v>
      </c>
      <c r="D1989" s="2"/>
      <c r="E1989" s="2"/>
      <c r="F1989" s="2"/>
      <c r="G1989" s="2"/>
      <c r="H1989" s="2"/>
      <c r="I1989" s="5"/>
    </row>
    <row r="1990" spans="1:9" ht="17.399999999999999" x14ac:dyDescent="0.25">
      <c r="A1990" s="16"/>
      <c r="B1990" s="17"/>
      <c r="C1990" s="2" t="b">
        <v>0</v>
      </c>
      <c r="D1990" s="2"/>
      <c r="E1990" s="2"/>
      <c r="F1990" s="2"/>
      <c r="G1990" s="2"/>
      <c r="H1990" s="2"/>
      <c r="I1990" s="5"/>
    </row>
    <row r="1991" spans="1:9" ht="17.399999999999999" x14ac:dyDescent="0.25">
      <c r="A1991" s="16"/>
      <c r="B1991" s="17"/>
      <c r="C1991" s="2" t="b">
        <v>0</v>
      </c>
      <c r="D1991" s="2"/>
      <c r="E1991" s="2"/>
      <c r="F1991" s="2"/>
      <c r="G1991" s="2"/>
      <c r="H1991" s="2"/>
      <c r="I1991" s="5"/>
    </row>
    <row r="1992" spans="1:9" ht="17.399999999999999" x14ac:dyDescent="0.25">
      <c r="A1992" s="16"/>
      <c r="B1992" s="17"/>
      <c r="C1992" s="2" t="b">
        <v>0</v>
      </c>
      <c r="D1992" s="2"/>
      <c r="E1992" s="2"/>
      <c r="F1992" s="2"/>
      <c r="G1992" s="2"/>
      <c r="H1992" s="2"/>
      <c r="I1992" s="5"/>
    </row>
    <row r="1993" spans="1:9" ht="17.399999999999999" x14ac:dyDescent="0.25">
      <c r="A1993" s="16"/>
      <c r="B1993" s="17"/>
      <c r="C1993" s="2" t="b">
        <v>0</v>
      </c>
      <c r="D1993" s="2"/>
      <c r="E1993" s="2"/>
      <c r="F1993" s="2"/>
      <c r="G1993" s="2"/>
      <c r="H1993" s="2"/>
      <c r="I1993" s="5"/>
    </row>
    <row r="1994" spans="1:9" ht="17.399999999999999" x14ac:dyDescent="0.25">
      <c r="A1994" s="16"/>
      <c r="B1994" s="17"/>
      <c r="C1994" s="2" t="b">
        <v>0</v>
      </c>
      <c r="D1994" s="2"/>
      <c r="E1994" s="2"/>
      <c r="F1994" s="2"/>
      <c r="G1994" s="2"/>
      <c r="H1994" s="2"/>
      <c r="I1994" s="5"/>
    </row>
    <row r="1995" spans="1:9" ht="17.399999999999999" x14ac:dyDescent="0.25">
      <c r="A1995" s="16"/>
      <c r="B1995" s="17"/>
      <c r="C1995" s="2" t="b">
        <v>0</v>
      </c>
      <c r="D1995" s="2"/>
      <c r="E1995" s="2"/>
      <c r="F1995" s="2"/>
      <c r="G1995" s="2"/>
      <c r="H1995" s="2"/>
      <c r="I1995" s="5"/>
    </row>
    <row r="1996" spans="1:9" ht="17.399999999999999" x14ac:dyDescent="0.25">
      <c r="A1996" s="16"/>
      <c r="B1996" s="17"/>
      <c r="C1996" s="2" t="b">
        <v>0</v>
      </c>
      <c r="D1996" s="2"/>
      <c r="E1996" s="2"/>
      <c r="F1996" s="2"/>
      <c r="G1996" s="2"/>
      <c r="H1996" s="2"/>
      <c r="I1996" s="5"/>
    </row>
    <row r="1997" spans="1:9" ht="17.399999999999999" x14ac:dyDescent="0.25">
      <c r="A1997" s="16"/>
      <c r="B1997" s="17"/>
      <c r="C1997" s="2" t="b">
        <v>0</v>
      </c>
      <c r="D1997" s="2"/>
      <c r="E1997" s="2"/>
      <c r="F1997" s="2"/>
      <c r="G1997" s="2"/>
      <c r="H1997" s="2"/>
      <c r="I1997" s="5"/>
    </row>
    <row r="1998" spans="1:9" ht="17.399999999999999" x14ac:dyDescent="0.25">
      <c r="A1998" s="16"/>
      <c r="B1998" s="17"/>
      <c r="C1998" s="2" t="b">
        <v>0</v>
      </c>
      <c r="D1998" s="2"/>
      <c r="E1998" s="2"/>
      <c r="F1998" s="2"/>
      <c r="G1998" s="2"/>
      <c r="H1998" s="2"/>
      <c r="I1998" s="5"/>
    </row>
    <row r="1999" spans="1:9" ht="17.399999999999999" x14ac:dyDescent="0.25">
      <c r="A1999" s="16"/>
      <c r="B1999" s="17"/>
      <c r="C1999" s="2" t="b">
        <v>0</v>
      </c>
      <c r="D1999" s="2"/>
      <c r="E1999" s="2"/>
      <c r="F1999" s="2"/>
      <c r="G1999" s="2"/>
      <c r="H1999" s="2"/>
      <c r="I1999" s="5"/>
    </row>
    <row r="2000" spans="1:9" ht="17.399999999999999" x14ac:dyDescent="0.25">
      <c r="A2000" s="16"/>
      <c r="B2000" s="17"/>
      <c r="C2000" s="2" t="b">
        <v>0</v>
      </c>
      <c r="D2000" s="2"/>
      <c r="E2000" s="2"/>
      <c r="F2000" s="2"/>
      <c r="G2000" s="2"/>
      <c r="H2000" s="2"/>
      <c r="I2000" s="5"/>
    </row>
    <row r="2001" spans="1:9" ht="17.399999999999999" x14ac:dyDescent="0.25">
      <c r="A2001" s="16"/>
      <c r="B2001" s="17"/>
      <c r="C2001" s="2" t="b">
        <v>0</v>
      </c>
      <c r="D2001" s="2"/>
      <c r="E2001" s="2"/>
      <c r="F2001" s="2"/>
      <c r="G2001" s="2"/>
      <c r="H2001" s="2"/>
      <c r="I2001" s="5"/>
    </row>
    <row r="2002" spans="1:9" ht="17.399999999999999" x14ac:dyDescent="0.25">
      <c r="A2002" s="16"/>
      <c r="B2002" s="17"/>
      <c r="C2002" s="2" t="b">
        <v>0</v>
      </c>
      <c r="D2002" s="2"/>
      <c r="E2002" s="2"/>
      <c r="F2002" s="2"/>
      <c r="G2002" s="2"/>
      <c r="H2002" s="2"/>
      <c r="I2002" s="5"/>
    </row>
    <row r="2003" spans="1:9" ht="17.399999999999999" x14ac:dyDescent="0.25">
      <c r="A2003" s="16"/>
      <c r="B2003" s="17"/>
      <c r="C2003" s="2" t="b">
        <v>0</v>
      </c>
      <c r="D2003" s="2"/>
      <c r="E2003" s="2"/>
      <c r="F2003" s="2"/>
      <c r="G2003" s="2"/>
      <c r="H2003" s="2"/>
      <c r="I2003" s="5"/>
    </row>
    <row r="2004" spans="1:9" ht="17.399999999999999" x14ac:dyDescent="0.25">
      <c r="A2004" s="16"/>
      <c r="B2004" s="17"/>
      <c r="C2004" s="2" t="b">
        <v>0</v>
      </c>
      <c r="D2004" s="2"/>
      <c r="E2004" s="2"/>
      <c r="F2004" s="2"/>
      <c r="G2004" s="2"/>
      <c r="H2004" s="2"/>
      <c r="I2004" s="5"/>
    </row>
    <row r="2005" spans="1:9" ht="17.399999999999999" x14ac:dyDescent="0.25">
      <c r="A2005" s="16"/>
      <c r="B2005" s="17"/>
      <c r="C2005" s="2" t="b">
        <v>0</v>
      </c>
      <c r="D2005" s="2"/>
      <c r="E2005" s="2"/>
      <c r="F2005" s="2"/>
      <c r="G2005" s="2"/>
      <c r="H2005" s="2"/>
      <c r="I2005" s="5"/>
    </row>
    <row r="2006" spans="1:9" ht="17.399999999999999" x14ac:dyDescent="0.25">
      <c r="A2006" s="16"/>
      <c r="B2006" s="17"/>
      <c r="C2006" s="2" t="b">
        <v>0</v>
      </c>
      <c r="D2006" s="2"/>
      <c r="E2006" s="2"/>
      <c r="F2006" s="2"/>
      <c r="G2006" s="2"/>
      <c r="H2006" s="2"/>
      <c r="I2006" s="5"/>
    </row>
    <row r="2007" spans="1:9" ht="17.399999999999999" x14ac:dyDescent="0.25">
      <c r="A2007" s="16"/>
      <c r="B2007" s="17"/>
      <c r="C2007" s="2" t="b">
        <v>0</v>
      </c>
      <c r="D2007" s="2"/>
      <c r="E2007" s="2"/>
      <c r="F2007" s="2"/>
      <c r="G2007" s="2"/>
      <c r="H2007" s="2"/>
      <c r="I2007" s="5"/>
    </row>
    <row r="2008" spans="1:9" ht="17.399999999999999" x14ac:dyDescent="0.25">
      <c r="A2008" s="16"/>
      <c r="B2008" s="17"/>
      <c r="C2008" s="2" t="b">
        <v>0</v>
      </c>
      <c r="D2008" s="2"/>
      <c r="E2008" s="2"/>
      <c r="F2008" s="2"/>
      <c r="G2008" s="2"/>
      <c r="H2008" s="2"/>
      <c r="I2008" s="5"/>
    </row>
    <row r="2009" spans="1:9" ht="17.399999999999999" x14ac:dyDescent="0.25">
      <c r="A2009" s="16"/>
      <c r="B2009" s="17"/>
      <c r="C2009" s="2" t="b">
        <v>0</v>
      </c>
      <c r="D2009" s="2"/>
      <c r="E2009" s="2"/>
      <c r="F2009" s="2"/>
      <c r="G2009" s="2"/>
      <c r="H2009" s="2"/>
      <c r="I2009" s="5"/>
    </row>
    <row r="2010" spans="1:9" ht="17.399999999999999" x14ac:dyDescent="0.25">
      <c r="A2010" s="16"/>
      <c r="B2010" s="17"/>
      <c r="C2010" s="2" t="b">
        <v>0</v>
      </c>
      <c r="D2010" s="2"/>
      <c r="E2010" s="2"/>
      <c r="F2010" s="2"/>
      <c r="G2010" s="2"/>
      <c r="H2010" s="2"/>
      <c r="I2010" s="5"/>
    </row>
    <row r="2011" spans="1:9" ht="17.399999999999999" x14ac:dyDescent="0.25">
      <c r="A2011" s="16"/>
      <c r="B2011" s="17"/>
      <c r="C2011" s="2" t="b">
        <v>0</v>
      </c>
      <c r="D2011" s="2"/>
      <c r="E2011" s="2"/>
      <c r="F2011" s="2"/>
      <c r="G2011" s="2"/>
      <c r="H2011" s="2"/>
      <c r="I2011" s="5"/>
    </row>
    <row r="2012" spans="1:9" ht="17.399999999999999" x14ac:dyDescent="0.25">
      <c r="A2012" s="16"/>
      <c r="B2012" s="17"/>
      <c r="C2012" s="2" t="b">
        <v>0</v>
      </c>
      <c r="D2012" s="2"/>
      <c r="E2012" s="2"/>
      <c r="F2012" s="2"/>
      <c r="G2012" s="2"/>
      <c r="H2012" s="2"/>
      <c r="I2012" s="5"/>
    </row>
    <row r="2013" spans="1:9" ht="17.399999999999999" x14ac:dyDescent="0.25">
      <c r="A2013" s="16"/>
      <c r="B2013" s="17"/>
      <c r="C2013" s="2" t="b">
        <v>0</v>
      </c>
      <c r="D2013" s="2"/>
      <c r="E2013" s="2"/>
      <c r="F2013" s="2"/>
      <c r="G2013" s="2"/>
      <c r="H2013" s="2"/>
      <c r="I2013" s="5"/>
    </row>
    <row r="2014" spans="1:9" ht="17.399999999999999" x14ac:dyDescent="0.25">
      <c r="A2014" s="16"/>
      <c r="B2014" s="17"/>
      <c r="C2014" s="2" t="b">
        <v>0</v>
      </c>
      <c r="D2014" s="2"/>
      <c r="E2014" s="2"/>
      <c r="F2014" s="2"/>
      <c r="G2014" s="2"/>
      <c r="H2014" s="2"/>
      <c r="I2014" s="5"/>
    </row>
    <row r="2015" spans="1:9" ht="17.399999999999999" x14ac:dyDescent="0.25">
      <c r="A2015" s="16"/>
      <c r="B2015" s="17"/>
      <c r="C2015" s="2" t="b">
        <v>0</v>
      </c>
      <c r="D2015" s="2"/>
      <c r="E2015" s="2"/>
      <c r="F2015" s="2"/>
      <c r="G2015" s="2"/>
      <c r="H2015" s="2"/>
      <c r="I2015" s="5"/>
    </row>
    <row r="2016" spans="1:9" ht="17.399999999999999" x14ac:dyDescent="0.25">
      <c r="A2016" s="16"/>
      <c r="B2016" s="17"/>
      <c r="C2016" s="2" t="b">
        <v>0</v>
      </c>
      <c r="D2016" s="2"/>
      <c r="E2016" s="2"/>
      <c r="F2016" s="2"/>
      <c r="G2016" s="2"/>
      <c r="H2016" s="2"/>
      <c r="I2016" s="5"/>
    </row>
    <row r="2017" spans="1:9" ht="17.399999999999999" x14ac:dyDescent="0.25">
      <c r="A2017" s="16"/>
      <c r="B2017" s="17"/>
      <c r="C2017" s="2" t="b">
        <v>0</v>
      </c>
      <c r="D2017" s="2"/>
      <c r="E2017" s="2"/>
      <c r="F2017" s="2"/>
      <c r="G2017" s="2"/>
      <c r="H2017" s="2"/>
      <c r="I2017" s="5"/>
    </row>
    <row r="2018" spans="1:9" ht="17.399999999999999" x14ac:dyDescent="0.25">
      <c r="A2018" s="16"/>
      <c r="B2018" s="17"/>
      <c r="C2018" s="2" t="b">
        <v>0</v>
      </c>
      <c r="D2018" s="2"/>
      <c r="E2018" s="2"/>
      <c r="F2018" s="2"/>
      <c r="G2018" s="2"/>
      <c r="H2018" s="2"/>
      <c r="I2018" s="5"/>
    </row>
    <row r="2019" spans="1:9" ht="17.399999999999999" x14ac:dyDescent="0.25">
      <c r="A2019" s="16"/>
      <c r="B2019" s="17"/>
      <c r="C2019" s="2" t="b">
        <v>0</v>
      </c>
      <c r="D2019" s="2"/>
      <c r="E2019" s="2"/>
      <c r="F2019" s="2"/>
      <c r="G2019" s="2"/>
      <c r="H2019" s="2"/>
      <c r="I2019" s="5"/>
    </row>
    <row r="2020" spans="1:9" ht="17.399999999999999" x14ac:dyDescent="0.25">
      <c r="A2020" s="16"/>
      <c r="B2020" s="17"/>
      <c r="C2020" s="2" t="b">
        <v>0</v>
      </c>
      <c r="D2020" s="2"/>
      <c r="E2020" s="2"/>
      <c r="F2020" s="2"/>
      <c r="G2020" s="2"/>
      <c r="H2020" s="2"/>
      <c r="I2020" s="5"/>
    </row>
    <row r="2021" spans="1:9" ht="17.399999999999999" x14ac:dyDescent="0.25">
      <c r="A2021" s="16"/>
      <c r="B2021" s="17"/>
      <c r="C2021" s="2" t="b">
        <v>0</v>
      </c>
      <c r="D2021" s="2"/>
      <c r="E2021" s="2"/>
      <c r="F2021" s="2"/>
      <c r="G2021" s="2"/>
      <c r="H2021" s="2"/>
      <c r="I2021" s="5"/>
    </row>
    <row r="2022" spans="1:9" ht="17.399999999999999" x14ac:dyDescent="0.25">
      <c r="A2022" s="16"/>
      <c r="B2022" s="17"/>
      <c r="C2022" s="2" t="b">
        <v>0</v>
      </c>
      <c r="D2022" s="2"/>
      <c r="E2022" s="2"/>
      <c r="F2022" s="2"/>
      <c r="G2022" s="2"/>
      <c r="H2022" s="2"/>
      <c r="I2022" s="5"/>
    </row>
    <row r="2023" spans="1:9" ht="17.399999999999999" x14ac:dyDescent="0.25">
      <c r="A2023" s="16"/>
      <c r="B2023" s="17"/>
      <c r="C2023" s="2" t="b">
        <v>0</v>
      </c>
      <c r="D2023" s="2"/>
      <c r="E2023" s="2"/>
      <c r="F2023" s="2"/>
      <c r="G2023" s="2"/>
      <c r="H2023" s="2"/>
      <c r="I2023" s="5"/>
    </row>
    <row r="2024" spans="1:9" ht="17.399999999999999" x14ac:dyDescent="0.25">
      <c r="A2024" s="16"/>
      <c r="B2024" s="17"/>
      <c r="C2024" s="2" t="b">
        <v>0</v>
      </c>
      <c r="D2024" s="2"/>
      <c r="E2024" s="2"/>
      <c r="F2024" s="2"/>
      <c r="G2024" s="2"/>
      <c r="H2024" s="2"/>
      <c r="I2024" s="5"/>
    </row>
    <row r="2025" spans="1:9" ht="17.399999999999999" x14ac:dyDescent="0.25">
      <c r="A2025" s="16"/>
      <c r="B2025" s="17"/>
      <c r="C2025" s="2" t="b">
        <v>0</v>
      </c>
      <c r="D2025" s="2"/>
      <c r="E2025" s="2"/>
      <c r="F2025" s="2"/>
      <c r="G2025" s="2"/>
      <c r="H2025" s="2"/>
      <c r="I2025" s="5"/>
    </row>
    <row r="2026" spans="1:9" ht="17.399999999999999" x14ac:dyDescent="0.25">
      <c r="A2026" s="16"/>
      <c r="B2026" s="17"/>
      <c r="C2026" s="2" t="b">
        <v>0</v>
      </c>
      <c r="D2026" s="2"/>
      <c r="E2026" s="2"/>
      <c r="F2026" s="2"/>
      <c r="G2026" s="2"/>
      <c r="H2026" s="2"/>
      <c r="I2026" s="5"/>
    </row>
    <row r="2027" spans="1:9" ht="17.399999999999999" x14ac:dyDescent="0.25">
      <c r="A2027" s="16"/>
      <c r="B2027" s="17"/>
      <c r="C2027" s="2" t="b">
        <v>0</v>
      </c>
      <c r="D2027" s="2"/>
      <c r="E2027" s="2"/>
      <c r="F2027" s="2"/>
      <c r="G2027" s="2"/>
      <c r="H2027" s="2"/>
      <c r="I2027" s="5"/>
    </row>
    <row r="2028" spans="1:9" ht="17.399999999999999" x14ac:dyDescent="0.25">
      <c r="A2028" s="16"/>
      <c r="B2028" s="17"/>
      <c r="C2028" s="2" t="b">
        <v>0</v>
      </c>
      <c r="D2028" s="2"/>
      <c r="E2028" s="2"/>
      <c r="F2028" s="2"/>
      <c r="G2028" s="2"/>
      <c r="H2028" s="2"/>
      <c r="I2028" s="5"/>
    </row>
    <row r="2029" spans="1:9" ht="17.399999999999999" x14ac:dyDescent="0.25">
      <c r="A2029" s="16"/>
      <c r="B2029" s="17"/>
      <c r="C2029" s="2" t="b">
        <v>0</v>
      </c>
      <c r="D2029" s="2"/>
      <c r="E2029" s="2"/>
      <c r="F2029" s="2"/>
      <c r="G2029" s="2"/>
      <c r="H2029" s="2"/>
      <c r="I2029" s="5"/>
    </row>
    <row r="2030" spans="1:9" ht="17.399999999999999" x14ac:dyDescent="0.25">
      <c r="A2030" s="16"/>
      <c r="B2030" s="17"/>
      <c r="C2030" s="2" t="b">
        <v>0</v>
      </c>
      <c r="D2030" s="2"/>
      <c r="E2030" s="2"/>
      <c r="F2030" s="2"/>
      <c r="G2030" s="2"/>
      <c r="H2030" s="2"/>
      <c r="I2030" s="5"/>
    </row>
    <row r="2031" spans="1:9" ht="17.399999999999999" x14ac:dyDescent="0.25">
      <c r="A2031" s="16"/>
      <c r="B2031" s="17"/>
      <c r="C2031" s="2" t="b">
        <v>0</v>
      </c>
      <c r="D2031" s="2"/>
      <c r="E2031" s="2"/>
      <c r="F2031" s="2"/>
      <c r="G2031" s="2"/>
      <c r="H2031" s="2"/>
      <c r="I2031" s="5"/>
    </row>
    <row r="2032" spans="1:9" ht="17.399999999999999" x14ac:dyDescent="0.25">
      <c r="A2032" s="16"/>
      <c r="B2032" s="17"/>
      <c r="C2032" s="2" t="b">
        <v>0</v>
      </c>
      <c r="D2032" s="2"/>
      <c r="E2032" s="2"/>
      <c r="F2032" s="2"/>
      <c r="G2032" s="2"/>
      <c r="H2032" s="2"/>
      <c r="I2032" s="5"/>
    </row>
    <row r="2033" spans="1:9" ht="17.399999999999999" x14ac:dyDescent="0.25">
      <c r="A2033" s="16"/>
      <c r="B2033" s="17"/>
      <c r="C2033" s="2" t="b">
        <v>0</v>
      </c>
      <c r="D2033" s="2"/>
      <c r="E2033" s="2"/>
      <c r="F2033" s="2"/>
      <c r="G2033" s="2"/>
      <c r="H2033" s="2"/>
      <c r="I2033" s="5"/>
    </row>
    <row r="2034" spans="1:9" ht="17.399999999999999" x14ac:dyDescent="0.25">
      <c r="A2034" s="16"/>
      <c r="B2034" s="17"/>
      <c r="C2034" s="2" t="b">
        <v>0</v>
      </c>
      <c r="D2034" s="2"/>
      <c r="E2034" s="2"/>
      <c r="F2034" s="2"/>
      <c r="G2034" s="2"/>
      <c r="H2034" s="2"/>
      <c r="I2034" s="5"/>
    </row>
    <row r="2035" spans="1:9" ht="17.399999999999999" x14ac:dyDescent="0.25">
      <c r="A2035" s="16"/>
      <c r="B2035" s="17"/>
      <c r="C2035" s="2" t="b">
        <v>0</v>
      </c>
      <c r="D2035" s="2"/>
      <c r="E2035" s="2"/>
      <c r="F2035" s="2"/>
      <c r="G2035" s="2"/>
      <c r="H2035" s="2"/>
      <c r="I2035" s="5"/>
    </row>
    <row r="2036" spans="1:9" ht="17.399999999999999" x14ac:dyDescent="0.25">
      <c r="A2036" s="16"/>
      <c r="B2036" s="17"/>
      <c r="C2036" s="2" t="b">
        <v>0</v>
      </c>
      <c r="D2036" s="2"/>
      <c r="E2036" s="2"/>
      <c r="F2036" s="2"/>
      <c r="G2036" s="2"/>
      <c r="H2036" s="2"/>
      <c r="I2036" s="5"/>
    </row>
    <row r="2037" spans="1:9" ht="17.399999999999999" x14ac:dyDescent="0.25">
      <c r="A2037" s="16"/>
      <c r="B2037" s="17"/>
      <c r="C2037" s="2" t="b">
        <v>0</v>
      </c>
      <c r="D2037" s="2"/>
      <c r="E2037" s="2"/>
      <c r="F2037" s="2"/>
      <c r="G2037" s="2"/>
      <c r="H2037" s="2"/>
      <c r="I2037" s="5"/>
    </row>
    <row r="2038" spans="1:9" ht="17.399999999999999" x14ac:dyDescent="0.25">
      <c r="A2038" s="16"/>
      <c r="B2038" s="17"/>
      <c r="C2038" s="2" t="b">
        <v>0</v>
      </c>
      <c r="D2038" s="2"/>
      <c r="E2038" s="2"/>
      <c r="F2038" s="2"/>
      <c r="G2038" s="2"/>
      <c r="H2038" s="2"/>
      <c r="I2038" s="5"/>
    </row>
    <row r="2039" spans="1:9" ht="17.399999999999999" x14ac:dyDescent="0.25">
      <c r="A2039" s="16"/>
      <c r="B2039" s="17"/>
      <c r="C2039" s="2" t="b">
        <v>0</v>
      </c>
      <c r="D2039" s="2"/>
      <c r="E2039" s="2"/>
      <c r="F2039" s="2"/>
      <c r="G2039" s="2"/>
      <c r="H2039" s="2"/>
      <c r="I2039" s="5"/>
    </row>
    <row r="2040" spans="1:9" ht="17.399999999999999" x14ac:dyDescent="0.25">
      <c r="A2040" s="16"/>
      <c r="B2040" s="17"/>
      <c r="C2040" s="2" t="b">
        <v>0</v>
      </c>
      <c r="D2040" s="2"/>
      <c r="E2040" s="2"/>
      <c r="F2040" s="2"/>
      <c r="G2040" s="2"/>
      <c r="H2040" s="2"/>
      <c r="I2040" s="5"/>
    </row>
    <row r="2041" spans="1:9" ht="17.399999999999999" x14ac:dyDescent="0.25">
      <c r="A2041" s="16"/>
      <c r="B2041" s="17"/>
      <c r="C2041" s="2" t="b">
        <v>0</v>
      </c>
      <c r="D2041" s="2"/>
      <c r="E2041" s="2"/>
      <c r="F2041" s="2"/>
      <c r="G2041" s="2"/>
      <c r="H2041" s="2"/>
      <c r="I2041" s="5"/>
    </row>
    <row r="2042" spans="1:9" ht="17.399999999999999" x14ac:dyDescent="0.25">
      <c r="A2042" s="16"/>
      <c r="B2042" s="17"/>
      <c r="C2042" s="2" t="b">
        <v>0</v>
      </c>
      <c r="D2042" s="2"/>
      <c r="E2042" s="2"/>
      <c r="F2042" s="2"/>
      <c r="G2042" s="2"/>
      <c r="H2042" s="2"/>
      <c r="I2042" s="5"/>
    </row>
    <row r="2043" spans="1:9" ht="17.399999999999999" x14ac:dyDescent="0.25">
      <c r="A2043" s="16"/>
      <c r="B2043" s="17"/>
      <c r="C2043" s="2" t="b">
        <v>0</v>
      </c>
      <c r="D2043" s="2"/>
      <c r="E2043" s="2"/>
      <c r="F2043" s="2"/>
      <c r="G2043" s="2"/>
      <c r="H2043" s="2"/>
      <c r="I2043" s="5"/>
    </row>
    <row r="2044" spans="1:9" ht="17.399999999999999" x14ac:dyDescent="0.25">
      <c r="A2044" s="16"/>
      <c r="B2044" s="17"/>
      <c r="C2044" s="2" t="b">
        <v>0</v>
      </c>
      <c r="D2044" s="2"/>
      <c r="E2044" s="2"/>
      <c r="F2044" s="2"/>
      <c r="G2044" s="2"/>
      <c r="H2044" s="2"/>
      <c r="I2044" s="5"/>
    </row>
    <row r="2045" spans="1:9" ht="17.399999999999999" x14ac:dyDescent="0.25">
      <c r="A2045" s="16"/>
      <c r="B2045" s="17"/>
      <c r="C2045" s="2" t="b">
        <v>0</v>
      </c>
      <c r="D2045" s="2"/>
      <c r="E2045" s="2"/>
      <c r="F2045" s="2"/>
      <c r="G2045" s="2"/>
      <c r="H2045" s="2"/>
      <c r="I2045" s="5"/>
    </row>
    <row r="2046" spans="1:9" ht="17.399999999999999" x14ac:dyDescent="0.25">
      <c r="A2046" s="16"/>
      <c r="B2046" s="17"/>
      <c r="C2046" s="2" t="b">
        <v>0</v>
      </c>
      <c r="D2046" s="2"/>
      <c r="E2046" s="2"/>
      <c r="F2046" s="2"/>
      <c r="G2046" s="2"/>
      <c r="H2046" s="2"/>
      <c r="I2046" s="5"/>
    </row>
    <row r="2047" spans="1:9" ht="17.399999999999999" x14ac:dyDescent="0.25">
      <c r="A2047" s="16"/>
      <c r="B2047" s="17"/>
      <c r="C2047" s="2" t="b">
        <v>0</v>
      </c>
      <c r="D2047" s="2"/>
      <c r="E2047" s="2"/>
      <c r="F2047" s="2"/>
      <c r="G2047" s="2"/>
      <c r="H2047" s="2"/>
      <c r="I2047" s="5"/>
    </row>
    <row r="2048" spans="1:9" ht="17.399999999999999" x14ac:dyDescent="0.25">
      <c r="A2048" s="16"/>
      <c r="B2048" s="17"/>
      <c r="C2048" s="2" t="b">
        <v>0</v>
      </c>
      <c r="D2048" s="2"/>
      <c r="E2048" s="2"/>
      <c r="F2048" s="2"/>
      <c r="G2048" s="2"/>
      <c r="H2048" s="2"/>
      <c r="I2048" s="5"/>
    </row>
    <row r="2049" spans="1:9" ht="17.399999999999999" x14ac:dyDescent="0.25">
      <c r="A2049" s="16"/>
      <c r="B2049" s="17"/>
      <c r="C2049" s="2" t="b">
        <v>0</v>
      </c>
      <c r="D2049" s="2"/>
      <c r="E2049" s="2"/>
      <c r="F2049" s="2"/>
      <c r="G2049" s="2"/>
      <c r="H2049" s="2"/>
      <c r="I2049" s="5"/>
    </row>
    <row r="2050" spans="1:9" ht="17.399999999999999" x14ac:dyDescent="0.25">
      <c r="A2050" s="16"/>
      <c r="B2050" s="17"/>
      <c r="C2050" s="2" t="b">
        <v>0</v>
      </c>
      <c r="D2050" s="2"/>
      <c r="E2050" s="2"/>
      <c r="F2050" s="2"/>
      <c r="G2050" s="2"/>
      <c r="H2050" s="2"/>
      <c r="I2050" s="5"/>
    </row>
    <row r="2051" spans="1:9" ht="17.399999999999999" x14ac:dyDescent="0.25">
      <c r="A2051" s="16"/>
      <c r="B2051" s="17"/>
      <c r="C2051" s="2" t="b">
        <v>0</v>
      </c>
      <c r="D2051" s="2"/>
      <c r="E2051" s="2"/>
      <c r="F2051" s="2"/>
      <c r="G2051" s="2"/>
      <c r="H2051" s="2"/>
      <c r="I2051" s="5"/>
    </row>
    <row r="2052" spans="1:9" ht="17.399999999999999" x14ac:dyDescent="0.25">
      <c r="A2052" s="16"/>
      <c r="B2052" s="17"/>
      <c r="C2052" s="2" t="b">
        <v>0</v>
      </c>
      <c r="D2052" s="2"/>
      <c r="E2052" s="2"/>
      <c r="F2052" s="2"/>
      <c r="G2052" s="2"/>
      <c r="H2052" s="2"/>
      <c r="I2052" s="5"/>
    </row>
    <row r="2053" spans="1:9" ht="17.399999999999999" x14ac:dyDescent="0.25">
      <c r="A2053" s="16"/>
      <c r="B2053" s="17"/>
      <c r="C2053" s="2" t="b">
        <v>0</v>
      </c>
      <c r="D2053" s="2"/>
      <c r="E2053" s="2"/>
      <c r="F2053" s="2"/>
      <c r="G2053" s="2"/>
      <c r="H2053" s="2"/>
      <c r="I2053" s="5"/>
    </row>
    <row r="2054" spans="1:9" ht="17.399999999999999" x14ac:dyDescent="0.25">
      <c r="A2054" s="16"/>
      <c r="B2054" s="17"/>
      <c r="C2054" s="2" t="b">
        <v>0</v>
      </c>
      <c r="D2054" s="2"/>
      <c r="E2054" s="2"/>
      <c r="F2054" s="2"/>
      <c r="G2054" s="2"/>
      <c r="H2054" s="2"/>
      <c r="I2054" s="5"/>
    </row>
    <row r="2055" spans="1:9" ht="17.399999999999999" x14ac:dyDescent="0.25">
      <c r="A2055" s="16"/>
      <c r="B2055" s="17"/>
      <c r="C2055" s="2" t="b">
        <v>0</v>
      </c>
      <c r="D2055" s="2"/>
      <c r="E2055" s="2"/>
      <c r="F2055" s="2"/>
      <c r="G2055" s="2"/>
      <c r="H2055" s="2"/>
      <c r="I2055" s="5"/>
    </row>
    <row r="2056" spans="1:9" ht="17.399999999999999" x14ac:dyDescent="0.25">
      <c r="A2056" s="16"/>
      <c r="B2056" s="17"/>
      <c r="C2056" s="2" t="b">
        <v>0</v>
      </c>
      <c r="D2056" s="2"/>
      <c r="E2056" s="2"/>
      <c r="F2056" s="2"/>
      <c r="G2056" s="2"/>
      <c r="H2056" s="2"/>
      <c r="I2056" s="5"/>
    </row>
    <row r="2057" spans="1:9" ht="17.399999999999999" x14ac:dyDescent="0.25">
      <c r="A2057" s="16"/>
      <c r="B2057" s="17"/>
      <c r="C2057" s="2" t="b">
        <v>0</v>
      </c>
      <c r="D2057" s="2"/>
      <c r="E2057" s="2"/>
      <c r="F2057" s="2"/>
      <c r="G2057" s="2"/>
      <c r="H2057" s="2"/>
      <c r="I2057" s="5"/>
    </row>
    <row r="2058" spans="1:9" ht="17.399999999999999" x14ac:dyDescent="0.25">
      <c r="A2058" s="16"/>
      <c r="B2058" s="17"/>
      <c r="C2058" s="2" t="b">
        <v>0</v>
      </c>
      <c r="D2058" s="2"/>
      <c r="E2058" s="2"/>
      <c r="F2058" s="2"/>
      <c r="G2058" s="2"/>
      <c r="H2058" s="2"/>
      <c r="I2058" s="5"/>
    </row>
    <row r="2059" spans="1:9" ht="17.399999999999999" x14ac:dyDescent="0.25">
      <c r="A2059" s="16"/>
      <c r="B2059" s="17"/>
      <c r="C2059" s="2" t="b">
        <v>0</v>
      </c>
      <c r="D2059" s="2"/>
      <c r="E2059" s="2"/>
      <c r="F2059" s="2"/>
      <c r="G2059" s="2"/>
      <c r="H2059" s="2"/>
      <c r="I2059" s="5"/>
    </row>
    <row r="2060" spans="1:9" ht="17.399999999999999" x14ac:dyDescent="0.25">
      <c r="A2060" s="16"/>
      <c r="B2060" s="17"/>
      <c r="C2060" s="2" t="b">
        <v>0</v>
      </c>
      <c r="D2060" s="2"/>
      <c r="E2060" s="2"/>
      <c r="F2060" s="2"/>
      <c r="G2060" s="2"/>
      <c r="H2060" s="2"/>
      <c r="I2060" s="5"/>
    </row>
    <row r="2061" spans="1:9" ht="17.399999999999999" x14ac:dyDescent="0.25">
      <c r="A2061" s="16"/>
      <c r="B2061" s="17"/>
      <c r="C2061" s="2" t="b">
        <v>0</v>
      </c>
      <c r="D2061" s="2"/>
      <c r="E2061" s="2"/>
      <c r="F2061" s="2"/>
      <c r="G2061" s="2"/>
      <c r="H2061" s="2"/>
      <c r="I2061" s="5"/>
    </row>
    <row r="2062" spans="1:9" ht="17.399999999999999" x14ac:dyDescent="0.25">
      <c r="A2062" s="16"/>
      <c r="B2062" s="17"/>
      <c r="C2062" s="2" t="b">
        <v>0</v>
      </c>
      <c r="D2062" s="2"/>
      <c r="E2062" s="2"/>
      <c r="F2062" s="2"/>
      <c r="G2062" s="2"/>
      <c r="H2062" s="2"/>
      <c r="I2062" s="5"/>
    </row>
    <row r="2063" spans="1:9" ht="17.399999999999999" x14ac:dyDescent="0.25">
      <c r="A2063" s="16"/>
      <c r="B2063" s="17"/>
      <c r="C2063" s="2" t="b">
        <v>0</v>
      </c>
      <c r="D2063" s="2"/>
      <c r="E2063" s="2"/>
      <c r="F2063" s="2"/>
      <c r="G2063" s="2"/>
      <c r="H2063" s="2"/>
      <c r="I2063" s="5"/>
    </row>
    <row r="2064" spans="1:9" ht="17.399999999999999" x14ac:dyDescent="0.25">
      <c r="A2064" s="16"/>
      <c r="B2064" s="17"/>
      <c r="C2064" s="2" t="b">
        <v>0</v>
      </c>
      <c r="D2064" s="2"/>
      <c r="E2064" s="2"/>
      <c r="F2064" s="2"/>
      <c r="G2064" s="2"/>
      <c r="H2064" s="2"/>
      <c r="I2064" s="5"/>
    </row>
    <row r="2065" spans="1:9" ht="17.399999999999999" x14ac:dyDescent="0.25">
      <c r="A2065" s="16"/>
      <c r="B2065" s="17"/>
      <c r="C2065" s="2" t="b">
        <v>0</v>
      </c>
      <c r="D2065" s="2"/>
      <c r="E2065" s="2"/>
      <c r="F2065" s="2"/>
      <c r="G2065" s="2"/>
      <c r="H2065" s="2"/>
      <c r="I2065" s="5"/>
    </row>
    <row r="2066" spans="1:9" ht="17.399999999999999" x14ac:dyDescent="0.25">
      <c r="A2066" s="16"/>
      <c r="B2066" s="17"/>
      <c r="C2066" s="2" t="b">
        <v>0</v>
      </c>
      <c r="D2066" s="2"/>
      <c r="E2066" s="2"/>
      <c r="F2066" s="2"/>
      <c r="G2066" s="2"/>
      <c r="H2066" s="2"/>
      <c r="I2066" s="5"/>
    </row>
    <row r="2067" spans="1:9" ht="17.399999999999999" x14ac:dyDescent="0.25">
      <c r="A2067" s="16"/>
      <c r="B2067" s="17"/>
      <c r="C2067" s="2" t="b">
        <v>0</v>
      </c>
      <c r="D2067" s="2"/>
      <c r="E2067" s="2"/>
      <c r="F2067" s="2"/>
      <c r="G2067" s="2"/>
      <c r="H2067" s="2"/>
      <c r="I2067" s="5"/>
    </row>
    <row r="2068" spans="1:9" ht="17.399999999999999" x14ac:dyDescent="0.25">
      <c r="A2068" s="16"/>
      <c r="B2068" s="17"/>
      <c r="C2068" s="2" t="b">
        <v>0</v>
      </c>
      <c r="D2068" s="2"/>
      <c r="E2068" s="2"/>
      <c r="F2068" s="2"/>
      <c r="G2068" s="2"/>
      <c r="H2068" s="2"/>
      <c r="I2068" s="5"/>
    </row>
    <row r="2069" spans="1:9" ht="17.399999999999999" x14ac:dyDescent="0.25">
      <c r="A2069" s="16"/>
      <c r="B2069" s="17"/>
      <c r="C2069" s="2" t="b">
        <v>0</v>
      </c>
      <c r="D2069" s="2"/>
      <c r="E2069" s="2"/>
      <c r="F2069" s="2"/>
      <c r="G2069" s="2"/>
      <c r="H2069" s="2"/>
      <c r="I2069" s="5"/>
    </row>
    <row r="2070" spans="1:9" ht="17.399999999999999" x14ac:dyDescent="0.25">
      <c r="A2070" s="16"/>
      <c r="B2070" s="17"/>
      <c r="C2070" s="2" t="b">
        <v>0</v>
      </c>
      <c r="D2070" s="2"/>
      <c r="E2070" s="2"/>
      <c r="F2070" s="2"/>
      <c r="G2070" s="2"/>
      <c r="H2070" s="2"/>
      <c r="I2070" s="5"/>
    </row>
    <row r="2071" spans="1:9" ht="17.399999999999999" x14ac:dyDescent="0.25">
      <c r="A2071" s="16"/>
      <c r="B2071" s="17"/>
      <c r="C2071" s="2" t="b">
        <v>0</v>
      </c>
      <c r="D2071" s="2"/>
      <c r="E2071" s="2"/>
      <c r="F2071" s="2"/>
      <c r="G2071" s="2"/>
      <c r="H2071" s="2"/>
      <c r="I2071" s="5"/>
    </row>
    <row r="2072" spans="1:9" ht="17.399999999999999" x14ac:dyDescent="0.25">
      <c r="A2072" s="16"/>
      <c r="B2072" s="17"/>
      <c r="C2072" s="2" t="b">
        <v>0</v>
      </c>
      <c r="D2072" s="2"/>
      <c r="E2072" s="2"/>
      <c r="F2072" s="2"/>
      <c r="G2072" s="2"/>
      <c r="H2072" s="2"/>
      <c r="I2072" s="5"/>
    </row>
    <row r="2073" spans="1:9" ht="17.399999999999999" x14ac:dyDescent="0.25">
      <c r="A2073" s="16"/>
      <c r="B2073" s="17"/>
      <c r="C2073" s="2" t="b">
        <v>0</v>
      </c>
      <c r="D2073" s="2"/>
      <c r="E2073" s="2"/>
      <c r="F2073" s="2"/>
      <c r="G2073" s="2"/>
      <c r="H2073" s="2"/>
      <c r="I2073" s="5"/>
    </row>
    <row r="2074" spans="1:9" ht="17.399999999999999" x14ac:dyDescent="0.25">
      <c r="A2074" s="16"/>
      <c r="B2074" s="17"/>
      <c r="C2074" s="2" t="b">
        <v>0</v>
      </c>
      <c r="D2074" s="2"/>
      <c r="E2074" s="2"/>
      <c r="F2074" s="2"/>
      <c r="G2074" s="2"/>
      <c r="H2074" s="2"/>
      <c r="I2074" s="5"/>
    </row>
    <row r="2075" spans="1:9" ht="17.399999999999999" x14ac:dyDescent="0.25">
      <c r="A2075" s="16"/>
      <c r="B2075" s="17"/>
      <c r="C2075" s="2" t="b">
        <v>0</v>
      </c>
      <c r="D2075" s="2"/>
      <c r="E2075" s="2"/>
      <c r="F2075" s="2"/>
      <c r="G2075" s="2"/>
      <c r="H2075" s="2"/>
      <c r="I2075" s="5"/>
    </row>
    <row r="2076" spans="1:9" ht="17.399999999999999" x14ac:dyDescent="0.25">
      <c r="A2076" s="16"/>
      <c r="B2076" s="17"/>
      <c r="C2076" s="2" t="b">
        <v>0</v>
      </c>
      <c r="D2076" s="2"/>
      <c r="E2076" s="2"/>
      <c r="F2076" s="2"/>
      <c r="G2076" s="2"/>
      <c r="H2076" s="2"/>
      <c r="I2076" s="5"/>
    </row>
    <row r="2077" spans="1:9" ht="17.399999999999999" x14ac:dyDescent="0.25">
      <c r="A2077" s="16"/>
      <c r="B2077" s="17"/>
      <c r="C2077" s="2" t="b">
        <v>0</v>
      </c>
      <c r="D2077" s="2"/>
      <c r="E2077" s="2"/>
      <c r="F2077" s="2"/>
      <c r="G2077" s="2"/>
      <c r="H2077" s="2"/>
      <c r="I2077" s="5"/>
    </row>
    <row r="2078" spans="1:9" ht="17.399999999999999" x14ac:dyDescent="0.25">
      <c r="A2078" s="16"/>
      <c r="B2078" s="17"/>
      <c r="C2078" s="2" t="b">
        <v>0</v>
      </c>
      <c r="D2078" s="2"/>
      <c r="E2078" s="2"/>
      <c r="F2078" s="2"/>
      <c r="G2078" s="2"/>
      <c r="H2078" s="2"/>
      <c r="I2078" s="5"/>
    </row>
    <row r="2079" spans="1:9" ht="17.399999999999999" x14ac:dyDescent="0.25">
      <c r="A2079" s="16"/>
      <c r="B2079" s="17"/>
      <c r="C2079" s="2" t="b">
        <v>0</v>
      </c>
      <c r="D2079" s="2"/>
      <c r="E2079" s="2"/>
      <c r="F2079" s="2"/>
      <c r="G2079" s="2"/>
      <c r="H2079" s="2"/>
      <c r="I2079" s="5"/>
    </row>
    <row r="2080" spans="1:9" ht="17.399999999999999" x14ac:dyDescent="0.25">
      <c r="A2080" s="16"/>
      <c r="B2080" s="17"/>
      <c r="C2080" s="2" t="b">
        <v>0</v>
      </c>
      <c r="D2080" s="2"/>
      <c r="E2080" s="2"/>
      <c r="F2080" s="2"/>
      <c r="G2080" s="2"/>
      <c r="H2080" s="2"/>
      <c r="I2080" s="5"/>
    </row>
    <row r="2081" spans="1:9" ht="17.399999999999999" x14ac:dyDescent="0.25">
      <c r="A2081" s="16"/>
      <c r="B2081" s="17"/>
      <c r="C2081" s="2" t="b">
        <v>0</v>
      </c>
      <c r="D2081" s="2"/>
      <c r="E2081" s="2"/>
      <c r="F2081" s="2"/>
      <c r="G2081" s="2"/>
      <c r="H2081" s="2"/>
      <c r="I2081" s="5"/>
    </row>
    <row r="2082" spans="1:9" ht="17.399999999999999" x14ac:dyDescent="0.25">
      <c r="A2082" s="16"/>
      <c r="B2082" s="17"/>
      <c r="C2082" s="2" t="b">
        <v>0</v>
      </c>
      <c r="D2082" s="2"/>
      <c r="E2082" s="2"/>
      <c r="F2082" s="2"/>
      <c r="G2082" s="2"/>
      <c r="H2082" s="2"/>
      <c r="I2082" s="5"/>
    </row>
    <row r="2083" spans="1:9" ht="17.399999999999999" x14ac:dyDescent="0.25">
      <c r="A2083" s="16"/>
      <c r="B2083" s="17"/>
      <c r="C2083" s="2" t="b">
        <v>0</v>
      </c>
      <c r="D2083" s="2"/>
      <c r="E2083" s="2"/>
      <c r="F2083" s="2"/>
      <c r="G2083" s="2"/>
      <c r="H2083" s="2"/>
      <c r="I2083" s="5"/>
    </row>
    <row r="2084" spans="1:9" ht="17.399999999999999" x14ac:dyDescent="0.25">
      <c r="A2084" s="16"/>
      <c r="B2084" s="17"/>
      <c r="C2084" s="2" t="b">
        <v>0</v>
      </c>
      <c r="D2084" s="2"/>
      <c r="E2084" s="2"/>
      <c r="F2084" s="2"/>
      <c r="G2084" s="2"/>
      <c r="H2084" s="2"/>
      <c r="I2084" s="5"/>
    </row>
    <row r="2085" spans="1:9" ht="17.399999999999999" x14ac:dyDescent="0.25">
      <c r="A2085" s="16"/>
      <c r="B2085" s="17"/>
      <c r="C2085" s="2" t="b">
        <v>0</v>
      </c>
      <c r="D2085" s="2"/>
      <c r="E2085" s="2"/>
      <c r="F2085" s="2"/>
      <c r="G2085" s="2"/>
      <c r="H2085" s="2"/>
      <c r="I2085" s="5"/>
    </row>
    <row r="2086" spans="1:9" ht="17.399999999999999" x14ac:dyDescent="0.25">
      <c r="A2086" s="16"/>
      <c r="B2086" s="17"/>
      <c r="C2086" s="2" t="b">
        <v>0</v>
      </c>
      <c r="D2086" s="2"/>
      <c r="E2086" s="2"/>
      <c r="F2086" s="2"/>
      <c r="G2086" s="2"/>
      <c r="H2086" s="2"/>
      <c r="I2086" s="5"/>
    </row>
    <row r="2087" spans="1:9" ht="17.399999999999999" x14ac:dyDescent="0.25">
      <c r="A2087" s="16"/>
      <c r="B2087" s="17"/>
      <c r="C2087" s="2" t="b">
        <v>0</v>
      </c>
      <c r="D2087" s="2"/>
      <c r="E2087" s="2"/>
      <c r="F2087" s="2"/>
      <c r="G2087" s="2"/>
      <c r="H2087" s="2"/>
      <c r="I2087" s="5"/>
    </row>
    <row r="2088" spans="1:9" ht="17.399999999999999" x14ac:dyDescent="0.25">
      <c r="A2088" s="16"/>
      <c r="B2088" s="17"/>
      <c r="C2088" s="2" t="b">
        <v>0</v>
      </c>
      <c r="D2088" s="2"/>
      <c r="E2088" s="2"/>
      <c r="F2088" s="2"/>
      <c r="G2088" s="2"/>
      <c r="H2088" s="2"/>
      <c r="I2088" s="5"/>
    </row>
    <row r="2089" spans="1:9" ht="17.399999999999999" x14ac:dyDescent="0.25">
      <c r="A2089" s="16"/>
      <c r="B2089" s="17"/>
      <c r="C2089" s="2" t="b">
        <v>0</v>
      </c>
      <c r="D2089" s="2"/>
      <c r="E2089" s="2"/>
      <c r="F2089" s="2"/>
      <c r="G2089" s="2"/>
      <c r="H2089" s="2"/>
      <c r="I2089" s="5"/>
    </row>
    <row r="2090" spans="1:9" ht="17.399999999999999" x14ac:dyDescent="0.25">
      <c r="A2090" s="16"/>
      <c r="B2090" s="17"/>
      <c r="C2090" s="2" t="b">
        <v>0</v>
      </c>
      <c r="D2090" s="2"/>
      <c r="E2090" s="2"/>
      <c r="F2090" s="2"/>
      <c r="G2090" s="2"/>
      <c r="H2090" s="2"/>
      <c r="I2090" s="5"/>
    </row>
    <row r="2091" spans="1:9" ht="17.399999999999999" x14ac:dyDescent="0.25">
      <c r="A2091" s="16"/>
      <c r="B2091" s="17"/>
      <c r="C2091" s="2" t="b">
        <v>0</v>
      </c>
      <c r="D2091" s="2"/>
      <c r="E2091" s="2"/>
      <c r="F2091" s="2"/>
      <c r="G2091" s="2"/>
      <c r="H2091" s="2"/>
      <c r="I2091" s="5"/>
    </row>
    <row r="2092" spans="1:9" ht="17.399999999999999" x14ac:dyDescent="0.25">
      <c r="A2092" s="16"/>
      <c r="B2092" s="17"/>
      <c r="C2092" s="2" t="b">
        <v>0</v>
      </c>
      <c r="D2092" s="2"/>
      <c r="E2092" s="2"/>
      <c r="F2092" s="2"/>
      <c r="G2092" s="2"/>
      <c r="H2092" s="2"/>
      <c r="I2092" s="5"/>
    </row>
    <row r="2093" spans="1:9" ht="17.399999999999999" x14ac:dyDescent="0.25">
      <c r="A2093" s="16"/>
      <c r="B2093" s="17"/>
      <c r="C2093" s="2" t="b">
        <v>0</v>
      </c>
      <c r="D2093" s="2"/>
      <c r="E2093" s="2"/>
      <c r="F2093" s="2"/>
      <c r="G2093" s="2"/>
      <c r="H2093" s="2"/>
      <c r="I2093" s="5"/>
    </row>
    <row r="2094" spans="1:9" ht="17.399999999999999" x14ac:dyDescent="0.25">
      <c r="A2094" s="16"/>
      <c r="B2094" s="17"/>
      <c r="C2094" s="2" t="b">
        <v>0</v>
      </c>
      <c r="D2094" s="2"/>
      <c r="E2094" s="2"/>
      <c r="F2094" s="2"/>
      <c r="G2094" s="2"/>
      <c r="H2094" s="2"/>
      <c r="I2094" s="5"/>
    </row>
    <row r="2095" spans="1:9" ht="17.399999999999999" x14ac:dyDescent="0.25">
      <c r="A2095" s="16"/>
      <c r="B2095" s="17"/>
      <c r="C2095" s="2" t="b">
        <v>0</v>
      </c>
      <c r="D2095" s="2"/>
      <c r="E2095" s="2"/>
      <c r="F2095" s="2"/>
      <c r="G2095" s="2"/>
      <c r="H2095" s="2"/>
      <c r="I2095" s="5"/>
    </row>
    <row r="2096" spans="1:9" ht="17.399999999999999" x14ac:dyDescent="0.25">
      <c r="A2096" s="16"/>
      <c r="B2096" s="17"/>
      <c r="C2096" s="2" t="b">
        <v>0</v>
      </c>
      <c r="D2096" s="2"/>
      <c r="E2096" s="2"/>
      <c r="F2096" s="2"/>
      <c r="G2096" s="2"/>
      <c r="H2096" s="2"/>
      <c r="I2096" s="5"/>
    </row>
    <row r="2097" spans="1:9" ht="17.399999999999999" x14ac:dyDescent="0.25">
      <c r="A2097" s="16"/>
      <c r="B2097" s="17"/>
      <c r="C2097" s="2" t="b">
        <v>0</v>
      </c>
      <c r="D2097" s="2"/>
      <c r="E2097" s="2"/>
      <c r="F2097" s="2"/>
      <c r="G2097" s="2"/>
      <c r="H2097" s="2"/>
      <c r="I2097" s="5"/>
    </row>
    <row r="2098" spans="1:9" ht="17.399999999999999" x14ac:dyDescent="0.25">
      <c r="A2098" s="16"/>
      <c r="B2098" s="17"/>
      <c r="C2098" s="2" t="b">
        <v>0</v>
      </c>
      <c r="D2098" s="2"/>
      <c r="E2098" s="2"/>
      <c r="F2098" s="2"/>
      <c r="G2098" s="2"/>
      <c r="H2098" s="2"/>
      <c r="I2098" s="5"/>
    </row>
    <row r="2099" spans="1:9" ht="17.399999999999999" x14ac:dyDescent="0.25">
      <c r="A2099" s="16"/>
      <c r="B2099" s="17"/>
      <c r="C2099" s="2" t="b">
        <v>0</v>
      </c>
      <c r="D2099" s="2"/>
      <c r="E2099" s="2"/>
      <c r="F2099" s="2"/>
      <c r="G2099" s="2"/>
      <c r="H2099" s="2"/>
      <c r="I2099" s="5"/>
    </row>
    <row r="2100" spans="1:9" ht="17.399999999999999" x14ac:dyDescent="0.25">
      <c r="A2100" s="16"/>
      <c r="B2100" s="17"/>
      <c r="C2100" s="2" t="b">
        <v>0</v>
      </c>
      <c r="D2100" s="2"/>
      <c r="E2100" s="2"/>
      <c r="F2100" s="2"/>
      <c r="G2100" s="2"/>
      <c r="H2100" s="2"/>
      <c r="I2100" s="5"/>
    </row>
    <row r="2101" spans="1:9" ht="17.399999999999999" x14ac:dyDescent="0.25">
      <c r="A2101" s="16"/>
      <c r="B2101" s="17"/>
      <c r="C2101" s="2" t="b">
        <v>0</v>
      </c>
      <c r="D2101" s="2"/>
      <c r="E2101" s="2"/>
      <c r="F2101" s="2"/>
      <c r="G2101" s="2"/>
      <c r="H2101" s="2"/>
      <c r="I2101" s="5"/>
    </row>
    <row r="2102" spans="1:9" ht="17.399999999999999" x14ac:dyDescent="0.25">
      <c r="A2102" s="16"/>
      <c r="B2102" s="17"/>
      <c r="C2102" s="2" t="b">
        <v>0</v>
      </c>
      <c r="D2102" s="2"/>
      <c r="E2102" s="2"/>
      <c r="F2102" s="2"/>
      <c r="G2102" s="2"/>
      <c r="H2102" s="2"/>
      <c r="I2102" s="5"/>
    </row>
    <row r="2103" spans="1:9" ht="17.399999999999999" x14ac:dyDescent="0.25">
      <c r="A2103" s="16"/>
      <c r="B2103" s="17"/>
      <c r="C2103" s="2" t="b">
        <v>0</v>
      </c>
      <c r="D2103" s="2"/>
      <c r="E2103" s="2"/>
      <c r="F2103" s="2"/>
      <c r="G2103" s="2"/>
      <c r="H2103" s="2"/>
      <c r="I2103" s="5"/>
    </row>
    <row r="2104" spans="1:9" ht="17.399999999999999" x14ac:dyDescent="0.25">
      <c r="A2104" s="16"/>
      <c r="B2104" s="17"/>
      <c r="C2104" s="2" t="b">
        <v>0</v>
      </c>
      <c r="D2104" s="2"/>
      <c r="E2104" s="2"/>
      <c r="F2104" s="2"/>
      <c r="G2104" s="2"/>
      <c r="H2104" s="2"/>
      <c r="I2104" s="5"/>
    </row>
    <row r="2105" spans="1:9" ht="17.399999999999999" x14ac:dyDescent="0.25">
      <c r="A2105" s="16"/>
      <c r="B2105" s="17"/>
      <c r="C2105" s="2" t="b">
        <v>0</v>
      </c>
      <c r="D2105" s="2"/>
      <c r="E2105" s="2"/>
      <c r="F2105" s="2"/>
      <c r="G2105" s="2"/>
      <c r="H2105" s="2"/>
      <c r="I2105" s="5"/>
    </row>
    <row r="2106" spans="1:9" ht="17.399999999999999" x14ac:dyDescent="0.25">
      <c r="A2106" s="16"/>
      <c r="B2106" s="17"/>
      <c r="C2106" s="2" t="b">
        <v>0</v>
      </c>
      <c r="D2106" s="2"/>
      <c r="E2106" s="2"/>
      <c r="F2106" s="2"/>
      <c r="G2106" s="2"/>
      <c r="H2106" s="2"/>
      <c r="I2106" s="5"/>
    </row>
    <row r="2107" spans="1:9" ht="17.399999999999999" x14ac:dyDescent="0.25">
      <c r="A2107" s="16"/>
      <c r="B2107" s="17"/>
      <c r="C2107" s="2" t="b">
        <v>0</v>
      </c>
      <c r="D2107" s="2"/>
      <c r="E2107" s="2"/>
      <c r="F2107" s="2"/>
      <c r="G2107" s="2"/>
      <c r="H2107" s="2"/>
      <c r="I2107" s="5"/>
    </row>
    <row r="2108" spans="1:9" ht="17.399999999999999" x14ac:dyDescent="0.25">
      <c r="A2108" s="16"/>
      <c r="B2108" s="17"/>
      <c r="C2108" s="2" t="b">
        <v>0</v>
      </c>
      <c r="D2108" s="2"/>
      <c r="E2108" s="2"/>
      <c r="F2108" s="2"/>
      <c r="G2108" s="2"/>
      <c r="H2108" s="2"/>
      <c r="I2108" s="5"/>
    </row>
    <row r="2109" spans="1:9" ht="17.399999999999999" x14ac:dyDescent="0.25">
      <c r="A2109" s="16"/>
      <c r="B2109" s="17"/>
      <c r="C2109" s="2" t="b">
        <v>0</v>
      </c>
      <c r="D2109" s="2"/>
      <c r="E2109" s="2"/>
      <c r="F2109" s="2"/>
      <c r="G2109" s="2"/>
      <c r="H2109" s="2"/>
      <c r="I2109" s="5"/>
    </row>
    <row r="2110" spans="1:9" ht="17.399999999999999" x14ac:dyDescent="0.25">
      <c r="A2110" s="16"/>
      <c r="B2110" s="17"/>
      <c r="C2110" s="2" t="b">
        <v>0</v>
      </c>
      <c r="D2110" s="2"/>
      <c r="E2110" s="2"/>
      <c r="F2110" s="2"/>
      <c r="G2110" s="2"/>
      <c r="H2110" s="2"/>
      <c r="I2110" s="5"/>
    </row>
    <row r="2111" spans="1:9" ht="17.399999999999999" x14ac:dyDescent="0.25">
      <c r="A2111" s="16"/>
      <c r="B2111" s="17"/>
      <c r="C2111" s="2" t="b">
        <v>0</v>
      </c>
      <c r="D2111" s="2"/>
      <c r="E2111" s="2"/>
      <c r="F2111" s="2"/>
      <c r="G2111" s="2"/>
      <c r="H2111" s="2"/>
      <c r="I2111" s="5"/>
    </row>
    <row r="2112" spans="1:9" ht="17.399999999999999" x14ac:dyDescent="0.25">
      <c r="A2112" s="16"/>
      <c r="B2112" s="17"/>
      <c r="C2112" s="2" t="b">
        <v>0</v>
      </c>
      <c r="D2112" s="2"/>
      <c r="E2112" s="2"/>
      <c r="F2112" s="2"/>
      <c r="G2112" s="2"/>
      <c r="H2112" s="2"/>
      <c r="I2112" s="5"/>
    </row>
    <row r="2113" spans="1:9" ht="17.399999999999999" x14ac:dyDescent="0.25">
      <c r="A2113" s="16"/>
      <c r="B2113" s="17"/>
      <c r="C2113" s="2" t="b">
        <v>0</v>
      </c>
      <c r="D2113" s="2"/>
      <c r="E2113" s="2"/>
      <c r="F2113" s="2"/>
      <c r="G2113" s="2"/>
      <c r="H2113" s="2"/>
      <c r="I2113" s="5"/>
    </row>
    <row r="2114" spans="1:9" ht="17.399999999999999" x14ac:dyDescent="0.25">
      <c r="A2114" s="16"/>
      <c r="B2114" s="17"/>
      <c r="C2114" s="2" t="b">
        <v>0</v>
      </c>
      <c r="D2114" s="2"/>
      <c r="E2114" s="2"/>
      <c r="F2114" s="2"/>
      <c r="G2114" s="2"/>
      <c r="H2114" s="2"/>
      <c r="I2114" s="5"/>
    </row>
    <row r="2115" spans="1:9" ht="17.399999999999999" x14ac:dyDescent="0.25">
      <c r="A2115" s="16"/>
      <c r="B2115" s="17"/>
      <c r="C2115" s="2" t="b">
        <v>0</v>
      </c>
      <c r="D2115" s="2"/>
      <c r="E2115" s="2"/>
      <c r="F2115" s="2"/>
      <c r="G2115" s="2"/>
      <c r="H2115" s="2"/>
      <c r="I2115" s="5"/>
    </row>
    <row r="2116" spans="1:9" ht="17.399999999999999" x14ac:dyDescent="0.25">
      <c r="A2116" s="16"/>
      <c r="B2116" s="17"/>
      <c r="C2116" s="2" t="b">
        <v>0</v>
      </c>
      <c r="D2116" s="2"/>
      <c r="E2116" s="2"/>
      <c r="F2116" s="2"/>
      <c r="G2116" s="2"/>
      <c r="H2116" s="2"/>
      <c r="I2116" s="5"/>
    </row>
    <row r="2117" spans="1:9" ht="17.399999999999999" x14ac:dyDescent="0.25">
      <c r="A2117" s="16"/>
      <c r="B2117" s="17"/>
      <c r="C2117" s="2" t="b">
        <v>0</v>
      </c>
      <c r="D2117" s="2"/>
      <c r="E2117" s="2"/>
      <c r="F2117" s="2"/>
      <c r="G2117" s="2"/>
      <c r="H2117" s="2"/>
      <c r="I2117" s="5"/>
    </row>
    <row r="2118" spans="1:9" ht="17.399999999999999" x14ac:dyDescent="0.25">
      <c r="A2118" s="16"/>
      <c r="B2118" s="17"/>
      <c r="C2118" s="2" t="b">
        <v>0</v>
      </c>
      <c r="D2118" s="2"/>
      <c r="E2118" s="2"/>
      <c r="F2118" s="2"/>
      <c r="G2118" s="2"/>
      <c r="H2118" s="2"/>
      <c r="I2118" s="5"/>
    </row>
    <row r="2119" spans="1:9" ht="17.399999999999999" x14ac:dyDescent="0.25">
      <c r="A2119" s="16"/>
      <c r="B2119" s="17"/>
      <c r="C2119" s="2" t="b">
        <v>0</v>
      </c>
      <c r="D2119" s="2"/>
      <c r="E2119" s="2"/>
      <c r="F2119" s="2"/>
      <c r="G2119" s="2"/>
      <c r="H2119" s="2"/>
      <c r="I2119" s="5"/>
    </row>
    <row r="2120" spans="1:9" ht="17.399999999999999" x14ac:dyDescent="0.25">
      <c r="A2120" s="16"/>
      <c r="B2120" s="17"/>
      <c r="C2120" s="2" t="b">
        <v>0</v>
      </c>
      <c r="D2120" s="2"/>
      <c r="E2120" s="2"/>
      <c r="F2120" s="2"/>
      <c r="G2120" s="2"/>
      <c r="H2120" s="2"/>
      <c r="I2120" s="5"/>
    </row>
    <row r="2121" spans="1:9" ht="17.399999999999999" x14ac:dyDescent="0.25">
      <c r="A2121" s="16"/>
      <c r="B2121" s="17"/>
      <c r="C2121" s="2" t="b">
        <v>0</v>
      </c>
      <c r="D2121" s="2"/>
      <c r="E2121" s="2"/>
      <c r="F2121" s="2"/>
      <c r="G2121" s="2"/>
      <c r="H2121" s="2"/>
      <c r="I2121" s="5"/>
    </row>
    <row r="2122" spans="1:9" ht="17.399999999999999" x14ac:dyDescent="0.25">
      <c r="A2122" s="16"/>
      <c r="B2122" s="17"/>
      <c r="C2122" s="2" t="b">
        <v>0</v>
      </c>
      <c r="D2122" s="2"/>
      <c r="E2122" s="2"/>
      <c r="F2122" s="2"/>
      <c r="G2122" s="2"/>
      <c r="H2122" s="2"/>
      <c r="I2122" s="5"/>
    </row>
    <row r="2123" spans="1:9" ht="17.399999999999999" x14ac:dyDescent="0.25">
      <c r="A2123" s="16"/>
      <c r="B2123" s="17"/>
      <c r="C2123" s="2" t="b">
        <v>0</v>
      </c>
      <c r="D2123" s="2"/>
      <c r="E2123" s="2"/>
      <c r="F2123" s="2"/>
      <c r="G2123" s="2"/>
      <c r="H2123" s="2"/>
      <c r="I2123" s="5"/>
    </row>
    <row r="2124" spans="1:9" ht="17.399999999999999" x14ac:dyDescent="0.25">
      <c r="A2124" s="16"/>
      <c r="B2124" s="17"/>
      <c r="C2124" s="2" t="b">
        <v>0</v>
      </c>
      <c r="D2124" s="2"/>
      <c r="E2124" s="2"/>
      <c r="F2124" s="2"/>
      <c r="G2124" s="2"/>
      <c r="H2124" s="2"/>
      <c r="I2124" s="5"/>
    </row>
    <row r="2125" spans="1:9" ht="17.399999999999999" x14ac:dyDescent="0.25">
      <c r="A2125" s="16"/>
      <c r="B2125" s="17"/>
      <c r="C2125" s="2" t="b">
        <v>0</v>
      </c>
      <c r="D2125" s="2"/>
      <c r="E2125" s="2"/>
      <c r="F2125" s="2"/>
      <c r="G2125" s="2"/>
      <c r="H2125" s="2"/>
      <c r="I2125" s="5"/>
    </row>
    <row r="2126" spans="1:9" ht="17.399999999999999" x14ac:dyDescent="0.25">
      <c r="A2126" s="16"/>
      <c r="B2126" s="17"/>
      <c r="C2126" s="2" t="b">
        <v>0</v>
      </c>
      <c r="D2126" s="2"/>
      <c r="E2126" s="2"/>
      <c r="F2126" s="2"/>
      <c r="G2126" s="2"/>
      <c r="H2126" s="2"/>
      <c r="I2126" s="5"/>
    </row>
    <row r="2127" spans="1:9" ht="17.399999999999999" x14ac:dyDescent="0.25">
      <c r="A2127" s="16"/>
      <c r="B2127" s="17"/>
      <c r="C2127" s="2" t="b">
        <v>0</v>
      </c>
      <c r="D2127" s="2"/>
      <c r="E2127" s="2"/>
      <c r="F2127" s="2"/>
      <c r="G2127" s="2"/>
      <c r="H2127" s="2"/>
      <c r="I2127" s="5"/>
    </row>
    <row r="2128" spans="1:9" ht="17.399999999999999" x14ac:dyDescent="0.25">
      <c r="A2128" s="16"/>
      <c r="B2128" s="17"/>
      <c r="C2128" s="2" t="b">
        <v>0</v>
      </c>
      <c r="D2128" s="2"/>
      <c r="E2128" s="2"/>
      <c r="F2128" s="2"/>
      <c r="G2128" s="2"/>
      <c r="H2128" s="2"/>
      <c r="I2128" s="5"/>
    </row>
    <row r="2129" spans="1:9" ht="17.399999999999999" x14ac:dyDescent="0.25">
      <c r="A2129" s="16"/>
      <c r="B2129" s="17"/>
      <c r="C2129" s="2" t="b">
        <v>0</v>
      </c>
      <c r="D2129" s="2"/>
      <c r="E2129" s="2"/>
      <c r="F2129" s="2"/>
      <c r="G2129" s="2"/>
      <c r="H2129" s="2"/>
      <c r="I2129" s="5"/>
    </row>
    <row r="2130" spans="1:9" ht="17.399999999999999" x14ac:dyDescent="0.25">
      <c r="A2130" s="16"/>
      <c r="B2130" s="17"/>
      <c r="C2130" s="2" t="b">
        <v>0</v>
      </c>
      <c r="D2130" s="2"/>
      <c r="E2130" s="2"/>
      <c r="F2130" s="2"/>
      <c r="G2130" s="2"/>
      <c r="H2130" s="2"/>
      <c r="I2130" s="5"/>
    </row>
    <row r="2131" spans="1:9" ht="17.399999999999999" x14ac:dyDescent="0.25">
      <c r="A2131" s="16"/>
      <c r="B2131" s="17"/>
      <c r="C2131" s="2" t="b">
        <v>0</v>
      </c>
      <c r="D2131" s="2"/>
      <c r="E2131" s="2"/>
      <c r="F2131" s="2"/>
      <c r="G2131" s="2"/>
      <c r="H2131" s="2"/>
      <c r="I2131" s="5"/>
    </row>
    <row r="2132" spans="1:9" ht="17.399999999999999" x14ac:dyDescent="0.25">
      <c r="A2132" s="16"/>
      <c r="B2132" s="17"/>
      <c r="C2132" s="2" t="b">
        <v>0</v>
      </c>
      <c r="D2132" s="2"/>
      <c r="E2132" s="2"/>
      <c r="F2132" s="2"/>
      <c r="G2132" s="2"/>
      <c r="H2132" s="2"/>
      <c r="I2132" s="5"/>
    </row>
    <row r="2133" spans="1:9" ht="17.399999999999999" x14ac:dyDescent="0.25">
      <c r="A2133" s="16"/>
      <c r="B2133" s="17"/>
      <c r="C2133" s="2" t="b">
        <v>0</v>
      </c>
      <c r="D2133" s="2"/>
      <c r="E2133" s="2"/>
      <c r="F2133" s="2"/>
      <c r="G2133" s="2"/>
      <c r="H2133" s="2"/>
      <c r="I2133" s="5"/>
    </row>
    <row r="2134" spans="1:9" ht="17.399999999999999" x14ac:dyDescent="0.25">
      <c r="A2134" s="16"/>
      <c r="B2134" s="17"/>
      <c r="C2134" s="2" t="b">
        <v>0</v>
      </c>
      <c r="D2134" s="2"/>
      <c r="E2134" s="2"/>
      <c r="F2134" s="2"/>
      <c r="G2134" s="2"/>
      <c r="H2134" s="2"/>
      <c r="I2134" s="5"/>
    </row>
    <row r="2135" spans="1:9" ht="17.399999999999999" x14ac:dyDescent="0.25">
      <c r="A2135" s="16"/>
      <c r="B2135" s="17"/>
      <c r="C2135" s="2" t="b">
        <v>0</v>
      </c>
      <c r="D2135" s="2"/>
      <c r="E2135" s="2"/>
      <c r="F2135" s="2"/>
      <c r="G2135" s="2"/>
      <c r="H2135" s="2"/>
      <c r="I2135" s="5"/>
    </row>
    <row r="2136" spans="1:9" ht="17.399999999999999" x14ac:dyDescent="0.25">
      <c r="A2136" s="16"/>
      <c r="B2136" s="17"/>
      <c r="C2136" s="2" t="b">
        <v>0</v>
      </c>
      <c r="D2136" s="2"/>
      <c r="E2136" s="2"/>
      <c r="F2136" s="2"/>
      <c r="G2136" s="2"/>
      <c r="H2136" s="2"/>
      <c r="I2136" s="5"/>
    </row>
    <row r="2137" spans="1:9" ht="17.399999999999999" x14ac:dyDescent="0.25">
      <c r="A2137" s="16"/>
      <c r="B2137" s="17"/>
      <c r="C2137" s="2" t="b">
        <v>0</v>
      </c>
      <c r="D2137" s="2"/>
      <c r="E2137" s="2"/>
      <c r="F2137" s="2"/>
      <c r="G2137" s="2"/>
      <c r="H2137" s="2"/>
      <c r="I2137" s="5"/>
    </row>
    <row r="2138" spans="1:9" ht="17.399999999999999" x14ac:dyDescent="0.25">
      <c r="A2138" s="16"/>
      <c r="B2138" s="17"/>
      <c r="C2138" s="2" t="b">
        <v>0</v>
      </c>
      <c r="D2138" s="2"/>
      <c r="E2138" s="2"/>
      <c r="F2138" s="2"/>
      <c r="G2138" s="2"/>
      <c r="H2138" s="2"/>
      <c r="I2138" s="5"/>
    </row>
    <row r="2139" spans="1:9" ht="17.399999999999999" x14ac:dyDescent="0.25">
      <c r="A2139" s="16"/>
      <c r="B2139" s="17"/>
      <c r="C2139" s="2" t="b">
        <v>0</v>
      </c>
      <c r="D2139" s="2"/>
      <c r="E2139" s="2"/>
      <c r="F2139" s="2"/>
      <c r="G2139" s="2"/>
      <c r="H2139" s="2"/>
      <c r="I2139" s="5"/>
    </row>
    <row r="2140" spans="1:9" ht="17.399999999999999" x14ac:dyDescent="0.25">
      <c r="A2140" s="16"/>
      <c r="B2140" s="17"/>
      <c r="C2140" s="2" t="b">
        <v>0</v>
      </c>
      <c r="D2140" s="2"/>
      <c r="E2140" s="2"/>
      <c r="F2140" s="2"/>
      <c r="G2140" s="2"/>
      <c r="H2140" s="2"/>
      <c r="I2140" s="5"/>
    </row>
    <row r="2141" spans="1:9" ht="17.399999999999999" x14ac:dyDescent="0.25">
      <c r="A2141" s="16"/>
      <c r="B2141" s="17"/>
      <c r="C2141" s="2" t="b">
        <v>0</v>
      </c>
      <c r="D2141" s="2"/>
      <c r="E2141" s="2"/>
      <c r="F2141" s="2"/>
      <c r="G2141" s="2"/>
      <c r="H2141" s="2"/>
      <c r="I2141" s="5"/>
    </row>
    <row r="2142" spans="1:9" ht="17.399999999999999" x14ac:dyDescent="0.25">
      <c r="A2142" s="16"/>
      <c r="B2142" s="17"/>
      <c r="C2142" s="2" t="b">
        <v>0</v>
      </c>
      <c r="D2142" s="2"/>
      <c r="E2142" s="2"/>
      <c r="F2142" s="2"/>
      <c r="G2142" s="2"/>
      <c r="H2142" s="2"/>
      <c r="I2142" s="5"/>
    </row>
    <row r="2143" spans="1:9" ht="17.399999999999999" x14ac:dyDescent="0.25">
      <c r="A2143" s="16"/>
      <c r="B2143" s="17"/>
      <c r="C2143" s="2" t="b">
        <v>0</v>
      </c>
      <c r="D2143" s="2"/>
      <c r="E2143" s="2"/>
      <c r="F2143" s="2"/>
      <c r="G2143" s="2"/>
      <c r="H2143" s="2"/>
      <c r="I2143" s="5"/>
    </row>
    <row r="2144" spans="1:9" ht="17.399999999999999" x14ac:dyDescent="0.25">
      <c r="A2144" s="16"/>
      <c r="B2144" s="17"/>
      <c r="C2144" s="2" t="b">
        <v>0</v>
      </c>
      <c r="D2144" s="2"/>
      <c r="E2144" s="2"/>
      <c r="F2144" s="2"/>
      <c r="G2144" s="2"/>
      <c r="H2144" s="2"/>
      <c r="I2144" s="5"/>
    </row>
    <row r="2145" spans="1:9" ht="17.399999999999999" x14ac:dyDescent="0.25">
      <c r="A2145" s="16"/>
      <c r="B2145" s="17"/>
      <c r="C2145" s="2" t="b">
        <v>0</v>
      </c>
      <c r="D2145" s="2"/>
      <c r="E2145" s="2"/>
      <c r="F2145" s="2"/>
      <c r="G2145" s="2"/>
      <c r="H2145" s="2"/>
      <c r="I2145" s="5"/>
    </row>
    <row r="2146" spans="1:9" ht="17.399999999999999" x14ac:dyDescent="0.25">
      <c r="A2146" s="16"/>
      <c r="B2146" s="17"/>
      <c r="C2146" s="2" t="b">
        <v>0</v>
      </c>
      <c r="D2146" s="2"/>
      <c r="E2146" s="2"/>
      <c r="F2146" s="2"/>
      <c r="G2146" s="2"/>
      <c r="H2146" s="2"/>
      <c r="I2146" s="5"/>
    </row>
    <row r="2147" spans="1:9" ht="17.399999999999999" x14ac:dyDescent="0.25">
      <c r="A2147" s="16"/>
      <c r="B2147" s="17"/>
      <c r="C2147" s="2" t="b">
        <v>0</v>
      </c>
      <c r="D2147" s="2"/>
      <c r="E2147" s="2"/>
      <c r="F2147" s="2"/>
      <c r="G2147" s="2"/>
      <c r="H2147" s="2"/>
      <c r="I2147" s="5"/>
    </row>
    <row r="2148" spans="1:9" ht="17.399999999999999" x14ac:dyDescent="0.25">
      <c r="A2148" s="16"/>
      <c r="B2148" s="17"/>
      <c r="C2148" s="2" t="b">
        <v>0</v>
      </c>
      <c r="D2148" s="2"/>
      <c r="E2148" s="2"/>
      <c r="F2148" s="2"/>
      <c r="G2148" s="2"/>
      <c r="H2148" s="2"/>
      <c r="I2148" s="5"/>
    </row>
    <row r="2149" spans="1:9" ht="17.399999999999999" x14ac:dyDescent="0.25">
      <c r="A2149" s="16"/>
      <c r="B2149" s="17"/>
      <c r="C2149" s="2" t="b">
        <v>0</v>
      </c>
      <c r="D2149" s="2"/>
      <c r="E2149" s="2"/>
      <c r="F2149" s="2"/>
      <c r="G2149" s="2"/>
      <c r="H2149" s="2"/>
      <c r="I2149" s="5"/>
    </row>
    <row r="2150" spans="1:9" ht="17.399999999999999" x14ac:dyDescent="0.25">
      <c r="A2150" s="16"/>
      <c r="B2150" s="17"/>
      <c r="C2150" s="2" t="b">
        <v>0</v>
      </c>
      <c r="D2150" s="2"/>
      <c r="E2150" s="2"/>
      <c r="F2150" s="2"/>
      <c r="G2150" s="2"/>
      <c r="H2150" s="2"/>
      <c r="I2150" s="5"/>
    </row>
    <row r="2151" spans="1:9" ht="17.399999999999999" x14ac:dyDescent="0.25">
      <c r="A2151" s="16"/>
      <c r="B2151" s="17"/>
      <c r="C2151" s="2" t="b">
        <v>0</v>
      </c>
      <c r="D2151" s="2"/>
      <c r="E2151" s="2"/>
      <c r="F2151" s="2"/>
      <c r="G2151" s="2"/>
      <c r="H2151" s="2"/>
      <c r="I2151" s="5"/>
    </row>
    <row r="2152" spans="1:9" ht="17.399999999999999" x14ac:dyDescent="0.25">
      <c r="A2152" s="16"/>
      <c r="B2152" s="17"/>
      <c r="C2152" s="2" t="b">
        <v>0</v>
      </c>
      <c r="D2152" s="2"/>
      <c r="E2152" s="2"/>
      <c r="F2152" s="2"/>
      <c r="G2152" s="2"/>
      <c r="H2152" s="2"/>
      <c r="I2152" s="5"/>
    </row>
    <row r="2153" spans="1:9" ht="17.399999999999999" x14ac:dyDescent="0.25">
      <c r="A2153" s="16"/>
      <c r="B2153" s="17"/>
      <c r="C2153" s="2" t="b">
        <v>0</v>
      </c>
      <c r="D2153" s="2"/>
      <c r="E2153" s="2"/>
      <c r="F2153" s="2"/>
      <c r="G2153" s="2"/>
      <c r="H2153" s="2"/>
      <c r="I2153" s="5"/>
    </row>
    <row r="2154" spans="1:9" ht="17.399999999999999" x14ac:dyDescent="0.25">
      <c r="A2154" s="16"/>
      <c r="B2154" s="17"/>
      <c r="C2154" s="2" t="b">
        <v>0</v>
      </c>
      <c r="D2154" s="2"/>
      <c r="E2154" s="2"/>
      <c r="F2154" s="2"/>
      <c r="G2154" s="2"/>
      <c r="H2154" s="2"/>
      <c r="I2154" s="5"/>
    </row>
    <row r="2155" spans="1:9" ht="17.399999999999999" x14ac:dyDescent="0.25">
      <c r="A2155" s="16"/>
      <c r="B2155" s="17"/>
      <c r="C2155" s="2" t="b">
        <v>0</v>
      </c>
      <c r="D2155" s="2"/>
      <c r="E2155" s="2"/>
      <c r="F2155" s="2"/>
      <c r="G2155" s="2"/>
      <c r="H2155" s="2"/>
      <c r="I2155" s="5"/>
    </row>
    <row r="2156" spans="1:9" ht="17.399999999999999" x14ac:dyDescent="0.25">
      <c r="A2156" s="16"/>
      <c r="B2156" s="17"/>
      <c r="C2156" s="2" t="b">
        <v>0</v>
      </c>
      <c r="D2156" s="2"/>
      <c r="E2156" s="2"/>
      <c r="F2156" s="2"/>
      <c r="G2156" s="2"/>
      <c r="H2156" s="2"/>
      <c r="I2156" s="5"/>
    </row>
    <row r="2157" spans="1:9" ht="17.399999999999999" x14ac:dyDescent="0.25">
      <c r="A2157" s="16"/>
      <c r="B2157" s="17"/>
      <c r="C2157" s="2" t="b">
        <v>0</v>
      </c>
      <c r="D2157" s="2"/>
      <c r="E2157" s="2"/>
      <c r="F2157" s="2"/>
      <c r="G2157" s="2"/>
      <c r="H2157" s="2"/>
      <c r="I2157" s="5"/>
    </row>
    <row r="2158" spans="1:9" ht="17.399999999999999" x14ac:dyDescent="0.25">
      <c r="A2158" s="16"/>
      <c r="B2158" s="17"/>
      <c r="C2158" s="2" t="b">
        <v>0</v>
      </c>
      <c r="D2158" s="2"/>
      <c r="E2158" s="2"/>
      <c r="F2158" s="2"/>
      <c r="G2158" s="2"/>
      <c r="H2158" s="2"/>
      <c r="I2158" s="5"/>
    </row>
    <row r="2159" spans="1:9" ht="17.399999999999999" x14ac:dyDescent="0.25">
      <c r="A2159" s="16"/>
      <c r="B2159" s="17"/>
      <c r="C2159" s="2" t="b">
        <v>0</v>
      </c>
      <c r="D2159" s="2"/>
      <c r="E2159" s="2"/>
      <c r="F2159" s="2"/>
      <c r="G2159" s="2"/>
      <c r="H2159" s="2"/>
      <c r="I2159" s="5"/>
    </row>
    <row r="2160" spans="1:9" ht="17.399999999999999" x14ac:dyDescent="0.25">
      <c r="A2160" s="16"/>
      <c r="B2160" s="17"/>
      <c r="C2160" s="2" t="b">
        <v>0</v>
      </c>
      <c r="D2160" s="2"/>
      <c r="E2160" s="2"/>
      <c r="F2160" s="2"/>
      <c r="G2160" s="2"/>
      <c r="H2160" s="2"/>
      <c r="I2160" s="5"/>
    </row>
    <row r="2161" spans="1:9" ht="17.399999999999999" x14ac:dyDescent="0.25">
      <c r="A2161" s="16"/>
      <c r="B2161" s="17"/>
      <c r="C2161" s="2" t="b">
        <v>0</v>
      </c>
      <c r="D2161" s="2"/>
      <c r="E2161" s="2"/>
      <c r="F2161" s="2"/>
      <c r="G2161" s="2"/>
      <c r="H2161" s="2"/>
      <c r="I2161" s="5"/>
    </row>
    <row r="2162" spans="1:9" ht="17.399999999999999" x14ac:dyDescent="0.25">
      <c r="A2162" s="16"/>
      <c r="B2162" s="17"/>
      <c r="C2162" s="2" t="b">
        <v>0</v>
      </c>
      <c r="D2162" s="2"/>
      <c r="E2162" s="2"/>
      <c r="F2162" s="2"/>
      <c r="G2162" s="2"/>
      <c r="H2162" s="2"/>
      <c r="I2162" s="5"/>
    </row>
    <row r="2163" spans="1:9" ht="17.399999999999999" x14ac:dyDescent="0.25">
      <c r="A2163" s="16"/>
      <c r="B2163" s="17"/>
      <c r="C2163" s="2" t="b">
        <v>0</v>
      </c>
      <c r="D2163" s="2"/>
      <c r="E2163" s="2"/>
      <c r="F2163" s="2"/>
      <c r="G2163" s="2"/>
      <c r="H2163" s="2"/>
      <c r="I2163" s="5"/>
    </row>
    <row r="2164" spans="1:9" ht="17.399999999999999" x14ac:dyDescent="0.25">
      <c r="A2164" s="16"/>
      <c r="B2164" s="17"/>
      <c r="C2164" s="2" t="b">
        <v>0</v>
      </c>
      <c r="D2164" s="2"/>
      <c r="E2164" s="2"/>
      <c r="F2164" s="2"/>
      <c r="G2164" s="2"/>
      <c r="H2164" s="2"/>
      <c r="I2164" s="5"/>
    </row>
    <row r="2165" spans="1:9" ht="17.399999999999999" x14ac:dyDescent="0.25">
      <c r="A2165" s="16"/>
      <c r="B2165" s="17"/>
      <c r="C2165" s="2" t="b">
        <v>0</v>
      </c>
      <c r="D2165" s="2"/>
      <c r="E2165" s="2"/>
      <c r="F2165" s="2"/>
      <c r="G2165" s="2"/>
      <c r="H2165" s="2"/>
      <c r="I2165" s="5"/>
    </row>
    <row r="2166" spans="1:9" ht="17.399999999999999" x14ac:dyDescent="0.25">
      <c r="A2166" s="16"/>
      <c r="B2166" s="17"/>
      <c r="C2166" s="2" t="b">
        <v>0</v>
      </c>
      <c r="D2166" s="2"/>
      <c r="E2166" s="2"/>
      <c r="F2166" s="2"/>
      <c r="G2166" s="2"/>
      <c r="H2166" s="2"/>
      <c r="I2166" s="5"/>
    </row>
    <row r="2167" spans="1:9" ht="17.399999999999999" x14ac:dyDescent="0.25">
      <c r="A2167" s="16"/>
      <c r="B2167" s="17"/>
      <c r="C2167" s="2" t="b">
        <v>0</v>
      </c>
      <c r="D2167" s="2"/>
      <c r="E2167" s="2"/>
      <c r="F2167" s="2"/>
      <c r="G2167" s="2"/>
      <c r="H2167" s="2"/>
      <c r="I2167" s="5"/>
    </row>
    <row r="2168" spans="1:9" ht="17.399999999999999" x14ac:dyDescent="0.25">
      <c r="A2168" s="16"/>
      <c r="B2168" s="17"/>
      <c r="C2168" s="2" t="b">
        <v>0</v>
      </c>
      <c r="D2168" s="2"/>
      <c r="E2168" s="2"/>
      <c r="F2168" s="2"/>
      <c r="G2168" s="2"/>
      <c r="H2168" s="2"/>
      <c r="I2168" s="5"/>
    </row>
    <row r="2169" spans="1:9" ht="17.399999999999999" x14ac:dyDescent="0.25">
      <c r="A2169" s="16"/>
      <c r="B2169" s="17"/>
      <c r="C2169" s="2" t="b">
        <v>0</v>
      </c>
      <c r="D2169" s="2"/>
      <c r="E2169" s="2"/>
      <c r="F2169" s="2"/>
      <c r="G2169" s="2"/>
      <c r="H2169" s="2"/>
      <c r="I2169" s="5"/>
    </row>
    <row r="2170" spans="1:9" ht="17.399999999999999" x14ac:dyDescent="0.25">
      <c r="A2170" s="16"/>
      <c r="B2170" s="17"/>
      <c r="C2170" s="2" t="b">
        <v>0</v>
      </c>
      <c r="D2170" s="2"/>
      <c r="E2170" s="2"/>
      <c r="F2170" s="2"/>
      <c r="G2170" s="2"/>
      <c r="H2170" s="2"/>
      <c r="I2170" s="5"/>
    </row>
    <row r="2171" spans="1:9" ht="17.399999999999999" x14ac:dyDescent="0.25">
      <c r="A2171" s="16"/>
      <c r="B2171" s="17"/>
      <c r="C2171" s="2" t="b">
        <v>0</v>
      </c>
      <c r="D2171" s="2"/>
      <c r="E2171" s="2"/>
      <c r="F2171" s="2"/>
      <c r="G2171" s="2"/>
      <c r="H2171" s="2"/>
      <c r="I2171" s="5"/>
    </row>
    <row r="2172" spans="1:9" ht="17.399999999999999" x14ac:dyDescent="0.25">
      <c r="A2172" s="16"/>
      <c r="B2172" s="17"/>
      <c r="C2172" s="2" t="b">
        <v>0</v>
      </c>
      <c r="D2172" s="2"/>
      <c r="E2172" s="2"/>
      <c r="F2172" s="2"/>
      <c r="G2172" s="2"/>
      <c r="H2172" s="2"/>
      <c r="I2172" s="5"/>
    </row>
    <row r="2173" spans="1:9" ht="17.399999999999999" x14ac:dyDescent="0.25">
      <c r="A2173" s="16"/>
      <c r="B2173" s="17"/>
      <c r="C2173" s="2" t="b">
        <v>0</v>
      </c>
      <c r="D2173" s="2"/>
      <c r="E2173" s="2"/>
      <c r="F2173" s="2"/>
      <c r="G2173" s="2"/>
      <c r="H2173" s="2"/>
      <c r="I2173" s="5"/>
    </row>
    <row r="2174" spans="1:9" ht="17.399999999999999" x14ac:dyDescent="0.25">
      <c r="A2174" s="16"/>
      <c r="B2174" s="17"/>
      <c r="C2174" s="2" t="b">
        <v>0</v>
      </c>
      <c r="D2174" s="2"/>
      <c r="E2174" s="2"/>
      <c r="F2174" s="2"/>
      <c r="G2174" s="2"/>
      <c r="H2174" s="2"/>
      <c r="I2174" s="5"/>
    </row>
    <row r="2175" spans="1:9" ht="17.399999999999999" x14ac:dyDescent="0.25">
      <c r="A2175" s="16"/>
      <c r="B2175" s="17"/>
      <c r="C2175" s="2" t="b">
        <v>0</v>
      </c>
      <c r="D2175" s="2"/>
      <c r="E2175" s="2"/>
      <c r="F2175" s="2"/>
      <c r="G2175" s="2"/>
      <c r="H2175" s="2"/>
      <c r="I2175" s="5"/>
    </row>
    <row r="2176" spans="1:9" ht="17.399999999999999" x14ac:dyDescent="0.25">
      <c r="A2176" s="16"/>
      <c r="B2176" s="17"/>
      <c r="C2176" s="2" t="b">
        <v>0</v>
      </c>
      <c r="D2176" s="2"/>
      <c r="E2176" s="2"/>
      <c r="F2176" s="2"/>
      <c r="G2176" s="2"/>
      <c r="H2176" s="2"/>
      <c r="I2176" s="5"/>
    </row>
    <row r="2177" spans="1:9" ht="17.399999999999999" x14ac:dyDescent="0.25">
      <c r="A2177" s="16"/>
      <c r="B2177" s="17"/>
      <c r="C2177" s="2" t="b">
        <v>0</v>
      </c>
      <c r="D2177" s="2"/>
      <c r="E2177" s="2"/>
      <c r="F2177" s="2"/>
      <c r="G2177" s="2"/>
      <c r="H2177" s="2"/>
      <c r="I2177" s="5"/>
    </row>
    <row r="2178" spans="1:9" ht="17.399999999999999" x14ac:dyDescent="0.25">
      <c r="A2178" s="16"/>
      <c r="B2178" s="17"/>
      <c r="C2178" s="2" t="b">
        <v>0</v>
      </c>
      <c r="D2178" s="2"/>
      <c r="E2178" s="2"/>
      <c r="F2178" s="2"/>
      <c r="G2178" s="2"/>
      <c r="H2178" s="2"/>
      <c r="I2178" s="5"/>
    </row>
    <row r="2179" spans="1:9" ht="17.399999999999999" x14ac:dyDescent="0.25">
      <c r="A2179" s="16"/>
      <c r="B2179" s="17"/>
      <c r="C2179" s="2" t="b">
        <v>0</v>
      </c>
      <c r="D2179" s="2"/>
      <c r="E2179" s="2"/>
      <c r="F2179" s="2"/>
      <c r="G2179" s="2"/>
      <c r="H2179" s="2"/>
      <c r="I2179" s="5"/>
    </row>
    <row r="2180" spans="1:9" ht="17.399999999999999" x14ac:dyDescent="0.25">
      <c r="A2180" s="16"/>
      <c r="B2180" s="17"/>
      <c r="C2180" s="2" t="b">
        <v>0</v>
      </c>
      <c r="D2180" s="2"/>
      <c r="E2180" s="2"/>
      <c r="F2180" s="2"/>
      <c r="G2180" s="2"/>
      <c r="H2180" s="2"/>
      <c r="I2180" s="5"/>
    </row>
    <row r="2181" spans="1:9" ht="17.399999999999999" x14ac:dyDescent="0.25">
      <c r="A2181" s="16"/>
      <c r="B2181" s="17"/>
      <c r="C2181" s="2" t="b">
        <v>0</v>
      </c>
      <c r="D2181" s="2"/>
      <c r="E2181" s="2"/>
      <c r="F2181" s="2"/>
      <c r="G2181" s="2"/>
      <c r="H2181" s="2"/>
      <c r="I2181" s="5"/>
    </row>
    <row r="2182" spans="1:9" ht="17.399999999999999" x14ac:dyDescent="0.25">
      <c r="A2182" s="16"/>
      <c r="B2182" s="17"/>
      <c r="C2182" s="2" t="b">
        <v>0</v>
      </c>
      <c r="D2182" s="2"/>
      <c r="E2182" s="2"/>
      <c r="F2182" s="2"/>
      <c r="G2182" s="2"/>
      <c r="H2182" s="2"/>
      <c r="I2182" s="5"/>
    </row>
    <row r="2183" spans="1:9" ht="17.399999999999999" x14ac:dyDescent="0.25">
      <c r="A2183" s="16"/>
      <c r="B2183" s="17"/>
      <c r="C2183" s="2" t="b">
        <v>0</v>
      </c>
      <c r="D2183" s="2"/>
      <c r="E2183" s="2"/>
      <c r="F2183" s="2"/>
      <c r="G2183" s="2"/>
      <c r="H2183" s="2"/>
      <c r="I2183" s="5"/>
    </row>
    <row r="2184" spans="1:9" ht="17.399999999999999" x14ac:dyDescent="0.25">
      <c r="A2184" s="16"/>
      <c r="B2184" s="17"/>
      <c r="C2184" s="2" t="b">
        <v>0</v>
      </c>
      <c r="D2184" s="2"/>
      <c r="E2184" s="2"/>
      <c r="F2184" s="2"/>
      <c r="G2184" s="2"/>
      <c r="H2184" s="2"/>
      <c r="I2184" s="5"/>
    </row>
    <row r="2185" spans="1:9" ht="17.399999999999999" x14ac:dyDescent="0.25">
      <c r="A2185" s="16"/>
      <c r="B2185" s="17"/>
      <c r="C2185" s="2" t="b">
        <v>0</v>
      </c>
      <c r="D2185" s="2"/>
      <c r="E2185" s="2"/>
      <c r="F2185" s="2"/>
      <c r="G2185" s="2"/>
      <c r="H2185" s="2"/>
      <c r="I2185" s="5"/>
    </row>
    <row r="2186" spans="1:9" ht="17.399999999999999" x14ac:dyDescent="0.25">
      <c r="A2186" s="16"/>
      <c r="B2186" s="17"/>
      <c r="C2186" s="2" t="b">
        <v>0</v>
      </c>
      <c r="D2186" s="2"/>
      <c r="E2186" s="2"/>
      <c r="F2186" s="2"/>
      <c r="G2186" s="2"/>
      <c r="H2186" s="2"/>
      <c r="I2186" s="5"/>
    </row>
    <row r="2187" spans="1:9" ht="17.399999999999999" x14ac:dyDescent="0.25">
      <c r="A2187" s="16"/>
      <c r="B2187" s="17"/>
      <c r="C2187" s="2" t="b">
        <v>0</v>
      </c>
      <c r="D2187" s="2"/>
      <c r="E2187" s="2"/>
      <c r="F2187" s="2"/>
      <c r="G2187" s="2"/>
      <c r="H2187" s="2"/>
      <c r="I2187" s="5"/>
    </row>
    <row r="2188" spans="1:9" ht="17.399999999999999" x14ac:dyDescent="0.25">
      <c r="A2188" s="16"/>
      <c r="B2188" s="17"/>
      <c r="C2188" s="2" t="b">
        <v>0</v>
      </c>
      <c r="D2188" s="2"/>
      <c r="E2188" s="2"/>
      <c r="F2188" s="2"/>
      <c r="G2188" s="2"/>
      <c r="H2188" s="2"/>
      <c r="I2188" s="5"/>
    </row>
    <row r="2189" spans="1:9" ht="17.399999999999999" x14ac:dyDescent="0.25">
      <c r="A2189" s="16"/>
      <c r="B2189" s="17"/>
      <c r="C2189" s="2" t="b">
        <v>0</v>
      </c>
      <c r="D2189" s="2"/>
      <c r="E2189" s="2"/>
      <c r="F2189" s="2"/>
      <c r="G2189" s="2"/>
      <c r="H2189" s="2"/>
      <c r="I2189" s="5"/>
    </row>
    <row r="2190" spans="1:9" ht="17.399999999999999" x14ac:dyDescent="0.25">
      <c r="A2190" s="16"/>
      <c r="B2190" s="17"/>
      <c r="C2190" s="2" t="b">
        <v>0</v>
      </c>
      <c r="D2190" s="2"/>
      <c r="E2190" s="2"/>
      <c r="F2190" s="2"/>
      <c r="G2190" s="2"/>
      <c r="H2190" s="2"/>
      <c r="I2190" s="5"/>
    </row>
    <row r="2191" spans="1:9" ht="17.399999999999999" x14ac:dyDescent="0.25">
      <c r="A2191" s="16"/>
      <c r="B2191" s="17"/>
      <c r="C2191" s="2" t="b">
        <v>0</v>
      </c>
      <c r="D2191" s="2"/>
      <c r="E2191" s="2"/>
      <c r="F2191" s="2"/>
      <c r="G2191" s="2"/>
      <c r="H2191" s="2"/>
      <c r="I2191" s="5"/>
    </row>
    <row r="2192" spans="1:9" ht="17.399999999999999" x14ac:dyDescent="0.25">
      <c r="A2192" s="16"/>
      <c r="B2192" s="17"/>
      <c r="C2192" s="2" t="b">
        <v>0</v>
      </c>
      <c r="D2192" s="2"/>
      <c r="E2192" s="2"/>
      <c r="F2192" s="2"/>
      <c r="G2192" s="2"/>
      <c r="H2192" s="2"/>
      <c r="I2192" s="5"/>
    </row>
    <row r="2193" spans="1:9" ht="17.399999999999999" x14ac:dyDescent="0.25">
      <c r="A2193" s="16"/>
      <c r="B2193" s="17"/>
      <c r="C2193" s="2" t="b">
        <v>0</v>
      </c>
      <c r="D2193" s="2"/>
      <c r="E2193" s="2"/>
      <c r="F2193" s="2"/>
      <c r="G2193" s="2"/>
      <c r="H2193" s="2"/>
      <c r="I2193" s="5"/>
    </row>
    <row r="2194" spans="1:9" ht="17.399999999999999" x14ac:dyDescent="0.25">
      <c r="A2194" s="16"/>
      <c r="B2194" s="17"/>
      <c r="C2194" s="2" t="b">
        <v>0</v>
      </c>
      <c r="D2194" s="2"/>
      <c r="E2194" s="2"/>
      <c r="F2194" s="2"/>
      <c r="G2194" s="2"/>
      <c r="H2194" s="2"/>
      <c r="I2194" s="5"/>
    </row>
    <row r="2195" spans="1:9" ht="17.399999999999999" x14ac:dyDescent="0.25">
      <c r="A2195" s="16"/>
      <c r="B2195" s="17"/>
      <c r="C2195" s="2" t="b">
        <v>0</v>
      </c>
      <c r="D2195" s="2"/>
      <c r="E2195" s="2"/>
      <c r="F2195" s="2"/>
      <c r="G2195" s="2"/>
      <c r="H2195" s="2"/>
      <c r="I2195" s="5"/>
    </row>
    <row r="2196" spans="1:9" ht="17.399999999999999" x14ac:dyDescent="0.25">
      <c r="A2196" s="16"/>
      <c r="B2196" s="17"/>
      <c r="C2196" s="2" t="b">
        <v>0</v>
      </c>
      <c r="D2196" s="2"/>
      <c r="E2196" s="2"/>
      <c r="F2196" s="2"/>
      <c r="G2196" s="2"/>
      <c r="H2196" s="2"/>
      <c r="I2196" s="5"/>
    </row>
    <row r="2197" spans="1:9" ht="17.399999999999999" x14ac:dyDescent="0.25">
      <c r="A2197" s="16"/>
      <c r="B2197" s="17"/>
      <c r="C2197" s="2" t="b">
        <v>0</v>
      </c>
      <c r="D2197" s="2"/>
      <c r="E2197" s="2"/>
      <c r="F2197" s="2"/>
      <c r="G2197" s="2"/>
      <c r="H2197" s="2"/>
      <c r="I2197" s="5"/>
    </row>
    <row r="2198" spans="1:9" ht="17.399999999999999" x14ac:dyDescent="0.25">
      <c r="A2198" s="16"/>
      <c r="B2198" s="17"/>
      <c r="C2198" s="2" t="b">
        <v>0</v>
      </c>
      <c r="D2198" s="2"/>
      <c r="E2198" s="2"/>
      <c r="F2198" s="2"/>
      <c r="G2198" s="2"/>
      <c r="H2198" s="2"/>
      <c r="I2198" s="5"/>
    </row>
    <row r="2199" spans="1:9" ht="17.399999999999999" x14ac:dyDescent="0.25">
      <c r="A2199" s="16"/>
      <c r="B2199" s="17"/>
      <c r="C2199" s="2" t="b">
        <v>0</v>
      </c>
      <c r="D2199" s="2"/>
      <c r="E2199" s="2"/>
      <c r="F2199" s="2"/>
      <c r="G2199" s="2"/>
      <c r="H2199" s="2"/>
      <c r="I2199" s="5"/>
    </row>
    <row r="2200" spans="1:9" ht="17.399999999999999" x14ac:dyDescent="0.25">
      <c r="A2200" s="16"/>
      <c r="B2200" s="17"/>
      <c r="C2200" s="2" t="b">
        <v>0</v>
      </c>
      <c r="D2200" s="2"/>
      <c r="E2200" s="2"/>
      <c r="F2200" s="2"/>
      <c r="G2200" s="2"/>
      <c r="H2200" s="2"/>
      <c r="I2200" s="5"/>
    </row>
    <row r="2201" spans="1:9" ht="17.399999999999999" x14ac:dyDescent="0.25">
      <c r="A2201" s="16"/>
      <c r="B2201" s="17"/>
      <c r="C2201" s="2" t="b">
        <v>0</v>
      </c>
      <c r="D2201" s="2"/>
      <c r="E2201" s="2"/>
      <c r="F2201" s="2"/>
      <c r="G2201" s="2"/>
      <c r="H2201" s="2"/>
      <c r="I2201" s="5"/>
    </row>
    <row r="2202" spans="1:9" ht="17.399999999999999" x14ac:dyDescent="0.25">
      <c r="A2202" s="16"/>
      <c r="B2202" s="17"/>
      <c r="C2202" s="2" t="b">
        <v>0</v>
      </c>
      <c r="D2202" s="2"/>
      <c r="E2202" s="2"/>
      <c r="F2202" s="2"/>
      <c r="G2202" s="2"/>
      <c r="H2202" s="2"/>
      <c r="I2202" s="5"/>
    </row>
    <row r="2203" spans="1:9" ht="17.399999999999999" x14ac:dyDescent="0.25">
      <c r="A2203" s="16"/>
      <c r="B2203" s="17"/>
      <c r="C2203" s="2" t="b">
        <v>0</v>
      </c>
      <c r="D2203" s="2"/>
      <c r="E2203" s="2"/>
      <c r="F2203" s="2"/>
      <c r="G2203" s="2"/>
      <c r="H2203" s="2"/>
      <c r="I2203" s="5"/>
    </row>
    <row r="2204" spans="1:9" ht="17.399999999999999" x14ac:dyDescent="0.25">
      <c r="A2204" s="16"/>
      <c r="B2204" s="17"/>
      <c r="C2204" s="2" t="b">
        <v>0</v>
      </c>
      <c r="D2204" s="2"/>
      <c r="E2204" s="2"/>
      <c r="F2204" s="2"/>
      <c r="G2204" s="2"/>
      <c r="H2204" s="2"/>
      <c r="I2204" s="5"/>
    </row>
    <row r="2205" spans="1:9" ht="17.399999999999999" x14ac:dyDescent="0.25">
      <c r="A2205" s="16"/>
      <c r="B2205" s="17"/>
      <c r="C2205" s="2" t="b">
        <v>0</v>
      </c>
      <c r="D2205" s="2"/>
      <c r="E2205" s="2"/>
      <c r="F2205" s="2"/>
      <c r="G2205" s="2"/>
      <c r="H2205" s="2"/>
      <c r="I2205" s="5"/>
    </row>
    <row r="2206" spans="1:9" ht="17.399999999999999" x14ac:dyDescent="0.25">
      <c r="A2206" s="16"/>
      <c r="B2206" s="17"/>
      <c r="C2206" s="2" t="b">
        <v>0</v>
      </c>
      <c r="D2206" s="2"/>
      <c r="E2206" s="2"/>
      <c r="F2206" s="2"/>
      <c r="G2206" s="2"/>
      <c r="H2206" s="2"/>
      <c r="I2206" s="5"/>
    </row>
    <row r="2207" spans="1:9" ht="17.399999999999999" x14ac:dyDescent="0.25">
      <c r="A2207" s="16"/>
      <c r="B2207" s="17"/>
      <c r="C2207" s="2" t="b">
        <v>0</v>
      </c>
      <c r="D2207" s="2"/>
      <c r="E2207" s="2"/>
      <c r="F2207" s="2"/>
      <c r="G2207" s="2"/>
      <c r="H2207" s="2"/>
      <c r="I2207" s="5"/>
    </row>
    <row r="2208" spans="1:9" ht="17.399999999999999" x14ac:dyDescent="0.25">
      <c r="A2208" s="16"/>
      <c r="B2208" s="17"/>
      <c r="C2208" s="2" t="b">
        <v>0</v>
      </c>
      <c r="D2208" s="2"/>
      <c r="E2208" s="2"/>
      <c r="F2208" s="2"/>
      <c r="G2208" s="2"/>
      <c r="H2208" s="2"/>
      <c r="I2208" s="5"/>
    </row>
    <row r="2209" spans="1:9" ht="17.399999999999999" x14ac:dyDescent="0.25">
      <c r="A2209" s="16"/>
      <c r="B2209" s="17"/>
      <c r="C2209" s="2" t="b">
        <v>0</v>
      </c>
      <c r="D2209" s="2"/>
      <c r="E2209" s="2"/>
      <c r="F2209" s="2"/>
      <c r="G2209" s="2"/>
      <c r="H2209" s="2"/>
      <c r="I2209" s="5"/>
    </row>
    <row r="2210" spans="1:9" ht="17.399999999999999" x14ac:dyDescent="0.25">
      <c r="A2210" s="16"/>
      <c r="B2210" s="17"/>
      <c r="C2210" s="2" t="b">
        <v>0</v>
      </c>
      <c r="D2210" s="2"/>
      <c r="E2210" s="2"/>
      <c r="F2210" s="2"/>
      <c r="G2210" s="2"/>
      <c r="H2210" s="2"/>
      <c r="I2210" s="5"/>
    </row>
    <row r="2211" spans="1:9" ht="17.399999999999999" x14ac:dyDescent="0.25">
      <c r="A2211" s="16"/>
      <c r="B2211" s="17"/>
      <c r="C2211" s="2" t="b">
        <v>0</v>
      </c>
      <c r="D2211" s="2"/>
      <c r="E2211" s="2"/>
      <c r="F2211" s="2"/>
      <c r="G2211" s="2"/>
      <c r="H2211" s="2"/>
      <c r="I2211" s="5"/>
    </row>
    <row r="2212" spans="1:9" ht="17.399999999999999" x14ac:dyDescent="0.25">
      <c r="A2212" s="16"/>
      <c r="B2212" s="17"/>
      <c r="C2212" s="2" t="b">
        <v>0</v>
      </c>
      <c r="D2212" s="2"/>
      <c r="E2212" s="2"/>
      <c r="F2212" s="2"/>
      <c r="G2212" s="2"/>
      <c r="H2212" s="2"/>
      <c r="I2212" s="5"/>
    </row>
    <row r="2213" spans="1:9" ht="17.399999999999999" x14ac:dyDescent="0.25">
      <c r="A2213" s="16"/>
      <c r="B2213" s="17"/>
      <c r="C2213" s="2" t="b">
        <v>0</v>
      </c>
      <c r="D2213" s="2"/>
      <c r="E2213" s="2"/>
      <c r="F2213" s="2"/>
      <c r="G2213" s="2"/>
      <c r="H2213" s="2"/>
      <c r="I2213" s="5"/>
    </row>
    <row r="2214" spans="1:9" ht="17.399999999999999" x14ac:dyDescent="0.25">
      <c r="A2214" s="16"/>
      <c r="B2214" s="17"/>
      <c r="C2214" s="2" t="b">
        <v>0</v>
      </c>
      <c r="D2214" s="2"/>
      <c r="E2214" s="2"/>
      <c r="F2214" s="2"/>
      <c r="G2214" s="2"/>
      <c r="H2214" s="2"/>
      <c r="I2214" s="5"/>
    </row>
    <row r="2215" spans="1:9" ht="17.399999999999999" x14ac:dyDescent="0.25">
      <c r="A2215" s="16"/>
      <c r="B2215" s="17"/>
      <c r="C2215" s="2" t="b">
        <v>0</v>
      </c>
      <c r="D2215" s="2"/>
      <c r="E2215" s="2"/>
      <c r="F2215" s="2"/>
      <c r="G2215" s="2"/>
      <c r="H2215" s="2"/>
      <c r="I2215" s="5"/>
    </row>
    <row r="2216" spans="1:9" ht="17.399999999999999" x14ac:dyDescent="0.25">
      <c r="A2216" s="16"/>
      <c r="B2216" s="17"/>
      <c r="C2216" s="2" t="b">
        <v>0</v>
      </c>
      <c r="D2216" s="2"/>
      <c r="E2216" s="2"/>
      <c r="F2216" s="2"/>
      <c r="G2216" s="2"/>
      <c r="H2216" s="2"/>
      <c r="I2216" s="5"/>
    </row>
    <row r="2217" spans="1:9" ht="17.399999999999999" x14ac:dyDescent="0.25">
      <c r="A2217" s="16"/>
      <c r="B2217" s="17"/>
      <c r="C2217" s="2" t="b">
        <v>0</v>
      </c>
      <c r="D2217" s="2"/>
      <c r="E2217" s="2"/>
      <c r="F2217" s="2"/>
      <c r="G2217" s="2"/>
      <c r="H2217" s="2"/>
      <c r="I2217" s="5"/>
    </row>
    <row r="2218" spans="1:9" ht="17.399999999999999" x14ac:dyDescent="0.25">
      <c r="A2218" s="16"/>
      <c r="B2218" s="17"/>
      <c r="C2218" s="2" t="b">
        <v>0</v>
      </c>
      <c r="D2218" s="2"/>
      <c r="E2218" s="2"/>
      <c r="F2218" s="2"/>
      <c r="G2218" s="2"/>
      <c r="H2218" s="2"/>
      <c r="I2218" s="5"/>
    </row>
    <row r="2219" spans="1:9" ht="17.399999999999999" x14ac:dyDescent="0.25">
      <c r="A2219" s="16"/>
      <c r="B2219" s="17"/>
      <c r="C2219" s="2" t="b">
        <v>0</v>
      </c>
      <c r="D2219" s="2"/>
      <c r="E2219" s="2"/>
      <c r="F2219" s="2"/>
      <c r="G2219" s="2"/>
      <c r="H2219" s="2"/>
      <c r="I2219" s="5"/>
    </row>
    <row r="2220" spans="1:9" ht="17.399999999999999" x14ac:dyDescent="0.25">
      <c r="A2220" s="16"/>
      <c r="B2220" s="17"/>
      <c r="C2220" s="2" t="b">
        <v>0</v>
      </c>
      <c r="D2220" s="2"/>
      <c r="E2220" s="2"/>
      <c r="F2220" s="2"/>
      <c r="G2220" s="2"/>
      <c r="H2220" s="2"/>
      <c r="I2220" s="5"/>
    </row>
    <row r="2221" spans="1:9" ht="17.399999999999999" x14ac:dyDescent="0.25">
      <c r="A2221" s="16"/>
      <c r="B2221" s="17"/>
      <c r="C2221" s="2" t="b">
        <v>0</v>
      </c>
      <c r="D2221" s="2"/>
      <c r="E2221" s="2"/>
      <c r="F2221" s="2"/>
      <c r="G2221" s="2"/>
      <c r="H2221" s="2"/>
      <c r="I2221" s="5"/>
    </row>
    <row r="2222" spans="1:9" ht="17.399999999999999" x14ac:dyDescent="0.25">
      <c r="A2222" s="16"/>
      <c r="B2222" s="17"/>
      <c r="C2222" s="2" t="b">
        <v>0</v>
      </c>
      <c r="D2222" s="2"/>
      <c r="E2222" s="2"/>
      <c r="F2222" s="2"/>
      <c r="G2222" s="2"/>
      <c r="H2222" s="2"/>
      <c r="I2222" s="5"/>
    </row>
    <row r="2223" spans="1:9" ht="17.399999999999999" x14ac:dyDescent="0.25">
      <c r="A2223" s="16"/>
      <c r="B2223" s="17"/>
      <c r="C2223" s="2" t="b">
        <v>0</v>
      </c>
      <c r="D2223" s="2"/>
      <c r="E2223" s="2"/>
      <c r="F2223" s="2"/>
      <c r="G2223" s="2"/>
      <c r="H2223" s="2"/>
      <c r="I2223" s="5"/>
    </row>
    <row r="2224" spans="1:9" ht="17.399999999999999" x14ac:dyDescent="0.25">
      <c r="A2224" s="16"/>
      <c r="B2224" s="17"/>
      <c r="C2224" s="2" t="b">
        <v>0</v>
      </c>
      <c r="D2224" s="2"/>
      <c r="E2224" s="2"/>
      <c r="F2224" s="2"/>
      <c r="G2224" s="2"/>
      <c r="H2224" s="2"/>
      <c r="I2224" s="5"/>
    </row>
    <row r="2225" spans="1:9" ht="17.399999999999999" x14ac:dyDescent="0.25">
      <c r="A2225" s="16"/>
      <c r="B2225" s="17"/>
      <c r="C2225" s="2" t="b">
        <v>0</v>
      </c>
      <c r="D2225" s="2"/>
      <c r="E2225" s="2"/>
      <c r="F2225" s="2"/>
      <c r="G2225" s="2"/>
      <c r="H2225" s="2"/>
      <c r="I2225" s="5"/>
    </row>
    <row r="2226" spans="1:9" ht="17.399999999999999" x14ac:dyDescent="0.25">
      <c r="A2226" s="16"/>
      <c r="B2226" s="17"/>
      <c r="C2226" s="2" t="b">
        <v>0</v>
      </c>
      <c r="D2226" s="2"/>
      <c r="E2226" s="2"/>
      <c r="F2226" s="2"/>
      <c r="G2226" s="2"/>
      <c r="H2226" s="2"/>
      <c r="I2226" s="5"/>
    </row>
    <row r="2227" spans="1:9" ht="17.399999999999999" x14ac:dyDescent="0.25">
      <c r="A2227" s="16"/>
      <c r="B2227" s="17"/>
      <c r="C2227" s="2" t="b">
        <v>0</v>
      </c>
      <c r="D2227" s="2"/>
      <c r="E2227" s="2"/>
      <c r="F2227" s="2"/>
      <c r="G2227" s="2"/>
      <c r="H2227" s="2"/>
      <c r="I2227" s="5"/>
    </row>
    <row r="2228" spans="1:9" ht="17.399999999999999" x14ac:dyDescent="0.25">
      <c r="A2228" s="16"/>
      <c r="B2228" s="17"/>
      <c r="C2228" s="2" t="b">
        <v>0</v>
      </c>
      <c r="D2228" s="2"/>
      <c r="E2228" s="2"/>
      <c r="F2228" s="2"/>
      <c r="G2228" s="2"/>
      <c r="H2228" s="2"/>
      <c r="I2228" s="5"/>
    </row>
    <row r="2229" spans="1:9" ht="17.399999999999999" x14ac:dyDescent="0.25">
      <c r="A2229" s="16"/>
      <c r="B2229" s="17"/>
      <c r="C2229" s="2" t="b">
        <v>0</v>
      </c>
      <c r="D2229" s="2"/>
      <c r="E2229" s="2"/>
      <c r="F2229" s="2"/>
      <c r="G2229" s="2"/>
      <c r="H2229" s="2"/>
      <c r="I2229" s="5"/>
    </row>
    <row r="2230" spans="1:9" ht="17.399999999999999" x14ac:dyDescent="0.25">
      <c r="A2230" s="16"/>
      <c r="B2230" s="17"/>
      <c r="C2230" s="2" t="b">
        <v>0</v>
      </c>
      <c r="D2230" s="2"/>
      <c r="E2230" s="2"/>
      <c r="F2230" s="2"/>
      <c r="G2230" s="2"/>
      <c r="H2230" s="2"/>
      <c r="I2230" s="5"/>
    </row>
    <row r="2231" spans="1:9" ht="17.399999999999999" x14ac:dyDescent="0.25">
      <c r="A2231" s="16"/>
      <c r="B2231" s="17"/>
      <c r="C2231" s="2" t="b">
        <v>0</v>
      </c>
      <c r="D2231" s="2"/>
      <c r="E2231" s="2"/>
      <c r="F2231" s="2"/>
      <c r="G2231" s="2"/>
      <c r="H2231" s="2"/>
      <c r="I2231" s="5"/>
    </row>
    <row r="2232" spans="1:9" ht="17.399999999999999" x14ac:dyDescent="0.25">
      <c r="A2232" s="16"/>
      <c r="B2232" s="17"/>
      <c r="C2232" s="2" t="b">
        <v>0</v>
      </c>
      <c r="D2232" s="2"/>
      <c r="E2232" s="2"/>
      <c r="F2232" s="2"/>
      <c r="G2232" s="2"/>
      <c r="H2232" s="2"/>
      <c r="I2232" s="5"/>
    </row>
    <row r="2233" spans="1:9" ht="17.399999999999999" x14ac:dyDescent="0.25">
      <c r="A2233" s="16"/>
      <c r="B2233" s="17"/>
      <c r="C2233" s="2" t="b">
        <v>0</v>
      </c>
      <c r="D2233" s="2"/>
      <c r="E2233" s="2"/>
      <c r="F2233" s="2"/>
      <c r="G2233" s="2"/>
      <c r="H2233" s="2"/>
      <c r="I2233" s="5"/>
    </row>
    <row r="2234" spans="1:9" ht="17.399999999999999" x14ac:dyDescent="0.25">
      <c r="A2234" s="16"/>
      <c r="B2234" s="17"/>
      <c r="C2234" s="2" t="b">
        <v>0</v>
      </c>
      <c r="D2234" s="2"/>
      <c r="E2234" s="2"/>
      <c r="F2234" s="2"/>
      <c r="G2234" s="2"/>
      <c r="H2234" s="2"/>
      <c r="I2234" s="5"/>
    </row>
    <row r="2235" spans="1:9" ht="17.399999999999999" x14ac:dyDescent="0.25">
      <c r="A2235" s="16"/>
      <c r="B2235" s="17"/>
      <c r="C2235" s="2" t="b">
        <v>0</v>
      </c>
      <c r="D2235" s="2"/>
      <c r="E2235" s="2"/>
      <c r="F2235" s="2"/>
      <c r="G2235" s="2"/>
      <c r="H2235" s="2"/>
      <c r="I2235" s="5"/>
    </row>
    <row r="2236" spans="1:9" ht="17.399999999999999" x14ac:dyDescent="0.25">
      <c r="A2236" s="16"/>
      <c r="B2236" s="17"/>
      <c r="C2236" s="2" t="b">
        <v>0</v>
      </c>
      <c r="D2236" s="2"/>
      <c r="E2236" s="2"/>
      <c r="F2236" s="2"/>
      <c r="G2236" s="2"/>
      <c r="H2236" s="2"/>
      <c r="I2236" s="5"/>
    </row>
    <row r="2237" spans="1:9" ht="17.399999999999999" x14ac:dyDescent="0.25">
      <c r="A2237" s="16"/>
      <c r="B2237" s="17"/>
      <c r="C2237" s="2" t="b">
        <v>0</v>
      </c>
      <c r="D2237" s="2"/>
      <c r="E2237" s="2"/>
      <c r="F2237" s="2"/>
      <c r="G2237" s="2"/>
      <c r="H2237" s="2"/>
      <c r="I2237" s="5"/>
    </row>
    <row r="2238" spans="1:9" ht="17.399999999999999" x14ac:dyDescent="0.25">
      <c r="A2238" s="16"/>
      <c r="B2238" s="17"/>
      <c r="C2238" s="2" t="b">
        <v>0</v>
      </c>
      <c r="D2238" s="2"/>
      <c r="E2238" s="2"/>
      <c r="F2238" s="2"/>
      <c r="G2238" s="2"/>
      <c r="H2238" s="2"/>
      <c r="I2238" s="5"/>
    </row>
    <row r="2239" spans="1:9" ht="17.399999999999999" x14ac:dyDescent="0.25">
      <c r="A2239" s="16"/>
      <c r="B2239" s="17"/>
      <c r="C2239" s="2" t="b">
        <v>0</v>
      </c>
      <c r="D2239" s="2"/>
      <c r="E2239" s="2"/>
      <c r="F2239" s="2"/>
      <c r="G2239" s="2"/>
      <c r="H2239" s="2"/>
      <c r="I2239" s="5"/>
    </row>
    <row r="2240" spans="1:9" ht="17.399999999999999" x14ac:dyDescent="0.25">
      <c r="A2240" s="16"/>
      <c r="B2240" s="17"/>
      <c r="C2240" s="2" t="b">
        <v>0</v>
      </c>
      <c r="D2240" s="2"/>
      <c r="E2240" s="2"/>
      <c r="F2240" s="2"/>
      <c r="G2240" s="2"/>
      <c r="H2240" s="2"/>
      <c r="I2240" s="5"/>
    </row>
    <row r="2241" spans="1:9" ht="17.399999999999999" x14ac:dyDescent="0.25">
      <c r="A2241" s="16"/>
      <c r="B2241" s="17"/>
      <c r="C2241" s="2" t="b">
        <v>0</v>
      </c>
      <c r="D2241" s="2"/>
      <c r="E2241" s="2"/>
      <c r="F2241" s="2"/>
      <c r="G2241" s="2"/>
      <c r="H2241" s="2"/>
      <c r="I2241" s="5"/>
    </row>
    <row r="2242" spans="1:9" ht="17.399999999999999" x14ac:dyDescent="0.25">
      <c r="A2242" s="16"/>
      <c r="B2242" s="17"/>
      <c r="C2242" s="2" t="b">
        <v>0</v>
      </c>
      <c r="D2242" s="2"/>
      <c r="E2242" s="2"/>
      <c r="F2242" s="2"/>
      <c r="G2242" s="2"/>
      <c r="H2242" s="2"/>
      <c r="I2242" s="5"/>
    </row>
    <row r="2243" spans="1:9" ht="17.399999999999999" x14ac:dyDescent="0.25">
      <c r="A2243" s="16"/>
      <c r="B2243" s="17"/>
      <c r="C2243" s="2" t="b">
        <v>0</v>
      </c>
      <c r="D2243" s="2"/>
      <c r="E2243" s="2"/>
      <c r="F2243" s="2"/>
      <c r="G2243" s="2"/>
      <c r="H2243" s="2"/>
      <c r="I2243" s="5"/>
    </row>
    <row r="2244" spans="1:9" ht="17.399999999999999" x14ac:dyDescent="0.25">
      <c r="A2244" s="16"/>
      <c r="B2244" s="17"/>
      <c r="C2244" s="2" t="b">
        <v>0</v>
      </c>
      <c r="D2244" s="2"/>
      <c r="E2244" s="2"/>
      <c r="F2244" s="2"/>
      <c r="G2244" s="2"/>
      <c r="H2244" s="2"/>
      <c r="I2244" s="5"/>
    </row>
    <row r="2245" spans="1:9" ht="17.399999999999999" x14ac:dyDescent="0.25">
      <c r="A2245" s="16"/>
      <c r="B2245" s="17"/>
      <c r="C2245" s="2" t="b">
        <v>0</v>
      </c>
      <c r="D2245" s="2"/>
      <c r="E2245" s="2"/>
      <c r="F2245" s="2"/>
      <c r="G2245" s="2"/>
      <c r="H2245" s="2"/>
      <c r="I2245" s="5"/>
    </row>
    <row r="2246" spans="1:9" ht="17.399999999999999" x14ac:dyDescent="0.25">
      <c r="A2246" s="16"/>
      <c r="B2246" s="17"/>
      <c r="C2246" s="2" t="b">
        <v>0</v>
      </c>
      <c r="D2246" s="2"/>
      <c r="E2246" s="2"/>
      <c r="F2246" s="2"/>
      <c r="G2246" s="2"/>
      <c r="H2246" s="2"/>
      <c r="I2246" s="5"/>
    </row>
    <row r="2247" spans="1:9" ht="17.399999999999999" x14ac:dyDescent="0.25">
      <c r="A2247" s="16"/>
      <c r="B2247" s="17"/>
      <c r="C2247" s="2" t="b">
        <v>0</v>
      </c>
      <c r="D2247" s="2"/>
      <c r="E2247" s="2"/>
      <c r="F2247" s="2"/>
      <c r="G2247" s="2"/>
      <c r="H2247" s="2"/>
      <c r="I2247" s="5"/>
    </row>
    <row r="2248" spans="1:9" ht="17.399999999999999" x14ac:dyDescent="0.25">
      <c r="A2248" s="16"/>
      <c r="B2248" s="17"/>
      <c r="C2248" s="2" t="b">
        <v>0</v>
      </c>
      <c r="D2248" s="2"/>
      <c r="E2248" s="2"/>
      <c r="F2248" s="2"/>
      <c r="G2248" s="2"/>
      <c r="H2248" s="2"/>
      <c r="I2248" s="5"/>
    </row>
    <row r="2249" spans="1:9" ht="17.399999999999999" x14ac:dyDescent="0.25">
      <c r="A2249" s="16"/>
      <c r="B2249" s="17"/>
      <c r="C2249" s="2" t="b">
        <v>0</v>
      </c>
      <c r="D2249" s="2"/>
      <c r="E2249" s="2"/>
      <c r="F2249" s="2"/>
      <c r="G2249" s="2"/>
      <c r="H2249" s="2"/>
      <c r="I2249" s="5"/>
    </row>
    <row r="2250" spans="1:9" ht="17.399999999999999" x14ac:dyDescent="0.25">
      <c r="A2250" s="16"/>
      <c r="B2250" s="17"/>
      <c r="C2250" s="2" t="b">
        <v>0</v>
      </c>
      <c r="D2250" s="2"/>
      <c r="E2250" s="2"/>
      <c r="F2250" s="2"/>
      <c r="G2250" s="2"/>
      <c r="H2250" s="2"/>
      <c r="I2250" s="5"/>
    </row>
    <row r="2251" spans="1:9" ht="17.399999999999999" x14ac:dyDescent="0.25">
      <c r="A2251" s="16"/>
      <c r="B2251" s="17"/>
      <c r="C2251" s="2" t="b">
        <v>0</v>
      </c>
      <c r="D2251" s="2"/>
      <c r="E2251" s="2"/>
      <c r="F2251" s="2"/>
      <c r="G2251" s="2"/>
      <c r="H2251" s="2"/>
      <c r="I2251" s="5"/>
    </row>
    <row r="2252" spans="1:9" ht="17.399999999999999" x14ac:dyDescent="0.25">
      <c r="A2252" s="16"/>
      <c r="B2252" s="17"/>
      <c r="C2252" s="2" t="b">
        <v>0</v>
      </c>
      <c r="D2252" s="2"/>
      <c r="E2252" s="2"/>
      <c r="F2252" s="2"/>
      <c r="G2252" s="2"/>
      <c r="H2252" s="2"/>
      <c r="I2252" s="5"/>
    </row>
    <row r="2253" spans="1:9" ht="17.399999999999999" x14ac:dyDescent="0.25">
      <c r="A2253" s="16"/>
      <c r="B2253" s="17"/>
      <c r="C2253" s="2" t="b">
        <v>0</v>
      </c>
      <c r="D2253" s="2"/>
      <c r="E2253" s="2"/>
      <c r="F2253" s="2"/>
      <c r="G2253" s="2"/>
      <c r="H2253" s="2"/>
      <c r="I2253" s="5"/>
    </row>
    <row r="2254" spans="1:9" ht="17.399999999999999" x14ac:dyDescent="0.25">
      <c r="A2254" s="16"/>
      <c r="B2254" s="17"/>
      <c r="C2254" s="2" t="b">
        <v>0</v>
      </c>
      <c r="D2254" s="2"/>
      <c r="E2254" s="2"/>
      <c r="F2254" s="2"/>
      <c r="G2254" s="2"/>
      <c r="H2254" s="2"/>
      <c r="I2254" s="5"/>
    </row>
    <row r="2255" spans="1:9" ht="17.399999999999999" x14ac:dyDescent="0.25">
      <c r="A2255" s="16"/>
      <c r="B2255" s="17"/>
      <c r="C2255" s="2" t="b">
        <v>0</v>
      </c>
      <c r="D2255" s="2"/>
      <c r="E2255" s="2"/>
      <c r="F2255" s="2"/>
      <c r="G2255" s="2"/>
      <c r="H2255" s="2"/>
      <c r="I2255" s="5"/>
    </row>
    <row r="2256" spans="1:9" ht="17.399999999999999" x14ac:dyDescent="0.25">
      <c r="A2256" s="16"/>
      <c r="B2256" s="17"/>
      <c r="C2256" s="2" t="b">
        <v>0</v>
      </c>
      <c r="D2256" s="2"/>
      <c r="E2256" s="2"/>
      <c r="F2256" s="2"/>
      <c r="G2256" s="2"/>
      <c r="H2256" s="2"/>
      <c r="I2256" s="5"/>
    </row>
    <row r="2257" spans="1:9" ht="17.399999999999999" x14ac:dyDescent="0.25">
      <c r="A2257" s="16"/>
      <c r="B2257" s="17"/>
      <c r="C2257" s="2" t="b">
        <v>0</v>
      </c>
      <c r="D2257" s="2"/>
      <c r="E2257" s="2"/>
      <c r="F2257" s="2"/>
      <c r="G2257" s="2"/>
      <c r="H2257" s="2"/>
      <c r="I2257" s="5"/>
    </row>
    <row r="2258" spans="1:9" ht="17.399999999999999" x14ac:dyDescent="0.25">
      <c r="A2258" s="16"/>
      <c r="B2258" s="17"/>
      <c r="C2258" s="2" t="b">
        <v>0</v>
      </c>
      <c r="D2258" s="2"/>
      <c r="E2258" s="2"/>
      <c r="F2258" s="2"/>
      <c r="G2258" s="2"/>
      <c r="H2258" s="2"/>
      <c r="I2258" s="5"/>
    </row>
    <row r="2259" spans="1:9" ht="17.399999999999999" x14ac:dyDescent="0.25">
      <c r="A2259" s="16"/>
      <c r="B2259" s="17"/>
      <c r="C2259" s="2" t="b">
        <v>0</v>
      </c>
      <c r="D2259" s="2"/>
      <c r="E2259" s="2"/>
      <c r="F2259" s="2"/>
      <c r="G2259" s="2"/>
      <c r="H2259" s="2"/>
      <c r="I2259" s="5"/>
    </row>
    <row r="2260" spans="1:9" ht="17.399999999999999" x14ac:dyDescent="0.25">
      <c r="A2260" s="16"/>
      <c r="B2260" s="17"/>
      <c r="C2260" s="2" t="b">
        <v>0</v>
      </c>
      <c r="D2260" s="2"/>
      <c r="E2260" s="2"/>
      <c r="F2260" s="2"/>
      <c r="G2260" s="2"/>
      <c r="H2260" s="2"/>
      <c r="I2260" s="5"/>
    </row>
    <row r="2261" spans="1:9" ht="17.399999999999999" x14ac:dyDescent="0.25">
      <c r="A2261" s="16"/>
      <c r="B2261" s="17"/>
      <c r="C2261" s="2" t="b">
        <v>0</v>
      </c>
      <c r="D2261" s="2"/>
      <c r="E2261" s="2"/>
      <c r="F2261" s="2"/>
      <c r="G2261" s="2"/>
      <c r="H2261" s="2"/>
      <c r="I2261" s="5"/>
    </row>
    <row r="2262" spans="1:9" ht="17.399999999999999" x14ac:dyDescent="0.25">
      <c r="A2262" s="16"/>
      <c r="B2262" s="17"/>
      <c r="C2262" s="2" t="b">
        <v>0</v>
      </c>
      <c r="D2262" s="2"/>
      <c r="E2262" s="2"/>
      <c r="F2262" s="2"/>
      <c r="G2262" s="2"/>
      <c r="H2262" s="2"/>
      <c r="I2262" s="5"/>
    </row>
    <row r="2263" spans="1:9" ht="17.399999999999999" x14ac:dyDescent="0.25">
      <c r="A2263" s="16"/>
      <c r="B2263" s="17"/>
      <c r="C2263" s="2" t="b">
        <v>0</v>
      </c>
      <c r="D2263" s="2"/>
      <c r="E2263" s="2"/>
      <c r="F2263" s="2"/>
      <c r="G2263" s="2"/>
      <c r="H2263" s="2"/>
      <c r="I2263" s="5"/>
    </row>
    <row r="2264" spans="1:9" ht="17.399999999999999" x14ac:dyDescent="0.25">
      <c r="A2264" s="16"/>
      <c r="B2264" s="17"/>
      <c r="C2264" s="2" t="b">
        <v>0</v>
      </c>
      <c r="D2264" s="2"/>
      <c r="E2264" s="2"/>
      <c r="F2264" s="2"/>
      <c r="G2264" s="2"/>
      <c r="H2264" s="2"/>
      <c r="I2264" s="5"/>
    </row>
    <row r="2265" spans="1:9" ht="17.399999999999999" x14ac:dyDescent="0.25">
      <c r="A2265" s="16"/>
      <c r="B2265" s="17"/>
      <c r="C2265" s="2" t="b">
        <v>0</v>
      </c>
      <c r="D2265" s="2"/>
      <c r="E2265" s="2"/>
      <c r="F2265" s="2"/>
      <c r="G2265" s="2"/>
      <c r="H2265" s="2"/>
      <c r="I2265" s="5"/>
    </row>
    <row r="2266" spans="1:9" ht="17.399999999999999" x14ac:dyDescent="0.25">
      <c r="A2266" s="16"/>
      <c r="B2266" s="17"/>
      <c r="C2266" s="2" t="b">
        <v>0</v>
      </c>
      <c r="D2266" s="2"/>
      <c r="E2266" s="2"/>
      <c r="F2266" s="2"/>
      <c r="G2266" s="2"/>
      <c r="H2266" s="2"/>
      <c r="I2266" s="5"/>
    </row>
    <row r="2267" spans="1:9" ht="17.399999999999999" x14ac:dyDescent="0.25">
      <c r="A2267" s="16"/>
      <c r="B2267" s="17"/>
      <c r="C2267" s="2" t="b">
        <v>0</v>
      </c>
      <c r="D2267" s="2"/>
      <c r="E2267" s="2"/>
      <c r="F2267" s="2"/>
      <c r="G2267" s="2"/>
      <c r="H2267" s="2"/>
      <c r="I2267" s="5"/>
    </row>
    <row r="2268" spans="1:9" ht="17.399999999999999" x14ac:dyDescent="0.25">
      <c r="A2268" s="16"/>
      <c r="B2268" s="17"/>
      <c r="C2268" s="2" t="b">
        <v>0</v>
      </c>
      <c r="D2268" s="2"/>
      <c r="E2268" s="2"/>
      <c r="F2268" s="2"/>
      <c r="G2268" s="2"/>
      <c r="H2268" s="2"/>
      <c r="I2268" s="5"/>
    </row>
    <row r="2269" spans="1:9" ht="17.399999999999999" x14ac:dyDescent="0.25">
      <c r="A2269" s="16"/>
      <c r="B2269" s="17"/>
      <c r="C2269" s="2" t="b">
        <v>0</v>
      </c>
      <c r="D2269" s="2"/>
      <c r="E2269" s="2"/>
      <c r="F2269" s="2"/>
      <c r="G2269" s="2"/>
      <c r="H2269" s="2"/>
      <c r="I2269" s="5"/>
    </row>
    <row r="2270" spans="1:9" ht="17.399999999999999" x14ac:dyDescent="0.25">
      <c r="A2270" s="16"/>
      <c r="B2270" s="17"/>
      <c r="C2270" s="2" t="b">
        <v>0</v>
      </c>
      <c r="D2270" s="2"/>
      <c r="E2270" s="2"/>
      <c r="F2270" s="2"/>
      <c r="G2270" s="2"/>
      <c r="H2270" s="2"/>
      <c r="I2270" s="5"/>
    </row>
    <row r="2271" spans="1:9" ht="17.399999999999999" x14ac:dyDescent="0.25">
      <c r="A2271" s="16"/>
      <c r="B2271" s="17"/>
      <c r="C2271" s="2" t="b">
        <v>0</v>
      </c>
      <c r="D2271" s="2"/>
      <c r="E2271" s="2"/>
      <c r="F2271" s="2"/>
      <c r="G2271" s="2"/>
      <c r="H2271" s="2"/>
      <c r="I2271" s="5"/>
    </row>
    <row r="2272" spans="1:9" ht="17.399999999999999" x14ac:dyDescent="0.25">
      <c r="A2272" s="16"/>
      <c r="B2272" s="17"/>
      <c r="C2272" s="2" t="b">
        <v>0</v>
      </c>
      <c r="D2272" s="2"/>
      <c r="E2272" s="2"/>
      <c r="F2272" s="2"/>
      <c r="G2272" s="2"/>
      <c r="H2272" s="2"/>
      <c r="I2272" s="5"/>
    </row>
    <row r="2273" spans="1:9" ht="17.399999999999999" x14ac:dyDescent="0.25">
      <c r="A2273" s="16"/>
      <c r="B2273" s="17"/>
      <c r="C2273" s="2" t="b">
        <v>0</v>
      </c>
      <c r="D2273" s="2"/>
      <c r="E2273" s="2"/>
      <c r="F2273" s="2"/>
      <c r="G2273" s="2"/>
      <c r="H2273" s="2"/>
      <c r="I2273" s="5"/>
    </row>
    <row r="2274" spans="1:9" ht="17.399999999999999" x14ac:dyDescent="0.25">
      <c r="A2274" s="16"/>
      <c r="B2274" s="17"/>
      <c r="C2274" s="2" t="b">
        <v>0</v>
      </c>
      <c r="D2274" s="2"/>
      <c r="E2274" s="2"/>
      <c r="F2274" s="2"/>
      <c r="G2274" s="2"/>
      <c r="H2274" s="2"/>
      <c r="I2274" s="5"/>
    </row>
    <row r="2275" spans="1:9" ht="17.399999999999999" x14ac:dyDescent="0.25">
      <c r="A2275" s="16"/>
      <c r="B2275" s="17"/>
      <c r="C2275" s="2" t="b">
        <v>0</v>
      </c>
      <c r="D2275" s="2"/>
      <c r="E2275" s="2"/>
      <c r="F2275" s="2"/>
      <c r="G2275" s="2"/>
      <c r="H2275" s="2"/>
      <c r="I2275" s="5"/>
    </row>
    <row r="2276" spans="1:9" ht="17.399999999999999" x14ac:dyDescent="0.25">
      <c r="A2276" s="16"/>
      <c r="B2276" s="17"/>
      <c r="C2276" s="2" t="b">
        <v>0</v>
      </c>
      <c r="D2276" s="2"/>
      <c r="E2276" s="2"/>
      <c r="F2276" s="2"/>
      <c r="G2276" s="2"/>
      <c r="H2276" s="2"/>
      <c r="I2276" s="5"/>
    </row>
    <row r="2277" spans="1:9" ht="17.399999999999999" x14ac:dyDescent="0.25">
      <c r="A2277" s="16"/>
      <c r="B2277" s="17"/>
      <c r="C2277" s="2" t="b">
        <v>0</v>
      </c>
      <c r="D2277" s="2"/>
      <c r="E2277" s="2"/>
      <c r="F2277" s="2"/>
      <c r="G2277" s="2"/>
      <c r="H2277" s="2"/>
      <c r="I2277" s="5"/>
    </row>
    <row r="2278" spans="1:9" ht="17.399999999999999" x14ac:dyDescent="0.25">
      <c r="A2278" s="16"/>
      <c r="B2278" s="17"/>
      <c r="C2278" s="2" t="b">
        <v>0</v>
      </c>
      <c r="D2278" s="2"/>
      <c r="E2278" s="2"/>
      <c r="F2278" s="2"/>
      <c r="G2278" s="2"/>
      <c r="H2278" s="2"/>
      <c r="I2278" s="5"/>
    </row>
    <row r="2279" spans="1:9" ht="17.399999999999999" x14ac:dyDescent="0.25">
      <c r="A2279" s="16"/>
      <c r="B2279" s="17"/>
      <c r="C2279" s="2" t="b">
        <v>0</v>
      </c>
      <c r="D2279" s="2"/>
      <c r="E2279" s="2"/>
      <c r="F2279" s="2"/>
      <c r="G2279" s="2"/>
      <c r="H2279" s="2"/>
      <c r="I2279" s="5"/>
    </row>
    <row r="2280" spans="1:9" ht="17.399999999999999" x14ac:dyDescent="0.25">
      <c r="A2280" s="16"/>
      <c r="B2280" s="17"/>
      <c r="C2280" s="2" t="b">
        <v>0</v>
      </c>
      <c r="D2280" s="2"/>
      <c r="E2280" s="2"/>
      <c r="F2280" s="2"/>
      <c r="G2280" s="2"/>
      <c r="H2280" s="2"/>
      <c r="I2280" s="5"/>
    </row>
    <row r="2281" spans="1:9" ht="17.399999999999999" x14ac:dyDescent="0.25">
      <c r="A2281" s="16"/>
      <c r="B2281" s="17"/>
      <c r="C2281" s="2" t="b">
        <v>0</v>
      </c>
      <c r="D2281" s="2"/>
      <c r="E2281" s="2"/>
      <c r="F2281" s="2"/>
      <c r="G2281" s="2"/>
      <c r="H2281" s="2"/>
      <c r="I2281" s="5"/>
    </row>
    <row r="2282" spans="1:9" ht="17.399999999999999" x14ac:dyDescent="0.25">
      <c r="A2282" s="16"/>
      <c r="B2282" s="17"/>
      <c r="C2282" s="2" t="b">
        <v>0</v>
      </c>
      <c r="D2282" s="2"/>
      <c r="E2282" s="2"/>
      <c r="F2282" s="2"/>
      <c r="G2282" s="2"/>
      <c r="H2282" s="2"/>
      <c r="I2282" s="5"/>
    </row>
    <row r="2283" spans="1:9" ht="17.399999999999999" x14ac:dyDescent="0.25">
      <c r="A2283" s="16"/>
      <c r="B2283" s="17"/>
      <c r="C2283" s="2" t="b">
        <v>0</v>
      </c>
      <c r="D2283" s="2"/>
      <c r="E2283" s="2"/>
      <c r="F2283" s="2"/>
      <c r="G2283" s="2"/>
      <c r="H2283" s="2"/>
      <c r="I2283" s="5"/>
    </row>
    <row r="2284" spans="1:9" ht="17.399999999999999" x14ac:dyDescent="0.25">
      <c r="A2284" s="16"/>
      <c r="B2284" s="17"/>
      <c r="C2284" s="2" t="b">
        <v>0</v>
      </c>
      <c r="D2284" s="2"/>
      <c r="E2284" s="2"/>
      <c r="F2284" s="2"/>
      <c r="G2284" s="2"/>
      <c r="H2284" s="2"/>
      <c r="I2284" s="5"/>
    </row>
    <row r="2285" spans="1:9" ht="17.399999999999999" x14ac:dyDescent="0.25">
      <c r="A2285" s="16"/>
      <c r="B2285" s="17"/>
      <c r="C2285" s="2" t="b">
        <v>0</v>
      </c>
      <c r="D2285" s="2"/>
      <c r="E2285" s="2"/>
      <c r="F2285" s="2"/>
      <c r="G2285" s="2"/>
      <c r="H2285" s="2"/>
      <c r="I2285" s="5"/>
    </row>
    <row r="2286" spans="1:9" ht="17.399999999999999" x14ac:dyDescent="0.25">
      <c r="A2286" s="16"/>
      <c r="B2286" s="17"/>
      <c r="C2286" s="2" t="b">
        <v>0</v>
      </c>
      <c r="D2286" s="2"/>
      <c r="E2286" s="2"/>
      <c r="F2286" s="2"/>
      <c r="G2286" s="2"/>
      <c r="H2286" s="2"/>
      <c r="I2286" s="5"/>
    </row>
    <row r="2287" spans="1:9" ht="17.399999999999999" x14ac:dyDescent="0.25">
      <c r="A2287" s="16"/>
      <c r="B2287" s="17"/>
      <c r="C2287" s="2" t="b">
        <v>0</v>
      </c>
      <c r="D2287" s="2"/>
      <c r="E2287" s="2"/>
      <c r="F2287" s="2"/>
      <c r="G2287" s="2"/>
      <c r="H2287" s="2"/>
      <c r="I2287" s="5"/>
    </row>
    <row r="2288" spans="1:9" ht="17.399999999999999" x14ac:dyDescent="0.25">
      <c r="A2288" s="16"/>
      <c r="B2288" s="17"/>
      <c r="C2288" s="2" t="b">
        <v>0</v>
      </c>
      <c r="D2288" s="2"/>
      <c r="E2288" s="2"/>
      <c r="F2288" s="2"/>
      <c r="G2288" s="2"/>
      <c r="H2288" s="2"/>
      <c r="I2288" s="5"/>
    </row>
    <row r="2289" spans="1:9" ht="17.399999999999999" x14ac:dyDescent="0.25">
      <c r="A2289" s="16"/>
      <c r="B2289" s="17"/>
      <c r="C2289" s="2" t="b">
        <v>0</v>
      </c>
      <c r="D2289" s="2"/>
      <c r="E2289" s="2"/>
      <c r="F2289" s="2"/>
      <c r="G2289" s="2"/>
      <c r="H2289" s="2"/>
      <c r="I2289" s="5"/>
    </row>
    <row r="2290" spans="1:9" ht="17.399999999999999" x14ac:dyDescent="0.25">
      <c r="A2290" s="16"/>
      <c r="B2290" s="17"/>
      <c r="C2290" s="2" t="b">
        <v>0</v>
      </c>
      <c r="D2290" s="2"/>
      <c r="E2290" s="2"/>
      <c r="F2290" s="2"/>
      <c r="G2290" s="2"/>
      <c r="H2290" s="2"/>
      <c r="I2290" s="5"/>
    </row>
    <row r="2291" spans="1:9" ht="17.399999999999999" x14ac:dyDescent="0.25">
      <c r="A2291" s="16"/>
      <c r="B2291" s="17"/>
      <c r="C2291" s="2" t="b">
        <v>0</v>
      </c>
      <c r="D2291" s="2"/>
      <c r="E2291" s="2"/>
      <c r="F2291" s="2"/>
      <c r="G2291" s="2"/>
      <c r="H2291" s="2"/>
      <c r="I2291" s="5"/>
    </row>
    <row r="2292" spans="1:9" ht="17.399999999999999" x14ac:dyDescent="0.25">
      <c r="A2292" s="16"/>
      <c r="B2292" s="17"/>
      <c r="C2292" s="2" t="b">
        <v>0</v>
      </c>
      <c r="D2292" s="2"/>
      <c r="E2292" s="2"/>
      <c r="F2292" s="2"/>
      <c r="G2292" s="2"/>
      <c r="H2292" s="2"/>
      <c r="I2292" s="5"/>
    </row>
    <row r="2293" spans="1:9" ht="17.399999999999999" x14ac:dyDescent="0.25">
      <c r="A2293" s="16"/>
      <c r="B2293" s="17"/>
      <c r="C2293" s="2" t="b">
        <v>0</v>
      </c>
      <c r="D2293" s="2"/>
      <c r="E2293" s="2"/>
      <c r="F2293" s="2"/>
      <c r="G2293" s="2"/>
      <c r="H2293" s="2"/>
      <c r="I2293" s="5"/>
    </row>
    <row r="2294" spans="1:9" ht="17.399999999999999" x14ac:dyDescent="0.25">
      <c r="A2294" s="16"/>
      <c r="B2294" s="17"/>
      <c r="C2294" s="2" t="b">
        <v>0</v>
      </c>
      <c r="D2294" s="2"/>
      <c r="E2294" s="2"/>
      <c r="F2294" s="2"/>
      <c r="G2294" s="2"/>
      <c r="H2294" s="2"/>
      <c r="I2294" s="5"/>
    </row>
    <row r="2295" spans="1:9" ht="17.399999999999999" x14ac:dyDescent="0.25">
      <c r="A2295" s="16"/>
      <c r="B2295" s="17"/>
      <c r="C2295" s="2" t="b">
        <v>0</v>
      </c>
      <c r="D2295" s="2"/>
      <c r="E2295" s="2"/>
      <c r="F2295" s="2"/>
      <c r="G2295" s="2"/>
      <c r="H2295" s="2"/>
      <c r="I2295" s="5"/>
    </row>
    <row r="2296" spans="1:9" ht="17.399999999999999" x14ac:dyDescent="0.25">
      <c r="A2296" s="16"/>
      <c r="B2296" s="17"/>
      <c r="C2296" s="2" t="b">
        <v>0</v>
      </c>
      <c r="D2296" s="2"/>
      <c r="E2296" s="2"/>
      <c r="F2296" s="2"/>
      <c r="G2296" s="2"/>
      <c r="H2296" s="2"/>
      <c r="I2296" s="5"/>
    </row>
    <row r="2297" spans="1:9" ht="17.399999999999999" x14ac:dyDescent="0.25">
      <c r="A2297" s="16"/>
      <c r="B2297" s="17"/>
      <c r="C2297" s="2" t="b">
        <v>0</v>
      </c>
      <c r="D2297" s="2"/>
      <c r="E2297" s="2"/>
      <c r="F2297" s="2"/>
      <c r="G2297" s="2"/>
      <c r="H2297" s="2"/>
      <c r="I2297" s="5"/>
    </row>
    <row r="2298" spans="1:9" ht="17.399999999999999" x14ac:dyDescent="0.25">
      <c r="A2298" s="16"/>
      <c r="B2298" s="17"/>
      <c r="C2298" s="2" t="b">
        <v>0</v>
      </c>
      <c r="D2298" s="2"/>
      <c r="E2298" s="2"/>
      <c r="F2298" s="2"/>
      <c r="G2298" s="2"/>
      <c r="H2298" s="2"/>
      <c r="I2298" s="5"/>
    </row>
    <row r="2299" spans="1:9" ht="17.399999999999999" x14ac:dyDescent="0.25">
      <c r="A2299" s="16"/>
      <c r="B2299" s="17"/>
      <c r="C2299" s="2" t="b">
        <v>0</v>
      </c>
      <c r="D2299" s="2"/>
      <c r="E2299" s="2"/>
      <c r="F2299" s="2"/>
      <c r="G2299" s="2"/>
      <c r="H2299" s="2"/>
      <c r="I2299" s="5"/>
    </row>
    <row r="2300" spans="1:9" ht="17.399999999999999" x14ac:dyDescent="0.25">
      <c r="A2300" s="16"/>
      <c r="B2300" s="17"/>
      <c r="C2300" s="2" t="b">
        <v>0</v>
      </c>
      <c r="D2300" s="2"/>
      <c r="E2300" s="2"/>
      <c r="F2300" s="2"/>
      <c r="G2300" s="2"/>
      <c r="H2300" s="2"/>
      <c r="I2300" s="5"/>
    </row>
    <row r="2301" spans="1:9" ht="17.399999999999999" x14ac:dyDescent="0.25">
      <c r="A2301" s="16"/>
      <c r="B2301" s="17"/>
      <c r="C2301" s="2" t="b">
        <v>0</v>
      </c>
      <c r="D2301" s="2"/>
      <c r="E2301" s="2"/>
      <c r="F2301" s="2"/>
      <c r="G2301" s="2"/>
      <c r="H2301" s="2"/>
      <c r="I2301" s="5"/>
    </row>
    <row r="2302" spans="1:9" ht="17.399999999999999" x14ac:dyDescent="0.25">
      <c r="A2302" s="16"/>
      <c r="B2302" s="17"/>
      <c r="C2302" s="2" t="b">
        <v>0</v>
      </c>
      <c r="D2302" s="2"/>
      <c r="E2302" s="2"/>
      <c r="F2302" s="2"/>
      <c r="G2302" s="2"/>
      <c r="H2302" s="2"/>
      <c r="I2302" s="5"/>
    </row>
    <row r="2303" spans="1:9" ht="17.399999999999999" x14ac:dyDescent="0.25">
      <c r="A2303" s="16"/>
      <c r="B2303" s="17"/>
      <c r="C2303" s="2" t="b">
        <v>0</v>
      </c>
      <c r="D2303" s="2"/>
      <c r="E2303" s="2"/>
      <c r="F2303" s="2"/>
      <c r="G2303" s="2"/>
      <c r="H2303" s="2"/>
      <c r="I2303" s="5"/>
    </row>
    <row r="2304" spans="1:9" ht="17.399999999999999" x14ac:dyDescent="0.25">
      <c r="A2304" s="16"/>
      <c r="B2304" s="17"/>
      <c r="C2304" s="2" t="b">
        <v>0</v>
      </c>
      <c r="D2304" s="2"/>
      <c r="E2304" s="2"/>
      <c r="F2304" s="2"/>
      <c r="G2304" s="2"/>
      <c r="H2304" s="2"/>
      <c r="I2304" s="5"/>
    </row>
    <row r="2305" spans="1:9" ht="17.399999999999999" x14ac:dyDescent="0.25">
      <c r="A2305" s="16"/>
      <c r="B2305" s="17"/>
      <c r="C2305" s="2" t="b">
        <v>0</v>
      </c>
      <c r="D2305" s="2"/>
      <c r="E2305" s="2"/>
      <c r="F2305" s="2"/>
      <c r="G2305" s="2"/>
      <c r="H2305" s="2"/>
      <c r="I2305" s="5"/>
    </row>
    <row r="2306" spans="1:9" ht="17.399999999999999" x14ac:dyDescent="0.25">
      <c r="A2306" s="16"/>
      <c r="B2306" s="17"/>
      <c r="C2306" s="2" t="b">
        <v>0</v>
      </c>
      <c r="D2306" s="2"/>
      <c r="E2306" s="2"/>
      <c r="F2306" s="2"/>
      <c r="G2306" s="2"/>
      <c r="H2306" s="2"/>
      <c r="I2306" s="5"/>
    </row>
    <row r="2307" spans="1:9" ht="17.399999999999999" x14ac:dyDescent="0.25">
      <c r="A2307" s="16"/>
      <c r="B2307" s="17"/>
      <c r="C2307" s="2" t="b">
        <v>0</v>
      </c>
      <c r="D2307" s="2"/>
      <c r="E2307" s="2"/>
      <c r="F2307" s="2"/>
      <c r="G2307" s="2"/>
      <c r="H2307" s="2"/>
      <c r="I2307" s="5"/>
    </row>
    <row r="2308" spans="1:9" ht="17.399999999999999" x14ac:dyDescent="0.25">
      <c r="A2308" s="16"/>
      <c r="B2308" s="17"/>
      <c r="C2308" s="2" t="b">
        <v>0</v>
      </c>
      <c r="D2308" s="2"/>
      <c r="E2308" s="2"/>
      <c r="F2308" s="2"/>
      <c r="G2308" s="2"/>
      <c r="H2308" s="2"/>
      <c r="I2308" s="5"/>
    </row>
    <row r="2309" spans="1:9" ht="17.399999999999999" x14ac:dyDescent="0.25">
      <c r="A2309" s="16"/>
      <c r="B2309" s="17"/>
      <c r="C2309" s="2" t="b">
        <v>0</v>
      </c>
      <c r="D2309" s="2"/>
      <c r="E2309" s="2"/>
      <c r="F2309" s="2"/>
      <c r="G2309" s="2"/>
      <c r="H2309" s="2"/>
      <c r="I2309" s="5"/>
    </row>
    <row r="2310" spans="1:9" ht="17.399999999999999" x14ac:dyDescent="0.25">
      <c r="A2310" s="16"/>
      <c r="B2310" s="17"/>
      <c r="C2310" s="2" t="b">
        <v>0</v>
      </c>
      <c r="D2310" s="2"/>
      <c r="E2310" s="2"/>
      <c r="F2310" s="2"/>
      <c r="G2310" s="2"/>
      <c r="H2310" s="2"/>
      <c r="I2310" s="5"/>
    </row>
    <row r="2311" spans="1:9" ht="17.399999999999999" x14ac:dyDescent="0.25">
      <c r="A2311" s="16"/>
      <c r="B2311" s="17"/>
      <c r="C2311" s="2" t="b">
        <v>0</v>
      </c>
      <c r="D2311" s="2"/>
      <c r="E2311" s="2"/>
      <c r="F2311" s="2"/>
      <c r="G2311" s="2"/>
      <c r="H2311" s="2"/>
      <c r="I2311" s="5"/>
    </row>
    <row r="2312" spans="1:9" ht="17.399999999999999" x14ac:dyDescent="0.25">
      <c r="A2312" s="16"/>
      <c r="B2312" s="17"/>
      <c r="C2312" s="2" t="b">
        <v>0</v>
      </c>
      <c r="D2312" s="2"/>
      <c r="E2312" s="2"/>
      <c r="F2312" s="2"/>
      <c r="G2312" s="2"/>
      <c r="H2312" s="2"/>
      <c r="I2312" s="5"/>
    </row>
    <row r="2313" spans="1:9" ht="17.399999999999999" x14ac:dyDescent="0.25">
      <c r="A2313" s="16"/>
      <c r="B2313" s="17"/>
      <c r="C2313" s="2" t="b">
        <v>0</v>
      </c>
      <c r="D2313" s="2"/>
      <c r="E2313" s="2"/>
      <c r="F2313" s="2"/>
      <c r="G2313" s="2"/>
      <c r="H2313" s="2"/>
      <c r="I2313" s="5"/>
    </row>
    <row r="2314" spans="1:9" ht="17.399999999999999" x14ac:dyDescent="0.25">
      <c r="A2314" s="16"/>
      <c r="B2314" s="17"/>
      <c r="C2314" s="2" t="b">
        <v>0</v>
      </c>
      <c r="D2314" s="2"/>
      <c r="E2314" s="2"/>
      <c r="F2314" s="2"/>
      <c r="G2314" s="2"/>
      <c r="H2314" s="2"/>
      <c r="I2314" s="5"/>
    </row>
    <row r="2315" spans="1:9" ht="17.399999999999999" x14ac:dyDescent="0.25">
      <c r="A2315" s="16"/>
      <c r="B2315" s="17"/>
      <c r="C2315" s="2" t="b">
        <v>0</v>
      </c>
      <c r="D2315" s="2"/>
      <c r="E2315" s="2"/>
      <c r="F2315" s="2"/>
      <c r="G2315" s="2"/>
      <c r="H2315" s="2"/>
      <c r="I2315" s="5"/>
    </row>
    <row r="2316" spans="1:9" ht="17.399999999999999" x14ac:dyDescent="0.25">
      <c r="A2316" s="16"/>
      <c r="B2316" s="17"/>
      <c r="C2316" s="2" t="b">
        <v>0</v>
      </c>
      <c r="D2316" s="2"/>
      <c r="E2316" s="2"/>
      <c r="F2316" s="2"/>
      <c r="G2316" s="2"/>
      <c r="H2316" s="2"/>
      <c r="I2316" s="5"/>
    </row>
    <row r="2317" spans="1:9" ht="17.399999999999999" x14ac:dyDescent="0.25">
      <c r="A2317" s="16"/>
      <c r="B2317" s="17"/>
      <c r="C2317" s="2" t="b">
        <v>0</v>
      </c>
      <c r="D2317" s="2"/>
      <c r="E2317" s="2"/>
      <c r="F2317" s="2"/>
      <c r="G2317" s="2"/>
      <c r="H2317" s="2"/>
      <c r="I2317" s="5"/>
    </row>
    <row r="2318" spans="1:9" ht="17.399999999999999" x14ac:dyDescent="0.25">
      <c r="A2318" s="16"/>
      <c r="B2318" s="17"/>
      <c r="C2318" s="2" t="b">
        <v>0</v>
      </c>
      <c r="D2318" s="2"/>
      <c r="E2318" s="2"/>
      <c r="F2318" s="2"/>
      <c r="G2318" s="2"/>
      <c r="H2318" s="2"/>
      <c r="I2318" s="5"/>
    </row>
    <row r="2319" spans="1:9" ht="17.399999999999999" x14ac:dyDescent="0.25">
      <c r="A2319" s="16"/>
      <c r="B2319" s="17"/>
      <c r="C2319" s="2" t="b">
        <v>0</v>
      </c>
      <c r="D2319" s="2"/>
      <c r="E2319" s="2"/>
      <c r="F2319" s="2"/>
      <c r="G2319" s="2"/>
      <c r="H2319" s="2"/>
      <c r="I2319" s="5"/>
    </row>
    <row r="2320" spans="1:9" ht="17.399999999999999" x14ac:dyDescent="0.25">
      <c r="A2320" s="16"/>
      <c r="B2320" s="17"/>
      <c r="C2320" s="2" t="b">
        <v>0</v>
      </c>
      <c r="D2320" s="2"/>
      <c r="E2320" s="2"/>
      <c r="F2320" s="2"/>
      <c r="G2320" s="2"/>
      <c r="H2320" s="2"/>
      <c r="I2320" s="5"/>
    </row>
    <row r="2321" spans="1:9" ht="17.399999999999999" x14ac:dyDescent="0.25">
      <c r="A2321" s="16"/>
      <c r="B2321" s="17"/>
      <c r="C2321" s="2" t="b">
        <v>0</v>
      </c>
      <c r="D2321" s="2"/>
      <c r="E2321" s="2"/>
      <c r="F2321" s="2"/>
      <c r="G2321" s="2"/>
      <c r="H2321" s="2"/>
      <c r="I2321" s="5"/>
    </row>
    <row r="2322" spans="1:9" ht="17.399999999999999" x14ac:dyDescent="0.25">
      <c r="A2322" s="16"/>
      <c r="B2322" s="17"/>
      <c r="C2322" s="2" t="b">
        <v>0</v>
      </c>
      <c r="D2322" s="2"/>
      <c r="E2322" s="2"/>
      <c r="F2322" s="2"/>
      <c r="G2322" s="2"/>
      <c r="H2322" s="2"/>
      <c r="I2322" s="5"/>
    </row>
    <row r="2323" spans="1:9" ht="17.399999999999999" x14ac:dyDescent="0.25">
      <c r="A2323" s="16"/>
      <c r="B2323" s="17"/>
      <c r="C2323" s="2" t="b">
        <v>0</v>
      </c>
      <c r="D2323" s="2"/>
      <c r="E2323" s="2"/>
      <c r="F2323" s="2"/>
      <c r="G2323" s="2"/>
      <c r="H2323" s="2"/>
      <c r="I2323" s="5"/>
    </row>
    <row r="2324" spans="1:9" ht="17.399999999999999" x14ac:dyDescent="0.25">
      <c r="A2324" s="16"/>
      <c r="B2324" s="17"/>
      <c r="C2324" s="2" t="b">
        <v>0</v>
      </c>
      <c r="D2324" s="2"/>
      <c r="E2324" s="2"/>
      <c r="F2324" s="2"/>
      <c r="G2324" s="2"/>
      <c r="H2324" s="2"/>
      <c r="I2324" s="5"/>
    </row>
    <row r="2325" spans="1:9" ht="17.399999999999999" x14ac:dyDescent="0.25">
      <c r="A2325" s="16"/>
      <c r="B2325" s="17"/>
      <c r="C2325" s="2" t="b">
        <v>0</v>
      </c>
      <c r="D2325" s="2"/>
      <c r="E2325" s="2"/>
      <c r="F2325" s="2"/>
      <c r="G2325" s="2"/>
      <c r="H2325" s="2"/>
      <c r="I2325" s="5"/>
    </row>
    <row r="2326" spans="1:9" ht="17.399999999999999" x14ac:dyDescent="0.25">
      <c r="A2326" s="16"/>
      <c r="B2326" s="17"/>
      <c r="C2326" s="2" t="b">
        <v>0</v>
      </c>
      <c r="D2326" s="2"/>
      <c r="E2326" s="2"/>
      <c r="F2326" s="2"/>
      <c r="G2326" s="2"/>
      <c r="H2326" s="2"/>
      <c r="I2326" s="5"/>
    </row>
    <row r="2327" spans="1:9" ht="17.399999999999999" x14ac:dyDescent="0.25">
      <c r="A2327" s="16"/>
      <c r="B2327" s="17"/>
      <c r="C2327" s="2" t="b">
        <v>0</v>
      </c>
      <c r="D2327" s="2"/>
      <c r="E2327" s="2"/>
      <c r="F2327" s="2"/>
      <c r="G2327" s="2"/>
      <c r="H2327" s="2"/>
      <c r="I2327" s="5"/>
    </row>
    <row r="2328" spans="1:9" ht="17.399999999999999" x14ac:dyDescent="0.25">
      <c r="A2328" s="16"/>
      <c r="B2328" s="17"/>
      <c r="C2328" s="2" t="b">
        <v>0</v>
      </c>
      <c r="D2328" s="2"/>
      <c r="E2328" s="2"/>
      <c r="F2328" s="2"/>
      <c r="G2328" s="2"/>
      <c r="H2328" s="2"/>
      <c r="I2328" s="5"/>
    </row>
    <row r="2329" spans="1:9" ht="17.399999999999999" x14ac:dyDescent="0.25">
      <c r="A2329" s="16"/>
      <c r="B2329" s="17"/>
      <c r="C2329" s="2" t="b">
        <v>0</v>
      </c>
      <c r="D2329" s="2"/>
      <c r="E2329" s="2"/>
      <c r="F2329" s="2"/>
      <c r="G2329" s="2"/>
      <c r="H2329" s="2"/>
      <c r="I2329" s="5"/>
    </row>
    <row r="2330" spans="1:9" ht="17.399999999999999" x14ac:dyDescent="0.25">
      <c r="A2330" s="16"/>
      <c r="B2330" s="17"/>
      <c r="C2330" s="2" t="b">
        <v>0</v>
      </c>
      <c r="D2330" s="2"/>
      <c r="E2330" s="2"/>
      <c r="F2330" s="2"/>
      <c r="G2330" s="2"/>
      <c r="H2330" s="2"/>
      <c r="I2330" s="5"/>
    </row>
    <row r="2331" spans="1:9" ht="17.399999999999999" x14ac:dyDescent="0.25">
      <c r="A2331" s="16"/>
      <c r="B2331" s="17"/>
      <c r="C2331" s="2" t="b">
        <v>0</v>
      </c>
      <c r="D2331" s="2"/>
      <c r="E2331" s="2"/>
      <c r="F2331" s="2"/>
      <c r="G2331" s="2"/>
      <c r="H2331" s="2"/>
      <c r="I2331" s="5"/>
    </row>
    <row r="2332" spans="1:9" ht="17.399999999999999" x14ac:dyDescent="0.25">
      <c r="A2332" s="16"/>
      <c r="B2332" s="17"/>
      <c r="C2332" s="2" t="b">
        <v>0</v>
      </c>
      <c r="D2332" s="2"/>
      <c r="E2332" s="2"/>
      <c r="F2332" s="2"/>
      <c r="G2332" s="2"/>
      <c r="H2332" s="2"/>
      <c r="I2332" s="5"/>
    </row>
    <row r="2333" spans="1:9" ht="17.399999999999999" x14ac:dyDescent="0.25">
      <c r="A2333" s="16"/>
      <c r="B2333" s="17"/>
      <c r="C2333" s="2" t="b">
        <v>0</v>
      </c>
      <c r="D2333" s="2"/>
      <c r="E2333" s="2"/>
      <c r="F2333" s="2"/>
      <c r="G2333" s="2"/>
      <c r="H2333" s="2"/>
      <c r="I2333" s="5"/>
    </row>
    <row r="2334" spans="1:9" ht="17.399999999999999" x14ac:dyDescent="0.25">
      <c r="A2334" s="16"/>
      <c r="B2334" s="17"/>
      <c r="C2334" s="2" t="b">
        <v>0</v>
      </c>
      <c r="D2334" s="2"/>
      <c r="E2334" s="2"/>
      <c r="F2334" s="2"/>
      <c r="G2334" s="2"/>
      <c r="H2334" s="2"/>
      <c r="I2334" s="5"/>
    </row>
    <row r="2335" spans="1:9" ht="17.399999999999999" x14ac:dyDescent="0.25">
      <c r="A2335" s="16"/>
      <c r="B2335" s="17"/>
      <c r="C2335" s="2" t="b">
        <v>0</v>
      </c>
      <c r="D2335" s="2"/>
      <c r="E2335" s="2"/>
      <c r="F2335" s="2"/>
      <c r="G2335" s="2"/>
      <c r="H2335" s="2"/>
      <c r="I2335" s="5"/>
    </row>
    <row r="2336" spans="1:9" ht="17.399999999999999" x14ac:dyDescent="0.25">
      <c r="A2336" s="16"/>
      <c r="B2336" s="17"/>
      <c r="C2336" s="2" t="b">
        <v>0</v>
      </c>
      <c r="D2336" s="2"/>
      <c r="E2336" s="2"/>
      <c r="F2336" s="2"/>
      <c r="G2336" s="2"/>
      <c r="H2336" s="2"/>
      <c r="I2336" s="5"/>
    </row>
    <row r="2337" spans="1:9" ht="17.399999999999999" x14ac:dyDescent="0.25">
      <c r="A2337" s="16"/>
      <c r="B2337" s="17"/>
      <c r="C2337" s="2" t="b">
        <v>0</v>
      </c>
      <c r="D2337" s="2"/>
      <c r="E2337" s="2"/>
      <c r="F2337" s="2"/>
      <c r="G2337" s="2"/>
      <c r="H2337" s="2"/>
      <c r="I2337" s="5"/>
    </row>
    <row r="2338" spans="1:9" ht="17.399999999999999" x14ac:dyDescent="0.25">
      <c r="A2338" s="16"/>
      <c r="B2338" s="17"/>
      <c r="C2338" s="2" t="b">
        <v>0</v>
      </c>
      <c r="D2338" s="2"/>
      <c r="E2338" s="2"/>
      <c r="F2338" s="2"/>
      <c r="G2338" s="2"/>
      <c r="H2338" s="2"/>
      <c r="I2338" s="5"/>
    </row>
    <row r="2339" spans="1:9" ht="17.399999999999999" x14ac:dyDescent="0.25">
      <c r="A2339" s="16"/>
      <c r="B2339" s="17"/>
      <c r="C2339" s="2" t="b">
        <v>0</v>
      </c>
      <c r="D2339" s="2"/>
      <c r="E2339" s="2"/>
      <c r="F2339" s="2"/>
      <c r="G2339" s="2"/>
      <c r="H2339" s="2"/>
      <c r="I2339" s="5"/>
    </row>
    <row r="2340" spans="1:9" ht="17.399999999999999" x14ac:dyDescent="0.25">
      <c r="A2340" s="16"/>
      <c r="B2340" s="17"/>
      <c r="C2340" s="2" t="b">
        <v>0</v>
      </c>
      <c r="D2340" s="2"/>
      <c r="E2340" s="2"/>
      <c r="F2340" s="2"/>
      <c r="G2340" s="2"/>
      <c r="H2340" s="2"/>
      <c r="I2340" s="5"/>
    </row>
    <row r="2341" spans="1:9" ht="17.399999999999999" x14ac:dyDescent="0.25">
      <c r="A2341" s="16"/>
      <c r="B2341" s="17"/>
      <c r="C2341" s="2" t="b">
        <v>0</v>
      </c>
      <c r="D2341" s="2"/>
      <c r="E2341" s="2"/>
      <c r="F2341" s="2"/>
      <c r="G2341" s="2"/>
      <c r="H2341" s="2"/>
      <c r="I2341" s="5"/>
    </row>
    <row r="2342" spans="1:9" ht="17.399999999999999" x14ac:dyDescent="0.25">
      <c r="A2342" s="16"/>
      <c r="B2342" s="17"/>
      <c r="C2342" s="2" t="b">
        <v>0</v>
      </c>
      <c r="D2342" s="2"/>
      <c r="E2342" s="2"/>
      <c r="F2342" s="2"/>
      <c r="G2342" s="2"/>
      <c r="H2342" s="2"/>
      <c r="I2342" s="5"/>
    </row>
    <row r="2343" spans="1:9" ht="17.399999999999999" x14ac:dyDescent="0.25">
      <c r="A2343" s="16"/>
      <c r="B2343" s="17"/>
      <c r="C2343" s="2" t="b">
        <v>0</v>
      </c>
      <c r="D2343" s="2"/>
      <c r="E2343" s="2"/>
      <c r="F2343" s="2"/>
      <c r="G2343" s="2"/>
      <c r="H2343" s="2"/>
      <c r="I2343" s="5"/>
    </row>
    <row r="2344" spans="1:9" ht="17.399999999999999" x14ac:dyDescent="0.25">
      <c r="A2344" s="16"/>
      <c r="B2344" s="17"/>
      <c r="C2344" s="2" t="b">
        <v>0</v>
      </c>
      <c r="D2344" s="2"/>
      <c r="E2344" s="2"/>
      <c r="F2344" s="2"/>
      <c r="G2344" s="2"/>
      <c r="H2344" s="2"/>
      <c r="I2344" s="5"/>
    </row>
    <row r="2345" spans="1:9" ht="17.399999999999999" x14ac:dyDescent="0.25">
      <c r="A2345" s="16"/>
      <c r="B2345" s="17"/>
      <c r="C2345" s="2" t="b">
        <v>0</v>
      </c>
      <c r="D2345" s="2"/>
      <c r="E2345" s="2"/>
      <c r="F2345" s="2"/>
      <c r="G2345" s="2"/>
      <c r="H2345" s="2"/>
      <c r="I2345" s="5"/>
    </row>
    <row r="2346" spans="1:9" ht="17.399999999999999" x14ac:dyDescent="0.25">
      <c r="A2346" s="16"/>
      <c r="B2346" s="17"/>
      <c r="C2346" s="2" t="b">
        <v>0</v>
      </c>
      <c r="D2346" s="2"/>
      <c r="E2346" s="2"/>
      <c r="F2346" s="2"/>
      <c r="G2346" s="2"/>
      <c r="H2346" s="2"/>
      <c r="I2346" s="5"/>
    </row>
    <row r="2347" spans="1:9" ht="17.399999999999999" x14ac:dyDescent="0.25">
      <c r="A2347" s="16"/>
      <c r="B2347" s="17"/>
      <c r="C2347" s="2" t="b">
        <v>0</v>
      </c>
      <c r="D2347" s="2"/>
      <c r="E2347" s="2"/>
      <c r="F2347" s="2"/>
      <c r="G2347" s="2"/>
      <c r="H2347" s="2"/>
      <c r="I2347" s="5"/>
    </row>
    <row r="2348" spans="1:9" ht="17.399999999999999" x14ac:dyDescent="0.25">
      <c r="A2348" s="16"/>
      <c r="B2348" s="17"/>
      <c r="C2348" s="2" t="b">
        <v>0</v>
      </c>
      <c r="D2348" s="2"/>
      <c r="E2348" s="2"/>
      <c r="F2348" s="2"/>
      <c r="G2348" s="2"/>
      <c r="H2348" s="2"/>
      <c r="I2348" s="5"/>
    </row>
    <row r="2349" spans="1:9" ht="17.399999999999999" x14ac:dyDescent="0.25">
      <c r="A2349" s="16"/>
      <c r="B2349" s="17"/>
      <c r="C2349" s="2" t="b">
        <v>0</v>
      </c>
      <c r="D2349" s="2"/>
      <c r="E2349" s="2"/>
      <c r="F2349" s="2"/>
      <c r="G2349" s="2"/>
      <c r="H2349" s="2"/>
      <c r="I2349" s="5"/>
    </row>
    <row r="2350" spans="1:9" ht="17.399999999999999" x14ac:dyDescent="0.25">
      <c r="A2350" s="16"/>
      <c r="B2350" s="17"/>
      <c r="C2350" s="2" t="b">
        <v>0</v>
      </c>
      <c r="D2350" s="2"/>
      <c r="E2350" s="2"/>
      <c r="F2350" s="2"/>
      <c r="G2350" s="2"/>
      <c r="H2350" s="2"/>
      <c r="I2350" s="5"/>
    </row>
    <row r="2351" spans="1:9" ht="17.399999999999999" x14ac:dyDescent="0.25">
      <c r="A2351" s="16"/>
      <c r="B2351" s="17"/>
      <c r="C2351" s="2" t="b">
        <v>0</v>
      </c>
      <c r="D2351" s="2"/>
      <c r="E2351" s="2"/>
      <c r="F2351" s="2"/>
      <c r="G2351" s="2"/>
      <c r="H2351" s="2"/>
      <c r="I2351" s="5"/>
    </row>
    <row r="2352" spans="1:9" ht="17.399999999999999" x14ac:dyDescent="0.25">
      <c r="A2352" s="16"/>
      <c r="B2352" s="17"/>
      <c r="C2352" s="2" t="b">
        <v>0</v>
      </c>
      <c r="D2352" s="2"/>
      <c r="E2352" s="2"/>
      <c r="F2352" s="2"/>
      <c r="G2352" s="2"/>
      <c r="H2352" s="2"/>
      <c r="I2352" s="5"/>
    </row>
    <row r="2353" spans="1:9" ht="17.399999999999999" x14ac:dyDescent="0.25">
      <c r="A2353" s="16"/>
      <c r="B2353" s="17"/>
      <c r="C2353" s="2" t="b">
        <v>0</v>
      </c>
      <c r="D2353" s="2"/>
      <c r="E2353" s="2"/>
      <c r="F2353" s="2"/>
      <c r="G2353" s="2"/>
      <c r="H2353" s="2"/>
      <c r="I2353" s="5"/>
    </row>
    <row r="2354" spans="1:9" ht="17.399999999999999" x14ac:dyDescent="0.25">
      <c r="A2354" s="16"/>
      <c r="B2354" s="17"/>
      <c r="C2354" s="2" t="b">
        <v>0</v>
      </c>
      <c r="D2354" s="2"/>
      <c r="E2354" s="2"/>
      <c r="F2354" s="2"/>
      <c r="G2354" s="2"/>
      <c r="H2354" s="2"/>
      <c r="I2354" s="5"/>
    </row>
    <row r="2355" spans="1:9" ht="17.399999999999999" x14ac:dyDescent="0.25">
      <c r="A2355" s="16"/>
      <c r="B2355" s="17"/>
      <c r="C2355" s="2" t="b">
        <v>0</v>
      </c>
      <c r="D2355" s="2"/>
      <c r="E2355" s="2"/>
      <c r="F2355" s="2"/>
      <c r="G2355" s="2"/>
      <c r="H2355" s="2"/>
      <c r="I2355" s="5"/>
    </row>
    <row r="2356" spans="1:9" ht="17.399999999999999" x14ac:dyDescent="0.25">
      <c r="A2356" s="16"/>
      <c r="B2356" s="17"/>
      <c r="C2356" s="2" t="b">
        <v>0</v>
      </c>
      <c r="D2356" s="2"/>
      <c r="E2356" s="2"/>
      <c r="F2356" s="2"/>
      <c r="G2356" s="2"/>
      <c r="H2356" s="2"/>
      <c r="I2356" s="5"/>
    </row>
    <row r="2357" spans="1:9" ht="17.399999999999999" x14ac:dyDescent="0.25">
      <c r="A2357" s="16"/>
      <c r="B2357" s="17"/>
      <c r="C2357" s="2" t="b">
        <v>0</v>
      </c>
      <c r="D2357" s="2"/>
      <c r="E2357" s="2"/>
      <c r="F2357" s="2"/>
      <c r="G2357" s="2"/>
      <c r="H2357" s="2"/>
      <c r="I2357" s="5"/>
    </row>
    <row r="2358" spans="1:9" ht="17.399999999999999" x14ac:dyDescent="0.25">
      <c r="A2358" s="16"/>
      <c r="B2358" s="17"/>
      <c r="C2358" s="2" t="b">
        <v>0</v>
      </c>
      <c r="D2358" s="2"/>
      <c r="E2358" s="2"/>
      <c r="F2358" s="2"/>
      <c r="G2358" s="2"/>
      <c r="H2358" s="2"/>
      <c r="I2358" s="5"/>
    </row>
    <row r="2359" spans="1:9" ht="17.399999999999999" x14ac:dyDescent="0.25">
      <c r="A2359" s="16"/>
      <c r="B2359" s="17"/>
      <c r="C2359" s="2" t="b">
        <v>0</v>
      </c>
      <c r="D2359" s="2"/>
      <c r="E2359" s="2"/>
      <c r="F2359" s="2"/>
      <c r="G2359" s="2"/>
      <c r="H2359" s="2"/>
      <c r="I2359" s="5"/>
    </row>
    <row r="2360" spans="1:9" ht="17.399999999999999" x14ac:dyDescent="0.25">
      <c r="A2360" s="16"/>
      <c r="B2360" s="17"/>
      <c r="C2360" s="2" t="b">
        <v>0</v>
      </c>
      <c r="D2360" s="2"/>
      <c r="E2360" s="2"/>
      <c r="F2360" s="2"/>
      <c r="G2360" s="2"/>
      <c r="H2360" s="2"/>
      <c r="I2360" s="5"/>
    </row>
    <row r="2361" spans="1:9" ht="17.399999999999999" x14ac:dyDescent="0.25">
      <c r="A2361" s="16"/>
      <c r="B2361" s="17"/>
      <c r="C2361" s="2" t="b">
        <v>0</v>
      </c>
      <c r="D2361" s="2"/>
      <c r="E2361" s="2"/>
      <c r="F2361" s="2"/>
      <c r="G2361" s="2"/>
      <c r="H2361" s="2"/>
      <c r="I2361" s="5"/>
    </row>
    <row r="2362" spans="1:9" ht="17.399999999999999" x14ac:dyDescent="0.25">
      <c r="A2362" s="16"/>
      <c r="B2362" s="17"/>
      <c r="C2362" s="2" t="b">
        <v>0</v>
      </c>
      <c r="D2362" s="2"/>
      <c r="E2362" s="2"/>
      <c r="F2362" s="2"/>
      <c r="G2362" s="2"/>
      <c r="H2362" s="2"/>
      <c r="I2362" s="5"/>
    </row>
    <row r="2363" spans="1:9" ht="17.399999999999999" x14ac:dyDescent="0.25">
      <c r="A2363" s="16"/>
      <c r="B2363" s="17"/>
      <c r="C2363" s="2" t="b">
        <v>0</v>
      </c>
      <c r="D2363" s="2"/>
      <c r="E2363" s="2"/>
      <c r="F2363" s="2"/>
      <c r="G2363" s="2"/>
      <c r="H2363" s="2"/>
      <c r="I2363" s="5"/>
    </row>
    <row r="2364" spans="1:9" ht="17.399999999999999" x14ac:dyDescent="0.25">
      <c r="A2364" s="16"/>
      <c r="B2364" s="17"/>
      <c r="C2364" s="2" t="b">
        <v>0</v>
      </c>
      <c r="D2364" s="2"/>
      <c r="E2364" s="2"/>
      <c r="F2364" s="2"/>
      <c r="G2364" s="2"/>
      <c r="H2364" s="2"/>
      <c r="I2364" s="5"/>
    </row>
    <row r="2365" spans="1:9" ht="17.399999999999999" x14ac:dyDescent="0.25">
      <c r="A2365" s="16"/>
      <c r="B2365" s="17"/>
      <c r="C2365" s="2" t="b">
        <v>0</v>
      </c>
      <c r="D2365" s="2"/>
      <c r="E2365" s="2"/>
      <c r="F2365" s="2"/>
      <c r="G2365" s="2"/>
      <c r="H2365" s="2"/>
      <c r="I2365" s="5"/>
    </row>
    <row r="2366" spans="1:9" ht="17.399999999999999" x14ac:dyDescent="0.25">
      <c r="A2366" s="16"/>
      <c r="B2366" s="17"/>
      <c r="C2366" s="2" t="b">
        <v>0</v>
      </c>
      <c r="D2366" s="2"/>
      <c r="E2366" s="2"/>
      <c r="F2366" s="2"/>
      <c r="G2366" s="2"/>
      <c r="H2366" s="2"/>
      <c r="I2366" s="5"/>
    </row>
    <row r="2367" spans="1:9" ht="17.399999999999999" x14ac:dyDescent="0.25">
      <c r="A2367" s="16"/>
      <c r="B2367" s="17"/>
      <c r="C2367" s="2" t="b">
        <v>0</v>
      </c>
      <c r="D2367" s="2"/>
      <c r="E2367" s="2"/>
      <c r="F2367" s="2"/>
      <c r="G2367" s="2"/>
      <c r="H2367" s="2"/>
      <c r="I2367" s="5"/>
    </row>
    <row r="2368" spans="1:9" ht="17.399999999999999" x14ac:dyDescent="0.25">
      <c r="A2368" s="16"/>
      <c r="B2368" s="17"/>
      <c r="C2368" s="2" t="b">
        <v>0</v>
      </c>
      <c r="D2368" s="2"/>
      <c r="E2368" s="2"/>
      <c r="F2368" s="2"/>
      <c r="G2368" s="2"/>
      <c r="H2368" s="2"/>
      <c r="I2368" s="5"/>
    </row>
    <row r="2369" spans="1:9" ht="17.399999999999999" x14ac:dyDescent="0.25">
      <c r="A2369" s="16"/>
      <c r="B2369" s="17"/>
      <c r="C2369" s="2" t="b">
        <v>0</v>
      </c>
      <c r="D2369" s="2"/>
      <c r="E2369" s="2"/>
      <c r="F2369" s="2"/>
      <c r="G2369" s="2"/>
      <c r="H2369" s="2"/>
      <c r="I2369" s="5"/>
    </row>
    <row r="2370" spans="1:9" ht="17.399999999999999" x14ac:dyDescent="0.25">
      <c r="A2370" s="16"/>
      <c r="B2370" s="17"/>
      <c r="C2370" s="2" t="b">
        <v>0</v>
      </c>
      <c r="D2370" s="2"/>
      <c r="E2370" s="2"/>
      <c r="F2370" s="2"/>
      <c r="G2370" s="2"/>
      <c r="H2370" s="2"/>
      <c r="I2370" s="5"/>
    </row>
    <row r="2371" spans="1:9" ht="17.399999999999999" x14ac:dyDescent="0.25">
      <c r="A2371" s="16"/>
      <c r="B2371" s="17"/>
      <c r="C2371" s="2" t="b">
        <v>0</v>
      </c>
      <c r="D2371" s="2"/>
      <c r="E2371" s="2"/>
      <c r="F2371" s="2"/>
      <c r="G2371" s="2"/>
      <c r="H2371" s="2"/>
      <c r="I2371" s="5"/>
    </row>
    <row r="2372" spans="1:9" ht="17.399999999999999" x14ac:dyDescent="0.25">
      <c r="A2372" s="16"/>
      <c r="B2372" s="17"/>
      <c r="C2372" s="2" t="b">
        <v>0</v>
      </c>
      <c r="D2372" s="2"/>
      <c r="E2372" s="2"/>
      <c r="F2372" s="2"/>
      <c r="G2372" s="2"/>
      <c r="H2372" s="2"/>
      <c r="I2372" s="5"/>
    </row>
    <row r="2373" spans="1:9" ht="17.399999999999999" x14ac:dyDescent="0.25">
      <c r="A2373" s="16"/>
      <c r="B2373" s="17"/>
      <c r="C2373" s="2" t="b">
        <v>0</v>
      </c>
      <c r="D2373" s="2"/>
      <c r="E2373" s="2"/>
      <c r="F2373" s="2"/>
      <c r="G2373" s="2"/>
      <c r="H2373" s="2"/>
      <c r="I2373" s="5"/>
    </row>
    <row r="2374" spans="1:9" ht="17.399999999999999" x14ac:dyDescent="0.25">
      <c r="A2374" s="16"/>
      <c r="B2374" s="17"/>
      <c r="C2374" s="2" t="b">
        <v>0</v>
      </c>
      <c r="D2374" s="2"/>
      <c r="E2374" s="2"/>
      <c r="F2374" s="2"/>
      <c r="G2374" s="2"/>
      <c r="H2374" s="2"/>
      <c r="I2374" s="5"/>
    </row>
    <row r="2375" spans="1:9" ht="17.399999999999999" x14ac:dyDescent="0.25">
      <c r="A2375" s="16"/>
      <c r="B2375" s="17"/>
      <c r="C2375" s="2" t="b">
        <v>0</v>
      </c>
      <c r="D2375" s="2"/>
      <c r="E2375" s="2"/>
      <c r="F2375" s="2"/>
      <c r="G2375" s="2"/>
      <c r="H2375" s="2"/>
      <c r="I2375" s="5"/>
    </row>
    <row r="2376" spans="1:9" ht="17.399999999999999" x14ac:dyDescent="0.25">
      <c r="A2376" s="16"/>
      <c r="B2376" s="17"/>
      <c r="C2376" s="2" t="b">
        <v>0</v>
      </c>
      <c r="D2376" s="2"/>
      <c r="E2376" s="2"/>
      <c r="F2376" s="2"/>
      <c r="G2376" s="2"/>
      <c r="H2376" s="2"/>
      <c r="I2376" s="5"/>
    </row>
    <row r="2377" spans="1:9" ht="17.399999999999999" x14ac:dyDescent="0.25">
      <c r="A2377" s="16"/>
      <c r="B2377" s="17"/>
      <c r="C2377" s="2" t="b">
        <v>0</v>
      </c>
      <c r="D2377" s="2"/>
      <c r="E2377" s="2"/>
      <c r="F2377" s="2"/>
      <c r="G2377" s="2"/>
      <c r="H2377" s="2"/>
      <c r="I2377" s="5"/>
    </row>
    <row r="2378" spans="1:9" ht="17.399999999999999" x14ac:dyDescent="0.25">
      <c r="A2378" s="16"/>
      <c r="B2378" s="17"/>
      <c r="C2378" s="2" t="b">
        <v>0</v>
      </c>
      <c r="D2378" s="2"/>
      <c r="E2378" s="2"/>
      <c r="F2378" s="2"/>
      <c r="G2378" s="2"/>
      <c r="H2378" s="2"/>
      <c r="I2378" s="5"/>
    </row>
    <row r="2379" spans="1:9" ht="17.399999999999999" x14ac:dyDescent="0.25">
      <c r="A2379" s="16"/>
      <c r="B2379" s="17"/>
      <c r="C2379" s="2" t="b">
        <v>0</v>
      </c>
      <c r="D2379" s="2"/>
      <c r="E2379" s="2"/>
      <c r="F2379" s="2"/>
      <c r="G2379" s="2"/>
      <c r="H2379" s="2"/>
      <c r="I2379" s="5"/>
    </row>
    <row r="2380" spans="1:9" ht="17.399999999999999" x14ac:dyDescent="0.25">
      <c r="A2380" s="16"/>
      <c r="B2380" s="17"/>
      <c r="C2380" s="2" t="b">
        <v>0</v>
      </c>
      <c r="D2380" s="2"/>
      <c r="E2380" s="2"/>
      <c r="F2380" s="2"/>
      <c r="G2380" s="2"/>
      <c r="H2380" s="2"/>
      <c r="I2380" s="5"/>
    </row>
    <row r="2381" spans="1:9" ht="17.399999999999999" x14ac:dyDescent="0.25">
      <c r="A2381" s="16"/>
      <c r="B2381" s="17"/>
      <c r="C2381" s="2" t="b">
        <v>0</v>
      </c>
      <c r="D2381" s="2"/>
      <c r="E2381" s="2"/>
      <c r="F2381" s="2"/>
      <c r="G2381" s="2"/>
      <c r="H2381" s="2"/>
      <c r="I2381" s="5"/>
    </row>
    <row r="2382" spans="1:9" ht="17.399999999999999" x14ac:dyDescent="0.25">
      <c r="A2382" s="16"/>
      <c r="B2382" s="17"/>
      <c r="C2382" s="2" t="b">
        <v>0</v>
      </c>
      <c r="D2382" s="2"/>
      <c r="E2382" s="2"/>
      <c r="F2382" s="2"/>
      <c r="G2382" s="2"/>
      <c r="H2382" s="2"/>
      <c r="I2382" s="5"/>
    </row>
    <row r="2383" spans="1:9" ht="17.399999999999999" x14ac:dyDescent="0.25">
      <c r="A2383" s="16"/>
      <c r="B2383" s="17"/>
      <c r="C2383" s="2" t="b">
        <v>0</v>
      </c>
      <c r="D2383" s="2"/>
      <c r="E2383" s="2"/>
      <c r="F2383" s="2"/>
      <c r="G2383" s="2"/>
      <c r="H2383" s="2"/>
      <c r="I2383" s="5"/>
    </row>
    <row r="2384" spans="1:9" ht="17.399999999999999" x14ac:dyDescent="0.25">
      <c r="A2384" s="16"/>
      <c r="B2384" s="17"/>
      <c r="C2384" s="2" t="b">
        <v>0</v>
      </c>
      <c r="D2384" s="2"/>
      <c r="E2384" s="2"/>
      <c r="F2384" s="2"/>
      <c r="G2384" s="2"/>
      <c r="H2384" s="2"/>
      <c r="I2384" s="5"/>
    </row>
    <row r="2385" spans="1:9" ht="17.399999999999999" x14ac:dyDescent="0.25">
      <c r="A2385" s="16"/>
      <c r="B2385" s="17"/>
      <c r="C2385" s="2" t="b">
        <v>0</v>
      </c>
      <c r="D2385" s="2"/>
      <c r="E2385" s="2"/>
      <c r="F2385" s="2"/>
      <c r="G2385" s="2"/>
      <c r="H2385" s="2"/>
      <c r="I2385" s="5"/>
    </row>
    <row r="2386" spans="1:9" ht="17.399999999999999" x14ac:dyDescent="0.25">
      <c r="A2386" s="16"/>
      <c r="B2386" s="17"/>
      <c r="C2386" s="2" t="b">
        <v>0</v>
      </c>
      <c r="D2386" s="2"/>
      <c r="E2386" s="2"/>
      <c r="F2386" s="2"/>
      <c r="G2386" s="2"/>
      <c r="H2386" s="2"/>
      <c r="I2386" s="5"/>
    </row>
    <row r="2387" spans="1:9" ht="17.399999999999999" x14ac:dyDescent="0.25">
      <c r="A2387" s="16"/>
      <c r="B2387" s="17"/>
      <c r="C2387" s="2" t="b">
        <v>0</v>
      </c>
      <c r="D2387" s="2"/>
      <c r="E2387" s="2"/>
      <c r="F2387" s="2"/>
      <c r="G2387" s="2"/>
      <c r="H2387" s="2"/>
      <c r="I2387" s="5"/>
    </row>
    <row r="2388" spans="1:9" ht="17.399999999999999" x14ac:dyDescent="0.25">
      <c r="A2388" s="16"/>
      <c r="B2388" s="17"/>
      <c r="C2388" s="2" t="b">
        <v>0</v>
      </c>
      <c r="D2388" s="2"/>
      <c r="E2388" s="2"/>
      <c r="F2388" s="2"/>
      <c r="G2388" s="2"/>
      <c r="H2388" s="2"/>
      <c r="I2388" s="5"/>
    </row>
    <row r="2389" spans="1:9" ht="17.399999999999999" x14ac:dyDescent="0.25">
      <c r="A2389" s="16"/>
      <c r="B2389" s="17"/>
      <c r="C2389" s="2" t="b">
        <v>0</v>
      </c>
      <c r="D2389" s="2"/>
      <c r="E2389" s="2"/>
      <c r="F2389" s="2"/>
      <c r="G2389" s="2"/>
      <c r="H2389" s="2"/>
      <c r="I2389" s="5"/>
    </row>
    <row r="2390" spans="1:9" ht="17.399999999999999" x14ac:dyDescent="0.25">
      <c r="A2390" s="16"/>
      <c r="B2390" s="17"/>
      <c r="C2390" s="2" t="b">
        <v>0</v>
      </c>
      <c r="D2390" s="2"/>
      <c r="E2390" s="2"/>
      <c r="F2390" s="2"/>
      <c r="G2390" s="2"/>
      <c r="H2390" s="2"/>
      <c r="I2390" s="5"/>
    </row>
    <row r="2391" spans="1:9" ht="17.399999999999999" x14ac:dyDescent="0.25">
      <c r="A2391" s="16"/>
      <c r="B2391" s="17"/>
      <c r="C2391" s="2" t="b">
        <v>0</v>
      </c>
      <c r="D2391" s="2"/>
      <c r="E2391" s="2"/>
      <c r="F2391" s="2"/>
      <c r="G2391" s="2"/>
      <c r="H2391" s="2"/>
      <c r="I2391" s="5"/>
    </row>
    <row r="2392" spans="1:9" ht="17.399999999999999" x14ac:dyDescent="0.25">
      <c r="A2392" s="16"/>
      <c r="B2392" s="17"/>
      <c r="C2392" s="2" t="b">
        <v>0</v>
      </c>
      <c r="D2392" s="2"/>
      <c r="E2392" s="2"/>
      <c r="F2392" s="2"/>
      <c r="G2392" s="2"/>
      <c r="H2392" s="2"/>
      <c r="I2392" s="5"/>
    </row>
    <row r="2393" spans="1:9" ht="17.399999999999999" x14ac:dyDescent="0.25">
      <c r="A2393" s="16"/>
      <c r="B2393" s="17"/>
      <c r="C2393" s="2" t="b">
        <v>0</v>
      </c>
      <c r="D2393" s="2"/>
      <c r="E2393" s="2"/>
      <c r="F2393" s="2"/>
      <c r="G2393" s="2"/>
      <c r="H2393" s="2"/>
      <c r="I2393" s="5"/>
    </row>
    <row r="2394" spans="1:9" ht="17.399999999999999" x14ac:dyDescent="0.25">
      <c r="A2394" s="16"/>
      <c r="B2394" s="17"/>
      <c r="C2394" s="2" t="b">
        <v>0</v>
      </c>
      <c r="D2394" s="2"/>
      <c r="E2394" s="2"/>
      <c r="F2394" s="2"/>
      <c r="G2394" s="2"/>
      <c r="H2394" s="2"/>
      <c r="I2394" s="5"/>
    </row>
    <row r="2395" spans="1:9" ht="17.399999999999999" x14ac:dyDescent="0.25">
      <c r="A2395" s="16"/>
      <c r="B2395" s="17"/>
      <c r="C2395" s="2" t="b">
        <v>0</v>
      </c>
      <c r="D2395" s="2"/>
      <c r="E2395" s="2"/>
      <c r="F2395" s="2"/>
      <c r="G2395" s="2"/>
      <c r="H2395" s="2"/>
      <c r="I2395" s="5"/>
    </row>
    <row r="2396" spans="1:9" ht="17.399999999999999" x14ac:dyDescent="0.25">
      <c r="A2396" s="16"/>
      <c r="B2396" s="17"/>
      <c r="C2396" s="2" t="b">
        <v>0</v>
      </c>
      <c r="D2396" s="2"/>
      <c r="E2396" s="2"/>
      <c r="F2396" s="2"/>
      <c r="G2396" s="2"/>
      <c r="H2396" s="2"/>
      <c r="I2396" s="5"/>
    </row>
    <row r="2397" spans="1:9" ht="17.399999999999999" x14ac:dyDescent="0.25">
      <c r="A2397" s="16"/>
      <c r="B2397" s="17"/>
      <c r="C2397" s="2" t="b">
        <v>0</v>
      </c>
      <c r="D2397" s="2"/>
      <c r="E2397" s="2"/>
      <c r="F2397" s="2"/>
      <c r="G2397" s="2"/>
      <c r="H2397" s="2"/>
      <c r="I2397" s="5"/>
    </row>
    <row r="2398" spans="1:9" ht="17.399999999999999" x14ac:dyDescent="0.25">
      <c r="A2398" s="16"/>
      <c r="B2398" s="17"/>
      <c r="C2398" s="2" t="b">
        <v>0</v>
      </c>
      <c r="D2398" s="2"/>
      <c r="E2398" s="2"/>
      <c r="F2398" s="2"/>
      <c r="G2398" s="2"/>
      <c r="H2398" s="2"/>
      <c r="I2398" s="5"/>
    </row>
    <row r="2399" spans="1:9" ht="17.399999999999999" x14ac:dyDescent="0.25">
      <c r="A2399" s="16"/>
      <c r="B2399" s="17"/>
      <c r="C2399" s="2" t="b">
        <v>0</v>
      </c>
      <c r="D2399" s="2"/>
      <c r="E2399" s="2"/>
      <c r="F2399" s="2"/>
      <c r="G2399" s="2"/>
      <c r="H2399" s="2"/>
      <c r="I2399" s="5"/>
    </row>
    <row r="2400" spans="1:9" ht="17.399999999999999" x14ac:dyDescent="0.25">
      <c r="A2400" s="16"/>
      <c r="B2400" s="17"/>
      <c r="C2400" s="2" t="b">
        <v>0</v>
      </c>
      <c r="D2400" s="2"/>
      <c r="E2400" s="2"/>
      <c r="F2400" s="2"/>
      <c r="G2400" s="2"/>
      <c r="H2400" s="2"/>
      <c r="I2400" s="5"/>
    </row>
    <row r="2401" spans="1:9" ht="17.399999999999999" x14ac:dyDescent="0.25">
      <c r="A2401" s="16"/>
      <c r="B2401" s="17"/>
      <c r="C2401" s="2" t="b">
        <v>0</v>
      </c>
      <c r="D2401" s="2"/>
      <c r="E2401" s="2"/>
      <c r="F2401" s="2"/>
      <c r="G2401" s="2"/>
      <c r="H2401" s="2"/>
      <c r="I2401" s="5"/>
    </row>
    <row r="2402" spans="1:9" ht="17.399999999999999" x14ac:dyDescent="0.25">
      <c r="A2402" s="16"/>
      <c r="B2402" s="17"/>
      <c r="C2402" s="2" t="b">
        <v>0</v>
      </c>
      <c r="D2402" s="2"/>
      <c r="E2402" s="2"/>
      <c r="F2402" s="2"/>
      <c r="G2402" s="2"/>
      <c r="H2402" s="2"/>
      <c r="I2402" s="5"/>
    </row>
    <row r="2403" spans="1:9" ht="17.399999999999999" x14ac:dyDescent="0.25">
      <c r="A2403" s="16"/>
      <c r="B2403" s="17"/>
      <c r="C2403" s="2" t="b">
        <v>0</v>
      </c>
      <c r="D2403" s="2"/>
      <c r="E2403" s="2"/>
      <c r="F2403" s="2"/>
      <c r="G2403" s="2"/>
      <c r="H2403" s="2"/>
      <c r="I2403" s="5"/>
    </row>
    <row r="2404" spans="1:9" ht="17.399999999999999" x14ac:dyDescent="0.25">
      <c r="A2404" s="16"/>
      <c r="B2404" s="17"/>
      <c r="C2404" s="2" t="b">
        <v>0</v>
      </c>
      <c r="D2404" s="2"/>
      <c r="E2404" s="2"/>
      <c r="F2404" s="2"/>
      <c r="G2404" s="2"/>
      <c r="H2404" s="2"/>
      <c r="I2404" s="5"/>
    </row>
    <row r="2405" spans="1:9" ht="17.399999999999999" x14ac:dyDescent="0.25">
      <c r="A2405" s="16"/>
      <c r="B2405" s="17"/>
      <c r="C2405" s="2" t="b">
        <v>0</v>
      </c>
      <c r="D2405" s="2"/>
      <c r="E2405" s="2"/>
      <c r="F2405" s="2"/>
      <c r="G2405" s="2"/>
      <c r="H2405" s="2"/>
      <c r="I2405" s="5"/>
    </row>
    <row r="2406" spans="1:9" ht="17.399999999999999" x14ac:dyDescent="0.25">
      <c r="A2406" s="16"/>
      <c r="B2406" s="17"/>
      <c r="C2406" s="2" t="b">
        <v>0</v>
      </c>
      <c r="D2406" s="2"/>
      <c r="E2406" s="2"/>
      <c r="F2406" s="2"/>
      <c r="G2406" s="2"/>
      <c r="H2406" s="2"/>
      <c r="I2406" s="5"/>
    </row>
    <row r="2407" spans="1:9" ht="17.399999999999999" x14ac:dyDescent="0.25">
      <c r="A2407" s="16"/>
      <c r="B2407" s="17"/>
      <c r="C2407" s="2" t="b">
        <v>0</v>
      </c>
      <c r="D2407" s="2"/>
      <c r="E2407" s="2"/>
      <c r="F2407" s="2"/>
      <c r="G2407" s="2"/>
      <c r="H2407" s="2"/>
      <c r="I2407" s="5"/>
    </row>
    <row r="2408" spans="1:9" ht="17.399999999999999" x14ac:dyDescent="0.25">
      <c r="A2408" s="16"/>
      <c r="B2408" s="17"/>
      <c r="C2408" s="2" t="b">
        <v>0</v>
      </c>
      <c r="D2408" s="2"/>
      <c r="E2408" s="2"/>
      <c r="F2408" s="2"/>
      <c r="G2408" s="2"/>
      <c r="H2408" s="2"/>
      <c r="I2408" s="5"/>
    </row>
    <row r="2409" spans="1:9" ht="17.399999999999999" x14ac:dyDescent="0.25">
      <c r="A2409" s="16"/>
      <c r="B2409" s="17"/>
      <c r="C2409" s="2" t="b">
        <v>0</v>
      </c>
      <c r="D2409" s="2"/>
      <c r="E2409" s="2"/>
      <c r="F2409" s="2"/>
      <c r="G2409" s="2"/>
      <c r="H2409" s="2"/>
      <c r="I2409" s="5"/>
    </row>
    <row r="2410" spans="1:9" ht="17.399999999999999" x14ac:dyDescent="0.25">
      <c r="A2410" s="16"/>
      <c r="B2410" s="17"/>
      <c r="C2410" s="2" t="b">
        <v>0</v>
      </c>
      <c r="D2410" s="2"/>
      <c r="E2410" s="2"/>
      <c r="F2410" s="2"/>
      <c r="G2410" s="2"/>
      <c r="H2410" s="2"/>
      <c r="I2410" s="5"/>
    </row>
    <row r="2411" spans="1:9" ht="17.399999999999999" x14ac:dyDescent="0.25">
      <c r="A2411" s="16"/>
      <c r="B2411" s="17"/>
      <c r="C2411" s="2" t="b">
        <v>0</v>
      </c>
      <c r="D2411" s="2"/>
      <c r="E2411" s="2"/>
      <c r="F2411" s="2"/>
      <c r="G2411" s="2"/>
      <c r="H2411" s="2"/>
      <c r="I2411" s="5"/>
    </row>
    <row r="2412" spans="1:9" ht="17.399999999999999" x14ac:dyDescent="0.25">
      <c r="A2412" s="16"/>
      <c r="B2412" s="17"/>
      <c r="C2412" s="2" t="b">
        <v>0</v>
      </c>
      <c r="D2412" s="2"/>
      <c r="E2412" s="2"/>
      <c r="F2412" s="2"/>
      <c r="G2412" s="2"/>
      <c r="H2412" s="2"/>
      <c r="I2412" s="5"/>
    </row>
    <row r="2413" spans="1:9" ht="17.399999999999999" x14ac:dyDescent="0.25">
      <c r="A2413" s="16"/>
      <c r="B2413" s="17"/>
      <c r="C2413" s="2" t="b">
        <v>0</v>
      </c>
      <c r="D2413" s="2"/>
      <c r="E2413" s="2"/>
      <c r="F2413" s="2"/>
      <c r="G2413" s="2"/>
      <c r="H2413" s="2"/>
      <c r="I2413" s="5"/>
    </row>
    <row r="2414" spans="1:9" ht="17.399999999999999" x14ac:dyDescent="0.25">
      <c r="A2414" s="16"/>
      <c r="B2414" s="17"/>
      <c r="C2414" s="2" t="b">
        <v>0</v>
      </c>
      <c r="D2414" s="2"/>
      <c r="E2414" s="2"/>
      <c r="F2414" s="2"/>
      <c r="G2414" s="2"/>
      <c r="H2414" s="2"/>
      <c r="I2414" s="5"/>
    </row>
    <row r="2415" spans="1:9" ht="17.399999999999999" x14ac:dyDescent="0.25">
      <c r="A2415" s="16"/>
      <c r="B2415" s="17"/>
      <c r="C2415" s="2" t="b">
        <v>0</v>
      </c>
      <c r="D2415" s="2"/>
      <c r="E2415" s="2"/>
      <c r="F2415" s="2"/>
      <c r="G2415" s="2"/>
      <c r="H2415" s="2"/>
      <c r="I2415" s="5"/>
    </row>
    <row r="2416" spans="1:9" ht="17.399999999999999" x14ac:dyDescent="0.25">
      <c r="A2416" s="16"/>
      <c r="B2416" s="17"/>
      <c r="C2416" s="2" t="b">
        <v>0</v>
      </c>
      <c r="D2416" s="2"/>
      <c r="E2416" s="2"/>
      <c r="F2416" s="2"/>
      <c r="G2416" s="2"/>
      <c r="H2416" s="2"/>
      <c r="I2416" s="5"/>
    </row>
    <row r="2417" spans="1:9" ht="17.399999999999999" x14ac:dyDescent="0.25">
      <c r="A2417" s="16"/>
      <c r="B2417" s="17"/>
      <c r="C2417" s="2" t="b">
        <v>0</v>
      </c>
      <c r="D2417" s="2"/>
      <c r="E2417" s="2"/>
      <c r="F2417" s="2"/>
      <c r="G2417" s="2"/>
      <c r="H2417" s="2"/>
      <c r="I2417" s="5"/>
    </row>
    <row r="2418" spans="1:9" ht="17.399999999999999" x14ac:dyDescent="0.25">
      <c r="A2418" s="16"/>
      <c r="B2418" s="17"/>
      <c r="C2418" s="2" t="b">
        <v>0</v>
      </c>
      <c r="D2418" s="2"/>
      <c r="E2418" s="2"/>
      <c r="F2418" s="2"/>
      <c r="G2418" s="2"/>
      <c r="H2418" s="2"/>
      <c r="I2418" s="5"/>
    </row>
    <row r="2419" spans="1:9" ht="17.399999999999999" x14ac:dyDescent="0.25">
      <c r="A2419" s="16"/>
      <c r="B2419" s="17"/>
      <c r="C2419" s="2" t="b">
        <v>0</v>
      </c>
      <c r="D2419" s="2"/>
      <c r="E2419" s="2"/>
      <c r="F2419" s="2"/>
      <c r="G2419" s="2"/>
      <c r="H2419" s="2"/>
      <c r="I2419" s="5"/>
    </row>
    <row r="2420" spans="1:9" ht="17.399999999999999" x14ac:dyDescent="0.25">
      <c r="A2420" s="16"/>
      <c r="B2420" s="17"/>
      <c r="C2420" s="2" t="b">
        <v>0</v>
      </c>
      <c r="D2420" s="2"/>
      <c r="E2420" s="2"/>
      <c r="F2420" s="2"/>
      <c r="G2420" s="2"/>
      <c r="H2420" s="2"/>
      <c r="I2420" s="5"/>
    </row>
    <row r="2421" spans="1:9" ht="17.399999999999999" x14ac:dyDescent="0.25">
      <c r="A2421" s="16"/>
      <c r="B2421" s="17"/>
      <c r="C2421" s="2" t="b">
        <v>0</v>
      </c>
      <c r="D2421" s="2"/>
      <c r="E2421" s="2"/>
      <c r="F2421" s="2"/>
      <c r="G2421" s="2"/>
      <c r="H2421" s="2"/>
      <c r="I2421" s="5"/>
    </row>
    <row r="2422" spans="1:9" ht="17.399999999999999" x14ac:dyDescent="0.25">
      <c r="A2422" s="16"/>
      <c r="B2422" s="17"/>
      <c r="C2422" s="2" t="b">
        <v>0</v>
      </c>
      <c r="D2422" s="2"/>
      <c r="E2422" s="2"/>
      <c r="F2422" s="2"/>
      <c r="G2422" s="2"/>
      <c r="H2422" s="2"/>
      <c r="I2422" s="5"/>
    </row>
    <row r="2423" spans="1:9" ht="17.399999999999999" x14ac:dyDescent="0.25">
      <c r="A2423" s="16"/>
      <c r="B2423" s="17"/>
      <c r="C2423" s="2" t="b">
        <v>0</v>
      </c>
      <c r="D2423" s="2"/>
      <c r="E2423" s="2"/>
      <c r="F2423" s="2"/>
      <c r="G2423" s="2"/>
      <c r="H2423" s="2"/>
      <c r="I2423" s="5"/>
    </row>
    <row r="2424" spans="1:9" ht="17.399999999999999" x14ac:dyDescent="0.25">
      <c r="A2424" s="16"/>
      <c r="B2424" s="17"/>
      <c r="C2424" s="2" t="b">
        <v>0</v>
      </c>
      <c r="D2424" s="2"/>
      <c r="E2424" s="2"/>
      <c r="F2424" s="2"/>
      <c r="G2424" s="2"/>
      <c r="H2424" s="2"/>
      <c r="I2424" s="5"/>
    </row>
    <row r="2425" spans="1:9" ht="17.399999999999999" x14ac:dyDescent="0.25">
      <c r="A2425" s="16"/>
      <c r="B2425" s="17"/>
      <c r="C2425" s="2" t="b">
        <v>0</v>
      </c>
      <c r="D2425" s="2"/>
      <c r="E2425" s="2"/>
      <c r="F2425" s="2"/>
      <c r="G2425" s="2"/>
      <c r="H2425" s="2"/>
      <c r="I2425" s="5"/>
    </row>
    <row r="2426" spans="1:9" ht="17.399999999999999" x14ac:dyDescent="0.25">
      <c r="A2426" s="16"/>
      <c r="B2426" s="17"/>
      <c r="C2426" s="2" t="b">
        <v>0</v>
      </c>
      <c r="D2426" s="2"/>
      <c r="E2426" s="2"/>
      <c r="F2426" s="2"/>
      <c r="G2426" s="2"/>
      <c r="H2426" s="2"/>
      <c r="I2426" s="5"/>
    </row>
    <row r="2427" spans="1:9" ht="17.399999999999999" x14ac:dyDescent="0.25">
      <c r="A2427" s="16"/>
      <c r="B2427" s="17"/>
      <c r="C2427" s="2" t="b">
        <v>0</v>
      </c>
      <c r="D2427" s="2"/>
      <c r="E2427" s="2"/>
      <c r="F2427" s="2"/>
      <c r="G2427" s="2"/>
      <c r="H2427" s="2"/>
      <c r="I2427" s="5"/>
    </row>
    <row r="2428" spans="1:9" ht="17.399999999999999" x14ac:dyDescent="0.25">
      <c r="A2428" s="16"/>
      <c r="B2428" s="17"/>
      <c r="C2428" s="2" t="b">
        <v>0</v>
      </c>
      <c r="D2428" s="2"/>
      <c r="E2428" s="2"/>
      <c r="F2428" s="2"/>
      <c r="G2428" s="2"/>
      <c r="H2428" s="2"/>
      <c r="I2428" s="5"/>
    </row>
    <row r="2429" spans="1:9" ht="17.399999999999999" x14ac:dyDescent="0.25">
      <c r="A2429" s="16"/>
      <c r="B2429" s="17"/>
      <c r="C2429" s="2" t="b">
        <v>0</v>
      </c>
      <c r="D2429" s="2"/>
      <c r="E2429" s="2"/>
      <c r="F2429" s="2"/>
      <c r="G2429" s="2"/>
      <c r="H2429" s="2"/>
      <c r="I2429" s="5"/>
    </row>
    <row r="2430" spans="1:9" ht="17.399999999999999" x14ac:dyDescent="0.25">
      <c r="A2430" s="16"/>
      <c r="B2430" s="17"/>
      <c r="C2430" s="2" t="b">
        <v>0</v>
      </c>
      <c r="D2430" s="2"/>
      <c r="E2430" s="2"/>
      <c r="F2430" s="2"/>
      <c r="G2430" s="2"/>
      <c r="H2430" s="2"/>
      <c r="I2430" s="5"/>
    </row>
    <row r="2431" spans="1:9" ht="17.399999999999999" x14ac:dyDescent="0.25">
      <c r="A2431" s="16"/>
      <c r="B2431" s="17"/>
      <c r="C2431" s="2" t="b">
        <v>0</v>
      </c>
      <c r="D2431" s="2"/>
      <c r="E2431" s="2"/>
      <c r="F2431" s="2"/>
      <c r="G2431" s="2"/>
      <c r="H2431" s="2"/>
      <c r="I2431" s="5"/>
    </row>
    <row r="2432" spans="1:9" ht="17.399999999999999" x14ac:dyDescent="0.25">
      <c r="A2432" s="16"/>
      <c r="B2432" s="17"/>
      <c r="C2432" s="2" t="b">
        <v>0</v>
      </c>
      <c r="D2432" s="2"/>
      <c r="E2432" s="2"/>
      <c r="F2432" s="2"/>
      <c r="G2432" s="2"/>
      <c r="H2432" s="2"/>
      <c r="I2432" s="5"/>
    </row>
    <row r="2433" spans="1:9" ht="17.399999999999999" x14ac:dyDescent="0.25">
      <c r="A2433" s="16"/>
      <c r="B2433" s="17"/>
      <c r="C2433" s="2" t="b">
        <v>0</v>
      </c>
      <c r="D2433" s="2"/>
      <c r="E2433" s="2"/>
      <c r="F2433" s="2"/>
      <c r="G2433" s="2"/>
      <c r="H2433" s="2"/>
      <c r="I2433" s="5"/>
    </row>
    <row r="2434" spans="1:9" ht="17.399999999999999" x14ac:dyDescent="0.25">
      <c r="A2434" s="16"/>
      <c r="B2434" s="17"/>
      <c r="C2434" s="2" t="b">
        <v>0</v>
      </c>
      <c r="D2434" s="2"/>
      <c r="E2434" s="2"/>
      <c r="F2434" s="2"/>
      <c r="G2434" s="2"/>
      <c r="H2434" s="2"/>
      <c r="I2434" s="5"/>
    </row>
    <row r="2435" spans="1:9" ht="17.399999999999999" x14ac:dyDescent="0.25">
      <c r="A2435" s="16"/>
      <c r="B2435" s="17"/>
      <c r="C2435" s="2" t="b">
        <v>0</v>
      </c>
      <c r="D2435" s="2"/>
      <c r="E2435" s="2"/>
      <c r="F2435" s="2"/>
      <c r="G2435" s="2"/>
      <c r="H2435" s="2"/>
      <c r="I2435" s="5"/>
    </row>
    <row r="2436" spans="1:9" ht="17.399999999999999" x14ac:dyDescent="0.25">
      <c r="A2436" s="16"/>
      <c r="B2436" s="17"/>
      <c r="C2436" s="2" t="b">
        <v>0</v>
      </c>
      <c r="D2436" s="2"/>
      <c r="E2436" s="2"/>
      <c r="F2436" s="2"/>
      <c r="G2436" s="2"/>
      <c r="H2436" s="2"/>
      <c r="I2436" s="5"/>
    </row>
    <row r="2437" spans="1:9" ht="17.399999999999999" x14ac:dyDescent="0.25">
      <c r="A2437" s="16"/>
      <c r="B2437" s="17"/>
      <c r="C2437" s="2" t="b">
        <v>0</v>
      </c>
      <c r="D2437" s="2"/>
      <c r="E2437" s="2"/>
      <c r="F2437" s="2"/>
      <c r="G2437" s="2"/>
      <c r="H2437" s="2"/>
      <c r="I2437" s="5"/>
    </row>
    <row r="2438" spans="1:9" ht="17.399999999999999" x14ac:dyDescent="0.25">
      <c r="A2438" s="16"/>
      <c r="B2438" s="17"/>
      <c r="C2438" s="2" t="b">
        <v>0</v>
      </c>
      <c r="D2438" s="2"/>
      <c r="E2438" s="2"/>
      <c r="F2438" s="2"/>
      <c r="G2438" s="2"/>
      <c r="H2438" s="2"/>
      <c r="I2438" s="5"/>
    </row>
    <row r="2439" spans="1:9" ht="17.399999999999999" x14ac:dyDescent="0.25">
      <c r="A2439" s="16"/>
      <c r="B2439" s="17"/>
      <c r="C2439" s="2" t="b">
        <v>0</v>
      </c>
      <c r="D2439" s="2"/>
      <c r="E2439" s="2"/>
      <c r="F2439" s="2"/>
      <c r="G2439" s="2"/>
      <c r="H2439" s="2"/>
      <c r="I2439" s="5"/>
    </row>
    <row r="2440" spans="1:9" ht="17.399999999999999" x14ac:dyDescent="0.25">
      <c r="A2440" s="16"/>
      <c r="B2440" s="17"/>
      <c r="C2440" s="2" t="b">
        <v>0</v>
      </c>
      <c r="D2440" s="2"/>
      <c r="E2440" s="2"/>
      <c r="F2440" s="2"/>
      <c r="G2440" s="2"/>
      <c r="H2440" s="2"/>
      <c r="I2440" s="5"/>
    </row>
  </sheetData>
  <mergeCells count="2">
    <mergeCell ref="B2:H2"/>
    <mergeCell ref="B3:H3"/>
  </mergeCells>
  <conditionalFormatting sqref="A1:H2440">
    <cfRule type="cellIs" dxfId="19" priority="1" operator="equal">
      <formula>"Purchased Perks"</formula>
    </cfRule>
    <cfRule type="expression" dxfId="18" priority="2">
      <formula>IF($E1="Purchased Perks",TRUE,FALSE)</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ummaryRight="0"/>
  </sheetPr>
  <dimension ref="A1:XFD2440"/>
  <sheetViews>
    <sheetView workbookViewId="0">
      <pane ySplit="4" topLeftCell="A5" activePane="bottomLeft" state="frozen"/>
      <selection pane="bottomLeft" activeCell="B6" sqref="B6"/>
    </sheetView>
  </sheetViews>
  <sheetFormatPr defaultColWidth="12.6640625" defaultRowHeight="15.75" customHeight="1" x14ac:dyDescent="0.25"/>
  <cols>
    <col min="1" max="1" width="3.21875" customWidth="1"/>
    <col min="2" max="2" width="3.33203125" customWidth="1"/>
    <col min="3" max="3" width="10" customWidth="1"/>
    <col min="4" max="4" width="7.6640625" customWidth="1"/>
    <col min="5" max="5" width="20.88671875" customWidth="1"/>
    <col min="6" max="6" width="14.77734375" customWidth="1"/>
    <col min="7" max="7" width="19.44140625" customWidth="1"/>
    <col min="8" max="8" width="105.109375" customWidth="1"/>
    <col min="9" max="9" width="3.21875" customWidth="1"/>
    <col min="16384" max="16384" width="0" hidden="1" customWidth="1"/>
  </cols>
  <sheetData>
    <row r="1" spans="1:9 16384:16384" ht="18.75" hidden="1" customHeight="1" x14ac:dyDescent="0.25">
      <c r="A1" s="16"/>
      <c r="B1" s="16"/>
      <c r="C1" s="26"/>
      <c r="D1" s="26"/>
      <c r="E1" s="26"/>
      <c r="F1" s="26"/>
      <c r="G1" s="26"/>
      <c r="H1" s="26"/>
      <c r="I1" s="5"/>
      <c r="XFD1">
        <f ca="1">IF('Roll All'!$B$4="Roll!",RAND(),RAND())</f>
        <v>0.50175622365834616</v>
      </c>
    </row>
    <row r="2" spans="1:9 16384:16384" ht="43.5" customHeight="1" x14ac:dyDescent="0.25">
      <c r="A2" s="16"/>
      <c r="B2" s="54" t="s">
        <v>56</v>
      </c>
      <c r="C2" s="40"/>
      <c r="D2" s="40"/>
      <c r="E2" s="40"/>
      <c r="F2" s="40"/>
      <c r="G2" s="40"/>
      <c r="H2" s="40"/>
      <c r="I2" s="5"/>
    </row>
    <row r="3" spans="1:9 16384:16384" ht="42.75" customHeight="1" x14ac:dyDescent="0.25">
      <c r="A3" s="16"/>
      <c r="B3" s="42" t="s">
        <v>5653</v>
      </c>
      <c r="C3" s="40"/>
      <c r="D3" s="40"/>
      <c r="E3" s="40"/>
      <c r="F3" s="40"/>
      <c r="G3" s="40"/>
      <c r="H3" s="40"/>
      <c r="I3" s="5"/>
    </row>
    <row r="4" spans="1:9 16384:16384" ht="34.799999999999997" x14ac:dyDescent="0.25">
      <c r="A4" s="16"/>
      <c r="B4" s="17">
        <f t="array" ref="B4:B211">ROW(B4:B2440)-4</f>
        <v>0</v>
      </c>
      <c r="C4" s="10" t="s">
        <v>50</v>
      </c>
      <c r="D4" s="10" t="s">
        <v>20</v>
      </c>
      <c r="E4" s="10" t="s">
        <v>21</v>
      </c>
      <c r="F4" s="10" t="s">
        <v>22</v>
      </c>
      <c r="G4" s="10" t="s">
        <v>23</v>
      </c>
      <c r="H4" s="10" t="s">
        <v>24</v>
      </c>
      <c r="I4" s="5"/>
    </row>
    <row r="5" spans="1:9 16384:16384" ht="52.2" x14ac:dyDescent="0.25">
      <c r="A5" s="16"/>
      <c r="B5" s="17">
        <v>1</v>
      </c>
      <c r="C5" s="3" t="b">
        <f ca="1">IFERROR(__xludf.DUMMYFUNCTION("sort(filter('Full Perk List'!B3:G1935,'Full Perk List'!F3:F1935=B2),1,1,2,1,3,1)"),FALSE)</f>
        <v>0</v>
      </c>
      <c r="D5" s="3">
        <f ca="1">IFERROR(__xludf.DUMMYFUNCTION("""COMPUTED_VALUE"""),50)</f>
        <v>50</v>
      </c>
      <c r="E5" s="3" t="str">
        <f ca="1">IFERROR(__xludf.DUMMYFUNCTION("""COMPUTED_VALUE"""),"Black Book")</f>
        <v>Black Book</v>
      </c>
      <c r="F5" s="3" t="str">
        <f ca="1">IFERROR(__xludf.DUMMYFUNCTION("""COMPUTED_VALUE"""),"Corruption of Champions")</f>
        <v>Corruption of Champions</v>
      </c>
      <c r="G5" s="3" t="str">
        <f ca="1">IFERROR(__xludf.DUMMYFUNCTION("""COMPUTED_VALUE"""),"Magic")</f>
        <v>Magic</v>
      </c>
      <c r="H5" s="3" t="str">
        <f ca="1">IFERROR(__xludf.DUMMYFUNCTION("""COMPUTED_VALUE"""),"Totally unmarked, save for a blood red clasp that holds the covers closed. Capable of teaching the reader one lust-based spell. Slight chance that they become slightly more intelligent as well.")</f>
        <v>Totally unmarked, save for a blood red clasp that holds the covers closed. Capable of teaching the reader one lust-based spell. Slight chance that they become slightly more intelligent as well.</v>
      </c>
      <c r="I5" s="5"/>
    </row>
    <row r="6" spans="1:9 16384:16384" ht="52.2" x14ac:dyDescent="0.25">
      <c r="A6" s="16"/>
      <c r="B6" s="17">
        <v>2</v>
      </c>
      <c r="C6" s="4" t="b">
        <f ca="1">IFERROR(__xludf.DUMMYFUNCTION("""COMPUTED_VALUE"""),FALSE)</f>
        <v>0</v>
      </c>
      <c r="D6" s="4">
        <f ca="1">IFERROR(__xludf.DUMMYFUNCTION("""COMPUTED_VALUE"""),50)</f>
        <v>50</v>
      </c>
      <c r="E6" s="4" t="str">
        <f ca="1">IFERROR(__xludf.DUMMYFUNCTION("""COMPUTED_VALUE"""),"Mana Lotion Potion")</f>
        <v>Mana Lotion Potion</v>
      </c>
      <c r="F6" s="4" t="str">
        <f ca="1">IFERROR(__xludf.DUMMYFUNCTION("""COMPUTED_VALUE"""),"NUKENAI Seiken-chan")</f>
        <v>NUKENAI Seiken-chan</v>
      </c>
      <c r="G6" s="4" t="str">
        <f ca="1">IFERROR(__xludf.DUMMYFUNCTION("""COMPUTED_VALUE"""),"Magic")</f>
        <v>Magic</v>
      </c>
      <c r="H6" s="4" t="str">
        <f ca="1">IFERROR(__xludf.DUMMYFUNCTION("""COMPUTED_VALUE"""),"A slippery but sticky fluid that can be used “in various ways” for replenishing your mana or slathering all over a magical sword to lubricate it for polishing. Using the entire bottle restores a normal person’s mana to full. This bottle refills once per d"&amp;"ay.")</f>
        <v>A slippery but sticky fluid that can be used “in various ways” for replenishing your mana or slathering all over a magical sword to lubricate it for polishing. Using the entire bottle restores a normal person’s mana to full. This bottle refills once per day.</v>
      </c>
      <c r="I6" s="5"/>
    </row>
    <row r="7" spans="1:9 16384:16384" ht="174" x14ac:dyDescent="0.25">
      <c r="A7" s="16"/>
      <c r="B7" s="17">
        <v>3</v>
      </c>
      <c r="C7" s="2" t="b">
        <f ca="1">IFERROR(__xludf.DUMMYFUNCTION("""COMPUTED_VALUE"""),FALSE)</f>
        <v>0</v>
      </c>
      <c r="D7" s="2">
        <f ca="1">IFERROR(__xludf.DUMMYFUNCTION("""COMPUTED_VALUE"""),50)</f>
        <v>50</v>
      </c>
      <c r="E7" s="2" t="str">
        <f ca="1">IFERROR(__xludf.DUMMYFUNCTION("""COMPUTED_VALUE"""),"Monster Protection")</f>
        <v>Monster Protection</v>
      </c>
      <c r="F7" s="2" t="str">
        <f ca="1">IFERROR(__xludf.DUMMYFUNCTION("""COMPUTED_VALUE"""),"Breathless Wild")</f>
        <v>Breathless Wild</v>
      </c>
      <c r="G7" s="2" t="str">
        <f ca="1">IFERROR(__xludf.DUMMYFUNCTION("""COMPUTED_VALUE"""),"Magic")</f>
        <v>Magic</v>
      </c>
      <c r="H7" s="2" t="str">
        <f ca="1">IFERROR(__xludf.DUMMYFUNCTION("""COMPUTED_VALUE"""),"The Zora have created a novel solution to the problem of monster rape by requiring their women to wear chastity belts at all times for their own safety. Some wearers may be perturbed by the perpetual vibrations of the safety plugs, but such is the price o"&amp;"f preserving a maiden’s virtue in this world. This item grants you a number of these devices, enough to outfit any of your companions with them should you wish to do so. Unlike ordinary chastity belts these are crafted with Zora water magic, which not onl"&amp;"y enables them to be locked with magic so only specific individuals can remove them (usually not the wearer herself), but also makes them self-cleaning so they can be worn for long periods without impacting the wearer’s hygiene. While they don’t help much"&amp;" against magical corruption, most monsters are too stupid to figure out how to unlock the mechanisms that keep the wearer’s virtue safely sealed away.")</f>
        <v>The Zora have created a novel solution to the problem of monster rape by requiring their women to wear chastity belts at all times for their own safety. Some wearers may be perturbed by the perpetual vibrations of the safety plugs, but such is the price of preserving a maiden’s virtue in this world. This item grants you a number of these devices, enough to outfit any of your companions with them should you wish to do so. Unlike ordinary chastity belts these are crafted with Zora water magic, which not only enables them to be locked with magic so only specific individuals can remove them (usually not the wearer herself), but also makes them self-cleaning so they can be worn for long periods without impacting the wearer’s hygiene. While they don’t help much against magical corruption, most monsters are too stupid to figure out how to unlock the mechanisms that keep the wearer’s virtue safely sealed away.</v>
      </c>
      <c r="I7" s="5"/>
    </row>
    <row r="8" spans="1:9 16384:16384" ht="87" x14ac:dyDescent="0.25">
      <c r="A8" s="16"/>
      <c r="B8" s="17">
        <v>4</v>
      </c>
      <c r="C8" s="2" t="b">
        <f ca="1">IFERROR(__xludf.DUMMYFUNCTION("""COMPUTED_VALUE"""),FALSE)</f>
        <v>0</v>
      </c>
      <c r="D8" s="2">
        <f ca="1">IFERROR(__xludf.DUMMYFUNCTION("""COMPUTED_VALUE"""),100)</f>
        <v>100</v>
      </c>
      <c r="E8" s="2" t="str">
        <f ca="1">IFERROR(__xludf.DUMMYFUNCTION("""COMPUTED_VALUE"""),"(Im)pure Energy")</f>
        <v>(Im)pure Energy</v>
      </c>
      <c r="F8" s="2" t="str">
        <f ca="1">IFERROR(__xludf.DUMMYFUNCTION("""COMPUTED_VALUE"""),"The NTR of Slutty Magical Girl Flan")</f>
        <v>The NTR of Slutty Magical Girl Flan</v>
      </c>
      <c r="G8" s="2" t="str">
        <f ca="1">IFERROR(__xludf.DUMMYFUNCTION("""COMPUTED_VALUE"""),"Magic")</f>
        <v>Magic</v>
      </c>
      <c r="H8" s="2" t="str">
        <f ca="1">IFERROR(__xludf.DUMMYFUNCTION("""COMPUTED_VALUE"""),"As a magical girl, you draw your power from the positive emotions of others. Every act of kindness you do, every smile you create will cause you to slowly grow stronger, with even more energy being created if they have magic of their own. It should be not"&amp;"ed though, that despite the name this doesn’t have to be a platonic happiness. More carnal joys can also be used as well, although surely you’ll never stoop to doing something like that with anyone but the one you intend to marry...Right?")</f>
        <v>As a magical girl, you draw your power from the positive emotions of others. Every act of kindness you do, every smile you create will cause you to slowly grow stronger, with even more energy being created if they have magic of their own. It should be noted though, that despite the name this doesn’t have to be a platonic happiness. More carnal joys can also be used as well, although surely you’ll never stoop to doing something like that with anyone but the one you intend to marry...Right?</v>
      </c>
      <c r="I8" s="5"/>
    </row>
    <row r="9" spans="1:9 16384:16384" ht="156.6" x14ac:dyDescent="0.25">
      <c r="A9" s="16"/>
      <c r="B9" s="17">
        <v>5</v>
      </c>
      <c r="C9" s="2" t="b">
        <f ca="1">IFERROR(__xludf.DUMMYFUNCTION("""COMPUTED_VALUE"""),FALSE)</f>
        <v>0</v>
      </c>
      <c r="D9" s="2">
        <f ca="1">IFERROR(__xludf.DUMMYFUNCTION("""COMPUTED_VALUE"""),100)</f>
        <v>100</v>
      </c>
      <c r="E9" s="2" t="str">
        <f ca="1">IFERROR(__xludf.DUMMYFUNCTION("""COMPUTED_VALUE"""),"A Lady's Favour")</f>
        <v>A Lady's Favour</v>
      </c>
      <c r="F9" s="2" t="str">
        <f ca="1">IFERROR(__xludf.DUMMYFUNCTION("""COMPUTED_VALUE"""),"Shinmai Maou no Testament")</f>
        <v>Shinmai Maou no Testament</v>
      </c>
      <c r="G9" s="2" t="str">
        <f ca="1">IFERROR(__xludf.DUMMYFUNCTION("""COMPUTED_VALUE"""),"Magic")</f>
        <v>Magic</v>
      </c>
      <c r="H9" s="2" t="str">
        <f ca="1">IFERROR(__xludf.DUMMYFUNCTION("""COMPUTED_VALUE"""),"It’s common custom for heroes to receive blessings from patrons or admirers before heading off to battle. This piece of cloth is a bandage or a handkerchief that conceals a potent tracking enchantment, allowing you to monitor the status of whoever holds i"&amp;"t from a great distance away. Giving it to a person allows you to monitor that person’s health and wellbeing no matter how far away they move, and you can keep tabs on them even if they vanish into another dimension or behind a barrier. It can also be use"&amp;"d as a targeting device for some types of spells, allowing you to support the bearer from a great distance or even teleport directly to their side if you have those sorts of abilities. It’s also charmed to resist battle damage and can’t easily be destroye"&amp;"d should your ward ever come under attack.")</f>
        <v>It’s common custom for heroes to receive blessings from patrons or admirers before heading off to battle. This piece of cloth is a bandage or a handkerchief that conceals a potent tracking enchantment, allowing you to monitor the status of whoever holds it from a great distance away. Giving it to a person allows you to monitor that person’s health and wellbeing no matter how far away they move, and you can keep tabs on them even if they vanish into another dimension or behind a barrier. It can also be used as a targeting device for some types of spells, allowing you to support the bearer from a great distance or even teleport directly to their side if you have those sorts of abilities. It’s also charmed to resist battle damage and can’t easily be destroyed should your ward ever come under attack.</v>
      </c>
      <c r="I9" s="5"/>
    </row>
    <row r="10" spans="1:9 16384:16384" ht="52.2" x14ac:dyDescent="0.25">
      <c r="A10" s="16"/>
      <c r="B10" s="17">
        <v>6</v>
      </c>
      <c r="C10" s="2" t="b">
        <f ca="1">IFERROR(__xludf.DUMMYFUNCTION("""COMPUTED_VALUE"""),FALSE)</f>
        <v>0</v>
      </c>
      <c r="D10" s="2">
        <f ca="1">IFERROR(__xludf.DUMMYFUNCTION("""COMPUTED_VALUE"""),100)</f>
        <v>100</v>
      </c>
      <c r="E10" s="2" t="str">
        <f ca="1">IFERROR(__xludf.DUMMYFUNCTION("""COMPUTED_VALUE"""),"Amulet of Chastity")</f>
        <v>Amulet of Chastity</v>
      </c>
      <c r="F10" s="2" t="str">
        <f ca="1">IFERROR(__xludf.DUMMYFUNCTION("""COMPUTED_VALUE"""),"Princess Sacrifice")</f>
        <v>Princess Sacrifice</v>
      </c>
      <c r="G10" s="2" t="str">
        <f ca="1">IFERROR(__xludf.DUMMYFUNCTION("""COMPUTED_VALUE"""),"Magic")</f>
        <v>Magic</v>
      </c>
      <c r="H10" s="2" t="str">
        <f ca="1">IFERROR(__xludf.DUMMYFUNCTION("""COMPUTED_VALUE"""),"A magical trinket with the ability to ward off the lustful. It’s honestly just an anti-rape field centered on a bit of jewelry that makes it easier to resist those that want to tap dat ass (your ass). However, it mostly just helps you resist them rather t"&amp;"han be a true counter.")</f>
        <v>A magical trinket with the ability to ward off the lustful. It’s honestly just an anti-rape field centered on a bit of jewelry that makes it easier to resist those that want to tap dat ass (your ass). However, it mostly just helps you resist them rather than be a true counter.</v>
      </c>
      <c r="I10" s="5"/>
    </row>
    <row r="11" spans="1:9 16384:16384" ht="87" x14ac:dyDescent="0.25">
      <c r="A11" s="16"/>
      <c r="B11" s="17">
        <v>7</v>
      </c>
      <c r="C11" s="2" t="b">
        <f ca="1">IFERROR(__xludf.DUMMYFUNCTION("""COMPUTED_VALUE"""),FALSE)</f>
        <v>0</v>
      </c>
      <c r="D11" s="2">
        <f ca="1">IFERROR(__xludf.DUMMYFUNCTION("""COMPUTED_VALUE"""),100)</f>
        <v>100</v>
      </c>
      <c r="E11" s="2" t="str">
        <f ca="1">IFERROR(__xludf.DUMMYFUNCTION("""COMPUTED_VALUE"""),"Arcane Adept")</f>
        <v>Arcane Adept</v>
      </c>
      <c r="F11" s="2" t="str">
        <f ca="1">IFERROR(__xludf.DUMMYFUNCTION("""COMPUTED_VALUE"""),"Monster Girl Dreams 1.3 - The Pre-Capitol Update")</f>
        <v>Monster Girl Dreams 1.3 - The Pre-Capitol Update</v>
      </c>
      <c r="G11" s="2" t="str">
        <f ca="1">IFERROR(__xludf.DUMMYFUNCTION("""COMPUTED_VALUE"""),"Magic")</f>
        <v>Magic</v>
      </c>
      <c r="H11" s="2" t="str">
        <f ca="1">IFERROR(__xludf.DUMMYFUNCTION("""COMPUTED_VALUE"""),"Yer a wizard/witch, Master/Madame. Or at least, you like to style yourself as one. You have a small handful of spells that allow you to use the energy of your mind and body to do things like analyze your opponent for vulnerabilities, restrain them with ma"&amp;"gical ‘rope’, or just bombard them with pleasure directly. That’s said, there’s always more to learn. Study hard!")</f>
        <v>Yer a wizard/witch, Master/Madame. Or at least, you like to style yourself as one. You have a small handful of spells that allow you to use the energy of your mind and body to do things like analyze your opponent for vulnerabilities, restrain them with magical ‘rope’, or just bombard them with pleasure directly. That’s said, there’s always more to learn. Study hard!</v>
      </c>
      <c r="I11" s="5"/>
    </row>
    <row r="12" spans="1:9 16384:16384" ht="104.4" x14ac:dyDescent="0.25">
      <c r="A12" s="16"/>
      <c r="B12" s="17">
        <v>8</v>
      </c>
      <c r="C12" s="2" t="b">
        <f ca="1">IFERROR(__xludf.DUMMYFUNCTION("""COMPUTED_VALUE"""),FALSE)</f>
        <v>0</v>
      </c>
      <c r="D12" s="2">
        <f ca="1">IFERROR(__xludf.DUMMYFUNCTION("""COMPUTED_VALUE"""),100)</f>
        <v>100</v>
      </c>
      <c r="E12" s="2" t="str">
        <f ca="1">IFERROR(__xludf.DUMMYFUNCTION("""COMPUTED_VALUE"""),"Black and White")</f>
        <v>Black and White</v>
      </c>
      <c r="F12" s="2" t="str">
        <f ca="1">IFERROR(__xludf.DUMMYFUNCTION("""COMPUTED_VALUE"""),"Bible Black")</f>
        <v>Bible Black</v>
      </c>
      <c r="G12" s="2" t="str">
        <f ca="1">IFERROR(__xludf.DUMMYFUNCTION("""COMPUTED_VALUE"""),"Magic")</f>
        <v>Magic</v>
      </c>
      <c r="H12" s="2" t="str">
        <f ca="1">IFERROR(__xludf.DUMMYFUNCTION("""COMPUTED_VALUE"""),"Normally, you would have to study for years to gain the knowledge being gifted to you here. While you aren’t a master of the occult, you are not a novice either. This gives you vast knowledge in both black and white magic and rituals. Black magic tends to"&amp;" be more offensive with its rituals requiring sacrifices of blood, sex, and life in order to accomplish. White magic is more defensive, with the banishment of demons and the healing of ailments being a focus. Rituals of white magic are often long chanting"&amp;" sessions and rather time-consuming.")</f>
        <v>Normally, you would have to study for years to gain the knowledge being gifted to you here. While you aren’t a master of the occult, you are not a novice either. This gives you vast knowledge in both black and white magic and rituals. Black magic tends to be more offensive with its rituals requiring sacrifices of blood, sex, and life in order to accomplish. White magic is more defensive, with the banishment of demons and the healing of ailments being a focus. Rituals of white magic are often long chanting sessions and rather time-consuming.</v>
      </c>
      <c r="I12" s="5"/>
    </row>
    <row r="13" spans="1:9 16384:16384" ht="139.19999999999999" x14ac:dyDescent="0.25">
      <c r="A13" s="16"/>
      <c r="B13" s="17">
        <v>9</v>
      </c>
      <c r="C13" s="2" t="b">
        <f ca="1">IFERROR(__xludf.DUMMYFUNCTION("""COMPUTED_VALUE"""),FALSE)</f>
        <v>0</v>
      </c>
      <c r="D13" s="2">
        <f ca="1">IFERROR(__xludf.DUMMYFUNCTION("""COMPUTED_VALUE"""),100)</f>
        <v>100</v>
      </c>
      <c r="E13" s="2" t="str">
        <f ca="1">IFERROR(__xludf.DUMMYFUNCTION("""COMPUTED_VALUE"""),"Caval II")</f>
        <v>Caval II</v>
      </c>
      <c r="F13" s="2" t="str">
        <f ca="1">IFERROR(__xludf.DUMMYFUNCTION("""COMPUTED_VALUE"""),"Fate/Whore Order")</f>
        <v>Fate/Whore Order</v>
      </c>
      <c r="G13" s="2" t="str">
        <f ca="1">IFERROR(__xludf.DUMMYFUNCTION("""COMPUTED_VALUE"""),"Magic")</f>
        <v>Magic</v>
      </c>
      <c r="H13" s="2" t="str">
        <f ca="1">IFERROR(__xludf.DUMMYFUNCTION("""COMPUTED_VALUE"""),"Oh dear, it seems that Fou has some competition. This small fluffy dog seems to have taken to following you around, and won’t go away no matter how much you tell it that you’re not it’s master. Still, for a dog you don’t own it seems remarkably well train"&amp;"ed. Perhaps the dog is simply an excellent judge of character, and deems you worthy of it’s loyalty? ...That’s actually somewhat true, given the dog’s nigh supernatural ability to detect the evilness of others and it’s partial resistance to mind magics an"&amp;"d illusions. Oh, and it can also detect lewdness in the hearts of others. You could literally order it to track down bitches for you and it would probably lead you straight to Scathach and whoever her latest target was.")</f>
        <v>Oh dear, it seems that Fou has some competition. This small fluffy dog seems to have taken to following you around, and won’t go away no matter how much you tell it that you’re not it’s master. Still, for a dog you don’t own it seems remarkably well trained. Perhaps the dog is simply an excellent judge of character, and deems you worthy of it’s loyalty? ...That’s actually somewhat true, given the dog’s nigh supernatural ability to detect the evilness of others and it’s partial resistance to mind magics and illusions. Oh, and it can also detect lewdness in the hearts of others. You could literally order it to track down bitches for you and it would probably lead you straight to Scathach and whoever her latest target was.</v>
      </c>
      <c r="I13" s="5"/>
    </row>
    <row r="14" spans="1:9 16384:16384" ht="52.2" x14ac:dyDescent="0.25">
      <c r="A14" s="16"/>
      <c r="B14" s="17">
        <v>10</v>
      </c>
      <c r="C14" s="2" t="b">
        <f ca="1">IFERROR(__xludf.DUMMYFUNCTION("""COMPUTED_VALUE"""),FALSE)</f>
        <v>0</v>
      </c>
      <c r="D14" s="2">
        <f ca="1">IFERROR(__xludf.DUMMYFUNCTION("""COMPUTED_VALUE"""),100)</f>
        <v>100</v>
      </c>
      <c r="E14" s="2" t="str">
        <f ca="1">IFERROR(__xludf.DUMMYFUNCTION("""COMPUTED_VALUE"""),"Charmed Collar")</f>
        <v>Charmed Collar</v>
      </c>
      <c r="F14" s="2" t="str">
        <f ca="1">IFERROR(__xludf.DUMMYFUNCTION("""COMPUTED_VALUE"""),"Evening Starter")</f>
        <v>Evening Starter</v>
      </c>
      <c r="G14" s="2" t="str">
        <f ca="1">IFERROR(__xludf.DUMMYFUNCTION("""COMPUTED_VALUE"""),"Magic")</f>
        <v>Magic</v>
      </c>
      <c r="H14" s="2" t="str">
        <f ca="1">IFERROR(__xludf.DUMMYFUNCTION("""COMPUTED_VALUE"""),"A simple leather choker with runes sewn into it. This choker has several defensive spells placed upon it that protect the wearer from elemental spells and some mental manipulation like hypnosis. It also looks kind of sexy too.")</f>
        <v>A simple leather choker with runes sewn into it. This choker has several defensive spells placed upon it that protect the wearer from elemental spells and some mental manipulation like hypnosis. It also looks kind of sexy too.</v>
      </c>
      <c r="I14" s="5"/>
    </row>
    <row r="15" spans="1:9 16384:16384" ht="87" x14ac:dyDescent="0.25">
      <c r="A15" s="16"/>
      <c r="B15" s="17">
        <v>11</v>
      </c>
      <c r="C15" s="2" t="b">
        <f ca="1">IFERROR(__xludf.DUMMYFUNCTION("""COMPUTED_VALUE"""),FALSE)</f>
        <v>0</v>
      </c>
      <c r="D15" s="2">
        <f ca="1">IFERROR(__xludf.DUMMYFUNCTION("""COMPUTED_VALUE"""),100)</f>
        <v>100</v>
      </c>
      <c r="E15" s="2" t="str">
        <f ca="1">IFERROR(__xludf.DUMMYFUNCTION("""COMPUTED_VALUE"""),"Cursed Ring")</f>
        <v>Cursed Ring</v>
      </c>
      <c r="F15" s="2" t="str">
        <f ca="1">IFERROR(__xludf.DUMMYFUNCTION("""COMPUTED_VALUE"""),"Prina the Dungeoneering Princess")</f>
        <v>Prina the Dungeoneering Princess</v>
      </c>
      <c r="G15" s="2" t="str">
        <f ca="1">IFERROR(__xludf.DUMMYFUNCTION("""COMPUTED_VALUE"""),"Magic")</f>
        <v>Magic</v>
      </c>
      <c r="H15" s="2" t="str">
        <f ca="1">IFERROR(__xludf.DUMMYFUNCTION("""COMPUTED_VALUE"""),"This ring is fairly standard as far as cursed objects go. Succubus use it to make their meal last a little longer before finally cumming their life out of their dick. A simple curse that prevents the wearer from ejaculating, and another that prevents them"&amp;" from removing it under their own power is all it really has. Technically speaking, you have two. An actual ring, for boring people, and a cock ring, as the original was.")</f>
        <v>This ring is fairly standard as far as cursed objects go. Succubus use it to make their meal last a little longer before finally cumming their life out of their dick. A simple curse that prevents the wearer from ejaculating, and another that prevents them from removing it under their own power is all it really has. Technically speaking, you have two. An actual ring, for boring people, and a cock ring, as the original was.</v>
      </c>
      <c r="I15" s="5"/>
    </row>
    <row r="16" spans="1:9 16384:16384" ht="121.8" x14ac:dyDescent="0.25">
      <c r="A16" s="16"/>
      <c r="B16" s="17">
        <v>12</v>
      </c>
      <c r="C16" s="2" t="b">
        <f ca="1">IFERROR(__xludf.DUMMYFUNCTION("""COMPUTED_VALUE"""),FALSE)</f>
        <v>0</v>
      </c>
      <c r="D16" s="2">
        <f ca="1">IFERROR(__xludf.DUMMYFUNCTION("""COMPUTED_VALUE"""),100)</f>
        <v>100</v>
      </c>
      <c r="E16" s="2" t="str">
        <f ca="1">IFERROR(__xludf.DUMMYFUNCTION("""COMPUTED_VALUE"""),"Deck of Hearts")</f>
        <v>Deck of Hearts</v>
      </c>
      <c r="F16" s="2" t="str">
        <f ca="1">IFERROR(__xludf.DUMMYFUNCTION("""COMPUTED_VALUE"""),"Generic: Hentai Occult")</f>
        <v>Generic: Hentai Occult</v>
      </c>
      <c r="G16" s="2" t="str">
        <f ca="1">IFERROR(__xludf.DUMMYFUNCTION("""COMPUTED_VALUE"""),"Magic")</f>
        <v>Magic</v>
      </c>
      <c r="H16" s="2" t="str">
        <f ca="1">IFERROR(__xludf.DUMMYFUNCTION("""COMPUTED_VALUE"""),"A mostly ordinary deck of playing cards, though the queen's are the only thing special about it. Specifically, the king and queen cards will attune to anyone that touches them, with the kings applying to men and the queens to women. Anything sexual you do"&amp;" to one of the attuned people within the network will happen to all of them, all the way up to getting pregnant. To ‘activate’ a card, just get the intended person to touch it. It stays tuned to them as long as no one else touches it. If you really wanted"&amp;" to be mean, you could tie three to one person to utterly wreck them. You can choose whether a card attunes to you.")</f>
        <v>A mostly ordinary deck of playing cards, though the queen's are the only thing special about it. Specifically, the king and queen cards will attune to anyone that touches them, with the kings applying to men and the queens to women. Anything sexual you do to one of the attuned people within the network will happen to all of them, all the way up to getting pregnant. To ‘activate’ a card, just get the intended person to touch it. It stays tuned to them as long as no one else touches it. If you really wanted to be mean, you could tie three to one person to utterly wreck them. You can choose whether a card attunes to you.</v>
      </c>
      <c r="I16" s="5"/>
    </row>
    <row r="17" spans="1:9" ht="52.2" x14ac:dyDescent="0.25">
      <c r="A17" s="16"/>
      <c r="B17" s="17">
        <v>13</v>
      </c>
      <c r="C17" s="2" t="b">
        <f ca="1">IFERROR(__xludf.DUMMYFUNCTION("""COMPUTED_VALUE"""),FALSE)</f>
        <v>0</v>
      </c>
      <c r="D17" s="2">
        <f ca="1">IFERROR(__xludf.DUMMYFUNCTION("""COMPUTED_VALUE"""),100)</f>
        <v>100</v>
      </c>
      <c r="E17" s="2" t="str">
        <f ca="1">IFERROR(__xludf.DUMMYFUNCTION("""COMPUTED_VALUE"""),"Dragon Skin Black Undies")</f>
        <v>Dragon Skin Black Undies</v>
      </c>
      <c r="F17" s="2" t="str">
        <f ca="1">IFERROR(__xludf.DUMMYFUNCTION("""COMPUTED_VALUE"""),"Princess Sacrifice")</f>
        <v>Princess Sacrifice</v>
      </c>
      <c r="G17" s="2" t="str">
        <f ca="1">IFERROR(__xludf.DUMMYFUNCTION("""COMPUTED_VALUE"""),"Magic")</f>
        <v>Magic</v>
      </c>
      <c r="H17" s="2" t="str">
        <f ca="1">IFERROR(__xludf.DUMMYFUNCTION("""COMPUTED_VALUE"""),"A set of black undergarments made of dragon skin and fit like a glove. It makes the wearer resistant to fire, which is pretty damn good for a set of sexy undies. It has this odd effect of making the skin more susceptible to pleasure, though...")</f>
        <v>A set of black undergarments made of dragon skin and fit like a glove. It makes the wearer resistant to fire, which is pretty damn good for a set of sexy undies. It has this odd effect of making the skin more susceptible to pleasure, though...</v>
      </c>
      <c r="I17" s="5"/>
    </row>
    <row r="18" spans="1:9" ht="156.6" x14ac:dyDescent="0.25">
      <c r="A18" s="16"/>
      <c r="B18" s="17">
        <v>14</v>
      </c>
      <c r="C18" s="2" t="b">
        <f ca="1">IFERROR(__xludf.DUMMYFUNCTION("""COMPUTED_VALUE"""),FALSE)</f>
        <v>0</v>
      </c>
      <c r="D18" s="2">
        <f ca="1">IFERROR(__xludf.DUMMYFUNCTION("""COMPUTED_VALUE"""),100)</f>
        <v>100</v>
      </c>
      <c r="E18" s="2" t="str">
        <f ca="1">IFERROR(__xludf.DUMMYFUNCTION("""COMPUTED_VALUE"""),"Elemental Crystals")</f>
        <v>Elemental Crystals</v>
      </c>
      <c r="F18" s="2" t="str">
        <f ca="1">IFERROR(__xludf.DUMMYFUNCTION("""COMPUTED_VALUE"""),"The Legend Of Queen Opala")</f>
        <v>The Legend Of Queen Opala</v>
      </c>
      <c r="G18" s="2" t="str">
        <f ca="1">IFERROR(__xludf.DUMMYFUNCTION("""COMPUTED_VALUE"""),"Magic")</f>
        <v>Magic</v>
      </c>
      <c r="H18" s="2" t="str">
        <f ca="1">IFERROR(__xludf.DUMMYFUNCTION("""COMPUTED_VALUE"""),"These large crystals contain the four elemental spirits: Fire, Ice, Air or Earth. When shattered, you can choose to fight the released spirit and absorb its power to gain the ability to attack foes with (weak) elemental blasts of their particular element."&amp;" Giving up this power will cause the crystal to reform.
Alternatively, if you shatter a crystal but don't hurt them, you can ask them for some other favors. They're all attractive women clad in nothing but their elemental powers, after all, and while yo"&amp;"u could always use them as magically empowered bodyguards, there’s no doubt other things they could help you with...")</f>
        <v>These large crystals contain the four elemental spirits: Fire, Ice, Air or Earth. When shattered, you can choose to fight the released spirit and absorb its power to gain the ability to attack foes with (weak) elemental blasts of their particular element. Giving up this power will cause the crystal to reform.
Alternatively, if you shatter a crystal but don't hurt them, you can ask them for some other favors. They're all attractive women clad in nothing but their elemental powers, after all, and while you could always use them as magically empowered bodyguards, there’s no doubt other things they could help you with...</v>
      </c>
      <c r="I18" s="5"/>
    </row>
    <row r="19" spans="1:9" ht="208.8" x14ac:dyDescent="0.25">
      <c r="A19" s="16"/>
      <c r="B19" s="17">
        <v>15</v>
      </c>
      <c r="C19" s="2" t="b">
        <f ca="1">IFERROR(__xludf.DUMMYFUNCTION("""COMPUTED_VALUE"""),FALSE)</f>
        <v>0</v>
      </c>
      <c r="D19" s="2">
        <f ca="1">IFERROR(__xludf.DUMMYFUNCTION("""COMPUTED_VALUE"""),100)</f>
        <v>100</v>
      </c>
      <c r="E19" s="2" t="str">
        <f ca="1">IFERROR(__xludf.DUMMYFUNCTION("""COMPUTED_VALUE"""),"First Year Rookie")</f>
        <v>First Year Rookie</v>
      </c>
      <c r="F19" s="2" t="str">
        <f ca="1">IFERROR(__xludf.DUMMYFUNCTION("""COMPUTED_VALUE"""),"Karenvania")</f>
        <v>Karenvania</v>
      </c>
      <c r="G19" s="2" t="str">
        <f ca="1">IFERROR(__xludf.DUMMYFUNCTION("""COMPUTED_VALUE"""),"Magic")</f>
        <v>Magic</v>
      </c>
      <c r="H19" s="2" t="str">
        <f ca="1">IFERROR(__xludf.DUMMYFUNCTION("""COMPUTED_VALUE"""),"Now that you understand your power, you must begin to use it. To that end, you have an acceptable level of skill at the standard weapon of an Exorcist - traditionally a sword, though the exact style is up to you - as well as the ability to use your spirit"&amp;"ual energy to enhance your body, striking with the force of several men despite being a somewhat dainty young lady. In addition to that, your name has been magically shrouded, preventing people from being able to identify you as an ordinary student while "&amp;"performing your duties as an Exorcist unless they already know you personally.
These exercises will come as easy as breathing, to the point that you can do them flawlessly in your sleep. Their effect is minimal, but they should allow you to gain some mus"&amp;"cle mass fairly quickly. You will also notice a pleasant ache in your body after performing them, as if the exercises were arousing to you. In what I assure you is a completely unrelated manner, your ass is amazingly clean and anal sex is remarkably pleas"&amp;"urable to you.")</f>
        <v>Now that you understand your power, you must begin to use it. To that end, you have an acceptable level of skill at the standard weapon of an Exorcist - traditionally a sword, though the exact style is up to you - as well as the ability to use your spiritual energy to enhance your body, striking with the force of several men despite being a somewhat dainty young lady. In addition to that, your name has been magically shrouded, preventing people from being able to identify you as an ordinary student while performing your duties as an Exorcist unless they already know you personally.
These exercises will come as easy as breathing, to the point that you can do them flawlessly in your sleep. Their effect is minimal, but they should allow you to gain some muscle mass fairly quickly. You will also notice a pleasant ache in your body after performing them, as if the exercises were arousing to you. In what I assure you is a completely unrelated manner, your ass is amazingly clean and anal sex is remarkably pleasurable to you.</v>
      </c>
      <c r="I19" s="5"/>
    </row>
    <row r="20" spans="1:9" ht="191.4" x14ac:dyDescent="0.25">
      <c r="A20" s="16"/>
      <c r="B20" s="17">
        <v>16</v>
      </c>
      <c r="C20" s="2" t="b">
        <f ca="1">IFERROR(__xludf.DUMMYFUNCTION("""COMPUTED_VALUE"""),FALSE)</f>
        <v>0</v>
      </c>
      <c r="D20" s="2">
        <f ca="1">IFERROR(__xludf.DUMMYFUNCTION("""COMPUTED_VALUE"""),100)</f>
        <v>100</v>
      </c>
      <c r="E20" s="2" t="str">
        <f ca="1">IFERROR(__xludf.DUMMYFUNCTION("""COMPUTED_VALUE"""),"Hylian Hood")</f>
        <v>Hylian Hood</v>
      </c>
      <c r="F20" s="2" t="str">
        <f ca="1">IFERROR(__xludf.DUMMYFUNCTION("""COMPUTED_VALUE"""),"Breathless Wild")</f>
        <v>Breathless Wild</v>
      </c>
      <c r="G20" s="2" t="str">
        <f ca="1">IFERROR(__xludf.DUMMYFUNCTION("""COMPUTED_VALUE"""),"Magic")</f>
        <v>Magic</v>
      </c>
      <c r="H20" s="2" t="str">
        <f ca="1">IFERROR(__xludf.DUMMYFUNCTION("""COMPUTED_VALUE"""),"A simple hooded cloak enchanted by fairy magic, this traveler’s staple is a useful accessory for anybody hoping to travel Hyrule with some degree of privacy. When the hood is pulled up it shrouds the wearer’s face in magical shadows, disguising them to an"&amp;"ybody who doesn’t already know their identity. A princess wearing this cloak could walk among her subjects and be totally unrecognized by all save the bodyguard at her side. Nor will they notice if said princess is otherwise nude or has a vibrator buzzing"&amp;" away beneath her clothes, as the great fairy also rather mischievously enchanted the cloak with an aura of normalcy that disguises lewd acts from uninvolved onlookers, though if they become directly involved in such lewdness the disguise falls away immed"&amp;"iately. All but the largest of monsters could even use this cloak to pass themselves off as ordinary travelers if they were clever enough to disguise themselves, at least until the hood falls away and their monstrous intentions are revealed.")</f>
        <v>A simple hooded cloak enchanted by fairy magic, this traveler’s staple is a useful accessory for anybody hoping to travel Hyrule with some degree of privacy. When the hood is pulled up it shrouds the wearer’s face in magical shadows, disguising them to anybody who doesn’t already know their identity. A princess wearing this cloak could walk among her subjects and be totally unrecognized by all save the bodyguard at her side. Nor will they notice if said princess is otherwise nude or has a vibrator buzzing away beneath her clothes, as the great fairy also rather mischievously enchanted the cloak with an aura of normalcy that disguises lewd acts from uninvolved onlookers, though if they become directly involved in such lewdness the disguise falls away immediately. All but the largest of monsters could even use this cloak to pass themselves off as ordinary travelers if they were clever enough to disguise themselves, at least until the hood falls away and their monstrous intentions are revealed.</v>
      </c>
      <c r="I20" s="5"/>
    </row>
    <row r="21" spans="1:9" ht="409.6" x14ac:dyDescent="0.25">
      <c r="A21" s="16"/>
      <c r="B21" s="17">
        <v>17</v>
      </c>
      <c r="C21" s="2" t="b">
        <f ca="1">IFERROR(__xludf.DUMMYFUNCTION("""COMPUTED_VALUE"""),FALSE)</f>
        <v>0</v>
      </c>
      <c r="D21" s="2">
        <f ca="1">IFERROR(__xludf.DUMMYFUNCTION("""COMPUTED_VALUE"""),100)</f>
        <v>100</v>
      </c>
      <c r="E21" s="2" t="str">
        <f ca="1">IFERROR(__xludf.DUMMYFUNCTION("""COMPUTED_VALUE"""),"Magic")</f>
        <v>Magic</v>
      </c>
      <c r="F21" s="2" t="str">
        <f ca="1">IFERROR(__xludf.DUMMYFUNCTION("""COMPUTED_VALUE"""),"Although Young People Recoil from Entering the Black Magic Industry...")</f>
        <v>Although Young People Recoil from Entering the Black Magic Industry...</v>
      </c>
      <c r="G21" s="2" t="str">
        <f ca="1">IFERROR(__xludf.DUMMYFUNCTION("""COMPUTED_VALUE"""),"Magic")</f>
        <v>Magic</v>
      </c>
      <c r="H21" s="2" t="str">
        <f ca="1">IFERROR(__xludf.DUMMYFUNCTION("""COMPUTED_VALUE"""),"You’re lucky enough to know magic! If you’re a drop-in, this lets you skip the years of education required to get to the point that you can actually start casting spells; if you have a local background, your past includes receiving an education in magic ."&amp;" Whether it’s from a formal institute, learned via family traditions, or self - taught, it doesn’t matter; in regards to this perk, they’re all equally effective. There are many different types of magic in the world, but you can select from the following "&amp;"list: 
&gt; White Magic: White magic is the loosely - defined magic of “good”; it can inflict justice on those who have done wrong, weaken powerful enemies, heal wounds and sickness, fill inanimate objects with life energy to create golems, and so on. There "&amp;"is no requirement in the slightest that these magics be used for good purposes, however. 
&gt; Black Magic: Black magic is the loosely - defined magic of “evil”; it can create undead (who are of ten rather nice), summon demons (who are delightfully helpful),"&amp;" speak with the deceased (who may have good advice), drain life force (which with specialized application can be used to heal), invoke fear (useful for ending fights quickly), as well as the magic of making sacrifices to achieve something normally beyond "&amp;"your means. It is also the magic most frequently used for sexual purposes. Like with white magic, there is no requirement to actually be evil to use black magic. 
&gt; Purple Magic: Purple magic is closely related to black magic. While both are capable of a "&amp;"degree of mind control, manipulating emotions, and providing resistance to said effects, purple magic goes all - in on focusing on mental effects. It is capable of invoking hallucinations, causing ill usions, full - on control of minds and thought process"&amp;"es, and brainwashing. 
&gt; Blue Magic: Blue magic is deceptively simple; it allows you to control water. However, considering how important the sea is to life in general, and to commerce in particular, this ma kes blue magicians an invaluable component of t"&amp;"he economy. 
&gt; Red Magic: Red magic is the magic of fire and destruction. Although its most readily - apparent and obvious uses are for combat, red magicians are actually most commonly found in the field of enginee ring. 
&gt; Green Magic: Green magic is the"&amp;" natural magic of plants. It can manipulate them, make them grow faster, and affect their health. A vital component of the agricultural system.
You may purchase additional forms of magic at any time you could purchase a perk for 200 CP.")</f>
        <v>You’re lucky enough to know magic! If you’re a drop-in, this lets you skip the years of education required to get to the point that you can actually start casting spells; if you have a local background, your past includes receiving an education in magic . Whether it’s from a formal institute, learned via family traditions, or self - taught, it doesn’t matter; in regards to this perk, they’re all equally effective. There are many different types of magic in the world, but you can select from the following list: 
&gt; White Magic: White magic is the loosely - defined magic of “good”; it can inflict justice on those who have done wrong, weaken powerful enemies, heal wounds and sickness, fill inanimate objects with life energy to create golems, and so on. There is no requirement in the slightest that these magics be used for good purposes, however. 
&gt; Black Magic: Black magic is the loosely - defined magic of “evil”; it can create undead (who are of ten rather nice), summon demons (who are delightfully helpful), speak with the deceased (who may have good advice), drain life force (which with specialized application can be used to heal), invoke fear (useful for ending fights quickly), as well as the magic of making sacrifices to achieve something normally beyond your means. It is also the magic most frequently used for sexual purposes. Like with white magic, there is no requirement to actually be evil to use black magic. 
&gt; Purple Magic: Purple magic is closely related to black magic. While both are capable of a degree of mind control, manipulating emotions, and providing resistance to said effects, purple magic goes all - in on focusing on mental effects. It is capable of invoking hallucinations, causing ill usions, full - on control of minds and thought processes, and brainwashing. 
&gt; Blue Magic: Blue magic is deceptively simple; it allows you to control water. However, considering how important the sea is to life in general, and to commerce in particular, this ma kes blue magicians an invaluable component of the economy. 
&gt; Red Magic: Red magic is the magic of fire and destruction. Although its most readily - apparent and obvious uses are for combat, red magicians are actually most commonly found in the field of enginee ring. 
&gt; Green Magic: Green magic is the natural magic of plants. It can manipulate them, make them grow faster, and affect their health. A vital component of the agricultural system.
You may purchase additional forms of magic at any time you could purchase a perk for 200 CP.</v>
      </c>
      <c r="I21" s="5"/>
    </row>
    <row r="22" spans="1:9" ht="69.599999999999994" x14ac:dyDescent="0.25">
      <c r="A22" s="16"/>
      <c r="B22" s="17">
        <v>18</v>
      </c>
      <c r="C22" s="2" t="b">
        <f ca="1">IFERROR(__xludf.DUMMYFUNCTION("""COMPUTED_VALUE"""),FALSE)</f>
        <v>0</v>
      </c>
      <c r="D22" s="2">
        <f ca="1">IFERROR(__xludf.DUMMYFUNCTION("""COMPUTED_VALUE"""),100)</f>
        <v>100</v>
      </c>
      <c r="E22" s="2" t="str">
        <f ca="1">IFERROR(__xludf.DUMMYFUNCTION("""COMPUTED_VALUE"""),"Magic Mirrors")</f>
        <v>Magic Mirrors</v>
      </c>
      <c r="F22" s="2" t="str">
        <f ca="1">IFERROR(__xludf.DUMMYFUNCTION("""COMPUTED_VALUE"""),"Erona")</f>
        <v>Erona</v>
      </c>
      <c r="G22" s="2" t="str">
        <f ca="1">IFERROR(__xludf.DUMMYFUNCTION("""COMPUTED_VALUE"""),"Magic")</f>
        <v>Magic</v>
      </c>
      <c r="H22" s="2" t="str">
        <f ca="1">IFERROR(__xludf.DUMMYFUNCTION("""COMPUTED_VALUE"""),"A set of two mirrors that appear completely normal but are communication devices that are linked to each other so that what appears on end is shown on the other. Geldro used this as a way to contact a corrupt noble in the capital to get him to sell out th"&amp;"e country's military and stage a coup, but I’m certain a smart orc like you can find other uses for such a tool.")</f>
        <v>A set of two mirrors that appear completely normal but are communication devices that are linked to each other so that what appears on end is shown on the other. Geldro used this as a way to contact a corrupt noble in the capital to get him to sell out the country's military and stage a coup, but I’m certain a smart orc like you can find other uses for such a tool.</v>
      </c>
      <c r="I22" s="5"/>
    </row>
    <row r="23" spans="1:9" ht="121.8" x14ac:dyDescent="0.25">
      <c r="A23" s="16"/>
      <c r="B23" s="17">
        <v>19</v>
      </c>
      <c r="C23" s="2" t="b">
        <f ca="1">IFERROR(__xludf.DUMMYFUNCTION("""COMPUTED_VALUE"""),FALSE)</f>
        <v>0</v>
      </c>
      <c r="D23" s="2">
        <f ca="1">IFERROR(__xludf.DUMMYFUNCTION("""COMPUTED_VALUE"""),100)</f>
        <v>100</v>
      </c>
      <c r="E23" s="2" t="str">
        <f ca="1">IFERROR(__xludf.DUMMYFUNCTION("""COMPUTED_VALUE"""),"Magic Tricks: Arcane")</f>
        <v>Magic Tricks: Arcane</v>
      </c>
      <c r="F23" s="2" t="str">
        <f ca="1">IFERROR(__xludf.DUMMYFUNCTION("""COMPUTED_VALUE"""),"A Change of Tactics V2.2")</f>
        <v>A Change of Tactics V2.2</v>
      </c>
      <c r="G23" s="2" t="str">
        <f ca="1">IFERROR(__xludf.DUMMYFUNCTION("""COMPUTED_VALUE"""),"Magic")</f>
        <v>Magic</v>
      </c>
      <c r="H23" s="2" t="str">
        <f ca="1">IFERROR(__xludf.DUMMYFUNCTION("""COMPUTED_VALUE"""),"Any mage worth his salt can cast battle magic: fireballs and rays of light are simple expressions of power, devoid of finesse or subtlety. There’s much more to magic than mere elemental destruction, and you’re an expert at both these simple combat spells "&amp;"and more complex spellwork. You’ve mastered arcane magic, wielding elemental magic of all sortsIn addition to basic combat magic, you can wield other spells with greater utility, such as wards to protect a region from the elements, or spells to spy throug"&amp;"h walls, and many more, though you will need further training before you can contend with the most powerful mages in this world.")</f>
        <v>Any mage worth his salt can cast battle magic: fireballs and rays of light are simple expressions of power, devoid of finesse or subtlety. There’s much more to magic than mere elemental destruction, and you’re an expert at both these simple combat spells and more complex spellwork. You’ve mastered arcane magic, wielding elemental magic of all sortsIn addition to basic combat magic, you can wield other spells with greater utility, such as wards to protect a region from the elements, or spells to spy through walls, and many more, though you will need further training before you can contend with the most powerful mages in this world.</v>
      </c>
      <c r="I23" s="5"/>
    </row>
    <row r="24" spans="1:9" ht="121.8" x14ac:dyDescent="0.25">
      <c r="A24" s="16"/>
      <c r="B24" s="17">
        <v>20</v>
      </c>
      <c r="C24" s="2" t="b">
        <f ca="1">IFERROR(__xludf.DUMMYFUNCTION("""COMPUTED_VALUE"""),FALSE)</f>
        <v>0</v>
      </c>
      <c r="D24" s="2">
        <f ca="1">IFERROR(__xludf.DUMMYFUNCTION("""COMPUTED_VALUE"""),100)</f>
        <v>100</v>
      </c>
      <c r="E24" s="2" t="str">
        <f ca="1">IFERROR(__xludf.DUMMYFUNCTION("""COMPUTED_VALUE"""),"Magic Tricks: Sacred")</f>
        <v>Magic Tricks: Sacred</v>
      </c>
      <c r="F24" s="2" t="str">
        <f ca="1">IFERROR(__xludf.DUMMYFUNCTION("""COMPUTED_VALUE"""),"A Change of Tactics V2.2")</f>
        <v>A Change of Tactics V2.2</v>
      </c>
      <c r="G24" s="2" t="str">
        <f ca="1">IFERROR(__xludf.DUMMYFUNCTION("""COMPUTED_VALUE"""),"Magic")</f>
        <v>Magic</v>
      </c>
      <c r="H24" s="2" t="str">
        <f ca="1">IFERROR(__xludf.DUMMYFUNCTION("""COMPUTED_VALUE"""),"Any mage worth his salt can cast battle magic: fireballs and rays of light are simple expressions of power, devoid of finesse or subtlety. There’s much more to magic than mere elemental destruction, and you’re an expert at both these simple combat spells "&amp;"and more complex spellwork. You’ve mastered sacred magic, weilding spells of healing, defense, and the power of faith. In addition to basic combat magic, you can wield other spells with greater utility, such as wards against sickness or pregnancy, or spel"&amp;"ls to track a marked target, and many more, though you will need further training before you can contend with the most powerful mages in this world.")</f>
        <v>Any mage worth his salt can cast battle magic: fireballs and rays of light are simple expressions of power, devoid of finesse or subtlety. There’s much more to magic than mere elemental destruction, and you’re an expert at both these simple combat spells and more complex spellwork. You’ve mastered sacred magic, weilding spells of healing, defense, and the power of faith. In addition to basic combat magic, you can wield other spells with greater utility, such as wards against sickness or pregnancy, or spells to track a marked target, and many more, though you will need further training before you can contend with the most powerful mages in this world.</v>
      </c>
      <c r="I24" s="5"/>
    </row>
    <row r="25" spans="1:9" ht="104.4" x14ac:dyDescent="0.25">
      <c r="A25" s="16"/>
      <c r="B25" s="17">
        <v>21</v>
      </c>
      <c r="C25" s="2" t="b">
        <f ca="1">IFERROR(__xludf.DUMMYFUNCTION("""COMPUTED_VALUE"""),FALSE)</f>
        <v>0</v>
      </c>
      <c r="D25" s="2">
        <f ca="1">IFERROR(__xludf.DUMMYFUNCTION("""COMPUTED_VALUE"""),100)</f>
        <v>100</v>
      </c>
      <c r="E25" s="2" t="str">
        <f ca="1">IFERROR(__xludf.DUMMYFUNCTION("""COMPUTED_VALUE"""),"Magical Back-up Battery")</f>
        <v>Magical Back-up Battery</v>
      </c>
      <c r="F25" s="2" t="str">
        <f ca="1">IFERROR(__xludf.DUMMYFUNCTION("""COMPUTED_VALUE"""),"Evening Starter")</f>
        <v>Evening Starter</v>
      </c>
      <c r="G25" s="2" t="str">
        <f ca="1">IFERROR(__xludf.DUMMYFUNCTION("""COMPUTED_VALUE"""),"Magic")</f>
        <v>Magic</v>
      </c>
      <c r="H25" s="2" t="str">
        <f ca="1">IFERROR(__xludf.DUMMYFUNCTION("""COMPUTED_VALUE"""),"A specialized device used to restore magical power quickly. While seemingly mundane, it is a highly specialized tool that works with both Witches and Sorcery Emulators. It’s a rechargeable pool of magical energy that is great in an emergency. It can do th"&amp;"is twice before needing to be recharged. However, it must be recharged via biochemical reactions. The catalyst for such reactions is blood or semen, the fresher the source, the more potent the reaction. Blood from transfusion bags seems to ruin the effect"&amp;" and frozen semen is very inefficient.")</f>
        <v>A specialized device used to restore magical power quickly. While seemingly mundane, it is a highly specialized tool that works with both Witches and Sorcery Emulators. It’s a rechargeable pool of magical energy that is great in an emergency. It can do this twice before needing to be recharged. However, it must be recharged via biochemical reactions. The catalyst for such reactions is blood or semen, the fresher the source, the more potent the reaction. Blood from transfusion bags seems to ruin the effect and frozen semen is very inefficient.</v>
      </c>
      <c r="I25" s="5"/>
    </row>
    <row r="26" spans="1:9" ht="87" x14ac:dyDescent="0.25">
      <c r="A26" s="16"/>
      <c r="B26" s="17">
        <v>22</v>
      </c>
      <c r="C26" s="2" t="b">
        <f ca="1">IFERROR(__xludf.DUMMYFUNCTION("""COMPUTED_VALUE"""),FALSE)</f>
        <v>0</v>
      </c>
      <c r="D26" s="2">
        <f ca="1">IFERROR(__xludf.DUMMYFUNCTION("""COMPUTED_VALUE"""),100)</f>
        <v>100</v>
      </c>
      <c r="E26" s="2" t="str">
        <f ca="1">IFERROR(__xludf.DUMMYFUNCTION("""COMPUTED_VALUE"""),"Magical Smokes")</f>
        <v>Magical Smokes</v>
      </c>
      <c r="F26" s="2" t="str">
        <f ca="1">IFERROR(__xludf.DUMMYFUNCTION("""COMPUTED_VALUE"""),"High Elf x High School")</f>
        <v>High Elf x High School</v>
      </c>
      <c r="G26" s="2" t="str">
        <f ca="1">IFERROR(__xludf.DUMMYFUNCTION("""COMPUTED_VALUE"""),"Magic")</f>
        <v>Magic</v>
      </c>
      <c r="H26" s="2" t="str">
        <f ca="1">IFERROR(__xludf.DUMMYFUNCTION("""COMPUTED_VALUE"""),"These look a lot like cigarettes, but don’t cause anything resembling the health issues caused by those death sticks. Smoking one of these will gradually replenish your supply of magic, fully recharging you if you fully smoke one. More quickly, however, i"&amp;"t can also instantly end the refractory period and can cause a male to rapidly produce more cum. You have a supply of 3 packages of Magical Smokes, which replenishes each week.")</f>
        <v>These look a lot like cigarettes, but don’t cause anything resembling the health issues caused by those death sticks. Smoking one of these will gradually replenish your supply of magic, fully recharging you if you fully smoke one. More quickly, however, it can also instantly end the refractory period and can cause a male to rapidly produce more cum. You have a supply of 3 packages of Magical Smokes, which replenishes each week.</v>
      </c>
      <c r="I26" s="5"/>
    </row>
    <row r="27" spans="1:9" ht="52.2" x14ac:dyDescent="0.25">
      <c r="A27" s="16"/>
      <c r="B27" s="17">
        <v>23</v>
      </c>
      <c r="C27" s="2" t="b">
        <f ca="1">IFERROR(__xludf.DUMMYFUNCTION("""COMPUTED_VALUE"""),FALSE)</f>
        <v>0</v>
      </c>
      <c r="D27" s="2">
        <f ca="1">IFERROR(__xludf.DUMMYFUNCTION("""COMPUTED_VALUE"""),100)</f>
        <v>100</v>
      </c>
      <c r="E27" s="2" t="str">
        <f ca="1">IFERROR(__xludf.DUMMYFUNCTION("""COMPUTED_VALUE"""),"Pocket Goblin")</f>
        <v>Pocket Goblin</v>
      </c>
      <c r="F27" s="2" t="str">
        <f ca="1">IFERROR(__xludf.DUMMYFUNCTION("""COMPUTED_VALUE"""),"Baalbuddy")</f>
        <v>Baalbuddy</v>
      </c>
      <c r="G27" s="2" t="str">
        <f ca="1">IFERROR(__xludf.DUMMYFUNCTION("""COMPUTED_VALUE"""),"Magic")</f>
        <v>Magic</v>
      </c>
      <c r="H27" s="2" t="str">
        <f ca="1">IFERROR(__xludf.DUMMYFUNCTION("""COMPUTED_VALUE"""),"At will you can summon a small helper like a goblin or a fairy. Out of your cleavage, from under your skirt, out of your asscrack, whatever. They can do some housework but are otherwise of limited utility. If killed, you can’t summon another for 24 hours."&amp;" Counts as a follower.")</f>
        <v>At will you can summon a small helper like a goblin or a fairy. Out of your cleavage, from under your skirt, out of your asscrack, whatever. They can do some housework but are otherwise of limited utility. If killed, you can’t summon another for 24 hours. Counts as a follower.</v>
      </c>
      <c r="I27" s="5"/>
    </row>
    <row r="28" spans="1:9" ht="69.599999999999994" x14ac:dyDescent="0.25">
      <c r="A28" s="16"/>
      <c r="B28" s="17">
        <v>24</v>
      </c>
      <c r="C28" s="2" t="b">
        <f ca="1">IFERROR(__xludf.DUMMYFUNCTION("""COMPUTED_VALUE"""),FALSE)</f>
        <v>0</v>
      </c>
      <c r="D28" s="2">
        <f ca="1">IFERROR(__xludf.DUMMYFUNCTION("""COMPUTED_VALUE"""),100)</f>
        <v>100</v>
      </c>
      <c r="E28" s="2" t="str">
        <f ca="1">IFERROR(__xludf.DUMMYFUNCTION("""COMPUTED_VALUE"""),"Souls for Seed")</f>
        <v>Souls for Seed</v>
      </c>
      <c r="F28" s="2" t="str">
        <f ca="1">IFERROR(__xludf.DUMMYFUNCTION("""COMPUTED_VALUE"""),"Magical Girl Celesphonia")</f>
        <v>Magical Girl Celesphonia</v>
      </c>
      <c r="G28" s="2" t="str">
        <f ca="1">IFERROR(__xludf.DUMMYFUNCTION("""COMPUTED_VALUE"""),"Magic")</f>
        <v>Magic</v>
      </c>
      <c r="H28" s="2" t="str">
        <f ca="1">IFERROR(__xludf.DUMMYFUNCTION("""COMPUTED_VALUE"""),"Using the ominously named Soul Extraction technique, you can directly convert any semen you take into your body into the Soul, strengthening your physical and magical capabilities! The higher quality the semen - that is, the greater its virility - the hig"&amp;"her quality the haul. Now get out there and suck some dick in the name of justice!")</f>
        <v>Using the ominously named Soul Extraction technique, you can directly convert any semen you take into your body into the Soul, strengthening your physical and magical capabilities! The higher quality the semen - that is, the greater its virility - the higher quality the haul. Now get out there and suck some dick in the name of justice!</v>
      </c>
      <c r="I28" s="5"/>
    </row>
    <row r="29" spans="1:9" ht="87" x14ac:dyDescent="0.25">
      <c r="A29" s="16"/>
      <c r="B29" s="17">
        <v>25</v>
      </c>
      <c r="C29" s="2" t="b">
        <f ca="1">IFERROR(__xludf.DUMMYFUNCTION("""COMPUTED_VALUE"""),FALSE)</f>
        <v>0</v>
      </c>
      <c r="D29" s="2">
        <f ca="1">IFERROR(__xludf.DUMMYFUNCTION("""COMPUTED_VALUE"""),100)</f>
        <v>100</v>
      </c>
      <c r="E29" s="2" t="str">
        <f ca="1">IFERROR(__xludf.DUMMYFUNCTION("""COMPUTED_VALUE"""),"Tentacles on Demand")</f>
        <v>Tentacles on Demand</v>
      </c>
      <c r="F29" s="2" t="str">
        <f ca="1">IFERROR(__xludf.DUMMYFUNCTION("""COMPUTED_VALUE"""),"Submission Sailor Moon")</f>
        <v>Submission Sailor Moon</v>
      </c>
      <c r="G29" s="2" t="str">
        <f ca="1">IFERROR(__xludf.DUMMYFUNCTION("""COMPUTED_VALUE"""),"Magic")</f>
        <v>Magic</v>
      </c>
      <c r="H29" s="2" t="str">
        <f ca="1">IFERROR(__xludf.DUMMYFUNCTION("""COMPUTED_VALUE"""),"The perfect thing for when you need to tie up a struggling prisoner, this set of six tentacles can be summoned out of most flat surfaces, allowing them to hang from the ceiling or rise up from the ground whenever you need a few extra pairs of limbs. The t"&amp;"entacles are about six to ten feet long and have all the strength and abilities that your own limbs do, like shapeshifting or spewing poison, but if they’re damaged or destroyed you’ll have to wait 24 hours to summon them again.")</f>
        <v>The perfect thing for when you need to tie up a struggling prisoner, this set of six tentacles can be summoned out of most flat surfaces, allowing them to hang from the ceiling or rise up from the ground whenever you need a few extra pairs of limbs. The tentacles are about six to ten feet long and have all the strength and abilities that your own limbs do, like shapeshifting or spewing poison, but if they’re damaged or destroyed you’ll have to wait 24 hours to summon them again.</v>
      </c>
      <c r="I29" s="5"/>
    </row>
    <row r="30" spans="1:9" ht="139.19999999999999" x14ac:dyDescent="0.25">
      <c r="A30" s="16"/>
      <c r="B30" s="17">
        <v>26</v>
      </c>
      <c r="C30" s="2" t="b">
        <f ca="1">IFERROR(__xludf.DUMMYFUNCTION("""COMPUTED_VALUE"""),FALSE)</f>
        <v>0</v>
      </c>
      <c r="D30" s="2">
        <f ca="1">IFERROR(__xludf.DUMMYFUNCTION("""COMPUTED_VALUE"""),100)</f>
        <v>100</v>
      </c>
      <c r="E30" s="2" t="str">
        <f ca="1">IFERROR(__xludf.DUMMYFUNCTION("""COMPUTED_VALUE"""),"Trusty Staff")</f>
        <v>Trusty Staff</v>
      </c>
      <c r="F30" s="2" t="str">
        <f ca="1">IFERROR(__xludf.DUMMYFUNCTION("""COMPUTED_VALUE"""),"“I'm in Another World, So I Guess I'll Use Magic to Be Lewd!”")</f>
        <v>“I'm in Another World, So I Guess I'll Use Magic to Be Lewd!”</v>
      </c>
      <c r="G30" s="2" t="str">
        <f ca="1">IFERROR(__xludf.DUMMYFUNCTION("""COMPUTED_VALUE"""),"Magic")</f>
        <v>Magic</v>
      </c>
      <c r="H30" s="2" t="str">
        <f ca="1">IFERROR(__xludf.DUMMYFUNCTION("""COMPUTED_VALUE"""),"What self-respecting wizard goes anywhere without his staff in hand? ...no, his other staff. The one that shoots fireballs. This is a pretty standard wooden staff, carved from oak or some other type of wood that channels magic easily, and it gives a small"&amp;" but noticeable boost to any spells cast through it. It may look rather plain at first glance but as you level up its appearance will evolve with you, though it doesn’t grow in strength unless you put some extra work into reinforcing its enchantments. If "&amp;"you’d rather have a wand or an athame or a spellbook or something you can turn this item into one of those instead, but regardless of what you pick it can always be summoned to your hand if you’re ever parted from it.")</f>
        <v>What self-respecting wizard goes anywhere without his staff in hand? ...no, his other staff. The one that shoots fireballs. This is a pretty standard wooden staff, carved from oak or some other type of wood that channels magic easily, and it gives a small but noticeable boost to any spells cast through it. It may look rather plain at first glance but as you level up its appearance will evolve with you, though it doesn’t grow in strength unless you put some extra work into reinforcing its enchantments. If you’d rather have a wand or an athame or a spellbook or something you can turn this item into one of those instead, but regardless of what you pick it can always be summoned to your hand if you’re ever parted from it.</v>
      </c>
      <c r="I30" s="5"/>
    </row>
    <row r="31" spans="1:9" ht="104.4" x14ac:dyDescent="0.25">
      <c r="A31" s="16"/>
      <c r="B31" s="17">
        <v>27</v>
      </c>
      <c r="C31" s="2" t="b">
        <f ca="1">IFERROR(__xludf.DUMMYFUNCTION("""COMPUTED_VALUE"""),FALSE)</f>
        <v>0</v>
      </c>
      <c r="D31" s="2">
        <f ca="1">IFERROR(__xludf.DUMMYFUNCTION("""COMPUTED_VALUE"""),100)</f>
        <v>100</v>
      </c>
      <c r="E31" s="2" t="str">
        <f ca="1">IFERROR(__xludf.DUMMYFUNCTION("""COMPUTED_VALUE"""),"Vestal Virgin")</f>
        <v>Vestal Virgin</v>
      </c>
      <c r="F31" s="2" t="str">
        <f ca="1">IFERROR(__xludf.DUMMYFUNCTION("""COMPUTED_VALUE"""),"Generic: Virgin")</f>
        <v>Generic: Virgin</v>
      </c>
      <c r="G31" s="2" t="str">
        <f ca="1">IFERROR(__xludf.DUMMYFUNCTION("""COMPUTED_VALUE"""),"Magic")</f>
        <v>Magic</v>
      </c>
      <c r="H31" s="2" t="str">
        <f ca="1">IFERROR(__xludf.DUMMYFUNCTION("""COMPUTED_VALUE"""),"You have very basic holy powers. With appropriate rituals, you can consecrate objects or places, bless people in minor and subtle ways, promote clean and easy healing, neutralize poison and other such minor miracles. 
This does not actually require you t"&amp;"o be a virgin, but if not, you will require a spiritual cleansing as part of the rituals, making them considerably less convenient.")</f>
        <v>You have very basic holy powers. With appropriate rituals, you can consecrate objects or places, bless people in minor and subtle ways, promote clean and easy healing, neutralize poison and other such minor miracles. 
This does not actually require you to be a virgin, but if not, you will require a spiritual cleansing as part of the rituals, making them considerably less convenient.</v>
      </c>
      <c r="I31" s="5"/>
    </row>
    <row r="32" spans="1:9" ht="156.6" x14ac:dyDescent="0.25">
      <c r="A32" s="16"/>
      <c r="B32" s="17">
        <v>28</v>
      </c>
      <c r="C32" s="2" t="b">
        <f ca="1">IFERROR(__xludf.DUMMYFUNCTION("""COMPUTED_VALUE"""),FALSE)</f>
        <v>0</v>
      </c>
      <c r="D32" s="2">
        <f ca="1">IFERROR(__xludf.DUMMYFUNCTION("""COMPUTED_VALUE"""),100)</f>
        <v>100</v>
      </c>
      <c r="E32" s="2" t="str">
        <f ca="1">IFERROR(__xludf.DUMMYFUNCTION("""COMPUTED_VALUE"""),"Walk Without Death")</f>
        <v>Walk Without Death</v>
      </c>
      <c r="F32" s="2" t="str">
        <f ca="1">IFERROR(__xludf.DUMMYFUNCTION("""COMPUTED_VALUE"""),"Fate/Grand Master")</f>
        <v>Fate/Grand Master</v>
      </c>
      <c r="G32" s="2" t="str">
        <f ca="1">IFERROR(__xludf.DUMMYFUNCTION("""COMPUTED_VALUE"""),"Magic")</f>
        <v>Magic</v>
      </c>
      <c r="H32" s="2" t="str">
        <f ca="1">IFERROR(__xludf.DUMMYFUNCTION("""COMPUTED_VALUE"""),"Most magi will tell you that magic isn’t a toy and needs to be taken seriously, but it seems an awful lot less dangerous than it’s hyped up to be, at least when you’re using it. Any magical abilities you might have are safety-proofed against friendly fire"&amp;", collateral damage, and any risks of backfiring. You could unleash your most powerful spells or a noble phantasm even with your squishy human master directly in the line of fire with no fear of harming him whether directly or through any collateral damag"&amp;"e you may cause. Even when you use your powers directly on a person you don’t want to harm, they never misfire except in harmlessly lewd ways, such as blowing your Master’s clothes off or swapping their gender for a few days. You’re able to toggle off thi"&amp;"s perk’s effects if you need to harm a loved one or yourself for some unfathomable reason.")</f>
        <v>Most magi will tell you that magic isn’t a toy and needs to be taken seriously, but it seems an awful lot less dangerous than it’s hyped up to be, at least when you’re using it. Any magical abilities you might have are safety-proofed against friendly fire, collateral damage, and any risks of backfiring. You could unleash your most powerful spells or a noble phantasm even with your squishy human master directly in the line of fire with no fear of harming him whether directly or through any collateral damage you may cause. Even when you use your powers directly on a person you don’t want to harm, they never misfire except in harmlessly lewd ways, such as blowing your Master’s clothes off or swapping their gender for a few days. You’re able to toggle off this perk’s effects if you need to harm a loved one or yourself for some unfathomable reason.</v>
      </c>
      <c r="I32" s="5"/>
    </row>
    <row r="33" spans="1:9" ht="139.19999999999999" x14ac:dyDescent="0.25">
      <c r="A33" s="16"/>
      <c r="B33" s="17">
        <v>29</v>
      </c>
      <c r="C33" s="2" t="b">
        <f ca="1">IFERROR(__xludf.DUMMYFUNCTION("""COMPUTED_VALUE"""),FALSE)</f>
        <v>0</v>
      </c>
      <c r="D33" s="2">
        <f ca="1">IFERROR(__xludf.DUMMYFUNCTION("""COMPUTED_VALUE"""),100)</f>
        <v>100</v>
      </c>
      <c r="E33" s="2" t="str">
        <f ca="1">IFERROR(__xludf.DUMMYFUNCTION("""COMPUTED_VALUE"""),"Wand")</f>
        <v>Wand</v>
      </c>
      <c r="F33" s="2" t="str">
        <f ca="1">IFERROR(__xludf.DUMMYFUNCTION("""COMPUTED_VALUE"""),"Although Young People Recoil from Entering the Black Magic Industry...")</f>
        <v>Although Young People Recoil from Entering the Black Magic Industry...</v>
      </c>
      <c r="G33" s="2" t="str">
        <f ca="1">IFERROR(__xludf.DUMMYFUNCTION("""COMPUTED_VALUE"""),"Magic")</f>
        <v>Magic</v>
      </c>
      <c r="H33" s="2" t="str">
        <f ca="1">IFERROR(__xludf.DUMMYFUNCTION("""COMPUTED_VALUE"""),"You are now in possession of a wand — a tool for using magic and inscribing runic circles, ranging in size between a long twig and a staff, and typically decorated with details suited to the wizard in question’s specialty in magic. It is possible to use m"&amp;"agic without one, but it is so prohibitively expensive in terms of mana that a focal tool such as a wand is all but required if you want to use magic more than once a day. You could reduce the cost in magic to the level of using a focus if you draw a magi"&amp;"c circle, but this is time consuming and not viable in an emergency. However, combining a magic circle with a wand halves the mana consumption of any spells you cast, enabling you to work magic outside what’s normally possible for your mana levels.")</f>
        <v>You are now in possession of a wand — a tool for using magic and inscribing runic circles, ranging in size between a long twig and a staff, and typically decorated with details suited to the wizard in question’s specialty in magic. It is possible to use magic without one, but it is so prohibitively expensive in terms of mana that a focal tool such as a wand is all but required if you want to use magic more than once a day. You could reduce the cost in magic to the level of using a focus if you draw a magic circle, but this is time consuming and not viable in an emergency. However, combining a magic circle with a wand halves the mana consumption of any spells you cast, enabling you to work magic outside what’s normally possible for your mana levels.</v>
      </c>
      <c r="I33" s="5"/>
    </row>
    <row r="34" spans="1:9" ht="156.6" x14ac:dyDescent="0.25">
      <c r="A34" s="16"/>
      <c r="B34" s="17">
        <v>30</v>
      </c>
      <c r="C34" s="2" t="b">
        <f ca="1">IFERROR(__xludf.DUMMYFUNCTION("""COMPUTED_VALUE"""),FALSE)</f>
        <v>0</v>
      </c>
      <c r="D34" s="2">
        <f ca="1">IFERROR(__xludf.DUMMYFUNCTION("""COMPUTED_VALUE"""),200)</f>
        <v>200</v>
      </c>
      <c r="E34" s="2" t="str">
        <f ca="1">IFERROR(__xludf.DUMMYFUNCTION("""COMPUTED_VALUE"""),"“Dual Cultivation”")</f>
        <v>“Dual Cultivation”</v>
      </c>
      <c r="F34" s="2" t="str">
        <f ca="1">IFERROR(__xludf.DUMMYFUNCTION("""COMPUTED_VALUE"""),"“I'm in Another World, So I Guess I'll Use Magic to Be Lewd!”")</f>
        <v>“I'm in Another World, So I Guess I'll Use Magic to Be Lewd!”</v>
      </c>
      <c r="G34" s="2" t="str">
        <f ca="1">IFERROR(__xludf.DUMMYFUNCTION("""COMPUTED_VALUE"""),"Magic")</f>
        <v>Magic</v>
      </c>
      <c r="H34" s="2" t="str">
        <f ca="1">IFERROR(__xludf.DUMMYFUNCTION("""COMPUTED_VALUE"""),"Kids these days have it easy when it comes to learning magic. Even the Hero had to work his butt off for his talents to reach their full maturity but his elf sidekick went from having zero magical talent to being a respectable mage and all she had to do w"&amp;"as become his fuck buddy. Like the hero’s elf apprentice you’re able to soak up magical power and expand your arcane talents at a vastly accelerated rate just by having sex with people who are stronger or more experienced than you. You’re able to gain bot"&amp;"h knowledge and power from your “mentors” this way, with new spells and techniques in their arsenals manifesting in your mind in the form of sudden flashes of insight, though you’ll still need extensive practice to master these spells to the same degree a"&amp;"s those you learned them from.")</f>
        <v>Kids these days have it easy when it comes to learning magic. Even the Hero had to work his butt off for his talents to reach their full maturity but his elf sidekick went from having zero magical talent to being a respectable mage and all she had to do was become his fuck buddy. Like the hero’s elf apprentice you’re able to soak up magical power and expand your arcane talents at a vastly accelerated rate just by having sex with people who are stronger or more experienced than you. You’re able to gain both knowledge and power from your “mentors” this way, with new spells and techniques in their arsenals manifesting in your mind in the form of sudden flashes of insight, though you’ll still need extensive practice to master these spells to the same degree as those you learned them from.</v>
      </c>
      <c r="I34" s="5"/>
    </row>
    <row r="35" spans="1:9" ht="174" x14ac:dyDescent="0.25">
      <c r="A35" s="16"/>
      <c r="B35" s="17">
        <v>31</v>
      </c>
      <c r="C35" s="2" t="b">
        <f ca="1">IFERROR(__xludf.DUMMYFUNCTION("""COMPUTED_VALUE"""),FALSE)</f>
        <v>0</v>
      </c>
      <c r="D35" s="2">
        <f ca="1">IFERROR(__xludf.DUMMYFUNCTION("""COMPUTED_VALUE"""),200)</f>
        <v>200</v>
      </c>
      <c r="E35" s="2" t="str">
        <f ca="1">IFERROR(__xludf.DUMMYFUNCTION("""COMPUTED_VALUE"""),"Babe Magnet")</f>
        <v>Babe Magnet</v>
      </c>
      <c r="F35" s="2" t="str">
        <f ca="1">IFERROR(__xludf.DUMMYFUNCTION("""COMPUTED_VALUE"""),"World of Tentacles")</f>
        <v>World of Tentacles</v>
      </c>
      <c r="G35" s="2" t="str">
        <f ca="1">IFERROR(__xludf.DUMMYFUNCTION("""COMPUTED_VALUE"""),"Magic")</f>
        <v>Magic</v>
      </c>
      <c r="H35" s="2" t="str">
        <f ca="1">IFERROR(__xludf.DUMMYFUNCTION("""COMPUTED_VALUE"""),"As a Demon King you are not some feral predator that mindlessly pursues the first fertile female it sees. You demand victims whose beauty and potential are a match for your own power and magnificence. This little device will help you find them. The Babe M"&amp;"agnet can take many forms, ranging from a mundane compass to an eerie black crystal to a deck of profane Tarot cards. It's a quality focus for any divination magic you might possess and makes it a bit easier to work around all sorts of interference. In ad"&amp;"dition, once per week you may use the Babe Magnet to track down a woman whose appearance, personality traits, unique skills, and recent history make her suitable for and vulnerable to your latest perverse desire. You don't have any real control over this "&amp;"process, and it's pretty much guaranteed to fail to expose any heroine or rival villain's secret identity, but that isn't to say that it can't unknowingly lead you to their public personas...")</f>
        <v>As a Demon King you are not some feral predator that mindlessly pursues the first fertile female it sees. You demand victims whose beauty and potential are a match for your own power and magnificence. This little device will help you find them. The Babe Magnet can take many forms, ranging from a mundane compass to an eerie black crystal to a deck of profane Tarot cards. It's a quality focus for any divination magic you might possess and makes it a bit easier to work around all sorts of interference. In addition, once per week you may use the Babe Magnet to track down a woman whose appearance, personality traits, unique skills, and recent history make her suitable for and vulnerable to your latest perverse desire. You don't have any real control over this process, and it's pretty much guaranteed to fail to expose any heroine or rival villain's secret identity, but that isn't to say that it can't unknowingly lead you to their public personas...</v>
      </c>
      <c r="I35" s="5"/>
    </row>
    <row r="36" spans="1:9" ht="330.6" x14ac:dyDescent="0.25">
      <c r="A36" s="16"/>
      <c r="B36" s="17">
        <v>32</v>
      </c>
      <c r="C36" s="2" t="b">
        <f ca="1">IFERROR(__xludf.DUMMYFUNCTION("""COMPUTED_VALUE"""),FALSE)</f>
        <v>0</v>
      </c>
      <c r="D36" s="2">
        <f ca="1">IFERROR(__xludf.DUMMYFUNCTION("""COMPUTED_VALUE"""),200)</f>
        <v>200</v>
      </c>
      <c r="E36" s="2" t="str">
        <f ca="1">IFERROR(__xludf.DUMMYFUNCTION("""COMPUTED_VALUE"""),"Bell of the Goddess")</f>
        <v>Bell of the Goddess</v>
      </c>
      <c r="F36" s="2" t="str">
        <f ca="1">IFERROR(__xludf.DUMMYFUNCTION("""COMPUTED_VALUE"""),"The Legend Of Queen Opala")</f>
        <v>The Legend Of Queen Opala</v>
      </c>
      <c r="G36" s="2" t="str">
        <f ca="1">IFERROR(__xludf.DUMMYFUNCTION("""COMPUTED_VALUE"""),"Magic")</f>
        <v>Magic</v>
      </c>
      <c r="H36" s="2" t="str">
        <f ca="1">IFERROR(__xludf.DUMMYFUNCTION("""COMPUTED_VALUE"""),"This exquisite, golden bell has a clear sound that seems to linger even after the bell has stilled. If you ring this bell with your eyes closed and picture a person (or any other being with human-level intelligence or above) that you've met before, you ca"&amp;"n temporarily summon a magical copy of that person. They'll be completely the same as they were when you met them, with three differences.
First, while they’re completely lifelike in just about every way, they’re only a semi-real duplicate - more akin t"&amp;"o a very lifelike illusion than an actual sentient being. Second, the copy will feel like the ‘summoning’ is completely normal and unremarkable, never questioning why they're suddenly somewhere else. Third: they'll always be enthusiastic about fucking you"&amp;" (even if, say, they're normally only attracted to a different gender/species/other, they'll make an exception just for you). Mind you, this won't necessarily mean they'll fuck you the way you want them to... as an example, the high priestess of a religio"&amp;"n that fanatically worships virginity might only be willing to do a handjob so she stays 'pure'. Likewise, summoning The Demon King Of Pain And Slaughter will not magically make him bother with such things like 'consent', 'lube', or 'keeping his plaything"&amp;" alive during the ordeal'.
You can't use this item to gain any power or other advantages, such as by asking a mighty sorceress to teach you her magic while your dick is buried up her ass. You'll probably just forget your newly-acquired vast cosmic power"&amp;"s the moment the summoning ends or some such.")</f>
        <v>This exquisite, golden bell has a clear sound that seems to linger even after the bell has stilled. If you ring this bell with your eyes closed and picture a person (or any other being with human-level intelligence or above) that you've met before, you can temporarily summon a magical copy of that person. They'll be completely the same as they were when you met them, with three differences.
First, while they’re completely lifelike in just about every way, they’re only a semi-real duplicate - more akin to a very lifelike illusion than an actual sentient being. Second, the copy will feel like the ‘summoning’ is completely normal and unremarkable, never questioning why they're suddenly somewhere else. Third: they'll always be enthusiastic about fucking you (even if, say, they're normally only attracted to a different gender/species/other, they'll make an exception just for you). Mind you, this won't necessarily mean they'll fuck you the way you want them to... as an example, the high priestess of a religion that fanatically worships virginity might only be willing to do a handjob so she stays 'pure'. Likewise, summoning The Demon King Of Pain And Slaughter will not magically make him bother with such things like 'consent', 'lube', or 'keeping his plaything alive during the ordeal'.
You can't use this item to gain any power or other advantages, such as by asking a mighty sorceress to teach you her magic while your dick is buried up her ass. You'll probably just forget your newly-acquired vast cosmic powers the moment the summoning ends or some such.</v>
      </c>
      <c r="I36" s="5"/>
    </row>
    <row r="37" spans="1:9" ht="87" x14ac:dyDescent="0.25">
      <c r="A37" s="16"/>
      <c r="B37" s="17">
        <v>33</v>
      </c>
      <c r="C37" s="2" t="b">
        <f ca="1">IFERROR(__xludf.DUMMYFUNCTION("""COMPUTED_VALUE"""),FALSE)</f>
        <v>0</v>
      </c>
      <c r="D37" s="2">
        <f ca="1">IFERROR(__xludf.DUMMYFUNCTION("""COMPUTED_VALUE"""),200)</f>
        <v>200</v>
      </c>
      <c r="E37" s="2" t="str">
        <f ca="1">IFERROR(__xludf.DUMMYFUNCTION("""COMPUTED_VALUE"""),"Beloved Bridal Sex Slave")</f>
        <v>Beloved Bridal Sex Slave</v>
      </c>
      <c r="F37" s="2" t="str">
        <f ca="1">IFERROR(__xludf.DUMMYFUNCTION("""COMPUTED_VALUE"""),"Sei So Tsui Dan Sha")</f>
        <v>Sei So Tsui Dan Sha</v>
      </c>
      <c r="G37" s="2" t="str">
        <f ca="1">IFERROR(__xludf.DUMMYFUNCTION("""COMPUTED_VALUE"""),"Magic")</f>
        <v>Magic</v>
      </c>
      <c r="H37" s="2" t="str">
        <f ca="1">IFERROR(__xludf.DUMMYFUNCTION("""COMPUTED_VALUE"""),"You now can make use of a peculiar spell that’s equal parts kind and kinky. By casting it on yourself or someone else, while someone they love is nearby, the two of them will suddenly be dressed in marriage attire. By exchanging the supplied rings, and ha"&amp;"ving passionate sex, they will become magically married, in the eyes of society and the law, regardless of all other factors. Unless the love is truly mutual, the spell will only be temporary.")</f>
        <v>You now can make use of a peculiar spell that’s equal parts kind and kinky. By casting it on yourself or someone else, while someone they love is nearby, the two of them will suddenly be dressed in marriage attire. By exchanging the supplied rings, and having passionate sex, they will become magically married, in the eyes of society and the law, regardless of all other factors. Unless the love is truly mutual, the spell will only be temporary.</v>
      </c>
      <c r="I37" s="5"/>
    </row>
    <row r="38" spans="1:9" ht="121.8" x14ac:dyDescent="0.25">
      <c r="A38" s="16"/>
      <c r="B38" s="17">
        <v>34</v>
      </c>
      <c r="C38" s="2" t="b">
        <f ca="1">IFERROR(__xludf.DUMMYFUNCTION("""COMPUTED_VALUE"""),FALSE)</f>
        <v>0</v>
      </c>
      <c r="D38" s="2">
        <f ca="1">IFERROR(__xludf.DUMMYFUNCTION("""COMPUTED_VALUE"""),200)</f>
        <v>200</v>
      </c>
      <c r="E38" s="2" t="str">
        <f ca="1">IFERROR(__xludf.DUMMYFUNCTION("""COMPUTED_VALUE"""),"Blood is Magic...")</f>
        <v>Blood is Magic...</v>
      </c>
      <c r="F38" s="2" t="str">
        <f ca="1">IFERROR(__xludf.DUMMYFUNCTION("""COMPUTED_VALUE"""),"Evening Starter")</f>
        <v>Evening Starter</v>
      </c>
      <c r="G38" s="2" t="str">
        <f ca="1">IFERROR(__xludf.DUMMYFUNCTION("""COMPUTED_VALUE"""),"Magic")</f>
        <v>Magic</v>
      </c>
      <c r="H38" s="2" t="str">
        <f ca="1">IFERROR(__xludf.DUMMYFUNCTION("""COMPUTED_VALUE"""),"This quaint ability is something all Witches are able to do. The ability to regain magical power through the bodily fluids of others. This is a rather inefficient process, but it is still viable. While you could gain quite a bit of magic from the blood of"&amp;" others, it is considered quite a taboo. Normally, the blood would need to be fresh and become worthless if allowed into blood packs or unenchanted storage mediums. You, however, can gather magic from blood just perfectly without those drawbacks. Still, i"&amp;"f blood is too much for you and you’re into that sort of thing, the easiest and most benign way to regain magical power is through semen, the fresher the better.")</f>
        <v>This quaint ability is something all Witches are able to do. The ability to regain magical power through the bodily fluids of others. This is a rather inefficient process, but it is still viable. While you could gain quite a bit of magic from the blood of others, it is considered quite a taboo. Normally, the blood would need to be fresh and become worthless if allowed into blood packs or unenchanted storage mediums. You, however, can gather magic from blood just perfectly without those drawbacks. Still, if blood is too much for you and you’re into that sort of thing, the easiest and most benign way to regain magical power is through semen, the fresher the better.</v>
      </c>
      <c r="I38" s="5"/>
    </row>
    <row r="39" spans="1:9" ht="69.599999999999994" x14ac:dyDescent="0.25">
      <c r="A39" s="16"/>
      <c r="B39" s="17">
        <v>35</v>
      </c>
      <c r="C39" s="2" t="b">
        <f ca="1">IFERROR(__xludf.DUMMYFUNCTION("""COMPUTED_VALUE"""),FALSE)</f>
        <v>0</v>
      </c>
      <c r="D39" s="2">
        <f ca="1">IFERROR(__xludf.DUMMYFUNCTION("""COMPUTED_VALUE"""),200)</f>
        <v>200</v>
      </c>
      <c r="E39" s="2" t="str">
        <f ca="1">IFERROR(__xludf.DUMMYFUNCTION("""COMPUTED_VALUE"""),"Caloric Conjuring")</f>
        <v>Caloric Conjuring</v>
      </c>
      <c r="F39" s="2" t="str">
        <f ca="1">IFERROR(__xludf.DUMMYFUNCTION("""COMPUTED_VALUE"""),"Generic: Fat-Fetish")</f>
        <v>Generic: Fat-Fetish</v>
      </c>
      <c r="G39" s="2" t="str">
        <f ca="1">IFERROR(__xludf.DUMMYFUNCTION("""COMPUTED_VALUE"""),"Magic")</f>
        <v>Magic</v>
      </c>
      <c r="H39" s="2" t="str">
        <f ca="1">IFERROR(__xludf.DUMMYFUNCTION("""COMPUTED_VALUE"""),"You now know the dark, sinful art of magical, fat-related spells. Curse that snooty princess with an unending appetite, outright magically force that amazon to gain weight, transfer fat from one person to another. At first you’ll only be hitting one targe"&amp;"t at a time, but with practice you can work your devious magic over whole groups at a time, maybe up to towns and cities if you really try.")</f>
        <v>You now know the dark, sinful art of magical, fat-related spells. Curse that snooty princess with an unending appetite, outright magically force that amazon to gain weight, transfer fat from one person to another. At first you’ll only be hitting one target at a time, but with practice you can work your devious magic over whole groups at a time, maybe up to towns and cities if you really try.</v>
      </c>
      <c r="I39" s="5"/>
    </row>
    <row r="40" spans="1:9" ht="208.8" x14ac:dyDescent="0.25">
      <c r="A40" s="16"/>
      <c r="B40" s="17">
        <v>36</v>
      </c>
      <c r="C40" s="2" t="b">
        <f ca="1">IFERROR(__xludf.DUMMYFUNCTION("""COMPUTED_VALUE"""),FALSE)</f>
        <v>0</v>
      </c>
      <c r="D40" s="2">
        <f ca="1">IFERROR(__xludf.DUMMYFUNCTION("""COMPUTED_VALUE"""),200)</f>
        <v>200</v>
      </c>
      <c r="E40" s="2" t="str">
        <f ca="1">IFERROR(__xludf.DUMMYFUNCTION("""COMPUTED_VALUE"""),"Command Tattoos")</f>
        <v>Command Tattoos</v>
      </c>
      <c r="F40" s="2" t="str">
        <f ca="1">IFERROR(__xludf.DUMMYFUNCTION("""COMPUTED_VALUE"""),"Fate/Whore Order")</f>
        <v>Fate/Whore Order</v>
      </c>
      <c r="G40" s="2" t="str">
        <f ca="1">IFERROR(__xludf.DUMMYFUNCTION("""COMPUTED_VALUE"""),"Magic")</f>
        <v>Magic</v>
      </c>
      <c r="H40" s="2" t="str">
        <f ca="1">IFERROR(__xludf.DUMMYFUNCTION("""COMPUTED_VALUE"""),"Womb tattoos can be hot, but there’s a fine line between stylish and trashy. Luckily for you, these fall into the first category for the most part. As for what they are? Well, they’re sort of like a command seal, but a bit weaker and a lot more open ended"&amp;". Instead of binding you to someone, these allow anyone to use them - and in theory, to use you. That said, with how much weaker they are even someone with E rank magic resistance could mostly nullify them. They can’t really be used to force you to do thi"&amp;"ngs. Instead, they shine brightest when you agree to the command, and also when that command is sexual in nature. Something like ‘Cum a dozen times’, or ‘Get pregnant!” would be the sorts of commands I expect you to use these with. 
They come on a mystic"&amp;" code piece of paper and can be applied just by pressing it flat against someone's navel. When used, a new set will develop on it once a year. As per tradition, a set will work three times every 24 hours.")</f>
        <v>Womb tattoos can be hot, but there’s a fine line between stylish and trashy. Luckily for you, these fall into the first category for the most part. As for what they are? Well, they’re sort of like a command seal, but a bit weaker and a lot more open ended. Instead of binding you to someone, these allow anyone to use them - and in theory, to use you. That said, with how much weaker they are even someone with E rank magic resistance could mostly nullify them. They can’t really be used to force you to do things. Instead, they shine brightest when you agree to the command, and also when that command is sexual in nature. Something like ‘Cum a dozen times’, or ‘Get pregnant!” would be the sorts of commands I expect you to use these with. 
They come on a mystic code piece of paper and can be applied just by pressing it flat against someone's navel. When used, a new set will develop on it once a year. As per tradition, a set will work three times every 24 hours.</v>
      </c>
      <c r="I40" s="5"/>
    </row>
    <row r="41" spans="1:9" ht="174" x14ac:dyDescent="0.25">
      <c r="A41" s="16"/>
      <c r="B41" s="17">
        <v>37</v>
      </c>
      <c r="C41" s="2" t="b">
        <f ca="1">IFERROR(__xludf.DUMMYFUNCTION("""COMPUTED_VALUE"""),FALSE)</f>
        <v>0</v>
      </c>
      <c r="D41" s="2">
        <f ca="1">IFERROR(__xludf.DUMMYFUNCTION("""COMPUTED_VALUE"""),200)</f>
        <v>200</v>
      </c>
      <c r="E41" s="2" t="str">
        <f ca="1">IFERROR(__xludf.DUMMYFUNCTION("""COMPUTED_VALUE"""),"Dark Mark")</f>
        <v>Dark Mark</v>
      </c>
      <c r="F41" s="2" t="str">
        <f ca="1">IFERROR(__xludf.DUMMYFUNCTION("""COMPUTED_VALUE"""),"Submission Sailor Moon")</f>
        <v>Submission Sailor Moon</v>
      </c>
      <c r="G41" s="2" t="str">
        <f ca="1">IFERROR(__xludf.DUMMYFUNCTION("""COMPUTED_VALUE"""),"Magic")</f>
        <v>Magic</v>
      </c>
      <c r="H41" s="2" t="str">
        <f ca="1">IFERROR(__xludf.DUMMYFUNCTION("""COMPUTED_VALUE"""),"Some youma prefer a catch and release policy for their victims, letting them go and coming back for them later rather than locking them up. Tracking one girl in a city as big as Tokyo might sound tricky but you’ve got a secret weapon up your sleeve, a mag"&amp;"ical tattoo which acts as a tracking device, letting you sense a person’s location from hundreds of miles away. It can take whatever form you like, from a black star to an inverted crescent moon to a tramp stamp, or even a lewd little heart right over the"&amp;"ir womb. You can apply your mark with a simple exertion of magical power if your target is magically-weak or exhausted and from then on will always know your target’s location relative to your own. You can also hide the mark from sight if you’d rather you"&amp;"r target or others not know it’s there, and if you’re skilled with magic you can also use it as an anchor for other kinds of lewd spells, making them much more potent against your target.")</f>
        <v>Some youma prefer a catch and release policy for their victims, letting them go and coming back for them later rather than locking them up. Tracking one girl in a city as big as Tokyo might sound tricky but you’ve got a secret weapon up your sleeve, a magical tattoo which acts as a tracking device, letting you sense a person’s location from hundreds of miles away. It can take whatever form you like, from a black star to an inverted crescent moon to a tramp stamp, or even a lewd little heart right over their womb. You can apply your mark with a simple exertion of magical power if your target is magically-weak or exhausted and from then on will always know your target’s location relative to your own. You can also hide the mark from sight if you’d rather your target or others not know it’s there, and if you’re skilled with magic you can also use it as an anchor for other kinds of lewd spells, making them much more potent against your target.</v>
      </c>
      <c r="I41" s="5"/>
    </row>
    <row r="42" spans="1:9" ht="174" x14ac:dyDescent="0.25">
      <c r="A42" s="16"/>
      <c r="B42" s="17">
        <v>38</v>
      </c>
      <c r="C42" s="2" t="b">
        <f ca="1">IFERROR(__xludf.DUMMYFUNCTION("""COMPUTED_VALUE"""),FALSE)</f>
        <v>0</v>
      </c>
      <c r="D42" s="2">
        <f ca="1">IFERROR(__xludf.DUMMYFUNCTION("""COMPUTED_VALUE"""),200)</f>
        <v>200</v>
      </c>
      <c r="E42" s="2" t="str">
        <f ca="1">IFERROR(__xludf.DUMMYFUNCTION("""COMPUTED_VALUE"""),"Dragon Ropes")</f>
        <v>Dragon Ropes</v>
      </c>
      <c r="F42" s="2" t="str">
        <f ca="1">IFERROR(__xludf.DUMMYFUNCTION("""COMPUTED_VALUE"""),"Rope Master")</f>
        <v>Rope Master</v>
      </c>
      <c r="G42" s="2" t="str">
        <f ca="1">IFERROR(__xludf.DUMMYFUNCTION("""COMPUTED_VALUE"""),"Magic")</f>
        <v>Magic</v>
      </c>
      <c r="H42" s="2" t="str">
        <f ca="1">IFERROR(__xludf.DUMMYFUNCTION("""COMPUTED_VALUE"""),"Ropes hold great symbolic and magical power as bindings that separate the world of man from the world of magic, but that's not the only reason why these bindings are so effective in the hands of a rope master. These magically-enchanted dragon ropes are su"&amp;"pernaturally durable, stronger than steel cables thanks to the enchantments placed on them and very responsive to having magical power channeled through them, so their strength increases even further as your magical power grows. They bind ghosts and spiri"&amp;"ts just as easily as corporeal beings, and any creature bound in them becomes several times more sensitive to pain and pleasure until they're released. You have several coils of this divine rope bound together in loops like a lasso and you're able to conj"&amp;"ure more out of magical power whenever you need. You can also substitute chains, ribbons, and other implements of magical bondage instead of ropes if you prefer.")</f>
        <v>Ropes hold great symbolic and magical power as bindings that separate the world of man from the world of magic, but that's not the only reason why these bindings are so effective in the hands of a rope master. These magically-enchanted dragon ropes are supernaturally durable, stronger than steel cables thanks to the enchantments placed on them and very responsive to having magical power channeled through them, so their strength increases even further as your magical power grows. They bind ghosts and spirits just as easily as corporeal beings, and any creature bound in them becomes several times more sensitive to pain and pleasure until they're released. You have several coils of this divine rope bound together in loops like a lasso and you're able to conjure more out of magical power whenever you need. You can also substitute chains, ribbons, and other implements of magical bondage instead of ropes if you prefer.</v>
      </c>
      <c r="I42" s="5"/>
    </row>
    <row r="43" spans="1:9" ht="104.4" x14ac:dyDescent="0.25">
      <c r="A43" s="16"/>
      <c r="B43" s="17">
        <v>39</v>
      </c>
      <c r="C43" s="2" t="b">
        <f ca="1">IFERROR(__xludf.DUMMYFUNCTION("""COMPUTED_VALUE"""),FALSE)</f>
        <v>0</v>
      </c>
      <c r="D43" s="2">
        <f ca="1">IFERROR(__xludf.DUMMYFUNCTION("""COMPUTED_VALUE"""),200)</f>
        <v>200</v>
      </c>
      <c r="E43" s="2" t="str">
        <f ca="1">IFERROR(__xludf.DUMMYFUNCTION("""COMPUTED_VALUE"""),"Feisty Familiar")</f>
        <v>Feisty Familiar</v>
      </c>
      <c r="F43" s="2" t="str">
        <f ca="1">IFERROR(__xludf.DUMMYFUNCTION("""COMPUTED_VALUE"""),"Karenvania")</f>
        <v>Karenvania</v>
      </c>
      <c r="G43" s="2" t="str">
        <f ca="1">IFERROR(__xludf.DUMMYFUNCTION("""COMPUTED_VALUE"""),"Magic")</f>
        <v>Magic</v>
      </c>
      <c r="H43" s="2" t="str">
        <f ca="1">IFERROR(__xludf.DUMMYFUNCTION("""COMPUTED_VALUE"""),"A small implike creature that you likely defeated and bound to you in the past. Nominally a monster, she can sneak about Castlevania more or less uninterrupted, scouting and spying for you. Her own magical talents are simple, but not nonexistent - creatin"&amp;"g keys from magic, simple illusions, even a spell or two meant for the bedroom. Still, her place in battle is to harass and distract - unless you plan on giving her a truly enormous amount of power, she will remain no bigger than your hand. If you have th"&amp;"at energy to spare... Well, she would grow quite nicely.")</f>
        <v>A small implike creature that you likely defeated and bound to you in the past. Nominally a monster, she can sneak about Castlevania more or less uninterrupted, scouting and spying for you. Her own magical talents are simple, but not nonexistent - creating keys from magic, simple illusions, even a spell or two meant for the bedroom. Still, her place in battle is to harass and distract - unless you plan on giving her a truly enormous amount of power, she will remain no bigger than your hand. If you have that energy to spare... Well, she would grow quite nicely.</v>
      </c>
      <c r="I43" s="5"/>
    </row>
    <row r="44" spans="1:9" ht="174" x14ac:dyDescent="0.25">
      <c r="A44" s="16"/>
      <c r="B44" s="17">
        <v>40</v>
      </c>
      <c r="C44" s="2" t="b">
        <f ca="1">IFERROR(__xludf.DUMMYFUNCTION("""COMPUTED_VALUE"""),FALSE)</f>
        <v>0</v>
      </c>
      <c r="D44" s="2">
        <f ca="1">IFERROR(__xludf.DUMMYFUNCTION("""COMPUTED_VALUE"""),200)</f>
        <v>200</v>
      </c>
      <c r="E44" s="2" t="str">
        <f ca="1">IFERROR(__xludf.DUMMYFUNCTION("""COMPUTED_VALUE"""),"For Science!")</f>
        <v>For Science!</v>
      </c>
      <c r="F44" s="2" t="str">
        <f ca="1">IFERROR(__xludf.DUMMYFUNCTION("""COMPUTED_VALUE"""),"A Change of Tactics V2.2")</f>
        <v>A Change of Tactics V2.2</v>
      </c>
      <c r="G44" s="2" t="str">
        <f ca="1">IFERROR(__xludf.DUMMYFUNCTION("""COMPUTED_VALUE"""),"Magic")</f>
        <v>Magic</v>
      </c>
      <c r="H44" s="2" t="str">
        <f ca="1">IFERROR(__xludf.DUMMYFUNCTION("""COMPUTED_VALUE"""),"More so than most others in this era mages tend to be avid scholars and value knowledge very highly, but to expand the scope of that knowledge requires endless experimentation and those experiments typically need willing test subjects. But your zealous pu"&amp;"rsuit of knowledge is either very convincing or very hard to say no to because you can easily convince people to step outside their comfort zones and do things they wouldn’t normally be comfortable with, whether to assist you with an experiment or to have"&amp;" other kinds of new experiences. You’ll have no trouble talking people into being your test subjects when you need to try a new healing spell, work the kinks out of a pleasure hex, or simply indulge your curiosity on the viability of interbreeding humans "&amp;"and manaketes. While they might wonder how you talked them into it after the fact, as long as no serious harm comes to them it only gets easier the more frequently you do it.")</f>
        <v>More so than most others in this era mages tend to be avid scholars and value knowledge very highly, but to expand the scope of that knowledge requires endless experimentation and those experiments typically need willing test subjects. But your zealous pursuit of knowledge is either very convincing or very hard to say no to because you can easily convince people to step outside their comfort zones and do things they wouldn’t normally be comfortable with, whether to assist you with an experiment or to have other kinds of new experiences. You’ll have no trouble talking people into being your test subjects when you need to try a new healing spell, work the kinks out of a pleasure hex, or simply indulge your curiosity on the viability of interbreeding humans and manaketes. While they might wonder how you talked them into it after the fact, as long as no serious harm comes to them it only gets easier the more frequently you do it.</v>
      </c>
      <c r="I44" s="5"/>
    </row>
    <row r="45" spans="1:9" ht="191.4" x14ac:dyDescent="0.25">
      <c r="A45" s="16"/>
      <c r="B45" s="17">
        <v>41</v>
      </c>
      <c r="C45" s="2" t="b">
        <f ca="1">IFERROR(__xludf.DUMMYFUNCTION("""COMPUTED_VALUE"""),FALSE)</f>
        <v>0</v>
      </c>
      <c r="D45" s="2">
        <f ca="1">IFERROR(__xludf.DUMMYFUNCTION("""COMPUTED_VALUE"""),200)</f>
        <v>200</v>
      </c>
      <c r="E45" s="2" t="str">
        <f ca="1">IFERROR(__xludf.DUMMYFUNCTION("""COMPUTED_VALUE"""),"Hylia's Blessing")</f>
        <v>Hylia's Blessing</v>
      </c>
      <c r="F45" s="2" t="str">
        <f ca="1">IFERROR(__xludf.DUMMYFUNCTION("""COMPUTED_VALUE"""),"Breathless Wild")</f>
        <v>Breathless Wild</v>
      </c>
      <c r="G45" s="2" t="str">
        <f ca="1">IFERROR(__xludf.DUMMYFUNCTION("""COMPUTED_VALUE"""),"Magic")</f>
        <v>Magic</v>
      </c>
      <c r="H45" s="2" t="str">
        <f ca="1">IFERROR(__xludf.DUMMYFUNCTION("""COMPUTED_VALUE"""),"The other races may have magical powers but it was the hylians who brought order and civilization to the land of Hyrule, and even with their great kingdom in ruins they’ll do it all over again if they get the chance. You’re able to purify corruption throu"&amp;"gh sexual dominance, allowing you to cleanse a traveling companion of a monster’s influence or domesticate a wild monstergirl by having your way with her. A brainwashed or mindbroken damsel can be brought back to her senses by fucking the corruption out o"&amp;"f her, purging drugs and aphrodisiacs out of her system with vigorous “exercise” and breaking magical curses with a little help from your “holy sword” until she’s completely back to her old self again. Purifying beings who were evil to start with, whether"&amp;" by nature or by their own choice, allows you to rehabilitate them by force into obedient slaves who’ve seen the error of their ways. The more evil or powerful such beings are, the more effort you need to change their nature, but if you’re truly determine"&amp;"d then nobody is beyond redemption.")</f>
        <v>The other races may have magical powers but it was the hylians who brought order and civilization to the land of Hyrule, and even with their great kingdom in ruins they’ll do it all over again if they get the chance. You’re able to purify corruption through sexual dominance, allowing you to cleanse a traveling companion of a monster’s influence or domesticate a wild monstergirl by having your way with her. A brainwashed or mindbroken damsel can be brought back to her senses by fucking the corruption out of her, purging drugs and aphrodisiacs out of her system with vigorous “exercise” and breaking magical curses with a little help from your “holy sword” until she’s completely back to her old self again. Purifying beings who were evil to start with, whether by nature or by their own choice, allows you to rehabilitate them by force into obedient slaves who’ve seen the error of their ways. The more evil or powerful such beings are, the more effort you need to change their nature, but if you’re truly determined then nobody is beyond redemption.</v>
      </c>
      <c r="I45" s="5"/>
    </row>
    <row r="46" spans="1:9" ht="87" x14ac:dyDescent="0.25">
      <c r="A46" s="16"/>
      <c r="B46" s="17">
        <v>42</v>
      </c>
      <c r="C46" s="2" t="b">
        <f ca="1">IFERROR(__xludf.DUMMYFUNCTION("""COMPUTED_VALUE"""),FALSE)</f>
        <v>0</v>
      </c>
      <c r="D46" s="2">
        <f ca="1">IFERROR(__xludf.DUMMYFUNCTION("""COMPUTED_VALUE"""),200)</f>
        <v>200</v>
      </c>
      <c r="E46" s="2" t="str">
        <f ca="1">IFERROR(__xludf.DUMMYFUNCTION("""COMPUTED_VALUE"""),"In Rememberance of Better Lays")</f>
        <v>In Rememberance of Better Lays</v>
      </c>
      <c r="F46" s="2" t="str">
        <f ca="1">IFERROR(__xludf.DUMMYFUNCTION("""COMPUTED_VALUE"""),"Defiler Wings")</f>
        <v>Defiler Wings</v>
      </c>
      <c r="G46" s="2" t="str">
        <f ca="1">IFERROR(__xludf.DUMMYFUNCTION("""COMPUTED_VALUE"""),"Magic")</f>
        <v>Magic</v>
      </c>
      <c r="H46" s="2" t="str">
        <f ca="1">IFERROR(__xludf.DUMMYFUNCTION("""COMPUTED_VALUE"""),"Through a combination of illusion magic and your own dark powers, you’ve created a crystal orb capable of summoning copies of anybody you’ve ever slept with. Just in case you ever wanted to fuck them again, you know? Mind you, this won’t work for gatherin"&amp;"g genetic material as they’re just illusions, but sometimes you really just want to feel that one dick with the ridges in just the right place again. Feels real, but sadly it isn’t.")</f>
        <v>Through a combination of illusion magic and your own dark powers, you’ve created a crystal orb capable of summoning copies of anybody you’ve ever slept with. Just in case you ever wanted to fuck them again, you know? Mind you, this won’t work for gathering genetic material as they’re just illusions, but sometimes you really just want to feel that one dick with the ridges in just the right place again. Feels real, but sadly it isn’t.</v>
      </c>
      <c r="I46" s="5"/>
    </row>
    <row r="47" spans="1:9" ht="139.19999999999999" x14ac:dyDescent="0.25">
      <c r="A47" s="16"/>
      <c r="B47" s="17">
        <v>43</v>
      </c>
      <c r="C47" s="2" t="b">
        <f ca="1">IFERROR(__xludf.DUMMYFUNCTION("""COMPUTED_VALUE"""),FALSE)</f>
        <v>0</v>
      </c>
      <c r="D47" s="2">
        <f ca="1">IFERROR(__xludf.DUMMYFUNCTION("""COMPUTED_VALUE"""),200)</f>
        <v>200</v>
      </c>
      <c r="E47" s="2" t="str">
        <f ca="1">IFERROR(__xludf.DUMMYFUNCTION("""COMPUTED_VALUE"""),"Lewd Magician")</f>
        <v>Lewd Magician</v>
      </c>
      <c r="F47" s="2" t="str">
        <f ca="1">IFERROR(__xludf.DUMMYFUNCTION("""COMPUTED_VALUE"""),"“I'm in Another World, So I Guess I'll Use Magic to Be Lewd!”")</f>
        <v>“I'm in Another World, So I Guess I'll Use Magic to Be Lewd!”</v>
      </c>
      <c r="G47" s="2" t="str">
        <f ca="1">IFERROR(__xludf.DUMMYFUNCTION("""COMPUTED_VALUE"""),"Magic")</f>
        <v>Magic</v>
      </c>
      <c r="H47" s="2" t="str">
        <f ca="1">IFERROR(__xludf.DUMMYFUNCTION("""COMPUTED_VALUE"""),"“To be a magus is to walk with death”, said... some mage, at some point, who was taking themselves way too seriously. Magic is great for saving the world and stuff but it’s even more fun to have when you use it for sexy things! You’re a depraved genius at"&amp;" finding lewd uses for magic that was (probably) never meant to be used that way, even helping you invent new spells or modify existing ones to make them safe to use in the bedroom. Any spells that you use or redesign in this way become prone to misfiring"&amp;" only in amusing and harmless ways if you happen to screw up casting them as opposed to whatever messy accidents you would usually have to deal with when misusing arcane power.")</f>
        <v>“To be a magus is to walk with death”, said... some mage, at some point, who was taking themselves way too seriously. Magic is great for saving the world and stuff but it’s even more fun to have when you use it for sexy things! You’re a depraved genius at finding lewd uses for magic that was (probably) never meant to be used that way, even helping you invent new spells or modify existing ones to make them safe to use in the bedroom. Any spells that you use or redesign in this way become prone to misfiring only in amusing and harmless ways if you happen to screw up casting them as opposed to whatever messy accidents you would usually have to deal with when misusing arcane power.</v>
      </c>
      <c r="I47" s="5"/>
    </row>
    <row r="48" spans="1:9" ht="191.4" x14ac:dyDescent="0.25">
      <c r="A48" s="16"/>
      <c r="B48" s="17">
        <v>44</v>
      </c>
      <c r="C48" s="2" t="b">
        <f ca="1">IFERROR(__xludf.DUMMYFUNCTION("""COMPUTED_VALUE"""),FALSE)</f>
        <v>0</v>
      </c>
      <c r="D48" s="2">
        <f ca="1">IFERROR(__xludf.DUMMYFUNCTION("""COMPUTED_VALUE"""),200)</f>
        <v>200</v>
      </c>
      <c r="E48" s="2" t="str">
        <f ca="1">IFERROR(__xludf.DUMMYFUNCTION("""COMPUTED_VALUE"""),"Lewd Power Removal")</f>
        <v>Lewd Power Removal</v>
      </c>
      <c r="F48" s="2" t="str">
        <f ca="1">IFERROR(__xludf.DUMMYFUNCTION("""COMPUTED_VALUE"""),"The Otaku in 10,000 BC")</f>
        <v>The Otaku in 10,000 BC</v>
      </c>
      <c r="G48" s="2" t="str">
        <f ca="1">IFERROR(__xludf.DUMMYFUNCTION("""COMPUTED_VALUE"""),"Magic")</f>
        <v>Magic</v>
      </c>
      <c r="H48" s="2" t="str">
        <f ca="1">IFERROR(__xludf.DUMMYFUNCTION("""COMPUTED_VALUE"""),"When Ota had sex with the Chieftess of the Furata, and again with the Queen of the Koben, it drained them of their powers. While it’s unlikely you’d find many abstinence-based magical powers in the future, this perk will allow you to keep this feature any"&amp;"ways. When you have sex with someone who possesses some manner of supernatural ability, you may opt to erase their powers, rendering them “normal” until at least a week has passed.
Conversely, you may also choose not to erase the powers of someone whose"&amp;" abilities depend on their abstinence or virginity, even if you’ve quite thoroughly had your way with them. This also allows you to not to trigger any sex-activated negatives or side-effects that your partner may have associated with them. This also appli"&amp;"es to you, if you happen to have any abilities that depend upon you remaining virginal, abstaining, or that have negative sex-triggered aspects.")</f>
        <v>When Ota had sex with the Chieftess of the Furata, and again with the Queen of the Koben, it drained them of their powers. While it’s unlikely you’d find many abstinence-based magical powers in the future, this perk will allow you to keep this feature anyways. When you have sex with someone who possesses some manner of supernatural ability, you may opt to erase their powers, rendering them “normal” until at least a week has passed.
Conversely, you may also choose not to erase the powers of someone whose abilities depend on their abstinence or virginity, even if you’ve quite thoroughly had your way with them. This also allows you to not to trigger any sex-activated negatives or side-effects that your partner may have associated with them. This also applies to you, if you happen to have any abilities that depend upon you remaining virginal, abstaining, or that have negative sex-triggered aspects.</v>
      </c>
      <c r="I48" s="5"/>
    </row>
    <row r="49" spans="1:9" ht="87" x14ac:dyDescent="0.25">
      <c r="A49" s="16"/>
      <c r="B49" s="17">
        <v>45</v>
      </c>
      <c r="C49" s="2" t="b">
        <f ca="1">IFERROR(__xludf.DUMMYFUNCTION("""COMPUTED_VALUE"""),FALSE)</f>
        <v>0</v>
      </c>
      <c r="D49" s="2">
        <f ca="1">IFERROR(__xludf.DUMMYFUNCTION("""COMPUTED_VALUE"""),200)</f>
        <v>200</v>
      </c>
      <c r="E49" s="2" t="str">
        <f ca="1">IFERROR(__xludf.DUMMYFUNCTION("""COMPUTED_VALUE"""),"Lustful Blade")</f>
        <v>Lustful Blade</v>
      </c>
      <c r="F49" s="2" t="str">
        <f ca="1">IFERROR(__xludf.DUMMYFUNCTION("""COMPUTED_VALUE"""),"Generic: Hentai Fantasy")</f>
        <v>Generic: Hentai Fantasy</v>
      </c>
      <c r="G49" s="2" t="str">
        <f ca="1">IFERROR(__xludf.DUMMYFUNCTION("""COMPUTED_VALUE"""),"Magic")</f>
        <v>Magic</v>
      </c>
      <c r="H49" s="2" t="str">
        <f ca="1">IFERROR(__xludf.DUMMYFUNCTION("""COMPUTED_VALUE"""),"A dirty, rusted, and cracked weapon you found in a stall. Upon touching it, it broke into metal shards, only for your own weapon to suddenly grow a large ruby upon the hilt. For lack of a better word, the sword is haunted - breaking the old one cause it t"&amp;"o move to yours. The spirit inside can absorb small amounts of magic, and then either throw it back or use it to strengthen you... At the cost of being an absolute pervert to practically everyone.")</f>
        <v>A dirty, rusted, and cracked weapon you found in a stall. Upon touching it, it broke into metal shards, only for your own weapon to suddenly grow a large ruby upon the hilt. For lack of a better word, the sword is haunted - breaking the old one cause it to move to yours. The spirit inside can absorb small amounts of magic, and then either throw it back or use it to strengthen you... At the cost of being an absolute pervert to practically everyone.</v>
      </c>
      <c r="I49" s="5"/>
    </row>
    <row r="50" spans="1:9" ht="34.799999999999997" x14ac:dyDescent="0.25">
      <c r="A50" s="16"/>
      <c r="B50" s="17">
        <v>46</v>
      </c>
      <c r="C50" s="2" t="b">
        <f ca="1">IFERROR(__xludf.DUMMYFUNCTION("""COMPUTED_VALUE"""),FALSE)</f>
        <v>0</v>
      </c>
      <c r="D50" s="2">
        <f ca="1">IFERROR(__xludf.DUMMYFUNCTION("""COMPUTED_VALUE"""),200)</f>
        <v>200</v>
      </c>
      <c r="E50" s="2" t="str">
        <f ca="1">IFERROR(__xludf.DUMMYFUNCTION("""COMPUTED_VALUE"""),"Magic Lipstick")</f>
        <v>Magic Lipstick</v>
      </c>
      <c r="F50" s="2" t="str">
        <f ca="1">IFERROR(__xludf.DUMMYFUNCTION("""COMPUTED_VALUE"""),"Power Play")</f>
        <v>Power Play</v>
      </c>
      <c r="G50" s="2" t="str">
        <f ca="1">IFERROR(__xludf.DUMMYFUNCTION("""COMPUTED_VALUE"""),"Magic")</f>
        <v>Magic</v>
      </c>
      <c r="H50" s="2" t="str">
        <f ca="1">IFERROR(__xludf.DUMMYFUNCTION("""COMPUTED_VALUE"""),"While wearing this lipstick, you gain the ability to absorb magical energy through a kiss—this is more effective if done on the balls or labia.")</f>
        <v>While wearing this lipstick, you gain the ability to absorb magical energy through a kiss—this is more effective if done on the balls or labia.</v>
      </c>
      <c r="I50" s="5"/>
    </row>
    <row r="51" spans="1:9" ht="208.8" x14ac:dyDescent="0.25">
      <c r="A51" s="16"/>
      <c r="B51" s="17">
        <v>47</v>
      </c>
      <c r="C51" s="2" t="b">
        <f ca="1">IFERROR(__xludf.DUMMYFUNCTION("""COMPUTED_VALUE"""),FALSE)</f>
        <v>0</v>
      </c>
      <c r="D51" s="2">
        <f ca="1">IFERROR(__xludf.DUMMYFUNCTION("""COMPUTED_VALUE"""),200)</f>
        <v>200</v>
      </c>
      <c r="E51" s="2" t="str">
        <f ca="1">IFERROR(__xludf.DUMMYFUNCTION("""COMPUTED_VALUE"""),"Magical Barrier")</f>
        <v>Magical Barrier</v>
      </c>
      <c r="F51" s="2" t="str">
        <f ca="1">IFERROR(__xludf.DUMMYFUNCTION("""COMPUTED_VALUE"""),"Majuu Purification Girl Utea")</f>
        <v>Majuu Purification Girl Utea</v>
      </c>
      <c r="G51" s="2" t="str">
        <f ca="1">IFERROR(__xludf.DUMMYFUNCTION("""COMPUTED_VALUE"""),"Magic")</f>
        <v>Magic</v>
      </c>
      <c r="H51" s="2" t="str">
        <f ca="1">IFERROR(__xludf.DUMMYFUNCTION("""COMPUTED_VALUE"""),"When humans want to have sex in private they go to a love hotel. When Utea want to do the same thing they generate magical barriers that keep out anyone who might interfere with their fun, though pure Utea care much more about how well these barriers prot"&amp;"ect against collateral damage and civilian casualties. This magical barrier is a side-effect of Charm and Grace using purification magic on injuu, trapping them in a space they can’t leave without having sex with the vanquished demon, but in your hands th"&amp;"is barrier is far more useful and lacks that particular drawback. You can deploy this space at will, shunting yourself and nearby enemies and allies into a pocket dimension where you can throw down to your heart’s content without endangering innocents. Yo"&amp;"u can even shape the area within the barrier into special environments to give yourself a tactical terrain advantage or just make a special space to act out a particular fantasy. You can collapse this space and return to the real world at will, but if you"&amp;"r enemies want to escape once you’ve captured them they’ll have to defeat you first.")</f>
        <v>When humans want to have sex in private they go to a love hotel. When Utea want to do the same thing they generate magical barriers that keep out anyone who might interfere with their fun, though pure Utea care much more about how well these barriers protect against collateral damage and civilian casualties. This magical barrier is a side-effect of Charm and Grace using purification magic on injuu, trapping them in a space they can’t leave without having sex with the vanquished demon, but in your hands this barrier is far more useful and lacks that particular drawback. You can deploy this space at will, shunting yourself and nearby enemies and allies into a pocket dimension where you can throw down to your heart’s content without endangering innocents. You can even shape the area within the barrier into special environments to give yourself a tactical terrain advantage or just make a special space to act out a particular fantasy. You can collapse this space and return to the real world at will, but if your enemies want to escape once you’ve captured them they’ll have to defeat you first.</v>
      </c>
      <c r="I51" s="5"/>
    </row>
    <row r="52" spans="1:9" ht="52.2" x14ac:dyDescent="0.25">
      <c r="A52" s="16"/>
      <c r="B52" s="17">
        <v>48</v>
      </c>
      <c r="C52" s="2" t="b">
        <f ca="1">IFERROR(__xludf.DUMMYFUNCTION("""COMPUTED_VALUE"""),FALSE)</f>
        <v>0</v>
      </c>
      <c r="D52" s="2">
        <f ca="1">IFERROR(__xludf.DUMMYFUNCTION("""COMPUTED_VALUE"""),200)</f>
        <v>200</v>
      </c>
      <c r="E52" s="2" t="str">
        <f ca="1">IFERROR(__xludf.DUMMYFUNCTION("""COMPUTED_VALUE"""),"Magical Tent")</f>
        <v>Magical Tent</v>
      </c>
      <c r="F52" s="2" t="str">
        <f ca="1">IFERROR(__xludf.DUMMYFUNCTION("""COMPUTED_VALUE"""),"Radaslab's The Harem War")</f>
        <v>Radaslab's The Harem War</v>
      </c>
      <c r="G52" s="2" t="str">
        <f ca="1">IFERROR(__xludf.DUMMYFUNCTION("""COMPUTED_VALUE"""),"Magic")</f>
        <v>Magic</v>
      </c>
      <c r="H52" s="2" t="str">
        <f ca="1">IFERROR(__xludf.DUMMYFUNCTION("""COMPUTED_VALUE"""),"You own a magical tent, which can set itself up on its own and has enough space in it for a family of 8 people.")</f>
        <v>You own a magical tent, which can set itself up on its own and has enough space in it for a family of 8 people.</v>
      </c>
      <c r="I52" s="5"/>
    </row>
    <row r="53" spans="1:9" ht="87" x14ac:dyDescent="0.25">
      <c r="A53" s="16"/>
      <c r="B53" s="17">
        <v>49</v>
      </c>
      <c r="C53" s="2" t="b">
        <f ca="1">IFERROR(__xludf.DUMMYFUNCTION("""COMPUTED_VALUE"""),FALSE)</f>
        <v>0</v>
      </c>
      <c r="D53" s="2">
        <f ca="1">IFERROR(__xludf.DUMMYFUNCTION("""COMPUTED_VALUE"""),200)</f>
        <v>200</v>
      </c>
      <c r="E53" s="2" t="str">
        <f ca="1">IFERROR(__xludf.DUMMYFUNCTION("""COMPUTED_VALUE"""),"Magician's Focus")</f>
        <v>Magician's Focus</v>
      </c>
      <c r="F53" s="2" t="str">
        <f ca="1">IFERROR(__xludf.DUMMYFUNCTION("""COMPUTED_VALUE"""),"Monster Girl Dreams 1.3 - The Pre-Capitol Update")</f>
        <v>Monster Girl Dreams 1.3 - The Pre-Capitol Update</v>
      </c>
      <c r="G53" s="2" t="str">
        <f ca="1">IFERROR(__xludf.DUMMYFUNCTION("""COMPUTED_VALUE"""),"Magic")</f>
        <v>Magic</v>
      </c>
      <c r="H53" s="2" t="str">
        <f ca="1">IFERROR(__xludf.DUMMYFUNCTION("""COMPUTED_VALUE"""),"Most people can find it difficult to cast spells while a monster girl is bouncing on their cock. Thankfully, you don’t have that problem. As long as your mouth is free to speak, you can cast without penalty, no matter the odd position you’re in or the int"&amp;"ensity of the sensations running through your body at the time.")</f>
        <v>Most people can find it difficult to cast spells while a monster girl is bouncing on their cock. Thankfully, you don’t have that problem. As long as your mouth is free to speak, you can cast without penalty, no matter the odd position you’re in or the intensity of the sensations running through your body at the time.</v>
      </c>
      <c r="I53" s="5"/>
    </row>
    <row r="54" spans="1:9" ht="139.19999999999999" x14ac:dyDescent="0.25">
      <c r="A54" s="16"/>
      <c r="B54" s="17">
        <v>50</v>
      </c>
      <c r="C54" s="2" t="b">
        <f ca="1">IFERROR(__xludf.DUMMYFUNCTION("""COMPUTED_VALUE"""),FALSE)</f>
        <v>0</v>
      </c>
      <c r="D54" s="2">
        <f ca="1">IFERROR(__xludf.DUMMYFUNCTION("""COMPUTED_VALUE"""),200)</f>
        <v>200</v>
      </c>
      <c r="E54" s="2" t="str">
        <f ca="1">IFERROR(__xludf.DUMMYFUNCTION("""COMPUTED_VALUE"""),"Mana Conversion")</f>
        <v>Mana Conversion</v>
      </c>
      <c r="F54" s="2" t="str">
        <f ca="1">IFERROR(__xludf.DUMMYFUNCTION("""COMPUTED_VALUE"""),"Fate/Whore Order")</f>
        <v>Fate/Whore Order</v>
      </c>
      <c r="G54" s="2" t="str">
        <f ca="1">IFERROR(__xludf.DUMMYFUNCTION("""COMPUTED_VALUE"""),"Magic")</f>
        <v>Magic</v>
      </c>
      <c r="H54" s="2" t="str">
        <f ca="1">IFERROR(__xludf.DUMMYFUNCTION("""COMPUTED_VALUE"""),"Normally, Tantric rituals are complicated. You have to do this, they have to do that, and you have to do it at the same time. Obviously your failures are enjoyable, but getting something useful out of it is practically a chore. Luckily, you can now skip a"&amp;"ll of that nonsense and just directly use the sperm pumped into you as magical energy. This is arguably even better twice over for not costing any of their own energy. I’m sure there’s a lucky guy out there who would be more than happy to get another bond"&amp;" level with you... and dozens of men who would like to fire and forget, and would give you way more energy through sheer force of numbers. Oh, and it doesn’t actually matter where you take it, once it’s inside of you the energy is yours.")</f>
        <v>Normally, Tantric rituals are complicated. You have to do this, they have to do that, and you have to do it at the same time. Obviously your failures are enjoyable, but getting something useful out of it is practically a chore. Luckily, you can now skip all of that nonsense and just directly use the sperm pumped into you as magical energy. This is arguably even better twice over for not costing any of their own energy. I’m sure there’s a lucky guy out there who would be more than happy to get another bond level with you... and dozens of men who would like to fire and forget, and would give you way more energy through sheer force of numbers. Oh, and it doesn’t actually matter where you take it, once it’s inside of you the energy is yours.</v>
      </c>
      <c r="I54" s="5"/>
    </row>
    <row r="55" spans="1:9" ht="208.8" x14ac:dyDescent="0.25">
      <c r="A55" s="16"/>
      <c r="B55" s="17">
        <v>51</v>
      </c>
      <c r="C55" s="2" t="b">
        <f ca="1">IFERROR(__xludf.DUMMYFUNCTION("""COMPUTED_VALUE"""),FALSE)</f>
        <v>0</v>
      </c>
      <c r="D55" s="2">
        <f ca="1">IFERROR(__xludf.DUMMYFUNCTION("""COMPUTED_VALUE"""),200)</f>
        <v>200</v>
      </c>
      <c r="E55" s="2" t="str">
        <f ca="1">IFERROR(__xludf.DUMMYFUNCTION("""COMPUTED_VALUE"""),"Master of Rituals")</f>
        <v>Master of Rituals</v>
      </c>
      <c r="F55" s="2" t="str">
        <f ca="1">IFERROR(__xludf.DUMMYFUNCTION("""COMPUTED_VALUE"""),"Bible Black")</f>
        <v>Bible Black</v>
      </c>
      <c r="G55" s="2" t="str">
        <f ca="1">IFERROR(__xludf.DUMMYFUNCTION("""COMPUTED_VALUE"""),"Magic")</f>
        <v>Magic</v>
      </c>
      <c r="H55" s="2" t="str">
        <f ca="1">IFERROR(__xludf.DUMMYFUNCTION("""COMPUTED_VALUE"""),"In this world, Rituals are the path to great power or works. Spending hours chanting and preparing a sacrifice for the ritual culminating in a result that will either greatly empower the occultists involved or screw them royally (if the summoned demon isn"&amp;"’t cooperative). With this, all of your basic rituals will succeed with little effort. Grand Rituals will have an even greater chance of success than normal. On top of this, any ritualistic offerings will always appease the spirit, demon, or devil you are"&amp;" invoking. You are even able to get away with a lesser offering for most of your rituals, with a necessary life offering being replaced with an offering of blood or virginity if the need arises. Summoning the Devil or a Greater spirit will always require "&amp;"a life offering/sacrifice though. All rituals will take less time than they would have before, with day-long rituals being satisfied in hours or hour-long rituals in minutes.
Note, this doesn't teach you any rituals.")</f>
        <v>In this world, Rituals are the path to great power or works. Spending hours chanting and preparing a sacrifice for the ritual culminating in a result that will either greatly empower the occultists involved or screw them royally (if the summoned demon isn’t cooperative). With this, all of your basic rituals will succeed with little effort. Grand Rituals will have an even greater chance of success than normal. On top of this, any ritualistic offerings will always appease the spirit, demon, or devil you are invoking. You are even able to get away with a lesser offering for most of your rituals, with a necessary life offering being replaced with an offering of blood or virginity if the need arises. Summoning the Devil or a Greater spirit will always require a life offering/sacrifice though. All rituals will take less time than they would have before, with day-long rituals being satisfied in hours or hour-long rituals in minutes.
Note, this doesn't teach you any rituals.</v>
      </c>
      <c r="I55" s="5"/>
    </row>
    <row r="56" spans="1:9" ht="191.4" x14ac:dyDescent="0.25">
      <c r="A56" s="16"/>
      <c r="B56" s="17">
        <v>52</v>
      </c>
      <c r="C56" s="2" t="b">
        <f ca="1">IFERROR(__xludf.DUMMYFUNCTION("""COMPUTED_VALUE"""),FALSE)</f>
        <v>0</v>
      </c>
      <c r="D56" s="2">
        <f ca="1">IFERROR(__xludf.DUMMYFUNCTION("""COMPUTED_VALUE"""),200)</f>
        <v>200</v>
      </c>
      <c r="E56" s="2" t="str">
        <f ca="1">IFERROR(__xludf.DUMMYFUNCTION("""COMPUTED_VALUE"""),"Materia Farmer")</f>
        <v>Materia Farmer</v>
      </c>
      <c r="F56" s="2" t="str">
        <f ca="1">IFERROR(__xludf.DUMMYFUNCTION("""COMPUTED_VALUE"""),"Tifa Lockhart - Agent of Avalanche")</f>
        <v>Tifa Lockhart - Agent of Avalanche</v>
      </c>
      <c r="G56" s="2" t="str">
        <f ca="1">IFERROR(__xludf.DUMMYFUNCTION("""COMPUTED_VALUE"""),"Magic")</f>
        <v>Magic</v>
      </c>
      <c r="H56" s="2" t="str">
        <f ca="1">IFERROR(__xludf.DUMMYFUNCTION("""COMPUTED_VALUE"""),"Street rats and freedom fighters need as much power as they can get their hands on, and one of the best ways to get power quickly is by using magical items like materia to enhance your body’s natural strengths. Your body is highly receptive to magical pow"&amp;"er and can attune itself to any magical items you might equip, making them strengthen your body and grow stronger over time just like materia do. Strangely, items held inside your body confer far greater benefits than those you equip conventionally. This "&amp;"probably won’t help when you’re using something like an enchanted sword, but a couple of nice round smooth materia gems? Well you know what they say: anything can be a sex toy if you’re brave enough, and the reward for being brave enough to stuff a few ma"&amp;"gical relics up your cooch is as much as five times more power and growth than you’d get using them normally. You can also “equip” as many materia on your body as you’re able to keep inside yourself, with no limits beyond your own stamina. Maybe get a cha"&amp;"stity belt to keep them in?")</f>
        <v>Street rats and freedom fighters need as much power as they can get their hands on, and one of the best ways to get power quickly is by using magical items like materia to enhance your body’s natural strengths. Your body is highly receptive to magical power and can attune itself to any magical items you might equip, making them strengthen your body and grow stronger over time just like materia do. Strangely, items held inside your body confer far greater benefits than those you equip conventionally. This probably won’t help when you’re using something like an enchanted sword, but a couple of nice round smooth materia gems? Well you know what they say: anything can be a sex toy if you’re brave enough, and the reward for being brave enough to stuff a few magical relics up your cooch is as much as five times more power and growth than you’d get using them normally. You can also “equip” as many materia on your body as you’re able to keep inside yourself, with no limits beyond your own stamina. Maybe get a chastity belt to keep them in?</v>
      </c>
      <c r="I56" s="5"/>
    </row>
    <row r="57" spans="1:9" ht="191.4" x14ac:dyDescent="0.25">
      <c r="A57" s="16"/>
      <c r="B57" s="17">
        <v>53</v>
      </c>
      <c r="C57" s="2" t="b">
        <f ca="1">IFERROR(__xludf.DUMMYFUNCTION("""COMPUTED_VALUE"""),FALSE)</f>
        <v>0</v>
      </c>
      <c r="D57" s="2">
        <f ca="1">IFERROR(__xludf.DUMMYFUNCTION("""COMPUTED_VALUE"""),200)</f>
        <v>200</v>
      </c>
      <c r="E57" s="2" t="str">
        <f ca="1">IFERROR(__xludf.DUMMYFUNCTION("""COMPUTED_VALUE"""),"Material Drone")</f>
        <v>Material Drone</v>
      </c>
      <c r="F57" s="2" t="str">
        <f ca="1">IFERROR(__xludf.DUMMYFUNCTION("""COMPUTED_VALUE"""),"Seikon No Qwaser")</f>
        <v>Seikon No Qwaser</v>
      </c>
      <c r="G57" s="2" t="str">
        <f ca="1">IFERROR(__xludf.DUMMYFUNCTION("""COMPUTED_VALUE"""),"Magic")</f>
        <v>Magic</v>
      </c>
      <c r="H57" s="2" t="str">
        <f ca="1">IFERROR(__xludf.DUMMYFUNCTION("""COMPUTED_VALUE"""),"A more expensive option for the more discerning Master/Misteress. This item is a solid, pure statue of your Qwaser element that also happens to be possessed of a rudimentary, animal intelligence capable of following simple telepathic or verbal commands an"&amp;"d fighting on your behalf should you have no interest of dirtying your own hands. While weight isn’t something that can be calculated given the wildly varying Elements you could select, the sheer mass will amount to the size of an average human woman... O"&amp;"h, and that’s its default “look,” by the way. How impressive would that be walking around with a literal Gold woman at your side?
If you don't already have a Qwaser element, pick an element from the periodic table. While this perk doesn't give you any ad"&amp;"ditional abilities related to that element, it will be your Qwaser element should you recieve the perk 'Elemental Excellence'.")</f>
        <v>A more expensive option for the more discerning Master/Misteress. This item is a solid, pure statue of your Qwaser element that also happens to be possessed of a rudimentary, animal intelligence capable of following simple telepathic or verbal commands and fighting on your behalf should you have no interest of dirtying your own hands. While weight isn’t something that can be calculated given the wildly varying Elements you could select, the sheer mass will amount to the size of an average human woman... Oh, and that’s its default “look,” by the way. How impressive would that be walking around with a literal Gold woman at your side?
If you don't already have a Qwaser element, pick an element from the periodic table. While this perk doesn't give you any additional abilities related to that element, it will be your Qwaser element should you recieve the perk 'Elemental Excellence'.</v>
      </c>
      <c r="I57" s="5"/>
    </row>
    <row r="58" spans="1:9" ht="174" x14ac:dyDescent="0.25">
      <c r="A58" s="16"/>
      <c r="B58" s="17">
        <v>54</v>
      </c>
      <c r="C58" s="2" t="b">
        <f ca="1">IFERROR(__xludf.DUMMYFUNCTION("""COMPUTED_VALUE"""),FALSE)</f>
        <v>0</v>
      </c>
      <c r="D58" s="2">
        <f ca="1">IFERROR(__xludf.DUMMYFUNCTION("""COMPUTED_VALUE"""),200)</f>
        <v>200</v>
      </c>
      <c r="E58" s="2" t="str">
        <f ca="1">IFERROR(__xludf.DUMMYFUNCTION("""COMPUTED_VALUE"""),"Mechanical Mayhem")</f>
        <v>Mechanical Mayhem</v>
      </c>
      <c r="F58" s="2" t="str">
        <f ca="1">IFERROR(__xludf.DUMMYFUNCTION("""COMPUTED_VALUE"""),"Breathless Wild")</f>
        <v>Breathless Wild</v>
      </c>
      <c r="G58" s="2" t="str">
        <f ca="1">IFERROR(__xludf.DUMMYFUNCTION("""COMPUTED_VALUE"""),"Magic")</f>
        <v>Magic</v>
      </c>
      <c r="H58" s="2" t="str">
        <f ca="1">IFERROR(__xludf.DUMMYFUNCTION("""COMPUTED_VALUE"""),"The guardians and divine beasts would have been Hyrule’s greatest defenders if Ganon hadn’t corrupted them all the moment he returned. You may not be a scholar of Sheikah technology but you don’t need to be when you can simply corrupt these soulless machi"&amp;"nes and claim them for yourself. By filling a machine with magical power you can hijack it and bring it under your control, either controlling it remotely or simply overriding its programming to make it serve your will. Corrupting a machine can also physi"&amp;"cally transform it in limited ways to make it more suited to your depraved needs, like making a guardian’s laser corrupt its targets, or arming it with all manner of depraved mechanical tools to capture and subdue prey rather than destroying them. Even wi"&amp;"th no particular magical talent you can control a handful of machine slaves at the same time but a skilled and powerful sorcerer could corrupt and command entire armies of them.")</f>
        <v>The guardians and divine beasts would have been Hyrule’s greatest defenders if Ganon hadn’t corrupted them all the moment he returned. You may not be a scholar of Sheikah technology but you don’t need to be when you can simply corrupt these soulless machines and claim them for yourself. By filling a machine with magical power you can hijack it and bring it under your control, either controlling it remotely or simply overriding its programming to make it serve your will. Corrupting a machine can also physically transform it in limited ways to make it more suited to your depraved needs, like making a guardian’s laser corrupt its targets, or arming it with all manner of depraved mechanical tools to capture and subdue prey rather than destroying them. Even with no particular magical talent you can control a handful of machine slaves at the same time but a skilled and powerful sorcerer could corrupt and command entire armies of them.</v>
      </c>
      <c r="I58" s="5"/>
    </row>
    <row r="59" spans="1:9" ht="174" x14ac:dyDescent="0.25">
      <c r="A59" s="16"/>
      <c r="B59" s="17">
        <v>55</v>
      </c>
      <c r="C59" s="2" t="b">
        <f ca="1">IFERROR(__xludf.DUMMYFUNCTION("""COMPUTED_VALUE"""),FALSE)</f>
        <v>0</v>
      </c>
      <c r="D59" s="2">
        <f ca="1">IFERROR(__xludf.DUMMYFUNCTION("""COMPUTED_VALUE"""),200)</f>
        <v>200</v>
      </c>
      <c r="E59" s="2" t="str">
        <f ca="1">IFERROR(__xludf.DUMMYFUNCTION("""COMPUTED_VALUE"""),"One Thing to Rule them All")</f>
        <v>One Thing to Rule them All</v>
      </c>
      <c r="F59" s="2" t="str">
        <f ca="1">IFERROR(__xludf.DUMMYFUNCTION("""COMPUTED_VALUE"""),"World of Tentacles")</f>
        <v>World of Tentacles</v>
      </c>
      <c r="G59" s="2" t="str">
        <f ca="1">IFERROR(__xludf.DUMMYFUNCTION("""COMPUTED_VALUE"""),"Magic")</f>
        <v>Magic</v>
      </c>
      <c r="H59" s="2" t="str">
        <f ca="1">IFERROR(__xludf.DUMMYFUNCTION("""COMPUTED_VALUE"""),"It’s something of a tradition for demon lords to invest power into objects such as cursed swords, symbiotic armor, malevolent jewelry, or other such things. This item is one such object, an item of your choice which has been forged with an enchantment gra"&amp;"nting it intelligence and personality. Your creation is loyal to you and will do its best to fulfill its intended purpose, but if it is ever lost or stolen it becomes malevolent, and will seek to corrupt, control, or otherwise fuck over any unauthorised w"&amp;"ielders with whatever other powers it possesses until it is able to return to your possession. You can also create other intelligent items like this one, though it requires a great deal of power and resources to do so. You can apply this object’s effects "&amp;"to any similar object you possess, though especially holy objects will be highly resistant to being altered in such a manner and require vastly more power and resources to do so.")</f>
        <v>It’s something of a tradition for demon lords to invest power into objects such as cursed swords, symbiotic armor, malevolent jewelry, or other such things. This item is one such object, an item of your choice which has been forged with an enchantment granting it intelligence and personality. Your creation is loyal to you and will do its best to fulfill its intended purpose, but if it is ever lost or stolen it becomes malevolent, and will seek to corrupt, control, or otherwise fuck over any unauthorised wielders with whatever other powers it possesses until it is able to return to your possession. You can also create other intelligent items like this one, though it requires a great deal of power and resources to do so. You can apply this object’s effects to any similar object you possess, though especially holy objects will be highly resistant to being altered in such a manner and require vastly more power and resources to do so.</v>
      </c>
      <c r="I59" s="5"/>
    </row>
    <row r="60" spans="1:9" ht="243.6" x14ac:dyDescent="0.25">
      <c r="A60" s="16"/>
      <c r="B60" s="17">
        <v>56</v>
      </c>
      <c r="C60" s="2" t="b">
        <f ca="1">IFERROR(__xludf.DUMMYFUNCTION("""COMPUTED_VALUE"""),FALSE)</f>
        <v>0</v>
      </c>
      <c r="D60" s="2">
        <f ca="1">IFERROR(__xludf.DUMMYFUNCTION("""COMPUTED_VALUE"""),200)</f>
        <v>200</v>
      </c>
      <c r="E60" s="2" t="str">
        <f ca="1">IFERROR(__xludf.DUMMYFUNCTION("""COMPUTED_VALUE"""),"Overly Familiar")</f>
        <v>Overly Familiar</v>
      </c>
      <c r="F60" s="2" t="str">
        <f ca="1">IFERROR(__xludf.DUMMYFUNCTION("""COMPUTED_VALUE"""),"World of Lewd Fantasy")</f>
        <v>World of Lewd Fantasy</v>
      </c>
      <c r="G60" s="2" t="str">
        <f ca="1">IFERROR(__xludf.DUMMYFUNCTION("""COMPUTED_VALUE"""),"Magic")</f>
        <v>Magic</v>
      </c>
      <c r="H60" s="2" t="str">
        <f ca="1">IFERROR(__xludf.DUMMYFUNCTION("""COMPUTED_VALUE"""),"Just because you're going to spend most of your time cooped up with your studies and experiments doesn't mean that the path of mysticism has to be a lonely one. You've either used ancient magics to bind a preexisting supernatural creature to your soul, or"&amp;" actually created your soulbound confidant from scratch. Whichever method you decided was best, it has provided you with a loyal new friend, and useful assistant in all matters occult. 
The exact form and personality of you familiar is largely up to you,"&amp;" it could be a helpful fairy, a sultry and mischievous imp, or a bipedal feline obsessed with hunting monsters. The only real requirements are that they be on the smallish side, and have at least a few tells that show its otherworldly nature. You familiar"&amp;"'s close connection to both you and to magic in general has also made them into a perfect receptacle for your excess magical energies, allowing you to store your mana within them, or to draw some back out again whenever needed by using a simple tantric ri"&amp;"tual. And yes, they do greatly enjoy being used as your own personal fuckable mana potion when not otherwise assisting you in your magical endeavors.")</f>
        <v>Just because you're going to spend most of your time cooped up with your studies and experiments doesn't mean that the path of mysticism has to be a lonely one. You've either used ancient magics to bind a preexisting supernatural creature to your soul, or actually created your soulbound confidant from scratch. Whichever method you decided was best, it has provided you with a loyal new friend, and useful assistant in all matters occult. 
The exact form and personality of you familiar is largely up to you, it could be a helpful fairy, a sultry and mischievous imp, or a bipedal feline obsessed with hunting monsters. The only real requirements are that they be on the smallish side, and have at least a few tells that show its otherworldly nature. You familiar's close connection to both you and to magic in general has also made them into a perfect receptacle for your excess magical energies, allowing you to store your mana within them, or to draw some back out again whenever needed by using a simple tantric ritual. And yes, they do greatly enjoy being used as your own personal fuckable mana potion when not otherwise assisting you in your magical endeavors.</v>
      </c>
      <c r="I60" s="5"/>
    </row>
    <row r="61" spans="1:9" ht="104.4" x14ac:dyDescent="0.25">
      <c r="A61" s="16"/>
      <c r="B61" s="17">
        <v>57</v>
      </c>
      <c r="C61" s="2" t="b">
        <f ca="1">IFERROR(__xludf.DUMMYFUNCTION("""COMPUTED_VALUE"""),FALSE)</f>
        <v>0</v>
      </c>
      <c r="D61" s="2">
        <f ca="1">IFERROR(__xludf.DUMMYFUNCTION("""COMPUTED_VALUE"""),200)</f>
        <v>200</v>
      </c>
      <c r="E61" s="2" t="str">
        <f ca="1">IFERROR(__xludf.DUMMYFUNCTION("""COMPUTED_VALUE"""),"Phantom Dolls")</f>
        <v>Phantom Dolls</v>
      </c>
      <c r="F61" s="2" t="str">
        <f ca="1">IFERROR(__xludf.DUMMYFUNCTION("""COMPUTED_VALUE"""),"Miyuki-chan in Wonderland")</f>
        <v>Miyuki-chan in Wonderland</v>
      </c>
      <c r="G61" s="2" t="str">
        <f ca="1">IFERROR(__xludf.DUMMYFUNCTION("""COMPUTED_VALUE"""),"Magic")</f>
        <v>Magic</v>
      </c>
      <c r="H61" s="2" t="str">
        <f ca="1">IFERROR(__xludf.DUMMYFUNCTION("""COMPUTED_VALUE"""),"You can summon small, roughly spherical creatures that float through the air and have sharp teeth – perfect for ripping the clothes off captives. The exact cosmetics are up to you. They could look like yellow pill munchers, or doll heads, or gloved fists "&amp;"that grasp and rip at clothing. Each is as big as a grapefruit or volleyball, and you can summon up to a dozen of them at a time. They are about as fast as average birds, and they have sufficient physical endurance to tank a single laser bolt from a sci-f"&amp;"i setting, though they lack similar defenses against magical attacks.")</f>
        <v>You can summon small, roughly spherical creatures that float through the air and have sharp teeth – perfect for ripping the clothes off captives. The exact cosmetics are up to you. They could look like yellow pill munchers, or doll heads, or gloved fists that grasp and rip at clothing. Each is as big as a grapefruit or volleyball, and you can summon up to a dozen of them at a time. They are about as fast as average birds, and they have sufficient physical endurance to tank a single laser bolt from a sci-fi setting, though they lack similar defenses against magical attacks.</v>
      </c>
      <c r="I61" s="5"/>
    </row>
    <row r="62" spans="1:9" ht="174" x14ac:dyDescent="0.25">
      <c r="A62" s="16"/>
      <c r="B62" s="17">
        <v>58</v>
      </c>
      <c r="C62" s="2" t="b">
        <f ca="1">IFERROR(__xludf.DUMMYFUNCTION("""COMPUTED_VALUE"""),FALSE)</f>
        <v>0</v>
      </c>
      <c r="D62" s="2">
        <f ca="1">IFERROR(__xludf.DUMMYFUNCTION("""COMPUTED_VALUE"""),200)</f>
        <v>200</v>
      </c>
      <c r="E62" s="2" t="str">
        <f ca="1">IFERROR(__xludf.DUMMYFUNCTION("""COMPUTED_VALUE"""),"Pigment of Attraction")</f>
        <v>Pigment of Attraction</v>
      </c>
      <c r="F62" s="2" t="str">
        <f ca="1">IFERROR(__xludf.DUMMYFUNCTION("""COMPUTED_VALUE"""),"Monster Girl Quest V2")</f>
        <v>Monster Girl Quest V2</v>
      </c>
      <c r="G62" s="2" t="str">
        <f ca="1">IFERROR(__xludf.DUMMYFUNCTION("""COMPUTED_VALUE"""),"Magic")</f>
        <v>Magic</v>
      </c>
      <c r="H62" s="2" t="str">
        <f ca="1">IFERROR(__xludf.DUMMYFUNCTION("""COMPUTED_VALUE"""),"You receive a magical artist’s kit that holds a special kind of ink, that when applied to skin, scales or slime forms intricate patterns. These patterns are of the color the recipient wishes and have three uses: first, they take a shape appealing to other"&amp;"s assisting you in seducing them; second, they can be dispelled for a temporary boost to a spell, such that blizzard could turn to blizzara or other such enhancements; finally, it can be used to teleport to a predetermined location when out of combat. It "&amp;"requires a five minute ritual to apply. You get enough ink to apply to four people at a time, and when the ink is dispelled, the dispelled ink will reappear inside the the artist’s kit a week later. More than one person’s amount of ink can be applied to a"&amp;" singular individual, but doing so makes their magic more difficult to control often resulting in unfavorable circumstances, additionally, the increase in allure results in the recipient’s narcissism ascending to unhealthy levels.")</f>
        <v>You receive a magical artist’s kit that holds a special kind of ink, that when applied to skin, scales or slime forms intricate patterns. These patterns are of the color the recipient wishes and have three uses: first, they take a shape appealing to others assisting you in seducing them; second, they can be dispelled for a temporary boost to a spell, such that blizzard could turn to blizzara or other such enhancements; finally, it can be used to teleport to a predetermined location when out of combat. It requires a five minute ritual to apply. You get enough ink to apply to four people at a time, and when the ink is dispelled, the dispelled ink will reappear inside the the artist’s kit a week later. More than one person’s amount of ink can be applied to a singular individual, but doing so makes their magic more difficult to control often resulting in unfavorable circumstances, additionally, the increase in allure results in the recipient’s narcissism ascending to unhealthy levels.</v>
      </c>
      <c r="I62" s="5"/>
    </row>
    <row r="63" spans="1:9" ht="69.599999999999994" x14ac:dyDescent="0.25">
      <c r="A63" s="16"/>
      <c r="B63" s="17">
        <v>59</v>
      </c>
      <c r="C63" s="2" t="b">
        <f ca="1">IFERROR(__xludf.DUMMYFUNCTION("""COMPUTED_VALUE"""),FALSE)</f>
        <v>0</v>
      </c>
      <c r="D63" s="2">
        <f ca="1">IFERROR(__xludf.DUMMYFUNCTION("""COMPUTED_VALUE"""),200)</f>
        <v>200</v>
      </c>
      <c r="E63" s="2" t="str">
        <f ca="1">IFERROR(__xludf.DUMMYFUNCTION("""COMPUTED_VALUE"""),"Placebo Effect")</f>
        <v>Placebo Effect</v>
      </c>
      <c r="F63" s="2" t="str">
        <f ca="1">IFERROR(__xludf.DUMMYFUNCTION("""COMPUTED_VALUE"""),"Aki-Akane")</f>
        <v>Aki-Akane</v>
      </c>
      <c r="G63" s="2" t="str">
        <f ca="1">IFERROR(__xludf.DUMMYFUNCTION("""COMPUTED_VALUE"""),"Magic")</f>
        <v>Magic</v>
      </c>
      <c r="H63" s="2" t="str">
        <f ca="1">IFERROR(__xludf.DUMMYFUNCTION("""COMPUTED_VALUE"""),"You aren’t their lover, but you are a damn good one. Specifically, you’re so good at sex that you can fool a person into thinking that you actually are their lover. The illusion spell you’ve learned to replicate sight, scent, and touch also helps. This ac"&amp;"tually does allow you to be comforting and even therapeutic, though not to the extent of talking/sleeping with the real deal.")</f>
        <v>You aren’t their lover, but you are a damn good one. Specifically, you’re so good at sex that you can fool a person into thinking that you actually are their lover. The illusion spell you’ve learned to replicate sight, scent, and touch also helps. This actually does allow you to be comforting and even therapeutic, though not to the extent of talking/sleeping with the real deal.</v>
      </c>
      <c r="I63" s="5"/>
    </row>
    <row r="64" spans="1:9" ht="191.4" x14ac:dyDescent="0.25">
      <c r="A64" s="16"/>
      <c r="B64" s="17">
        <v>60</v>
      </c>
      <c r="C64" s="2" t="b">
        <f ca="1">IFERROR(__xludf.DUMMYFUNCTION("""COMPUTED_VALUE"""),FALSE)</f>
        <v>0</v>
      </c>
      <c r="D64" s="2">
        <f ca="1">IFERROR(__xludf.DUMMYFUNCTION("""COMPUTED_VALUE"""),200)</f>
        <v>200</v>
      </c>
      <c r="E64" s="2" t="str">
        <f ca="1">IFERROR(__xludf.DUMMYFUNCTION("""COMPUTED_VALUE"""),"Pleasure is Magic")</f>
        <v>Pleasure is Magic</v>
      </c>
      <c r="F64" s="2" t="str">
        <f ca="1">IFERROR(__xludf.DUMMYFUNCTION("""COMPUTED_VALUE"""),"Rope Master")</f>
        <v>Rope Master</v>
      </c>
      <c r="G64" s="2" t="str">
        <f ca="1">IFERROR(__xludf.DUMMYFUNCTION("""COMPUTED_VALUE"""),"Magic")</f>
        <v>Magic</v>
      </c>
      <c r="H64" s="2" t="str">
        <f ca="1">IFERROR(__xludf.DUMMYFUNCTION("""COMPUTED_VALUE"""),"Sexual prowess is much like any other skill: master it thoroughly enough and eventually you leave behind the mundane and enter the realm of the supernatural. Thanks to your innate magical potential your sexual prowess and attributes are on another level f"&amp;"rom most humans, and you can easily perform feats of erotic strength and skill which should be impossible outside of porn: from holding up your partner's entire weight with your cock alone, to suppressing your refractory period and lasting for hours at a "&amp;"time, to stuffing your slaves so full of seed that their bellies grow full and swollen with it. If you're properly trained in magic then you can also turn any spell you know into a tantric ritual, adding your sexual prowess to your magical skill. You coul"&amp;"d easily perform an exorcism on an evil spirit by simply fucking it out of its host the same way the rope masters do, or channel a surge of orgasmic bliss into a potent arcane fuel useful for breaking curses, bestowing enchantments, unravelling seals, and"&amp;" much more.")</f>
        <v>Sexual prowess is much like any other skill: master it thoroughly enough and eventually you leave behind the mundane and enter the realm of the supernatural. Thanks to your innate magical potential your sexual prowess and attributes are on another level from most humans, and you can easily perform feats of erotic strength and skill which should be impossible outside of porn: from holding up your partner's entire weight with your cock alone, to suppressing your refractory period and lasting for hours at a time, to stuffing your slaves so full of seed that their bellies grow full and swollen with it. If you're properly trained in magic then you can also turn any spell you know into a tantric ritual, adding your sexual prowess to your magical skill. You could easily perform an exorcism on an evil spirit by simply fucking it out of its host the same way the rope masters do, or channel a surge of orgasmic bliss into a potent arcane fuel useful for breaking curses, bestowing enchantments, unravelling seals, and much more.</v>
      </c>
      <c r="I64" s="5"/>
    </row>
    <row r="65" spans="1:9" ht="139.19999999999999" x14ac:dyDescent="0.25">
      <c r="A65" s="16"/>
      <c r="B65" s="17">
        <v>61</v>
      </c>
      <c r="C65" s="2" t="b">
        <f ca="1">IFERROR(__xludf.DUMMYFUNCTION("""COMPUTED_VALUE"""),FALSE)</f>
        <v>0</v>
      </c>
      <c r="D65" s="2">
        <f ca="1">IFERROR(__xludf.DUMMYFUNCTION("""COMPUTED_VALUE"""),200)</f>
        <v>200</v>
      </c>
      <c r="E65" s="2" t="str">
        <f ca="1">IFERROR(__xludf.DUMMYFUNCTION("""COMPUTED_VALUE"""),"Power Bottom")</f>
        <v>Power Bottom</v>
      </c>
      <c r="F65" s="2" t="str">
        <f ca="1">IFERROR(__xludf.DUMMYFUNCTION("""COMPUTED_VALUE"""),"Breathless Wild")</f>
        <v>Breathless Wild</v>
      </c>
      <c r="G65" s="2" t="str">
        <f ca="1">IFERROR(__xludf.DUMMYFUNCTION("""COMPUTED_VALUE"""),"Magic")</f>
        <v>Magic</v>
      </c>
      <c r="H65" s="2" t="str">
        <f ca="1">IFERROR(__xludf.DUMMYFUNCTION("""COMPUTED_VALUE"""),"The monsters of this land are fearsome but not immortal, and can be killed like any other creature. For a neophyte untrained in battle this might still seem a daunting task, but there are other ways to defeat your foes if you have the courage to pursue th"&amp;"em. You carry a blessing of light magic which lets you defeat any opponent so long as you can endure their attentions until they exhaust themselves. Weak monsters generally have little stamina and will be banished after a single orgasm, leaving behind a s"&amp;"mall pile of loot, while a person might find their powers drained by the effort. However, stronger foes will have much greater stamina and some, like Ganon, may even be entirely beyond this perk’s effects without the aid of powerful magic.")</f>
        <v>The monsters of this land are fearsome but not immortal, and can be killed like any other creature. For a neophyte untrained in battle this might still seem a daunting task, but there are other ways to defeat your foes if you have the courage to pursue them. You carry a blessing of light magic which lets you defeat any opponent so long as you can endure their attentions until they exhaust themselves. Weak monsters generally have little stamina and will be banished after a single orgasm, leaving behind a small pile of loot, while a person might find their powers drained by the effort. However, stronger foes will have much greater stamina and some, like Ganon, may even be entirely beyond this perk’s effects without the aid of powerful magic.</v>
      </c>
      <c r="I65" s="5"/>
    </row>
    <row r="66" spans="1:9" ht="104.4" x14ac:dyDescent="0.25">
      <c r="A66" s="16"/>
      <c r="B66" s="17">
        <v>62</v>
      </c>
      <c r="C66" s="2" t="b">
        <f ca="1">IFERROR(__xludf.DUMMYFUNCTION("""COMPUTED_VALUE"""),FALSE)</f>
        <v>0</v>
      </c>
      <c r="D66" s="2">
        <f ca="1">IFERROR(__xludf.DUMMYFUNCTION("""COMPUTED_VALUE"""),200)</f>
        <v>200</v>
      </c>
      <c r="E66" s="2" t="str">
        <f ca="1">IFERROR(__xludf.DUMMYFUNCTION("""COMPUTED_VALUE"""),"Powerthirst")</f>
        <v>Powerthirst</v>
      </c>
      <c r="F66" s="2" t="str">
        <f ca="1">IFERROR(__xludf.DUMMYFUNCTION("""COMPUTED_VALUE"""),"Milk Hunters")</f>
        <v>Milk Hunters</v>
      </c>
      <c r="G66" s="2" t="str">
        <f ca="1">IFERROR(__xludf.DUMMYFUNCTION("""COMPUTED_VALUE"""),"Magic")</f>
        <v>Magic</v>
      </c>
      <c r="H66" s="2" t="str">
        <f ca="1">IFERROR(__xludf.DUMMYFUNCTION("""COMPUTED_VALUE"""),"This drink is full of electrolytes. A can of it can also refill about the same amount of energy as drinking a load of Senpai’s cum, if you were interested in being a Pretty Cure without having to have sex with him. Of course, this doesn’t only work on you"&amp;"r Pretty Cure powers. Any pool of energy that you possess can be replenished by this drink, though the amount that’s recharged doesn’t change. Best of all, this comes in a six-pack, and any used cans are replaced every morning, so you can share it with yo"&amp;"ur friends!")</f>
        <v>This drink is full of electrolytes. A can of it can also refill about the same amount of energy as drinking a load of Senpai’s cum, if you were interested in being a Pretty Cure without having to have sex with him. Of course, this doesn’t only work on your Pretty Cure powers. Any pool of energy that you possess can be replenished by this drink, though the amount that’s recharged doesn’t change. Best of all, this comes in a six-pack, and any used cans are replaced every morning, so you can share it with your friends!</v>
      </c>
      <c r="I66" s="5"/>
    </row>
    <row r="67" spans="1:9" ht="208.8" x14ac:dyDescent="0.25">
      <c r="A67" s="16"/>
      <c r="B67" s="17">
        <v>63</v>
      </c>
      <c r="C67" s="2" t="b">
        <f ca="1">IFERROR(__xludf.DUMMYFUNCTION("""COMPUTED_VALUE"""),FALSE)</f>
        <v>0</v>
      </c>
      <c r="D67" s="2">
        <f ca="1">IFERROR(__xludf.DUMMYFUNCTION("""COMPUTED_VALUE"""),200)</f>
        <v>200</v>
      </c>
      <c r="E67" s="2" t="str">
        <f ca="1">IFERROR(__xludf.DUMMYFUNCTION("""COMPUTED_VALUE"""),"Pure as Driven Snow")</f>
        <v>Pure as Driven Snow</v>
      </c>
      <c r="F67" s="2" t="str">
        <f ca="1">IFERROR(__xludf.DUMMYFUNCTION("""COMPUTED_VALUE"""),"Majuu Purification Girl Utea")</f>
        <v>Majuu Purification Girl Utea</v>
      </c>
      <c r="G67" s="2" t="str">
        <f ca="1">IFERROR(__xludf.DUMMYFUNCTION("""COMPUTED_VALUE"""),"Magic")</f>
        <v>Magic</v>
      </c>
      <c r="H67" s="2" t="str">
        <f ca="1">IFERROR(__xludf.DUMMYFUNCTION("""COMPUTED_VALUE"""),"Magical girls are avatars of all that is good and wholesome in the world and their magic reflects that purity back upon their bodies, cleansing them of both magical and mundane impurities. So when your girlfriend tells you there’s not a single dirty place"&amp;" on your body she’s not just buttering you up: your magic passively purifies your body of unwanted sweat, grime, and other unwanted nastiness like disease, poison, magical corruption, aphrodisiacs, and other unnatural debuffs. Very large amounts of corrup"&amp;"tion might take a while to completely filter out of your system but if you can keep from becoming corrupted again you’ll eventually return to being a pure maiden both physically and spiritually. When completely uncorrupted you can even count as a virgin f"&amp;"or all magical purposes, no matter how much sexual experience you may actually have. Just about the only thing you can’t shed is corruption willingly taken into yourself: for example, if you were tricked into becoming a magical girl using a magical artifa"&amp;"ct tainted by demon jizz then you’re fresh out of luck without some other way to cleanse yourself.")</f>
        <v>Magical girls are avatars of all that is good and wholesome in the world and their magic reflects that purity back upon their bodies, cleansing them of both magical and mundane impurities. So when your girlfriend tells you there’s not a single dirty place on your body she’s not just buttering you up: your magic passively purifies your body of unwanted sweat, grime, and other unwanted nastiness like disease, poison, magical corruption, aphrodisiacs, and other unnatural debuffs. Very large amounts of corruption might take a while to completely filter out of your system but if you can keep from becoming corrupted again you’ll eventually return to being a pure maiden both physically and spiritually. When completely uncorrupted you can even count as a virgin for all magical purposes, no matter how much sexual experience you may actually have. Just about the only thing you can’t shed is corruption willingly taken into yourself: for example, if you were tricked into becoming a magical girl using a magical artifact tainted by demon jizz then you’re fresh out of luck without some other way to cleanse yourself.</v>
      </c>
      <c r="I67" s="5"/>
    </row>
    <row r="68" spans="1:9" ht="104.4" x14ac:dyDescent="0.25">
      <c r="A68" s="16"/>
      <c r="B68" s="17">
        <v>64</v>
      </c>
      <c r="C68" s="2" t="b">
        <f ca="1">IFERROR(__xludf.DUMMYFUNCTION("""COMPUTED_VALUE"""),FALSE)</f>
        <v>0</v>
      </c>
      <c r="D68" s="2">
        <f ca="1">IFERROR(__xludf.DUMMYFUNCTION("""COMPUTED_VALUE"""),200)</f>
        <v>200</v>
      </c>
      <c r="E68" s="2" t="str">
        <f ca="1">IFERROR(__xludf.DUMMYFUNCTION("""COMPUTED_VALUE"""),"Pure Debauchery")</f>
        <v>Pure Debauchery</v>
      </c>
      <c r="F68" s="2" t="str">
        <f ca="1">IFERROR(__xludf.DUMMYFUNCTION("""COMPUTED_VALUE"""),"Bible Black")</f>
        <v>Bible Black</v>
      </c>
      <c r="G68" s="2" t="str">
        <f ca="1">IFERROR(__xludf.DUMMYFUNCTION("""COMPUTED_VALUE"""),"Magic")</f>
        <v>Magic</v>
      </c>
      <c r="H68" s="2" t="str">
        <f ca="1">IFERROR(__xludf.DUMMYFUNCTION("""COMPUTED_VALUE"""),"There are some religions where purity is necessary for certain rites and rituals. Normally, this would revolve around the purity of one's body, aka their virginity. But does being a virgin mean a person is pure? With this, you gain a spiritual purity that"&amp;" transcends silly things like abstaining from a natural biological process (sex). No matter the state of your body, you will find your spirit to be pure enough to perform any religious rites and rituals. Even if you found yourself amidst a dozen-person-ga"&amp;"ngbang at one point in time. This also includes resisting spiritual corruption from outside sources.")</f>
        <v>There are some religions where purity is necessary for certain rites and rituals. Normally, this would revolve around the purity of one's body, aka their virginity. But does being a virgin mean a person is pure? With this, you gain a spiritual purity that transcends silly things like abstaining from a natural biological process (sex). No matter the state of your body, you will find your spirit to be pure enough to perform any religious rites and rituals. Even if you found yourself amidst a dozen-person-gangbang at one point in time. This also includes resisting spiritual corruption from outside sources.</v>
      </c>
      <c r="I68" s="5"/>
    </row>
    <row r="69" spans="1:9" ht="87" x14ac:dyDescent="0.25">
      <c r="A69" s="16"/>
      <c r="B69" s="17">
        <v>65</v>
      </c>
      <c r="C69" s="2" t="b">
        <f ca="1">IFERROR(__xludf.DUMMYFUNCTION("""COMPUTED_VALUE"""),FALSE)</f>
        <v>0</v>
      </c>
      <c r="D69" s="2">
        <f ca="1">IFERROR(__xludf.DUMMYFUNCTION("""COMPUTED_VALUE"""),200)</f>
        <v>200</v>
      </c>
      <c r="E69" s="2" t="str">
        <f ca="1">IFERROR(__xludf.DUMMYFUNCTION("""COMPUTED_VALUE"""),"Rainbow Rock")</f>
        <v>Rainbow Rock</v>
      </c>
      <c r="F69" s="2" t="str">
        <f ca="1">IFERROR(__xludf.DUMMYFUNCTION("""COMPUTED_VALUE"""),"Generic: Hentai Fantasy")</f>
        <v>Generic: Hentai Fantasy</v>
      </c>
      <c r="G69" s="2" t="str">
        <f ca="1">IFERROR(__xludf.DUMMYFUNCTION("""COMPUTED_VALUE"""),"Magic")</f>
        <v>Magic</v>
      </c>
      <c r="H69" s="2" t="str">
        <f ca="1">IFERROR(__xludf.DUMMYFUNCTION("""COMPUTED_VALUE"""),"Glowing faintly with all the colors of the rainbow, both spiky and smooth, a rainbow rock! Whats it do? Well, it's a one use healing item. What's it heal? Yes. Need some extra hp, it can handle that. Low on mana, check again. They also make for great summ"&amp;"oning catalysts, and sell for huge amounts of money. Anyways, you get one once a week, every week, even if you haven't used it. Stockpile to your heart's content.")</f>
        <v>Glowing faintly with all the colors of the rainbow, both spiky and smooth, a rainbow rock! Whats it do? Well, it's a one use healing item. What's it heal? Yes. Need some extra hp, it can handle that. Low on mana, check again. They also make for great summoning catalysts, and sell for huge amounts of money. Anyways, you get one once a week, every week, even if you haven't used it. Stockpile to your heart's content.</v>
      </c>
      <c r="I69" s="5"/>
    </row>
    <row r="70" spans="1:9" ht="121.8" x14ac:dyDescent="0.25">
      <c r="A70" s="16"/>
      <c r="B70" s="17">
        <v>66</v>
      </c>
      <c r="C70" s="2" t="b">
        <f ca="1">IFERROR(__xludf.DUMMYFUNCTION("""COMPUTED_VALUE"""),FALSE)</f>
        <v>0</v>
      </c>
      <c r="D70" s="2">
        <f ca="1">IFERROR(__xludf.DUMMYFUNCTION("""COMPUTED_VALUE"""),200)</f>
        <v>200</v>
      </c>
      <c r="E70" s="2" t="str">
        <f ca="1">IFERROR(__xludf.DUMMYFUNCTION("""COMPUTED_VALUE"""),"Sapphic Power Tabs")</f>
        <v>Sapphic Power Tabs</v>
      </c>
      <c r="F70" s="2" t="str">
        <f ca="1">IFERROR(__xludf.DUMMYFUNCTION("""COMPUTED_VALUE"""),"Bio-Weapon Quest")</f>
        <v>Bio-Weapon Quest</v>
      </c>
      <c r="G70" s="2" t="str">
        <f ca="1">IFERROR(__xludf.DUMMYFUNCTION("""COMPUTED_VALUE"""),"Magic")</f>
        <v>Magic</v>
      </c>
      <c r="H70" s="2" t="str">
        <f ca="1">IFERROR(__xludf.DUMMYFUNCTION("""COMPUTED_VALUE"""),"A packet of little red squares, each one a hit of Sapphic energy and power. A true Heart Warrior wouldn’t need these, but for everyone else, these are the only way to gain access to the extradimensional powers (Basically Magic) that the Heart Warrior’s po"&amp;"ssess. Working in the same way as LSD-soaked blotter paper, the little tabs are put on the tongue, granting some basic powers for a short time. Continued use allows someone to permanently gain the powers, but it’s stronger when a hit is taken. There are e"&amp;"nough tabs in this packet for one dose every day for a week, and they replenish weekly.")</f>
        <v>A packet of little red squares, each one a hit of Sapphic energy and power. A true Heart Warrior wouldn’t need these, but for everyone else, these are the only way to gain access to the extradimensional powers (Basically Magic) that the Heart Warrior’s possess. Working in the same way as LSD-soaked blotter paper, the little tabs are put on the tongue, granting some basic powers for a short time. Continued use allows someone to permanently gain the powers, but it’s stronger when a hit is taken. There are enough tabs in this packet for one dose every day for a week, and they replenish weekly.</v>
      </c>
      <c r="I70" s="5"/>
    </row>
    <row r="71" spans="1:9" ht="121.8" x14ac:dyDescent="0.25">
      <c r="A71" s="16"/>
      <c r="B71" s="17">
        <v>67</v>
      </c>
      <c r="C71" s="2" t="b">
        <f ca="1">IFERROR(__xludf.DUMMYFUNCTION("""COMPUTED_VALUE"""),FALSE)</f>
        <v>0</v>
      </c>
      <c r="D71" s="2">
        <f ca="1">IFERROR(__xludf.DUMMYFUNCTION("""COMPUTED_VALUE"""),200)</f>
        <v>200</v>
      </c>
      <c r="E71" s="2" t="str">
        <f ca="1">IFERROR(__xludf.DUMMYFUNCTION("""COMPUTED_VALUE"""),"Self-Serve")</f>
        <v>Self-Serve</v>
      </c>
      <c r="F71" s="2" t="str">
        <f ca="1">IFERROR(__xludf.DUMMYFUNCTION("""COMPUTED_VALUE"""),"Seikon No Qwaser")</f>
        <v>Seikon No Qwaser</v>
      </c>
      <c r="G71" s="2" t="str">
        <f ca="1">IFERROR(__xludf.DUMMYFUNCTION("""COMPUTED_VALUE"""),"Magic")</f>
        <v>Magic</v>
      </c>
      <c r="H71" s="2" t="str">
        <f ca="1">IFERROR(__xludf.DUMMYFUNCTION("""COMPUTED_VALUE"""),"Ok so, context time. Tomo Yamanobe, one of the two primary heroines (if you feel like calling her that) has a condition in which her life-force is continually evaporating of its own accord. So, she is frequently found suckling from herself, which works. A"&amp;"nd it works because Soma is simply generated within a woman’s breasts, so the woman in particular isn’t losing anything. While you may not be cursed with a disintegrating life-force, you will find that you can mimic Tomo’s feat for yourself, replenishing "&amp;"your own reserves of stamina, mana, magic, etc, by having a drink from yourself. Shyness/embarrassment shielding not included.")</f>
        <v>Ok so, context time. Tomo Yamanobe, one of the two primary heroines (if you feel like calling her that) has a condition in which her life-force is continually evaporating of its own accord. So, she is frequently found suckling from herself, which works. And it works because Soma is simply generated within a woman’s breasts, so the woman in particular isn’t losing anything. While you may not be cursed with a disintegrating life-force, you will find that you can mimic Tomo’s feat for yourself, replenishing your own reserves of stamina, mana, magic, etc, by having a drink from yourself. Shyness/embarrassment shielding not included.</v>
      </c>
      <c r="I71" s="5"/>
    </row>
    <row r="72" spans="1:9" ht="87" x14ac:dyDescent="0.25">
      <c r="A72" s="16"/>
      <c r="B72" s="17">
        <v>68</v>
      </c>
      <c r="C72" s="2" t="b">
        <f ca="1">IFERROR(__xludf.DUMMYFUNCTION("""COMPUTED_VALUE"""),FALSE)</f>
        <v>0</v>
      </c>
      <c r="D72" s="2">
        <f ca="1">IFERROR(__xludf.DUMMYFUNCTION("""COMPUTED_VALUE"""),200)</f>
        <v>200</v>
      </c>
      <c r="E72" s="2" t="str">
        <f ca="1">IFERROR(__xludf.DUMMYFUNCTION("""COMPUTED_VALUE"""),"Sexual Magic Appeal")</f>
        <v>Sexual Magic Appeal</v>
      </c>
      <c r="F72" s="2" t="str">
        <f ca="1">IFERROR(__xludf.DUMMYFUNCTION("""COMPUTED_VALUE"""),"Generic: Virgin")</f>
        <v>Generic: Virgin</v>
      </c>
      <c r="G72" s="2" t="str">
        <f ca="1">IFERROR(__xludf.DUMMYFUNCTION("""COMPUTED_VALUE"""),"Magic")</f>
        <v>Magic</v>
      </c>
      <c r="H72" s="2" t="str">
        <f ca="1">IFERROR(__xludf.DUMMYFUNCTION("""COMPUTED_VALUE"""),"Your magical power, of all kinds, is boosted by how sexy and flirtatious you look and act. A tiny skirt and gratuitous panty shots combined with giggling and some flirty looks might double your power. Sexy lingerie and seductive behavior could triple it. "&amp;"Down right nudity and imitating a pornstar could give you five times the power. Anything that boosts sex appeal and sexiness can increase this as well.")</f>
        <v>Your magical power, of all kinds, is boosted by how sexy and flirtatious you look and act. A tiny skirt and gratuitous panty shots combined with giggling and some flirty looks might double your power. Sexy lingerie and seductive behavior could triple it. Down right nudity and imitating a pornstar could give you five times the power. Anything that boosts sex appeal and sexiness can increase this as well.</v>
      </c>
      <c r="I72" s="5"/>
    </row>
    <row r="73" spans="1:9" ht="139.19999999999999" x14ac:dyDescent="0.25">
      <c r="A73" s="16"/>
      <c r="B73" s="17">
        <v>69</v>
      </c>
      <c r="C73" s="2" t="b">
        <f ca="1">IFERROR(__xludf.DUMMYFUNCTION("""COMPUTED_VALUE"""),FALSE)</f>
        <v>0</v>
      </c>
      <c r="D73" s="2">
        <f ca="1">IFERROR(__xludf.DUMMYFUNCTION("""COMPUTED_VALUE"""),200)</f>
        <v>200</v>
      </c>
      <c r="E73" s="2" t="str">
        <f ca="1">IFERROR(__xludf.DUMMYFUNCTION("""COMPUTED_VALUE"""),"Slave Warrior Armour")</f>
        <v>Slave Warrior Armour</v>
      </c>
      <c r="F73" s="2" t="str">
        <f ca="1">IFERROR(__xludf.DUMMYFUNCTION("""COMPUTED_VALUE"""),"Prina the Dungeoneering Princess")</f>
        <v>Prina the Dungeoneering Princess</v>
      </c>
      <c r="G73" s="2" t="str">
        <f ca="1">IFERROR(__xludf.DUMMYFUNCTION("""COMPUTED_VALUE"""),"Magic")</f>
        <v>Magic</v>
      </c>
      <c r="H73" s="2" t="str">
        <f ca="1">IFERROR(__xludf.DUMMYFUNCTION("""COMPUTED_VALUE"""),"A particular kind of slime monster was crossbred with a handful of plant monsters, and the result is this mockery of a suit of armor. Its metal shell hides an innumerable number of tentacles, as well as a handful of larger ones. As you might imagine, wear"&amp;"ing this is almost painfully pleasurable. The armor is magically linked to you, so you can control both it and your captive. In addition, this also comes with a handful of weapons that have been enchanted to deal massive amounts of pleasure instead of act"&amp;"ual wounds. The weapons are designed to be used as sex toys, such as a morning star flail anchored to a cock, or a spear anchored inside a breast. Three suits of armor and nine weapons are included in this set.")</f>
        <v>A particular kind of slime monster was crossbred with a handful of plant monsters, and the result is this mockery of a suit of armor. Its metal shell hides an innumerable number of tentacles, as well as a handful of larger ones. As you might imagine, wearing this is almost painfully pleasurable. The armor is magically linked to you, so you can control both it and your captive. In addition, this also comes with a handful of weapons that have been enchanted to deal massive amounts of pleasure instead of actual wounds. The weapons are designed to be used as sex toys, such as a morning star flail anchored to a cock, or a spear anchored inside a breast. Three suits of armor and nine weapons are included in this set.</v>
      </c>
      <c r="I73" s="5"/>
    </row>
    <row r="74" spans="1:9" ht="87" x14ac:dyDescent="0.25">
      <c r="A74" s="16"/>
      <c r="B74" s="17">
        <v>70</v>
      </c>
      <c r="C74" s="2" t="b">
        <f ca="1">IFERROR(__xludf.DUMMYFUNCTION("""COMPUTED_VALUE"""),FALSE)</f>
        <v>0</v>
      </c>
      <c r="D74" s="2">
        <f ca="1">IFERROR(__xludf.DUMMYFUNCTION("""COMPUTED_VALUE"""),200)</f>
        <v>200</v>
      </c>
      <c r="E74" s="2" t="str">
        <f ca="1">IFERROR(__xludf.DUMMYFUNCTION("""COMPUTED_VALUE"""),"Slimy Slithery Friends")</f>
        <v>Slimy Slithery Friends</v>
      </c>
      <c r="F74" s="2" t="str">
        <f ca="1">IFERROR(__xludf.DUMMYFUNCTION("""COMPUTED_VALUE"""),"The Succubus Trap Island")</f>
        <v>The Succubus Trap Island</v>
      </c>
      <c r="G74" s="2" t="str">
        <f ca="1">IFERROR(__xludf.DUMMYFUNCTION("""COMPUTED_VALUE"""),"Magic")</f>
        <v>Magic</v>
      </c>
      <c r="H74" s="2" t="str">
        <f ca="1">IFERROR(__xludf.DUMMYFUNCTION("""COMPUTED_VALUE"""),"They’re extra friendly. You have the ability to control tentacle monsters, commanding them to do your bidding with an act of will and a small expenditure of magical energy. Of course, this does require a bit of focus, so if someone were to come up behind "&amp;"you and unexpectedly make you cum you might have a lot more orgasms in store for you in your near future. Does not come with a tentacle monster.")</f>
        <v>They’re extra friendly. You have the ability to control tentacle monsters, commanding them to do your bidding with an act of will and a small expenditure of magical energy. Of course, this does require a bit of focus, so if someone were to come up behind you and unexpectedly make you cum you might have a lot more orgasms in store for you in your near future. Does not come with a tentacle monster.</v>
      </c>
      <c r="I74" s="5"/>
    </row>
    <row r="75" spans="1:9" ht="191.4" x14ac:dyDescent="0.25">
      <c r="A75" s="16"/>
      <c r="B75" s="17">
        <v>71</v>
      </c>
      <c r="C75" s="2" t="b">
        <f ca="1">IFERROR(__xludf.DUMMYFUNCTION("""COMPUTED_VALUE"""),FALSE)</f>
        <v>0</v>
      </c>
      <c r="D75" s="2">
        <f ca="1">IFERROR(__xludf.DUMMYFUNCTION("""COMPUTED_VALUE"""),200)</f>
        <v>200</v>
      </c>
      <c r="E75" s="2" t="str">
        <f ca="1">IFERROR(__xludf.DUMMYFUNCTION("""COMPUTED_VALUE"""),"Slowly Saunter Vaguely Downwards")</f>
        <v>Slowly Saunter Vaguely Downwards</v>
      </c>
      <c r="F75" s="2" t="str">
        <f ca="1">IFERROR(__xludf.DUMMYFUNCTION("""COMPUTED_VALUE"""),"High School DxD Blacked")</f>
        <v>High School DxD Blacked</v>
      </c>
      <c r="G75" s="2" t="str">
        <f ca="1">IFERROR(__xludf.DUMMYFUNCTION("""COMPUTED_VALUE"""),"Magic")</f>
        <v>Magic</v>
      </c>
      <c r="H75" s="2" t="str">
        <f ca="1">IFERROR(__xludf.DUMMYFUNCTION("""COMPUTED_VALUE"""),"Making a deal with a devil isn’t that bad, really. There’s been reforms and the like since the day of stealing souls - these days all you’re likely to lose is your pocket change and maybe a few ‘points’ of your magical energy. Still, Devil’s do so love to"&amp;" make contracts, and these are yours. This stack of flyers are summoning circles meant to call you, but they have an extra feature compared to normal ones. See, they can be tuned to ‘scan’ for specific sets of desires, and have been already set to scan fo"&amp;"r lustful intentions - that is to say, the vast majority of these flyers are going to end up in the hands of men who want to get laid, and I have no doubt the vast majority of those men are going to want to fuck you. With that said, sex is not technically"&amp;" a normal service, but that just means that you can charge extra for it, with each completed contract giving you extra magic, cash, or even making you even more beautiful depending on what you bargained for and how degraded you were willing to be in the p"&amp;"rocess.")</f>
        <v>Making a deal with a devil isn’t that bad, really. There’s been reforms and the like since the day of stealing souls - these days all you’re likely to lose is your pocket change and maybe a few ‘points’ of your magical energy. Still, Devil’s do so love to make contracts, and these are yours. This stack of flyers are summoning circles meant to call you, but they have an extra feature compared to normal ones. See, they can be tuned to ‘scan’ for specific sets of desires, and have been already set to scan for lustful intentions - that is to say, the vast majority of these flyers are going to end up in the hands of men who want to get laid, and I have no doubt the vast majority of those men are going to want to fuck you. With that said, sex is not technically a normal service, but that just means that you can charge extra for it, with each completed contract giving you extra magic, cash, or even making you even more beautiful depending on what you bargained for and how degraded you were willing to be in the process.</v>
      </c>
      <c r="I75" s="5"/>
    </row>
    <row r="76" spans="1:9" ht="139.19999999999999" x14ac:dyDescent="0.25">
      <c r="A76" s="16"/>
      <c r="B76" s="17">
        <v>72</v>
      </c>
      <c r="C76" s="2" t="b">
        <f ca="1">IFERROR(__xludf.DUMMYFUNCTION("""COMPUTED_VALUE"""),FALSE)</f>
        <v>0</v>
      </c>
      <c r="D76" s="2">
        <f ca="1">IFERROR(__xludf.DUMMYFUNCTION("""COMPUTED_VALUE"""),200)</f>
        <v>200</v>
      </c>
      <c r="E76" s="2" t="str">
        <f ca="1">IFERROR(__xludf.DUMMYFUNCTION("""COMPUTED_VALUE"""),"Sorcerer's Tome")</f>
        <v>Sorcerer's Tome</v>
      </c>
      <c r="F76" s="2" t="str">
        <f ca="1">IFERROR(__xludf.DUMMYFUNCTION("""COMPUTED_VALUE"""),"Breathless Wild")</f>
        <v>Breathless Wild</v>
      </c>
      <c r="G76" s="2" t="str">
        <f ca="1">IFERROR(__xludf.DUMMYFUNCTION("""COMPUTED_VALUE"""),"Magic")</f>
        <v>Magic</v>
      </c>
      <c r="H76" s="2" t="str">
        <f ca="1">IFERROR(__xludf.DUMMYFUNCTION("""COMPUTED_VALUE"""),"An ancient tome of magical knowledge written by someone named Agahnim, this book seethes with dark magic and its cover won’t even open unless you are willing and able to master the dark arts sealed within. Ganon’s malice has twisted this unseen writer to "&amp;"his debauched whims, and every spell which becomes recorded here comes with detailed notes on how to bend it towards more perverse ends. Studying this tome not only expands your magical knowledge but also shows you every weakness in the spells your enemie"&amp;"s will be using, giving you a massive edge against them in any sort of magical combat. The book's knowledge and page count expand to include other sorts of magic which you encounter on your journey.")</f>
        <v>An ancient tome of magical knowledge written by someone named Agahnim, this book seethes with dark magic and its cover won’t even open unless you are willing and able to master the dark arts sealed within. Ganon’s malice has twisted this unseen writer to his debauched whims, and every spell which becomes recorded here comes with detailed notes on how to bend it towards more perverse ends. Studying this tome not only expands your magical knowledge but also shows you every weakness in the spells your enemies will be using, giving you a massive edge against them in any sort of magical combat. The book's knowledge and page count expand to include other sorts of magic which you encounter on your journey.</v>
      </c>
      <c r="I76" s="5"/>
    </row>
    <row r="77" spans="1:9" ht="87" x14ac:dyDescent="0.25">
      <c r="A77" s="16"/>
      <c r="B77" s="17">
        <v>73</v>
      </c>
      <c r="C77" s="2" t="b">
        <f ca="1">IFERROR(__xludf.DUMMYFUNCTION("""COMPUTED_VALUE"""),FALSE)</f>
        <v>0</v>
      </c>
      <c r="D77" s="2">
        <f ca="1">IFERROR(__xludf.DUMMYFUNCTION("""COMPUTED_VALUE"""),200)</f>
        <v>200</v>
      </c>
      <c r="E77" s="2" t="str">
        <f ca="1">IFERROR(__xludf.DUMMYFUNCTION("""COMPUTED_VALUE"""),"Spirit Eater")</f>
        <v>Spirit Eater</v>
      </c>
      <c r="F77" s="2" t="str">
        <f ca="1">IFERROR(__xludf.DUMMYFUNCTION("""COMPUTED_VALUE"""),"Monster Girl Dreams 1.3 - The Pre-Capitol Update")</f>
        <v>Monster Girl Dreams 1.3 - The Pre-Capitol Update</v>
      </c>
      <c r="G77" s="2" t="str">
        <f ca="1">IFERROR(__xludf.DUMMYFUNCTION("""COMPUTED_VALUE"""),"Magic")</f>
        <v>Magic</v>
      </c>
      <c r="H77" s="2" t="str">
        <f ca="1">IFERROR(__xludf.DUMMYFUNCTION("""COMPUTED_VALUE"""),"No, you don’t eat actual souls. Instead, you feed on the spirit energy of others, most commonly found in sex fluids. Doing so restores your stamina and magical energy based on the quantity and ‘quality’ of the offering, and can even outright empower you w"&amp;"ith a good enough meal.")</f>
        <v>No, you don’t eat actual souls. Instead, you feed on the spirit energy of others, most commonly found in sex fluids. Doing so restores your stamina and magical energy based on the quantity and ‘quality’ of the offering, and can even outright empower you with a good enough meal.</v>
      </c>
      <c r="I77" s="5"/>
    </row>
    <row r="78" spans="1:9" ht="69.599999999999994" x14ac:dyDescent="0.25">
      <c r="A78" s="16"/>
      <c r="B78" s="17">
        <v>74</v>
      </c>
      <c r="C78" s="2" t="b">
        <f ca="1">IFERROR(__xludf.DUMMYFUNCTION("""COMPUTED_VALUE"""),FALSE)</f>
        <v>0</v>
      </c>
      <c r="D78" s="2">
        <f ca="1">IFERROR(__xludf.DUMMYFUNCTION("""COMPUTED_VALUE"""),200)</f>
        <v>200</v>
      </c>
      <c r="E78" s="2" t="str">
        <f ca="1">IFERROR(__xludf.DUMMYFUNCTION("""COMPUTED_VALUE"""),"Spirit Slut")</f>
        <v>Spirit Slut</v>
      </c>
      <c r="F78" s="2" t="str">
        <f ca="1">IFERROR(__xludf.DUMMYFUNCTION("""COMPUTED_VALUE"""),"Legend Of Krystal")</f>
        <v>Legend Of Krystal</v>
      </c>
      <c r="G78" s="2" t="str">
        <f ca="1">IFERROR(__xludf.DUMMYFUNCTION("""COMPUTED_VALUE"""),"Magic")</f>
        <v>Magic</v>
      </c>
      <c r="H78" s="2" t="str">
        <f ca="1">IFERROR(__xludf.DUMMYFUNCTION("""COMPUTED_VALUE"""),"Spirits, ghosts, spiritual energies, they all flow through you so easily. Your ability to summon spirits, mostly their cocks and their holes, comes to you as easy as an orgasm. You can summon ghostly tentacles to ravage you and those around you, summon gl"&amp;"owing floating cocks to fuck, give a woman a ghostly dick to fuck with, and even float around if you wish.")</f>
        <v>Spirits, ghosts, spiritual energies, they all flow through you so easily. Your ability to summon spirits, mostly their cocks and their holes, comes to you as easy as an orgasm. You can summon ghostly tentacles to ravage you and those around you, summon glowing floating cocks to fuck, give a woman a ghostly dick to fuck with, and even float around if you wish.</v>
      </c>
      <c r="I78" s="5"/>
    </row>
    <row r="79" spans="1:9" ht="34.799999999999997" x14ac:dyDescent="0.25">
      <c r="A79" s="16"/>
      <c r="B79" s="17">
        <v>75</v>
      </c>
      <c r="C79" s="2" t="b">
        <f ca="1">IFERROR(__xludf.DUMMYFUNCTION("""COMPUTED_VALUE"""),FALSE)</f>
        <v>0</v>
      </c>
      <c r="D79" s="2">
        <f ca="1">IFERROR(__xludf.DUMMYFUNCTION("""COMPUTED_VALUE"""),200)</f>
        <v>200</v>
      </c>
      <c r="E79" s="2" t="str">
        <f ca="1">IFERROR(__xludf.DUMMYFUNCTION("""COMPUTED_VALUE"""),"Supply of Daifuku")</f>
        <v>Supply of Daifuku</v>
      </c>
      <c r="F79" s="2" t="str">
        <f ca="1">IFERROR(__xludf.DUMMYFUNCTION("""COMPUTED_VALUE"""),"NUKENAI Seiken-chan")</f>
        <v>NUKENAI Seiken-chan</v>
      </c>
      <c r="G79" s="2" t="str">
        <f ca="1">IFERROR(__xludf.DUMMYFUNCTION("""COMPUTED_VALUE"""),"Magic")</f>
        <v>Magic</v>
      </c>
      <c r="H79" s="2" t="str">
        <f ca="1">IFERROR(__xludf.DUMMYFUNCTION("""COMPUTED_VALUE"""),"A sweet treat a day keeps the munchies away, and fills up your mana reserves especially well. You'll have more than you can possibly eat with this endless tray.")</f>
        <v>A sweet treat a day keeps the munchies away, and fills up your mana reserves especially well. You'll have more than you can possibly eat with this endless tray.</v>
      </c>
      <c r="I79" s="5"/>
    </row>
    <row r="80" spans="1:9" ht="52.2" x14ac:dyDescent="0.25">
      <c r="A80" s="16"/>
      <c r="B80" s="17">
        <v>76</v>
      </c>
      <c r="C80" s="2" t="b">
        <f ca="1">IFERROR(__xludf.DUMMYFUNCTION("""COMPUTED_VALUE"""),FALSE)</f>
        <v>0</v>
      </c>
      <c r="D80" s="2">
        <f ca="1">IFERROR(__xludf.DUMMYFUNCTION("""COMPUTED_VALUE"""),200)</f>
        <v>200</v>
      </c>
      <c r="E80" s="2" t="str">
        <f ca="1">IFERROR(__xludf.DUMMYFUNCTION("""COMPUTED_VALUE"""),"Supply of Sumodo")</f>
        <v>Supply of Sumodo</v>
      </c>
      <c r="F80" s="2" t="str">
        <f ca="1">IFERROR(__xludf.DUMMYFUNCTION("""COMPUTED_VALUE"""),"Princess Sacrifice")</f>
        <v>Princess Sacrifice</v>
      </c>
      <c r="G80" s="2" t="str">
        <f ca="1">IFERROR(__xludf.DUMMYFUNCTION("""COMPUTED_VALUE"""),"Magic")</f>
        <v>Magic</v>
      </c>
      <c r="H80" s="2" t="str">
        <f ca="1">IFERROR(__xludf.DUMMYFUNCTION("""COMPUTED_VALUE"""),"A substance used to aid in the regeneration of magical power — at the price of making one incredibly horny. This substance is actually found often in the slimes that inhabit the lands. You start out with five vials of Sumodo that will regenerate about a d"&amp;"ay after use.")</f>
        <v>A substance used to aid in the regeneration of magical power — at the price of making one incredibly horny. This substance is actually found often in the slimes that inhabit the lands. You start out with five vials of Sumodo that will regenerate about a day after use.</v>
      </c>
      <c r="I80" s="5"/>
    </row>
    <row r="81" spans="1:9" ht="243.6" x14ac:dyDescent="0.25">
      <c r="A81" s="16"/>
      <c r="B81" s="17">
        <v>77</v>
      </c>
      <c r="C81" s="2" t="b">
        <f ca="1">IFERROR(__xludf.DUMMYFUNCTION("""COMPUTED_VALUE"""),FALSE)</f>
        <v>0</v>
      </c>
      <c r="D81" s="2">
        <f ca="1">IFERROR(__xludf.DUMMYFUNCTION("""COMPUTED_VALUE"""),200)</f>
        <v>200</v>
      </c>
      <c r="E81" s="2" t="str">
        <f ca="1">IFERROR(__xludf.DUMMYFUNCTION("""COMPUTED_VALUE"""),"Tentacles Galore")</f>
        <v>Tentacles Galore</v>
      </c>
      <c r="F81" s="2" t="str">
        <f ca="1">IFERROR(__xludf.DUMMYFUNCTION("""COMPUTED_VALUE"""),"Paccsu")</f>
        <v>Paccsu</v>
      </c>
      <c r="G81" s="2" t="str">
        <f ca="1">IFERROR(__xludf.DUMMYFUNCTION("""COMPUTED_VALUE"""),"Magic")</f>
        <v>Magic</v>
      </c>
      <c r="H81" s="2" t="str">
        <f ca="1">IFERROR(__xludf.DUMMYFUNCTION("""COMPUTED_VALUE"""),"One common theme that can be seen across the land is the concept of tentacles. From being summoned by magic users of Clan Tiss'i and the Undying King’s armies, formed from the bodies of slimes and oozes, to tentacle-based monsters just naturally existing,"&amp;" the sheer amount could make this a paradise, depending on your tastes. And if you happen to be the sort to have a thing for tentacles, this perk is perfect for you.
Now, with just a bit of magic, you can summon tentacles or grow them from your body in "&amp;"various different sizes and shapes in either green plant or purplish pink eldritch flesh varieties. Besides being able to shoot out ""cum,” these tentacles have a number of other abilities, which include letting out a gas that blinds, slows, and disorient"&amp;"s those that breathe it in with the exception of you, absorbing bodily liquids to heal themselves or you if they are attached to you, and shooting out a sticky glue-like substance to bind people. With this, you could do things like summon a gaggle of tent"&amp;"acles below an enemy to try and restrain them, grow desensitized tentacles out of your back to serve as extra arms, or give yourself a bushel of tentacle dicks.")</f>
        <v>One common theme that can be seen across the land is the concept of tentacles. From being summoned by magic users of Clan Tiss'i and the Undying King’s armies, formed from the bodies of slimes and oozes, to tentacle-based monsters just naturally existing, the sheer amount could make this a paradise, depending on your tastes. And if you happen to be the sort to have a thing for tentacles, this perk is perfect for you.
Now, with just a bit of magic, you can summon tentacles or grow them from your body in various different sizes and shapes in either green plant or purplish pink eldritch flesh varieties. Besides being able to shoot out "cum,” these tentacles have a number of other abilities, which include letting out a gas that blinds, slows, and disorients those that breathe it in with the exception of you, absorbing bodily liquids to heal themselves or you if they are attached to you, and shooting out a sticky glue-like substance to bind people. With this, you could do things like summon a gaggle of tentacles below an enemy to try and restrain them, grow desensitized tentacles out of your back to serve as extra arms, or give yourself a bushel of tentacle dicks.</v>
      </c>
      <c r="I81" s="5"/>
    </row>
    <row r="82" spans="1:9" ht="139.19999999999999" x14ac:dyDescent="0.25">
      <c r="A82" s="16"/>
      <c r="B82" s="17">
        <v>78</v>
      </c>
      <c r="C82" s="2" t="b">
        <f ca="1">IFERROR(__xludf.DUMMYFUNCTION("""COMPUTED_VALUE"""),FALSE)</f>
        <v>0</v>
      </c>
      <c r="D82" s="2">
        <f ca="1">IFERROR(__xludf.DUMMYFUNCTION("""COMPUTED_VALUE"""),200)</f>
        <v>200</v>
      </c>
      <c r="E82" s="2" t="str">
        <f ca="1">IFERROR(__xludf.DUMMYFUNCTION("""COMPUTED_VALUE"""),"That's my Fetich!")</f>
        <v>That's my Fetich!</v>
      </c>
      <c r="F82" s="2" t="str">
        <f ca="1">IFERROR(__xludf.DUMMYFUNCTION("""COMPUTED_VALUE"""),"Generic: Hentai World")</f>
        <v>Generic: Hentai World</v>
      </c>
      <c r="G82" s="2" t="str">
        <f ca="1">IFERROR(__xludf.DUMMYFUNCTION("""COMPUTED_VALUE"""),"Magic")</f>
        <v>Magic</v>
      </c>
      <c r="H82" s="2" t="str">
        <f ca="1">IFERROR(__xludf.DUMMYFUNCTION("""COMPUTED_VALUE"""),"Why do magical rituals the boring way when you can do them the fun way instead? This perk allows you to substitute lewdness for exotic ingredients, rituals, and so on, either for magic or other powers that allow for this sort of thing. For example rather "&amp;"than ritual chanting you could perform a ritual orgy, or use a virgin’s cum as a substitute for a virgin’s blood. The rarity of the ingredients must be relatively similar however: if all you need is magical energy then some tantric sex is fine for providi"&amp;"ng it, but if you need something like a god-forged diamond from the heart of a star then expect to go questing for something like the crystalized girl-cum of a virgin succubus or something equivalently-rare.")</f>
        <v>Why do magical rituals the boring way when you can do them the fun way instead? This perk allows you to substitute lewdness for exotic ingredients, rituals, and so on, either for magic or other powers that allow for this sort of thing. For example rather than ritual chanting you could perform a ritual orgy, or use a virgin’s cum as a substitute for a virgin’s blood. The rarity of the ingredients must be relatively similar however: if all you need is magical energy then some tantric sex is fine for providing it, but if you need something like a god-forged diamond from the heart of a star then expect to go questing for something like the crystalized girl-cum of a virgin succubus or something equivalently-rare.</v>
      </c>
      <c r="I82" s="5"/>
    </row>
    <row r="83" spans="1:9" ht="139.19999999999999" x14ac:dyDescent="0.25">
      <c r="A83" s="16"/>
      <c r="B83" s="17">
        <v>79</v>
      </c>
      <c r="C83" s="2" t="b">
        <f ca="1">IFERROR(__xludf.DUMMYFUNCTION("""COMPUTED_VALUE"""),FALSE)</f>
        <v>0</v>
      </c>
      <c r="D83" s="2">
        <f ca="1">IFERROR(__xludf.DUMMYFUNCTION("""COMPUTED_VALUE"""),200)</f>
        <v>200</v>
      </c>
      <c r="E83" s="2" t="str">
        <f ca="1">IFERROR(__xludf.DUMMYFUNCTION("""COMPUTED_VALUE"""),"The Academy Three")</f>
        <v>The Academy Three</v>
      </c>
      <c r="F83" s="2" t="str">
        <f ca="1">IFERROR(__xludf.DUMMYFUNCTION("""COMPUTED_VALUE"""),"Merry Marry")</f>
        <v>Merry Marry</v>
      </c>
      <c r="G83" s="2" t="str">
        <f ca="1">IFERROR(__xludf.DUMMYFUNCTION("""COMPUTED_VALUE"""),"Magic")</f>
        <v>Magic</v>
      </c>
      <c r="H83" s="2" t="str">
        <f ca="1">IFERROR(__xludf.DUMMYFUNCTION("""COMPUTED_VALUE"""),"While in the Shinobi Academy, there are three Jutsu that a prospective Genin must master. These techniques usually represent the very basics, and their final exam. The Bushin, Henge, and Kawarimi jutsu, or Clone, Shapeshift, and Replacement techniques. Yo"&amp;"u now know the basics of these three, as any prospective genin ought to. And since it’s practically mandatory to even use them, you also have the Chakra necessary to do so. Not a great deal, only equal to academy student Sakura or perhaps a tad more. Of c"&amp;"ourse, lacking her control over Chakra means this won’t go as far as you think. Beyond those two points, you may choose one of these three techniques to have mastered a bit more than the other two, with you fully Genin-worthy in its use.")</f>
        <v>While in the Shinobi Academy, there are three Jutsu that a prospective Genin must master. These techniques usually represent the very basics, and their final exam. The Bushin, Henge, and Kawarimi jutsu, or Clone, Shapeshift, and Replacement techniques. You now know the basics of these three, as any prospective genin ought to. And since it’s practically mandatory to even use them, you also have the Chakra necessary to do so. Not a great deal, only equal to academy student Sakura or perhaps a tad more. Of course, lacking her control over Chakra means this won’t go as far as you think. Beyond those two points, you may choose one of these three techniques to have mastered a bit more than the other two, with you fully Genin-worthy in its use.</v>
      </c>
      <c r="I83" s="5"/>
    </row>
    <row r="84" spans="1:9" ht="174" x14ac:dyDescent="0.25">
      <c r="A84" s="16"/>
      <c r="B84" s="17">
        <v>80</v>
      </c>
      <c r="C84" s="2" t="b">
        <f ca="1">IFERROR(__xludf.DUMMYFUNCTION("""COMPUTED_VALUE"""),FALSE)</f>
        <v>0</v>
      </c>
      <c r="D84" s="2">
        <f ca="1">IFERROR(__xludf.DUMMYFUNCTION("""COMPUTED_VALUE"""),200)</f>
        <v>200</v>
      </c>
      <c r="E84" s="2" t="str">
        <f ca="1">IFERROR(__xludf.DUMMYFUNCTION("""COMPUTED_VALUE"""),"The Shape of Water")</f>
        <v>The Shape of Water</v>
      </c>
      <c r="F84" s="2" t="str">
        <f ca="1">IFERROR(__xludf.DUMMYFUNCTION("""COMPUTED_VALUE"""),"Breathless Wild")</f>
        <v>Breathless Wild</v>
      </c>
      <c r="G84" s="2" t="str">
        <f ca="1">IFERROR(__xludf.DUMMYFUNCTION("""COMPUTED_VALUE"""),"Magic")</f>
        <v>Magic</v>
      </c>
      <c r="H84" s="2" t="str">
        <f ca="1">IFERROR(__xludf.DUMMYFUNCTION("""COMPUTED_VALUE"""),"The zora are the best artisans in Hyrule and the skills that sculpted Zora’s Domain are no less impressive when bent to more carnal uses. You’re an expert artisan skilled in all forms of crafting, from blacksmithing to architecture, but unlike others in t"&amp;"hese fields you’re also a master of harnessing the arcane qualities of your materials to empower your creations with magical enchantments, especially erotic ones. A ruby and some magic runes can make a flaming sword or armor which protects against extreme"&amp;" heat, but give that sword a hilt shaped like a cock or lewd runes etched into the blade and soon you’ll be striking down your enemies with crippling pleasure rather than bloody wounds. Likewise, the shielding spells on your magical armor will be stronger"&amp;" than any steel carapace, not despite being a bikini armor with a built-in chastity belt but specifically because those erotic features empower the enchantments on it to new heights.")</f>
        <v>The zora are the best artisans in Hyrule and the skills that sculpted Zora’s Domain are no less impressive when bent to more carnal uses. You’re an expert artisan skilled in all forms of crafting, from blacksmithing to architecture, but unlike others in these fields you’re also a master of harnessing the arcane qualities of your materials to empower your creations with magical enchantments, especially erotic ones. A ruby and some magic runes can make a flaming sword or armor which protects against extreme heat, but give that sword a hilt shaped like a cock or lewd runes etched into the blade and soon you’ll be striking down your enemies with crippling pleasure rather than bloody wounds. Likewise, the shielding spells on your magical armor will be stronger than any steel carapace, not despite being a bikini armor with a built-in chastity belt but specifically because those erotic features empower the enchantments on it to new heights.</v>
      </c>
      <c r="I84" s="5"/>
    </row>
    <row r="85" spans="1:9" ht="139.19999999999999" x14ac:dyDescent="0.25">
      <c r="A85" s="16"/>
      <c r="B85" s="17">
        <v>81</v>
      </c>
      <c r="C85" s="2" t="b">
        <f ca="1">IFERROR(__xludf.DUMMYFUNCTION("""COMPUTED_VALUE"""),FALSE)</f>
        <v>0</v>
      </c>
      <c r="D85" s="2">
        <f ca="1">IFERROR(__xludf.DUMMYFUNCTION("""COMPUTED_VALUE"""),200)</f>
        <v>200</v>
      </c>
      <c r="E85" s="2" t="str">
        <f ca="1">IFERROR(__xludf.DUMMYFUNCTION("""COMPUTED_VALUE"""),"Transference Catalyst")</f>
        <v>Transference Catalyst</v>
      </c>
      <c r="F85" s="2" t="str">
        <f ca="1">IFERROR(__xludf.DUMMYFUNCTION("""COMPUTED_VALUE"""),"TSF World")</f>
        <v>TSF World</v>
      </c>
      <c r="G85" s="2" t="str">
        <f ca="1">IFERROR(__xludf.DUMMYFUNCTION("""COMPUTED_VALUE"""),"Magic")</f>
        <v>Magic</v>
      </c>
      <c r="H85" s="2" t="str">
        <f ca="1">IFERROR(__xludf.DUMMYFUNCTION("""COMPUTED_VALUE"""),"A small but useful tool, this is a magical object of some form. It could be a bracelet, a stone, a flower, or something else. It does not reveal its power when on the floor or held by someone. Rather, only when two or more people are in contact with it at"&amp;" once will it activate and transfer the souls of the holders. The default ability will swap the souls of the two people, effectively swapping their bodies. The second, more insidious ability will only transfer the initial holder's soul into the body of th"&amp;"e second person, allowing them to steal their body. Which of these abilities activate can be decided by the holder. A certain world has a strange hat that when thrown has a quite similar power to the latter.")</f>
        <v>A small but useful tool, this is a magical object of some form. It could be a bracelet, a stone, a flower, or something else. It does not reveal its power when on the floor or held by someone. Rather, only when two or more people are in contact with it at once will it activate and transfer the souls of the holders. The default ability will swap the souls of the two people, effectively swapping their bodies. The second, more insidious ability will only transfer the initial holder's soul into the body of the second person, allowing them to steal their body. Which of these abilities activate can be decided by the holder. A certain world has a strange hat that when thrown has a quite similar power to the latter.</v>
      </c>
      <c r="I85" s="5"/>
    </row>
    <row r="86" spans="1:9" ht="87" x14ac:dyDescent="0.25">
      <c r="A86" s="16"/>
      <c r="B86" s="17">
        <v>82</v>
      </c>
      <c r="C86" s="2" t="b">
        <f ca="1">IFERROR(__xludf.DUMMYFUNCTION("""COMPUTED_VALUE"""),FALSE)</f>
        <v>0</v>
      </c>
      <c r="D86" s="2">
        <f ca="1">IFERROR(__xludf.DUMMYFUNCTION("""COMPUTED_VALUE"""),200)</f>
        <v>200</v>
      </c>
      <c r="E86" s="2" t="str">
        <f ca="1">IFERROR(__xludf.DUMMYFUNCTION("""COMPUTED_VALUE"""),"Waiting Room Wards")</f>
        <v>Waiting Room Wards</v>
      </c>
      <c r="F86" s="2" t="str">
        <f ca="1">IFERROR(__xludf.DUMMYFUNCTION("""COMPUTED_VALUE"""),"Aki-Akane")</f>
        <v>Aki-Akane</v>
      </c>
      <c r="G86" s="2" t="str">
        <f ca="1">IFERROR(__xludf.DUMMYFUNCTION("""COMPUTED_VALUE"""),"Magic")</f>
        <v>Magic</v>
      </c>
      <c r="H86" s="2" t="str">
        <f ca="1">IFERROR(__xludf.DUMMYFUNCTION("""COMPUTED_VALUE"""),"When Yoruichi was first 'helping' Orihime, she had her placed inside an isolated room. Partially so that others wouldn't notice, and partially so they wouldn't think to question Yoruichi's ideas of treatment. Anyways, this simple ward scheme has the effec"&amp;"t of soundproofing a room and creating an odd blur effect such that only someone literally inches away from the doorway can see through it. A few other variations on it got used for more serious business, but this one is all you get.")</f>
        <v>When Yoruichi was first 'helping' Orihime, she had her placed inside an isolated room. Partially so that others wouldn't notice, and partially so they wouldn't think to question Yoruichi's ideas of treatment. Anyways, this simple ward scheme has the effect of soundproofing a room and creating an odd blur effect such that only someone literally inches away from the doorway can see through it. A few other variations on it got used for more serious business, but this one is all you get.</v>
      </c>
      <c r="I86" s="5"/>
    </row>
    <row r="87" spans="1:9" ht="69.599999999999994" x14ac:dyDescent="0.25">
      <c r="A87" s="16"/>
      <c r="B87" s="17">
        <v>83</v>
      </c>
      <c r="C87" s="2" t="b">
        <f ca="1">IFERROR(__xludf.DUMMYFUNCTION("""COMPUTED_VALUE"""),FALSE)</f>
        <v>0</v>
      </c>
      <c r="D87" s="2">
        <f ca="1">IFERROR(__xludf.DUMMYFUNCTION("""COMPUTED_VALUE"""),200)</f>
        <v>200</v>
      </c>
      <c r="E87" s="2" t="str">
        <f ca="1">IFERROR(__xludf.DUMMYFUNCTION("""COMPUTED_VALUE"""),"Wandering Hands")</f>
        <v>Wandering Hands</v>
      </c>
      <c r="F87" s="2" t="str">
        <f ca="1">IFERROR(__xludf.DUMMYFUNCTION("""COMPUTED_VALUE"""),"Generic: Hentai Modern")</f>
        <v>Generic: Hentai Modern</v>
      </c>
      <c r="G87" s="2" t="str">
        <f ca="1">IFERROR(__xludf.DUMMYFUNCTION("""COMPUTED_VALUE"""),"Magic")</f>
        <v>Magic</v>
      </c>
      <c r="H87" s="2" t="str">
        <f ca="1">IFERROR(__xludf.DUMMYFUNCTION("""COMPUTED_VALUE"""),"Now, as a counterpoint to the well developed and well received magical girl, you have none of the luck they do. Thankfully, you’ve managed to get your hands on something a bit darker than ‘love and justice’ People often complain about looking like you wan"&amp;"t to molest them... and now you can. You’ve got a total of four invisible hands with which to molest anyone within your line of sight!")</f>
        <v>Now, as a counterpoint to the well developed and well received magical girl, you have none of the luck they do. Thankfully, you’ve managed to get your hands on something a bit darker than ‘love and justice’ People often complain about looking like you want to molest them... and now you can. You’ve got a total of four invisible hands with which to molest anyone within your line of sight!</v>
      </c>
      <c r="I87" s="5"/>
    </row>
    <row r="88" spans="1:9" ht="174" x14ac:dyDescent="0.25">
      <c r="A88" s="16"/>
      <c r="B88" s="17">
        <v>84</v>
      </c>
      <c r="C88" s="2" t="b">
        <f ca="1">IFERROR(__xludf.DUMMYFUNCTION("""COMPUTED_VALUE"""),FALSE)</f>
        <v>0</v>
      </c>
      <c r="D88" s="2">
        <f ca="1">IFERROR(__xludf.DUMMYFUNCTION("""COMPUTED_VALUE"""),200)</f>
        <v>200</v>
      </c>
      <c r="E88" s="2" t="str">
        <f ca="1">IFERROR(__xludf.DUMMYFUNCTION("""COMPUTED_VALUE"""),"Winds of Freedom")</f>
        <v>Winds of Freedom</v>
      </c>
      <c r="F88" s="2" t="str">
        <f ca="1">IFERROR(__xludf.DUMMYFUNCTION("""COMPUTED_VALUE"""),"Breathless Wild")</f>
        <v>Breathless Wild</v>
      </c>
      <c r="G88" s="2" t="str">
        <f ca="1">IFERROR(__xludf.DUMMYFUNCTION("""COMPUTED_VALUE"""),"Magic")</f>
        <v>Magic</v>
      </c>
      <c r="H88" s="2" t="str">
        <f ca="1">IFERROR(__xludf.DUMMYFUNCTION("""COMPUTED_VALUE"""),"The wise traveler does their best to avoid danger but sometimes danger can be quite a persistent pursuer regardless of your best efforts. Should you ever find yourself trapped in an unbearable situation you’ll be glad to have this trinket in your possessi"&amp;"on. Farore’s Wind is a magical crystal containing a powerful spell from ancient times which teleports the caster a safe distance away from danger while also loosening any bonds which restrain them. Even if you have no skill with magic you can still make u"&amp;"se of this power using the crystal’s own magic, but skilled casters will be able to travel much further distances if needed and can even use the crystal’s power as a form of “fast travel” by marking specific places they’ll want to return to. While this sp"&amp;"ell will save you from many terrible fates, it’s not a replacement for caution: overuse or abuse may cause it to misfire and drop you into an even more dire situation.")</f>
        <v>The wise traveler does their best to avoid danger but sometimes danger can be quite a persistent pursuer regardless of your best efforts. Should you ever find yourself trapped in an unbearable situation you’ll be glad to have this trinket in your possession. Farore’s Wind is a magical crystal containing a powerful spell from ancient times which teleports the caster a safe distance away from danger while also loosening any bonds which restrain them. Even if you have no skill with magic you can still make use of this power using the crystal’s own magic, but skilled casters will be able to travel much further distances if needed and can even use the crystal’s power as a form of “fast travel” by marking specific places they’ll want to return to. While this spell will save you from many terrible fates, it’s not a replacement for caution: overuse or abuse may cause it to misfire and drop you into an even more dire situation.</v>
      </c>
      <c r="I88" s="5"/>
    </row>
    <row r="89" spans="1:9" ht="87" x14ac:dyDescent="0.25">
      <c r="A89" s="16"/>
      <c r="B89" s="17">
        <v>85</v>
      </c>
      <c r="C89" s="2" t="b">
        <f ca="1">IFERROR(__xludf.DUMMYFUNCTION("""COMPUTED_VALUE"""),FALSE)</f>
        <v>0</v>
      </c>
      <c r="D89" s="2">
        <f ca="1">IFERROR(__xludf.DUMMYFUNCTION("""COMPUTED_VALUE"""),300)</f>
        <v>300</v>
      </c>
      <c r="E89" s="2" t="str">
        <f ca="1">IFERROR(__xludf.DUMMYFUNCTION("""COMPUTED_VALUE"""),"A Nice Reward")</f>
        <v>A Nice Reward</v>
      </c>
      <c r="F89" s="2" t="str">
        <f ca="1">IFERROR(__xludf.DUMMYFUNCTION("""COMPUTED_VALUE"""),"Sei So Tsui Dan Sha")</f>
        <v>Sei So Tsui Dan Sha</v>
      </c>
      <c r="G89" s="2" t="str">
        <f ca="1">IFERROR(__xludf.DUMMYFUNCTION("""COMPUTED_VALUE"""),"Magic")</f>
        <v>Magic</v>
      </c>
      <c r="H89" s="2" t="str">
        <f ca="1">IFERROR(__xludf.DUMMYFUNCTION("""COMPUTED_VALUE"""),"Between any two or more people who have had sex, you may cast a spell that forms an invisible link between them. As long as your intentions for doing so are sexual in nature, you may cast a spell that instantly teleports these sexual partners to the locat"&amp;"ion of the one linked. Be mindful, if they can’t be convinced to stay, you won’t be able to keep them for long before they’re sent back to where you got them.")</f>
        <v>Between any two or more people who have had sex, you may cast a spell that forms an invisible link between them. As long as your intentions for doing so are sexual in nature, you may cast a spell that instantly teleports these sexual partners to the location of the one linked. Be mindful, if they can’t be convinced to stay, you won’t be able to keep them for long before they’re sent back to where you got them.</v>
      </c>
      <c r="I89" s="5"/>
    </row>
    <row r="90" spans="1:9" ht="156.6" x14ac:dyDescent="0.25">
      <c r="A90" s="16"/>
      <c r="B90" s="17">
        <v>86</v>
      </c>
      <c r="C90" s="2" t="b">
        <f ca="1">IFERROR(__xludf.DUMMYFUNCTION("""COMPUTED_VALUE"""),FALSE)</f>
        <v>0</v>
      </c>
      <c r="D90" s="2">
        <f ca="1">IFERROR(__xludf.DUMMYFUNCTION("""COMPUTED_VALUE"""),300)</f>
        <v>300</v>
      </c>
      <c r="E90" s="2" t="str">
        <f ca="1">IFERROR(__xludf.DUMMYFUNCTION("""COMPUTED_VALUE"""),"An Arcane Gift")</f>
        <v>An Arcane Gift</v>
      </c>
      <c r="F90" s="2" t="str">
        <f ca="1">IFERROR(__xludf.DUMMYFUNCTION("""COMPUTED_VALUE"""),"A Change of Tactics V2.2")</f>
        <v>A Change of Tactics V2.2</v>
      </c>
      <c r="G90" s="2" t="str">
        <f ca="1">IFERROR(__xludf.DUMMYFUNCTION("""COMPUTED_VALUE"""),"Magic")</f>
        <v>Magic</v>
      </c>
      <c r="H90" s="2" t="str">
        <f ca="1">IFERROR(__xludf.DUMMYFUNCTION("""COMPUTED_VALUE"""),"Even infant dragons radiate arcane power and adults can rival even the greatest human mages for sheer magical strength. Your heritage has granted you a natural gift for magic potent enough that you can learn new spells and master your power just as easily"&amp;" through simple trial and error as you could with a master to guide you. Nor have you any need for casting aides such as tomes or staves, the power in your blood strong enough to bend the world to your whims simply by willing it to do so. As your mastery "&amp;"grows you’ll become able to flex your might in the form of visible auras or transformations, such as cloaking yourself in purple flames or other cosmetic effects of your choice. You can even customize other powers you have in similar ways so long as these"&amp;" effects remain strictly cosmetic.")</f>
        <v>Even infant dragons radiate arcane power and adults can rival even the greatest human mages for sheer magical strength. Your heritage has granted you a natural gift for magic potent enough that you can learn new spells and master your power just as easily through simple trial and error as you could with a master to guide you. Nor have you any need for casting aides such as tomes or staves, the power in your blood strong enough to bend the world to your whims simply by willing it to do so. As your mastery grows you’ll become able to flex your might in the form of visible auras or transformations, such as cloaking yourself in purple flames or other cosmetic effects of your choice. You can even customize other powers you have in similar ways so long as these effects remain strictly cosmetic.</v>
      </c>
      <c r="I90" s="5"/>
    </row>
    <row r="91" spans="1:9" ht="348" x14ac:dyDescent="0.25">
      <c r="A91" s="16"/>
      <c r="B91" s="17">
        <v>87</v>
      </c>
      <c r="C91" s="2" t="b">
        <f ca="1">IFERROR(__xludf.DUMMYFUNCTION("""COMPUTED_VALUE"""),FALSE)</f>
        <v>0</v>
      </c>
      <c r="D91" s="2">
        <f ca="1">IFERROR(__xludf.DUMMYFUNCTION("""COMPUTED_VALUE"""),300)</f>
        <v>300</v>
      </c>
      <c r="E91" s="2" t="str">
        <f ca="1">IFERROR(__xludf.DUMMYFUNCTION("""COMPUTED_VALUE"""),"Cocksocks")</f>
        <v>Cocksocks</v>
      </c>
      <c r="F91" s="2" t="str">
        <f ca="1">IFERROR(__xludf.DUMMYFUNCTION("""COMPUTED_VALUE"""),"Corruption of Champions v1.1")</f>
        <v>Corruption of Champions v1.1</v>
      </c>
      <c r="G91" s="2" t="str">
        <f ca="1">IFERROR(__xludf.DUMMYFUNCTION("""COMPUTED_VALUE"""),"Magic")</f>
        <v>Magic</v>
      </c>
      <c r="H91" s="2" t="str">
        <f ca="1">IFERROR(__xludf.DUMMYFUNCTION("""COMPUTED_VALUE"""),"No, not slaves. You’ll find those in the next section. Clothing, if you can call these small pieces of fabric that, with patterns and specially sewn to accentuate every sweet curve and throbbing vein on their wearer’s erection, all while still exposing th"&amp;"e most sensitive bits.
You’ve got a staggering variety of materials, sizes, colours, and shapes with this. Basic woolen ones to keep warm, thin lacey ones to show off, ones with sewn-in cockrings... Along with a surprising amount of enchanted ones, with"&amp;" a variety of penis-related effects ranging from letting it grow faster, preventing it from growing too big, or hastening natural healing into a sort of lustful regeneration. At the high end, you’ve got such oddities as a gilded cock-sock that converts ex"&amp;"cess cum into gemstones and strangely-shaped ones made with magic channeled down from the stars themselves.
As a little bonus, this supply of vivid fabrics comes with something extra. Notes on a simple little spell that’ll ensure the socks won’t won’t s"&amp;"lip or slide. No matter what, they’ll remain in place until you use the equally simple counterspell. The spell will even keep the material clean and repaired, so you won’t have to keep washing and stitching them back together.
If you’d like, you can cha"&amp;"nge out some for more feminine lingerie. Though they still won’t conceal much in favor of showing off, it would change the enchantments to better suit the new garments. Perhaps boosting or inhibiting breast-enlarging transformations.")</f>
        <v>No, not slaves. You’ll find those in the next section. Clothing, if you can call these small pieces of fabric that, with patterns and specially sewn to accentuate every sweet curve and throbbing vein on their wearer’s erection, all while still exposing the most sensitive bits.
You’ve got a staggering variety of materials, sizes, colours, and shapes with this. Basic woolen ones to keep warm, thin lacey ones to show off, ones with sewn-in cockrings... Along with a surprising amount of enchanted ones, with a variety of penis-related effects ranging from letting it grow faster, preventing it from growing too big, or hastening natural healing into a sort of lustful regeneration. At the high end, you’ve got such oddities as a gilded cock-sock that converts excess cum into gemstones and strangely-shaped ones made with magic channeled down from the stars themselves.
As a little bonus, this supply of vivid fabrics comes with something extra. Notes on a simple little spell that’ll ensure the socks won’t won’t slip or slide. No matter what, they’ll remain in place until you use the equally simple counterspell. The spell will even keep the material clean and repaired, so you won’t have to keep washing and stitching them back together.
If you’d like, you can change out some for more feminine lingerie. Though they still won’t conceal much in favor of showing off, it would change the enchantments to better suit the new garments. Perhaps boosting or inhibiting breast-enlarging transformations.</v>
      </c>
      <c r="I91" s="5"/>
    </row>
    <row r="92" spans="1:9" ht="156.6" x14ac:dyDescent="0.25">
      <c r="A92" s="16"/>
      <c r="B92" s="17">
        <v>88</v>
      </c>
      <c r="C92" s="2" t="b">
        <f ca="1">IFERROR(__xludf.DUMMYFUNCTION("""COMPUTED_VALUE"""),FALSE)</f>
        <v>0</v>
      </c>
      <c r="D92" s="2">
        <f ca="1">IFERROR(__xludf.DUMMYFUNCTION("""COMPUTED_VALUE"""),300)</f>
        <v>300</v>
      </c>
      <c r="E92" s="2" t="str">
        <f ca="1">IFERROR(__xludf.DUMMYFUNCTION("""COMPUTED_VALUE"""),"Elemental Excellence")</f>
        <v>Elemental Excellence</v>
      </c>
      <c r="F92" s="2" t="str">
        <f ca="1">IFERROR(__xludf.DUMMYFUNCTION("""COMPUTED_VALUE"""),"Seikon No Qwaser")</f>
        <v>Seikon No Qwaser</v>
      </c>
      <c r="G92" s="2" t="str">
        <f ca="1">IFERROR(__xludf.DUMMYFUNCTION("""COMPUTED_VALUE"""),"Magic")</f>
        <v>Magic</v>
      </c>
      <c r="H92" s="2" t="str">
        <f ca="1">IFERROR(__xludf.DUMMYFUNCTION("""COMPUTED_VALUE"""),"Choose one Element from the periodic table. You may now control any existing nearly-pure example of your element that you might encounter in the world. You know when your element is in close enough proximity to manipulate (several meters), and you can aff"&amp;"ect your element in all three common stages of matter - gas, liquid, and solid - with that list being in decreasing order how taxing they are to affect. Sub-visual- and macro-scale maniuplation are also similarly taxing. How exactly you manipulate your el"&amp;"ement is limited by only two things: your imagination, and your reserves of Soma. How do you get more Soma? Breast milk, the fresher the better.
You may substitute other forms of magical energy for Soma, but the conversion process is inefficent.")</f>
        <v>Choose one Element from the periodic table. You may now control any existing nearly-pure example of your element that you might encounter in the world. You know when your element is in close enough proximity to manipulate (several meters), and you can affect your element in all three common stages of matter - gas, liquid, and solid - with that list being in decreasing order how taxing they are to affect. Sub-visual- and macro-scale maniuplation are also similarly taxing. How exactly you manipulate your element is limited by only two things: your imagination, and your reserves of Soma. How do you get more Soma? Breast milk, the fresher the better.
You may substitute other forms of magical energy for Soma, but the conversion process is inefficent.</v>
      </c>
      <c r="I92" s="5"/>
    </row>
    <row r="93" spans="1:9" ht="69.599999999999994" x14ac:dyDescent="0.25">
      <c r="A93" s="16"/>
      <c r="B93" s="17">
        <v>89</v>
      </c>
      <c r="C93" s="2" t="b">
        <f ca="1">IFERROR(__xludf.DUMMYFUNCTION("""COMPUTED_VALUE"""),FALSE)</f>
        <v>0</v>
      </c>
      <c r="D93" s="2">
        <f ca="1">IFERROR(__xludf.DUMMYFUNCTION("""COMPUTED_VALUE"""),300)</f>
        <v>300</v>
      </c>
      <c r="E93" s="2" t="str">
        <f ca="1">IFERROR(__xludf.DUMMYFUNCTION("""COMPUTED_VALUE"""),"Erotic Cosplay Sex Slave")</f>
        <v>Erotic Cosplay Sex Slave</v>
      </c>
      <c r="F93" s="2" t="str">
        <f ca="1">IFERROR(__xludf.DUMMYFUNCTION("""COMPUTED_VALUE"""),"Sei So Tsui Dan Sha")</f>
        <v>Sei So Tsui Dan Sha</v>
      </c>
      <c r="G93" s="2" t="str">
        <f ca="1">IFERROR(__xludf.DUMMYFUNCTION("""COMPUTED_VALUE"""),"Magic")</f>
        <v>Magic</v>
      </c>
      <c r="H93" s="2" t="str">
        <f ca="1">IFERROR(__xludf.DUMMYFUNCTION("""COMPUTED_VALUE"""),"You can cast a spell on yourself or others that makes them into a cosplay sex slave. For the spell’s duration, they’ll become capable of summoning any cosplay scenes, props, and outfits, and are capable of playing any role perfectly in sexual roleplay. Un"&amp;"less you convince them to become your slave from then on, or if they just want to keep these powers, the effects are only temporary.")</f>
        <v>You can cast a spell on yourself or others that makes them into a cosplay sex slave. For the spell’s duration, they’ll become capable of summoning any cosplay scenes, props, and outfits, and are capable of playing any role perfectly in sexual roleplay. Unless you convince them to become your slave from then on, or if they just want to keep these powers, the effects are only temporary.</v>
      </c>
      <c r="I93" s="5"/>
    </row>
    <row r="94" spans="1:9" ht="278.39999999999998" x14ac:dyDescent="0.25">
      <c r="A94" s="16"/>
      <c r="B94" s="17">
        <v>90</v>
      </c>
      <c r="C94" s="2" t="b">
        <f ca="1">IFERROR(__xludf.DUMMYFUNCTION("""COMPUTED_VALUE"""),FALSE)</f>
        <v>0</v>
      </c>
      <c r="D94" s="2">
        <f ca="1">IFERROR(__xludf.DUMMYFUNCTION("""COMPUTED_VALUE"""),300)</f>
        <v>300</v>
      </c>
      <c r="E94" s="2" t="str">
        <f ca="1">IFERROR(__xludf.DUMMYFUNCTION("""COMPUTED_VALUE"""),"Heart Hybrid Gear")</f>
        <v>Heart Hybrid Gear</v>
      </c>
      <c r="F94" s="2" t="str">
        <f ca="1">IFERROR(__xludf.DUMMYFUNCTION("""COMPUTED_VALUE"""),"Masou Gakuen HxH")</f>
        <v>Masou Gakuen HxH</v>
      </c>
      <c r="G94" s="2" t="str">
        <f ca="1">IFERROR(__xludf.DUMMYFUNCTION("""COMPUTED_VALUE"""),"Magic")</f>
        <v>Magic</v>
      </c>
      <c r="H94" s="2" t="str">
        <f ca="1">IFERROR(__xludf.DUMMYFUNCTION("""COMPUTED_VALUE"""),"The titular piece of magi-tech of the setting. This hardware is generated from a technomagical core embedded in your body, making it impossible to remove from your person and otherwise undetectable save by those with magical sight. The exact armaments are"&amp;" up to you: blades, guns, missiles, fisticuffs, etc. As is the particular style. Though if you are female the “armor” generally bares the majority of your breasts, belly, ass... everything, for all to see. In terms of overall ‘power,’ barring Perk purchas"&amp;"es, you should expect enough power to destroy a city block with minimal effort.
While summoning the armor requires you being able to speak, dismissing it is a matter of thought. The armor is fueled by your body’s internal Heart Hybrid particle count, whi"&amp;"ch is effectively a measurement of your own life-force, explaining rather concisely why depleting it leads to death. By default, the armour will dismiss itself before killing you at around 5%, but you can override this if you choose. Be prepared to explod"&amp;"e if you do.
All Heart Hybrid Gears have a number of additional functions, all of which draw lightly from your HH particle count: a shield that blocks attacks directed at you; a life-support system that can sustain you both underwater and in space; a fli"&amp;"ght system; a general physical enhancement.")</f>
        <v>The titular piece of magi-tech of the setting. This hardware is generated from a technomagical core embedded in your body, making it impossible to remove from your person and otherwise undetectable save by those with magical sight. The exact armaments are up to you: blades, guns, missiles, fisticuffs, etc. As is the particular style. Though if you are female the “armor” generally bares the majority of your breasts, belly, ass... everything, for all to see. In terms of overall ‘power,’ barring Perk purchases, you should expect enough power to destroy a city block with minimal effort.
While summoning the armor requires you being able to speak, dismissing it is a matter of thought. The armor is fueled by your body’s internal Heart Hybrid particle count, which is effectively a measurement of your own life-force, explaining rather concisely why depleting it leads to death. By default, the armour will dismiss itself before killing you at around 5%, but you can override this if you choose. Be prepared to explode if you do.
All Heart Hybrid Gears have a number of additional functions, all of which draw lightly from your HH particle count: a shield that blocks attacks directed at you; a life-support system that can sustain you both underwater and in space; a flight system; a general physical enhancement.</v>
      </c>
      <c r="I94" s="5"/>
    </row>
    <row r="95" spans="1:9" ht="278.39999999999998" x14ac:dyDescent="0.25">
      <c r="A95" s="16"/>
      <c r="B95" s="17">
        <v>91</v>
      </c>
      <c r="C95" s="2" t="b">
        <f ca="1">IFERROR(__xludf.DUMMYFUNCTION("""COMPUTED_VALUE"""),FALSE)</f>
        <v>0</v>
      </c>
      <c r="D95" s="2">
        <f ca="1">IFERROR(__xludf.DUMMYFUNCTION("""COMPUTED_VALUE"""),300)</f>
        <v>300</v>
      </c>
      <c r="E95" s="2" t="str">
        <f ca="1">IFERROR(__xludf.DUMMYFUNCTION("""COMPUTED_VALUE"""),"JK Body")</f>
        <v>JK Body</v>
      </c>
      <c r="F95" s="2" t="str">
        <f ca="1">IFERROR(__xludf.DUMMYFUNCTION("""COMPUTED_VALUE"""),"JK Taimabu")</f>
        <v>JK Taimabu</v>
      </c>
      <c r="G95" s="2" t="str">
        <f ca="1">IFERROR(__xludf.DUMMYFUNCTION("""COMPUTED_VALUE"""),"Magic")</f>
        <v>Magic</v>
      </c>
      <c r="H95" s="2" t="str">
        <f ca="1">IFERROR(__xludf.DUMMYFUNCTION("""COMPUTED_VALUE"""),"The source of an Exorcist's power is the source of their femininity, the Uterus. In response to the energy of other Exorcists or a Demon, the Uterus begins to generate its own spiritual energy, empowering the woman. Yours has now been activated, allowing "&amp;"you to slowly generate the energy you need to power the skills and abilities of the JK Exorcist. Beware however, as you are only able to generate energy while your body is... Pure? Clean? Having a man inside of you, or having cummed inside of you, will te"&amp;"mporarily cut off your ability to generate Spiritual Energy. The energy generated this way is stored in the hair, with ponytails being the ideal shape to have the hair in.
You will also find that the energy you generate but that goes unused will begin to"&amp;" directly enhance your femininity. Your hair will be more lustrous, your breasts larger and softer, and your body will take men more easily in order to maximize your ability to breed. Speaking of your hair, you’ll find that styling it into a ponytail take"&amp;"s even less than zero effort, with you often putting it up without even realizing you’ve done so.
If you're not a girl, or otherwise dont have a uterus...well, I suppose this perk won't do much of anything for you.")</f>
        <v>The source of an Exorcist's power is the source of their femininity, the Uterus. In response to the energy of other Exorcists or a Demon, the Uterus begins to generate its own spiritual energy, empowering the woman. Yours has now been activated, allowing you to slowly generate the energy you need to power the skills and abilities of the JK Exorcist. Beware however, as you are only able to generate energy while your body is... Pure? Clean? Having a man inside of you, or having cummed inside of you, will temporarily cut off your ability to generate Spiritual Energy. The energy generated this way is stored in the hair, with ponytails being the ideal shape to have the hair in.
You will also find that the energy you generate but that goes unused will begin to directly enhance your femininity. Your hair will be more lustrous, your breasts larger and softer, and your body will take men more easily in order to maximize your ability to breed. Speaking of your hair, you’ll find that styling it into a ponytail takes even less than zero effort, with you often putting it up without even realizing you’ve done so.
If you're not a girl, or otherwise dont have a uterus...well, I suppose this perk won't do much of anything for you.</v>
      </c>
      <c r="I95" s="5"/>
    </row>
    <row r="96" spans="1:9" ht="104.4" x14ac:dyDescent="0.25">
      <c r="A96" s="16"/>
      <c r="B96" s="17">
        <v>92</v>
      </c>
      <c r="C96" s="2" t="b">
        <f ca="1">IFERROR(__xludf.DUMMYFUNCTION("""COMPUTED_VALUE"""),FALSE)</f>
        <v>0</v>
      </c>
      <c r="D96" s="2">
        <f ca="1">IFERROR(__xludf.DUMMYFUNCTION("""COMPUTED_VALUE"""),300)</f>
        <v>300</v>
      </c>
      <c r="E96" s="2" t="str">
        <f ca="1">IFERROR(__xludf.DUMMYFUNCTION("""COMPUTED_VALUE"""),"Magical Modifications")</f>
        <v>Magical Modifications</v>
      </c>
      <c r="F96" s="2" t="str">
        <f ca="1">IFERROR(__xludf.DUMMYFUNCTION("""COMPUTED_VALUE"""),"Fate/Loli Order")</f>
        <v>Fate/Loli Order</v>
      </c>
      <c r="G96" s="2" t="str">
        <f ca="1">IFERROR(__xludf.DUMMYFUNCTION("""COMPUTED_VALUE"""),"Magic")</f>
        <v>Magic</v>
      </c>
      <c r="H96" s="2" t="str">
        <f ca="1">IFERROR(__xludf.DUMMYFUNCTION("""COMPUTED_VALUE"""),"Let’s be honest, you’re anything but normal. Chaldea doesn’t even hire normal, it only wants the best of the best of the best to assist in their mission of preserving human history. If you didn’t meet that level of skill, they would never have hired you. "&amp;"As it turns out, your talent is for modifying things. Jury rigging equipment, a spell to be fire instead of ice, a curse to inflict pleasure instead of pain. Creating something from scratch isn’t for you, but altering an already existing invention? Well w"&amp;"ithin your grasp.")</f>
        <v>Let’s be honest, you’re anything but normal. Chaldea doesn’t even hire normal, it only wants the best of the best of the best to assist in their mission of preserving human history. If you didn’t meet that level of skill, they would never have hired you. As it turns out, your talent is for modifying things. Jury rigging equipment, a spell to be fire instead of ice, a curse to inflict pleasure instead of pain. Creating something from scratch isn’t for you, but altering an already existing invention? Well within your grasp.</v>
      </c>
      <c r="I96" s="5"/>
    </row>
    <row r="97" spans="1:9" ht="156.6" x14ac:dyDescent="0.25">
      <c r="A97" s="16"/>
      <c r="B97" s="17">
        <v>93</v>
      </c>
      <c r="C97" s="2" t="b">
        <f ca="1">IFERROR(__xludf.DUMMYFUNCTION("""COMPUTED_VALUE"""),FALSE)</f>
        <v>0</v>
      </c>
      <c r="D97" s="2">
        <f ca="1">IFERROR(__xludf.DUMMYFUNCTION("""COMPUTED_VALUE"""),300)</f>
        <v>300</v>
      </c>
      <c r="E97" s="2" t="str">
        <f ca="1">IFERROR(__xludf.DUMMYFUNCTION("""COMPUTED_VALUE"""),"Potion Master")</f>
        <v>Potion Master</v>
      </c>
      <c r="F97" s="2" t="str">
        <f ca="1">IFERROR(__xludf.DUMMYFUNCTION("""COMPUTED_VALUE"""),"“I'm in Another World, So I Guess I'll Use Magic to Be Lewd!”")</f>
        <v>“I'm in Another World, So I Guess I'll Use Magic to Be Lewd!”</v>
      </c>
      <c r="G97" s="2" t="str">
        <f ca="1">IFERROR(__xludf.DUMMYFUNCTION("""COMPUTED_VALUE"""),"Magic")</f>
        <v>Magic</v>
      </c>
      <c r="H97" s="2" t="str">
        <f ca="1">IFERROR(__xludf.DUMMYFUNCTION("""COMPUTED_VALUE"""),"Not every master magician is also a master alchemist but you’ve got a gift for the chemistry side of things that’s just as potent as your talent for spellslinging. From health and mana potions to sleeping draughts and poisons you have the skill to whip up"&amp;" all kinds of concoctions both helpful and harmful as long as you have the right tools and ingredients available for them. What’s more, you can also add lewd side-effects to otherwise ordinary potions with no extra time or resources required. For instance"&amp;" you could create a mana potion that also increases the drinker’s breast size or makes her lactate, or create a sleeping potion that also increases the body’s sensitivity. Of course you can also simply make ordinary potions with lewd effects, such as aphr"&amp;"odisiac poisons, and these are especially potent when created in an undiluted form.")</f>
        <v>Not every master magician is also a master alchemist but you’ve got a gift for the chemistry side of things that’s just as potent as your talent for spellslinging. From health and mana potions to sleeping draughts and poisons you have the skill to whip up all kinds of concoctions both helpful and harmful as long as you have the right tools and ingredients available for them. What’s more, you can also add lewd side-effects to otherwise ordinary potions with no extra time or resources required. For instance you could create a mana potion that also increases the drinker’s breast size or makes her lactate, or create a sleeping potion that also increases the body’s sensitivity. Of course you can also simply make ordinary potions with lewd effects, such as aphrodisiac poisons, and these are especially potent when created in an undiluted form.</v>
      </c>
      <c r="I97" s="5"/>
    </row>
    <row r="98" spans="1:9" ht="278.39999999999998" x14ac:dyDescent="0.25">
      <c r="A98" s="16"/>
      <c r="B98" s="17">
        <v>94</v>
      </c>
      <c r="C98" s="2" t="b">
        <f ca="1">IFERROR(__xludf.DUMMYFUNCTION("""COMPUTED_VALUE"""),FALSE)</f>
        <v>0</v>
      </c>
      <c r="D98" s="2">
        <f ca="1">IFERROR(__xludf.DUMMYFUNCTION("""COMPUTED_VALUE"""),300)</f>
        <v>300</v>
      </c>
      <c r="E98" s="2" t="str">
        <f ca="1">IFERROR(__xludf.DUMMYFUNCTION("""COMPUTED_VALUE"""),"Slave Magic")</f>
        <v>Slave Magic</v>
      </c>
      <c r="F98" s="2" t="str">
        <f ca="1">IFERROR(__xludf.DUMMYFUNCTION("""COMPUTED_VALUE"""),"How Not to Summon a Demon Lord")</f>
        <v>How Not to Summon a Demon Lord</v>
      </c>
      <c r="G98" s="2" t="str">
        <f ca="1">IFERROR(__xludf.DUMMYFUNCTION("""COMPUTED_VALUE"""),"Magic")</f>
        <v>Magic</v>
      </c>
      <c r="H98" s="2" t="str">
        <f ca="1">IFERROR(__xludf.DUMMYFUNCTION("""COMPUTED_VALUE"""),"Slave Magic is exactly what it sounds like, a variety of binding magic similar to what a Summoner uses to bind their familiars. The difference is that while a Summoner is limited to binding only their summoned creatures, Slave Magic can bind ordinary peop"&amp;"le or magical beasts to the will of the caster. Successfully casting the enslavement ritual (which can be resisted or even reflected if the target is unwilling or magically-defended) creates a magical link between master and slave and gives the slave a bi"&amp;"g metal collar as proof of their status, though you can adjust the collar’s appearance if you wish.
The link allows the master to issue magically-enforced orders to the slave which they are physically compelled to obey, even overriding control from othe"&amp;"r sources such as brainwashing, mind control, or demonic possession. Enslaved characters can be released from the spell’s effects by the caster’s will or by sufficiently powerful forms of anti-magic. As a side-effect, the process of learning this magic al"&amp;"so teaches the caster to see magical energy in objects and people, a talent called Aura Vision, as well as how to pump their magical energy into other people. This can be used without binding magic to refill the target’s mana reserves, though the process "&amp;"can be quite... stimulating for the one receiving the mana.")</f>
        <v>Slave Magic is exactly what it sounds like, a variety of binding magic similar to what a Summoner uses to bind their familiars. The difference is that while a Summoner is limited to binding only their summoned creatures, Slave Magic can bind ordinary people or magical beasts to the will of the caster. Successfully casting the enslavement ritual (which can be resisted or even reflected if the target is unwilling or magically-defended) creates a magical link between master and slave and gives the slave a big metal collar as proof of their status, though you can adjust the collar’s appearance if you wish.
The link allows the master to issue magically-enforced orders to the slave which they are physically compelled to obey, even overriding control from other sources such as brainwashing, mind control, or demonic possession. Enslaved characters can be released from the spell’s effects by the caster’s will or by sufficiently powerful forms of anti-magic. As a side-effect, the process of learning this magic also teaches the caster to see magical energy in objects and people, a talent called Aura Vision, as well as how to pump their magical energy into other people. This can be used without binding magic to refill the target’s mana reserves, though the process can be quite... stimulating for the one receiving the mana.</v>
      </c>
      <c r="I98" s="5"/>
    </row>
    <row r="99" spans="1:9" ht="156.6" x14ac:dyDescent="0.25">
      <c r="A99" s="16"/>
      <c r="B99" s="17">
        <v>95</v>
      </c>
      <c r="C99" s="2" t="b">
        <f ca="1">IFERROR(__xludf.DUMMYFUNCTION("""COMPUTED_VALUE"""),FALSE)</f>
        <v>0</v>
      </c>
      <c r="D99" s="2">
        <f ca="1">IFERROR(__xludf.DUMMYFUNCTION("""COMPUTED_VALUE"""),300)</f>
        <v>300</v>
      </c>
      <c r="E99" s="2" t="str">
        <f ca="1">IFERROR(__xludf.DUMMYFUNCTION("""COMPUTED_VALUE"""),"That was Just Magic")</f>
        <v>That was Just Magic</v>
      </c>
      <c r="F99" s="2" t="str">
        <f ca="1">IFERROR(__xludf.DUMMYFUNCTION("""COMPUTED_VALUE"""),"Sei So Tsui Dan Sha")</f>
        <v>Sei So Tsui Dan Sha</v>
      </c>
      <c r="G99" s="2" t="str">
        <f ca="1">IFERROR(__xludf.DUMMYFUNCTION("""COMPUTED_VALUE"""),"Magic")</f>
        <v>Magic</v>
      </c>
      <c r="H99" s="2" t="str">
        <f ca="1">IFERROR(__xludf.DUMMYFUNCTION("""COMPUTED_VALUE"""),"You are in possession of the very spell that set this story in motion. You can harmlessly detach people’s body parts, with the detached part being marked with an 'N' to its original location's 'S'. The part cannot be felt or used until its stump is attach"&amp;"ed to a surface, when it gains full sensation and function. If the surface is alive, they are the ones that control it, but both they and the part's owner share the sensations caused.
You can’t use this to permanently harm people, but I’m sure you’ll fin"&amp;"d some uses for it. Naturally, you can also use this power to reattach parts of people that have been removed through similar means.")</f>
        <v>You are in possession of the very spell that set this story in motion. You can harmlessly detach people’s body parts, with the detached part being marked with an 'N' to its original location's 'S'. The part cannot be felt or used until its stump is attached to a surface, when it gains full sensation and function. If the surface is alive, they are the ones that control it, but both they and the part's owner share the sensations caused.
You can’t use this to permanently harm people, but I’m sure you’ll find some uses for it. Naturally, you can also use this power to reattach parts of people that have been removed through similar means.</v>
      </c>
      <c r="I99" s="5"/>
    </row>
    <row r="100" spans="1:9" ht="174" x14ac:dyDescent="0.25">
      <c r="A100" s="16"/>
      <c r="B100" s="17">
        <v>96</v>
      </c>
      <c r="C100" s="2" t="b">
        <f ca="1">IFERROR(__xludf.DUMMYFUNCTION("""COMPUTED_VALUE"""),FALSE)</f>
        <v>0</v>
      </c>
      <c r="D100" s="2">
        <f ca="1">IFERROR(__xludf.DUMMYFUNCTION("""COMPUTED_VALUE"""),300)</f>
        <v>300</v>
      </c>
      <c r="E100" s="2" t="str">
        <f ca="1">IFERROR(__xludf.DUMMYFUNCTION("""COMPUTED_VALUE"""),"Thirty Six Ice of Mount Fuji")</f>
        <v>Thirty Six Ice of Mount Fuji</v>
      </c>
      <c r="F100" s="2" t="str">
        <f ca="1">IFERROR(__xludf.DUMMYFUNCTION("""COMPUTED_VALUE"""),"Fate/Horse Order")</f>
        <v>Fate/Horse Order</v>
      </c>
      <c r="G100" s="2" t="str">
        <f ca="1">IFERROR(__xludf.DUMMYFUNCTION("""COMPUTED_VALUE"""),"Magic")</f>
        <v>Magic</v>
      </c>
      <c r="H100" s="2" t="str">
        <f ca="1">IFERROR(__xludf.DUMMYFUNCTION("""COMPUTED_VALUE"""),"In all honesty, this may just be the single most over the top ice cream sundae in all of time, space, and the infinite reflections of the Kaleidoscope. Made through the combined efforts of six of the seven Mizugi Kengou and their entourages and mixed in a"&amp;" holy grail, there is no treat in all of summer that can match it. Made to specially appeal to the Mizugi Kengous own tastes, not only is it delicious, but it’s also beautiful. Eating it grants you a burst of inspiration, a trickle of power, or even cause"&amp;"s your soul to grow ever so slightly with every bite you take, up to thirty six times. It’s by no means strong enough to make you a master without ever training, but paired with any level of skill and devotion it can take you to the very top much faster t"&amp;"han would otherwise be possible.
This item regenerates once a year on the summer solstice, only when fully used up.")</f>
        <v>In all honesty, this may just be the single most over the top ice cream sundae in all of time, space, and the infinite reflections of the Kaleidoscope. Made through the combined efforts of six of the seven Mizugi Kengou and their entourages and mixed in a holy grail, there is no treat in all of summer that can match it. Made to specially appeal to the Mizugi Kengous own tastes, not only is it delicious, but it’s also beautiful. Eating it grants you a burst of inspiration, a trickle of power, or even causes your soul to grow ever so slightly with every bite you take, up to thirty six times. It’s by no means strong enough to make you a master without ever training, but paired with any level of skill and devotion it can take you to the very top much faster than would otherwise be possible.
This item regenerates once a year on the summer solstice, only when fully used up.</v>
      </c>
      <c r="I100" s="5"/>
    </row>
    <row r="101" spans="1:9" ht="104.4" x14ac:dyDescent="0.25">
      <c r="A101" s="16"/>
      <c r="B101" s="17">
        <v>97</v>
      </c>
      <c r="C101" s="2" t="b">
        <f ca="1">IFERROR(__xludf.DUMMYFUNCTION("""COMPUTED_VALUE"""),FALSE)</f>
        <v>0</v>
      </c>
      <c r="D101" s="2">
        <f ca="1">IFERROR(__xludf.DUMMYFUNCTION("""COMPUTED_VALUE"""),400)</f>
        <v>400</v>
      </c>
      <c r="E101" s="2" t="str">
        <f ca="1">IFERROR(__xludf.DUMMYFUNCTION("""COMPUTED_VALUE"""),"...Magic is Power")</f>
        <v>...Magic is Power</v>
      </c>
      <c r="F101" s="2" t="str">
        <f ca="1">IFERROR(__xludf.DUMMYFUNCTION("""COMPUTED_VALUE"""),"Evening Starter")</f>
        <v>Evening Starter</v>
      </c>
      <c r="G101" s="2" t="str">
        <f ca="1">IFERROR(__xludf.DUMMYFUNCTION("""COMPUTED_VALUE"""),"Magic")</f>
        <v>Magic</v>
      </c>
      <c r="H101" s="2" t="str">
        <f ca="1">IFERROR(__xludf.DUMMYFUNCTION("""COMPUTED_VALUE"""),"You know how Blood and Semen can be used to regain magical power, right? Well, turns out it can also improve magical power (increasing reserves and potency) — with the proper rituals. Well, you know those rituals now and you’re able to improve your magica"&amp;"l prowess. And that Taboo about fresh blood? Well, let’s just say no one will complain if you were to drain a few individuals here and there now. You’re a fairly powerful individual now, after all. Just don’t slaughter innocents in mass, though. Some thin"&amp;"gs just simply can’t be ignored.")</f>
        <v>You know how Blood and Semen can be used to regain magical power, right? Well, turns out it can also improve magical power (increasing reserves and potency) — with the proper rituals. Well, you know those rituals now and you’re able to improve your magical prowess. And that Taboo about fresh blood? Well, let’s just say no one will complain if you were to drain a few individuals here and there now. You’re a fairly powerful individual now, after all. Just don’t slaughter innocents in mass, though. Some things just simply can’t be ignored.</v>
      </c>
      <c r="I101" s="5"/>
    </row>
    <row r="102" spans="1:9" ht="243.6" x14ac:dyDescent="0.25">
      <c r="A102" s="16"/>
      <c r="B102" s="17">
        <v>98</v>
      </c>
      <c r="C102" s="2" t="b">
        <f ca="1">IFERROR(__xludf.DUMMYFUNCTION("""COMPUTED_VALUE"""),FALSE)</f>
        <v>0</v>
      </c>
      <c r="D102" s="2">
        <f ca="1">IFERROR(__xludf.DUMMYFUNCTION("""COMPUTED_VALUE"""),400)</f>
        <v>400</v>
      </c>
      <c r="E102" s="2" t="str">
        <f ca="1">IFERROR(__xludf.DUMMYFUNCTION("""COMPUTED_VALUE"""),"A Worm made Just for You")</f>
        <v>A Worm made Just for You</v>
      </c>
      <c r="F102" s="2" t="str">
        <f ca="1">IFERROR(__xludf.DUMMYFUNCTION("""COMPUTED_VALUE"""),"Fate/Worm Night")</f>
        <v>Fate/Worm Night</v>
      </c>
      <c r="G102" s="2" t="str">
        <f ca="1">IFERROR(__xludf.DUMMYFUNCTION("""COMPUTED_VALUE"""),"Magic")</f>
        <v>Magic</v>
      </c>
      <c r="H102" s="2" t="str">
        <f ca="1">IFERROR(__xludf.DUMMYFUNCTION("""COMPUTED_VALUE"""),"Congratulations, Master/Madame, you now have a decent founding of knowledge on the Matou family style, Crest Worms. Disgusting things, but useful. They slither into the body, where they feed on their host's magical energy. They act like additional magical"&amp;" circuits, increasing their host's ability to cast spells, at the cost of being an otherwise parasitic existence. If they don't recieve enough magical energy to feed on, they will then try and increase their host's libido to feed on sexual energy instead."&amp;" If even that should fail, they will eat the flesh of their host from the inside out.
As these are your Crest Worms, however, you can adjust these behaviours. You also have a great deal more knowledge on how to use these worms for lewd purposes as well a"&amp;"s how to customize said worms for maximum pleasure. Or pain, depending on your mood. With just a short bit of observation and maybe a tad bit of testing you can tell how to make this one small change to the ‘standard’ design you were planning on using on "&amp;"a person to make the whole thing so much better/worse. This also carries over to other things, being able to fine tune just about anything to be more effective on the target of your attention.")</f>
        <v>Congratulations, Master/Madame, you now have a decent founding of knowledge on the Matou family style, Crest Worms. Disgusting things, but useful. They slither into the body, where they feed on their host's magical energy. They act like additional magical circuits, increasing their host's ability to cast spells, at the cost of being an otherwise parasitic existence. If they don't recieve enough magical energy to feed on, they will then try and increase their host's libido to feed on sexual energy instead. If even that should fail, they will eat the flesh of their host from the inside out.
As these are your Crest Worms, however, you can adjust these behaviours. You also have a great deal more knowledge on how to use these worms for lewd purposes as well as how to customize said worms for maximum pleasure. Or pain, depending on your mood. With just a short bit of observation and maybe a tad bit of testing you can tell how to make this one small change to the ‘standard’ design you were planning on using on a person to make the whole thing so much better/worse. This also carries over to other things, being able to fine tune just about anything to be more effective on the target of your attention.</v>
      </c>
      <c r="I102" s="5"/>
    </row>
    <row r="103" spans="1:9" ht="313.2" x14ac:dyDescent="0.25">
      <c r="A103" s="16"/>
      <c r="B103" s="17">
        <v>99</v>
      </c>
      <c r="C103" s="2" t="b">
        <f ca="1">IFERROR(__xludf.DUMMYFUNCTION("""COMPUTED_VALUE"""),FALSE)</f>
        <v>0</v>
      </c>
      <c r="D103" s="2">
        <f ca="1">IFERROR(__xludf.DUMMYFUNCTION("""COMPUTED_VALUE"""),400)</f>
        <v>400</v>
      </c>
      <c r="E103" s="2" t="str">
        <f ca="1">IFERROR(__xludf.DUMMYFUNCTION("""COMPUTED_VALUE"""),"Alchemist Extraordinaire")</f>
        <v>Alchemist Extraordinaire</v>
      </c>
      <c r="F103" s="2" t="str">
        <f ca="1">IFERROR(__xludf.DUMMYFUNCTION("""COMPUTED_VALUE"""),"Corruption of Champions v1.1")</f>
        <v>Corruption of Champions v1.1</v>
      </c>
      <c r="G103" s="2" t="str">
        <f ca="1">IFERROR(__xludf.DUMMYFUNCTION("""COMPUTED_VALUE"""),"Magic")</f>
        <v>Magic</v>
      </c>
      <c r="H103" s="2" t="str">
        <f ca="1">IFERROR(__xludf.DUMMYFUNCTION("""COMPUTED_VALUE"""),"Good news! It looks like you’ve picked up some knowledge of alchemy. The primary use of the science is of course the creation of various new potions and such, something you’ll have to experiment with on your own. But you do have the knowledge to make vari"&amp;"ous alchemical items common to this land, like permanent hair dyes, aphrodisiac lust drafts, as well as potions and pastes to grow or shrink certain body parts.
More impressive perhaps is what you can do with ingredients that are already transformative o"&amp;"n their own, at the most basic allowing you to increase the potency of these items, making them more reactive to your body. With a bit more work you could mystically enhance such items to make them stronger in general, or remove the taint from demonic ite"&amp;"ms to make them safer to use without losing their main effects. You could even treat various durable substances to use them as materials for exceptional armour and similar things.
Should you be particularly devious, you could also use your alchemical kno"&amp;"wledge to create mixtures that will turn people into little more than toys and slaves for you. Mixing in your own sexual fluids to foster an addiction to it would be simple enough, though creating concoctions that force people to survive on cum alone migh"&amp;"t take a bit more work if you wanted to waste your time on doing things like that.")</f>
        <v>Good news! It looks like you’ve picked up some knowledge of alchemy. The primary use of the science is of course the creation of various new potions and such, something you’ll have to experiment with on your own. But you do have the knowledge to make various alchemical items common to this land, like permanent hair dyes, aphrodisiac lust drafts, as well as potions and pastes to grow or shrink certain body parts.
More impressive perhaps is what you can do with ingredients that are already transformative on their own, at the most basic allowing you to increase the potency of these items, making them more reactive to your body. With a bit more work you could mystically enhance such items to make them stronger in general, or remove the taint from demonic items to make them safer to use without losing their main effects. You could even treat various durable substances to use them as materials for exceptional armour and similar things.
Should you be particularly devious, you could also use your alchemical knowledge to create mixtures that will turn people into little more than toys and slaves for you. Mixing in your own sexual fluids to foster an addiction to it would be simple enough, though creating concoctions that force people to survive on cum alone might take a bit more work if you wanted to waste your time on doing things like that.</v>
      </c>
      <c r="I103" s="5"/>
    </row>
    <row r="104" spans="1:9" ht="174" x14ac:dyDescent="0.25">
      <c r="A104" s="16"/>
      <c r="B104" s="17">
        <v>100</v>
      </c>
      <c r="C104" s="2" t="b">
        <f ca="1">IFERROR(__xludf.DUMMYFUNCTION("""COMPUTED_VALUE"""),FALSE)</f>
        <v>0</v>
      </c>
      <c r="D104" s="2">
        <f ca="1">IFERROR(__xludf.DUMMYFUNCTION("""COMPUTED_VALUE"""),400)</f>
        <v>400</v>
      </c>
      <c r="E104" s="2" t="str">
        <f ca="1">IFERROR(__xludf.DUMMYFUNCTION("""COMPUTED_VALUE"""),"Arousing Arcanist")</f>
        <v>Arousing Arcanist</v>
      </c>
      <c r="F104" s="2" t="str">
        <f ca="1">IFERROR(__xludf.DUMMYFUNCTION("""COMPUTED_VALUE"""),"World of Lewd Fantasy")</f>
        <v>World of Lewd Fantasy</v>
      </c>
      <c r="G104" s="2" t="str">
        <f ca="1">IFERROR(__xludf.DUMMYFUNCTION("""COMPUTED_VALUE"""),"Magic")</f>
        <v>Magic</v>
      </c>
      <c r="H104" s="2" t="str">
        <f ca="1">IFERROR(__xludf.DUMMYFUNCTION("""COMPUTED_VALUE"""),"Ain't. Gotta. Explain. Shit. ...Oh alright, fine. Mystical energies flow throughout the many worlds and all who live within them, surrounding and penetrating us, binding all together. But for some reason you are far more sensitive to the flow of magic tha"&amp;"n others are in both body and soul, with your own magical abilities being greatly empowered by it. Well, just so long as that flow is unobstructed anyway.
For the more nude you are, the greater your sorcerous strength grows. When utterly naked the pure p"&amp;"ower of your spells and the sheer amount of them you could effortlessly throw around would make your covered up self appear as but a first year novice next to a great and mighty archmaster who no longer has to care about things like right and wrong, or pa"&amp;"nts.")</f>
        <v>Ain't. Gotta. Explain. Shit. ...Oh alright, fine. Mystical energies flow throughout the many worlds and all who live within them, surrounding and penetrating us, binding all together. But for some reason you are far more sensitive to the flow of magic than others are in both body and soul, with your own magical abilities being greatly empowered by it. Well, just so long as that flow is unobstructed anyway.
For the more nude you are, the greater your sorcerous strength grows. When utterly naked the pure power of your spells and the sheer amount of them you could effortlessly throw around would make your covered up self appear as but a first year novice next to a great and mighty archmaster who no longer has to care about things like right and wrong, or pants.</v>
      </c>
      <c r="I104" s="5"/>
    </row>
    <row r="105" spans="1:9" ht="121.8" x14ac:dyDescent="0.25">
      <c r="A105" s="16"/>
      <c r="B105" s="17">
        <v>101</v>
      </c>
      <c r="C105" s="2" t="b">
        <f ca="1">IFERROR(__xludf.DUMMYFUNCTION("""COMPUTED_VALUE"""),FALSE)</f>
        <v>0</v>
      </c>
      <c r="D105" s="2">
        <f ca="1">IFERROR(__xludf.DUMMYFUNCTION("""COMPUTED_VALUE"""),400)</f>
        <v>400</v>
      </c>
      <c r="E105" s="2" t="str">
        <f ca="1">IFERROR(__xludf.DUMMYFUNCTION("""COMPUTED_VALUE"""),"Ascension to the Next Level")</f>
        <v>Ascension to the Next Level</v>
      </c>
      <c r="F105" s="2" t="str">
        <f ca="1">IFERROR(__xludf.DUMMYFUNCTION("""COMPUTED_VALUE"""),"Although Young People Recoil from Entering the Black Magic Industry...")</f>
        <v>Although Young People Recoil from Entering the Black Magic Industry...</v>
      </c>
      <c r="G105" s="2" t="str">
        <f ca="1">IFERROR(__xludf.DUMMYFUNCTION("""COMPUTED_VALUE"""),"Magic")</f>
        <v>Magic</v>
      </c>
      <c r="H105" s="2" t="str">
        <f ca="1">IFERROR(__xludf.DUMMYFUNCTION("""COMPUTED_VALUE"""),"You have ascended to a higher level of magic use, and you now constantly circulate mana through your body with skill, power, and finesse. In addition to improving the raw output of your spells, this also rejuvenates your skin, energizes you, gives you mor"&amp;"e stamina, reduces your need to rest, and increases the rate of your mana regeneration.")</f>
        <v>You have ascended to a higher level of magic use, and you now constantly circulate mana through your body with skill, power, and finesse. In addition to improving the raw output of your spells, this also rejuvenates your skin, energizes you, gives you more stamina, reduces your need to rest, and increases the rate of your mana regeneration.</v>
      </c>
      <c r="I105" s="5"/>
    </row>
    <row r="106" spans="1:9" ht="243.6" x14ac:dyDescent="0.25">
      <c r="A106" s="16"/>
      <c r="B106" s="17">
        <v>102</v>
      </c>
      <c r="C106" s="2" t="b">
        <f ca="1">IFERROR(__xludf.DUMMYFUNCTION("""COMPUTED_VALUE"""),FALSE)</f>
        <v>0</v>
      </c>
      <c r="D106" s="2">
        <f ca="1">IFERROR(__xludf.DUMMYFUNCTION("""COMPUTED_VALUE"""),400)</f>
        <v>400</v>
      </c>
      <c r="E106" s="2" t="str">
        <f ca="1">IFERROR(__xludf.DUMMYFUNCTION("""COMPUTED_VALUE"""),"Bible Black")</f>
        <v>Bible Black</v>
      </c>
      <c r="F106" s="2" t="str">
        <f ca="1">IFERROR(__xludf.DUMMYFUNCTION("""COMPUTED_VALUE"""),"Bible Black")</f>
        <v>Bible Black</v>
      </c>
      <c r="G106" s="2" t="str">
        <f ca="1">IFERROR(__xludf.DUMMYFUNCTION("""COMPUTED_VALUE"""),"Magic")</f>
        <v>Magic</v>
      </c>
      <c r="H106" s="2" t="str">
        <f ca="1">IFERROR(__xludf.DUMMYFUNCTION("""COMPUTED_VALUE"""),"The actual title of this tome is unknown and it was named by the members of the Rose Cross, a high school occultist club. It was rumoured to originally be owned by the Knights Templar before their destruction. It is also said to be the most comprehensive "&amp;"collection of black magic spells and rituals. An olive green book sealed with a chain that has a hexagrammic medallion, it is written in several languages ranging from Latin to French and even contains passages in Hebrew, Greek, and Gaelic. It also has pl"&amp;"enty of standard illustrations of talismans and magic diagrams mixed with even more bizarre illustrations of sexual deviancy between humans and monsters.
Your copy has everything written in the language of your choice and is capable of being summoned to "&amp;"you at will through a dark portal. With this grimoire in your hand, you have instant knowledge of all black magic and rituals, and your ability to cast spells gained from other sources increases tenfold. If the Bible Black were to ever be destroyed, you m"&amp;"ay access it from your summoning ability after a twenty-four hour period. With enough study (say fifty years), you may even gain the ability to cast the Raising Dead Spell within its pages.")</f>
        <v>The actual title of this tome is unknown and it was named by the members of the Rose Cross, a high school occultist club. It was rumoured to originally be owned by the Knights Templar before their destruction. It is also said to be the most comprehensive collection of black magic spells and rituals. An olive green book sealed with a chain that has a hexagrammic medallion, it is written in several languages ranging from Latin to French and even contains passages in Hebrew, Greek, and Gaelic. It also has plenty of standard illustrations of talismans and magic diagrams mixed with even more bizarre illustrations of sexual deviancy between humans and monsters.
Your copy has everything written in the language of your choice and is capable of being summoned to you at will through a dark portal. With this grimoire in your hand, you have instant knowledge of all black magic and rituals, and your ability to cast spells gained from other sources increases tenfold. If the Bible Black were to ever be destroyed, you may access it from your summoning ability after a twenty-four hour period. With enough study (say fifty years), you may even gain the ability to cast the Raising Dead Spell within its pages.</v>
      </c>
      <c r="I106" s="5"/>
    </row>
    <row r="107" spans="1:9" ht="156.6" x14ac:dyDescent="0.25">
      <c r="A107" s="16"/>
      <c r="B107" s="17">
        <v>103</v>
      </c>
      <c r="C107" s="2" t="b">
        <f ca="1">IFERROR(__xludf.DUMMYFUNCTION("""COMPUTED_VALUE"""),FALSE)</f>
        <v>0</v>
      </c>
      <c r="D107" s="2">
        <f ca="1">IFERROR(__xludf.DUMMYFUNCTION("""COMPUTED_VALUE"""),400)</f>
        <v>400</v>
      </c>
      <c r="E107" s="2" t="str">
        <f ca="1">IFERROR(__xludf.DUMMYFUNCTION("""COMPUTED_VALUE"""),"Bitch Witch")</f>
        <v>Bitch Witch</v>
      </c>
      <c r="F107" s="2" t="str">
        <f ca="1">IFERROR(__xludf.DUMMYFUNCTION("""COMPUTED_VALUE"""),"Hypno App Fantasia")</f>
        <v>Hypno App Fantasia</v>
      </c>
      <c r="G107" s="2" t="str">
        <f ca="1">IFERROR(__xludf.DUMMYFUNCTION("""COMPUTED_VALUE"""),"Magic")</f>
        <v>Magic</v>
      </c>
      <c r="H107" s="2" t="str">
        <f ca="1">IFERROR(__xludf.DUMMYFUNCTION("""COMPUTED_VALUE"""),"Aren’t you meant to be a shining heroine of might and magic? It hardly seems appropriate to have a class like this. You’ve totally maxed out to 99 the Lewd Witch class, learning all sorts of terribly inappropriate magics. It’s terrible for actual fighting"&amp;" and stats but you’ll have spells for everything from endless orgasms and erasing refractory periods, to changing the size of all the important bits, summoning wriggling slimy tentacles, controlling the minds of others and more! Since it is magic, you’ll "&amp;"only be able to work it on those that can’t resist or overpower you but it gives so much more creativity than just a single relic. Best of all, you’re able to cast any magic you know through lewd actions, replacing any need for speaking or gestures or too"&amp;"ls with the fun stuff. Slurp and lick your allies to healthy, empowered states!")</f>
        <v>Aren’t you meant to be a shining heroine of might and magic? It hardly seems appropriate to have a class like this. You’ve totally maxed out to 99 the Lewd Witch class, learning all sorts of terribly inappropriate magics. It’s terrible for actual fighting and stats but you’ll have spells for everything from endless orgasms and erasing refractory periods, to changing the size of all the important bits, summoning wriggling slimy tentacles, controlling the minds of others and more! Since it is magic, you’ll only be able to work it on those that can’t resist or overpower you but it gives so much more creativity than just a single relic. Best of all, you’re able to cast any magic you know through lewd actions, replacing any need for speaking or gestures or tools with the fun stuff. Slurp and lick your allies to healthy, empowered states!</v>
      </c>
      <c r="I107" s="5"/>
    </row>
    <row r="108" spans="1:9" ht="191.4" x14ac:dyDescent="0.25">
      <c r="A108" s="16"/>
      <c r="B108" s="17">
        <v>104</v>
      </c>
      <c r="C108" s="2" t="b">
        <f ca="1">IFERROR(__xludf.DUMMYFUNCTION("""COMPUTED_VALUE"""),FALSE)</f>
        <v>0</v>
      </c>
      <c r="D108" s="2">
        <f ca="1">IFERROR(__xludf.DUMMYFUNCTION("""COMPUTED_VALUE"""),400)</f>
        <v>400</v>
      </c>
      <c r="E108" s="2" t="str">
        <f ca="1">IFERROR(__xludf.DUMMYFUNCTION("""COMPUTED_VALUE"""),"Blessing of Courage")</f>
        <v>Blessing of Courage</v>
      </c>
      <c r="F108" s="2" t="str">
        <f ca="1">IFERROR(__xludf.DUMMYFUNCTION("""COMPUTED_VALUE"""),"Breathless Wild")</f>
        <v>Breathless Wild</v>
      </c>
      <c r="G108" s="2" t="str">
        <f ca="1">IFERROR(__xludf.DUMMYFUNCTION("""COMPUTED_VALUE"""),"Magic")</f>
        <v>Magic</v>
      </c>
      <c r="H108" s="2" t="str">
        <f ca="1">IFERROR(__xludf.DUMMYFUNCTION("""COMPUTED_VALUE"""),"Heroes with great spiritual strength sometimes awaken unique magical powers rooted in their desires and expressed as elemental magic. The Champions once possessed such powers and now you have one too, granting you mastery over an element of your choice. A"&amp;"s a master of wind magic you can launch yourself into the sky on an updraft, buffet your foes with a hurricane-force gale, or hypnotize them and make them dance to your tune with enchanting music. Or you could use your mastery over water to heal dire woun"&amp;"ds, drown your foes with aquatic attacks, or call forth enough tentacles to keep an entire tribe of monstergirls thoroughly distracted for hours. Whatever element you command, your powers are nearly effortless to use if put to erotic uses, as they will fe"&amp;"ed on your desires rather than your magical reserves. They are also are incredibly difficult to negate with counterspells or anti-magic, though not impossible given a large enough power gap. These benefits also apply to any other powers of the same elemen"&amp;"t you might receive from other jumps.")</f>
        <v>Heroes with great spiritual strength sometimes awaken unique magical powers rooted in their desires and expressed as elemental magic. The Champions once possessed such powers and now you have one too, granting you mastery over an element of your choice. As a master of wind magic you can launch yourself into the sky on an updraft, buffet your foes with a hurricane-force gale, or hypnotize them and make them dance to your tune with enchanting music. Or you could use your mastery over water to heal dire wounds, drown your foes with aquatic attacks, or call forth enough tentacles to keep an entire tribe of monstergirls thoroughly distracted for hours. Whatever element you command, your powers are nearly effortless to use if put to erotic uses, as they will feed on your desires rather than your magical reserves. They are also are incredibly difficult to negate with counterspells or anti-magic, though not impossible given a large enough power gap. These benefits also apply to any other powers of the same element you might receive from other jumps.</v>
      </c>
      <c r="I108" s="5"/>
    </row>
    <row r="109" spans="1:9" ht="156.6" x14ac:dyDescent="0.25">
      <c r="A109" s="16"/>
      <c r="B109" s="17">
        <v>105</v>
      </c>
      <c r="C109" s="2" t="b">
        <f ca="1">IFERROR(__xludf.DUMMYFUNCTION("""COMPUTED_VALUE"""),FALSE)</f>
        <v>0</v>
      </c>
      <c r="D109" s="2">
        <f ca="1">IFERROR(__xludf.DUMMYFUNCTION("""COMPUTED_VALUE"""),400)</f>
        <v>400</v>
      </c>
      <c r="E109" s="2" t="str">
        <f ca="1">IFERROR(__xludf.DUMMYFUNCTION("""COMPUTED_VALUE"""),"Brand of the Master/Madame")</f>
        <v>Brand of the Master/Madame</v>
      </c>
      <c r="F109" s="2" t="str">
        <f ca="1">IFERROR(__xludf.DUMMYFUNCTION("""COMPUTED_VALUE"""),"A Change of Tactics V2.2")</f>
        <v>A Change of Tactics V2.2</v>
      </c>
      <c r="G109" s="2" t="str">
        <f ca="1">IFERROR(__xludf.DUMMYFUNCTION("""COMPUTED_VALUE"""),"Magic")</f>
        <v>Magic</v>
      </c>
      <c r="H109" s="2" t="str">
        <f ca="1">IFERROR(__xludf.DUMMYFUNCTION("""COMPUTED_VALUE"""),"Naga’s chosen bear the Exalt’s Brand and Grima’s avatar bears his accursed mark. Now your mates can bear a brand of your own creation, a divine emblem that symbolizes their absolute devotion to you. This arcane sigil is forged with your magical power and "&amp;"can be placed on any of your mates or sex slaves with their consent, manifesting on their bodies as a tattoo. The brand’s design and placement is up to you, but once placed it creates a permanent magical link between you and the wearer, allowing you to se"&amp;"nse their location and status and even target them with spells regardless of any intervening distance. It also grants you various forms of erotic control over the bodies of your slaves, allowing you to stoke their lust or edge them mercilessly without lay"&amp;"ing a finger on them, enhance or inhibit their fertility, and similar such tricks.")</f>
        <v>Naga’s chosen bear the Exalt’s Brand and Grima’s avatar bears his accursed mark. Now your mates can bear a brand of your own creation, a divine emblem that symbolizes their absolute devotion to you. This arcane sigil is forged with your magical power and can be placed on any of your mates or sex slaves with their consent, manifesting on their bodies as a tattoo. The brand’s design and placement is up to you, but once placed it creates a permanent magical link between you and the wearer, allowing you to sense their location and status and even target them with spells regardless of any intervening distance. It also grants you various forms of erotic control over the bodies of your slaves, allowing you to stoke their lust or edge them mercilessly without laying a finger on them, enhance or inhibit their fertility, and similar such tricks.</v>
      </c>
      <c r="I109" s="5"/>
    </row>
    <row r="110" spans="1:9" ht="139.19999999999999" x14ac:dyDescent="0.25">
      <c r="A110" s="16"/>
      <c r="B110" s="17">
        <v>106</v>
      </c>
      <c r="C110" s="2" t="b">
        <f ca="1">IFERROR(__xludf.DUMMYFUNCTION("""COMPUTED_VALUE"""),FALSE)</f>
        <v>0</v>
      </c>
      <c r="D110" s="2">
        <f ca="1">IFERROR(__xludf.DUMMYFUNCTION("""COMPUTED_VALUE"""),400)</f>
        <v>400</v>
      </c>
      <c r="E110" s="2" t="str">
        <f ca="1">IFERROR(__xludf.DUMMYFUNCTION("""COMPUTED_VALUE"""),"Carapaced Cutie")</f>
        <v>Carapaced Cutie</v>
      </c>
      <c r="F110" s="2" t="str">
        <f ca="1">IFERROR(__xludf.DUMMYFUNCTION("""COMPUTED_VALUE"""),"Erotic Equestria")</f>
        <v>Erotic Equestria</v>
      </c>
      <c r="G110" s="2" t="str">
        <f ca="1">IFERROR(__xludf.DUMMYFUNCTION("""COMPUTED_VALUE"""),"Magic")</f>
        <v>Magic</v>
      </c>
      <c r="H110" s="2" t="str">
        <f ca="1">IFERROR(__xludf.DUMMYFUNCTION("""COMPUTED_VALUE"""),"Or perhaps you want to be loved for who you really are? Unlike the other changelings in this land, your earnest attempts to earn affection find root more easily the more honest you are to your partners and yourself. You have the ability to eat Love, and w"&amp;"hile you can siphon the stuff off of others, Love directed at you is far more tasty and filling than stolen love, a tiny amount being enough to fill you up for days. Holding hooves and gently cuddling with the lights off could give you enough energy to sl"&amp;"ing spells like a unicorn for days, and with no negative effect to your partners. In fact, their love seems to also nourish them, with their strength and powers recovering at lightning pace with your tender care. You and yours are just so sweet you might "&amp;"even give Pinkie Pie cavities!")</f>
        <v>Or perhaps you want to be loved for who you really are? Unlike the other changelings in this land, your earnest attempts to earn affection find root more easily the more honest you are to your partners and yourself. You have the ability to eat Love, and while you can siphon the stuff off of others, Love directed at you is far more tasty and filling than stolen love, a tiny amount being enough to fill you up for days. Holding hooves and gently cuddling with the lights off could give you enough energy to sling spells like a unicorn for days, and with no negative effect to your partners. In fact, their love seems to also nourish them, with their strength and powers recovering at lightning pace with your tender care. You and yours are just so sweet you might even give Pinkie Pie cavities!</v>
      </c>
      <c r="I110" s="5"/>
    </row>
    <row r="111" spans="1:9" ht="156.6" x14ac:dyDescent="0.25">
      <c r="A111" s="16"/>
      <c r="B111" s="17">
        <v>107</v>
      </c>
      <c r="C111" s="2" t="b">
        <f ca="1">IFERROR(__xludf.DUMMYFUNCTION("""COMPUTED_VALUE"""),FALSE)</f>
        <v>0</v>
      </c>
      <c r="D111" s="2">
        <f ca="1">IFERROR(__xludf.DUMMYFUNCTION("""COMPUTED_VALUE"""),400)</f>
        <v>400</v>
      </c>
      <c r="E111" s="2" t="str">
        <f ca="1">IFERROR(__xludf.DUMMYFUNCTION("""COMPUTED_VALUE"""),"Corruptive Influence")</f>
        <v>Corruptive Influence</v>
      </c>
      <c r="F111" s="2" t="str">
        <f ca="1">IFERROR(__xludf.DUMMYFUNCTION("""COMPUTED_VALUE"""),"Elzikyuchi’s Dickgirls 2")</f>
        <v>Elzikyuchi’s Dickgirls 2</v>
      </c>
      <c r="G111" s="2" t="str">
        <f ca="1">IFERROR(__xludf.DUMMYFUNCTION("""COMPUTED_VALUE"""),"Magic")</f>
        <v>Magic</v>
      </c>
      <c r="H111" s="2" t="str">
        <f ca="1">IFERROR(__xludf.DUMMYFUNCTION("""COMPUTED_VALUE"""),"Not all of the things wrong with this world were caused by human hands. There’s more than a few things creeping around in the darkness - and you’ve somehow gotten your hands on one. Whether it’s a dubiously friendly succubus or a black slime that turns an"&amp;"yone it touches into ravenous dickgirls, amazingly enough you actually have a level of control over it. Perhaps it likes the taste of your cum? Naturally, their preference is to follow the themes of this world and create dickgirls, but if you’re extremely"&amp;" careful you can control the process of corruption to make other alterations. Additionally, your new friend may or may not have a limited ability to control the environment, such as a general aura of darkness where light is less bright or slowly making a "&amp;"tentacle cave to maximize the amount of cum it can eat.")</f>
        <v>Not all of the things wrong with this world were caused by human hands. There’s more than a few things creeping around in the darkness - and you’ve somehow gotten your hands on one. Whether it’s a dubiously friendly succubus or a black slime that turns anyone it touches into ravenous dickgirls, amazingly enough you actually have a level of control over it. Perhaps it likes the taste of your cum? Naturally, their preference is to follow the themes of this world and create dickgirls, but if you’re extremely careful you can control the process of corruption to make other alterations. Additionally, your new friend may or may not have a limited ability to control the environment, such as a general aura of darkness where light is less bright or slowly making a tentacle cave to maximize the amount of cum it can eat.</v>
      </c>
      <c r="I111" s="5"/>
    </row>
    <row r="112" spans="1:9" ht="139.19999999999999" x14ac:dyDescent="0.25">
      <c r="A112" s="16"/>
      <c r="B112" s="17">
        <v>108</v>
      </c>
      <c r="C112" s="2" t="b">
        <f ca="1">IFERROR(__xludf.DUMMYFUNCTION("""COMPUTED_VALUE"""),FALSE)</f>
        <v>0</v>
      </c>
      <c r="D112" s="2">
        <f ca="1">IFERROR(__xludf.DUMMYFUNCTION("""COMPUTED_VALUE"""),400)</f>
        <v>400</v>
      </c>
      <c r="E112" s="2" t="str">
        <f ca="1">IFERROR(__xludf.DUMMYFUNCTION("""COMPUTED_VALUE"""),"Curse of the Blue Orbs")</f>
        <v>Curse of the Blue Orbs</v>
      </c>
      <c r="F112" s="2" t="str">
        <f ca="1">IFERROR(__xludf.DUMMYFUNCTION("""COMPUTED_VALUE"""),"Baalbuddy")</f>
        <v>Baalbuddy</v>
      </c>
      <c r="G112" s="2" t="str">
        <f ca="1">IFERROR(__xludf.DUMMYFUNCTION("""COMPUTED_VALUE"""),"Magic")</f>
        <v>Magic</v>
      </c>
      <c r="H112" s="2" t="str">
        <f ca="1">IFERROR(__xludf.DUMMYFUNCTION("""COMPUTED_VALUE"""),"You monster. Do not allow anyone to know you possess this power, else the entire world will become your enemy. By focusing upon anything from a single person to an entire species, you may inflict a curse upon them to stymie attempts at getting sex and sti"&amp;"fling reproduction. The power of the curse is divided among the number of targets. A single target will find it impossible to have sex, something always interfering with the attempt. No matter what they do, they will be utterly unable to find release. Tar"&amp;"geting a city will find people being frustrated more often and birth rates declining. Aimed at an entire species it will merely be an inconvenience. They’ll just be really unlucky in love for various reasons. Kind of like how elves are here. I wonder...")</f>
        <v>You monster. Do not allow anyone to know you possess this power, else the entire world will become your enemy. By focusing upon anything from a single person to an entire species, you may inflict a curse upon them to stymie attempts at getting sex and stifling reproduction. The power of the curse is divided among the number of targets. A single target will find it impossible to have sex, something always interfering with the attempt. No matter what they do, they will be utterly unable to find release. Targeting a city will find people being frustrated more often and birth rates declining. Aimed at an entire species it will merely be an inconvenience. They’ll just be really unlucky in love for various reasons. Kind of like how elves are here. I wonder...</v>
      </c>
      <c r="I112" s="5"/>
    </row>
    <row r="113" spans="1:9" ht="156.6" x14ac:dyDescent="0.25">
      <c r="A113" s="16"/>
      <c r="B113" s="17">
        <v>109</v>
      </c>
      <c r="C113" s="2" t="b">
        <f ca="1">IFERROR(__xludf.DUMMYFUNCTION("""COMPUTED_VALUE"""),FALSE)</f>
        <v>0</v>
      </c>
      <c r="D113" s="2">
        <f ca="1">IFERROR(__xludf.DUMMYFUNCTION("""COMPUTED_VALUE"""),400)</f>
        <v>400</v>
      </c>
      <c r="E113" s="2" t="str">
        <f ca="1">IFERROR(__xludf.DUMMYFUNCTION("""COMPUTED_VALUE"""),"Demon King's Radiance")</f>
        <v>Demon King's Radiance</v>
      </c>
      <c r="F113" s="2" t="str">
        <f ca="1">IFERROR(__xludf.DUMMYFUNCTION("""COMPUTED_VALUE"""),"Majuu Purification Girl Utea")</f>
        <v>Majuu Purification Girl Utea</v>
      </c>
      <c r="G113" s="2" t="str">
        <f ca="1">IFERROR(__xludf.DUMMYFUNCTION("""COMPUTED_VALUE"""),"Magic")</f>
        <v>Magic</v>
      </c>
      <c r="H113" s="2" t="str">
        <f ca="1">IFERROR(__xludf.DUMMYFUNCTION("""COMPUTED_VALUE"""),"Just being in an injuu’s presence can bring people to their knees with lust, overwhelming them with desire that their bodies can’t help but reciprocate. Your desires are so powerful that they grant you a potent form of spiritual pressure, an aura of domin"&amp;"ance which overwhelms and paralyzes others with extreme arousal. It doesn’t matter how badly a magical girl wants to fight you if her traitorous body is too busy masturbating or servicing you, moving instinctively to sate itself rather than doing anything"&amp;" else. This “spiritual pressure” is a product of your magical power and while those with powers of their own can resist it, unless your foes are near-equal to you in strength it will always hinder them by forcing them to constantly fight against their own"&amp;" bodies and instincts simply to avoid falling to their knees and submitting to you in the middle of battle.")</f>
        <v>Just being in an injuu’s presence can bring people to their knees with lust, overwhelming them with desire that their bodies can’t help but reciprocate. Your desires are so powerful that they grant you a potent form of spiritual pressure, an aura of dominance which overwhelms and paralyzes others with extreme arousal. It doesn’t matter how badly a magical girl wants to fight you if her traitorous body is too busy masturbating or servicing you, moving instinctively to sate itself rather than doing anything else. This “spiritual pressure” is a product of your magical power and while those with powers of their own can resist it, unless your foes are near-equal to you in strength it will always hinder them by forcing them to constantly fight against their own bodies and instincts simply to avoid falling to their knees and submitting to you in the middle of battle.</v>
      </c>
      <c r="I113" s="5"/>
    </row>
    <row r="114" spans="1:9" ht="121.8" x14ac:dyDescent="0.25">
      <c r="A114" s="16"/>
      <c r="B114" s="17">
        <v>110</v>
      </c>
      <c r="C114" s="2" t="b">
        <f ca="1">IFERROR(__xludf.DUMMYFUNCTION("""COMPUTED_VALUE"""),FALSE)</f>
        <v>0</v>
      </c>
      <c r="D114" s="2">
        <f ca="1">IFERROR(__xludf.DUMMYFUNCTION("""COMPUTED_VALUE"""),400)</f>
        <v>400</v>
      </c>
      <c r="E114" s="2" t="str">
        <f ca="1">IFERROR(__xludf.DUMMYFUNCTION("""COMPUTED_VALUE"""),"Demon Lord's Ring")</f>
        <v>Demon Lord's Ring</v>
      </c>
      <c r="F114" s="2" t="str">
        <f ca="1">IFERROR(__xludf.DUMMYFUNCTION("""COMPUTED_VALUE"""),"How Not to Summon a Demon Lord")</f>
        <v>How Not to Summon a Demon Lord</v>
      </c>
      <c r="G114" s="2" t="str">
        <f ca="1">IFERROR(__xludf.DUMMYFUNCTION("""COMPUTED_VALUE"""),"Magic")</f>
        <v>Magic</v>
      </c>
      <c r="H114" s="2" t="str">
        <f ca="1">IFERROR(__xludf.DUMMYFUNCTION("""COMPUTED_VALUE"""),"One of Diablo’s signature items, the Demon Lord’s Ring was the result of beating a high-level boss faster than any other player in the game. This is either the same ring or a very well-made copy, but regardless of whether it’s the result of your game achi"&amp;"evements or just a fiat cheat item this enchanted ring automatically reflects any spell cast on you back at the caster. However it also reflects beneficial magic, preventing you from benefiting from healing spells or buffs while wearing it, even those you"&amp;" cast on yourself. It also won’t protect you from spells your enemies cast on themselves, such as buffs or weapon enchantments.")</f>
        <v>One of Diablo’s signature items, the Demon Lord’s Ring was the result of beating a high-level boss faster than any other player in the game. This is either the same ring or a very well-made copy, but regardless of whether it’s the result of your game achievements or just a fiat cheat item this enchanted ring automatically reflects any spell cast on you back at the caster. However it also reflects beneficial magic, preventing you from benefiting from healing spells or buffs while wearing it, even those you cast on yourself. It also won’t protect you from spells your enemies cast on themselves, such as buffs or weapon enchantments.</v>
      </c>
      <c r="I114" s="5"/>
    </row>
    <row r="115" spans="1:9" ht="191.4" x14ac:dyDescent="0.25">
      <c r="A115" s="16"/>
      <c r="B115" s="17">
        <v>111</v>
      </c>
      <c r="C115" s="2" t="b">
        <f ca="1">IFERROR(__xludf.DUMMYFUNCTION("""COMPUTED_VALUE"""),FALSE)</f>
        <v>0</v>
      </c>
      <c r="D115" s="2">
        <f ca="1">IFERROR(__xludf.DUMMYFUNCTION("""COMPUTED_VALUE"""),400)</f>
        <v>400</v>
      </c>
      <c r="E115" s="2" t="str">
        <f ca="1">IFERROR(__xludf.DUMMYFUNCTION("""COMPUTED_VALUE"""),"Depraved Ascension")</f>
        <v>Depraved Ascension</v>
      </c>
      <c r="F115" s="2" t="str">
        <f ca="1">IFERROR(__xludf.DUMMYFUNCTION("""COMPUTED_VALUE"""),"Fate/Grand Master")</f>
        <v>Fate/Grand Master</v>
      </c>
      <c r="G115" s="2" t="str">
        <f ca="1">IFERROR(__xludf.DUMMYFUNCTION("""COMPUTED_VALUE"""),"Magic")</f>
        <v>Magic</v>
      </c>
      <c r="H115" s="2" t="str">
        <f ca="1">IFERROR(__xludf.DUMMYFUNCTION("""COMPUTED_VALUE"""),"One major limitation of the Fate system is in how it often summons servants in weakened states requiring magical processes and materials to refine their saint graphs back to their full power. Well if Chaldea can’t help your servants fight to their fullest"&amp;" then you’ll just have to pick up the slack! 
You can boost the abilities of others through tantric mana transfers, reinforcing them with your own energy and bringing out their best possible performance. Any time you have sex with someone any excess ener"&amp;"gy not used to refill their mana reserves is invested into raising their overall abilities. Each transfer confers only a miniscule improvement but over time they add up and can increase your partner's stats, powers, and even skills. It’s even possible to "&amp;"heal injuries inflicted through battle as well as curses or other damage, allowing you to heal a crippled person by filling them with your essence.")</f>
        <v>One major limitation of the Fate system is in how it often summons servants in weakened states requiring magical processes and materials to refine their saint graphs back to their full power. Well if Chaldea can’t help your servants fight to their fullest then you’ll just have to pick up the slack! 
You can boost the abilities of others through tantric mana transfers, reinforcing them with your own energy and bringing out their best possible performance. Any time you have sex with someone any excess energy not used to refill their mana reserves is invested into raising their overall abilities. Each transfer confers only a miniscule improvement but over time they add up and can increase your partner's stats, powers, and even skills. It’s even possible to heal injuries inflicted through battle as well as curses or other damage, allowing you to heal a crippled person by filling them with your essence.</v>
      </c>
      <c r="I115" s="5"/>
    </row>
    <row r="116" spans="1:9" ht="87" x14ac:dyDescent="0.25">
      <c r="A116" s="16"/>
      <c r="B116" s="17">
        <v>112</v>
      </c>
      <c r="C116" s="2" t="b">
        <f ca="1">IFERROR(__xludf.DUMMYFUNCTION("""COMPUTED_VALUE"""),FALSE)</f>
        <v>0</v>
      </c>
      <c r="D116" s="2">
        <f ca="1">IFERROR(__xludf.DUMMYFUNCTION("""COMPUTED_VALUE"""),400)</f>
        <v>400</v>
      </c>
      <c r="E116" s="2" t="str">
        <f ca="1">IFERROR(__xludf.DUMMYFUNCTION("""COMPUTED_VALUE"""),"Element of Friendship with Benefits")</f>
        <v>Element of Friendship with Benefits</v>
      </c>
      <c r="F116" s="2" t="str">
        <f ca="1">IFERROR(__xludf.DUMMYFUNCTION("""COMPUTED_VALUE"""),"Erotic Equestria")</f>
        <v>Erotic Equestria</v>
      </c>
      <c r="G116" s="2" t="str">
        <f ca="1">IFERROR(__xludf.DUMMYFUNCTION("""COMPUTED_VALUE"""),"Magic")</f>
        <v>Magic</v>
      </c>
      <c r="H116" s="2" t="str">
        <f ca="1">IFERROR(__xludf.DUMMYFUNCTION("""COMPUTED_VALUE"""),"This elegantly designed crown depicting your personal sigil serves as an amplifier for any magical effects that might serve to get you laid. A simple lust spell could be ramped up to cause an orgy, while a massage spell would be a multiple-orgasmic experi"&amp;"ence for your target. It may also be used in concert with the rest of the Elements of Harmony, (or similar magical items) to increase the potency of group-magics even further, similarly to the Element of Magic.")</f>
        <v>This elegantly designed crown depicting your personal sigil serves as an amplifier for any magical effects that might serve to get you laid. A simple lust spell could be ramped up to cause an orgy, while a massage spell would be a multiple-orgasmic experience for your target. It may also be used in concert with the rest of the Elements of Harmony, (or similar magical items) to increase the potency of group-magics even further, similarly to the Element of Magic.</v>
      </c>
      <c r="I116" s="5"/>
    </row>
    <row r="117" spans="1:9" ht="226.2" x14ac:dyDescent="0.25">
      <c r="A117" s="16"/>
      <c r="B117" s="17">
        <v>113</v>
      </c>
      <c r="C117" s="2" t="b">
        <f ca="1">IFERROR(__xludf.DUMMYFUNCTION("""COMPUTED_VALUE"""),FALSE)</f>
        <v>0</v>
      </c>
      <c r="D117" s="2">
        <f ca="1">IFERROR(__xludf.DUMMYFUNCTION("""COMPUTED_VALUE"""),400)</f>
        <v>400</v>
      </c>
      <c r="E117" s="2" t="str">
        <f ca="1">IFERROR(__xludf.DUMMYFUNCTION("""COMPUTED_VALUE"""),"Essence Transfer")</f>
        <v>Essence Transfer</v>
      </c>
      <c r="F117" s="2" t="str">
        <f ca="1">IFERROR(__xludf.DUMMYFUNCTION("""COMPUTED_VALUE"""),"Lexx")</f>
        <v>Lexx</v>
      </c>
      <c r="G117" s="2" t="str">
        <f ca="1">IFERROR(__xludf.DUMMYFUNCTION("""COMPUTED_VALUE"""),"Magic")</f>
        <v>Magic</v>
      </c>
      <c r="H117" s="2" t="str">
        <f ca="1">IFERROR(__xludf.DUMMYFUNCTION("""COMPUTED_VALUE"""),"You have the ability abandon your current body and pour your fundamental essence into another. This process requires close proximity with no more than a few inches of separation between you, and that both remain still for the few seconds it takes to compl"&amp;"ete the transfer. During the transfer, the essence is visible as a black cloud moving from one body to the other. You may transfer your essence into any body capable of housing a sentient consciousness, regardless of whether it’s a different species, an a"&amp;"dvanced computer, or even some forms of undead. Your previous body will die as you vacate it. The essence you pass on contains your memories and personality, as well as any perks, powers, or other fiat backed abilities you may possess.
Taking over a body"&amp;" that was already occupied by another mind works like so: your core personality remains dominant, but you are influenced by the memories and personality of the person who was there before. These memories are retained if you then transfer to yet another bo"&amp;"dy, but they no longer influence your thoughts and behavior.")</f>
        <v>You have the ability abandon your current body and pour your fundamental essence into another. This process requires close proximity with no more than a few inches of separation between you, and that both remain still for the few seconds it takes to complete the transfer. During the transfer, the essence is visible as a black cloud moving from one body to the other. You may transfer your essence into any body capable of housing a sentient consciousness, regardless of whether it’s a different species, an advanced computer, or even some forms of undead. Your previous body will die as you vacate it. The essence you pass on contains your memories and personality, as well as any perks, powers, or other fiat backed abilities you may possess.
Taking over a body that was already occupied by another mind works like so: your core personality remains dominant, but you are influenced by the memories and personality of the person who was there before. These memories are retained if you then transfer to yet another body, but they no longer influence your thoughts and behavior.</v>
      </c>
      <c r="I117" s="5"/>
    </row>
    <row r="118" spans="1:9" ht="243.6" x14ac:dyDescent="0.25">
      <c r="A118" s="16"/>
      <c r="B118" s="17">
        <v>114</v>
      </c>
      <c r="C118" s="2" t="b">
        <f ca="1">IFERROR(__xludf.DUMMYFUNCTION("""COMPUTED_VALUE"""),FALSE)</f>
        <v>0</v>
      </c>
      <c r="D118" s="2">
        <f ca="1">IFERROR(__xludf.DUMMYFUNCTION("""COMPUTED_VALUE"""),400)</f>
        <v>400</v>
      </c>
      <c r="E118" s="2" t="str">
        <f ca="1">IFERROR(__xludf.DUMMYFUNCTION("""COMPUTED_VALUE"""),"Fetish Enchanter")</f>
        <v>Fetish Enchanter</v>
      </c>
      <c r="F118" s="2" t="str">
        <f ca="1">IFERROR(__xludf.DUMMYFUNCTION("""COMPUTED_VALUE"""),"Corruption of Champions v1.1")</f>
        <v>Corruption of Champions v1.1</v>
      </c>
      <c r="G118" s="2" t="str">
        <f ca="1">IFERROR(__xludf.DUMMYFUNCTION("""COMPUTED_VALUE"""),"Magic")</f>
        <v>Magic</v>
      </c>
      <c r="H118" s="2" t="str">
        <f ca="1">IFERROR(__xludf.DUMMYFUNCTION("""COMPUTED_VALUE"""),"The demons got their start as mages, and there are few areas in which this is more obvious than the abundance of perverted magical items. From enchanted sex toys, daggers made to be perpetually coated in aphrodisiac, to piercings that imbue fetishes on th"&amp;"eir wearers. While you might not be as powerful a mage as the demons who started this tendency towards the perverse, you certainly know how to create such things. Both by creating them from scratch, enchanting mundane items with permanent effects or more "&amp;"simply imbuing them with a single effect like the aforementioned fetish-granting piercings, as well as through the more complex and time-consuming art of unweaving existing enchantments while simultaneously corrupting their effects into something more fun"&amp;".
And if you were both boring and a decently skilled mage in your own right, you might also use this knowledge of enchanting to do things like using white magic to weave protective wards into your gear, inscribing a weapon with patterns to enhance your "&amp;"magic, or imbuing a talisman with a spell for others to use. But why would you want to do that?")</f>
        <v>The demons got their start as mages, and there are few areas in which this is more obvious than the abundance of perverted magical items. From enchanted sex toys, daggers made to be perpetually coated in aphrodisiac, to piercings that imbue fetishes on their wearers. While you might not be as powerful a mage as the demons who started this tendency towards the perverse, you certainly know how to create such things. Both by creating them from scratch, enchanting mundane items with permanent effects or more simply imbuing them with a single effect like the aforementioned fetish-granting piercings, as well as through the more complex and time-consuming art of unweaving existing enchantments while simultaneously corrupting their effects into something more fun.
And if you were both boring and a decently skilled mage in your own right, you might also use this knowledge of enchanting to do things like using white magic to weave protective wards into your gear, inscribing a weapon with patterns to enhance your magic, or imbuing a talisman with a spell for others to use. But why would you want to do that?</v>
      </c>
      <c r="I118" s="5"/>
    </row>
    <row r="119" spans="1:9" ht="104.4" x14ac:dyDescent="0.25">
      <c r="A119" s="16"/>
      <c r="B119" s="17">
        <v>115</v>
      </c>
      <c r="C119" s="2" t="b">
        <f ca="1">IFERROR(__xludf.DUMMYFUNCTION("""COMPUTED_VALUE"""),FALSE)</f>
        <v>0</v>
      </c>
      <c r="D119" s="2">
        <f ca="1">IFERROR(__xludf.DUMMYFUNCTION("""COMPUTED_VALUE"""),400)</f>
        <v>400</v>
      </c>
      <c r="E119" s="2" t="str">
        <f ca="1">IFERROR(__xludf.DUMMYFUNCTION("""COMPUTED_VALUE"""),"Fill'er Up")</f>
        <v>Fill'er Up</v>
      </c>
      <c r="F119" s="2" t="str">
        <f ca="1">IFERROR(__xludf.DUMMYFUNCTION("""COMPUTED_VALUE"""),"Milk Hunters")</f>
        <v>Milk Hunters</v>
      </c>
      <c r="G119" s="2" t="str">
        <f ca="1">IFERROR(__xludf.DUMMYFUNCTION("""COMPUTED_VALUE"""),"Magic")</f>
        <v>Magic</v>
      </c>
      <c r="H119" s="2" t="str">
        <f ca="1">IFERROR(__xludf.DUMMYFUNCTION("""COMPUTED_VALUE"""),"The whole reason that Cure Black and Cure White are having sex with you in the first place is to recharge their powers, so it wouldn't make much sense if you couldn't do that. From now on, your sperm is able to recharge a person's powers, magic, or whatev"&amp;"er. For someone around the level of a Pretty Cure, one load could have them go from 0% to 100%, but someone like Unohana would probably take a few rounds. If you wish, you can apply this to other bodily fluids, like saliva, blood, or breast milk, but it w"&amp;"ill still require the same volume.")</f>
        <v>The whole reason that Cure Black and Cure White are having sex with you in the first place is to recharge their powers, so it wouldn't make much sense if you couldn't do that. From now on, your sperm is able to recharge a person's powers, magic, or whatever. For someone around the level of a Pretty Cure, one load could have them go from 0% to 100%, but someone like Unohana would probably take a few rounds. If you wish, you can apply this to other bodily fluids, like saliva, blood, or breast milk, but it will still require the same volume.</v>
      </c>
      <c r="I119" s="5"/>
    </row>
    <row r="120" spans="1:9" ht="121.8" x14ac:dyDescent="0.25">
      <c r="A120" s="16"/>
      <c r="B120" s="17">
        <v>116</v>
      </c>
      <c r="C120" s="2" t="b">
        <f ca="1">IFERROR(__xludf.DUMMYFUNCTION("""COMPUTED_VALUE"""),FALSE)</f>
        <v>0</v>
      </c>
      <c r="D120" s="2">
        <f ca="1">IFERROR(__xludf.DUMMYFUNCTION("""COMPUTED_VALUE"""),400)</f>
        <v>400</v>
      </c>
      <c r="E120" s="2" t="str">
        <f ca="1">IFERROR(__xludf.DUMMYFUNCTION("""COMPUTED_VALUE"""),"Forbidden Scroll")</f>
        <v>Forbidden Scroll</v>
      </c>
      <c r="F120" s="2" t="str">
        <f ca="1">IFERROR(__xludf.DUMMYFUNCTION("""COMPUTED_VALUE"""),"Naruto Blacked")</f>
        <v>Naruto Blacked</v>
      </c>
      <c r="G120" s="2" t="str">
        <f ca="1">IFERROR(__xludf.DUMMYFUNCTION("""COMPUTED_VALUE"""),"Magic")</f>
        <v>Magic</v>
      </c>
      <c r="H120" s="2" t="str">
        <f ca="1">IFERROR(__xludf.DUMMYFUNCTION("""COMPUTED_VALUE"""),"A secret scroll you may or may not have stolen from the Hokage’s tower, this forbidden scroll contains the secrets of hundreds of years of pervert ninja including stuff that even Jiraiya would want to take notes on. From modern classics like the Sexy Juts"&amp;"u to summoning contracts for tentacle monsters, just about every possible permutation of lewd jutsu can be found within this voluminous scroll, and while there’s nothing in here that a Jutsu Genius couldn’t invent on his own with time, taking both this an"&amp;"d that perk gives you a massive head start and can make the resulting jutsu even more devastatingly effective in battle or in bed.")</f>
        <v>A secret scroll you may or may not have stolen from the Hokage’s tower, this forbidden scroll contains the secrets of hundreds of years of pervert ninja including stuff that even Jiraiya would want to take notes on. From modern classics like the Sexy Jutsu to summoning contracts for tentacle monsters, just about every possible permutation of lewd jutsu can be found within this voluminous scroll, and while there’s nothing in here that a Jutsu Genius couldn’t invent on his own with time, taking both this and that perk gives you a massive head start and can make the resulting jutsu even more devastatingly effective in battle or in bed.</v>
      </c>
      <c r="I120" s="5"/>
    </row>
    <row r="121" spans="1:9" ht="156.6" x14ac:dyDescent="0.25">
      <c r="A121" s="16"/>
      <c r="B121" s="17">
        <v>117</v>
      </c>
      <c r="C121" s="2" t="b">
        <f ca="1">IFERROR(__xludf.DUMMYFUNCTION("""COMPUTED_VALUE"""),FALSE)</f>
        <v>0</v>
      </c>
      <c r="D121" s="2">
        <f ca="1">IFERROR(__xludf.DUMMYFUNCTION("""COMPUTED_VALUE"""),400)</f>
        <v>400</v>
      </c>
      <c r="E121" s="2" t="str">
        <f ca="1">IFERROR(__xludf.DUMMYFUNCTION("""COMPUTED_VALUE"""),"Fuckspace")</f>
        <v>Fuckspace</v>
      </c>
      <c r="F121" s="2" t="str">
        <f ca="1">IFERROR(__xludf.DUMMYFUNCTION("""COMPUTED_VALUE"""),"Elzikyuchi’s Dickgirls 2")</f>
        <v>Elzikyuchi’s Dickgirls 2</v>
      </c>
      <c r="G121" s="2" t="str">
        <f ca="1">IFERROR(__xludf.DUMMYFUNCTION("""COMPUTED_VALUE"""),"Magic")</f>
        <v>Magic</v>
      </c>
      <c r="H121" s="2" t="str">
        <f ca="1">IFERROR(__xludf.DUMMYFUNCTION("""COMPUTED_VALUE"""),"A collective dream, half pocket dimension, half figment of your imagination, half magical realm, one infused with the power of a few dozen succubi and ‘dream pixies’. Normally they would just drag in poor saps and have their wicked dickgirl way with them,"&amp;" but you? Well, you came in of your own will and that means that you’re an honored customer in this whorehouse instead of a piece of the furniture. Whenever you sleep you now have the option of entering this space and having the residents attend to your e"&amp;"very need and fantasy for what seems like days and days. And if you’re feeling vengeful or particularly dominant, you can have them grab some people you know to use and abuse and train into proper slaves. Best of all, any unwilling participants won’t reme"&amp;"mber a thing in the morning.")</f>
        <v>A collective dream, half pocket dimension, half figment of your imagination, half magical realm, one infused with the power of a few dozen succubi and ‘dream pixies’. Normally they would just drag in poor saps and have their wicked dickgirl way with them, but you? Well, you came in of your own will and that means that you’re an honored customer in this whorehouse instead of a piece of the furniture. Whenever you sleep you now have the option of entering this space and having the residents attend to your every need and fantasy for what seems like days and days. And if you’re feeling vengeful or particularly dominant, you can have them grab some people you know to use and abuse and train into proper slaves. Best of all, any unwilling participants won’t remember a thing in the morning.</v>
      </c>
      <c r="I121" s="5"/>
    </row>
    <row r="122" spans="1:9" ht="261" x14ac:dyDescent="0.25">
      <c r="A122" s="16"/>
      <c r="B122" s="17">
        <v>118</v>
      </c>
      <c r="C122" s="2" t="b">
        <f ca="1">IFERROR(__xludf.DUMMYFUNCTION("""COMPUTED_VALUE"""),FALSE)</f>
        <v>0</v>
      </c>
      <c r="D122" s="2">
        <f ca="1">IFERROR(__xludf.DUMMYFUNCTION("""COMPUTED_VALUE"""),400)</f>
        <v>400</v>
      </c>
      <c r="E122" s="2" t="str">
        <f ca="1">IFERROR(__xludf.DUMMYFUNCTION("""COMPUTED_VALUE"""),"Heal the Mind")</f>
        <v>Heal the Mind</v>
      </c>
      <c r="F122" s="2" t="str">
        <f ca="1">IFERROR(__xludf.DUMMYFUNCTION("""COMPUTED_VALUE"""),"Overwhored")</f>
        <v>Overwhored</v>
      </c>
      <c r="G122" s="2" t="str">
        <f ca="1">IFERROR(__xludf.DUMMYFUNCTION("""COMPUTED_VALUE"""),"Magic")</f>
        <v>Magic</v>
      </c>
      <c r="H122" s="2" t="str">
        <f ca="1">IFERROR(__xludf.DUMMYFUNCTION("""COMPUTED_VALUE"""),"Some wounds are much more dire than physical blows. Guilt as you realize what you’ve done, or more mystically having energy you depended on ripped from your soul. A normal wound is nothing in comparison to that.
You have learned magic to heal the mind i"&amp;"nstead of the body. Holy magic of the mind, granting a much gentler touch than binding magic. It will allow you to heal and soothe even those who had a portion of their souls ripped from them. Though the most grievous of mental wounds, those that leave th"&amp;"e victim entirely catatonic, will require you to use your magic to enter their minds directly and reawaken their spirit that way. Additionally, you have a talent for helping people recover after terrible circumstances.
Helping people find the strength t"&amp;"o redeem themselves, reawakening their spirits after they have been beaten down, and even helping someone re-adjust to normal life after being torn from the overwhelming bliss that is the enslavement to the Overmind. They have to want it deep down though."&amp;" Attempting to ""redeem"" people by force is nearly impossible.")</f>
        <v>Some wounds are much more dire than physical blows. Guilt as you realize what you’ve done, or more mystically having energy you depended on ripped from your soul. A normal wound is nothing in comparison to that.
You have learned magic to heal the mind instead of the body. Holy magic of the mind, granting a much gentler touch than binding magic. It will allow you to heal and soothe even those who had a portion of their souls ripped from them. Though the most grievous of mental wounds, those that leave the victim entirely catatonic, will require you to use your magic to enter their minds directly and reawaken their spirit that way. Additionally, you have a talent for helping people recover after terrible circumstances.
Helping people find the strength to redeem themselves, reawakening their spirits after they have been beaten down, and even helping someone re-adjust to normal life after being torn from the overwhelming bliss that is the enslavement to the Overmind. They have to want it deep down though. Attempting to "redeem" people by force is nearly impossible.</v>
      </c>
      <c r="I122" s="5"/>
    </row>
    <row r="123" spans="1:9" ht="87" x14ac:dyDescent="0.25">
      <c r="A123" s="16"/>
      <c r="B123" s="17">
        <v>119</v>
      </c>
      <c r="C123" s="2" t="b">
        <f ca="1">IFERROR(__xludf.DUMMYFUNCTION("""COMPUTED_VALUE"""),FALSE)</f>
        <v>0</v>
      </c>
      <c r="D123" s="2">
        <f ca="1">IFERROR(__xludf.DUMMYFUNCTION("""COMPUTED_VALUE"""),400)</f>
        <v>400</v>
      </c>
      <c r="E123" s="2" t="str">
        <f ca="1">IFERROR(__xludf.DUMMYFUNCTION("""COMPUTED_VALUE"""),"Hex Crafter")</f>
        <v>Hex Crafter</v>
      </c>
      <c r="F123" s="2" t="str">
        <f ca="1">IFERROR(__xludf.DUMMYFUNCTION("""COMPUTED_VALUE"""),"Magical Girl Celesphonia")</f>
        <v>Magical Girl Celesphonia</v>
      </c>
      <c r="G123" s="2" t="str">
        <f ca="1">IFERROR(__xludf.DUMMYFUNCTION("""COMPUTED_VALUE"""),"Magic")</f>
        <v>Magic</v>
      </c>
      <c r="H123" s="2" t="str">
        <f ca="1">IFERROR(__xludf.DUMMYFUNCTION("""COMPUTED_VALUE"""),"Your mind is an encyclopedia of black curses and vile hexes, be it for combat or just for fun. From weakening their bodies or willpower, turning all clothes that someone tries to wear transparent, to simply slowly increasing their lust until they go mad w"&amp;"ith desire, you can cast all manner of wonderfully awful spells. Even better, you can imbue these magics into clothes or jewelry, allowing you to permanently apply the effect to your victims until they find a way to break the enchantment.")</f>
        <v>Your mind is an encyclopedia of black curses and vile hexes, be it for combat or just for fun. From weakening their bodies or willpower, turning all clothes that someone tries to wear transparent, to simply slowly increasing their lust until they go mad with desire, you can cast all manner of wonderfully awful spells. Even better, you can imbue these magics into clothes or jewelry, allowing you to permanently apply the effect to your victims until they find a way to break the enchantment.</v>
      </c>
      <c r="I123" s="5"/>
    </row>
    <row r="124" spans="1:9" ht="121.8" x14ac:dyDescent="0.25">
      <c r="A124" s="16"/>
      <c r="B124" s="17">
        <v>120</v>
      </c>
      <c r="C124" s="2" t="b">
        <f ca="1">IFERROR(__xludf.DUMMYFUNCTION("""COMPUTED_VALUE"""),FALSE)</f>
        <v>0</v>
      </c>
      <c r="D124" s="2">
        <f ca="1">IFERROR(__xludf.DUMMYFUNCTION("""COMPUTED_VALUE"""),400)</f>
        <v>400</v>
      </c>
      <c r="E124" s="2" t="str">
        <f ca="1">IFERROR(__xludf.DUMMYFUNCTION("""COMPUTED_VALUE"""),"I Love it Like This")</f>
        <v>I Love it Like This</v>
      </c>
      <c r="F124" s="2" t="str">
        <f ca="1">IFERROR(__xludf.DUMMYFUNCTION("""COMPUTED_VALUE"""),"Generic: Hentai Magical Girl")</f>
        <v>Generic: Hentai Magical Girl</v>
      </c>
      <c r="G124" s="2" t="str">
        <f ca="1">IFERROR(__xludf.DUMMYFUNCTION("""COMPUTED_VALUE"""),"Magic")</f>
        <v>Magic</v>
      </c>
      <c r="H124" s="2" t="str">
        <f ca="1">IFERROR(__xludf.DUMMYFUNCTION("""COMPUTED_VALUE"""),"The way the Sins generate power is odd. Instead of simply generating it and refilling their reserves, they gain power from indulging in their sin. Mostly that's lust and thus having sex. It could be gluttony and doing things in excess, or greed by taking "&amp;"what others have. Coincidentally, both of those can also refer to sex, though it doesn't have to. Anyways, unlike the Shoujo, they don't stop once they reach a certain point. As long as they continue to indulge, they keep generating power.
You now share "&amp;"this trait. Pick a sin on purchase, and be empowered when you indulge.")</f>
        <v>The way the Sins generate power is odd. Instead of simply generating it and refilling their reserves, they gain power from indulging in their sin. Mostly that's lust and thus having sex. It could be gluttony and doing things in excess, or greed by taking what others have. Coincidentally, both of those can also refer to sex, though it doesn't have to. Anyways, unlike the Shoujo, they don't stop once they reach a certain point. As long as they continue to indulge, they keep generating power.
You now share this trait. Pick a sin on purchase, and be empowered when you indulge.</v>
      </c>
      <c r="I124" s="5"/>
    </row>
    <row r="125" spans="1:9" ht="104.4" x14ac:dyDescent="0.25">
      <c r="A125" s="16"/>
      <c r="B125" s="17">
        <v>121</v>
      </c>
      <c r="C125" s="2" t="b">
        <f ca="1">IFERROR(__xludf.DUMMYFUNCTION("""COMPUTED_VALUE"""),FALSE)</f>
        <v>0</v>
      </c>
      <c r="D125" s="2">
        <f ca="1">IFERROR(__xludf.DUMMYFUNCTION("""COMPUTED_VALUE"""),400)</f>
        <v>400</v>
      </c>
      <c r="E125" s="2" t="str">
        <f ca="1">IFERROR(__xludf.DUMMYFUNCTION("""COMPUTED_VALUE"""),"I Will Grant a Boon to You")</f>
        <v>I Will Grant a Boon to You</v>
      </c>
      <c r="F125" s="2" t="str">
        <f ca="1">IFERROR(__xludf.DUMMYFUNCTION("""COMPUTED_VALUE"""),"Defiler Wings")</f>
        <v>Defiler Wings</v>
      </c>
      <c r="G125" s="2" t="str">
        <f ca="1">IFERROR(__xludf.DUMMYFUNCTION("""COMPUTED_VALUE"""),"Magic")</f>
        <v>Magic</v>
      </c>
      <c r="H125" s="2" t="str">
        <f ca="1">IFERROR(__xludf.DUMMYFUNCTION("""COMPUTED_VALUE"""),"The Witch of the Old Ruins was an alchemist of some renown, constantly experimenting with strange and unusual substances to create new potions. Every now and then, a dragon would ‘donate’ a large amount of it’s sperm for her to play with. In exchange to a"&amp;" ‘donation’, probably vigorously given, you can grant people a fragment of your magic (possibly a preset spell to go with, for those who don’t know how to use it), or you could use your vast collection of alchemical knowledge and your ‘donation’ to create"&amp;" a potion to heal them of all their wounds.")</f>
        <v>The Witch of the Old Ruins was an alchemist of some renown, constantly experimenting with strange and unusual substances to create new potions. Every now and then, a dragon would ‘donate’ a large amount of it’s sperm for her to play with. In exchange to a ‘donation’, probably vigorously given, you can grant people a fragment of your magic (possibly a preset spell to go with, for those who don’t know how to use it), or you could use your vast collection of alchemical knowledge and your ‘donation’ to create a potion to heal them of all their wounds.</v>
      </c>
      <c r="I125" s="5"/>
    </row>
    <row r="126" spans="1:9" ht="191.4" x14ac:dyDescent="0.25">
      <c r="A126" s="16"/>
      <c r="B126" s="17">
        <v>122</v>
      </c>
      <c r="C126" s="2" t="b">
        <f ca="1">IFERROR(__xludf.DUMMYFUNCTION("""COMPUTED_VALUE"""),FALSE)</f>
        <v>0</v>
      </c>
      <c r="D126" s="2">
        <f ca="1">IFERROR(__xludf.DUMMYFUNCTION("""COMPUTED_VALUE"""),400)</f>
        <v>400</v>
      </c>
      <c r="E126" s="2" t="str">
        <f ca="1">IFERROR(__xludf.DUMMYFUNCTION("""COMPUTED_VALUE"""),"Knowledge is Power")</f>
        <v>Knowledge is Power</v>
      </c>
      <c r="F126" s="2" t="str">
        <f ca="1">IFERROR(__xludf.DUMMYFUNCTION("""COMPUTED_VALUE"""),"Breathless Wild")</f>
        <v>Breathless Wild</v>
      </c>
      <c r="G126" s="2" t="str">
        <f ca="1">IFERROR(__xludf.DUMMYFUNCTION("""COMPUTED_VALUE"""),"Magic")</f>
        <v>Magic</v>
      </c>
      <c r="H126" s="2" t="str">
        <f ca="1">IFERROR(__xludf.DUMMYFUNCTION("""COMPUTED_VALUE"""),"The Sheikah left behind much more than robots and laser blades: their ancient runes command power as well, and a wise student can learn to wield their power directly just as the monks once did. You are now a master of Sheikah magic and can cast magical sp"&amp;"ells without need for artifacts to help you. Instead you’re able to use willpower and knowledge of the world’s natural laws to produce magical effects like the bomb, cryo, stasis, and magnesis runes. Greater expenditures of willpower can make your spells "&amp;"more powerful, but doing so will also sap your willpower and ignite your libido as you exhaust yourself. A handful of spells will only cause a minor distraction but using power beyond your limits can paralyze you with lust, strip you of your inhibitions, "&amp;"or even drive you mad with arousal for hours or days on end in extreme cases. Should you find this price agreeable you can choose to meld your Sheikah magic with other magical systems you may know, paying Nayru’s price rather than whatever costs they woul"&amp;"d demand of you.")</f>
        <v>The Sheikah left behind much more than robots and laser blades: their ancient runes command power as well, and a wise student can learn to wield their power directly just as the monks once did. You are now a master of Sheikah magic and can cast magical spells without need for artifacts to help you. Instead you’re able to use willpower and knowledge of the world’s natural laws to produce magical effects like the bomb, cryo, stasis, and magnesis runes. Greater expenditures of willpower can make your spells more powerful, but doing so will also sap your willpower and ignite your libido as you exhaust yourself. A handful of spells will only cause a minor distraction but using power beyond your limits can paralyze you with lust, strip you of your inhibitions, or even drive you mad with arousal for hours or days on end in extreme cases. Should you find this price agreeable you can choose to meld your Sheikah magic with other magical systems you may know, paying Nayru’s price rather than whatever costs they would demand of you.</v>
      </c>
      <c r="I126" s="5"/>
    </row>
    <row r="127" spans="1:9" ht="69.599999999999994" x14ac:dyDescent="0.25">
      <c r="A127" s="16"/>
      <c r="B127" s="17">
        <v>123</v>
      </c>
      <c r="C127" s="2" t="b">
        <f ca="1">IFERROR(__xludf.DUMMYFUNCTION("""COMPUTED_VALUE"""),FALSE)</f>
        <v>0</v>
      </c>
      <c r="D127" s="2">
        <f ca="1">IFERROR(__xludf.DUMMYFUNCTION("""COMPUTED_VALUE"""),400)</f>
        <v>400</v>
      </c>
      <c r="E127" s="2" t="str">
        <f ca="1">IFERROR(__xludf.DUMMYFUNCTION("""COMPUTED_VALUE"""),"Lewd Laptop")</f>
        <v>Lewd Laptop</v>
      </c>
      <c r="F127" s="2" t="str">
        <f ca="1">IFERROR(__xludf.DUMMYFUNCTION("""COMPUTED_VALUE"""),"Power Play")</f>
        <v>Power Play</v>
      </c>
      <c r="G127" s="2" t="str">
        <f ca="1">IFERROR(__xludf.DUMMYFUNCTION("""COMPUTED_VALUE"""),"Magic")</f>
        <v>Magic</v>
      </c>
      <c r="H127" s="2" t="str">
        <f ca="1">IFERROR(__xludf.DUMMYFUNCTION("""COMPUTED_VALUE"""),"Over the course of years, eroticism and malice have soaked into this laptop, giving it an evil power reminiscent of the Evil Sex King. It is a powerful magical artifact that can be used to empower any type of magic to previously-unseen heights, but in the"&amp;" process of using it, will lewdly transform it, giving the resulting spell a sexual or erotic aspect.")</f>
        <v>Over the course of years, eroticism and malice have soaked into this laptop, giving it an evil power reminiscent of the Evil Sex King. It is a powerful magical artifact that can be used to empower any type of magic to previously-unseen heights, but in the process of using it, will lewdly transform it, giving the resulting spell a sexual or erotic aspect.</v>
      </c>
      <c r="I127" s="5"/>
    </row>
    <row r="128" spans="1:9" ht="69.599999999999994" x14ac:dyDescent="0.25">
      <c r="A128" s="16"/>
      <c r="B128" s="17">
        <v>124</v>
      </c>
      <c r="C128" s="2" t="b">
        <f ca="1">IFERROR(__xludf.DUMMYFUNCTION("""COMPUTED_VALUE"""),FALSE)</f>
        <v>0</v>
      </c>
      <c r="D128" s="2">
        <f ca="1">IFERROR(__xludf.DUMMYFUNCTION("""COMPUTED_VALUE"""),400)</f>
        <v>400</v>
      </c>
      <c r="E128" s="2" t="str">
        <f ca="1">IFERROR(__xludf.DUMMYFUNCTION("""COMPUTED_VALUE"""),"Love/Lust")</f>
        <v>Love/Lust</v>
      </c>
      <c r="F128" s="2" t="str">
        <f ca="1">IFERROR(__xludf.DUMMYFUNCTION("""COMPUTED_VALUE"""),"Generic: Hentai Magical Girl")</f>
        <v>Generic: Hentai Magical Girl</v>
      </c>
      <c r="G128" s="2" t="str">
        <f ca="1">IFERROR(__xludf.DUMMYFUNCTION("""COMPUTED_VALUE"""),"Magic")</f>
        <v>Magic</v>
      </c>
      <c r="H128" s="2" t="str">
        <f ca="1">IFERROR(__xludf.DUMMYFUNCTION("""COMPUTED_VALUE"""),"In a world like this, Love and Lust are slightly interchangeable. In your case, they actually are. You can, at will, switch the magical meanings of these words inside a decently sized area (small city). Magical girls will sleep around and corrupt themselv"&amp;"es, while monsters will accidentally get purified by raping people. If you can think of other ways to abuse that switch, they’ll work as well.")</f>
        <v>In a world like this, Love and Lust are slightly interchangeable. In your case, they actually are. You can, at will, switch the magical meanings of these words inside a decently sized area (small city). Magical girls will sleep around and corrupt themselves, while monsters will accidentally get purified by raping people. If you can think of other ways to abuse that switch, they’ll work as well.</v>
      </c>
      <c r="I128" s="5"/>
    </row>
    <row r="129" spans="1:10" ht="191.4" x14ac:dyDescent="0.25">
      <c r="A129" s="16"/>
      <c r="B129" s="17">
        <v>125</v>
      </c>
      <c r="C129" s="2" t="b">
        <f ca="1">IFERROR(__xludf.DUMMYFUNCTION("""COMPUTED_VALUE"""),FALSE)</f>
        <v>0</v>
      </c>
      <c r="D129" s="2">
        <f ca="1">IFERROR(__xludf.DUMMYFUNCTION("""COMPUTED_VALUE"""),400)</f>
        <v>400</v>
      </c>
      <c r="E129" s="2" t="str">
        <f ca="1">IFERROR(__xludf.DUMMYFUNCTION("""COMPUTED_VALUE"""),"Magic Inheritance Ritual")</f>
        <v>Magic Inheritance Ritual</v>
      </c>
      <c r="F129" s="2" t="str">
        <f ca="1">IFERROR(__xludf.DUMMYFUNCTION("""COMPUTED_VALUE"""),"Although Young People Recoil from Entering the Black Magic Industry...")</f>
        <v>Although Young People Recoil from Entering the Black Magic Industry...</v>
      </c>
      <c r="G129" s="2" t="str">
        <f ca="1">IFERROR(__xludf.DUMMYFUNCTION("""COMPUTED_VALUE"""),"Magic")</f>
        <v>Magic</v>
      </c>
      <c r="H129" s="2" t="str">
        <f ca="1">IFERROR(__xludf.DUMMYFUNCTION("""COMPUTED_VALUE"""),"Normally an ability restricted to black magic, you’re lucky enough to get access to an enhanced version of this. Through ritualistic sex, you are able to teach other people magical spells. It does have the drawback of requiring the subject to already know"&amp;" how to use magic, but it can be used to teach magic of a different color to someone who only specialized in one. Furthermore, it is quite effective, capable of teaching 35 spells in a single session of sex — the equivalent of two years of dedicated study"&amp;". Originally this could only be used to teach black magic spells, but you’re able to use it to teach any type of magic to anyone as long as they already know how to use one type of magic. This includes non-local magical abilities you know. Note that this "&amp;"enhanced version of the ritual is a perk rather than a normal spell or ritual; attempting to teach it to others will only teach them the black magic inheritance ritual, which is only useful to them if they already know magic that could be qualified as “bl"&amp;"ack”.")</f>
        <v>Normally an ability restricted to black magic, you’re lucky enough to get access to an enhanced version of this. Through ritualistic sex, you are able to teach other people magical spells. It does have the drawback of requiring the subject to already know how to use magic, but it can be used to teach magic of a different color to someone who only specialized in one. Furthermore, it is quite effective, capable of teaching 35 spells in a single session of sex — the equivalent of two years of dedicated study. Originally this could only be used to teach black magic spells, but you’re able to use it to teach any type of magic to anyone as long as they already know how to use one type of magic. This includes non-local magical abilities you know. Note that this enhanced version of the ritual is a perk rather than a normal spell or ritual; attempting to teach it to others will only teach them the black magic inheritance ritual, which is only useful to them if they already know magic that could be qualified as “black”.</v>
      </c>
      <c r="I129" s="5"/>
    </row>
    <row r="130" spans="1:10" ht="104.4" x14ac:dyDescent="0.25">
      <c r="A130" s="16"/>
      <c r="B130" s="17">
        <v>126</v>
      </c>
      <c r="C130" s="2" t="b">
        <f ca="1">IFERROR(__xludf.DUMMYFUNCTION("""COMPUTED_VALUE"""),FALSE)</f>
        <v>0</v>
      </c>
      <c r="D130" s="2">
        <f ca="1">IFERROR(__xludf.DUMMYFUNCTION("""COMPUTED_VALUE"""),400)</f>
        <v>400</v>
      </c>
      <c r="E130" s="2" t="str">
        <f ca="1">IFERROR(__xludf.DUMMYFUNCTION("""COMPUTED_VALUE"""),"Manavore")</f>
        <v>Manavore</v>
      </c>
      <c r="F130" s="2" t="str">
        <f ca="1">IFERROR(__xludf.DUMMYFUNCTION("""COMPUTED_VALUE"""),"Erotic Equestria")</f>
        <v>Erotic Equestria</v>
      </c>
      <c r="G130" s="2" t="str">
        <f ca="1">IFERROR(__xludf.DUMMYFUNCTION("""COMPUTED_VALUE"""),"Magic")</f>
        <v>Magic</v>
      </c>
      <c r="H130" s="2" t="str">
        <f ca="1">IFERROR(__xludf.DUMMYFUNCTION("""COMPUTED_VALUE"""),"More than a simple tyrant, you’re something far more terrifying, Master/Madame. Much like the walking catastrophe Tirek, you have the ability to sap the magics of the locals, adding their strength and power to your own. With enough power behind you, even "&amp;"the Princesses could be made helpless and kneeling before your throne. Strangely, those whom you drain of magic seem to act like sponges for the other magics you might give them. Corruption and controlling magics of yours find root far deeper than they ot"&amp;"herwise would, reshaping entire societies in your dark image.")</f>
        <v>More than a simple tyrant, you’re something far more terrifying, Master/Madame. Much like the walking catastrophe Tirek, you have the ability to sap the magics of the locals, adding their strength and power to your own. With enough power behind you, even the Princesses could be made helpless and kneeling before your throne. Strangely, those whom you drain of magic seem to act like sponges for the other magics you might give them. Corruption and controlling magics of yours find root far deeper than they otherwise would, reshaping entire societies in your dark image.</v>
      </c>
      <c r="I130" s="5"/>
    </row>
    <row r="131" spans="1:10" ht="121.8" x14ac:dyDescent="0.25">
      <c r="A131" s="16"/>
      <c r="B131" s="17">
        <v>127</v>
      </c>
      <c r="C131" s="2" t="b">
        <f ca="1">IFERROR(__xludf.DUMMYFUNCTION("""COMPUTED_VALUE"""),FALSE)</f>
        <v>0</v>
      </c>
      <c r="D131" s="2">
        <f ca="1">IFERROR(__xludf.DUMMYFUNCTION("""COMPUTED_VALUE"""),400)</f>
        <v>400</v>
      </c>
      <c r="E131" s="2" t="str">
        <f ca="1">IFERROR(__xludf.DUMMYFUNCTION("""COMPUTED_VALUE"""),"Mascot Critter")</f>
        <v>Mascot Critter</v>
      </c>
      <c r="F131" s="2" t="str">
        <f ca="1">IFERROR(__xludf.DUMMYFUNCTION("""COMPUTED_VALUE"""),"Fate/Loli Order")</f>
        <v>Fate/Loli Order</v>
      </c>
      <c r="G131" s="2" t="str">
        <f ca="1">IFERROR(__xludf.DUMMYFUNCTION("""COMPUTED_VALUE"""),"Magic")</f>
        <v>Magic</v>
      </c>
      <c r="H131" s="2" t="str">
        <f ca="1">IFERROR(__xludf.DUMMYFUNCTION("""COMPUTED_VALUE"""),"It's Fou! This lovable little bundle of fluff is your constant companion, and while he's a beast of few words you've figured out how to understand his yips and barks well enough to translate his running commentary on current events. While he won't usually"&amp;" do much to help you, preferring to let you handle things yourself, in times of genuine catastrophe he shows a deep well of magical power that can provide you or any single person nearby with a single-use extra life. This will completely exhaust Fou's ene"&amp;"rgy until he's had a few years to regenerate it, but he'll be back to his old self in around a decade.")</f>
        <v>It's Fou! This lovable little bundle of fluff is your constant companion, and while he's a beast of few words you've figured out how to understand his yips and barks well enough to translate his running commentary on current events. While he won't usually do much to help you, preferring to let you handle things yourself, in times of genuine catastrophe he shows a deep well of magical power that can provide you or any single person nearby with a single-use extra life. This will completely exhaust Fou's energy until he's had a few years to regenerate it, but he'll be back to his old self in around a decade.</v>
      </c>
      <c r="I131" s="5"/>
    </row>
    <row r="132" spans="1:10" ht="156.6" x14ac:dyDescent="0.25">
      <c r="A132" s="16"/>
      <c r="B132" s="17">
        <v>128</v>
      </c>
      <c r="C132" s="2" t="b">
        <f ca="1">IFERROR(__xludf.DUMMYFUNCTION("""COMPUTED_VALUE"""),FALSE)</f>
        <v>0</v>
      </c>
      <c r="D132" s="2">
        <f ca="1">IFERROR(__xludf.DUMMYFUNCTION("""COMPUTED_VALUE"""),400)</f>
        <v>400</v>
      </c>
      <c r="E132" s="2" t="str">
        <f ca="1">IFERROR(__xludf.DUMMYFUNCTION("""COMPUTED_VALUE"""),"Master of Mentalism")</f>
        <v>Master of Mentalism</v>
      </c>
      <c r="F132" s="2" t="str">
        <f ca="1">IFERROR(__xludf.DUMMYFUNCTION("""COMPUTED_VALUE"""),"“I'm in Another World, So I Guess I'll Use Magic to Be Lewd!”")</f>
        <v>“I'm in Another World, So I Guess I'll Use Magic to Be Lewd!”</v>
      </c>
      <c r="G132" s="2" t="str">
        <f ca="1">IFERROR(__xludf.DUMMYFUNCTION("""COMPUTED_VALUE"""),"Magic")</f>
        <v>Magic</v>
      </c>
      <c r="H132" s="2" t="str">
        <f ca="1">IFERROR(__xludf.DUMMYFUNCTION("""COMPUTED_VALUE"""),"An unguarded mind is like a fortress with its gates thrown open, easy pickings even for a careless enemy. And you would know too, given your incredible skill in the field of mind control magic. These subtle spells are just as important to a master wizard "&amp;"as any number of fireballs: from hypnosis and illusions to magical charm spells and more, you’re able to make the minds of your enemies into your playthings, even twisting their perception of normality or submerging their true minds beneath false hypnotiz"&amp;"ed personas. You can even use hypnotic triggers to force a controlled subject to fall into and out of a control state on command. Naturally those with great willpower or magical defenses are not so easily controlled, but your great skill even allows you t"&amp;"o find whatever cracks those defenses may have and exploit them for all they’re worth.")</f>
        <v>An unguarded mind is like a fortress with its gates thrown open, easy pickings even for a careless enemy. And you would know too, given your incredible skill in the field of mind control magic. These subtle spells are just as important to a master wizard as any number of fireballs: from hypnosis and illusions to magical charm spells and more, you’re able to make the minds of your enemies into your playthings, even twisting their perception of normality or submerging their true minds beneath false hypnotized personas. You can even use hypnotic triggers to force a controlled subject to fall into and out of a control state on command. Naturally those with great willpower or magical defenses are not so easily controlled, but your great skill even allows you to find whatever cracks those defenses may have and exploit them for all they’re worth.</v>
      </c>
      <c r="I132" s="5"/>
    </row>
    <row r="133" spans="1:10" ht="208.8" x14ac:dyDescent="0.35">
      <c r="A133" s="16"/>
      <c r="B133" s="17">
        <v>129</v>
      </c>
      <c r="C133" s="2" t="b">
        <f ca="1">IFERROR(__xludf.DUMMYFUNCTION("""COMPUTED_VALUE"""),FALSE)</f>
        <v>0</v>
      </c>
      <c r="D133" s="2">
        <f ca="1">IFERROR(__xludf.DUMMYFUNCTION("""COMPUTED_VALUE"""),400)</f>
        <v>400</v>
      </c>
      <c r="E133" s="2" t="str">
        <f ca="1">IFERROR(__xludf.DUMMYFUNCTION("""COMPUTED_VALUE"""),"Monster of the Week")</f>
        <v>Monster of the Week</v>
      </c>
      <c r="F133" s="2" t="str">
        <f ca="1">IFERROR(__xludf.DUMMYFUNCTION("""COMPUTED_VALUE"""),"Submission Sailor Moon")</f>
        <v>Submission Sailor Moon</v>
      </c>
      <c r="G133" s="2" t="str">
        <f ca="1">IFERROR(__xludf.DUMMYFUNCTION("""COMPUTED_VALUE"""),"Magic")</f>
        <v>Magic</v>
      </c>
      <c r="H133" s="2" t="str">
        <f ca="1">IFERROR(__xludf.DUMMYFUNCTION("""COMPUTED_VALUE"""),"In the old days youma had unique themes based on what they were made out of, from bat monsters with sonic scream attacks to car monsters that shot their tires at people. You’ve got some of that old-fashioned magic in you and you’re able to use many kinds "&amp;"of sexual magic based on whatever your theme might be. 
Choose a single fetish such as BDSM or mind control as your theme: any form of magical powers related to your fetish becomes much stronger and easier to use for you, and you gain an assortment of ma"&amp;"gical powers based on your fetish. For instance if you were a bondage youma you might be able to conjure all kinds of magical restraints, controlling them freely and restraining a victim’s magic or other abilities along with their bodies. At minimum these"&amp;" spells are a match for the basic elemental spells that the Senshi use but the more narrowly you define your fetish the stronger your related magic becomes.")</f>
        <v>In the old days youma had unique themes based on what they were made out of, from bat monsters with sonic scream attacks to car monsters that shot their tires at people. You’ve got some of that old-fashioned magic in you and you’re able to use many kinds of sexual magic based on whatever your theme might be. 
Choose a single fetish such as BDSM or mind control as your theme: any form of magical powers related to your fetish becomes much stronger and easier to use for you, and you gain an assortment of magical powers based on your fetish. For instance if you were a bondage youma you might be able to conjure all kinds of magical restraints, controlling them freely and restraining a victim’s magic or other abilities along with their bodies. At minimum these spells are a match for the basic elemental spells that the Senshi use but the more narrowly you define your fetish the stronger your related magic becomes.</v>
      </c>
      <c r="I133" s="5"/>
      <c r="J133" s="13"/>
    </row>
    <row r="134" spans="1:10" ht="174" x14ac:dyDescent="0.35">
      <c r="A134" s="16"/>
      <c r="B134" s="17">
        <v>130</v>
      </c>
      <c r="C134" s="2" t="b">
        <f ca="1">IFERROR(__xludf.DUMMYFUNCTION("""COMPUTED_VALUE"""),FALSE)</f>
        <v>0</v>
      </c>
      <c r="D134" s="2">
        <f ca="1">IFERROR(__xludf.DUMMYFUNCTION("""COMPUTED_VALUE"""),400)</f>
        <v>400</v>
      </c>
      <c r="E134" s="2" t="str">
        <f ca="1">IFERROR(__xludf.DUMMYFUNCTION("""COMPUTED_VALUE"""),"No Pain No Gain")</f>
        <v>No Pain No Gain</v>
      </c>
      <c r="F134" s="2" t="str">
        <f ca="1">IFERROR(__xludf.DUMMYFUNCTION("""COMPUTED_VALUE"""),"Rope Master")</f>
        <v>Rope Master</v>
      </c>
      <c r="G134" s="2" t="str">
        <f ca="1">IFERROR(__xludf.DUMMYFUNCTION("""COMPUTED_VALUE"""),"Magic")</f>
        <v>Magic</v>
      </c>
      <c r="H134" s="2" t="str">
        <f ca="1">IFERROR(__xludf.DUMMYFUNCTION("""COMPUTED_VALUE"""),"For most shrine maidens the loss of purity is inevitably the end of their careers as exorcists. But that need not be so, for there exist rituals capable of restoring lost power if one is able to endure them. By spending long periods in a state of bondage "&amp;"or slavery you’re able to restore any powers that have been lost to you and regenerate charges for perks or powers that have limited uses. The value of what’s being recovered determines how long and how much bondage is needed: to restore the spiritual pur"&amp;"ity of a shrine maiden would need no more than partial restraint, such as wearing a shibari harness under your clothes for three days and nights, but more powerful effects such as perk-granted extra lives could also be restocked if one were willing to spe"&amp;"nd weeks or months as a sex slave or in full bondage. However your bondage must be genuine and administered by a master of your choice, a slave in name only gains no benefits.")</f>
        <v>For most shrine maidens the loss of purity is inevitably the end of their careers as exorcists. But that need not be so, for there exist rituals capable of restoring lost power if one is able to endure them. By spending long periods in a state of bondage or slavery you’re able to restore any powers that have been lost to you and regenerate charges for perks or powers that have limited uses. The value of what’s being recovered determines how long and how much bondage is needed: to restore the spiritual purity of a shrine maiden would need no more than partial restraint, such as wearing a shibari harness under your clothes for three days and nights, but more powerful effects such as perk-granted extra lives could also be restocked if one were willing to spend weeks or months as a sex slave or in full bondage. However your bondage must be genuine and administered by a master of your choice, a slave in name only gains no benefits.</v>
      </c>
      <c r="I134" s="5"/>
      <c r="J134" s="27"/>
    </row>
    <row r="135" spans="1:10" ht="69.599999999999994" x14ac:dyDescent="0.25">
      <c r="A135" s="16"/>
      <c r="B135" s="17">
        <v>131</v>
      </c>
      <c r="C135" s="2" t="b">
        <f ca="1">IFERROR(__xludf.DUMMYFUNCTION("""COMPUTED_VALUE"""),FALSE)</f>
        <v>0</v>
      </c>
      <c r="D135" s="2">
        <f ca="1">IFERROR(__xludf.DUMMYFUNCTION("""COMPUTED_VALUE"""),400)</f>
        <v>400</v>
      </c>
      <c r="E135" s="2" t="str">
        <f ca="1">IFERROR(__xludf.DUMMYFUNCTION("""COMPUTED_VALUE"""),"Phantom Orb")</f>
        <v>Phantom Orb</v>
      </c>
      <c r="F135" s="2" t="str">
        <f ca="1">IFERROR(__xludf.DUMMYFUNCTION("""COMPUTED_VALUE"""),"Princess Sacrifice")</f>
        <v>Princess Sacrifice</v>
      </c>
      <c r="G135" s="2" t="str">
        <f ca="1">IFERROR(__xludf.DUMMYFUNCTION("""COMPUTED_VALUE"""),"Magic")</f>
        <v>Magic</v>
      </c>
      <c r="H135" s="2" t="str">
        <f ca="1">IFERROR(__xludf.DUMMYFUNCTION("""COMPUTED_VALUE"""),"A ghostly orb that radiates an unearthly power, the Phantom Orb is a monstrous device that can change the sexuality and inhibitions of any targeted individual (even the wielder). So that girl you like? You can make her a bisexual nymphomaniac! Or you coul"&amp;"d be a boring putz and make her an innocent angel.")</f>
        <v>A ghostly orb that radiates an unearthly power, the Phantom Orb is a monstrous device that can change the sexuality and inhibitions of any targeted individual (even the wielder). So that girl you like? You can make her a bisexual nymphomaniac! Or you could be a boring putz and make her an innocent angel.</v>
      </c>
      <c r="I135" s="5"/>
    </row>
    <row r="136" spans="1:10" ht="174" x14ac:dyDescent="0.25">
      <c r="A136" s="16"/>
      <c r="B136" s="17">
        <v>132</v>
      </c>
      <c r="C136" s="2" t="b">
        <f ca="1">IFERROR(__xludf.DUMMYFUNCTION("""COMPUTED_VALUE"""),FALSE)</f>
        <v>0</v>
      </c>
      <c r="D136" s="2">
        <f ca="1">IFERROR(__xludf.DUMMYFUNCTION("""COMPUTED_VALUE"""),400)</f>
        <v>400</v>
      </c>
      <c r="E136" s="2" t="str">
        <f ca="1">IFERROR(__xludf.DUMMYFUNCTION("""COMPUTED_VALUE"""),"Pink Materia")</f>
        <v>Pink Materia</v>
      </c>
      <c r="F136" s="2" t="str">
        <f ca="1">IFERROR(__xludf.DUMMYFUNCTION("""COMPUTED_VALUE"""),"Tifa Lockhart - Agent of Avalanche")</f>
        <v>Tifa Lockhart - Agent of Avalanche</v>
      </c>
      <c r="G136" s="2" t="str">
        <f ca="1">IFERROR(__xludf.DUMMYFUNCTION("""COMPUTED_VALUE"""),"Magic")</f>
        <v>Magic</v>
      </c>
      <c r="H136" s="2" t="str">
        <f ca="1">IFERROR(__xludf.DUMMYFUNCTION("""COMPUTED_VALUE"""),"Designed for riot control and suppression, pink materia have a collection of perverse magical effects and they’re extremely effective at turning hot-headed rebels into helpless prisoners. You have a small arsenal of these artificial materia, which allow y"&amp;"ou to cast magical spells and enchant any gear they’re slotted into. For instance a bimbo materia allows you to cast mind control spells that make enemies too horny to resist capture, while a bondage materia socketed into a gun makes it shoot bullets of r"&amp;"ubber or latex that stick to targets and transform into BDSM gear when enough of it accumulates. By equipping these materia you're able to lend their effects to your weapons or any other powers you have, but by combining them with tech like guard robots a"&amp;"nd sentry guns you can easily convert conventional technology into something straight out of a porno, such as giving alternate fire modes to weapons so they can more easily restrain prisoners.")</f>
        <v>Designed for riot control and suppression, pink materia have a collection of perverse magical effects and they’re extremely effective at turning hot-headed rebels into helpless prisoners. You have a small arsenal of these artificial materia, which allow you to cast magical spells and enchant any gear they’re slotted into. For instance a bimbo materia allows you to cast mind control spells that make enemies too horny to resist capture, while a bondage materia socketed into a gun makes it shoot bullets of rubber or latex that stick to targets and transform into BDSM gear when enough of it accumulates. By equipping these materia you're able to lend their effects to your weapons or any other powers you have, but by combining them with tech like guard robots and sentry guns you can easily convert conventional technology into something straight out of a porno, such as giving alternate fire modes to weapons so they can more easily restrain prisoners.</v>
      </c>
      <c r="I136" s="5"/>
    </row>
    <row r="137" spans="1:10" ht="208.8" x14ac:dyDescent="0.25">
      <c r="A137" s="16"/>
      <c r="B137" s="17">
        <v>133</v>
      </c>
      <c r="C137" s="2" t="b">
        <f ca="1">IFERROR(__xludf.DUMMYFUNCTION("""COMPUTED_VALUE"""),FALSE)</f>
        <v>0</v>
      </c>
      <c r="D137" s="2">
        <f ca="1">IFERROR(__xludf.DUMMYFUNCTION("""COMPUTED_VALUE"""),400)</f>
        <v>400</v>
      </c>
      <c r="E137" s="2" t="str">
        <f ca="1">IFERROR(__xludf.DUMMYFUNCTION("""COMPUTED_VALUE"""),"Potion of Youth")</f>
        <v>Potion of Youth</v>
      </c>
      <c r="F137" s="2" t="str">
        <f ca="1">IFERROR(__xludf.DUMMYFUNCTION("""COMPUTED_VALUE"""),"Fate/Whore Order")</f>
        <v>Fate/Whore Order</v>
      </c>
      <c r="G137" s="2" t="str">
        <f ca="1">IFERROR(__xludf.DUMMYFUNCTION("""COMPUTED_VALUE"""),"Magic")</f>
        <v>Magic</v>
      </c>
      <c r="H137" s="2" t="str">
        <f ca="1">IFERROR(__xludf.DUMMYFUNCTION("""COMPUTED_VALUE"""),"While it’s possible for servants to be summoned in multiple classes at different times in their life (usually younger, a ‘Lily’ servant), it’s also possible to make a new servant by drastically changing an existing one. This potion of youth, likely taken "&amp;"from Gilgamesh’s treasury, is one such method, though it can’t alter the drinker’s class the way Scathach’s runes can. Upon imbibing this potion the user transforms into a much younger version of themselves - somewhere between a teenager to a very young c"&amp;"hild - both physically and spiritually. In this younger state, equipment that was destroyed long ago can be utilized once more, as if the drinker turned back time for themselves. Skills which have been abandoned or lost can also be used again, such as how"&amp;" Alexander’s Rosy Cheeked Adonis is degraded by his use of Zeus’s Thunder. Though not terribly useful for yourself, perhaps you’d be interested in using it on someone else?
This item refreshes once per decade.")</f>
        <v>While it’s possible for servants to be summoned in multiple classes at different times in their life (usually younger, a ‘Lily’ servant), it’s also possible to make a new servant by drastically changing an existing one. This potion of youth, likely taken from Gilgamesh’s treasury, is one such method, though it can’t alter the drinker’s class the way Scathach’s runes can. Upon imbibing this potion the user transforms into a much younger version of themselves - somewhere between a teenager to a very young child - both physically and spiritually. In this younger state, equipment that was destroyed long ago can be utilized once more, as if the drinker turned back time for themselves. Skills which have been abandoned or lost can also be used again, such as how Alexander’s Rosy Cheeked Adonis is degraded by his use of Zeus’s Thunder. Though not terribly useful for yourself, perhaps you’d be interested in using it on someone else?
This item refreshes once per decade.</v>
      </c>
      <c r="I137" s="5"/>
    </row>
    <row r="138" spans="1:10" ht="191.4" x14ac:dyDescent="0.25">
      <c r="A138" s="16"/>
      <c r="B138" s="17">
        <v>134</v>
      </c>
      <c r="C138" s="2" t="b">
        <f ca="1">IFERROR(__xludf.DUMMYFUNCTION("""COMPUTED_VALUE"""),FALSE)</f>
        <v>0</v>
      </c>
      <c r="D138" s="2">
        <f ca="1">IFERROR(__xludf.DUMMYFUNCTION("""COMPUTED_VALUE"""),400)</f>
        <v>400</v>
      </c>
      <c r="E138" s="2" t="str">
        <f ca="1">IFERROR(__xludf.DUMMYFUNCTION("""COMPUTED_VALUE"""),"Resistance is Futile")</f>
        <v>Resistance is Futile</v>
      </c>
      <c r="F138" s="2" t="str">
        <f ca="1">IFERROR(__xludf.DUMMYFUNCTION("""COMPUTED_VALUE"""),"Rope Master")</f>
        <v>Rope Master</v>
      </c>
      <c r="G138" s="2" t="str">
        <f ca="1">IFERROR(__xludf.DUMMYFUNCTION("""COMPUTED_VALUE"""),"Magic")</f>
        <v>Magic</v>
      </c>
      <c r="H138" s="2" t="str">
        <f ca="1">IFERROR(__xludf.DUMMYFUNCTION("""COMPUTED_VALUE"""),"Mana Hachisu was an experienced and powerful shrine maiden, but once she was trapped and bound by Yasaka Amagase's shibari she was powerless to resist his hypnosis and became his helpless rope slave. Rope masters learn both magic and bondage but they're a"&amp;"t their most dangerous when those powers are welded together: whenever you have somebody physically restrained, your bondage becomes a conduit for your magical power and allows you to break through any magical resistance that they'd normally have. The mor"&amp;"e thoroughly you restrain your slaves the more of their resistance they lose: simply binding hands and feet might be enough for a normal person with abnormally strong willpower, but even someone who'd normally be totally immune to your magic can have that"&amp;" immunity endangered if you're able to completely smother her head to toe in leather and latex and dragon rope. So long as you keep your target safely tied up for the duration even an extreme difference in power can be overcome this way.")</f>
        <v>Mana Hachisu was an experienced and powerful shrine maiden, but once she was trapped and bound by Yasaka Amagase's shibari she was powerless to resist his hypnosis and became his helpless rope slave. Rope masters learn both magic and bondage but they're at their most dangerous when those powers are welded together: whenever you have somebody physically restrained, your bondage becomes a conduit for your magical power and allows you to break through any magical resistance that they'd normally have. The more thoroughly you restrain your slaves the more of their resistance they lose: simply binding hands and feet might be enough for a normal person with abnormally strong willpower, but even someone who'd normally be totally immune to your magic can have that immunity endangered if you're able to completely smother her head to toe in leather and latex and dragon rope. So long as you keep your target safely tied up for the duration even an extreme difference in power can be overcome this way.</v>
      </c>
      <c r="I138" s="5"/>
    </row>
    <row r="139" spans="1:10" ht="208.8" x14ac:dyDescent="0.25">
      <c r="A139" s="16"/>
      <c r="B139" s="17">
        <v>135</v>
      </c>
      <c r="C139" s="2" t="b">
        <f ca="1">IFERROR(__xludf.DUMMYFUNCTION("""COMPUTED_VALUE"""),FALSE)</f>
        <v>0</v>
      </c>
      <c r="D139" s="2">
        <f ca="1">IFERROR(__xludf.DUMMYFUNCTION("""COMPUTED_VALUE"""),400)</f>
        <v>400</v>
      </c>
      <c r="E139" s="2" t="str">
        <f ca="1">IFERROR(__xludf.DUMMYFUNCTION("""COMPUTED_VALUE"""),"Sealed Space")</f>
        <v>Sealed Space</v>
      </c>
      <c r="F139" s="2" t="str">
        <f ca="1">IFERROR(__xludf.DUMMYFUNCTION("""COMPUTED_VALUE"""),"Rope Master")</f>
        <v>Rope Master</v>
      </c>
      <c r="G139" s="2" t="str">
        <f ca="1">IFERROR(__xludf.DUMMYFUNCTION("""COMPUTED_VALUE"""),"Magic")</f>
        <v>Magic</v>
      </c>
      <c r="H139" s="2" t="str">
        <f ca="1">IFERROR(__xludf.DUMMYFUNCTION("""COMPUTED_VALUE"""),"Even time and space can be made to bend to the will of an experienced rope master. This perk lets you create a space separated from the physical world, a pocket dimension which you’re able to project around yourself. Time and space are frozen relative to "&amp;"the outside in this sealed-off space, making it an excellent place to have battles in public places like a school building (or to have a quickie with your favorite slave) without getting innocents caught in the crossfire. The only way for a trapped enemy "&amp;"to leave this zone once you’ve projected it around them is to kill or incapacitate you or for you to release them on your own. Time resumes as normal once the barrier is lowered, with any damage inflicted on the surroundings vanishing with it. It can be c"&amp;"ombined with other perk-granted items to reshape the interior space, transforming an ordinary classroom into a fully equipped sex dungeon using bondage toys for instance, and as your magical power continues growing the size and power of the barrier will g"&amp;"row with it, from the size of a classroom to the size of a large building.")</f>
        <v>Even time and space can be made to bend to the will of an experienced rope master. This perk lets you create a space separated from the physical world, a pocket dimension which you’re able to project around yourself. Time and space are frozen relative to the outside in this sealed-off space, making it an excellent place to have battles in public places like a school building (or to have a quickie with your favorite slave) without getting innocents caught in the crossfire. The only way for a trapped enemy to leave this zone once you’ve projected it around them is to kill or incapacitate you or for you to release them on your own. Time resumes as normal once the barrier is lowered, with any damage inflicted on the surroundings vanishing with it. It can be combined with other perk-granted items to reshape the interior space, transforming an ordinary classroom into a fully equipped sex dungeon using bondage toys for instance, and as your magical power continues growing the size and power of the barrier will grow with it, from the size of a classroom to the size of a large building.</v>
      </c>
      <c r="I139" s="5"/>
    </row>
    <row r="140" spans="1:10" ht="104.4" x14ac:dyDescent="0.25">
      <c r="A140" s="16"/>
      <c r="B140" s="17">
        <v>136</v>
      </c>
      <c r="C140" s="2" t="b">
        <f ca="1">IFERROR(__xludf.DUMMYFUNCTION("""COMPUTED_VALUE"""),FALSE)</f>
        <v>0</v>
      </c>
      <c r="D140" s="2">
        <f ca="1">IFERROR(__xludf.DUMMYFUNCTION("""COMPUTED_VALUE"""),400)</f>
        <v>400</v>
      </c>
      <c r="E140" s="2" t="str">
        <f ca="1">IFERROR(__xludf.DUMMYFUNCTION("""COMPUTED_VALUE"""),"Sealing Magic")</f>
        <v>Sealing Magic</v>
      </c>
      <c r="F140" s="2" t="str">
        <f ca="1">IFERROR(__xludf.DUMMYFUNCTION("""COMPUTED_VALUE"""),"Power Play")</f>
        <v>Power Play</v>
      </c>
      <c r="G140" s="2" t="str">
        <f ca="1">IFERROR(__xludf.DUMMYFUNCTION("""COMPUTED_VALUE"""),"Magic")</f>
        <v>Magic</v>
      </c>
      <c r="H140" s="2" t="str">
        <f ca="1">IFERROR(__xludf.DUMMYFUNCTION("""COMPUTED_VALUE"""),"You know magic to restrict, bind, and contain. Such bindings are not unbreakable, but they should be enough to gain an advantage in a pinch. Speaking of pinching, you can also use this ability to make bindings so tight they sever whatever they’re wrapped "&amp;"around, so it’s an offensive option, too.
Less dangerously, you can also wrap a lot of these seals around an erogenous zone and sort of move them around, creating an unusual type of pleasure.")</f>
        <v>You know magic to restrict, bind, and contain. Such bindings are not unbreakable, but they should be enough to gain an advantage in a pinch. Speaking of pinching, you can also use this ability to make bindings so tight they sever whatever they’re wrapped around, so it’s an offensive option, too.
Less dangerously, you can also wrap a lot of these seals around an erogenous zone and sort of move them around, creating an unusual type of pleasure.</v>
      </c>
      <c r="I140" s="5"/>
    </row>
    <row r="141" spans="1:10" ht="174" x14ac:dyDescent="0.25">
      <c r="A141" s="16"/>
      <c r="B141" s="17">
        <v>137</v>
      </c>
      <c r="C141" s="2" t="b">
        <f ca="1">IFERROR(__xludf.DUMMYFUNCTION("""COMPUTED_VALUE"""),FALSE)</f>
        <v>0</v>
      </c>
      <c r="D141" s="2">
        <f ca="1">IFERROR(__xludf.DUMMYFUNCTION("""COMPUTED_VALUE"""),400)</f>
        <v>400</v>
      </c>
      <c r="E141" s="2" t="str">
        <f ca="1">IFERROR(__xludf.DUMMYFUNCTION("""COMPUTED_VALUE"""),"Seeds of Power")</f>
        <v>Seeds of Power</v>
      </c>
      <c r="F141" s="2" t="str">
        <f ca="1">IFERROR(__xludf.DUMMYFUNCTION("""COMPUTED_VALUE"""),"Breathless Wild")</f>
        <v>Breathless Wild</v>
      </c>
      <c r="G141" s="2" t="str">
        <f ca="1">IFERROR(__xludf.DUMMYFUNCTION("""COMPUTED_VALUE"""),"Magic")</f>
        <v>Magic</v>
      </c>
      <c r="H141" s="2" t="str">
        <f ca="1">IFERROR(__xludf.DUMMYFUNCTION("""COMPUTED_VALUE"""),"Many people make the mistake of thinking they can grow powerful simply by receiving gifts of power from somebody else. They’re deeply wrong of course, but that’s no reason not to take advantage of such fools. You gain a small collection of cursed treasure"&amp;"s, such as scrolls of magic that indoctrinate readers into worshiping you, or a cursed mask that enhances a princess’s magical powers but makes her gullible and weak-willed. You can’t use them yourself as they’re just conduits for your own power, but they"&amp;" make excellent traps to corrupt and enslave unsuspecting heroines, or perhaps a way to share power with favored minions while ensuring their continued loyalty. Each bestows powers similar to perks you possess, share knowledge you've gathers, or are pale "&amp;"imitations of items you've acquired; you also have the knowledge to create and customise more, but they must be cursed in some way.")</f>
        <v>Many people make the mistake of thinking they can grow powerful simply by receiving gifts of power from somebody else. They’re deeply wrong of course, but that’s no reason not to take advantage of such fools. You gain a small collection of cursed treasures, such as scrolls of magic that indoctrinate readers into worshiping you, or a cursed mask that enhances a princess’s magical powers but makes her gullible and weak-willed. You can’t use them yourself as they’re just conduits for your own power, but they make excellent traps to corrupt and enslave unsuspecting heroines, or perhaps a way to share power with favored minions while ensuring their continued loyalty. Each bestows powers similar to perks you possess, share knowledge you've gathers, or are pale imitations of items you've acquired; you also have the knowledge to create and customise more, but they must be cursed in some way.</v>
      </c>
      <c r="I141" s="5"/>
    </row>
    <row r="142" spans="1:10" ht="139.19999999999999" x14ac:dyDescent="0.25">
      <c r="A142" s="16"/>
      <c r="B142" s="17">
        <v>138</v>
      </c>
      <c r="C142" s="2" t="b">
        <f ca="1">IFERROR(__xludf.DUMMYFUNCTION("""COMPUTED_VALUE"""),FALSE)</f>
        <v>0</v>
      </c>
      <c r="D142" s="2">
        <f ca="1">IFERROR(__xludf.DUMMYFUNCTION("""COMPUTED_VALUE"""),400)</f>
        <v>400</v>
      </c>
      <c r="E142" s="2" t="str">
        <f ca="1">IFERROR(__xludf.DUMMYFUNCTION("""COMPUTED_VALUE"""),"Sexual Weapon")</f>
        <v>Sexual Weapon</v>
      </c>
      <c r="F142" s="2" t="str">
        <f ca="1">IFERROR(__xludf.DUMMYFUNCTION("""COMPUTED_VALUE"""),"Monster Girl Quest V2")</f>
        <v>Monster Girl Quest V2</v>
      </c>
      <c r="G142" s="2" t="str">
        <f ca="1">IFERROR(__xludf.DUMMYFUNCTION("""COMPUTED_VALUE"""),"Magic")</f>
        <v>Magic</v>
      </c>
      <c r="H142" s="2" t="str">
        <f ca="1">IFERROR(__xludf.DUMMYFUNCTION("""COMPUTED_VALUE"""),"The Mamano of this world are made for sex, their biology is specifically designed around sex and power such that they can overwhelm men and reproduce with ease. As such their physical and magical power are tied to sex. Now your sexual abilities (Basically"&amp;" skill and how pleasurable your body feels to others, feel free to describe in what ways this occurs) have a direct correlation to your magical power and physical strength, though it is not an exact one to one growth. This also gives you a good grounding "&amp;"in Binding/Grappling attacks and allows you to choose between standard sex or RPG style attacks causing sudden bursts of pleasure followed by light pleasure to keep your victim aroused.")</f>
        <v>The Mamano of this world are made for sex, their biology is specifically designed around sex and power such that they can overwhelm men and reproduce with ease. As such their physical and magical power are tied to sex. Now your sexual abilities (Basically skill and how pleasurable your body feels to others, feel free to describe in what ways this occurs) have a direct correlation to your magical power and physical strength, though it is not an exact one to one growth. This also gives you a good grounding in Binding/Grappling attacks and allows you to choose between standard sex or RPG style attacks causing sudden bursts of pleasure followed by light pleasure to keep your victim aroused.</v>
      </c>
      <c r="I142" s="5"/>
    </row>
    <row r="143" spans="1:10" ht="52.2" x14ac:dyDescent="0.25">
      <c r="A143" s="16"/>
      <c r="B143" s="17">
        <v>139</v>
      </c>
      <c r="C143" s="2" t="b">
        <f ca="1">IFERROR(__xludf.DUMMYFUNCTION("""COMPUTED_VALUE"""),FALSE)</f>
        <v>0</v>
      </c>
      <c r="D143" s="2">
        <f ca="1">IFERROR(__xludf.DUMMYFUNCTION("""COMPUTED_VALUE"""),400)</f>
        <v>400</v>
      </c>
      <c r="E143" s="2" t="str">
        <f ca="1">IFERROR(__xludf.DUMMYFUNCTION("""COMPUTED_VALUE"""),"Soma Battery")</f>
        <v>Soma Battery</v>
      </c>
      <c r="F143" s="2" t="str">
        <f ca="1">IFERROR(__xludf.DUMMYFUNCTION("""COMPUTED_VALUE"""),"Seikon No Qwaser")</f>
        <v>Seikon No Qwaser</v>
      </c>
      <c r="G143" s="2" t="str">
        <f ca="1">IFERROR(__xludf.DUMMYFUNCTION("""COMPUTED_VALUE"""),"Magic")</f>
        <v>Magic</v>
      </c>
      <c r="H143" s="2" t="str">
        <f ca="1">IFERROR(__xludf.DUMMYFUNCTION("""COMPUTED_VALUE"""),"Most Qwasers have serious stamina issues, able to only fight at full intensity for a few minutes at a time before needing a refill. You, with this Perk? Your combat lifetime is measured in hours rather than minutes. Naturally this goes for any other ‘reso"&amp;"urce’ needed to keep fighting: Mana, magic, etc.")</f>
        <v>Most Qwasers have serious stamina issues, able to only fight at full intensity for a few minutes at a time before needing a refill. You, with this Perk? Your combat lifetime is measured in hours rather than minutes. Naturally this goes for any other ‘resource’ needed to keep fighting: Mana, magic, etc.</v>
      </c>
      <c r="I143" s="5"/>
    </row>
    <row r="144" spans="1:10" ht="330.6" x14ac:dyDescent="0.25">
      <c r="A144" s="16"/>
      <c r="B144" s="17">
        <v>140</v>
      </c>
      <c r="C144" s="2" t="b">
        <f ca="1">IFERROR(__xludf.DUMMYFUNCTION("""COMPUTED_VALUE"""),FALSE)</f>
        <v>0</v>
      </c>
      <c r="D144" s="2">
        <f ca="1">IFERROR(__xludf.DUMMYFUNCTION("""COMPUTED_VALUE"""),400)</f>
        <v>400</v>
      </c>
      <c r="E144" s="2" t="str">
        <f ca="1">IFERROR(__xludf.DUMMYFUNCTION("""COMPUTED_VALUE"""),"Spell Eater")</f>
        <v>Spell Eater</v>
      </c>
      <c r="F144" s="2" t="str">
        <f ca="1">IFERROR(__xludf.DUMMYFUNCTION("""COMPUTED_VALUE"""),"Mind Control University")</f>
        <v>Mind Control University</v>
      </c>
      <c r="G144" s="2" t="str">
        <f ca="1">IFERROR(__xludf.DUMMYFUNCTION("""COMPUTED_VALUE"""),"Magic")</f>
        <v>Magic</v>
      </c>
      <c r="H144" s="2" t="str">
        <f ca="1">IFERROR(__xludf.DUMMYFUNCTION("""COMPUTED_VALUE"""),"There is an item many magical worlds use called a spell eater. You don’t need such an item, though, because you’re capable of replicating its effects and more all on your own. Whenever someone casts a spell on you or the area you’re in, you can trivially "&amp;"form a link between your mana and theirs; until they manage to disrupt this link — such as by moving far enough away, it getting washed away by other mana, or them managing to unleash a chaotic burst of magic — you will start absorbing their mana. Each ti"&amp;"me this link is established with a given individual, the rate of mana transfer from that individual becomes a bit faster. 
Additionally, each time this link is established, a charm effect is applied to the linked individual, making them more friendly tow"&amp;"ards you and reluctant to attack or harm you; this effect fades with time once the link has been broken but grows more powerful and longer-lasting the more mana is absorbed through the link. Though the charm effect does not retain its strength from past l"&amp;"inks unless the link is reestablished before the effect completely fades, as the rate of mana transference grows faster each time the link is established, this means that the charm effect also grows stronger faster each time the link is established.
Thi"&amp;"s link cannot be used against you — this includes inverting it to absorb your mana or apply the charm effect to you. You need not concern yourself with absorbing too much; any excess mana will be safely dissipated into the environment.")</f>
        <v>There is an item many magical worlds use called a spell eater. You don’t need such an item, though, because you’re capable of replicating its effects and more all on your own. Whenever someone casts a spell on you or the area you’re in, you can trivially form a link between your mana and theirs; until they manage to disrupt this link — such as by moving far enough away, it getting washed away by other mana, or them managing to unleash a chaotic burst of magic — you will start absorbing their mana. Each time this link is established with a given individual, the rate of mana transfer from that individual becomes a bit faster. 
Additionally, each time this link is established, a charm effect is applied to the linked individual, making them more friendly towards you and reluctant to attack or harm you; this effect fades with time once the link has been broken but grows more powerful and longer-lasting the more mana is absorbed through the link. Though the charm effect does not retain its strength from past links unless the link is reestablished before the effect completely fades, as the rate of mana transference grows faster each time the link is established, this means that the charm effect also grows stronger faster each time the link is established.
This link cannot be used against you — this includes inverting it to absorb your mana or apply the charm effect to you. You need not concern yourself with absorbing too much; any excess mana will be safely dissipated into the environment.</v>
      </c>
      <c r="I144" s="5"/>
    </row>
    <row r="145" spans="1:9" ht="191.4" x14ac:dyDescent="0.25">
      <c r="A145" s="16"/>
      <c r="B145" s="17">
        <v>141</v>
      </c>
      <c r="C145" s="2" t="b">
        <f ca="1">IFERROR(__xludf.DUMMYFUNCTION("""COMPUTED_VALUE"""),FALSE)</f>
        <v>0</v>
      </c>
      <c r="D145" s="2">
        <f ca="1">IFERROR(__xludf.DUMMYFUNCTION("""COMPUTED_VALUE"""),400)</f>
        <v>400</v>
      </c>
      <c r="E145" s="2" t="str">
        <f ca="1">IFERROR(__xludf.DUMMYFUNCTION("""COMPUTED_VALUE"""),"Spellbound")</f>
        <v>Spellbound</v>
      </c>
      <c r="F145" s="2" t="str">
        <f ca="1">IFERROR(__xludf.DUMMYFUNCTION("""COMPUTED_VALUE"""),"Rope Master")</f>
        <v>Rope Master</v>
      </c>
      <c r="G145" s="2" t="str">
        <f ca="1">IFERROR(__xludf.DUMMYFUNCTION("""COMPUTED_VALUE"""),"Magic")</f>
        <v>Magic</v>
      </c>
      <c r="H145" s="2" t="str">
        <f ca="1">IFERROR(__xludf.DUMMYFUNCTION("""COMPUTED_VALUE"""),"The purest form of dominance and the pinnacle of a rope master’s arts is his command of magic, allowing him to dominate the world around him and bend it to his will with no more effort than a misbehaving slave. You’re a powerful sorcerer who can perform a"&amp;"ll manner of spells, from conjuring ropes or other objects out of thin air, to dominating your enemies with hypnosis, to weaving your spells into objects to create magical artifacts like dragon ropes. These are but a few of the powers at your command, but"&amp;" truly mastering them will demand many years of training. Your dominant nature also empowers your magic with your willpower. Your foes may outclass you in magical power or skill, but if they succumb to your charm or lose a battle of wills then you can lev"&amp;"erage that weakness to level the playing field, shrugging off their spells or punching right through their best defenses like tissue paper. Even the most powerful enemies you can imagine can be brought down to your level and forced to fight you like an eq"&amp;"ual if your will is stronger than theirs.")</f>
        <v>The purest form of dominance and the pinnacle of a rope master’s arts is his command of magic, allowing him to dominate the world around him and bend it to his will with no more effort than a misbehaving slave. You’re a powerful sorcerer who can perform all manner of spells, from conjuring ropes or other objects out of thin air, to dominating your enemies with hypnosis, to weaving your spells into objects to create magical artifacts like dragon ropes. These are but a few of the powers at your command, but truly mastering them will demand many years of training. Your dominant nature also empowers your magic with your willpower. Your foes may outclass you in magical power or skill, but if they succumb to your charm or lose a battle of wills then you can leverage that weakness to level the playing field, shrugging off their spells or punching right through their best defenses like tissue paper. Even the most powerful enemies you can imagine can be brought down to your level and forced to fight you like an equal if your will is stronger than theirs.</v>
      </c>
      <c r="I145" s="5"/>
    </row>
    <row r="146" spans="1:9" ht="104.4" x14ac:dyDescent="0.25">
      <c r="A146" s="16"/>
      <c r="B146" s="17">
        <v>142</v>
      </c>
      <c r="C146" s="2" t="b">
        <f ca="1">IFERROR(__xludf.DUMMYFUNCTION("""COMPUTED_VALUE"""),FALSE)</f>
        <v>0</v>
      </c>
      <c r="D146" s="2">
        <f ca="1">IFERROR(__xludf.DUMMYFUNCTION("""COMPUTED_VALUE"""),400)</f>
        <v>400</v>
      </c>
      <c r="E146" s="2" t="str">
        <f ca="1">IFERROR(__xludf.DUMMYFUNCTION("""COMPUTED_VALUE"""),"Stopwatch")</f>
        <v>Stopwatch</v>
      </c>
      <c r="F146" s="2" t="str">
        <f ca="1">IFERROR(__xludf.DUMMYFUNCTION("""COMPUTED_VALUE"""),"Smash Bros XXXtreme")</f>
        <v>Smash Bros XXXtreme</v>
      </c>
      <c r="G146" s="2" t="str">
        <f ca="1">IFERROR(__xludf.DUMMYFUNCTION("""COMPUTED_VALUE"""),"Magic")</f>
        <v>Magic</v>
      </c>
      <c r="H146" s="2" t="str">
        <f ca="1">IFERROR(__xludf.DUMMYFUNCTION("""COMPUTED_VALUE"""),"Finally, something at least vaguely usable in combat! Well, sort of. This stopwatch has the magical power to stop time for short bursts. Well, no it doesn't. That's a different version of the watch. This one instead seems to turn off a person's ability to"&amp;" control their own body, leaving them stuck in a mannequin like state of being. Aware and able to speak, but unable to move under their own power. The watch can affect up to seven people at the same time, and will last for a few minutes per use - or until"&amp;" someone clicks the button on top and thus turning it off.")</f>
        <v>Finally, something at least vaguely usable in combat! Well, sort of. This stopwatch has the magical power to stop time for short bursts. Well, no it doesn't. That's a different version of the watch. This one instead seems to turn off a person's ability to control their own body, leaving them stuck in a mannequin like state of being. Aware and able to speak, but unable to move under their own power. The watch can affect up to seven people at the same time, and will last for a few minutes per use - or until someone clicks the button on top and thus turning it off.</v>
      </c>
      <c r="I146" s="5"/>
    </row>
    <row r="147" spans="1:9" ht="121.8" x14ac:dyDescent="0.25">
      <c r="A147" s="16"/>
      <c r="B147" s="17">
        <v>143</v>
      </c>
      <c r="C147" s="2" t="b">
        <f ca="1">IFERROR(__xludf.DUMMYFUNCTION("""COMPUTED_VALUE"""),FALSE)</f>
        <v>0</v>
      </c>
      <c r="D147" s="2">
        <f ca="1">IFERROR(__xludf.DUMMYFUNCTION("""COMPUTED_VALUE"""),400)</f>
        <v>400</v>
      </c>
      <c r="E147" s="2" t="str">
        <f ca="1">IFERROR(__xludf.DUMMYFUNCTION("""COMPUTED_VALUE"""),"Succubus Speciality")</f>
        <v>Succubus Speciality</v>
      </c>
      <c r="F147" s="2" t="str">
        <f ca="1">IFERROR(__xludf.DUMMYFUNCTION("""COMPUTED_VALUE"""),"Prina the Dungeoneering Princess")</f>
        <v>Prina the Dungeoneering Princess</v>
      </c>
      <c r="G147" s="2" t="str">
        <f ca="1">IFERROR(__xludf.DUMMYFUNCTION("""COMPUTED_VALUE"""),"Magic")</f>
        <v>Magic</v>
      </c>
      <c r="H147" s="2" t="str">
        <f ca="1">IFERROR(__xludf.DUMMYFUNCTION("""COMPUTED_VALUE"""),"By this point if you need telling that a succubus’s speciality is sex, you probably shouldn’t be one. With that in mind, you’ve learned a plethora of magic to help with your bedroom activities. Well, calling it that implies you only do it there, something"&amp;" that is blatantly untrue. Making skin transparent in an imitation of x-ray vision, control over the folds of your vagina, transfering sensations, a spell to make nine months of pregnancy into nine minutes, one to temporarily return the body to a virgin s"&amp;"tate - and dozens to make it lewder than ever. The magics of a succubus are quite strange, but also extremely enjoyable.")</f>
        <v>By this point if you need telling that a succubus’s speciality is sex, you probably shouldn’t be one. With that in mind, you’ve learned a plethora of magic to help with your bedroom activities. Well, calling it that implies you only do it there, something that is blatantly untrue. Making skin transparent in an imitation of x-ray vision, control over the folds of your vagina, transfering sensations, a spell to make nine months of pregnancy into nine minutes, one to temporarily return the body to a virgin state - and dozens to make it lewder than ever. The magics of a succubus are quite strange, but also extremely enjoyable.</v>
      </c>
      <c r="I147" s="5"/>
    </row>
    <row r="148" spans="1:9" ht="243.6" x14ac:dyDescent="0.25">
      <c r="A148" s="16"/>
      <c r="B148" s="17">
        <v>144</v>
      </c>
      <c r="C148" s="2" t="b">
        <f ca="1">IFERROR(__xludf.DUMMYFUNCTION("""COMPUTED_VALUE"""),FALSE)</f>
        <v>0</v>
      </c>
      <c r="D148" s="2">
        <f ca="1">IFERROR(__xludf.DUMMYFUNCTION("""COMPUTED_VALUE"""),400)</f>
        <v>400</v>
      </c>
      <c r="E148" s="2" t="str">
        <f ca="1">IFERROR(__xludf.DUMMYFUNCTION("""COMPUTED_VALUE"""),"Tarnished Materia")</f>
        <v>Tarnished Materia</v>
      </c>
      <c r="F148" s="2" t="str">
        <f ca="1">IFERROR(__xludf.DUMMYFUNCTION("""COMPUTED_VALUE"""),"Tifa Lockhart - Agent of Avalanche")</f>
        <v>Tifa Lockhart - Agent of Avalanche</v>
      </c>
      <c r="G148" s="2" t="str">
        <f ca="1">IFERROR(__xludf.DUMMYFUNCTION("""COMPUTED_VALUE"""),"Magic")</f>
        <v>Magic</v>
      </c>
      <c r="H148" s="2" t="str">
        <f ca="1">IFERROR(__xludf.DUMMYFUNCTION("""COMPUTED_VALUE"""),"Materia are the crystalized knowledge and wisdom of the ancients, so it’s not surprising that some contain their desires as well. These pink-tinged materia offer access to powerful spells and abilities at the cost of making your body far more sensitive an"&amp;"d lewd for each one you equip. 
Spellcasting materia grant you the most powerful forms of their spells and special materia offer you the greatest skills of the ancient warriors, but each spell you cast arouses your ardor in lieu of draining your mental s"&amp;"tamina, and passive boosts will also passively inflict new fetishes on you until you remove them from your person. 
In theory these materia could be used as a source of almost limitless magical power, but in return for martial prowess and magical ability"&amp;" you make yourself much more vulnerable to men and beasts with more depraved ways of fighting. Rely too much on your borrowed powers and the carnal desires of the ancients can easily reduce you to a glass cannon who cums like a fountain at the slightest t"&amp;"ouch.")</f>
        <v>Materia are the crystalized knowledge and wisdom of the ancients, so it’s not surprising that some contain their desires as well. These pink-tinged materia offer access to powerful spells and abilities at the cost of making your body far more sensitive and lewd for each one you equip. 
Spellcasting materia grant you the most powerful forms of their spells and special materia offer you the greatest skills of the ancient warriors, but each spell you cast arouses your ardor in lieu of draining your mental stamina, and passive boosts will also passively inflict new fetishes on you until you remove them from your person. 
In theory these materia could be used as a source of almost limitless magical power, but in return for martial prowess and magical ability you make yourself much more vulnerable to men and beasts with more depraved ways of fighting. Rely too much on your borrowed powers and the carnal desires of the ancients can easily reduce you to a glass cannon who cums like a fountain at the slightest touch.</v>
      </c>
      <c r="I148" s="5"/>
    </row>
    <row r="149" spans="1:9" ht="156.6" x14ac:dyDescent="0.25">
      <c r="A149" s="16"/>
      <c r="B149" s="17">
        <v>145</v>
      </c>
      <c r="C149" s="2" t="b">
        <f ca="1">IFERROR(__xludf.DUMMYFUNCTION("""COMPUTED_VALUE"""),FALSE)</f>
        <v>0</v>
      </c>
      <c r="D149" s="2">
        <f ca="1">IFERROR(__xludf.DUMMYFUNCTION("""COMPUTED_VALUE"""),400)</f>
        <v>400</v>
      </c>
      <c r="E149" s="2" t="str">
        <f ca="1">IFERROR(__xludf.DUMMYFUNCTION("""COMPUTED_VALUE"""),"Teacher's Pets")</f>
        <v>Teacher's Pets</v>
      </c>
      <c r="F149" s="2" t="str">
        <f ca="1">IFERROR(__xludf.DUMMYFUNCTION("""COMPUTED_VALUE"""),"“I'm in Another World, So I Guess I'll Use Magic to Be Lewd!”")</f>
        <v>“I'm in Another World, So I Guess I'll Use Magic to Be Lewd!”</v>
      </c>
      <c r="G149" s="2" t="str">
        <f ca="1">IFERROR(__xludf.DUMMYFUNCTION("""COMPUTED_VALUE"""),"Magic")</f>
        <v>Magic</v>
      </c>
      <c r="H149" s="2" t="str">
        <f ca="1">IFERROR(__xludf.DUMMYFUNCTION("""COMPUTED_VALUE"""),"Who could possibly be a better teacher of magic than the legendary hero who mastered magic? Probably lots of people, but few of them will get results like you do, even if your methods are kinda sketchy. You’re an excellent teacher, able to condense comple"&amp;"x subject material into lessons that even a simpleton could understand, and when it’s not a matter of intelligence holding your students back you can even train their raw aptitude through... less traditional training methods. By having sex with your stude"&amp;"nts you can impart a fraction of your own abilities into them, allowing even those with no magical talent to gain the first spark of power they need to become proper mages. Of course you’re also quite talented at training your pupils in the sexual arts, t"&amp;"urning your innocent students into lusty and loyal little pets.")</f>
        <v>Who could possibly be a better teacher of magic than the legendary hero who mastered magic? Probably lots of people, but few of them will get results like you do, even if your methods are kinda sketchy. You’re an excellent teacher, able to condense complex subject material into lessons that even a simpleton could understand, and when it’s not a matter of intelligence holding your students back you can even train their raw aptitude through... less traditional training methods. By having sex with your students you can impart a fraction of your own abilities into them, allowing even those with no magical talent to gain the first spark of power they need to become proper mages. Of course you’re also quite talented at training your pupils in the sexual arts, turning your innocent students into lusty and loyal little pets.</v>
      </c>
      <c r="I149" s="5"/>
    </row>
    <row r="150" spans="1:9" ht="208.8" x14ac:dyDescent="0.25">
      <c r="A150" s="16"/>
      <c r="B150" s="17">
        <v>146</v>
      </c>
      <c r="C150" s="2" t="b">
        <f ca="1">IFERROR(__xludf.DUMMYFUNCTION("""COMPUTED_VALUE"""),FALSE)</f>
        <v>0</v>
      </c>
      <c r="D150" s="2">
        <f ca="1">IFERROR(__xludf.DUMMYFUNCTION("""COMPUTED_VALUE"""),400)</f>
        <v>400</v>
      </c>
      <c r="E150" s="2" t="str">
        <f ca="1">IFERROR(__xludf.DUMMYFUNCTION("""COMPUTED_VALUE"""),"The Magic of Love")</f>
        <v>The Magic of Love</v>
      </c>
      <c r="F150" s="2" t="str">
        <f ca="1">IFERROR(__xludf.DUMMYFUNCTION("""COMPUTED_VALUE"""),"Archangel of Love, Love Mary ~Malignant Conception~")</f>
        <v>Archangel of Love, Love Mary ~Malignant Conception~</v>
      </c>
      <c r="G150" s="2" t="str">
        <f ca="1">IFERROR(__xludf.DUMMYFUNCTION("""COMPUTED_VALUE"""),"Magic")</f>
        <v>Magic</v>
      </c>
      <c r="H150" s="2" t="str">
        <f ca="1">IFERROR(__xludf.DUMMYFUNCTION("""COMPUTED_VALUE"""),"You’ve grown as an Archangel, and have developed some sort of magic of your very own! You might be able to boost one of your physical attributes even further beyond its already potent level, or you could be able to fire magical beams. Perhaps you could ge"&amp;"nerate and control one of the elements, or empower technology with your magic. It could be that you can fly, heal, create weapons out of light, or even cast illusions — anything that could help you fight against the demonic threat. What they share in comm"&amp;"on is that all of them become more powerful when you are fighting for someone that you love. 
This perk may be purchased any number of times, whenever you could purchase a perk, and such purchases are discounted to 200 CP if you are an angel (or can beco"&amp;"me one) or are similarly 'holy'. If purchased by (or used as) a Demon, then rather than improving with love, your magic will be boosted when fighting for your own selfish desires.")</f>
        <v>You’ve grown as an Archangel, and have developed some sort of magic of your very own! You might be able to boost one of your physical attributes even further beyond its already potent level, or you could be able to fire magical beams. Perhaps you could generate and control one of the elements, or empower technology with your magic. It could be that you can fly, heal, create weapons out of light, or even cast illusions — anything that could help you fight against the demonic threat. What they share in common is that all of them become more powerful when you are fighting for someone that you love. 
This perk may be purchased any number of times, whenever you could purchase a perk, and such purchases are discounted to 200 CP if you are an angel (or can become one) or are similarly 'holy'. If purchased by (or used as) a Demon, then rather than improving with love, your magic will be boosted when fighting for your own selfish desires.</v>
      </c>
      <c r="I150" s="5"/>
    </row>
    <row r="151" spans="1:9" ht="104.4" x14ac:dyDescent="0.25">
      <c r="A151" s="16"/>
      <c r="B151" s="17">
        <v>147</v>
      </c>
      <c r="C151" s="2" t="b">
        <f ca="1">IFERROR(__xludf.DUMMYFUNCTION("""COMPUTED_VALUE"""),FALSE)</f>
        <v>0</v>
      </c>
      <c r="D151" s="2">
        <f ca="1">IFERROR(__xludf.DUMMYFUNCTION("""COMPUTED_VALUE"""),400)</f>
        <v>400</v>
      </c>
      <c r="E151" s="2" t="str">
        <f ca="1">IFERROR(__xludf.DUMMYFUNCTION("""COMPUTED_VALUE"""),"Trap Master")</f>
        <v>Trap Master</v>
      </c>
      <c r="F151" s="2" t="str">
        <f ca="1">IFERROR(__xludf.DUMMYFUNCTION("""COMPUTED_VALUE"""),"Omega Labyrinth: Life")</f>
        <v>Omega Labyrinth: Life</v>
      </c>
      <c r="G151" s="2" t="str">
        <f ca="1">IFERROR(__xludf.DUMMYFUNCTION("""COMPUTED_VALUE"""),"Magic")</f>
        <v>Magic</v>
      </c>
      <c r="H151" s="2" t="str">
        <f ca="1">IFERROR(__xludf.DUMMYFUNCTION("""COMPUTED_VALUE"""),"The Holy Caves are littered with traps, ranging from the ones you might expect: poison arrows, lightning runes, explosives, to the kind that you could only find at an academy as lewd as La Belles Fleur. Such as temporarily turning the victim into a floati"&amp;"ng set of panties, causing someone to slip on ‘lube,’ or, such horror, shrinking a woman’s breasts! You are now endowed with the knowledge and ability on how to create all of these traps, lewd and otherwise, at a rate of one every ten minutes. Once set, t"&amp;"hey are invisible to the naked eye, but magic can detect them.")</f>
        <v>The Holy Caves are littered with traps, ranging from the ones you might expect: poison arrows, lightning runes, explosives, to the kind that you could only find at an academy as lewd as La Belles Fleur. Such as temporarily turning the victim into a floating set of panties, causing someone to slip on ‘lube,’ or, such horror, shrinking a woman’s breasts! You are now endowed with the knowledge and ability on how to create all of these traps, lewd and otherwise, at a rate of one every ten minutes. Once set, they are invisible to the naked eye, but magic can detect them.</v>
      </c>
      <c r="I151" s="5"/>
    </row>
    <row r="152" spans="1:9" ht="104.4" x14ac:dyDescent="0.25">
      <c r="A152" s="16"/>
      <c r="B152" s="17">
        <v>148</v>
      </c>
      <c r="C152" s="2" t="b">
        <f ca="1">IFERROR(__xludf.DUMMYFUNCTION("""COMPUTED_VALUE"""),FALSE)</f>
        <v>0</v>
      </c>
      <c r="D152" s="2">
        <f ca="1">IFERROR(__xludf.DUMMYFUNCTION("""COMPUTED_VALUE"""),400)</f>
        <v>400</v>
      </c>
      <c r="E152" s="2" t="str">
        <f ca="1">IFERROR(__xludf.DUMMYFUNCTION("""COMPUTED_VALUE"""),"Trickster's Camera")</f>
        <v>Trickster's Camera</v>
      </c>
      <c r="F152" s="2" t="str">
        <f ca="1">IFERROR(__xludf.DUMMYFUNCTION("""COMPUTED_VALUE"""),"Gensoukyou Futanari Chinpo Wrestling")</f>
        <v>Gensoukyou Futanari Chinpo Wrestling</v>
      </c>
      <c r="G152" s="2" t="str">
        <f ca="1">IFERROR(__xludf.DUMMYFUNCTION("""COMPUTED_VALUE"""),"Magic")</f>
        <v>Magic</v>
      </c>
      <c r="H152" s="2" t="str">
        <f ca="1">IFERROR(__xludf.DUMMYFUNCTION("""COMPUTED_VALUE"""),"One might think it a mere toy but in reality it's as powerful as any spell card. Sure, if it can be used as a normal camera (and never runs out of power or film), but more importantly, taking a picture will remove any projectiles as well as sending a shoc"&amp;"k through anyone caught in the shot as their energies are disrupted. Naturally, this ‘shock’ is incredibly pleasurable, sending jolts of bliss through any body part affected with enough force that they’re sure to be stunned for at least an instant. And if"&amp;" one were sadistic enough to just keep clicking...")</f>
        <v>One might think it a mere toy but in reality it's as powerful as any spell card. Sure, if it can be used as a normal camera (and never runs out of power or film), but more importantly, taking a picture will remove any projectiles as well as sending a shock through anyone caught in the shot as their energies are disrupted. Naturally, this ‘shock’ is incredibly pleasurable, sending jolts of bliss through any body part affected with enough force that they’re sure to be stunned for at least an instant. And if one were sadistic enough to just keep clicking...</v>
      </c>
      <c r="I152" s="5"/>
    </row>
    <row r="153" spans="1:9" ht="174" x14ac:dyDescent="0.25">
      <c r="A153" s="16"/>
      <c r="B153" s="17">
        <v>149</v>
      </c>
      <c r="C153" s="2" t="b">
        <f ca="1">IFERROR(__xludf.DUMMYFUNCTION("""COMPUTED_VALUE"""),FALSE)</f>
        <v>0</v>
      </c>
      <c r="D153" s="2">
        <f ca="1">IFERROR(__xludf.DUMMYFUNCTION("""COMPUTED_VALUE"""),400)</f>
        <v>400</v>
      </c>
      <c r="E153" s="2" t="str">
        <f ca="1">IFERROR(__xludf.DUMMYFUNCTION("""COMPUTED_VALUE"""),"Wicked Statue")</f>
        <v>Wicked Statue</v>
      </c>
      <c r="F153" s="2" t="str">
        <f ca="1">IFERROR(__xludf.DUMMYFUNCTION("""COMPUTED_VALUE"""),"Breathless Wild")</f>
        <v>Breathless Wild</v>
      </c>
      <c r="G153" s="2" t="str">
        <f ca="1">IFERROR(__xludf.DUMMYFUNCTION("""COMPUTED_VALUE"""),"Magic")</f>
        <v>Magic</v>
      </c>
      <c r="H153" s="2" t="str">
        <f ca="1">IFERROR(__xludf.DUMMYFUNCTION("""COMPUTED_VALUE"""),"A weathered statue resembling an ancient gargoyle or succubus, this statue has a foreboding presence and houses the spirit of an ancient and powerful demon. Not the most trustworthy company to keep, but there are some benefits to associating with this cre"&amp;"ature. They have considerable magical power at their disposal and great skill with it, though due to their imprisonment they can only use it on consenting targets like adventurers who strike bargains with them. They have no love for Ganon and will always "&amp;"keep to the letter and spirit of bargains you make with them, though they aren’t above playing occasional lewd pranks if you become careless in your dealings with them. The payment for their services usually involves letting them have their way with you s"&amp;"ome way or another, but the width and depth of the arcane skills and dark magic (as well as their incredible skill as a lover) ought to make such deals worth your while.")</f>
        <v>A weathered statue resembling an ancient gargoyle or succubus, this statue has a foreboding presence and houses the spirit of an ancient and powerful demon. Not the most trustworthy company to keep, but there are some benefits to associating with this creature. They have considerable magical power at their disposal and great skill with it, though due to their imprisonment they can only use it on consenting targets like adventurers who strike bargains with them. They have no love for Ganon and will always keep to the letter and spirit of bargains you make with them, though they aren’t above playing occasional lewd pranks if you become careless in your dealings with them. The payment for their services usually involves letting them have their way with you some way or another, but the width and depth of the arcane skills and dark magic (as well as their incredible skill as a lover) ought to make such deals worth your while.</v>
      </c>
      <c r="I153" s="5"/>
    </row>
    <row r="154" spans="1:9" ht="330.6" x14ac:dyDescent="0.25">
      <c r="A154" s="16"/>
      <c r="B154" s="17">
        <v>150</v>
      </c>
      <c r="C154" s="2" t="b">
        <f ca="1">IFERROR(__xludf.DUMMYFUNCTION("""COMPUTED_VALUE"""),FALSE)</f>
        <v>0</v>
      </c>
      <c r="D154" s="2">
        <f ca="1">IFERROR(__xludf.DUMMYFUNCTION("""COMPUTED_VALUE"""),500)</f>
        <v>500</v>
      </c>
      <c r="E154" s="2" t="str">
        <f ca="1">IFERROR(__xludf.DUMMYFUNCTION("""COMPUTED_VALUE"""),"Chaldean Summoning Circle")</f>
        <v>Chaldean Summoning Circle</v>
      </c>
      <c r="F154" s="2" t="str">
        <f ca="1">IFERROR(__xludf.DUMMYFUNCTION("""COMPUTED_VALUE"""),"Fate/Grand Master")</f>
        <v>Fate/Grand Master</v>
      </c>
      <c r="G154" s="2" t="str">
        <f ca="1">IFERROR(__xludf.DUMMYFUNCTION("""COMPUTED_VALUE"""),"Magic")</f>
        <v>Magic</v>
      </c>
      <c r="H154" s="2" t="str">
        <f ca="1">IFERROR(__xludf.DUMMYFUNCTION("""COMPUTED_VALUE"""),"Chaldea has done more to advance the field of servant summoning than anyone in human history, and as the master of Chaldea you’re the rightful heir to all that progress. This summoning circle is a replica of the one in Chaldea’s summoning chamber save tha"&amp;"t it lacks a nuclear reactor. This means you will be supplying your own mana to both summon, maintain, and empower any servants you summons, an act which can be extremely taxing even for a powerful magus.
This summoning circle allows the summoning of alt"&amp;"ernate versions of known servants; by reaching into parallel worlds you can summon a busty female Gilgamesh, adult versions of Nursery Rhyme or Jack the Ripper, and so on. Simply by altering the circle’s parameters you can filter the circle’s summoning re"&amp;"sults, such as making it summon exclusively female servants or only MILFs or tomboys and so on. With a little adjustment, you can even have the circle reach into worlds beyond that of the original Chaldea, allowing you to summon servants they couldn't hav"&amp;"e imagined.
This perk comes with 1 command seal that take the form of a red, three part, symbolic tattoo on your body. It lets you give an order to someone you have a magical binding with to act. This can forced them to do something they wouldn't or coul"&amp;"dn't normally do, like teleport to your side or instantly heal from the edge of death. This seal will regenerate after 1 week, but this can be accelerated at the cost of a massive amount of magical energy. Spending this seal will not break your servant co"&amp;"ntracts.")</f>
        <v>Chaldea has done more to advance the field of servant summoning than anyone in human history, and as the master of Chaldea you’re the rightful heir to all that progress. This summoning circle is a replica of the one in Chaldea’s summoning chamber save that it lacks a nuclear reactor. This means you will be supplying your own mana to both summon, maintain, and empower any servants you summons, an act which can be extremely taxing even for a powerful magus.
This summoning circle allows the summoning of alternate versions of known servants; by reaching into parallel worlds you can summon a busty female Gilgamesh, adult versions of Nursery Rhyme or Jack the Ripper, and so on. Simply by altering the circle’s parameters you can filter the circle’s summoning results, such as making it summon exclusively female servants or only MILFs or tomboys and so on. With a little adjustment, you can even have the circle reach into worlds beyond that of the original Chaldea, allowing you to summon servants they couldn't have imagined.
This perk comes with 1 command seal that take the form of a red, three part, symbolic tattoo on your body. It lets you give an order to someone you have a magical binding with to act. This can forced them to do something they wouldn't or couldn't normally do, like teleport to your side or instantly heal from the edge of death. This seal will regenerate after 1 week, but this can be accelerated at the cost of a massive amount of magical energy. Spending this seal will not break your servant contracts.</v>
      </c>
      <c r="I154" s="5"/>
    </row>
    <row r="155" spans="1:9" ht="104.4" x14ac:dyDescent="0.25">
      <c r="A155" s="16"/>
      <c r="B155" s="17">
        <v>151</v>
      </c>
      <c r="C155" s="2" t="b">
        <f ca="1">IFERROR(__xludf.DUMMYFUNCTION("""COMPUTED_VALUE"""),FALSE)</f>
        <v>0</v>
      </c>
      <c r="D155" s="2">
        <f ca="1">IFERROR(__xludf.DUMMYFUNCTION("""COMPUTED_VALUE"""),500)</f>
        <v>500</v>
      </c>
      <c r="E155" s="2" t="str">
        <f ca="1">IFERROR(__xludf.DUMMYFUNCTION("""COMPUTED_VALUE"""),"Devour Knowledge")</f>
        <v>Devour Knowledge</v>
      </c>
      <c r="F155" s="2" t="str">
        <f ca="1">IFERROR(__xludf.DUMMYFUNCTION("""COMPUTED_VALUE"""),"SUPER FATTY RPG")</f>
        <v>SUPER FATTY RPG</v>
      </c>
      <c r="G155" s="2" t="str">
        <f ca="1">IFERROR(__xludf.DUMMYFUNCTION("""COMPUTED_VALUE"""),"Magic")</f>
        <v>Magic</v>
      </c>
      <c r="H155" s="2" t="str">
        <f ca="1">IFERROR(__xludf.DUMMYFUNCTION("""COMPUTED_VALUE"""),"In Limbo you can follow a series of steps involving the literal consumption of forbidden knowledge in order to gain incredible power. Now you can do this with other unique sources of powerful knowledge. Literally eating the words off the page or data stor"&amp;"age device in order to gain their power. The benefits of devouring this knowledge will vary based on the source. Eating an elder scroll for example, might grant you the power to perceive time in ways others would be driven insane by.")</f>
        <v>In Limbo you can follow a series of steps involving the literal consumption of forbidden knowledge in order to gain incredible power. Now you can do this with other unique sources of powerful knowledge. Literally eating the words off the page or data storage device in order to gain their power. The benefits of devouring this knowledge will vary based on the source. Eating an elder scroll for example, might grant you the power to perceive time in ways others would be driven insane by.</v>
      </c>
      <c r="I155" s="5"/>
    </row>
    <row r="156" spans="1:9" ht="104.4" x14ac:dyDescent="0.25">
      <c r="A156" s="16"/>
      <c r="B156" s="17">
        <v>152</v>
      </c>
      <c r="C156" s="2" t="b">
        <f ca="1">IFERROR(__xludf.DUMMYFUNCTION("""COMPUTED_VALUE"""),FALSE)</f>
        <v>0</v>
      </c>
      <c r="D156" s="2">
        <f ca="1">IFERROR(__xludf.DUMMYFUNCTION("""COMPUTED_VALUE"""),500)</f>
        <v>500</v>
      </c>
      <c r="E156" s="2" t="str">
        <f ca="1">IFERROR(__xludf.DUMMYFUNCTION("""COMPUTED_VALUE"""),"Devourer of Light")</f>
        <v>Devourer of Light</v>
      </c>
      <c r="F156" s="2" t="str">
        <f ca="1">IFERROR(__xludf.DUMMYFUNCTION("""COMPUTED_VALUE"""),"The Lamuros Of Seven Colors")</f>
        <v>The Lamuros Of Seven Colors</v>
      </c>
      <c r="G156" s="2" t="str">
        <f ca="1">IFERROR(__xludf.DUMMYFUNCTION("""COMPUTED_VALUE"""),"Magic")</f>
        <v>Magic</v>
      </c>
      <c r="H156" s="2" t="str">
        <f ca="1">IFERROR(__xludf.DUMMYFUNCTION("""COMPUTED_VALUE"""),"Light, in many senses, means hope. There are of course other 'translations', but here that is the main one. How interesting then, that you should be capable of eating that light. Normally holy power would be anathema to a demon, but to you it is a delecta"&amp;"ble meal. More importantly, it's fuel for your growth. Basically? Whatever experiments or training you would normally need to improve your various biological abilities can be replaced by a good raping. And since this is still technically an anti-holy abil"&amp;"ity, raping people who qualify as holy get you some of the best possible results.")</f>
        <v>Light, in many senses, means hope. There are of course other 'translations', but here that is the main one. How interesting then, that you should be capable of eating that light. Normally holy power would be anathema to a demon, but to you it is a delectable meal. More importantly, it's fuel for your growth. Basically? Whatever experiments or training you would normally need to improve your various biological abilities can be replaced by a good raping. And since this is still technically an anti-holy ability, raping people who qualify as holy get you some of the best possible results.</v>
      </c>
      <c r="I156" s="5"/>
    </row>
    <row r="157" spans="1:9" ht="87" x14ac:dyDescent="0.25">
      <c r="A157" s="16"/>
      <c r="B157" s="17">
        <v>153</v>
      </c>
      <c r="C157" s="2" t="b">
        <f ca="1">IFERROR(__xludf.DUMMYFUNCTION("""COMPUTED_VALUE"""),FALSE)</f>
        <v>0</v>
      </c>
      <c r="D157" s="2">
        <f ca="1">IFERROR(__xludf.DUMMYFUNCTION("""COMPUTED_VALUE"""),500)</f>
        <v>500</v>
      </c>
      <c r="E157" s="2" t="str">
        <f ca="1">IFERROR(__xludf.DUMMYFUNCTION("""COMPUTED_VALUE"""),"Genius Loci")</f>
        <v>Genius Loci</v>
      </c>
      <c r="F157" s="2" t="str">
        <f ca="1">IFERROR(__xludf.DUMMYFUNCTION("""COMPUTED_VALUE"""),"Generic: Hentai Occult")</f>
        <v>Generic: Hentai Occult</v>
      </c>
      <c r="G157" s="2" t="str">
        <f ca="1">IFERROR(__xludf.DUMMYFUNCTION("""COMPUTED_VALUE"""),"Magic")</f>
        <v>Magic</v>
      </c>
      <c r="H157" s="2" t="str">
        <f ca="1">IFERROR(__xludf.DUMMYFUNCTION("""COMPUTED_VALUE"""),"While you are within any location that you own your will is... Not quite absolute, but they’d have to be hundreds of times more powerful to ignore it. Simply put, you can set rules for this area. No clothes, complimentary blowjobs, free groping, that kind"&amp;" of stuff. These rules can be enhanced by powers or items you own. For example, if you were to possess some sort of artifact with mind powers, you’d have even more freedom to play with people.")</f>
        <v>While you are within any location that you own your will is... Not quite absolute, but they’d have to be hundreds of times more powerful to ignore it. Simply put, you can set rules for this area. No clothes, complimentary blowjobs, free groping, that kind of stuff. These rules can be enhanced by powers or items you own. For example, if you were to possess some sort of artifact with mind powers, you’d have even more freedom to play with people.</v>
      </c>
      <c r="I157" s="5"/>
    </row>
    <row r="158" spans="1:9" ht="243.6" x14ac:dyDescent="0.25">
      <c r="A158" s="16"/>
      <c r="B158" s="17">
        <v>154</v>
      </c>
      <c r="C158" s="2" t="b">
        <f ca="1">IFERROR(__xludf.DUMMYFUNCTION("""COMPUTED_VALUE"""),FALSE)</f>
        <v>0</v>
      </c>
      <c r="D158" s="2">
        <f ca="1">IFERROR(__xludf.DUMMYFUNCTION("""COMPUTED_VALUE"""),500)</f>
        <v>500</v>
      </c>
      <c r="E158" s="2" t="str">
        <f ca="1">IFERROR(__xludf.DUMMYFUNCTION("""COMPUTED_VALUE"""),"Master Summon Materia")</f>
        <v>Master Summon Materia</v>
      </c>
      <c r="F158" s="2" t="str">
        <f ca="1">IFERROR(__xludf.DUMMYFUNCTION("""COMPUTED_VALUE"""),"Tifa Lockhart - Agent of Avalanche")</f>
        <v>Tifa Lockhart - Agent of Avalanche</v>
      </c>
      <c r="G158" s="2" t="str">
        <f ca="1">IFERROR(__xludf.DUMMYFUNCTION("""COMPUTED_VALUE"""),"Magic")</f>
        <v>Magic</v>
      </c>
      <c r="H158" s="2" t="str">
        <f ca="1">IFERROR(__xludf.DUMMYFUNCTION("""COMPUTED_VALUE"""),"Summons are some of the most valuable materia, allowing you to call upon ancient and powerful creatures like Shiva, Ifrit, and Bahamut. This special summon materia will allow you to do just that, provided that you find them first. This materia allows you "&amp;"to bind any number of summons that you come across. The process will require that you overpower them, either physically or magically, or at least have them acknowledge your superiority over them, but once done you will have a powerful ally. Of course, if "&amp;"they are already bound to you by other means - a more specific summon materia, for example - you can accomplish the process easily. 
The origins of this materia remain unknown; perhaps it was a Shinra experiment, a weapon built for enslaving the summons "&amp;"to the wielder’s will. That might explain why they manifest in such pleasing bodies, as if they were sculpted to meet your desires whenever you call on them. Ifrit might come to your side in the form of a huge and bestial demon or a shapely and fertile mo"&amp;"nstergirl, and an experienced summoner could even learn to manifest the summon’s powers and physical attributes through their own body.")</f>
        <v>Summons are some of the most valuable materia, allowing you to call upon ancient and powerful creatures like Shiva, Ifrit, and Bahamut. This special summon materia will allow you to do just that, provided that you find them first. This materia allows you to bind any number of summons that you come across. The process will require that you overpower them, either physically or magically, or at least have them acknowledge your superiority over them, but once done you will have a powerful ally. Of course, if they are already bound to you by other means - a more specific summon materia, for example - you can accomplish the process easily. 
The origins of this materia remain unknown; perhaps it was a Shinra experiment, a weapon built for enslaving the summons to the wielder’s will. That might explain why they manifest in such pleasing bodies, as if they were sculpted to meet your desires whenever you call on them. Ifrit might come to your side in the form of a huge and bestial demon or a shapely and fertile monstergirl, and an experienced summoner could even learn to manifest the summon’s powers and physical attributes through their own body.</v>
      </c>
      <c r="I158" s="5"/>
    </row>
    <row r="159" spans="1:9" ht="330.6" x14ac:dyDescent="0.25">
      <c r="A159" s="16"/>
      <c r="B159" s="17">
        <v>155</v>
      </c>
      <c r="C159" s="2" t="b">
        <f ca="1">IFERROR(__xludf.DUMMYFUNCTION("""COMPUTED_VALUE"""),FALSE)</f>
        <v>0</v>
      </c>
      <c r="D159" s="2">
        <f ca="1">IFERROR(__xludf.DUMMYFUNCTION("""COMPUTED_VALUE"""),500)</f>
        <v>500</v>
      </c>
      <c r="E159" s="2" t="str">
        <f ca="1">IFERROR(__xludf.DUMMYFUNCTION("""COMPUTED_VALUE"""),"Master-Servant Contract")</f>
        <v>Master-Servant Contract</v>
      </c>
      <c r="F159" s="2" t="str">
        <f ca="1">IFERROR(__xludf.DUMMYFUNCTION("""COMPUTED_VALUE"""),"Shinmai Maou no Testament")</f>
        <v>Shinmai Maou no Testament</v>
      </c>
      <c r="G159" s="2" t="str">
        <f ca="1">IFERROR(__xludf.DUMMYFUNCTION("""COMPUTED_VALUE"""),"Magic")</f>
        <v>Magic</v>
      </c>
      <c r="H159" s="2" t="str">
        <f ca="1">IFERROR(__xludf.DUMMYFUNCTION("""COMPUTED_VALUE"""),"A powerful piece of magic invented by the ancient devils in the hopes of creating useful servants for their war against the gods, the master-servant contract is a magical ritual that binds two or more people’s souls together as master and slave. This give"&amp;"s the master substantial power over the slave, causing them to be struck by a curse for disobedience or strong feelings of guilt towards their master. The curse’s effects can range from a succubus’s aphrodisiac spells to instant death, a favorite of some "&amp;"especially ruthless demon lords. However as the slave grows more loyal and submissive both master and servant grow considerably in power and the ritual progresses through five phases, culminating in a master-servant vow which makes the ritual’s effects pe"&amp;"rmanent.
Those who achieve the master-slave vow become extraordinarily powerful: the ritual is capable of giving the average hero or demon enough power to challenge the gods, though it does nothing to enhance raw skill or technique and these must still b"&amp;"e trained separately. In addition to its main effect the contract also allows master and slave to sense each other's location, as well as those of any other slaves of the same master, even through magical jamming or interference. You also gain much finer "&amp;"control over the specifics of the relationship than ordinary users of the contract, for instance what constitutes a betrayal can be set during the ritual’s casting. You might choose an erotic punishment using a succubus’s curse and define betrayal only as"&amp;" willfully acting directly against your interests for example. However a lax code of conduct for a slave will slow the ritual’s overall growth curve.")</f>
        <v>A powerful piece of magic invented by the ancient devils in the hopes of creating useful servants for their war against the gods, the master-servant contract is a magical ritual that binds two or more people’s souls together as master and slave. This gives the master substantial power over the slave, causing them to be struck by a curse for disobedience or strong feelings of guilt towards their master. The curse’s effects can range from a succubus’s aphrodisiac spells to instant death, a favorite of some especially ruthless demon lords. However as the slave grows more loyal and submissive both master and servant grow considerably in power and the ritual progresses through five phases, culminating in a master-servant vow which makes the ritual’s effects permanent.
Those who achieve the master-slave vow become extraordinarily powerful: the ritual is capable of giving the average hero or demon enough power to challenge the gods, though it does nothing to enhance raw skill or technique and these must still be trained separately. In addition to its main effect the contract also allows master and slave to sense each other's location, as well as those of any other slaves of the same master, even through magical jamming or interference. You also gain much finer control over the specifics of the relationship than ordinary users of the contract, for instance what constitutes a betrayal can be set during the ritual’s casting. You might choose an erotic punishment using a succubus’s curse and define betrayal only as willfully acting directly against your interests for example. However a lax code of conduct for a slave will slow the ritual’s overall growth curve.</v>
      </c>
      <c r="I159" s="5"/>
    </row>
    <row r="160" spans="1:9" ht="243.6" x14ac:dyDescent="0.25">
      <c r="A160" s="16"/>
      <c r="B160" s="17">
        <v>156</v>
      </c>
      <c r="C160" s="2" t="b">
        <f ca="1">IFERROR(__xludf.DUMMYFUNCTION("""COMPUTED_VALUE"""),FALSE)</f>
        <v>0</v>
      </c>
      <c r="D160" s="2">
        <f ca="1">IFERROR(__xludf.DUMMYFUNCTION("""COMPUTED_VALUE"""),500)</f>
        <v>500</v>
      </c>
      <c r="E160" s="2" t="str">
        <f ca="1">IFERROR(__xludf.DUMMYFUNCTION("""COMPUTED_VALUE"""),"Mythos X7 Sorcery Emulator")</f>
        <v>Mythos X7 Sorcery Emulator</v>
      </c>
      <c r="F160" s="2" t="str">
        <f ca="1">IFERROR(__xludf.DUMMYFUNCTION("""COMPUTED_VALUE"""),"Evening Starter")</f>
        <v>Evening Starter</v>
      </c>
      <c r="G160" s="2" t="str">
        <f ca="1">IFERROR(__xludf.DUMMYFUNCTION("""COMPUTED_VALUE"""),"Magic")</f>
        <v>Magic</v>
      </c>
      <c r="H160" s="2" t="str">
        <f ca="1">IFERROR(__xludf.DUMMYFUNCTION("""COMPUTED_VALUE"""),"Long ago, the only method of casting spells was with grimoire and word along with a lot of practice. The traditional way is still used, but due to the efforts of one Kitakagura Atsushi, a more effective tool was born: the Sorcery Emulator. The virtual rep"&amp;"roduction of complex magical rituals is essentially what a sorcery emulator does, and the results have surpassed many expectations. In essence, it reads off digitized tomes and loads virtual tools, sacrifices, and virtual believers from its database to si"&amp;"mulate a ritual. This allows it to be invoked extremely quickly. However, it is functionally useless unless someone already has magical training. It consumes a considerable amount of magical power, so it is recommended to have an external source of magic "&amp;"power, but a massive pool of magical energy works too. If the user cannot handle the strain, they may go insane or even perish. As it stands, only the Daughter of its inventor has every successfully wielded one. That is — until you came along. The Mythos "&amp;"X7 is the latest model of Sorcery Emulator with the most robust and detailed database. This comes with a few digitized tomes and grimoires already installed, and more can be added from your own collection. If it is damaged or destroyed, a new one will app"&amp;"ear in your warehouse the following day.")</f>
        <v>Long ago, the only method of casting spells was with grimoire and word along with a lot of practice. The traditional way is still used, but due to the efforts of one Kitakagura Atsushi, a more effective tool was born: the Sorcery Emulator. The virtual reproduction of complex magical rituals is essentially what a sorcery emulator does, and the results have surpassed many expectations. In essence, it reads off digitized tomes and loads virtual tools, sacrifices, and virtual believers from its database to simulate a ritual. This allows it to be invoked extremely quickly. However, it is functionally useless unless someone already has magical training. It consumes a considerable amount of magical power, so it is recommended to have an external source of magic power, but a massive pool of magical energy works too. If the user cannot handle the strain, they may go insane or even perish. As it stands, only the Daughter of its inventor has every successfully wielded one. That is — until you came along. The Mythos X7 is the latest model of Sorcery Emulator with the most robust and detailed database. This comes with a few digitized tomes and grimoires already installed, and more can be added from your own collection. If it is damaged or destroyed, a new one will appear in your warehouse the following day.</v>
      </c>
      <c r="I160" s="5"/>
    </row>
    <row r="161" spans="1:9" ht="313.2" x14ac:dyDescent="0.25">
      <c r="A161" s="16"/>
      <c r="B161" s="17">
        <v>157</v>
      </c>
      <c r="C161" s="2" t="b">
        <f ca="1">IFERROR(__xludf.DUMMYFUNCTION("""COMPUTED_VALUE"""),FALSE)</f>
        <v>0</v>
      </c>
      <c r="D161" s="2">
        <f ca="1">IFERROR(__xludf.DUMMYFUNCTION("""COMPUTED_VALUE"""),500)</f>
        <v>500</v>
      </c>
      <c r="E161" s="2" t="str">
        <f ca="1">IFERROR(__xludf.DUMMYFUNCTION("""COMPUTED_VALUE"""),"Sacred Artefact")</f>
        <v>Sacred Artefact</v>
      </c>
      <c r="F161" s="2" t="str">
        <f ca="1">IFERROR(__xludf.DUMMYFUNCTION("""COMPUTED_VALUE"""),"World of Tentacles")</f>
        <v>World of Tentacles</v>
      </c>
      <c r="G161" s="2" t="str">
        <f ca="1">IFERROR(__xludf.DUMMYFUNCTION("""COMPUTED_VALUE"""),"Magic")</f>
        <v>Magic</v>
      </c>
      <c r="H161" s="2" t="str">
        <f ca="1">IFERROR(__xludf.DUMMYFUNCTION("""COMPUTED_VALUE"""),"Somewhere in this world there exists an ancient magical relic of uncertain origins and incredible power. The villains would do anything to possess or destroy it, and the heroes would do likewise to keep it out of unworthy hands. But through the workings o"&amp;"f Fate (and points), the hands it has ended up in are yours. The Sacred Artifact can take just about any form as long as an ordinary human could pick it up, though jewels, magic weapons, and fancy drinking cups are sort of traditional. Whatever its form, "&amp;"the Artifact grants you control over a massive pool of magical energy, which is strongly inclined towards ""good"" uses, such as healing, purification, blessings, and so on. It can be used offensively, but it's much better at smiting evil than it is at ch"&amp;"astising neutrality or rebuking misbehaving goodness. Using the artifact also requires considerable willpower, which scales directly with the difficulty and scope of the task you're attempting. 
In exchange for this power, the artifact’s affinity for lif"&amp;"e gives it an equal affinity for sex and fertility. People who are exposed to its power tend to end up feeling frisky afterwards (more so as the amount of power they were exposed to increases) and if they give in to those urges they're more likely to end "&amp;"up in the family way as a result. The Artifact also reacts strongly to ""pure"" sexual energies, making it a natural and highly effective component for certain profane rituals and technologies. But a heroic defender of humanity like yourself would never t"&amp;"ake advantage of that, would you, Master/Madame?")</f>
        <v>Somewhere in this world there exists an ancient magical relic of uncertain origins and incredible power. The villains would do anything to possess or destroy it, and the heroes would do likewise to keep it out of unworthy hands. But through the workings of Fate (and points), the hands it has ended up in are yours. The Sacred Artifact can take just about any form as long as an ordinary human could pick it up, though jewels, magic weapons, and fancy drinking cups are sort of traditional. Whatever its form, the Artifact grants you control over a massive pool of magical energy, which is strongly inclined towards "good" uses, such as healing, purification, blessings, and so on. It can be used offensively, but it's much better at smiting evil than it is at chastising neutrality or rebuking misbehaving goodness. Using the artifact also requires considerable willpower, which scales directly with the difficulty and scope of the task you're attempting. 
In exchange for this power, the artifact’s affinity for life gives it an equal affinity for sex and fertility. People who are exposed to its power tend to end up feeling frisky afterwards (more so as the amount of power they were exposed to increases) and if they give in to those urges they're more likely to end up in the family way as a result. The Artifact also reacts strongly to "pure" sexual energies, making it a natural and highly effective component for certain profane rituals and technologies. But a heroic defender of humanity like yourself would never take advantage of that, would you, Master/Madame?</v>
      </c>
      <c r="I161" s="5"/>
    </row>
    <row r="162" spans="1:9" ht="226.2" x14ac:dyDescent="0.25">
      <c r="A162" s="16"/>
      <c r="B162" s="17">
        <v>158</v>
      </c>
      <c r="C162" s="2" t="b">
        <f ca="1">IFERROR(__xludf.DUMMYFUNCTION("""COMPUTED_VALUE"""),FALSE)</f>
        <v>0</v>
      </c>
      <c r="D162" s="2">
        <f ca="1">IFERROR(__xludf.DUMMYFUNCTION("""COMPUTED_VALUE"""),500)</f>
        <v>500</v>
      </c>
      <c r="E162" s="2" t="str">
        <f ca="1">IFERROR(__xludf.DUMMYFUNCTION("""COMPUTED_VALUE"""),"The Power of Desire")</f>
        <v>The Power of Desire</v>
      </c>
      <c r="F162" s="2" t="str">
        <f ca="1">IFERROR(__xludf.DUMMYFUNCTION("""COMPUTED_VALUE"""),"World of Lewd Fantasy")</f>
        <v>World of Lewd Fantasy</v>
      </c>
      <c r="G162" s="2" t="str">
        <f ca="1">IFERROR(__xludf.DUMMYFUNCTION("""COMPUTED_VALUE"""),"Magic")</f>
        <v>Magic</v>
      </c>
      <c r="H162" s="2" t="str">
        <f ca="1">IFERROR(__xludf.DUMMYFUNCTION("""COMPUTED_VALUE"""),"Ah, want can be a potent amplifier of your magical might indeed, if a dangerous one when not properly harnessed. By drawing on the force of your desires you are able to greatly improve your spells in both strength and flexibility. But in order to do so yo"&amp;"u need to have a real hunger for effects to actually happen, and then to dominate the energies with the power of your passion and will, commanding reality to your fulfill your lusts. Take heed that this can backfire should the spell you're attempting not "&amp;"match up with your true desires, or if you lack focus a passing thought/craving/whim could cause the whole thing to go completely awry, leading to unpredictable and potentially disastrous results.
You also know how to draw on the desires others may have "&amp;"for you to form something akin to a sympathetic link. Meaning that the more sexually attracted to you someone is, the more powerful your magic becomes when used on them. Will you use this new found power to give them all that they yearn for, or will you s"&amp;"imply take from them all that you wish?")</f>
        <v>Ah, want can be a potent amplifier of your magical might indeed, if a dangerous one when not properly harnessed. By drawing on the force of your desires you are able to greatly improve your spells in both strength and flexibility. But in order to do so you need to have a real hunger for effects to actually happen, and then to dominate the energies with the power of your passion and will, commanding reality to your fulfill your lusts. Take heed that this can backfire should the spell you're attempting not match up with your true desires, or if you lack focus a passing thought/craving/whim could cause the whole thing to go completely awry, leading to unpredictable and potentially disastrous results.
You also know how to draw on the desires others may have for you to form something akin to a sympathetic link. Meaning that the more sexually attracted to you someone is, the more powerful your magic becomes when used on them. Will you use this new found power to give them all that they yearn for, or will you simply take from them all that you wish?</v>
      </c>
      <c r="I162" s="5"/>
    </row>
    <row r="163" spans="1:9" ht="261" x14ac:dyDescent="0.25">
      <c r="A163" s="16"/>
      <c r="B163" s="17">
        <v>159</v>
      </c>
      <c r="C163" s="2" t="b">
        <f ca="1">IFERROR(__xludf.DUMMYFUNCTION("""COMPUTED_VALUE"""),FALSE)</f>
        <v>0</v>
      </c>
      <c r="D163" s="2">
        <f ca="1">IFERROR(__xludf.DUMMYFUNCTION("""COMPUTED_VALUE"""),500)</f>
        <v>500</v>
      </c>
      <c r="E163" s="2" t="str">
        <f ca="1">IFERROR(__xludf.DUMMYFUNCTION("""COMPUTED_VALUE"""),"The Sword of Maria")</f>
        <v>The Sword of Maria</v>
      </c>
      <c r="F163" s="2" t="str">
        <f ca="1">IFERROR(__xludf.DUMMYFUNCTION("""COMPUTED_VALUE"""),"Seikon No Qwaser")</f>
        <v>Seikon No Qwaser</v>
      </c>
      <c r="G163" s="2" t="str">
        <f ca="1">IFERROR(__xludf.DUMMYFUNCTION("""COMPUTED_VALUE"""),"Magic")</f>
        <v>Magic</v>
      </c>
      <c r="H163" s="2" t="str">
        <f ca="1">IFERROR(__xludf.DUMMYFUNCTION("""COMPUTED_VALUE"""),"I’m sure the name is confusing, so no, this Perk does not grant you a sword. What it does do is both kick your breast’s Soma production into overdrive and concentrate the ‘quality’ to an absurd degree. Technically it does so by drawing upon “all the Soma "&amp;"in the world,” but that’s not really important. However, as such a simple augment isn’t worthy of a Capstone Perk, you get something extra. With this Perk you can bestow Soma production via touch upon any human or near-human (elf, dwarf, orc, etc) woman y"&amp;"ou care to, in any degree of ‘flow’ you please. So yes, that does essentially mean you could theoretically immobilize a woman with gigantic, lactating breasts, but you wouldn’t do that, right?
Oh, what's Soma? It's a mystical substance produced in your b"&amp;"reasts that empowers the drinker. It can be used in place of mana or other mystical sources, but it loses potency rapidly when stored, making breastfeeding the ideal means of transference. It only has these properties if consumed. Also, as it is created b"&amp;"y the life force of the one producing it, it is possible to 'drain them dry', killing them in the process. Even a small dose will have a tiring effect on the provider, dependant on their stamina and lifeforce.")</f>
        <v>I’m sure the name is confusing, so no, this Perk does not grant you a sword. What it does do is both kick your breast’s Soma production into overdrive and concentrate the ‘quality’ to an absurd degree. Technically it does so by drawing upon “all the Soma in the world,” but that’s not really important. However, as such a simple augment isn’t worthy of a Capstone Perk, you get something extra. With this Perk you can bestow Soma production via touch upon any human or near-human (elf, dwarf, orc, etc) woman you care to, in any degree of ‘flow’ you please. So yes, that does essentially mean you could theoretically immobilize a woman with gigantic, lactating breasts, but you wouldn’t do that, right?
Oh, what's Soma? It's a mystical substance produced in your breasts that empowers the drinker. It can be used in place of mana or other mystical sources, but it loses potency rapidly when stored, making breastfeeding the ideal means of transference. It only has these properties if consumed. Also, as it is created by the life force of the one producing it, it is possible to 'drain them dry', killing them in the process. Even a small dose will have a tiring effect on the provider, dependant on their stamina and lifeforce.</v>
      </c>
      <c r="I163" s="5"/>
    </row>
    <row r="164" spans="1:9" ht="208.8" x14ac:dyDescent="0.25">
      <c r="A164" s="16"/>
      <c r="B164" s="17">
        <v>160</v>
      </c>
      <c r="C164" s="2" t="b">
        <f ca="1">IFERROR(__xludf.DUMMYFUNCTION("""COMPUTED_VALUE"""),FALSE)</f>
        <v>0</v>
      </c>
      <c r="D164" s="2">
        <f ca="1">IFERROR(__xludf.DUMMYFUNCTION("""COMPUTED_VALUE"""),600)</f>
        <v>600</v>
      </c>
      <c r="E164" s="2" t="str">
        <f ca="1">IFERROR(__xludf.DUMMYFUNCTION("""COMPUTED_VALUE"""),"A Darkness Unleashed")</f>
        <v>A Darkness Unleashed</v>
      </c>
      <c r="F164" s="2" t="str">
        <f ca="1">IFERROR(__xludf.DUMMYFUNCTION("""COMPUTED_VALUE"""),"A Change of Tactics V2.2")</f>
        <v>A Change of Tactics V2.2</v>
      </c>
      <c r="G164" s="2" t="str">
        <f ca="1">IFERROR(__xludf.DUMMYFUNCTION("""COMPUTED_VALUE"""),"Magic")</f>
        <v>Magic</v>
      </c>
      <c r="H164" s="2" t="str">
        <f ca="1">IFERROR(__xludf.DUMMYFUNCTION("""COMPUTED_VALUE"""),"The power you inherited from your ancestors is dark and twisted, perhaps even marking you as a child of Grima or Anankos, but that power is yours and yours alone, and it can no more harm or corrupt you than your own hands could turn against you. You posse"&amp;"ss an immense talent for all forms of dark magic, such as the life-draining Nosferatu or the twisted necromancy that creates the risen, and you wield such spells with greater power and skill than all but the greatest mortal mages. But you’re far from limi"&amp;"ted to wielding your power as your ancestors would; this dark magic also lends itself to tantric uses, many different kinds of spells rooted in pleasure and debauchery and capable of bringing unthinkable ecstasy to yourself and your lovers. Your dark natu"&amp;"re even makes you immune to magical and spiritual corruption, both your own dark sorcery and from those who would twist you with their own magics. This spiritual protection will also apply to all other forms of dark or corrupted power you might acquire in"&amp;" future jumps, allowing you to use your own darkness in place of any outside forces that might attempt to corrupt you to their own ends.")</f>
        <v>The power you inherited from your ancestors is dark and twisted, perhaps even marking you as a child of Grima or Anankos, but that power is yours and yours alone, and it can no more harm or corrupt you than your own hands could turn against you. You possess an immense talent for all forms of dark magic, such as the life-draining Nosferatu or the twisted necromancy that creates the risen, and you wield such spells with greater power and skill than all but the greatest mortal mages. But you’re far from limited to wielding your power as your ancestors would; this dark magic also lends itself to tantric uses, many different kinds of spells rooted in pleasure and debauchery and capable of bringing unthinkable ecstasy to yourself and your lovers. Your dark nature even makes you immune to magical and spiritual corruption, both your own dark sorcery and from those who would twist you with their own magics. This spiritual protection will also apply to all other forms of dark or corrupted power you might acquire in future jumps, allowing you to use your own darkness in place of any outside forces that might attempt to corrupt you to their own ends.</v>
      </c>
      <c r="I164" s="5"/>
    </row>
    <row r="165" spans="1:9" ht="69.599999999999994" x14ac:dyDescent="0.25">
      <c r="A165" s="16"/>
      <c r="B165" s="17">
        <v>161</v>
      </c>
      <c r="C165" s="2" t="b">
        <f ca="1">IFERROR(__xludf.DUMMYFUNCTION("""COMPUTED_VALUE"""),FALSE)</f>
        <v>0</v>
      </c>
      <c r="D165" s="2">
        <f ca="1">IFERROR(__xludf.DUMMYFUNCTION("""COMPUTED_VALUE"""),600)</f>
        <v>600</v>
      </c>
      <c r="E165" s="2" t="str">
        <f ca="1">IFERROR(__xludf.DUMMYFUNCTION("""COMPUTED_VALUE"""),"A Little Extra Help")</f>
        <v>A Little Extra Help</v>
      </c>
      <c r="F165" s="2" t="str">
        <f ca="1">IFERROR(__xludf.DUMMYFUNCTION("""COMPUTED_VALUE"""),"Sei So Tsui Dan Sha")</f>
        <v>Sei So Tsui Dan Sha</v>
      </c>
      <c r="G165" s="2" t="str">
        <f ca="1">IFERROR(__xludf.DUMMYFUNCTION("""COMPUTED_VALUE"""),"Magic")</f>
        <v>Magic</v>
      </c>
      <c r="H165" s="2" t="str">
        <f ca="1">IFERROR(__xludf.DUMMYFUNCTION("""COMPUTED_VALUE"""),"You are privy to magic that lets you to break yourself or others into clones that embody their various personality traits. All sensations are linked between clones, and all of their experiences and growth is merged back into the rest once they disappear. "&amp;"Clones burst into smoke if exhausted or injured.")</f>
        <v>You are privy to magic that lets you to break yourself or others into clones that embody their various personality traits. All sensations are linked between clones, and all of their experiences and growth is merged back into the rest once they disappear. Clones burst into smoke if exhausted or injured.</v>
      </c>
      <c r="I165" s="5"/>
    </row>
    <row r="166" spans="1:9" ht="348" x14ac:dyDescent="0.25">
      <c r="A166" s="16"/>
      <c r="B166" s="17">
        <v>162</v>
      </c>
      <c r="C166" s="2" t="b">
        <f ca="1">IFERROR(__xludf.DUMMYFUNCTION("""COMPUTED_VALUE"""),FALSE)</f>
        <v>0</v>
      </c>
      <c r="D166" s="2">
        <f ca="1">IFERROR(__xludf.DUMMYFUNCTION("""COMPUTED_VALUE"""),600)</f>
        <v>600</v>
      </c>
      <c r="E166" s="2" t="str">
        <f ca="1">IFERROR(__xludf.DUMMYFUNCTION("""COMPUTED_VALUE"""),"Black Magic")</f>
        <v>Black Magic</v>
      </c>
      <c r="F166" s="2" t="str">
        <f ca="1">IFERROR(__xludf.DUMMYFUNCTION("""COMPUTED_VALUE"""),"Corruption of Champions v1.1")</f>
        <v>Corruption of Champions v1.1</v>
      </c>
      <c r="G166" s="2" t="str">
        <f ca="1">IFERROR(__xludf.DUMMYFUNCTION("""COMPUTED_VALUE"""),"Magic")</f>
        <v>Magic</v>
      </c>
      <c r="H166" s="2" t="str">
        <f ca="1">IFERROR(__xludf.DUMMYFUNCTION("""COMPUTED_VALUE"""),"Drawn from one's emotions and the feelings of the body, black magic is usually practised by drawing on the caster's own lust. One of the first things a practitioner of the art learns is the ability to arouse a target with their spells. Is it any wonder th"&amp;"en, that this type of magic is a favorite of demons? Still, it is not an inherently evil or demonic magic, merely one suited to their purposes. As a master archmage of the style, you understand this like few others. Most suited to affecting emotions and b"&amp;"odies, your spells can arouse and change the size and functions of bodily parts in strange ways. Aside from the many libidinous uses so often demonstrated by tainted mages, you might also heal yourself and others, temporarily increase your strength, and e"&amp;"ven go further afield with summoning and portal creation.
Your control is such that you don't have to worry about the usual difficulties of using black magic on your own body, able to control the flow of power and prevent it from backfiring. Additionall"&amp;"y, fueling your black magic with lust is only the most common way to do so, simple enough to use that mages rarely bother to learn how to use their other emotions. While it is usually not too hard to grow aroused in Mareth, this does leave black mages una"&amp;"ble to use their magic when turned off and susceptible to seduction by their enemies. To deal with this weakness, you have started on the beginnings of using black magic with other emotions, wielding your rage, your joy, or anything else. This is only a s"&amp;"tart, not nearly the mastery you have over lustful magic, but it should serve you well with research and practice. On the flip side, your experience with the black arts means that powering other emotion-based abilities with lust comes easy to you.")</f>
        <v>Drawn from one's emotions and the feelings of the body, black magic is usually practised by drawing on the caster's own lust. One of the first things a practitioner of the art learns is the ability to arouse a target with their spells. Is it any wonder then, that this type of magic is a favorite of demons? Still, it is not an inherently evil or demonic magic, merely one suited to their purposes. As a master archmage of the style, you understand this like few others. Most suited to affecting emotions and bodies, your spells can arouse and change the size and functions of bodily parts in strange ways. Aside from the many libidinous uses so often demonstrated by tainted mages, you might also heal yourself and others, temporarily increase your strength, and even go further afield with summoning and portal creation.
Your control is such that you don't have to worry about the usual difficulties of using black magic on your own body, able to control the flow of power and prevent it from backfiring. Additionally, fueling your black magic with lust is only the most common way to do so, simple enough to use that mages rarely bother to learn how to use their other emotions. While it is usually not too hard to grow aroused in Mareth, this does leave black mages unable to use their magic when turned off and susceptible to seduction by their enemies. To deal with this weakness, you have started on the beginnings of using black magic with other emotions, wielding your rage, your joy, or anything else. This is only a start, not nearly the mastery you have over lustful magic, but it should serve you well with research and practice. On the flip side, your experience with the black arts means that powering other emotion-based abilities with lust comes easy to you.</v>
      </c>
      <c r="I166" s="5"/>
    </row>
    <row r="167" spans="1:9" ht="174" x14ac:dyDescent="0.25">
      <c r="A167" s="16"/>
      <c r="B167" s="17">
        <v>163</v>
      </c>
      <c r="C167" s="2" t="b">
        <f ca="1">IFERROR(__xludf.DUMMYFUNCTION("""COMPUTED_VALUE"""),FALSE)</f>
        <v>0</v>
      </c>
      <c r="D167" s="2">
        <f ca="1">IFERROR(__xludf.DUMMYFUNCTION("""COMPUTED_VALUE"""),600)</f>
        <v>600</v>
      </c>
      <c r="E167" s="2" t="str">
        <f ca="1">IFERROR(__xludf.DUMMYFUNCTION("""COMPUTED_VALUE"""),"Black Stone")</f>
        <v>Black Stone</v>
      </c>
      <c r="F167" s="2" t="str">
        <f ca="1">IFERROR(__xludf.DUMMYFUNCTION("""COMPUTED_VALUE"""),"Karenvania")</f>
        <v>Karenvania</v>
      </c>
      <c r="G167" s="2" t="str">
        <f ca="1">IFERROR(__xludf.DUMMYFUNCTION("""COMPUTED_VALUE"""),"Magic")</f>
        <v>Magic</v>
      </c>
      <c r="H167" s="2" t="str">
        <f ca="1">IFERROR(__xludf.DUMMYFUNCTION("""COMPUTED_VALUE"""),"Not the Crimson Stone that Dracula possesses, nor the Ebony Stone by the Lord of Shadows prior to him. No, this large and beautiful gem is something completely unique. It constantly puts out an energy that can best be described as the best thing a succubu"&amp;"s will ever taste, and turns anyone who goes too close to it into one. Or at least, something extremely similar to one, though the details may vary depending on both the user and the target. Said user will gain incredible magical power, while also develop"&amp;"ing a taste for the female form and various dominating tendencies. Taking over the mantle of dark lord for the explicit purpose of taking a decade long vacation with your ex-lover where neither of you need to stop to breathe is the kind of thing that woul"&amp;"d sound like a great idea if you use this thing too much. I’d suggest drawing on its power in moderation... or don’t, it’s up to you.")</f>
        <v>Not the Crimson Stone that Dracula possesses, nor the Ebony Stone by the Lord of Shadows prior to him. No, this large and beautiful gem is something completely unique. It constantly puts out an energy that can best be described as the best thing a succubus will ever taste, and turns anyone who goes too close to it into one. Or at least, something extremely similar to one, though the details may vary depending on both the user and the target. Said user will gain incredible magical power, while also developing a taste for the female form and various dominating tendencies. Taking over the mantle of dark lord for the explicit purpose of taking a decade long vacation with your ex-lover where neither of you need to stop to breathe is the kind of thing that would sound like a great idea if you use this thing too much. I’d suggest drawing on its power in moderation... or don’t, it’s up to you.</v>
      </c>
      <c r="I167" s="5"/>
    </row>
    <row r="168" spans="1:9" ht="400.2" x14ac:dyDescent="0.25">
      <c r="A168" s="16"/>
      <c r="B168" s="17">
        <v>164</v>
      </c>
      <c r="C168" s="2" t="b">
        <f ca="1">IFERROR(__xludf.DUMMYFUNCTION("""COMPUTED_VALUE"""),FALSE)</f>
        <v>0</v>
      </c>
      <c r="D168" s="2">
        <f ca="1">IFERROR(__xludf.DUMMYFUNCTION("""COMPUTED_VALUE"""),600)</f>
        <v>600</v>
      </c>
      <c r="E168" s="2" t="str">
        <f ca="1">IFERROR(__xludf.DUMMYFUNCTION("""COMPUTED_VALUE"""),"Cave of Wonders")</f>
        <v>Cave of Wonders</v>
      </c>
      <c r="F168" s="2" t="str">
        <f ca="1">IFERROR(__xludf.DUMMYFUNCTION("""COMPUTED_VALUE"""),"Slimy Sextet")</f>
        <v>Slimy Sextet</v>
      </c>
      <c r="G168" s="2" t="str">
        <f ca="1">IFERROR(__xludf.DUMMYFUNCTION("""COMPUTED_VALUE"""),"Magic")</f>
        <v>Magic</v>
      </c>
      <c r="H168" s="2" t="str">
        <f ca="1">IFERROR(__xludf.DUMMYFUNCTION("""COMPUTED_VALUE"""),"In one of the endings, the Slime manages to produce enough tentacles to cover an entire cave despite their body clearly not having enough mass for that, and even produces enough nutritious liquid from their fluids to keep their victims alive in the absenc"&amp;"e of food and water. Perhaps this perk would explain how. You can convert your magical energy into more of your biomass, stored in a pocket dimension when not “deployed” into the world.
You may perform this conversion and store biomass infinitely, but t"&amp;"he conversion itself isn’t instant; it would take your body a couple days to create enough biomass to fully cover a large room, although this does have the advantage of not being fast enough to use up all of your magical energy, meaning you still have the"&amp;" power to use magic even while a portion of your energy is devoted to converting into biomass. This conversion can be made to happen automatically, or you can halt the process.
It additionally takes time to deploy your biomass; a set of pseudopods to wr"&amp;"ap someone up could be manifested nigh-instantly, while coating a room in tentacles would take a few moments. If you don’t want your biomass to go to waste, you can re-absorb that which you have deployed back into your pocket dimension at almost instantan"&amp;"eous speeds.
This does not come with a means to manipulate your physiology, so may be of limited use if you aren’t something like a slime or have some outside-context power capable of doing so.
If you have some means of acquiring and incorporating bio"&amp;"mass into your body, then you may optionally store it in your pocket dimension instead.")</f>
        <v>In one of the endings, the Slime manages to produce enough tentacles to cover an entire cave despite their body clearly not having enough mass for that, and even produces enough nutritious liquid from their fluids to keep their victims alive in the absence of food and water. Perhaps this perk would explain how. You can convert your magical energy into more of your biomass, stored in a pocket dimension when not “deployed” into the world.
You may perform this conversion and store biomass infinitely, but the conversion itself isn’t instant; it would take your body a couple days to create enough biomass to fully cover a large room, although this does have the advantage of not being fast enough to use up all of your magical energy, meaning you still have the power to use magic even while a portion of your energy is devoted to converting into biomass. This conversion can be made to happen automatically, or you can halt the process.
It additionally takes time to deploy your biomass; a set of pseudopods to wrap someone up could be manifested nigh-instantly, while coating a room in tentacles would take a few moments. If you don’t want your biomass to go to waste, you can re-absorb that which you have deployed back into your pocket dimension at almost instantaneous speeds.
This does not come with a means to manipulate your physiology, so may be of limited use if you aren’t something like a slime or have some outside-context power capable of doing so.
If you have some means of acquiring and incorporating biomass into your body, then you may optionally store it in your pocket dimension instead.</v>
      </c>
      <c r="I168" s="5"/>
    </row>
    <row r="169" spans="1:9" ht="226.2" x14ac:dyDescent="0.25">
      <c r="A169" s="16"/>
      <c r="B169" s="17">
        <v>165</v>
      </c>
      <c r="C169" s="2" t="b">
        <f ca="1">IFERROR(__xludf.DUMMYFUNCTION("""COMPUTED_VALUE"""),FALSE)</f>
        <v>0</v>
      </c>
      <c r="D169" s="2">
        <f ca="1">IFERROR(__xludf.DUMMYFUNCTION("""COMPUTED_VALUE"""),600)</f>
        <v>600</v>
      </c>
      <c r="E169" s="2" t="str">
        <f ca="1">IFERROR(__xludf.DUMMYFUNCTION("""COMPUTED_VALUE"""),"Chains of Light")</f>
        <v>Chains of Light</v>
      </c>
      <c r="F169" s="2" t="str">
        <f ca="1">IFERROR(__xludf.DUMMYFUNCTION("""COMPUTED_VALUE"""),"Breathless Wild")</f>
        <v>Breathless Wild</v>
      </c>
      <c r="G169" s="2" t="str">
        <f ca="1">IFERROR(__xludf.DUMMYFUNCTION("""COMPUTED_VALUE"""),"Magic")</f>
        <v>Magic</v>
      </c>
      <c r="H169" s="2" t="str">
        <f ca="1">IFERROR(__xludf.DUMMYFUNCTION("""COMPUTED_VALUE"""),"In ages past Hylia once sealed away Demise in a web of golden chains. Eventually the demon king broke free of his prison but the Chains of Light remain incredibly powerful tools for binding and sealing monsters and other evil beings. Hylia has gifted you "&amp;"these chains, granting you the power to conjure and wield them freely as if by magic. Despite their name the chains can take many forms, from golden silk ropes to gilded “toys” of all descriptions, all of them able to hold powerful enchantments. The chain"&amp;"s seal away the power of anyone ensnared in them, stripping lynels of their superhuman strength and sorceresses of their magic, and the tighter the binding the stronger the seal and its integrated enchantments becomes. However your chains are only as powe"&amp;"rful as you are, and sealing monsters far stronger than you is no small feat, likely needing you to weaken them before the chains can finish the job. That said the chains are highly effective once in place, almost unbreakable short of the captive receivin"&amp;"g outside assistance. Curiously, the chains are also just as effective against heroines and goddesses as they are against monsters and demon kings. Perhaps Hylia secretly wants her hero to make use of that fact?")</f>
        <v>In ages past Hylia once sealed away Demise in a web of golden chains. Eventually the demon king broke free of his prison but the Chains of Light remain incredibly powerful tools for binding and sealing monsters and other evil beings. Hylia has gifted you these chains, granting you the power to conjure and wield them freely as if by magic. Despite their name the chains can take many forms, from golden silk ropes to gilded “toys” of all descriptions, all of them able to hold powerful enchantments. The chains seal away the power of anyone ensnared in them, stripping lynels of their superhuman strength and sorceresses of their magic, and the tighter the binding the stronger the seal and its integrated enchantments becomes. However your chains are only as powerful as you are, and sealing monsters far stronger than you is no small feat, likely needing you to weaken them before the chains can finish the job. That said the chains are highly effective once in place, almost unbreakable short of the captive receiving outside assistance. Curiously, the chains are also just as effective against heroines and goddesses as they are against monsters and demon kings. Perhaps Hylia secretly wants her hero to make use of that fact?</v>
      </c>
      <c r="I169" s="5"/>
    </row>
    <row r="170" spans="1:9" ht="174" x14ac:dyDescent="0.25">
      <c r="A170" s="16"/>
      <c r="B170" s="17">
        <v>166</v>
      </c>
      <c r="C170" s="2" t="b">
        <f ca="1">IFERROR(__xludf.DUMMYFUNCTION("""COMPUTED_VALUE"""),FALSE)</f>
        <v>0</v>
      </c>
      <c r="D170" s="2">
        <f ca="1">IFERROR(__xludf.DUMMYFUNCTION("""COMPUTED_VALUE"""),600)</f>
        <v>600</v>
      </c>
      <c r="E170" s="2" t="str">
        <f ca="1">IFERROR(__xludf.DUMMYFUNCTION("""COMPUTED_VALUE"""),"Cheat Rope")</f>
        <v>Cheat Rope</v>
      </c>
      <c r="F170" s="2" t="str">
        <f ca="1">IFERROR(__xludf.DUMMYFUNCTION("""COMPUTED_VALUE"""),"Rope Master")</f>
        <v>Rope Master</v>
      </c>
      <c r="G170" s="2" t="str">
        <f ca="1">IFERROR(__xludf.DUMMYFUNCTION("""COMPUTED_VALUE"""),"Magic")</f>
        <v>Magic</v>
      </c>
      <c r="H170" s="2" t="str">
        <f ca="1">IFERROR(__xludf.DUMMYFUNCTION("""COMPUTED_VALUE"""),"More properly known as Chiito, this divine artifact is a dragon rope made from the soul of a shrine maiden and she's chosen you to be her new master. The Cheat Rope is an immensely powerful magical relic that has all the same benefits as the Dragon Rope i"&amp;"tem and substantially boosts its wielder's magical abilities thanks to Chiito herself, who acts as a guardian spirit for her master. Even amateur rope masters can cast powerful magic with Chiito's help simply by wishing for a spell and trusting her to do "&amp;"the work of casting it, but in the hands of a talented rope master she shows her true strength by adding her abilities to your own. She has enough awareness and autonomy to act without orders, although she only does so to protect you from harm or grant yo"&amp;"ur desires. As a loyal rope slave she will never betray you, although she might act in mischievous ways when she knows it will help you, like using her magic to bring your idle fantasies to life.")</f>
        <v>More properly known as Chiito, this divine artifact is a dragon rope made from the soul of a shrine maiden and she's chosen you to be her new master. The Cheat Rope is an immensely powerful magical relic that has all the same benefits as the Dragon Rope item and substantially boosts its wielder's magical abilities thanks to Chiito herself, who acts as a guardian spirit for her master. Even amateur rope masters can cast powerful magic with Chiito's help simply by wishing for a spell and trusting her to do the work of casting it, but in the hands of a talented rope master she shows her true strength by adding her abilities to your own. She has enough awareness and autonomy to act without orders, although she only does so to protect you from harm or grant your desires. As a loyal rope slave she will never betray you, although she might act in mischievous ways when she knows it will help you, like using her magic to bring your idle fantasies to life.</v>
      </c>
      <c r="I170" s="5"/>
    </row>
    <row r="171" spans="1:9" ht="87" x14ac:dyDescent="0.25">
      <c r="A171" s="16"/>
      <c r="B171" s="17">
        <v>167</v>
      </c>
      <c r="C171" s="2" t="b">
        <f ca="1">IFERROR(__xludf.DUMMYFUNCTION("""COMPUTED_VALUE"""),FALSE)</f>
        <v>0</v>
      </c>
      <c r="D171" s="2">
        <f ca="1">IFERROR(__xludf.DUMMYFUNCTION("""COMPUTED_VALUE"""),600)</f>
        <v>600</v>
      </c>
      <c r="E171" s="2" t="str">
        <f ca="1">IFERROR(__xludf.DUMMYFUNCTION("""COMPUTED_VALUE"""),"Crystal Heart")</f>
        <v>Crystal Heart</v>
      </c>
      <c r="F171" s="2" t="str">
        <f ca="1">IFERROR(__xludf.DUMMYFUNCTION("""COMPUTED_VALUE"""),"Erotic Equestria")</f>
        <v>Erotic Equestria</v>
      </c>
      <c r="G171" s="2" t="str">
        <f ca="1">IFERROR(__xludf.DUMMYFUNCTION("""COMPUTED_VALUE"""),"Magic")</f>
        <v>Magic</v>
      </c>
      <c r="H171" s="2" t="str">
        <f ca="1">IFERROR(__xludf.DUMMYFUNCTION("""COMPUTED_VALUE"""),"This condensed essence of an entire kingdom’s love energy is now yours to possess. It will serve to magnify any magics you might have that spread positive emotions or protective spells throughout this small kingdom, which regards you as a favored contende"&amp;"r for the throne. Take care that you don’t stoke too much passion in your new subjects, as their inhibitions are already quite low when it comes to your whims.")</f>
        <v>This condensed essence of an entire kingdom’s love energy is now yours to possess. It will serve to magnify any magics you might have that spread positive emotions or protective spells throughout this small kingdom, which regards you as a favored contender for the throne. Take care that you don’t stoke too much passion in your new subjects, as their inhibitions are already quite low when it comes to your whims.</v>
      </c>
      <c r="I171" s="5"/>
    </row>
    <row r="172" spans="1:9" ht="156.6" x14ac:dyDescent="0.25">
      <c r="A172" s="16"/>
      <c r="B172" s="17">
        <v>168</v>
      </c>
      <c r="C172" s="2" t="b">
        <f ca="1">IFERROR(__xludf.DUMMYFUNCTION("""COMPUTED_VALUE"""),FALSE)</f>
        <v>0</v>
      </c>
      <c r="D172" s="2">
        <f ca="1">IFERROR(__xludf.DUMMYFUNCTION("""COMPUTED_VALUE"""),600)</f>
        <v>600</v>
      </c>
      <c r="E172" s="2" t="str">
        <f ca="1">IFERROR(__xludf.DUMMYFUNCTION("""COMPUTED_VALUE"""),"Dark Magic")</f>
        <v>Dark Magic</v>
      </c>
      <c r="F172" s="2" t="str">
        <f ca="1">IFERROR(__xludf.DUMMYFUNCTION("""COMPUTED_VALUE"""),"Erotic Equestria")</f>
        <v>Erotic Equestria</v>
      </c>
      <c r="G172" s="2" t="str">
        <f ca="1">IFERROR(__xludf.DUMMYFUNCTION("""COMPUTED_VALUE"""),"Magic")</f>
        <v>Magic</v>
      </c>
      <c r="H172" s="2" t="str">
        <f ca="1">IFERROR(__xludf.DUMMYFUNCTION("""COMPUTED_VALUE"""),"A truly terrifying tyrant you are, Master/Madame, with mastery of this magic. Born from the darker side of your emotions, this power manifests itself in the form of black and green energy that practically pulses with the desire to corrupt based on the emo"&amp;"tion you used to make it. Your anger would stir crowds to riot, your sorrow paralyzing your targets with apathy. Your lust, meanwhile, could find hold even in the most pure and chaste of ponies, driving them mad with an unsatisfiable heat. Unsatisfiable f"&amp;"or all but you, that is. You may also store these magics in solidified black crystals that, while unable to effect as large an area as you could directly, can maintain your magical emotional attacks far longer than the simple castings you would use. Pilla"&amp;"rs of these gems will help to make sure that your conquest over the weak is not only absolute, it is lasting.")</f>
        <v>A truly terrifying tyrant you are, Master/Madame, with mastery of this magic. Born from the darker side of your emotions, this power manifests itself in the form of black and green energy that practically pulses with the desire to corrupt based on the emotion you used to make it. Your anger would stir crowds to riot, your sorrow paralyzing your targets with apathy. Your lust, meanwhile, could find hold even in the most pure and chaste of ponies, driving them mad with an unsatisfiable heat. Unsatisfiable for all but you, that is. You may also store these magics in solidified black crystals that, while unable to effect as large an area as you could directly, can maintain your magical emotional attacks far longer than the simple castings you would use. Pillars of these gems will help to make sure that your conquest over the weak is not only absolute, it is lasting.</v>
      </c>
      <c r="I172" s="5"/>
    </row>
    <row r="173" spans="1:9" ht="226.2" x14ac:dyDescent="0.25">
      <c r="A173" s="16"/>
      <c r="B173" s="17">
        <v>169</v>
      </c>
      <c r="C173" s="2" t="b">
        <f ca="1">IFERROR(__xludf.DUMMYFUNCTION("""COMPUTED_VALUE"""),FALSE)</f>
        <v>0</v>
      </c>
      <c r="D173" s="2">
        <f ca="1">IFERROR(__xludf.DUMMYFUNCTION("""COMPUTED_VALUE"""),600)</f>
        <v>600</v>
      </c>
      <c r="E173" s="2" t="str">
        <f ca="1">IFERROR(__xludf.DUMMYFUNCTION("""COMPUTED_VALUE"""),"Daughters of the Divine")</f>
        <v>Daughters of the Divine</v>
      </c>
      <c r="F173" s="2" t="str">
        <f ca="1">IFERROR(__xludf.DUMMYFUNCTION("""COMPUTED_VALUE"""),"Ikusa Otome Valkyrie")</f>
        <v>Ikusa Otome Valkyrie</v>
      </c>
      <c r="G173" s="2" t="str">
        <f ca="1">IFERROR(__xludf.DUMMYFUNCTION("""COMPUTED_VALUE"""),"Magic")</f>
        <v>Magic</v>
      </c>
      <c r="H173" s="2" t="str">
        <f ca="1">IFERROR(__xludf.DUMMYFUNCTION("""COMPUTED_VALUE"""),"Well we never quite see how a valkyrie is chosen but they were human at one point so here's the deal. On a full moon you can plant the seed of divinity into any female virgin of 26 years or less. Over the next month, the seed will grow until they become a"&amp;" valkyrie: unaging and free from the loss of fitness, granted wings to fly and blessed with strength, speed, reflexes, willpower, and magical might. Those that worship them will elevate their strength with their praise, but weaken them with their scorn. T"&amp;"hese gains and losses become permanent over the course of years. You can only create one Valkyrie at a time.
With sufficent magical power, you can bind these powers to an item that the valkyrie must have in order to use them, or you can start to ignore t"&amp;"he restrictions inherent to this process.
No, Valkyries do not have to remain virgins after their transformation. Yes, if you are a woman who fulfils the conditions, you can use this process on yourself.")</f>
        <v>Well we never quite see how a valkyrie is chosen but they were human at one point so here's the deal. On a full moon you can plant the seed of divinity into any female virgin of 26 years or less. Over the next month, the seed will grow until they become a valkyrie: unaging and free from the loss of fitness, granted wings to fly and blessed with strength, speed, reflexes, willpower, and magical might. Those that worship them will elevate their strength with their praise, but weaken them with their scorn. These gains and losses become permanent over the course of years. You can only create one Valkyrie at a time.
With sufficent magical power, you can bind these powers to an item that the valkyrie must have in order to use them, or you can start to ignore the restrictions inherent to this process.
No, Valkyries do not have to remain virgins after their transformation. Yes, if you are a woman who fulfils the conditions, you can use this process on yourself.</v>
      </c>
      <c r="I173" s="5"/>
    </row>
    <row r="174" spans="1:9" ht="104.4" x14ac:dyDescent="0.25">
      <c r="A174" s="16"/>
      <c r="B174" s="17">
        <v>170</v>
      </c>
      <c r="C174" s="2" t="b">
        <f ca="1">IFERROR(__xludf.DUMMYFUNCTION("""COMPUTED_VALUE"""),FALSE)</f>
        <v>0</v>
      </c>
      <c r="D174" s="2">
        <f ca="1">IFERROR(__xludf.DUMMYFUNCTION("""COMPUTED_VALUE"""),600)</f>
        <v>600</v>
      </c>
      <c r="E174" s="2" t="str">
        <f ca="1">IFERROR(__xludf.DUMMYFUNCTION("""COMPUTED_VALUE"""),"Deal with the Devil")</f>
        <v>Deal with the Devil</v>
      </c>
      <c r="F174" s="2" t="str">
        <f ca="1">IFERROR(__xludf.DUMMYFUNCTION("""COMPUTED_VALUE"""),"World of Lewd Horror")</f>
        <v>World of Lewd Horror</v>
      </c>
      <c r="G174" s="2" t="str">
        <f ca="1">IFERROR(__xludf.DUMMYFUNCTION("""COMPUTED_VALUE"""),"Magic")</f>
        <v>Magic</v>
      </c>
      <c r="H174" s="2" t="str">
        <f ca="1">IFERROR(__xludf.DUMMYFUNCTION("""COMPUTED_VALUE"""),"Like the devil himself or a twisted genie, you can grant the wishes of petitioners who come to beg your favor. You may offer others mystically binding deals. Those who break the terms of the deal are subjected to sexual curses, including you if you can be"&amp;" tricked into violating your own contracts. Luckily, you are trained as an expert lawyer even by the standards of Hell, able to draft truly ironclad contracts. While you can certainly fulfill contracts with your other powers, a formal deal allows you to p"&amp;"rovide moderate supernatural blessings, such as beauty, youth, or luck.")</f>
        <v>Like the devil himself or a twisted genie, you can grant the wishes of petitioners who come to beg your favor. You may offer others mystically binding deals. Those who break the terms of the deal are subjected to sexual curses, including you if you can be tricked into violating your own contracts. Luckily, you are trained as an expert lawyer even by the standards of Hell, able to draft truly ironclad contracts. While you can certainly fulfill contracts with your other powers, a formal deal allows you to provide moderate supernatural blessings, such as beauty, youth, or luck.</v>
      </c>
      <c r="I174" s="5"/>
    </row>
    <row r="175" spans="1:9" ht="365.4" x14ac:dyDescent="0.25">
      <c r="A175" s="16"/>
      <c r="B175" s="17">
        <v>171</v>
      </c>
      <c r="C175" s="2" t="b">
        <f ca="1">IFERROR(__xludf.DUMMYFUNCTION("""COMPUTED_VALUE"""),FALSE)</f>
        <v>0</v>
      </c>
      <c r="D175" s="2">
        <f ca="1">IFERROR(__xludf.DUMMYFUNCTION("""COMPUTED_VALUE"""),600)</f>
        <v>600</v>
      </c>
      <c r="E175" s="2" t="str">
        <f ca="1">IFERROR(__xludf.DUMMYFUNCTION("""COMPUTED_VALUE"""),"Divine Lethicite")</f>
        <v>Divine Lethicite</v>
      </c>
      <c r="F175" s="2" t="str">
        <f ca="1">IFERROR(__xludf.DUMMYFUNCTION("""COMPUTED_VALUE"""),"Corruption of Champions v1.1")</f>
        <v>Corruption of Champions v1.1</v>
      </c>
      <c r="G175" s="2" t="str">
        <f ca="1">IFERROR(__xludf.DUMMYFUNCTION("""COMPUTED_VALUE"""),"Magic")</f>
        <v>Magic</v>
      </c>
      <c r="H175" s="2" t="str">
        <f ca="1">IFERROR(__xludf.DUMMYFUNCTION("""COMPUTED_VALUE"""),"Normal lethicite is rare, as the gemstones are only produced when a mortal becomes a demon, cumming their soul out to crystallize as a purplish gem. Combine that with the fact that it’s every demon’s favourite treat and power boost, and it’s rare to see a"&amp;"ny such stone. This large stone though, this is something different. Something more. The crystallized soul of a goddess, this giant pink gem is far larger and more potent than 'normal' lethicite. Where other crystals would be bite-sized, easily swallowed "&amp;"whole or crunched between a demon’s teeth, this one is closer to the size of a watermelon and darkly radiant with power besides.
Even if you broke it in three by its crystal protrusions, wasting smaller shards that break off and evaporate, each chunk wou"&amp;"ld still be larger than other crystals and contain enough energy to reshape bodies with little more than a command, instantly grow a large thorny tree to cover an extensive campsite with its canopy, or give a demon who consumed the piece the equivalent of"&amp;" several souls worth of power. If you decided to keep it in one piece though, using the entire thing for one purpose... it could certainly bring changes.
Enchanters might use it to power a golem that could threaten even the demon queen indefinitely, mage"&amp;"s or even gods could spend its energy to work massive spells that would ordinarily be far beyond even them. And of course, this is the ultimate prize to a demon, as one who got their hands on a crystal like this could have the entire world at their feet.
"&amp;"
This item is not subject to the usual rules of consumable regeneration. You only get one.")</f>
        <v>Normal lethicite is rare, as the gemstones are only produced when a mortal becomes a demon, cumming their soul out to crystallize as a purplish gem. Combine that with the fact that it’s every demon’s favourite treat and power boost, and it’s rare to see any such stone. This large stone though, this is something different. Something more. The crystallized soul of a goddess, this giant pink gem is far larger and more potent than 'normal' lethicite. Where other crystals would be bite-sized, easily swallowed whole or crunched between a demon’s teeth, this one is closer to the size of a watermelon and darkly radiant with power besides.
Even if you broke it in three by its crystal protrusions, wasting smaller shards that break off and evaporate, each chunk would still be larger than other crystals and contain enough energy to reshape bodies with little more than a command, instantly grow a large thorny tree to cover an extensive campsite with its canopy, or give a demon who consumed the piece the equivalent of several souls worth of power. If you decided to keep it in one piece though, using the entire thing for one purpose... it could certainly bring changes.
Enchanters might use it to power a golem that could threaten even the demon queen indefinitely, mages or even gods could spend its energy to work massive spells that would ordinarily be far beyond even them. And of course, this is the ultimate prize to a demon, as one who got their hands on a crystal like this could have the entire world at their feet.
This item is not subject to the usual rules of consumable regeneration. You only get one.</v>
      </c>
      <c r="I175" s="5"/>
    </row>
    <row r="176" spans="1:9" ht="139.19999999999999" x14ac:dyDescent="0.25">
      <c r="A176" s="16"/>
      <c r="B176" s="17">
        <v>172</v>
      </c>
      <c r="C176" s="2" t="b">
        <f ca="1">IFERROR(__xludf.DUMMYFUNCTION("""COMPUTED_VALUE"""),FALSE)</f>
        <v>0</v>
      </c>
      <c r="D176" s="2">
        <f ca="1">IFERROR(__xludf.DUMMYFUNCTION("""COMPUTED_VALUE"""),600)</f>
        <v>600</v>
      </c>
      <c r="E176" s="2" t="str">
        <f ca="1">IFERROR(__xludf.DUMMYFUNCTION("""COMPUTED_VALUE"""),"Divinity Crystal")</f>
        <v>Divinity Crystal</v>
      </c>
      <c r="F176" s="2" t="str">
        <f ca="1">IFERROR(__xludf.DUMMYFUNCTION("""COMPUTED_VALUE"""),"How Not to Summon a Demon Lord")</f>
        <v>How Not to Summon a Demon Lord</v>
      </c>
      <c r="G176" s="2" t="str">
        <f ca="1">IFERROR(__xludf.DUMMYFUNCTION("""COMPUTED_VALUE"""),"Magic")</f>
        <v>Magic</v>
      </c>
      <c r="H176" s="2" t="str">
        <f ca="1">IFERROR(__xludf.DUMMYFUNCTION("""COMPUTED_VALUE"""),"In ancient times the demon lords were sealed away in a variety of ways, some of them into people who passed the sealed creature down from generation to generation. Divinity Crystals are another way that power of such magnitude can be sealed, using a speci"&amp;"al ritual to extract a demon lord’s remains into an item roughly the size of a baseball. Such items are treasures of unimaginable power, placing the power of a demon lord in one’s hands. The crystal you possess now is empty to start but is able to seal an"&amp;"d contain creatures of even the most earth-shattering strength, and once sealed their power is yours...unless the crystal should be broken or the power released from it, that is. Luckily for you, this item will be replaced should the worst happen...once a"&amp;" decade.")</f>
        <v>In ancient times the demon lords were sealed away in a variety of ways, some of them into people who passed the sealed creature down from generation to generation. Divinity Crystals are another way that power of such magnitude can be sealed, using a special ritual to extract a demon lord’s remains into an item roughly the size of a baseball. Such items are treasures of unimaginable power, placing the power of a demon lord in one’s hands. The crystal you possess now is empty to start but is able to seal and contain creatures of even the most earth-shattering strength, and once sealed their power is yours...unless the crystal should be broken or the power released from it, that is. Luckily for you, this item will be replaced should the worst happen...once a decade.</v>
      </c>
      <c r="I176" s="5"/>
    </row>
    <row r="177" spans="1:9" ht="121.8" x14ac:dyDescent="0.25">
      <c r="A177" s="16"/>
      <c r="B177" s="17">
        <v>173</v>
      </c>
      <c r="C177" s="2" t="b">
        <f ca="1">IFERROR(__xludf.DUMMYFUNCTION("""COMPUTED_VALUE"""),FALSE)</f>
        <v>0</v>
      </c>
      <c r="D177" s="2">
        <f ca="1">IFERROR(__xludf.DUMMYFUNCTION("""COMPUTED_VALUE"""),600)</f>
        <v>600</v>
      </c>
      <c r="E177" s="2" t="str">
        <f ca="1">IFERROR(__xludf.DUMMYFUNCTION("""COMPUTED_VALUE"""),"Excalibust")</f>
        <v>Excalibust</v>
      </c>
      <c r="F177" s="2" t="str">
        <f ca="1">IFERROR(__xludf.DUMMYFUNCTION("""COMPUTED_VALUE"""),"Omega Labyrinth: Life")</f>
        <v>Omega Labyrinth: Life</v>
      </c>
      <c r="G177" s="2" t="str">
        <f ca="1">IFERROR(__xludf.DUMMYFUNCTION("""COMPUTED_VALUE"""),"Magic")</f>
        <v>Magic</v>
      </c>
      <c r="H177" s="2" t="str">
        <f ca="1">IFERROR(__xludf.DUMMYFUNCTION("""COMPUTED_VALUE"""),"Ok, so, the short version is you can fire a giant laser beam from your tits. The long version is only slightly more complicated. By using all the mystic power you have stored up you can amplify this beam shot technically without limit. If that weren’t eno"&amp;"ugh, the beam also counts as capital-H Holy on top of that. 
You can still shoot the beam every few minutes while “dry,” so to speak. And you’ll still be hitting about as hard as an 88MM tank cannon.")</f>
        <v>Ok, so, the short version is you can fire a giant laser beam from your tits. The long version is only slightly more complicated. By using all the mystic power you have stored up you can amplify this beam shot technically without limit. If that weren’t enough, the beam also counts as capital-H Holy on top of that. 
You can still shoot the beam every few minutes while “dry,” so to speak. And you’ll still be hitting about as hard as an 88MM tank cannon.</v>
      </c>
      <c r="I177" s="5"/>
    </row>
    <row r="178" spans="1:9" ht="139.19999999999999" x14ac:dyDescent="0.25">
      <c r="A178" s="16"/>
      <c r="B178" s="17">
        <v>174</v>
      </c>
      <c r="C178" s="2" t="b">
        <f ca="1">IFERROR(__xludf.DUMMYFUNCTION("""COMPUTED_VALUE"""),FALSE)</f>
        <v>0</v>
      </c>
      <c r="D178" s="2">
        <f ca="1">IFERROR(__xludf.DUMMYFUNCTION("""COMPUTED_VALUE"""),600)</f>
        <v>600</v>
      </c>
      <c r="E178" s="2" t="str">
        <f ca="1">IFERROR(__xludf.DUMMYFUNCTION("""COMPUTED_VALUE"""),"Gangbang no Jutsu")</f>
        <v>Gangbang no Jutsu</v>
      </c>
      <c r="F178" s="2" t="str">
        <f ca="1">IFERROR(__xludf.DUMMYFUNCTION("""COMPUTED_VALUE"""),"Naruto Blacked")</f>
        <v>Naruto Blacked</v>
      </c>
      <c r="G178" s="2" t="str">
        <f ca="1">IFERROR(__xludf.DUMMYFUNCTION("""COMPUTED_VALUE"""),"Magic")</f>
        <v>Magic</v>
      </c>
      <c r="H178" s="2" t="str">
        <f ca="1">IFERROR(__xludf.DUMMYFUNCTION("""COMPUTED_VALUE"""),"Sure the Cloud Nin are the best lovers around but quantity has a quality all its own. You’ve mastered the Shadow Clone technique and can make dozens of clones of yourself with just a simple hand sign and an exertion of chakra. Each of your clones operates"&amp;" independently of you but is still fundamentally you and shares the same goals and personality you have, minus the occasional oddball. Unlike the normal jutsu, which is dangerous to use without vast chakra reserves, this version is extremely efficient wit"&amp;"h its energy usage: even an academy student could crank out a few clones at a time without wiping himself out, and a kage could make hundreds of clones without issue.")</f>
        <v>Sure the Cloud Nin are the best lovers around but quantity has a quality all its own. You’ve mastered the Shadow Clone technique and can make dozens of clones of yourself with just a simple hand sign and an exertion of chakra. Each of your clones operates independently of you but is still fundamentally you and shares the same goals and personality you have, minus the occasional oddball. Unlike the normal jutsu, which is dangerous to use without vast chakra reserves, this version is extremely efficient with its energy usage: even an academy student could crank out a few clones at a time without wiping himself out, and a kage could make hundreds of clones without issue.</v>
      </c>
      <c r="I178" s="5"/>
    </row>
    <row r="179" spans="1:9" ht="104.4" x14ac:dyDescent="0.25">
      <c r="A179" s="16"/>
      <c r="B179" s="17">
        <v>175</v>
      </c>
      <c r="C179" s="2" t="b">
        <f ca="1">IFERROR(__xludf.DUMMYFUNCTION("""COMPUTED_VALUE"""),FALSE)</f>
        <v>0</v>
      </c>
      <c r="D179" s="2">
        <f ca="1">IFERROR(__xludf.DUMMYFUNCTION("""COMPUTED_VALUE"""),600)</f>
        <v>600</v>
      </c>
      <c r="E179" s="2" t="str">
        <f ca="1">IFERROR(__xludf.DUMMYFUNCTION("""COMPUTED_VALUE"""),"Grimore")</f>
        <v>Grimore</v>
      </c>
      <c r="F179" s="2" t="str">
        <f ca="1">IFERROR(__xludf.DUMMYFUNCTION("""COMPUTED_VALUE"""),"Magical Girl Celesphonia")</f>
        <v>Magical Girl Celesphonia</v>
      </c>
      <c r="G179" s="2" t="str">
        <f ca="1">IFERROR(__xludf.DUMMYFUNCTION("""COMPUTED_VALUE"""),"Magic")</f>
        <v>Magic</v>
      </c>
      <c r="H179" s="2" t="str">
        <f ca="1">IFERROR(__xludf.DUMMYFUNCTION("""COMPUTED_VALUE"""),"A Memoria of your very own! This book bonds to you (or maybe a trusted ally?) on a soul-deep level, and contains a pocket dimension that holds all the knowledge, skills and even memories of its past wielders...along with a cute white-haired girl to keep t"&amp;"hings organized and provide you with advice. It might not have more then a few basic combat and utility spells to start with (including the ability to transform into a magical girl) but with enough time and soul energy to feed it with you’ll find this tom"&amp;"e’s power (and thus, your own) growing in leaps and bounds.")</f>
        <v>A Memoria of your very own! This book bonds to you (or maybe a trusted ally?) on a soul-deep level, and contains a pocket dimension that holds all the knowledge, skills and even memories of its past wielders...along with a cute white-haired girl to keep things organized and provide you with advice. It might not have more then a few basic combat and utility spells to start with (including the ability to transform into a magical girl) but with enough time and soul energy to feed it with you’ll find this tome’s power (and thus, your own) growing in leaps and bounds.</v>
      </c>
      <c r="I179" s="5"/>
    </row>
    <row r="180" spans="1:9" ht="104.4" x14ac:dyDescent="0.25">
      <c r="A180" s="16"/>
      <c r="B180" s="17">
        <v>176</v>
      </c>
      <c r="C180" s="2" t="b">
        <f ca="1">IFERROR(__xludf.DUMMYFUNCTION("""COMPUTED_VALUE"""),FALSE)</f>
        <v>0</v>
      </c>
      <c r="D180" s="2">
        <f ca="1">IFERROR(__xludf.DUMMYFUNCTION("""COMPUTED_VALUE"""),600)</f>
        <v>600</v>
      </c>
      <c r="E180" s="2" t="str">
        <f ca="1">IFERROR(__xludf.DUMMYFUNCTION("""COMPUTED_VALUE"""),"Interdimensional Entrepreneurship")</f>
        <v>Interdimensional Entrepreneurship</v>
      </c>
      <c r="F180" s="2" t="str">
        <f ca="1">IFERROR(__xludf.DUMMYFUNCTION("""COMPUTED_VALUE"""),"How they Fap in Parallel Worlds")</f>
        <v>How they Fap in Parallel Worlds</v>
      </c>
      <c r="G180" s="2" t="str">
        <f ca="1">IFERROR(__xludf.DUMMYFUNCTION("""COMPUTED_VALUE"""),"Magic")</f>
        <v>Magic</v>
      </c>
      <c r="H180" s="2" t="str">
        <f ca="1">IFERROR(__xludf.DUMMYFUNCTION("""COMPUTED_VALUE"""),"You are privy to a number of rituals that allow the user to summon beings from other dimensions exclusively for sexual experiences. The summoning automatically ends shortly after the summoned being is sexually satisfied. You can infuse the ritual into car"&amp;"ds that can be used on a moment’s notice, or into doorways that allow the other creature to “summon” themselves at their own discretion. Perfect if you want to work on setting up your own interdimensional brothel, or just weaponize horny tentacle monsters"&amp;".")</f>
        <v>You are privy to a number of rituals that allow the user to summon beings from other dimensions exclusively for sexual experiences. The summoning automatically ends shortly after the summoned being is sexually satisfied. You can infuse the ritual into cards that can be used on a moment’s notice, or into doorways that allow the other creature to “summon” themselves at their own discretion. Perfect if you want to work on setting up your own interdimensional brothel, or just weaponize horny tentacle monsters.</v>
      </c>
      <c r="I180" s="5"/>
    </row>
    <row r="181" spans="1:9" ht="208.8" x14ac:dyDescent="0.25">
      <c r="A181" s="16"/>
      <c r="B181" s="17">
        <v>177</v>
      </c>
      <c r="C181" s="2" t="b">
        <f ca="1">IFERROR(__xludf.DUMMYFUNCTION("""COMPUTED_VALUE"""),FALSE)</f>
        <v>0</v>
      </c>
      <c r="D181" s="2">
        <f ca="1">IFERROR(__xludf.DUMMYFUNCTION("""COMPUTED_VALUE"""),600)</f>
        <v>600</v>
      </c>
      <c r="E181" s="2" t="str">
        <f ca="1">IFERROR(__xludf.DUMMYFUNCTION("""COMPUTED_VALUE"""),"It's For a Ritual!")</f>
        <v>It's For a Ritual!</v>
      </c>
      <c r="F181" s="2" t="str">
        <f ca="1">IFERROR(__xludf.DUMMYFUNCTION("""COMPUTED_VALUE"""),"Submission Sailor Moon")</f>
        <v>Submission Sailor Moon</v>
      </c>
      <c r="G181" s="2" t="str">
        <f ca="1">IFERROR(__xludf.DUMMYFUNCTION("""COMPUTED_VALUE"""),"Magic")</f>
        <v>Magic</v>
      </c>
      <c r="H181" s="2" t="str">
        <f ca="1">IFERROR(__xludf.DUMMYFUNCTION("""COMPUTED_VALUE"""),"Even in a world of magical girls and demons, never underestimate the power of a Shinto priest! Much like Rei’s grandfather and his friends you’ve mastered a wide array of holy magics, from rituals that cleanse demons to the making of ofuda and sacred tali"&amp;"smans. These are sacred magical arts that heal, protect, bless, and cleanse or seal evil rather than the curses or elemental magics that a youma or a Senshi might employ. However your rituals have a strange quirk to them in that they become much more powe"&amp;"rful when employed in lewd ways. For instance you can cleanse a girl of evil spirits with a normal purification ritual or you can make her actively repel and burn demons that try to lay hands on her with a ritual that involves rubbing a sacred aphrodisiac"&amp;" lotion into every inch of her body. What’s more, by employing these rituals with other kinds of magic you might have you can add sacred power to any other magical spell or effect you might know, turning even ordinary elemental magic into sacred demon-sla"&amp;"ying magic. You can also choose to employ non-Shinto rituals if you’d rather be powered by some other religion instead.")</f>
        <v>Even in a world of magical girls and demons, never underestimate the power of a Shinto priest! Much like Rei’s grandfather and his friends you’ve mastered a wide array of holy magics, from rituals that cleanse demons to the making of ofuda and sacred talismans. These are sacred magical arts that heal, protect, bless, and cleanse or seal evil rather than the curses or elemental magics that a youma or a Senshi might employ. However your rituals have a strange quirk to them in that they become much more powerful when employed in lewd ways. For instance you can cleanse a girl of evil spirits with a normal purification ritual or you can make her actively repel and burn demons that try to lay hands on her with a ritual that involves rubbing a sacred aphrodisiac lotion into every inch of her body. What’s more, by employing these rituals with other kinds of magic you might have you can add sacred power to any other magical spell or effect you might know, turning even ordinary elemental magic into sacred demon-slaying magic. You can also choose to employ non-Shinto rituals if you’d rather be powered by some other religion instead.</v>
      </c>
      <c r="I181" s="5"/>
    </row>
    <row r="182" spans="1:9" ht="295.8" x14ac:dyDescent="0.25">
      <c r="A182" s="16"/>
      <c r="B182" s="17">
        <v>178</v>
      </c>
      <c r="C182" s="2" t="b">
        <f ca="1">IFERROR(__xludf.DUMMYFUNCTION("""COMPUTED_VALUE"""),FALSE)</f>
        <v>0</v>
      </c>
      <c r="D182" s="2">
        <f ca="1">IFERROR(__xludf.DUMMYFUNCTION("""COMPUTED_VALUE"""),600)</f>
        <v>600</v>
      </c>
      <c r="E182" s="2" t="str">
        <f ca="1">IFERROR(__xludf.DUMMYFUNCTION("""COMPUTED_VALUE"""),"Just a Bad Dream")</f>
        <v>Just a Bad Dream</v>
      </c>
      <c r="F182" s="2" t="str">
        <f ca="1">IFERROR(__xludf.DUMMYFUNCTION("""COMPUTED_VALUE"""),"Fate/Loli Order")</f>
        <v>Fate/Loli Order</v>
      </c>
      <c r="G182" s="2" t="str">
        <f ca="1">IFERROR(__xludf.DUMMYFUNCTION("""COMPUTED_VALUE"""),"Magic")</f>
        <v>Magic</v>
      </c>
      <c r="H182" s="2" t="str">
        <f ca="1">IFERROR(__xludf.DUMMYFUNCTION("""COMPUTED_VALUE"""),"Daughter rescued, villain tracked down and dealt with, mission accomplished. Right? Well... No. Not yet. There are still the scars to deal with. Maybe upon their flesh, but certainly upon their psyche, and potentially even upon their soul. Whether it's he"&amp;"alth complications from their time in captivity, the possibility of a pre-teen pregnancy, or some nasty failsafe buried in their subconcious, your failure to prevent a single finger from being laid upon your loved ones only seems to serve to motivate you "&amp;"even further to utterly erase that finger. A lullaby to soothe their dreams, all their favorite foods to wipe away the sickening taste from their tongue, and of course as many detection spells looking for hidden surprises as you can muster. By the time yo"&amp;"u've finished, it wouldn't be very strange if the victim didn't even remember it had happened, thinking the whole thing to be a strange dream. 
Of course, some of that may be the very real fact that you've figured out how to use a very small fragment of "&amp;"the Kaleidoscope to quite literally cast someone out of the world. The spell is intentionally designed poorly, damaging people's memory of the poor bastard, leaving the victims in your care to think it a dream and stifling any attempt at recreating whatev"&amp;"er means allowed this travesty to happen in the first place. Just be sure to shoot the bastard first, this technique isn't inherently fatal.")</f>
        <v>Daughter rescued, villain tracked down and dealt with, mission accomplished. Right? Well... No. Not yet. There are still the scars to deal with. Maybe upon their flesh, but certainly upon their psyche, and potentially even upon their soul. Whether it's health complications from their time in captivity, the possibility of a pre-teen pregnancy, or some nasty failsafe buried in their subconcious, your failure to prevent a single finger from being laid upon your loved ones only seems to serve to motivate you even further to utterly erase that finger. A lullaby to soothe their dreams, all their favorite foods to wipe away the sickening taste from their tongue, and of course as many detection spells looking for hidden surprises as you can muster. By the time you've finished, it wouldn't be very strange if the victim didn't even remember it had happened, thinking the whole thing to be a strange dream. 
Of course, some of that may be the very real fact that you've figured out how to use a very small fragment of the Kaleidoscope to quite literally cast someone out of the world. The spell is intentionally designed poorly, damaging people's memory of the poor bastard, leaving the victims in your care to think it a dream and stifling any attempt at recreating whatever means allowed this travesty to happen in the first place. Just be sure to shoot the bastard first, this technique isn't inherently fatal.</v>
      </c>
      <c r="I182" s="5"/>
    </row>
    <row r="183" spans="1:9" ht="330.6" x14ac:dyDescent="0.25">
      <c r="A183" s="16"/>
      <c r="B183" s="17">
        <v>179</v>
      </c>
      <c r="C183" s="2" t="b">
        <f ca="1">IFERROR(__xludf.DUMMYFUNCTION("""COMPUTED_VALUE"""),FALSE)</f>
        <v>0</v>
      </c>
      <c r="D183" s="2">
        <f ca="1">IFERROR(__xludf.DUMMYFUNCTION("""COMPUTED_VALUE"""),600)</f>
        <v>600</v>
      </c>
      <c r="E183" s="2" t="str">
        <f ca="1">IFERROR(__xludf.DUMMYFUNCTION("""COMPUTED_VALUE"""),"Kama Sammohana")</f>
        <v>Kama Sammohana</v>
      </c>
      <c r="F183" s="2" t="str">
        <f ca="1">IFERROR(__xludf.DUMMYFUNCTION("""COMPUTED_VALUE"""),"Fate/Grand Master")</f>
        <v>Fate/Grand Master</v>
      </c>
      <c r="G183" s="2" t="str">
        <f ca="1">IFERROR(__xludf.DUMMYFUNCTION("""COMPUTED_VALUE"""),"Magic")</f>
        <v>Magic</v>
      </c>
      <c r="H183" s="2" t="str">
        <f ca="1">IFERROR(__xludf.DUMMYFUNCTION("""COMPUTED_VALUE"""),"Chaldea has done more to advance the field of servant summoning than anyone in human history, and as the master of Chaldea you’re the rightful heir to all that progress. This summoning circle is a replica of the one in Chaldea’s summoning chamber save tha"&amp;"t it lacks a nuclear reactor. This means you will be supplying your own mana to both summon, maintain, and empower any servants you summons, an act which can be extremely taxing even for a powerful magus.
This summoning circle allows the summoning of alt"&amp;"ernate versions of known servants; by reaching into parallel worlds you can summon a busty female Gilgamesh, adult versions of Nursery Rhyme or Jack the Ripper, and so on. Simply by altering the circle’s parameters you can filter the circle’s summoning re"&amp;"sults, such as making it summon exclusively female servants or only MILFs or tomboys and so on. With a little adjustment, you can even have the circle reach into worlds beyond that of the original Chaldea, allowing you to summon servants they couldn't hav"&amp;"e imagined.
This perk comes with 1 command seal that takes the form of a red, three part, symbolic tattoo on your body. It lets you give an order to someone you have a magical binding with to act. This can forced them to do something they wouldn't or cou"&amp;"ldn't normally do, like teleport to your side or instantly heal from the edge of death. This seal will regenerate after 1 week, but this can be accelerated at the cost of a massive amount of magical energy. Spending this seal will not break your servant c"&amp;"ontracts.")</f>
        <v>Chaldea has done more to advance the field of servant summoning than anyone in human history, and as the master of Chaldea you’re the rightful heir to all that progress. This summoning circle is a replica of the one in Chaldea’s summoning chamber save that it lacks a nuclear reactor. This means you will be supplying your own mana to both summon, maintain, and empower any servants you summons, an act which can be extremely taxing even for a powerful magus.
This summoning circle allows the summoning of alternate versions of known servants; by reaching into parallel worlds you can summon a busty female Gilgamesh, adult versions of Nursery Rhyme or Jack the Ripper, and so on. Simply by altering the circle’s parameters you can filter the circle’s summoning results, such as making it summon exclusively female servants or only MILFs or tomboys and so on. With a little adjustment, you can even have the circle reach into worlds beyond that of the original Chaldea, allowing you to summon servants they couldn't have imagined.
This perk comes with 1 command seal that takes the form of a red, three part, symbolic tattoo on your body. It lets you give an order to someone you have a magical binding with to act. This can forced them to do something they wouldn't or couldn't normally do, like teleport to your side or instantly heal from the edge of death. This seal will regenerate after 1 week, but this can be accelerated at the cost of a massive amount of magical energy. Spending this seal will not break your servant contracts.</v>
      </c>
      <c r="I183" s="5"/>
    </row>
    <row r="184" spans="1:9" ht="104.4" x14ac:dyDescent="0.25">
      <c r="A184" s="16"/>
      <c r="B184" s="17">
        <v>180</v>
      </c>
      <c r="C184" s="2" t="b">
        <f ca="1">IFERROR(__xludf.DUMMYFUNCTION("""COMPUTED_VALUE"""),FALSE)</f>
        <v>0</v>
      </c>
      <c r="D184" s="2">
        <f ca="1">IFERROR(__xludf.DUMMYFUNCTION("""COMPUTED_VALUE"""),600)</f>
        <v>600</v>
      </c>
      <c r="E184" s="2" t="str">
        <f ca="1">IFERROR(__xludf.DUMMYFUNCTION("""COMPUTED_VALUE"""),"Last Will and Testament")</f>
        <v>Last Will and Testament</v>
      </c>
      <c r="F184" s="2" t="str">
        <f ca="1">IFERROR(__xludf.DUMMYFUNCTION("""COMPUTED_VALUE"""),"Aki-Akane")</f>
        <v>Aki-Akane</v>
      </c>
      <c r="G184" s="2" t="str">
        <f ca="1">IFERROR(__xludf.DUMMYFUNCTION("""COMPUTED_VALUE"""),"Magic")</f>
        <v>Magic</v>
      </c>
      <c r="H184" s="2" t="str">
        <f ca="1">IFERROR(__xludf.DUMMYFUNCTION("""COMPUTED_VALUE"""),"You wanna know the best thing about being friends with a ghost ninja samurai? Their ability to search the afterlife for your not so recently deceased loved ones so that you can have one last conversation with them. And possibly ask their blessing to get m"&amp;"arried. Or maybe have a threesome with them. There’s lots of uses for this. Anyways, once per month a ninja will hunt down the soul of someone you desire to speak with, and you’ll have 24 hours with which to do whatever you want with them.")</f>
        <v>You wanna know the best thing about being friends with a ghost ninja samurai? Their ability to search the afterlife for your not so recently deceased loved ones so that you can have one last conversation with them. And possibly ask their blessing to get married. Or maybe have a threesome with them. There’s lots of uses for this. Anyways, once per month a ninja will hunt down the soul of someone you desire to speak with, and you’ll have 24 hours with which to do whatever you want with them.</v>
      </c>
      <c r="I184" s="5"/>
    </row>
    <row r="185" spans="1:9" ht="121.8" x14ac:dyDescent="0.25">
      <c r="A185" s="16"/>
      <c r="B185" s="17">
        <v>181</v>
      </c>
      <c r="C185" s="2" t="b">
        <f ca="1">IFERROR(__xludf.DUMMYFUNCTION("""COMPUTED_VALUE"""),FALSE)</f>
        <v>0</v>
      </c>
      <c r="D185" s="2">
        <f ca="1">IFERROR(__xludf.DUMMYFUNCTION("""COMPUTED_VALUE"""),600)</f>
        <v>600</v>
      </c>
      <c r="E185" s="2" t="str">
        <f ca="1">IFERROR(__xludf.DUMMYFUNCTION("""COMPUTED_VALUE"""),"Legends Come to Life")</f>
        <v>Legends Come to Life</v>
      </c>
      <c r="F185" s="2" t="str">
        <f ca="1">IFERROR(__xludf.DUMMYFUNCTION("""COMPUTED_VALUE"""),"Toshi Densetsu Bitch")</f>
        <v>Toshi Densetsu Bitch</v>
      </c>
      <c r="G185" s="2" t="str">
        <f ca="1">IFERROR(__xludf.DUMMYFUNCTION("""COMPUTED_VALUE"""),"Magic")</f>
        <v>Magic</v>
      </c>
      <c r="H185" s="2" t="str">
        <f ca="1">IFERROR(__xludf.DUMMYFUNCTION("""COMPUTED_VALUE"""),"It’s all well and good if the urban legends you are looking for actually exist, but what if they don’t? Well with this perk, you won’t have to worry about that. With the use of certain rituals, you can bring a lewd version of the subject of a story to lif"&amp;"e. These rituals become longer, more expensive, and far more complicated the less people know about the story in question, becoming nigh-impossible if the only person that knows about it is you. The specifics of these rituals change depending on the being"&amp;" you are trying to create, oftentimes involving acting out certain important events of the story.")</f>
        <v>It’s all well and good if the urban legends you are looking for actually exist, but what if they don’t? Well with this perk, you won’t have to worry about that. With the use of certain rituals, you can bring a lewd version of the subject of a story to life. These rituals become longer, more expensive, and far more complicated the less people know about the story in question, becoming nigh-impossible if the only person that knows about it is you. The specifics of these rituals change depending on the being you are trying to create, oftentimes involving acting out certain important events of the story.</v>
      </c>
      <c r="I185" s="5"/>
    </row>
    <row r="186" spans="1:9" ht="139.19999999999999" x14ac:dyDescent="0.25">
      <c r="A186" s="16"/>
      <c r="B186" s="17">
        <v>182</v>
      </c>
      <c r="C186" s="2" t="b">
        <f ca="1">IFERROR(__xludf.DUMMYFUNCTION("""COMPUTED_VALUE"""),FALSE)</f>
        <v>0</v>
      </c>
      <c r="D186" s="2">
        <f ca="1">IFERROR(__xludf.DUMMYFUNCTION("""COMPUTED_VALUE"""),600)</f>
        <v>600</v>
      </c>
      <c r="E186" s="2" t="str">
        <f ca="1">IFERROR(__xludf.DUMMYFUNCTION("""COMPUTED_VALUE"""),"Love Conquers All")</f>
        <v>Love Conquers All</v>
      </c>
      <c r="F186" s="2" t="str">
        <f ca="1">IFERROR(__xludf.DUMMYFUNCTION("""COMPUTED_VALUE"""),"Submission Sailor Moon")</f>
        <v>Submission Sailor Moon</v>
      </c>
      <c r="G186" s="2" t="str">
        <f ca="1">IFERROR(__xludf.DUMMYFUNCTION("""COMPUTED_VALUE"""),"Magic")</f>
        <v>Magic</v>
      </c>
      <c r="H186" s="2" t="str">
        <f ca="1">IFERROR(__xludf.DUMMYFUNCTION("""COMPUTED_VALUE"""),"These new youma may have the power of rape on their side but so what? Love and justice can overcome anything, even the power of tentacles! Your already-impressive magical strength grows greater still when fueled by the power of love: whether you’re fighti"&amp;"ng to free your loved ones from a monster or you’re the only thing standing between them and a terrible fate, your physical and magical abilities rise dramatically, as much as doubling your power in moments of crisis that threaten those you love. But when"&amp;" you’re able to pool your strength with your loved ones the total power that you all have access to rises further still, multiplying the sum of all your powers by another level for each person who adds their power to yours.")</f>
        <v>These new youma may have the power of rape on their side but so what? Love and justice can overcome anything, even the power of tentacles! Your already-impressive magical strength grows greater still when fueled by the power of love: whether you’re fighting to free your loved ones from a monster or you’re the only thing standing between them and a terrible fate, your physical and magical abilities rise dramatically, as much as doubling your power in moments of crisis that threaten those you love. But when you’re able to pool your strength with your loved ones the total power that you all have access to rises further still, multiplying the sum of all your powers by another level for each person who adds their power to yours.</v>
      </c>
      <c r="I186" s="5"/>
    </row>
    <row r="187" spans="1:9" ht="104.4" x14ac:dyDescent="0.25">
      <c r="A187" s="16"/>
      <c r="B187" s="17">
        <v>183</v>
      </c>
      <c r="C187" s="2" t="b">
        <f ca="1">IFERROR(__xludf.DUMMYFUNCTION("""COMPUTED_VALUE"""),FALSE)</f>
        <v>0</v>
      </c>
      <c r="D187" s="2">
        <f ca="1">IFERROR(__xludf.DUMMYFUNCTION("""COMPUTED_VALUE"""),600)</f>
        <v>600</v>
      </c>
      <c r="E187" s="2" t="str">
        <f ca="1">IFERROR(__xludf.DUMMYFUNCTION("""COMPUTED_VALUE"""),"Magic Leap")</f>
        <v>Magic Leap</v>
      </c>
      <c r="F187" s="2" t="str">
        <f ca="1">IFERROR(__xludf.DUMMYFUNCTION("""COMPUTED_VALUE"""),"My Bride is the Demon Lord")</f>
        <v>My Bride is the Demon Lord</v>
      </c>
      <c r="G187" s="2" t="str">
        <f ca="1">IFERROR(__xludf.DUMMYFUNCTION("""COMPUTED_VALUE"""),"Magic")</f>
        <v>Magic</v>
      </c>
      <c r="H187" s="2" t="str">
        <f ca="1">IFERROR(__xludf.DUMMYFUNCTION("""COMPUTED_VALUE"""),"It isn’t an easy task to travel between the demon and human worlds, but you’re well equipped to the task. With a powerful spell, you can travel between dimensions, breaching the universal barriers to travel from one world to another. By default, this only"&amp;" functions in the “local” multiverse, such as in a jump where the human and demon worlds are separate dimensions, but this could be changed with sufficent power and study. Unlike Lina’s version of the spell, your leaping won’t leave you magically weakened"&amp;" as you recover from the exhaustion of working such powerful magic.")</f>
        <v>It isn’t an easy task to travel between the demon and human worlds, but you’re well equipped to the task. With a powerful spell, you can travel between dimensions, breaching the universal barriers to travel from one world to another. By default, this only functions in the “local” multiverse, such as in a jump where the human and demon worlds are separate dimensions, but this could be changed with sufficent power and study. Unlike Lina’s version of the spell, your leaping won’t leave you magically weakened as you recover from the exhaustion of working such powerful magic.</v>
      </c>
      <c r="I187" s="5"/>
    </row>
    <row r="188" spans="1:9" ht="174" x14ac:dyDescent="0.25">
      <c r="A188" s="16"/>
      <c r="B188" s="17">
        <v>184</v>
      </c>
      <c r="C188" s="2" t="b">
        <f ca="1">IFERROR(__xludf.DUMMYFUNCTION("""COMPUTED_VALUE"""),FALSE)</f>
        <v>0</v>
      </c>
      <c r="D188" s="2">
        <f ca="1">IFERROR(__xludf.DUMMYFUNCTION("""COMPUTED_VALUE"""),600)</f>
        <v>600</v>
      </c>
      <c r="E188" s="2" t="str">
        <f ca="1">IFERROR(__xludf.DUMMYFUNCTION("""COMPUTED_VALUE"""),"Master of Magic")</f>
        <v>Master of Magic</v>
      </c>
      <c r="F188" s="2" t="str">
        <f ca="1">IFERROR(__xludf.DUMMYFUNCTION("""COMPUTED_VALUE"""),"Majuu Purification Girl Utea")</f>
        <v>Majuu Purification Girl Utea</v>
      </c>
      <c r="G188" s="2" t="str">
        <f ca="1">IFERROR(__xludf.DUMMYFUNCTION("""COMPUTED_VALUE"""),"Magic")</f>
        <v>Magic</v>
      </c>
      <c r="H188" s="2" t="str">
        <f ca="1">IFERROR(__xludf.DUMMYFUNCTION("""COMPUTED_VALUE"""),"The Utea may be quite powerful but compared to the demon king’s magical skills they’re merely children playing with powers they barely understand. You’re a skilled and powerful sorcerer who has mastered the magical power that sings in your blood and churn"&amp;"s in your loins. You have a vast arsenal of magical spells at your command, from basic elemental spells to complex rituals, though your best spells are those fueled by your libido. Any spell that you know can be cast as a tantric ritual, which adds your s"&amp;"exual skills to your magical skills and allows you to tap into your partner’s magical powers to power the spell at the small cost of needing you to bring yourself and your partner to at least one orgasm. You’ve also mastered the not-so subtle art of explo"&amp;"iting the desires of your victims: the more a person desires you the greater the hold your magic has over her, and the less effective her defenses against your magic become.")</f>
        <v>The Utea may be quite powerful but compared to the demon king’s magical skills they’re merely children playing with powers they barely understand. You’re a skilled and powerful sorcerer who has mastered the magical power that sings in your blood and churns in your loins. You have a vast arsenal of magical spells at your command, from basic elemental spells to complex rituals, though your best spells are those fueled by your libido. Any spell that you know can be cast as a tantric ritual, which adds your sexual skills to your magical skills and allows you to tap into your partner’s magical powers to power the spell at the small cost of needing you to bring yourself and your partner to at least one orgasm. You’ve also mastered the not-so subtle art of exploiting the desires of your victims: the more a person desires you the greater the hold your magic has over her, and the less effective her defenses against your magic become.</v>
      </c>
      <c r="I188" s="5"/>
    </row>
    <row r="189" spans="1:9" ht="87" x14ac:dyDescent="0.25">
      <c r="A189" s="16"/>
      <c r="B189" s="17">
        <v>185</v>
      </c>
      <c r="C189" s="2" t="b">
        <f ca="1">IFERROR(__xludf.DUMMYFUNCTION("""COMPUTED_VALUE"""),FALSE)</f>
        <v>0</v>
      </c>
      <c r="D189" s="2">
        <f ca="1">IFERROR(__xludf.DUMMYFUNCTION("""COMPUTED_VALUE"""),600)</f>
        <v>600</v>
      </c>
      <c r="E189" s="2" t="str">
        <f ca="1">IFERROR(__xludf.DUMMYFUNCTION("""COMPUTED_VALUE"""),"Not Quite the Devil, but Close Enough")</f>
        <v>Not Quite the Devil, but Close Enough</v>
      </c>
      <c r="F189" s="2" t="str">
        <f ca="1">IFERROR(__xludf.DUMMYFUNCTION("""COMPUTED_VALUE"""),"How they Fap in Parallel Worlds")</f>
        <v>How they Fap in Parallel Worlds</v>
      </c>
      <c r="G189" s="2" t="str">
        <f ca="1">IFERROR(__xludf.DUMMYFUNCTION("""COMPUTED_VALUE"""),"Magic")</f>
        <v>Magic</v>
      </c>
      <c r="H189" s="2" t="str">
        <f ca="1">IFERROR(__xludf.DUMMYFUNCTION("""COMPUTED_VALUE"""),"You have the authority to strike deals with the other person’s soul on the line. If they cannot deliver, their soul is yours, serving you as a spectral slave for the rest of time. The deal doesn’t even need to be fair, as long as the other party agrees to"&amp;" it with a full grasp of the consequences. Incidentally, spectral sex is apparently incomparably more pleasurable than physical sex. Don’t feel ashamed too if you blow your load after your first kiss with a disembodied soul.")</f>
        <v>You have the authority to strike deals with the other person’s soul on the line. If they cannot deliver, their soul is yours, serving you as a spectral slave for the rest of time. The deal doesn’t even need to be fair, as long as the other party agrees to it with a full grasp of the consequences. Incidentally, spectral sex is apparently incomparably more pleasurable than physical sex. Don’t feel ashamed too if you blow your load after your first kiss with a disembodied soul.</v>
      </c>
      <c r="I189" s="5"/>
    </row>
    <row r="190" spans="1:9" ht="104.4" x14ac:dyDescent="0.25">
      <c r="A190" s="16"/>
      <c r="B190" s="17">
        <v>186</v>
      </c>
      <c r="C190" s="2" t="b">
        <f ca="1">IFERROR(__xludf.DUMMYFUNCTION("""COMPUTED_VALUE"""),FALSE)</f>
        <v>0</v>
      </c>
      <c r="D190" s="2">
        <f ca="1">IFERROR(__xludf.DUMMYFUNCTION("""COMPUTED_VALUE"""),600)</f>
        <v>600</v>
      </c>
      <c r="E190" s="2" t="str">
        <f ca="1">IFERROR(__xludf.DUMMYFUNCTION("""COMPUTED_VALUE"""),"Omega Artifice")</f>
        <v>Omega Artifice</v>
      </c>
      <c r="F190" s="2" t="str">
        <f ca="1">IFERROR(__xludf.DUMMYFUNCTION("""COMPUTED_VALUE"""),"Omega Labyrinth: Life")</f>
        <v>Omega Labyrinth: Life</v>
      </c>
      <c r="G190" s="2" t="str">
        <f ca="1">IFERROR(__xludf.DUMMYFUNCTION("""COMPUTED_VALUE"""),"Magic")</f>
        <v>Magic</v>
      </c>
      <c r="H190" s="2" t="str">
        <f ca="1">IFERROR(__xludf.DUMMYFUNCTION("""COMPUTED_VALUE"""),"The pinnacle of mastery at manipulating Omega Power, you can literally use Omega Power to create permanent objects. Naturally, the more powerful the object in question you want to create is the more Omega Power you’ll need, but there are few limits beyond"&amp;" that singular one. Also, whatever you create will be highly receptive to magical augmentation, and you can invent these augmentations yourself using still more Omega Power, or transfer augmentation between items. You may apply this Perk to other magical "&amp;"energies: Mana, Ki, etc.")</f>
        <v>The pinnacle of mastery at manipulating Omega Power, you can literally use Omega Power to create permanent objects. Naturally, the more powerful the object in question you want to create is the more Omega Power you’ll need, but there are few limits beyond that singular one. Also, whatever you create will be highly receptive to magical augmentation, and you can invent these augmentations yourself using still more Omega Power, or transfer augmentation between items. You may apply this Perk to other magical energies: Mana, Ki, etc.</v>
      </c>
      <c r="I190" s="5"/>
    </row>
    <row r="191" spans="1:9" ht="243.6" x14ac:dyDescent="0.25">
      <c r="A191" s="16"/>
      <c r="B191" s="17">
        <v>187</v>
      </c>
      <c r="C191" s="2" t="b">
        <f ca="1">IFERROR(__xludf.DUMMYFUNCTION("""COMPUTED_VALUE"""),FALSE)</f>
        <v>0</v>
      </c>
      <c r="D191" s="2">
        <f ca="1">IFERROR(__xludf.DUMMYFUNCTION("""COMPUTED_VALUE"""),600)</f>
        <v>600</v>
      </c>
      <c r="E191" s="2" t="str">
        <f ca="1">IFERROR(__xludf.DUMMYFUNCTION("""COMPUTED_VALUE"""),"Power Overwhelming")</f>
        <v>Power Overwhelming</v>
      </c>
      <c r="F191" s="2" t="str">
        <f ca="1">IFERROR(__xludf.DUMMYFUNCTION("""COMPUTED_VALUE"""),"Breathless Wild")</f>
        <v>Breathless Wild</v>
      </c>
      <c r="G191" s="2" t="str">
        <f ca="1">IFERROR(__xludf.DUMMYFUNCTION("""COMPUTED_VALUE"""),"Magic")</f>
        <v>Magic</v>
      </c>
      <c r="H191" s="2" t="str">
        <f ca="1">IFERROR(__xludf.DUMMYFUNCTION("""COMPUTED_VALUE"""),"Ganon has brought Hyrule to its knees with his sorcerous power, bending the whole world to his depraved desires through his strength of will and magical might alone. You’re quite a powerful sorcerer yourself, not yet Ganon’s equal but capable of becoming "&amp;"one. Your strength of will and immense magical powers allow you to dominate even the world itself, from commanding the elements in battle to laying curses on all who oppose you to toying with the bodies and minds of your conquests and more. Your desires e"&amp;"mpower your spells and make them especially potent when put to erotic uses, their effects lingering long after the spells have ended and always in ways you’ll find useful. A fireball powered by desire might burn a foe’s armor to ash and ignite her lust, a"&amp;"nd then keep her body extra-sensitive to pleasure for hours or days on end, while summoned tentacles might plant evil seeds you can use as arcane links to continue corrupting a princess from within her own womb. The downside to this power is that your mag"&amp;"ic is dark and therefore vulnerable to holy magic of sufficient strength, but as a master of dark sorcery you’re quite immune to corruption and backlash from your own spells as well as any other forms of dark power you might acquire in the future.")</f>
        <v>Ganon has brought Hyrule to its knees with his sorcerous power, bending the whole world to his depraved desires through his strength of will and magical might alone. You’re quite a powerful sorcerer yourself, not yet Ganon’s equal but capable of becoming one. Your strength of will and immense magical powers allow you to dominate even the world itself, from commanding the elements in battle to laying curses on all who oppose you to toying with the bodies and minds of your conquests and more. Your desires empower your spells and make them especially potent when put to erotic uses, their effects lingering long after the spells have ended and always in ways you’ll find useful. A fireball powered by desire might burn a foe’s armor to ash and ignite her lust, and then keep her body extra-sensitive to pleasure for hours or days on end, while summoned tentacles might plant evil seeds you can use as arcane links to continue corrupting a princess from within her own womb. The downside to this power is that your magic is dark and therefore vulnerable to holy magic of sufficient strength, but as a master of dark sorcery you’re quite immune to corruption and backlash from your own spells as well as any other forms of dark power you might acquire in the future.</v>
      </c>
      <c r="I191" s="5"/>
    </row>
    <row r="192" spans="1:9" ht="208.8" x14ac:dyDescent="0.25">
      <c r="A192" s="16"/>
      <c r="B192" s="17">
        <v>188</v>
      </c>
      <c r="C192" s="2" t="b">
        <f ca="1">IFERROR(__xludf.DUMMYFUNCTION("""COMPUTED_VALUE"""),FALSE)</f>
        <v>0</v>
      </c>
      <c r="D192" s="2">
        <f ca="1">IFERROR(__xludf.DUMMYFUNCTION("""COMPUTED_VALUE"""),600)</f>
        <v>600</v>
      </c>
      <c r="E192" s="2" t="str">
        <f ca="1">IFERROR(__xludf.DUMMYFUNCTION("""COMPUTED_VALUE"""),"Powered by Horny")</f>
        <v>Powered by Horny</v>
      </c>
      <c r="F192" s="2" t="str">
        <f ca="1">IFERROR(__xludf.DUMMYFUNCTION("""COMPUTED_VALUE"""),"Rope Master")</f>
        <v>Rope Master</v>
      </c>
      <c r="G192" s="2" t="str">
        <f ca="1">IFERROR(__xludf.DUMMYFUNCTION("""COMPUTED_VALUE"""),"Magic")</f>
        <v>Magic</v>
      </c>
      <c r="H192" s="2" t="str">
        <f ca="1">IFERROR(__xludf.DUMMYFUNCTION("""COMPUTED_VALUE"""),"Those who have natural magical talent but lack training often learn to cast spells through pure force of will or unquenchable desire. Much like Hajime Takanawa you're a sorcerer of immense natural talent, capable of bringing your lewdest dreams to life. Y"&amp;"our magic feeds on your desires and is much stronger and easier to use when bent to erotic purposes, even allowing you to bend the rules of magic in your favor when they stand in your way. Other magicians might be stumped by things they don't understand o"&amp;"r hit walls trying to go against the rules of magic, but you can simply brute force those issues with raw power so long as your intentions align with your libido and you're willing to spend much more magical power than you'd normally need to on the result"&amp;"ing spells. If a ritual is about to turn your waifus into human sacrifices you don't need to know how it works to save them when you can shut the whole thing down without endangering anyone (except maybe yourself) by jamming a metaphorical wrench into the"&amp;" gears. Be warned that when overtaxing your magic and going beyond your limits you might find yourself paying a very steep price for it.")</f>
        <v>Those who have natural magical talent but lack training often learn to cast spells through pure force of will or unquenchable desire. Much like Hajime Takanawa you're a sorcerer of immense natural talent, capable of bringing your lewdest dreams to life. Your magic feeds on your desires and is much stronger and easier to use when bent to erotic purposes, even allowing you to bend the rules of magic in your favor when they stand in your way. Other magicians might be stumped by things they don't understand or hit walls trying to go against the rules of magic, but you can simply brute force those issues with raw power so long as your intentions align with your libido and you're willing to spend much more magical power than you'd normally need to on the resulting spells. If a ritual is about to turn your waifus into human sacrifices you don't need to know how it works to save them when you can shut the whole thing down without endangering anyone (except maybe yourself) by jamming a metaphorical wrench into the gears. Be warned that when overtaxing your magic and going beyond your limits you might find yourself paying a very steep price for it.</v>
      </c>
      <c r="I192" s="5"/>
    </row>
    <row r="193" spans="1:9" ht="208.8" x14ac:dyDescent="0.25">
      <c r="A193" s="16"/>
      <c r="B193" s="17">
        <v>189</v>
      </c>
      <c r="C193" s="2" t="b">
        <f ca="1">IFERROR(__xludf.DUMMYFUNCTION("""COMPUTED_VALUE"""),FALSE)</f>
        <v>0</v>
      </c>
      <c r="D193" s="2">
        <f ca="1">IFERROR(__xludf.DUMMYFUNCTION("""COMPUTED_VALUE"""),600)</f>
        <v>600</v>
      </c>
      <c r="E193" s="2" t="str">
        <f ca="1">IFERROR(__xludf.DUMMYFUNCTION("""COMPUTED_VALUE"""),"Pure Seed")</f>
        <v>Pure Seed</v>
      </c>
      <c r="F193" s="2" t="str">
        <f ca="1">IFERROR(__xludf.DUMMYFUNCTION("""COMPUTED_VALUE"""),"Majuu Purification Girl Utea")</f>
        <v>Majuu Purification Girl Utea</v>
      </c>
      <c r="G193" s="2" t="str">
        <f ca="1">IFERROR(__xludf.DUMMYFUNCTION("""COMPUTED_VALUE"""),"Magic")</f>
        <v>Magic</v>
      </c>
      <c r="H193" s="2" t="str">
        <f ca="1">IFERROR(__xludf.DUMMYFUNCTION("""COMPUTED_VALUE"""),"The ultimate source of a magical girl’s power, this pure Utea seed is a priceless treasure that allows you to empower promising heroines with magical powers and the potential to become powerful magical girls. By expending and condensing your magical power"&amp;" you can produce seeds of raw magical potential which can be gifted to others, granting them a magical girl’s power. What form their new magic takes will depend on their strengths, personality, and moral character: pure-hearted girls make excellent heroin"&amp;"es but those with dark personalities or lustful attitudes become dark magical girls, erotic warriors of darkness like Charm and Grace in their corrupted forms (though without any chains to bind them to a particular master). Moreover these pure seeds allow"&amp;" you to empower these young heroines even further by sharing your own strength with them: when creating new seeds or empowering a magical girl, you can opt to transfer one or more of your perks at the cost of permanently losing them, or donate a portion o"&amp;"f your own magical power at the cost of having to train up that power to restore it to its former level.")</f>
        <v>The ultimate source of a magical girl’s power, this pure Utea seed is a priceless treasure that allows you to empower promising heroines with magical powers and the potential to become powerful magical girls. By expending and condensing your magical power you can produce seeds of raw magical potential which can be gifted to others, granting them a magical girl’s power. What form their new magic takes will depend on their strengths, personality, and moral character: pure-hearted girls make excellent heroines but those with dark personalities or lustful attitudes become dark magical girls, erotic warriors of darkness like Charm and Grace in their corrupted forms (though without any chains to bind them to a particular master). Moreover these pure seeds allow you to empower these young heroines even further by sharing your own strength with them: when creating new seeds or empowering a magical girl, you can opt to transfer one or more of your perks at the cost of permanently losing them, or donate a portion of your own magical power at the cost of having to train up that power to restore it to its former level.</v>
      </c>
      <c r="I193" s="5"/>
    </row>
    <row r="194" spans="1:9" ht="208.8" x14ac:dyDescent="0.25">
      <c r="A194" s="16"/>
      <c r="B194" s="17">
        <v>190</v>
      </c>
      <c r="C194" s="2" t="b">
        <f ca="1">IFERROR(__xludf.DUMMYFUNCTION("""COMPUTED_VALUE"""),FALSE)</f>
        <v>0</v>
      </c>
      <c r="D194" s="2">
        <f ca="1">IFERROR(__xludf.DUMMYFUNCTION("""COMPUTED_VALUE"""),600)</f>
        <v>600</v>
      </c>
      <c r="E194" s="2" t="str">
        <f ca="1">IFERROR(__xludf.DUMMYFUNCTION("""COMPUTED_VALUE"""),"Spiral of Purification")</f>
        <v>Spiral of Purification</v>
      </c>
      <c r="F194" s="2" t="str">
        <f ca="1">IFERROR(__xludf.DUMMYFUNCTION("""COMPUTED_VALUE"""),"Majuu Purification Girl Utea")</f>
        <v>Majuu Purification Girl Utea</v>
      </c>
      <c r="G194" s="2" t="str">
        <f ca="1">IFERROR(__xludf.DUMMYFUNCTION("""COMPUTED_VALUE"""),"Magic")</f>
        <v>Magic</v>
      </c>
      <c r="H194" s="2" t="str">
        <f ca="1">IFERROR(__xludf.DUMMYFUNCTION("""COMPUTED_VALUE"""),"The corrupted Utea were made to be sex slaves of the demon king but even in chains they still completed their sacred duty, purifying the king’s new body even as they gave birth to it. What better proof could there be that good always (eventually) triumphs"&amp;" over evil? Just as Charm and Grace held on to their purification magic even after being corrupted, you’re able to absorb darkness and corruption without limit without ever becoming permanently tainted by it. Whether inflicted on you by force or absorbed "&amp;"willingly from innocent victims (which you can do at will with a touch) taking darkness and corruption into yourself simply adds to your power rather than tainting your mind and soul. Your magic might begin to seem more erotic and your magical girl transf"&amp;"ormation might transform into something resembling lingerie, but at heart you’ll remain 100% yourself even as you begin commanding the very powers that ought to be enslaving you. You can even convincingly pass yourself off as being genuinely corrupted, pe"&amp;"rhaps helping you deceive the forces of evil and gain their confidence long enough to strike a fatal blow against their leadership.")</f>
        <v>The corrupted Utea were made to be sex slaves of the demon king but even in chains they still completed their sacred duty, purifying the king’s new body even as they gave birth to it. What better proof could there be that good always (eventually) triumphs over evil? Just as Charm and Grace held on to their purification magic even after being corrupted, you’re able to absorb darkness and corruption without limit without ever becoming permanently tainted by it. Whether inflicted on you by force or absorbed willingly from innocent victims (which you can do at will with a touch) taking darkness and corruption into yourself simply adds to your power rather than tainting your mind and soul. Your magic might begin to seem more erotic and your magical girl transformation might transform into something resembling lingerie, but at heart you’ll remain 100% yourself even as you begin commanding the very powers that ought to be enslaving you. You can even convincingly pass yourself off as being genuinely corrupted, perhaps helping you deceive the forces of evil and gain their confidence long enough to strike a fatal blow against their leadership.</v>
      </c>
      <c r="I194" s="5"/>
    </row>
    <row r="195" spans="1:9" ht="121.8" x14ac:dyDescent="0.25">
      <c r="A195" s="16"/>
      <c r="B195" s="17">
        <v>191</v>
      </c>
      <c r="C195" s="2" t="b">
        <f ca="1">IFERROR(__xludf.DUMMYFUNCTION("""COMPUTED_VALUE"""),FALSE)</f>
        <v>0</v>
      </c>
      <c r="D195" s="2">
        <f ca="1">IFERROR(__xludf.DUMMYFUNCTION("""COMPUTED_VALUE"""),600)</f>
        <v>600</v>
      </c>
      <c r="E195" s="2" t="str">
        <f ca="1">IFERROR(__xludf.DUMMYFUNCTION("""COMPUTED_VALUE"""),"Tentacle Knowledge")</f>
        <v>Tentacle Knowledge</v>
      </c>
      <c r="F195" s="2" t="str">
        <f ca="1">IFERROR(__xludf.DUMMYFUNCTION("""COMPUTED_VALUE"""),"eratohoK")</f>
        <v>eratohoK</v>
      </c>
      <c r="G195" s="2" t="str">
        <f ca="1">IFERROR(__xludf.DUMMYFUNCTION("""COMPUTED_VALUE"""),"Magic")</f>
        <v>Magic</v>
      </c>
      <c r="H195" s="2" t="str">
        <f ca="1">IFERROR(__xludf.DUMMYFUNCTION("""COMPUTED_VALUE"""),"You can easily summon tentacle monsters, turn yourself into a tentacle monster, give people abortion-via-tentacles, even conjure up rooms full of tentacle monsters that will quickly break the spirit and will of most people and reduce them to breeding stoc"&amp;"k for more tentacles. These tentacles will be your loyal servants and make excellent fodder for an army – indeed since people infested by tentacles can give birth so rapidly you can quickly build a loyal army of tentacle monsters. One person could easily "&amp;"end up birthing the equivalent of thousands of mundane warriors at a time in tentacle monsters.")</f>
        <v>You can easily summon tentacle monsters, turn yourself into a tentacle monster, give people abortion-via-tentacles, even conjure up rooms full of tentacle monsters that will quickly break the spirit and will of most people and reduce them to breeding stock for more tentacles. These tentacles will be your loyal servants and make excellent fodder for an army – indeed since people infested by tentacles can give birth so rapidly you can quickly build a loyal army of tentacle monsters. One person could easily end up birthing the equivalent of thousands of mundane warriors at a time in tentacle monsters.</v>
      </c>
      <c r="I195" s="5"/>
    </row>
    <row r="196" spans="1:9" ht="208.8" x14ac:dyDescent="0.25">
      <c r="A196" s="16"/>
      <c r="B196" s="17">
        <v>192</v>
      </c>
      <c r="C196" s="2" t="b">
        <f ca="1">IFERROR(__xludf.DUMMYFUNCTION("""COMPUTED_VALUE"""),FALSE)</f>
        <v>0</v>
      </c>
      <c r="D196" s="2">
        <f ca="1">IFERROR(__xludf.DUMMYFUNCTION("""COMPUTED_VALUE"""),600)</f>
        <v>600</v>
      </c>
      <c r="E196" s="2" t="str">
        <f ca="1">IFERROR(__xludf.DUMMYFUNCTION("""COMPUTED_VALUE"""),"The Strongest Whore in Hell")</f>
        <v>The Strongest Whore in Hell</v>
      </c>
      <c r="F196" s="2" t="str">
        <f ca="1">IFERROR(__xludf.DUMMYFUNCTION("""COMPUTED_VALUE"""),"High School DxD Blacked")</f>
        <v>High School DxD Blacked</v>
      </c>
      <c r="G196" s="2" t="str">
        <f ca="1">IFERROR(__xludf.DUMMYFUNCTION("""COMPUTED_VALUE"""),"Magic")</f>
        <v>Magic</v>
      </c>
      <c r="H196" s="2" t="str">
        <f ca="1">IFERROR(__xludf.DUMMYFUNCTION("""COMPUTED_VALUE"""),"Being strong has no relation to your ability to worship cock. It does, however, serve at least some purpose in helping your eventual masters get off even harder at the thought and act of dominating you and treating someone who could theoretically kill the"&amp;"m in a heartbeat like a cheap whore. Still, just because being able to hold your breath for ten minutes while sucking cock is a more important use of your time, is no reason to slack off on your training. 
You are accomplished enough with magic to do any"&amp;" number of things, from establishing an area that normal humans will avoid without ever realizing it, teleporting between earth and hell, or putting someone into an enchanted sleep so deep that they wouldn’t wake up if you were screaming your lungs out fo"&amp;"r more, deeper, oh god please more right next to them. And by ‘someone’ I mean your boyfriend and or husband, not the man railing you. As mentioned, you could kill him in a heartbeat... but why would you?")</f>
        <v>Being strong has no relation to your ability to worship cock. It does, however, serve at least some purpose in helping your eventual masters get off even harder at the thought and act of dominating you and treating someone who could theoretically kill them in a heartbeat like a cheap whore. Still, just because being able to hold your breath for ten minutes while sucking cock is a more important use of your time, is no reason to slack off on your training. 
You are accomplished enough with magic to do any number of things, from establishing an area that normal humans will avoid without ever realizing it, teleporting between earth and hell, or putting someone into an enchanted sleep so deep that they wouldn’t wake up if you were screaming your lungs out for more, deeper, oh god please more right next to them. And by ‘someone’ I mean your boyfriend and or husband, not the man railing you. As mentioned, you could kill him in a heartbeat... but why would you?</v>
      </c>
      <c r="I196" s="5"/>
    </row>
    <row r="197" spans="1:9" ht="313.2" x14ac:dyDescent="0.25">
      <c r="A197" s="16"/>
      <c r="B197" s="17">
        <v>193</v>
      </c>
      <c r="C197" s="2" t="b">
        <f ca="1">IFERROR(__xludf.DUMMYFUNCTION("""COMPUTED_VALUE"""),FALSE)</f>
        <v>0</v>
      </c>
      <c r="D197" s="2">
        <f ca="1">IFERROR(__xludf.DUMMYFUNCTION("""COMPUTED_VALUE"""),600)</f>
        <v>600</v>
      </c>
      <c r="E197" s="2" t="str">
        <f ca="1">IFERROR(__xludf.DUMMYFUNCTION("""COMPUTED_VALUE"""),"Tohsaka' Magic Crest")</f>
        <v>Tohsaka' Magic Crest</v>
      </c>
      <c r="F197" s="2" t="str">
        <f ca="1">IFERROR(__xludf.DUMMYFUNCTION("""COMPUTED_VALUE"""),"Fate/Worm Night")</f>
        <v>Fate/Worm Night</v>
      </c>
      <c r="G197" s="2" t="str">
        <f ca="1">IFERROR(__xludf.DUMMYFUNCTION("""COMPUTED_VALUE"""),"Magic")</f>
        <v>Magic</v>
      </c>
      <c r="H197" s="2" t="str">
        <f ca="1">IFERROR(__xludf.DUMMYFUNCTION("""COMPUTED_VALUE"""),"So, funny story - the Tohsaka family used to be much richer, the kind where you don’t need to work a day in your life. But after Tokiomi died, most of their finances were handled by Kotomine. And he is utter shit at money. Granted, he basically didn’t giv"&amp;"e a fuck about the Tohsaka by that point, but he is legitimately bad at managing money. Now this on the other hand... I’m not entirely sure how the heck he managed this, but I’m sure the story would be entertaining. 
It’s a magic crest. The Tohsaka magic"&amp;" crest, technically. But... it’s also not. Because the Tohsaka magic crest was one that had a handful of martial art type spells and a ton of gemcraft spells built into it, and this is a singularity of lewd and petty nonsense. Want to have the perfect Tan"&amp;"tric Ritual? Fire this bad boy up, we got all kinds of spells to help it go along, lube your ass up, increase your bust size temporarily or permanently and the same for his dick, even stuff to clean up afterwards. What we don’t have is anything even vague"&amp;"ly relating to Gemcraft. Or actually usable in combat, or polite society. Maybe don’t let the other Magus families know about this, they’d almost die of laughter and then kill you for the attempted murder.
(A Magic Crest is essentially a collection of sp"&amp;"iritual nerves that have been specialised to cast specific spells at a reduced cost to their owner. You may have the crest be implanted on purchase, or be stored in a non-perishable manner with instructions for proper and safe implantation.)")</f>
        <v>So, funny story - the Tohsaka family used to be much richer, the kind where you don’t need to work a day in your life. But after Tokiomi died, most of their finances were handled by Kotomine. And he is utter shit at money. Granted, he basically didn’t give a fuck about the Tohsaka by that point, but he is legitimately bad at managing money. Now this on the other hand... I’m not entirely sure how the heck he managed this, but I’m sure the story would be entertaining. 
It’s a magic crest. The Tohsaka magic crest, technically. But... it’s also not. Because the Tohsaka magic crest was one that had a handful of martial art type spells and a ton of gemcraft spells built into it, and this is a singularity of lewd and petty nonsense. Want to have the perfect Tantric Ritual? Fire this bad boy up, we got all kinds of spells to help it go along, lube your ass up, increase your bust size temporarily or permanently and the same for his dick, even stuff to clean up afterwards. What we don’t have is anything even vaguely relating to Gemcraft. Or actually usable in combat, or polite society. Maybe don’t let the other Magus families know about this, they’d almost die of laughter and then kill you for the attempted murder.
(A Magic Crest is essentially a collection of spiritual nerves that have been specialised to cast specific spells at a reduced cost to their owner. You may have the crest be implanted on purchase, or be stored in a non-perishable manner with instructions for proper and safe implantation.)</v>
      </c>
      <c r="I197" s="5"/>
    </row>
    <row r="198" spans="1:9" ht="208.8" x14ac:dyDescent="0.25">
      <c r="A198" s="16"/>
      <c r="B198" s="17">
        <v>194</v>
      </c>
      <c r="C198" s="2" t="b">
        <f ca="1">IFERROR(__xludf.DUMMYFUNCTION("""COMPUTED_VALUE"""),FALSE)</f>
        <v>0</v>
      </c>
      <c r="D198" s="2">
        <f ca="1">IFERROR(__xludf.DUMMYFUNCTION("""COMPUTED_VALUE"""),600)</f>
        <v>600</v>
      </c>
      <c r="E198" s="2" t="str">
        <f ca="1">IFERROR(__xludf.DUMMYFUNCTION("""COMPUTED_VALUE"""),"Unleash the Beast")</f>
        <v>Unleash the Beast</v>
      </c>
      <c r="F198" s="2" t="str">
        <f ca="1">IFERROR(__xludf.DUMMYFUNCTION("""COMPUTED_VALUE"""),"Naruto Blacked")</f>
        <v>Naruto Blacked</v>
      </c>
      <c r="G198" s="2" t="str">
        <f ca="1">IFERROR(__xludf.DUMMYFUNCTION("""COMPUTED_VALUE"""),"Magic")</f>
        <v>Magic</v>
      </c>
      <c r="H198" s="2" t="str">
        <f ca="1">IFERROR(__xludf.DUMMYFUNCTION("""COMPUTED_VALUE"""),"You’re a jinchuriki, one of the human containers of the tailed beasts, and your demonic prisoner gives you the sort of power and potential only a handful in ninja history have ever had... provided that you’re willing to bear the risks of using it. Most ni"&amp;"nja will be interested in the nearly-bottomless chakra reserves they gain from having such a beast within them, but when the situation calls for it you can loosen the seal keeping your prisoner contained and let them manifest through your body. In this st"&amp;"ate you gain a massive chakra cock (or cocks, such as the eight tails’s tentacles), functionally limitless stamina, and the immense sexual skills you would expect from a centuries-old demon. The only problem is that this state can be addictive to your lov"&amp;"ers if they experience it too frequently or for too long; if you’re not careful you may find that you’ve accidentally ruined your partners for sex with your normal self and effectively cucked yourself.
Note that said tailed beast does not necessarily be "&amp;"canon to Naruto.")</f>
        <v>You’re a jinchuriki, one of the human containers of the tailed beasts, and your demonic prisoner gives you the sort of power and potential only a handful in ninja history have ever had... provided that you’re willing to bear the risks of using it. Most ninja will be interested in the nearly-bottomless chakra reserves they gain from having such a beast within them, but when the situation calls for it you can loosen the seal keeping your prisoner contained and let them manifest through your body. In this state you gain a massive chakra cock (or cocks, such as the eight tails’s tentacles), functionally limitless stamina, and the immense sexual skills you would expect from a centuries-old demon. The only problem is that this state can be addictive to your lovers if they experience it too frequently or for too long; if you’re not careful you may find that you’ve accidentally ruined your partners for sex with your normal self and effectively cucked yourself.
Note that said tailed beast does not necessarily be canon to Naruto.</v>
      </c>
      <c r="I198" s="5"/>
    </row>
    <row r="199" spans="1:9" ht="226.2" x14ac:dyDescent="0.25">
      <c r="A199" s="16"/>
      <c r="B199" s="17">
        <v>195</v>
      </c>
      <c r="C199" s="2" t="b">
        <f ca="1">IFERROR(__xludf.DUMMYFUNCTION("""COMPUTED_VALUE"""),FALSE)</f>
        <v>0</v>
      </c>
      <c r="D199" s="2">
        <f ca="1">IFERROR(__xludf.DUMMYFUNCTION("""COMPUTED_VALUE"""),600)</f>
        <v>600</v>
      </c>
      <c r="E199" s="2" t="str">
        <f ca="1">IFERROR(__xludf.DUMMYFUNCTION("""COMPUTED_VALUE"""),"Unpossessed, but Demonic")</f>
        <v>Unpossessed, but Demonic</v>
      </c>
      <c r="F199" s="2" t="str">
        <f ca="1">IFERROR(__xludf.DUMMYFUNCTION("""COMPUTED_VALUE"""),"Bible Black")</f>
        <v>Bible Black</v>
      </c>
      <c r="G199" s="2" t="str">
        <f ca="1">IFERROR(__xludf.DUMMYFUNCTION("""COMPUTED_VALUE"""),"Magic")</f>
        <v>Magic</v>
      </c>
      <c r="H199" s="2" t="str">
        <f ca="1">IFERROR(__xludf.DUMMYFUNCTION("""COMPUTED_VALUE"""),"Kitami gave Minase the abilities of an incubus by having her demonic servant Rasha possess the boy. With Rasha in him, Minase was able to use the demon’s magic to cause damage and make any woman he touched lustful and wanting. You don’t need a demon impla"&amp;"nted in you to affect the libidos of others. With just a touch and a few words, any one of your preferred genders will feel their sexual desires increase to the point of being unable to control themselves. In this state, they will be willing to perform an"&amp;"y sexual act with you. You will also find your physical prowess has increased as well, making you much stronger, faster, and durable than you were previously. 
If you were to learn magic, you will also find your capabilities in the Black Arts have incr"&amp;"eased. Any spells that alter a person’s sex drive or mental state become easier to cast and are much more difficult to break. You also attract more agreeable demonic entities when summoning demons that want to work with you being the primary entities summ"&amp;"oned.
")</f>
        <v xml:space="preserve">Kitami gave Minase the abilities of an incubus by having her demonic servant Rasha possess the boy. With Rasha in him, Minase was able to use the demon’s magic to cause damage and make any woman he touched lustful and wanting. You don’t need a demon implanted in you to affect the libidos of others. With just a touch and a few words, any one of your preferred genders will feel their sexual desires increase to the point of being unable to control themselves. In this state, they will be willing to perform any sexual act with you. You will also find your physical prowess has increased as well, making you much stronger, faster, and durable than you were previously. 
If you were to learn magic, you will also find your capabilities in the Black Arts have increased. Any spells that alter a person’s sex drive or mental state become easier to cast and are much more difficult to break. You also attract more agreeable demonic entities when summoning demons that want to work with you being the primary entities summoned.
</v>
      </c>
      <c r="I199" s="5"/>
    </row>
    <row r="200" spans="1:9" ht="156.6" x14ac:dyDescent="0.25">
      <c r="A200" s="16"/>
      <c r="B200" s="17">
        <v>196</v>
      </c>
      <c r="C200" s="2" t="b">
        <f ca="1">IFERROR(__xludf.DUMMYFUNCTION("""COMPUTED_VALUE"""),FALSE)</f>
        <v>0</v>
      </c>
      <c r="D200" s="2">
        <f ca="1">IFERROR(__xludf.DUMMYFUNCTION("""COMPUTED_VALUE"""),600)</f>
        <v>600</v>
      </c>
      <c r="E200" s="2" t="str">
        <f ca="1">IFERROR(__xludf.DUMMYFUNCTION("""COMPUTED_VALUE"""),"What is Your Wish?")</f>
        <v>What is Your Wish?</v>
      </c>
      <c r="F200" s="2" t="str">
        <f ca="1">IFERROR(__xludf.DUMMYFUNCTION("""COMPUTED_VALUE"""),"Ane Naru Mono")</f>
        <v>Ane Naru Mono</v>
      </c>
      <c r="G200" s="2" t="str">
        <f ca="1">IFERROR(__xludf.DUMMYFUNCTION("""COMPUTED_VALUE"""),"Magic")</f>
        <v>Magic</v>
      </c>
      <c r="H200" s="2" t="str">
        <f ca="1">IFERROR(__xludf.DUMMYFUNCTION("""COMPUTED_VALUE"""),"One might wonder what Chiyo was doing in Yuu’s basement. Was she sealed away? Did he accidentally call up some latent magical potential and summon her? I suppose it doesn’t matter. However, what does matter is that you now have a ritual of sorts. Oh, it’s"&amp;" not the kind of thing that you yourself use - it’s for those who want to summon you and ask for favors and wishes, small fragments of your power. Hidden in the dark corners of the world for the mad and obsessed to find and call you with. Normally you’d b"&amp;"e trapped or bound somehow, but, well… Mortals ought to know better than to use a ritual they didn’t design. If you want to eviscerate them on the spot, feel free to do so. Regardless, this also comes with the option to allow certain legends about you to "&amp;"enter into the world and into the past, to create a suitable legend for you.")</f>
        <v>One might wonder what Chiyo was doing in Yuu’s basement. Was she sealed away? Did he accidentally call up some latent magical potential and summon her? I suppose it doesn’t matter. However, what does matter is that you now have a ritual of sorts. Oh, it’s not the kind of thing that you yourself use - it’s for those who want to summon you and ask for favors and wishes, small fragments of your power. Hidden in the dark corners of the world for the mad and obsessed to find and call you with. Normally you’d be trapped or bound somehow, but, well… Mortals ought to know better than to use a ritual they didn’t design. If you want to eviscerate them on the spot, feel free to do so. Regardless, this also comes with the option to allow certain legends about you to enter into the world and into the past, to create a suitable legend for you.</v>
      </c>
      <c r="I200" s="5"/>
    </row>
    <row r="201" spans="1:9" ht="226.2" x14ac:dyDescent="0.25">
      <c r="A201" s="16"/>
      <c r="B201" s="17">
        <v>197</v>
      </c>
      <c r="C201" s="2" t="b">
        <f ca="1">IFERROR(__xludf.DUMMYFUNCTION("""COMPUTED_VALUE"""),FALSE)</f>
        <v>0</v>
      </c>
      <c r="D201" s="2">
        <f ca="1">IFERROR(__xludf.DUMMYFUNCTION("""COMPUTED_VALUE"""),600)</f>
        <v>600</v>
      </c>
      <c r="E201" s="2" t="str">
        <f ca="1">IFERROR(__xludf.DUMMYFUNCTION("""COMPUTED_VALUE"""),"Wisdom of the Ancients")</f>
        <v>Wisdom of the Ancients</v>
      </c>
      <c r="F201" s="2" t="str">
        <f ca="1">IFERROR(__xludf.DUMMYFUNCTION("""COMPUTED_VALUE"""),"Breathless Wild")</f>
        <v>Breathless Wild</v>
      </c>
      <c r="G201" s="2" t="str">
        <f ca="1">IFERROR(__xludf.DUMMYFUNCTION("""COMPUTED_VALUE"""),"Magic")</f>
        <v>Magic</v>
      </c>
      <c r="H201" s="2" t="str">
        <f ca="1">IFERROR(__xludf.DUMMYFUNCTION("""COMPUTED_VALUE"""),"The ancient Sheikah appear to have known that Ganon would return to ravage Hyrule with beasts made for corruption and sexual conquest; why else would their technology be built on such a debauched design philosophy if they didn’t deem it utterly necessary "&amp;"to fight fire with fire? You’ve mastered the scientific and magical principles needed to build and maintain Sheikah artifacts of all kinds. Some devices like weapons and armor can be built with just some spare parts and your own two hands, but given suffi"&amp;"cient resources and infrastructure you can even create wonders like the divine beasts. But what truly separates Sheikah magitech from ordinary technology is the divine power infused into every artifact through tantric methods, giving your creations a powe"&amp;"rful advantage against monsters and other vile creatures. Blades cut deeper, shields hold stronger, cameras reveal your foes even in the darkest gloom, and robots like the Guardians become nearly impossible to hack or corrupt with dark magic. You’re perfe"&amp;"ctly capable of creating things without the use of these tantric methods, but doing so will allow you to bestow powerful holy blessings on everything you create, not merely Sheikah devices.")</f>
        <v>The ancient Sheikah appear to have known that Ganon would return to ravage Hyrule with beasts made for corruption and sexual conquest; why else would their technology be built on such a debauched design philosophy if they didn’t deem it utterly necessary to fight fire with fire? You’ve mastered the scientific and magical principles needed to build and maintain Sheikah artifacts of all kinds. Some devices like weapons and armor can be built with just some spare parts and your own two hands, but given sufficient resources and infrastructure you can even create wonders like the divine beasts. But what truly separates Sheikah magitech from ordinary technology is the divine power infused into every artifact through tantric methods, giving your creations a powerful advantage against monsters and other vile creatures. Blades cut deeper, shields hold stronger, cameras reveal your foes even in the darkest gloom, and robots like the Guardians become nearly impossible to hack or corrupt with dark magic. You’re perfectly capable of creating things without the use of these tantric methods, but doing so will allow you to bestow powerful holy blessings on everything you create, not merely Sheikah devices.</v>
      </c>
      <c r="I201" s="5"/>
    </row>
    <row r="202" spans="1:9" ht="191.4" x14ac:dyDescent="0.25">
      <c r="A202" s="16"/>
      <c r="B202" s="17">
        <v>198</v>
      </c>
      <c r="C202" s="2" t="b">
        <f ca="1">IFERROR(__xludf.DUMMYFUNCTION("""COMPUTED_VALUE"""),FALSE)</f>
        <v>0</v>
      </c>
      <c r="D202" s="2">
        <f ca="1">IFERROR(__xludf.DUMMYFUNCTION("""COMPUTED_VALUE"""),600)</f>
        <v>600</v>
      </c>
      <c r="E202" s="2" t="str">
        <f ca="1">IFERROR(__xludf.DUMMYFUNCTION("""COMPUTED_VALUE"""),"World End Queen")</f>
        <v>World End Queen</v>
      </c>
      <c r="F202" s="2" t="str">
        <f ca="1">IFERROR(__xludf.DUMMYFUNCTION("""COMPUTED_VALUE"""),"Majuu Purification Girl Utea")</f>
        <v>Majuu Purification Girl Utea</v>
      </c>
      <c r="G202" s="2" t="str">
        <f ca="1">IFERROR(__xludf.DUMMYFUNCTION("""COMPUTED_VALUE"""),"Magic")</f>
        <v>Magic</v>
      </c>
      <c r="H202" s="2" t="str">
        <f ca="1">IFERROR(__xludf.DUMMYFUNCTION("""COMPUTED_VALUE"""),"The grand finale of the Utea Plan draws near when Charm and Grace reach the very height of their power as dark magical girls. Whether through natural talent or long and arduous sexual training, you’ve gained a body and soul perfectly attuned for tantric m"&amp;"agic, and your affinity for them can only be called apocalyptic. You’re the tantric equivalent of a nuclear reactor, generating huge amounts of magical energy through sex and having a bottomless capacity for storing that power until you’re ready to unleas"&amp;"h it. With such powers you could cast spells on entire cities by yourself, but just as sex is always better with a partner or two your powers grow even greater when joined with a lover, allowing you to combine your powers and for them to draw on you like "&amp;"a battery to fuel their spells and gaining even greater power from your reserves than you would by yourself. With a powerful lover and the right circumstances you could become the key ingredient in a ritual as vast as the demon king’s instrumentality spel"&amp;"l that turned all of humanity into injuu.")</f>
        <v>The grand finale of the Utea Plan draws near when Charm and Grace reach the very height of their power as dark magical girls. Whether through natural talent or long and arduous sexual training, you’ve gained a body and soul perfectly attuned for tantric magic, and your affinity for them can only be called apocalyptic. You’re the tantric equivalent of a nuclear reactor, generating huge amounts of magical energy through sex and having a bottomless capacity for storing that power until you’re ready to unleash it. With such powers you could cast spells on entire cities by yourself, but just as sex is always better with a partner or two your powers grow even greater when joined with a lover, allowing you to combine your powers and for them to draw on you like a battery to fuel their spells and gaining even greater power from your reserves than you would by yourself. With a powerful lover and the right circumstances you could become the key ingredient in a ritual as vast as the demon king’s instrumentality spell that turned all of humanity into injuu.</v>
      </c>
      <c r="I202" s="5"/>
    </row>
    <row r="203" spans="1:9" ht="121.8" x14ac:dyDescent="0.25">
      <c r="A203" s="16"/>
      <c r="B203" s="17">
        <v>199</v>
      </c>
      <c r="C203" s="2" t="b">
        <f ca="1">IFERROR(__xludf.DUMMYFUNCTION("""COMPUTED_VALUE"""),FALSE)</f>
        <v>0</v>
      </c>
      <c r="D203" s="2">
        <f ca="1">IFERROR(__xludf.DUMMYFUNCTION("""COMPUTED_VALUE"""),700)</f>
        <v>700</v>
      </c>
      <c r="E203" s="2" t="str">
        <f ca="1">IFERROR(__xludf.DUMMYFUNCTION("""COMPUTED_VALUE"""),"Automagic Charm")</f>
        <v>Automagic Charm</v>
      </c>
      <c r="F203" s="2" t="str">
        <f ca="1">IFERROR(__xludf.DUMMYFUNCTION("""COMPUTED_VALUE"""),"Generic: Hentai Occult")</f>
        <v>Generic: Hentai Occult</v>
      </c>
      <c r="G203" s="2" t="str">
        <f ca="1">IFERROR(__xludf.DUMMYFUNCTION("""COMPUTED_VALUE"""),"Magic")</f>
        <v>Magic</v>
      </c>
      <c r="H203" s="2" t="str">
        <f ca="1">IFERROR(__xludf.DUMMYFUNCTION("""COMPUTED_VALUE"""),"The succubus is the only real monster left, at least not beyond specific attempts at breeding. Things like certain vine based plants, or perhaps a werewolf or two. Fun recreational monsters. You however, now have an ability designed for a sexual homunculu"&amp;"s. A unique variation of charm magic, written in microrunes across every inch of your skin. Even looking at you qualifies as a mental attack, and one that will probably leave them begging for you to fuck them. The other half is perfect knowledge on how to"&amp;" seduce whoever is affected by this, up to and including the perfect form to shapeshift into if you can do so.")</f>
        <v>The succubus is the only real monster left, at least not beyond specific attempts at breeding. Things like certain vine based plants, or perhaps a werewolf or two. Fun recreational monsters. You however, now have an ability designed for a sexual homunculus. A unique variation of charm magic, written in microrunes across every inch of your skin. Even looking at you qualifies as a mental attack, and one that will probably leave them begging for you to fuck them. The other half is perfect knowledge on how to seduce whoever is affected by this, up to and including the perfect form to shapeshift into if you can do so.</v>
      </c>
      <c r="I203" s="5"/>
    </row>
    <row r="204" spans="1:9" ht="348" x14ac:dyDescent="0.25">
      <c r="A204" s="16"/>
      <c r="B204" s="17">
        <v>200</v>
      </c>
      <c r="C204" s="2" t="b">
        <f ca="1">IFERROR(__xludf.DUMMYFUNCTION("""COMPUTED_VALUE"""),FALSE)</f>
        <v>0</v>
      </c>
      <c r="D204" s="2">
        <f ca="1">IFERROR(__xludf.DUMMYFUNCTION("""COMPUTED_VALUE"""),700)</f>
        <v>700</v>
      </c>
      <c r="E204" s="2" t="str">
        <f ca="1">IFERROR(__xludf.DUMMYFUNCTION("""COMPUTED_VALUE"""),"Coven Bond")</f>
        <v>Coven Bond</v>
      </c>
      <c r="F204" s="2" t="str">
        <f ca="1">IFERROR(__xludf.DUMMYFUNCTION("""COMPUTED_VALUE"""),"Radaslab's The Harem War")</f>
        <v>Radaslab's The Harem War</v>
      </c>
      <c r="G204" s="2" t="str">
        <f ca="1">IFERROR(__xludf.DUMMYFUNCTION("""COMPUTED_VALUE"""),"Magic")</f>
        <v>Magic</v>
      </c>
      <c r="H204" s="2" t="str">
        <f ca="1">IFERROR(__xludf.DUMMYFUNCTION("""COMPUTED_VALUE"""),"While covens can form naturally under varying circumstances, it is more likely to happen if group from which it forms consists of pair of bonded consorts, with male of them also having several concubines. While this perk doesn't perfectly replicate these "&amp;"bonds, it does guarentee that a Coven bond will form and grant its benefits.
You gain the ability to form bonds with others. These bonds encourage a relationship between all bonded through nudges and flashes of inspiration, as well as make deception impo"&amp;"ssible between the bonded; not because lies and disguises can't be attempted, but because they are made obvious.
Once you have eight such bonds, they grow into Coven bonds. Having coven bond carries along with it several benefits, most notably members fi"&amp;"nding it much easier to learn new things as long as one of the coven members already knows them. There is also chance, as long as they have dormant potential for them, for members of coven to develop abilities and powers of other members, for example beco"&amp;"ming more powerful magically or becoming more intelligent, slowly reaching a stage close to the most powerful member of coven. Perhaps most interestingly, members of coven will be getting fast-aged or de-aged to get closer to the coven’s average age. With"&amp;" this perk all of that sharing is now amplified to happen twice as fast and twice as effectively.
If you have alternate methods of creating similar bonds, they can act as a substitute to the bonds this perk enables you to create.")</f>
        <v>While covens can form naturally under varying circumstances, it is more likely to happen if group from which it forms consists of pair of bonded consorts, with male of them also having several concubines. While this perk doesn't perfectly replicate these bonds, it does guarentee that a Coven bond will form and grant its benefits.
You gain the ability to form bonds with others. These bonds encourage a relationship between all bonded through nudges and flashes of inspiration, as well as make deception impossible between the bonded; not because lies and disguises can't be attempted, but because they are made obvious.
Once you have eight such bonds, they grow into Coven bonds. Having coven bond carries along with it several benefits, most notably members finding it much easier to learn new things as long as one of the coven members already knows them. There is also chance, as long as they have dormant potential for them, for members of coven to develop abilities and powers of other members, for example becoming more powerful magically or becoming more intelligent, slowly reaching a stage close to the most powerful member of coven. Perhaps most interestingly, members of coven will be getting fast-aged or de-aged to get closer to the coven’s average age. With this perk all of that sharing is now amplified to happen twice as fast and twice as effectively.
If you have alternate methods of creating similar bonds, they can act as a substitute to the bonds this perk enables you to create.</v>
      </c>
      <c r="I204" s="5"/>
    </row>
    <row r="205" spans="1:9" ht="139.19999999999999" x14ac:dyDescent="0.25">
      <c r="A205" s="16"/>
      <c r="B205" s="17">
        <v>201</v>
      </c>
      <c r="C205" s="2" t="b">
        <f ca="1">IFERROR(__xludf.DUMMYFUNCTION("""COMPUTED_VALUE"""),FALSE)</f>
        <v>0</v>
      </c>
      <c r="D205" s="2">
        <f ca="1">IFERROR(__xludf.DUMMYFUNCTION("""COMPUTED_VALUE"""),700)</f>
        <v>700</v>
      </c>
      <c r="E205" s="2" t="str">
        <f ca="1">IFERROR(__xludf.DUMMYFUNCTION("""COMPUTED_VALUE"""),"Holy Grail")</f>
        <v>Holy Grail</v>
      </c>
      <c r="F205" s="2" t="str">
        <f ca="1">IFERROR(__xludf.DUMMYFUNCTION("""COMPUTED_VALUE"""),"Fate/Grand Master")</f>
        <v>Fate/Grand Master</v>
      </c>
      <c r="G205" s="2" t="str">
        <f ca="1">IFERROR(__xludf.DUMMYFUNCTION("""COMPUTED_VALUE"""),"Magic")</f>
        <v>Magic</v>
      </c>
      <c r="H205" s="2" t="str">
        <f ca="1">IFERROR(__xludf.DUMMYFUNCTION("""COMPUTED_VALUE"""),"Every Singularity contains a holy grail somewhere within it. Chaldea uses the ones they recover to power up their servants, but surely nobody will mind if you use one of them for its intended purpose? Once every decade you can use this holy grail to make "&amp;"a lewd wish of some variety, from creating your perfect waifu in a manner similar to Jeanne Alter to genderflipping or inflicting your fetishes on everyone around you. The more narrowly-focused the wish’s parameters are, the more powerful its effects can "&amp;"be, even allowing you to affect godlike beings like Tiamat if they are focused on impacting only a single individual, however beings with resistance to magical energy are also resistant to this item’s effects.")</f>
        <v>Every Singularity contains a holy grail somewhere within it. Chaldea uses the ones they recover to power up their servants, but surely nobody will mind if you use one of them for its intended purpose? Once every decade you can use this holy grail to make a lewd wish of some variety, from creating your perfect waifu in a manner similar to Jeanne Alter to genderflipping or inflicting your fetishes on everyone around you. The more narrowly-focused the wish’s parameters are, the more powerful its effects can be, even allowing you to affect godlike beings like Tiamat if they are focused on impacting only a single individual, however beings with resistance to magical energy are also resistant to this item’s effects.</v>
      </c>
      <c r="I205" s="5"/>
    </row>
    <row r="206" spans="1:9" ht="104.4" x14ac:dyDescent="0.25">
      <c r="A206" s="16"/>
      <c r="B206" s="17">
        <v>202</v>
      </c>
      <c r="C206" s="2" t="b">
        <f ca="1">IFERROR(__xludf.DUMMYFUNCTION("""COMPUTED_VALUE"""),FALSE)</f>
        <v>0</v>
      </c>
      <c r="D206" s="2">
        <f ca="1">IFERROR(__xludf.DUMMYFUNCTION("""COMPUTED_VALUE"""),700)</f>
        <v>700</v>
      </c>
      <c r="E206" s="2" t="str">
        <f ca="1">IFERROR(__xludf.DUMMYFUNCTION("""COMPUTED_VALUE"""),"Love Mary J")</f>
        <v>Love Mary J</v>
      </c>
      <c r="F206" s="2" t="str">
        <f ca="1">IFERROR(__xludf.DUMMYFUNCTION("""COMPUTED_VALUE"""),"Archangel of Love, Love Mary ~Malignant Conception~")</f>
        <v>Archangel of Love, Love Mary ~Malignant Conception~</v>
      </c>
      <c r="G206" s="2" t="str">
        <f ca="1">IFERROR(__xludf.DUMMYFUNCTION("""COMPUTED_VALUE"""),"Magic")</f>
        <v>Magic</v>
      </c>
      <c r="H206" s="2" t="str">
        <f ca="1">IFERROR(__xludf.DUMMYFUNCTION("""COMPUTED_VALUE"""),"It seems like, much like Akari, you are also a recipient of the full power of Love Mary Primera! … Somehow. Maybe you’re simply as strong as she was? Regardless of the details, you are now one of the most powerful people in the world from your sheer, raw "&amp;"potential. Your magic has an incredible ability to grow seemingly without limit, and the more you love others and hold hope close to your heart, the stronger your magic becomes. Although right now you aren’t even a match for Ravana, you have the ability t"&amp;"o grow until you could overcome even the fully unleashed Elysium himself.")</f>
        <v>It seems like, much like Akari, you are also a recipient of the full power of Love Mary Primera! … Somehow. Maybe you’re simply as strong as she was? Regardless of the details, you are now one of the most powerful people in the world from your sheer, raw potential. Your magic has an incredible ability to grow seemingly without limit, and the more you love others and hold hope close to your heart, the stronger your magic becomes. Although right now you aren’t even a match for Ravana, you have the ability to grow until you could overcome even the fully unleashed Elysium himself.</v>
      </c>
      <c r="I206" s="5"/>
    </row>
    <row r="207" spans="1:9" ht="174" x14ac:dyDescent="0.25">
      <c r="A207" s="16"/>
      <c r="B207" s="17">
        <v>203</v>
      </c>
      <c r="C207" s="2" t="b">
        <f ca="1">IFERROR(__xludf.DUMMYFUNCTION("""COMPUTED_VALUE"""),FALSE)</f>
        <v>0</v>
      </c>
      <c r="D207" s="2">
        <f ca="1">IFERROR(__xludf.DUMMYFUNCTION("""COMPUTED_VALUE"""),700)</f>
        <v>700</v>
      </c>
      <c r="E207" s="2" t="str">
        <f ca="1">IFERROR(__xludf.DUMMYFUNCTION("""COMPUTED_VALUE"""),"Prisma Causeway")</f>
        <v>Prisma Causeway</v>
      </c>
      <c r="F207" s="2" t="str">
        <f ca="1">IFERROR(__xludf.DUMMYFUNCTION("""COMPUTED_VALUE"""),"Fate/Loli Order")</f>
        <v>Fate/Loli Order</v>
      </c>
      <c r="G207" s="2" t="str">
        <f ca="1">IFERROR(__xludf.DUMMYFUNCTION("""COMPUTED_VALUE"""),"Magic")</f>
        <v>Magic</v>
      </c>
      <c r="H207" s="2" t="str">
        <f ca="1">IFERROR(__xludf.DUMMYFUNCTION("""COMPUTED_VALUE"""),"Ah, the whole reason that Illya was introduced to Chaldea in the first place! This shared reality marble is a sort of afterlife for magical girls. Once they’ve grown up, when they’ve been forgotten, if they die... This place will be waiting for them. It u"&amp;"sed to be much worse, but right now it is actually a half decent version of heaven for them. 
You can now enter this place and ask your fellow magical girls for advice. Some of them might like you, some might not, but technically speaking, this place is "&amp;"only a dream so even if they try to kill you, you won’t die. Also, if a still active magical girl comes to this place in her dreams, you can leave with them when they wake up in a roundabout method of teleportation. It’s not so good for the return trip th"&amp;"ough.")</f>
        <v>Ah, the whole reason that Illya was introduced to Chaldea in the first place! This shared reality marble is a sort of afterlife for magical girls. Once they’ve grown up, when they’ve been forgotten, if they die... This place will be waiting for them. It used to be much worse, but right now it is actually a half decent version of heaven for them. 
You can now enter this place and ask your fellow magical girls for advice. Some of them might like you, some might not, but technically speaking, this place is only a dream so even if they try to kill you, you won’t die. Also, if a still active magical girl comes to this place in her dreams, you can leave with them when they wake up in a roundabout method of teleportation. It’s not so good for the return trip though.</v>
      </c>
      <c r="I207" s="5"/>
    </row>
    <row r="208" spans="1:9" ht="226.2" x14ac:dyDescent="0.25">
      <c r="A208" s="16"/>
      <c r="B208" s="17">
        <v>204</v>
      </c>
      <c r="C208" s="2" t="b">
        <f ca="1">IFERROR(__xludf.DUMMYFUNCTION("""COMPUTED_VALUE"""),FALSE)</f>
        <v>0</v>
      </c>
      <c r="D208" s="2">
        <f ca="1">IFERROR(__xludf.DUMMYFUNCTION("""COMPUTED_VALUE"""),800)</f>
        <v>800</v>
      </c>
      <c r="E208" s="2" t="str">
        <f ca="1">IFERROR(__xludf.DUMMYFUNCTION("""COMPUTED_VALUE"""),"Demon God Master/Madame")</f>
        <v>Demon God Master/Madame</v>
      </c>
      <c r="F208" s="2" t="str">
        <f ca="1">IFERROR(__xludf.DUMMYFUNCTION("""COMPUTED_VALUE"""),"Archangel of Love, Love Mary ~Malignant Conception~")</f>
        <v>Archangel of Love, Love Mary ~Malignant Conception~</v>
      </c>
      <c r="G208" s="2" t="str">
        <f ca="1">IFERROR(__xludf.DUMMYFUNCTION("""COMPUTED_VALUE"""),"Magic")</f>
        <v>Magic</v>
      </c>
      <c r="H208" s="2" t="str">
        <f ca="1">IFERROR(__xludf.DUMMYFUNCTION("""COMPUTED_VALUE"""),"It looks like you are no child or servant of Elysium, but a being of the same make as him. Indeed, you are a mighty being, possessed of immense magical and physical power to the point that short of an ICBM , only someone wielding spiritual power of the li"&amp;"kes of Primera herself could pose a genuine threat to you. Beyond the vast increase to your power and magic, you will find that all of your demonic perks are improved in potency — but especially any such ability that gives sexual pleasure, to the point th"&amp;"at after being raped by you, it isn’t inconceivable that a heroine might betray all of humanity simply to experience the pleasure you gave her once again. 
Furthermore, your body grows in size and dimensionality; although your appearance doesn’t change, "&amp;"you are capable of summoning more of your mass to this dimension, in the form of tentacles, cocks, and cock - tentacles. If combined with Malleability of the Flesh (or similar shapeshifting perk), you might be able to summon so much of yourself that your "&amp;"biomass covers all the surfaces of a room, and tentacles emerge from your mass to violate those within.")</f>
        <v>It looks like you are no child or servant of Elysium, but a being of the same make as him. Indeed, you are a mighty being, possessed of immense magical and physical power to the point that short of an ICBM , only someone wielding spiritual power of the likes of Primera herself could pose a genuine threat to you. Beyond the vast increase to your power and magic, you will find that all of your demonic perks are improved in potency — but especially any such ability that gives sexual pleasure, to the point that after being raped by you, it isn’t inconceivable that a heroine might betray all of humanity simply to experience the pleasure you gave her once again. 
Furthermore, your body grows in size and dimensionality; although your appearance doesn’t change, you are capable of summoning more of your mass to this dimension, in the form of tentacles, cocks, and cock - tentacles. If combined with Malleability of the Flesh (or similar shapeshifting perk), you might be able to summon so much of yourself that your biomass covers all the surfaces of a room, and tentacles emerge from your mass to violate those within.</v>
      </c>
      <c r="I208" s="5"/>
    </row>
    <row r="209" spans="1:9" ht="313.2" x14ac:dyDescent="0.25">
      <c r="A209" s="16"/>
      <c r="B209" s="17">
        <v>205</v>
      </c>
      <c r="C209" s="2" t="b">
        <f ca="1">IFERROR(__xludf.DUMMYFUNCTION("""COMPUTED_VALUE"""),FALSE)</f>
        <v>0</v>
      </c>
      <c r="D209" s="2">
        <f ca="1">IFERROR(__xludf.DUMMYFUNCTION("""COMPUTED_VALUE"""),800)</f>
        <v>800</v>
      </c>
      <c r="E209" s="2" t="str">
        <f ca="1">IFERROR(__xludf.DUMMYFUNCTION("""COMPUTED_VALUE"""),"Elixir of Life")</f>
        <v>Elixir of Life</v>
      </c>
      <c r="F209" s="2" t="str">
        <f ca="1">IFERROR(__xludf.DUMMYFUNCTION("""COMPUTED_VALUE"""),"Mind Control University")</f>
        <v>Mind Control University</v>
      </c>
      <c r="G209" s="2" t="str">
        <f ca="1">IFERROR(__xludf.DUMMYFUNCTION("""COMPUTED_VALUE"""),"Magic")</f>
        <v>Magic</v>
      </c>
      <c r="H209" s="2" t="str">
        <f ca="1">IFERROR(__xludf.DUMMYFUNCTION("""COMPUTED_VALUE"""),"Typically created through infusing several high-quality alchemical ingredients with highly refined divine chi (usually derived via the fermentation of Peaches of Immortality), a single dose of this mystical elixir not only grants eternal youth but also sp"&amp;"iritually empowers the drinker. In what sense?
A great deal more chi, purer, far easier to manipulate, and non-degrading, for one thing. A boost of about 50% in the strength of your most favored powers, and a boost of about 20-30% in every other area. An"&amp;"d, of course, ascension to the next level of whatever you are — if you are a demigod, you become akin to a full (if minor) god; if you are a Jedi Knight, you become a Jedi Master; if you are a run-of-the-mill vampire, the purity of your blood becomes that"&amp;" of a progenitor. Powers and abilities you gain in the future will be similarly boosted, so there’s no reason not to take your dose now.
These effects are powerful enough on their own, but combined they represent a monumental boost to your strength. Note"&amp;", however, that the elixir’s effects do not stack — a single dose is just as effective on a given individual as a hundred doses.
This Item takes the form of a mystical decanter, and a single dose of elixir will appear inside at the beginning of each day.")</f>
        <v>Typically created through infusing several high-quality alchemical ingredients with highly refined divine chi (usually derived via the fermentation of Peaches of Immortality), a single dose of this mystical elixir not only grants eternal youth but also spiritually empowers the drinker. In what sense?
A great deal more chi, purer, far easier to manipulate, and non-degrading, for one thing. A boost of about 50% in the strength of your most favored powers, and a boost of about 20-30% in every other area. And, of course, ascension to the next level of whatever you are — if you are a demigod, you become akin to a full (if minor) god; if you are a Jedi Knight, you become a Jedi Master; if you are a run-of-the-mill vampire, the purity of your blood becomes that of a progenitor. Powers and abilities you gain in the future will be similarly boosted, so there’s no reason not to take your dose now.
These effects are powerful enough on their own, but combined they represent a monumental boost to your strength. Note, however, that the elixir’s effects do not stack — a single dose is just as effective on a given individual as a hundred doses.
This Item takes the form of a mystical decanter, and a single dose of elixir will appear inside at the beginning of each day.</v>
      </c>
      <c r="I209" s="5"/>
    </row>
    <row r="210" spans="1:9" ht="365.4" x14ac:dyDescent="0.25">
      <c r="A210" s="16"/>
      <c r="B210" s="17">
        <v>206</v>
      </c>
      <c r="C210" s="2" t="b">
        <f ca="1">IFERROR(__xludf.DUMMYFUNCTION("""COMPUTED_VALUE"""),FALSE)</f>
        <v>0</v>
      </c>
      <c r="D210" s="2">
        <f ca="1">IFERROR(__xludf.DUMMYFUNCTION("""COMPUTED_VALUE"""),800)</f>
        <v>800</v>
      </c>
      <c r="E210" s="2" t="str">
        <f ca="1">IFERROR(__xludf.DUMMYFUNCTION("""COMPUTED_VALUE"""),"Genie's Lamp")</f>
        <v>Genie's Lamp</v>
      </c>
      <c r="F210" s="2" t="str">
        <f ca="1">IFERROR(__xludf.DUMMYFUNCTION("""COMPUTED_VALUE"""),"Mind Control University")</f>
        <v>Mind Control University</v>
      </c>
      <c r="G210" s="2" t="str">
        <f ca="1">IFERROR(__xludf.DUMMYFUNCTION("""COMPUTED_VALUE"""),"Magic")</f>
        <v>Magic</v>
      </c>
      <c r="H210" s="2" t="str">
        <f ca="1">IFERROR(__xludf.DUMMYFUNCTION("""COMPUTED_VALUE"""),"A bottle of opaque black glass with a golden stopper, this item holds all the power of a genie. (This item does not actually host a genie.) Each day, you may make a single wish upon it, and that wish will come true. This wish is not absolute, understand —"&amp;" it is effectively an immensely powerful spell — but there is little it cannot do and nearly as little it cannot overpower. It won’t be twisted against what you want it to do, though; your wish will follow the intent with which you made it.
Example wish"&amp;"es include but are not limited to: granting an individual an all-around defense against mind control that would require significant effort for even the most powerful students to overcome, automatically becoming aware of any mind control on campus as soon "&amp;"as the affected party enters an area where scrying is not blocked, enslaving an individual with insufficient magic resistance and making them remember having been enslaved several minutes ago and already made their peace with it despite it conflicting wit"&amp;"h their moral code, causing an entire planet’s freshwater reservoirs to be automatically refilled for a year, freeing an area as large as the largest cities on Earth from all mind control, discretely erasing three people from existence while they are isol"&amp;"ated and unobserved, and drastically boosting an individual’s power.
This Item is fiat-backed against theft and destruction. You and any individuals you designate are the only people capable of making wishes upon it. Unlike with a regular genie, making "&amp;"a wish does not prevent an individual from ever making any more wishes. It may be helpful to know that making a wish creates a very visible light show, though only around the Item, not around the subject of its wish.")</f>
        <v>A bottle of opaque black glass with a golden stopper, this item holds all the power of a genie. (This item does not actually host a genie.) Each day, you may make a single wish upon it, and that wish will come true. This wish is not absolute, understand — it is effectively an immensely powerful spell — but there is little it cannot do and nearly as little it cannot overpower. It won’t be twisted against what you want it to do, though; your wish will follow the intent with which you made it.
Example wishes include but are not limited to: granting an individual an all-around defense against mind control that would require significant effort for even the most powerful students to overcome, automatically becoming aware of any mind control on campus as soon as the affected party enters an area where scrying is not blocked, enslaving an individual with insufficient magic resistance and making them remember having been enslaved several minutes ago and already made their peace with it despite it conflicting with their moral code, causing an entire planet’s freshwater reservoirs to be automatically refilled for a year, freeing an area as large as the largest cities on Earth from all mind control, discretely erasing three people from existence while they are isolated and unobserved, and drastically boosting an individual’s power.
This Item is fiat-backed against theft and destruction. You and any individuals you designate are the only people capable of making wishes upon it. Unlike with a regular genie, making a wish does not prevent an individual from ever making any more wishes. It may be helpful to know that making a wish creates a very visible light show, though only around the Item, not around the subject of its wish.</v>
      </c>
      <c r="I210" s="5"/>
    </row>
    <row r="211" spans="1:9" ht="313.2" x14ac:dyDescent="0.25">
      <c r="A211" s="16"/>
      <c r="B211" s="17">
        <v>207</v>
      </c>
      <c r="C211" s="2" t="b">
        <f ca="1">IFERROR(__xludf.DUMMYFUNCTION("""COMPUTED_VALUE"""),FALSE)</f>
        <v>0</v>
      </c>
      <c r="D211" s="2">
        <f ca="1">IFERROR(__xludf.DUMMYFUNCTION("""COMPUTED_VALUE"""),800)</f>
        <v>800</v>
      </c>
      <c r="E211" s="2" t="str">
        <f ca="1">IFERROR(__xludf.DUMMYFUNCTION("""COMPUTED_VALUE"""),"Grand Master")</f>
        <v>Grand Master</v>
      </c>
      <c r="F211" s="2" t="str">
        <f ca="1">IFERROR(__xludf.DUMMYFUNCTION("""COMPUTED_VALUE"""),"Fate/Grand Master")</f>
        <v>Fate/Grand Master</v>
      </c>
      <c r="G211" s="2" t="str">
        <f ca="1">IFERROR(__xludf.DUMMYFUNCTION("""COMPUTED_VALUE"""),"Magic")</f>
        <v>Magic</v>
      </c>
      <c r="H211" s="2" t="str">
        <f ca="1">IFERROR(__xludf.DUMMYFUNCTION("""COMPUTED_VALUE"""),"Chaldea’s command seals were never intended to become as powerful as they are in your hands. Useful tools for controlling allied servants, yes, but weapons to subjugate enemy servants? That’s a feature you brought to the table. Much like EMIYA’s relations"&amp;"hip with swords, you are closely-aligned with the concept of Mastery, Authority, or a similar theme, perhaps as deeply as your Origin. Any spells or magical abilities relating to this concept are far easier to learn and use and far more powerful in your h"&amp;"ands than is normal. Any amateur can create magical ropes or chains with Projection but yours could be strong enough to bind a servant, at least a weak one, as securely as any ordinary human. Even with little magical talent you can achieve similar results"&amp;" in fields such as summoning and binding, mind control, and so on, while a talented and experienced magus could achieve results nearly on par with True Magic. You’re even able to sidestep many commonly-accepted rules of how magic is supposed to work in th"&amp;"ese areas, like wielding command seals against enemy servants you would normally have no authority over.
This perk comes with 3 command seals that take the form of a red, three part, symbolic tattoo on your body. Normal use lets you give an order to some"&amp;"one you have a magical binding with to act. This can force them to do something they wouldn't or couldn't normally do, like teleport to your side or instantly heal from the edge of death. These seals will regenerate after 1 week, but this can be accelerat"&amp;"ed at the cost of a massive amount of magical energy.")</f>
        <v>Chaldea’s command seals were never intended to become as powerful as they are in your hands. Useful tools for controlling allied servants, yes, but weapons to subjugate enemy servants? That’s a feature you brought to the table. Much like EMIYA’s relationship with swords, you are closely-aligned with the concept of Mastery, Authority, or a similar theme, perhaps as deeply as your Origin. Any spells or magical abilities relating to this concept are far easier to learn and use and far more powerful in your hands than is normal. Any amateur can create magical ropes or chains with Projection but yours could be strong enough to bind a servant, at least a weak one, as securely as any ordinary human. Even with little magical talent you can achieve similar results in fields such as summoning and binding, mind control, and so on, while a talented and experienced magus could achieve results nearly on par with True Magic. You’re even able to sidestep many commonly-accepted rules of how magic is supposed to work in these areas, like wielding command seals against enemy servants you would normally have no authority over.
This perk comes with 3 command seals that take the form of a red, three part, symbolic tattoo on your body. Normal use lets you give an order to someone you have a magical binding with to act. This can force them to do something they wouldn't or couldn't normally do, like teleport to your side or instantly heal from the edge of death. These seals will regenerate after 1 week, but this can be accelerated at the cost of a massive amount of magical energy.</v>
      </c>
      <c r="I211" s="5"/>
    </row>
    <row r="212" spans="1:9" ht="17.399999999999999" x14ac:dyDescent="0.25">
      <c r="A212" s="16"/>
      <c r="B212" s="17"/>
      <c r="C212" s="2" t="b">
        <f ca="1">IFERROR(__xludf.DUMMYFUNCTION("""COMPUTED_VALUE"""),TRUE)</f>
        <v>1</v>
      </c>
      <c r="D212" s="2">
        <f ca="1">IFERROR(__xludf.DUMMYFUNCTION("""COMPUTED_VALUE"""),-100)</f>
        <v>-100</v>
      </c>
      <c r="E212" s="2" t="str">
        <f ca="1">IFERROR(__xludf.DUMMYFUNCTION("""COMPUTED_VALUE"""),"Purchased Perks")</f>
        <v>Purchased Perks</v>
      </c>
      <c r="F212" s="2">
        <f ca="1">IFERROR(__xludf.DUMMYFUNCTION("""COMPUTED_VALUE"""),5)</f>
        <v>5</v>
      </c>
      <c r="G212" s="2" t="str">
        <f ca="1">IFERROR(__xludf.DUMMYFUNCTION("""COMPUTED_VALUE"""),"Magic")</f>
        <v>Magic</v>
      </c>
      <c r="H212" s="2"/>
      <c r="I212" s="5"/>
    </row>
    <row r="213" spans="1:9" ht="104.4" x14ac:dyDescent="0.25">
      <c r="A213" s="16"/>
      <c r="B213" s="17"/>
      <c r="C213" s="2" t="b">
        <f ca="1">IFERROR(__xludf.DUMMYFUNCTION("""COMPUTED_VALUE"""),TRUE)</f>
        <v>1</v>
      </c>
      <c r="D213" s="2">
        <f ca="1">IFERROR(__xludf.DUMMYFUNCTION("""COMPUTED_VALUE"""),600)</f>
        <v>600</v>
      </c>
      <c r="E213" s="2" t="str">
        <f ca="1">IFERROR(__xludf.DUMMYFUNCTION("""COMPUTED_VALUE"""),"Cock of the Evil Sex King")</f>
        <v>Cock of the Evil Sex King</v>
      </c>
      <c r="F213" s="2" t="str">
        <f ca="1">IFERROR(__xludf.DUMMYFUNCTION("""COMPUTED_VALUE"""),"Power Play")</f>
        <v>Power Play</v>
      </c>
      <c r="G213" s="2" t="str">
        <f ca="1">IFERROR(__xludf.DUMMYFUNCTION("""COMPUTED_VALUE"""),"Magic")</f>
        <v>Magic</v>
      </c>
      <c r="H213" s="2" t="str">
        <f ca="1">IFERROR(__xludf.DUMMYFUNCTION("""COMPUTED_VALUE"""),"This doesn’t actually give you a dick, nor does it require one—instead, your genitals grow in mystical potency, not only looking better but causing levels of pleasure that humans can’t naturally reach. But you have a good reason to cause such pleasure, be"&amp;"cause for every orgasm your genitals cause someone else, your magical power grows just a little bit greater. It would take ages to get any real progress out of this, although by the end of 10 years, having sex several times a day, you could reasonably exp"&amp;"ect to be as powerful as Sara.")</f>
        <v>This doesn’t actually give you a dick, nor does it require one—instead, your genitals grow in mystical potency, not only looking better but causing levels of pleasure that humans can’t naturally reach. But you have a good reason to cause such pleasure, because for every orgasm your genitals cause someone else, your magical power grows just a little bit greater. It would take ages to get any real progress out of this, although by the end of 10 years, having sex several times a day, you could reasonably expect to be as powerful as Sara.</v>
      </c>
      <c r="I213" s="5"/>
    </row>
    <row r="214" spans="1:9" ht="278.39999999999998" x14ac:dyDescent="0.25">
      <c r="A214" s="16"/>
      <c r="B214" s="17"/>
      <c r="C214" s="2" t="b">
        <f ca="1">IFERROR(__xludf.DUMMYFUNCTION("""COMPUTED_VALUE"""),TRUE)</f>
        <v>1</v>
      </c>
      <c r="D214" s="2">
        <f ca="1">IFERROR(__xludf.DUMMYFUNCTION("""COMPUTED_VALUE"""),600)</f>
        <v>600</v>
      </c>
      <c r="E214" s="2" t="str">
        <f ca="1">IFERROR(__xludf.DUMMYFUNCTION("""COMPUTED_VALUE"""),"Mana Burst: Love")</f>
        <v>Mana Burst: Love</v>
      </c>
      <c r="F214" s="2" t="str">
        <f ca="1">IFERROR(__xludf.DUMMYFUNCTION("""COMPUTED_VALUE"""),"Fate/Grand Master")</f>
        <v>Fate/Grand Master</v>
      </c>
      <c r="G214" s="2" t="str">
        <f ca="1">IFERROR(__xludf.DUMMYFUNCTION("""COMPUTED_VALUE"""),"Magic")</f>
        <v>Magic</v>
      </c>
      <c r="H214" s="2" t="str">
        <f ca="1">IFERROR(__xludf.DUMMYFUNCTION("""COMPUTED_VALUE"""),"Magi boast about the strength of their magecraft and servants are rightly proud of their noble phantasms but no power in this world is greater or more profound than the power of love. You hold that power deep in your heart: whether you wish to be the invi"&amp;"ncible shield of your senpai or a virgin laser piercing the heart of the ultimate thot you can use the power of love as a substitute for mana or health. 
In any battle where a loved one’s life is on the line you’re able to hit harder, move faster, endure"&amp;" longer, and fight harder than is even physically possible for your body and abilities. There are few limits to the extremes you can reach in physical or magical power through this enhancement but be warned, such power does not come without a price. 
Exc"&amp;"eeding your limits this way effectively redlines your performance, inflicting unavoidable damage to your body proportional to the amount of it that you used. Small amounts used in a desperate battle may only make you pass out and require medical attention"&amp;" once the battle is over, but the power needed for an ordinary servant to deflect an all-powerful noble phantasm or slay a Beast in a single blow would be more than enough to kill that servant outright.")</f>
        <v>Magi boast about the strength of their magecraft and servants are rightly proud of their noble phantasms but no power in this world is greater or more profound than the power of love. You hold that power deep in your heart: whether you wish to be the invincible shield of your senpai or a virgin laser piercing the heart of the ultimate thot you can use the power of love as a substitute for mana or health. 
In any battle where a loved one’s life is on the line you’re able to hit harder, move faster, endure longer, and fight harder than is even physically possible for your body and abilities. There are few limits to the extremes you can reach in physical or magical power through this enhancement but be warned, such power does not come without a price. 
Exceeding your limits this way effectively redlines your performance, inflicting unavoidable damage to your body proportional to the amount of it that you used. Small amounts used in a desperate battle may only make you pass out and require medical attention once the battle is over, but the power needed for an ordinary servant to deflect an all-powerful noble phantasm or slay a Beast in a single blow would be more than enough to kill that servant outright.</v>
      </c>
      <c r="I214" s="5"/>
    </row>
    <row r="215" spans="1:9" ht="191.4" x14ac:dyDescent="0.25">
      <c r="A215" s="16"/>
      <c r="B215" s="17"/>
      <c r="C215" s="2" t="b">
        <f ca="1">IFERROR(__xludf.DUMMYFUNCTION("""COMPUTED_VALUE"""),TRUE)</f>
        <v>1</v>
      </c>
      <c r="D215" s="2">
        <f ca="1">IFERROR(__xludf.DUMMYFUNCTION("""COMPUTED_VALUE"""),600)</f>
        <v>600</v>
      </c>
      <c r="E215" s="2" t="str">
        <f ca="1">IFERROR(__xludf.DUMMYFUNCTION("""COMPUTED_VALUE"""),"Multiplex Madness")</f>
        <v>Multiplex Madness</v>
      </c>
      <c r="F215" s="2" t="str">
        <f ca="1">IFERROR(__xludf.DUMMYFUNCTION("""COMPUTED_VALUE"""),"How Not to Summon a Demon Lord")</f>
        <v>How Not to Summon a Demon Lord</v>
      </c>
      <c r="G215" s="2" t="str">
        <f ca="1">IFERROR(__xludf.DUMMYFUNCTION("""COMPUTED_VALUE"""),"Magic")</f>
        <v>Magic</v>
      </c>
      <c r="H215" s="2" t="str">
        <f ca="1">IFERROR(__xludf.DUMMYFUNCTION("""COMPUTED_VALUE"""),"Among the rarest and most powerful arts known to spellcasters is the special ability known as Multiplex Magic, the power to fuse up to three spells together into a single ultra-powerful spell containing the power and qualities of all of its component spel"&amp;"ls. Such power comes at a steep cost: the caster must remain immobile while casting, suffering any damage during casting will cause the spell to misfire, and spells can only be merged once an hour at most. But when a monster the size of a mountain is bear"&amp;"ing down on you you’ll be glad you had this secret technique in your arsenal. You can even take this power one step further than even Diablo has by fusing spells with your party members instead of needing to cast them all yourself, though your allies must"&amp;" obey the same casting limitations that you do. 
And if that's not good enough, imagine what you could do with it in bed!")</f>
        <v>Among the rarest and most powerful arts known to spellcasters is the special ability known as Multiplex Magic, the power to fuse up to three spells together into a single ultra-powerful spell containing the power and qualities of all of its component spells. Such power comes at a steep cost: the caster must remain immobile while casting, suffering any damage during casting will cause the spell to misfire, and spells can only be merged once an hour at most. But when a monster the size of a mountain is bearing down on you you’ll be glad you had this secret technique in your arsenal. You can even take this power one step further than even Diablo has by fusing spells with your party members instead of needing to cast them all yourself, though your allies must obey the same casting limitations that you do. 
And if that's not good enough, imagine what you could do with it in bed!</v>
      </c>
      <c r="I215" s="5"/>
    </row>
    <row r="216" spans="1:9" ht="17.399999999999999" x14ac:dyDescent="0.25">
      <c r="A216" s="16"/>
      <c r="B216" s="17"/>
      <c r="C216" s="2"/>
      <c r="D216" s="2"/>
      <c r="E216" s="2"/>
      <c r="F216" s="2"/>
      <c r="G216" s="2"/>
      <c r="H216" s="2"/>
      <c r="I216" s="5"/>
    </row>
    <row r="217" spans="1:9" ht="17.399999999999999" x14ac:dyDescent="0.25">
      <c r="A217" s="16"/>
      <c r="B217" s="17"/>
      <c r="C217" s="2"/>
      <c r="D217" s="2"/>
      <c r="E217" s="2"/>
      <c r="F217" s="2"/>
      <c r="G217" s="2"/>
      <c r="H217" s="2"/>
      <c r="I217" s="5"/>
    </row>
    <row r="218" spans="1:9" ht="17.399999999999999" x14ac:dyDescent="0.25">
      <c r="A218" s="16"/>
      <c r="B218" s="17"/>
      <c r="C218" s="2"/>
      <c r="D218" s="2"/>
      <c r="E218" s="2"/>
      <c r="F218" s="2"/>
      <c r="G218" s="2"/>
      <c r="H218" s="2"/>
      <c r="I218" s="5"/>
    </row>
    <row r="219" spans="1:9" ht="17.399999999999999" x14ac:dyDescent="0.25">
      <c r="A219" s="16"/>
      <c r="B219" s="17"/>
      <c r="C219" s="2"/>
      <c r="D219" s="2"/>
      <c r="E219" s="2"/>
      <c r="F219" s="2"/>
      <c r="G219" s="2"/>
      <c r="H219" s="2"/>
      <c r="I219" s="5"/>
    </row>
    <row r="220" spans="1:9" ht="17.399999999999999" x14ac:dyDescent="0.25">
      <c r="A220" s="16"/>
      <c r="B220" s="17"/>
      <c r="C220" s="2"/>
      <c r="D220" s="2"/>
      <c r="E220" s="2"/>
      <c r="F220" s="2"/>
      <c r="G220" s="2"/>
      <c r="H220" s="2"/>
      <c r="I220" s="5"/>
    </row>
    <row r="221" spans="1:9" ht="17.399999999999999" x14ac:dyDescent="0.25">
      <c r="A221" s="16"/>
      <c r="B221" s="17"/>
      <c r="C221" s="2"/>
      <c r="D221" s="2"/>
      <c r="E221" s="2"/>
      <c r="F221" s="2"/>
      <c r="G221" s="2"/>
      <c r="H221" s="2"/>
      <c r="I221" s="5"/>
    </row>
    <row r="222" spans="1:9" ht="17.399999999999999" x14ac:dyDescent="0.25">
      <c r="A222" s="16"/>
      <c r="B222" s="17"/>
      <c r="C222" s="2"/>
      <c r="D222" s="2"/>
      <c r="E222" s="2"/>
      <c r="F222" s="2"/>
      <c r="G222" s="2"/>
      <c r="H222" s="2"/>
      <c r="I222" s="5"/>
    </row>
    <row r="223" spans="1:9" ht="17.399999999999999" x14ac:dyDescent="0.25">
      <c r="A223" s="16"/>
      <c r="B223" s="17"/>
      <c r="C223" s="2"/>
      <c r="D223" s="2"/>
      <c r="E223" s="2"/>
      <c r="F223" s="2"/>
      <c r="G223" s="2"/>
      <c r="H223" s="2"/>
      <c r="I223" s="5"/>
    </row>
    <row r="224" spans="1:9" ht="17.399999999999999" x14ac:dyDescent="0.25">
      <c r="A224" s="16"/>
      <c r="B224" s="17"/>
      <c r="C224" s="2"/>
      <c r="D224" s="2"/>
      <c r="E224" s="2"/>
      <c r="F224" s="2"/>
      <c r="G224" s="2"/>
      <c r="H224" s="2"/>
      <c r="I224" s="5"/>
    </row>
    <row r="225" spans="1:9" ht="17.399999999999999" x14ac:dyDescent="0.25">
      <c r="A225" s="16"/>
      <c r="B225" s="17"/>
      <c r="C225" s="2"/>
      <c r="D225" s="2"/>
      <c r="E225" s="2"/>
      <c r="F225" s="2"/>
      <c r="G225" s="2"/>
      <c r="H225" s="2"/>
      <c r="I225" s="5"/>
    </row>
    <row r="226" spans="1:9" ht="17.399999999999999" x14ac:dyDescent="0.25">
      <c r="A226" s="16"/>
      <c r="B226" s="17"/>
      <c r="C226" s="2"/>
      <c r="D226" s="2"/>
      <c r="E226" s="2"/>
      <c r="F226" s="2"/>
      <c r="G226" s="2"/>
      <c r="H226" s="2"/>
      <c r="I226" s="5"/>
    </row>
    <row r="227" spans="1:9" ht="17.399999999999999" x14ac:dyDescent="0.25">
      <c r="A227" s="16"/>
      <c r="B227" s="17"/>
      <c r="C227" s="2"/>
      <c r="D227" s="2"/>
      <c r="E227" s="2"/>
      <c r="F227" s="2"/>
      <c r="G227" s="2"/>
      <c r="H227" s="2"/>
      <c r="I227" s="5"/>
    </row>
    <row r="228" spans="1:9" ht="17.399999999999999" x14ac:dyDescent="0.25">
      <c r="A228" s="16"/>
      <c r="B228" s="17"/>
      <c r="C228" s="2"/>
      <c r="D228" s="2"/>
      <c r="E228" s="2"/>
      <c r="F228" s="2"/>
      <c r="G228" s="2"/>
      <c r="H228" s="2"/>
      <c r="I228" s="5"/>
    </row>
    <row r="229" spans="1:9" ht="17.399999999999999" x14ac:dyDescent="0.25">
      <c r="A229" s="16"/>
      <c r="B229" s="17"/>
      <c r="C229" s="2"/>
      <c r="D229" s="2"/>
      <c r="E229" s="2"/>
      <c r="F229" s="2"/>
      <c r="G229" s="2"/>
      <c r="H229" s="2"/>
      <c r="I229" s="5"/>
    </row>
    <row r="230" spans="1:9" ht="17.399999999999999" x14ac:dyDescent="0.25">
      <c r="A230" s="16"/>
      <c r="B230" s="17"/>
      <c r="C230" s="2"/>
      <c r="D230" s="2"/>
      <c r="E230" s="2"/>
      <c r="F230" s="2"/>
      <c r="G230" s="2"/>
      <c r="H230" s="2"/>
      <c r="I230" s="5"/>
    </row>
    <row r="231" spans="1:9" ht="17.399999999999999" x14ac:dyDescent="0.25">
      <c r="A231" s="16"/>
      <c r="B231" s="17"/>
      <c r="C231" s="2"/>
      <c r="D231" s="2"/>
      <c r="E231" s="2"/>
      <c r="F231" s="2"/>
      <c r="G231" s="2"/>
      <c r="H231" s="2"/>
      <c r="I231" s="5"/>
    </row>
    <row r="232" spans="1:9" ht="17.399999999999999" x14ac:dyDescent="0.25">
      <c r="A232" s="16"/>
      <c r="B232" s="17"/>
      <c r="C232" s="2"/>
      <c r="D232" s="2"/>
      <c r="E232" s="2"/>
      <c r="F232" s="2"/>
      <c r="G232" s="2"/>
      <c r="H232" s="2"/>
      <c r="I232" s="5"/>
    </row>
    <row r="233" spans="1:9" ht="17.399999999999999" x14ac:dyDescent="0.25">
      <c r="A233" s="16"/>
      <c r="B233" s="17"/>
      <c r="C233" s="2"/>
      <c r="D233" s="2"/>
      <c r="E233" s="2"/>
      <c r="F233" s="2"/>
      <c r="G233" s="2"/>
      <c r="H233" s="2"/>
      <c r="I233" s="5"/>
    </row>
    <row r="234" spans="1:9" ht="17.399999999999999" x14ac:dyDescent="0.25">
      <c r="A234" s="16"/>
      <c r="B234" s="17"/>
      <c r="C234" s="2"/>
      <c r="D234" s="2"/>
      <c r="E234" s="2"/>
      <c r="F234" s="2"/>
      <c r="G234" s="2"/>
      <c r="H234" s="2"/>
      <c r="I234" s="5"/>
    </row>
    <row r="235" spans="1:9" ht="17.399999999999999" x14ac:dyDescent="0.25">
      <c r="A235" s="16"/>
      <c r="B235" s="17"/>
      <c r="C235" s="2"/>
      <c r="D235" s="2"/>
      <c r="E235" s="2"/>
      <c r="F235" s="2"/>
      <c r="G235" s="2"/>
      <c r="H235" s="2"/>
      <c r="I235" s="5"/>
    </row>
    <row r="236" spans="1:9" ht="17.399999999999999" x14ac:dyDescent="0.25">
      <c r="A236" s="16"/>
      <c r="B236" s="17"/>
      <c r="C236" s="2"/>
      <c r="D236" s="2"/>
      <c r="E236" s="2"/>
      <c r="F236" s="2"/>
      <c r="G236" s="2"/>
      <c r="H236" s="2"/>
      <c r="I236" s="5"/>
    </row>
    <row r="237" spans="1:9" ht="17.399999999999999" x14ac:dyDescent="0.25">
      <c r="A237" s="16"/>
      <c r="B237" s="17"/>
      <c r="C237" s="2"/>
      <c r="D237" s="2"/>
      <c r="E237" s="2"/>
      <c r="F237" s="2"/>
      <c r="G237" s="2"/>
      <c r="H237" s="2"/>
      <c r="I237" s="5"/>
    </row>
    <row r="238" spans="1:9" ht="17.399999999999999" x14ac:dyDescent="0.25">
      <c r="A238" s="16"/>
      <c r="B238" s="17"/>
      <c r="C238" s="2"/>
      <c r="D238" s="2"/>
      <c r="E238" s="2"/>
      <c r="F238" s="2"/>
      <c r="G238" s="2"/>
      <c r="H238" s="2"/>
      <c r="I238" s="5"/>
    </row>
    <row r="239" spans="1:9" ht="17.399999999999999" x14ac:dyDescent="0.25">
      <c r="A239" s="16"/>
      <c r="B239" s="17"/>
      <c r="C239" s="2"/>
      <c r="D239" s="2"/>
      <c r="E239" s="2"/>
      <c r="F239" s="2"/>
      <c r="G239" s="2"/>
      <c r="H239" s="2"/>
      <c r="I239" s="5"/>
    </row>
    <row r="240" spans="1:9" ht="17.399999999999999" x14ac:dyDescent="0.25">
      <c r="A240" s="16"/>
      <c r="B240" s="17"/>
      <c r="C240" s="2"/>
      <c r="D240" s="2"/>
      <c r="E240" s="2"/>
      <c r="F240" s="2"/>
      <c r="G240" s="2"/>
      <c r="H240" s="2"/>
      <c r="I240" s="5"/>
    </row>
    <row r="241" spans="1:9" ht="17.399999999999999" x14ac:dyDescent="0.25">
      <c r="A241" s="16"/>
      <c r="B241" s="17"/>
      <c r="C241" s="2"/>
      <c r="D241" s="2"/>
      <c r="E241" s="2"/>
      <c r="F241" s="2"/>
      <c r="G241" s="2"/>
      <c r="H241" s="2"/>
      <c r="I241" s="5"/>
    </row>
    <row r="242" spans="1:9" ht="17.399999999999999" x14ac:dyDescent="0.25">
      <c r="A242" s="16"/>
      <c r="B242" s="17"/>
      <c r="C242" s="2"/>
      <c r="D242" s="2"/>
      <c r="E242" s="2"/>
      <c r="F242" s="2"/>
      <c r="G242" s="2"/>
      <c r="H242" s="2"/>
      <c r="I242" s="5"/>
    </row>
    <row r="243" spans="1:9" ht="17.399999999999999" x14ac:dyDescent="0.25">
      <c r="A243" s="16"/>
      <c r="B243" s="17"/>
      <c r="C243" s="2"/>
      <c r="D243" s="2"/>
      <c r="E243" s="2"/>
      <c r="F243" s="2"/>
      <c r="G243" s="2"/>
      <c r="H243" s="2"/>
      <c r="I243" s="5"/>
    </row>
    <row r="244" spans="1:9" ht="17.399999999999999" x14ac:dyDescent="0.25">
      <c r="A244" s="16"/>
      <c r="B244" s="17"/>
      <c r="C244" s="2"/>
      <c r="D244" s="2"/>
      <c r="E244" s="2"/>
      <c r="F244" s="2"/>
      <c r="G244" s="2"/>
      <c r="H244" s="2"/>
      <c r="I244" s="5"/>
    </row>
    <row r="245" spans="1:9" ht="17.399999999999999" x14ac:dyDescent="0.25">
      <c r="A245" s="16"/>
      <c r="B245" s="17"/>
      <c r="C245" s="2"/>
      <c r="D245" s="2"/>
      <c r="E245" s="2"/>
      <c r="F245" s="2"/>
      <c r="G245" s="2"/>
      <c r="H245" s="2"/>
      <c r="I245" s="5"/>
    </row>
    <row r="246" spans="1:9" ht="17.399999999999999" x14ac:dyDescent="0.25">
      <c r="A246" s="16"/>
      <c r="B246" s="17"/>
      <c r="C246" s="2"/>
      <c r="D246" s="2"/>
      <c r="E246" s="2"/>
      <c r="F246" s="2"/>
      <c r="G246" s="2"/>
      <c r="H246" s="2"/>
      <c r="I246" s="5"/>
    </row>
    <row r="247" spans="1:9" ht="17.399999999999999" x14ac:dyDescent="0.25">
      <c r="A247" s="16"/>
      <c r="B247" s="17"/>
      <c r="C247" s="2"/>
      <c r="D247" s="2"/>
      <c r="E247" s="2"/>
      <c r="F247" s="2"/>
      <c r="G247" s="2"/>
      <c r="H247" s="2"/>
      <c r="I247" s="5"/>
    </row>
    <row r="248" spans="1:9" ht="17.399999999999999" x14ac:dyDescent="0.25">
      <c r="A248" s="16"/>
      <c r="B248" s="17"/>
      <c r="C248" s="2"/>
      <c r="D248" s="2"/>
      <c r="E248" s="2"/>
      <c r="F248" s="2"/>
      <c r="G248" s="2"/>
      <c r="H248" s="2"/>
      <c r="I248" s="5"/>
    </row>
    <row r="249" spans="1:9" ht="17.399999999999999" x14ac:dyDescent="0.25">
      <c r="A249" s="16"/>
      <c r="B249" s="17"/>
      <c r="C249" s="2"/>
      <c r="D249" s="2"/>
      <c r="E249" s="2"/>
      <c r="F249" s="2"/>
      <c r="G249" s="2"/>
      <c r="H249" s="2"/>
      <c r="I249" s="5"/>
    </row>
    <row r="250" spans="1:9" ht="17.399999999999999" x14ac:dyDescent="0.25">
      <c r="A250" s="16"/>
      <c r="B250" s="17"/>
      <c r="C250" s="2"/>
      <c r="D250" s="2"/>
      <c r="E250" s="2"/>
      <c r="F250" s="2"/>
      <c r="G250" s="2"/>
      <c r="H250" s="2"/>
      <c r="I250" s="5"/>
    </row>
    <row r="251" spans="1:9" ht="17.399999999999999" x14ac:dyDescent="0.25">
      <c r="A251" s="16"/>
      <c r="B251" s="17"/>
      <c r="C251" s="2"/>
      <c r="D251" s="2"/>
      <c r="E251" s="2"/>
      <c r="F251" s="2"/>
      <c r="G251" s="2"/>
      <c r="H251" s="2"/>
      <c r="I251" s="5"/>
    </row>
    <row r="252" spans="1:9" ht="17.399999999999999" x14ac:dyDescent="0.25">
      <c r="A252" s="16"/>
      <c r="B252" s="17"/>
      <c r="C252" s="2"/>
      <c r="D252" s="2"/>
      <c r="E252" s="2"/>
      <c r="F252" s="2"/>
      <c r="G252" s="2"/>
      <c r="H252" s="2"/>
      <c r="I252" s="5"/>
    </row>
    <row r="253" spans="1:9" ht="17.399999999999999" x14ac:dyDescent="0.25">
      <c r="A253" s="16"/>
      <c r="B253" s="17"/>
      <c r="C253" s="2"/>
      <c r="D253" s="2"/>
      <c r="E253" s="2"/>
      <c r="F253" s="2"/>
      <c r="G253" s="2"/>
      <c r="H253" s="2"/>
      <c r="I253" s="5"/>
    </row>
    <row r="254" spans="1:9" ht="17.399999999999999" x14ac:dyDescent="0.25">
      <c r="A254" s="16"/>
      <c r="B254" s="17"/>
      <c r="C254" s="2"/>
      <c r="D254" s="2"/>
      <c r="E254" s="2"/>
      <c r="F254" s="2"/>
      <c r="G254" s="2"/>
      <c r="H254" s="2"/>
      <c r="I254" s="5"/>
    </row>
    <row r="255" spans="1:9" ht="17.399999999999999" x14ac:dyDescent="0.25">
      <c r="A255" s="16"/>
      <c r="B255" s="17"/>
      <c r="C255" s="2"/>
      <c r="D255" s="2"/>
      <c r="E255" s="2"/>
      <c r="F255" s="2"/>
      <c r="G255" s="2"/>
      <c r="H255" s="2"/>
      <c r="I255" s="5"/>
    </row>
    <row r="256" spans="1:9" ht="17.399999999999999" x14ac:dyDescent="0.25">
      <c r="A256" s="16"/>
      <c r="B256" s="17"/>
      <c r="C256" s="2"/>
      <c r="D256" s="2"/>
      <c r="E256" s="2"/>
      <c r="F256" s="2"/>
      <c r="G256" s="2"/>
      <c r="H256" s="2"/>
      <c r="I256" s="5"/>
    </row>
    <row r="257" spans="1:9" ht="17.399999999999999" x14ac:dyDescent="0.25">
      <c r="A257" s="16"/>
      <c r="B257" s="17"/>
      <c r="C257" s="2"/>
      <c r="D257" s="2"/>
      <c r="E257" s="2"/>
      <c r="F257" s="2"/>
      <c r="G257" s="2"/>
      <c r="H257" s="2"/>
      <c r="I257" s="5"/>
    </row>
    <row r="258" spans="1:9" ht="17.399999999999999" x14ac:dyDescent="0.25">
      <c r="A258" s="16"/>
      <c r="B258" s="17"/>
      <c r="C258" s="2"/>
      <c r="D258" s="2"/>
      <c r="E258" s="2"/>
      <c r="F258" s="2"/>
      <c r="G258" s="2"/>
      <c r="H258" s="2"/>
      <c r="I258" s="5"/>
    </row>
    <row r="259" spans="1:9" ht="17.399999999999999" x14ac:dyDescent="0.25">
      <c r="A259" s="16"/>
      <c r="B259" s="17"/>
      <c r="C259" s="2"/>
      <c r="D259" s="2"/>
      <c r="E259" s="2"/>
      <c r="F259" s="2"/>
      <c r="G259" s="2"/>
      <c r="H259" s="2"/>
      <c r="I259" s="5"/>
    </row>
    <row r="260" spans="1:9" ht="17.399999999999999" x14ac:dyDescent="0.25">
      <c r="A260" s="16"/>
      <c r="B260" s="17"/>
      <c r="C260" s="2"/>
      <c r="D260" s="2"/>
      <c r="E260" s="2"/>
      <c r="F260" s="2"/>
      <c r="G260" s="2"/>
      <c r="H260" s="2"/>
      <c r="I260" s="5"/>
    </row>
    <row r="261" spans="1:9" ht="17.399999999999999" x14ac:dyDescent="0.25">
      <c r="A261" s="16"/>
      <c r="B261" s="17"/>
      <c r="C261" s="2"/>
      <c r="D261" s="2"/>
      <c r="E261" s="2"/>
      <c r="F261" s="2"/>
      <c r="G261" s="2"/>
      <c r="H261" s="2"/>
      <c r="I261" s="5"/>
    </row>
    <row r="262" spans="1:9" ht="17.399999999999999" x14ac:dyDescent="0.25">
      <c r="A262" s="16"/>
      <c r="B262" s="17"/>
      <c r="C262" s="2"/>
      <c r="D262" s="2"/>
      <c r="E262" s="2"/>
      <c r="F262" s="2"/>
      <c r="G262" s="2"/>
      <c r="H262" s="2"/>
      <c r="I262" s="5"/>
    </row>
    <row r="263" spans="1:9" ht="17.399999999999999" x14ac:dyDescent="0.25">
      <c r="A263" s="16"/>
      <c r="B263" s="17"/>
      <c r="C263" s="2"/>
      <c r="D263" s="2"/>
      <c r="E263" s="2"/>
      <c r="F263" s="2"/>
      <c r="G263" s="2"/>
      <c r="H263" s="2"/>
      <c r="I263" s="5"/>
    </row>
    <row r="264" spans="1:9" ht="17.399999999999999" x14ac:dyDescent="0.25">
      <c r="A264" s="16"/>
      <c r="B264" s="17"/>
      <c r="C264" s="2"/>
      <c r="D264" s="2"/>
      <c r="E264" s="2"/>
      <c r="F264" s="2"/>
      <c r="G264" s="2"/>
      <c r="H264" s="2"/>
      <c r="I264" s="5"/>
    </row>
    <row r="265" spans="1:9" ht="17.399999999999999" x14ac:dyDescent="0.25">
      <c r="A265" s="16"/>
      <c r="B265" s="17"/>
      <c r="C265" s="2"/>
      <c r="D265" s="2"/>
      <c r="E265" s="2"/>
      <c r="F265" s="2"/>
      <c r="G265" s="2"/>
      <c r="H265" s="2"/>
      <c r="I265" s="5"/>
    </row>
    <row r="266" spans="1:9" ht="17.399999999999999" x14ac:dyDescent="0.25">
      <c r="A266" s="16"/>
      <c r="B266" s="17"/>
      <c r="C266" s="2"/>
      <c r="D266" s="2"/>
      <c r="E266" s="2"/>
      <c r="F266" s="2"/>
      <c r="G266" s="2"/>
      <c r="H266" s="2"/>
      <c r="I266" s="5"/>
    </row>
    <row r="267" spans="1:9" ht="17.399999999999999" x14ac:dyDescent="0.25">
      <c r="A267" s="16"/>
      <c r="B267" s="17"/>
      <c r="C267" s="2"/>
      <c r="D267" s="2"/>
      <c r="E267" s="2"/>
      <c r="F267" s="2"/>
      <c r="G267" s="2"/>
      <c r="H267" s="2"/>
      <c r="I267" s="5"/>
    </row>
    <row r="268" spans="1:9" ht="17.399999999999999" x14ac:dyDescent="0.25">
      <c r="A268" s="16"/>
      <c r="B268" s="17"/>
      <c r="C268" s="2"/>
      <c r="D268" s="2"/>
      <c r="E268" s="2"/>
      <c r="F268" s="2"/>
      <c r="G268" s="2"/>
      <c r="H268" s="2"/>
      <c r="I268" s="5"/>
    </row>
    <row r="269" spans="1:9" ht="17.399999999999999" x14ac:dyDescent="0.25">
      <c r="A269" s="16"/>
      <c r="B269" s="17"/>
      <c r="C269" s="2"/>
      <c r="D269" s="2"/>
      <c r="E269" s="2"/>
      <c r="F269" s="2"/>
      <c r="G269" s="2"/>
      <c r="H269" s="2"/>
      <c r="I269" s="5"/>
    </row>
    <row r="270" spans="1:9" ht="17.399999999999999" x14ac:dyDescent="0.25">
      <c r="A270" s="16"/>
      <c r="B270" s="17"/>
      <c r="C270" s="2"/>
      <c r="D270" s="2"/>
      <c r="E270" s="2"/>
      <c r="F270" s="2"/>
      <c r="G270" s="2"/>
      <c r="H270" s="2"/>
      <c r="I270" s="5"/>
    </row>
    <row r="271" spans="1:9" ht="17.399999999999999" x14ac:dyDescent="0.25">
      <c r="A271" s="16"/>
      <c r="B271" s="17"/>
      <c r="C271" s="2"/>
      <c r="D271" s="2"/>
      <c r="E271" s="2"/>
      <c r="F271" s="2"/>
      <c r="G271" s="2"/>
      <c r="H271" s="2"/>
      <c r="I271" s="5"/>
    </row>
    <row r="272" spans="1:9" ht="17.399999999999999" x14ac:dyDescent="0.25">
      <c r="A272" s="16"/>
      <c r="B272" s="17"/>
      <c r="C272" s="2"/>
      <c r="D272" s="2"/>
      <c r="E272" s="2"/>
      <c r="F272" s="2"/>
      <c r="G272" s="2"/>
      <c r="H272" s="2"/>
      <c r="I272" s="5"/>
    </row>
    <row r="273" spans="1:9" ht="17.399999999999999" x14ac:dyDescent="0.25">
      <c r="A273" s="16"/>
      <c r="B273" s="17"/>
      <c r="C273" s="2"/>
      <c r="D273" s="2"/>
      <c r="E273" s="2"/>
      <c r="F273" s="2"/>
      <c r="G273" s="2"/>
      <c r="H273" s="2"/>
      <c r="I273" s="5"/>
    </row>
    <row r="274" spans="1:9" ht="17.399999999999999" x14ac:dyDescent="0.25">
      <c r="A274" s="16"/>
      <c r="B274" s="17"/>
      <c r="C274" s="2"/>
      <c r="D274" s="2"/>
      <c r="E274" s="2"/>
      <c r="F274" s="2"/>
      <c r="G274" s="2"/>
      <c r="H274" s="2"/>
      <c r="I274" s="5"/>
    </row>
    <row r="275" spans="1:9" ht="17.399999999999999" x14ac:dyDescent="0.25">
      <c r="A275" s="16"/>
      <c r="B275" s="17"/>
      <c r="C275" s="2"/>
      <c r="D275" s="2"/>
      <c r="E275" s="2"/>
      <c r="F275" s="2"/>
      <c r="G275" s="2"/>
      <c r="H275" s="2"/>
      <c r="I275" s="5"/>
    </row>
    <row r="276" spans="1:9" ht="17.399999999999999" x14ac:dyDescent="0.25">
      <c r="A276" s="16"/>
      <c r="B276" s="17"/>
      <c r="C276" s="2"/>
      <c r="D276" s="2"/>
      <c r="E276" s="2"/>
      <c r="F276" s="2"/>
      <c r="G276" s="2"/>
      <c r="H276" s="2"/>
      <c r="I276" s="5"/>
    </row>
    <row r="277" spans="1:9" ht="17.399999999999999" x14ac:dyDescent="0.25">
      <c r="A277" s="16"/>
      <c r="B277" s="17"/>
      <c r="C277" s="2"/>
      <c r="D277" s="2"/>
      <c r="E277" s="2"/>
      <c r="F277" s="2"/>
      <c r="G277" s="2"/>
      <c r="H277" s="2"/>
      <c r="I277" s="5"/>
    </row>
    <row r="278" spans="1:9" ht="17.399999999999999" x14ac:dyDescent="0.25">
      <c r="A278" s="16"/>
      <c r="B278" s="17"/>
      <c r="C278" s="2"/>
      <c r="D278" s="2"/>
      <c r="E278" s="2"/>
      <c r="F278" s="2"/>
      <c r="G278" s="2"/>
      <c r="H278" s="2"/>
      <c r="I278" s="5"/>
    </row>
    <row r="279" spans="1:9" ht="17.399999999999999" x14ac:dyDescent="0.25">
      <c r="A279" s="16"/>
      <c r="B279" s="17"/>
      <c r="C279" s="2"/>
      <c r="D279" s="2"/>
      <c r="E279" s="2"/>
      <c r="F279" s="2"/>
      <c r="G279" s="2"/>
      <c r="H279" s="2"/>
      <c r="I279" s="5"/>
    </row>
    <row r="280" spans="1:9" ht="17.399999999999999" x14ac:dyDescent="0.25">
      <c r="A280" s="16"/>
      <c r="B280" s="17"/>
      <c r="C280" s="2"/>
      <c r="D280" s="2"/>
      <c r="E280" s="2"/>
      <c r="F280" s="2"/>
      <c r="G280" s="2"/>
      <c r="H280" s="2"/>
      <c r="I280" s="5"/>
    </row>
    <row r="281" spans="1:9" ht="17.399999999999999" x14ac:dyDescent="0.25">
      <c r="A281" s="16"/>
      <c r="B281" s="17"/>
      <c r="C281" s="2"/>
      <c r="D281" s="2"/>
      <c r="E281" s="2"/>
      <c r="F281" s="2"/>
      <c r="G281" s="2"/>
      <c r="H281" s="2"/>
      <c r="I281" s="5"/>
    </row>
    <row r="282" spans="1:9" ht="17.399999999999999" x14ac:dyDescent="0.25">
      <c r="A282" s="16"/>
      <c r="B282" s="17"/>
      <c r="C282" s="2"/>
      <c r="D282" s="2"/>
      <c r="E282" s="2"/>
      <c r="F282" s="2"/>
      <c r="G282" s="2"/>
      <c r="H282" s="2"/>
      <c r="I282" s="5"/>
    </row>
    <row r="283" spans="1:9" ht="17.399999999999999" x14ac:dyDescent="0.25">
      <c r="A283" s="16"/>
      <c r="B283" s="17"/>
      <c r="C283" s="2"/>
      <c r="D283" s="2"/>
      <c r="E283" s="2"/>
      <c r="F283" s="2"/>
      <c r="G283" s="2"/>
      <c r="H283" s="2"/>
      <c r="I283" s="5"/>
    </row>
    <row r="284" spans="1:9" ht="17.399999999999999" x14ac:dyDescent="0.25">
      <c r="A284" s="16"/>
      <c r="B284" s="17"/>
      <c r="C284" s="2"/>
      <c r="D284" s="2"/>
      <c r="E284" s="2"/>
      <c r="F284" s="2"/>
      <c r="G284" s="2"/>
      <c r="H284" s="2"/>
      <c r="I284" s="5"/>
    </row>
    <row r="285" spans="1:9" ht="17.399999999999999" x14ac:dyDescent="0.25">
      <c r="A285" s="16"/>
      <c r="B285" s="17"/>
      <c r="C285" s="2"/>
      <c r="D285" s="2"/>
      <c r="E285" s="2"/>
      <c r="F285" s="2"/>
      <c r="G285" s="2"/>
      <c r="H285" s="2"/>
      <c r="I285" s="5"/>
    </row>
    <row r="286" spans="1:9" ht="17.399999999999999" x14ac:dyDescent="0.25">
      <c r="A286" s="16"/>
      <c r="B286" s="17"/>
      <c r="C286" s="2"/>
      <c r="D286" s="2"/>
      <c r="E286" s="2"/>
      <c r="F286" s="2"/>
      <c r="G286" s="2"/>
      <c r="H286" s="2"/>
      <c r="I286" s="5"/>
    </row>
    <row r="287" spans="1:9" ht="17.399999999999999" x14ac:dyDescent="0.25">
      <c r="A287" s="16"/>
      <c r="B287" s="17"/>
      <c r="C287" s="2"/>
      <c r="D287" s="2"/>
      <c r="E287" s="2"/>
      <c r="F287" s="2"/>
      <c r="G287" s="2"/>
      <c r="H287" s="2"/>
      <c r="I287" s="5"/>
    </row>
    <row r="288" spans="1:9" ht="17.399999999999999" x14ac:dyDescent="0.25">
      <c r="A288" s="16"/>
      <c r="B288" s="17"/>
      <c r="C288" s="2"/>
      <c r="D288" s="2"/>
      <c r="E288" s="2"/>
      <c r="F288" s="2"/>
      <c r="G288" s="2"/>
      <c r="H288" s="2"/>
      <c r="I288" s="5"/>
    </row>
    <row r="289" spans="1:9" ht="17.399999999999999" x14ac:dyDescent="0.25">
      <c r="A289" s="16"/>
      <c r="B289" s="17"/>
      <c r="C289" s="2"/>
      <c r="D289" s="2"/>
      <c r="E289" s="2"/>
      <c r="F289" s="2"/>
      <c r="G289" s="2"/>
      <c r="H289" s="2"/>
      <c r="I289" s="5"/>
    </row>
    <row r="290" spans="1:9" ht="17.399999999999999" x14ac:dyDescent="0.25">
      <c r="A290" s="16"/>
      <c r="B290" s="17"/>
      <c r="C290" s="2"/>
      <c r="D290" s="2"/>
      <c r="E290" s="2"/>
      <c r="F290" s="2"/>
      <c r="G290" s="2"/>
      <c r="H290" s="2"/>
      <c r="I290" s="5"/>
    </row>
    <row r="291" spans="1:9" ht="17.399999999999999" x14ac:dyDescent="0.25">
      <c r="A291" s="16"/>
      <c r="B291" s="17"/>
      <c r="C291" s="2"/>
      <c r="D291" s="2"/>
      <c r="E291" s="2"/>
      <c r="F291" s="2"/>
      <c r="G291" s="2"/>
      <c r="H291" s="2"/>
      <c r="I291" s="5"/>
    </row>
    <row r="292" spans="1:9" ht="17.399999999999999" x14ac:dyDescent="0.25">
      <c r="A292" s="16"/>
      <c r="B292" s="17"/>
      <c r="C292" s="2"/>
      <c r="D292" s="2"/>
      <c r="E292" s="2"/>
      <c r="F292" s="2"/>
      <c r="G292" s="2"/>
      <c r="H292" s="2"/>
      <c r="I292" s="5"/>
    </row>
    <row r="293" spans="1:9" ht="17.399999999999999" x14ac:dyDescent="0.25">
      <c r="A293" s="16"/>
      <c r="B293" s="17"/>
      <c r="C293" s="2"/>
      <c r="D293" s="2"/>
      <c r="E293" s="2"/>
      <c r="F293" s="2"/>
      <c r="G293" s="2"/>
      <c r="H293" s="2"/>
      <c r="I293" s="5"/>
    </row>
    <row r="294" spans="1:9" ht="17.399999999999999" x14ac:dyDescent="0.25">
      <c r="A294" s="16"/>
      <c r="B294" s="17"/>
      <c r="C294" s="2"/>
      <c r="D294" s="2"/>
      <c r="E294" s="2"/>
      <c r="F294" s="2"/>
      <c r="G294" s="2"/>
      <c r="H294" s="2"/>
      <c r="I294" s="5"/>
    </row>
    <row r="295" spans="1:9" ht="17.399999999999999" x14ac:dyDescent="0.25">
      <c r="A295" s="16"/>
      <c r="B295" s="17"/>
      <c r="C295" s="2"/>
      <c r="D295" s="2"/>
      <c r="E295" s="2"/>
      <c r="F295" s="2"/>
      <c r="G295" s="2"/>
      <c r="H295" s="2"/>
      <c r="I295" s="5"/>
    </row>
    <row r="296" spans="1:9" ht="17.399999999999999" x14ac:dyDescent="0.25">
      <c r="A296" s="16"/>
      <c r="B296" s="17"/>
      <c r="C296" s="2"/>
      <c r="D296" s="2"/>
      <c r="E296" s="2"/>
      <c r="F296" s="2"/>
      <c r="G296" s="2"/>
      <c r="H296" s="2"/>
      <c r="I296" s="5"/>
    </row>
    <row r="297" spans="1:9" ht="17.399999999999999" x14ac:dyDescent="0.25">
      <c r="A297" s="16"/>
      <c r="B297" s="17"/>
      <c r="C297" s="2"/>
      <c r="D297" s="2"/>
      <c r="E297" s="2"/>
      <c r="F297" s="2"/>
      <c r="G297" s="2"/>
      <c r="H297" s="2"/>
      <c r="I297" s="5"/>
    </row>
    <row r="298" spans="1:9" ht="17.399999999999999" x14ac:dyDescent="0.25">
      <c r="A298" s="16"/>
      <c r="B298" s="17"/>
      <c r="C298" s="2"/>
      <c r="D298" s="2"/>
      <c r="E298" s="2"/>
      <c r="F298" s="2"/>
      <c r="G298" s="2"/>
      <c r="H298" s="2"/>
      <c r="I298" s="5"/>
    </row>
    <row r="299" spans="1:9" ht="17.399999999999999" x14ac:dyDescent="0.25">
      <c r="A299" s="16"/>
      <c r="B299" s="17"/>
      <c r="C299" s="2"/>
      <c r="D299" s="2"/>
      <c r="E299" s="2"/>
      <c r="F299" s="2"/>
      <c r="G299" s="2"/>
      <c r="H299" s="2"/>
      <c r="I299" s="5"/>
    </row>
    <row r="300" spans="1:9" ht="17.399999999999999" x14ac:dyDescent="0.25">
      <c r="A300" s="16"/>
      <c r="B300" s="17"/>
      <c r="C300" s="2"/>
      <c r="D300" s="2"/>
      <c r="E300" s="2"/>
      <c r="F300" s="2"/>
      <c r="G300" s="2"/>
      <c r="H300" s="2"/>
      <c r="I300" s="5"/>
    </row>
    <row r="301" spans="1:9" ht="17.399999999999999" x14ac:dyDescent="0.25">
      <c r="A301" s="16"/>
      <c r="B301" s="17"/>
      <c r="C301" s="2"/>
      <c r="D301" s="2"/>
      <c r="E301" s="2"/>
      <c r="F301" s="2"/>
      <c r="G301" s="2"/>
      <c r="H301" s="2"/>
      <c r="I301" s="5"/>
    </row>
    <row r="302" spans="1:9" ht="17.399999999999999" x14ac:dyDescent="0.25">
      <c r="A302" s="16"/>
      <c r="B302" s="17"/>
      <c r="C302" s="2"/>
      <c r="D302" s="2"/>
      <c r="E302" s="2"/>
      <c r="F302" s="2"/>
      <c r="G302" s="2"/>
      <c r="H302" s="2"/>
      <c r="I302" s="5"/>
    </row>
    <row r="303" spans="1:9" ht="17.399999999999999" x14ac:dyDescent="0.25">
      <c r="A303" s="16"/>
      <c r="B303" s="17"/>
      <c r="C303" s="2"/>
      <c r="D303" s="2"/>
      <c r="E303" s="2"/>
      <c r="F303" s="2"/>
      <c r="G303" s="2"/>
      <c r="H303" s="2"/>
      <c r="I303" s="5"/>
    </row>
    <row r="304" spans="1:9" ht="17.399999999999999" x14ac:dyDescent="0.25">
      <c r="A304" s="16"/>
      <c r="B304" s="17"/>
      <c r="C304" s="2"/>
      <c r="D304" s="2"/>
      <c r="E304" s="2"/>
      <c r="F304" s="2"/>
      <c r="G304" s="2"/>
      <c r="H304" s="2"/>
      <c r="I304" s="5"/>
    </row>
    <row r="305" spans="1:9" ht="17.399999999999999" x14ac:dyDescent="0.25">
      <c r="A305" s="16"/>
      <c r="B305" s="17"/>
      <c r="C305" s="2"/>
      <c r="D305" s="2"/>
      <c r="E305" s="2"/>
      <c r="F305" s="2"/>
      <c r="G305" s="2"/>
      <c r="H305" s="2"/>
      <c r="I305" s="5"/>
    </row>
    <row r="306" spans="1:9" ht="17.399999999999999" x14ac:dyDescent="0.25">
      <c r="A306" s="16"/>
      <c r="B306" s="17"/>
      <c r="C306" s="2"/>
      <c r="D306" s="2"/>
      <c r="E306" s="2"/>
      <c r="F306" s="2"/>
      <c r="G306" s="2"/>
      <c r="H306" s="2"/>
      <c r="I306" s="5"/>
    </row>
    <row r="307" spans="1:9" ht="17.399999999999999" x14ac:dyDescent="0.25">
      <c r="A307" s="16"/>
      <c r="B307" s="17"/>
      <c r="C307" s="2"/>
      <c r="D307" s="2"/>
      <c r="E307" s="2"/>
      <c r="F307" s="2"/>
      <c r="G307" s="2"/>
      <c r="H307" s="2"/>
      <c r="I307" s="5"/>
    </row>
    <row r="308" spans="1:9" ht="17.399999999999999" x14ac:dyDescent="0.25">
      <c r="A308" s="16"/>
      <c r="B308" s="17"/>
      <c r="C308" s="2"/>
      <c r="D308" s="2"/>
      <c r="E308" s="2"/>
      <c r="F308" s="2"/>
      <c r="G308" s="2"/>
      <c r="H308" s="2"/>
      <c r="I308" s="5"/>
    </row>
    <row r="309" spans="1:9" ht="17.399999999999999" x14ac:dyDescent="0.25">
      <c r="A309" s="16"/>
      <c r="B309" s="17"/>
      <c r="C309" s="2"/>
      <c r="D309" s="2"/>
      <c r="E309" s="2"/>
      <c r="F309" s="2"/>
      <c r="G309" s="2"/>
      <c r="H309" s="2"/>
      <c r="I309" s="5"/>
    </row>
    <row r="310" spans="1:9" ht="17.399999999999999" x14ac:dyDescent="0.25">
      <c r="A310" s="16"/>
      <c r="B310" s="17"/>
      <c r="C310" s="2"/>
      <c r="D310" s="2"/>
      <c r="E310" s="2"/>
      <c r="F310" s="2"/>
      <c r="G310" s="2"/>
      <c r="H310" s="2"/>
      <c r="I310" s="5"/>
    </row>
    <row r="311" spans="1:9" ht="17.399999999999999" x14ac:dyDescent="0.25">
      <c r="A311" s="16"/>
      <c r="B311" s="17"/>
      <c r="C311" s="2"/>
      <c r="D311" s="2"/>
      <c r="E311" s="2"/>
      <c r="F311" s="2"/>
      <c r="G311" s="2"/>
      <c r="H311" s="2"/>
      <c r="I311" s="5"/>
    </row>
    <row r="312" spans="1:9" ht="17.399999999999999" x14ac:dyDescent="0.25">
      <c r="A312" s="16"/>
      <c r="B312" s="17"/>
      <c r="C312" s="2"/>
      <c r="D312" s="2"/>
      <c r="E312" s="2"/>
      <c r="F312" s="2"/>
      <c r="G312" s="2"/>
      <c r="H312" s="2"/>
      <c r="I312" s="5"/>
    </row>
    <row r="313" spans="1:9" ht="17.399999999999999" x14ac:dyDescent="0.25">
      <c r="A313" s="16"/>
      <c r="B313" s="17"/>
      <c r="C313" s="2"/>
      <c r="D313" s="2"/>
      <c r="E313" s="2"/>
      <c r="F313" s="2"/>
      <c r="G313" s="2"/>
      <c r="H313" s="2"/>
      <c r="I313" s="5"/>
    </row>
    <row r="314" spans="1:9" ht="17.399999999999999" x14ac:dyDescent="0.25">
      <c r="A314" s="16"/>
      <c r="B314" s="17"/>
      <c r="C314" s="2"/>
      <c r="D314" s="2"/>
      <c r="E314" s="2"/>
      <c r="F314" s="2"/>
      <c r="G314" s="2"/>
      <c r="H314" s="2"/>
      <c r="I314" s="5"/>
    </row>
    <row r="315" spans="1:9" ht="17.399999999999999" x14ac:dyDescent="0.25">
      <c r="A315" s="16"/>
      <c r="B315" s="17"/>
      <c r="C315" s="2"/>
      <c r="D315" s="2"/>
      <c r="E315" s="2"/>
      <c r="F315" s="2"/>
      <c r="G315" s="2"/>
      <c r="H315" s="2"/>
      <c r="I315" s="5"/>
    </row>
    <row r="316" spans="1:9" ht="17.399999999999999" x14ac:dyDescent="0.25">
      <c r="A316" s="16"/>
      <c r="B316" s="17"/>
      <c r="C316" s="2"/>
      <c r="D316" s="2"/>
      <c r="E316" s="2"/>
      <c r="F316" s="2"/>
      <c r="G316" s="2"/>
      <c r="H316" s="2"/>
      <c r="I316" s="5"/>
    </row>
    <row r="317" spans="1:9" ht="17.399999999999999" x14ac:dyDescent="0.25">
      <c r="A317" s="16"/>
      <c r="B317" s="17"/>
      <c r="C317" s="2"/>
      <c r="D317" s="2"/>
      <c r="E317" s="2"/>
      <c r="F317" s="2"/>
      <c r="G317" s="2"/>
      <c r="H317" s="2"/>
      <c r="I317" s="5"/>
    </row>
    <row r="318" spans="1:9" ht="17.399999999999999" x14ac:dyDescent="0.25">
      <c r="A318" s="16"/>
      <c r="B318" s="17"/>
      <c r="C318" s="2"/>
      <c r="D318" s="2"/>
      <c r="E318" s="2"/>
      <c r="F318" s="2"/>
      <c r="G318" s="2"/>
      <c r="H318" s="2"/>
      <c r="I318" s="5"/>
    </row>
    <row r="319" spans="1:9" ht="17.399999999999999" x14ac:dyDescent="0.25">
      <c r="A319" s="16"/>
      <c r="B319" s="17"/>
      <c r="C319" s="2"/>
      <c r="D319" s="2"/>
      <c r="E319" s="2"/>
      <c r="F319" s="2"/>
      <c r="G319" s="2"/>
      <c r="H319" s="2"/>
      <c r="I319" s="5"/>
    </row>
    <row r="320" spans="1:9" ht="17.399999999999999" x14ac:dyDescent="0.25">
      <c r="A320" s="16"/>
      <c r="B320" s="17"/>
      <c r="C320" s="2"/>
      <c r="D320" s="2"/>
      <c r="E320" s="2"/>
      <c r="F320" s="2"/>
      <c r="G320" s="2"/>
      <c r="H320" s="2"/>
      <c r="I320" s="5"/>
    </row>
    <row r="321" spans="1:9" ht="17.399999999999999" x14ac:dyDescent="0.25">
      <c r="A321" s="16"/>
      <c r="B321" s="17"/>
      <c r="C321" s="2"/>
      <c r="D321" s="2"/>
      <c r="E321" s="2"/>
      <c r="F321" s="2"/>
      <c r="G321" s="2"/>
      <c r="H321" s="2"/>
      <c r="I321" s="5"/>
    </row>
    <row r="322" spans="1:9" ht="17.399999999999999" x14ac:dyDescent="0.25">
      <c r="A322" s="16"/>
      <c r="B322" s="17"/>
      <c r="C322" s="2"/>
      <c r="D322" s="2"/>
      <c r="E322" s="2"/>
      <c r="F322" s="2"/>
      <c r="G322" s="2"/>
      <c r="H322" s="2"/>
      <c r="I322" s="5"/>
    </row>
    <row r="323" spans="1:9" ht="17.399999999999999" x14ac:dyDescent="0.25">
      <c r="A323" s="16"/>
      <c r="B323" s="17"/>
      <c r="C323" s="2"/>
      <c r="D323" s="2"/>
      <c r="E323" s="2"/>
      <c r="F323" s="2"/>
      <c r="G323" s="2"/>
      <c r="H323" s="2"/>
      <c r="I323" s="5"/>
    </row>
    <row r="324" spans="1:9" ht="17.399999999999999" x14ac:dyDescent="0.25">
      <c r="A324" s="16"/>
      <c r="B324" s="17"/>
      <c r="C324" s="2"/>
      <c r="D324" s="2"/>
      <c r="E324" s="2"/>
      <c r="F324" s="2"/>
      <c r="G324" s="2"/>
      <c r="H324" s="2"/>
      <c r="I324" s="5"/>
    </row>
    <row r="325" spans="1:9" ht="17.399999999999999" x14ac:dyDescent="0.25">
      <c r="A325" s="16"/>
      <c r="B325" s="17"/>
      <c r="C325" s="2"/>
      <c r="D325" s="2"/>
      <c r="E325" s="2"/>
      <c r="F325" s="2"/>
      <c r="G325" s="2"/>
      <c r="H325" s="2"/>
      <c r="I325" s="5"/>
    </row>
    <row r="326" spans="1:9" ht="17.399999999999999" x14ac:dyDescent="0.25">
      <c r="A326" s="16"/>
      <c r="B326" s="17"/>
      <c r="C326" s="2"/>
      <c r="D326" s="2"/>
      <c r="E326" s="2"/>
      <c r="F326" s="2"/>
      <c r="G326" s="2"/>
      <c r="H326" s="2"/>
      <c r="I326" s="5"/>
    </row>
    <row r="327" spans="1:9" ht="17.399999999999999" x14ac:dyDescent="0.25">
      <c r="A327" s="16"/>
      <c r="B327" s="17"/>
      <c r="C327" s="2"/>
      <c r="D327" s="2"/>
      <c r="E327" s="2"/>
      <c r="F327" s="2"/>
      <c r="G327" s="2"/>
      <c r="H327" s="2"/>
      <c r="I327" s="5"/>
    </row>
    <row r="328" spans="1:9" ht="17.399999999999999" x14ac:dyDescent="0.25">
      <c r="A328" s="16"/>
      <c r="B328" s="17"/>
      <c r="C328" s="2"/>
      <c r="D328" s="2"/>
      <c r="E328" s="2"/>
      <c r="F328" s="2"/>
      <c r="G328" s="2"/>
      <c r="H328" s="2"/>
      <c r="I328" s="5"/>
    </row>
    <row r="329" spans="1:9" ht="17.399999999999999" x14ac:dyDescent="0.25">
      <c r="A329" s="16"/>
      <c r="B329" s="17"/>
      <c r="C329" s="2"/>
      <c r="D329" s="2"/>
      <c r="E329" s="2"/>
      <c r="F329" s="2"/>
      <c r="G329" s="2"/>
      <c r="H329" s="2"/>
      <c r="I329" s="5"/>
    </row>
    <row r="330" spans="1:9" ht="17.399999999999999" x14ac:dyDescent="0.25">
      <c r="A330" s="16"/>
      <c r="B330" s="17"/>
      <c r="C330" s="2"/>
      <c r="D330" s="2"/>
      <c r="E330" s="2"/>
      <c r="F330" s="2"/>
      <c r="G330" s="2"/>
      <c r="H330" s="2"/>
      <c r="I330" s="5"/>
    </row>
    <row r="331" spans="1:9" ht="17.399999999999999" x14ac:dyDescent="0.25">
      <c r="A331" s="16"/>
      <c r="B331" s="17"/>
      <c r="C331" s="2"/>
      <c r="D331" s="2"/>
      <c r="E331" s="2"/>
      <c r="F331" s="2"/>
      <c r="G331" s="2"/>
      <c r="H331" s="2"/>
      <c r="I331" s="5"/>
    </row>
    <row r="332" spans="1:9" ht="17.399999999999999" x14ac:dyDescent="0.25">
      <c r="A332" s="16"/>
      <c r="B332" s="17"/>
      <c r="C332" s="2"/>
      <c r="D332" s="2"/>
      <c r="E332" s="2"/>
      <c r="F332" s="2"/>
      <c r="G332" s="2"/>
      <c r="H332" s="2"/>
      <c r="I332" s="5"/>
    </row>
    <row r="333" spans="1:9" ht="17.399999999999999" x14ac:dyDescent="0.25">
      <c r="A333" s="16"/>
      <c r="B333" s="17"/>
      <c r="C333" s="2"/>
      <c r="D333" s="2"/>
      <c r="E333" s="2"/>
      <c r="F333" s="2"/>
      <c r="G333" s="2"/>
      <c r="H333" s="2"/>
      <c r="I333" s="5"/>
    </row>
    <row r="334" spans="1:9" ht="17.399999999999999" x14ac:dyDescent="0.25">
      <c r="A334" s="16"/>
      <c r="B334" s="17"/>
      <c r="C334" s="2"/>
      <c r="D334" s="2"/>
      <c r="E334" s="2"/>
      <c r="F334" s="2"/>
      <c r="G334" s="2"/>
      <c r="H334" s="2"/>
      <c r="I334" s="5"/>
    </row>
    <row r="335" spans="1:9" ht="17.399999999999999" x14ac:dyDescent="0.25">
      <c r="A335" s="16"/>
      <c r="B335" s="17"/>
      <c r="C335" s="2"/>
      <c r="D335" s="2"/>
      <c r="E335" s="2"/>
      <c r="F335" s="2"/>
      <c r="G335" s="2"/>
      <c r="H335" s="2"/>
      <c r="I335" s="5"/>
    </row>
    <row r="336" spans="1:9" ht="17.399999999999999" x14ac:dyDescent="0.25">
      <c r="A336" s="16"/>
      <c r="B336" s="17"/>
      <c r="C336" s="2"/>
      <c r="D336" s="2"/>
      <c r="E336" s="2"/>
      <c r="F336" s="2"/>
      <c r="G336" s="2"/>
      <c r="H336" s="2"/>
      <c r="I336" s="5"/>
    </row>
    <row r="337" spans="1:9" ht="17.399999999999999" x14ac:dyDescent="0.25">
      <c r="A337" s="16"/>
      <c r="B337" s="17"/>
      <c r="C337" s="2"/>
      <c r="D337" s="2"/>
      <c r="E337" s="2"/>
      <c r="F337" s="2"/>
      <c r="G337" s="2"/>
      <c r="H337" s="2"/>
      <c r="I337" s="5"/>
    </row>
    <row r="338" spans="1:9" ht="17.399999999999999" x14ac:dyDescent="0.25">
      <c r="A338" s="16"/>
      <c r="B338" s="17"/>
      <c r="C338" s="2"/>
      <c r="D338" s="2"/>
      <c r="E338" s="2"/>
      <c r="F338" s="2"/>
      <c r="G338" s="2"/>
      <c r="H338" s="2"/>
      <c r="I338" s="5"/>
    </row>
    <row r="339" spans="1:9" ht="17.399999999999999" x14ac:dyDescent="0.25">
      <c r="A339" s="16"/>
      <c r="B339" s="17"/>
      <c r="C339" s="2"/>
      <c r="D339" s="2"/>
      <c r="E339" s="2"/>
      <c r="F339" s="2"/>
      <c r="G339" s="2"/>
      <c r="H339" s="2"/>
      <c r="I339" s="5"/>
    </row>
    <row r="340" spans="1:9" ht="17.399999999999999" x14ac:dyDescent="0.25">
      <c r="A340" s="16"/>
      <c r="B340" s="17"/>
      <c r="C340" s="2"/>
      <c r="D340" s="2"/>
      <c r="E340" s="2"/>
      <c r="F340" s="2"/>
      <c r="G340" s="2"/>
      <c r="H340" s="2"/>
      <c r="I340" s="5"/>
    </row>
    <row r="341" spans="1:9" ht="17.399999999999999" x14ac:dyDescent="0.25">
      <c r="A341" s="16"/>
      <c r="B341" s="17"/>
      <c r="C341" s="2"/>
      <c r="D341" s="2"/>
      <c r="E341" s="2"/>
      <c r="F341" s="2"/>
      <c r="G341" s="2"/>
      <c r="H341" s="2"/>
      <c r="I341" s="5"/>
    </row>
    <row r="342" spans="1:9" ht="17.399999999999999" x14ac:dyDescent="0.25">
      <c r="A342" s="16"/>
      <c r="B342" s="17"/>
      <c r="C342" s="2"/>
      <c r="D342" s="2"/>
      <c r="E342" s="2"/>
      <c r="F342" s="2"/>
      <c r="G342" s="2"/>
      <c r="H342" s="2"/>
      <c r="I342" s="5"/>
    </row>
    <row r="343" spans="1:9" ht="17.399999999999999" x14ac:dyDescent="0.25">
      <c r="A343" s="16"/>
      <c r="B343" s="17"/>
      <c r="C343" s="2"/>
      <c r="D343" s="2"/>
      <c r="E343" s="2"/>
      <c r="F343" s="2"/>
      <c r="G343" s="2"/>
      <c r="H343" s="2"/>
      <c r="I343" s="5"/>
    </row>
    <row r="344" spans="1:9" ht="17.399999999999999" x14ac:dyDescent="0.25">
      <c r="A344" s="16"/>
      <c r="B344" s="17"/>
      <c r="C344" s="2"/>
      <c r="D344" s="2"/>
      <c r="E344" s="2"/>
      <c r="F344" s="2"/>
      <c r="G344" s="2"/>
      <c r="H344" s="2"/>
      <c r="I344" s="5"/>
    </row>
    <row r="345" spans="1:9" ht="17.399999999999999" x14ac:dyDescent="0.25">
      <c r="A345" s="16"/>
      <c r="B345" s="17"/>
      <c r="C345" s="2"/>
      <c r="D345" s="2"/>
      <c r="E345" s="2"/>
      <c r="F345" s="2"/>
      <c r="G345" s="2"/>
      <c r="H345" s="2"/>
      <c r="I345" s="5"/>
    </row>
    <row r="346" spans="1:9" ht="17.399999999999999" x14ac:dyDescent="0.25">
      <c r="A346" s="16"/>
      <c r="B346" s="17"/>
      <c r="C346" s="2"/>
      <c r="D346" s="2"/>
      <c r="E346" s="2"/>
      <c r="F346" s="2"/>
      <c r="G346" s="2"/>
      <c r="H346" s="2"/>
      <c r="I346" s="5"/>
    </row>
    <row r="347" spans="1:9" ht="17.399999999999999" x14ac:dyDescent="0.25">
      <c r="A347" s="16"/>
      <c r="B347" s="17"/>
      <c r="C347" s="2"/>
      <c r="D347" s="2"/>
      <c r="E347" s="2"/>
      <c r="F347" s="2"/>
      <c r="G347" s="2"/>
      <c r="H347" s="2"/>
      <c r="I347" s="5"/>
    </row>
    <row r="348" spans="1:9" ht="17.399999999999999" x14ac:dyDescent="0.25">
      <c r="A348" s="16"/>
      <c r="B348" s="17"/>
      <c r="C348" s="2"/>
      <c r="D348" s="2"/>
      <c r="E348" s="2"/>
      <c r="F348" s="2"/>
      <c r="G348" s="2"/>
      <c r="H348" s="2"/>
      <c r="I348" s="5"/>
    </row>
    <row r="349" spans="1:9" ht="17.399999999999999" x14ac:dyDescent="0.25">
      <c r="A349" s="16"/>
      <c r="B349" s="17"/>
      <c r="C349" s="2"/>
      <c r="D349" s="2"/>
      <c r="E349" s="2"/>
      <c r="F349" s="2"/>
      <c r="G349" s="2"/>
      <c r="H349" s="2"/>
      <c r="I349" s="5"/>
    </row>
    <row r="350" spans="1:9" ht="17.399999999999999" x14ac:dyDescent="0.25">
      <c r="A350" s="16"/>
      <c r="B350" s="17"/>
      <c r="C350" s="2"/>
      <c r="D350" s="2"/>
      <c r="E350" s="2"/>
      <c r="F350" s="2"/>
      <c r="G350" s="2"/>
      <c r="H350" s="2"/>
      <c r="I350" s="5"/>
    </row>
    <row r="351" spans="1:9" ht="17.399999999999999" x14ac:dyDescent="0.25">
      <c r="A351" s="16"/>
      <c r="B351" s="17"/>
      <c r="C351" s="2"/>
      <c r="D351" s="2"/>
      <c r="E351" s="2"/>
      <c r="F351" s="2"/>
      <c r="G351" s="2"/>
      <c r="H351" s="2"/>
      <c r="I351" s="5"/>
    </row>
    <row r="352" spans="1:9" ht="17.399999999999999" x14ac:dyDescent="0.25">
      <c r="A352" s="16"/>
      <c r="B352" s="17"/>
      <c r="C352" s="2"/>
      <c r="D352" s="2"/>
      <c r="E352" s="2"/>
      <c r="F352" s="2"/>
      <c r="G352" s="2"/>
      <c r="H352" s="2"/>
      <c r="I352" s="5"/>
    </row>
    <row r="353" spans="1:9" ht="17.399999999999999" x14ac:dyDescent="0.25">
      <c r="A353" s="16"/>
      <c r="B353" s="17"/>
      <c r="C353" s="2"/>
      <c r="D353" s="2"/>
      <c r="E353" s="2"/>
      <c r="F353" s="2"/>
      <c r="G353" s="2"/>
      <c r="H353" s="2"/>
      <c r="I353" s="5"/>
    </row>
    <row r="354" spans="1:9" ht="17.399999999999999" x14ac:dyDescent="0.25">
      <c r="A354" s="16"/>
      <c r="B354" s="17"/>
      <c r="C354" s="2"/>
      <c r="D354" s="2"/>
      <c r="E354" s="2"/>
      <c r="F354" s="2"/>
      <c r="G354" s="2"/>
      <c r="H354" s="2"/>
      <c r="I354" s="5"/>
    </row>
    <row r="355" spans="1:9" ht="17.399999999999999" x14ac:dyDescent="0.25">
      <c r="A355" s="16"/>
      <c r="B355" s="17"/>
      <c r="C355" s="2"/>
      <c r="D355" s="2"/>
      <c r="E355" s="2"/>
      <c r="F355" s="2"/>
      <c r="G355" s="2"/>
      <c r="H355" s="2"/>
      <c r="I355" s="5"/>
    </row>
    <row r="356" spans="1:9" ht="17.399999999999999" x14ac:dyDescent="0.25">
      <c r="A356" s="16"/>
      <c r="B356" s="17"/>
      <c r="C356" s="2"/>
      <c r="D356" s="2"/>
      <c r="E356" s="2"/>
      <c r="F356" s="2"/>
      <c r="G356" s="2"/>
      <c r="H356" s="2"/>
      <c r="I356" s="5"/>
    </row>
    <row r="357" spans="1:9" ht="17.399999999999999" x14ac:dyDescent="0.25">
      <c r="A357" s="16"/>
      <c r="B357" s="17"/>
      <c r="C357" s="2"/>
      <c r="D357" s="2"/>
      <c r="E357" s="2"/>
      <c r="F357" s="2"/>
      <c r="G357" s="2"/>
      <c r="H357" s="2"/>
      <c r="I357" s="5"/>
    </row>
    <row r="358" spans="1:9" ht="17.399999999999999" x14ac:dyDescent="0.25">
      <c r="A358" s="16"/>
      <c r="B358" s="17"/>
      <c r="C358" s="2"/>
      <c r="D358" s="2"/>
      <c r="E358" s="2"/>
      <c r="F358" s="2"/>
      <c r="G358" s="2"/>
      <c r="H358" s="2"/>
      <c r="I358" s="5"/>
    </row>
    <row r="359" spans="1:9" ht="17.399999999999999" x14ac:dyDescent="0.25">
      <c r="A359" s="16"/>
      <c r="B359" s="17"/>
      <c r="C359" s="2"/>
      <c r="D359" s="2"/>
      <c r="E359" s="2"/>
      <c r="F359" s="2"/>
      <c r="G359" s="2"/>
      <c r="H359" s="2"/>
      <c r="I359" s="5"/>
    </row>
    <row r="360" spans="1:9" ht="17.399999999999999" x14ac:dyDescent="0.25">
      <c r="A360" s="16"/>
      <c r="B360" s="17"/>
      <c r="C360" s="2"/>
      <c r="D360" s="2"/>
      <c r="E360" s="2"/>
      <c r="F360" s="2"/>
      <c r="G360" s="2"/>
      <c r="H360" s="2"/>
      <c r="I360" s="5"/>
    </row>
    <row r="361" spans="1:9" ht="17.399999999999999" x14ac:dyDescent="0.25">
      <c r="A361" s="16"/>
      <c r="B361" s="17"/>
      <c r="C361" s="2"/>
      <c r="D361" s="2"/>
      <c r="E361" s="2"/>
      <c r="F361" s="2"/>
      <c r="G361" s="2"/>
      <c r="H361" s="2"/>
      <c r="I361" s="5"/>
    </row>
    <row r="362" spans="1:9" ht="17.399999999999999" x14ac:dyDescent="0.25">
      <c r="A362" s="16"/>
      <c r="B362" s="17"/>
      <c r="C362" s="2"/>
      <c r="D362" s="2"/>
      <c r="E362" s="2"/>
      <c r="F362" s="2"/>
      <c r="G362" s="2"/>
      <c r="H362" s="2"/>
      <c r="I362" s="5"/>
    </row>
    <row r="363" spans="1:9" ht="17.399999999999999" x14ac:dyDescent="0.25">
      <c r="A363" s="16"/>
      <c r="B363" s="17"/>
      <c r="C363" s="2"/>
      <c r="D363" s="2"/>
      <c r="E363" s="2"/>
      <c r="F363" s="2"/>
      <c r="G363" s="2"/>
      <c r="H363" s="2"/>
      <c r="I363" s="5"/>
    </row>
    <row r="364" spans="1:9" ht="17.399999999999999" x14ac:dyDescent="0.25">
      <c r="A364" s="16"/>
      <c r="B364" s="17"/>
      <c r="C364" s="2"/>
      <c r="D364" s="2"/>
      <c r="E364" s="2"/>
      <c r="F364" s="2"/>
      <c r="G364" s="2"/>
      <c r="H364" s="2"/>
      <c r="I364" s="5"/>
    </row>
    <row r="365" spans="1:9" ht="17.399999999999999" x14ac:dyDescent="0.25">
      <c r="A365" s="16"/>
      <c r="B365" s="17"/>
      <c r="C365" s="2"/>
      <c r="D365" s="2"/>
      <c r="E365" s="2"/>
      <c r="F365" s="2"/>
      <c r="G365" s="2"/>
      <c r="H365" s="2"/>
      <c r="I365" s="5"/>
    </row>
    <row r="366" spans="1:9" ht="17.399999999999999" x14ac:dyDescent="0.25">
      <c r="A366" s="16"/>
      <c r="B366" s="17"/>
      <c r="C366" s="2"/>
      <c r="D366" s="2"/>
      <c r="E366" s="2"/>
      <c r="F366" s="2"/>
      <c r="G366" s="2"/>
      <c r="H366" s="2"/>
      <c r="I366" s="5"/>
    </row>
    <row r="367" spans="1:9" ht="17.399999999999999" x14ac:dyDescent="0.25">
      <c r="A367" s="16"/>
      <c r="B367" s="17"/>
      <c r="C367" s="2"/>
      <c r="D367" s="2"/>
      <c r="E367" s="2"/>
      <c r="F367" s="2"/>
      <c r="G367" s="2"/>
      <c r="H367" s="2"/>
      <c r="I367" s="5"/>
    </row>
    <row r="368" spans="1:9" ht="17.399999999999999" x14ac:dyDescent="0.25">
      <c r="A368" s="16"/>
      <c r="B368" s="17"/>
      <c r="C368" s="2"/>
      <c r="D368" s="2"/>
      <c r="E368" s="2"/>
      <c r="F368" s="2"/>
      <c r="G368" s="2"/>
      <c r="H368" s="2"/>
      <c r="I368" s="5"/>
    </row>
    <row r="369" spans="1:9" ht="17.399999999999999" x14ac:dyDescent="0.25">
      <c r="A369" s="16"/>
      <c r="B369" s="17"/>
      <c r="C369" s="2"/>
      <c r="D369" s="2"/>
      <c r="E369" s="2"/>
      <c r="F369" s="2"/>
      <c r="G369" s="2"/>
      <c r="H369" s="2"/>
      <c r="I369" s="5"/>
    </row>
    <row r="370" spans="1:9" ht="17.399999999999999" x14ac:dyDescent="0.25">
      <c r="A370" s="16"/>
      <c r="B370" s="17"/>
      <c r="C370" s="2"/>
      <c r="D370" s="2"/>
      <c r="E370" s="2"/>
      <c r="F370" s="2"/>
      <c r="G370" s="2"/>
      <c r="H370" s="2"/>
      <c r="I370" s="5"/>
    </row>
    <row r="371" spans="1:9" ht="17.399999999999999" x14ac:dyDescent="0.25">
      <c r="A371" s="16"/>
      <c r="B371" s="17"/>
      <c r="C371" s="2"/>
      <c r="D371" s="2"/>
      <c r="E371" s="2"/>
      <c r="F371" s="2"/>
      <c r="G371" s="2"/>
      <c r="H371" s="2"/>
      <c r="I371" s="5"/>
    </row>
    <row r="372" spans="1:9" ht="17.399999999999999" x14ac:dyDescent="0.25">
      <c r="A372" s="16"/>
      <c r="B372" s="17"/>
      <c r="C372" s="2"/>
      <c r="D372" s="2"/>
      <c r="E372" s="2"/>
      <c r="F372" s="2"/>
      <c r="G372" s="2"/>
      <c r="H372" s="2"/>
      <c r="I372" s="5"/>
    </row>
    <row r="373" spans="1:9" ht="17.399999999999999" x14ac:dyDescent="0.25">
      <c r="A373" s="16"/>
      <c r="B373" s="17"/>
      <c r="C373" s="2"/>
      <c r="D373" s="2"/>
      <c r="E373" s="2"/>
      <c r="F373" s="2"/>
      <c r="G373" s="2"/>
      <c r="H373" s="2"/>
      <c r="I373" s="5"/>
    </row>
    <row r="374" spans="1:9" ht="17.399999999999999" x14ac:dyDescent="0.25">
      <c r="A374" s="16"/>
      <c r="B374" s="17"/>
      <c r="C374" s="2"/>
      <c r="D374" s="2"/>
      <c r="E374" s="2"/>
      <c r="F374" s="2"/>
      <c r="G374" s="2"/>
      <c r="H374" s="2"/>
      <c r="I374" s="5"/>
    </row>
    <row r="375" spans="1:9" ht="17.399999999999999" x14ac:dyDescent="0.25">
      <c r="A375" s="16"/>
      <c r="B375" s="17"/>
      <c r="C375" s="2"/>
      <c r="D375" s="2"/>
      <c r="E375" s="2"/>
      <c r="F375" s="2"/>
      <c r="G375" s="2"/>
      <c r="H375" s="2"/>
      <c r="I375" s="5"/>
    </row>
    <row r="376" spans="1:9" ht="17.399999999999999" x14ac:dyDescent="0.25">
      <c r="A376" s="16"/>
      <c r="B376" s="17"/>
      <c r="C376" s="2"/>
      <c r="D376" s="2"/>
      <c r="E376" s="2"/>
      <c r="F376" s="2"/>
      <c r="G376" s="2"/>
      <c r="H376" s="2"/>
      <c r="I376" s="5"/>
    </row>
    <row r="377" spans="1:9" ht="17.399999999999999" x14ac:dyDescent="0.25">
      <c r="A377" s="16"/>
      <c r="B377" s="17"/>
      <c r="C377" s="2"/>
      <c r="D377" s="2"/>
      <c r="E377" s="2"/>
      <c r="F377" s="2"/>
      <c r="G377" s="2"/>
      <c r="H377" s="2"/>
      <c r="I377" s="5"/>
    </row>
    <row r="378" spans="1:9" ht="17.399999999999999" x14ac:dyDescent="0.25">
      <c r="A378" s="16"/>
      <c r="B378" s="17"/>
      <c r="C378" s="2"/>
      <c r="D378" s="2"/>
      <c r="E378" s="2"/>
      <c r="F378" s="2"/>
      <c r="G378" s="2"/>
      <c r="H378" s="2"/>
      <c r="I378" s="5"/>
    </row>
    <row r="379" spans="1:9" ht="17.399999999999999" x14ac:dyDescent="0.25">
      <c r="A379" s="16"/>
      <c r="B379" s="17"/>
      <c r="C379" s="2"/>
      <c r="D379" s="2"/>
      <c r="E379" s="2"/>
      <c r="F379" s="2"/>
      <c r="G379" s="2"/>
      <c r="H379" s="2"/>
      <c r="I379" s="5"/>
    </row>
    <row r="380" spans="1:9" ht="17.399999999999999" x14ac:dyDescent="0.25">
      <c r="A380" s="16"/>
      <c r="B380" s="17"/>
      <c r="C380" s="2"/>
      <c r="D380" s="2"/>
      <c r="E380" s="2"/>
      <c r="F380" s="2"/>
      <c r="G380" s="2"/>
      <c r="H380" s="2"/>
      <c r="I380" s="5"/>
    </row>
    <row r="381" spans="1:9" ht="17.399999999999999" x14ac:dyDescent="0.25">
      <c r="A381" s="16"/>
      <c r="B381" s="17"/>
      <c r="C381" s="2"/>
      <c r="D381" s="2"/>
      <c r="E381" s="2"/>
      <c r="F381" s="2"/>
      <c r="G381" s="2"/>
      <c r="H381" s="2"/>
      <c r="I381" s="5"/>
    </row>
    <row r="382" spans="1:9" ht="17.399999999999999" x14ac:dyDescent="0.25">
      <c r="A382" s="16"/>
      <c r="B382" s="17"/>
      <c r="C382" s="2"/>
      <c r="D382" s="2"/>
      <c r="E382" s="2"/>
      <c r="F382" s="2"/>
      <c r="G382" s="2"/>
      <c r="H382" s="2"/>
      <c r="I382" s="5"/>
    </row>
    <row r="383" spans="1:9" ht="17.399999999999999" x14ac:dyDescent="0.25">
      <c r="A383" s="16"/>
      <c r="B383" s="17"/>
      <c r="C383" s="2"/>
      <c r="D383" s="2"/>
      <c r="E383" s="2"/>
      <c r="F383" s="2"/>
      <c r="G383" s="2"/>
      <c r="H383" s="2"/>
      <c r="I383" s="5"/>
    </row>
    <row r="384" spans="1:9" ht="17.399999999999999" x14ac:dyDescent="0.25">
      <c r="A384" s="16"/>
      <c r="B384" s="17"/>
      <c r="C384" s="2"/>
      <c r="D384" s="2"/>
      <c r="E384" s="2"/>
      <c r="F384" s="2"/>
      <c r="G384" s="2"/>
      <c r="H384" s="2"/>
      <c r="I384" s="5"/>
    </row>
    <row r="385" spans="1:9" ht="17.399999999999999" x14ac:dyDescent="0.25">
      <c r="A385" s="16"/>
      <c r="B385" s="17"/>
      <c r="C385" s="2"/>
      <c r="D385" s="2"/>
      <c r="E385" s="2"/>
      <c r="F385" s="2"/>
      <c r="G385" s="2"/>
      <c r="H385" s="2"/>
      <c r="I385" s="5"/>
    </row>
    <row r="386" spans="1:9" ht="17.399999999999999" x14ac:dyDescent="0.25">
      <c r="A386" s="16"/>
      <c r="B386" s="17"/>
      <c r="C386" s="2"/>
      <c r="D386" s="2"/>
      <c r="E386" s="2"/>
      <c r="F386" s="2"/>
      <c r="G386" s="2"/>
      <c r="H386" s="2"/>
      <c r="I386" s="5"/>
    </row>
    <row r="387" spans="1:9" ht="17.399999999999999" x14ac:dyDescent="0.25">
      <c r="A387" s="16"/>
      <c r="B387" s="17"/>
      <c r="C387" s="2"/>
      <c r="D387" s="2"/>
      <c r="E387" s="2"/>
      <c r="F387" s="2"/>
      <c r="G387" s="2"/>
      <c r="H387" s="2"/>
      <c r="I387" s="5"/>
    </row>
    <row r="388" spans="1:9" ht="17.399999999999999" x14ac:dyDescent="0.25">
      <c r="A388" s="16"/>
      <c r="B388" s="17"/>
      <c r="C388" s="2"/>
      <c r="D388" s="2"/>
      <c r="E388" s="2"/>
      <c r="F388" s="2"/>
      <c r="G388" s="2"/>
      <c r="H388" s="2"/>
      <c r="I388" s="5"/>
    </row>
    <row r="389" spans="1:9" ht="17.399999999999999" x14ac:dyDescent="0.25">
      <c r="A389" s="16"/>
      <c r="B389" s="17"/>
      <c r="C389" s="2"/>
      <c r="D389" s="2"/>
      <c r="E389" s="2"/>
      <c r="F389" s="2"/>
      <c r="G389" s="2"/>
      <c r="H389" s="2"/>
      <c r="I389" s="5"/>
    </row>
    <row r="390" spans="1:9" ht="17.399999999999999" x14ac:dyDescent="0.25">
      <c r="A390" s="16"/>
      <c r="B390" s="17"/>
      <c r="C390" s="2"/>
      <c r="D390" s="2"/>
      <c r="E390" s="2"/>
      <c r="F390" s="2"/>
      <c r="G390" s="2"/>
      <c r="H390" s="2"/>
      <c r="I390" s="5"/>
    </row>
    <row r="391" spans="1:9" ht="17.399999999999999" x14ac:dyDescent="0.25">
      <c r="A391" s="16"/>
      <c r="B391" s="17"/>
      <c r="C391" s="2"/>
      <c r="D391" s="2"/>
      <c r="E391" s="2"/>
      <c r="F391" s="2"/>
      <c r="G391" s="2"/>
      <c r="H391" s="2"/>
      <c r="I391" s="5"/>
    </row>
    <row r="392" spans="1:9" ht="17.399999999999999" x14ac:dyDescent="0.25">
      <c r="A392" s="16"/>
      <c r="B392" s="17"/>
      <c r="C392" s="2"/>
      <c r="D392" s="2"/>
      <c r="E392" s="2"/>
      <c r="F392" s="2"/>
      <c r="G392" s="2"/>
      <c r="H392" s="2"/>
      <c r="I392" s="5"/>
    </row>
    <row r="393" spans="1:9" ht="17.399999999999999" x14ac:dyDescent="0.25">
      <c r="A393" s="16"/>
      <c r="B393" s="17"/>
      <c r="C393" s="2"/>
      <c r="D393" s="2"/>
      <c r="E393" s="2"/>
      <c r="F393" s="2"/>
      <c r="G393" s="2"/>
      <c r="H393" s="2"/>
      <c r="I393" s="5"/>
    </row>
    <row r="394" spans="1:9" ht="17.399999999999999" x14ac:dyDescent="0.25">
      <c r="A394" s="16"/>
      <c r="B394" s="17"/>
      <c r="C394" s="2"/>
      <c r="D394" s="2"/>
      <c r="E394" s="2"/>
      <c r="F394" s="2"/>
      <c r="G394" s="2"/>
      <c r="H394" s="2"/>
      <c r="I394" s="5"/>
    </row>
    <row r="395" spans="1:9" ht="17.399999999999999" x14ac:dyDescent="0.25">
      <c r="A395" s="16"/>
      <c r="B395" s="17"/>
      <c r="C395" s="2"/>
      <c r="D395" s="2"/>
      <c r="E395" s="2"/>
      <c r="F395" s="2"/>
      <c r="G395" s="2"/>
      <c r="H395" s="2"/>
      <c r="I395" s="5"/>
    </row>
    <row r="396" spans="1:9" ht="17.399999999999999" x14ac:dyDescent="0.25">
      <c r="A396" s="16"/>
      <c r="B396" s="17"/>
      <c r="C396" s="2"/>
      <c r="D396" s="2"/>
      <c r="E396" s="2"/>
      <c r="F396" s="2"/>
      <c r="G396" s="2"/>
      <c r="H396" s="2"/>
      <c r="I396" s="5"/>
    </row>
    <row r="397" spans="1:9" ht="17.399999999999999" x14ac:dyDescent="0.25">
      <c r="A397" s="16"/>
      <c r="B397" s="17"/>
      <c r="C397" s="2"/>
      <c r="D397" s="2"/>
      <c r="E397" s="2"/>
      <c r="F397" s="2"/>
      <c r="G397" s="2"/>
      <c r="H397" s="2"/>
      <c r="I397" s="5"/>
    </row>
    <row r="398" spans="1:9" ht="17.399999999999999" x14ac:dyDescent="0.25">
      <c r="A398" s="16"/>
      <c r="B398" s="17"/>
      <c r="C398" s="2"/>
      <c r="D398" s="2"/>
      <c r="E398" s="2"/>
      <c r="F398" s="2"/>
      <c r="G398" s="2"/>
      <c r="H398" s="2"/>
      <c r="I398" s="5"/>
    </row>
    <row r="399" spans="1:9" ht="17.399999999999999" x14ac:dyDescent="0.25">
      <c r="A399" s="16"/>
      <c r="B399" s="17"/>
      <c r="C399" s="2"/>
      <c r="D399" s="2"/>
      <c r="E399" s="2"/>
      <c r="F399" s="2"/>
      <c r="G399" s="2"/>
      <c r="H399" s="2"/>
      <c r="I399" s="5"/>
    </row>
    <row r="400" spans="1:9" ht="17.399999999999999" x14ac:dyDescent="0.25">
      <c r="A400" s="16"/>
      <c r="B400" s="17"/>
      <c r="C400" s="2"/>
      <c r="D400" s="2"/>
      <c r="E400" s="2"/>
      <c r="F400" s="2"/>
      <c r="G400" s="2"/>
      <c r="H400" s="2"/>
      <c r="I400" s="5"/>
    </row>
    <row r="401" spans="1:9" ht="17.399999999999999" x14ac:dyDescent="0.25">
      <c r="A401" s="16"/>
      <c r="B401" s="17"/>
      <c r="C401" s="2"/>
      <c r="D401" s="2"/>
      <c r="E401" s="2"/>
      <c r="F401" s="2"/>
      <c r="G401" s="2"/>
      <c r="H401" s="2"/>
      <c r="I401" s="5"/>
    </row>
    <row r="402" spans="1:9" ht="17.399999999999999" x14ac:dyDescent="0.25">
      <c r="A402" s="16"/>
      <c r="B402" s="17"/>
      <c r="C402" s="2"/>
      <c r="D402" s="2"/>
      <c r="E402" s="2"/>
      <c r="F402" s="2"/>
      <c r="G402" s="2"/>
      <c r="H402" s="2"/>
      <c r="I402" s="5"/>
    </row>
    <row r="403" spans="1:9" ht="17.399999999999999" x14ac:dyDescent="0.25">
      <c r="A403" s="16"/>
      <c r="B403" s="17"/>
      <c r="C403" s="2"/>
      <c r="D403" s="2"/>
      <c r="E403" s="2"/>
      <c r="F403" s="2"/>
      <c r="G403" s="2"/>
      <c r="H403" s="2"/>
      <c r="I403" s="5"/>
    </row>
    <row r="404" spans="1:9" ht="17.399999999999999" x14ac:dyDescent="0.25">
      <c r="A404" s="16"/>
      <c r="B404" s="17"/>
      <c r="C404" s="2"/>
      <c r="D404" s="2"/>
      <c r="E404" s="2"/>
      <c r="F404" s="2"/>
      <c r="G404" s="2"/>
      <c r="H404" s="2"/>
      <c r="I404" s="5"/>
    </row>
    <row r="405" spans="1:9" ht="17.399999999999999" x14ac:dyDescent="0.25">
      <c r="A405" s="16"/>
      <c r="B405" s="17"/>
      <c r="C405" s="2"/>
      <c r="D405" s="2"/>
      <c r="E405" s="2"/>
      <c r="F405" s="2"/>
      <c r="G405" s="2"/>
      <c r="H405" s="2"/>
      <c r="I405" s="5"/>
    </row>
    <row r="406" spans="1:9" ht="17.399999999999999" x14ac:dyDescent="0.25">
      <c r="A406" s="16"/>
      <c r="B406" s="17"/>
      <c r="C406" s="2"/>
      <c r="D406" s="2"/>
      <c r="E406" s="2"/>
      <c r="F406" s="2"/>
      <c r="G406" s="2"/>
      <c r="H406" s="2"/>
      <c r="I406" s="5"/>
    </row>
    <row r="407" spans="1:9" ht="17.399999999999999" x14ac:dyDescent="0.25">
      <c r="A407" s="16"/>
      <c r="B407" s="17"/>
      <c r="C407" s="2"/>
      <c r="D407" s="2"/>
      <c r="E407" s="2"/>
      <c r="F407" s="2"/>
      <c r="G407" s="2"/>
      <c r="H407" s="2"/>
      <c r="I407" s="5"/>
    </row>
    <row r="408" spans="1:9" ht="17.399999999999999" x14ac:dyDescent="0.25">
      <c r="A408" s="16"/>
      <c r="B408" s="17"/>
      <c r="C408" s="2"/>
      <c r="D408" s="2"/>
      <c r="E408" s="2"/>
      <c r="F408" s="2"/>
      <c r="G408" s="2"/>
      <c r="H408" s="2"/>
      <c r="I408" s="5"/>
    </row>
    <row r="409" spans="1:9" ht="17.399999999999999" x14ac:dyDescent="0.25">
      <c r="A409" s="16"/>
      <c r="B409" s="17"/>
      <c r="C409" s="2"/>
      <c r="D409" s="2"/>
      <c r="E409" s="2"/>
      <c r="F409" s="2"/>
      <c r="G409" s="2"/>
      <c r="H409" s="2"/>
      <c r="I409" s="5"/>
    </row>
    <row r="410" spans="1:9" ht="17.399999999999999" x14ac:dyDescent="0.25">
      <c r="A410" s="16"/>
      <c r="B410" s="17"/>
      <c r="C410" s="2"/>
      <c r="D410" s="2"/>
      <c r="E410" s="2"/>
      <c r="F410" s="2"/>
      <c r="G410" s="2"/>
      <c r="H410" s="2"/>
      <c r="I410" s="5"/>
    </row>
    <row r="411" spans="1:9" ht="17.399999999999999" x14ac:dyDescent="0.25">
      <c r="A411" s="16"/>
      <c r="B411" s="17"/>
      <c r="C411" s="2"/>
      <c r="D411" s="2"/>
      <c r="E411" s="2"/>
      <c r="F411" s="2"/>
      <c r="G411" s="2"/>
      <c r="H411" s="2"/>
      <c r="I411" s="5"/>
    </row>
    <row r="412" spans="1:9" ht="17.399999999999999" x14ac:dyDescent="0.25">
      <c r="A412" s="16"/>
      <c r="B412" s="17"/>
      <c r="C412" s="2"/>
      <c r="D412" s="2"/>
      <c r="E412" s="2"/>
      <c r="F412" s="2"/>
      <c r="G412" s="2"/>
      <c r="H412" s="2"/>
      <c r="I412" s="5"/>
    </row>
    <row r="413" spans="1:9" ht="17.399999999999999" x14ac:dyDescent="0.25">
      <c r="A413" s="16"/>
      <c r="B413" s="17"/>
      <c r="C413" s="2"/>
      <c r="D413" s="2"/>
      <c r="E413" s="2"/>
      <c r="F413" s="2"/>
      <c r="G413" s="2"/>
      <c r="H413" s="2"/>
      <c r="I413" s="5"/>
    </row>
    <row r="414" spans="1:9" ht="17.399999999999999" x14ac:dyDescent="0.25">
      <c r="A414" s="16"/>
      <c r="B414" s="17"/>
      <c r="C414" s="2"/>
      <c r="D414" s="2"/>
      <c r="E414" s="2"/>
      <c r="F414" s="2"/>
      <c r="G414" s="2"/>
      <c r="H414" s="2"/>
      <c r="I414" s="5"/>
    </row>
    <row r="415" spans="1:9" ht="17.399999999999999" x14ac:dyDescent="0.25">
      <c r="A415" s="16"/>
      <c r="B415" s="17"/>
      <c r="C415" s="2"/>
      <c r="D415" s="2"/>
      <c r="E415" s="2"/>
      <c r="F415" s="2"/>
      <c r="G415" s="2"/>
      <c r="H415" s="2"/>
      <c r="I415" s="5"/>
    </row>
    <row r="416" spans="1:9" ht="17.399999999999999" x14ac:dyDescent="0.25">
      <c r="A416" s="16"/>
      <c r="B416" s="17"/>
      <c r="C416" s="2"/>
      <c r="D416" s="2"/>
      <c r="E416" s="2"/>
      <c r="F416" s="2"/>
      <c r="G416" s="2"/>
      <c r="H416" s="2"/>
      <c r="I416" s="5"/>
    </row>
    <row r="417" spans="1:9" ht="17.399999999999999" x14ac:dyDescent="0.25">
      <c r="A417" s="16"/>
      <c r="B417" s="17"/>
      <c r="C417" s="2"/>
      <c r="D417" s="2"/>
      <c r="E417" s="2"/>
      <c r="F417" s="2"/>
      <c r="G417" s="2"/>
      <c r="H417" s="2"/>
      <c r="I417" s="5"/>
    </row>
    <row r="418" spans="1:9" ht="17.399999999999999" x14ac:dyDescent="0.25">
      <c r="A418" s="16"/>
      <c r="B418" s="17"/>
      <c r="C418" s="2"/>
      <c r="D418" s="2"/>
      <c r="E418" s="2"/>
      <c r="F418" s="2"/>
      <c r="G418" s="2"/>
      <c r="H418" s="2"/>
      <c r="I418" s="5"/>
    </row>
    <row r="419" spans="1:9" ht="17.399999999999999" x14ac:dyDescent="0.25">
      <c r="A419" s="16"/>
      <c r="B419" s="17"/>
      <c r="C419" s="2"/>
      <c r="D419" s="2"/>
      <c r="E419" s="2"/>
      <c r="F419" s="2"/>
      <c r="G419" s="2"/>
      <c r="H419" s="2"/>
      <c r="I419" s="5"/>
    </row>
    <row r="420" spans="1:9" ht="17.399999999999999" x14ac:dyDescent="0.25">
      <c r="A420" s="16"/>
      <c r="B420" s="17"/>
      <c r="C420" s="2"/>
      <c r="D420" s="2"/>
      <c r="E420" s="2"/>
      <c r="F420" s="2"/>
      <c r="G420" s="2"/>
      <c r="H420" s="2"/>
      <c r="I420" s="5"/>
    </row>
    <row r="421" spans="1:9" ht="17.399999999999999" x14ac:dyDescent="0.25">
      <c r="A421" s="16"/>
      <c r="B421" s="17"/>
      <c r="C421" s="2"/>
      <c r="D421" s="2"/>
      <c r="E421" s="2"/>
      <c r="F421" s="2"/>
      <c r="G421" s="2"/>
      <c r="H421" s="2"/>
      <c r="I421" s="5"/>
    </row>
    <row r="422" spans="1:9" ht="17.399999999999999" x14ac:dyDescent="0.25">
      <c r="A422" s="16"/>
      <c r="B422" s="17"/>
      <c r="C422" s="2"/>
      <c r="D422" s="2"/>
      <c r="E422" s="2"/>
      <c r="F422" s="2"/>
      <c r="G422" s="2"/>
      <c r="H422" s="2"/>
      <c r="I422" s="5"/>
    </row>
    <row r="423" spans="1:9" ht="17.399999999999999" x14ac:dyDescent="0.25">
      <c r="A423" s="16"/>
      <c r="B423" s="17"/>
      <c r="C423" s="2"/>
      <c r="D423" s="2"/>
      <c r="E423" s="2"/>
      <c r="F423" s="2"/>
      <c r="G423" s="2"/>
      <c r="H423" s="2"/>
      <c r="I423" s="5"/>
    </row>
    <row r="424" spans="1:9" ht="17.399999999999999" x14ac:dyDescent="0.25">
      <c r="A424" s="16"/>
      <c r="B424" s="17"/>
      <c r="C424" s="2"/>
      <c r="D424" s="2"/>
      <c r="E424" s="2"/>
      <c r="F424" s="2"/>
      <c r="G424" s="2"/>
      <c r="H424" s="2"/>
      <c r="I424" s="5"/>
    </row>
    <row r="425" spans="1:9" ht="17.399999999999999" x14ac:dyDescent="0.25">
      <c r="A425" s="16"/>
      <c r="B425" s="17"/>
      <c r="C425" s="2"/>
      <c r="D425" s="2"/>
      <c r="E425" s="2"/>
      <c r="F425" s="2"/>
      <c r="G425" s="2"/>
      <c r="H425" s="2"/>
      <c r="I425" s="5"/>
    </row>
    <row r="426" spans="1:9" ht="17.399999999999999" x14ac:dyDescent="0.25">
      <c r="A426" s="16"/>
      <c r="B426" s="17"/>
      <c r="C426" s="2"/>
      <c r="D426" s="2"/>
      <c r="E426" s="2"/>
      <c r="F426" s="2"/>
      <c r="G426" s="2"/>
      <c r="H426" s="2"/>
      <c r="I426" s="5"/>
    </row>
    <row r="427" spans="1:9" ht="17.399999999999999" x14ac:dyDescent="0.25">
      <c r="A427" s="16"/>
      <c r="B427" s="17"/>
      <c r="C427" s="2"/>
      <c r="D427" s="2"/>
      <c r="E427" s="2"/>
      <c r="F427" s="2"/>
      <c r="G427" s="2"/>
      <c r="H427" s="2"/>
      <c r="I427" s="5"/>
    </row>
    <row r="428" spans="1:9" ht="17.399999999999999" x14ac:dyDescent="0.25">
      <c r="A428" s="16"/>
      <c r="B428" s="17"/>
      <c r="C428" s="2"/>
      <c r="D428" s="2"/>
      <c r="E428" s="2"/>
      <c r="F428" s="2"/>
      <c r="G428" s="2"/>
      <c r="H428" s="2"/>
      <c r="I428" s="5"/>
    </row>
    <row r="429" spans="1:9" ht="17.399999999999999" x14ac:dyDescent="0.25">
      <c r="A429" s="16"/>
      <c r="B429" s="17"/>
      <c r="C429" s="2"/>
      <c r="D429" s="2"/>
      <c r="E429" s="2"/>
      <c r="F429" s="2"/>
      <c r="G429" s="2"/>
      <c r="H429" s="2"/>
      <c r="I429" s="5"/>
    </row>
    <row r="430" spans="1:9" ht="17.399999999999999" x14ac:dyDescent="0.25">
      <c r="A430" s="16"/>
      <c r="B430" s="17"/>
      <c r="C430" s="2"/>
      <c r="D430" s="2"/>
      <c r="E430" s="2"/>
      <c r="F430" s="2"/>
      <c r="G430" s="2"/>
      <c r="H430" s="2"/>
      <c r="I430" s="5"/>
    </row>
    <row r="431" spans="1:9" ht="17.399999999999999" x14ac:dyDescent="0.25">
      <c r="A431" s="16"/>
      <c r="B431" s="17"/>
      <c r="C431" s="2"/>
      <c r="D431" s="2"/>
      <c r="E431" s="2"/>
      <c r="F431" s="2"/>
      <c r="G431" s="2"/>
      <c r="H431" s="2"/>
      <c r="I431" s="5"/>
    </row>
    <row r="432" spans="1:9" ht="17.399999999999999" x14ac:dyDescent="0.25">
      <c r="A432" s="16"/>
      <c r="B432" s="17"/>
      <c r="C432" s="2"/>
      <c r="D432" s="2"/>
      <c r="E432" s="2"/>
      <c r="F432" s="2"/>
      <c r="G432" s="2"/>
      <c r="H432" s="2"/>
      <c r="I432" s="5"/>
    </row>
    <row r="433" spans="1:9" ht="17.399999999999999" x14ac:dyDescent="0.25">
      <c r="A433" s="16"/>
      <c r="B433" s="17"/>
      <c r="C433" s="2"/>
      <c r="D433" s="2"/>
      <c r="E433" s="2"/>
      <c r="F433" s="2"/>
      <c r="G433" s="2"/>
      <c r="H433" s="2"/>
      <c r="I433" s="5"/>
    </row>
    <row r="434" spans="1:9" ht="17.399999999999999" x14ac:dyDescent="0.25">
      <c r="A434" s="16"/>
      <c r="B434" s="17"/>
      <c r="C434" s="2"/>
      <c r="D434" s="2"/>
      <c r="E434" s="2"/>
      <c r="F434" s="2"/>
      <c r="G434" s="2"/>
      <c r="H434" s="2"/>
      <c r="I434" s="5"/>
    </row>
    <row r="435" spans="1:9" ht="17.399999999999999" x14ac:dyDescent="0.25">
      <c r="A435" s="16"/>
      <c r="B435" s="17"/>
      <c r="C435" s="2"/>
      <c r="D435" s="2"/>
      <c r="E435" s="2"/>
      <c r="F435" s="2"/>
      <c r="G435" s="2"/>
      <c r="H435" s="2"/>
      <c r="I435" s="5"/>
    </row>
    <row r="436" spans="1:9" ht="17.399999999999999" x14ac:dyDescent="0.25">
      <c r="A436" s="16"/>
      <c r="B436" s="17"/>
      <c r="C436" s="2"/>
      <c r="D436" s="2"/>
      <c r="E436" s="2"/>
      <c r="F436" s="2"/>
      <c r="G436" s="2"/>
      <c r="H436" s="2"/>
      <c r="I436" s="5"/>
    </row>
    <row r="437" spans="1:9" ht="17.399999999999999" x14ac:dyDescent="0.25">
      <c r="A437" s="16"/>
      <c r="B437" s="17"/>
      <c r="C437" s="2"/>
      <c r="D437" s="2"/>
      <c r="E437" s="2"/>
      <c r="F437" s="2"/>
      <c r="G437" s="2"/>
      <c r="H437" s="2"/>
      <c r="I437" s="5"/>
    </row>
    <row r="438" spans="1:9" ht="17.399999999999999" x14ac:dyDescent="0.25">
      <c r="A438" s="16"/>
      <c r="B438" s="17"/>
      <c r="C438" s="2"/>
      <c r="D438" s="2"/>
      <c r="E438" s="2"/>
      <c r="F438" s="2"/>
      <c r="G438" s="2"/>
      <c r="H438" s="2"/>
      <c r="I438" s="5"/>
    </row>
    <row r="439" spans="1:9" ht="17.399999999999999" x14ac:dyDescent="0.25">
      <c r="A439" s="16"/>
      <c r="B439" s="17"/>
      <c r="C439" s="2"/>
      <c r="D439" s="2"/>
      <c r="E439" s="2"/>
      <c r="F439" s="2"/>
      <c r="G439" s="2"/>
      <c r="H439" s="2"/>
      <c r="I439" s="5"/>
    </row>
    <row r="440" spans="1:9" ht="17.399999999999999" x14ac:dyDescent="0.25">
      <c r="A440" s="16"/>
      <c r="B440" s="17"/>
      <c r="C440" s="2"/>
      <c r="D440" s="2"/>
      <c r="E440" s="2"/>
      <c r="F440" s="2"/>
      <c r="G440" s="2"/>
      <c r="H440" s="2"/>
      <c r="I440" s="5"/>
    </row>
    <row r="441" spans="1:9" ht="17.399999999999999" x14ac:dyDescent="0.25">
      <c r="A441" s="16"/>
      <c r="B441" s="17"/>
      <c r="C441" s="2"/>
      <c r="D441" s="2"/>
      <c r="E441" s="2"/>
      <c r="F441" s="2"/>
      <c r="G441" s="2"/>
      <c r="H441" s="2"/>
      <c r="I441" s="5"/>
    </row>
    <row r="442" spans="1:9" ht="17.399999999999999" x14ac:dyDescent="0.25">
      <c r="A442" s="16"/>
      <c r="B442" s="17"/>
      <c r="C442" s="2"/>
      <c r="D442" s="2"/>
      <c r="E442" s="2"/>
      <c r="F442" s="2"/>
      <c r="G442" s="2"/>
      <c r="H442" s="2"/>
      <c r="I442" s="5"/>
    </row>
    <row r="443" spans="1:9" ht="17.399999999999999" x14ac:dyDescent="0.25">
      <c r="A443" s="16"/>
      <c r="B443" s="17"/>
      <c r="C443" s="2"/>
      <c r="D443" s="2"/>
      <c r="E443" s="2"/>
      <c r="F443" s="2"/>
      <c r="G443" s="2"/>
      <c r="H443" s="2"/>
      <c r="I443" s="5"/>
    </row>
    <row r="444" spans="1:9" ht="17.399999999999999" x14ac:dyDescent="0.25">
      <c r="A444" s="16"/>
      <c r="B444" s="17"/>
      <c r="C444" s="2"/>
      <c r="D444" s="2"/>
      <c r="E444" s="2"/>
      <c r="F444" s="2"/>
      <c r="G444" s="2"/>
      <c r="H444" s="2"/>
      <c r="I444" s="5"/>
    </row>
    <row r="445" spans="1:9" ht="17.399999999999999" x14ac:dyDescent="0.25">
      <c r="A445" s="16"/>
      <c r="B445" s="17"/>
      <c r="C445" s="2"/>
      <c r="D445" s="2"/>
      <c r="E445" s="2"/>
      <c r="F445" s="2"/>
      <c r="G445" s="2"/>
      <c r="H445" s="2"/>
      <c r="I445" s="5"/>
    </row>
    <row r="446" spans="1:9" ht="17.399999999999999" x14ac:dyDescent="0.25">
      <c r="A446" s="16"/>
      <c r="B446" s="17"/>
      <c r="C446" s="2"/>
      <c r="D446" s="2"/>
      <c r="E446" s="2"/>
      <c r="F446" s="2"/>
      <c r="G446" s="2"/>
      <c r="H446" s="2"/>
      <c r="I446" s="5"/>
    </row>
    <row r="447" spans="1:9" ht="17.399999999999999" x14ac:dyDescent="0.25">
      <c r="A447" s="16"/>
      <c r="B447" s="17"/>
      <c r="C447" s="2"/>
      <c r="D447" s="2"/>
      <c r="E447" s="2"/>
      <c r="F447" s="2"/>
      <c r="G447" s="2"/>
      <c r="H447" s="2"/>
      <c r="I447" s="5"/>
    </row>
    <row r="448" spans="1:9" ht="17.399999999999999" x14ac:dyDescent="0.25">
      <c r="A448" s="16"/>
      <c r="B448" s="17"/>
      <c r="C448" s="2"/>
      <c r="D448" s="2"/>
      <c r="E448" s="2"/>
      <c r="F448" s="2"/>
      <c r="G448" s="2"/>
      <c r="H448" s="2"/>
      <c r="I448" s="5"/>
    </row>
    <row r="449" spans="1:9" ht="17.399999999999999" x14ac:dyDescent="0.25">
      <c r="A449" s="16"/>
      <c r="B449" s="17"/>
      <c r="C449" s="2"/>
      <c r="D449" s="2"/>
      <c r="E449" s="2"/>
      <c r="F449" s="2"/>
      <c r="G449" s="2"/>
      <c r="H449" s="2"/>
      <c r="I449" s="5"/>
    </row>
    <row r="450" spans="1:9" ht="17.399999999999999" x14ac:dyDescent="0.25">
      <c r="A450" s="16"/>
      <c r="B450" s="17"/>
      <c r="C450" s="2"/>
      <c r="D450" s="2"/>
      <c r="E450" s="2"/>
      <c r="F450" s="2"/>
      <c r="G450" s="2"/>
      <c r="H450" s="2"/>
      <c r="I450" s="5"/>
    </row>
    <row r="451" spans="1:9" ht="17.399999999999999" x14ac:dyDescent="0.25">
      <c r="A451" s="16"/>
      <c r="B451" s="17"/>
      <c r="C451" s="2"/>
      <c r="D451" s="2"/>
      <c r="E451" s="2"/>
      <c r="F451" s="2"/>
      <c r="G451" s="2"/>
      <c r="H451" s="2"/>
      <c r="I451" s="5"/>
    </row>
    <row r="452" spans="1:9" ht="17.399999999999999" x14ac:dyDescent="0.25">
      <c r="A452" s="16"/>
      <c r="B452" s="17"/>
      <c r="C452" s="2"/>
      <c r="D452" s="2"/>
      <c r="E452" s="2"/>
      <c r="F452" s="2"/>
      <c r="G452" s="2"/>
      <c r="H452" s="2"/>
      <c r="I452" s="5"/>
    </row>
    <row r="453" spans="1:9" ht="17.399999999999999" x14ac:dyDescent="0.25">
      <c r="A453" s="16"/>
      <c r="B453" s="17"/>
      <c r="C453" s="2"/>
      <c r="D453" s="2"/>
      <c r="E453" s="2"/>
      <c r="F453" s="2"/>
      <c r="G453" s="2"/>
      <c r="H453" s="2"/>
      <c r="I453" s="5"/>
    </row>
    <row r="454" spans="1:9" ht="17.399999999999999" x14ac:dyDescent="0.25">
      <c r="A454" s="16"/>
      <c r="B454" s="17"/>
      <c r="C454" s="2"/>
      <c r="D454" s="2"/>
      <c r="E454" s="2"/>
      <c r="F454" s="2"/>
      <c r="G454" s="2"/>
      <c r="H454" s="2"/>
      <c r="I454" s="5"/>
    </row>
    <row r="455" spans="1:9" ht="17.399999999999999" x14ac:dyDescent="0.25">
      <c r="A455" s="16"/>
      <c r="B455" s="17"/>
      <c r="C455" s="2"/>
      <c r="D455" s="2"/>
      <c r="E455" s="2"/>
      <c r="F455" s="2"/>
      <c r="G455" s="2"/>
      <c r="H455" s="2"/>
      <c r="I455" s="5"/>
    </row>
    <row r="456" spans="1:9" ht="17.399999999999999" x14ac:dyDescent="0.25">
      <c r="A456" s="16"/>
      <c r="B456" s="17"/>
      <c r="C456" s="2"/>
      <c r="D456" s="2"/>
      <c r="E456" s="2"/>
      <c r="F456" s="2"/>
      <c r="G456" s="2"/>
      <c r="H456" s="2"/>
      <c r="I456" s="5"/>
    </row>
    <row r="457" spans="1:9" ht="17.399999999999999" x14ac:dyDescent="0.25">
      <c r="A457" s="16"/>
      <c r="B457" s="17"/>
      <c r="C457" s="2"/>
      <c r="D457" s="2"/>
      <c r="E457" s="2"/>
      <c r="F457" s="2"/>
      <c r="G457" s="2"/>
      <c r="H457" s="2"/>
      <c r="I457" s="5"/>
    </row>
    <row r="458" spans="1:9" ht="17.399999999999999" x14ac:dyDescent="0.25">
      <c r="A458" s="16"/>
      <c r="B458" s="17"/>
      <c r="C458" s="2"/>
      <c r="D458" s="2"/>
      <c r="E458" s="2"/>
      <c r="F458" s="2"/>
      <c r="G458" s="2"/>
      <c r="H458" s="2"/>
      <c r="I458" s="5"/>
    </row>
    <row r="459" spans="1:9" ht="17.399999999999999" x14ac:dyDescent="0.25">
      <c r="A459" s="16"/>
      <c r="B459" s="17"/>
      <c r="C459" s="2"/>
      <c r="D459" s="2"/>
      <c r="E459" s="2"/>
      <c r="F459" s="2"/>
      <c r="G459" s="2"/>
      <c r="H459" s="2"/>
      <c r="I459" s="5"/>
    </row>
    <row r="460" spans="1:9" ht="17.399999999999999" x14ac:dyDescent="0.25">
      <c r="A460" s="16"/>
      <c r="B460" s="17"/>
      <c r="C460" s="2"/>
      <c r="D460" s="2"/>
      <c r="E460" s="2"/>
      <c r="F460" s="2"/>
      <c r="G460" s="2"/>
      <c r="H460" s="2"/>
      <c r="I460" s="5"/>
    </row>
    <row r="461" spans="1:9" ht="17.399999999999999" x14ac:dyDescent="0.25">
      <c r="A461" s="16"/>
      <c r="B461" s="17"/>
      <c r="C461" s="2"/>
      <c r="D461" s="2"/>
      <c r="E461" s="2"/>
      <c r="F461" s="2"/>
      <c r="G461" s="2"/>
      <c r="H461" s="2"/>
      <c r="I461" s="5"/>
    </row>
    <row r="462" spans="1:9" ht="17.399999999999999" x14ac:dyDescent="0.25">
      <c r="A462" s="16"/>
      <c r="B462" s="17"/>
      <c r="C462" s="2"/>
      <c r="D462" s="2"/>
      <c r="E462" s="2"/>
      <c r="F462" s="2"/>
      <c r="G462" s="2"/>
      <c r="H462" s="2"/>
      <c r="I462" s="5"/>
    </row>
    <row r="463" spans="1:9" ht="17.399999999999999" x14ac:dyDescent="0.25">
      <c r="A463" s="16"/>
      <c r="B463" s="17"/>
      <c r="C463" s="2"/>
      <c r="D463" s="2"/>
      <c r="E463" s="2"/>
      <c r="F463" s="2"/>
      <c r="G463" s="2"/>
      <c r="H463" s="2"/>
      <c r="I463" s="5"/>
    </row>
    <row r="464" spans="1:9" ht="17.399999999999999" x14ac:dyDescent="0.25">
      <c r="A464" s="16"/>
      <c r="B464" s="17"/>
      <c r="C464" s="2"/>
      <c r="D464" s="2"/>
      <c r="E464" s="2"/>
      <c r="F464" s="2"/>
      <c r="G464" s="2"/>
      <c r="H464" s="2"/>
      <c r="I464" s="5"/>
    </row>
    <row r="465" spans="1:9" ht="17.399999999999999" x14ac:dyDescent="0.25">
      <c r="A465" s="16"/>
      <c r="B465" s="17"/>
      <c r="C465" s="2"/>
      <c r="D465" s="2"/>
      <c r="E465" s="2"/>
      <c r="F465" s="2"/>
      <c r="G465" s="2"/>
      <c r="H465" s="2"/>
      <c r="I465" s="5"/>
    </row>
    <row r="466" spans="1:9" ht="17.399999999999999" x14ac:dyDescent="0.25">
      <c r="A466" s="16"/>
      <c r="B466" s="17"/>
      <c r="C466" s="2"/>
      <c r="D466" s="2"/>
      <c r="E466" s="2"/>
      <c r="F466" s="2"/>
      <c r="G466" s="2"/>
      <c r="H466" s="2"/>
      <c r="I466" s="5"/>
    </row>
    <row r="467" spans="1:9" ht="17.399999999999999" x14ac:dyDescent="0.25">
      <c r="A467" s="16"/>
      <c r="B467" s="17"/>
      <c r="C467" s="2"/>
      <c r="D467" s="2"/>
      <c r="E467" s="2"/>
      <c r="F467" s="2"/>
      <c r="G467" s="2"/>
      <c r="H467" s="2"/>
      <c r="I467" s="5"/>
    </row>
    <row r="468" spans="1:9" ht="17.399999999999999" x14ac:dyDescent="0.25">
      <c r="A468" s="16"/>
      <c r="B468" s="17"/>
      <c r="C468" s="2"/>
      <c r="D468" s="2"/>
      <c r="E468" s="2"/>
      <c r="F468" s="2"/>
      <c r="G468" s="2"/>
      <c r="H468" s="2"/>
      <c r="I468" s="5"/>
    </row>
    <row r="469" spans="1:9" ht="17.399999999999999" x14ac:dyDescent="0.25">
      <c r="A469" s="16"/>
      <c r="B469" s="17"/>
      <c r="C469" s="2"/>
      <c r="D469" s="2"/>
      <c r="E469" s="2"/>
      <c r="F469" s="2"/>
      <c r="G469" s="2"/>
      <c r="H469" s="2"/>
      <c r="I469" s="5"/>
    </row>
    <row r="470" spans="1:9" ht="17.399999999999999" x14ac:dyDescent="0.25">
      <c r="A470" s="16"/>
      <c r="B470" s="17"/>
      <c r="C470" s="2"/>
      <c r="D470" s="2"/>
      <c r="E470" s="2"/>
      <c r="F470" s="2"/>
      <c r="G470" s="2"/>
      <c r="H470" s="2"/>
      <c r="I470" s="5"/>
    </row>
    <row r="471" spans="1:9" ht="17.399999999999999" x14ac:dyDescent="0.25">
      <c r="A471" s="16"/>
      <c r="B471" s="17"/>
      <c r="C471" s="2"/>
      <c r="D471" s="2"/>
      <c r="E471" s="2"/>
      <c r="F471" s="2"/>
      <c r="G471" s="2"/>
      <c r="H471" s="2"/>
      <c r="I471" s="5"/>
    </row>
    <row r="472" spans="1:9" ht="17.399999999999999" x14ac:dyDescent="0.25">
      <c r="A472" s="16"/>
      <c r="B472" s="17"/>
      <c r="C472" s="2"/>
      <c r="D472" s="2"/>
      <c r="E472" s="2"/>
      <c r="F472" s="2"/>
      <c r="G472" s="2"/>
      <c r="H472" s="2"/>
      <c r="I472" s="5"/>
    </row>
    <row r="473" spans="1:9" ht="17.399999999999999" x14ac:dyDescent="0.25">
      <c r="A473" s="16"/>
      <c r="B473" s="17"/>
      <c r="C473" s="2"/>
      <c r="D473" s="2"/>
      <c r="E473" s="2"/>
      <c r="F473" s="2"/>
      <c r="G473" s="2"/>
      <c r="H473" s="2"/>
      <c r="I473" s="5"/>
    </row>
    <row r="474" spans="1:9" ht="17.399999999999999" x14ac:dyDescent="0.25">
      <c r="A474" s="16"/>
      <c r="B474" s="17"/>
      <c r="C474" s="2"/>
      <c r="D474" s="2"/>
      <c r="E474" s="2"/>
      <c r="F474" s="2"/>
      <c r="G474" s="2"/>
      <c r="H474" s="2"/>
      <c r="I474" s="5"/>
    </row>
    <row r="475" spans="1:9" ht="17.399999999999999" x14ac:dyDescent="0.25">
      <c r="A475" s="16"/>
      <c r="B475" s="17"/>
      <c r="C475" s="2"/>
      <c r="D475" s="2"/>
      <c r="E475" s="2"/>
      <c r="F475" s="2"/>
      <c r="G475" s="2"/>
      <c r="H475" s="2"/>
      <c r="I475" s="5"/>
    </row>
    <row r="476" spans="1:9" ht="17.399999999999999" x14ac:dyDescent="0.25">
      <c r="A476" s="16"/>
      <c r="B476" s="17"/>
      <c r="C476" s="2"/>
      <c r="D476" s="2"/>
      <c r="E476" s="2"/>
      <c r="F476" s="2"/>
      <c r="G476" s="2"/>
      <c r="H476" s="2"/>
      <c r="I476" s="5"/>
    </row>
    <row r="477" spans="1:9" ht="17.399999999999999" x14ac:dyDescent="0.25">
      <c r="A477" s="16"/>
      <c r="B477" s="17"/>
      <c r="C477" s="2"/>
      <c r="D477" s="2"/>
      <c r="E477" s="2"/>
      <c r="F477" s="2"/>
      <c r="G477" s="2"/>
      <c r="H477" s="2"/>
      <c r="I477" s="5"/>
    </row>
    <row r="478" spans="1:9" ht="17.399999999999999" x14ac:dyDescent="0.25">
      <c r="A478" s="16"/>
      <c r="B478" s="17"/>
      <c r="C478" s="2"/>
      <c r="D478" s="2"/>
      <c r="E478" s="2"/>
      <c r="F478" s="2"/>
      <c r="G478" s="2"/>
      <c r="H478" s="2"/>
      <c r="I478" s="5"/>
    </row>
    <row r="479" spans="1:9" ht="17.399999999999999" x14ac:dyDescent="0.25">
      <c r="A479" s="16"/>
      <c r="B479" s="17"/>
      <c r="C479" s="2"/>
      <c r="D479" s="2"/>
      <c r="E479" s="2"/>
      <c r="F479" s="2"/>
      <c r="G479" s="2"/>
      <c r="H479" s="2"/>
      <c r="I479" s="5"/>
    </row>
    <row r="480" spans="1:9" ht="17.399999999999999" x14ac:dyDescent="0.25">
      <c r="A480" s="16"/>
      <c r="B480" s="17"/>
      <c r="C480" s="2"/>
      <c r="D480" s="2"/>
      <c r="E480" s="2"/>
      <c r="F480" s="2"/>
      <c r="G480" s="2"/>
      <c r="H480" s="2"/>
      <c r="I480" s="5"/>
    </row>
    <row r="481" spans="1:9" ht="17.399999999999999" x14ac:dyDescent="0.25">
      <c r="A481" s="16"/>
      <c r="B481" s="17"/>
      <c r="C481" s="2"/>
      <c r="D481" s="2"/>
      <c r="E481" s="2"/>
      <c r="F481" s="2"/>
      <c r="G481" s="2"/>
      <c r="H481" s="2"/>
      <c r="I481" s="5"/>
    </row>
    <row r="482" spans="1:9" ht="17.399999999999999" x14ac:dyDescent="0.25">
      <c r="A482" s="16"/>
      <c r="B482" s="17"/>
      <c r="C482" s="2"/>
      <c r="D482" s="2"/>
      <c r="E482" s="2"/>
      <c r="F482" s="2"/>
      <c r="G482" s="2"/>
      <c r="H482" s="2"/>
      <c r="I482" s="5"/>
    </row>
    <row r="483" spans="1:9" ht="17.399999999999999" x14ac:dyDescent="0.25">
      <c r="A483" s="16"/>
      <c r="B483" s="17"/>
      <c r="C483" s="2"/>
      <c r="D483" s="2"/>
      <c r="E483" s="2"/>
      <c r="F483" s="2"/>
      <c r="G483" s="2"/>
      <c r="H483" s="2"/>
      <c r="I483" s="5"/>
    </row>
    <row r="484" spans="1:9" ht="17.399999999999999" x14ac:dyDescent="0.25">
      <c r="A484" s="16"/>
      <c r="B484" s="17"/>
      <c r="C484" s="2"/>
      <c r="D484" s="2"/>
      <c r="E484" s="2"/>
      <c r="F484" s="2"/>
      <c r="G484" s="2"/>
      <c r="H484" s="2"/>
      <c r="I484" s="5"/>
    </row>
    <row r="485" spans="1:9" ht="17.399999999999999" x14ac:dyDescent="0.25">
      <c r="A485" s="16"/>
      <c r="B485" s="17"/>
      <c r="C485" s="2"/>
      <c r="D485" s="2"/>
      <c r="E485" s="2"/>
      <c r="F485" s="2"/>
      <c r="G485" s="2"/>
      <c r="H485" s="2"/>
      <c r="I485" s="5"/>
    </row>
    <row r="486" spans="1:9" ht="17.399999999999999" x14ac:dyDescent="0.25">
      <c r="A486" s="16"/>
      <c r="B486" s="17"/>
      <c r="C486" s="2"/>
      <c r="D486" s="2"/>
      <c r="E486" s="2"/>
      <c r="F486" s="2"/>
      <c r="G486" s="2"/>
      <c r="H486" s="2"/>
      <c r="I486" s="5"/>
    </row>
    <row r="487" spans="1:9" ht="17.399999999999999" x14ac:dyDescent="0.25">
      <c r="A487" s="16"/>
      <c r="B487" s="17"/>
      <c r="C487" s="2"/>
      <c r="D487" s="2"/>
      <c r="E487" s="2"/>
      <c r="F487" s="2"/>
      <c r="G487" s="2"/>
      <c r="H487" s="2"/>
      <c r="I487" s="5"/>
    </row>
    <row r="488" spans="1:9" ht="17.399999999999999" x14ac:dyDescent="0.25">
      <c r="A488" s="16"/>
      <c r="B488" s="17"/>
      <c r="C488" s="2"/>
      <c r="D488" s="2"/>
      <c r="E488" s="2"/>
      <c r="F488" s="2"/>
      <c r="G488" s="2"/>
      <c r="H488" s="2"/>
      <c r="I488" s="5"/>
    </row>
    <row r="489" spans="1:9" ht="17.399999999999999" x14ac:dyDescent="0.25">
      <c r="A489" s="16"/>
      <c r="B489" s="17"/>
      <c r="C489" s="2"/>
      <c r="D489" s="2"/>
      <c r="E489" s="2"/>
      <c r="F489" s="2"/>
      <c r="G489" s="2"/>
      <c r="H489" s="2"/>
      <c r="I489" s="5"/>
    </row>
    <row r="490" spans="1:9" ht="17.399999999999999" x14ac:dyDescent="0.25">
      <c r="A490" s="16"/>
      <c r="B490" s="17"/>
      <c r="C490" s="2"/>
      <c r="D490" s="2"/>
      <c r="E490" s="2"/>
      <c r="F490" s="2"/>
      <c r="G490" s="2"/>
      <c r="H490" s="2"/>
      <c r="I490" s="5"/>
    </row>
    <row r="491" spans="1:9" ht="17.399999999999999" x14ac:dyDescent="0.25">
      <c r="A491" s="16"/>
      <c r="B491" s="17"/>
      <c r="C491" s="2"/>
      <c r="D491" s="2"/>
      <c r="E491" s="2"/>
      <c r="F491" s="2"/>
      <c r="G491" s="2"/>
      <c r="H491" s="2"/>
      <c r="I491" s="5"/>
    </row>
    <row r="492" spans="1:9" ht="17.399999999999999" x14ac:dyDescent="0.25">
      <c r="A492" s="16"/>
      <c r="B492" s="17"/>
      <c r="C492" s="2"/>
      <c r="D492" s="2"/>
      <c r="E492" s="2"/>
      <c r="F492" s="2"/>
      <c r="G492" s="2"/>
      <c r="H492" s="2"/>
      <c r="I492" s="5"/>
    </row>
    <row r="493" spans="1:9" ht="17.399999999999999" x14ac:dyDescent="0.25">
      <c r="A493" s="16"/>
      <c r="B493" s="17"/>
      <c r="C493" s="2"/>
      <c r="D493" s="2"/>
      <c r="E493" s="2"/>
      <c r="F493" s="2"/>
      <c r="G493" s="2"/>
      <c r="H493" s="2"/>
      <c r="I493" s="5"/>
    </row>
    <row r="494" spans="1:9" ht="17.399999999999999" x14ac:dyDescent="0.25">
      <c r="A494" s="16"/>
      <c r="B494" s="17"/>
      <c r="C494" s="2"/>
      <c r="D494" s="2"/>
      <c r="E494" s="2"/>
      <c r="F494" s="2"/>
      <c r="G494" s="2"/>
      <c r="H494" s="2"/>
      <c r="I494" s="5"/>
    </row>
    <row r="495" spans="1:9" ht="17.399999999999999" x14ac:dyDescent="0.25">
      <c r="A495" s="16"/>
      <c r="B495" s="17"/>
      <c r="C495" s="2"/>
      <c r="D495" s="2"/>
      <c r="E495" s="2"/>
      <c r="F495" s="2"/>
      <c r="G495" s="2"/>
      <c r="H495" s="2"/>
      <c r="I495" s="5"/>
    </row>
    <row r="496" spans="1:9" ht="17.399999999999999" x14ac:dyDescent="0.25">
      <c r="A496" s="16"/>
      <c r="B496" s="17"/>
      <c r="C496" s="2"/>
      <c r="D496" s="2"/>
      <c r="E496" s="2"/>
      <c r="F496" s="2"/>
      <c r="G496" s="2"/>
      <c r="H496" s="2"/>
      <c r="I496" s="5"/>
    </row>
    <row r="497" spans="1:9" ht="17.399999999999999" x14ac:dyDescent="0.25">
      <c r="A497" s="16"/>
      <c r="B497" s="17"/>
      <c r="C497" s="2"/>
      <c r="D497" s="2"/>
      <c r="E497" s="2"/>
      <c r="F497" s="2"/>
      <c r="G497" s="2"/>
      <c r="H497" s="2"/>
      <c r="I497" s="5"/>
    </row>
    <row r="498" spans="1:9" ht="17.399999999999999" x14ac:dyDescent="0.25">
      <c r="A498" s="16"/>
      <c r="B498" s="17"/>
      <c r="C498" s="2"/>
      <c r="D498" s="2"/>
      <c r="E498" s="2"/>
      <c r="F498" s="2"/>
      <c r="G498" s="2"/>
      <c r="H498" s="2"/>
      <c r="I498" s="5"/>
    </row>
    <row r="499" spans="1:9" ht="17.399999999999999" x14ac:dyDescent="0.25">
      <c r="A499" s="16"/>
      <c r="B499" s="17"/>
      <c r="C499" s="2"/>
      <c r="D499" s="2"/>
      <c r="E499" s="2"/>
      <c r="F499" s="2"/>
      <c r="G499" s="2"/>
      <c r="H499" s="2"/>
      <c r="I499" s="5"/>
    </row>
    <row r="500" spans="1:9" ht="17.399999999999999" x14ac:dyDescent="0.25">
      <c r="A500" s="16"/>
      <c r="B500" s="17"/>
      <c r="C500" s="2"/>
      <c r="D500" s="2"/>
      <c r="E500" s="2"/>
      <c r="F500" s="2"/>
      <c r="G500" s="2"/>
      <c r="H500" s="2"/>
      <c r="I500" s="5"/>
    </row>
    <row r="501" spans="1:9" ht="17.399999999999999" x14ac:dyDescent="0.25">
      <c r="A501" s="16"/>
      <c r="B501" s="17"/>
      <c r="C501" s="2"/>
      <c r="D501" s="2"/>
      <c r="E501" s="2"/>
      <c r="F501" s="2"/>
      <c r="G501" s="2"/>
      <c r="H501" s="2"/>
      <c r="I501" s="5"/>
    </row>
    <row r="502" spans="1:9" ht="17.399999999999999" x14ac:dyDescent="0.25">
      <c r="A502" s="16"/>
      <c r="B502" s="17"/>
      <c r="C502" s="2"/>
      <c r="D502" s="2"/>
      <c r="E502" s="2"/>
      <c r="F502" s="2"/>
      <c r="G502" s="2"/>
      <c r="H502" s="2"/>
      <c r="I502" s="5"/>
    </row>
    <row r="503" spans="1:9" ht="17.399999999999999" x14ac:dyDescent="0.25">
      <c r="A503" s="16"/>
      <c r="B503" s="17"/>
      <c r="C503" s="2"/>
      <c r="D503" s="2"/>
      <c r="E503" s="2"/>
      <c r="F503" s="2"/>
      <c r="G503" s="2"/>
      <c r="H503" s="2"/>
      <c r="I503" s="5"/>
    </row>
    <row r="504" spans="1:9" ht="17.399999999999999" x14ac:dyDescent="0.25">
      <c r="A504" s="16"/>
      <c r="B504" s="17"/>
      <c r="C504" s="2"/>
      <c r="D504" s="2"/>
      <c r="E504" s="2"/>
      <c r="F504" s="2"/>
      <c r="G504" s="2"/>
      <c r="H504" s="2"/>
      <c r="I504" s="5"/>
    </row>
    <row r="505" spans="1:9" ht="17.399999999999999" x14ac:dyDescent="0.25">
      <c r="A505" s="16"/>
      <c r="B505" s="17"/>
      <c r="C505" s="2"/>
      <c r="D505" s="2"/>
      <c r="E505" s="2"/>
      <c r="F505" s="2"/>
      <c r="G505" s="2"/>
      <c r="H505" s="2"/>
      <c r="I505" s="5"/>
    </row>
    <row r="506" spans="1:9" ht="17.399999999999999" x14ac:dyDescent="0.25">
      <c r="A506" s="16"/>
      <c r="B506" s="17"/>
      <c r="C506" s="2"/>
      <c r="D506" s="2"/>
      <c r="E506" s="2"/>
      <c r="F506" s="2"/>
      <c r="G506" s="2"/>
      <c r="H506" s="2"/>
      <c r="I506" s="5"/>
    </row>
    <row r="507" spans="1:9" ht="17.399999999999999" x14ac:dyDescent="0.25">
      <c r="A507" s="16"/>
      <c r="B507" s="17"/>
      <c r="C507" s="2"/>
      <c r="D507" s="2"/>
      <c r="E507" s="2"/>
      <c r="F507" s="2"/>
      <c r="G507" s="2"/>
      <c r="H507" s="2"/>
      <c r="I507" s="5"/>
    </row>
    <row r="508" spans="1:9" ht="17.399999999999999" x14ac:dyDescent="0.25">
      <c r="A508" s="16"/>
      <c r="B508" s="17"/>
      <c r="C508" s="2"/>
      <c r="D508" s="2"/>
      <c r="E508" s="2"/>
      <c r="F508" s="2"/>
      <c r="G508" s="2"/>
      <c r="H508" s="2"/>
      <c r="I508" s="5"/>
    </row>
    <row r="509" spans="1:9" ht="17.399999999999999" x14ac:dyDescent="0.25">
      <c r="A509" s="16"/>
      <c r="B509" s="17"/>
      <c r="C509" s="2"/>
      <c r="D509" s="2"/>
      <c r="E509" s="2"/>
      <c r="F509" s="2"/>
      <c r="G509" s="2"/>
      <c r="H509" s="2"/>
      <c r="I509" s="5"/>
    </row>
    <row r="510" spans="1:9" ht="17.399999999999999" x14ac:dyDescent="0.25">
      <c r="A510" s="16"/>
      <c r="B510" s="17"/>
      <c r="C510" s="2"/>
      <c r="D510" s="2"/>
      <c r="E510" s="2"/>
      <c r="F510" s="2"/>
      <c r="G510" s="2"/>
      <c r="H510" s="2"/>
      <c r="I510" s="5"/>
    </row>
    <row r="511" spans="1:9" ht="17.399999999999999" x14ac:dyDescent="0.25">
      <c r="A511" s="16"/>
      <c r="B511" s="17"/>
      <c r="C511" s="2"/>
      <c r="D511" s="2"/>
      <c r="E511" s="2"/>
      <c r="F511" s="2"/>
      <c r="G511" s="2"/>
      <c r="H511" s="2"/>
      <c r="I511" s="5"/>
    </row>
    <row r="512" spans="1:9" ht="17.399999999999999" x14ac:dyDescent="0.25">
      <c r="A512" s="16"/>
      <c r="B512" s="17"/>
      <c r="C512" s="2"/>
      <c r="D512" s="2"/>
      <c r="E512" s="2"/>
      <c r="F512" s="2"/>
      <c r="G512" s="2"/>
      <c r="H512" s="2"/>
      <c r="I512" s="5"/>
    </row>
    <row r="513" spans="1:9" ht="17.399999999999999" x14ac:dyDescent="0.25">
      <c r="A513" s="16"/>
      <c r="B513" s="17"/>
      <c r="C513" s="2"/>
      <c r="D513" s="2"/>
      <c r="E513" s="2"/>
      <c r="F513" s="2"/>
      <c r="G513" s="2"/>
      <c r="H513" s="2"/>
      <c r="I513" s="5"/>
    </row>
    <row r="514" spans="1:9" ht="17.399999999999999" x14ac:dyDescent="0.25">
      <c r="A514" s="16"/>
      <c r="B514" s="17"/>
      <c r="C514" s="2"/>
      <c r="D514" s="2"/>
      <c r="E514" s="2"/>
      <c r="F514" s="2"/>
      <c r="G514" s="2"/>
      <c r="H514" s="2"/>
      <c r="I514" s="5"/>
    </row>
    <row r="515" spans="1:9" ht="17.399999999999999" x14ac:dyDescent="0.25">
      <c r="A515" s="16"/>
      <c r="B515" s="17"/>
      <c r="C515" s="2"/>
      <c r="D515" s="2"/>
      <c r="E515" s="2"/>
      <c r="F515" s="2"/>
      <c r="G515" s="2"/>
      <c r="H515" s="2"/>
      <c r="I515" s="5"/>
    </row>
    <row r="516" spans="1:9" ht="17.399999999999999" x14ac:dyDescent="0.25">
      <c r="A516" s="16"/>
      <c r="B516" s="17"/>
      <c r="C516" s="2"/>
      <c r="D516" s="2"/>
      <c r="E516" s="2"/>
      <c r="F516" s="2"/>
      <c r="G516" s="2"/>
      <c r="H516" s="2"/>
      <c r="I516" s="5"/>
    </row>
    <row r="517" spans="1:9" ht="17.399999999999999" x14ac:dyDescent="0.25">
      <c r="A517" s="16"/>
      <c r="B517" s="17"/>
      <c r="C517" s="2"/>
      <c r="D517" s="2"/>
      <c r="E517" s="2"/>
      <c r="F517" s="2"/>
      <c r="G517" s="2"/>
      <c r="H517" s="2"/>
      <c r="I517" s="5"/>
    </row>
    <row r="518" spans="1:9" ht="17.399999999999999" x14ac:dyDescent="0.25">
      <c r="A518" s="16"/>
      <c r="B518" s="17"/>
      <c r="C518" s="2"/>
      <c r="D518" s="2"/>
      <c r="E518" s="2"/>
      <c r="F518" s="2"/>
      <c r="G518" s="2"/>
      <c r="H518" s="2"/>
      <c r="I518" s="5"/>
    </row>
    <row r="519" spans="1:9" ht="17.399999999999999" x14ac:dyDescent="0.25">
      <c r="A519" s="16"/>
      <c r="B519" s="17"/>
      <c r="C519" s="2"/>
      <c r="D519" s="2"/>
      <c r="E519" s="2"/>
      <c r="F519" s="2"/>
      <c r="G519" s="2"/>
      <c r="H519" s="2"/>
      <c r="I519" s="5"/>
    </row>
    <row r="520" spans="1:9" ht="17.399999999999999" x14ac:dyDescent="0.25">
      <c r="A520" s="16"/>
      <c r="B520" s="17"/>
      <c r="C520" s="2"/>
      <c r="D520" s="2"/>
      <c r="E520" s="2"/>
      <c r="F520" s="2"/>
      <c r="G520" s="2"/>
      <c r="H520" s="2"/>
      <c r="I520" s="5"/>
    </row>
    <row r="521" spans="1:9" ht="17.399999999999999" x14ac:dyDescent="0.25">
      <c r="A521" s="16"/>
      <c r="B521" s="17"/>
      <c r="C521" s="2"/>
      <c r="D521" s="2"/>
      <c r="E521" s="2"/>
      <c r="F521" s="2"/>
      <c r="G521" s="2"/>
      <c r="H521" s="2"/>
      <c r="I521" s="5"/>
    </row>
    <row r="522" spans="1:9" ht="17.399999999999999" x14ac:dyDescent="0.25">
      <c r="A522" s="16"/>
      <c r="B522" s="17"/>
      <c r="C522" s="2"/>
      <c r="D522" s="2"/>
      <c r="E522" s="2"/>
      <c r="F522" s="2"/>
      <c r="G522" s="2"/>
      <c r="H522" s="2"/>
      <c r="I522" s="5"/>
    </row>
    <row r="523" spans="1:9" ht="17.399999999999999" x14ac:dyDescent="0.25">
      <c r="A523" s="16"/>
      <c r="B523" s="17"/>
      <c r="C523" s="2"/>
      <c r="D523" s="2"/>
      <c r="E523" s="2"/>
      <c r="F523" s="2"/>
      <c r="G523" s="2"/>
      <c r="H523" s="2"/>
      <c r="I523" s="5"/>
    </row>
    <row r="524" spans="1:9" ht="17.399999999999999" x14ac:dyDescent="0.25">
      <c r="A524" s="16"/>
      <c r="B524" s="17"/>
      <c r="C524" s="2"/>
      <c r="D524" s="2"/>
      <c r="E524" s="2"/>
      <c r="F524" s="2"/>
      <c r="G524" s="2"/>
      <c r="H524" s="2"/>
      <c r="I524" s="5"/>
    </row>
    <row r="525" spans="1:9" ht="17.399999999999999" x14ac:dyDescent="0.25">
      <c r="A525" s="16"/>
      <c r="B525" s="17"/>
      <c r="C525" s="2"/>
      <c r="D525" s="2"/>
      <c r="E525" s="2"/>
      <c r="F525" s="2"/>
      <c r="G525" s="2"/>
      <c r="H525" s="2"/>
      <c r="I525" s="5"/>
    </row>
    <row r="526" spans="1:9" ht="17.399999999999999" x14ac:dyDescent="0.25">
      <c r="A526" s="16"/>
      <c r="B526" s="17"/>
      <c r="C526" s="2"/>
      <c r="D526" s="2"/>
      <c r="E526" s="2"/>
      <c r="F526" s="2"/>
      <c r="G526" s="2"/>
      <c r="H526" s="2"/>
      <c r="I526" s="5"/>
    </row>
    <row r="527" spans="1:9" ht="17.399999999999999" x14ac:dyDescent="0.25">
      <c r="A527" s="16"/>
      <c r="B527" s="17"/>
      <c r="C527" s="2"/>
      <c r="D527" s="2"/>
      <c r="E527" s="2"/>
      <c r="F527" s="2"/>
      <c r="G527" s="2"/>
      <c r="H527" s="2"/>
      <c r="I527" s="5"/>
    </row>
    <row r="528" spans="1:9" ht="17.399999999999999" x14ac:dyDescent="0.25">
      <c r="A528" s="16"/>
      <c r="B528" s="17"/>
      <c r="C528" s="2"/>
      <c r="D528" s="2"/>
      <c r="E528" s="2"/>
      <c r="F528" s="2"/>
      <c r="G528" s="2"/>
      <c r="H528" s="2"/>
      <c r="I528" s="5"/>
    </row>
    <row r="529" spans="1:9" ht="17.399999999999999" x14ac:dyDescent="0.25">
      <c r="A529" s="16"/>
      <c r="B529" s="17"/>
      <c r="C529" s="2"/>
      <c r="D529" s="2"/>
      <c r="E529" s="2"/>
      <c r="F529" s="2"/>
      <c r="G529" s="2"/>
      <c r="H529" s="2"/>
      <c r="I529" s="5"/>
    </row>
    <row r="530" spans="1:9" ht="17.399999999999999" x14ac:dyDescent="0.25">
      <c r="A530" s="16"/>
      <c r="B530" s="17"/>
      <c r="C530" s="2"/>
      <c r="D530" s="2"/>
      <c r="E530" s="2"/>
      <c r="F530" s="2"/>
      <c r="G530" s="2"/>
      <c r="H530" s="2"/>
      <c r="I530" s="5"/>
    </row>
    <row r="531" spans="1:9" ht="17.399999999999999" x14ac:dyDescent="0.25">
      <c r="A531" s="16"/>
      <c r="B531" s="17"/>
      <c r="C531" s="2"/>
      <c r="D531" s="2"/>
      <c r="E531" s="2"/>
      <c r="F531" s="2"/>
      <c r="G531" s="2"/>
      <c r="H531" s="2"/>
      <c r="I531" s="5"/>
    </row>
    <row r="532" spans="1:9" ht="17.399999999999999" x14ac:dyDescent="0.25">
      <c r="A532" s="16"/>
      <c r="B532" s="17"/>
      <c r="C532" s="2"/>
      <c r="D532" s="2"/>
      <c r="E532" s="2"/>
      <c r="F532" s="2"/>
      <c r="G532" s="2"/>
      <c r="H532" s="2"/>
      <c r="I532" s="5"/>
    </row>
    <row r="533" spans="1:9" ht="17.399999999999999" x14ac:dyDescent="0.25">
      <c r="A533" s="16"/>
      <c r="B533" s="17"/>
      <c r="C533" s="2"/>
      <c r="D533" s="2"/>
      <c r="E533" s="2"/>
      <c r="F533" s="2"/>
      <c r="G533" s="2"/>
      <c r="H533" s="2"/>
      <c r="I533" s="5"/>
    </row>
    <row r="534" spans="1:9" ht="17.399999999999999" x14ac:dyDescent="0.25">
      <c r="A534" s="16"/>
      <c r="B534" s="17"/>
      <c r="C534" s="2"/>
      <c r="D534" s="2"/>
      <c r="E534" s="2"/>
      <c r="F534" s="2"/>
      <c r="G534" s="2"/>
      <c r="H534" s="2"/>
      <c r="I534" s="5"/>
    </row>
    <row r="535" spans="1:9" ht="17.399999999999999" x14ac:dyDescent="0.25">
      <c r="A535" s="16"/>
      <c r="B535" s="17"/>
      <c r="C535" s="2"/>
      <c r="D535" s="2"/>
      <c r="E535" s="2"/>
      <c r="F535" s="2"/>
      <c r="G535" s="2"/>
      <c r="H535" s="2"/>
      <c r="I535" s="5"/>
    </row>
    <row r="536" spans="1:9" ht="17.399999999999999" x14ac:dyDescent="0.25">
      <c r="A536" s="16"/>
      <c r="B536" s="17"/>
      <c r="C536" s="2"/>
      <c r="D536" s="2"/>
      <c r="E536" s="2"/>
      <c r="F536" s="2"/>
      <c r="G536" s="2"/>
      <c r="H536" s="2"/>
      <c r="I536" s="5"/>
    </row>
    <row r="537" spans="1:9" ht="17.399999999999999" x14ac:dyDescent="0.25">
      <c r="A537" s="16"/>
      <c r="B537" s="17"/>
      <c r="C537" s="2"/>
      <c r="D537" s="2"/>
      <c r="E537" s="2"/>
      <c r="F537" s="2"/>
      <c r="G537" s="2"/>
      <c r="H537" s="2"/>
      <c r="I537" s="5"/>
    </row>
    <row r="538" spans="1:9" ht="17.399999999999999" x14ac:dyDescent="0.25">
      <c r="A538" s="16"/>
      <c r="B538" s="17"/>
      <c r="C538" s="2"/>
      <c r="D538" s="2"/>
      <c r="E538" s="2"/>
      <c r="F538" s="2"/>
      <c r="G538" s="2"/>
      <c r="H538" s="2"/>
      <c r="I538" s="5"/>
    </row>
    <row r="539" spans="1:9" ht="17.399999999999999" x14ac:dyDescent="0.25">
      <c r="A539" s="16"/>
      <c r="B539" s="17"/>
      <c r="C539" s="2"/>
      <c r="D539" s="2"/>
      <c r="E539" s="2"/>
      <c r="F539" s="2"/>
      <c r="G539" s="2"/>
      <c r="H539" s="2"/>
      <c r="I539" s="5"/>
    </row>
    <row r="540" spans="1:9" ht="17.399999999999999" x14ac:dyDescent="0.25">
      <c r="A540" s="16"/>
      <c r="B540" s="17"/>
      <c r="C540" s="2"/>
      <c r="D540" s="2"/>
      <c r="E540" s="2"/>
      <c r="F540" s="2"/>
      <c r="G540" s="2"/>
      <c r="H540" s="2"/>
      <c r="I540" s="5"/>
    </row>
    <row r="541" spans="1:9" ht="17.399999999999999" x14ac:dyDescent="0.25">
      <c r="A541" s="16"/>
      <c r="B541" s="17"/>
      <c r="C541" s="2"/>
      <c r="D541" s="2"/>
      <c r="E541" s="2"/>
      <c r="F541" s="2"/>
      <c r="G541" s="2"/>
      <c r="H541" s="2"/>
      <c r="I541" s="5"/>
    </row>
    <row r="542" spans="1:9" ht="17.399999999999999" x14ac:dyDescent="0.25">
      <c r="A542" s="16"/>
      <c r="B542" s="17"/>
      <c r="C542" s="2"/>
      <c r="D542" s="2"/>
      <c r="E542" s="2"/>
      <c r="F542" s="2"/>
      <c r="G542" s="2"/>
      <c r="H542" s="2"/>
      <c r="I542" s="5"/>
    </row>
    <row r="543" spans="1:9" ht="17.399999999999999" x14ac:dyDescent="0.25">
      <c r="A543" s="16"/>
      <c r="B543" s="17"/>
      <c r="C543" s="2"/>
      <c r="D543" s="2"/>
      <c r="E543" s="2"/>
      <c r="F543" s="2"/>
      <c r="G543" s="2"/>
      <c r="H543" s="2"/>
      <c r="I543" s="5"/>
    </row>
    <row r="544" spans="1:9" ht="17.399999999999999" x14ac:dyDescent="0.25">
      <c r="A544" s="16"/>
      <c r="B544" s="17"/>
      <c r="C544" s="2"/>
      <c r="D544" s="2"/>
      <c r="E544" s="2"/>
      <c r="F544" s="2"/>
      <c r="G544" s="2"/>
      <c r="H544" s="2"/>
      <c r="I544" s="5"/>
    </row>
    <row r="545" spans="1:9" ht="17.399999999999999" x14ac:dyDescent="0.25">
      <c r="A545" s="16"/>
      <c r="B545" s="17"/>
      <c r="C545" s="2"/>
      <c r="D545" s="2"/>
      <c r="E545" s="2"/>
      <c r="F545" s="2"/>
      <c r="G545" s="2"/>
      <c r="H545" s="2"/>
      <c r="I545" s="5"/>
    </row>
    <row r="546" spans="1:9" ht="17.399999999999999" x14ac:dyDescent="0.25">
      <c r="A546" s="16"/>
      <c r="B546" s="17"/>
      <c r="C546" s="2"/>
      <c r="D546" s="2"/>
      <c r="E546" s="2"/>
      <c r="F546" s="2"/>
      <c r="G546" s="2"/>
      <c r="H546" s="2"/>
      <c r="I546" s="5"/>
    </row>
    <row r="547" spans="1:9" ht="17.399999999999999" x14ac:dyDescent="0.25">
      <c r="A547" s="16"/>
      <c r="B547" s="17"/>
      <c r="C547" s="2"/>
      <c r="D547" s="2"/>
      <c r="E547" s="2"/>
      <c r="F547" s="2"/>
      <c r="G547" s="2"/>
      <c r="H547" s="2"/>
      <c r="I547" s="5"/>
    </row>
    <row r="548" spans="1:9" ht="17.399999999999999" x14ac:dyDescent="0.25">
      <c r="A548" s="16"/>
      <c r="B548" s="17"/>
      <c r="C548" s="2"/>
      <c r="D548" s="2"/>
      <c r="E548" s="2"/>
      <c r="F548" s="2"/>
      <c r="G548" s="2"/>
      <c r="H548" s="2"/>
      <c r="I548" s="5"/>
    </row>
    <row r="549" spans="1:9" ht="17.399999999999999" x14ac:dyDescent="0.25">
      <c r="A549" s="16"/>
      <c r="B549" s="17"/>
      <c r="C549" s="2"/>
      <c r="D549" s="2"/>
      <c r="E549" s="2"/>
      <c r="F549" s="2"/>
      <c r="G549" s="2"/>
      <c r="H549" s="2"/>
      <c r="I549" s="5"/>
    </row>
    <row r="550" spans="1:9" ht="17.399999999999999" x14ac:dyDescent="0.25">
      <c r="A550" s="16"/>
      <c r="B550" s="17"/>
      <c r="C550" s="2"/>
      <c r="D550" s="2"/>
      <c r="E550" s="2"/>
      <c r="F550" s="2"/>
      <c r="G550" s="2"/>
      <c r="H550" s="2"/>
      <c r="I550" s="5"/>
    </row>
    <row r="551" spans="1:9" ht="17.399999999999999" x14ac:dyDescent="0.25">
      <c r="A551" s="16"/>
      <c r="B551" s="17"/>
      <c r="C551" s="2"/>
      <c r="D551" s="2"/>
      <c r="E551" s="2"/>
      <c r="F551" s="2"/>
      <c r="G551" s="2"/>
      <c r="H551" s="2"/>
      <c r="I551" s="5"/>
    </row>
    <row r="552" spans="1:9" ht="17.399999999999999" x14ac:dyDescent="0.25">
      <c r="A552" s="16"/>
      <c r="B552" s="17"/>
      <c r="C552" s="2"/>
      <c r="D552" s="2"/>
      <c r="E552" s="2"/>
      <c r="F552" s="2"/>
      <c r="G552" s="2"/>
      <c r="H552" s="2"/>
      <c r="I552" s="5"/>
    </row>
    <row r="553" spans="1:9" ht="17.399999999999999" x14ac:dyDescent="0.25">
      <c r="A553" s="16"/>
      <c r="B553" s="17"/>
      <c r="C553" s="2"/>
      <c r="D553" s="2"/>
      <c r="E553" s="2"/>
      <c r="F553" s="2"/>
      <c r="G553" s="2"/>
      <c r="H553" s="2"/>
      <c r="I553" s="5"/>
    </row>
    <row r="554" spans="1:9" ht="17.399999999999999" x14ac:dyDescent="0.25">
      <c r="A554" s="16"/>
      <c r="B554" s="17"/>
      <c r="C554" s="2"/>
      <c r="D554" s="2"/>
      <c r="E554" s="2"/>
      <c r="F554" s="2"/>
      <c r="G554" s="2"/>
      <c r="H554" s="2"/>
      <c r="I554" s="5"/>
    </row>
    <row r="555" spans="1:9" ht="17.399999999999999" x14ac:dyDescent="0.25">
      <c r="A555" s="16"/>
      <c r="B555" s="17"/>
      <c r="C555" s="2"/>
      <c r="D555" s="2"/>
      <c r="E555" s="2"/>
      <c r="F555" s="2"/>
      <c r="G555" s="2"/>
      <c r="H555" s="2"/>
      <c r="I555" s="5"/>
    </row>
    <row r="556" spans="1:9" ht="17.399999999999999" x14ac:dyDescent="0.25">
      <c r="A556" s="16"/>
      <c r="B556" s="17"/>
      <c r="C556" s="2"/>
      <c r="D556" s="2"/>
      <c r="E556" s="2"/>
      <c r="F556" s="2"/>
      <c r="G556" s="2"/>
      <c r="H556" s="2"/>
      <c r="I556" s="5"/>
    </row>
    <row r="557" spans="1:9" ht="17.399999999999999" x14ac:dyDescent="0.25">
      <c r="A557" s="16"/>
      <c r="B557" s="17"/>
      <c r="C557" s="2"/>
      <c r="D557" s="2"/>
      <c r="E557" s="2"/>
      <c r="F557" s="2"/>
      <c r="G557" s="2"/>
      <c r="H557" s="2"/>
      <c r="I557" s="5"/>
    </row>
    <row r="558" spans="1:9" ht="17.399999999999999" x14ac:dyDescent="0.25">
      <c r="A558" s="16"/>
      <c r="B558" s="17"/>
      <c r="C558" s="2"/>
      <c r="D558" s="2"/>
      <c r="E558" s="2"/>
      <c r="F558" s="2"/>
      <c r="G558" s="2"/>
      <c r="H558" s="2"/>
      <c r="I558" s="5"/>
    </row>
    <row r="559" spans="1:9" ht="17.399999999999999" x14ac:dyDescent="0.25">
      <c r="A559" s="16"/>
      <c r="B559" s="17"/>
      <c r="C559" s="2"/>
      <c r="D559" s="2"/>
      <c r="E559" s="2"/>
      <c r="F559" s="2"/>
      <c r="G559" s="2"/>
      <c r="H559" s="2"/>
      <c r="I559" s="5"/>
    </row>
    <row r="560" spans="1:9" ht="17.399999999999999" x14ac:dyDescent="0.25">
      <c r="A560" s="16"/>
      <c r="B560" s="17"/>
      <c r="C560" s="2"/>
      <c r="D560" s="2"/>
      <c r="E560" s="2"/>
      <c r="F560" s="2"/>
      <c r="G560" s="2"/>
      <c r="H560" s="2"/>
      <c r="I560" s="5"/>
    </row>
    <row r="561" spans="1:9" ht="17.399999999999999" x14ac:dyDescent="0.25">
      <c r="A561" s="16"/>
      <c r="B561" s="17"/>
      <c r="C561" s="2"/>
      <c r="D561" s="2"/>
      <c r="E561" s="2"/>
      <c r="F561" s="2"/>
      <c r="G561" s="2"/>
      <c r="H561" s="2"/>
      <c r="I561" s="5"/>
    </row>
    <row r="562" spans="1:9" ht="17.399999999999999" x14ac:dyDescent="0.25">
      <c r="A562" s="16"/>
      <c r="B562" s="17"/>
      <c r="C562" s="2"/>
      <c r="D562" s="2"/>
      <c r="E562" s="2"/>
      <c r="F562" s="2"/>
      <c r="G562" s="2"/>
      <c r="H562" s="2"/>
      <c r="I562" s="5"/>
    </row>
    <row r="563" spans="1:9" ht="17.399999999999999" x14ac:dyDescent="0.25">
      <c r="A563" s="16"/>
      <c r="B563" s="17"/>
      <c r="C563" s="2"/>
      <c r="D563" s="2"/>
      <c r="E563" s="2"/>
      <c r="F563" s="2"/>
      <c r="G563" s="2"/>
      <c r="H563" s="2"/>
      <c r="I563" s="5"/>
    </row>
    <row r="564" spans="1:9" ht="17.399999999999999" x14ac:dyDescent="0.25">
      <c r="A564" s="16"/>
      <c r="B564" s="17"/>
      <c r="C564" s="2"/>
      <c r="D564" s="2"/>
      <c r="E564" s="2"/>
      <c r="F564" s="2"/>
      <c r="G564" s="2"/>
      <c r="H564" s="2"/>
      <c r="I564" s="5"/>
    </row>
    <row r="565" spans="1:9" ht="17.399999999999999" x14ac:dyDescent="0.25">
      <c r="A565" s="16"/>
      <c r="B565" s="17"/>
      <c r="C565" s="2"/>
      <c r="D565" s="2"/>
      <c r="E565" s="2"/>
      <c r="F565" s="2"/>
      <c r="G565" s="2"/>
      <c r="H565" s="2"/>
      <c r="I565" s="5"/>
    </row>
    <row r="566" spans="1:9" ht="17.399999999999999" x14ac:dyDescent="0.25">
      <c r="A566" s="16"/>
      <c r="B566" s="17"/>
      <c r="C566" s="2"/>
      <c r="D566" s="2"/>
      <c r="E566" s="2"/>
      <c r="F566" s="2"/>
      <c r="G566" s="2"/>
      <c r="H566" s="2"/>
      <c r="I566" s="5"/>
    </row>
    <row r="567" spans="1:9" ht="17.399999999999999" x14ac:dyDescent="0.25">
      <c r="A567" s="16"/>
      <c r="B567" s="17"/>
      <c r="C567" s="2"/>
      <c r="D567" s="2"/>
      <c r="E567" s="2"/>
      <c r="F567" s="2"/>
      <c r="G567" s="2"/>
      <c r="H567" s="2"/>
      <c r="I567" s="5"/>
    </row>
    <row r="568" spans="1:9" ht="17.399999999999999" x14ac:dyDescent="0.25">
      <c r="A568" s="16"/>
      <c r="B568" s="17"/>
      <c r="C568" s="2"/>
      <c r="D568" s="2"/>
      <c r="E568" s="2"/>
      <c r="F568" s="2"/>
      <c r="G568" s="2"/>
      <c r="H568" s="2"/>
      <c r="I568" s="5"/>
    </row>
    <row r="569" spans="1:9" ht="17.399999999999999" x14ac:dyDescent="0.25">
      <c r="A569" s="16"/>
      <c r="B569" s="17"/>
      <c r="C569" s="2"/>
      <c r="D569" s="2"/>
      <c r="E569" s="2"/>
      <c r="F569" s="2"/>
      <c r="G569" s="2"/>
      <c r="H569" s="2"/>
      <c r="I569" s="5"/>
    </row>
    <row r="570" spans="1:9" ht="17.399999999999999" x14ac:dyDescent="0.25">
      <c r="A570" s="16"/>
      <c r="B570" s="17"/>
      <c r="C570" s="2"/>
      <c r="D570" s="2"/>
      <c r="E570" s="2"/>
      <c r="F570" s="2"/>
      <c r="G570" s="2"/>
      <c r="H570" s="2"/>
      <c r="I570" s="5"/>
    </row>
    <row r="571" spans="1:9" ht="17.399999999999999" x14ac:dyDescent="0.25">
      <c r="A571" s="16"/>
      <c r="B571" s="17"/>
      <c r="C571" s="2"/>
      <c r="D571" s="2"/>
      <c r="E571" s="2"/>
      <c r="F571" s="2"/>
      <c r="G571" s="2"/>
      <c r="H571" s="2"/>
      <c r="I571" s="5"/>
    </row>
    <row r="572" spans="1:9" ht="17.399999999999999" x14ac:dyDescent="0.25">
      <c r="A572" s="16"/>
      <c r="B572" s="17"/>
      <c r="C572" s="2"/>
      <c r="D572" s="2"/>
      <c r="E572" s="2"/>
      <c r="F572" s="2"/>
      <c r="G572" s="2"/>
      <c r="H572" s="2"/>
      <c r="I572" s="5"/>
    </row>
    <row r="573" spans="1:9" ht="17.399999999999999" x14ac:dyDescent="0.25">
      <c r="A573" s="16"/>
      <c r="B573" s="17"/>
      <c r="C573" s="2"/>
      <c r="D573" s="2"/>
      <c r="E573" s="2"/>
      <c r="F573" s="2"/>
      <c r="G573" s="2"/>
      <c r="H573" s="2"/>
      <c r="I573" s="5"/>
    </row>
    <row r="574" spans="1:9" ht="17.399999999999999" x14ac:dyDescent="0.25">
      <c r="A574" s="16"/>
      <c r="B574" s="17"/>
      <c r="C574" s="2"/>
      <c r="D574" s="2"/>
      <c r="E574" s="2"/>
      <c r="F574" s="2"/>
      <c r="G574" s="2"/>
      <c r="H574" s="2"/>
      <c r="I574" s="5"/>
    </row>
    <row r="575" spans="1:9" ht="17.399999999999999" x14ac:dyDescent="0.25">
      <c r="A575" s="16"/>
      <c r="B575" s="17"/>
      <c r="C575" s="2"/>
      <c r="D575" s="2"/>
      <c r="E575" s="2"/>
      <c r="F575" s="2"/>
      <c r="G575" s="2"/>
      <c r="H575" s="2"/>
      <c r="I575" s="5"/>
    </row>
    <row r="576" spans="1:9" ht="17.399999999999999" x14ac:dyDescent="0.25">
      <c r="A576" s="16"/>
      <c r="B576" s="17"/>
      <c r="C576" s="2"/>
      <c r="D576" s="2"/>
      <c r="E576" s="2"/>
      <c r="F576" s="2"/>
      <c r="G576" s="2"/>
      <c r="H576" s="2"/>
      <c r="I576" s="5"/>
    </row>
    <row r="577" spans="1:9" ht="17.399999999999999" x14ac:dyDescent="0.25">
      <c r="A577" s="16"/>
      <c r="B577" s="17"/>
      <c r="C577" s="2"/>
      <c r="D577" s="2"/>
      <c r="E577" s="2"/>
      <c r="F577" s="2"/>
      <c r="G577" s="2"/>
      <c r="H577" s="2"/>
      <c r="I577" s="5"/>
    </row>
    <row r="578" spans="1:9" ht="17.399999999999999" x14ac:dyDescent="0.25">
      <c r="A578" s="16"/>
      <c r="B578" s="17"/>
      <c r="C578" s="2"/>
      <c r="D578" s="2"/>
      <c r="E578" s="2"/>
      <c r="F578" s="2"/>
      <c r="G578" s="2"/>
      <c r="H578" s="2"/>
      <c r="I578" s="5"/>
    </row>
    <row r="579" spans="1:9" ht="17.399999999999999" x14ac:dyDescent="0.25">
      <c r="A579" s="16"/>
      <c r="B579" s="17"/>
      <c r="C579" s="2"/>
      <c r="D579" s="2"/>
      <c r="E579" s="2"/>
      <c r="F579" s="2"/>
      <c r="G579" s="2"/>
      <c r="H579" s="2"/>
      <c r="I579" s="5"/>
    </row>
    <row r="580" spans="1:9" ht="17.399999999999999" x14ac:dyDescent="0.25">
      <c r="A580" s="16"/>
      <c r="B580" s="17"/>
      <c r="C580" s="2"/>
      <c r="D580" s="2"/>
      <c r="E580" s="2"/>
      <c r="F580" s="2"/>
      <c r="G580" s="2"/>
      <c r="H580" s="2"/>
      <c r="I580" s="5"/>
    </row>
    <row r="581" spans="1:9" ht="17.399999999999999" x14ac:dyDescent="0.25">
      <c r="A581" s="16"/>
      <c r="B581" s="17"/>
      <c r="C581" s="2"/>
      <c r="D581" s="2"/>
      <c r="E581" s="2"/>
      <c r="F581" s="2"/>
      <c r="G581" s="2"/>
      <c r="H581" s="2"/>
      <c r="I581" s="5"/>
    </row>
    <row r="582" spans="1:9" ht="17.399999999999999" x14ac:dyDescent="0.25">
      <c r="A582" s="16"/>
      <c r="B582" s="17"/>
      <c r="C582" s="2"/>
      <c r="D582" s="2"/>
      <c r="E582" s="2"/>
      <c r="F582" s="2"/>
      <c r="G582" s="2"/>
      <c r="H582" s="2"/>
      <c r="I582" s="5"/>
    </row>
    <row r="583" spans="1:9" ht="17.399999999999999" x14ac:dyDescent="0.25">
      <c r="A583" s="16"/>
      <c r="B583" s="17"/>
      <c r="C583" s="2"/>
      <c r="D583" s="2"/>
      <c r="E583" s="2"/>
      <c r="F583" s="2"/>
      <c r="G583" s="2"/>
      <c r="H583" s="2"/>
      <c r="I583" s="5"/>
    </row>
    <row r="584" spans="1:9" ht="17.399999999999999" x14ac:dyDescent="0.25">
      <c r="A584" s="16"/>
      <c r="B584" s="17"/>
      <c r="C584" s="2"/>
      <c r="D584" s="2"/>
      <c r="E584" s="2"/>
      <c r="F584" s="2"/>
      <c r="G584" s="2"/>
      <c r="H584" s="2"/>
      <c r="I584" s="5"/>
    </row>
    <row r="585" spans="1:9" ht="17.399999999999999" x14ac:dyDescent="0.25">
      <c r="A585" s="16"/>
      <c r="B585" s="17"/>
      <c r="C585" s="2"/>
      <c r="D585" s="2"/>
      <c r="E585" s="2"/>
      <c r="F585" s="2"/>
      <c r="G585" s="2"/>
      <c r="H585" s="2"/>
      <c r="I585" s="5"/>
    </row>
    <row r="586" spans="1:9" ht="17.399999999999999" x14ac:dyDescent="0.25">
      <c r="A586" s="16"/>
      <c r="B586" s="17"/>
      <c r="C586" s="2"/>
      <c r="D586" s="2"/>
      <c r="E586" s="2"/>
      <c r="F586" s="2"/>
      <c r="G586" s="2"/>
      <c r="H586" s="2"/>
      <c r="I586" s="5"/>
    </row>
    <row r="587" spans="1:9" ht="17.399999999999999" x14ac:dyDescent="0.25">
      <c r="A587" s="16"/>
      <c r="B587" s="17"/>
      <c r="C587" s="2"/>
      <c r="D587" s="2"/>
      <c r="E587" s="2"/>
      <c r="F587" s="2"/>
      <c r="G587" s="2"/>
      <c r="H587" s="2"/>
      <c r="I587" s="5"/>
    </row>
    <row r="588" spans="1:9" ht="17.399999999999999" x14ac:dyDescent="0.25">
      <c r="A588" s="16"/>
      <c r="B588" s="17"/>
      <c r="C588" s="2"/>
      <c r="D588" s="2"/>
      <c r="E588" s="2"/>
      <c r="F588" s="2"/>
      <c r="G588" s="2"/>
      <c r="H588" s="2"/>
      <c r="I588" s="5"/>
    </row>
    <row r="589" spans="1:9" ht="17.399999999999999" x14ac:dyDescent="0.25">
      <c r="A589" s="16"/>
      <c r="B589" s="17"/>
      <c r="C589" s="2"/>
      <c r="D589" s="2"/>
      <c r="E589" s="2"/>
      <c r="F589" s="2"/>
      <c r="G589" s="2"/>
      <c r="H589" s="2"/>
      <c r="I589" s="5"/>
    </row>
    <row r="590" spans="1:9" ht="17.399999999999999" x14ac:dyDescent="0.25">
      <c r="A590" s="16"/>
      <c r="B590" s="17"/>
      <c r="C590" s="2"/>
      <c r="D590" s="2"/>
      <c r="E590" s="2"/>
      <c r="F590" s="2"/>
      <c r="G590" s="2"/>
      <c r="H590" s="2"/>
      <c r="I590" s="5"/>
    </row>
    <row r="591" spans="1:9" ht="17.399999999999999" x14ac:dyDescent="0.25">
      <c r="A591" s="16"/>
      <c r="B591" s="17"/>
      <c r="C591" s="2"/>
      <c r="D591" s="2"/>
      <c r="E591" s="2"/>
      <c r="F591" s="2"/>
      <c r="G591" s="2"/>
      <c r="H591" s="2"/>
      <c r="I591" s="5"/>
    </row>
    <row r="592" spans="1:9" ht="17.399999999999999" x14ac:dyDescent="0.25">
      <c r="A592" s="16"/>
      <c r="B592" s="17"/>
      <c r="C592" s="2"/>
      <c r="D592" s="2"/>
      <c r="E592" s="2"/>
      <c r="F592" s="2"/>
      <c r="G592" s="2"/>
      <c r="H592" s="2"/>
      <c r="I592" s="5"/>
    </row>
    <row r="593" spans="1:9" ht="17.399999999999999" x14ac:dyDescent="0.25">
      <c r="A593" s="16"/>
      <c r="B593" s="17"/>
      <c r="C593" s="2"/>
      <c r="D593" s="2"/>
      <c r="E593" s="2"/>
      <c r="F593" s="2"/>
      <c r="G593" s="2"/>
      <c r="H593" s="2"/>
      <c r="I593" s="5"/>
    </row>
    <row r="594" spans="1:9" ht="17.399999999999999" x14ac:dyDescent="0.25">
      <c r="A594" s="16"/>
      <c r="B594" s="17"/>
      <c r="C594" s="2"/>
      <c r="D594" s="2"/>
      <c r="E594" s="2"/>
      <c r="F594" s="2"/>
      <c r="G594" s="2"/>
      <c r="H594" s="2"/>
      <c r="I594" s="5"/>
    </row>
    <row r="595" spans="1:9" ht="17.399999999999999" x14ac:dyDescent="0.25">
      <c r="A595" s="16"/>
      <c r="B595" s="17"/>
      <c r="C595" s="2"/>
      <c r="D595" s="2"/>
      <c r="E595" s="2"/>
      <c r="F595" s="2"/>
      <c r="G595" s="2"/>
      <c r="H595" s="2"/>
      <c r="I595" s="5"/>
    </row>
    <row r="596" spans="1:9" ht="17.399999999999999" x14ac:dyDescent="0.25">
      <c r="A596" s="16"/>
      <c r="B596" s="17"/>
      <c r="C596" s="2"/>
      <c r="D596" s="2"/>
      <c r="E596" s="2"/>
      <c r="F596" s="2"/>
      <c r="G596" s="2"/>
      <c r="H596" s="2"/>
      <c r="I596" s="5"/>
    </row>
    <row r="597" spans="1:9" ht="17.399999999999999" x14ac:dyDescent="0.25">
      <c r="A597" s="16"/>
      <c r="B597" s="17"/>
      <c r="C597" s="2"/>
      <c r="D597" s="2"/>
      <c r="E597" s="2"/>
      <c r="F597" s="2"/>
      <c r="G597" s="2"/>
      <c r="H597" s="2"/>
      <c r="I597" s="5"/>
    </row>
    <row r="598" spans="1:9" ht="17.399999999999999" x14ac:dyDescent="0.25">
      <c r="A598" s="16"/>
      <c r="B598" s="17"/>
      <c r="C598" s="2"/>
      <c r="D598" s="2"/>
      <c r="E598" s="2"/>
      <c r="F598" s="2"/>
      <c r="G598" s="2"/>
      <c r="H598" s="2"/>
      <c r="I598" s="5"/>
    </row>
    <row r="599" spans="1:9" ht="17.399999999999999" x14ac:dyDescent="0.25">
      <c r="A599" s="16"/>
      <c r="B599" s="17"/>
      <c r="C599" s="2"/>
      <c r="D599" s="2"/>
      <c r="E599" s="2"/>
      <c r="F599" s="2"/>
      <c r="G599" s="2"/>
      <c r="H599" s="2"/>
      <c r="I599" s="5"/>
    </row>
    <row r="600" spans="1:9" ht="17.399999999999999" x14ac:dyDescent="0.25">
      <c r="A600" s="16"/>
      <c r="B600" s="17"/>
      <c r="C600" s="2"/>
      <c r="D600" s="2"/>
      <c r="E600" s="2"/>
      <c r="F600" s="2"/>
      <c r="G600" s="2"/>
      <c r="H600" s="2"/>
      <c r="I600" s="5"/>
    </row>
    <row r="601" spans="1:9" ht="17.399999999999999" x14ac:dyDescent="0.25">
      <c r="A601" s="16"/>
      <c r="B601" s="17"/>
      <c r="C601" s="2"/>
      <c r="D601" s="2"/>
      <c r="E601" s="2"/>
      <c r="F601" s="2"/>
      <c r="G601" s="2"/>
      <c r="H601" s="2"/>
      <c r="I601" s="5"/>
    </row>
    <row r="602" spans="1:9" ht="17.399999999999999" x14ac:dyDescent="0.25">
      <c r="A602" s="16"/>
      <c r="B602" s="17"/>
      <c r="C602" s="2"/>
      <c r="D602" s="2"/>
      <c r="E602" s="2"/>
      <c r="F602" s="2"/>
      <c r="G602" s="2"/>
      <c r="H602" s="2"/>
      <c r="I602" s="5"/>
    </row>
    <row r="603" spans="1:9" ht="17.399999999999999" x14ac:dyDescent="0.25">
      <c r="A603" s="16"/>
      <c r="B603" s="17"/>
      <c r="C603" s="2"/>
      <c r="D603" s="2"/>
      <c r="E603" s="2"/>
      <c r="F603" s="2"/>
      <c r="G603" s="2"/>
      <c r="H603" s="2"/>
      <c r="I603" s="5"/>
    </row>
    <row r="604" spans="1:9" ht="17.399999999999999" x14ac:dyDescent="0.25">
      <c r="A604" s="16"/>
      <c r="B604" s="17"/>
      <c r="C604" s="2"/>
      <c r="D604" s="2"/>
      <c r="E604" s="2"/>
      <c r="F604" s="2"/>
      <c r="G604" s="2"/>
      <c r="H604" s="2"/>
      <c r="I604" s="5"/>
    </row>
    <row r="605" spans="1:9" ht="17.399999999999999" x14ac:dyDescent="0.25">
      <c r="A605" s="16"/>
      <c r="B605" s="17"/>
      <c r="C605" s="2"/>
      <c r="D605" s="2"/>
      <c r="E605" s="2"/>
      <c r="F605" s="2"/>
      <c r="G605" s="2"/>
      <c r="H605" s="2"/>
      <c r="I605" s="5"/>
    </row>
    <row r="606" spans="1:9" ht="17.399999999999999" x14ac:dyDescent="0.25">
      <c r="A606" s="16"/>
      <c r="B606" s="17"/>
      <c r="C606" s="2"/>
      <c r="D606" s="2"/>
      <c r="E606" s="2"/>
      <c r="F606" s="2"/>
      <c r="G606" s="2"/>
      <c r="H606" s="2"/>
      <c r="I606" s="5"/>
    </row>
    <row r="607" spans="1:9" ht="17.399999999999999" x14ac:dyDescent="0.25">
      <c r="A607" s="16"/>
      <c r="B607" s="17"/>
      <c r="C607" s="2"/>
      <c r="D607" s="2"/>
      <c r="E607" s="2"/>
      <c r="F607" s="2"/>
      <c r="G607" s="2"/>
      <c r="H607" s="2"/>
      <c r="I607" s="5"/>
    </row>
    <row r="608" spans="1:9" ht="17.399999999999999" x14ac:dyDescent="0.25">
      <c r="A608" s="16"/>
      <c r="B608" s="17"/>
      <c r="C608" s="2"/>
      <c r="D608" s="2"/>
      <c r="E608" s="2"/>
      <c r="F608" s="2"/>
      <c r="G608" s="2"/>
      <c r="H608" s="2"/>
      <c r="I608" s="5"/>
    </row>
    <row r="609" spans="1:9" ht="17.399999999999999" x14ac:dyDescent="0.25">
      <c r="A609" s="16"/>
      <c r="B609" s="17"/>
      <c r="C609" s="2"/>
      <c r="D609" s="2"/>
      <c r="E609" s="2"/>
      <c r="F609" s="2"/>
      <c r="G609" s="2"/>
      <c r="H609" s="2"/>
      <c r="I609" s="5"/>
    </row>
    <row r="610" spans="1:9" ht="17.399999999999999" x14ac:dyDescent="0.25">
      <c r="A610" s="16"/>
      <c r="B610" s="17"/>
      <c r="C610" s="2"/>
      <c r="D610" s="2"/>
      <c r="E610" s="2"/>
      <c r="F610" s="2"/>
      <c r="G610" s="2"/>
      <c r="H610" s="2"/>
      <c r="I610" s="5"/>
    </row>
    <row r="611" spans="1:9" ht="17.399999999999999" x14ac:dyDescent="0.25">
      <c r="A611" s="16"/>
      <c r="B611" s="17"/>
      <c r="C611" s="2"/>
      <c r="D611" s="2"/>
      <c r="E611" s="2"/>
      <c r="F611" s="2"/>
      <c r="G611" s="2"/>
      <c r="H611" s="2"/>
      <c r="I611" s="5"/>
    </row>
    <row r="612" spans="1:9" ht="17.399999999999999" x14ac:dyDescent="0.25">
      <c r="A612" s="16"/>
      <c r="B612" s="17"/>
      <c r="C612" s="2"/>
      <c r="D612" s="2"/>
      <c r="E612" s="2"/>
      <c r="F612" s="2"/>
      <c r="G612" s="2"/>
      <c r="H612" s="2"/>
      <c r="I612" s="5"/>
    </row>
    <row r="613" spans="1:9" ht="17.399999999999999" x14ac:dyDescent="0.25">
      <c r="A613" s="16"/>
      <c r="B613" s="17"/>
      <c r="C613" s="2"/>
      <c r="D613" s="2"/>
      <c r="E613" s="2"/>
      <c r="F613" s="2"/>
      <c r="G613" s="2"/>
      <c r="H613" s="2"/>
      <c r="I613" s="5"/>
    </row>
    <row r="614" spans="1:9" ht="17.399999999999999" x14ac:dyDescent="0.25">
      <c r="A614" s="16"/>
      <c r="B614" s="17"/>
      <c r="C614" s="2"/>
      <c r="D614" s="2"/>
      <c r="E614" s="2"/>
      <c r="F614" s="2"/>
      <c r="G614" s="2"/>
      <c r="H614" s="2"/>
      <c r="I614" s="5"/>
    </row>
    <row r="615" spans="1:9" ht="17.399999999999999" x14ac:dyDescent="0.25">
      <c r="A615" s="16"/>
      <c r="B615" s="17"/>
      <c r="C615" s="2"/>
      <c r="D615" s="2"/>
      <c r="E615" s="2"/>
      <c r="F615" s="2"/>
      <c r="G615" s="2"/>
      <c r="H615" s="2"/>
      <c r="I615" s="5"/>
    </row>
    <row r="616" spans="1:9" ht="17.399999999999999" x14ac:dyDescent="0.25">
      <c r="A616" s="16"/>
      <c r="B616" s="17"/>
      <c r="C616" s="2"/>
      <c r="D616" s="2"/>
      <c r="E616" s="2"/>
      <c r="F616" s="2"/>
      <c r="G616" s="2"/>
      <c r="H616" s="2"/>
      <c r="I616" s="5"/>
    </row>
    <row r="617" spans="1:9" ht="17.399999999999999" x14ac:dyDescent="0.25">
      <c r="A617" s="16"/>
      <c r="B617" s="17"/>
      <c r="C617" s="2"/>
      <c r="D617" s="2"/>
      <c r="E617" s="2"/>
      <c r="F617" s="2"/>
      <c r="G617" s="2"/>
      <c r="H617" s="2"/>
      <c r="I617" s="5"/>
    </row>
    <row r="618" spans="1:9" ht="17.399999999999999" x14ac:dyDescent="0.25">
      <c r="A618" s="16"/>
      <c r="B618" s="17"/>
      <c r="C618" s="2"/>
      <c r="D618" s="2"/>
      <c r="E618" s="2"/>
      <c r="F618" s="2"/>
      <c r="G618" s="2"/>
      <c r="H618" s="2"/>
      <c r="I618" s="5"/>
    </row>
    <row r="619" spans="1:9" ht="17.399999999999999" x14ac:dyDescent="0.25">
      <c r="A619" s="16"/>
      <c r="B619" s="17"/>
      <c r="C619" s="2"/>
      <c r="D619" s="2"/>
      <c r="E619" s="2"/>
      <c r="F619" s="2"/>
      <c r="G619" s="2"/>
      <c r="H619" s="2"/>
      <c r="I619" s="5"/>
    </row>
    <row r="620" spans="1:9" ht="17.399999999999999" x14ac:dyDescent="0.25">
      <c r="A620" s="16"/>
      <c r="B620" s="17"/>
      <c r="C620" s="2"/>
      <c r="D620" s="2"/>
      <c r="E620" s="2"/>
      <c r="F620" s="2"/>
      <c r="G620" s="2"/>
      <c r="H620" s="2"/>
      <c r="I620" s="5"/>
    </row>
    <row r="621" spans="1:9" ht="17.399999999999999" x14ac:dyDescent="0.25">
      <c r="A621" s="16"/>
      <c r="B621" s="17"/>
      <c r="C621" s="2"/>
      <c r="D621" s="2"/>
      <c r="E621" s="2"/>
      <c r="F621" s="2"/>
      <c r="G621" s="2"/>
      <c r="H621" s="2"/>
      <c r="I621" s="5"/>
    </row>
    <row r="622" spans="1:9" ht="17.399999999999999" x14ac:dyDescent="0.25">
      <c r="A622" s="16"/>
      <c r="B622" s="17"/>
      <c r="C622" s="2"/>
      <c r="D622" s="2"/>
      <c r="E622" s="2"/>
      <c r="F622" s="2"/>
      <c r="G622" s="2"/>
      <c r="H622" s="2"/>
      <c r="I622" s="5"/>
    </row>
    <row r="623" spans="1:9" ht="17.399999999999999" x14ac:dyDescent="0.25">
      <c r="A623" s="16"/>
      <c r="B623" s="17"/>
      <c r="C623" s="2"/>
      <c r="D623" s="2"/>
      <c r="E623" s="2"/>
      <c r="F623" s="2"/>
      <c r="G623" s="2"/>
      <c r="H623" s="2"/>
      <c r="I623" s="5"/>
    </row>
    <row r="624" spans="1:9" ht="17.399999999999999" x14ac:dyDescent="0.25">
      <c r="A624" s="16"/>
      <c r="B624" s="17"/>
      <c r="C624" s="2"/>
      <c r="D624" s="2"/>
      <c r="E624" s="2"/>
      <c r="F624" s="2"/>
      <c r="G624" s="2"/>
      <c r="H624" s="2"/>
      <c r="I624" s="5"/>
    </row>
    <row r="625" spans="1:9" ht="17.399999999999999" x14ac:dyDescent="0.25">
      <c r="A625" s="16"/>
      <c r="B625" s="17"/>
      <c r="C625" s="2"/>
      <c r="D625" s="2"/>
      <c r="E625" s="2"/>
      <c r="F625" s="2"/>
      <c r="G625" s="2"/>
      <c r="H625" s="2"/>
      <c r="I625" s="5"/>
    </row>
    <row r="626" spans="1:9" ht="17.399999999999999" x14ac:dyDescent="0.25">
      <c r="A626" s="16"/>
      <c r="B626" s="17"/>
      <c r="C626" s="2"/>
      <c r="D626" s="2"/>
      <c r="E626" s="2"/>
      <c r="F626" s="2"/>
      <c r="G626" s="2"/>
      <c r="H626" s="2"/>
      <c r="I626" s="5"/>
    </row>
    <row r="627" spans="1:9" ht="17.399999999999999" x14ac:dyDescent="0.25">
      <c r="A627" s="16"/>
      <c r="B627" s="17"/>
      <c r="C627" s="2"/>
      <c r="D627" s="2"/>
      <c r="E627" s="2"/>
      <c r="F627" s="2"/>
      <c r="G627" s="2"/>
      <c r="H627" s="2"/>
      <c r="I627" s="5"/>
    </row>
    <row r="628" spans="1:9" ht="17.399999999999999" x14ac:dyDescent="0.25">
      <c r="A628" s="16"/>
      <c r="B628" s="17"/>
      <c r="C628" s="2"/>
      <c r="D628" s="2"/>
      <c r="E628" s="2"/>
      <c r="F628" s="2"/>
      <c r="G628" s="2"/>
      <c r="H628" s="2"/>
      <c r="I628" s="5"/>
    </row>
    <row r="629" spans="1:9" ht="17.399999999999999" x14ac:dyDescent="0.25">
      <c r="A629" s="16"/>
      <c r="B629" s="17"/>
      <c r="C629" s="2"/>
      <c r="D629" s="2"/>
      <c r="E629" s="2"/>
      <c r="F629" s="2"/>
      <c r="G629" s="2"/>
      <c r="H629" s="2"/>
      <c r="I629" s="5"/>
    </row>
    <row r="630" spans="1:9" ht="17.399999999999999" x14ac:dyDescent="0.25">
      <c r="A630" s="16"/>
      <c r="B630" s="17"/>
      <c r="C630" s="2"/>
      <c r="D630" s="2"/>
      <c r="E630" s="2"/>
      <c r="F630" s="2"/>
      <c r="G630" s="2"/>
      <c r="H630" s="2"/>
      <c r="I630" s="5"/>
    </row>
    <row r="631" spans="1:9" ht="17.399999999999999" x14ac:dyDescent="0.25">
      <c r="A631" s="16"/>
      <c r="B631" s="17"/>
      <c r="C631" s="2"/>
      <c r="D631" s="2"/>
      <c r="E631" s="2"/>
      <c r="F631" s="2"/>
      <c r="G631" s="2"/>
      <c r="H631" s="2"/>
      <c r="I631" s="5"/>
    </row>
    <row r="632" spans="1:9" ht="17.399999999999999" x14ac:dyDescent="0.25">
      <c r="A632" s="16"/>
      <c r="B632" s="17"/>
      <c r="C632" s="2"/>
      <c r="D632" s="2"/>
      <c r="E632" s="2"/>
      <c r="F632" s="2"/>
      <c r="G632" s="2"/>
      <c r="H632" s="2"/>
      <c r="I632" s="5"/>
    </row>
    <row r="633" spans="1:9" ht="17.399999999999999" x14ac:dyDescent="0.25">
      <c r="A633" s="16"/>
      <c r="B633" s="17"/>
      <c r="C633" s="2"/>
      <c r="D633" s="2"/>
      <c r="E633" s="2"/>
      <c r="F633" s="2"/>
      <c r="G633" s="2"/>
      <c r="H633" s="2"/>
      <c r="I633" s="5"/>
    </row>
    <row r="634" spans="1:9" ht="17.399999999999999" x14ac:dyDescent="0.25">
      <c r="A634" s="16"/>
      <c r="B634" s="17"/>
      <c r="C634" s="2"/>
      <c r="D634" s="2"/>
      <c r="E634" s="2"/>
      <c r="F634" s="2"/>
      <c r="G634" s="2"/>
      <c r="H634" s="2"/>
      <c r="I634" s="5"/>
    </row>
    <row r="635" spans="1:9" ht="17.399999999999999" x14ac:dyDescent="0.25">
      <c r="A635" s="16"/>
      <c r="B635" s="17"/>
      <c r="C635" s="2"/>
      <c r="D635" s="2"/>
      <c r="E635" s="2"/>
      <c r="F635" s="2"/>
      <c r="G635" s="2"/>
      <c r="H635" s="2"/>
      <c r="I635" s="5"/>
    </row>
    <row r="636" spans="1:9" ht="17.399999999999999" x14ac:dyDescent="0.25">
      <c r="A636" s="16"/>
      <c r="B636" s="17"/>
      <c r="C636" s="2"/>
      <c r="D636" s="2"/>
      <c r="E636" s="2"/>
      <c r="F636" s="2"/>
      <c r="G636" s="2"/>
      <c r="H636" s="2"/>
      <c r="I636" s="5"/>
    </row>
    <row r="637" spans="1:9" ht="17.399999999999999" x14ac:dyDescent="0.25">
      <c r="A637" s="16"/>
      <c r="B637" s="17"/>
      <c r="C637" s="2"/>
      <c r="D637" s="2"/>
      <c r="E637" s="2"/>
      <c r="F637" s="2"/>
      <c r="G637" s="2"/>
      <c r="H637" s="2"/>
      <c r="I637" s="5"/>
    </row>
    <row r="638" spans="1:9" ht="17.399999999999999" x14ac:dyDescent="0.25">
      <c r="A638" s="16"/>
      <c r="B638" s="17"/>
      <c r="C638" s="2"/>
      <c r="D638" s="2"/>
      <c r="E638" s="2"/>
      <c r="F638" s="2"/>
      <c r="G638" s="2"/>
      <c r="H638" s="2"/>
      <c r="I638" s="5"/>
    </row>
    <row r="639" spans="1:9" ht="17.399999999999999" x14ac:dyDescent="0.25">
      <c r="A639" s="16"/>
      <c r="B639" s="17"/>
      <c r="C639" s="2"/>
      <c r="D639" s="2"/>
      <c r="E639" s="2"/>
      <c r="F639" s="2"/>
      <c r="G639" s="2"/>
      <c r="H639" s="2"/>
      <c r="I639" s="5"/>
    </row>
    <row r="640" spans="1:9" ht="17.399999999999999" x14ac:dyDescent="0.25">
      <c r="A640" s="16"/>
      <c r="B640" s="17"/>
      <c r="C640" s="2"/>
      <c r="D640" s="2"/>
      <c r="E640" s="2"/>
      <c r="F640" s="2"/>
      <c r="G640" s="2"/>
      <c r="H640" s="2"/>
      <c r="I640" s="5"/>
    </row>
    <row r="641" spans="1:9" ht="17.399999999999999" x14ac:dyDescent="0.25">
      <c r="A641" s="16"/>
      <c r="B641" s="17"/>
      <c r="C641" s="2"/>
      <c r="D641" s="2"/>
      <c r="E641" s="2"/>
      <c r="F641" s="2"/>
      <c r="G641" s="2"/>
      <c r="H641" s="2"/>
      <c r="I641" s="5"/>
    </row>
    <row r="642" spans="1:9" ht="17.399999999999999" x14ac:dyDescent="0.25">
      <c r="A642" s="16"/>
      <c r="B642" s="17"/>
      <c r="C642" s="2"/>
      <c r="D642" s="2"/>
      <c r="E642" s="2"/>
      <c r="F642" s="2"/>
      <c r="G642" s="2"/>
      <c r="H642" s="2"/>
      <c r="I642" s="5"/>
    </row>
    <row r="643" spans="1:9" ht="17.399999999999999" x14ac:dyDescent="0.25">
      <c r="A643" s="16"/>
      <c r="B643" s="17"/>
      <c r="C643" s="2"/>
      <c r="D643" s="2"/>
      <c r="E643" s="2"/>
      <c r="F643" s="2"/>
      <c r="G643" s="2"/>
      <c r="H643" s="2"/>
      <c r="I643" s="5"/>
    </row>
    <row r="644" spans="1:9" ht="17.399999999999999" x14ac:dyDescent="0.25">
      <c r="A644" s="16"/>
      <c r="B644" s="17"/>
      <c r="C644" s="2"/>
      <c r="D644" s="2"/>
      <c r="E644" s="2"/>
      <c r="F644" s="2"/>
      <c r="G644" s="2"/>
      <c r="H644" s="2"/>
      <c r="I644" s="5"/>
    </row>
    <row r="645" spans="1:9" ht="17.399999999999999" x14ac:dyDescent="0.25">
      <c r="A645" s="16"/>
      <c r="B645" s="17"/>
      <c r="C645" s="2"/>
      <c r="D645" s="2"/>
      <c r="E645" s="2"/>
      <c r="F645" s="2"/>
      <c r="G645" s="2"/>
      <c r="H645" s="2"/>
      <c r="I645" s="5"/>
    </row>
    <row r="646" spans="1:9" ht="17.399999999999999" x14ac:dyDescent="0.25">
      <c r="A646" s="16"/>
      <c r="B646" s="17"/>
      <c r="C646" s="2"/>
      <c r="D646" s="2"/>
      <c r="E646" s="2"/>
      <c r="F646" s="2"/>
      <c r="G646" s="2"/>
      <c r="H646" s="2"/>
      <c r="I646" s="5"/>
    </row>
    <row r="647" spans="1:9" ht="17.399999999999999" x14ac:dyDescent="0.25">
      <c r="A647" s="16"/>
      <c r="B647" s="17"/>
      <c r="C647" s="2"/>
      <c r="D647" s="2"/>
      <c r="E647" s="2"/>
      <c r="F647" s="2"/>
      <c r="G647" s="2"/>
      <c r="H647" s="2"/>
      <c r="I647" s="5"/>
    </row>
    <row r="648" spans="1:9" ht="17.399999999999999" x14ac:dyDescent="0.25">
      <c r="A648" s="16"/>
      <c r="B648" s="17"/>
      <c r="C648" s="2"/>
      <c r="D648" s="2"/>
      <c r="E648" s="2"/>
      <c r="F648" s="2"/>
      <c r="G648" s="2"/>
      <c r="H648" s="2"/>
      <c r="I648" s="5"/>
    </row>
    <row r="649" spans="1:9" ht="17.399999999999999" x14ac:dyDescent="0.25">
      <c r="A649" s="16"/>
      <c r="B649" s="17"/>
      <c r="C649" s="2"/>
      <c r="D649" s="2"/>
      <c r="E649" s="2"/>
      <c r="F649" s="2"/>
      <c r="G649" s="2"/>
      <c r="H649" s="2"/>
      <c r="I649" s="5"/>
    </row>
    <row r="650" spans="1:9" ht="17.399999999999999" x14ac:dyDescent="0.25">
      <c r="A650" s="16"/>
      <c r="B650" s="17"/>
      <c r="C650" s="2"/>
      <c r="D650" s="2"/>
      <c r="E650" s="2"/>
      <c r="F650" s="2"/>
      <c r="G650" s="2"/>
      <c r="H650" s="2"/>
      <c r="I650" s="5"/>
    </row>
    <row r="651" spans="1:9" ht="17.399999999999999" x14ac:dyDescent="0.25">
      <c r="A651" s="16"/>
      <c r="B651" s="17"/>
      <c r="C651" s="2"/>
      <c r="D651" s="2"/>
      <c r="E651" s="2"/>
      <c r="F651" s="2"/>
      <c r="G651" s="2"/>
      <c r="H651" s="2"/>
      <c r="I651" s="5"/>
    </row>
    <row r="652" spans="1:9" ht="17.399999999999999" x14ac:dyDescent="0.25">
      <c r="A652" s="16"/>
      <c r="B652" s="17"/>
      <c r="C652" s="2"/>
      <c r="D652" s="2"/>
      <c r="E652" s="2"/>
      <c r="F652" s="2"/>
      <c r="G652" s="2"/>
      <c r="H652" s="2"/>
      <c r="I652" s="5"/>
    </row>
    <row r="653" spans="1:9" ht="17.399999999999999" x14ac:dyDescent="0.25">
      <c r="A653" s="16"/>
      <c r="B653" s="17"/>
      <c r="C653" s="2"/>
      <c r="D653" s="2"/>
      <c r="E653" s="2"/>
      <c r="F653" s="2"/>
      <c r="G653" s="2"/>
      <c r="H653" s="2"/>
      <c r="I653" s="5"/>
    </row>
    <row r="654" spans="1:9" ht="17.399999999999999" x14ac:dyDescent="0.25">
      <c r="A654" s="16"/>
      <c r="B654" s="17"/>
      <c r="C654" s="2"/>
      <c r="D654" s="2"/>
      <c r="E654" s="2"/>
      <c r="F654" s="2"/>
      <c r="G654" s="2"/>
      <c r="H654" s="2"/>
      <c r="I654" s="5"/>
    </row>
    <row r="655" spans="1:9" ht="17.399999999999999" x14ac:dyDescent="0.25">
      <c r="A655" s="16"/>
      <c r="B655" s="17"/>
      <c r="C655" s="2"/>
      <c r="D655" s="2"/>
      <c r="E655" s="2"/>
      <c r="F655" s="2"/>
      <c r="G655" s="2"/>
      <c r="H655" s="2"/>
      <c r="I655" s="5"/>
    </row>
    <row r="656" spans="1:9" ht="17.399999999999999" x14ac:dyDescent="0.25">
      <c r="A656" s="16"/>
      <c r="B656" s="17"/>
      <c r="C656" s="2"/>
      <c r="D656" s="2"/>
      <c r="E656" s="2"/>
      <c r="F656" s="2"/>
      <c r="G656" s="2"/>
      <c r="H656" s="2"/>
      <c r="I656" s="5"/>
    </row>
    <row r="657" spans="1:9" ht="17.399999999999999" x14ac:dyDescent="0.25">
      <c r="A657" s="16"/>
      <c r="B657" s="17"/>
      <c r="C657" s="2"/>
      <c r="D657" s="2"/>
      <c r="E657" s="2"/>
      <c r="F657" s="2"/>
      <c r="G657" s="2"/>
      <c r="H657" s="2"/>
      <c r="I657" s="5"/>
    </row>
    <row r="658" spans="1:9" ht="17.399999999999999" x14ac:dyDescent="0.25">
      <c r="A658" s="16"/>
      <c r="B658" s="17"/>
      <c r="C658" s="2"/>
      <c r="D658" s="2"/>
      <c r="E658" s="2"/>
      <c r="F658" s="2"/>
      <c r="G658" s="2"/>
      <c r="H658" s="2"/>
      <c r="I658" s="5"/>
    </row>
    <row r="659" spans="1:9" ht="17.399999999999999" x14ac:dyDescent="0.25">
      <c r="A659" s="16"/>
      <c r="B659" s="17"/>
      <c r="C659" s="2"/>
      <c r="D659" s="2"/>
      <c r="E659" s="2"/>
      <c r="F659" s="2"/>
      <c r="G659" s="2"/>
      <c r="H659" s="2"/>
      <c r="I659" s="5"/>
    </row>
    <row r="660" spans="1:9" ht="17.399999999999999" x14ac:dyDescent="0.25">
      <c r="A660" s="16"/>
      <c r="B660" s="17"/>
      <c r="C660" s="2"/>
      <c r="D660" s="2"/>
      <c r="E660" s="2"/>
      <c r="F660" s="2"/>
      <c r="G660" s="2"/>
      <c r="H660" s="2"/>
      <c r="I660" s="5"/>
    </row>
    <row r="661" spans="1:9" ht="17.399999999999999" x14ac:dyDescent="0.25">
      <c r="A661" s="16"/>
      <c r="B661" s="17"/>
      <c r="C661" s="2"/>
      <c r="D661" s="2"/>
      <c r="E661" s="2"/>
      <c r="F661" s="2"/>
      <c r="G661" s="2"/>
      <c r="H661" s="2"/>
      <c r="I661" s="5"/>
    </row>
    <row r="662" spans="1:9" ht="17.399999999999999" x14ac:dyDescent="0.25">
      <c r="A662" s="16"/>
      <c r="B662" s="17"/>
      <c r="C662" s="2"/>
      <c r="D662" s="2"/>
      <c r="E662" s="2"/>
      <c r="F662" s="2"/>
      <c r="G662" s="2"/>
      <c r="H662" s="2"/>
      <c r="I662" s="5"/>
    </row>
    <row r="663" spans="1:9" ht="17.399999999999999" x14ac:dyDescent="0.25">
      <c r="A663" s="16"/>
      <c r="B663" s="17"/>
      <c r="C663" s="2"/>
      <c r="D663" s="2"/>
      <c r="E663" s="2"/>
      <c r="F663" s="2"/>
      <c r="G663" s="2"/>
      <c r="H663" s="2"/>
      <c r="I663" s="5"/>
    </row>
    <row r="664" spans="1:9" ht="17.399999999999999" x14ac:dyDescent="0.25">
      <c r="A664" s="16"/>
      <c r="B664" s="17"/>
      <c r="C664" s="2"/>
      <c r="D664" s="2"/>
      <c r="E664" s="2"/>
      <c r="F664" s="2"/>
      <c r="G664" s="2"/>
      <c r="H664" s="2"/>
      <c r="I664" s="5"/>
    </row>
    <row r="665" spans="1:9" ht="17.399999999999999" x14ac:dyDescent="0.25">
      <c r="A665" s="16"/>
      <c r="B665" s="17"/>
      <c r="C665" s="2"/>
      <c r="D665" s="2"/>
      <c r="E665" s="2"/>
      <c r="F665" s="2"/>
      <c r="G665" s="2"/>
      <c r="H665" s="2"/>
      <c r="I665" s="5"/>
    </row>
    <row r="666" spans="1:9" ht="17.399999999999999" x14ac:dyDescent="0.25">
      <c r="A666" s="16"/>
      <c r="B666" s="17"/>
      <c r="C666" s="2"/>
      <c r="D666" s="2"/>
      <c r="E666" s="2"/>
      <c r="F666" s="2"/>
      <c r="G666" s="2"/>
      <c r="H666" s="2"/>
      <c r="I666" s="5"/>
    </row>
    <row r="667" spans="1:9" ht="17.399999999999999" x14ac:dyDescent="0.25">
      <c r="A667" s="16"/>
      <c r="B667" s="17"/>
      <c r="C667" s="2"/>
      <c r="D667" s="2"/>
      <c r="E667" s="2"/>
      <c r="F667" s="2"/>
      <c r="G667" s="2"/>
      <c r="H667" s="2"/>
      <c r="I667" s="5"/>
    </row>
    <row r="668" spans="1:9" ht="17.399999999999999" x14ac:dyDescent="0.25">
      <c r="A668" s="16"/>
      <c r="B668" s="17"/>
      <c r="C668" s="2"/>
      <c r="D668" s="2"/>
      <c r="E668" s="2"/>
      <c r="F668" s="2"/>
      <c r="G668" s="2"/>
      <c r="H668" s="2"/>
      <c r="I668" s="5"/>
    </row>
    <row r="669" spans="1:9" ht="17.399999999999999" x14ac:dyDescent="0.25">
      <c r="A669" s="16"/>
      <c r="B669" s="17"/>
      <c r="C669" s="2"/>
      <c r="D669" s="2"/>
      <c r="E669" s="2"/>
      <c r="F669" s="2"/>
      <c r="G669" s="2"/>
      <c r="H669" s="2"/>
      <c r="I669" s="5"/>
    </row>
    <row r="670" spans="1:9" ht="17.399999999999999" x14ac:dyDescent="0.25">
      <c r="A670" s="16"/>
      <c r="B670" s="17"/>
      <c r="C670" s="2"/>
      <c r="D670" s="2"/>
      <c r="E670" s="2"/>
      <c r="F670" s="2"/>
      <c r="G670" s="2"/>
      <c r="H670" s="2"/>
      <c r="I670" s="5"/>
    </row>
    <row r="671" spans="1:9" ht="17.399999999999999" x14ac:dyDescent="0.25">
      <c r="A671" s="16"/>
      <c r="B671" s="17"/>
      <c r="C671" s="2"/>
      <c r="D671" s="2"/>
      <c r="E671" s="2"/>
      <c r="F671" s="2"/>
      <c r="G671" s="2"/>
      <c r="H671" s="2"/>
      <c r="I671" s="5"/>
    </row>
    <row r="672" spans="1:9" ht="17.399999999999999" x14ac:dyDescent="0.25">
      <c r="A672" s="16"/>
      <c r="B672" s="17"/>
      <c r="C672" s="2"/>
      <c r="D672" s="2"/>
      <c r="E672" s="2"/>
      <c r="F672" s="2"/>
      <c r="G672" s="2"/>
      <c r="H672" s="2"/>
      <c r="I672" s="5"/>
    </row>
    <row r="673" spans="1:9" ht="17.399999999999999" x14ac:dyDescent="0.25">
      <c r="A673" s="16"/>
      <c r="B673" s="17"/>
      <c r="C673" s="2"/>
      <c r="D673" s="2"/>
      <c r="E673" s="2"/>
      <c r="F673" s="2"/>
      <c r="G673" s="2"/>
      <c r="H673" s="2"/>
      <c r="I673" s="5"/>
    </row>
    <row r="674" spans="1:9" ht="17.399999999999999" x14ac:dyDescent="0.25">
      <c r="A674" s="16"/>
      <c r="B674" s="17"/>
      <c r="C674" s="2"/>
      <c r="D674" s="2"/>
      <c r="E674" s="2"/>
      <c r="F674" s="2"/>
      <c r="G674" s="2"/>
      <c r="H674" s="2"/>
      <c r="I674" s="5"/>
    </row>
    <row r="675" spans="1:9" ht="17.399999999999999" x14ac:dyDescent="0.25">
      <c r="A675" s="16"/>
      <c r="B675" s="17"/>
      <c r="C675" s="2"/>
      <c r="D675" s="2"/>
      <c r="E675" s="2"/>
      <c r="F675" s="2"/>
      <c r="G675" s="2"/>
      <c r="H675" s="2"/>
      <c r="I675" s="5"/>
    </row>
    <row r="676" spans="1:9" ht="17.399999999999999" x14ac:dyDescent="0.25">
      <c r="A676" s="16"/>
      <c r="B676" s="17"/>
      <c r="C676" s="2"/>
      <c r="D676" s="2"/>
      <c r="E676" s="2"/>
      <c r="F676" s="2"/>
      <c r="G676" s="2"/>
      <c r="H676" s="2"/>
      <c r="I676" s="5"/>
    </row>
    <row r="677" spans="1:9" ht="17.399999999999999" x14ac:dyDescent="0.25">
      <c r="A677" s="16"/>
      <c r="B677" s="17"/>
      <c r="C677" s="2"/>
      <c r="D677" s="2"/>
      <c r="E677" s="2"/>
      <c r="F677" s="2"/>
      <c r="G677" s="2"/>
      <c r="H677" s="2"/>
      <c r="I677" s="5"/>
    </row>
    <row r="678" spans="1:9" ht="17.399999999999999" x14ac:dyDescent="0.25">
      <c r="A678" s="16"/>
      <c r="B678" s="17"/>
      <c r="C678" s="2"/>
      <c r="D678" s="2"/>
      <c r="E678" s="2"/>
      <c r="F678" s="2"/>
      <c r="G678" s="2"/>
      <c r="H678" s="2"/>
      <c r="I678" s="5"/>
    </row>
    <row r="679" spans="1:9" ht="17.399999999999999" x14ac:dyDescent="0.25">
      <c r="A679" s="16"/>
      <c r="B679" s="17"/>
      <c r="C679" s="2"/>
      <c r="D679" s="2"/>
      <c r="E679" s="2"/>
      <c r="F679" s="2"/>
      <c r="G679" s="2"/>
      <c r="H679" s="2"/>
      <c r="I679" s="5"/>
    </row>
    <row r="680" spans="1:9" ht="17.399999999999999" x14ac:dyDescent="0.25">
      <c r="A680" s="16"/>
      <c r="B680" s="17"/>
      <c r="C680" s="2"/>
      <c r="D680" s="2"/>
      <c r="E680" s="2"/>
      <c r="F680" s="2"/>
      <c r="G680" s="2"/>
      <c r="H680" s="2"/>
      <c r="I680" s="5"/>
    </row>
    <row r="681" spans="1:9" ht="17.399999999999999" x14ac:dyDescent="0.25">
      <c r="A681" s="16"/>
      <c r="B681" s="17"/>
      <c r="C681" s="2"/>
      <c r="D681" s="2"/>
      <c r="E681" s="2"/>
      <c r="F681" s="2"/>
      <c r="G681" s="2"/>
      <c r="H681" s="2"/>
      <c r="I681" s="5"/>
    </row>
    <row r="682" spans="1:9" ht="17.399999999999999" x14ac:dyDescent="0.25">
      <c r="A682" s="16"/>
      <c r="B682" s="17"/>
      <c r="C682" s="2"/>
      <c r="D682" s="2"/>
      <c r="E682" s="2"/>
      <c r="F682" s="2"/>
      <c r="G682" s="2"/>
      <c r="H682" s="2"/>
      <c r="I682" s="5"/>
    </row>
    <row r="683" spans="1:9" ht="17.399999999999999" x14ac:dyDescent="0.25">
      <c r="A683" s="16"/>
      <c r="B683" s="17"/>
      <c r="C683" s="2"/>
      <c r="D683" s="2"/>
      <c r="E683" s="2"/>
      <c r="F683" s="2"/>
      <c r="G683" s="2"/>
      <c r="H683" s="2"/>
      <c r="I683" s="5"/>
    </row>
    <row r="684" spans="1:9" ht="17.399999999999999" x14ac:dyDescent="0.25">
      <c r="A684" s="16"/>
      <c r="B684" s="17"/>
      <c r="C684" s="2"/>
      <c r="D684" s="2"/>
      <c r="E684" s="2"/>
      <c r="F684" s="2"/>
      <c r="G684" s="2"/>
      <c r="H684" s="2"/>
      <c r="I684" s="5"/>
    </row>
    <row r="685" spans="1:9" ht="17.399999999999999" x14ac:dyDescent="0.25">
      <c r="A685" s="16"/>
      <c r="B685" s="17"/>
      <c r="C685" s="2"/>
      <c r="D685" s="2"/>
      <c r="E685" s="2"/>
      <c r="F685" s="2"/>
      <c r="G685" s="2"/>
      <c r="H685" s="2"/>
      <c r="I685" s="5"/>
    </row>
    <row r="686" spans="1:9" ht="17.399999999999999" x14ac:dyDescent="0.25">
      <c r="A686" s="16"/>
      <c r="B686" s="17"/>
      <c r="C686" s="2"/>
      <c r="D686" s="2"/>
      <c r="E686" s="2"/>
      <c r="F686" s="2"/>
      <c r="G686" s="2"/>
      <c r="H686" s="2"/>
      <c r="I686" s="5"/>
    </row>
    <row r="687" spans="1:9" ht="17.399999999999999" x14ac:dyDescent="0.25">
      <c r="A687" s="16"/>
      <c r="B687" s="17"/>
      <c r="C687" s="2"/>
      <c r="D687" s="2"/>
      <c r="E687" s="2"/>
      <c r="F687" s="2"/>
      <c r="G687" s="2"/>
      <c r="H687" s="2"/>
      <c r="I687" s="5"/>
    </row>
    <row r="688" spans="1:9" ht="17.399999999999999" x14ac:dyDescent="0.25">
      <c r="A688" s="16"/>
      <c r="B688" s="17"/>
      <c r="C688" s="2"/>
      <c r="D688" s="2"/>
      <c r="E688" s="2"/>
      <c r="F688" s="2"/>
      <c r="G688" s="2"/>
      <c r="H688" s="2"/>
      <c r="I688" s="5"/>
    </row>
    <row r="689" spans="1:9" ht="17.399999999999999" x14ac:dyDescent="0.25">
      <c r="A689" s="16"/>
      <c r="B689" s="17"/>
      <c r="C689" s="2"/>
      <c r="D689" s="2"/>
      <c r="E689" s="2"/>
      <c r="F689" s="2"/>
      <c r="G689" s="2"/>
      <c r="H689" s="2"/>
      <c r="I689" s="5"/>
    </row>
    <row r="690" spans="1:9" ht="17.399999999999999" x14ac:dyDescent="0.25">
      <c r="A690" s="16"/>
      <c r="B690" s="17"/>
      <c r="C690" s="2"/>
      <c r="D690" s="2"/>
      <c r="E690" s="2"/>
      <c r="F690" s="2"/>
      <c r="G690" s="2"/>
      <c r="H690" s="2"/>
      <c r="I690" s="5"/>
    </row>
    <row r="691" spans="1:9" ht="17.399999999999999" x14ac:dyDescent="0.25">
      <c r="A691" s="16"/>
      <c r="B691" s="17"/>
      <c r="C691" s="2"/>
      <c r="D691" s="2"/>
      <c r="E691" s="2"/>
      <c r="F691" s="2"/>
      <c r="G691" s="2"/>
      <c r="H691" s="2"/>
      <c r="I691" s="5"/>
    </row>
    <row r="692" spans="1:9" ht="17.399999999999999" x14ac:dyDescent="0.25">
      <c r="A692" s="16"/>
      <c r="B692" s="17"/>
      <c r="C692" s="2"/>
      <c r="D692" s="2"/>
      <c r="E692" s="2"/>
      <c r="F692" s="2"/>
      <c r="G692" s="2"/>
      <c r="H692" s="2"/>
      <c r="I692" s="5"/>
    </row>
    <row r="693" spans="1:9" ht="17.399999999999999" x14ac:dyDescent="0.25">
      <c r="A693" s="16"/>
      <c r="B693" s="17"/>
      <c r="C693" s="2"/>
      <c r="D693" s="2"/>
      <c r="E693" s="2"/>
      <c r="F693" s="2"/>
      <c r="G693" s="2"/>
      <c r="H693" s="2"/>
      <c r="I693" s="5"/>
    </row>
    <row r="694" spans="1:9" ht="17.399999999999999" x14ac:dyDescent="0.25">
      <c r="A694" s="16"/>
      <c r="B694" s="17"/>
      <c r="C694" s="2"/>
      <c r="D694" s="2"/>
      <c r="E694" s="2"/>
      <c r="F694" s="2"/>
      <c r="G694" s="2"/>
      <c r="H694" s="2"/>
      <c r="I694" s="5"/>
    </row>
    <row r="695" spans="1:9" ht="17.399999999999999" x14ac:dyDescent="0.25">
      <c r="A695" s="16"/>
      <c r="B695" s="17"/>
      <c r="C695" s="2"/>
      <c r="D695" s="2"/>
      <c r="E695" s="2"/>
      <c r="F695" s="2"/>
      <c r="G695" s="2"/>
      <c r="H695" s="2"/>
      <c r="I695" s="5"/>
    </row>
    <row r="696" spans="1:9" ht="17.399999999999999" x14ac:dyDescent="0.25">
      <c r="A696" s="16"/>
      <c r="B696" s="17"/>
      <c r="C696" s="2"/>
      <c r="D696" s="2"/>
      <c r="E696" s="2"/>
      <c r="F696" s="2"/>
      <c r="G696" s="2"/>
      <c r="H696" s="2"/>
      <c r="I696" s="5"/>
    </row>
    <row r="697" spans="1:9" ht="17.399999999999999" x14ac:dyDescent="0.25">
      <c r="A697" s="16"/>
      <c r="B697" s="17"/>
      <c r="C697" s="2"/>
      <c r="D697" s="2"/>
      <c r="E697" s="2"/>
      <c r="F697" s="2"/>
      <c r="G697" s="2"/>
      <c r="H697" s="2"/>
      <c r="I697" s="5"/>
    </row>
    <row r="698" spans="1:9" ht="17.399999999999999" x14ac:dyDescent="0.25">
      <c r="A698" s="16"/>
      <c r="B698" s="17"/>
      <c r="C698" s="2"/>
      <c r="D698" s="2"/>
      <c r="E698" s="2"/>
      <c r="F698" s="2"/>
      <c r="G698" s="2"/>
      <c r="H698" s="2"/>
      <c r="I698" s="5"/>
    </row>
    <row r="699" spans="1:9" ht="17.399999999999999" x14ac:dyDescent="0.25">
      <c r="A699" s="16"/>
      <c r="B699" s="17"/>
      <c r="C699" s="2"/>
      <c r="D699" s="2"/>
      <c r="E699" s="2"/>
      <c r="F699" s="2"/>
      <c r="G699" s="2"/>
      <c r="H699" s="2"/>
      <c r="I699" s="5"/>
    </row>
    <row r="700" spans="1:9" ht="17.399999999999999" x14ac:dyDescent="0.25">
      <c r="A700" s="16"/>
      <c r="B700" s="17"/>
      <c r="C700" s="2"/>
      <c r="D700" s="2"/>
      <c r="E700" s="2"/>
      <c r="F700" s="2"/>
      <c r="G700" s="2"/>
      <c r="H700" s="2"/>
      <c r="I700" s="5"/>
    </row>
    <row r="701" spans="1:9" ht="17.399999999999999" x14ac:dyDescent="0.25">
      <c r="A701" s="16"/>
      <c r="B701" s="17"/>
      <c r="C701" s="2"/>
      <c r="D701" s="2"/>
      <c r="E701" s="2"/>
      <c r="F701" s="2"/>
      <c r="G701" s="2"/>
      <c r="H701" s="2"/>
      <c r="I701" s="5"/>
    </row>
    <row r="702" spans="1:9" ht="17.399999999999999" x14ac:dyDescent="0.25">
      <c r="A702" s="16"/>
      <c r="B702" s="17"/>
      <c r="C702" s="2"/>
      <c r="D702" s="2"/>
      <c r="E702" s="2"/>
      <c r="F702" s="2"/>
      <c r="G702" s="2"/>
      <c r="H702" s="2"/>
      <c r="I702" s="5"/>
    </row>
    <row r="703" spans="1:9" ht="17.399999999999999" x14ac:dyDescent="0.25">
      <c r="A703" s="16"/>
      <c r="B703" s="17"/>
      <c r="C703" s="2"/>
      <c r="D703" s="2"/>
      <c r="E703" s="2"/>
      <c r="F703" s="2"/>
      <c r="G703" s="2"/>
      <c r="H703" s="2"/>
      <c r="I703" s="5"/>
    </row>
    <row r="704" spans="1:9" ht="17.399999999999999" x14ac:dyDescent="0.25">
      <c r="A704" s="16"/>
      <c r="B704" s="17"/>
      <c r="C704" s="2"/>
      <c r="D704" s="2"/>
      <c r="E704" s="2"/>
      <c r="F704" s="2"/>
      <c r="G704" s="2"/>
      <c r="H704" s="2"/>
      <c r="I704" s="5"/>
    </row>
    <row r="705" spans="1:9" ht="17.399999999999999" x14ac:dyDescent="0.25">
      <c r="A705" s="16"/>
      <c r="B705" s="17"/>
      <c r="C705" s="2"/>
      <c r="D705" s="2"/>
      <c r="E705" s="2"/>
      <c r="F705" s="2"/>
      <c r="G705" s="2"/>
      <c r="H705" s="2"/>
      <c r="I705" s="5"/>
    </row>
    <row r="706" spans="1:9" ht="17.399999999999999" x14ac:dyDescent="0.25">
      <c r="A706" s="16"/>
      <c r="B706" s="17"/>
      <c r="C706" s="2"/>
      <c r="D706" s="2"/>
      <c r="E706" s="2"/>
      <c r="F706" s="2"/>
      <c r="G706" s="2"/>
      <c r="H706" s="2"/>
      <c r="I706" s="5"/>
    </row>
    <row r="707" spans="1:9" ht="17.399999999999999" x14ac:dyDescent="0.25">
      <c r="A707" s="16"/>
      <c r="B707" s="17"/>
      <c r="C707" s="2"/>
      <c r="D707" s="2"/>
      <c r="E707" s="2"/>
      <c r="F707" s="2"/>
      <c r="G707" s="2"/>
      <c r="H707" s="2"/>
      <c r="I707" s="5"/>
    </row>
    <row r="708" spans="1:9" ht="17.399999999999999" x14ac:dyDescent="0.25">
      <c r="A708" s="16"/>
      <c r="B708" s="17"/>
      <c r="C708" s="2"/>
      <c r="D708" s="2"/>
      <c r="E708" s="2"/>
      <c r="F708" s="2"/>
      <c r="G708" s="2"/>
      <c r="H708" s="2"/>
      <c r="I708" s="5"/>
    </row>
    <row r="709" spans="1:9" ht="17.399999999999999" x14ac:dyDescent="0.25">
      <c r="A709" s="16"/>
      <c r="B709" s="17"/>
      <c r="C709" s="2"/>
      <c r="D709" s="2"/>
      <c r="E709" s="2"/>
      <c r="F709" s="2"/>
      <c r="G709" s="2"/>
      <c r="H709" s="2"/>
      <c r="I709" s="5"/>
    </row>
    <row r="710" spans="1:9" ht="17.399999999999999" x14ac:dyDescent="0.25">
      <c r="A710" s="16"/>
      <c r="B710" s="17"/>
      <c r="C710" s="2"/>
      <c r="D710" s="2"/>
      <c r="E710" s="2"/>
      <c r="F710" s="2"/>
      <c r="G710" s="2"/>
      <c r="H710" s="2"/>
      <c r="I710" s="5"/>
    </row>
    <row r="711" spans="1:9" ht="17.399999999999999" x14ac:dyDescent="0.25">
      <c r="A711" s="16"/>
      <c r="B711" s="17"/>
      <c r="C711" s="2"/>
      <c r="D711" s="2"/>
      <c r="E711" s="2"/>
      <c r="F711" s="2"/>
      <c r="G711" s="2"/>
      <c r="H711" s="2"/>
      <c r="I711" s="5"/>
    </row>
    <row r="712" spans="1:9" ht="17.399999999999999" x14ac:dyDescent="0.25">
      <c r="A712" s="16"/>
      <c r="B712" s="17"/>
      <c r="C712" s="2"/>
      <c r="D712" s="2"/>
      <c r="E712" s="2"/>
      <c r="F712" s="2"/>
      <c r="G712" s="2"/>
      <c r="H712" s="2"/>
      <c r="I712" s="5"/>
    </row>
    <row r="713" spans="1:9" ht="17.399999999999999" x14ac:dyDescent="0.25">
      <c r="A713" s="16"/>
      <c r="B713" s="17"/>
      <c r="C713" s="2"/>
      <c r="D713" s="2"/>
      <c r="E713" s="2"/>
      <c r="F713" s="2"/>
      <c r="G713" s="2"/>
      <c r="H713" s="2"/>
      <c r="I713" s="5"/>
    </row>
    <row r="714" spans="1:9" ht="17.399999999999999" x14ac:dyDescent="0.25">
      <c r="A714" s="16"/>
      <c r="B714" s="17"/>
      <c r="C714" s="2"/>
      <c r="D714" s="2"/>
      <c r="E714" s="2"/>
      <c r="F714" s="2"/>
      <c r="G714" s="2"/>
      <c r="H714" s="2"/>
      <c r="I714" s="5"/>
    </row>
    <row r="715" spans="1:9" ht="17.399999999999999" x14ac:dyDescent="0.25">
      <c r="A715" s="16"/>
      <c r="B715" s="17"/>
      <c r="C715" s="2"/>
      <c r="D715" s="2"/>
      <c r="E715" s="2"/>
      <c r="F715" s="2"/>
      <c r="G715" s="2"/>
      <c r="H715" s="2"/>
      <c r="I715" s="5"/>
    </row>
    <row r="716" spans="1:9" ht="17.399999999999999" x14ac:dyDescent="0.25">
      <c r="A716" s="16"/>
      <c r="B716" s="17"/>
      <c r="C716" s="2"/>
      <c r="D716" s="2"/>
      <c r="E716" s="2"/>
      <c r="F716" s="2"/>
      <c r="G716" s="2"/>
      <c r="H716" s="2"/>
      <c r="I716" s="5"/>
    </row>
    <row r="717" spans="1:9" ht="17.399999999999999" x14ac:dyDescent="0.25">
      <c r="A717" s="16"/>
      <c r="B717" s="17"/>
      <c r="C717" s="2"/>
      <c r="D717" s="2"/>
      <c r="E717" s="2"/>
      <c r="F717" s="2"/>
      <c r="G717" s="2"/>
      <c r="H717" s="2"/>
      <c r="I717" s="5"/>
    </row>
    <row r="718" spans="1:9" ht="17.399999999999999" x14ac:dyDescent="0.25">
      <c r="A718" s="16"/>
      <c r="B718" s="17"/>
      <c r="C718" s="2"/>
      <c r="D718" s="2"/>
      <c r="E718" s="2"/>
      <c r="F718" s="2"/>
      <c r="G718" s="2"/>
      <c r="H718" s="2"/>
      <c r="I718" s="5"/>
    </row>
    <row r="719" spans="1:9" ht="17.399999999999999" x14ac:dyDescent="0.25">
      <c r="A719" s="16"/>
      <c r="B719" s="17"/>
      <c r="C719" s="2"/>
      <c r="D719" s="2"/>
      <c r="E719" s="2"/>
      <c r="F719" s="2"/>
      <c r="G719" s="2"/>
      <c r="H719" s="2"/>
      <c r="I719" s="5"/>
    </row>
    <row r="720" spans="1:9" ht="17.399999999999999" x14ac:dyDescent="0.25">
      <c r="A720" s="16"/>
      <c r="B720" s="17"/>
      <c r="C720" s="2"/>
      <c r="D720" s="2"/>
      <c r="E720" s="2"/>
      <c r="F720" s="2"/>
      <c r="G720" s="2"/>
      <c r="H720" s="2"/>
      <c r="I720" s="5"/>
    </row>
    <row r="721" spans="1:9" ht="17.399999999999999" x14ac:dyDescent="0.25">
      <c r="A721" s="16"/>
      <c r="B721" s="17"/>
      <c r="C721" s="2"/>
      <c r="D721" s="2"/>
      <c r="E721" s="2"/>
      <c r="F721" s="2"/>
      <c r="G721" s="2"/>
      <c r="H721" s="2"/>
      <c r="I721" s="5"/>
    </row>
    <row r="722" spans="1:9" ht="17.399999999999999" x14ac:dyDescent="0.25">
      <c r="A722" s="16"/>
      <c r="B722" s="17"/>
      <c r="C722" s="2"/>
      <c r="D722" s="2"/>
      <c r="E722" s="2"/>
      <c r="F722" s="2"/>
      <c r="G722" s="2"/>
      <c r="H722" s="2"/>
      <c r="I722" s="5"/>
    </row>
    <row r="723" spans="1:9" ht="17.399999999999999" x14ac:dyDescent="0.25">
      <c r="A723" s="16"/>
      <c r="B723" s="17"/>
      <c r="C723" s="2"/>
      <c r="D723" s="2"/>
      <c r="E723" s="2"/>
      <c r="F723" s="2"/>
      <c r="G723" s="2"/>
      <c r="H723" s="2"/>
      <c r="I723" s="5"/>
    </row>
    <row r="724" spans="1:9" ht="17.399999999999999" x14ac:dyDescent="0.25">
      <c r="A724" s="16"/>
      <c r="B724" s="17"/>
      <c r="C724" s="2"/>
      <c r="D724" s="2"/>
      <c r="E724" s="2"/>
      <c r="F724" s="2"/>
      <c r="G724" s="2"/>
      <c r="H724" s="2"/>
      <c r="I724" s="5"/>
    </row>
    <row r="725" spans="1:9" ht="17.399999999999999" x14ac:dyDescent="0.25">
      <c r="A725" s="16"/>
      <c r="B725" s="17"/>
      <c r="C725" s="2"/>
      <c r="D725" s="2"/>
      <c r="E725" s="2"/>
      <c r="F725" s="2"/>
      <c r="G725" s="2"/>
      <c r="H725" s="2"/>
      <c r="I725" s="5"/>
    </row>
    <row r="726" spans="1:9" ht="17.399999999999999" x14ac:dyDescent="0.25">
      <c r="A726" s="16"/>
      <c r="B726" s="17"/>
      <c r="C726" s="2"/>
      <c r="D726" s="2"/>
      <c r="E726" s="2"/>
      <c r="F726" s="2"/>
      <c r="G726" s="2"/>
      <c r="H726" s="2"/>
      <c r="I726" s="5"/>
    </row>
    <row r="727" spans="1:9" ht="17.399999999999999" x14ac:dyDescent="0.25">
      <c r="A727" s="16"/>
      <c r="B727" s="17"/>
      <c r="C727" s="2"/>
      <c r="D727" s="2"/>
      <c r="E727" s="2"/>
      <c r="F727" s="2"/>
      <c r="G727" s="2"/>
      <c r="H727" s="2"/>
      <c r="I727" s="5"/>
    </row>
    <row r="728" spans="1:9" ht="17.399999999999999" x14ac:dyDescent="0.25">
      <c r="A728" s="16"/>
      <c r="B728" s="17"/>
      <c r="C728" s="2"/>
      <c r="D728" s="2"/>
      <c r="E728" s="2"/>
      <c r="F728" s="2"/>
      <c r="G728" s="2"/>
      <c r="H728" s="2"/>
      <c r="I728" s="5"/>
    </row>
    <row r="729" spans="1:9" ht="17.399999999999999" x14ac:dyDescent="0.25">
      <c r="A729" s="16"/>
      <c r="B729" s="17"/>
      <c r="C729" s="2"/>
      <c r="D729" s="2"/>
      <c r="E729" s="2"/>
      <c r="F729" s="2"/>
      <c r="G729" s="2"/>
      <c r="H729" s="2"/>
      <c r="I729" s="5"/>
    </row>
    <row r="730" spans="1:9" ht="17.399999999999999" x14ac:dyDescent="0.25">
      <c r="A730" s="16"/>
      <c r="B730" s="17"/>
      <c r="C730" s="2"/>
      <c r="D730" s="2"/>
      <c r="E730" s="2"/>
      <c r="F730" s="2"/>
      <c r="G730" s="2"/>
      <c r="H730" s="2"/>
      <c r="I730" s="5"/>
    </row>
    <row r="731" spans="1:9" ht="17.399999999999999" x14ac:dyDescent="0.25">
      <c r="A731" s="16"/>
      <c r="B731" s="17"/>
      <c r="C731" s="2"/>
      <c r="D731" s="2"/>
      <c r="E731" s="2"/>
      <c r="F731" s="2"/>
      <c r="G731" s="2"/>
      <c r="H731" s="2"/>
      <c r="I731" s="5"/>
    </row>
    <row r="732" spans="1:9" ht="17.399999999999999" x14ac:dyDescent="0.25">
      <c r="A732" s="16"/>
      <c r="B732" s="17"/>
      <c r="C732" s="2"/>
      <c r="D732" s="2"/>
      <c r="E732" s="2"/>
      <c r="F732" s="2"/>
      <c r="G732" s="2"/>
      <c r="H732" s="2"/>
      <c r="I732" s="5"/>
    </row>
    <row r="733" spans="1:9" ht="17.399999999999999" x14ac:dyDescent="0.25">
      <c r="A733" s="16"/>
      <c r="B733" s="17"/>
      <c r="C733" s="2"/>
      <c r="D733" s="2"/>
      <c r="E733" s="2"/>
      <c r="F733" s="2"/>
      <c r="G733" s="2"/>
      <c r="H733" s="2"/>
      <c r="I733" s="5"/>
    </row>
    <row r="734" spans="1:9" ht="17.399999999999999" x14ac:dyDescent="0.25">
      <c r="A734" s="16"/>
      <c r="B734" s="17"/>
      <c r="C734" s="2"/>
      <c r="D734" s="2"/>
      <c r="E734" s="2"/>
      <c r="F734" s="2"/>
      <c r="G734" s="2"/>
      <c r="H734" s="2"/>
      <c r="I734" s="5"/>
    </row>
    <row r="735" spans="1:9" ht="17.399999999999999" x14ac:dyDescent="0.25">
      <c r="A735" s="16"/>
      <c r="B735" s="17"/>
      <c r="C735" s="2"/>
      <c r="D735" s="2"/>
      <c r="E735" s="2"/>
      <c r="F735" s="2"/>
      <c r="G735" s="2"/>
      <c r="H735" s="2"/>
      <c r="I735" s="5"/>
    </row>
    <row r="736" spans="1:9" ht="17.399999999999999" x14ac:dyDescent="0.25">
      <c r="A736" s="16"/>
      <c r="B736" s="17"/>
      <c r="C736" s="2"/>
      <c r="D736" s="2"/>
      <c r="E736" s="2"/>
      <c r="F736" s="2"/>
      <c r="G736" s="2"/>
      <c r="H736" s="2"/>
      <c r="I736" s="5"/>
    </row>
    <row r="737" spans="1:9" ht="17.399999999999999" x14ac:dyDescent="0.25">
      <c r="A737" s="16"/>
      <c r="B737" s="17"/>
      <c r="C737" s="2"/>
      <c r="D737" s="2"/>
      <c r="E737" s="2"/>
      <c r="F737" s="2"/>
      <c r="G737" s="2"/>
      <c r="H737" s="2"/>
      <c r="I737" s="5"/>
    </row>
    <row r="738" spans="1:9" ht="17.399999999999999" x14ac:dyDescent="0.25">
      <c r="A738" s="16"/>
      <c r="B738" s="17"/>
      <c r="C738" s="2"/>
      <c r="D738" s="2"/>
      <c r="E738" s="2"/>
      <c r="F738" s="2"/>
      <c r="G738" s="2"/>
      <c r="H738" s="2"/>
      <c r="I738" s="5"/>
    </row>
    <row r="739" spans="1:9" ht="17.399999999999999" x14ac:dyDescent="0.25">
      <c r="A739" s="16"/>
      <c r="B739" s="17"/>
      <c r="C739" s="2"/>
      <c r="D739" s="2"/>
      <c r="E739" s="2"/>
      <c r="F739" s="2"/>
      <c r="G739" s="2"/>
      <c r="H739" s="2"/>
      <c r="I739" s="5"/>
    </row>
    <row r="740" spans="1:9" ht="17.399999999999999" x14ac:dyDescent="0.25">
      <c r="A740" s="16"/>
      <c r="B740" s="17"/>
      <c r="C740" s="2"/>
      <c r="D740" s="2"/>
      <c r="E740" s="2"/>
      <c r="F740" s="2"/>
      <c r="G740" s="2"/>
      <c r="H740" s="2"/>
      <c r="I740" s="5"/>
    </row>
    <row r="741" spans="1:9" ht="17.399999999999999" x14ac:dyDescent="0.25">
      <c r="A741" s="16"/>
      <c r="B741" s="17"/>
      <c r="C741" s="2"/>
      <c r="D741" s="2"/>
      <c r="E741" s="2"/>
      <c r="F741" s="2"/>
      <c r="G741" s="2"/>
      <c r="H741" s="2"/>
      <c r="I741" s="5"/>
    </row>
    <row r="742" spans="1:9" ht="17.399999999999999" x14ac:dyDescent="0.25">
      <c r="A742" s="16"/>
      <c r="B742" s="17"/>
      <c r="C742" s="2"/>
      <c r="D742" s="2"/>
      <c r="E742" s="2"/>
      <c r="F742" s="2"/>
      <c r="G742" s="2"/>
      <c r="H742" s="2"/>
      <c r="I742" s="5"/>
    </row>
    <row r="743" spans="1:9" ht="17.399999999999999" x14ac:dyDescent="0.25">
      <c r="A743" s="16"/>
      <c r="B743" s="17"/>
      <c r="C743" s="2"/>
      <c r="D743" s="2"/>
      <c r="E743" s="2"/>
      <c r="F743" s="2"/>
      <c r="G743" s="2"/>
      <c r="H743" s="2"/>
      <c r="I743" s="5"/>
    </row>
    <row r="744" spans="1:9" ht="17.399999999999999" x14ac:dyDescent="0.25">
      <c r="A744" s="16"/>
      <c r="B744" s="17"/>
      <c r="C744" s="2"/>
      <c r="D744" s="2"/>
      <c r="E744" s="2"/>
      <c r="F744" s="2"/>
      <c r="G744" s="2"/>
      <c r="H744" s="2"/>
      <c r="I744" s="5"/>
    </row>
    <row r="745" spans="1:9" ht="17.399999999999999" x14ac:dyDescent="0.25">
      <c r="A745" s="16"/>
      <c r="B745" s="17"/>
      <c r="C745" s="2"/>
      <c r="D745" s="2"/>
      <c r="E745" s="2"/>
      <c r="F745" s="2"/>
      <c r="G745" s="2"/>
      <c r="H745" s="2"/>
      <c r="I745" s="5"/>
    </row>
    <row r="746" spans="1:9" ht="17.399999999999999" x14ac:dyDescent="0.25">
      <c r="A746" s="16"/>
      <c r="B746" s="17"/>
      <c r="C746" s="2"/>
      <c r="D746" s="2"/>
      <c r="E746" s="2"/>
      <c r="F746" s="2"/>
      <c r="G746" s="2"/>
      <c r="H746" s="2"/>
      <c r="I746" s="5"/>
    </row>
    <row r="747" spans="1:9" ht="17.399999999999999" x14ac:dyDescent="0.25">
      <c r="A747" s="16"/>
      <c r="B747" s="17"/>
      <c r="C747" s="2"/>
      <c r="D747" s="2"/>
      <c r="E747" s="2"/>
      <c r="F747" s="2"/>
      <c r="G747" s="2"/>
      <c r="H747" s="2"/>
      <c r="I747" s="5"/>
    </row>
    <row r="748" spans="1:9" ht="17.399999999999999" x14ac:dyDescent="0.25">
      <c r="A748" s="16"/>
      <c r="B748" s="17"/>
      <c r="C748" s="2"/>
      <c r="D748" s="2"/>
      <c r="E748" s="2"/>
      <c r="F748" s="2"/>
      <c r="G748" s="2"/>
      <c r="H748" s="2"/>
      <c r="I748" s="5"/>
    </row>
    <row r="749" spans="1:9" ht="17.399999999999999" x14ac:dyDescent="0.25">
      <c r="A749" s="16"/>
      <c r="B749" s="17"/>
      <c r="C749" s="2"/>
      <c r="D749" s="2"/>
      <c r="E749" s="2"/>
      <c r="F749" s="2"/>
      <c r="G749" s="2"/>
      <c r="H749" s="2"/>
      <c r="I749" s="5"/>
    </row>
    <row r="750" spans="1:9" ht="17.399999999999999" x14ac:dyDescent="0.25">
      <c r="A750" s="16"/>
      <c r="B750" s="17"/>
      <c r="C750" s="2"/>
      <c r="D750" s="2"/>
      <c r="E750" s="2"/>
      <c r="F750" s="2"/>
      <c r="G750" s="2"/>
      <c r="H750" s="2"/>
      <c r="I750" s="5"/>
    </row>
    <row r="751" spans="1:9" ht="17.399999999999999" x14ac:dyDescent="0.25">
      <c r="A751" s="16"/>
      <c r="B751" s="17"/>
      <c r="C751" s="2"/>
      <c r="D751" s="2"/>
      <c r="E751" s="2"/>
      <c r="F751" s="2"/>
      <c r="G751" s="2"/>
      <c r="H751" s="2"/>
      <c r="I751" s="5"/>
    </row>
    <row r="752" spans="1:9" ht="17.399999999999999" x14ac:dyDescent="0.25">
      <c r="A752" s="16"/>
      <c r="B752" s="17"/>
      <c r="C752" s="2"/>
      <c r="D752" s="2"/>
      <c r="E752" s="2"/>
      <c r="F752" s="2"/>
      <c r="G752" s="2"/>
      <c r="H752" s="2"/>
      <c r="I752" s="5"/>
    </row>
    <row r="753" spans="1:9" ht="17.399999999999999" x14ac:dyDescent="0.25">
      <c r="A753" s="16"/>
      <c r="B753" s="17"/>
      <c r="C753" s="2"/>
      <c r="D753" s="2"/>
      <c r="E753" s="2"/>
      <c r="F753" s="2"/>
      <c r="G753" s="2"/>
      <c r="H753" s="2"/>
      <c r="I753" s="5"/>
    </row>
    <row r="754" spans="1:9" ht="17.399999999999999" x14ac:dyDescent="0.25">
      <c r="A754" s="16"/>
      <c r="B754" s="17"/>
      <c r="C754" s="2"/>
      <c r="D754" s="2"/>
      <c r="E754" s="2"/>
      <c r="F754" s="2"/>
      <c r="G754" s="2"/>
      <c r="H754" s="2"/>
      <c r="I754" s="5"/>
    </row>
    <row r="755" spans="1:9" ht="17.399999999999999" x14ac:dyDescent="0.25">
      <c r="A755" s="16"/>
      <c r="B755" s="17"/>
      <c r="C755" s="2"/>
      <c r="D755" s="2"/>
      <c r="E755" s="2"/>
      <c r="F755" s="2"/>
      <c r="G755" s="2"/>
      <c r="H755" s="2"/>
      <c r="I755" s="5"/>
    </row>
    <row r="756" spans="1:9" ht="17.399999999999999" x14ac:dyDescent="0.25">
      <c r="A756" s="16"/>
      <c r="B756" s="17"/>
      <c r="C756" s="2"/>
      <c r="D756" s="2"/>
      <c r="E756" s="2"/>
      <c r="F756" s="2"/>
      <c r="G756" s="2"/>
      <c r="H756" s="2"/>
      <c r="I756" s="5"/>
    </row>
    <row r="757" spans="1:9" ht="17.399999999999999" x14ac:dyDescent="0.25">
      <c r="A757" s="16"/>
      <c r="B757" s="17"/>
      <c r="C757" s="2"/>
      <c r="D757" s="2"/>
      <c r="E757" s="2"/>
      <c r="F757" s="2"/>
      <c r="G757" s="2"/>
      <c r="H757" s="2"/>
      <c r="I757" s="5"/>
    </row>
    <row r="758" spans="1:9" ht="17.399999999999999" x14ac:dyDescent="0.25">
      <c r="A758" s="16"/>
      <c r="B758" s="17"/>
      <c r="C758" s="2"/>
      <c r="D758" s="2"/>
      <c r="E758" s="2"/>
      <c r="F758" s="2"/>
      <c r="G758" s="2"/>
      <c r="H758" s="2"/>
      <c r="I758" s="5"/>
    </row>
    <row r="759" spans="1:9" ht="17.399999999999999" x14ac:dyDescent="0.25">
      <c r="A759" s="16"/>
      <c r="B759" s="17"/>
      <c r="C759" s="2"/>
      <c r="D759" s="2"/>
      <c r="E759" s="2"/>
      <c r="F759" s="2"/>
      <c r="G759" s="2"/>
      <c r="H759" s="2"/>
      <c r="I759" s="5"/>
    </row>
    <row r="760" spans="1:9" ht="17.399999999999999" x14ac:dyDescent="0.25">
      <c r="A760" s="16"/>
      <c r="B760" s="17"/>
      <c r="C760" s="2"/>
      <c r="D760" s="2"/>
      <c r="E760" s="2"/>
      <c r="F760" s="2"/>
      <c r="G760" s="2"/>
      <c r="H760" s="2"/>
      <c r="I760" s="5"/>
    </row>
    <row r="761" spans="1:9" ht="17.399999999999999" x14ac:dyDescent="0.25">
      <c r="A761" s="16"/>
      <c r="B761" s="17"/>
      <c r="C761" s="2"/>
      <c r="D761" s="2"/>
      <c r="E761" s="2"/>
      <c r="F761" s="2"/>
      <c r="G761" s="2"/>
      <c r="H761" s="2"/>
      <c r="I761" s="5"/>
    </row>
    <row r="762" spans="1:9" ht="17.399999999999999" x14ac:dyDescent="0.25">
      <c r="A762" s="16"/>
      <c r="B762" s="17"/>
      <c r="C762" s="2"/>
      <c r="D762" s="2"/>
      <c r="E762" s="2"/>
      <c r="F762" s="2"/>
      <c r="G762" s="2"/>
      <c r="H762" s="2"/>
      <c r="I762" s="5"/>
    </row>
    <row r="763" spans="1:9" ht="17.399999999999999" x14ac:dyDescent="0.25">
      <c r="A763" s="16"/>
      <c r="B763" s="17"/>
      <c r="C763" s="2"/>
      <c r="D763" s="2"/>
      <c r="E763" s="2"/>
      <c r="F763" s="2"/>
      <c r="G763" s="2"/>
      <c r="H763" s="2"/>
      <c r="I763" s="5"/>
    </row>
    <row r="764" spans="1:9" ht="17.399999999999999" x14ac:dyDescent="0.25">
      <c r="A764" s="16"/>
      <c r="B764" s="17"/>
      <c r="C764" s="2"/>
      <c r="D764" s="2"/>
      <c r="E764" s="2"/>
      <c r="F764" s="2"/>
      <c r="G764" s="2"/>
      <c r="H764" s="2"/>
      <c r="I764" s="5"/>
    </row>
    <row r="765" spans="1:9" ht="17.399999999999999" x14ac:dyDescent="0.25">
      <c r="A765" s="16"/>
      <c r="B765" s="17"/>
      <c r="C765" s="2"/>
      <c r="D765" s="2"/>
      <c r="E765" s="2"/>
      <c r="F765" s="2"/>
      <c r="G765" s="2"/>
      <c r="H765" s="2"/>
      <c r="I765" s="5"/>
    </row>
    <row r="766" spans="1:9" ht="17.399999999999999" x14ac:dyDescent="0.25">
      <c r="A766" s="16"/>
      <c r="B766" s="17"/>
      <c r="C766" s="2"/>
      <c r="D766" s="2"/>
      <c r="E766" s="2"/>
      <c r="F766" s="2"/>
      <c r="G766" s="2"/>
      <c r="H766" s="2"/>
      <c r="I766" s="5"/>
    </row>
    <row r="767" spans="1:9" ht="17.399999999999999" x14ac:dyDescent="0.25">
      <c r="A767" s="16"/>
      <c r="B767" s="17"/>
      <c r="C767" s="2"/>
      <c r="D767" s="2"/>
      <c r="E767" s="2"/>
      <c r="F767" s="2"/>
      <c r="G767" s="2"/>
      <c r="H767" s="2"/>
      <c r="I767" s="5"/>
    </row>
    <row r="768" spans="1:9" ht="17.399999999999999" x14ac:dyDescent="0.25">
      <c r="A768" s="16"/>
      <c r="B768" s="17"/>
      <c r="C768" s="2"/>
      <c r="D768" s="2"/>
      <c r="E768" s="2"/>
      <c r="F768" s="2"/>
      <c r="G768" s="2"/>
      <c r="H768" s="2"/>
      <c r="I768" s="5"/>
    </row>
    <row r="769" spans="1:9" ht="17.399999999999999" x14ac:dyDescent="0.25">
      <c r="A769" s="16"/>
      <c r="B769" s="17"/>
      <c r="C769" s="2"/>
      <c r="D769" s="2"/>
      <c r="E769" s="2"/>
      <c r="F769" s="2"/>
      <c r="G769" s="2"/>
      <c r="H769" s="2"/>
      <c r="I769" s="5"/>
    </row>
    <row r="770" spans="1:9" ht="17.399999999999999" x14ac:dyDescent="0.25">
      <c r="A770" s="16"/>
      <c r="B770" s="17"/>
      <c r="C770" s="2"/>
      <c r="D770" s="2"/>
      <c r="E770" s="2"/>
      <c r="F770" s="2"/>
      <c r="G770" s="2"/>
      <c r="H770" s="2"/>
      <c r="I770" s="5"/>
    </row>
    <row r="771" spans="1:9" ht="17.399999999999999" x14ac:dyDescent="0.25">
      <c r="A771" s="16"/>
      <c r="B771" s="17"/>
      <c r="C771" s="2"/>
      <c r="D771" s="2"/>
      <c r="E771" s="2"/>
      <c r="F771" s="2"/>
      <c r="G771" s="2"/>
      <c r="H771" s="2"/>
      <c r="I771" s="5"/>
    </row>
    <row r="772" spans="1:9" ht="17.399999999999999" x14ac:dyDescent="0.25">
      <c r="A772" s="16"/>
      <c r="B772" s="17"/>
      <c r="C772" s="2"/>
      <c r="D772" s="2"/>
      <c r="E772" s="2"/>
      <c r="F772" s="2"/>
      <c r="G772" s="2"/>
      <c r="H772" s="2"/>
      <c r="I772" s="5"/>
    </row>
    <row r="773" spans="1:9" ht="17.399999999999999" x14ac:dyDescent="0.25">
      <c r="A773" s="16"/>
      <c r="B773" s="17"/>
      <c r="C773" s="2"/>
      <c r="D773" s="2"/>
      <c r="E773" s="2"/>
      <c r="F773" s="2"/>
      <c r="G773" s="2"/>
      <c r="H773" s="2"/>
      <c r="I773" s="5"/>
    </row>
    <row r="774" spans="1:9" ht="17.399999999999999" x14ac:dyDescent="0.25">
      <c r="A774" s="16"/>
      <c r="B774" s="17"/>
      <c r="C774" s="2"/>
      <c r="D774" s="2"/>
      <c r="E774" s="2"/>
      <c r="F774" s="2"/>
      <c r="G774" s="2"/>
      <c r="H774" s="2"/>
      <c r="I774" s="5"/>
    </row>
    <row r="775" spans="1:9" ht="17.399999999999999" x14ac:dyDescent="0.25">
      <c r="A775" s="16"/>
      <c r="B775" s="17"/>
      <c r="C775" s="2"/>
      <c r="D775" s="2"/>
      <c r="E775" s="2"/>
      <c r="F775" s="2"/>
      <c r="G775" s="2"/>
      <c r="H775" s="2"/>
      <c r="I775" s="5"/>
    </row>
    <row r="776" spans="1:9" ht="17.399999999999999" x14ac:dyDescent="0.25">
      <c r="A776" s="16"/>
      <c r="B776" s="17"/>
      <c r="C776" s="2"/>
      <c r="D776" s="2"/>
      <c r="E776" s="2"/>
      <c r="F776" s="2"/>
      <c r="G776" s="2"/>
      <c r="H776" s="2"/>
      <c r="I776" s="5"/>
    </row>
    <row r="777" spans="1:9" ht="17.399999999999999" x14ac:dyDescent="0.25">
      <c r="A777" s="16"/>
      <c r="B777" s="17"/>
      <c r="C777" s="2"/>
      <c r="D777" s="2"/>
      <c r="E777" s="2"/>
      <c r="F777" s="2"/>
      <c r="G777" s="2"/>
      <c r="H777" s="2"/>
      <c r="I777" s="5"/>
    </row>
    <row r="778" spans="1:9" ht="17.399999999999999" x14ac:dyDescent="0.25">
      <c r="A778" s="16"/>
      <c r="B778" s="17"/>
      <c r="C778" s="2"/>
      <c r="D778" s="2"/>
      <c r="E778" s="2"/>
      <c r="F778" s="2"/>
      <c r="G778" s="2"/>
      <c r="H778" s="2"/>
      <c r="I778" s="5"/>
    </row>
    <row r="779" spans="1:9" ht="17.399999999999999" x14ac:dyDescent="0.25">
      <c r="A779" s="16"/>
      <c r="B779" s="17"/>
      <c r="C779" s="2"/>
      <c r="D779" s="2"/>
      <c r="E779" s="2"/>
      <c r="F779" s="2"/>
      <c r="G779" s="2"/>
      <c r="H779" s="2"/>
      <c r="I779" s="5"/>
    </row>
    <row r="780" spans="1:9" ht="17.399999999999999" x14ac:dyDescent="0.25">
      <c r="A780" s="16"/>
      <c r="B780" s="17"/>
      <c r="C780" s="2"/>
      <c r="D780" s="2"/>
      <c r="E780" s="2"/>
      <c r="F780" s="2"/>
      <c r="G780" s="2"/>
      <c r="H780" s="2"/>
      <c r="I780" s="5"/>
    </row>
    <row r="781" spans="1:9" ht="17.399999999999999" x14ac:dyDescent="0.25">
      <c r="A781" s="16"/>
      <c r="B781" s="17"/>
      <c r="C781" s="2"/>
      <c r="D781" s="2"/>
      <c r="E781" s="2"/>
      <c r="F781" s="2"/>
      <c r="G781" s="2"/>
      <c r="H781" s="2"/>
      <c r="I781" s="5"/>
    </row>
    <row r="782" spans="1:9" ht="17.399999999999999" x14ac:dyDescent="0.25">
      <c r="A782" s="16"/>
      <c r="B782" s="17"/>
      <c r="C782" s="2"/>
      <c r="D782" s="2"/>
      <c r="E782" s="2"/>
      <c r="F782" s="2"/>
      <c r="G782" s="2"/>
      <c r="H782" s="2"/>
      <c r="I782" s="5"/>
    </row>
    <row r="783" spans="1:9" ht="17.399999999999999" x14ac:dyDescent="0.25">
      <c r="A783" s="16"/>
      <c r="B783" s="17"/>
      <c r="C783" s="2"/>
      <c r="D783" s="2"/>
      <c r="E783" s="2"/>
      <c r="F783" s="2"/>
      <c r="G783" s="2"/>
      <c r="H783" s="2"/>
      <c r="I783" s="5"/>
    </row>
    <row r="784" spans="1:9" ht="17.399999999999999" x14ac:dyDescent="0.25">
      <c r="A784" s="16"/>
      <c r="B784" s="17"/>
      <c r="C784" s="2"/>
      <c r="D784" s="2"/>
      <c r="E784" s="2"/>
      <c r="F784" s="2"/>
      <c r="G784" s="2"/>
      <c r="H784" s="2"/>
      <c r="I784" s="5"/>
    </row>
    <row r="785" spans="1:9" ht="17.399999999999999" x14ac:dyDescent="0.25">
      <c r="A785" s="16"/>
      <c r="B785" s="17"/>
      <c r="C785" s="2"/>
      <c r="D785" s="2"/>
      <c r="E785" s="2"/>
      <c r="F785" s="2"/>
      <c r="G785" s="2"/>
      <c r="H785" s="2"/>
      <c r="I785" s="5"/>
    </row>
    <row r="786" spans="1:9" ht="17.399999999999999" x14ac:dyDescent="0.25">
      <c r="A786" s="16"/>
      <c r="B786" s="17"/>
      <c r="C786" s="2"/>
      <c r="D786" s="2"/>
      <c r="E786" s="2"/>
      <c r="F786" s="2"/>
      <c r="G786" s="2"/>
      <c r="H786" s="2"/>
      <c r="I786" s="5"/>
    </row>
    <row r="787" spans="1:9" ht="17.399999999999999" x14ac:dyDescent="0.25">
      <c r="A787" s="16"/>
      <c r="B787" s="17"/>
      <c r="C787" s="2"/>
      <c r="D787" s="2"/>
      <c r="E787" s="2"/>
      <c r="F787" s="2"/>
      <c r="G787" s="2"/>
      <c r="H787" s="2"/>
      <c r="I787" s="5"/>
    </row>
    <row r="788" spans="1:9" ht="17.399999999999999" x14ac:dyDescent="0.25">
      <c r="A788" s="16"/>
      <c r="B788" s="17"/>
      <c r="C788" s="2"/>
      <c r="D788" s="2"/>
      <c r="E788" s="2"/>
      <c r="F788" s="2"/>
      <c r="G788" s="2"/>
      <c r="H788" s="2"/>
      <c r="I788" s="5"/>
    </row>
    <row r="789" spans="1:9" ht="17.399999999999999" x14ac:dyDescent="0.25">
      <c r="A789" s="16"/>
      <c r="B789" s="17"/>
      <c r="C789" s="2"/>
      <c r="D789" s="2"/>
      <c r="E789" s="2"/>
      <c r="F789" s="2"/>
      <c r="G789" s="2"/>
      <c r="H789" s="2"/>
      <c r="I789" s="5"/>
    </row>
    <row r="790" spans="1:9" ht="17.399999999999999" x14ac:dyDescent="0.25">
      <c r="A790" s="16"/>
      <c r="B790" s="17"/>
      <c r="C790" s="2"/>
      <c r="D790" s="2"/>
      <c r="E790" s="2"/>
      <c r="F790" s="2"/>
      <c r="G790" s="2"/>
      <c r="H790" s="2"/>
      <c r="I790" s="5"/>
    </row>
    <row r="791" spans="1:9" ht="17.399999999999999" x14ac:dyDescent="0.25">
      <c r="A791" s="16"/>
      <c r="B791" s="17"/>
      <c r="C791" s="2"/>
      <c r="D791" s="2"/>
      <c r="E791" s="2"/>
      <c r="F791" s="2"/>
      <c r="G791" s="2"/>
      <c r="H791" s="2"/>
      <c r="I791" s="5"/>
    </row>
    <row r="792" spans="1:9" ht="17.399999999999999" x14ac:dyDescent="0.25">
      <c r="A792" s="16"/>
      <c r="B792" s="17"/>
      <c r="C792" s="2"/>
      <c r="D792" s="2"/>
      <c r="E792" s="2"/>
      <c r="F792" s="2"/>
      <c r="G792" s="2"/>
      <c r="H792" s="2"/>
      <c r="I792" s="5"/>
    </row>
    <row r="793" spans="1:9" ht="17.399999999999999" x14ac:dyDescent="0.25">
      <c r="A793" s="16"/>
      <c r="B793" s="17"/>
      <c r="C793" s="2"/>
      <c r="D793" s="2"/>
      <c r="E793" s="2"/>
      <c r="F793" s="2"/>
      <c r="G793" s="2"/>
      <c r="H793" s="2"/>
      <c r="I793" s="5"/>
    </row>
    <row r="794" spans="1:9" ht="17.399999999999999" x14ac:dyDescent="0.25">
      <c r="A794" s="16"/>
      <c r="B794" s="17"/>
      <c r="C794" s="2"/>
      <c r="D794" s="2"/>
      <c r="E794" s="2"/>
      <c r="F794" s="2"/>
      <c r="G794" s="2"/>
      <c r="H794" s="2"/>
      <c r="I794" s="5"/>
    </row>
    <row r="795" spans="1:9" ht="17.399999999999999" x14ac:dyDescent="0.25">
      <c r="A795" s="16"/>
      <c r="B795" s="17"/>
      <c r="C795" s="2"/>
      <c r="D795" s="2"/>
      <c r="E795" s="2"/>
      <c r="F795" s="2"/>
      <c r="G795" s="2"/>
      <c r="H795" s="2"/>
      <c r="I795" s="5"/>
    </row>
    <row r="796" spans="1:9" ht="17.399999999999999" x14ac:dyDescent="0.25">
      <c r="A796" s="16"/>
      <c r="B796" s="17"/>
      <c r="C796" s="2"/>
      <c r="D796" s="2"/>
      <c r="E796" s="2"/>
      <c r="F796" s="2"/>
      <c r="G796" s="2"/>
      <c r="H796" s="2"/>
      <c r="I796" s="5"/>
    </row>
    <row r="797" spans="1:9" ht="17.399999999999999" x14ac:dyDescent="0.25">
      <c r="A797" s="16"/>
      <c r="B797" s="17"/>
      <c r="C797" s="2"/>
      <c r="D797" s="2"/>
      <c r="E797" s="2"/>
      <c r="F797" s="2"/>
      <c r="G797" s="2"/>
      <c r="H797" s="2"/>
      <c r="I797" s="5"/>
    </row>
    <row r="798" spans="1:9" ht="17.399999999999999" x14ac:dyDescent="0.25">
      <c r="A798" s="16"/>
      <c r="B798" s="17"/>
      <c r="C798" s="2"/>
      <c r="D798" s="2"/>
      <c r="E798" s="2"/>
      <c r="F798" s="2"/>
      <c r="G798" s="2"/>
      <c r="H798" s="2"/>
      <c r="I798" s="5"/>
    </row>
    <row r="799" spans="1:9" ht="17.399999999999999" x14ac:dyDescent="0.25">
      <c r="A799" s="16"/>
      <c r="B799" s="17"/>
      <c r="C799" s="2"/>
      <c r="D799" s="2"/>
      <c r="E799" s="2"/>
      <c r="F799" s="2"/>
      <c r="G799" s="2"/>
      <c r="H799" s="2"/>
      <c r="I799" s="5"/>
    </row>
    <row r="800" spans="1:9" ht="17.399999999999999" x14ac:dyDescent="0.25">
      <c r="A800" s="16"/>
      <c r="B800" s="17"/>
      <c r="C800" s="2"/>
      <c r="D800" s="2"/>
      <c r="E800" s="2"/>
      <c r="F800" s="2"/>
      <c r="G800" s="2"/>
      <c r="H800" s="2"/>
      <c r="I800" s="5"/>
    </row>
    <row r="801" spans="1:9" ht="17.399999999999999" x14ac:dyDescent="0.25">
      <c r="A801" s="16"/>
      <c r="B801" s="17"/>
      <c r="C801" s="2"/>
      <c r="D801" s="2"/>
      <c r="E801" s="2"/>
      <c r="F801" s="2"/>
      <c r="G801" s="2"/>
      <c r="H801" s="2"/>
      <c r="I801" s="5"/>
    </row>
    <row r="802" spans="1:9" ht="17.399999999999999" x14ac:dyDescent="0.25">
      <c r="A802" s="16"/>
      <c r="B802" s="17"/>
      <c r="C802" s="2"/>
      <c r="D802" s="2"/>
      <c r="E802" s="2"/>
      <c r="F802" s="2"/>
      <c r="G802" s="2"/>
      <c r="H802" s="2"/>
      <c r="I802" s="5"/>
    </row>
    <row r="803" spans="1:9" ht="17.399999999999999" x14ac:dyDescent="0.25">
      <c r="A803" s="16"/>
      <c r="B803" s="17"/>
      <c r="C803" s="2"/>
      <c r="D803" s="2"/>
      <c r="E803" s="2"/>
      <c r="F803" s="2"/>
      <c r="G803" s="2"/>
      <c r="H803" s="2"/>
      <c r="I803" s="5"/>
    </row>
    <row r="804" spans="1:9" ht="17.399999999999999" x14ac:dyDescent="0.25">
      <c r="A804" s="16"/>
      <c r="B804" s="17"/>
      <c r="C804" s="2"/>
      <c r="D804" s="2"/>
      <c r="E804" s="2"/>
      <c r="F804" s="2"/>
      <c r="G804" s="2"/>
      <c r="H804" s="2"/>
      <c r="I804" s="5"/>
    </row>
    <row r="805" spans="1:9" ht="17.399999999999999" x14ac:dyDescent="0.25">
      <c r="A805" s="16"/>
      <c r="B805" s="17"/>
      <c r="C805" s="2"/>
      <c r="D805" s="2"/>
      <c r="E805" s="2"/>
      <c r="F805" s="2"/>
      <c r="G805" s="2"/>
      <c r="H805" s="2"/>
      <c r="I805" s="5"/>
    </row>
    <row r="806" spans="1:9" ht="17.399999999999999" x14ac:dyDescent="0.25">
      <c r="A806" s="16"/>
      <c r="B806" s="17"/>
      <c r="C806" s="2"/>
      <c r="D806" s="2"/>
      <c r="E806" s="2"/>
      <c r="F806" s="2"/>
      <c r="G806" s="2"/>
      <c r="H806" s="2"/>
      <c r="I806" s="5"/>
    </row>
    <row r="807" spans="1:9" ht="17.399999999999999" x14ac:dyDescent="0.25">
      <c r="A807" s="16"/>
      <c r="B807" s="17"/>
      <c r="C807" s="2"/>
      <c r="D807" s="2"/>
      <c r="E807" s="2"/>
      <c r="F807" s="2"/>
      <c r="G807" s="2"/>
      <c r="H807" s="2"/>
      <c r="I807" s="5"/>
    </row>
    <row r="808" spans="1:9" ht="17.399999999999999" x14ac:dyDescent="0.25">
      <c r="A808" s="16"/>
      <c r="B808" s="17"/>
      <c r="C808" s="2"/>
      <c r="D808" s="2"/>
      <c r="E808" s="2"/>
      <c r="F808" s="2"/>
      <c r="G808" s="2"/>
      <c r="H808" s="2"/>
      <c r="I808" s="5"/>
    </row>
    <row r="809" spans="1:9" ht="17.399999999999999" x14ac:dyDescent="0.25">
      <c r="A809" s="16"/>
      <c r="B809" s="17"/>
      <c r="C809" s="2"/>
      <c r="D809" s="2"/>
      <c r="E809" s="2"/>
      <c r="F809" s="2"/>
      <c r="G809" s="2"/>
      <c r="H809" s="2"/>
      <c r="I809" s="5"/>
    </row>
    <row r="810" spans="1:9" ht="17.399999999999999" x14ac:dyDescent="0.25">
      <c r="A810" s="16"/>
      <c r="B810" s="17"/>
      <c r="C810" s="2"/>
      <c r="D810" s="2"/>
      <c r="E810" s="2"/>
      <c r="F810" s="2"/>
      <c r="G810" s="2"/>
      <c r="H810" s="2"/>
      <c r="I810" s="5"/>
    </row>
    <row r="811" spans="1:9" ht="17.399999999999999" x14ac:dyDescent="0.25">
      <c r="A811" s="16"/>
      <c r="B811" s="17"/>
      <c r="C811" s="2"/>
      <c r="D811" s="2"/>
      <c r="E811" s="2"/>
      <c r="F811" s="2"/>
      <c r="G811" s="2"/>
      <c r="H811" s="2"/>
      <c r="I811" s="5"/>
    </row>
    <row r="812" spans="1:9" ht="17.399999999999999" x14ac:dyDescent="0.25">
      <c r="A812" s="16"/>
      <c r="B812" s="17"/>
      <c r="C812" s="2"/>
      <c r="D812" s="2"/>
      <c r="E812" s="2"/>
      <c r="F812" s="2"/>
      <c r="G812" s="2"/>
      <c r="H812" s="2"/>
      <c r="I812" s="5"/>
    </row>
    <row r="813" spans="1:9" ht="17.399999999999999" x14ac:dyDescent="0.25">
      <c r="A813" s="16"/>
      <c r="B813" s="17"/>
      <c r="C813" s="2"/>
      <c r="D813" s="2"/>
      <c r="E813" s="2"/>
      <c r="F813" s="2"/>
      <c r="G813" s="2"/>
      <c r="H813" s="2"/>
      <c r="I813" s="5"/>
    </row>
    <row r="814" spans="1:9" ht="17.399999999999999" x14ac:dyDescent="0.25">
      <c r="A814" s="16"/>
      <c r="B814" s="17"/>
      <c r="C814" s="2"/>
      <c r="D814" s="2"/>
      <c r="E814" s="2"/>
      <c r="F814" s="2"/>
      <c r="G814" s="2"/>
      <c r="H814" s="2"/>
      <c r="I814" s="5"/>
    </row>
    <row r="815" spans="1:9" ht="17.399999999999999" x14ac:dyDescent="0.25">
      <c r="A815" s="16"/>
      <c r="B815" s="17"/>
      <c r="C815" s="2"/>
      <c r="D815" s="2"/>
      <c r="E815" s="2"/>
      <c r="F815" s="2"/>
      <c r="G815" s="2"/>
      <c r="H815" s="2"/>
      <c r="I815" s="5"/>
    </row>
    <row r="816" spans="1:9" ht="17.399999999999999" x14ac:dyDescent="0.25">
      <c r="A816" s="16"/>
      <c r="B816" s="17"/>
      <c r="C816" s="2"/>
      <c r="D816" s="2"/>
      <c r="E816" s="2"/>
      <c r="F816" s="2"/>
      <c r="G816" s="2"/>
      <c r="H816" s="2"/>
      <c r="I816" s="5"/>
    </row>
    <row r="817" spans="1:9" ht="17.399999999999999" x14ac:dyDescent="0.25">
      <c r="A817" s="16"/>
      <c r="B817" s="17"/>
      <c r="C817" s="2"/>
      <c r="D817" s="2"/>
      <c r="E817" s="2"/>
      <c r="F817" s="2"/>
      <c r="G817" s="2"/>
      <c r="H817" s="2"/>
      <c r="I817" s="5"/>
    </row>
    <row r="818" spans="1:9" ht="17.399999999999999" x14ac:dyDescent="0.25">
      <c r="A818" s="16"/>
      <c r="B818" s="17"/>
      <c r="C818" s="2"/>
      <c r="D818" s="2"/>
      <c r="E818" s="2"/>
      <c r="F818" s="2"/>
      <c r="G818" s="2"/>
      <c r="H818" s="2"/>
      <c r="I818" s="5"/>
    </row>
    <row r="819" spans="1:9" ht="17.399999999999999" x14ac:dyDescent="0.25">
      <c r="A819" s="16"/>
      <c r="B819" s="17"/>
      <c r="C819" s="2"/>
      <c r="D819" s="2"/>
      <c r="E819" s="2"/>
      <c r="F819" s="2"/>
      <c r="G819" s="2"/>
      <c r="H819" s="2"/>
      <c r="I819" s="5"/>
    </row>
    <row r="820" spans="1:9" ht="17.399999999999999" x14ac:dyDescent="0.25">
      <c r="A820" s="16"/>
      <c r="B820" s="17"/>
      <c r="C820" s="2"/>
      <c r="D820" s="2"/>
      <c r="E820" s="2"/>
      <c r="F820" s="2"/>
      <c r="G820" s="2"/>
      <c r="H820" s="2"/>
      <c r="I820" s="5"/>
    </row>
    <row r="821" spans="1:9" ht="17.399999999999999" x14ac:dyDescent="0.25">
      <c r="A821" s="16"/>
      <c r="B821" s="17"/>
      <c r="C821" s="2"/>
      <c r="D821" s="2"/>
      <c r="E821" s="2"/>
      <c r="F821" s="2"/>
      <c r="G821" s="2"/>
      <c r="H821" s="2"/>
      <c r="I821" s="5"/>
    </row>
    <row r="822" spans="1:9" ht="17.399999999999999" x14ac:dyDescent="0.25">
      <c r="A822" s="16"/>
      <c r="B822" s="17"/>
      <c r="C822" s="2"/>
      <c r="D822" s="2"/>
      <c r="E822" s="2"/>
      <c r="F822" s="2"/>
      <c r="G822" s="2"/>
      <c r="H822" s="2"/>
      <c r="I822" s="5"/>
    </row>
    <row r="823" spans="1:9" ht="17.399999999999999" x14ac:dyDescent="0.25">
      <c r="A823" s="16"/>
      <c r="B823" s="17"/>
      <c r="C823" s="2"/>
      <c r="D823" s="2"/>
      <c r="E823" s="2"/>
      <c r="F823" s="2"/>
      <c r="G823" s="2"/>
      <c r="H823" s="2"/>
      <c r="I823" s="5"/>
    </row>
    <row r="824" spans="1:9" ht="17.399999999999999" x14ac:dyDescent="0.25">
      <c r="A824" s="16"/>
      <c r="B824" s="17"/>
      <c r="C824" s="2"/>
      <c r="D824" s="2"/>
      <c r="E824" s="2"/>
      <c r="F824" s="2"/>
      <c r="G824" s="2"/>
      <c r="H824" s="2"/>
      <c r="I824" s="5"/>
    </row>
    <row r="825" spans="1:9" ht="17.399999999999999" x14ac:dyDescent="0.25">
      <c r="A825" s="16"/>
      <c r="B825" s="17"/>
      <c r="C825" s="2"/>
      <c r="D825" s="2"/>
      <c r="E825" s="2"/>
      <c r="F825" s="2"/>
      <c r="G825" s="2"/>
      <c r="H825" s="2"/>
      <c r="I825" s="5"/>
    </row>
    <row r="826" spans="1:9" ht="17.399999999999999" x14ac:dyDescent="0.25">
      <c r="A826" s="16"/>
      <c r="B826" s="17"/>
      <c r="C826" s="2"/>
      <c r="D826" s="2"/>
      <c r="E826" s="2"/>
      <c r="F826" s="2"/>
      <c r="G826" s="2"/>
      <c r="H826" s="2"/>
      <c r="I826" s="5"/>
    </row>
    <row r="827" spans="1:9" ht="17.399999999999999" x14ac:dyDescent="0.25">
      <c r="A827" s="16"/>
      <c r="B827" s="17"/>
      <c r="C827" s="2"/>
      <c r="D827" s="2"/>
      <c r="E827" s="2"/>
      <c r="F827" s="2"/>
      <c r="G827" s="2"/>
      <c r="H827" s="2"/>
      <c r="I827" s="5"/>
    </row>
    <row r="828" spans="1:9" ht="17.399999999999999" x14ac:dyDescent="0.25">
      <c r="A828" s="16"/>
      <c r="B828" s="17"/>
      <c r="C828" s="2"/>
      <c r="D828" s="2"/>
      <c r="E828" s="2"/>
      <c r="F828" s="2"/>
      <c r="G828" s="2"/>
      <c r="H828" s="2"/>
      <c r="I828" s="5"/>
    </row>
    <row r="829" spans="1:9" ht="17.399999999999999" x14ac:dyDescent="0.25">
      <c r="A829" s="16"/>
      <c r="B829" s="17"/>
      <c r="C829" s="2"/>
      <c r="D829" s="2"/>
      <c r="E829" s="2"/>
      <c r="F829" s="2"/>
      <c r="G829" s="2"/>
      <c r="H829" s="2"/>
      <c r="I829" s="5"/>
    </row>
    <row r="830" spans="1:9" ht="17.399999999999999" x14ac:dyDescent="0.25">
      <c r="A830" s="16"/>
      <c r="B830" s="17"/>
      <c r="C830" s="2"/>
      <c r="D830" s="2"/>
      <c r="E830" s="2"/>
      <c r="F830" s="2"/>
      <c r="G830" s="2"/>
      <c r="H830" s="2"/>
      <c r="I830" s="5"/>
    </row>
    <row r="831" spans="1:9" ht="17.399999999999999" x14ac:dyDescent="0.25">
      <c r="A831" s="16"/>
      <c r="B831" s="17"/>
      <c r="C831" s="2"/>
      <c r="D831" s="2"/>
      <c r="E831" s="2"/>
      <c r="F831" s="2"/>
      <c r="G831" s="2"/>
      <c r="H831" s="2"/>
      <c r="I831" s="5"/>
    </row>
    <row r="832" spans="1:9" ht="17.399999999999999" x14ac:dyDescent="0.25">
      <c r="A832" s="16"/>
      <c r="B832" s="17"/>
      <c r="C832" s="2"/>
      <c r="D832" s="2"/>
      <c r="E832" s="2"/>
      <c r="F832" s="2"/>
      <c r="G832" s="2"/>
      <c r="H832" s="2"/>
      <c r="I832" s="5"/>
    </row>
    <row r="833" spans="1:9" ht="17.399999999999999" x14ac:dyDescent="0.25">
      <c r="A833" s="16"/>
      <c r="B833" s="17"/>
      <c r="C833" s="2"/>
      <c r="D833" s="2"/>
      <c r="E833" s="2"/>
      <c r="F833" s="2"/>
      <c r="G833" s="2"/>
      <c r="H833" s="2"/>
      <c r="I833" s="5"/>
    </row>
    <row r="834" spans="1:9" ht="17.399999999999999" x14ac:dyDescent="0.25">
      <c r="A834" s="16"/>
      <c r="B834" s="17"/>
      <c r="C834" s="2"/>
      <c r="D834" s="2"/>
      <c r="E834" s="2"/>
      <c r="F834" s="2"/>
      <c r="G834" s="2"/>
      <c r="H834" s="2"/>
      <c r="I834" s="5"/>
    </row>
    <row r="835" spans="1:9" ht="17.399999999999999" x14ac:dyDescent="0.25">
      <c r="A835" s="16"/>
      <c r="B835" s="17"/>
      <c r="C835" s="2"/>
      <c r="D835" s="2"/>
      <c r="E835" s="2"/>
      <c r="F835" s="2"/>
      <c r="G835" s="2"/>
      <c r="H835" s="2"/>
      <c r="I835" s="5"/>
    </row>
    <row r="836" spans="1:9" ht="17.399999999999999" x14ac:dyDescent="0.25">
      <c r="A836" s="16"/>
      <c r="B836" s="17"/>
      <c r="C836" s="2"/>
      <c r="D836" s="2"/>
      <c r="E836" s="2"/>
      <c r="F836" s="2"/>
      <c r="G836" s="2"/>
      <c r="H836" s="2"/>
      <c r="I836" s="5"/>
    </row>
    <row r="837" spans="1:9" ht="17.399999999999999" x14ac:dyDescent="0.25">
      <c r="A837" s="16"/>
      <c r="B837" s="17"/>
      <c r="C837" s="2"/>
      <c r="D837" s="2"/>
      <c r="E837" s="2"/>
      <c r="F837" s="2"/>
      <c r="G837" s="2"/>
      <c r="H837" s="2"/>
      <c r="I837" s="5"/>
    </row>
    <row r="838" spans="1:9" ht="17.399999999999999" x14ac:dyDescent="0.25">
      <c r="A838" s="16"/>
      <c r="B838" s="17"/>
      <c r="C838" s="2"/>
      <c r="D838" s="2"/>
      <c r="E838" s="2"/>
      <c r="F838" s="2"/>
      <c r="G838" s="2"/>
      <c r="H838" s="2"/>
      <c r="I838" s="5"/>
    </row>
    <row r="839" spans="1:9" ht="17.399999999999999" x14ac:dyDescent="0.25">
      <c r="A839" s="16"/>
      <c r="B839" s="17"/>
      <c r="C839" s="2"/>
      <c r="D839" s="2"/>
      <c r="E839" s="2"/>
      <c r="F839" s="2"/>
      <c r="G839" s="2"/>
      <c r="H839" s="2"/>
      <c r="I839" s="5"/>
    </row>
    <row r="840" spans="1:9" ht="17.399999999999999" x14ac:dyDescent="0.25">
      <c r="A840" s="16"/>
      <c r="B840" s="17"/>
      <c r="C840" s="2"/>
      <c r="D840" s="2"/>
      <c r="E840" s="2"/>
      <c r="F840" s="2"/>
      <c r="G840" s="2"/>
      <c r="H840" s="2"/>
      <c r="I840" s="5"/>
    </row>
    <row r="841" spans="1:9" ht="17.399999999999999" x14ac:dyDescent="0.25">
      <c r="A841" s="16"/>
      <c r="B841" s="17"/>
      <c r="C841" s="2"/>
      <c r="D841" s="2"/>
      <c r="E841" s="2"/>
      <c r="F841" s="2"/>
      <c r="G841" s="2"/>
      <c r="H841" s="2"/>
      <c r="I841" s="5"/>
    </row>
    <row r="842" spans="1:9" ht="17.399999999999999" x14ac:dyDescent="0.25">
      <c r="A842" s="16"/>
      <c r="B842" s="17"/>
      <c r="C842" s="2"/>
      <c r="D842" s="2"/>
      <c r="E842" s="2"/>
      <c r="F842" s="2"/>
      <c r="G842" s="2"/>
      <c r="H842" s="2"/>
      <c r="I842" s="5"/>
    </row>
    <row r="843" spans="1:9" ht="17.399999999999999" x14ac:dyDescent="0.25">
      <c r="A843" s="16"/>
      <c r="B843" s="17"/>
      <c r="C843" s="2"/>
      <c r="D843" s="2"/>
      <c r="E843" s="2"/>
      <c r="F843" s="2"/>
      <c r="G843" s="2"/>
      <c r="H843" s="2"/>
      <c r="I843" s="5"/>
    </row>
    <row r="844" spans="1:9" ht="17.399999999999999" x14ac:dyDescent="0.25">
      <c r="A844" s="16"/>
      <c r="B844" s="17"/>
      <c r="C844" s="2"/>
      <c r="D844" s="2"/>
      <c r="E844" s="2"/>
      <c r="F844" s="2"/>
      <c r="G844" s="2"/>
      <c r="H844" s="2"/>
      <c r="I844" s="5"/>
    </row>
    <row r="845" spans="1:9" ht="17.399999999999999" x14ac:dyDescent="0.25">
      <c r="A845" s="16"/>
      <c r="B845" s="17"/>
      <c r="C845" s="2"/>
      <c r="D845" s="2"/>
      <c r="E845" s="2"/>
      <c r="F845" s="2"/>
      <c r="G845" s="2"/>
      <c r="H845" s="2"/>
      <c r="I845" s="5"/>
    </row>
    <row r="846" spans="1:9" ht="17.399999999999999" x14ac:dyDescent="0.25">
      <c r="A846" s="16"/>
      <c r="B846" s="17"/>
      <c r="C846" s="2"/>
      <c r="D846" s="2"/>
      <c r="E846" s="2"/>
      <c r="F846" s="2"/>
      <c r="G846" s="2"/>
      <c r="H846" s="2"/>
      <c r="I846" s="5"/>
    </row>
    <row r="847" spans="1:9" ht="17.399999999999999" x14ac:dyDescent="0.25">
      <c r="A847" s="16"/>
      <c r="B847" s="17"/>
      <c r="C847" s="2"/>
      <c r="D847" s="2"/>
      <c r="E847" s="2"/>
      <c r="F847" s="2"/>
      <c r="G847" s="2"/>
      <c r="H847" s="2"/>
      <c r="I847" s="5"/>
    </row>
    <row r="848" spans="1:9" ht="17.399999999999999" x14ac:dyDescent="0.25">
      <c r="A848" s="16"/>
      <c r="B848" s="17"/>
      <c r="C848" s="2"/>
      <c r="D848" s="2"/>
      <c r="E848" s="2"/>
      <c r="F848" s="2"/>
      <c r="G848" s="2"/>
      <c r="H848" s="2"/>
      <c r="I848" s="5"/>
    </row>
    <row r="849" spans="1:9" ht="17.399999999999999" x14ac:dyDescent="0.25">
      <c r="A849" s="16"/>
      <c r="B849" s="17"/>
      <c r="C849" s="2"/>
      <c r="D849" s="2"/>
      <c r="E849" s="2"/>
      <c r="F849" s="2"/>
      <c r="G849" s="2"/>
      <c r="H849" s="2"/>
      <c r="I849" s="5"/>
    </row>
    <row r="850" spans="1:9" ht="17.399999999999999" x14ac:dyDescent="0.25">
      <c r="A850" s="16"/>
      <c r="B850" s="17"/>
      <c r="C850" s="2"/>
      <c r="D850" s="2"/>
      <c r="E850" s="2"/>
      <c r="F850" s="2"/>
      <c r="G850" s="2"/>
      <c r="H850" s="2"/>
      <c r="I850" s="5"/>
    </row>
    <row r="851" spans="1:9" ht="17.399999999999999" x14ac:dyDescent="0.25">
      <c r="A851" s="16"/>
      <c r="B851" s="17"/>
      <c r="C851" s="2"/>
      <c r="D851" s="2"/>
      <c r="E851" s="2"/>
      <c r="F851" s="2"/>
      <c r="G851" s="2"/>
      <c r="H851" s="2"/>
      <c r="I851" s="5"/>
    </row>
    <row r="852" spans="1:9" ht="17.399999999999999" x14ac:dyDescent="0.25">
      <c r="A852" s="16"/>
      <c r="B852" s="17"/>
      <c r="C852" s="2"/>
      <c r="D852" s="2"/>
      <c r="E852" s="2"/>
      <c r="F852" s="2"/>
      <c r="G852" s="2"/>
      <c r="H852" s="2"/>
      <c r="I852" s="5"/>
    </row>
    <row r="853" spans="1:9" ht="17.399999999999999" x14ac:dyDescent="0.25">
      <c r="A853" s="16"/>
      <c r="B853" s="17"/>
      <c r="C853" s="2"/>
      <c r="D853" s="2"/>
      <c r="E853" s="2"/>
      <c r="F853" s="2"/>
      <c r="G853" s="2"/>
      <c r="H853" s="2"/>
      <c r="I853" s="5"/>
    </row>
    <row r="854" spans="1:9" ht="17.399999999999999" x14ac:dyDescent="0.25">
      <c r="A854" s="16"/>
      <c r="B854" s="17"/>
      <c r="C854" s="2"/>
      <c r="D854" s="2"/>
      <c r="E854" s="2"/>
      <c r="F854" s="2"/>
      <c r="G854" s="2"/>
      <c r="H854" s="2"/>
      <c r="I854" s="5"/>
    </row>
    <row r="855" spans="1:9" ht="17.399999999999999" x14ac:dyDescent="0.25">
      <c r="A855" s="16"/>
      <c r="B855" s="17"/>
      <c r="C855" s="2"/>
      <c r="D855" s="2"/>
      <c r="E855" s="2"/>
      <c r="F855" s="2"/>
      <c r="G855" s="2"/>
      <c r="H855" s="2"/>
      <c r="I855" s="5"/>
    </row>
    <row r="856" spans="1:9" ht="17.399999999999999" x14ac:dyDescent="0.25">
      <c r="A856" s="16"/>
      <c r="B856" s="17"/>
      <c r="C856" s="2"/>
      <c r="D856" s="2"/>
      <c r="E856" s="2"/>
      <c r="F856" s="2"/>
      <c r="G856" s="2"/>
      <c r="H856" s="2"/>
      <c r="I856" s="5"/>
    </row>
    <row r="857" spans="1:9" ht="17.399999999999999" x14ac:dyDescent="0.25">
      <c r="A857" s="16"/>
      <c r="B857" s="17"/>
      <c r="C857" s="2"/>
      <c r="D857" s="2"/>
      <c r="E857" s="2"/>
      <c r="F857" s="2"/>
      <c r="G857" s="2"/>
      <c r="H857" s="2"/>
      <c r="I857" s="5"/>
    </row>
    <row r="858" spans="1:9" ht="17.399999999999999" x14ac:dyDescent="0.25">
      <c r="A858" s="16"/>
      <c r="B858" s="17"/>
      <c r="C858" s="2"/>
      <c r="D858" s="2"/>
      <c r="E858" s="2"/>
      <c r="F858" s="2"/>
      <c r="G858" s="2"/>
      <c r="H858" s="2"/>
      <c r="I858" s="5"/>
    </row>
    <row r="859" spans="1:9" ht="17.399999999999999" x14ac:dyDescent="0.25">
      <c r="A859" s="16"/>
      <c r="B859" s="17"/>
      <c r="C859" s="2"/>
      <c r="D859" s="2"/>
      <c r="E859" s="2"/>
      <c r="F859" s="2"/>
      <c r="G859" s="2"/>
      <c r="H859" s="2"/>
      <c r="I859" s="5"/>
    </row>
    <row r="860" spans="1:9" ht="17.399999999999999" x14ac:dyDescent="0.25">
      <c r="A860" s="16"/>
      <c r="B860" s="17"/>
      <c r="C860" s="2"/>
      <c r="D860" s="2"/>
      <c r="E860" s="2"/>
      <c r="F860" s="2"/>
      <c r="G860" s="2"/>
      <c r="H860" s="2"/>
      <c r="I860" s="5"/>
    </row>
    <row r="861" spans="1:9" ht="17.399999999999999" x14ac:dyDescent="0.25">
      <c r="A861" s="16"/>
      <c r="B861" s="17"/>
      <c r="C861" s="2"/>
      <c r="D861" s="2"/>
      <c r="E861" s="2"/>
      <c r="F861" s="2"/>
      <c r="G861" s="2"/>
      <c r="H861" s="2"/>
      <c r="I861" s="5"/>
    </row>
    <row r="862" spans="1:9" ht="17.399999999999999" x14ac:dyDescent="0.25">
      <c r="A862" s="16"/>
      <c r="B862" s="17"/>
      <c r="C862" s="2"/>
      <c r="D862" s="2"/>
      <c r="E862" s="2"/>
      <c r="F862" s="2"/>
      <c r="G862" s="2"/>
      <c r="H862" s="2"/>
      <c r="I862" s="5"/>
    </row>
    <row r="863" spans="1:9" ht="17.399999999999999" x14ac:dyDescent="0.25">
      <c r="A863" s="16"/>
      <c r="B863" s="17"/>
      <c r="C863" s="2"/>
      <c r="D863" s="2"/>
      <c r="E863" s="2"/>
      <c r="F863" s="2"/>
      <c r="G863" s="2"/>
      <c r="H863" s="2"/>
      <c r="I863" s="5"/>
    </row>
    <row r="864" spans="1:9" ht="17.399999999999999" x14ac:dyDescent="0.25">
      <c r="A864" s="16"/>
      <c r="B864" s="17"/>
      <c r="C864" s="2"/>
      <c r="D864" s="2"/>
      <c r="E864" s="2"/>
      <c r="F864" s="2"/>
      <c r="G864" s="2"/>
      <c r="H864" s="2"/>
      <c r="I864" s="5"/>
    </row>
    <row r="865" spans="1:9" ht="17.399999999999999" x14ac:dyDescent="0.25">
      <c r="A865" s="16"/>
      <c r="B865" s="17"/>
      <c r="C865" s="2"/>
      <c r="D865" s="2"/>
      <c r="E865" s="2"/>
      <c r="F865" s="2"/>
      <c r="G865" s="2"/>
      <c r="H865" s="2"/>
      <c r="I865" s="5"/>
    </row>
    <row r="866" spans="1:9" ht="17.399999999999999" x14ac:dyDescent="0.25">
      <c r="A866" s="16"/>
      <c r="B866" s="17"/>
      <c r="C866" s="2"/>
      <c r="D866" s="2"/>
      <c r="E866" s="2"/>
      <c r="F866" s="2"/>
      <c r="G866" s="2"/>
      <c r="H866" s="2"/>
      <c r="I866" s="5"/>
    </row>
    <row r="867" spans="1:9" ht="17.399999999999999" x14ac:dyDescent="0.25">
      <c r="A867" s="16"/>
      <c r="B867" s="17"/>
      <c r="C867" s="2"/>
      <c r="D867" s="2"/>
      <c r="E867" s="2"/>
      <c r="F867" s="2"/>
      <c r="G867" s="2"/>
      <c r="H867" s="2"/>
      <c r="I867" s="5"/>
    </row>
    <row r="868" spans="1:9" ht="17.399999999999999" x14ac:dyDescent="0.25">
      <c r="A868" s="16"/>
      <c r="B868" s="17"/>
      <c r="C868" s="2"/>
      <c r="D868" s="2"/>
      <c r="E868" s="2"/>
      <c r="F868" s="2"/>
      <c r="G868" s="2"/>
      <c r="H868" s="2"/>
      <c r="I868" s="5"/>
    </row>
    <row r="869" spans="1:9" ht="17.399999999999999" x14ac:dyDescent="0.25">
      <c r="A869" s="16"/>
      <c r="B869" s="17"/>
      <c r="C869" s="2"/>
      <c r="D869" s="2"/>
      <c r="E869" s="2"/>
      <c r="F869" s="2"/>
      <c r="G869" s="2"/>
      <c r="H869" s="2"/>
      <c r="I869" s="5"/>
    </row>
    <row r="870" spans="1:9" ht="17.399999999999999" x14ac:dyDescent="0.25">
      <c r="A870" s="16"/>
      <c r="B870" s="17"/>
      <c r="C870" s="2"/>
      <c r="D870" s="2"/>
      <c r="E870" s="2"/>
      <c r="F870" s="2"/>
      <c r="G870" s="2"/>
      <c r="H870" s="2"/>
      <c r="I870" s="5"/>
    </row>
    <row r="871" spans="1:9" ht="17.399999999999999" x14ac:dyDescent="0.25">
      <c r="A871" s="16"/>
      <c r="B871" s="17"/>
      <c r="C871" s="2"/>
      <c r="D871" s="2"/>
      <c r="E871" s="2"/>
      <c r="F871" s="2"/>
      <c r="G871" s="2"/>
      <c r="H871" s="2"/>
      <c r="I871" s="5"/>
    </row>
    <row r="872" spans="1:9" ht="17.399999999999999" x14ac:dyDescent="0.25">
      <c r="A872" s="16"/>
      <c r="B872" s="17"/>
      <c r="C872" s="2"/>
      <c r="D872" s="2"/>
      <c r="E872" s="2"/>
      <c r="F872" s="2"/>
      <c r="G872" s="2"/>
      <c r="H872" s="2"/>
      <c r="I872" s="5"/>
    </row>
    <row r="873" spans="1:9" ht="17.399999999999999" x14ac:dyDescent="0.25">
      <c r="A873" s="16"/>
      <c r="B873" s="17"/>
      <c r="C873" s="2"/>
      <c r="D873" s="2"/>
      <c r="E873" s="2"/>
      <c r="F873" s="2"/>
      <c r="G873" s="2"/>
      <c r="H873" s="2"/>
      <c r="I873" s="5"/>
    </row>
    <row r="874" spans="1:9" ht="17.399999999999999" x14ac:dyDescent="0.25">
      <c r="A874" s="16"/>
      <c r="B874" s="17"/>
      <c r="C874" s="2"/>
      <c r="D874" s="2"/>
      <c r="E874" s="2"/>
      <c r="F874" s="2"/>
      <c r="G874" s="2"/>
      <c r="H874" s="2"/>
      <c r="I874" s="5"/>
    </row>
    <row r="875" spans="1:9" ht="17.399999999999999" x14ac:dyDescent="0.25">
      <c r="A875" s="16"/>
      <c r="B875" s="17"/>
      <c r="C875" s="2"/>
      <c r="D875" s="2"/>
      <c r="E875" s="2"/>
      <c r="F875" s="2"/>
      <c r="G875" s="2"/>
      <c r="H875" s="2"/>
      <c r="I875" s="5"/>
    </row>
    <row r="876" spans="1:9" ht="17.399999999999999" x14ac:dyDescent="0.25">
      <c r="A876" s="16"/>
      <c r="B876" s="17"/>
      <c r="C876" s="2"/>
      <c r="D876" s="2"/>
      <c r="E876" s="2"/>
      <c r="F876" s="2"/>
      <c r="G876" s="2"/>
      <c r="H876" s="2"/>
      <c r="I876" s="5"/>
    </row>
    <row r="877" spans="1:9" ht="17.399999999999999" x14ac:dyDescent="0.25">
      <c r="A877" s="16"/>
      <c r="B877" s="17"/>
      <c r="C877" s="2"/>
      <c r="D877" s="2"/>
      <c r="E877" s="2"/>
      <c r="F877" s="2"/>
      <c r="G877" s="2"/>
      <c r="H877" s="2"/>
      <c r="I877" s="5"/>
    </row>
    <row r="878" spans="1:9" ht="17.399999999999999" x14ac:dyDescent="0.25">
      <c r="A878" s="16"/>
      <c r="B878" s="17"/>
      <c r="C878" s="2"/>
      <c r="D878" s="2"/>
      <c r="E878" s="2"/>
      <c r="F878" s="2"/>
      <c r="G878" s="2"/>
      <c r="H878" s="2"/>
      <c r="I878" s="5"/>
    </row>
    <row r="879" spans="1:9" ht="17.399999999999999" x14ac:dyDescent="0.25">
      <c r="A879" s="16"/>
      <c r="B879" s="17"/>
      <c r="C879" s="2"/>
      <c r="D879" s="2"/>
      <c r="E879" s="2"/>
      <c r="F879" s="2"/>
      <c r="G879" s="2"/>
      <c r="H879" s="2"/>
      <c r="I879" s="5"/>
    </row>
    <row r="880" spans="1:9" ht="17.399999999999999" x14ac:dyDescent="0.25">
      <c r="A880" s="16"/>
      <c r="B880" s="17"/>
      <c r="C880" s="2"/>
      <c r="D880" s="2"/>
      <c r="E880" s="2"/>
      <c r="F880" s="2"/>
      <c r="G880" s="2"/>
      <c r="H880" s="2"/>
      <c r="I880" s="5"/>
    </row>
    <row r="881" spans="1:9" ht="17.399999999999999" x14ac:dyDescent="0.25">
      <c r="A881" s="16"/>
      <c r="B881" s="17"/>
      <c r="C881" s="2"/>
      <c r="D881" s="2"/>
      <c r="E881" s="2"/>
      <c r="F881" s="2"/>
      <c r="G881" s="2"/>
      <c r="H881" s="2"/>
      <c r="I881" s="5"/>
    </row>
    <row r="882" spans="1:9" ht="17.399999999999999" x14ac:dyDescent="0.25">
      <c r="A882" s="16"/>
      <c r="B882" s="17"/>
      <c r="C882" s="2"/>
      <c r="D882" s="2"/>
      <c r="E882" s="2"/>
      <c r="F882" s="2"/>
      <c r="G882" s="2"/>
      <c r="H882" s="2"/>
      <c r="I882" s="5"/>
    </row>
    <row r="883" spans="1:9" ht="17.399999999999999" x14ac:dyDescent="0.25">
      <c r="A883" s="16"/>
      <c r="B883" s="17"/>
      <c r="C883" s="2"/>
      <c r="D883" s="2"/>
      <c r="E883" s="2"/>
      <c r="F883" s="2"/>
      <c r="G883" s="2"/>
      <c r="H883" s="2"/>
      <c r="I883" s="5"/>
    </row>
    <row r="884" spans="1:9" ht="17.399999999999999" x14ac:dyDescent="0.25">
      <c r="A884" s="16"/>
      <c r="B884" s="17"/>
      <c r="C884" s="2"/>
      <c r="D884" s="2"/>
      <c r="E884" s="2"/>
      <c r="F884" s="2"/>
      <c r="G884" s="2"/>
      <c r="H884" s="2"/>
      <c r="I884" s="5"/>
    </row>
    <row r="885" spans="1:9" ht="17.399999999999999" x14ac:dyDescent="0.25">
      <c r="A885" s="16"/>
      <c r="B885" s="17"/>
      <c r="C885" s="2"/>
      <c r="D885" s="2"/>
      <c r="E885" s="2"/>
      <c r="F885" s="2"/>
      <c r="G885" s="2"/>
      <c r="H885" s="2"/>
      <c r="I885" s="5"/>
    </row>
    <row r="886" spans="1:9" ht="17.399999999999999" x14ac:dyDescent="0.25">
      <c r="A886" s="16"/>
      <c r="B886" s="17"/>
      <c r="C886" s="2"/>
      <c r="D886" s="2"/>
      <c r="E886" s="2"/>
      <c r="F886" s="2"/>
      <c r="G886" s="2"/>
      <c r="H886" s="2"/>
      <c r="I886" s="5"/>
    </row>
    <row r="887" spans="1:9" ht="17.399999999999999" x14ac:dyDescent="0.25">
      <c r="A887" s="16"/>
      <c r="B887" s="17"/>
      <c r="C887" s="2"/>
      <c r="D887" s="2"/>
      <c r="E887" s="2"/>
      <c r="F887" s="2"/>
      <c r="G887" s="2"/>
      <c r="H887" s="2"/>
      <c r="I887" s="5"/>
    </row>
    <row r="888" spans="1:9" ht="17.399999999999999" x14ac:dyDescent="0.25">
      <c r="A888" s="16"/>
      <c r="B888" s="17"/>
      <c r="C888" s="2"/>
      <c r="D888" s="2"/>
      <c r="E888" s="2"/>
      <c r="F888" s="2"/>
      <c r="G888" s="2"/>
      <c r="H888" s="2"/>
      <c r="I888" s="5"/>
    </row>
    <row r="889" spans="1:9" ht="17.399999999999999" x14ac:dyDescent="0.25">
      <c r="A889" s="16"/>
      <c r="B889" s="17"/>
      <c r="C889" s="2"/>
      <c r="D889" s="2"/>
      <c r="E889" s="2"/>
      <c r="F889" s="2"/>
      <c r="G889" s="2"/>
      <c r="H889" s="2"/>
      <c r="I889" s="5"/>
    </row>
    <row r="890" spans="1:9" ht="17.399999999999999" x14ac:dyDescent="0.25">
      <c r="A890" s="16"/>
      <c r="B890" s="17"/>
      <c r="C890" s="2"/>
      <c r="D890" s="2"/>
      <c r="E890" s="2"/>
      <c r="F890" s="2"/>
      <c r="G890" s="2"/>
      <c r="H890" s="2"/>
      <c r="I890" s="5"/>
    </row>
    <row r="891" spans="1:9" ht="17.399999999999999" x14ac:dyDescent="0.25">
      <c r="A891" s="16"/>
      <c r="B891" s="17"/>
      <c r="C891" s="2"/>
      <c r="D891" s="2"/>
      <c r="E891" s="2"/>
      <c r="F891" s="2"/>
      <c r="G891" s="2"/>
      <c r="H891" s="2"/>
      <c r="I891" s="5"/>
    </row>
    <row r="892" spans="1:9" ht="17.399999999999999" x14ac:dyDescent="0.25">
      <c r="A892" s="16"/>
      <c r="B892" s="17"/>
      <c r="C892" s="2"/>
      <c r="D892" s="2"/>
      <c r="E892" s="2"/>
      <c r="F892" s="2"/>
      <c r="G892" s="2"/>
      <c r="H892" s="2"/>
      <c r="I892" s="5"/>
    </row>
    <row r="893" spans="1:9" ht="17.399999999999999" x14ac:dyDescent="0.25">
      <c r="A893" s="16"/>
      <c r="B893" s="17"/>
      <c r="C893" s="2"/>
      <c r="D893" s="2"/>
      <c r="E893" s="2"/>
      <c r="F893" s="2"/>
      <c r="G893" s="2"/>
      <c r="H893" s="2"/>
      <c r="I893" s="5"/>
    </row>
    <row r="894" spans="1:9" ht="17.399999999999999" x14ac:dyDescent="0.25">
      <c r="A894" s="16"/>
      <c r="B894" s="17"/>
      <c r="C894" s="2"/>
      <c r="D894" s="2"/>
      <c r="E894" s="2"/>
      <c r="F894" s="2"/>
      <c r="G894" s="2"/>
      <c r="H894" s="2"/>
      <c r="I894" s="5"/>
    </row>
    <row r="895" spans="1:9" ht="17.399999999999999" x14ac:dyDescent="0.25">
      <c r="A895" s="16"/>
      <c r="B895" s="17"/>
      <c r="C895" s="2"/>
      <c r="D895" s="2"/>
      <c r="E895" s="2"/>
      <c r="F895" s="2"/>
      <c r="G895" s="2"/>
      <c r="H895" s="2"/>
      <c r="I895" s="5"/>
    </row>
    <row r="896" spans="1:9" ht="17.399999999999999" x14ac:dyDescent="0.25">
      <c r="A896" s="16"/>
      <c r="B896" s="17"/>
      <c r="C896" s="2"/>
      <c r="D896" s="2"/>
      <c r="E896" s="2"/>
      <c r="F896" s="2"/>
      <c r="G896" s="2"/>
      <c r="H896" s="2"/>
      <c r="I896" s="5"/>
    </row>
    <row r="897" spans="1:9" ht="17.399999999999999" x14ac:dyDescent="0.25">
      <c r="A897" s="16"/>
      <c r="B897" s="17"/>
      <c r="C897" s="2"/>
      <c r="D897" s="2"/>
      <c r="E897" s="2"/>
      <c r="F897" s="2"/>
      <c r="G897" s="2"/>
      <c r="H897" s="2"/>
      <c r="I897" s="5"/>
    </row>
    <row r="898" spans="1:9" ht="17.399999999999999" x14ac:dyDescent="0.25">
      <c r="A898" s="16"/>
      <c r="B898" s="17"/>
      <c r="C898" s="2"/>
      <c r="D898" s="2"/>
      <c r="E898" s="2"/>
      <c r="F898" s="2"/>
      <c r="G898" s="2"/>
      <c r="H898" s="2"/>
      <c r="I898" s="5"/>
    </row>
    <row r="899" spans="1:9" ht="17.399999999999999" x14ac:dyDescent="0.25">
      <c r="A899" s="16"/>
      <c r="B899" s="17"/>
      <c r="C899" s="2"/>
      <c r="D899" s="2"/>
      <c r="E899" s="2"/>
      <c r="F899" s="2"/>
      <c r="G899" s="2"/>
      <c r="H899" s="2"/>
      <c r="I899" s="5"/>
    </row>
    <row r="900" spans="1:9" ht="17.399999999999999" x14ac:dyDescent="0.25">
      <c r="A900" s="16"/>
      <c r="B900" s="17"/>
      <c r="C900" s="2"/>
      <c r="D900" s="2"/>
      <c r="E900" s="2"/>
      <c r="F900" s="2"/>
      <c r="G900" s="2"/>
      <c r="H900" s="2"/>
      <c r="I900" s="5"/>
    </row>
    <row r="901" spans="1:9" ht="17.399999999999999" x14ac:dyDescent="0.25">
      <c r="A901" s="16"/>
      <c r="B901" s="17"/>
      <c r="C901" s="2"/>
      <c r="D901" s="2"/>
      <c r="E901" s="2"/>
      <c r="F901" s="2"/>
      <c r="G901" s="2"/>
      <c r="H901" s="2"/>
      <c r="I901" s="5"/>
    </row>
    <row r="902" spans="1:9" ht="17.399999999999999" x14ac:dyDescent="0.25">
      <c r="A902" s="16"/>
      <c r="B902" s="17"/>
      <c r="C902" s="2"/>
      <c r="D902" s="2"/>
      <c r="E902" s="2"/>
      <c r="F902" s="2"/>
      <c r="G902" s="2"/>
      <c r="H902" s="2"/>
      <c r="I902" s="5"/>
    </row>
    <row r="903" spans="1:9" ht="17.399999999999999" x14ac:dyDescent="0.25">
      <c r="A903" s="16"/>
      <c r="B903" s="17"/>
      <c r="C903" s="2"/>
      <c r="D903" s="2"/>
      <c r="E903" s="2"/>
      <c r="F903" s="2"/>
      <c r="G903" s="2"/>
      <c r="H903" s="2"/>
      <c r="I903" s="5"/>
    </row>
    <row r="904" spans="1:9" ht="17.399999999999999" x14ac:dyDescent="0.25">
      <c r="A904" s="16"/>
      <c r="B904" s="17"/>
      <c r="C904" s="2"/>
      <c r="D904" s="2"/>
      <c r="E904" s="2"/>
      <c r="F904" s="2"/>
      <c r="G904" s="2"/>
      <c r="H904" s="2"/>
      <c r="I904" s="5"/>
    </row>
    <row r="905" spans="1:9" ht="17.399999999999999" x14ac:dyDescent="0.25">
      <c r="A905" s="16"/>
      <c r="B905" s="17"/>
      <c r="C905" s="2"/>
      <c r="D905" s="2"/>
      <c r="E905" s="2"/>
      <c r="F905" s="2"/>
      <c r="G905" s="2"/>
      <c r="H905" s="2"/>
      <c r="I905" s="5"/>
    </row>
    <row r="906" spans="1:9" ht="17.399999999999999" x14ac:dyDescent="0.25">
      <c r="A906" s="16"/>
      <c r="B906" s="17"/>
      <c r="C906" s="2"/>
      <c r="D906" s="2"/>
      <c r="E906" s="2"/>
      <c r="F906" s="2"/>
      <c r="G906" s="2"/>
      <c r="H906" s="2"/>
      <c r="I906" s="5"/>
    </row>
    <row r="907" spans="1:9" ht="17.399999999999999" x14ac:dyDescent="0.25">
      <c r="A907" s="16"/>
      <c r="B907" s="17"/>
      <c r="C907" s="2"/>
      <c r="D907" s="2"/>
      <c r="E907" s="2"/>
      <c r="F907" s="2"/>
      <c r="G907" s="2"/>
      <c r="H907" s="2"/>
      <c r="I907" s="5"/>
    </row>
    <row r="908" spans="1:9" ht="17.399999999999999" x14ac:dyDescent="0.25">
      <c r="A908" s="16"/>
      <c r="B908" s="17"/>
      <c r="C908" s="2"/>
      <c r="D908" s="2"/>
      <c r="E908" s="2"/>
      <c r="F908" s="2"/>
      <c r="G908" s="2"/>
      <c r="H908" s="2"/>
      <c r="I908" s="5"/>
    </row>
    <row r="909" spans="1:9" ht="17.399999999999999" x14ac:dyDescent="0.25">
      <c r="A909" s="16"/>
      <c r="B909" s="17"/>
      <c r="C909" s="2"/>
      <c r="D909" s="2"/>
      <c r="E909" s="2"/>
      <c r="F909" s="2"/>
      <c r="G909" s="2"/>
      <c r="H909" s="2"/>
      <c r="I909" s="5"/>
    </row>
    <row r="910" spans="1:9" ht="17.399999999999999" x14ac:dyDescent="0.25">
      <c r="A910" s="16"/>
      <c r="B910" s="17"/>
      <c r="C910" s="2"/>
      <c r="D910" s="2"/>
      <c r="E910" s="2"/>
      <c r="F910" s="2"/>
      <c r="G910" s="2"/>
      <c r="H910" s="2"/>
      <c r="I910" s="5"/>
    </row>
    <row r="911" spans="1:9" ht="17.399999999999999" x14ac:dyDescent="0.25">
      <c r="A911" s="16"/>
      <c r="B911" s="17"/>
      <c r="C911" s="2"/>
      <c r="D911" s="2"/>
      <c r="E911" s="2"/>
      <c r="F911" s="2"/>
      <c r="G911" s="2"/>
      <c r="H911" s="2"/>
      <c r="I911" s="5"/>
    </row>
    <row r="912" spans="1:9" ht="17.399999999999999" x14ac:dyDescent="0.25">
      <c r="A912" s="16"/>
      <c r="B912" s="17"/>
      <c r="C912" s="2"/>
      <c r="D912" s="2"/>
      <c r="E912" s="2"/>
      <c r="F912" s="2"/>
      <c r="G912" s="2"/>
      <c r="H912" s="2"/>
      <c r="I912" s="5"/>
    </row>
    <row r="913" spans="1:9" ht="17.399999999999999" x14ac:dyDescent="0.25">
      <c r="A913" s="16"/>
      <c r="B913" s="17"/>
      <c r="C913" s="2"/>
      <c r="D913" s="2"/>
      <c r="E913" s="2"/>
      <c r="F913" s="2"/>
      <c r="G913" s="2"/>
      <c r="H913" s="2"/>
      <c r="I913" s="5"/>
    </row>
    <row r="914" spans="1:9" ht="17.399999999999999" x14ac:dyDescent="0.25">
      <c r="A914" s="16"/>
      <c r="B914" s="17"/>
      <c r="C914" s="2"/>
      <c r="D914" s="2"/>
      <c r="E914" s="2"/>
      <c r="F914" s="2"/>
      <c r="G914" s="2"/>
      <c r="H914" s="2"/>
      <c r="I914" s="5"/>
    </row>
    <row r="915" spans="1:9" ht="17.399999999999999" x14ac:dyDescent="0.25">
      <c r="A915" s="16"/>
      <c r="B915" s="17"/>
      <c r="C915" s="2"/>
      <c r="D915" s="2"/>
      <c r="E915" s="2"/>
      <c r="F915" s="2"/>
      <c r="G915" s="2"/>
      <c r="H915" s="2"/>
      <c r="I915" s="5"/>
    </row>
    <row r="916" spans="1:9" ht="17.399999999999999" x14ac:dyDescent="0.25">
      <c r="A916" s="16"/>
      <c r="B916" s="17"/>
      <c r="C916" s="2"/>
      <c r="D916" s="2"/>
      <c r="E916" s="2"/>
      <c r="F916" s="2"/>
      <c r="G916" s="2"/>
      <c r="H916" s="2"/>
      <c r="I916" s="5"/>
    </row>
    <row r="917" spans="1:9" ht="17.399999999999999" x14ac:dyDescent="0.25">
      <c r="A917" s="16"/>
      <c r="B917" s="17"/>
      <c r="C917" s="2"/>
      <c r="D917" s="2"/>
      <c r="E917" s="2"/>
      <c r="F917" s="2"/>
      <c r="G917" s="2"/>
      <c r="H917" s="2"/>
      <c r="I917" s="5"/>
    </row>
    <row r="918" spans="1:9" ht="17.399999999999999" x14ac:dyDescent="0.25">
      <c r="A918" s="16"/>
      <c r="B918" s="17"/>
      <c r="C918" s="2"/>
      <c r="D918" s="2"/>
      <c r="E918" s="2"/>
      <c r="F918" s="2"/>
      <c r="G918" s="2"/>
      <c r="H918" s="2"/>
      <c r="I918" s="5"/>
    </row>
    <row r="919" spans="1:9" ht="17.399999999999999" x14ac:dyDescent="0.25">
      <c r="A919" s="16"/>
      <c r="B919" s="17"/>
      <c r="C919" s="2"/>
      <c r="D919" s="2"/>
      <c r="E919" s="2"/>
      <c r="F919" s="2"/>
      <c r="G919" s="2"/>
      <c r="H919" s="2"/>
      <c r="I919" s="5"/>
    </row>
    <row r="920" spans="1:9" ht="17.399999999999999" x14ac:dyDescent="0.25">
      <c r="A920" s="16"/>
      <c r="B920" s="17"/>
      <c r="C920" s="2"/>
      <c r="D920" s="2"/>
      <c r="E920" s="2"/>
      <c r="F920" s="2"/>
      <c r="G920" s="2"/>
      <c r="H920" s="2"/>
      <c r="I920" s="5"/>
    </row>
    <row r="921" spans="1:9" ht="17.399999999999999" x14ac:dyDescent="0.25">
      <c r="A921" s="16"/>
      <c r="B921" s="17"/>
      <c r="C921" s="2"/>
      <c r="D921" s="2"/>
      <c r="E921" s="2"/>
      <c r="F921" s="2"/>
      <c r="G921" s="2"/>
      <c r="H921" s="2"/>
      <c r="I921" s="5"/>
    </row>
    <row r="922" spans="1:9" ht="17.399999999999999" x14ac:dyDescent="0.25">
      <c r="A922" s="16"/>
      <c r="B922" s="17"/>
      <c r="C922" s="2"/>
      <c r="D922" s="2"/>
      <c r="E922" s="2"/>
      <c r="F922" s="2"/>
      <c r="G922" s="2"/>
      <c r="H922" s="2"/>
      <c r="I922" s="5"/>
    </row>
    <row r="923" spans="1:9" ht="17.399999999999999" x14ac:dyDescent="0.25">
      <c r="A923" s="16"/>
      <c r="B923" s="17"/>
      <c r="C923" s="2"/>
      <c r="D923" s="2"/>
      <c r="E923" s="2"/>
      <c r="F923" s="2"/>
      <c r="G923" s="2"/>
      <c r="H923" s="2"/>
      <c r="I923" s="5"/>
    </row>
    <row r="924" spans="1:9" ht="17.399999999999999" x14ac:dyDescent="0.25">
      <c r="A924" s="16"/>
      <c r="B924" s="17"/>
      <c r="C924" s="2"/>
      <c r="D924" s="2"/>
      <c r="E924" s="2"/>
      <c r="F924" s="2"/>
      <c r="G924" s="2"/>
      <c r="H924" s="2"/>
      <c r="I924" s="5"/>
    </row>
    <row r="925" spans="1:9" ht="17.399999999999999" x14ac:dyDescent="0.25">
      <c r="A925" s="16"/>
      <c r="B925" s="17"/>
      <c r="C925" s="2"/>
      <c r="D925" s="2"/>
      <c r="E925" s="2"/>
      <c r="F925" s="2"/>
      <c r="G925" s="2"/>
      <c r="H925" s="2"/>
      <c r="I925" s="5"/>
    </row>
    <row r="926" spans="1:9" ht="17.399999999999999" x14ac:dyDescent="0.25">
      <c r="A926" s="16"/>
      <c r="B926" s="17"/>
      <c r="C926" s="2"/>
      <c r="D926" s="2"/>
      <c r="E926" s="2"/>
      <c r="F926" s="2"/>
      <c r="G926" s="2"/>
      <c r="H926" s="2"/>
      <c r="I926" s="5"/>
    </row>
    <row r="927" spans="1:9" ht="17.399999999999999" x14ac:dyDescent="0.25">
      <c r="A927" s="16"/>
      <c r="B927" s="17"/>
      <c r="C927" s="2"/>
      <c r="D927" s="2"/>
      <c r="E927" s="2"/>
      <c r="F927" s="2"/>
      <c r="G927" s="2"/>
      <c r="H927" s="2"/>
      <c r="I927" s="5"/>
    </row>
    <row r="928" spans="1:9" ht="17.399999999999999" x14ac:dyDescent="0.25">
      <c r="A928" s="16"/>
      <c r="B928" s="17"/>
      <c r="C928" s="2"/>
      <c r="D928" s="2"/>
      <c r="E928" s="2"/>
      <c r="F928" s="2"/>
      <c r="G928" s="2"/>
      <c r="H928" s="2"/>
      <c r="I928" s="5"/>
    </row>
    <row r="929" spans="1:9" ht="17.399999999999999" x14ac:dyDescent="0.25">
      <c r="A929" s="16"/>
      <c r="B929" s="17"/>
      <c r="C929" s="2"/>
      <c r="D929" s="2"/>
      <c r="E929" s="2"/>
      <c r="F929" s="2"/>
      <c r="G929" s="2"/>
      <c r="H929" s="2"/>
      <c r="I929" s="5"/>
    </row>
    <row r="930" spans="1:9" ht="17.399999999999999" x14ac:dyDescent="0.25">
      <c r="A930" s="16"/>
      <c r="B930" s="17"/>
      <c r="C930" s="2"/>
      <c r="D930" s="2"/>
      <c r="E930" s="2"/>
      <c r="F930" s="2"/>
      <c r="G930" s="2"/>
      <c r="H930" s="2"/>
      <c r="I930" s="5"/>
    </row>
    <row r="931" spans="1:9" ht="17.399999999999999" x14ac:dyDescent="0.25">
      <c r="A931" s="16"/>
      <c r="B931" s="17"/>
      <c r="C931" s="2"/>
      <c r="D931" s="2"/>
      <c r="E931" s="2"/>
      <c r="F931" s="2"/>
      <c r="G931" s="2"/>
      <c r="H931" s="2"/>
      <c r="I931" s="5"/>
    </row>
    <row r="932" spans="1:9" ht="17.399999999999999" x14ac:dyDescent="0.25">
      <c r="A932" s="16"/>
      <c r="B932" s="17"/>
      <c r="C932" s="2"/>
      <c r="D932" s="2"/>
      <c r="E932" s="2"/>
      <c r="F932" s="2"/>
      <c r="G932" s="2"/>
      <c r="H932" s="2"/>
      <c r="I932" s="5"/>
    </row>
    <row r="933" spans="1:9" ht="17.399999999999999" x14ac:dyDescent="0.25">
      <c r="A933" s="16"/>
      <c r="B933" s="17"/>
      <c r="C933" s="2"/>
      <c r="D933" s="2"/>
      <c r="E933" s="2"/>
      <c r="F933" s="2"/>
      <c r="G933" s="2"/>
      <c r="H933" s="2"/>
      <c r="I933" s="5"/>
    </row>
    <row r="934" spans="1:9" ht="17.399999999999999" x14ac:dyDescent="0.25">
      <c r="A934" s="16"/>
      <c r="B934" s="17"/>
      <c r="C934" s="2"/>
      <c r="D934" s="2"/>
      <c r="E934" s="2"/>
      <c r="F934" s="2"/>
      <c r="G934" s="2"/>
      <c r="H934" s="2"/>
      <c r="I934" s="5"/>
    </row>
    <row r="935" spans="1:9" ht="17.399999999999999" x14ac:dyDescent="0.25">
      <c r="A935" s="16"/>
      <c r="B935" s="17"/>
      <c r="C935" s="2"/>
      <c r="D935" s="2"/>
      <c r="E935" s="2"/>
      <c r="F935" s="2"/>
      <c r="G935" s="2"/>
      <c r="H935" s="2"/>
      <c r="I935" s="5"/>
    </row>
    <row r="936" spans="1:9" ht="17.399999999999999" x14ac:dyDescent="0.25">
      <c r="A936" s="16"/>
      <c r="B936" s="17"/>
      <c r="C936" s="2"/>
      <c r="D936" s="2"/>
      <c r="E936" s="2"/>
      <c r="F936" s="2"/>
      <c r="G936" s="2"/>
      <c r="H936" s="2"/>
      <c r="I936" s="5"/>
    </row>
    <row r="937" spans="1:9" ht="17.399999999999999" x14ac:dyDescent="0.25">
      <c r="A937" s="16"/>
      <c r="B937" s="17"/>
      <c r="C937" s="2"/>
      <c r="D937" s="2"/>
      <c r="E937" s="2"/>
      <c r="F937" s="2"/>
      <c r="G937" s="2"/>
      <c r="H937" s="2"/>
      <c r="I937" s="5"/>
    </row>
    <row r="938" spans="1:9" ht="17.399999999999999" x14ac:dyDescent="0.25">
      <c r="A938" s="16"/>
      <c r="B938" s="17"/>
      <c r="C938" s="2"/>
      <c r="D938" s="2"/>
      <c r="E938" s="2"/>
      <c r="F938" s="2"/>
      <c r="G938" s="2"/>
      <c r="H938" s="2"/>
      <c r="I938" s="5"/>
    </row>
    <row r="939" spans="1:9" ht="17.399999999999999" x14ac:dyDescent="0.25">
      <c r="A939" s="16"/>
      <c r="B939" s="17"/>
      <c r="C939" s="2"/>
      <c r="D939" s="2"/>
      <c r="E939" s="2"/>
      <c r="F939" s="2"/>
      <c r="G939" s="2"/>
      <c r="H939" s="2"/>
      <c r="I939" s="5"/>
    </row>
    <row r="940" spans="1:9" ht="17.399999999999999" x14ac:dyDescent="0.25">
      <c r="A940" s="16"/>
      <c r="B940" s="17"/>
      <c r="C940" s="2"/>
      <c r="D940" s="2"/>
      <c r="E940" s="2"/>
      <c r="F940" s="2"/>
      <c r="G940" s="2"/>
      <c r="H940" s="2"/>
      <c r="I940" s="5"/>
    </row>
    <row r="941" spans="1:9" ht="17.399999999999999" x14ac:dyDescent="0.25">
      <c r="A941" s="16"/>
      <c r="B941" s="17"/>
      <c r="C941" s="2"/>
      <c r="D941" s="2"/>
      <c r="E941" s="2"/>
      <c r="F941" s="2"/>
      <c r="G941" s="2"/>
      <c r="H941" s="2"/>
      <c r="I941" s="5"/>
    </row>
    <row r="942" spans="1:9" ht="17.399999999999999" x14ac:dyDescent="0.25">
      <c r="A942" s="16"/>
      <c r="B942" s="17"/>
      <c r="C942" s="2"/>
      <c r="D942" s="2"/>
      <c r="E942" s="2"/>
      <c r="F942" s="2"/>
      <c r="G942" s="2"/>
      <c r="H942" s="2"/>
      <c r="I942" s="5"/>
    </row>
    <row r="943" spans="1:9" ht="17.399999999999999" x14ac:dyDescent="0.25">
      <c r="A943" s="16"/>
      <c r="B943" s="17"/>
      <c r="C943" s="2"/>
      <c r="D943" s="2"/>
      <c r="E943" s="2"/>
      <c r="F943" s="2"/>
      <c r="G943" s="2"/>
      <c r="H943" s="2"/>
      <c r="I943" s="5"/>
    </row>
    <row r="944" spans="1:9" ht="17.399999999999999" x14ac:dyDescent="0.25">
      <c r="A944" s="16"/>
      <c r="B944" s="17"/>
      <c r="C944" s="2"/>
      <c r="D944" s="2"/>
      <c r="E944" s="2"/>
      <c r="F944" s="2"/>
      <c r="G944" s="2"/>
      <c r="H944" s="2"/>
      <c r="I944" s="5"/>
    </row>
    <row r="945" spans="1:9" ht="17.399999999999999" x14ac:dyDescent="0.25">
      <c r="A945" s="16"/>
      <c r="B945" s="17"/>
      <c r="C945" s="2"/>
      <c r="D945" s="2"/>
      <c r="E945" s="2"/>
      <c r="F945" s="2"/>
      <c r="G945" s="2"/>
      <c r="H945" s="2"/>
      <c r="I945" s="5"/>
    </row>
    <row r="946" spans="1:9" ht="17.399999999999999" x14ac:dyDescent="0.25">
      <c r="A946" s="16"/>
      <c r="B946" s="17"/>
      <c r="C946" s="2"/>
      <c r="D946" s="2"/>
      <c r="E946" s="2"/>
      <c r="F946" s="2"/>
      <c r="G946" s="2"/>
      <c r="H946" s="2"/>
      <c r="I946" s="5"/>
    </row>
    <row r="947" spans="1:9" ht="17.399999999999999" x14ac:dyDescent="0.25">
      <c r="A947" s="16"/>
      <c r="B947" s="17"/>
      <c r="C947" s="2"/>
      <c r="D947" s="2"/>
      <c r="E947" s="2"/>
      <c r="F947" s="2"/>
      <c r="G947" s="2"/>
      <c r="H947" s="2"/>
      <c r="I947" s="5"/>
    </row>
    <row r="948" spans="1:9" ht="17.399999999999999" x14ac:dyDescent="0.25">
      <c r="A948" s="16"/>
      <c r="B948" s="17"/>
      <c r="C948" s="2"/>
      <c r="D948" s="2"/>
      <c r="E948" s="2"/>
      <c r="F948" s="2"/>
      <c r="G948" s="2"/>
      <c r="H948" s="2"/>
      <c r="I948" s="5"/>
    </row>
    <row r="949" spans="1:9" ht="17.399999999999999" x14ac:dyDescent="0.25">
      <c r="A949" s="16"/>
      <c r="B949" s="17"/>
      <c r="C949" s="2"/>
      <c r="D949" s="2"/>
      <c r="E949" s="2"/>
      <c r="F949" s="2"/>
      <c r="G949" s="2"/>
      <c r="H949" s="2"/>
      <c r="I949" s="5"/>
    </row>
    <row r="950" spans="1:9" ht="17.399999999999999" x14ac:dyDescent="0.25">
      <c r="A950" s="16"/>
      <c r="B950" s="17"/>
      <c r="C950" s="2"/>
      <c r="D950" s="2"/>
      <c r="E950" s="2"/>
      <c r="F950" s="2"/>
      <c r="G950" s="2"/>
      <c r="H950" s="2"/>
      <c r="I950" s="5"/>
    </row>
    <row r="951" spans="1:9" ht="17.399999999999999" x14ac:dyDescent="0.25">
      <c r="A951" s="16"/>
      <c r="B951" s="17"/>
      <c r="C951" s="2"/>
      <c r="D951" s="2"/>
      <c r="E951" s="2"/>
      <c r="F951" s="2"/>
      <c r="G951" s="2"/>
      <c r="H951" s="2"/>
      <c r="I951" s="5"/>
    </row>
    <row r="952" spans="1:9" ht="17.399999999999999" x14ac:dyDescent="0.25">
      <c r="A952" s="16"/>
      <c r="B952" s="17"/>
      <c r="C952" s="2"/>
      <c r="D952" s="2"/>
      <c r="E952" s="2"/>
      <c r="F952" s="2"/>
      <c r="G952" s="2"/>
      <c r="H952" s="2"/>
      <c r="I952" s="5"/>
    </row>
    <row r="953" spans="1:9" ht="17.399999999999999" x14ac:dyDescent="0.25">
      <c r="A953" s="16"/>
      <c r="B953" s="17"/>
      <c r="C953" s="2"/>
      <c r="D953" s="2"/>
      <c r="E953" s="2"/>
      <c r="F953" s="2"/>
      <c r="G953" s="2"/>
      <c r="H953" s="2"/>
      <c r="I953" s="5"/>
    </row>
    <row r="954" spans="1:9" ht="17.399999999999999" x14ac:dyDescent="0.25">
      <c r="A954" s="16"/>
      <c r="B954" s="17"/>
      <c r="C954" s="2"/>
      <c r="D954" s="2"/>
      <c r="E954" s="2"/>
      <c r="F954" s="2"/>
      <c r="G954" s="2"/>
      <c r="H954" s="2"/>
      <c r="I954" s="5"/>
    </row>
    <row r="955" spans="1:9" ht="17.399999999999999" x14ac:dyDescent="0.25">
      <c r="A955" s="16"/>
      <c r="B955" s="17"/>
      <c r="C955" s="2"/>
      <c r="D955" s="2"/>
      <c r="E955" s="2"/>
      <c r="F955" s="2"/>
      <c r="G955" s="2"/>
      <c r="H955" s="2"/>
      <c r="I955" s="5"/>
    </row>
    <row r="956" spans="1:9" ht="17.399999999999999" x14ac:dyDescent="0.25">
      <c r="A956" s="16"/>
      <c r="B956" s="17"/>
      <c r="C956" s="2"/>
      <c r="D956" s="2"/>
      <c r="E956" s="2"/>
      <c r="F956" s="2"/>
      <c r="G956" s="2"/>
      <c r="H956" s="2"/>
      <c r="I956" s="5"/>
    </row>
    <row r="957" spans="1:9" ht="17.399999999999999" x14ac:dyDescent="0.25">
      <c r="A957" s="16"/>
      <c r="B957" s="17"/>
      <c r="C957" s="2"/>
      <c r="D957" s="2"/>
      <c r="E957" s="2"/>
      <c r="F957" s="2"/>
      <c r="G957" s="2"/>
      <c r="H957" s="2"/>
      <c r="I957" s="5"/>
    </row>
    <row r="958" spans="1:9" ht="17.399999999999999" x14ac:dyDescent="0.25">
      <c r="A958" s="16"/>
      <c r="B958" s="17"/>
      <c r="C958" s="2"/>
      <c r="D958" s="2"/>
      <c r="E958" s="2"/>
      <c r="F958" s="2"/>
      <c r="G958" s="2"/>
      <c r="H958" s="2"/>
      <c r="I958" s="5"/>
    </row>
    <row r="959" spans="1:9" ht="17.399999999999999" x14ac:dyDescent="0.25">
      <c r="A959" s="16"/>
      <c r="B959" s="17"/>
      <c r="C959" s="2"/>
      <c r="D959" s="2"/>
      <c r="E959" s="2"/>
      <c r="F959" s="2"/>
      <c r="G959" s="2"/>
      <c r="H959" s="2"/>
      <c r="I959" s="5"/>
    </row>
    <row r="960" spans="1:9" ht="17.399999999999999" x14ac:dyDescent="0.25">
      <c r="A960" s="16"/>
      <c r="B960" s="17"/>
      <c r="C960" s="2"/>
      <c r="D960" s="2"/>
      <c r="E960" s="2"/>
      <c r="F960" s="2"/>
      <c r="G960" s="2"/>
      <c r="H960" s="2"/>
      <c r="I960" s="5"/>
    </row>
    <row r="961" spans="1:9" ht="17.399999999999999" x14ac:dyDescent="0.25">
      <c r="A961" s="16"/>
      <c r="B961" s="17"/>
      <c r="C961" s="2"/>
      <c r="D961" s="2"/>
      <c r="E961" s="2"/>
      <c r="F961" s="2"/>
      <c r="G961" s="2"/>
      <c r="H961" s="2"/>
      <c r="I961" s="5"/>
    </row>
    <row r="962" spans="1:9" ht="17.399999999999999" x14ac:dyDescent="0.25">
      <c r="A962" s="16"/>
      <c r="B962" s="17"/>
      <c r="C962" s="2"/>
      <c r="D962" s="2"/>
      <c r="E962" s="2"/>
      <c r="F962" s="2"/>
      <c r="G962" s="2"/>
      <c r="H962" s="2"/>
      <c r="I962" s="5"/>
    </row>
    <row r="963" spans="1:9" ht="17.399999999999999" x14ac:dyDescent="0.25">
      <c r="A963" s="16"/>
      <c r="B963" s="17"/>
      <c r="C963" s="2"/>
      <c r="D963" s="2"/>
      <c r="E963" s="2"/>
      <c r="F963" s="2"/>
      <c r="G963" s="2"/>
      <c r="H963" s="2"/>
      <c r="I963" s="5"/>
    </row>
    <row r="964" spans="1:9" ht="17.399999999999999" x14ac:dyDescent="0.25">
      <c r="A964" s="16"/>
      <c r="B964" s="17"/>
      <c r="C964" s="2"/>
      <c r="D964" s="2"/>
      <c r="E964" s="2"/>
      <c r="F964" s="2"/>
      <c r="G964" s="2"/>
      <c r="H964" s="2"/>
      <c r="I964" s="5"/>
    </row>
    <row r="965" spans="1:9" ht="17.399999999999999" x14ac:dyDescent="0.25">
      <c r="A965" s="16"/>
      <c r="B965" s="17"/>
      <c r="C965" s="2"/>
      <c r="D965" s="2"/>
      <c r="E965" s="2"/>
      <c r="F965" s="2"/>
      <c r="G965" s="2"/>
      <c r="H965" s="2"/>
      <c r="I965" s="5"/>
    </row>
    <row r="966" spans="1:9" ht="17.399999999999999" x14ac:dyDescent="0.25">
      <c r="A966" s="16"/>
      <c r="B966" s="17"/>
      <c r="C966" s="2"/>
      <c r="D966" s="2"/>
      <c r="E966" s="2"/>
      <c r="F966" s="2"/>
      <c r="G966" s="2"/>
      <c r="H966" s="2"/>
      <c r="I966" s="5"/>
    </row>
    <row r="967" spans="1:9" ht="17.399999999999999" x14ac:dyDescent="0.25">
      <c r="A967" s="16"/>
      <c r="B967" s="17"/>
      <c r="C967" s="2"/>
      <c r="D967" s="2"/>
      <c r="E967" s="2"/>
      <c r="F967" s="2"/>
      <c r="G967" s="2"/>
      <c r="H967" s="2"/>
      <c r="I967" s="5"/>
    </row>
    <row r="968" spans="1:9" ht="17.399999999999999" x14ac:dyDescent="0.25">
      <c r="A968" s="16"/>
      <c r="B968" s="17"/>
      <c r="C968" s="2"/>
      <c r="D968" s="2"/>
      <c r="E968" s="2"/>
      <c r="F968" s="2"/>
      <c r="G968" s="2"/>
      <c r="H968" s="2"/>
      <c r="I968" s="5"/>
    </row>
    <row r="969" spans="1:9" ht="17.399999999999999" x14ac:dyDescent="0.25">
      <c r="A969" s="16"/>
      <c r="B969" s="17"/>
      <c r="C969" s="2"/>
      <c r="D969" s="2"/>
      <c r="E969" s="2"/>
      <c r="F969" s="2"/>
      <c r="G969" s="2"/>
      <c r="H969" s="2"/>
      <c r="I969" s="5"/>
    </row>
    <row r="970" spans="1:9" ht="17.399999999999999" x14ac:dyDescent="0.25">
      <c r="A970" s="16"/>
      <c r="B970" s="17"/>
      <c r="C970" s="2"/>
      <c r="D970" s="2"/>
      <c r="E970" s="2"/>
      <c r="F970" s="2"/>
      <c r="G970" s="2"/>
      <c r="H970" s="2"/>
      <c r="I970" s="5"/>
    </row>
    <row r="971" spans="1:9" ht="17.399999999999999" x14ac:dyDescent="0.25">
      <c r="A971" s="16"/>
      <c r="B971" s="17"/>
      <c r="C971" s="2"/>
      <c r="D971" s="2"/>
      <c r="E971" s="2"/>
      <c r="F971" s="2"/>
      <c r="G971" s="2"/>
      <c r="H971" s="2"/>
      <c r="I971" s="5"/>
    </row>
    <row r="972" spans="1:9" ht="17.399999999999999" x14ac:dyDescent="0.25">
      <c r="A972" s="16"/>
      <c r="B972" s="17"/>
      <c r="C972" s="2"/>
      <c r="D972" s="2"/>
      <c r="E972" s="2"/>
      <c r="F972" s="2"/>
      <c r="G972" s="2"/>
      <c r="H972" s="2"/>
      <c r="I972" s="5"/>
    </row>
    <row r="973" spans="1:9" ht="17.399999999999999" x14ac:dyDescent="0.25">
      <c r="A973" s="16"/>
      <c r="B973" s="17"/>
      <c r="C973" s="2"/>
      <c r="D973" s="2"/>
      <c r="E973" s="2"/>
      <c r="F973" s="2"/>
      <c r="G973" s="2"/>
      <c r="H973" s="2"/>
      <c r="I973" s="5"/>
    </row>
    <row r="974" spans="1:9" ht="17.399999999999999" x14ac:dyDescent="0.25">
      <c r="A974" s="16"/>
      <c r="B974" s="17"/>
      <c r="C974" s="2"/>
      <c r="D974" s="2"/>
      <c r="E974" s="2"/>
      <c r="F974" s="2"/>
      <c r="G974" s="2"/>
      <c r="H974" s="2"/>
      <c r="I974" s="5"/>
    </row>
    <row r="975" spans="1:9" ht="17.399999999999999" x14ac:dyDescent="0.25">
      <c r="A975" s="16"/>
      <c r="B975" s="17"/>
      <c r="C975" s="2"/>
      <c r="D975" s="2"/>
      <c r="E975" s="2"/>
      <c r="F975" s="2"/>
      <c r="G975" s="2"/>
      <c r="H975" s="2"/>
      <c r="I975" s="5"/>
    </row>
    <row r="976" spans="1:9" ht="17.399999999999999" x14ac:dyDescent="0.25">
      <c r="A976" s="16"/>
      <c r="B976" s="17"/>
      <c r="C976" s="2"/>
      <c r="D976" s="2"/>
      <c r="E976" s="2"/>
      <c r="F976" s="2"/>
      <c r="G976" s="2"/>
      <c r="H976" s="2"/>
      <c r="I976" s="5"/>
    </row>
    <row r="977" spans="1:9" ht="17.399999999999999" x14ac:dyDescent="0.25">
      <c r="A977" s="16"/>
      <c r="B977" s="17"/>
      <c r="C977" s="2"/>
      <c r="D977" s="2"/>
      <c r="E977" s="2"/>
      <c r="F977" s="2"/>
      <c r="G977" s="2"/>
      <c r="H977" s="2"/>
      <c r="I977" s="5"/>
    </row>
    <row r="978" spans="1:9" ht="17.399999999999999" x14ac:dyDescent="0.25">
      <c r="A978" s="16"/>
      <c r="B978" s="17"/>
      <c r="C978" s="2"/>
      <c r="D978" s="2"/>
      <c r="E978" s="2"/>
      <c r="F978" s="2"/>
      <c r="G978" s="2"/>
      <c r="H978" s="2"/>
      <c r="I978" s="5"/>
    </row>
    <row r="979" spans="1:9" ht="17.399999999999999" x14ac:dyDescent="0.25">
      <c r="A979" s="16"/>
      <c r="B979" s="17"/>
      <c r="C979" s="2"/>
      <c r="D979" s="2"/>
      <c r="E979" s="2"/>
      <c r="F979" s="2"/>
      <c r="G979" s="2"/>
      <c r="H979" s="2"/>
      <c r="I979" s="5"/>
    </row>
    <row r="980" spans="1:9" ht="17.399999999999999" x14ac:dyDescent="0.25">
      <c r="A980" s="16"/>
      <c r="B980" s="17"/>
      <c r="C980" s="2"/>
      <c r="D980" s="2"/>
      <c r="E980" s="2"/>
      <c r="F980" s="2"/>
      <c r="G980" s="2"/>
      <c r="H980" s="2"/>
      <c r="I980" s="5"/>
    </row>
    <row r="981" spans="1:9" ht="17.399999999999999" x14ac:dyDescent="0.25">
      <c r="A981" s="16"/>
      <c r="B981" s="17"/>
      <c r="C981" s="2"/>
      <c r="D981" s="2"/>
      <c r="E981" s="2"/>
      <c r="F981" s="2"/>
      <c r="G981" s="2"/>
      <c r="H981" s="2"/>
      <c r="I981" s="5"/>
    </row>
    <row r="982" spans="1:9" ht="17.399999999999999" x14ac:dyDescent="0.25">
      <c r="A982" s="16"/>
      <c r="B982" s="17"/>
      <c r="C982" s="2"/>
      <c r="D982" s="2"/>
      <c r="E982" s="2"/>
      <c r="F982" s="2"/>
      <c r="G982" s="2"/>
      <c r="H982" s="2"/>
      <c r="I982" s="5"/>
    </row>
    <row r="983" spans="1:9" ht="17.399999999999999" x14ac:dyDescent="0.25">
      <c r="A983" s="16"/>
      <c r="B983" s="17"/>
      <c r="C983" s="2"/>
      <c r="D983" s="2"/>
      <c r="E983" s="2"/>
      <c r="F983" s="2"/>
      <c r="G983" s="2"/>
      <c r="H983" s="2"/>
      <c r="I983" s="5"/>
    </row>
    <row r="984" spans="1:9" ht="17.399999999999999" x14ac:dyDescent="0.25">
      <c r="A984" s="16"/>
      <c r="B984" s="17"/>
      <c r="C984" s="2"/>
      <c r="D984" s="2"/>
      <c r="E984" s="2"/>
      <c r="F984" s="2"/>
      <c r="G984" s="2"/>
      <c r="H984" s="2"/>
      <c r="I984" s="5"/>
    </row>
    <row r="985" spans="1:9" ht="17.399999999999999" x14ac:dyDescent="0.25">
      <c r="A985" s="16"/>
      <c r="B985" s="17"/>
      <c r="C985" s="2"/>
      <c r="D985" s="2"/>
      <c r="E985" s="2"/>
      <c r="F985" s="2"/>
      <c r="G985" s="2"/>
      <c r="H985" s="2"/>
      <c r="I985" s="5"/>
    </row>
    <row r="986" spans="1:9" ht="17.399999999999999" x14ac:dyDescent="0.25">
      <c r="A986" s="16"/>
      <c r="B986" s="17"/>
      <c r="C986" s="2"/>
      <c r="D986" s="2"/>
      <c r="E986" s="2"/>
      <c r="F986" s="2"/>
      <c r="G986" s="2"/>
      <c r="H986" s="2"/>
      <c r="I986" s="5"/>
    </row>
    <row r="987" spans="1:9" ht="17.399999999999999" x14ac:dyDescent="0.25">
      <c r="A987" s="16"/>
      <c r="B987" s="17"/>
      <c r="C987" s="2"/>
      <c r="D987" s="2"/>
      <c r="E987" s="2"/>
      <c r="F987" s="2"/>
      <c r="G987" s="2"/>
      <c r="H987" s="2"/>
      <c r="I987" s="5"/>
    </row>
    <row r="988" spans="1:9" ht="17.399999999999999" x14ac:dyDescent="0.25">
      <c r="A988" s="16"/>
      <c r="B988" s="17"/>
      <c r="C988" s="2"/>
      <c r="D988" s="2"/>
      <c r="E988" s="2"/>
      <c r="F988" s="2"/>
      <c r="G988" s="2"/>
      <c r="H988" s="2"/>
      <c r="I988" s="5"/>
    </row>
    <row r="989" spans="1:9" ht="17.399999999999999" x14ac:dyDescent="0.25">
      <c r="A989" s="16"/>
      <c r="B989" s="17"/>
      <c r="C989" s="2"/>
      <c r="D989" s="2"/>
      <c r="E989" s="2"/>
      <c r="F989" s="2"/>
      <c r="G989" s="2"/>
      <c r="H989" s="2"/>
      <c r="I989" s="5"/>
    </row>
    <row r="990" spans="1:9" ht="17.399999999999999" x14ac:dyDescent="0.25">
      <c r="A990" s="16"/>
      <c r="B990" s="17"/>
      <c r="C990" s="2"/>
      <c r="D990" s="2"/>
      <c r="E990" s="2"/>
      <c r="F990" s="2"/>
      <c r="G990" s="2"/>
      <c r="H990" s="2"/>
      <c r="I990" s="5"/>
    </row>
    <row r="991" spans="1:9" ht="17.399999999999999" x14ac:dyDescent="0.25">
      <c r="A991" s="16"/>
      <c r="B991" s="17"/>
      <c r="C991" s="2"/>
      <c r="D991" s="2"/>
      <c r="E991" s="2"/>
      <c r="F991" s="2"/>
      <c r="G991" s="2"/>
      <c r="H991" s="2"/>
      <c r="I991" s="5"/>
    </row>
    <row r="992" spans="1:9" ht="17.399999999999999" x14ac:dyDescent="0.25">
      <c r="A992" s="16"/>
      <c r="B992" s="17"/>
      <c r="C992" s="2"/>
      <c r="D992" s="2"/>
      <c r="E992" s="2"/>
      <c r="F992" s="2"/>
      <c r="G992" s="2"/>
      <c r="H992" s="2"/>
      <c r="I992" s="5"/>
    </row>
    <row r="993" spans="1:9" ht="17.399999999999999" x14ac:dyDescent="0.25">
      <c r="A993" s="16"/>
      <c r="B993" s="17"/>
      <c r="C993" s="2"/>
      <c r="D993" s="2"/>
      <c r="E993" s="2"/>
      <c r="F993" s="2"/>
      <c r="G993" s="2"/>
      <c r="H993" s="2"/>
      <c r="I993" s="5"/>
    </row>
    <row r="994" spans="1:9" ht="17.399999999999999" x14ac:dyDescent="0.25">
      <c r="A994" s="16"/>
      <c r="B994" s="17"/>
      <c r="C994" s="2"/>
      <c r="D994" s="2"/>
      <c r="E994" s="2"/>
      <c r="F994" s="2"/>
      <c r="G994" s="2"/>
      <c r="H994" s="2"/>
      <c r="I994" s="5"/>
    </row>
    <row r="995" spans="1:9" ht="17.399999999999999" x14ac:dyDescent="0.25">
      <c r="A995" s="16"/>
      <c r="B995" s="17"/>
      <c r="C995" s="2"/>
      <c r="D995" s="2"/>
      <c r="E995" s="2"/>
      <c r="F995" s="2"/>
      <c r="G995" s="2"/>
      <c r="H995" s="2"/>
      <c r="I995" s="5"/>
    </row>
    <row r="996" spans="1:9" ht="17.399999999999999" x14ac:dyDescent="0.25">
      <c r="A996" s="16"/>
      <c r="B996" s="17"/>
      <c r="C996" s="2"/>
      <c r="D996" s="2"/>
      <c r="E996" s="2"/>
      <c r="F996" s="2"/>
      <c r="G996" s="2"/>
      <c r="H996" s="2"/>
      <c r="I996" s="5"/>
    </row>
    <row r="997" spans="1:9" ht="17.399999999999999" x14ac:dyDescent="0.25">
      <c r="A997" s="16"/>
      <c r="B997" s="17"/>
      <c r="C997" s="2"/>
      <c r="D997" s="2"/>
      <c r="E997" s="2"/>
      <c r="F997" s="2"/>
      <c r="G997" s="2"/>
      <c r="H997" s="2"/>
      <c r="I997" s="5"/>
    </row>
    <row r="998" spans="1:9" ht="17.399999999999999" x14ac:dyDescent="0.25">
      <c r="A998" s="16"/>
      <c r="B998" s="17"/>
      <c r="C998" s="2"/>
      <c r="D998" s="2"/>
      <c r="E998" s="2"/>
      <c r="F998" s="2"/>
      <c r="G998" s="2"/>
      <c r="H998" s="2"/>
      <c r="I998" s="5"/>
    </row>
    <row r="999" spans="1:9" ht="17.399999999999999" x14ac:dyDescent="0.25">
      <c r="A999" s="16"/>
      <c r="B999" s="17"/>
      <c r="C999" s="2"/>
      <c r="D999" s="2"/>
      <c r="E999" s="2"/>
      <c r="F999" s="2"/>
      <c r="G999" s="2"/>
      <c r="H999" s="2"/>
      <c r="I999" s="5"/>
    </row>
    <row r="1000" spans="1:9" ht="17.399999999999999" x14ac:dyDescent="0.25">
      <c r="A1000" s="16"/>
      <c r="B1000" s="17"/>
      <c r="C1000" s="2"/>
      <c r="D1000" s="2"/>
      <c r="E1000" s="2"/>
      <c r="F1000" s="2"/>
      <c r="G1000" s="2"/>
      <c r="H1000" s="2"/>
      <c r="I1000" s="5"/>
    </row>
    <row r="1001" spans="1:9" ht="17.399999999999999" x14ac:dyDescent="0.25">
      <c r="A1001" s="16"/>
      <c r="B1001" s="17"/>
      <c r="C1001" s="2"/>
      <c r="D1001" s="2"/>
      <c r="E1001" s="2"/>
      <c r="F1001" s="2"/>
      <c r="G1001" s="2"/>
      <c r="H1001" s="2"/>
      <c r="I1001" s="5"/>
    </row>
    <row r="1002" spans="1:9" ht="17.399999999999999" x14ac:dyDescent="0.25">
      <c r="A1002" s="16"/>
      <c r="B1002" s="17"/>
      <c r="C1002" s="2"/>
      <c r="D1002" s="2"/>
      <c r="E1002" s="2"/>
      <c r="F1002" s="2"/>
      <c r="G1002" s="2"/>
      <c r="H1002" s="2"/>
      <c r="I1002" s="5"/>
    </row>
    <row r="1003" spans="1:9" ht="17.399999999999999" x14ac:dyDescent="0.25">
      <c r="A1003" s="16"/>
      <c r="B1003" s="17"/>
      <c r="C1003" s="2"/>
      <c r="D1003" s="2"/>
      <c r="E1003" s="2"/>
      <c r="F1003" s="2"/>
      <c r="G1003" s="2"/>
      <c r="H1003" s="2"/>
      <c r="I1003" s="5"/>
    </row>
    <row r="1004" spans="1:9" ht="17.399999999999999" x14ac:dyDescent="0.25">
      <c r="A1004" s="16"/>
      <c r="B1004" s="17"/>
      <c r="C1004" s="2"/>
      <c r="D1004" s="2"/>
      <c r="E1004" s="2"/>
      <c r="F1004" s="2"/>
      <c r="G1004" s="2"/>
      <c r="H1004" s="2"/>
      <c r="I1004" s="5"/>
    </row>
    <row r="1005" spans="1:9" ht="17.399999999999999" x14ac:dyDescent="0.25">
      <c r="A1005" s="16"/>
      <c r="B1005" s="17"/>
      <c r="C1005" s="2"/>
      <c r="D1005" s="2"/>
      <c r="E1005" s="2"/>
      <c r="F1005" s="2"/>
      <c r="G1005" s="2"/>
      <c r="H1005" s="2"/>
      <c r="I1005" s="5"/>
    </row>
    <row r="1006" spans="1:9" ht="17.399999999999999" x14ac:dyDescent="0.25">
      <c r="A1006" s="16"/>
      <c r="B1006" s="17"/>
      <c r="C1006" s="2"/>
      <c r="D1006" s="2"/>
      <c r="E1006" s="2"/>
      <c r="F1006" s="2"/>
      <c r="G1006" s="2"/>
      <c r="H1006" s="2"/>
      <c r="I1006" s="5"/>
    </row>
    <row r="1007" spans="1:9" ht="17.399999999999999" x14ac:dyDescent="0.25">
      <c r="A1007" s="16"/>
      <c r="B1007" s="17"/>
      <c r="C1007" s="2"/>
      <c r="D1007" s="2"/>
      <c r="E1007" s="2"/>
      <c r="F1007" s="2"/>
      <c r="G1007" s="2"/>
      <c r="H1007" s="2"/>
      <c r="I1007" s="5"/>
    </row>
    <row r="1008" spans="1:9" ht="17.399999999999999" x14ac:dyDescent="0.25">
      <c r="A1008" s="16"/>
      <c r="B1008" s="17"/>
      <c r="C1008" s="2"/>
      <c r="D1008" s="2"/>
      <c r="E1008" s="2"/>
      <c r="F1008" s="2"/>
      <c r="G1008" s="2"/>
      <c r="H1008" s="2"/>
      <c r="I1008" s="5"/>
    </row>
    <row r="1009" spans="1:9" ht="17.399999999999999" x14ac:dyDescent="0.25">
      <c r="A1009" s="16"/>
      <c r="B1009" s="17"/>
      <c r="C1009" s="2"/>
      <c r="D1009" s="2"/>
      <c r="E1009" s="2"/>
      <c r="F1009" s="2"/>
      <c r="G1009" s="2"/>
      <c r="H1009" s="2"/>
      <c r="I1009" s="5"/>
    </row>
    <row r="1010" spans="1:9" ht="17.399999999999999" x14ac:dyDescent="0.25">
      <c r="A1010" s="16"/>
      <c r="B1010" s="17"/>
      <c r="C1010" s="2"/>
      <c r="D1010" s="2"/>
      <c r="E1010" s="2"/>
      <c r="F1010" s="2"/>
      <c r="G1010" s="2"/>
      <c r="H1010" s="2"/>
      <c r="I1010" s="5"/>
    </row>
    <row r="1011" spans="1:9" ht="17.399999999999999" x14ac:dyDescent="0.25">
      <c r="A1011" s="16"/>
      <c r="B1011" s="17"/>
      <c r="C1011" s="2"/>
      <c r="D1011" s="2"/>
      <c r="E1011" s="2"/>
      <c r="F1011" s="2"/>
      <c r="G1011" s="2"/>
      <c r="H1011" s="2"/>
      <c r="I1011" s="5"/>
    </row>
    <row r="1012" spans="1:9" ht="17.399999999999999" x14ac:dyDescent="0.25">
      <c r="A1012" s="16"/>
      <c r="B1012" s="17"/>
      <c r="C1012" s="2"/>
      <c r="D1012" s="2"/>
      <c r="E1012" s="2"/>
      <c r="F1012" s="2"/>
      <c r="G1012" s="2"/>
      <c r="H1012" s="2"/>
      <c r="I1012" s="5"/>
    </row>
    <row r="1013" spans="1:9" ht="17.399999999999999" x14ac:dyDescent="0.25">
      <c r="A1013" s="16"/>
      <c r="B1013" s="17"/>
      <c r="C1013" s="2"/>
      <c r="D1013" s="2"/>
      <c r="E1013" s="2"/>
      <c r="F1013" s="2"/>
      <c r="G1013" s="2"/>
      <c r="H1013" s="2"/>
      <c r="I1013" s="5"/>
    </row>
    <row r="1014" spans="1:9" ht="17.399999999999999" x14ac:dyDescent="0.25">
      <c r="A1014" s="16"/>
      <c r="B1014" s="17"/>
      <c r="C1014" s="2"/>
      <c r="D1014" s="2"/>
      <c r="E1014" s="2"/>
      <c r="F1014" s="2"/>
      <c r="G1014" s="2"/>
      <c r="H1014" s="2"/>
      <c r="I1014" s="5"/>
    </row>
    <row r="1015" spans="1:9" ht="17.399999999999999" x14ac:dyDescent="0.25">
      <c r="A1015" s="16"/>
      <c r="B1015" s="17"/>
      <c r="C1015" s="2"/>
      <c r="D1015" s="2"/>
      <c r="E1015" s="2"/>
      <c r="F1015" s="2"/>
      <c r="G1015" s="2"/>
      <c r="H1015" s="2"/>
      <c r="I1015" s="5"/>
    </row>
    <row r="1016" spans="1:9" ht="17.399999999999999" x14ac:dyDescent="0.25">
      <c r="A1016" s="16"/>
      <c r="B1016" s="17"/>
      <c r="C1016" s="2"/>
      <c r="D1016" s="2"/>
      <c r="E1016" s="2"/>
      <c r="F1016" s="2"/>
      <c r="G1016" s="2"/>
      <c r="H1016" s="2"/>
      <c r="I1016" s="5"/>
    </row>
    <row r="1017" spans="1:9" ht="17.399999999999999" x14ac:dyDescent="0.25">
      <c r="A1017" s="16"/>
      <c r="B1017" s="17"/>
      <c r="C1017" s="2"/>
      <c r="D1017" s="2"/>
      <c r="E1017" s="2"/>
      <c r="F1017" s="2"/>
      <c r="G1017" s="2"/>
      <c r="H1017" s="2"/>
      <c r="I1017" s="5"/>
    </row>
    <row r="1018" spans="1:9" ht="17.399999999999999" x14ac:dyDescent="0.25">
      <c r="A1018" s="16"/>
      <c r="B1018" s="17"/>
      <c r="C1018" s="2"/>
      <c r="D1018" s="2"/>
      <c r="E1018" s="2"/>
      <c r="F1018" s="2"/>
      <c r="G1018" s="2"/>
      <c r="H1018" s="2"/>
      <c r="I1018" s="5"/>
    </row>
    <row r="1019" spans="1:9" ht="17.399999999999999" x14ac:dyDescent="0.25">
      <c r="A1019" s="16"/>
      <c r="B1019" s="17"/>
      <c r="C1019" s="2"/>
      <c r="D1019" s="2"/>
      <c r="E1019" s="2"/>
      <c r="F1019" s="2"/>
      <c r="G1019" s="2"/>
      <c r="H1019" s="2"/>
      <c r="I1019" s="5"/>
    </row>
    <row r="1020" spans="1:9" ht="17.399999999999999" x14ac:dyDescent="0.25">
      <c r="A1020" s="16"/>
      <c r="B1020" s="17"/>
      <c r="C1020" s="2"/>
      <c r="D1020" s="2"/>
      <c r="E1020" s="2"/>
      <c r="F1020" s="2"/>
      <c r="G1020" s="2"/>
      <c r="H1020" s="2"/>
      <c r="I1020" s="5"/>
    </row>
    <row r="1021" spans="1:9" ht="17.399999999999999" x14ac:dyDescent="0.25">
      <c r="A1021" s="16"/>
      <c r="B1021" s="17"/>
      <c r="C1021" s="2"/>
      <c r="D1021" s="2"/>
      <c r="E1021" s="2"/>
      <c r="F1021" s="2"/>
      <c r="G1021" s="2"/>
      <c r="H1021" s="2"/>
      <c r="I1021" s="5"/>
    </row>
    <row r="1022" spans="1:9" ht="17.399999999999999" x14ac:dyDescent="0.25">
      <c r="A1022" s="16"/>
      <c r="B1022" s="17"/>
      <c r="C1022" s="2"/>
      <c r="D1022" s="2"/>
      <c r="E1022" s="2"/>
      <c r="F1022" s="2"/>
      <c r="G1022" s="2"/>
      <c r="H1022" s="2"/>
      <c r="I1022" s="5"/>
    </row>
    <row r="1023" spans="1:9" ht="17.399999999999999" x14ac:dyDescent="0.25">
      <c r="A1023" s="16"/>
      <c r="B1023" s="17"/>
      <c r="C1023" s="2"/>
      <c r="D1023" s="2"/>
      <c r="E1023" s="2"/>
      <c r="F1023" s="2"/>
      <c r="G1023" s="2"/>
      <c r="H1023" s="2"/>
      <c r="I1023" s="5"/>
    </row>
    <row r="1024" spans="1:9" ht="17.399999999999999" x14ac:dyDescent="0.25">
      <c r="A1024" s="16"/>
      <c r="B1024" s="17"/>
      <c r="C1024" s="2"/>
      <c r="D1024" s="2"/>
      <c r="E1024" s="2"/>
      <c r="F1024" s="2"/>
      <c r="G1024" s="2"/>
      <c r="H1024" s="2"/>
      <c r="I1024" s="5"/>
    </row>
    <row r="1025" spans="1:9" ht="17.399999999999999" x14ac:dyDescent="0.25">
      <c r="A1025" s="16"/>
      <c r="B1025" s="17"/>
      <c r="C1025" s="2"/>
      <c r="D1025" s="2"/>
      <c r="E1025" s="2"/>
      <c r="F1025" s="2"/>
      <c r="G1025" s="2"/>
      <c r="H1025" s="2"/>
      <c r="I1025" s="5"/>
    </row>
    <row r="1026" spans="1:9" ht="17.399999999999999" x14ac:dyDescent="0.25">
      <c r="A1026" s="16"/>
      <c r="B1026" s="17"/>
      <c r="C1026" s="2"/>
      <c r="D1026" s="2"/>
      <c r="E1026" s="2"/>
      <c r="F1026" s="2"/>
      <c r="G1026" s="2"/>
      <c r="H1026" s="2"/>
      <c r="I1026" s="5"/>
    </row>
    <row r="1027" spans="1:9" ht="17.399999999999999" x14ac:dyDescent="0.25">
      <c r="A1027" s="16"/>
      <c r="B1027" s="17"/>
      <c r="C1027" s="2"/>
      <c r="D1027" s="2"/>
      <c r="E1027" s="2"/>
      <c r="F1027" s="2"/>
      <c r="G1027" s="2"/>
      <c r="H1027" s="2"/>
      <c r="I1027" s="5"/>
    </row>
    <row r="1028" spans="1:9" ht="17.399999999999999" x14ac:dyDescent="0.25">
      <c r="A1028" s="16"/>
      <c r="B1028" s="17"/>
      <c r="C1028" s="2"/>
      <c r="D1028" s="2"/>
      <c r="E1028" s="2"/>
      <c r="F1028" s="2"/>
      <c r="G1028" s="2"/>
      <c r="H1028" s="2"/>
      <c r="I1028" s="5"/>
    </row>
    <row r="1029" spans="1:9" ht="17.399999999999999" x14ac:dyDescent="0.25">
      <c r="A1029" s="16"/>
      <c r="B1029" s="17"/>
      <c r="C1029" s="2"/>
      <c r="D1029" s="2"/>
      <c r="E1029" s="2"/>
      <c r="F1029" s="2"/>
      <c r="G1029" s="2"/>
      <c r="H1029" s="2"/>
      <c r="I1029" s="5"/>
    </row>
    <row r="1030" spans="1:9" ht="17.399999999999999" x14ac:dyDescent="0.25">
      <c r="A1030" s="16"/>
      <c r="B1030" s="17"/>
      <c r="C1030" s="2"/>
      <c r="D1030" s="2"/>
      <c r="E1030" s="2"/>
      <c r="F1030" s="2"/>
      <c r="G1030" s="2"/>
      <c r="H1030" s="2"/>
      <c r="I1030" s="5"/>
    </row>
    <row r="1031" spans="1:9" ht="17.399999999999999" x14ac:dyDescent="0.25">
      <c r="A1031" s="16"/>
      <c r="B1031" s="17"/>
      <c r="C1031" s="2"/>
      <c r="D1031" s="2"/>
      <c r="E1031" s="2"/>
      <c r="F1031" s="2"/>
      <c r="G1031" s="2"/>
      <c r="H1031" s="2"/>
      <c r="I1031" s="5"/>
    </row>
    <row r="1032" spans="1:9" ht="17.399999999999999" x14ac:dyDescent="0.25">
      <c r="A1032" s="16"/>
      <c r="B1032" s="17"/>
      <c r="C1032" s="2"/>
      <c r="D1032" s="2"/>
      <c r="E1032" s="2"/>
      <c r="F1032" s="2"/>
      <c r="G1032" s="2"/>
      <c r="H1032" s="2"/>
      <c r="I1032" s="5"/>
    </row>
    <row r="1033" spans="1:9" ht="17.399999999999999" x14ac:dyDescent="0.25">
      <c r="A1033" s="16"/>
      <c r="B1033" s="17"/>
      <c r="C1033" s="2"/>
      <c r="D1033" s="2"/>
      <c r="E1033" s="2"/>
      <c r="F1033" s="2"/>
      <c r="G1033" s="2"/>
      <c r="H1033" s="2"/>
      <c r="I1033" s="5"/>
    </row>
    <row r="1034" spans="1:9" ht="17.399999999999999" x14ac:dyDescent="0.25">
      <c r="A1034" s="16"/>
      <c r="B1034" s="17"/>
      <c r="C1034" s="2"/>
      <c r="D1034" s="2"/>
      <c r="E1034" s="2"/>
      <c r="F1034" s="2"/>
      <c r="G1034" s="2"/>
      <c r="H1034" s="2"/>
      <c r="I1034" s="5"/>
    </row>
    <row r="1035" spans="1:9" ht="17.399999999999999" x14ac:dyDescent="0.25">
      <c r="A1035" s="16"/>
      <c r="B1035" s="17"/>
      <c r="C1035" s="2"/>
      <c r="D1035" s="2"/>
      <c r="E1035" s="2"/>
      <c r="F1035" s="2"/>
      <c r="G1035" s="2"/>
      <c r="H1035" s="2"/>
      <c r="I1035" s="5"/>
    </row>
    <row r="1036" spans="1:9" ht="17.399999999999999" x14ac:dyDescent="0.25">
      <c r="A1036" s="16"/>
      <c r="B1036" s="17"/>
      <c r="C1036" s="2"/>
      <c r="D1036" s="2"/>
      <c r="E1036" s="2"/>
      <c r="F1036" s="2"/>
      <c r="G1036" s="2"/>
      <c r="H1036" s="2"/>
      <c r="I1036" s="5"/>
    </row>
    <row r="1037" spans="1:9" ht="17.399999999999999" x14ac:dyDescent="0.25">
      <c r="A1037" s="16"/>
      <c r="B1037" s="17"/>
      <c r="C1037" s="2"/>
      <c r="D1037" s="2"/>
      <c r="E1037" s="2"/>
      <c r="F1037" s="2"/>
      <c r="G1037" s="2"/>
      <c r="H1037" s="2"/>
      <c r="I1037" s="5"/>
    </row>
    <row r="1038" spans="1:9" ht="17.399999999999999" x14ac:dyDescent="0.25">
      <c r="A1038" s="16"/>
      <c r="B1038" s="17"/>
      <c r="C1038" s="2"/>
      <c r="D1038" s="2"/>
      <c r="E1038" s="2"/>
      <c r="F1038" s="2"/>
      <c r="G1038" s="2"/>
      <c r="H1038" s="2"/>
      <c r="I1038" s="5"/>
    </row>
    <row r="1039" spans="1:9" ht="17.399999999999999" x14ac:dyDescent="0.25">
      <c r="A1039" s="16"/>
      <c r="B1039" s="17"/>
      <c r="C1039" s="2"/>
      <c r="D1039" s="2"/>
      <c r="E1039" s="2"/>
      <c r="F1039" s="2"/>
      <c r="G1039" s="2"/>
      <c r="H1039" s="2"/>
      <c r="I1039" s="5"/>
    </row>
    <row r="1040" spans="1:9" ht="17.399999999999999" x14ac:dyDescent="0.25">
      <c r="A1040" s="16"/>
      <c r="B1040" s="17"/>
      <c r="C1040" s="2"/>
      <c r="D1040" s="2"/>
      <c r="E1040" s="2"/>
      <c r="F1040" s="2"/>
      <c r="G1040" s="2"/>
      <c r="H1040" s="2"/>
      <c r="I1040" s="5"/>
    </row>
    <row r="1041" spans="1:9" ht="17.399999999999999" x14ac:dyDescent="0.25">
      <c r="A1041" s="16"/>
      <c r="B1041" s="17"/>
      <c r="C1041" s="2"/>
      <c r="D1041" s="2"/>
      <c r="E1041" s="2"/>
      <c r="F1041" s="2"/>
      <c r="G1041" s="2"/>
      <c r="H1041" s="2"/>
      <c r="I1041" s="5"/>
    </row>
    <row r="1042" spans="1:9" ht="17.399999999999999" x14ac:dyDescent="0.25">
      <c r="A1042" s="16"/>
      <c r="B1042" s="17"/>
      <c r="C1042" s="2"/>
      <c r="D1042" s="2"/>
      <c r="E1042" s="2"/>
      <c r="F1042" s="2"/>
      <c r="G1042" s="2"/>
      <c r="H1042" s="2"/>
      <c r="I1042" s="5"/>
    </row>
    <row r="1043" spans="1:9" ht="17.399999999999999" x14ac:dyDescent="0.25">
      <c r="A1043" s="16"/>
      <c r="B1043" s="17"/>
      <c r="C1043" s="2"/>
      <c r="D1043" s="2"/>
      <c r="E1043" s="2"/>
      <c r="F1043" s="2"/>
      <c r="G1043" s="2"/>
      <c r="H1043" s="2"/>
      <c r="I1043" s="5"/>
    </row>
    <row r="1044" spans="1:9" ht="17.399999999999999" x14ac:dyDescent="0.25">
      <c r="A1044" s="16"/>
      <c r="B1044" s="17"/>
      <c r="C1044" s="2"/>
      <c r="D1044" s="2"/>
      <c r="E1044" s="2"/>
      <c r="F1044" s="2"/>
      <c r="G1044" s="2"/>
      <c r="H1044" s="2"/>
      <c r="I1044" s="5"/>
    </row>
    <row r="1045" spans="1:9" ht="17.399999999999999" x14ac:dyDescent="0.25">
      <c r="A1045" s="16"/>
      <c r="B1045" s="17"/>
      <c r="C1045" s="2"/>
      <c r="D1045" s="2"/>
      <c r="E1045" s="2"/>
      <c r="F1045" s="2"/>
      <c r="G1045" s="2"/>
      <c r="H1045" s="2"/>
      <c r="I1045" s="5"/>
    </row>
    <row r="1046" spans="1:9" ht="17.399999999999999" x14ac:dyDescent="0.25">
      <c r="A1046" s="16"/>
      <c r="B1046" s="17"/>
      <c r="C1046" s="2"/>
      <c r="D1046" s="2"/>
      <c r="E1046" s="2"/>
      <c r="F1046" s="2"/>
      <c r="G1046" s="2"/>
      <c r="H1046" s="2"/>
      <c r="I1046" s="5"/>
    </row>
    <row r="1047" spans="1:9" ht="17.399999999999999" x14ac:dyDescent="0.25">
      <c r="A1047" s="16"/>
      <c r="B1047" s="17"/>
      <c r="C1047" s="2"/>
      <c r="D1047" s="2"/>
      <c r="E1047" s="2"/>
      <c r="F1047" s="2"/>
      <c r="G1047" s="2"/>
      <c r="H1047" s="2"/>
      <c r="I1047" s="5"/>
    </row>
    <row r="1048" spans="1:9" ht="17.399999999999999" x14ac:dyDescent="0.25">
      <c r="A1048" s="16"/>
      <c r="B1048" s="17"/>
      <c r="C1048" s="2"/>
      <c r="D1048" s="2"/>
      <c r="E1048" s="2"/>
      <c r="F1048" s="2"/>
      <c r="G1048" s="2"/>
      <c r="H1048" s="2"/>
      <c r="I1048" s="5"/>
    </row>
    <row r="1049" spans="1:9" ht="17.399999999999999" x14ac:dyDescent="0.25">
      <c r="A1049" s="16"/>
      <c r="B1049" s="17"/>
      <c r="C1049" s="2"/>
      <c r="D1049" s="2"/>
      <c r="E1049" s="2"/>
      <c r="F1049" s="2"/>
      <c r="G1049" s="2"/>
      <c r="H1049" s="2"/>
      <c r="I1049" s="5"/>
    </row>
    <row r="1050" spans="1:9" ht="17.399999999999999" x14ac:dyDescent="0.25">
      <c r="A1050" s="16"/>
      <c r="B1050" s="17"/>
      <c r="C1050" s="2"/>
      <c r="D1050" s="2"/>
      <c r="E1050" s="2"/>
      <c r="F1050" s="2"/>
      <c r="G1050" s="2"/>
      <c r="H1050" s="2"/>
      <c r="I1050" s="5"/>
    </row>
    <row r="1051" spans="1:9" ht="17.399999999999999" x14ac:dyDescent="0.25">
      <c r="A1051" s="16"/>
      <c r="B1051" s="17"/>
      <c r="C1051" s="2"/>
      <c r="D1051" s="2"/>
      <c r="E1051" s="2"/>
      <c r="F1051" s="2"/>
      <c r="G1051" s="2"/>
      <c r="H1051" s="2"/>
      <c r="I1051" s="5"/>
    </row>
    <row r="1052" spans="1:9" ht="17.399999999999999" x14ac:dyDescent="0.25">
      <c r="A1052" s="16"/>
      <c r="B1052" s="17"/>
      <c r="C1052" s="2"/>
      <c r="D1052" s="2"/>
      <c r="E1052" s="2"/>
      <c r="F1052" s="2"/>
      <c r="G1052" s="2"/>
      <c r="H1052" s="2"/>
      <c r="I1052" s="5"/>
    </row>
    <row r="1053" spans="1:9" ht="17.399999999999999" x14ac:dyDescent="0.25">
      <c r="A1053" s="16"/>
      <c r="B1053" s="17"/>
      <c r="C1053" s="2"/>
      <c r="D1053" s="2"/>
      <c r="E1053" s="2"/>
      <c r="F1053" s="2"/>
      <c r="G1053" s="2"/>
      <c r="H1053" s="2"/>
      <c r="I1053" s="5"/>
    </row>
    <row r="1054" spans="1:9" ht="17.399999999999999" x14ac:dyDescent="0.25">
      <c r="A1054" s="16"/>
      <c r="B1054" s="17"/>
      <c r="C1054" s="2"/>
      <c r="D1054" s="2"/>
      <c r="E1054" s="2"/>
      <c r="F1054" s="2"/>
      <c r="G1054" s="2"/>
      <c r="H1054" s="2"/>
      <c r="I1054" s="5"/>
    </row>
    <row r="1055" spans="1:9" ht="17.399999999999999" x14ac:dyDescent="0.25">
      <c r="A1055" s="16"/>
      <c r="B1055" s="17"/>
      <c r="C1055" s="2"/>
      <c r="D1055" s="2"/>
      <c r="E1055" s="2"/>
      <c r="F1055" s="2"/>
      <c r="G1055" s="2"/>
      <c r="H1055" s="2"/>
      <c r="I1055" s="5"/>
    </row>
    <row r="1056" spans="1:9" ht="17.399999999999999" x14ac:dyDescent="0.25">
      <c r="A1056" s="16"/>
      <c r="B1056" s="17"/>
      <c r="C1056" s="2"/>
      <c r="D1056" s="2"/>
      <c r="E1056" s="2"/>
      <c r="F1056" s="2"/>
      <c r="G1056" s="2"/>
      <c r="H1056" s="2"/>
      <c r="I1056" s="5"/>
    </row>
    <row r="1057" spans="1:9" ht="17.399999999999999" x14ac:dyDescent="0.25">
      <c r="A1057" s="16"/>
      <c r="B1057" s="17"/>
      <c r="C1057" s="2"/>
      <c r="D1057" s="2"/>
      <c r="E1057" s="2"/>
      <c r="F1057" s="2"/>
      <c r="G1057" s="2"/>
      <c r="H1057" s="2"/>
      <c r="I1057" s="5"/>
    </row>
    <row r="1058" spans="1:9" ht="17.399999999999999" x14ac:dyDescent="0.25">
      <c r="A1058" s="16"/>
      <c r="B1058" s="17"/>
      <c r="C1058" s="2"/>
      <c r="D1058" s="2"/>
      <c r="E1058" s="2"/>
      <c r="F1058" s="2"/>
      <c r="G1058" s="2"/>
      <c r="H1058" s="2"/>
      <c r="I1058" s="5"/>
    </row>
    <row r="1059" spans="1:9" ht="17.399999999999999" x14ac:dyDescent="0.25">
      <c r="A1059" s="16"/>
      <c r="B1059" s="17"/>
      <c r="C1059" s="2"/>
      <c r="D1059" s="2"/>
      <c r="E1059" s="2"/>
      <c r="F1059" s="2"/>
      <c r="G1059" s="2"/>
      <c r="H1059" s="2"/>
      <c r="I1059" s="5"/>
    </row>
    <row r="1060" spans="1:9" ht="17.399999999999999" x14ac:dyDescent="0.25">
      <c r="A1060" s="16"/>
      <c r="B1060" s="17"/>
      <c r="C1060" s="2"/>
      <c r="D1060" s="2"/>
      <c r="E1060" s="2"/>
      <c r="F1060" s="2"/>
      <c r="G1060" s="2"/>
      <c r="H1060" s="2"/>
      <c r="I1060" s="5"/>
    </row>
    <row r="1061" spans="1:9" ht="17.399999999999999" x14ac:dyDescent="0.25">
      <c r="A1061" s="16"/>
      <c r="B1061" s="17"/>
      <c r="C1061" s="2"/>
      <c r="D1061" s="2"/>
      <c r="E1061" s="2"/>
      <c r="F1061" s="2"/>
      <c r="G1061" s="2"/>
      <c r="H1061" s="2"/>
      <c r="I1061" s="5"/>
    </row>
    <row r="1062" spans="1:9" ht="17.399999999999999" x14ac:dyDescent="0.25">
      <c r="A1062" s="16"/>
      <c r="B1062" s="17"/>
      <c r="C1062" s="2"/>
      <c r="D1062" s="2"/>
      <c r="E1062" s="2"/>
      <c r="F1062" s="2"/>
      <c r="G1062" s="2"/>
      <c r="H1062" s="2"/>
      <c r="I1062" s="5"/>
    </row>
    <row r="1063" spans="1:9" ht="17.399999999999999" x14ac:dyDescent="0.25">
      <c r="A1063" s="16"/>
      <c r="B1063" s="17"/>
      <c r="C1063" s="2"/>
      <c r="D1063" s="2"/>
      <c r="E1063" s="2"/>
      <c r="F1063" s="2"/>
      <c r="G1063" s="2"/>
      <c r="H1063" s="2"/>
      <c r="I1063" s="5"/>
    </row>
    <row r="1064" spans="1:9" ht="17.399999999999999" x14ac:dyDescent="0.25">
      <c r="A1064" s="16"/>
      <c r="B1064" s="17"/>
      <c r="C1064" s="2"/>
      <c r="D1064" s="2"/>
      <c r="E1064" s="2"/>
      <c r="F1064" s="2"/>
      <c r="G1064" s="2"/>
      <c r="H1064" s="2"/>
      <c r="I1064" s="5"/>
    </row>
    <row r="1065" spans="1:9" ht="17.399999999999999" x14ac:dyDescent="0.25">
      <c r="A1065" s="16"/>
      <c r="B1065" s="17"/>
      <c r="C1065" s="2"/>
      <c r="D1065" s="2"/>
      <c r="E1065" s="2"/>
      <c r="F1065" s="2"/>
      <c r="G1065" s="2"/>
      <c r="H1065" s="2"/>
      <c r="I1065" s="5"/>
    </row>
    <row r="1066" spans="1:9" ht="17.399999999999999" x14ac:dyDescent="0.25">
      <c r="A1066" s="16"/>
      <c r="B1066" s="17"/>
      <c r="C1066" s="2"/>
      <c r="D1066" s="2"/>
      <c r="E1066" s="2"/>
      <c r="F1066" s="2"/>
      <c r="G1066" s="2"/>
      <c r="H1066" s="2"/>
      <c r="I1066" s="5"/>
    </row>
    <row r="1067" spans="1:9" ht="17.399999999999999" x14ac:dyDescent="0.25">
      <c r="A1067" s="16"/>
      <c r="B1067" s="17"/>
      <c r="C1067" s="2"/>
      <c r="D1067" s="2"/>
      <c r="E1067" s="2"/>
      <c r="F1067" s="2"/>
      <c r="G1067" s="2"/>
      <c r="H1067" s="2"/>
      <c r="I1067" s="5"/>
    </row>
    <row r="1068" spans="1:9" ht="17.399999999999999" x14ac:dyDescent="0.25">
      <c r="A1068" s="16"/>
      <c r="B1068" s="17"/>
      <c r="C1068" s="2"/>
      <c r="D1068" s="2"/>
      <c r="E1068" s="2"/>
      <c r="F1068" s="2"/>
      <c r="G1068" s="2"/>
      <c r="H1068" s="2"/>
      <c r="I1068" s="5"/>
    </row>
    <row r="1069" spans="1:9" ht="17.399999999999999" x14ac:dyDescent="0.25">
      <c r="A1069" s="16"/>
      <c r="B1069" s="17"/>
      <c r="C1069" s="2"/>
      <c r="D1069" s="2"/>
      <c r="E1069" s="2"/>
      <c r="F1069" s="2"/>
      <c r="G1069" s="2"/>
      <c r="H1069" s="2"/>
      <c r="I1069" s="5"/>
    </row>
    <row r="1070" spans="1:9" ht="17.399999999999999" x14ac:dyDescent="0.25">
      <c r="A1070" s="16"/>
      <c r="B1070" s="17"/>
      <c r="C1070" s="2"/>
      <c r="D1070" s="2"/>
      <c r="E1070" s="2"/>
      <c r="F1070" s="2"/>
      <c r="G1070" s="2"/>
      <c r="H1070" s="2"/>
      <c r="I1070" s="5"/>
    </row>
    <row r="1071" spans="1:9" ht="17.399999999999999" x14ac:dyDescent="0.25">
      <c r="A1071" s="16"/>
      <c r="B1071" s="17"/>
      <c r="C1071" s="2"/>
      <c r="D1071" s="2"/>
      <c r="E1071" s="2"/>
      <c r="F1071" s="2"/>
      <c r="G1071" s="2"/>
      <c r="H1071" s="2"/>
      <c r="I1071" s="5"/>
    </row>
    <row r="1072" spans="1:9" ht="17.399999999999999" x14ac:dyDescent="0.25">
      <c r="A1072" s="16"/>
      <c r="B1072" s="17"/>
      <c r="C1072" s="2"/>
      <c r="D1072" s="2"/>
      <c r="E1072" s="2"/>
      <c r="F1072" s="2"/>
      <c r="G1072" s="2"/>
      <c r="H1072" s="2"/>
      <c r="I1072" s="5"/>
    </row>
    <row r="1073" spans="1:9" ht="17.399999999999999" x14ac:dyDescent="0.25">
      <c r="A1073" s="16"/>
      <c r="B1073" s="17"/>
      <c r="C1073" s="2"/>
      <c r="D1073" s="2"/>
      <c r="E1073" s="2"/>
      <c r="F1073" s="2"/>
      <c r="G1073" s="2"/>
      <c r="H1073" s="2"/>
      <c r="I1073" s="5"/>
    </row>
    <row r="1074" spans="1:9" ht="17.399999999999999" x14ac:dyDescent="0.25">
      <c r="A1074" s="16"/>
      <c r="B1074" s="17"/>
      <c r="C1074" s="2"/>
      <c r="D1074" s="2"/>
      <c r="E1074" s="2"/>
      <c r="F1074" s="2"/>
      <c r="G1074" s="2"/>
      <c r="H1074" s="2"/>
      <c r="I1074" s="5"/>
    </row>
    <row r="1075" spans="1:9" ht="17.399999999999999" x14ac:dyDescent="0.25">
      <c r="A1075" s="16"/>
      <c r="B1075" s="17"/>
      <c r="C1075" s="2"/>
      <c r="D1075" s="2"/>
      <c r="E1075" s="2"/>
      <c r="F1075" s="2"/>
      <c r="G1075" s="2"/>
      <c r="H1075" s="2"/>
      <c r="I1075" s="5"/>
    </row>
    <row r="1076" spans="1:9" ht="17.399999999999999" x14ac:dyDescent="0.25">
      <c r="A1076" s="16"/>
      <c r="B1076" s="17"/>
      <c r="C1076" s="2"/>
      <c r="D1076" s="2"/>
      <c r="E1076" s="2"/>
      <c r="F1076" s="2"/>
      <c r="G1076" s="2"/>
      <c r="H1076" s="2"/>
      <c r="I1076" s="5"/>
    </row>
    <row r="1077" spans="1:9" ht="17.399999999999999" x14ac:dyDescent="0.25">
      <c r="A1077" s="16"/>
      <c r="B1077" s="17"/>
      <c r="C1077" s="2"/>
      <c r="D1077" s="2"/>
      <c r="E1077" s="2"/>
      <c r="F1077" s="2"/>
      <c r="G1077" s="2"/>
      <c r="H1077" s="2"/>
      <c r="I1077" s="5"/>
    </row>
    <row r="1078" spans="1:9" ht="17.399999999999999" x14ac:dyDescent="0.25">
      <c r="A1078" s="16"/>
      <c r="B1078" s="17"/>
      <c r="C1078" s="2"/>
      <c r="D1078" s="2"/>
      <c r="E1078" s="2"/>
      <c r="F1078" s="2"/>
      <c r="G1078" s="2"/>
      <c r="H1078" s="2"/>
      <c r="I1078" s="5"/>
    </row>
    <row r="1079" spans="1:9" ht="17.399999999999999" x14ac:dyDescent="0.25">
      <c r="A1079" s="16"/>
      <c r="B1079" s="17"/>
      <c r="C1079" s="2"/>
      <c r="D1079" s="2"/>
      <c r="E1079" s="2"/>
      <c r="F1079" s="2"/>
      <c r="G1079" s="2"/>
      <c r="H1079" s="2"/>
      <c r="I1079" s="5"/>
    </row>
    <row r="1080" spans="1:9" ht="17.399999999999999" x14ac:dyDescent="0.25">
      <c r="A1080" s="16"/>
      <c r="B1080" s="17"/>
      <c r="C1080" s="2"/>
      <c r="D1080" s="2"/>
      <c r="E1080" s="2"/>
      <c r="F1080" s="2"/>
      <c r="G1080" s="2"/>
      <c r="H1080" s="2"/>
      <c r="I1080" s="5"/>
    </row>
    <row r="1081" spans="1:9" ht="17.399999999999999" x14ac:dyDescent="0.25">
      <c r="A1081" s="16"/>
      <c r="B1081" s="17"/>
      <c r="C1081" s="2"/>
      <c r="D1081" s="2"/>
      <c r="E1081" s="2"/>
      <c r="F1081" s="2"/>
      <c r="G1081" s="2"/>
      <c r="H1081" s="2"/>
      <c r="I1081" s="5"/>
    </row>
    <row r="1082" spans="1:9" ht="17.399999999999999" x14ac:dyDescent="0.25">
      <c r="A1082" s="16"/>
      <c r="B1082" s="17"/>
      <c r="C1082" s="2"/>
      <c r="D1082" s="2"/>
      <c r="E1082" s="2"/>
      <c r="F1082" s="2"/>
      <c r="G1082" s="2"/>
      <c r="H1082" s="2"/>
      <c r="I1082" s="5"/>
    </row>
    <row r="1083" spans="1:9" ht="17.399999999999999" x14ac:dyDescent="0.25">
      <c r="A1083" s="16"/>
      <c r="B1083" s="17"/>
      <c r="C1083" s="2"/>
      <c r="D1083" s="2"/>
      <c r="E1083" s="2"/>
      <c r="F1083" s="2"/>
      <c r="G1083" s="2"/>
      <c r="H1083" s="2"/>
      <c r="I1083" s="5"/>
    </row>
    <row r="1084" spans="1:9" ht="17.399999999999999" x14ac:dyDescent="0.25">
      <c r="A1084" s="16"/>
      <c r="B1084" s="17"/>
      <c r="C1084" s="2"/>
      <c r="D1084" s="2"/>
      <c r="E1084" s="2"/>
      <c r="F1084" s="2"/>
      <c r="G1084" s="2"/>
      <c r="H1084" s="2"/>
      <c r="I1084" s="5"/>
    </row>
    <row r="1085" spans="1:9" ht="17.399999999999999" x14ac:dyDescent="0.25">
      <c r="A1085" s="16"/>
      <c r="B1085" s="17"/>
      <c r="C1085" s="2"/>
      <c r="D1085" s="2"/>
      <c r="E1085" s="2"/>
      <c r="F1085" s="2"/>
      <c r="G1085" s="2"/>
      <c r="H1085" s="2"/>
      <c r="I1085" s="5"/>
    </row>
    <row r="1086" spans="1:9" ht="17.399999999999999" x14ac:dyDescent="0.25">
      <c r="A1086" s="16"/>
      <c r="B1086" s="17"/>
      <c r="C1086" s="2"/>
      <c r="D1086" s="2"/>
      <c r="E1086" s="2"/>
      <c r="F1086" s="2"/>
      <c r="G1086" s="2"/>
      <c r="H1086" s="2"/>
      <c r="I1086" s="5"/>
    </row>
    <row r="1087" spans="1:9" ht="17.399999999999999" x14ac:dyDescent="0.25">
      <c r="A1087" s="16"/>
      <c r="B1087" s="17"/>
      <c r="C1087" s="2"/>
      <c r="D1087" s="2"/>
      <c r="E1087" s="2"/>
      <c r="F1087" s="2"/>
      <c r="G1087" s="2"/>
      <c r="H1087" s="2"/>
      <c r="I1087" s="5"/>
    </row>
    <row r="1088" spans="1:9" ht="17.399999999999999" x14ac:dyDescent="0.25">
      <c r="A1088" s="16"/>
      <c r="B1088" s="17"/>
      <c r="C1088" s="2"/>
      <c r="D1088" s="2"/>
      <c r="E1088" s="2"/>
      <c r="F1088" s="2"/>
      <c r="G1088" s="2"/>
      <c r="H1088" s="2"/>
      <c r="I1088" s="5"/>
    </row>
    <row r="1089" spans="1:9" ht="17.399999999999999" x14ac:dyDescent="0.25">
      <c r="A1089" s="16"/>
      <c r="B1089" s="17"/>
      <c r="C1089" s="2"/>
      <c r="D1089" s="2"/>
      <c r="E1089" s="2"/>
      <c r="F1089" s="2"/>
      <c r="G1089" s="2"/>
      <c r="H1089" s="2"/>
      <c r="I1089" s="5"/>
    </row>
    <row r="1090" spans="1:9" ht="17.399999999999999" x14ac:dyDescent="0.25">
      <c r="A1090" s="16"/>
      <c r="B1090" s="17"/>
      <c r="C1090" s="2"/>
      <c r="D1090" s="2"/>
      <c r="E1090" s="2"/>
      <c r="F1090" s="2"/>
      <c r="G1090" s="2"/>
      <c r="H1090" s="2"/>
      <c r="I1090" s="5"/>
    </row>
    <row r="1091" spans="1:9" ht="17.399999999999999" x14ac:dyDescent="0.25">
      <c r="A1091" s="16"/>
      <c r="B1091" s="17"/>
      <c r="C1091" s="2"/>
      <c r="D1091" s="2"/>
      <c r="E1091" s="2"/>
      <c r="F1091" s="2"/>
      <c r="G1091" s="2"/>
      <c r="H1091" s="2"/>
      <c r="I1091" s="5"/>
    </row>
    <row r="1092" spans="1:9" ht="17.399999999999999" x14ac:dyDescent="0.25">
      <c r="A1092" s="16"/>
      <c r="B1092" s="17"/>
      <c r="C1092" s="2"/>
      <c r="D1092" s="2"/>
      <c r="E1092" s="2"/>
      <c r="F1092" s="2"/>
      <c r="G1092" s="2"/>
      <c r="H1092" s="2"/>
      <c r="I1092" s="5"/>
    </row>
    <row r="1093" spans="1:9" ht="17.399999999999999" x14ac:dyDescent="0.25">
      <c r="A1093" s="16"/>
      <c r="B1093" s="17"/>
      <c r="C1093" s="2"/>
      <c r="D1093" s="2"/>
      <c r="E1093" s="2"/>
      <c r="F1093" s="2"/>
      <c r="G1093" s="2"/>
      <c r="H1093" s="2"/>
      <c r="I1093" s="5"/>
    </row>
    <row r="1094" spans="1:9" ht="17.399999999999999" x14ac:dyDescent="0.25">
      <c r="A1094" s="16"/>
      <c r="B1094" s="17"/>
      <c r="C1094" s="2"/>
      <c r="D1094" s="2"/>
      <c r="E1094" s="2"/>
      <c r="F1094" s="2"/>
      <c r="G1094" s="2"/>
      <c r="H1094" s="2"/>
      <c r="I1094" s="5"/>
    </row>
    <row r="1095" spans="1:9" ht="17.399999999999999" x14ac:dyDescent="0.25">
      <c r="A1095" s="16"/>
      <c r="B1095" s="17"/>
      <c r="C1095" s="2"/>
      <c r="D1095" s="2"/>
      <c r="E1095" s="2"/>
      <c r="F1095" s="2"/>
      <c r="G1095" s="2"/>
      <c r="H1095" s="2"/>
      <c r="I1095" s="5"/>
    </row>
    <row r="1096" spans="1:9" ht="17.399999999999999" x14ac:dyDescent="0.25">
      <c r="A1096" s="16"/>
      <c r="B1096" s="17"/>
      <c r="C1096" s="2"/>
      <c r="D1096" s="2"/>
      <c r="E1096" s="2"/>
      <c r="F1096" s="2"/>
      <c r="G1096" s="2"/>
      <c r="H1096" s="2"/>
      <c r="I1096" s="5"/>
    </row>
    <row r="1097" spans="1:9" ht="17.399999999999999" x14ac:dyDescent="0.25">
      <c r="A1097" s="16"/>
      <c r="B1097" s="17"/>
      <c r="C1097" s="2"/>
      <c r="D1097" s="2"/>
      <c r="E1097" s="2"/>
      <c r="F1097" s="2"/>
      <c r="G1097" s="2"/>
      <c r="H1097" s="2"/>
      <c r="I1097" s="5"/>
    </row>
    <row r="1098" spans="1:9" ht="17.399999999999999" x14ac:dyDescent="0.25">
      <c r="A1098" s="16"/>
      <c r="B1098" s="17"/>
      <c r="C1098" s="2"/>
      <c r="D1098" s="2"/>
      <c r="E1098" s="2"/>
      <c r="F1098" s="2"/>
      <c r="G1098" s="2"/>
      <c r="H1098" s="2"/>
      <c r="I1098" s="5"/>
    </row>
    <row r="1099" spans="1:9" ht="17.399999999999999" x14ac:dyDescent="0.25">
      <c r="A1099" s="16"/>
      <c r="B1099" s="17"/>
      <c r="C1099" s="2"/>
      <c r="D1099" s="2"/>
      <c r="E1099" s="2"/>
      <c r="F1099" s="2"/>
      <c r="G1099" s="2"/>
      <c r="H1099" s="2"/>
      <c r="I1099" s="5"/>
    </row>
    <row r="1100" spans="1:9" ht="17.399999999999999" x14ac:dyDescent="0.25">
      <c r="A1100" s="16"/>
      <c r="B1100" s="17"/>
      <c r="C1100" s="2"/>
      <c r="D1100" s="2"/>
      <c r="E1100" s="2"/>
      <c r="F1100" s="2"/>
      <c r="G1100" s="2"/>
      <c r="H1100" s="2"/>
      <c r="I1100" s="5"/>
    </row>
    <row r="1101" spans="1:9" ht="17.399999999999999" x14ac:dyDescent="0.25">
      <c r="A1101" s="16"/>
      <c r="B1101" s="17"/>
      <c r="C1101" s="2"/>
      <c r="D1101" s="2"/>
      <c r="E1101" s="2"/>
      <c r="F1101" s="2"/>
      <c r="G1101" s="2"/>
      <c r="H1101" s="2"/>
      <c r="I1101" s="5"/>
    </row>
    <row r="1102" spans="1:9" ht="17.399999999999999" x14ac:dyDescent="0.25">
      <c r="A1102" s="16"/>
      <c r="B1102" s="17"/>
      <c r="C1102" s="2"/>
      <c r="D1102" s="2"/>
      <c r="E1102" s="2"/>
      <c r="F1102" s="2"/>
      <c r="G1102" s="2"/>
      <c r="H1102" s="2"/>
      <c r="I1102" s="5"/>
    </row>
    <row r="1103" spans="1:9" ht="17.399999999999999" x14ac:dyDescent="0.25">
      <c r="A1103" s="16"/>
      <c r="B1103" s="17"/>
      <c r="C1103" s="2"/>
      <c r="D1103" s="2"/>
      <c r="E1103" s="2"/>
      <c r="F1103" s="2"/>
      <c r="G1103" s="2"/>
      <c r="H1103" s="2"/>
      <c r="I1103" s="5"/>
    </row>
    <row r="1104" spans="1:9" ht="17.399999999999999" x14ac:dyDescent="0.25">
      <c r="A1104" s="16"/>
      <c r="B1104" s="17"/>
      <c r="C1104" s="2"/>
      <c r="D1104" s="2"/>
      <c r="E1104" s="2"/>
      <c r="F1104" s="2"/>
      <c r="G1104" s="2"/>
      <c r="H1104" s="2"/>
      <c r="I1104" s="5"/>
    </row>
    <row r="1105" spans="1:9" ht="17.399999999999999" x14ac:dyDescent="0.25">
      <c r="A1105" s="16"/>
      <c r="B1105" s="17"/>
      <c r="C1105" s="2"/>
      <c r="D1105" s="2"/>
      <c r="E1105" s="2"/>
      <c r="F1105" s="2"/>
      <c r="G1105" s="2"/>
      <c r="H1105" s="2"/>
      <c r="I1105" s="5"/>
    </row>
    <row r="1106" spans="1:9" ht="17.399999999999999" x14ac:dyDescent="0.25">
      <c r="A1106" s="16"/>
      <c r="B1106" s="17"/>
      <c r="C1106" s="2"/>
      <c r="D1106" s="2"/>
      <c r="E1106" s="2"/>
      <c r="F1106" s="2"/>
      <c r="G1106" s="2"/>
      <c r="H1106" s="2"/>
      <c r="I1106" s="5"/>
    </row>
    <row r="1107" spans="1:9" ht="17.399999999999999" x14ac:dyDescent="0.25">
      <c r="A1107" s="16"/>
      <c r="B1107" s="17"/>
      <c r="C1107" s="2"/>
      <c r="D1107" s="2"/>
      <c r="E1107" s="2"/>
      <c r="F1107" s="2"/>
      <c r="G1107" s="2"/>
      <c r="H1107" s="2"/>
      <c r="I1107" s="5"/>
    </row>
    <row r="1108" spans="1:9" ht="17.399999999999999" x14ac:dyDescent="0.25">
      <c r="A1108" s="16"/>
      <c r="B1108" s="17"/>
      <c r="C1108" s="2"/>
      <c r="D1108" s="2"/>
      <c r="E1108" s="2"/>
      <c r="F1108" s="2"/>
      <c r="G1108" s="2"/>
      <c r="H1108" s="2"/>
      <c r="I1108" s="5"/>
    </row>
    <row r="1109" spans="1:9" ht="17.399999999999999" x14ac:dyDescent="0.25">
      <c r="A1109" s="16"/>
      <c r="B1109" s="17"/>
      <c r="C1109" s="2"/>
      <c r="D1109" s="2"/>
      <c r="E1109" s="2"/>
      <c r="F1109" s="2"/>
      <c r="G1109" s="2"/>
      <c r="H1109" s="2"/>
      <c r="I1109" s="5"/>
    </row>
    <row r="1110" spans="1:9" ht="17.399999999999999" x14ac:dyDescent="0.25">
      <c r="A1110" s="16"/>
      <c r="B1110" s="17"/>
      <c r="C1110" s="2"/>
      <c r="D1110" s="2"/>
      <c r="E1110" s="2"/>
      <c r="F1110" s="2"/>
      <c r="G1110" s="2"/>
      <c r="H1110" s="2"/>
      <c r="I1110" s="5"/>
    </row>
    <row r="1111" spans="1:9" ht="17.399999999999999" x14ac:dyDescent="0.25">
      <c r="A1111" s="16"/>
      <c r="B1111" s="17"/>
      <c r="C1111" s="2"/>
      <c r="D1111" s="2"/>
      <c r="E1111" s="2"/>
      <c r="F1111" s="2"/>
      <c r="G1111" s="2"/>
      <c r="H1111" s="2"/>
      <c r="I1111" s="5"/>
    </row>
    <row r="1112" spans="1:9" ht="17.399999999999999" x14ac:dyDescent="0.25">
      <c r="A1112" s="16"/>
      <c r="B1112" s="17"/>
      <c r="C1112" s="2"/>
      <c r="D1112" s="2"/>
      <c r="E1112" s="2"/>
      <c r="F1112" s="2"/>
      <c r="G1112" s="2"/>
      <c r="H1112" s="2"/>
      <c r="I1112" s="5"/>
    </row>
    <row r="1113" spans="1:9" ht="17.399999999999999" x14ac:dyDescent="0.25">
      <c r="A1113" s="16"/>
      <c r="B1113" s="17"/>
      <c r="C1113" s="2"/>
      <c r="D1113" s="2"/>
      <c r="E1113" s="2"/>
      <c r="F1113" s="2"/>
      <c r="G1113" s="2"/>
      <c r="H1113" s="2"/>
      <c r="I1113" s="5"/>
    </row>
    <row r="1114" spans="1:9" ht="17.399999999999999" x14ac:dyDescent="0.25">
      <c r="A1114" s="16"/>
      <c r="B1114" s="17"/>
      <c r="C1114" s="2"/>
      <c r="D1114" s="2"/>
      <c r="E1114" s="2"/>
      <c r="F1114" s="2"/>
      <c r="G1114" s="2"/>
      <c r="H1114" s="2"/>
      <c r="I1114" s="5"/>
    </row>
    <row r="1115" spans="1:9" ht="17.399999999999999" x14ac:dyDescent="0.25">
      <c r="A1115" s="16"/>
      <c r="B1115" s="17"/>
      <c r="C1115" s="2"/>
      <c r="D1115" s="2"/>
      <c r="E1115" s="2"/>
      <c r="F1115" s="2"/>
      <c r="G1115" s="2"/>
      <c r="H1115" s="2"/>
      <c r="I1115" s="5"/>
    </row>
    <row r="1116" spans="1:9" ht="17.399999999999999" x14ac:dyDescent="0.25">
      <c r="A1116" s="16"/>
      <c r="B1116" s="17"/>
      <c r="C1116" s="2"/>
      <c r="D1116" s="2"/>
      <c r="E1116" s="2"/>
      <c r="F1116" s="2"/>
      <c r="G1116" s="2"/>
      <c r="H1116" s="2"/>
      <c r="I1116" s="5"/>
    </row>
    <row r="1117" spans="1:9" ht="17.399999999999999" x14ac:dyDescent="0.25">
      <c r="A1117" s="16"/>
      <c r="B1117" s="17"/>
      <c r="C1117" s="2"/>
      <c r="D1117" s="2"/>
      <c r="E1117" s="2"/>
      <c r="F1117" s="2"/>
      <c r="G1117" s="2"/>
      <c r="H1117" s="2"/>
      <c r="I1117" s="5"/>
    </row>
    <row r="1118" spans="1:9" ht="17.399999999999999" x14ac:dyDescent="0.25">
      <c r="A1118" s="16"/>
      <c r="B1118" s="17"/>
      <c r="C1118" s="2"/>
      <c r="D1118" s="2"/>
      <c r="E1118" s="2"/>
      <c r="F1118" s="2"/>
      <c r="G1118" s="2"/>
      <c r="H1118" s="2"/>
      <c r="I1118" s="5"/>
    </row>
    <row r="1119" spans="1:9" ht="17.399999999999999" x14ac:dyDescent="0.25">
      <c r="A1119" s="16"/>
      <c r="B1119" s="17"/>
      <c r="C1119" s="2"/>
      <c r="D1119" s="2"/>
      <c r="E1119" s="2"/>
      <c r="F1119" s="2"/>
      <c r="G1119" s="2"/>
      <c r="H1119" s="2"/>
      <c r="I1119" s="5"/>
    </row>
    <row r="1120" spans="1:9" ht="17.399999999999999" x14ac:dyDescent="0.25">
      <c r="A1120" s="16"/>
      <c r="B1120" s="17"/>
      <c r="C1120" s="2"/>
      <c r="D1120" s="2"/>
      <c r="E1120" s="2"/>
      <c r="F1120" s="2"/>
      <c r="G1120" s="2"/>
      <c r="H1120" s="2"/>
      <c r="I1120" s="5"/>
    </row>
    <row r="1121" spans="1:9" ht="17.399999999999999" x14ac:dyDescent="0.25">
      <c r="A1121" s="16"/>
      <c r="B1121" s="17"/>
      <c r="C1121" s="2"/>
      <c r="D1121" s="2"/>
      <c r="E1121" s="2"/>
      <c r="F1121" s="2"/>
      <c r="G1121" s="2"/>
      <c r="H1121" s="2"/>
      <c r="I1121" s="5"/>
    </row>
    <row r="1122" spans="1:9" ht="17.399999999999999" x14ac:dyDescent="0.25">
      <c r="A1122" s="16"/>
      <c r="B1122" s="17"/>
      <c r="C1122" s="2"/>
      <c r="D1122" s="2"/>
      <c r="E1122" s="2"/>
      <c r="F1122" s="2"/>
      <c r="G1122" s="2"/>
      <c r="H1122" s="2"/>
      <c r="I1122" s="5"/>
    </row>
    <row r="1123" spans="1:9" ht="17.399999999999999" x14ac:dyDescent="0.25">
      <c r="A1123" s="16"/>
      <c r="B1123" s="17"/>
      <c r="C1123" s="2"/>
      <c r="D1123" s="2"/>
      <c r="E1123" s="2"/>
      <c r="F1123" s="2"/>
      <c r="G1123" s="2"/>
      <c r="H1123" s="2"/>
      <c r="I1123" s="5"/>
    </row>
    <row r="1124" spans="1:9" ht="17.399999999999999" x14ac:dyDescent="0.25">
      <c r="A1124" s="16"/>
      <c r="B1124" s="17"/>
      <c r="C1124" s="2"/>
      <c r="D1124" s="2"/>
      <c r="E1124" s="2"/>
      <c r="F1124" s="2"/>
      <c r="G1124" s="2"/>
      <c r="H1124" s="2"/>
      <c r="I1124" s="5"/>
    </row>
    <row r="1125" spans="1:9" ht="17.399999999999999" x14ac:dyDescent="0.25">
      <c r="A1125" s="16"/>
      <c r="B1125" s="17"/>
      <c r="C1125" s="2"/>
      <c r="D1125" s="2"/>
      <c r="E1125" s="2"/>
      <c r="F1125" s="2"/>
      <c r="G1125" s="2"/>
      <c r="H1125" s="2"/>
      <c r="I1125" s="5"/>
    </row>
    <row r="1126" spans="1:9" ht="17.399999999999999" x14ac:dyDescent="0.25">
      <c r="A1126" s="16"/>
      <c r="B1126" s="17"/>
      <c r="C1126" s="2"/>
      <c r="D1126" s="2"/>
      <c r="E1126" s="2"/>
      <c r="F1126" s="2"/>
      <c r="G1126" s="2"/>
      <c r="H1126" s="2"/>
      <c r="I1126" s="5"/>
    </row>
    <row r="1127" spans="1:9" ht="17.399999999999999" x14ac:dyDescent="0.25">
      <c r="A1127" s="16"/>
      <c r="B1127" s="17"/>
      <c r="C1127" s="2"/>
      <c r="D1127" s="2"/>
      <c r="E1127" s="2"/>
      <c r="F1127" s="2"/>
      <c r="G1127" s="2"/>
      <c r="H1127" s="2"/>
      <c r="I1127" s="5"/>
    </row>
    <row r="1128" spans="1:9" ht="17.399999999999999" x14ac:dyDescent="0.25">
      <c r="A1128" s="16"/>
      <c r="B1128" s="17"/>
      <c r="C1128" s="2"/>
      <c r="D1128" s="2"/>
      <c r="E1128" s="2"/>
      <c r="F1128" s="2"/>
      <c r="G1128" s="2"/>
      <c r="H1128" s="2"/>
      <c r="I1128" s="5"/>
    </row>
    <row r="1129" spans="1:9" ht="17.399999999999999" x14ac:dyDescent="0.25">
      <c r="A1129" s="16"/>
      <c r="B1129" s="17"/>
      <c r="C1129" s="2"/>
      <c r="D1129" s="2"/>
      <c r="E1129" s="2"/>
      <c r="F1129" s="2"/>
      <c r="G1129" s="2"/>
      <c r="H1129" s="2"/>
      <c r="I1129" s="5"/>
    </row>
    <row r="1130" spans="1:9" ht="17.399999999999999" x14ac:dyDescent="0.25">
      <c r="A1130" s="16"/>
      <c r="B1130" s="17"/>
      <c r="C1130" s="2"/>
      <c r="D1130" s="2"/>
      <c r="E1130" s="2"/>
      <c r="F1130" s="2"/>
      <c r="G1130" s="2"/>
      <c r="H1130" s="2"/>
      <c r="I1130" s="5"/>
    </row>
    <row r="1131" spans="1:9" ht="17.399999999999999" x14ac:dyDescent="0.25">
      <c r="A1131" s="16"/>
      <c r="B1131" s="17"/>
      <c r="C1131" s="2"/>
      <c r="D1131" s="2"/>
      <c r="E1131" s="2"/>
      <c r="F1131" s="2"/>
      <c r="G1131" s="2"/>
      <c r="H1131" s="2"/>
      <c r="I1131" s="5"/>
    </row>
    <row r="1132" spans="1:9" ht="17.399999999999999" x14ac:dyDescent="0.25">
      <c r="A1132" s="16"/>
      <c r="B1132" s="17"/>
      <c r="C1132" s="2"/>
      <c r="D1132" s="2"/>
      <c r="E1132" s="2"/>
      <c r="F1132" s="2"/>
      <c r="G1132" s="2"/>
      <c r="H1132" s="2"/>
      <c r="I1132" s="5"/>
    </row>
    <row r="1133" spans="1:9" ht="17.399999999999999" x14ac:dyDescent="0.25">
      <c r="A1133" s="16"/>
      <c r="B1133" s="17"/>
      <c r="C1133" s="2"/>
      <c r="D1133" s="2"/>
      <c r="E1133" s="2"/>
      <c r="F1133" s="2"/>
      <c r="G1133" s="2"/>
      <c r="H1133" s="2"/>
      <c r="I1133" s="5"/>
    </row>
    <row r="1134" spans="1:9" ht="17.399999999999999" x14ac:dyDescent="0.25">
      <c r="A1134" s="16"/>
      <c r="B1134" s="17"/>
      <c r="C1134" s="2"/>
      <c r="D1134" s="2"/>
      <c r="E1134" s="2"/>
      <c r="F1134" s="2"/>
      <c r="G1134" s="2"/>
      <c r="H1134" s="2"/>
      <c r="I1134" s="5"/>
    </row>
    <row r="1135" spans="1:9" ht="17.399999999999999" x14ac:dyDescent="0.25">
      <c r="A1135" s="16"/>
      <c r="B1135" s="17"/>
      <c r="C1135" s="2"/>
      <c r="D1135" s="2"/>
      <c r="E1135" s="2"/>
      <c r="F1135" s="2"/>
      <c r="G1135" s="2"/>
      <c r="H1135" s="2"/>
      <c r="I1135" s="5"/>
    </row>
    <row r="1136" spans="1:9" ht="17.399999999999999" x14ac:dyDescent="0.25">
      <c r="A1136" s="16"/>
      <c r="B1136" s="17"/>
      <c r="C1136" s="2"/>
      <c r="D1136" s="2"/>
      <c r="E1136" s="2"/>
      <c r="F1136" s="2"/>
      <c r="G1136" s="2"/>
      <c r="H1136" s="2"/>
      <c r="I1136" s="5"/>
    </row>
    <row r="1137" spans="1:9" ht="17.399999999999999" x14ac:dyDescent="0.25">
      <c r="A1137" s="16"/>
      <c r="B1137" s="17"/>
      <c r="C1137" s="2"/>
      <c r="D1137" s="2"/>
      <c r="E1137" s="2"/>
      <c r="F1137" s="2"/>
      <c r="G1137" s="2"/>
      <c r="H1137" s="2"/>
      <c r="I1137" s="5"/>
    </row>
    <row r="1138" spans="1:9" ht="17.399999999999999" x14ac:dyDescent="0.25">
      <c r="A1138" s="16"/>
      <c r="B1138" s="17"/>
      <c r="C1138" s="2"/>
      <c r="D1138" s="2"/>
      <c r="E1138" s="2"/>
      <c r="F1138" s="2"/>
      <c r="G1138" s="2"/>
      <c r="H1138" s="2"/>
      <c r="I1138" s="5"/>
    </row>
    <row r="1139" spans="1:9" ht="17.399999999999999" x14ac:dyDescent="0.25">
      <c r="A1139" s="16"/>
      <c r="B1139" s="17"/>
      <c r="C1139" s="2"/>
      <c r="D1139" s="2"/>
      <c r="E1139" s="2"/>
      <c r="F1139" s="2"/>
      <c r="G1139" s="2"/>
      <c r="H1139" s="2"/>
      <c r="I1139" s="5"/>
    </row>
    <row r="1140" spans="1:9" ht="17.399999999999999" x14ac:dyDescent="0.25">
      <c r="A1140" s="16"/>
      <c r="B1140" s="17"/>
      <c r="C1140" s="2"/>
      <c r="D1140" s="2"/>
      <c r="E1140" s="2"/>
      <c r="F1140" s="2"/>
      <c r="G1140" s="2"/>
      <c r="H1140" s="2"/>
      <c r="I1140" s="5"/>
    </row>
    <row r="1141" spans="1:9" ht="17.399999999999999" x14ac:dyDescent="0.25">
      <c r="A1141" s="16"/>
      <c r="B1141" s="17"/>
      <c r="C1141" s="2"/>
      <c r="D1141" s="2"/>
      <c r="E1141" s="2"/>
      <c r="F1141" s="2"/>
      <c r="G1141" s="2"/>
      <c r="H1141" s="2"/>
      <c r="I1141" s="5"/>
    </row>
    <row r="1142" spans="1:9" ht="17.399999999999999" x14ac:dyDescent="0.25">
      <c r="A1142" s="16"/>
      <c r="B1142" s="17"/>
      <c r="C1142" s="2"/>
      <c r="D1142" s="2"/>
      <c r="E1142" s="2"/>
      <c r="F1142" s="2"/>
      <c r="G1142" s="2"/>
      <c r="H1142" s="2"/>
      <c r="I1142" s="5"/>
    </row>
    <row r="1143" spans="1:9" ht="17.399999999999999" x14ac:dyDescent="0.25">
      <c r="A1143" s="16"/>
      <c r="B1143" s="17"/>
      <c r="C1143" s="2"/>
      <c r="D1143" s="2"/>
      <c r="E1143" s="2"/>
      <c r="F1143" s="2"/>
      <c r="G1143" s="2"/>
      <c r="H1143" s="2"/>
      <c r="I1143" s="5"/>
    </row>
    <row r="1144" spans="1:9" ht="17.399999999999999" x14ac:dyDescent="0.25">
      <c r="A1144" s="16"/>
      <c r="B1144" s="17"/>
      <c r="C1144" s="2"/>
      <c r="D1144" s="2"/>
      <c r="E1144" s="2"/>
      <c r="F1144" s="2"/>
      <c r="G1144" s="2"/>
      <c r="H1144" s="2"/>
      <c r="I1144" s="5"/>
    </row>
    <row r="1145" spans="1:9" ht="17.399999999999999" x14ac:dyDescent="0.25">
      <c r="A1145" s="16"/>
      <c r="B1145" s="17"/>
      <c r="C1145" s="2"/>
      <c r="D1145" s="2"/>
      <c r="E1145" s="2"/>
      <c r="F1145" s="2"/>
      <c r="G1145" s="2"/>
      <c r="H1145" s="2"/>
      <c r="I1145" s="5"/>
    </row>
    <row r="1146" spans="1:9" ht="17.399999999999999" x14ac:dyDescent="0.25">
      <c r="A1146" s="16"/>
      <c r="B1146" s="17"/>
      <c r="C1146" s="2"/>
      <c r="D1146" s="2"/>
      <c r="E1146" s="2"/>
      <c r="F1146" s="2"/>
      <c r="G1146" s="2"/>
      <c r="H1146" s="2"/>
      <c r="I1146" s="5"/>
    </row>
    <row r="1147" spans="1:9" ht="17.399999999999999" x14ac:dyDescent="0.25">
      <c r="A1147" s="16"/>
      <c r="B1147" s="17"/>
      <c r="C1147" s="2"/>
      <c r="D1147" s="2"/>
      <c r="E1147" s="2"/>
      <c r="F1147" s="2"/>
      <c r="G1147" s="2"/>
      <c r="H1147" s="2"/>
      <c r="I1147" s="5"/>
    </row>
    <row r="1148" spans="1:9" ht="17.399999999999999" x14ac:dyDescent="0.25">
      <c r="A1148" s="16"/>
      <c r="B1148" s="17"/>
      <c r="C1148" s="2"/>
      <c r="D1148" s="2"/>
      <c r="E1148" s="2"/>
      <c r="F1148" s="2"/>
      <c r="G1148" s="2"/>
      <c r="H1148" s="2"/>
      <c r="I1148" s="5"/>
    </row>
    <row r="1149" spans="1:9" ht="17.399999999999999" x14ac:dyDescent="0.25">
      <c r="A1149" s="16"/>
      <c r="B1149" s="17"/>
      <c r="C1149" s="2"/>
      <c r="D1149" s="2"/>
      <c r="E1149" s="2"/>
      <c r="F1149" s="2"/>
      <c r="G1149" s="2"/>
      <c r="H1149" s="2"/>
      <c r="I1149" s="5"/>
    </row>
    <row r="1150" spans="1:9" ht="17.399999999999999" x14ac:dyDescent="0.25">
      <c r="A1150" s="16"/>
      <c r="B1150" s="17"/>
      <c r="C1150" s="2"/>
      <c r="D1150" s="2"/>
      <c r="E1150" s="2"/>
      <c r="F1150" s="2"/>
      <c r="G1150" s="2"/>
      <c r="H1150" s="2"/>
      <c r="I1150" s="5"/>
    </row>
    <row r="1151" spans="1:9" ht="17.399999999999999" x14ac:dyDescent="0.25">
      <c r="A1151" s="16"/>
      <c r="B1151" s="17"/>
      <c r="C1151" s="2"/>
      <c r="D1151" s="2"/>
      <c r="E1151" s="2"/>
      <c r="F1151" s="2"/>
      <c r="G1151" s="2"/>
      <c r="H1151" s="2"/>
      <c r="I1151" s="5"/>
    </row>
    <row r="1152" spans="1:9" ht="17.399999999999999" x14ac:dyDescent="0.25">
      <c r="A1152" s="16"/>
      <c r="B1152" s="17"/>
      <c r="C1152" s="2"/>
      <c r="D1152" s="2"/>
      <c r="E1152" s="2"/>
      <c r="F1152" s="2"/>
      <c r="G1152" s="2"/>
      <c r="H1152" s="2"/>
      <c r="I1152" s="5"/>
    </row>
    <row r="1153" spans="1:9" ht="17.399999999999999" x14ac:dyDescent="0.25">
      <c r="A1153" s="16"/>
      <c r="B1153" s="17"/>
      <c r="C1153" s="2"/>
      <c r="D1153" s="2"/>
      <c r="E1153" s="2"/>
      <c r="F1153" s="2"/>
      <c r="G1153" s="2"/>
      <c r="H1153" s="2"/>
      <c r="I1153" s="5"/>
    </row>
    <row r="1154" spans="1:9" ht="17.399999999999999" x14ac:dyDescent="0.25">
      <c r="A1154" s="16"/>
      <c r="B1154" s="17"/>
      <c r="C1154" s="2"/>
      <c r="D1154" s="2"/>
      <c r="E1154" s="2"/>
      <c r="F1154" s="2"/>
      <c r="G1154" s="2"/>
      <c r="H1154" s="2"/>
      <c r="I1154" s="5"/>
    </row>
    <row r="1155" spans="1:9" ht="17.399999999999999" x14ac:dyDescent="0.25">
      <c r="A1155" s="16"/>
      <c r="B1155" s="17"/>
      <c r="C1155" s="2"/>
      <c r="D1155" s="2"/>
      <c r="E1155" s="2"/>
      <c r="F1155" s="2"/>
      <c r="G1155" s="2"/>
      <c r="H1155" s="2"/>
      <c r="I1155" s="5"/>
    </row>
    <row r="1156" spans="1:9" ht="17.399999999999999" x14ac:dyDescent="0.25">
      <c r="A1156" s="16"/>
      <c r="B1156" s="17"/>
      <c r="C1156" s="2"/>
      <c r="D1156" s="2"/>
      <c r="E1156" s="2"/>
      <c r="F1156" s="2"/>
      <c r="G1156" s="2"/>
      <c r="H1156" s="2"/>
      <c r="I1156" s="5"/>
    </row>
    <row r="1157" spans="1:9" ht="17.399999999999999" x14ac:dyDescent="0.25">
      <c r="A1157" s="16"/>
      <c r="B1157" s="17"/>
      <c r="C1157" s="2"/>
      <c r="D1157" s="2"/>
      <c r="E1157" s="2"/>
      <c r="F1157" s="2"/>
      <c r="G1157" s="2"/>
      <c r="H1157" s="2"/>
      <c r="I1157" s="5"/>
    </row>
    <row r="1158" spans="1:9" ht="17.399999999999999" x14ac:dyDescent="0.25">
      <c r="A1158" s="16"/>
      <c r="B1158" s="17"/>
      <c r="C1158" s="2"/>
      <c r="D1158" s="2"/>
      <c r="E1158" s="2"/>
      <c r="F1158" s="2"/>
      <c r="G1158" s="2"/>
      <c r="H1158" s="2"/>
      <c r="I1158" s="5"/>
    </row>
    <row r="1159" spans="1:9" ht="17.399999999999999" x14ac:dyDescent="0.25">
      <c r="A1159" s="16"/>
      <c r="B1159" s="17"/>
      <c r="C1159" s="2"/>
      <c r="D1159" s="2"/>
      <c r="E1159" s="2"/>
      <c r="F1159" s="2"/>
      <c r="G1159" s="2"/>
      <c r="H1159" s="2"/>
      <c r="I1159" s="5"/>
    </row>
    <row r="1160" spans="1:9" ht="17.399999999999999" x14ac:dyDescent="0.25">
      <c r="A1160" s="16"/>
      <c r="B1160" s="17"/>
      <c r="C1160" s="2"/>
      <c r="D1160" s="2"/>
      <c r="E1160" s="2"/>
      <c r="F1160" s="2"/>
      <c r="G1160" s="2"/>
      <c r="H1160" s="2"/>
      <c r="I1160" s="5"/>
    </row>
    <row r="1161" spans="1:9" ht="17.399999999999999" x14ac:dyDescent="0.25">
      <c r="A1161" s="16"/>
      <c r="B1161" s="17"/>
      <c r="C1161" s="2"/>
      <c r="D1161" s="2"/>
      <c r="E1161" s="2"/>
      <c r="F1161" s="2"/>
      <c r="G1161" s="2"/>
      <c r="H1161" s="2"/>
      <c r="I1161" s="5"/>
    </row>
    <row r="1162" spans="1:9" ht="17.399999999999999" x14ac:dyDescent="0.25">
      <c r="A1162" s="16"/>
      <c r="B1162" s="17"/>
      <c r="C1162" s="2"/>
      <c r="D1162" s="2"/>
      <c r="E1162" s="2"/>
      <c r="F1162" s="2"/>
      <c r="G1162" s="2"/>
      <c r="H1162" s="2"/>
      <c r="I1162" s="5"/>
    </row>
    <row r="1163" spans="1:9" ht="17.399999999999999" x14ac:dyDescent="0.25">
      <c r="A1163" s="16"/>
      <c r="B1163" s="17"/>
      <c r="C1163" s="2"/>
      <c r="D1163" s="2"/>
      <c r="E1163" s="2"/>
      <c r="F1163" s="2"/>
      <c r="G1163" s="2"/>
      <c r="H1163" s="2"/>
      <c r="I1163" s="5"/>
    </row>
    <row r="1164" spans="1:9" ht="17.399999999999999" x14ac:dyDescent="0.25">
      <c r="A1164" s="16"/>
      <c r="B1164" s="17"/>
      <c r="C1164" s="2"/>
      <c r="D1164" s="2"/>
      <c r="E1164" s="2"/>
      <c r="F1164" s="2"/>
      <c r="G1164" s="2"/>
      <c r="H1164" s="2"/>
      <c r="I1164" s="5"/>
    </row>
    <row r="1165" spans="1:9" ht="17.399999999999999" x14ac:dyDescent="0.25">
      <c r="A1165" s="16"/>
      <c r="B1165" s="17"/>
      <c r="C1165" s="2"/>
      <c r="D1165" s="2"/>
      <c r="E1165" s="2"/>
      <c r="F1165" s="2"/>
      <c r="G1165" s="2"/>
      <c r="H1165" s="2"/>
      <c r="I1165" s="5"/>
    </row>
    <row r="1166" spans="1:9" ht="17.399999999999999" x14ac:dyDescent="0.25">
      <c r="A1166" s="16"/>
      <c r="B1166" s="17"/>
      <c r="C1166" s="2"/>
      <c r="D1166" s="2"/>
      <c r="E1166" s="2"/>
      <c r="F1166" s="2"/>
      <c r="G1166" s="2"/>
      <c r="H1166" s="2"/>
      <c r="I1166" s="5"/>
    </row>
    <row r="1167" spans="1:9" ht="17.399999999999999" x14ac:dyDescent="0.25">
      <c r="A1167" s="16"/>
      <c r="B1167" s="17"/>
      <c r="C1167" s="2"/>
      <c r="D1167" s="2"/>
      <c r="E1167" s="2"/>
      <c r="F1167" s="2"/>
      <c r="G1167" s="2"/>
      <c r="H1167" s="2"/>
      <c r="I1167" s="5"/>
    </row>
    <row r="1168" spans="1:9" ht="17.399999999999999" x14ac:dyDescent="0.25">
      <c r="A1168" s="16"/>
      <c r="B1168" s="17"/>
      <c r="C1168" s="2"/>
      <c r="D1168" s="2"/>
      <c r="E1168" s="2"/>
      <c r="F1168" s="2"/>
      <c r="G1168" s="2"/>
      <c r="H1168" s="2"/>
      <c r="I1168" s="5"/>
    </row>
    <row r="1169" spans="1:9" ht="17.399999999999999" x14ac:dyDescent="0.25">
      <c r="A1169" s="16"/>
      <c r="B1169" s="17"/>
      <c r="C1169" s="2"/>
      <c r="D1169" s="2"/>
      <c r="E1169" s="2"/>
      <c r="F1169" s="2"/>
      <c r="G1169" s="2"/>
      <c r="H1169" s="2"/>
      <c r="I1169" s="5"/>
    </row>
    <row r="1170" spans="1:9" ht="17.399999999999999" x14ac:dyDescent="0.25">
      <c r="A1170" s="16"/>
      <c r="B1170" s="17"/>
      <c r="C1170" s="2"/>
      <c r="D1170" s="2"/>
      <c r="E1170" s="2"/>
      <c r="F1170" s="2"/>
      <c r="G1170" s="2"/>
      <c r="H1170" s="2"/>
      <c r="I1170" s="5"/>
    </row>
    <row r="1171" spans="1:9" ht="17.399999999999999" x14ac:dyDescent="0.25">
      <c r="A1171" s="16"/>
      <c r="B1171" s="17"/>
      <c r="C1171" s="2"/>
      <c r="D1171" s="2"/>
      <c r="E1171" s="2"/>
      <c r="F1171" s="2"/>
      <c r="G1171" s="2"/>
      <c r="H1171" s="2"/>
      <c r="I1171" s="5"/>
    </row>
    <row r="1172" spans="1:9" ht="17.399999999999999" x14ac:dyDescent="0.25">
      <c r="A1172" s="16"/>
      <c r="B1172" s="17"/>
      <c r="C1172" s="2"/>
      <c r="D1172" s="2"/>
      <c r="E1172" s="2"/>
      <c r="F1172" s="2"/>
      <c r="G1172" s="2"/>
      <c r="H1172" s="2"/>
      <c r="I1172" s="5"/>
    </row>
    <row r="1173" spans="1:9" ht="17.399999999999999" x14ac:dyDescent="0.25">
      <c r="A1173" s="16"/>
      <c r="B1173" s="17"/>
      <c r="C1173" s="2"/>
      <c r="D1173" s="2"/>
      <c r="E1173" s="2"/>
      <c r="F1173" s="2"/>
      <c r="G1173" s="2"/>
      <c r="H1173" s="2"/>
      <c r="I1173" s="5"/>
    </row>
    <row r="1174" spans="1:9" ht="17.399999999999999" x14ac:dyDescent="0.25">
      <c r="A1174" s="16"/>
      <c r="B1174" s="17"/>
      <c r="C1174" s="2"/>
      <c r="D1174" s="2"/>
      <c r="E1174" s="2"/>
      <c r="F1174" s="2"/>
      <c r="G1174" s="2"/>
      <c r="H1174" s="2"/>
      <c r="I1174" s="5"/>
    </row>
    <row r="1175" spans="1:9" ht="17.399999999999999" x14ac:dyDescent="0.25">
      <c r="A1175" s="16"/>
      <c r="B1175" s="17"/>
      <c r="C1175" s="2"/>
      <c r="D1175" s="2"/>
      <c r="E1175" s="2"/>
      <c r="F1175" s="2"/>
      <c r="G1175" s="2"/>
      <c r="H1175" s="2"/>
      <c r="I1175" s="5"/>
    </row>
    <row r="1176" spans="1:9" ht="17.399999999999999" x14ac:dyDescent="0.25">
      <c r="A1176" s="16"/>
      <c r="B1176" s="17"/>
      <c r="C1176" s="2"/>
      <c r="D1176" s="2"/>
      <c r="E1176" s="2"/>
      <c r="F1176" s="2"/>
      <c r="G1176" s="2"/>
      <c r="H1176" s="2"/>
      <c r="I1176" s="5"/>
    </row>
    <row r="1177" spans="1:9" ht="17.399999999999999" x14ac:dyDescent="0.25">
      <c r="A1177" s="16"/>
      <c r="B1177" s="17"/>
      <c r="C1177" s="2"/>
      <c r="D1177" s="2"/>
      <c r="E1177" s="2"/>
      <c r="F1177" s="2"/>
      <c r="G1177" s="2"/>
      <c r="H1177" s="2"/>
      <c r="I1177" s="5"/>
    </row>
    <row r="1178" spans="1:9" ht="17.399999999999999" x14ac:dyDescent="0.25">
      <c r="A1178" s="16"/>
      <c r="B1178" s="17"/>
      <c r="C1178" s="2"/>
      <c r="D1178" s="2"/>
      <c r="E1178" s="2"/>
      <c r="F1178" s="2"/>
      <c r="G1178" s="2"/>
      <c r="H1178" s="2"/>
      <c r="I1178" s="5"/>
    </row>
    <row r="1179" spans="1:9" ht="17.399999999999999" x14ac:dyDescent="0.25">
      <c r="A1179" s="16"/>
      <c r="B1179" s="17"/>
      <c r="C1179" s="2"/>
      <c r="D1179" s="2"/>
      <c r="E1179" s="2"/>
      <c r="F1179" s="2"/>
      <c r="G1179" s="2"/>
      <c r="H1179" s="2"/>
      <c r="I1179" s="5"/>
    </row>
    <row r="1180" spans="1:9" ht="17.399999999999999" x14ac:dyDescent="0.25">
      <c r="A1180" s="16"/>
      <c r="B1180" s="17"/>
      <c r="C1180" s="2"/>
      <c r="D1180" s="2"/>
      <c r="E1180" s="2"/>
      <c r="F1180" s="2"/>
      <c r="G1180" s="2"/>
      <c r="H1180" s="2"/>
      <c r="I1180" s="5"/>
    </row>
    <row r="1181" spans="1:9" ht="17.399999999999999" x14ac:dyDescent="0.25">
      <c r="A1181" s="16"/>
      <c r="B1181" s="17"/>
      <c r="C1181" s="2"/>
      <c r="D1181" s="2"/>
      <c r="E1181" s="2"/>
      <c r="F1181" s="2"/>
      <c r="G1181" s="2"/>
      <c r="H1181" s="2"/>
      <c r="I1181" s="5"/>
    </row>
    <row r="1182" spans="1:9" ht="17.399999999999999" x14ac:dyDescent="0.25">
      <c r="A1182" s="16"/>
      <c r="B1182" s="17"/>
      <c r="C1182" s="2"/>
      <c r="D1182" s="2"/>
      <c r="E1182" s="2"/>
      <c r="F1182" s="2"/>
      <c r="G1182" s="2"/>
      <c r="H1182" s="2"/>
      <c r="I1182" s="5"/>
    </row>
    <row r="1183" spans="1:9" ht="17.399999999999999" x14ac:dyDescent="0.25">
      <c r="A1183" s="16"/>
      <c r="B1183" s="17"/>
      <c r="C1183" s="2"/>
      <c r="D1183" s="2"/>
      <c r="E1183" s="2"/>
      <c r="F1183" s="2"/>
      <c r="G1183" s="2"/>
      <c r="H1183" s="2"/>
      <c r="I1183" s="5"/>
    </row>
    <row r="1184" spans="1:9" ht="17.399999999999999" x14ac:dyDescent="0.25">
      <c r="A1184" s="16"/>
      <c r="B1184" s="17"/>
      <c r="C1184" s="2"/>
      <c r="D1184" s="2"/>
      <c r="E1184" s="2"/>
      <c r="F1184" s="2"/>
      <c r="G1184" s="2"/>
      <c r="H1184" s="2"/>
      <c r="I1184" s="5"/>
    </row>
    <row r="1185" spans="1:9" ht="17.399999999999999" x14ac:dyDescent="0.25">
      <c r="A1185" s="16"/>
      <c r="B1185" s="17"/>
      <c r="C1185" s="2"/>
      <c r="D1185" s="2"/>
      <c r="E1185" s="2"/>
      <c r="F1185" s="2"/>
      <c r="G1185" s="2"/>
      <c r="H1185" s="2"/>
      <c r="I1185" s="5"/>
    </row>
    <row r="1186" spans="1:9" ht="17.399999999999999" x14ac:dyDescent="0.25">
      <c r="A1186" s="16"/>
      <c r="B1186" s="17"/>
      <c r="C1186" s="2"/>
      <c r="D1186" s="2"/>
      <c r="E1186" s="2"/>
      <c r="F1186" s="2"/>
      <c r="G1186" s="2"/>
      <c r="H1186" s="2"/>
      <c r="I1186" s="5"/>
    </row>
    <row r="1187" spans="1:9" ht="17.399999999999999" x14ac:dyDescent="0.25">
      <c r="A1187" s="16"/>
      <c r="B1187" s="17"/>
      <c r="C1187" s="2"/>
      <c r="D1187" s="2"/>
      <c r="E1187" s="2"/>
      <c r="F1187" s="2"/>
      <c r="G1187" s="2"/>
      <c r="H1187" s="2"/>
      <c r="I1187" s="5"/>
    </row>
    <row r="1188" spans="1:9" ht="17.399999999999999" x14ac:dyDescent="0.25">
      <c r="A1188" s="16"/>
      <c r="B1188" s="17"/>
      <c r="C1188" s="2"/>
      <c r="D1188" s="2"/>
      <c r="E1188" s="2"/>
      <c r="F1188" s="2"/>
      <c r="G1188" s="2"/>
      <c r="H1188" s="2"/>
      <c r="I1188" s="5"/>
    </row>
    <row r="1189" spans="1:9" ht="17.399999999999999" x14ac:dyDescent="0.25">
      <c r="A1189" s="16"/>
      <c r="B1189" s="17"/>
      <c r="C1189" s="2"/>
      <c r="D1189" s="2"/>
      <c r="E1189" s="2"/>
      <c r="F1189" s="2"/>
      <c r="G1189" s="2"/>
      <c r="H1189" s="2"/>
      <c r="I1189" s="5"/>
    </row>
    <row r="1190" spans="1:9" ht="17.399999999999999" x14ac:dyDescent="0.25">
      <c r="A1190" s="16"/>
      <c r="B1190" s="17"/>
      <c r="C1190" s="2"/>
      <c r="D1190" s="2"/>
      <c r="E1190" s="2"/>
      <c r="F1190" s="2"/>
      <c r="G1190" s="2"/>
      <c r="H1190" s="2"/>
      <c r="I1190" s="5"/>
    </row>
    <row r="1191" spans="1:9" ht="17.399999999999999" x14ac:dyDescent="0.25">
      <c r="A1191" s="16"/>
      <c r="B1191" s="17"/>
      <c r="C1191" s="2"/>
      <c r="D1191" s="2"/>
      <c r="E1191" s="2"/>
      <c r="F1191" s="2"/>
      <c r="G1191" s="2"/>
      <c r="H1191" s="2"/>
      <c r="I1191" s="5"/>
    </row>
    <row r="1192" spans="1:9" ht="17.399999999999999" x14ac:dyDescent="0.25">
      <c r="A1192" s="16"/>
      <c r="B1192" s="17"/>
      <c r="C1192" s="2"/>
      <c r="D1192" s="2"/>
      <c r="E1192" s="2"/>
      <c r="F1192" s="2"/>
      <c r="G1192" s="2"/>
      <c r="H1192" s="2"/>
      <c r="I1192" s="5"/>
    </row>
    <row r="1193" spans="1:9" ht="17.399999999999999" x14ac:dyDescent="0.25">
      <c r="A1193" s="16"/>
      <c r="B1193" s="17"/>
      <c r="C1193" s="2"/>
      <c r="D1193" s="2"/>
      <c r="E1193" s="2"/>
      <c r="F1193" s="2"/>
      <c r="G1193" s="2"/>
      <c r="H1193" s="2"/>
      <c r="I1193" s="5"/>
    </row>
    <row r="1194" spans="1:9" ht="17.399999999999999" x14ac:dyDescent="0.25">
      <c r="A1194" s="16"/>
      <c r="B1194" s="17"/>
      <c r="C1194" s="2"/>
      <c r="D1194" s="2"/>
      <c r="E1194" s="2"/>
      <c r="F1194" s="2"/>
      <c r="G1194" s="2"/>
      <c r="H1194" s="2"/>
      <c r="I1194" s="5"/>
    </row>
    <row r="1195" spans="1:9" ht="17.399999999999999" x14ac:dyDescent="0.25">
      <c r="A1195" s="16"/>
      <c r="B1195" s="17"/>
      <c r="C1195" s="2"/>
      <c r="D1195" s="2"/>
      <c r="E1195" s="2"/>
      <c r="F1195" s="2"/>
      <c r="G1195" s="2"/>
      <c r="H1195" s="2"/>
      <c r="I1195" s="5"/>
    </row>
    <row r="1196" spans="1:9" ht="17.399999999999999" x14ac:dyDescent="0.25">
      <c r="A1196" s="16"/>
      <c r="B1196" s="17"/>
      <c r="C1196" s="2"/>
      <c r="D1196" s="2"/>
      <c r="E1196" s="2"/>
      <c r="F1196" s="2"/>
      <c r="G1196" s="2"/>
      <c r="H1196" s="2"/>
      <c r="I1196" s="5"/>
    </row>
    <row r="1197" spans="1:9" ht="17.399999999999999" x14ac:dyDescent="0.25">
      <c r="A1197" s="16"/>
      <c r="B1197" s="17"/>
      <c r="C1197" s="2"/>
      <c r="D1197" s="2"/>
      <c r="E1197" s="2"/>
      <c r="F1197" s="2"/>
      <c r="G1197" s="2"/>
      <c r="H1197" s="2"/>
      <c r="I1197" s="5"/>
    </row>
    <row r="1198" spans="1:9" ht="17.399999999999999" x14ac:dyDescent="0.25">
      <c r="A1198" s="16"/>
      <c r="B1198" s="17"/>
      <c r="C1198" s="2"/>
      <c r="D1198" s="2"/>
      <c r="E1198" s="2"/>
      <c r="F1198" s="2"/>
      <c r="G1198" s="2"/>
      <c r="H1198" s="2"/>
      <c r="I1198" s="5"/>
    </row>
    <row r="1199" spans="1:9" ht="17.399999999999999" x14ac:dyDescent="0.25">
      <c r="A1199" s="16"/>
      <c r="B1199" s="17"/>
      <c r="C1199" s="2"/>
      <c r="D1199" s="2"/>
      <c r="E1199" s="2"/>
      <c r="F1199" s="2"/>
      <c r="G1199" s="2"/>
      <c r="H1199" s="2"/>
      <c r="I1199" s="5"/>
    </row>
    <row r="1200" spans="1:9" ht="17.399999999999999" x14ac:dyDescent="0.25">
      <c r="A1200" s="16"/>
      <c r="B1200" s="17"/>
      <c r="C1200" s="2"/>
      <c r="D1200" s="2"/>
      <c r="E1200" s="2"/>
      <c r="F1200" s="2"/>
      <c r="G1200" s="2"/>
      <c r="H1200" s="2"/>
      <c r="I1200" s="5"/>
    </row>
    <row r="1201" spans="1:9" ht="17.399999999999999" x14ac:dyDescent="0.25">
      <c r="A1201" s="16"/>
      <c r="B1201" s="17"/>
      <c r="C1201" s="2"/>
      <c r="D1201" s="2"/>
      <c r="E1201" s="2"/>
      <c r="F1201" s="2"/>
      <c r="G1201" s="2"/>
      <c r="H1201" s="2"/>
      <c r="I1201" s="5"/>
    </row>
    <row r="1202" spans="1:9" ht="17.399999999999999" x14ac:dyDescent="0.25">
      <c r="A1202" s="16"/>
      <c r="B1202" s="17"/>
      <c r="C1202" s="2"/>
      <c r="D1202" s="2"/>
      <c r="E1202" s="2"/>
      <c r="F1202" s="2"/>
      <c r="G1202" s="2"/>
      <c r="H1202" s="2"/>
      <c r="I1202" s="5"/>
    </row>
    <row r="1203" spans="1:9" ht="17.399999999999999" x14ac:dyDescent="0.25">
      <c r="A1203" s="16"/>
      <c r="B1203" s="17"/>
      <c r="C1203" s="2"/>
      <c r="D1203" s="2"/>
      <c r="E1203" s="2"/>
      <c r="F1203" s="2"/>
      <c r="G1203" s="2"/>
      <c r="H1203" s="2"/>
      <c r="I1203" s="5"/>
    </row>
    <row r="1204" spans="1:9" ht="17.399999999999999" x14ac:dyDescent="0.25">
      <c r="A1204" s="16"/>
      <c r="B1204" s="17"/>
      <c r="C1204" s="2"/>
      <c r="D1204" s="2"/>
      <c r="E1204" s="2"/>
      <c r="F1204" s="2"/>
      <c r="G1204" s="2"/>
      <c r="H1204" s="2"/>
      <c r="I1204" s="5"/>
    </row>
    <row r="1205" spans="1:9" ht="17.399999999999999" x14ac:dyDescent="0.25">
      <c r="A1205" s="16"/>
      <c r="B1205" s="17"/>
      <c r="C1205" s="2"/>
      <c r="D1205" s="2"/>
      <c r="E1205" s="2"/>
      <c r="F1205" s="2"/>
      <c r="G1205" s="2"/>
      <c r="H1205" s="2"/>
      <c r="I1205" s="5"/>
    </row>
    <row r="1206" spans="1:9" ht="17.399999999999999" x14ac:dyDescent="0.25">
      <c r="A1206" s="16"/>
      <c r="B1206" s="17"/>
      <c r="C1206" s="2"/>
      <c r="D1206" s="2"/>
      <c r="E1206" s="2"/>
      <c r="F1206" s="2"/>
      <c r="G1206" s="2"/>
      <c r="H1206" s="2"/>
      <c r="I1206" s="5"/>
    </row>
    <row r="1207" spans="1:9" ht="17.399999999999999" x14ac:dyDescent="0.25">
      <c r="A1207" s="16"/>
      <c r="B1207" s="17"/>
      <c r="C1207" s="2"/>
      <c r="D1207" s="2"/>
      <c r="E1207" s="2"/>
      <c r="F1207" s="2"/>
      <c r="G1207" s="2"/>
      <c r="H1207" s="2"/>
      <c r="I1207" s="5"/>
    </row>
    <row r="1208" spans="1:9" ht="17.399999999999999" x14ac:dyDescent="0.25">
      <c r="A1208" s="16"/>
      <c r="B1208" s="17"/>
      <c r="C1208" s="2"/>
      <c r="D1208" s="2"/>
      <c r="E1208" s="2"/>
      <c r="F1208" s="2"/>
      <c r="G1208" s="2"/>
      <c r="H1208" s="2"/>
      <c r="I1208" s="5"/>
    </row>
    <row r="1209" spans="1:9" ht="17.399999999999999" x14ac:dyDescent="0.25">
      <c r="A1209" s="16"/>
      <c r="B1209" s="17"/>
      <c r="C1209" s="2"/>
      <c r="D1209" s="2"/>
      <c r="E1209" s="2"/>
      <c r="F1209" s="2"/>
      <c r="G1209" s="2"/>
      <c r="H1209" s="2"/>
      <c r="I1209" s="5"/>
    </row>
    <row r="1210" spans="1:9" ht="17.399999999999999" x14ac:dyDescent="0.25">
      <c r="A1210" s="16"/>
      <c r="B1210" s="17"/>
      <c r="C1210" s="2"/>
      <c r="D1210" s="2"/>
      <c r="E1210" s="2"/>
      <c r="F1210" s="2"/>
      <c r="G1210" s="2"/>
      <c r="H1210" s="2"/>
      <c r="I1210" s="5"/>
    </row>
    <row r="1211" spans="1:9" ht="17.399999999999999" x14ac:dyDescent="0.25">
      <c r="A1211" s="16"/>
      <c r="B1211" s="17"/>
      <c r="C1211" s="2"/>
      <c r="D1211" s="2"/>
      <c r="E1211" s="2"/>
      <c r="F1211" s="2"/>
      <c r="G1211" s="2"/>
      <c r="H1211" s="2"/>
      <c r="I1211" s="5"/>
    </row>
    <row r="1212" spans="1:9" ht="17.399999999999999" x14ac:dyDescent="0.25">
      <c r="A1212" s="16"/>
      <c r="B1212" s="17"/>
      <c r="C1212" s="2"/>
      <c r="D1212" s="2"/>
      <c r="E1212" s="2"/>
      <c r="F1212" s="2"/>
      <c r="G1212" s="2"/>
      <c r="H1212" s="2"/>
      <c r="I1212" s="5"/>
    </row>
    <row r="1213" spans="1:9" ht="17.399999999999999" x14ac:dyDescent="0.25">
      <c r="A1213" s="16"/>
      <c r="B1213" s="17"/>
      <c r="C1213" s="2"/>
      <c r="D1213" s="2"/>
      <c r="E1213" s="2"/>
      <c r="F1213" s="2"/>
      <c r="G1213" s="2"/>
      <c r="H1213" s="2"/>
      <c r="I1213" s="5"/>
    </row>
    <row r="1214" spans="1:9" ht="17.399999999999999" x14ac:dyDescent="0.25">
      <c r="A1214" s="16"/>
      <c r="B1214" s="17"/>
      <c r="C1214" s="2"/>
      <c r="D1214" s="2"/>
      <c r="E1214" s="2"/>
      <c r="F1214" s="2"/>
      <c r="G1214" s="2"/>
      <c r="H1214" s="2"/>
      <c r="I1214" s="5"/>
    </row>
    <row r="1215" spans="1:9" ht="17.399999999999999" x14ac:dyDescent="0.25">
      <c r="A1215" s="16"/>
      <c r="B1215" s="17"/>
      <c r="C1215" s="2"/>
      <c r="D1215" s="2"/>
      <c r="E1215" s="2"/>
      <c r="F1215" s="2"/>
      <c r="G1215" s="2"/>
      <c r="H1215" s="2"/>
      <c r="I1215" s="5"/>
    </row>
    <row r="1216" spans="1:9" ht="17.399999999999999" x14ac:dyDescent="0.25">
      <c r="A1216" s="16"/>
      <c r="B1216" s="17"/>
      <c r="C1216" s="2"/>
      <c r="D1216" s="2"/>
      <c r="E1216" s="2"/>
      <c r="F1216" s="2"/>
      <c r="G1216" s="2"/>
      <c r="H1216" s="2"/>
      <c r="I1216" s="5"/>
    </row>
    <row r="1217" spans="1:9" ht="17.399999999999999" x14ac:dyDescent="0.25">
      <c r="A1217" s="16"/>
      <c r="B1217" s="17"/>
      <c r="C1217" s="2"/>
      <c r="D1217" s="2"/>
      <c r="E1217" s="2"/>
      <c r="F1217" s="2"/>
      <c r="G1217" s="2"/>
      <c r="H1217" s="2"/>
      <c r="I1217" s="5"/>
    </row>
    <row r="1218" spans="1:9" ht="17.399999999999999" x14ac:dyDescent="0.25">
      <c r="A1218" s="16"/>
      <c r="B1218" s="17"/>
      <c r="C1218" s="2"/>
      <c r="D1218" s="2"/>
      <c r="E1218" s="2"/>
      <c r="F1218" s="2"/>
      <c r="G1218" s="2"/>
      <c r="H1218" s="2"/>
      <c r="I1218" s="5"/>
    </row>
    <row r="1219" spans="1:9" ht="17.399999999999999" x14ac:dyDescent="0.25">
      <c r="A1219" s="16"/>
      <c r="B1219" s="17"/>
      <c r="C1219" s="2"/>
      <c r="D1219" s="2"/>
      <c r="E1219" s="2"/>
      <c r="F1219" s="2"/>
      <c r="G1219" s="2"/>
      <c r="H1219" s="2"/>
      <c r="I1219" s="5"/>
    </row>
    <row r="1220" spans="1:9" ht="17.399999999999999" x14ac:dyDescent="0.25">
      <c r="A1220" s="16"/>
      <c r="B1220" s="17"/>
      <c r="C1220" s="2"/>
      <c r="D1220" s="2"/>
      <c r="E1220" s="2"/>
      <c r="F1220" s="2"/>
      <c r="G1220" s="2"/>
      <c r="H1220" s="2"/>
      <c r="I1220" s="5"/>
    </row>
    <row r="1221" spans="1:9" ht="17.399999999999999" x14ac:dyDescent="0.25">
      <c r="A1221" s="16"/>
      <c r="B1221" s="17"/>
      <c r="C1221" s="2"/>
      <c r="D1221" s="2"/>
      <c r="E1221" s="2"/>
      <c r="F1221" s="2"/>
      <c r="G1221" s="2"/>
      <c r="H1221" s="2"/>
      <c r="I1221" s="5"/>
    </row>
    <row r="1222" spans="1:9" ht="17.399999999999999" x14ac:dyDescent="0.25">
      <c r="A1222" s="16"/>
      <c r="B1222" s="17"/>
      <c r="C1222" s="2"/>
      <c r="D1222" s="2"/>
      <c r="E1222" s="2"/>
      <c r="F1222" s="2"/>
      <c r="G1222" s="2"/>
      <c r="H1222" s="2"/>
      <c r="I1222" s="5"/>
    </row>
    <row r="1223" spans="1:9" ht="17.399999999999999" x14ac:dyDescent="0.25">
      <c r="A1223" s="16"/>
      <c r="B1223" s="17"/>
      <c r="C1223" s="2"/>
      <c r="D1223" s="2"/>
      <c r="E1223" s="2"/>
      <c r="F1223" s="2"/>
      <c r="G1223" s="2"/>
      <c r="H1223" s="2"/>
      <c r="I1223" s="5"/>
    </row>
    <row r="1224" spans="1:9" ht="17.399999999999999" x14ac:dyDescent="0.25">
      <c r="A1224" s="16"/>
      <c r="B1224" s="17"/>
      <c r="C1224" s="2"/>
      <c r="D1224" s="2"/>
      <c r="E1224" s="2"/>
      <c r="F1224" s="2"/>
      <c r="G1224" s="2"/>
      <c r="H1224" s="2"/>
      <c r="I1224" s="5"/>
    </row>
    <row r="1225" spans="1:9" ht="17.399999999999999" x14ac:dyDescent="0.25">
      <c r="A1225" s="16"/>
      <c r="B1225" s="17"/>
      <c r="C1225" s="2"/>
      <c r="D1225" s="2"/>
      <c r="E1225" s="2"/>
      <c r="F1225" s="2"/>
      <c r="G1225" s="2"/>
      <c r="H1225" s="2"/>
      <c r="I1225" s="5"/>
    </row>
    <row r="1226" spans="1:9" ht="17.399999999999999" x14ac:dyDescent="0.25">
      <c r="A1226" s="16"/>
      <c r="B1226" s="17"/>
      <c r="C1226" s="2"/>
      <c r="D1226" s="2"/>
      <c r="E1226" s="2"/>
      <c r="F1226" s="2"/>
      <c r="G1226" s="2"/>
      <c r="H1226" s="2"/>
      <c r="I1226" s="5"/>
    </row>
    <row r="1227" spans="1:9" ht="17.399999999999999" x14ac:dyDescent="0.25">
      <c r="A1227" s="16"/>
      <c r="B1227" s="17"/>
      <c r="C1227" s="2"/>
      <c r="D1227" s="2"/>
      <c r="E1227" s="2"/>
      <c r="F1227" s="2"/>
      <c r="G1227" s="2"/>
      <c r="H1227" s="2"/>
      <c r="I1227" s="5"/>
    </row>
    <row r="1228" spans="1:9" ht="17.399999999999999" x14ac:dyDescent="0.25">
      <c r="A1228" s="16"/>
      <c r="B1228" s="17"/>
      <c r="C1228" s="2"/>
      <c r="D1228" s="2"/>
      <c r="E1228" s="2"/>
      <c r="F1228" s="2"/>
      <c r="G1228" s="2"/>
      <c r="H1228" s="2"/>
      <c r="I1228" s="5"/>
    </row>
    <row r="1229" spans="1:9" ht="17.399999999999999" x14ac:dyDescent="0.25">
      <c r="A1229" s="16"/>
      <c r="B1229" s="17"/>
      <c r="C1229" s="2"/>
      <c r="D1229" s="2"/>
      <c r="E1229" s="2"/>
      <c r="F1229" s="2"/>
      <c r="G1229" s="2"/>
      <c r="H1229" s="2"/>
      <c r="I1229" s="5"/>
    </row>
    <row r="1230" spans="1:9" ht="17.399999999999999" x14ac:dyDescent="0.25">
      <c r="A1230" s="16"/>
      <c r="B1230" s="17"/>
      <c r="C1230" s="2"/>
      <c r="D1230" s="2"/>
      <c r="E1230" s="2"/>
      <c r="F1230" s="2"/>
      <c r="G1230" s="2"/>
      <c r="H1230" s="2"/>
      <c r="I1230" s="5"/>
    </row>
    <row r="1231" spans="1:9" ht="17.399999999999999" x14ac:dyDescent="0.25">
      <c r="A1231" s="16"/>
      <c r="B1231" s="17"/>
      <c r="C1231" s="2"/>
      <c r="D1231" s="2"/>
      <c r="E1231" s="2"/>
      <c r="F1231" s="2"/>
      <c r="G1231" s="2"/>
      <c r="H1231" s="2"/>
      <c r="I1231" s="5"/>
    </row>
    <row r="1232" spans="1:9" ht="17.399999999999999" x14ac:dyDescent="0.25">
      <c r="A1232" s="16"/>
      <c r="B1232" s="17"/>
      <c r="C1232" s="2"/>
      <c r="D1232" s="2"/>
      <c r="E1232" s="2"/>
      <c r="F1232" s="2"/>
      <c r="G1232" s="2"/>
      <c r="H1232" s="2"/>
      <c r="I1232" s="5"/>
    </row>
    <row r="1233" spans="1:9" ht="17.399999999999999" x14ac:dyDescent="0.25">
      <c r="A1233" s="16"/>
      <c r="B1233" s="17"/>
      <c r="C1233" s="2"/>
      <c r="D1233" s="2"/>
      <c r="E1233" s="2"/>
      <c r="F1233" s="2"/>
      <c r="G1233" s="2"/>
      <c r="H1233" s="2"/>
      <c r="I1233" s="5"/>
    </row>
    <row r="1234" spans="1:9" ht="17.399999999999999" x14ac:dyDescent="0.25">
      <c r="A1234" s="16"/>
      <c r="B1234" s="17"/>
      <c r="C1234" s="2"/>
      <c r="D1234" s="2"/>
      <c r="E1234" s="2"/>
      <c r="F1234" s="2"/>
      <c r="G1234" s="2"/>
      <c r="H1234" s="2"/>
      <c r="I1234" s="5"/>
    </row>
    <row r="1235" spans="1:9" ht="17.399999999999999" x14ac:dyDescent="0.25">
      <c r="A1235" s="16"/>
      <c r="B1235" s="17"/>
      <c r="C1235" s="2"/>
      <c r="D1235" s="2"/>
      <c r="E1235" s="2"/>
      <c r="F1235" s="2"/>
      <c r="G1235" s="2"/>
      <c r="H1235" s="2"/>
      <c r="I1235" s="5"/>
    </row>
    <row r="1236" spans="1:9" ht="17.399999999999999" x14ac:dyDescent="0.25">
      <c r="A1236" s="16"/>
      <c r="B1236" s="17"/>
      <c r="C1236" s="2"/>
      <c r="D1236" s="2"/>
      <c r="E1236" s="2"/>
      <c r="F1236" s="2"/>
      <c r="G1236" s="2"/>
      <c r="H1236" s="2"/>
      <c r="I1236" s="5"/>
    </row>
    <row r="1237" spans="1:9" ht="17.399999999999999" x14ac:dyDescent="0.25">
      <c r="A1237" s="16"/>
      <c r="B1237" s="17"/>
      <c r="C1237" s="2"/>
      <c r="D1237" s="2"/>
      <c r="E1237" s="2"/>
      <c r="F1237" s="2"/>
      <c r="G1237" s="2"/>
      <c r="H1237" s="2"/>
      <c r="I1237" s="5"/>
    </row>
    <row r="1238" spans="1:9" ht="17.399999999999999" x14ac:dyDescent="0.25">
      <c r="A1238" s="16"/>
      <c r="B1238" s="17"/>
      <c r="C1238" s="2"/>
      <c r="D1238" s="2"/>
      <c r="E1238" s="2"/>
      <c r="F1238" s="2"/>
      <c r="G1238" s="2"/>
      <c r="H1238" s="2"/>
      <c r="I1238" s="5"/>
    </row>
    <row r="1239" spans="1:9" ht="17.399999999999999" x14ac:dyDescent="0.25">
      <c r="A1239" s="16"/>
      <c r="B1239" s="17"/>
      <c r="C1239" s="2"/>
      <c r="D1239" s="2"/>
      <c r="E1239" s="2"/>
      <c r="F1239" s="2"/>
      <c r="G1239" s="2"/>
      <c r="H1239" s="2"/>
      <c r="I1239" s="5"/>
    </row>
    <row r="1240" spans="1:9" ht="17.399999999999999" x14ac:dyDescent="0.25">
      <c r="A1240" s="16"/>
      <c r="B1240" s="17"/>
      <c r="C1240" s="2"/>
      <c r="D1240" s="2"/>
      <c r="E1240" s="2"/>
      <c r="F1240" s="2"/>
      <c r="G1240" s="2"/>
      <c r="H1240" s="2"/>
      <c r="I1240" s="5"/>
    </row>
    <row r="1241" spans="1:9" ht="17.399999999999999" x14ac:dyDescent="0.25">
      <c r="A1241" s="16"/>
      <c r="B1241" s="17"/>
      <c r="C1241" s="2"/>
      <c r="D1241" s="2"/>
      <c r="E1241" s="2"/>
      <c r="F1241" s="2"/>
      <c r="G1241" s="2"/>
      <c r="H1241" s="2"/>
      <c r="I1241" s="5"/>
    </row>
    <row r="1242" spans="1:9" ht="17.399999999999999" x14ac:dyDescent="0.25">
      <c r="A1242" s="16"/>
      <c r="B1242" s="17"/>
      <c r="C1242" s="2"/>
      <c r="D1242" s="2"/>
      <c r="E1242" s="2"/>
      <c r="F1242" s="2"/>
      <c r="G1242" s="2"/>
      <c r="H1242" s="2"/>
      <c r="I1242" s="5"/>
    </row>
    <row r="1243" spans="1:9" ht="17.399999999999999" x14ac:dyDescent="0.25">
      <c r="A1243" s="16"/>
      <c r="B1243" s="17"/>
      <c r="C1243" s="2"/>
      <c r="D1243" s="2"/>
      <c r="E1243" s="2"/>
      <c r="F1243" s="2"/>
      <c r="G1243" s="2"/>
      <c r="H1243" s="2"/>
      <c r="I1243" s="5"/>
    </row>
    <row r="1244" spans="1:9" ht="17.399999999999999" x14ac:dyDescent="0.25">
      <c r="A1244" s="16"/>
      <c r="B1244" s="17"/>
      <c r="C1244" s="2"/>
      <c r="D1244" s="2"/>
      <c r="E1244" s="2"/>
      <c r="F1244" s="2"/>
      <c r="G1244" s="2"/>
      <c r="H1244" s="2"/>
      <c r="I1244" s="5"/>
    </row>
    <row r="1245" spans="1:9" ht="17.399999999999999" x14ac:dyDescent="0.25">
      <c r="A1245" s="16"/>
      <c r="B1245" s="17"/>
      <c r="C1245" s="2"/>
      <c r="D1245" s="2"/>
      <c r="E1245" s="2"/>
      <c r="F1245" s="2"/>
      <c r="G1245" s="2"/>
      <c r="H1245" s="2"/>
      <c r="I1245" s="5"/>
    </row>
    <row r="1246" spans="1:9" ht="17.399999999999999" x14ac:dyDescent="0.25">
      <c r="A1246" s="16"/>
      <c r="B1246" s="17"/>
      <c r="C1246" s="2"/>
      <c r="D1246" s="2"/>
      <c r="E1246" s="2"/>
      <c r="F1246" s="2"/>
      <c r="G1246" s="2"/>
      <c r="H1246" s="2"/>
      <c r="I1246" s="5"/>
    </row>
    <row r="1247" spans="1:9" ht="17.399999999999999" x14ac:dyDescent="0.25">
      <c r="A1247" s="16"/>
      <c r="B1247" s="17"/>
      <c r="C1247" s="2"/>
      <c r="D1247" s="2"/>
      <c r="E1247" s="2"/>
      <c r="F1247" s="2"/>
      <c r="G1247" s="2"/>
      <c r="H1247" s="2"/>
      <c r="I1247" s="5"/>
    </row>
    <row r="1248" spans="1:9" ht="17.399999999999999" x14ac:dyDescent="0.25">
      <c r="A1248" s="16"/>
      <c r="B1248" s="17"/>
      <c r="C1248" s="2"/>
      <c r="D1248" s="2"/>
      <c r="E1248" s="2"/>
      <c r="F1248" s="2"/>
      <c r="G1248" s="2"/>
      <c r="H1248" s="2"/>
      <c r="I1248" s="5"/>
    </row>
    <row r="1249" spans="1:9" ht="17.399999999999999" x14ac:dyDescent="0.25">
      <c r="A1249" s="16"/>
      <c r="B1249" s="17"/>
      <c r="C1249" s="2"/>
      <c r="D1249" s="2"/>
      <c r="E1249" s="2"/>
      <c r="F1249" s="2"/>
      <c r="G1249" s="2"/>
      <c r="H1249" s="2"/>
      <c r="I1249" s="5"/>
    </row>
    <row r="1250" spans="1:9" ht="17.399999999999999" x14ac:dyDescent="0.25">
      <c r="A1250" s="16"/>
      <c r="B1250" s="17"/>
      <c r="C1250" s="2"/>
      <c r="D1250" s="2"/>
      <c r="E1250" s="2"/>
      <c r="F1250" s="2"/>
      <c r="G1250" s="2"/>
      <c r="H1250" s="2"/>
      <c r="I1250" s="5"/>
    </row>
    <row r="1251" spans="1:9" ht="17.399999999999999" x14ac:dyDescent="0.25">
      <c r="A1251" s="16"/>
      <c r="B1251" s="17"/>
      <c r="C1251" s="2"/>
      <c r="D1251" s="2"/>
      <c r="E1251" s="2"/>
      <c r="F1251" s="2"/>
      <c r="G1251" s="2"/>
      <c r="H1251" s="2"/>
      <c r="I1251" s="5"/>
    </row>
    <row r="1252" spans="1:9" ht="17.399999999999999" x14ac:dyDescent="0.25">
      <c r="A1252" s="16"/>
      <c r="B1252" s="17"/>
      <c r="C1252" s="2"/>
      <c r="D1252" s="2"/>
      <c r="E1252" s="2"/>
      <c r="F1252" s="2"/>
      <c r="G1252" s="2"/>
      <c r="H1252" s="2"/>
      <c r="I1252" s="5"/>
    </row>
    <row r="1253" spans="1:9" ht="17.399999999999999" x14ac:dyDescent="0.25">
      <c r="A1253" s="16"/>
      <c r="B1253" s="17"/>
      <c r="C1253" s="2"/>
      <c r="D1253" s="2"/>
      <c r="E1253" s="2"/>
      <c r="F1253" s="2"/>
      <c r="G1253" s="2"/>
      <c r="H1253" s="2"/>
      <c r="I1253" s="5"/>
    </row>
    <row r="1254" spans="1:9" ht="17.399999999999999" x14ac:dyDescent="0.25">
      <c r="A1254" s="16"/>
      <c r="B1254" s="17"/>
      <c r="C1254" s="2"/>
      <c r="D1254" s="2"/>
      <c r="E1254" s="2"/>
      <c r="F1254" s="2"/>
      <c r="G1254" s="2"/>
      <c r="H1254" s="2"/>
      <c r="I1254" s="5"/>
    </row>
    <row r="1255" spans="1:9" ht="17.399999999999999" x14ac:dyDescent="0.25">
      <c r="A1255" s="16"/>
      <c r="B1255" s="17"/>
      <c r="C1255" s="2"/>
      <c r="D1255" s="2"/>
      <c r="E1255" s="2"/>
      <c r="F1255" s="2"/>
      <c r="G1255" s="2"/>
      <c r="H1255" s="2"/>
      <c r="I1255" s="5"/>
    </row>
    <row r="1256" spans="1:9" ht="17.399999999999999" x14ac:dyDescent="0.25">
      <c r="A1256" s="16"/>
      <c r="B1256" s="17"/>
      <c r="C1256" s="2"/>
      <c r="D1256" s="2"/>
      <c r="E1256" s="2"/>
      <c r="F1256" s="2"/>
      <c r="G1256" s="2"/>
      <c r="H1256" s="2"/>
      <c r="I1256" s="5"/>
    </row>
    <row r="1257" spans="1:9" ht="17.399999999999999" x14ac:dyDescent="0.25">
      <c r="A1257" s="16"/>
      <c r="B1257" s="17"/>
      <c r="C1257" s="2"/>
      <c r="D1257" s="2"/>
      <c r="E1257" s="2"/>
      <c r="F1257" s="2"/>
      <c r="G1257" s="2"/>
      <c r="H1257" s="2"/>
      <c r="I1257" s="5"/>
    </row>
    <row r="1258" spans="1:9" ht="17.399999999999999" x14ac:dyDescent="0.25">
      <c r="A1258" s="16"/>
      <c r="B1258" s="17"/>
      <c r="C1258" s="2"/>
      <c r="D1258" s="2"/>
      <c r="E1258" s="2"/>
      <c r="F1258" s="2"/>
      <c r="G1258" s="2"/>
      <c r="H1258" s="2"/>
      <c r="I1258" s="5"/>
    </row>
    <row r="1259" spans="1:9" ht="17.399999999999999" x14ac:dyDescent="0.25">
      <c r="A1259" s="16"/>
      <c r="B1259" s="17"/>
      <c r="C1259" s="2"/>
      <c r="D1259" s="2"/>
      <c r="E1259" s="2"/>
      <c r="F1259" s="2"/>
      <c r="G1259" s="2"/>
      <c r="H1259" s="2"/>
      <c r="I1259" s="5"/>
    </row>
    <row r="1260" spans="1:9" ht="17.399999999999999" x14ac:dyDescent="0.25">
      <c r="A1260" s="16"/>
      <c r="B1260" s="17"/>
      <c r="C1260" s="2"/>
      <c r="D1260" s="2"/>
      <c r="E1260" s="2"/>
      <c r="F1260" s="2"/>
      <c r="G1260" s="2"/>
      <c r="H1260" s="2"/>
      <c r="I1260" s="5"/>
    </row>
    <row r="1261" spans="1:9" ht="17.399999999999999" x14ac:dyDescent="0.25">
      <c r="A1261" s="16"/>
      <c r="B1261" s="17"/>
      <c r="C1261" s="2"/>
      <c r="D1261" s="2"/>
      <c r="E1261" s="2"/>
      <c r="F1261" s="2"/>
      <c r="G1261" s="2"/>
      <c r="H1261" s="2"/>
      <c r="I1261" s="5"/>
    </row>
    <row r="1262" spans="1:9" ht="17.399999999999999" x14ac:dyDescent="0.25">
      <c r="A1262" s="16"/>
      <c r="B1262" s="17"/>
      <c r="C1262" s="2"/>
      <c r="D1262" s="2"/>
      <c r="E1262" s="2"/>
      <c r="F1262" s="2"/>
      <c r="G1262" s="2"/>
      <c r="H1262" s="2"/>
      <c r="I1262" s="5"/>
    </row>
    <row r="1263" spans="1:9" ht="17.399999999999999" x14ac:dyDescent="0.25">
      <c r="A1263" s="16"/>
      <c r="B1263" s="17"/>
      <c r="C1263" s="2"/>
      <c r="D1263" s="2"/>
      <c r="E1263" s="2"/>
      <c r="F1263" s="2"/>
      <c r="G1263" s="2"/>
      <c r="H1263" s="2"/>
      <c r="I1263" s="5"/>
    </row>
    <row r="1264" spans="1:9" ht="17.399999999999999" x14ac:dyDescent="0.25">
      <c r="A1264" s="16"/>
      <c r="B1264" s="17"/>
      <c r="C1264" s="2"/>
      <c r="D1264" s="2"/>
      <c r="E1264" s="2"/>
      <c r="F1264" s="2"/>
      <c r="G1264" s="2"/>
      <c r="H1264" s="2"/>
      <c r="I1264" s="5"/>
    </row>
    <row r="1265" spans="1:9" ht="17.399999999999999" x14ac:dyDescent="0.25">
      <c r="A1265" s="16"/>
      <c r="B1265" s="17"/>
      <c r="C1265" s="2"/>
      <c r="D1265" s="2"/>
      <c r="E1265" s="2"/>
      <c r="F1265" s="2"/>
      <c r="G1265" s="2"/>
      <c r="H1265" s="2"/>
      <c r="I1265" s="5"/>
    </row>
    <row r="1266" spans="1:9" ht="17.399999999999999" x14ac:dyDescent="0.25">
      <c r="A1266" s="16"/>
      <c r="B1266" s="17"/>
      <c r="C1266" s="2"/>
      <c r="D1266" s="2"/>
      <c r="E1266" s="2"/>
      <c r="F1266" s="2"/>
      <c r="G1266" s="2"/>
      <c r="H1266" s="2"/>
      <c r="I1266" s="5"/>
    </row>
    <row r="1267" spans="1:9" ht="17.399999999999999" x14ac:dyDescent="0.25">
      <c r="A1267" s="16"/>
      <c r="B1267" s="17"/>
      <c r="C1267" s="2"/>
      <c r="D1267" s="2"/>
      <c r="E1267" s="2"/>
      <c r="F1267" s="2"/>
      <c r="G1267" s="2"/>
      <c r="H1267" s="2"/>
      <c r="I1267" s="5"/>
    </row>
    <row r="1268" spans="1:9" ht="17.399999999999999" x14ac:dyDescent="0.25">
      <c r="A1268" s="16"/>
      <c r="B1268" s="17"/>
      <c r="C1268" s="2"/>
      <c r="D1268" s="2"/>
      <c r="E1268" s="2"/>
      <c r="F1268" s="2"/>
      <c r="G1268" s="2"/>
      <c r="H1268" s="2"/>
      <c r="I1268" s="5"/>
    </row>
    <row r="1269" spans="1:9" ht="17.399999999999999" x14ac:dyDescent="0.25">
      <c r="A1269" s="16"/>
      <c r="B1269" s="17"/>
      <c r="C1269" s="2"/>
      <c r="D1269" s="2"/>
      <c r="E1269" s="2"/>
      <c r="F1269" s="2"/>
      <c r="G1269" s="2"/>
      <c r="H1269" s="2"/>
      <c r="I1269" s="5"/>
    </row>
    <row r="1270" spans="1:9" ht="17.399999999999999" x14ac:dyDescent="0.25">
      <c r="A1270" s="16"/>
      <c r="B1270" s="17"/>
      <c r="C1270" s="2"/>
      <c r="D1270" s="2"/>
      <c r="E1270" s="2"/>
      <c r="F1270" s="2"/>
      <c r="G1270" s="2"/>
      <c r="H1270" s="2"/>
      <c r="I1270" s="5"/>
    </row>
    <row r="1271" spans="1:9" ht="17.399999999999999" x14ac:dyDescent="0.25">
      <c r="A1271" s="16"/>
      <c r="B1271" s="17"/>
      <c r="C1271" s="2"/>
      <c r="D1271" s="2"/>
      <c r="E1271" s="2"/>
      <c r="F1271" s="2"/>
      <c r="G1271" s="2"/>
      <c r="H1271" s="2"/>
      <c r="I1271" s="5"/>
    </row>
    <row r="1272" spans="1:9" ht="17.399999999999999" x14ac:dyDescent="0.25">
      <c r="A1272" s="16"/>
      <c r="B1272" s="17"/>
      <c r="C1272" s="2"/>
      <c r="D1272" s="2"/>
      <c r="E1272" s="2"/>
      <c r="F1272" s="2"/>
      <c r="G1272" s="2"/>
      <c r="H1272" s="2"/>
      <c r="I1272" s="5"/>
    </row>
    <row r="1273" spans="1:9" ht="17.399999999999999" x14ac:dyDescent="0.25">
      <c r="A1273" s="16"/>
      <c r="B1273" s="17"/>
      <c r="C1273" s="2"/>
      <c r="D1273" s="2"/>
      <c r="E1273" s="2"/>
      <c r="F1273" s="2"/>
      <c r="G1273" s="2"/>
      <c r="H1273" s="2"/>
      <c r="I1273" s="5"/>
    </row>
    <row r="1274" spans="1:9" ht="17.399999999999999" x14ac:dyDescent="0.25">
      <c r="A1274" s="16"/>
      <c r="B1274" s="17"/>
      <c r="C1274" s="2"/>
      <c r="D1274" s="2"/>
      <c r="E1274" s="2"/>
      <c r="F1274" s="2"/>
      <c r="G1274" s="2"/>
      <c r="H1274" s="2"/>
      <c r="I1274" s="5"/>
    </row>
    <row r="1275" spans="1:9" ht="17.399999999999999" x14ac:dyDescent="0.25">
      <c r="A1275" s="16"/>
      <c r="B1275" s="17"/>
      <c r="C1275" s="2"/>
      <c r="D1275" s="2"/>
      <c r="E1275" s="2"/>
      <c r="F1275" s="2"/>
      <c r="G1275" s="2"/>
      <c r="H1275" s="2"/>
      <c r="I1275" s="5"/>
    </row>
    <row r="1276" spans="1:9" ht="17.399999999999999" x14ac:dyDescent="0.25">
      <c r="A1276" s="16"/>
      <c r="B1276" s="17"/>
      <c r="C1276" s="2"/>
      <c r="D1276" s="2"/>
      <c r="E1276" s="2"/>
      <c r="F1276" s="2"/>
      <c r="G1276" s="2"/>
      <c r="H1276" s="2"/>
      <c r="I1276" s="5"/>
    </row>
    <row r="1277" spans="1:9" ht="17.399999999999999" x14ac:dyDescent="0.25">
      <c r="A1277" s="16"/>
      <c r="B1277" s="17"/>
      <c r="C1277" s="2"/>
      <c r="D1277" s="2"/>
      <c r="E1277" s="2"/>
      <c r="F1277" s="2"/>
      <c r="G1277" s="2"/>
      <c r="H1277" s="2"/>
      <c r="I1277" s="5"/>
    </row>
    <row r="1278" spans="1:9" ht="17.399999999999999" x14ac:dyDescent="0.25">
      <c r="A1278" s="16"/>
      <c r="B1278" s="17"/>
      <c r="C1278" s="2"/>
      <c r="D1278" s="2"/>
      <c r="E1278" s="2"/>
      <c r="F1278" s="2"/>
      <c r="G1278" s="2"/>
      <c r="H1278" s="2"/>
      <c r="I1278" s="5"/>
    </row>
    <row r="1279" spans="1:9" ht="17.399999999999999" x14ac:dyDescent="0.25">
      <c r="A1279" s="16"/>
      <c r="B1279" s="17"/>
      <c r="C1279" s="2"/>
      <c r="D1279" s="2"/>
      <c r="E1279" s="2"/>
      <c r="F1279" s="2"/>
      <c r="G1279" s="2"/>
      <c r="H1279" s="2"/>
      <c r="I1279" s="5"/>
    </row>
    <row r="1280" spans="1:9" ht="17.399999999999999" x14ac:dyDescent="0.25">
      <c r="A1280" s="16"/>
      <c r="B1280" s="17"/>
      <c r="C1280" s="2"/>
      <c r="D1280" s="2"/>
      <c r="E1280" s="2"/>
      <c r="F1280" s="2"/>
      <c r="G1280" s="2"/>
      <c r="H1280" s="2"/>
      <c r="I1280" s="5"/>
    </row>
    <row r="1281" spans="1:9" ht="17.399999999999999" x14ac:dyDescent="0.25">
      <c r="A1281" s="16"/>
      <c r="B1281" s="17"/>
      <c r="C1281" s="2"/>
      <c r="D1281" s="2"/>
      <c r="E1281" s="2"/>
      <c r="F1281" s="2"/>
      <c r="G1281" s="2"/>
      <c r="H1281" s="2"/>
      <c r="I1281" s="5"/>
    </row>
    <row r="1282" spans="1:9" ht="17.399999999999999" x14ac:dyDescent="0.25">
      <c r="A1282" s="16"/>
      <c r="B1282" s="17"/>
      <c r="C1282" s="2"/>
      <c r="D1282" s="2"/>
      <c r="E1282" s="2"/>
      <c r="F1282" s="2"/>
      <c r="G1282" s="2"/>
      <c r="H1282" s="2"/>
      <c r="I1282" s="5"/>
    </row>
    <row r="1283" spans="1:9" ht="17.399999999999999" x14ac:dyDescent="0.25">
      <c r="A1283" s="16"/>
      <c r="B1283" s="17"/>
      <c r="C1283" s="2"/>
      <c r="D1283" s="2"/>
      <c r="E1283" s="2"/>
      <c r="F1283" s="2"/>
      <c r="G1283" s="2"/>
      <c r="H1283" s="2"/>
      <c r="I1283" s="5"/>
    </row>
    <row r="1284" spans="1:9" ht="17.399999999999999" x14ac:dyDescent="0.25">
      <c r="A1284" s="16"/>
      <c r="B1284" s="17"/>
      <c r="C1284" s="2"/>
      <c r="D1284" s="2"/>
      <c r="E1284" s="2"/>
      <c r="F1284" s="2"/>
      <c r="G1284" s="2"/>
      <c r="H1284" s="2"/>
      <c r="I1284" s="5"/>
    </row>
    <row r="1285" spans="1:9" ht="17.399999999999999" x14ac:dyDescent="0.25">
      <c r="A1285" s="16"/>
      <c r="B1285" s="17"/>
      <c r="C1285" s="2"/>
      <c r="D1285" s="2"/>
      <c r="E1285" s="2"/>
      <c r="F1285" s="2"/>
      <c r="G1285" s="2"/>
      <c r="H1285" s="2"/>
      <c r="I1285" s="5"/>
    </row>
    <row r="1286" spans="1:9" ht="17.399999999999999" x14ac:dyDescent="0.25">
      <c r="A1286" s="16"/>
      <c r="B1286" s="17"/>
      <c r="C1286" s="2"/>
      <c r="D1286" s="2"/>
      <c r="E1286" s="2"/>
      <c r="F1286" s="2"/>
      <c r="G1286" s="2"/>
      <c r="H1286" s="2"/>
      <c r="I1286" s="5"/>
    </row>
    <row r="1287" spans="1:9" ht="17.399999999999999" x14ac:dyDescent="0.25">
      <c r="A1287" s="16"/>
      <c r="B1287" s="17"/>
      <c r="C1287" s="2"/>
      <c r="D1287" s="2"/>
      <c r="E1287" s="2"/>
      <c r="F1287" s="2"/>
      <c r="G1287" s="2"/>
      <c r="H1287" s="2"/>
      <c r="I1287" s="5"/>
    </row>
    <row r="1288" spans="1:9" ht="17.399999999999999" x14ac:dyDescent="0.25">
      <c r="A1288" s="16"/>
      <c r="B1288" s="17"/>
      <c r="C1288" s="2"/>
      <c r="D1288" s="2"/>
      <c r="E1288" s="2"/>
      <c r="F1288" s="2"/>
      <c r="G1288" s="2"/>
      <c r="H1288" s="2"/>
      <c r="I1288" s="5"/>
    </row>
    <row r="1289" spans="1:9" ht="17.399999999999999" x14ac:dyDescent="0.25">
      <c r="A1289" s="16"/>
      <c r="B1289" s="17"/>
      <c r="C1289" s="2"/>
      <c r="D1289" s="2"/>
      <c r="E1289" s="2"/>
      <c r="F1289" s="2"/>
      <c r="G1289" s="2"/>
      <c r="H1289" s="2"/>
      <c r="I1289" s="5"/>
    </row>
    <row r="1290" spans="1:9" ht="17.399999999999999" x14ac:dyDescent="0.25">
      <c r="A1290" s="16"/>
      <c r="B1290" s="17"/>
      <c r="C1290" s="2"/>
      <c r="D1290" s="2"/>
      <c r="E1290" s="2"/>
      <c r="F1290" s="2"/>
      <c r="G1290" s="2"/>
      <c r="H1290" s="2"/>
      <c r="I1290" s="5"/>
    </row>
    <row r="1291" spans="1:9" ht="17.399999999999999" x14ac:dyDescent="0.25">
      <c r="A1291" s="16"/>
      <c r="B1291" s="17"/>
      <c r="C1291" s="2"/>
      <c r="D1291" s="2"/>
      <c r="E1291" s="2"/>
      <c r="F1291" s="2"/>
      <c r="G1291" s="2"/>
      <c r="H1291" s="2"/>
      <c r="I1291" s="5"/>
    </row>
    <row r="1292" spans="1:9" ht="17.399999999999999" x14ac:dyDescent="0.25">
      <c r="A1292" s="16"/>
      <c r="B1292" s="17"/>
      <c r="C1292" s="2"/>
      <c r="D1292" s="2"/>
      <c r="E1292" s="2"/>
      <c r="F1292" s="2"/>
      <c r="G1292" s="2"/>
      <c r="H1292" s="2"/>
      <c r="I1292" s="5"/>
    </row>
    <row r="1293" spans="1:9" ht="17.399999999999999" x14ac:dyDescent="0.25">
      <c r="A1293" s="16"/>
      <c r="B1293" s="17"/>
      <c r="C1293" s="2"/>
      <c r="D1293" s="2"/>
      <c r="E1293" s="2"/>
      <c r="F1293" s="2"/>
      <c r="G1293" s="2"/>
      <c r="H1293" s="2"/>
      <c r="I1293" s="5"/>
    </row>
    <row r="1294" spans="1:9" ht="17.399999999999999" x14ac:dyDescent="0.25">
      <c r="A1294" s="16"/>
      <c r="B1294" s="17"/>
      <c r="C1294" s="2"/>
      <c r="D1294" s="2"/>
      <c r="E1294" s="2"/>
      <c r="F1294" s="2"/>
      <c r="G1294" s="2"/>
      <c r="H1294" s="2"/>
      <c r="I1294" s="5"/>
    </row>
    <row r="1295" spans="1:9" ht="17.399999999999999" x14ac:dyDescent="0.25">
      <c r="A1295" s="16"/>
      <c r="B1295" s="17"/>
      <c r="C1295" s="2"/>
      <c r="D1295" s="2"/>
      <c r="E1295" s="2"/>
      <c r="F1295" s="2"/>
      <c r="G1295" s="2"/>
      <c r="H1295" s="2"/>
      <c r="I1295" s="5"/>
    </row>
    <row r="1296" spans="1:9" ht="17.399999999999999" x14ac:dyDescent="0.25">
      <c r="A1296" s="16"/>
      <c r="B1296" s="17"/>
      <c r="C1296" s="2"/>
      <c r="D1296" s="2"/>
      <c r="E1296" s="2"/>
      <c r="F1296" s="2"/>
      <c r="G1296" s="2"/>
      <c r="H1296" s="2"/>
      <c r="I1296" s="5"/>
    </row>
    <row r="1297" spans="1:9" ht="17.399999999999999" x14ac:dyDescent="0.25">
      <c r="A1297" s="16"/>
      <c r="B1297" s="17"/>
      <c r="C1297" s="2"/>
      <c r="D1297" s="2"/>
      <c r="E1297" s="2"/>
      <c r="F1297" s="2"/>
      <c r="G1297" s="2"/>
      <c r="H1297" s="2"/>
      <c r="I1297" s="5"/>
    </row>
    <row r="1298" spans="1:9" ht="17.399999999999999" x14ac:dyDescent="0.25">
      <c r="A1298" s="16"/>
      <c r="B1298" s="17"/>
      <c r="C1298" s="2"/>
      <c r="D1298" s="2"/>
      <c r="E1298" s="2"/>
      <c r="F1298" s="2"/>
      <c r="G1298" s="2"/>
      <c r="H1298" s="2"/>
      <c r="I1298" s="5"/>
    </row>
    <row r="1299" spans="1:9" ht="17.399999999999999" x14ac:dyDescent="0.25">
      <c r="A1299" s="16"/>
      <c r="B1299" s="17"/>
      <c r="C1299" s="2"/>
      <c r="D1299" s="2"/>
      <c r="E1299" s="2"/>
      <c r="F1299" s="2"/>
      <c r="G1299" s="2"/>
      <c r="H1299" s="2"/>
      <c r="I1299" s="5"/>
    </row>
    <row r="1300" spans="1:9" ht="17.399999999999999" x14ac:dyDescent="0.25">
      <c r="A1300" s="16"/>
      <c r="B1300" s="17"/>
      <c r="C1300" s="2"/>
      <c r="D1300" s="2"/>
      <c r="E1300" s="2"/>
      <c r="F1300" s="2"/>
      <c r="G1300" s="2"/>
      <c r="H1300" s="2"/>
      <c r="I1300" s="5"/>
    </row>
    <row r="1301" spans="1:9" ht="17.399999999999999" x14ac:dyDescent="0.25">
      <c r="A1301" s="16"/>
      <c r="B1301" s="17"/>
      <c r="C1301" s="2"/>
      <c r="D1301" s="2"/>
      <c r="E1301" s="2"/>
      <c r="F1301" s="2"/>
      <c r="G1301" s="2"/>
      <c r="H1301" s="2"/>
      <c r="I1301" s="5"/>
    </row>
    <row r="1302" spans="1:9" ht="17.399999999999999" x14ac:dyDescent="0.25">
      <c r="A1302" s="16"/>
      <c r="B1302" s="17"/>
      <c r="C1302" s="2"/>
      <c r="D1302" s="2"/>
      <c r="E1302" s="2"/>
      <c r="F1302" s="2"/>
      <c r="G1302" s="2"/>
      <c r="H1302" s="2"/>
      <c r="I1302" s="5"/>
    </row>
    <row r="1303" spans="1:9" ht="17.399999999999999" x14ac:dyDescent="0.25">
      <c r="A1303" s="16"/>
      <c r="B1303" s="17"/>
      <c r="C1303" s="2"/>
      <c r="D1303" s="2"/>
      <c r="E1303" s="2"/>
      <c r="F1303" s="2"/>
      <c r="G1303" s="2"/>
      <c r="H1303" s="2"/>
      <c r="I1303" s="5"/>
    </row>
    <row r="1304" spans="1:9" ht="17.399999999999999" x14ac:dyDescent="0.25">
      <c r="A1304" s="16"/>
      <c r="B1304" s="17"/>
      <c r="C1304" s="2"/>
      <c r="D1304" s="2"/>
      <c r="E1304" s="2"/>
      <c r="F1304" s="2"/>
      <c r="G1304" s="2"/>
      <c r="H1304" s="2"/>
      <c r="I1304" s="5"/>
    </row>
    <row r="1305" spans="1:9" ht="17.399999999999999" x14ac:dyDescent="0.25">
      <c r="A1305" s="16"/>
      <c r="B1305" s="17"/>
      <c r="C1305" s="2"/>
      <c r="D1305" s="2"/>
      <c r="E1305" s="2"/>
      <c r="F1305" s="2"/>
      <c r="G1305" s="2"/>
      <c r="H1305" s="2"/>
      <c r="I1305" s="5"/>
    </row>
    <row r="1306" spans="1:9" ht="17.399999999999999" x14ac:dyDescent="0.25">
      <c r="A1306" s="16"/>
      <c r="B1306" s="17"/>
      <c r="C1306" s="2"/>
      <c r="D1306" s="2"/>
      <c r="E1306" s="2"/>
      <c r="F1306" s="2"/>
      <c r="G1306" s="2"/>
      <c r="H1306" s="2"/>
      <c r="I1306" s="5"/>
    </row>
    <row r="1307" spans="1:9" ht="17.399999999999999" x14ac:dyDescent="0.25">
      <c r="A1307" s="16"/>
      <c r="B1307" s="17"/>
      <c r="C1307" s="2"/>
      <c r="D1307" s="2"/>
      <c r="E1307" s="2"/>
      <c r="F1307" s="2"/>
      <c r="G1307" s="2"/>
      <c r="H1307" s="2"/>
      <c r="I1307" s="5"/>
    </row>
    <row r="1308" spans="1:9" ht="17.399999999999999" x14ac:dyDescent="0.25">
      <c r="A1308" s="16"/>
      <c r="B1308" s="17"/>
      <c r="C1308" s="2"/>
      <c r="D1308" s="2"/>
      <c r="E1308" s="2"/>
      <c r="F1308" s="2"/>
      <c r="G1308" s="2"/>
      <c r="H1308" s="2"/>
      <c r="I1308" s="5"/>
    </row>
    <row r="1309" spans="1:9" ht="17.399999999999999" x14ac:dyDescent="0.25">
      <c r="A1309" s="16"/>
      <c r="B1309" s="17"/>
      <c r="C1309" s="2"/>
      <c r="D1309" s="2"/>
      <c r="E1309" s="2"/>
      <c r="F1309" s="2"/>
      <c r="G1309" s="2"/>
      <c r="H1309" s="2"/>
      <c r="I1309" s="5"/>
    </row>
    <row r="1310" spans="1:9" ht="17.399999999999999" x14ac:dyDescent="0.25">
      <c r="A1310" s="16"/>
      <c r="B1310" s="17"/>
      <c r="C1310" s="2"/>
      <c r="D1310" s="2"/>
      <c r="E1310" s="2"/>
      <c r="F1310" s="2"/>
      <c r="G1310" s="2"/>
      <c r="H1310" s="2"/>
      <c r="I1310" s="5"/>
    </row>
    <row r="1311" spans="1:9" ht="17.399999999999999" x14ac:dyDescent="0.25">
      <c r="A1311" s="16"/>
      <c r="B1311" s="17"/>
      <c r="C1311" s="2"/>
      <c r="D1311" s="2"/>
      <c r="E1311" s="2"/>
      <c r="F1311" s="2"/>
      <c r="G1311" s="2"/>
      <c r="H1311" s="2"/>
      <c r="I1311" s="5"/>
    </row>
    <row r="1312" spans="1:9" ht="17.399999999999999" x14ac:dyDescent="0.25">
      <c r="A1312" s="16"/>
      <c r="B1312" s="17"/>
      <c r="C1312" s="2"/>
      <c r="D1312" s="2"/>
      <c r="E1312" s="2"/>
      <c r="F1312" s="2"/>
      <c r="G1312" s="2"/>
      <c r="H1312" s="2"/>
      <c r="I1312" s="5"/>
    </row>
    <row r="1313" spans="1:9" ht="17.399999999999999" x14ac:dyDescent="0.25">
      <c r="A1313" s="16"/>
      <c r="B1313" s="17"/>
      <c r="C1313" s="2"/>
      <c r="D1313" s="2"/>
      <c r="E1313" s="2"/>
      <c r="F1313" s="2"/>
      <c r="G1313" s="2"/>
      <c r="H1313" s="2"/>
      <c r="I1313" s="5"/>
    </row>
    <row r="1314" spans="1:9" ht="17.399999999999999" x14ac:dyDescent="0.25">
      <c r="A1314" s="16"/>
      <c r="B1314" s="17"/>
      <c r="C1314" s="2"/>
      <c r="D1314" s="2"/>
      <c r="E1314" s="2"/>
      <c r="F1314" s="2"/>
      <c r="G1314" s="2"/>
      <c r="H1314" s="2"/>
      <c r="I1314" s="5"/>
    </row>
    <row r="1315" spans="1:9" ht="17.399999999999999" x14ac:dyDescent="0.25">
      <c r="A1315" s="16"/>
      <c r="B1315" s="17"/>
      <c r="C1315" s="2"/>
      <c r="D1315" s="2"/>
      <c r="E1315" s="2"/>
      <c r="F1315" s="2"/>
      <c r="G1315" s="2"/>
      <c r="H1315" s="2"/>
      <c r="I1315" s="5"/>
    </row>
    <row r="1316" spans="1:9" ht="17.399999999999999" x14ac:dyDescent="0.25">
      <c r="A1316" s="16"/>
      <c r="B1316" s="17"/>
      <c r="C1316" s="2"/>
      <c r="D1316" s="2"/>
      <c r="E1316" s="2"/>
      <c r="F1316" s="2"/>
      <c r="G1316" s="2"/>
      <c r="H1316" s="2"/>
      <c r="I1316" s="5"/>
    </row>
    <row r="1317" spans="1:9" ht="17.399999999999999" x14ac:dyDescent="0.25">
      <c r="A1317" s="16"/>
      <c r="B1317" s="17"/>
      <c r="C1317" s="2"/>
      <c r="D1317" s="2"/>
      <c r="E1317" s="2"/>
      <c r="F1317" s="2"/>
      <c r="G1317" s="2"/>
      <c r="H1317" s="2"/>
      <c r="I1317" s="5"/>
    </row>
    <row r="1318" spans="1:9" ht="17.399999999999999" x14ac:dyDescent="0.25">
      <c r="A1318" s="16"/>
      <c r="B1318" s="17"/>
      <c r="C1318" s="2"/>
      <c r="D1318" s="2"/>
      <c r="E1318" s="2"/>
      <c r="F1318" s="2"/>
      <c r="G1318" s="2"/>
      <c r="H1318" s="2"/>
      <c r="I1318" s="5"/>
    </row>
    <row r="1319" spans="1:9" ht="17.399999999999999" x14ac:dyDescent="0.25">
      <c r="A1319" s="16"/>
      <c r="B1319" s="17"/>
      <c r="C1319" s="2"/>
      <c r="D1319" s="2"/>
      <c r="E1319" s="2"/>
      <c r="F1319" s="2"/>
      <c r="G1319" s="2"/>
      <c r="H1319" s="2"/>
      <c r="I1319" s="5"/>
    </row>
    <row r="1320" spans="1:9" ht="17.399999999999999" x14ac:dyDescent="0.25">
      <c r="A1320" s="16"/>
      <c r="B1320" s="17"/>
      <c r="C1320" s="2"/>
      <c r="D1320" s="2"/>
      <c r="E1320" s="2"/>
      <c r="F1320" s="2"/>
      <c r="G1320" s="2"/>
      <c r="H1320" s="2"/>
      <c r="I1320" s="5"/>
    </row>
    <row r="1321" spans="1:9" ht="17.399999999999999" x14ac:dyDescent="0.25">
      <c r="A1321" s="16"/>
      <c r="B1321" s="17"/>
      <c r="C1321" s="2"/>
      <c r="D1321" s="2"/>
      <c r="E1321" s="2"/>
      <c r="F1321" s="2"/>
      <c r="G1321" s="2"/>
      <c r="H1321" s="2"/>
      <c r="I1321" s="5"/>
    </row>
    <row r="1322" spans="1:9" ht="17.399999999999999" x14ac:dyDescent="0.25">
      <c r="A1322" s="16"/>
      <c r="B1322" s="17"/>
      <c r="C1322" s="2"/>
      <c r="D1322" s="2"/>
      <c r="E1322" s="2"/>
      <c r="F1322" s="2"/>
      <c r="G1322" s="2"/>
      <c r="H1322" s="2"/>
      <c r="I1322" s="5"/>
    </row>
    <row r="1323" spans="1:9" ht="17.399999999999999" x14ac:dyDescent="0.25">
      <c r="A1323" s="16"/>
      <c r="B1323" s="17"/>
      <c r="C1323" s="2"/>
      <c r="D1323" s="2"/>
      <c r="E1323" s="2"/>
      <c r="F1323" s="2"/>
      <c r="G1323" s="2"/>
      <c r="H1323" s="2"/>
      <c r="I1323" s="5"/>
    </row>
    <row r="1324" spans="1:9" ht="17.399999999999999" x14ac:dyDescent="0.25">
      <c r="A1324" s="16"/>
      <c r="B1324" s="17"/>
      <c r="C1324" s="2"/>
      <c r="D1324" s="2"/>
      <c r="E1324" s="2"/>
      <c r="F1324" s="2"/>
      <c r="G1324" s="2"/>
      <c r="H1324" s="2"/>
      <c r="I1324" s="5"/>
    </row>
    <row r="1325" spans="1:9" ht="17.399999999999999" x14ac:dyDescent="0.25">
      <c r="A1325" s="16"/>
      <c r="B1325" s="17"/>
      <c r="C1325" s="2"/>
      <c r="D1325" s="2"/>
      <c r="E1325" s="2"/>
      <c r="F1325" s="2"/>
      <c r="G1325" s="2"/>
      <c r="H1325" s="2"/>
      <c r="I1325" s="5"/>
    </row>
    <row r="1326" spans="1:9" ht="17.399999999999999" x14ac:dyDescent="0.25">
      <c r="A1326" s="16"/>
      <c r="B1326" s="17"/>
      <c r="C1326" s="2"/>
      <c r="D1326" s="2"/>
      <c r="E1326" s="2"/>
      <c r="F1326" s="2"/>
      <c r="G1326" s="2"/>
      <c r="H1326" s="2"/>
      <c r="I1326" s="5"/>
    </row>
    <row r="1327" spans="1:9" ht="17.399999999999999" x14ac:dyDescent="0.25">
      <c r="A1327" s="16"/>
      <c r="B1327" s="17"/>
      <c r="C1327" s="2"/>
      <c r="D1327" s="2"/>
      <c r="E1327" s="2"/>
      <c r="F1327" s="2"/>
      <c r="G1327" s="2"/>
      <c r="H1327" s="2"/>
      <c r="I1327" s="5"/>
    </row>
    <row r="1328" spans="1:9" ht="17.399999999999999" x14ac:dyDescent="0.25">
      <c r="A1328" s="16"/>
      <c r="B1328" s="17"/>
      <c r="C1328" s="2"/>
      <c r="D1328" s="2"/>
      <c r="E1328" s="2"/>
      <c r="F1328" s="2"/>
      <c r="G1328" s="2"/>
      <c r="H1328" s="2"/>
      <c r="I1328" s="5"/>
    </row>
    <row r="1329" spans="1:9" ht="17.399999999999999" x14ac:dyDescent="0.25">
      <c r="A1329" s="16"/>
      <c r="B1329" s="17"/>
      <c r="C1329" s="2"/>
      <c r="D1329" s="2"/>
      <c r="E1329" s="2"/>
      <c r="F1329" s="2"/>
      <c r="G1329" s="2"/>
      <c r="H1329" s="2"/>
      <c r="I1329" s="5"/>
    </row>
    <row r="1330" spans="1:9" ht="17.399999999999999" x14ac:dyDescent="0.25">
      <c r="A1330" s="16"/>
      <c r="B1330" s="17"/>
      <c r="C1330" s="2"/>
      <c r="D1330" s="2"/>
      <c r="E1330" s="2"/>
      <c r="F1330" s="2"/>
      <c r="G1330" s="2"/>
      <c r="H1330" s="2"/>
      <c r="I1330" s="5"/>
    </row>
    <row r="1331" spans="1:9" ht="17.399999999999999" x14ac:dyDescent="0.25">
      <c r="A1331" s="16"/>
      <c r="B1331" s="17"/>
      <c r="C1331" s="2"/>
      <c r="D1331" s="2"/>
      <c r="E1331" s="2"/>
      <c r="F1331" s="2"/>
      <c r="G1331" s="2"/>
      <c r="H1331" s="2"/>
      <c r="I1331" s="5"/>
    </row>
    <row r="1332" spans="1:9" ht="17.399999999999999" x14ac:dyDescent="0.25">
      <c r="A1332" s="16"/>
      <c r="B1332" s="17"/>
      <c r="C1332" s="2"/>
      <c r="D1332" s="2"/>
      <c r="E1332" s="2"/>
      <c r="F1332" s="2"/>
      <c r="G1332" s="2"/>
      <c r="H1332" s="2"/>
      <c r="I1332" s="5"/>
    </row>
    <row r="1333" spans="1:9" ht="17.399999999999999" x14ac:dyDescent="0.25">
      <c r="A1333" s="16"/>
      <c r="B1333" s="17"/>
      <c r="C1333" s="2"/>
      <c r="D1333" s="2"/>
      <c r="E1333" s="2"/>
      <c r="F1333" s="2"/>
      <c r="G1333" s="2"/>
      <c r="H1333" s="2"/>
      <c r="I1333" s="5"/>
    </row>
    <row r="1334" spans="1:9" ht="17.399999999999999" x14ac:dyDescent="0.25">
      <c r="A1334" s="16"/>
      <c r="B1334" s="17"/>
      <c r="C1334" s="2"/>
      <c r="D1334" s="2"/>
      <c r="E1334" s="2"/>
      <c r="F1334" s="2"/>
      <c r="G1334" s="2"/>
      <c r="H1334" s="2"/>
      <c r="I1334" s="5"/>
    </row>
    <row r="1335" spans="1:9" ht="17.399999999999999" x14ac:dyDescent="0.25">
      <c r="A1335" s="16"/>
      <c r="B1335" s="17"/>
      <c r="C1335" s="2"/>
      <c r="D1335" s="2"/>
      <c r="E1335" s="2"/>
      <c r="F1335" s="2"/>
      <c r="G1335" s="2"/>
      <c r="H1335" s="2"/>
      <c r="I1335" s="5"/>
    </row>
    <row r="1336" spans="1:9" ht="17.399999999999999" x14ac:dyDescent="0.25">
      <c r="A1336" s="16"/>
      <c r="B1336" s="17"/>
      <c r="C1336" s="2"/>
      <c r="D1336" s="2"/>
      <c r="E1336" s="2"/>
      <c r="F1336" s="2"/>
      <c r="G1336" s="2"/>
      <c r="H1336" s="2"/>
      <c r="I1336" s="5"/>
    </row>
    <row r="1337" spans="1:9" ht="17.399999999999999" x14ac:dyDescent="0.25">
      <c r="A1337" s="16"/>
      <c r="B1337" s="17"/>
      <c r="C1337" s="2"/>
      <c r="D1337" s="2"/>
      <c r="E1337" s="2"/>
      <c r="F1337" s="2"/>
      <c r="G1337" s="2"/>
      <c r="H1337" s="2"/>
      <c r="I1337" s="5"/>
    </row>
    <row r="1338" spans="1:9" ht="17.399999999999999" x14ac:dyDescent="0.25">
      <c r="A1338" s="16"/>
      <c r="B1338" s="17"/>
      <c r="C1338" s="2"/>
      <c r="D1338" s="2"/>
      <c r="E1338" s="2"/>
      <c r="F1338" s="2"/>
      <c r="G1338" s="2"/>
      <c r="H1338" s="2"/>
      <c r="I1338" s="5"/>
    </row>
    <row r="1339" spans="1:9" ht="17.399999999999999" x14ac:dyDescent="0.25">
      <c r="A1339" s="16"/>
      <c r="B1339" s="17"/>
      <c r="C1339" s="2"/>
      <c r="D1339" s="2"/>
      <c r="E1339" s="2"/>
      <c r="F1339" s="2"/>
      <c r="G1339" s="2"/>
      <c r="H1339" s="2"/>
      <c r="I1339" s="5"/>
    </row>
    <row r="1340" spans="1:9" ht="17.399999999999999" x14ac:dyDescent="0.25">
      <c r="A1340" s="16"/>
      <c r="B1340" s="17"/>
      <c r="C1340" s="2"/>
      <c r="D1340" s="2"/>
      <c r="E1340" s="2"/>
      <c r="F1340" s="2"/>
      <c r="G1340" s="2"/>
      <c r="H1340" s="2"/>
      <c r="I1340" s="5"/>
    </row>
    <row r="1341" spans="1:9" ht="17.399999999999999" x14ac:dyDescent="0.25">
      <c r="A1341" s="16"/>
      <c r="B1341" s="17"/>
      <c r="C1341" s="2"/>
      <c r="D1341" s="2"/>
      <c r="E1341" s="2"/>
      <c r="F1341" s="2"/>
      <c r="G1341" s="2"/>
      <c r="H1341" s="2"/>
      <c r="I1341" s="5"/>
    </row>
    <row r="1342" spans="1:9" ht="17.399999999999999" x14ac:dyDescent="0.25">
      <c r="A1342" s="16"/>
      <c r="B1342" s="17"/>
      <c r="C1342" s="2"/>
      <c r="D1342" s="2"/>
      <c r="E1342" s="2"/>
      <c r="F1342" s="2"/>
      <c r="G1342" s="2"/>
      <c r="H1342" s="2"/>
      <c r="I1342" s="5"/>
    </row>
    <row r="1343" spans="1:9" ht="17.399999999999999" x14ac:dyDescent="0.25">
      <c r="A1343" s="16"/>
      <c r="B1343" s="17"/>
      <c r="C1343" s="2"/>
      <c r="D1343" s="2"/>
      <c r="E1343" s="2"/>
      <c r="F1343" s="2"/>
      <c r="G1343" s="2"/>
      <c r="H1343" s="2"/>
      <c r="I1343" s="5"/>
    </row>
    <row r="1344" spans="1:9" ht="17.399999999999999" x14ac:dyDescent="0.25">
      <c r="A1344" s="16"/>
      <c r="B1344" s="17"/>
      <c r="C1344" s="2"/>
      <c r="D1344" s="2"/>
      <c r="E1344" s="2"/>
      <c r="F1344" s="2"/>
      <c r="G1344" s="2"/>
      <c r="H1344" s="2"/>
      <c r="I1344" s="5"/>
    </row>
    <row r="1345" spans="1:9" ht="17.399999999999999" x14ac:dyDescent="0.25">
      <c r="A1345" s="16"/>
      <c r="B1345" s="17"/>
      <c r="C1345" s="2"/>
      <c r="D1345" s="2"/>
      <c r="E1345" s="2"/>
      <c r="F1345" s="2"/>
      <c r="G1345" s="2"/>
      <c r="H1345" s="2"/>
      <c r="I1345" s="5"/>
    </row>
    <row r="1346" spans="1:9" ht="17.399999999999999" x14ac:dyDescent="0.25">
      <c r="A1346" s="16"/>
      <c r="B1346" s="17"/>
      <c r="C1346" s="2"/>
      <c r="D1346" s="2"/>
      <c r="E1346" s="2"/>
      <c r="F1346" s="2"/>
      <c r="G1346" s="2"/>
      <c r="H1346" s="2"/>
      <c r="I1346" s="5"/>
    </row>
    <row r="1347" spans="1:9" ht="17.399999999999999" x14ac:dyDescent="0.25">
      <c r="A1347" s="16"/>
      <c r="B1347" s="17"/>
      <c r="C1347" s="2"/>
      <c r="D1347" s="2"/>
      <c r="E1347" s="2"/>
      <c r="F1347" s="2"/>
      <c r="G1347" s="2"/>
      <c r="H1347" s="2"/>
      <c r="I1347" s="5"/>
    </row>
    <row r="1348" spans="1:9" ht="17.399999999999999" x14ac:dyDescent="0.25">
      <c r="A1348" s="16"/>
      <c r="B1348" s="17"/>
      <c r="C1348" s="2"/>
      <c r="D1348" s="2"/>
      <c r="E1348" s="2"/>
      <c r="F1348" s="2"/>
      <c r="G1348" s="2"/>
      <c r="H1348" s="2"/>
      <c r="I1348" s="5"/>
    </row>
    <row r="1349" spans="1:9" ht="17.399999999999999" x14ac:dyDescent="0.25">
      <c r="A1349" s="16"/>
      <c r="B1349" s="17"/>
      <c r="C1349" s="2"/>
      <c r="D1349" s="2"/>
      <c r="E1349" s="2"/>
      <c r="F1349" s="2"/>
      <c r="G1349" s="2"/>
      <c r="H1349" s="2"/>
      <c r="I1349" s="5"/>
    </row>
    <row r="1350" spans="1:9" ht="17.399999999999999" x14ac:dyDescent="0.25">
      <c r="A1350" s="16"/>
      <c r="B1350" s="17"/>
      <c r="C1350" s="2"/>
      <c r="D1350" s="2"/>
      <c r="E1350" s="2"/>
      <c r="F1350" s="2"/>
      <c r="G1350" s="2"/>
      <c r="H1350" s="2"/>
      <c r="I1350" s="5"/>
    </row>
    <row r="1351" spans="1:9" ht="17.399999999999999" x14ac:dyDescent="0.25">
      <c r="A1351" s="16"/>
      <c r="B1351" s="17"/>
      <c r="C1351" s="2"/>
      <c r="D1351" s="2"/>
      <c r="E1351" s="2"/>
      <c r="F1351" s="2"/>
      <c r="G1351" s="2"/>
      <c r="H1351" s="2"/>
      <c r="I1351" s="5"/>
    </row>
    <row r="1352" spans="1:9" ht="17.399999999999999" x14ac:dyDescent="0.25">
      <c r="A1352" s="16"/>
      <c r="B1352" s="17"/>
      <c r="C1352" s="2"/>
      <c r="D1352" s="2"/>
      <c r="E1352" s="2"/>
      <c r="F1352" s="2"/>
      <c r="G1352" s="2"/>
      <c r="H1352" s="2"/>
      <c r="I1352" s="5"/>
    </row>
    <row r="1353" spans="1:9" ht="17.399999999999999" x14ac:dyDescent="0.25">
      <c r="A1353" s="16"/>
      <c r="B1353" s="17"/>
      <c r="C1353" s="2"/>
      <c r="D1353" s="2"/>
      <c r="E1353" s="2"/>
      <c r="F1353" s="2"/>
      <c r="G1353" s="2"/>
      <c r="H1353" s="2"/>
      <c r="I1353" s="5"/>
    </row>
    <row r="1354" spans="1:9" ht="17.399999999999999" x14ac:dyDescent="0.25">
      <c r="A1354" s="16"/>
      <c r="B1354" s="17"/>
      <c r="C1354" s="2"/>
      <c r="D1354" s="2"/>
      <c r="E1354" s="2"/>
      <c r="F1354" s="2"/>
      <c r="G1354" s="2"/>
      <c r="H1354" s="2"/>
      <c r="I1354" s="5"/>
    </row>
    <row r="1355" spans="1:9" ht="17.399999999999999" x14ac:dyDescent="0.25">
      <c r="A1355" s="16"/>
      <c r="B1355" s="17"/>
      <c r="C1355" s="2"/>
      <c r="D1355" s="2"/>
      <c r="E1355" s="2"/>
      <c r="F1355" s="2"/>
      <c r="G1355" s="2"/>
      <c r="H1355" s="2"/>
      <c r="I1355" s="5"/>
    </row>
    <row r="1356" spans="1:9" ht="17.399999999999999" x14ac:dyDescent="0.25">
      <c r="A1356" s="16"/>
      <c r="B1356" s="17"/>
      <c r="C1356" s="2"/>
      <c r="D1356" s="2"/>
      <c r="E1356" s="2"/>
      <c r="F1356" s="2"/>
      <c r="G1356" s="2"/>
      <c r="H1356" s="2"/>
      <c r="I1356" s="5"/>
    </row>
    <row r="1357" spans="1:9" ht="17.399999999999999" x14ac:dyDescent="0.25">
      <c r="A1357" s="16"/>
      <c r="B1357" s="17"/>
      <c r="C1357" s="2"/>
      <c r="D1357" s="2"/>
      <c r="E1357" s="2"/>
      <c r="F1357" s="2"/>
      <c r="G1357" s="2"/>
      <c r="H1357" s="2"/>
      <c r="I1357" s="5"/>
    </row>
    <row r="1358" spans="1:9" ht="17.399999999999999" x14ac:dyDescent="0.25">
      <c r="A1358" s="16"/>
      <c r="B1358" s="17"/>
      <c r="C1358" s="2"/>
      <c r="D1358" s="2"/>
      <c r="E1358" s="2"/>
      <c r="F1358" s="2"/>
      <c r="G1358" s="2"/>
      <c r="H1358" s="2"/>
      <c r="I1358" s="5"/>
    </row>
    <row r="1359" spans="1:9" ht="17.399999999999999" x14ac:dyDescent="0.25">
      <c r="A1359" s="16"/>
      <c r="B1359" s="17"/>
      <c r="C1359" s="2"/>
      <c r="D1359" s="2"/>
      <c r="E1359" s="2"/>
      <c r="F1359" s="2"/>
      <c r="G1359" s="2"/>
      <c r="H1359" s="2"/>
      <c r="I1359" s="5"/>
    </row>
    <row r="1360" spans="1:9" ht="17.399999999999999" x14ac:dyDescent="0.25">
      <c r="A1360" s="16"/>
      <c r="B1360" s="17"/>
      <c r="C1360" s="2"/>
      <c r="D1360" s="2"/>
      <c r="E1360" s="2"/>
      <c r="F1360" s="2"/>
      <c r="G1360" s="2"/>
      <c r="H1360" s="2"/>
      <c r="I1360" s="5"/>
    </row>
    <row r="1361" spans="1:9" ht="17.399999999999999" x14ac:dyDescent="0.25">
      <c r="A1361" s="16"/>
      <c r="B1361" s="17"/>
      <c r="C1361" s="2"/>
      <c r="D1361" s="2"/>
      <c r="E1361" s="2"/>
      <c r="F1361" s="2"/>
      <c r="G1361" s="2"/>
      <c r="H1361" s="2"/>
      <c r="I1361" s="5"/>
    </row>
    <row r="1362" spans="1:9" ht="17.399999999999999" x14ac:dyDescent="0.25">
      <c r="A1362" s="16"/>
      <c r="B1362" s="17"/>
      <c r="C1362" s="2"/>
      <c r="D1362" s="2"/>
      <c r="E1362" s="2"/>
      <c r="F1362" s="2"/>
      <c r="G1362" s="2"/>
      <c r="H1362" s="2"/>
      <c r="I1362" s="5"/>
    </row>
    <row r="1363" spans="1:9" ht="17.399999999999999" x14ac:dyDescent="0.25">
      <c r="A1363" s="16"/>
      <c r="B1363" s="17"/>
      <c r="C1363" s="2"/>
      <c r="D1363" s="2"/>
      <c r="E1363" s="2"/>
      <c r="F1363" s="2"/>
      <c r="G1363" s="2"/>
      <c r="H1363" s="2"/>
      <c r="I1363" s="5"/>
    </row>
    <row r="1364" spans="1:9" ht="17.399999999999999" x14ac:dyDescent="0.25">
      <c r="A1364" s="16"/>
      <c r="B1364" s="17"/>
      <c r="C1364" s="2"/>
      <c r="D1364" s="2"/>
      <c r="E1364" s="2"/>
      <c r="F1364" s="2"/>
      <c r="G1364" s="2"/>
      <c r="H1364" s="2"/>
      <c r="I1364" s="5"/>
    </row>
    <row r="1365" spans="1:9" ht="17.399999999999999" x14ac:dyDescent="0.25">
      <c r="A1365" s="16"/>
      <c r="B1365" s="17"/>
      <c r="C1365" s="2"/>
      <c r="D1365" s="2"/>
      <c r="E1365" s="2"/>
      <c r="F1365" s="2"/>
      <c r="G1365" s="2"/>
      <c r="H1365" s="2"/>
      <c r="I1365" s="5"/>
    </row>
    <row r="1366" spans="1:9" ht="17.399999999999999" x14ac:dyDescent="0.25">
      <c r="A1366" s="16"/>
      <c r="B1366" s="17"/>
      <c r="C1366" s="2"/>
      <c r="D1366" s="2"/>
      <c r="E1366" s="2"/>
      <c r="F1366" s="2"/>
      <c r="G1366" s="2"/>
      <c r="H1366" s="2"/>
      <c r="I1366" s="5"/>
    </row>
    <row r="1367" spans="1:9" ht="17.399999999999999" x14ac:dyDescent="0.25">
      <c r="A1367" s="16"/>
      <c r="B1367" s="17"/>
      <c r="C1367" s="2"/>
      <c r="D1367" s="2"/>
      <c r="E1367" s="2"/>
      <c r="F1367" s="2"/>
      <c r="G1367" s="2"/>
      <c r="H1367" s="2"/>
      <c r="I1367" s="5"/>
    </row>
    <row r="1368" spans="1:9" ht="17.399999999999999" x14ac:dyDescent="0.25">
      <c r="A1368" s="16"/>
      <c r="B1368" s="17"/>
      <c r="C1368" s="2"/>
      <c r="D1368" s="2"/>
      <c r="E1368" s="2"/>
      <c r="F1368" s="2"/>
      <c r="G1368" s="2"/>
      <c r="H1368" s="2"/>
      <c r="I1368" s="5"/>
    </row>
    <row r="1369" spans="1:9" ht="17.399999999999999" x14ac:dyDescent="0.25">
      <c r="A1369" s="16"/>
      <c r="B1369" s="17"/>
      <c r="C1369" s="2"/>
      <c r="D1369" s="2"/>
      <c r="E1369" s="2"/>
      <c r="F1369" s="2"/>
      <c r="G1369" s="2"/>
      <c r="H1369" s="2"/>
      <c r="I1369" s="5"/>
    </row>
    <row r="1370" spans="1:9" ht="17.399999999999999" x14ac:dyDescent="0.25">
      <c r="A1370" s="16"/>
      <c r="B1370" s="17"/>
      <c r="C1370" s="2"/>
      <c r="D1370" s="2"/>
      <c r="E1370" s="2"/>
      <c r="F1370" s="2"/>
      <c r="G1370" s="2"/>
      <c r="H1370" s="2"/>
      <c r="I1370" s="5"/>
    </row>
    <row r="1371" spans="1:9" ht="17.399999999999999" x14ac:dyDescent="0.25">
      <c r="A1371" s="16"/>
      <c r="B1371" s="17"/>
      <c r="C1371" s="2"/>
      <c r="D1371" s="2"/>
      <c r="E1371" s="2"/>
      <c r="F1371" s="2"/>
      <c r="G1371" s="2"/>
      <c r="H1371" s="2"/>
      <c r="I1371" s="5"/>
    </row>
    <row r="1372" spans="1:9" ht="17.399999999999999" x14ac:dyDescent="0.25">
      <c r="A1372" s="16"/>
      <c r="B1372" s="17"/>
      <c r="C1372" s="2"/>
      <c r="D1372" s="2"/>
      <c r="E1372" s="2"/>
      <c r="F1372" s="2"/>
      <c r="G1372" s="2"/>
      <c r="H1372" s="2"/>
      <c r="I1372" s="5"/>
    </row>
    <row r="1373" spans="1:9" ht="17.399999999999999" x14ac:dyDescent="0.25">
      <c r="A1373" s="16"/>
      <c r="B1373" s="17"/>
      <c r="C1373" s="2"/>
      <c r="D1373" s="2"/>
      <c r="E1373" s="2"/>
      <c r="F1373" s="2"/>
      <c r="G1373" s="2"/>
      <c r="H1373" s="2"/>
      <c r="I1373" s="5"/>
    </row>
    <row r="1374" spans="1:9" ht="17.399999999999999" x14ac:dyDescent="0.25">
      <c r="A1374" s="16"/>
      <c r="B1374" s="17"/>
      <c r="C1374" s="2"/>
      <c r="D1374" s="2"/>
      <c r="E1374" s="2"/>
      <c r="F1374" s="2"/>
      <c r="G1374" s="2"/>
      <c r="H1374" s="2"/>
      <c r="I1374" s="5"/>
    </row>
    <row r="1375" spans="1:9" ht="17.399999999999999" x14ac:dyDescent="0.25">
      <c r="A1375" s="16"/>
      <c r="B1375" s="17"/>
      <c r="C1375" s="2"/>
      <c r="D1375" s="2"/>
      <c r="E1375" s="2"/>
      <c r="F1375" s="2"/>
      <c r="G1375" s="2"/>
      <c r="H1375" s="2"/>
      <c r="I1375" s="5"/>
    </row>
    <row r="1376" spans="1:9" ht="17.399999999999999" x14ac:dyDescent="0.25">
      <c r="A1376" s="16"/>
      <c r="B1376" s="17"/>
      <c r="C1376" s="2"/>
      <c r="D1376" s="2"/>
      <c r="E1376" s="2"/>
      <c r="F1376" s="2"/>
      <c r="G1376" s="2"/>
      <c r="H1376" s="2"/>
      <c r="I1376" s="5"/>
    </row>
    <row r="1377" spans="1:9" ht="17.399999999999999" x14ac:dyDescent="0.25">
      <c r="A1377" s="16"/>
      <c r="B1377" s="17"/>
      <c r="C1377" s="2"/>
      <c r="D1377" s="2"/>
      <c r="E1377" s="2"/>
      <c r="F1377" s="2"/>
      <c r="G1377" s="2"/>
      <c r="H1377" s="2"/>
      <c r="I1377" s="5"/>
    </row>
    <row r="1378" spans="1:9" ht="17.399999999999999" x14ac:dyDescent="0.25">
      <c r="A1378" s="16"/>
      <c r="B1378" s="17"/>
      <c r="C1378" s="2"/>
      <c r="D1378" s="2"/>
      <c r="E1378" s="2"/>
      <c r="F1378" s="2"/>
      <c r="G1378" s="2"/>
      <c r="H1378" s="2"/>
      <c r="I1378" s="5"/>
    </row>
    <row r="1379" spans="1:9" ht="17.399999999999999" x14ac:dyDescent="0.25">
      <c r="A1379" s="16"/>
      <c r="B1379" s="17"/>
      <c r="C1379" s="2"/>
      <c r="D1379" s="2"/>
      <c r="E1379" s="2"/>
      <c r="F1379" s="2"/>
      <c r="G1379" s="2"/>
      <c r="H1379" s="2"/>
      <c r="I1379" s="5"/>
    </row>
    <row r="1380" spans="1:9" ht="17.399999999999999" x14ac:dyDescent="0.25">
      <c r="A1380" s="16"/>
      <c r="B1380" s="17"/>
      <c r="C1380" s="2"/>
      <c r="D1380" s="2"/>
      <c r="E1380" s="2"/>
      <c r="F1380" s="2"/>
      <c r="G1380" s="2"/>
      <c r="H1380" s="2"/>
      <c r="I1380" s="5"/>
    </row>
    <row r="1381" spans="1:9" ht="17.399999999999999" x14ac:dyDescent="0.25">
      <c r="A1381" s="16"/>
      <c r="B1381" s="17"/>
      <c r="C1381" s="2"/>
      <c r="D1381" s="2"/>
      <c r="E1381" s="2"/>
      <c r="F1381" s="2"/>
      <c r="G1381" s="2"/>
      <c r="H1381" s="2"/>
      <c r="I1381" s="5"/>
    </row>
    <row r="1382" spans="1:9" ht="17.399999999999999" x14ac:dyDescent="0.25">
      <c r="A1382" s="16"/>
      <c r="B1382" s="17"/>
      <c r="C1382" s="2"/>
      <c r="D1382" s="2"/>
      <c r="E1382" s="2"/>
      <c r="F1382" s="2"/>
      <c r="G1382" s="2"/>
      <c r="H1382" s="2"/>
      <c r="I1382" s="5"/>
    </row>
    <row r="1383" spans="1:9" ht="17.399999999999999" x14ac:dyDescent="0.25">
      <c r="A1383" s="16"/>
      <c r="B1383" s="17"/>
      <c r="C1383" s="2"/>
      <c r="D1383" s="2"/>
      <c r="E1383" s="2"/>
      <c r="F1383" s="2"/>
      <c r="G1383" s="2"/>
      <c r="H1383" s="2"/>
      <c r="I1383" s="5"/>
    </row>
    <row r="1384" spans="1:9" ht="17.399999999999999" x14ac:dyDescent="0.25">
      <c r="A1384" s="16"/>
      <c r="B1384" s="17"/>
      <c r="C1384" s="2"/>
      <c r="D1384" s="2"/>
      <c r="E1384" s="2"/>
      <c r="F1384" s="2"/>
      <c r="G1384" s="2"/>
      <c r="H1384" s="2"/>
      <c r="I1384" s="5"/>
    </row>
    <row r="1385" spans="1:9" ht="17.399999999999999" x14ac:dyDescent="0.25">
      <c r="A1385" s="16"/>
      <c r="B1385" s="17"/>
      <c r="C1385" s="2"/>
      <c r="D1385" s="2"/>
      <c r="E1385" s="2"/>
      <c r="F1385" s="2"/>
      <c r="G1385" s="2"/>
      <c r="H1385" s="2"/>
      <c r="I1385" s="5"/>
    </row>
    <row r="1386" spans="1:9" ht="17.399999999999999" x14ac:dyDescent="0.25">
      <c r="A1386" s="16"/>
      <c r="B1386" s="17"/>
      <c r="C1386" s="2"/>
      <c r="D1386" s="2"/>
      <c r="E1386" s="2"/>
      <c r="F1386" s="2"/>
      <c r="G1386" s="2"/>
      <c r="H1386" s="2"/>
      <c r="I1386" s="5"/>
    </row>
    <row r="1387" spans="1:9" ht="17.399999999999999" x14ac:dyDescent="0.25">
      <c r="A1387" s="16"/>
      <c r="B1387" s="17"/>
      <c r="C1387" s="2"/>
      <c r="D1387" s="2"/>
      <c r="E1387" s="2"/>
      <c r="F1387" s="2"/>
      <c r="G1387" s="2"/>
      <c r="H1387" s="2"/>
      <c r="I1387" s="5"/>
    </row>
    <row r="1388" spans="1:9" ht="17.399999999999999" x14ac:dyDescent="0.25">
      <c r="A1388" s="16"/>
      <c r="B1388" s="17"/>
      <c r="C1388" s="2"/>
      <c r="D1388" s="2"/>
      <c r="E1388" s="2"/>
      <c r="F1388" s="2"/>
      <c r="G1388" s="2"/>
      <c r="H1388" s="2"/>
      <c r="I1388" s="5"/>
    </row>
    <row r="1389" spans="1:9" ht="17.399999999999999" x14ac:dyDescent="0.25">
      <c r="A1389" s="16"/>
      <c r="B1389" s="17"/>
      <c r="C1389" s="2"/>
      <c r="D1389" s="2"/>
      <c r="E1389" s="2"/>
      <c r="F1389" s="2"/>
      <c r="G1389" s="2"/>
      <c r="H1389" s="2"/>
      <c r="I1389" s="5"/>
    </row>
    <row r="1390" spans="1:9" ht="17.399999999999999" x14ac:dyDescent="0.25">
      <c r="A1390" s="16"/>
      <c r="B1390" s="17"/>
      <c r="C1390" s="2"/>
      <c r="D1390" s="2"/>
      <c r="E1390" s="2"/>
      <c r="F1390" s="2"/>
      <c r="G1390" s="2"/>
      <c r="H1390" s="2"/>
      <c r="I1390" s="5"/>
    </row>
    <row r="1391" spans="1:9" ht="17.399999999999999" x14ac:dyDescent="0.25">
      <c r="A1391" s="16"/>
      <c r="B1391" s="17"/>
      <c r="C1391" s="2"/>
      <c r="D1391" s="2"/>
      <c r="E1391" s="2"/>
      <c r="F1391" s="2"/>
      <c r="G1391" s="2"/>
      <c r="H1391" s="2"/>
      <c r="I1391" s="5"/>
    </row>
    <row r="1392" spans="1:9" ht="17.399999999999999" x14ac:dyDescent="0.25">
      <c r="A1392" s="16"/>
      <c r="B1392" s="17"/>
      <c r="C1392" s="2"/>
      <c r="D1392" s="2"/>
      <c r="E1392" s="2"/>
      <c r="F1392" s="2"/>
      <c r="G1392" s="2"/>
      <c r="H1392" s="2"/>
      <c r="I1392" s="5"/>
    </row>
    <row r="1393" spans="1:9" ht="17.399999999999999" x14ac:dyDescent="0.25">
      <c r="A1393" s="16"/>
      <c r="B1393" s="17"/>
      <c r="C1393" s="2"/>
      <c r="D1393" s="2"/>
      <c r="E1393" s="2"/>
      <c r="F1393" s="2"/>
      <c r="G1393" s="2"/>
      <c r="H1393" s="2"/>
      <c r="I1393" s="5"/>
    </row>
    <row r="1394" spans="1:9" ht="17.399999999999999" x14ac:dyDescent="0.25">
      <c r="A1394" s="16"/>
      <c r="B1394" s="17"/>
      <c r="C1394" s="2"/>
      <c r="D1394" s="2"/>
      <c r="E1394" s="2"/>
      <c r="F1394" s="2"/>
      <c r="G1394" s="2"/>
      <c r="H1394" s="2"/>
      <c r="I1394" s="5"/>
    </row>
    <row r="1395" spans="1:9" ht="17.399999999999999" x14ac:dyDescent="0.25">
      <c r="A1395" s="16"/>
      <c r="B1395" s="17"/>
      <c r="C1395" s="2"/>
      <c r="D1395" s="2"/>
      <c r="E1395" s="2"/>
      <c r="F1395" s="2"/>
      <c r="G1395" s="2"/>
      <c r="H1395" s="2"/>
      <c r="I1395" s="5"/>
    </row>
    <row r="1396" spans="1:9" ht="17.399999999999999" x14ac:dyDescent="0.25">
      <c r="A1396" s="16"/>
      <c r="B1396" s="17"/>
      <c r="C1396" s="2"/>
      <c r="D1396" s="2"/>
      <c r="E1396" s="2"/>
      <c r="F1396" s="2"/>
      <c r="G1396" s="2"/>
      <c r="H1396" s="2"/>
      <c r="I1396" s="5"/>
    </row>
    <row r="1397" spans="1:9" ht="17.399999999999999" x14ac:dyDescent="0.25">
      <c r="A1397" s="16"/>
      <c r="B1397" s="17"/>
      <c r="C1397" s="2"/>
      <c r="D1397" s="2"/>
      <c r="E1397" s="2"/>
      <c r="F1397" s="2"/>
      <c r="G1397" s="2"/>
      <c r="H1397" s="2"/>
      <c r="I1397" s="5"/>
    </row>
    <row r="1398" spans="1:9" ht="17.399999999999999" x14ac:dyDescent="0.25">
      <c r="A1398" s="16"/>
      <c r="B1398" s="17"/>
      <c r="C1398" s="2"/>
      <c r="D1398" s="2"/>
      <c r="E1398" s="2"/>
      <c r="F1398" s="2"/>
      <c r="G1398" s="2"/>
      <c r="H1398" s="2"/>
      <c r="I1398" s="5"/>
    </row>
    <row r="1399" spans="1:9" ht="17.399999999999999" x14ac:dyDescent="0.25">
      <c r="A1399" s="16"/>
      <c r="B1399" s="17"/>
      <c r="C1399" s="2"/>
      <c r="D1399" s="2"/>
      <c r="E1399" s="2"/>
      <c r="F1399" s="2"/>
      <c r="G1399" s="2"/>
      <c r="H1399" s="2"/>
      <c r="I1399" s="5"/>
    </row>
    <row r="1400" spans="1:9" ht="17.399999999999999" x14ac:dyDescent="0.25">
      <c r="A1400" s="16"/>
      <c r="B1400" s="17"/>
      <c r="C1400" s="2"/>
      <c r="D1400" s="2"/>
      <c r="E1400" s="2"/>
      <c r="F1400" s="2"/>
      <c r="G1400" s="2"/>
      <c r="H1400" s="2"/>
      <c r="I1400" s="5"/>
    </row>
    <row r="1401" spans="1:9" ht="17.399999999999999" x14ac:dyDescent="0.25">
      <c r="A1401" s="16"/>
      <c r="B1401" s="17"/>
      <c r="C1401" s="2"/>
      <c r="D1401" s="2"/>
      <c r="E1401" s="2"/>
      <c r="F1401" s="2"/>
      <c r="G1401" s="2"/>
      <c r="H1401" s="2"/>
      <c r="I1401" s="5"/>
    </row>
    <row r="1402" spans="1:9" ht="17.399999999999999" x14ac:dyDescent="0.25">
      <c r="A1402" s="16"/>
      <c r="B1402" s="17"/>
      <c r="C1402" s="2"/>
      <c r="D1402" s="2"/>
      <c r="E1402" s="2"/>
      <c r="F1402" s="2"/>
      <c r="G1402" s="2"/>
      <c r="H1402" s="2"/>
      <c r="I1402" s="5"/>
    </row>
    <row r="1403" spans="1:9" ht="17.399999999999999" x14ac:dyDescent="0.25">
      <c r="A1403" s="16"/>
      <c r="B1403" s="17"/>
      <c r="C1403" s="2"/>
      <c r="D1403" s="2"/>
      <c r="E1403" s="2"/>
      <c r="F1403" s="2"/>
      <c r="G1403" s="2"/>
      <c r="H1403" s="2"/>
      <c r="I1403" s="5"/>
    </row>
    <row r="1404" spans="1:9" ht="17.399999999999999" x14ac:dyDescent="0.25">
      <c r="A1404" s="16"/>
      <c r="B1404" s="17"/>
      <c r="C1404" s="2"/>
      <c r="D1404" s="2"/>
      <c r="E1404" s="2"/>
      <c r="F1404" s="2"/>
      <c r="G1404" s="2"/>
      <c r="H1404" s="2"/>
      <c r="I1404" s="5"/>
    </row>
    <row r="1405" spans="1:9" ht="17.399999999999999" x14ac:dyDescent="0.25">
      <c r="A1405" s="16"/>
      <c r="B1405" s="17"/>
      <c r="C1405" s="2"/>
      <c r="D1405" s="2"/>
      <c r="E1405" s="2"/>
      <c r="F1405" s="2"/>
      <c r="G1405" s="2"/>
      <c r="H1405" s="2"/>
      <c r="I1405" s="5"/>
    </row>
    <row r="1406" spans="1:9" ht="17.399999999999999" x14ac:dyDescent="0.25">
      <c r="A1406" s="16"/>
      <c r="B1406" s="17"/>
      <c r="C1406" s="2"/>
      <c r="D1406" s="2"/>
      <c r="E1406" s="2"/>
      <c r="F1406" s="2"/>
      <c r="G1406" s="2"/>
      <c r="H1406" s="2"/>
      <c r="I1406" s="5"/>
    </row>
    <row r="1407" spans="1:9" ht="17.399999999999999" x14ac:dyDescent="0.25">
      <c r="A1407" s="16"/>
      <c r="B1407" s="17"/>
      <c r="C1407" s="2"/>
      <c r="D1407" s="2"/>
      <c r="E1407" s="2"/>
      <c r="F1407" s="2"/>
      <c r="G1407" s="2"/>
      <c r="H1407" s="2"/>
      <c r="I1407" s="5"/>
    </row>
    <row r="1408" spans="1:9" ht="17.399999999999999" x14ac:dyDescent="0.25">
      <c r="A1408" s="16"/>
      <c r="B1408" s="17"/>
      <c r="C1408" s="2"/>
      <c r="D1408" s="2"/>
      <c r="E1408" s="2"/>
      <c r="F1408" s="2"/>
      <c r="G1408" s="2"/>
      <c r="H1408" s="2"/>
      <c r="I1408" s="5"/>
    </row>
    <row r="1409" spans="1:9" ht="17.399999999999999" x14ac:dyDescent="0.25">
      <c r="A1409" s="16"/>
      <c r="B1409" s="17"/>
      <c r="C1409" s="2"/>
      <c r="D1409" s="2"/>
      <c r="E1409" s="2"/>
      <c r="F1409" s="2"/>
      <c r="G1409" s="2"/>
      <c r="H1409" s="2"/>
      <c r="I1409" s="5"/>
    </row>
    <row r="1410" spans="1:9" ht="17.399999999999999" x14ac:dyDescent="0.25">
      <c r="A1410" s="16"/>
      <c r="B1410" s="17"/>
      <c r="C1410" s="2"/>
      <c r="D1410" s="2"/>
      <c r="E1410" s="2"/>
      <c r="F1410" s="2"/>
      <c r="G1410" s="2"/>
      <c r="H1410" s="2"/>
      <c r="I1410" s="5"/>
    </row>
    <row r="1411" spans="1:9" ht="17.399999999999999" x14ac:dyDescent="0.25">
      <c r="A1411" s="16"/>
      <c r="B1411" s="17"/>
      <c r="C1411" s="2"/>
      <c r="D1411" s="2"/>
      <c r="E1411" s="2"/>
      <c r="F1411" s="2"/>
      <c r="G1411" s="2"/>
      <c r="H1411" s="2"/>
      <c r="I1411" s="5"/>
    </row>
    <row r="1412" spans="1:9" ht="17.399999999999999" x14ac:dyDescent="0.25">
      <c r="A1412" s="16"/>
      <c r="B1412" s="17"/>
      <c r="C1412" s="2"/>
      <c r="D1412" s="2"/>
      <c r="E1412" s="2"/>
      <c r="F1412" s="2"/>
      <c r="G1412" s="2"/>
      <c r="H1412" s="2"/>
      <c r="I1412" s="5"/>
    </row>
    <row r="1413" spans="1:9" ht="17.399999999999999" x14ac:dyDescent="0.25">
      <c r="A1413" s="16"/>
      <c r="B1413" s="17"/>
      <c r="C1413" s="2"/>
      <c r="D1413" s="2"/>
      <c r="E1413" s="2"/>
      <c r="F1413" s="2"/>
      <c r="G1413" s="2"/>
      <c r="H1413" s="2"/>
      <c r="I1413" s="5"/>
    </row>
    <row r="1414" spans="1:9" ht="17.399999999999999" x14ac:dyDescent="0.25">
      <c r="A1414" s="16"/>
      <c r="B1414" s="17"/>
      <c r="C1414" s="2"/>
      <c r="D1414" s="2"/>
      <c r="E1414" s="2"/>
      <c r="F1414" s="2"/>
      <c r="G1414" s="2"/>
      <c r="H1414" s="2"/>
      <c r="I1414" s="5"/>
    </row>
    <row r="1415" spans="1:9" ht="17.399999999999999" x14ac:dyDescent="0.25">
      <c r="A1415" s="16"/>
      <c r="B1415" s="17"/>
      <c r="C1415" s="2"/>
      <c r="D1415" s="2"/>
      <c r="E1415" s="2"/>
      <c r="F1415" s="2"/>
      <c r="G1415" s="2"/>
      <c r="H1415" s="2"/>
      <c r="I1415" s="5"/>
    </row>
    <row r="1416" spans="1:9" ht="17.399999999999999" x14ac:dyDescent="0.25">
      <c r="A1416" s="16"/>
      <c r="B1416" s="17"/>
      <c r="C1416" s="2"/>
      <c r="D1416" s="2"/>
      <c r="E1416" s="2"/>
      <c r="F1416" s="2"/>
      <c r="G1416" s="2"/>
      <c r="H1416" s="2"/>
      <c r="I1416" s="5"/>
    </row>
    <row r="1417" spans="1:9" ht="17.399999999999999" x14ac:dyDescent="0.25">
      <c r="A1417" s="16"/>
      <c r="B1417" s="17"/>
      <c r="C1417" s="2"/>
      <c r="D1417" s="2"/>
      <c r="E1417" s="2"/>
      <c r="F1417" s="2"/>
      <c r="G1417" s="2"/>
      <c r="H1417" s="2"/>
      <c r="I1417" s="5"/>
    </row>
    <row r="1418" spans="1:9" ht="17.399999999999999" x14ac:dyDescent="0.25">
      <c r="A1418" s="16"/>
      <c r="B1418" s="17"/>
      <c r="C1418" s="2"/>
      <c r="D1418" s="2"/>
      <c r="E1418" s="2"/>
      <c r="F1418" s="2"/>
      <c r="G1418" s="2"/>
      <c r="H1418" s="2"/>
      <c r="I1418" s="5"/>
    </row>
    <row r="1419" spans="1:9" ht="17.399999999999999" x14ac:dyDescent="0.25">
      <c r="A1419" s="16"/>
      <c r="B1419" s="17"/>
      <c r="C1419" s="2"/>
      <c r="D1419" s="2"/>
      <c r="E1419" s="2"/>
      <c r="F1419" s="2"/>
      <c r="G1419" s="2"/>
      <c r="H1419" s="2"/>
      <c r="I1419" s="5"/>
    </row>
    <row r="1420" spans="1:9" ht="17.399999999999999" x14ac:dyDescent="0.25">
      <c r="A1420" s="16"/>
      <c r="B1420" s="17"/>
      <c r="C1420" s="2"/>
      <c r="D1420" s="2"/>
      <c r="E1420" s="2"/>
      <c r="F1420" s="2"/>
      <c r="G1420" s="2"/>
      <c r="H1420" s="2"/>
      <c r="I1420" s="5"/>
    </row>
    <row r="1421" spans="1:9" ht="17.399999999999999" x14ac:dyDescent="0.25">
      <c r="A1421" s="16"/>
      <c r="B1421" s="17"/>
      <c r="C1421" s="2"/>
      <c r="D1421" s="2"/>
      <c r="E1421" s="2"/>
      <c r="F1421" s="2"/>
      <c r="G1421" s="2"/>
      <c r="H1421" s="2"/>
      <c r="I1421" s="5"/>
    </row>
    <row r="1422" spans="1:9" ht="17.399999999999999" x14ac:dyDescent="0.25">
      <c r="A1422" s="16"/>
      <c r="B1422" s="17"/>
      <c r="C1422" s="2"/>
      <c r="D1422" s="2"/>
      <c r="E1422" s="2"/>
      <c r="F1422" s="2"/>
      <c r="G1422" s="2"/>
      <c r="H1422" s="2"/>
      <c r="I1422" s="5"/>
    </row>
    <row r="1423" spans="1:9" ht="17.399999999999999" x14ac:dyDescent="0.25">
      <c r="A1423" s="16"/>
      <c r="B1423" s="17"/>
      <c r="C1423" s="2"/>
      <c r="D1423" s="2"/>
      <c r="E1423" s="2"/>
      <c r="F1423" s="2"/>
      <c r="G1423" s="2"/>
      <c r="H1423" s="2"/>
      <c r="I1423" s="5"/>
    </row>
    <row r="1424" spans="1:9" ht="17.399999999999999" x14ac:dyDescent="0.25">
      <c r="A1424" s="16"/>
      <c r="B1424" s="17"/>
      <c r="C1424" s="2"/>
      <c r="D1424" s="2"/>
      <c r="E1424" s="2"/>
      <c r="F1424" s="2"/>
      <c r="G1424" s="2"/>
      <c r="H1424" s="2"/>
      <c r="I1424" s="5"/>
    </row>
    <row r="1425" spans="1:9" ht="17.399999999999999" x14ac:dyDescent="0.25">
      <c r="A1425" s="16"/>
      <c r="B1425" s="17"/>
      <c r="C1425" s="2"/>
      <c r="D1425" s="2"/>
      <c r="E1425" s="2"/>
      <c r="F1425" s="2"/>
      <c r="G1425" s="2"/>
      <c r="H1425" s="2"/>
      <c r="I1425" s="5"/>
    </row>
    <row r="1426" spans="1:9" ht="17.399999999999999" x14ac:dyDescent="0.25">
      <c r="A1426" s="16"/>
      <c r="B1426" s="17"/>
      <c r="C1426" s="2"/>
      <c r="D1426" s="2"/>
      <c r="E1426" s="2"/>
      <c r="F1426" s="2"/>
      <c r="G1426" s="2"/>
      <c r="H1426" s="2"/>
      <c r="I1426" s="5"/>
    </row>
    <row r="1427" spans="1:9" ht="17.399999999999999" x14ac:dyDescent="0.25">
      <c r="A1427" s="16"/>
      <c r="B1427" s="17"/>
      <c r="C1427" s="2"/>
      <c r="D1427" s="2"/>
      <c r="E1427" s="2"/>
      <c r="F1427" s="2"/>
      <c r="G1427" s="2"/>
      <c r="H1427" s="2"/>
      <c r="I1427" s="5"/>
    </row>
    <row r="1428" spans="1:9" ht="17.399999999999999" x14ac:dyDescent="0.25">
      <c r="A1428" s="16"/>
      <c r="B1428" s="17"/>
      <c r="C1428" s="2"/>
      <c r="D1428" s="2"/>
      <c r="E1428" s="2"/>
      <c r="F1428" s="2"/>
      <c r="G1428" s="2"/>
      <c r="H1428" s="2"/>
      <c r="I1428" s="5"/>
    </row>
    <row r="1429" spans="1:9" ht="17.399999999999999" x14ac:dyDescent="0.25">
      <c r="A1429" s="16"/>
      <c r="B1429" s="17"/>
      <c r="C1429" s="2"/>
      <c r="D1429" s="2"/>
      <c r="E1429" s="2"/>
      <c r="F1429" s="2"/>
      <c r="G1429" s="2"/>
      <c r="H1429" s="2"/>
      <c r="I1429" s="5"/>
    </row>
    <row r="1430" spans="1:9" ht="17.399999999999999" x14ac:dyDescent="0.25">
      <c r="A1430" s="16"/>
      <c r="B1430" s="17"/>
      <c r="C1430" s="2"/>
      <c r="D1430" s="2"/>
      <c r="E1430" s="2"/>
      <c r="F1430" s="2"/>
      <c r="G1430" s="2"/>
      <c r="H1430" s="2"/>
      <c r="I1430" s="5"/>
    </row>
    <row r="1431" spans="1:9" ht="17.399999999999999" x14ac:dyDescent="0.25">
      <c r="A1431" s="16"/>
      <c r="B1431" s="17"/>
      <c r="C1431" s="2"/>
      <c r="D1431" s="2"/>
      <c r="E1431" s="2"/>
      <c r="F1431" s="2"/>
      <c r="G1431" s="2"/>
      <c r="H1431" s="2"/>
      <c r="I1431" s="5"/>
    </row>
    <row r="1432" spans="1:9" ht="17.399999999999999" x14ac:dyDescent="0.25">
      <c r="A1432" s="16"/>
      <c r="B1432" s="17"/>
      <c r="C1432" s="2"/>
      <c r="D1432" s="2"/>
      <c r="E1432" s="2"/>
      <c r="F1432" s="2"/>
      <c r="G1432" s="2"/>
      <c r="H1432" s="2"/>
      <c r="I1432" s="5"/>
    </row>
    <row r="1433" spans="1:9" ht="17.399999999999999" x14ac:dyDescent="0.25">
      <c r="A1433" s="16"/>
      <c r="B1433" s="17"/>
      <c r="C1433" s="2"/>
      <c r="D1433" s="2"/>
      <c r="E1433" s="2"/>
      <c r="F1433" s="2"/>
      <c r="G1433" s="2"/>
      <c r="H1433" s="2"/>
      <c r="I1433" s="5"/>
    </row>
    <row r="1434" spans="1:9" ht="17.399999999999999" x14ac:dyDescent="0.25">
      <c r="A1434" s="16"/>
      <c r="B1434" s="17"/>
      <c r="C1434" s="2"/>
      <c r="D1434" s="2"/>
      <c r="E1434" s="2"/>
      <c r="F1434" s="2"/>
      <c r="G1434" s="2"/>
      <c r="H1434" s="2"/>
      <c r="I1434" s="5"/>
    </row>
    <row r="1435" spans="1:9" ht="17.399999999999999" x14ac:dyDescent="0.25">
      <c r="A1435" s="16"/>
      <c r="B1435" s="17"/>
      <c r="C1435" s="2"/>
      <c r="D1435" s="2"/>
      <c r="E1435" s="2"/>
      <c r="F1435" s="2"/>
      <c r="G1435" s="2"/>
      <c r="H1435" s="2"/>
      <c r="I1435" s="5"/>
    </row>
    <row r="1436" spans="1:9" ht="17.399999999999999" x14ac:dyDescent="0.25">
      <c r="A1436" s="16"/>
      <c r="B1436" s="17"/>
      <c r="C1436" s="2"/>
      <c r="D1436" s="2"/>
      <c r="E1436" s="2"/>
      <c r="F1436" s="2"/>
      <c r="G1436" s="2"/>
      <c r="H1436" s="2"/>
      <c r="I1436" s="5"/>
    </row>
    <row r="1437" spans="1:9" ht="17.399999999999999" x14ac:dyDescent="0.25">
      <c r="A1437" s="16"/>
      <c r="B1437" s="17"/>
      <c r="C1437" s="2"/>
      <c r="D1437" s="2"/>
      <c r="E1437" s="2"/>
      <c r="F1437" s="2"/>
      <c r="G1437" s="2"/>
      <c r="H1437" s="2"/>
      <c r="I1437" s="5"/>
    </row>
    <row r="1438" spans="1:9" ht="17.399999999999999" x14ac:dyDescent="0.25">
      <c r="A1438" s="16"/>
      <c r="B1438" s="17"/>
      <c r="C1438" s="2"/>
      <c r="D1438" s="2"/>
      <c r="E1438" s="2"/>
      <c r="F1438" s="2"/>
      <c r="G1438" s="2"/>
      <c r="H1438" s="2"/>
      <c r="I1438" s="5"/>
    </row>
    <row r="1439" spans="1:9" ht="17.399999999999999" x14ac:dyDescent="0.25">
      <c r="A1439" s="16"/>
      <c r="B1439" s="17"/>
      <c r="C1439" s="2"/>
      <c r="D1439" s="2"/>
      <c r="E1439" s="2"/>
      <c r="F1439" s="2"/>
      <c r="G1439" s="2"/>
      <c r="H1439" s="2"/>
      <c r="I1439" s="5"/>
    </row>
    <row r="1440" spans="1:9" ht="17.399999999999999" x14ac:dyDescent="0.25">
      <c r="A1440" s="16"/>
      <c r="B1440" s="17"/>
      <c r="C1440" s="2"/>
      <c r="D1440" s="2"/>
      <c r="E1440" s="2"/>
      <c r="F1440" s="2"/>
      <c r="G1440" s="2"/>
      <c r="H1440" s="2"/>
      <c r="I1440" s="5"/>
    </row>
    <row r="1441" spans="1:9" ht="17.399999999999999" x14ac:dyDescent="0.25">
      <c r="A1441" s="16"/>
      <c r="B1441" s="17"/>
      <c r="C1441" s="2"/>
      <c r="D1441" s="2"/>
      <c r="E1441" s="2"/>
      <c r="F1441" s="2"/>
      <c r="G1441" s="2"/>
      <c r="H1441" s="2"/>
      <c r="I1441" s="5"/>
    </row>
    <row r="1442" spans="1:9" ht="17.399999999999999" x14ac:dyDescent="0.25">
      <c r="A1442" s="16"/>
      <c r="B1442" s="17"/>
      <c r="C1442" s="2"/>
      <c r="D1442" s="2"/>
      <c r="E1442" s="2"/>
      <c r="F1442" s="2"/>
      <c r="G1442" s="2"/>
      <c r="H1442" s="2"/>
      <c r="I1442" s="5"/>
    </row>
    <row r="1443" spans="1:9" ht="17.399999999999999" x14ac:dyDescent="0.25">
      <c r="A1443" s="16"/>
      <c r="B1443" s="17"/>
      <c r="C1443" s="2"/>
      <c r="D1443" s="2"/>
      <c r="E1443" s="2"/>
      <c r="F1443" s="2"/>
      <c r="G1443" s="2"/>
      <c r="H1443" s="2"/>
      <c r="I1443" s="5"/>
    </row>
    <row r="1444" spans="1:9" ht="17.399999999999999" x14ac:dyDescent="0.25">
      <c r="A1444" s="16"/>
      <c r="B1444" s="17"/>
      <c r="C1444" s="2"/>
      <c r="D1444" s="2"/>
      <c r="E1444" s="2"/>
      <c r="F1444" s="2"/>
      <c r="G1444" s="2"/>
      <c r="H1444" s="2"/>
      <c r="I1444" s="5"/>
    </row>
    <row r="1445" spans="1:9" ht="17.399999999999999" x14ac:dyDescent="0.25">
      <c r="A1445" s="16"/>
      <c r="B1445" s="17"/>
      <c r="C1445" s="2"/>
      <c r="D1445" s="2"/>
      <c r="E1445" s="2"/>
      <c r="F1445" s="2"/>
      <c r="G1445" s="2"/>
      <c r="H1445" s="2"/>
      <c r="I1445" s="5"/>
    </row>
    <row r="1446" spans="1:9" ht="17.399999999999999" x14ac:dyDescent="0.25">
      <c r="A1446" s="16"/>
      <c r="B1446" s="17"/>
      <c r="C1446" s="2"/>
      <c r="D1446" s="2"/>
      <c r="E1446" s="2"/>
      <c r="F1446" s="2"/>
      <c r="G1446" s="2"/>
      <c r="H1446" s="2"/>
      <c r="I1446" s="5"/>
    </row>
    <row r="1447" spans="1:9" ht="17.399999999999999" x14ac:dyDescent="0.25">
      <c r="A1447" s="16"/>
      <c r="B1447" s="17"/>
      <c r="C1447" s="2"/>
      <c r="D1447" s="2"/>
      <c r="E1447" s="2"/>
      <c r="F1447" s="2"/>
      <c r="G1447" s="2"/>
      <c r="H1447" s="2"/>
      <c r="I1447" s="5"/>
    </row>
    <row r="1448" spans="1:9" ht="17.399999999999999" x14ac:dyDescent="0.25">
      <c r="A1448" s="16"/>
      <c r="B1448" s="17"/>
      <c r="C1448" s="2"/>
      <c r="D1448" s="2"/>
      <c r="E1448" s="2"/>
      <c r="F1448" s="2"/>
      <c r="G1448" s="2"/>
      <c r="H1448" s="2"/>
      <c r="I1448" s="5"/>
    </row>
    <row r="1449" spans="1:9" ht="17.399999999999999" x14ac:dyDescent="0.25">
      <c r="A1449" s="16"/>
      <c r="B1449" s="17"/>
      <c r="C1449" s="2"/>
      <c r="D1449" s="2"/>
      <c r="E1449" s="2"/>
      <c r="F1449" s="2"/>
      <c r="G1449" s="2"/>
      <c r="H1449" s="2"/>
      <c r="I1449" s="5"/>
    </row>
    <row r="1450" spans="1:9" ht="17.399999999999999" x14ac:dyDescent="0.25">
      <c r="A1450" s="16"/>
      <c r="B1450" s="17"/>
      <c r="C1450" s="2"/>
      <c r="D1450" s="2"/>
      <c r="E1450" s="2"/>
      <c r="F1450" s="2"/>
      <c r="G1450" s="2"/>
      <c r="H1450" s="2"/>
      <c r="I1450" s="5"/>
    </row>
    <row r="1451" spans="1:9" ht="17.399999999999999" x14ac:dyDescent="0.25">
      <c r="A1451" s="16"/>
      <c r="B1451" s="17"/>
      <c r="C1451" s="2"/>
      <c r="D1451" s="2"/>
      <c r="E1451" s="2"/>
      <c r="F1451" s="2"/>
      <c r="G1451" s="2"/>
      <c r="H1451" s="2"/>
      <c r="I1451" s="5"/>
    </row>
    <row r="1452" spans="1:9" ht="17.399999999999999" x14ac:dyDescent="0.25">
      <c r="A1452" s="16"/>
      <c r="B1452" s="17"/>
      <c r="C1452" s="2"/>
      <c r="D1452" s="2"/>
      <c r="E1452" s="2"/>
      <c r="F1452" s="2"/>
      <c r="G1452" s="2"/>
      <c r="H1452" s="2"/>
      <c r="I1452" s="5"/>
    </row>
    <row r="1453" spans="1:9" ht="17.399999999999999" x14ac:dyDescent="0.25">
      <c r="A1453" s="16"/>
      <c r="B1453" s="17"/>
      <c r="C1453" s="2"/>
      <c r="D1453" s="2"/>
      <c r="E1453" s="2"/>
      <c r="F1453" s="2"/>
      <c r="G1453" s="2"/>
      <c r="H1453" s="2"/>
      <c r="I1453" s="5"/>
    </row>
    <row r="1454" spans="1:9" ht="17.399999999999999" x14ac:dyDescent="0.25">
      <c r="A1454" s="16"/>
      <c r="B1454" s="17"/>
      <c r="C1454" s="2"/>
      <c r="D1454" s="2"/>
      <c r="E1454" s="2"/>
      <c r="F1454" s="2"/>
      <c r="G1454" s="2"/>
      <c r="H1454" s="2"/>
      <c r="I1454" s="5"/>
    </row>
    <row r="1455" spans="1:9" ht="17.399999999999999" x14ac:dyDescent="0.25">
      <c r="A1455" s="16"/>
      <c r="B1455" s="17"/>
      <c r="C1455" s="2"/>
      <c r="D1455" s="2"/>
      <c r="E1455" s="2"/>
      <c r="F1455" s="2"/>
      <c r="G1455" s="2"/>
      <c r="H1455" s="2"/>
      <c r="I1455" s="5"/>
    </row>
    <row r="1456" spans="1:9" ht="17.399999999999999" x14ac:dyDescent="0.25">
      <c r="A1456" s="16"/>
      <c r="B1456" s="17"/>
      <c r="C1456" s="2"/>
      <c r="D1456" s="2"/>
      <c r="E1456" s="2"/>
      <c r="F1456" s="2"/>
      <c r="G1456" s="2"/>
      <c r="H1456" s="2"/>
      <c r="I1456" s="5"/>
    </row>
    <row r="1457" spans="1:9" ht="17.399999999999999" x14ac:dyDescent="0.25">
      <c r="A1457" s="16"/>
      <c r="B1457" s="17"/>
      <c r="C1457" s="2"/>
      <c r="D1457" s="2"/>
      <c r="E1457" s="2"/>
      <c r="F1457" s="2"/>
      <c r="G1457" s="2"/>
      <c r="H1457" s="2"/>
      <c r="I1457" s="5"/>
    </row>
    <row r="1458" spans="1:9" ht="17.399999999999999" x14ac:dyDescent="0.25">
      <c r="A1458" s="16"/>
      <c r="B1458" s="17"/>
      <c r="C1458" s="2"/>
      <c r="D1458" s="2"/>
      <c r="E1458" s="2"/>
      <c r="F1458" s="2"/>
      <c r="G1458" s="2"/>
      <c r="H1458" s="2"/>
      <c r="I1458" s="5"/>
    </row>
    <row r="1459" spans="1:9" ht="17.399999999999999" x14ac:dyDescent="0.25">
      <c r="A1459" s="16"/>
      <c r="B1459" s="17"/>
      <c r="C1459" s="2"/>
      <c r="D1459" s="2"/>
      <c r="E1459" s="2"/>
      <c r="F1459" s="2"/>
      <c r="G1459" s="2"/>
      <c r="H1459" s="2"/>
      <c r="I1459" s="5"/>
    </row>
    <row r="1460" spans="1:9" ht="17.399999999999999" x14ac:dyDescent="0.25">
      <c r="A1460" s="16"/>
      <c r="B1460" s="17"/>
      <c r="C1460" s="2"/>
      <c r="D1460" s="2"/>
      <c r="E1460" s="2"/>
      <c r="F1460" s="2"/>
      <c r="G1460" s="2"/>
      <c r="H1460" s="2"/>
      <c r="I1460" s="5"/>
    </row>
    <row r="1461" spans="1:9" ht="17.399999999999999" x14ac:dyDescent="0.25">
      <c r="A1461" s="16"/>
      <c r="B1461" s="17"/>
      <c r="C1461" s="2"/>
      <c r="D1461" s="2"/>
      <c r="E1461" s="2"/>
      <c r="F1461" s="2"/>
      <c r="G1461" s="2"/>
      <c r="H1461" s="2"/>
      <c r="I1461" s="5"/>
    </row>
    <row r="1462" spans="1:9" ht="17.399999999999999" x14ac:dyDescent="0.25">
      <c r="A1462" s="16"/>
      <c r="B1462" s="17"/>
      <c r="C1462" s="2"/>
      <c r="D1462" s="2"/>
      <c r="E1462" s="2"/>
      <c r="F1462" s="2"/>
      <c r="G1462" s="2"/>
      <c r="H1462" s="2"/>
      <c r="I1462" s="5"/>
    </row>
    <row r="1463" spans="1:9" ht="17.399999999999999" x14ac:dyDescent="0.25">
      <c r="A1463" s="16"/>
      <c r="B1463" s="17"/>
      <c r="C1463" s="2"/>
      <c r="D1463" s="2"/>
      <c r="E1463" s="2"/>
      <c r="F1463" s="2"/>
      <c r="G1463" s="2"/>
      <c r="H1463" s="2"/>
      <c r="I1463" s="5"/>
    </row>
    <row r="1464" spans="1:9" ht="17.399999999999999" x14ac:dyDescent="0.25">
      <c r="A1464" s="16"/>
      <c r="B1464" s="17"/>
      <c r="C1464" s="2"/>
      <c r="D1464" s="2"/>
      <c r="E1464" s="2"/>
      <c r="F1464" s="2"/>
      <c r="G1464" s="2"/>
      <c r="H1464" s="2"/>
      <c r="I1464" s="5"/>
    </row>
    <row r="1465" spans="1:9" ht="17.399999999999999" x14ac:dyDescent="0.25">
      <c r="A1465" s="16"/>
      <c r="B1465" s="17"/>
      <c r="C1465" s="2"/>
      <c r="D1465" s="2"/>
      <c r="E1465" s="2"/>
      <c r="F1465" s="2"/>
      <c r="G1465" s="2"/>
      <c r="H1465" s="2"/>
      <c r="I1465" s="5"/>
    </row>
    <row r="1466" spans="1:9" ht="17.399999999999999" x14ac:dyDescent="0.25">
      <c r="A1466" s="16"/>
      <c r="B1466" s="17"/>
      <c r="C1466" s="2"/>
      <c r="D1466" s="2"/>
      <c r="E1466" s="2"/>
      <c r="F1466" s="2"/>
      <c r="G1466" s="2"/>
      <c r="H1466" s="2"/>
      <c r="I1466" s="5"/>
    </row>
    <row r="1467" spans="1:9" ht="17.399999999999999" x14ac:dyDescent="0.25">
      <c r="A1467" s="16"/>
      <c r="B1467" s="17"/>
      <c r="C1467" s="2"/>
      <c r="D1467" s="2"/>
      <c r="E1467" s="2"/>
      <c r="F1467" s="2"/>
      <c r="G1467" s="2"/>
      <c r="H1467" s="2"/>
      <c r="I1467" s="5"/>
    </row>
    <row r="1468" spans="1:9" ht="17.399999999999999" x14ac:dyDescent="0.25">
      <c r="A1468" s="16"/>
      <c r="B1468" s="17"/>
      <c r="C1468" s="2"/>
      <c r="D1468" s="2"/>
      <c r="E1468" s="2"/>
      <c r="F1468" s="2"/>
      <c r="G1468" s="2"/>
      <c r="H1468" s="2"/>
      <c r="I1468" s="5"/>
    </row>
    <row r="1469" spans="1:9" ht="17.399999999999999" x14ac:dyDescent="0.25">
      <c r="A1469" s="16"/>
      <c r="B1469" s="17"/>
      <c r="C1469" s="2"/>
      <c r="D1469" s="2"/>
      <c r="E1469" s="2"/>
      <c r="F1469" s="2"/>
      <c r="G1469" s="2"/>
      <c r="H1469" s="2"/>
      <c r="I1469" s="5"/>
    </row>
    <row r="1470" spans="1:9" ht="17.399999999999999" x14ac:dyDescent="0.25">
      <c r="A1470" s="16"/>
      <c r="B1470" s="17"/>
      <c r="C1470" s="2"/>
      <c r="D1470" s="2"/>
      <c r="E1470" s="2"/>
      <c r="F1470" s="2"/>
      <c r="G1470" s="2"/>
      <c r="H1470" s="2"/>
      <c r="I1470" s="5"/>
    </row>
    <row r="1471" spans="1:9" ht="17.399999999999999" x14ac:dyDescent="0.25">
      <c r="A1471" s="16"/>
      <c r="B1471" s="17"/>
      <c r="C1471" s="2"/>
      <c r="D1471" s="2"/>
      <c r="E1471" s="2"/>
      <c r="F1471" s="2"/>
      <c r="G1471" s="2"/>
      <c r="H1471" s="2"/>
      <c r="I1471" s="5"/>
    </row>
    <row r="1472" spans="1:9" ht="17.399999999999999" x14ac:dyDescent="0.25">
      <c r="A1472" s="16"/>
      <c r="B1472" s="17"/>
      <c r="C1472" s="2"/>
      <c r="D1472" s="2"/>
      <c r="E1472" s="2"/>
      <c r="F1472" s="2"/>
      <c r="G1472" s="2"/>
      <c r="H1472" s="2"/>
      <c r="I1472" s="5"/>
    </row>
    <row r="1473" spans="1:9" ht="17.399999999999999" x14ac:dyDescent="0.25">
      <c r="A1473" s="16"/>
      <c r="B1473" s="17"/>
      <c r="C1473" s="2"/>
      <c r="D1473" s="2"/>
      <c r="E1473" s="2"/>
      <c r="F1473" s="2"/>
      <c r="G1473" s="2"/>
      <c r="H1473" s="2"/>
      <c r="I1473" s="5"/>
    </row>
    <row r="1474" spans="1:9" ht="17.399999999999999" x14ac:dyDescent="0.25">
      <c r="A1474" s="16"/>
      <c r="B1474" s="17"/>
      <c r="C1474" s="2"/>
      <c r="D1474" s="2"/>
      <c r="E1474" s="2"/>
      <c r="F1474" s="2"/>
      <c r="G1474" s="2"/>
      <c r="H1474" s="2"/>
      <c r="I1474" s="5"/>
    </row>
    <row r="1475" spans="1:9" ht="17.399999999999999" x14ac:dyDescent="0.25">
      <c r="A1475" s="16"/>
      <c r="B1475" s="17"/>
      <c r="C1475" s="2"/>
      <c r="D1475" s="2"/>
      <c r="E1475" s="2"/>
      <c r="F1475" s="2"/>
      <c r="G1475" s="2"/>
      <c r="H1475" s="2"/>
      <c r="I1475" s="5"/>
    </row>
    <row r="1476" spans="1:9" ht="17.399999999999999" x14ac:dyDescent="0.25">
      <c r="A1476" s="16"/>
      <c r="B1476" s="17"/>
      <c r="C1476" s="2"/>
      <c r="D1476" s="2"/>
      <c r="E1476" s="2"/>
      <c r="F1476" s="2"/>
      <c r="G1476" s="2"/>
      <c r="H1476" s="2"/>
      <c r="I1476" s="5"/>
    </row>
    <row r="1477" spans="1:9" ht="17.399999999999999" x14ac:dyDescent="0.25">
      <c r="A1477" s="16"/>
      <c r="B1477" s="17"/>
      <c r="C1477" s="2"/>
      <c r="D1477" s="2"/>
      <c r="E1477" s="2"/>
      <c r="F1477" s="2"/>
      <c r="G1477" s="2"/>
      <c r="H1477" s="2"/>
      <c r="I1477" s="5"/>
    </row>
    <row r="1478" spans="1:9" ht="17.399999999999999" x14ac:dyDescent="0.25">
      <c r="A1478" s="16"/>
      <c r="B1478" s="17"/>
      <c r="C1478" s="2"/>
      <c r="D1478" s="2"/>
      <c r="E1478" s="2"/>
      <c r="F1478" s="2"/>
      <c r="G1478" s="2"/>
      <c r="H1478" s="2"/>
      <c r="I1478" s="5"/>
    </row>
    <row r="1479" spans="1:9" ht="17.399999999999999" x14ac:dyDescent="0.25">
      <c r="A1479" s="16"/>
      <c r="B1479" s="17"/>
      <c r="C1479" s="2"/>
      <c r="D1479" s="2"/>
      <c r="E1479" s="2"/>
      <c r="F1479" s="2"/>
      <c r="G1479" s="2"/>
      <c r="H1479" s="2"/>
      <c r="I1479" s="5"/>
    </row>
    <row r="1480" spans="1:9" ht="17.399999999999999" x14ac:dyDescent="0.25">
      <c r="A1480" s="16"/>
      <c r="B1480" s="17"/>
      <c r="C1480" s="2"/>
      <c r="D1480" s="2"/>
      <c r="E1480" s="2"/>
      <c r="F1480" s="2"/>
      <c r="G1480" s="2"/>
      <c r="H1480" s="2"/>
      <c r="I1480" s="5"/>
    </row>
    <row r="1481" spans="1:9" ht="17.399999999999999" x14ac:dyDescent="0.25">
      <c r="A1481" s="16"/>
      <c r="B1481" s="17"/>
      <c r="C1481" s="2"/>
      <c r="D1481" s="2"/>
      <c r="E1481" s="2"/>
      <c r="F1481" s="2"/>
      <c r="G1481" s="2"/>
      <c r="H1481" s="2"/>
      <c r="I1481" s="5"/>
    </row>
    <row r="1482" spans="1:9" ht="17.399999999999999" x14ac:dyDescent="0.25">
      <c r="A1482" s="16"/>
      <c r="B1482" s="17"/>
      <c r="C1482" s="2"/>
      <c r="D1482" s="2"/>
      <c r="E1482" s="2"/>
      <c r="F1482" s="2"/>
      <c r="G1482" s="2"/>
      <c r="H1482" s="2"/>
      <c r="I1482" s="5"/>
    </row>
    <row r="1483" spans="1:9" ht="17.399999999999999" x14ac:dyDescent="0.25">
      <c r="A1483" s="16"/>
      <c r="B1483" s="17"/>
      <c r="C1483" s="2"/>
      <c r="D1483" s="2"/>
      <c r="E1483" s="2"/>
      <c r="F1483" s="2"/>
      <c r="G1483" s="2"/>
      <c r="H1483" s="2"/>
      <c r="I1483" s="5"/>
    </row>
    <row r="1484" spans="1:9" ht="17.399999999999999" x14ac:dyDescent="0.25">
      <c r="A1484" s="16"/>
      <c r="B1484" s="17"/>
      <c r="C1484" s="2"/>
      <c r="D1484" s="2"/>
      <c r="E1484" s="2"/>
      <c r="F1484" s="2"/>
      <c r="G1484" s="2"/>
      <c r="H1484" s="2"/>
      <c r="I1484" s="5"/>
    </row>
    <row r="1485" spans="1:9" ht="17.399999999999999" x14ac:dyDescent="0.25">
      <c r="A1485" s="16"/>
      <c r="B1485" s="17"/>
      <c r="C1485" s="2"/>
      <c r="D1485" s="2"/>
      <c r="E1485" s="2"/>
      <c r="F1485" s="2"/>
      <c r="G1485" s="2"/>
      <c r="H1485" s="2"/>
      <c r="I1485" s="5"/>
    </row>
    <row r="1486" spans="1:9" ht="17.399999999999999" x14ac:dyDescent="0.25">
      <c r="A1486" s="16"/>
      <c r="B1486" s="17"/>
      <c r="C1486" s="2"/>
      <c r="D1486" s="2"/>
      <c r="E1486" s="2"/>
      <c r="F1486" s="2"/>
      <c r="G1486" s="2"/>
      <c r="H1486" s="2"/>
      <c r="I1486" s="5"/>
    </row>
    <row r="1487" spans="1:9" ht="17.399999999999999" x14ac:dyDescent="0.25">
      <c r="A1487" s="16"/>
      <c r="B1487" s="17"/>
      <c r="C1487" s="2"/>
      <c r="D1487" s="2"/>
      <c r="E1487" s="2"/>
      <c r="F1487" s="2"/>
      <c r="G1487" s="2"/>
      <c r="H1487" s="2"/>
      <c r="I1487" s="5"/>
    </row>
    <row r="1488" spans="1:9" ht="17.399999999999999" x14ac:dyDescent="0.25">
      <c r="A1488" s="16"/>
      <c r="B1488" s="17"/>
      <c r="C1488" s="2"/>
      <c r="D1488" s="2"/>
      <c r="E1488" s="2"/>
      <c r="F1488" s="2"/>
      <c r="G1488" s="2"/>
      <c r="H1488" s="2"/>
      <c r="I1488" s="5"/>
    </row>
    <row r="1489" spans="1:9" ht="17.399999999999999" x14ac:dyDescent="0.25">
      <c r="A1489" s="16"/>
      <c r="B1489" s="17"/>
      <c r="C1489" s="2"/>
      <c r="D1489" s="2"/>
      <c r="E1489" s="2"/>
      <c r="F1489" s="2"/>
      <c r="G1489" s="2"/>
      <c r="H1489" s="2"/>
      <c r="I1489" s="5"/>
    </row>
    <row r="1490" spans="1:9" ht="17.399999999999999" x14ac:dyDescent="0.25">
      <c r="A1490" s="16"/>
      <c r="B1490" s="17"/>
      <c r="C1490" s="2"/>
      <c r="D1490" s="2"/>
      <c r="E1490" s="2"/>
      <c r="F1490" s="2"/>
      <c r="G1490" s="2"/>
      <c r="H1490" s="2"/>
      <c r="I1490" s="5"/>
    </row>
    <row r="1491" spans="1:9" ht="17.399999999999999" x14ac:dyDescent="0.25">
      <c r="A1491" s="16"/>
      <c r="B1491" s="17"/>
      <c r="C1491" s="2"/>
      <c r="D1491" s="2"/>
      <c r="E1491" s="2"/>
      <c r="F1491" s="2"/>
      <c r="G1491" s="2"/>
      <c r="H1491" s="2"/>
      <c r="I1491" s="5"/>
    </row>
    <row r="1492" spans="1:9" ht="17.399999999999999" x14ac:dyDescent="0.25">
      <c r="A1492" s="16"/>
      <c r="B1492" s="17"/>
      <c r="C1492" s="2"/>
      <c r="D1492" s="2"/>
      <c r="E1492" s="2"/>
      <c r="F1492" s="2"/>
      <c r="G1492" s="2"/>
      <c r="H1492" s="2"/>
      <c r="I1492" s="5"/>
    </row>
    <row r="1493" spans="1:9" ht="17.399999999999999" x14ac:dyDescent="0.25">
      <c r="A1493" s="16"/>
      <c r="B1493" s="17"/>
      <c r="C1493" s="2"/>
      <c r="D1493" s="2"/>
      <c r="E1493" s="2"/>
      <c r="F1493" s="2"/>
      <c r="G1493" s="2"/>
      <c r="H1493" s="2"/>
      <c r="I1493" s="5"/>
    </row>
    <row r="1494" spans="1:9" ht="17.399999999999999" x14ac:dyDescent="0.25">
      <c r="A1494" s="16"/>
      <c r="B1494" s="17"/>
      <c r="C1494" s="2"/>
      <c r="D1494" s="2"/>
      <c r="E1494" s="2"/>
      <c r="F1494" s="2"/>
      <c r="G1494" s="2"/>
      <c r="H1494" s="2"/>
      <c r="I1494" s="5"/>
    </row>
    <row r="1495" spans="1:9" ht="17.399999999999999" x14ac:dyDescent="0.25">
      <c r="A1495" s="16"/>
      <c r="B1495" s="17"/>
      <c r="C1495" s="2"/>
      <c r="D1495" s="2"/>
      <c r="E1495" s="2"/>
      <c r="F1495" s="2"/>
      <c r="G1495" s="2"/>
      <c r="H1495" s="2"/>
      <c r="I1495" s="5"/>
    </row>
    <row r="1496" spans="1:9" ht="17.399999999999999" x14ac:dyDescent="0.25">
      <c r="A1496" s="16"/>
      <c r="B1496" s="17"/>
      <c r="C1496" s="2"/>
      <c r="D1496" s="2"/>
      <c r="E1496" s="2"/>
      <c r="F1496" s="2"/>
      <c r="G1496" s="2"/>
      <c r="H1496" s="2"/>
      <c r="I1496" s="5"/>
    </row>
    <row r="1497" spans="1:9" ht="17.399999999999999" x14ac:dyDescent="0.25">
      <c r="A1497" s="16"/>
      <c r="B1497" s="17"/>
      <c r="C1497" s="2"/>
      <c r="D1497" s="2"/>
      <c r="E1497" s="2"/>
      <c r="F1497" s="2"/>
      <c r="G1497" s="2"/>
      <c r="H1497" s="2"/>
      <c r="I1497" s="5"/>
    </row>
    <row r="1498" spans="1:9" ht="17.399999999999999" x14ac:dyDescent="0.25">
      <c r="A1498" s="16"/>
      <c r="B1498" s="17"/>
      <c r="C1498" s="2"/>
      <c r="D1498" s="2"/>
      <c r="E1498" s="2"/>
      <c r="F1498" s="2"/>
      <c r="G1498" s="2"/>
      <c r="H1498" s="2"/>
      <c r="I1498" s="5"/>
    </row>
    <row r="1499" spans="1:9" ht="17.399999999999999" x14ac:dyDescent="0.25">
      <c r="A1499" s="16"/>
      <c r="B1499" s="17"/>
      <c r="C1499" s="2"/>
      <c r="D1499" s="2"/>
      <c r="E1499" s="2"/>
      <c r="F1499" s="2"/>
      <c r="G1499" s="2"/>
      <c r="H1499" s="2"/>
      <c r="I1499" s="5"/>
    </row>
    <row r="1500" spans="1:9" ht="17.399999999999999" x14ac:dyDescent="0.25">
      <c r="A1500" s="16"/>
      <c r="B1500" s="17"/>
      <c r="C1500" s="2"/>
      <c r="D1500" s="2"/>
      <c r="E1500" s="2"/>
      <c r="F1500" s="2"/>
      <c r="G1500" s="2"/>
      <c r="H1500" s="2"/>
      <c r="I1500" s="5"/>
    </row>
    <row r="1501" spans="1:9" ht="17.399999999999999" x14ac:dyDescent="0.25">
      <c r="A1501" s="16"/>
      <c r="B1501" s="17"/>
      <c r="C1501" s="2"/>
      <c r="D1501" s="2"/>
      <c r="E1501" s="2"/>
      <c r="F1501" s="2"/>
      <c r="G1501" s="2"/>
      <c r="H1501" s="2"/>
      <c r="I1501" s="5"/>
    </row>
    <row r="1502" spans="1:9" ht="17.399999999999999" x14ac:dyDescent="0.25">
      <c r="A1502" s="16"/>
      <c r="B1502" s="17"/>
      <c r="C1502" s="2"/>
      <c r="D1502" s="2"/>
      <c r="E1502" s="2"/>
      <c r="F1502" s="2"/>
      <c r="G1502" s="2"/>
      <c r="H1502" s="2"/>
      <c r="I1502" s="5"/>
    </row>
    <row r="1503" spans="1:9" ht="17.399999999999999" x14ac:dyDescent="0.25">
      <c r="A1503" s="16"/>
      <c r="B1503" s="17"/>
      <c r="C1503" s="2"/>
      <c r="D1503" s="2"/>
      <c r="E1503" s="2"/>
      <c r="F1503" s="2"/>
      <c r="G1503" s="2"/>
      <c r="H1503" s="2"/>
      <c r="I1503" s="5"/>
    </row>
    <row r="1504" spans="1:9" ht="17.399999999999999" x14ac:dyDescent="0.25">
      <c r="A1504" s="16"/>
      <c r="B1504" s="17"/>
      <c r="C1504" s="2"/>
      <c r="D1504" s="2"/>
      <c r="E1504" s="2"/>
      <c r="F1504" s="2"/>
      <c r="G1504" s="2"/>
      <c r="H1504" s="2"/>
      <c r="I1504" s="5"/>
    </row>
    <row r="1505" spans="1:9" ht="17.399999999999999" x14ac:dyDescent="0.25">
      <c r="A1505" s="16"/>
      <c r="B1505" s="17"/>
      <c r="C1505" s="2"/>
      <c r="D1505" s="2"/>
      <c r="E1505" s="2"/>
      <c r="F1505" s="2"/>
      <c r="G1505" s="2"/>
      <c r="H1505" s="2"/>
      <c r="I1505" s="5"/>
    </row>
    <row r="1506" spans="1:9" ht="17.399999999999999" x14ac:dyDescent="0.25">
      <c r="A1506" s="16"/>
      <c r="B1506" s="17"/>
      <c r="C1506" s="2"/>
      <c r="D1506" s="2"/>
      <c r="E1506" s="2"/>
      <c r="F1506" s="2"/>
      <c r="G1506" s="2"/>
      <c r="H1506" s="2"/>
      <c r="I1506" s="5"/>
    </row>
    <row r="1507" spans="1:9" ht="17.399999999999999" x14ac:dyDescent="0.25">
      <c r="A1507" s="16"/>
      <c r="B1507" s="17"/>
      <c r="C1507" s="2"/>
      <c r="D1507" s="2"/>
      <c r="E1507" s="2"/>
      <c r="F1507" s="2"/>
      <c r="G1507" s="2"/>
      <c r="H1507" s="2"/>
      <c r="I1507" s="5"/>
    </row>
    <row r="1508" spans="1:9" ht="17.399999999999999" x14ac:dyDescent="0.25">
      <c r="A1508" s="16"/>
      <c r="B1508" s="17"/>
      <c r="C1508" s="2"/>
      <c r="D1508" s="2"/>
      <c r="E1508" s="2"/>
      <c r="F1508" s="2"/>
      <c r="G1508" s="2"/>
      <c r="H1508" s="2"/>
      <c r="I1508" s="5"/>
    </row>
    <row r="1509" spans="1:9" ht="17.399999999999999" x14ac:dyDescent="0.25">
      <c r="A1509" s="16"/>
      <c r="B1509" s="17"/>
      <c r="C1509" s="2"/>
      <c r="D1509" s="2"/>
      <c r="E1509" s="2"/>
      <c r="F1509" s="2"/>
      <c r="G1509" s="2"/>
      <c r="H1509" s="2"/>
      <c r="I1509" s="5"/>
    </row>
    <row r="1510" spans="1:9" ht="17.399999999999999" x14ac:dyDescent="0.25">
      <c r="A1510" s="16"/>
      <c r="B1510" s="17"/>
      <c r="C1510" s="2"/>
      <c r="D1510" s="2"/>
      <c r="E1510" s="2"/>
      <c r="F1510" s="2"/>
      <c r="G1510" s="2"/>
      <c r="H1510" s="2"/>
      <c r="I1510" s="5"/>
    </row>
    <row r="1511" spans="1:9" ht="17.399999999999999" x14ac:dyDescent="0.25">
      <c r="A1511" s="16"/>
      <c r="B1511" s="17"/>
      <c r="C1511" s="2"/>
      <c r="D1511" s="2"/>
      <c r="E1511" s="2"/>
      <c r="F1511" s="2"/>
      <c r="G1511" s="2"/>
      <c r="H1511" s="2"/>
      <c r="I1511" s="5"/>
    </row>
    <row r="1512" spans="1:9" ht="17.399999999999999" x14ac:dyDescent="0.25">
      <c r="A1512" s="16"/>
      <c r="B1512" s="17"/>
      <c r="C1512" s="2"/>
      <c r="D1512" s="2"/>
      <c r="E1512" s="2"/>
      <c r="F1512" s="2"/>
      <c r="G1512" s="2"/>
      <c r="H1512" s="2"/>
      <c r="I1512" s="5"/>
    </row>
    <row r="1513" spans="1:9" ht="17.399999999999999" x14ac:dyDescent="0.25">
      <c r="A1513" s="16"/>
      <c r="B1513" s="17"/>
      <c r="C1513" s="2"/>
      <c r="D1513" s="2"/>
      <c r="E1513" s="2"/>
      <c r="F1513" s="2"/>
      <c r="G1513" s="2"/>
      <c r="H1513" s="2"/>
      <c r="I1513" s="5"/>
    </row>
    <row r="1514" spans="1:9" ht="17.399999999999999" x14ac:dyDescent="0.25">
      <c r="A1514" s="16"/>
      <c r="B1514" s="17"/>
      <c r="C1514" s="2"/>
      <c r="D1514" s="2"/>
      <c r="E1514" s="2"/>
      <c r="F1514" s="2"/>
      <c r="G1514" s="2"/>
      <c r="H1514" s="2"/>
      <c r="I1514" s="5"/>
    </row>
    <row r="1515" spans="1:9" ht="17.399999999999999" x14ac:dyDescent="0.25">
      <c r="A1515" s="16"/>
      <c r="B1515" s="17"/>
      <c r="C1515" s="2"/>
      <c r="D1515" s="2"/>
      <c r="E1515" s="2"/>
      <c r="F1515" s="2"/>
      <c r="G1515" s="2"/>
      <c r="H1515" s="2"/>
      <c r="I1515" s="5"/>
    </row>
    <row r="1516" spans="1:9" ht="17.399999999999999" x14ac:dyDescent="0.25">
      <c r="A1516" s="16"/>
      <c r="B1516" s="17"/>
      <c r="C1516" s="2"/>
      <c r="D1516" s="2"/>
      <c r="E1516" s="2"/>
      <c r="F1516" s="2"/>
      <c r="G1516" s="2"/>
      <c r="H1516" s="2"/>
      <c r="I1516" s="5"/>
    </row>
    <row r="1517" spans="1:9" ht="17.399999999999999" x14ac:dyDescent="0.25">
      <c r="A1517" s="16"/>
      <c r="B1517" s="17"/>
      <c r="C1517" s="2"/>
      <c r="D1517" s="2"/>
      <c r="E1517" s="2"/>
      <c r="F1517" s="2"/>
      <c r="G1517" s="2"/>
      <c r="H1517" s="2"/>
      <c r="I1517" s="5"/>
    </row>
    <row r="1518" spans="1:9" ht="17.399999999999999" x14ac:dyDescent="0.25">
      <c r="A1518" s="16"/>
      <c r="B1518" s="17"/>
      <c r="C1518" s="2"/>
      <c r="D1518" s="2"/>
      <c r="E1518" s="2"/>
      <c r="F1518" s="2"/>
      <c r="G1518" s="2"/>
      <c r="H1518" s="2"/>
      <c r="I1518" s="5"/>
    </row>
    <row r="1519" spans="1:9" ht="17.399999999999999" x14ac:dyDescent="0.25">
      <c r="A1519" s="16"/>
      <c r="B1519" s="17"/>
      <c r="C1519" s="2"/>
      <c r="D1519" s="2"/>
      <c r="E1519" s="2"/>
      <c r="F1519" s="2"/>
      <c r="G1519" s="2"/>
      <c r="H1519" s="2"/>
      <c r="I1519" s="5"/>
    </row>
    <row r="1520" spans="1:9" ht="17.399999999999999" x14ac:dyDescent="0.25">
      <c r="A1520" s="16"/>
      <c r="B1520" s="17"/>
      <c r="C1520" s="2"/>
      <c r="D1520" s="2"/>
      <c r="E1520" s="2"/>
      <c r="F1520" s="2"/>
      <c r="G1520" s="2"/>
      <c r="H1520" s="2"/>
      <c r="I1520" s="5"/>
    </row>
    <row r="1521" spans="1:9" ht="17.399999999999999" x14ac:dyDescent="0.25">
      <c r="A1521" s="16"/>
      <c r="B1521" s="17"/>
      <c r="C1521" s="2"/>
      <c r="D1521" s="2"/>
      <c r="E1521" s="2"/>
      <c r="F1521" s="2"/>
      <c r="G1521" s="2"/>
      <c r="H1521" s="2"/>
      <c r="I1521" s="5"/>
    </row>
    <row r="1522" spans="1:9" ht="17.399999999999999" x14ac:dyDescent="0.25">
      <c r="A1522" s="16"/>
      <c r="B1522" s="17"/>
      <c r="C1522" s="2"/>
      <c r="D1522" s="2"/>
      <c r="E1522" s="2"/>
      <c r="F1522" s="2"/>
      <c r="G1522" s="2"/>
      <c r="H1522" s="2"/>
      <c r="I1522" s="5"/>
    </row>
    <row r="1523" spans="1:9" ht="17.399999999999999" x14ac:dyDescent="0.25">
      <c r="A1523" s="16"/>
      <c r="B1523" s="17"/>
      <c r="C1523" s="2"/>
      <c r="D1523" s="2"/>
      <c r="E1523" s="2"/>
      <c r="F1523" s="2"/>
      <c r="G1523" s="2"/>
      <c r="H1523" s="2"/>
      <c r="I1523" s="5"/>
    </row>
    <row r="1524" spans="1:9" ht="17.399999999999999" x14ac:dyDescent="0.25">
      <c r="A1524" s="16"/>
      <c r="B1524" s="17"/>
      <c r="C1524" s="2"/>
      <c r="D1524" s="2"/>
      <c r="E1524" s="2"/>
      <c r="F1524" s="2"/>
      <c r="G1524" s="2"/>
      <c r="H1524" s="2"/>
      <c r="I1524" s="5"/>
    </row>
    <row r="1525" spans="1:9" ht="17.399999999999999" x14ac:dyDescent="0.25">
      <c r="A1525" s="16"/>
      <c r="B1525" s="17"/>
      <c r="C1525" s="2"/>
      <c r="D1525" s="2"/>
      <c r="E1525" s="2"/>
      <c r="F1525" s="2"/>
      <c r="G1525" s="2"/>
      <c r="H1525" s="2"/>
      <c r="I1525" s="5"/>
    </row>
    <row r="1526" spans="1:9" ht="17.399999999999999" x14ac:dyDescent="0.25">
      <c r="A1526" s="16"/>
      <c r="B1526" s="17"/>
      <c r="C1526" s="2"/>
      <c r="D1526" s="2"/>
      <c r="E1526" s="2"/>
      <c r="F1526" s="2"/>
      <c r="G1526" s="2"/>
      <c r="H1526" s="2"/>
      <c r="I1526" s="5"/>
    </row>
    <row r="1527" spans="1:9" ht="17.399999999999999" x14ac:dyDescent="0.25">
      <c r="A1527" s="16"/>
      <c r="B1527" s="17"/>
      <c r="C1527" s="2"/>
      <c r="D1527" s="2"/>
      <c r="E1527" s="2"/>
      <c r="F1527" s="2"/>
      <c r="G1527" s="2"/>
      <c r="H1527" s="2"/>
      <c r="I1527" s="5"/>
    </row>
    <row r="1528" spans="1:9" ht="17.399999999999999" x14ac:dyDescent="0.25">
      <c r="A1528" s="16"/>
      <c r="B1528" s="17"/>
      <c r="C1528" s="2"/>
      <c r="D1528" s="2"/>
      <c r="E1528" s="2"/>
      <c r="F1528" s="2"/>
      <c r="G1528" s="2"/>
      <c r="H1528" s="2"/>
      <c r="I1528" s="5"/>
    </row>
    <row r="1529" spans="1:9" ht="17.399999999999999" x14ac:dyDescent="0.25">
      <c r="A1529" s="16"/>
      <c r="B1529" s="17"/>
      <c r="C1529" s="2"/>
      <c r="D1529" s="2"/>
      <c r="E1529" s="2"/>
      <c r="F1529" s="2"/>
      <c r="G1529" s="2"/>
      <c r="H1529" s="2"/>
      <c r="I1529" s="5"/>
    </row>
    <row r="1530" spans="1:9" ht="17.399999999999999" x14ac:dyDescent="0.25">
      <c r="A1530" s="16"/>
      <c r="B1530" s="17"/>
      <c r="C1530" s="2"/>
      <c r="D1530" s="2"/>
      <c r="E1530" s="2"/>
      <c r="F1530" s="2"/>
      <c r="G1530" s="2"/>
      <c r="H1530" s="2"/>
      <c r="I1530" s="5"/>
    </row>
    <row r="1531" spans="1:9" ht="17.399999999999999" x14ac:dyDescent="0.25">
      <c r="A1531" s="16"/>
      <c r="B1531" s="17"/>
      <c r="C1531" s="2"/>
      <c r="D1531" s="2"/>
      <c r="E1531" s="2"/>
      <c r="F1531" s="2"/>
      <c r="G1531" s="2"/>
      <c r="H1531" s="2"/>
      <c r="I1531" s="5"/>
    </row>
    <row r="1532" spans="1:9" ht="17.399999999999999" x14ac:dyDescent="0.25">
      <c r="A1532" s="16"/>
      <c r="B1532" s="17"/>
      <c r="C1532" s="2"/>
      <c r="D1532" s="2"/>
      <c r="E1532" s="2"/>
      <c r="F1532" s="2"/>
      <c r="G1532" s="2"/>
      <c r="H1532" s="2"/>
      <c r="I1532" s="5"/>
    </row>
    <row r="1533" spans="1:9" ht="17.399999999999999" x14ac:dyDescent="0.25">
      <c r="A1533" s="16"/>
      <c r="B1533" s="17"/>
      <c r="C1533" s="2"/>
      <c r="D1533" s="2"/>
      <c r="E1533" s="2"/>
      <c r="F1533" s="2"/>
      <c r="G1533" s="2"/>
      <c r="H1533" s="2"/>
      <c r="I1533" s="5"/>
    </row>
    <row r="1534" spans="1:9" ht="17.399999999999999" x14ac:dyDescent="0.25">
      <c r="A1534" s="16"/>
      <c r="B1534" s="17"/>
      <c r="C1534" s="2"/>
      <c r="D1534" s="2"/>
      <c r="E1534" s="2"/>
      <c r="F1534" s="2"/>
      <c r="G1534" s="2"/>
      <c r="H1534" s="2"/>
      <c r="I1534" s="5"/>
    </row>
    <row r="1535" spans="1:9" ht="17.399999999999999" x14ac:dyDescent="0.25">
      <c r="A1535" s="16"/>
      <c r="B1535" s="17"/>
      <c r="C1535" s="2"/>
      <c r="D1535" s="2"/>
      <c r="E1535" s="2"/>
      <c r="F1535" s="2"/>
      <c r="G1535" s="2"/>
      <c r="H1535" s="2"/>
      <c r="I1535" s="5"/>
    </row>
    <row r="1536" spans="1:9" ht="17.399999999999999" x14ac:dyDescent="0.25">
      <c r="A1536" s="16"/>
      <c r="B1536" s="17"/>
      <c r="C1536" s="2"/>
      <c r="D1536" s="2"/>
      <c r="E1536" s="2"/>
      <c r="F1536" s="2"/>
      <c r="G1536" s="2"/>
      <c r="H1536" s="2"/>
      <c r="I1536" s="5"/>
    </row>
    <row r="1537" spans="1:9" ht="17.399999999999999" x14ac:dyDescent="0.25">
      <c r="A1537" s="16"/>
      <c r="B1537" s="17"/>
      <c r="C1537" s="2"/>
      <c r="D1537" s="2"/>
      <c r="E1537" s="2"/>
      <c r="F1537" s="2"/>
      <c r="G1537" s="2"/>
      <c r="H1537" s="2"/>
      <c r="I1537" s="5"/>
    </row>
    <row r="1538" spans="1:9" ht="17.399999999999999" x14ac:dyDescent="0.25">
      <c r="A1538" s="16"/>
      <c r="B1538" s="17"/>
      <c r="C1538" s="2"/>
      <c r="D1538" s="2"/>
      <c r="E1538" s="2"/>
      <c r="F1538" s="2"/>
      <c r="G1538" s="2"/>
      <c r="H1538" s="2"/>
      <c r="I1538" s="5"/>
    </row>
    <row r="1539" spans="1:9" ht="17.399999999999999" x14ac:dyDescent="0.25">
      <c r="A1539" s="16"/>
      <c r="B1539" s="17"/>
      <c r="C1539" s="2"/>
      <c r="D1539" s="2"/>
      <c r="E1539" s="2"/>
      <c r="F1539" s="2"/>
      <c r="G1539" s="2"/>
      <c r="H1539" s="2"/>
      <c r="I1539" s="5"/>
    </row>
    <row r="1540" spans="1:9" ht="17.399999999999999" x14ac:dyDescent="0.25">
      <c r="A1540" s="16"/>
      <c r="B1540" s="17"/>
      <c r="C1540" s="2"/>
      <c r="D1540" s="2"/>
      <c r="E1540" s="2"/>
      <c r="F1540" s="2"/>
      <c r="G1540" s="2"/>
      <c r="H1540" s="2"/>
      <c r="I1540" s="5"/>
    </row>
    <row r="1541" spans="1:9" ht="17.399999999999999" x14ac:dyDescent="0.25">
      <c r="A1541" s="16"/>
      <c r="B1541" s="17"/>
      <c r="C1541" s="2"/>
      <c r="D1541" s="2"/>
      <c r="E1541" s="2"/>
      <c r="F1541" s="2"/>
      <c r="G1541" s="2"/>
      <c r="H1541" s="2"/>
      <c r="I1541" s="5"/>
    </row>
    <row r="1542" spans="1:9" ht="17.399999999999999" x14ac:dyDescent="0.25">
      <c r="A1542" s="16"/>
      <c r="B1542" s="17"/>
      <c r="C1542" s="2"/>
      <c r="D1542" s="2"/>
      <c r="E1542" s="2"/>
      <c r="F1542" s="2"/>
      <c r="G1542" s="2"/>
      <c r="H1542" s="2"/>
      <c r="I1542" s="5"/>
    </row>
    <row r="1543" spans="1:9" ht="17.399999999999999" x14ac:dyDescent="0.25">
      <c r="A1543" s="16"/>
      <c r="B1543" s="17"/>
      <c r="C1543" s="2"/>
      <c r="D1543" s="2"/>
      <c r="E1543" s="2"/>
      <c r="F1543" s="2"/>
      <c r="G1543" s="2"/>
      <c r="H1543" s="2"/>
      <c r="I1543" s="5"/>
    </row>
    <row r="1544" spans="1:9" ht="17.399999999999999" x14ac:dyDescent="0.25">
      <c r="A1544" s="16"/>
      <c r="B1544" s="17"/>
      <c r="C1544" s="2"/>
      <c r="D1544" s="2"/>
      <c r="E1544" s="2"/>
      <c r="F1544" s="2"/>
      <c r="G1544" s="2"/>
      <c r="H1544" s="2"/>
      <c r="I1544" s="5"/>
    </row>
    <row r="1545" spans="1:9" ht="17.399999999999999" x14ac:dyDescent="0.25">
      <c r="A1545" s="16"/>
      <c r="B1545" s="17"/>
      <c r="C1545" s="2"/>
      <c r="D1545" s="2"/>
      <c r="E1545" s="2"/>
      <c r="F1545" s="2"/>
      <c r="G1545" s="2"/>
      <c r="H1545" s="2"/>
      <c r="I1545" s="5"/>
    </row>
    <row r="1546" spans="1:9" ht="17.399999999999999" x14ac:dyDescent="0.25">
      <c r="A1546" s="16"/>
      <c r="B1546" s="17"/>
      <c r="C1546" s="2"/>
      <c r="D1546" s="2"/>
      <c r="E1546" s="2"/>
      <c r="F1546" s="2"/>
      <c r="G1546" s="2"/>
      <c r="H1546" s="2"/>
      <c r="I1546" s="5"/>
    </row>
    <row r="1547" spans="1:9" ht="17.399999999999999" x14ac:dyDescent="0.25">
      <c r="A1547" s="16"/>
      <c r="B1547" s="17"/>
      <c r="C1547" s="2"/>
      <c r="D1547" s="2"/>
      <c r="E1547" s="2"/>
      <c r="F1547" s="2"/>
      <c r="G1547" s="2"/>
      <c r="H1547" s="2"/>
      <c r="I1547" s="5"/>
    </row>
    <row r="1548" spans="1:9" ht="17.399999999999999" x14ac:dyDescent="0.25">
      <c r="A1548" s="16"/>
      <c r="B1548" s="17"/>
      <c r="C1548" s="2"/>
      <c r="D1548" s="2"/>
      <c r="E1548" s="2"/>
      <c r="F1548" s="2"/>
      <c r="G1548" s="2"/>
      <c r="H1548" s="2"/>
      <c r="I1548" s="5"/>
    </row>
    <row r="1549" spans="1:9" ht="17.399999999999999" x14ac:dyDescent="0.25">
      <c r="A1549" s="16"/>
      <c r="B1549" s="17"/>
      <c r="C1549" s="2"/>
      <c r="D1549" s="2"/>
      <c r="E1549" s="2"/>
      <c r="F1549" s="2"/>
      <c r="G1549" s="2"/>
      <c r="H1549" s="2"/>
      <c r="I1549" s="5"/>
    </row>
    <row r="1550" spans="1:9" ht="17.399999999999999" x14ac:dyDescent="0.25">
      <c r="A1550" s="16"/>
      <c r="B1550" s="17"/>
      <c r="C1550" s="2"/>
      <c r="D1550" s="2"/>
      <c r="E1550" s="2"/>
      <c r="F1550" s="2"/>
      <c r="G1550" s="2"/>
      <c r="H1550" s="2"/>
      <c r="I1550" s="5"/>
    </row>
    <row r="1551" spans="1:9" ht="17.399999999999999" x14ac:dyDescent="0.25">
      <c r="A1551" s="16"/>
      <c r="B1551" s="17"/>
      <c r="C1551" s="2"/>
      <c r="D1551" s="2"/>
      <c r="E1551" s="2"/>
      <c r="F1551" s="2"/>
      <c r="G1551" s="2"/>
      <c r="H1551" s="2"/>
      <c r="I1551" s="5"/>
    </row>
    <row r="1552" spans="1:9" ht="17.399999999999999" x14ac:dyDescent="0.25">
      <c r="A1552" s="16"/>
      <c r="B1552" s="17"/>
      <c r="C1552" s="2"/>
      <c r="D1552" s="2"/>
      <c r="E1552" s="2"/>
      <c r="F1552" s="2"/>
      <c r="G1552" s="2"/>
      <c r="H1552" s="2"/>
      <c r="I1552" s="5"/>
    </row>
    <row r="1553" spans="1:9" ht="17.399999999999999" x14ac:dyDescent="0.25">
      <c r="A1553" s="16"/>
      <c r="B1553" s="17"/>
      <c r="C1553" s="2"/>
      <c r="D1553" s="2"/>
      <c r="E1553" s="2"/>
      <c r="F1553" s="2"/>
      <c r="G1553" s="2"/>
      <c r="H1553" s="2"/>
      <c r="I1553" s="5"/>
    </row>
    <row r="1554" spans="1:9" ht="17.399999999999999" x14ac:dyDescent="0.25">
      <c r="A1554" s="16"/>
      <c r="B1554" s="17"/>
      <c r="C1554" s="2"/>
      <c r="D1554" s="2"/>
      <c r="E1554" s="2"/>
      <c r="F1554" s="2"/>
      <c r="G1554" s="2"/>
      <c r="H1554" s="2"/>
      <c r="I1554" s="5"/>
    </row>
    <row r="1555" spans="1:9" ht="17.399999999999999" x14ac:dyDescent="0.25">
      <c r="A1555" s="16"/>
      <c r="B1555" s="17"/>
      <c r="C1555" s="2"/>
      <c r="D1555" s="2"/>
      <c r="E1555" s="2"/>
      <c r="F1555" s="2"/>
      <c r="G1555" s="2"/>
      <c r="H1555" s="2"/>
      <c r="I1555" s="5"/>
    </row>
    <row r="1556" spans="1:9" ht="17.399999999999999" x14ac:dyDescent="0.25">
      <c r="A1556" s="16"/>
      <c r="B1556" s="17"/>
      <c r="C1556" s="2"/>
      <c r="D1556" s="2"/>
      <c r="E1556" s="2"/>
      <c r="F1556" s="2"/>
      <c r="G1556" s="2"/>
      <c r="H1556" s="2"/>
      <c r="I1556" s="5"/>
    </row>
    <row r="1557" spans="1:9" ht="17.399999999999999" x14ac:dyDescent="0.25">
      <c r="A1557" s="16"/>
      <c r="B1557" s="17"/>
      <c r="C1557" s="2"/>
      <c r="D1557" s="2"/>
      <c r="E1557" s="2"/>
      <c r="F1557" s="2"/>
      <c r="G1557" s="2"/>
      <c r="H1557" s="2"/>
      <c r="I1557" s="5"/>
    </row>
    <row r="1558" spans="1:9" ht="17.399999999999999" x14ac:dyDescent="0.25">
      <c r="A1558" s="16"/>
      <c r="B1558" s="17"/>
      <c r="C1558" s="2"/>
      <c r="D1558" s="2"/>
      <c r="E1558" s="2"/>
      <c r="F1558" s="2"/>
      <c r="G1558" s="2"/>
      <c r="H1558" s="2"/>
      <c r="I1558" s="5"/>
    </row>
    <row r="1559" spans="1:9" ht="17.399999999999999" x14ac:dyDescent="0.25">
      <c r="A1559" s="16"/>
      <c r="B1559" s="17"/>
      <c r="C1559" s="2"/>
      <c r="D1559" s="2"/>
      <c r="E1559" s="2"/>
      <c r="F1559" s="2"/>
      <c r="G1559" s="2"/>
      <c r="H1559" s="2"/>
      <c r="I1559" s="5"/>
    </row>
    <row r="1560" spans="1:9" ht="17.399999999999999" x14ac:dyDescent="0.25">
      <c r="A1560" s="16"/>
      <c r="B1560" s="17"/>
      <c r="C1560" s="2"/>
      <c r="D1560" s="2"/>
      <c r="E1560" s="2"/>
      <c r="F1560" s="2"/>
      <c r="G1560" s="2"/>
      <c r="H1560" s="2"/>
      <c r="I1560" s="5"/>
    </row>
    <row r="1561" spans="1:9" ht="17.399999999999999" x14ac:dyDescent="0.25">
      <c r="A1561" s="16"/>
      <c r="B1561" s="17"/>
      <c r="C1561" s="2"/>
      <c r="D1561" s="2"/>
      <c r="E1561" s="2"/>
      <c r="F1561" s="2"/>
      <c r="G1561" s="2"/>
      <c r="H1561" s="2"/>
      <c r="I1561" s="5"/>
    </row>
    <row r="1562" spans="1:9" ht="17.399999999999999" x14ac:dyDescent="0.25">
      <c r="A1562" s="16"/>
      <c r="B1562" s="17"/>
      <c r="C1562" s="2"/>
      <c r="D1562" s="2"/>
      <c r="E1562" s="2"/>
      <c r="F1562" s="2"/>
      <c r="G1562" s="2"/>
      <c r="H1562" s="2"/>
      <c r="I1562" s="5"/>
    </row>
    <row r="1563" spans="1:9" ht="17.399999999999999" x14ac:dyDescent="0.25">
      <c r="A1563" s="16"/>
      <c r="B1563" s="17"/>
      <c r="C1563" s="2"/>
      <c r="D1563" s="2"/>
      <c r="E1563" s="2"/>
      <c r="F1563" s="2"/>
      <c r="G1563" s="2"/>
      <c r="H1563" s="2"/>
      <c r="I1563" s="5"/>
    </row>
    <row r="1564" spans="1:9" ht="17.399999999999999" x14ac:dyDescent="0.25">
      <c r="A1564" s="16"/>
      <c r="B1564" s="17"/>
      <c r="C1564" s="2"/>
      <c r="D1564" s="2"/>
      <c r="E1564" s="2"/>
      <c r="F1564" s="2"/>
      <c r="G1564" s="2"/>
      <c r="H1564" s="2"/>
      <c r="I1564" s="5"/>
    </row>
    <row r="1565" spans="1:9" ht="17.399999999999999" x14ac:dyDescent="0.25">
      <c r="A1565" s="16"/>
      <c r="B1565" s="17"/>
      <c r="C1565" s="2"/>
      <c r="D1565" s="2"/>
      <c r="E1565" s="2"/>
      <c r="F1565" s="2"/>
      <c r="G1565" s="2"/>
      <c r="H1565" s="2"/>
      <c r="I1565" s="5"/>
    </row>
    <row r="1566" spans="1:9" ht="17.399999999999999" x14ac:dyDescent="0.25">
      <c r="A1566" s="16"/>
      <c r="B1566" s="17"/>
      <c r="C1566" s="2"/>
      <c r="D1566" s="2"/>
      <c r="E1566" s="2"/>
      <c r="F1566" s="2"/>
      <c r="G1566" s="2"/>
      <c r="H1566" s="2"/>
      <c r="I1566" s="5"/>
    </row>
    <row r="1567" spans="1:9" ht="17.399999999999999" x14ac:dyDescent="0.25">
      <c r="A1567" s="16"/>
      <c r="B1567" s="17"/>
      <c r="C1567" s="2"/>
      <c r="D1567" s="2"/>
      <c r="E1567" s="2"/>
      <c r="F1567" s="2"/>
      <c r="G1567" s="2"/>
      <c r="H1567" s="2"/>
      <c r="I1567" s="5"/>
    </row>
    <row r="1568" spans="1:9" ht="17.399999999999999" x14ac:dyDescent="0.25">
      <c r="A1568" s="16"/>
      <c r="B1568" s="17"/>
      <c r="C1568" s="2"/>
      <c r="D1568" s="2"/>
      <c r="E1568" s="2"/>
      <c r="F1568" s="2"/>
      <c r="G1568" s="2"/>
      <c r="H1568" s="2"/>
      <c r="I1568" s="5"/>
    </row>
    <row r="1569" spans="1:9" ht="17.399999999999999" x14ac:dyDescent="0.25">
      <c r="A1569" s="16"/>
      <c r="B1569" s="17"/>
      <c r="C1569" s="2"/>
      <c r="D1569" s="2"/>
      <c r="E1569" s="2"/>
      <c r="F1569" s="2"/>
      <c r="G1569" s="2"/>
      <c r="H1569" s="2"/>
      <c r="I1569" s="5"/>
    </row>
    <row r="1570" spans="1:9" ht="17.399999999999999" x14ac:dyDescent="0.25">
      <c r="A1570" s="16"/>
      <c r="B1570" s="17"/>
      <c r="C1570" s="2"/>
      <c r="D1570" s="2"/>
      <c r="E1570" s="2"/>
      <c r="F1570" s="2"/>
      <c r="G1570" s="2"/>
      <c r="H1570" s="2"/>
      <c r="I1570" s="5"/>
    </row>
    <row r="1571" spans="1:9" ht="17.399999999999999" x14ac:dyDescent="0.25">
      <c r="A1571" s="16"/>
      <c r="B1571" s="17"/>
      <c r="C1571" s="2"/>
      <c r="D1571" s="2"/>
      <c r="E1571" s="2"/>
      <c r="F1571" s="2"/>
      <c r="G1571" s="2"/>
      <c r="H1571" s="2"/>
      <c r="I1571" s="5"/>
    </row>
    <row r="1572" spans="1:9" ht="17.399999999999999" x14ac:dyDescent="0.25">
      <c r="A1572" s="16"/>
      <c r="B1572" s="17"/>
      <c r="C1572" s="2"/>
      <c r="D1572" s="2"/>
      <c r="E1572" s="2"/>
      <c r="F1572" s="2"/>
      <c r="G1572" s="2"/>
      <c r="H1572" s="2"/>
      <c r="I1572" s="5"/>
    </row>
    <row r="1573" spans="1:9" ht="17.399999999999999" x14ac:dyDescent="0.25">
      <c r="A1573" s="16"/>
      <c r="B1573" s="17"/>
      <c r="C1573" s="2"/>
      <c r="D1573" s="2"/>
      <c r="E1573" s="2"/>
      <c r="F1573" s="2"/>
      <c r="G1573" s="2"/>
      <c r="H1573" s="2"/>
      <c r="I1573" s="5"/>
    </row>
    <row r="1574" spans="1:9" ht="17.399999999999999" x14ac:dyDescent="0.25">
      <c r="A1574" s="16"/>
      <c r="B1574" s="17"/>
      <c r="C1574" s="2"/>
      <c r="D1574" s="2"/>
      <c r="E1574" s="2"/>
      <c r="F1574" s="2"/>
      <c r="G1574" s="2"/>
      <c r="H1574" s="2"/>
      <c r="I1574" s="5"/>
    </row>
    <row r="1575" spans="1:9" ht="17.399999999999999" x14ac:dyDescent="0.25">
      <c r="A1575" s="16"/>
      <c r="B1575" s="17"/>
      <c r="C1575" s="2"/>
      <c r="D1575" s="2"/>
      <c r="E1575" s="2"/>
      <c r="F1575" s="2"/>
      <c r="G1575" s="2"/>
      <c r="H1575" s="2"/>
      <c r="I1575" s="5"/>
    </row>
    <row r="1576" spans="1:9" ht="17.399999999999999" x14ac:dyDescent="0.25">
      <c r="A1576" s="16"/>
      <c r="B1576" s="17"/>
      <c r="C1576" s="2"/>
      <c r="D1576" s="2"/>
      <c r="E1576" s="2"/>
      <c r="F1576" s="2"/>
      <c r="G1576" s="2"/>
      <c r="H1576" s="2"/>
      <c r="I1576" s="5"/>
    </row>
    <row r="1577" spans="1:9" ht="17.399999999999999" x14ac:dyDescent="0.25">
      <c r="A1577" s="16"/>
      <c r="B1577" s="17"/>
      <c r="C1577" s="2"/>
      <c r="D1577" s="2"/>
      <c r="E1577" s="2"/>
      <c r="F1577" s="2"/>
      <c r="G1577" s="2"/>
      <c r="H1577" s="2"/>
      <c r="I1577" s="5"/>
    </row>
    <row r="1578" spans="1:9" ht="17.399999999999999" x14ac:dyDescent="0.25">
      <c r="A1578" s="16"/>
      <c r="B1578" s="17"/>
      <c r="C1578" s="2"/>
      <c r="D1578" s="2"/>
      <c r="E1578" s="2"/>
      <c r="F1578" s="2"/>
      <c r="G1578" s="2"/>
      <c r="H1578" s="2"/>
      <c r="I1578" s="5"/>
    </row>
    <row r="1579" spans="1:9" ht="17.399999999999999" x14ac:dyDescent="0.25">
      <c r="A1579" s="16"/>
      <c r="B1579" s="17"/>
      <c r="C1579" s="2"/>
      <c r="D1579" s="2"/>
      <c r="E1579" s="2"/>
      <c r="F1579" s="2"/>
      <c r="G1579" s="2"/>
      <c r="H1579" s="2"/>
      <c r="I1579" s="5"/>
    </row>
    <row r="1580" spans="1:9" ht="17.399999999999999" x14ac:dyDescent="0.25">
      <c r="A1580" s="16"/>
      <c r="B1580" s="17"/>
      <c r="C1580" s="2"/>
      <c r="D1580" s="2"/>
      <c r="E1580" s="2"/>
      <c r="F1580" s="2"/>
      <c r="G1580" s="2"/>
      <c r="H1580" s="2"/>
      <c r="I1580" s="5"/>
    </row>
    <row r="1581" spans="1:9" ht="17.399999999999999" x14ac:dyDescent="0.25">
      <c r="A1581" s="16"/>
      <c r="B1581" s="17"/>
      <c r="C1581" s="2"/>
      <c r="D1581" s="2"/>
      <c r="E1581" s="2"/>
      <c r="F1581" s="2"/>
      <c r="G1581" s="2"/>
      <c r="H1581" s="2"/>
      <c r="I1581" s="5"/>
    </row>
    <row r="1582" spans="1:9" ht="17.399999999999999" x14ac:dyDescent="0.25">
      <c r="A1582" s="16"/>
      <c r="B1582" s="17"/>
      <c r="C1582" s="2"/>
      <c r="D1582" s="2"/>
      <c r="E1582" s="2"/>
      <c r="F1582" s="2"/>
      <c r="G1582" s="2"/>
      <c r="H1582" s="2"/>
      <c r="I1582" s="5"/>
    </row>
    <row r="1583" spans="1:9" ht="17.399999999999999" x14ac:dyDescent="0.25">
      <c r="A1583" s="16"/>
      <c r="B1583" s="17"/>
      <c r="C1583" s="2"/>
      <c r="D1583" s="2"/>
      <c r="E1583" s="2"/>
      <c r="F1583" s="2"/>
      <c r="G1583" s="2"/>
      <c r="H1583" s="2"/>
      <c r="I1583" s="5"/>
    </row>
    <row r="1584" spans="1:9" ht="17.399999999999999" x14ac:dyDescent="0.25">
      <c r="A1584" s="16"/>
      <c r="B1584" s="17"/>
      <c r="C1584" s="2"/>
      <c r="D1584" s="2"/>
      <c r="E1584" s="2"/>
      <c r="F1584" s="2"/>
      <c r="G1584" s="2"/>
      <c r="H1584" s="2"/>
      <c r="I1584" s="5"/>
    </row>
    <row r="1585" spans="1:9" ht="17.399999999999999" x14ac:dyDescent="0.25">
      <c r="A1585" s="16"/>
      <c r="B1585" s="17"/>
      <c r="C1585" s="2"/>
      <c r="D1585" s="2"/>
      <c r="E1585" s="2"/>
      <c r="F1585" s="2"/>
      <c r="G1585" s="2"/>
      <c r="H1585" s="2"/>
      <c r="I1585" s="5"/>
    </row>
    <row r="1586" spans="1:9" ht="17.399999999999999" x14ac:dyDescent="0.25">
      <c r="A1586" s="16"/>
      <c r="B1586" s="17"/>
      <c r="C1586" s="2"/>
      <c r="D1586" s="2"/>
      <c r="E1586" s="2"/>
      <c r="F1586" s="2"/>
      <c r="G1586" s="2"/>
      <c r="H1586" s="2"/>
      <c r="I1586" s="5"/>
    </row>
    <row r="1587" spans="1:9" ht="17.399999999999999" x14ac:dyDescent="0.25">
      <c r="A1587" s="16"/>
      <c r="B1587" s="17"/>
      <c r="C1587" s="2"/>
      <c r="D1587" s="2"/>
      <c r="E1587" s="2"/>
      <c r="F1587" s="2"/>
      <c r="G1587" s="2"/>
      <c r="H1587" s="2"/>
      <c r="I1587" s="5"/>
    </row>
    <row r="1588" spans="1:9" ht="17.399999999999999" x14ac:dyDescent="0.25">
      <c r="A1588" s="16"/>
      <c r="B1588" s="17"/>
      <c r="C1588" s="2"/>
      <c r="D1588" s="2"/>
      <c r="E1588" s="2"/>
      <c r="F1588" s="2"/>
      <c r="G1588" s="2"/>
      <c r="H1588" s="2"/>
      <c r="I1588" s="5"/>
    </row>
    <row r="1589" spans="1:9" ht="17.399999999999999" x14ac:dyDescent="0.25">
      <c r="A1589" s="16"/>
      <c r="B1589" s="17"/>
      <c r="C1589" s="2"/>
      <c r="D1589" s="2"/>
      <c r="E1589" s="2"/>
      <c r="F1589" s="2"/>
      <c r="G1589" s="2"/>
      <c r="H1589" s="2"/>
      <c r="I1589" s="5"/>
    </row>
    <row r="1590" spans="1:9" ht="17.399999999999999" x14ac:dyDescent="0.25">
      <c r="A1590" s="16"/>
      <c r="B1590" s="17"/>
      <c r="C1590" s="2"/>
      <c r="D1590" s="2"/>
      <c r="E1590" s="2"/>
      <c r="F1590" s="2"/>
      <c r="G1590" s="2"/>
      <c r="H1590" s="2"/>
      <c r="I1590" s="5"/>
    </row>
    <row r="1591" spans="1:9" ht="17.399999999999999" x14ac:dyDescent="0.25">
      <c r="A1591" s="16"/>
      <c r="B1591" s="17"/>
      <c r="C1591" s="2"/>
      <c r="D1591" s="2"/>
      <c r="E1591" s="2"/>
      <c r="F1591" s="2"/>
      <c r="G1591" s="2"/>
      <c r="H1591" s="2"/>
      <c r="I1591" s="5"/>
    </row>
    <row r="1592" spans="1:9" ht="17.399999999999999" x14ac:dyDescent="0.25">
      <c r="A1592" s="16"/>
      <c r="B1592" s="17"/>
      <c r="C1592" s="2"/>
      <c r="D1592" s="2"/>
      <c r="E1592" s="2"/>
      <c r="F1592" s="2"/>
      <c r="G1592" s="2"/>
      <c r="H1592" s="2"/>
      <c r="I1592" s="5"/>
    </row>
    <row r="1593" spans="1:9" ht="17.399999999999999" x14ac:dyDescent="0.25">
      <c r="A1593" s="16"/>
      <c r="B1593" s="17"/>
      <c r="C1593" s="2"/>
      <c r="D1593" s="2"/>
      <c r="E1593" s="2"/>
      <c r="F1593" s="2"/>
      <c r="G1593" s="2"/>
      <c r="H1593" s="2"/>
      <c r="I1593" s="5"/>
    </row>
    <row r="1594" spans="1:9" ht="17.399999999999999" x14ac:dyDescent="0.25">
      <c r="A1594" s="16"/>
      <c r="B1594" s="17"/>
      <c r="C1594" s="2"/>
      <c r="D1594" s="2"/>
      <c r="E1594" s="2"/>
      <c r="F1594" s="2"/>
      <c r="G1594" s="2"/>
      <c r="H1594" s="2"/>
      <c r="I1594" s="5"/>
    </row>
    <row r="1595" spans="1:9" ht="17.399999999999999" x14ac:dyDescent="0.25">
      <c r="A1595" s="16"/>
      <c r="B1595" s="17"/>
      <c r="C1595" s="2"/>
      <c r="D1595" s="2"/>
      <c r="E1595" s="2"/>
      <c r="F1595" s="2"/>
      <c r="G1595" s="2"/>
      <c r="H1595" s="2"/>
      <c r="I1595" s="5"/>
    </row>
    <row r="1596" spans="1:9" ht="17.399999999999999" x14ac:dyDescent="0.25">
      <c r="A1596" s="16"/>
      <c r="B1596" s="17"/>
      <c r="C1596" s="2"/>
      <c r="D1596" s="2"/>
      <c r="E1596" s="2"/>
      <c r="F1596" s="2"/>
      <c r="G1596" s="2"/>
      <c r="H1596" s="2"/>
      <c r="I1596" s="5"/>
    </row>
    <row r="1597" spans="1:9" ht="17.399999999999999" x14ac:dyDescent="0.25">
      <c r="A1597" s="16"/>
      <c r="B1597" s="17"/>
      <c r="C1597" s="2"/>
      <c r="D1597" s="2"/>
      <c r="E1597" s="2"/>
      <c r="F1597" s="2"/>
      <c r="G1597" s="2"/>
      <c r="H1597" s="2"/>
      <c r="I1597" s="5"/>
    </row>
    <row r="1598" spans="1:9" ht="17.399999999999999" x14ac:dyDescent="0.25">
      <c r="A1598" s="16"/>
      <c r="B1598" s="17"/>
      <c r="C1598" s="2"/>
      <c r="D1598" s="2"/>
      <c r="E1598" s="2"/>
      <c r="F1598" s="2"/>
      <c r="G1598" s="2"/>
      <c r="H1598" s="2"/>
      <c r="I1598" s="5"/>
    </row>
    <row r="1599" spans="1:9" ht="17.399999999999999" x14ac:dyDescent="0.25">
      <c r="A1599" s="16"/>
      <c r="B1599" s="17"/>
      <c r="C1599" s="2"/>
      <c r="D1599" s="2"/>
      <c r="E1599" s="2"/>
      <c r="F1599" s="2"/>
      <c r="G1599" s="2"/>
      <c r="H1599" s="2"/>
      <c r="I1599" s="5"/>
    </row>
    <row r="1600" spans="1:9" ht="17.399999999999999" x14ac:dyDescent="0.25">
      <c r="A1600" s="16"/>
      <c r="B1600" s="17"/>
      <c r="C1600" s="2"/>
      <c r="D1600" s="2"/>
      <c r="E1600" s="2"/>
      <c r="F1600" s="2"/>
      <c r="G1600" s="2"/>
      <c r="H1600" s="2"/>
      <c r="I1600" s="5"/>
    </row>
    <row r="1601" spans="1:9" ht="17.399999999999999" x14ac:dyDescent="0.25">
      <c r="A1601" s="16"/>
      <c r="B1601" s="17"/>
      <c r="C1601" s="2"/>
      <c r="D1601" s="2"/>
      <c r="E1601" s="2"/>
      <c r="F1601" s="2"/>
      <c r="G1601" s="2"/>
      <c r="H1601" s="2"/>
      <c r="I1601" s="5"/>
    </row>
    <row r="1602" spans="1:9" ht="17.399999999999999" x14ac:dyDescent="0.25">
      <c r="A1602" s="16"/>
      <c r="B1602" s="17"/>
      <c r="C1602" s="2"/>
      <c r="D1602" s="2"/>
      <c r="E1602" s="2"/>
      <c r="F1602" s="2"/>
      <c r="G1602" s="2"/>
      <c r="H1602" s="2"/>
      <c r="I1602" s="5"/>
    </row>
    <row r="1603" spans="1:9" ht="17.399999999999999" x14ac:dyDescent="0.25">
      <c r="A1603" s="16"/>
      <c r="B1603" s="17"/>
      <c r="C1603" s="2"/>
      <c r="D1603" s="2"/>
      <c r="E1603" s="2"/>
      <c r="F1603" s="2"/>
      <c r="G1603" s="2"/>
      <c r="H1603" s="2"/>
      <c r="I1603" s="5"/>
    </row>
    <row r="1604" spans="1:9" ht="17.399999999999999" x14ac:dyDescent="0.25">
      <c r="A1604" s="16"/>
      <c r="B1604" s="17"/>
      <c r="C1604" s="2"/>
      <c r="D1604" s="2"/>
      <c r="E1604" s="2"/>
      <c r="F1604" s="2"/>
      <c r="G1604" s="2"/>
      <c r="H1604" s="2"/>
      <c r="I1604" s="5"/>
    </row>
    <row r="1605" spans="1:9" ht="17.399999999999999" x14ac:dyDescent="0.25">
      <c r="A1605" s="16"/>
      <c r="B1605" s="17"/>
      <c r="C1605" s="2"/>
      <c r="D1605" s="2"/>
      <c r="E1605" s="2"/>
      <c r="F1605" s="2"/>
      <c r="G1605" s="2"/>
      <c r="H1605" s="2"/>
      <c r="I1605" s="5"/>
    </row>
    <row r="1606" spans="1:9" ht="17.399999999999999" x14ac:dyDescent="0.25">
      <c r="A1606" s="16"/>
      <c r="B1606" s="17"/>
      <c r="C1606" s="2"/>
      <c r="D1606" s="2"/>
      <c r="E1606" s="2"/>
      <c r="F1606" s="2"/>
      <c r="G1606" s="2"/>
      <c r="H1606" s="2"/>
      <c r="I1606" s="5"/>
    </row>
    <row r="1607" spans="1:9" ht="17.399999999999999" x14ac:dyDescent="0.25">
      <c r="A1607" s="16"/>
      <c r="B1607" s="17"/>
      <c r="C1607" s="2"/>
      <c r="D1607" s="2"/>
      <c r="E1607" s="2"/>
      <c r="F1607" s="2"/>
      <c r="G1607" s="2"/>
      <c r="H1607" s="2"/>
      <c r="I1607" s="5"/>
    </row>
    <row r="1608" spans="1:9" ht="17.399999999999999" x14ac:dyDescent="0.25">
      <c r="A1608" s="16"/>
      <c r="B1608" s="17"/>
      <c r="C1608" s="2"/>
      <c r="D1608" s="2"/>
      <c r="E1608" s="2"/>
      <c r="F1608" s="2"/>
      <c r="G1608" s="2"/>
      <c r="H1608" s="2"/>
      <c r="I1608" s="5"/>
    </row>
    <row r="1609" spans="1:9" ht="17.399999999999999" x14ac:dyDescent="0.25">
      <c r="A1609" s="16"/>
      <c r="B1609" s="17"/>
      <c r="C1609" s="2"/>
      <c r="D1609" s="2"/>
      <c r="E1609" s="2"/>
      <c r="F1609" s="2"/>
      <c r="G1609" s="2"/>
      <c r="H1609" s="2"/>
      <c r="I1609" s="5"/>
    </row>
    <row r="1610" spans="1:9" ht="17.399999999999999" x14ac:dyDescent="0.25">
      <c r="A1610" s="16"/>
      <c r="B1610" s="17"/>
      <c r="C1610" s="2"/>
      <c r="D1610" s="2"/>
      <c r="E1610" s="2"/>
      <c r="F1610" s="2"/>
      <c r="G1610" s="2"/>
      <c r="H1610" s="2"/>
      <c r="I1610" s="5"/>
    </row>
    <row r="1611" spans="1:9" ht="17.399999999999999" x14ac:dyDescent="0.25">
      <c r="A1611" s="16"/>
      <c r="B1611" s="17"/>
      <c r="C1611" s="2"/>
      <c r="D1611" s="2"/>
      <c r="E1611" s="2"/>
      <c r="F1611" s="2"/>
      <c r="G1611" s="2"/>
      <c r="H1611" s="2"/>
      <c r="I1611" s="5"/>
    </row>
    <row r="1612" spans="1:9" ht="17.399999999999999" x14ac:dyDescent="0.25">
      <c r="A1612" s="16"/>
      <c r="B1612" s="17"/>
      <c r="C1612" s="2"/>
      <c r="D1612" s="2"/>
      <c r="E1612" s="2"/>
      <c r="F1612" s="2"/>
      <c r="G1612" s="2"/>
      <c r="H1612" s="2"/>
      <c r="I1612" s="5"/>
    </row>
    <row r="1613" spans="1:9" ht="17.399999999999999" x14ac:dyDescent="0.25">
      <c r="A1613" s="16"/>
      <c r="B1613" s="17"/>
      <c r="C1613" s="2"/>
      <c r="D1613" s="2"/>
      <c r="E1613" s="2"/>
      <c r="F1613" s="2"/>
      <c r="G1613" s="2"/>
      <c r="H1613" s="2"/>
      <c r="I1613" s="5"/>
    </row>
    <row r="1614" spans="1:9" ht="17.399999999999999" x14ac:dyDescent="0.25">
      <c r="A1614" s="16"/>
      <c r="B1614" s="17"/>
      <c r="C1614" s="2"/>
      <c r="D1614" s="2"/>
      <c r="E1614" s="2"/>
      <c r="F1614" s="2"/>
      <c r="G1614" s="2"/>
      <c r="H1614" s="2"/>
      <c r="I1614" s="5"/>
    </row>
    <row r="1615" spans="1:9" ht="17.399999999999999" x14ac:dyDescent="0.25">
      <c r="A1615" s="16"/>
      <c r="B1615" s="17"/>
      <c r="C1615" s="2"/>
      <c r="D1615" s="2"/>
      <c r="E1615" s="2"/>
      <c r="F1615" s="2"/>
      <c r="G1615" s="2"/>
      <c r="H1615" s="2"/>
      <c r="I1615" s="5"/>
    </row>
    <row r="1616" spans="1:9" ht="17.399999999999999" x14ac:dyDescent="0.25">
      <c r="A1616" s="16"/>
      <c r="B1616" s="17"/>
      <c r="C1616" s="2"/>
      <c r="D1616" s="2"/>
      <c r="E1616" s="2"/>
      <c r="F1616" s="2"/>
      <c r="G1616" s="2"/>
      <c r="H1616" s="2"/>
      <c r="I1616" s="5"/>
    </row>
    <row r="1617" spans="1:9" ht="17.399999999999999" x14ac:dyDescent="0.25">
      <c r="A1617" s="16"/>
      <c r="B1617" s="17"/>
      <c r="C1617" s="2"/>
      <c r="D1617" s="2"/>
      <c r="E1617" s="2"/>
      <c r="F1617" s="2"/>
      <c r="G1617" s="2"/>
      <c r="H1617" s="2"/>
      <c r="I1617" s="5"/>
    </row>
    <row r="1618" spans="1:9" ht="17.399999999999999" x14ac:dyDescent="0.25">
      <c r="A1618" s="16"/>
      <c r="B1618" s="17"/>
      <c r="C1618" s="2"/>
      <c r="D1618" s="2"/>
      <c r="E1618" s="2"/>
      <c r="F1618" s="2"/>
      <c r="G1618" s="2"/>
      <c r="H1618" s="2"/>
      <c r="I1618" s="5"/>
    </row>
    <row r="1619" spans="1:9" ht="17.399999999999999" x14ac:dyDescent="0.25">
      <c r="A1619" s="16"/>
      <c r="B1619" s="17"/>
      <c r="C1619" s="2"/>
      <c r="D1619" s="2"/>
      <c r="E1619" s="2"/>
      <c r="F1619" s="2"/>
      <c r="G1619" s="2"/>
      <c r="H1619" s="2"/>
      <c r="I1619" s="5"/>
    </row>
    <row r="1620" spans="1:9" ht="17.399999999999999" x14ac:dyDescent="0.25">
      <c r="A1620" s="16"/>
      <c r="B1620" s="17"/>
      <c r="C1620" s="2"/>
      <c r="D1620" s="2"/>
      <c r="E1620" s="2"/>
      <c r="F1620" s="2"/>
      <c r="G1620" s="2"/>
      <c r="H1620" s="2"/>
      <c r="I1620" s="5"/>
    </row>
    <row r="1621" spans="1:9" ht="17.399999999999999" x14ac:dyDescent="0.25">
      <c r="A1621" s="16"/>
      <c r="B1621" s="17"/>
      <c r="C1621" s="2"/>
      <c r="D1621" s="2"/>
      <c r="E1621" s="2"/>
      <c r="F1621" s="2"/>
      <c r="G1621" s="2"/>
      <c r="H1621" s="2"/>
      <c r="I1621" s="5"/>
    </row>
    <row r="1622" spans="1:9" ht="17.399999999999999" x14ac:dyDescent="0.25">
      <c r="A1622" s="16"/>
      <c r="B1622" s="17"/>
      <c r="C1622" s="2"/>
      <c r="D1622" s="2"/>
      <c r="E1622" s="2"/>
      <c r="F1622" s="2"/>
      <c r="G1622" s="2"/>
      <c r="H1622" s="2"/>
      <c r="I1622" s="5"/>
    </row>
    <row r="1623" spans="1:9" ht="17.399999999999999" x14ac:dyDescent="0.25">
      <c r="A1623" s="16"/>
      <c r="B1623" s="17"/>
      <c r="C1623" s="2"/>
      <c r="D1623" s="2"/>
      <c r="E1623" s="2"/>
      <c r="F1623" s="2"/>
      <c r="G1623" s="2"/>
      <c r="H1623" s="2"/>
      <c r="I1623" s="5"/>
    </row>
    <row r="1624" spans="1:9" ht="17.399999999999999" x14ac:dyDescent="0.25">
      <c r="A1624" s="16"/>
      <c r="B1624" s="17"/>
      <c r="C1624" s="2"/>
      <c r="D1624" s="2"/>
      <c r="E1624" s="2"/>
      <c r="F1624" s="2"/>
      <c r="G1624" s="2"/>
      <c r="H1624" s="2"/>
      <c r="I1624" s="5"/>
    </row>
    <row r="1625" spans="1:9" ht="17.399999999999999" x14ac:dyDescent="0.25">
      <c r="A1625" s="16"/>
      <c r="B1625" s="17"/>
      <c r="C1625" s="2"/>
      <c r="D1625" s="2"/>
      <c r="E1625" s="2"/>
      <c r="F1625" s="2"/>
      <c r="G1625" s="2"/>
      <c r="H1625" s="2"/>
      <c r="I1625" s="5"/>
    </row>
    <row r="1626" spans="1:9" ht="17.399999999999999" x14ac:dyDescent="0.25">
      <c r="A1626" s="16"/>
      <c r="B1626" s="17"/>
      <c r="C1626" s="2"/>
      <c r="D1626" s="2"/>
      <c r="E1626" s="2"/>
      <c r="F1626" s="2"/>
      <c r="G1626" s="2"/>
      <c r="H1626" s="2"/>
      <c r="I1626" s="5"/>
    </row>
    <row r="1627" spans="1:9" ht="17.399999999999999" x14ac:dyDescent="0.25">
      <c r="A1627" s="16"/>
      <c r="B1627" s="17"/>
      <c r="C1627" s="2"/>
      <c r="D1627" s="2"/>
      <c r="E1627" s="2"/>
      <c r="F1627" s="2"/>
      <c r="G1627" s="2"/>
      <c r="H1627" s="2"/>
      <c r="I1627" s="5"/>
    </row>
    <row r="1628" spans="1:9" ht="17.399999999999999" x14ac:dyDescent="0.25">
      <c r="A1628" s="16"/>
      <c r="B1628" s="17"/>
      <c r="C1628" s="2"/>
      <c r="D1628" s="2"/>
      <c r="E1628" s="2"/>
      <c r="F1628" s="2"/>
      <c r="G1628" s="2"/>
      <c r="H1628" s="2"/>
      <c r="I1628" s="5"/>
    </row>
    <row r="1629" spans="1:9" ht="17.399999999999999" x14ac:dyDescent="0.25">
      <c r="A1629" s="16"/>
      <c r="B1629" s="17"/>
      <c r="C1629" s="2"/>
      <c r="D1629" s="2"/>
      <c r="E1629" s="2"/>
      <c r="F1629" s="2"/>
      <c r="G1629" s="2"/>
      <c r="H1629" s="2"/>
      <c r="I1629" s="5"/>
    </row>
    <row r="1630" spans="1:9" ht="17.399999999999999" x14ac:dyDescent="0.25">
      <c r="A1630" s="16"/>
      <c r="B1630" s="17"/>
      <c r="C1630" s="2"/>
      <c r="D1630" s="2"/>
      <c r="E1630" s="2"/>
      <c r="F1630" s="2"/>
      <c r="G1630" s="2"/>
      <c r="H1630" s="2"/>
      <c r="I1630" s="5"/>
    </row>
    <row r="1631" spans="1:9" ht="17.399999999999999" x14ac:dyDescent="0.25">
      <c r="A1631" s="16"/>
      <c r="B1631" s="17"/>
      <c r="C1631" s="2"/>
      <c r="D1631" s="2"/>
      <c r="E1631" s="2"/>
      <c r="F1631" s="2"/>
      <c r="G1631" s="2"/>
      <c r="H1631" s="2"/>
      <c r="I1631" s="5"/>
    </row>
    <row r="1632" spans="1:9" ht="17.399999999999999" x14ac:dyDescent="0.25">
      <c r="A1632" s="16"/>
      <c r="B1632" s="17"/>
      <c r="C1632" s="2"/>
      <c r="D1632" s="2"/>
      <c r="E1632" s="2"/>
      <c r="F1632" s="2"/>
      <c r="G1632" s="2"/>
      <c r="H1632" s="2"/>
      <c r="I1632" s="5"/>
    </row>
    <row r="1633" spans="1:9" ht="17.399999999999999" x14ac:dyDescent="0.25">
      <c r="A1633" s="16"/>
      <c r="B1633" s="17"/>
      <c r="C1633" s="2"/>
      <c r="D1633" s="2"/>
      <c r="E1633" s="2"/>
      <c r="F1633" s="2"/>
      <c r="G1633" s="2"/>
      <c r="H1633" s="2"/>
      <c r="I1633" s="5"/>
    </row>
    <row r="1634" spans="1:9" ht="17.399999999999999" x14ac:dyDescent="0.25">
      <c r="A1634" s="16"/>
      <c r="B1634" s="17"/>
      <c r="C1634" s="2"/>
      <c r="D1634" s="2"/>
      <c r="E1634" s="2"/>
      <c r="F1634" s="2"/>
      <c r="G1634" s="2"/>
      <c r="H1634" s="2"/>
      <c r="I1634" s="5"/>
    </row>
    <row r="1635" spans="1:9" ht="17.399999999999999" x14ac:dyDescent="0.25">
      <c r="A1635" s="16"/>
      <c r="B1635" s="17"/>
      <c r="C1635" s="2"/>
      <c r="D1635" s="2"/>
      <c r="E1635" s="2"/>
      <c r="F1635" s="2"/>
      <c r="G1635" s="2"/>
      <c r="H1635" s="2"/>
      <c r="I1635" s="5"/>
    </row>
    <row r="1636" spans="1:9" ht="17.399999999999999" x14ac:dyDescent="0.25">
      <c r="A1636" s="16"/>
      <c r="B1636" s="17"/>
      <c r="C1636" s="2"/>
      <c r="D1636" s="2"/>
      <c r="E1636" s="2"/>
      <c r="F1636" s="2"/>
      <c r="G1636" s="2"/>
      <c r="H1636" s="2"/>
      <c r="I1636" s="5"/>
    </row>
    <row r="1637" spans="1:9" ht="17.399999999999999" x14ac:dyDescent="0.25">
      <c r="A1637" s="16"/>
      <c r="B1637" s="17"/>
      <c r="C1637" s="2"/>
      <c r="D1637" s="2"/>
      <c r="E1637" s="2"/>
      <c r="F1637" s="2"/>
      <c r="G1637" s="2"/>
      <c r="H1637" s="2"/>
      <c r="I1637" s="5"/>
    </row>
    <row r="1638" spans="1:9" ht="17.399999999999999" x14ac:dyDescent="0.25">
      <c r="A1638" s="16"/>
      <c r="B1638" s="17"/>
      <c r="C1638" s="2"/>
      <c r="D1638" s="2"/>
      <c r="E1638" s="2"/>
      <c r="F1638" s="2"/>
      <c r="G1638" s="2"/>
      <c r="H1638" s="2"/>
      <c r="I1638" s="5"/>
    </row>
    <row r="1639" spans="1:9" ht="17.399999999999999" x14ac:dyDescent="0.25">
      <c r="A1639" s="16"/>
      <c r="B1639" s="17"/>
      <c r="C1639" s="2"/>
      <c r="D1639" s="2"/>
      <c r="E1639" s="2"/>
      <c r="F1639" s="2"/>
      <c r="G1639" s="2"/>
      <c r="H1639" s="2"/>
      <c r="I1639" s="5"/>
    </row>
    <row r="1640" spans="1:9" ht="17.399999999999999" x14ac:dyDescent="0.25">
      <c r="A1640" s="16"/>
      <c r="B1640" s="17"/>
      <c r="C1640" s="2"/>
      <c r="D1640" s="2"/>
      <c r="E1640" s="2"/>
      <c r="F1640" s="2"/>
      <c r="G1640" s="2"/>
      <c r="H1640" s="2"/>
      <c r="I1640" s="5"/>
    </row>
    <row r="1641" spans="1:9" ht="17.399999999999999" x14ac:dyDescent="0.25">
      <c r="A1641" s="16"/>
      <c r="B1641" s="17"/>
      <c r="C1641" s="2"/>
      <c r="D1641" s="2"/>
      <c r="E1641" s="2"/>
      <c r="F1641" s="2"/>
      <c r="G1641" s="2"/>
      <c r="H1641" s="2"/>
      <c r="I1641" s="5"/>
    </row>
    <row r="1642" spans="1:9" ht="17.399999999999999" x14ac:dyDescent="0.25">
      <c r="A1642" s="16"/>
      <c r="B1642" s="17"/>
      <c r="C1642" s="2"/>
      <c r="D1642" s="2"/>
      <c r="E1642" s="2"/>
      <c r="F1642" s="2"/>
      <c r="G1642" s="2"/>
      <c r="H1642" s="2"/>
      <c r="I1642" s="5"/>
    </row>
    <row r="1643" spans="1:9" ht="17.399999999999999" x14ac:dyDescent="0.25">
      <c r="A1643" s="16"/>
      <c r="B1643" s="17"/>
      <c r="C1643" s="2"/>
      <c r="D1643" s="2"/>
      <c r="E1643" s="2"/>
      <c r="F1643" s="2"/>
      <c r="G1643" s="2"/>
      <c r="H1643" s="2"/>
      <c r="I1643" s="5"/>
    </row>
    <row r="1644" spans="1:9" ht="17.399999999999999" x14ac:dyDescent="0.25">
      <c r="A1644" s="16"/>
      <c r="B1644" s="17"/>
      <c r="C1644" s="2"/>
      <c r="D1644" s="2"/>
      <c r="E1644" s="2"/>
      <c r="F1644" s="2"/>
      <c r="G1644" s="2"/>
      <c r="H1644" s="2"/>
      <c r="I1644" s="5"/>
    </row>
    <row r="1645" spans="1:9" ht="17.399999999999999" x14ac:dyDescent="0.25">
      <c r="A1645" s="16"/>
      <c r="B1645" s="17"/>
      <c r="C1645" s="2"/>
      <c r="D1645" s="2"/>
      <c r="E1645" s="2"/>
      <c r="F1645" s="2"/>
      <c r="G1645" s="2"/>
      <c r="H1645" s="2"/>
      <c r="I1645" s="5"/>
    </row>
    <row r="1646" spans="1:9" ht="17.399999999999999" x14ac:dyDescent="0.25">
      <c r="A1646" s="16"/>
      <c r="B1646" s="17"/>
      <c r="C1646" s="2"/>
      <c r="D1646" s="2"/>
      <c r="E1646" s="2"/>
      <c r="F1646" s="2"/>
      <c r="G1646" s="2"/>
      <c r="H1646" s="2"/>
      <c r="I1646" s="5"/>
    </row>
    <row r="1647" spans="1:9" ht="17.399999999999999" x14ac:dyDescent="0.25">
      <c r="A1647" s="16"/>
      <c r="B1647" s="17"/>
      <c r="C1647" s="2"/>
      <c r="D1647" s="2"/>
      <c r="E1647" s="2"/>
      <c r="F1647" s="2"/>
      <c r="G1647" s="2"/>
      <c r="H1647" s="2"/>
      <c r="I1647" s="5"/>
    </row>
    <row r="1648" spans="1:9" ht="17.399999999999999" x14ac:dyDescent="0.25">
      <c r="A1648" s="16"/>
      <c r="B1648" s="17"/>
      <c r="C1648" s="2"/>
      <c r="D1648" s="2"/>
      <c r="E1648" s="2"/>
      <c r="F1648" s="2"/>
      <c r="G1648" s="2"/>
      <c r="H1648" s="2"/>
      <c r="I1648" s="5"/>
    </row>
    <row r="1649" spans="1:9" ht="17.399999999999999" x14ac:dyDescent="0.25">
      <c r="A1649" s="16"/>
      <c r="B1649" s="17"/>
      <c r="C1649" s="2"/>
      <c r="D1649" s="2"/>
      <c r="E1649" s="2"/>
      <c r="F1649" s="2"/>
      <c r="G1649" s="2"/>
      <c r="H1649" s="2"/>
      <c r="I1649" s="5"/>
    </row>
    <row r="1650" spans="1:9" ht="17.399999999999999" x14ac:dyDescent="0.25">
      <c r="A1650" s="16"/>
      <c r="B1650" s="17"/>
      <c r="C1650" s="2"/>
      <c r="D1650" s="2"/>
      <c r="E1650" s="2"/>
      <c r="F1650" s="2"/>
      <c r="G1650" s="2"/>
      <c r="H1650" s="2"/>
      <c r="I1650" s="5"/>
    </row>
    <row r="1651" spans="1:9" ht="17.399999999999999" x14ac:dyDescent="0.25">
      <c r="A1651" s="16"/>
      <c r="B1651" s="17"/>
      <c r="C1651" s="2"/>
      <c r="D1651" s="2"/>
      <c r="E1651" s="2"/>
      <c r="F1651" s="2"/>
      <c r="G1651" s="2"/>
      <c r="H1651" s="2"/>
      <c r="I1651" s="5"/>
    </row>
    <row r="1652" spans="1:9" ht="17.399999999999999" x14ac:dyDescent="0.25">
      <c r="A1652" s="16"/>
      <c r="B1652" s="17"/>
      <c r="C1652" s="2"/>
      <c r="D1652" s="2"/>
      <c r="E1652" s="2"/>
      <c r="F1652" s="2"/>
      <c r="G1652" s="2"/>
      <c r="H1652" s="2"/>
      <c r="I1652" s="5"/>
    </row>
    <row r="1653" spans="1:9" ht="17.399999999999999" x14ac:dyDescent="0.25">
      <c r="A1653" s="16"/>
      <c r="B1653" s="17"/>
      <c r="C1653" s="2"/>
      <c r="D1653" s="2"/>
      <c r="E1653" s="2"/>
      <c r="F1653" s="2"/>
      <c r="G1653" s="2"/>
      <c r="H1653" s="2"/>
      <c r="I1653" s="5"/>
    </row>
    <row r="1654" spans="1:9" ht="17.399999999999999" x14ac:dyDescent="0.25">
      <c r="A1654" s="16"/>
      <c r="B1654" s="17"/>
      <c r="C1654" s="2"/>
      <c r="D1654" s="2"/>
      <c r="E1654" s="2"/>
      <c r="F1654" s="2"/>
      <c r="G1654" s="2"/>
      <c r="H1654" s="2"/>
      <c r="I1654" s="5"/>
    </row>
    <row r="1655" spans="1:9" ht="17.399999999999999" x14ac:dyDescent="0.25">
      <c r="A1655" s="16"/>
      <c r="B1655" s="17"/>
      <c r="C1655" s="2"/>
      <c r="D1655" s="2"/>
      <c r="E1655" s="2"/>
      <c r="F1655" s="2"/>
      <c r="G1655" s="2"/>
      <c r="H1655" s="2"/>
      <c r="I1655" s="5"/>
    </row>
    <row r="1656" spans="1:9" ht="17.399999999999999" x14ac:dyDescent="0.25">
      <c r="A1656" s="16"/>
      <c r="B1656" s="17"/>
      <c r="C1656" s="2"/>
      <c r="D1656" s="2"/>
      <c r="E1656" s="2"/>
      <c r="F1656" s="2"/>
      <c r="G1656" s="2"/>
      <c r="H1656" s="2"/>
      <c r="I1656" s="5"/>
    </row>
    <row r="1657" spans="1:9" ht="17.399999999999999" x14ac:dyDescent="0.25">
      <c r="A1657" s="16"/>
      <c r="B1657" s="17"/>
      <c r="C1657" s="2"/>
      <c r="D1657" s="2"/>
      <c r="E1657" s="2"/>
      <c r="F1657" s="2"/>
      <c r="G1657" s="2"/>
      <c r="H1657" s="2"/>
      <c r="I1657" s="5"/>
    </row>
    <row r="1658" spans="1:9" ht="17.399999999999999" x14ac:dyDescent="0.25">
      <c r="A1658" s="16"/>
      <c r="B1658" s="17"/>
      <c r="C1658" s="2"/>
      <c r="D1658" s="2"/>
      <c r="E1658" s="2"/>
      <c r="F1658" s="2"/>
      <c r="G1658" s="2"/>
      <c r="H1658" s="2"/>
      <c r="I1658" s="5"/>
    </row>
    <row r="1659" spans="1:9" ht="17.399999999999999" x14ac:dyDescent="0.25">
      <c r="A1659" s="16"/>
      <c r="B1659" s="17"/>
      <c r="C1659" s="2"/>
      <c r="D1659" s="2"/>
      <c r="E1659" s="2"/>
      <c r="F1659" s="2"/>
      <c r="G1659" s="2"/>
      <c r="H1659" s="2"/>
      <c r="I1659" s="5"/>
    </row>
    <row r="1660" spans="1:9" ht="17.399999999999999" x14ac:dyDescent="0.25">
      <c r="A1660" s="16"/>
      <c r="B1660" s="17"/>
      <c r="C1660" s="2"/>
      <c r="D1660" s="2"/>
      <c r="E1660" s="2"/>
      <c r="F1660" s="2"/>
      <c r="G1660" s="2"/>
      <c r="H1660" s="2"/>
      <c r="I1660" s="5"/>
    </row>
    <row r="1661" spans="1:9" ht="17.399999999999999" x14ac:dyDescent="0.25">
      <c r="A1661" s="16"/>
      <c r="B1661" s="17"/>
      <c r="C1661" s="2"/>
      <c r="D1661" s="2"/>
      <c r="E1661" s="2"/>
      <c r="F1661" s="2"/>
      <c r="G1661" s="2"/>
      <c r="H1661" s="2"/>
      <c r="I1661" s="5"/>
    </row>
    <row r="1662" spans="1:9" ht="17.399999999999999" x14ac:dyDescent="0.25">
      <c r="A1662" s="16"/>
      <c r="B1662" s="17"/>
      <c r="C1662" s="2"/>
      <c r="D1662" s="2"/>
      <c r="E1662" s="2"/>
      <c r="F1662" s="2"/>
      <c r="G1662" s="2"/>
      <c r="H1662" s="2"/>
      <c r="I1662" s="5"/>
    </row>
    <row r="1663" spans="1:9" ht="17.399999999999999" x14ac:dyDescent="0.25">
      <c r="A1663" s="16"/>
      <c r="B1663" s="17"/>
      <c r="C1663" s="2"/>
      <c r="D1663" s="2"/>
      <c r="E1663" s="2"/>
      <c r="F1663" s="2"/>
      <c r="G1663" s="2"/>
      <c r="H1663" s="2"/>
      <c r="I1663" s="5"/>
    </row>
    <row r="1664" spans="1:9" ht="17.399999999999999" x14ac:dyDescent="0.25">
      <c r="A1664" s="16"/>
      <c r="B1664" s="17"/>
      <c r="C1664" s="2"/>
      <c r="D1664" s="2"/>
      <c r="E1664" s="2"/>
      <c r="F1664" s="2"/>
      <c r="G1664" s="2"/>
      <c r="H1664" s="2"/>
      <c r="I1664" s="5"/>
    </row>
    <row r="1665" spans="1:9" ht="17.399999999999999" x14ac:dyDescent="0.25">
      <c r="A1665" s="16"/>
      <c r="B1665" s="17"/>
      <c r="C1665" s="2"/>
      <c r="D1665" s="2"/>
      <c r="E1665" s="2"/>
      <c r="F1665" s="2"/>
      <c r="G1665" s="2"/>
      <c r="H1665" s="2"/>
      <c r="I1665" s="5"/>
    </row>
    <row r="1666" spans="1:9" ht="17.399999999999999" x14ac:dyDescent="0.25">
      <c r="A1666" s="16"/>
      <c r="B1666" s="17"/>
      <c r="C1666" s="2"/>
      <c r="D1666" s="2"/>
      <c r="E1666" s="2"/>
      <c r="F1666" s="2"/>
      <c r="G1666" s="2"/>
      <c r="H1666" s="2"/>
      <c r="I1666" s="5"/>
    </row>
    <row r="1667" spans="1:9" ht="17.399999999999999" x14ac:dyDescent="0.25">
      <c r="A1667" s="16"/>
      <c r="B1667" s="17"/>
      <c r="C1667" s="2"/>
      <c r="D1667" s="2"/>
      <c r="E1667" s="2"/>
      <c r="F1667" s="2"/>
      <c r="G1667" s="2"/>
      <c r="H1667" s="2"/>
      <c r="I1667" s="5"/>
    </row>
    <row r="1668" spans="1:9" ht="17.399999999999999" x14ac:dyDescent="0.25">
      <c r="A1668" s="16"/>
      <c r="B1668" s="17"/>
      <c r="C1668" s="2"/>
      <c r="D1668" s="2"/>
      <c r="E1668" s="2"/>
      <c r="F1668" s="2"/>
      <c r="G1668" s="2"/>
      <c r="H1668" s="2"/>
      <c r="I1668" s="5"/>
    </row>
    <row r="1669" spans="1:9" ht="17.399999999999999" x14ac:dyDescent="0.25">
      <c r="A1669" s="16"/>
      <c r="B1669" s="17"/>
      <c r="C1669" s="2"/>
      <c r="D1669" s="2"/>
      <c r="E1669" s="2"/>
      <c r="F1669" s="2"/>
      <c r="G1669" s="2"/>
      <c r="H1669" s="2"/>
      <c r="I1669" s="5"/>
    </row>
    <row r="1670" spans="1:9" ht="17.399999999999999" x14ac:dyDescent="0.25">
      <c r="A1670" s="16"/>
      <c r="B1670" s="17"/>
      <c r="C1670" s="2"/>
      <c r="D1670" s="2"/>
      <c r="E1670" s="2"/>
      <c r="F1670" s="2"/>
      <c r="G1670" s="2"/>
      <c r="H1670" s="2"/>
      <c r="I1670" s="5"/>
    </row>
    <row r="1671" spans="1:9" ht="17.399999999999999" x14ac:dyDescent="0.25">
      <c r="A1671" s="16"/>
      <c r="B1671" s="17"/>
      <c r="C1671" s="2"/>
      <c r="D1671" s="2"/>
      <c r="E1671" s="2"/>
      <c r="F1671" s="2"/>
      <c r="G1671" s="2"/>
      <c r="H1671" s="2"/>
      <c r="I1671" s="5"/>
    </row>
    <row r="1672" spans="1:9" ht="17.399999999999999" x14ac:dyDescent="0.25">
      <c r="A1672" s="16"/>
      <c r="B1672" s="17"/>
      <c r="C1672" s="2"/>
      <c r="D1672" s="2"/>
      <c r="E1672" s="2"/>
      <c r="F1672" s="2"/>
      <c r="G1672" s="2"/>
      <c r="H1672" s="2"/>
      <c r="I1672" s="5"/>
    </row>
    <row r="1673" spans="1:9" ht="17.399999999999999" x14ac:dyDescent="0.25">
      <c r="A1673" s="16"/>
      <c r="B1673" s="17"/>
      <c r="C1673" s="2"/>
      <c r="D1673" s="2"/>
      <c r="E1673" s="2"/>
      <c r="F1673" s="2"/>
      <c r="G1673" s="2"/>
      <c r="H1673" s="2"/>
      <c r="I1673" s="5"/>
    </row>
    <row r="1674" spans="1:9" ht="17.399999999999999" x14ac:dyDescent="0.25">
      <c r="A1674" s="16"/>
      <c r="B1674" s="17"/>
      <c r="C1674" s="2"/>
      <c r="D1674" s="2"/>
      <c r="E1674" s="2"/>
      <c r="F1674" s="2"/>
      <c r="G1674" s="2"/>
      <c r="H1674" s="2"/>
      <c r="I1674" s="5"/>
    </row>
    <row r="1675" spans="1:9" ht="17.399999999999999" x14ac:dyDescent="0.25">
      <c r="A1675" s="16"/>
      <c r="B1675" s="17"/>
      <c r="C1675" s="2"/>
      <c r="D1675" s="2"/>
      <c r="E1675" s="2"/>
      <c r="F1675" s="2"/>
      <c r="G1675" s="2"/>
      <c r="H1675" s="2"/>
      <c r="I1675" s="5"/>
    </row>
    <row r="1676" spans="1:9" ht="17.399999999999999" x14ac:dyDescent="0.25">
      <c r="A1676" s="16"/>
      <c r="B1676" s="17"/>
      <c r="C1676" s="2"/>
      <c r="D1676" s="2"/>
      <c r="E1676" s="2"/>
      <c r="F1676" s="2"/>
      <c r="G1676" s="2"/>
      <c r="H1676" s="2"/>
      <c r="I1676" s="5"/>
    </row>
    <row r="1677" spans="1:9" ht="17.399999999999999" x14ac:dyDescent="0.25">
      <c r="A1677" s="16"/>
      <c r="B1677" s="17"/>
      <c r="C1677" s="2"/>
      <c r="D1677" s="2"/>
      <c r="E1677" s="2"/>
      <c r="F1677" s="2"/>
      <c r="G1677" s="2"/>
      <c r="H1677" s="2"/>
      <c r="I1677" s="5"/>
    </row>
    <row r="1678" spans="1:9" ht="17.399999999999999" x14ac:dyDescent="0.25">
      <c r="A1678" s="16"/>
      <c r="B1678" s="17"/>
      <c r="C1678" s="2"/>
      <c r="D1678" s="2"/>
      <c r="E1678" s="2"/>
      <c r="F1678" s="2"/>
      <c r="G1678" s="2"/>
      <c r="H1678" s="2"/>
      <c r="I1678" s="5"/>
    </row>
    <row r="1679" spans="1:9" ht="17.399999999999999" x14ac:dyDescent="0.25">
      <c r="A1679" s="16"/>
      <c r="B1679" s="17"/>
      <c r="C1679" s="2"/>
      <c r="D1679" s="2"/>
      <c r="E1679" s="2"/>
      <c r="F1679" s="2"/>
      <c r="G1679" s="2"/>
      <c r="H1679" s="2"/>
      <c r="I1679" s="5"/>
    </row>
    <row r="1680" spans="1:9" ht="17.399999999999999" x14ac:dyDescent="0.25">
      <c r="A1680" s="16"/>
      <c r="B1680" s="17"/>
      <c r="C1680" s="2"/>
      <c r="D1680" s="2"/>
      <c r="E1680" s="2"/>
      <c r="F1680" s="2"/>
      <c r="G1680" s="2"/>
      <c r="H1680" s="2"/>
      <c r="I1680" s="5"/>
    </row>
    <row r="1681" spans="1:9" ht="17.399999999999999" x14ac:dyDescent="0.25">
      <c r="A1681" s="16"/>
      <c r="B1681" s="17"/>
      <c r="C1681" s="2"/>
      <c r="D1681" s="2"/>
      <c r="E1681" s="2"/>
      <c r="F1681" s="2"/>
      <c r="G1681" s="2"/>
      <c r="H1681" s="2"/>
      <c r="I1681" s="5"/>
    </row>
    <row r="1682" spans="1:9" ht="17.399999999999999" x14ac:dyDescent="0.25">
      <c r="A1682" s="16"/>
      <c r="B1682" s="17"/>
      <c r="C1682" s="2"/>
      <c r="D1682" s="2"/>
      <c r="E1682" s="2"/>
      <c r="F1682" s="2"/>
      <c r="G1682" s="2"/>
      <c r="H1682" s="2"/>
      <c r="I1682" s="5"/>
    </row>
    <row r="1683" spans="1:9" ht="17.399999999999999" x14ac:dyDescent="0.25">
      <c r="A1683" s="16"/>
      <c r="B1683" s="17"/>
      <c r="C1683" s="2"/>
      <c r="D1683" s="2"/>
      <c r="E1683" s="2"/>
      <c r="F1683" s="2"/>
      <c r="G1683" s="2"/>
      <c r="H1683" s="2"/>
      <c r="I1683" s="5"/>
    </row>
    <row r="1684" spans="1:9" ht="17.399999999999999" x14ac:dyDescent="0.25">
      <c r="A1684" s="16"/>
      <c r="B1684" s="17"/>
      <c r="C1684" s="2"/>
      <c r="D1684" s="2"/>
      <c r="E1684" s="2"/>
      <c r="F1684" s="2"/>
      <c r="G1684" s="2"/>
      <c r="H1684" s="2"/>
      <c r="I1684" s="5"/>
    </row>
    <row r="1685" spans="1:9" ht="17.399999999999999" x14ac:dyDescent="0.25">
      <c r="A1685" s="16"/>
      <c r="B1685" s="17"/>
      <c r="C1685" s="2"/>
      <c r="D1685" s="2"/>
      <c r="E1685" s="2"/>
      <c r="F1685" s="2"/>
      <c r="G1685" s="2"/>
      <c r="H1685" s="2"/>
      <c r="I1685" s="5"/>
    </row>
    <row r="1686" spans="1:9" ht="17.399999999999999" x14ac:dyDescent="0.25">
      <c r="A1686" s="16"/>
      <c r="B1686" s="17"/>
      <c r="C1686" s="2"/>
      <c r="D1686" s="2"/>
      <c r="E1686" s="2"/>
      <c r="F1686" s="2"/>
      <c r="G1686" s="2"/>
      <c r="H1686" s="2"/>
      <c r="I1686" s="5"/>
    </row>
    <row r="1687" spans="1:9" ht="17.399999999999999" x14ac:dyDescent="0.25">
      <c r="A1687" s="16"/>
      <c r="B1687" s="17"/>
      <c r="C1687" s="2"/>
      <c r="D1687" s="2"/>
      <c r="E1687" s="2"/>
      <c r="F1687" s="2"/>
      <c r="G1687" s="2"/>
      <c r="H1687" s="2"/>
      <c r="I1687" s="5"/>
    </row>
    <row r="1688" spans="1:9" ht="17.399999999999999" x14ac:dyDescent="0.25">
      <c r="A1688" s="16"/>
      <c r="B1688" s="17"/>
      <c r="C1688" s="2"/>
      <c r="D1688" s="2"/>
      <c r="E1688" s="2"/>
      <c r="F1688" s="2"/>
      <c r="G1688" s="2"/>
      <c r="H1688" s="2"/>
      <c r="I1688" s="5"/>
    </row>
    <row r="1689" spans="1:9" ht="17.399999999999999" x14ac:dyDescent="0.25">
      <c r="A1689" s="16"/>
      <c r="B1689" s="17"/>
      <c r="C1689" s="2"/>
      <c r="D1689" s="2"/>
      <c r="E1689" s="2"/>
      <c r="F1689" s="2"/>
      <c r="G1689" s="2"/>
      <c r="H1689" s="2"/>
      <c r="I1689" s="5"/>
    </row>
    <row r="1690" spans="1:9" ht="17.399999999999999" x14ac:dyDescent="0.25">
      <c r="A1690" s="16"/>
      <c r="B1690" s="17"/>
      <c r="C1690" s="2"/>
      <c r="D1690" s="2"/>
      <c r="E1690" s="2"/>
      <c r="F1690" s="2"/>
      <c r="G1690" s="2"/>
      <c r="H1690" s="2"/>
      <c r="I1690" s="5"/>
    </row>
    <row r="1691" spans="1:9" ht="17.399999999999999" x14ac:dyDescent="0.25">
      <c r="A1691" s="16"/>
      <c r="B1691" s="17"/>
      <c r="C1691" s="2"/>
      <c r="D1691" s="2"/>
      <c r="E1691" s="2"/>
      <c r="F1691" s="2"/>
      <c r="G1691" s="2"/>
      <c r="H1691" s="2"/>
      <c r="I1691" s="5"/>
    </row>
    <row r="1692" spans="1:9" ht="17.399999999999999" x14ac:dyDescent="0.25">
      <c r="A1692" s="16"/>
      <c r="B1692" s="17"/>
      <c r="C1692" s="2"/>
      <c r="D1692" s="2"/>
      <c r="E1692" s="2"/>
      <c r="F1692" s="2"/>
      <c r="G1692" s="2"/>
      <c r="H1692" s="2"/>
      <c r="I1692" s="5"/>
    </row>
    <row r="1693" spans="1:9" ht="17.399999999999999" x14ac:dyDescent="0.25">
      <c r="A1693" s="16"/>
      <c r="B1693" s="17"/>
      <c r="C1693" s="2"/>
      <c r="D1693" s="2"/>
      <c r="E1693" s="2"/>
      <c r="F1693" s="2"/>
      <c r="G1693" s="2"/>
      <c r="H1693" s="2"/>
      <c r="I1693" s="5"/>
    </row>
    <row r="1694" spans="1:9" ht="17.399999999999999" x14ac:dyDescent="0.25">
      <c r="A1694" s="16"/>
      <c r="B1694" s="17"/>
      <c r="C1694" s="2"/>
      <c r="D1694" s="2"/>
      <c r="E1694" s="2"/>
      <c r="F1694" s="2"/>
      <c r="G1694" s="2"/>
      <c r="H1694" s="2"/>
      <c r="I1694" s="5"/>
    </row>
    <row r="1695" spans="1:9" ht="17.399999999999999" x14ac:dyDescent="0.25">
      <c r="A1695" s="16"/>
      <c r="B1695" s="17"/>
      <c r="C1695" s="2"/>
      <c r="D1695" s="2"/>
      <c r="E1695" s="2"/>
      <c r="F1695" s="2"/>
      <c r="G1695" s="2"/>
      <c r="H1695" s="2"/>
      <c r="I1695" s="5"/>
    </row>
    <row r="1696" spans="1:9" ht="17.399999999999999" x14ac:dyDescent="0.25">
      <c r="A1696" s="16"/>
      <c r="B1696" s="17"/>
      <c r="C1696" s="2"/>
      <c r="D1696" s="2"/>
      <c r="E1696" s="2"/>
      <c r="F1696" s="2"/>
      <c r="G1696" s="2"/>
      <c r="H1696" s="2"/>
      <c r="I1696" s="5"/>
    </row>
    <row r="1697" spans="1:9" ht="17.399999999999999" x14ac:dyDescent="0.25">
      <c r="A1697" s="16"/>
      <c r="B1697" s="17"/>
      <c r="C1697" s="2"/>
      <c r="D1697" s="2"/>
      <c r="E1697" s="2"/>
      <c r="F1697" s="2"/>
      <c r="G1697" s="2"/>
      <c r="H1697" s="2"/>
      <c r="I1697" s="5"/>
    </row>
    <row r="1698" spans="1:9" ht="17.399999999999999" x14ac:dyDescent="0.25">
      <c r="A1698" s="16"/>
      <c r="B1698" s="17"/>
      <c r="C1698" s="2"/>
      <c r="D1698" s="2"/>
      <c r="E1698" s="2"/>
      <c r="F1698" s="2"/>
      <c r="G1698" s="2"/>
      <c r="H1698" s="2"/>
      <c r="I1698" s="5"/>
    </row>
    <row r="1699" spans="1:9" ht="17.399999999999999" x14ac:dyDescent="0.25">
      <c r="A1699" s="16"/>
      <c r="B1699" s="17"/>
      <c r="C1699" s="2"/>
      <c r="D1699" s="2"/>
      <c r="E1699" s="2"/>
      <c r="F1699" s="2"/>
      <c r="G1699" s="2"/>
      <c r="H1699" s="2"/>
      <c r="I1699" s="5"/>
    </row>
    <row r="1700" spans="1:9" ht="17.399999999999999" x14ac:dyDescent="0.25">
      <c r="A1700" s="16"/>
      <c r="B1700" s="17"/>
      <c r="C1700" s="2"/>
      <c r="D1700" s="2"/>
      <c r="E1700" s="2"/>
      <c r="F1700" s="2"/>
      <c r="G1700" s="2"/>
      <c r="H1700" s="2"/>
      <c r="I1700" s="5"/>
    </row>
    <row r="1701" spans="1:9" ht="17.399999999999999" x14ac:dyDescent="0.25">
      <c r="A1701" s="16"/>
      <c r="B1701" s="17"/>
      <c r="C1701" s="2"/>
      <c r="D1701" s="2"/>
      <c r="E1701" s="2"/>
      <c r="F1701" s="2"/>
      <c r="G1701" s="2"/>
      <c r="H1701" s="2"/>
      <c r="I1701" s="5"/>
    </row>
    <row r="1702" spans="1:9" ht="17.399999999999999" x14ac:dyDescent="0.25">
      <c r="A1702" s="16"/>
      <c r="B1702" s="17"/>
      <c r="C1702" s="2"/>
      <c r="D1702" s="2"/>
      <c r="E1702" s="2"/>
      <c r="F1702" s="2"/>
      <c r="G1702" s="2"/>
      <c r="H1702" s="2"/>
      <c r="I1702" s="5"/>
    </row>
    <row r="1703" spans="1:9" ht="17.399999999999999" x14ac:dyDescent="0.25">
      <c r="A1703" s="16"/>
      <c r="B1703" s="17"/>
      <c r="C1703" s="2"/>
      <c r="D1703" s="2"/>
      <c r="E1703" s="2"/>
      <c r="F1703" s="2"/>
      <c r="G1703" s="2"/>
      <c r="H1703" s="2"/>
      <c r="I1703" s="5"/>
    </row>
    <row r="1704" spans="1:9" ht="17.399999999999999" x14ac:dyDescent="0.25">
      <c r="A1704" s="16"/>
      <c r="B1704" s="17"/>
      <c r="C1704" s="2"/>
      <c r="D1704" s="2"/>
      <c r="E1704" s="2"/>
      <c r="F1704" s="2"/>
      <c r="G1704" s="2"/>
      <c r="H1704" s="2"/>
      <c r="I1704" s="5"/>
    </row>
    <row r="1705" spans="1:9" ht="17.399999999999999" x14ac:dyDescent="0.25">
      <c r="A1705" s="16"/>
      <c r="B1705" s="17"/>
      <c r="C1705" s="2"/>
      <c r="D1705" s="2"/>
      <c r="E1705" s="2"/>
      <c r="F1705" s="2"/>
      <c r="G1705" s="2"/>
      <c r="H1705" s="2"/>
      <c r="I1705" s="5"/>
    </row>
    <row r="1706" spans="1:9" ht="17.399999999999999" x14ac:dyDescent="0.25">
      <c r="A1706" s="16"/>
      <c r="B1706" s="17"/>
      <c r="C1706" s="2"/>
      <c r="D1706" s="2"/>
      <c r="E1706" s="2"/>
      <c r="F1706" s="2"/>
      <c r="G1706" s="2"/>
      <c r="H1706" s="2"/>
      <c r="I1706" s="5"/>
    </row>
    <row r="1707" spans="1:9" ht="17.399999999999999" x14ac:dyDescent="0.25">
      <c r="A1707" s="16"/>
      <c r="B1707" s="17"/>
      <c r="C1707" s="2"/>
      <c r="D1707" s="2"/>
      <c r="E1707" s="2"/>
      <c r="F1707" s="2"/>
      <c r="G1707" s="2"/>
      <c r="H1707" s="2"/>
      <c r="I1707" s="5"/>
    </row>
    <row r="1708" spans="1:9" ht="17.399999999999999" x14ac:dyDescent="0.25">
      <c r="A1708" s="16"/>
      <c r="B1708" s="17"/>
      <c r="C1708" s="2"/>
      <c r="D1708" s="2"/>
      <c r="E1708" s="2"/>
      <c r="F1708" s="2"/>
      <c r="G1708" s="2"/>
      <c r="H1708" s="2"/>
      <c r="I1708" s="5"/>
    </row>
    <row r="1709" spans="1:9" ht="17.399999999999999" x14ac:dyDescent="0.25">
      <c r="A1709" s="16"/>
      <c r="B1709" s="17"/>
      <c r="C1709" s="2"/>
      <c r="D1709" s="2"/>
      <c r="E1709" s="2"/>
      <c r="F1709" s="2"/>
      <c r="G1709" s="2"/>
      <c r="H1709" s="2"/>
      <c r="I1709" s="5"/>
    </row>
    <row r="1710" spans="1:9" ht="17.399999999999999" x14ac:dyDescent="0.25">
      <c r="A1710" s="16"/>
      <c r="B1710" s="17"/>
      <c r="C1710" s="2"/>
      <c r="D1710" s="2"/>
      <c r="E1710" s="2"/>
      <c r="F1710" s="2"/>
      <c r="G1710" s="2"/>
      <c r="H1710" s="2"/>
      <c r="I1710" s="5"/>
    </row>
    <row r="1711" spans="1:9" ht="17.399999999999999" x14ac:dyDescent="0.25">
      <c r="A1711" s="16"/>
      <c r="B1711" s="17"/>
      <c r="C1711" s="2"/>
      <c r="D1711" s="2"/>
      <c r="E1711" s="2"/>
      <c r="F1711" s="2"/>
      <c r="G1711" s="2"/>
      <c r="H1711" s="2"/>
      <c r="I1711" s="5"/>
    </row>
    <row r="1712" spans="1:9" ht="17.399999999999999" x14ac:dyDescent="0.25">
      <c r="A1712" s="16"/>
      <c r="B1712" s="17"/>
      <c r="C1712" s="2"/>
      <c r="D1712" s="2"/>
      <c r="E1712" s="2"/>
      <c r="F1712" s="2"/>
      <c r="G1712" s="2"/>
      <c r="H1712" s="2"/>
      <c r="I1712" s="5"/>
    </row>
    <row r="1713" spans="1:9" ht="17.399999999999999" x14ac:dyDescent="0.25">
      <c r="A1713" s="16"/>
      <c r="B1713" s="17"/>
      <c r="C1713" s="2"/>
      <c r="D1713" s="2"/>
      <c r="E1713" s="2"/>
      <c r="F1713" s="2"/>
      <c r="G1713" s="2"/>
      <c r="H1713" s="2"/>
      <c r="I1713" s="5"/>
    </row>
    <row r="1714" spans="1:9" ht="17.399999999999999" x14ac:dyDescent="0.25">
      <c r="A1714" s="16"/>
      <c r="B1714" s="17"/>
      <c r="C1714" s="2"/>
      <c r="D1714" s="2"/>
      <c r="E1714" s="2"/>
      <c r="F1714" s="2"/>
      <c r="G1714" s="2"/>
      <c r="H1714" s="2"/>
      <c r="I1714" s="5"/>
    </row>
    <row r="1715" spans="1:9" ht="17.399999999999999" x14ac:dyDescent="0.25">
      <c r="A1715" s="16"/>
      <c r="B1715" s="17"/>
      <c r="C1715" s="2"/>
      <c r="D1715" s="2"/>
      <c r="E1715" s="2"/>
      <c r="F1715" s="2"/>
      <c r="G1715" s="2"/>
      <c r="H1715" s="2"/>
      <c r="I1715" s="5"/>
    </row>
    <row r="1716" spans="1:9" ht="17.399999999999999" x14ac:dyDescent="0.25">
      <c r="A1716" s="16"/>
      <c r="B1716" s="17"/>
      <c r="C1716" s="2"/>
      <c r="D1716" s="2"/>
      <c r="E1716" s="2"/>
      <c r="F1716" s="2"/>
      <c r="G1716" s="2"/>
      <c r="H1716" s="2"/>
      <c r="I1716" s="5"/>
    </row>
    <row r="1717" spans="1:9" ht="17.399999999999999" x14ac:dyDescent="0.25">
      <c r="A1717" s="16"/>
      <c r="B1717" s="17"/>
      <c r="C1717" s="2"/>
      <c r="D1717" s="2"/>
      <c r="E1717" s="2"/>
      <c r="F1717" s="2"/>
      <c r="G1717" s="2"/>
      <c r="H1717" s="2"/>
      <c r="I1717" s="5"/>
    </row>
    <row r="1718" spans="1:9" ht="17.399999999999999" x14ac:dyDescent="0.25">
      <c r="A1718" s="16"/>
      <c r="B1718" s="17"/>
      <c r="C1718" s="2"/>
      <c r="D1718" s="2"/>
      <c r="E1718" s="2"/>
      <c r="F1718" s="2"/>
      <c r="G1718" s="2"/>
      <c r="H1718" s="2"/>
      <c r="I1718" s="5"/>
    </row>
    <row r="1719" spans="1:9" ht="17.399999999999999" x14ac:dyDescent="0.25">
      <c r="A1719" s="16"/>
      <c r="B1719" s="17"/>
      <c r="C1719" s="2"/>
      <c r="D1719" s="2"/>
      <c r="E1719" s="2"/>
      <c r="F1719" s="2"/>
      <c r="G1719" s="2"/>
      <c r="H1719" s="2"/>
      <c r="I1719" s="5"/>
    </row>
    <row r="1720" spans="1:9" ht="17.399999999999999" x14ac:dyDescent="0.25">
      <c r="A1720" s="16"/>
      <c r="B1720" s="17"/>
      <c r="C1720" s="2"/>
      <c r="D1720" s="2"/>
      <c r="E1720" s="2"/>
      <c r="F1720" s="2"/>
      <c r="G1720" s="2"/>
      <c r="H1720" s="2"/>
      <c r="I1720" s="5"/>
    </row>
    <row r="1721" spans="1:9" ht="17.399999999999999" x14ac:dyDescent="0.25">
      <c r="A1721" s="16"/>
      <c r="B1721" s="17"/>
      <c r="C1721" s="2"/>
      <c r="D1721" s="2"/>
      <c r="E1721" s="2"/>
      <c r="F1721" s="2"/>
      <c r="G1721" s="2"/>
      <c r="H1721" s="2"/>
      <c r="I1721" s="5"/>
    </row>
    <row r="1722" spans="1:9" ht="17.399999999999999" x14ac:dyDescent="0.25">
      <c r="A1722" s="16"/>
      <c r="B1722" s="17"/>
      <c r="C1722" s="2"/>
      <c r="D1722" s="2"/>
      <c r="E1722" s="2"/>
      <c r="F1722" s="2"/>
      <c r="G1722" s="2"/>
      <c r="H1722" s="2"/>
      <c r="I1722" s="5"/>
    </row>
    <row r="1723" spans="1:9" ht="17.399999999999999" x14ac:dyDescent="0.25">
      <c r="A1723" s="16"/>
      <c r="B1723" s="17"/>
      <c r="C1723" s="2"/>
      <c r="D1723" s="2"/>
      <c r="E1723" s="2"/>
      <c r="F1723" s="2"/>
      <c r="G1723" s="2"/>
      <c r="H1723" s="2"/>
      <c r="I1723" s="5"/>
    </row>
    <row r="1724" spans="1:9" ht="17.399999999999999" x14ac:dyDescent="0.25">
      <c r="A1724" s="16"/>
      <c r="B1724" s="17"/>
      <c r="C1724" s="2"/>
      <c r="D1724" s="2"/>
      <c r="E1724" s="2"/>
      <c r="F1724" s="2"/>
      <c r="G1724" s="2"/>
      <c r="H1724" s="2"/>
      <c r="I1724" s="5"/>
    </row>
    <row r="1725" spans="1:9" ht="17.399999999999999" x14ac:dyDescent="0.25">
      <c r="A1725" s="16"/>
      <c r="B1725" s="17"/>
      <c r="C1725" s="2"/>
      <c r="D1725" s="2"/>
      <c r="E1725" s="2"/>
      <c r="F1725" s="2"/>
      <c r="G1725" s="2"/>
      <c r="H1725" s="2"/>
      <c r="I1725" s="5"/>
    </row>
    <row r="1726" spans="1:9" ht="17.399999999999999" x14ac:dyDescent="0.25">
      <c r="A1726" s="16"/>
      <c r="B1726" s="17"/>
      <c r="C1726" s="2"/>
      <c r="D1726" s="2"/>
      <c r="E1726" s="2"/>
      <c r="F1726" s="2"/>
      <c r="G1726" s="2"/>
      <c r="H1726" s="2"/>
      <c r="I1726" s="5"/>
    </row>
    <row r="1727" spans="1:9" ht="17.399999999999999" x14ac:dyDescent="0.25">
      <c r="A1727" s="16"/>
      <c r="B1727" s="17"/>
      <c r="C1727" s="2"/>
      <c r="D1727" s="2"/>
      <c r="E1727" s="2"/>
      <c r="F1727" s="2"/>
      <c r="G1727" s="2"/>
      <c r="H1727" s="2"/>
      <c r="I1727" s="5"/>
    </row>
    <row r="1728" spans="1:9" ht="17.399999999999999" x14ac:dyDescent="0.25">
      <c r="A1728" s="16"/>
      <c r="B1728" s="17"/>
      <c r="C1728" s="2"/>
      <c r="D1728" s="2"/>
      <c r="E1728" s="2"/>
      <c r="F1728" s="2"/>
      <c r="G1728" s="2"/>
      <c r="H1728" s="2"/>
      <c r="I1728" s="5"/>
    </row>
    <row r="1729" spans="1:9" ht="17.399999999999999" x14ac:dyDescent="0.25">
      <c r="A1729" s="16"/>
      <c r="B1729" s="17"/>
      <c r="C1729" s="2"/>
      <c r="D1729" s="2"/>
      <c r="E1729" s="2"/>
      <c r="F1729" s="2"/>
      <c r="G1729" s="2"/>
      <c r="H1729" s="2"/>
      <c r="I1729" s="5"/>
    </row>
    <row r="1730" spans="1:9" ht="17.399999999999999" x14ac:dyDescent="0.25">
      <c r="A1730" s="16"/>
      <c r="B1730" s="17"/>
      <c r="C1730" s="2"/>
      <c r="D1730" s="2"/>
      <c r="E1730" s="2"/>
      <c r="F1730" s="2"/>
      <c r="G1730" s="2"/>
      <c r="H1730" s="2"/>
      <c r="I1730" s="5"/>
    </row>
    <row r="1731" spans="1:9" ht="17.399999999999999" x14ac:dyDescent="0.25">
      <c r="A1731" s="16"/>
      <c r="B1731" s="17"/>
      <c r="C1731" s="2"/>
      <c r="D1731" s="2"/>
      <c r="E1731" s="2"/>
      <c r="F1731" s="2"/>
      <c r="G1731" s="2"/>
      <c r="H1731" s="2"/>
      <c r="I1731" s="5"/>
    </row>
    <row r="1732" spans="1:9" ht="17.399999999999999" x14ac:dyDescent="0.25">
      <c r="A1732" s="16"/>
      <c r="B1732" s="17"/>
      <c r="C1732" s="2"/>
      <c r="D1732" s="2"/>
      <c r="E1732" s="2"/>
      <c r="F1732" s="2"/>
      <c r="G1732" s="2"/>
      <c r="H1732" s="2"/>
      <c r="I1732" s="5"/>
    </row>
    <row r="1733" spans="1:9" ht="17.399999999999999" x14ac:dyDescent="0.25">
      <c r="A1733" s="16"/>
      <c r="B1733" s="17"/>
      <c r="C1733" s="2"/>
      <c r="D1733" s="2"/>
      <c r="E1733" s="2"/>
      <c r="F1733" s="2"/>
      <c r="G1733" s="2"/>
      <c r="H1733" s="2"/>
      <c r="I1733" s="5"/>
    </row>
    <row r="1734" spans="1:9" ht="17.399999999999999" x14ac:dyDescent="0.25">
      <c r="A1734" s="16"/>
      <c r="B1734" s="17"/>
      <c r="C1734" s="2"/>
      <c r="D1734" s="2"/>
      <c r="E1734" s="2"/>
      <c r="F1734" s="2"/>
      <c r="G1734" s="2"/>
      <c r="H1734" s="2"/>
      <c r="I1734" s="5"/>
    </row>
    <row r="1735" spans="1:9" ht="17.399999999999999" x14ac:dyDescent="0.25">
      <c r="A1735" s="16"/>
      <c r="B1735" s="17"/>
      <c r="C1735" s="2"/>
      <c r="D1735" s="2"/>
      <c r="E1735" s="2"/>
      <c r="F1735" s="2"/>
      <c r="G1735" s="2"/>
      <c r="H1735" s="2"/>
      <c r="I1735" s="5"/>
    </row>
    <row r="1736" spans="1:9" ht="17.399999999999999" x14ac:dyDescent="0.25">
      <c r="A1736" s="16"/>
      <c r="B1736" s="17"/>
      <c r="C1736" s="2"/>
      <c r="D1736" s="2"/>
      <c r="E1736" s="2"/>
      <c r="F1736" s="2"/>
      <c r="G1736" s="2"/>
      <c r="H1736" s="2"/>
      <c r="I1736" s="5"/>
    </row>
    <row r="1737" spans="1:9" ht="17.399999999999999" x14ac:dyDescent="0.25">
      <c r="A1737" s="16"/>
      <c r="B1737" s="17"/>
      <c r="C1737" s="2"/>
      <c r="D1737" s="2"/>
      <c r="E1737" s="2"/>
      <c r="F1737" s="2"/>
      <c r="G1737" s="2"/>
      <c r="H1737" s="2"/>
      <c r="I1737" s="5"/>
    </row>
    <row r="1738" spans="1:9" ht="17.399999999999999" x14ac:dyDescent="0.25">
      <c r="A1738" s="16"/>
      <c r="B1738" s="17"/>
      <c r="C1738" s="2"/>
      <c r="D1738" s="2"/>
      <c r="E1738" s="2"/>
      <c r="F1738" s="2"/>
      <c r="G1738" s="2"/>
      <c r="H1738" s="2"/>
      <c r="I1738" s="5"/>
    </row>
    <row r="1739" spans="1:9" ht="17.399999999999999" x14ac:dyDescent="0.25">
      <c r="A1739" s="16"/>
      <c r="B1739" s="17"/>
      <c r="C1739" s="2"/>
      <c r="D1739" s="2"/>
      <c r="E1739" s="2"/>
      <c r="F1739" s="2"/>
      <c r="G1739" s="2"/>
      <c r="H1739" s="2"/>
      <c r="I1739" s="5"/>
    </row>
    <row r="1740" spans="1:9" ht="17.399999999999999" x14ac:dyDescent="0.25">
      <c r="A1740" s="16"/>
      <c r="B1740" s="17"/>
      <c r="C1740" s="2"/>
      <c r="D1740" s="2"/>
      <c r="E1740" s="2"/>
      <c r="F1740" s="2"/>
      <c r="G1740" s="2"/>
      <c r="H1740" s="2"/>
      <c r="I1740" s="5"/>
    </row>
    <row r="1741" spans="1:9" ht="17.399999999999999" x14ac:dyDescent="0.25">
      <c r="A1741" s="16"/>
      <c r="B1741" s="17"/>
      <c r="C1741" s="2"/>
      <c r="D1741" s="2"/>
      <c r="E1741" s="2"/>
      <c r="F1741" s="2"/>
      <c r="G1741" s="2"/>
      <c r="H1741" s="2"/>
      <c r="I1741" s="5"/>
    </row>
    <row r="1742" spans="1:9" ht="17.399999999999999" x14ac:dyDescent="0.25">
      <c r="A1742" s="16"/>
      <c r="B1742" s="17"/>
      <c r="C1742" s="2"/>
      <c r="D1742" s="2"/>
      <c r="E1742" s="2"/>
      <c r="F1742" s="2"/>
      <c r="G1742" s="2"/>
      <c r="H1742" s="2"/>
      <c r="I1742" s="5"/>
    </row>
    <row r="1743" spans="1:9" ht="17.399999999999999" x14ac:dyDescent="0.25">
      <c r="A1743" s="16"/>
      <c r="B1743" s="17"/>
      <c r="C1743" s="2"/>
      <c r="D1743" s="2"/>
      <c r="E1743" s="2"/>
      <c r="F1743" s="2"/>
      <c r="G1743" s="2"/>
      <c r="H1743" s="2"/>
      <c r="I1743" s="5"/>
    </row>
    <row r="1744" spans="1:9" ht="17.399999999999999" x14ac:dyDescent="0.25">
      <c r="A1744" s="16"/>
      <c r="B1744" s="17"/>
      <c r="C1744" s="2"/>
      <c r="D1744" s="2"/>
      <c r="E1744" s="2"/>
      <c r="F1744" s="2"/>
      <c r="G1744" s="2"/>
      <c r="H1744" s="2"/>
      <c r="I1744" s="5"/>
    </row>
    <row r="1745" spans="1:9" ht="17.399999999999999" x14ac:dyDescent="0.25">
      <c r="A1745" s="16"/>
      <c r="B1745" s="17"/>
      <c r="C1745" s="2"/>
      <c r="D1745" s="2"/>
      <c r="E1745" s="2"/>
      <c r="F1745" s="2"/>
      <c r="G1745" s="2"/>
      <c r="H1745" s="2"/>
      <c r="I1745" s="5"/>
    </row>
    <row r="1746" spans="1:9" ht="17.399999999999999" x14ac:dyDescent="0.25">
      <c r="A1746" s="16"/>
      <c r="B1746" s="17"/>
      <c r="C1746" s="2"/>
      <c r="D1746" s="2"/>
      <c r="E1746" s="2"/>
      <c r="F1746" s="2"/>
      <c r="G1746" s="2"/>
      <c r="H1746" s="2"/>
      <c r="I1746" s="5"/>
    </row>
    <row r="1747" spans="1:9" ht="17.399999999999999" x14ac:dyDescent="0.25">
      <c r="A1747" s="16"/>
      <c r="B1747" s="17"/>
      <c r="C1747" s="2"/>
      <c r="D1747" s="2"/>
      <c r="E1747" s="2"/>
      <c r="F1747" s="2"/>
      <c r="G1747" s="2"/>
      <c r="H1747" s="2"/>
      <c r="I1747" s="5"/>
    </row>
    <row r="1748" spans="1:9" ht="17.399999999999999" x14ac:dyDescent="0.25">
      <c r="A1748" s="16"/>
      <c r="B1748" s="17"/>
      <c r="C1748" s="2"/>
      <c r="D1748" s="2"/>
      <c r="E1748" s="2"/>
      <c r="F1748" s="2"/>
      <c r="G1748" s="2"/>
      <c r="H1748" s="2"/>
      <c r="I1748" s="5"/>
    </row>
    <row r="1749" spans="1:9" ht="17.399999999999999" x14ac:dyDescent="0.25">
      <c r="A1749" s="16"/>
      <c r="B1749" s="17"/>
      <c r="C1749" s="2"/>
      <c r="D1749" s="2"/>
      <c r="E1749" s="2"/>
      <c r="F1749" s="2"/>
      <c r="G1749" s="2"/>
      <c r="H1749" s="2"/>
      <c r="I1749" s="5"/>
    </row>
    <row r="1750" spans="1:9" ht="17.399999999999999" x14ac:dyDescent="0.25">
      <c r="A1750" s="16"/>
      <c r="B1750" s="17"/>
      <c r="C1750" s="2"/>
      <c r="D1750" s="2"/>
      <c r="E1750" s="2"/>
      <c r="F1750" s="2"/>
      <c r="G1750" s="2"/>
      <c r="H1750" s="2"/>
      <c r="I1750" s="5"/>
    </row>
    <row r="1751" spans="1:9" ht="17.399999999999999" x14ac:dyDescent="0.25">
      <c r="A1751" s="16"/>
      <c r="B1751" s="17"/>
      <c r="C1751" s="2"/>
      <c r="D1751" s="2"/>
      <c r="E1751" s="2"/>
      <c r="F1751" s="2"/>
      <c r="G1751" s="2"/>
      <c r="H1751" s="2"/>
      <c r="I1751" s="5"/>
    </row>
    <row r="1752" spans="1:9" ht="17.399999999999999" x14ac:dyDescent="0.25">
      <c r="A1752" s="16"/>
      <c r="B1752" s="17"/>
      <c r="C1752" s="2"/>
      <c r="D1752" s="2"/>
      <c r="E1752" s="2"/>
      <c r="F1752" s="2"/>
      <c r="G1752" s="2"/>
      <c r="H1752" s="2"/>
      <c r="I1752" s="5"/>
    </row>
    <row r="1753" spans="1:9" ht="17.399999999999999" x14ac:dyDescent="0.25">
      <c r="A1753" s="16"/>
      <c r="B1753" s="17"/>
      <c r="C1753" s="2"/>
      <c r="D1753" s="2"/>
      <c r="E1753" s="2"/>
      <c r="F1753" s="2"/>
      <c r="G1753" s="2"/>
      <c r="H1753" s="2"/>
      <c r="I1753" s="5"/>
    </row>
    <row r="1754" spans="1:9" ht="17.399999999999999" x14ac:dyDescent="0.25">
      <c r="A1754" s="16"/>
      <c r="B1754" s="17"/>
      <c r="C1754" s="2"/>
      <c r="D1754" s="2"/>
      <c r="E1754" s="2"/>
      <c r="F1754" s="2"/>
      <c r="G1754" s="2"/>
      <c r="H1754" s="2"/>
      <c r="I1754" s="5"/>
    </row>
    <row r="1755" spans="1:9" ht="17.399999999999999" x14ac:dyDescent="0.25">
      <c r="A1755" s="16"/>
      <c r="B1755" s="17"/>
      <c r="C1755" s="2"/>
      <c r="D1755" s="2"/>
      <c r="E1755" s="2"/>
      <c r="F1755" s="2"/>
      <c r="G1755" s="2"/>
      <c r="H1755" s="2"/>
      <c r="I1755" s="5"/>
    </row>
    <row r="1756" spans="1:9" ht="17.399999999999999" x14ac:dyDescent="0.25">
      <c r="A1756" s="16"/>
      <c r="B1756" s="17"/>
      <c r="C1756" s="2"/>
      <c r="D1756" s="2"/>
      <c r="E1756" s="2"/>
      <c r="F1756" s="2"/>
      <c r="G1756" s="2"/>
      <c r="H1756" s="2"/>
      <c r="I1756" s="5"/>
    </row>
    <row r="1757" spans="1:9" ht="17.399999999999999" x14ac:dyDescent="0.25">
      <c r="A1757" s="16"/>
      <c r="B1757" s="17"/>
      <c r="C1757" s="2"/>
      <c r="D1757" s="2"/>
      <c r="E1757" s="2"/>
      <c r="F1757" s="2"/>
      <c r="G1757" s="2"/>
      <c r="H1757" s="2"/>
      <c r="I1757" s="5"/>
    </row>
    <row r="1758" spans="1:9" ht="17.399999999999999" x14ac:dyDescent="0.25">
      <c r="A1758" s="16"/>
      <c r="B1758" s="17"/>
      <c r="C1758" s="2"/>
      <c r="D1758" s="2"/>
      <c r="E1758" s="2"/>
      <c r="F1758" s="2"/>
      <c r="G1758" s="2"/>
      <c r="H1758" s="2"/>
      <c r="I1758" s="5"/>
    </row>
    <row r="1759" spans="1:9" ht="17.399999999999999" x14ac:dyDescent="0.25">
      <c r="A1759" s="16"/>
      <c r="B1759" s="17"/>
      <c r="C1759" s="2"/>
      <c r="D1759" s="2"/>
      <c r="E1759" s="2"/>
      <c r="F1759" s="2"/>
      <c r="G1759" s="2"/>
      <c r="H1759" s="2"/>
      <c r="I1759" s="5"/>
    </row>
    <row r="1760" spans="1:9" ht="17.399999999999999" x14ac:dyDescent="0.25">
      <c r="A1760" s="16"/>
      <c r="B1760" s="17"/>
      <c r="C1760" s="2"/>
      <c r="D1760" s="2"/>
      <c r="E1760" s="2"/>
      <c r="F1760" s="2"/>
      <c r="G1760" s="2"/>
      <c r="H1760" s="2"/>
      <c r="I1760" s="5"/>
    </row>
    <row r="1761" spans="1:9" ht="17.399999999999999" x14ac:dyDescent="0.25">
      <c r="A1761" s="16"/>
      <c r="B1761" s="17"/>
      <c r="C1761" s="2"/>
      <c r="D1761" s="2"/>
      <c r="E1761" s="2"/>
      <c r="F1761" s="2"/>
      <c r="G1761" s="2"/>
      <c r="H1761" s="2"/>
      <c r="I1761" s="5"/>
    </row>
    <row r="1762" spans="1:9" ht="17.399999999999999" x14ac:dyDescent="0.25">
      <c r="A1762" s="16"/>
      <c r="B1762" s="17"/>
      <c r="C1762" s="2"/>
      <c r="D1762" s="2"/>
      <c r="E1762" s="2"/>
      <c r="F1762" s="2"/>
      <c r="G1762" s="2"/>
      <c r="H1762" s="2"/>
      <c r="I1762" s="5"/>
    </row>
    <row r="1763" spans="1:9" ht="17.399999999999999" x14ac:dyDescent="0.25">
      <c r="A1763" s="16"/>
      <c r="B1763" s="17"/>
      <c r="C1763" s="2"/>
      <c r="D1763" s="2"/>
      <c r="E1763" s="2"/>
      <c r="F1763" s="2"/>
      <c r="G1763" s="2"/>
      <c r="H1763" s="2"/>
      <c r="I1763" s="5"/>
    </row>
    <row r="1764" spans="1:9" ht="17.399999999999999" x14ac:dyDescent="0.25">
      <c r="A1764" s="16"/>
      <c r="B1764" s="17"/>
      <c r="C1764" s="2"/>
      <c r="D1764" s="2"/>
      <c r="E1764" s="2"/>
      <c r="F1764" s="2"/>
      <c r="G1764" s="2"/>
      <c r="H1764" s="2"/>
      <c r="I1764" s="5"/>
    </row>
    <row r="1765" spans="1:9" ht="17.399999999999999" x14ac:dyDescent="0.25">
      <c r="A1765" s="16"/>
      <c r="B1765" s="17"/>
      <c r="C1765" s="2"/>
      <c r="D1765" s="2"/>
      <c r="E1765" s="2"/>
      <c r="F1765" s="2"/>
      <c r="G1765" s="2"/>
      <c r="H1765" s="2"/>
      <c r="I1765" s="5"/>
    </row>
    <row r="1766" spans="1:9" ht="17.399999999999999" x14ac:dyDescent="0.25">
      <c r="A1766" s="16"/>
      <c r="B1766" s="17"/>
      <c r="C1766" s="2"/>
      <c r="D1766" s="2"/>
      <c r="E1766" s="2"/>
      <c r="F1766" s="2"/>
      <c r="G1766" s="2"/>
      <c r="H1766" s="2"/>
      <c r="I1766" s="5"/>
    </row>
    <row r="1767" spans="1:9" ht="17.399999999999999" x14ac:dyDescent="0.25">
      <c r="A1767" s="16"/>
      <c r="B1767" s="17"/>
      <c r="C1767" s="2"/>
      <c r="D1767" s="2"/>
      <c r="E1767" s="2"/>
      <c r="F1767" s="2"/>
      <c r="G1767" s="2"/>
      <c r="H1767" s="2"/>
      <c r="I1767" s="5"/>
    </row>
    <row r="1768" spans="1:9" ht="17.399999999999999" x14ac:dyDescent="0.25">
      <c r="A1768" s="16"/>
      <c r="B1768" s="17"/>
      <c r="C1768" s="2"/>
      <c r="D1768" s="2"/>
      <c r="E1768" s="2"/>
      <c r="F1768" s="2"/>
      <c r="G1768" s="2"/>
      <c r="H1768" s="2"/>
      <c r="I1768" s="5"/>
    </row>
    <row r="1769" spans="1:9" ht="17.399999999999999" x14ac:dyDescent="0.25">
      <c r="A1769" s="16"/>
      <c r="B1769" s="17"/>
      <c r="C1769" s="2"/>
      <c r="D1769" s="2"/>
      <c r="E1769" s="2"/>
      <c r="F1769" s="2"/>
      <c r="G1769" s="2"/>
      <c r="H1769" s="2"/>
      <c r="I1769" s="5"/>
    </row>
    <row r="1770" spans="1:9" ht="17.399999999999999" x14ac:dyDescent="0.25">
      <c r="A1770" s="16"/>
      <c r="B1770" s="17"/>
      <c r="C1770" s="2"/>
      <c r="D1770" s="2"/>
      <c r="E1770" s="2"/>
      <c r="F1770" s="2"/>
      <c r="G1770" s="2"/>
      <c r="H1770" s="2"/>
      <c r="I1770" s="5"/>
    </row>
    <row r="1771" spans="1:9" ht="17.399999999999999" x14ac:dyDescent="0.25">
      <c r="A1771" s="16"/>
      <c r="B1771" s="17"/>
      <c r="C1771" s="2"/>
      <c r="D1771" s="2"/>
      <c r="E1771" s="2"/>
      <c r="F1771" s="2"/>
      <c r="G1771" s="2"/>
      <c r="H1771" s="2"/>
      <c r="I1771" s="5"/>
    </row>
    <row r="1772" spans="1:9" ht="17.399999999999999" x14ac:dyDescent="0.25">
      <c r="A1772" s="16"/>
      <c r="B1772" s="17"/>
      <c r="C1772" s="2"/>
      <c r="D1772" s="2"/>
      <c r="E1772" s="2"/>
      <c r="F1772" s="2"/>
      <c r="G1772" s="2"/>
      <c r="H1772" s="2"/>
      <c r="I1772" s="5"/>
    </row>
    <row r="1773" spans="1:9" ht="17.399999999999999" x14ac:dyDescent="0.25">
      <c r="A1773" s="16"/>
      <c r="B1773" s="17"/>
      <c r="C1773" s="2"/>
      <c r="D1773" s="2"/>
      <c r="E1773" s="2"/>
      <c r="F1773" s="2"/>
      <c r="G1773" s="2"/>
      <c r="H1773" s="2"/>
      <c r="I1773" s="5"/>
    </row>
    <row r="1774" spans="1:9" ht="17.399999999999999" x14ac:dyDescent="0.25">
      <c r="A1774" s="16"/>
      <c r="B1774" s="17"/>
      <c r="C1774" s="2"/>
      <c r="D1774" s="2"/>
      <c r="E1774" s="2"/>
      <c r="F1774" s="2"/>
      <c r="G1774" s="2"/>
      <c r="H1774" s="2"/>
      <c r="I1774" s="5"/>
    </row>
    <row r="1775" spans="1:9" ht="17.399999999999999" x14ac:dyDescent="0.25">
      <c r="A1775" s="16"/>
      <c r="B1775" s="17"/>
      <c r="C1775" s="2"/>
      <c r="D1775" s="2"/>
      <c r="E1775" s="2"/>
      <c r="F1775" s="2"/>
      <c r="G1775" s="2"/>
      <c r="H1775" s="2"/>
      <c r="I1775" s="5"/>
    </row>
    <row r="1776" spans="1:9" ht="17.399999999999999" x14ac:dyDescent="0.25">
      <c r="A1776" s="16"/>
      <c r="B1776" s="17"/>
      <c r="C1776" s="2"/>
      <c r="D1776" s="2"/>
      <c r="E1776" s="2"/>
      <c r="F1776" s="2"/>
      <c r="G1776" s="2"/>
      <c r="H1776" s="2"/>
      <c r="I1776" s="5"/>
    </row>
    <row r="1777" spans="1:9" ht="17.399999999999999" x14ac:dyDescent="0.25">
      <c r="A1777" s="16"/>
      <c r="B1777" s="17"/>
      <c r="C1777" s="2"/>
      <c r="D1777" s="2"/>
      <c r="E1777" s="2"/>
      <c r="F1777" s="2"/>
      <c r="G1777" s="2"/>
      <c r="H1777" s="2"/>
      <c r="I1777" s="5"/>
    </row>
    <row r="1778" spans="1:9" ht="17.399999999999999" x14ac:dyDescent="0.25">
      <c r="A1778" s="16"/>
      <c r="B1778" s="17"/>
      <c r="C1778" s="2"/>
      <c r="D1778" s="2"/>
      <c r="E1778" s="2"/>
      <c r="F1778" s="2"/>
      <c r="G1778" s="2"/>
      <c r="H1778" s="2"/>
      <c r="I1778" s="5"/>
    </row>
    <row r="1779" spans="1:9" ht="17.399999999999999" x14ac:dyDescent="0.25">
      <c r="A1779" s="16"/>
      <c r="B1779" s="17"/>
      <c r="C1779" s="2"/>
      <c r="D1779" s="2"/>
      <c r="E1779" s="2"/>
      <c r="F1779" s="2"/>
      <c r="G1779" s="2"/>
      <c r="H1779" s="2"/>
      <c r="I1779" s="5"/>
    </row>
    <row r="1780" spans="1:9" ht="17.399999999999999" x14ac:dyDescent="0.25">
      <c r="A1780" s="16"/>
      <c r="B1780" s="17"/>
      <c r="C1780" s="2"/>
      <c r="D1780" s="2"/>
      <c r="E1780" s="2"/>
      <c r="F1780" s="2"/>
      <c r="G1780" s="2"/>
      <c r="H1780" s="2"/>
      <c r="I1780" s="5"/>
    </row>
    <row r="1781" spans="1:9" ht="17.399999999999999" x14ac:dyDescent="0.25">
      <c r="A1781" s="16"/>
      <c r="B1781" s="17"/>
      <c r="C1781" s="2"/>
      <c r="D1781" s="2"/>
      <c r="E1781" s="2"/>
      <c r="F1781" s="2"/>
      <c r="G1781" s="2"/>
      <c r="H1781" s="2"/>
      <c r="I1781" s="5"/>
    </row>
    <row r="1782" spans="1:9" ht="17.399999999999999" x14ac:dyDescent="0.25">
      <c r="A1782" s="16"/>
      <c r="B1782" s="17"/>
      <c r="C1782" s="2"/>
      <c r="D1782" s="2"/>
      <c r="E1782" s="2"/>
      <c r="F1782" s="2"/>
      <c r="G1782" s="2"/>
      <c r="H1782" s="2"/>
      <c r="I1782" s="5"/>
    </row>
    <row r="1783" spans="1:9" ht="17.399999999999999" x14ac:dyDescent="0.25">
      <c r="A1783" s="16"/>
      <c r="B1783" s="17"/>
      <c r="C1783" s="2"/>
      <c r="D1783" s="2"/>
      <c r="E1783" s="2"/>
      <c r="F1783" s="2"/>
      <c r="G1783" s="2"/>
      <c r="H1783" s="2"/>
      <c r="I1783" s="5"/>
    </row>
    <row r="1784" spans="1:9" ht="17.399999999999999" x14ac:dyDescent="0.25">
      <c r="A1784" s="16"/>
      <c r="B1784" s="17"/>
      <c r="C1784" s="2"/>
      <c r="D1784" s="2"/>
      <c r="E1784" s="2"/>
      <c r="F1784" s="2"/>
      <c r="G1784" s="2"/>
      <c r="H1784" s="2"/>
      <c r="I1784" s="5"/>
    </row>
    <row r="1785" spans="1:9" ht="17.399999999999999" x14ac:dyDescent="0.25">
      <c r="A1785" s="16"/>
      <c r="B1785" s="17"/>
      <c r="C1785" s="2"/>
      <c r="D1785" s="2"/>
      <c r="E1785" s="2"/>
      <c r="F1785" s="2"/>
      <c r="G1785" s="2"/>
      <c r="H1785" s="2"/>
      <c r="I1785" s="5"/>
    </row>
    <row r="1786" spans="1:9" ht="17.399999999999999" x14ac:dyDescent="0.25">
      <c r="A1786" s="16"/>
      <c r="B1786" s="17"/>
      <c r="C1786" s="2"/>
      <c r="D1786" s="2"/>
      <c r="E1786" s="2"/>
      <c r="F1786" s="2"/>
      <c r="G1786" s="2"/>
      <c r="H1786" s="2"/>
      <c r="I1786" s="5"/>
    </row>
    <row r="1787" spans="1:9" ht="17.399999999999999" x14ac:dyDescent="0.25">
      <c r="A1787" s="16"/>
      <c r="B1787" s="17"/>
      <c r="C1787" s="2"/>
      <c r="D1787" s="2"/>
      <c r="E1787" s="2"/>
      <c r="F1787" s="2"/>
      <c r="G1787" s="2"/>
      <c r="H1787" s="2"/>
      <c r="I1787" s="5"/>
    </row>
    <row r="1788" spans="1:9" ht="17.399999999999999" x14ac:dyDescent="0.25">
      <c r="A1788" s="16"/>
      <c r="B1788" s="17"/>
      <c r="C1788" s="2"/>
      <c r="D1788" s="2"/>
      <c r="E1788" s="2"/>
      <c r="F1788" s="2"/>
      <c r="G1788" s="2"/>
      <c r="H1788" s="2"/>
      <c r="I1788" s="5"/>
    </row>
    <row r="1789" spans="1:9" ht="17.399999999999999" x14ac:dyDescent="0.25">
      <c r="A1789" s="16"/>
      <c r="B1789" s="17"/>
      <c r="C1789" s="2"/>
      <c r="D1789" s="2"/>
      <c r="E1789" s="2"/>
      <c r="F1789" s="2"/>
      <c r="G1789" s="2"/>
      <c r="H1789" s="2"/>
      <c r="I1789" s="5"/>
    </row>
    <row r="1790" spans="1:9" ht="17.399999999999999" x14ac:dyDescent="0.25">
      <c r="A1790" s="16"/>
      <c r="B1790" s="17"/>
      <c r="C1790" s="2"/>
      <c r="D1790" s="2"/>
      <c r="E1790" s="2"/>
      <c r="F1790" s="2"/>
      <c r="G1790" s="2"/>
      <c r="H1790" s="2"/>
      <c r="I1790" s="5"/>
    </row>
    <row r="1791" spans="1:9" ht="17.399999999999999" x14ac:dyDescent="0.25">
      <c r="A1791" s="16"/>
      <c r="B1791" s="17"/>
      <c r="C1791" s="2"/>
      <c r="D1791" s="2"/>
      <c r="E1791" s="2"/>
      <c r="F1791" s="2"/>
      <c r="G1791" s="2"/>
      <c r="H1791" s="2"/>
      <c r="I1791" s="5"/>
    </row>
    <row r="1792" spans="1:9" ht="17.399999999999999" x14ac:dyDescent="0.25">
      <c r="A1792" s="16"/>
      <c r="B1792" s="17"/>
      <c r="C1792" s="2"/>
      <c r="D1792" s="2"/>
      <c r="E1792" s="2"/>
      <c r="F1792" s="2"/>
      <c r="G1792" s="2"/>
      <c r="H1792" s="2"/>
      <c r="I1792" s="5"/>
    </row>
    <row r="1793" spans="1:9" ht="17.399999999999999" x14ac:dyDescent="0.25">
      <c r="A1793" s="16"/>
      <c r="B1793" s="17"/>
      <c r="C1793" s="2"/>
      <c r="D1793" s="2"/>
      <c r="E1793" s="2"/>
      <c r="F1793" s="2"/>
      <c r="G1793" s="2"/>
      <c r="H1793" s="2"/>
      <c r="I1793" s="5"/>
    </row>
    <row r="1794" spans="1:9" ht="17.399999999999999" x14ac:dyDescent="0.25">
      <c r="A1794" s="16"/>
      <c r="B1794" s="17"/>
      <c r="C1794" s="2"/>
      <c r="D1794" s="2"/>
      <c r="E1794" s="2"/>
      <c r="F1794" s="2"/>
      <c r="G1794" s="2"/>
      <c r="H1794" s="2"/>
      <c r="I1794" s="5"/>
    </row>
    <row r="1795" spans="1:9" ht="17.399999999999999" x14ac:dyDescent="0.25">
      <c r="A1795" s="16"/>
      <c r="B1795" s="17"/>
      <c r="C1795" s="2"/>
      <c r="D1795" s="2"/>
      <c r="E1795" s="2"/>
      <c r="F1795" s="2"/>
      <c r="G1795" s="2"/>
      <c r="H1795" s="2"/>
      <c r="I1795" s="5"/>
    </row>
    <row r="1796" spans="1:9" ht="17.399999999999999" x14ac:dyDescent="0.25">
      <c r="A1796" s="16"/>
      <c r="B1796" s="17"/>
      <c r="C1796" s="2"/>
      <c r="D1796" s="2"/>
      <c r="E1796" s="2"/>
      <c r="F1796" s="2"/>
      <c r="G1796" s="2"/>
      <c r="H1796" s="2"/>
      <c r="I1796" s="5"/>
    </row>
    <row r="1797" spans="1:9" ht="17.399999999999999" x14ac:dyDescent="0.25">
      <c r="A1797" s="16"/>
      <c r="B1797" s="17"/>
      <c r="C1797" s="2"/>
      <c r="D1797" s="2"/>
      <c r="E1797" s="2"/>
      <c r="F1797" s="2"/>
      <c r="G1797" s="2"/>
      <c r="H1797" s="2"/>
      <c r="I1797" s="5"/>
    </row>
    <row r="1798" spans="1:9" ht="17.399999999999999" x14ac:dyDescent="0.25">
      <c r="A1798" s="16"/>
      <c r="B1798" s="17"/>
      <c r="C1798" s="2"/>
      <c r="D1798" s="2"/>
      <c r="E1798" s="2"/>
      <c r="F1798" s="2"/>
      <c r="G1798" s="2"/>
      <c r="H1798" s="2"/>
      <c r="I1798" s="5"/>
    </row>
    <row r="1799" spans="1:9" ht="17.399999999999999" x14ac:dyDescent="0.25">
      <c r="A1799" s="16"/>
      <c r="B1799" s="17"/>
      <c r="C1799" s="2"/>
      <c r="D1799" s="2"/>
      <c r="E1799" s="2"/>
      <c r="F1799" s="2"/>
      <c r="G1799" s="2"/>
      <c r="H1799" s="2"/>
      <c r="I1799" s="5"/>
    </row>
    <row r="1800" spans="1:9" ht="17.399999999999999" x14ac:dyDescent="0.25">
      <c r="A1800" s="16"/>
      <c r="B1800" s="17"/>
      <c r="C1800" s="2"/>
      <c r="D1800" s="2"/>
      <c r="E1800" s="2"/>
      <c r="F1800" s="2"/>
      <c r="G1800" s="2"/>
      <c r="H1800" s="2"/>
      <c r="I1800" s="5"/>
    </row>
    <row r="1801" spans="1:9" ht="17.399999999999999" x14ac:dyDescent="0.25">
      <c r="A1801" s="16"/>
      <c r="B1801" s="17"/>
      <c r="C1801" s="2"/>
      <c r="D1801" s="2"/>
      <c r="E1801" s="2"/>
      <c r="F1801" s="2"/>
      <c r="G1801" s="2"/>
      <c r="H1801" s="2"/>
      <c r="I1801" s="5"/>
    </row>
    <row r="1802" spans="1:9" ht="17.399999999999999" x14ac:dyDescent="0.25">
      <c r="A1802" s="16"/>
      <c r="B1802" s="17"/>
      <c r="C1802" s="2"/>
      <c r="D1802" s="2"/>
      <c r="E1802" s="2"/>
      <c r="F1802" s="2"/>
      <c r="G1802" s="2"/>
      <c r="H1802" s="2"/>
      <c r="I1802" s="5"/>
    </row>
    <row r="1803" spans="1:9" ht="17.399999999999999" x14ac:dyDescent="0.25">
      <c r="A1803" s="16"/>
      <c r="B1803" s="17"/>
      <c r="C1803" s="2"/>
      <c r="D1803" s="2"/>
      <c r="E1803" s="2"/>
      <c r="F1803" s="2"/>
      <c r="G1803" s="2"/>
      <c r="H1803" s="2"/>
      <c r="I1803" s="5"/>
    </row>
    <row r="1804" spans="1:9" ht="17.399999999999999" x14ac:dyDescent="0.25">
      <c r="A1804" s="16"/>
      <c r="B1804" s="17"/>
      <c r="C1804" s="2"/>
      <c r="D1804" s="2"/>
      <c r="E1804" s="2"/>
      <c r="F1804" s="2"/>
      <c r="G1804" s="2"/>
      <c r="H1804" s="2"/>
      <c r="I1804" s="5"/>
    </row>
    <row r="1805" spans="1:9" ht="17.399999999999999" x14ac:dyDescent="0.25">
      <c r="A1805" s="16"/>
      <c r="B1805" s="17"/>
      <c r="C1805" s="2"/>
      <c r="D1805" s="2"/>
      <c r="E1805" s="2"/>
      <c r="F1805" s="2"/>
      <c r="G1805" s="2"/>
      <c r="H1805" s="2"/>
      <c r="I1805" s="5"/>
    </row>
    <row r="1806" spans="1:9" ht="17.399999999999999" x14ac:dyDescent="0.25">
      <c r="A1806" s="16"/>
      <c r="B1806" s="17"/>
      <c r="C1806" s="2"/>
      <c r="D1806" s="2"/>
      <c r="E1806" s="2"/>
      <c r="F1806" s="2"/>
      <c r="G1806" s="2"/>
      <c r="H1806" s="2"/>
      <c r="I1806" s="5"/>
    </row>
    <row r="1807" spans="1:9" ht="17.399999999999999" x14ac:dyDescent="0.25">
      <c r="A1807" s="16"/>
      <c r="B1807" s="17"/>
      <c r="C1807" s="2"/>
      <c r="D1807" s="2"/>
      <c r="E1807" s="2"/>
      <c r="F1807" s="2"/>
      <c r="G1807" s="2"/>
      <c r="H1807" s="2"/>
      <c r="I1807" s="5"/>
    </row>
    <row r="1808" spans="1:9" ht="17.399999999999999" x14ac:dyDescent="0.25">
      <c r="A1808" s="16"/>
      <c r="B1808" s="17"/>
      <c r="C1808" s="2"/>
      <c r="D1808" s="2"/>
      <c r="E1808" s="2"/>
      <c r="F1808" s="2"/>
      <c r="G1808" s="2"/>
      <c r="H1808" s="2"/>
      <c r="I1808" s="5"/>
    </row>
    <row r="1809" spans="1:9" ht="17.399999999999999" x14ac:dyDescent="0.25">
      <c r="A1809" s="16"/>
      <c r="B1809" s="17"/>
      <c r="C1809" s="2"/>
      <c r="D1809" s="2"/>
      <c r="E1809" s="2"/>
      <c r="F1809" s="2"/>
      <c r="G1809" s="2"/>
      <c r="H1809" s="2"/>
      <c r="I1809" s="5"/>
    </row>
    <row r="1810" spans="1:9" ht="17.399999999999999" x14ac:dyDescent="0.25">
      <c r="A1810" s="16"/>
      <c r="B1810" s="17"/>
      <c r="C1810" s="2"/>
      <c r="D1810" s="2"/>
      <c r="E1810" s="2"/>
      <c r="F1810" s="2"/>
      <c r="G1810" s="2"/>
      <c r="H1810" s="2"/>
      <c r="I1810" s="5"/>
    </row>
    <row r="1811" spans="1:9" ht="17.399999999999999" x14ac:dyDescent="0.25">
      <c r="A1811" s="16"/>
      <c r="B1811" s="17"/>
      <c r="C1811" s="2"/>
      <c r="D1811" s="2"/>
      <c r="E1811" s="2"/>
      <c r="F1811" s="2"/>
      <c r="G1811" s="2"/>
      <c r="H1811" s="2"/>
      <c r="I1811" s="5"/>
    </row>
    <row r="1812" spans="1:9" ht="17.399999999999999" x14ac:dyDescent="0.25">
      <c r="A1812" s="16"/>
      <c r="B1812" s="17"/>
      <c r="C1812" s="2"/>
      <c r="D1812" s="2"/>
      <c r="E1812" s="2"/>
      <c r="F1812" s="2"/>
      <c r="G1812" s="2"/>
      <c r="H1812" s="2"/>
      <c r="I1812" s="5"/>
    </row>
    <row r="1813" spans="1:9" ht="17.399999999999999" x14ac:dyDescent="0.25">
      <c r="A1813" s="16"/>
      <c r="B1813" s="17"/>
      <c r="C1813" s="2"/>
      <c r="D1813" s="2"/>
      <c r="E1813" s="2"/>
      <c r="F1813" s="2"/>
      <c r="G1813" s="2"/>
      <c r="H1813" s="2"/>
      <c r="I1813" s="5"/>
    </row>
    <row r="1814" spans="1:9" ht="17.399999999999999" x14ac:dyDescent="0.25">
      <c r="A1814" s="16"/>
      <c r="B1814" s="17"/>
      <c r="C1814" s="2"/>
      <c r="D1814" s="2"/>
      <c r="E1814" s="2"/>
      <c r="F1814" s="2"/>
      <c r="G1814" s="2"/>
      <c r="H1814" s="2"/>
      <c r="I1814" s="5"/>
    </row>
    <row r="1815" spans="1:9" ht="17.399999999999999" x14ac:dyDescent="0.25">
      <c r="A1815" s="16"/>
      <c r="B1815" s="17"/>
      <c r="C1815" s="2"/>
      <c r="D1815" s="2"/>
      <c r="E1815" s="2"/>
      <c r="F1815" s="2"/>
      <c r="G1815" s="2"/>
      <c r="H1815" s="2"/>
      <c r="I1815" s="5"/>
    </row>
    <row r="1816" spans="1:9" ht="17.399999999999999" x14ac:dyDescent="0.25">
      <c r="A1816" s="16"/>
      <c r="B1816" s="17"/>
      <c r="C1816" s="2"/>
      <c r="D1816" s="2"/>
      <c r="E1816" s="2"/>
      <c r="F1816" s="2"/>
      <c r="G1816" s="2"/>
      <c r="H1816" s="2"/>
      <c r="I1816" s="5"/>
    </row>
    <row r="1817" spans="1:9" ht="17.399999999999999" x14ac:dyDescent="0.25">
      <c r="A1817" s="16"/>
      <c r="B1817" s="17"/>
      <c r="C1817" s="2"/>
      <c r="D1817" s="2"/>
      <c r="E1817" s="2"/>
      <c r="F1817" s="2"/>
      <c r="G1817" s="2"/>
      <c r="H1817" s="2"/>
      <c r="I1817" s="5"/>
    </row>
    <row r="1818" spans="1:9" ht="17.399999999999999" x14ac:dyDescent="0.25">
      <c r="A1818" s="16"/>
      <c r="B1818" s="17"/>
      <c r="C1818" s="2"/>
      <c r="D1818" s="2"/>
      <c r="E1818" s="2"/>
      <c r="F1818" s="2"/>
      <c r="G1818" s="2"/>
      <c r="H1818" s="2"/>
      <c r="I1818" s="5"/>
    </row>
    <row r="1819" spans="1:9" ht="17.399999999999999" x14ac:dyDescent="0.25">
      <c r="A1819" s="16"/>
      <c r="B1819" s="17"/>
      <c r="C1819" s="2"/>
      <c r="D1819" s="2"/>
      <c r="E1819" s="2"/>
      <c r="F1819" s="2"/>
      <c r="G1819" s="2"/>
      <c r="H1819" s="2"/>
      <c r="I1819" s="5"/>
    </row>
    <row r="1820" spans="1:9" ht="17.399999999999999" x14ac:dyDescent="0.25">
      <c r="A1820" s="16"/>
      <c r="B1820" s="17"/>
      <c r="C1820" s="2"/>
      <c r="D1820" s="2"/>
      <c r="E1820" s="2"/>
      <c r="F1820" s="2"/>
      <c r="G1820" s="2"/>
      <c r="H1820" s="2"/>
      <c r="I1820" s="5"/>
    </row>
    <row r="1821" spans="1:9" ht="17.399999999999999" x14ac:dyDescent="0.25">
      <c r="A1821" s="16"/>
      <c r="B1821" s="17"/>
      <c r="C1821" s="2"/>
      <c r="D1821" s="2"/>
      <c r="E1821" s="2"/>
      <c r="F1821" s="2"/>
      <c r="G1821" s="2"/>
      <c r="H1821" s="2"/>
      <c r="I1821" s="5"/>
    </row>
    <row r="1822" spans="1:9" ht="17.399999999999999" x14ac:dyDescent="0.25">
      <c r="A1822" s="16"/>
      <c r="B1822" s="17"/>
      <c r="C1822" s="2"/>
      <c r="D1822" s="2"/>
      <c r="E1822" s="2"/>
      <c r="F1822" s="2"/>
      <c r="G1822" s="2"/>
      <c r="H1822" s="2"/>
      <c r="I1822" s="5"/>
    </row>
    <row r="1823" spans="1:9" ht="17.399999999999999" x14ac:dyDescent="0.25">
      <c r="A1823" s="16"/>
      <c r="B1823" s="17"/>
      <c r="C1823" s="2"/>
      <c r="D1823" s="2"/>
      <c r="E1823" s="2"/>
      <c r="F1823" s="2"/>
      <c r="G1823" s="2"/>
      <c r="H1823" s="2"/>
      <c r="I1823" s="5"/>
    </row>
    <row r="1824" spans="1:9" ht="17.399999999999999" x14ac:dyDescent="0.25">
      <c r="A1824" s="16"/>
      <c r="B1824" s="17"/>
      <c r="C1824" s="2"/>
      <c r="D1824" s="2"/>
      <c r="E1824" s="2"/>
      <c r="F1824" s="2"/>
      <c r="G1824" s="2"/>
      <c r="H1824" s="2"/>
      <c r="I1824" s="5"/>
    </row>
    <row r="1825" spans="1:9" ht="17.399999999999999" x14ac:dyDescent="0.25">
      <c r="A1825" s="16"/>
      <c r="B1825" s="17"/>
      <c r="C1825" s="2"/>
      <c r="D1825" s="2"/>
      <c r="E1825" s="2"/>
      <c r="F1825" s="2"/>
      <c r="G1825" s="2"/>
      <c r="H1825" s="2"/>
      <c r="I1825" s="5"/>
    </row>
    <row r="1826" spans="1:9" ht="17.399999999999999" x14ac:dyDescent="0.25">
      <c r="A1826" s="16"/>
      <c r="B1826" s="17"/>
      <c r="C1826" s="2"/>
      <c r="D1826" s="2"/>
      <c r="E1826" s="2"/>
      <c r="F1826" s="2"/>
      <c r="G1826" s="2"/>
      <c r="H1826" s="2"/>
      <c r="I1826" s="5"/>
    </row>
    <row r="1827" spans="1:9" ht="17.399999999999999" x14ac:dyDescent="0.25">
      <c r="A1827" s="16"/>
      <c r="B1827" s="17"/>
      <c r="C1827" s="2"/>
      <c r="D1827" s="2"/>
      <c r="E1827" s="2"/>
      <c r="F1827" s="2"/>
      <c r="G1827" s="2"/>
      <c r="H1827" s="2"/>
      <c r="I1827" s="5"/>
    </row>
    <row r="1828" spans="1:9" ht="17.399999999999999" x14ac:dyDescent="0.25">
      <c r="A1828" s="16"/>
      <c r="B1828" s="17"/>
      <c r="C1828" s="2"/>
      <c r="D1828" s="2"/>
      <c r="E1828" s="2"/>
      <c r="F1828" s="2"/>
      <c r="G1828" s="2"/>
      <c r="H1828" s="2"/>
      <c r="I1828" s="5"/>
    </row>
    <row r="1829" spans="1:9" ht="17.399999999999999" x14ac:dyDescent="0.25">
      <c r="A1829" s="16"/>
      <c r="B1829" s="17"/>
      <c r="C1829" s="2"/>
      <c r="D1829" s="2"/>
      <c r="E1829" s="2"/>
      <c r="F1829" s="2"/>
      <c r="G1829" s="2"/>
      <c r="H1829" s="2"/>
      <c r="I1829" s="5"/>
    </row>
    <row r="1830" spans="1:9" ht="17.399999999999999" x14ac:dyDescent="0.25">
      <c r="A1830" s="16"/>
      <c r="B1830" s="17"/>
      <c r="C1830" s="2"/>
      <c r="D1830" s="2"/>
      <c r="E1830" s="2"/>
      <c r="F1830" s="2"/>
      <c r="G1830" s="2"/>
      <c r="H1830" s="2"/>
      <c r="I1830" s="5"/>
    </row>
    <row r="1831" spans="1:9" ht="17.399999999999999" x14ac:dyDescent="0.25">
      <c r="A1831" s="16"/>
      <c r="B1831" s="17"/>
      <c r="C1831" s="2"/>
      <c r="D1831" s="2"/>
      <c r="E1831" s="2"/>
      <c r="F1831" s="2"/>
      <c r="G1831" s="2"/>
      <c r="H1831" s="2"/>
      <c r="I1831" s="5"/>
    </row>
    <row r="1832" spans="1:9" ht="17.399999999999999" x14ac:dyDescent="0.25">
      <c r="A1832" s="16"/>
      <c r="B1832" s="17"/>
      <c r="C1832" s="2"/>
      <c r="D1832" s="2"/>
      <c r="E1832" s="2"/>
      <c r="F1832" s="2"/>
      <c r="G1832" s="2"/>
      <c r="H1832" s="2"/>
      <c r="I1832" s="5"/>
    </row>
    <row r="1833" spans="1:9" ht="17.399999999999999" x14ac:dyDescent="0.25">
      <c r="A1833" s="16"/>
      <c r="B1833" s="17"/>
      <c r="C1833" s="2"/>
      <c r="D1833" s="2"/>
      <c r="E1833" s="2"/>
      <c r="F1833" s="2"/>
      <c r="G1833" s="2"/>
      <c r="H1833" s="2"/>
      <c r="I1833" s="5"/>
    </row>
    <row r="1834" spans="1:9" ht="17.399999999999999" x14ac:dyDescent="0.25">
      <c r="A1834" s="16"/>
      <c r="B1834" s="17"/>
      <c r="C1834" s="2"/>
      <c r="D1834" s="2"/>
      <c r="E1834" s="2"/>
      <c r="F1834" s="2"/>
      <c r="G1834" s="2"/>
      <c r="H1834" s="2"/>
      <c r="I1834" s="5"/>
    </row>
    <row r="1835" spans="1:9" ht="17.399999999999999" x14ac:dyDescent="0.25">
      <c r="A1835" s="16"/>
      <c r="B1835" s="17"/>
      <c r="C1835" s="2"/>
      <c r="D1835" s="2"/>
      <c r="E1835" s="2"/>
      <c r="F1835" s="2"/>
      <c r="G1835" s="2"/>
      <c r="H1835" s="2"/>
      <c r="I1835" s="5"/>
    </row>
    <row r="1836" spans="1:9" ht="17.399999999999999" x14ac:dyDescent="0.25">
      <c r="A1836" s="16"/>
      <c r="B1836" s="17"/>
      <c r="C1836" s="2"/>
      <c r="D1836" s="2"/>
      <c r="E1836" s="2"/>
      <c r="F1836" s="2"/>
      <c r="G1836" s="2"/>
      <c r="H1836" s="2"/>
      <c r="I1836" s="5"/>
    </row>
    <row r="1837" spans="1:9" ht="17.399999999999999" x14ac:dyDescent="0.25">
      <c r="A1837" s="16"/>
      <c r="B1837" s="17"/>
      <c r="C1837" s="2"/>
      <c r="D1837" s="2"/>
      <c r="E1837" s="2"/>
      <c r="F1837" s="2"/>
      <c r="G1837" s="2"/>
      <c r="H1837" s="2"/>
      <c r="I1837" s="5"/>
    </row>
    <row r="1838" spans="1:9" ht="17.399999999999999" x14ac:dyDescent="0.25">
      <c r="A1838" s="16"/>
      <c r="B1838" s="17"/>
      <c r="C1838" s="2"/>
      <c r="D1838" s="2"/>
      <c r="E1838" s="2"/>
      <c r="F1838" s="2"/>
      <c r="G1838" s="2"/>
      <c r="H1838" s="2"/>
      <c r="I1838" s="5"/>
    </row>
    <row r="1839" spans="1:9" ht="17.399999999999999" x14ac:dyDescent="0.25">
      <c r="A1839" s="16"/>
      <c r="B1839" s="17"/>
      <c r="C1839" s="2"/>
      <c r="D1839" s="2"/>
      <c r="E1839" s="2"/>
      <c r="F1839" s="2"/>
      <c r="G1839" s="2"/>
      <c r="H1839" s="2"/>
      <c r="I1839" s="5"/>
    </row>
    <row r="1840" spans="1:9" ht="17.399999999999999" x14ac:dyDescent="0.25">
      <c r="A1840" s="16"/>
      <c r="B1840" s="17"/>
      <c r="C1840" s="2"/>
      <c r="D1840" s="2"/>
      <c r="E1840" s="2"/>
      <c r="F1840" s="2"/>
      <c r="G1840" s="2"/>
      <c r="H1840" s="2"/>
      <c r="I1840" s="5"/>
    </row>
    <row r="1841" spans="1:9" ht="17.399999999999999" x14ac:dyDescent="0.25">
      <c r="A1841" s="16"/>
      <c r="B1841" s="17"/>
      <c r="C1841" s="2"/>
      <c r="D1841" s="2"/>
      <c r="E1841" s="2"/>
      <c r="F1841" s="2"/>
      <c r="G1841" s="2"/>
      <c r="H1841" s="2"/>
      <c r="I1841" s="5"/>
    </row>
    <row r="1842" spans="1:9" ht="17.399999999999999" x14ac:dyDescent="0.25">
      <c r="A1842" s="16"/>
      <c r="B1842" s="17"/>
      <c r="C1842" s="2"/>
      <c r="D1842" s="2"/>
      <c r="E1842" s="2"/>
      <c r="F1842" s="2"/>
      <c r="G1842" s="2"/>
      <c r="H1842" s="2"/>
      <c r="I1842" s="5"/>
    </row>
    <row r="1843" spans="1:9" ht="17.399999999999999" x14ac:dyDescent="0.25">
      <c r="A1843" s="16"/>
      <c r="B1843" s="17"/>
      <c r="C1843" s="2"/>
      <c r="D1843" s="2"/>
      <c r="E1843" s="2"/>
      <c r="F1843" s="2"/>
      <c r="G1843" s="2"/>
      <c r="H1843" s="2"/>
      <c r="I1843" s="5"/>
    </row>
    <row r="1844" spans="1:9" ht="17.399999999999999" x14ac:dyDescent="0.25">
      <c r="A1844" s="16"/>
      <c r="B1844" s="17"/>
      <c r="C1844" s="2"/>
      <c r="D1844" s="2"/>
      <c r="E1844" s="2"/>
      <c r="F1844" s="2"/>
      <c r="G1844" s="2"/>
      <c r="H1844" s="2"/>
      <c r="I1844" s="5"/>
    </row>
    <row r="1845" spans="1:9" ht="17.399999999999999" x14ac:dyDescent="0.25">
      <c r="A1845" s="16"/>
      <c r="B1845" s="17"/>
      <c r="C1845" s="2"/>
      <c r="D1845" s="2"/>
      <c r="E1845" s="2"/>
      <c r="F1845" s="2"/>
      <c r="G1845" s="2"/>
      <c r="H1845" s="2"/>
      <c r="I1845" s="5"/>
    </row>
    <row r="1846" spans="1:9" ht="17.399999999999999" x14ac:dyDescent="0.25">
      <c r="A1846" s="16"/>
      <c r="B1846" s="17"/>
      <c r="C1846" s="2"/>
      <c r="D1846" s="2"/>
      <c r="E1846" s="2"/>
      <c r="F1846" s="2"/>
      <c r="G1846" s="2"/>
      <c r="H1846" s="2"/>
      <c r="I1846" s="5"/>
    </row>
    <row r="1847" spans="1:9" ht="17.399999999999999" x14ac:dyDescent="0.25">
      <c r="A1847" s="16"/>
      <c r="B1847" s="17"/>
      <c r="C1847" s="2"/>
      <c r="D1847" s="2"/>
      <c r="E1847" s="2"/>
      <c r="F1847" s="2"/>
      <c r="G1847" s="2"/>
      <c r="H1847" s="2"/>
      <c r="I1847" s="5"/>
    </row>
    <row r="1848" spans="1:9" ht="17.399999999999999" x14ac:dyDescent="0.25">
      <c r="A1848" s="16"/>
      <c r="B1848" s="17"/>
      <c r="C1848" s="2"/>
      <c r="D1848" s="2"/>
      <c r="E1848" s="2"/>
      <c r="F1848" s="2"/>
      <c r="G1848" s="2"/>
      <c r="H1848" s="2"/>
      <c r="I1848" s="5"/>
    </row>
    <row r="1849" spans="1:9" ht="17.399999999999999" x14ac:dyDescent="0.25">
      <c r="A1849" s="16"/>
      <c r="B1849" s="17"/>
      <c r="C1849" s="2"/>
      <c r="D1849" s="2"/>
      <c r="E1849" s="2"/>
      <c r="F1849" s="2"/>
      <c r="G1849" s="2"/>
      <c r="H1849" s="2"/>
      <c r="I1849" s="5"/>
    </row>
    <row r="1850" spans="1:9" ht="17.399999999999999" x14ac:dyDescent="0.25">
      <c r="A1850" s="16"/>
      <c r="B1850" s="17"/>
      <c r="C1850" s="2"/>
      <c r="D1850" s="2"/>
      <c r="E1850" s="2"/>
      <c r="F1850" s="2"/>
      <c r="G1850" s="2"/>
      <c r="H1850" s="2"/>
      <c r="I1850" s="5"/>
    </row>
    <row r="1851" spans="1:9" ht="17.399999999999999" x14ac:dyDescent="0.25">
      <c r="A1851" s="16"/>
      <c r="B1851" s="17"/>
      <c r="C1851" s="2"/>
      <c r="D1851" s="2"/>
      <c r="E1851" s="2"/>
      <c r="F1851" s="2"/>
      <c r="G1851" s="2"/>
      <c r="H1851" s="2"/>
      <c r="I1851" s="5"/>
    </row>
    <row r="1852" spans="1:9" ht="17.399999999999999" x14ac:dyDescent="0.25">
      <c r="A1852" s="16"/>
      <c r="B1852" s="17"/>
      <c r="C1852" s="2"/>
      <c r="D1852" s="2"/>
      <c r="E1852" s="2"/>
      <c r="F1852" s="2"/>
      <c r="G1852" s="2"/>
      <c r="H1852" s="2"/>
      <c r="I1852" s="5"/>
    </row>
    <row r="1853" spans="1:9" ht="17.399999999999999" x14ac:dyDescent="0.25">
      <c r="A1853" s="16"/>
      <c r="B1853" s="17"/>
      <c r="C1853" s="2"/>
      <c r="D1853" s="2"/>
      <c r="E1853" s="2"/>
      <c r="F1853" s="2"/>
      <c r="G1853" s="2"/>
      <c r="H1853" s="2"/>
      <c r="I1853" s="5"/>
    </row>
    <row r="1854" spans="1:9" ht="17.399999999999999" x14ac:dyDescent="0.25">
      <c r="A1854" s="16"/>
      <c r="B1854" s="17"/>
      <c r="C1854" s="2"/>
      <c r="D1854" s="2"/>
      <c r="E1854" s="2"/>
      <c r="F1854" s="2"/>
      <c r="G1854" s="2"/>
      <c r="H1854" s="2"/>
      <c r="I1854" s="5"/>
    </row>
    <row r="1855" spans="1:9" ht="17.399999999999999" x14ac:dyDescent="0.25">
      <c r="A1855" s="16"/>
      <c r="B1855" s="17"/>
      <c r="C1855" s="2"/>
      <c r="D1855" s="2"/>
      <c r="E1855" s="2"/>
      <c r="F1855" s="2"/>
      <c r="G1855" s="2"/>
      <c r="H1855" s="2"/>
      <c r="I1855" s="5"/>
    </row>
    <row r="1856" spans="1:9" ht="17.399999999999999" x14ac:dyDescent="0.25">
      <c r="A1856" s="16"/>
      <c r="B1856" s="17"/>
      <c r="C1856" s="2"/>
      <c r="D1856" s="2"/>
      <c r="E1856" s="2"/>
      <c r="F1856" s="2"/>
      <c r="G1856" s="2"/>
      <c r="H1856" s="2"/>
      <c r="I1856" s="5"/>
    </row>
    <row r="1857" spans="1:9" ht="17.399999999999999" x14ac:dyDescent="0.25">
      <c r="A1857" s="16"/>
      <c r="B1857" s="17"/>
      <c r="C1857" s="2"/>
      <c r="D1857" s="2"/>
      <c r="E1857" s="2"/>
      <c r="F1857" s="2"/>
      <c r="G1857" s="2"/>
      <c r="H1857" s="2"/>
      <c r="I1857" s="5"/>
    </row>
    <row r="1858" spans="1:9" ht="17.399999999999999" x14ac:dyDescent="0.25">
      <c r="A1858" s="16"/>
      <c r="B1858" s="17"/>
      <c r="C1858" s="2"/>
      <c r="D1858" s="2"/>
      <c r="E1858" s="2"/>
      <c r="F1858" s="2"/>
      <c r="G1858" s="2"/>
      <c r="H1858" s="2"/>
      <c r="I1858" s="5"/>
    </row>
    <row r="1859" spans="1:9" ht="17.399999999999999" x14ac:dyDescent="0.25">
      <c r="A1859" s="16"/>
      <c r="B1859" s="17"/>
      <c r="C1859" s="2"/>
      <c r="D1859" s="2"/>
      <c r="E1859" s="2"/>
      <c r="F1859" s="2"/>
      <c r="G1859" s="2"/>
      <c r="H1859" s="2"/>
      <c r="I1859" s="5"/>
    </row>
    <row r="1860" spans="1:9" ht="17.399999999999999" x14ac:dyDescent="0.25">
      <c r="A1860" s="16"/>
      <c r="B1860" s="17"/>
      <c r="C1860" s="2"/>
      <c r="D1860" s="2"/>
      <c r="E1860" s="2"/>
      <c r="F1860" s="2"/>
      <c r="G1860" s="2"/>
      <c r="H1860" s="2"/>
      <c r="I1860" s="5"/>
    </row>
    <row r="1861" spans="1:9" ht="17.399999999999999" x14ac:dyDescent="0.25">
      <c r="A1861" s="16"/>
      <c r="B1861" s="17"/>
      <c r="C1861" s="2"/>
      <c r="D1861" s="2"/>
      <c r="E1861" s="2"/>
      <c r="F1861" s="2"/>
      <c r="G1861" s="2"/>
      <c r="H1861" s="2"/>
      <c r="I1861" s="5"/>
    </row>
    <row r="1862" spans="1:9" ht="17.399999999999999" x14ac:dyDescent="0.25">
      <c r="A1862" s="16"/>
      <c r="B1862" s="17"/>
      <c r="C1862" s="2"/>
      <c r="D1862" s="2"/>
      <c r="E1862" s="2"/>
      <c r="F1862" s="2"/>
      <c r="G1862" s="2"/>
      <c r="H1862" s="2"/>
      <c r="I1862" s="5"/>
    </row>
    <row r="1863" spans="1:9" ht="17.399999999999999" x14ac:dyDescent="0.25">
      <c r="A1863" s="16"/>
      <c r="B1863" s="17"/>
      <c r="C1863" s="2"/>
      <c r="D1863" s="2"/>
      <c r="E1863" s="2"/>
      <c r="F1863" s="2"/>
      <c r="G1863" s="2"/>
      <c r="H1863" s="2"/>
      <c r="I1863" s="5"/>
    </row>
    <row r="1864" spans="1:9" ht="17.399999999999999" x14ac:dyDescent="0.25">
      <c r="A1864" s="16"/>
      <c r="B1864" s="17"/>
      <c r="C1864" s="2"/>
      <c r="D1864" s="2"/>
      <c r="E1864" s="2"/>
      <c r="F1864" s="2"/>
      <c r="G1864" s="2"/>
      <c r="H1864" s="2"/>
      <c r="I1864" s="5"/>
    </row>
    <row r="1865" spans="1:9" ht="17.399999999999999" x14ac:dyDescent="0.25">
      <c r="A1865" s="16"/>
      <c r="B1865" s="17"/>
      <c r="C1865" s="2"/>
      <c r="D1865" s="2"/>
      <c r="E1865" s="2"/>
      <c r="F1865" s="2"/>
      <c r="G1865" s="2"/>
      <c r="H1865" s="2"/>
      <c r="I1865" s="5"/>
    </row>
    <row r="1866" spans="1:9" ht="17.399999999999999" x14ac:dyDescent="0.25">
      <c r="A1866" s="16"/>
      <c r="B1866" s="17"/>
      <c r="C1866" s="2"/>
      <c r="D1866" s="2"/>
      <c r="E1866" s="2"/>
      <c r="F1866" s="2"/>
      <c r="G1866" s="2"/>
      <c r="H1866" s="2"/>
      <c r="I1866" s="5"/>
    </row>
    <row r="1867" spans="1:9" ht="17.399999999999999" x14ac:dyDescent="0.25">
      <c r="A1867" s="16"/>
      <c r="B1867" s="17"/>
      <c r="C1867" s="2"/>
      <c r="D1867" s="2"/>
      <c r="E1867" s="2"/>
      <c r="F1867" s="2"/>
      <c r="G1867" s="2"/>
      <c r="H1867" s="2"/>
      <c r="I1867" s="5"/>
    </row>
    <row r="1868" spans="1:9" ht="17.399999999999999" x14ac:dyDescent="0.25">
      <c r="A1868" s="16"/>
      <c r="B1868" s="17"/>
      <c r="C1868" s="2"/>
      <c r="D1868" s="2"/>
      <c r="E1868" s="2"/>
      <c r="F1868" s="2"/>
      <c r="G1868" s="2"/>
      <c r="H1868" s="2"/>
      <c r="I1868" s="5"/>
    </row>
    <row r="1869" spans="1:9" ht="17.399999999999999" x14ac:dyDescent="0.25">
      <c r="A1869" s="16"/>
      <c r="B1869" s="17"/>
      <c r="C1869" s="2"/>
      <c r="D1869" s="2"/>
      <c r="E1869" s="2"/>
      <c r="F1869" s="2"/>
      <c r="G1869" s="2"/>
      <c r="H1869" s="2"/>
      <c r="I1869" s="5"/>
    </row>
    <row r="1870" spans="1:9" ht="17.399999999999999" x14ac:dyDescent="0.25">
      <c r="A1870" s="16"/>
      <c r="B1870" s="17"/>
      <c r="C1870" s="2"/>
      <c r="D1870" s="2"/>
      <c r="E1870" s="2"/>
      <c r="F1870" s="2"/>
      <c r="G1870" s="2"/>
      <c r="H1870" s="2"/>
      <c r="I1870" s="5"/>
    </row>
    <row r="1871" spans="1:9" ht="17.399999999999999" x14ac:dyDescent="0.25">
      <c r="A1871" s="16"/>
      <c r="B1871" s="17"/>
      <c r="C1871" s="2"/>
      <c r="D1871" s="2"/>
      <c r="E1871" s="2"/>
      <c r="F1871" s="2"/>
      <c r="G1871" s="2"/>
      <c r="H1871" s="2"/>
      <c r="I1871" s="5"/>
    </row>
    <row r="1872" spans="1:9" ht="17.399999999999999" x14ac:dyDescent="0.25">
      <c r="A1872" s="16"/>
      <c r="B1872" s="17"/>
      <c r="C1872" s="2"/>
      <c r="D1872" s="2"/>
      <c r="E1872" s="2"/>
      <c r="F1872" s="2"/>
      <c r="G1872" s="2"/>
      <c r="H1872" s="2"/>
      <c r="I1872" s="5"/>
    </row>
    <row r="1873" spans="1:9" ht="17.399999999999999" x14ac:dyDescent="0.25">
      <c r="A1873" s="16"/>
      <c r="B1873" s="17"/>
      <c r="C1873" s="2"/>
      <c r="D1873" s="2"/>
      <c r="E1873" s="2"/>
      <c r="F1873" s="2"/>
      <c r="G1873" s="2"/>
      <c r="H1873" s="2"/>
      <c r="I1873" s="5"/>
    </row>
    <row r="1874" spans="1:9" ht="17.399999999999999" x14ac:dyDescent="0.25">
      <c r="A1874" s="16"/>
      <c r="B1874" s="17"/>
      <c r="C1874" s="2"/>
      <c r="D1874" s="2"/>
      <c r="E1874" s="2"/>
      <c r="F1874" s="2"/>
      <c r="G1874" s="2"/>
      <c r="H1874" s="2"/>
      <c r="I1874" s="5"/>
    </row>
    <row r="1875" spans="1:9" ht="17.399999999999999" x14ac:dyDescent="0.25">
      <c r="A1875" s="16"/>
      <c r="B1875" s="17"/>
      <c r="C1875" s="2"/>
      <c r="D1875" s="2"/>
      <c r="E1875" s="2"/>
      <c r="F1875" s="2"/>
      <c r="G1875" s="2"/>
      <c r="H1875" s="2"/>
      <c r="I1875" s="5"/>
    </row>
    <row r="1876" spans="1:9" ht="17.399999999999999" x14ac:dyDescent="0.25">
      <c r="A1876" s="16"/>
      <c r="B1876" s="17"/>
      <c r="C1876" s="2"/>
      <c r="D1876" s="2"/>
      <c r="E1876" s="2"/>
      <c r="F1876" s="2"/>
      <c r="G1876" s="2"/>
      <c r="H1876" s="2"/>
      <c r="I1876" s="5"/>
    </row>
    <row r="1877" spans="1:9" ht="17.399999999999999" x14ac:dyDescent="0.25">
      <c r="A1877" s="16"/>
      <c r="B1877" s="17"/>
      <c r="C1877" s="2"/>
      <c r="D1877" s="2"/>
      <c r="E1877" s="2"/>
      <c r="F1877" s="2"/>
      <c r="G1877" s="2"/>
      <c r="H1877" s="2"/>
      <c r="I1877" s="5"/>
    </row>
    <row r="1878" spans="1:9" ht="17.399999999999999" x14ac:dyDescent="0.25">
      <c r="A1878" s="16"/>
      <c r="B1878" s="17"/>
      <c r="C1878" s="2"/>
      <c r="D1878" s="2"/>
      <c r="E1878" s="2"/>
      <c r="F1878" s="2"/>
      <c r="G1878" s="2"/>
      <c r="H1878" s="2"/>
      <c r="I1878" s="5"/>
    </row>
    <row r="1879" spans="1:9" ht="17.399999999999999" x14ac:dyDescent="0.25">
      <c r="A1879" s="16"/>
      <c r="B1879" s="17"/>
      <c r="C1879" s="2"/>
      <c r="D1879" s="2"/>
      <c r="E1879" s="2"/>
      <c r="F1879" s="2"/>
      <c r="G1879" s="2"/>
      <c r="H1879" s="2"/>
      <c r="I1879" s="5"/>
    </row>
    <row r="1880" spans="1:9" ht="17.399999999999999" x14ac:dyDescent="0.25">
      <c r="A1880" s="16"/>
      <c r="B1880" s="17"/>
      <c r="C1880" s="2"/>
      <c r="D1880" s="2"/>
      <c r="E1880" s="2"/>
      <c r="F1880" s="2"/>
      <c r="G1880" s="2"/>
      <c r="H1880" s="2"/>
      <c r="I1880" s="5"/>
    </row>
    <row r="1881" spans="1:9" ht="17.399999999999999" x14ac:dyDescent="0.25">
      <c r="A1881" s="16"/>
      <c r="B1881" s="17"/>
      <c r="C1881" s="2"/>
      <c r="D1881" s="2"/>
      <c r="E1881" s="2"/>
      <c r="F1881" s="2"/>
      <c r="G1881" s="2"/>
      <c r="H1881" s="2"/>
      <c r="I1881" s="5"/>
    </row>
    <row r="1882" spans="1:9" ht="17.399999999999999" x14ac:dyDescent="0.25">
      <c r="A1882" s="16"/>
      <c r="B1882" s="17"/>
      <c r="C1882" s="2"/>
      <c r="D1882" s="2"/>
      <c r="E1882" s="2"/>
      <c r="F1882" s="2"/>
      <c r="G1882" s="2"/>
      <c r="H1882" s="2"/>
      <c r="I1882" s="5"/>
    </row>
    <row r="1883" spans="1:9" ht="17.399999999999999" x14ac:dyDescent="0.25">
      <c r="A1883" s="16"/>
      <c r="B1883" s="17"/>
      <c r="C1883" s="2"/>
      <c r="D1883" s="2"/>
      <c r="E1883" s="2"/>
      <c r="F1883" s="2"/>
      <c r="G1883" s="2"/>
      <c r="H1883" s="2"/>
      <c r="I1883" s="5"/>
    </row>
    <row r="1884" spans="1:9" ht="17.399999999999999" x14ac:dyDescent="0.25">
      <c r="A1884" s="16"/>
      <c r="B1884" s="17"/>
      <c r="C1884" s="2"/>
      <c r="D1884" s="2"/>
      <c r="E1884" s="2"/>
      <c r="F1884" s="2"/>
      <c r="G1884" s="2"/>
      <c r="H1884" s="2"/>
      <c r="I1884" s="5"/>
    </row>
    <row r="1885" spans="1:9" ht="17.399999999999999" x14ac:dyDescent="0.25">
      <c r="A1885" s="16"/>
      <c r="B1885" s="17"/>
      <c r="C1885" s="2"/>
      <c r="D1885" s="2"/>
      <c r="E1885" s="2"/>
      <c r="F1885" s="2"/>
      <c r="G1885" s="2"/>
      <c r="H1885" s="2"/>
      <c r="I1885" s="5"/>
    </row>
    <row r="1886" spans="1:9" ht="17.399999999999999" x14ac:dyDescent="0.25">
      <c r="A1886" s="16"/>
      <c r="B1886" s="17"/>
      <c r="C1886" s="2"/>
      <c r="D1886" s="2"/>
      <c r="E1886" s="2"/>
      <c r="F1886" s="2"/>
      <c r="G1886" s="2"/>
      <c r="H1886" s="2"/>
      <c r="I1886" s="5"/>
    </row>
    <row r="1887" spans="1:9" ht="17.399999999999999" x14ac:dyDescent="0.25">
      <c r="A1887" s="16"/>
      <c r="B1887" s="17"/>
      <c r="C1887" s="2"/>
      <c r="D1887" s="2"/>
      <c r="E1887" s="2"/>
      <c r="F1887" s="2"/>
      <c r="G1887" s="2"/>
      <c r="H1887" s="2"/>
      <c r="I1887" s="5"/>
    </row>
    <row r="1888" spans="1:9" ht="17.399999999999999" x14ac:dyDescent="0.25">
      <c r="A1888" s="16"/>
      <c r="B1888" s="17"/>
      <c r="C1888" s="2"/>
      <c r="D1888" s="2"/>
      <c r="E1888" s="2"/>
      <c r="F1888" s="2"/>
      <c r="G1888" s="2"/>
      <c r="H1888" s="2"/>
      <c r="I1888" s="5"/>
    </row>
    <row r="1889" spans="1:9" ht="17.399999999999999" x14ac:dyDescent="0.25">
      <c r="A1889" s="16"/>
      <c r="B1889" s="17"/>
      <c r="C1889" s="2"/>
      <c r="D1889" s="2"/>
      <c r="E1889" s="2"/>
      <c r="F1889" s="2"/>
      <c r="G1889" s="2"/>
      <c r="H1889" s="2"/>
      <c r="I1889" s="5"/>
    </row>
    <row r="1890" spans="1:9" ht="17.399999999999999" x14ac:dyDescent="0.25">
      <c r="A1890" s="16"/>
      <c r="B1890" s="17"/>
      <c r="C1890" s="2"/>
      <c r="D1890" s="2"/>
      <c r="E1890" s="2"/>
      <c r="F1890" s="2"/>
      <c r="G1890" s="2"/>
      <c r="H1890" s="2"/>
      <c r="I1890" s="5"/>
    </row>
    <row r="1891" spans="1:9" ht="17.399999999999999" x14ac:dyDescent="0.25">
      <c r="A1891" s="16"/>
      <c r="B1891" s="17"/>
      <c r="C1891" s="2"/>
      <c r="D1891" s="2"/>
      <c r="E1891" s="2"/>
      <c r="F1891" s="2"/>
      <c r="G1891" s="2"/>
      <c r="H1891" s="2"/>
      <c r="I1891" s="5"/>
    </row>
    <row r="1892" spans="1:9" ht="17.399999999999999" x14ac:dyDescent="0.25">
      <c r="A1892" s="16"/>
      <c r="B1892" s="17"/>
      <c r="C1892" s="2"/>
      <c r="D1892" s="2"/>
      <c r="E1892" s="2"/>
      <c r="F1892" s="2"/>
      <c r="G1892" s="2"/>
      <c r="H1892" s="2"/>
      <c r="I1892" s="5"/>
    </row>
    <row r="1893" spans="1:9" ht="17.399999999999999" x14ac:dyDescent="0.25">
      <c r="A1893" s="16"/>
      <c r="B1893" s="17"/>
      <c r="C1893" s="2"/>
      <c r="D1893" s="2"/>
      <c r="E1893" s="2"/>
      <c r="F1893" s="2"/>
      <c r="G1893" s="2"/>
      <c r="H1893" s="2"/>
      <c r="I1893" s="5"/>
    </row>
    <row r="1894" spans="1:9" ht="17.399999999999999" x14ac:dyDescent="0.25">
      <c r="A1894" s="16"/>
      <c r="B1894" s="17"/>
      <c r="C1894" s="2"/>
      <c r="D1894" s="2"/>
      <c r="E1894" s="2"/>
      <c r="F1894" s="2"/>
      <c r="G1894" s="2"/>
      <c r="H1894" s="2"/>
      <c r="I1894" s="5"/>
    </row>
    <row r="1895" spans="1:9" ht="17.399999999999999" x14ac:dyDescent="0.25">
      <c r="A1895" s="16"/>
      <c r="B1895" s="17"/>
      <c r="C1895" s="2"/>
      <c r="D1895" s="2"/>
      <c r="E1895" s="2"/>
      <c r="F1895" s="2"/>
      <c r="G1895" s="2"/>
      <c r="H1895" s="2"/>
      <c r="I1895" s="5"/>
    </row>
    <row r="1896" spans="1:9" ht="17.399999999999999" x14ac:dyDescent="0.25">
      <c r="A1896" s="16"/>
      <c r="B1896" s="17"/>
      <c r="C1896" s="2"/>
      <c r="D1896" s="2"/>
      <c r="E1896" s="2"/>
      <c r="F1896" s="2"/>
      <c r="G1896" s="2"/>
      <c r="H1896" s="2"/>
      <c r="I1896" s="5"/>
    </row>
    <row r="1897" spans="1:9" ht="17.399999999999999" x14ac:dyDescent="0.25">
      <c r="A1897" s="16"/>
      <c r="B1897" s="17"/>
      <c r="C1897" s="2"/>
      <c r="D1897" s="2"/>
      <c r="E1897" s="2"/>
      <c r="F1897" s="2"/>
      <c r="G1897" s="2"/>
      <c r="H1897" s="2"/>
      <c r="I1897" s="5"/>
    </row>
    <row r="1898" spans="1:9" ht="17.399999999999999" x14ac:dyDescent="0.25">
      <c r="A1898" s="16"/>
      <c r="B1898" s="17"/>
      <c r="C1898" s="2"/>
      <c r="D1898" s="2"/>
      <c r="E1898" s="2"/>
      <c r="F1898" s="2"/>
      <c r="G1898" s="2"/>
      <c r="H1898" s="2"/>
      <c r="I1898" s="5"/>
    </row>
    <row r="1899" spans="1:9" ht="17.399999999999999" x14ac:dyDescent="0.25">
      <c r="A1899" s="16"/>
      <c r="B1899" s="17"/>
      <c r="C1899" s="2"/>
      <c r="D1899" s="2"/>
      <c r="E1899" s="2"/>
      <c r="F1899" s="2"/>
      <c r="G1899" s="2"/>
      <c r="H1899" s="2"/>
      <c r="I1899" s="5"/>
    </row>
    <row r="1900" spans="1:9" ht="17.399999999999999" x14ac:dyDescent="0.25">
      <c r="A1900" s="16"/>
      <c r="B1900" s="17"/>
      <c r="C1900" s="2"/>
      <c r="D1900" s="2"/>
      <c r="E1900" s="2"/>
      <c r="F1900" s="2"/>
      <c r="G1900" s="2"/>
      <c r="H1900" s="2"/>
      <c r="I1900" s="5"/>
    </row>
    <row r="1901" spans="1:9" ht="17.399999999999999" x14ac:dyDescent="0.25">
      <c r="A1901" s="16"/>
      <c r="B1901" s="17"/>
      <c r="C1901" s="2"/>
      <c r="D1901" s="2"/>
      <c r="E1901" s="2"/>
      <c r="F1901" s="2"/>
      <c r="G1901" s="2"/>
      <c r="H1901" s="2"/>
      <c r="I1901" s="5"/>
    </row>
    <row r="1902" spans="1:9" ht="17.399999999999999" x14ac:dyDescent="0.25">
      <c r="A1902" s="16"/>
      <c r="B1902" s="17"/>
      <c r="C1902" s="2"/>
      <c r="D1902" s="2"/>
      <c r="E1902" s="2"/>
      <c r="F1902" s="2"/>
      <c r="G1902" s="2"/>
      <c r="H1902" s="2"/>
      <c r="I1902" s="5"/>
    </row>
    <row r="1903" spans="1:9" ht="17.399999999999999" x14ac:dyDescent="0.25">
      <c r="A1903" s="16"/>
      <c r="B1903" s="17"/>
      <c r="C1903" s="2"/>
      <c r="D1903" s="2"/>
      <c r="E1903" s="2"/>
      <c r="F1903" s="2"/>
      <c r="G1903" s="2"/>
      <c r="H1903" s="2"/>
      <c r="I1903" s="5"/>
    </row>
    <row r="1904" spans="1:9" ht="17.399999999999999" x14ac:dyDescent="0.25">
      <c r="A1904" s="16"/>
      <c r="B1904" s="17"/>
      <c r="C1904" s="2"/>
      <c r="D1904" s="2"/>
      <c r="E1904" s="2"/>
      <c r="F1904" s="2"/>
      <c r="G1904" s="2"/>
      <c r="H1904" s="2"/>
      <c r="I1904" s="5"/>
    </row>
    <row r="1905" spans="1:9" ht="17.399999999999999" x14ac:dyDescent="0.25">
      <c r="A1905" s="16"/>
      <c r="B1905" s="17"/>
      <c r="C1905" s="2"/>
      <c r="D1905" s="2"/>
      <c r="E1905" s="2"/>
      <c r="F1905" s="2"/>
      <c r="G1905" s="2"/>
      <c r="H1905" s="2"/>
      <c r="I1905" s="5"/>
    </row>
    <row r="1906" spans="1:9" ht="17.399999999999999" x14ac:dyDescent="0.25">
      <c r="A1906" s="16"/>
      <c r="B1906" s="17"/>
      <c r="C1906" s="2"/>
      <c r="D1906" s="2"/>
      <c r="E1906" s="2"/>
      <c r="F1906" s="2"/>
      <c r="G1906" s="2"/>
      <c r="H1906" s="2"/>
      <c r="I1906" s="5"/>
    </row>
    <row r="1907" spans="1:9" ht="17.399999999999999" x14ac:dyDescent="0.25">
      <c r="A1907" s="16"/>
      <c r="B1907" s="17"/>
      <c r="C1907" s="2"/>
      <c r="D1907" s="2"/>
      <c r="E1907" s="2"/>
      <c r="F1907" s="2"/>
      <c r="G1907" s="2"/>
      <c r="H1907" s="2"/>
      <c r="I1907" s="5"/>
    </row>
    <row r="1908" spans="1:9" ht="17.399999999999999" x14ac:dyDescent="0.25">
      <c r="A1908" s="16"/>
      <c r="B1908" s="17"/>
      <c r="C1908" s="2"/>
      <c r="D1908" s="2"/>
      <c r="E1908" s="2"/>
      <c r="F1908" s="2"/>
      <c r="G1908" s="2"/>
      <c r="H1908" s="2"/>
      <c r="I1908" s="5"/>
    </row>
    <row r="1909" spans="1:9" ht="17.399999999999999" x14ac:dyDescent="0.25">
      <c r="A1909" s="16"/>
      <c r="B1909" s="17"/>
      <c r="C1909" s="2"/>
      <c r="D1909" s="2"/>
      <c r="E1909" s="2"/>
      <c r="F1909" s="2"/>
      <c r="G1909" s="2"/>
      <c r="H1909" s="2"/>
      <c r="I1909" s="5"/>
    </row>
    <row r="1910" spans="1:9" ht="17.399999999999999" x14ac:dyDescent="0.25">
      <c r="A1910" s="16"/>
      <c r="B1910" s="17"/>
      <c r="C1910" s="2"/>
      <c r="D1910" s="2"/>
      <c r="E1910" s="2"/>
      <c r="F1910" s="2"/>
      <c r="G1910" s="2"/>
      <c r="H1910" s="2"/>
      <c r="I1910" s="5"/>
    </row>
    <row r="1911" spans="1:9" ht="17.399999999999999" x14ac:dyDescent="0.25">
      <c r="A1911" s="16"/>
      <c r="B1911" s="17"/>
      <c r="C1911" s="2"/>
      <c r="D1911" s="2"/>
      <c r="E1911" s="2"/>
      <c r="F1911" s="2"/>
      <c r="G1911" s="2"/>
      <c r="H1911" s="2"/>
      <c r="I1911" s="5"/>
    </row>
    <row r="1912" spans="1:9" ht="17.399999999999999" x14ac:dyDescent="0.25">
      <c r="A1912" s="16"/>
      <c r="B1912" s="17"/>
      <c r="C1912" s="2"/>
      <c r="D1912" s="2"/>
      <c r="E1912" s="2"/>
      <c r="F1912" s="2"/>
      <c r="G1912" s="2"/>
      <c r="H1912" s="2"/>
      <c r="I1912" s="5"/>
    </row>
    <row r="1913" spans="1:9" ht="17.399999999999999" x14ac:dyDescent="0.25">
      <c r="A1913" s="16"/>
      <c r="B1913" s="17"/>
      <c r="C1913" s="2"/>
      <c r="D1913" s="2"/>
      <c r="E1913" s="2"/>
      <c r="F1913" s="2"/>
      <c r="G1913" s="2"/>
      <c r="H1913" s="2"/>
      <c r="I1913" s="5"/>
    </row>
    <row r="1914" spans="1:9" ht="17.399999999999999" x14ac:dyDescent="0.25">
      <c r="A1914" s="16"/>
      <c r="B1914" s="17"/>
      <c r="C1914" s="2"/>
      <c r="D1914" s="2"/>
      <c r="E1914" s="2"/>
      <c r="F1914" s="2"/>
      <c r="G1914" s="2"/>
      <c r="H1914" s="2"/>
      <c r="I1914" s="5"/>
    </row>
    <row r="1915" spans="1:9" ht="17.399999999999999" x14ac:dyDescent="0.25">
      <c r="A1915" s="16"/>
      <c r="B1915" s="17"/>
      <c r="C1915" s="2"/>
      <c r="D1915" s="2"/>
      <c r="E1915" s="2"/>
      <c r="F1915" s="2"/>
      <c r="G1915" s="2"/>
      <c r="H1915" s="2"/>
      <c r="I1915" s="5"/>
    </row>
    <row r="1916" spans="1:9" ht="17.399999999999999" x14ac:dyDescent="0.25">
      <c r="A1916" s="16"/>
      <c r="B1916" s="17"/>
      <c r="C1916" s="2"/>
      <c r="D1916" s="2"/>
      <c r="E1916" s="2"/>
      <c r="F1916" s="2"/>
      <c r="G1916" s="2"/>
      <c r="H1916" s="2"/>
      <c r="I1916" s="5"/>
    </row>
    <row r="1917" spans="1:9" ht="17.399999999999999" x14ac:dyDescent="0.25">
      <c r="A1917" s="16"/>
      <c r="B1917" s="17"/>
      <c r="C1917" s="2"/>
      <c r="D1917" s="2"/>
      <c r="E1917" s="2"/>
      <c r="F1917" s="2"/>
      <c r="G1917" s="2"/>
      <c r="H1917" s="2"/>
      <c r="I1917" s="5"/>
    </row>
    <row r="1918" spans="1:9" ht="17.399999999999999" x14ac:dyDescent="0.25">
      <c r="A1918" s="16"/>
      <c r="B1918" s="17"/>
      <c r="C1918" s="2"/>
      <c r="D1918" s="2"/>
      <c r="E1918" s="2"/>
      <c r="F1918" s="2"/>
      <c r="G1918" s="2"/>
      <c r="H1918" s="2"/>
      <c r="I1918" s="5"/>
    </row>
    <row r="1919" spans="1:9" ht="17.399999999999999" x14ac:dyDescent="0.25">
      <c r="A1919" s="16"/>
      <c r="B1919" s="17"/>
      <c r="C1919" s="2"/>
      <c r="D1919" s="2"/>
      <c r="E1919" s="2"/>
      <c r="F1919" s="2"/>
      <c r="G1919" s="2"/>
      <c r="H1919" s="2"/>
      <c r="I1919" s="5"/>
    </row>
    <row r="1920" spans="1:9" ht="17.399999999999999" x14ac:dyDescent="0.25">
      <c r="A1920" s="16"/>
      <c r="B1920" s="17"/>
      <c r="C1920" s="2"/>
      <c r="D1920" s="2"/>
      <c r="E1920" s="2"/>
      <c r="F1920" s="2"/>
      <c r="G1920" s="2"/>
      <c r="H1920" s="2"/>
      <c r="I1920" s="5"/>
    </row>
    <row r="1921" spans="1:9" ht="17.399999999999999" x14ac:dyDescent="0.25">
      <c r="A1921" s="16"/>
      <c r="B1921" s="17"/>
      <c r="C1921" s="2"/>
      <c r="D1921" s="2"/>
      <c r="E1921" s="2"/>
      <c r="F1921" s="2"/>
      <c r="G1921" s="2"/>
      <c r="H1921" s="2"/>
      <c r="I1921" s="5"/>
    </row>
    <row r="1922" spans="1:9" ht="17.399999999999999" x14ac:dyDescent="0.25">
      <c r="A1922" s="16"/>
      <c r="B1922" s="17"/>
      <c r="C1922" s="2"/>
      <c r="D1922" s="2"/>
      <c r="E1922" s="2"/>
      <c r="F1922" s="2"/>
      <c r="G1922" s="2"/>
      <c r="H1922" s="2"/>
      <c r="I1922" s="5"/>
    </row>
    <row r="1923" spans="1:9" ht="17.399999999999999" x14ac:dyDescent="0.25">
      <c r="A1923" s="16"/>
      <c r="B1923" s="17"/>
      <c r="C1923" s="2"/>
      <c r="D1923" s="2"/>
      <c r="E1923" s="2"/>
      <c r="F1923" s="2"/>
      <c r="G1923" s="2"/>
      <c r="H1923" s="2"/>
      <c r="I1923" s="5"/>
    </row>
    <row r="1924" spans="1:9" ht="17.399999999999999" x14ac:dyDescent="0.25">
      <c r="A1924" s="16"/>
      <c r="B1924" s="17"/>
      <c r="C1924" s="2"/>
      <c r="D1924" s="2"/>
      <c r="E1924" s="2"/>
      <c r="F1924" s="2"/>
      <c r="G1924" s="2"/>
      <c r="H1924" s="2"/>
      <c r="I1924" s="5"/>
    </row>
    <row r="1925" spans="1:9" ht="17.399999999999999" x14ac:dyDescent="0.25">
      <c r="A1925" s="16"/>
      <c r="B1925" s="17"/>
      <c r="C1925" s="2"/>
      <c r="D1925" s="2"/>
      <c r="E1925" s="2"/>
      <c r="F1925" s="2"/>
      <c r="G1925" s="2"/>
      <c r="H1925" s="2"/>
      <c r="I1925" s="5"/>
    </row>
    <row r="1926" spans="1:9" ht="17.399999999999999" x14ac:dyDescent="0.25">
      <c r="A1926" s="16"/>
      <c r="B1926" s="17"/>
      <c r="C1926" s="2"/>
      <c r="D1926" s="2"/>
      <c r="E1926" s="2"/>
      <c r="F1926" s="2"/>
      <c r="G1926" s="2"/>
      <c r="H1926" s="2"/>
      <c r="I1926" s="5"/>
    </row>
    <row r="1927" spans="1:9" ht="17.399999999999999" x14ac:dyDescent="0.25">
      <c r="A1927" s="16"/>
      <c r="B1927" s="17"/>
      <c r="C1927" s="2"/>
      <c r="D1927" s="2"/>
      <c r="E1927" s="2"/>
      <c r="F1927" s="2"/>
      <c r="G1927" s="2"/>
      <c r="H1927" s="2"/>
      <c r="I1927" s="5"/>
    </row>
    <row r="1928" spans="1:9" ht="17.399999999999999" x14ac:dyDescent="0.25">
      <c r="A1928" s="16"/>
      <c r="B1928" s="17"/>
      <c r="C1928" s="2"/>
      <c r="D1928" s="2"/>
      <c r="E1928" s="2"/>
      <c r="F1928" s="2"/>
      <c r="G1928" s="2"/>
      <c r="H1928" s="2"/>
      <c r="I1928" s="5"/>
    </row>
    <row r="1929" spans="1:9" ht="17.399999999999999" x14ac:dyDescent="0.25">
      <c r="A1929" s="16"/>
      <c r="B1929" s="17"/>
      <c r="C1929" s="2"/>
      <c r="D1929" s="2"/>
      <c r="E1929" s="2"/>
      <c r="F1929" s="2"/>
      <c r="G1929" s="2"/>
      <c r="H1929" s="2"/>
      <c r="I1929" s="5"/>
    </row>
    <row r="1930" spans="1:9" ht="17.399999999999999" x14ac:dyDescent="0.25">
      <c r="A1930" s="16"/>
      <c r="B1930" s="17"/>
      <c r="C1930" s="2"/>
      <c r="D1930" s="2"/>
      <c r="E1930" s="2"/>
      <c r="F1930" s="2"/>
      <c r="G1930" s="2"/>
      <c r="H1930" s="2"/>
      <c r="I1930" s="5"/>
    </row>
    <row r="1931" spans="1:9" ht="17.399999999999999" x14ac:dyDescent="0.25">
      <c r="A1931" s="16"/>
      <c r="B1931" s="17"/>
      <c r="C1931" s="2"/>
      <c r="D1931" s="2"/>
      <c r="E1931" s="2"/>
      <c r="F1931" s="2"/>
      <c r="G1931" s="2"/>
      <c r="H1931" s="2"/>
      <c r="I1931" s="5"/>
    </row>
    <row r="1932" spans="1:9" ht="17.399999999999999" x14ac:dyDescent="0.25">
      <c r="A1932" s="16"/>
      <c r="B1932" s="17"/>
      <c r="C1932" s="2"/>
      <c r="D1932" s="2"/>
      <c r="E1932" s="2"/>
      <c r="F1932" s="2"/>
      <c r="G1932" s="2"/>
      <c r="H1932" s="2"/>
      <c r="I1932" s="5"/>
    </row>
    <row r="1933" spans="1:9" ht="17.399999999999999" x14ac:dyDescent="0.25">
      <c r="A1933" s="16"/>
      <c r="B1933" s="17"/>
      <c r="C1933" s="2"/>
      <c r="D1933" s="2"/>
      <c r="E1933" s="2"/>
      <c r="F1933" s="2"/>
      <c r="G1933" s="2"/>
      <c r="H1933" s="2"/>
      <c r="I1933" s="5"/>
    </row>
    <row r="1934" spans="1:9" ht="17.399999999999999" x14ac:dyDescent="0.25">
      <c r="A1934" s="16"/>
      <c r="B1934" s="17"/>
      <c r="C1934" s="2"/>
      <c r="D1934" s="2"/>
      <c r="E1934" s="2"/>
      <c r="F1934" s="2"/>
      <c r="G1934" s="2"/>
      <c r="H1934" s="2"/>
      <c r="I1934" s="5"/>
    </row>
    <row r="1935" spans="1:9" ht="17.399999999999999" x14ac:dyDescent="0.25">
      <c r="A1935" s="16"/>
      <c r="B1935" s="17"/>
      <c r="C1935" s="2"/>
      <c r="D1935" s="2"/>
      <c r="E1935" s="2"/>
      <c r="F1935" s="2"/>
      <c r="G1935" s="2"/>
      <c r="H1935" s="2"/>
      <c r="I1935" s="5"/>
    </row>
    <row r="1936" spans="1:9" ht="17.399999999999999" x14ac:dyDescent="0.25">
      <c r="A1936" s="16"/>
      <c r="B1936" s="17"/>
      <c r="C1936" s="2"/>
      <c r="D1936" s="2"/>
      <c r="E1936" s="2"/>
      <c r="F1936" s="2"/>
      <c r="G1936" s="2"/>
      <c r="H1936" s="2"/>
      <c r="I1936" s="5"/>
    </row>
    <row r="1937" spans="1:9" ht="17.399999999999999" x14ac:dyDescent="0.25">
      <c r="A1937" s="16"/>
      <c r="B1937" s="17"/>
      <c r="C1937" s="2"/>
      <c r="D1937" s="2"/>
      <c r="E1937" s="2"/>
      <c r="F1937" s="2"/>
      <c r="G1937" s="2"/>
      <c r="H1937" s="2"/>
      <c r="I1937" s="5"/>
    </row>
    <row r="1938" spans="1:9" ht="17.399999999999999" x14ac:dyDescent="0.25">
      <c r="A1938" s="16"/>
      <c r="B1938" s="17"/>
      <c r="C1938" s="2"/>
      <c r="D1938" s="2"/>
      <c r="E1938" s="2"/>
      <c r="F1938" s="2"/>
      <c r="G1938" s="2"/>
      <c r="H1938" s="2"/>
      <c r="I1938" s="5"/>
    </row>
    <row r="1939" spans="1:9" ht="17.399999999999999" x14ac:dyDescent="0.25">
      <c r="A1939" s="16"/>
      <c r="B1939" s="17"/>
      <c r="C1939" s="2"/>
      <c r="D1939" s="2"/>
      <c r="E1939" s="2"/>
      <c r="F1939" s="2"/>
      <c r="G1939" s="2"/>
      <c r="H1939" s="2"/>
      <c r="I1939" s="5"/>
    </row>
    <row r="1940" spans="1:9" ht="17.399999999999999" x14ac:dyDescent="0.25">
      <c r="A1940" s="16"/>
      <c r="B1940" s="17"/>
      <c r="C1940" s="2"/>
      <c r="D1940" s="2"/>
      <c r="E1940" s="2"/>
      <c r="F1940" s="2"/>
      <c r="G1940" s="2"/>
      <c r="H1940" s="2"/>
      <c r="I1940" s="5"/>
    </row>
    <row r="1941" spans="1:9" ht="17.399999999999999" x14ac:dyDescent="0.25">
      <c r="A1941" s="16"/>
      <c r="B1941" s="17"/>
      <c r="C1941" s="2" t="b">
        <v>0</v>
      </c>
      <c r="D1941" s="2"/>
      <c r="E1941" s="2"/>
      <c r="F1941" s="2"/>
      <c r="G1941" s="2"/>
      <c r="H1941" s="2"/>
      <c r="I1941" s="5"/>
    </row>
    <row r="1942" spans="1:9" ht="17.399999999999999" x14ac:dyDescent="0.25">
      <c r="A1942" s="16"/>
      <c r="B1942" s="17"/>
      <c r="C1942" s="2" t="b">
        <v>0</v>
      </c>
      <c r="D1942" s="2"/>
      <c r="E1942" s="2"/>
      <c r="F1942" s="2"/>
      <c r="G1942" s="2"/>
      <c r="H1942" s="2"/>
      <c r="I1942" s="5"/>
    </row>
    <row r="1943" spans="1:9" ht="17.399999999999999" x14ac:dyDescent="0.25">
      <c r="A1943" s="16"/>
      <c r="B1943" s="17"/>
      <c r="C1943" s="2" t="b">
        <v>0</v>
      </c>
      <c r="D1943" s="2"/>
      <c r="E1943" s="2"/>
      <c r="F1943" s="2"/>
      <c r="G1943" s="2"/>
      <c r="H1943" s="2"/>
      <c r="I1943" s="5"/>
    </row>
    <row r="1944" spans="1:9" ht="17.399999999999999" x14ac:dyDescent="0.25">
      <c r="A1944" s="16"/>
      <c r="B1944" s="17"/>
      <c r="C1944" s="2" t="b">
        <v>0</v>
      </c>
      <c r="D1944" s="2"/>
      <c r="E1944" s="2"/>
      <c r="F1944" s="2"/>
      <c r="G1944" s="2"/>
      <c r="H1944" s="2"/>
      <c r="I1944" s="5"/>
    </row>
    <row r="1945" spans="1:9" ht="17.399999999999999" x14ac:dyDescent="0.25">
      <c r="A1945" s="16"/>
      <c r="B1945" s="17"/>
      <c r="C1945" s="2" t="b">
        <v>0</v>
      </c>
      <c r="D1945" s="2"/>
      <c r="E1945" s="2"/>
      <c r="F1945" s="2"/>
      <c r="G1945" s="2"/>
      <c r="H1945" s="2"/>
      <c r="I1945" s="5"/>
    </row>
    <row r="1946" spans="1:9" ht="17.399999999999999" x14ac:dyDescent="0.25">
      <c r="A1946" s="16"/>
      <c r="B1946" s="17"/>
      <c r="C1946" s="2" t="b">
        <v>0</v>
      </c>
      <c r="D1946" s="2"/>
      <c r="E1946" s="2"/>
      <c r="F1946" s="2"/>
      <c r="G1946" s="2"/>
      <c r="H1946" s="2"/>
      <c r="I1946" s="5"/>
    </row>
    <row r="1947" spans="1:9" ht="17.399999999999999" x14ac:dyDescent="0.25">
      <c r="A1947" s="16"/>
      <c r="B1947" s="17"/>
      <c r="C1947" s="2" t="b">
        <v>0</v>
      </c>
      <c r="D1947" s="2"/>
      <c r="E1947" s="2"/>
      <c r="F1947" s="2"/>
      <c r="G1947" s="2"/>
      <c r="H1947" s="2"/>
      <c r="I1947" s="5"/>
    </row>
    <row r="1948" spans="1:9" ht="17.399999999999999" x14ac:dyDescent="0.25">
      <c r="A1948" s="16"/>
      <c r="B1948" s="17"/>
      <c r="C1948" s="2" t="b">
        <v>0</v>
      </c>
      <c r="D1948" s="2"/>
      <c r="E1948" s="2"/>
      <c r="F1948" s="2"/>
      <c r="G1948" s="2"/>
      <c r="H1948" s="2"/>
      <c r="I1948" s="5"/>
    </row>
    <row r="1949" spans="1:9" ht="17.399999999999999" x14ac:dyDescent="0.25">
      <c r="A1949" s="16"/>
      <c r="B1949" s="17"/>
      <c r="C1949" s="2" t="b">
        <v>0</v>
      </c>
      <c r="D1949" s="2"/>
      <c r="E1949" s="2"/>
      <c r="F1949" s="2"/>
      <c r="G1949" s="2"/>
      <c r="H1949" s="2"/>
      <c r="I1949" s="5"/>
    </row>
    <row r="1950" spans="1:9" ht="17.399999999999999" x14ac:dyDescent="0.25">
      <c r="A1950" s="16"/>
      <c r="B1950" s="17"/>
      <c r="C1950" s="2" t="b">
        <v>0</v>
      </c>
      <c r="D1950" s="2"/>
      <c r="E1950" s="2"/>
      <c r="F1950" s="2"/>
      <c r="G1950" s="2"/>
      <c r="H1950" s="2"/>
      <c r="I1950" s="5"/>
    </row>
    <row r="1951" spans="1:9" ht="17.399999999999999" x14ac:dyDescent="0.25">
      <c r="A1951" s="16"/>
      <c r="B1951" s="17"/>
      <c r="C1951" s="2" t="b">
        <v>0</v>
      </c>
      <c r="D1951" s="2"/>
      <c r="E1951" s="2"/>
      <c r="F1951" s="2"/>
      <c r="G1951" s="2"/>
      <c r="H1951" s="2"/>
      <c r="I1951" s="5"/>
    </row>
    <row r="1952" spans="1:9" ht="17.399999999999999" x14ac:dyDescent="0.25">
      <c r="A1952" s="16"/>
      <c r="B1952" s="17"/>
      <c r="C1952" s="2" t="b">
        <v>0</v>
      </c>
      <c r="D1952" s="2"/>
      <c r="E1952" s="2"/>
      <c r="F1952" s="2"/>
      <c r="G1952" s="2"/>
      <c r="H1952" s="2"/>
      <c r="I1952" s="5"/>
    </row>
    <row r="1953" spans="1:9" ht="17.399999999999999" x14ac:dyDescent="0.25">
      <c r="A1953" s="16"/>
      <c r="B1953" s="17"/>
      <c r="C1953" s="2" t="b">
        <v>0</v>
      </c>
      <c r="D1953" s="2"/>
      <c r="E1953" s="2"/>
      <c r="F1953" s="2"/>
      <c r="G1953" s="2"/>
      <c r="H1953" s="2"/>
      <c r="I1953" s="5"/>
    </row>
    <row r="1954" spans="1:9" ht="17.399999999999999" x14ac:dyDescent="0.25">
      <c r="A1954" s="16"/>
      <c r="B1954" s="17"/>
      <c r="C1954" s="2" t="b">
        <v>0</v>
      </c>
      <c r="D1954" s="2"/>
      <c r="E1954" s="2"/>
      <c r="F1954" s="2"/>
      <c r="G1954" s="2"/>
      <c r="H1954" s="2"/>
      <c r="I1954" s="5"/>
    </row>
    <row r="1955" spans="1:9" ht="17.399999999999999" x14ac:dyDescent="0.25">
      <c r="A1955" s="16"/>
      <c r="B1955" s="17"/>
      <c r="C1955" s="2" t="b">
        <v>0</v>
      </c>
      <c r="D1955" s="2"/>
      <c r="E1955" s="2"/>
      <c r="F1955" s="2"/>
      <c r="G1955" s="2"/>
      <c r="H1955" s="2"/>
      <c r="I1955" s="5"/>
    </row>
    <row r="1956" spans="1:9" ht="17.399999999999999" x14ac:dyDescent="0.25">
      <c r="A1956" s="16"/>
      <c r="B1956" s="17"/>
      <c r="C1956" s="2" t="b">
        <v>0</v>
      </c>
      <c r="D1956" s="2"/>
      <c r="E1956" s="2"/>
      <c r="F1956" s="2"/>
      <c r="G1956" s="2"/>
      <c r="H1956" s="2"/>
      <c r="I1956" s="5"/>
    </row>
    <row r="1957" spans="1:9" ht="17.399999999999999" x14ac:dyDescent="0.25">
      <c r="A1957" s="16"/>
      <c r="B1957" s="17"/>
      <c r="C1957" s="2" t="b">
        <v>0</v>
      </c>
      <c r="D1957" s="2"/>
      <c r="E1957" s="2"/>
      <c r="F1957" s="2"/>
      <c r="G1957" s="2"/>
      <c r="H1957" s="2"/>
      <c r="I1957" s="5"/>
    </row>
    <row r="1958" spans="1:9" ht="17.399999999999999" x14ac:dyDescent="0.25">
      <c r="A1958" s="16"/>
      <c r="B1958" s="17"/>
      <c r="C1958" s="2" t="b">
        <v>0</v>
      </c>
      <c r="D1958" s="2"/>
      <c r="E1958" s="2"/>
      <c r="F1958" s="2"/>
      <c r="G1958" s="2"/>
      <c r="H1958" s="2"/>
      <c r="I1958" s="5"/>
    </row>
    <row r="1959" spans="1:9" ht="17.399999999999999" x14ac:dyDescent="0.25">
      <c r="A1959" s="16"/>
      <c r="B1959" s="17"/>
      <c r="C1959" s="2" t="b">
        <v>0</v>
      </c>
      <c r="D1959" s="2"/>
      <c r="E1959" s="2"/>
      <c r="F1959" s="2"/>
      <c r="G1959" s="2"/>
      <c r="H1959" s="2"/>
      <c r="I1959" s="5"/>
    </row>
    <row r="1960" spans="1:9" ht="17.399999999999999" x14ac:dyDescent="0.25">
      <c r="A1960" s="16"/>
      <c r="B1960" s="17"/>
      <c r="C1960" s="2" t="b">
        <v>0</v>
      </c>
      <c r="D1960" s="2"/>
      <c r="E1960" s="2"/>
      <c r="F1960" s="2"/>
      <c r="G1960" s="2"/>
      <c r="H1960" s="2"/>
      <c r="I1960" s="5"/>
    </row>
    <row r="1961" spans="1:9" ht="17.399999999999999" x14ac:dyDescent="0.25">
      <c r="A1961" s="16"/>
      <c r="B1961" s="17"/>
      <c r="C1961" s="2" t="b">
        <v>0</v>
      </c>
      <c r="D1961" s="2"/>
      <c r="E1961" s="2"/>
      <c r="F1961" s="2"/>
      <c r="G1961" s="2"/>
      <c r="H1961" s="2"/>
      <c r="I1961" s="5"/>
    </row>
    <row r="1962" spans="1:9" ht="17.399999999999999" x14ac:dyDescent="0.25">
      <c r="A1962" s="16"/>
      <c r="B1962" s="17"/>
      <c r="C1962" s="2" t="b">
        <v>0</v>
      </c>
      <c r="D1962" s="2"/>
      <c r="E1962" s="2"/>
      <c r="F1962" s="2"/>
      <c r="G1962" s="2"/>
      <c r="H1962" s="2"/>
      <c r="I1962" s="5"/>
    </row>
    <row r="1963" spans="1:9" ht="17.399999999999999" x14ac:dyDescent="0.25">
      <c r="A1963" s="16"/>
      <c r="B1963" s="17"/>
      <c r="C1963" s="2" t="b">
        <v>0</v>
      </c>
      <c r="D1963" s="2"/>
      <c r="E1963" s="2"/>
      <c r="F1963" s="2"/>
      <c r="G1963" s="2"/>
      <c r="H1963" s="2"/>
      <c r="I1963" s="5"/>
    </row>
    <row r="1964" spans="1:9" ht="17.399999999999999" x14ac:dyDescent="0.25">
      <c r="A1964" s="16"/>
      <c r="B1964" s="17"/>
      <c r="C1964" s="2" t="b">
        <v>0</v>
      </c>
      <c r="D1964" s="2"/>
      <c r="E1964" s="2"/>
      <c r="F1964" s="2"/>
      <c r="G1964" s="2"/>
      <c r="H1964" s="2"/>
      <c r="I1964" s="5"/>
    </row>
    <row r="1965" spans="1:9" ht="17.399999999999999" x14ac:dyDescent="0.25">
      <c r="A1965" s="16"/>
      <c r="B1965" s="17"/>
      <c r="C1965" s="2" t="b">
        <v>0</v>
      </c>
      <c r="D1965" s="2"/>
      <c r="E1965" s="2"/>
      <c r="F1965" s="2"/>
      <c r="G1965" s="2"/>
      <c r="H1965" s="2"/>
      <c r="I1965" s="5"/>
    </row>
    <row r="1966" spans="1:9" ht="17.399999999999999" x14ac:dyDescent="0.25">
      <c r="A1966" s="16"/>
      <c r="B1966" s="17"/>
      <c r="C1966" s="2" t="b">
        <v>0</v>
      </c>
      <c r="D1966" s="2"/>
      <c r="E1966" s="2"/>
      <c r="F1966" s="2"/>
      <c r="G1966" s="2"/>
      <c r="H1966" s="2"/>
      <c r="I1966" s="5"/>
    </row>
    <row r="1967" spans="1:9" ht="17.399999999999999" x14ac:dyDescent="0.25">
      <c r="A1967" s="16"/>
      <c r="B1967" s="17"/>
      <c r="C1967" s="2" t="b">
        <v>0</v>
      </c>
      <c r="D1967" s="2"/>
      <c r="E1967" s="2"/>
      <c r="F1967" s="2"/>
      <c r="G1967" s="2"/>
      <c r="H1967" s="2"/>
      <c r="I1967" s="5"/>
    </row>
    <row r="1968" spans="1:9" ht="17.399999999999999" x14ac:dyDescent="0.25">
      <c r="A1968" s="16"/>
      <c r="B1968" s="17"/>
      <c r="C1968" s="2" t="b">
        <v>0</v>
      </c>
      <c r="D1968" s="2"/>
      <c r="E1968" s="2"/>
      <c r="F1968" s="2"/>
      <c r="G1968" s="2"/>
      <c r="H1968" s="2"/>
      <c r="I1968" s="5"/>
    </row>
    <row r="1969" spans="1:9" ht="17.399999999999999" x14ac:dyDescent="0.25">
      <c r="A1969" s="16"/>
      <c r="B1969" s="17"/>
      <c r="C1969" s="2" t="b">
        <v>0</v>
      </c>
      <c r="D1969" s="2"/>
      <c r="E1969" s="2"/>
      <c r="F1969" s="2"/>
      <c r="G1969" s="2"/>
      <c r="H1969" s="2"/>
      <c r="I1969" s="5"/>
    </row>
    <row r="1970" spans="1:9" ht="17.399999999999999" x14ac:dyDescent="0.25">
      <c r="A1970" s="16"/>
      <c r="B1970" s="17"/>
      <c r="C1970" s="2" t="b">
        <v>0</v>
      </c>
      <c r="D1970" s="2"/>
      <c r="E1970" s="2"/>
      <c r="F1970" s="2"/>
      <c r="G1970" s="2"/>
      <c r="H1970" s="2"/>
      <c r="I1970" s="5"/>
    </row>
    <row r="1971" spans="1:9" ht="17.399999999999999" x14ac:dyDescent="0.25">
      <c r="A1971" s="16"/>
      <c r="B1971" s="17"/>
      <c r="C1971" s="2" t="b">
        <v>0</v>
      </c>
      <c r="D1971" s="2"/>
      <c r="E1971" s="2"/>
      <c r="F1971" s="2"/>
      <c r="G1971" s="2"/>
      <c r="H1971" s="2"/>
      <c r="I1971" s="5"/>
    </row>
    <row r="1972" spans="1:9" ht="17.399999999999999" x14ac:dyDescent="0.25">
      <c r="A1972" s="16"/>
      <c r="B1972" s="17"/>
      <c r="C1972" s="2" t="b">
        <v>0</v>
      </c>
      <c r="D1972" s="2"/>
      <c r="E1972" s="2"/>
      <c r="F1972" s="2"/>
      <c r="G1972" s="2"/>
      <c r="H1972" s="2"/>
      <c r="I1972" s="5"/>
    </row>
    <row r="1973" spans="1:9" ht="17.399999999999999" x14ac:dyDescent="0.25">
      <c r="A1973" s="16"/>
      <c r="B1973" s="17"/>
      <c r="C1973" s="2" t="b">
        <v>0</v>
      </c>
      <c r="D1973" s="2"/>
      <c r="E1973" s="2"/>
      <c r="F1973" s="2"/>
      <c r="G1973" s="2"/>
      <c r="H1973" s="2"/>
      <c r="I1973" s="5"/>
    </row>
    <row r="1974" spans="1:9" ht="17.399999999999999" x14ac:dyDescent="0.25">
      <c r="A1974" s="16"/>
      <c r="B1974" s="17"/>
      <c r="C1974" s="2" t="b">
        <v>0</v>
      </c>
      <c r="D1974" s="2"/>
      <c r="E1974" s="2"/>
      <c r="F1974" s="2"/>
      <c r="G1974" s="2"/>
      <c r="H1974" s="2"/>
      <c r="I1974" s="5"/>
    </row>
    <row r="1975" spans="1:9" ht="17.399999999999999" x14ac:dyDescent="0.25">
      <c r="A1975" s="16"/>
      <c r="B1975" s="17"/>
      <c r="C1975" s="2" t="b">
        <v>0</v>
      </c>
      <c r="D1975" s="2"/>
      <c r="E1975" s="2"/>
      <c r="F1975" s="2"/>
      <c r="G1975" s="2"/>
      <c r="H1975" s="2"/>
      <c r="I1975" s="5"/>
    </row>
    <row r="1976" spans="1:9" ht="17.399999999999999" x14ac:dyDescent="0.25">
      <c r="A1976" s="16"/>
      <c r="B1976" s="17"/>
      <c r="C1976" s="2" t="b">
        <v>0</v>
      </c>
      <c r="D1976" s="2"/>
      <c r="E1976" s="2"/>
      <c r="F1976" s="2"/>
      <c r="G1976" s="2"/>
      <c r="H1976" s="2"/>
      <c r="I1976" s="5"/>
    </row>
    <row r="1977" spans="1:9" ht="17.399999999999999" x14ac:dyDescent="0.25">
      <c r="A1977" s="16"/>
      <c r="B1977" s="17"/>
      <c r="C1977" s="2" t="b">
        <v>0</v>
      </c>
      <c r="D1977" s="2"/>
      <c r="E1977" s="2"/>
      <c r="F1977" s="2"/>
      <c r="G1977" s="2"/>
      <c r="H1977" s="2"/>
      <c r="I1977" s="5"/>
    </row>
    <row r="1978" spans="1:9" ht="17.399999999999999" x14ac:dyDescent="0.25">
      <c r="A1978" s="16"/>
      <c r="B1978" s="17"/>
      <c r="C1978" s="2" t="b">
        <v>0</v>
      </c>
      <c r="D1978" s="2"/>
      <c r="E1978" s="2"/>
      <c r="F1978" s="2"/>
      <c r="G1978" s="2"/>
      <c r="H1978" s="2"/>
      <c r="I1978" s="5"/>
    </row>
    <row r="1979" spans="1:9" ht="17.399999999999999" x14ac:dyDescent="0.25">
      <c r="A1979" s="16"/>
      <c r="B1979" s="17"/>
      <c r="C1979" s="2" t="b">
        <v>0</v>
      </c>
      <c r="D1979" s="2"/>
      <c r="E1979" s="2"/>
      <c r="F1979" s="2"/>
      <c r="G1979" s="2"/>
      <c r="H1979" s="2"/>
      <c r="I1979" s="5"/>
    </row>
    <row r="1980" spans="1:9" ht="17.399999999999999" x14ac:dyDescent="0.25">
      <c r="A1980" s="16"/>
      <c r="B1980" s="17"/>
      <c r="C1980" s="2" t="b">
        <v>0</v>
      </c>
      <c r="D1980" s="2"/>
      <c r="E1980" s="2"/>
      <c r="F1980" s="2"/>
      <c r="G1980" s="2"/>
      <c r="H1980" s="2"/>
      <c r="I1980" s="5"/>
    </row>
    <row r="1981" spans="1:9" ht="17.399999999999999" x14ac:dyDescent="0.25">
      <c r="A1981" s="16"/>
      <c r="B1981" s="17"/>
      <c r="C1981" s="2" t="b">
        <v>0</v>
      </c>
      <c r="D1981" s="2"/>
      <c r="E1981" s="2"/>
      <c r="F1981" s="2"/>
      <c r="G1981" s="2"/>
      <c r="H1981" s="2"/>
      <c r="I1981" s="5"/>
    </row>
    <row r="1982" spans="1:9" ht="17.399999999999999" x14ac:dyDescent="0.25">
      <c r="A1982" s="16"/>
      <c r="B1982" s="17"/>
      <c r="C1982" s="2" t="b">
        <v>0</v>
      </c>
      <c r="D1982" s="2"/>
      <c r="E1982" s="2"/>
      <c r="F1982" s="2"/>
      <c r="G1982" s="2"/>
      <c r="H1982" s="2"/>
      <c r="I1982" s="5"/>
    </row>
    <row r="1983" spans="1:9" ht="17.399999999999999" x14ac:dyDescent="0.25">
      <c r="A1983" s="16"/>
      <c r="B1983" s="17"/>
      <c r="C1983" s="2" t="b">
        <v>0</v>
      </c>
      <c r="D1983" s="2"/>
      <c r="E1983" s="2"/>
      <c r="F1983" s="2"/>
      <c r="G1983" s="2"/>
      <c r="H1983" s="2"/>
      <c r="I1983" s="5"/>
    </row>
    <row r="1984" spans="1:9" ht="17.399999999999999" x14ac:dyDescent="0.25">
      <c r="A1984" s="16"/>
      <c r="B1984" s="17"/>
      <c r="C1984" s="2" t="b">
        <v>0</v>
      </c>
      <c r="D1984" s="2"/>
      <c r="E1984" s="2"/>
      <c r="F1984" s="2"/>
      <c r="G1984" s="2"/>
      <c r="H1984" s="2"/>
      <c r="I1984" s="5"/>
    </row>
    <row r="1985" spans="1:9" ht="17.399999999999999" x14ac:dyDescent="0.25">
      <c r="A1985" s="16"/>
      <c r="B1985" s="17"/>
      <c r="C1985" s="2" t="b">
        <v>0</v>
      </c>
      <c r="D1985" s="2"/>
      <c r="E1985" s="2"/>
      <c r="F1985" s="2"/>
      <c r="G1985" s="2"/>
      <c r="H1985" s="2"/>
      <c r="I1985" s="5"/>
    </row>
    <row r="1986" spans="1:9" ht="17.399999999999999" x14ac:dyDescent="0.25">
      <c r="A1986" s="16"/>
      <c r="B1986" s="17"/>
      <c r="C1986" s="2" t="b">
        <v>0</v>
      </c>
      <c r="D1986" s="2"/>
      <c r="E1986" s="2"/>
      <c r="F1986" s="2"/>
      <c r="G1986" s="2"/>
      <c r="H1986" s="2"/>
      <c r="I1986" s="5"/>
    </row>
    <row r="1987" spans="1:9" ht="17.399999999999999" x14ac:dyDescent="0.25">
      <c r="A1987" s="16"/>
      <c r="B1987" s="17"/>
      <c r="C1987" s="2" t="b">
        <v>0</v>
      </c>
      <c r="D1987" s="2"/>
      <c r="E1987" s="2"/>
      <c r="F1987" s="2"/>
      <c r="G1987" s="2"/>
      <c r="H1987" s="2"/>
      <c r="I1987" s="5"/>
    </row>
    <row r="1988" spans="1:9" ht="17.399999999999999" x14ac:dyDescent="0.25">
      <c r="A1988" s="16"/>
      <c r="B1988" s="17"/>
      <c r="C1988" s="2" t="b">
        <v>0</v>
      </c>
      <c r="D1988" s="2"/>
      <c r="E1988" s="2"/>
      <c r="F1988" s="2"/>
      <c r="G1988" s="2"/>
      <c r="H1988" s="2"/>
      <c r="I1988" s="5"/>
    </row>
    <row r="1989" spans="1:9" ht="17.399999999999999" x14ac:dyDescent="0.25">
      <c r="A1989" s="16"/>
      <c r="B1989" s="17"/>
      <c r="C1989" s="2" t="b">
        <v>0</v>
      </c>
      <c r="D1989" s="2"/>
      <c r="E1989" s="2"/>
      <c r="F1989" s="2"/>
      <c r="G1989" s="2"/>
      <c r="H1989" s="2"/>
      <c r="I1989" s="5"/>
    </row>
    <row r="1990" spans="1:9" ht="17.399999999999999" x14ac:dyDescent="0.25">
      <c r="A1990" s="16"/>
      <c r="B1990" s="17"/>
      <c r="C1990" s="2" t="b">
        <v>0</v>
      </c>
      <c r="D1990" s="2"/>
      <c r="E1990" s="2"/>
      <c r="F1990" s="2"/>
      <c r="G1990" s="2"/>
      <c r="H1990" s="2"/>
      <c r="I1990" s="5"/>
    </row>
    <row r="1991" spans="1:9" ht="17.399999999999999" x14ac:dyDescent="0.25">
      <c r="A1991" s="16"/>
      <c r="B1991" s="17"/>
      <c r="C1991" s="2" t="b">
        <v>0</v>
      </c>
      <c r="D1991" s="2"/>
      <c r="E1991" s="2"/>
      <c r="F1991" s="2"/>
      <c r="G1991" s="2"/>
      <c r="H1991" s="2"/>
      <c r="I1991" s="5"/>
    </row>
    <row r="1992" spans="1:9" ht="17.399999999999999" x14ac:dyDescent="0.25">
      <c r="A1992" s="16"/>
      <c r="B1992" s="17"/>
      <c r="C1992" s="2" t="b">
        <v>0</v>
      </c>
      <c r="D1992" s="2"/>
      <c r="E1992" s="2"/>
      <c r="F1992" s="2"/>
      <c r="G1992" s="2"/>
      <c r="H1992" s="2"/>
      <c r="I1992" s="5"/>
    </row>
    <row r="1993" spans="1:9" ht="17.399999999999999" x14ac:dyDescent="0.25">
      <c r="A1993" s="16"/>
      <c r="B1993" s="17"/>
      <c r="C1993" s="2" t="b">
        <v>0</v>
      </c>
      <c r="D1993" s="2"/>
      <c r="E1993" s="2"/>
      <c r="F1993" s="2"/>
      <c r="G1993" s="2"/>
      <c r="H1993" s="2"/>
      <c r="I1993" s="5"/>
    </row>
    <row r="1994" spans="1:9" ht="17.399999999999999" x14ac:dyDescent="0.25">
      <c r="A1994" s="16"/>
      <c r="B1994" s="17"/>
      <c r="C1994" s="2" t="b">
        <v>0</v>
      </c>
      <c r="D1994" s="2"/>
      <c r="E1994" s="2"/>
      <c r="F1994" s="2"/>
      <c r="G1994" s="2"/>
      <c r="H1994" s="2"/>
      <c r="I1994" s="5"/>
    </row>
    <row r="1995" spans="1:9" ht="17.399999999999999" x14ac:dyDescent="0.25">
      <c r="A1995" s="16"/>
      <c r="B1995" s="17"/>
      <c r="C1995" s="2" t="b">
        <v>0</v>
      </c>
      <c r="D1995" s="2"/>
      <c r="E1995" s="2"/>
      <c r="F1995" s="2"/>
      <c r="G1995" s="2"/>
      <c r="H1995" s="2"/>
      <c r="I1995" s="5"/>
    </row>
    <row r="1996" spans="1:9" ht="17.399999999999999" x14ac:dyDescent="0.25">
      <c r="A1996" s="16"/>
      <c r="B1996" s="17"/>
      <c r="C1996" s="2" t="b">
        <v>0</v>
      </c>
      <c r="D1996" s="2"/>
      <c r="E1996" s="2"/>
      <c r="F1996" s="2"/>
      <c r="G1996" s="2"/>
      <c r="H1996" s="2"/>
      <c r="I1996" s="5"/>
    </row>
    <row r="1997" spans="1:9" ht="17.399999999999999" x14ac:dyDescent="0.25">
      <c r="A1997" s="16"/>
      <c r="B1997" s="17"/>
      <c r="C1997" s="2" t="b">
        <v>0</v>
      </c>
      <c r="D1997" s="2"/>
      <c r="E1997" s="2"/>
      <c r="F1997" s="2"/>
      <c r="G1997" s="2"/>
      <c r="H1997" s="2"/>
      <c r="I1997" s="5"/>
    </row>
    <row r="1998" spans="1:9" ht="17.399999999999999" x14ac:dyDescent="0.25">
      <c r="A1998" s="16"/>
      <c r="B1998" s="17"/>
      <c r="C1998" s="2" t="b">
        <v>0</v>
      </c>
      <c r="D1998" s="2"/>
      <c r="E1998" s="2"/>
      <c r="F1998" s="2"/>
      <c r="G1998" s="2"/>
      <c r="H1998" s="2"/>
      <c r="I1998" s="5"/>
    </row>
    <row r="1999" spans="1:9" ht="17.399999999999999" x14ac:dyDescent="0.25">
      <c r="A1999" s="16"/>
      <c r="B1999" s="17"/>
      <c r="C1999" s="2" t="b">
        <v>0</v>
      </c>
      <c r="D1999" s="2"/>
      <c r="E1999" s="2"/>
      <c r="F1999" s="2"/>
      <c r="G1999" s="2"/>
      <c r="H1999" s="2"/>
      <c r="I1999" s="5"/>
    </row>
    <row r="2000" spans="1:9" ht="17.399999999999999" x14ac:dyDescent="0.25">
      <c r="A2000" s="16"/>
      <c r="B2000" s="17"/>
      <c r="C2000" s="2" t="b">
        <v>0</v>
      </c>
      <c r="D2000" s="2"/>
      <c r="E2000" s="2"/>
      <c r="F2000" s="2"/>
      <c r="G2000" s="2"/>
      <c r="H2000" s="2"/>
      <c r="I2000" s="5"/>
    </row>
    <row r="2001" spans="1:9" ht="17.399999999999999" x14ac:dyDescent="0.25">
      <c r="A2001" s="16"/>
      <c r="B2001" s="17"/>
      <c r="C2001" s="2" t="b">
        <v>0</v>
      </c>
      <c r="D2001" s="2"/>
      <c r="E2001" s="2"/>
      <c r="F2001" s="2"/>
      <c r="G2001" s="2"/>
      <c r="H2001" s="2"/>
      <c r="I2001" s="5"/>
    </row>
    <row r="2002" spans="1:9" ht="17.399999999999999" x14ac:dyDescent="0.25">
      <c r="A2002" s="16"/>
      <c r="B2002" s="17"/>
      <c r="C2002" s="2" t="b">
        <v>0</v>
      </c>
      <c r="D2002" s="2"/>
      <c r="E2002" s="2"/>
      <c r="F2002" s="2"/>
      <c r="G2002" s="2"/>
      <c r="H2002" s="2"/>
      <c r="I2002" s="5"/>
    </row>
    <row r="2003" spans="1:9" ht="17.399999999999999" x14ac:dyDescent="0.25">
      <c r="A2003" s="16"/>
      <c r="B2003" s="17"/>
      <c r="C2003" s="2" t="b">
        <v>0</v>
      </c>
      <c r="D2003" s="2"/>
      <c r="E2003" s="2"/>
      <c r="F2003" s="2"/>
      <c r="G2003" s="2"/>
      <c r="H2003" s="2"/>
      <c r="I2003" s="5"/>
    </row>
    <row r="2004" spans="1:9" ht="17.399999999999999" x14ac:dyDescent="0.25">
      <c r="A2004" s="16"/>
      <c r="B2004" s="17"/>
      <c r="C2004" s="2" t="b">
        <v>0</v>
      </c>
      <c r="D2004" s="2"/>
      <c r="E2004" s="2"/>
      <c r="F2004" s="2"/>
      <c r="G2004" s="2"/>
      <c r="H2004" s="2"/>
      <c r="I2004" s="5"/>
    </row>
    <row r="2005" spans="1:9" ht="17.399999999999999" x14ac:dyDescent="0.25">
      <c r="A2005" s="16"/>
      <c r="B2005" s="17"/>
      <c r="C2005" s="2" t="b">
        <v>0</v>
      </c>
      <c r="D2005" s="2"/>
      <c r="E2005" s="2"/>
      <c r="F2005" s="2"/>
      <c r="G2005" s="2"/>
      <c r="H2005" s="2"/>
      <c r="I2005" s="5"/>
    </row>
    <row r="2006" spans="1:9" ht="17.399999999999999" x14ac:dyDescent="0.25">
      <c r="A2006" s="16"/>
      <c r="B2006" s="17"/>
      <c r="C2006" s="2" t="b">
        <v>0</v>
      </c>
      <c r="D2006" s="2"/>
      <c r="E2006" s="2"/>
      <c r="F2006" s="2"/>
      <c r="G2006" s="2"/>
      <c r="H2006" s="2"/>
      <c r="I2006" s="5"/>
    </row>
    <row r="2007" spans="1:9" ht="17.399999999999999" x14ac:dyDescent="0.25">
      <c r="A2007" s="16"/>
      <c r="B2007" s="17"/>
      <c r="C2007" s="2" t="b">
        <v>0</v>
      </c>
      <c r="D2007" s="2"/>
      <c r="E2007" s="2"/>
      <c r="F2007" s="2"/>
      <c r="G2007" s="2"/>
      <c r="H2007" s="2"/>
      <c r="I2007" s="5"/>
    </row>
    <row r="2008" spans="1:9" ht="17.399999999999999" x14ac:dyDescent="0.25">
      <c r="A2008" s="16"/>
      <c r="B2008" s="17"/>
      <c r="C2008" s="2" t="b">
        <v>0</v>
      </c>
      <c r="D2008" s="2"/>
      <c r="E2008" s="2"/>
      <c r="F2008" s="2"/>
      <c r="G2008" s="2"/>
      <c r="H2008" s="2"/>
      <c r="I2008" s="5"/>
    </row>
    <row r="2009" spans="1:9" ht="17.399999999999999" x14ac:dyDescent="0.25">
      <c r="A2009" s="16"/>
      <c r="B2009" s="17"/>
      <c r="C2009" s="2" t="b">
        <v>0</v>
      </c>
      <c r="D2009" s="2"/>
      <c r="E2009" s="2"/>
      <c r="F2009" s="2"/>
      <c r="G2009" s="2"/>
      <c r="H2009" s="2"/>
      <c r="I2009" s="5"/>
    </row>
    <row r="2010" spans="1:9" ht="17.399999999999999" x14ac:dyDescent="0.25">
      <c r="A2010" s="16"/>
      <c r="B2010" s="17"/>
      <c r="C2010" s="2" t="b">
        <v>0</v>
      </c>
      <c r="D2010" s="2"/>
      <c r="E2010" s="2"/>
      <c r="F2010" s="2"/>
      <c r="G2010" s="2"/>
      <c r="H2010" s="2"/>
      <c r="I2010" s="5"/>
    </row>
    <row r="2011" spans="1:9" ht="17.399999999999999" x14ac:dyDescent="0.25">
      <c r="A2011" s="16"/>
      <c r="B2011" s="17"/>
      <c r="C2011" s="2" t="b">
        <v>0</v>
      </c>
      <c r="D2011" s="2"/>
      <c r="E2011" s="2"/>
      <c r="F2011" s="2"/>
      <c r="G2011" s="2"/>
      <c r="H2011" s="2"/>
      <c r="I2011" s="5"/>
    </row>
    <row r="2012" spans="1:9" ht="17.399999999999999" x14ac:dyDescent="0.25">
      <c r="A2012" s="16"/>
      <c r="B2012" s="17"/>
      <c r="C2012" s="2" t="b">
        <v>0</v>
      </c>
      <c r="D2012" s="2"/>
      <c r="E2012" s="2"/>
      <c r="F2012" s="2"/>
      <c r="G2012" s="2"/>
      <c r="H2012" s="2"/>
      <c r="I2012" s="5"/>
    </row>
    <row r="2013" spans="1:9" ht="17.399999999999999" x14ac:dyDescent="0.25">
      <c r="A2013" s="16"/>
      <c r="B2013" s="17"/>
      <c r="C2013" s="2" t="b">
        <v>0</v>
      </c>
      <c r="D2013" s="2"/>
      <c r="E2013" s="2"/>
      <c r="F2013" s="2"/>
      <c r="G2013" s="2"/>
      <c r="H2013" s="2"/>
      <c r="I2013" s="5"/>
    </row>
    <row r="2014" spans="1:9" ht="17.399999999999999" x14ac:dyDescent="0.25">
      <c r="A2014" s="16"/>
      <c r="B2014" s="17"/>
      <c r="C2014" s="2" t="b">
        <v>0</v>
      </c>
      <c r="D2014" s="2"/>
      <c r="E2014" s="2"/>
      <c r="F2014" s="2"/>
      <c r="G2014" s="2"/>
      <c r="H2014" s="2"/>
      <c r="I2014" s="5"/>
    </row>
    <row r="2015" spans="1:9" ht="17.399999999999999" x14ac:dyDescent="0.25">
      <c r="A2015" s="16"/>
      <c r="B2015" s="17"/>
      <c r="C2015" s="2" t="b">
        <v>0</v>
      </c>
      <c r="D2015" s="2"/>
      <c r="E2015" s="2"/>
      <c r="F2015" s="2"/>
      <c r="G2015" s="2"/>
      <c r="H2015" s="2"/>
      <c r="I2015" s="5"/>
    </row>
    <row r="2016" spans="1:9" ht="17.399999999999999" x14ac:dyDescent="0.25">
      <c r="A2016" s="16"/>
      <c r="B2016" s="17"/>
      <c r="C2016" s="2" t="b">
        <v>0</v>
      </c>
      <c r="D2016" s="2"/>
      <c r="E2016" s="2"/>
      <c r="F2016" s="2"/>
      <c r="G2016" s="2"/>
      <c r="H2016" s="2"/>
      <c r="I2016" s="5"/>
    </row>
    <row r="2017" spans="1:9" ht="17.399999999999999" x14ac:dyDescent="0.25">
      <c r="A2017" s="16"/>
      <c r="B2017" s="17"/>
      <c r="C2017" s="2" t="b">
        <v>0</v>
      </c>
      <c r="D2017" s="2"/>
      <c r="E2017" s="2"/>
      <c r="F2017" s="2"/>
      <c r="G2017" s="2"/>
      <c r="H2017" s="2"/>
      <c r="I2017" s="5"/>
    </row>
    <row r="2018" spans="1:9" ht="17.399999999999999" x14ac:dyDescent="0.25">
      <c r="A2018" s="16"/>
      <c r="B2018" s="17"/>
      <c r="C2018" s="2" t="b">
        <v>0</v>
      </c>
      <c r="D2018" s="2"/>
      <c r="E2018" s="2"/>
      <c r="F2018" s="2"/>
      <c r="G2018" s="2"/>
      <c r="H2018" s="2"/>
      <c r="I2018" s="5"/>
    </row>
    <row r="2019" spans="1:9" ht="17.399999999999999" x14ac:dyDescent="0.25">
      <c r="A2019" s="16"/>
      <c r="B2019" s="17"/>
      <c r="C2019" s="2" t="b">
        <v>0</v>
      </c>
      <c r="D2019" s="2"/>
      <c r="E2019" s="2"/>
      <c r="F2019" s="2"/>
      <c r="G2019" s="2"/>
      <c r="H2019" s="2"/>
      <c r="I2019" s="5"/>
    </row>
    <row r="2020" spans="1:9" ht="17.399999999999999" x14ac:dyDescent="0.25">
      <c r="A2020" s="16"/>
      <c r="B2020" s="17"/>
      <c r="C2020" s="2" t="b">
        <v>0</v>
      </c>
      <c r="D2020" s="2"/>
      <c r="E2020" s="2"/>
      <c r="F2020" s="2"/>
      <c r="G2020" s="2"/>
      <c r="H2020" s="2"/>
      <c r="I2020" s="5"/>
    </row>
    <row r="2021" spans="1:9" ht="17.399999999999999" x14ac:dyDescent="0.25">
      <c r="A2021" s="16"/>
      <c r="B2021" s="17"/>
      <c r="C2021" s="2" t="b">
        <v>0</v>
      </c>
      <c r="D2021" s="2"/>
      <c r="E2021" s="2"/>
      <c r="F2021" s="2"/>
      <c r="G2021" s="2"/>
      <c r="H2021" s="2"/>
      <c r="I2021" s="5"/>
    </row>
    <row r="2022" spans="1:9" ht="17.399999999999999" x14ac:dyDescent="0.25">
      <c r="A2022" s="16"/>
      <c r="B2022" s="17"/>
      <c r="C2022" s="2" t="b">
        <v>0</v>
      </c>
      <c r="D2022" s="2"/>
      <c r="E2022" s="2"/>
      <c r="F2022" s="2"/>
      <c r="G2022" s="2"/>
      <c r="H2022" s="2"/>
      <c r="I2022" s="5"/>
    </row>
    <row r="2023" spans="1:9" ht="17.399999999999999" x14ac:dyDescent="0.25">
      <c r="A2023" s="16"/>
      <c r="B2023" s="17"/>
      <c r="C2023" s="2" t="b">
        <v>0</v>
      </c>
      <c r="D2023" s="2"/>
      <c r="E2023" s="2"/>
      <c r="F2023" s="2"/>
      <c r="G2023" s="2"/>
      <c r="H2023" s="2"/>
      <c r="I2023" s="5"/>
    </row>
    <row r="2024" spans="1:9" ht="17.399999999999999" x14ac:dyDescent="0.25">
      <c r="A2024" s="16"/>
      <c r="B2024" s="17"/>
      <c r="C2024" s="2" t="b">
        <v>0</v>
      </c>
      <c r="D2024" s="2"/>
      <c r="E2024" s="2"/>
      <c r="F2024" s="2"/>
      <c r="G2024" s="2"/>
      <c r="H2024" s="2"/>
      <c r="I2024" s="5"/>
    </row>
    <row r="2025" spans="1:9" ht="17.399999999999999" x14ac:dyDescent="0.25">
      <c r="A2025" s="16"/>
      <c r="B2025" s="17"/>
      <c r="C2025" s="2" t="b">
        <v>0</v>
      </c>
      <c r="D2025" s="2"/>
      <c r="E2025" s="2"/>
      <c r="F2025" s="2"/>
      <c r="G2025" s="2"/>
      <c r="H2025" s="2"/>
      <c r="I2025" s="5"/>
    </row>
    <row r="2026" spans="1:9" ht="17.399999999999999" x14ac:dyDescent="0.25">
      <c r="A2026" s="16"/>
      <c r="B2026" s="17"/>
      <c r="C2026" s="2" t="b">
        <v>0</v>
      </c>
      <c r="D2026" s="2"/>
      <c r="E2026" s="2"/>
      <c r="F2026" s="2"/>
      <c r="G2026" s="2"/>
      <c r="H2026" s="2"/>
      <c r="I2026" s="5"/>
    </row>
    <row r="2027" spans="1:9" ht="17.399999999999999" x14ac:dyDescent="0.25">
      <c r="A2027" s="16"/>
      <c r="B2027" s="17"/>
      <c r="C2027" s="2" t="b">
        <v>0</v>
      </c>
      <c r="D2027" s="2"/>
      <c r="E2027" s="2"/>
      <c r="F2027" s="2"/>
      <c r="G2027" s="2"/>
      <c r="H2027" s="2"/>
      <c r="I2027" s="5"/>
    </row>
    <row r="2028" spans="1:9" ht="17.399999999999999" x14ac:dyDescent="0.25">
      <c r="A2028" s="16"/>
      <c r="B2028" s="17"/>
      <c r="C2028" s="2" t="b">
        <v>0</v>
      </c>
      <c r="D2028" s="2"/>
      <c r="E2028" s="2"/>
      <c r="F2028" s="2"/>
      <c r="G2028" s="2"/>
      <c r="H2028" s="2"/>
      <c r="I2028" s="5"/>
    </row>
    <row r="2029" spans="1:9" ht="17.399999999999999" x14ac:dyDescent="0.25">
      <c r="A2029" s="16"/>
      <c r="B2029" s="17"/>
      <c r="C2029" s="2" t="b">
        <v>0</v>
      </c>
      <c r="D2029" s="2"/>
      <c r="E2029" s="2"/>
      <c r="F2029" s="2"/>
      <c r="G2029" s="2"/>
      <c r="H2029" s="2"/>
      <c r="I2029" s="5"/>
    </row>
    <row r="2030" spans="1:9" ht="17.399999999999999" x14ac:dyDescent="0.25">
      <c r="A2030" s="16"/>
      <c r="B2030" s="17"/>
      <c r="C2030" s="2" t="b">
        <v>0</v>
      </c>
      <c r="D2030" s="2"/>
      <c r="E2030" s="2"/>
      <c r="F2030" s="2"/>
      <c r="G2030" s="2"/>
      <c r="H2030" s="2"/>
      <c r="I2030" s="5"/>
    </row>
    <row r="2031" spans="1:9" ht="17.399999999999999" x14ac:dyDescent="0.25">
      <c r="A2031" s="16"/>
      <c r="B2031" s="17"/>
      <c r="C2031" s="2" t="b">
        <v>0</v>
      </c>
      <c r="D2031" s="2"/>
      <c r="E2031" s="2"/>
      <c r="F2031" s="2"/>
      <c r="G2031" s="2"/>
      <c r="H2031" s="2"/>
      <c r="I2031" s="5"/>
    </row>
    <row r="2032" spans="1:9" ht="17.399999999999999" x14ac:dyDescent="0.25">
      <c r="A2032" s="16"/>
      <c r="B2032" s="17"/>
      <c r="C2032" s="2" t="b">
        <v>0</v>
      </c>
      <c r="D2032" s="2"/>
      <c r="E2032" s="2"/>
      <c r="F2032" s="2"/>
      <c r="G2032" s="2"/>
      <c r="H2032" s="2"/>
      <c r="I2032" s="5"/>
    </row>
    <row r="2033" spans="1:9" ht="17.399999999999999" x14ac:dyDescent="0.25">
      <c r="A2033" s="16"/>
      <c r="B2033" s="17"/>
      <c r="C2033" s="2" t="b">
        <v>0</v>
      </c>
      <c r="D2033" s="2"/>
      <c r="E2033" s="2"/>
      <c r="F2033" s="2"/>
      <c r="G2033" s="2"/>
      <c r="H2033" s="2"/>
      <c r="I2033" s="5"/>
    </row>
    <row r="2034" spans="1:9" ht="17.399999999999999" x14ac:dyDescent="0.25">
      <c r="A2034" s="16"/>
      <c r="B2034" s="17"/>
      <c r="C2034" s="2" t="b">
        <v>0</v>
      </c>
      <c r="D2034" s="2"/>
      <c r="E2034" s="2"/>
      <c r="F2034" s="2"/>
      <c r="G2034" s="2"/>
      <c r="H2034" s="2"/>
      <c r="I2034" s="5"/>
    </row>
    <row r="2035" spans="1:9" ht="17.399999999999999" x14ac:dyDescent="0.25">
      <c r="A2035" s="16"/>
      <c r="B2035" s="17"/>
      <c r="C2035" s="2" t="b">
        <v>0</v>
      </c>
      <c r="D2035" s="2"/>
      <c r="E2035" s="2"/>
      <c r="F2035" s="2"/>
      <c r="G2035" s="2"/>
      <c r="H2035" s="2"/>
      <c r="I2035" s="5"/>
    </row>
    <row r="2036" spans="1:9" ht="17.399999999999999" x14ac:dyDescent="0.25">
      <c r="A2036" s="16"/>
      <c r="B2036" s="17"/>
      <c r="C2036" s="2" t="b">
        <v>0</v>
      </c>
      <c r="D2036" s="2"/>
      <c r="E2036" s="2"/>
      <c r="F2036" s="2"/>
      <c r="G2036" s="2"/>
      <c r="H2036" s="2"/>
      <c r="I2036" s="5"/>
    </row>
    <row r="2037" spans="1:9" ht="17.399999999999999" x14ac:dyDescent="0.25">
      <c r="A2037" s="16"/>
      <c r="B2037" s="17"/>
      <c r="C2037" s="2" t="b">
        <v>0</v>
      </c>
      <c r="D2037" s="2"/>
      <c r="E2037" s="2"/>
      <c r="F2037" s="2"/>
      <c r="G2037" s="2"/>
      <c r="H2037" s="2"/>
      <c r="I2037" s="5"/>
    </row>
    <row r="2038" spans="1:9" ht="17.399999999999999" x14ac:dyDescent="0.25">
      <c r="A2038" s="16"/>
      <c r="B2038" s="17"/>
      <c r="C2038" s="2" t="b">
        <v>0</v>
      </c>
      <c r="D2038" s="2"/>
      <c r="E2038" s="2"/>
      <c r="F2038" s="2"/>
      <c r="G2038" s="2"/>
      <c r="H2038" s="2"/>
      <c r="I2038" s="5"/>
    </row>
    <row r="2039" spans="1:9" ht="17.399999999999999" x14ac:dyDescent="0.25">
      <c r="A2039" s="16"/>
      <c r="B2039" s="17"/>
      <c r="C2039" s="2" t="b">
        <v>0</v>
      </c>
      <c r="D2039" s="2"/>
      <c r="E2039" s="2"/>
      <c r="F2039" s="2"/>
      <c r="G2039" s="2"/>
      <c r="H2039" s="2"/>
      <c r="I2039" s="5"/>
    </row>
    <row r="2040" spans="1:9" ht="17.399999999999999" x14ac:dyDescent="0.25">
      <c r="A2040" s="16"/>
      <c r="B2040" s="17"/>
      <c r="C2040" s="2" t="b">
        <v>0</v>
      </c>
      <c r="D2040" s="2"/>
      <c r="E2040" s="2"/>
      <c r="F2040" s="2"/>
      <c r="G2040" s="2"/>
      <c r="H2040" s="2"/>
      <c r="I2040" s="5"/>
    </row>
    <row r="2041" spans="1:9" ht="17.399999999999999" x14ac:dyDescent="0.25">
      <c r="A2041" s="16"/>
      <c r="B2041" s="17"/>
      <c r="C2041" s="2" t="b">
        <v>0</v>
      </c>
      <c r="D2041" s="2"/>
      <c r="E2041" s="2"/>
      <c r="F2041" s="2"/>
      <c r="G2041" s="2"/>
      <c r="H2041" s="2"/>
      <c r="I2041" s="5"/>
    </row>
    <row r="2042" spans="1:9" ht="17.399999999999999" x14ac:dyDescent="0.25">
      <c r="A2042" s="16"/>
      <c r="B2042" s="17"/>
      <c r="C2042" s="2" t="b">
        <v>0</v>
      </c>
      <c r="D2042" s="2"/>
      <c r="E2042" s="2"/>
      <c r="F2042" s="2"/>
      <c r="G2042" s="2"/>
      <c r="H2042" s="2"/>
      <c r="I2042" s="5"/>
    </row>
    <row r="2043" spans="1:9" ht="17.399999999999999" x14ac:dyDescent="0.25">
      <c r="A2043" s="16"/>
      <c r="B2043" s="17"/>
      <c r="C2043" s="2" t="b">
        <v>0</v>
      </c>
      <c r="D2043" s="2"/>
      <c r="E2043" s="2"/>
      <c r="F2043" s="2"/>
      <c r="G2043" s="2"/>
      <c r="H2043" s="2"/>
      <c r="I2043" s="5"/>
    </row>
    <row r="2044" spans="1:9" ht="17.399999999999999" x14ac:dyDescent="0.25">
      <c r="A2044" s="16"/>
      <c r="B2044" s="17"/>
      <c r="C2044" s="2" t="b">
        <v>0</v>
      </c>
      <c r="D2044" s="2"/>
      <c r="E2044" s="2"/>
      <c r="F2044" s="2"/>
      <c r="G2044" s="2"/>
      <c r="H2044" s="2"/>
      <c r="I2044" s="5"/>
    </row>
    <row r="2045" spans="1:9" ht="17.399999999999999" x14ac:dyDescent="0.25">
      <c r="A2045" s="16"/>
      <c r="B2045" s="17"/>
      <c r="C2045" s="2" t="b">
        <v>0</v>
      </c>
      <c r="D2045" s="2"/>
      <c r="E2045" s="2"/>
      <c r="F2045" s="2"/>
      <c r="G2045" s="2"/>
      <c r="H2045" s="2"/>
      <c r="I2045" s="5"/>
    </row>
    <row r="2046" spans="1:9" ht="17.399999999999999" x14ac:dyDescent="0.25">
      <c r="A2046" s="16"/>
      <c r="B2046" s="17"/>
      <c r="C2046" s="2" t="b">
        <v>0</v>
      </c>
      <c r="D2046" s="2"/>
      <c r="E2046" s="2"/>
      <c r="F2046" s="2"/>
      <c r="G2046" s="2"/>
      <c r="H2046" s="2"/>
      <c r="I2046" s="5"/>
    </row>
    <row r="2047" spans="1:9" ht="17.399999999999999" x14ac:dyDescent="0.25">
      <c r="A2047" s="16"/>
      <c r="B2047" s="17"/>
      <c r="C2047" s="2" t="b">
        <v>0</v>
      </c>
      <c r="D2047" s="2"/>
      <c r="E2047" s="2"/>
      <c r="F2047" s="2"/>
      <c r="G2047" s="2"/>
      <c r="H2047" s="2"/>
      <c r="I2047" s="5"/>
    </row>
    <row r="2048" spans="1:9" ht="17.399999999999999" x14ac:dyDescent="0.25">
      <c r="A2048" s="16"/>
      <c r="B2048" s="17"/>
      <c r="C2048" s="2" t="b">
        <v>0</v>
      </c>
      <c r="D2048" s="2"/>
      <c r="E2048" s="2"/>
      <c r="F2048" s="2"/>
      <c r="G2048" s="2"/>
      <c r="H2048" s="2"/>
      <c r="I2048" s="5"/>
    </row>
    <row r="2049" spans="1:9" ht="17.399999999999999" x14ac:dyDescent="0.25">
      <c r="A2049" s="16"/>
      <c r="B2049" s="17"/>
      <c r="C2049" s="2" t="b">
        <v>0</v>
      </c>
      <c r="D2049" s="2"/>
      <c r="E2049" s="2"/>
      <c r="F2049" s="2"/>
      <c r="G2049" s="2"/>
      <c r="H2049" s="2"/>
      <c r="I2049" s="5"/>
    </row>
    <row r="2050" spans="1:9" ht="17.399999999999999" x14ac:dyDescent="0.25">
      <c r="A2050" s="16"/>
      <c r="B2050" s="17"/>
      <c r="C2050" s="2" t="b">
        <v>0</v>
      </c>
      <c r="D2050" s="2"/>
      <c r="E2050" s="2"/>
      <c r="F2050" s="2"/>
      <c r="G2050" s="2"/>
      <c r="H2050" s="2"/>
      <c r="I2050" s="5"/>
    </row>
    <row r="2051" spans="1:9" ht="17.399999999999999" x14ac:dyDescent="0.25">
      <c r="A2051" s="16"/>
      <c r="B2051" s="17"/>
      <c r="C2051" s="2" t="b">
        <v>0</v>
      </c>
      <c r="D2051" s="2"/>
      <c r="E2051" s="2"/>
      <c r="F2051" s="2"/>
      <c r="G2051" s="2"/>
      <c r="H2051" s="2"/>
      <c r="I2051" s="5"/>
    </row>
    <row r="2052" spans="1:9" ht="17.399999999999999" x14ac:dyDescent="0.25">
      <c r="A2052" s="16"/>
      <c r="B2052" s="17"/>
      <c r="C2052" s="2" t="b">
        <v>0</v>
      </c>
      <c r="D2052" s="2"/>
      <c r="E2052" s="2"/>
      <c r="F2052" s="2"/>
      <c r="G2052" s="2"/>
      <c r="H2052" s="2"/>
      <c r="I2052" s="5"/>
    </row>
    <row r="2053" spans="1:9" ht="17.399999999999999" x14ac:dyDescent="0.25">
      <c r="A2053" s="16"/>
      <c r="B2053" s="17"/>
      <c r="C2053" s="2" t="b">
        <v>0</v>
      </c>
      <c r="D2053" s="2"/>
      <c r="E2053" s="2"/>
      <c r="F2053" s="2"/>
      <c r="G2053" s="2"/>
      <c r="H2053" s="2"/>
      <c r="I2053" s="5"/>
    </row>
    <row r="2054" spans="1:9" ht="17.399999999999999" x14ac:dyDescent="0.25">
      <c r="A2054" s="16"/>
      <c r="B2054" s="17"/>
      <c r="C2054" s="2" t="b">
        <v>0</v>
      </c>
      <c r="D2054" s="2"/>
      <c r="E2054" s="2"/>
      <c r="F2054" s="2"/>
      <c r="G2054" s="2"/>
      <c r="H2054" s="2"/>
      <c r="I2054" s="5"/>
    </row>
    <row r="2055" spans="1:9" ht="17.399999999999999" x14ac:dyDescent="0.25">
      <c r="A2055" s="16"/>
      <c r="B2055" s="17"/>
      <c r="C2055" s="2" t="b">
        <v>0</v>
      </c>
      <c r="D2055" s="2"/>
      <c r="E2055" s="2"/>
      <c r="F2055" s="2"/>
      <c r="G2055" s="2"/>
      <c r="H2055" s="2"/>
      <c r="I2055" s="5"/>
    </row>
    <row r="2056" spans="1:9" ht="17.399999999999999" x14ac:dyDescent="0.25">
      <c r="A2056" s="16"/>
      <c r="B2056" s="17"/>
      <c r="C2056" s="2" t="b">
        <v>0</v>
      </c>
      <c r="D2056" s="2"/>
      <c r="E2056" s="2"/>
      <c r="F2056" s="2"/>
      <c r="G2056" s="2"/>
      <c r="H2056" s="2"/>
      <c r="I2056" s="5"/>
    </row>
    <row r="2057" spans="1:9" ht="17.399999999999999" x14ac:dyDescent="0.25">
      <c r="A2057" s="16"/>
      <c r="B2057" s="17"/>
      <c r="C2057" s="2" t="b">
        <v>0</v>
      </c>
      <c r="D2057" s="2"/>
      <c r="E2057" s="2"/>
      <c r="F2057" s="2"/>
      <c r="G2057" s="2"/>
      <c r="H2057" s="2"/>
      <c r="I2057" s="5"/>
    </row>
    <row r="2058" spans="1:9" ht="17.399999999999999" x14ac:dyDescent="0.25">
      <c r="A2058" s="16"/>
      <c r="B2058" s="17"/>
      <c r="C2058" s="2" t="b">
        <v>0</v>
      </c>
      <c r="D2058" s="2"/>
      <c r="E2058" s="2"/>
      <c r="F2058" s="2"/>
      <c r="G2058" s="2"/>
      <c r="H2058" s="2"/>
      <c r="I2058" s="5"/>
    </row>
    <row r="2059" spans="1:9" ht="17.399999999999999" x14ac:dyDescent="0.25">
      <c r="A2059" s="16"/>
      <c r="B2059" s="17"/>
      <c r="C2059" s="2" t="b">
        <v>0</v>
      </c>
      <c r="D2059" s="2"/>
      <c r="E2059" s="2"/>
      <c r="F2059" s="2"/>
      <c r="G2059" s="2"/>
      <c r="H2059" s="2"/>
      <c r="I2059" s="5"/>
    </row>
    <row r="2060" spans="1:9" ht="17.399999999999999" x14ac:dyDescent="0.25">
      <c r="A2060" s="16"/>
      <c r="B2060" s="17"/>
      <c r="C2060" s="2" t="b">
        <v>0</v>
      </c>
      <c r="D2060" s="2"/>
      <c r="E2060" s="2"/>
      <c r="F2060" s="2"/>
      <c r="G2060" s="2"/>
      <c r="H2060" s="2"/>
      <c r="I2060" s="5"/>
    </row>
    <row r="2061" spans="1:9" ht="17.399999999999999" x14ac:dyDescent="0.25">
      <c r="A2061" s="16"/>
      <c r="B2061" s="17"/>
      <c r="C2061" s="2" t="b">
        <v>0</v>
      </c>
      <c r="D2061" s="2"/>
      <c r="E2061" s="2"/>
      <c r="F2061" s="2"/>
      <c r="G2061" s="2"/>
      <c r="H2061" s="2"/>
      <c r="I2061" s="5"/>
    </row>
    <row r="2062" spans="1:9" ht="17.399999999999999" x14ac:dyDescent="0.25">
      <c r="A2062" s="16"/>
      <c r="B2062" s="17"/>
      <c r="C2062" s="2" t="b">
        <v>0</v>
      </c>
      <c r="D2062" s="2"/>
      <c r="E2062" s="2"/>
      <c r="F2062" s="2"/>
      <c r="G2062" s="2"/>
      <c r="H2062" s="2"/>
      <c r="I2062" s="5"/>
    </row>
    <row r="2063" spans="1:9" ht="17.399999999999999" x14ac:dyDescent="0.25">
      <c r="A2063" s="16"/>
      <c r="B2063" s="17"/>
      <c r="C2063" s="2" t="b">
        <v>0</v>
      </c>
      <c r="D2063" s="2"/>
      <c r="E2063" s="2"/>
      <c r="F2063" s="2"/>
      <c r="G2063" s="2"/>
      <c r="H2063" s="2"/>
      <c r="I2063" s="5"/>
    </row>
    <row r="2064" spans="1:9" ht="17.399999999999999" x14ac:dyDescent="0.25">
      <c r="A2064" s="16"/>
      <c r="B2064" s="17"/>
      <c r="C2064" s="2" t="b">
        <v>0</v>
      </c>
      <c r="D2064" s="2"/>
      <c r="E2064" s="2"/>
      <c r="F2064" s="2"/>
      <c r="G2064" s="2"/>
      <c r="H2064" s="2"/>
      <c r="I2064" s="5"/>
    </row>
    <row r="2065" spans="1:9" ht="17.399999999999999" x14ac:dyDescent="0.25">
      <c r="A2065" s="16"/>
      <c r="B2065" s="17"/>
      <c r="C2065" s="2" t="b">
        <v>0</v>
      </c>
      <c r="D2065" s="2"/>
      <c r="E2065" s="2"/>
      <c r="F2065" s="2"/>
      <c r="G2065" s="2"/>
      <c r="H2065" s="2"/>
      <c r="I2065" s="5"/>
    </row>
    <row r="2066" spans="1:9" ht="17.399999999999999" x14ac:dyDescent="0.25">
      <c r="A2066" s="16"/>
      <c r="B2066" s="17"/>
      <c r="C2066" s="2" t="b">
        <v>0</v>
      </c>
      <c r="D2066" s="2"/>
      <c r="E2066" s="2"/>
      <c r="F2066" s="2"/>
      <c r="G2066" s="2"/>
      <c r="H2066" s="2"/>
      <c r="I2066" s="5"/>
    </row>
    <row r="2067" spans="1:9" ht="17.399999999999999" x14ac:dyDescent="0.25">
      <c r="A2067" s="16"/>
      <c r="B2067" s="17"/>
      <c r="C2067" s="2" t="b">
        <v>0</v>
      </c>
      <c r="D2067" s="2"/>
      <c r="E2067" s="2"/>
      <c r="F2067" s="2"/>
      <c r="G2067" s="2"/>
      <c r="H2067" s="2"/>
      <c r="I2067" s="5"/>
    </row>
    <row r="2068" spans="1:9" ht="17.399999999999999" x14ac:dyDescent="0.25">
      <c r="A2068" s="16"/>
      <c r="B2068" s="17"/>
      <c r="C2068" s="2" t="b">
        <v>0</v>
      </c>
      <c r="D2068" s="2"/>
      <c r="E2068" s="2"/>
      <c r="F2068" s="2"/>
      <c r="G2068" s="2"/>
      <c r="H2068" s="2"/>
      <c r="I2068" s="5"/>
    </row>
    <row r="2069" spans="1:9" ht="17.399999999999999" x14ac:dyDescent="0.25">
      <c r="A2069" s="16"/>
      <c r="B2069" s="17"/>
      <c r="C2069" s="2" t="b">
        <v>0</v>
      </c>
      <c r="D2069" s="2"/>
      <c r="E2069" s="2"/>
      <c r="F2069" s="2"/>
      <c r="G2069" s="2"/>
      <c r="H2069" s="2"/>
      <c r="I2069" s="5"/>
    </row>
    <row r="2070" spans="1:9" ht="17.399999999999999" x14ac:dyDescent="0.25">
      <c r="A2070" s="16"/>
      <c r="B2070" s="17"/>
      <c r="C2070" s="2" t="b">
        <v>0</v>
      </c>
      <c r="D2070" s="2"/>
      <c r="E2070" s="2"/>
      <c r="F2070" s="2"/>
      <c r="G2070" s="2"/>
      <c r="H2070" s="2"/>
      <c r="I2070" s="5"/>
    </row>
    <row r="2071" spans="1:9" ht="17.399999999999999" x14ac:dyDescent="0.25">
      <c r="A2071" s="16"/>
      <c r="B2071" s="17"/>
      <c r="C2071" s="2" t="b">
        <v>0</v>
      </c>
      <c r="D2071" s="2"/>
      <c r="E2071" s="2"/>
      <c r="F2071" s="2"/>
      <c r="G2071" s="2"/>
      <c r="H2071" s="2"/>
      <c r="I2071" s="5"/>
    </row>
    <row r="2072" spans="1:9" ht="17.399999999999999" x14ac:dyDescent="0.25">
      <c r="A2072" s="16"/>
      <c r="B2072" s="17"/>
      <c r="C2072" s="2" t="b">
        <v>0</v>
      </c>
      <c r="D2072" s="2"/>
      <c r="E2072" s="2"/>
      <c r="F2072" s="2"/>
      <c r="G2072" s="2"/>
      <c r="H2072" s="2"/>
      <c r="I2072" s="5"/>
    </row>
    <row r="2073" spans="1:9" ht="17.399999999999999" x14ac:dyDescent="0.25">
      <c r="A2073" s="16"/>
      <c r="B2073" s="17"/>
      <c r="C2073" s="2" t="b">
        <v>0</v>
      </c>
      <c r="D2073" s="2"/>
      <c r="E2073" s="2"/>
      <c r="F2073" s="2"/>
      <c r="G2073" s="2"/>
      <c r="H2073" s="2"/>
      <c r="I2073" s="5"/>
    </row>
    <row r="2074" spans="1:9" ht="17.399999999999999" x14ac:dyDescent="0.25">
      <c r="A2074" s="16"/>
      <c r="B2074" s="17"/>
      <c r="C2074" s="2" t="b">
        <v>0</v>
      </c>
      <c r="D2074" s="2"/>
      <c r="E2074" s="2"/>
      <c r="F2074" s="2"/>
      <c r="G2074" s="2"/>
      <c r="H2074" s="2"/>
      <c r="I2074" s="5"/>
    </row>
    <row r="2075" spans="1:9" ht="17.399999999999999" x14ac:dyDescent="0.25">
      <c r="A2075" s="16"/>
      <c r="B2075" s="17"/>
      <c r="C2075" s="2" t="b">
        <v>0</v>
      </c>
      <c r="D2075" s="2"/>
      <c r="E2075" s="2"/>
      <c r="F2075" s="2"/>
      <c r="G2075" s="2"/>
      <c r="H2075" s="2"/>
      <c r="I2075" s="5"/>
    </row>
    <row r="2076" spans="1:9" ht="17.399999999999999" x14ac:dyDescent="0.25">
      <c r="A2076" s="16"/>
      <c r="B2076" s="17"/>
      <c r="C2076" s="2" t="b">
        <v>0</v>
      </c>
      <c r="D2076" s="2"/>
      <c r="E2076" s="2"/>
      <c r="F2076" s="2"/>
      <c r="G2076" s="2"/>
      <c r="H2076" s="2"/>
      <c r="I2076" s="5"/>
    </row>
    <row r="2077" spans="1:9" ht="17.399999999999999" x14ac:dyDescent="0.25">
      <c r="A2077" s="16"/>
      <c r="B2077" s="17"/>
      <c r="C2077" s="2" t="b">
        <v>0</v>
      </c>
      <c r="D2077" s="2"/>
      <c r="E2077" s="2"/>
      <c r="F2077" s="2"/>
      <c r="G2077" s="2"/>
      <c r="H2077" s="2"/>
      <c r="I2077" s="5"/>
    </row>
    <row r="2078" spans="1:9" ht="17.399999999999999" x14ac:dyDescent="0.25">
      <c r="A2078" s="16"/>
      <c r="B2078" s="17"/>
      <c r="C2078" s="2" t="b">
        <v>0</v>
      </c>
      <c r="D2078" s="2"/>
      <c r="E2078" s="2"/>
      <c r="F2078" s="2"/>
      <c r="G2078" s="2"/>
      <c r="H2078" s="2"/>
      <c r="I2078" s="5"/>
    </row>
    <row r="2079" spans="1:9" ht="17.399999999999999" x14ac:dyDescent="0.25">
      <c r="A2079" s="16"/>
      <c r="B2079" s="17"/>
      <c r="C2079" s="2" t="b">
        <v>0</v>
      </c>
      <c r="D2079" s="2"/>
      <c r="E2079" s="2"/>
      <c r="F2079" s="2"/>
      <c r="G2079" s="2"/>
      <c r="H2079" s="2"/>
      <c r="I2079" s="5"/>
    </row>
    <row r="2080" spans="1:9" ht="17.399999999999999" x14ac:dyDescent="0.25">
      <c r="A2080" s="16"/>
      <c r="B2080" s="17"/>
      <c r="C2080" s="2" t="b">
        <v>0</v>
      </c>
      <c r="D2080" s="2"/>
      <c r="E2080" s="2"/>
      <c r="F2080" s="2"/>
      <c r="G2080" s="2"/>
      <c r="H2080" s="2"/>
      <c r="I2080" s="5"/>
    </row>
    <row r="2081" spans="1:9" ht="17.399999999999999" x14ac:dyDescent="0.25">
      <c r="A2081" s="16"/>
      <c r="B2081" s="17"/>
      <c r="C2081" s="2" t="b">
        <v>0</v>
      </c>
      <c r="D2081" s="2"/>
      <c r="E2081" s="2"/>
      <c r="F2081" s="2"/>
      <c r="G2081" s="2"/>
      <c r="H2081" s="2"/>
      <c r="I2081" s="5"/>
    </row>
    <row r="2082" spans="1:9" ht="17.399999999999999" x14ac:dyDescent="0.25">
      <c r="A2082" s="16"/>
      <c r="B2082" s="17"/>
      <c r="C2082" s="2" t="b">
        <v>0</v>
      </c>
      <c r="D2082" s="2"/>
      <c r="E2082" s="2"/>
      <c r="F2082" s="2"/>
      <c r="G2082" s="2"/>
      <c r="H2082" s="2"/>
      <c r="I2082" s="5"/>
    </row>
    <row r="2083" spans="1:9" ht="17.399999999999999" x14ac:dyDescent="0.25">
      <c r="A2083" s="16"/>
      <c r="B2083" s="17"/>
      <c r="C2083" s="2" t="b">
        <v>0</v>
      </c>
      <c r="D2083" s="2"/>
      <c r="E2083" s="2"/>
      <c r="F2083" s="2"/>
      <c r="G2083" s="2"/>
      <c r="H2083" s="2"/>
      <c r="I2083" s="5"/>
    </row>
    <row r="2084" spans="1:9" ht="17.399999999999999" x14ac:dyDescent="0.25">
      <c r="A2084" s="16"/>
      <c r="B2084" s="17"/>
      <c r="C2084" s="2" t="b">
        <v>0</v>
      </c>
      <c r="D2084" s="2"/>
      <c r="E2084" s="2"/>
      <c r="F2084" s="2"/>
      <c r="G2084" s="2"/>
      <c r="H2084" s="2"/>
      <c r="I2084" s="5"/>
    </row>
    <row r="2085" spans="1:9" ht="17.399999999999999" x14ac:dyDescent="0.25">
      <c r="A2085" s="16"/>
      <c r="B2085" s="17"/>
      <c r="C2085" s="2" t="b">
        <v>0</v>
      </c>
      <c r="D2085" s="2"/>
      <c r="E2085" s="2"/>
      <c r="F2085" s="2"/>
      <c r="G2085" s="2"/>
      <c r="H2085" s="2"/>
      <c r="I2085" s="5"/>
    </row>
    <row r="2086" spans="1:9" ht="17.399999999999999" x14ac:dyDescent="0.25">
      <c r="A2086" s="16"/>
      <c r="B2086" s="17"/>
      <c r="C2086" s="2" t="b">
        <v>0</v>
      </c>
      <c r="D2086" s="2"/>
      <c r="E2086" s="2"/>
      <c r="F2086" s="2"/>
      <c r="G2086" s="2"/>
      <c r="H2086" s="2"/>
      <c r="I2086" s="5"/>
    </row>
    <row r="2087" spans="1:9" ht="17.399999999999999" x14ac:dyDescent="0.25">
      <c r="A2087" s="16"/>
      <c r="B2087" s="17"/>
      <c r="C2087" s="2" t="b">
        <v>0</v>
      </c>
      <c r="D2087" s="2"/>
      <c r="E2087" s="2"/>
      <c r="F2087" s="2"/>
      <c r="G2087" s="2"/>
      <c r="H2087" s="2"/>
      <c r="I2087" s="5"/>
    </row>
    <row r="2088" spans="1:9" ht="17.399999999999999" x14ac:dyDescent="0.25">
      <c r="A2088" s="16"/>
      <c r="B2088" s="17"/>
      <c r="C2088" s="2" t="b">
        <v>0</v>
      </c>
      <c r="D2088" s="2"/>
      <c r="E2088" s="2"/>
      <c r="F2088" s="2"/>
      <c r="G2088" s="2"/>
      <c r="H2088" s="2"/>
      <c r="I2088" s="5"/>
    </row>
    <row r="2089" spans="1:9" ht="17.399999999999999" x14ac:dyDescent="0.25">
      <c r="A2089" s="16"/>
      <c r="B2089" s="17"/>
      <c r="C2089" s="2" t="b">
        <v>0</v>
      </c>
      <c r="D2089" s="2"/>
      <c r="E2089" s="2"/>
      <c r="F2089" s="2"/>
      <c r="G2089" s="2"/>
      <c r="H2089" s="2"/>
      <c r="I2089" s="5"/>
    </row>
    <row r="2090" spans="1:9" ht="17.399999999999999" x14ac:dyDescent="0.25">
      <c r="A2090" s="16"/>
      <c r="B2090" s="17"/>
      <c r="C2090" s="2" t="b">
        <v>0</v>
      </c>
      <c r="D2090" s="2"/>
      <c r="E2090" s="2"/>
      <c r="F2090" s="2"/>
      <c r="G2090" s="2"/>
      <c r="H2090" s="2"/>
      <c r="I2090" s="5"/>
    </row>
    <row r="2091" spans="1:9" ht="17.399999999999999" x14ac:dyDescent="0.25">
      <c r="A2091" s="16"/>
      <c r="B2091" s="17"/>
      <c r="C2091" s="2" t="b">
        <v>0</v>
      </c>
      <c r="D2091" s="2"/>
      <c r="E2091" s="2"/>
      <c r="F2091" s="2"/>
      <c r="G2091" s="2"/>
      <c r="H2091" s="2"/>
      <c r="I2091" s="5"/>
    </row>
    <row r="2092" spans="1:9" ht="17.399999999999999" x14ac:dyDescent="0.25">
      <c r="A2092" s="16"/>
      <c r="B2092" s="17"/>
      <c r="C2092" s="2" t="b">
        <v>0</v>
      </c>
      <c r="D2092" s="2"/>
      <c r="E2092" s="2"/>
      <c r="F2092" s="2"/>
      <c r="G2092" s="2"/>
      <c r="H2092" s="2"/>
      <c r="I2092" s="5"/>
    </row>
    <row r="2093" spans="1:9" ht="17.399999999999999" x14ac:dyDescent="0.25">
      <c r="A2093" s="16"/>
      <c r="B2093" s="17"/>
      <c r="C2093" s="2" t="b">
        <v>0</v>
      </c>
      <c r="D2093" s="2"/>
      <c r="E2093" s="2"/>
      <c r="F2093" s="2"/>
      <c r="G2093" s="2"/>
      <c r="H2093" s="2"/>
      <c r="I2093" s="5"/>
    </row>
    <row r="2094" spans="1:9" ht="17.399999999999999" x14ac:dyDescent="0.25">
      <c r="A2094" s="16"/>
      <c r="B2094" s="17"/>
      <c r="C2094" s="2" t="b">
        <v>0</v>
      </c>
      <c r="D2094" s="2"/>
      <c r="E2094" s="2"/>
      <c r="F2094" s="2"/>
      <c r="G2094" s="2"/>
      <c r="H2094" s="2"/>
      <c r="I2094" s="5"/>
    </row>
    <row r="2095" spans="1:9" ht="17.399999999999999" x14ac:dyDescent="0.25">
      <c r="A2095" s="16"/>
      <c r="B2095" s="17"/>
      <c r="C2095" s="2" t="b">
        <v>0</v>
      </c>
      <c r="D2095" s="2"/>
      <c r="E2095" s="2"/>
      <c r="F2095" s="2"/>
      <c r="G2095" s="2"/>
      <c r="H2095" s="2"/>
      <c r="I2095" s="5"/>
    </row>
    <row r="2096" spans="1:9" ht="17.399999999999999" x14ac:dyDescent="0.25">
      <c r="A2096" s="16"/>
      <c r="B2096" s="17"/>
      <c r="C2096" s="2" t="b">
        <v>0</v>
      </c>
      <c r="D2096" s="2"/>
      <c r="E2096" s="2"/>
      <c r="F2096" s="2"/>
      <c r="G2096" s="2"/>
      <c r="H2096" s="2"/>
      <c r="I2096" s="5"/>
    </row>
    <row r="2097" spans="1:9" ht="17.399999999999999" x14ac:dyDescent="0.25">
      <c r="A2097" s="16"/>
      <c r="B2097" s="17"/>
      <c r="C2097" s="2" t="b">
        <v>0</v>
      </c>
      <c r="D2097" s="2"/>
      <c r="E2097" s="2"/>
      <c r="F2097" s="2"/>
      <c r="G2097" s="2"/>
      <c r="H2097" s="2"/>
      <c r="I2097" s="5"/>
    </row>
    <row r="2098" spans="1:9" ht="17.399999999999999" x14ac:dyDescent="0.25">
      <c r="A2098" s="16"/>
      <c r="B2098" s="17"/>
      <c r="C2098" s="2" t="b">
        <v>0</v>
      </c>
      <c r="D2098" s="2"/>
      <c r="E2098" s="2"/>
      <c r="F2098" s="2"/>
      <c r="G2098" s="2"/>
      <c r="H2098" s="2"/>
      <c r="I2098" s="5"/>
    </row>
    <row r="2099" spans="1:9" ht="17.399999999999999" x14ac:dyDescent="0.25">
      <c r="A2099" s="16"/>
      <c r="B2099" s="17"/>
      <c r="C2099" s="2" t="b">
        <v>0</v>
      </c>
      <c r="D2099" s="2"/>
      <c r="E2099" s="2"/>
      <c r="F2099" s="2"/>
      <c r="G2099" s="2"/>
      <c r="H2099" s="2"/>
      <c r="I2099" s="5"/>
    </row>
    <row r="2100" spans="1:9" ht="17.399999999999999" x14ac:dyDescent="0.25">
      <c r="A2100" s="16"/>
      <c r="B2100" s="17"/>
      <c r="C2100" s="2" t="b">
        <v>0</v>
      </c>
      <c r="D2100" s="2"/>
      <c r="E2100" s="2"/>
      <c r="F2100" s="2"/>
      <c r="G2100" s="2"/>
      <c r="H2100" s="2"/>
      <c r="I2100" s="5"/>
    </row>
    <row r="2101" spans="1:9" ht="17.399999999999999" x14ac:dyDescent="0.25">
      <c r="A2101" s="16"/>
      <c r="B2101" s="17"/>
      <c r="C2101" s="2" t="b">
        <v>0</v>
      </c>
      <c r="D2101" s="2"/>
      <c r="E2101" s="2"/>
      <c r="F2101" s="2"/>
      <c r="G2101" s="2"/>
      <c r="H2101" s="2"/>
      <c r="I2101" s="5"/>
    </row>
    <row r="2102" spans="1:9" ht="17.399999999999999" x14ac:dyDescent="0.25">
      <c r="A2102" s="16"/>
      <c r="B2102" s="17"/>
      <c r="C2102" s="2" t="b">
        <v>0</v>
      </c>
      <c r="D2102" s="2"/>
      <c r="E2102" s="2"/>
      <c r="F2102" s="2"/>
      <c r="G2102" s="2"/>
      <c r="H2102" s="2"/>
      <c r="I2102" s="5"/>
    </row>
    <row r="2103" spans="1:9" ht="17.399999999999999" x14ac:dyDescent="0.25">
      <c r="A2103" s="16"/>
      <c r="B2103" s="17"/>
      <c r="C2103" s="2" t="b">
        <v>0</v>
      </c>
      <c r="D2103" s="2"/>
      <c r="E2103" s="2"/>
      <c r="F2103" s="2"/>
      <c r="G2103" s="2"/>
      <c r="H2103" s="2"/>
      <c r="I2103" s="5"/>
    </row>
    <row r="2104" spans="1:9" ht="17.399999999999999" x14ac:dyDescent="0.25">
      <c r="A2104" s="16"/>
      <c r="B2104" s="17"/>
      <c r="C2104" s="2" t="b">
        <v>0</v>
      </c>
      <c r="D2104" s="2"/>
      <c r="E2104" s="2"/>
      <c r="F2104" s="2"/>
      <c r="G2104" s="2"/>
      <c r="H2104" s="2"/>
      <c r="I2104" s="5"/>
    </row>
    <row r="2105" spans="1:9" ht="17.399999999999999" x14ac:dyDescent="0.25">
      <c r="A2105" s="16"/>
      <c r="B2105" s="17"/>
      <c r="C2105" s="2" t="b">
        <v>0</v>
      </c>
      <c r="D2105" s="2"/>
      <c r="E2105" s="2"/>
      <c r="F2105" s="2"/>
      <c r="G2105" s="2"/>
      <c r="H2105" s="2"/>
      <c r="I2105" s="5"/>
    </row>
    <row r="2106" spans="1:9" ht="17.399999999999999" x14ac:dyDescent="0.25">
      <c r="A2106" s="16"/>
      <c r="B2106" s="17"/>
      <c r="C2106" s="2" t="b">
        <v>0</v>
      </c>
      <c r="D2106" s="2"/>
      <c r="E2106" s="2"/>
      <c r="F2106" s="2"/>
      <c r="G2106" s="2"/>
      <c r="H2106" s="2"/>
      <c r="I2106" s="5"/>
    </row>
    <row r="2107" spans="1:9" ht="17.399999999999999" x14ac:dyDescent="0.25">
      <c r="A2107" s="16"/>
      <c r="B2107" s="17"/>
      <c r="C2107" s="2" t="b">
        <v>0</v>
      </c>
      <c r="D2107" s="2"/>
      <c r="E2107" s="2"/>
      <c r="F2107" s="2"/>
      <c r="G2107" s="2"/>
      <c r="H2107" s="2"/>
      <c r="I2107" s="5"/>
    </row>
    <row r="2108" spans="1:9" ht="17.399999999999999" x14ac:dyDescent="0.25">
      <c r="A2108" s="16"/>
      <c r="B2108" s="17"/>
      <c r="C2108" s="2" t="b">
        <v>0</v>
      </c>
      <c r="D2108" s="2"/>
      <c r="E2108" s="2"/>
      <c r="F2108" s="2"/>
      <c r="G2108" s="2"/>
      <c r="H2108" s="2"/>
      <c r="I2108" s="5"/>
    </row>
    <row r="2109" spans="1:9" ht="17.399999999999999" x14ac:dyDescent="0.25">
      <c r="A2109" s="16"/>
      <c r="B2109" s="17"/>
      <c r="C2109" s="2" t="b">
        <v>0</v>
      </c>
      <c r="D2109" s="2"/>
      <c r="E2109" s="2"/>
      <c r="F2109" s="2"/>
      <c r="G2109" s="2"/>
      <c r="H2109" s="2"/>
      <c r="I2109" s="5"/>
    </row>
    <row r="2110" spans="1:9" ht="17.399999999999999" x14ac:dyDescent="0.25">
      <c r="A2110" s="16"/>
      <c r="B2110" s="17"/>
      <c r="C2110" s="2" t="b">
        <v>0</v>
      </c>
      <c r="D2110" s="2"/>
      <c r="E2110" s="2"/>
      <c r="F2110" s="2"/>
      <c r="G2110" s="2"/>
      <c r="H2110" s="2"/>
      <c r="I2110" s="5"/>
    </row>
    <row r="2111" spans="1:9" ht="17.399999999999999" x14ac:dyDescent="0.25">
      <c r="A2111" s="16"/>
      <c r="B2111" s="17"/>
      <c r="C2111" s="2" t="b">
        <v>0</v>
      </c>
      <c r="D2111" s="2"/>
      <c r="E2111" s="2"/>
      <c r="F2111" s="2"/>
      <c r="G2111" s="2"/>
      <c r="H2111" s="2"/>
      <c r="I2111" s="5"/>
    </row>
    <row r="2112" spans="1:9" ht="17.399999999999999" x14ac:dyDescent="0.25">
      <c r="A2112" s="16"/>
      <c r="B2112" s="17"/>
      <c r="C2112" s="2" t="b">
        <v>0</v>
      </c>
      <c r="D2112" s="2"/>
      <c r="E2112" s="2"/>
      <c r="F2112" s="2"/>
      <c r="G2112" s="2"/>
      <c r="H2112" s="2"/>
      <c r="I2112" s="5"/>
    </row>
    <row r="2113" spans="1:9" ht="17.399999999999999" x14ac:dyDescent="0.25">
      <c r="A2113" s="16"/>
      <c r="B2113" s="17"/>
      <c r="C2113" s="2" t="b">
        <v>0</v>
      </c>
      <c r="D2113" s="2"/>
      <c r="E2113" s="2"/>
      <c r="F2113" s="2"/>
      <c r="G2113" s="2"/>
      <c r="H2113" s="2"/>
      <c r="I2113" s="5"/>
    </row>
    <row r="2114" spans="1:9" ht="17.399999999999999" x14ac:dyDescent="0.25">
      <c r="A2114" s="16"/>
      <c r="B2114" s="17"/>
      <c r="C2114" s="2" t="b">
        <v>0</v>
      </c>
      <c r="D2114" s="2"/>
      <c r="E2114" s="2"/>
      <c r="F2114" s="2"/>
      <c r="G2114" s="2"/>
      <c r="H2114" s="2"/>
      <c r="I2114" s="5"/>
    </row>
    <row r="2115" spans="1:9" ht="17.399999999999999" x14ac:dyDescent="0.25">
      <c r="A2115" s="16"/>
      <c r="B2115" s="17"/>
      <c r="C2115" s="2" t="b">
        <v>0</v>
      </c>
      <c r="D2115" s="2"/>
      <c r="E2115" s="2"/>
      <c r="F2115" s="2"/>
      <c r="G2115" s="2"/>
      <c r="H2115" s="2"/>
      <c r="I2115" s="5"/>
    </row>
    <row r="2116" spans="1:9" ht="17.399999999999999" x14ac:dyDescent="0.25">
      <c r="A2116" s="16"/>
      <c r="B2116" s="17"/>
      <c r="C2116" s="2" t="b">
        <v>0</v>
      </c>
      <c r="D2116" s="2"/>
      <c r="E2116" s="2"/>
      <c r="F2116" s="2"/>
      <c r="G2116" s="2"/>
      <c r="H2116" s="2"/>
      <c r="I2116" s="5"/>
    </row>
    <row r="2117" spans="1:9" ht="17.399999999999999" x14ac:dyDescent="0.25">
      <c r="A2117" s="16"/>
      <c r="B2117" s="17"/>
      <c r="C2117" s="2" t="b">
        <v>0</v>
      </c>
      <c r="D2117" s="2"/>
      <c r="E2117" s="2"/>
      <c r="F2117" s="2"/>
      <c r="G2117" s="2"/>
      <c r="H2117" s="2"/>
      <c r="I2117" s="5"/>
    </row>
    <row r="2118" spans="1:9" ht="17.399999999999999" x14ac:dyDescent="0.25">
      <c r="A2118" s="16"/>
      <c r="B2118" s="17"/>
      <c r="C2118" s="2" t="b">
        <v>0</v>
      </c>
      <c r="D2118" s="2"/>
      <c r="E2118" s="2"/>
      <c r="F2118" s="2"/>
      <c r="G2118" s="2"/>
      <c r="H2118" s="2"/>
      <c r="I2118" s="5"/>
    </row>
    <row r="2119" spans="1:9" ht="17.399999999999999" x14ac:dyDescent="0.25">
      <c r="A2119" s="16"/>
      <c r="B2119" s="17"/>
      <c r="C2119" s="2" t="b">
        <v>0</v>
      </c>
      <c r="D2119" s="2"/>
      <c r="E2119" s="2"/>
      <c r="F2119" s="2"/>
      <c r="G2119" s="2"/>
      <c r="H2119" s="2"/>
      <c r="I2119" s="5"/>
    </row>
    <row r="2120" spans="1:9" ht="17.399999999999999" x14ac:dyDescent="0.25">
      <c r="A2120" s="16"/>
      <c r="B2120" s="17"/>
      <c r="C2120" s="2" t="b">
        <v>0</v>
      </c>
      <c r="D2120" s="2"/>
      <c r="E2120" s="2"/>
      <c r="F2120" s="2"/>
      <c r="G2120" s="2"/>
      <c r="H2120" s="2"/>
      <c r="I2120" s="5"/>
    </row>
    <row r="2121" spans="1:9" ht="17.399999999999999" x14ac:dyDescent="0.25">
      <c r="A2121" s="16"/>
      <c r="B2121" s="17"/>
      <c r="C2121" s="2" t="b">
        <v>0</v>
      </c>
      <c r="D2121" s="2"/>
      <c r="E2121" s="2"/>
      <c r="F2121" s="2"/>
      <c r="G2121" s="2"/>
      <c r="H2121" s="2"/>
      <c r="I2121" s="5"/>
    </row>
    <row r="2122" spans="1:9" ht="17.399999999999999" x14ac:dyDescent="0.25">
      <c r="A2122" s="16"/>
      <c r="B2122" s="17"/>
      <c r="C2122" s="2" t="b">
        <v>0</v>
      </c>
      <c r="D2122" s="2"/>
      <c r="E2122" s="2"/>
      <c r="F2122" s="2"/>
      <c r="G2122" s="2"/>
      <c r="H2122" s="2"/>
      <c r="I2122" s="5"/>
    </row>
    <row r="2123" spans="1:9" ht="17.399999999999999" x14ac:dyDescent="0.25">
      <c r="A2123" s="16"/>
      <c r="B2123" s="17"/>
      <c r="C2123" s="2" t="b">
        <v>0</v>
      </c>
      <c r="D2123" s="2"/>
      <c r="E2123" s="2"/>
      <c r="F2123" s="2"/>
      <c r="G2123" s="2"/>
      <c r="H2123" s="2"/>
      <c r="I2123" s="5"/>
    </row>
    <row r="2124" spans="1:9" ht="17.399999999999999" x14ac:dyDescent="0.25">
      <c r="A2124" s="16"/>
      <c r="B2124" s="17"/>
      <c r="C2124" s="2" t="b">
        <v>0</v>
      </c>
      <c r="D2124" s="2"/>
      <c r="E2124" s="2"/>
      <c r="F2124" s="2"/>
      <c r="G2124" s="2"/>
      <c r="H2124" s="2"/>
      <c r="I2124" s="5"/>
    </row>
    <row r="2125" spans="1:9" ht="17.399999999999999" x14ac:dyDescent="0.25">
      <c r="A2125" s="16"/>
      <c r="B2125" s="17"/>
      <c r="C2125" s="2" t="b">
        <v>0</v>
      </c>
      <c r="D2125" s="2"/>
      <c r="E2125" s="2"/>
      <c r="F2125" s="2"/>
      <c r="G2125" s="2"/>
      <c r="H2125" s="2"/>
      <c r="I2125" s="5"/>
    </row>
    <row r="2126" spans="1:9" ht="17.399999999999999" x14ac:dyDescent="0.25">
      <c r="A2126" s="16"/>
      <c r="B2126" s="17"/>
      <c r="C2126" s="2" t="b">
        <v>0</v>
      </c>
      <c r="D2126" s="2"/>
      <c r="E2126" s="2"/>
      <c r="F2126" s="2"/>
      <c r="G2126" s="2"/>
      <c r="H2126" s="2"/>
      <c r="I2126" s="5"/>
    </row>
    <row r="2127" spans="1:9" ht="17.399999999999999" x14ac:dyDescent="0.25">
      <c r="A2127" s="16"/>
      <c r="B2127" s="17"/>
      <c r="C2127" s="2" t="b">
        <v>0</v>
      </c>
      <c r="D2127" s="2"/>
      <c r="E2127" s="2"/>
      <c r="F2127" s="2"/>
      <c r="G2127" s="2"/>
      <c r="H2127" s="2"/>
      <c r="I2127" s="5"/>
    </row>
    <row r="2128" spans="1:9" ht="17.399999999999999" x14ac:dyDescent="0.25">
      <c r="A2128" s="16"/>
      <c r="B2128" s="17"/>
      <c r="C2128" s="2" t="b">
        <v>0</v>
      </c>
      <c r="D2128" s="2"/>
      <c r="E2128" s="2"/>
      <c r="F2128" s="2"/>
      <c r="G2128" s="2"/>
      <c r="H2128" s="2"/>
      <c r="I2128" s="5"/>
    </row>
    <row r="2129" spans="1:9" ht="17.399999999999999" x14ac:dyDescent="0.25">
      <c r="A2129" s="16"/>
      <c r="B2129" s="17"/>
      <c r="C2129" s="2" t="b">
        <v>0</v>
      </c>
      <c r="D2129" s="2"/>
      <c r="E2129" s="2"/>
      <c r="F2129" s="2"/>
      <c r="G2129" s="2"/>
      <c r="H2129" s="2"/>
      <c r="I2129" s="5"/>
    </row>
    <row r="2130" spans="1:9" ht="17.399999999999999" x14ac:dyDescent="0.25">
      <c r="A2130" s="16"/>
      <c r="B2130" s="17"/>
      <c r="C2130" s="2" t="b">
        <v>0</v>
      </c>
      <c r="D2130" s="2"/>
      <c r="E2130" s="2"/>
      <c r="F2130" s="2"/>
      <c r="G2130" s="2"/>
      <c r="H2130" s="2"/>
      <c r="I2130" s="5"/>
    </row>
    <row r="2131" spans="1:9" ht="17.399999999999999" x14ac:dyDescent="0.25">
      <c r="A2131" s="16"/>
      <c r="B2131" s="17"/>
      <c r="C2131" s="2" t="b">
        <v>0</v>
      </c>
      <c r="D2131" s="2"/>
      <c r="E2131" s="2"/>
      <c r="F2131" s="2"/>
      <c r="G2131" s="2"/>
      <c r="H2131" s="2"/>
      <c r="I2131" s="5"/>
    </row>
    <row r="2132" spans="1:9" ht="17.399999999999999" x14ac:dyDescent="0.25">
      <c r="A2132" s="16"/>
      <c r="B2132" s="17"/>
      <c r="C2132" s="2" t="b">
        <v>0</v>
      </c>
      <c r="D2132" s="2"/>
      <c r="E2132" s="2"/>
      <c r="F2132" s="2"/>
      <c r="G2132" s="2"/>
      <c r="H2132" s="2"/>
      <c r="I2132" s="5"/>
    </row>
    <row r="2133" spans="1:9" ht="17.399999999999999" x14ac:dyDescent="0.25">
      <c r="A2133" s="16"/>
      <c r="B2133" s="17"/>
      <c r="C2133" s="2" t="b">
        <v>0</v>
      </c>
      <c r="D2133" s="2"/>
      <c r="E2133" s="2"/>
      <c r="F2133" s="2"/>
      <c r="G2133" s="2"/>
      <c r="H2133" s="2"/>
      <c r="I2133" s="5"/>
    </row>
    <row r="2134" spans="1:9" ht="17.399999999999999" x14ac:dyDescent="0.25">
      <c r="A2134" s="16"/>
      <c r="B2134" s="17"/>
      <c r="C2134" s="2" t="b">
        <v>0</v>
      </c>
      <c r="D2134" s="2"/>
      <c r="E2134" s="2"/>
      <c r="F2134" s="2"/>
      <c r="G2134" s="2"/>
      <c r="H2134" s="2"/>
      <c r="I2134" s="5"/>
    </row>
    <row r="2135" spans="1:9" ht="17.399999999999999" x14ac:dyDescent="0.25">
      <c r="A2135" s="16"/>
      <c r="B2135" s="17"/>
      <c r="C2135" s="2" t="b">
        <v>0</v>
      </c>
      <c r="D2135" s="2"/>
      <c r="E2135" s="2"/>
      <c r="F2135" s="2"/>
      <c r="G2135" s="2"/>
      <c r="H2135" s="2"/>
      <c r="I2135" s="5"/>
    </row>
    <row r="2136" spans="1:9" ht="17.399999999999999" x14ac:dyDescent="0.25">
      <c r="A2136" s="16"/>
      <c r="B2136" s="17"/>
      <c r="C2136" s="2" t="b">
        <v>0</v>
      </c>
      <c r="D2136" s="2"/>
      <c r="E2136" s="2"/>
      <c r="F2136" s="2"/>
      <c r="G2136" s="2"/>
      <c r="H2136" s="2"/>
      <c r="I2136" s="5"/>
    </row>
    <row r="2137" spans="1:9" ht="17.399999999999999" x14ac:dyDescent="0.25">
      <c r="A2137" s="16"/>
      <c r="B2137" s="17"/>
      <c r="C2137" s="2" t="b">
        <v>0</v>
      </c>
      <c r="D2137" s="2"/>
      <c r="E2137" s="2"/>
      <c r="F2137" s="2"/>
      <c r="G2137" s="2"/>
      <c r="H2137" s="2"/>
      <c r="I2137" s="5"/>
    </row>
    <row r="2138" spans="1:9" ht="17.399999999999999" x14ac:dyDescent="0.25">
      <c r="A2138" s="16"/>
      <c r="B2138" s="17"/>
      <c r="C2138" s="2" t="b">
        <v>0</v>
      </c>
      <c r="D2138" s="2"/>
      <c r="E2138" s="2"/>
      <c r="F2138" s="2"/>
      <c r="G2138" s="2"/>
      <c r="H2138" s="2"/>
      <c r="I2138" s="5"/>
    </row>
    <row r="2139" spans="1:9" ht="17.399999999999999" x14ac:dyDescent="0.25">
      <c r="A2139" s="16"/>
      <c r="B2139" s="17"/>
      <c r="C2139" s="2" t="b">
        <v>0</v>
      </c>
      <c r="D2139" s="2"/>
      <c r="E2139" s="2"/>
      <c r="F2139" s="2"/>
      <c r="G2139" s="2"/>
      <c r="H2139" s="2"/>
      <c r="I2139" s="5"/>
    </row>
    <row r="2140" spans="1:9" ht="17.399999999999999" x14ac:dyDescent="0.25">
      <c r="A2140" s="16"/>
      <c r="B2140" s="17"/>
      <c r="C2140" s="2" t="b">
        <v>0</v>
      </c>
      <c r="D2140" s="2"/>
      <c r="E2140" s="2"/>
      <c r="F2140" s="2"/>
      <c r="G2140" s="2"/>
      <c r="H2140" s="2"/>
      <c r="I2140" s="5"/>
    </row>
    <row r="2141" spans="1:9" ht="17.399999999999999" x14ac:dyDescent="0.25">
      <c r="A2141" s="16"/>
      <c r="B2141" s="17"/>
      <c r="C2141" s="2" t="b">
        <v>0</v>
      </c>
      <c r="D2141" s="2"/>
      <c r="E2141" s="2"/>
      <c r="F2141" s="2"/>
      <c r="G2141" s="2"/>
      <c r="H2141" s="2"/>
      <c r="I2141" s="5"/>
    </row>
    <row r="2142" spans="1:9" ht="17.399999999999999" x14ac:dyDescent="0.25">
      <c r="A2142" s="16"/>
      <c r="B2142" s="17"/>
      <c r="C2142" s="2" t="b">
        <v>0</v>
      </c>
      <c r="D2142" s="2"/>
      <c r="E2142" s="2"/>
      <c r="F2142" s="2"/>
      <c r="G2142" s="2"/>
      <c r="H2142" s="2"/>
      <c r="I2142" s="5"/>
    </row>
    <row r="2143" spans="1:9" ht="17.399999999999999" x14ac:dyDescent="0.25">
      <c r="A2143" s="16"/>
      <c r="B2143" s="17"/>
      <c r="C2143" s="2" t="b">
        <v>0</v>
      </c>
      <c r="D2143" s="2"/>
      <c r="E2143" s="2"/>
      <c r="F2143" s="2"/>
      <c r="G2143" s="2"/>
      <c r="H2143" s="2"/>
      <c r="I2143" s="5"/>
    </row>
    <row r="2144" spans="1:9" ht="17.399999999999999" x14ac:dyDescent="0.25">
      <c r="A2144" s="16"/>
      <c r="B2144" s="17"/>
      <c r="C2144" s="2" t="b">
        <v>0</v>
      </c>
      <c r="D2144" s="2"/>
      <c r="E2144" s="2"/>
      <c r="F2144" s="2"/>
      <c r="G2144" s="2"/>
      <c r="H2144" s="2"/>
      <c r="I2144" s="5"/>
    </row>
    <row r="2145" spans="1:9" ht="17.399999999999999" x14ac:dyDescent="0.25">
      <c r="A2145" s="16"/>
      <c r="B2145" s="17"/>
      <c r="C2145" s="2" t="b">
        <v>0</v>
      </c>
      <c r="D2145" s="2"/>
      <c r="E2145" s="2"/>
      <c r="F2145" s="2"/>
      <c r="G2145" s="2"/>
      <c r="H2145" s="2"/>
      <c r="I2145" s="5"/>
    </row>
    <row r="2146" spans="1:9" ht="17.399999999999999" x14ac:dyDescent="0.25">
      <c r="A2146" s="16"/>
      <c r="B2146" s="17"/>
      <c r="C2146" s="2" t="b">
        <v>0</v>
      </c>
      <c r="D2146" s="2"/>
      <c r="E2146" s="2"/>
      <c r="F2146" s="2"/>
      <c r="G2146" s="2"/>
      <c r="H2146" s="2"/>
      <c r="I2146" s="5"/>
    </row>
    <row r="2147" spans="1:9" ht="17.399999999999999" x14ac:dyDescent="0.25">
      <c r="A2147" s="16"/>
      <c r="B2147" s="17"/>
      <c r="C2147" s="2" t="b">
        <v>0</v>
      </c>
      <c r="D2147" s="2"/>
      <c r="E2147" s="2"/>
      <c r="F2147" s="2"/>
      <c r="G2147" s="2"/>
      <c r="H2147" s="2"/>
      <c r="I2147" s="5"/>
    </row>
    <row r="2148" spans="1:9" ht="17.399999999999999" x14ac:dyDescent="0.25">
      <c r="A2148" s="16"/>
      <c r="B2148" s="17"/>
      <c r="C2148" s="2" t="b">
        <v>0</v>
      </c>
      <c r="D2148" s="2"/>
      <c r="E2148" s="2"/>
      <c r="F2148" s="2"/>
      <c r="G2148" s="2"/>
      <c r="H2148" s="2"/>
      <c r="I2148" s="5"/>
    </row>
    <row r="2149" spans="1:9" ht="17.399999999999999" x14ac:dyDescent="0.25">
      <c r="A2149" s="16"/>
      <c r="B2149" s="17"/>
      <c r="C2149" s="2" t="b">
        <v>0</v>
      </c>
      <c r="D2149" s="2"/>
      <c r="E2149" s="2"/>
      <c r="F2149" s="2"/>
      <c r="G2149" s="2"/>
      <c r="H2149" s="2"/>
      <c r="I2149" s="5"/>
    </row>
    <row r="2150" spans="1:9" ht="17.399999999999999" x14ac:dyDescent="0.25">
      <c r="A2150" s="16"/>
      <c r="B2150" s="17"/>
      <c r="C2150" s="2" t="b">
        <v>0</v>
      </c>
      <c r="D2150" s="2"/>
      <c r="E2150" s="2"/>
      <c r="F2150" s="2"/>
      <c r="G2150" s="2"/>
      <c r="H2150" s="2"/>
      <c r="I2150" s="5"/>
    </row>
    <row r="2151" spans="1:9" ht="17.399999999999999" x14ac:dyDescent="0.25">
      <c r="A2151" s="16"/>
      <c r="B2151" s="17"/>
      <c r="C2151" s="2" t="b">
        <v>0</v>
      </c>
      <c r="D2151" s="2"/>
      <c r="E2151" s="2"/>
      <c r="F2151" s="2"/>
      <c r="G2151" s="2"/>
      <c r="H2151" s="2"/>
      <c r="I2151" s="5"/>
    </row>
    <row r="2152" spans="1:9" ht="17.399999999999999" x14ac:dyDescent="0.25">
      <c r="A2152" s="16"/>
      <c r="B2152" s="17"/>
      <c r="C2152" s="2" t="b">
        <v>0</v>
      </c>
      <c r="D2152" s="2"/>
      <c r="E2152" s="2"/>
      <c r="F2152" s="2"/>
      <c r="G2152" s="2"/>
      <c r="H2152" s="2"/>
      <c r="I2152" s="5"/>
    </row>
    <row r="2153" spans="1:9" ht="17.399999999999999" x14ac:dyDescent="0.25">
      <c r="A2153" s="16"/>
      <c r="B2153" s="17"/>
      <c r="C2153" s="2" t="b">
        <v>0</v>
      </c>
      <c r="D2153" s="2"/>
      <c r="E2153" s="2"/>
      <c r="F2153" s="2"/>
      <c r="G2153" s="2"/>
      <c r="H2153" s="2"/>
      <c r="I2153" s="5"/>
    </row>
    <row r="2154" spans="1:9" ht="17.399999999999999" x14ac:dyDescent="0.25">
      <c r="A2154" s="16"/>
      <c r="B2154" s="17"/>
      <c r="C2154" s="2" t="b">
        <v>0</v>
      </c>
      <c r="D2154" s="2"/>
      <c r="E2154" s="2"/>
      <c r="F2154" s="2"/>
      <c r="G2154" s="2"/>
      <c r="H2154" s="2"/>
      <c r="I2154" s="5"/>
    </row>
    <row r="2155" spans="1:9" ht="17.399999999999999" x14ac:dyDescent="0.25">
      <c r="A2155" s="16"/>
      <c r="B2155" s="17"/>
      <c r="C2155" s="2" t="b">
        <v>0</v>
      </c>
      <c r="D2155" s="2"/>
      <c r="E2155" s="2"/>
      <c r="F2155" s="2"/>
      <c r="G2155" s="2"/>
      <c r="H2155" s="2"/>
      <c r="I2155" s="5"/>
    </row>
    <row r="2156" spans="1:9" ht="17.399999999999999" x14ac:dyDescent="0.25">
      <c r="A2156" s="16"/>
      <c r="B2156" s="17"/>
      <c r="C2156" s="2" t="b">
        <v>0</v>
      </c>
      <c r="D2156" s="2"/>
      <c r="E2156" s="2"/>
      <c r="F2156" s="2"/>
      <c r="G2156" s="2"/>
      <c r="H2156" s="2"/>
      <c r="I2156" s="5"/>
    </row>
    <row r="2157" spans="1:9" ht="17.399999999999999" x14ac:dyDescent="0.25">
      <c r="A2157" s="16"/>
      <c r="B2157" s="17"/>
      <c r="C2157" s="2" t="b">
        <v>0</v>
      </c>
      <c r="D2157" s="2"/>
      <c r="E2157" s="2"/>
      <c r="F2157" s="2"/>
      <c r="G2157" s="2"/>
      <c r="H2157" s="2"/>
      <c r="I2157" s="5"/>
    </row>
    <row r="2158" spans="1:9" ht="17.399999999999999" x14ac:dyDescent="0.25">
      <c r="A2158" s="16"/>
      <c r="B2158" s="17"/>
      <c r="C2158" s="2" t="b">
        <v>0</v>
      </c>
      <c r="D2158" s="2"/>
      <c r="E2158" s="2"/>
      <c r="F2158" s="2"/>
      <c r="G2158" s="2"/>
      <c r="H2158" s="2"/>
      <c r="I2158" s="5"/>
    </row>
    <row r="2159" spans="1:9" ht="17.399999999999999" x14ac:dyDescent="0.25">
      <c r="A2159" s="16"/>
      <c r="B2159" s="17"/>
      <c r="C2159" s="2" t="b">
        <v>0</v>
      </c>
      <c r="D2159" s="2"/>
      <c r="E2159" s="2"/>
      <c r="F2159" s="2"/>
      <c r="G2159" s="2"/>
      <c r="H2159" s="2"/>
      <c r="I2159" s="5"/>
    </row>
    <row r="2160" spans="1:9" ht="17.399999999999999" x14ac:dyDescent="0.25">
      <c r="A2160" s="16"/>
      <c r="B2160" s="17"/>
      <c r="C2160" s="2" t="b">
        <v>0</v>
      </c>
      <c r="D2160" s="2"/>
      <c r="E2160" s="2"/>
      <c r="F2160" s="2"/>
      <c r="G2160" s="2"/>
      <c r="H2160" s="2"/>
      <c r="I2160" s="5"/>
    </row>
    <row r="2161" spans="1:9" ht="17.399999999999999" x14ac:dyDescent="0.25">
      <c r="A2161" s="16"/>
      <c r="B2161" s="17"/>
      <c r="C2161" s="2" t="b">
        <v>0</v>
      </c>
      <c r="D2161" s="2"/>
      <c r="E2161" s="2"/>
      <c r="F2161" s="2"/>
      <c r="G2161" s="2"/>
      <c r="H2161" s="2"/>
      <c r="I2161" s="5"/>
    </row>
    <row r="2162" spans="1:9" ht="17.399999999999999" x14ac:dyDescent="0.25">
      <c r="A2162" s="16"/>
      <c r="B2162" s="17"/>
      <c r="C2162" s="2" t="b">
        <v>0</v>
      </c>
      <c r="D2162" s="2"/>
      <c r="E2162" s="2"/>
      <c r="F2162" s="2"/>
      <c r="G2162" s="2"/>
      <c r="H2162" s="2"/>
      <c r="I2162" s="5"/>
    </row>
    <row r="2163" spans="1:9" ht="17.399999999999999" x14ac:dyDescent="0.25">
      <c r="A2163" s="16"/>
      <c r="B2163" s="17"/>
      <c r="C2163" s="2" t="b">
        <v>0</v>
      </c>
      <c r="D2163" s="2"/>
      <c r="E2163" s="2"/>
      <c r="F2163" s="2"/>
      <c r="G2163" s="2"/>
      <c r="H2163" s="2"/>
      <c r="I2163" s="5"/>
    </row>
    <row r="2164" spans="1:9" ht="17.399999999999999" x14ac:dyDescent="0.25">
      <c r="A2164" s="16"/>
      <c r="B2164" s="17"/>
      <c r="C2164" s="2" t="b">
        <v>0</v>
      </c>
      <c r="D2164" s="2"/>
      <c r="E2164" s="2"/>
      <c r="F2164" s="2"/>
      <c r="G2164" s="2"/>
      <c r="H2164" s="2"/>
      <c r="I2164" s="5"/>
    </row>
    <row r="2165" spans="1:9" ht="17.399999999999999" x14ac:dyDescent="0.25">
      <c r="A2165" s="16"/>
      <c r="B2165" s="17"/>
      <c r="C2165" s="2" t="b">
        <v>0</v>
      </c>
      <c r="D2165" s="2"/>
      <c r="E2165" s="2"/>
      <c r="F2165" s="2"/>
      <c r="G2165" s="2"/>
      <c r="H2165" s="2"/>
      <c r="I2165" s="5"/>
    </row>
    <row r="2166" spans="1:9" ht="17.399999999999999" x14ac:dyDescent="0.25">
      <c r="A2166" s="16"/>
      <c r="B2166" s="17"/>
      <c r="C2166" s="2" t="b">
        <v>0</v>
      </c>
      <c r="D2166" s="2"/>
      <c r="E2166" s="2"/>
      <c r="F2166" s="2"/>
      <c r="G2166" s="2"/>
      <c r="H2166" s="2"/>
      <c r="I2166" s="5"/>
    </row>
    <row r="2167" spans="1:9" ht="17.399999999999999" x14ac:dyDescent="0.25">
      <c r="A2167" s="16"/>
      <c r="B2167" s="17"/>
      <c r="C2167" s="2" t="b">
        <v>0</v>
      </c>
      <c r="D2167" s="2"/>
      <c r="E2167" s="2"/>
      <c r="F2167" s="2"/>
      <c r="G2167" s="2"/>
      <c r="H2167" s="2"/>
      <c r="I2167" s="5"/>
    </row>
    <row r="2168" spans="1:9" ht="17.399999999999999" x14ac:dyDescent="0.25">
      <c r="A2168" s="16"/>
      <c r="B2168" s="17"/>
      <c r="C2168" s="2" t="b">
        <v>0</v>
      </c>
      <c r="D2168" s="2"/>
      <c r="E2168" s="2"/>
      <c r="F2168" s="2"/>
      <c r="G2168" s="2"/>
      <c r="H2168" s="2"/>
      <c r="I2168" s="5"/>
    </row>
    <row r="2169" spans="1:9" ht="17.399999999999999" x14ac:dyDescent="0.25">
      <c r="A2169" s="16"/>
      <c r="B2169" s="17"/>
      <c r="C2169" s="2" t="b">
        <v>0</v>
      </c>
      <c r="D2169" s="2"/>
      <c r="E2169" s="2"/>
      <c r="F2169" s="2"/>
      <c r="G2169" s="2"/>
      <c r="H2169" s="2"/>
      <c r="I2169" s="5"/>
    </row>
    <row r="2170" spans="1:9" ht="17.399999999999999" x14ac:dyDescent="0.25">
      <c r="A2170" s="16"/>
      <c r="B2170" s="17"/>
      <c r="C2170" s="2" t="b">
        <v>0</v>
      </c>
      <c r="D2170" s="2"/>
      <c r="E2170" s="2"/>
      <c r="F2170" s="2"/>
      <c r="G2170" s="2"/>
      <c r="H2170" s="2"/>
      <c r="I2170" s="5"/>
    </row>
    <row r="2171" spans="1:9" ht="17.399999999999999" x14ac:dyDescent="0.25">
      <c r="A2171" s="16"/>
      <c r="B2171" s="17"/>
      <c r="C2171" s="2" t="b">
        <v>0</v>
      </c>
      <c r="D2171" s="2"/>
      <c r="E2171" s="2"/>
      <c r="F2171" s="2"/>
      <c r="G2171" s="2"/>
      <c r="H2171" s="2"/>
      <c r="I2171" s="5"/>
    </row>
    <row r="2172" spans="1:9" ht="17.399999999999999" x14ac:dyDescent="0.25">
      <c r="A2172" s="16"/>
      <c r="B2172" s="17"/>
      <c r="C2172" s="2" t="b">
        <v>0</v>
      </c>
      <c r="D2172" s="2"/>
      <c r="E2172" s="2"/>
      <c r="F2172" s="2"/>
      <c r="G2172" s="2"/>
      <c r="H2172" s="2"/>
      <c r="I2172" s="5"/>
    </row>
    <row r="2173" spans="1:9" ht="17.399999999999999" x14ac:dyDescent="0.25">
      <c r="A2173" s="16"/>
      <c r="B2173" s="17"/>
      <c r="C2173" s="2" t="b">
        <v>0</v>
      </c>
      <c r="D2173" s="2"/>
      <c r="E2173" s="2"/>
      <c r="F2173" s="2"/>
      <c r="G2173" s="2"/>
      <c r="H2173" s="2"/>
      <c r="I2173" s="5"/>
    </row>
    <row r="2174" spans="1:9" ht="17.399999999999999" x14ac:dyDescent="0.25">
      <c r="A2174" s="16"/>
      <c r="B2174" s="17"/>
      <c r="C2174" s="2" t="b">
        <v>0</v>
      </c>
      <c r="D2174" s="2"/>
      <c r="E2174" s="2"/>
      <c r="F2174" s="2"/>
      <c r="G2174" s="2"/>
      <c r="H2174" s="2"/>
      <c r="I2174" s="5"/>
    </row>
    <row r="2175" spans="1:9" ht="17.399999999999999" x14ac:dyDescent="0.25">
      <c r="A2175" s="16"/>
      <c r="B2175" s="17"/>
      <c r="C2175" s="2" t="b">
        <v>0</v>
      </c>
      <c r="D2175" s="2"/>
      <c r="E2175" s="2"/>
      <c r="F2175" s="2"/>
      <c r="G2175" s="2"/>
      <c r="H2175" s="2"/>
      <c r="I2175" s="5"/>
    </row>
    <row r="2176" spans="1:9" ht="17.399999999999999" x14ac:dyDescent="0.25">
      <c r="A2176" s="16"/>
      <c r="B2176" s="17"/>
      <c r="C2176" s="2" t="b">
        <v>0</v>
      </c>
      <c r="D2176" s="2"/>
      <c r="E2176" s="2"/>
      <c r="F2176" s="2"/>
      <c r="G2176" s="2"/>
      <c r="H2176" s="2"/>
      <c r="I2176" s="5"/>
    </row>
    <row r="2177" spans="1:9" ht="17.399999999999999" x14ac:dyDescent="0.25">
      <c r="A2177" s="16"/>
      <c r="B2177" s="17"/>
      <c r="C2177" s="2" t="b">
        <v>0</v>
      </c>
      <c r="D2177" s="2"/>
      <c r="E2177" s="2"/>
      <c r="F2177" s="2"/>
      <c r="G2177" s="2"/>
      <c r="H2177" s="2"/>
      <c r="I2177" s="5"/>
    </row>
    <row r="2178" spans="1:9" ht="17.399999999999999" x14ac:dyDescent="0.25">
      <c r="A2178" s="16"/>
      <c r="B2178" s="17"/>
      <c r="C2178" s="2" t="b">
        <v>0</v>
      </c>
      <c r="D2178" s="2"/>
      <c r="E2178" s="2"/>
      <c r="F2178" s="2"/>
      <c r="G2178" s="2"/>
      <c r="H2178" s="2"/>
      <c r="I2178" s="5"/>
    </row>
    <row r="2179" spans="1:9" ht="17.399999999999999" x14ac:dyDescent="0.25">
      <c r="A2179" s="16"/>
      <c r="B2179" s="17"/>
      <c r="C2179" s="2" t="b">
        <v>0</v>
      </c>
      <c r="D2179" s="2"/>
      <c r="E2179" s="2"/>
      <c r="F2179" s="2"/>
      <c r="G2179" s="2"/>
      <c r="H2179" s="2"/>
      <c r="I2179" s="5"/>
    </row>
    <row r="2180" spans="1:9" ht="17.399999999999999" x14ac:dyDescent="0.25">
      <c r="A2180" s="16"/>
      <c r="B2180" s="17"/>
      <c r="C2180" s="2" t="b">
        <v>0</v>
      </c>
      <c r="D2180" s="2"/>
      <c r="E2180" s="2"/>
      <c r="F2180" s="2"/>
      <c r="G2180" s="2"/>
      <c r="H2180" s="2"/>
      <c r="I2180" s="5"/>
    </row>
    <row r="2181" spans="1:9" ht="17.399999999999999" x14ac:dyDescent="0.25">
      <c r="A2181" s="16"/>
      <c r="B2181" s="17"/>
      <c r="C2181" s="2" t="b">
        <v>0</v>
      </c>
      <c r="D2181" s="2"/>
      <c r="E2181" s="2"/>
      <c r="F2181" s="2"/>
      <c r="G2181" s="2"/>
      <c r="H2181" s="2"/>
      <c r="I2181" s="5"/>
    </row>
    <row r="2182" spans="1:9" ht="17.399999999999999" x14ac:dyDescent="0.25">
      <c r="A2182" s="16"/>
      <c r="B2182" s="17"/>
      <c r="C2182" s="2" t="b">
        <v>0</v>
      </c>
      <c r="D2182" s="2"/>
      <c r="E2182" s="2"/>
      <c r="F2182" s="2"/>
      <c r="G2182" s="2"/>
      <c r="H2182" s="2"/>
      <c r="I2182" s="5"/>
    </row>
    <row r="2183" spans="1:9" ht="17.399999999999999" x14ac:dyDescent="0.25">
      <c r="A2183" s="16"/>
      <c r="B2183" s="17"/>
      <c r="C2183" s="2" t="b">
        <v>0</v>
      </c>
      <c r="D2183" s="2"/>
      <c r="E2183" s="2"/>
      <c r="F2183" s="2"/>
      <c r="G2183" s="2"/>
      <c r="H2183" s="2"/>
      <c r="I2183" s="5"/>
    </row>
    <row r="2184" spans="1:9" ht="17.399999999999999" x14ac:dyDescent="0.25">
      <c r="A2184" s="16"/>
      <c r="B2184" s="17"/>
      <c r="C2184" s="2" t="b">
        <v>0</v>
      </c>
      <c r="D2184" s="2"/>
      <c r="E2184" s="2"/>
      <c r="F2184" s="2"/>
      <c r="G2184" s="2"/>
      <c r="H2184" s="2"/>
      <c r="I2184" s="5"/>
    </row>
    <row r="2185" spans="1:9" ht="17.399999999999999" x14ac:dyDescent="0.25">
      <c r="A2185" s="16"/>
      <c r="B2185" s="17"/>
      <c r="C2185" s="2" t="b">
        <v>0</v>
      </c>
      <c r="D2185" s="2"/>
      <c r="E2185" s="2"/>
      <c r="F2185" s="2"/>
      <c r="G2185" s="2"/>
      <c r="H2185" s="2"/>
      <c r="I2185" s="5"/>
    </row>
    <row r="2186" spans="1:9" ht="17.399999999999999" x14ac:dyDescent="0.25">
      <c r="A2186" s="16"/>
      <c r="B2186" s="17"/>
      <c r="C2186" s="2" t="b">
        <v>0</v>
      </c>
      <c r="D2186" s="2"/>
      <c r="E2186" s="2"/>
      <c r="F2186" s="2"/>
      <c r="G2186" s="2"/>
      <c r="H2186" s="2"/>
      <c r="I2186" s="5"/>
    </row>
    <row r="2187" spans="1:9" ht="17.399999999999999" x14ac:dyDescent="0.25">
      <c r="A2187" s="16"/>
      <c r="B2187" s="17"/>
      <c r="C2187" s="2" t="b">
        <v>0</v>
      </c>
      <c r="D2187" s="2"/>
      <c r="E2187" s="2"/>
      <c r="F2187" s="2"/>
      <c r="G2187" s="2"/>
      <c r="H2187" s="2"/>
      <c r="I2187" s="5"/>
    </row>
    <row r="2188" spans="1:9" ht="17.399999999999999" x14ac:dyDescent="0.25">
      <c r="A2188" s="16"/>
      <c r="B2188" s="17"/>
      <c r="C2188" s="2" t="b">
        <v>0</v>
      </c>
      <c r="D2188" s="2"/>
      <c r="E2188" s="2"/>
      <c r="F2188" s="2"/>
      <c r="G2188" s="2"/>
      <c r="H2188" s="2"/>
      <c r="I2188" s="5"/>
    </row>
    <row r="2189" spans="1:9" ht="17.399999999999999" x14ac:dyDescent="0.25">
      <c r="A2189" s="16"/>
      <c r="B2189" s="17"/>
      <c r="C2189" s="2" t="b">
        <v>0</v>
      </c>
      <c r="D2189" s="2"/>
      <c r="E2189" s="2"/>
      <c r="F2189" s="2"/>
      <c r="G2189" s="2"/>
      <c r="H2189" s="2"/>
      <c r="I2189" s="5"/>
    </row>
    <row r="2190" spans="1:9" ht="17.399999999999999" x14ac:dyDescent="0.25">
      <c r="A2190" s="16"/>
      <c r="B2190" s="17"/>
      <c r="C2190" s="2" t="b">
        <v>0</v>
      </c>
      <c r="D2190" s="2"/>
      <c r="E2190" s="2"/>
      <c r="F2190" s="2"/>
      <c r="G2190" s="2"/>
      <c r="H2190" s="2"/>
      <c r="I2190" s="5"/>
    </row>
    <row r="2191" spans="1:9" ht="17.399999999999999" x14ac:dyDescent="0.25">
      <c r="A2191" s="16"/>
      <c r="B2191" s="17"/>
      <c r="C2191" s="2" t="b">
        <v>0</v>
      </c>
      <c r="D2191" s="2"/>
      <c r="E2191" s="2"/>
      <c r="F2191" s="2"/>
      <c r="G2191" s="2"/>
      <c r="H2191" s="2"/>
      <c r="I2191" s="5"/>
    </row>
    <row r="2192" spans="1:9" ht="17.399999999999999" x14ac:dyDescent="0.25">
      <c r="A2192" s="16"/>
      <c r="B2192" s="17"/>
      <c r="C2192" s="2" t="b">
        <v>0</v>
      </c>
      <c r="D2192" s="2"/>
      <c r="E2192" s="2"/>
      <c r="F2192" s="2"/>
      <c r="G2192" s="2"/>
      <c r="H2192" s="2"/>
      <c r="I2192" s="5"/>
    </row>
    <row r="2193" spans="1:9" ht="17.399999999999999" x14ac:dyDescent="0.25">
      <c r="A2193" s="16"/>
      <c r="B2193" s="17"/>
      <c r="C2193" s="2" t="b">
        <v>0</v>
      </c>
      <c r="D2193" s="2"/>
      <c r="E2193" s="2"/>
      <c r="F2193" s="2"/>
      <c r="G2193" s="2"/>
      <c r="H2193" s="2"/>
      <c r="I2193" s="5"/>
    </row>
    <row r="2194" spans="1:9" ht="17.399999999999999" x14ac:dyDescent="0.25">
      <c r="A2194" s="16"/>
      <c r="B2194" s="17"/>
      <c r="C2194" s="2" t="b">
        <v>0</v>
      </c>
      <c r="D2194" s="2"/>
      <c r="E2194" s="2"/>
      <c r="F2194" s="2"/>
      <c r="G2194" s="2"/>
      <c r="H2194" s="2"/>
      <c r="I2194" s="5"/>
    </row>
    <row r="2195" spans="1:9" ht="17.399999999999999" x14ac:dyDescent="0.25">
      <c r="A2195" s="16"/>
      <c r="B2195" s="17"/>
      <c r="C2195" s="2" t="b">
        <v>0</v>
      </c>
      <c r="D2195" s="2"/>
      <c r="E2195" s="2"/>
      <c r="F2195" s="2"/>
      <c r="G2195" s="2"/>
      <c r="H2195" s="2"/>
      <c r="I2195" s="5"/>
    </row>
    <row r="2196" spans="1:9" ht="17.399999999999999" x14ac:dyDescent="0.25">
      <c r="A2196" s="16"/>
      <c r="B2196" s="17"/>
      <c r="C2196" s="2" t="b">
        <v>0</v>
      </c>
      <c r="D2196" s="2"/>
      <c r="E2196" s="2"/>
      <c r="F2196" s="2"/>
      <c r="G2196" s="2"/>
      <c r="H2196" s="2"/>
      <c r="I2196" s="5"/>
    </row>
    <row r="2197" spans="1:9" ht="17.399999999999999" x14ac:dyDescent="0.25">
      <c r="A2197" s="16"/>
      <c r="B2197" s="17"/>
      <c r="C2197" s="2" t="b">
        <v>0</v>
      </c>
      <c r="D2197" s="2"/>
      <c r="E2197" s="2"/>
      <c r="F2197" s="2"/>
      <c r="G2197" s="2"/>
      <c r="H2197" s="2"/>
      <c r="I2197" s="5"/>
    </row>
    <row r="2198" spans="1:9" ht="17.399999999999999" x14ac:dyDescent="0.25">
      <c r="A2198" s="16"/>
      <c r="B2198" s="17"/>
      <c r="C2198" s="2" t="b">
        <v>0</v>
      </c>
      <c r="D2198" s="2"/>
      <c r="E2198" s="2"/>
      <c r="F2198" s="2"/>
      <c r="G2198" s="2"/>
      <c r="H2198" s="2"/>
      <c r="I2198" s="5"/>
    </row>
    <row r="2199" spans="1:9" ht="17.399999999999999" x14ac:dyDescent="0.25">
      <c r="A2199" s="16"/>
      <c r="B2199" s="17"/>
      <c r="C2199" s="2" t="b">
        <v>0</v>
      </c>
      <c r="D2199" s="2"/>
      <c r="E2199" s="2"/>
      <c r="F2199" s="2"/>
      <c r="G2199" s="2"/>
      <c r="H2199" s="2"/>
      <c r="I2199" s="5"/>
    </row>
    <row r="2200" spans="1:9" ht="17.399999999999999" x14ac:dyDescent="0.25">
      <c r="A2200" s="16"/>
      <c r="B2200" s="17"/>
      <c r="C2200" s="2" t="b">
        <v>0</v>
      </c>
      <c r="D2200" s="2"/>
      <c r="E2200" s="2"/>
      <c r="F2200" s="2"/>
      <c r="G2200" s="2"/>
      <c r="H2200" s="2"/>
      <c r="I2200" s="5"/>
    </row>
    <row r="2201" spans="1:9" ht="17.399999999999999" x14ac:dyDescent="0.25">
      <c r="A2201" s="16"/>
      <c r="B2201" s="17"/>
      <c r="C2201" s="2" t="b">
        <v>0</v>
      </c>
      <c r="D2201" s="2"/>
      <c r="E2201" s="2"/>
      <c r="F2201" s="2"/>
      <c r="G2201" s="2"/>
      <c r="H2201" s="2"/>
      <c r="I2201" s="5"/>
    </row>
    <row r="2202" spans="1:9" ht="17.399999999999999" x14ac:dyDescent="0.25">
      <c r="A2202" s="16"/>
      <c r="B2202" s="17"/>
      <c r="C2202" s="2" t="b">
        <v>0</v>
      </c>
      <c r="D2202" s="2"/>
      <c r="E2202" s="2"/>
      <c r="F2202" s="2"/>
      <c r="G2202" s="2"/>
      <c r="H2202" s="2"/>
      <c r="I2202" s="5"/>
    </row>
    <row r="2203" spans="1:9" ht="17.399999999999999" x14ac:dyDescent="0.25">
      <c r="A2203" s="16"/>
      <c r="B2203" s="17"/>
      <c r="C2203" s="2" t="b">
        <v>0</v>
      </c>
      <c r="D2203" s="2"/>
      <c r="E2203" s="2"/>
      <c r="F2203" s="2"/>
      <c r="G2203" s="2"/>
      <c r="H2203" s="2"/>
      <c r="I2203" s="5"/>
    </row>
    <row r="2204" spans="1:9" ht="17.399999999999999" x14ac:dyDescent="0.25">
      <c r="A2204" s="16"/>
      <c r="B2204" s="17"/>
      <c r="C2204" s="2" t="b">
        <v>0</v>
      </c>
      <c r="D2204" s="2"/>
      <c r="E2204" s="2"/>
      <c r="F2204" s="2"/>
      <c r="G2204" s="2"/>
      <c r="H2204" s="2"/>
      <c r="I2204" s="5"/>
    </row>
    <row r="2205" spans="1:9" ht="17.399999999999999" x14ac:dyDescent="0.25">
      <c r="A2205" s="16"/>
      <c r="B2205" s="17"/>
      <c r="C2205" s="2" t="b">
        <v>0</v>
      </c>
      <c r="D2205" s="2"/>
      <c r="E2205" s="2"/>
      <c r="F2205" s="2"/>
      <c r="G2205" s="2"/>
      <c r="H2205" s="2"/>
      <c r="I2205" s="5"/>
    </row>
    <row r="2206" spans="1:9" ht="17.399999999999999" x14ac:dyDescent="0.25">
      <c r="A2206" s="16"/>
      <c r="B2206" s="17"/>
      <c r="C2206" s="2" t="b">
        <v>0</v>
      </c>
      <c r="D2206" s="2"/>
      <c r="E2206" s="2"/>
      <c r="F2206" s="2"/>
      <c r="G2206" s="2"/>
      <c r="H2206" s="2"/>
      <c r="I2206" s="5"/>
    </row>
    <row r="2207" spans="1:9" ht="17.399999999999999" x14ac:dyDescent="0.25">
      <c r="A2207" s="16"/>
      <c r="B2207" s="17"/>
      <c r="C2207" s="2" t="b">
        <v>0</v>
      </c>
      <c r="D2207" s="2"/>
      <c r="E2207" s="2"/>
      <c r="F2207" s="2"/>
      <c r="G2207" s="2"/>
      <c r="H2207" s="2"/>
      <c r="I2207" s="5"/>
    </row>
    <row r="2208" spans="1:9" ht="17.399999999999999" x14ac:dyDescent="0.25">
      <c r="A2208" s="16"/>
      <c r="B2208" s="17"/>
      <c r="C2208" s="2" t="b">
        <v>0</v>
      </c>
      <c r="D2208" s="2"/>
      <c r="E2208" s="2"/>
      <c r="F2208" s="2"/>
      <c r="G2208" s="2"/>
      <c r="H2208" s="2"/>
      <c r="I2208" s="5"/>
    </row>
    <row r="2209" spans="1:9" ht="17.399999999999999" x14ac:dyDescent="0.25">
      <c r="A2209" s="16"/>
      <c r="B2209" s="17"/>
      <c r="C2209" s="2" t="b">
        <v>0</v>
      </c>
      <c r="D2209" s="2"/>
      <c r="E2209" s="2"/>
      <c r="F2209" s="2"/>
      <c r="G2209" s="2"/>
      <c r="H2209" s="2"/>
      <c r="I2209" s="5"/>
    </row>
    <row r="2210" spans="1:9" ht="17.399999999999999" x14ac:dyDescent="0.25">
      <c r="A2210" s="16"/>
      <c r="B2210" s="17"/>
      <c r="C2210" s="2" t="b">
        <v>0</v>
      </c>
      <c r="D2210" s="2"/>
      <c r="E2210" s="2"/>
      <c r="F2210" s="2"/>
      <c r="G2210" s="2"/>
      <c r="H2210" s="2"/>
      <c r="I2210" s="5"/>
    </row>
    <row r="2211" spans="1:9" ht="17.399999999999999" x14ac:dyDescent="0.25">
      <c r="A2211" s="16"/>
      <c r="B2211" s="17"/>
      <c r="C2211" s="2" t="b">
        <v>0</v>
      </c>
      <c r="D2211" s="2"/>
      <c r="E2211" s="2"/>
      <c r="F2211" s="2"/>
      <c r="G2211" s="2"/>
      <c r="H2211" s="2"/>
      <c r="I2211" s="5"/>
    </row>
    <row r="2212" spans="1:9" ht="17.399999999999999" x14ac:dyDescent="0.25">
      <c r="A2212" s="16"/>
      <c r="B2212" s="17"/>
      <c r="C2212" s="2" t="b">
        <v>0</v>
      </c>
      <c r="D2212" s="2"/>
      <c r="E2212" s="2"/>
      <c r="F2212" s="2"/>
      <c r="G2212" s="2"/>
      <c r="H2212" s="2"/>
      <c r="I2212" s="5"/>
    </row>
    <row r="2213" spans="1:9" ht="17.399999999999999" x14ac:dyDescent="0.25">
      <c r="A2213" s="16"/>
      <c r="B2213" s="17"/>
      <c r="C2213" s="2" t="b">
        <v>0</v>
      </c>
      <c r="D2213" s="2"/>
      <c r="E2213" s="2"/>
      <c r="F2213" s="2"/>
      <c r="G2213" s="2"/>
      <c r="H2213" s="2"/>
      <c r="I2213" s="5"/>
    </row>
    <row r="2214" spans="1:9" ht="17.399999999999999" x14ac:dyDescent="0.25">
      <c r="A2214" s="16"/>
      <c r="B2214" s="17"/>
      <c r="C2214" s="2" t="b">
        <v>0</v>
      </c>
      <c r="D2214" s="2"/>
      <c r="E2214" s="2"/>
      <c r="F2214" s="2"/>
      <c r="G2214" s="2"/>
      <c r="H2214" s="2"/>
      <c r="I2214" s="5"/>
    </row>
    <row r="2215" spans="1:9" ht="17.399999999999999" x14ac:dyDescent="0.25">
      <c r="A2215" s="16"/>
      <c r="B2215" s="17"/>
      <c r="C2215" s="2" t="b">
        <v>0</v>
      </c>
      <c r="D2215" s="2"/>
      <c r="E2215" s="2"/>
      <c r="F2215" s="2"/>
      <c r="G2215" s="2"/>
      <c r="H2215" s="2"/>
      <c r="I2215" s="5"/>
    </row>
    <row r="2216" spans="1:9" ht="17.399999999999999" x14ac:dyDescent="0.25">
      <c r="A2216" s="16"/>
      <c r="B2216" s="17"/>
      <c r="C2216" s="2" t="b">
        <v>0</v>
      </c>
      <c r="D2216" s="2"/>
      <c r="E2216" s="2"/>
      <c r="F2216" s="2"/>
      <c r="G2216" s="2"/>
      <c r="H2216" s="2"/>
      <c r="I2216" s="5"/>
    </row>
    <row r="2217" spans="1:9" ht="17.399999999999999" x14ac:dyDescent="0.25">
      <c r="A2217" s="16"/>
      <c r="B2217" s="17"/>
      <c r="C2217" s="2" t="b">
        <v>0</v>
      </c>
      <c r="D2217" s="2"/>
      <c r="E2217" s="2"/>
      <c r="F2217" s="2"/>
      <c r="G2217" s="2"/>
      <c r="H2217" s="2"/>
      <c r="I2217" s="5"/>
    </row>
    <row r="2218" spans="1:9" ht="17.399999999999999" x14ac:dyDescent="0.25">
      <c r="A2218" s="16"/>
      <c r="B2218" s="17"/>
      <c r="C2218" s="2" t="b">
        <v>0</v>
      </c>
      <c r="D2218" s="2"/>
      <c r="E2218" s="2"/>
      <c r="F2218" s="2"/>
      <c r="G2218" s="2"/>
      <c r="H2218" s="2"/>
      <c r="I2218" s="5"/>
    </row>
    <row r="2219" spans="1:9" ht="17.399999999999999" x14ac:dyDescent="0.25">
      <c r="A2219" s="16"/>
      <c r="B2219" s="17"/>
      <c r="C2219" s="2" t="b">
        <v>0</v>
      </c>
      <c r="D2219" s="2"/>
      <c r="E2219" s="2"/>
      <c r="F2219" s="2"/>
      <c r="G2219" s="2"/>
      <c r="H2219" s="2"/>
      <c r="I2219" s="5"/>
    </row>
    <row r="2220" spans="1:9" ht="17.399999999999999" x14ac:dyDescent="0.25">
      <c r="A2220" s="16"/>
      <c r="B2220" s="17"/>
      <c r="C2220" s="2" t="b">
        <v>0</v>
      </c>
      <c r="D2220" s="2"/>
      <c r="E2220" s="2"/>
      <c r="F2220" s="2"/>
      <c r="G2220" s="2"/>
      <c r="H2220" s="2"/>
      <c r="I2220" s="5"/>
    </row>
    <row r="2221" spans="1:9" ht="17.399999999999999" x14ac:dyDescent="0.25">
      <c r="A2221" s="16"/>
      <c r="B2221" s="17"/>
      <c r="C2221" s="2" t="b">
        <v>0</v>
      </c>
      <c r="D2221" s="2"/>
      <c r="E2221" s="2"/>
      <c r="F2221" s="2"/>
      <c r="G2221" s="2"/>
      <c r="H2221" s="2"/>
      <c r="I2221" s="5"/>
    </row>
    <row r="2222" spans="1:9" ht="17.399999999999999" x14ac:dyDescent="0.25">
      <c r="A2222" s="16"/>
      <c r="B2222" s="17"/>
      <c r="C2222" s="2" t="b">
        <v>0</v>
      </c>
      <c r="D2222" s="2"/>
      <c r="E2222" s="2"/>
      <c r="F2222" s="2"/>
      <c r="G2222" s="2"/>
      <c r="H2222" s="2"/>
      <c r="I2222" s="5"/>
    </row>
    <row r="2223" spans="1:9" ht="17.399999999999999" x14ac:dyDescent="0.25">
      <c r="A2223" s="16"/>
      <c r="B2223" s="17"/>
      <c r="C2223" s="2" t="b">
        <v>0</v>
      </c>
      <c r="D2223" s="2"/>
      <c r="E2223" s="2"/>
      <c r="F2223" s="2"/>
      <c r="G2223" s="2"/>
      <c r="H2223" s="2"/>
      <c r="I2223" s="5"/>
    </row>
    <row r="2224" spans="1:9" ht="17.399999999999999" x14ac:dyDescent="0.25">
      <c r="A2224" s="16"/>
      <c r="B2224" s="17"/>
      <c r="C2224" s="2" t="b">
        <v>0</v>
      </c>
      <c r="D2224" s="2"/>
      <c r="E2224" s="2"/>
      <c r="F2224" s="2"/>
      <c r="G2224" s="2"/>
      <c r="H2224" s="2"/>
      <c r="I2224" s="5"/>
    </row>
    <row r="2225" spans="1:9" ht="17.399999999999999" x14ac:dyDescent="0.25">
      <c r="A2225" s="16"/>
      <c r="B2225" s="17"/>
      <c r="C2225" s="2" t="b">
        <v>0</v>
      </c>
      <c r="D2225" s="2"/>
      <c r="E2225" s="2"/>
      <c r="F2225" s="2"/>
      <c r="G2225" s="2"/>
      <c r="H2225" s="2"/>
      <c r="I2225" s="5"/>
    </row>
    <row r="2226" spans="1:9" ht="17.399999999999999" x14ac:dyDescent="0.25">
      <c r="A2226" s="16"/>
      <c r="B2226" s="17"/>
      <c r="C2226" s="2" t="b">
        <v>0</v>
      </c>
      <c r="D2226" s="2"/>
      <c r="E2226" s="2"/>
      <c r="F2226" s="2"/>
      <c r="G2226" s="2"/>
      <c r="H2226" s="2"/>
      <c r="I2226" s="5"/>
    </row>
    <row r="2227" spans="1:9" ht="17.399999999999999" x14ac:dyDescent="0.25">
      <c r="A2227" s="16"/>
      <c r="B2227" s="17"/>
      <c r="C2227" s="2" t="b">
        <v>0</v>
      </c>
      <c r="D2227" s="2"/>
      <c r="E2227" s="2"/>
      <c r="F2227" s="2"/>
      <c r="G2227" s="2"/>
      <c r="H2227" s="2"/>
      <c r="I2227" s="5"/>
    </row>
    <row r="2228" spans="1:9" ht="17.399999999999999" x14ac:dyDescent="0.25">
      <c r="A2228" s="16"/>
      <c r="B2228" s="17"/>
      <c r="C2228" s="2" t="b">
        <v>0</v>
      </c>
      <c r="D2228" s="2"/>
      <c r="E2228" s="2"/>
      <c r="F2228" s="2"/>
      <c r="G2228" s="2"/>
      <c r="H2228" s="2"/>
      <c r="I2228" s="5"/>
    </row>
    <row r="2229" spans="1:9" ht="17.399999999999999" x14ac:dyDescent="0.25">
      <c r="A2229" s="16"/>
      <c r="B2229" s="17"/>
      <c r="C2229" s="2" t="b">
        <v>0</v>
      </c>
      <c r="D2229" s="2"/>
      <c r="E2229" s="2"/>
      <c r="F2229" s="2"/>
      <c r="G2229" s="2"/>
      <c r="H2229" s="2"/>
      <c r="I2229" s="5"/>
    </row>
    <row r="2230" spans="1:9" ht="17.399999999999999" x14ac:dyDescent="0.25">
      <c r="A2230" s="16"/>
      <c r="B2230" s="17"/>
      <c r="C2230" s="2" t="b">
        <v>0</v>
      </c>
      <c r="D2230" s="2"/>
      <c r="E2230" s="2"/>
      <c r="F2230" s="2"/>
      <c r="G2230" s="2"/>
      <c r="H2230" s="2"/>
      <c r="I2230" s="5"/>
    </row>
    <row r="2231" spans="1:9" ht="17.399999999999999" x14ac:dyDescent="0.25">
      <c r="A2231" s="16"/>
      <c r="B2231" s="17"/>
      <c r="C2231" s="2" t="b">
        <v>0</v>
      </c>
      <c r="D2231" s="2"/>
      <c r="E2231" s="2"/>
      <c r="F2231" s="2"/>
      <c r="G2231" s="2"/>
      <c r="H2231" s="2"/>
      <c r="I2231" s="5"/>
    </row>
    <row r="2232" spans="1:9" ht="17.399999999999999" x14ac:dyDescent="0.25">
      <c r="A2232" s="16"/>
      <c r="B2232" s="17"/>
      <c r="C2232" s="2" t="b">
        <v>0</v>
      </c>
      <c r="D2232" s="2"/>
      <c r="E2232" s="2"/>
      <c r="F2232" s="2"/>
      <c r="G2232" s="2"/>
      <c r="H2232" s="2"/>
      <c r="I2232" s="5"/>
    </row>
    <row r="2233" spans="1:9" ht="17.399999999999999" x14ac:dyDescent="0.25">
      <c r="A2233" s="16"/>
      <c r="B2233" s="17"/>
      <c r="C2233" s="2" t="b">
        <v>0</v>
      </c>
      <c r="D2233" s="2"/>
      <c r="E2233" s="2"/>
      <c r="F2233" s="2"/>
      <c r="G2233" s="2"/>
      <c r="H2233" s="2"/>
      <c r="I2233" s="5"/>
    </row>
    <row r="2234" spans="1:9" ht="17.399999999999999" x14ac:dyDescent="0.25">
      <c r="A2234" s="16"/>
      <c r="B2234" s="17"/>
      <c r="C2234" s="2" t="b">
        <v>0</v>
      </c>
      <c r="D2234" s="2"/>
      <c r="E2234" s="2"/>
      <c r="F2234" s="2"/>
      <c r="G2234" s="2"/>
      <c r="H2234" s="2"/>
      <c r="I2234" s="5"/>
    </row>
    <row r="2235" spans="1:9" ht="17.399999999999999" x14ac:dyDescent="0.25">
      <c r="A2235" s="16"/>
      <c r="B2235" s="17"/>
      <c r="C2235" s="2" t="b">
        <v>0</v>
      </c>
      <c r="D2235" s="2"/>
      <c r="E2235" s="2"/>
      <c r="F2235" s="2"/>
      <c r="G2235" s="2"/>
      <c r="H2235" s="2"/>
      <c r="I2235" s="5"/>
    </row>
    <row r="2236" spans="1:9" ht="17.399999999999999" x14ac:dyDescent="0.25">
      <c r="A2236" s="16"/>
      <c r="B2236" s="17"/>
      <c r="C2236" s="2" t="b">
        <v>0</v>
      </c>
      <c r="D2236" s="2"/>
      <c r="E2236" s="2"/>
      <c r="F2236" s="2"/>
      <c r="G2236" s="2"/>
      <c r="H2236" s="2"/>
      <c r="I2236" s="5"/>
    </row>
    <row r="2237" spans="1:9" ht="17.399999999999999" x14ac:dyDescent="0.25">
      <c r="A2237" s="16"/>
      <c r="B2237" s="17"/>
      <c r="C2237" s="2" t="b">
        <v>0</v>
      </c>
      <c r="D2237" s="2"/>
      <c r="E2237" s="2"/>
      <c r="F2237" s="2"/>
      <c r="G2237" s="2"/>
      <c r="H2237" s="2"/>
      <c r="I2237" s="5"/>
    </row>
    <row r="2238" spans="1:9" ht="17.399999999999999" x14ac:dyDescent="0.25">
      <c r="A2238" s="16"/>
      <c r="B2238" s="17"/>
      <c r="C2238" s="2" t="b">
        <v>0</v>
      </c>
      <c r="D2238" s="2"/>
      <c r="E2238" s="2"/>
      <c r="F2238" s="2"/>
      <c r="G2238" s="2"/>
      <c r="H2238" s="2"/>
      <c r="I2238" s="5"/>
    </row>
    <row r="2239" spans="1:9" ht="17.399999999999999" x14ac:dyDescent="0.25">
      <c r="A2239" s="16"/>
      <c r="B2239" s="17"/>
      <c r="C2239" s="2" t="b">
        <v>0</v>
      </c>
      <c r="D2239" s="2"/>
      <c r="E2239" s="2"/>
      <c r="F2239" s="2"/>
      <c r="G2239" s="2"/>
      <c r="H2239" s="2"/>
      <c r="I2239" s="5"/>
    </row>
    <row r="2240" spans="1:9" ht="17.399999999999999" x14ac:dyDescent="0.25">
      <c r="A2240" s="16"/>
      <c r="B2240" s="17"/>
      <c r="C2240" s="2" t="b">
        <v>0</v>
      </c>
      <c r="D2240" s="2"/>
      <c r="E2240" s="2"/>
      <c r="F2240" s="2"/>
      <c r="G2240" s="2"/>
      <c r="H2240" s="2"/>
      <c r="I2240" s="5"/>
    </row>
    <row r="2241" spans="1:9" ht="17.399999999999999" x14ac:dyDescent="0.25">
      <c r="A2241" s="16"/>
      <c r="B2241" s="17"/>
      <c r="C2241" s="2" t="b">
        <v>0</v>
      </c>
      <c r="D2241" s="2"/>
      <c r="E2241" s="2"/>
      <c r="F2241" s="2"/>
      <c r="G2241" s="2"/>
      <c r="H2241" s="2"/>
      <c r="I2241" s="5"/>
    </row>
    <row r="2242" spans="1:9" ht="17.399999999999999" x14ac:dyDescent="0.25">
      <c r="A2242" s="16"/>
      <c r="B2242" s="17"/>
      <c r="C2242" s="2" t="b">
        <v>0</v>
      </c>
      <c r="D2242" s="2"/>
      <c r="E2242" s="2"/>
      <c r="F2242" s="2"/>
      <c r="G2242" s="2"/>
      <c r="H2242" s="2"/>
      <c r="I2242" s="5"/>
    </row>
    <row r="2243" spans="1:9" ht="17.399999999999999" x14ac:dyDescent="0.25">
      <c r="A2243" s="16"/>
      <c r="B2243" s="17"/>
      <c r="C2243" s="2" t="b">
        <v>0</v>
      </c>
      <c r="D2243" s="2"/>
      <c r="E2243" s="2"/>
      <c r="F2243" s="2"/>
      <c r="G2243" s="2"/>
      <c r="H2243" s="2"/>
      <c r="I2243" s="5"/>
    </row>
    <row r="2244" spans="1:9" ht="17.399999999999999" x14ac:dyDescent="0.25">
      <c r="A2244" s="16"/>
      <c r="B2244" s="17"/>
      <c r="C2244" s="2" t="b">
        <v>0</v>
      </c>
      <c r="D2244" s="2"/>
      <c r="E2244" s="2"/>
      <c r="F2244" s="2"/>
      <c r="G2244" s="2"/>
      <c r="H2244" s="2"/>
      <c r="I2244" s="5"/>
    </row>
    <row r="2245" spans="1:9" ht="17.399999999999999" x14ac:dyDescent="0.25">
      <c r="A2245" s="16"/>
      <c r="B2245" s="17"/>
      <c r="C2245" s="2" t="b">
        <v>0</v>
      </c>
      <c r="D2245" s="2"/>
      <c r="E2245" s="2"/>
      <c r="F2245" s="2"/>
      <c r="G2245" s="2"/>
      <c r="H2245" s="2"/>
      <c r="I2245" s="5"/>
    </row>
    <row r="2246" spans="1:9" ht="17.399999999999999" x14ac:dyDescent="0.25">
      <c r="A2246" s="16"/>
      <c r="B2246" s="17"/>
      <c r="C2246" s="2" t="b">
        <v>0</v>
      </c>
      <c r="D2246" s="2"/>
      <c r="E2246" s="2"/>
      <c r="F2246" s="2"/>
      <c r="G2246" s="2"/>
      <c r="H2246" s="2"/>
      <c r="I2246" s="5"/>
    </row>
    <row r="2247" spans="1:9" ht="17.399999999999999" x14ac:dyDescent="0.25">
      <c r="A2247" s="16"/>
      <c r="B2247" s="17"/>
      <c r="C2247" s="2" t="b">
        <v>0</v>
      </c>
      <c r="D2247" s="2"/>
      <c r="E2247" s="2"/>
      <c r="F2247" s="2"/>
      <c r="G2247" s="2"/>
      <c r="H2247" s="2"/>
      <c r="I2247" s="5"/>
    </row>
    <row r="2248" spans="1:9" ht="17.399999999999999" x14ac:dyDescent="0.25">
      <c r="A2248" s="16"/>
      <c r="B2248" s="17"/>
      <c r="C2248" s="2" t="b">
        <v>0</v>
      </c>
      <c r="D2248" s="2"/>
      <c r="E2248" s="2"/>
      <c r="F2248" s="2"/>
      <c r="G2248" s="2"/>
      <c r="H2248" s="2"/>
      <c r="I2248" s="5"/>
    </row>
    <row r="2249" spans="1:9" ht="17.399999999999999" x14ac:dyDescent="0.25">
      <c r="A2249" s="16"/>
      <c r="B2249" s="17"/>
      <c r="C2249" s="2" t="b">
        <v>0</v>
      </c>
      <c r="D2249" s="2"/>
      <c r="E2249" s="2"/>
      <c r="F2249" s="2"/>
      <c r="G2249" s="2"/>
      <c r="H2249" s="2"/>
      <c r="I2249" s="5"/>
    </row>
    <row r="2250" spans="1:9" ht="17.399999999999999" x14ac:dyDescent="0.25">
      <c r="A2250" s="16"/>
      <c r="B2250" s="17"/>
      <c r="C2250" s="2" t="b">
        <v>0</v>
      </c>
      <c r="D2250" s="2"/>
      <c r="E2250" s="2"/>
      <c r="F2250" s="2"/>
      <c r="G2250" s="2"/>
      <c r="H2250" s="2"/>
      <c r="I2250" s="5"/>
    </row>
    <row r="2251" spans="1:9" ht="17.399999999999999" x14ac:dyDescent="0.25">
      <c r="A2251" s="16"/>
      <c r="B2251" s="17"/>
      <c r="C2251" s="2" t="b">
        <v>0</v>
      </c>
      <c r="D2251" s="2"/>
      <c r="E2251" s="2"/>
      <c r="F2251" s="2"/>
      <c r="G2251" s="2"/>
      <c r="H2251" s="2"/>
      <c r="I2251" s="5"/>
    </row>
    <row r="2252" spans="1:9" ht="17.399999999999999" x14ac:dyDescent="0.25">
      <c r="A2252" s="16"/>
      <c r="B2252" s="17"/>
      <c r="C2252" s="2" t="b">
        <v>0</v>
      </c>
      <c r="D2252" s="2"/>
      <c r="E2252" s="2"/>
      <c r="F2252" s="2"/>
      <c r="G2252" s="2"/>
      <c r="H2252" s="2"/>
      <c r="I2252" s="5"/>
    </row>
    <row r="2253" spans="1:9" ht="17.399999999999999" x14ac:dyDescent="0.25">
      <c r="A2253" s="16"/>
      <c r="B2253" s="17"/>
      <c r="C2253" s="2" t="b">
        <v>0</v>
      </c>
      <c r="D2253" s="2"/>
      <c r="E2253" s="2"/>
      <c r="F2253" s="2"/>
      <c r="G2253" s="2"/>
      <c r="H2253" s="2"/>
      <c r="I2253" s="5"/>
    </row>
    <row r="2254" spans="1:9" ht="17.399999999999999" x14ac:dyDescent="0.25">
      <c r="A2254" s="16"/>
      <c r="B2254" s="17"/>
      <c r="C2254" s="2" t="b">
        <v>0</v>
      </c>
      <c r="D2254" s="2"/>
      <c r="E2254" s="2"/>
      <c r="F2254" s="2"/>
      <c r="G2254" s="2"/>
      <c r="H2254" s="2"/>
      <c r="I2254" s="5"/>
    </row>
    <row r="2255" spans="1:9" ht="17.399999999999999" x14ac:dyDescent="0.25">
      <c r="A2255" s="16"/>
      <c r="B2255" s="17"/>
      <c r="C2255" s="2" t="b">
        <v>0</v>
      </c>
      <c r="D2255" s="2"/>
      <c r="E2255" s="2"/>
      <c r="F2255" s="2"/>
      <c r="G2255" s="2"/>
      <c r="H2255" s="2"/>
      <c r="I2255" s="5"/>
    </row>
    <row r="2256" spans="1:9" ht="17.399999999999999" x14ac:dyDescent="0.25">
      <c r="A2256" s="16"/>
      <c r="B2256" s="17"/>
      <c r="C2256" s="2" t="b">
        <v>0</v>
      </c>
      <c r="D2256" s="2"/>
      <c r="E2256" s="2"/>
      <c r="F2256" s="2"/>
      <c r="G2256" s="2"/>
      <c r="H2256" s="2"/>
      <c r="I2256" s="5"/>
    </row>
    <row r="2257" spans="1:9" ht="17.399999999999999" x14ac:dyDescent="0.25">
      <c r="A2257" s="16"/>
      <c r="B2257" s="17"/>
      <c r="C2257" s="2" t="b">
        <v>0</v>
      </c>
      <c r="D2257" s="2"/>
      <c r="E2257" s="2"/>
      <c r="F2257" s="2"/>
      <c r="G2257" s="2"/>
      <c r="H2257" s="2"/>
      <c r="I2257" s="5"/>
    </row>
    <row r="2258" spans="1:9" ht="17.399999999999999" x14ac:dyDescent="0.25">
      <c r="A2258" s="16"/>
      <c r="B2258" s="17"/>
      <c r="C2258" s="2" t="b">
        <v>0</v>
      </c>
      <c r="D2258" s="2"/>
      <c r="E2258" s="2"/>
      <c r="F2258" s="2"/>
      <c r="G2258" s="2"/>
      <c r="H2258" s="2"/>
      <c r="I2258" s="5"/>
    </row>
    <row r="2259" spans="1:9" ht="17.399999999999999" x14ac:dyDescent="0.25">
      <c r="A2259" s="16"/>
      <c r="B2259" s="17"/>
      <c r="C2259" s="2" t="b">
        <v>0</v>
      </c>
      <c r="D2259" s="2"/>
      <c r="E2259" s="2"/>
      <c r="F2259" s="2"/>
      <c r="G2259" s="2"/>
      <c r="H2259" s="2"/>
      <c r="I2259" s="5"/>
    </row>
    <row r="2260" spans="1:9" ht="17.399999999999999" x14ac:dyDescent="0.25">
      <c r="A2260" s="16"/>
      <c r="B2260" s="17"/>
      <c r="C2260" s="2" t="b">
        <v>0</v>
      </c>
      <c r="D2260" s="2"/>
      <c r="E2260" s="2"/>
      <c r="F2260" s="2"/>
      <c r="G2260" s="2"/>
      <c r="H2260" s="2"/>
      <c r="I2260" s="5"/>
    </row>
    <row r="2261" spans="1:9" ht="17.399999999999999" x14ac:dyDescent="0.25">
      <c r="A2261" s="16"/>
      <c r="B2261" s="17"/>
      <c r="C2261" s="2" t="b">
        <v>0</v>
      </c>
      <c r="D2261" s="2"/>
      <c r="E2261" s="2"/>
      <c r="F2261" s="2"/>
      <c r="G2261" s="2"/>
      <c r="H2261" s="2"/>
      <c r="I2261" s="5"/>
    </row>
    <row r="2262" spans="1:9" ht="17.399999999999999" x14ac:dyDescent="0.25">
      <c r="A2262" s="16"/>
      <c r="B2262" s="17"/>
      <c r="C2262" s="2" t="b">
        <v>0</v>
      </c>
      <c r="D2262" s="2"/>
      <c r="E2262" s="2"/>
      <c r="F2262" s="2"/>
      <c r="G2262" s="2"/>
      <c r="H2262" s="2"/>
      <c r="I2262" s="5"/>
    </row>
    <row r="2263" spans="1:9" ht="17.399999999999999" x14ac:dyDescent="0.25">
      <c r="A2263" s="16"/>
      <c r="B2263" s="17"/>
      <c r="C2263" s="2" t="b">
        <v>0</v>
      </c>
      <c r="D2263" s="2"/>
      <c r="E2263" s="2"/>
      <c r="F2263" s="2"/>
      <c r="G2263" s="2"/>
      <c r="H2263" s="2"/>
      <c r="I2263" s="5"/>
    </row>
    <row r="2264" spans="1:9" ht="17.399999999999999" x14ac:dyDescent="0.25">
      <c r="A2264" s="16"/>
      <c r="B2264" s="17"/>
      <c r="C2264" s="2" t="b">
        <v>0</v>
      </c>
      <c r="D2264" s="2"/>
      <c r="E2264" s="2"/>
      <c r="F2264" s="2"/>
      <c r="G2264" s="2"/>
      <c r="H2264" s="2"/>
      <c r="I2264" s="5"/>
    </row>
    <row r="2265" spans="1:9" ht="17.399999999999999" x14ac:dyDescent="0.25">
      <c r="A2265" s="16"/>
      <c r="B2265" s="17"/>
      <c r="C2265" s="2" t="b">
        <v>0</v>
      </c>
      <c r="D2265" s="2"/>
      <c r="E2265" s="2"/>
      <c r="F2265" s="2"/>
      <c r="G2265" s="2"/>
      <c r="H2265" s="2"/>
      <c r="I2265" s="5"/>
    </row>
    <row r="2266" spans="1:9" ht="17.399999999999999" x14ac:dyDescent="0.25">
      <c r="A2266" s="16"/>
      <c r="B2266" s="17"/>
      <c r="C2266" s="2" t="b">
        <v>0</v>
      </c>
      <c r="D2266" s="2"/>
      <c r="E2266" s="2"/>
      <c r="F2266" s="2"/>
      <c r="G2266" s="2"/>
      <c r="H2266" s="2"/>
      <c r="I2266" s="5"/>
    </row>
    <row r="2267" spans="1:9" ht="17.399999999999999" x14ac:dyDescent="0.25">
      <c r="A2267" s="16"/>
      <c r="B2267" s="17"/>
      <c r="C2267" s="2" t="b">
        <v>0</v>
      </c>
      <c r="D2267" s="2"/>
      <c r="E2267" s="2"/>
      <c r="F2267" s="2"/>
      <c r="G2267" s="2"/>
      <c r="H2267" s="2"/>
      <c r="I2267" s="5"/>
    </row>
    <row r="2268" spans="1:9" ht="17.399999999999999" x14ac:dyDescent="0.25">
      <c r="A2268" s="16"/>
      <c r="B2268" s="17"/>
      <c r="C2268" s="2" t="b">
        <v>0</v>
      </c>
      <c r="D2268" s="2"/>
      <c r="E2268" s="2"/>
      <c r="F2268" s="2"/>
      <c r="G2268" s="2"/>
      <c r="H2268" s="2"/>
      <c r="I2268" s="5"/>
    </row>
    <row r="2269" spans="1:9" ht="17.399999999999999" x14ac:dyDescent="0.25">
      <c r="A2269" s="16"/>
      <c r="B2269" s="17"/>
      <c r="C2269" s="2" t="b">
        <v>0</v>
      </c>
      <c r="D2269" s="2"/>
      <c r="E2269" s="2"/>
      <c r="F2269" s="2"/>
      <c r="G2269" s="2"/>
      <c r="H2269" s="2"/>
      <c r="I2269" s="5"/>
    </row>
    <row r="2270" spans="1:9" ht="17.399999999999999" x14ac:dyDescent="0.25">
      <c r="A2270" s="16"/>
      <c r="B2270" s="17"/>
      <c r="C2270" s="2" t="b">
        <v>0</v>
      </c>
      <c r="D2270" s="2"/>
      <c r="E2270" s="2"/>
      <c r="F2270" s="2"/>
      <c r="G2270" s="2"/>
      <c r="H2270" s="2"/>
      <c r="I2270" s="5"/>
    </row>
    <row r="2271" spans="1:9" ht="17.399999999999999" x14ac:dyDescent="0.25">
      <c r="A2271" s="16"/>
      <c r="B2271" s="17"/>
      <c r="C2271" s="2" t="b">
        <v>0</v>
      </c>
      <c r="D2271" s="2"/>
      <c r="E2271" s="2"/>
      <c r="F2271" s="2"/>
      <c r="G2271" s="2"/>
      <c r="H2271" s="2"/>
      <c r="I2271" s="5"/>
    </row>
    <row r="2272" spans="1:9" ht="17.399999999999999" x14ac:dyDescent="0.25">
      <c r="A2272" s="16"/>
      <c r="B2272" s="17"/>
      <c r="C2272" s="2" t="b">
        <v>0</v>
      </c>
      <c r="D2272" s="2"/>
      <c r="E2272" s="2"/>
      <c r="F2272" s="2"/>
      <c r="G2272" s="2"/>
      <c r="H2272" s="2"/>
      <c r="I2272" s="5"/>
    </row>
    <row r="2273" spans="1:9" ht="17.399999999999999" x14ac:dyDescent="0.25">
      <c r="A2273" s="16"/>
      <c r="B2273" s="17"/>
      <c r="C2273" s="2" t="b">
        <v>0</v>
      </c>
      <c r="D2273" s="2"/>
      <c r="E2273" s="2"/>
      <c r="F2273" s="2"/>
      <c r="G2273" s="2"/>
      <c r="H2273" s="2"/>
      <c r="I2273" s="5"/>
    </row>
    <row r="2274" spans="1:9" ht="17.399999999999999" x14ac:dyDescent="0.25">
      <c r="A2274" s="16"/>
      <c r="B2274" s="17"/>
      <c r="C2274" s="2" t="b">
        <v>0</v>
      </c>
      <c r="D2274" s="2"/>
      <c r="E2274" s="2"/>
      <c r="F2274" s="2"/>
      <c r="G2274" s="2"/>
      <c r="H2274" s="2"/>
      <c r="I2274" s="5"/>
    </row>
    <row r="2275" spans="1:9" ht="17.399999999999999" x14ac:dyDescent="0.25">
      <c r="A2275" s="16"/>
      <c r="B2275" s="17"/>
      <c r="C2275" s="2" t="b">
        <v>0</v>
      </c>
      <c r="D2275" s="2"/>
      <c r="E2275" s="2"/>
      <c r="F2275" s="2"/>
      <c r="G2275" s="2"/>
      <c r="H2275" s="2"/>
      <c r="I2275" s="5"/>
    </row>
    <row r="2276" spans="1:9" ht="17.399999999999999" x14ac:dyDescent="0.25">
      <c r="A2276" s="16"/>
      <c r="B2276" s="17"/>
      <c r="C2276" s="2" t="b">
        <v>0</v>
      </c>
      <c r="D2276" s="2"/>
      <c r="E2276" s="2"/>
      <c r="F2276" s="2"/>
      <c r="G2276" s="2"/>
      <c r="H2276" s="2"/>
      <c r="I2276" s="5"/>
    </row>
    <row r="2277" spans="1:9" ht="17.399999999999999" x14ac:dyDescent="0.25">
      <c r="A2277" s="16"/>
      <c r="B2277" s="17"/>
      <c r="C2277" s="2" t="b">
        <v>0</v>
      </c>
      <c r="D2277" s="2"/>
      <c r="E2277" s="2"/>
      <c r="F2277" s="2"/>
      <c r="G2277" s="2"/>
      <c r="H2277" s="2"/>
      <c r="I2277" s="5"/>
    </row>
    <row r="2278" spans="1:9" ht="17.399999999999999" x14ac:dyDescent="0.25">
      <c r="A2278" s="16"/>
      <c r="B2278" s="17"/>
      <c r="C2278" s="2" t="b">
        <v>0</v>
      </c>
      <c r="D2278" s="2"/>
      <c r="E2278" s="2"/>
      <c r="F2278" s="2"/>
      <c r="G2278" s="2"/>
      <c r="H2278" s="2"/>
      <c r="I2278" s="5"/>
    </row>
    <row r="2279" spans="1:9" ht="17.399999999999999" x14ac:dyDescent="0.25">
      <c r="A2279" s="16"/>
      <c r="B2279" s="17"/>
      <c r="C2279" s="2" t="b">
        <v>0</v>
      </c>
      <c r="D2279" s="2"/>
      <c r="E2279" s="2"/>
      <c r="F2279" s="2"/>
      <c r="G2279" s="2"/>
      <c r="H2279" s="2"/>
      <c r="I2279" s="5"/>
    </row>
    <row r="2280" spans="1:9" ht="17.399999999999999" x14ac:dyDescent="0.25">
      <c r="A2280" s="16"/>
      <c r="B2280" s="17"/>
      <c r="C2280" s="2" t="b">
        <v>0</v>
      </c>
      <c r="D2280" s="2"/>
      <c r="E2280" s="2"/>
      <c r="F2280" s="2"/>
      <c r="G2280" s="2"/>
      <c r="H2280" s="2"/>
      <c r="I2280" s="5"/>
    </row>
    <row r="2281" spans="1:9" ht="17.399999999999999" x14ac:dyDescent="0.25">
      <c r="A2281" s="16"/>
      <c r="B2281" s="17"/>
      <c r="C2281" s="2" t="b">
        <v>0</v>
      </c>
      <c r="D2281" s="2"/>
      <c r="E2281" s="2"/>
      <c r="F2281" s="2"/>
      <c r="G2281" s="2"/>
      <c r="H2281" s="2"/>
      <c r="I2281" s="5"/>
    </row>
    <row r="2282" spans="1:9" ht="17.399999999999999" x14ac:dyDescent="0.25">
      <c r="A2282" s="16"/>
      <c r="B2282" s="17"/>
      <c r="C2282" s="2" t="b">
        <v>0</v>
      </c>
      <c r="D2282" s="2"/>
      <c r="E2282" s="2"/>
      <c r="F2282" s="2"/>
      <c r="G2282" s="2"/>
      <c r="H2282" s="2"/>
      <c r="I2282" s="5"/>
    </row>
    <row r="2283" spans="1:9" ht="17.399999999999999" x14ac:dyDescent="0.25">
      <c r="A2283" s="16"/>
      <c r="B2283" s="17"/>
      <c r="C2283" s="2" t="b">
        <v>0</v>
      </c>
      <c r="D2283" s="2"/>
      <c r="E2283" s="2"/>
      <c r="F2283" s="2"/>
      <c r="G2283" s="2"/>
      <c r="H2283" s="2"/>
      <c r="I2283" s="5"/>
    </row>
    <row r="2284" spans="1:9" ht="17.399999999999999" x14ac:dyDescent="0.25">
      <c r="A2284" s="16"/>
      <c r="B2284" s="17"/>
      <c r="C2284" s="2" t="b">
        <v>0</v>
      </c>
      <c r="D2284" s="2"/>
      <c r="E2284" s="2"/>
      <c r="F2284" s="2"/>
      <c r="G2284" s="2"/>
      <c r="H2284" s="2"/>
      <c r="I2284" s="5"/>
    </row>
    <row r="2285" spans="1:9" ht="17.399999999999999" x14ac:dyDescent="0.25">
      <c r="A2285" s="16"/>
      <c r="B2285" s="17"/>
      <c r="C2285" s="2" t="b">
        <v>0</v>
      </c>
      <c r="D2285" s="2"/>
      <c r="E2285" s="2"/>
      <c r="F2285" s="2"/>
      <c r="G2285" s="2"/>
      <c r="H2285" s="2"/>
      <c r="I2285" s="5"/>
    </row>
    <row r="2286" spans="1:9" ht="17.399999999999999" x14ac:dyDescent="0.25">
      <c r="A2286" s="16"/>
      <c r="B2286" s="17"/>
      <c r="C2286" s="2" t="b">
        <v>0</v>
      </c>
      <c r="D2286" s="2"/>
      <c r="E2286" s="2"/>
      <c r="F2286" s="2"/>
      <c r="G2286" s="2"/>
      <c r="H2286" s="2"/>
      <c r="I2286" s="5"/>
    </row>
    <row r="2287" spans="1:9" ht="17.399999999999999" x14ac:dyDescent="0.25">
      <c r="A2287" s="16"/>
      <c r="B2287" s="17"/>
      <c r="C2287" s="2" t="b">
        <v>0</v>
      </c>
      <c r="D2287" s="2"/>
      <c r="E2287" s="2"/>
      <c r="F2287" s="2"/>
      <c r="G2287" s="2"/>
      <c r="H2287" s="2"/>
      <c r="I2287" s="5"/>
    </row>
    <row r="2288" spans="1:9" ht="17.399999999999999" x14ac:dyDescent="0.25">
      <c r="A2288" s="16"/>
      <c r="B2288" s="17"/>
      <c r="C2288" s="2" t="b">
        <v>0</v>
      </c>
      <c r="D2288" s="2"/>
      <c r="E2288" s="2"/>
      <c r="F2288" s="2"/>
      <c r="G2288" s="2"/>
      <c r="H2288" s="2"/>
      <c r="I2288" s="5"/>
    </row>
    <row r="2289" spans="1:9" ht="17.399999999999999" x14ac:dyDescent="0.25">
      <c r="A2289" s="16"/>
      <c r="B2289" s="17"/>
      <c r="C2289" s="2" t="b">
        <v>0</v>
      </c>
      <c r="D2289" s="2"/>
      <c r="E2289" s="2"/>
      <c r="F2289" s="2"/>
      <c r="G2289" s="2"/>
      <c r="H2289" s="2"/>
      <c r="I2289" s="5"/>
    </row>
    <row r="2290" spans="1:9" ht="17.399999999999999" x14ac:dyDescent="0.25">
      <c r="A2290" s="16"/>
      <c r="B2290" s="17"/>
      <c r="C2290" s="2" t="b">
        <v>0</v>
      </c>
      <c r="D2290" s="2"/>
      <c r="E2290" s="2"/>
      <c r="F2290" s="2"/>
      <c r="G2290" s="2"/>
      <c r="H2290" s="2"/>
      <c r="I2290" s="5"/>
    </row>
    <row r="2291" spans="1:9" ht="17.399999999999999" x14ac:dyDescent="0.25">
      <c r="A2291" s="16"/>
      <c r="B2291" s="17"/>
      <c r="C2291" s="2" t="b">
        <v>0</v>
      </c>
      <c r="D2291" s="2"/>
      <c r="E2291" s="2"/>
      <c r="F2291" s="2"/>
      <c r="G2291" s="2"/>
      <c r="H2291" s="2"/>
      <c r="I2291" s="5"/>
    </row>
    <row r="2292" spans="1:9" ht="17.399999999999999" x14ac:dyDescent="0.25">
      <c r="A2292" s="16"/>
      <c r="B2292" s="17"/>
      <c r="C2292" s="2" t="b">
        <v>0</v>
      </c>
      <c r="D2292" s="2"/>
      <c r="E2292" s="2"/>
      <c r="F2292" s="2"/>
      <c r="G2292" s="2"/>
      <c r="H2292" s="2"/>
      <c r="I2292" s="5"/>
    </row>
    <row r="2293" spans="1:9" ht="17.399999999999999" x14ac:dyDescent="0.25">
      <c r="A2293" s="16"/>
      <c r="B2293" s="17"/>
      <c r="C2293" s="2" t="b">
        <v>0</v>
      </c>
      <c r="D2293" s="2"/>
      <c r="E2293" s="2"/>
      <c r="F2293" s="2"/>
      <c r="G2293" s="2"/>
      <c r="H2293" s="2"/>
      <c r="I2293" s="5"/>
    </row>
    <row r="2294" spans="1:9" ht="17.399999999999999" x14ac:dyDescent="0.25">
      <c r="A2294" s="16"/>
      <c r="B2294" s="17"/>
      <c r="C2294" s="2" t="b">
        <v>0</v>
      </c>
      <c r="D2294" s="2"/>
      <c r="E2294" s="2"/>
      <c r="F2294" s="2"/>
      <c r="G2294" s="2"/>
      <c r="H2294" s="2"/>
      <c r="I2294" s="5"/>
    </row>
    <row r="2295" spans="1:9" ht="17.399999999999999" x14ac:dyDescent="0.25">
      <c r="A2295" s="16"/>
      <c r="B2295" s="17"/>
      <c r="C2295" s="2" t="b">
        <v>0</v>
      </c>
      <c r="D2295" s="2"/>
      <c r="E2295" s="2"/>
      <c r="F2295" s="2"/>
      <c r="G2295" s="2"/>
      <c r="H2295" s="2"/>
      <c r="I2295" s="5"/>
    </row>
    <row r="2296" spans="1:9" ht="17.399999999999999" x14ac:dyDescent="0.25">
      <c r="A2296" s="16"/>
      <c r="B2296" s="17"/>
      <c r="C2296" s="2" t="b">
        <v>0</v>
      </c>
      <c r="D2296" s="2"/>
      <c r="E2296" s="2"/>
      <c r="F2296" s="2"/>
      <c r="G2296" s="2"/>
      <c r="H2296" s="2"/>
      <c r="I2296" s="5"/>
    </row>
    <row r="2297" spans="1:9" ht="17.399999999999999" x14ac:dyDescent="0.25">
      <c r="A2297" s="16"/>
      <c r="B2297" s="17"/>
      <c r="C2297" s="2" t="b">
        <v>0</v>
      </c>
      <c r="D2297" s="2"/>
      <c r="E2297" s="2"/>
      <c r="F2297" s="2"/>
      <c r="G2297" s="2"/>
      <c r="H2297" s="2"/>
      <c r="I2297" s="5"/>
    </row>
    <row r="2298" spans="1:9" ht="17.399999999999999" x14ac:dyDescent="0.25">
      <c r="A2298" s="16"/>
      <c r="B2298" s="17"/>
      <c r="C2298" s="2" t="b">
        <v>0</v>
      </c>
      <c r="D2298" s="2"/>
      <c r="E2298" s="2"/>
      <c r="F2298" s="2"/>
      <c r="G2298" s="2"/>
      <c r="H2298" s="2"/>
      <c r="I2298" s="5"/>
    </row>
    <row r="2299" spans="1:9" ht="17.399999999999999" x14ac:dyDescent="0.25">
      <c r="A2299" s="16"/>
      <c r="B2299" s="17"/>
      <c r="C2299" s="2" t="b">
        <v>0</v>
      </c>
      <c r="D2299" s="2"/>
      <c r="E2299" s="2"/>
      <c r="F2299" s="2"/>
      <c r="G2299" s="2"/>
      <c r="H2299" s="2"/>
      <c r="I2299" s="5"/>
    </row>
    <row r="2300" spans="1:9" ht="17.399999999999999" x14ac:dyDescent="0.25">
      <c r="A2300" s="16"/>
      <c r="B2300" s="17"/>
      <c r="C2300" s="2" t="b">
        <v>0</v>
      </c>
      <c r="D2300" s="2"/>
      <c r="E2300" s="2"/>
      <c r="F2300" s="2"/>
      <c r="G2300" s="2"/>
      <c r="H2300" s="2"/>
      <c r="I2300" s="5"/>
    </row>
    <row r="2301" spans="1:9" ht="17.399999999999999" x14ac:dyDescent="0.25">
      <c r="A2301" s="16"/>
      <c r="B2301" s="17"/>
      <c r="C2301" s="2" t="b">
        <v>0</v>
      </c>
      <c r="D2301" s="2"/>
      <c r="E2301" s="2"/>
      <c r="F2301" s="2"/>
      <c r="G2301" s="2"/>
      <c r="H2301" s="2"/>
      <c r="I2301" s="5"/>
    </row>
    <row r="2302" spans="1:9" ht="17.399999999999999" x14ac:dyDescent="0.25">
      <c r="A2302" s="16"/>
      <c r="B2302" s="17"/>
      <c r="C2302" s="2" t="b">
        <v>0</v>
      </c>
      <c r="D2302" s="2"/>
      <c r="E2302" s="2"/>
      <c r="F2302" s="2"/>
      <c r="G2302" s="2"/>
      <c r="H2302" s="2"/>
      <c r="I2302" s="5"/>
    </row>
    <row r="2303" spans="1:9" ht="17.399999999999999" x14ac:dyDescent="0.25">
      <c r="A2303" s="16"/>
      <c r="B2303" s="17"/>
      <c r="C2303" s="2" t="b">
        <v>0</v>
      </c>
      <c r="D2303" s="2"/>
      <c r="E2303" s="2"/>
      <c r="F2303" s="2"/>
      <c r="G2303" s="2"/>
      <c r="H2303" s="2"/>
      <c r="I2303" s="5"/>
    </row>
    <row r="2304" spans="1:9" ht="17.399999999999999" x14ac:dyDescent="0.25">
      <c r="A2304" s="16"/>
      <c r="B2304" s="17"/>
      <c r="C2304" s="2" t="b">
        <v>0</v>
      </c>
      <c r="D2304" s="2"/>
      <c r="E2304" s="2"/>
      <c r="F2304" s="2"/>
      <c r="G2304" s="2"/>
      <c r="H2304" s="2"/>
      <c r="I2304" s="5"/>
    </row>
    <row r="2305" spans="1:9" ht="17.399999999999999" x14ac:dyDescent="0.25">
      <c r="A2305" s="16"/>
      <c r="B2305" s="17"/>
      <c r="C2305" s="2" t="b">
        <v>0</v>
      </c>
      <c r="D2305" s="2"/>
      <c r="E2305" s="2"/>
      <c r="F2305" s="2"/>
      <c r="G2305" s="2"/>
      <c r="H2305" s="2"/>
      <c r="I2305" s="5"/>
    </row>
    <row r="2306" spans="1:9" ht="17.399999999999999" x14ac:dyDescent="0.25">
      <c r="A2306" s="16"/>
      <c r="B2306" s="17"/>
      <c r="C2306" s="2" t="b">
        <v>0</v>
      </c>
      <c r="D2306" s="2"/>
      <c r="E2306" s="2"/>
      <c r="F2306" s="2"/>
      <c r="G2306" s="2"/>
      <c r="H2306" s="2"/>
      <c r="I2306" s="5"/>
    </row>
    <row r="2307" spans="1:9" ht="17.399999999999999" x14ac:dyDescent="0.25">
      <c r="A2307" s="16"/>
      <c r="B2307" s="17"/>
      <c r="C2307" s="2" t="b">
        <v>0</v>
      </c>
      <c r="D2307" s="2"/>
      <c r="E2307" s="2"/>
      <c r="F2307" s="2"/>
      <c r="G2307" s="2"/>
      <c r="H2307" s="2"/>
      <c r="I2307" s="5"/>
    </row>
    <row r="2308" spans="1:9" ht="17.399999999999999" x14ac:dyDescent="0.25">
      <c r="A2308" s="16"/>
      <c r="B2308" s="17"/>
      <c r="C2308" s="2" t="b">
        <v>0</v>
      </c>
      <c r="D2308" s="2"/>
      <c r="E2308" s="2"/>
      <c r="F2308" s="2"/>
      <c r="G2308" s="2"/>
      <c r="H2308" s="2"/>
      <c r="I2308" s="5"/>
    </row>
    <row r="2309" spans="1:9" ht="17.399999999999999" x14ac:dyDescent="0.25">
      <c r="A2309" s="16"/>
      <c r="B2309" s="17"/>
      <c r="C2309" s="2" t="b">
        <v>0</v>
      </c>
      <c r="D2309" s="2"/>
      <c r="E2309" s="2"/>
      <c r="F2309" s="2"/>
      <c r="G2309" s="2"/>
      <c r="H2309" s="2"/>
      <c r="I2309" s="5"/>
    </row>
    <row r="2310" spans="1:9" ht="17.399999999999999" x14ac:dyDescent="0.25">
      <c r="A2310" s="16"/>
      <c r="B2310" s="17"/>
      <c r="C2310" s="2" t="b">
        <v>0</v>
      </c>
      <c r="D2310" s="2"/>
      <c r="E2310" s="2"/>
      <c r="F2310" s="2"/>
      <c r="G2310" s="2"/>
      <c r="H2310" s="2"/>
      <c r="I2310" s="5"/>
    </row>
    <row r="2311" spans="1:9" ht="17.399999999999999" x14ac:dyDescent="0.25">
      <c r="A2311" s="16"/>
      <c r="B2311" s="17"/>
      <c r="C2311" s="2" t="b">
        <v>0</v>
      </c>
      <c r="D2311" s="2"/>
      <c r="E2311" s="2"/>
      <c r="F2311" s="2"/>
      <c r="G2311" s="2"/>
      <c r="H2311" s="2"/>
      <c r="I2311" s="5"/>
    </row>
    <row r="2312" spans="1:9" ht="17.399999999999999" x14ac:dyDescent="0.25">
      <c r="A2312" s="16"/>
      <c r="B2312" s="17"/>
      <c r="C2312" s="2" t="b">
        <v>0</v>
      </c>
      <c r="D2312" s="2"/>
      <c r="E2312" s="2"/>
      <c r="F2312" s="2"/>
      <c r="G2312" s="2"/>
      <c r="H2312" s="2"/>
      <c r="I2312" s="5"/>
    </row>
    <row r="2313" spans="1:9" ht="17.399999999999999" x14ac:dyDescent="0.25">
      <c r="A2313" s="16"/>
      <c r="B2313" s="17"/>
      <c r="C2313" s="2" t="b">
        <v>0</v>
      </c>
      <c r="D2313" s="2"/>
      <c r="E2313" s="2"/>
      <c r="F2313" s="2"/>
      <c r="G2313" s="2"/>
      <c r="H2313" s="2"/>
      <c r="I2313" s="5"/>
    </row>
    <row r="2314" spans="1:9" ht="17.399999999999999" x14ac:dyDescent="0.25">
      <c r="A2314" s="16"/>
      <c r="B2314" s="17"/>
      <c r="C2314" s="2" t="b">
        <v>0</v>
      </c>
      <c r="D2314" s="2"/>
      <c r="E2314" s="2"/>
      <c r="F2314" s="2"/>
      <c r="G2314" s="2"/>
      <c r="H2314" s="2"/>
      <c r="I2314" s="5"/>
    </row>
    <row r="2315" spans="1:9" ht="17.399999999999999" x14ac:dyDescent="0.25">
      <c r="A2315" s="16"/>
      <c r="B2315" s="17"/>
      <c r="C2315" s="2" t="b">
        <v>0</v>
      </c>
      <c r="D2315" s="2"/>
      <c r="E2315" s="2"/>
      <c r="F2315" s="2"/>
      <c r="G2315" s="2"/>
      <c r="H2315" s="2"/>
      <c r="I2315" s="5"/>
    </row>
    <row r="2316" spans="1:9" ht="17.399999999999999" x14ac:dyDescent="0.25">
      <c r="A2316" s="16"/>
      <c r="B2316" s="17"/>
      <c r="C2316" s="2" t="b">
        <v>0</v>
      </c>
      <c r="D2316" s="2"/>
      <c r="E2316" s="2"/>
      <c r="F2316" s="2"/>
      <c r="G2316" s="2"/>
      <c r="H2316" s="2"/>
      <c r="I2316" s="5"/>
    </row>
    <row r="2317" spans="1:9" ht="17.399999999999999" x14ac:dyDescent="0.25">
      <c r="A2317" s="16"/>
      <c r="B2317" s="17"/>
      <c r="C2317" s="2" t="b">
        <v>0</v>
      </c>
      <c r="D2317" s="2"/>
      <c r="E2317" s="2"/>
      <c r="F2317" s="2"/>
      <c r="G2317" s="2"/>
      <c r="H2317" s="2"/>
      <c r="I2317" s="5"/>
    </row>
    <row r="2318" spans="1:9" ht="17.399999999999999" x14ac:dyDescent="0.25">
      <c r="A2318" s="16"/>
      <c r="B2318" s="17"/>
      <c r="C2318" s="2" t="b">
        <v>0</v>
      </c>
      <c r="D2318" s="2"/>
      <c r="E2318" s="2"/>
      <c r="F2318" s="2"/>
      <c r="G2318" s="2"/>
      <c r="H2318" s="2"/>
      <c r="I2318" s="5"/>
    </row>
    <row r="2319" spans="1:9" ht="17.399999999999999" x14ac:dyDescent="0.25">
      <c r="A2319" s="16"/>
      <c r="B2319" s="17"/>
      <c r="C2319" s="2" t="b">
        <v>0</v>
      </c>
      <c r="D2319" s="2"/>
      <c r="E2319" s="2"/>
      <c r="F2319" s="2"/>
      <c r="G2319" s="2"/>
      <c r="H2319" s="2"/>
      <c r="I2319" s="5"/>
    </row>
    <row r="2320" spans="1:9" ht="17.399999999999999" x14ac:dyDescent="0.25">
      <c r="A2320" s="16"/>
      <c r="B2320" s="17"/>
      <c r="C2320" s="2" t="b">
        <v>0</v>
      </c>
      <c r="D2320" s="2"/>
      <c r="E2320" s="2"/>
      <c r="F2320" s="2"/>
      <c r="G2320" s="2"/>
      <c r="H2320" s="2"/>
      <c r="I2320" s="5"/>
    </row>
    <row r="2321" spans="1:9" ht="17.399999999999999" x14ac:dyDescent="0.25">
      <c r="A2321" s="16"/>
      <c r="B2321" s="17"/>
      <c r="C2321" s="2" t="b">
        <v>0</v>
      </c>
      <c r="D2321" s="2"/>
      <c r="E2321" s="2"/>
      <c r="F2321" s="2"/>
      <c r="G2321" s="2"/>
      <c r="H2321" s="2"/>
      <c r="I2321" s="5"/>
    </row>
    <row r="2322" spans="1:9" ht="17.399999999999999" x14ac:dyDescent="0.25">
      <c r="A2322" s="16"/>
      <c r="B2322" s="17"/>
      <c r="C2322" s="2" t="b">
        <v>0</v>
      </c>
      <c r="D2322" s="2"/>
      <c r="E2322" s="2"/>
      <c r="F2322" s="2"/>
      <c r="G2322" s="2"/>
      <c r="H2322" s="2"/>
      <c r="I2322" s="5"/>
    </row>
    <row r="2323" spans="1:9" ht="17.399999999999999" x14ac:dyDescent="0.25">
      <c r="A2323" s="16"/>
      <c r="B2323" s="17"/>
      <c r="C2323" s="2" t="b">
        <v>0</v>
      </c>
      <c r="D2323" s="2"/>
      <c r="E2323" s="2"/>
      <c r="F2323" s="2"/>
      <c r="G2323" s="2"/>
      <c r="H2323" s="2"/>
      <c r="I2323" s="5"/>
    </row>
    <row r="2324" spans="1:9" ht="17.399999999999999" x14ac:dyDescent="0.25">
      <c r="A2324" s="16"/>
      <c r="B2324" s="17"/>
      <c r="C2324" s="2" t="b">
        <v>0</v>
      </c>
      <c r="D2324" s="2"/>
      <c r="E2324" s="2"/>
      <c r="F2324" s="2"/>
      <c r="G2324" s="2"/>
      <c r="H2324" s="2"/>
      <c r="I2324" s="5"/>
    </row>
    <row r="2325" spans="1:9" ht="17.399999999999999" x14ac:dyDescent="0.25">
      <c r="A2325" s="16"/>
      <c r="B2325" s="17"/>
      <c r="C2325" s="2" t="b">
        <v>0</v>
      </c>
      <c r="D2325" s="2"/>
      <c r="E2325" s="2"/>
      <c r="F2325" s="2"/>
      <c r="G2325" s="2"/>
      <c r="H2325" s="2"/>
      <c r="I2325" s="5"/>
    </row>
    <row r="2326" spans="1:9" ht="17.399999999999999" x14ac:dyDescent="0.25">
      <c r="A2326" s="16"/>
      <c r="B2326" s="17"/>
      <c r="C2326" s="2" t="b">
        <v>0</v>
      </c>
      <c r="D2326" s="2"/>
      <c r="E2326" s="2"/>
      <c r="F2326" s="2"/>
      <c r="G2326" s="2"/>
      <c r="H2326" s="2"/>
      <c r="I2326" s="5"/>
    </row>
    <row r="2327" spans="1:9" ht="17.399999999999999" x14ac:dyDescent="0.25">
      <c r="A2327" s="16"/>
      <c r="B2327" s="17"/>
      <c r="C2327" s="2" t="b">
        <v>0</v>
      </c>
      <c r="D2327" s="2"/>
      <c r="E2327" s="2"/>
      <c r="F2327" s="2"/>
      <c r="G2327" s="2"/>
      <c r="H2327" s="2"/>
      <c r="I2327" s="5"/>
    </row>
    <row r="2328" spans="1:9" ht="17.399999999999999" x14ac:dyDescent="0.25">
      <c r="A2328" s="16"/>
      <c r="B2328" s="17"/>
      <c r="C2328" s="2" t="b">
        <v>0</v>
      </c>
      <c r="D2328" s="2"/>
      <c r="E2328" s="2"/>
      <c r="F2328" s="2"/>
      <c r="G2328" s="2"/>
      <c r="H2328" s="2"/>
      <c r="I2328" s="5"/>
    </row>
    <row r="2329" spans="1:9" ht="17.399999999999999" x14ac:dyDescent="0.25">
      <c r="A2329" s="16"/>
      <c r="B2329" s="17"/>
      <c r="C2329" s="2" t="b">
        <v>0</v>
      </c>
      <c r="D2329" s="2"/>
      <c r="E2329" s="2"/>
      <c r="F2329" s="2"/>
      <c r="G2329" s="2"/>
      <c r="H2329" s="2"/>
      <c r="I2329" s="5"/>
    </row>
    <row r="2330" spans="1:9" ht="17.399999999999999" x14ac:dyDescent="0.25">
      <c r="A2330" s="16"/>
      <c r="B2330" s="17"/>
      <c r="C2330" s="2" t="b">
        <v>0</v>
      </c>
      <c r="D2330" s="2"/>
      <c r="E2330" s="2"/>
      <c r="F2330" s="2"/>
      <c r="G2330" s="2"/>
      <c r="H2330" s="2"/>
      <c r="I2330" s="5"/>
    </row>
    <row r="2331" spans="1:9" ht="17.399999999999999" x14ac:dyDescent="0.25">
      <c r="A2331" s="16"/>
      <c r="B2331" s="17"/>
      <c r="C2331" s="2" t="b">
        <v>0</v>
      </c>
      <c r="D2331" s="2"/>
      <c r="E2331" s="2"/>
      <c r="F2331" s="2"/>
      <c r="G2331" s="2"/>
      <c r="H2331" s="2"/>
      <c r="I2331" s="5"/>
    </row>
    <row r="2332" spans="1:9" ht="17.399999999999999" x14ac:dyDescent="0.25">
      <c r="A2332" s="16"/>
      <c r="B2332" s="17"/>
      <c r="C2332" s="2" t="b">
        <v>0</v>
      </c>
      <c r="D2332" s="2"/>
      <c r="E2332" s="2"/>
      <c r="F2332" s="2"/>
      <c r="G2332" s="2"/>
      <c r="H2332" s="2"/>
      <c r="I2332" s="5"/>
    </row>
    <row r="2333" spans="1:9" ht="17.399999999999999" x14ac:dyDescent="0.25">
      <c r="A2333" s="16"/>
      <c r="B2333" s="17"/>
      <c r="C2333" s="2" t="b">
        <v>0</v>
      </c>
      <c r="D2333" s="2"/>
      <c r="E2333" s="2"/>
      <c r="F2333" s="2"/>
      <c r="G2333" s="2"/>
      <c r="H2333" s="2"/>
      <c r="I2333" s="5"/>
    </row>
    <row r="2334" spans="1:9" ht="17.399999999999999" x14ac:dyDescent="0.25">
      <c r="A2334" s="16"/>
      <c r="B2334" s="17"/>
      <c r="C2334" s="2" t="b">
        <v>0</v>
      </c>
      <c r="D2334" s="2"/>
      <c r="E2334" s="2"/>
      <c r="F2334" s="2"/>
      <c r="G2334" s="2"/>
      <c r="H2334" s="2"/>
      <c r="I2334" s="5"/>
    </row>
    <row r="2335" spans="1:9" ht="17.399999999999999" x14ac:dyDescent="0.25">
      <c r="A2335" s="16"/>
      <c r="B2335" s="17"/>
      <c r="C2335" s="2" t="b">
        <v>0</v>
      </c>
      <c r="D2335" s="2"/>
      <c r="E2335" s="2"/>
      <c r="F2335" s="2"/>
      <c r="G2335" s="2"/>
      <c r="H2335" s="2"/>
      <c r="I2335" s="5"/>
    </row>
    <row r="2336" spans="1:9" ht="17.399999999999999" x14ac:dyDescent="0.25">
      <c r="A2336" s="16"/>
      <c r="B2336" s="17"/>
      <c r="C2336" s="2" t="b">
        <v>0</v>
      </c>
      <c r="D2336" s="2"/>
      <c r="E2336" s="2"/>
      <c r="F2336" s="2"/>
      <c r="G2336" s="2"/>
      <c r="H2336" s="2"/>
      <c r="I2336" s="5"/>
    </row>
    <row r="2337" spans="1:9" ht="17.399999999999999" x14ac:dyDescent="0.25">
      <c r="A2337" s="16"/>
      <c r="B2337" s="17"/>
      <c r="C2337" s="2" t="b">
        <v>0</v>
      </c>
      <c r="D2337" s="2"/>
      <c r="E2337" s="2"/>
      <c r="F2337" s="2"/>
      <c r="G2337" s="2"/>
      <c r="H2337" s="2"/>
      <c r="I2337" s="5"/>
    </row>
    <row r="2338" spans="1:9" ht="17.399999999999999" x14ac:dyDescent="0.25">
      <c r="A2338" s="16"/>
      <c r="B2338" s="17"/>
      <c r="C2338" s="2" t="b">
        <v>0</v>
      </c>
      <c r="D2338" s="2"/>
      <c r="E2338" s="2"/>
      <c r="F2338" s="2"/>
      <c r="G2338" s="2"/>
      <c r="H2338" s="2"/>
      <c r="I2338" s="5"/>
    </row>
    <row r="2339" spans="1:9" ht="17.399999999999999" x14ac:dyDescent="0.25">
      <c r="A2339" s="16"/>
      <c r="B2339" s="17"/>
      <c r="C2339" s="2" t="b">
        <v>0</v>
      </c>
      <c r="D2339" s="2"/>
      <c r="E2339" s="2"/>
      <c r="F2339" s="2"/>
      <c r="G2339" s="2"/>
      <c r="H2339" s="2"/>
      <c r="I2339" s="5"/>
    </row>
    <row r="2340" spans="1:9" ht="17.399999999999999" x14ac:dyDescent="0.25">
      <c r="A2340" s="16"/>
      <c r="B2340" s="17"/>
      <c r="C2340" s="2" t="b">
        <v>0</v>
      </c>
      <c r="D2340" s="2"/>
      <c r="E2340" s="2"/>
      <c r="F2340" s="2"/>
      <c r="G2340" s="2"/>
      <c r="H2340" s="2"/>
      <c r="I2340" s="5"/>
    </row>
    <row r="2341" spans="1:9" ht="17.399999999999999" x14ac:dyDescent="0.25">
      <c r="A2341" s="16"/>
      <c r="B2341" s="17"/>
      <c r="C2341" s="2" t="b">
        <v>0</v>
      </c>
      <c r="D2341" s="2"/>
      <c r="E2341" s="2"/>
      <c r="F2341" s="2"/>
      <c r="G2341" s="2"/>
      <c r="H2341" s="2"/>
      <c r="I2341" s="5"/>
    </row>
    <row r="2342" spans="1:9" ht="17.399999999999999" x14ac:dyDescent="0.25">
      <c r="A2342" s="16"/>
      <c r="B2342" s="17"/>
      <c r="C2342" s="2" t="b">
        <v>0</v>
      </c>
      <c r="D2342" s="2"/>
      <c r="E2342" s="2"/>
      <c r="F2342" s="2"/>
      <c r="G2342" s="2"/>
      <c r="H2342" s="2"/>
      <c r="I2342" s="5"/>
    </row>
    <row r="2343" spans="1:9" ht="17.399999999999999" x14ac:dyDescent="0.25">
      <c r="A2343" s="16"/>
      <c r="B2343" s="17"/>
      <c r="C2343" s="2" t="b">
        <v>0</v>
      </c>
      <c r="D2343" s="2"/>
      <c r="E2343" s="2"/>
      <c r="F2343" s="2"/>
      <c r="G2343" s="2"/>
      <c r="H2343" s="2"/>
      <c r="I2343" s="5"/>
    </row>
    <row r="2344" spans="1:9" ht="17.399999999999999" x14ac:dyDescent="0.25">
      <c r="A2344" s="16"/>
      <c r="B2344" s="17"/>
      <c r="C2344" s="2" t="b">
        <v>0</v>
      </c>
      <c r="D2344" s="2"/>
      <c r="E2344" s="2"/>
      <c r="F2344" s="2"/>
      <c r="G2344" s="2"/>
      <c r="H2344" s="2"/>
      <c r="I2344" s="5"/>
    </row>
    <row r="2345" spans="1:9" ht="17.399999999999999" x14ac:dyDescent="0.25">
      <c r="A2345" s="16"/>
      <c r="B2345" s="17"/>
      <c r="C2345" s="2" t="b">
        <v>0</v>
      </c>
      <c r="D2345" s="2"/>
      <c r="E2345" s="2"/>
      <c r="F2345" s="2"/>
      <c r="G2345" s="2"/>
      <c r="H2345" s="2"/>
      <c r="I2345" s="5"/>
    </row>
    <row r="2346" spans="1:9" ht="17.399999999999999" x14ac:dyDescent="0.25">
      <c r="A2346" s="16"/>
      <c r="B2346" s="17"/>
      <c r="C2346" s="2" t="b">
        <v>0</v>
      </c>
      <c r="D2346" s="2"/>
      <c r="E2346" s="2"/>
      <c r="F2346" s="2"/>
      <c r="G2346" s="2"/>
      <c r="H2346" s="2"/>
      <c r="I2346" s="5"/>
    </row>
    <row r="2347" spans="1:9" ht="17.399999999999999" x14ac:dyDescent="0.25">
      <c r="A2347" s="16"/>
      <c r="B2347" s="17"/>
      <c r="C2347" s="2" t="b">
        <v>0</v>
      </c>
      <c r="D2347" s="2"/>
      <c r="E2347" s="2"/>
      <c r="F2347" s="2"/>
      <c r="G2347" s="2"/>
      <c r="H2347" s="2"/>
      <c r="I2347" s="5"/>
    </row>
    <row r="2348" spans="1:9" ht="17.399999999999999" x14ac:dyDescent="0.25">
      <c r="A2348" s="16"/>
      <c r="B2348" s="17"/>
      <c r="C2348" s="2" t="b">
        <v>0</v>
      </c>
      <c r="D2348" s="2"/>
      <c r="E2348" s="2"/>
      <c r="F2348" s="2"/>
      <c r="G2348" s="2"/>
      <c r="H2348" s="2"/>
      <c r="I2348" s="5"/>
    </row>
    <row r="2349" spans="1:9" ht="17.399999999999999" x14ac:dyDescent="0.25">
      <c r="A2349" s="16"/>
      <c r="B2349" s="17"/>
      <c r="C2349" s="2" t="b">
        <v>0</v>
      </c>
      <c r="D2349" s="2"/>
      <c r="E2349" s="2"/>
      <c r="F2349" s="2"/>
      <c r="G2349" s="2"/>
      <c r="H2349" s="2"/>
      <c r="I2349" s="5"/>
    </row>
    <row r="2350" spans="1:9" ht="17.399999999999999" x14ac:dyDescent="0.25">
      <c r="A2350" s="16"/>
      <c r="B2350" s="17"/>
      <c r="C2350" s="2" t="b">
        <v>0</v>
      </c>
      <c r="D2350" s="2"/>
      <c r="E2350" s="2"/>
      <c r="F2350" s="2"/>
      <c r="G2350" s="2"/>
      <c r="H2350" s="2"/>
      <c r="I2350" s="5"/>
    </row>
    <row r="2351" spans="1:9" ht="17.399999999999999" x14ac:dyDescent="0.25">
      <c r="A2351" s="16"/>
      <c r="B2351" s="17"/>
      <c r="C2351" s="2" t="b">
        <v>0</v>
      </c>
      <c r="D2351" s="2"/>
      <c r="E2351" s="2"/>
      <c r="F2351" s="2"/>
      <c r="G2351" s="2"/>
      <c r="H2351" s="2"/>
      <c r="I2351" s="5"/>
    </row>
    <row r="2352" spans="1:9" ht="17.399999999999999" x14ac:dyDescent="0.25">
      <c r="A2352" s="16"/>
      <c r="B2352" s="17"/>
      <c r="C2352" s="2" t="b">
        <v>0</v>
      </c>
      <c r="D2352" s="2"/>
      <c r="E2352" s="2"/>
      <c r="F2352" s="2"/>
      <c r="G2352" s="2"/>
      <c r="H2352" s="2"/>
      <c r="I2352" s="5"/>
    </row>
    <row r="2353" spans="1:9" ht="17.399999999999999" x14ac:dyDescent="0.25">
      <c r="A2353" s="16"/>
      <c r="B2353" s="17"/>
      <c r="C2353" s="2" t="b">
        <v>0</v>
      </c>
      <c r="D2353" s="2"/>
      <c r="E2353" s="2"/>
      <c r="F2353" s="2"/>
      <c r="G2353" s="2"/>
      <c r="H2353" s="2"/>
      <c r="I2353" s="5"/>
    </row>
    <row r="2354" spans="1:9" ht="17.399999999999999" x14ac:dyDescent="0.25">
      <c r="A2354" s="16"/>
      <c r="B2354" s="17"/>
      <c r="C2354" s="2" t="b">
        <v>0</v>
      </c>
      <c r="D2354" s="2"/>
      <c r="E2354" s="2"/>
      <c r="F2354" s="2"/>
      <c r="G2354" s="2"/>
      <c r="H2354" s="2"/>
      <c r="I2354" s="5"/>
    </row>
    <row r="2355" spans="1:9" ht="17.399999999999999" x14ac:dyDescent="0.25">
      <c r="A2355" s="16"/>
      <c r="B2355" s="17"/>
      <c r="C2355" s="2" t="b">
        <v>0</v>
      </c>
      <c r="D2355" s="2"/>
      <c r="E2355" s="2"/>
      <c r="F2355" s="2"/>
      <c r="G2355" s="2"/>
      <c r="H2355" s="2"/>
      <c r="I2355" s="5"/>
    </row>
    <row r="2356" spans="1:9" ht="17.399999999999999" x14ac:dyDescent="0.25">
      <c r="A2356" s="16"/>
      <c r="B2356" s="17"/>
      <c r="C2356" s="2" t="b">
        <v>0</v>
      </c>
      <c r="D2356" s="2"/>
      <c r="E2356" s="2"/>
      <c r="F2356" s="2"/>
      <c r="G2356" s="2"/>
      <c r="H2356" s="2"/>
      <c r="I2356" s="5"/>
    </row>
    <row r="2357" spans="1:9" ht="17.399999999999999" x14ac:dyDescent="0.25">
      <c r="A2357" s="16"/>
      <c r="B2357" s="17"/>
      <c r="C2357" s="2" t="b">
        <v>0</v>
      </c>
      <c r="D2357" s="2"/>
      <c r="E2357" s="2"/>
      <c r="F2357" s="2"/>
      <c r="G2357" s="2"/>
      <c r="H2357" s="2"/>
      <c r="I2357" s="5"/>
    </row>
    <row r="2358" spans="1:9" ht="17.399999999999999" x14ac:dyDescent="0.25">
      <c r="A2358" s="16"/>
      <c r="B2358" s="17"/>
      <c r="C2358" s="2" t="b">
        <v>0</v>
      </c>
      <c r="D2358" s="2"/>
      <c r="E2358" s="2"/>
      <c r="F2358" s="2"/>
      <c r="G2358" s="2"/>
      <c r="H2358" s="2"/>
      <c r="I2358" s="5"/>
    </row>
    <row r="2359" spans="1:9" ht="17.399999999999999" x14ac:dyDescent="0.25">
      <c r="A2359" s="16"/>
      <c r="B2359" s="17"/>
      <c r="C2359" s="2" t="b">
        <v>0</v>
      </c>
      <c r="D2359" s="2"/>
      <c r="E2359" s="2"/>
      <c r="F2359" s="2"/>
      <c r="G2359" s="2"/>
      <c r="H2359" s="2"/>
      <c r="I2359" s="5"/>
    </row>
    <row r="2360" spans="1:9" ht="17.399999999999999" x14ac:dyDescent="0.25">
      <c r="A2360" s="16"/>
      <c r="B2360" s="17"/>
      <c r="C2360" s="2" t="b">
        <v>0</v>
      </c>
      <c r="D2360" s="2"/>
      <c r="E2360" s="2"/>
      <c r="F2360" s="2"/>
      <c r="G2360" s="2"/>
      <c r="H2360" s="2"/>
      <c r="I2360" s="5"/>
    </row>
    <row r="2361" spans="1:9" ht="17.399999999999999" x14ac:dyDescent="0.25">
      <c r="A2361" s="16"/>
      <c r="B2361" s="17"/>
      <c r="C2361" s="2" t="b">
        <v>0</v>
      </c>
      <c r="D2361" s="2"/>
      <c r="E2361" s="2"/>
      <c r="F2361" s="2"/>
      <c r="G2361" s="2"/>
      <c r="H2361" s="2"/>
      <c r="I2361" s="5"/>
    </row>
    <row r="2362" spans="1:9" ht="17.399999999999999" x14ac:dyDescent="0.25">
      <c r="A2362" s="16"/>
      <c r="B2362" s="17"/>
      <c r="C2362" s="2" t="b">
        <v>0</v>
      </c>
      <c r="D2362" s="2"/>
      <c r="E2362" s="2"/>
      <c r="F2362" s="2"/>
      <c r="G2362" s="2"/>
      <c r="H2362" s="2"/>
      <c r="I2362" s="5"/>
    </row>
    <row r="2363" spans="1:9" ht="17.399999999999999" x14ac:dyDescent="0.25">
      <c r="A2363" s="16"/>
      <c r="B2363" s="17"/>
      <c r="C2363" s="2" t="b">
        <v>0</v>
      </c>
      <c r="D2363" s="2"/>
      <c r="E2363" s="2"/>
      <c r="F2363" s="2"/>
      <c r="G2363" s="2"/>
      <c r="H2363" s="2"/>
      <c r="I2363" s="5"/>
    </row>
    <row r="2364" spans="1:9" ht="17.399999999999999" x14ac:dyDescent="0.25">
      <c r="A2364" s="16"/>
      <c r="B2364" s="17"/>
      <c r="C2364" s="2" t="b">
        <v>0</v>
      </c>
      <c r="D2364" s="2"/>
      <c r="E2364" s="2"/>
      <c r="F2364" s="2"/>
      <c r="G2364" s="2"/>
      <c r="H2364" s="2"/>
      <c r="I2364" s="5"/>
    </row>
    <row r="2365" spans="1:9" ht="17.399999999999999" x14ac:dyDescent="0.25">
      <c r="A2365" s="16"/>
      <c r="B2365" s="17"/>
      <c r="C2365" s="2" t="b">
        <v>0</v>
      </c>
      <c r="D2365" s="2"/>
      <c r="E2365" s="2"/>
      <c r="F2365" s="2"/>
      <c r="G2365" s="2"/>
      <c r="H2365" s="2"/>
      <c r="I2365" s="5"/>
    </row>
    <row r="2366" spans="1:9" ht="17.399999999999999" x14ac:dyDescent="0.25">
      <c r="A2366" s="16"/>
      <c r="B2366" s="17"/>
      <c r="C2366" s="2" t="b">
        <v>0</v>
      </c>
      <c r="D2366" s="2"/>
      <c r="E2366" s="2"/>
      <c r="F2366" s="2"/>
      <c r="G2366" s="2"/>
      <c r="H2366" s="2"/>
      <c r="I2366" s="5"/>
    </row>
    <row r="2367" spans="1:9" ht="17.399999999999999" x14ac:dyDescent="0.25">
      <c r="A2367" s="16"/>
      <c r="B2367" s="17"/>
      <c r="C2367" s="2" t="b">
        <v>0</v>
      </c>
      <c r="D2367" s="2"/>
      <c r="E2367" s="2"/>
      <c r="F2367" s="2"/>
      <c r="G2367" s="2"/>
      <c r="H2367" s="2"/>
      <c r="I2367" s="5"/>
    </row>
    <row r="2368" spans="1:9" ht="17.399999999999999" x14ac:dyDescent="0.25">
      <c r="A2368" s="16"/>
      <c r="B2368" s="17"/>
      <c r="C2368" s="2" t="b">
        <v>0</v>
      </c>
      <c r="D2368" s="2"/>
      <c r="E2368" s="2"/>
      <c r="F2368" s="2"/>
      <c r="G2368" s="2"/>
      <c r="H2368" s="2"/>
      <c r="I2368" s="5"/>
    </row>
    <row r="2369" spans="1:9" ht="17.399999999999999" x14ac:dyDescent="0.25">
      <c r="A2369" s="16"/>
      <c r="B2369" s="17"/>
      <c r="C2369" s="2" t="b">
        <v>0</v>
      </c>
      <c r="D2369" s="2"/>
      <c r="E2369" s="2"/>
      <c r="F2369" s="2"/>
      <c r="G2369" s="2"/>
      <c r="H2369" s="2"/>
      <c r="I2369" s="5"/>
    </row>
    <row r="2370" spans="1:9" ht="17.399999999999999" x14ac:dyDescent="0.25">
      <c r="A2370" s="16"/>
      <c r="B2370" s="17"/>
      <c r="C2370" s="2" t="b">
        <v>0</v>
      </c>
      <c r="D2370" s="2"/>
      <c r="E2370" s="2"/>
      <c r="F2370" s="2"/>
      <c r="G2370" s="2"/>
      <c r="H2370" s="2"/>
      <c r="I2370" s="5"/>
    </row>
    <row r="2371" spans="1:9" ht="17.399999999999999" x14ac:dyDescent="0.25">
      <c r="A2371" s="16"/>
      <c r="B2371" s="17"/>
      <c r="C2371" s="2" t="b">
        <v>0</v>
      </c>
      <c r="D2371" s="2"/>
      <c r="E2371" s="2"/>
      <c r="F2371" s="2"/>
      <c r="G2371" s="2"/>
      <c r="H2371" s="2"/>
      <c r="I2371" s="5"/>
    </row>
    <row r="2372" spans="1:9" ht="17.399999999999999" x14ac:dyDescent="0.25">
      <c r="A2372" s="16"/>
      <c r="B2372" s="17"/>
      <c r="C2372" s="2" t="b">
        <v>0</v>
      </c>
      <c r="D2372" s="2"/>
      <c r="E2372" s="2"/>
      <c r="F2372" s="2"/>
      <c r="G2372" s="2"/>
      <c r="H2372" s="2"/>
      <c r="I2372" s="5"/>
    </row>
    <row r="2373" spans="1:9" ht="17.399999999999999" x14ac:dyDescent="0.25">
      <c r="A2373" s="16"/>
      <c r="B2373" s="17"/>
      <c r="C2373" s="2" t="b">
        <v>0</v>
      </c>
      <c r="D2373" s="2"/>
      <c r="E2373" s="2"/>
      <c r="F2373" s="2"/>
      <c r="G2373" s="2"/>
      <c r="H2373" s="2"/>
      <c r="I2373" s="5"/>
    </row>
    <row r="2374" spans="1:9" ht="17.399999999999999" x14ac:dyDescent="0.25">
      <c r="A2374" s="16"/>
      <c r="B2374" s="17"/>
      <c r="C2374" s="2" t="b">
        <v>0</v>
      </c>
      <c r="D2374" s="2"/>
      <c r="E2374" s="2"/>
      <c r="F2374" s="2"/>
      <c r="G2374" s="2"/>
      <c r="H2374" s="2"/>
      <c r="I2374" s="5"/>
    </row>
    <row r="2375" spans="1:9" ht="17.399999999999999" x14ac:dyDescent="0.25">
      <c r="A2375" s="16"/>
      <c r="B2375" s="17"/>
      <c r="C2375" s="2" t="b">
        <v>0</v>
      </c>
      <c r="D2375" s="2"/>
      <c r="E2375" s="2"/>
      <c r="F2375" s="2"/>
      <c r="G2375" s="2"/>
      <c r="H2375" s="2"/>
      <c r="I2375" s="5"/>
    </row>
    <row r="2376" spans="1:9" ht="17.399999999999999" x14ac:dyDescent="0.25">
      <c r="A2376" s="16"/>
      <c r="B2376" s="17"/>
      <c r="C2376" s="2" t="b">
        <v>0</v>
      </c>
      <c r="D2376" s="2"/>
      <c r="E2376" s="2"/>
      <c r="F2376" s="2"/>
      <c r="G2376" s="2"/>
      <c r="H2376" s="2"/>
      <c r="I2376" s="5"/>
    </row>
    <row r="2377" spans="1:9" ht="17.399999999999999" x14ac:dyDescent="0.25">
      <c r="A2377" s="16"/>
      <c r="B2377" s="17"/>
      <c r="C2377" s="2" t="b">
        <v>0</v>
      </c>
      <c r="D2377" s="2"/>
      <c r="E2377" s="2"/>
      <c r="F2377" s="2"/>
      <c r="G2377" s="2"/>
      <c r="H2377" s="2"/>
      <c r="I2377" s="5"/>
    </row>
    <row r="2378" spans="1:9" ht="17.399999999999999" x14ac:dyDescent="0.25">
      <c r="A2378" s="16"/>
      <c r="B2378" s="17"/>
      <c r="C2378" s="2" t="b">
        <v>0</v>
      </c>
      <c r="D2378" s="2"/>
      <c r="E2378" s="2"/>
      <c r="F2378" s="2"/>
      <c r="G2378" s="2"/>
      <c r="H2378" s="2"/>
      <c r="I2378" s="5"/>
    </row>
    <row r="2379" spans="1:9" ht="17.399999999999999" x14ac:dyDescent="0.25">
      <c r="A2379" s="16"/>
      <c r="B2379" s="17"/>
      <c r="C2379" s="2" t="b">
        <v>0</v>
      </c>
      <c r="D2379" s="2"/>
      <c r="E2379" s="2"/>
      <c r="F2379" s="2"/>
      <c r="G2379" s="2"/>
      <c r="H2379" s="2"/>
      <c r="I2379" s="5"/>
    </row>
    <row r="2380" spans="1:9" ht="17.399999999999999" x14ac:dyDescent="0.25">
      <c r="A2380" s="16"/>
      <c r="B2380" s="17"/>
      <c r="C2380" s="2" t="b">
        <v>0</v>
      </c>
      <c r="D2380" s="2"/>
      <c r="E2380" s="2"/>
      <c r="F2380" s="2"/>
      <c r="G2380" s="2"/>
      <c r="H2380" s="2"/>
      <c r="I2380" s="5"/>
    </row>
    <row r="2381" spans="1:9" ht="17.399999999999999" x14ac:dyDescent="0.25">
      <c r="A2381" s="16"/>
      <c r="B2381" s="17"/>
      <c r="C2381" s="2" t="b">
        <v>0</v>
      </c>
      <c r="D2381" s="2"/>
      <c r="E2381" s="2"/>
      <c r="F2381" s="2"/>
      <c r="G2381" s="2"/>
      <c r="H2381" s="2"/>
      <c r="I2381" s="5"/>
    </row>
    <row r="2382" spans="1:9" ht="17.399999999999999" x14ac:dyDescent="0.25">
      <c r="A2382" s="16"/>
      <c r="B2382" s="17"/>
      <c r="C2382" s="2" t="b">
        <v>0</v>
      </c>
      <c r="D2382" s="2"/>
      <c r="E2382" s="2"/>
      <c r="F2382" s="2"/>
      <c r="G2382" s="2"/>
      <c r="H2382" s="2"/>
      <c r="I2382" s="5"/>
    </row>
    <row r="2383" spans="1:9" ht="17.399999999999999" x14ac:dyDescent="0.25">
      <c r="A2383" s="16"/>
      <c r="B2383" s="17"/>
      <c r="C2383" s="2" t="b">
        <v>0</v>
      </c>
      <c r="D2383" s="2"/>
      <c r="E2383" s="2"/>
      <c r="F2383" s="2"/>
      <c r="G2383" s="2"/>
      <c r="H2383" s="2"/>
      <c r="I2383" s="5"/>
    </row>
    <row r="2384" spans="1:9" ht="17.399999999999999" x14ac:dyDescent="0.25">
      <c r="A2384" s="16"/>
      <c r="B2384" s="17"/>
      <c r="C2384" s="2" t="b">
        <v>0</v>
      </c>
      <c r="D2384" s="2"/>
      <c r="E2384" s="2"/>
      <c r="F2384" s="2"/>
      <c r="G2384" s="2"/>
      <c r="H2384" s="2"/>
      <c r="I2384" s="5"/>
    </row>
    <row r="2385" spans="1:9" ht="17.399999999999999" x14ac:dyDescent="0.25">
      <c r="A2385" s="16"/>
      <c r="B2385" s="17"/>
      <c r="C2385" s="2" t="b">
        <v>0</v>
      </c>
      <c r="D2385" s="2"/>
      <c r="E2385" s="2"/>
      <c r="F2385" s="2"/>
      <c r="G2385" s="2"/>
      <c r="H2385" s="2"/>
      <c r="I2385" s="5"/>
    </row>
    <row r="2386" spans="1:9" ht="17.399999999999999" x14ac:dyDescent="0.25">
      <c r="A2386" s="16"/>
      <c r="B2386" s="17"/>
      <c r="C2386" s="2" t="b">
        <v>0</v>
      </c>
      <c r="D2386" s="2"/>
      <c r="E2386" s="2"/>
      <c r="F2386" s="2"/>
      <c r="G2386" s="2"/>
      <c r="H2386" s="2"/>
      <c r="I2386" s="5"/>
    </row>
    <row r="2387" spans="1:9" ht="17.399999999999999" x14ac:dyDescent="0.25">
      <c r="A2387" s="16"/>
      <c r="B2387" s="17"/>
      <c r="C2387" s="2" t="b">
        <v>0</v>
      </c>
      <c r="D2387" s="2"/>
      <c r="E2387" s="2"/>
      <c r="F2387" s="2"/>
      <c r="G2387" s="2"/>
      <c r="H2387" s="2"/>
      <c r="I2387" s="5"/>
    </row>
    <row r="2388" spans="1:9" ht="17.399999999999999" x14ac:dyDescent="0.25">
      <c r="A2388" s="16"/>
      <c r="B2388" s="17"/>
      <c r="C2388" s="2" t="b">
        <v>0</v>
      </c>
      <c r="D2388" s="2"/>
      <c r="E2388" s="2"/>
      <c r="F2388" s="2"/>
      <c r="G2388" s="2"/>
      <c r="H2388" s="2"/>
      <c r="I2388" s="5"/>
    </row>
    <row r="2389" spans="1:9" ht="17.399999999999999" x14ac:dyDescent="0.25">
      <c r="A2389" s="16"/>
      <c r="B2389" s="17"/>
      <c r="C2389" s="2" t="b">
        <v>0</v>
      </c>
      <c r="D2389" s="2"/>
      <c r="E2389" s="2"/>
      <c r="F2389" s="2"/>
      <c r="G2389" s="2"/>
      <c r="H2389" s="2"/>
      <c r="I2389" s="5"/>
    </row>
    <row r="2390" spans="1:9" ht="17.399999999999999" x14ac:dyDescent="0.25">
      <c r="A2390" s="16"/>
      <c r="B2390" s="17"/>
      <c r="C2390" s="2" t="b">
        <v>0</v>
      </c>
      <c r="D2390" s="2"/>
      <c r="E2390" s="2"/>
      <c r="F2390" s="2"/>
      <c r="G2390" s="2"/>
      <c r="H2390" s="2"/>
      <c r="I2390" s="5"/>
    </row>
    <row r="2391" spans="1:9" ht="17.399999999999999" x14ac:dyDescent="0.25">
      <c r="A2391" s="16"/>
      <c r="B2391" s="17"/>
      <c r="C2391" s="2" t="b">
        <v>0</v>
      </c>
      <c r="D2391" s="2"/>
      <c r="E2391" s="2"/>
      <c r="F2391" s="2"/>
      <c r="G2391" s="2"/>
      <c r="H2391" s="2"/>
      <c r="I2391" s="5"/>
    </row>
    <row r="2392" spans="1:9" ht="17.399999999999999" x14ac:dyDescent="0.25">
      <c r="A2392" s="16"/>
      <c r="B2392" s="17"/>
      <c r="C2392" s="2" t="b">
        <v>0</v>
      </c>
      <c r="D2392" s="2"/>
      <c r="E2392" s="2"/>
      <c r="F2392" s="2"/>
      <c r="G2392" s="2"/>
      <c r="H2392" s="2"/>
      <c r="I2392" s="5"/>
    </row>
    <row r="2393" spans="1:9" ht="17.399999999999999" x14ac:dyDescent="0.25">
      <c r="A2393" s="16"/>
      <c r="B2393" s="17"/>
      <c r="C2393" s="2" t="b">
        <v>0</v>
      </c>
      <c r="D2393" s="2"/>
      <c r="E2393" s="2"/>
      <c r="F2393" s="2"/>
      <c r="G2393" s="2"/>
      <c r="H2393" s="2"/>
      <c r="I2393" s="5"/>
    </row>
    <row r="2394" spans="1:9" ht="17.399999999999999" x14ac:dyDescent="0.25">
      <c r="A2394" s="16"/>
      <c r="B2394" s="17"/>
      <c r="C2394" s="2" t="b">
        <v>0</v>
      </c>
      <c r="D2394" s="2"/>
      <c r="E2394" s="2"/>
      <c r="F2394" s="2"/>
      <c r="G2394" s="2"/>
      <c r="H2394" s="2"/>
      <c r="I2394" s="5"/>
    </row>
    <row r="2395" spans="1:9" ht="17.399999999999999" x14ac:dyDescent="0.25">
      <c r="A2395" s="16"/>
      <c r="B2395" s="17"/>
      <c r="C2395" s="2" t="b">
        <v>0</v>
      </c>
      <c r="D2395" s="2"/>
      <c r="E2395" s="2"/>
      <c r="F2395" s="2"/>
      <c r="G2395" s="2"/>
      <c r="H2395" s="2"/>
      <c r="I2395" s="5"/>
    </row>
    <row r="2396" spans="1:9" ht="17.399999999999999" x14ac:dyDescent="0.25">
      <c r="A2396" s="16"/>
      <c r="B2396" s="17"/>
      <c r="C2396" s="2" t="b">
        <v>0</v>
      </c>
      <c r="D2396" s="2"/>
      <c r="E2396" s="2"/>
      <c r="F2396" s="2"/>
      <c r="G2396" s="2"/>
      <c r="H2396" s="2"/>
      <c r="I2396" s="5"/>
    </row>
    <row r="2397" spans="1:9" ht="17.399999999999999" x14ac:dyDescent="0.25">
      <c r="A2397" s="16"/>
      <c r="B2397" s="17"/>
      <c r="C2397" s="2" t="b">
        <v>0</v>
      </c>
      <c r="D2397" s="2"/>
      <c r="E2397" s="2"/>
      <c r="F2397" s="2"/>
      <c r="G2397" s="2"/>
      <c r="H2397" s="2"/>
      <c r="I2397" s="5"/>
    </row>
    <row r="2398" spans="1:9" ht="17.399999999999999" x14ac:dyDescent="0.25">
      <c r="A2398" s="16"/>
      <c r="B2398" s="17"/>
      <c r="C2398" s="2" t="b">
        <v>0</v>
      </c>
      <c r="D2398" s="2"/>
      <c r="E2398" s="2"/>
      <c r="F2398" s="2"/>
      <c r="G2398" s="2"/>
      <c r="H2398" s="2"/>
      <c r="I2398" s="5"/>
    </row>
    <row r="2399" spans="1:9" ht="17.399999999999999" x14ac:dyDescent="0.25">
      <c r="A2399" s="16"/>
      <c r="B2399" s="17"/>
      <c r="C2399" s="2" t="b">
        <v>0</v>
      </c>
      <c r="D2399" s="2"/>
      <c r="E2399" s="2"/>
      <c r="F2399" s="2"/>
      <c r="G2399" s="2"/>
      <c r="H2399" s="2"/>
      <c r="I2399" s="5"/>
    </row>
    <row r="2400" spans="1:9" ht="17.399999999999999" x14ac:dyDescent="0.25">
      <c r="A2400" s="16"/>
      <c r="B2400" s="17"/>
      <c r="C2400" s="2" t="b">
        <v>0</v>
      </c>
      <c r="D2400" s="2"/>
      <c r="E2400" s="2"/>
      <c r="F2400" s="2"/>
      <c r="G2400" s="2"/>
      <c r="H2400" s="2"/>
      <c r="I2400" s="5"/>
    </row>
    <row r="2401" spans="1:9" ht="17.399999999999999" x14ac:dyDescent="0.25">
      <c r="A2401" s="16"/>
      <c r="B2401" s="17"/>
      <c r="C2401" s="2" t="b">
        <v>0</v>
      </c>
      <c r="D2401" s="2"/>
      <c r="E2401" s="2"/>
      <c r="F2401" s="2"/>
      <c r="G2401" s="2"/>
      <c r="H2401" s="2"/>
      <c r="I2401" s="5"/>
    </row>
    <row r="2402" spans="1:9" ht="17.399999999999999" x14ac:dyDescent="0.25">
      <c r="A2402" s="16"/>
      <c r="B2402" s="17"/>
      <c r="C2402" s="2" t="b">
        <v>0</v>
      </c>
      <c r="D2402" s="2"/>
      <c r="E2402" s="2"/>
      <c r="F2402" s="2"/>
      <c r="G2402" s="2"/>
      <c r="H2402" s="2"/>
      <c r="I2402" s="5"/>
    </row>
    <row r="2403" spans="1:9" ht="17.399999999999999" x14ac:dyDescent="0.25">
      <c r="A2403" s="16"/>
      <c r="B2403" s="17"/>
      <c r="C2403" s="2" t="b">
        <v>0</v>
      </c>
      <c r="D2403" s="2"/>
      <c r="E2403" s="2"/>
      <c r="F2403" s="2"/>
      <c r="G2403" s="2"/>
      <c r="H2403" s="2"/>
      <c r="I2403" s="5"/>
    </row>
    <row r="2404" spans="1:9" ht="17.399999999999999" x14ac:dyDescent="0.25">
      <c r="A2404" s="16"/>
      <c r="B2404" s="17"/>
      <c r="C2404" s="2" t="b">
        <v>0</v>
      </c>
      <c r="D2404" s="2"/>
      <c r="E2404" s="2"/>
      <c r="F2404" s="2"/>
      <c r="G2404" s="2"/>
      <c r="H2404" s="2"/>
      <c r="I2404" s="5"/>
    </row>
    <row r="2405" spans="1:9" ht="17.399999999999999" x14ac:dyDescent="0.25">
      <c r="A2405" s="16"/>
      <c r="B2405" s="17"/>
      <c r="C2405" s="2" t="b">
        <v>0</v>
      </c>
      <c r="D2405" s="2"/>
      <c r="E2405" s="2"/>
      <c r="F2405" s="2"/>
      <c r="G2405" s="2"/>
      <c r="H2405" s="2"/>
      <c r="I2405" s="5"/>
    </row>
    <row r="2406" spans="1:9" ht="17.399999999999999" x14ac:dyDescent="0.25">
      <c r="A2406" s="16"/>
      <c r="B2406" s="17"/>
      <c r="C2406" s="2" t="b">
        <v>0</v>
      </c>
      <c r="D2406" s="2"/>
      <c r="E2406" s="2"/>
      <c r="F2406" s="2"/>
      <c r="G2406" s="2"/>
      <c r="H2406" s="2"/>
      <c r="I2406" s="5"/>
    </row>
    <row r="2407" spans="1:9" ht="17.399999999999999" x14ac:dyDescent="0.25">
      <c r="A2407" s="16"/>
      <c r="B2407" s="17"/>
      <c r="C2407" s="2" t="b">
        <v>0</v>
      </c>
      <c r="D2407" s="2"/>
      <c r="E2407" s="2"/>
      <c r="F2407" s="2"/>
      <c r="G2407" s="2"/>
      <c r="H2407" s="2"/>
      <c r="I2407" s="5"/>
    </row>
    <row r="2408" spans="1:9" ht="17.399999999999999" x14ac:dyDescent="0.25">
      <c r="A2408" s="16"/>
      <c r="B2408" s="17"/>
      <c r="C2408" s="2" t="b">
        <v>0</v>
      </c>
      <c r="D2408" s="2"/>
      <c r="E2408" s="2"/>
      <c r="F2408" s="2"/>
      <c r="G2408" s="2"/>
      <c r="H2408" s="2"/>
      <c r="I2408" s="5"/>
    </row>
    <row r="2409" spans="1:9" ht="17.399999999999999" x14ac:dyDescent="0.25">
      <c r="A2409" s="16"/>
      <c r="B2409" s="17"/>
      <c r="C2409" s="2" t="b">
        <v>0</v>
      </c>
      <c r="D2409" s="2"/>
      <c r="E2409" s="2"/>
      <c r="F2409" s="2"/>
      <c r="G2409" s="2"/>
      <c r="H2409" s="2"/>
      <c r="I2409" s="5"/>
    </row>
    <row r="2410" spans="1:9" ht="17.399999999999999" x14ac:dyDescent="0.25">
      <c r="A2410" s="16"/>
      <c r="B2410" s="17"/>
      <c r="C2410" s="2" t="b">
        <v>0</v>
      </c>
      <c r="D2410" s="2"/>
      <c r="E2410" s="2"/>
      <c r="F2410" s="2"/>
      <c r="G2410" s="2"/>
      <c r="H2410" s="2"/>
      <c r="I2410" s="5"/>
    </row>
    <row r="2411" spans="1:9" ht="17.399999999999999" x14ac:dyDescent="0.25">
      <c r="A2411" s="16"/>
      <c r="B2411" s="17"/>
      <c r="C2411" s="2" t="b">
        <v>0</v>
      </c>
      <c r="D2411" s="2"/>
      <c r="E2411" s="2"/>
      <c r="F2411" s="2"/>
      <c r="G2411" s="2"/>
      <c r="H2411" s="2"/>
      <c r="I2411" s="5"/>
    </row>
    <row r="2412" spans="1:9" ht="17.399999999999999" x14ac:dyDescent="0.25">
      <c r="A2412" s="16"/>
      <c r="B2412" s="17"/>
      <c r="C2412" s="2" t="b">
        <v>0</v>
      </c>
      <c r="D2412" s="2"/>
      <c r="E2412" s="2"/>
      <c r="F2412" s="2"/>
      <c r="G2412" s="2"/>
      <c r="H2412" s="2"/>
      <c r="I2412" s="5"/>
    </row>
    <row r="2413" spans="1:9" ht="17.399999999999999" x14ac:dyDescent="0.25">
      <c r="A2413" s="16"/>
      <c r="B2413" s="17"/>
      <c r="C2413" s="2" t="b">
        <v>0</v>
      </c>
      <c r="D2413" s="2"/>
      <c r="E2413" s="2"/>
      <c r="F2413" s="2"/>
      <c r="G2413" s="2"/>
      <c r="H2413" s="2"/>
      <c r="I2413" s="5"/>
    </row>
    <row r="2414" spans="1:9" ht="17.399999999999999" x14ac:dyDescent="0.25">
      <c r="A2414" s="16"/>
      <c r="B2414" s="17"/>
      <c r="C2414" s="2" t="b">
        <v>0</v>
      </c>
      <c r="D2414" s="2"/>
      <c r="E2414" s="2"/>
      <c r="F2414" s="2"/>
      <c r="G2414" s="2"/>
      <c r="H2414" s="2"/>
      <c r="I2414" s="5"/>
    </row>
    <row r="2415" spans="1:9" ht="17.399999999999999" x14ac:dyDescent="0.25">
      <c r="A2415" s="16"/>
      <c r="B2415" s="17"/>
      <c r="C2415" s="2" t="b">
        <v>0</v>
      </c>
      <c r="D2415" s="2"/>
      <c r="E2415" s="2"/>
      <c r="F2415" s="2"/>
      <c r="G2415" s="2"/>
      <c r="H2415" s="2"/>
      <c r="I2415" s="5"/>
    </row>
    <row r="2416" spans="1:9" ht="17.399999999999999" x14ac:dyDescent="0.25">
      <c r="A2416" s="16"/>
      <c r="B2416" s="17"/>
      <c r="C2416" s="2" t="b">
        <v>0</v>
      </c>
      <c r="D2416" s="2"/>
      <c r="E2416" s="2"/>
      <c r="F2416" s="2"/>
      <c r="G2416" s="2"/>
      <c r="H2416" s="2"/>
      <c r="I2416" s="5"/>
    </row>
    <row r="2417" spans="1:9" ht="17.399999999999999" x14ac:dyDescent="0.25">
      <c r="A2417" s="16"/>
      <c r="B2417" s="17"/>
      <c r="C2417" s="2" t="b">
        <v>0</v>
      </c>
      <c r="D2417" s="2"/>
      <c r="E2417" s="2"/>
      <c r="F2417" s="2"/>
      <c r="G2417" s="2"/>
      <c r="H2417" s="2"/>
      <c r="I2417" s="5"/>
    </row>
    <row r="2418" spans="1:9" ht="17.399999999999999" x14ac:dyDescent="0.25">
      <c r="A2418" s="16"/>
      <c r="B2418" s="17"/>
      <c r="C2418" s="2" t="b">
        <v>0</v>
      </c>
      <c r="D2418" s="2"/>
      <c r="E2418" s="2"/>
      <c r="F2418" s="2"/>
      <c r="G2418" s="2"/>
      <c r="H2418" s="2"/>
      <c r="I2418" s="5"/>
    </row>
    <row r="2419" spans="1:9" ht="17.399999999999999" x14ac:dyDescent="0.25">
      <c r="A2419" s="16"/>
      <c r="B2419" s="17"/>
      <c r="C2419" s="2" t="b">
        <v>0</v>
      </c>
      <c r="D2419" s="2"/>
      <c r="E2419" s="2"/>
      <c r="F2419" s="2"/>
      <c r="G2419" s="2"/>
      <c r="H2419" s="2"/>
      <c r="I2419" s="5"/>
    </row>
    <row r="2420" spans="1:9" ht="17.399999999999999" x14ac:dyDescent="0.25">
      <c r="A2420" s="16"/>
      <c r="B2420" s="17"/>
      <c r="C2420" s="2" t="b">
        <v>0</v>
      </c>
      <c r="D2420" s="2"/>
      <c r="E2420" s="2"/>
      <c r="F2420" s="2"/>
      <c r="G2420" s="2"/>
      <c r="H2420" s="2"/>
      <c r="I2420" s="5"/>
    </row>
    <row r="2421" spans="1:9" ht="17.399999999999999" x14ac:dyDescent="0.25">
      <c r="A2421" s="16"/>
      <c r="B2421" s="17"/>
      <c r="C2421" s="2" t="b">
        <v>0</v>
      </c>
      <c r="D2421" s="2"/>
      <c r="E2421" s="2"/>
      <c r="F2421" s="2"/>
      <c r="G2421" s="2"/>
      <c r="H2421" s="2"/>
      <c r="I2421" s="5"/>
    </row>
    <row r="2422" spans="1:9" ht="17.399999999999999" x14ac:dyDescent="0.25">
      <c r="A2422" s="16"/>
      <c r="B2422" s="17"/>
      <c r="C2422" s="2" t="b">
        <v>0</v>
      </c>
      <c r="D2422" s="2"/>
      <c r="E2422" s="2"/>
      <c r="F2422" s="2"/>
      <c r="G2422" s="2"/>
      <c r="H2422" s="2"/>
      <c r="I2422" s="5"/>
    </row>
    <row r="2423" spans="1:9" ht="17.399999999999999" x14ac:dyDescent="0.25">
      <c r="A2423" s="16"/>
      <c r="B2423" s="17"/>
      <c r="C2423" s="2" t="b">
        <v>0</v>
      </c>
      <c r="D2423" s="2"/>
      <c r="E2423" s="2"/>
      <c r="F2423" s="2"/>
      <c r="G2423" s="2"/>
      <c r="H2423" s="2"/>
      <c r="I2423" s="5"/>
    </row>
    <row r="2424" spans="1:9" ht="17.399999999999999" x14ac:dyDescent="0.25">
      <c r="A2424" s="16"/>
      <c r="B2424" s="17"/>
      <c r="C2424" s="2" t="b">
        <v>0</v>
      </c>
      <c r="D2424" s="2"/>
      <c r="E2424" s="2"/>
      <c r="F2424" s="2"/>
      <c r="G2424" s="2"/>
      <c r="H2424" s="2"/>
      <c r="I2424" s="5"/>
    </row>
    <row r="2425" spans="1:9" ht="17.399999999999999" x14ac:dyDescent="0.25">
      <c r="A2425" s="16"/>
      <c r="B2425" s="17"/>
      <c r="C2425" s="2" t="b">
        <v>0</v>
      </c>
      <c r="D2425" s="2"/>
      <c r="E2425" s="2"/>
      <c r="F2425" s="2"/>
      <c r="G2425" s="2"/>
      <c r="H2425" s="2"/>
      <c r="I2425" s="5"/>
    </row>
    <row r="2426" spans="1:9" ht="17.399999999999999" x14ac:dyDescent="0.25">
      <c r="A2426" s="16"/>
      <c r="B2426" s="17"/>
      <c r="C2426" s="2" t="b">
        <v>0</v>
      </c>
      <c r="D2426" s="2"/>
      <c r="E2426" s="2"/>
      <c r="F2426" s="2"/>
      <c r="G2426" s="2"/>
      <c r="H2426" s="2"/>
      <c r="I2426" s="5"/>
    </row>
    <row r="2427" spans="1:9" ht="17.399999999999999" x14ac:dyDescent="0.25">
      <c r="A2427" s="16"/>
      <c r="B2427" s="17"/>
      <c r="C2427" s="2" t="b">
        <v>0</v>
      </c>
      <c r="D2427" s="2"/>
      <c r="E2427" s="2"/>
      <c r="F2427" s="2"/>
      <c r="G2427" s="2"/>
      <c r="H2427" s="2"/>
      <c r="I2427" s="5"/>
    </row>
    <row r="2428" spans="1:9" ht="17.399999999999999" x14ac:dyDescent="0.25">
      <c r="A2428" s="16"/>
      <c r="B2428" s="17"/>
      <c r="C2428" s="2" t="b">
        <v>0</v>
      </c>
      <c r="D2428" s="2"/>
      <c r="E2428" s="2"/>
      <c r="F2428" s="2"/>
      <c r="G2428" s="2"/>
      <c r="H2428" s="2"/>
      <c r="I2428" s="5"/>
    </row>
    <row r="2429" spans="1:9" ht="17.399999999999999" x14ac:dyDescent="0.25">
      <c r="A2429" s="16"/>
      <c r="B2429" s="17"/>
      <c r="C2429" s="2" t="b">
        <v>0</v>
      </c>
      <c r="D2429" s="2"/>
      <c r="E2429" s="2"/>
      <c r="F2429" s="2"/>
      <c r="G2429" s="2"/>
      <c r="H2429" s="2"/>
      <c r="I2429" s="5"/>
    </row>
    <row r="2430" spans="1:9" ht="17.399999999999999" x14ac:dyDescent="0.25">
      <c r="A2430" s="16"/>
      <c r="B2430" s="17"/>
      <c r="C2430" s="2" t="b">
        <v>0</v>
      </c>
      <c r="D2430" s="2"/>
      <c r="E2430" s="2"/>
      <c r="F2430" s="2"/>
      <c r="G2430" s="2"/>
      <c r="H2430" s="2"/>
      <c r="I2430" s="5"/>
    </row>
    <row r="2431" spans="1:9" ht="17.399999999999999" x14ac:dyDescent="0.25">
      <c r="A2431" s="16"/>
      <c r="B2431" s="17"/>
      <c r="C2431" s="2" t="b">
        <v>0</v>
      </c>
      <c r="D2431" s="2"/>
      <c r="E2431" s="2"/>
      <c r="F2431" s="2"/>
      <c r="G2431" s="2"/>
      <c r="H2431" s="2"/>
      <c r="I2431" s="5"/>
    </row>
    <row r="2432" spans="1:9" ht="17.399999999999999" x14ac:dyDescent="0.25">
      <c r="A2432" s="16"/>
      <c r="B2432" s="17"/>
      <c r="C2432" s="2" t="b">
        <v>0</v>
      </c>
      <c r="D2432" s="2"/>
      <c r="E2432" s="2"/>
      <c r="F2432" s="2"/>
      <c r="G2432" s="2"/>
      <c r="H2432" s="2"/>
      <c r="I2432" s="5"/>
    </row>
    <row r="2433" spans="1:9" ht="17.399999999999999" x14ac:dyDescent="0.25">
      <c r="A2433" s="16"/>
      <c r="B2433" s="17"/>
      <c r="C2433" s="2" t="b">
        <v>0</v>
      </c>
      <c r="D2433" s="2"/>
      <c r="E2433" s="2"/>
      <c r="F2433" s="2"/>
      <c r="G2433" s="2"/>
      <c r="H2433" s="2"/>
      <c r="I2433" s="5"/>
    </row>
    <row r="2434" spans="1:9" ht="17.399999999999999" x14ac:dyDescent="0.25">
      <c r="A2434" s="16"/>
      <c r="B2434" s="17"/>
      <c r="C2434" s="2" t="b">
        <v>0</v>
      </c>
      <c r="D2434" s="2"/>
      <c r="E2434" s="2"/>
      <c r="F2434" s="2"/>
      <c r="G2434" s="2"/>
      <c r="H2434" s="2"/>
      <c r="I2434" s="5"/>
    </row>
    <row r="2435" spans="1:9" ht="17.399999999999999" x14ac:dyDescent="0.25">
      <c r="A2435" s="16"/>
      <c r="B2435" s="17"/>
      <c r="C2435" s="2" t="b">
        <v>0</v>
      </c>
      <c r="D2435" s="2"/>
      <c r="E2435" s="2"/>
      <c r="F2435" s="2"/>
      <c r="G2435" s="2"/>
      <c r="H2435" s="2"/>
      <c r="I2435" s="5"/>
    </row>
    <row r="2436" spans="1:9" ht="17.399999999999999" x14ac:dyDescent="0.25">
      <c r="A2436" s="16"/>
      <c r="B2436" s="17"/>
      <c r="C2436" s="2" t="b">
        <v>0</v>
      </c>
      <c r="D2436" s="2"/>
      <c r="E2436" s="2"/>
      <c r="F2436" s="2"/>
      <c r="G2436" s="2"/>
      <c r="H2436" s="2"/>
      <c r="I2436" s="5"/>
    </row>
    <row r="2437" spans="1:9" ht="17.399999999999999" x14ac:dyDescent="0.25">
      <c r="A2437" s="16"/>
      <c r="B2437" s="17"/>
      <c r="C2437" s="2" t="b">
        <v>0</v>
      </c>
      <c r="D2437" s="2"/>
      <c r="E2437" s="2"/>
      <c r="F2437" s="2"/>
      <c r="G2437" s="2"/>
      <c r="H2437" s="2"/>
      <c r="I2437" s="5"/>
    </row>
    <row r="2438" spans="1:9" ht="17.399999999999999" x14ac:dyDescent="0.25">
      <c r="A2438" s="16"/>
      <c r="B2438" s="17"/>
      <c r="C2438" s="2" t="b">
        <v>0</v>
      </c>
      <c r="D2438" s="2"/>
      <c r="E2438" s="2"/>
      <c r="F2438" s="2"/>
      <c r="G2438" s="2"/>
      <c r="H2438" s="2"/>
      <c r="I2438" s="5"/>
    </row>
    <row r="2439" spans="1:9" ht="17.399999999999999" x14ac:dyDescent="0.25">
      <c r="A2439" s="16"/>
      <c r="B2439" s="17"/>
      <c r="C2439" s="2" t="b">
        <v>0</v>
      </c>
      <c r="D2439" s="2"/>
      <c r="E2439" s="2"/>
      <c r="F2439" s="2"/>
      <c r="G2439" s="2"/>
      <c r="H2439" s="2"/>
      <c r="I2439" s="5"/>
    </row>
    <row r="2440" spans="1:9" ht="17.399999999999999" x14ac:dyDescent="0.25">
      <c r="A2440" s="16"/>
      <c r="B2440" s="17"/>
      <c r="C2440" s="2" t="b">
        <v>0</v>
      </c>
      <c r="D2440" s="2"/>
      <c r="E2440" s="2"/>
      <c r="F2440" s="2"/>
      <c r="G2440" s="2"/>
      <c r="H2440" s="2"/>
      <c r="I2440" s="5"/>
    </row>
  </sheetData>
  <mergeCells count="2">
    <mergeCell ref="B2:H2"/>
    <mergeCell ref="B3:H3"/>
  </mergeCells>
  <conditionalFormatting sqref="A1:H2440">
    <cfRule type="cellIs" dxfId="17" priority="1" operator="equal">
      <formula>"Purchased Perks"</formula>
    </cfRule>
    <cfRule type="expression" dxfId="16" priority="2">
      <formula>IF($E1="Purchased Perks",TRUE,FALSE)</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ummaryRight="0"/>
  </sheetPr>
  <dimension ref="A1:XFD2440"/>
  <sheetViews>
    <sheetView workbookViewId="0">
      <pane ySplit="4" topLeftCell="A5" activePane="bottomLeft" state="frozen"/>
      <selection pane="bottomLeft" activeCell="B6" sqref="B6"/>
    </sheetView>
  </sheetViews>
  <sheetFormatPr defaultColWidth="12.6640625" defaultRowHeight="15.75" customHeight="1" x14ac:dyDescent="0.25"/>
  <cols>
    <col min="1" max="1" width="3.21875" customWidth="1"/>
    <col min="2" max="2" width="3.33203125" customWidth="1"/>
    <col min="3" max="3" width="10" customWidth="1"/>
    <col min="4" max="4" width="7.6640625" customWidth="1"/>
    <col min="5" max="5" width="20.88671875" customWidth="1"/>
    <col min="6" max="6" width="14.77734375" customWidth="1"/>
    <col min="7" max="7" width="19.44140625" customWidth="1"/>
    <col min="8" max="8" width="105.109375" customWidth="1"/>
    <col min="9" max="9" width="3.21875" customWidth="1"/>
    <col min="16384" max="16384" width="0" hidden="1" customWidth="1"/>
  </cols>
  <sheetData>
    <row r="1" spans="1:9 16384:16384" ht="18.75" hidden="1" customHeight="1" x14ac:dyDescent="0.25">
      <c r="A1" s="16"/>
      <c r="B1" s="16"/>
      <c r="C1" s="26"/>
      <c r="D1" s="26"/>
      <c r="E1" s="26"/>
      <c r="F1" s="26"/>
      <c r="G1" s="26"/>
      <c r="H1" s="26"/>
      <c r="I1" s="5"/>
      <c r="XFD1">
        <f ca="1">IF('Roll All'!$B$4="Roll!",RAND(),RAND())</f>
        <v>4.9834807884887478E-2</v>
      </c>
    </row>
    <row r="2" spans="1:9 16384:16384" ht="43.5" customHeight="1" x14ac:dyDescent="0.25">
      <c r="A2" s="16"/>
      <c r="B2" s="54" t="s">
        <v>57</v>
      </c>
      <c r="C2" s="40"/>
      <c r="D2" s="40"/>
      <c r="E2" s="40"/>
      <c r="F2" s="40"/>
      <c r="G2" s="40"/>
      <c r="H2" s="40"/>
      <c r="I2" s="5"/>
    </row>
    <row r="3" spans="1:9 16384:16384" ht="30" customHeight="1" x14ac:dyDescent="0.25">
      <c r="A3" s="16"/>
      <c r="B3" s="42" t="s">
        <v>5654</v>
      </c>
      <c r="C3" s="40"/>
      <c r="D3" s="40"/>
      <c r="E3" s="40"/>
      <c r="F3" s="40"/>
      <c r="G3" s="40"/>
      <c r="H3" s="40"/>
      <c r="I3" s="5"/>
    </row>
    <row r="4" spans="1:9 16384:16384" ht="34.799999999999997" x14ac:dyDescent="0.25">
      <c r="A4" s="16"/>
      <c r="B4" s="17">
        <f t="array" ref="B4:B245">ROW(B4:B2440)-4</f>
        <v>0</v>
      </c>
      <c r="C4" s="10" t="s">
        <v>50</v>
      </c>
      <c r="D4" s="10" t="s">
        <v>20</v>
      </c>
      <c r="E4" s="10" t="s">
        <v>21</v>
      </c>
      <c r="F4" s="10" t="s">
        <v>22</v>
      </c>
      <c r="G4" s="10" t="s">
        <v>23</v>
      </c>
      <c r="H4" s="10" t="s">
        <v>24</v>
      </c>
      <c r="I4" s="5"/>
    </row>
    <row r="5" spans="1:9 16384:16384" ht="69.599999999999994" x14ac:dyDescent="0.25">
      <c r="A5" s="16"/>
      <c r="B5" s="17">
        <v>1</v>
      </c>
      <c r="C5" s="3" t="b">
        <f ca="1">IFERROR(__xludf.DUMMYFUNCTION("sort(filter('Full Perk List'!B3:G1935,'Full Perk List'!F3:F1935=B2),1,1,2,1,3,1)"),FALSE)</f>
        <v>0</v>
      </c>
      <c r="D5" s="3">
        <f ca="1">IFERROR(__xludf.DUMMYFUNCTION("""COMPUTED_VALUE"""),0)</f>
        <v>0</v>
      </c>
      <c r="E5" s="3" t="str">
        <f ca="1">IFERROR(__xludf.DUMMYFUNCTION("""COMPUTED_VALUE"""),"Chemistry: The Basics")</f>
        <v>Chemistry: The Basics</v>
      </c>
      <c r="F5" s="3" t="str">
        <f ca="1">IFERROR(__xludf.DUMMYFUNCTION("""COMPUTED_VALUE"""),"Mind Control University")</f>
        <v>Mind Control University</v>
      </c>
      <c r="G5" s="3" t="str">
        <f ca="1">IFERROR(__xludf.DUMMYFUNCTION("""COMPUTED_VALUE"""),"Mind &amp; Control")</f>
        <v>Mind &amp; Control</v>
      </c>
      <c r="H5" s="3" t="str">
        <f ca="1">IFERROR(__xludf.DUMMYFUNCTION("""COMPUTED_VALUE"""),"You have a modern high school graduate’s education in chemistry — and unlike most high school graduates, you actually remember the stuff you were taught in the subject. You know the formula for a tonic that puts anyone who ingests it into a trance. With j"&amp;"ust this, you won’t be the best in the class, but your talent in the field of chemistry will at least be average.")</f>
        <v>You have a modern high school graduate’s education in chemistry — and unlike most high school graduates, you actually remember the stuff you were taught in the subject. You know the formula for a tonic that puts anyone who ingests it into a trance. With just this, you won’t be the best in the class, but your talent in the field of chemistry will at least be average.</v>
      </c>
      <c r="I5" s="5"/>
    </row>
    <row r="6" spans="1:9 16384:16384" ht="69.599999999999994" x14ac:dyDescent="0.25">
      <c r="A6" s="16"/>
      <c r="B6" s="17">
        <v>2</v>
      </c>
      <c r="C6" s="4" t="b">
        <f ca="1">IFERROR(__xludf.DUMMYFUNCTION("""COMPUTED_VALUE"""),FALSE)</f>
        <v>0</v>
      </c>
      <c r="D6" s="4">
        <f ca="1">IFERROR(__xludf.DUMMYFUNCTION("""COMPUTED_VALUE"""),0)</f>
        <v>0</v>
      </c>
      <c r="E6" s="4" t="str">
        <f ca="1">IFERROR(__xludf.DUMMYFUNCTION("""COMPUTED_VALUE"""),"Hypnosis: The Basics")</f>
        <v>Hypnosis: The Basics</v>
      </c>
      <c r="F6" s="4" t="str">
        <f ca="1">IFERROR(__xludf.DUMMYFUNCTION("""COMPUTED_VALUE"""),"Mind Control University")</f>
        <v>Mind Control University</v>
      </c>
      <c r="G6" s="4" t="str">
        <f ca="1">IFERROR(__xludf.DUMMYFUNCTION("""COMPUTED_VALUE"""),"Mind &amp; Control")</f>
        <v>Mind &amp; Control</v>
      </c>
      <c r="H6" s="4" t="str">
        <f ca="1">IFERROR(__xludf.DUMMYFUNCTION("""COMPUTED_VALUE"""),"Even before your first Hypnotism class, you know the basics, a solid foundation to build upon. You know the basic tricks of induction, how to affect your target’s subconscious mind, how to program someone entranced, and what landmines to avoid. With just "&amp;"this, you won’t be the best in the class, but your talent in the field of hypnosis will at least be average.")</f>
        <v>Even before your first Hypnotism class, you know the basics, a solid foundation to build upon. You know the basic tricks of induction, how to affect your target’s subconscious mind, how to program someone entranced, and what landmines to avoid. With just this, you won’t be the best in the class, but your talent in the field of hypnosis will at least be average.</v>
      </c>
      <c r="I6" s="5"/>
    </row>
    <row r="7" spans="1:9 16384:16384" ht="87" x14ac:dyDescent="0.25">
      <c r="A7" s="16"/>
      <c r="B7" s="17">
        <v>3</v>
      </c>
      <c r="C7" s="2" t="b">
        <f ca="1">IFERROR(__xludf.DUMMYFUNCTION("""COMPUTED_VALUE"""),FALSE)</f>
        <v>0</v>
      </c>
      <c r="D7" s="2">
        <f ca="1">IFERROR(__xludf.DUMMYFUNCTION("""COMPUTED_VALUE"""),0)</f>
        <v>0</v>
      </c>
      <c r="E7" s="2" t="str">
        <f ca="1">IFERROR(__xludf.DUMMYFUNCTION("""COMPUTED_VALUE"""),"Magic: The Basics")</f>
        <v>Magic: The Basics</v>
      </c>
      <c r="F7" s="2" t="str">
        <f ca="1">IFERROR(__xludf.DUMMYFUNCTION("""COMPUTED_VALUE"""),"Mind Control University")</f>
        <v>Mind Control University</v>
      </c>
      <c r="G7" s="2" t="str">
        <f ca="1">IFERROR(__xludf.DUMMYFUNCTION("""COMPUTED_VALUE"""),"Mind &amp; Control")</f>
        <v>Mind &amp; Control</v>
      </c>
      <c r="H7" s="2" t="str">
        <f ca="1">IFERROR(__xludf.DUMMYFUNCTION("""COMPUTED_VALUE"""),"Each student will learn magic, also called the Great Craft. This Perk ensures that you won’t have to worry about any especial difficulty when it comes to the class; whatever problems could plague a student, be it lack of power or an incompatible mindset, "&amp;"they won’t plague you. You won’t, without purchasing some of the Perks below, have any special talent for it, but you will be at minimum average in all areas. You are already able to use basic spells and cantrips.")</f>
        <v>Each student will learn magic, also called the Great Craft. This Perk ensures that you won’t have to worry about any especial difficulty when it comes to the class; whatever problems could plague a student, be it lack of power or an incompatible mindset, they won’t plague you. You won’t, without purchasing some of the Perks below, have any special talent for it, but you will be at minimum average in all areas. You are already able to use basic spells and cantrips.</v>
      </c>
      <c r="I7" s="5"/>
    </row>
    <row r="8" spans="1:9 16384:16384" ht="174" x14ac:dyDescent="0.25">
      <c r="A8" s="16"/>
      <c r="B8" s="17">
        <v>4</v>
      </c>
      <c r="C8" s="2" t="b">
        <f ca="1">IFERROR(__xludf.DUMMYFUNCTION("""COMPUTED_VALUE"""),FALSE)</f>
        <v>0</v>
      </c>
      <c r="D8" s="2">
        <f ca="1">IFERROR(__xludf.DUMMYFUNCTION("""COMPUTED_VALUE"""),0)</f>
        <v>0</v>
      </c>
      <c r="E8" s="2" t="str">
        <f ca="1">IFERROR(__xludf.DUMMYFUNCTION("""COMPUTED_VALUE"""),"Psionics: The Basics")</f>
        <v>Psionics: The Basics</v>
      </c>
      <c r="F8" s="2" t="str">
        <f ca="1">IFERROR(__xludf.DUMMYFUNCTION("""COMPUTED_VALUE"""),"Mind Control University")</f>
        <v>Mind Control University</v>
      </c>
      <c r="G8" s="2" t="str">
        <f ca="1">IFERROR(__xludf.DUMMYFUNCTION("""COMPUTED_VALUE"""),"Mind &amp; Control")</f>
        <v>Mind &amp; Control</v>
      </c>
      <c r="H8" s="2" t="str">
        <f ca="1">IFERROR(__xludf.DUMMYFUNCTION("""COMPUTED_VALUE"""),"Each student at MCU will learn Psionic techniques. So, obviously, you need to be able to actually perform these techniques. How powerful are you?
Well, in your first Psionics class, each student will test their psionic potential by attempting to make up"&amp;" to 10 gems glow with only their force of personality; the number of glowing gems is a logarithmic function of how great a person’s potential is. The average human will be able to light up 3 gems. Even without any other Perks, you will be able to do the s"&amp;"ame.
You will have equal (that is, average) skill in Psionics as well. You are already capable of reading surface thoughts.")</f>
        <v>Each student at MCU will learn Psionic techniques. So, obviously, you need to be able to actually perform these techniques. How powerful are you?
Well, in your first Psionics class, each student will test their psionic potential by attempting to make up to 10 gems glow with only their force of personality; the number of glowing gems is a logarithmic function of how great a person’s potential is. The average human will be able to light up 3 gems. Even without any other Perks, you will be able to do the same.
You will have equal (that is, average) skill in Psionics as well. You are already capable of reading surface thoughts.</v>
      </c>
      <c r="I8" s="5"/>
    </row>
    <row r="9" spans="1:9 16384:16384" ht="87" x14ac:dyDescent="0.25">
      <c r="A9" s="16"/>
      <c r="B9" s="17">
        <v>5</v>
      </c>
      <c r="C9" s="2" t="b">
        <f ca="1">IFERROR(__xludf.DUMMYFUNCTION("""COMPUTED_VALUE"""),FALSE)</f>
        <v>0</v>
      </c>
      <c r="D9" s="2">
        <f ca="1">IFERROR(__xludf.DUMMYFUNCTION("""COMPUTED_VALUE"""),0)</f>
        <v>0</v>
      </c>
      <c r="E9" s="2" t="str">
        <f ca="1">IFERROR(__xludf.DUMMYFUNCTION("""COMPUTED_VALUE"""),"Technology: The Basics")</f>
        <v>Technology: The Basics</v>
      </c>
      <c r="F9" s="2" t="str">
        <f ca="1">IFERROR(__xludf.DUMMYFUNCTION("""COMPUTED_VALUE"""),"Mind Control University")</f>
        <v>Mind Control University</v>
      </c>
      <c r="G9" s="2" t="str">
        <f ca="1">IFERROR(__xludf.DUMMYFUNCTION("""COMPUTED_VALUE"""),"Mind &amp; Control")</f>
        <v>Mind &amp; Control</v>
      </c>
      <c r="H9" s="2" t="str">
        <f ca="1">IFERROR(__xludf.DUMMYFUNCTION("""COMPUTED_VALUE"""),"You are educated in basic scientific principles. You know the scientific method. Even if you were a Luddite before this Jump, you now have enough basic knowledge of technology to function in a modern first-world civilization. And you know how to install s"&amp;"ubliminal messaging programs on phones. With just this, you won’t be the best in the class, but your talent in the field of technology will at least be average.")</f>
        <v>You are educated in basic scientific principles. You know the scientific method. Even if you were a Luddite before this Jump, you now have enough basic knowledge of technology to function in a modern first-world civilization. And you know how to install subliminal messaging programs on phones. With just this, you won’t be the best in the class, but your talent in the field of technology will at least be average.</v>
      </c>
      <c r="I9" s="5"/>
    </row>
    <row r="10" spans="1:9 16384:16384" ht="139.19999999999999" x14ac:dyDescent="0.25">
      <c r="A10" s="16"/>
      <c r="B10" s="17">
        <v>6</v>
      </c>
      <c r="C10" s="2" t="b">
        <f ca="1">IFERROR(__xludf.DUMMYFUNCTION("""COMPUTED_VALUE"""),FALSE)</f>
        <v>0</v>
      </c>
      <c r="D10" s="2">
        <f ca="1">IFERROR(__xludf.DUMMYFUNCTION("""COMPUTED_VALUE"""),50)</f>
        <v>50</v>
      </c>
      <c r="E10" s="2" t="str">
        <f ca="1">IFERROR(__xludf.DUMMYFUNCTION("""COMPUTED_VALUE"""),"Melody")</f>
        <v>Melody</v>
      </c>
      <c r="F10" s="2" t="str">
        <f ca="1">IFERROR(__xludf.DUMMYFUNCTION("""COMPUTED_VALUE"""),"Generic: Virgin")</f>
        <v>Generic: Virgin</v>
      </c>
      <c r="G10" s="2" t="str">
        <f ca="1">IFERROR(__xludf.DUMMYFUNCTION("""COMPUTED_VALUE"""),"Mind &amp; Control")</f>
        <v>Mind &amp; Control</v>
      </c>
      <c r="H10" s="2" t="str">
        <f ca="1">IFERROR(__xludf.DUMMYFUNCTION("""COMPUTED_VALUE"""),"Sometimes having powers is a temptation to use them in, shall we say, less than responsible ways. With Melody, you are always aware of the temptation to use your powers and abilities in ways you probably wouldn't approve of. Sure sure, you're probably awa"&amp;"re of those temptations when they're powerful urges... but those powerful urges usually are because the situation has gone pear-shaped and you're under a lot of pressure. Or you're impaired by emotion, drugs, or maybe amnesia. Melody gives you a little tw"&amp;"inge right before you're about to do something you'd not approve of if you were being completely rational. This twinge will never distract you and, like a certain arachnoid-person's arachno-sense, doesn't seem to take more than a split second of your time"&amp;".")</f>
        <v>Sometimes having powers is a temptation to use them in, shall we say, less than responsible ways. With Melody, you are always aware of the temptation to use your powers and abilities in ways you probably wouldn't approve of. Sure sure, you're probably aware of those temptations when they're powerful urges... but those powerful urges usually are because the situation has gone pear-shaped and you're under a lot of pressure. Or you're impaired by emotion, drugs, or maybe amnesia. Melody gives you a little twinge right before you're about to do something you'd not approve of if you were being completely rational. This twinge will never distract you and, like a certain arachnoid-person's arachno-sense, doesn't seem to take more than a split second of your time.</v>
      </c>
      <c r="I10" s="5"/>
    </row>
    <row r="11" spans="1:9 16384:16384" ht="52.2" x14ac:dyDescent="0.25">
      <c r="A11" s="16"/>
      <c r="B11" s="17">
        <v>7</v>
      </c>
      <c r="C11" s="2" t="b">
        <f ca="1">IFERROR(__xludf.DUMMYFUNCTION("""COMPUTED_VALUE"""),FALSE)</f>
        <v>0</v>
      </c>
      <c r="D11" s="2">
        <f ca="1">IFERROR(__xludf.DUMMYFUNCTION("""COMPUTED_VALUE"""),50)</f>
        <v>50</v>
      </c>
      <c r="E11" s="2" t="str">
        <f ca="1">IFERROR(__xludf.DUMMYFUNCTION("""COMPUTED_VALUE"""),"Mind of a QQ Jumper")</f>
        <v>Mind of a QQ Jumper</v>
      </c>
      <c r="F11" s="2" t="str">
        <f ca="1">IFERROR(__xludf.DUMMYFUNCTION("""COMPUTED_VALUE"""),"Generic: Virgin")</f>
        <v>Generic: Virgin</v>
      </c>
      <c r="G11" s="2" t="str">
        <f ca="1">IFERROR(__xludf.DUMMYFUNCTION("""COMPUTED_VALUE"""),"Mind &amp; Control")</f>
        <v>Mind &amp; Control</v>
      </c>
      <c r="H11" s="2" t="str">
        <f ca="1">IFERROR(__xludf.DUMMYFUNCTION("""COMPUTED_VALUE"""),"You are cured of any mental disorders related to sex and any sexual hang-ups you might suffer from, as well as the one-time ability to change your sexual orientation. The effect to cure mental disorders will trigger annually.")</f>
        <v>You are cured of any mental disorders related to sex and any sexual hang-ups you might suffer from, as well as the one-time ability to change your sexual orientation. The effect to cure mental disorders will trigger annually.</v>
      </c>
      <c r="I11" s="5"/>
    </row>
    <row r="12" spans="1:9 16384:16384" ht="69.599999999999994" x14ac:dyDescent="0.25">
      <c r="A12" s="16"/>
      <c r="B12" s="17">
        <v>8</v>
      </c>
      <c r="C12" s="2" t="b">
        <f ca="1">IFERROR(__xludf.DUMMYFUNCTION("""COMPUTED_VALUE"""),FALSE)</f>
        <v>0</v>
      </c>
      <c r="D12" s="2">
        <f ca="1">IFERROR(__xludf.DUMMYFUNCTION("""COMPUTED_VALUE"""),50)</f>
        <v>50</v>
      </c>
      <c r="E12" s="2" t="str">
        <f ca="1">IFERROR(__xludf.DUMMYFUNCTION("""COMPUTED_VALUE"""),"Miracle Light")</f>
        <v>Miracle Light</v>
      </c>
      <c r="F12" s="2" t="str">
        <f ca="1">IFERROR(__xludf.DUMMYFUNCTION("""COMPUTED_VALUE"""),"Milk Hunters")</f>
        <v>Milk Hunters</v>
      </c>
      <c r="G12" s="2" t="str">
        <f ca="1">IFERROR(__xludf.DUMMYFUNCTION("""COMPUTED_VALUE"""),"Mind &amp; Control")</f>
        <v>Mind &amp; Control</v>
      </c>
      <c r="H12" s="2" t="str">
        <f ca="1">IFERROR(__xludf.DUMMYFUNCTION("""COMPUTED_VALUE"""),"In the movies these little wands transform people's feelings into power for the Precures, generating deus ex machina transformations and new powers and such. This one all by itself can’t do that, but it can broadcast your feelings to people you care about"&amp;", letting them feel the sincerity of your thoughts for themselves.")</f>
        <v>In the movies these little wands transform people's feelings into power for the Precures, generating deus ex machina transformations and new powers and such. This one all by itself can’t do that, but it can broadcast your feelings to people you care about, letting them feel the sincerity of your thoughts for themselves.</v>
      </c>
      <c r="I12" s="5"/>
    </row>
    <row r="13" spans="1:9 16384:16384" ht="87" x14ac:dyDescent="0.25">
      <c r="A13" s="16"/>
      <c r="B13" s="17">
        <v>9</v>
      </c>
      <c r="C13" s="2" t="b">
        <f ca="1">IFERROR(__xludf.DUMMYFUNCTION("""COMPUTED_VALUE"""),FALSE)</f>
        <v>0</v>
      </c>
      <c r="D13" s="2">
        <f ca="1">IFERROR(__xludf.DUMMYFUNCTION("""COMPUTED_VALUE"""),50)</f>
        <v>50</v>
      </c>
      <c r="E13" s="2" t="str">
        <f ca="1">IFERROR(__xludf.DUMMYFUNCTION("""COMPUTED_VALUE"""),"Name Calling")</f>
        <v>Name Calling</v>
      </c>
      <c r="F13" s="2" t="str">
        <f ca="1">IFERROR(__xludf.DUMMYFUNCTION("""COMPUTED_VALUE"""),"The Otaku in 10,000 BC")</f>
        <v>The Otaku in 10,000 BC</v>
      </c>
      <c r="G13" s="2" t="str">
        <f ca="1">IFERROR(__xludf.DUMMYFUNCTION("""COMPUTED_VALUE"""),"Mind &amp; Control")</f>
        <v>Mind &amp; Control</v>
      </c>
      <c r="H13" s="2" t="str">
        <f ca="1">IFERROR(__xludf.DUMMYFUNCTION("""COMPUTED_VALUE"""),"When you call someone by a pet name or title, it provides them a little bit of pleasure. Say it enough, and they’ll start to enjoy hearing it, even if they have no idea what it means. What’s more, when you refer to someone by a pet name or title, they wil"&amp;"l start to take on traits resembling what you call them; for instance, calling someone “Sensei” might jog their memory regarding a question you asked them, because teachers know things. You can undo this process if you really want to.")</f>
        <v>When you call someone by a pet name or title, it provides them a little bit of pleasure. Say it enough, and they’ll start to enjoy hearing it, even if they have no idea what it means. What’s more, when you refer to someone by a pet name or title, they will start to take on traits resembling what you call them; for instance, calling someone “Sensei” might jog their memory regarding a question you asked them, because teachers know things. You can undo this process if you really want to.</v>
      </c>
      <c r="I13" s="5"/>
    </row>
    <row r="14" spans="1:9 16384:16384" ht="52.2" x14ac:dyDescent="0.25">
      <c r="A14" s="16"/>
      <c r="B14" s="17">
        <v>10</v>
      </c>
      <c r="C14" s="2" t="b">
        <f ca="1">IFERROR(__xludf.DUMMYFUNCTION("""COMPUTED_VALUE"""),FALSE)</f>
        <v>0</v>
      </c>
      <c r="D14" s="2">
        <f ca="1">IFERROR(__xludf.DUMMYFUNCTION("""COMPUTED_VALUE"""),50)</f>
        <v>50</v>
      </c>
      <c r="E14" s="2" t="str">
        <f ca="1">IFERROR(__xludf.DUMMYFUNCTION("""COMPUTED_VALUE"""),"Shameless")</f>
        <v>Shameless</v>
      </c>
      <c r="F14" s="2" t="str">
        <f ca="1">IFERROR(__xludf.DUMMYFUNCTION("""COMPUTED_VALUE"""),"Winger’s World")</f>
        <v>Winger’s World</v>
      </c>
      <c r="G14" s="2" t="str">
        <f ca="1">IFERROR(__xludf.DUMMYFUNCTION("""COMPUTED_VALUE"""),"Mind &amp; Control")</f>
        <v>Mind &amp; Control</v>
      </c>
      <c r="H14" s="2" t="str">
        <f ca="1">IFERROR(__xludf.DUMMYFUNCTION("""COMPUTED_VALUE"""),"In this society, sex is an everyday thing. Because of that, clothes are gonna be looser and innuendo is easily inserted into everyday speech. But no one will care. Go ahead and give that hyper chick a stare. She’ll think it's flattering.")</f>
        <v>In this society, sex is an everyday thing. Because of that, clothes are gonna be looser and innuendo is easily inserted into everyday speech. But no one will care. Go ahead and give that hyper chick a stare. She’ll think it's flattering.</v>
      </c>
      <c r="I14" s="5"/>
    </row>
    <row r="15" spans="1:9 16384:16384" ht="69.599999999999994" x14ac:dyDescent="0.25">
      <c r="A15" s="16"/>
      <c r="B15" s="17">
        <v>11</v>
      </c>
      <c r="C15" s="2" t="b">
        <f ca="1">IFERROR(__xludf.DUMMYFUNCTION("""COMPUTED_VALUE"""),FALSE)</f>
        <v>0</v>
      </c>
      <c r="D15" s="2">
        <f ca="1">IFERROR(__xludf.DUMMYFUNCTION("""COMPUTED_VALUE"""),50)</f>
        <v>50</v>
      </c>
      <c r="E15" s="2" t="str">
        <f ca="1">IFERROR(__xludf.DUMMYFUNCTION("""COMPUTED_VALUE"""),"Synchronised Fucking")</f>
        <v>Synchronised Fucking</v>
      </c>
      <c r="F15" s="2" t="str">
        <f ca="1">IFERROR(__xludf.DUMMYFUNCTION("""COMPUTED_VALUE"""),"The Otaku in 2200 AD")</f>
        <v>The Otaku in 2200 AD</v>
      </c>
      <c r="G15" s="2" t="str">
        <f ca="1">IFERROR(__xludf.DUMMYFUNCTION("""COMPUTED_VALUE"""),"Mind &amp; Control")</f>
        <v>Mind &amp; Control</v>
      </c>
      <c r="H15" s="2" t="str">
        <f ca="1">IFERROR(__xludf.DUMMYFUNCTION("""COMPUTED_VALUE"""),"When the intentions of two people having sex are aligned, their brain waves will synchronize. If two people have a shared goal and shared desire, the pleasure they each experience will be increased as they fuck, as will the sextacy they produce. Now, you "&amp;"carry this phenomenon with you, being able to feel and give greater ecstasy the more your thoughts align with those of your partner.")</f>
        <v>When the intentions of two people having sex are aligned, their brain waves will synchronize. If two people have a shared goal and shared desire, the pleasure they each experience will be increased as they fuck, as will the sextacy they produce. Now, you carry this phenomenon with you, being able to feel and give greater ecstasy the more your thoughts align with those of your partner.</v>
      </c>
      <c r="I15" s="5"/>
    </row>
    <row r="16" spans="1:9 16384:16384" ht="139.19999999999999" x14ac:dyDescent="0.25">
      <c r="A16" s="16"/>
      <c r="B16" s="17">
        <v>12</v>
      </c>
      <c r="C16" s="2" t="b">
        <f ca="1">IFERROR(__xludf.DUMMYFUNCTION("""COMPUTED_VALUE"""),FALSE)</f>
        <v>0</v>
      </c>
      <c r="D16" s="2">
        <f ca="1">IFERROR(__xludf.DUMMYFUNCTION("""COMPUTED_VALUE"""),50)</f>
        <v>50</v>
      </c>
      <c r="E16" s="2" t="str">
        <f ca="1">IFERROR(__xludf.DUMMYFUNCTION("""COMPUTED_VALUE"""),"The Return to Sanity")</f>
        <v>The Return to Sanity</v>
      </c>
      <c r="F16" s="2" t="str">
        <f ca="1">IFERROR(__xludf.DUMMYFUNCTION("""COMPUTED_VALUE"""),"High Elf x High School")</f>
        <v>High Elf x High School</v>
      </c>
      <c r="G16" s="2" t="str">
        <f ca="1">IFERROR(__xludf.DUMMYFUNCTION("""COMPUTED_VALUE"""),"Mind &amp; Control")</f>
        <v>Mind &amp; Control</v>
      </c>
      <c r="H16" s="2" t="str">
        <f ca="1">IFERROR(__xludf.DUMMYFUNCTION("""COMPUTED_VALUE"""),"Many people are wary of the idea of being broken by torture, but too often people forget that any extreme of sensation can pose a risk to your mental health, not just pain... and elves are very, very vulnerable to pleasure. This perk ensures that no matte"&amp;"r how much sensation you experience—be it pain or pleasure—your mind will never stay “broken”. Yes, intense sex may shatter your consciousness and ability to think, leaving you only capable of bouncing your hips and giving insensate moans of unimaginable "&amp;"pleasure... but only for a few hours at most, before you gather together the shards of your mind and heal from the experience, without any long-term mental harm being done to you.")</f>
        <v>Many people are wary of the idea of being broken by torture, but too often people forget that any extreme of sensation can pose a risk to your mental health, not just pain... and elves are very, very vulnerable to pleasure. This perk ensures that no matter how much sensation you experience—be it pain or pleasure—your mind will never stay “broken”. Yes, intense sex may shatter your consciousness and ability to think, leaving you only capable of bouncing your hips and giving insensate moans of unimaginable pleasure... but only for a few hours at most, before you gather together the shards of your mind and heal from the experience, without any long-term mental harm being done to you.</v>
      </c>
      <c r="I16" s="5"/>
    </row>
    <row r="17" spans="1:9" ht="87" x14ac:dyDescent="0.25">
      <c r="A17" s="16"/>
      <c r="B17" s="17">
        <v>13</v>
      </c>
      <c r="C17" s="2" t="b">
        <f ca="1">IFERROR(__xludf.DUMMYFUNCTION("""COMPUTED_VALUE"""),FALSE)</f>
        <v>0</v>
      </c>
      <c r="D17" s="2">
        <f ca="1">IFERROR(__xludf.DUMMYFUNCTION("""COMPUTED_VALUE"""),50)</f>
        <v>50</v>
      </c>
      <c r="E17" s="2" t="str">
        <f ca="1">IFERROR(__xludf.DUMMYFUNCTION("""COMPUTED_VALUE"""),"What Stage Fright?")</f>
        <v>What Stage Fright?</v>
      </c>
      <c r="F17" s="2" t="str">
        <f ca="1">IFERROR(__xludf.DUMMYFUNCTION("""COMPUTED_VALUE"""),"The Otaku in 2200 AD")</f>
        <v>The Otaku in 2200 AD</v>
      </c>
      <c r="G17" s="2" t="str">
        <f ca="1">IFERROR(__xludf.DUMMYFUNCTION("""COMPUTED_VALUE"""),"Mind &amp; Control")</f>
        <v>Mind &amp; Control</v>
      </c>
      <c r="H17" s="2" t="str">
        <f ca="1">IFERROR(__xludf.DUMMYFUNCTION("""COMPUTED_VALUE"""),"Considering how often sex is performed publicly, it would have been a shame if Ota or his partners were afflicted by performance anxiety. Fortunately, that’s not a problem you’ll ever come across. Even if you’re a complete introvert, you’ll find that you’"&amp;"re comfortable among other people, and that performing actions—even potentially embarrassing ones—in front of a crowd no longer inspires anxiety in you.")</f>
        <v>Considering how often sex is performed publicly, it would have been a shame if Ota or his partners were afflicted by performance anxiety. Fortunately, that’s not a problem you’ll ever come across. Even if you’re a complete introvert, you’ll find that you’re comfortable among other people, and that performing actions—even potentially embarrassing ones—in front of a crowd no longer inspires anxiety in you.</v>
      </c>
      <c r="I17" s="5"/>
    </row>
    <row r="18" spans="1:9" ht="104.4" x14ac:dyDescent="0.25">
      <c r="A18" s="16"/>
      <c r="B18" s="17">
        <v>14</v>
      </c>
      <c r="C18" s="2" t="b">
        <f ca="1">IFERROR(__xludf.DUMMYFUNCTION("""COMPUTED_VALUE"""),FALSE)</f>
        <v>0</v>
      </c>
      <c r="D18" s="2">
        <f ca="1">IFERROR(__xludf.DUMMYFUNCTION("""COMPUTED_VALUE"""),100)</f>
        <v>100</v>
      </c>
      <c r="E18" s="2" t="str">
        <f ca="1">IFERROR(__xludf.DUMMYFUNCTION("""COMPUTED_VALUE"""),"""Diplomacy""")</f>
        <v>"Diplomacy"</v>
      </c>
      <c r="F18" s="2" t="str">
        <f ca="1">IFERROR(__xludf.DUMMYFUNCTION("""COMPUTED_VALUE"""),"eratohoK")</f>
        <v>eratohoK</v>
      </c>
      <c r="G18" s="2" t="str">
        <f ca="1">IFERROR(__xludf.DUMMYFUNCTION("""COMPUTED_VALUE"""),"Mind &amp; Control")</f>
        <v>Mind &amp; Control</v>
      </c>
      <c r="H18" s="2" t="str">
        <f ca="1">IFERROR(__xludf.DUMMYFUNCTION("""COMPUTED_VALUE"""),"You may offer, in lieu of normal negotiations, to attempt to improve relations between yourself and any organisation you so choose by taking its current leader to the bedroom. Neither they nor anyone else will find such a suggestion odd, and while whether"&amp;" they accept depends on their personality, should you impress them with your bedroom skills you are guaranteed to noticeably warm relations with their whole organisation. You may require several rounds of “diplomacy” to turn hostile organisations into all"&amp;"ied ones, however.")</f>
        <v>You may offer, in lieu of normal negotiations, to attempt to improve relations between yourself and any organisation you so choose by taking its current leader to the bedroom. Neither they nor anyone else will find such a suggestion odd, and while whether they accept depends on their personality, should you impress them with your bedroom skills you are guaranteed to noticeably warm relations with their whole organisation. You may require several rounds of “diplomacy” to turn hostile organisations into allied ones, however.</v>
      </c>
      <c r="I18" s="5"/>
    </row>
    <row r="19" spans="1:9" ht="87" x14ac:dyDescent="0.25">
      <c r="A19" s="16"/>
      <c r="B19" s="17">
        <v>15</v>
      </c>
      <c r="C19" s="2" t="b">
        <f ca="1">IFERROR(__xludf.DUMMYFUNCTION("""COMPUTED_VALUE"""),FALSE)</f>
        <v>0</v>
      </c>
      <c r="D19" s="2">
        <f ca="1">IFERROR(__xludf.DUMMYFUNCTION("""COMPUTED_VALUE"""),100)</f>
        <v>100</v>
      </c>
      <c r="E19" s="2" t="str">
        <f ca="1">IFERROR(__xludf.DUMMYFUNCTION("""COMPUTED_VALUE"""),"""Special"" Swimsuits")</f>
        <v>"Special" Swimsuits</v>
      </c>
      <c r="F19" s="2" t="str">
        <f ca="1">IFERROR(__xludf.DUMMYFUNCTION("""COMPUTED_VALUE"""),"Shunned by the Village")</f>
        <v>Shunned by the Village</v>
      </c>
      <c r="G19" s="2" t="str">
        <f ca="1">IFERROR(__xludf.DUMMYFUNCTION("""COMPUTED_VALUE"""),"Mind &amp; Control")</f>
        <v>Mind &amp; Control</v>
      </c>
      <c r="H19" s="2" t="str">
        <f ca="1">IFERROR(__xludf.DUMMYFUNCTION("""COMPUTED_VALUE"""),"These are a set of school swimsuits that have been “improved” for sexual purposes, with cut-out holes revealing all the places that might be used for naughty fun. By putting one of these swimsuits in a drawer with a normal set of clothing, those clothes w"&amp;"ill be similarly “improved”. Curiously, nobody but you (and those you designate) will ever realize anything is odd about this clothing, and will wear it normally. They will become curiously embarrassed about it, but won’t know why.")</f>
        <v>These are a set of school swimsuits that have been “improved” for sexual purposes, with cut-out holes revealing all the places that might be used for naughty fun. By putting one of these swimsuits in a drawer with a normal set of clothing, those clothes will be similarly “improved”. Curiously, nobody but you (and those you designate) will ever realize anything is odd about this clothing, and will wear it normally. They will become curiously embarrassed about it, but won’t know why.</v>
      </c>
      <c r="I19" s="5"/>
    </row>
    <row r="20" spans="1:9" ht="139.19999999999999" x14ac:dyDescent="0.25">
      <c r="A20" s="16"/>
      <c r="B20" s="17">
        <v>16</v>
      </c>
      <c r="C20" s="2" t="b">
        <f ca="1">IFERROR(__xludf.DUMMYFUNCTION("""COMPUTED_VALUE"""),FALSE)</f>
        <v>0</v>
      </c>
      <c r="D20" s="2">
        <f ca="1">IFERROR(__xludf.DUMMYFUNCTION("""COMPUTED_VALUE"""),100)</f>
        <v>100</v>
      </c>
      <c r="E20" s="2" t="str">
        <f ca="1">IFERROR(__xludf.DUMMYFUNCTION("""COMPUTED_VALUE"""),"""Tax Returns"" Folder")</f>
        <v>"Tax Returns" Folder</v>
      </c>
      <c r="F20" s="2" t="str">
        <f ca="1">IFERROR(__xludf.DUMMYFUNCTION("""COMPUTED_VALUE"""),"Generic: QQ")</f>
        <v>Generic: QQ</v>
      </c>
      <c r="G20" s="2" t="str">
        <f ca="1">IFERROR(__xludf.DUMMYFUNCTION("""COMPUTED_VALUE"""),"Mind &amp; Control")</f>
        <v>Mind &amp; Control</v>
      </c>
      <c r="H20" s="2" t="str">
        <f ca="1">IFERROR(__xludf.DUMMYFUNCTION("""COMPUTED_VALUE"""),"You keep your porn in a secure location, hidden with a label that will detract interest. Like, you know, calling it “tax returns.” This prevents the unauthorized from tampering or reading with these important files.
Fortunately, your own memory has the s"&amp;"ame protection. It can’t be read or altered without your express, active, non-mind-controlled consent. As a bonus, I’ll add in perfect, unlimited storage, improving indexing and cross-referencing, and complete storage for all sensations, so you can rememb"&amp;"er exactly what it felt like when you had that wonderful encounter a while ago.")</f>
        <v>You keep your porn in a secure location, hidden with a label that will detract interest. Like, you know, calling it “tax returns.” This prevents the unauthorized from tampering or reading with these important files.
Fortunately, your own memory has the same protection. It can’t be read or altered without your express, active, non-mind-controlled consent. As a bonus, I’ll add in perfect, unlimited storage, improving indexing and cross-referencing, and complete storage for all sensations, so you can remember exactly what it felt like when you had that wonderful encounter a while ago.</v>
      </c>
      <c r="I20" s="5"/>
    </row>
    <row r="21" spans="1:9" ht="87" x14ac:dyDescent="0.25">
      <c r="A21" s="16"/>
      <c r="B21" s="17">
        <v>17</v>
      </c>
      <c r="C21" s="2" t="b">
        <f ca="1">IFERROR(__xludf.DUMMYFUNCTION("""COMPUTED_VALUE"""),FALSE)</f>
        <v>0</v>
      </c>
      <c r="D21" s="2">
        <f ca="1">IFERROR(__xludf.DUMMYFUNCTION("""COMPUTED_VALUE"""),100)</f>
        <v>100</v>
      </c>
      <c r="E21" s="2" t="str">
        <f ca="1">IFERROR(__xludf.DUMMYFUNCTION("""COMPUTED_VALUE"""),"A is for Anal")</f>
        <v>A is for Anal</v>
      </c>
      <c r="F21" s="2" t="str">
        <f ca="1">IFERROR(__xludf.DUMMYFUNCTION("""COMPUTED_VALUE"""),"Generic: Loli")</f>
        <v>Generic: Loli</v>
      </c>
      <c r="G21" s="2" t="str">
        <f ca="1">IFERROR(__xludf.DUMMYFUNCTION("""COMPUTED_VALUE"""),"Mind &amp; Control")</f>
        <v>Mind &amp; Control</v>
      </c>
      <c r="H21" s="2" t="str">
        <f ca="1">IFERROR(__xludf.DUMMYFUNCTION("""COMPUTED_VALUE"""),"You will probably end up being distracted and forget to study, but with this perk you can ask your teacher for extra credit after class. You can trade sexual favors for better grades, the resulting extra credit will be based on your skill at pleasing teac"&amp;"her. You can also trade sexual favors for improving any other form of performance review, however be warned this doesn’t protect you from the people you bribe coming to expect sexual favors from you as a matter of course.")</f>
        <v>You will probably end up being distracted and forget to study, but with this perk you can ask your teacher for extra credit after class. You can trade sexual favors for better grades, the resulting extra credit will be based on your skill at pleasing teacher. You can also trade sexual favors for improving any other form of performance review, however be warned this doesn’t protect you from the people you bribe coming to expect sexual favors from you as a matter of course.</v>
      </c>
      <c r="I21" s="5"/>
    </row>
    <row r="22" spans="1:9" ht="174" x14ac:dyDescent="0.25">
      <c r="A22" s="16"/>
      <c r="B22" s="17">
        <v>18</v>
      </c>
      <c r="C22" s="2" t="b">
        <f ca="1">IFERROR(__xludf.DUMMYFUNCTION("""COMPUTED_VALUE"""),FALSE)</f>
        <v>0</v>
      </c>
      <c r="D22" s="2">
        <f ca="1">IFERROR(__xludf.DUMMYFUNCTION("""COMPUTED_VALUE"""),100)</f>
        <v>100</v>
      </c>
      <c r="E22" s="2" t="str">
        <f ca="1">IFERROR(__xludf.DUMMYFUNCTION("""COMPUTED_VALUE"""),"A Thousand Shades of Pleasure")</f>
        <v>A Thousand Shades of Pleasure</v>
      </c>
      <c r="F22" s="2" t="str">
        <f ca="1">IFERROR(__xludf.DUMMYFUNCTION("""COMPUTED_VALUE"""),"Gun Tribe")</f>
        <v>Gun Tribe</v>
      </c>
      <c r="G22" s="2" t="str">
        <f ca="1">IFERROR(__xludf.DUMMYFUNCTION("""COMPUTED_VALUE"""),"Mind &amp; Control")</f>
        <v>Mind &amp; Control</v>
      </c>
      <c r="H22" s="2" t="str">
        <f ca="1">IFERROR(__xludf.DUMMYFUNCTION("""COMPUTED_VALUE"""),"Sometimes you have a partner who’s better at giving pleasure than others. And sometimes you get strapped to a sex machine and injected with drugs that would make even the touch of the air an agonizing ecstasy. But there’s no reason for such experiences to"&amp;" turn you off to the pleasures you could find elsewhere. You are capable of viewing your experiences in isolation when you so desire, without comparing them to similar memories.
Eating the best food in the world won’t make all other foods seem lackluste"&amp;"r in comparison, because you can view it on its own. Being subject to inhuman degrees of pleasure won’t make normal sex boring, because you can isolate it as its own experience. It won’t even taint your memories of sex, because you can disconnect them to "&amp;"be independent from each other.")</f>
        <v>Sometimes you have a partner who’s better at giving pleasure than others. And sometimes you get strapped to a sex machine and injected with drugs that would make even the touch of the air an agonizing ecstasy. But there’s no reason for such experiences to turn you off to the pleasures you could find elsewhere. You are capable of viewing your experiences in isolation when you so desire, without comparing them to similar memories.
Eating the best food in the world won’t make all other foods seem lackluster in comparison, because you can view it on its own. Being subject to inhuman degrees of pleasure won’t make normal sex boring, because you can isolate it as its own experience. It won’t even taint your memories of sex, because you can disconnect them to be independent from each other.</v>
      </c>
      <c r="I22" s="5"/>
    </row>
    <row r="23" spans="1:9" ht="261" x14ac:dyDescent="0.25">
      <c r="A23" s="16"/>
      <c r="B23" s="17">
        <v>19</v>
      </c>
      <c r="C23" s="2" t="b">
        <f ca="1">IFERROR(__xludf.DUMMYFUNCTION("""COMPUTED_VALUE"""),FALSE)</f>
        <v>0</v>
      </c>
      <c r="D23" s="2">
        <f ca="1">IFERROR(__xludf.DUMMYFUNCTION("""COMPUTED_VALUE"""),100)</f>
        <v>100</v>
      </c>
      <c r="E23" s="2" t="str">
        <f ca="1">IFERROR(__xludf.DUMMYFUNCTION("""COMPUTED_VALUE"""),"Aftercare")</f>
        <v>Aftercare</v>
      </c>
      <c r="F23" s="2" t="str">
        <f ca="1">IFERROR(__xludf.DUMMYFUNCTION("""COMPUTED_VALUE"""),"Although Young People Recoil from Entering the Black Magic Industry...")</f>
        <v>Although Young People Recoil from Entering the Black Magic Industry...</v>
      </c>
      <c r="G23" s="2" t="str">
        <f ca="1">IFERROR(__xludf.DUMMYFUNCTION("""COMPUTED_VALUE"""),"Mind &amp; Control")</f>
        <v>Mind &amp; Control</v>
      </c>
      <c r="H23" s="2" t="str">
        <f ca="1">IFERROR(__xludf.DUMMYFUNCTION("""COMPUTED_VALUE"""),"Sex can get pretty extreme in a world of sex demons, more so than normal people are probably equipped to handle. After sex, you can cuddle and whisper affectionate statements to your sex partner, which is guaranteed not only to increase your emotional clo"&amp;"seness with your partner, but help heal any emotional or physical wounds they may be facing as a consequence of sex, mend minds that have been broken, and smooth over any resentment over their treatment (so long as the sex was consensual). 
Because we kn"&amp;"ow what a lot of you are like, you can expand outside what’s appropriate to the setting at the cost of CP at any time you could purchase a perk. You can spend an additional 100 CP for it to smooth over resentment even in regards non-consensual sex, and wh"&amp;"en you mend their broken minds, you can additionally slightly nudge their personality or thought patterns in a direction of your choosing. For a further 200 CP, you can use sex to smooth over resentment for non-sexual actions you’ve performed, and can out"&amp;"right alter facets of their personality or give them entirely new thoughts and ideas of your choosing. For another 200 CP, you are able to completely rewrite their personalities and memories via sex.")</f>
        <v>Sex can get pretty extreme in a world of sex demons, more so than normal people are probably equipped to handle. After sex, you can cuddle and whisper affectionate statements to your sex partner, which is guaranteed not only to increase your emotional closeness with your partner, but help heal any emotional or physical wounds they may be facing as a consequence of sex, mend minds that have been broken, and smooth over any resentment over their treatment (so long as the sex was consensual). 
Because we know what a lot of you are like, you can expand outside what’s appropriate to the setting at the cost of CP at any time you could purchase a perk. You can spend an additional 100 CP for it to smooth over resentment even in regards non-consensual sex, and when you mend their broken minds, you can additionally slightly nudge their personality or thought patterns in a direction of your choosing. For a further 200 CP, you can use sex to smooth over resentment for non-sexual actions you’ve performed, and can outright alter facets of their personality or give them entirely new thoughts and ideas of your choosing. For another 200 CP, you are able to completely rewrite their personalities and memories via sex.</v>
      </c>
      <c r="I23" s="5"/>
    </row>
    <row r="24" spans="1:9" ht="52.2" x14ac:dyDescent="0.25">
      <c r="A24" s="16"/>
      <c r="B24" s="17">
        <v>20</v>
      </c>
      <c r="C24" s="2" t="b">
        <f ca="1">IFERROR(__xludf.DUMMYFUNCTION("""COMPUTED_VALUE"""),FALSE)</f>
        <v>0</v>
      </c>
      <c r="D24" s="2">
        <f ca="1">IFERROR(__xludf.DUMMYFUNCTION("""COMPUTED_VALUE"""),100)</f>
        <v>100</v>
      </c>
      <c r="E24" s="2" t="str">
        <f ca="1">IFERROR(__xludf.DUMMYFUNCTION("""COMPUTED_VALUE"""),"Air of Authority")</f>
        <v>Air of Authority</v>
      </c>
      <c r="F24" s="2" t="str">
        <f ca="1">IFERROR(__xludf.DUMMYFUNCTION("""COMPUTED_VALUE"""),"Futadom World")</f>
        <v>Futadom World</v>
      </c>
      <c r="G24" s="2" t="str">
        <f ca="1">IFERROR(__xludf.DUMMYFUNCTION("""COMPUTED_VALUE"""),"Mind &amp; Control")</f>
        <v>Mind &amp; Control</v>
      </c>
      <c r="H24" s="2" t="str">
        <f ca="1">IFERROR(__xludf.DUMMYFUNCTION("""COMPUTED_VALUE"""),"Futas are on top for a reason, and you are a walking embodiment of that reason. Everyone around you instinctively recognizes you as someone to be respected and feared in equal measure, and you know exactly how to put your intimidating aura to good use.")</f>
        <v>Futas are on top for a reason, and you are a walking embodiment of that reason. Everyone around you instinctively recognizes you as someone to be respected and feared in equal measure, and you know exactly how to put your intimidating aura to good use.</v>
      </c>
      <c r="I24" s="5"/>
    </row>
    <row r="25" spans="1:9" ht="174" x14ac:dyDescent="0.25">
      <c r="A25" s="16"/>
      <c r="B25" s="17">
        <v>21</v>
      </c>
      <c r="C25" s="2" t="b">
        <f ca="1">IFERROR(__xludf.DUMMYFUNCTION("""COMPUTED_VALUE"""),FALSE)</f>
        <v>0</v>
      </c>
      <c r="D25" s="2">
        <f ca="1">IFERROR(__xludf.DUMMYFUNCTION("""COMPUTED_VALUE"""),100)</f>
        <v>100</v>
      </c>
      <c r="E25" s="2" t="str">
        <f ca="1">IFERROR(__xludf.DUMMYFUNCTION("""COMPUTED_VALUE"""),"Alter Ego")</f>
        <v>Alter Ego</v>
      </c>
      <c r="F25" s="2" t="str">
        <f ca="1">IFERROR(__xludf.DUMMYFUNCTION("""COMPUTED_VALUE"""),"Fate/Horse Order")</f>
        <v>Fate/Horse Order</v>
      </c>
      <c r="G25" s="2" t="str">
        <f ca="1">IFERROR(__xludf.DUMMYFUNCTION("""COMPUTED_VALUE"""),"Mind &amp; Control")</f>
        <v>Mind &amp; Control</v>
      </c>
      <c r="H25" s="2" t="str">
        <f ca="1">IFERROR(__xludf.DUMMYFUNCTION("""COMPUTED_VALUE"""),"Have you ever heard the phrase 'you are your own worst enemy'? Well, for you it's at least partially true. See, normally this would never happen, but here in Chaldea we have, like, thirteen different versions of King Arthur. Anyways, while things probably"&amp;" aren't quite that weird for you, there's still the chance that you'll meet another version of you, or someone wearing the same face as you. And when they do, you're going to be in charge. Clones, copies, Pseudo Servants with the same host as you, AI base"&amp;"d on said host, versions of you from an alternate timeline, all of them will see you and recognize you as the original. Possibly the bestest big sister as well, depending on how you treat them. Speaking of that, it's also incredibly easy for you to drag t"&amp;"hem into things or share your fetishes with them. By force if necessary, they either can't or won't be able to lift a finger to stop you.")</f>
        <v>Have you ever heard the phrase 'you are your own worst enemy'? Well, for you it's at least partially true. See, normally this would never happen, but here in Chaldea we have, like, thirteen different versions of King Arthur. Anyways, while things probably aren't quite that weird for you, there's still the chance that you'll meet another version of you, or someone wearing the same face as you. And when they do, you're going to be in charge. Clones, copies, Pseudo Servants with the same host as you, AI based on said host, versions of you from an alternate timeline, all of them will see you and recognize you as the original. Possibly the bestest big sister as well, depending on how you treat them. Speaking of that, it's also incredibly easy for you to drag them into things or share your fetishes with them. By force if necessary, they either can't or won't be able to lift a finger to stop you.</v>
      </c>
      <c r="I25" s="5"/>
    </row>
    <row r="26" spans="1:9" ht="121.8" x14ac:dyDescent="0.25">
      <c r="A26" s="16"/>
      <c r="B26" s="17">
        <v>22</v>
      </c>
      <c r="C26" s="2" t="b">
        <f ca="1">IFERROR(__xludf.DUMMYFUNCTION("""COMPUTED_VALUE"""),FALSE)</f>
        <v>0</v>
      </c>
      <c r="D26" s="2">
        <f ca="1">IFERROR(__xludf.DUMMYFUNCTION("""COMPUTED_VALUE"""),100)</f>
        <v>100</v>
      </c>
      <c r="E26" s="2" t="str">
        <f ca="1">IFERROR(__xludf.DUMMYFUNCTION("""COMPUTED_VALUE"""),"Another Day Another Dick")</f>
        <v>Another Day Another Dick</v>
      </c>
      <c r="F26" s="2" t="str">
        <f ca="1">IFERROR(__xludf.DUMMYFUNCTION("""COMPUTED_VALUE"""),"Submission Sailor Moon")</f>
        <v>Submission Sailor Moon</v>
      </c>
      <c r="G26" s="2" t="str">
        <f ca="1">IFERROR(__xludf.DUMMYFUNCTION("""COMPUTED_VALUE"""),"Mind &amp; Control")</f>
        <v>Mind &amp; Control</v>
      </c>
      <c r="H26" s="2" t="str">
        <f ca="1">IFERROR(__xludf.DUMMYFUNCTION("""COMPUTED_VALUE"""),"Sure getting raped is humiliating and all but is it worse than all the times you’ve died to save the world? You have a battle-hardened mentality, and things that would traumatize a normal person like spending your teenage years fighting monsters for the f"&amp;"ate of the world just slides right off of you instead of sticking around and making you miserable long after the fact. Even in the worst case scenario you could laugh off being raped or almost killed and be back to normal after a good night’s sleep. Bette"&amp;"r still, you can share this perk’s effects with your friends so long as you’re there to help them deal with their own issues.")</f>
        <v>Sure getting raped is humiliating and all but is it worse than all the times you’ve died to save the world? You have a battle-hardened mentality, and things that would traumatize a normal person like spending your teenage years fighting monsters for the fate of the world just slides right off of you instead of sticking around and making you miserable long after the fact. Even in the worst case scenario you could laugh off being raped or almost killed and be back to normal after a good night’s sleep. Better still, you can share this perk’s effects with your friends so long as you’re there to help them deal with their own issues.</v>
      </c>
      <c r="I26" s="5"/>
    </row>
    <row r="27" spans="1:9" ht="139.19999999999999" x14ac:dyDescent="0.25">
      <c r="A27" s="16"/>
      <c r="B27" s="17">
        <v>23</v>
      </c>
      <c r="C27" s="2" t="b">
        <f ca="1">IFERROR(__xludf.DUMMYFUNCTION("""COMPUTED_VALUE"""),FALSE)</f>
        <v>0</v>
      </c>
      <c r="D27" s="2">
        <f ca="1">IFERROR(__xludf.DUMMYFUNCTION("""COMPUTED_VALUE"""),100)</f>
        <v>100</v>
      </c>
      <c r="E27" s="2" t="str">
        <f ca="1">IFERROR(__xludf.DUMMYFUNCTION("""COMPUTED_VALUE"""),"Assorted Basic Substances")</f>
        <v>Assorted Basic Substances</v>
      </c>
      <c r="F27" s="2" t="str">
        <f ca="1">IFERROR(__xludf.DUMMYFUNCTION("""COMPUTED_VALUE"""),"Mind Control University")</f>
        <v>Mind Control University</v>
      </c>
      <c r="G27" s="2" t="str">
        <f ca="1">IFERROR(__xludf.DUMMYFUNCTION("""COMPUTED_VALUE"""),"Mind &amp; Control")</f>
        <v>Mind &amp; Control</v>
      </c>
      <c r="H27" s="2" t="str">
        <f ca="1">IFERROR(__xludf.DUMMYFUNCTION("""COMPUTED_VALUE"""),"What sort of chemist would you be if you showed up to MCU without any useful mind-controlling chemicals? You have a large supply of substances, six doses per chemical, with each dose refilling at the end of the day. These substances include a tonic that i"&amp;"nduces a trance state in the drinker, a perfume that maximizes the wearer’s natural pheromone production, another perfume that makes the wearer appear more charming and likable, a final perfume that makes you appear as an authority figure to those around "&amp;"you, and an intravenous drug that increases neuroplasticity to a point similar to if the subject wasn’t even born yet. These perfumes can be applied all at once without reduced effect. Naturally, they cannot be stolen.")</f>
        <v>What sort of chemist would you be if you showed up to MCU without any useful mind-controlling chemicals? You have a large supply of substances, six doses per chemical, with each dose refilling at the end of the day. These substances include a tonic that induces a trance state in the drinker, a perfume that maximizes the wearer’s natural pheromone production, another perfume that makes the wearer appear more charming and likable, a final perfume that makes you appear as an authority figure to those around you, and an intravenous drug that increases neuroplasticity to a point similar to if the subject wasn’t even born yet. These perfumes can be applied all at once without reduced effect. Naturally, they cannot be stolen.</v>
      </c>
      <c r="I27" s="5"/>
    </row>
    <row r="28" spans="1:9" ht="121.8" x14ac:dyDescent="0.25">
      <c r="A28" s="16"/>
      <c r="B28" s="17">
        <v>24</v>
      </c>
      <c r="C28" s="2" t="b">
        <f ca="1">IFERROR(__xludf.DUMMYFUNCTION("""COMPUTED_VALUE"""),FALSE)</f>
        <v>0</v>
      </c>
      <c r="D28" s="2">
        <f ca="1">IFERROR(__xludf.DUMMYFUNCTION("""COMPUTED_VALUE"""),100)</f>
        <v>100</v>
      </c>
      <c r="E28" s="2" t="str">
        <f ca="1">IFERROR(__xludf.DUMMYFUNCTION("""COMPUTED_VALUE"""),"Attendance Record")</f>
        <v>Attendance Record</v>
      </c>
      <c r="F28" s="2" t="str">
        <f ca="1">IFERROR(__xludf.DUMMYFUNCTION("""COMPUTED_VALUE"""),"Kamikaze Kommittee Ouka")</f>
        <v>Kamikaze Kommittee Ouka</v>
      </c>
      <c r="G28" s="2" t="str">
        <f ca="1">IFERROR(__xludf.DUMMYFUNCTION("""COMPUTED_VALUE"""),"Mind &amp; Control")</f>
        <v>Mind &amp; Control</v>
      </c>
      <c r="H28" s="2" t="str">
        <f ca="1">IFERROR(__xludf.DUMMYFUNCTION("""COMPUTED_VALUE"""),"A proper student needs to go to class, but you’re not exactly a proper student, are you? With this, you can skip classes or appointments and not be penalized for the act. Heck, you’ll even be provided acceptable excuses for not attending. After all, getti"&amp;"ng into a fight with a thug trying to rape or beat you is perfectly acceptable.
Yes, this will adapt to your circumstances if you're not a student, so long as the place you're meant to be 'attending' is some kind of institution like a place of work.")</f>
        <v>A proper student needs to go to class, but you’re not exactly a proper student, are you? With this, you can skip classes or appointments and not be penalized for the act. Heck, you’ll even be provided acceptable excuses for not attending. After all, getting into a fight with a thug trying to rape or beat you is perfectly acceptable.
Yes, this will adapt to your circumstances if you're not a student, so long as the place you're meant to be 'attending' is some kind of institution like a place of work.</v>
      </c>
      <c r="I28" s="5"/>
    </row>
    <row r="29" spans="1:9" ht="104.4" x14ac:dyDescent="0.25">
      <c r="A29" s="16"/>
      <c r="B29" s="17">
        <v>25</v>
      </c>
      <c r="C29" s="2" t="b">
        <f ca="1">IFERROR(__xludf.DUMMYFUNCTION("""COMPUTED_VALUE"""),FALSE)</f>
        <v>0</v>
      </c>
      <c r="D29" s="2">
        <f ca="1">IFERROR(__xludf.DUMMYFUNCTION("""COMPUTED_VALUE"""),100)</f>
        <v>100</v>
      </c>
      <c r="E29" s="2" t="str">
        <f ca="1">IFERROR(__xludf.DUMMYFUNCTION("""COMPUTED_VALUE"""),"Balls of Steel")</f>
        <v>Balls of Steel</v>
      </c>
      <c r="F29" s="2" t="str">
        <f ca="1">IFERROR(__xludf.DUMMYFUNCTION("""COMPUTED_VALUE"""),"Generic: Hentai World")</f>
        <v>Generic: Hentai World</v>
      </c>
      <c r="G29" s="2" t="str">
        <f ca="1">IFERROR(__xludf.DUMMYFUNCTION("""COMPUTED_VALUE"""),"Mind &amp; Control")</f>
        <v>Mind &amp; Control</v>
      </c>
      <c r="H29" s="2" t="str">
        <f ca="1">IFERROR(__xludf.DUMMYFUNCTION("""COMPUTED_VALUE"""),"Knowing that a girl is only pretending that she’s not into you is one thing, but do you have the guts to step up and sweep her off her feet? Hell yeah you do! You now have a bottomless well of courage to see you through tough situations, and acting assert"&amp;"ively and confidently is second nature to you. While you can still feel fear and anxiety when the situation calls for it you can easily push those feelings aside and act with confidence and swagger, whether you’re facing down some horrible monster or prop"&amp;"ositioning the most popular girl in school in front of a crowd.")</f>
        <v>Knowing that a girl is only pretending that she’s not into you is one thing, but do you have the guts to step up and sweep her off her feet? Hell yeah you do! You now have a bottomless well of courage to see you through tough situations, and acting assertively and confidently is second nature to you. While you can still feel fear and anxiety when the situation calls for it you can easily push those feelings aside and act with confidence and swagger, whether you’re facing down some horrible monster or propositioning the most popular girl in school in front of a crowd.</v>
      </c>
      <c r="I29" s="5"/>
    </row>
    <row r="30" spans="1:9" ht="104.4" x14ac:dyDescent="0.25">
      <c r="A30" s="16"/>
      <c r="B30" s="17">
        <v>26</v>
      </c>
      <c r="C30" s="2" t="b">
        <f ca="1">IFERROR(__xludf.DUMMYFUNCTION("""COMPUTED_VALUE"""),FALSE)</f>
        <v>0</v>
      </c>
      <c r="D30" s="2">
        <f ca="1">IFERROR(__xludf.DUMMYFUNCTION("""COMPUTED_VALUE"""),100)</f>
        <v>100</v>
      </c>
      <c r="E30" s="2" t="str">
        <f ca="1">IFERROR(__xludf.DUMMYFUNCTION("""COMPUTED_VALUE"""),"Boy-san")</f>
        <v>Boy-san</v>
      </c>
      <c r="F30" s="2" t="str">
        <f ca="1">IFERROR(__xludf.DUMMYFUNCTION("""COMPUTED_VALUE"""),"How they Fap in Parallel Worlds")</f>
        <v>How they Fap in Parallel Worlds</v>
      </c>
      <c r="G30" s="2" t="str">
        <f ca="1">IFERROR(__xludf.DUMMYFUNCTION("""COMPUTED_VALUE"""),"Mind &amp; Control")</f>
        <v>Mind &amp; Control</v>
      </c>
      <c r="H30" s="2" t="str">
        <f ca="1">IFERROR(__xludf.DUMMYFUNCTION("""COMPUTED_VALUE"""),"Like the stout proprietor of the brothel, you go above and beyond in the name of professionalism. You can restrain your libido to the point that nobody would think you ever had one, even to the point of making puns as two steamy monsters go at it in front"&amp;" of you. On that note, nobody seems particularly bothered with letting you watch them in the act, and neither your stares nor running commentary will kill their lust for each other’s bodies one bit. Just make sure your means of entry wouldn’t be a cause f"&amp;"or concern in itself.")</f>
        <v>Like the stout proprietor of the brothel, you go above and beyond in the name of professionalism. You can restrain your libido to the point that nobody would think you ever had one, even to the point of making puns as two steamy monsters go at it in front of you. On that note, nobody seems particularly bothered with letting you watch them in the act, and neither your stares nor running commentary will kill their lust for each other’s bodies one bit. Just make sure your means of entry wouldn’t be a cause for concern in itself.</v>
      </c>
      <c r="I30" s="5"/>
    </row>
    <row r="31" spans="1:9" ht="208.8" x14ac:dyDescent="0.25">
      <c r="A31" s="16"/>
      <c r="B31" s="17">
        <v>27</v>
      </c>
      <c r="C31" s="2" t="b">
        <f ca="1">IFERROR(__xludf.DUMMYFUNCTION("""COMPUTED_VALUE"""),FALSE)</f>
        <v>0</v>
      </c>
      <c r="D31" s="2">
        <f ca="1">IFERROR(__xludf.DUMMYFUNCTION("""COMPUTED_VALUE"""),100)</f>
        <v>100</v>
      </c>
      <c r="E31" s="2" t="str">
        <f ca="1">IFERROR(__xludf.DUMMYFUNCTION("""COMPUTED_VALUE"""),"Breast Feeder")</f>
        <v>Breast Feeder</v>
      </c>
      <c r="F31" s="2" t="str">
        <f ca="1">IFERROR(__xludf.DUMMYFUNCTION("""COMPUTED_VALUE"""),"Seikon No Qwaser")</f>
        <v>Seikon No Qwaser</v>
      </c>
      <c r="G31" s="2" t="str">
        <f ca="1">IFERROR(__xludf.DUMMYFUNCTION("""COMPUTED_VALUE"""),"Mind &amp; Control")</f>
        <v>Mind &amp; Control</v>
      </c>
      <c r="H31" s="2" t="str">
        <f ca="1">IFERROR(__xludf.DUMMYFUNCTION("""COMPUTED_VALUE"""),"Sometimes, when the chips are down, you don’t have the luxury of taking a break from a fight to properly refuel yourself. Sometimes the girl you would otherwise fill up with is hours away across town. Sometimes you just gotta do what you gotta do. In thos"&amp;"e life or death situations you get a supernatural sense of the next closest Soma-producing bust you can reach, and the ability to swiftly, and pleasantly, suck that woman dry in short order. As long as you genuinely need it, and the situation should be qu"&amp;"ite obvious if you do, you won’t be on the receiving end of hard feelings or animosity.
As it is quite likely that there won't be any women around that naturally produce Soma (though there is a perk for that) this perk ensures that you will still regain "&amp;"a limited amount of mana/chi/chakra or other power fuel when drinking breast milk. This works even when the 'emergency' status does not apply.")</f>
        <v>Sometimes, when the chips are down, you don’t have the luxury of taking a break from a fight to properly refuel yourself. Sometimes the girl you would otherwise fill up with is hours away across town. Sometimes you just gotta do what you gotta do. In those life or death situations you get a supernatural sense of the next closest Soma-producing bust you can reach, and the ability to swiftly, and pleasantly, suck that woman dry in short order. As long as you genuinely need it, and the situation should be quite obvious if you do, you won’t be on the receiving end of hard feelings or animosity.
As it is quite likely that there won't be any women around that naturally produce Soma (though there is a perk for that) this perk ensures that you will still regain a limited amount of mana/chi/chakra or other power fuel when drinking breast milk. This works even when the 'emergency' status does not apply.</v>
      </c>
      <c r="I31" s="5"/>
    </row>
    <row r="32" spans="1:9" ht="69.599999999999994" x14ac:dyDescent="0.25">
      <c r="A32" s="16"/>
      <c r="B32" s="17">
        <v>28</v>
      </c>
      <c r="C32" s="2" t="b">
        <f ca="1">IFERROR(__xludf.DUMMYFUNCTION("""COMPUTED_VALUE"""),FALSE)</f>
        <v>0</v>
      </c>
      <c r="D32" s="2">
        <f ca="1">IFERROR(__xludf.DUMMYFUNCTION("""COMPUTED_VALUE"""),100)</f>
        <v>100</v>
      </c>
      <c r="E32" s="2" t="str">
        <f ca="1">IFERROR(__xludf.DUMMYFUNCTION("""COMPUTED_VALUE"""),"Breath of Fresh Air")</f>
        <v>Breath of Fresh Air</v>
      </c>
      <c r="F32" s="2" t="str">
        <f ca="1">IFERROR(__xludf.DUMMYFUNCTION("""COMPUTED_VALUE"""),"Aki-Akane")</f>
        <v>Aki-Akane</v>
      </c>
      <c r="G32" s="2" t="str">
        <f ca="1">IFERROR(__xludf.DUMMYFUNCTION("""COMPUTED_VALUE"""),"Mind &amp; Control")</f>
        <v>Mind &amp; Control</v>
      </c>
      <c r="H32" s="2" t="str">
        <f ca="1">IFERROR(__xludf.DUMMYFUNCTION("""COMPUTED_VALUE"""),"Love is in the air! Or maybe that’s you sniffing armpits and assholes. Look, I may not like them myself but I’m not going to judge you. Anyways, you’ve got a special someone. You know who they are. And when they’re nearby, the whole world just seems a lit"&amp;"tle brighter. Your hysterics dwindle down, your wounds hurt less, and you sleep better, so long as they’re next to you.")</f>
        <v>Love is in the air! Or maybe that’s you sniffing armpits and assholes. Look, I may not like them myself but I’m not going to judge you. Anyways, you’ve got a special someone. You know who they are. And when they’re nearby, the whole world just seems a little brighter. Your hysterics dwindle down, your wounds hurt less, and you sleep better, so long as they’re next to you.</v>
      </c>
      <c r="I32" s="5"/>
    </row>
    <row r="33" spans="1:9" ht="69.599999999999994" x14ac:dyDescent="0.25">
      <c r="A33" s="16"/>
      <c r="B33" s="17">
        <v>29</v>
      </c>
      <c r="C33" s="2" t="b">
        <f ca="1">IFERROR(__xludf.DUMMYFUNCTION("""COMPUTED_VALUE"""),FALSE)</f>
        <v>0</v>
      </c>
      <c r="D33" s="2">
        <f ca="1">IFERROR(__xludf.DUMMYFUNCTION("""COMPUTED_VALUE"""),100)</f>
        <v>100</v>
      </c>
      <c r="E33" s="2" t="str">
        <f ca="1">IFERROR(__xludf.DUMMYFUNCTION("""COMPUTED_VALUE"""),"Calming Drug")</f>
        <v>Calming Drug</v>
      </c>
      <c r="F33" s="2" t="str">
        <f ca="1">IFERROR(__xludf.DUMMYFUNCTION("""COMPUTED_VALUE"""),"Magical Girl Celesphonia")</f>
        <v>Magical Girl Celesphonia</v>
      </c>
      <c r="G33" s="2" t="str">
        <f ca="1">IFERROR(__xludf.DUMMYFUNCTION("""COMPUTED_VALUE"""),"Mind &amp; Control")</f>
        <v>Mind &amp; Control</v>
      </c>
      <c r="H33" s="2" t="str">
        <f ca="1">IFERROR(__xludf.DUMMYFUNCTION("""COMPUTED_VALUE"""),"These vials of pale blue liquid are guaranteed to calm the ardor of their drinker even if they’re surrounded in aphrodisiac mist and engraved with some kind of lewd curse crest. Of course, that likely won’t last very long in the latter case but every bit "&amp;"helps. You get three of these vials and they’ll restore themselves at the end of the week.")</f>
        <v>These vials of pale blue liquid are guaranteed to calm the ardor of their drinker even if they’re surrounded in aphrodisiac mist and engraved with some kind of lewd curse crest. Of course, that likely won’t last very long in the latter case but every bit helps. You get three of these vials and they’ll restore themselves at the end of the week.</v>
      </c>
      <c r="I33" s="5"/>
    </row>
    <row r="34" spans="1:9" ht="139.19999999999999" x14ac:dyDescent="0.25">
      <c r="A34" s="16"/>
      <c r="B34" s="17">
        <v>30</v>
      </c>
      <c r="C34" s="2" t="b">
        <f ca="1">IFERROR(__xludf.DUMMYFUNCTION("""COMPUTED_VALUE"""),FALSE)</f>
        <v>0</v>
      </c>
      <c r="D34" s="2">
        <f ca="1">IFERROR(__xludf.DUMMYFUNCTION("""COMPUTED_VALUE"""),100)</f>
        <v>100</v>
      </c>
      <c r="E34" s="2" t="str">
        <f ca="1">IFERROR(__xludf.DUMMYFUNCTION("""COMPUTED_VALUE"""),"Changing Preferences")</f>
        <v>Changing Preferences</v>
      </c>
      <c r="F34" s="2" t="str">
        <f ca="1">IFERROR(__xludf.DUMMYFUNCTION("""COMPUTED_VALUE"""),"Generic: Hentai World")</f>
        <v>Generic: Hentai World</v>
      </c>
      <c r="G34" s="2" t="str">
        <f ca="1">IFERROR(__xludf.DUMMYFUNCTION("""COMPUTED_VALUE"""),"Mind &amp; Control")</f>
        <v>Mind &amp; Control</v>
      </c>
      <c r="H34" s="2" t="str">
        <f ca="1">IFERROR(__xludf.DUMMYFUNCTION("""COMPUTED_VALUE"""),"Ever wondered what it's like to play for the other team? Or for both sides? Or to get passed around in the dugout? Well, wonder no more! On purchase and once a year afterwards, you can completely alter your sexual preferences, libido, fetishes, and simila"&amp;"r to something of your design. These changes are as immutable or changeable as the rest of your personality, but will never impede your willingness to use this perk (i.e. making yourself hardwired to only find pleasure in, for example, big bootied latina "&amp;"girls won't stop you from considering changing that). Feel free to adjust yourself as you please and carve out weird exceptions for yourself, like becoming gay except for your current partners, or finding anyone whose name starts with the letter G excepti"&amp;"onally hot.")</f>
        <v>Ever wondered what it's like to play for the other team? Or for both sides? Or to get passed around in the dugout? Well, wonder no more! On purchase and once a year afterwards, you can completely alter your sexual preferences, libido, fetishes, and similar to something of your design. These changes are as immutable or changeable as the rest of your personality, but will never impede your willingness to use this perk (i.e. making yourself hardwired to only find pleasure in, for example, big bootied latina girls won't stop you from considering changing that). Feel free to adjust yourself as you please and carve out weird exceptions for yourself, like becoming gay except for your current partners, or finding anyone whose name starts with the letter G exceptionally hot.</v>
      </c>
      <c r="I34" s="5"/>
    </row>
    <row r="35" spans="1:9" ht="52.2" x14ac:dyDescent="0.25">
      <c r="A35" s="16"/>
      <c r="B35" s="17">
        <v>31</v>
      </c>
      <c r="C35" s="2" t="b">
        <f ca="1">IFERROR(__xludf.DUMMYFUNCTION("""COMPUTED_VALUE"""),FALSE)</f>
        <v>0</v>
      </c>
      <c r="D35" s="2">
        <f ca="1">IFERROR(__xludf.DUMMYFUNCTION("""COMPUTED_VALUE"""),100)</f>
        <v>100</v>
      </c>
      <c r="E35" s="2" t="str">
        <f ca="1">IFERROR(__xludf.DUMMYFUNCTION("""COMPUTED_VALUE"""),"Chaos Makes Me Horny")</f>
        <v>Chaos Makes Me Horny</v>
      </c>
      <c r="F35" s="2" t="str">
        <f ca="1">IFERROR(__xludf.DUMMYFUNCTION("""COMPUTED_VALUE"""),"Generic: Virgin")</f>
        <v>Generic: Virgin</v>
      </c>
      <c r="G35" s="2" t="str">
        <f ca="1">IFERROR(__xludf.DUMMYFUNCTION("""COMPUTED_VALUE"""),"Mind &amp; Control")</f>
        <v>Mind &amp; Control</v>
      </c>
      <c r="H35" s="2" t="str">
        <f ca="1">IFERROR(__xludf.DUMMYFUNCTION("""COMPUTED_VALUE"""),"Fear has an odd effect on you. The more afraid you should be, the more aroused and excited you get instead. This does not stop you from recognizing danger, but it can certainly alter your response to that danger. You will never freeze up because of these "&amp;"feelings.")</f>
        <v>Fear has an odd effect on you. The more afraid you should be, the more aroused and excited you get instead. This does not stop you from recognizing danger, but it can certainly alter your response to that danger. You will never freeze up because of these feelings.</v>
      </c>
      <c r="I35" s="5"/>
    </row>
    <row r="36" spans="1:9" ht="191.4" x14ac:dyDescent="0.25">
      <c r="A36" s="16"/>
      <c r="B36" s="17">
        <v>32</v>
      </c>
      <c r="C36" s="2" t="b">
        <f ca="1">IFERROR(__xludf.DUMMYFUNCTION("""COMPUTED_VALUE"""),FALSE)</f>
        <v>0</v>
      </c>
      <c r="D36" s="2">
        <f ca="1">IFERROR(__xludf.DUMMYFUNCTION("""COMPUTED_VALUE"""),100)</f>
        <v>100</v>
      </c>
      <c r="E36" s="2" t="str">
        <f ca="1">IFERROR(__xludf.DUMMYFUNCTION("""COMPUTED_VALUE"""),"Chivalrous Pervert")</f>
        <v>Chivalrous Pervert</v>
      </c>
      <c r="F36" s="2" t="str">
        <f ca="1">IFERROR(__xludf.DUMMYFUNCTION("""COMPUTED_VALUE"""),"Breathless Wild")</f>
        <v>Breathless Wild</v>
      </c>
      <c r="G36" s="2" t="str">
        <f ca="1">IFERROR(__xludf.DUMMYFUNCTION("""COMPUTED_VALUE"""),"Mind &amp; Control")</f>
        <v>Mind &amp; Control</v>
      </c>
      <c r="H36" s="2" t="str">
        <f ca="1">IFERROR(__xludf.DUMMYFUNCTION("""COMPUTED_VALUE"""),"Few of Hyrule’s adventurers are entirely pure of heart. Some are motivated by lust or greed more than the desire to help others but they’re no less respected for their heroism. People are very willing to forgive and forget a lot of naughty behavior on you"&amp;"r part, and even if you have a bit of a rotten personality you’ll never be short on friends, admirers, or love interests. Being a sassy jerk or a crude pervert does little or nothing to damage your relationships or your heroic reputation, and so long as y"&amp;"ou broadly act in a heroic manner you could even get away with something like openly keeping sex slaves as traveling companions without anybody raising an eyebrow. This is especially true regarding your treatment of evildoers: if you defeat a wicked sorce"&amp;"ress and decide she should pay for her crimes by becoming your sex slave then nobody will give it a second thought. But take heed, “hero”: this immunity has its limits, and should you indulge in truly monstrous behavior you’ll find your heroic status revo"&amp;"ked and this protection invalidated.")</f>
        <v>Few of Hyrule’s adventurers are entirely pure of heart. Some are motivated by lust or greed more than the desire to help others but they’re no less respected for their heroism. People are very willing to forgive and forget a lot of naughty behavior on your part, and even if you have a bit of a rotten personality you’ll never be short on friends, admirers, or love interests. Being a sassy jerk or a crude pervert does little or nothing to damage your relationships or your heroic reputation, and so long as you broadly act in a heroic manner you could even get away with something like openly keeping sex slaves as traveling companions without anybody raising an eyebrow. This is especially true regarding your treatment of evildoers: if you defeat a wicked sorceress and decide she should pay for her crimes by becoming your sex slave then nobody will give it a second thought. But take heed, “hero”: this immunity has its limits, and should you indulge in truly monstrous behavior you’ll find your heroic status revoked and this protection invalidated.</v>
      </c>
      <c r="I36" s="5"/>
    </row>
    <row r="37" spans="1:9" ht="121.8" x14ac:dyDescent="0.25">
      <c r="A37" s="16"/>
      <c r="B37" s="17">
        <v>33</v>
      </c>
      <c r="C37" s="2" t="b">
        <f ca="1">IFERROR(__xludf.DUMMYFUNCTION("""COMPUTED_VALUE"""),FALSE)</f>
        <v>0</v>
      </c>
      <c r="D37" s="2">
        <f ca="1">IFERROR(__xludf.DUMMYFUNCTION("""COMPUTED_VALUE"""),100)</f>
        <v>100</v>
      </c>
      <c r="E37" s="2" t="str">
        <f ca="1">IFERROR(__xludf.DUMMYFUNCTION("""COMPUTED_VALUE"""),"Continue the Lesson")</f>
        <v>Continue the Lesson</v>
      </c>
      <c r="F37" s="2" t="str">
        <f ca="1">IFERROR(__xludf.DUMMYFUNCTION("""COMPUTED_VALUE"""),"Lewd Virus")</f>
        <v>Lewd Virus</v>
      </c>
      <c r="G37" s="2" t="str">
        <f ca="1">IFERROR(__xludf.DUMMYFUNCTION("""COMPUTED_VALUE"""),"Mind &amp; Control")</f>
        <v>Mind &amp; Control</v>
      </c>
      <c r="H37" s="2" t="str">
        <f ca="1">IFERROR(__xludf.DUMMYFUNCTION("""COMPUTED_VALUE"""),"Infected men are expected to rail infected women whenever and wherever they are found, but sometimes—oftentimes—said woman has a job to do. You gain the ability to remain focused on a task no matter your mental condition, allowing you to continue to perfo"&amp;"rm at a normal level regardless of how tired you are, how aroused you are, or how obsessed your thoughts have become with the overwhelming pleasure of your womb surrendering to the cock. You could be fucked in the middle of class and keep teaching like no"&amp;"rmal, or get railed while driving a bus with no loss in performance.")</f>
        <v>Infected men are expected to rail infected women whenever and wherever they are found, but sometimes—oftentimes—said woman has a job to do. You gain the ability to remain focused on a task no matter your mental condition, allowing you to continue to perform at a normal level regardless of how tired you are, how aroused you are, or how obsessed your thoughts have become with the overwhelming pleasure of your womb surrendering to the cock. You could be fucked in the middle of class and keep teaching like normal, or get railed while driving a bus with no loss in performance.</v>
      </c>
      <c r="I37" s="5"/>
    </row>
    <row r="38" spans="1:9" ht="52.2" x14ac:dyDescent="0.25">
      <c r="A38" s="16"/>
      <c r="B38" s="17">
        <v>34</v>
      </c>
      <c r="C38" s="2" t="b">
        <f ca="1">IFERROR(__xludf.DUMMYFUNCTION("""COMPUTED_VALUE"""),FALSE)</f>
        <v>0</v>
      </c>
      <c r="D38" s="2">
        <f ca="1">IFERROR(__xludf.DUMMYFUNCTION("""COMPUTED_VALUE"""),100)</f>
        <v>100</v>
      </c>
      <c r="E38" s="2" t="str">
        <f ca="1">IFERROR(__xludf.DUMMYFUNCTION("""COMPUTED_VALUE"""),"Danger Close")</f>
        <v>Danger Close</v>
      </c>
      <c r="F38" s="2" t="str">
        <f ca="1">IFERROR(__xludf.DUMMYFUNCTION("""COMPUTED_VALUE"""),"Zakuro Shoukougun")</f>
        <v>Zakuro Shoukougun</v>
      </c>
      <c r="G38" s="2" t="str">
        <f ca="1">IFERROR(__xludf.DUMMYFUNCTION("""COMPUTED_VALUE"""),"Mind &amp; Control")</f>
        <v>Mind &amp; Control</v>
      </c>
      <c r="H38" s="2" t="str">
        <f ca="1">IFERROR(__xludf.DUMMYFUNCTION("""COMPUTED_VALUE"""),"You are very good at figuring out when a girl is about to succumb to Pomegranate Syndrome (or other mind-altering effects) right before it happens. This will give you enough time to warn people to evacuate and prepare yourself at least.")</f>
        <v>You are very good at figuring out when a girl is about to succumb to Pomegranate Syndrome (or other mind-altering effects) right before it happens. This will give you enough time to warn people to evacuate and prepare yourself at least.</v>
      </c>
      <c r="I38" s="5"/>
    </row>
    <row r="39" spans="1:9" ht="104.4" x14ac:dyDescent="0.25">
      <c r="A39" s="16"/>
      <c r="B39" s="17">
        <v>35</v>
      </c>
      <c r="C39" s="2" t="b">
        <f ca="1">IFERROR(__xludf.DUMMYFUNCTION("""COMPUTED_VALUE"""),FALSE)</f>
        <v>0</v>
      </c>
      <c r="D39" s="2">
        <f ca="1">IFERROR(__xludf.DUMMYFUNCTION("""COMPUTED_VALUE"""),100)</f>
        <v>100</v>
      </c>
      <c r="E39" s="2" t="str">
        <f ca="1">IFERROR(__xludf.DUMMYFUNCTION("""COMPUTED_VALUE"""),"Dazzling Wear")</f>
        <v>Dazzling Wear</v>
      </c>
      <c r="F39" s="2" t="str">
        <f ca="1">IFERROR(__xludf.DUMMYFUNCTION("""COMPUTED_VALUE"""),"Paccsu")</f>
        <v>Paccsu</v>
      </c>
      <c r="G39" s="2" t="str">
        <f ca="1">IFERROR(__xludf.DUMMYFUNCTION("""COMPUTED_VALUE"""),"Mind &amp; Control")</f>
        <v>Mind &amp; Control</v>
      </c>
      <c r="H39" s="2" t="str">
        <f ca="1">IFERROR(__xludf.DUMMYFUNCTION("""COMPUTED_VALUE"""),"Taking the form of traditional Clan Tiss'i wear, along with some high quality jewelry, this outfit heavily exposes and accentuates your chest and is highly resistant to everyday wear and tear. Also when worn this outfit imposes a sense of inferiority into"&amp;" those around you, similar to when a noble walks down a street with commoners on it. The main benefit from this is that people, specifically those with little to no authority, will tend to subconsciously go with your minor whims, doing things like moving "&amp;"out of the way, giving up their seat, etc.")</f>
        <v>Taking the form of traditional Clan Tiss'i wear, along with some high quality jewelry, this outfit heavily exposes and accentuates your chest and is highly resistant to everyday wear and tear. Also when worn this outfit imposes a sense of inferiority into those around you, similar to when a noble walks down a street with commoners on it. The main benefit from this is that people, specifically those with little to no authority, will tend to subconsciously go with your minor whims, doing things like moving out of the way, giving up their seat, etc.</v>
      </c>
      <c r="I39" s="5"/>
    </row>
    <row r="40" spans="1:9" ht="121.8" x14ac:dyDescent="0.25">
      <c r="A40" s="16"/>
      <c r="B40" s="17">
        <v>36</v>
      </c>
      <c r="C40" s="2" t="b">
        <f ca="1">IFERROR(__xludf.DUMMYFUNCTION("""COMPUTED_VALUE"""),FALSE)</f>
        <v>0</v>
      </c>
      <c r="D40" s="2">
        <f ca="1">IFERROR(__xludf.DUMMYFUNCTION("""COMPUTED_VALUE"""),100)</f>
        <v>100</v>
      </c>
      <c r="E40" s="2" t="str">
        <f ca="1">IFERROR(__xludf.DUMMYFUNCTION("""COMPUTED_VALUE"""),"Dirty Girl")</f>
        <v>Dirty Girl</v>
      </c>
      <c r="F40" s="2" t="str">
        <f ca="1">IFERROR(__xludf.DUMMYFUNCTION("""COMPUTED_VALUE"""),"Submission Sailor Moon")</f>
        <v>Submission Sailor Moon</v>
      </c>
      <c r="G40" s="2" t="str">
        <f ca="1">IFERROR(__xludf.DUMMYFUNCTION("""COMPUTED_VALUE"""),"Mind &amp; Control")</f>
        <v>Mind &amp; Control</v>
      </c>
      <c r="H40" s="2" t="str">
        <f ca="1">IFERROR(__xludf.DUMMYFUNCTION("""COMPUTED_VALUE"""),"Just because you’ve volunteered to be magical rape bait for a decade doesn’t mean you have to have a bad time, because now even the most selfish lover or brutal rapist will somehow end up adjusting their pace to match your preferences. They’re not necessa"&amp;"rily being considerate lovers or anything, they might just want to feel smug and superior about it when they make you cum, but they will always show you a great time if you’re in the mood to let them have their way with you. What they do after that is sti"&amp;"ll up to them though, so try not to fall for someone who wants to use you to take over the world or something.")</f>
        <v>Just because you’ve volunteered to be magical rape bait for a decade doesn’t mean you have to have a bad time, because now even the most selfish lover or brutal rapist will somehow end up adjusting their pace to match your preferences. They’re not necessarily being considerate lovers or anything, they might just want to feel smug and superior about it when they make you cum, but they will always show you a great time if you’re in the mood to let them have their way with you. What they do after that is still up to them though, so try not to fall for someone who wants to use you to take over the world or something.</v>
      </c>
      <c r="I40" s="5"/>
    </row>
    <row r="41" spans="1:9" ht="121.8" x14ac:dyDescent="0.25">
      <c r="A41" s="16"/>
      <c r="B41" s="17">
        <v>37</v>
      </c>
      <c r="C41" s="2" t="b">
        <f ca="1">IFERROR(__xludf.DUMMYFUNCTION("""COMPUTED_VALUE"""),FALSE)</f>
        <v>0</v>
      </c>
      <c r="D41" s="2">
        <f ca="1">IFERROR(__xludf.DUMMYFUNCTION("""COMPUTED_VALUE"""),100)</f>
        <v>100</v>
      </c>
      <c r="E41" s="2" t="str">
        <f ca="1">IFERROR(__xludf.DUMMYFUNCTION("""COMPUTED_VALUE"""),"Dog and Pony Show")</f>
        <v>Dog and Pony Show</v>
      </c>
      <c r="F41" s="2" t="str">
        <f ca="1">IFERROR(__xludf.DUMMYFUNCTION("""COMPUTED_VALUE"""),"Fate/Horse Order")</f>
        <v>Fate/Horse Order</v>
      </c>
      <c r="G41" s="2" t="str">
        <f ca="1">IFERROR(__xludf.DUMMYFUNCTION("""COMPUTED_VALUE"""),"Mind &amp; Control")</f>
        <v>Mind &amp; Control</v>
      </c>
      <c r="H41" s="2" t="str">
        <f ca="1">IFERROR(__xludf.DUMMYFUNCTION("""COMPUTED_VALUE"""),"There’s something to be said for being forced to watch. Or rather, allowed. That is what porn is, no? Forgive me for making this pun, but you seem to have some sort of animal magnetism that inspires people to watch you rut into your new mate rather than d"&amp;"o anything to stop you. So what if their former lover has some magical tattoo that says he can order them to do anything - including teleport to his side and therefore away from you? He’s too busy watching the utter bliss on her face, or listening to the "&amp;"slaps and moans of your mating to actually think about separating the two of you. Maybe he’s even getting off on it?")</f>
        <v>There’s something to be said for being forced to watch. Or rather, allowed. That is what porn is, no? Forgive me for making this pun, but you seem to have some sort of animal magnetism that inspires people to watch you rut into your new mate rather than do anything to stop you. So what if their former lover has some magical tattoo that says he can order them to do anything - including teleport to his side and therefore away from you? He’s too busy watching the utter bliss on her face, or listening to the slaps and moans of your mating to actually think about separating the two of you. Maybe he’s even getting off on it?</v>
      </c>
      <c r="I41" s="5"/>
    </row>
    <row r="42" spans="1:9" ht="104.4" x14ac:dyDescent="0.25">
      <c r="A42" s="16"/>
      <c r="B42" s="17">
        <v>38</v>
      </c>
      <c r="C42" s="2" t="b">
        <f ca="1">IFERROR(__xludf.DUMMYFUNCTION("""COMPUTED_VALUE"""),FALSE)</f>
        <v>0</v>
      </c>
      <c r="D42" s="2">
        <f ca="1">IFERROR(__xludf.DUMMYFUNCTION("""COMPUTED_VALUE"""),100)</f>
        <v>100</v>
      </c>
      <c r="E42" s="2" t="str">
        <f ca="1">IFERROR(__xludf.DUMMYFUNCTION("""COMPUTED_VALUE"""),"Don't Touch That")</f>
        <v>Don't Touch That</v>
      </c>
      <c r="F42" s="2" t="str">
        <f ca="1">IFERROR(__xludf.DUMMYFUNCTION("""COMPUTED_VALUE"""),"Aki-Akane")</f>
        <v>Aki-Akane</v>
      </c>
      <c r="G42" s="2" t="str">
        <f ca="1">IFERROR(__xludf.DUMMYFUNCTION("""COMPUTED_VALUE"""),"Mind &amp; Control")</f>
        <v>Mind &amp; Control</v>
      </c>
      <c r="H42" s="2" t="str">
        <f ca="1">IFERROR(__xludf.DUMMYFUNCTION("""COMPUTED_VALUE"""),"While Orihime might be crazed with lust half the time, she still comes to a dead halt when confronted with the real Tatsuki, unwilling to touch her in that way without permission. Unwilling to stain the wonderful image of her friend she's built up. Thankf"&amp;"ully, Tatsuki gave her permission. But, I digress. When you want to go no further and declare your pussy off limits, people will honor that. Or a different hole, depending on your tastes. This is mostly sexual, so don't expect your teachers to stop beatin"&amp;"g you into the ground in the name of training.")</f>
        <v>While Orihime might be crazed with lust half the time, she still comes to a dead halt when confronted with the real Tatsuki, unwilling to touch her in that way without permission. Unwilling to stain the wonderful image of her friend she's built up. Thankfully, Tatsuki gave her permission. But, I digress. When you want to go no further and declare your pussy off limits, people will honor that. Or a different hole, depending on your tastes. This is mostly sexual, so don't expect your teachers to stop beating you into the ground in the name of training.</v>
      </c>
      <c r="I42" s="5"/>
    </row>
    <row r="43" spans="1:9" ht="52.2" x14ac:dyDescent="0.25">
      <c r="A43" s="16"/>
      <c r="B43" s="17">
        <v>39</v>
      </c>
      <c r="C43" s="2" t="b">
        <f ca="1">IFERROR(__xludf.DUMMYFUNCTION("""COMPUTED_VALUE"""),FALSE)</f>
        <v>0</v>
      </c>
      <c r="D43" s="2">
        <f ca="1">IFERROR(__xludf.DUMMYFUNCTION("""COMPUTED_VALUE"""),100)</f>
        <v>100</v>
      </c>
      <c r="E43" s="2" t="str">
        <f ca="1">IFERROR(__xludf.DUMMYFUNCTION("""COMPUTED_VALUE"""),"Don't Use Protection!")</f>
        <v>Don't Use Protection!</v>
      </c>
      <c r="F43" s="2" t="str">
        <f ca="1">IFERROR(__xludf.DUMMYFUNCTION("""COMPUTED_VALUE"""),"My Bride is the Demon Lord")</f>
        <v>My Bride is the Demon Lord</v>
      </c>
      <c r="G43" s="2" t="str">
        <f ca="1">IFERROR(__xludf.DUMMYFUNCTION("""COMPUTED_VALUE"""),"Mind &amp; Control")</f>
        <v>Mind &amp; Control</v>
      </c>
      <c r="H43" s="2" t="str">
        <f ca="1">IFERROR(__xludf.DUMMYFUNCTION("""COMPUTED_VALUE"""),"People seem to find the risk of having a child to be an acceptable one in exchange for the pleasure of bareback sex; if you want, they could even find the idea of having a child with you to be a thrill, turning them on even more at the hope of the two of "&amp;"you having a kid.")</f>
        <v>People seem to find the risk of having a child to be an acceptable one in exchange for the pleasure of bareback sex; if you want, they could even find the idea of having a child with you to be a thrill, turning them on even more at the hope of the two of you having a kid.</v>
      </c>
      <c r="I43" s="5"/>
    </row>
    <row r="44" spans="1:9" ht="87" x14ac:dyDescent="0.25">
      <c r="A44" s="16"/>
      <c r="B44" s="17">
        <v>40</v>
      </c>
      <c r="C44" s="2" t="b">
        <f ca="1">IFERROR(__xludf.DUMMYFUNCTION("""COMPUTED_VALUE"""),FALSE)</f>
        <v>0</v>
      </c>
      <c r="D44" s="2">
        <f ca="1">IFERROR(__xludf.DUMMYFUNCTION("""COMPUTED_VALUE"""),100)</f>
        <v>100</v>
      </c>
      <c r="E44" s="2" t="str">
        <f ca="1">IFERROR(__xludf.DUMMYFUNCTION("""COMPUTED_VALUE"""),"Dump a Load Off")</f>
        <v>Dump a Load Off</v>
      </c>
      <c r="F44" s="2" t="str">
        <f ca="1">IFERROR(__xludf.DUMMYFUNCTION("""COMPUTED_VALUE"""),"Haydee 2")</f>
        <v>Haydee 2</v>
      </c>
      <c r="G44" s="2" t="str">
        <f ca="1">IFERROR(__xludf.DUMMYFUNCTION("""COMPUTED_VALUE"""),"Mind &amp; Control")</f>
        <v>Mind &amp; Control</v>
      </c>
      <c r="H44" s="2" t="str">
        <f ca="1">IFERROR(__xludf.DUMMYFUNCTION("""COMPUTED_VALUE"""),"Masturbation and sex are now the perfect stress reliever for you with all kinds of stress, no matter the severity, along with everything resulting from it washing away with every orgasm. This also includes anxiety and nervousness, and due to the fact you'"&amp;"re more than likely going to be fucking and masturbating a lot more to get good use out of this, you also don’t have to worry about become desensitized or growing bored with sex or masturbation.")</f>
        <v>Masturbation and sex are now the perfect stress reliever for you with all kinds of stress, no matter the severity, along with everything resulting from it washing away with every orgasm. This also includes anxiety and nervousness, and due to the fact you're more than likely going to be fucking and masturbating a lot more to get good use out of this, you also don’t have to worry about become desensitized or growing bored with sex or masturbation.</v>
      </c>
      <c r="I44" s="5"/>
    </row>
    <row r="45" spans="1:9" ht="52.2" x14ac:dyDescent="0.25">
      <c r="A45" s="16"/>
      <c r="B45" s="17">
        <v>41</v>
      </c>
      <c r="C45" s="2" t="b">
        <f ca="1">IFERROR(__xludf.DUMMYFUNCTION("""COMPUTED_VALUE"""),FALSE)</f>
        <v>0</v>
      </c>
      <c r="D45" s="2">
        <f ca="1">IFERROR(__xludf.DUMMYFUNCTION("""COMPUTED_VALUE"""),100)</f>
        <v>100</v>
      </c>
      <c r="E45" s="2" t="str">
        <f ca="1">IFERROR(__xludf.DUMMYFUNCTION("""COMPUTED_VALUE"""),"Empathy")</f>
        <v>Empathy</v>
      </c>
      <c r="F45" s="2" t="str">
        <f ca="1">IFERROR(__xludf.DUMMYFUNCTION("""COMPUTED_VALUE"""),"Generic: Hentai Superheroes")</f>
        <v>Generic: Hentai Superheroes</v>
      </c>
      <c r="G45" s="2" t="str">
        <f ca="1">IFERROR(__xludf.DUMMYFUNCTION("""COMPUTED_VALUE"""),"Mind &amp; Control")</f>
        <v>Mind &amp; Control</v>
      </c>
      <c r="H45" s="2" t="str">
        <f ca="1">IFERROR(__xludf.DUMMYFUNCTION("""COMPUTED_VALUE"""),"You can sense emotions. Even better, you can project them. Calm a scared child. Project awe towards the people as you float in. Make them fear you. Make them lust for you")</f>
        <v>You can sense emotions. Even better, you can project them. Calm a scared child. Project awe towards the people as you float in. Make them fear you. Make them lust for you</v>
      </c>
      <c r="I45" s="5"/>
    </row>
    <row r="46" spans="1:9" ht="121.8" x14ac:dyDescent="0.25">
      <c r="A46" s="16"/>
      <c r="B46" s="17">
        <v>42</v>
      </c>
      <c r="C46" s="2" t="b">
        <f ca="1">IFERROR(__xludf.DUMMYFUNCTION("""COMPUTED_VALUE"""),FALSE)</f>
        <v>0</v>
      </c>
      <c r="D46" s="2">
        <f ca="1">IFERROR(__xludf.DUMMYFUNCTION("""COMPUTED_VALUE"""),100)</f>
        <v>100</v>
      </c>
      <c r="E46" s="2" t="str">
        <f ca="1">IFERROR(__xludf.DUMMYFUNCTION("""COMPUTED_VALUE"""),"Eternal Humiliation")</f>
        <v>Eternal Humiliation</v>
      </c>
      <c r="F46" s="2" t="str">
        <f ca="1">IFERROR(__xludf.DUMMYFUNCTION("""COMPUTED_VALUE"""),"The Works of Aomizuan")</f>
        <v>The Works of Aomizuan</v>
      </c>
      <c r="G46" s="2" t="str">
        <f ca="1">IFERROR(__xludf.DUMMYFUNCTION("""COMPUTED_VALUE"""),"Mind &amp; Control")</f>
        <v>Mind &amp; Control</v>
      </c>
      <c r="H46" s="2" t="str">
        <f ca="1">IFERROR(__xludf.DUMMYFUNCTION("""COMPUTED_VALUE"""),"Humiliation can be an exciting fetish. Some love to be humiliated, and some people love to humiliate others. But there’s only so many times you can be called a cow-brained meat toilet meant to guzzle cum before it gets tiring, instead of exciting. Now, yo"&amp;"u can ensure that the humiliation and embarrassment never gets old. You can freely render yourself or other people incapable of acclimating to sexual embarrassment, ensuring that even the hundredth time you fuck someone’s wife in front of them, that they’"&amp;"ll still feel just as ashamed and inferior and aroused as they did the first time.")</f>
        <v>Humiliation can be an exciting fetish. Some love to be humiliated, and some people love to humiliate others. But there’s only so many times you can be called a cow-brained meat toilet meant to guzzle cum before it gets tiring, instead of exciting. Now, you can ensure that the humiliation and embarrassment never gets old. You can freely render yourself or other people incapable of acclimating to sexual embarrassment, ensuring that even the hundredth time you fuck someone’s wife in front of them, that they’ll still feel just as ashamed and inferior and aroused as they did the first time.</v>
      </c>
      <c r="I46" s="5"/>
    </row>
    <row r="47" spans="1:9" ht="69.599999999999994" x14ac:dyDescent="0.25">
      <c r="A47" s="16"/>
      <c r="B47" s="17">
        <v>43</v>
      </c>
      <c r="C47" s="2" t="b">
        <f ca="1">IFERROR(__xludf.DUMMYFUNCTION("""COMPUTED_VALUE"""),FALSE)</f>
        <v>0</v>
      </c>
      <c r="D47" s="2">
        <f ca="1">IFERROR(__xludf.DUMMYFUNCTION("""COMPUTED_VALUE"""),100)</f>
        <v>100</v>
      </c>
      <c r="E47" s="2" t="str">
        <f ca="1">IFERROR(__xludf.DUMMYFUNCTION("""COMPUTED_VALUE"""),"Face of the Team")</f>
        <v>Face of the Team</v>
      </c>
      <c r="F47" s="2" t="str">
        <f ca="1">IFERROR(__xludf.DUMMYFUNCTION("""COMPUTED_VALUE"""),"How Not to Summon a Demon Lord")</f>
        <v>How Not to Summon a Demon Lord</v>
      </c>
      <c r="G47" s="2" t="str">
        <f ca="1">IFERROR(__xludf.DUMMYFUNCTION("""COMPUTED_VALUE"""),"Mind &amp; Control")</f>
        <v>Mind &amp; Control</v>
      </c>
      <c r="H47" s="2" t="str">
        <f ca="1">IFERROR(__xludf.DUMMYFUNCTION("""COMPUTED_VALUE"""),"Everyone knows adventurers tend to be eccentrics and the extremes of odd behavior can be more easily brushed off. So long as you’re not being harmful in the way you act, other people will accept your eccentricities, such as your flamboyant speech or insis"&amp;"tence on calling yourself a “friend to all women” or whatever, as if it were normal behavior.")</f>
        <v>Everyone knows adventurers tend to be eccentrics and the extremes of odd behavior can be more easily brushed off. So long as you’re not being harmful in the way you act, other people will accept your eccentricities, such as your flamboyant speech or insistence on calling yourself a “friend to all women” or whatever, as if it were normal behavior.</v>
      </c>
      <c r="I47" s="5"/>
    </row>
    <row r="48" spans="1:9" ht="139.19999999999999" x14ac:dyDescent="0.25">
      <c r="A48" s="16"/>
      <c r="B48" s="17">
        <v>44</v>
      </c>
      <c r="C48" s="2" t="b">
        <f ca="1">IFERROR(__xludf.DUMMYFUNCTION("""COMPUTED_VALUE"""),FALSE)</f>
        <v>0</v>
      </c>
      <c r="D48" s="2">
        <f ca="1">IFERROR(__xludf.DUMMYFUNCTION("""COMPUTED_VALUE"""),100)</f>
        <v>100</v>
      </c>
      <c r="E48" s="2" t="str">
        <f ca="1">IFERROR(__xludf.DUMMYFUNCTION("""COMPUTED_VALUE"""),"Frat Party Keg")</f>
        <v>Frat Party Keg</v>
      </c>
      <c r="F48" s="2" t="str">
        <f ca="1">IFERROR(__xludf.DUMMYFUNCTION("""COMPUTED_VALUE"""),"Generic: Hentai World")</f>
        <v>Generic: Hentai World</v>
      </c>
      <c r="G48" s="2" t="str">
        <f ca="1">IFERROR(__xludf.DUMMYFUNCTION("""COMPUTED_VALUE"""),"Mind &amp; Control")</f>
        <v>Mind &amp; Control</v>
      </c>
      <c r="H48" s="2" t="str">
        <f ca="1">IFERROR(__xludf.DUMMYFUNCTION("""COMPUTED_VALUE"""),"This keg refills itself once per week and contains enough deceptively high-content beer to give everyone in a fraternity, sorority, or reasonable sized work department at least one drink each. Simply seeing the keg makes one more easily persuaded into par"&amp;"taking of its contents. In addition, anyone who has had at least one cup of this beer and still has it in their system processes alcohol differently than normal. They become 'happy' and 'horny' drunks with their intoxication only impeding them in regard t"&amp;"o their judgement about sexual matters, exhibitionism, and further drinking. It also alleviates the consequences of drinking too much, such as hangovers and alcohol poisoning.")</f>
        <v>This keg refills itself once per week and contains enough deceptively high-content beer to give everyone in a fraternity, sorority, or reasonable sized work department at least one drink each. Simply seeing the keg makes one more easily persuaded into partaking of its contents. In addition, anyone who has had at least one cup of this beer and still has it in their system processes alcohol differently than normal. They become 'happy' and 'horny' drunks with their intoxication only impeding them in regard to their judgement about sexual matters, exhibitionism, and further drinking. It also alleviates the consequences of drinking too much, such as hangovers and alcohol poisoning.</v>
      </c>
      <c r="I48" s="5"/>
    </row>
    <row r="49" spans="1:9" ht="121.8" x14ac:dyDescent="0.25">
      <c r="A49" s="16"/>
      <c r="B49" s="17">
        <v>45</v>
      </c>
      <c r="C49" s="2" t="b">
        <f ca="1">IFERROR(__xludf.DUMMYFUNCTION("""COMPUTED_VALUE"""),FALSE)</f>
        <v>0</v>
      </c>
      <c r="D49" s="2">
        <f ca="1">IFERROR(__xludf.DUMMYFUNCTION("""COMPUTED_VALUE"""),100)</f>
        <v>100</v>
      </c>
      <c r="E49" s="2" t="str">
        <f ca="1">IFERROR(__xludf.DUMMYFUNCTION("""COMPUTED_VALUE"""),"Growing up Sucks")</f>
        <v>Growing up Sucks</v>
      </c>
      <c r="F49" s="2" t="str">
        <f ca="1">IFERROR(__xludf.DUMMYFUNCTION("""COMPUTED_VALUE"""),"Generic: Lewd Digimon")</f>
        <v>Generic: Lewd Digimon</v>
      </c>
      <c r="G49" s="2" t="str">
        <f ca="1">IFERROR(__xludf.DUMMYFUNCTION("""COMPUTED_VALUE"""),"Mind &amp; Control")</f>
        <v>Mind &amp; Control</v>
      </c>
      <c r="H49" s="2" t="str">
        <f ca="1">IFERROR(__xludf.DUMMYFUNCTION("""COMPUTED_VALUE"""),"It’s a simple fact that Digimon have an easier time bonding with those with pure hearts, namely children. And why should you give up on something like that just because you grow up? You’ll find that being an adult in no way limits you from the beneficial "&amp;"aspects of childhood. You make easy friendships, never letting your heart fall to the cynicism or despair of adult life. And if a power only works for someone of a specific age, like a Chosen Child? It can now apply to you too. You can now choose whether "&amp;"or not you count as an adult or a child for the purposes of things that affect individuals based on age.")</f>
        <v>It’s a simple fact that Digimon have an easier time bonding with those with pure hearts, namely children. And why should you give up on something like that just because you grow up? You’ll find that being an adult in no way limits you from the beneficial aspects of childhood. You make easy friendships, never letting your heart fall to the cynicism or despair of adult life. And if a power only works for someone of a specific age, like a Chosen Child? It can now apply to you too. You can now choose whether or not you count as an adult or a child for the purposes of things that affect individuals based on age.</v>
      </c>
      <c r="I49" s="5"/>
    </row>
    <row r="50" spans="1:9" ht="87" x14ac:dyDescent="0.25">
      <c r="A50" s="16"/>
      <c r="B50" s="17">
        <v>46</v>
      </c>
      <c r="C50" s="2" t="b">
        <f ca="1">IFERROR(__xludf.DUMMYFUNCTION("""COMPUTED_VALUE"""),FALSE)</f>
        <v>0</v>
      </c>
      <c r="D50" s="2">
        <f ca="1">IFERROR(__xludf.DUMMYFUNCTION("""COMPUTED_VALUE"""),100)</f>
        <v>100</v>
      </c>
      <c r="E50" s="2" t="str">
        <f ca="1">IFERROR(__xludf.DUMMYFUNCTION("""COMPUTED_VALUE"""),"Guilt Free")</f>
        <v>Guilt Free</v>
      </c>
      <c r="F50" s="2" t="str">
        <f ca="1">IFERROR(__xludf.DUMMYFUNCTION("""COMPUTED_VALUE"""),"Milk Hunters")</f>
        <v>Milk Hunters</v>
      </c>
      <c r="G50" s="2" t="str">
        <f ca="1">IFERROR(__xludf.DUMMYFUNCTION("""COMPUTED_VALUE"""),"Mind &amp; Control")</f>
        <v>Mind &amp; Control</v>
      </c>
      <c r="H50" s="2" t="str">
        <f ca="1">IFERROR(__xludf.DUMMYFUNCTION("""COMPUTED_VALUE"""),"You came here to have fun taking advantage of pretty girls, and you aren't about to let your conscience talk you out of it. From now on, you can silence that pesky voice in your head, keeping it from telling you that what you're doing is ""wrong."" The te"&amp;"ars in that girl's eyes won't tug at your heartstrings, just make you harder. You can selectively activate this, such as silencing your conscience when it comes to blackmail and rape, but not murder or torture.")</f>
        <v>You came here to have fun taking advantage of pretty girls, and you aren't about to let your conscience talk you out of it. From now on, you can silence that pesky voice in your head, keeping it from telling you that what you're doing is "wrong." The tears in that girl's eyes won't tug at your heartstrings, just make you harder. You can selectively activate this, such as silencing your conscience when it comes to blackmail and rape, but not murder or torture.</v>
      </c>
      <c r="I50" s="5"/>
    </row>
    <row r="51" spans="1:9" ht="52.2" x14ac:dyDescent="0.25">
      <c r="A51" s="16"/>
      <c r="B51" s="17">
        <v>47</v>
      </c>
      <c r="C51" s="2" t="b">
        <f ca="1">IFERROR(__xludf.DUMMYFUNCTION("""COMPUTED_VALUE"""),FALSE)</f>
        <v>0</v>
      </c>
      <c r="D51" s="2">
        <f ca="1">IFERROR(__xludf.DUMMYFUNCTION("""COMPUTED_VALUE"""),100)</f>
        <v>100</v>
      </c>
      <c r="E51" s="2" t="str">
        <f ca="1">IFERROR(__xludf.DUMMYFUNCTION("""COMPUTED_VALUE"""),"I Decided to Whore Myself Out")</f>
        <v>I Decided to Whore Myself Out</v>
      </c>
      <c r="F51" s="2" t="str">
        <f ca="1">IFERROR(__xludf.DUMMYFUNCTION("""COMPUTED_VALUE"""),"World of Moral Reversal")</f>
        <v>World of Moral Reversal</v>
      </c>
      <c r="G51" s="2" t="str">
        <f ca="1">IFERROR(__xludf.DUMMYFUNCTION("""COMPUTED_VALUE"""),"Mind &amp; Control")</f>
        <v>Mind &amp; Control</v>
      </c>
      <c r="H51" s="2" t="str">
        <f ca="1">IFERROR(__xludf.DUMMYFUNCTION("""COMPUTED_VALUE"""),"Shamelessness is second nature for you. This won’t help you against unexpected embarrassment, but if you premeditate to do so, there won’t be a spec of hesitation in throwing your reputation under the bus. Many partners will find this boldness sexually st"&amp;"imulating.")</f>
        <v>Shamelessness is second nature for you. This won’t help you against unexpected embarrassment, but if you premeditate to do so, there won’t be a spec of hesitation in throwing your reputation under the bus. Many partners will find this boldness sexually stimulating.</v>
      </c>
      <c r="I51" s="5"/>
    </row>
    <row r="52" spans="1:9" ht="191.4" x14ac:dyDescent="0.25">
      <c r="A52" s="16"/>
      <c r="B52" s="17">
        <v>48</v>
      </c>
      <c r="C52" s="2" t="b">
        <f ca="1">IFERROR(__xludf.DUMMYFUNCTION("""COMPUTED_VALUE"""),FALSE)</f>
        <v>0</v>
      </c>
      <c r="D52" s="2">
        <f ca="1">IFERROR(__xludf.DUMMYFUNCTION("""COMPUTED_VALUE"""),100)</f>
        <v>100</v>
      </c>
      <c r="E52" s="2" t="str">
        <f ca="1">IFERROR(__xludf.DUMMYFUNCTION("""COMPUTED_VALUE"""),"I'm My Own Master")</f>
        <v>I'm My Own Master</v>
      </c>
      <c r="F52" s="2" t="str">
        <f ca="1">IFERROR(__xludf.DUMMYFUNCTION("""COMPUTED_VALUE"""),"Rope Master")</f>
        <v>Rope Master</v>
      </c>
      <c r="G52" s="2" t="str">
        <f ca="1">IFERROR(__xludf.DUMMYFUNCTION("""COMPUTED_VALUE"""),"Mind &amp; Control")</f>
        <v>Mind &amp; Control</v>
      </c>
      <c r="H52" s="2" t="str">
        <f ca="1">IFERROR(__xludf.DUMMYFUNCTION("""COMPUTED_VALUE"""),"Most dominants have no real authority outside their bedrooms. Society doesn't care that you're a top, you still have to go to work and obey your boss just like anyone else. But not you: maybe you have an aura of dominance that makes other people think twi"&amp;"ce before trying to push you around, or maybe you're just so roguishly charming that most people just let you flaunt the rules, but you'll find that you can get away with many minor forms of lawbreaking and suffer no real consequences for doing so. You ca"&amp;"n easily skip work or school to hunt monsters without losing your job or falling behind in class, carry weapons openly without attracting unwanted police attention, or take your slaves for a naked walk without being arrested for public indecency (or going"&amp;" viral on social media). Those who would normally police such behavior will simply fail to notice unless you deliberately flaunt your antics right under their noses, though if your actions cross the line and get someone hurt then all bets are instantly of"&amp;"f.")</f>
        <v>Most dominants have no real authority outside their bedrooms. Society doesn't care that you're a top, you still have to go to work and obey your boss just like anyone else. But not you: maybe you have an aura of dominance that makes other people think twice before trying to push you around, or maybe you're just so roguishly charming that most people just let you flaunt the rules, but you'll find that you can get away with many minor forms of lawbreaking and suffer no real consequences for doing so. You can easily skip work or school to hunt monsters without losing your job or falling behind in class, carry weapons openly without attracting unwanted police attention, or take your slaves for a naked walk without being arrested for public indecency (or going viral on social media). Those who would normally police such behavior will simply fail to notice unless you deliberately flaunt your antics right under their noses, though if your actions cross the line and get someone hurt then all bets are instantly off.</v>
      </c>
      <c r="I52" s="5"/>
    </row>
    <row r="53" spans="1:9" ht="52.2" x14ac:dyDescent="0.25">
      <c r="A53" s="16"/>
      <c r="B53" s="17">
        <v>49</v>
      </c>
      <c r="C53" s="2" t="b">
        <f ca="1">IFERROR(__xludf.DUMMYFUNCTION("""COMPUTED_VALUE"""),FALSE)</f>
        <v>0</v>
      </c>
      <c r="D53" s="2">
        <f ca="1">IFERROR(__xludf.DUMMYFUNCTION("""COMPUTED_VALUE"""),100)</f>
        <v>100</v>
      </c>
      <c r="E53" s="2" t="str">
        <f ca="1">IFERROR(__xludf.DUMMYFUNCTION("""COMPUTED_VALUE"""),"If Every Porkchop were Perfect")</f>
        <v>If Every Porkchop were Perfect</v>
      </c>
      <c r="F53" s="2" t="str">
        <f ca="1">IFERROR(__xludf.DUMMYFUNCTION("""COMPUTED_VALUE"""),"Generic: Incest")</f>
        <v>Generic: Incest</v>
      </c>
      <c r="G53" s="2" t="str">
        <f ca="1">IFERROR(__xludf.DUMMYFUNCTION("""COMPUTED_VALUE"""),"Mind &amp; Control")</f>
        <v>Mind &amp; Control</v>
      </c>
      <c r="H53" s="2" t="str">
        <f ca="1">IFERROR(__xludf.DUMMYFUNCTION("""COMPUTED_VALUE"""),"When you’re around, people tend to be less self conscious, more confident, and less inhibited. While they may not necessarily love themselves or their own body, extended exposure can certainly wear down any major inhibitions regarding self-image.")</f>
        <v>When you’re around, people tend to be less self conscious, more confident, and less inhibited. While they may not necessarily love themselves or their own body, extended exposure can certainly wear down any major inhibitions regarding self-image.</v>
      </c>
      <c r="I53" s="5"/>
    </row>
    <row r="54" spans="1:9" ht="52.2" x14ac:dyDescent="0.25">
      <c r="A54" s="16"/>
      <c r="B54" s="17">
        <v>50</v>
      </c>
      <c r="C54" s="2" t="b">
        <f ca="1">IFERROR(__xludf.DUMMYFUNCTION("""COMPUTED_VALUE"""),FALSE)</f>
        <v>0</v>
      </c>
      <c r="D54" s="2">
        <f ca="1">IFERROR(__xludf.DUMMYFUNCTION("""COMPUTED_VALUE"""),100)</f>
        <v>100</v>
      </c>
      <c r="E54" s="2" t="str">
        <f ca="1">IFERROR(__xludf.DUMMYFUNCTION("""COMPUTED_VALUE"""),"In Your Arms")</f>
        <v>In Your Arms</v>
      </c>
      <c r="F54" s="2" t="str">
        <f ca="1">IFERROR(__xludf.DUMMYFUNCTION("""COMPUTED_VALUE"""),"Earth Girls")</f>
        <v>Earth Girls</v>
      </c>
      <c r="G54" s="2" t="str">
        <f ca="1">IFERROR(__xludf.DUMMYFUNCTION("""COMPUTED_VALUE"""),"Mind &amp; Control")</f>
        <v>Mind &amp; Control</v>
      </c>
      <c r="H54" s="2" t="str">
        <f ca="1">IFERROR(__xludf.DUMMYFUNCTION("""COMPUTED_VALUE"""),"Pulling off the notorious kabe-don or pinning someone to the floor with your arms instantly makes the other person more submissive. No change in how they react once you let them up again, but maybe you just need the chance to show them how you really feel"&amp;"?")</f>
        <v>Pulling off the notorious kabe-don or pinning someone to the floor with your arms instantly makes the other person more submissive. No change in how they react once you let them up again, but maybe you just need the chance to show them how you really feel?</v>
      </c>
      <c r="I54" s="5"/>
    </row>
    <row r="55" spans="1:9" ht="52.2" x14ac:dyDescent="0.25">
      <c r="A55" s="16"/>
      <c r="B55" s="17">
        <v>51</v>
      </c>
      <c r="C55" s="2" t="b">
        <f ca="1">IFERROR(__xludf.DUMMYFUNCTION("""COMPUTED_VALUE"""),FALSE)</f>
        <v>0</v>
      </c>
      <c r="D55" s="2">
        <f ca="1">IFERROR(__xludf.DUMMYFUNCTION("""COMPUTED_VALUE"""),100)</f>
        <v>100</v>
      </c>
      <c r="E55" s="2" t="str">
        <f ca="1">IFERROR(__xludf.DUMMYFUNCTION("""COMPUTED_VALUE"""),"Infinite Patience")</f>
        <v>Infinite Patience</v>
      </c>
      <c r="F55" s="2" t="str">
        <f ca="1">IFERROR(__xludf.DUMMYFUNCTION("""COMPUTED_VALUE"""),"Power Play")</f>
        <v>Power Play</v>
      </c>
      <c r="G55" s="2" t="str">
        <f ca="1">IFERROR(__xludf.DUMMYFUNCTION("""COMPUTED_VALUE"""),"Mind &amp; Control")</f>
        <v>Mind &amp; Control</v>
      </c>
      <c r="H55" s="2" t="str">
        <f ca="1">IFERROR(__xludf.DUMMYFUNCTION("""COMPUTED_VALUE"""),"You have the sort of patience and focus that allows you to spend days at a time giving nonstop blowjobs, without ever getting bored or losing interest in what you’re doing. You are effectively immune to boredom and ennui, and can always find enjoyment in "&amp;"sexual activities.")</f>
        <v>You have the sort of patience and focus that allows you to spend days at a time giving nonstop blowjobs, without ever getting bored or losing interest in what you’re doing. You are effectively immune to boredom and ennui, and can always find enjoyment in sexual activities.</v>
      </c>
      <c r="I55" s="5"/>
    </row>
    <row r="56" spans="1:9" ht="87" x14ac:dyDescent="0.25">
      <c r="A56" s="16"/>
      <c r="B56" s="17">
        <v>52</v>
      </c>
      <c r="C56" s="2" t="b">
        <f ca="1">IFERROR(__xludf.DUMMYFUNCTION("""COMPUTED_VALUE"""),FALSE)</f>
        <v>0</v>
      </c>
      <c r="D56" s="2">
        <f ca="1">IFERROR(__xludf.DUMMYFUNCTION("""COMPUTED_VALUE"""),100)</f>
        <v>100</v>
      </c>
      <c r="E56" s="2" t="str">
        <f ca="1">IFERROR(__xludf.DUMMYFUNCTION("""COMPUTED_VALUE"""),"Intimidating Informant")</f>
        <v>Intimidating Informant</v>
      </c>
      <c r="F56" s="2" t="str">
        <f ca="1">IFERROR(__xludf.DUMMYFUNCTION("""COMPUTED_VALUE"""),"LeWdBY")</f>
        <v>LeWdBY</v>
      </c>
      <c r="G56" s="2" t="str">
        <f ca="1">IFERROR(__xludf.DUMMYFUNCTION("""COMPUTED_VALUE"""),"Mind &amp; Control")</f>
        <v>Mind &amp; Control</v>
      </c>
      <c r="H56" s="2" t="str">
        <f ca="1">IFERROR(__xludf.DUMMYFUNCTION("""COMPUTED_VALUE"""),"Why would a huntress ever give into blackmail, especially over something as petty as some nude pictures? Even leaving aside their ability to go to the authorities or just murder you, is your threat really worse than getting broken into a sex slave? Luckil"&amp;"y for you, people you blackmail tend to act like porno heroines, giving in to social threats for sex far more easily than a normal person and being far less likely to consider alternate ways out of the problem.")</f>
        <v>Why would a huntress ever give into blackmail, especially over something as petty as some nude pictures? Even leaving aside their ability to go to the authorities or just murder you, is your threat really worse than getting broken into a sex slave? Luckily for you, people you blackmail tend to act like porno heroines, giving in to social threats for sex far more easily than a normal person and being far less likely to consider alternate ways out of the problem.</v>
      </c>
      <c r="I56" s="5"/>
    </row>
    <row r="57" spans="1:9" ht="121.8" x14ac:dyDescent="0.25">
      <c r="A57" s="16"/>
      <c r="B57" s="17">
        <v>53</v>
      </c>
      <c r="C57" s="2" t="b">
        <f ca="1">IFERROR(__xludf.DUMMYFUNCTION("""COMPUTED_VALUE"""),FALSE)</f>
        <v>0</v>
      </c>
      <c r="D57" s="2">
        <f ca="1">IFERROR(__xludf.DUMMYFUNCTION("""COMPUTED_VALUE"""),100)</f>
        <v>100</v>
      </c>
      <c r="E57" s="2" t="str">
        <f ca="1">IFERROR(__xludf.DUMMYFUNCTION("""COMPUTED_VALUE"""),"Just Me on the Lake")</f>
        <v>Just Me on the Lake</v>
      </c>
      <c r="F57" s="2" t="str">
        <f ca="1">IFERROR(__xludf.DUMMYFUNCTION("""COMPUTED_VALUE"""),"Baalbuddy")</f>
        <v>Baalbuddy</v>
      </c>
      <c r="G57" s="2" t="str">
        <f ca="1">IFERROR(__xludf.DUMMYFUNCTION("""COMPUTED_VALUE"""),"Mind &amp; Control")</f>
        <v>Mind &amp; Control</v>
      </c>
      <c r="H57" s="2" t="str">
        <f ca="1">IFERROR(__xludf.DUMMYFUNCTION("""COMPUTED_VALUE"""),"There are times you just need to relax. Get away from it all. Like after being dragged to another world, given crazy powers and drafted into the fight against the demon king. The simple things you enjoy will never stop being enjoyable. They will never be "&amp;"tainted by association with bad memories and you will never feel shame for them. Even if it’s as mundane as fishing with only a six-pack of beer for company, or singing no matter how tone-deaf you are, the little joys in life can never be ruined or taken "&amp;"away from you. Not by the darkest of magics or finding yourself in the lowest point of your life.")</f>
        <v>There are times you just need to relax. Get away from it all. Like after being dragged to another world, given crazy powers and drafted into the fight against the demon king. The simple things you enjoy will never stop being enjoyable. They will never be tainted by association with bad memories and you will never feel shame for them. Even if it’s as mundane as fishing with only a six-pack of beer for company, or singing no matter how tone-deaf you are, the little joys in life can never be ruined or taken away from you. Not by the darkest of magics or finding yourself in the lowest point of your life.</v>
      </c>
      <c r="I57" s="5"/>
    </row>
    <row r="58" spans="1:9" ht="69.599999999999994" x14ac:dyDescent="0.25">
      <c r="A58" s="16"/>
      <c r="B58" s="17">
        <v>54</v>
      </c>
      <c r="C58" s="2" t="b">
        <f ca="1">IFERROR(__xludf.DUMMYFUNCTION("""COMPUTED_VALUE"""),FALSE)</f>
        <v>0</v>
      </c>
      <c r="D58" s="2">
        <f ca="1">IFERROR(__xludf.DUMMYFUNCTION("""COMPUTED_VALUE"""),100)</f>
        <v>100</v>
      </c>
      <c r="E58" s="2" t="str">
        <f ca="1">IFERROR(__xludf.DUMMYFUNCTION("""COMPUTED_VALUE"""),"Lovable Scoundrel")</f>
        <v>Lovable Scoundrel</v>
      </c>
      <c r="F58" s="2" t="str">
        <f ca="1">IFERROR(__xludf.DUMMYFUNCTION("""COMPUTED_VALUE"""),"Destiny: Fuck the Darkness")</f>
        <v>Destiny: Fuck the Darkness</v>
      </c>
      <c r="G58" s="2" t="str">
        <f ca="1">IFERROR(__xludf.DUMMYFUNCTION("""COMPUTED_VALUE"""),"Mind &amp; Control")</f>
        <v>Mind &amp; Control</v>
      </c>
      <c r="H58" s="2" t="str">
        <f ca="1">IFERROR(__xludf.DUMMYFUNCTION("""COMPUTED_VALUE"""),"Quick wits, quick jokes. That’s the kind of charming personality you have. Even if people find you mildly annoying, they’re never going to actually get angry with you. “Come on, how could you hate this face?” And boom, all is forgiven. Naturally, this won"&amp;"’t count if you kill someone’s brother or something. Fanwank responsibly.")</f>
        <v>Quick wits, quick jokes. That’s the kind of charming personality you have. Even if people find you mildly annoying, they’re never going to actually get angry with you. “Come on, how could you hate this face?” And boom, all is forgiven. Naturally, this won’t count if you kill someone’s brother or something. Fanwank responsibly.</v>
      </c>
      <c r="I58" s="5"/>
    </row>
    <row r="59" spans="1:9" ht="174" x14ac:dyDescent="0.25">
      <c r="A59" s="16"/>
      <c r="B59" s="17">
        <v>55</v>
      </c>
      <c r="C59" s="2" t="b">
        <f ca="1">IFERROR(__xludf.DUMMYFUNCTION("""COMPUTED_VALUE"""),FALSE)</f>
        <v>0</v>
      </c>
      <c r="D59" s="2">
        <f ca="1">IFERROR(__xludf.DUMMYFUNCTION("""COMPUTED_VALUE"""),100)</f>
        <v>100</v>
      </c>
      <c r="E59" s="2" t="str">
        <f ca="1">IFERROR(__xludf.DUMMYFUNCTION("""COMPUTED_VALUE"""),"Moderator")</f>
        <v>Moderator</v>
      </c>
      <c r="F59" s="2" t="str">
        <f ca="1">IFERROR(__xludf.DUMMYFUNCTION("""COMPUTED_VALUE"""),"Generic: QQ")</f>
        <v>Generic: QQ</v>
      </c>
      <c r="G59" s="2" t="str">
        <f ca="1">IFERROR(__xludf.DUMMYFUNCTION("""COMPUTED_VALUE"""),"Mind &amp; Control")</f>
        <v>Mind &amp; Control</v>
      </c>
      <c r="H59" s="2" t="str">
        <f ca="1">IFERROR(__xludf.DUMMYFUNCTION("""COMPUTED_VALUE"""),"No, this doesn’t make you a moderator on QQ. That’s too much power for me to offer for so little price. Instead, this gives you two powers derived from that.
First, you have the “Rule 8” toggle. When active, it prevents political conversations from happe"&amp;"ning except in intended places. If you walk into a government building, don’t expect this to do much. If two people meet up to discuss politics on a regular basis, don’t expect much either. Still, at least it prevents politics from being pillow talk.
The"&amp;"n there’s the “Rule 5” active skill. By calling out “Rule 5” you can force a conversation to return to a previous topic and stick to it for significantly longer, discarding the “tangent.”")</f>
        <v>No, this doesn’t make you a moderator on QQ. That’s too much power for me to offer for so little price. Instead, this gives you two powers derived from that.
First, you have the “Rule 8” toggle. When active, it prevents political conversations from happening except in intended places. If you walk into a government building, don’t expect this to do much. If two people meet up to discuss politics on a regular basis, don’t expect much either. Still, at least it prevents politics from being pillow talk.
Then there’s the “Rule 5” active skill. By calling out “Rule 5” you can force a conversation to return to a previous topic and stick to it for significantly longer, discarding the “tangent.”</v>
      </c>
      <c r="I59" s="5"/>
    </row>
    <row r="60" spans="1:9" ht="191.4" x14ac:dyDescent="0.25">
      <c r="A60" s="16"/>
      <c r="B60" s="17">
        <v>56</v>
      </c>
      <c r="C60" s="2" t="b">
        <f ca="1">IFERROR(__xludf.DUMMYFUNCTION("""COMPUTED_VALUE"""),FALSE)</f>
        <v>0</v>
      </c>
      <c r="D60" s="2">
        <f ca="1">IFERROR(__xludf.DUMMYFUNCTION("""COMPUTED_VALUE"""),100)</f>
        <v>100</v>
      </c>
      <c r="E60" s="2" t="str">
        <f ca="1">IFERROR(__xludf.DUMMYFUNCTION("""COMPUTED_VALUE"""),"Monster Baiter")</f>
        <v>Monster Baiter</v>
      </c>
      <c r="F60" s="2" t="str">
        <f ca="1">IFERROR(__xludf.DUMMYFUNCTION("""COMPUTED_VALUE"""),"Majuu Purification Girl Utea")</f>
        <v>Majuu Purification Girl Utea</v>
      </c>
      <c r="G60" s="2" t="str">
        <f ca="1">IFERROR(__xludf.DUMMYFUNCTION("""COMPUTED_VALUE"""),"Mind &amp; Control")</f>
        <v>Mind &amp; Control</v>
      </c>
      <c r="H60" s="2" t="str">
        <f ca="1">IFERROR(__xludf.DUMMYFUNCTION("""COMPUTED_VALUE"""),"The most vital duty of any magical girl is to be a shield of righteousness and protect the innocent, even at the cost of her own safety if necessary, and that’s a duty you’re well-equipped to fulfill. With a challenging shout or a well-timed distraction y"&amp;"ou can immediately grab the attention of your foes and get them to lock on to you, prioritizing your destruction or defilement over that of any other potential victims they may have at their mercy. Fleeing civilians will be ignored and any injured or defe"&amp;"ated allies left alone until they finish their business with you, but once you’ve drawn a monster’s attention it won’t be easy to lose it again until you’ve either defeated or been defeated by them. If the worst should happen and you’re defeated by your e"&amp;"nemies you can opt to keep their attention locked on you even in a helpless state: although this attention will inevitably be of a depraved and lustful sort, it does guarantee that your foes will be far more interested in capturing rather than killing you"&amp;" if at all possible.")</f>
        <v>The most vital duty of any magical girl is to be a shield of righteousness and protect the innocent, even at the cost of her own safety if necessary, and that’s a duty you’re well-equipped to fulfill. With a challenging shout or a well-timed distraction you can immediately grab the attention of your foes and get them to lock on to you, prioritizing your destruction or defilement over that of any other potential victims they may have at their mercy. Fleeing civilians will be ignored and any injured or defeated allies left alone until they finish their business with you, but once you’ve drawn a monster’s attention it won’t be easy to lose it again until you’ve either defeated or been defeated by them. If the worst should happen and you’re defeated by your enemies you can opt to keep their attention locked on you even in a helpless state: although this attention will inevitably be of a depraved and lustful sort, it does guarantee that your foes will be far more interested in capturing rather than killing you if at all possible.</v>
      </c>
      <c r="I60" s="5"/>
    </row>
    <row r="61" spans="1:9" ht="69.599999999999994" x14ac:dyDescent="0.25">
      <c r="A61" s="16"/>
      <c r="B61" s="17">
        <v>57</v>
      </c>
      <c r="C61" s="2" t="b">
        <f ca="1">IFERROR(__xludf.DUMMYFUNCTION("""COMPUTED_VALUE"""),FALSE)</f>
        <v>0</v>
      </c>
      <c r="D61" s="2">
        <f ca="1">IFERROR(__xludf.DUMMYFUNCTION("""COMPUTED_VALUE"""),100)</f>
        <v>100</v>
      </c>
      <c r="E61" s="2" t="str">
        <f ca="1">IFERROR(__xludf.DUMMYFUNCTION("""COMPUTED_VALUE"""),"Nestmates")</f>
        <v>Nestmates</v>
      </c>
      <c r="F61" s="2" t="str">
        <f ca="1">IFERROR(__xludf.DUMMYFUNCTION("""COMPUTED_VALUE"""),"High Elf x High School")</f>
        <v>High Elf x High School</v>
      </c>
      <c r="G61" s="2" t="str">
        <f ca="1">IFERROR(__xludf.DUMMYFUNCTION("""COMPUTED_VALUE"""),"Mind &amp; Control")</f>
        <v>Mind &amp; Control</v>
      </c>
      <c r="H61" s="2" t="str">
        <f ca="1">IFERROR(__xludf.DUMMYFUNCTION("""COMPUTED_VALUE"""),"With the societal need for polygamy, it would be rather counterproductive if you were to succumb to jealousy and try to keep a mate all to yourself. Fortunately, you have the ability to “dial off” your negative emotions, such as possessiveness or jealousy"&amp;", allowing you to enter a polygamous relationship without worry of ruining it due to whatever possessive feelings you may possess.")</f>
        <v>With the societal need for polygamy, it would be rather counterproductive if you were to succumb to jealousy and try to keep a mate all to yourself. Fortunately, you have the ability to “dial off” your negative emotions, such as possessiveness or jealousy, allowing you to enter a polygamous relationship without worry of ruining it due to whatever possessive feelings you may possess.</v>
      </c>
      <c r="I61" s="5"/>
    </row>
    <row r="62" spans="1:9" ht="121.8" x14ac:dyDescent="0.25">
      <c r="A62" s="16"/>
      <c r="B62" s="17">
        <v>58</v>
      </c>
      <c r="C62" s="2" t="b">
        <f ca="1">IFERROR(__xludf.DUMMYFUNCTION("""COMPUTED_VALUE"""),FALSE)</f>
        <v>0</v>
      </c>
      <c r="D62" s="2">
        <f ca="1">IFERROR(__xludf.DUMMYFUNCTION("""COMPUTED_VALUE"""),100)</f>
        <v>100</v>
      </c>
      <c r="E62" s="2" t="str">
        <f ca="1">IFERROR(__xludf.DUMMYFUNCTION("""COMPUTED_VALUE"""),"Oasis of Egypt")</f>
        <v>Oasis of Egypt</v>
      </c>
      <c r="F62" s="2" t="str">
        <f ca="1">IFERROR(__xludf.DUMMYFUNCTION("""COMPUTED_VALUE"""),"The Legend Of Queen Opala")</f>
        <v>The Legend Of Queen Opala</v>
      </c>
      <c r="G62" s="2" t="str">
        <f ca="1">IFERROR(__xludf.DUMMYFUNCTION("""COMPUTED_VALUE"""),"Mind &amp; Control")</f>
        <v>Mind &amp; Control</v>
      </c>
      <c r="H62" s="2" t="str">
        <f ca="1">IFERROR(__xludf.DUMMYFUNCTION("""COMPUTED_VALUE"""),"Egypt is a land where love is in the air, and you represent the best of all your people. Getting in the mood is as easy as breathing for you, allowing you to get ready for some sweet, sweet romance whenever you like. You can not only drench your pussy in "&amp;"three seconds flat, you can also choose to be a squirter anytime you hit your peak. Obviously, you'll never need to worry about bringing lube again. If you're a guy, you'll instead get instant-boners-on-command and a cum load that's quite a bit bigger tha"&amp;"n before. Either way, expect to make the best kind of mess without the need for any prep-time.")</f>
        <v>Egypt is a land where love is in the air, and you represent the best of all your people. Getting in the mood is as easy as breathing for you, allowing you to get ready for some sweet, sweet romance whenever you like. You can not only drench your pussy in three seconds flat, you can also choose to be a squirter anytime you hit your peak. Obviously, you'll never need to worry about bringing lube again. If you're a guy, you'll instead get instant-boners-on-command and a cum load that's quite a bit bigger than before. Either way, expect to make the best kind of mess without the need for any prep-time.</v>
      </c>
      <c r="I62" s="5"/>
    </row>
    <row r="63" spans="1:9" ht="243.6" x14ac:dyDescent="0.25">
      <c r="A63" s="16"/>
      <c r="B63" s="17">
        <v>59</v>
      </c>
      <c r="C63" s="2" t="b">
        <f ca="1">IFERROR(__xludf.DUMMYFUNCTION("""COMPUTED_VALUE"""),FALSE)</f>
        <v>0</v>
      </c>
      <c r="D63" s="2">
        <f ca="1">IFERROR(__xludf.DUMMYFUNCTION("""COMPUTED_VALUE"""),100)</f>
        <v>100</v>
      </c>
      <c r="E63" s="2" t="str">
        <f ca="1">IFERROR(__xludf.DUMMYFUNCTION("""COMPUTED_VALUE"""),"One-Off Immunity")</f>
        <v>One-Off Immunity</v>
      </c>
      <c r="F63" s="2" t="str">
        <f ca="1">IFERROR(__xludf.DUMMYFUNCTION("""COMPUTED_VALUE"""),"Mind Control University")</f>
        <v>Mind Control University</v>
      </c>
      <c r="G63" s="2" t="str">
        <f ca="1">IFERROR(__xludf.DUMMYFUNCTION("""COMPUTED_VALUE"""),"Mind &amp; Control")</f>
        <v>Mind &amp; Control</v>
      </c>
      <c r="H63" s="2" t="str">
        <f ca="1">IFERROR(__xludf.DUMMYFUNCTION("""COMPUTED_VALUE"""),"Select a single Method of mind control from Hypnotism, Technology, Chemistry, Psionics, Magic, or Chi. You are totally immune to your mind being affected by this method. Note that selecting Magic would not make you immune to all magic, just any that would"&amp;" entrance or enchant you or alter your thoughts. You may select Hypnotism, even though that is supposed to be able to affect any sapient life form. 
This perk may be purchased multiple times whenever you could purchase a perk, but each time, you must pay"&amp;" an additional 100 CP for each purchase that makes so far, with the total costs being:
1: 100 CP
2: 300 CP
3: 600 CP
4: 1000 CP
5: 1500 CP
6: 2100 CP")</f>
        <v>Select a single Method of mind control from Hypnotism, Technology, Chemistry, Psionics, Magic, or Chi. You are totally immune to your mind being affected by this method. Note that selecting Magic would not make you immune to all magic, just any that would entrance or enchant you or alter your thoughts. You may select Hypnotism, even though that is supposed to be able to affect any sapient life form. 
This perk may be purchased multiple times whenever you could purchase a perk, but each time, you must pay an additional 100 CP for each purchase that makes so far, with the total costs being:
1: 100 CP
2: 300 CP
3: 600 CP
4: 1000 CP
5: 1500 CP
6: 2100 CP</v>
      </c>
      <c r="I63" s="5"/>
    </row>
    <row r="64" spans="1:9" ht="52.2" x14ac:dyDescent="0.25">
      <c r="A64" s="16"/>
      <c r="B64" s="17">
        <v>60</v>
      </c>
      <c r="C64" s="2" t="b">
        <f ca="1">IFERROR(__xludf.DUMMYFUNCTION("""COMPUTED_VALUE"""),FALSE)</f>
        <v>0</v>
      </c>
      <c r="D64" s="2">
        <f ca="1">IFERROR(__xludf.DUMMYFUNCTION("""COMPUTED_VALUE"""),100)</f>
        <v>100</v>
      </c>
      <c r="E64" s="2" t="str">
        <f ca="1">IFERROR(__xludf.DUMMYFUNCTION("""COMPUTED_VALUE"""),"Peeking is Okay")</f>
        <v>Peeking is Okay</v>
      </c>
      <c r="F64" s="2" t="str">
        <f ca="1">IFERROR(__xludf.DUMMYFUNCTION("""COMPUTED_VALUE"""),"Earth Girls")</f>
        <v>Earth Girls</v>
      </c>
      <c r="G64" s="2" t="str">
        <f ca="1">IFERROR(__xludf.DUMMYFUNCTION("""COMPUTED_VALUE"""),"Mind &amp; Control")</f>
        <v>Mind &amp; Control</v>
      </c>
      <c r="H64" s="2" t="str">
        <f ca="1">IFERROR(__xludf.DUMMYFUNCTION("""COMPUTED_VALUE"""),"What's wrong with a little curiosity? Others have an almost limitless tolerance for you being places you shouldn't be or seeing things you shouldn't see as long as you're not actually doing something or interfering in some way.")</f>
        <v>What's wrong with a little curiosity? Others have an almost limitless tolerance for you being places you shouldn't be or seeing things you shouldn't see as long as you're not actually doing something or interfering in some way.</v>
      </c>
      <c r="I64" s="5"/>
    </row>
    <row r="65" spans="1:9" ht="191.4" x14ac:dyDescent="0.25">
      <c r="A65" s="16"/>
      <c r="B65" s="17">
        <v>61</v>
      </c>
      <c r="C65" s="2" t="b">
        <f ca="1">IFERROR(__xludf.DUMMYFUNCTION("""COMPUTED_VALUE"""),FALSE)</f>
        <v>0</v>
      </c>
      <c r="D65" s="2">
        <f ca="1">IFERROR(__xludf.DUMMYFUNCTION("""COMPUTED_VALUE"""),100)</f>
        <v>100</v>
      </c>
      <c r="E65" s="2" t="str">
        <f ca="1">IFERROR(__xludf.DUMMYFUNCTION("""COMPUTED_VALUE"""),"Piercing the Veil")</f>
        <v>Piercing the Veil</v>
      </c>
      <c r="F65" s="2" t="str">
        <f ca="1">IFERROR(__xludf.DUMMYFUNCTION("""COMPUTED_VALUE"""),"Rope Master")</f>
        <v>Rope Master</v>
      </c>
      <c r="G65" s="2" t="str">
        <f ca="1">IFERROR(__xludf.DUMMYFUNCTION("""COMPUTED_VALUE"""),"Mind &amp; Control")</f>
        <v>Mind &amp; Control</v>
      </c>
      <c r="H65" s="2" t="str">
        <f ca="1">IFERROR(__xludf.DUMMYFUNCTION("""COMPUTED_VALUE"""),"The world is full of stuffy prudes who look down on others for their kinks, but you’re far more open-minded than that. Familiarity with your own desires has made you highly-aware of the feelings of other people, so much so that you can easily pierce throu"&amp;"gh deception to sense a person's true feelings regardless of how deeply-repressed they might otherwise be. At a glance, you can tell when a schoolgirl is quietly crushing on you, when your teacher is hiding a vibrator in her panties, or when a mother’s le"&amp;"wd behavior is caused by an evil spirit instead of her own desires, and you never ever miss the subtle tell of a “no” that's actually a “yes” or vice versa. With a bit of observation you can also figure out what kinks people have, letting you spot a deepl"&amp;"y-closeted submissive long before she discovers her own taste for bondage, and you’re quite effective at finding exactly the right words and deeds needed to persuade or seduce these poor repressed souls into coming out of their self-imposed closets and em"&amp;"bracing their true desires.")</f>
        <v>The world is full of stuffy prudes who look down on others for their kinks, but you’re far more open-minded than that. Familiarity with your own desires has made you highly-aware of the feelings of other people, so much so that you can easily pierce through deception to sense a person's true feelings regardless of how deeply-repressed they might otherwise be. At a glance, you can tell when a schoolgirl is quietly crushing on you, when your teacher is hiding a vibrator in her panties, or when a mother’s lewd behavior is caused by an evil spirit instead of her own desires, and you never ever miss the subtle tell of a “no” that's actually a “yes” or vice versa. With a bit of observation you can also figure out what kinks people have, letting you spot a deeply-closeted submissive long before she discovers her own taste for bondage, and you’re quite effective at finding exactly the right words and deeds needed to persuade or seduce these poor repressed souls into coming out of their self-imposed closets and embracing their true desires.</v>
      </c>
      <c r="I65" s="5"/>
    </row>
    <row r="66" spans="1:9" ht="69.599999999999994" x14ac:dyDescent="0.25">
      <c r="A66" s="16"/>
      <c r="B66" s="17">
        <v>62</v>
      </c>
      <c r="C66" s="2" t="b">
        <f ca="1">IFERROR(__xludf.DUMMYFUNCTION("""COMPUTED_VALUE"""),FALSE)</f>
        <v>0</v>
      </c>
      <c r="D66" s="2">
        <f ca="1">IFERROR(__xludf.DUMMYFUNCTION("""COMPUTED_VALUE"""),100)</f>
        <v>100</v>
      </c>
      <c r="E66" s="2" t="str">
        <f ca="1">IFERROR(__xludf.DUMMYFUNCTION("""COMPUTED_VALUE"""),"Psionic Sauce")</f>
        <v>Psionic Sauce</v>
      </c>
      <c r="F66" s="2" t="str">
        <f ca="1">IFERROR(__xludf.DUMMYFUNCTION("""COMPUTED_VALUE"""),"Dulce Report")</f>
        <v>Dulce Report</v>
      </c>
      <c r="G66" s="2" t="str">
        <f ca="1">IFERROR(__xludf.DUMMYFUNCTION("""COMPUTED_VALUE"""),"Mind &amp; Control")</f>
        <v>Mind &amp; Control</v>
      </c>
      <c r="H66" s="2" t="str">
        <f ca="1">IFERROR(__xludf.DUMMYFUNCTION("""COMPUTED_VALUE"""),"A noted power of the 'Angels' is their ability to psychically assault and communicate with their fresh sexual fluids. You have a telepathic connection to anyone you're 'sharing fluids' with, and anyone that you cum on is put in a highly suggestable state."&amp;" I'm sure you can figure out something with these two abilities...")</f>
        <v>A noted power of the 'Angels' is their ability to psychically assault and communicate with their fresh sexual fluids. You have a telepathic connection to anyone you're 'sharing fluids' with, and anyone that you cum on is put in a highly suggestable state. I'm sure you can figure out something with these two abilities...</v>
      </c>
      <c r="I66" s="5"/>
    </row>
    <row r="67" spans="1:9" ht="121.8" x14ac:dyDescent="0.25">
      <c r="A67" s="16"/>
      <c r="B67" s="17">
        <v>63</v>
      </c>
      <c r="C67" s="2" t="b">
        <f ca="1">IFERROR(__xludf.DUMMYFUNCTION("""COMPUTED_VALUE"""),FALSE)</f>
        <v>0</v>
      </c>
      <c r="D67" s="2">
        <f ca="1">IFERROR(__xludf.DUMMYFUNCTION("""COMPUTED_VALUE"""),100)</f>
        <v>100</v>
      </c>
      <c r="E67" s="2" t="str">
        <f ca="1">IFERROR(__xludf.DUMMYFUNCTION("""COMPUTED_VALUE"""),"Public Indecendy")</f>
        <v>Public Indecendy</v>
      </c>
      <c r="F67" s="2" t="str">
        <f ca="1">IFERROR(__xludf.DUMMYFUNCTION("""COMPUTED_VALUE"""),"Mizuryu Kei Land")</f>
        <v>Mizuryu Kei Land</v>
      </c>
      <c r="G67" s="2" t="str">
        <f ca="1">IFERROR(__xludf.DUMMYFUNCTION("""COMPUTED_VALUE"""),"Mind &amp; Control")</f>
        <v>Mind &amp; Control</v>
      </c>
      <c r="H67" s="2" t="str">
        <f ca="1">IFERROR(__xludf.DUMMYFUNCTION("""COMPUTED_VALUE"""),"The stickers of Mizuryu Kei Land aren’t much use outside the park as it’s still mostly illegal to do those sorts of things in public- hence the existence of love hotels. But, anyways. You now have a sort of perception filter around you that blurs out lowe"&amp;"r level perverseness from the eyes and minds of those watching. That short skirt you’re wearing looks regulation, no need to measure. That color of tan isn’t a regulation shirt, but they’ll let you off with a warning just for today, alright? But of course"&amp;", they’ll have forgotten the next day. This isn’t strong enough to cover full on sex, just your non-existent style of dress and maybe some light teasing.")</f>
        <v>The stickers of Mizuryu Kei Land aren’t much use outside the park as it’s still mostly illegal to do those sorts of things in public- hence the existence of love hotels. But, anyways. You now have a sort of perception filter around you that blurs out lower level perverseness from the eyes and minds of those watching. That short skirt you’re wearing looks regulation, no need to measure. That color of tan isn’t a regulation shirt, but they’ll let you off with a warning just for today, alright? But of course, they’ll have forgotten the next day. This isn’t strong enough to cover full on sex, just your non-existent style of dress and maybe some light teasing.</v>
      </c>
      <c r="I67" s="5"/>
    </row>
    <row r="68" spans="1:9" ht="87" x14ac:dyDescent="0.25">
      <c r="A68" s="16"/>
      <c r="B68" s="17">
        <v>64</v>
      </c>
      <c r="C68" s="2" t="b">
        <f ca="1">IFERROR(__xludf.DUMMYFUNCTION("""COMPUTED_VALUE"""),FALSE)</f>
        <v>0</v>
      </c>
      <c r="D68" s="2">
        <f ca="1">IFERROR(__xludf.DUMMYFUNCTION("""COMPUTED_VALUE"""),100)</f>
        <v>100</v>
      </c>
      <c r="E68" s="2" t="str">
        <f ca="1">IFERROR(__xludf.DUMMYFUNCTION("""COMPUTED_VALUE"""),"Respectable Authority Figure")</f>
        <v>Respectable Authority Figure</v>
      </c>
      <c r="F68" s="2" t="str">
        <f ca="1">IFERROR(__xludf.DUMMYFUNCTION("""COMPUTED_VALUE"""),"Generic: Hentai Occult")</f>
        <v>Generic: Hentai Occult</v>
      </c>
      <c r="G68" s="2" t="str">
        <f ca="1">IFERROR(__xludf.DUMMYFUNCTION("""COMPUTED_VALUE"""),"Mind &amp; Control")</f>
        <v>Mind &amp; Control</v>
      </c>
      <c r="H68" s="2" t="str">
        <f ca="1">IFERROR(__xludf.DUMMYFUNCTION("""COMPUTED_VALUE"""),"First impressions are important - if they catch you perving on them, they'll hate you forever! Or at least until you get your fingers in their brain, but it'll probably take longer than it ought. You now have a fake personality that you can slip in and ou"&amp;"t of with ease. Fake you might be a polite, kind, and slightly clumsy person - it’s not until you take your glasses off and slick back your hair that your raging perversion comes to the front.")</f>
        <v>First impressions are important - if they catch you perving on them, they'll hate you forever! Or at least until you get your fingers in their brain, but it'll probably take longer than it ought. You now have a fake personality that you can slip in and out of with ease. Fake you might be a polite, kind, and slightly clumsy person - it’s not until you take your glasses off and slick back your hair that your raging perversion comes to the front.</v>
      </c>
      <c r="I68" s="5"/>
    </row>
    <row r="69" spans="1:9" ht="104.4" x14ac:dyDescent="0.25">
      <c r="A69" s="16"/>
      <c r="B69" s="17">
        <v>65</v>
      </c>
      <c r="C69" s="2" t="b">
        <f ca="1">IFERROR(__xludf.DUMMYFUNCTION("""COMPUTED_VALUE"""),FALSE)</f>
        <v>0</v>
      </c>
      <c r="D69" s="2">
        <f ca="1">IFERROR(__xludf.DUMMYFUNCTION("""COMPUTED_VALUE"""),100)</f>
        <v>100</v>
      </c>
      <c r="E69" s="2" t="str">
        <f ca="1">IFERROR(__xludf.DUMMYFUNCTION("""COMPUTED_VALUE"""),"Rhapsody")</f>
        <v>Rhapsody</v>
      </c>
      <c r="F69" s="2" t="str">
        <f ca="1">IFERROR(__xludf.DUMMYFUNCTION("""COMPUTED_VALUE"""),"Generic: Virgin")</f>
        <v>Generic: Virgin</v>
      </c>
      <c r="G69" s="2" t="str">
        <f ca="1">IFERROR(__xludf.DUMMYFUNCTION("""COMPUTED_VALUE"""),"Mind &amp; Control")</f>
        <v>Mind &amp; Control</v>
      </c>
      <c r="H69" s="2" t="str">
        <f ca="1">IFERROR(__xludf.DUMMYFUNCTION("""COMPUTED_VALUE"""),"This is a guarantee that you'll never accidentally or subconsciously use your powers, especially those that are reflexive or subconscious, against your friends, lovers, companions, or allies. You'll never subconsciously use a seduction power to bed some h"&amp;"ottie, never accidentally tweak your partner's habits so they fucking do the dishes without being asked twice, never get so pissed off at the baby that you render them mute. No, if you do these things, you'll have to do it while being fully aware you're d"&amp;"oing it.")</f>
        <v>This is a guarantee that you'll never accidentally or subconsciously use your powers, especially those that are reflexive or subconscious, against your friends, lovers, companions, or allies. You'll never subconsciously use a seduction power to bed some hottie, never accidentally tweak your partner's habits so they fucking do the dishes without being asked twice, never get so pissed off at the baby that you render them mute. No, if you do these things, you'll have to do it while being fully aware you're doing it.</v>
      </c>
      <c r="I69" s="5"/>
    </row>
    <row r="70" spans="1:9" ht="34.799999999999997" x14ac:dyDescent="0.25">
      <c r="A70" s="16"/>
      <c r="B70" s="17">
        <v>66</v>
      </c>
      <c r="C70" s="2" t="b">
        <f ca="1">IFERROR(__xludf.DUMMYFUNCTION("""COMPUTED_VALUE"""),FALSE)</f>
        <v>0</v>
      </c>
      <c r="D70" s="2">
        <f ca="1">IFERROR(__xludf.DUMMYFUNCTION("""COMPUTED_VALUE"""),100)</f>
        <v>100</v>
      </c>
      <c r="E70" s="2" t="str">
        <f ca="1">IFERROR(__xludf.DUMMYFUNCTION("""COMPUTED_VALUE"""),"Royal Throne")</f>
        <v>Royal Throne</v>
      </c>
      <c r="F70" s="2" t="str">
        <f ca="1">IFERROR(__xludf.DUMMYFUNCTION("""COMPUTED_VALUE"""),"Kuroinu")</f>
        <v>Kuroinu</v>
      </c>
      <c r="G70" s="2" t="str">
        <f ca="1">IFERROR(__xludf.DUMMYFUNCTION("""COMPUTED_VALUE"""),"Mind &amp; Control")</f>
        <v>Mind &amp; Control</v>
      </c>
      <c r="H70" s="2" t="str">
        <f ca="1">IFERROR(__xludf.DUMMYFUNCTION("""COMPUTED_VALUE"""),"A bitchin chair, like the one Olga possessed in the Dark Citadel. While sitting on it you appear more regal and charismatic. Additionally its really plush and comfy.")</f>
        <v>A bitchin chair, like the one Olga possessed in the Dark Citadel. While sitting on it you appear more regal and charismatic. Additionally its really plush and comfy.</v>
      </c>
      <c r="I70" s="5"/>
    </row>
    <row r="71" spans="1:9" ht="104.4" x14ac:dyDescent="0.25">
      <c r="A71" s="16"/>
      <c r="B71" s="17">
        <v>67</v>
      </c>
      <c r="C71" s="2" t="b">
        <f ca="1">IFERROR(__xludf.DUMMYFUNCTION("""COMPUTED_VALUE"""),FALSE)</f>
        <v>0</v>
      </c>
      <c r="D71" s="2">
        <f ca="1">IFERROR(__xludf.DUMMYFUNCTION("""COMPUTED_VALUE"""),100)</f>
        <v>100</v>
      </c>
      <c r="E71" s="2" t="str">
        <f ca="1">IFERROR(__xludf.DUMMYFUNCTION("""COMPUTED_VALUE"""),"Safe, Sane, Consensual")</f>
        <v>Safe, Sane, Consensual</v>
      </c>
      <c r="F71" s="2" t="str">
        <f ca="1">IFERROR(__xludf.DUMMYFUNCTION("""COMPUTED_VALUE"""),"Collar 6")</f>
        <v>Collar 6</v>
      </c>
      <c r="G71" s="2" t="str">
        <f ca="1">IFERROR(__xludf.DUMMYFUNCTION("""COMPUTED_VALUE"""),"Mind &amp; Control")</f>
        <v>Mind &amp; Control</v>
      </c>
      <c r="H71" s="2" t="str">
        <f ca="1">IFERROR(__xludf.DUMMYFUNCTION("""COMPUTED_VALUE"""),"For many, ""safe, sane and consensual"" is the gold standard that all kink activities should aspire to follow. If you try to abide by these guidelines, this perk will make things in the bedroom go smoothly in reward. With this you'll have a much easier ti"&amp;"me securing your partner's consent for most anything that doesn't fail basic safety and sanity checks, complicated preparations will take less time and effort than expected, and a merry time will be had by all, with no random interruptions or other mood-k"&amp;"illers, or your money back.")</f>
        <v>For many, "safe, sane and consensual" is the gold standard that all kink activities should aspire to follow. If you try to abide by these guidelines, this perk will make things in the bedroom go smoothly in reward. With this you'll have a much easier time securing your partner's consent for most anything that doesn't fail basic safety and sanity checks, complicated preparations will take less time and effort than expected, and a merry time will be had by all, with no random interruptions or other mood-killers, or your money back.</v>
      </c>
      <c r="I71" s="5"/>
    </row>
    <row r="72" spans="1:9" ht="52.2" x14ac:dyDescent="0.25">
      <c r="A72" s="16"/>
      <c r="B72" s="17">
        <v>68</v>
      </c>
      <c r="C72" s="2" t="b">
        <f ca="1">IFERROR(__xludf.DUMMYFUNCTION("""COMPUTED_VALUE"""),FALSE)</f>
        <v>0</v>
      </c>
      <c r="D72" s="2">
        <f ca="1">IFERROR(__xludf.DUMMYFUNCTION("""COMPUTED_VALUE"""),100)</f>
        <v>100</v>
      </c>
      <c r="E72" s="2" t="str">
        <f ca="1">IFERROR(__xludf.DUMMYFUNCTION("""COMPUTED_VALUE"""),"Scarousing")</f>
        <v>Scarousing</v>
      </c>
      <c r="F72" s="2" t="str">
        <f ca="1">IFERROR(__xludf.DUMMYFUNCTION("""COMPUTED_VALUE"""),"Toshi Densetsu Bitch")</f>
        <v>Toshi Densetsu Bitch</v>
      </c>
      <c r="G72" s="2" t="str">
        <f ca="1">IFERROR(__xludf.DUMMYFUNCTION("""COMPUTED_VALUE"""),"Mind &amp; Control")</f>
        <v>Mind &amp; Control</v>
      </c>
      <c r="H72" s="2" t="str">
        <f ca="1">IFERROR(__xludf.DUMMYFUNCTION("""COMPUTED_VALUE"""),"There’s something about you that’s frightening and arousing in equal measure, enough to give people difficulty when running from you due to their raging boners or soaked pussies. You can toggle the fear component off if you wish to try a more openly seduc"&amp;"tive approach.")</f>
        <v>There’s something about you that’s frightening and arousing in equal measure, enough to give people difficulty when running from you due to their raging boners or soaked pussies. You can toggle the fear component off if you wish to try a more openly seductive approach.</v>
      </c>
      <c r="I72" s="5"/>
    </row>
    <row r="73" spans="1:9" ht="139.19999999999999" x14ac:dyDescent="0.25">
      <c r="A73" s="16"/>
      <c r="B73" s="17">
        <v>69</v>
      </c>
      <c r="C73" s="2" t="b">
        <f ca="1">IFERROR(__xludf.DUMMYFUNCTION("""COMPUTED_VALUE"""),FALSE)</f>
        <v>0</v>
      </c>
      <c r="D73" s="2">
        <f ca="1">IFERROR(__xludf.DUMMYFUNCTION("""COMPUTED_VALUE"""),100)</f>
        <v>100</v>
      </c>
      <c r="E73" s="2" t="str">
        <f ca="1">IFERROR(__xludf.DUMMYFUNCTION("""COMPUTED_VALUE"""),"Self Control")</f>
        <v>Self Control</v>
      </c>
      <c r="F73" s="2" t="str">
        <f ca="1">IFERROR(__xludf.DUMMYFUNCTION("""COMPUTED_VALUE"""),"Elzikyuchi’s Dickgirls 2")</f>
        <v>Elzikyuchi’s Dickgirls 2</v>
      </c>
      <c r="G73" s="2" t="str">
        <f ca="1">IFERROR(__xludf.DUMMYFUNCTION("""COMPUTED_VALUE"""),"Mind &amp; Control")</f>
        <v>Mind &amp; Control</v>
      </c>
      <c r="H73" s="2" t="str">
        <f ca="1">IFERROR(__xludf.DUMMYFUNCTION("""COMPUTED_VALUE"""),"In all honesty, this is something most dickgirls seem to lack. A good grip on the concept of stopping. Granted, most of them lack that on account of a somewhat purposeful hormone imbalance that leaves them constantly horny, but the point remains. You don’"&amp;"t have that issue, which means that when you feel like you’re done having sex, stopping actually is an option for you. Additionally, if you’re one of those kinds of Dickgirls whose body NEEDS to have sex every so often, you’ll find that refraining will me"&amp;"rely leave your balls aching from being overfull instead of potentially exploding from excessive cum production. Though, do keep in mind that some men, most women, and almost every Dickgirl everywhere will look down on you for this.")</f>
        <v>In all honesty, this is something most dickgirls seem to lack. A good grip on the concept of stopping. Granted, most of them lack that on account of a somewhat purposeful hormone imbalance that leaves them constantly horny, but the point remains. You don’t have that issue, which means that when you feel like you’re done having sex, stopping actually is an option for you. Additionally, if you’re one of those kinds of Dickgirls whose body NEEDS to have sex every so often, you’ll find that refraining will merely leave your balls aching from being overfull instead of potentially exploding from excessive cum production. Though, do keep in mind that some men, most women, and almost every Dickgirl everywhere will look down on you for this.</v>
      </c>
      <c r="I73" s="5"/>
    </row>
    <row r="74" spans="1:9" ht="121.8" x14ac:dyDescent="0.25">
      <c r="A74" s="16"/>
      <c r="B74" s="17">
        <v>70</v>
      </c>
      <c r="C74" s="2" t="b">
        <f ca="1">IFERROR(__xludf.DUMMYFUNCTION("""COMPUTED_VALUE"""),FALSE)</f>
        <v>0</v>
      </c>
      <c r="D74" s="2">
        <f ca="1">IFERROR(__xludf.DUMMYFUNCTION("""COMPUTED_VALUE"""),100)</f>
        <v>100</v>
      </c>
      <c r="E74" s="2" t="str">
        <f ca="1">IFERROR(__xludf.DUMMYFUNCTION("""COMPUTED_VALUE"""),"Self-Control")</f>
        <v>Self-Control</v>
      </c>
      <c r="F74" s="2" t="str">
        <f ca="1">IFERROR(__xludf.DUMMYFUNCTION("""COMPUTED_VALUE"""),"Lewd Virus")</f>
        <v>Lewd Virus</v>
      </c>
      <c r="G74" s="2" t="str">
        <f ca="1">IFERROR(__xludf.DUMMYFUNCTION("""COMPUTED_VALUE"""),"Mind &amp; Control")</f>
        <v>Mind &amp; Control</v>
      </c>
      <c r="H74" s="2" t="str">
        <f ca="1">IFERROR(__xludf.DUMMYFUNCTION("""COMPUTED_VALUE"""),"When women were forced to walk around half-naked, sex crimes saw a drastic rise, even before taking into account the actions of the infected. But then you have people like Professor Sukima Kuroo, who can calmly talk about and watch sex acts with hardly an"&amp;"y response whatsoever. Maybe he has excellent self-control, maybe he’s ace, it doesn’t matter—what does matter is that this perk gives you perfect self-control over your own arousal and lust. You can simply make yourself stop feeling desirous towards othe"&amp;"rs if it’s interfering with your life or your work, or you can instantly get yourself in the mood when the time comes to actually fuck.")</f>
        <v>When women were forced to walk around half-naked, sex crimes saw a drastic rise, even before taking into account the actions of the infected. But then you have people like Professor Sukima Kuroo, who can calmly talk about and watch sex acts with hardly any response whatsoever. Maybe he has excellent self-control, maybe he’s ace, it doesn’t matter—what does matter is that this perk gives you perfect self-control over your own arousal and lust. You can simply make yourself stop feeling desirous towards others if it’s interfering with your life or your work, or you can instantly get yourself in the mood when the time comes to actually fuck.</v>
      </c>
      <c r="I74" s="5"/>
    </row>
    <row r="75" spans="1:9" ht="156.6" x14ac:dyDescent="0.25">
      <c r="A75" s="16"/>
      <c r="B75" s="17">
        <v>71</v>
      </c>
      <c r="C75" s="2" t="b">
        <f ca="1">IFERROR(__xludf.DUMMYFUNCTION("""COMPUTED_VALUE"""),FALSE)</f>
        <v>0</v>
      </c>
      <c r="D75" s="2">
        <f ca="1">IFERROR(__xludf.DUMMYFUNCTION("""COMPUTED_VALUE"""),100)</f>
        <v>100</v>
      </c>
      <c r="E75" s="2" t="str">
        <f ca="1">IFERROR(__xludf.DUMMYFUNCTION("""COMPUTED_VALUE"""),"Sinful Desires")</f>
        <v>Sinful Desires</v>
      </c>
      <c r="F75" s="2" t="str">
        <f ca="1">IFERROR(__xludf.DUMMYFUNCTION("""COMPUTED_VALUE"""),"Shinmai Maou no Testament")</f>
        <v>Shinmai Maou no Testament</v>
      </c>
      <c r="G75" s="2" t="str">
        <f ca="1">IFERROR(__xludf.DUMMYFUNCTION("""COMPUTED_VALUE"""),"Mind &amp; Control")</f>
        <v>Mind &amp; Control</v>
      </c>
      <c r="H75" s="2" t="str">
        <f ca="1">IFERROR(__xludf.DUMMYFUNCTION("""COMPUTED_VALUE"""),"Demons are the most accepting of their vices of the three factions, embracing their status as the outcasts of heaven. Knowing your inner darkness as they do, it becomes easy to see the same qualities in others. The base desires of other people are an open"&amp;" book to you, allowing you to easily see past any attempts to hide such things from your perception. You can tell with certainty when a heroic face hides a dark and sadistic heart, or when a tsundere is secretly a masochist hoping for someone (like you?) "&amp;"to pin her down and ravish her into submission. Even if a person has no conscious knowledge of their own desires you’re able to see right to the heart of them and bring them into the open, teasing and tempting these repressed souls until their true nature"&amp;" comes bursting out of the closet and become impossible to ignore.")</f>
        <v>Demons are the most accepting of their vices of the three factions, embracing their status as the outcasts of heaven. Knowing your inner darkness as they do, it becomes easy to see the same qualities in others. The base desires of other people are an open book to you, allowing you to easily see past any attempts to hide such things from your perception. You can tell with certainty when a heroic face hides a dark and sadistic heart, or when a tsundere is secretly a masochist hoping for someone (like you?) to pin her down and ravish her into submission. Even if a person has no conscious knowledge of their own desires you’re able to see right to the heart of them and bring them into the open, teasing and tempting these repressed souls until their true nature comes bursting out of the closet and become impossible to ignore.</v>
      </c>
      <c r="I75" s="5"/>
    </row>
    <row r="76" spans="1:9" ht="139.19999999999999" x14ac:dyDescent="0.25">
      <c r="A76" s="16"/>
      <c r="B76" s="17">
        <v>72</v>
      </c>
      <c r="C76" s="2" t="b">
        <f ca="1">IFERROR(__xludf.DUMMYFUNCTION("""COMPUTED_VALUE"""),FALSE)</f>
        <v>0</v>
      </c>
      <c r="D76" s="2">
        <f ca="1">IFERROR(__xludf.DUMMYFUNCTION("""COMPUTED_VALUE"""),100)</f>
        <v>100</v>
      </c>
      <c r="E76" s="2" t="str">
        <f ca="1">IFERROR(__xludf.DUMMYFUNCTION("""COMPUTED_VALUE"""),"Standard Script")</f>
        <v>Standard Script</v>
      </c>
      <c r="F76" s="2" t="str">
        <f ca="1">IFERROR(__xludf.DUMMYFUNCTION("""COMPUTED_VALUE"""),"Mind Control University")</f>
        <v>Mind Control University</v>
      </c>
      <c r="G76" s="2" t="str">
        <f ca="1">IFERROR(__xludf.DUMMYFUNCTION("""COMPUTED_VALUE"""),"Mind &amp; Control")</f>
        <v>Mind &amp; Control</v>
      </c>
      <c r="H76" s="2" t="str">
        <f ca="1">IFERROR(__xludf.DUMMYFUNCTION("""COMPUTED_VALUE"""),"An ordinary-looking file folder containing a piece of paper with a list of statements that will be highly effective against most people both as subliminal messages and as instructions applied during trance to turn them into your loyal, obedient slave. Eac"&amp;"h time you utilize this list, another piece of paper will appear in the folder, identical to the original save that it has the hypnotized individual’s name at the top; as the subliminals/instructions are repeated, the list will gradually update itself to "&amp;"tailor them to the named individual, changing the list items to play off of the victim’s psychological faultlines. Neither this file nor the papers that naturally fill it can be stolen or destroyed; the papers are illegible to anyone other than yourself w"&amp;"hom you have not permitted to read them.")</f>
        <v>An ordinary-looking file folder containing a piece of paper with a list of statements that will be highly effective against most people both as subliminal messages and as instructions applied during trance to turn them into your loyal, obedient slave. Each time you utilize this list, another piece of paper will appear in the folder, identical to the original save that it has the hypnotized individual’s name at the top; as the subliminals/instructions are repeated, the list will gradually update itself to tailor them to the named individual, changing the list items to play off of the victim’s psychological faultlines. Neither this file nor the papers that naturally fill it can be stolen or destroyed; the papers are illegible to anyone other than yourself whom you have not permitted to read them.</v>
      </c>
      <c r="I76" s="5"/>
    </row>
    <row r="77" spans="1:9" ht="104.4" x14ac:dyDescent="0.25">
      <c r="A77" s="16"/>
      <c r="B77" s="17">
        <v>73</v>
      </c>
      <c r="C77" s="2" t="b">
        <f ca="1">IFERROR(__xludf.DUMMYFUNCTION("""COMPUTED_VALUE"""),FALSE)</f>
        <v>0</v>
      </c>
      <c r="D77" s="2">
        <f ca="1">IFERROR(__xludf.DUMMYFUNCTION("""COMPUTED_VALUE"""),100)</f>
        <v>100</v>
      </c>
      <c r="E77" s="2" t="str">
        <f ca="1">IFERROR(__xludf.DUMMYFUNCTION("""COMPUTED_VALUE"""),"Subliminal Contact Lenses")</f>
        <v>Subliminal Contact Lenses</v>
      </c>
      <c r="F77" s="2" t="str">
        <f ca="1">IFERROR(__xludf.DUMMYFUNCTION("""COMPUTED_VALUE"""),"Mind Control University")</f>
        <v>Mind Control University</v>
      </c>
      <c r="G77" s="2" t="str">
        <f ca="1">IFERROR(__xludf.DUMMYFUNCTION("""COMPUTED_VALUE"""),"Mind &amp; Control")</f>
        <v>Mind &amp; Control</v>
      </c>
      <c r="H77" s="2" t="str">
        <f ca="1">IFERROR(__xludf.DUMMYFUNCTION("""COMPUTED_VALUE"""),"An unlimited supply of contact lenses that you can mentally program to bombard the wearer with subliminal messages of your choosing; you may alter/cease the subliminal messaging even after the lenses have been put on. While they can be defended against, t"&amp;"hey can’t be subverted or used against you. All of them adapt to correct the wearer’s vision as normal prescription lenses would. Unlike normal contact lenses, these do not have any negative consequences for being worn for long periods and don’t need to b"&amp;"e cleaned. They are available in glasses as well.")</f>
        <v>An unlimited supply of contact lenses that you can mentally program to bombard the wearer with subliminal messages of your choosing; you may alter/cease the subliminal messaging even after the lenses have been put on. While they can be defended against, they can’t be subverted or used against you. All of them adapt to correct the wearer’s vision as normal prescription lenses would. Unlike normal contact lenses, these do not have any negative consequences for being worn for long periods and don’t need to be cleaned. They are available in glasses as well.</v>
      </c>
      <c r="I77" s="5"/>
    </row>
    <row r="78" spans="1:9" ht="121.8" x14ac:dyDescent="0.25">
      <c r="A78" s="16"/>
      <c r="B78" s="17">
        <v>74</v>
      </c>
      <c r="C78" s="2" t="b">
        <f ca="1">IFERROR(__xludf.DUMMYFUNCTION("""COMPUTED_VALUE"""),FALSE)</f>
        <v>0</v>
      </c>
      <c r="D78" s="2">
        <f ca="1">IFERROR(__xludf.DUMMYFUNCTION("""COMPUTED_VALUE"""),100)</f>
        <v>100</v>
      </c>
      <c r="E78" s="2" t="str">
        <f ca="1">IFERROR(__xludf.DUMMYFUNCTION("""COMPUTED_VALUE"""),"The ""Ignore Me"" Book")</f>
        <v>The "Ignore Me" Book</v>
      </c>
      <c r="F78" s="2" t="str">
        <f ca="1">IFERROR(__xludf.DUMMYFUNCTION("""COMPUTED_VALUE"""),"Seikon No Qwaser")</f>
        <v>Seikon No Qwaser</v>
      </c>
      <c r="G78" s="2" t="str">
        <f ca="1">IFERROR(__xludf.DUMMYFUNCTION("""COMPUTED_VALUE"""),"Mind &amp; Control")</f>
        <v>Mind &amp; Control</v>
      </c>
      <c r="H78" s="2" t="str">
        <f ca="1">IFERROR(__xludf.DUMMYFUNCTION("""COMPUTED_VALUE"""),"Currently, this unassuming little hardcover book bears the text and outward appearance of a standard Bible, though you can change both to any book you happen to have already read with a mere thought. More importantly, raise this open book to your face and"&amp;" all those whom pursue you will find themselves momentarily flummoxed by “where did they go?” This grace period falls off in effectiveness the more potent the enemy or individual seeking you is, ranging from a few minutes for peons and scant seconds for t"&amp;"hose that you could consider equals. But maybe those seconds are all that you needed?")</f>
        <v>Currently, this unassuming little hardcover book bears the text and outward appearance of a standard Bible, though you can change both to any book you happen to have already read with a mere thought. More importantly, raise this open book to your face and all those whom pursue you will find themselves momentarily flummoxed by “where did they go?” This grace period falls off in effectiveness the more potent the enemy or individual seeking you is, ranging from a few minutes for peons and scant seconds for those that you could consider equals. But maybe those seconds are all that you needed?</v>
      </c>
      <c r="I78" s="5"/>
    </row>
    <row r="79" spans="1:9" ht="52.2" x14ac:dyDescent="0.25">
      <c r="A79" s="16"/>
      <c r="B79" s="17">
        <v>75</v>
      </c>
      <c r="C79" s="2" t="b">
        <f ca="1">IFERROR(__xludf.DUMMYFUNCTION("""COMPUTED_VALUE"""),FALSE)</f>
        <v>0</v>
      </c>
      <c r="D79" s="2">
        <f ca="1">IFERROR(__xludf.DUMMYFUNCTION("""COMPUTED_VALUE"""),100)</f>
        <v>100</v>
      </c>
      <c r="E79" s="2" t="str">
        <f ca="1">IFERROR(__xludf.DUMMYFUNCTION("""COMPUTED_VALUE"""),"This is Just Vile")</f>
        <v>This is Just Vile</v>
      </c>
      <c r="F79" s="2" t="str">
        <f ca="1">IFERROR(__xludf.DUMMYFUNCTION("""COMPUTED_VALUE"""),"World of Moral Reversal")</f>
        <v>World of Moral Reversal</v>
      </c>
      <c r="G79" s="2" t="str">
        <f ca="1">IFERROR(__xludf.DUMMYFUNCTION("""COMPUTED_VALUE"""),"Mind &amp; Control")</f>
        <v>Mind &amp; Control</v>
      </c>
      <c r="H79" s="2" t="str">
        <f ca="1">IFERROR(__xludf.DUMMYFUNCTION("""COMPUTED_VALUE"""),"You can always think of new and creative ways to suppress or avoid your more primal urges, or just to keep yourself occupied. Pure self denial can be unhealthy, but you’ll only find your mental wellness bolstered by wholesome acts, in avoidance of more vu"&amp;"lgar ones.")</f>
        <v>You can always think of new and creative ways to suppress or avoid your more primal urges, or just to keep yourself occupied. Pure self denial can be unhealthy, but you’ll only find your mental wellness bolstered by wholesome acts, in avoidance of more vulgar ones.</v>
      </c>
      <c r="I79" s="5"/>
    </row>
    <row r="80" spans="1:9" ht="121.8" x14ac:dyDescent="0.25">
      <c r="A80" s="16"/>
      <c r="B80" s="17">
        <v>76</v>
      </c>
      <c r="C80" s="2" t="b">
        <f ca="1">IFERROR(__xludf.DUMMYFUNCTION("""COMPUTED_VALUE"""),FALSE)</f>
        <v>0</v>
      </c>
      <c r="D80" s="2">
        <f ca="1">IFERROR(__xludf.DUMMYFUNCTION("""COMPUTED_VALUE"""),100)</f>
        <v>100</v>
      </c>
      <c r="E80" s="2" t="str">
        <f ca="1">IFERROR(__xludf.DUMMYFUNCTION("""COMPUTED_VALUE"""),"Tiger Masks")</f>
        <v>Tiger Masks</v>
      </c>
      <c r="F80" s="2" t="str">
        <f ca="1">IFERROR(__xludf.DUMMYFUNCTION("""COMPUTED_VALUE"""),"Although Young People Recoil from Entering the Black Magic Industry...")</f>
        <v>Although Young People Recoil from Entering the Black Magic Industry...</v>
      </c>
      <c r="G80" s="2" t="str">
        <f ca="1">IFERROR(__xludf.DUMMYFUNCTION("""COMPUTED_VALUE"""),"Mind &amp; Control")</f>
        <v>Mind &amp; Control</v>
      </c>
      <c r="H80" s="2" t="str">
        <f ca="1">IFERROR(__xludf.DUMMYFUNCTION("""COMPUTED_VALUE"""),"You have a small shipping container full of cutesy, full-face tiger masks. While wearing a tiger mask, nobody will recognize you, no matter how distinctive the rest of your outfit or hairstyle might be. However, people may recognize your identity as “the "&amp;"person in the tiger mask”, and if you tell someone your name or they see you put it on, they will make the connection. If multiple different people have tiger masks, they can tell the difference between them, but will only recognize that they are all peop"&amp;"le wearing tiger masks and not make the connection between their real identities an d those of the people wearing masks that look just like them.")</f>
        <v>You have a small shipping container full of cutesy, full-face tiger masks. While wearing a tiger mask, nobody will recognize you, no matter how distinctive the rest of your outfit or hairstyle might be. However, people may recognize your identity as “the person in the tiger mask”, and if you tell someone your name or they see you put it on, they will make the connection. If multiple different people have tiger masks, they can tell the difference between them, but will only recognize that they are all people wearing tiger masks and not make the connection between their real identities an d those of the people wearing masks that look just like them.</v>
      </c>
      <c r="I80" s="5"/>
    </row>
    <row r="81" spans="1:9" ht="121.8" x14ac:dyDescent="0.25">
      <c r="A81" s="16"/>
      <c r="B81" s="17">
        <v>77</v>
      </c>
      <c r="C81" s="2" t="b">
        <f ca="1">IFERROR(__xludf.DUMMYFUNCTION("""COMPUTED_VALUE"""),FALSE)</f>
        <v>0</v>
      </c>
      <c r="D81" s="2">
        <f ca="1">IFERROR(__xludf.DUMMYFUNCTION("""COMPUTED_VALUE"""),100)</f>
        <v>100</v>
      </c>
      <c r="E81" s="2" t="str">
        <f ca="1">IFERROR(__xludf.DUMMYFUNCTION("""COMPUTED_VALUE"""),"To the Breaking Point")</f>
        <v>To the Breaking Point</v>
      </c>
      <c r="F81" s="2" t="str">
        <f ca="1">IFERROR(__xludf.DUMMYFUNCTION("""COMPUTED_VALUE"""),"Mind Control University")</f>
        <v>Mind Control University</v>
      </c>
      <c r="G81" s="2" t="str">
        <f ca="1">IFERROR(__xludf.DUMMYFUNCTION("""COMPUTED_VALUE"""),"Mind &amp; Control")</f>
        <v>Mind &amp; Control</v>
      </c>
      <c r="H81" s="2" t="str">
        <f ca="1">IFERROR(__xludf.DUMMYFUNCTION("""COMPUTED_VALUE"""),"The most dangerous part of hypnotism (and mind control in general) is pushing someone too far too fast. If you have enough skill, you can twist someone around into their polar opposite, but that takes a master of the craft. If someone less skilled isn’t c"&amp;"areful, they could, by trying to alter someone’s core self, accidentally jar them so badly they wake from trance or even break them mentally. Fortunately, you don’t have to worry about that — you always know just how far and fast you can push someone with"&amp;" mind control, and you have a special insight on getting what you want while working around those mental landmines.")</f>
        <v>The most dangerous part of hypnotism (and mind control in general) is pushing someone too far too fast. If you have enough skill, you can twist someone around into their polar opposite, but that takes a master of the craft. If someone less skilled isn’t careful, they could, by trying to alter someone’s core self, accidentally jar them so badly they wake from trance or even break them mentally. Fortunately, you don’t have to worry about that — you always know just how far and fast you can push someone with mind control, and you have a special insight on getting what you want while working around those mental landmines.</v>
      </c>
      <c r="I81" s="5"/>
    </row>
    <row r="82" spans="1:9" ht="139.19999999999999" x14ac:dyDescent="0.25">
      <c r="A82" s="16"/>
      <c r="B82" s="17">
        <v>78</v>
      </c>
      <c r="C82" s="2" t="b">
        <f ca="1">IFERROR(__xludf.DUMMYFUNCTION("""COMPUTED_VALUE"""),FALSE)</f>
        <v>0</v>
      </c>
      <c r="D82" s="2">
        <f ca="1">IFERROR(__xludf.DUMMYFUNCTION("""COMPUTED_VALUE"""),100)</f>
        <v>100</v>
      </c>
      <c r="E82" s="2" t="str">
        <f ca="1">IFERROR(__xludf.DUMMYFUNCTION("""COMPUTED_VALUE"""),"Virtual Sex Machine")</f>
        <v>Virtual Sex Machine</v>
      </c>
      <c r="F82" s="2" t="str">
        <f ca="1">IFERROR(__xludf.DUMMYFUNCTION("""COMPUTED_VALUE"""),"The Otaku in 2200 AD")</f>
        <v>The Otaku in 2200 AD</v>
      </c>
      <c r="G82" s="2" t="str">
        <f ca="1">IFERROR(__xludf.DUMMYFUNCTION("""COMPUTED_VALUE"""),"Mind &amp; Control")</f>
        <v>Mind &amp; Control</v>
      </c>
      <c r="H82" s="2" t="str">
        <f ca="1">IFERROR(__xludf.DUMMYFUNCTION("""COMPUTED_VALUE"""),"An amazing piece of technology, and one that has nearly led to the downfall of men due to the widespread impotency it induces. You have a machine that lets you experience virtual sex; having sex with someone who isn’t there, but enhanced to a ludicrous de"&amp;"gree. This pleasure and stimulation is so extreme that it’s almost impossible for someone who’s experienced it to get aroused by normal sensations again. Regular sex becomes so lackluster than men can’t even get hard anymore except via virtual sex—and thi"&amp;"s is a setting where there exist means to induce pleasure more than thirty times that of normal sex without causing this sort of impotence. This is a very dangerous toy you’ve purchased.")</f>
        <v>An amazing piece of technology, and one that has nearly led to the downfall of men due to the widespread impotency it induces. You have a machine that lets you experience virtual sex; having sex with someone who isn’t there, but enhanced to a ludicrous degree. This pleasure and stimulation is so extreme that it’s almost impossible for someone who’s experienced it to get aroused by normal sensations again. Regular sex becomes so lackluster than men can’t even get hard anymore except via virtual sex—and this is a setting where there exist means to induce pleasure more than thirty times that of normal sex without causing this sort of impotence. This is a very dangerous toy you’ve purchased.</v>
      </c>
      <c r="I82" s="5"/>
    </row>
    <row r="83" spans="1:9" ht="69.599999999999994" x14ac:dyDescent="0.25">
      <c r="A83" s="16"/>
      <c r="B83" s="17">
        <v>79</v>
      </c>
      <c r="C83" s="2" t="b">
        <f ca="1">IFERROR(__xludf.DUMMYFUNCTION("""COMPUTED_VALUE"""),FALSE)</f>
        <v>0</v>
      </c>
      <c r="D83" s="2">
        <f ca="1">IFERROR(__xludf.DUMMYFUNCTION("""COMPUTED_VALUE"""),100)</f>
        <v>100</v>
      </c>
      <c r="E83" s="2" t="str">
        <f ca="1">IFERROR(__xludf.DUMMYFUNCTION("""COMPUTED_VALUE"""),"Wanton Woman")</f>
        <v>Wanton Woman</v>
      </c>
      <c r="F83" s="2" t="str">
        <f ca="1">IFERROR(__xludf.DUMMYFUNCTION("""COMPUTED_VALUE"""),"Sei So Tsui Dan Sha")</f>
        <v>Sei So Tsui Dan Sha</v>
      </c>
      <c r="G83" s="2" t="str">
        <f ca="1">IFERROR(__xludf.DUMMYFUNCTION("""COMPUTED_VALUE"""),"Mind &amp; Control")</f>
        <v>Mind &amp; Control</v>
      </c>
      <c r="H83" s="2" t="str">
        <f ca="1">IFERROR(__xludf.DUMMYFUNCTION("""COMPUTED_VALUE"""),"You haven’t lived this long by pretending to be someone else, and you aren’t going to start. You are rarely, if ever judged for taking life at your own pace, or being generally eccentric. You’re still held to any responsibilities you may have, but other t"&amp;"han that, who is anyone else to criticise the path you take to fulfill them.")</f>
        <v>You haven’t lived this long by pretending to be someone else, and you aren’t going to start. You are rarely, if ever judged for taking life at your own pace, or being generally eccentric. You’re still held to any responsibilities you may have, but other than that, who is anyone else to criticise the path you take to fulfill them.</v>
      </c>
      <c r="I83" s="5"/>
    </row>
    <row r="84" spans="1:9" ht="69.599999999999994" x14ac:dyDescent="0.25">
      <c r="A84" s="16"/>
      <c r="B84" s="17">
        <v>80</v>
      </c>
      <c r="C84" s="2" t="b">
        <f ca="1">IFERROR(__xludf.DUMMYFUNCTION("""COMPUTED_VALUE"""),FALSE)</f>
        <v>0</v>
      </c>
      <c r="D84" s="2">
        <f ca="1">IFERROR(__xludf.DUMMYFUNCTION("""COMPUTED_VALUE"""),100)</f>
        <v>100</v>
      </c>
      <c r="E84" s="2" t="str">
        <f ca="1">IFERROR(__xludf.DUMMYFUNCTION("""COMPUTED_VALUE"""),"We're all Girls Here")</f>
        <v>We're all Girls Here</v>
      </c>
      <c r="F84" s="2" t="str">
        <f ca="1">IFERROR(__xludf.DUMMYFUNCTION("""COMPUTED_VALUE"""),"Generic: Hentai Magical Girl")</f>
        <v>Generic: Hentai Magical Girl</v>
      </c>
      <c r="G84" s="2" t="str">
        <f ca="1">IFERROR(__xludf.DUMMYFUNCTION("""COMPUTED_VALUE"""),"Mind &amp; Control")</f>
        <v>Mind &amp; Control</v>
      </c>
      <c r="H84" s="2" t="str">
        <f ca="1">IFERROR(__xludf.DUMMYFUNCTION("""COMPUTED_VALUE"""),"In a room full of girls, who’s going to call pervert when there are no guys? Simply put, you can push the boundaries of what is considered socially acceptable when in a single sex environment. Get into a literal dick measuring contest, swap stories and pi"&amp;"cs of ahegao facesas a guy, or maybe practice kissing and grope each other in the name of breast growth as a girl.")</f>
        <v>In a room full of girls, who’s going to call pervert when there are no guys? Simply put, you can push the boundaries of what is considered socially acceptable when in a single sex environment. Get into a literal dick measuring contest, swap stories and pics of ahegao facesas a guy, or maybe practice kissing and grope each other in the name of breast growth as a girl.</v>
      </c>
      <c r="I84" s="5"/>
    </row>
    <row r="85" spans="1:9" ht="139.19999999999999" x14ac:dyDescent="0.25">
      <c r="A85" s="16"/>
      <c r="B85" s="17">
        <v>81</v>
      </c>
      <c r="C85" s="2" t="b">
        <f ca="1">IFERROR(__xludf.DUMMYFUNCTION("""COMPUTED_VALUE"""),FALSE)</f>
        <v>0</v>
      </c>
      <c r="D85" s="2">
        <f ca="1">IFERROR(__xludf.DUMMYFUNCTION("""COMPUTED_VALUE"""),100)</f>
        <v>100</v>
      </c>
      <c r="E85" s="2" t="str">
        <f ca="1">IFERROR(__xludf.DUMMYFUNCTION("""COMPUTED_VALUE"""),"What Dress Code?")</f>
        <v>What Dress Code?</v>
      </c>
      <c r="F85" s="2" t="str">
        <f ca="1">IFERROR(__xludf.DUMMYFUNCTION("""COMPUTED_VALUE"""),"Burakku Gakkou Ni Tsutomete Shimatta Sensei")</f>
        <v>Burakku Gakkou Ni Tsutomete Shimatta Sensei</v>
      </c>
      <c r="G85" s="2" t="str">
        <f ca="1">IFERROR(__xludf.DUMMYFUNCTION("""COMPUTED_VALUE"""),"Mind &amp; Control")</f>
        <v>Mind &amp; Control</v>
      </c>
      <c r="H85" s="2" t="str">
        <f ca="1">IFERROR(__xludf.DUMMYFUNCTION("""COMPUTED_VALUE"""),"For one reason or another, people just don’t really care how you’re dressed; as far as they’re concerned, anything you wear is appropriate to the situation. Show up to a funeral in a wedding dress, or attend class wearing band-aids in place of panties and"&amp;" bras; no one will care. As long as you’re wearing something, it’s still considered suitable.
But wouldn’t it be a shame to show up to tease your teacher, only for him to ignore the fact that you’re only wearing conveniently-placed ribbons? You may selec"&amp;"tively exempt people from the effects of this perk, or re-establish it whenever you desire.")</f>
        <v>For one reason or another, people just don’t really care how you’re dressed; as far as they’re concerned, anything you wear is appropriate to the situation. Show up to a funeral in a wedding dress, or attend class wearing band-aids in place of panties and bras; no one will care. As long as you’re wearing something, it’s still considered suitable.
But wouldn’t it be a shame to show up to tease your teacher, only for him to ignore the fact that you’re only wearing conveniently-placed ribbons? You may selectively exempt people from the effects of this perk, or re-establish it whenever you desire.</v>
      </c>
      <c r="I85" s="5"/>
    </row>
    <row r="86" spans="1:9" ht="87" x14ac:dyDescent="0.25">
      <c r="A86" s="16"/>
      <c r="B86" s="17">
        <v>82</v>
      </c>
      <c r="C86" s="2" t="b">
        <f ca="1">IFERROR(__xludf.DUMMYFUNCTION("""COMPUTED_VALUE"""),FALSE)</f>
        <v>0</v>
      </c>
      <c r="D86" s="2">
        <f ca="1">IFERROR(__xludf.DUMMYFUNCTION("""COMPUTED_VALUE"""),100)</f>
        <v>100</v>
      </c>
      <c r="E86" s="2" t="str">
        <f ca="1">IFERROR(__xludf.DUMMYFUNCTION("""COMPUTED_VALUE"""),"Who Cares About Love Potions?")</f>
        <v>Who Cares About Love Potions?</v>
      </c>
      <c r="F86" s="2" t="str">
        <f ca="1">IFERROR(__xludf.DUMMYFUNCTION("""COMPUTED_VALUE"""),"Slimy Sextet")</f>
        <v>Slimy Sextet</v>
      </c>
      <c r="G86" s="2" t="str">
        <f ca="1">IFERROR(__xludf.DUMMYFUNCTION("""COMPUTED_VALUE"""),"Mind &amp; Control")</f>
        <v>Mind &amp; Control</v>
      </c>
      <c r="H86" s="2" t="str">
        <f ca="1">IFERROR(__xludf.DUMMYFUNCTION("""COMPUTED_VALUE"""),"The emotions people feel for you are more important to them than the origin of those emotions. If you were to use a love potion on someone, they wouldn’t care that their love is artificial, because they can feel it as deeply as if it had occurred naturall"&amp;"y. For purposes of perks and abilities dependent on feeling love or affection, relationships built on the premise of love potions or mind control are just as valid as actual love.")</f>
        <v>The emotions people feel for you are more important to them than the origin of those emotions. If you were to use a love potion on someone, they wouldn’t care that their love is artificial, because they can feel it as deeply as if it had occurred naturally. For purposes of perks and abilities dependent on feeling love or affection, relationships built on the premise of love potions or mind control are just as valid as actual love.</v>
      </c>
      <c r="I86" s="5"/>
    </row>
    <row r="87" spans="1:9" ht="121.8" x14ac:dyDescent="0.25">
      <c r="A87" s="16"/>
      <c r="B87" s="17">
        <v>83</v>
      </c>
      <c r="C87" s="2" t="b">
        <f ca="1">IFERROR(__xludf.DUMMYFUNCTION("""COMPUTED_VALUE"""),FALSE)</f>
        <v>0</v>
      </c>
      <c r="D87" s="2">
        <f ca="1">IFERROR(__xludf.DUMMYFUNCTION("""COMPUTED_VALUE"""),100)</f>
        <v>100</v>
      </c>
      <c r="E87" s="2" t="str">
        <f ca="1">IFERROR(__xludf.DUMMYFUNCTION("""COMPUTED_VALUE"""),"XL Condoms")</f>
        <v>XL Condoms</v>
      </c>
      <c r="F87" s="2" t="str">
        <f ca="1">IFERROR(__xludf.DUMMYFUNCTION("""COMPUTED_VALUE"""),"Naruto Blacked")</f>
        <v>Naruto Blacked</v>
      </c>
      <c r="G87" s="2" t="str">
        <f ca="1">IFERROR(__xludf.DUMMYFUNCTION("""COMPUTED_VALUE"""),"Mind &amp; Control")</f>
        <v>Mind &amp; Control</v>
      </c>
      <c r="H87" s="2" t="str">
        <f ca="1">IFERROR(__xludf.DUMMYFUNCTION("""COMPUTED_VALUE"""),"The only size that fits you, these extra-large rubbers are almost as intimidating out of sheer implication as your actual cock is. Made with exceptionally high-quality materials, you’ll barely notice you’re wearing one at all until you bust a nut inside s"&amp;"ome pretty thing. Most of the time they work perfectly and guarantee that nobody gets pregnant from fucking you. For that reason, having them on hand makes women much more comfortable about fucking you, or at least the potential consequences of doing so. "&amp;"Just the one time won’t hurt anything, right? Little do they know that these condoms can also fail on command. Your command.")</f>
        <v>The only size that fits you, these extra-large rubbers are almost as intimidating out of sheer implication as your actual cock is. Made with exceptionally high-quality materials, you’ll barely notice you’re wearing one at all until you bust a nut inside some pretty thing. Most of the time they work perfectly and guarantee that nobody gets pregnant from fucking you. For that reason, having them on hand makes women much more comfortable about fucking you, or at least the potential consequences of doing so. Just the one time won’t hurt anything, right? Little do they know that these condoms can also fail on command. Your command.</v>
      </c>
      <c r="I87" s="5"/>
    </row>
    <row r="88" spans="1:9" ht="87" x14ac:dyDescent="0.25">
      <c r="A88" s="16"/>
      <c r="B88" s="17">
        <v>84</v>
      </c>
      <c r="C88" s="2" t="b">
        <f ca="1">IFERROR(__xludf.DUMMYFUNCTION("""COMPUTED_VALUE"""),FALSE)</f>
        <v>0</v>
      </c>
      <c r="D88" s="2">
        <f ca="1">IFERROR(__xludf.DUMMYFUNCTION("""COMPUTED_VALUE"""),200)</f>
        <v>200</v>
      </c>
      <c r="E88" s="2" t="str">
        <f ca="1">IFERROR(__xludf.DUMMYFUNCTION("""COMPUTED_VALUE"""),"“... cannot be considered an indecent act.”")</f>
        <v>“... cannot be considered an indecent act.”</v>
      </c>
      <c r="F88" s="2" t="str">
        <f ca="1">IFERROR(__xludf.DUMMYFUNCTION("""COMPUTED_VALUE"""),"Bokunchi No Mikage-san")</f>
        <v>Bokunchi No Mikage-san</v>
      </c>
      <c r="G88" s="2" t="str">
        <f ca="1">IFERROR(__xludf.DUMMYFUNCTION("""COMPUTED_VALUE"""),"Mind &amp; Control")</f>
        <v>Mind &amp; Control</v>
      </c>
      <c r="H88" s="2" t="str">
        <f ca="1">IFERROR(__xludf.DUMMYFUNCTION("""COMPUTED_VALUE"""),"Sumata, or intercrural, is practiced in the Japanese health industry because it technically doesn’t count as sex. Maybe that’s what Mikage meant? Because it’s definitely indecent. However, this ability takes the basic concept and runs with it; now, any le"&amp;"wd activity you (and/or a partner) engage in short of vaginal or anal sex is never considered to be an indecent act by other people. This makes it perfectly acceptable to perform in public, or at school.")</f>
        <v>Sumata, or intercrural, is practiced in the Japanese health industry because it technically doesn’t count as sex. Maybe that’s what Mikage meant? Because it’s definitely indecent. However, this ability takes the basic concept and runs with it; now, any lewd activity you (and/or a partner) engage in short of vaginal or anal sex is never considered to be an indecent act by other people. This makes it perfectly acceptable to perform in public, or at school.</v>
      </c>
      <c r="I88" s="5"/>
    </row>
    <row r="89" spans="1:9" ht="208.8" x14ac:dyDescent="0.25">
      <c r="A89" s="16"/>
      <c r="B89" s="17">
        <v>85</v>
      </c>
      <c r="C89" s="2" t="b">
        <f ca="1">IFERROR(__xludf.DUMMYFUNCTION("""COMPUTED_VALUE"""),FALSE)</f>
        <v>0</v>
      </c>
      <c r="D89" s="2">
        <f ca="1">IFERROR(__xludf.DUMMYFUNCTION("""COMPUTED_VALUE"""),200)</f>
        <v>200</v>
      </c>
      <c r="E89" s="2" t="str">
        <f ca="1">IFERROR(__xludf.DUMMYFUNCTION("""COMPUTED_VALUE"""),"A Night to Remember")</f>
        <v>A Night to Remember</v>
      </c>
      <c r="F89" s="2" t="str">
        <f ca="1">IFERROR(__xludf.DUMMYFUNCTION("""COMPUTED_VALUE"""),"Kemokko Zoo")</f>
        <v>Kemokko Zoo</v>
      </c>
      <c r="G89" s="2" t="str">
        <f ca="1">IFERROR(__xludf.DUMMYFUNCTION("""COMPUTED_VALUE"""),"Mind &amp; Control")</f>
        <v>Mind &amp; Control</v>
      </c>
      <c r="H89" s="2" t="str">
        <f ca="1">IFERROR(__xludf.DUMMYFUNCTION("""COMPUTED_VALUE"""),"With the Director’s pills only turning the animals into human girls at night, things should have been awkward, since both humans and many animals at the zoo are diurnal [they sleep at night]. Fortunately, this is never a concern in this lighthearted ecchi"&amp;" manga, so all the animals and humans are fine partying, playing, and having sex throughout the night, and still feel well-rested to be active the next day.
You can now easily adjust your sleep and awake cycle back and forth without any problems – you c"&amp;"an choose to be awake at night even if you’re normally awake in the day, and you won’t even be thrown off if you move to a significantly different time zone. Moreover, when you spend active time bonding with people (this includes sex), you can make that p"&amp;"eriod count as if you were sleeping then, such that you’ll gain the benefits of resting. Please note that this only counts for time you’re spending with other people, and that excessive activity in itself can be tiring.")</f>
        <v>With the Director’s pills only turning the animals into human girls at night, things should have been awkward, since both humans and many animals at the zoo are diurnal [they sleep at night]. Fortunately, this is never a concern in this lighthearted ecchi manga, so all the animals and humans are fine partying, playing, and having sex throughout the night, and still feel well-rested to be active the next day.
You can now easily adjust your sleep and awake cycle back and forth without any problems – you can choose to be awake at night even if you’re normally awake in the day, and you won’t even be thrown off if you move to a significantly different time zone. Moreover, when you spend active time bonding with people (this includes sex), you can make that period count as if you were sleeping then, such that you’ll gain the benefits of resting. Please note that this only counts for time you’re spending with other people, and that excessive activity in itself can be tiring.</v>
      </c>
      <c r="I89" s="5"/>
    </row>
    <row r="90" spans="1:9" ht="104.4" x14ac:dyDescent="0.25">
      <c r="A90" s="16"/>
      <c r="B90" s="17">
        <v>86</v>
      </c>
      <c r="C90" s="2" t="b">
        <f ca="1">IFERROR(__xludf.DUMMYFUNCTION("""COMPUTED_VALUE"""),FALSE)</f>
        <v>0</v>
      </c>
      <c r="D90" s="2">
        <f ca="1">IFERROR(__xludf.DUMMYFUNCTION("""COMPUTED_VALUE"""),200)</f>
        <v>200</v>
      </c>
      <c r="E90" s="2" t="str">
        <f ca="1">IFERROR(__xludf.DUMMYFUNCTION("""COMPUTED_VALUE"""),"Accept my Apology")</f>
        <v>Accept my Apology</v>
      </c>
      <c r="F90" s="2" t="str">
        <f ca="1">IFERROR(__xludf.DUMMYFUNCTION("""COMPUTED_VALUE"""),"My Bride is the Demon Lord")</f>
        <v>My Bride is the Demon Lord</v>
      </c>
      <c r="G90" s="2" t="str">
        <f ca="1">IFERROR(__xludf.DUMMYFUNCTION("""COMPUTED_VALUE"""),"Mind &amp; Control")</f>
        <v>Mind &amp; Control</v>
      </c>
      <c r="H90" s="2" t="str">
        <f ca="1">IFERROR(__xludf.DUMMYFUNCTION("""COMPUTED_VALUE"""),"When you do someone wrong and need to make it up to them, you can always offer to have sex with them. Regardless of what you did to earn their anger, so long as it was based on something you did to them, you’ll be able to earn their forgiveness by having "&amp;"sex with them. Note that this doesn’t actually make them any more inclined to accept sex with you in the first place; it just makes it a valid form of recompense for any personal wrongdoing. It won’t help with, for instance, getting out of debt or avoidin"&amp;"g paying taxes, because those are matters of business, not personal affairs.")</f>
        <v>When you do someone wrong and need to make it up to them, you can always offer to have sex with them. Regardless of what you did to earn their anger, so long as it was based on something you did to them, you’ll be able to earn their forgiveness by having sex with them. Note that this doesn’t actually make them any more inclined to accept sex with you in the first place; it just makes it a valid form of recompense for any personal wrongdoing. It won’t help with, for instance, getting out of debt or avoiding paying taxes, because those are matters of business, not personal affairs.</v>
      </c>
      <c r="I90" s="5"/>
    </row>
    <row r="91" spans="1:9" ht="104.4" x14ac:dyDescent="0.25">
      <c r="A91" s="16"/>
      <c r="B91" s="17">
        <v>87</v>
      </c>
      <c r="C91" s="2" t="b">
        <f ca="1">IFERROR(__xludf.DUMMYFUNCTION("""COMPUTED_VALUE"""),FALSE)</f>
        <v>0</v>
      </c>
      <c r="D91" s="2">
        <f ca="1">IFERROR(__xludf.DUMMYFUNCTION("""COMPUTED_VALUE"""),200)</f>
        <v>200</v>
      </c>
      <c r="E91" s="2" t="str">
        <f ca="1">IFERROR(__xludf.DUMMYFUNCTION("""COMPUTED_VALUE"""),"Am Innocent!")</f>
        <v>Am Innocent!</v>
      </c>
      <c r="F91" s="2" t="str">
        <f ca="1">IFERROR(__xludf.DUMMYFUNCTION("""COMPUTED_VALUE"""),"Generic: Shotacon")</f>
        <v>Generic: Shotacon</v>
      </c>
      <c r="G91" s="2" t="str">
        <f ca="1">IFERROR(__xludf.DUMMYFUNCTION("""COMPUTED_VALUE"""),"Mind &amp; Control")</f>
        <v>Mind &amp; Control</v>
      </c>
      <c r="H91" s="2" t="str">
        <f ca="1">IFERROR(__xludf.DUMMYFUNCTION("""COMPUTED_VALUE"""),"It seems that no matter how much evidence someone has against you, you never seem to get into any trouble. Did your mom find piles of hentai under your bed? It must have been the school bully trying to get you in trouble! Did your big sister find out that"&amp;" all of her panties are in your room and coved in cum? Someone else must be hiding it in your room to throw her off! What am trying to say is that unless someone ACTUALLY see's you doing something wrong, no one will think it’s you. Even if it clearly is.")</f>
        <v>It seems that no matter how much evidence someone has against you, you never seem to get into any trouble. Did your mom find piles of hentai under your bed? It must have been the school bully trying to get you in trouble! Did your big sister find out that all of her panties are in your room and coved in cum? Someone else must be hiding it in your room to throw her off! What am trying to say is that unless someone ACTUALLY see's you doing something wrong, no one will think it’s you. Even if it clearly is.</v>
      </c>
      <c r="I91" s="5"/>
    </row>
    <row r="92" spans="1:9" ht="87" x14ac:dyDescent="0.25">
      <c r="A92" s="16"/>
      <c r="B92" s="17">
        <v>88</v>
      </c>
      <c r="C92" s="2" t="b">
        <f ca="1">IFERROR(__xludf.DUMMYFUNCTION("""COMPUTED_VALUE"""),FALSE)</f>
        <v>0</v>
      </c>
      <c r="D92" s="2">
        <f ca="1">IFERROR(__xludf.DUMMYFUNCTION("""COMPUTED_VALUE"""),200)</f>
        <v>200</v>
      </c>
      <c r="E92" s="2" t="str">
        <f ca="1">IFERROR(__xludf.DUMMYFUNCTION("""COMPUTED_VALUE"""),"Arm Candy")</f>
        <v>Arm Candy</v>
      </c>
      <c r="F92" s="2" t="str">
        <f ca="1">IFERROR(__xludf.DUMMYFUNCTION("""COMPUTED_VALUE"""),"Generic: Lewd Science Fiction")</f>
        <v>Generic: Lewd Science Fiction</v>
      </c>
      <c r="G92" s="2" t="str">
        <f ca="1">IFERROR(__xludf.DUMMYFUNCTION("""COMPUTED_VALUE"""),"Mind &amp; Control")</f>
        <v>Mind &amp; Control</v>
      </c>
      <c r="H92" s="2" t="str">
        <f ca="1">IFERROR(__xludf.DUMMYFUNCTION("""COMPUTED_VALUE"""),"People don’t just want to be with you – they want to be seen with you. You’ve got a sexy strut and a bombshell/bodybuilder figure that will turn the heads of just about anyone vaguely interested in your gender and species. Of course, when you’re hanging o"&amp;"n to your partner’s arm, this puts you right next to their ear. Everyone else might think you’re whispering sweet nothings to them, but their infatuation with you makes them quite susceptible to your influence.")</f>
        <v>People don’t just want to be with you – they want to be seen with you. You’ve got a sexy strut and a bombshell/bodybuilder figure that will turn the heads of just about anyone vaguely interested in your gender and species. Of course, when you’re hanging on to your partner’s arm, this puts you right next to their ear. Everyone else might think you’re whispering sweet nothings to them, but their infatuation with you makes them quite susceptible to your influence.</v>
      </c>
      <c r="I92" s="5"/>
    </row>
    <row r="93" spans="1:9" ht="69.599999999999994" x14ac:dyDescent="0.25">
      <c r="A93" s="16"/>
      <c r="B93" s="17">
        <v>89</v>
      </c>
      <c r="C93" s="2" t="b">
        <f ca="1">IFERROR(__xludf.DUMMYFUNCTION("""COMPUTED_VALUE"""),FALSE)</f>
        <v>0</v>
      </c>
      <c r="D93" s="2">
        <f ca="1">IFERROR(__xludf.DUMMYFUNCTION("""COMPUTED_VALUE"""),200)</f>
        <v>200</v>
      </c>
      <c r="E93" s="2" t="str">
        <f ca="1">IFERROR(__xludf.DUMMYFUNCTION("""COMPUTED_VALUE"""),"Authorial Bias")</f>
        <v>Authorial Bias</v>
      </c>
      <c r="F93" s="2" t="str">
        <f ca="1">IFERROR(__xludf.DUMMYFUNCTION("""COMPUTED_VALUE"""),"Ashigei Shoujo Komura-san")</f>
        <v>Ashigei Shoujo Komura-san</v>
      </c>
      <c r="G93" s="2" t="str">
        <f ca="1">IFERROR(__xludf.DUMMYFUNCTION("""COMPUTED_VALUE"""),"Mind &amp; Control")</f>
        <v>Mind &amp; Control</v>
      </c>
      <c r="H93" s="2" t="str">
        <f ca="1">IFERROR(__xludf.DUMMYFUNCTION("""COMPUTED_VALUE"""),"Your fetishes have a contagious quality, as long as they aren’t inherently sexual, illegal, or harmful, like feet, big boobs, a type of clothing or hair style, etc. Openly indulging in these fetishes will spread them like a virus. You may and probably wil"&amp;"l be judged, but you’ll find the number of people who share your tastes skyrocketing.")</f>
        <v>Your fetishes have a contagious quality, as long as they aren’t inherently sexual, illegal, or harmful, like feet, big boobs, a type of clothing or hair style, etc. Openly indulging in these fetishes will spread them like a virus. You may and probably will be judged, but you’ll find the number of people who share your tastes skyrocketing.</v>
      </c>
      <c r="I93" s="5"/>
    </row>
    <row r="94" spans="1:9" ht="121.8" x14ac:dyDescent="0.25">
      <c r="A94" s="16"/>
      <c r="B94" s="17">
        <v>90</v>
      </c>
      <c r="C94" s="2" t="b">
        <f ca="1">IFERROR(__xludf.DUMMYFUNCTION("""COMPUTED_VALUE"""),FALSE)</f>
        <v>0</v>
      </c>
      <c r="D94" s="2">
        <f ca="1">IFERROR(__xludf.DUMMYFUNCTION("""COMPUTED_VALUE"""),200)</f>
        <v>200</v>
      </c>
      <c r="E94" s="2" t="str">
        <f ca="1">IFERROR(__xludf.DUMMYFUNCTION("""COMPUTED_VALUE"""),"Completely Trustworthy")</f>
        <v>Completely Trustworthy</v>
      </c>
      <c r="F94" s="2" t="str">
        <f ca="1">IFERROR(__xludf.DUMMYFUNCTION("""COMPUTED_VALUE"""),"Kuroinu")</f>
        <v>Kuroinu</v>
      </c>
      <c r="G94" s="2" t="str">
        <f ca="1">IFERROR(__xludf.DUMMYFUNCTION("""COMPUTED_VALUE"""),"Mind &amp; Control")</f>
        <v>Mind &amp; Control</v>
      </c>
      <c r="H94" s="2" t="str">
        <f ca="1">IFERROR(__xludf.DUMMYFUNCTION("""COMPUTED_VALUE"""),"... is what every idiot here thinks you are. Whether its promising you’ll spare the citizens of one distraught princess as long as she (sexually) submits to you and your men, or promising one of the Knights to a hormone filled general who wants to impregn"&amp;"ate her to continue his bloodline when in actuality you plan to whore her out like all the others, they just seem to think you’ll keep your word regardless of how untrustworthy and scummy you have been before. Repeatedly breaking promises with an individu"&amp;"al will see this trust break down but you get away with things more then you have any right to.")</f>
        <v>... is what every idiot here thinks you are. Whether its promising you’ll spare the citizens of one distraught princess as long as she (sexually) submits to you and your men, or promising one of the Knights to a hormone filled general who wants to impregnate her to continue his bloodline when in actuality you plan to whore her out like all the others, they just seem to think you’ll keep your word regardless of how untrustworthy and scummy you have been before. Repeatedly breaking promises with an individual will see this trust break down but you get away with things more then you have any right to.</v>
      </c>
      <c r="I94" s="5"/>
    </row>
    <row r="95" spans="1:9" ht="87" x14ac:dyDescent="0.25">
      <c r="A95" s="16"/>
      <c r="B95" s="17">
        <v>91</v>
      </c>
      <c r="C95" s="2" t="b">
        <f ca="1">IFERROR(__xludf.DUMMYFUNCTION("""COMPUTED_VALUE"""),FALSE)</f>
        <v>0</v>
      </c>
      <c r="D95" s="2">
        <f ca="1">IFERROR(__xludf.DUMMYFUNCTION("""COMPUTED_VALUE"""),200)</f>
        <v>200</v>
      </c>
      <c r="E95" s="2" t="str">
        <f ca="1">IFERROR(__xludf.DUMMYFUNCTION("""COMPUTED_VALUE"""),"Composure")</f>
        <v>Composure</v>
      </c>
      <c r="F95" s="2" t="str">
        <f ca="1">IFERROR(__xludf.DUMMYFUNCTION("""COMPUTED_VALUE"""),"Burakku Gakkou Ni Tsutomete Shimatta Sensei")</f>
        <v>Burakku Gakkou Ni Tsutomete Shimatta Sensei</v>
      </c>
      <c r="G95" s="2" t="str">
        <f ca="1">IFERROR(__xludf.DUMMYFUNCTION("""COMPUTED_VALUE"""),"Mind &amp; Control")</f>
        <v>Mind &amp; Control</v>
      </c>
      <c r="H95" s="2" t="str">
        <f ca="1">IFERROR(__xludf.DUMMYFUNCTION("""COMPUTED_VALUE"""),"Not something gyaru are known for, huh? But it’s true. You have excellent control over your expressions and your emotions, and unless you let it, nothing you feel will ever cross your face or color your voice. Why, you could easily go through an entire da"&amp;"y with anal beads shoved up your ass, and unless they happened to see them no one would ever realize anything was up with you.")</f>
        <v>Not something gyaru are known for, huh? But it’s true. You have excellent control over your expressions and your emotions, and unless you let it, nothing you feel will ever cross your face or color your voice. Why, you could easily go through an entire day with anal beads shoved up your ass, and unless they happened to see them no one would ever realize anything was up with you.</v>
      </c>
      <c r="I95" s="5"/>
    </row>
    <row r="96" spans="1:9" ht="139.19999999999999" x14ac:dyDescent="0.25">
      <c r="A96" s="16"/>
      <c r="B96" s="17">
        <v>92</v>
      </c>
      <c r="C96" s="2" t="b">
        <f ca="1">IFERROR(__xludf.DUMMYFUNCTION("""COMPUTED_VALUE"""),FALSE)</f>
        <v>0</v>
      </c>
      <c r="D96" s="2">
        <f ca="1">IFERROR(__xludf.DUMMYFUNCTION("""COMPUTED_VALUE"""),200)</f>
        <v>200</v>
      </c>
      <c r="E96" s="2" t="str">
        <f ca="1">IFERROR(__xludf.DUMMYFUNCTION("""COMPUTED_VALUE"""),"Cursed Seal of Engagement")</f>
        <v>Cursed Seal of Engagement</v>
      </c>
      <c r="F96" s="2" t="str">
        <f ca="1">IFERROR(__xludf.DUMMYFUNCTION("""COMPUTED_VALUE"""),"Archangel of Love, Love Mary ~Malignant Conception~")</f>
        <v>Archangel of Love, Love Mary ~Malignant Conception~</v>
      </c>
      <c r="G96" s="2" t="str">
        <f ca="1">IFERROR(__xludf.DUMMYFUNCTION("""COMPUTED_VALUE"""),"Mind &amp; Control")</f>
        <v>Mind &amp; Control</v>
      </c>
      <c r="H96" s="2" t="str">
        <f ca="1">IFERROR(__xludf.DUMMYFUNCTION("""COMPUTED_VALUE"""),"There are other uses for seals than just imprisoning things. With a small application of magic, you are able to painlessly brand a magical seal onto someone’s abdomen — right where the womb would be on a woman. This tattoo is invisible until you activate "&amp;"it, which causes it to release a pleasing warmth. But that’s just a side effect; the true purpose of his cursed seal is to bypass someone’s willpower, making them supremely vulnerable to hypnosis, illusion, and memory alteration. While this seal is applie"&amp;"d to someone, no degree of mental strength is enough for them to break free from such mind - affecting effects. They can only escape your control if an outside force frees them, or if you allow them some degree of temporary freedom.")</f>
        <v>There are other uses for seals than just imprisoning things. With a small application of magic, you are able to painlessly brand a magical seal onto someone’s abdomen — right where the womb would be on a woman. This tattoo is invisible until you activate it, which causes it to release a pleasing warmth. But that’s just a side effect; the true purpose of his cursed seal is to bypass someone’s willpower, making them supremely vulnerable to hypnosis, illusion, and memory alteration. While this seal is applied to someone, no degree of mental strength is enough for them to break free from such mind - affecting effects. They can only escape your control if an outside force frees them, or if you allow them some degree of temporary freedom.</v>
      </c>
      <c r="I96" s="5"/>
    </row>
    <row r="97" spans="1:9" ht="87" x14ac:dyDescent="0.25">
      <c r="A97" s="16"/>
      <c r="B97" s="17">
        <v>93</v>
      </c>
      <c r="C97" s="2" t="b">
        <f ca="1">IFERROR(__xludf.DUMMYFUNCTION("""COMPUTED_VALUE"""),FALSE)</f>
        <v>0</v>
      </c>
      <c r="D97" s="2">
        <f ca="1">IFERROR(__xludf.DUMMYFUNCTION("""COMPUTED_VALUE"""),200)</f>
        <v>200</v>
      </c>
      <c r="E97" s="2" t="str">
        <f ca="1">IFERROR(__xludf.DUMMYFUNCTION("""COMPUTED_VALUE"""),"Cursed with The Sex")</f>
        <v>Cursed with The Sex</v>
      </c>
      <c r="F97" s="2" t="str">
        <f ca="1">IFERROR(__xludf.DUMMYFUNCTION("""COMPUTED_VALUE"""),"Generic: Hentai Occult")</f>
        <v>Generic: Hentai Occult</v>
      </c>
      <c r="G97" s="2" t="str">
        <f ca="1">IFERROR(__xludf.DUMMYFUNCTION("""COMPUTED_VALUE"""),"Mind &amp; Control")</f>
        <v>Mind &amp; Control</v>
      </c>
      <c r="H97" s="2" t="str">
        <f ca="1">IFERROR(__xludf.DUMMYFUNCTION("""COMPUTED_VALUE"""),"This one can come in a few different forms, from a camera mod to a series of stickers. Maybe a phone that ‘curses’ anyone you call. Anyways, what this does is convince the target they now have to have sex with you. For example, a fake memory about a dare "&amp;"and a ‘dating’ site. Either way, tag them with the item and they’ll arrange to sleep with you. You can only do someone once a week though, that’s pretty much the only downside.")</f>
        <v>This one can come in a few different forms, from a camera mod to a series of stickers. Maybe a phone that ‘curses’ anyone you call. Anyways, what this does is convince the target they now have to have sex with you. For example, a fake memory about a dare and a ‘dating’ site. Either way, tag them with the item and they’ll arrange to sleep with you. You can only do someone once a week though, that’s pretty much the only downside.</v>
      </c>
      <c r="I97" s="5"/>
    </row>
    <row r="98" spans="1:9" ht="208.8" x14ac:dyDescent="0.25">
      <c r="A98" s="16"/>
      <c r="B98" s="17">
        <v>94</v>
      </c>
      <c r="C98" s="2" t="b">
        <f ca="1">IFERROR(__xludf.DUMMYFUNCTION("""COMPUTED_VALUE"""),FALSE)</f>
        <v>0</v>
      </c>
      <c r="D98" s="2">
        <f ca="1">IFERROR(__xludf.DUMMYFUNCTION("""COMPUTED_VALUE"""),200)</f>
        <v>200</v>
      </c>
      <c r="E98" s="2" t="str">
        <f ca="1">IFERROR(__xludf.DUMMYFUNCTION("""COMPUTED_VALUE"""),"Depraved Clothing")</f>
        <v>Depraved Clothing</v>
      </c>
      <c r="F98" s="2" t="str">
        <f ca="1">IFERROR(__xludf.DUMMYFUNCTION("""COMPUTED_VALUE"""),"Archangel of Love, Love Mary ~Malignant Conception~")</f>
        <v>Archangel of Love, Love Mary ~Malignant Conception~</v>
      </c>
      <c r="G98" s="2" t="str">
        <f ca="1">IFERROR(__xludf.DUMMYFUNCTION("""COMPUTED_VALUE"""),"Mind &amp; Control")</f>
        <v>Mind &amp; Control</v>
      </c>
      <c r="H98" s="2" t="str">
        <f ca="1">IFERROR(__xludf.DUMMYFUNCTION("""COMPUTED_VALUE"""),"This set of clothing is entirely inappropriate for any occasion… and yet, as far as anyone else is concerned, it looks completely normal and appropriate to the situation. The only people able to see this outfit for what it really is are those who are them"&amp;"selves depraved. Not merely the sort of person who would be up to fuck a random stranger, or a normal pervert, but people who are into sick stuff. What’s more, while wearing this you are able to detect what someone’s deepest and strongest kink is. 
What’"&amp;"s more, when you give this clothing to someone else, it humiliates and shames them, regardless of their normal feelings about their body and their self - image. If you could force someone else to wear it, it will also decrease their ability to resist corr"&amp;"uption. They do not receive the benefits you receive while wearing it, just as you don’t suffer from the downsides that it gives other people.")</f>
        <v>This set of clothing is entirely inappropriate for any occasion… and yet, as far as anyone else is concerned, it looks completely normal and appropriate to the situation. The only people able to see this outfit for what it really is are those who are themselves depraved. Not merely the sort of person who would be up to fuck a random stranger, or a normal pervert, but people who are into sick stuff. What’s more, while wearing this you are able to detect what someone’s deepest and strongest kink is. 
What’s more, when you give this clothing to someone else, it humiliates and shames them, regardless of their normal feelings about their body and their self - image. If you could force someone else to wear it, it will also decrease their ability to resist corruption. They do not receive the benefits you receive while wearing it, just as you don’t suffer from the downsides that it gives other people.</v>
      </c>
      <c r="I98" s="5"/>
    </row>
    <row r="99" spans="1:9" ht="104.4" x14ac:dyDescent="0.25">
      <c r="A99" s="16"/>
      <c r="B99" s="17">
        <v>95</v>
      </c>
      <c r="C99" s="2" t="b">
        <f ca="1">IFERROR(__xludf.DUMMYFUNCTION("""COMPUTED_VALUE"""),FALSE)</f>
        <v>0</v>
      </c>
      <c r="D99" s="2">
        <f ca="1">IFERROR(__xludf.DUMMYFUNCTION("""COMPUTED_VALUE"""),200)</f>
        <v>200</v>
      </c>
      <c r="E99" s="2" t="str">
        <f ca="1">IFERROR(__xludf.DUMMYFUNCTION("""COMPUTED_VALUE"""),"Do You Love Me?")</f>
        <v>Do You Love Me?</v>
      </c>
      <c r="F99" s="2" t="str">
        <f ca="1">IFERROR(__xludf.DUMMYFUNCTION("""COMPUTED_VALUE"""),"Sei So Tsui Dan Sha")</f>
        <v>Sei So Tsui Dan Sha</v>
      </c>
      <c r="G99" s="2" t="str">
        <f ca="1">IFERROR(__xludf.DUMMYFUNCTION("""COMPUTED_VALUE"""),"Mind &amp; Control")</f>
        <v>Mind &amp; Control</v>
      </c>
      <c r="H99" s="2" t="str">
        <f ca="1">IFERROR(__xludf.DUMMYFUNCTION("""COMPUTED_VALUE"""),"Nobody ever said you were the type to play fair to get what you wanted. You can use your body as an effective bargaining chip in negotiations. People want to have sex with you that they may be willing to take it inreturn for small services, still, you won"&amp;"’t get anything too crazy, if the other party is thinking straight. Luckily for you, deals you strike in the middle of sex, no matter how obviously short-sighted, will be treated with complete legitimacy after the fact, even if everyone knows the other pa"&amp;"rty wasn’t in their right mind at the time.")</f>
        <v>Nobody ever said you were the type to play fair to get what you wanted. You can use your body as an effective bargaining chip in negotiations. People want to have sex with you that they may be willing to take it inreturn for small services, still, you won’t get anything too crazy, if the other party is thinking straight. Luckily for you, deals you strike in the middle of sex, no matter how obviously short-sighted, will be treated with complete legitimacy after the fact, even if everyone knows the other party wasn’t in their right mind at the time.</v>
      </c>
      <c r="I99" s="5"/>
    </row>
    <row r="100" spans="1:9" ht="87" x14ac:dyDescent="0.25">
      <c r="A100" s="16"/>
      <c r="B100" s="17">
        <v>96</v>
      </c>
      <c r="C100" s="2" t="b">
        <f ca="1">IFERROR(__xludf.DUMMYFUNCTION("""COMPUTED_VALUE"""),FALSE)</f>
        <v>0</v>
      </c>
      <c r="D100" s="2">
        <f ca="1">IFERROR(__xludf.DUMMYFUNCTION("""COMPUTED_VALUE"""),200)</f>
        <v>200</v>
      </c>
      <c r="E100" s="2" t="str">
        <f ca="1">IFERROR(__xludf.DUMMYFUNCTION("""COMPUTED_VALUE"""),"Doing my Duty")</f>
        <v>Doing my Duty</v>
      </c>
      <c r="F100" s="2" t="str">
        <f ca="1">IFERROR(__xludf.DUMMYFUNCTION("""COMPUTED_VALUE"""),"Milk Hunters")</f>
        <v>Milk Hunters</v>
      </c>
      <c r="G100" s="2" t="str">
        <f ca="1">IFERROR(__xludf.DUMMYFUNCTION("""COMPUTED_VALUE"""),"Mind &amp; Control")</f>
        <v>Mind &amp; Control</v>
      </c>
      <c r="H100" s="2" t="str">
        <f ca="1">IFERROR(__xludf.DUMMYFUNCTION("""COMPUTED_VALUE"""),"Sometimes, we have to do things that we don't enjoy. Like serving as a sex-toy for some fugly creep, so you can absorb energy from him to fight monsters with. Well, now you can turn off any emotional connection you have to any task you're performing. Suck"&amp;"ing someone off would be no different than brushing your teeth of having a glass of water. You can selectively activate this, such as having it on for kissing someone you hate, but not when you kiss someone you love.")</f>
        <v>Sometimes, we have to do things that we don't enjoy. Like serving as a sex-toy for some fugly creep, so you can absorb energy from him to fight monsters with. Well, now you can turn off any emotional connection you have to any task you're performing. Sucking someone off would be no different than brushing your teeth of having a glass of water. You can selectively activate this, such as having it on for kissing someone you hate, but not when you kiss someone you love.</v>
      </c>
      <c r="I100" s="5"/>
    </row>
    <row r="101" spans="1:9" ht="104.4" x14ac:dyDescent="0.25">
      <c r="A101" s="16"/>
      <c r="B101" s="17">
        <v>97</v>
      </c>
      <c r="C101" s="2" t="b">
        <f ca="1">IFERROR(__xludf.DUMMYFUNCTION("""COMPUTED_VALUE"""),FALSE)</f>
        <v>0</v>
      </c>
      <c r="D101" s="2">
        <f ca="1">IFERROR(__xludf.DUMMYFUNCTION("""COMPUTED_VALUE"""),200)</f>
        <v>200</v>
      </c>
      <c r="E101" s="2" t="str">
        <f ca="1">IFERROR(__xludf.DUMMYFUNCTION("""COMPUTED_VALUE"""),"Easily Aroused")</f>
        <v>Easily Aroused</v>
      </c>
      <c r="F101" s="2" t="str">
        <f ca="1">IFERROR(__xludf.DUMMYFUNCTION("""COMPUTED_VALUE"""),"The Otaku in 2200 AD")</f>
        <v>The Otaku in 2200 AD</v>
      </c>
      <c r="G101" s="2" t="str">
        <f ca="1">IFERROR(__xludf.DUMMYFUNCTION("""COMPUTED_VALUE"""),"Mind &amp; Control")</f>
        <v>Mind &amp; Control</v>
      </c>
      <c r="H101" s="2" t="str">
        <f ca="1">IFERROR(__xludf.DUMMYFUNCTION("""COMPUTED_VALUE"""),"Arousal isn’t like a light switch; people can’t just become horny whenever they want, for arbitrary lengths of time. Well, other people can’t. You, on the other hand, find it incredibly easy to become aroused just by wanting to be, are readily receptive t"&amp;"o sexual pleasure, and have little need for emotional or physical closeness in order to reach climax (although you can certainly enjoy it when you can get it). As a bonus, orgasms will no longer disrupt your focus or consume your concentration unless you "&amp;"allow them to, although you still feel their pleasure in full.")</f>
        <v>Arousal isn’t like a light switch; people can’t just become horny whenever they want, for arbitrary lengths of time. Well, other people can’t. You, on the other hand, find it incredibly easy to become aroused just by wanting to be, are readily receptive to sexual pleasure, and have little need for emotional or physical closeness in order to reach climax (although you can certainly enjoy it when you can get it). As a bonus, orgasms will no longer disrupt your focus or consume your concentration unless you allow them to, although you still feel their pleasure in full.</v>
      </c>
      <c r="I101" s="5"/>
    </row>
    <row r="102" spans="1:9" ht="87" x14ac:dyDescent="0.25">
      <c r="A102" s="16"/>
      <c r="B102" s="17">
        <v>98</v>
      </c>
      <c r="C102" s="2" t="b">
        <f ca="1">IFERROR(__xludf.DUMMYFUNCTION("""COMPUTED_VALUE"""),FALSE)</f>
        <v>0</v>
      </c>
      <c r="D102" s="2">
        <f ca="1">IFERROR(__xludf.DUMMYFUNCTION("""COMPUTED_VALUE"""),200)</f>
        <v>200</v>
      </c>
      <c r="E102" s="2" t="str">
        <f ca="1">IFERROR(__xludf.DUMMYFUNCTION("""COMPUTED_VALUE"""),"Faux Innocence")</f>
        <v>Faux Innocence</v>
      </c>
      <c r="F102" s="2" t="str">
        <f ca="1">IFERROR(__xludf.DUMMYFUNCTION("""COMPUTED_VALUE"""),"Generic: Loli")</f>
        <v>Generic: Loli</v>
      </c>
      <c r="G102" s="2" t="str">
        <f ca="1">IFERROR(__xludf.DUMMYFUNCTION("""COMPUTED_VALUE"""),"Mind &amp; Control")</f>
        <v>Mind &amp; Control</v>
      </c>
      <c r="H102" s="2" t="str">
        <f ca="1">IFERROR(__xludf.DUMMYFUNCTION("""COMPUTED_VALUE"""),"Its hard to be innocent when you are not, but you can manage it. You can choose to temporarily suppress memories of things that took away your innocence. You are always aware when you have something suppressed, and can restore them reflexively at any time"&amp;". Your body also recovers from any form of sexual acts and no sex act will ever lose its novelty or pleasure from repeated experience.")</f>
        <v>Its hard to be innocent when you are not, but you can manage it. You can choose to temporarily suppress memories of things that took away your innocence. You are always aware when you have something suppressed, and can restore them reflexively at any time. Your body also recovers from any form of sexual acts and no sex act will ever lose its novelty or pleasure from repeated experience.</v>
      </c>
      <c r="I102" s="5"/>
    </row>
    <row r="103" spans="1:9" ht="261" x14ac:dyDescent="0.25">
      <c r="A103" s="16"/>
      <c r="B103" s="17">
        <v>99</v>
      </c>
      <c r="C103" s="2" t="b">
        <f ca="1">IFERROR(__xludf.DUMMYFUNCTION("""COMPUTED_VALUE"""),FALSE)</f>
        <v>0</v>
      </c>
      <c r="D103" s="2">
        <f ca="1">IFERROR(__xludf.DUMMYFUNCTION("""COMPUTED_VALUE"""),200)</f>
        <v>200</v>
      </c>
      <c r="E103" s="2" t="str">
        <f ca="1">IFERROR(__xludf.DUMMYFUNCTION("""COMPUTED_VALUE"""),"Fetish Piercings")</f>
        <v>Fetish Piercings</v>
      </c>
      <c r="F103" s="2" t="str">
        <f ca="1">IFERROR(__xludf.DUMMYFUNCTION("""COMPUTED_VALUE"""),"Corruption of Champions v1.1")</f>
        <v>Corruption of Champions v1.1</v>
      </c>
      <c r="G103" s="2" t="str">
        <f ca="1">IFERROR(__xludf.DUMMYFUNCTION("""COMPUTED_VALUE"""),"Mind &amp; Control")</f>
        <v>Mind &amp; Control</v>
      </c>
      <c r="H103" s="2" t="str">
        <f ca="1">IFERROR(__xludf.DUMMYFUNCTION("""COMPUTED_VALUE"""),"The favourite tools of a certain omnibus, this collection of piercings features a dazzling amount of variety. A seemingly endless array of different types, made of a variety of metals, studded with a variety of gemstones, and enchanted with a variety of d"&amp;"ifferent effects.
For the most part, these enchantments make it easy to put them on people without the hassle of a normal piercing and inflict the wearer with one of many fetishes. Exhibitionism and bondage are the most common, but in this collection yo"&amp;"u’ll find piercings that grant just about any fetish you could think of and most certainly every kind you are interested in giving to your pets. On top of those, there are a few piercings with different enchantments, mostly designed to play well with the "&amp;"fetish-granting ones. Piercings that make it impossible for the victim to raise a hand in anger, or that force them to think of and call themselves 'pet'.
Moreover, even if your pets found a way to remove the piercings, the damage is already done when t"&amp;"hey are put in. Removing the piercings doesn’t release them from the artificial fetishes imposed on them, but you could clear their heads yourself if you wanted to.")</f>
        <v>The favourite tools of a certain omnibus, this collection of piercings features a dazzling amount of variety. A seemingly endless array of different types, made of a variety of metals, studded with a variety of gemstones, and enchanted with a variety of different effects.
For the most part, these enchantments make it easy to put them on people without the hassle of a normal piercing and inflict the wearer with one of many fetishes. Exhibitionism and bondage are the most common, but in this collection you’ll find piercings that grant just about any fetish you could think of and most certainly every kind you are interested in giving to your pets. On top of those, there are a few piercings with different enchantments, mostly designed to play well with the fetish-granting ones. Piercings that make it impossible for the victim to raise a hand in anger, or that force them to think of and call themselves 'pet'.
Moreover, even if your pets found a way to remove the piercings, the damage is already done when they are put in. Removing the piercings doesn’t release them from the artificial fetishes imposed on them, but you could clear their heads yourself if you wanted to.</v>
      </c>
      <c r="I103" s="5"/>
    </row>
    <row r="104" spans="1:9" ht="104.4" x14ac:dyDescent="0.25">
      <c r="A104" s="16"/>
      <c r="B104" s="17">
        <v>100</v>
      </c>
      <c r="C104" s="2" t="b">
        <f ca="1">IFERROR(__xludf.DUMMYFUNCTION("""COMPUTED_VALUE"""),FALSE)</f>
        <v>0</v>
      </c>
      <c r="D104" s="2">
        <f ca="1">IFERROR(__xludf.DUMMYFUNCTION("""COMPUTED_VALUE"""),200)</f>
        <v>200</v>
      </c>
      <c r="E104" s="2" t="str">
        <f ca="1">IFERROR(__xludf.DUMMYFUNCTION("""COMPUTED_VALUE"""),"Freedom of the Nude")</f>
        <v>Freedom of the Nude</v>
      </c>
      <c r="F104" s="2" t="str">
        <f ca="1">IFERROR(__xludf.DUMMYFUNCTION("""COMPUTED_VALUE"""),"Miyuki-chan in Wonderland")</f>
        <v>Miyuki-chan in Wonderland</v>
      </c>
      <c r="G104" s="2" t="str">
        <f ca="1">IFERROR(__xludf.DUMMYFUNCTION("""COMPUTED_VALUE"""),"Mind &amp; Control")</f>
        <v>Mind &amp; Control</v>
      </c>
      <c r="H104" s="2" t="str">
        <f ca="1">IFERROR(__xludf.DUMMYFUNCTION("""COMPUTED_VALUE"""),"According to the authors, the whole point of everyone trying to disrobe Miyuki was to free her from the tyranny that the stereotypical schoolgirl outfit symbolizes; too bad the message wasn’t that clear. If you can remove every piece of clothing from a pe"&amp;"rson – even the panties – you can free her or him from any social, mental, or magical chains of oppression. That said, if the person in question wasn’t wearing anything to begin with, it’s not like you can remove anything, making the perk useless.")</f>
        <v>According to the authors, the whole point of everyone trying to disrobe Miyuki was to free her from the tyranny that the stereotypical schoolgirl outfit symbolizes; too bad the message wasn’t that clear. If you can remove every piece of clothing from a person – even the panties – you can free her or him from any social, mental, or magical chains of oppression. That said, if the person in question wasn’t wearing anything to begin with, it’s not like you can remove anything, making the perk useless.</v>
      </c>
      <c r="I104" s="5"/>
    </row>
    <row r="105" spans="1:9" ht="87" x14ac:dyDescent="0.25">
      <c r="A105" s="16"/>
      <c r="B105" s="17">
        <v>101</v>
      </c>
      <c r="C105" s="2" t="b">
        <f ca="1">IFERROR(__xludf.DUMMYFUNCTION("""COMPUTED_VALUE"""),FALSE)</f>
        <v>0</v>
      </c>
      <c r="D105" s="2">
        <f ca="1">IFERROR(__xludf.DUMMYFUNCTION("""COMPUTED_VALUE"""),200)</f>
        <v>200</v>
      </c>
      <c r="E105" s="2" t="str">
        <f ca="1">IFERROR(__xludf.DUMMYFUNCTION("""COMPUTED_VALUE"""),"Fucking Salary")</f>
        <v>Fucking Salary</v>
      </c>
      <c r="F105" s="2" t="str">
        <f ca="1">IFERROR(__xludf.DUMMYFUNCTION("""COMPUTED_VALUE"""),"The Works of Aomizuan")</f>
        <v>The Works of Aomizuan</v>
      </c>
      <c r="G105" s="2" t="str">
        <f ca="1">IFERROR(__xludf.DUMMYFUNCTION("""COMPUTED_VALUE"""),"Mind &amp; Control")</f>
        <v>Mind &amp; Control</v>
      </c>
      <c r="H105" s="2" t="str">
        <f ca="1">IFERROR(__xludf.DUMMYFUNCTION("""COMPUTED_VALUE"""),"From now on, it isn’t the skills that you bring to the table that determine whether or not you get hired, but how willing you are to be bent over that table and fucked. Although you don’t actually need to fuck the interviewer, it is now your willingness t"&amp;"o have sex that is the most important and determining feature that decides whether or not you get a job, not who you know or what you can do. If you’d rather be hired for your talents, however, you can turn this effect off.")</f>
        <v>From now on, it isn’t the skills that you bring to the table that determine whether or not you get hired, but how willing you are to be bent over that table and fucked. Although you don’t actually need to fuck the interviewer, it is now your willingness to have sex that is the most important and determining feature that decides whether or not you get a job, not who you know or what you can do. If you’d rather be hired for your talents, however, you can turn this effect off.</v>
      </c>
      <c r="I105" s="5"/>
    </row>
    <row r="106" spans="1:9" ht="87" x14ac:dyDescent="0.25">
      <c r="A106" s="16"/>
      <c r="B106" s="17">
        <v>102</v>
      </c>
      <c r="C106" s="2" t="b">
        <f ca="1">IFERROR(__xludf.DUMMYFUNCTION("""COMPUTED_VALUE"""),FALSE)</f>
        <v>0</v>
      </c>
      <c r="D106" s="2">
        <f ca="1">IFERROR(__xludf.DUMMYFUNCTION("""COMPUTED_VALUE"""),200)</f>
        <v>200</v>
      </c>
      <c r="E106" s="2" t="str">
        <f ca="1">IFERROR(__xludf.DUMMYFUNCTION("""COMPUTED_VALUE"""),"Gaslighting Perversion")</f>
        <v>Gaslighting Perversion</v>
      </c>
      <c r="F106" s="2" t="str">
        <f ca="1">IFERROR(__xludf.DUMMYFUNCTION("""COMPUTED_VALUE"""),"Shunned by the Village")</f>
        <v>Shunned by the Village</v>
      </c>
      <c r="G106" s="2" t="str">
        <f ca="1">IFERROR(__xludf.DUMMYFUNCTION("""COMPUTED_VALUE"""),"Mind &amp; Control")</f>
        <v>Mind &amp; Control</v>
      </c>
      <c r="H106" s="2" t="str">
        <f ca="1">IFERROR(__xludf.DUMMYFUNCTION("""COMPUTED_VALUE"""),"The majority of people aren’t into humiliation and exhibition—but once you’re done with them, that majority will be a bit smaller. The more you force your kinks and perversions onto someone else, the more that person will internalize them, and start to th"&amp;"ink of those kinks as their own. Eventually, you’d be able to convince your own rape victim to put a collar on their own neck and walk on all fours down the street, buck naked and barking like they were a dog.")</f>
        <v>The majority of people aren’t into humiliation and exhibition—but once you’re done with them, that majority will be a bit smaller. The more you force your kinks and perversions onto someone else, the more that person will internalize them, and start to think of those kinks as their own. Eventually, you’d be able to convince your own rape victim to put a collar on their own neck and walk on all fours down the street, buck naked and barking like they were a dog.</v>
      </c>
      <c r="I106" s="5"/>
    </row>
    <row r="107" spans="1:9" ht="139.19999999999999" x14ac:dyDescent="0.25">
      <c r="A107" s="16"/>
      <c r="B107" s="17">
        <v>103</v>
      </c>
      <c r="C107" s="2" t="b">
        <f ca="1">IFERROR(__xludf.DUMMYFUNCTION("""COMPUTED_VALUE"""),FALSE)</f>
        <v>0</v>
      </c>
      <c r="D107" s="2">
        <f ca="1">IFERROR(__xludf.DUMMYFUNCTION("""COMPUTED_VALUE"""),200)</f>
        <v>200</v>
      </c>
      <c r="E107" s="2" t="str">
        <f ca="1">IFERROR(__xludf.DUMMYFUNCTION("""COMPUTED_VALUE"""),"Gem of Hypnosis")</f>
        <v>Gem of Hypnosis</v>
      </c>
      <c r="F107" s="2" t="str">
        <f ca="1">IFERROR(__xludf.DUMMYFUNCTION("""COMPUTED_VALUE"""),"Archangel of Love, Love Mary ~Malignant Conception~")</f>
        <v>Archangel of Love, Love Mary ~Malignant Conception~</v>
      </c>
      <c r="G107" s="2" t="str">
        <f ca="1">IFERROR(__xludf.DUMMYFUNCTION("""COMPUTED_VALUE"""),"Mind &amp; Control")</f>
        <v>Mind &amp; Control</v>
      </c>
      <c r="H107" s="2" t="str">
        <f ca="1">IFERROR(__xludf.DUMMYFUNCTION("""COMPUTED_VALUE"""),"Taking the form of a red octahedron on a chain, this gemstone possesses potent powers of hypnotism. It allows you to place someone under a trance, and give them orders — however, with the Gem of Hypnosis, they will only obey orders while under the trance."&amp;" It alone is insufficient to give post - hypnotic suggestions. However, you can mandate how they behave while under a trance, and they will return to that behavior any time you put them under. 
After you’ve used it to hypnotize someone, you can place the"&amp;"m back in a trance simply by showing off the gem, without needing to go through the whole process of hypnotism again")</f>
        <v>Taking the form of a red octahedron on a chain, this gemstone possesses potent powers of hypnotism. It allows you to place someone under a trance, and give them orders — however, with the Gem of Hypnosis, they will only obey orders while under the trance. It alone is insufficient to give post - hypnotic suggestions. However, you can mandate how they behave while under a trance, and they will return to that behavior any time you put them under. 
After you’ve used it to hypnotize someone, you can place them back in a trance simply by showing off the gem, without needing to go through the whole process of hypnotism again</v>
      </c>
      <c r="I107" s="5"/>
    </row>
    <row r="108" spans="1:9" ht="87" x14ac:dyDescent="0.25">
      <c r="A108" s="16"/>
      <c r="B108" s="17">
        <v>104</v>
      </c>
      <c r="C108" s="2" t="b">
        <f ca="1">IFERROR(__xludf.DUMMYFUNCTION("""COMPUTED_VALUE"""),FALSE)</f>
        <v>0</v>
      </c>
      <c r="D108" s="2">
        <f ca="1">IFERROR(__xludf.DUMMYFUNCTION("""COMPUTED_VALUE"""),200)</f>
        <v>200</v>
      </c>
      <c r="E108" s="2" t="str">
        <f ca="1">IFERROR(__xludf.DUMMYFUNCTION("""COMPUTED_VALUE"""),"Golden Shower")</f>
        <v>Golden Shower</v>
      </c>
      <c r="F108" s="2" t="str">
        <f ca="1">IFERROR(__xludf.DUMMYFUNCTION("""COMPUTED_VALUE"""),"Aki-Akane")</f>
        <v>Aki-Akane</v>
      </c>
      <c r="G108" s="2" t="str">
        <f ca="1">IFERROR(__xludf.DUMMYFUNCTION("""COMPUTED_VALUE"""),"Mind &amp; Control")</f>
        <v>Mind &amp; Control</v>
      </c>
      <c r="H108" s="2" t="str">
        <f ca="1">IFERROR(__xludf.DUMMYFUNCTION("""COMPUTED_VALUE"""),"Right, I did say I wasn’t going to judge. And now, neither will anyone else! Mostly. Orihime developed a bit of an asshole fixation, and went a bit farther than most people were comfortable with into scat. Tatsuki loved her so much that she tried it out a"&amp;"nyways and apparently it was okay. Long story short, when you show off your fetish people's first reaction isn’t ‘ew, gross, I’m gonna vomit’, it’s ‘huh, I didn’t realize that was hot’.")</f>
        <v>Right, I did say I wasn’t going to judge. And now, neither will anyone else! Mostly. Orihime developed a bit of an asshole fixation, and went a bit farther than most people were comfortable with into scat. Tatsuki loved her so much that she tried it out anyways and apparently it was okay. Long story short, when you show off your fetish people's first reaction isn’t ‘ew, gross, I’m gonna vomit’, it’s ‘huh, I didn’t realize that was hot’.</v>
      </c>
      <c r="I108" s="5"/>
    </row>
    <row r="109" spans="1:9" ht="104.4" x14ac:dyDescent="0.25">
      <c r="A109" s="16"/>
      <c r="B109" s="17">
        <v>105</v>
      </c>
      <c r="C109" s="2" t="b">
        <f ca="1">IFERROR(__xludf.DUMMYFUNCTION("""COMPUTED_VALUE"""),FALSE)</f>
        <v>0</v>
      </c>
      <c r="D109" s="2">
        <f ca="1">IFERROR(__xludf.DUMMYFUNCTION("""COMPUTED_VALUE"""),200)</f>
        <v>200</v>
      </c>
      <c r="E109" s="2" t="str">
        <f ca="1">IFERROR(__xludf.DUMMYFUNCTION("""COMPUTED_VALUE"""),"Gotta Protect your Rep")</f>
        <v>Gotta Protect your Rep</v>
      </c>
      <c r="F109" s="2" t="str">
        <f ca="1">IFERROR(__xludf.DUMMYFUNCTION("""COMPUTED_VALUE"""),"Kamikaze Kommittee Ouka")</f>
        <v>Kamikaze Kommittee Ouka</v>
      </c>
      <c r="G109" s="2" t="str">
        <f ca="1">IFERROR(__xludf.DUMMYFUNCTION("""COMPUTED_VALUE"""),"Mind &amp; Control")</f>
        <v>Mind &amp; Control</v>
      </c>
      <c r="H109" s="2" t="str">
        <f ca="1">IFERROR(__xludf.DUMMYFUNCTION("""COMPUTED_VALUE"""),"You have a reputation for righteous beatings and justice! But you could easily acquire a reputation for being a filthy slut who whores herself out to the thugs. Well, we have the solution for you! You are now resistant to any negative reputation you don’t"&amp;" want! Yes, you get to choose which rumors are spread about you and which are not. After all, you might want the reputation of being a whore for all we know. On top of this resistance, you may make it easier to gain whatever reputation you prefer.")</f>
        <v>You have a reputation for righteous beatings and justice! But you could easily acquire a reputation for being a filthy slut who whores herself out to the thugs. Well, we have the solution for you! You are now resistant to any negative reputation you don’t want! Yes, you get to choose which rumors are spread about you and which are not. After all, you might want the reputation of being a whore for all we know. On top of this resistance, you may make it easier to gain whatever reputation you prefer.</v>
      </c>
      <c r="I109" s="5"/>
    </row>
    <row r="110" spans="1:9" ht="139.19999999999999" x14ac:dyDescent="0.25">
      <c r="A110" s="16"/>
      <c r="B110" s="17">
        <v>106</v>
      </c>
      <c r="C110" s="2" t="b">
        <f ca="1">IFERROR(__xludf.DUMMYFUNCTION("""COMPUTED_VALUE"""),FALSE)</f>
        <v>0</v>
      </c>
      <c r="D110" s="2">
        <f ca="1">IFERROR(__xludf.DUMMYFUNCTION("""COMPUTED_VALUE"""),200)</f>
        <v>200</v>
      </c>
      <c r="E110" s="2" t="str">
        <f ca="1">IFERROR(__xludf.DUMMYFUNCTION("""COMPUTED_VALUE"""),"He Doesn't Need to Know")</f>
        <v>He Doesn't Need to Know</v>
      </c>
      <c r="F110" s="2" t="str">
        <f ca="1">IFERROR(__xludf.DUMMYFUNCTION("""COMPUTED_VALUE"""),"Naruto Blacked")</f>
        <v>Naruto Blacked</v>
      </c>
      <c r="G110" s="2" t="str">
        <f ca="1">IFERROR(__xludf.DUMMYFUNCTION("""COMPUTED_VALUE"""),"Mind &amp; Control")</f>
        <v>Mind &amp; Control</v>
      </c>
      <c r="H110" s="2" t="str">
        <f ca="1">IFERROR(__xludf.DUMMYFUNCTION("""COMPUTED_VALUE"""),"It’s quite a chore to keep secrets in a town full of ninja, like the affair you’re having with the hokage’s wife or the noble heiress you’re keeping in your hidden sex dungeon. Or at least that’s the way it is for others in your position; you have a far e"&amp;"asier time keeping secrets because people who discover something you would rather keep private tend to keep it to themselves rather than spread the word. Women won’t admit they cheated on their husbands with you until it’s far too late, men are too horrif"&amp;"ied to acknowledge that it happened, and even pro ninja will simply continue investigating if they do discover your secrets, creating many chances to silence them before you face any potential consequences for your actions.")</f>
        <v>It’s quite a chore to keep secrets in a town full of ninja, like the affair you’re having with the hokage’s wife or the noble heiress you’re keeping in your hidden sex dungeon. Or at least that’s the way it is for others in your position; you have a far easier time keeping secrets because people who discover something you would rather keep private tend to keep it to themselves rather than spread the word. Women won’t admit they cheated on their husbands with you until it’s far too late, men are too horrified to acknowledge that it happened, and even pro ninja will simply continue investigating if they do discover your secrets, creating many chances to silence them before you face any potential consequences for your actions.</v>
      </c>
      <c r="I110" s="5"/>
    </row>
    <row r="111" spans="1:9" ht="104.4" x14ac:dyDescent="0.25">
      <c r="A111" s="16"/>
      <c r="B111" s="17">
        <v>107</v>
      </c>
      <c r="C111" s="2" t="b">
        <f ca="1">IFERROR(__xludf.DUMMYFUNCTION("""COMPUTED_VALUE"""),FALSE)</f>
        <v>0</v>
      </c>
      <c r="D111" s="2">
        <f ca="1">IFERROR(__xludf.DUMMYFUNCTION("""COMPUTED_VALUE"""),200)</f>
        <v>200</v>
      </c>
      <c r="E111" s="2" t="str">
        <f ca="1">IFERROR(__xludf.DUMMYFUNCTION("""COMPUTED_VALUE"""),"Hey, This Mess My Fault?")</f>
        <v>Hey, This Mess My Fault?</v>
      </c>
      <c r="F111" s="2" t="str">
        <f ca="1">IFERROR(__xludf.DUMMYFUNCTION("""COMPUTED_VALUE"""),"Cyberpunk: Edgerunners")</f>
        <v>Cyberpunk: Edgerunners</v>
      </c>
      <c r="G111" s="2" t="str">
        <f ca="1">IFERROR(__xludf.DUMMYFUNCTION("""COMPUTED_VALUE"""),"Mind &amp; Control")</f>
        <v>Mind &amp; Control</v>
      </c>
      <c r="H111" s="2" t="str">
        <f ca="1">IFERROR(__xludf.DUMMYFUNCTION("""COMPUTED_VALUE"""),"Clear all the code. Remove all the metal. Cut away the meat. All that's left at the end is you. Even when you break or are under effects that influence your mind, be they digital, chemical, or even mystical, you still maintain a basic amount of 'youness'."&amp;" You won't hurt the people you care about, you won't kill anyone you wouldn't have otherwise, and you can be sure that with time to cool off you'll go back to normal. Your lethality while under such effects? Greatly increased. There's a reason MaxTac was "&amp;"created, after all.")</f>
        <v>Clear all the code. Remove all the metal. Cut away the meat. All that's left at the end is you. Even when you break or are under effects that influence your mind, be they digital, chemical, or even mystical, you still maintain a basic amount of 'youness'. You won't hurt the people you care about, you won't kill anyone you wouldn't have otherwise, and you can be sure that with time to cool off you'll go back to normal. Your lethality while under such effects? Greatly increased. There's a reason MaxTac was created, after all.</v>
      </c>
      <c r="I111" s="5"/>
    </row>
    <row r="112" spans="1:9" ht="121.8" x14ac:dyDescent="0.25">
      <c r="A112" s="16"/>
      <c r="B112" s="17">
        <v>108</v>
      </c>
      <c r="C112" s="2" t="b">
        <f ca="1">IFERROR(__xludf.DUMMYFUNCTION("""COMPUTED_VALUE"""),FALSE)</f>
        <v>0</v>
      </c>
      <c r="D112" s="2">
        <f ca="1">IFERROR(__xludf.DUMMYFUNCTION("""COMPUTED_VALUE"""),200)</f>
        <v>200</v>
      </c>
      <c r="E112" s="2" t="str">
        <f ca="1">IFERROR(__xludf.DUMMYFUNCTION("""COMPUTED_VALUE"""),"Hypnosis")</f>
        <v>Hypnosis</v>
      </c>
      <c r="F112" s="2" t="str">
        <f ca="1">IFERROR(__xludf.DUMMYFUNCTION("""COMPUTED_VALUE"""),"Elzikyuchi’s Dickgirls 2")</f>
        <v>Elzikyuchi’s Dickgirls 2</v>
      </c>
      <c r="G112" s="2" t="str">
        <f ca="1">IFERROR(__xludf.DUMMYFUNCTION("""COMPUTED_VALUE"""),"Mind &amp; Control")</f>
        <v>Mind &amp; Control</v>
      </c>
      <c r="H112" s="2" t="str">
        <f ca="1">IFERROR(__xludf.DUMMYFUNCTION("""COMPUTED_VALUE"""),"The power of hypnosis shows itself to you, letting you shift the sexual standards of others with a few minutes of work. This doesn't change their personality or have any tells, so if you're a loser who's gunning for a tsundere she'll probably call you an "&amp;"idiot for thinking hypnosis actually exists even as she orders you to stop being such a dweeb and fuck her already. This can however change memories related to such things, so if you turned some poor (or lucky?) sap's mother into a dickgirl you could make"&amp;" her think raping his mouth daily and blasting ropes of thick cum on all of his meals was always how she showed her love.")</f>
        <v>The power of hypnosis shows itself to you, letting you shift the sexual standards of others with a few minutes of work. This doesn't change their personality or have any tells, so if you're a loser who's gunning for a tsundere she'll probably call you an idiot for thinking hypnosis actually exists even as she orders you to stop being such a dweeb and fuck her already. This can however change memories related to such things, so if you turned some poor (or lucky?) sap's mother into a dickgirl you could make her think raping his mouth daily and blasting ropes of thick cum on all of his meals was always how she showed her love.</v>
      </c>
      <c r="I112" s="5"/>
    </row>
    <row r="113" spans="1:9" ht="104.4" x14ac:dyDescent="0.25">
      <c r="A113" s="16"/>
      <c r="B113" s="17">
        <v>109</v>
      </c>
      <c r="C113" s="2" t="b">
        <f ca="1">IFERROR(__xludf.DUMMYFUNCTION("""COMPUTED_VALUE"""),FALSE)</f>
        <v>0</v>
      </c>
      <c r="D113" s="2">
        <f ca="1">IFERROR(__xludf.DUMMYFUNCTION("""COMPUTED_VALUE"""),200)</f>
        <v>200</v>
      </c>
      <c r="E113" s="2" t="str">
        <f ca="1">IFERROR(__xludf.DUMMYFUNCTION("""COMPUTED_VALUE"""),"Hypnosis Flute")</f>
        <v>Hypnosis Flute</v>
      </c>
      <c r="F113" s="2" t="str">
        <f ca="1">IFERROR(__xludf.DUMMYFUNCTION("""COMPUTED_VALUE"""),"How Not to Summon a Demon Lord")</f>
        <v>How Not to Summon a Demon Lord</v>
      </c>
      <c r="G113" s="2" t="str">
        <f ca="1">IFERROR(__xludf.DUMMYFUNCTION("""COMPUTED_VALUE"""),"Mind &amp; Control")</f>
        <v>Mind &amp; Control</v>
      </c>
      <c r="H113" s="2" t="str">
        <f ca="1">IFERROR(__xludf.DUMMYFUNCTION("""COMPUTED_VALUE"""),"A treasure of the elves, this magical instrument is a replica of the one Prince Keera used to try to kidnap Shera. When played it produces arcane music capable of hypnotizing anyone who listens to it for too long, even if the one playing the flute has abs"&amp;"olutely no idea what good flute playing even sounds like (its previous user certainly didn’t!). Once hypnotized, the subject can be given any orders the flute’s bearer desires. However this item can’t start to work its magic until the target has listened "&amp;"to it play for about five minutes or so.")</f>
        <v>A treasure of the elves, this magical instrument is a replica of the one Prince Keera used to try to kidnap Shera. When played it produces arcane music capable of hypnotizing anyone who listens to it for too long, even if the one playing the flute has absolutely no idea what good flute playing even sounds like (its previous user certainly didn’t!). Once hypnotized, the subject can be given any orders the flute’s bearer desires. However this item can’t start to work its magic until the target has listened to it play for about five minutes or so.</v>
      </c>
      <c r="I113" s="5"/>
    </row>
    <row r="114" spans="1:9" ht="87" x14ac:dyDescent="0.25">
      <c r="A114" s="16"/>
      <c r="B114" s="17">
        <v>110</v>
      </c>
      <c r="C114" s="2" t="b">
        <f ca="1">IFERROR(__xludf.DUMMYFUNCTION("""COMPUTED_VALUE"""),FALSE)</f>
        <v>0</v>
      </c>
      <c r="D114" s="2">
        <f ca="1">IFERROR(__xludf.DUMMYFUNCTION("""COMPUTED_VALUE"""),200)</f>
        <v>200</v>
      </c>
      <c r="E114" s="2" t="str">
        <f ca="1">IFERROR(__xludf.DUMMYFUNCTION("""COMPUTED_VALUE"""),"Hypnosis Release!")</f>
        <v>Hypnosis Release!</v>
      </c>
      <c r="F114" s="2" t="str">
        <f ca="1">IFERROR(__xludf.DUMMYFUNCTION("""COMPUTED_VALUE"""),"The NTR of Slutty Magical Girl Flan")</f>
        <v>The NTR of Slutty Magical Girl Flan</v>
      </c>
      <c r="G114" s="2" t="str">
        <f ca="1">IFERROR(__xludf.DUMMYFUNCTION("""COMPUTED_VALUE"""),"Mind &amp; Control")</f>
        <v>Mind &amp; Control</v>
      </c>
      <c r="H114" s="2" t="str">
        <f ca="1">IFERROR(__xludf.DUMMYFUNCTION("""COMPUTED_VALUE"""),"Things can get really messy if you mess up while playing with the minds of others. You might’ve given them a command that you didn’t think through that well or maybe they’ve figured out a loophole that’s letting them wreak havoc on your plans but in any c"&amp;"ase, this little ability will let you wipe the slate clean regardless, all hypnotic effects on the target vanishing in an instant. As a bonus, they don’t even need to be effects created by you.")</f>
        <v>Things can get really messy if you mess up while playing with the minds of others. You might’ve given them a command that you didn’t think through that well or maybe they’ve figured out a loophole that’s letting them wreak havoc on your plans but in any case, this little ability will let you wipe the slate clean regardless, all hypnotic effects on the target vanishing in an instant. As a bonus, they don’t even need to be effects created by you.</v>
      </c>
      <c r="I114" s="5"/>
    </row>
    <row r="115" spans="1:9" ht="226.2" x14ac:dyDescent="0.25">
      <c r="A115" s="16"/>
      <c r="B115" s="17">
        <v>111</v>
      </c>
      <c r="C115" s="2" t="b">
        <f ca="1">IFERROR(__xludf.DUMMYFUNCTION("""COMPUTED_VALUE"""),FALSE)</f>
        <v>0</v>
      </c>
      <c r="D115" s="2">
        <f ca="1">IFERROR(__xludf.DUMMYFUNCTION("""COMPUTED_VALUE"""),200)</f>
        <v>200</v>
      </c>
      <c r="E115" s="2" t="str">
        <f ca="1">IFERROR(__xludf.DUMMYFUNCTION("""COMPUTED_VALUE"""),"I Have Changed")</f>
        <v>I Have Changed</v>
      </c>
      <c r="F115" s="2" t="str">
        <f ca="1">IFERROR(__xludf.DUMMYFUNCTION("""COMPUTED_VALUE"""),"Overwhored")</f>
        <v>Overwhored</v>
      </c>
      <c r="G115" s="2" t="str">
        <f ca="1">IFERROR(__xludf.DUMMYFUNCTION("""COMPUTED_VALUE"""),"Mind &amp; Control")</f>
        <v>Mind &amp; Control</v>
      </c>
      <c r="H115" s="2" t="str">
        <f ca="1">IFERROR(__xludf.DUMMYFUNCTION("""COMPUTED_VALUE"""),"The Overmind usually does pretty much the same thing every time he wakes up. He runs around with a bunch of brainwashed women to rampage and enslave. This time, however, there is one difference: he has an actual chance for happiness.
The weight of ages "&amp;"(and the influence of evil) can grind even the strongest down. Luckily, chances for you to rekindle your love for life and recover your happiness are thrown your way whenever they’re needed. Maybe you lose your memory and recapture why you were doing this"&amp;" in the first place, maybe you meet people you can genuinely love, or maybe the next universe you get dumped into simply sparks something deep inside.
Crucially, you can share this joie de vivre with other ancient beings to (re)awaken their humanity as "&amp;"well. An ancient spirit of ice in your hands (and bed) might discover a passion and empathy she thought long extinguished.")</f>
        <v>The Overmind usually does pretty much the same thing every time he wakes up. He runs around with a bunch of brainwashed women to rampage and enslave. This time, however, there is one difference: he has an actual chance for happiness.
The weight of ages (and the influence of evil) can grind even the strongest down. Luckily, chances for you to rekindle your love for life and recover your happiness are thrown your way whenever they’re needed. Maybe you lose your memory and recapture why you were doing this in the first place, maybe you meet people you can genuinely love, or maybe the next universe you get dumped into simply sparks something deep inside.
Crucially, you can share this joie de vivre with other ancient beings to (re)awaken their humanity as well. An ancient spirit of ice in your hands (and bed) might discover a passion and empathy she thought long extinguished.</v>
      </c>
      <c r="I115" s="5"/>
    </row>
    <row r="116" spans="1:9" ht="87" x14ac:dyDescent="0.25">
      <c r="A116" s="16"/>
      <c r="B116" s="17">
        <v>112</v>
      </c>
      <c r="C116" s="2" t="b">
        <f ca="1">IFERROR(__xludf.DUMMYFUNCTION("""COMPUTED_VALUE"""),FALSE)</f>
        <v>0</v>
      </c>
      <c r="D116" s="2">
        <f ca="1">IFERROR(__xludf.DUMMYFUNCTION("""COMPUTED_VALUE"""),200)</f>
        <v>200</v>
      </c>
      <c r="E116" s="2" t="str">
        <f ca="1">IFERROR(__xludf.DUMMYFUNCTION("""COMPUTED_VALUE"""),"I Screwed Up!")</f>
        <v>I Screwed Up!</v>
      </c>
      <c r="F116" s="2" t="str">
        <f ca="1">IFERROR(__xludf.DUMMYFUNCTION("""COMPUTED_VALUE"""),"Ane Naru Mono")</f>
        <v>Ane Naru Mono</v>
      </c>
      <c r="G116" s="2" t="str">
        <f ca="1">IFERROR(__xludf.DUMMYFUNCTION("""COMPUTED_VALUE"""),"Mind &amp; Control")</f>
        <v>Mind &amp; Control</v>
      </c>
      <c r="H116" s="2" t="str">
        <f ca="1">IFERROR(__xludf.DUMMYFUNCTION("""COMPUTED_VALUE"""),"...That’s a huge mess you’ve gone and made. But, it’s fine, it’s fine! You’re still learning, and you’re allowed to make mistakes. At least, that’s what people say to you more often than not. As long as you aren’t doing it on purpose, people are far more "&amp;"willing to forgive you for said mistakes, as well as help you clean up after then. Just try to learn from them okay? And stop cutting the cutting board in half!")</f>
        <v>...That’s a huge mess you’ve gone and made. But, it’s fine, it’s fine! You’re still learning, and you’re allowed to make mistakes. At least, that’s what people say to you more often than not. As long as you aren’t doing it on purpose, people are far more willing to forgive you for said mistakes, as well as help you clean up after then. Just try to learn from them okay? And stop cutting the cutting board in half!</v>
      </c>
      <c r="I116" s="5"/>
    </row>
    <row r="117" spans="1:9" ht="191.4" x14ac:dyDescent="0.25">
      <c r="A117" s="16"/>
      <c r="B117" s="17">
        <v>113</v>
      </c>
      <c r="C117" s="2" t="b">
        <f ca="1">IFERROR(__xludf.DUMMYFUNCTION("""COMPUTED_VALUE"""),FALSE)</f>
        <v>0</v>
      </c>
      <c r="D117" s="2">
        <f ca="1">IFERROR(__xludf.DUMMYFUNCTION("""COMPUTED_VALUE"""),200)</f>
        <v>200</v>
      </c>
      <c r="E117" s="2" t="str">
        <f ca="1">IFERROR(__xludf.DUMMYFUNCTION("""COMPUTED_VALUE"""),"I Will Survive")</f>
        <v>I Will Survive</v>
      </c>
      <c r="F117" s="2" t="str">
        <f ca="1">IFERROR(__xludf.DUMMYFUNCTION("""COMPUTED_VALUE"""),"Dragon Ball: Troop of Beasts")</f>
        <v>Dragon Ball: Troop of Beasts</v>
      </c>
      <c r="G117" s="2" t="str">
        <f ca="1">IFERROR(__xludf.DUMMYFUNCTION("""COMPUTED_VALUE"""),"Mind &amp; Control")</f>
        <v>Mind &amp; Control</v>
      </c>
      <c r="H117" s="2" t="str">
        <f ca="1">IFERROR(__xludf.DUMMYFUNCTION("""COMPUTED_VALUE"""),"Life ain’t all sunshine and rainbow, especially for unsavory folks like you. Sometimes you'll need to do or go through some things that would leave a normal person sick to the core. Thankfully, you’re very good when it comes to bearing with it. You can at"&amp;" will ‘turn down’ any negative feelings such as disgust or horror regarding any particular action or situation, such as killing an innocent bystander to cover up a crime or letting yourself be repeatedly raped by a savage. It won’t necessarily make things"&amp;" pleasant, but it’ll make them bearable.
Of course, it can make things pleasant if you want. Instead of just turning negative emotions down, you can make yourself enjoy whatever dirty deeds you do or that are done to you. Just be warned that it may resu"&amp;"lt in unfortunate events like you beginning to think that staying with the afore-mentioned savage and becoming his wife would be the best thing ever.")</f>
        <v>Life ain’t all sunshine and rainbow, especially for unsavory folks like you. Sometimes you'll need to do or go through some things that would leave a normal person sick to the core. Thankfully, you’re very good when it comes to bearing with it. You can at will ‘turn down’ any negative feelings such as disgust or horror regarding any particular action or situation, such as killing an innocent bystander to cover up a crime or letting yourself be repeatedly raped by a savage. It won’t necessarily make things pleasant, but it’ll make them bearable.
Of course, it can make things pleasant if you want. Instead of just turning negative emotions down, you can make yourself enjoy whatever dirty deeds you do or that are done to you. Just be warned that it may result in unfortunate events like you beginning to think that staying with the afore-mentioned savage and becoming his wife would be the best thing ever.</v>
      </c>
      <c r="I117" s="5"/>
    </row>
    <row r="118" spans="1:9" ht="226.2" x14ac:dyDescent="0.25">
      <c r="A118" s="16"/>
      <c r="B118" s="17">
        <v>114</v>
      </c>
      <c r="C118" s="2" t="b">
        <f ca="1">IFERROR(__xludf.DUMMYFUNCTION("""COMPUTED_VALUE"""),FALSE)</f>
        <v>0</v>
      </c>
      <c r="D118" s="2">
        <f ca="1">IFERROR(__xludf.DUMMYFUNCTION("""COMPUTED_VALUE"""),200)</f>
        <v>200</v>
      </c>
      <c r="E118" s="2" t="str">
        <f ca="1">IFERROR(__xludf.DUMMYFUNCTION("""COMPUTED_VALUE"""),"Incognito Mode")</f>
        <v>Incognito Mode</v>
      </c>
      <c r="F118" s="2" t="str">
        <f ca="1">IFERROR(__xludf.DUMMYFUNCTION("""COMPUTED_VALUE"""),"Generic: QQ")</f>
        <v>Generic: QQ</v>
      </c>
      <c r="G118" s="2" t="str">
        <f ca="1">IFERROR(__xludf.DUMMYFUNCTION("""COMPUTED_VALUE"""),"Mind &amp; Control")</f>
        <v>Mind &amp; Control</v>
      </c>
      <c r="H118" s="2" t="str">
        <f ca="1">IFERROR(__xludf.DUMMYFUNCTION("""COMPUTED_VALUE"""),"Ever get tired of fame and attention? I know, it’s something you QQ members constantly have to deal with. This helps with that. 
When active, this makes everyone treat you like an ordinary “peer,” not giving you any real special treatment and ignoring an"&amp;"y fame you might have. It anonymonizes you even as it lets you use things that require your identity. You can still use a credit card, but any transactions made with this active will effectively not have your name on it. If a police officer tickets you, t"&amp;"he points don’t go on your license.
This can also be used to suppress your beauty and aura effects. You won’t be ugly, but you can tone yourself down to “normal” levels of attractiveness, and even make yourself unremarkable.
Incognito Mode is also targe"&amp;"table, so you can exclude certain people from the effects.")</f>
        <v>Ever get tired of fame and attention? I know, it’s something you QQ members constantly have to deal with. This helps with that. 
When active, this makes everyone treat you like an ordinary “peer,” not giving you any real special treatment and ignoring any fame you might have. It anonymonizes you even as it lets you use things that require your identity. You can still use a credit card, but any transactions made with this active will effectively not have your name on it. If a police officer tickets you, the points don’t go on your license.
This can also be used to suppress your beauty and aura effects. You won’t be ugly, but you can tone yourself down to “normal” levels of attractiveness, and even make yourself unremarkable.
Incognito Mode is also targetable, so you can exclude certain people from the effects.</v>
      </c>
      <c r="I118" s="5"/>
    </row>
    <row r="119" spans="1:9" ht="87" x14ac:dyDescent="0.25">
      <c r="A119" s="16"/>
      <c r="B119" s="17">
        <v>115</v>
      </c>
      <c r="C119" s="2" t="b">
        <f ca="1">IFERROR(__xludf.DUMMYFUNCTION("""COMPUTED_VALUE"""),FALSE)</f>
        <v>0</v>
      </c>
      <c r="D119" s="2">
        <f ca="1">IFERROR(__xludf.DUMMYFUNCTION("""COMPUTED_VALUE"""),200)</f>
        <v>200</v>
      </c>
      <c r="E119" s="2" t="str">
        <f ca="1">IFERROR(__xludf.DUMMYFUNCTION("""COMPUTED_VALUE"""),"Inner Sanctum")</f>
        <v>Inner Sanctum</v>
      </c>
      <c r="F119" s="2" t="str">
        <f ca="1">IFERROR(__xludf.DUMMYFUNCTION("""COMPUTED_VALUE"""),"Generic: Lewd School")</f>
        <v>Generic: Lewd School</v>
      </c>
      <c r="G119" s="2" t="str">
        <f ca="1">IFERROR(__xludf.DUMMYFUNCTION("""COMPUTED_VALUE"""),"Mind &amp; Control")</f>
        <v>Mind &amp; Control</v>
      </c>
      <c r="H119" s="2" t="str">
        <f ca="1">IFERROR(__xludf.DUMMYFUNCTION("""COMPUTED_VALUE"""),"Your office is the seat of your power. While you may rule the school, in this room, your will is absolute. Get a student or staff member - anyone ‘below’ you on the hierarchy - into your office or personal workspace, and they will do whatever you like. Ou"&amp;"tside, however, is a different matter. If your orders involve doing something outside the office or workspace, you’ll find your power greatly weakened.")</f>
        <v>Your office is the seat of your power. While you may rule the school, in this room, your will is absolute. Get a student or staff member - anyone ‘below’ you on the hierarchy - into your office or personal workspace, and they will do whatever you like. Outside, however, is a different matter. If your orders involve doing something outside the office or workspace, you’ll find your power greatly weakened.</v>
      </c>
      <c r="I119" s="5"/>
    </row>
    <row r="120" spans="1:9" ht="156.6" x14ac:dyDescent="0.25">
      <c r="A120" s="16"/>
      <c r="B120" s="17">
        <v>116</v>
      </c>
      <c r="C120" s="2" t="b">
        <f ca="1">IFERROR(__xludf.DUMMYFUNCTION("""COMPUTED_VALUE"""),FALSE)</f>
        <v>0</v>
      </c>
      <c r="D120" s="2">
        <f ca="1">IFERROR(__xludf.DUMMYFUNCTION("""COMPUTED_VALUE"""),200)</f>
        <v>200</v>
      </c>
      <c r="E120" s="2" t="str">
        <f ca="1">IFERROR(__xludf.DUMMYFUNCTION("""COMPUTED_VALUE"""),"Innocent Pervert")</f>
        <v>Innocent Pervert</v>
      </c>
      <c r="F120" s="2" t="str">
        <f ca="1">IFERROR(__xludf.DUMMYFUNCTION("""COMPUTED_VALUE"""),"Angel Academy ~ Hardcore Dorm Sex Life")</f>
        <v>Angel Academy ~ Hardcore Dorm Sex Life</v>
      </c>
      <c r="G120" s="2" t="str">
        <f ca="1">IFERROR(__xludf.DUMMYFUNCTION("""COMPUTED_VALUE"""),"Mind &amp; Control")</f>
        <v>Mind &amp; Control</v>
      </c>
      <c r="H120" s="2" t="str">
        <f ca="1">IFERROR(__xludf.DUMMYFUNCTION("""COMPUTED_VALUE"""),"People always say that you should be honest about your feelings, which is why you don’t bother hiding how much of a horny pervert you are. But where the habits of other perverts might seem creepy and gross, yours seem benign, perhaps even endearing. After"&amp;" all, isn’t it a compliment of sorts to show cute girls how sexy you think they are? You can get away with all kinds of perverted misbehavior that would normally be considered sexual harassment so long as no harm comes from your actions. Lewd mischief lik"&amp;"e stealing a girl’s panties or copping a feel of someone in public comes across as harmless teasing instead of anything serious or offensive. Make sure you’ve actually got her permission before proceeding to sex though, because this perk won’t allow you t"&amp;"o go around raping people without punishment.")</f>
        <v>People always say that you should be honest about your feelings, which is why you don’t bother hiding how much of a horny pervert you are. But where the habits of other perverts might seem creepy and gross, yours seem benign, perhaps even endearing. After all, isn’t it a compliment of sorts to show cute girls how sexy you think they are? You can get away with all kinds of perverted misbehavior that would normally be considered sexual harassment so long as no harm comes from your actions. Lewd mischief like stealing a girl’s panties or copping a feel of someone in public comes across as harmless teasing instead of anything serious or offensive. Make sure you’ve actually got her permission before proceeding to sex though, because this perk won’t allow you to go around raping people without punishment.</v>
      </c>
      <c r="I120" s="5"/>
    </row>
    <row r="121" spans="1:9" ht="174" x14ac:dyDescent="0.25">
      <c r="A121" s="16"/>
      <c r="B121" s="17">
        <v>117</v>
      </c>
      <c r="C121" s="2" t="b">
        <f ca="1">IFERROR(__xludf.DUMMYFUNCTION("""COMPUTED_VALUE"""),FALSE)</f>
        <v>0</v>
      </c>
      <c r="D121" s="2">
        <f ca="1">IFERROR(__xludf.DUMMYFUNCTION("""COMPUTED_VALUE"""),200)</f>
        <v>200</v>
      </c>
      <c r="E121" s="2" t="str">
        <f ca="1">IFERROR(__xludf.DUMMYFUNCTION("""COMPUTED_VALUE"""),"Lady = Lesbian")</f>
        <v>Lady = Lesbian</v>
      </c>
      <c r="F121" s="2" t="str">
        <f ca="1">IFERROR(__xludf.DUMMYFUNCTION("""COMPUTED_VALUE"""),"Miyuki-chan in Wonderland")</f>
        <v>Miyuki-chan in Wonderland</v>
      </c>
      <c r="G121" s="2" t="str">
        <f ca="1">IFERROR(__xludf.DUMMYFUNCTION("""COMPUTED_VALUE"""),"Mind &amp; Control")</f>
        <v>Mind &amp; Control</v>
      </c>
      <c r="H121" s="2" t="str">
        <f ca="1">IFERROR(__xludf.DUMMYFUNCTION("""COMPUTED_VALUE"""),"Every person you meet in this universe happens to be a lady, and every lady you meet has Sapphic desires. Therefore, it stands to reason (at least by nonsensical logic) that every lady must be a lesbian, whether she knows it or not. When you choose to hav"&amp;"e the perk active, any female within 100 meters of you or interacting with you in some way will start to have increasing attraction toward other women. The effect might fade away if they leave shortly after exposure, but continued or repeated exposure wil"&amp;"l gradually make them into a permanent lesbian. The perk also gradually removes their moral and proprietary objections to physically fulfilling such Sapphic lusts. If you happen to be a girl, they will become particularly fixated on you, though they remai"&amp;"n open to lusting after other females as well. However, you have no control over how individuals will react to their new feelings, so be careful.")</f>
        <v>Every person you meet in this universe happens to be a lady, and every lady you meet has Sapphic desires. Therefore, it stands to reason (at least by nonsensical logic) that every lady must be a lesbian, whether she knows it or not. When you choose to have the perk active, any female within 100 meters of you or interacting with you in some way will start to have increasing attraction toward other women. The effect might fade away if they leave shortly after exposure, but continued or repeated exposure will gradually make them into a permanent lesbian. The perk also gradually removes their moral and proprietary objections to physically fulfilling such Sapphic lusts. If you happen to be a girl, they will become particularly fixated on you, though they remain open to lusting after other females as well. However, you have no control over how individuals will react to their new feelings, so be careful.</v>
      </c>
      <c r="I121" s="5"/>
    </row>
    <row r="122" spans="1:9" ht="156.6" x14ac:dyDescent="0.25">
      <c r="A122" s="16"/>
      <c r="B122" s="17">
        <v>118</v>
      </c>
      <c r="C122" s="2" t="b">
        <f ca="1">IFERROR(__xludf.DUMMYFUNCTION("""COMPUTED_VALUE"""),FALSE)</f>
        <v>0</v>
      </c>
      <c r="D122" s="2">
        <f ca="1">IFERROR(__xludf.DUMMYFUNCTION("""COMPUTED_VALUE"""),200)</f>
        <v>200</v>
      </c>
      <c r="E122" s="2" t="str">
        <f ca="1">IFERROR(__xludf.DUMMYFUNCTION("""COMPUTED_VALUE"""),"Memory Sex Machine")</f>
        <v>Memory Sex Machine</v>
      </c>
      <c r="F122" s="2" t="str">
        <f ca="1">IFERROR(__xludf.DUMMYFUNCTION("""COMPUTED_VALUE"""),"The Otaku in 2200 AD")</f>
        <v>The Otaku in 2200 AD</v>
      </c>
      <c r="G122" s="2" t="str">
        <f ca="1">IFERROR(__xludf.DUMMYFUNCTION("""COMPUTED_VALUE"""),"Mind &amp; Control")</f>
        <v>Mind &amp; Control</v>
      </c>
      <c r="H122" s="2" t="str">
        <f ca="1">IFERROR(__xludf.DUMMYFUNCTION("""COMPUTED_VALUE"""),"This machine reaches into your memories and finds the most pleasurable parts of your life, putting you into a dream world of endless ecstasy, repeatedly experiencing the most sexual and enjoyable parts of your life without ever letting you grow tired of t"&amp;"hem—as a result, the pleasure you experience is 9 times what you felt originally.
It’s very easy to grow trapped within it, unable to bring yourself to leave your memories. Yours, however, can safely be shut down from the outside without causing any men"&amp;"tal damage to those within (unless you want it to). It comes with an instruction booklet on how to modify the machine to let people relive other kinds of memories, apart from sexual ones.")</f>
        <v>This machine reaches into your memories and finds the most pleasurable parts of your life, putting you into a dream world of endless ecstasy, repeatedly experiencing the most sexual and enjoyable parts of your life without ever letting you grow tired of them—as a result, the pleasure you experience is 9 times what you felt originally.
It’s very easy to grow trapped within it, unable to bring yourself to leave your memories. Yours, however, can safely be shut down from the outside without causing any mental damage to those within (unless you want it to). It comes with an instruction booklet on how to modify the machine to let people relive other kinds of memories, apart from sexual ones.</v>
      </c>
      <c r="I122" s="5"/>
    </row>
    <row r="123" spans="1:9" ht="87" x14ac:dyDescent="0.25">
      <c r="A123" s="16"/>
      <c r="B123" s="17">
        <v>119</v>
      </c>
      <c r="C123" s="2" t="b">
        <f ca="1">IFERROR(__xludf.DUMMYFUNCTION("""COMPUTED_VALUE"""),FALSE)</f>
        <v>0</v>
      </c>
      <c r="D123" s="2">
        <f ca="1">IFERROR(__xludf.DUMMYFUNCTION("""COMPUTED_VALUE"""),200)</f>
        <v>200</v>
      </c>
      <c r="E123" s="2" t="str">
        <f ca="1">IFERROR(__xludf.DUMMYFUNCTION("""COMPUTED_VALUE"""),"Mental Voyeur")</f>
        <v>Mental Voyeur</v>
      </c>
      <c r="F123" s="2" t="str">
        <f ca="1">IFERROR(__xludf.DUMMYFUNCTION("""COMPUTED_VALUE"""),"Omega Labyrinth: Life")</f>
        <v>Omega Labyrinth: Life</v>
      </c>
      <c r="G123" s="2" t="str">
        <f ca="1">IFERROR(__xludf.DUMMYFUNCTION("""COMPUTED_VALUE"""),"Mind &amp; Control")</f>
        <v>Mind &amp; Control</v>
      </c>
      <c r="H123" s="2" t="str">
        <f ca="1">IFERROR(__xludf.DUMMYFUNCTION("""COMPUTED_VALUE"""),"The thing about an All-girl school like La Belles Fleur, there are no guys around. So the lovely young ladies have to imagine their encounters with these fictional partners. You are now privy to these idle erotic fantasies. By simply focusing on someone f"&amp;"or a few moments, you can witness, and slightly participate, in their lewd daydreams. Yes, there technically is not contact, but you can learn a lot about a person from her fantasies. Such as where they likes being touched the most, for instance.")</f>
        <v>The thing about an All-girl school like La Belles Fleur, there are no guys around. So the lovely young ladies have to imagine their encounters with these fictional partners. You are now privy to these idle erotic fantasies. By simply focusing on someone for a few moments, you can witness, and slightly participate, in their lewd daydreams. Yes, there technically is not contact, but you can learn a lot about a person from her fantasies. Such as where they likes being touched the most, for instance.</v>
      </c>
      <c r="I123" s="5"/>
    </row>
    <row r="124" spans="1:9" ht="208.8" x14ac:dyDescent="0.25">
      <c r="A124" s="16"/>
      <c r="B124" s="17">
        <v>120</v>
      </c>
      <c r="C124" s="2" t="b">
        <f ca="1">IFERROR(__xludf.DUMMYFUNCTION("""COMPUTED_VALUE"""),FALSE)</f>
        <v>0</v>
      </c>
      <c r="D124" s="2">
        <f ca="1">IFERROR(__xludf.DUMMYFUNCTION("""COMPUTED_VALUE"""),200)</f>
        <v>200</v>
      </c>
      <c r="E124" s="2" t="str">
        <f ca="1">IFERROR(__xludf.DUMMYFUNCTION("""COMPUTED_VALUE"""),"Never Give Up")</f>
        <v>Never Give Up</v>
      </c>
      <c r="F124" s="2" t="str">
        <f ca="1">IFERROR(__xludf.DUMMYFUNCTION("""COMPUTED_VALUE"""),"Archangel of Love, Love Mary ~Malignant Conception~")</f>
        <v>Archangel of Love, Love Mary ~Malignant Conception~</v>
      </c>
      <c r="G124" s="2" t="str">
        <f ca="1">IFERROR(__xludf.DUMMYFUNCTION("""COMPUTED_VALUE"""),"Mind &amp; Control")</f>
        <v>Mind &amp; Control</v>
      </c>
      <c r="H124" s="2" t="str">
        <f ca="1">IFERROR(__xludf.DUMMYFUNCTION("""COMPUTED_VALUE"""),"Your willpower is incredible, and more than a little magical. Your mind will instinctively fight back against hypnosis, corruption, and other effects that would twist how you think and perceive the world. It won’t give you immunity, but eventually you’ll "&amp;"b e able to fight your way out of even the most powerful mind - affecting effects. Anyone seeking to keep you under mind control against your will is going to find that they need to re - cast the spells needed in order to do so. And then, as you get bette"&amp;"r at fighting against it, they’ll need to cast them again, more quickly. And again, and again, until eventually you’ll fight off the spell almost as soon as it is cast. However, this protection is dependent upon returning you to the state desired by your "&amp;"uncorrupted self; it what you seek is to fall to depravity, it won’t protect you. Likewise, if you only seek to dabble in being controlled, it will refrain from freeing y ou until you’ve had your fill (or rather, what an unhypnotized you would consider to"&amp;" be enough, rather than what you in your hypnotized state would desire, which would probably be to remain under hypnosis).")</f>
        <v>Your willpower is incredible, and more than a little magical. Your mind will instinctively fight back against hypnosis, corruption, and other effects that would twist how you think and perceive the world. It won’t give you immunity, but eventually you’ll b e able to fight your way out of even the most powerful mind - affecting effects. Anyone seeking to keep you under mind control against your will is going to find that they need to re - cast the spells needed in order to do so. And then, as you get better at fighting against it, they’ll need to cast them again, more quickly. And again, and again, until eventually you’ll fight off the spell almost as soon as it is cast. However, this protection is dependent upon returning you to the state desired by your uncorrupted self; it what you seek is to fall to depravity, it won’t protect you. Likewise, if you only seek to dabble in being controlled, it will refrain from freeing y ou until you’ve had your fill (or rather, what an unhypnotized you would consider to be enough, rather than what you in your hypnotized state would desire, which would probably be to remain under hypnosis).</v>
      </c>
      <c r="I124" s="5"/>
    </row>
    <row r="125" spans="1:9" ht="156.6" x14ac:dyDescent="0.25">
      <c r="A125" s="16"/>
      <c r="B125" s="17">
        <v>121</v>
      </c>
      <c r="C125" s="2" t="b">
        <f ca="1">IFERROR(__xludf.DUMMYFUNCTION("""COMPUTED_VALUE"""),FALSE)</f>
        <v>0</v>
      </c>
      <c r="D125" s="2">
        <f ca="1">IFERROR(__xludf.DUMMYFUNCTION("""COMPUTED_VALUE"""),200)</f>
        <v>200</v>
      </c>
      <c r="E125" s="2" t="str">
        <f ca="1">IFERROR(__xludf.DUMMYFUNCTION("""COMPUTED_VALUE"""),"Only Sometime Stealthy")</f>
        <v>Only Sometime Stealthy</v>
      </c>
      <c r="F125" s="2" t="str">
        <f ca="1">IFERROR(__xludf.DUMMYFUNCTION("""COMPUTED_VALUE"""),"High School DxD Blacked")</f>
        <v>High School DxD Blacked</v>
      </c>
      <c r="G125" s="2" t="str">
        <f ca="1">IFERROR(__xludf.DUMMYFUNCTION("""COMPUTED_VALUE"""),"Mind &amp; Control")</f>
        <v>Mind &amp; Control</v>
      </c>
      <c r="H125" s="2" t="str">
        <f ca="1">IFERROR(__xludf.DUMMYFUNCTION("""COMPUTED_VALUE"""),"Subtlety and you have a pretty interesting relationship. On the one hand, you could get a number of tattoos proclaiming your utter servitude to black men and somehow keep them a secret from everyone for months on end. On the other hand, you could arrange "&amp;"for pretty much anyone you know to ‘accidentally’ spy on you getting utterly wrecked by him. And back on the original hand, he might not even know you’re a devil. Like I said, it’s an interesting relationship. In any event, you’re a pretty dab hand at app"&amp;"lying memory manipulation when you desire to do so, the use of magic to smooth over the edges and make it look like nothing important happened here solving a lot of problems for you. Make no mistake, you’re not reliant on it, and you can set things up so "&amp;"someone walks in on you getting ruined, but magic is where you shine.")</f>
        <v>Subtlety and you have a pretty interesting relationship. On the one hand, you could get a number of tattoos proclaiming your utter servitude to black men and somehow keep them a secret from everyone for months on end. On the other hand, you could arrange for pretty much anyone you know to ‘accidentally’ spy on you getting utterly wrecked by him. And back on the original hand, he might not even know you’re a devil. Like I said, it’s an interesting relationship. In any event, you’re a pretty dab hand at applying memory manipulation when you desire to do so, the use of magic to smooth over the edges and make it look like nothing important happened here solving a lot of problems for you. Make no mistake, you’re not reliant on it, and you can set things up so someone walks in on you getting ruined, but magic is where you shine.</v>
      </c>
      <c r="I125" s="5"/>
    </row>
    <row r="126" spans="1:9" ht="69.599999999999994" x14ac:dyDescent="0.25">
      <c r="A126" s="16"/>
      <c r="B126" s="17">
        <v>122</v>
      </c>
      <c r="C126" s="2" t="b">
        <f ca="1">IFERROR(__xludf.DUMMYFUNCTION("""COMPUTED_VALUE"""),FALSE)</f>
        <v>0</v>
      </c>
      <c r="D126" s="2">
        <f ca="1">IFERROR(__xludf.DUMMYFUNCTION("""COMPUTED_VALUE"""),200)</f>
        <v>200</v>
      </c>
      <c r="E126" s="2" t="str">
        <f ca="1">IFERROR(__xludf.DUMMYFUNCTION("""COMPUTED_VALUE"""),"Our Little Secret")</f>
        <v>Our Little Secret</v>
      </c>
      <c r="F126" s="2" t="str">
        <f ca="1">IFERROR(__xludf.DUMMYFUNCTION("""COMPUTED_VALUE"""),"Generic: Incest")</f>
        <v>Generic: Incest</v>
      </c>
      <c r="G126" s="2" t="str">
        <f ca="1">IFERROR(__xludf.DUMMYFUNCTION("""COMPUTED_VALUE"""),"Mind &amp; Control")</f>
        <v>Mind &amp; Control</v>
      </c>
      <c r="H126" s="2" t="str">
        <f ca="1">IFERROR(__xludf.DUMMYFUNCTION("""COMPUTED_VALUE"""),"If you need to keep a secret, you are excellent at doing so. You will never feel any temptation to spill it, and you will never slip up and accidentally mention or reference it when you shouldn’t. However, this perk also applies to anyone else you need to"&amp;" keep your secret, unless for whatever reason you don’t want it too.")</f>
        <v>If you need to keep a secret, you are excellent at doing so. You will never feel any temptation to spill it, and you will never slip up and accidentally mention or reference it when you shouldn’t. However, this perk also applies to anyone else you need to keep your secret, unless for whatever reason you don’t want it too.</v>
      </c>
      <c r="I126" s="5"/>
    </row>
    <row r="127" spans="1:9" ht="87" x14ac:dyDescent="0.25">
      <c r="A127" s="16"/>
      <c r="B127" s="17">
        <v>123</v>
      </c>
      <c r="C127" s="2" t="b">
        <f ca="1">IFERROR(__xludf.DUMMYFUNCTION("""COMPUTED_VALUE"""),FALSE)</f>
        <v>0</v>
      </c>
      <c r="D127" s="2">
        <f ca="1">IFERROR(__xludf.DUMMYFUNCTION("""COMPUTED_VALUE"""),200)</f>
        <v>200</v>
      </c>
      <c r="E127" s="2" t="str">
        <f ca="1">IFERROR(__xludf.DUMMYFUNCTION("""COMPUTED_VALUE"""),"Pace Yourself")</f>
        <v>Pace Yourself</v>
      </c>
      <c r="F127" s="2" t="str">
        <f ca="1">IFERROR(__xludf.DUMMYFUNCTION("""COMPUTED_VALUE"""),"Monster Girl Dreams 1.3 - The Pre-Capitol Update")</f>
        <v>Monster Girl Dreams 1.3 - The Pre-Capitol Update</v>
      </c>
      <c r="G127" s="2" t="str">
        <f ca="1">IFERROR(__xludf.DUMMYFUNCTION("""COMPUTED_VALUE"""),"Mind &amp; Control")</f>
        <v>Mind &amp; Control</v>
      </c>
      <c r="H127" s="2" t="str">
        <f ca="1">IFERROR(__xludf.DUMMYFUNCTION("""COMPUTED_VALUE"""),"When trying to drive monster girls to the heights of pleasure it’s often important to avoid going over the edge yourself in the process. This perks provides you with a portion of much-needed self control, enough to prevent yourself from climaxing when bal"&amp;"ls deep in an Imp. At least, not until she climaxes first.")</f>
        <v>When trying to drive monster girls to the heights of pleasure it’s often important to avoid going over the edge yourself in the process. This perks provides you with a portion of much-needed self control, enough to prevent yourself from climaxing when balls deep in an Imp. At least, not until she climaxes first.</v>
      </c>
      <c r="I127" s="5"/>
    </row>
    <row r="128" spans="1:9" ht="139.19999999999999" x14ac:dyDescent="0.25">
      <c r="A128" s="16"/>
      <c r="B128" s="17">
        <v>124</v>
      </c>
      <c r="C128" s="2" t="b">
        <f ca="1">IFERROR(__xludf.DUMMYFUNCTION("""COMPUTED_VALUE"""),FALSE)</f>
        <v>0</v>
      </c>
      <c r="D128" s="2">
        <f ca="1">IFERROR(__xludf.DUMMYFUNCTION("""COMPUTED_VALUE"""),200)</f>
        <v>200</v>
      </c>
      <c r="E128" s="2" t="str">
        <f ca="1">IFERROR(__xludf.DUMMYFUNCTION("""COMPUTED_VALUE"""),"Personality Reinstated")</f>
        <v>Personality Reinstated</v>
      </c>
      <c r="F128" s="2" t="str">
        <f ca="1">IFERROR(__xludf.DUMMYFUNCTION("""COMPUTED_VALUE"""),"Hypno App Fantasia")</f>
        <v>Hypno App Fantasia</v>
      </c>
      <c r="G128" s="2" t="str">
        <f ca="1">IFERROR(__xludf.DUMMYFUNCTION("""COMPUTED_VALUE"""),"Mind &amp; Control")</f>
        <v>Mind &amp; Control</v>
      </c>
      <c r="H128" s="2" t="str">
        <f ca="1">IFERROR(__xludf.DUMMYFUNCTION("""COMPUTED_VALUE"""),"Far more insidious than mere control is those artefacts that change you instead. Who needs to order you to do something when they can make you believe you always wanted to do it, make you so depraved you’d say yes to anything or just erase your personalit"&amp;"y outright and turn you into a loyal machine. Not any more, your mind and the rest protected from these changes. But you can always indulge if you feel like it, allowing for changes or damage to be done on a superficial level while keeping everything actu"&amp;"ally important buried deeper, watching as others toy with your mind and spirit for their own pleasure, able to revert the changes once you finish shaking in the aftermath.")</f>
        <v>Far more insidious than mere control is those artefacts that change you instead. Who needs to order you to do something when they can make you believe you always wanted to do it, make you so depraved you’d say yes to anything or just erase your personality outright and turn you into a loyal machine. Not any more, your mind and the rest protected from these changes. But you can always indulge if you feel like it, allowing for changes or damage to be done on a superficial level while keeping everything actually important buried deeper, watching as others toy with your mind and spirit for their own pleasure, able to revert the changes once you finish shaking in the aftermath.</v>
      </c>
      <c r="I128" s="5"/>
    </row>
    <row r="129" spans="1:10" ht="156.6" x14ac:dyDescent="0.25">
      <c r="A129" s="16"/>
      <c r="B129" s="17">
        <v>125</v>
      </c>
      <c r="C129" s="2" t="b">
        <f ca="1">IFERROR(__xludf.DUMMYFUNCTION("""COMPUTED_VALUE"""),FALSE)</f>
        <v>0</v>
      </c>
      <c r="D129" s="2">
        <f ca="1">IFERROR(__xludf.DUMMYFUNCTION("""COMPUTED_VALUE"""),200)</f>
        <v>200</v>
      </c>
      <c r="E129" s="2" t="str">
        <f ca="1">IFERROR(__xludf.DUMMYFUNCTION("""COMPUTED_VALUE"""),"Prepared for Eternity")</f>
        <v>Prepared for Eternity</v>
      </c>
      <c r="F129" s="2" t="str">
        <f ca="1">IFERROR(__xludf.DUMMYFUNCTION("""COMPUTED_VALUE"""),"High Elf x High School")</f>
        <v>High Elf x High School</v>
      </c>
      <c r="G129" s="2" t="str">
        <f ca="1">IFERROR(__xludf.DUMMYFUNCTION("""COMPUTED_VALUE"""),"Mind &amp; Control")</f>
        <v>Mind &amp; Control</v>
      </c>
      <c r="H129" s="2" t="str">
        <f ca="1">IFERROR(__xludf.DUMMYFUNCTION("""COMPUTED_VALUE"""),"Elves don’t actually live forever. But they do live far longer than any human, and over the course of an extended lifespan, the little pleasures of life can grow dull. Well, maybe they do for humans, but not for you. You never grow used to positive experi"&amp;"ences... when it would benefit you, at least. Every sunrise you see will still provoke the same sense of wonder that watching the sun come up the first time did. Every time you meet your friends, that friendship will still burn just as strongly as ever. E"&amp;"very time you hug your beloved, it will make your heart beat just as strongly as it did when you first embraced them. And when your partner plows your ass into the bed, you’ll never have to worry about getting bored from repetitiveness. You could easily s"&amp;"tay with one partner for the rest of time, and it will never grow stale.")</f>
        <v>Elves don’t actually live forever. But they do live far longer than any human, and over the course of an extended lifespan, the little pleasures of life can grow dull. Well, maybe they do for humans, but not for you. You never grow used to positive experiences... when it would benefit you, at least. Every sunrise you see will still provoke the same sense of wonder that watching the sun come up the first time did. Every time you meet your friends, that friendship will still burn just as strongly as ever. Every time you hug your beloved, it will make your heart beat just as strongly as it did when you first embraced them. And when your partner plows your ass into the bed, you’ll never have to worry about getting bored from repetitiveness. You could easily stay with one partner for the rest of time, and it will never grow stale.</v>
      </c>
      <c r="I129" s="5"/>
    </row>
    <row r="130" spans="1:10" ht="174" x14ac:dyDescent="0.25">
      <c r="A130" s="16"/>
      <c r="B130" s="17">
        <v>126</v>
      </c>
      <c r="C130" s="2" t="b">
        <f ca="1">IFERROR(__xludf.DUMMYFUNCTION("""COMPUTED_VALUE"""),FALSE)</f>
        <v>0</v>
      </c>
      <c r="D130" s="2">
        <f ca="1">IFERROR(__xludf.DUMMYFUNCTION("""COMPUTED_VALUE"""),200)</f>
        <v>200</v>
      </c>
      <c r="E130" s="2" t="str">
        <f ca="1">IFERROR(__xludf.DUMMYFUNCTION("""COMPUTED_VALUE"""),"Pride Before the Fall")</f>
        <v>Pride Before the Fall</v>
      </c>
      <c r="F130" s="2" t="str">
        <f ca="1">IFERROR(__xludf.DUMMYFUNCTION("""COMPUTED_VALUE"""),"Mind Control University")</f>
        <v>Mind Control University</v>
      </c>
      <c r="G130" s="2" t="str">
        <f ca="1">IFERROR(__xludf.DUMMYFUNCTION("""COMPUTED_VALUE"""),"Mind &amp; Control")</f>
        <v>Mind &amp; Control</v>
      </c>
      <c r="H130" s="2" t="str">
        <f ca="1">IFERROR(__xludf.DUMMYFUNCTION("""COMPUTED_VALUE"""),"Your opponent is never as vulnerable as when they think they have you all figured out. You can choose to give off an aura that makes select people within your presence feel totally in control of the situation, secure in their beliefs that they have accoun"&amp;"ted for everything until they are proven wrong. Helpful if you’re trying to subvert someone stronger than you.
Alternatively, if you are in a position of power over them, you can make them hyper-aware of that fact and make them feel vulnerable; when it "&amp;"comes to hypnosis, admitting the possibility of defeat is basically as good as admitting defeat. Helpful if the person you’re trying to hypnotize is so overwhelmingly more powerful than you that any other attempts at subverting them might not work.")</f>
        <v>Your opponent is never as vulnerable as when they think they have you all figured out. You can choose to give off an aura that makes select people within your presence feel totally in control of the situation, secure in their beliefs that they have accounted for everything until they are proven wrong. Helpful if you’re trying to subvert someone stronger than you.
Alternatively, if you are in a position of power over them, you can make them hyper-aware of that fact and make them feel vulnerable; when it comes to hypnosis, admitting the possibility of defeat is basically as good as admitting defeat. Helpful if the person you’re trying to hypnotize is so overwhelmingly more powerful than you that any other attempts at subverting them might not work.</v>
      </c>
      <c r="I130" s="5"/>
    </row>
    <row r="131" spans="1:10" ht="104.4" x14ac:dyDescent="0.25">
      <c r="A131" s="16"/>
      <c r="B131" s="17">
        <v>127</v>
      </c>
      <c r="C131" s="2" t="b">
        <f ca="1">IFERROR(__xludf.DUMMYFUNCTION("""COMPUTED_VALUE"""),FALSE)</f>
        <v>0</v>
      </c>
      <c r="D131" s="2">
        <f ca="1">IFERROR(__xludf.DUMMYFUNCTION("""COMPUTED_VALUE"""),200)</f>
        <v>200</v>
      </c>
      <c r="E131" s="2" t="str">
        <f ca="1">IFERROR(__xludf.DUMMYFUNCTION("""COMPUTED_VALUE"""),"Ring of Orgy")</f>
        <v>Ring of Orgy</v>
      </c>
      <c r="F131" s="2" t="str">
        <f ca="1">IFERROR(__xludf.DUMMYFUNCTION("""COMPUTED_VALUE"""),"Modded Skyrim")</f>
        <v>Modded Skyrim</v>
      </c>
      <c r="G131" s="2" t="str">
        <f ca="1">IFERROR(__xludf.DUMMYFUNCTION("""COMPUTED_VALUE"""),"Mind &amp; Control")</f>
        <v>Mind &amp; Control</v>
      </c>
      <c r="H131" s="2" t="str">
        <f ca="1">IFERROR(__xludf.DUMMYFUNCTION("""COMPUTED_VALUE"""),"A simple silver ring hiding a devious secret. The power... To start orgies! Once per day, at a time and place of your choosing, everybody near you will spontaneously become DTF. Even if you can only hold the attention of one or two people, everyone else w"&amp;"ill just end up fucking each other rather than you. Passerbyers who weren't originally in range might end up masturbating to you. Won't make people ignore gender preferences, and the sex itself isn't anything hardcore, but everything else is fair game.")</f>
        <v>A simple silver ring hiding a devious secret. The power... To start orgies! Once per day, at a time and place of your choosing, everybody near you will spontaneously become DTF. Even if you can only hold the attention of one or two people, everyone else will just end up fucking each other rather than you. Passerbyers who weren't originally in range might end up masturbating to you. Won't make people ignore gender preferences, and the sex itself isn't anything hardcore, but everything else is fair game.</v>
      </c>
      <c r="I131" s="5"/>
    </row>
    <row r="132" spans="1:10" ht="156.6" x14ac:dyDescent="0.25">
      <c r="A132" s="16"/>
      <c r="B132" s="17">
        <v>128</v>
      </c>
      <c r="C132" s="2" t="b">
        <f ca="1">IFERROR(__xludf.DUMMYFUNCTION("""COMPUTED_VALUE"""),FALSE)</f>
        <v>0</v>
      </c>
      <c r="D132" s="2">
        <f ca="1">IFERROR(__xludf.DUMMYFUNCTION("""COMPUTED_VALUE"""),200)</f>
        <v>200</v>
      </c>
      <c r="E132" s="2" t="str">
        <f ca="1">IFERROR(__xludf.DUMMYFUNCTION("""COMPUTED_VALUE"""),"Rosy-Cheeked Snake")</f>
        <v>Rosy-Cheeked Snake</v>
      </c>
      <c r="F132" s="2" t="str">
        <f ca="1">IFERROR(__xludf.DUMMYFUNCTION("""COMPUTED_VALUE"""),"Fate/Whore Order")</f>
        <v>Fate/Whore Order</v>
      </c>
      <c r="G132" s="2" t="str">
        <f ca="1">IFERROR(__xludf.DUMMYFUNCTION("""COMPUTED_VALUE"""),"Mind &amp; Control")</f>
        <v>Mind &amp; Control</v>
      </c>
      <c r="H132" s="2" t="str">
        <f ca="1">IFERROR(__xludf.DUMMYFUNCTION("""COMPUTED_VALUE"""),"As a child, were you perhaps mistaken for an angel once or twice? With the air of innocence about you I cannot imagine that something similar didn’t happen at least once, but in truth you’re more an incubus than anything else. You have a nameless charm th"&amp;"at fascinates women, drawing them into spending more time with you than is wise and allowing you to take certain liberties with their friendship without arousing their suspicions until it’s far too late for them. This effect can also take hold of men, mak"&amp;"ing them assume that you’re simply a child, pure of mind and heart, so much so that they’d overlook obvious warning signs of your true nature, like the smell of sex and the shaking legs of the wife you’d just finished impregnating. If they had a lust to m"&amp;"atch yours perhaps they could sense your true nature, but otherwise? Innocent is all you are.")</f>
        <v>As a child, were you perhaps mistaken for an angel once or twice? With the air of innocence about you I cannot imagine that something similar didn’t happen at least once, but in truth you’re more an incubus than anything else. You have a nameless charm that fascinates women, drawing them into spending more time with you than is wise and allowing you to take certain liberties with their friendship without arousing their suspicions until it’s far too late for them. This effect can also take hold of men, making them assume that you’re simply a child, pure of mind and heart, so much so that they’d overlook obvious warning signs of your true nature, like the smell of sex and the shaking legs of the wife you’d just finished impregnating. If they had a lust to match yours perhaps they could sense your true nature, but otherwise? Innocent is all you are.</v>
      </c>
      <c r="I132" s="5"/>
    </row>
    <row r="133" spans="1:10" ht="261" x14ac:dyDescent="0.35">
      <c r="A133" s="16"/>
      <c r="B133" s="17">
        <v>129</v>
      </c>
      <c r="C133" s="2" t="b">
        <f ca="1">IFERROR(__xludf.DUMMYFUNCTION("""COMPUTED_VALUE"""),FALSE)</f>
        <v>0</v>
      </c>
      <c r="D133" s="2">
        <f ca="1">IFERROR(__xludf.DUMMYFUNCTION("""COMPUTED_VALUE"""),200)</f>
        <v>200</v>
      </c>
      <c r="E133" s="2" t="str">
        <f ca="1">IFERROR(__xludf.DUMMYFUNCTION("""COMPUTED_VALUE"""),"Scary Story")</f>
        <v>Scary Story</v>
      </c>
      <c r="F133" s="2" t="str">
        <f ca="1">IFERROR(__xludf.DUMMYFUNCTION("""COMPUTED_VALUE"""),"Generic: Monster Fucker/Horny Horror")</f>
        <v>Generic: Monster Fucker/Horny Horror</v>
      </c>
      <c r="G133" s="2" t="str">
        <f ca="1">IFERROR(__xludf.DUMMYFUNCTION("""COMPUTED_VALUE"""),"Mind &amp; Control")</f>
        <v>Mind &amp; Control</v>
      </c>
      <c r="H133" s="2" t="str">
        <f ca="1">IFERROR(__xludf.DUMMYFUNCTION("""COMPUTED_VALUE"""),"Once upon a time, in the middle of a cold dark forest, there was some sexy beast that snatched people up and spirited them away to its lair to stay warm, all night, the end. That’s kind of a shit story. Why do you keep hearing it? 
Your existence has a m"&amp;"emetic quality that causes stories of you to crop up even among those who should have no knowledge of you. Hushed whispers and campfire stories appear regarding who you are, what you are, and what you want.
Some may be threatened by this vague knowledge,"&amp;" while others discount the stories as some made up boogeyman. The stories dig deepest in those with darker desires however, drawing them like moths to your flame.
Those who want you, whether consciously or not, will seek you out in some way. It’s because"&amp;" they want you that even if they were once some great hero, they’ll still feel limp in your presence. An eventual cult may not be out of the question.")</f>
        <v>Once upon a time, in the middle of a cold dark forest, there was some sexy beast that snatched people up and spirited them away to its lair to stay warm, all night, the end. That’s kind of a shit story. Why do you keep hearing it? 
Your existence has a memetic quality that causes stories of you to crop up even among those who should have no knowledge of you. Hushed whispers and campfire stories appear regarding who you are, what you are, and what you want.
Some may be threatened by this vague knowledge, while others discount the stories as some made up boogeyman. The stories dig deepest in those with darker desires however, drawing them like moths to your flame.
Those who want you, whether consciously or not, will seek you out in some way. It’s because they want you that even if they were once some great hero, they’ll still feel limp in your presence. An eventual cult may not be out of the question.</v>
      </c>
      <c r="I133" s="5"/>
      <c r="J133" s="13"/>
    </row>
    <row r="134" spans="1:10" ht="34.799999999999997" x14ac:dyDescent="0.35">
      <c r="A134" s="16"/>
      <c r="B134" s="17">
        <v>130</v>
      </c>
      <c r="C134" s="2" t="b">
        <f ca="1">IFERROR(__xludf.DUMMYFUNCTION("""COMPUTED_VALUE"""),FALSE)</f>
        <v>0</v>
      </c>
      <c r="D134" s="2">
        <f ca="1">IFERROR(__xludf.DUMMYFUNCTION("""COMPUTED_VALUE"""),200)</f>
        <v>200</v>
      </c>
      <c r="E134" s="2" t="str">
        <f ca="1">IFERROR(__xludf.DUMMYFUNCTION("""COMPUTED_VALUE"""),"Sempai")</f>
        <v>Sempai</v>
      </c>
      <c r="F134" s="2" t="str">
        <f ca="1">IFERROR(__xludf.DUMMYFUNCTION("""COMPUTED_VALUE"""),"Generic: Loli")</f>
        <v>Generic: Loli</v>
      </c>
      <c r="G134" s="2" t="str">
        <f ca="1">IFERROR(__xludf.DUMMYFUNCTION("""COMPUTED_VALUE"""),"Mind &amp; Control")</f>
        <v>Mind &amp; Control</v>
      </c>
      <c r="H134" s="2" t="str">
        <f ca="1">IFERROR(__xludf.DUMMYFUNCTION("""COMPUTED_VALUE"""),"Whenever you do something forbidden with someone else, they won’t use your name while discussing it, but rather use a nickname.")</f>
        <v>Whenever you do something forbidden with someone else, they won’t use your name while discussing it, but rather use a nickname.</v>
      </c>
      <c r="I134" s="5"/>
      <c r="J134" s="27"/>
    </row>
    <row r="135" spans="1:10" ht="121.8" x14ac:dyDescent="0.25">
      <c r="A135" s="16"/>
      <c r="B135" s="17">
        <v>131</v>
      </c>
      <c r="C135" s="2" t="b">
        <f ca="1">IFERROR(__xludf.DUMMYFUNCTION("""COMPUTED_VALUE"""),FALSE)</f>
        <v>0</v>
      </c>
      <c r="D135" s="2">
        <f ca="1">IFERROR(__xludf.DUMMYFUNCTION("""COMPUTED_VALUE"""),200)</f>
        <v>200</v>
      </c>
      <c r="E135" s="2" t="str">
        <f ca="1">IFERROR(__xludf.DUMMYFUNCTION("""COMPUTED_VALUE"""),"Take Me Instead")</f>
        <v>Take Me Instead</v>
      </c>
      <c r="F135" s="2" t="str">
        <f ca="1">IFERROR(__xludf.DUMMYFUNCTION("""COMPUTED_VALUE"""),"Submission Sailor Moon")</f>
        <v>Submission Sailor Moon</v>
      </c>
      <c r="G135" s="2" t="str">
        <f ca="1">IFERROR(__xludf.DUMMYFUNCTION("""COMPUTED_VALUE"""),"Mind &amp; Control")</f>
        <v>Mind &amp; Control</v>
      </c>
      <c r="H135" s="2" t="str">
        <f ca="1">IFERROR(__xludf.DUMMYFUNCTION("""COMPUTED_VALUE"""),"How noble and self-sacrificing of you, offering yourself to suffer in place of a friend. When things seem hopeless and the villains have the upper hand you can offer yourself to an enemy to help someone else escape a bad situation. Whether it’s a blackmai"&amp;"ler who wants to exploit your friends for money or a youma who wants to drain all their energy you can offer yourself as a substitute and will almost always be taken up on the offer. They’ll even keep their word about letting your friends off the hook. In"&amp;" fact the only time this perk won’t work is if the villain is after something very specific, like a plot device that you don’t have.")</f>
        <v>How noble and self-sacrificing of you, offering yourself to suffer in place of a friend. When things seem hopeless and the villains have the upper hand you can offer yourself to an enemy to help someone else escape a bad situation. Whether it’s a blackmailer who wants to exploit your friends for money or a youma who wants to drain all their energy you can offer yourself as a substitute and will almost always be taken up on the offer. They’ll even keep their word about letting your friends off the hook. In fact the only time this perk won’t work is if the villain is after something very specific, like a plot device that you don’t have.</v>
      </c>
      <c r="I135" s="5"/>
    </row>
    <row r="136" spans="1:10" ht="174" x14ac:dyDescent="0.25">
      <c r="A136" s="16"/>
      <c r="B136" s="17">
        <v>132</v>
      </c>
      <c r="C136" s="2" t="b">
        <f ca="1">IFERROR(__xludf.DUMMYFUNCTION("""COMPUTED_VALUE"""),FALSE)</f>
        <v>0</v>
      </c>
      <c r="D136" s="2">
        <f ca="1">IFERROR(__xludf.DUMMYFUNCTION("""COMPUTED_VALUE"""),200)</f>
        <v>200</v>
      </c>
      <c r="E136" s="2" t="str">
        <f ca="1">IFERROR(__xludf.DUMMYFUNCTION("""COMPUTED_VALUE"""),"Taking Advantage")</f>
        <v>Taking Advantage</v>
      </c>
      <c r="F136" s="2" t="str">
        <f ca="1">IFERROR(__xludf.DUMMYFUNCTION("""COMPUTED_VALUE"""),"The Works of Aomizuan")</f>
        <v>The Works of Aomizuan</v>
      </c>
      <c r="G136" s="2" t="str">
        <f ca="1">IFERROR(__xludf.DUMMYFUNCTION("""COMPUTED_VALUE"""),"Mind &amp; Control")</f>
        <v>Mind &amp; Control</v>
      </c>
      <c r="H136" s="2" t="str">
        <f ca="1">IFERROR(__xludf.DUMMYFUNCTION("""COMPUTED_VALUE"""),"People just have a way of telling when you want to be fucked. When you leave yourself open and vulnerable, or otherwise are unwilling to fight back against sex, people who would be interested in fucking you can tell. And they’ll take you, right then and t"&amp;"here. Somehow, your partners never get in trouble for this, even if they fucked you in front of an entire crowd full of people.
But what if that’s a bit too extreme, and you just want someone to feel you up? Or you don’t mind the sex, but don’t want the"&amp;"m to make it so open that everyone sees it? Well, your molesters will never take this further than you’re willing to go. You can also use this on a very low level to simply indicate to people that you’re open and willing to establish a sexual relationship"&amp;", and just waiting for someone else to make the first move.")</f>
        <v>People just have a way of telling when you want to be fucked. When you leave yourself open and vulnerable, or otherwise are unwilling to fight back against sex, people who would be interested in fucking you can tell. And they’ll take you, right then and there. Somehow, your partners never get in trouble for this, even if they fucked you in front of an entire crowd full of people.
But what if that’s a bit too extreme, and you just want someone to feel you up? Or you don’t mind the sex, but don’t want them to make it so open that everyone sees it? Well, your molesters will never take this further than you’re willing to go. You can also use this on a very low level to simply indicate to people that you’re open and willing to establish a sexual relationship, and just waiting for someone else to make the first move.</v>
      </c>
      <c r="I136" s="5"/>
    </row>
    <row r="137" spans="1:10" ht="121.8" x14ac:dyDescent="0.25">
      <c r="A137" s="16"/>
      <c r="B137" s="17">
        <v>133</v>
      </c>
      <c r="C137" s="2" t="b">
        <f ca="1">IFERROR(__xludf.DUMMYFUNCTION("""COMPUTED_VALUE"""),FALSE)</f>
        <v>0</v>
      </c>
      <c r="D137" s="2">
        <f ca="1">IFERROR(__xludf.DUMMYFUNCTION("""COMPUTED_VALUE"""),200)</f>
        <v>200</v>
      </c>
      <c r="E137" s="2" t="str">
        <f ca="1">IFERROR(__xludf.DUMMYFUNCTION("""COMPUTED_VALUE"""),"That Sort of Reputation")</f>
        <v>That Sort of Reputation</v>
      </c>
      <c r="F137" s="2" t="str">
        <f ca="1">IFERROR(__xludf.DUMMYFUNCTION("""COMPUTED_VALUE"""),"Generic: Hentai World")</f>
        <v>Generic: Hentai World</v>
      </c>
      <c r="G137" s="2" t="str">
        <f ca="1">IFERROR(__xludf.DUMMYFUNCTION("""COMPUTED_VALUE"""),"Mind &amp; Control")</f>
        <v>Mind &amp; Control</v>
      </c>
      <c r="H137" s="2" t="str">
        <f ca="1">IFERROR(__xludf.DUMMYFUNCTION("""COMPUTED_VALUE"""),"Sometimes people, jealous people, try to disparage the reputation of a Hedonist like you but their efforts are in vain. Your reputation can never be tarnished by your legal and consensual sexual activities, its spread will only ever paint you in a positiv"&amp;"e light. Those who attempt to slander you as a manwhore or a loose woman or who falsely accuse you of rape find their attempts backfiring as people either see through their deceptions or become unwillingly impressed, intrigued, or in awe of your prowess. "&amp;"This perk also ensures there are no hard feelings over breakups or one-night stands save for extreme cases like the dreaded yandere.")</f>
        <v>Sometimes people, jealous people, try to disparage the reputation of a Hedonist like you but their efforts are in vain. Your reputation can never be tarnished by your legal and consensual sexual activities, its spread will only ever paint you in a positive light. Those who attempt to slander you as a manwhore or a loose woman or who falsely accuse you of rape find their attempts backfiring as people either see through their deceptions or become unwillingly impressed, intrigued, or in awe of your prowess. This perk also ensures there are no hard feelings over breakups or one-night stands save for extreme cases like the dreaded yandere.</v>
      </c>
      <c r="I137" s="5"/>
    </row>
    <row r="138" spans="1:10" ht="156.6" x14ac:dyDescent="0.25">
      <c r="A138" s="16"/>
      <c r="B138" s="17">
        <v>134</v>
      </c>
      <c r="C138" s="2" t="b">
        <f ca="1">IFERROR(__xludf.DUMMYFUNCTION("""COMPUTED_VALUE"""),FALSE)</f>
        <v>0</v>
      </c>
      <c r="D138" s="2">
        <f ca="1">IFERROR(__xludf.DUMMYFUNCTION("""COMPUTED_VALUE"""),200)</f>
        <v>200</v>
      </c>
      <c r="E138" s="2" t="str">
        <f ca="1">IFERROR(__xludf.DUMMYFUNCTION("""COMPUTED_VALUE"""),"The Great Tempter")</f>
        <v>The Great Tempter</v>
      </c>
      <c r="F138" s="2" t="str">
        <f ca="1">IFERROR(__xludf.DUMMYFUNCTION("""COMPUTED_VALUE"""),"Victim Girls (Rose Edition)")</f>
        <v>Victim Girls (Rose Edition)</v>
      </c>
      <c r="G138" s="2" t="str">
        <f ca="1">IFERROR(__xludf.DUMMYFUNCTION("""COMPUTED_VALUE"""),"Mind &amp; Control")</f>
        <v>Mind &amp; Control</v>
      </c>
      <c r="H138" s="2" t="str">
        <f ca="1">IFERROR(__xludf.DUMMYFUNCTION("""COMPUTED_VALUE"""),"Sin’s hardly something to get so worked up about. Everyone’s sinning all the time. You and your boys? Well, you’re just more open about it. And you’re rather good about getting others to be open about it too. Something about you tempts everyone around you"&amp;" into bad ideas and lowered inhibitions. In front of you, people consider terrible things that would normally disgust them and find that the apparent downsides of what you offer become far less noticeable, with the upsides being far more pronounced. The a"&amp;"ct of cheating on their spouse suddenly seems far less egregious in their minds, especially compared to the pleasure they know they’d feel with you. Taking one more loan from you only has them thinking of the extra hit they could buy and not the long term"&amp;" consequences.")</f>
        <v>Sin’s hardly something to get so worked up about. Everyone’s sinning all the time. You and your boys? Well, you’re just more open about it. And you’re rather good about getting others to be open about it too. Something about you tempts everyone around you into bad ideas and lowered inhibitions. In front of you, people consider terrible things that would normally disgust them and find that the apparent downsides of what you offer become far less noticeable, with the upsides being far more pronounced. The act of cheating on their spouse suddenly seems far less egregious in their minds, especially compared to the pleasure they know they’d feel with you. Taking one more loan from you only has them thinking of the extra hit they could buy and not the long term consequences.</v>
      </c>
      <c r="I138" s="5"/>
    </row>
    <row r="139" spans="1:10" ht="139.19999999999999" x14ac:dyDescent="0.25">
      <c r="A139" s="16"/>
      <c r="B139" s="17">
        <v>135</v>
      </c>
      <c r="C139" s="2" t="b">
        <f ca="1">IFERROR(__xludf.DUMMYFUNCTION("""COMPUTED_VALUE"""),FALSE)</f>
        <v>0</v>
      </c>
      <c r="D139" s="2">
        <f ca="1">IFERROR(__xludf.DUMMYFUNCTION("""COMPUTED_VALUE"""),200)</f>
        <v>200</v>
      </c>
      <c r="E139" s="2" t="str">
        <f ca="1">IFERROR(__xludf.DUMMYFUNCTION("""COMPUTED_VALUE"""),"The Quiet Ones")</f>
        <v>The Quiet Ones</v>
      </c>
      <c r="F139" s="2" t="str">
        <f ca="1">IFERROR(__xludf.DUMMYFUNCTION("""COMPUTED_VALUE"""),"Elzikyuchi’s Dickgirls 2")</f>
        <v>Elzikyuchi’s Dickgirls 2</v>
      </c>
      <c r="G139" s="2" t="str">
        <f ca="1">IFERROR(__xludf.DUMMYFUNCTION("""COMPUTED_VALUE"""),"Mind &amp; Control")</f>
        <v>Mind &amp; Control</v>
      </c>
      <c r="H139" s="2" t="str">
        <f ca="1">IFERROR(__xludf.DUMMYFUNCTION("""COMPUTED_VALUE"""),"A Dickgirl who walks around with her dick hanging out and constantly talking about how many men she’s fucked up the ass is something that most men will instinctively fear. A nice and quiet Dickgirl on the other hand, who never boasts and does her best to "&amp;"hide her massive erection will probably arouse little to no suspicion - which of course, makes them the best at being naughty. Whether it’s covering your brothers bed in cum while he’s sleeping in it or filling someone's cup with your cum while they look "&amp;"away, people are exceptionally unobservant about your exploits, and often fail to notice them until it’s all but shoved in their faces - for example, if you’re careful, your brother might think that he’s the one who made the mess.")</f>
        <v>A Dickgirl who walks around with her dick hanging out and constantly talking about how many men she’s fucked up the ass is something that most men will instinctively fear. A nice and quiet Dickgirl on the other hand, who never boasts and does her best to hide her massive erection will probably arouse little to no suspicion - which of course, makes them the best at being naughty. Whether it’s covering your brothers bed in cum while he’s sleeping in it or filling someone's cup with your cum while they look away, people are exceptionally unobservant about your exploits, and often fail to notice them until it’s all but shoved in their faces - for example, if you’re careful, your brother might think that he’s the one who made the mess.</v>
      </c>
      <c r="I139" s="5"/>
    </row>
    <row r="140" spans="1:10" ht="156.6" x14ac:dyDescent="0.25">
      <c r="A140" s="16"/>
      <c r="B140" s="17">
        <v>136</v>
      </c>
      <c r="C140" s="2" t="b">
        <f ca="1">IFERROR(__xludf.DUMMYFUNCTION("""COMPUTED_VALUE"""),FALSE)</f>
        <v>0</v>
      </c>
      <c r="D140" s="2">
        <f ca="1">IFERROR(__xludf.DUMMYFUNCTION("""COMPUTED_VALUE"""),200)</f>
        <v>200</v>
      </c>
      <c r="E140" s="2" t="str">
        <f ca="1">IFERROR(__xludf.DUMMYFUNCTION("""COMPUTED_VALUE"""),"Through the Shame")</f>
        <v>Through the Shame</v>
      </c>
      <c r="F140" s="2" t="str">
        <f ca="1">IFERROR(__xludf.DUMMYFUNCTION("""COMPUTED_VALUE"""),"Gun Tribe")</f>
        <v>Gun Tribe</v>
      </c>
      <c r="G140" s="2" t="str">
        <f ca="1">IFERROR(__xludf.DUMMYFUNCTION("""COMPUTED_VALUE"""),"Mind &amp; Control")</f>
        <v>Mind &amp; Control</v>
      </c>
      <c r="H140" s="2" t="str">
        <f ca="1">IFERROR(__xludf.DUMMYFUNCTION("""COMPUTED_VALUE"""),"Maty never did reach the point of walking naked in public like Drive wanted, but maybe you could? You have the ability to function through any degree of shame. No matter how embarrassed you are, or how much shame you feel, it will never inhibit your abili"&amp;"ty to function or your decision-making process. Note that this doesn’t prevent you from feeling embarrassment, it just ensures that you can keep doing whatever you decided to do despite how you feel.
This same willpower that allows you to function despi"&amp;"te your shame is also useful for other emotions; keeping calm despite your anger, staying focused despite your fear... it’s a pretty versatile tool.")</f>
        <v>Maty never did reach the point of walking naked in public like Drive wanted, but maybe you could? You have the ability to function through any degree of shame. No matter how embarrassed you are, or how much shame you feel, it will never inhibit your ability to function or your decision-making process. Note that this doesn’t prevent you from feeling embarrassment, it just ensures that you can keep doing whatever you decided to do despite how you feel.
This same willpower that allows you to function despite your shame is also useful for other emotions; keeping calm despite your anger, staying focused despite your fear... it’s a pretty versatile tool.</v>
      </c>
      <c r="I140" s="5"/>
    </row>
    <row r="141" spans="1:10" ht="87" x14ac:dyDescent="0.25">
      <c r="A141" s="16"/>
      <c r="B141" s="17">
        <v>137</v>
      </c>
      <c r="C141" s="2" t="b">
        <f ca="1">IFERROR(__xludf.DUMMYFUNCTION("""COMPUTED_VALUE"""),FALSE)</f>
        <v>0</v>
      </c>
      <c r="D141" s="2">
        <f ca="1">IFERROR(__xludf.DUMMYFUNCTION("""COMPUTED_VALUE"""),200)</f>
        <v>200</v>
      </c>
      <c r="E141" s="2" t="str">
        <f ca="1">IFERROR(__xludf.DUMMYFUNCTION("""COMPUTED_VALUE"""),"Tight Lips")</f>
        <v>Tight Lips</v>
      </c>
      <c r="F141" s="2" t="str">
        <f ca="1">IFERROR(__xludf.DUMMYFUNCTION("""COMPUTED_VALUE"""),"Sei So Tsui Dan Sha")</f>
        <v>Sei So Tsui Dan Sha</v>
      </c>
      <c r="G141" s="2" t="str">
        <f ca="1">IFERROR(__xludf.DUMMYFUNCTION("""COMPUTED_VALUE"""),"Mind &amp; Control")</f>
        <v>Mind &amp; Control</v>
      </c>
      <c r="H141" s="2" t="str">
        <f ca="1">IFERROR(__xludf.DUMMYFUNCTION("""COMPUTED_VALUE"""),"Everybody has urges, but everyone has a reputation to consider too. You can’t risk having any unfortunate rumors spreading around. When you have sex, you can easily convince your partner of all the horrible things that will befall them if they squeal. Eve"&amp;"n if you obviously can’t have the ability to act on those threats, all your fuck buddies really will keep their lips sealed on the matter, just to be safe.")</f>
        <v>Everybody has urges, but everyone has a reputation to consider too. You can’t risk having any unfortunate rumors spreading around. When you have sex, you can easily convince your partner of all the horrible things that will befall them if they squeal. Even if you obviously can’t have the ability to act on those threats, all your fuck buddies really will keep their lips sealed on the matter, just to be safe.</v>
      </c>
      <c r="I141" s="5"/>
    </row>
    <row r="142" spans="1:10" ht="278.39999999999998" x14ac:dyDescent="0.25">
      <c r="A142" s="16"/>
      <c r="B142" s="17">
        <v>138</v>
      </c>
      <c r="C142" s="2" t="b">
        <f ca="1">IFERROR(__xludf.DUMMYFUNCTION("""COMPUTED_VALUE"""),FALSE)</f>
        <v>0</v>
      </c>
      <c r="D142" s="2">
        <f ca="1">IFERROR(__xludf.DUMMYFUNCTION("""COMPUTED_VALUE"""),200)</f>
        <v>200</v>
      </c>
      <c r="E142" s="2" t="str">
        <f ca="1">IFERROR(__xludf.DUMMYFUNCTION("""COMPUTED_VALUE"""),"To Soothe the Savage Beast")</f>
        <v>To Soothe the Savage Beast</v>
      </c>
      <c r="F142" s="2" t="str">
        <f ca="1">IFERROR(__xludf.DUMMYFUNCTION("""COMPUTED_VALUE"""),"Generic: Virgin")</f>
        <v>Generic: Virgin</v>
      </c>
      <c r="G142" s="2" t="str">
        <f ca="1">IFERROR(__xludf.DUMMYFUNCTION("""COMPUTED_VALUE"""),"Mind &amp; Control")</f>
        <v>Mind &amp; Control</v>
      </c>
      <c r="H142" s="2" t="str">
        <f ca="1">IFERROR(__xludf.DUMMYFUNCTION("""COMPUTED_VALUE"""),"With all those Monster Girls and such wandering around, someone is eventually going to think about taming them and harnessing their power. And apparently, that someone is you, but the nature of this world means that taming is going to have a special meani"&amp;"ng. 
You can “tame” savage or monstrous creatures by having sex with them. This is considerably faster and more effective than more conventional methods of domestication or conditioning. Even one sexual encounter would make a beast far less willing to ha"&amp;"rm you. A half a dozen romps in the sack could turn a dangerous beast into a loyal though still domineering friend. A couple of dozen and that friend will follow your commands. More powerful and more willful beasts will require more effort and time for ta"&amp;"ming. And, of course, the better the sex, the more powerful this taming effect becomes. 
Please note, this works on both creatures of less than human intelligence and those of human intelligence that are heavily influenced by their more primitive instinc"&amp;"ts. It also makes them more likely to have sex with you before killing you, giving you an opportunity to put this perk to work if you want to.")</f>
        <v>With all those Monster Girls and such wandering around, someone is eventually going to think about taming them and harnessing their power. And apparently, that someone is you, but the nature of this world means that taming is going to have a special meaning. 
You can “tame” savage or monstrous creatures by having sex with them. This is considerably faster and more effective than more conventional methods of domestication or conditioning. Even one sexual encounter would make a beast far less willing to harm you. A half a dozen romps in the sack could turn a dangerous beast into a loyal though still domineering friend. A couple of dozen and that friend will follow your commands. More powerful and more willful beasts will require more effort and time for taming. And, of course, the better the sex, the more powerful this taming effect becomes. 
Please note, this works on both creatures of less than human intelligence and those of human intelligence that are heavily influenced by their more primitive instincts. It also makes them more likely to have sex with you before killing you, giving you an opportunity to put this perk to work if you want to.</v>
      </c>
      <c r="I142" s="5"/>
    </row>
    <row r="143" spans="1:10" ht="87" x14ac:dyDescent="0.25">
      <c r="A143" s="16"/>
      <c r="B143" s="17">
        <v>139</v>
      </c>
      <c r="C143" s="2" t="b">
        <f ca="1">IFERROR(__xludf.DUMMYFUNCTION("""COMPUTED_VALUE"""),FALSE)</f>
        <v>0</v>
      </c>
      <c r="D143" s="2">
        <f ca="1">IFERROR(__xludf.DUMMYFUNCTION("""COMPUTED_VALUE"""),200)</f>
        <v>200</v>
      </c>
      <c r="E143" s="2" t="str">
        <f ca="1">IFERROR(__xludf.DUMMYFUNCTION("""COMPUTED_VALUE"""),"Use My Body")</f>
        <v>Use My Body</v>
      </c>
      <c r="F143" s="2" t="str">
        <f ca="1">IFERROR(__xludf.DUMMYFUNCTION("""COMPUTED_VALUE"""),"Legend Of Krystal")</f>
        <v>Legend Of Krystal</v>
      </c>
      <c r="G143" s="2" t="str">
        <f ca="1">IFERROR(__xludf.DUMMYFUNCTION("""COMPUTED_VALUE"""),"Mind &amp; Control")</f>
        <v>Mind &amp; Control</v>
      </c>
      <c r="H143" s="2" t="str">
        <f ca="1">IFERROR(__xludf.DUMMYFUNCTION("""COMPUTED_VALUE"""),"Just like the titular Krystal, you’re oh so tempting. A body like yours should be taken at the first opportunity, don’t you think? So what if you’re having a conversation with some Sharpclaw females, provocatively bent over the bar with your tail high in "&amp;"the air? That shouldn’t stop them from breeding you silly! If you so choose, anybody who’s interested in you will show their interest by simply taking you where you stand. Note: this doesn't stop the reprecussions of this happening.")</f>
        <v>Just like the titular Krystal, you’re oh so tempting. A body like yours should be taken at the first opportunity, don’t you think? So what if you’re having a conversation with some Sharpclaw females, provocatively bent over the bar with your tail high in the air? That shouldn’t stop them from breeding you silly! If you so choose, anybody who’s interested in you will show their interest by simply taking you where you stand. Note: this doesn't stop the reprecussions of this happening.</v>
      </c>
      <c r="I143" s="5"/>
    </row>
    <row r="144" spans="1:10" ht="87" x14ac:dyDescent="0.25">
      <c r="A144" s="16"/>
      <c r="B144" s="17">
        <v>140</v>
      </c>
      <c r="C144" s="2" t="b">
        <f ca="1">IFERROR(__xludf.DUMMYFUNCTION("""COMPUTED_VALUE"""),FALSE)</f>
        <v>0</v>
      </c>
      <c r="D144" s="2">
        <f ca="1">IFERROR(__xludf.DUMMYFUNCTION("""COMPUTED_VALUE"""),200)</f>
        <v>200</v>
      </c>
      <c r="E144" s="2" t="str">
        <f ca="1">IFERROR(__xludf.DUMMYFUNCTION("""COMPUTED_VALUE"""),"Voyeur")</f>
        <v>Voyeur</v>
      </c>
      <c r="F144" s="2" t="str">
        <f ca="1">IFERROR(__xludf.DUMMYFUNCTION("""COMPUTED_VALUE"""),"Lewd Virus")</f>
        <v>Lewd Virus</v>
      </c>
      <c r="G144" s="2" t="str">
        <f ca="1">IFERROR(__xludf.DUMMYFUNCTION("""COMPUTED_VALUE"""),"Mind &amp; Control")</f>
        <v>Mind &amp; Control</v>
      </c>
      <c r="H144" s="2" t="str">
        <f ca="1">IFERROR(__xludf.DUMMYFUNCTION("""COMPUTED_VALUE"""),"When infected men find female infectees, they’re allowed to give them treatment right away—no matter where they are or what they’re doing. This means a lot of very public sex. And while there are certainly people who object, when it comes to you? No one r"&amp;"eally minds. Everyone is fine with you watching them have sex, even in a private setting. The fucking couple might even ask you to help them, and won’t even ask what you’re doing in their house.")</f>
        <v>When infected men find female infectees, they’re allowed to give them treatment right away—no matter where they are or what they’re doing. This means a lot of very public sex. And while there are certainly people who object, when it comes to you? No one really minds. Everyone is fine with you watching them have sex, even in a private setting. The fucking couple might even ask you to help them, and won’t even ask what you’re doing in their house.</v>
      </c>
      <c r="I144" s="5"/>
    </row>
    <row r="145" spans="1:9" ht="52.2" x14ac:dyDescent="0.25">
      <c r="A145" s="16"/>
      <c r="B145" s="17">
        <v>141</v>
      </c>
      <c r="C145" s="2" t="b">
        <f ca="1">IFERROR(__xludf.DUMMYFUNCTION("""COMPUTED_VALUE"""),FALSE)</f>
        <v>0</v>
      </c>
      <c r="D145" s="2">
        <f ca="1">IFERROR(__xludf.DUMMYFUNCTION("""COMPUTED_VALUE"""),200)</f>
        <v>200</v>
      </c>
      <c r="E145" s="2" t="str">
        <f ca="1">IFERROR(__xludf.DUMMYFUNCTION("""COMPUTED_VALUE"""),"Yorou Scroll")</f>
        <v>Yorou Scroll</v>
      </c>
      <c r="F145" s="2" t="str">
        <f ca="1">IFERROR(__xludf.DUMMYFUNCTION("""COMPUTED_VALUE"""),"Rance 1 - The Quest for Hikari")</f>
        <v>Rance 1 - The Quest for Hikari</v>
      </c>
      <c r="G145" s="2" t="str">
        <f ca="1">IFERROR(__xludf.DUMMYFUNCTION("""COMPUTED_VALUE"""),"Mind &amp; Control")</f>
        <v>Mind &amp; Control</v>
      </c>
      <c r="H145" s="2" t="str">
        <f ca="1">IFERROR(__xludf.DUMMYFUNCTION("""COMPUTED_VALUE"""),"This rare item is used to flip out the personality of the target. Meek people become bold and prudes transform into sluts. The effects only last for an hour, so don’t freak out much. You get another one after use. Good for pranks.")</f>
        <v>This rare item is used to flip out the personality of the target. Meek people become bold and prudes transform into sluts. The effects only last for an hour, so don’t freak out much. You get another one after use. Good for pranks.</v>
      </c>
      <c r="I145" s="5"/>
    </row>
    <row r="146" spans="1:9" ht="87" x14ac:dyDescent="0.25">
      <c r="A146" s="16"/>
      <c r="B146" s="17">
        <v>142</v>
      </c>
      <c r="C146" s="2" t="b">
        <f ca="1">IFERROR(__xludf.DUMMYFUNCTION("""COMPUTED_VALUE"""),FALSE)</f>
        <v>0</v>
      </c>
      <c r="D146" s="2">
        <f ca="1">IFERROR(__xludf.DUMMYFUNCTION("""COMPUTED_VALUE"""),300)</f>
        <v>300</v>
      </c>
      <c r="E146" s="2" t="str">
        <f ca="1">IFERROR(__xludf.DUMMYFUNCTION("""COMPUTED_VALUE"""),"Acceptance")</f>
        <v>Acceptance</v>
      </c>
      <c r="F146" s="2" t="str">
        <f ca="1">IFERROR(__xludf.DUMMYFUNCTION("""COMPUTED_VALUE"""),"Generic: Virgin")</f>
        <v>Generic: Virgin</v>
      </c>
      <c r="G146" s="2" t="str">
        <f ca="1">IFERROR(__xludf.DUMMYFUNCTION("""COMPUTED_VALUE"""),"Mind &amp; Control")</f>
        <v>Mind &amp; Control</v>
      </c>
      <c r="H146" s="2" t="str">
        <f ca="1">IFERROR(__xludf.DUMMYFUNCTION("""COMPUTED_VALUE"""),"You have acceptance. It is genuine. You may give it to anyone else and they will recognize that it is genuine and personal to them. You’d be surprised at how much being genuinely accepted for who and what you are can change a person. Of course, this also "&amp;"means that you know and accept who and what you are. You can see past all self-deception and know the truth of yourself. This perk can be freely shared with others.")</f>
        <v>You have acceptance. It is genuine. You may give it to anyone else and they will recognize that it is genuine and personal to them. You’d be surprised at how much being genuinely accepted for who and what you are can change a person. Of course, this also means that you know and accept who and what you are. You can see past all self-deception and know the truth of yourself. This perk can be freely shared with others.</v>
      </c>
      <c r="I146" s="5"/>
    </row>
    <row r="147" spans="1:9" ht="121.8" x14ac:dyDescent="0.25">
      <c r="A147" s="16"/>
      <c r="B147" s="17">
        <v>143</v>
      </c>
      <c r="C147" s="2" t="b">
        <f ca="1">IFERROR(__xludf.DUMMYFUNCTION("""COMPUTED_VALUE"""),FALSE)</f>
        <v>0</v>
      </c>
      <c r="D147" s="2">
        <f ca="1">IFERROR(__xludf.DUMMYFUNCTION("""COMPUTED_VALUE"""),300)</f>
        <v>300</v>
      </c>
      <c r="E147" s="2" t="str">
        <f ca="1">IFERROR(__xludf.DUMMYFUNCTION("""COMPUTED_VALUE"""),"Believe It!")</f>
        <v>Believe It!</v>
      </c>
      <c r="F147" s="2" t="str">
        <f ca="1">IFERROR(__xludf.DUMMYFUNCTION("""COMPUTED_VALUE"""),"Naruto Blacked")</f>
        <v>Naruto Blacked</v>
      </c>
      <c r="G147" s="2" t="str">
        <f ca="1">IFERROR(__xludf.DUMMYFUNCTION("""COMPUTED_VALUE"""),"Mind &amp; Control")</f>
        <v>Mind &amp; Control</v>
      </c>
      <c r="H147" s="2" t="str">
        <f ca="1">IFERROR(__xludf.DUMMYFUNCTION("""COMPUTED_VALUE"""),"What sort of man would you be if you couldn’t even sense when your loved ones are in trouble? You have a well-developed sense of empathy and can easily tune in to the moods of your friends and loved ones to figure out what their needs or desires are, both"&amp;" sexually and otherwise, without them even needing to say anything about it. This exceptional attentiveness makes you almost literally too nice to cheat on, and your partners gain a substantial willpower boost against any attempts to make them betray you."&amp;" Even if one of them does succumb to temptation, simply by being your usual attentive self you can win back their loyalty and patch things up.")</f>
        <v>What sort of man would you be if you couldn’t even sense when your loved ones are in trouble? You have a well-developed sense of empathy and can easily tune in to the moods of your friends and loved ones to figure out what their needs or desires are, both sexually and otherwise, without them even needing to say anything about it. This exceptional attentiveness makes you almost literally too nice to cheat on, and your partners gain a substantial willpower boost against any attempts to make them betray you. Even if one of them does succumb to temptation, simply by being your usual attentive self you can win back their loyalty and patch things up.</v>
      </c>
      <c r="I147" s="5"/>
    </row>
    <row r="148" spans="1:9" ht="261" x14ac:dyDescent="0.25">
      <c r="A148" s="16"/>
      <c r="B148" s="17">
        <v>144</v>
      </c>
      <c r="C148" s="2" t="b">
        <f ca="1">IFERROR(__xludf.DUMMYFUNCTION("""COMPUTED_VALUE"""),FALSE)</f>
        <v>0</v>
      </c>
      <c r="D148" s="2">
        <f ca="1">IFERROR(__xludf.DUMMYFUNCTION("""COMPUTED_VALUE"""),300)</f>
        <v>300</v>
      </c>
      <c r="E148" s="2" t="str">
        <f ca="1">IFERROR(__xludf.DUMMYFUNCTION("""COMPUTED_VALUE"""),"Childlike Wonder")</f>
        <v>Childlike Wonder</v>
      </c>
      <c r="F148" s="2" t="str">
        <f ca="1">IFERROR(__xludf.DUMMYFUNCTION("""COMPUTED_VALUE"""),"The World of Lolis")</f>
        <v>The World of Lolis</v>
      </c>
      <c r="G148" s="2" t="str">
        <f ca="1">IFERROR(__xludf.DUMMYFUNCTION("""COMPUTED_VALUE"""),"Mind &amp; Control")</f>
        <v>Mind &amp; Control</v>
      </c>
      <c r="H148" s="2" t="str">
        <f ca="1">IFERROR(__xludf.DUMMYFUNCTION("""COMPUTED_VALUE"""),"Immortality can be a lonely, bitter road for many. Seeing friends die, having once beloved experiences becoming dull and mechanical or even having new experiences eventually all blend together for as many times as you’ve experienced them. It can be hard t"&amp;"o care about things. For most immortals except for you, that is. You’ll never seem to tire of life, living it or finding new experiences. Your favorite food will remain your favorite, and taste better to boot. It’s like you’re back to being a child, with "&amp;"all of the wonder that comes from it as well. 
You’ll always find a good time, or a fun new adventure if you look for it, even making one up from something as boring as going to the store. You have this good-natured youthfulness about you that people bot"&amp;"h notice and become attracted to, as well as a kind of simple-minded wisdom that manages to break past even the most cynical of hearts. This wonder can also infect those around you, allowing you to revitalize once dead or tired hearts once more, allowing "&amp;"you to help them see what you do in life, in turn helping them revitalize others as well.
(Note: Does not provide a form of Immortality)")</f>
        <v>Immortality can be a lonely, bitter road for many. Seeing friends die, having once beloved experiences becoming dull and mechanical or even having new experiences eventually all blend together for as many times as you’ve experienced them. It can be hard to care about things. For most immortals except for you, that is. You’ll never seem to tire of life, living it or finding new experiences. Your favorite food will remain your favorite, and taste better to boot. It’s like you’re back to being a child, with all of the wonder that comes from it as well. 
You’ll always find a good time, or a fun new adventure if you look for it, even making one up from something as boring as going to the store. You have this good-natured youthfulness about you that people both notice and become attracted to, as well as a kind of simple-minded wisdom that manages to break past even the most cynical of hearts. This wonder can also infect those around you, allowing you to revitalize once dead or tired hearts once more, allowing you to help them see what you do in life, in turn helping them revitalize others as well.
(Note: Does not provide a form of Immortality)</v>
      </c>
      <c r="I148" s="5"/>
    </row>
    <row r="149" spans="1:9" ht="87" x14ac:dyDescent="0.25">
      <c r="A149" s="16"/>
      <c r="B149" s="17">
        <v>145</v>
      </c>
      <c r="C149" s="2" t="b">
        <f ca="1">IFERROR(__xludf.DUMMYFUNCTION("""COMPUTED_VALUE"""),FALSE)</f>
        <v>0</v>
      </c>
      <c r="D149" s="2">
        <f ca="1">IFERROR(__xludf.DUMMYFUNCTION("""COMPUTED_VALUE"""),300)</f>
        <v>300</v>
      </c>
      <c r="E149" s="2" t="str">
        <f ca="1">IFERROR(__xludf.DUMMYFUNCTION("""COMPUTED_VALUE"""),"Exhibitionism")</f>
        <v>Exhibitionism</v>
      </c>
      <c r="F149" s="2" t="str">
        <f ca="1">IFERROR(__xludf.DUMMYFUNCTION("""COMPUTED_VALUE"""),"The Works of Aomizuan")</f>
        <v>The Works of Aomizuan</v>
      </c>
      <c r="G149" s="2" t="str">
        <f ca="1">IFERROR(__xludf.DUMMYFUNCTION("""COMPUTED_VALUE"""),"Mind &amp; Control")</f>
        <v>Mind &amp; Control</v>
      </c>
      <c r="H149" s="2" t="str">
        <f ca="1">IFERROR(__xludf.DUMMYFUNCTION("""COMPUTED_VALUE"""),"Why should the fact that you’re in public keep you from having fun? Nobody will ever put up any serious objections to you fucking them in public, and it’s more likely that they’ll get off to the stares of other people than find it embarrassing—or rather, "&amp;"what embarrassment they may feel only enhances the experience. You also somehow never get in trouble for having doing lewd things out in the open, even if you do it on a crowded train full of people.")</f>
        <v>Why should the fact that you’re in public keep you from having fun? Nobody will ever put up any serious objections to you fucking them in public, and it’s more likely that they’ll get off to the stares of other people than find it embarrassing—or rather, what embarrassment they may feel only enhances the experience. You also somehow never get in trouble for having doing lewd things out in the open, even if you do it on a crowded train full of people.</v>
      </c>
      <c r="I149" s="5"/>
    </row>
    <row r="150" spans="1:9" ht="104.4" x14ac:dyDescent="0.25">
      <c r="A150" s="16"/>
      <c r="B150" s="17">
        <v>146</v>
      </c>
      <c r="C150" s="2" t="b">
        <f ca="1">IFERROR(__xludf.DUMMYFUNCTION("""COMPUTED_VALUE"""),FALSE)</f>
        <v>0</v>
      </c>
      <c r="D150" s="2">
        <f ca="1">IFERROR(__xludf.DUMMYFUNCTION("""COMPUTED_VALUE"""),300)</f>
        <v>300</v>
      </c>
      <c r="E150" s="2" t="str">
        <f ca="1">IFERROR(__xludf.DUMMYFUNCTION("""COMPUTED_VALUE"""),"Hypnotic Focus")</f>
        <v>Hypnotic Focus</v>
      </c>
      <c r="F150" s="2" t="str">
        <f ca="1">IFERROR(__xludf.DUMMYFUNCTION("""COMPUTED_VALUE"""),"Mind Control University")</f>
        <v>Mind Control University</v>
      </c>
      <c r="G150" s="2" t="str">
        <f ca="1">IFERROR(__xludf.DUMMYFUNCTION("""COMPUTED_VALUE"""),"Mind &amp; Control")</f>
        <v>Mind &amp; Control</v>
      </c>
      <c r="H150" s="2" t="str">
        <f ca="1">IFERROR(__xludf.DUMMYFUNCTION("""COMPUTED_VALUE"""),"Every hypnotist worth the name has some sort of hypnotic focus to assist them in inducing trance. This Item, be it a pocket watch, pendant, bracelet, ring, or something else, is exquisitely made, a work of art as much as it is an accessory. It is supernat"&amp;"urally fascinating, capturing the attention of anyone else who gazes at it and lessening the time needed for an induction by an order of magnitude. It cannot be stolen or destroyed, and unlike normal hypnotic foci, it cannot be taken advantage of by a vic"&amp;"tim to turn your hypnosis attempt around on you.")</f>
        <v>Every hypnotist worth the name has some sort of hypnotic focus to assist them in inducing trance. This Item, be it a pocket watch, pendant, bracelet, ring, or something else, is exquisitely made, a work of art as much as it is an accessory. It is supernaturally fascinating, capturing the attention of anyone else who gazes at it and lessening the time needed for an induction by an order of magnitude. It cannot be stolen or destroyed, and unlike normal hypnotic foci, it cannot be taken advantage of by a victim to turn your hypnosis attempt around on you.</v>
      </c>
      <c r="I150" s="5"/>
    </row>
    <row r="151" spans="1:9" ht="69.599999999999994" x14ac:dyDescent="0.25">
      <c r="A151" s="16"/>
      <c r="B151" s="17">
        <v>147</v>
      </c>
      <c r="C151" s="2" t="b">
        <f ca="1">IFERROR(__xludf.DUMMYFUNCTION("""COMPUTED_VALUE"""),FALSE)</f>
        <v>0</v>
      </c>
      <c r="D151" s="2">
        <f ca="1">IFERROR(__xludf.DUMMYFUNCTION("""COMPUTED_VALUE"""),300)</f>
        <v>300</v>
      </c>
      <c r="E151" s="2" t="str">
        <f ca="1">IFERROR(__xludf.DUMMYFUNCTION("""COMPUTED_VALUE"""),"I Know Who You Are")</f>
        <v>I Know Who You Are</v>
      </c>
      <c r="F151" s="2" t="str">
        <f ca="1">IFERROR(__xludf.DUMMYFUNCTION("""COMPUTED_VALUE"""),"Generic: Hentai Occult")</f>
        <v>Generic: Hentai Occult</v>
      </c>
      <c r="G151" s="2" t="str">
        <f ca="1">IFERROR(__xludf.DUMMYFUNCTION("""COMPUTED_VALUE"""),"Mind &amp; Control")</f>
        <v>Mind &amp; Control</v>
      </c>
      <c r="H151" s="2" t="str">
        <f ca="1">IFERROR(__xludf.DUMMYFUNCTION("""COMPUTED_VALUE"""),"Often times, revealing that you know someone’s secret identity is a dangerous thing. You never know how they’re going to react. Well, now you get to choose. Promise to keep it a secret, and they’ll treat you well. Develop a friendship. Maybe even become l"&amp;"overs. Threaten them, and they’ll beg you not to reveal it. Doing almost anything you ask to keep that info a secret.")</f>
        <v>Often times, revealing that you know someone’s secret identity is a dangerous thing. You never know how they’re going to react. Well, now you get to choose. Promise to keep it a secret, and they’ll treat you well. Develop a friendship. Maybe even become lovers. Threaten them, and they’ll beg you not to reveal it. Doing almost anything you ask to keep that info a secret.</v>
      </c>
      <c r="I151" s="5"/>
    </row>
    <row r="152" spans="1:9" ht="121.8" x14ac:dyDescent="0.25">
      <c r="A152" s="16"/>
      <c r="B152" s="17">
        <v>148</v>
      </c>
      <c r="C152" s="2" t="b">
        <f ca="1">IFERROR(__xludf.DUMMYFUNCTION("""COMPUTED_VALUE"""),FALSE)</f>
        <v>0</v>
      </c>
      <c r="D152" s="2">
        <f ca="1">IFERROR(__xludf.DUMMYFUNCTION("""COMPUTED_VALUE"""),300)</f>
        <v>300</v>
      </c>
      <c r="E152" s="2" t="str">
        <f ca="1">IFERROR(__xludf.DUMMYFUNCTION("""COMPUTED_VALUE"""),"It's Like Some Sort of Contagious Disease")</f>
        <v>It's Like Some Sort of Contagious Disease</v>
      </c>
      <c r="F152" s="2" t="str">
        <f ca="1">IFERROR(__xludf.DUMMYFUNCTION("""COMPUTED_VALUE"""),"Aki-Akane")</f>
        <v>Aki-Akane</v>
      </c>
      <c r="G152" s="2" t="str">
        <f ca="1">IFERROR(__xludf.DUMMYFUNCTION("""COMPUTED_VALUE"""),"Mind &amp; Control")</f>
        <v>Mind &amp; Control</v>
      </c>
      <c r="H152" s="2" t="str">
        <f ca="1">IFERROR(__xludf.DUMMYFUNCTION("""COMPUTED_VALUE"""),"Yoruichi gave Orihime a dick to help her vent, then gave herself one because it looked hot. Then Tatsuki wanted one so she could keep up with Orihime, then Soi Fon wanted one because she’s obsessed with Yoruichi. 
Your fetishes - and to a certain extent,"&amp;" body modifications - are practically contagious. When people see how much you’re enjoying them, they can’t help but want to join in and get a futa dick of their own.")</f>
        <v>Yoruichi gave Orihime a dick to help her vent, then gave herself one because it looked hot. Then Tatsuki wanted one so she could keep up with Orihime, then Soi Fon wanted one because she’s obsessed with Yoruichi. 
Your fetishes - and to a certain extent, body modifications - are practically contagious. When people see how much you’re enjoying them, they can’t help but want to join in and get a futa dick of their own.</v>
      </c>
      <c r="I152" s="5"/>
    </row>
    <row r="153" spans="1:9" ht="104.4" x14ac:dyDescent="0.25">
      <c r="A153" s="16"/>
      <c r="B153" s="17">
        <v>149</v>
      </c>
      <c r="C153" s="2" t="b">
        <f ca="1">IFERROR(__xludf.DUMMYFUNCTION("""COMPUTED_VALUE"""),FALSE)</f>
        <v>0</v>
      </c>
      <c r="D153" s="2">
        <f ca="1">IFERROR(__xludf.DUMMYFUNCTION("""COMPUTED_VALUE"""),300)</f>
        <v>300</v>
      </c>
      <c r="E153" s="2" t="str">
        <f ca="1">IFERROR(__xludf.DUMMYFUNCTION("""COMPUTED_VALUE"""),"Manipulative Slut")</f>
        <v>Manipulative Slut</v>
      </c>
      <c r="F153" s="2" t="str">
        <f ca="1">IFERROR(__xludf.DUMMYFUNCTION("""COMPUTED_VALUE"""),"Futadom World")</f>
        <v>Futadom World</v>
      </c>
      <c r="G153" s="2" t="str">
        <f ca="1">IFERROR(__xludf.DUMMYFUNCTION("""COMPUTED_VALUE"""),"Mind &amp; Control")</f>
        <v>Mind &amp; Control</v>
      </c>
      <c r="H153" s="2" t="str">
        <f ca="1">IFERROR(__xludf.DUMMYFUNCTION("""COMPUTED_VALUE"""),"You know exactly how to get your way without ever lifting a finger. So long as someone is even remotely attracted to you, you can play them like a fiddle. This needn’t be malicious, as you could use this for positive reasons as well, but you naturally kno"&amp;"w just how to act and speak, just how to move and just what to say and when, so that your mark does just about whatever you want them to. While this does have its limits, only those with incredible social awareness would ever be able to piece together tha"&amp;"t you’ve been twisting them for your own aims.")</f>
        <v>You know exactly how to get your way without ever lifting a finger. So long as someone is even remotely attracted to you, you can play them like a fiddle. This needn’t be malicious, as you could use this for positive reasons as well, but you naturally know just how to act and speak, just how to move and just what to say and when, so that your mark does just about whatever you want them to. While this does have its limits, only those with incredible social awareness would ever be able to piece together that you’ve been twisting them for your own aims.</v>
      </c>
      <c r="I153" s="5"/>
    </row>
    <row r="154" spans="1:9" ht="104.4" x14ac:dyDescent="0.25">
      <c r="A154" s="16"/>
      <c r="B154" s="17">
        <v>150</v>
      </c>
      <c r="C154" s="2" t="b">
        <f ca="1">IFERROR(__xludf.DUMMYFUNCTION("""COMPUTED_VALUE"""),FALSE)</f>
        <v>0</v>
      </c>
      <c r="D154" s="2">
        <f ca="1">IFERROR(__xludf.DUMMYFUNCTION("""COMPUTED_VALUE"""),300)</f>
        <v>300</v>
      </c>
      <c r="E154" s="2" t="str">
        <f ca="1">IFERROR(__xludf.DUMMYFUNCTION("""COMPUTED_VALUE"""),"Only as Old as You Feel")</f>
        <v>Only as Old as You Feel</v>
      </c>
      <c r="F154" s="2" t="str">
        <f ca="1">IFERROR(__xludf.DUMMYFUNCTION("""COMPUTED_VALUE"""),"Succubi’s Supporter")</f>
        <v>Succubi’s Supporter</v>
      </c>
      <c r="G154" s="2" t="str">
        <f ca="1">IFERROR(__xludf.DUMMYFUNCTION("""COMPUTED_VALUE"""),"Mind &amp; Control")</f>
        <v>Mind &amp; Control</v>
      </c>
      <c r="H154" s="2" t="str">
        <f ca="1">IFERROR(__xludf.DUMMYFUNCTION("""COMPUTED_VALUE"""),"Shitone might have been more than 400 years old, but she flip-flopped constantly between demanding to be treated as an adult, and demanding to be treated as a kid. Well, you won’t have to make those demands, because people will always treat you like the a"&amp;"ge you want to be. If you want to be treated like a kid, people will let you get away with things that only kids could get away with, or let you benefit from child-exclusive meal deals. If you prefer to be treated as an adult, then even if you appeared to"&amp;" be a child people would still give you all the respect given to a grown-up.")</f>
        <v>Shitone might have been more than 400 years old, but she flip-flopped constantly between demanding to be treated as an adult, and demanding to be treated as a kid. Well, you won’t have to make those demands, because people will always treat you like the age you want to be. If you want to be treated like a kid, people will let you get away with things that only kids could get away with, or let you benefit from child-exclusive meal deals. If you prefer to be treated as an adult, then even if you appeared to be a child people would still give you all the respect given to a grown-up.</v>
      </c>
      <c r="I154" s="5"/>
    </row>
    <row r="155" spans="1:9" ht="104.4" x14ac:dyDescent="0.25">
      <c r="A155" s="16"/>
      <c r="B155" s="17">
        <v>151</v>
      </c>
      <c r="C155" s="2" t="b">
        <f ca="1">IFERROR(__xludf.DUMMYFUNCTION("""COMPUTED_VALUE"""),FALSE)</f>
        <v>0</v>
      </c>
      <c r="D155" s="2">
        <f ca="1">IFERROR(__xludf.DUMMYFUNCTION("""COMPUTED_VALUE"""),300)</f>
        <v>300</v>
      </c>
      <c r="E155" s="2" t="str">
        <f ca="1">IFERROR(__xludf.DUMMYFUNCTION("""COMPUTED_VALUE"""),"Painting the Roses")</f>
        <v>Painting the Roses</v>
      </c>
      <c r="F155" s="2" t="str">
        <f ca="1">IFERROR(__xludf.DUMMYFUNCTION("""COMPUTED_VALUE"""),"Miyuki-chan in Wonderland")</f>
        <v>Miyuki-chan in Wonderland</v>
      </c>
      <c r="G155" s="2" t="str">
        <f ca="1">IFERROR(__xludf.DUMMYFUNCTION("""COMPUTED_VALUE"""),"Mind &amp; Control")</f>
        <v>Mind &amp; Control</v>
      </c>
      <c r="H155" s="2" t="str">
        <f ca="1">IFERROR(__xludf.DUMMYFUNCTION("""COMPUTED_VALUE"""),"As long as you have the proper paint (mundane kinds suffice) and ability to physically apply the coat, you can permanently paint targets entirely either red or white. The paint will not come off unless extensive magic is used or you repaint the individual"&amp;". As white symbolizes purity, things painted white gain a submissive nature and induce lust in observers; in contrast, red subjects are granted dominating personalities and increased libidos that make observers more submissive to the red beings’ advances.")</f>
        <v>As long as you have the proper paint (mundane kinds suffice) and ability to physically apply the coat, you can permanently paint targets entirely either red or white. The paint will not come off unless extensive magic is used or you repaint the individual. As white symbolizes purity, things painted white gain a submissive nature and induce lust in observers; in contrast, red subjects are granted dominating personalities and increased libidos that make observers more submissive to the red beings’ advances.</v>
      </c>
      <c r="I155" s="5"/>
    </row>
    <row r="156" spans="1:9" ht="69.599999999999994" x14ac:dyDescent="0.25">
      <c r="A156" s="16"/>
      <c r="B156" s="17">
        <v>152</v>
      </c>
      <c r="C156" s="2" t="b">
        <f ca="1">IFERROR(__xludf.DUMMYFUNCTION("""COMPUTED_VALUE"""),FALSE)</f>
        <v>0</v>
      </c>
      <c r="D156" s="2">
        <f ca="1">IFERROR(__xludf.DUMMYFUNCTION("""COMPUTED_VALUE"""),300)</f>
        <v>300</v>
      </c>
      <c r="E156" s="2" t="str">
        <f ca="1">IFERROR(__xludf.DUMMYFUNCTION("""COMPUTED_VALUE"""),"Public Displays of Violence")</f>
        <v>Public Displays of Violence</v>
      </c>
      <c r="F156" s="2" t="str">
        <f ca="1">IFERROR(__xludf.DUMMYFUNCTION("""COMPUTED_VALUE"""),"Ashigei Shoujo Komura-san")</f>
        <v>Ashigei Shoujo Komura-san</v>
      </c>
      <c r="G156" s="2" t="str">
        <f ca="1">IFERROR(__xludf.DUMMYFUNCTION("""COMPUTED_VALUE"""),"Mind &amp; Control")</f>
        <v>Mind &amp; Control</v>
      </c>
      <c r="H156" s="2" t="str">
        <f ca="1">IFERROR(__xludf.DUMMYFUNCTION("""COMPUTED_VALUE"""),"In public, you can carry or present yourself however you want, as long as you can justify it as an extension of your career or recreation. A member of the kendo club could swing around a wooden sword as long as nobody gets seriously hurt. For a Karatake o"&amp;"r gymnast, as long as you cover the important bits, people won’t freak out too much when they see up your skirt mid-kick.")</f>
        <v>In public, you can carry or present yourself however you want, as long as you can justify it as an extension of your career or recreation. A member of the kendo club could swing around a wooden sword as long as nobody gets seriously hurt. For a Karatake or gymnast, as long as you cover the important bits, people won’t freak out too much when they see up your skirt mid-kick.</v>
      </c>
      <c r="I156" s="5"/>
    </row>
    <row r="157" spans="1:9" ht="87" x14ac:dyDescent="0.25">
      <c r="A157" s="16"/>
      <c r="B157" s="17">
        <v>153</v>
      </c>
      <c r="C157" s="2" t="b">
        <f ca="1">IFERROR(__xludf.DUMMYFUNCTION("""COMPUTED_VALUE"""),FALSE)</f>
        <v>0</v>
      </c>
      <c r="D157" s="2">
        <f ca="1">IFERROR(__xludf.DUMMYFUNCTION("""COMPUTED_VALUE"""),300)</f>
        <v>300</v>
      </c>
      <c r="E157" s="2" t="str">
        <f ca="1">IFERROR(__xludf.DUMMYFUNCTION("""COMPUTED_VALUE"""),"Punitive Measures")</f>
        <v>Punitive Measures</v>
      </c>
      <c r="F157" s="2" t="str">
        <f ca="1">IFERROR(__xludf.DUMMYFUNCTION("""COMPUTED_VALUE"""),"Generic: Incest")</f>
        <v>Generic: Incest</v>
      </c>
      <c r="G157" s="2" t="str">
        <f ca="1">IFERROR(__xludf.DUMMYFUNCTION("""COMPUTED_VALUE"""),"Mind &amp; Control")</f>
        <v>Mind &amp; Control</v>
      </c>
      <c r="H157" s="2" t="str">
        <f ca="1">IFERROR(__xludf.DUMMYFUNCTION("""COMPUTED_VALUE"""),"So long as someone sees you as an authority figure, they will not find any punishments you give them unreasonable or inappropriate. They may complain or actively dislike them, but they will not see them as something that they can or even should try and pr"&amp;"event you from enacting, and will always, eventually, follow through, whether that means being your slave for a week, bare-bottom spankings at 22, or never dating anyone but yourself.")</f>
        <v>So long as someone sees you as an authority figure, they will not find any punishments you give them unreasonable or inappropriate. They may complain or actively dislike them, but they will not see them as something that they can or even should try and prevent you from enacting, and will always, eventually, follow through, whether that means being your slave for a week, bare-bottom spankings at 22, or never dating anyone but yourself.</v>
      </c>
      <c r="I157" s="5"/>
    </row>
    <row r="158" spans="1:9" ht="34.799999999999997" x14ac:dyDescent="0.25">
      <c r="A158" s="16"/>
      <c r="B158" s="17">
        <v>154</v>
      </c>
      <c r="C158" s="2" t="b">
        <f ca="1">IFERROR(__xludf.DUMMYFUNCTION("""COMPUTED_VALUE"""),FALSE)</f>
        <v>0</v>
      </c>
      <c r="D158" s="2">
        <f ca="1">IFERROR(__xludf.DUMMYFUNCTION("""COMPUTED_VALUE"""),300)</f>
        <v>300</v>
      </c>
      <c r="E158" s="2" t="str">
        <f ca="1">IFERROR(__xludf.DUMMYFUNCTION("""COMPUTED_VALUE"""),"Regain Your Humanity")</f>
        <v>Regain Your Humanity</v>
      </c>
      <c r="F158" s="2" t="str">
        <f ca="1">IFERROR(__xludf.DUMMYFUNCTION("""COMPUTED_VALUE"""),"Stopman")</f>
        <v>Stopman</v>
      </c>
      <c r="G158" s="2" t="str">
        <f ca="1">IFERROR(__xludf.DUMMYFUNCTION("""COMPUTED_VALUE"""),"Mind &amp; Control")</f>
        <v>Mind &amp; Control</v>
      </c>
      <c r="H158" s="2" t="str">
        <f ca="1">IFERROR(__xludf.DUMMYFUNCTION("""COMPUTED_VALUE"""),"Being pregnant with your kid genuinely makes women a better person. Assuming you don’t mindbreak them into a living sex toy at least.")</f>
        <v>Being pregnant with your kid genuinely makes women a better person. Assuming you don’t mindbreak them into a living sex toy at least.</v>
      </c>
      <c r="I158" s="5"/>
    </row>
    <row r="159" spans="1:9" ht="226.2" x14ac:dyDescent="0.25">
      <c r="A159" s="16"/>
      <c r="B159" s="17">
        <v>155</v>
      </c>
      <c r="C159" s="2" t="b">
        <f ca="1">IFERROR(__xludf.DUMMYFUNCTION("""COMPUTED_VALUE"""),FALSE)</f>
        <v>0</v>
      </c>
      <c r="D159" s="2">
        <f ca="1">IFERROR(__xludf.DUMMYFUNCTION("""COMPUTED_VALUE"""),300)</f>
        <v>300</v>
      </c>
      <c r="E159" s="2" t="str">
        <f ca="1">IFERROR(__xludf.DUMMYFUNCTION("""COMPUTED_VALUE"""),"Request")</f>
        <v>Request</v>
      </c>
      <c r="F159" s="2" t="str">
        <f ca="1">IFERROR(__xludf.DUMMYFUNCTION("""COMPUTED_VALUE"""),"Monster Girl Quest V2")</f>
        <v>Monster Girl Quest V2</v>
      </c>
      <c r="G159" s="2" t="str">
        <f ca="1">IFERROR(__xludf.DUMMYFUNCTION("""COMPUTED_VALUE"""),"Mind &amp; Control")</f>
        <v>Mind &amp; Control</v>
      </c>
      <c r="H159" s="2" t="str">
        <f ca="1">IFERROR(__xludf.DUMMYFUNCTION("""COMPUTED_VALUE"""),"Just a little bit can’t hurt right? Despite all the dangers, sex in this world does feel great, generally speaking. Now you can enjoy it exactly the way you want to. You can now request your partners for specific types of sex, such as titfucks, blowjobs, "&amp;"anal, etc; or even more complex requests like getting a double paizuri or having them use their mouth and breasts. Unless they are heavily averse to the action, or if the action would be at a great cost to themselves or their life goals, they likely won’t"&amp;" mind and will fulfill your request to the best of their ability, assuming you don’t take any hostile action against them. Be warned however that once they have fulfilled your request there is no assurance that they will stop despite your pleas that you h"&amp;"ave had enough. Of course that isn’t all this provides, you can also gain a sense that allows you to see what kinds of sex acts an individual is best at. Those you request sex from will also tend to treat you nicer than those that you would otherwise figh"&amp;"t, with some charm and charisma maybe even going so far as to befriending them and asking them for non-sexual favors as well, such as for example not keeping you as a slave and maybe accompanying you on your journey.")</f>
        <v>Just a little bit can’t hurt right? Despite all the dangers, sex in this world does feel great, generally speaking. Now you can enjoy it exactly the way you want to. You can now request your partners for specific types of sex, such as titfucks, blowjobs, anal, etc; or even more complex requests like getting a double paizuri or having them use their mouth and breasts. Unless they are heavily averse to the action, or if the action would be at a great cost to themselves or their life goals, they likely won’t mind and will fulfill your request to the best of their ability, assuming you don’t take any hostile action against them. Be warned however that once they have fulfilled your request there is no assurance that they will stop despite your pleas that you have had enough. Of course that isn’t all this provides, you can also gain a sense that allows you to see what kinds of sex acts an individual is best at. Those you request sex from will also tend to treat you nicer than those that you would otherwise fight, with some charm and charisma maybe even going so far as to befriending them and asking them for non-sexual favors as well, such as for example not keeping you as a slave and maybe accompanying you on your journey.</v>
      </c>
      <c r="I159" s="5"/>
    </row>
    <row r="160" spans="1:9" ht="52.2" x14ac:dyDescent="0.25">
      <c r="A160" s="16"/>
      <c r="B160" s="17">
        <v>156</v>
      </c>
      <c r="C160" s="2" t="b">
        <f ca="1">IFERROR(__xludf.DUMMYFUNCTION("""COMPUTED_VALUE"""),FALSE)</f>
        <v>0</v>
      </c>
      <c r="D160" s="2">
        <f ca="1">IFERROR(__xludf.DUMMYFUNCTION("""COMPUTED_VALUE"""),300)</f>
        <v>300</v>
      </c>
      <c r="E160" s="2" t="str">
        <f ca="1">IFERROR(__xludf.DUMMYFUNCTION("""COMPUTED_VALUE"""),"Rings of Linking")</f>
        <v>Rings of Linking</v>
      </c>
      <c r="F160" s="2" t="str">
        <f ca="1">IFERROR(__xludf.DUMMYFUNCTION("""COMPUTED_VALUE"""),"Generic: Hentai Superheroes")</f>
        <v>Generic: Hentai Superheroes</v>
      </c>
      <c r="G160" s="2" t="str">
        <f ca="1">IFERROR(__xludf.DUMMYFUNCTION("""COMPUTED_VALUE"""),"Mind &amp; Control")</f>
        <v>Mind &amp; Control</v>
      </c>
      <c r="H160" s="2" t="str">
        <f ca="1">IFERROR(__xludf.DUMMYFUNCTION("""COMPUTED_VALUE"""),"​A set of 5 rings, meant to link the wearers’ minds. This allows them to explore each other’s thought and emotions. Or share feelings. Like orgasms. If a ring is lost or stolen, it will reappear in 24 hours. Stolen rings will disconnect from the network.")</f>
        <v>​A set of 5 rings, meant to link the wearers’ minds. This allows them to explore each other’s thought and emotions. Or share feelings. Like orgasms. If a ring is lost or stolen, it will reappear in 24 hours. Stolen rings will disconnect from the network.</v>
      </c>
      <c r="I160" s="5"/>
    </row>
    <row r="161" spans="1:9" ht="208.8" x14ac:dyDescent="0.25">
      <c r="A161" s="16"/>
      <c r="B161" s="17">
        <v>157</v>
      </c>
      <c r="C161" s="2" t="b">
        <f ca="1">IFERROR(__xludf.DUMMYFUNCTION("""COMPUTED_VALUE"""),FALSE)</f>
        <v>0</v>
      </c>
      <c r="D161" s="2">
        <f ca="1">IFERROR(__xludf.DUMMYFUNCTION("""COMPUTED_VALUE"""),300)</f>
        <v>300</v>
      </c>
      <c r="E161" s="2" t="str">
        <f ca="1">IFERROR(__xludf.DUMMYFUNCTION("""COMPUTED_VALUE"""),"Sex License")</f>
        <v>Sex License</v>
      </c>
      <c r="F161" s="2" t="str">
        <f ca="1">IFERROR(__xludf.DUMMYFUNCTION("""COMPUTED_VALUE"""),"Haramase Simulator")</f>
        <v>Haramase Simulator</v>
      </c>
      <c r="G161" s="2" t="str">
        <f ca="1">IFERROR(__xludf.DUMMYFUNCTION("""COMPUTED_VALUE"""),"Mind &amp; Control")</f>
        <v>Mind &amp; Control</v>
      </c>
      <c r="H161" s="2" t="str">
        <f ca="1">IFERROR(__xludf.DUMMYFUNCTION("""COMPUTED_VALUE"""),"Mankind is teetering on the edge of extinction. World War 3 ended with a biological weapon running rampant, reducing the male/female ratio to a terrifying 1 to 20,000. As such, the 'Humanity Freedom Foundation' has seen fit to issue these Lisences. Any wo"&amp;"man presented with this license MUST let you fuck an impregnate her- with a single caveat. To prevent abuse, each woman has a 'fee' that must be paid dependant on her attractiveness, social status, and how sought after they are. Still, once paid, then you"&amp;" can get to the baby making! Oh, and you get a cool 1000 of your local currency on each confirmed impregnation.
Yes, women that you use this on will 'know' their fee. As long as you present the License, they won't even find you asking strange, though tha"&amp;"t doesn't mean they'll be happy. No, you can't use this to just 'have a little fun', the chance of impregnation is required. If you're a woman, that means you're out of luck...unless you use this on a guy.")</f>
        <v>Mankind is teetering on the edge of extinction. World War 3 ended with a biological weapon running rampant, reducing the male/female ratio to a terrifying 1 to 20,000. As such, the 'Humanity Freedom Foundation' has seen fit to issue these Lisences. Any woman presented with this license MUST let you fuck an impregnate her- with a single caveat. To prevent abuse, each woman has a 'fee' that must be paid dependant on her attractiveness, social status, and how sought after they are. Still, once paid, then you can get to the baby making! Oh, and you get a cool 1000 of your local currency on each confirmed impregnation.
Yes, women that you use this on will 'know' their fee. As long as you present the License, they won't even find you asking strange, though that doesn't mean they'll be happy. No, you can't use this to just 'have a little fun', the chance of impregnation is required. If you're a woman, that means you're out of luck...unless you use this on a guy.</v>
      </c>
      <c r="I161" s="5"/>
    </row>
    <row r="162" spans="1:9" ht="104.4" x14ac:dyDescent="0.25">
      <c r="A162" s="16"/>
      <c r="B162" s="17">
        <v>158</v>
      </c>
      <c r="C162" s="2" t="b">
        <f ca="1">IFERROR(__xludf.DUMMYFUNCTION("""COMPUTED_VALUE"""),FALSE)</f>
        <v>0</v>
      </c>
      <c r="D162" s="2">
        <f ca="1">IFERROR(__xludf.DUMMYFUNCTION("""COMPUTED_VALUE"""),300)</f>
        <v>300</v>
      </c>
      <c r="E162" s="2" t="str">
        <f ca="1">IFERROR(__xludf.DUMMYFUNCTION("""COMPUTED_VALUE"""),"Sexual Healing")</f>
        <v>Sexual Healing</v>
      </c>
      <c r="F162" s="2" t="str">
        <f ca="1">IFERROR(__xludf.DUMMYFUNCTION("""COMPUTED_VALUE"""),"Zakuro Shoukougun")</f>
        <v>Zakuro Shoukougun</v>
      </c>
      <c r="G162" s="2" t="str">
        <f ca="1">IFERROR(__xludf.DUMMYFUNCTION("""COMPUTED_VALUE"""),"Mind &amp; Control")</f>
        <v>Mind &amp; Control</v>
      </c>
      <c r="H162" s="2" t="str">
        <f ca="1">IFERROR(__xludf.DUMMYFUNCTION("""COMPUTED_VALUE"""),"For some strange reason Pomegranate Syndrome is not the only thing that sex with you can help with. It treats (but doesn’t cure) any other disease you can name, returns people to sanity, and with enough effort, generally removes character flaws from the i"&amp;"ndividual in question. Note that actual injuries are not on that list, you’re going to have to heal them the old fashioned way. Suffice to say, people are willing to give you a lot of slack for the use of this ability, it’s a legitimate medical technique "&amp;"after all.")</f>
        <v>For some strange reason Pomegranate Syndrome is not the only thing that sex with you can help with. It treats (but doesn’t cure) any other disease you can name, returns people to sanity, and with enough effort, generally removes character flaws from the individual in question. Note that actual injuries are not on that list, you’re going to have to heal them the old fashioned way. Suffice to say, people are willing to give you a lot of slack for the use of this ability, it’s a legitimate medical technique after all.</v>
      </c>
      <c r="I162" s="5"/>
    </row>
    <row r="163" spans="1:9" ht="52.2" x14ac:dyDescent="0.25">
      <c r="A163" s="16"/>
      <c r="B163" s="17">
        <v>159</v>
      </c>
      <c r="C163" s="2" t="b">
        <f ca="1">IFERROR(__xludf.DUMMYFUNCTION("""COMPUTED_VALUE"""),FALSE)</f>
        <v>0</v>
      </c>
      <c r="D163" s="2">
        <f ca="1">IFERROR(__xludf.DUMMYFUNCTION("""COMPUTED_VALUE"""),300)</f>
        <v>300</v>
      </c>
      <c r="E163" s="2" t="str">
        <f ca="1">IFERROR(__xludf.DUMMYFUNCTION("""COMPUTED_VALUE"""),"Super Sensory")</f>
        <v>Super Sensory</v>
      </c>
      <c r="F163" s="2" t="str">
        <f ca="1">IFERROR(__xludf.DUMMYFUNCTION("""COMPUTED_VALUE"""),"Sekirei")</f>
        <v>Sekirei</v>
      </c>
      <c r="G163" s="2" t="str">
        <f ca="1">IFERROR(__xludf.DUMMYFUNCTION("""COMPUTED_VALUE"""),"Mind &amp; Control")</f>
        <v>Mind &amp; Control</v>
      </c>
      <c r="H163" s="2" t="str">
        <f ca="1">IFERROR(__xludf.DUMMYFUNCTION("""COMPUTED_VALUE"""),"You are sensitive to other, more non-human entities. You're capable of feeling them or just outright knowing where they are or even who they are bonded to or romantically involved with if you make an effort to do so.")</f>
        <v>You are sensitive to other, more non-human entities. You're capable of feeling them or just outright knowing where they are or even who they are bonded to or romantically involved with if you make an effort to do so.</v>
      </c>
      <c r="I163" s="5"/>
    </row>
    <row r="164" spans="1:9" ht="121.8" x14ac:dyDescent="0.25">
      <c r="A164" s="16"/>
      <c r="B164" s="17">
        <v>160</v>
      </c>
      <c r="C164" s="2" t="b">
        <f ca="1">IFERROR(__xludf.DUMMYFUNCTION("""COMPUTED_VALUE"""),FALSE)</f>
        <v>0</v>
      </c>
      <c r="D164" s="2">
        <f ca="1">IFERROR(__xludf.DUMMYFUNCTION("""COMPUTED_VALUE"""),300)</f>
        <v>300</v>
      </c>
      <c r="E164" s="2" t="str">
        <f ca="1">IFERROR(__xludf.DUMMYFUNCTION("""COMPUTED_VALUE"""),"The Choice Choreboard")</f>
        <v>The Choice Choreboard</v>
      </c>
      <c r="F164" s="2" t="str">
        <f ca="1">IFERROR(__xludf.DUMMYFUNCTION("""COMPUTED_VALUE"""),"Generic: Incest")</f>
        <v>Generic: Incest</v>
      </c>
      <c r="G164" s="2" t="str">
        <f ca="1">IFERROR(__xludf.DUMMYFUNCTION("""COMPUTED_VALUE"""),"Mind &amp; Control")</f>
        <v>Mind &amp; Control</v>
      </c>
      <c r="H164" s="2" t="str">
        <f ca="1">IFERROR(__xludf.DUMMYFUNCTION("""COMPUTED_VALUE"""),"Any members of your household who are aware of this choreboard will find themselves compelled to perform any tasks that are written on it in whatever way the board specifies, and will not find these specifications odd in the slightest. “Do the dishes in t"&amp;"he nude?” Sure thing! “Wake up Master/Madame with some oral sex?” Well, it is my turn after all. This has no effect on the actual disposition of your household, only on these specific actions. So while you might get some sex out of it if you can work it i"&amp;"nto a chore, this won’t enable you to turn your family into your willing slaves. At least, not without some other perks or items.")</f>
        <v>Any members of your household who are aware of this choreboard will find themselves compelled to perform any tasks that are written on it in whatever way the board specifies, and will not find these specifications odd in the slightest. “Do the dishes in the nude?” Sure thing! “Wake up Master/Madame with some oral sex?” Well, it is my turn after all. This has no effect on the actual disposition of your household, only on these specific actions. So while you might get some sex out of it if you can work it into a chore, this won’t enable you to turn your family into your willing slaves. At least, not without some other perks or items.</v>
      </c>
      <c r="I164" s="5"/>
    </row>
    <row r="165" spans="1:9" ht="243.6" x14ac:dyDescent="0.25">
      <c r="A165" s="16"/>
      <c r="B165" s="17">
        <v>161</v>
      </c>
      <c r="C165" s="2" t="b">
        <f ca="1">IFERROR(__xludf.DUMMYFUNCTION("""COMPUTED_VALUE"""),FALSE)</f>
        <v>0</v>
      </c>
      <c r="D165" s="2">
        <f ca="1">IFERROR(__xludf.DUMMYFUNCTION("""COMPUTED_VALUE"""),300)</f>
        <v>300</v>
      </c>
      <c r="E165" s="2" t="str">
        <f ca="1">IFERROR(__xludf.DUMMYFUNCTION("""COMPUTED_VALUE"""),"The Pedastal")</f>
        <v>The Pedastal</v>
      </c>
      <c r="F165" s="2" t="str">
        <f ca="1">IFERROR(__xludf.DUMMYFUNCTION("""COMPUTED_VALUE"""),"NUKENAI Seiken-chan")</f>
        <v>NUKENAI Seiken-chan</v>
      </c>
      <c r="G165" s="2" t="str">
        <f ca="1">IFERROR(__xludf.DUMMYFUNCTION("""COMPUTED_VALUE"""),"Mind &amp; Control")</f>
        <v>Mind &amp; Control</v>
      </c>
      <c r="H165" s="2" t="str">
        <f ca="1">IFERROR(__xludf.DUMMYFUNCTION("""COMPUTED_VALUE"""),"A pair of invulnerable panties that cannot be removed or destroyed unless you will them to be. The Pedestal in panties form always protects your modesty and chastity, no matter how close it comes to slipping off, and prevents anyone else from ""using you"&amp;""" to your fullest powers without your consent.
Another person could have full physical control and mental possession of you, and still The Pedestal will prevent them from misusing you and your powers except in the most minor of ways.
They contain the p"&amp;"ower of God and Anime, so even if someone with the incredible strength to rip them off comes along, that being will find themselves prevented from doing so by sheer luck or happenstance.
If panties are not to your liking, you can choose another undergarm"&amp;"ent for them to take the form of, and incidentally they are always comfortable and clean.")</f>
        <v>A pair of invulnerable panties that cannot be removed or destroyed unless you will them to be. The Pedestal in panties form always protects your modesty and chastity, no matter how close it comes to slipping off, and prevents anyone else from "using you" to your fullest powers without your consent.
Another person could have full physical control and mental possession of you, and still The Pedestal will prevent them from misusing you and your powers except in the most minor of ways.
They contain the power of God and Anime, so even if someone with the incredible strength to rip them off comes along, that being will find themselves prevented from doing so by sheer luck or happenstance.
If panties are not to your liking, you can choose another undergarment for them to take the form of, and incidentally they are always comfortable and clean.</v>
      </c>
      <c r="I165" s="5"/>
    </row>
    <row r="166" spans="1:9" ht="104.4" x14ac:dyDescent="0.25">
      <c r="A166" s="16"/>
      <c r="B166" s="17">
        <v>162</v>
      </c>
      <c r="C166" s="2" t="b">
        <f ca="1">IFERROR(__xludf.DUMMYFUNCTION("""COMPUTED_VALUE"""),FALSE)</f>
        <v>0</v>
      </c>
      <c r="D166" s="2">
        <f ca="1">IFERROR(__xludf.DUMMYFUNCTION("""COMPUTED_VALUE"""),300)</f>
        <v>300</v>
      </c>
      <c r="E166" s="2" t="str">
        <f ca="1">IFERROR(__xludf.DUMMYFUNCTION("""COMPUTED_VALUE"""),"To Each his Own Peculiar Mania")</f>
        <v>To Each his Own Peculiar Mania</v>
      </c>
      <c r="F166" s="2" t="str">
        <f ca="1">IFERROR(__xludf.DUMMYFUNCTION("""COMPUTED_VALUE"""),"The 120 Days of Sodom")</f>
        <v>The 120 Days of Sodom</v>
      </c>
      <c r="G166" s="2" t="str">
        <f ca="1">IFERROR(__xludf.DUMMYFUNCTION("""COMPUTED_VALUE"""),"Mind &amp; Control")</f>
        <v>Mind &amp; Control</v>
      </c>
      <c r="H166" s="2" t="str">
        <f ca="1">IFERROR(__xludf.DUMMYFUNCTION("""COMPUTED_VALUE"""),"This tale covers 600 different passions, and you may now choose to find pleasure in any activity. The nature and intensity of that pleasure may vary, you need not indulge if you do not wish to, but henceforth there is no experience which you would be unab"&amp;"le to appreciate as at minimum a pleasant way to pass an afternoon. Any deeds that harm others delight you in equal proportion to the anguish caused, for discordance and inequality please Nature, as is apparent from their prevalence, and you thus serve he"&amp;"r true intentions.")</f>
        <v>This tale covers 600 different passions, and you may now choose to find pleasure in any activity. The nature and intensity of that pleasure may vary, you need not indulge if you do not wish to, but henceforth there is no experience which you would be unable to appreciate as at minimum a pleasant way to pass an afternoon. Any deeds that harm others delight you in equal proportion to the anguish caused, for discordance and inequality please Nature, as is apparent from their prevalence, and you thus serve her true intentions.</v>
      </c>
      <c r="I166" s="5"/>
    </row>
    <row r="167" spans="1:9" ht="208.8" x14ac:dyDescent="0.25">
      <c r="A167" s="16"/>
      <c r="B167" s="17">
        <v>163</v>
      </c>
      <c r="C167" s="2" t="b">
        <f ca="1">IFERROR(__xludf.DUMMYFUNCTION("""COMPUTED_VALUE"""),FALSE)</f>
        <v>0</v>
      </c>
      <c r="D167" s="2">
        <f ca="1">IFERROR(__xludf.DUMMYFUNCTION("""COMPUTED_VALUE"""),300)</f>
        <v>300</v>
      </c>
      <c r="E167" s="2" t="str">
        <f ca="1">IFERROR(__xludf.DUMMYFUNCTION("""COMPUTED_VALUE"""),"Turncoat Wardrobe")</f>
        <v>Turncoat Wardrobe</v>
      </c>
      <c r="F167" s="2" t="str">
        <f ca="1">IFERROR(__xludf.DUMMYFUNCTION("""COMPUTED_VALUE"""),"World of Lewd Superheroes")</f>
        <v>World of Lewd Superheroes</v>
      </c>
      <c r="G167" s="2" t="str">
        <f ca="1">IFERROR(__xludf.DUMMYFUNCTION("""COMPUTED_VALUE"""),"Mind &amp; Control")</f>
        <v>Mind &amp; Control</v>
      </c>
      <c r="H167" s="2" t="str">
        <f ca="1">IFERROR(__xludf.DUMMYFUNCTION("""COMPUTED_VALUE"""),"A mastermind needs an army and an army needs uniforms, so why not outfit your minions with something pleasing to look at? This wardrobe of erotic outfits is an insidious tool of any supervillain fond of enslaving his enemies or recruiting vast armies of s"&amp;"ervants. Whether you prefer tight-fitting military uniforms, skimpy maid outfits, or a humiliating parody of a captured heroine’s costume, these finely-crafted outfits offer just as much protection as top-quality military body armor or a very well-made su"&amp;"perhero costume, regardless of how little skin cover they provide. 
However the real benefit of these outfits is how easy they make it to control your minions: each uniform contains hidden mind control devices which use subliminal messaging to condition "&amp;"the wearers for submission and obedience, slowly transforming them into the perfect servants for your nefarious schemes. Supers are more resistant to this effect than normal humans are but even the most willful heroine can be brought to heel simply by bei"&amp;"ng dressed in your colors for long enough.")</f>
        <v>A mastermind needs an army and an army needs uniforms, so why not outfit your minions with something pleasing to look at? This wardrobe of erotic outfits is an insidious tool of any supervillain fond of enslaving his enemies or recruiting vast armies of servants. Whether you prefer tight-fitting military uniforms, skimpy maid outfits, or a humiliating parody of a captured heroine’s costume, these finely-crafted outfits offer just as much protection as top-quality military body armor or a very well-made superhero costume, regardless of how little skin cover they provide. 
However the real benefit of these outfits is how easy they make it to control your minions: each uniform contains hidden mind control devices which use subliminal messaging to condition the wearers for submission and obedience, slowly transforming them into the perfect servants for your nefarious schemes. Supers are more resistant to this effect than normal humans are but even the most willful heroine can be brought to heel simply by being dressed in your colors for long enough.</v>
      </c>
      <c r="I167" s="5"/>
    </row>
    <row r="168" spans="1:9" ht="174" x14ac:dyDescent="0.25">
      <c r="A168" s="16"/>
      <c r="B168" s="17">
        <v>164</v>
      </c>
      <c r="C168" s="2" t="b">
        <f ca="1">IFERROR(__xludf.DUMMYFUNCTION("""COMPUTED_VALUE"""),FALSE)</f>
        <v>0</v>
      </c>
      <c r="D168" s="2">
        <f ca="1">IFERROR(__xludf.DUMMYFUNCTION("""COMPUTED_VALUE"""),300)</f>
        <v>300</v>
      </c>
      <c r="E168" s="2" t="str">
        <f ca="1">IFERROR(__xludf.DUMMYFUNCTION("""COMPUTED_VALUE"""),"Universal Heart")</f>
        <v>Universal Heart</v>
      </c>
      <c r="F168" s="2" t="str">
        <f ca="1">IFERROR(__xludf.DUMMYFUNCTION("""COMPUTED_VALUE"""),"Victim Girls (Veronica Edition)")</f>
        <v>Victim Girls (Veronica Edition)</v>
      </c>
      <c r="G168" s="2" t="str">
        <f ca="1">IFERROR(__xludf.DUMMYFUNCTION("""COMPUTED_VALUE"""),"Mind &amp; Control")</f>
        <v>Mind &amp; Control</v>
      </c>
      <c r="H168" s="2" t="str">
        <f ca="1">IFERROR(__xludf.DUMMYFUNCTION("""COMPUTED_VALUE"""),"A gift from a goddess. The quality to understand the hearts of all living things. Plants, animals and even monsters. Without a word, you can communicate with others, completely understand their perspectives and work out how to easily bring harmony between"&amp;" targets. In more desperate situations, a heroine might be forced to use this understanding to easily brainwash those with less than heroic wills. 
Unfortunately, this same understanding is highly vulnerable to varying levels of madness. Seeing things fr"&amp;"om their perspective can infect you and even force you to change into what they believe is right. Don’t go looking inside a goblin’s head unless you want to spend the rest of your life as a servile breeder-cow.")</f>
        <v>A gift from a goddess. The quality to understand the hearts of all living things. Plants, animals and even monsters. Without a word, you can communicate with others, completely understand their perspectives and work out how to easily bring harmony between targets. In more desperate situations, a heroine might be forced to use this understanding to easily brainwash those with less than heroic wills. 
Unfortunately, this same understanding is highly vulnerable to varying levels of madness. Seeing things from their perspective can infect you and even force you to change into what they believe is right. Don’t go looking inside a goblin’s head unless you want to spend the rest of your life as a servile breeder-cow.</v>
      </c>
      <c r="I168" s="5"/>
    </row>
    <row r="169" spans="1:9" ht="226.2" x14ac:dyDescent="0.25">
      <c r="A169" s="16"/>
      <c r="B169" s="17">
        <v>165</v>
      </c>
      <c r="C169" s="2" t="b">
        <f ca="1">IFERROR(__xludf.DUMMYFUNCTION("""COMPUTED_VALUE"""),FALSE)</f>
        <v>0</v>
      </c>
      <c r="D169" s="2">
        <f ca="1">IFERROR(__xludf.DUMMYFUNCTION("""COMPUTED_VALUE"""),300)</f>
        <v>300</v>
      </c>
      <c r="E169" s="2" t="str">
        <f ca="1">IFERROR(__xludf.DUMMYFUNCTION("""COMPUTED_VALUE"""),"Villainous Temptation")</f>
        <v>Villainous Temptation</v>
      </c>
      <c r="F169" s="2" t="str">
        <f ca="1">IFERROR(__xludf.DUMMYFUNCTION("""COMPUTED_VALUE"""),"World of Lewd Superheroes")</f>
        <v>World of Lewd Superheroes</v>
      </c>
      <c r="G169" s="2" t="str">
        <f ca="1">IFERROR(__xludf.DUMMYFUNCTION("""COMPUTED_VALUE"""),"Mind &amp; Control")</f>
        <v>Mind &amp; Control</v>
      </c>
      <c r="H169" s="2" t="str">
        <f ca="1">IFERROR(__xludf.DUMMYFUNCTION("""COMPUTED_VALUE"""),"Heroes think they have a monopoly on saving people but that’s not true at all. Villains can also be helpful sorts when the mood strikes them; after all, what better way to wrap someone around your fingers than to have them hopelessly indebted to you? Whil"&amp;"e this perk won't give you any supernatural powers to do so, much like the devil you have a way of cutting deals which appear beneficial at first glance but and with you owning your debtors in body and soul.
Give a homeless woman a place to live or grant"&amp;" superpowers to a young woman with dreams of heroism and you’ll gain loyal followers for life... even when that homeless woman becomes your live-in sex slave, while the young heroine turns into a mole helping you bring down the rest of her team. Of course"&amp;" it takes quite a large debt to gain such powerful influence over a person; by comparison insignificant gifts will only gain you insignificant influence but once you have a person truly in your debt it doesn’t matter how determined to oppose you they migh"&amp;"t be. If push comes to shove you can simply take your gifts back, though at the cost of your influence.")</f>
        <v>Heroes think they have a monopoly on saving people but that’s not true at all. Villains can also be helpful sorts when the mood strikes them; after all, what better way to wrap someone around your fingers than to have them hopelessly indebted to you? While this perk won't give you any supernatural powers to do so, much like the devil you have a way of cutting deals which appear beneficial at first glance but and with you owning your debtors in body and soul.
Give a homeless woman a place to live or grant superpowers to a young woman with dreams of heroism and you’ll gain loyal followers for life... even when that homeless woman becomes your live-in sex slave, while the young heroine turns into a mole helping you bring down the rest of her team. Of course it takes quite a large debt to gain such powerful influence over a person; by comparison insignificant gifts will only gain you insignificant influence but once you have a person truly in your debt it doesn’t matter how determined to oppose you they might be. If push comes to shove you can simply take your gifts back, though at the cost of your influence.</v>
      </c>
      <c r="I169" s="5"/>
    </row>
    <row r="170" spans="1:9" ht="174" x14ac:dyDescent="0.25">
      <c r="A170" s="16"/>
      <c r="B170" s="17">
        <v>166</v>
      </c>
      <c r="C170" s="2" t="b">
        <f ca="1">IFERROR(__xludf.DUMMYFUNCTION("""COMPUTED_VALUE"""),FALSE)</f>
        <v>0</v>
      </c>
      <c r="D170" s="2">
        <f ca="1">IFERROR(__xludf.DUMMYFUNCTION("""COMPUTED_VALUE"""),400)</f>
        <v>400</v>
      </c>
      <c r="E170" s="2" t="str">
        <f ca="1">IFERROR(__xludf.DUMMYFUNCTION("""COMPUTED_VALUE"""),"A Good Book")</f>
        <v>A Good Book</v>
      </c>
      <c r="F170" s="2" t="str">
        <f ca="1">IFERROR(__xludf.DUMMYFUNCTION("""COMPUTED_VALUE"""),"Shinmai Maou no Testament")</f>
        <v>Shinmai Maou no Testament</v>
      </c>
      <c r="G170" s="2" t="str">
        <f ca="1">IFERROR(__xludf.DUMMYFUNCTION("""COMPUTED_VALUE"""),"Mind &amp; Control")</f>
        <v>Mind &amp; Control</v>
      </c>
      <c r="H170" s="2" t="str">
        <f ca="1">IFERROR(__xludf.DUMMYFUNCTION("""COMPUTED_VALUE"""),"One of the best-kept secrets on Earth is that the gods aren’t really any more benevolent than demons are where humans are concerned, they just have a better PR department. This tome is useful for recruiting a host of followers to your side: within its pag"&amp;"es are stories about yourself and your adventures or those of your companions, either pulled from your previous adventures or invented out of whole cloth. These tales are framed as morality plays and philosophical texts taking convincing arguments for a r"&amp;"eader to worship and obey either yourself or another being of your choice. The more time that a person spends reading this holy text the more convinced they become of the rightness of its contents and the harder it becomes to dissuade them from following "&amp;"you or your patron. Any copies of this book will also retain these benefits. You are, naturally, able to quote any passage in this book regardless of whether you’ve read it or not.")</f>
        <v>One of the best-kept secrets on Earth is that the gods aren’t really any more benevolent than demons are where humans are concerned, they just have a better PR department. This tome is useful for recruiting a host of followers to your side: within its pages are stories about yourself and your adventures or those of your companions, either pulled from your previous adventures or invented out of whole cloth. These tales are framed as morality plays and philosophical texts taking convincing arguments for a reader to worship and obey either yourself or another being of your choice. The more time that a person spends reading this holy text the more convinced they become of the rightness of its contents and the harder it becomes to dissuade them from following you or your patron. Any copies of this book will also retain these benefits. You are, naturally, able to quote any passage in this book regardless of whether you’ve read it or not.</v>
      </c>
      <c r="I170" s="5"/>
    </row>
    <row r="171" spans="1:9" ht="139.19999999999999" x14ac:dyDescent="0.25">
      <c r="A171" s="16"/>
      <c r="B171" s="17">
        <v>167</v>
      </c>
      <c r="C171" s="2" t="b">
        <f ca="1">IFERROR(__xludf.DUMMYFUNCTION("""COMPUTED_VALUE"""),FALSE)</f>
        <v>0</v>
      </c>
      <c r="D171" s="2">
        <f ca="1">IFERROR(__xludf.DUMMYFUNCTION("""COMPUTED_VALUE"""),400)</f>
        <v>400</v>
      </c>
      <c r="E171" s="2" t="str">
        <f ca="1">IFERROR(__xludf.DUMMYFUNCTION("""COMPUTED_VALUE"""),"A Homerun from Outta the Strike Zone")</f>
        <v>A Homerun from Outta the Strike Zone</v>
      </c>
      <c r="F171" s="2" t="str">
        <f ca="1">IFERROR(__xludf.DUMMYFUNCTION("""COMPUTED_VALUE"""),"Generic: Hentai World")</f>
        <v>Generic: Hentai World</v>
      </c>
      <c r="G171" s="2" t="str">
        <f ca="1">IFERROR(__xludf.DUMMYFUNCTION("""COMPUTED_VALUE"""),"Mind &amp; Control")</f>
        <v>Mind &amp; Control</v>
      </c>
      <c r="H171" s="2" t="str">
        <f ca="1">IFERROR(__xludf.DUMMYFUNCTION("""COMPUTED_VALUE"""),"Sometimes gentlemen prefer blondes and other times a woman isn't interested in a man. This can cause issues when someone you're interested in isn’t interested in people 'like you', but with this perk you can avoid all that. Other people's preferences and "&amp;"prejudices (be those based on gender, skin colour, nationality, social status, or anything else) never impede your ability to seduce or pleasure them. This does nothing to change their sexuality or whatever the impediment is, you’re just an exception to t"&amp;"he rule no matter what the rule is. Moreover the stronger and more unreasoning that aversion would be, the greater the boost there is to how good the sex is. You will not become addicted to this, but the same may not be true of a sufficiently bigoted part"&amp;"ner.")</f>
        <v>Sometimes gentlemen prefer blondes and other times a woman isn't interested in a man. This can cause issues when someone you're interested in isn’t interested in people 'like you', but with this perk you can avoid all that. Other people's preferences and prejudices (be those based on gender, skin colour, nationality, social status, or anything else) never impede your ability to seduce or pleasure them. This does nothing to change their sexuality or whatever the impediment is, you’re just an exception to the rule no matter what the rule is. Moreover the stronger and more unreasoning that aversion would be, the greater the boost there is to how good the sex is. You will not become addicted to this, but the same may not be true of a sufficiently bigoted partner.</v>
      </c>
      <c r="I171" s="5"/>
    </row>
    <row r="172" spans="1:9" ht="104.4" x14ac:dyDescent="0.25">
      <c r="A172" s="16"/>
      <c r="B172" s="17">
        <v>168</v>
      </c>
      <c r="C172" s="2" t="b">
        <f ca="1">IFERROR(__xludf.DUMMYFUNCTION("""COMPUTED_VALUE"""),FALSE)</f>
        <v>0</v>
      </c>
      <c r="D172" s="2">
        <f ca="1">IFERROR(__xludf.DUMMYFUNCTION("""COMPUTED_VALUE"""),400)</f>
        <v>400</v>
      </c>
      <c r="E172" s="2" t="str">
        <f ca="1">IFERROR(__xludf.DUMMYFUNCTION("""COMPUTED_VALUE"""),"A Maiden Should not Waste Away")</f>
        <v>A Maiden Should not Waste Away</v>
      </c>
      <c r="F172" s="2" t="str">
        <f ca="1">IFERROR(__xludf.DUMMYFUNCTION("""COMPUTED_VALUE"""),"Defiler Wings")</f>
        <v>Defiler Wings</v>
      </c>
      <c r="G172" s="2" t="str">
        <f ca="1">IFERROR(__xludf.DUMMYFUNCTION("""COMPUTED_VALUE"""),"Mind &amp; Control")</f>
        <v>Mind &amp; Control</v>
      </c>
      <c r="H172" s="2" t="str">
        <f ca="1">IFERROR(__xludf.DUMMYFUNCTION("""COMPUTED_VALUE"""),"Those pure virgins you defile so, and lock away in your caverns deep, did you think them useless upon the birth of your child? It’s not so, despite what you might think. You possess a spell that alters the mind, something I recommend you cast as you make "&amp;"her yours. Upon casting it, the woman will find herself yours in body and mind - she cannot bear a second child for you, but surely you don’t need that in order to enjoy the warmth of her body? Or perhaps she could help care for your next conquest...")</f>
        <v>Those pure virgins you defile so, and lock away in your caverns deep, did you think them useless upon the birth of your child? It’s not so, despite what you might think. You possess a spell that alters the mind, something I recommend you cast as you make her yours. Upon casting it, the woman will find herself yours in body and mind - she cannot bear a second child for you, but surely you don’t need that in order to enjoy the warmth of her body? Or perhaps she could help care for your next conquest...</v>
      </c>
      <c r="I172" s="5"/>
    </row>
    <row r="173" spans="1:9" ht="69.599999999999994" x14ac:dyDescent="0.25">
      <c r="A173" s="16"/>
      <c r="B173" s="17">
        <v>169</v>
      </c>
      <c r="C173" s="2" t="b">
        <f ca="1">IFERROR(__xludf.DUMMYFUNCTION("""COMPUTED_VALUE"""),FALSE)</f>
        <v>0</v>
      </c>
      <c r="D173" s="2">
        <f ca="1">IFERROR(__xludf.DUMMYFUNCTION("""COMPUTED_VALUE"""),400)</f>
        <v>400</v>
      </c>
      <c r="E173" s="2" t="str">
        <f ca="1">IFERROR(__xludf.DUMMYFUNCTION("""COMPUTED_VALUE"""),"A Proper Princess")</f>
        <v>A Proper Princess</v>
      </c>
      <c r="F173" s="2" t="str">
        <f ca="1">IFERROR(__xludf.DUMMYFUNCTION("""COMPUTED_VALUE"""),"Ashigei Shoujo Komura-san")</f>
        <v>Ashigei Shoujo Komura-san</v>
      </c>
      <c r="G173" s="2" t="str">
        <f ca="1">IFERROR(__xludf.DUMMYFUNCTION("""COMPUTED_VALUE"""),"Mind &amp; Control")</f>
        <v>Mind &amp; Control</v>
      </c>
      <c r="H173" s="2" t="str">
        <f ca="1">IFERROR(__xludf.DUMMYFUNCTION("""COMPUTED_VALUE"""),"Be it through charisma or coercion, convincing people to wait on you hand and foot is often as simple as asking. Those with weak wills won’t think twice about lowering themselves to your underlings, or even furniture. This loyalty will be shallow and shor"&amp;"t-lived if you fail to deepen your bond or neglect their needs. This doesn’t work on those with strong personalities.")</f>
        <v>Be it through charisma or coercion, convincing people to wait on you hand and foot is often as simple as asking. Those with weak wills won’t think twice about lowering themselves to your underlings, or even furniture. This loyalty will be shallow and short-lived if you fail to deepen your bond or neglect their needs. This doesn’t work on those with strong personalities.</v>
      </c>
      <c r="I173" s="5"/>
    </row>
    <row r="174" spans="1:9" ht="87" x14ac:dyDescent="0.25">
      <c r="A174" s="16"/>
      <c r="B174" s="17">
        <v>170</v>
      </c>
      <c r="C174" s="2" t="b">
        <f ca="1">IFERROR(__xludf.DUMMYFUNCTION("""COMPUTED_VALUE"""),FALSE)</f>
        <v>0</v>
      </c>
      <c r="D174" s="2">
        <f ca="1">IFERROR(__xludf.DUMMYFUNCTION("""COMPUTED_VALUE"""),400)</f>
        <v>400</v>
      </c>
      <c r="E174" s="2" t="str">
        <f ca="1">IFERROR(__xludf.DUMMYFUNCTION("""COMPUTED_VALUE"""),"An All New Sport")</f>
        <v>An All New Sport</v>
      </c>
      <c r="F174" s="2" t="str">
        <f ca="1">IFERROR(__xludf.DUMMYFUNCTION("""COMPUTED_VALUE"""),"The NTR of Slutty Magical Girl Flan")</f>
        <v>The NTR of Slutty Magical Girl Flan</v>
      </c>
      <c r="G174" s="2" t="str">
        <f ca="1">IFERROR(__xludf.DUMMYFUNCTION("""COMPUTED_VALUE"""),"Mind &amp; Control")</f>
        <v>Mind &amp; Control</v>
      </c>
      <c r="H174" s="2" t="str">
        <f ca="1">IFERROR(__xludf.DUMMYFUNCTION("""COMPUTED_VALUE"""),"Even with hypnosis powers this is a bit silly, isn’t it? For some reason, when you create a new sport or activity, even as something as lewdly ridiculous as an orgasm-counting game where the female participant wears Bloomers, not only will onlookers not i"&amp;"ntervene but you’ll find your invention becoming quite popular. Hope you didn’t make anything too cringeworthy because you can expect people to praise you for your innovation.")</f>
        <v>Even with hypnosis powers this is a bit silly, isn’t it? For some reason, when you create a new sport or activity, even as something as lewdly ridiculous as an orgasm-counting game where the female participant wears Bloomers, not only will onlookers not intervene but you’ll find your invention becoming quite popular. Hope you didn’t make anything too cringeworthy because you can expect people to praise you for your innovation.</v>
      </c>
      <c r="I174" s="5"/>
    </row>
    <row r="175" spans="1:9" ht="174" x14ac:dyDescent="0.25">
      <c r="A175" s="16"/>
      <c r="B175" s="17">
        <v>171</v>
      </c>
      <c r="C175" s="2" t="b">
        <f ca="1">IFERROR(__xludf.DUMMYFUNCTION("""COMPUTED_VALUE"""),FALSE)</f>
        <v>0</v>
      </c>
      <c r="D175" s="2">
        <f ca="1">IFERROR(__xludf.DUMMYFUNCTION("""COMPUTED_VALUE"""),400)</f>
        <v>400</v>
      </c>
      <c r="E175" s="2" t="str">
        <f ca="1">IFERROR(__xludf.DUMMYFUNCTION("""COMPUTED_VALUE"""),"Bondage Queen of Hearts")</f>
        <v>Bondage Queen of Hearts</v>
      </c>
      <c r="F175" s="2" t="str">
        <f ca="1">IFERROR(__xludf.DUMMYFUNCTION("""COMPUTED_VALUE"""),"Miyuki-chan in Wonderland")</f>
        <v>Miyuki-chan in Wonderland</v>
      </c>
      <c r="G175" s="2" t="str">
        <f ca="1">IFERROR(__xludf.DUMMYFUNCTION("""COMPUTED_VALUE"""),"Mind &amp; Control")</f>
        <v>Mind &amp; Control</v>
      </c>
      <c r="H175" s="2" t="str">
        <f ca="1">IFERROR(__xludf.DUMMYFUNCTION("""COMPUTED_VALUE"""),"You have a sadistic aura of authority around you that seeps into your demeanor. In your interactions with others, it makes them more likely to be submissive. In fact, as long as your punishments are not overly cruel, the “victims” love to be punished and "&amp;"will eagerly report any mistakes they make in hope of suffering your royal edict. After you exhibit yourself in a dominant way enough, people will retain their desire to be dominated/punished by you even when you are nowhere near them. Furthermore, people"&amp;" you are chasing with the intent to capture start to unconsciously desire to be caught by you in the end. As a result, they will subconsciously turn the pursuit to your favor by slowing themselves just enough for you to keep up and letting themselves paus"&amp;"e in distraction at the most inopportune moment. Even so, if people are really desperate to escape, they will resist.")</f>
        <v>You have a sadistic aura of authority around you that seeps into your demeanor. In your interactions with others, it makes them more likely to be submissive. In fact, as long as your punishments are not overly cruel, the “victims” love to be punished and will eagerly report any mistakes they make in hope of suffering your royal edict. After you exhibit yourself in a dominant way enough, people will retain their desire to be dominated/punished by you even when you are nowhere near them. Furthermore, people you are chasing with the intent to capture start to unconsciously desire to be caught by you in the end. As a result, they will subconsciously turn the pursuit to your favor by slowing themselves just enough for you to keep up and letting themselves pause in distraction at the most inopportune moment. Even so, if people are really desperate to escape, they will resist.</v>
      </c>
      <c r="I175" s="5"/>
    </row>
    <row r="176" spans="1:9" ht="226.2" x14ac:dyDescent="0.25">
      <c r="A176" s="16"/>
      <c r="B176" s="17">
        <v>172</v>
      </c>
      <c r="C176" s="2" t="b">
        <f ca="1">IFERROR(__xludf.DUMMYFUNCTION("""COMPUTED_VALUE"""),FALSE)</f>
        <v>0</v>
      </c>
      <c r="D176" s="2">
        <f ca="1">IFERROR(__xludf.DUMMYFUNCTION("""COMPUTED_VALUE"""),400)</f>
        <v>400</v>
      </c>
      <c r="E176" s="2" t="str">
        <f ca="1">IFERROR(__xludf.DUMMYFUNCTION("""COMPUTED_VALUE"""),"Bottom Line")</f>
        <v>Bottom Line</v>
      </c>
      <c r="F176" s="2" t="str">
        <f ca="1">IFERROR(__xludf.DUMMYFUNCTION("""COMPUTED_VALUE"""),"World of Cybersluts")</f>
        <v>World of Cybersluts</v>
      </c>
      <c r="G176" s="2" t="str">
        <f ca="1">IFERROR(__xludf.DUMMYFUNCTION("""COMPUTED_VALUE"""),"Mind &amp; Control")</f>
        <v>Mind &amp; Control</v>
      </c>
      <c r="H176" s="2" t="str">
        <f ca="1">IFERROR(__xludf.DUMMYFUNCTION("""COMPUTED_VALUE"""),"Money is power. This has never been more true than in the neon era, where the only true authority is that of the corporation. But you have truly taken that old adage to heart. Wealth and influence quite literally grants you power over others, in the form "&amp;"of a dominant aura that scales in strength with the difference in status and means between you and other people. Your presence, charisma, and the lust you inspire are all magnified by an amount that is roughly equal to how much greater your net worth is c"&amp;"ompared to others. Not only that, but the effect is further amplified for people who actually work for you or are otherwise subject to your authority, affecting them even at a distance. Any such employees and subordinates grow noticeably more submissive a"&amp;"nd enamored with you as time goes on, depending on their own wealth and how directly they work for you. It would take some time to meaningfully affect a wage slave on the other side of the planet or an equally rich colleague who only technically reports t"&amp;"o you. But an intern assigned to assist you directly? They’ll be on their knees on their first day. And if you were to rise up high enough to head your own corporation, you would soon become all but unquestionable within its ranks.")</f>
        <v>Money is power. This has never been more true than in the neon era, where the only true authority is that of the corporation. But you have truly taken that old adage to heart. Wealth and influence quite literally grants you power over others, in the form of a dominant aura that scales in strength with the difference in status and means between you and other people. Your presence, charisma, and the lust you inspire are all magnified by an amount that is roughly equal to how much greater your net worth is compared to others. Not only that, but the effect is further amplified for people who actually work for you or are otherwise subject to your authority, affecting them even at a distance. Any such employees and subordinates grow noticeably more submissive and enamored with you as time goes on, depending on their own wealth and how directly they work for you. It would take some time to meaningfully affect a wage slave on the other side of the planet or an equally rich colleague who only technically reports to you. But an intern assigned to assist you directly? They’ll be on their knees on their first day. And if you were to rise up high enough to head your own corporation, you would soon become all but unquestionable within its ranks.</v>
      </c>
      <c r="I176" s="5"/>
    </row>
    <row r="177" spans="1:9" ht="261" x14ac:dyDescent="0.25">
      <c r="A177" s="16"/>
      <c r="B177" s="17">
        <v>173</v>
      </c>
      <c r="C177" s="2" t="b">
        <f ca="1">IFERROR(__xludf.DUMMYFUNCTION("""COMPUTED_VALUE"""),FALSE)</f>
        <v>0</v>
      </c>
      <c r="D177" s="2">
        <f ca="1">IFERROR(__xludf.DUMMYFUNCTION("""COMPUTED_VALUE"""),400)</f>
        <v>400</v>
      </c>
      <c r="E177" s="2" t="str">
        <f ca="1">IFERROR(__xludf.DUMMYFUNCTION("""COMPUTED_VALUE"""),"Brain Dead Cows")</f>
        <v>Brain Dead Cows</v>
      </c>
      <c r="F177" s="2" t="str">
        <f ca="1">IFERROR(__xludf.DUMMYFUNCTION("""COMPUTED_VALUE"""),"Hypno App Fantasia")</f>
        <v>Hypno App Fantasia</v>
      </c>
      <c r="G177" s="2" t="str">
        <f ca="1">IFERROR(__xludf.DUMMYFUNCTION("""COMPUTED_VALUE"""),"Mind &amp; Control")</f>
        <v>Mind &amp; Control</v>
      </c>
      <c r="H177" s="2" t="str">
        <f ca="1">IFERROR(__xludf.DUMMYFUNCTION("""COMPUTED_VALUE"""),"Sure, you might just be an ordinary villager but after the last three heroines were instantly hypnotised, you’d hope that the others would put at least some effort into taking you on. But no, these heroic halfwits will stand and challenge you at close ran"&amp;"ge, stopping for a minute to give a speech on who they are and how they will punish you, even knowing you have a sight based hypnosis technique that none of their friends have defeated. Your enemies, or anyone you consider such, constantly underestimate y"&amp;"ou to a patently ridiculous level. Even a Goddess that watched you do this to all the great heroes and should know the tool you use could control her would just forget about the danger and come down to announce her fury in person. 
Even after you’ve beat"&amp;"en them once, people stay like this to a significant extent, like the master witch only exclaiming her shock at how impossible the situation is when your hypnosis of her wears off mid intercourse, rather than actually using her powers to get free before y"&amp;"ou trap her again. If you push it really far it will hit a limit. Someone might not react the first time or two you drop your hypnosis but the third one would have her go for the kill instantly. Similarly, taking down the entire party of the hero will see"&amp;" her deadly serious from the first moment of your actual fight with her.")</f>
        <v>Sure, you might just be an ordinary villager but after the last three heroines were instantly hypnotised, you’d hope that the others would put at least some effort into taking you on. But no, these heroic halfwits will stand and challenge you at close range, stopping for a minute to give a speech on who they are and how they will punish you, even knowing you have a sight based hypnosis technique that none of their friends have defeated. Your enemies, or anyone you consider such, constantly underestimate you to a patently ridiculous level. Even a Goddess that watched you do this to all the great heroes and should know the tool you use could control her would just forget about the danger and come down to announce her fury in person. 
Even after you’ve beaten them once, people stay like this to a significant extent, like the master witch only exclaiming her shock at how impossible the situation is when your hypnosis of her wears off mid intercourse, rather than actually using her powers to get free before you trap her again. If you push it really far it will hit a limit. Someone might not react the first time or two you drop your hypnosis but the third one would have her go for the kill instantly. Similarly, taking down the entire party of the hero will see her deadly serious from the first moment of your actual fight with her.</v>
      </c>
      <c r="I177" s="5"/>
    </row>
    <row r="178" spans="1:9" ht="121.8" x14ac:dyDescent="0.25">
      <c r="A178" s="16"/>
      <c r="B178" s="17">
        <v>174</v>
      </c>
      <c r="C178" s="2" t="b">
        <f ca="1">IFERROR(__xludf.DUMMYFUNCTION("""COMPUTED_VALUE"""),FALSE)</f>
        <v>0</v>
      </c>
      <c r="D178" s="2">
        <f ca="1">IFERROR(__xludf.DUMMYFUNCTION("""COMPUTED_VALUE"""),400)</f>
        <v>400</v>
      </c>
      <c r="E178" s="2" t="str">
        <f ca="1">IFERROR(__xludf.DUMMYFUNCTION("""COMPUTED_VALUE"""),"Clean Break from Reality")</f>
        <v>Clean Break from Reality</v>
      </c>
      <c r="F178" s="2" t="str">
        <f ca="1">IFERROR(__xludf.DUMMYFUNCTION("""COMPUTED_VALUE"""),"Merry Marry")</f>
        <v>Merry Marry</v>
      </c>
      <c r="G178" s="2" t="str">
        <f ca="1">IFERROR(__xludf.DUMMYFUNCTION("""COMPUTED_VALUE"""),"Mind &amp; Control")</f>
        <v>Mind &amp; Control</v>
      </c>
      <c r="H178" s="2" t="str">
        <f ca="1">IFERROR(__xludf.DUMMYFUNCTION("""COMPUTED_VALUE"""),"Shortly after Itachi was changed, dosed with the other hentai drugs from Kabuto, and molested, his girlfriend came over to the house to hang out with him. Only surprise surprise, Itachi can no longer get married because he’s a woman! His girlfriend did no"&amp;"t handle that well. Anyways, following that... I’m not sure how the hell Sasuke pulled it off, but even his parents didn’t seem to have much issue with the sudden change. In short, you’re really damn good at convincing both the victim and the witnesses th"&amp;"at any changes you force upon them were actually their idea, or aren’t so bad after all, or something equally stupid along those lines.")</f>
        <v>Shortly after Itachi was changed, dosed with the other hentai drugs from Kabuto, and molested, his girlfriend came over to the house to hang out with him. Only surprise surprise, Itachi can no longer get married because he’s a woman! His girlfriend did not handle that well. Anyways, following that... I’m not sure how the hell Sasuke pulled it off, but even his parents didn’t seem to have much issue with the sudden change. In short, you’re really damn good at convincing both the victim and the witnesses that any changes you force upon them were actually their idea, or aren’t so bad after all, or something equally stupid along those lines.</v>
      </c>
      <c r="I178" s="5"/>
    </row>
    <row r="179" spans="1:9" ht="139.19999999999999" x14ac:dyDescent="0.25">
      <c r="A179" s="16"/>
      <c r="B179" s="17">
        <v>175</v>
      </c>
      <c r="C179" s="2" t="b">
        <f ca="1">IFERROR(__xludf.DUMMYFUNCTION("""COMPUTED_VALUE"""),FALSE)</f>
        <v>0</v>
      </c>
      <c r="D179" s="2">
        <f ca="1">IFERROR(__xludf.DUMMYFUNCTION("""COMPUTED_VALUE"""),400)</f>
        <v>400</v>
      </c>
      <c r="E179" s="2" t="str">
        <f ca="1">IFERROR(__xludf.DUMMYFUNCTION("""COMPUTED_VALUE"""),"Defeat Means Skinship")</f>
        <v>Defeat Means Skinship</v>
      </c>
      <c r="F179" s="2" t="str">
        <f ca="1">IFERROR(__xludf.DUMMYFUNCTION("""COMPUTED_VALUE"""),"Metal &amp; Lace")</f>
        <v>Metal &amp; Lace</v>
      </c>
      <c r="G179" s="2" t="str">
        <f ca="1">IFERROR(__xludf.DUMMYFUNCTION("""COMPUTED_VALUE"""),"Mind &amp; Control")</f>
        <v>Mind &amp; Control</v>
      </c>
      <c r="H179" s="2" t="str">
        <f ca="1">IFERROR(__xludf.DUMMYFUNCTION("""COMPUTED_VALUE"""),"When you defeat a female opponent in sport or combat, she’ll think it’s entirely reasonable for her to take her clothes off for you in exchange, in addition to any other due wagers or prizes. Most girls will want at least a modicum of privacy first, and t"&amp;"he distance she’ll go depends on the severity of the loss—a photo finish in your favor may only get you a little tease of skin, while a total, crushing, humiliating defeat can evoke not only complete nudity, but masturbation and use of toys as well. Only "&amp;"covers looking, not touching—actual sexual favors must be negotiated as normal and are likely to be refused if the subject doesn’t actually like you. May be freely toggled off and on in case the subject in question isn’t someone you actually want to see n"&amp;"aked.")</f>
        <v>When you defeat a female opponent in sport or combat, she’ll think it’s entirely reasonable for her to take her clothes off for you in exchange, in addition to any other due wagers or prizes. Most girls will want at least a modicum of privacy first, and the distance she’ll go depends on the severity of the loss—a photo finish in your favor may only get you a little tease of skin, while a total, crushing, humiliating defeat can evoke not only complete nudity, but masturbation and use of toys as well. Only covers looking, not touching—actual sexual favors must be negotiated as normal and are likely to be refused if the subject doesn’t actually like you. May be freely toggled off and on in case the subject in question isn’t someone you actually want to see naked.</v>
      </c>
      <c r="I179" s="5"/>
    </row>
    <row r="180" spans="1:9" ht="121.8" x14ac:dyDescent="0.25">
      <c r="A180" s="16"/>
      <c r="B180" s="17">
        <v>176</v>
      </c>
      <c r="C180" s="2" t="b">
        <f ca="1">IFERROR(__xludf.DUMMYFUNCTION("""COMPUTED_VALUE"""),FALSE)</f>
        <v>0</v>
      </c>
      <c r="D180" s="2">
        <f ca="1">IFERROR(__xludf.DUMMYFUNCTION("""COMPUTED_VALUE"""),400)</f>
        <v>400</v>
      </c>
      <c r="E180" s="2" t="str">
        <f ca="1">IFERROR(__xludf.DUMMYFUNCTION("""COMPUTED_VALUE"""),"Demonic Blood Soul")</f>
        <v>Demonic Blood Soul</v>
      </c>
      <c r="F180" s="2" t="str">
        <f ca="1">IFERROR(__xludf.DUMMYFUNCTION("""COMPUTED_VALUE"""),"Rance 3 - The Fall of Leazas")</f>
        <v>Rance 3 - The Fall of Leazas</v>
      </c>
      <c r="G180" s="2" t="str">
        <f ca="1">IFERROR(__xludf.DUMMYFUNCTION("""COMPUTED_VALUE"""),"Mind &amp; Control")</f>
        <v>Mind &amp; Control</v>
      </c>
      <c r="H180" s="2" t="str">
        <f ca="1">IFERROR(__xludf.DUMMYFUNCTION("""COMPUTED_VALUE"""),"Inherent to most (if not all) Dark Lords, but for some reason not all of them take advantage of it: the ability to make apostles. Long story short, apostles are your personal servants that you make by giving a little of your blood, granting them the boon "&amp;"of ageless immortality for as long as you live, as well as a general power boost to make them useful. The ritual also makes them incredible loyal to you, but there’s no inherent power over them, like the Demon King has over Dark Lords. At the start you ca"&amp;"n only have up to 3 apostles, but the number will increase along with time and your magical strength.")</f>
        <v>Inherent to most (if not all) Dark Lords, but for some reason not all of them take advantage of it: the ability to make apostles. Long story short, apostles are your personal servants that you make by giving a little of your blood, granting them the boon of ageless immortality for as long as you live, as well as a general power boost to make them useful. The ritual also makes them incredible loyal to you, but there’s no inherent power over them, like the Demon King has over Dark Lords. At the start you can only have up to 3 apostles, but the number will increase along with time and your magical strength.</v>
      </c>
      <c r="I180" s="5"/>
    </row>
    <row r="181" spans="1:9" ht="139.19999999999999" x14ac:dyDescent="0.25">
      <c r="A181" s="16"/>
      <c r="B181" s="17">
        <v>177</v>
      </c>
      <c r="C181" s="2" t="b">
        <f ca="1">IFERROR(__xludf.DUMMYFUNCTION("""COMPUTED_VALUE"""),FALSE)</f>
        <v>0</v>
      </c>
      <c r="D181" s="2">
        <f ca="1">IFERROR(__xludf.DUMMYFUNCTION("""COMPUTED_VALUE"""),400)</f>
        <v>400</v>
      </c>
      <c r="E181" s="2" t="str">
        <f ca="1">IFERROR(__xludf.DUMMYFUNCTION("""COMPUTED_VALUE"""),"Don't Question, Just (Ab)use")</f>
        <v>Don't Question, Just (Ab)use</v>
      </c>
      <c r="F181" s="2" t="str">
        <f ca="1">IFERROR(__xludf.DUMMYFUNCTION("""COMPUTED_VALUE"""),"Fate/Worm Night")</f>
        <v>Fate/Worm Night</v>
      </c>
      <c r="G181" s="2" t="str">
        <f ca="1">IFERROR(__xludf.DUMMYFUNCTION("""COMPUTED_VALUE"""),"Mind &amp; Control")</f>
        <v>Mind &amp; Control</v>
      </c>
      <c r="H181" s="2" t="str">
        <f ca="1">IFERROR(__xludf.DUMMYFUNCTION("""COMPUTED_VALUE"""),"Hypnosis is a standard technique most Magi know, one used almost solely for the purpose of keeping the secret of Magecraft, well, secret. You however seem to have taken it to an art form, anchoring a specific piece of hypnosis to a structure or individual"&amp;". Something along the lines of ‘the girl in the toilet is a toilet’ would be about what I expect from you. Maybe ‘the school uniform is nudity’, though obviously using this on a large number of people for an extended period of time is a tad bit costly. Ma"&amp;"ybe you should combine it with a bounded field that drains anyone who enters, forcing the participants in your little games to pay the cost of their own hypnosis? That would be a tad bit beyond your skill set though.")</f>
        <v>Hypnosis is a standard technique most Magi know, one used almost solely for the purpose of keeping the secret of Magecraft, well, secret. You however seem to have taken it to an art form, anchoring a specific piece of hypnosis to a structure or individual. Something along the lines of ‘the girl in the toilet is a toilet’ would be about what I expect from you. Maybe ‘the school uniform is nudity’, though obviously using this on a large number of people for an extended period of time is a tad bit costly. Maybe you should combine it with a bounded field that drains anyone who enters, forcing the participants in your little games to pay the cost of their own hypnosis? That would be a tad bit beyond your skill set though.</v>
      </c>
      <c r="I181" s="5"/>
    </row>
    <row r="182" spans="1:9" ht="52.2" x14ac:dyDescent="0.25">
      <c r="A182" s="16"/>
      <c r="B182" s="17">
        <v>178</v>
      </c>
      <c r="C182" s="2" t="b">
        <f ca="1">IFERROR(__xludf.DUMMYFUNCTION("""COMPUTED_VALUE"""),FALSE)</f>
        <v>0</v>
      </c>
      <c r="D182" s="2">
        <f ca="1">IFERROR(__xludf.DUMMYFUNCTION("""COMPUTED_VALUE"""),400)</f>
        <v>400</v>
      </c>
      <c r="E182" s="2" t="str">
        <f ca="1">IFERROR(__xludf.DUMMYFUNCTION("""COMPUTED_VALUE"""),"Don't You Know Who I Am?")</f>
        <v>Don't You Know Who I Am?</v>
      </c>
      <c r="F182" s="2" t="str">
        <f ca="1">IFERROR(__xludf.DUMMYFUNCTION("""COMPUTED_VALUE"""),"Slave​ ​Maker​ ​3")</f>
        <v>Slave​ ​Maker​ ​3</v>
      </c>
      <c r="G182" s="2" t="str">
        <f ca="1">IFERROR(__xludf.DUMMYFUNCTION("""COMPUTED_VALUE"""),"Mind &amp; Control")</f>
        <v>Mind &amp; Control</v>
      </c>
      <c r="H182" s="2" t="str">
        <f ca="1">IFERROR(__xludf.DUMMYFUNCTION("""COMPUTED_VALUE"""),"You’re important, and now, everybody who sees you will know it. You want to get into some big party, but you’re not on the guest list? No problem, the bouncers will let you in. You want a meeting with the king? He’d be more than happy to see you; how does"&amp;" tomorrow at noon sound?")</f>
        <v>You’re important, and now, everybody who sees you will know it. You want to get into some big party, but you’re not on the guest list? No problem, the bouncers will let you in. You want a meeting with the king? He’d be more than happy to see you; how does tomorrow at noon sound?</v>
      </c>
      <c r="I182" s="5"/>
    </row>
    <row r="183" spans="1:9" ht="191.4" x14ac:dyDescent="0.25">
      <c r="A183" s="16"/>
      <c r="B183" s="17">
        <v>179</v>
      </c>
      <c r="C183" s="2" t="b">
        <f ca="1">IFERROR(__xludf.DUMMYFUNCTION("""COMPUTED_VALUE"""),FALSE)</f>
        <v>0</v>
      </c>
      <c r="D183" s="2">
        <f ca="1">IFERROR(__xludf.DUMMYFUNCTION("""COMPUTED_VALUE"""),400)</f>
        <v>400</v>
      </c>
      <c r="E183" s="2" t="str">
        <f ca="1">IFERROR(__xludf.DUMMYFUNCTION("""COMPUTED_VALUE"""),"Earrings of Control")</f>
        <v>Earrings of Control</v>
      </c>
      <c r="F183" s="2" t="str">
        <f ca="1">IFERROR(__xludf.DUMMYFUNCTION("""COMPUTED_VALUE"""),"The NTR of Slutty Magical Girl Flan")</f>
        <v>The NTR of Slutty Magical Girl Flan</v>
      </c>
      <c r="G183" s="2" t="str">
        <f ca="1">IFERROR(__xludf.DUMMYFUNCTION("""COMPUTED_VALUE"""),"Mind &amp; Control")</f>
        <v>Mind &amp; Control</v>
      </c>
      <c r="H183" s="2" t="str">
        <f ca="1">IFERROR(__xludf.DUMMYFUNCTION("""COMPUTED_VALUE"""),"A pair of pink orbs hang from these earrings, their contents foggy and unclear until activated at which point they’re revealed to contain the kanji for ‘Hypnosis’ and ‘Sleep’. Not only are they quite pretty if a little bit on the gaudy side but they also "&amp;"have a pair of potent enchantments on them. Firstly, all hypnotic effects you (as the true owner of the earrings) cast on the wearer are massively increased in potency and ease of use.
Secondly, the stronger your control is on the wearer, the stronger th"&amp;"e earrings will make them in turn. As they fall deeper and deeper, they’ll find their vitality and magical power surging, ailments that would’ve weakened them before are now being shrugged off with ease and everything from their physical strength and spee"&amp;"d to even their luck has been enhanced so that they might serve you even more effectively. The perfect adornment for your most loyal servant.")</f>
        <v>A pair of pink orbs hang from these earrings, their contents foggy and unclear until activated at which point they’re revealed to contain the kanji for ‘Hypnosis’ and ‘Sleep’. Not only are they quite pretty if a little bit on the gaudy side but they also have a pair of potent enchantments on them. Firstly, all hypnotic effects you (as the true owner of the earrings) cast on the wearer are massively increased in potency and ease of use.
Secondly, the stronger your control is on the wearer, the stronger the earrings will make them in turn. As they fall deeper and deeper, they’ll find their vitality and magical power surging, ailments that would’ve weakened them before are now being shrugged off with ease and everything from their physical strength and speed to even their luck has been enhanced so that they might serve you even more effectively. The perfect adornment for your most loyal servant.</v>
      </c>
      <c r="I183" s="5"/>
    </row>
    <row r="184" spans="1:9" ht="104.4" x14ac:dyDescent="0.25">
      <c r="A184" s="16"/>
      <c r="B184" s="17">
        <v>180</v>
      </c>
      <c r="C184" s="2" t="b">
        <f ca="1">IFERROR(__xludf.DUMMYFUNCTION("""COMPUTED_VALUE"""),FALSE)</f>
        <v>0</v>
      </c>
      <c r="D184" s="2">
        <f ca="1">IFERROR(__xludf.DUMMYFUNCTION("""COMPUTED_VALUE"""),400)</f>
        <v>400</v>
      </c>
      <c r="E184" s="2" t="str">
        <f ca="1">IFERROR(__xludf.DUMMYFUNCTION("""COMPUTED_VALUE"""),"Easily Forgiven")</f>
        <v>Easily Forgiven</v>
      </c>
      <c r="F184" s="2" t="str">
        <f ca="1">IFERROR(__xludf.DUMMYFUNCTION("""COMPUTED_VALUE"""),"How Not to Summon a Demon Lord")</f>
        <v>How Not to Summon a Demon Lord</v>
      </c>
      <c r="G184" s="2" t="str">
        <f ca="1">IFERROR(__xludf.DUMMYFUNCTION("""COMPUTED_VALUE"""),"Mind &amp; Control")</f>
        <v>Mind &amp; Control</v>
      </c>
      <c r="H184" s="2" t="str">
        <f ca="1">IFERROR(__xludf.DUMMYFUNCTION("""COMPUTED_VALUE"""),"Maybe the heroes are gullible enough to believe you’ve really changed or maybe you have the power of being a waifu on your side but either way people cut you a lot more slack than they really should. Even if you just tried to destroy all of the mortal rac"&amp;"es by awakening a demon king or openly declared your intentions to rape your sister, as long as you have a sob story or at least appear honestly remorseful for your actions they’ll welcome you back into the fold or otherwise give you the benefit of the do"&amp;"ubt. Once.")</f>
        <v>Maybe the heroes are gullible enough to believe you’ve really changed or maybe you have the power of being a waifu on your side but either way people cut you a lot more slack than they really should. Even if you just tried to destroy all of the mortal races by awakening a demon king or openly declared your intentions to rape your sister, as long as you have a sob story or at least appear honestly remorseful for your actions they’ll welcome you back into the fold or otherwise give you the benefit of the doubt. Once.</v>
      </c>
      <c r="I184" s="5"/>
    </row>
    <row r="185" spans="1:9" ht="121.8" x14ac:dyDescent="0.25">
      <c r="A185" s="16"/>
      <c r="B185" s="17">
        <v>181</v>
      </c>
      <c r="C185" s="2" t="b">
        <f ca="1">IFERROR(__xludf.DUMMYFUNCTION("""COMPUTED_VALUE"""),FALSE)</f>
        <v>0</v>
      </c>
      <c r="D185" s="2">
        <f ca="1">IFERROR(__xludf.DUMMYFUNCTION("""COMPUTED_VALUE"""),400)</f>
        <v>400</v>
      </c>
      <c r="E185" s="2" t="str">
        <f ca="1">IFERROR(__xludf.DUMMYFUNCTION("""COMPUTED_VALUE"""),"Elder Sister")</f>
        <v>Elder Sister</v>
      </c>
      <c r="F185" s="2" t="str">
        <f ca="1">IFERROR(__xludf.DUMMYFUNCTION("""COMPUTED_VALUE"""),"Ane Naru Mono")</f>
        <v>Ane Naru Mono</v>
      </c>
      <c r="G185" s="2" t="str">
        <f ca="1">IFERROR(__xludf.DUMMYFUNCTION("""COMPUTED_VALUE"""),"Mind &amp; Control")</f>
        <v>Mind &amp; Control</v>
      </c>
      <c r="H185" s="2" t="str">
        <f ca="1">IFERROR(__xludf.DUMMYFUNCTION("""COMPUTED_VALUE"""),"Chiyo stayed at the uncle's house for about two weeks before she went into town and interacted with a human other than Yuu. And of course, not a single person questioned her status as his elder sister. With that in mind, you can simply insert yourself int"&amp;"o a person’s life as a family member (elder sibling by default), and pretty much no one will question it, not even your new sibling or parents. There’s only one requirement for this to work - you have to be invited in. A simple ‘I wish we were related’ wi"&amp;"ll do, though I’m afraid you can’t simply take them over and force it out - that’s you inviting yourself in, not them.")</f>
        <v>Chiyo stayed at the uncle's house for about two weeks before she went into town and interacted with a human other than Yuu. And of course, not a single person questioned her status as his elder sister. With that in mind, you can simply insert yourself into a person’s life as a family member (elder sibling by default), and pretty much no one will question it, not even your new sibling or parents. There’s only one requirement for this to work - you have to be invited in. A simple ‘I wish we were related’ will do, though I’m afraid you can’t simply take them over and force it out - that’s you inviting yourself in, not them.</v>
      </c>
      <c r="I185" s="5"/>
    </row>
    <row r="186" spans="1:9" ht="156.6" x14ac:dyDescent="0.25">
      <c r="A186" s="16"/>
      <c r="B186" s="17">
        <v>182</v>
      </c>
      <c r="C186" s="2" t="b">
        <f ca="1">IFERROR(__xludf.DUMMYFUNCTION("""COMPUTED_VALUE"""),FALSE)</f>
        <v>0</v>
      </c>
      <c r="D186" s="2">
        <f ca="1">IFERROR(__xludf.DUMMYFUNCTION("""COMPUTED_VALUE"""),400)</f>
        <v>400</v>
      </c>
      <c r="E186" s="2" t="str">
        <f ca="1">IFERROR(__xludf.DUMMYFUNCTION("""COMPUTED_VALUE"""),"Equivalent Exchange")</f>
        <v>Equivalent Exchange</v>
      </c>
      <c r="F186" s="2" t="str">
        <f ca="1">IFERROR(__xludf.DUMMYFUNCTION("""COMPUTED_VALUE"""),"Breathless Wild")</f>
        <v>Breathless Wild</v>
      </c>
      <c r="G186" s="2" t="str">
        <f ca="1">IFERROR(__xludf.DUMMYFUNCTION("""COMPUTED_VALUE"""),"Mind &amp; Control")</f>
        <v>Mind &amp; Control</v>
      </c>
      <c r="H186" s="2" t="str">
        <f ca="1">IFERROR(__xludf.DUMMYFUNCTION("""COMPUTED_VALUE"""),"Hyrule has become a deeply perverse place and almost everyone wants sex to one degree or another. That makes it a valuable commodity, almost more valuable than rupees in some ways, and you can use that to your advantage. You can pay for almost any good or"&amp;" service with sex rather than currency. Need a debt forgiven? Pay it in sex. Need to hire adventurers for a quest? Pay them in sex. Depending on what it is you’re buying you might need to have a lot of sex, or especially degrading forms of it such as a pe"&amp;"riod of sex slavery or public use, in order to pay off what you owe, but your “currency” is honored everywhere, and its value is respected even by those who’d rather cheat you out of a conventional payment. Take care though, if you skip out on your debts "&amp;"your debtors won’t hesitate to extract what you owe them by force.")</f>
        <v>Hyrule has become a deeply perverse place and almost everyone wants sex to one degree or another. That makes it a valuable commodity, almost more valuable than rupees in some ways, and you can use that to your advantage. You can pay for almost any good or service with sex rather than currency. Need a debt forgiven? Pay it in sex. Need to hire adventurers for a quest? Pay them in sex. Depending on what it is you’re buying you might need to have a lot of sex, or especially degrading forms of it such as a period of sex slavery or public use, in order to pay off what you owe, but your “currency” is honored everywhere, and its value is respected even by those who’d rather cheat you out of a conventional payment. Take care though, if you skip out on your debts your debtors won’t hesitate to extract what you owe them by force.</v>
      </c>
      <c r="I186" s="5"/>
    </row>
    <row r="187" spans="1:9" ht="104.4" x14ac:dyDescent="0.25">
      <c r="A187" s="16"/>
      <c r="B187" s="17">
        <v>183</v>
      </c>
      <c r="C187" s="2" t="b">
        <f ca="1">IFERROR(__xludf.DUMMYFUNCTION("""COMPUTED_VALUE"""),FALSE)</f>
        <v>0</v>
      </c>
      <c r="D187" s="2">
        <f ca="1">IFERROR(__xludf.DUMMYFUNCTION("""COMPUTED_VALUE"""),400)</f>
        <v>400</v>
      </c>
      <c r="E187" s="2" t="str">
        <f ca="1">IFERROR(__xludf.DUMMYFUNCTION("""COMPUTED_VALUE"""),"Free Love Stickers")</f>
        <v>Free Love Stickers</v>
      </c>
      <c r="F187" s="2" t="str">
        <f ca="1">IFERROR(__xludf.DUMMYFUNCTION("""COMPUTED_VALUE"""),"Mizuryu Kei Land")</f>
        <v>Mizuryu Kei Land</v>
      </c>
      <c r="G187" s="2" t="str">
        <f ca="1">IFERROR(__xludf.DUMMYFUNCTION("""COMPUTED_VALUE"""),"Mind &amp; Control")</f>
        <v>Mind &amp; Control</v>
      </c>
      <c r="H187" s="2" t="str">
        <f ca="1">IFERROR(__xludf.DUMMYFUNCTION("""COMPUTED_VALUE"""),"As you know, one of Mizuryu Kei Lands control methods for who has how much sex is the sticker system. Free Touch, Free Kiss, and Free Sex. Or if you prefer, second base, first base, and a home run. You now have a mental switch that allows you to swap betw"&amp;"een the three settings - well, four if you count 'off'. Anyways, while on, anyone who sees you will immediately know that they have the right/privilege/permission to touch/kiss/fuck you. You can of course say no, but that defeats the purposes of buying th"&amp;"is in the first place.")</f>
        <v>As you know, one of Mizuryu Kei Lands control methods for who has how much sex is the sticker system. Free Touch, Free Kiss, and Free Sex. Or if you prefer, second base, first base, and a home run. You now have a mental switch that allows you to swap between the three settings - well, four if you count 'off'. Anyways, while on, anyone who sees you will immediately know that they have the right/privilege/permission to touch/kiss/fuck you. You can of course say no, but that defeats the purposes of buying this in the first place.</v>
      </c>
      <c r="I187" s="5"/>
    </row>
    <row r="188" spans="1:9" ht="104.4" x14ac:dyDescent="0.25">
      <c r="A188" s="16"/>
      <c r="B188" s="17">
        <v>184</v>
      </c>
      <c r="C188" s="2" t="b">
        <f ca="1">IFERROR(__xludf.DUMMYFUNCTION("""COMPUTED_VALUE"""),FALSE)</f>
        <v>0</v>
      </c>
      <c r="D188" s="2">
        <f ca="1">IFERROR(__xludf.DUMMYFUNCTION("""COMPUTED_VALUE"""),400)</f>
        <v>400</v>
      </c>
      <c r="E188" s="2" t="str">
        <f ca="1">IFERROR(__xludf.DUMMYFUNCTION("""COMPUTED_VALUE"""),"Free NUT Ticket")</f>
        <v>Free NUT Ticket</v>
      </c>
      <c r="F188" s="2" t="str">
        <f ca="1">IFERROR(__xludf.DUMMYFUNCTION("""COMPUTED_VALUE"""),"Nyakumi")</f>
        <v>Nyakumi</v>
      </c>
      <c r="G188" s="2" t="str">
        <f ca="1">IFERROR(__xludf.DUMMYFUNCTION("""COMPUTED_VALUE"""),"Mind &amp; Control")</f>
        <v>Mind &amp; Control</v>
      </c>
      <c r="H188" s="2" t="str">
        <f ca="1">IFERROR(__xludf.DUMMYFUNCTION("""COMPUTED_VALUE"""),"If you hand this coupon to someone, unless they are completely against sleeping with you under any circumstances, you will be allowed to have sex with them until you cum. They won’t turn on you afterward, but any continuation of your sexytimes will be bas"&amp;"ed on your own skills in bed. If you haven’t exactly showered yourself in glory up to that point, you can expect them to shove your clothes into your arms, and you right out the door. If you use or lose your current one, you will gain a new coupon at the "&amp;"end of the month.")</f>
        <v>If you hand this coupon to someone, unless they are completely against sleeping with you under any circumstances, you will be allowed to have sex with them until you cum. They won’t turn on you afterward, but any continuation of your sexytimes will be based on your own skills in bed. If you haven’t exactly showered yourself in glory up to that point, you can expect them to shove your clothes into your arms, and you right out the door. If you use or lose your current one, you will gain a new coupon at the end of the month.</v>
      </c>
      <c r="I188" s="5"/>
    </row>
    <row r="189" spans="1:9" ht="104.4" x14ac:dyDescent="0.25">
      <c r="A189" s="16"/>
      <c r="B189" s="17">
        <v>185</v>
      </c>
      <c r="C189" s="2" t="b">
        <f ca="1">IFERROR(__xludf.DUMMYFUNCTION("""COMPUTED_VALUE"""),FALSE)</f>
        <v>0</v>
      </c>
      <c r="D189" s="2">
        <f ca="1">IFERROR(__xludf.DUMMYFUNCTION("""COMPUTED_VALUE"""),400)</f>
        <v>400</v>
      </c>
      <c r="E189" s="2" t="str">
        <f ca="1">IFERROR(__xludf.DUMMYFUNCTION("""COMPUTED_VALUE"""),"Gender Boundries")</f>
        <v>Gender Boundries</v>
      </c>
      <c r="F189" s="2" t="str">
        <f ca="1">IFERROR(__xludf.DUMMYFUNCTION("""COMPUTED_VALUE"""),"Generic: Hentai Modern")</f>
        <v>Generic: Hentai Modern</v>
      </c>
      <c r="G189" s="2" t="str">
        <f ca="1">IFERROR(__xludf.DUMMYFUNCTION("""COMPUTED_VALUE"""),"Mind &amp; Control")</f>
        <v>Mind &amp; Control</v>
      </c>
      <c r="H189" s="2" t="str">
        <f ca="1">IFERROR(__xludf.DUMMYFUNCTION("""COMPUTED_VALUE"""),"Congratulations! You are now a futa, a shemale, a hermaphrodite, or whatever the actual word for it is. Basically, a chick with a dick. You can design exactly how this manifests. And the fun thing about being a little bit of both genders, is that you can "&amp;"now qualify as whichever one you want in any specific situation. Walk into the girls’ locker room after gym? You're female. Start flirting with them? It's not gay, ‘cause you're a guy. Whichever is most convenient at any point, even if it contradicts itse"&amp;"lf.")</f>
        <v>Congratulations! You are now a futa, a shemale, a hermaphrodite, or whatever the actual word for it is. Basically, a chick with a dick. You can design exactly how this manifests. And the fun thing about being a little bit of both genders, is that you can now qualify as whichever one you want in any specific situation. Walk into the girls’ locker room after gym? You're female. Start flirting with them? It's not gay, ‘cause you're a guy. Whichever is most convenient at any point, even if it contradicts itself.</v>
      </c>
      <c r="I189" s="5"/>
    </row>
    <row r="190" spans="1:9" ht="69.599999999999994" x14ac:dyDescent="0.25">
      <c r="A190" s="16"/>
      <c r="B190" s="17">
        <v>186</v>
      </c>
      <c r="C190" s="2" t="b">
        <f ca="1">IFERROR(__xludf.DUMMYFUNCTION("""COMPUTED_VALUE"""),FALSE)</f>
        <v>0</v>
      </c>
      <c r="D190" s="2">
        <f ca="1">IFERROR(__xludf.DUMMYFUNCTION("""COMPUTED_VALUE"""),400)</f>
        <v>400</v>
      </c>
      <c r="E190" s="2" t="str">
        <f ca="1">IFERROR(__xludf.DUMMYFUNCTION("""COMPUTED_VALUE"""),"Girls are Girls")</f>
        <v>Girls are Girls</v>
      </c>
      <c r="F190" s="2" t="str">
        <f ca="1">IFERROR(__xludf.DUMMYFUNCTION("""COMPUTED_VALUE"""),"Free Cities - Zenaku82 Edition")</f>
        <v>Free Cities - Zenaku82 Edition</v>
      </c>
      <c r="G190" s="2" t="str">
        <f ca="1">IFERROR(__xludf.DUMMYFUNCTION("""COMPUTED_VALUE"""),"Mind &amp; Control")</f>
        <v>Mind &amp; Control</v>
      </c>
      <c r="H190" s="2" t="str">
        <f ca="1">IFERROR(__xludf.DUMMYFUNCTION("""COMPUTED_VALUE"""),"There is a light at the end of the tunnel for slaves, if you are the one to rescue them. Simply through listening to your speeches (which may be entirely platitudes) people can forget their traumas and leave their past behind them. The image of you in som"&amp;"eone's mind can act as a source of comfort and strength, letting them reform their entire lives simply by thinking of you.")</f>
        <v>There is a light at the end of the tunnel for slaves, if you are the one to rescue them. Simply through listening to your speeches (which may be entirely platitudes) people can forget their traumas and leave their past behind them. The image of you in someone's mind can act as a source of comfort and strength, letting them reform their entire lives simply by thinking of you.</v>
      </c>
      <c r="I190" s="5"/>
    </row>
    <row r="191" spans="1:9" ht="156.6" x14ac:dyDescent="0.25">
      <c r="A191" s="16"/>
      <c r="B191" s="17">
        <v>187</v>
      </c>
      <c r="C191" s="2" t="b">
        <f ca="1">IFERROR(__xludf.DUMMYFUNCTION("""COMPUTED_VALUE"""),FALSE)</f>
        <v>0</v>
      </c>
      <c r="D191" s="2">
        <f ca="1">IFERROR(__xludf.DUMMYFUNCTION("""COMPUTED_VALUE"""),400)</f>
        <v>400</v>
      </c>
      <c r="E191" s="2" t="str">
        <f ca="1">IFERROR(__xludf.DUMMYFUNCTION("""COMPUTED_VALUE"""),"Horn of Power")</f>
        <v>Horn of Power</v>
      </c>
      <c r="F191" s="2" t="str">
        <f ca="1">IFERROR(__xludf.DUMMYFUNCTION("""COMPUTED_VALUE"""),"Miyuki-chan in Wonderland")</f>
        <v>Miyuki-chan in Wonderland</v>
      </c>
      <c r="G191" s="2" t="str">
        <f ca="1">IFERROR(__xludf.DUMMYFUNCTION("""COMPUTED_VALUE"""),"Mind &amp; Control")</f>
        <v>Mind &amp; Control</v>
      </c>
      <c r="H191" s="2" t="str">
        <f ca="1">IFERROR(__xludf.DUMMYFUNCTION("""COMPUTED_VALUE"""),"You can make a strange, ceremonial horn appear on your forehead. This gives you an aura of authority as an emperor, such that large numbers of people will eagerly carry out your commands; it becomes easier to assert your dominance if you give sexual theme"&amp;"s to your orders and laws. It also gives you enhanced combat abilities befitting the sort of physically brutish yet cunning alien you’d find in a sci-fi horror movie; for instance, it allows you to make sharp claws emerge from your fingers to cut apart cl"&amp;"othing, cause stone walls and other obstacles to rise out of the landscape, and also increase your strength to typical movie monster levels to ensure that your prey does not escape. For some reason, you also have a tendency to add the phrase “Pretty prett"&amp;"y” into your dialogue and refer to people as candy whenever you’re using this power.")</f>
        <v>You can make a strange, ceremonial horn appear on your forehead. This gives you an aura of authority as an emperor, such that large numbers of people will eagerly carry out your commands; it becomes easier to assert your dominance if you give sexual themes to your orders and laws. It also gives you enhanced combat abilities befitting the sort of physically brutish yet cunning alien you’d find in a sci-fi horror movie; for instance, it allows you to make sharp claws emerge from your fingers to cut apart clothing, cause stone walls and other obstacles to rise out of the landscape, and also increase your strength to typical movie monster levels to ensure that your prey does not escape. For some reason, you also have a tendency to add the phrase “Pretty pretty” into your dialogue and refer to people as candy whenever you’re using this power.</v>
      </c>
      <c r="I191" s="5"/>
    </row>
    <row r="192" spans="1:9" ht="139.19999999999999" x14ac:dyDescent="0.25">
      <c r="A192" s="16"/>
      <c r="B192" s="17">
        <v>188</v>
      </c>
      <c r="C192" s="2" t="b">
        <f ca="1">IFERROR(__xludf.DUMMYFUNCTION("""COMPUTED_VALUE"""),FALSE)</f>
        <v>0</v>
      </c>
      <c r="D192" s="2">
        <f ca="1">IFERROR(__xludf.DUMMYFUNCTION("""COMPUTED_VALUE"""),400)</f>
        <v>400</v>
      </c>
      <c r="E192" s="2" t="str">
        <f ca="1">IFERROR(__xludf.DUMMYFUNCTION("""COMPUTED_VALUE"""),"Hypnocard Decks")</f>
        <v>Hypnocard Decks</v>
      </c>
      <c r="F192" s="2" t="str">
        <f ca="1">IFERROR(__xludf.DUMMYFUNCTION("""COMPUTED_VALUE"""),"The NTR of Slutty Magical Girl Flan")</f>
        <v>The NTR of Slutty Magical Girl Flan</v>
      </c>
      <c r="G192" s="2" t="str">
        <f ca="1">IFERROR(__xludf.DUMMYFUNCTION("""COMPUTED_VALUE"""),"Mind &amp; Control")</f>
        <v>Mind &amp; Control</v>
      </c>
      <c r="H192" s="2" t="str">
        <f ca="1">IFERROR(__xludf.DUMMYFUNCTION("""COMPUTED_VALUE"""),"These two decks of cards are for a lovely game by the name of Hypnocard. There’s one for a male player and another for a female one and as they draw cards they’ll find themselves forced to act out the effects like ‘Slutty Hip-Swinging Dance’ and ‘Anal Org"&amp;"asm Attack’. The game continues until one of them plays the ‘Declaration of Defeat’ card and swears to be their opponent’s slave and sex toy, although that’ll only last beyond the game if they’ve been thoroughly dominated or are otherwise predisposed to d"&amp;"oing so. Note that this is the balanced version of the game where it's actually fair to both players...unless someone misplaces one of the Declaration of Defeat cards but who would do that?")</f>
        <v>These two decks of cards are for a lovely game by the name of Hypnocard. There’s one for a male player and another for a female one and as they draw cards they’ll find themselves forced to act out the effects like ‘Slutty Hip-Swinging Dance’ and ‘Anal Orgasm Attack’. The game continues until one of them plays the ‘Declaration of Defeat’ card and swears to be their opponent’s slave and sex toy, although that’ll only last beyond the game if they’ve been thoroughly dominated or are otherwise predisposed to doing so. Note that this is the balanced version of the game where it's actually fair to both players...unless someone misplaces one of the Declaration of Defeat cards but who would do that?</v>
      </c>
      <c r="I192" s="5"/>
    </row>
    <row r="193" spans="1:9" ht="87" x14ac:dyDescent="0.25">
      <c r="A193" s="16"/>
      <c r="B193" s="17">
        <v>189</v>
      </c>
      <c r="C193" s="2" t="b">
        <f ca="1">IFERROR(__xludf.DUMMYFUNCTION("""COMPUTED_VALUE"""),FALSE)</f>
        <v>0</v>
      </c>
      <c r="D193" s="2">
        <f ca="1">IFERROR(__xludf.DUMMYFUNCTION("""COMPUTED_VALUE"""),400)</f>
        <v>400</v>
      </c>
      <c r="E193" s="2" t="str">
        <f ca="1">IFERROR(__xludf.DUMMYFUNCTION("""COMPUTED_VALUE"""),"Justice Drive")</f>
        <v>Justice Drive</v>
      </c>
      <c r="F193" s="2" t="str">
        <f ca="1">IFERROR(__xludf.DUMMYFUNCTION("""COMPUTED_VALUE"""),"School Girls Vs Elite Teacher Shinobu Jump")</f>
        <v>School Girls Vs Elite Teacher Shinobu Jump</v>
      </c>
      <c r="G193" s="2" t="str">
        <f ca="1">IFERROR(__xludf.DUMMYFUNCTION("""COMPUTED_VALUE"""),"Mind &amp; Control")</f>
        <v>Mind &amp; Control</v>
      </c>
      <c r="H193" s="2" t="str">
        <f ca="1">IFERROR(__xludf.DUMMYFUNCTION("""COMPUTED_VALUE"""),"To do the right thing you need to have power! Even if pure strength is out of your reach, you must use what you have to make a difference! You have much more control over your strength then most, be that the actual strength of your muscles, social clout o"&amp;"r something more esoteric, giving you leverage to use that strength to pull off feats that others would balk at attempting.")</f>
        <v>To do the right thing you need to have power! Even if pure strength is out of your reach, you must use what you have to make a difference! You have much more control over your strength then most, be that the actual strength of your muscles, social clout or something more esoteric, giving you leverage to use that strength to pull off feats that others would balk at attempting.</v>
      </c>
      <c r="I193" s="5"/>
    </row>
    <row r="194" spans="1:9" ht="104.4" x14ac:dyDescent="0.25">
      <c r="A194" s="16"/>
      <c r="B194" s="17">
        <v>190</v>
      </c>
      <c r="C194" s="2" t="b">
        <f ca="1">IFERROR(__xludf.DUMMYFUNCTION("""COMPUTED_VALUE"""),FALSE)</f>
        <v>0</v>
      </c>
      <c r="D194" s="2">
        <f ca="1">IFERROR(__xludf.DUMMYFUNCTION("""COMPUTED_VALUE"""),400)</f>
        <v>400</v>
      </c>
      <c r="E194" s="2" t="str">
        <f ca="1">IFERROR(__xludf.DUMMYFUNCTION("""COMPUTED_VALUE"""),"Let's Go Home Together")</f>
        <v>Let's Go Home Together</v>
      </c>
      <c r="F194" s="2" t="str">
        <f ca="1">IFERROR(__xludf.DUMMYFUNCTION("""COMPUTED_VALUE"""),"Prina the Dungeoneering Princess")</f>
        <v>Prina the Dungeoneering Princess</v>
      </c>
      <c r="G194" s="2" t="str">
        <f ca="1">IFERROR(__xludf.DUMMYFUNCTION("""COMPUTED_VALUE"""),"Mind &amp; Control")</f>
        <v>Mind &amp; Control</v>
      </c>
      <c r="H194" s="2" t="str">
        <f ca="1">IFERROR(__xludf.DUMMYFUNCTION("""COMPUTED_VALUE"""),"I touched on this earlier, but let’s go back over it. Prina and Yuina? Head over heels in love with each other. Which means that all the tricks, traps, and trials that they get put through generally fail to make them less interested in the other. Much lik"&amp;"e their ridiculous love for each other, you can be snapped out of states of extreme lust and back into your right mind by even a handful of words from your loved ones. Or anger, or other mental alterations, as the case may be. But love isn’t one sided, so"&amp;" you can return the favor and snap them out of it just as easily.")</f>
        <v>I touched on this earlier, but let’s go back over it. Prina and Yuina? Head over heels in love with each other. Which means that all the tricks, traps, and trials that they get put through generally fail to make them less interested in the other. Much like their ridiculous love for each other, you can be snapped out of states of extreme lust and back into your right mind by even a handful of words from your loved ones. Or anger, or other mental alterations, as the case may be. But love isn’t one sided, so you can return the favor and snap them out of it just as easily.</v>
      </c>
      <c r="I194" s="5"/>
    </row>
    <row r="195" spans="1:9" ht="104.4" x14ac:dyDescent="0.25">
      <c r="A195" s="16"/>
      <c r="B195" s="17">
        <v>191</v>
      </c>
      <c r="C195" s="2" t="b">
        <f ca="1">IFERROR(__xludf.DUMMYFUNCTION("""COMPUTED_VALUE"""),FALSE)</f>
        <v>0</v>
      </c>
      <c r="D195" s="2">
        <f ca="1">IFERROR(__xludf.DUMMYFUNCTION("""COMPUTED_VALUE"""),400)</f>
        <v>400</v>
      </c>
      <c r="E195" s="2" t="str">
        <f ca="1">IFERROR(__xludf.DUMMYFUNCTION("""COMPUTED_VALUE"""),"Matryoshka Slut")</f>
        <v>Matryoshka Slut</v>
      </c>
      <c r="F195" s="2" t="str">
        <f ca="1">IFERROR(__xludf.DUMMYFUNCTION("""COMPUTED_VALUE"""),"How they Fap in Parallel Worlds")</f>
        <v>How they Fap in Parallel Worlds</v>
      </c>
      <c r="G195" s="2" t="str">
        <f ca="1">IFERROR(__xludf.DUMMYFUNCTION("""COMPUTED_VALUE"""),"Mind &amp; Control")</f>
        <v>Mind &amp; Control</v>
      </c>
      <c r="H195" s="2" t="str">
        <f ca="1">IFERROR(__xludf.DUMMYFUNCTION("""COMPUTED_VALUE"""),"True sluttiness is more than skin deep. Whether in your mind, your body, or even your soul, your sexual talent is omnipresent. Any attempt to steal or influence any of the three will result in the closest equivalent to molestation from the full brunt of y"&amp;"our sexual skills. Those who invade your dreams will be at the mercy of transcendently lewd dreams, those who extract your soul will have their own assaulted by your spectral form, etc. You’re hardly invincible, but who’s ever really prepared to have an o"&amp;"rgasm with their soul?")</f>
        <v>True sluttiness is more than skin deep. Whether in your mind, your body, or even your soul, your sexual talent is omnipresent. Any attempt to steal or influence any of the three will result in the closest equivalent to molestation from the full brunt of your sexual skills. Those who invade your dreams will be at the mercy of transcendently lewd dreams, those who extract your soul will have their own assaulted by your spectral form, etc. You’re hardly invincible, but who’s ever really prepared to have an orgasm with their soul?</v>
      </c>
      <c r="I195" s="5"/>
    </row>
    <row r="196" spans="1:9" ht="278.39999999999998" x14ac:dyDescent="0.25">
      <c r="A196" s="16"/>
      <c r="B196" s="17">
        <v>192</v>
      </c>
      <c r="C196" s="2" t="b">
        <f ca="1">IFERROR(__xludf.DUMMYFUNCTION("""COMPUTED_VALUE"""),FALSE)</f>
        <v>0</v>
      </c>
      <c r="D196" s="2">
        <f ca="1">IFERROR(__xludf.DUMMYFUNCTION("""COMPUTED_VALUE"""),400)</f>
        <v>400</v>
      </c>
      <c r="E196" s="2" t="str">
        <f ca="1">IFERROR(__xludf.DUMMYFUNCTION("""COMPUTED_VALUE"""),"Mental Gravity")</f>
        <v>Mental Gravity</v>
      </c>
      <c r="F196" s="2" t="str">
        <f ca="1">IFERROR(__xludf.DUMMYFUNCTION("""COMPUTED_VALUE"""),"Mind Control University")</f>
        <v>Mind Control University</v>
      </c>
      <c r="G196" s="2" t="str">
        <f ca="1">IFERROR(__xludf.DUMMYFUNCTION("""COMPUTED_VALUE"""),"Mind &amp; Control")</f>
        <v>Mind &amp; Control</v>
      </c>
      <c r="H196" s="2" t="str">
        <f ca="1">IFERROR(__xludf.DUMMYFUNCTION("""COMPUTED_VALUE"""),"You possess a very subtle passive psionic aura that adjusts the emotions and, to a lesser extent, thoughts of people in your vicinity to your benefit. People find you incredibly charismatic. Negative emotions and opinions regarding you are dulled, and the"&amp;" positive of the same are brightened. Observations of vulnerabilities are slower to come and less likely to be trusted. Guards drop, ever so slightly.
When they think something positive about you, they help you, or you pay them a compliment, they feel a "&amp;"small burst of positive sensation — pleasure or joy or simple satisfaction, unnoticeable for how small it is but nevertheless there — and a similar burst of negative sensation whenever they think something negative about you, act against you, or feel they"&amp;"’ve disappointed you. Psychology and pavlovian reactions being what they are, this ensures that this Perk’s effects only build with time.
You can drastically increase the effects of this aura but at the cost of its subtlety. Still, might be useful if you"&amp;" ever need to give someone one final push. You can selectively exclude people from this aura, but by its very nature, it would only act and adjust things as you wish it.")</f>
        <v>You possess a very subtle passive psionic aura that adjusts the emotions and, to a lesser extent, thoughts of people in your vicinity to your benefit. People find you incredibly charismatic. Negative emotions and opinions regarding you are dulled, and the positive of the same are brightened. Observations of vulnerabilities are slower to come and less likely to be trusted. Guards drop, ever so slightly.
When they think something positive about you, they help you, or you pay them a compliment, they feel a small burst of positive sensation — pleasure or joy or simple satisfaction, unnoticeable for how small it is but nevertheless there — and a similar burst of negative sensation whenever they think something negative about you, act against you, or feel they’ve disappointed you. Psychology and pavlovian reactions being what they are, this ensures that this Perk’s effects only build with time.
You can drastically increase the effects of this aura but at the cost of its subtlety. Still, might be useful if you ever need to give someone one final push. You can selectively exclude people from this aura, but by its very nature, it would only act and adjust things as you wish it.</v>
      </c>
      <c r="I196" s="5"/>
    </row>
    <row r="197" spans="1:9" ht="121.8" x14ac:dyDescent="0.25">
      <c r="A197" s="16"/>
      <c r="B197" s="17">
        <v>193</v>
      </c>
      <c r="C197" s="2" t="b">
        <f ca="1">IFERROR(__xludf.DUMMYFUNCTION("""COMPUTED_VALUE"""),FALSE)</f>
        <v>0</v>
      </c>
      <c r="D197" s="2">
        <f ca="1">IFERROR(__xludf.DUMMYFUNCTION("""COMPUTED_VALUE"""),400)</f>
        <v>400</v>
      </c>
      <c r="E197" s="2" t="str">
        <f ca="1">IFERROR(__xludf.DUMMYFUNCTION("""COMPUTED_VALUE"""),"Miasmic Magic")</f>
        <v>Miasmic Magic</v>
      </c>
      <c r="F197" s="2" t="str">
        <f ca="1">IFERROR(__xludf.DUMMYFUNCTION("""COMPUTED_VALUE"""),"My Bride is the Demon Lord")</f>
        <v>My Bride is the Demon Lord</v>
      </c>
      <c r="G197" s="2" t="str">
        <f ca="1">IFERROR(__xludf.DUMMYFUNCTION("""COMPUTED_VALUE"""),"Mind &amp; Control")</f>
        <v>Mind &amp; Control</v>
      </c>
      <c r="H197" s="2" t="str">
        <f ca="1">IFERROR(__xludf.DUMMYFUNCTION("""COMPUTED_VALUE"""),"You can cast a spell that releases a special miasma, an invisible scent that lingers in the air and infects the minds of anyone who smells it. This haze fogs the mind, leaving those subject to it barely conscious and aware, and allowing you to easily comm"&amp;"and them into doing anything they would not be strenuously opposed to. Furthermore, you can place hypnotic commands that would come into play even after you abandon the miasma, although be warned that some people have a high enough willpower to resist thi"&amp;"s. This miasma costs almost no energy to release, so you can keep someone under its effects indefinitely.")</f>
        <v>You can cast a spell that releases a special miasma, an invisible scent that lingers in the air and infects the minds of anyone who smells it. This haze fogs the mind, leaving those subject to it barely conscious and aware, and allowing you to easily command them into doing anything they would not be strenuously opposed to. Furthermore, you can place hypnotic commands that would come into play even after you abandon the miasma, although be warned that some people have a high enough willpower to resist this. This miasma costs almost no energy to release, so you can keep someone under its effects indefinitely.</v>
      </c>
      <c r="I197" s="5"/>
    </row>
    <row r="198" spans="1:9" ht="191.4" x14ac:dyDescent="0.25">
      <c r="A198" s="16"/>
      <c r="B198" s="17">
        <v>194</v>
      </c>
      <c r="C198" s="2" t="b">
        <f ca="1">IFERROR(__xludf.DUMMYFUNCTION("""COMPUTED_VALUE"""),FALSE)</f>
        <v>0</v>
      </c>
      <c r="D198" s="2">
        <f ca="1">IFERROR(__xludf.DUMMYFUNCTION("""COMPUTED_VALUE"""),400)</f>
        <v>400</v>
      </c>
      <c r="E198" s="2" t="str">
        <f ca="1">IFERROR(__xludf.DUMMYFUNCTION("""COMPUTED_VALUE"""),"Nega Thot")</f>
        <v>Nega Thot</v>
      </c>
      <c r="F198" s="2" t="str">
        <f ca="1">IFERROR(__xludf.DUMMYFUNCTION("""COMPUTED_VALUE"""),"Fate/Grand Master")</f>
        <v>Fate/Grand Master</v>
      </c>
      <c r="G198" s="2" t="str">
        <f ca="1">IFERROR(__xludf.DUMMYFUNCTION("""COMPUTED_VALUE"""),"Mind &amp; Control")</f>
        <v>Mind &amp; Control</v>
      </c>
      <c r="H198" s="2" t="str">
        <f ca="1">IFERROR(__xludf.DUMMYFUNCTION("""COMPUTED_VALUE"""),"With such a vulgar nature as yours your enemies could be forgiven for assuming that you’d be simple to corrupt, a mere beast easily led astray by your base urges. But while they have you pegged as a pervert, when the chips are down your willpower is shock"&amp;"ingly sturdy. Those who wield charm spells or seduction as their weapons of choice find that those charms are worse than useless against you. Not only will they fail to make the slightest dent in your willpower whether they use mundane charms or magical s"&amp;"pells, but whenever you resist or ignore their charms they will become beguiled with you instead, as if you’d turned their own magic against them, mingled with your own charm. The same is true for those who are blessed with superhuman charisma, like the m"&amp;"any great kings you’re sure to encounter. Those who depend most on their supernatural charms will be the first to find themselves bound and helpless in a web of their own making, turning even a goddess of lust and beauty into your plaything in no time.")</f>
        <v>With such a vulgar nature as yours your enemies could be forgiven for assuming that you’d be simple to corrupt, a mere beast easily led astray by your base urges. But while they have you pegged as a pervert, when the chips are down your willpower is shockingly sturdy. Those who wield charm spells or seduction as their weapons of choice find that those charms are worse than useless against you. Not only will they fail to make the slightest dent in your willpower whether they use mundane charms or magical spells, but whenever you resist or ignore their charms they will become beguiled with you instead, as if you’d turned their own magic against them, mingled with your own charm. The same is true for those who are blessed with superhuman charisma, like the many great kings you’re sure to encounter. Those who depend most on their supernatural charms will be the first to find themselves bound and helpless in a web of their own making, turning even a goddess of lust and beauty into your plaything in no time.</v>
      </c>
      <c r="I198" s="5"/>
    </row>
    <row r="199" spans="1:9" ht="87" x14ac:dyDescent="0.25">
      <c r="A199" s="16"/>
      <c r="B199" s="17">
        <v>195</v>
      </c>
      <c r="C199" s="2" t="b">
        <f ca="1">IFERROR(__xludf.DUMMYFUNCTION("""COMPUTED_VALUE"""),FALSE)</f>
        <v>0</v>
      </c>
      <c r="D199" s="2">
        <f ca="1">IFERROR(__xludf.DUMMYFUNCTION("""COMPUTED_VALUE"""),400)</f>
        <v>400</v>
      </c>
      <c r="E199" s="2" t="str">
        <f ca="1">IFERROR(__xludf.DUMMYFUNCTION("""COMPUTED_VALUE"""),"Ninja Art: Memory Erasure")</f>
        <v>Ninja Art: Memory Erasure</v>
      </c>
      <c r="F199" s="2" t="str">
        <f ca="1">IFERROR(__xludf.DUMMYFUNCTION("""COMPUTED_VALUE"""),"Bokunchi No Mikage-san")</f>
        <v>Bokunchi No Mikage-san</v>
      </c>
      <c r="G199" s="2" t="str">
        <f ca="1">IFERROR(__xludf.DUMMYFUNCTION("""COMPUTED_VALUE"""),"Mind &amp; Control")</f>
        <v>Mind &amp; Control</v>
      </c>
      <c r="H199" s="2" t="str">
        <f ca="1">IFERROR(__xludf.DUMMYFUNCTION("""COMPUTED_VALUE"""),"By using your ki to enter someone’s mind, you will be able to selectively erase their memories. This doesn’t let you see into their mind or memory; instead, you must know what the memory you want them to forget is, and then the technique will automaticall"&amp;"y censor their mind of the relevant information. Indeed, this technique is performed so finely that they will never even notice that their memory has been tampered with.")</f>
        <v>By using your ki to enter someone’s mind, you will be able to selectively erase their memories. This doesn’t let you see into their mind or memory; instead, you must know what the memory you want them to forget is, and then the technique will automatically censor their mind of the relevant information. Indeed, this technique is performed so finely that they will never even notice that their memory has been tampered with.</v>
      </c>
      <c r="I199" s="5"/>
    </row>
    <row r="200" spans="1:9" ht="121.8" x14ac:dyDescent="0.25">
      <c r="A200" s="16"/>
      <c r="B200" s="17">
        <v>196</v>
      </c>
      <c r="C200" s="2" t="b">
        <f ca="1">IFERROR(__xludf.DUMMYFUNCTION("""COMPUTED_VALUE"""),FALSE)</f>
        <v>0</v>
      </c>
      <c r="D200" s="2">
        <f ca="1">IFERROR(__xludf.DUMMYFUNCTION("""COMPUTED_VALUE"""),400)</f>
        <v>400</v>
      </c>
      <c r="E200" s="2" t="str">
        <f ca="1">IFERROR(__xludf.DUMMYFUNCTION("""COMPUTED_VALUE"""),"No Reprecussions")</f>
        <v>No Reprecussions</v>
      </c>
      <c r="F200" s="2" t="str">
        <f ca="1">IFERROR(__xludf.DUMMYFUNCTION("""COMPUTED_VALUE"""),"Burakku Gakkou Ni Tsutomete Shimatta Sensei")</f>
        <v>Burakku Gakkou Ni Tsutomete Shimatta Sensei</v>
      </c>
      <c r="G200" s="2" t="str">
        <f ca="1">IFERROR(__xludf.DUMMYFUNCTION("""COMPUTED_VALUE"""),"Mind &amp; Control")</f>
        <v>Mind &amp; Control</v>
      </c>
      <c r="H200" s="2" t="str">
        <f ca="1">IFERROR(__xludf.DUMMYFUNCTION("""COMPUTED_VALUE"""),"Teasing your new teach is so funny, ‘specially when he freaks out over you just showing your tits. It’s a good thing you go to Kurosagi, ‘cause that could have gotten you kicked out of most of the schools in the country. But for you, there just don’t seem"&amp;" to be social or legal consequences to inappropriate lewd actions you take, or sexual harassment that you engage in. Telling someone you want to fuck them within seconds of meeting them won’t permanently ruin their perception of you, stripping in class wo"&amp;"n’t get you in trouble, and walking outside with a bandaid in place of underwear won’t end with you getting the cops called on you, even if someone sees it.")</f>
        <v>Teasing your new teach is so funny, ‘specially when he freaks out over you just showing your tits. It’s a good thing you go to Kurosagi, ‘cause that could have gotten you kicked out of most of the schools in the country. But for you, there just don’t seem to be social or legal consequences to inappropriate lewd actions you take, or sexual harassment that you engage in. Telling someone you want to fuck them within seconds of meeting them won’t permanently ruin their perception of you, stripping in class won’t get you in trouble, and walking outside with a bandaid in place of underwear won’t end with you getting the cops called on you, even if someone sees it.</v>
      </c>
      <c r="I200" s="5"/>
    </row>
    <row r="201" spans="1:9" ht="104.4" x14ac:dyDescent="0.25">
      <c r="A201" s="16"/>
      <c r="B201" s="17">
        <v>197</v>
      </c>
      <c r="C201" s="2" t="b">
        <f ca="1">IFERROR(__xludf.DUMMYFUNCTION("""COMPUTED_VALUE"""),FALSE)</f>
        <v>0</v>
      </c>
      <c r="D201" s="2">
        <f ca="1">IFERROR(__xludf.DUMMYFUNCTION("""COMPUTED_VALUE"""),400)</f>
        <v>400</v>
      </c>
      <c r="E201" s="2" t="str">
        <f ca="1">IFERROR(__xludf.DUMMYFUNCTION("""COMPUTED_VALUE"""),"Number Ninety Seven")</f>
        <v>Number Ninety Seven</v>
      </c>
      <c r="F201" s="2" t="str">
        <f ca="1">IFERROR(__xludf.DUMMYFUNCTION("""COMPUTED_VALUE"""),"Pokemon Harem Master")</f>
        <v>Pokemon Harem Master</v>
      </c>
      <c r="G201" s="2" t="str">
        <f ca="1">IFERROR(__xludf.DUMMYFUNCTION("""COMPUTED_VALUE"""),"Mind &amp; Control")</f>
        <v>Mind &amp; Control</v>
      </c>
      <c r="H201" s="2" t="str">
        <f ca="1">IFERROR(__xludf.DUMMYFUNCTION("""COMPUTED_VALUE"""),"I would call this the big guns, but honestly it doesn’t even qualify. This pokeball contains a Hypno. I’m not entirely sure how you got your hands on it, but it seems to like you well enough. Anyways, while the H Ball is good for surface level changes, ma"&amp;"king someone who dislikes you into someone who loves you, Hypno is far weaker... And far more precise. Trying to mess around with someone's head with Hypno’s help won’t get you very far, but if you already had an in? You might just be able to rewrite them"&amp;" from the ground up.")</f>
        <v>I would call this the big guns, but honestly it doesn’t even qualify. This pokeball contains a Hypno. I’m not entirely sure how you got your hands on it, but it seems to like you well enough. Anyways, while the H Ball is good for surface level changes, making someone who dislikes you into someone who loves you, Hypno is far weaker... And far more precise. Trying to mess around with someone's head with Hypno’s help won’t get you very far, but if you already had an in? You might just be able to rewrite them from the ground up.</v>
      </c>
      <c r="I201" s="5"/>
    </row>
    <row r="202" spans="1:9" ht="104.4" x14ac:dyDescent="0.25">
      <c r="A202" s="16"/>
      <c r="B202" s="17">
        <v>198</v>
      </c>
      <c r="C202" s="2" t="b">
        <f ca="1">IFERROR(__xludf.DUMMYFUNCTION("""COMPUTED_VALUE"""),FALSE)</f>
        <v>0</v>
      </c>
      <c r="D202" s="2">
        <f ca="1">IFERROR(__xludf.DUMMYFUNCTION("""COMPUTED_VALUE"""),400)</f>
        <v>400</v>
      </c>
      <c r="E202" s="2" t="str">
        <f ca="1">IFERROR(__xludf.DUMMYFUNCTION("""COMPUTED_VALUE"""),"Party Animal")</f>
        <v>Party Animal</v>
      </c>
      <c r="F202" s="2" t="str">
        <f ca="1">IFERROR(__xludf.DUMMYFUNCTION("""COMPUTED_VALUE"""),"LeWdBY")</f>
        <v>LeWdBY</v>
      </c>
      <c r="G202" s="2" t="str">
        <f ca="1">IFERROR(__xludf.DUMMYFUNCTION("""COMPUTED_VALUE"""),"Mind &amp; Control")</f>
        <v>Mind &amp; Control</v>
      </c>
      <c r="H202" s="2" t="str">
        <f ca="1">IFERROR(__xludf.DUMMYFUNCTION("""COMPUTED_VALUE"""),"You always know where all the best hang out spots are, where the hottest parties are happening, and where people go for a casual hookup. You have a sixth sense for this kind of stuff and nobody ever minds you crashing a party or showing up as a complete s"&amp;"tranger at a gloryhole. And if nothing good is going on? You’ve got the skills to throw the most epic of parties. When you do organize an event like a party, an orgy, or set up a glory hole, rumors always spread to the coolest and most attractive people a"&amp;"round who would be interested, ensuring that you have enough guests.")</f>
        <v>You always know where all the best hang out spots are, where the hottest parties are happening, and where people go for a casual hookup. You have a sixth sense for this kind of stuff and nobody ever minds you crashing a party or showing up as a complete stranger at a gloryhole. And if nothing good is going on? You’ve got the skills to throw the most epic of parties. When you do organize an event like a party, an orgy, or set up a glory hole, rumors always spread to the coolest and most attractive people around who would be interested, ensuring that you have enough guests.</v>
      </c>
      <c r="I202" s="5"/>
    </row>
    <row r="203" spans="1:9" ht="191.4" x14ac:dyDescent="0.25">
      <c r="A203" s="16"/>
      <c r="B203" s="17">
        <v>199</v>
      </c>
      <c r="C203" s="2" t="b">
        <f ca="1">IFERROR(__xludf.DUMMYFUNCTION("""COMPUTED_VALUE"""),FALSE)</f>
        <v>0</v>
      </c>
      <c r="D203" s="2">
        <f ca="1">IFERROR(__xludf.DUMMYFUNCTION("""COMPUTED_VALUE"""),400)</f>
        <v>400</v>
      </c>
      <c r="E203" s="2" t="str">
        <f ca="1">IFERROR(__xludf.DUMMYFUNCTION("""COMPUTED_VALUE"""),"Pathetic")</f>
        <v>Pathetic</v>
      </c>
      <c r="F203" s="2" t="str">
        <f ca="1">IFERROR(__xludf.DUMMYFUNCTION("""COMPUTED_VALUE"""),"Overwhored")</f>
        <v>Overwhored</v>
      </c>
      <c r="G203" s="2" t="str">
        <f ca="1">IFERROR(__xludf.DUMMYFUNCTION("""COMPUTED_VALUE"""),"Mind &amp; Control")</f>
        <v>Mind &amp; Control</v>
      </c>
      <c r="H203" s="2" t="str">
        <f ca="1">IFERROR(__xludf.DUMMYFUNCTION("""COMPUTED_VALUE"""),"Even weakened from being fresh off his resurrection, the Overmind’s hypnotic powers are beyond comparison. Attempting to use mind control against him is a fool’s errand, one that will more than likely backfire on whoever tries it.
You can smash through a"&amp;"ttempts to control your mind with ease, simply by blasting the source of it with your own power. All other forms of mind control are lesser than your own after all. Sadly you can’t undo the brainwashing of others with quite such ease, but you can interfer"&amp;"e with mind control, corruption, or transformations as they are being applied, altering their effects into something more enjoyable. An intelligence-draining potion could be used to turn a mage into a horny bimbo when mixed with your magic, and a transfor"&amp;"mation into a golem could instead make them into a living sexbot programmed to serve you.")</f>
        <v>Even weakened from being fresh off his resurrection, the Overmind’s hypnotic powers are beyond comparison. Attempting to use mind control against him is a fool’s errand, one that will more than likely backfire on whoever tries it.
You can smash through attempts to control your mind with ease, simply by blasting the source of it with your own power. All other forms of mind control are lesser than your own after all. Sadly you can’t undo the brainwashing of others with quite such ease, but you can interfere with mind control, corruption, or transformations as they are being applied, altering their effects into something more enjoyable. An intelligence-draining potion could be used to turn a mage into a horny bimbo when mixed with your magic, and a transformation into a golem could instead make them into a living sexbot programmed to serve you.</v>
      </c>
      <c r="I203" s="5"/>
    </row>
    <row r="204" spans="1:9" ht="139.19999999999999" x14ac:dyDescent="0.25">
      <c r="A204" s="16"/>
      <c r="B204" s="17">
        <v>200</v>
      </c>
      <c r="C204" s="2" t="b">
        <f ca="1">IFERROR(__xludf.DUMMYFUNCTION("""COMPUTED_VALUE"""),FALSE)</f>
        <v>0</v>
      </c>
      <c r="D204" s="2">
        <f ca="1">IFERROR(__xludf.DUMMYFUNCTION("""COMPUTED_VALUE"""),400)</f>
        <v>400</v>
      </c>
      <c r="E204" s="2" t="str">
        <f ca="1">IFERROR(__xludf.DUMMYFUNCTION("""COMPUTED_VALUE"""),"Pet Project")</f>
        <v>Pet Project</v>
      </c>
      <c r="F204" s="2" t="str">
        <f ca="1">IFERROR(__xludf.DUMMYFUNCTION("""COMPUTED_VALUE"""),"Archangel of Love, Love Mary ~Malignant Conception~")</f>
        <v>Archangel of Love, Love Mary ~Malignant Conception~</v>
      </c>
      <c r="G204" s="2" t="str">
        <f ca="1">IFERROR(__xludf.DUMMYFUNCTION("""COMPUTED_VALUE"""),"Mind &amp; Control")</f>
        <v>Mind &amp; Control</v>
      </c>
      <c r="H204" s="2" t="str">
        <f ca="1">IFERROR(__xludf.DUMMYFUNCTION("""COMPUTED_VALUE"""),"For one reason or another your enemies just… don’t particularly want to kill you. Maybe they want to corrupt you into their subordinate. Maybe they want to take advantage of your presence. Maybe it’s all part of their scheme. But whatever the reason, thos"&amp;"e who oppose you don’t really want to see you dead. Oh, if you get in the way enough and pose enough problems, they’ll do their best to kill you anyways… but as long as they see a chance to sway you to their side, or get some sort of benefit out of keepin"&amp;"g you alive, they’re unlikely to try to kill you. This all but ensures that being captured by your enemies will never be your death, as your inability to fight back means that they never have a good reason to kill you.")</f>
        <v>For one reason or another your enemies just… don’t particularly want to kill you. Maybe they want to corrupt you into their subordinate. Maybe they want to take advantage of your presence. Maybe it’s all part of their scheme. But whatever the reason, those who oppose you don’t really want to see you dead. Oh, if you get in the way enough and pose enough problems, they’ll do their best to kill you anyways… but as long as they see a chance to sway you to their side, or get some sort of benefit out of keeping you alive, they’re unlikely to try to kill you. This all but ensures that being captured by your enemies will never be your death, as your inability to fight back means that they never have a good reason to kill you.</v>
      </c>
      <c r="I204" s="5"/>
    </row>
    <row r="205" spans="1:9" ht="87" x14ac:dyDescent="0.25">
      <c r="A205" s="16"/>
      <c r="B205" s="17">
        <v>201</v>
      </c>
      <c r="C205" s="2" t="b">
        <f ca="1">IFERROR(__xludf.DUMMYFUNCTION("""COMPUTED_VALUE"""),FALSE)</f>
        <v>0</v>
      </c>
      <c r="D205" s="2">
        <f ca="1">IFERROR(__xludf.DUMMYFUNCTION("""COMPUTED_VALUE"""),400)</f>
        <v>400</v>
      </c>
      <c r="E205" s="2" t="str">
        <f ca="1">IFERROR(__xludf.DUMMYFUNCTION("""COMPUTED_VALUE"""),"Respect My Age!")</f>
        <v>Respect My Age!</v>
      </c>
      <c r="F205" s="2" t="str">
        <f ca="1">IFERROR(__xludf.DUMMYFUNCTION("""COMPUTED_VALUE"""),"Ane Naru Mono")</f>
        <v>Ane Naru Mono</v>
      </c>
      <c r="G205" s="2" t="str">
        <f ca="1">IFERROR(__xludf.DUMMYFUNCTION("""COMPUTED_VALUE"""),"Mind &amp; Control")</f>
        <v>Mind &amp; Control</v>
      </c>
      <c r="H205" s="2" t="str">
        <f ca="1">IFERROR(__xludf.DUMMYFUNCTION("""COMPUTED_VALUE"""),"I told you the world was rooted in lust, did I not? It should come as no surprise that once Chiyo was given permission to extract her payment, she did so often. Several times a day. And in many positions, sometimes while cosplaying. Anyways, you now have "&amp;"the ability to simply shut down any sexual situation. All you have to do is point out how wrong it is. Maybe ‘we might get caught’ in order to rein in her exhibitionist tendencies? If she has those.")</f>
        <v>I told you the world was rooted in lust, did I not? It should come as no surprise that once Chiyo was given permission to extract her payment, she did so often. Several times a day. And in many positions, sometimes while cosplaying. Anyways, you now have the ability to simply shut down any sexual situation. All you have to do is point out how wrong it is. Maybe ‘we might get caught’ in order to rein in her exhibitionist tendencies? If she has those.</v>
      </c>
      <c r="I205" s="5"/>
    </row>
    <row r="206" spans="1:9" ht="156.6" x14ac:dyDescent="0.25">
      <c r="A206" s="16"/>
      <c r="B206" s="17">
        <v>202</v>
      </c>
      <c r="C206" s="2" t="b">
        <f ca="1">IFERROR(__xludf.DUMMYFUNCTION("""COMPUTED_VALUE"""),FALSE)</f>
        <v>0</v>
      </c>
      <c r="D206" s="2">
        <f ca="1">IFERROR(__xludf.DUMMYFUNCTION("""COMPUTED_VALUE"""),400)</f>
        <v>400</v>
      </c>
      <c r="E206" s="2" t="str">
        <f ca="1">IFERROR(__xludf.DUMMYFUNCTION("""COMPUTED_VALUE"""),"Romancing the Womb")</f>
        <v>Romancing the Womb</v>
      </c>
      <c r="F206" s="2" t="str">
        <f ca="1">IFERROR(__xludf.DUMMYFUNCTION("""COMPUTED_VALUE"""),"Lewd Virus")</f>
        <v>Lewd Virus</v>
      </c>
      <c r="G206" s="2" t="str">
        <f ca="1">IFERROR(__xludf.DUMMYFUNCTION("""COMPUTED_VALUE"""),"Mind &amp; Control")</f>
        <v>Mind &amp; Control</v>
      </c>
      <c r="H206" s="2" t="str">
        <f ca="1">IFERROR(__xludf.DUMMYFUNCTION("""COMPUTED_VALUE"""),"A number of the infected retain enough rationality to protest against treatment, but some objections are quickly overwhelmed by an onslaught of spine-tingling carnality and sexual pleasure that turns opposition into wholehearted and eager acceptance. When"&amp;" you have sex with someone, pleasure = attraction. The more you can please them, the more they will desire you and the more romantically interested in you they will be, until whatever objections they may have had disappear like dust in the wind. Give them"&amp;" enough pleasure, and you’ll even be able to change their minds on other matters, too, such as convincing them you were right in an argument you had, convincing a teacher to give you a better grade, or convincing someone to accept a creampie when they oth"&amp;"erwise don’t want to risk having children.")</f>
        <v>A number of the infected retain enough rationality to protest against treatment, but some objections are quickly overwhelmed by an onslaught of spine-tingling carnality and sexual pleasure that turns opposition into wholehearted and eager acceptance. When you have sex with someone, pleasure = attraction. The more you can please them, the more they will desire you and the more romantically interested in you they will be, until whatever objections they may have had disappear like dust in the wind. Give them enough pleasure, and you’ll even be able to change their minds on other matters, too, such as convincing them you were right in an argument you had, convincing a teacher to give you a better grade, or convincing someone to accept a creampie when they otherwise don’t want to risk having children.</v>
      </c>
      <c r="I206" s="5"/>
    </row>
    <row r="207" spans="1:9" ht="208.8" x14ac:dyDescent="0.25">
      <c r="A207" s="16"/>
      <c r="B207" s="17">
        <v>203</v>
      </c>
      <c r="C207" s="2" t="b">
        <f ca="1">IFERROR(__xludf.DUMMYFUNCTION("""COMPUTED_VALUE"""),FALSE)</f>
        <v>0</v>
      </c>
      <c r="D207" s="2">
        <f ca="1">IFERROR(__xludf.DUMMYFUNCTION("""COMPUTED_VALUE"""),400)</f>
        <v>400</v>
      </c>
      <c r="E207" s="2" t="str">
        <f ca="1">IFERROR(__xludf.DUMMYFUNCTION("""COMPUTED_VALUE"""),"Scroll of Enslavement")</f>
        <v>Scroll of Enslavement</v>
      </c>
      <c r="F207" s="2" t="str">
        <f ca="1">IFERROR(__xludf.DUMMYFUNCTION("""COMPUTED_VALUE"""),"Radaslab's The Harem War")</f>
        <v>Radaslab's The Harem War</v>
      </c>
      <c r="G207" s="2" t="str">
        <f ca="1">IFERROR(__xludf.DUMMYFUNCTION("""COMPUTED_VALUE"""),"Mind &amp; Control")</f>
        <v>Mind &amp; Control</v>
      </c>
      <c r="H207" s="2" t="str">
        <f ca="1">IFERROR(__xludf.DUMMYFUNCTION("""COMPUTED_VALUE"""),"Rumoured to have been lost to history, this scroll contains details on how the magic that was used to create concubine bonds works. Who knows, maybe you could use this scroll to figure out how to keep such bonds from forming without consent or to break ex"&amp;"isting ones without the concubine losing her magic.
By default, a concubine bond has the following properties: the concubine cannot lie or disguise their appearance to their owner; the concubine is compelled to keep their owner's secrets, even from mind-"&amp;"reading and truth serums; the concubine is compelled to follow their owner's orders; the concubine is capable of teleporting to their owner's side through warding when called; the bond can only be cast on a witch capable of having a child; on the creation"&amp;" of the bond a collar appears around the neck of the concubine, as a physical representation of the bond; breaking the bond causes the concubine to lose their magic.")</f>
        <v>Rumoured to have been lost to history, this scroll contains details on how the magic that was used to create concubine bonds works. Who knows, maybe you could use this scroll to figure out how to keep such bonds from forming without consent or to break existing ones without the concubine losing her magic.
By default, a concubine bond has the following properties: the concubine cannot lie or disguise their appearance to their owner; the concubine is compelled to keep their owner's secrets, even from mind-reading and truth serums; the concubine is compelled to follow their owner's orders; the concubine is capable of teleporting to their owner's side through warding when called; the bond can only be cast on a witch capable of having a child; on the creation of the bond a collar appears around the neck of the concubine, as a physical representation of the bond; breaking the bond causes the concubine to lose their magic.</v>
      </c>
      <c r="I207" s="5"/>
    </row>
    <row r="208" spans="1:9" ht="69.599999999999994" x14ac:dyDescent="0.25">
      <c r="A208" s="16"/>
      <c r="B208" s="17">
        <v>204</v>
      </c>
      <c r="C208" s="2" t="b">
        <f ca="1">IFERROR(__xludf.DUMMYFUNCTION("""COMPUTED_VALUE"""),FALSE)</f>
        <v>0</v>
      </c>
      <c r="D208" s="2">
        <f ca="1">IFERROR(__xludf.DUMMYFUNCTION("""COMPUTED_VALUE"""),400)</f>
        <v>400</v>
      </c>
      <c r="E208" s="2" t="str">
        <f ca="1">IFERROR(__xludf.DUMMYFUNCTION("""COMPUTED_VALUE"""),"Sexy Plot Armour")</f>
        <v>Sexy Plot Armour</v>
      </c>
      <c r="F208" s="2" t="str">
        <f ca="1">IFERROR(__xludf.DUMMYFUNCTION("""COMPUTED_VALUE"""),"Legend Of Krystal")</f>
        <v>Legend Of Krystal</v>
      </c>
      <c r="G208" s="2" t="str">
        <f ca="1">IFERROR(__xludf.DUMMYFUNCTION("""COMPUTED_VALUE"""),"Mind &amp; Control")</f>
        <v>Mind &amp; Control</v>
      </c>
      <c r="H208" s="2" t="str">
        <f ca="1">IFERROR(__xludf.DUMMYFUNCTION("""COMPUTED_VALUE"""),"With all of this sex going on, it’s a wonder why people don’t seem to treat you any worse. Well, that’s because anything pertaining to sex has no social consequences for you. Walk around in the nude, fuck in public, suck every cock in the Sharpclaw villag"&amp;"e, or even bang an entire space station, your reputation won’t take a hit and there will be no permanent consequences for fucking around.")</f>
        <v>With all of this sex going on, it’s a wonder why people don’t seem to treat you any worse. Well, that’s because anything pertaining to sex has no social consequences for you. Walk around in the nude, fuck in public, suck every cock in the Sharpclaw village, or even bang an entire space station, your reputation won’t take a hit and there will be no permanent consequences for fucking around.</v>
      </c>
      <c r="I208" s="5"/>
    </row>
    <row r="209" spans="1:9" ht="104.4" x14ac:dyDescent="0.25">
      <c r="A209" s="16"/>
      <c r="B209" s="17">
        <v>205</v>
      </c>
      <c r="C209" s="2" t="b">
        <f ca="1">IFERROR(__xludf.DUMMYFUNCTION("""COMPUTED_VALUE"""),FALSE)</f>
        <v>0</v>
      </c>
      <c r="D209" s="2">
        <f ca="1">IFERROR(__xludf.DUMMYFUNCTION("""COMPUTED_VALUE"""),400)</f>
        <v>400</v>
      </c>
      <c r="E209" s="2" t="str">
        <f ca="1">IFERROR(__xludf.DUMMYFUNCTION("""COMPUTED_VALUE"""),"The Doctor is in (Your Head)")</f>
        <v>The Doctor is in (Your Head)</v>
      </c>
      <c r="F209" s="2" t="str">
        <f ca="1">IFERROR(__xludf.DUMMYFUNCTION("""COMPUTED_VALUE"""),"Bio-Weapon Quest")</f>
        <v>Bio-Weapon Quest</v>
      </c>
      <c r="G209" s="2" t="str">
        <f ca="1">IFERROR(__xludf.DUMMYFUNCTION("""COMPUTED_VALUE"""),"Mind &amp; Control")</f>
        <v>Mind &amp; Control</v>
      </c>
      <c r="H209" s="2" t="str">
        <f ca="1">IFERROR(__xludf.DUMMYFUNCTION("""COMPUTED_VALUE"""),"Of course, any evil organisation has to be able to control their minions, monsters, and prisoners, so you have learned the powerful tools of domination. Through scientific and hypnotic means, you can implement mind control, psychological programming, and "&amp;"sensory hijacking on helpless beings, turning even do-gooder Heart Warriors into obedient slaves, re-programming personalities into ones more useful to your goals, and even installing defensive measures to reset a damaged mind like a computer.")</f>
        <v>Of course, any evil organisation has to be able to control their minions, monsters, and prisoners, so you have learned the powerful tools of domination. Through scientific and hypnotic means, you can implement mind control, psychological programming, and sensory hijacking on helpless beings, turning even do-gooder Heart Warriors into obedient slaves, re-programming personalities into ones more useful to your goals, and even installing defensive measures to reset a damaged mind like a computer.</v>
      </c>
      <c r="I209" s="5"/>
    </row>
    <row r="210" spans="1:9" ht="156.6" x14ac:dyDescent="0.25">
      <c r="A210" s="16"/>
      <c r="B210" s="17">
        <v>206</v>
      </c>
      <c r="C210" s="2" t="b">
        <f ca="1">IFERROR(__xludf.DUMMYFUNCTION("""COMPUTED_VALUE"""),FALSE)</f>
        <v>0</v>
      </c>
      <c r="D210" s="2">
        <f ca="1">IFERROR(__xludf.DUMMYFUNCTION("""COMPUTED_VALUE"""),400)</f>
        <v>400</v>
      </c>
      <c r="E210" s="2" t="str">
        <f ca="1">IFERROR(__xludf.DUMMYFUNCTION("""COMPUTED_VALUE"""),"Transformation Friendly")</f>
        <v>Transformation Friendly</v>
      </c>
      <c r="F210" s="2" t="str">
        <f ca="1">IFERROR(__xludf.DUMMYFUNCTION("""COMPUTED_VALUE"""),"Elzikyuchi’s Dickgirls 2")</f>
        <v>Elzikyuchi’s Dickgirls 2</v>
      </c>
      <c r="G210" s="2" t="str">
        <f ca="1">IFERROR(__xludf.DUMMYFUNCTION("""COMPUTED_VALUE"""),"Mind &amp; Control")</f>
        <v>Mind &amp; Control</v>
      </c>
      <c r="H210" s="2" t="str">
        <f ca="1">IFERROR(__xludf.DUMMYFUNCTION("""COMPUTED_VALUE"""),"The problem with being a woman in this world is that, well, you're probably going to grow a dick at some point and get brainwashed into being a rapist with no higher aspirations, even if it's something you did to yourself for the sake of gender equality o"&amp;"r letting you continue someone's bloodline despite their physical infirmity. For some reason, you react very well to such changes. That new dick of yours might raise your sex drive but it won't actually override your personality, the cursed artifact you f"&amp;"ound will become inert after giving you a dick and creepy sexy eyes, the tentacle monster who tried to use you as a skinsuit will merge and fall under your control instead, and so on. All these templates might get unwieldy over time, but they'll never ove"&amp;"rwhelm you and leave you indisposed or otherwise fuck up your life.")</f>
        <v>The problem with being a woman in this world is that, well, you're probably going to grow a dick at some point and get brainwashed into being a rapist with no higher aspirations, even if it's something you did to yourself for the sake of gender equality or letting you continue someone's bloodline despite their physical infirmity. For some reason, you react very well to such changes. That new dick of yours might raise your sex drive but it won't actually override your personality, the cursed artifact you found will become inert after giving you a dick and creepy sexy eyes, the tentacle monster who tried to use you as a skinsuit will merge and fall under your control instead, and so on. All these templates might get unwieldy over time, but they'll never overwhelm you and leave you indisposed or otherwise fuck up your life.</v>
      </c>
      <c r="I210" s="5"/>
    </row>
    <row r="211" spans="1:9" ht="191.4" x14ac:dyDescent="0.25">
      <c r="A211" s="16"/>
      <c r="B211" s="17">
        <v>207</v>
      </c>
      <c r="C211" s="2" t="b">
        <f ca="1">IFERROR(__xludf.DUMMYFUNCTION("""COMPUTED_VALUE"""),FALSE)</f>
        <v>0</v>
      </c>
      <c r="D211" s="2">
        <f ca="1">IFERROR(__xludf.DUMMYFUNCTION("""COMPUTED_VALUE"""),400)</f>
        <v>400</v>
      </c>
      <c r="E211" s="2" t="str">
        <f ca="1">IFERROR(__xludf.DUMMYFUNCTION("""COMPUTED_VALUE"""),"Treatment, Not Netori")</f>
        <v>Treatment, Not Netori</v>
      </c>
      <c r="F211" s="2" t="str">
        <f ca="1">IFERROR(__xludf.DUMMYFUNCTION("""COMPUTED_VALUE"""),"Lewd Virus")</f>
        <v>Lewd Virus</v>
      </c>
      <c r="G211" s="2" t="str">
        <f ca="1">IFERROR(__xludf.DUMMYFUNCTION("""COMPUTED_VALUE"""),"Mind &amp; Control")</f>
        <v>Mind &amp; Control</v>
      </c>
      <c r="H211" s="2" t="str">
        <f ca="1">IFERROR(__xludf.DUMMYFUNCTION("""COMPUTED_VALUE"""),"It’s unpleasant to think about, but being in a relationship is no barrier against catching the disease, and male infectees are rare enough that it’s unlikely that a given infected woman’s partner will be able to cure her. Unless they’re willing to die, th"&amp;"at means she needs to get fucked by another man. This perk ensures that if you’re involved in someone else’s infidelity— willing or otherwise—your actions by themselves won’t ruin their relationship. If you were to impregnate a man’s girlfriend, he might "&amp;"be upset, but wouldn’t hold either you or her responsible, would willingly and lovingly raise the resulting child (assuming they’re the sort of person to raise a child lovingly in the first place), and would remain just as loving and close to his partner "&amp;"as he was before. He might even stick around and watch you fuck her so she doesn’t “have to go through it alone”. 
This of course does nothing to keep the relationship whole if she decides to abandon him for you.")</f>
        <v>It’s unpleasant to think about, but being in a relationship is no barrier against catching the disease, and male infectees are rare enough that it’s unlikely that a given infected woman’s partner will be able to cure her. Unless they’re willing to die, that means she needs to get fucked by another man. This perk ensures that if you’re involved in someone else’s infidelity— willing or otherwise—your actions by themselves won’t ruin their relationship. If you were to impregnate a man’s girlfriend, he might be upset, but wouldn’t hold either you or her responsible, would willingly and lovingly raise the resulting child (assuming they’re the sort of person to raise a child lovingly in the first place), and would remain just as loving and close to his partner as he was before. He might even stick around and watch you fuck her so she doesn’t “have to go through it alone”. 
This of course does nothing to keep the relationship whole if she decides to abandon him for you.</v>
      </c>
      <c r="I211" s="5"/>
    </row>
    <row r="212" spans="1:9" ht="87" x14ac:dyDescent="0.25">
      <c r="A212" s="16"/>
      <c r="B212" s="17">
        <v>208</v>
      </c>
      <c r="C212" s="2" t="b">
        <f ca="1">IFERROR(__xludf.DUMMYFUNCTION("""COMPUTED_VALUE"""),FALSE)</f>
        <v>0</v>
      </c>
      <c r="D212" s="2">
        <f ca="1">IFERROR(__xludf.DUMMYFUNCTION("""COMPUTED_VALUE"""),400)</f>
        <v>400</v>
      </c>
      <c r="E212" s="2" t="str">
        <f ca="1">IFERROR(__xludf.DUMMYFUNCTION("""COMPUTED_VALUE"""),"Unbreakable")</f>
        <v>Unbreakable</v>
      </c>
      <c r="F212" s="2" t="str">
        <f ca="1">IFERROR(__xludf.DUMMYFUNCTION("""COMPUTED_VALUE"""),"LeWdBY")</f>
        <v>LeWdBY</v>
      </c>
      <c r="G212" s="2" t="str">
        <f ca="1">IFERROR(__xludf.DUMMYFUNCTION("""COMPUTED_VALUE"""),"Mind &amp; Control")</f>
        <v>Mind &amp; Control</v>
      </c>
      <c r="H212" s="2" t="str">
        <f ca="1">IFERROR(__xludf.DUMMYFUNCTION("""COMPUTED_VALUE"""),"The Grimm are an ever present threat, one you have trained to overcome even in the worst case scenario. No amount of pleasure can ever “mind break” you or be used to train you as a slave. You’ll laugh it all off and fuck back all the harder. If the aggres"&amp;"sor is foolish enough to persist, you may well wear them out, fucking THEM into a stupor until they’re the one with an ahegao or left feebly crawling away as their cocks are unable to get it up again.")</f>
        <v>The Grimm are an ever present threat, one you have trained to overcome even in the worst case scenario. No amount of pleasure can ever “mind break” you or be used to train you as a slave. You’ll laugh it all off and fuck back all the harder. If the aggressor is foolish enough to persist, you may well wear them out, fucking THEM into a stupor until they’re the one with an ahegao or left feebly crawling away as their cocks are unable to get it up again.</v>
      </c>
      <c r="I212" s="5"/>
    </row>
    <row r="213" spans="1:9" ht="104.4" x14ac:dyDescent="0.25">
      <c r="A213" s="16"/>
      <c r="B213" s="17">
        <v>209</v>
      </c>
      <c r="C213" s="2" t="b">
        <f ca="1">IFERROR(__xludf.DUMMYFUNCTION("""COMPUTED_VALUE"""),FALSE)</f>
        <v>0</v>
      </c>
      <c r="D213" s="2">
        <f ca="1">IFERROR(__xludf.DUMMYFUNCTION("""COMPUTED_VALUE"""),400)</f>
        <v>400</v>
      </c>
      <c r="E213" s="2" t="str">
        <f ca="1">IFERROR(__xludf.DUMMYFUNCTION("""COMPUTED_VALUE"""),"Unbreakable Mind")</f>
        <v>Unbreakable Mind</v>
      </c>
      <c r="F213" s="2" t="str">
        <f ca="1">IFERROR(__xludf.DUMMYFUNCTION("""COMPUTED_VALUE"""),"Dragon Ball: Troop of Beasts")</f>
        <v>Dragon Ball: Troop of Beasts</v>
      </c>
      <c r="G213" s="2" t="str">
        <f ca="1">IFERROR(__xludf.DUMMYFUNCTION("""COMPUTED_VALUE"""),"Mind &amp; Control")</f>
        <v>Mind &amp; Control</v>
      </c>
      <c r="H213" s="2" t="str">
        <f ca="1">IFERROR(__xludf.DUMMYFUNCTION("""COMPUTED_VALUE"""),"You know that old trope: a girl gets fucked over and over again till her mind breaks into a slutty mess that can only think of sex. Now, most would think this is a dumb cliche, but you can never be too sure in a world like this and your brilliant mind is "&amp;"far too valuable to break. Which is why your precious brain is now protected against such a fate. No matter how much torment you’ll go through, how much magic is used to try to control your brain or how much nasty stuff you’ll swallow, your mind will neve"&amp;"r deteriorate or be changed into something else- without your consent, of course.")</f>
        <v>You know that old trope: a girl gets fucked over and over again till her mind breaks into a slutty mess that can only think of sex. Now, most would think this is a dumb cliche, but you can never be too sure in a world like this and your brilliant mind is far too valuable to break. Which is why your precious brain is now protected against such a fate. No matter how much torment you’ll go through, how much magic is used to try to control your brain or how much nasty stuff you’ll swallow, your mind will never deteriorate or be changed into something else- without your consent, of course.</v>
      </c>
      <c r="I213" s="5"/>
    </row>
    <row r="214" spans="1:9" ht="191.4" x14ac:dyDescent="0.25">
      <c r="A214" s="16"/>
      <c r="B214" s="17">
        <v>210</v>
      </c>
      <c r="C214" s="2" t="b">
        <f ca="1">IFERROR(__xludf.DUMMYFUNCTION("""COMPUTED_VALUE"""),FALSE)</f>
        <v>0</v>
      </c>
      <c r="D214" s="2">
        <f ca="1">IFERROR(__xludf.DUMMYFUNCTION("""COMPUTED_VALUE"""),400)</f>
        <v>400</v>
      </c>
      <c r="E214" s="2" t="str">
        <f ca="1">IFERROR(__xludf.DUMMYFUNCTION("""COMPUTED_VALUE"""),"What you Really Want")</f>
        <v>What you Really Want</v>
      </c>
      <c r="F214" s="2" t="str">
        <f ca="1">IFERROR(__xludf.DUMMYFUNCTION("""COMPUTED_VALUE"""),"High Elf x High School")</f>
        <v>High Elf x High School</v>
      </c>
      <c r="G214" s="2" t="str">
        <f ca="1">IFERROR(__xludf.DUMMYFUNCTION("""COMPUTED_VALUE"""),"Mind &amp; Control")</f>
        <v>Mind &amp; Control</v>
      </c>
      <c r="H214" s="2" t="str">
        <f ca="1">IFERROR(__xludf.DUMMYFUNCTION("""COMPUTED_VALUE"""),"Sometimes you want to be treated like a queen, but at others... well, you won’t have to worry about the shame of asking someone to treat you like the masochistic breeding sow you are at heart, because they somehow just know. When you start to have sex wit"&amp;"h someone, they’ll get an awareness of how you want to be treated and what kinks you have—how you really want to be treated, not necessarily what you think you want. It’s still up to them to act on it, but they’re a lot more likely to give a slutty pig bi"&amp;"tch like you what you deserve if they know that you actually want it.
But not everyone has the vocabulary to really degrade you the way you want, nor the bearing to do so. That’s why whenever you’re in a relationship with someone, they will gain increas"&amp;"ed confidence, and their awareness of how you want to be treated in bed will give them the knowledge of how to treat you, giving them the skills needed to fulfill your fantasies.")</f>
        <v>Sometimes you want to be treated like a queen, but at others... well, you won’t have to worry about the shame of asking someone to treat you like the masochistic breeding sow you are at heart, because they somehow just know. When you start to have sex with someone, they’ll get an awareness of how you want to be treated and what kinks you have—how you really want to be treated, not necessarily what you think you want. It’s still up to them to act on it, but they’re a lot more likely to give a slutty pig bitch like you what you deserve if they know that you actually want it.
But not everyone has the vocabulary to really degrade you the way you want, nor the bearing to do so. That’s why whenever you’re in a relationship with someone, they will gain increased confidence, and their awareness of how you want to be treated in bed will give them the knowledge of how to treat you, giving them the skills needed to fulfill your fantasies.</v>
      </c>
      <c r="I214" s="5"/>
    </row>
    <row r="215" spans="1:9" ht="121.8" x14ac:dyDescent="0.25">
      <c r="A215" s="16"/>
      <c r="B215" s="17">
        <v>211</v>
      </c>
      <c r="C215" s="2" t="b">
        <f ca="1">IFERROR(__xludf.DUMMYFUNCTION("""COMPUTED_VALUE"""),FALSE)</f>
        <v>0</v>
      </c>
      <c r="D215" s="2">
        <f ca="1">IFERROR(__xludf.DUMMYFUNCTION("""COMPUTED_VALUE"""),400)</f>
        <v>400</v>
      </c>
      <c r="E215" s="2" t="str">
        <f ca="1">IFERROR(__xludf.DUMMYFUNCTION("""COMPUTED_VALUE"""),"You Promised...")</f>
        <v>You Promised...</v>
      </c>
      <c r="F215" s="2" t="str">
        <f ca="1">IFERROR(__xludf.DUMMYFUNCTION("""COMPUTED_VALUE"""),"How Not to Summon a Demon Lord")</f>
        <v>How Not to Summon a Demon Lord</v>
      </c>
      <c r="G215" s="2" t="str">
        <f ca="1">IFERROR(__xludf.DUMMYFUNCTION("""COMPUTED_VALUE"""),"Mind &amp; Control")</f>
        <v>Mind &amp; Control</v>
      </c>
      <c r="H215" s="2" t="str">
        <f ca="1">IFERROR(__xludf.DUMMYFUNCTION("""COMPUTED_VALUE"""),"Words can have more power than most realize, and you have managed to grab hold of a portion of that power for yourself. Promises other people make to you become as strong as a binding oath, influencing their behavior in line with the terms of the promise."&amp;" They can still choose to break their oath to you but it would take extreme circumstances for them to even consider doing so, and they’ll certainly never just forget or break their word on accident. This perk doesn’t work if the other person had no intent"&amp;"ion of keeping their word in the first place, but you’ll also know immediately if they’re being two-faced with you.")</f>
        <v>Words can have more power than most realize, and you have managed to grab hold of a portion of that power for yourself. Promises other people make to you become as strong as a binding oath, influencing their behavior in line with the terms of the promise. They can still choose to break their oath to you but it would take extreme circumstances for them to even consider doing so, and they’ll certainly never just forget or break their word on accident. This perk doesn’t work if the other person had no intention of keeping their word in the first place, but you’ll also know immediately if they’re being two-faced with you.</v>
      </c>
      <c r="I215" s="5"/>
    </row>
    <row r="216" spans="1:9" ht="348" x14ac:dyDescent="0.25">
      <c r="A216" s="16"/>
      <c r="B216" s="17">
        <v>212</v>
      </c>
      <c r="C216" s="2" t="b">
        <f ca="1">IFERROR(__xludf.DUMMYFUNCTION("""COMPUTED_VALUE"""),FALSE)</f>
        <v>0</v>
      </c>
      <c r="D216" s="2">
        <f ca="1">IFERROR(__xludf.DUMMYFUNCTION("""COMPUTED_VALUE"""),500)</f>
        <v>500</v>
      </c>
      <c r="E216" s="2" t="str">
        <f ca="1">IFERROR(__xludf.DUMMYFUNCTION("""COMPUTED_VALUE"""),"Brain Fucker")</f>
        <v>Brain Fucker</v>
      </c>
      <c r="F216" s="2" t="str">
        <f ca="1">IFERROR(__xludf.DUMMYFUNCTION("""COMPUTED_VALUE"""),"World of Cybersluts")</f>
        <v>World of Cybersluts</v>
      </c>
      <c r="G216" s="2" t="str">
        <f ca="1">IFERROR(__xludf.DUMMYFUNCTION("""COMPUTED_VALUE"""),"Mind &amp; Control")</f>
        <v>Mind &amp; Control</v>
      </c>
      <c r="H216" s="2" t="str">
        <f ca="1">IFERROR(__xludf.DUMMYFUNCTION("""COMPUTED_VALUE"""),"The technology to interface directly with the brain and even record experiences for later replaying is already readily available here. But your specialty goes one step further, into the altering and reprogramming of minds instead of simply reading them. Y"&amp;"ou have the skills and knowledge to build helmets resembling normal VR equipment or larger machines that alter brain waves at a distance, both of which will allow you to start screwing with people's heads. Inducing lust or pleasure is relatively easy (eve"&amp;"n if you're broadcasting on a wide area), while instilling love or true loyalty for someone specific will require longer and more intensive exposure. But with enough time to work, you can program fetishes, personality traits, and even skills into your vic"&amp;"tims subjects.
In combination with some hacking ability, you could even use people's own technology and cybernetics against them. If they already got themselves a convenient direct neural interface, why wouldn't you just make use of that? This does work "&amp;"more slowly than with specialized tech, as you're going to have to work around safeties and make it do something it wasn't designed for. But on the other hand, it's going to be much less noticeable.
And if you have access to the code of an artificial int"&amp;"elligence, whether willingly or by force, you can do even more to them. Without the need to slowly adjust an organic brain, you'll be able to directly code love, loyalty, and more into the AI with far more ease. With enough time to work on it, you could e"&amp;"ntirely reprogram an AI to have all the fetishes, hidden codeword backdoors, and personality traits you could ever want.")</f>
        <v>The technology to interface directly with the brain and even record experiences for later replaying is already readily available here. But your specialty goes one step further, into the altering and reprogramming of minds instead of simply reading them. You have the skills and knowledge to build helmets resembling normal VR equipment or larger machines that alter brain waves at a distance, both of which will allow you to start screwing with people's heads. Inducing lust or pleasure is relatively easy (even if you're broadcasting on a wide area), while instilling love or true loyalty for someone specific will require longer and more intensive exposure. But with enough time to work, you can program fetishes, personality traits, and even skills into your victims subjects.
In combination with some hacking ability, you could even use people's own technology and cybernetics against them. If they already got themselves a convenient direct neural interface, why wouldn't you just make use of that? This does work more slowly than with specialized tech, as you're going to have to work around safeties and make it do something it wasn't designed for. But on the other hand, it's going to be much less noticeable.
And if you have access to the code of an artificial intelligence, whether willingly or by force, you can do even more to them. Without the need to slowly adjust an organic brain, you'll be able to directly code love, loyalty, and more into the AI with far more ease. With enough time to work on it, you could entirely reprogram an AI to have all the fetishes, hidden codeword backdoors, and personality traits you could ever want.</v>
      </c>
      <c r="I216" s="5"/>
    </row>
    <row r="217" spans="1:9" ht="87" x14ac:dyDescent="0.25">
      <c r="A217" s="16"/>
      <c r="B217" s="17">
        <v>213</v>
      </c>
      <c r="C217" s="2" t="b">
        <f ca="1">IFERROR(__xludf.DUMMYFUNCTION("""COMPUTED_VALUE"""),FALSE)</f>
        <v>0</v>
      </c>
      <c r="D217" s="2">
        <f ca="1">IFERROR(__xludf.DUMMYFUNCTION("""COMPUTED_VALUE"""),500)</f>
        <v>500</v>
      </c>
      <c r="E217" s="2" t="str">
        <f ca="1">IFERROR(__xludf.DUMMYFUNCTION("""COMPUTED_VALUE"""),"Bystander Effect")</f>
        <v>Bystander Effect</v>
      </c>
      <c r="F217" s="2" t="str">
        <f ca="1">IFERROR(__xludf.DUMMYFUNCTION("""COMPUTED_VALUE"""),"TSF World")</f>
        <v>TSF World</v>
      </c>
      <c r="G217" s="2" t="str">
        <f ca="1">IFERROR(__xludf.DUMMYFUNCTION("""COMPUTED_VALUE"""),"Mind &amp; Control")</f>
        <v>Mind &amp; Control</v>
      </c>
      <c r="H217" s="2" t="str">
        <f ca="1">IFERROR(__xludf.DUMMYFUNCTION("""COMPUTED_VALUE"""),"One of the surest ways to kill the mood is if someone comes up to stop you when you’re having fun groping yourself in the middle of the street. It’s a good thing that the bystander effect is a hell of a thing. No matter how you conduct yourself in public,"&amp;" no-one will seem to get involved. The little voice in their head that would normally be telling them to intervene is instead saying “someone else will deal with that”.")</f>
        <v>One of the surest ways to kill the mood is if someone comes up to stop you when you’re having fun groping yourself in the middle of the street. It’s a good thing that the bystander effect is a hell of a thing. No matter how you conduct yourself in public, no-one will seem to get involved. The little voice in their head that would normally be telling them to intervene is instead saying “someone else will deal with that”.</v>
      </c>
      <c r="I217" s="5"/>
    </row>
    <row r="218" spans="1:9" ht="69.599999999999994" x14ac:dyDescent="0.25">
      <c r="A218" s="16"/>
      <c r="B218" s="17">
        <v>214</v>
      </c>
      <c r="C218" s="2" t="b">
        <f ca="1">IFERROR(__xludf.DUMMYFUNCTION("""COMPUTED_VALUE"""),FALSE)</f>
        <v>0</v>
      </c>
      <c r="D218" s="2">
        <f ca="1">IFERROR(__xludf.DUMMYFUNCTION("""COMPUTED_VALUE"""),500)</f>
        <v>500</v>
      </c>
      <c r="E218" s="2" t="str">
        <f ca="1">IFERROR(__xludf.DUMMYFUNCTION("""COMPUTED_VALUE"""),"Charm Magic")</f>
        <v>Charm Magic</v>
      </c>
      <c r="F218" s="2" t="str">
        <f ca="1">IFERROR(__xludf.DUMMYFUNCTION("""COMPUTED_VALUE"""),"Chichikko Bitch / Witch Bitch Collection")</f>
        <v>Chichikko Bitch / Witch Bitch Collection</v>
      </c>
      <c r="G218" s="2" t="str">
        <f ca="1">IFERROR(__xludf.DUMMYFUNCTION("""COMPUTED_VALUE"""),"Mind &amp; Control")</f>
        <v>Mind &amp; Control</v>
      </c>
      <c r="H218" s="2" t="str">
        <f ca="1">IFERROR(__xludf.DUMMYFUNCTION("""COMPUTED_VALUE"""),"Charm is an incredibly useful magic. Simply put, it causes whoever you target to fall in love with you and to believe that everything you say is the best idea they’ve ever heard. Bit heavy handed, but it works. Sadly, it’s also rather weak. If someone wer"&amp;"e to simply tell them it was being used on them, it would basically stop working. But until then, please enjoy your new sex slave.")</f>
        <v>Charm is an incredibly useful magic. Simply put, it causes whoever you target to fall in love with you and to believe that everything you say is the best idea they’ve ever heard. Bit heavy handed, but it works. Sadly, it’s also rather weak. If someone were to simply tell them it was being used on them, it would basically stop working. But until then, please enjoy your new sex slave.</v>
      </c>
      <c r="I218" s="5"/>
    </row>
    <row r="219" spans="1:9" ht="139.19999999999999" x14ac:dyDescent="0.25">
      <c r="A219" s="16"/>
      <c r="B219" s="17">
        <v>215</v>
      </c>
      <c r="C219" s="2" t="b">
        <f ca="1">IFERROR(__xludf.DUMMYFUNCTION("""COMPUTED_VALUE"""),FALSE)</f>
        <v>0</v>
      </c>
      <c r="D219" s="2">
        <f ca="1">IFERROR(__xludf.DUMMYFUNCTION("""COMPUTED_VALUE"""),500)</f>
        <v>500</v>
      </c>
      <c r="E219" s="2" t="str">
        <f ca="1">IFERROR(__xludf.DUMMYFUNCTION("""COMPUTED_VALUE"""),"How Demanding")</f>
        <v>How Demanding</v>
      </c>
      <c r="F219" s="2" t="str">
        <f ca="1">IFERROR(__xludf.DUMMYFUNCTION("""COMPUTED_VALUE"""),"Merry Marry")</f>
        <v>Merry Marry</v>
      </c>
      <c r="G219" s="2" t="str">
        <f ca="1">IFERROR(__xludf.DUMMYFUNCTION("""COMPUTED_VALUE"""),"Mind &amp; Control")</f>
        <v>Mind &amp; Control</v>
      </c>
      <c r="H219" s="2" t="str">
        <f ca="1">IFERROR(__xludf.DUMMYFUNCTION("""COMPUTED_VALUE"""),"I’ll say this once more. Itachi was far stronger than Sasuke. While Sasuke might have been powerful for a genin, and presumably equally so as a jonin, Itachi was a decent contender for Hokage - the strongest shinobi in Konoha - before Sasuke was a genin, "&amp;"and was probably stronger still by the time Sasuke reached jonin. Then how is it that Sasuke manages to pull all this off, and wrap his ‘brother’ around his finger the way he did? Quite frankly, I have no idea. But I can guess. Other perks can make people"&amp;" love you, but it’s not an unreasonable love. They can and will break promises made to you. But now, with this? It’s not an exaggeration to say that they can’t. They must truly love you - as more than just a sibling, or even a fake parent - to let you get"&amp;" away with so much.")</f>
        <v>I’ll say this once more. Itachi was far stronger than Sasuke. While Sasuke might have been powerful for a genin, and presumably equally so as a jonin, Itachi was a decent contender for Hokage - the strongest shinobi in Konoha - before Sasuke was a genin, and was probably stronger still by the time Sasuke reached jonin. Then how is it that Sasuke manages to pull all this off, and wrap his ‘brother’ around his finger the way he did? Quite frankly, I have no idea. But I can guess. Other perks can make people love you, but it’s not an unreasonable love. They can and will break promises made to you. But now, with this? It’s not an exaggeration to say that they can’t. They must truly love you - as more than just a sibling, or even a fake parent - to let you get away with so much.</v>
      </c>
      <c r="I219" s="5"/>
    </row>
    <row r="220" spans="1:9" ht="121.8" x14ac:dyDescent="0.25">
      <c r="A220" s="16"/>
      <c r="B220" s="17">
        <v>216</v>
      </c>
      <c r="C220" s="2" t="b">
        <f ca="1">IFERROR(__xludf.DUMMYFUNCTION("""COMPUTED_VALUE"""),FALSE)</f>
        <v>0</v>
      </c>
      <c r="D220" s="2">
        <f ca="1">IFERROR(__xludf.DUMMYFUNCTION("""COMPUTED_VALUE"""),500)</f>
        <v>500</v>
      </c>
      <c r="E220" s="2" t="str">
        <f ca="1">IFERROR(__xludf.DUMMYFUNCTION("""COMPUTED_VALUE"""),"King You")</f>
        <v>King You</v>
      </c>
      <c r="F220" s="2" t="str">
        <f ca="1">IFERROR(__xludf.DUMMYFUNCTION("""COMPUTED_VALUE"""),"The Otaku in 10,000 BC")</f>
        <v>The Otaku in 10,000 BC</v>
      </c>
      <c r="G220" s="2" t="str">
        <f ca="1">IFERROR(__xludf.DUMMYFUNCTION("""COMPUTED_VALUE"""),"Mind &amp; Control")</f>
        <v>Mind &amp; Control</v>
      </c>
      <c r="H220" s="2" t="str">
        <f ca="1">IFERROR(__xludf.DUMMYFUNCTION("""COMPUTED_VALUE"""),"Ota managed to work his way up from a spineless otaku displaced in time, into a hero-king who united the other tribes against the Koben... albeit primarily by fucking his way through his problems. Fortunately, sex turns out to be just as viable a survival"&amp;" tactic for you. When you have sex with someone, consensually or otherwise, their opinion of you rises along with the pleasure you give them. Do a good enough job, and you might be able to turn the person you’re raping into a loyal ally—a stranger could b"&amp;"e devoted enough to turn on their own people to aid you, or a princess might declare you to be the king of their tribe.")</f>
        <v>Ota managed to work his way up from a spineless otaku displaced in time, into a hero-king who united the other tribes against the Koben... albeit primarily by fucking his way through his problems. Fortunately, sex turns out to be just as viable a survival tactic for you. When you have sex with someone, consensually or otherwise, their opinion of you rises along with the pleasure you give them. Do a good enough job, and you might be able to turn the person you’re raping into a loyal ally—a stranger could be devoted enough to turn on their own people to aid you, or a princess might declare you to be the king of their tribe.</v>
      </c>
      <c r="I220" s="5"/>
    </row>
    <row r="221" spans="1:9" ht="69.599999999999994" x14ac:dyDescent="0.25">
      <c r="A221" s="16"/>
      <c r="B221" s="17">
        <v>217</v>
      </c>
      <c r="C221" s="2" t="b">
        <f ca="1">IFERROR(__xludf.DUMMYFUNCTION("""COMPUTED_VALUE"""),FALSE)</f>
        <v>0</v>
      </c>
      <c r="D221" s="2">
        <f ca="1">IFERROR(__xludf.DUMMYFUNCTION("""COMPUTED_VALUE"""),500)</f>
        <v>500</v>
      </c>
      <c r="E221" s="2" t="str">
        <f ca="1">IFERROR(__xludf.DUMMYFUNCTION("""COMPUTED_VALUE"""),"Master's Hypnosis")</f>
        <v>Master's Hypnosis</v>
      </c>
      <c r="F221" s="2" t="str">
        <f ca="1">IFERROR(__xludf.DUMMYFUNCTION("""COMPUTED_VALUE"""),"eratohoK")</f>
        <v>eratohoK</v>
      </c>
      <c r="G221" s="2" t="str">
        <f ca="1">IFERROR(__xludf.DUMMYFUNCTION("""COMPUTED_VALUE"""),"Mind &amp; Control")</f>
        <v>Mind &amp; Control</v>
      </c>
      <c r="H221" s="2" t="str">
        <f ca="1">IFERROR(__xludf.DUMMYFUNCTION("""COMPUTED_VALUE"""),"You have nearly absurdly effective hypnosis. You can sneak hypnosis into a regular conversation. Only the strongest wills can resist once you hypnotise them, which is again extremely simple to perform and you may release the hypnosis at any moment and wil"&amp;"l, for a while, (long enough to bone a lot) render them completely subservient and utterly incapable of refusing anything you say.")</f>
        <v>You have nearly absurdly effective hypnosis. You can sneak hypnosis into a regular conversation. Only the strongest wills can resist once you hypnotise them, which is again extremely simple to perform and you may release the hypnosis at any moment and will, for a while, (long enough to bone a lot) render them completely subservient and utterly incapable of refusing anything you say.</v>
      </c>
      <c r="I221" s="5"/>
    </row>
    <row r="222" spans="1:9" ht="121.8" x14ac:dyDescent="0.25">
      <c r="A222" s="16"/>
      <c r="B222" s="17">
        <v>218</v>
      </c>
      <c r="C222" s="2" t="b">
        <f ca="1">IFERROR(__xludf.DUMMYFUNCTION("""COMPUTED_VALUE"""),FALSE)</f>
        <v>0</v>
      </c>
      <c r="D222" s="2">
        <f ca="1">IFERROR(__xludf.DUMMYFUNCTION("""COMPUTED_VALUE"""),500)</f>
        <v>500</v>
      </c>
      <c r="E222" s="2" t="str">
        <f ca="1">IFERROR(__xludf.DUMMYFUNCTION("""COMPUTED_VALUE"""),"Public Displays")</f>
        <v>Public Displays</v>
      </c>
      <c r="F222" s="2" t="str">
        <f ca="1">IFERROR(__xludf.DUMMYFUNCTION("""COMPUTED_VALUE"""),"Kamikaze Kommittee Ouka")</f>
        <v>Kamikaze Kommittee Ouka</v>
      </c>
      <c r="G222" s="2" t="str">
        <f ca="1">IFERROR(__xludf.DUMMYFUNCTION("""COMPUTED_VALUE"""),"Mind &amp; Control")</f>
        <v>Mind &amp; Control</v>
      </c>
      <c r="H222" s="2" t="str">
        <f ca="1">IFERROR(__xludf.DUMMYFUNCTION("""COMPUTED_VALUE"""),"Sometimes, you are just down to fuck. Those urges to let loose with someone willing are tough when you don’t have a pad or hotel close by. Well, what if you could have sex in public without anyone knowing? Or maybe you want them to know but not interfere?"&amp;" Well, with this, you can do either. If your partner and you want to make the beast with two backs right now, all you need to do is find a nice spot and do it. No one would know you were there fucking someone unless you toggled Exhibitionist Mode. Then, t"&amp;"hey would know but have no urge to stop you. Not even the Police, assuming you aren't commiting any other crimes.")</f>
        <v>Sometimes, you are just down to fuck. Those urges to let loose with someone willing are tough when you don’t have a pad or hotel close by. Well, what if you could have sex in public without anyone knowing? Or maybe you want them to know but not interfere? Well, with this, you can do either. If your partner and you want to make the beast with two backs right now, all you need to do is find a nice spot and do it. No one would know you were there fucking someone unless you toggled Exhibitionist Mode. Then, they would know but have no urge to stop you. Not even the Police, assuming you aren't commiting any other crimes.</v>
      </c>
      <c r="I222" s="5"/>
    </row>
    <row r="223" spans="1:9" ht="156.6" x14ac:dyDescent="0.25">
      <c r="A223" s="16"/>
      <c r="B223" s="17">
        <v>219</v>
      </c>
      <c r="C223" s="2" t="b">
        <f ca="1">IFERROR(__xludf.DUMMYFUNCTION("""COMPUTED_VALUE"""),FALSE)</f>
        <v>0</v>
      </c>
      <c r="D223" s="2">
        <f ca="1">IFERROR(__xludf.DUMMYFUNCTION("""COMPUTED_VALUE"""),500)</f>
        <v>500</v>
      </c>
      <c r="E223" s="2" t="str">
        <f ca="1">IFERROR(__xludf.DUMMYFUNCTION("""COMPUTED_VALUE"""),"Staying Myself")</f>
        <v>Staying Myself</v>
      </c>
      <c r="F223" s="2" t="str">
        <f ca="1">IFERROR(__xludf.DUMMYFUNCTION("""COMPUTED_VALUE"""),"The Works of Aomizuan")</f>
        <v>The Works of Aomizuan</v>
      </c>
      <c r="G223" s="2" t="str">
        <f ca="1">IFERROR(__xludf.DUMMYFUNCTION("""COMPUTED_VALUE"""),"Mind &amp; Control")</f>
        <v>Mind &amp; Control</v>
      </c>
      <c r="H223" s="2" t="str">
        <f ca="1">IFERROR(__xludf.DUMMYFUNCTION("""COMPUTED_VALUE"""),"This is the sort of world where people can have their entire worldviews twisted around by pleasure, and experience sensations so intense they’d abandon their livelihoods just to follow them. Maybe you want that, but in case you don’t this will provide you"&amp;" with some degree of assurance in case you go through mind-blowing pleasure. Nothing you experience, be it extremes of pain or pleasure, is capable of warping your perspective on the world in ways that you, in your right mind, would not be accepting of. N"&amp;"o amount of addiction can change your heart and interests, and you could experience extremes of sensation so absolute that your mind shatters, even have your memories erased entirely and still come out the other side as the same fundamental person. You ma"&amp;"y toggle this, if you find a reason to.")</f>
        <v>This is the sort of world where people can have their entire worldviews twisted around by pleasure, and experience sensations so intense they’d abandon their livelihoods just to follow them. Maybe you want that, but in case you don’t this will provide you with some degree of assurance in case you go through mind-blowing pleasure. Nothing you experience, be it extremes of pain or pleasure, is capable of warping your perspective on the world in ways that you, in your right mind, would not be accepting of. No amount of addiction can change your heart and interests, and you could experience extremes of sensation so absolute that your mind shatters, even have your memories erased entirely and still come out the other side as the same fundamental person. You may toggle this, if you find a reason to.</v>
      </c>
      <c r="I223" s="5"/>
    </row>
    <row r="224" spans="1:9" ht="191.4" x14ac:dyDescent="0.25">
      <c r="A224" s="16"/>
      <c r="B224" s="17">
        <v>220</v>
      </c>
      <c r="C224" s="2" t="b">
        <f ca="1">IFERROR(__xludf.DUMMYFUNCTION("""COMPUTED_VALUE"""),FALSE)</f>
        <v>0</v>
      </c>
      <c r="D224" s="2">
        <f ca="1">IFERROR(__xludf.DUMMYFUNCTION("""COMPUTED_VALUE"""),500)</f>
        <v>500</v>
      </c>
      <c r="E224" s="2" t="str">
        <f ca="1">IFERROR(__xludf.DUMMYFUNCTION("""COMPUTED_VALUE"""),"The Devil Made Me Do It")</f>
        <v>The Devil Made Me Do It</v>
      </c>
      <c r="F224" s="2" t="str">
        <f ca="1">IFERROR(__xludf.DUMMYFUNCTION("""COMPUTED_VALUE"""),"Submission Sailor Moon")</f>
        <v>Submission Sailor Moon</v>
      </c>
      <c r="G224" s="2" t="str">
        <f ca="1">IFERROR(__xludf.DUMMYFUNCTION("""COMPUTED_VALUE"""),"Mind &amp; Control")</f>
        <v>Mind &amp; Control</v>
      </c>
      <c r="H224" s="2" t="str">
        <f ca="1">IFERROR(__xludf.DUMMYFUNCTION("""COMPUTED_VALUE"""),"All kinds of weirdness has been going on in Tokyo for the last few years. Strange behavior and outbursts from people possessed by demons seem to be more common every day, but you’ve found a way to use this to your advantage. Other people are surprisingly "&amp;"forgiving of perverse misbehavior on your part, and will do so given even the most outlandish excuse. Grope a cute schoolgirl’s butt on a subway? Your hand slipped, it was an accident. Pin her to the wall and rape her in public? You were being possessed b"&amp;"y a youma, it’s not your fault. This makes your victims much less willing to resist you violently and heroines like the Senshi or mundane law enforcement give you the benefit of the doubt much more than they really should, only fidgeting weakly as you sli"&amp;"de your hands under their uniforms. This also means your victims won’t hold a grudge against you afterwards, after all it’s not like you did anything bad to them. Try not to push your luck too far though: target the same girl a few times in a row and she "&amp;"might catch on.")</f>
        <v>All kinds of weirdness has been going on in Tokyo for the last few years. Strange behavior and outbursts from people possessed by demons seem to be more common every day, but you’ve found a way to use this to your advantage. Other people are surprisingly forgiving of perverse misbehavior on your part, and will do so given even the most outlandish excuse. Grope a cute schoolgirl’s butt on a subway? Your hand slipped, it was an accident. Pin her to the wall and rape her in public? You were being possessed by a youma, it’s not your fault. This makes your victims much less willing to resist you violently and heroines like the Senshi or mundane law enforcement give you the benefit of the doubt much more than they really should, only fidgeting weakly as you slide your hands under their uniforms. This also means your victims won’t hold a grudge against you afterwards, after all it’s not like you did anything bad to them. Try not to push your luck too far though: target the same girl a few times in a row and she might catch on.</v>
      </c>
      <c r="I224" s="5"/>
    </row>
    <row r="225" spans="1:9" ht="174" x14ac:dyDescent="0.25">
      <c r="A225" s="16"/>
      <c r="B225" s="17">
        <v>221</v>
      </c>
      <c r="C225" s="2" t="b">
        <f ca="1">IFERROR(__xludf.DUMMYFUNCTION("""COMPUTED_VALUE"""),FALSE)</f>
        <v>0</v>
      </c>
      <c r="D225" s="2">
        <f ca="1">IFERROR(__xludf.DUMMYFUNCTION("""COMPUTED_VALUE"""),500)</f>
        <v>500</v>
      </c>
      <c r="E225" s="2" t="str">
        <f ca="1">IFERROR(__xludf.DUMMYFUNCTION("""COMPUTED_VALUE"""),"Usurpation by Congress")</f>
        <v>Usurpation by Congress</v>
      </c>
      <c r="F225" s="2" t="str">
        <f ca="1">IFERROR(__xludf.DUMMYFUNCTION("""COMPUTED_VALUE"""),"World of Tentacles")</f>
        <v>World of Tentacles</v>
      </c>
      <c r="G225" s="2" t="str">
        <f ca="1">IFERROR(__xludf.DUMMYFUNCTION("""COMPUTED_VALUE"""),"Mind &amp; Control")</f>
        <v>Mind &amp; Control</v>
      </c>
      <c r="H225" s="2" t="str">
        <f ca="1">IFERROR(__xludf.DUMMYFUNCTION("""COMPUTED_VALUE"""),"Some lead by right of birth, while others are followed for their charisma. When you seize power, you do so by the might of your cock. Whenever you claim the sexual submission of an individual in a position of power, be it actual or symbolic, you may steal"&amp;" some of that authority for yourself, making it harder for all those who respect or follow your victim to resist you and your representatives. The effects of this perk are contingent on the rank and reputation of the target, as well as how public and extr"&amp;"eme your conquest of them is. Get a blowjob from a school idol in private and her fellow students become a fraction easier to intimidate, but mindbreak a beloved queen in front of her court and you can break the will of her entire kingdom. This method of "&amp;"conquest also works in reverse, allowing you to gradually weaken a leader's willpower and resistance to you as your forces conquer more of her kingdom.")</f>
        <v>Some lead by right of birth, while others are followed for their charisma. When you seize power, you do so by the might of your cock. Whenever you claim the sexual submission of an individual in a position of power, be it actual or symbolic, you may steal some of that authority for yourself, making it harder for all those who respect or follow your victim to resist you and your representatives. The effects of this perk are contingent on the rank and reputation of the target, as well as how public and extreme your conquest of them is. Get a blowjob from a school idol in private and her fellow students become a fraction easier to intimidate, but mindbreak a beloved queen in front of her court and you can break the will of her entire kingdom. This method of conquest also works in reverse, allowing you to gradually weaken a leader's willpower and resistance to you as your forces conquer more of her kingdom.</v>
      </c>
      <c r="I225" s="5"/>
    </row>
    <row r="226" spans="1:9" ht="121.8" x14ac:dyDescent="0.25">
      <c r="A226" s="16"/>
      <c r="B226" s="17">
        <v>222</v>
      </c>
      <c r="C226" s="2" t="b">
        <f ca="1">IFERROR(__xludf.DUMMYFUNCTION("""COMPUTED_VALUE"""),FALSE)</f>
        <v>0</v>
      </c>
      <c r="D226" s="2">
        <f ca="1">IFERROR(__xludf.DUMMYFUNCTION("""COMPUTED_VALUE"""),600)</f>
        <v>600</v>
      </c>
      <c r="E226" s="2" t="str">
        <f ca="1">IFERROR(__xludf.DUMMYFUNCTION("""COMPUTED_VALUE"""),"Anonymous Doesn’t Forget, But Everyone Else...")</f>
        <v>Anonymous Doesn’t Forget, But Everyone Else...</v>
      </c>
      <c r="F226" s="2" t="str">
        <f ca="1">IFERROR(__xludf.DUMMYFUNCTION("""COMPUTED_VALUE"""),"Kamikaze Kommittee Ouka")</f>
        <v>Kamikaze Kommittee Ouka</v>
      </c>
      <c r="G226" s="2" t="str">
        <f ca="1">IFERROR(__xludf.DUMMYFUNCTION("""COMPUTED_VALUE"""),"Mind &amp; Control")</f>
        <v>Mind &amp; Control</v>
      </c>
      <c r="H226" s="2" t="str">
        <f ca="1">IFERROR(__xludf.DUMMYFUNCTION("""COMPUTED_VALUE"""),"You are the epitome of anonymity. People will literally have trouble remembering who you are and what you look like most of the time. Even if you pull some of the craziest stunts, they will forget all about you personally after a few minutes — even if the"&amp;"y remember the event. It makes for an easy getaway when people have witnessed your shenanigans. This even affects electronic surveillance. For some reason, your face and identifying features just seem to blur and pixelate even more than the worst CCTV sys"&amp;"tem. Of course, you can toggle this on and off whenever you want. Yep, a completely forgettable individual. I’m sure you won’t abuse this too much, right? ...Right?")</f>
        <v>You are the epitome of anonymity. People will literally have trouble remembering who you are and what you look like most of the time. Even if you pull some of the craziest stunts, they will forget all about you personally after a few minutes — even if they remember the event. It makes for an easy getaway when people have witnessed your shenanigans. This even affects electronic surveillance. For some reason, your face and identifying features just seem to blur and pixelate even more than the worst CCTV system. Of course, you can toggle this on and off whenever you want. Yep, a completely forgettable individual. I’m sure you won’t abuse this too much, right? ...Right?</v>
      </c>
      <c r="I226" s="5"/>
    </row>
    <row r="227" spans="1:9" ht="69.599999999999994" x14ac:dyDescent="0.25">
      <c r="A227" s="16"/>
      <c r="B227" s="17">
        <v>223</v>
      </c>
      <c r="C227" s="2" t="b">
        <f ca="1">IFERROR(__xludf.DUMMYFUNCTION("""COMPUTED_VALUE"""),FALSE)</f>
        <v>0</v>
      </c>
      <c r="D227" s="2">
        <f ca="1">IFERROR(__xludf.DUMMYFUNCTION("""COMPUTED_VALUE"""),600)</f>
        <v>600</v>
      </c>
      <c r="E227" s="2" t="str">
        <f ca="1">IFERROR(__xludf.DUMMYFUNCTION("""COMPUTED_VALUE"""),"Eau de Déesse")</f>
        <v>Eau de Déesse</v>
      </c>
      <c r="F227" s="2" t="str">
        <f ca="1">IFERROR(__xludf.DUMMYFUNCTION("""COMPUTED_VALUE"""),"Mind Control University")</f>
        <v>Mind Control University</v>
      </c>
      <c r="G227" s="2" t="str">
        <f ca="1">IFERROR(__xludf.DUMMYFUNCTION("""COMPUTED_VALUE"""),"Mind &amp; Control")</f>
        <v>Mind &amp; Control</v>
      </c>
      <c r="H227" s="2" t="str">
        <f ca="1">IFERROR(__xludf.DUMMYFUNCTION("""COMPUTED_VALUE"""),"You may have some basic chemicals in stock, but what of a more complex, powerful substance? Translated as ‘goddess water’, this perfume will, with a single whiff, generate overwhelming adoration, devotion, and love towards the wearer from those they wish "&amp;"it to. Fully enslave someone just by getting within smelling distance.")</f>
        <v>You may have some basic chemicals in stock, but what of a more complex, powerful substance? Translated as ‘goddess water’, this perfume will, with a single whiff, generate overwhelming adoration, devotion, and love towards the wearer from those they wish it to. Fully enslave someone just by getting within smelling distance.</v>
      </c>
      <c r="I227" s="5"/>
    </row>
    <row r="228" spans="1:9" ht="174" x14ac:dyDescent="0.25">
      <c r="A228" s="16"/>
      <c r="B228" s="17">
        <v>224</v>
      </c>
      <c r="C228" s="2" t="b">
        <f ca="1">IFERROR(__xludf.DUMMYFUNCTION("""COMPUTED_VALUE"""),FALSE)</f>
        <v>0</v>
      </c>
      <c r="D228" s="2">
        <f ca="1">IFERROR(__xludf.DUMMYFUNCTION("""COMPUTED_VALUE"""),600)</f>
        <v>600</v>
      </c>
      <c r="E228" s="2" t="str">
        <f ca="1">IFERROR(__xludf.DUMMYFUNCTION("""COMPUTED_VALUE"""),"Hard Men Making Hard Choices While Hard")</f>
        <v>Hard Men Making Hard Choices While Hard</v>
      </c>
      <c r="F228" s="2" t="str">
        <f ca="1">IFERROR(__xludf.DUMMYFUNCTION("""COMPUTED_VALUE"""),"LeWdBY")</f>
        <v>LeWdBY</v>
      </c>
      <c r="G228" s="2" t="str">
        <f ca="1">IFERROR(__xludf.DUMMYFUNCTION("""COMPUTED_VALUE"""),"Mind &amp; Control")</f>
        <v>Mind &amp; Control</v>
      </c>
      <c r="H228" s="2" t="str">
        <f ca="1">IFERROR(__xludf.DUMMYFUNCTION("""COMPUTED_VALUE"""),"Remnant is a dangerous place, and it’s up to you to take the reins of civilization for its own good. You’ve got the talent to run an army or other quasi-military organization like a Combat Academy, but that’s not enough to do what needs to be done, at lea"&amp;"st you claim. People are far more willing to listen to your more unorthodox ideas about how to keep society safe. Maybe you want to breed as many silver eyed warriors and holders of the Schnee family semblance as possible, even if you have to use a few of"&amp;" the girls from the nation’s Combat Academy as incubators. Or maybe you decide that criminals should serve their sentences in the stocks as free use cumsluts to keep the Grimm at bay by masking negative emotions with pleasure. Not only can you talk people"&amp;" into it, but your erotic ideas work far better than they really should, as if you were turning the world into a porno fanfic around you.")</f>
        <v>Remnant is a dangerous place, and it’s up to you to take the reins of civilization for its own good. You’ve got the talent to run an army or other quasi-military organization like a Combat Academy, but that’s not enough to do what needs to be done, at least you claim. People are far more willing to listen to your more unorthodox ideas about how to keep society safe. Maybe you want to breed as many silver eyed warriors and holders of the Schnee family semblance as possible, even if you have to use a few of the girls from the nation’s Combat Academy as incubators. Or maybe you decide that criminals should serve their sentences in the stocks as free use cumsluts to keep the Grimm at bay by masking negative emotions with pleasure. Not only can you talk people into it, but your erotic ideas work far better than they really should, as if you were turning the world into a porno fanfic around you.</v>
      </c>
      <c r="I228" s="5"/>
    </row>
    <row r="229" spans="1:9" ht="174" x14ac:dyDescent="0.25">
      <c r="A229" s="16"/>
      <c r="B229" s="17">
        <v>225</v>
      </c>
      <c r="C229" s="2" t="b">
        <f ca="1">IFERROR(__xludf.DUMMYFUNCTION("""COMPUTED_VALUE"""),FALSE)</f>
        <v>0</v>
      </c>
      <c r="D229" s="2">
        <f ca="1">IFERROR(__xludf.DUMMYFUNCTION("""COMPUTED_VALUE"""),600)</f>
        <v>600</v>
      </c>
      <c r="E229" s="2" t="str">
        <f ca="1">IFERROR(__xludf.DUMMYFUNCTION("""COMPUTED_VALUE"""),"Help a Brother Out")</f>
        <v>Help a Brother Out</v>
      </c>
      <c r="F229" s="2" t="str">
        <f ca="1">IFERROR(__xludf.DUMMYFUNCTION("""COMPUTED_VALUE"""),"Naruto Blacked")</f>
        <v>Naruto Blacked</v>
      </c>
      <c r="G229" s="2" t="str">
        <f ca="1">IFERROR(__xludf.DUMMYFUNCTION("""COMPUTED_VALUE"""),"Mind &amp; Control")</f>
        <v>Mind &amp; Control</v>
      </c>
      <c r="H229" s="2" t="str">
        <f ca="1">IFERROR(__xludf.DUMMYFUNCTION("""COMPUTED_VALUE"""),"Word travels fast when a good thing shows up, and as God’s gift to women what else would you be but a blessing on the female gender? Your success with women has a viral quality which can spread through a community, starting with any woman you make your bi"&amp;"tch and radiating out to infect others with a fetish, a need to be fucked just like her. In short, the more you ruin the easier it is to ruin again and again. A mother might encourage her daughters to fuck you or spread rumours at the workplace, arousing "&amp;"curiosity and fascination in her coworkers that won’t go away until it’s been sated by getting a taste of you for themselves. Your influence spreads through coincidence as well as active effort on the woman’s part and doesn’t strictly require her cooperat"&amp;"ion, although obviously it will work much better if she does. This attention is aimed at you first and the rest of your race second.")</f>
        <v>Word travels fast when a good thing shows up, and as God’s gift to women what else would you be but a blessing on the female gender? Your success with women has a viral quality which can spread through a community, starting with any woman you make your bitch and radiating out to infect others with a fetish, a need to be fucked just like her. In short, the more you ruin the easier it is to ruin again and again. A mother might encourage her daughters to fuck you or spread rumours at the workplace, arousing curiosity and fascination in her coworkers that won’t go away until it’s been sated by getting a taste of you for themselves. Your influence spreads through coincidence as well as active effort on the woman’s part and doesn’t strictly require her cooperation, although obviously it will work much better if she does. This attention is aimed at you first and the rest of your race second.</v>
      </c>
      <c r="I229" s="5"/>
    </row>
    <row r="230" spans="1:9" ht="191.4" x14ac:dyDescent="0.25">
      <c r="A230" s="16"/>
      <c r="B230" s="17">
        <v>226</v>
      </c>
      <c r="C230" s="2" t="b">
        <f ca="1">IFERROR(__xludf.DUMMYFUNCTION("""COMPUTED_VALUE"""),FALSE)</f>
        <v>0</v>
      </c>
      <c r="D230" s="2">
        <f ca="1">IFERROR(__xludf.DUMMYFUNCTION("""COMPUTED_VALUE"""),600)</f>
        <v>600</v>
      </c>
      <c r="E230" s="2" t="str">
        <f ca="1">IFERROR(__xludf.DUMMYFUNCTION("""COMPUTED_VALUE"""),"King of Evil")</f>
        <v>King of Evil</v>
      </c>
      <c r="F230" s="2" t="str">
        <f ca="1">IFERROR(__xludf.DUMMYFUNCTION("""COMPUTED_VALUE"""),"Breathless Wild")</f>
        <v>Breathless Wild</v>
      </c>
      <c r="G230" s="2" t="str">
        <f ca="1">IFERROR(__xludf.DUMMYFUNCTION("""COMPUTED_VALUE"""),"Mind &amp; Control")</f>
        <v>Mind &amp; Control</v>
      </c>
      <c r="H230" s="2" t="str">
        <f ca="1">IFERROR(__xludf.DUMMYFUNCTION("""COMPUTED_VALUE"""),"Most monsters are much too stupid to recognize any form of power besides size and strength, but for you they’ll make exceptions. How could they not when your mere presence demands respect and submission from everyone around you? You’re a mighty King of Da"&amp;"rkness like the legendary Ganondorf, a conqueror of men and monsters whose demonic charisma crushes all who defy you. This aura of dominance makes it extremely difficult to attack you unless your foes have great courage or power enough to rival your own; "&amp;"those who have neither will find themselves too weighed down by lust or terror to fight you effectively, and they may even be brought to their knees by your mere presence. Women quiver in lust while men tremble in awe or terror, and even monsters and othe"&amp;"r dark creatures who would normally obey no masters sense that you are the exception to that rule. While the mightiest beasts or those commanded by another master may need to be beaten into submission, most instinctively kneel and obey you without questio"&amp;"n.")</f>
        <v>Most monsters are much too stupid to recognize any form of power besides size and strength, but for you they’ll make exceptions. How could they not when your mere presence demands respect and submission from everyone around you? You’re a mighty King of Darkness like the legendary Ganondorf, a conqueror of men and monsters whose demonic charisma crushes all who defy you. This aura of dominance makes it extremely difficult to attack you unless your foes have great courage or power enough to rival your own; those who have neither will find themselves too weighed down by lust or terror to fight you effectively, and they may even be brought to their knees by your mere presence. Women quiver in lust while men tremble in awe or terror, and even monsters and other dark creatures who would normally obey no masters sense that you are the exception to that rule. While the mightiest beasts or those commanded by another master may need to be beaten into submission, most instinctively kneel and obey you without question.</v>
      </c>
      <c r="I230" s="5"/>
    </row>
    <row r="231" spans="1:9" ht="174" x14ac:dyDescent="0.25">
      <c r="A231" s="16"/>
      <c r="B231" s="17">
        <v>227</v>
      </c>
      <c r="C231" s="2" t="b">
        <f ca="1">IFERROR(__xludf.DUMMYFUNCTION("""COMPUTED_VALUE"""),FALSE)</f>
        <v>0</v>
      </c>
      <c r="D231" s="2">
        <f ca="1">IFERROR(__xludf.DUMMYFUNCTION("""COMPUTED_VALUE"""),600)</f>
        <v>600</v>
      </c>
      <c r="E231" s="2" t="str">
        <f ca="1">IFERROR(__xludf.DUMMYFUNCTION("""COMPUTED_VALUE"""),"Lewd New World")</f>
        <v>Lewd New World</v>
      </c>
      <c r="F231" s="2" t="str">
        <f ca="1">IFERROR(__xludf.DUMMYFUNCTION("""COMPUTED_VALUE"""),"Bricola")</f>
        <v>Bricola</v>
      </c>
      <c r="G231" s="2" t="str">
        <f ca="1">IFERROR(__xludf.DUMMYFUNCTION("""COMPUTED_VALUE"""),"Mind &amp; Control")</f>
        <v>Mind &amp; Control</v>
      </c>
      <c r="H231" s="2" t="str">
        <f ca="1">IFERROR(__xludf.DUMMYFUNCTION("""COMPUTED_VALUE"""),"This all started because Yoruichi was utterly irreverent in the face of Ichigo’s request for privacy, something that led her to believe he needed to get laid. Which she then did. Which he then did back. Things snowballed from there, and this place doesn’t"&amp;" really resemble canon anymore. While you can’t pull that exact scenario off - that's a different perk - you can at least get the ball rolling in the general direction. Simply put, you are a walking apocalypse to the prude. Showing off your fetish and con"&amp;"vincing people to share it is trivial at best, and with a bit of luck and maybe a blowjob, repealing a few inconvenient laws is entirely possible. Simply put, the same massive societal change we saw from the Gotei 13 is now something you can pull off with"&amp;" maybe a few days of hard work. Please keep in mind that the Gotei 13 is stupidly simple in comparison to the living world, so you might need a bit more effort for that.")</f>
        <v>This all started because Yoruichi was utterly irreverent in the face of Ichigo’s request for privacy, something that led her to believe he needed to get laid. Which she then did. Which he then did back. Things snowballed from there, and this place doesn’t really resemble canon anymore. While you can’t pull that exact scenario off - that's a different perk - you can at least get the ball rolling in the general direction. Simply put, you are a walking apocalypse to the prude. Showing off your fetish and convincing people to share it is trivial at best, and with a bit of luck and maybe a blowjob, repealing a few inconvenient laws is entirely possible. Simply put, the same massive societal change we saw from the Gotei 13 is now something you can pull off with maybe a few days of hard work. Please keep in mind that the Gotei 13 is stupidly simple in comparison to the living world, so you might need a bit more effort for that.</v>
      </c>
      <c r="I231" s="5"/>
    </row>
    <row r="232" spans="1:9" ht="69.599999999999994" x14ac:dyDescent="0.25">
      <c r="A232" s="16"/>
      <c r="B232" s="17">
        <v>228</v>
      </c>
      <c r="C232" s="2" t="b">
        <f ca="1">IFERROR(__xludf.DUMMYFUNCTION("""COMPUTED_VALUE"""),FALSE)</f>
        <v>0</v>
      </c>
      <c r="D232" s="2">
        <f ca="1">IFERROR(__xludf.DUMMYFUNCTION("""COMPUTED_VALUE"""),600)</f>
        <v>600</v>
      </c>
      <c r="E232" s="2" t="str">
        <f ca="1">IFERROR(__xludf.DUMMYFUNCTION("""COMPUTED_VALUE"""),"Normal Days")</f>
        <v>Normal Days</v>
      </c>
      <c r="F232" s="2" t="str">
        <f ca="1">IFERROR(__xludf.DUMMYFUNCTION("""COMPUTED_VALUE"""),"Sekirei")</f>
        <v>Sekirei</v>
      </c>
      <c r="G232" s="2" t="str">
        <f ca="1">IFERROR(__xludf.DUMMYFUNCTION("""COMPUTED_VALUE"""),"Mind &amp; Control")</f>
        <v>Mind &amp; Control</v>
      </c>
      <c r="H232" s="2" t="str">
        <f ca="1">IFERROR(__xludf.DUMMYFUNCTION("""COMPUTED_VALUE"""),"People have an odd tendency to ignore the strange and unexpected when you’re around. If you start brawling in the street, passersby shall just blink and move to avoid the flying bodies, instead of scream or call law enforcement. Any peculiarities about yo"&amp;"ur companions are likewise ignored, even if they’re walking about half naked and still smoking from that battle five minutes prior.")</f>
        <v>People have an odd tendency to ignore the strange and unexpected when you’re around. If you start brawling in the street, passersby shall just blink and move to avoid the flying bodies, instead of scream or call law enforcement. Any peculiarities about your companions are likewise ignored, even if they’re walking about half naked and still smoking from that battle five minutes prior.</v>
      </c>
      <c r="I232" s="5"/>
    </row>
    <row r="233" spans="1:9" ht="226.2" x14ac:dyDescent="0.25">
      <c r="A233" s="16"/>
      <c r="B233" s="17">
        <v>229</v>
      </c>
      <c r="C233" s="2" t="b">
        <f ca="1">IFERROR(__xludf.DUMMYFUNCTION("""COMPUTED_VALUE"""),FALSE)</f>
        <v>0</v>
      </c>
      <c r="D233" s="2">
        <f ca="1">IFERROR(__xludf.DUMMYFUNCTION("""COMPUTED_VALUE"""),600)</f>
        <v>600</v>
      </c>
      <c r="E233" s="2" t="str">
        <f ca="1">IFERROR(__xludf.DUMMYFUNCTION("""COMPUTED_VALUE"""),"Out of Context Power")</f>
        <v>Out of Context Power</v>
      </c>
      <c r="F233" s="2" t="str">
        <f ca="1">IFERROR(__xludf.DUMMYFUNCTION("""COMPUTED_VALUE"""),"Mind Control University")</f>
        <v>Mind Control University</v>
      </c>
      <c r="G233" s="2" t="str">
        <f ca="1">IFERROR(__xludf.DUMMYFUNCTION("""COMPUTED_VALUE"""),"Mind &amp; Control")</f>
        <v>Mind &amp; Control</v>
      </c>
      <c r="H233" s="2" t="str">
        <f ca="1">IFERROR(__xludf.DUMMYFUNCTION("""COMPUTED_VALUE"""),"You possess a single power that is within the theme of mind control and intrigue but does not actually fall under any of the six Methods of mind control - Hypnotism, Technology, Chemistry, Psionics, Magic, Chi - and so is much harder to defend against wit"&amp;"h conventional means or replicate.
Perhaps, like Connie, you have access to the Path to Persuasion and know precisely the words, intonation, body language, micro-expressions, and other facets of Hypnosis you must employ to sway them and drive them where "&amp;"you wish. Perhaps, like Hope, you can focus to free an individual of any external control or influence. Perhaps, like Arcturia, you are capable of summoning powerful creatures and the spirits of ancient heroes. Perhaps, like Flare or at times Mary, you gi"&amp;"ve off an aura that causes everyone within it to love you. Perhaps you possess a more powerful expression of Helen’s ability to sense good and evil. You can’t have anything as powerful as being the Gamer like Yumi, but perhaps, like her, you grow more res"&amp;"istant to different mind control techniques as they are used on you. Perhaps something else. It’s up to you.")</f>
        <v>You possess a single power that is within the theme of mind control and intrigue but does not actually fall under any of the six Methods of mind control - Hypnotism, Technology, Chemistry, Psionics, Magic, Chi - and so is much harder to defend against with conventional means or replicate.
Perhaps, like Connie, you have access to the Path to Persuasion and know precisely the words, intonation, body language, micro-expressions, and other facets of Hypnosis you must employ to sway them and drive them where you wish. Perhaps, like Hope, you can focus to free an individual of any external control or influence. Perhaps, like Arcturia, you are capable of summoning powerful creatures and the spirits of ancient heroes. Perhaps, like Flare or at times Mary, you give off an aura that causes everyone within it to love you. Perhaps you possess a more powerful expression of Helen’s ability to sense good and evil. You can’t have anything as powerful as being the Gamer like Yumi, but perhaps, like her, you grow more resistant to different mind control techniques as they are used on you. Perhaps something else. It’s up to you.</v>
      </c>
      <c r="I233" s="5"/>
    </row>
    <row r="234" spans="1:9" ht="87" x14ac:dyDescent="0.25">
      <c r="A234" s="16"/>
      <c r="B234" s="17">
        <v>230</v>
      </c>
      <c r="C234" s="2" t="b">
        <f ca="1">IFERROR(__xludf.DUMMYFUNCTION("""COMPUTED_VALUE"""),FALSE)</f>
        <v>0</v>
      </c>
      <c r="D234" s="2">
        <f ca="1">IFERROR(__xludf.DUMMYFUNCTION("""COMPUTED_VALUE"""),600)</f>
        <v>600</v>
      </c>
      <c r="E234" s="2" t="str">
        <f ca="1">IFERROR(__xludf.DUMMYFUNCTION("""COMPUTED_VALUE"""),"Powder Medicine")</f>
        <v>Powder Medicine</v>
      </c>
      <c r="F234" s="2" t="str">
        <f ca="1">IFERROR(__xludf.DUMMYFUNCTION("""COMPUTED_VALUE"""),"Bokunchi No Mikage-san")</f>
        <v>Bokunchi No Mikage-san</v>
      </c>
      <c r="G234" s="2" t="str">
        <f ca="1">IFERROR(__xludf.DUMMYFUNCTION("""COMPUTED_VALUE"""),"Mind &amp; Control")</f>
        <v>Mind &amp; Control</v>
      </c>
      <c r="H234" s="2" t="str">
        <f ca="1">IFERROR(__xludf.DUMMYFUNCTION("""COMPUTED_VALUE"""),"This is the same powder Mikage offered to a certain boyfriend... except unlike what she gave him, this is the real stuff. Anyone who ingests this medicine will become obedient; their awareness will dim, and they become incapable of resisting orders. This "&amp;"medicine has no side effects, except that the person taking the medicine will forget everything that happened while they are under its influence.")</f>
        <v>This is the same powder Mikage offered to a certain boyfriend... except unlike what she gave him, this is the real stuff. Anyone who ingests this medicine will become obedient; their awareness will dim, and they become incapable of resisting orders. This medicine has no side effects, except that the person taking the medicine will forget everything that happened while they are under its influence.</v>
      </c>
      <c r="I234" s="5"/>
    </row>
    <row r="235" spans="1:9" ht="69.599999999999994" x14ac:dyDescent="0.25">
      <c r="A235" s="16"/>
      <c r="B235" s="17">
        <v>231</v>
      </c>
      <c r="C235" s="2" t="b">
        <f ca="1">IFERROR(__xludf.DUMMYFUNCTION("""COMPUTED_VALUE"""),FALSE)</f>
        <v>0</v>
      </c>
      <c r="D235" s="2">
        <f ca="1">IFERROR(__xludf.DUMMYFUNCTION("""COMPUTED_VALUE"""),600)</f>
        <v>600</v>
      </c>
      <c r="E235" s="2" t="str">
        <f ca="1">IFERROR(__xludf.DUMMYFUNCTION("""COMPUTED_VALUE"""),"Prescence Concealment")</f>
        <v>Prescence Concealment</v>
      </c>
      <c r="F235" s="2" t="str">
        <f ca="1">IFERROR(__xludf.DUMMYFUNCTION("""COMPUTED_VALUE"""),"Nyakumi")</f>
        <v>Nyakumi</v>
      </c>
      <c r="G235" s="2" t="str">
        <f ca="1">IFERROR(__xludf.DUMMYFUNCTION("""COMPUTED_VALUE"""),"Mind &amp; Control")</f>
        <v>Mind &amp; Control</v>
      </c>
      <c r="H235" s="2" t="str">
        <f ca="1">IFERROR(__xludf.DUMMYFUNCTION("""COMPUTED_VALUE"""),"Are you some kind of ninja, or perhaps the perfect maid? With a bit of focus, you can hide yourself and one other person from the attention of others. You could have sex right in front of people and they wouldn’t be able to notice as long as you don’t acc"&amp;"identally make contact with them. Be warned that you will still appear in camera footage.")</f>
        <v>Are you some kind of ninja, or perhaps the perfect maid? With a bit of focus, you can hide yourself and one other person from the attention of others. You could have sex right in front of people and they wouldn’t be able to notice as long as you don’t accidentally make contact with them. Be warned that you will still appear in camera footage.</v>
      </c>
      <c r="I235" s="5"/>
    </row>
    <row r="236" spans="1:9" ht="174" x14ac:dyDescent="0.25">
      <c r="A236" s="16"/>
      <c r="B236" s="17">
        <v>232</v>
      </c>
      <c r="C236" s="2" t="b">
        <f ca="1">IFERROR(__xludf.DUMMYFUNCTION("""COMPUTED_VALUE"""),FALSE)</f>
        <v>0</v>
      </c>
      <c r="D236" s="2">
        <f ca="1">IFERROR(__xludf.DUMMYFUNCTION("""COMPUTED_VALUE"""),600)</f>
        <v>600</v>
      </c>
      <c r="E236" s="2" t="str">
        <f ca="1">IFERROR(__xludf.DUMMYFUNCTION("""COMPUTED_VALUE"""),"Relationship Lifehacks")</f>
        <v>Relationship Lifehacks</v>
      </c>
      <c r="F236" s="2" t="str">
        <f ca="1">IFERROR(__xludf.DUMMYFUNCTION("""COMPUTED_VALUE"""),"Fate/Whore Order")</f>
        <v>Fate/Whore Order</v>
      </c>
      <c r="G236" s="2" t="str">
        <f ca="1">IFERROR(__xludf.DUMMYFUNCTION("""COMPUTED_VALUE"""),"Mind &amp; Control")</f>
        <v>Mind &amp; Control</v>
      </c>
      <c r="H236" s="2" t="str">
        <f ca="1">IFERROR(__xludf.DUMMYFUNCTION("""COMPUTED_VALUE"""),"The Master of Chaldea is a nice guy, great even, but his absolutely stunning personality doesn’t help him one bit in bed. Something that Scathach noted and quickly abandoned him over. Why stick around with someone incompetent when there are entire Singula"&amp;"rities filled with men who are big, strong, and who will eventually be retroactively erased? Of course even with that it would probably feel like a punch to the gut to see the look on his face when he finds out what you’ve done in secret - it’s not like y"&amp;"ou ever really hated him after all. To that end, you’re either from the Moon Cell or have taken notes from someone who is and have learned to ‘edit’ people's memory, erasing inconvenient memories wholesale and inserting simple false ones in their place. T"&amp;"hat phone call where you were getting railed by someone with a decently sized dick was just some stretches, no need to worry about anything.")</f>
        <v>The Master of Chaldea is a nice guy, great even, but his absolutely stunning personality doesn’t help him one bit in bed. Something that Scathach noted and quickly abandoned him over. Why stick around with someone incompetent when there are entire Singularities filled with men who are big, strong, and who will eventually be retroactively erased? Of course even with that it would probably feel like a punch to the gut to see the look on his face when he finds out what you’ve done in secret - it’s not like you ever really hated him after all. To that end, you’re either from the Moon Cell or have taken notes from someone who is and have learned to ‘edit’ people's memory, erasing inconvenient memories wholesale and inserting simple false ones in their place. That phone call where you were getting railed by someone with a decently sized dick was just some stretches, no need to worry about anything.</v>
      </c>
      <c r="I236" s="5"/>
    </row>
    <row r="237" spans="1:9" ht="191.4" x14ac:dyDescent="0.25">
      <c r="A237" s="16"/>
      <c r="B237" s="17">
        <v>233</v>
      </c>
      <c r="C237" s="2" t="b">
        <f ca="1">IFERROR(__xludf.DUMMYFUNCTION("""COMPUTED_VALUE"""),FALSE)</f>
        <v>0</v>
      </c>
      <c r="D237" s="2">
        <f ca="1">IFERROR(__xludf.DUMMYFUNCTION("""COMPUTED_VALUE"""),600)</f>
        <v>600</v>
      </c>
      <c r="E237" s="2" t="str">
        <f ca="1">IFERROR(__xludf.DUMMYFUNCTION("""COMPUTED_VALUE"""),"Reusable H-Ball")</f>
        <v>Reusable H-Ball</v>
      </c>
      <c r="F237" s="2" t="str">
        <f ca="1">IFERROR(__xludf.DUMMYFUNCTION("""COMPUTED_VALUE"""),"Pokemon Harem Master")</f>
        <v>Pokemon Harem Master</v>
      </c>
      <c r="G237" s="2" t="str">
        <f ca="1">IFERROR(__xludf.DUMMYFUNCTION("""COMPUTED_VALUE"""),"Mind &amp; Control")</f>
        <v>Mind &amp; Control</v>
      </c>
      <c r="H237" s="2" t="str">
        <f ca="1">IFERROR(__xludf.DUMMYFUNCTION("""COMPUTED_VALUE"""),"And here we go, the prize that Omni stole from Prof Oak and the first step on his journey to becoming a harem master. In an unusual twist to a normal Pokeball, it’s useless for capturing Pokemon. Instead, it captures men and women and rewrites small parts"&amp;" of their brains to make them your new lover. An instinctive need to be submissive to you, an association of practically every positive emotion in the book with your smiling face, and a very small trace of constant arousal when around you. Just your stand"&amp;"ard brainwashing package. Unfortunately, while the ball might be experimental, it’s still loaded with some basic Pokemon League safety restrictions, and as such it will shut down after being used on six people.
With that said, the ball doesn’t need cont"&amp;"inuous use in order to maintain your control, so you can simply ‘release’ a woman in order to make more space.")</f>
        <v>And here we go, the prize that Omni stole from Prof Oak and the first step on his journey to becoming a harem master. In an unusual twist to a normal Pokeball, it’s useless for capturing Pokemon. Instead, it captures men and women and rewrites small parts of their brains to make them your new lover. An instinctive need to be submissive to you, an association of practically every positive emotion in the book with your smiling face, and a very small trace of constant arousal when around you. Just your standard brainwashing package. Unfortunately, while the ball might be experimental, it’s still loaded with some basic Pokemon League safety restrictions, and as such it will shut down after being used on six people.
With that said, the ball doesn’t need continuous use in order to maintain your control, so you can simply ‘release’ a woman in order to make more space.</v>
      </c>
      <c r="I237" s="5"/>
    </row>
    <row r="238" spans="1:9" ht="121.8" x14ac:dyDescent="0.25">
      <c r="A238" s="16"/>
      <c r="B238" s="17">
        <v>234</v>
      </c>
      <c r="C238" s="2" t="b">
        <f ca="1">IFERROR(__xludf.DUMMYFUNCTION("""COMPUTED_VALUE"""),FALSE)</f>
        <v>0</v>
      </c>
      <c r="D238" s="2">
        <f ca="1">IFERROR(__xludf.DUMMYFUNCTION("""COMPUTED_VALUE"""),600)</f>
        <v>600</v>
      </c>
      <c r="E238" s="2" t="str">
        <f ca="1">IFERROR(__xludf.DUMMYFUNCTION("""COMPUTED_VALUE"""),"Sexual Relief Worker")</f>
        <v>Sexual Relief Worker</v>
      </c>
      <c r="F238" s="2" t="str">
        <f ca="1">IFERROR(__xludf.DUMMYFUNCTION("""COMPUTED_VALUE"""),"Evening Starter")</f>
        <v>Evening Starter</v>
      </c>
      <c r="G238" s="2" t="str">
        <f ca="1">IFERROR(__xludf.DUMMYFUNCTION("""COMPUTED_VALUE"""),"Mind &amp; Control")</f>
        <v>Mind &amp; Control</v>
      </c>
      <c r="H238" s="2" t="str">
        <f ca="1">IFERROR(__xludf.DUMMYFUNCTION("""COMPUTED_VALUE"""),"Sex Sells, that’s a given, but sex can also be used for other things. Been a hassle to the police? Offer yourself as an apology. Those Yakuza looking to mess you up? Let them mess you up in a more fun way. Basically, you use sex to relieve the stress of t"&amp;"hose that might wish you physical or financial harm. With the proper persuasion, you may even calm enemies with a good and proper fucking. To top it all off, you may use sex in a manner to purchase information. Some got a bit of dirt on that politician? S"&amp;"uck his dick and he’ll provide. Is a nurse involved in a medical experiment? Ream her good and you might get some raw data on that.")</f>
        <v>Sex Sells, that’s a given, but sex can also be used for other things. Been a hassle to the police? Offer yourself as an apology. Those Yakuza looking to mess you up? Let them mess you up in a more fun way. Basically, you use sex to relieve the stress of those that might wish you physical or financial harm. With the proper persuasion, you may even calm enemies with a good and proper fucking. To top it all off, you may use sex in a manner to purchase information. Some got a bit of dirt on that politician? Suck his dick and he’ll provide. Is a nurse involved in a medical experiment? Ream her good and you might get some raw data on that.</v>
      </c>
      <c r="I238" s="5"/>
    </row>
    <row r="239" spans="1:9" ht="226.2" x14ac:dyDescent="0.25">
      <c r="A239" s="16"/>
      <c r="B239" s="17">
        <v>235</v>
      </c>
      <c r="C239" s="2" t="b">
        <f ca="1">IFERROR(__xludf.DUMMYFUNCTION("""COMPUTED_VALUE"""),FALSE)</f>
        <v>0</v>
      </c>
      <c r="D239" s="2">
        <f ca="1">IFERROR(__xludf.DUMMYFUNCTION("""COMPUTED_VALUE"""),600)</f>
        <v>600</v>
      </c>
      <c r="E239" s="2" t="str">
        <f ca="1">IFERROR(__xludf.DUMMYFUNCTION("""COMPUTED_VALUE"""),"Simply Mesmerizing")</f>
        <v>Simply Mesmerizing</v>
      </c>
      <c r="F239" s="2" t="str">
        <f ca="1">IFERROR(__xludf.DUMMYFUNCTION("""COMPUTED_VALUE"""),"Mind Control University")</f>
        <v>Mind Control University</v>
      </c>
      <c r="G239" s="2" t="str">
        <f ca="1">IFERROR(__xludf.DUMMYFUNCTION("""COMPUTED_VALUE"""),"Mind &amp; Control")</f>
        <v>Mind &amp; Control</v>
      </c>
      <c r="H239" s="2" t="str">
        <f ca="1">IFERROR(__xludf.DUMMYFUNCTION("""COMPUTED_VALUE"""),"You’re able to incorporate a number of high-level induction techniques into your mannerisms without even trying. The cadence of your words matches the cadence of the breathing of whoever you’re speaking to. You place subtle emphasis on the right words. Yo"&amp;"ur micro-expressions are tailored to the individual, and your micro-movements are perfectly timed. All of this slowly but subtly primes people for you and only you to place them into a deep trance. (They will not actually fall into the trance until you wa"&amp;"nt them to.) A few minutes of interaction and they’ll be ready; you’ll need to interact with them a little beforehand each time, but the time needed will shorten based on how much you’ve interacted in the past.
Superior induction techniques will be inco"&amp;"rporated as you learn them, but these are already good enough that it’ll take at least a few months of class before you learn any. This is almost impossible to notice if you’re not an expert actively looking for it, but if you’re feeling paranoid, you can"&amp;" stop the effect at will.")</f>
        <v>You’re able to incorporate a number of high-level induction techniques into your mannerisms without even trying. The cadence of your words matches the cadence of the breathing of whoever you’re speaking to. You place subtle emphasis on the right words. Your micro-expressions are tailored to the individual, and your micro-movements are perfectly timed. All of this slowly but subtly primes people for you and only you to place them into a deep trance. (They will not actually fall into the trance until you want them to.) A few minutes of interaction and they’ll be ready; you’ll need to interact with them a little beforehand each time, but the time needed will shorten based on how much you’ve interacted in the past.
Superior induction techniques will be incorporated as you learn them, but these are already good enough that it’ll take at least a few months of class before you learn any. This is almost impossible to notice if you’re not an expert actively looking for it, but if you’re feeling paranoid, you can stop the effect at will.</v>
      </c>
      <c r="I239" s="5"/>
    </row>
    <row r="240" spans="1:9" ht="208.8" x14ac:dyDescent="0.25">
      <c r="A240" s="16"/>
      <c r="B240" s="17">
        <v>236</v>
      </c>
      <c r="C240" s="2" t="b">
        <f ca="1">IFERROR(__xludf.DUMMYFUNCTION("""COMPUTED_VALUE"""),FALSE)</f>
        <v>0</v>
      </c>
      <c r="D240" s="2">
        <f ca="1">IFERROR(__xludf.DUMMYFUNCTION("""COMPUTED_VALUE"""),600)</f>
        <v>600</v>
      </c>
      <c r="E240" s="2" t="str">
        <f ca="1">IFERROR(__xludf.DUMMYFUNCTION("""COMPUTED_VALUE"""),"Symbol of Hope")</f>
        <v>Symbol of Hope</v>
      </c>
      <c r="F240" s="2" t="str">
        <f ca="1">IFERROR(__xludf.DUMMYFUNCTION("""COMPUTED_VALUE"""),"World of Lewd Superheroes")</f>
        <v>World of Lewd Superheroes</v>
      </c>
      <c r="G240" s="2" t="str">
        <f ca="1">IFERROR(__xludf.DUMMYFUNCTION("""COMPUTED_VALUE"""),"Mind &amp; Control")</f>
        <v>Mind &amp; Control</v>
      </c>
      <c r="H240" s="2" t="str">
        <f ca="1">IFERROR(__xludf.DUMMYFUNCTION("""COMPUTED_VALUE"""),"Having superpowers isn’t what transforms men into heroes, it’s the ideals they represent that matter most. Whether you fight for truth and justice, sexual freedom, or something else entirely, you’re a symbol of your ideals and can inspire virtue and heroi"&amp;"sm in others by performing great deeds in the name of those ideals. When you battle evil or protect others your actions inspire onlookers and those you help, bringing out the best in them and gradually making the world a better place one good deed at a ti"&amp;"me. Eventually you’ll see major changes in the world as your deeds begin to add up: plummeting crime rates, shrinking poverty, the end of prejudice and more are all possible with enough time and effort on your part. Apart from traditional virtues you can "&amp;"also promote a few of your own and shape the world to come without risk of tarnishing the utopia it may become. Maybe you’ll promote sexual liberty and eradicate the shaming of healthy desires, or help revive traditional gender roles and create a harmonio"&amp;"us patriarchy, or just embrace your kinks and spread them far and wide for the world to enjoy with you.")</f>
        <v>Having superpowers isn’t what transforms men into heroes, it’s the ideals they represent that matter most. Whether you fight for truth and justice, sexual freedom, or something else entirely, you’re a symbol of your ideals and can inspire virtue and heroism in others by performing great deeds in the name of those ideals. When you battle evil or protect others your actions inspire onlookers and those you help, bringing out the best in them and gradually making the world a better place one good deed at a time. Eventually you’ll see major changes in the world as your deeds begin to add up: plummeting crime rates, shrinking poverty, the end of prejudice and more are all possible with enough time and effort on your part. Apart from traditional virtues you can also promote a few of your own and shape the world to come without risk of tarnishing the utopia it may become. Maybe you’ll promote sexual liberty and eradicate the shaming of healthy desires, or help revive traditional gender roles and create a harmonious patriarchy, or just embrace your kinks and spread them far and wide for the world to enjoy with you.</v>
      </c>
      <c r="I240" s="5"/>
    </row>
    <row r="241" spans="1:9" ht="261" x14ac:dyDescent="0.25">
      <c r="A241" s="16"/>
      <c r="B241" s="17">
        <v>237</v>
      </c>
      <c r="C241" s="2" t="b">
        <f ca="1">IFERROR(__xludf.DUMMYFUNCTION("""COMPUTED_VALUE"""),FALSE)</f>
        <v>0</v>
      </c>
      <c r="D241" s="2">
        <f ca="1">IFERROR(__xludf.DUMMYFUNCTION("""COMPUTED_VALUE"""),600)</f>
        <v>600</v>
      </c>
      <c r="E241" s="2" t="str">
        <f ca="1">IFERROR(__xludf.DUMMYFUNCTION("""COMPUTED_VALUE"""),"The Orb of Domination")</f>
        <v>The Orb of Domination</v>
      </c>
      <c r="F241" s="2" t="str">
        <f ca="1">IFERROR(__xludf.DUMMYFUNCTION("""COMPUTED_VALUE"""),"Overwhored")</f>
        <v>Overwhored</v>
      </c>
      <c r="G241" s="2" t="str">
        <f ca="1">IFERROR(__xludf.DUMMYFUNCTION("""COMPUTED_VALUE"""),"Mind &amp; Control")</f>
        <v>Mind &amp; Control</v>
      </c>
      <c r="H241" s="2" t="str">
        <f ca="1">IFERROR(__xludf.DUMMYFUNCTION("""COMPUTED_VALUE"""),"One of the Overmind’s most vital relics, the Orb of Domination is the core of his power and channels his orgasmic energy. Necessary to rebuild his army and for him to enslave women. It is also his literal carved-out heart, a lie, and a trap, but nevermind"&amp;" that.
Unlike that vile thing, this version of the Orb does exactly what it is advertised to, without harming you if it happens to be destroyed. Mostly. While it doesn’t really help with enslaving women, you can use the Orb to upgrade your own powers as "&amp;"needed by feeding it orgasmic energy. The Orb will strengthen you in turn and grant you power in the form of new magical spells suited to you, more ways to command your slaves, and possibly other abilities if you happen to have access to different powers "&amp;"than the Overmind normally does. 
In addition to the Orb itself, this comes with a ritual to establish an orgasm matrix. Slaves who cannot fight can be kept suspended here in perpetual orgasm, cumming for the rest of their lives (or until you let them ou"&amp;"t) to provide you with orgasmic energy. This way, slaves that aren’t of use in battle or as servants can still help you enslave more useful girls.")</f>
        <v>One of the Overmind’s most vital relics, the Orb of Domination is the core of his power and channels his orgasmic energy. Necessary to rebuild his army and for him to enslave women. It is also his literal carved-out heart, a lie, and a trap, but nevermind that.
Unlike that vile thing, this version of the Orb does exactly what it is advertised to, without harming you if it happens to be destroyed. Mostly. While it doesn’t really help with enslaving women, you can use the Orb to upgrade your own powers as needed by feeding it orgasmic energy. The Orb will strengthen you in turn and grant you power in the form of new magical spells suited to you, more ways to command your slaves, and possibly other abilities if you happen to have access to different powers than the Overmind normally does. 
In addition to the Orb itself, this comes with a ritual to establish an orgasm matrix. Slaves who cannot fight can be kept suspended here in perpetual orgasm, cumming for the rest of their lives (or until you let them out) to provide you with orgasmic energy. This way, slaves that aren’t of use in battle or as servants can still help you enslave more useful girls.</v>
      </c>
      <c r="I241" s="5"/>
    </row>
    <row r="242" spans="1:9" ht="104.4" x14ac:dyDescent="0.25">
      <c r="A242" s="16"/>
      <c r="B242" s="17">
        <v>238</v>
      </c>
      <c r="C242" s="2" t="b">
        <f ca="1">IFERROR(__xludf.DUMMYFUNCTION("""COMPUTED_VALUE"""),FALSE)</f>
        <v>0</v>
      </c>
      <c r="D242" s="2">
        <f ca="1">IFERROR(__xludf.DUMMYFUNCTION("""COMPUTED_VALUE"""),600)</f>
        <v>600</v>
      </c>
      <c r="E242" s="2" t="str">
        <f ca="1">IFERROR(__xludf.DUMMYFUNCTION("""COMPUTED_VALUE"""),"World Wide Phenomenon")</f>
        <v>World Wide Phenomenon</v>
      </c>
      <c r="F242" s="2" t="str">
        <f ca="1">IFERROR(__xludf.DUMMYFUNCTION("""COMPUTED_VALUE"""),"Generic: Hentai Occult")</f>
        <v>Generic: Hentai Occult</v>
      </c>
      <c r="G242" s="2" t="str">
        <f ca="1">IFERROR(__xludf.DUMMYFUNCTION("""COMPUTED_VALUE"""),"Mind &amp; Control")</f>
        <v>Mind &amp; Control</v>
      </c>
      <c r="H242" s="2" t="str">
        <f ca="1">IFERROR(__xludf.DUMMYFUNCTION("""COMPUTED_VALUE"""),"There's something about the way you play with your toys that just seems to get everyone else interested in them. Maybe they want one? Maybe they want to watch, or perhaps they just appreciate your style of life? Regardless, witnesses aren't a problem for "&amp;"you - not that they have a tendency to mysteriously vanish, but that they seem to be more interested in joining than blowing the whistle. Don't worry about showing off in public or people just wandering in, or at least not as long as you give them a littl"&amp;"e bit of time with your toys.")</f>
        <v>There's something about the way you play with your toys that just seems to get everyone else interested in them. Maybe they want one? Maybe they want to watch, or perhaps they just appreciate your style of life? Regardless, witnesses aren't a problem for you - not that they have a tendency to mysteriously vanish, but that they seem to be more interested in joining than blowing the whistle. Don't worry about showing off in public or people just wandering in, or at least not as long as you give them a little bit of time with your toys.</v>
      </c>
      <c r="I242" s="5"/>
    </row>
    <row r="243" spans="1:9" ht="191.4" x14ac:dyDescent="0.25">
      <c r="A243" s="16"/>
      <c r="B243" s="17">
        <v>239</v>
      </c>
      <c r="C243" s="2" t="b">
        <f ca="1">IFERROR(__xludf.DUMMYFUNCTION("""COMPUTED_VALUE"""),FALSE)</f>
        <v>0</v>
      </c>
      <c r="D243" s="2">
        <f ca="1">IFERROR(__xludf.DUMMYFUNCTION("""COMPUTED_VALUE"""),700)</f>
        <v>700</v>
      </c>
      <c r="E243" s="2" t="str">
        <f ca="1">IFERROR(__xludf.DUMMYFUNCTION("""COMPUTED_VALUE"""),"Speechcraft [MAX]")</f>
        <v>Speechcraft [MAX]</v>
      </c>
      <c r="F243" s="2" t="str">
        <f ca="1">IFERROR(__xludf.DUMMYFUNCTION("""COMPUTED_VALUE"""),"Baalbuddy")</f>
        <v>Baalbuddy</v>
      </c>
      <c r="G243" s="2" t="str">
        <f ca="1">IFERROR(__xludf.DUMMYFUNCTION("""COMPUTED_VALUE"""),"Mind &amp; Control")</f>
        <v>Mind &amp; Control</v>
      </c>
      <c r="H243" s="2" t="str">
        <f ca="1">IFERROR(__xludf.DUMMYFUNCTION("""COMPUTED_VALUE"""),"Bonds, oaths, and even scruples don’t exist as far as you’re concerned, allowing you to make people decide to do things they otherwise wouldn’t. Personal values or prior relationships a person might have hold no special weight when they consider your argu"&amp;"ments. If you can offer a sufficiently convincing reason to do so, you can convince people to do almost anything. Make a mercenary a better offer and he’ll break a contract in a moment. Flirt with a married woman and she’ll bend over if she’s even slightl"&amp;"y interested in you. Offer the hero’s rival his secret desire and he’ll join your side in a heartbeat. Don’t expect to talk anyone into anything with this perk. You still have to make a good case, and people can still consider what you’re offering to be n"&amp;"ot worth the trouble. Self-preservation and advancement will always remain things people weigh your arguments against, so don’t expect to make someone do something suicidal (or effectively commit suicide of an abstact kind) unless they were already strong"&amp;"ly considering it.")</f>
        <v>Bonds, oaths, and even scruples don’t exist as far as you’re concerned, allowing you to make people decide to do things they otherwise wouldn’t. Personal values or prior relationships a person might have hold no special weight when they consider your arguments. If you can offer a sufficiently convincing reason to do so, you can convince people to do almost anything. Make a mercenary a better offer and he’ll break a contract in a moment. Flirt with a married woman and she’ll bend over if she’s even slightly interested in you. Offer the hero’s rival his secret desire and he’ll join your side in a heartbeat. Don’t expect to talk anyone into anything with this perk. You still have to make a good case, and people can still consider what you’re offering to be not worth the trouble. Self-preservation and advancement will always remain things people weigh your arguments against, so don’t expect to make someone do something suicidal (or effectively commit suicide of an abstact kind) unless they were already strongly considering it.</v>
      </c>
      <c r="I243" s="5"/>
    </row>
    <row r="244" spans="1:9" ht="365.4" x14ac:dyDescent="0.25">
      <c r="A244" s="16"/>
      <c r="B244" s="17">
        <v>240</v>
      </c>
      <c r="C244" s="2" t="b">
        <f ca="1">IFERROR(__xludf.DUMMYFUNCTION("""COMPUTED_VALUE"""),FALSE)</f>
        <v>0</v>
      </c>
      <c r="D244" s="2">
        <f ca="1">IFERROR(__xludf.DUMMYFUNCTION("""COMPUTED_VALUE"""),700)</f>
        <v>700</v>
      </c>
      <c r="E244" s="2" t="str">
        <f ca="1">IFERROR(__xludf.DUMMYFUNCTION("""COMPUTED_VALUE"""),"You Are Shunned")</f>
        <v>You Are Shunned</v>
      </c>
      <c r="F244" s="2" t="str">
        <f ca="1">IFERROR(__xludf.DUMMYFUNCTION("""COMPUTED_VALUE"""),"Shunned by the Village")</f>
        <v>Shunned by the Village</v>
      </c>
      <c r="G244" s="2" t="str">
        <f ca="1">IFERROR(__xludf.DUMMYFUNCTION("""COMPUTED_VALUE"""),"Mind &amp; Control")</f>
        <v>Mind &amp; Control</v>
      </c>
      <c r="H244" s="2" t="str">
        <f ca="1">IFERROR(__xludf.DUMMYFUNCTION("""COMPUTED_VALUE"""),"As awful as this village’s ostracism is, it does come with some advantages... advantages that now belong to you. You may, at your own discretion, declare yourself to be “shunned”. While being shunned, no one—save for those you designate as being immune to"&amp;" this effect—will pay any attention to you and will ignore your actions. This isn’t a matter of them being unable to perceive you, but rather a willing and determined snubbing of you, backed by the belief that some nebulous “punishment” will come for them"&amp;" with all the wrath of the law if they acknowledge your existence, regardless of if anyone else is actually there to see them do it.
They’ll respond normally to injury, but anything short of deliberately harming someone else will be decidedly ignored by"&amp;" everyone present. Note that under the effects of this perk, rape is not considered a form of “harm”, as long as you aren’t also beating them or something, although slapping their ass is fine. You could fuck a man’s wife in front of him at the dinner tabl"&amp;"e, and he’d just keep eating and pretend not to see it. People won’t even react to how other people react to you; if you were to fuck someone in the street, people wouldn’t respond as if something indecent were happening, but instead just walk around the "&amp;"two of you, not even acknowledging the unclothed state of your victim.
You can end this shunning at any time, and people will start responding to you normally. Nothing “negative” that you did while under the effects of this perk will matter to people an"&amp;"ymore, while anything “positive”—including the pleasure you may or may not have brought to people—will still be remembered and held in good regard.")</f>
        <v>As awful as this village’s ostracism is, it does come with some advantages... advantages that now belong to you. You may, at your own discretion, declare yourself to be “shunned”. While being shunned, no one—save for those you designate as being immune to this effect—will pay any attention to you and will ignore your actions. This isn’t a matter of them being unable to perceive you, but rather a willing and determined snubbing of you, backed by the belief that some nebulous “punishment” will come for them with all the wrath of the law if they acknowledge your existence, regardless of if anyone else is actually there to see them do it.
They’ll respond normally to injury, but anything short of deliberately harming someone else will be decidedly ignored by everyone present. Note that under the effects of this perk, rape is not considered a form of “harm”, as long as you aren’t also beating them or something, although slapping their ass is fine. You could fuck a man’s wife in front of him at the dinner table, and he’d just keep eating and pretend not to see it. People won’t even react to how other people react to you; if you were to fuck someone in the street, people wouldn’t respond as if something indecent were happening, but instead just walk around the two of you, not even acknowledging the unclothed state of your victim.
You can end this shunning at any time, and people will start responding to you normally. Nothing “negative” that you did while under the effects of this perk will matter to people anymore, while anything “positive”—including the pleasure you may or may not have brought to people—will still be remembered and held in good regard.</v>
      </c>
      <c r="I244" s="5"/>
    </row>
    <row r="245" spans="1:9" ht="191.4" x14ac:dyDescent="0.25">
      <c r="A245" s="16"/>
      <c r="B245" s="17">
        <v>241</v>
      </c>
      <c r="C245" s="2" t="b">
        <f ca="1">IFERROR(__xludf.DUMMYFUNCTION("""COMPUTED_VALUE"""),FALSE)</f>
        <v>0</v>
      </c>
      <c r="D245" s="2">
        <f ca="1">IFERROR(__xludf.DUMMYFUNCTION("""COMPUTED_VALUE"""),800)</f>
        <v>800</v>
      </c>
      <c r="E245" s="2" t="str">
        <f ca="1">IFERROR(__xludf.DUMMYFUNCTION("""COMPUTED_VALUE"""),"Happy Ending")</f>
        <v>Happy Ending</v>
      </c>
      <c r="F245" s="2" t="str">
        <f ca="1">IFERROR(__xludf.DUMMYFUNCTION("""COMPUTED_VALUE"""),"Milk Hunters")</f>
        <v>Milk Hunters</v>
      </c>
      <c r="G245" s="2" t="str">
        <f ca="1">IFERROR(__xludf.DUMMYFUNCTION("""COMPUTED_VALUE"""),"Mind &amp; Control")</f>
        <v>Mind &amp; Control</v>
      </c>
      <c r="H245" s="2" t="str">
        <f ca="1">IFERROR(__xludf.DUMMYFUNCTION("""COMPUTED_VALUE"""),"Well, a happy ending for you, anyway. As a hypothetical, let's say that in addition to taking advantage of this world's heroines, you've been raping and impregnating your helpless classmates and neighbors, as they're put to sleep by the monster attacks. F"&amp;"or some reason, though, not only did they not tell anyone, they didn't even bother trying to find out who did it to them. From now on, fortune will continue favoring you, in this way. It won't have much of an effect on your daily life, but as far as getti"&amp;"ng away with your misdeeds goes, you're pretty much golden. Rape someone and they'll keep quiet about it, impregnate someone and nobody will think to perform a DNA test or realize how much like you the child looks, shoplift and nobody will be looking your"&amp;" way or notice it on the security camera or while taking inventory. Of course, there's only so far this can take you. Murdering someone in broad daylight in front of dozens of witnesses will still see you locked up, if not worse.")</f>
        <v>Well, a happy ending for you, anyway. As a hypothetical, let's say that in addition to taking advantage of this world's heroines, you've been raping and impregnating your helpless classmates and neighbors, as they're put to sleep by the monster attacks. For some reason, though, not only did they not tell anyone, they didn't even bother trying to find out who did it to them. From now on, fortune will continue favoring you, in this way. It won't have much of an effect on your daily life, but as far as getting away with your misdeeds goes, you're pretty much golden. Rape someone and they'll keep quiet about it, impregnate someone and nobody will think to perform a DNA test or realize how much like you the child looks, shoplift and nobody will be looking your way or notice it on the security camera or while taking inventory. Of course, there's only so far this can take you. Murdering someone in broad daylight in front of dozens of witnesses will still see you locked up, if not worse.</v>
      </c>
      <c r="I245" s="5"/>
    </row>
    <row r="246" spans="1:9" ht="17.399999999999999" x14ac:dyDescent="0.25">
      <c r="A246" s="16"/>
      <c r="B246" s="17"/>
      <c r="C246" s="2" t="b">
        <f ca="1">IFERROR(__xludf.DUMMYFUNCTION("""COMPUTED_VALUE"""),TRUE)</f>
        <v>1</v>
      </c>
      <c r="D246" s="2">
        <f ca="1">IFERROR(__xludf.DUMMYFUNCTION("""COMPUTED_VALUE"""),-100)</f>
        <v>-100</v>
      </c>
      <c r="E246" s="2" t="str">
        <f ca="1">IFERROR(__xludf.DUMMYFUNCTION("""COMPUTED_VALUE"""),"Purchased Perks")</f>
        <v>Purchased Perks</v>
      </c>
      <c r="F246" s="2">
        <f ca="1">IFERROR(__xludf.DUMMYFUNCTION("""COMPUTED_VALUE"""),6)</f>
        <v>6</v>
      </c>
      <c r="G246" s="2" t="str">
        <f ca="1">IFERROR(__xludf.DUMMYFUNCTION("""COMPUTED_VALUE"""),"Mind &amp; Control")</f>
        <v>Mind &amp; Control</v>
      </c>
      <c r="H246" s="2"/>
      <c r="I246" s="5"/>
    </row>
    <row r="247" spans="1:9" ht="17.399999999999999" x14ac:dyDescent="0.25">
      <c r="A247" s="16"/>
      <c r="B247" s="17"/>
      <c r="C247" s="2"/>
      <c r="D247" s="2"/>
      <c r="E247" s="2"/>
      <c r="F247" s="2"/>
      <c r="G247" s="2"/>
      <c r="H247" s="2"/>
      <c r="I247" s="5"/>
    </row>
    <row r="248" spans="1:9" ht="17.399999999999999" x14ac:dyDescent="0.25">
      <c r="A248" s="16"/>
      <c r="B248" s="17"/>
      <c r="C248" s="2"/>
      <c r="D248" s="2"/>
      <c r="E248" s="2"/>
      <c r="F248" s="2"/>
      <c r="G248" s="2"/>
      <c r="H248" s="2"/>
      <c r="I248" s="5"/>
    </row>
    <row r="249" spans="1:9" ht="17.399999999999999" x14ac:dyDescent="0.25">
      <c r="A249" s="16"/>
      <c r="B249" s="17"/>
      <c r="C249" s="2"/>
      <c r="D249" s="2"/>
      <c r="E249" s="2"/>
      <c r="F249" s="2"/>
      <c r="G249" s="2"/>
      <c r="H249" s="2"/>
      <c r="I249" s="5"/>
    </row>
    <row r="250" spans="1:9" ht="17.399999999999999" x14ac:dyDescent="0.25">
      <c r="A250" s="16"/>
      <c r="B250" s="17"/>
      <c r="C250" s="2"/>
      <c r="D250" s="2"/>
      <c r="E250" s="2"/>
      <c r="F250" s="2"/>
      <c r="G250" s="2"/>
      <c r="H250" s="2"/>
      <c r="I250" s="5"/>
    </row>
    <row r="251" spans="1:9" ht="17.399999999999999" x14ac:dyDescent="0.25">
      <c r="A251" s="16"/>
      <c r="B251" s="17"/>
      <c r="C251" s="2"/>
      <c r="D251" s="2"/>
      <c r="E251" s="2"/>
      <c r="F251" s="2"/>
      <c r="G251" s="2"/>
      <c r="H251" s="2"/>
      <c r="I251" s="5"/>
    </row>
    <row r="252" spans="1:9" ht="17.399999999999999" x14ac:dyDescent="0.25">
      <c r="A252" s="16"/>
      <c r="B252" s="17"/>
      <c r="C252" s="2"/>
      <c r="D252" s="2"/>
      <c r="E252" s="2"/>
      <c r="F252" s="2"/>
      <c r="G252" s="2"/>
      <c r="H252" s="2"/>
      <c r="I252" s="5"/>
    </row>
    <row r="253" spans="1:9" ht="17.399999999999999" x14ac:dyDescent="0.25">
      <c r="A253" s="16"/>
      <c r="B253" s="17"/>
      <c r="C253" s="2"/>
      <c r="D253" s="2"/>
      <c r="E253" s="2"/>
      <c r="F253" s="2"/>
      <c r="G253" s="2"/>
      <c r="H253" s="2"/>
      <c r="I253" s="5"/>
    </row>
    <row r="254" spans="1:9" ht="17.399999999999999" x14ac:dyDescent="0.25">
      <c r="A254" s="16"/>
      <c r="B254" s="17"/>
      <c r="C254" s="2"/>
      <c r="D254" s="2"/>
      <c r="E254" s="2"/>
      <c r="F254" s="2"/>
      <c r="G254" s="2"/>
      <c r="H254" s="2"/>
      <c r="I254" s="5"/>
    </row>
    <row r="255" spans="1:9" ht="17.399999999999999" x14ac:dyDescent="0.25">
      <c r="A255" s="16"/>
      <c r="B255" s="17"/>
      <c r="C255" s="2"/>
      <c r="D255" s="2"/>
      <c r="E255" s="2"/>
      <c r="F255" s="2"/>
      <c r="G255" s="2"/>
      <c r="H255" s="2"/>
      <c r="I255" s="5"/>
    </row>
    <row r="256" spans="1:9" ht="17.399999999999999" x14ac:dyDescent="0.25">
      <c r="A256" s="16"/>
      <c r="B256" s="17"/>
      <c r="C256" s="2"/>
      <c r="D256" s="2"/>
      <c r="E256" s="2"/>
      <c r="F256" s="2"/>
      <c r="G256" s="2"/>
      <c r="H256" s="2"/>
      <c r="I256" s="5"/>
    </row>
    <row r="257" spans="1:9" ht="17.399999999999999" x14ac:dyDescent="0.25">
      <c r="A257" s="16"/>
      <c r="B257" s="17"/>
      <c r="C257" s="2"/>
      <c r="D257" s="2"/>
      <c r="E257" s="2"/>
      <c r="F257" s="2"/>
      <c r="G257" s="2"/>
      <c r="H257" s="2"/>
      <c r="I257" s="5"/>
    </row>
    <row r="258" spans="1:9" ht="17.399999999999999" x14ac:dyDescent="0.25">
      <c r="A258" s="16"/>
      <c r="B258" s="17"/>
      <c r="C258" s="2"/>
      <c r="D258" s="2"/>
      <c r="E258" s="2"/>
      <c r="F258" s="2"/>
      <c r="G258" s="2"/>
      <c r="H258" s="2"/>
      <c r="I258" s="5"/>
    </row>
    <row r="259" spans="1:9" ht="17.399999999999999" x14ac:dyDescent="0.25">
      <c r="A259" s="16"/>
      <c r="B259" s="17"/>
      <c r="C259" s="2"/>
      <c r="D259" s="2"/>
      <c r="E259" s="2"/>
      <c r="F259" s="2"/>
      <c r="G259" s="2"/>
      <c r="H259" s="2"/>
      <c r="I259" s="5"/>
    </row>
    <row r="260" spans="1:9" ht="17.399999999999999" x14ac:dyDescent="0.25">
      <c r="A260" s="16"/>
      <c r="B260" s="17"/>
      <c r="C260" s="2"/>
      <c r="D260" s="2"/>
      <c r="E260" s="2"/>
      <c r="F260" s="2"/>
      <c r="G260" s="2"/>
      <c r="H260" s="2"/>
      <c r="I260" s="5"/>
    </row>
    <row r="261" spans="1:9" ht="17.399999999999999" x14ac:dyDescent="0.25">
      <c r="A261" s="16"/>
      <c r="B261" s="17"/>
      <c r="C261" s="2"/>
      <c r="D261" s="2"/>
      <c r="E261" s="2"/>
      <c r="F261" s="2"/>
      <c r="G261" s="2"/>
      <c r="H261" s="2"/>
      <c r="I261" s="5"/>
    </row>
    <row r="262" spans="1:9" ht="17.399999999999999" x14ac:dyDescent="0.25">
      <c r="A262" s="16"/>
      <c r="B262" s="17"/>
      <c r="C262" s="2"/>
      <c r="D262" s="2"/>
      <c r="E262" s="2"/>
      <c r="F262" s="2"/>
      <c r="G262" s="2"/>
      <c r="H262" s="2"/>
      <c r="I262" s="5"/>
    </row>
    <row r="263" spans="1:9" ht="17.399999999999999" x14ac:dyDescent="0.25">
      <c r="A263" s="16"/>
      <c r="B263" s="17"/>
      <c r="C263" s="2"/>
      <c r="D263" s="2"/>
      <c r="E263" s="2"/>
      <c r="F263" s="2"/>
      <c r="G263" s="2"/>
      <c r="H263" s="2"/>
      <c r="I263" s="5"/>
    </row>
    <row r="264" spans="1:9" ht="17.399999999999999" x14ac:dyDescent="0.25">
      <c r="A264" s="16"/>
      <c r="B264" s="17"/>
      <c r="C264" s="2"/>
      <c r="D264" s="2"/>
      <c r="E264" s="2"/>
      <c r="F264" s="2"/>
      <c r="G264" s="2"/>
      <c r="H264" s="2"/>
      <c r="I264" s="5"/>
    </row>
    <row r="265" spans="1:9" ht="17.399999999999999" x14ac:dyDescent="0.25">
      <c r="A265" s="16"/>
      <c r="B265" s="17"/>
      <c r="C265" s="2"/>
      <c r="D265" s="2"/>
      <c r="E265" s="2"/>
      <c r="F265" s="2"/>
      <c r="G265" s="2"/>
      <c r="H265" s="2"/>
      <c r="I265" s="5"/>
    </row>
    <row r="266" spans="1:9" ht="17.399999999999999" x14ac:dyDescent="0.25">
      <c r="A266" s="16"/>
      <c r="B266" s="17"/>
      <c r="C266" s="2"/>
      <c r="D266" s="2"/>
      <c r="E266" s="2"/>
      <c r="F266" s="2"/>
      <c r="G266" s="2"/>
      <c r="H266" s="2"/>
      <c r="I266" s="5"/>
    </row>
    <row r="267" spans="1:9" ht="17.399999999999999" x14ac:dyDescent="0.25">
      <c r="A267" s="16"/>
      <c r="B267" s="17"/>
      <c r="C267" s="2"/>
      <c r="D267" s="2"/>
      <c r="E267" s="2"/>
      <c r="F267" s="2"/>
      <c r="G267" s="2"/>
      <c r="H267" s="2"/>
      <c r="I267" s="5"/>
    </row>
    <row r="268" spans="1:9" ht="17.399999999999999" x14ac:dyDescent="0.25">
      <c r="A268" s="16"/>
      <c r="B268" s="17"/>
      <c r="C268" s="2"/>
      <c r="D268" s="2"/>
      <c r="E268" s="2"/>
      <c r="F268" s="2"/>
      <c r="G268" s="2"/>
      <c r="H268" s="2"/>
      <c r="I268" s="5"/>
    </row>
    <row r="269" spans="1:9" ht="17.399999999999999" x14ac:dyDescent="0.25">
      <c r="A269" s="16"/>
      <c r="B269" s="17"/>
      <c r="C269" s="2"/>
      <c r="D269" s="2"/>
      <c r="E269" s="2"/>
      <c r="F269" s="2"/>
      <c r="G269" s="2"/>
      <c r="H269" s="2"/>
      <c r="I269" s="5"/>
    </row>
    <row r="270" spans="1:9" ht="17.399999999999999" x14ac:dyDescent="0.25">
      <c r="A270" s="16"/>
      <c r="B270" s="17"/>
      <c r="C270" s="2"/>
      <c r="D270" s="2"/>
      <c r="E270" s="2"/>
      <c r="F270" s="2"/>
      <c r="G270" s="2"/>
      <c r="H270" s="2"/>
      <c r="I270" s="5"/>
    </row>
    <row r="271" spans="1:9" ht="17.399999999999999" x14ac:dyDescent="0.25">
      <c r="A271" s="16"/>
      <c r="B271" s="17"/>
      <c r="C271" s="2"/>
      <c r="D271" s="2"/>
      <c r="E271" s="2"/>
      <c r="F271" s="2"/>
      <c r="G271" s="2"/>
      <c r="H271" s="2"/>
      <c r="I271" s="5"/>
    </row>
    <row r="272" spans="1:9" ht="17.399999999999999" x14ac:dyDescent="0.25">
      <c r="A272" s="16"/>
      <c r="B272" s="17"/>
      <c r="C272" s="2"/>
      <c r="D272" s="2"/>
      <c r="E272" s="2"/>
      <c r="F272" s="2"/>
      <c r="G272" s="2"/>
      <c r="H272" s="2"/>
      <c r="I272" s="5"/>
    </row>
    <row r="273" spans="1:9" ht="17.399999999999999" x14ac:dyDescent="0.25">
      <c r="A273" s="16"/>
      <c r="B273" s="17"/>
      <c r="C273" s="2"/>
      <c r="D273" s="2"/>
      <c r="E273" s="2"/>
      <c r="F273" s="2"/>
      <c r="G273" s="2"/>
      <c r="H273" s="2"/>
      <c r="I273" s="5"/>
    </row>
    <row r="274" spans="1:9" ht="17.399999999999999" x14ac:dyDescent="0.25">
      <c r="A274" s="16"/>
      <c r="B274" s="17"/>
      <c r="C274" s="2"/>
      <c r="D274" s="2"/>
      <c r="E274" s="2"/>
      <c r="F274" s="2"/>
      <c r="G274" s="2"/>
      <c r="H274" s="2"/>
      <c r="I274" s="5"/>
    </row>
    <row r="275" spans="1:9" ht="17.399999999999999" x14ac:dyDescent="0.25">
      <c r="A275" s="16"/>
      <c r="B275" s="17"/>
      <c r="C275" s="2"/>
      <c r="D275" s="2"/>
      <c r="E275" s="2"/>
      <c r="F275" s="2"/>
      <c r="G275" s="2"/>
      <c r="H275" s="2"/>
      <c r="I275" s="5"/>
    </row>
    <row r="276" spans="1:9" ht="17.399999999999999" x14ac:dyDescent="0.25">
      <c r="A276" s="16"/>
      <c r="B276" s="17"/>
      <c r="C276" s="2"/>
      <c r="D276" s="2"/>
      <c r="E276" s="2"/>
      <c r="F276" s="2"/>
      <c r="G276" s="2"/>
      <c r="H276" s="2"/>
      <c r="I276" s="5"/>
    </row>
    <row r="277" spans="1:9" ht="17.399999999999999" x14ac:dyDescent="0.25">
      <c r="A277" s="16"/>
      <c r="B277" s="17"/>
      <c r="C277" s="2"/>
      <c r="D277" s="2"/>
      <c r="E277" s="2"/>
      <c r="F277" s="2"/>
      <c r="G277" s="2"/>
      <c r="H277" s="2"/>
      <c r="I277" s="5"/>
    </row>
    <row r="278" spans="1:9" ht="17.399999999999999" x14ac:dyDescent="0.25">
      <c r="A278" s="16"/>
      <c r="B278" s="17"/>
      <c r="C278" s="2"/>
      <c r="D278" s="2"/>
      <c r="E278" s="2"/>
      <c r="F278" s="2"/>
      <c r="G278" s="2"/>
      <c r="H278" s="2"/>
      <c r="I278" s="5"/>
    </row>
    <row r="279" spans="1:9" ht="17.399999999999999" x14ac:dyDescent="0.25">
      <c r="A279" s="16"/>
      <c r="B279" s="17"/>
      <c r="C279" s="2"/>
      <c r="D279" s="2"/>
      <c r="E279" s="2"/>
      <c r="F279" s="2"/>
      <c r="G279" s="2"/>
      <c r="H279" s="2"/>
      <c r="I279" s="5"/>
    </row>
    <row r="280" spans="1:9" ht="17.399999999999999" x14ac:dyDescent="0.25">
      <c r="A280" s="16"/>
      <c r="B280" s="17"/>
      <c r="C280" s="2"/>
      <c r="D280" s="2"/>
      <c r="E280" s="2"/>
      <c r="F280" s="2"/>
      <c r="G280" s="2"/>
      <c r="H280" s="2"/>
      <c r="I280" s="5"/>
    </row>
    <row r="281" spans="1:9" ht="17.399999999999999" x14ac:dyDescent="0.25">
      <c r="A281" s="16"/>
      <c r="B281" s="17"/>
      <c r="C281" s="2"/>
      <c r="D281" s="2"/>
      <c r="E281" s="2"/>
      <c r="F281" s="2"/>
      <c r="G281" s="2"/>
      <c r="H281" s="2"/>
      <c r="I281" s="5"/>
    </row>
    <row r="282" spans="1:9" ht="17.399999999999999" x14ac:dyDescent="0.25">
      <c r="A282" s="16"/>
      <c r="B282" s="17"/>
      <c r="C282" s="2"/>
      <c r="D282" s="2"/>
      <c r="E282" s="2"/>
      <c r="F282" s="2"/>
      <c r="G282" s="2"/>
      <c r="H282" s="2"/>
      <c r="I282" s="5"/>
    </row>
    <row r="283" spans="1:9" ht="17.399999999999999" x14ac:dyDescent="0.25">
      <c r="A283" s="16"/>
      <c r="B283" s="17"/>
      <c r="C283" s="2"/>
      <c r="D283" s="2"/>
      <c r="E283" s="2"/>
      <c r="F283" s="2"/>
      <c r="G283" s="2"/>
      <c r="H283" s="2"/>
      <c r="I283" s="5"/>
    </row>
    <row r="284" spans="1:9" ht="17.399999999999999" x14ac:dyDescent="0.25">
      <c r="A284" s="16"/>
      <c r="B284" s="17"/>
      <c r="C284" s="2"/>
      <c r="D284" s="2"/>
      <c r="E284" s="2"/>
      <c r="F284" s="2"/>
      <c r="G284" s="2"/>
      <c r="H284" s="2"/>
      <c r="I284" s="5"/>
    </row>
    <row r="285" spans="1:9" ht="17.399999999999999" x14ac:dyDescent="0.25">
      <c r="A285" s="16"/>
      <c r="B285" s="17"/>
      <c r="C285" s="2"/>
      <c r="D285" s="2"/>
      <c r="E285" s="2"/>
      <c r="F285" s="2"/>
      <c r="G285" s="2"/>
      <c r="H285" s="2"/>
      <c r="I285" s="5"/>
    </row>
    <row r="286" spans="1:9" ht="17.399999999999999" x14ac:dyDescent="0.25">
      <c r="A286" s="16"/>
      <c r="B286" s="17"/>
      <c r="C286" s="2"/>
      <c r="D286" s="2"/>
      <c r="E286" s="2"/>
      <c r="F286" s="2"/>
      <c r="G286" s="2"/>
      <c r="H286" s="2"/>
      <c r="I286" s="5"/>
    </row>
    <row r="287" spans="1:9" ht="17.399999999999999" x14ac:dyDescent="0.25">
      <c r="A287" s="16"/>
      <c r="B287" s="17"/>
      <c r="C287" s="2"/>
      <c r="D287" s="2"/>
      <c r="E287" s="2"/>
      <c r="F287" s="2"/>
      <c r="G287" s="2"/>
      <c r="H287" s="2"/>
      <c r="I287" s="5"/>
    </row>
    <row r="288" spans="1:9" ht="17.399999999999999" x14ac:dyDescent="0.25">
      <c r="A288" s="16"/>
      <c r="B288" s="17"/>
      <c r="C288" s="2"/>
      <c r="D288" s="2"/>
      <c r="E288" s="2"/>
      <c r="F288" s="2"/>
      <c r="G288" s="2"/>
      <c r="H288" s="2"/>
      <c r="I288" s="5"/>
    </row>
    <row r="289" spans="1:9" ht="17.399999999999999" x14ac:dyDescent="0.25">
      <c r="A289" s="16"/>
      <c r="B289" s="17"/>
      <c r="C289" s="2"/>
      <c r="D289" s="2"/>
      <c r="E289" s="2"/>
      <c r="F289" s="2"/>
      <c r="G289" s="2"/>
      <c r="H289" s="2"/>
      <c r="I289" s="5"/>
    </row>
    <row r="290" spans="1:9" ht="17.399999999999999" x14ac:dyDescent="0.25">
      <c r="A290" s="16"/>
      <c r="B290" s="17"/>
      <c r="C290" s="2"/>
      <c r="D290" s="2"/>
      <c r="E290" s="2"/>
      <c r="F290" s="2"/>
      <c r="G290" s="2"/>
      <c r="H290" s="2"/>
      <c r="I290" s="5"/>
    </row>
    <row r="291" spans="1:9" ht="17.399999999999999" x14ac:dyDescent="0.25">
      <c r="A291" s="16"/>
      <c r="B291" s="17"/>
      <c r="C291" s="2"/>
      <c r="D291" s="2"/>
      <c r="E291" s="2"/>
      <c r="F291" s="2"/>
      <c r="G291" s="2"/>
      <c r="H291" s="2"/>
      <c r="I291" s="5"/>
    </row>
    <row r="292" spans="1:9" ht="17.399999999999999" x14ac:dyDescent="0.25">
      <c r="A292" s="16"/>
      <c r="B292" s="17"/>
      <c r="C292" s="2"/>
      <c r="D292" s="2"/>
      <c r="E292" s="2"/>
      <c r="F292" s="2"/>
      <c r="G292" s="2"/>
      <c r="H292" s="2"/>
      <c r="I292" s="5"/>
    </row>
    <row r="293" spans="1:9" ht="17.399999999999999" x14ac:dyDescent="0.25">
      <c r="A293" s="16"/>
      <c r="B293" s="17"/>
      <c r="C293" s="2"/>
      <c r="D293" s="2"/>
      <c r="E293" s="2"/>
      <c r="F293" s="2"/>
      <c r="G293" s="2"/>
      <c r="H293" s="2"/>
      <c r="I293" s="5"/>
    </row>
    <row r="294" spans="1:9" ht="17.399999999999999" x14ac:dyDescent="0.25">
      <c r="A294" s="16"/>
      <c r="B294" s="17"/>
      <c r="C294" s="2"/>
      <c r="D294" s="2"/>
      <c r="E294" s="2"/>
      <c r="F294" s="2"/>
      <c r="G294" s="2"/>
      <c r="H294" s="2"/>
      <c r="I294" s="5"/>
    </row>
    <row r="295" spans="1:9" ht="17.399999999999999" x14ac:dyDescent="0.25">
      <c r="A295" s="16"/>
      <c r="B295" s="17"/>
      <c r="C295" s="2"/>
      <c r="D295" s="2"/>
      <c r="E295" s="2"/>
      <c r="F295" s="2"/>
      <c r="G295" s="2"/>
      <c r="H295" s="2"/>
      <c r="I295" s="5"/>
    </row>
    <row r="296" spans="1:9" ht="17.399999999999999" x14ac:dyDescent="0.25">
      <c r="A296" s="16"/>
      <c r="B296" s="17"/>
      <c r="C296" s="2"/>
      <c r="D296" s="2"/>
      <c r="E296" s="2"/>
      <c r="F296" s="2"/>
      <c r="G296" s="2"/>
      <c r="H296" s="2"/>
      <c r="I296" s="5"/>
    </row>
    <row r="297" spans="1:9" ht="17.399999999999999" x14ac:dyDescent="0.25">
      <c r="A297" s="16"/>
      <c r="B297" s="17"/>
      <c r="C297" s="2"/>
      <c r="D297" s="2"/>
      <c r="E297" s="2"/>
      <c r="F297" s="2"/>
      <c r="G297" s="2"/>
      <c r="H297" s="2"/>
      <c r="I297" s="5"/>
    </row>
    <row r="298" spans="1:9" ht="17.399999999999999" x14ac:dyDescent="0.25">
      <c r="A298" s="16"/>
      <c r="B298" s="17"/>
      <c r="C298" s="2"/>
      <c r="D298" s="2"/>
      <c r="E298" s="2"/>
      <c r="F298" s="2"/>
      <c r="G298" s="2"/>
      <c r="H298" s="2"/>
      <c r="I298" s="5"/>
    </row>
    <row r="299" spans="1:9" ht="17.399999999999999" x14ac:dyDescent="0.25">
      <c r="A299" s="16"/>
      <c r="B299" s="17"/>
      <c r="C299" s="2"/>
      <c r="D299" s="2"/>
      <c r="E299" s="2"/>
      <c r="F299" s="2"/>
      <c r="G299" s="2"/>
      <c r="H299" s="2"/>
      <c r="I299" s="5"/>
    </row>
    <row r="300" spans="1:9" ht="17.399999999999999" x14ac:dyDescent="0.25">
      <c r="A300" s="16"/>
      <c r="B300" s="17"/>
      <c r="C300" s="2"/>
      <c r="D300" s="2"/>
      <c r="E300" s="2"/>
      <c r="F300" s="2"/>
      <c r="G300" s="2"/>
      <c r="H300" s="2"/>
      <c r="I300" s="5"/>
    </row>
    <row r="301" spans="1:9" ht="17.399999999999999" x14ac:dyDescent="0.25">
      <c r="A301" s="16"/>
      <c r="B301" s="17"/>
      <c r="C301" s="2"/>
      <c r="D301" s="2"/>
      <c r="E301" s="2"/>
      <c r="F301" s="2"/>
      <c r="G301" s="2"/>
      <c r="H301" s="2"/>
      <c r="I301" s="5"/>
    </row>
    <row r="302" spans="1:9" ht="17.399999999999999" x14ac:dyDescent="0.25">
      <c r="A302" s="16"/>
      <c r="B302" s="17"/>
      <c r="C302" s="2"/>
      <c r="D302" s="2"/>
      <c r="E302" s="2"/>
      <c r="F302" s="2"/>
      <c r="G302" s="2"/>
      <c r="H302" s="2"/>
      <c r="I302" s="5"/>
    </row>
    <row r="303" spans="1:9" ht="17.399999999999999" x14ac:dyDescent="0.25">
      <c r="A303" s="16"/>
      <c r="B303" s="17"/>
      <c r="C303" s="2"/>
      <c r="D303" s="2"/>
      <c r="E303" s="2"/>
      <c r="F303" s="2"/>
      <c r="G303" s="2"/>
      <c r="H303" s="2"/>
      <c r="I303" s="5"/>
    </row>
    <row r="304" spans="1:9" ht="17.399999999999999" x14ac:dyDescent="0.25">
      <c r="A304" s="16"/>
      <c r="B304" s="17"/>
      <c r="C304" s="2"/>
      <c r="D304" s="2"/>
      <c r="E304" s="2"/>
      <c r="F304" s="2"/>
      <c r="G304" s="2"/>
      <c r="H304" s="2"/>
      <c r="I304" s="5"/>
    </row>
    <row r="305" spans="1:9" ht="17.399999999999999" x14ac:dyDescent="0.25">
      <c r="A305" s="16"/>
      <c r="B305" s="17"/>
      <c r="C305" s="2"/>
      <c r="D305" s="2"/>
      <c r="E305" s="2"/>
      <c r="F305" s="2"/>
      <c r="G305" s="2"/>
      <c r="H305" s="2"/>
      <c r="I305" s="5"/>
    </row>
    <row r="306" spans="1:9" ht="17.399999999999999" x14ac:dyDescent="0.25">
      <c r="A306" s="16"/>
      <c r="B306" s="17"/>
      <c r="C306" s="2"/>
      <c r="D306" s="2"/>
      <c r="E306" s="2"/>
      <c r="F306" s="2"/>
      <c r="G306" s="2"/>
      <c r="H306" s="2"/>
      <c r="I306" s="5"/>
    </row>
    <row r="307" spans="1:9" ht="17.399999999999999" x14ac:dyDescent="0.25">
      <c r="A307" s="16"/>
      <c r="B307" s="17"/>
      <c r="C307" s="2"/>
      <c r="D307" s="2"/>
      <c r="E307" s="2"/>
      <c r="F307" s="2"/>
      <c r="G307" s="2"/>
      <c r="H307" s="2"/>
      <c r="I307" s="5"/>
    </row>
    <row r="308" spans="1:9" ht="17.399999999999999" x14ac:dyDescent="0.25">
      <c r="A308" s="16"/>
      <c r="B308" s="17"/>
      <c r="C308" s="2"/>
      <c r="D308" s="2"/>
      <c r="E308" s="2"/>
      <c r="F308" s="2"/>
      <c r="G308" s="2"/>
      <c r="H308" s="2"/>
      <c r="I308" s="5"/>
    </row>
    <row r="309" spans="1:9" ht="17.399999999999999" x14ac:dyDescent="0.25">
      <c r="A309" s="16"/>
      <c r="B309" s="17"/>
      <c r="C309" s="2"/>
      <c r="D309" s="2"/>
      <c r="E309" s="2"/>
      <c r="F309" s="2"/>
      <c r="G309" s="2"/>
      <c r="H309" s="2"/>
      <c r="I309" s="5"/>
    </row>
    <row r="310" spans="1:9" ht="17.399999999999999" x14ac:dyDescent="0.25">
      <c r="A310" s="16"/>
      <c r="B310" s="17"/>
      <c r="C310" s="2"/>
      <c r="D310" s="2"/>
      <c r="E310" s="2"/>
      <c r="F310" s="2"/>
      <c r="G310" s="2"/>
      <c r="H310" s="2"/>
      <c r="I310" s="5"/>
    </row>
    <row r="311" spans="1:9" ht="17.399999999999999" x14ac:dyDescent="0.25">
      <c r="A311" s="16"/>
      <c r="B311" s="17"/>
      <c r="C311" s="2"/>
      <c r="D311" s="2"/>
      <c r="E311" s="2"/>
      <c r="F311" s="2"/>
      <c r="G311" s="2"/>
      <c r="H311" s="2"/>
      <c r="I311" s="5"/>
    </row>
    <row r="312" spans="1:9" ht="17.399999999999999" x14ac:dyDescent="0.25">
      <c r="A312" s="16"/>
      <c r="B312" s="17"/>
      <c r="C312" s="2"/>
      <c r="D312" s="2"/>
      <c r="E312" s="2"/>
      <c r="F312" s="2"/>
      <c r="G312" s="2"/>
      <c r="H312" s="2"/>
      <c r="I312" s="5"/>
    </row>
    <row r="313" spans="1:9" ht="17.399999999999999" x14ac:dyDescent="0.25">
      <c r="A313" s="16"/>
      <c r="B313" s="17"/>
      <c r="C313" s="2"/>
      <c r="D313" s="2"/>
      <c r="E313" s="2"/>
      <c r="F313" s="2"/>
      <c r="G313" s="2"/>
      <c r="H313" s="2"/>
      <c r="I313" s="5"/>
    </row>
    <row r="314" spans="1:9" ht="17.399999999999999" x14ac:dyDescent="0.25">
      <c r="A314" s="16"/>
      <c r="B314" s="17"/>
      <c r="C314" s="2"/>
      <c r="D314" s="2"/>
      <c r="E314" s="2"/>
      <c r="F314" s="2"/>
      <c r="G314" s="2"/>
      <c r="H314" s="2"/>
      <c r="I314" s="5"/>
    </row>
    <row r="315" spans="1:9" ht="17.399999999999999" x14ac:dyDescent="0.25">
      <c r="A315" s="16"/>
      <c r="B315" s="17"/>
      <c r="C315" s="2"/>
      <c r="D315" s="2"/>
      <c r="E315" s="2"/>
      <c r="F315" s="2"/>
      <c r="G315" s="2"/>
      <c r="H315" s="2"/>
      <c r="I315" s="5"/>
    </row>
    <row r="316" spans="1:9" ht="17.399999999999999" x14ac:dyDescent="0.25">
      <c r="A316" s="16"/>
      <c r="B316" s="17"/>
      <c r="C316" s="2"/>
      <c r="D316" s="2"/>
      <c r="E316" s="2"/>
      <c r="F316" s="2"/>
      <c r="G316" s="2"/>
      <c r="H316" s="2"/>
      <c r="I316" s="5"/>
    </row>
    <row r="317" spans="1:9" ht="17.399999999999999" x14ac:dyDescent="0.25">
      <c r="A317" s="16"/>
      <c r="B317" s="17"/>
      <c r="C317" s="2"/>
      <c r="D317" s="2"/>
      <c r="E317" s="2"/>
      <c r="F317" s="2"/>
      <c r="G317" s="2"/>
      <c r="H317" s="2"/>
      <c r="I317" s="5"/>
    </row>
    <row r="318" spans="1:9" ht="17.399999999999999" x14ac:dyDescent="0.25">
      <c r="A318" s="16"/>
      <c r="B318" s="17"/>
      <c r="C318" s="2"/>
      <c r="D318" s="2"/>
      <c r="E318" s="2"/>
      <c r="F318" s="2"/>
      <c r="G318" s="2"/>
      <c r="H318" s="2"/>
      <c r="I318" s="5"/>
    </row>
    <row r="319" spans="1:9" ht="17.399999999999999" x14ac:dyDescent="0.25">
      <c r="A319" s="16"/>
      <c r="B319" s="17"/>
      <c r="C319" s="2"/>
      <c r="D319" s="2"/>
      <c r="E319" s="2"/>
      <c r="F319" s="2"/>
      <c r="G319" s="2"/>
      <c r="H319" s="2"/>
      <c r="I319" s="5"/>
    </row>
    <row r="320" spans="1:9" ht="17.399999999999999" x14ac:dyDescent="0.25">
      <c r="A320" s="16"/>
      <c r="B320" s="17"/>
      <c r="C320" s="2"/>
      <c r="D320" s="2"/>
      <c r="E320" s="2"/>
      <c r="F320" s="2"/>
      <c r="G320" s="2"/>
      <c r="H320" s="2"/>
      <c r="I320" s="5"/>
    </row>
    <row r="321" spans="1:9" ht="17.399999999999999" x14ac:dyDescent="0.25">
      <c r="A321" s="16"/>
      <c r="B321" s="17"/>
      <c r="C321" s="2"/>
      <c r="D321" s="2"/>
      <c r="E321" s="2"/>
      <c r="F321" s="2"/>
      <c r="G321" s="2"/>
      <c r="H321" s="2"/>
      <c r="I321" s="5"/>
    </row>
    <row r="322" spans="1:9" ht="17.399999999999999" x14ac:dyDescent="0.25">
      <c r="A322" s="16"/>
      <c r="B322" s="17"/>
      <c r="C322" s="2"/>
      <c r="D322" s="2"/>
      <c r="E322" s="2"/>
      <c r="F322" s="2"/>
      <c r="G322" s="2"/>
      <c r="H322" s="2"/>
      <c r="I322" s="5"/>
    </row>
    <row r="323" spans="1:9" ht="17.399999999999999" x14ac:dyDescent="0.25">
      <c r="A323" s="16"/>
      <c r="B323" s="17"/>
      <c r="C323" s="2"/>
      <c r="D323" s="2"/>
      <c r="E323" s="2"/>
      <c r="F323" s="2"/>
      <c r="G323" s="2"/>
      <c r="H323" s="2"/>
      <c r="I323" s="5"/>
    </row>
    <row r="324" spans="1:9" ht="17.399999999999999" x14ac:dyDescent="0.25">
      <c r="A324" s="16"/>
      <c r="B324" s="17"/>
      <c r="C324" s="2"/>
      <c r="D324" s="2"/>
      <c r="E324" s="2"/>
      <c r="F324" s="2"/>
      <c r="G324" s="2"/>
      <c r="H324" s="2"/>
      <c r="I324" s="5"/>
    </row>
    <row r="325" spans="1:9" ht="17.399999999999999" x14ac:dyDescent="0.25">
      <c r="A325" s="16"/>
      <c r="B325" s="17"/>
      <c r="C325" s="2"/>
      <c r="D325" s="2"/>
      <c r="E325" s="2"/>
      <c r="F325" s="2"/>
      <c r="G325" s="2"/>
      <c r="H325" s="2"/>
      <c r="I325" s="5"/>
    </row>
    <row r="326" spans="1:9" ht="17.399999999999999" x14ac:dyDescent="0.25">
      <c r="A326" s="16"/>
      <c r="B326" s="17"/>
      <c r="C326" s="2"/>
      <c r="D326" s="2"/>
      <c r="E326" s="2"/>
      <c r="F326" s="2"/>
      <c r="G326" s="2"/>
      <c r="H326" s="2"/>
      <c r="I326" s="5"/>
    </row>
    <row r="327" spans="1:9" ht="17.399999999999999" x14ac:dyDescent="0.25">
      <c r="A327" s="16"/>
      <c r="B327" s="17"/>
      <c r="C327" s="2"/>
      <c r="D327" s="2"/>
      <c r="E327" s="2"/>
      <c r="F327" s="2"/>
      <c r="G327" s="2"/>
      <c r="H327" s="2"/>
      <c r="I327" s="5"/>
    </row>
    <row r="328" spans="1:9" ht="17.399999999999999" x14ac:dyDescent="0.25">
      <c r="A328" s="16"/>
      <c r="B328" s="17"/>
      <c r="C328" s="2"/>
      <c r="D328" s="2"/>
      <c r="E328" s="2"/>
      <c r="F328" s="2"/>
      <c r="G328" s="2"/>
      <c r="H328" s="2"/>
      <c r="I328" s="5"/>
    </row>
    <row r="329" spans="1:9" ht="17.399999999999999" x14ac:dyDescent="0.25">
      <c r="A329" s="16"/>
      <c r="B329" s="17"/>
      <c r="C329" s="2"/>
      <c r="D329" s="2"/>
      <c r="E329" s="2"/>
      <c r="F329" s="2"/>
      <c r="G329" s="2"/>
      <c r="H329" s="2"/>
      <c r="I329" s="5"/>
    </row>
    <row r="330" spans="1:9" ht="17.399999999999999" x14ac:dyDescent="0.25">
      <c r="A330" s="16"/>
      <c r="B330" s="17"/>
      <c r="C330" s="2"/>
      <c r="D330" s="2"/>
      <c r="E330" s="2"/>
      <c r="F330" s="2"/>
      <c r="G330" s="2"/>
      <c r="H330" s="2"/>
      <c r="I330" s="5"/>
    </row>
    <row r="331" spans="1:9" ht="17.399999999999999" x14ac:dyDescent="0.25">
      <c r="A331" s="16"/>
      <c r="B331" s="17"/>
      <c r="C331" s="2"/>
      <c r="D331" s="2"/>
      <c r="E331" s="2"/>
      <c r="F331" s="2"/>
      <c r="G331" s="2"/>
      <c r="H331" s="2"/>
      <c r="I331" s="5"/>
    </row>
    <row r="332" spans="1:9" ht="17.399999999999999" x14ac:dyDescent="0.25">
      <c r="A332" s="16"/>
      <c r="B332" s="17"/>
      <c r="C332" s="2"/>
      <c r="D332" s="2"/>
      <c r="E332" s="2"/>
      <c r="F332" s="2"/>
      <c r="G332" s="2"/>
      <c r="H332" s="2"/>
      <c r="I332" s="5"/>
    </row>
    <row r="333" spans="1:9" ht="17.399999999999999" x14ac:dyDescent="0.25">
      <c r="A333" s="16"/>
      <c r="B333" s="17"/>
      <c r="C333" s="2"/>
      <c r="D333" s="2"/>
      <c r="E333" s="2"/>
      <c r="F333" s="2"/>
      <c r="G333" s="2"/>
      <c r="H333" s="2"/>
      <c r="I333" s="5"/>
    </row>
    <row r="334" spans="1:9" ht="17.399999999999999" x14ac:dyDescent="0.25">
      <c r="A334" s="16"/>
      <c r="B334" s="17"/>
      <c r="C334" s="2"/>
      <c r="D334" s="2"/>
      <c r="E334" s="2"/>
      <c r="F334" s="2"/>
      <c r="G334" s="2"/>
      <c r="H334" s="2"/>
      <c r="I334" s="5"/>
    </row>
    <row r="335" spans="1:9" ht="17.399999999999999" x14ac:dyDescent="0.25">
      <c r="A335" s="16"/>
      <c r="B335" s="17"/>
      <c r="C335" s="2"/>
      <c r="D335" s="2"/>
      <c r="E335" s="2"/>
      <c r="F335" s="2"/>
      <c r="G335" s="2"/>
      <c r="H335" s="2"/>
      <c r="I335" s="5"/>
    </row>
    <row r="336" spans="1:9" ht="17.399999999999999" x14ac:dyDescent="0.25">
      <c r="A336" s="16"/>
      <c r="B336" s="17"/>
      <c r="C336" s="2"/>
      <c r="D336" s="2"/>
      <c r="E336" s="2"/>
      <c r="F336" s="2"/>
      <c r="G336" s="2"/>
      <c r="H336" s="2"/>
      <c r="I336" s="5"/>
    </row>
    <row r="337" spans="1:9" ht="17.399999999999999" x14ac:dyDescent="0.25">
      <c r="A337" s="16"/>
      <c r="B337" s="17"/>
      <c r="C337" s="2"/>
      <c r="D337" s="2"/>
      <c r="E337" s="2"/>
      <c r="F337" s="2"/>
      <c r="G337" s="2"/>
      <c r="H337" s="2"/>
      <c r="I337" s="5"/>
    </row>
    <row r="338" spans="1:9" ht="17.399999999999999" x14ac:dyDescent="0.25">
      <c r="A338" s="16"/>
      <c r="B338" s="17"/>
      <c r="C338" s="2"/>
      <c r="D338" s="2"/>
      <c r="E338" s="2"/>
      <c r="F338" s="2"/>
      <c r="G338" s="2"/>
      <c r="H338" s="2"/>
      <c r="I338" s="5"/>
    </row>
    <row r="339" spans="1:9" ht="17.399999999999999" x14ac:dyDescent="0.25">
      <c r="A339" s="16"/>
      <c r="B339" s="17"/>
      <c r="C339" s="2"/>
      <c r="D339" s="2"/>
      <c r="E339" s="2"/>
      <c r="F339" s="2"/>
      <c r="G339" s="2"/>
      <c r="H339" s="2"/>
      <c r="I339" s="5"/>
    </row>
    <row r="340" spans="1:9" ht="17.399999999999999" x14ac:dyDescent="0.25">
      <c r="A340" s="16"/>
      <c r="B340" s="17"/>
      <c r="C340" s="2"/>
      <c r="D340" s="2"/>
      <c r="E340" s="2"/>
      <c r="F340" s="2"/>
      <c r="G340" s="2"/>
      <c r="H340" s="2"/>
      <c r="I340" s="5"/>
    </row>
    <row r="341" spans="1:9" ht="17.399999999999999" x14ac:dyDescent="0.25">
      <c r="A341" s="16"/>
      <c r="B341" s="17"/>
      <c r="C341" s="2"/>
      <c r="D341" s="2"/>
      <c r="E341" s="2"/>
      <c r="F341" s="2"/>
      <c r="G341" s="2"/>
      <c r="H341" s="2"/>
      <c r="I341" s="5"/>
    </row>
    <row r="342" spans="1:9" ht="17.399999999999999" x14ac:dyDescent="0.25">
      <c r="A342" s="16"/>
      <c r="B342" s="17"/>
      <c r="C342" s="2"/>
      <c r="D342" s="2"/>
      <c r="E342" s="2"/>
      <c r="F342" s="2"/>
      <c r="G342" s="2"/>
      <c r="H342" s="2"/>
      <c r="I342" s="5"/>
    </row>
    <row r="343" spans="1:9" ht="17.399999999999999" x14ac:dyDescent="0.25">
      <c r="A343" s="16"/>
      <c r="B343" s="17"/>
      <c r="C343" s="2"/>
      <c r="D343" s="2"/>
      <c r="E343" s="2"/>
      <c r="F343" s="2"/>
      <c r="G343" s="2"/>
      <c r="H343" s="2"/>
      <c r="I343" s="5"/>
    </row>
    <row r="344" spans="1:9" ht="17.399999999999999" x14ac:dyDescent="0.25">
      <c r="A344" s="16"/>
      <c r="B344" s="17"/>
      <c r="C344" s="2"/>
      <c r="D344" s="2"/>
      <c r="E344" s="2"/>
      <c r="F344" s="2"/>
      <c r="G344" s="2"/>
      <c r="H344" s="2"/>
      <c r="I344" s="5"/>
    </row>
    <row r="345" spans="1:9" ht="17.399999999999999" x14ac:dyDescent="0.25">
      <c r="A345" s="16"/>
      <c r="B345" s="17"/>
      <c r="C345" s="2"/>
      <c r="D345" s="2"/>
      <c r="E345" s="2"/>
      <c r="F345" s="2"/>
      <c r="G345" s="2"/>
      <c r="H345" s="2"/>
      <c r="I345" s="5"/>
    </row>
    <row r="346" spans="1:9" ht="17.399999999999999" x14ac:dyDescent="0.25">
      <c r="A346" s="16"/>
      <c r="B346" s="17"/>
      <c r="C346" s="2"/>
      <c r="D346" s="2"/>
      <c r="E346" s="2"/>
      <c r="F346" s="2"/>
      <c r="G346" s="2"/>
      <c r="H346" s="2"/>
      <c r="I346" s="5"/>
    </row>
    <row r="347" spans="1:9" ht="17.399999999999999" x14ac:dyDescent="0.25">
      <c r="A347" s="16"/>
      <c r="B347" s="17"/>
      <c r="C347" s="2"/>
      <c r="D347" s="2"/>
      <c r="E347" s="2"/>
      <c r="F347" s="2"/>
      <c r="G347" s="2"/>
      <c r="H347" s="2"/>
      <c r="I347" s="5"/>
    </row>
    <row r="348" spans="1:9" ht="17.399999999999999" x14ac:dyDescent="0.25">
      <c r="A348" s="16"/>
      <c r="B348" s="17"/>
      <c r="C348" s="2"/>
      <c r="D348" s="2"/>
      <c r="E348" s="2"/>
      <c r="F348" s="2"/>
      <c r="G348" s="2"/>
      <c r="H348" s="2"/>
      <c r="I348" s="5"/>
    </row>
    <row r="349" spans="1:9" ht="17.399999999999999" x14ac:dyDescent="0.25">
      <c r="A349" s="16"/>
      <c r="B349" s="17"/>
      <c r="C349" s="2"/>
      <c r="D349" s="2"/>
      <c r="E349" s="2"/>
      <c r="F349" s="2"/>
      <c r="G349" s="2"/>
      <c r="H349" s="2"/>
      <c r="I349" s="5"/>
    </row>
    <row r="350" spans="1:9" ht="17.399999999999999" x14ac:dyDescent="0.25">
      <c r="A350" s="16"/>
      <c r="B350" s="17"/>
      <c r="C350" s="2"/>
      <c r="D350" s="2"/>
      <c r="E350" s="2"/>
      <c r="F350" s="2"/>
      <c r="G350" s="2"/>
      <c r="H350" s="2"/>
      <c r="I350" s="5"/>
    </row>
    <row r="351" spans="1:9" ht="17.399999999999999" x14ac:dyDescent="0.25">
      <c r="A351" s="16"/>
      <c r="B351" s="17"/>
      <c r="C351" s="2"/>
      <c r="D351" s="2"/>
      <c r="E351" s="2"/>
      <c r="F351" s="2"/>
      <c r="G351" s="2"/>
      <c r="H351" s="2"/>
      <c r="I351" s="5"/>
    </row>
    <row r="352" spans="1:9" ht="17.399999999999999" x14ac:dyDescent="0.25">
      <c r="A352" s="16"/>
      <c r="B352" s="17"/>
      <c r="C352" s="2"/>
      <c r="D352" s="2"/>
      <c r="E352" s="2"/>
      <c r="F352" s="2"/>
      <c r="G352" s="2"/>
      <c r="H352" s="2"/>
      <c r="I352" s="5"/>
    </row>
    <row r="353" spans="1:9" ht="17.399999999999999" x14ac:dyDescent="0.25">
      <c r="A353" s="16"/>
      <c r="B353" s="17"/>
      <c r="C353" s="2"/>
      <c r="D353" s="2"/>
      <c r="E353" s="2"/>
      <c r="F353" s="2"/>
      <c r="G353" s="2"/>
      <c r="H353" s="2"/>
      <c r="I353" s="5"/>
    </row>
    <row r="354" spans="1:9" ht="17.399999999999999" x14ac:dyDescent="0.25">
      <c r="A354" s="16"/>
      <c r="B354" s="17"/>
      <c r="C354" s="2"/>
      <c r="D354" s="2"/>
      <c r="E354" s="2"/>
      <c r="F354" s="2"/>
      <c r="G354" s="2"/>
      <c r="H354" s="2"/>
      <c r="I354" s="5"/>
    </row>
    <row r="355" spans="1:9" ht="17.399999999999999" x14ac:dyDescent="0.25">
      <c r="A355" s="16"/>
      <c r="B355" s="17"/>
      <c r="C355" s="2"/>
      <c r="D355" s="2"/>
      <c r="E355" s="2"/>
      <c r="F355" s="2"/>
      <c r="G355" s="2"/>
      <c r="H355" s="2"/>
      <c r="I355" s="5"/>
    </row>
    <row r="356" spans="1:9" ht="17.399999999999999" x14ac:dyDescent="0.25">
      <c r="A356" s="16"/>
      <c r="B356" s="17"/>
      <c r="C356" s="2"/>
      <c r="D356" s="2"/>
      <c r="E356" s="2"/>
      <c r="F356" s="2"/>
      <c r="G356" s="2"/>
      <c r="H356" s="2"/>
      <c r="I356" s="5"/>
    </row>
    <row r="357" spans="1:9" ht="17.399999999999999" x14ac:dyDescent="0.25">
      <c r="A357" s="16"/>
      <c r="B357" s="17"/>
      <c r="C357" s="2"/>
      <c r="D357" s="2"/>
      <c r="E357" s="2"/>
      <c r="F357" s="2"/>
      <c r="G357" s="2"/>
      <c r="H357" s="2"/>
      <c r="I357" s="5"/>
    </row>
    <row r="358" spans="1:9" ht="17.399999999999999" x14ac:dyDescent="0.25">
      <c r="A358" s="16"/>
      <c r="B358" s="17"/>
      <c r="C358" s="2"/>
      <c r="D358" s="2"/>
      <c r="E358" s="2"/>
      <c r="F358" s="2"/>
      <c r="G358" s="2"/>
      <c r="H358" s="2"/>
      <c r="I358" s="5"/>
    </row>
    <row r="359" spans="1:9" ht="17.399999999999999" x14ac:dyDescent="0.25">
      <c r="A359" s="16"/>
      <c r="B359" s="17"/>
      <c r="C359" s="2"/>
      <c r="D359" s="2"/>
      <c r="E359" s="2"/>
      <c r="F359" s="2"/>
      <c r="G359" s="2"/>
      <c r="H359" s="2"/>
      <c r="I359" s="5"/>
    </row>
    <row r="360" spans="1:9" ht="17.399999999999999" x14ac:dyDescent="0.25">
      <c r="A360" s="16"/>
      <c r="B360" s="17"/>
      <c r="C360" s="2"/>
      <c r="D360" s="2"/>
      <c r="E360" s="2"/>
      <c r="F360" s="2"/>
      <c r="G360" s="2"/>
      <c r="H360" s="2"/>
      <c r="I360" s="5"/>
    </row>
    <row r="361" spans="1:9" ht="17.399999999999999" x14ac:dyDescent="0.25">
      <c r="A361" s="16"/>
      <c r="B361" s="17"/>
      <c r="C361" s="2"/>
      <c r="D361" s="2"/>
      <c r="E361" s="2"/>
      <c r="F361" s="2"/>
      <c r="G361" s="2"/>
      <c r="H361" s="2"/>
      <c r="I361" s="5"/>
    </row>
    <row r="362" spans="1:9" ht="17.399999999999999" x14ac:dyDescent="0.25">
      <c r="A362" s="16"/>
      <c r="B362" s="17"/>
      <c r="C362" s="2"/>
      <c r="D362" s="2"/>
      <c r="E362" s="2"/>
      <c r="F362" s="2"/>
      <c r="G362" s="2"/>
      <c r="H362" s="2"/>
      <c r="I362" s="5"/>
    </row>
    <row r="363" spans="1:9" ht="17.399999999999999" x14ac:dyDescent="0.25">
      <c r="A363" s="16"/>
      <c r="B363" s="17"/>
      <c r="C363" s="2"/>
      <c r="D363" s="2"/>
      <c r="E363" s="2"/>
      <c r="F363" s="2"/>
      <c r="G363" s="2"/>
      <c r="H363" s="2"/>
      <c r="I363" s="5"/>
    </row>
    <row r="364" spans="1:9" ht="17.399999999999999" x14ac:dyDescent="0.25">
      <c r="A364" s="16"/>
      <c r="B364" s="17"/>
      <c r="C364" s="2"/>
      <c r="D364" s="2"/>
      <c r="E364" s="2"/>
      <c r="F364" s="2"/>
      <c r="G364" s="2"/>
      <c r="H364" s="2"/>
      <c r="I364" s="5"/>
    </row>
    <row r="365" spans="1:9" ht="17.399999999999999" x14ac:dyDescent="0.25">
      <c r="A365" s="16"/>
      <c r="B365" s="17"/>
      <c r="C365" s="2"/>
      <c r="D365" s="2"/>
      <c r="E365" s="2"/>
      <c r="F365" s="2"/>
      <c r="G365" s="2"/>
      <c r="H365" s="2"/>
      <c r="I365" s="5"/>
    </row>
    <row r="366" spans="1:9" ht="17.399999999999999" x14ac:dyDescent="0.25">
      <c r="A366" s="16"/>
      <c r="B366" s="17"/>
      <c r="C366" s="2"/>
      <c r="D366" s="2"/>
      <c r="E366" s="2"/>
      <c r="F366" s="2"/>
      <c r="G366" s="2"/>
      <c r="H366" s="2"/>
      <c r="I366" s="5"/>
    </row>
    <row r="367" spans="1:9" ht="17.399999999999999" x14ac:dyDescent="0.25">
      <c r="A367" s="16"/>
      <c r="B367" s="17"/>
      <c r="C367" s="2"/>
      <c r="D367" s="2"/>
      <c r="E367" s="2"/>
      <c r="F367" s="2"/>
      <c r="G367" s="2"/>
      <c r="H367" s="2"/>
      <c r="I367" s="5"/>
    </row>
    <row r="368" spans="1:9" ht="17.399999999999999" x14ac:dyDescent="0.25">
      <c r="A368" s="16"/>
      <c r="B368" s="17"/>
      <c r="C368" s="2"/>
      <c r="D368" s="2"/>
      <c r="E368" s="2"/>
      <c r="F368" s="2"/>
      <c r="G368" s="2"/>
      <c r="H368" s="2"/>
      <c r="I368" s="5"/>
    </row>
    <row r="369" spans="1:9" ht="17.399999999999999" x14ac:dyDescent="0.25">
      <c r="A369" s="16"/>
      <c r="B369" s="17"/>
      <c r="C369" s="2"/>
      <c r="D369" s="2"/>
      <c r="E369" s="2"/>
      <c r="F369" s="2"/>
      <c r="G369" s="2"/>
      <c r="H369" s="2"/>
      <c r="I369" s="5"/>
    </row>
    <row r="370" spans="1:9" ht="17.399999999999999" x14ac:dyDescent="0.25">
      <c r="A370" s="16"/>
      <c r="B370" s="17"/>
      <c r="C370" s="2"/>
      <c r="D370" s="2"/>
      <c r="E370" s="2"/>
      <c r="F370" s="2"/>
      <c r="G370" s="2"/>
      <c r="H370" s="2"/>
      <c r="I370" s="5"/>
    </row>
    <row r="371" spans="1:9" ht="17.399999999999999" x14ac:dyDescent="0.25">
      <c r="A371" s="16"/>
      <c r="B371" s="17"/>
      <c r="C371" s="2"/>
      <c r="D371" s="2"/>
      <c r="E371" s="2"/>
      <c r="F371" s="2"/>
      <c r="G371" s="2"/>
      <c r="H371" s="2"/>
      <c r="I371" s="5"/>
    </row>
    <row r="372" spans="1:9" ht="17.399999999999999" x14ac:dyDescent="0.25">
      <c r="A372" s="16"/>
      <c r="B372" s="17"/>
      <c r="C372" s="2"/>
      <c r="D372" s="2"/>
      <c r="E372" s="2"/>
      <c r="F372" s="2"/>
      <c r="G372" s="2"/>
      <c r="H372" s="2"/>
      <c r="I372" s="5"/>
    </row>
    <row r="373" spans="1:9" ht="17.399999999999999" x14ac:dyDescent="0.25">
      <c r="A373" s="16"/>
      <c r="B373" s="17"/>
      <c r="C373" s="2"/>
      <c r="D373" s="2"/>
      <c r="E373" s="2"/>
      <c r="F373" s="2"/>
      <c r="G373" s="2"/>
      <c r="H373" s="2"/>
      <c r="I373" s="5"/>
    </row>
    <row r="374" spans="1:9" ht="17.399999999999999" x14ac:dyDescent="0.25">
      <c r="A374" s="16"/>
      <c r="B374" s="17"/>
      <c r="C374" s="2"/>
      <c r="D374" s="2"/>
      <c r="E374" s="2"/>
      <c r="F374" s="2"/>
      <c r="G374" s="2"/>
      <c r="H374" s="2"/>
      <c r="I374" s="5"/>
    </row>
    <row r="375" spans="1:9" ht="17.399999999999999" x14ac:dyDescent="0.25">
      <c r="A375" s="16"/>
      <c r="B375" s="17"/>
      <c r="C375" s="2"/>
      <c r="D375" s="2"/>
      <c r="E375" s="2"/>
      <c r="F375" s="2"/>
      <c r="G375" s="2"/>
      <c r="H375" s="2"/>
      <c r="I375" s="5"/>
    </row>
    <row r="376" spans="1:9" ht="17.399999999999999" x14ac:dyDescent="0.25">
      <c r="A376" s="16"/>
      <c r="B376" s="17"/>
      <c r="C376" s="2"/>
      <c r="D376" s="2"/>
      <c r="E376" s="2"/>
      <c r="F376" s="2"/>
      <c r="G376" s="2"/>
      <c r="H376" s="2"/>
      <c r="I376" s="5"/>
    </row>
    <row r="377" spans="1:9" ht="17.399999999999999" x14ac:dyDescent="0.25">
      <c r="A377" s="16"/>
      <c r="B377" s="17"/>
      <c r="C377" s="2"/>
      <c r="D377" s="2"/>
      <c r="E377" s="2"/>
      <c r="F377" s="2"/>
      <c r="G377" s="2"/>
      <c r="H377" s="2"/>
      <c r="I377" s="5"/>
    </row>
    <row r="378" spans="1:9" ht="17.399999999999999" x14ac:dyDescent="0.25">
      <c r="A378" s="16"/>
      <c r="B378" s="17"/>
      <c r="C378" s="2"/>
      <c r="D378" s="2"/>
      <c r="E378" s="2"/>
      <c r="F378" s="2"/>
      <c r="G378" s="2"/>
      <c r="H378" s="2"/>
      <c r="I378" s="5"/>
    </row>
    <row r="379" spans="1:9" ht="17.399999999999999" x14ac:dyDescent="0.25">
      <c r="A379" s="16"/>
      <c r="B379" s="17"/>
      <c r="C379" s="2"/>
      <c r="D379" s="2"/>
      <c r="E379" s="2"/>
      <c r="F379" s="2"/>
      <c r="G379" s="2"/>
      <c r="H379" s="2"/>
      <c r="I379" s="5"/>
    </row>
    <row r="380" spans="1:9" ht="17.399999999999999" x14ac:dyDescent="0.25">
      <c r="A380" s="16"/>
      <c r="B380" s="17"/>
      <c r="C380" s="2"/>
      <c r="D380" s="2"/>
      <c r="E380" s="2"/>
      <c r="F380" s="2"/>
      <c r="G380" s="2"/>
      <c r="H380" s="2"/>
      <c r="I380" s="5"/>
    </row>
    <row r="381" spans="1:9" ht="17.399999999999999" x14ac:dyDescent="0.25">
      <c r="A381" s="16"/>
      <c r="B381" s="17"/>
      <c r="C381" s="2"/>
      <c r="D381" s="2"/>
      <c r="E381" s="2"/>
      <c r="F381" s="2"/>
      <c r="G381" s="2"/>
      <c r="H381" s="2"/>
      <c r="I381" s="5"/>
    </row>
    <row r="382" spans="1:9" ht="17.399999999999999" x14ac:dyDescent="0.25">
      <c r="A382" s="16"/>
      <c r="B382" s="17"/>
      <c r="C382" s="2"/>
      <c r="D382" s="2"/>
      <c r="E382" s="2"/>
      <c r="F382" s="2"/>
      <c r="G382" s="2"/>
      <c r="H382" s="2"/>
      <c r="I382" s="5"/>
    </row>
    <row r="383" spans="1:9" ht="17.399999999999999" x14ac:dyDescent="0.25">
      <c r="A383" s="16"/>
      <c r="B383" s="17"/>
      <c r="C383" s="2"/>
      <c r="D383" s="2"/>
      <c r="E383" s="2"/>
      <c r="F383" s="2"/>
      <c r="G383" s="2"/>
      <c r="H383" s="2"/>
      <c r="I383" s="5"/>
    </row>
    <row r="384" spans="1:9" ht="17.399999999999999" x14ac:dyDescent="0.25">
      <c r="A384" s="16"/>
      <c r="B384" s="17"/>
      <c r="C384" s="2"/>
      <c r="D384" s="2"/>
      <c r="E384" s="2"/>
      <c r="F384" s="2"/>
      <c r="G384" s="2"/>
      <c r="H384" s="2"/>
      <c r="I384" s="5"/>
    </row>
    <row r="385" spans="1:9" ht="17.399999999999999" x14ac:dyDescent="0.25">
      <c r="A385" s="16"/>
      <c r="B385" s="17"/>
      <c r="C385" s="2"/>
      <c r="D385" s="2"/>
      <c r="E385" s="2"/>
      <c r="F385" s="2"/>
      <c r="G385" s="2"/>
      <c r="H385" s="2"/>
      <c r="I385" s="5"/>
    </row>
    <row r="386" spans="1:9" ht="17.399999999999999" x14ac:dyDescent="0.25">
      <c r="A386" s="16"/>
      <c r="B386" s="17"/>
      <c r="C386" s="2"/>
      <c r="D386" s="2"/>
      <c r="E386" s="2"/>
      <c r="F386" s="2"/>
      <c r="G386" s="2"/>
      <c r="H386" s="2"/>
      <c r="I386" s="5"/>
    </row>
    <row r="387" spans="1:9" ht="17.399999999999999" x14ac:dyDescent="0.25">
      <c r="A387" s="16"/>
      <c r="B387" s="17"/>
      <c r="C387" s="2"/>
      <c r="D387" s="2"/>
      <c r="E387" s="2"/>
      <c r="F387" s="2"/>
      <c r="G387" s="2"/>
      <c r="H387" s="2"/>
      <c r="I387" s="5"/>
    </row>
    <row r="388" spans="1:9" ht="17.399999999999999" x14ac:dyDescent="0.25">
      <c r="A388" s="16"/>
      <c r="B388" s="17"/>
      <c r="C388" s="2"/>
      <c r="D388" s="2"/>
      <c r="E388" s="2"/>
      <c r="F388" s="2"/>
      <c r="G388" s="2"/>
      <c r="H388" s="2"/>
      <c r="I388" s="5"/>
    </row>
    <row r="389" spans="1:9" ht="17.399999999999999" x14ac:dyDescent="0.25">
      <c r="A389" s="16"/>
      <c r="B389" s="17"/>
      <c r="C389" s="2"/>
      <c r="D389" s="2"/>
      <c r="E389" s="2"/>
      <c r="F389" s="2"/>
      <c r="G389" s="2"/>
      <c r="H389" s="2"/>
      <c r="I389" s="5"/>
    </row>
    <row r="390" spans="1:9" ht="17.399999999999999" x14ac:dyDescent="0.25">
      <c r="A390" s="16"/>
      <c r="B390" s="17"/>
      <c r="C390" s="2"/>
      <c r="D390" s="2"/>
      <c r="E390" s="2"/>
      <c r="F390" s="2"/>
      <c r="G390" s="2"/>
      <c r="H390" s="2"/>
      <c r="I390" s="5"/>
    </row>
    <row r="391" spans="1:9" ht="17.399999999999999" x14ac:dyDescent="0.25">
      <c r="A391" s="16"/>
      <c r="B391" s="17"/>
      <c r="C391" s="2"/>
      <c r="D391" s="2"/>
      <c r="E391" s="2"/>
      <c r="F391" s="2"/>
      <c r="G391" s="2"/>
      <c r="H391" s="2"/>
      <c r="I391" s="5"/>
    </row>
    <row r="392" spans="1:9" ht="17.399999999999999" x14ac:dyDescent="0.25">
      <c r="A392" s="16"/>
      <c r="B392" s="17"/>
      <c r="C392" s="2"/>
      <c r="D392" s="2"/>
      <c r="E392" s="2"/>
      <c r="F392" s="2"/>
      <c r="G392" s="2"/>
      <c r="H392" s="2"/>
      <c r="I392" s="5"/>
    </row>
    <row r="393" spans="1:9" ht="17.399999999999999" x14ac:dyDescent="0.25">
      <c r="A393" s="16"/>
      <c r="B393" s="17"/>
      <c r="C393" s="2"/>
      <c r="D393" s="2"/>
      <c r="E393" s="2"/>
      <c r="F393" s="2"/>
      <c r="G393" s="2"/>
      <c r="H393" s="2"/>
      <c r="I393" s="5"/>
    </row>
    <row r="394" spans="1:9" ht="17.399999999999999" x14ac:dyDescent="0.25">
      <c r="A394" s="16"/>
      <c r="B394" s="17"/>
      <c r="C394" s="2"/>
      <c r="D394" s="2"/>
      <c r="E394" s="2"/>
      <c r="F394" s="2"/>
      <c r="G394" s="2"/>
      <c r="H394" s="2"/>
      <c r="I394" s="5"/>
    </row>
    <row r="395" spans="1:9" ht="17.399999999999999" x14ac:dyDescent="0.25">
      <c r="A395" s="16"/>
      <c r="B395" s="17"/>
      <c r="C395" s="2"/>
      <c r="D395" s="2"/>
      <c r="E395" s="2"/>
      <c r="F395" s="2"/>
      <c r="G395" s="2"/>
      <c r="H395" s="2"/>
      <c r="I395" s="5"/>
    </row>
    <row r="396" spans="1:9" ht="17.399999999999999" x14ac:dyDescent="0.25">
      <c r="A396" s="16"/>
      <c r="B396" s="17"/>
      <c r="C396" s="2"/>
      <c r="D396" s="2"/>
      <c r="E396" s="2"/>
      <c r="F396" s="2"/>
      <c r="G396" s="2"/>
      <c r="H396" s="2"/>
      <c r="I396" s="5"/>
    </row>
    <row r="397" spans="1:9" ht="17.399999999999999" x14ac:dyDescent="0.25">
      <c r="A397" s="16"/>
      <c r="B397" s="17"/>
      <c r="C397" s="2"/>
      <c r="D397" s="2"/>
      <c r="E397" s="2"/>
      <c r="F397" s="2"/>
      <c r="G397" s="2"/>
      <c r="H397" s="2"/>
      <c r="I397" s="5"/>
    </row>
    <row r="398" spans="1:9" ht="17.399999999999999" x14ac:dyDescent="0.25">
      <c r="A398" s="16"/>
      <c r="B398" s="17"/>
      <c r="C398" s="2"/>
      <c r="D398" s="2"/>
      <c r="E398" s="2"/>
      <c r="F398" s="2"/>
      <c r="G398" s="2"/>
      <c r="H398" s="2"/>
      <c r="I398" s="5"/>
    </row>
    <row r="399" spans="1:9" ht="17.399999999999999" x14ac:dyDescent="0.25">
      <c r="A399" s="16"/>
      <c r="B399" s="17"/>
      <c r="C399" s="2"/>
      <c r="D399" s="2"/>
      <c r="E399" s="2"/>
      <c r="F399" s="2"/>
      <c r="G399" s="2"/>
      <c r="H399" s="2"/>
      <c r="I399" s="5"/>
    </row>
    <row r="400" spans="1:9" ht="17.399999999999999" x14ac:dyDescent="0.25">
      <c r="A400" s="16"/>
      <c r="B400" s="17"/>
      <c r="C400" s="2"/>
      <c r="D400" s="2"/>
      <c r="E400" s="2"/>
      <c r="F400" s="2"/>
      <c r="G400" s="2"/>
      <c r="H400" s="2"/>
      <c r="I400" s="5"/>
    </row>
    <row r="401" spans="1:9" ht="17.399999999999999" x14ac:dyDescent="0.25">
      <c r="A401" s="16"/>
      <c r="B401" s="17"/>
      <c r="C401" s="2"/>
      <c r="D401" s="2"/>
      <c r="E401" s="2"/>
      <c r="F401" s="2"/>
      <c r="G401" s="2"/>
      <c r="H401" s="2"/>
      <c r="I401" s="5"/>
    </row>
    <row r="402" spans="1:9" ht="17.399999999999999" x14ac:dyDescent="0.25">
      <c r="A402" s="16"/>
      <c r="B402" s="17"/>
      <c r="C402" s="2"/>
      <c r="D402" s="2"/>
      <c r="E402" s="2"/>
      <c r="F402" s="2"/>
      <c r="G402" s="2"/>
      <c r="H402" s="2"/>
      <c r="I402" s="5"/>
    </row>
    <row r="403" spans="1:9" ht="17.399999999999999" x14ac:dyDescent="0.25">
      <c r="A403" s="16"/>
      <c r="B403" s="17"/>
      <c r="C403" s="2"/>
      <c r="D403" s="2"/>
      <c r="E403" s="2"/>
      <c r="F403" s="2"/>
      <c r="G403" s="2"/>
      <c r="H403" s="2"/>
      <c r="I403" s="5"/>
    </row>
    <row r="404" spans="1:9" ht="17.399999999999999" x14ac:dyDescent="0.25">
      <c r="A404" s="16"/>
      <c r="B404" s="17"/>
      <c r="C404" s="2"/>
      <c r="D404" s="2"/>
      <c r="E404" s="2"/>
      <c r="F404" s="2"/>
      <c r="G404" s="2"/>
      <c r="H404" s="2"/>
      <c r="I404" s="5"/>
    </row>
    <row r="405" spans="1:9" ht="17.399999999999999" x14ac:dyDescent="0.25">
      <c r="A405" s="16"/>
      <c r="B405" s="17"/>
      <c r="C405" s="2"/>
      <c r="D405" s="2"/>
      <c r="E405" s="2"/>
      <c r="F405" s="2"/>
      <c r="G405" s="2"/>
      <c r="H405" s="2"/>
      <c r="I405" s="5"/>
    </row>
    <row r="406" spans="1:9" ht="17.399999999999999" x14ac:dyDescent="0.25">
      <c r="A406" s="16"/>
      <c r="B406" s="17"/>
      <c r="C406" s="2"/>
      <c r="D406" s="2"/>
      <c r="E406" s="2"/>
      <c r="F406" s="2"/>
      <c r="G406" s="2"/>
      <c r="H406" s="2"/>
      <c r="I406" s="5"/>
    </row>
    <row r="407" spans="1:9" ht="17.399999999999999" x14ac:dyDescent="0.25">
      <c r="A407" s="16"/>
      <c r="B407" s="17"/>
      <c r="C407" s="2"/>
      <c r="D407" s="2"/>
      <c r="E407" s="2"/>
      <c r="F407" s="2"/>
      <c r="G407" s="2"/>
      <c r="H407" s="2"/>
      <c r="I407" s="5"/>
    </row>
    <row r="408" spans="1:9" ht="17.399999999999999" x14ac:dyDescent="0.25">
      <c r="A408" s="16"/>
      <c r="B408" s="17"/>
      <c r="C408" s="2"/>
      <c r="D408" s="2"/>
      <c r="E408" s="2"/>
      <c r="F408" s="2"/>
      <c r="G408" s="2"/>
      <c r="H408" s="2"/>
      <c r="I408" s="5"/>
    </row>
    <row r="409" spans="1:9" ht="17.399999999999999" x14ac:dyDescent="0.25">
      <c r="A409" s="16"/>
      <c r="B409" s="17"/>
      <c r="C409" s="2"/>
      <c r="D409" s="2"/>
      <c r="E409" s="2"/>
      <c r="F409" s="2"/>
      <c r="G409" s="2"/>
      <c r="H409" s="2"/>
      <c r="I409" s="5"/>
    </row>
    <row r="410" spans="1:9" ht="17.399999999999999" x14ac:dyDescent="0.25">
      <c r="A410" s="16"/>
      <c r="B410" s="17"/>
      <c r="C410" s="2"/>
      <c r="D410" s="2"/>
      <c r="E410" s="2"/>
      <c r="F410" s="2"/>
      <c r="G410" s="2"/>
      <c r="H410" s="2"/>
      <c r="I410" s="5"/>
    </row>
    <row r="411" spans="1:9" ht="17.399999999999999" x14ac:dyDescent="0.25">
      <c r="A411" s="16"/>
      <c r="B411" s="17"/>
      <c r="C411" s="2"/>
      <c r="D411" s="2"/>
      <c r="E411" s="2"/>
      <c r="F411" s="2"/>
      <c r="G411" s="2"/>
      <c r="H411" s="2"/>
      <c r="I411" s="5"/>
    </row>
    <row r="412" spans="1:9" ht="17.399999999999999" x14ac:dyDescent="0.25">
      <c r="A412" s="16"/>
      <c r="B412" s="17"/>
      <c r="C412" s="2"/>
      <c r="D412" s="2"/>
      <c r="E412" s="2"/>
      <c r="F412" s="2"/>
      <c r="G412" s="2"/>
      <c r="H412" s="2"/>
      <c r="I412" s="5"/>
    </row>
    <row r="413" spans="1:9" ht="17.399999999999999" x14ac:dyDescent="0.25">
      <c r="A413" s="16"/>
      <c r="B413" s="17"/>
      <c r="C413" s="2"/>
      <c r="D413" s="2"/>
      <c r="E413" s="2"/>
      <c r="F413" s="2"/>
      <c r="G413" s="2"/>
      <c r="H413" s="2"/>
      <c r="I413" s="5"/>
    </row>
    <row r="414" spans="1:9" ht="17.399999999999999" x14ac:dyDescent="0.25">
      <c r="A414" s="16"/>
      <c r="B414" s="17"/>
      <c r="C414" s="2"/>
      <c r="D414" s="2"/>
      <c r="E414" s="2"/>
      <c r="F414" s="2"/>
      <c r="G414" s="2"/>
      <c r="H414" s="2"/>
      <c r="I414" s="5"/>
    </row>
    <row r="415" spans="1:9" ht="17.399999999999999" x14ac:dyDescent="0.25">
      <c r="A415" s="16"/>
      <c r="B415" s="17"/>
      <c r="C415" s="2"/>
      <c r="D415" s="2"/>
      <c r="E415" s="2"/>
      <c r="F415" s="2"/>
      <c r="G415" s="2"/>
      <c r="H415" s="2"/>
      <c r="I415" s="5"/>
    </row>
    <row r="416" spans="1:9" ht="17.399999999999999" x14ac:dyDescent="0.25">
      <c r="A416" s="16"/>
      <c r="B416" s="17"/>
      <c r="C416" s="2"/>
      <c r="D416" s="2"/>
      <c r="E416" s="2"/>
      <c r="F416" s="2"/>
      <c r="G416" s="2"/>
      <c r="H416" s="2"/>
      <c r="I416" s="5"/>
    </row>
    <row r="417" spans="1:9" ht="17.399999999999999" x14ac:dyDescent="0.25">
      <c r="A417" s="16"/>
      <c r="B417" s="17"/>
      <c r="C417" s="2"/>
      <c r="D417" s="2"/>
      <c r="E417" s="2"/>
      <c r="F417" s="2"/>
      <c r="G417" s="2"/>
      <c r="H417" s="2"/>
      <c r="I417" s="5"/>
    </row>
    <row r="418" spans="1:9" ht="17.399999999999999" x14ac:dyDescent="0.25">
      <c r="A418" s="16"/>
      <c r="B418" s="17"/>
      <c r="C418" s="2"/>
      <c r="D418" s="2"/>
      <c r="E418" s="2"/>
      <c r="F418" s="2"/>
      <c r="G418" s="2"/>
      <c r="H418" s="2"/>
      <c r="I418" s="5"/>
    </row>
    <row r="419" spans="1:9" ht="17.399999999999999" x14ac:dyDescent="0.25">
      <c r="A419" s="16"/>
      <c r="B419" s="17"/>
      <c r="C419" s="2"/>
      <c r="D419" s="2"/>
      <c r="E419" s="2"/>
      <c r="F419" s="2"/>
      <c r="G419" s="2"/>
      <c r="H419" s="2"/>
      <c r="I419" s="5"/>
    </row>
    <row r="420" spans="1:9" ht="17.399999999999999" x14ac:dyDescent="0.25">
      <c r="A420" s="16"/>
      <c r="B420" s="17"/>
      <c r="C420" s="2"/>
      <c r="D420" s="2"/>
      <c r="E420" s="2"/>
      <c r="F420" s="2"/>
      <c r="G420" s="2"/>
      <c r="H420" s="2"/>
      <c r="I420" s="5"/>
    </row>
    <row r="421" spans="1:9" ht="17.399999999999999" x14ac:dyDescent="0.25">
      <c r="A421" s="16"/>
      <c r="B421" s="17"/>
      <c r="C421" s="2"/>
      <c r="D421" s="2"/>
      <c r="E421" s="2"/>
      <c r="F421" s="2"/>
      <c r="G421" s="2"/>
      <c r="H421" s="2"/>
      <c r="I421" s="5"/>
    </row>
    <row r="422" spans="1:9" ht="17.399999999999999" x14ac:dyDescent="0.25">
      <c r="A422" s="16"/>
      <c r="B422" s="17"/>
      <c r="C422" s="2"/>
      <c r="D422" s="2"/>
      <c r="E422" s="2"/>
      <c r="F422" s="2"/>
      <c r="G422" s="2"/>
      <c r="H422" s="2"/>
      <c r="I422" s="5"/>
    </row>
    <row r="423" spans="1:9" ht="17.399999999999999" x14ac:dyDescent="0.25">
      <c r="A423" s="16"/>
      <c r="B423" s="17"/>
      <c r="C423" s="2"/>
      <c r="D423" s="2"/>
      <c r="E423" s="2"/>
      <c r="F423" s="2"/>
      <c r="G423" s="2"/>
      <c r="H423" s="2"/>
      <c r="I423" s="5"/>
    </row>
    <row r="424" spans="1:9" ht="17.399999999999999" x14ac:dyDescent="0.25">
      <c r="A424" s="16"/>
      <c r="B424" s="17"/>
      <c r="C424" s="2"/>
      <c r="D424" s="2"/>
      <c r="E424" s="2"/>
      <c r="F424" s="2"/>
      <c r="G424" s="2"/>
      <c r="H424" s="2"/>
      <c r="I424" s="5"/>
    </row>
    <row r="425" spans="1:9" ht="17.399999999999999" x14ac:dyDescent="0.25">
      <c r="A425" s="16"/>
      <c r="B425" s="17"/>
      <c r="C425" s="2"/>
      <c r="D425" s="2"/>
      <c r="E425" s="2"/>
      <c r="F425" s="2"/>
      <c r="G425" s="2"/>
      <c r="H425" s="2"/>
      <c r="I425" s="5"/>
    </row>
    <row r="426" spans="1:9" ht="17.399999999999999" x14ac:dyDescent="0.25">
      <c r="A426" s="16"/>
      <c r="B426" s="17"/>
      <c r="C426" s="2"/>
      <c r="D426" s="2"/>
      <c r="E426" s="2"/>
      <c r="F426" s="2"/>
      <c r="G426" s="2"/>
      <c r="H426" s="2"/>
      <c r="I426" s="5"/>
    </row>
    <row r="427" spans="1:9" ht="17.399999999999999" x14ac:dyDescent="0.25">
      <c r="A427" s="16"/>
      <c r="B427" s="17"/>
      <c r="C427" s="2"/>
      <c r="D427" s="2"/>
      <c r="E427" s="2"/>
      <c r="F427" s="2"/>
      <c r="G427" s="2"/>
      <c r="H427" s="2"/>
      <c r="I427" s="5"/>
    </row>
    <row r="428" spans="1:9" ht="17.399999999999999" x14ac:dyDescent="0.25">
      <c r="A428" s="16"/>
      <c r="B428" s="17"/>
      <c r="C428" s="2"/>
      <c r="D428" s="2"/>
      <c r="E428" s="2"/>
      <c r="F428" s="2"/>
      <c r="G428" s="2"/>
      <c r="H428" s="2"/>
      <c r="I428" s="5"/>
    </row>
    <row r="429" spans="1:9" ht="17.399999999999999" x14ac:dyDescent="0.25">
      <c r="A429" s="16"/>
      <c r="B429" s="17"/>
      <c r="C429" s="2"/>
      <c r="D429" s="2"/>
      <c r="E429" s="2"/>
      <c r="F429" s="2"/>
      <c r="G429" s="2"/>
      <c r="H429" s="2"/>
      <c r="I429" s="5"/>
    </row>
    <row r="430" spans="1:9" ht="17.399999999999999" x14ac:dyDescent="0.25">
      <c r="A430" s="16"/>
      <c r="B430" s="17"/>
      <c r="C430" s="2"/>
      <c r="D430" s="2"/>
      <c r="E430" s="2"/>
      <c r="F430" s="2"/>
      <c r="G430" s="2"/>
      <c r="H430" s="2"/>
      <c r="I430" s="5"/>
    </row>
    <row r="431" spans="1:9" ht="17.399999999999999" x14ac:dyDescent="0.25">
      <c r="A431" s="16"/>
      <c r="B431" s="17"/>
      <c r="C431" s="2"/>
      <c r="D431" s="2"/>
      <c r="E431" s="2"/>
      <c r="F431" s="2"/>
      <c r="G431" s="2"/>
      <c r="H431" s="2"/>
      <c r="I431" s="5"/>
    </row>
    <row r="432" spans="1:9" ht="17.399999999999999" x14ac:dyDescent="0.25">
      <c r="A432" s="16"/>
      <c r="B432" s="17"/>
      <c r="C432" s="2"/>
      <c r="D432" s="2"/>
      <c r="E432" s="2"/>
      <c r="F432" s="2"/>
      <c r="G432" s="2"/>
      <c r="H432" s="2"/>
      <c r="I432" s="5"/>
    </row>
    <row r="433" spans="1:9" ht="17.399999999999999" x14ac:dyDescent="0.25">
      <c r="A433" s="16"/>
      <c r="B433" s="17"/>
      <c r="C433" s="2"/>
      <c r="D433" s="2"/>
      <c r="E433" s="2"/>
      <c r="F433" s="2"/>
      <c r="G433" s="2"/>
      <c r="H433" s="2"/>
      <c r="I433" s="5"/>
    </row>
    <row r="434" spans="1:9" ht="17.399999999999999" x14ac:dyDescent="0.25">
      <c r="A434" s="16"/>
      <c r="B434" s="17"/>
      <c r="C434" s="2"/>
      <c r="D434" s="2"/>
      <c r="E434" s="2"/>
      <c r="F434" s="2"/>
      <c r="G434" s="2"/>
      <c r="H434" s="2"/>
      <c r="I434" s="5"/>
    </row>
    <row r="435" spans="1:9" ht="17.399999999999999" x14ac:dyDescent="0.25">
      <c r="A435" s="16"/>
      <c r="B435" s="17"/>
      <c r="C435" s="2"/>
      <c r="D435" s="2"/>
      <c r="E435" s="2"/>
      <c r="F435" s="2"/>
      <c r="G435" s="2"/>
      <c r="H435" s="2"/>
      <c r="I435" s="5"/>
    </row>
    <row r="436" spans="1:9" ht="17.399999999999999" x14ac:dyDescent="0.25">
      <c r="A436" s="16"/>
      <c r="B436" s="17"/>
      <c r="C436" s="2"/>
      <c r="D436" s="2"/>
      <c r="E436" s="2"/>
      <c r="F436" s="2"/>
      <c r="G436" s="2"/>
      <c r="H436" s="2"/>
      <c r="I436" s="5"/>
    </row>
    <row r="437" spans="1:9" ht="17.399999999999999" x14ac:dyDescent="0.25">
      <c r="A437" s="16"/>
      <c r="B437" s="17"/>
      <c r="C437" s="2"/>
      <c r="D437" s="2"/>
      <c r="E437" s="2"/>
      <c r="F437" s="2"/>
      <c r="G437" s="2"/>
      <c r="H437" s="2"/>
      <c r="I437" s="5"/>
    </row>
    <row r="438" spans="1:9" ht="17.399999999999999" x14ac:dyDescent="0.25">
      <c r="A438" s="16"/>
      <c r="B438" s="17"/>
      <c r="C438" s="2"/>
      <c r="D438" s="2"/>
      <c r="E438" s="2"/>
      <c r="F438" s="2"/>
      <c r="G438" s="2"/>
      <c r="H438" s="2"/>
      <c r="I438" s="5"/>
    </row>
    <row r="439" spans="1:9" ht="17.399999999999999" x14ac:dyDescent="0.25">
      <c r="A439" s="16"/>
      <c r="B439" s="17"/>
      <c r="C439" s="2"/>
      <c r="D439" s="2"/>
      <c r="E439" s="2"/>
      <c r="F439" s="2"/>
      <c r="G439" s="2"/>
      <c r="H439" s="2"/>
      <c r="I439" s="5"/>
    </row>
    <row r="440" spans="1:9" ht="17.399999999999999" x14ac:dyDescent="0.25">
      <c r="A440" s="16"/>
      <c r="B440" s="17"/>
      <c r="C440" s="2"/>
      <c r="D440" s="2"/>
      <c r="E440" s="2"/>
      <c r="F440" s="2"/>
      <c r="G440" s="2"/>
      <c r="H440" s="2"/>
      <c r="I440" s="5"/>
    </row>
    <row r="441" spans="1:9" ht="17.399999999999999" x14ac:dyDescent="0.25">
      <c r="A441" s="16"/>
      <c r="B441" s="17"/>
      <c r="C441" s="2"/>
      <c r="D441" s="2"/>
      <c r="E441" s="2"/>
      <c r="F441" s="2"/>
      <c r="G441" s="2"/>
      <c r="H441" s="2"/>
      <c r="I441" s="5"/>
    </row>
    <row r="442" spans="1:9" ht="17.399999999999999" x14ac:dyDescent="0.25">
      <c r="A442" s="16"/>
      <c r="B442" s="17"/>
      <c r="C442" s="2"/>
      <c r="D442" s="2"/>
      <c r="E442" s="2"/>
      <c r="F442" s="2"/>
      <c r="G442" s="2"/>
      <c r="H442" s="2"/>
      <c r="I442" s="5"/>
    </row>
    <row r="443" spans="1:9" ht="17.399999999999999" x14ac:dyDescent="0.25">
      <c r="A443" s="16"/>
      <c r="B443" s="17"/>
      <c r="C443" s="2"/>
      <c r="D443" s="2"/>
      <c r="E443" s="2"/>
      <c r="F443" s="2"/>
      <c r="G443" s="2"/>
      <c r="H443" s="2"/>
      <c r="I443" s="5"/>
    </row>
    <row r="444" spans="1:9" ht="17.399999999999999" x14ac:dyDescent="0.25">
      <c r="A444" s="16"/>
      <c r="B444" s="17"/>
      <c r="C444" s="2"/>
      <c r="D444" s="2"/>
      <c r="E444" s="2"/>
      <c r="F444" s="2"/>
      <c r="G444" s="2"/>
      <c r="H444" s="2"/>
      <c r="I444" s="5"/>
    </row>
    <row r="445" spans="1:9" ht="17.399999999999999" x14ac:dyDescent="0.25">
      <c r="A445" s="16"/>
      <c r="B445" s="17"/>
      <c r="C445" s="2"/>
      <c r="D445" s="2"/>
      <c r="E445" s="2"/>
      <c r="F445" s="2"/>
      <c r="G445" s="2"/>
      <c r="H445" s="2"/>
      <c r="I445" s="5"/>
    </row>
    <row r="446" spans="1:9" ht="17.399999999999999" x14ac:dyDescent="0.25">
      <c r="A446" s="16"/>
      <c r="B446" s="17"/>
      <c r="C446" s="2"/>
      <c r="D446" s="2"/>
      <c r="E446" s="2"/>
      <c r="F446" s="2"/>
      <c r="G446" s="2"/>
      <c r="H446" s="2"/>
      <c r="I446" s="5"/>
    </row>
    <row r="447" spans="1:9" ht="17.399999999999999" x14ac:dyDescent="0.25">
      <c r="A447" s="16"/>
      <c r="B447" s="17"/>
      <c r="C447" s="2"/>
      <c r="D447" s="2"/>
      <c r="E447" s="2"/>
      <c r="F447" s="2"/>
      <c r="G447" s="2"/>
      <c r="H447" s="2"/>
      <c r="I447" s="5"/>
    </row>
    <row r="448" spans="1:9" ht="17.399999999999999" x14ac:dyDescent="0.25">
      <c r="A448" s="16"/>
      <c r="B448" s="17"/>
      <c r="C448" s="2"/>
      <c r="D448" s="2"/>
      <c r="E448" s="2"/>
      <c r="F448" s="2"/>
      <c r="G448" s="2"/>
      <c r="H448" s="2"/>
      <c r="I448" s="5"/>
    </row>
    <row r="449" spans="1:9" ht="17.399999999999999" x14ac:dyDescent="0.25">
      <c r="A449" s="16"/>
      <c r="B449" s="17"/>
      <c r="C449" s="2"/>
      <c r="D449" s="2"/>
      <c r="E449" s="2"/>
      <c r="F449" s="2"/>
      <c r="G449" s="2"/>
      <c r="H449" s="2"/>
      <c r="I449" s="5"/>
    </row>
    <row r="450" spans="1:9" ht="17.399999999999999" x14ac:dyDescent="0.25">
      <c r="A450" s="16"/>
      <c r="B450" s="17"/>
      <c r="C450" s="2"/>
      <c r="D450" s="2"/>
      <c r="E450" s="2"/>
      <c r="F450" s="2"/>
      <c r="G450" s="2"/>
      <c r="H450" s="2"/>
      <c r="I450" s="5"/>
    </row>
    <row r="451" spans="1:9" ht="17.399999999999999" x14ac:dyDescent="0.25">
      <c r="A451" s="16"/>
      <c r="B451" s="17"/>
      <c r="C451" s="2"/>
      <c r="D451" s="2"/>
      <c r="E451" s="2"/>
      <c r="F451" s="2"/>
      <c r="G451" s="2"/>
      <c r="H451" s="2"/>
      <c r="I451" s="5"/>
    </row>
    <row r="452" spans="1:9" ht="17.399999999999999" x14ac:dyDescent="0.25">
      <c r="A452" s="16"/>
      <c r="B452" s="17"/>
      <c r="C452" s="2"/>
      <c r="D452" s="2"/>
      <c r="E452" s="2"/>
      <c r="F452" s="2"/>
      <c r="G452" s="2"/>
      <c r="H452" s="2"/>
      <c r="I452" s="5"/>
    </row>
    <row r="453" spans="1:9" ht="17.399999999999999" x14ac:dyDescent="0.25">
      <c r="A453" s="16"/>
      <c r="B453" s="17"/>
      <c r="C453" s="2"/>
      <c r="D453" s="2"/>
      <c r="E453" s="2"/>
      <c r="F453" s="2"/>
      <c r="G453" s="2"/>
      <c r="H453" s="2"/>
      <c r="I453" s="5"/>
    </row>
    <row r="454" spans="1:9" ht="17.399999999999999" x14ac:dyDescent="0.25">
      <c r="A454" s="16"/>
      <c r="B454" s="17"/>
      <c r="C454" s="2"/>
      <c r="D454" s="2"/>
      <c r="E454" s="2"/>
      <c r="F454" s="2"/>
      <c r="G454" s="2"/>
      <c r="H454" s="2"/>
      <c r="I454" s="5"/>
    </row>
    <row r="455" spans="1:9" ht="17.399999999999999" x14ac:dyDescent="0.25">
      <c r="A455" s="16"/>
      <c r="B455" s="17"/>
      <c r="C455" s="2"/>
      <c r="D455" s="2"/>
      <c r="E455" s="2"/>
      <c r="F455" s="2"/>
      <c r="G455" s="2"/>
      <c r="H455" s="2"/>
      <c r="I455" s="5"/>
    </row>
    <row r="456" spans="1:9" ht="17.399999999999999" x14ac:dyDescent="0.25">
      <c r="A456" s="16"/>
      <c r="B456" s="17"/>
      <c r="C456" s="2"/>
      <c r="D456" s="2"/>
      <c r="E456" s="2"/>
      <c r="F456" s="2"/>
      <c r="G456" s="2"/>
      <c r="H456" s="2"/>
      <c r="I456" s="5"/>
    </row>
    <row r="457" spans="1:9" ht="17.399999999999999" x14ac:dyDescent="0.25">
      <c r="A457" s="16"/>
      <c r="B457" s="17"/>
      <c r="C457" s="2"/>
      <c r="D457" s="2"/>
      <c r="E457" s="2"/>
      <c r="F457" s="2"/>
      <c r="G457" s="2"/>
      <c r="H457" s="2"/>
      <c r="I457" s="5"/>
    </row>
    <row r="458" spans="1:9" ht="17.399999999999999" x14ac:dyDescent="0.25">
      <c r="A458" s="16"/>
      <c r="B458" s="17"/>
      <c r="C458" s="2"/>
      <c r="D458" s="2"/>
      <c r="E458" s="2"/>
      <c r="F458" s="2"/>
      <c r="G458" s="2"/>
      <c r="H458" s="2"/>
      <c r="I458" s="5"/>
    </row>
    <row r="459" spans="1:9" ht="17.399999999999999" x14ac:dyDescent="0.25">
      <c r="A459" s="16"/>
      <c r="B459" s="17"/>
      <c r="C459" s="2"/>
      <c r="D459" s="2"/>
      <c r="E459" s="2"/>
      <c r="F459" s="2"/>
      <c r="G459" s="2"/>
      <c r="H459" s="2"/>
      <c r="I459" s="5"/>
    </row>
    <row r="460" spans="1:9" ht="17.399999999999999" x14ac:dyDescent="0.25">
      <c r="A460" s="16"/>
      <c r="B460" s="17"/>
      <c r="C460" s="2"/>
      <c r="D460" s="2"/>
      <c r="E460" s="2"/>
      <c r="F460" s="2"/>
      <c r="G460" s="2"/>
      <c r="H460" s="2"/>
      <c r="I460" s="5"/>
    </row>
    <row r="461" spans="1:9" ht="17.399999999999999" x14ac:dyDescent="0.25">
      <c r="A461" s="16"/>
      <c r="B461" s="17"/>
      <c r="C461" s="2"/>
      <c r="D461" s="2"/>
      <c r="E461" s="2"/>
      <c r="F461" s="2"/>
      <c r="G461" s="2"/>
      <c r="H461" s="2"/>
      <c r="I461" s="5"/>
    </row>
    <row r="462" spans="1:9" ht="17.399999999999999" x14ac:dyDescent="0.25">
      <c r="A462" s="16"/>
      <c r="B462" s="17"/>
      <c r="C462" s="2"/>
      <c r="D462" s="2"/>
      <c r="E462" s="2"/>
      <c r="F462" s="2"/>
      <c r="G462" s="2"/>
      <c r="H462" s="2"/>
      <c r="I462" s="5"/>
    </row>
    <row r="463" spans="1:9" ht="17.399999999999999" x14ac:dyDescent="0.25">
      <c r="A463" s="16"/>
      <c r="B463" s="17"/>
      <c r="C463" s="2"/>
      <c r="D463" s="2"/>
      <c r="E463" s="2"/>
      <c r="F463" s="2"/>
      <c r="G463" s="2"/>
      <c r="H463" s="2"/>
      <c r="I463" s="5"/>
    </row>
    <row r="464" spans="1:9" ht="17.399999999999999" x14ac:dyDescent="0.25">
      <c r="A464" s="16"/>
      <c r="B464" s="17"/>
      <c r="C464" s="2"/>
      <c r="D464" s="2"/>
      <c r="E464" s="2"/>
      <c r="F464" s="2"/>
      <c r="G464" s="2"/>
      <c r="H464" s="2"/>
      <c r="I464" s="5"/>
    </row>
    <row r="465" spans="1:9" ht="17.399999999999999" x14ac:dyDescent="0.25">
      <c r="A465" s="16"/>
      <c r="B465" s="17"/>
      <c r="C465" s="2"/>
      <c r="D465" s="2"/>
      <c r="E465" s="2"/>
      <c r="F465" s="2"/>
      <c r="G465" s="2"/>
      <c r="H465" s="2"/>
      <c r="I465" s="5"/>
    </row>
    <row r="466" spans="1:9" ht="17.399999999999999" x14ac:dyDescent="0.25">
      <c r="A466" s="16"/>
      <c r="B466" s="17"/>
      <c r="C466" s="2"/>
      <c r="D466" s="2"/>
      <c r="E466" s="2"/>
      <c r="F466" s="2"/>
      <c r="G466" s="2"/>
      <c r="H466" s="2"/>
      <c r="I466" s="5"/>
    </row>
    <row r="467" spans="1:9" ht="17.399999999999999" x14ac:dyDescent="0.25">
      <c r="A467" s="16"/>
      <c r="B467" s="17"/>
      <c r="C467" s="2"/>
      <c r="D467" s="2"/>
      <c r="E467" s="2"/>
      <c r="F467" s="2"/>
      <c r="G467" s="2"/>
      <c r="H467" s="2"/>
      <c r="I467" s="5"/>
    </row>
    <row r="468" spans="1:9" ht="17.399999999999999" x14ac:dyDescent="0.25">
      <c r="A468" s="16"/>
      <c r="B468" s="17"/>
      <c r="C468" s="2"/>
      <c r="D468" s="2"/>
      <c r="E468" s="2"/>
      <c r="F468" s="2"/>
      <c r="G468" s="2"/>
      <c r="H468" s="2"/>
      <c r="I468" s="5"/>
    </row>
    <row r="469" spans="1:9" ht="17.399999999999999" x14ac:dyDescent="0.25">
      <c r="A469" s="16"/>
      <c r="B469" s="17"/>
      <c r="C469" s="2"/>
      <c r="D469" s="2"/>
      <c r="E469" s="2"/>
      <c r="F469" s="2"/>
      <c r="G469" s="2"/>
      <c r="H469" s="2"/>
      <c r="I469" s="5"/>
    </row>
    <row r="470" spans="1:9" ht="17.399999999999999" x14ac:dyDescent="0.25">
      <c r="A470" s="16"/>
      <c r="B470" s="17"/>
      <c r="C470" s="2"/>
      <c r="D470" s="2"/>
      <c r="E470" s="2"/>
      <c r="F470" s="2"/>
      <c r="G470" s="2"/>
      <c r="H470" s="2"/>
      <c r="I470" s="5"/>
    </row>
    <row r="471" spans="1:9" ht="17.399999999999999" x14ac:dyDescent="0.25">
      <c r="A471" s="16"/>
      <c r="B471" s="17"/>
      <c r="C471" s="2"/>
      <c r="D471" s="2"/>
      <c r="E471" s="2"/>
      <c r="F471" s="2"/>
      <c r="G471" s="2"/>
      <c r="H471" s="2"/>
      <c r="I471" s="5"/>
    </row>
    <row r="472" spans="1:9" ht="17.399999999999999" x14ac:dyDescent="0.25">
      <c r="A472" s="16"/>
      <c r="B472" s="17"/>
      <c r="C472" s="2"/>
      <c r="D472" s="2"/>
      <c r="E472" s="2"/>
      <c r="F472" s="2"/>
      <c r="G472" s="2"/>
      <c r="H472" s="2"/>
      <c r="I472" s="5"/>
    </row>
    <row r="473" spans="1:9" ht="17.399999999999999" x14ac:dyDescent="0.25">
      <c r="A473" s="16"/>
      <c r="B473" s="17"/>
      <c r="C473" s="2"/>
      <c r="D473" s="2"/>
      <c r="E473" s="2"/>
      <c r="F473" s="2"/>
      <c r="G473" s="2"/>
      <c r="H473" s="2"/>
      <c r="I473" s="5"/>
    </row>
    <row r="474" spans="1:9" ht="17.399999999999999" x14ac:dyDescent="0.25">
      <c r="A474" s="16"/>
      <c r="B474" s="17"/>
      <c r="C474" s="2"/>
      <c r="D474" s="2"/>
      <c r="E474" s="2"/>
      <c r="F474" s="2"/>
      <c r="G474" s="2"/>
      <c r="H474" s="2"/>
      <c r="I474" s="5"/>
    </row>
    <row r="475" spans="1:9" ht="17.399999999999999" x14ac:dyDescent="0.25">
      <c r="A475" s="16"/>
      <c r="B475" s="17"/>
      <c r="C475" s="2"/>
      <c r="D475" s="2"/>
      <c r="E475" s="2"/>
      <c r="F475" s="2"/>
      <c r="G475" s="2"/>
      <c r="H475" s="2"/>
      <c r="I475" s="5"/>
    </row>
    <row r="476" spans="1:9" ht="17.399999999999999" x14ac:dyDescent="0.25">
      <c r="A476" s="16"/>
      <c r="B476" s="17"/>
      <c r="C476" s="2"/>
      <c r="D476" s="2"/>
      <c r="E476" s="2"/>
      <c r="F476" s="2"/>
      <c r="G476" s="2"/>
      <c r="H476" s="2"/>
      <c r="I476" s="5"/>
    </row>
    <row r="477" spans="1:9" ht="17.399999999999999" x14ac:dyDescent="0.25">
      <c r="A477" s="16"/>
      <c r="B477" s="17"/>
      <c r="C477" s="2"/>
      <c r="D477" s="2"/>
      <c r="E477" s="2"/>
      <c r="F477" s="2"/>
      <c r="G477" s="2"/>
      <c r="H477" s="2"/>
      <c r="I477" s="5"/>
    </row>
    <row r="478" spans="1:9" ht="17.399999999999999" x14ac:dyDescent="0.25">
      <c r="A478" s="16"/>
      <c r="B478" s="17"/>
      <c r="C478" s="2"/>
      <c r="D478" s="2"/>
      <c r="E478" s="2"/>
      <c r="F478" s="2"/>
      <c r="G478" s="2"/>
      <c r="H478" s="2"/>
      <c r="I478" s="5"/>
    </row>
    <row r="479" spans="1:9" ht="17.399999999999999" x14ac:dyDescent="0.25">
      <c r="A479" s="16"/>
      <c r="B479" s="17"/>
      <c r="C479" s="2"/>
      <c r="D479" s="2"/>
      <c r="E479" s="2"/>
      <c r="F479" s="2"/>
      <c r="G479" s="2"/>
      <c r="H479" s="2"/>
      <c r="I479" s="5"/>
    </row>
    <row r="480" spans="1:9" ht="17.399999999999999" x14ac:dyDescent="0.25">
      <c r="A480" s="16"/>
      <c r="B480" s="17"/>
      <c r="C480" s="2"/>
      <c r="D480" s="2"/>
      <c r="E480" s="2"/>
      <c r="F480" s="2"/>
      <c r="G480" s="2"/>
      <c r="H480" s="2"/>
      <c r="I480" s="5"/>
    </row>
    <row r="481" spans="1:9" ht="17.399999999999999" x14ac:dyDescent="0.25">
      <c r="A481" s="16"/>
      <c r="B481" s="17"/>
      <c r="C481" s="2"/>
      <c r="D481" s="2"/>
      <c r="E481" s="2"/>
      <c r="F481" s="2"/>
      <c r="G481" s="2"/>
      <c r="H481" s="2"/>
      <c r="I481" s="5"/>
    </row>
    <row r="482" spans="1:9" ht="17.399999999999999" x14ac:dyDescent="0.25">
      <c r="A482" s="16"/>
      <c r="B482" s="17"/>
      <c r="C482" s="2"/>
      <c r="D482" s="2"/>
      <c r="E482" s="2"/>
      <c r="F482" s="2"/>
      <c r="G482" s="2"/>
      <c r="H482" s="2"/>
      <c r="I482" s="5"/>
    </row>
    <row r="483" spans="1:9" ht="17.399999999999999" x14ac:dyDescent="0.25">
      <c r="A483" s="16"/>
      <c r="B483" s="17"/>
      <c r="C483" s="2"/>
      <c r="D483" s="2"/>
      <c r="E483" s="2"/>
      <c r="F483" s="2"/>
      <c r="G483" s="2"/>
      <c r="H483" s="2"/>
      <c r="I483" s="5"/>
    </row>
    <row r="484" spans="1:9" ht="17.399999999999999" x14ac:dyDescent="0.25">
      <c r="A484" s="16"/>
      <c r="B484" s="17"/>
      <c r="C484" s="2"/>
      <c r="D484" s="2"/>
      <c r="E484" s="2"/>
      <c r="F484" s="2"/>
      <c r="G484" s="2"/>
      <c r="H484" s="2"/>
      <c r="I484" s="5"/>
    </row>
    <row r="485" spans="1:9" ht="17.399999999999999" x14ac:dyDescent="0.25">
      <c r="A485" s="16"/>
      <c r="B485" s="17"/>
      <c r="C485" s="2"/>
      <c r="D485" s="2"/>
      <c r="E485" s="2"/>
      <c r="F485" s="2"/>
      <c r="G485" s="2"/>
      <c r="H485" s="2"/>
      <c r="I485" s="5"/>
    </row>
    <row r="486" spans="1:9" ht="17.399999999999999" x14ac:dyDescent="0.25">
      <c r="A486" s="16"/>
      <c r="B486" s="17"/>
      <c r="C486" s="2"/>
      <c r="D486" s="2"/>
      <c r="E486" s="2"/>
      <c r="F486" s="2"/>
      <c r="G486" s="2"/>
      <c r="H486" s="2"/>
      <c r="I486" s="5"/>
    </row>
    <row r="487" spans="1:9" ht="17.399999999999999" x14ac:dyDescent="0.25">
      <c r="A487" s="16"/>
      <c r="B487" s="17"/>
      <c r="C487" s="2"/>
      <c r="D487" s="2"/>
      <c r="E487" s="2"/>
      <c r="F487" s="2"/>
      <c r="G487" s="2"/>
      <c r="H487" s="2"/>
      <c r="I487" s="5"/>
    </row>
    <row r="488" spans="1:9" ht="17.399999999999999" x14ac:dyDescent="0.25">
      <c r="A488" s="16"/>
      <c r="B488" s="17"/>
      <c r="C488" s="2"/>
      <c r="D488" s="2"/>
      <c r="E488" s="2"/>
      <c r="F488" s="2"/>
      <c r="G488" s="2"/>
      <c r="H488" s="2"/>
      <c r="I488" s="5"/>
    </row>
    <row r="489" spans="1:9" ht="17.399999999999999" x14ac:dyDescent="0.25">
      <c r="A489" s="16"/>
      <c r="B489" s="17"/>
      <c r="C489" s="2"/>
      <c r="D489" s="2"/>
      <c r="E489" s="2"/>
      <c r="F489" s="2"/>
      <c r="G489" s="2"/>
      <c r="H489" s="2"/>
      <c r="I489" s="5"/>
    </row>
    <row r="490" spans="1:9" ht="17.399999999999999" x14ac:dyDescent="0.25">
      <c r="A490" s="16"/>
      <c r="B490" s="17"/>
      <c r="C490" s="2"/>
      <c r="D490" s="2"/>
      <c r="E490" s="2"/>
      <c r="F490" s="2"/>
      <c r="G490" s="2"/>
      <c r="H490" s="2"/>
      <c r="I490" s="5"/>
    </row>
    <row r="491" spans="1:9" ht="17.399999999999999" x14ac:dyDescent="0.25">
      <c r="A491" s="16"/>
      <c r="B491" s="17"/>
      <c r="C491" s="2"/>
      <c r="D491" s="2"/>
      <c r="E491" s="2"/>
      <c r="F491" s="2"/>
      <c r="G491" s="2"/>
      <c r="H491" s="2"/>
      <c r="I491" s="5"/>
    </row>
    <row r="492" spans="1:9" ht="17.399999999999999" x14ac:dyDescent="0.25">
      <c r="A492" s="16"/>
      <c r="B492" s="17"/>
      <c r="C492" s="2"/>
      <c r="D492" s="2"/>
      <c r="E492" s="2"/>
      <c r="F492" s="2"/>
      <c r="G492" s="2"/>
      <c r="H492" s="2"/>
      <c r="I492" s="5"/>
    </row>
    <row r="493" spans="1:9" ht="17.399999999999999" x14ac:dyDescent="0.25">
      <c r="A493" s="16"/>
      <c r="B493" s="17"/>
      <c r="C493" s="2"/>
      <c r="D493" s="2"/>
      <c r="E493" s="2"/>
      <c r="F493" s="2"/>
      <c r="G493" s="2"/>
      <c r="H493" s="2"/>
      <c r="I493" s="5"/>
    </row>
    <row r="494" spans="1:9" ht="17.399999999999999" x14ac:dyDescent="0.25">
      <c r="A494" s="16"/>
      <c r="B494" s="17"/>
      <c r="C494" s="2"/>
      <c r="D494" s="2"/>
      <c r="E494" s="2"/>
      <c r="F494" s="2"/>
      <c r="G494" s="2"/>
      <c r="H494" s="2"/>
      <c r="I494" s="5"/>
    </row>
    <row r="495" spans="1:9" ht="17.399999999999999" x14ac:dyDescent="0.25">
      <c r="A495" s="16"/>
      <c r="B495" s="17"/>
      <c r="C495" s="2"/>
      <c r="D495" s="2"/>
      <c r="E495" s="2"/>
      <c r="F495" s="2"/>
      <c r="G495" s="2"/>
      <c r="H495" s="2"/>
      <c r="I495" s="5"/>
    </row>
    <row r="496" spans="1:9" ht="17.399999999999999" x14ac:dyDescent="0.25">
      <c r="A496" s="16"/>
      <c r="B496" s="17"/>
      <c r="C496" s="2"/>
      <c r="D496" s="2"/>
      <c r="E496" s="2"/>
      <c r="F496" s="2"/>
      <c r="G496" s="2"/>
      <c r="H496" s="2"/>
      <c r="I496" s="5"/>
    </row>
    <row r="497" spans="1:9" ht="17.399999999999999" x14ac:dyDescent="0.25">
      <c r="A497" s="16"/>
      <c r="B497" s="17"/>
      <c r="C497" s="2"/>
      <c r="D497" s="2"/>
      <c r="E497" s="2"/>
      <c r="F497" s="2"/>
      <c r="G497" s="2"/>
      <c r="H497" s="2"/>
      <c r="I497" s="5"/>
    </row>
    <row r="498" spans="1:9" ht="17.399999999999999" x14ac:dyDescent="0.25">
      <c r="A498" s="16"/>
      <c r="B498" s="17"/>
      <c r="C498" s="2"/>
      <c r="D498" s="2"/>
      <c r="E498" s="2"/>
      <c r="F498" s="2"/>
      <c r="G498" s="2"/>
      <c r="H498" s="2"/>
      <c r="I498" s="5"/>
    </row>
    <row r="499" spans="1:9" ht="17.399999999999999" x14ac:dyDescent="0.25">
      <c r="A499" s="16"/>
      <c r="B499" s="17"/>
      <c r="C499" s="2"/>
      <c r="D499" s="2"/>
      <c r="E499" s="2"/>
      <c r="F499" s="2"/>
      <c r="G499" s="2"/>
      <c r="H499" s="2"/>
      <c r="I499" s="5"/>
    </row>
    <row r="500" spans="1:9" ht="17.399999999999999" x14ac:dyDescent="0.25">
      <c r="A500" s="16"/>
      <c r="B500" s="17"/>
      <c r="C500" s="2"/>
      <c r="D500" s="2"/>
      <c r="E500" s="2"/>
      <c r="F500" s="2"/>
      <c r="G500" s="2"/>
      <c r="H500" s="2"/>
      <c r="I500" s="5"/>
    </row>
    <row r="501" spans="1:9" ht="17.399999999999999" x14ac:dyDescent="0.25">
      <c r="A501" s="16"/>
      <c r="B501" s="17"/>
      <c r="C501" s="2"/>
      <c r="D501" s="2"/>
      <c r="E501" s="2"/>
      <c r="F501" s="2"/>
      <c r="G501" s="2"/>
      <c r="H501" s="2"/>
      <c r="I501" s="5"/>
    </row>
    <row r="502" spans="1:9" ht="17.399999999999999" x14ac:dyDescent="0.25">
      <c r="A502" s="16"/>
      <c r="B502" s="17"/>
      <c r="C502" s="2"/>
      <c r="D502" s="2"/>
      <c r="E502" s="2"/>
      <c r="F502" s="2"/>
      <c r="G502" s="2"/>
      <c r="H502" s="2"/>
      <c r="I502" s="5"/>
    </row>
    <row r="503" spans="1:9" ht="17.399999999999999" x14ac:dyDescent="0.25">
      <c r="A503" s="16"/>
      <c r="B503" s="17"/>
      <c r="C503" s="2"/>
      <c r="D503" s="2"/>
      <c r="E503" s="2"/>
      <c r="F503" s="2"/>
      <c r="G503" s="2"/>
      <c r="H503" s="2"/>
      <c r="I503" s="5"/>
    </row>
    <row r="504" spans="1:9" ht="17.399999999999999" x14ac:dyDescent="0.25">
      <c r="A504" s="16"/>
      <c r="B504" s="17"/>
      <c r="C504" s="2"/>
      <c r="D504" s="2"/>
      <c r="E504" s="2"/>
      <c r="F504" s="2"/>
      <c r="G504" s="2"/>
      <c r="H504" s="2"/>
      <c r="I504" s="5"/>
    </row>
    <row r="505" spans="1:9" ht="17.399999999999999" x14ac:dyDescent="0.25">
      <c r="A505" s="16"/>
      <c r="B505" s="17"/>
      <c r="C505" s="2"/>
      <c r="D505" s="2"/>
      <c r="E505" s="2"/>
      <c r="F505" s="2"/>
      <c r="G505" s="2"/>
      <c r="H505" s="2"/>
      <c r="I505" s="5"/>
    </row>
    <row r="506" spans="1:9" ht="17.399999999999999" x14ac:dyDescent="0.25">
      <c r="A506" s="16"/>
      <c r="B506" s="17"/>
      <c r="C506" s="2"/>
      <c r="D506" s="2"/>
      <c r="E506" s="2"/>
      <c r="F506" s="2"/>
      <c r="G506" s="2"/>
      <c r="H506" s="2"/>
      <c r="I506" s="5"/>
    </row>
    <row r="507" spans="1:9" ht="17.399999999999999" x14ac:dyDescent="0.25">
      <c r="A507" s="16"/>
      <c r="B507" s="17"/>
      <c r="C507" s="2"/>
      <c r="D507" s="2"/>
      <c r="E507" s="2"/>
      <c r="F507" s="2"/>
      <c r="G507" s="2"/>
      <c r="H507" s="2"/>
      <c r="I507" s="5"/>
    </row>
    <row r="508" spans="1:9" ht="17.399999999999999" x14ac:dyDescent="0.25">
      <c r="A508" s="16"/>
      <c r="B508" s="17"/>
      <c r="C508" s="2"/>
      <c r="D508" s="2"/>
      <c r="E508" s="2"/>
      <c r="F508" s="2"/>
      <c r="G508" s="2"/>
      <c r="H508" s="2"/>
      <c r="I508" s="5"/>
    </row>
    <row r="509" spans="1:9" ht="17.399999999999999" x14ac:dyDescent="0.25">
      <c r="A509" s="16"/>
      <c r="B509" s="17"/>
      <c r="C509" s="2"/>
      <c r="D509" s="2"/>
      <c r="E509" s="2"/>
      <c r="F509" s="2"/>
      <c r="G509" s="2"/>
      <c r="H509" s="2"/>
      <c r="I509" s="5"/>
    </row>
    <row r="510" spans="1:9" ht="17.399999999999999" x14ac:dyDescent="0.25">
      <c r="A510" s="16"/>
      <c r="B510" s="17"/>
      <c r="C510" s="2"/>
      <c r="D510" s="2"/>
      <c r="E510" s="2"/>
      <c r="F510" s="2"/>
      <c r="G510" s="2"/>
      <c r="H510" s="2"/>
      <c r="I510" s="5"/>
    </row>
    <row r="511" spans="1:9" ht="17.399999999999999" x14ac:dyDescent="0.25">
      <c r="A511" s="16"/>
      <c r="B511" s="17"/>
      <c r="C511" s="2"/>
      <c r="D511" s="2"/>
      <c r="E511" s="2"/>
      <c r="F511" s="2"/>
      <c r="G511" s="2"/>
      <c r="H511" s="2"/>
      <c r="I511" s="5"/>
    </row>
    <row r="512" spans="1:9" ht="17.399999999999999" x14ac:dyDescent="0.25">
      <c r="A512" s="16"/>
      <c r="B512" s="17"/>
      <c r="C512" s="2"/>
      <c r="D512" s="2"/>
      <c r="E512" s="2"/>
      <c r="F512" s="2"/>
      <c r="G512" s="2"/>
      <c r="H512" s="2"/>
      <c r="I512" s="5"/>
    </row>
    <row r="513" spans="1:9" ht="17.399999999999999" x14ac:dyDescent="0.25">
      <c r="A513" s="16"/>
      <c r="B513" s="17"/>
      <c r="C513" s="2"/>
      <c r="D513" s="2"/>
      <c r="E513" s="2"/>
      <c r="F513" s="2"/>
      <c r="G513" s="2"/>
      <c r="H513" s="2"/>
      <c r="I513" s="5"/>
    </row>
    <row r="514" spans="1:9" ht="17.399999999999999" x14ac:dyDescent="0.25">
      <c r="A514" s="16"/>
      <c r="B514" s="17"/>
      <c r="C514" s="2"/>
      <c r="D514" s="2"/>
      <c r="E514" s="2"/>
      <c r="F514" s="2"/>
      <c r="G514" s="2"/>
      <c r="H514" s="2"/>
      <c r="I514" s="5"/>
    </row>
    <row r="515" spans="1:9" ht="17.399999999999999" x14ac:dyDescent="0.25">
      <c r="A515" s="16"/>
      <c r="B515" s="17"/>
      <c r="C515" s="2"/>
      <c r="D515" s="2"/>
      <c r="E515" s="2"/>
      <c r="F515" s="2"/>
      <c r="G515" s="2"/>
      <c r="H515" s="2"/>
      <c r="I515" s="5"/>
    </row>
    <row r="516" spans="1:9" ht="17.399999999999999" x14ac:dyDescent="0.25">
      <c r="A516" s="16"/>
      <c r="B516" s="17"/>
      <c r="C516" s="2"/>
      <c r="D516" s="2"/>
      <c r="E516" s="2"/>
      <c r="F516" s="2"/>
      <c r="G516" s="2"/>
      <c r="H516" s="2"/>
      <c r="I516" s="5"/>
    </row>
    <row r="517" spans="1:9" ht="17.399999999999999" x14ac:dyDescent="0.25">
      <c r="A517" s="16"/>
      <c r="B517" s="17"/>
      <c r="C517" s="2"/>
      <c r="D517" s="2"/>
      <c r="E517" s="2"/>
      <c r="F517" s="2"/>
      <c r="G517" s="2"/>
      <c r="H517" s="2"/>
      <c r="I517" s="5"/>
    </row>
    <row r="518" spans="1:9" ht="17.399999999999999" x14ac:dyDescent="0.25">
      <c r="A518" s="16"/>
      <c r="B518" s="17"/>
      <c r="C518" s="2"/>
      <c r="D518" s="2"/>
      <c r="E518" s="2"/>
      <c r="F518" s="2"/>
      <c r="G518" s="2"/>
      <c r="H518" s="2"/>
      <c r="I518" s="5"/>
    </row>
    <row r="519" spans="1:9" ht="17.399999999999999" x14ac:dyDescent="0.25">
      <c r="A519" s="16"/>
      <c r="B519" s="17"/>
      <c r="C519" s="2"/>
      <c r="D519" s="2"/>
      <c r="E519" s="2"/>
      <c r="F519" s="2"/>
      <c r="G519" s="2"/>
      <c r="H519" s="2"/>
      <c r="I519" s="5"/>
    </row>
    <row r="520" spans="1:9" ht="17.399999999999999" x14ac:dyDescent="0.25">
      <c r="A520" s="16"/>
      <c r="B520" s="17"/>
      <c r="C520" s="2"/>
      <c r="D520" s="2"/>
      <c r="E520" s="2"/>
      <c r="F520" s="2"/>
      <c r="G520" s="2"/>
      <c r="H520" s="2"/>
      <c r="I520" s="5"/>
    </row>
    <row r="521" spans="1:9" ht="17.399999999999999" x14ac:dyDescent="0.25">
      <c r="A521" s="16"/>
      <c r="B521" s="17"/>
      <c r="C521" s="2"/>
      <c r="D521" s="2"/>
      <c r="E521" s="2"/>
      <c r="F521" s="2"/>
      <c r="G521" s="2"/>
      <c r="H521" s="2"/>
      <c r="I521" s="5"/>
    </row>
    <row r="522" spans="1:9" ht="17.399999999999999" x14ac:dyDescent="0.25">
      <c r="A522" s="16"/>
      <c r="B522" s="17"/>
      <c r="C522" s="2"/>
      <c r="D522" s="2"/>
      <c r="E522" s="2"/>
      <c r="F522" s="2"/>
      <c r="G522" s="2"/>
      <c r="H522" s="2"/>
      <c r="I522" s="5"/>
    </row>
    <row r="523" spans="1:9" ht="17.399999999999999" x14ac:dyDescent="0.25">
      <c r="A523" s="16"/>
      <c r="B523" s="17"/>
      <c r="C523" s="2"/>
      <c r="D523" s="2"/>
      <c r="E523" s="2"/>
      <c r="F523" s="2"/>
      <c r="G523" s="2"/>
      <c r="H523" s="2"/>
      <c r="I523" s="5"/>
    </row>
    <row r="524" spans="1:9" ht="17.399999999999999" x14ac:dyDescent="0.25">
      <c r="A524" s="16"/>
      <c r="B524" s="17"/>
      <c r="C524" s="2"/>
      <c r="D524" s="2"/>
      <c r="E524" s="2"/>
      <c r="F524" s="2"/>
      <c r="G524" s="2"/>
      <c r="H524" s="2"/>
      <c r="I524" s="5"/>
    </row>
    <row r="525" spans="1:9" ht="17.399999999999999" x14ac:dyDescent="0.25">
      <c r="A525" s="16"/>
      <c r="B525" s="17"/>
      <c r="C525" s="2"/>
      <c r="D525" s="2"/>
      <c r="E525" s="2"/>
      <c r="F525" s="2"/>
      <c r="G525" s="2"/>
      <c r="H525" s="2"/>
      <c r="I525" s="5"/>
    </row>
    <row r="526" spans="1:9" ht="17.399999999999999" x14ac:dyDescent="0.25">
      <c r="A526" s="16"/>
      <c r="B526" s="17"/>
      <c r="C526" s="2"/>
      <c r="D526" s="2"/>
      <c r="E526" s="2"/>
      <c r="F526" s="2"/>
      <c r="G526" s="2"/>
      <c r="H526" s="2"/>
      <c r="I526" s="5"/>
    </row>
    <row r="527" spans="1:9" ht="17.399999999999999" x14ac:dyDescent="0.25">
      <c r="A527" s="16"/>
      <c r="B527" s="17"/>
      <c r="C527" s="2"/>
      <c r="D527" s="2"/>
      <c r="E527" s="2"/>
      <c r="F527" s="2"/>
      <c r="G527" s="2"/>
      <c r="H527" s="2"/>
      <c r="I527" s="5"/>
    </row>
    <row r="528" spans="1:9" ht="17.399999999999999" x14ac:dyDescent="0.25">
      <c r="A528" s="16"/>
      <c r="B528" s="17"/>
      <c r="C528" s="2"/>
      <c r="D528" s="2"/>
      <c r="E528" s="2"/>
      <c r="F528" s="2"/>
      <c r="G528" s="2"/>
      <c r="H528" s="2"/>
      <c r="I528" s="5"/>
    </row>
    <row r="529" spans="1:9" ht="17.399999999999999" x14ac:dyDescent="0.25">
      <c r="A529" s="16"/>
      <c r="B529" s="17"/>
      <c r="C529" s="2"/>
      <c r="D529" s="2"/>
      <c r="E529" s="2"/>
      <c r="F529" s="2"/>
      <c r="G529" s="2"/>
      <c r="H529" s="2"/>
      <c r="I529" s="5"/>
    </row>
    <row r="530" spans="1:9" ht="17.399999999999999" x14ac:dyDescent="0.25">
      <c r="A530" s="16"/>
      <c r="B530" s="17"/>
      <c r="C530" s="2"/>
      <c r="D530" s="2"/>
      <c r="E530" s="2"/>
      <c r="F530" s="2"/>
      <c r="G530" s="2"/>
      <c r="H530" s="2"/>
      <c r="I530" s="5"/>
    </row>
    <row r="531" spans="1:9" ht="17.399999999999999" x14ac:dyDescent="0.25">
      <c r="A531" s="16"/>
      <c r="B531" s="17"/>
      <c r="C531" s="2"/>
      <c r="D531" s="2"/>
      <c r="E531" s="2"/>
      <c r="F531" s="2"/>
      <c r="G531" s="2"/>
      <c r="H531" s="2"/>
      <c r="I531" s="5"/>
    </row>
    <row r="532" spans="1:9" ht="17.399999999999999" x14ac:dyDescent="0.25">
      <c r="A532" s="16"/>
      <c r="B532" s="17"/>
      <c r="C532" s="2"/>
      <c r="D532" s="2"/>
      <c r="E532" s="2"/>
      <c r="F532" s="2"/>
      <c r="G532" s="2"/>
      <c r="H532" s="2"/>
      <c r="I532" s="5"/>
    </row>
    <row r="533" spans="1:9" ht="17.399999999999999" x14ac:dyDescent="0.25">
      <c r="A533" s="16"/>
      <c r="B533" s="17"/>
      <c r="C533" s="2"/>
      <c r="D533" s="2"/>
      <c r="E533" s="2"/>
      <c r="F533" s="2"/>
      <c r="G533" s="2"/>
      <c r="H533" s="2"/>
      <c r="I533" s="5"/>
    </row>
    <row r="534" spans="1:9" ht="17.399999999999999" x14ac:dyDescent="0.25">
      <c r="A534" s="16"/>
      <c r="B534" s="17"/>
      <c r="C534" s="2"/>
      <c r="D534" s="2"/>
      <c r="E534" s="2"/>
      <c r="F534" s="2"/>
      <c r="G534" s="2"/>
      <c r="H534" s="2"/>
      <c r="I534" s="5"/>
    </row>
    <row r="535" spans="1:9" ht="17.399999999999999" x14ac:dyDescent="0.25">
      <c r="A535" s="16"/>
      <c r="B535" s="17"/>
      <c r="C535" s="2"/>
      <c r="D535" s="2"/>
      <c r="E535" s="2"/>
      <c r="F535" s="2"/>
      <c r="G535" s="2"/>
      <c r="H535" s="2"/>
      <c r="I535" s="5"/>
    </row>
    <row r="536" spans="1:9" ht="17.399999999999999" x14ac:dyDescent="0.25">
      <c r="A536" s="16"/>
      <c r="B536" s="17"/>
      <c r="C536" s="2"/>
      <c r="D536" s="2"/>
      <c r="E536" s="2"/>
      <c r="F536" s="2"/>
      <c r="G536" s="2"/>
      <c r="H536" s="2"/>
      <c r="I536" s="5"/>
    </row>
    <row r="537" spans="1:9" ht="17.399999999999999" x14ac:dyDescent="0.25">
      <c r="A537" s="16"/>
      <c r="B537" s="17"/>
      <c r="C537" s="2"/>
      <c r="D537" s="2"/>
      <c r="E537" s="2"/>
      <c r="F537" s="2"/>
      <c r="G537" s="2"/>
      <c r="H537" s="2"/>
      <c r="I537" s="5"/>
    </row>
    <row r="538" spans="1:9" ht="17.399999999999999" x14ac:dyDescent="0.25">
      <c r="A538" s="16"/>
      <c r="B538" s="17"/>
      <c r="C538" s="2"/>
      <c r="D538" s="2"/>
      <c r="E538" s="2"/>
      <c r="F538" s="2"/>
      <c r="G538" s="2"/>
      <c r="H538" s="2"/>
      <c r="I538" s="5"/>
    </row>
    <row r="539" spans="1:9" ht="17.399999999999999" x14ac:dyDescent="0.25">
      <c r="A539" s="16"/>
      <c r="B539" s="17"/>
      <c r="C539" s="2"/>
      <c r="D539" s="2"/>
      <c r="E539" s="2"/>
      <c r="F539" s="2"/>
      <c r="G539" s="2"/>
      <c r="H539" s="2"/>
      <c r="I539" s="5"/>
    </row>
    <row r="540" spans="1:9" ht="17.399999999999999" x14ac:dyDescent="0.25">
      <c r="A540" s="16"/>
      <c r="B540" s="17"/>
      <c r="C540" s="2"/>
      <c r="D540" s="2"/>
      <c r="E540" s="2"/>
      <c r="F540" s="2"/>
      <c r="G540" s="2"/>
      <c r="H540" s="2"/>
      <c r="I540" s="5"/>
    </row>
    <row r="541" spans="1:9" ht="17.399999999999999" x14ac:dyDescent="0.25">
      <c r="A541" s="16"/>
      <c r="B541" s="17"/>
      <c r="C541" s="2"/>
      <c r="D541" s="2"/>
      <c r="E541" s="2"/>
      <c r="F541" s="2"/>
      <c r="G541" s="2"/>
      <c r="H541" s="2"/>
      <c r="I541" s="5"/>
    </row>
    <row r="542" spans="1:9" ht="17.399999999999999" x14ac:dyDescent="0.25">
      <c r="A542" s="16"/>
      <c r="B542" s="17"/>
      <c r="C542" s="2"/>
      <c r="D542" s="2"/>
      <c r="E542" s="2"/>
      <c r="F542" s="2"/>
      <c r="G542" s="2"/>
      <c r="H542" s="2"/>
      <c r="I542" s="5"/>
    </row>
    <row r="543" spans="1:9" ht="17.399999999999999" x14ac:dyDescent="0.25">
      <c r="A543" s="16"/>
      <c r="B543" s="17"/>
      <c r="C543" s="2"/>
      <c r="D543" s="2"/>
      <c r="E543" s="2"/>
      <c r="F543" s="2"/>
      <c r="G543" s="2"/>
      <c r="H543" s="2"/>
      <c r="I543" s="5"/>
    </row>
    <row r="544" spans="1:9" ht="17.399999999999999" x14ac:dyDescent="0.25">
      <c r="A544" s="16"/>
      <c r="B544" s="17"/>
      <c r="C544" s="2"/>
      <c r="D544" s="2"/>
      <c r="E544" s="2"/>
      <c r="F544" s="2"/>
      <c r="G544" s="2"/>
      <c r="H544" s="2"/>
      <c r="I544" s="5"/>
    </row>
    <row r="545" spans="1:9" ht="17.399999999999999" x14ac:dyDescent="0.25">
      <c r="A545" s="16"/>
      <c r="B545" s="17"/>
      <c r="C545" s="2"/>
      <c r="D545" s="2"/>
      <c r="E545" s="2"/>
      <c r="F545" s="2"/>
      <c r="G545" s="2"/>
      <c r="H545" s="2"/>
      <c r="I545" s="5"/>
    </row>
    <row r="546" spans="1:9" ht="17.399999999999999" x14ac:dyDescent="0.25">
      <c r="A546" s="16"/>
      <c r="B546" s="17"/>
      <c r="C546" s="2"/>
      <c r="D546" s="2"/>
      <c r="E546" s="2"/>
      <c r="F546" s="2"/>
      <c r="G546" s="2"/>
      <c r="H546" s="2"/>
      <c r="I546" s="5"/>
    </row>
    <row r="547" spans="1:9" ht="17.399999999999999" x14ac:dyDescent="0.25">
      <c r="A547" s="16"/>
      <c r="B547" s="17"/>
      <c r="C547" s="2"/>
      <c r="D547" s="2"/>
      <c r="E547" s="2"/>
      <c r="F547" s="2"/>
      <c r="G547" s="2"/>
      <c r="H547" s="2"/>
      <c r="I547" s="5"/>
    </row>
    <row r="548" spans="1:9" ht="17.399999999999999" x14ac:dyDescent="0.25">
      <c r="A548" s="16"/>
      <c r="B548" s="17"/>
      <c r="C548" s="2"/>
      <c r="D548" s="2"/>
      <c r="E548" s="2"/>
      <c r="F548" s="2"/>
      <c r="G548" s="2"/>
      <c r="H548" s="2"/>
      <c r="I548" s="5"/>
    </row>
    <row r="549" spans="1:9" ht="17.399999999999999" x14ac:dyDescent="0.25">
      <c r="A549" s="16"/>
      <c r="B549" s="17"/>
      <c r="C549" s="2"/>
      <c r="D549" s="2"/>
      <c r="E549" s="2"/>
      <c r="F549" s="2"/>
      <c r="G549" s="2"/>
      <c r="H549" s="2"/>
      <c r="I549" s="5"/>
    </row>
    <row r="550" spans="1:9" ht="17.399999999999999" x14ac:dyDescent="0.25">
      <c r="A550" s="16"/>
      <c r="B550" s="17"/>
      <c r="C550" s="2"/>
      <c r="D550" s="2"/>
      <c r="E550" s="2"/>
      <c r="F550" s="2"/>
      <c r="G550" s="2"/>
      <c r="H550" s="2"/>
      <c r="I550" s="5"/>
    </row>
    <row r="551" spans="1:9" ht="17.399999999999999" x14ac:dyDescent="0.25">
      <c r="A551" s="16"/>
      <c r="B551" s="17"/>
      <c r="C551" s="2"/>
      <c r="D551" s="2"/>
      <c r="E551" s="2"/>
      <c r="F551" s="2"/>
      <c r="G551" s="2"/>
      <c r="H551" s="2"/>
      <c r="I551" s="5"/>
    </row>
    <row r="552" spans="1:9" ht="17.399999999999999" x14ac:dyDescent="0.25">
      <c r="A552" s="16"/>
      <c r="B552" s="17"/>
      <c r="C552" s="2"/>
      <c r="D552" s="2"/>
      <c r="E552" s="2"/>
      <c r="F552" s="2"/>
      <c r="G552" s="2"/>
      <c r="H552" s="2"/>
      <c r="I552" s="5"/>
    </row>
    <row r="553" spans="1:9" ht="17.399999999999999" x14ac:dyDescent="0.25">
      <c r="A553" s="16"/>
      <c r="B553" s="17"/>
      <c r="C553" s="2"/>
      <c r="D553" s="2"/>
      <c r="E553" s="2"/>
      <c r="F553" s="2"/>
      <c r="G553" s="2"/>
      <c r="H553" s="2"/>
      <c r="I553" s="5"/>
    </row>
    <row r="554" spans="1:9" ht="17.399999999999999" x14ac:dyDescent="0.25">
      <c r="A554" s="16"/>
      <c r="B554" s="17"/>
      <c r="C554" s="2"/>
      <c r="D554" s="2"/>
      <c r="E554" s="2"/>
      <c r="F554" s="2"/>
      <c r="G554" s="2"/>
      <c r="H554" s="2"/>
      <c r="I554" s="5"/>
    </row>
    <row r="555" spans="1:9" ht="17.399999999999999" x14ac:dyDescent="0.25">
      <c r="A555" s="16"/>
      <c r="B555" s="17"/>
      <c r="C555" s="2"/>
      <c r="D555" s="2"/>
      <c r="E555" s="2"/>
      <c r="F555" s="2"/>
      <c r="G555" s="2"/>
      <c r="H555" s="2"/>
      <c r="I555" s="5"/>
    </row>
    <row r="556" spans="1:9" ht="17.399999999999999" x14ac:dyDescent="0.25">
      <c r="A556" s="16"/>
      <c r="B556" s="17"/>
      <c r="C556" s="2"/>
      <c r="D556" s="2"/>
      <c r="E556" s="2"/>
      <c r="F556" s="2"/>
      <c r="G556" s="2"/>
      <c r="H556" s="2"/>
      <c r="I556" s="5"/>
    </row>
    <row r="557" spans="1:9" ht="17.399999999999999" x14ac:dyDescent="0.25">
      <c r="A557" s="16"/>
      <c r="B557" s="17"/>
      <c r="C557" s="2"/>
      <c r="D557" s="2"/>
      <c r="E557" s="2"/>
      <c r="F557" s="2"/>
      <c r="G557" s="2"/>
      <c r="H557" s="2"/>
      <c r="I557" s="5"/>
    </row>
    <row r="558" spans="1:9" ht="17.399999999999999" x14ac:dyDescent="0.25">
      <c r="A558" s="16"/>
      <c r="B558" s="17"/>
      <c r="C558" s="2"/>
      <c r="D558" s="2"/>
      <c r="E558" s="2"/>
      <c r="F558" s="2"/>
      <c r="G558" s="2"/>
      <c r="H558" s="2"/>
      <c r="I558" s="5"/>
    </row>
    <row r="559" spans="1:9" ht="17.399999999999999" x14ac:dyDescent="0.25">
      <c r="A559" s="16"/>
      <c r="B559" s="17"/>
      <c r="C559" s="2"/>
      <c r="D559" s="2"/>
      <c r="E559" s="2"/>
      <c r="F559" s="2"/>
      <c r="G559" s="2"/>
      <c r="H559" s="2"/>
      <c r="I559" s="5"/>
    </row>
    <row r="560" spans="1:9" ht="17.399999999999999" x14ac:dyDescent="0.25">
      <c r="A560" s="16"/>
      <c r="B560" s="17"/>
      <c r="C560" s="2"/>
      <c r="D560" s="2"/>
      <c r="E560" s="2"/>
      <c r="F560" s="2"/>
      <c r="G560" s="2"/>
      <c r="H560" s="2"/>
      <c r="I560" s="5"/>
    </row>
    <row r="561" spans="1:9" ht="17.399999999999999" x14ac:dyDescent="0.25">
      <c r="A561" s="16"/>
      <c r="B561" s="17"/>
      <c r="C561" s="2"/>
      <c r="D561" s="2"/>
      <c r="E561" s="2"/>
      <c r="F561" s="2"/>
      <c r="G561" s="2"/>
      <c r="H561" s="2"/>
      <c r="I561" s="5"/>
    </row>
    <row r="562" spans="1:9" ht="17.399999999999999" x14ac:dyDescent="0.25">
      <c r="A562" s="16"/>
      <c r="B562" s="17"/>
      <c r="C562" s="2"/>
      <c r="D562" s="2"/>
      <c r="E562" s="2"/>
      <c r="F562" s="2"/>
      <c r="G562" s="2"/>
      <c r="H562" s="2"/>
      <c r="I562" s="5"/>
    </row>
    <row r="563" spans="1:9" ht="17.399999999999999" x14ac:dyDescent="0.25">
      <c r="A563" s="16"/>
      <c r="B563" s="17"/>
      <c r="C563" s="2"/>
      <c r="D563" s="2"/>
      <c r="E563" s="2"/>
      <c r="F563" s="2"/>
      <c r="G563" s="2"/>
      <c r="H563" s="2"/>
      <c r="I563" s="5"/>
    </row>
    <row r="564" spans="1:9" ht="17.399999999999999" x14ac:dyDescent="0.25">
      <c r="A564" s="16"/>
      <c r="B564" s="17"/>
      <c r="C564" s="2"/>
      <c r="D564" s="2"/>
      <c r="E564" s="2"/>
      <c r="F564" s="2"/>
      <c r="G564" s="2"/>
      <c r="H564" s="2"/>
      <c r="I564" s="5"/>
    </row>
    <row r="565" spans="1:9" ht="17.399999999999999" x14ac:dyDescent="0.25">
      <c r="A565" s="16"/>
      <c r="B565" s="17"/>
      <c r="C565" s="2"/>
      <c r="D565" s="2"/>
      <c r="E565" s="2"/>
      <c r="F565" s="2"/>
      <c r="G565" s="2"/>
      <c r="H565" s="2"/>
      <c r="I565" s="5"/>
    </row>
    <row r="566" spans="1:9" ht="17.399999999999999" x14ac:dyDescent="0.25">
      <c r="A566" s="16"/>
      <c r="B566" s="17"/>
      <c r="C566" s="2"/>
      <c r="D566" s="2"/>
      <c r="E566" s="2"/>
      <c r="F566" s="2"/>
      <c r="G566" s="2"/>
      <c r="H566" s="2"/>
      <c r="I566" s="5"/>
    </row>
    <row r="567" spans="1:9" ht="17.399999999999999" x14ac:dyDescent="0.25">
      <c r="A567" s="16"/>
      <c r="B567" s="17"/>
      <c r="C567" s="2"/>
      <c r="D567" s="2"/>
      <c r="E567" s="2"/>
      <c r="F567" s="2"/>
      <c r="G567" s="2"/>
      <c r="H567" s="2"/>
      <c r="I567" s="5"/>
    </row>
    <row r="568" spans="1:9" ht="17.399999999999999" x14ac:dyDescent="0.25">
      <c r="A568" s="16"/>
      <c r="B568" s="17"/>
      <c r="C568" s="2"/>
      <c r="D568" s="2"/>
      <c r="E568" s="2"/>
      <c r="F568" s="2"/>
      <c r="G568" s="2"/>
      <c r="H568" s="2"/>
      <c r="I568" s="5"/>
    </row>
    <row r="569" spans="1:9" ht="17.399999999999999" x14ac:dyDescent="0.25">
      <c r="A569" s="16"/>
      <c r="B569" s="17"/>
      <c r="C569" s="2"/>
      <c r="D569" s="2"/>
      <c r="E569" s="2"/>
      <c r="F569" s="2"/>
      <c r="G569" s="2"/>
      <c r="H569" s="2"/>
      <c r="I569" s="5"/>
    </row>
    <row r="570" spans="1:9" ht="17.399999999999999" x14ac:dyDescent="0.25">
      <c r="A570" s="16"/>
      <c r="B570" s="17"/>
      <c r="C570" s="2"/>
      <c r="D570" s="2"/>
      <c r="E570" s="2"/>
      <c r="F570" s="2"/>
      <c r="G570" s="2"/>
      <c r="H570" s="2"/>
      <c r="I570" s="5"/>
    </row>
    <row r="571" spans="1:9" ht="17.399999999999999" x14ac:dyDescent="0.25">
      <c r="A571" s="16"/>
      <c r="B571" s="17"/>
      <c r="C571" s="2"/>
      <c r="D571" s="2"/>
      <c r="E571" s="2"/>
      <c r="F571" s="2"/>
      <c r="G571" s="2"/>
      <c r="H571" s="2"/>
      <c r="I571" s="5"/>
    </row>
    <row r="572" spans="1:9" ht="17.399999999999999" x14ac:dyDescent="0.25">
      <c r="A572" s="16"/>
      <c r="B572" s="17"/>
      <c r="C572" s="2"/>
      <c r="D572" s="2"/>
      <c r="E572" s="2"/>
      <c r="F572" s="2"/>
      <c r="G572" s="2"/>
      <c r="H572" s="2"/>
      <c r="I572" s="5"/>
    </row>
    <row r="573" spans="1:9" ht="17.399999999999999" x14ac:dyDescent="0.25">
      <c r="A573" s="16"/>
      <c r="B573" s="17"/>
      <c r="C573" s="2"/>
      <c r="D573" s="2"/>
      <c r="E573" s="2"/>
      <c r="F573" s="2"/>
      <c r="G573" s="2"/>
      <c r="H573" s="2"/>
      <c r="I573" s="5"/>
    </row>
    <row r="574" spans="1:9" ht="17.399999999999999" x14ac:dyDescent="0.25">
      <c r="A574" s="16"/>
      <c r="B574" s="17"/>
      <c r="C574" s="2"/>
      <c r="D574" s="2"/>
      <c r="E574" s="2"/>
      <c r="F574" s="2"/>
      <c r="G574" s="2"/>
      <c r="H574" s="2"/>
      <c r="I574" s="5"/>
    </row>
    <row r="575" spans="1:9" ht="17.399999999999999" x14ac:dyDescent="0.25">
      <c r="A575" s="16"/>
      <c r="B575" s="17"/>
      <c r="C575" s="2"/>
      <c r="D575" s="2"/>
      <c r="E575" s="2"/>
      <c r="F575" s="2"/>
      <c r="G575" s="2"/>
      <c r="H575" s="2"/>
      <c r="I575" s="5"/>
    </row>
    <row r="576" spans="1:9" ht="17.399999999999999" x14ac:dyDescent="0.25">
      <c r="A576" s="16"/>
      <c r="B576" s="17"/>
      <c r="C576" s="2"/>
      <c r="D576" s="2"/>
      <c r="E576" s="2"/>
      <c r="F576" s="2"/>
      <c r="G576" s="2"/>
      <c r="H576" s="2"/>
      <c r="I576" s="5"/>
    </row>
    <row r="577" spans="1:9" ht="17.399999999999999" x14ac:dyDescent="0.25">
      <c r="A577" s="16"/>
      <c r="B577" s="17"/>
      <c r="C577" s="2"/>
      <c r="D577" s="2"/>
      <c r="E577" s="2"/>
      <c r="F577" s="2"/>
      <c r="G577" s="2"/>
      <c r="H577" s="2"/>
      <c r="I577" s="5"/>
    </row>
    <row r="578" spans="1:9" ht="17.399999999999999" x14ac:dyDescent="0.25">
      <c r="A578" s="16"/>
      <c r="B578" s="17"/>
      <c r="C578" s="2"/>
      <c r="D578" s="2"/>
      <c r="E578" s="2"/>
      <c r="F578" s="2"/>
      <c r="G578" s="2"/>
      <c r="H578" s="2"/>
      <c r="I578" s="5"/>
    </row>
    <row r="579" spans="1:9" ht="17.399999999999999" x14ac:dyDescent="0.25">
      <c r="A579" s="16"/>
      <c r="B579" s="17"/>
      <c r="C579" s="2"/>
      <c r="D579" s="2"/>
      <c r="E579" s="2"/>
      <c r="F579" s="2"/>
      <c r="G579" s="2"/>
      <c r="H579" s="2"/>
      <c r="I579" s="5"/>
    </row>
    <row r="580" spans="1:9" ht="17.399999999999999" x14ac:dyDescent="0.25">
      <c r="A580" s="16"/>
      <c r="B580" s="17"/>
      <c r="C580" s="2"/>
      <c r="D580" s="2"/>
      <c r="E580" s="2"/>
      <c r="F580" s="2"/>
      <c r="G580" s="2"/>
      <c r="H580" s="2"/>
      <c r="I580" s="5"/>
    </row>
    <row r="581" spans="1:9" ht="17.399999999999999" x14ac:dyDescent="0.25">
      <c r="A581" s="16"/>
      <c r="B581" s="17"/>
      <c r="C581" s="2"/>
      <c r="D581" s="2"/>
      <c r="E581" s="2"/>
      <c r="F581" s="2"/>
      <c r="G581" s="2"/>
      <c r="H581" s="2"/>
      <c r="I581" s="5"/>
    </row>
    <row r="582" spans="1:9" ht="17.399999999999999" x14ac:dyDescent="0.25">
      <c r="A582" s="16"/>
      <c r="B582" s="17"/>
      <c r="C582" s="2"/>
      <c r="D582" s="2"/>
      <c r="E582" s="2"/>
      <c r="F582" s="2"/>
      <c r="G582" s="2"/>
      <c r="H582" s="2"/>
      <c r="I582" s="5"/>
    </row>
    <row r="583" spans="1:9" ht="17.399999999999999" x14ac:dyDescent="0.25">
      <c r="A583" s="16"/>
      <c r="B583" s="17"/>
      <c r="C583" s="2"/>
      <c r="D583" s="2"/>
      <c r="E583" s="2"/>
      <c r="F583" s="2"/>
      <c r="G583" s="2"/>
      <c r="H583" s="2"/>
      <c r="I583" s="5"/>
    </row>
    <row r="584" spans="1:9" ht="17.399999999999999" x14ac:dyDescent="0.25">
      <c r="A584" s="16"/>
      <c r="B584" s="17"/>
      <c r="C584" s="2"/>
      <c r="D584" s="2"/>
      <c r="E584" s="2"/>
      <c r="F584" s="2"/>
      <c r="G584" s="2"/>
      <c r="H584" s="2"/>
      <c r="I584" s="5"/>
    </row>
    <row r="585" spans="1:9" ht="17.399999999999999" x14ac:dyDescent="0.25">
      <c r="A585" s="16"/>
      <c r="B585" s="17"/>
      <c r="C585" s="2"/>
      <c r="D585" s="2"/>
      <c r="E585" s="2"/>
      <c r="F585" s="2"/>
      <c r="G585" s="2"/>
      <c r="H585" s="2"/>
      <c r="I585" s="5"/>
    </row>
    <row r="586" spans="1:9" ht="17.399999999999999" x14ac:dyDescent="0.25">
      <c r="A586" s="16"/>
      <c r="B586" s="17"/>
      <c r="C586" s="2"/>
      <c r="D586" s="2"/>
      <c r="E586" s="2"/>
      <c r="F586" s="2"/>
      <c r="G586" s="2"/>
      <c r="H586" s="2"/>
      <c r="I586" s="5"/>
    </row>
    <row r="587" spans="1:9" ht="17.399999999999999" x14ac:dyDescent="0.25">
      <c r="A587" s="16"/>
      <c r="B587" s="17"/>
      <c r="C587" s="2"/>
      <c r="D587" s="2"/>
      <c r="E587" s="2"/>
      <c r="F587" s="2"/>
      <c r="G587" s="2"/>
      <c r="H587" s="2"/>
      <c r="I587" s="5"/>
    </row>
    <row r="588" spans="1:9" ht="17.399999999999999" x14ac:dyDescent="0.25">
      <c r="A588" s="16"/>
      <c r="B588" s="17"/>
      <c r="C588" s="2"/>
      <c r="D588" s="2"/>
      <c r="E588" s="2"/>
      <c r="F588" s="2"/>
      <c r="G588" s="2"/>
      <c r="H588" s="2"/>
      <c r="I588" s="5"/>
    </row>
    <row r="589" spans="1:9" ht="17.399999999999999" x14ac:dyDescent="0.25">
      <c r="A589" s="16"/>
      <c r="B589" s="17"/>
      <c r="C589" s="2"/>
      <c r="D589" s="2"/>
      <c r="E589" s="2"/>
      <c r="F589" s="2"/>
      <c r="G589" s="2"/>
      <c r="H589" s="2"/>
      <c r="I589" s="5"/>
    </row>
    <row r="590" spans="1:9" ht="17.399999999999999" x14ac:dyDescent="0.25">
      <c r="A590" s="16"/>
      <c r="B590" s="17"/>
      <c r="C590" s="2"/>
      <c r="D590" s="2"/>
      <c r="E590" s="2"/>
      <c r="F590" s="2"/>
      <c r="G590" s="2"/>
      <c r="H590" s="2"/>
      <c r="I590" s="5"/>
    </row>
    <row r="591" spans="1:9" ht="17.399999999999999" x14ac:dyDescent="0.25">
      <c r="A591" s="16"/>
      <c r="B591" s="17"/>
      <c r="C591" s="2"/>
      <c r="D591" s="2"/>
      <c r="E591" s="2"/>
      <c r="F591" s="2"/>
      <c r="G591" s="2"/>
      <c r="H591" s="2"/>
      <c r="I591" s="5"/>
    </row>
    <row r="592" spans="1:9" ht="17.399999999999999" x14ac:dyDescent="0.25">
      <c r="A592" s="16"/>
      <c r="B592" s="17"/>
      <c r="C592" s="2"/>
      <c r="D592" s="2"/>
      <c r="E592" s="2"/>
      <c r="F592" s="2"/>
      <c r="G592" s="2"/>
      <c r="H592" s="2"/>
      <c r="I592" s="5"/>
    </row>
    <row r="593" spans="1:9" ht="17.399999999999999" x14ac:dyDescent="0.25">
      <c r="A593" s="16"/>
      <c r="B593" s="17"/>
      <c r="C593" s="2"/>
      <c r="D593" s="2"/>
      <c r="E593" s="2"/>
      <c r="F593" s="2"/>
      <c r="G593" s="2"/>
      <c r="H593" s="2"/>
      <c r="I593" s="5"/>
    </row>
    <row r="594" spans="1:9" ht="17.399999999999999" x14ac:dyDescent="0.25">
      <c r="A594" s="16"/>
      <c r="B594" s="17"/>
      <c r="C594" s="2"/>
      <c r="D594" s="2"/>
      <c r="E594" s="2"/>
      <c r="F594" s="2"/>
      <c r="G594" s="2"/>
      <c r="H594" s="2"/>
      <c r="I594" s="5"/>
    </row>
    <row r="595" spans="1:9" ht="17.399999999999999" x14ac:dyDescent="0.25">
      <c r="A595" s="16"/>
      <c r="B595" s="17"/>
      <c r="C595" s="2"/>
      <c r="D595" s="2"/>
      <c r="E595" s="2"/>
      <c r="F595" s="2"/>
      <c r="G595" s="2"/>
      <c r="H595" s="2"/>
      <c r="I595" s="5"/>
    </row>
    <row r="596" spans="1:9" ht="17.399999999999999" x14ac:dyDescent="0.25">
      <c r="A596" s="16"/>
      <c r="B596" s="17"/>
      <c r="C596" s="2"/>
      <c r="D596" s="2"/>
      <c r="E596" s="2"/>
      <c r="F596" s="2"/>
      <c r="G596" s="2"/>
      <c r="H596" s="2"/>
      <c r="I596" s="5"/>
    </row>
    <row r="597" spans="1:9" ht="17.399999999999999" x14ac:dyDescent="0.25">
      <c r="A597" s="16"/>
      <c r="B597" s="17"/>
      <c r="C597" s="2"/>
      <c r="D597" s="2"/>
      <c r="E597" s="2"/>
      <c r="F597" s="2"/>
      <c r="G597" s="2"/>
      <c r="H597" s="2"/>
      <c r="I597" s="5"/>
    </row>
    <row r="598" spans="1:9" ht="17.399999999999999" x14ac:dyDescent="0.25">
      <c r="A598" s="16"/>
      <c r="B598" s="17"/>
      <c r="C598" s="2"/>
      <c r="D598" s="2"/>
      <c r="E598" s="2"/>
      <c r="F598" s="2"/>
      <c r="G598" s="2"/>
      <c r="H598" s="2"/>
      <c r="I598" s="5"/>
    </row>
    <row r="599" spans="1:9" ht="17.399999999999999" x14ac:dyDescent="0.25">
      <c r="A599" s="16"/>
      <c r="B599" s="17"/>
      <c r="C599" s="2"/>
      <c r="D599" s="2"/>
      <c r="E599" s="2"/>
      <c r="F599" s="2"/>
      <c r="G599" s="2"/>
      <c r="H599" s="2"/>
      <c r="I599" s="5"/>
    </row>
    <row r="600" spans="1:9" ht="17.399999999999999" x14ac:dyDescent="0.25">
      <c r="A600" s="16"/>
      <c r="B600" s="17"/>
      <c r="C600" s="2"/>
      <c r="D600" s="2"/>
      <c r="E600" s="2"/>
      <c r="F600" s="2"/>
      <c r="G600" s="2"/>
      <c r="H600" s="2"/>
      <c r="I600" s="5"/>
    </row>
    <row r="601" spans="1:9" ht="17.399999999999999" x14ac:dyDescent="0.25">
      <c r="A601" s="16"/>
      <c r="B601" s="17"/>
      <c r="C601" s="2"/>
      <c r="D601" s="2"/>
      <c r="E601" s="2"/>
      <c r="F601" s="2"/>
      <c r="G601" s="2"/>
      <c r="H601" s="2"/>
      <c r="I601" s="5"/>
    </row>
    <row r="602" spans="1:9" ht="17.399999999999999" x14ac:dyDescent="0.25">
      <c r="A602" s="16"/>
      <c r="B602" s="17"/>
      <c r="C602" s="2"/>
      <c r="D602" s="2"/>
      <c r="E602" s="2"/>
      <c r="F602" s="2"/>
      <c r="G602" s="2"/>
      <c r="H602" s="2"/>
      <c r="I602" s="5"/>
    </row>
    <row r="603" spans="1:9" ht="17.399999999999999" x14ac:dyDescent="0.25">
      <c r="A603" s="16"/>
      <c r="B603" s="17"/>
      <c r="C603" s="2"/>
      <c r="D603" s="2"/>
      <c r="E603" s="2"/>
      <c r="F603" s="2"/>
      <c r="G603" s="2"/>
      <c r="H603" s="2"/>
      <c r="I603" s="5"/>
    </row>
    <row r="604" spans="1:9" ht="17.399999999999999" x14ac:dyDescent="0.25">
      <c r="A604" s="16"/>
      <c r="B604" s="17"/>
      <c r="C604" s="2"/>
      <c r="D604" s="2"/>
      <c r="E604" s="2"/>
      <c r="F604" s="2"/>
      <c r="G604" s="2"/>
      <c r="H604" s="2"/>
      <c r="I604" s="5"/>
    </row>
    <row r="605" spans="1:9" ht="17.399999999999999" x14ac:dyDescent="0.25">
      <c r="A605" s="16"/>
      <c r="B605" s="17"/>
      <c r="C605" s="2"/>
      <c r="D605" s="2"/>
      <c r="E605" s="2"/>
      <c r="F605" s="2"/>
      <c r="G605" s="2"/>
      <c r="H605" s="2"/>
      <c r="I605" s="5"/>
    </row>
    <row r="606" spans="1:9" ht="17.399999999999999" x14ac:dyDescent="0.25">
      <c r="A606" s="16"/>
      <c r="B606" s="17"/>
      <c r="C606" s="2"/>
      <c r="D606" s="2"/>
      <c r="E606" s="2"/>
      <c r="F606" s="2"/>
      <c r="G606" s="2"/>
      <c r="H606" s="2"/>
      <c r="I606" s="5"/>
    </row>
    <row r="607" spans="1:9" ht="17.399999999999999" x14ac:dyDescent="0.25">
      <c r="A607" s="16"/>
      <c r="B607" s="17"/>
      <c r="C607" s="2"/>
      <c r="D607" s="2"/>
      <c r="E607" s="2"/>
      <c r="F607" s="2"/>
      <c r="G607" s="2"/>
      <c r="H607" s="2"/>
      <c r="I607" s="5"/>
    </row>
    <row r="608" spans="1:9" ht="17.399999999999999" x14ac:dyDescent="0.25">
      <c r="A608" s="16"/>
      <c r="B608" s="17"/>
      <c r="C608" s="2"/>
      <c r="D608" s="2"/>
      <c r="E608" s="2"/>
      <c r="F608" s="2"/>
      <c r="G608" s="2"/>
      <c r="H608" s="2"/>
      <c r="I608" s="5"/>
    </row>
    <row r="609" spans="1:9" ht="17.399999999999999" x14ac:dyDescent="0.25">
      <c r="A609" s="16"/>
      <c r="B609" s="17"/>
      <c r="C609" s="2"/>
      <c r="D609" s="2"/>
      <c r="E609" s="2"/>
      <c r="F609" s="2"/>
      <c r="G609" s="2"/>
      <c r="H609" s="2"/>
      <c r="I609" s="5"/>
    </row>
    <row r="610" spans="1:9" ht="17.399999999999999" x14ac:dyDescent="0.25">
      <c r="A610" s="16"/>
      <c r="B610" s="17"/>
      <c r="C610" s="2"/>
      <c r="D610" s="2"/>
      <c r="E610" s="2"/>
      <c r="F610" s="2"/>
      <c r="G610" s="2"/>
      <c r="H610" s="2"/>
      <c r="I610" s="5"/>
    </row>
    <row r="611" spans="1:9" ht="17.399999999999999" x14ac:dyDescent="0.25">
      <c r="A611" s="16"/>
      <c r="B611" s="17"/>
      <c r="C611" s="2"/>
      <c r="D611" s="2"/>
      <c r="E611" s="2"/>
      <c r="F611" s="2"/>
      <c r="G611" s="2"/>
      <c r="H611" s="2"/>
      <c r="I611" s="5"/>
    </row>
    <row r="612" spans="1:9" ht="17.399999999999999" x14ac:dyDescent="0.25">
      <c r="A612" s="16"/>
      <c r="B612" s="17"/>
      <c r="C612" s="2"/>
      <c r="D612" s="2"/>
      <c r="E612" s="2"/>
      <c r="F612" s="2"/>
      <c r="G612" s="2"/>
      <c r="H612" s="2"/>
      <c r="I612" s="5"/>
    </row>
    <row r="613" spans="1:9" ht="17.399999999999999" x14ac:dyDescent="0.25">
      <c r="A613" s="16"/>
      <c r="B613" s="17"/>
      <c r="C613" s="2"/>
      <c r="D613" s="2"/>
      <c r="E613" s="2"/>
      <c r="F613" s="2"/>
      <c r="G613" s="2"/>
      <c r="H613" s="2"/>
      <c r="I613" s="5"/>
    </row>
    <row r="614" spans="1:9" ht="17.399999999999999" x14ac:dyDescent="0.25">
      <c r="A614" s="16"/>
      <c r="B614" s="17"/>
      <c r="C614" s="2"/>
      <c r="D614" s="2"/>
      <c r="E614" s="2"/>
      <c r="F614" s="2"/>
      <c r="G614" s="2"/>
      <c r="H614" s="2"/>
      <c r="I614" s="5"/>
    </row>
    <row r="615" spans="1:9" ht="17.399999999999999" x14ac:dyDescent="0.25">
      <c r="A615" s="16"/>
      <c r="B615" s="17"/>
      <c r="C615" s="2"/>
      <c r="D615" s="2"/>
      <c r="E615" s="2"/>
      <c r="F615" s="2"/>
      <c r="G615" s="2"/>
      <c r="H615" s="2"/>
      <c r="I615" s="5"/>
    </row>
    <row r="616" spans="1:9" ht="17.399999999999999" x14ac:dyDescent="0.25">
      <c r="A616" s="16"/>
      <c r="B616" s="17"/>
      <c r="C616" s="2"/>
      <c r="D616" s="2"/>
      <c r="E616" s="2"/>
      <c r="F616" s="2"/>
      <c r="G616" s="2"/>
      <c r="H616" s="2"/>
      <c r="I616" s="5"/>
    </row>
    <row r="617" spans="1:9" ht="17.399999999999999" x14ac:dyDescent="0.25">
      <c r="A617" s="16"/>
      <c r="B617" s="17"/>
      <c r="C617" s="2"/>
      <c r="D617" s="2"/>
      <c r="E617" s="2"/>
      <c r="F617" s="2"/>
      <c r="G617" s="2"/>
      <c r="H617" s="2"/>
      <c r="I617" s="5"/>
    </row>
    <row r="618" spans="1:9" ht="17.399999999999999" x14ac:dyDescent="0.25">
      <c r="A618" s="16"/>
      <c r="B618" s="17"/>
      <c r="C618" s="2"/>
      <c r="D618" s="2"/>
      <c r="E618" s="2"/>
      <c r="F618" s="2"/>
      <c r="G618" s="2"/>
      <c r="H618" s="2"/>
      <c r="I618" s="5"/>
    </row>
    <row r="619" spans="1:9" ht="17.399999999999999" x14ac:dyDescent="0.25">
      <c r="A619" s="16"/>
      <c r="B619" s="17"/>
      <c r="C619" s="2"/>
      <c r="D619" s="2"/>
      <c r="E619" s="2"/>
      <c r="F619" s="2"/>
      <c r="G619" s="2"/>
      <c r="H619" s="2"/>
      <c r="I619" s="5"/>
    </row>
    <row r="620" spans="1:9" ht="17.399999999999999" x14ac:dyDescent="0.25">
      <c r="A620" s="16"/>
      <c r="B620" s="17"/>
      <c r="C620" s="2"/>
      <c r="D620" s="2"/>
      <c r="E620" s="2"/>
      <c r="F620" s="2"/>
      <c r="G620" s="2"/>
      <c r="H620" s="2"/>
      <c r="I620" s="5"/>
    </row>
    <row r="621" spans="1:9" ht="17.399999999999999" x14ac:dyDescent="0.25">
      <c r="A621" s="16"/>
      <c r="B621" s="17"/>
      <c r="C621" s="2"/>
      <c r="D621" s="2"/>
      <c r="E621" s="2"/>
      <c r="F621" s="2"/>
      <c r="G621" s="2"/>
      <c r="H621" s="2"/>
      <c r="I621" s="5"/>
    </row>
    <row r="622" spans="1:9" ht="17.399999999999999" x14ac:dyDescent="0.25">
      <c r="A622" s="16"/>
      <c r="B622" s="17"/>
      <c r="C622" s="2"/>
      <c r="D622" s="2"/>
      <c r="E622" s="2"/>
      <c r="F622" s="2"/>
      <c r="G622" s="2"/>
      <c r="H622" s="2"/>
      <c r="I622" s="5"/>
    </row>
    <row r="623" spans="1:9" ht="17.399999999999999" x14ac:dyDescent="0.25">
      <c r="A623" s="16"/>
      <c r="B623" s="17"/>
      <c r="C623" s="2"/>
      <c r="D623" s="2"/>
      <c r="E623" s="2"/>
      <c r="F623" s="2"/>
      <c r="G623" s="2"/>
      <c r="H623" s="2"/>
      <c r="I623" s="5"/>
    </row>
    <row r="624" spans="1:9" ht="17.399999999999999" x14ac:dyDescent="0.25">
      <c r="A624" s="16"/>
      <c r="B624" s="17"/>
      <c r="C624" s="2"/>
      <c r="D624" s="2"/>
      <c r="E624" s="2"/>
      <c r="F624" s="2"/>
      <c r="G624" s="2"/>
      <c r="H624" s="2"/>
      <c r="I624" s="5"/>
    </row>
    <row r="625" spans="1:9" ht="17.399999999999999" x14ac:dyDescent="0.25">
      <c r="A625" s="16"/>
      <c r="B625" s="17"/>
      <c r="C625" s="2"/>
      <c r="D625" s="2"/>
      <c r="E625" s="2"/>
      <c r="F625" s="2"/>
      <c r="G625" s="2"/>
      <c r="H625" s="2"/>
      <c r="I625" s="5"/>
    </row>
    <row r="626" spans="1:9" ht="17.399999999999999" x14ac:dyDescent="0.25">
      <c r="A626" s="16"/>
      <c r="B626" s="17"/>
      <c r="C626" s="2"/>
      <c r="D626" s="2"/>
      <c r="E626" s="2"/>
      <c r="F626" s="2"/>
      <c r="G626" s="2"/>
      <c r="H626" s="2"/>
      <c r="I626" s="5"/>
    </row>
    <row r="627" spans="1:9" ht="17.399999999999999" x14ac:dyDescent="0.25">
      <c r="A627" s="16"/>
      <c r="B627" s="17"/>
      <c r="C627" s="2"/>
      <c r="D627" s="2"/>
      <c r="E627" s="2"/>
      <c r="F627" s="2"/>
      <c r="G627" s="2"/>
      <c r="H627" s="2"/>
      <c r="I627" s="5"/>
    </row>
    <row r="628" spans="1:9" ht="17.399999999999999" x14ac:dyDescent="0.25">
      <c r="A628" s="16"/>
      <c r="B628" s="17"/>
      <c r="C628" s="2"/>
      <c r="D628" s="2"/>
      <c r="E628" s="2"/>
      <c r="F628" s="2"/>
      <c r="G628" s="2"/>
      <c r="H628" s="2"/>
      <c r="I628" s="5"/>
    </row>
    <row r="629" spans="1:9" ht="17.399999999999999" x14ac:dyDescent="0.25">
      <c r="A629" s="16"/>
      <c r="B629" s="17"/>
      <c r="C629" s="2"/>
      <c r="D629" s="2"/>
      <c r="E629" s="2"/>
      <c r="F629" s="2"/>
      <c r="G629" s="2"/>
      <c r="H629" s="2"/>
      <c r="I629" s="5"/>
    </row>
    <row r="630" spans="1:9" ht="17.399999999999999" x14ac:dyDescent="0.25">
      <c r="A630" s="16"/>
      <c r="B630" s="17"/>
      <c r="C630" s="2"/>
      <c r="D630" s="2"/>
      <c r="E630" s="2"/>
      <c r="F630" s="2"/>
      <c r="G630" s="2"/>
      <c r="H630" s="2"/>
      <c r="I630" s="5"/>
    </row>
    <row r="631" spans="1:9" ht="17.399999999999999" x14ac:dyDescent="0.25">
      <c r="A631" s="16"/>
      <c r="B631" s="17"/>
      <c r="C631" s="2"/>
      <c r="D631" s="2"/>
      <c r="E631" s="2"/>
      <c r="F631" s="2"/>
      <c r="G631" s="2"/>
      <c r="H631" s="2"/>
      <c r="I631" s="5"/>
    </row>
    <row r="632" spans="1:9" ht="17.399999999999999" x14ac:dyDescent="0.25">
      <c r="A632" s="16"/>
      <c r="B632" s="17"/>
      <c r="C632" s="2"/>
      <c r="D632" s="2"/>
      <c r="E632" s="2"/>
      <c r="F632" s="2"/>
      <c r="G632" s="2"/>
      <c r="H632" s="2"/>
      <c r="I632" s="5"/>
    </row>
    <row r="633" spans="1:9" ht="17.399999999999999" x14ac:dyDescent="0.25">
      <c r="A633" s="16"/>
      <c r="B633" s="17"/>
      <c r="C633" s="2"/>
      <c r="D633" s="2"/>
      <c r="E633" s="2"/>
      <c r="F633" s="2"/>
      <c r="G633" s="2"/>
      <c r="H633" s="2"/>
      <c r="I633" s="5"/>
    </row>
    <row r="634" spans="1:9" ht="17.399999999999999" x14ac:dyDescent="0.25">
      <c r="A634" s="16"/>
      <c r="B634" s="17"/>
      <c r="C634" s="2"/>
      <c r="D634" s="2"/>
      <c r="E634" s="2"/>
      <c r="F634" s="2"/>
      <c r="G634" s="2"/>
      <c r="H634" s="2"/>
      <c r="I634" s="5"/>
    </row>
    <row r="635" spans="1:9" ht="17.399999999999999" x14ac:dyDescent="0.25">
      <c r="A635" s="16"/>
      <c r="B635" s="17"/>
      <c r="C635" s="2"/>
      <c r="D635" s="2"/>
      <c r="E635" s="2"/>
      <c r="F635" s="2"/>
      <c r="G635" s="2"/>
      <c r="H635" s="2"/>
      <c r="I635" s="5"/>
    </row>
    <row r="636" spans="1:9" ht="17.399999999999999" x14ac:dyDescent="0.25">
      <c r="A636" s="16"/>
      <c r="B636" s="17"/>
      <c r="C636" s="2"/>
      <c r="D636" s="2"/>
      <c r="E636" s="2"/>
      <c r="F636" s="2"/>
      <c r="G636" s="2"/>
      <c r="H636" s="2"/>
      <c r="I636" s="5"/>
    </row>
    <row r="637" spans="1:9" ht="17.399999999999999" x14ac:dyDescent="0.25">
      <c r="A637" s="16"/>
      <c r="B637" s="17"/>
      <c r="C637" s="2"/>
      <c r="D637" s="2"/>
      <c r="E637" s="2"/>
      <c r="F637" s="2"/>
      <c r="G637" s="2"/>
      <c r="H637" s="2"/>
      <c r="I637" s="5"/>
    </row>
    <row r="638" spans="1:9" ht="17.399999999999999" x14ac:dyDescent="0.25">
      <c r="A638" s="16"/>
      <c r="B638" s="17"/>
      <c r="C638" s="2"/>
      <c r="D638" s="2"/>
      <c r="E638" s="2"/>
      <c r="F638" s="2"/>
      <c r="G638" s="2"/>
      <c r="H638" s="2"/>
      <c r="I638" s="5"/>
    </row>
    <row r="639" spans="1:9" ht="17.399999999999999" x14ac:dyDescent="0.25">
      <c r="A639" s="16"/>
      <c r="B639" s="17"/>
      <c r="C639" s="2"/>
      <c r="D639" s="2"/>
      <c r="E639" s="2"/>
      <c r="F639" s="2"/>
      <c r="G639" s="2"/>
      <c r="H639" s="2"/>
      <c r="I639" s="5"/>
    </row>
    <row r="640" spans="1:9" ht="17.399999999999999" x14ac:dyDescent="0.25">
      <c r="A640" s="16"/>
      <c r="B640" s="17"/>
      <c r="C640" s="2"/>
      <c r="D640" s="2"/>
      <c r="E640" s="2"/>
      <c r="F640" s="2"/>
      <c r="G640" s="2"/>
      <c r="H640" s="2"/>
      <c r="I640" s="5"/>
    </row>
    <row r="641" spans="1:9" ht="17.399999999999999" x14ac:dyDescent="0.25">
      <c r="A641" s="16"/>
      <c r="B641" s="17"/>
      <c r="C641" s="2"/>
      <c r="D641" s="2"/>
      <c r="E641" s="2"/>
      <c r="F641" s="2"/>
      <c r="G641" s="2"/>
      <c r="H641" s="2"/>
      <c r="I641" s="5"/>
    </row>
    <row r="642" spans="1:9" ht="17.399999999999999" x14ac:dyDescent="0.25">
      <c r="A642" s="16"/>
      <c r="B642" s="17"/>
      <c r="C642" s="2"/>
      <c r="D642" s="2"/>
      <c r="E642" s="2"/>
      <c r="F642" s="2"/>
      <c r="G642" s="2"/>
      <c r="H642" s="2"/>
      <c r="I642" s="5"/>
    </row>
    <row r="643" spans="1:9" ht="17.399999999999999" x14ac:dyDescent="0.25">
      <c r="A643" s="16"/>
      <c r="B643" s="17"/>
      <c r="C643" s="2"/>
      <c r="D643" s="2"/>
      <c r="E643" s="2"/>
      <c r="F643" s="2"/>
      <c r="G643" s="2"/>
      <c r="H643" s="2"/>
      <c r="I643" s="5"/>
    </row>
    <row r="644" spans="1:9" ht="17.399999999999999" x14ac:dyDescent="0.25">
      <c r="A644" s="16"/>
      <c r="B644" s="17"/>
      <c r="C644" s="2"/>
      <c r="D644" s="2"/>
      <c r="E644" s="2"/>
      <c r="F644" s="2"/>
      <c r="G644" s="2"/>
      <c r="H644" s="2"/>
      <c r="I644" s="5"/>
    </row>
    <row r="645" spans="1:9" ht="17.399999999999999" x14ac:dyDescent="0.25">
      <c r="A645" s="16"/>
      <c r="B645" s="17"/>
      <c r="C645" s="2"/>
      <c r="D645" s="2"/>
      <c r="E645" s="2"/>
      <c r="F645" s="2"/>
      <c r="G645" s="2"/>
      <c r="H645" s="2"/>
      <c r="I645" s="5"/>
    </row>
    <row r="646" spans="1:9" ht="17.399999999999999" x14ac:dyDescent="0.25">
      <c r="A646" s="16"/>
      <c r="B646" s="17"/>
      <c r="C646" s="2"/>
      <c r="D646" s="2"/>
      <c r="E646" s="2"/>
      <c r="F646" s="2"/>
      <c r="G646" s="2"/>
      <c r="H646" s="2"/>
      <c r="I646" s="5"/>
    </row>
    <row r="647" spans="1:9" ht="17.399999999999999" x14ac:dyDescent="0.25">
      <c r="A647" s="16"/>
      <c r="B647" s="17"/>
      <c r="C647" s="2"/>
      <c r="D647" s="2"/>
      <c r="E647" s="2"/>
      <c r="F647" s="2"/>
      <c r="G647" s="2"/>
      <c r="H647" s="2"/>
      <c r="I647" s="5"/>
    </row>
    <row r="648" spans="1:9" ht="17.399999999999999" x14ac:dyDescent="0.25">
      <c r="A648" s="16"/>
      <c r="B648" s="17"/>
      <c r="C648" s="2"/>
      <c r="D648" s="2"/>
      <c r="E648" s="2"/>
      <c r="F648" s="2"/>
      <c r="G648" s="2"/>
      <c r="H648" s="2"/>
      <c r="I648" s="5"/>
    </row>
    <row r="649" spans="1:9" ht="17.399999999999999" x14ac:dyDescent="0.25">
      <c r="A649" s="16"/>
      <c r="B649" s="17"/>
      <c r="C649" s="2"/>
      <c r="D649" s="2"/>
      <c r="E649" s="2"/>
      <c r="F649" s="2"/>
      <c r="G649" s="2"/>
      <c r="H649" s="2"/>
      <c r="I649" s="5"/>
    </row>
    <row r="650" spans="1:9" ht="17.399999999999999" x14ac:dyDescent="0.25">
      <c r="A650" s="16"/>
      <c r="B650" s="17"/>
      <c r="C650" s="2"/>
      <c r="D650" s="2"/>
      <c r="E650" s="2"/>
      <c r="F650" s="2"/>
      <c r="G650" s="2"/>
      <c r="H650" s="2"/>
      <c r="I650" s="5"/>
    </row>
    <row r="651" spans="1:9" ht="17.399999999999999" x14ac:dyDescent="0.25">
      <c r="A651" s="16"/>
      <c r="B651" s="17"/>
      <c r="C651" s="2"/>
      <c r="D651" s="2"/>
      <c r="E651" s="2"/>
      <c r="F651" s="2"/>
      <c r="G651" s="2"/>
      <c r="H651" s="2"/>
      <c r="I651" s="5"/>
    </row>
    <row r="652" spans="1:9" ht="17.399999999999999" x14ac:dyDescent="0.25">
      <c r="A652" s="16"/>
      <c r="B652" s="17"/>
      <c r="C652" s="2"/>
      <c r="D652" s="2"/>
      <c r="E652" s="2"/>
      <c r="F652" s="2"/>
      <c r="G652" s="2"/>
      <c r="H652" s="2"/>
      <c r="I652" s="5"/>
    </row>
    <row r="653" spans="1:9" ht="17.399999999999999" x14ac:dyDescent="0.25">
      <c r="A653" s="16"/>
      <c r="B653" s="17"/>
      <c r="C653" s="2"/>
      <c r="D653" s="2"/>
      <c r="E653" s="2"/>
      <c r="F653" s="2"/>
      <c r="G653" s="2"/>
      <c r="H653" s="2"/>
      <c r="I653" s="5"/>
    </row>
    <row r="654" spans="1:9" ht="17.399999999999999" x14ac:dyDescent="0.25">
      <c r="A654" s="16"/>
      <c r="B654" s="17"/>
      <c r="C654" s="2"/>
      <c r="D654" s="2"/>
      <c r="E654" s="2"/>
      <c r="F654" s="2"/>
      <c r="G654" s="2"/>
      <c r="H654" s="2"/>
      <c r="I654" s="5"/>
    </row>
    <row r="655" spans="1:9" ht="17.399999999999999" x14ac:dyDescent="0.25">
      <c r="A655" s="16"/>
      <c r="B655" s="17"/>
      <c r="C655" s="2"/>
      <c r="D655" s="2"/>
      <c r="E655" s="2"/>
      <c r="F655" s="2"/>
      <c r="G655" s="2"/>
      <c r="H655" s="2"/>
      <c r="I655" s="5"/>
    </row>
    <row r="656" spans="1:9" ht="17.399999999999999" x14ac:dyDescent="0.25">
      <c r="A656" s="16"/>
      <c r="B656" s="17"/>
      <c r="C656" s="2"/>
      <c r="D656" s="2"/>
      <c r="E656" s="2"/>
      <c r="F656" s="2"/>
      <c r="G656" s="2"/>
      <c r="H656" s="2"/>
      <c r="I656" s="5"/>
    </row>
    <row r="657" spans="1:9" ht="17.399999999999999" x14ac:dyDescent="0.25">
      <c r="A657" s="16"/>
      <c r="B657" s="17"/>
      <c r="C657" s="2"/>
      <c r="D657" s="2"/>
      <c r="E657" s="2"/>
      <c r="F657" s="2"/>
      <c r="G657" s="2"/>
      <c r="H657" s="2"/>
      <c r="I657" s="5"/>
    </row>
    <row r="658" spans="1:9" ht="17.399999999999999" x14ac:dyDescent="0.25">
      <c r="A658" s="16"/>
      <c r="B658" s="17"/>
      <c r="C658" s="2"/>
      <c r="D658" s="2"/>
      <c r="E658" s="2"/>
      <c r="F658" s="2"/>
      <c r="G658" s="2"/>
      <c r="H658" s="2"/>
      <c r="I658" s="5"/>
    </row>
    <row r="659" spans="1:9" ht="17.399999999999999" x14ac:dyDescent="0.25">
      <c r="A659" s="16"/>
      <c r="B659" s="17"/>
      <c r="C659" s="2"/>
      <c r="D659" s="2"/>
      <c r="E659" s="2"/>
      <c r="F659" s="2"/>
      <c r="G659" s="2"/>
      <c r="H659" s="2"/>
      <c r="I659" s="5"/>
    </row>
    <row r="660" spans="1:9" ht="17.399999999999999" x14ac:dyDescent="0.25">
      <c r="A660" s="16"/>
      <c r="B660" s="17"/>
      <c r="C660" s="2"/>
      <c r="D660" s="2"/>
      <c r="E660" s="2"/>
      <c r="F660" s="2"/>
      <c r="G660" s="2"/>
      <c r="H660" s="2"/>
      <c r="I660" s="5"/>
    </row>
    <row r="661" spans="1:9" ht="17.399999999999999" x14ac:dyDescent="0.25">
      <c r="A661" s="16"/>
      <c r="B661" s="17"/>
      <c r="C661" s="2"/>
      <c r="D661" s="2"/>
      <c r="E661" s="2"/>
      <c r="F661" s="2"/>
      <c r="G661" s="2"/>
      <c r="H661" s="2"/>
      <c r="I661" s="5"/>
    </row>
    <row r="662" spans="1:9" ht="17.399999999999999" x14ac:dyDescent="0.25">
      <c r="A662" s="16"/>
      <c r="B662" s="17"/>
      <c r="C662" s="2"/>
      <c r="D662" s="2"/>
      <c r="E662" s="2"/>
      <c r="F662" s="2"/>
      <c r="G662" s="2"/>
      <c r="H662" s="2"/>
      <c r="I662" s="5"/>
    </row>
    <row r="663" spans="1:9" ht="17.399999999999999" x14ac:dyDescent="0.25">
      <c r="A663" s="16"/>
      <c r="B663" s="17"/>
      <c r="C663" s="2"/>
      <c r="D663" s="2"/>
      <c r="E663" s="2"/>
      <c r="F663" s="2"/>
      <c r="G663" s="2"/>
      <c r="H663" s="2"/>
      <c r="I663" s="5"/>
    </row>
    <row r="664" spans="1:9" ht="17.399999999999999" x14ac:dyDescent="0.25">
      <c r="A664" s="16"/>
      <c r="B664" s="17"/>
      <c r="C664" s="2"/>
      <c r="D664" s="2"/>
      <c r="E664" s="2"/>
      <c r="F664" s="2"/>
      <c r="G664" s="2"/>
      <c r="H664" s="2"/>
      <c r="I664" s="5"/>
    </row>
    <row r="665" spans="1:9" ht="17.399999999999999" x14ac:dyDescent="0.25">
      <c r="A665" s="16"/>
      <c r="B665" s="17"/>
      <c r="C665" s="2"/>
      <c r="D665" s="2"/>
      <c r="E665" s="2"/>
      <c r="F665" s="2"/>
      <c r="G665" s="2"/>
      <c r="H665" s="2"/>
      <c r="I665" s="5"/>
    </row>
    <row r="666" spans="1:9" ht="17.399999999999999" x14ac:dyDescent="0.25">
      <c r="A666" s="16"/>
      <c r="B666" s="17"/>
      <c r="C666" s="2"/>
      <c r="D666" s="2"/>
      <c r="E666" s="2"/>
      <c r="F666" s="2"/>
      <c r="G666" s="2"/>
      <c r="H666" s="2"/>
      <c r="I666" s="5"/>
    </row>
    <row r="667" spans="1:9" ht="17.399999999999999" x14ac:dyDescent="0.25">
      <c r="A667" s="16"/>
      <c r="B667" s="17"/>
      <c r="C667" s="2"/>
      <c r="D667" s="2"/>
      <c r="E667" s="2"/>
      <c r="F667" s="2"/>
      <c r="G667" s="2"/>
      <c r="H667" s="2"/>
      <c r="I667" s="5"/>
    </row>
    <row r="668" spans="1:9" ht="17.399999999999999" x14ac:dyDescent="0.25">
      <c r="A668" s="16"/>
      <c r="B668" s="17"/>
      <c r="C668" s="2"/>
      <c r="D668" s="2"/>
      <c r="E668" s="2"/>
      <c r="F668" s="2"/>
      <c r="G668" s="2"/>
      <c r="H668" s="2"/>
      <c r="I668" s="5"/>
    </row>
    <row r="669" spans="1:9" ht="17.399999999999999" x14ac:dyDescent="0.25">
      <c r="A669" s="16"/>
      <c r="B669" s="17"/>
      <c r="C669" s="2"/>
      <c r="D669" s="2"/>
      <c r="E669" s="2"/>
      <c r="F669" s="2"/>
      <c r="G669" s="2"/>
      <c r="H669" s="2"/>
      <c r="I669" s="5"/>
    </row>
    <row r="670" spans="1:9" ht="17.399999999999999" x14ac:dyDescent="0.25">
      <c r="A670" s="16"/>
      <c r="B670" s="17"/>
      <c r="C670" s="2"/>
      <c r="D670" s="2"/>
      <c r="E670" s="2"/>
      <c r="F670" s="2"/>
      <c r="G670" s="2"/>
      <c r="H670" s="2"/>
      <c r="I670" s="5"/>
    </row>
    <row r="671" spans="1:9" ht="17.399999999999999" x14ac:dyDescent="0.25">
      <c r="A671" s="16"/>
      <c r="B671" s="17"/>
      <c r="C671" s="2"/>
      <c r="D671" s="2"/>
      <c r="E671" s="2"/>
      <c r="F671" s="2"/>
      <c r="G671" s="2"/>
      <c r="H671" s="2"/>
      <c r="I671" s="5"/>
    </row>
    <row r="672" spans="1:9" ht="17.399999999999999" x14ac:dyDescent="0.25">
      <c r="A672" s="16"/>
      <c r="B672" s="17"/>
      <c r="C672" s="2"/>
      <c r="D672" s="2"/>
      <c r="E672" s="2"/>
      <c r="F672" s="2"/>
      <c r="G672" s="2"/>
      <c r="H672" s="2"/>
      <c r="I672" s="5"/>
    </row>
    <row r="673" spans="1:9" ht="17.399999999999999" x14ac:dyDescent="0.25">
      <c r="A673" s="16"/>
      <c r="B673" s="17"/>
      <c r="C673" s="2"/>
      <c r="D673" s="2"/>
      <c r="E673" s="2"/>
      <c r="F673" s="2"/>
      <c r="G673" s="2"/>
      <c r="H673" s="2"/>
      <c r="I673" s="5"/>
    </row>
    <row r="674" spans="1:9" ht="17.399999999999999" x14ac:dyDescent="0.25">
      <c r="A674" s="16"/>
      <c r="B674" s="17"/>
      <c r="C674" s="2"/>
      <c r="D674" s="2"/>
      <c r="E674" s="2"/>
      <c r="F674" s="2"/>
      <c r="G674" s="2"/>
      <c r="H674" s="2"/>
      <c r="I674" s="5"/>
    </row>
    <row r="675" spans="1:9" ht="17.399999999999999" x14ac:dyDescent="0.25">
      <c r="A675" s="16"/>
      <c r="B675" s="17"/>
      <c r="C675" s="2"/>
      <c r="D675" s="2"/>
      <c r="E675" s="2"/>
      <c r="F675" s="2"/>
      <c r="G675" s="2"/>
      <c r="H675" s="2"/>
      <c r="I675" s="5"/>
    </row>
    <row r="676" spans="1:9" ht="17.399999999999999" x14ac:dyDescent="0.25">
      <c r="A676" s="16"/>
      <c r="B676" s="17"/>
      <c r="C676" s="2"/>
      <c r="D676" s="2"/>
      <c r="E676" s="2"/>
      <c r="F676" s="2"/>
      <c r="G676" s="2"/>
      <c r="H676" s="2"/>
      <c r="I676" s="5"/>
    </row>
    <row r="677" spans="1:9" ht="17.399999999999999" x14ac:dyDescent="0.25">
      <c r="A677" s="16"/>
      <c r="B677" s="17"/>
      <c r="C677" s="2"/>
      <c r="D677" s="2"/>
      <c r="E677" s="2"/>
      <c r="F677" s="2"/>
      <c r="G677" s="2"/>
      <c r="H677" s="2"/>
      <c r="I677" s="5"/>
    </row>
    <row r="678" spans="1:9" ht="17.399999999999999" x14ac:dyDescent="0.25">
      <c r="A678" s="16"/>
      <c r="B678" s="17"/>
      <c r="C678" s="2"/>
      <c r="D678" s="2"/>
      <c r="E678" s="2"/>
      <c r="F678" s="2"/>
      <c r="G678" s="2"/>
      <c r="H678" s="2"/>
      <c r="I678" s="5"/>
    </row>
    <row r="679" spans="1:9" ht="17.399999999999999" x14ac:dyDescent="0.25">
      <c r="A679" s="16"/>
      <c r="B679" s="17"/>
      <c r="C679" s="2"/>
      <c r="D679" s="2"/>
      <c r="E679" s="2"/>
      <c r="F679" s="2"/>
      <c r="G679" s="2"/>
      <c r="H679" s="2"/>
      <c r="I679" s="5"/>
    </row>
    <row r="680" spans="1:9" ht="17.399999999999999" x14ac:dyDescent="0.25">
      <c r="A680" s="16"/>
      <c r="B680" s="17"/>
      <c r="C680" s="2"/>
      <c r="D680" s="2"/>
      <c r="E680" s="2"/>
      <c r="F680" s="2"/>
      <c r="G680" s="2"/>
      <c r="H680" s="2"/>
      <c r="I680" s="5"/>
    </row>
    <row r="681" spans="1:9" ht="17.399999999999999" x14ac:dyDescent="0.25">
      <c r="A681" s="16"/>
      <c r="B681" s="17"/>
      <c r="C681" s="2"/>
      <c r="D681" s="2"/>
      <c r="E681" s="2"/>
      <c r="F681" s="2"/>
      <c r="G681" s="2"/>
      <c r="H681" s="2"/>
      <c r="I681" s="5"/>
    </row>
    <row r="682" spans="1:9" ht="17.399999999999999" x14ac:dyDescent="0.25">
      <c r="A682" s="16"/>
      <c r="B682" s="17"/>
      <c r="C682" s="2"/>
      <c r="D682" s="2"/>
      <c r="E682" s="2"/>
      <c r="F682" s="2"/>
      <c r="G682" s="2"/>
      <c r="H682" s="2"/>
      <c r="I682" s="5"/>
    </row>
    <row r="683" spans="1:9" ht="17.399999999999999" x14ac:dyDescent="0.25">
      <c r="A683" s="16"/>
      <c r="B683" s="17"/>
      <c r="C683" s="2"/>
      <c r="D683" s="2"/>
      <c r="E683" s="2"/>
      <c r="F683" s="2"/>
      <c r="G683" s="2"/>
      <c r="H683" s="2"/>
      <c r="I683" s="5"/>
    </row>
    <row r="684" spans="1:9" ht="17.399999999999999" x14ac:dyDescent="0.25">
      <c r="A684" s="16"/>
      <c r="B684" s="17"/>
      <c r="C684" s="2"/>
      <c r="D684" s="2"/>
      <c r="E684" s="2"/>
      <c r="F684" s="2"/>
      <c r="G684" s="2"/>
      <c r="H684" s="2"/>
      <c r="I684" s="5"/>
    </row>
    <row r="685" spans="1:9" ht="17.399999999999999" x14ac:dyDescent="0.25">
      <c r="A685" s="16"/>
      <c r="B685" s="17"/>
      <c r="C685" s="2"/>
      <c r="D685" s="2"/>
      <c r="E685" s="2"/>
      <c r="F685" s="2"/>
      <c r="G685" s="2"/>
      <c r="H685" s="2"/>
      <c r="I685" s="5"/>
    </row>
    <row r="686" spans="1:9" ht="17.399999999999999" x14ac:dyDescent="0.25">
      <c r="A686" s="16"/>
      <c r="B686" s="17"/>
      <c r="C686" s="2"/>
      <c r="D686" s="2"/>
      <c r="E686" s="2"/>
      <c r="F686" s="2"/>
      <c r="G686" s="2"/>
      <c r="H686" s="2"/>
      <c r="I686" s="5"/>
    </row>
    <row r="687" spans="1:9" ht="17.399999999999999" x14ac:dyDescent="0.25">
      <c r="A687" s="16"/>
      <c r="B687" s="17"/>
      <c r="C687" s="2"/>
      <c r="D687" s="2"/>
      <c r="E687" s="2"/>
      <c r="F687" s="2"/>
      <c r="G687" s="2"/>
      <c r="H687" s="2"/>
      <c r="I687" s="5"/>
    </row>
    <row r="688" spans="1:9" ht="17.399999999999999" x14ac:dyDescent="0.25">
      <c r="A688" s="16"/>
      <c r="B688" s="17"/>
      <c r="C688" s="2"/>
      <c r="D688" s="2"/>
      <c r="E688" s="2"/>
      <c r="F688" s="2"/>
      <c r="G688" s="2"/>
      <c r="H688" s="2"/>
      <c r="I688" s="5"/>
    </row>
    <row r="689" spans="1:9" ht="17.399999999999999" x14ac:dyDescent="0.25">
      <c r="A689" s="16"/>
      <c r="B689" s="17"/>
      <c r="C689" s="2"/>
      <c r="D689" s="2"/>
      <c r="E689" s="2"/>
      <c r="F689" s="2"/>
      <c r="G689" s="2"/>
      <c r="H689" s="2"/>
      <c r="I689" s="5"/>
    </row>
    <row r="690" spans="1:9" ht="17.399999999999999" x14ac:dyDescent="0.25">
      <c r="A690" s="16"/>
      <c r="B690" s="17"/>
      <c r="C690" s="2"/>
      <c r="D690" s="2"/>
      <c r="E690" s="2"/>
      <c r="F690" s="2"/>
      <c r="G690" s="2"/>
      <c r="H690" s="2"/>
      <c r="I690" s="5"/>
    </row>
    <row r="691" spans="1:9" ht="17.399999999999999" x14ac:dyDescent="0.25">
      <c r="A691" s="16"/>
      <c r="B691" s="17"/>
      <c r="C691" s="2"/>
      <c r="D691" s="2"/>
      <c r="E691" s="2"/>
      <c r="F691" s="2"/>
      <c r="G691" s="2"/>
      <c r="H691" s="2"/>
      <c r="I691" s="5"/>
    </row>
    <row r="692" spans="1:9" ht="17.399999999999999" x14ac:dyDescent="0.25">
      <c r="A692" s="16"/>
      <c r="B692" s="17"/>
      <c r="C692" s="2"/>
      <c r="D692" s="2"/>
      <c r="E692" s="2"/>
      <c r="F692" s="2"/>
      <c r="G692" s="2"/>
      <c r="H692" s="2"/>
      <c r="I692" s="5"/>
    </row>
    <row r="693" spans="1:9" ht="17.399999999999999" x14ac:dyDescent="0.25">
      <c r="A693" s="16"/>
      <c r="B693" s="17"/>
      <c r="C693" s="2"/>
      <c r="D693" s="2"/>
      <c r="E693" s="2"/>
      <c r="F693" s="2"/>
      <c r="G693" s="2"/>
      <c r="H693" s="2"/>
      <c r="I693" s="5"/>
    </row>
    <row r="694" spans="1:9" ht="17.399999999999999" x14ac:dyDescent="0.25">
      <c r="A694" s="16"/>
      <c r="B694" s="17"/>
      <c r="C694" s="2"/>
      <c r="D694" s="2"/>
      <c r="E694" s="2"/>
      <c r="F694" s="2"/>
      <c r="G694" s="2"/>
      <c r="H694" s="2"/>
      <c r="I694" s="5"/>
    </row>
    <row r="695" spans="1:9" ht="17.399999999999999" x14ac:dyDescent="0.25">
      <c r="A695" s="16"/>
      <c r="B695" s="17"/>
      <c r="C695" s="2"/>
      <c r="D695" s="2"/>
      <c r="E695" s="2"/>
      <c r="F695" s="2"/>
      <c r="G695" s="2"/>
      <c r="H695" s="2"/>
      <c r="I695" s="5"/>
    </row>
    <row r="696" spans="1:9" ht="17.399999999999999" x14ac:dyDescent="0.25">
      <c r="A696" s="16"/>
      <c r="B696" s="17"/>
      <c r="C696" s="2"/>
      <c r="D696" s="2"/>
      <c r="E696" s="2"/>
      <c r="F696" s="2"/>
      <c r="G696" s="2"/>
      <c r="H696" s="2"/>
      <c r="I696" s="5"/>
    </row>
    <row r="697" spans="1:9" ht="17.399999999999999" x14ac:dyDescent="0.25">
      <c r="A697" s="16"/>
      <c r="B697" s="17"/>
      <c r="C697" s="2"/>
      <c r="D697" s="2"/>
      <c r="E697" s="2"/>
      <c r="F697" s="2"/>
      <c r="G697" s="2"/>
      <c r="H697" s="2"/>
      <c r="I697" s="5"/>
    </row>
    <row r="698" spans="1:9" ht="17.399999999999999" x14ac:dyDescent="0.25">
      <c r="A698" s="16"/>
      <c r="B698" s="17"/>
      <c r="C698" s="2"/>
      <c r="D698" s="2"/>
      <c r="E698" s="2"/>
      <c r="F698" s="2"/>
      <c r="G698" s="2"/>
      <c r="H698" s="2"/>
      <c r="I698" s="5"/>
    </row>
    <row r="699" spans="1:9" ht="17.399999999999999" x14ac:dyDescent="0.25">
      <c r="A699" s="16"/>
      <c r="B699" s="17"/>
      <c r="C699" s="2"/>
      <c r="D699" s="2"/>
      <c r="E699" s="2"/>
      <c r="F699" s="2"/>
      <c r="G699" s="2"/>
      <c r="H699" s="2"/>
      <c r="I699" s="5"/>
    </row>
    <row r="700" spans="1:9" ht="17.399999999999999" x14ac:dyDescent="0.25">
      <c r="A700" s="16"/>
      <c r="B700" s="17"/>
      <c r="C700" s="2"/>
      <c r="D700" s="2"/>
      <c r="E700" s="2"/>
      <c r="F700" s="2"/>
      <c r="G700" s="2"/>
      <c r="H700" s="2"/>
      <c r="I700" s="5"/>
    </row>
    <row r="701" spans="1:9" ht="17.399999999999999" x14ac:dyDescent="0.25">
      <c r="A701" s="16"/>
      <c r="B701" s="17"/>
      <c r="C701" s="2"/>
      <c r="D701" s="2"/>
      <c r="E701" s="2"/>
      <c r="F701" s="2"/>
      <c r="G701" s="2"/>
      <c r="H701" s="2"/>
      <c r="I701" s="5"/>
    </row>
    <row r="702" spans="1:9" ht="17.399999999999999" x14ac:dyDescent="0.25">
      <c r="A702" s="16"/>
      <c r="B702" s="17"/>
      <c r="C702" s="2"/>
      <c r="D702" s="2"/>
      <c r="E702" s="2"/>
      <c r="F702" s="2"/>
      <c r="G702" s="2"/>
      <c r="H702" s="2"/>
      <c r="I702" s="5"/>
    </row>
    <row r="703" spans="1:9" ht="17.399999999999999" x14ac:dyDescent="0.25">
      <c r="A703" s="16"/>
      <c r="B703" s="17"/>
      <c r="C703" s="2"/>
      <c r="D703" s="2"/>
      <c r="E703" s="2"/>
      <c r="F703" s="2"/>
      <c r="G703" s="2"/>
      <c r="H703" s="2"/>
      <c r="I703" s="5"/>
    </row>
    <row r="704" spans="1:9" ht="17.399999999999999" x14ac:dyDescent="0.25">
      <c r="A704" s="16"/>
      <c r="B704" s="17"/>
      <c r="C704" s="2"/>
      <c r="D704" s="2"/>
      <c r="E704" s="2"/>
      <c r="F704" s="2"/>
      <c r="G704" s="2"/>
      <c r="H704" s="2"/>
      <c r="I704" s="5"/>
    </row>
    <row r="705" spans="1:9" ht="17.399999999999999" x14ac:dyDescent="0.25">
      <c r="A705" s="16"/>
      <c r="B705" s="17"/>
      <c r="C705" s="2"/>
      <c r="D705" s="2"/>
      <c r="E705" s="2"/>
      <c r="F705" s="2"/>
      <c r="G705" s="2"/>
      <c r="H705" s="2"/>
      <c r="I705" s="5"/>
    </row>
    <row r="706" spans="1:9" ht="17.399999999999999" x14ac:dyDescent="0.25">
      <c r="A706" s="16"/>
      <c r="B706" s="17"/>
      <c r="C706" s="2"/>
      <c r="D706" s="2"/>
      <c r="E706" s="2"/>
      <c r="F706" s="2"/>
      <c r="G706" s="2"/>
      <c r="H706" s="2"/>
      <c r="I706" s="5"/>
    </row>
    <row r="707" spans="1:9" ht="17.399999999999999" x14ac:dyDescent="0.25">
      <c r="A707" s="16"/>
      <c r="B707" s="17"/>
      <c r="C707" s="2"/>
      <c r="D707" s="2"/>
      <c r="E707" s="2"/>
      <c r="F707" s="2"/>
      <c r="G707" s="2"/>
      <c r="H707" s="2"/>
      <c r="I707" s="5"/>
    </row>
    <row r="708" spans="1:9" ht="17.399999999999999" x14ac:dyDescent="0.25">
      <c r="A708" s="16"/>
      <c r="B708" s="17"/>
      <c r="C708" s="2"/>
      <c r="D708" s="2"/>
      <c r="E708" s="2"/>
      <c r="F708" s="2"/>
      <c r="G708" s="2"/>
      <c r="H708" s="2"/>
      <c r="I708" s="5"/>
    </row>
    <row r="709" spans="1:9" ht="17.399999999999999" x14ac:dyDescent="0.25">
      <c r="A709" s="16"/>
      <c r="B709" s="17"/>
      <c r="C709" s="2"/>
      <c r="D709" s="2"/>
      <c r="E709" s="2"/>
      <c r="F709" s="2"/>
      <c r="G709" s="2"/>
      <c r="H709" s="2"/>
      <c r="I709" s="5"/>
    </row>
    <row r="710" spans="1:9" ht="17.399999999999999" x14ac:dyDescent="0.25">
      <c r="A710" s="16"/>
      <c r="B710" s="17"/>
      <c r="C710" s="2"/>
      <c r="D710" s="2"/>
      <c r="E710" s="2"/>
      <c r="F710" s="2"/>
      <c r="G710" s="2"/>
      <c r="H710" s="2"/>
      <c r="I710" s="5"/>
    </row>
    <row r="711" spans="1:9" ht="17.399999999999999" x14ac:dyDescent="0.25">
      <c r="A711" s="16"/>
      <c r="B711" s="17"/>
      <c r="C711" s="2"/>
      <c r="D711" s="2"/>
      <c r="E711" s="2"/>
      <c r="F711" s="2"/>
      <c r="G711" s="2"/>
      <c r="H711" s="2"/>
      <c r="I711" s="5"/>
    </row>
    <row r="712" spans="1:9" ht="17.399999999999999" x14ac:dyDescent="0.25">
      <c r="A712" s="16"/>
      <c r="B712" s="17"/>
      <c r="C712" s="2"/>
      <c r="D712" s="2"/>
      <c r="E712" s="2"/>
      <c r="F712" s="2"/>
      <c r="G712" s="2"/>
      <c r="H712" s="2"/>
      <c r="I712" s="5"/>
    </row>
    <row r="713" spans="1:9" ht="17.399999999999999" x14ac:dyDescent="0.25">
      <c r="A713" s="16"/>
      <c r="B713" s="17"/>
      <c r="C713" s="2"/>
      <c r="D713" s="2"/>
      <c r="E713" s="2"/>
      <c r="F713" s="2"/>
      <c r="G713" s="2"/>
      <c r="H713" s="2"/>
      <c r="I713" s="5"/>
    </row>
    <row r="714" spans="1:9" ht="17.399999999999999" x14ac:dyDescent="0.25">
      <c r="A714" s="16"/>
      <c r="B714" s="17"/>
      <c r="C714" s="2"/>
      <c r="D714" s="2"/>
      <c r="E714" s="2"/>
      <c r="F714" s="2"/>
      <c r="G714" s="2"/>
      <c r="H714" s="2"/>
      <c r="I714" s="5"/>
    </row>
    <row r="715" spans="1:9" ht="17.399999999999999" x14ac:dyDescent="0.25">
      <c r="A715" s="16"/>
      <c r="B715" s="17"/>
      <c r="C715" s="2"/>
      <c r="D715" s="2"/>
      <c r="E715" s="2"/>
      <c r="F715" s="2"/>
      <c r="G715" s="2"/>
      <c r="H715" s="2"/>
      <c r="I715" s="5"/>
    </row>
    <row r="716" spans="1:9" ht="17.399999999999999" x14ac:dyDescent="0.25">
      <c r="A716" s="16"/>
      <c r="B716" s="17"/>
      <c r="C716" s="2"/>
      <c r="D716" s="2"/>
      <c r="E716" s="2"/>
      <c r="F716" s="2"/>
      <c r="G716" s="2"/>
      <c r="H716" s="2"/>
      <c r="I716" s="5"/>
    </row>
    <row r="717" spans="1:9" ht="17.399999999999999" x14ac:dyDescent="0.25">
      <c r="A717" s="16"/>
      <c r="B717" s="17"/>
      <c r="C717" s="2"/>
      <c r="D717" s="2"/>
      <c r="E717" s="2"/>
      <c r="F717" s="2"/>
      <c r="G717" s="2"/>
      <c r="H717" s="2"/>
      <c r="I717" s="5"/>
    </row>
    <row r="718" spans="1:9" ht="17.399999999999999" x14ac:dyDescent="0.25">
      <c r="A718" s="16"/>
      <c r="B718" s="17"/>
      <c r="C718" s="2"/>
      <c r="D718" s="2"/>
      <c r="E718" s="2"/>
      <c r="F718" s="2"/>
      <c r="G718" s="2"/>
      <c r="H718" s="2"/>
      <c r="I718" s="5"/>
    </row>
    <row r="719" spans="1:9" ht="17.399999999999999" x14ac:dyDescent="0.25">
      <c r="A719" s="16"/>
      <c r="B719" s="17"/>
      <c r="C719" s="2"/>
      <c r="D719" s="2"/>
      <c r="E719" s="2"/>
      <c r="F719" s="2"/>
      <c r="G719" s="2"/>
      <c r="H719" s="2"/>
      <c r="I719" s="5"/>
    </row>
    <row r="720" spans="1:9" ht="17.399999999999999" x14ac:dyDescent="0.25">
      <c r="A720" s="16"/>
      <c r="B720" s="17"/>
      <c r="C720" s="2"/>
      <c r="D720" s="2"/>
      <c r="E720" s="2"/>
      <c r="F720" s="2"/>
      <c r="G720" s="2"/>
      <c r="H720" s="2"/>
      <c r="I720" s="5"/>
    </row>
    <row r="721" spans="1:9" ht="17.399999999999999" x14ac:dyDescent="0.25">
      <c r="A721" s="16"/>
      <c r="B721" s="17"/>
      <c r="C721" s="2"/>
      <c r="D721" s="2"/>
      <c r="E721" s="2"/>
      <c r="F721" s="2"/>
      <c r="G721" s="2"/>
      <c r="H721" s="2"/>
      <c r="I721" s="5"/>
    </row>
    <row r="722" spans="1:9" ht="17.399999999999999" x14ac:dyDescent="0.25">
      <c r="A722" s="16"/>
      <c r="B722" s="17"/>
      <c r="C722" s="2"/>
      <c r="D722" s="2"/>
      <c r="E722" s="2"/>
      <c r="F722" s="2"/>
      <c r="G722" s="2"/>
      <c r="H722" s="2"/>
      <c r="I722" s="5"/>
    </row>
    <row r="723" spans="1:9" ht="17.399999999999999" x14ac:dyDescent="0.25">
      <c r="A723" s="16"/>
      <c r="B723" s="17"/>
      <c r="C723" s="2"/>
      <c r="D723" s="2"/>
      <c r="E723" s="2"/>
      <c r="F723" s="2"/>
      <c r="G723" s="2"/>
      <c r="H723" s="2"/>
      <c r="I723" s="5"/>
    </row>
    <row r="724" spans="1:9" ht="17.399999999999999" x14ac:dyDescent="0.25">
      <c r="A724" s="16"/>
      <c r="B724" s="17"/>
      <c r="C724" s="2"/>
      <c r="D724" s="2"/>
      <c r="E724" s="2"/>
      <c r="F724" s="2"/>
      <c r="G724" s="2"/>
      <c r="H724" s="2"/>
      <c r="I724" s="5"/>
    </row>
    <row r="725" spans="1:9" ht="17.399999999999999" x14ac:dyDescent="0.25">
      <c r="A725" s="16"/>
      <c r="B725" s="17"/>
      <c r="C725" s="2"/>
      <c r="D725" s="2"/>
      <c r="E725" s="2"/>
      <c r="F725" s="2"/>
      <c r="G725" s="2"/>
      <c r="H725" s="2"/>
      <c r="I725" s="5"/>
    </row>
    <row r="726" spans="1:9" ht="17.399999999999999" x14ac:dyDescent="0.25">
      <c r="A726" s="16"/>
      <c r="B726" s="17"/>
      <c r="C726" s="2"/>
      <c r="D726" s="2"/>
      <c r="E726" s="2"/>
      <c r="F726" s="2"/>
      <c r="G726" s="2"/>
      <c r="H726" s="2"/>
      <c r="I726" s="5"/>
    </row>
    <row r="727" spans="1:9" ht="17.399999999999999" x14ac:dyDescent="0.25">
      <c r="A727" s="16"/>
      <c r="B727" s="17"/>
      <c r="C727" s="2"/>
      <c r="D727" s="2"/>
      <c r="E727" s="2"/>
      <c r="F727" s="2"/>
      <c r="G727" s="2"/>
      <c r="H727" s="2"/>
      <c r="I727" s="5"/>
    </row>
    <row r="728" spans="1:9" ht="17.399999999999999" x14ac:dyDescent="0.25">
      <c r="A728" s="16"/>
      <c r="B728" s="17"/>
      <c r="C728" s="2"/>
      <c r="D728" s="2"/>
      <c r="E728" s="2"/>
      <c r="F728" s="2"/>
      <c r="G728" s="2"/>
      <c r="H728" s="2"/>
      <c r="I728" s="5"/>
    </row>
    <row r="729" spans="1:9" ht="17.399999999999999" x14ac:dyDescent="0.25">
      <c r="A729" s="16"/>
      <c r="B729" s="17"/>
      <c r="C729" s="2"/>
      <c r="D729" s="2"/>
      <c r="E729" s="2"/>
      <c r="F729" s="2"/>
      <c r="G729" s="2"/>
      <c r="H729" s="2"/>
      <c r="I729" s="5"/>
    </row>
    <row r="730" spans="1:9" ht="17.399999999999999" x14ac:dyDescent="0.25">
      <c r="A730" s="16"/>
      <c r="B730" s="17"/>
      <c r="C730" s="2"/>
      <c r="D730" s="2"/>
      <c r="E730" s="2"/>
      <c r="F730" s="2"/>
      <c r="G730" s="2"/>
      <c r="H730" s="2"/>
      <c r="I730" s="5"/>
    </row>
    <row r="731" spans="1:9" ht="17.399999999999999" x14ac:dyDescent="0.25">
      <c r="A731" s="16"/>
      <c r="B731" s="17"/>
      <c r="C731" s="2"/>
      <c r="D731" s="2"/>
      <c r="E731" s="2"/>
      <c r="F731" s="2"/>
      <c r="G731" s="2"/>
      <c r="H731" s="2"/>
      <c r="I731" s="5"/>
    </row>
    <row r="732" spans="1:9" ht="17.399999999999999" x14ac:dyDescent="0.25">
      <c r="A732" s="16"/>
      <c r="B732" s="17"/>
      <c r="C732" s="2"/>
      <c r="D732" s="2"/>
      <c r="E732" s="2"/>
      <c r="F732" s="2"/>
      <c r="G732" s="2"/>
      <c r="H732" s="2"/>
      <c r="I732" s="5"/>
    </row>
    <row r="733" spans="1:9" ht="17.399999999999999" x14ac:dyDescent="0.25">
      <c r="A733" s="16"/>
      <c r="B733" s="17"/>
      <c r="C733" s="2"/>
      <c r="D733" s="2"/>
      <c r="E733" s="2"/>
      <c r="F733" s="2"/>
      <c r="G733" s="2"/>
      <c r="H733" s="2"/>
      <c r="I733" s="5"/>
    </row>
    <row r="734" spans="1:9" ht="17.399999999999999" x14ac:dyDescent="0.25">
      <c r="A734" s="16"/>
      <c r="B734" s="17"/>
      <c r="C734" s="2"/>
      <c r="D734" s="2"/>
      <c r="E734" s="2"/>
      <c r="F734" s="2"/>
      <c r="G734" s="2"/>
      <c r="H734" s="2"/>
      <c r="I734" s="5"/>
    </row>
    <row r="735" spans="1:9" ht="17.399999999999999" x14ac:dyDescent="0.25">
      <c r="A735" s="16"/>
      <c r="B735" s="17"/>
      <c r="C735" s="2"/>
      <c r="D735" s="2"/>
      <c r="E735" s="2"/>
      <c r="F735" s="2"/>
      <c r="G735" s="2"/>
      <c r="H735" s="2"/>
      <c r="I735" s="5"/>
    </row>
    <row r="736" spans="1:9" ht="17.399999999999999" x14ac:dyDescent="0.25">
      <c r="A736" s="16"/>
      <c r="B736" s="17"/>
      <c r="C736" s="2"/>
      <c r="D736" s="2"/>
      <c r="E736" s="2"/>
      <c r="F736" s="2"/>
      <c r="G736" s="2"/>
      <c r="H736" s="2"/>
      <c r="I736" s="5"/>
    </row>
    <row r="737" spans="1:9" ht="17.399999999999999" x14ac:dyDescent="0.25">
      <c r="A737" s="16"/>
      <c r="B737" s="17"/>
      <c r="C737" s="2"/>
      <c r="D737" s="2"/>
      <c r="E737" s="2"/>
      <c r="F737" s="2"/>
      <c r="G737" s="2"/>
      <c r="H737" s="2"/>
      <c r="I737" s="5"/>
    </row>
    <row r="738" spans="1:9" ht="17.399999999999999" x14ac:dyDescent="0.25">
      <c r="A738" s="16"/>
      <c r="B738" s="17"/>
      <c r="C738" s="2"/>
      <c r="D738" s="2"/>
      <c r="E738" s="2"/>
      <c r="F738" s="2"/>
      <c r="G738" s="2"/>
      <c r="H738" s="2"/>
      <c r="I738" s="5"/>
    </row>
    <row r="739" spans="1:9" ht="17.399999999999999" x14ac:dyDescent="0.25">
      <c r="A739" s="16"/>
      <c r="B739" s="17"/>
      <c r="C739" s="2"/>
      <c r="D739" s="2"/>
      <c r="E739" s="2"/>
      <c r="F739" s="2"/>
      <c r="G739" s="2"/>
      <c r="H739" s="2"/>
      <c r="I739" s="5"/>
    </row>
    <row r="740" spans="1:9" ht="17.399999999999999" x14ac:dyDescent="0.25">
      <c r="A740" s="16"/>
      <c r="B740" s="17"/>
      <c r="C740" s="2"/>
      <c r="D740" s="2"/>
      <c r="E740" s="2"/>
      <c r="F740" s="2"/>
      <c r="G740" s="2"/>
      <c r="H740" s="2"/>
      <c r="I740" s="5"/>
    </row>
    <row r="741" spans="1:9" ht="17.399999999999999" x14ac:dyDescent="0.25">
      <c r="A741" s="16"/>
      <c r="B741" s="17"/>
      <c r="C741" s="2"/>
      <c r="D741" s="2"/>
      <c r="E741" s="2"/>
      <c r="F741" s="2"/>
      <c r="G741" s="2"/>
      <c r="H741" s="2"/>
      <c r="I741" s="5"/>
    </row>
    <row r="742" spans="1:9" ht="17.399999999999999" x14ac:dyDescent="0.25">
      <c r="A742" s="16"/>
      <c r="B742" s="17"/>
      <c r="C742" s="2"/>
      <c r="D742" s="2"/>
      <c r="E742" s="2"/>
      <c r="F742" s="2"/>
      <c r="G742" s="2"/>
      <c r="H742" s="2"/>
      <c r="I742" s="5"/>
    </row>
    <row r="743" spans="1:9" ht="17.399999999999999" x14ac:dyDescent="0.25">
      <c r="A743" s="16"/>
      <c r="B743" s="17"/>
      <c r="C743" s="2"/>
      <c r="D743" s="2"/>
      <c r="E743" s="2"/>
      <c r="F743" s="2"/>
      <c r="G743" s="2"/>
      <c r="H743" s="2"/>
      <c r="I743" s="5"/>
    </row>
    <row r="744" spans="1:9" ht="17.399999999999999" x14ac:dyDescent="0.25">
      <c r="A744" s="16"/>
      <c r="B744" s="17"/>
      <c r="C744" s="2"/>
      <c r="D744" s="2"/>
      <c r="E744" s="2"/>
      <c r="F744" s="2"/>
      <c r="G744" s="2"/>
      <c r="H744" s="2"/>
      <c r="I744" s="5"/>
    </row>
    <row r="745" spans="1:9" ht="17.399999999999999" x14ac:dyDescent="0.25">
      <c r="A745" s="16"/>
      <c r="B745" s="17"/>
      <c r="C745" s="2"/>
      <c r="D745" s="2"/>
      <c r="E745" s="2"/>
      <c r="F745" s="2"/>
      <c r="G745" s="2"/>
      <c r="H745" s="2"/>
      <c r="I745" s="5"/>
    </row>
    <row r="746" spans="1:9" ht="17.399999999999999" x14ac:dyDescent="0.25">
      <c r="A746" s="16"/>
      <c r="B746" s="17"/>
      <c r="C746" s="2"/>
      <c r="D746" s="2"/>
      <c r="E746" s="2"/>
      <c r="F746" s="2"/>
      <c r="G746" s="2"/>
      <c r="H746" s="2"/>
      <c r="I746" s="5"/>
    </row>
    <row r="747" spans="1:9" ht="17.399999999999999" x14ac:dyDescent="0.25">
      <c r="A747" s="16"/>
      <c r="B747" s="17"/>
      <c r="C747" s="2"/>
      <c r="D747" s="2"/>
      <c r="E747" s="2"/>
      <c r="F747" s="2"/>
      <c r="G747" s="2"/>
      <c r="H747" s="2"/>
      <c r="I747" s="5"/>
    </row>
    <row r="748" spans="1:9" ht="17.399999999999999" x14ac:dyDescent="0.25">
      <c r="A748" s="16"/>
      <c r="B748" s="17"/>
      <c r="C748" s="2"/>
      <c r="D748" s="2"/>
      <c r="E748" s="2"/>
      <c r="F748" s="2"/>
      <c r="G748" s="2"/>
      <c r="H748" s="2"/>
      <c r="I748" s="5"/>
    </row>
    <row r="749" spans="1:9" ht="17.399999999999999" x14ac:dyDescent="0.25">
      <c r="A749" s="16"/>
      <c r="B749" s="17"/>
      <c r="C749" s="2"/>
      <c r="D749" s="2"/>
      <c r="E749" s="2"/>
      <c r="F749" s="2"/>
      <c r="G749" s="2"/>
      <c r="H749" s="2"/>
      <c r="I749" s="5"/>
    </row>
    <row r="750" spans="1:9" ht="17.399999999999999" x14ac:dyDescent="0.25">
      <c r="A750" s="16"/>
      <c r="B750" s="17"/>
      <c r="C750" s="2"/>
      <c r="D750" s="2"/>
      <c r="E750" s="2"/>
      <c r="F750" s="2"/>
      <c r="G750" s="2"/>
      <c r="H750" s="2"/>
      <c r="I750" s="5"/>
    </row>
    <row r="751" spans="1:9" ht="17.399999999999999" x14ac:dyDescent="0.25">
      <c r="A751" s="16"/>
      <c r="B751" s="17"/>
      <c r="C751" s="2"/>
      <c r="D751" s="2"/>
      <c r="E751" s="2"/>
      <c r="F751" s="2"/>
      <c r="G751" s="2"/>
      <c r="H751" s="2"/>
      <c r="I751" s="5"/>
    </row>
    <row r="752" spans="1:9" ht="17.399999999999999" x14ac:dyDescent="0.25">
      <c r="A752" s="16"/>
      <c r="B752" s="17"/>
      <c r="C752" s="2"/>
      <c r="D752" s="2"/>
      <c r="E752" s="2"/>
      <c r="F752" s="2"/>
      <c r="G752" s="2"/>
      <c r="H752" s="2"/>
      <c r="I752" s="5"/>
    </row>
    <row r="753" spans="1:9" ht="17.399999999999999" x14ac:dyDescent="0.25">
      <c r="A753" s="16"/>
      <c r="B753" s="17"/>
      <c r="C753" s="2"/>
      <c r="D753" s="2"/>
      <c r="E753" s="2"/>
      <c r="F753" s="2"/>
      <c r="G753" s="2"/>
      <c r="H753" s="2"/>
      <c r="I753" s="5"/>
    </row>
    <row r="754" spans="1:9" ht="17.399999999999999" x14ac:dyDescent="0.25">
      <c r="A754" s="16"/>
      <c r="B754" s="17"/>
      <c r="C754" s="2"/>
      <c r="D754" s="2"/>
      <c r="E754" s="2"/>
      <c r="F754" s="2"/>
      <c r="G754" s="2"/>
      <c r="H754" s="2"/>
      <c r="I754" s="5"/>
    </row>
    <row r="755" spans="1:9" ht="17.399999999999999" x14ac:dyDescent="0.25">
      <c r="A755" s="16"/>
      <c r="B755" s="17"/>
      <c r="C755" s="2"/>
      <c r="D755" s="2"/>
      <c r="E755" s="2"/>
      <c r="F755" s="2"/>
      <c r="G755" s="2"/>
      <c r="H755" s="2"/>
      <c r="I755" s="5"/>
    </row>
    <row r="756" spans="1:9" ht="17.399999999999999" x14ac:dyDescent="0.25">
      <c r="A756" s="16"/>
      <c r="B756" s="17"/>
      <c r="C756" s="2"/>
      <c r="D756" s="2"/>
      <c r="E756" s="2"/>
      <c r="F756" s="2"/>
      <c r="G756" s="2"/>
      <c r="H756" s="2"/>
      <c r="I756" s="5"/>
    </row>
    <row r="757" spans="1:9" ht="17.399999999999999" x14ac:dyDescent="0.25">
      <c r="A757" s="16"/>
      <c r="B757" s="17"/>
      <c r="C757" s="2"/>
      <c r="D757" s="2"/>
      <c r="E757" s="2"/>
      <c r="F757" s="2"/>
      <c r="G757" s="2"/>
      <c r="H757" s="2"/>
      <c r="I757" s="5"/>
    </row>
    <row r="758" spans="1:9" ht="17.399999999999999" x14ac:dyDescent="0.25">
      <c r="A758" s="16"/>
      <c r="B758" s="17"/>
      <c r="C758" s="2"/>
      <c r="D758" s="2"/>
      <c r="E758" s="2"/>
      <c r="F758" s="2"/>
      <c r="G758" s="2"/>
      <c r="H758" s="2"/>
      <c r="I758" s="5"/>
    </row>
    <row r="759" spans="1:9" ht="17.399999999999999" x14ac:dyDescent="0.25">
      <c r="A759" s="16"/>
      <c r="B759" s="17"/>
      <c r="C759" s="2"/>
      <c r="D759" s="2"/>
      <c r="E759" s="2"/>
      <c r="F759" s="2"/>
      <c r="G759" s="2"/>
      <c r="H759" s="2"/>
      <c r="I759" s="5"/>
    </row>
    <row r="760" spans="1:9" ht="17.399999999999999" x14ac:dyDescent="0.25">
      <c r="A760" s="16"/>
      <c r="B760" s="17"/>
      <c r="C760" s="2"/>
      <c r="D760" s="2"/>
      <c r="E760" s="2"/>
      <c r="F760" s="2"/>
      <c r="G760" s="2"/>
      <c r="H760" s="2"/>
      <c r="I760" s="5"/>
    </row>
    <row r="761" spans="1:9" ht="17.399999999999999" x14ac:dyDescent="0.25">
      <c r="A761" s="16"/>
      <c r="B761" s="17"/>
      <c r="C761" s="2"/>
      <c r="D761" s="2"/>
      <c r="E761" s="2"/>
      <c r="F761" s="2"/>
      <c r="G761" s="2"/>
      <c r="H761" s="2"/>
      <c r="I761" s="5"/>
    </row>
    <row r="762" spans="1:9" ht="17.399999999999999" x14ac:dyDescent="0.25">
      <c r="A762" s="16"/>
      <c r="B762" s="17"/>
      <c r="C762" s="2"/>
      <c r="D762" s="2"/>
      <c r="E762" s="2"/>
      <c r="F762" s="2"/>
      <c r="G762" s="2"/>
      <c r="H762" s="2"/>
      <c r="I762" s="5"/>
    </row>
    <row r="763" spans="1:9" ht="17.399999999999999" x14ac:dyDescent="0.25">
      <c r="A763" s="16"/>
      <c r="B763" s="17"/>
      <c r="C763" s="2"/>
      <c r="D763" s="2"/>
      <c r="E763" s="2"/>
      <c r="F763" s="2"/>
      <c r="G763" s="2"/>
      <c r="H763" s="2"/>
      <c r="I763" s="5"/>
    </row>
    <row r="764" spans="1:9" ht="17.399999999999999" x14ac:dyDescent="0.25">
      <c r="A764" s="16"/>
      <c r="B764" s="17"/>
      <c r="C764" s="2"/>
      <c r="D764" s="2"/>
      <c r="E764" s="2"/>
      <c r="F764" s="2"/>
      <c r="G764" s="2"/>
      <c r="H764" s="2"/>
      <c r="I764" s="5"/>
    </row>
    <row r="765" spans="1:9" ht="17.399999999999999" x14ac:dyDescent="0.25">
      <c r="A765" s="16"/>
      <c r="B765" s="17"/>
      <c r="C765" s="2"/>
      <c r="D765" s="2"/>
      <c r="E765" s="2"/>
      <c r="F765" s="2"/>
      <c r="G765" s="2"/>
      <c r="H765" s="2"/>
      <c r="I765" s="5"/>
    </row>
    <row r="766" spans="1:9" ht="17.399999999999999" x14ac:dyDescent="0.25">
      <c r="A766" s="16"/>
      <c r="B766" s="17"/>
      <c r="C766" s="2"/>
      <c r="D766" s="2"/>
      <c r="E766" s="2"/>
      <c r="F766" s="2"/>
      <c r="G766" s="2"/>
      <c r="H766" s="2"/>
      <c r="I766" s="5"/>
    </row>
    <row r="767" spans="1:9" ht="17.399999999999999" x14ac:dyDescent="0.25">
      <c r="A767" s="16"/>
      <c r="B767" s="17"/>
      <c r="C767" s="2"/>
      <c r="D767" s="2"/>
      <c r="E767" s="2"/>
      <c r="F767" s="2"/>
      <c r="G767" s="2"/>
      <c r="H767" s="2"/>
      <c r="I767" s="5"/>
    </row>
    <row r="768" spans="1:9" ht="17.399999999999999" x14ac:dyDescent="0.25">
      <c r="A768" s="16"/>
      <c r="B768" s="17"/>
      <c r="C768" s="2"/>
      <c r="D768" s="2"/>
      <c r="E768" s="2"/>
      <c r="F768" s="2"/>
      <c r="G768" s="2"/>
      <c r="H768" s="2"/>
      <c r="I768" s="5"/>
    </row>
    <row r="769" spans="1:9" ht="17.399999999999999" x14ac:dyDescent="0.25">
      <c r="A769" s="16"/>
      <c r="B769" s="17"/>
      <c r="C769" s="2"/>
      <c r="D769" s="2"/>
      <c r="E769" s="2"/>
      <c r="F769" s="2"/>
      <c r="G769" s="2"/>
      <c r="H769" s="2"/>
      <c r="I769" s="5"/>
    </row>
    <row r="770" spans="1:9" ht="17.399999999999999" x14ac:dyDescent="0.25">
      <c r="A770" s="16"/>
      <c r="B770" s="17"/>
      <c r="C770" s="2"/>
      <c r="D770" s="2"/>
      <c r="E770" s="2"/>
      <c r="F770" s="2"/>
      <c r="G770" s="2"/>
      <c r="H770" s="2"/>
      <c r="I770" s="5"/>
    </row>
    <row r="771" spans="1:9" ht="17.399999999999999" x14ac:dyDescent="0.25">
      <c r="A771" s="16"/>
      <c r="B771" s="17"/>
      <c r="C771" s="2"/>
      <c r="D771" s="2"/>
      <c r="E771" s="2"/>
      <c r="F771" s="2"/>
      <c r="G771" s="2"/>
      <c r="H771" s="2"/>
      <c r="I771" s="5"/>
    </row>
    <row r="772" spans="1:9" ht="17.399999999999999" x14ac:dyDescent="0.25">
      <c r="A772" s="16"/>
      <c r="B772" s="17"/>
      <c r="C772" s="2"/>
      <c r="D772" s="2"/>
      <c r="E772" s="2"/>
      <c r="F772" s="2"/>
      <c r="G772" s="2"/>
      <c r="H772" s="2"/>
      <c r="I772" s="5"/>
    </row>
    <row r="773" spans="1:9" ht="17.399999999999999" x14ac:dyDescent="0.25">
      <c r="A773" s="16"/>
      <c r="B773" s="17"/>
      <c r="C773" s="2"/>
      <c r="D773" s="2"/>
      <c r="E773" s="2"/>
      <c r="F773" s="2"/>
      <c r="G773" s="2"/>
      <c r="H773" s="2"/>
      <c r="I773" s="5"/>
    </row>
    <row r="774" spans="1:9" ht="17.399999999999999" x14ac:dyDescent="0.25">
      <c r="A774" s="16"/>
      <c r="B774" s="17"/>
      <c r="C774" s="2"/>
      <c r="D774" s="2"/>
      <c r="E774" s="2"/>
      <c r="F774" s="2"/>
      <c r="G774" s="2"/>
      <c r="H774" s="2"/>
      <c r="I774" s="5"/>
    </row>
    <row r="775" spans="1:9" ht="17.399999999999999" x14ac:dyDescent="0.25">
      <c r="A775" s="16"/>
      <c r="B775" s="17"/>
      <c r="C775" s="2"/>
      <c r="D775" s="2"/>
      <c r="E775" s="2"/>
      <c r="F775" s="2"/>
      <c r="G775" s="2"/>
      <c r="H775" s="2"/>
      <c r="I775" s="5"/>
    </row>
    <row r="776" spans="1:9" ht="17.399999999999999" x14ac:dyDescent="0.25">
      <c r="A776" s="16"/>
      <c r="B776" s="17"/>
      <c r="C776" s="2"/>
      <c r="D776" s="2"/>
      <c r="E776" s="2"/>
      <c r="F776" s="2"/>
      <c r="G776" s="2"/>
      <c r="H776" s="2"/>
      <c r="I776" s="5"/>
    </row>
    <row r="777" spans="1:9" ht="17.399999999999999" x14ac:dyDescent="0.25">
      <c r="A777" s="16"/>
      <c r="B777" s="17"/>
      <c r="C777" s="2"/>
      <c r="D777" s="2"/>
      <c r="E777" s="2"/>
      <c r="F777" s="2"/>
      <c r="G777" s="2"/>
      <c r="H777" s="2"/>
      <c r="I777" s="5"/>
    </row>
    <row r="778" spans="1:9" ht="17.399999999999999" x14ac:dyDescent="0.25">
      <c r="A778" s="16"/>
      <c r="B778" s="17"/>
      <c r="C778" s="2"/>
      <c r="D778" s="2"/>
      <c r="E778" s="2"/>
      <c r="F778" s="2"/>
      <c r="G778" s="2"/>
      <c r="H778" s="2"/>
      <c r="I778" s="5"/>
    </row>
    <row r="779" spans="1:9" ht="17.399999999999999" x14ac:dyDescent="0.25">
      <c r="A779" s="16"/>
      <c r="B779" s="17"/>
      <c r="C779" s="2"/>
      <c r="D779" s="2"/>
      <c r="E779" s="2"/>
      <c r="F779" s="2"/>
      <c r="G779" s="2"/>
      <c r="H779" s="2"/>
      <c r="I779" s="5"/>
    </row>
    <row r="780" spans="1:9" ht="17.399999999999999" x14ac:dyDescent="0.25">
      <c r="A780" s="16"/>
      <c r="B780" s="17"/>
      <c r="C780" s="2"/>
      <c r="D780" s="2"/>
      <c r="E780" s="2"/>
      <c r="F780" s="2"/>
      <c r="G780" s="2"/>
      <c r="H780" s="2"/>
      <c r="I780" s="5"/>
    </row>
    <row r="781" spans="1:9" ht="17.399999999999999" x14ac:dyDescent="0.25">
      <c r="A781" s="16"/>
      <c r="B781" s="17"/>
      <c r="C781" s="2"/>
      <c r="D781" s="2"/>
      <c r="E781" s="2"/>
      <c r="F781" s="2"/>
      <c r="G781" s="2"/>
      <c r="H781" s="2"/>
      <c r="I781" s="5"/>
    </row>
    <row r="782" spans="1:9" ht="17.399999999999999" x14ac:dyDescent="0.25">
      <c r="A782" s="16"/>
      <c r="B782" s="17"/>
      <c r="C782" s="2"/>
      <c r="D782" s="2"/>
      <c r="E782" s="2"/>
      <c r="F782" s="2"/>
      <c r="G782" s="2"/>
      <c r="H782" s="2"/>
      <c r="I782" s="5"/>
    </row>
    <row r="783" spans="1:9" ht="17.399999999999999" x14ac:dyDescent="0.25">
      <c r="A783" s="16"/>
      <c r="B783" s="17"/>
      <c r="C783" s="2"/>
      <c r="D783" s="2"/>
      <c r="E783" s="2"/>
      <c r="F783" s="2"/>
      <c r="G783" s="2"/>
      <c r="H783" s="2"/>
      <c r="I783" s="5"/>
    </row>
    <row r="784" spans="1:9" ht="17.399999999999999" x14ac:dyDescent="0.25">
      <c r="A784" s="16"/>
      <c r="B784" s="17"/>
      <c r="C784" s="2"/>
      <c r="D784" s="2"/>
      <c r="E784" s="2"/>
      <c r="F784" s="2"/>
      <c r="G784" s="2"/>
      <c r="H784" s="2"/>
      <c r="I784" s="5"/>
    </row>
    <row r="785" spans="1:9" ht="17.399999999999999" x14ac:dyDescent="0.25">
      <c r="A785" s="16"/>
      <c r="B785" s="17"/>
      <c r="C785" s="2"/>
      <c r="D785" s="2"/>
      <c r="E785" s="2"/>
      <c r="F785" s="2"/>
      <c r="G785" s="2"/>
      <c r="H785" s="2"/>
      <c r="I785" s="5"/>
    </row>
    <row r="786" spans="1:9" ht="17.399999999999999" x14ac:dyDescent="0.25">
      <c r="A786" s="16"/>
      <c r="B786" s="17"/>
      <c r="C786" s="2"/>
      <c r="D786" s="2"/>
      <c r="E786" s="2"/>
      <c r="F786" s="2"/>
      <c r="G786" s="2"/>
      <c r="H786" s="2"/>
      <c r="I786" s="5"/>
    </row>
    <row r="787" spans="1:9" ht="17.399999999999999" x14ac:dyDescent="0.25">
      <c r="A787" s="16"/>
      <c r="B787" s="17"/>
      <c r="C787" s="2"/>
      <c r="D787" s="2"/>
      <c r="E787" s="2"/>
      <c r="F787" s="2"/>
      <c r="G787" s="2"/>
      <c r="H787" s="2"/>
      <c r="I787" s="5"/>
    </row>
    <row r="788" spans="1:9" ht="17.399999999999999" x14ac:dyDescent="0.25">
      <c r="A788" s="16"/>
      <c r="B788" s="17"/>
      <c r="C788" s="2"/>
      <c r="D788" s="2"/>
      <c r="E788" s="2"/>
      <c r="F788" s="2"/>
      <c r="G788" s="2"/>
      <c r="H788" s="2"/>
      <c r="I788" s="5"/>
    </row>
    <row r="789" spans="1:9" ht="17.399999999999999" x14ac:dyDescent="0.25">
      <c r="A789" s="16"/>
      <c r="B789" s="17"/>
      <c r="C789" s="2"/>
      <c r="D789" s="2"/>
      <c r="E789" s="2"/>
      <c r="F789" s="2"/>
      <c r="G789" s="2"/>
      <c r="H789" s="2"/>
      <c r="I789" s="5"/>
    </row>
    <row r="790" spans="1:9" ht="17.399999999999999" x14ac:dyDescent="0.25">
      <c r="A790" s="16"/>
      <c r="B790" s="17"/>
      <c r="C790" s="2"/>
      <c r="D790" s="2"/>
      <c r="E790" s="2"/>
      <c r="F790" s="2"/>
      <c r="G790" s="2"/>
      <c r="H790" s="2"/>
      <c r="I790" s="5"/>
    </row>
    <row r="791" spans="1:9" ht="17.399999999999999" x14ac:dyDescent="0.25">
      <c r="A791" s="16"/>
      <c r="B791" s="17"/>
      <c r="C791" s="2"/>
      <c r="D791" s="2"/>
      <c r="E791" s="2"/>
      <c r="F791" s="2"/>
      <c r="G791" s="2"/>
      <c r="H791" s="2"/>
      <c r="I791" s="5"/>
    </row>
    <row r="792" spans="1:9" ht="17.399999999999999" x14ac:dyDescent="0.25">
      <c r="A792" s="16"/>
      <c r="B792" s="17"/>
      <c r="C792" s="2"/>
      <c r="D792" s="2"/>
      <c r="E792" s="2"/>
      <c r="F792" s="2"/>
      <c r="G792" s="2"/>
      <c r="H792" s="2"/>
      <c r="I792" s="5"/>
    </row>
    <row r="793" spans="1:9" ht="17.399999999999999" x14ac:dyDescent="0.25">
      <c r="A793" s="16"/>
      <c r="B793" s="17"/>
      <c r="C793" s="2"/>
      <c r="D793" s="2"/>
      <c r="E793" s="2"/>
      <c r="F793" s="2"/>
      <c r="G793" s="2"/>
      <c r="H793" s="2"/>
      <c r="I793" s="5"/>
    </row>
    <row r="794" spans="1:9" ht="17.399999999999999" x14ac:dyDescent="0.25">
      <c r="A794" s="16"/>
      <c r="B794" s="17"/>
      <c r="C794" s="2"/>
      <c r="D794" s="2"/>
      <c r="E794" s="2"/>
      <c r="F794" s="2"/>
      <c r="G794" s="2"/>
      <c r="H794" s="2"/>
      <c r="I794" s="5"/>
    </row>
    <row r="795" spans="1:9" ht="17.399999999999999" x14ac:dyDescent="0.25">
      <c r="A795" s="16"/>
      <c r="B795" s="17"/>
      <c r="C795" s="2"/>
      <c r="D795" s="2"/>
      <c r="E795" s="2"/>
      <c r="F795" s="2"/>
      <c r="G795" s="2"/>
      <c r="H795" s="2"/>
      <c r="I795" s="5"/>
    </row>
    <row r="796" spans="1:9" ht="17.399999999999999" x14ac:dyDescent="0.25">
      <c r="A796" s="16"/>
      <c r="B796" s="17"/>
      <c r="C796" s="2"/>
      <c r="D796" s="2"/>
      <c r="E796" s="2"/>
      <c r="F796" s="2"/>
      <c r="G796" s="2"/>
      <c r="H796" s="2"/>
      <c r="I796" s="5"/>
    </row>
    <row r="797" spans="1:9" ht="17.399999999999999" x14ac:dyDescent="0.25">
      <c r="A797" s="16"/>
      <c r="B797" s="17"/>
      <c r="C797" s="2"/>
      <c r="D797" s="2"/>
      <c r="E797" s="2"/>
      <c r="F797" s="2"/>
      <c r="G797" s="2"/>
      <c r="H797" s="2"/>
      <c r="I797" s="5"/>
    </row>
    <row r="798" spans="1:9" ht="17.399999999999999" x14ac:dyDescent="0.25">
      <c r="A798" s="16"/>
      <c r="B798" s="17"/>
      <c r="C798" s="2"/>
      <c r="D798" s="2"/>
      <c r="E798" s="2"/>
      <c r="F798" s="2"/>
      <c r="G798" s="2"/>
      <c r="H798" s="2"/>
      <c r="I798" s="5"/>
    </row>
    <row r="799" spans="1:9" ht="17.399999999999999" x14ac:dyDescent="0.25">
      <c r="A799" s="16"/>
      <c r="B799" s="17"/>
      <c r="C799" s="2"/>
      <c r="D799" s="2"/>
      <c r="E799" s="2"/>
      <c r="F799" s="2"/>
      <c r="G799" s="2"/>
      <c r="H799" s="2"/>
      <c r="I799" s="5"/>
    </row>
    <row r="800" spans="1:9" ht="17.399999999999999" x14ac:dyDescent="0.25">
      <c r="A800" s="16"/>
      <c r="B800" s="17"/>
      <c r="C800" s="2"/>
      <c r="D800" s="2"/>
      <c r="E800" s="2"/>
      <c r="F800" s="2"/>
      <c r="G800" s="2"/>
      <c r="H800" s="2"/>
      <c r="I800" s="5"/>
    </row>
    <row r="801" spans="1:9" ht="17.399999999999999" x14ac:dyDescent="0.25">
      <c r="A801" s="16"/>
      <c r="B801" s="17"/>
      <c r="C801" s="2"/>
      <c r="D801" s="2"/>
      <c r="E801" s="2"/>
      <c r="F801" s="2"/>
      <c r="G801" s="2"/>
      <c r="H801" s="2"/>
      <c r="I801" s="5"/>
    </row>
    <row r="802" spans="1:9" ht="17.399999999999999" x14ac:dyDescent="0.25">
      <c r="A802" s="16"/>
      <c r="B802" s="17"/>
      <c r="C802" s="2"/>
      <c r="D802" s="2"/>
      <c r="E802" s="2"/>
      <c r="F802" s="2"/>
      <c r="G802" s="2"/>
      <c r="H802" s="2"/>
      <c r="I802" s="5"/>
    </row>
    <row r="803" spans="1:9" ht="17.399999999999999" x14ac:dyDescent="0.25">
      <c r="A803" s="16"/>
      <c r="B803" s="17"/>
      <c r="C803" s="2"/>
      <c r="D803" s="2"/>
      <c r="E803" s="2"/>
      <c r="F803" s="2"/>
      <c r="G803" s="2"/>
      <c r="H803" s="2"/>
      <c r="I803" s="5"/>
    </row>
    <row r="804" spans="1:9" ht="17.399999999999999" x14ac:dyDescent="0.25">
      <c r="A804" s="16"/>
      <c r="B804" s="17"/>
      <c r="C804" s="2"/>
      <c r="D804" s="2"/>
      <c r="E804" s="2"/>
      <c r="F804" s="2"/>
      <c r="G804" s="2"/>
      <c r="H804" s="2"/>
      <c r="I804" s="5"/>
    </row>
    <row r="805" spans="1:9" ht="17.399999999999999" x14ac:dyDescent="0.25">
      <c r="A805" s="16"/>
      <c r="B805" s="17"/>
      <c r="C805" s="2"/>
      <c r="D805" s="2"/>
      <c r="E805" s="2"/>
      <c r="F805" s="2"/>
      <c r="G805" s="2"/>
      <c r="H805" s="2"/>
      <c r="I805" s="5"/>
    </row>
    <row r="806" spans="1:9" ht="17.399999999999999" x14ac:dyDescent="0.25">
      <c r="A806" s="16"/>
      <c r="B806" s="17"/>
      <c r="C806" s="2"/>
      <c r="D806" s="2"/>
      <c r="E806" s="2"/>
      <c r="F806" s="2"/>
      <c r="G806" s="2"/>
      <c r="H806" s="2"/>
      <c r="I806" s="5"/>
    </row>
    <row r="807" spans="1:9" ht="17.399999999999999" x14ac:dyDescent="0.25">
      <c r="A807" s="16"/>
      <c r="B807" s="17"/>
      <c r="C807" s="2"/>
      <c r="D807" s="2"/>
      <c r="E807" s="2"/>
      <c r="F807" s="2"/>
      <c r="G807" s="2"/>
      <c r="H807" s="2"/>
      <c r="I807" s="5"/>
    </row>
    <row r="808" spans="1:9" ht="17.399999999999999" x14ac:dyDescent="0.25">
      <c r="A808" s="16"/>
      <c r="B808" s="17"/>
      <c r="C808" s="2"/>
      <c r="D808" s="2"/>
      <c r="E808" s="2"/>
      <c r="F808" s="2"/>
      <c r="G808" s="2"/>
      <c r="H808" s="2"/>
      <c r="I808" s="5"/>
    </row>
    <row r="809" spans="1:9" ht="17.399999999999999" x14ac:dyDescent="0.25">
      <c r="A809" s="16"/>
      <c r="B809" s="17"/>
      <c r="C809" s="2"/>
      <c r="D809" s="2"/>
      <c r="E809" s="2"/>
      <c r="F809" s="2"/>
      <c r="G809" s="2"/>
      <c r="H809" s="2"/>
      <c r="I809" s="5"/>
    </row>
    <row r="810" spans="1:9" ht="17.399999999999999" x14ac:dyDescent="0.25">
      <c r="A810" s="16"/>
      <c r="B810" s="17"/>
      <c r="C810" s="2"/>
      <c r="D810" s="2"/>
      <c r="E810" s="2"/>
      <c r="F810" s="2"/>
      <c r="G810" s="2"/>
      <c r="H810" s="2"/>
      <c r="I810" s="5"/>
    </row>
    <row r="811" spans="1:9" ht="17.399999999999999" x14ac:dyDescent="0.25">
      <c r="A811" s="16"/>
      <c r="B811" s="17"/>
      <c r="C811" s="2"/>
      <c r="D811" s="2"/>
      <c r="E811" s="2"/>
      <c r="F811" s="2"/>
      <c r="G811" s="2"/>
      <c r="H811" s="2"/>
      <c r="I811" s="5"/>
    </row>
    <row r="812" spans="1:9" ht="17.399999999999999" x14ac:dyDescent="0.25">
      <c r="A812" s="16"/>
      <c r="B812" s="17"/>
      <c r="C812" s="2"/>
      <c r="D812" s="2"/>
      <c r="E812" s="2"/>
      <c r="F812" s="2"/>
      <c r="G812" s="2"/>
      <c r="H812" s="2"/>
      <c r="I812" s="5"/>
    </row>
    <row r="813" spans="1:9" ht="17.399999999999999" x14ac:dyDescent="0.25">
      <c r="A813" s="16"/>
      <c r="B813" s="17"/>
      <c r="C813" s="2"/>
      <c r="D813" s="2"/>
      <c r="E813" s="2"/>
      <c r="F813" s="2"/>
      <c r="G813" s="2"/>
      <c r="H813" s="2"/>
      <c r="I813" s="5"/>
    </row>
    <row r="814" spans="1:9" ht="17.399999999999999" x14ac:dyDescent="0.25">
      <c r="A814" s="16"/>
      <c r="B814" s="17"/>
      <c r="C814" s="2"/>
      <c r="D814" s="2"/>
      <c r="E814" s="2"/>
      <c r="F814" s="2"/>
      <c r="G814" s="2"/>
      <c r="H814" s="2"/>
      <c r="I814" s="5"/>
    </row>
    <row r="815" spans="1:9" ht="17.399999999999999" x14ac:dyDescent="0.25">
      <c r="A815" s="16"/>
      <c r="B815" s="17"/>
      <c r="C815" s="2"/>
      <c r="D815" s="2"/>
      <c r="E815" s="2"/>
      <c r="F815" s="2"/>
      <c r="G815" s="2"/>
      <c r="H815" s="2"/>
      <c r="I815" s="5"/>
    </row>
    <row r="816" spans="1:9" ht="17.399999999999999" x14ac:dyDescent="0.25">
      <c r="A816" s="16"/>
      <c r="B816" s="17"/>
      <c r="C816" s="2"/>
      <c r="D816" s="2"/>
      <c r="E816" s="2"/>
      <c r="F816" s="2"/>
      <c r="G816" s="2"/>
      <c r="H816" s="2"/>
      <c r="I816" s="5"/>
    </row>
    <row r="817" spans="1:9" ht="17.399999999999999" x14ac:dyDescent="0.25">
      <c r="A817" s="16"/>
      <c r="B817" s="17"/>
      <c r="C817" s="2"/>
      <c r="D817" s="2"/>
      <c r="E817" s="2"/>
      <c r="F817" s="2"/>
      <c r="G817" s="2"/>
      <c r="H817" s="2"/>
      <c r="I817" s="5"/>
    </row>
    <row r="818" spans="1:9" ht="17.399999999999999" x14ac:dyDescent="0.25">
      <c r="A818" s="16"/>
      <c r="B818" s="17"/>
      <c r="C818" s="2"/>
      <c r="D818" s="2"/>
      <c r="E818" s="2"/>
      <c r="F818" s="2"/>
      <c r="G818" s="2"/>
      <c r="H818" s="2"/>
      <c r="I818" s="5"/>
    </row>
    <row r="819" spans="1:9" ht="17.399999999999999" x14ac:dyDescent="0.25">
      <c r="A819" s="16"/>
      <c r="B819" s="17"/>
      <c r="C819" s="2"/>
      <c r="D819" s="2"/>
      <c r="E819" s="2"/>
      <c r="F819" s="2"/>
      <c r="G819" s="2"/>
      <c r="H819" s="2"/>
      <c r="I819" s="5"/>
    </row>
    <row r="820" spans="1:9" ht="17.399999999999999" x14ac:dyDescent="0.25">
      <c r="A820" s="16"/>
      <c r="B820" s="17"/>
      <c r="C820" s="2"/>
      <c r="D820" s="2"/>
      <c r="E820" s="2"/>
      <c r="F820" s="2"/>
      <c r="G820" s="2"/>
      <c r="H820" s="2"/>
      <c r="I820" s="5"/>
    </row>
    <row r="821" spans="1:9" ht="17.399999999999999" x14ac:dyDescent="0.25">
      <c r="A821" s="16"/>
      <c r="B821" s="17"/>
      <c r="C821" s="2"/>
      <c r="D821" s="2"/>
      <c r="E821" s="2"/>
      <c r="F821" s="2"/>
      <c r="G821" s="2"/>
      <c r="H821" s="2"/>
      <c r="I821" s="5"/>
    </row>
    <row r="822" spans="1:9" ht="17.399999999999999" x14ac:dyDescent="0.25">
      <c r="A822" s="16"/>
      <c r="B822" s="17"/>
      <c r="C822" s="2"/>
      <c r="D822" s="2"/>
      <c r="E822" s="2"/>
      <c r="F822" s="2"/>
      <c r="G822" s="2"/>
      <c r="H822" s="2"/>
      <c r="I822" s="5"/>
    </row>
    <row r="823" spans="1:9" ht="17.399999999999999" x14ac:dyDescent="0.25">
      <c r="A823" s="16"/>
      <c r="B823" s="17"/>
      <c r="C823" s="2"/>
      <c r="D823" s="2"/>
      <c r="E823" s="2"/>
      <c r="F823" s="2"/>
      <c r="G823" s="2"/>
      <c r="H823" s="2"/>
      <c r="I823" s="5"/>
    </row>
    <row r="824" spans="1:9" ht="17.399999999999999" x14ac:dyDescent="0.25">
      <c r="A824" s="16"/>
      <c r="B824" s="17"/>
      <c r="C824" s="2"/>
      <c r="D824" s="2"/>
      <c r="E824" s="2"/>
      <c r="F824" s="2"/>
      <c r="G824" s="2"/>
      <c r="H824" s="2"/>
      <c r="I824" s="5"/>
    </row>
    <row r="825" spans="1:9" ht="17.399999999999999" x14ac:dyDescent="0.25">
      <c r="A825" s="16"/>
      <c r="B825" s="17"/>
      <c r="C825" s="2"/>
      <c r="D825" s="2"/>
      <c r="E825" s="2"/>
      <c r="F825" s="2"/>
      <c r="G825" s="2"/>
      <c r="H825" s="2"/>
      <c r="I825" s="5"/>
    </row>
    <row r="826" spans="1:9" ht="17.399999999999999" x14ac:dyDescent="0.25">
      <c r="A826" s="16"/>
      <c r="B826" s="17"/>
      <c r="C826" s="2"/>
      <c r="D826" s="2"/>
      <c r="E826" s="2"/>
      <c r="F826" s="2"/>
      <c r="G826" s="2"/>
      <c r="H826" s="2"/>
      <c r="I826" s="5"/>
    </row>
    <row r="827" spans="1:9" ht="17.399999999999999" x14ac:dyDescent="0.25">
      <c r="A827" s="16"/>
      <c r="B827" s="17"/>
      <c r="C827" s="2"/>
      <c r="D827" s="2"/>
      <c r="E827" s="2"/>
      <c r="F827" s="2"/>
      <c r="G827" s="2"/>
      <c r="H827" s="2"/>
      <c r="I827" s="5"/>
    </row>
    <row r="828" spans="1:9" ht="17.399999999999999" x14ac:dyDescent="0.25">
      <c r="A828" s="16"/>
      <c r="B828" s="17"/>
      <c r="C828" s="2"/>
      <c r="D828" s="2"/>
      <c r="E828" s="2"/>
      <c r="F828" s="2"/>
      <c r="G828" s="2"/>
      <c r="H828" s="2"/>
      <c r="I828" s="5"/>
    </row>
    <row r="829" spans="1:9" ht="17.399999999999999" x14ac:dyDescent="0.25">
      <c r="A829" s="16"/>
      <c r="B829" s="17"/>
      <c r="C829" s="2"/>
      <c r="D829" s="2"/>
      <c r="E829" s="2"/>
      <c r="F829" s="2"/>
      <c r="G829" s="2"/>
      <c r="H829" s="2"/>
      <c r="I829" s="5"/>
    </row>
    <row r="830" spans="1:9" ht="17.399999999999999" x14ac:dyDescent="0.25">
      <c r="A830" s="16"/>
      <c r="B830" s="17"/>
      <c r="C830" s="2"/>
      <c r="D830" s="2"/>
      <c r="E830" s="2"/>
      <c r="F830" s="2"/>
      <c r="G830" s="2"/>
      <c r="H830" s="2"/>
      <c r="I830" s="5"/>
    </row>
    <row r="831" spans="1:9" ht="17.399999999999999" x14ac:dyDescent="0.25">
      <c r="A831" s="16"/>
      <c r="B831" s="17"/>
      <c r="C831" s="2"/>
      <c r="D831" s="2"/>
      <c r="E831" s="2"/>
      <c r="F831" s="2"/>
      <c r="G831" s="2"/>
      <c r="H831" s="2"/>
      <c r="I831" s="5"/>
    </row>
    <row r="832" spans="1:9" ht="17.399999999999999" x14ac:dyDescent="0.25">
      <c r="A832" s="16"/>
      <c r="B832" s="17"/>
      <c r="C832" s="2"/>
      <c r="D832" s="2"/>
      <c r="E832" s="2"/>
      <c r="F832" s="2"/>
      <c r="G832" s="2"/>
      <c r="H832" s="2"/>
      <c r="I832" s="5"/>
    </row>
    <row r="833" spans="1:9" ht="17.399999999999999" x14ac:dyDescent="0.25">
      <c r="A833" s="16"/>
      <c r="B833" s="17"/>
      <c r="C833" s="2"/>
      <c r="D833" s="2"/>
      <c r="E833" s="2"/>
      <c r="F833" s="2"/>
      <c r="G833" s="2"/>
      <c r="H833" s="2"/>
      <c r="I833" s="5"/>
    </row>
    <row r="834" spans="1:9" ht="17.399999999999999" x14ac:dyDescent="0.25">
      <c r="A834" s="16"/>
      <c r="B834" s="17"/>
      <c r="C834" s="2"/>
      <c r="D834" s="2"/>
      <c r="E834" s="2"/>
      <c r="F834" s="2"/>
      <c r="G834" s="2"/>
      <c r="H834" s="2"/>
      <c r="I834" s="5"/>
    </row>
    <row r="835" spans="1:9" ht="17.399999999999999" x14ac:dyDescent="0.25">
      <c r="A835" s="16"/>
      <c r="B835" s="17"/>
      <c r="C835" s="2"/>
      <c r="D835" s="2"/>
      <c r="E835" s="2"/>
      <c r="F835" s="2"/>
      <c r="G835" s="2"/>
      <c r="H835" s="2"/>
      <c r="I835" s="5"/>
    </row>
    <row r="836" spans="1:9" ht="17.399999999999999" x14ac:dyDescent="0.25">
      <c r="A836" s="16"/>
      <c r="B836" s="17"/>
      <c r="C836" s="2"/>
      <c r="D836" s="2"/>
      <c r="E836" s="2"/>
      <c r="F836" s="2"/>
      <c r="G836" s="2"/>
      <c r="H836" s="2"/>
      <c r="I836" s="5"/>
    </row>
    <row r="837" spans="1:9" ht="17.399999999999999" x14ac:dyDescent="0.25">
      <c r="A837" s="16"/>
      <c r="B837" s="17"/>
      <c r="C837" s="2"/>
      <c r="D837" s="2"/>
      <c r="E837" s="2"/>
      <c r="F837" s="2"/>
      <c r="G837" s="2"/>
      <c r="H837" s="2"/>
      <c r="I837" s="5"/>
    </row>
    <row r="838" spans="1:9" ht="17.399999999999999" x14ac:dyDescent="0.25">
      <c r="A838" s="16"/>
      <c r="B838" s="17"/>
      <c r="C838" s="2"/>
      <c r="D838" s="2"/>
      <c r="E838" s="2"/>
      <c r="F838" s="2"/>
      <c r="G838" s="2"/>
      <c r="H838" s="2"/>
      <c r="I838" s="5"/>
    </row>
    <row r="839" spans="1:9" ht="17.399999999999999" x14ac:dyDescent="0.25">
      <c r="A839" s="16"/>
      <c r="B839" s="17"/>
      <c r="C839" s="2"/>
      <c r="D839" s="2"/>
      <c r="E839" s="2"/>
      <c r="F839" s="2"/>
      <c r="G839" s="2"/>
      <c r="H839" s="2"/>
      <c r="I839" s="5"/>
    </row>
    <row r="840" spans="1:9" ht="17.399999999999999" x14ac:dyDescent="0.25">
      <c r="A840" s="16"/>
      <c r="B840" s="17"/>
      <c r="C840" s="2"/>
      <c r="D840" s="2"/>
      <c r="E840" s="2"/>
      <c r="F840" s="2"/>
      <c r="G840" s="2"/>
      <c r="H840" s="2"/>
      <c r="I840" s="5"/>
    </row>
    <row r="841" spans="1:9" ht="17.399999999999999" x14ac:dyDescent="0.25">
      <c r="A841" s="16"/>
      <c r="B841" s="17"/>
      <c r="C841" s="2"/>
      <c r="D841" s="2"/>
      <c r="E841" s="2"/>
      <c r="F841" s="2"/>
      <c r="G841" s="2"/>
      <c r="H841" s="2"/>
      <c r="I841" s="5"/>
    </row>
    <row r="842" spans="1:9" ht="17.399999999999999" x14ac:dyDescent="0.25">
      <c r="A842" s="16"/>
      <c r="B842" s="17"/>
      <c r="C842" s="2"/>
      <c r="D842" s="2"/>
      <c r="E842" s="2"/>
      <c r="F842" s="2"/>
      <c r="G842" s="2"/>
      <c r="H842" s="2"/>
      <c r="I842" s="5"/>
    </row>
    <row r="843" spans="1:9" ht="17.399999999999999" x14ac:dyDescent="0.25">
      <c r="A843" s="16"/>
      <c r="B843" s="17"/>
      <c r="C843" s="2"/>
      <c r="D843" s="2"/>
      <c r="E843" s="2"/>
      <c r="F843" s="2"/>
      <c r="G843" s="2"/>
      <c r="H843" s="2"/>
      <c r="I843" s="5"/>
    </row>
    <row r="844" spans="1:9" ht="17.399999999999999" x14ac:dyDescent="0.25">
      <c r="A844" s="16"/>
      <c r="B844" s="17"/>
      <c r="C844" s="2"/>
      <c r="D844" s="2"/>
      <c r="E844" s="2"/>
      <c r="F844" s="2"/>
      <c r="G844" s="2"/>
      <c r="H844" s="2"/>
      <c r="I844" s="5"/>
    </row>
    <row r="845" spans="1:9" ht="17.399999999999999" x14ac:dyDescent="0.25">
      <c r="A845" s="16"/>
      <c r="B845" s="17"/>
      <c r="C845" s="2"/>
      <c r="D845" s="2"/>
      <c r="E845" s="2"/>
      <c r="F845" s="2"/>
      <c r="G845" s="2"/>
      <c r="H845" s="2"/>
      <c r="I845" s="5"/>
    </row>
    <row r="846" spans="1:9" ht="17.399999999999999" x14ac:dyDescent="0.25">
      <c r="A846" s="16"/>
      <c r="B846" s="17"/>
      <c r="C846" s="2"/>
      <c r="D846" s="2"/>
      <c r="E846" s="2"/>
      <c r="F846" s="2"/>
      <c r="G846" s="2"/>
      <c r="H846" s="2"/>
      <c r="I846" s="5"/>
    </row>
    <row r="847" spans="1:9" ht="17.399999999999999" x14ac:dyDescent="0.25">
      <c r="A847" s="16"/>
      <c r="B847" s="17"/>
      <c r="C847" s="2"/>
      <c r="D847" s="2"/>
      <c r="E847" s="2"/>
      <c r="F847" s="2"/>
      <c r="G847" s="2"/>
      <c r="H847" s="2"/>
      <c r="I847" s="5"/>
    </row>
    <row r="848" spans="1:9" ht="17.399999999999999" x14ac:dyDescent="0.25">
      <c r="A848" s="16"/>
      <c r="B848" s="17"/>
      <c r="C848" s="2"/>
      <c r="D848" s="2"/>
      <c r="E848" s="2"/>
      <c r="F848" s="2"/>
      <c r="G848" s="2"/>
      <c r="H848" s="2"/>
      <c r="I848" s="5"/>
    </row>
    <row r="849" spans="1:9" ht="17.399999999999999" x14ac:dyDescent="0.25">
      <c r="A849" s="16"/>
      <c r="B849" s="17"/>
      <c r="C849" s="2"/>
      <c r="D849" s="2"/>
      <c r="E849" s="2"/>
      <c r="F849" s="2"/>
      <c r="G849" s="2"/>
      <c r="H849" s="2"/>
      <c r="I849" s="5"/>
    </row>
    <row r="850" spans="1:9" ht="17.399999999999999" x14ac:dyDescent="0.25">
      <c r="A850" s="16"/>
      <c r="B850" s="17"/>
      <c r="C850" s="2"/>
      <c r="D850" s="2"/>
      <c r="E850" s="2"/>
      <c r="F850" s="2"/>
      <c r="G850" s="2"/>
      <c r="H850" s="2"/>
      <c r="I850" s="5"/>
    </row>
    <row r="851" spans="1:9" ht="17.399999999999999" x14ac:dyDescent="0.25">
      <c r="A851" s="16"/>
      <c r="B851" s="17"/>
      <c r="C851" s="2"/>
      <c r="D851" s="2"/>
      <c r="E851" s="2"/>
      <c r="F851" s="2"/>
      <c r="G851" s="2"/>
      <c r="H851" s="2"/>
      <c r="I851" s="5"/>
    </row>
    <row r="852" spans="1:9" ht="17.399999999999999" x14ac:dyDescent="0.25">
      <c r="A852" s="16"/>
      <c r="B852" s="17"/>
      <c r="C852" s="2"/>
      <c r="D852" s="2"/>
      <c r="E852" s="2"/>
      <c r="F852" s="2"/>
      <c r="G852" s="2"/>
      <c r="H852" s="2"/>
      <c r="I852" s="5"/>
    </row>
    <row r="853" spans="1:9" ht="17.399999999999999" x14ac:dyDescent="0.25">
      <c r="A853" s="16"/>
      <c r="B853" s="17"/>
      <c r="C853" s="2"/>
      <c r="D853" s="2"/>
      <c r="E853" s="2"/>
      <c r="F853" s="2"/>
      <c r="G853" s="2"/>
      <c r="H853" s="2"/>
      <c r="I853" s="5"/>
    </row>
    <row r="854" spans="1:9" ht="17.399999999999999" x14ac:dyDescent="0.25">
      <c r="A854" s="16"/>
      <c r="B854" s="17"/>
      <c r="C854" s="2"/>
      <c r="D854" s="2"/>
      <c r="E854" s="2"/>
      <c r="F854" s="2"/>
      <c r="G854" s="2"/>
      <c r="H854" s="2"/>
      <c r="I854" s="5"/>
    </row>
    <row r="855" spans="1:9" ht="17.399999999999999" x14ac:dyDescent="0.25">
      <c r="A855" s="16"/>
      <c r="B855" s="17"/>
      <c r="C855" s="2"/>
      <c r="D855" s="2"/>
      <c r="E855" s="2"/>
      <c r="F855" s="2"/>
      <c r="G855" s="2"/>
      <c r="H855" s="2"/>
      <c r="I855" s="5"/>
    </row>
    <row r="856" spans="1:9" ht="17.399999999999999" x14ac:dyDescent="0.25">
      <c r="A856" s="16"/>
      <c r="B856" s="17"/>
      <c r="C856" s="2"/>
      <c r="D856" s="2"/>
      <c r="E856" s="2"/>
      <c r="F856" s="2"/>
      <c r="G856" s="2"/>
      <c r="H856" s="2"/>
      <c r="I856" s="5"/>
    </row>
    <row r="857" spans="1:9" ht="17.399999999999999" x14ac:dyDescent="0.25">
      <c r="A857" s="16"/>
      <c r="B857" s="17"/>
      <c r="C857" s="2"/>
      <c r="D857" s="2"/>
      <c r="E857" s="2"/>
      <c r="F857" s="2"/>
      <c r="G857" s="2"/>
      <c r="H857" s="2"/>
      <c r="I857" s="5"/>
    </row>
    <row r="858" spans="1:9" ht="17.399999999999999" x14ac:dyDescent="0.25">
      <c r="A858" s="16"/>
      <c r="B858" s="17"/>
      <c r="C858" s="2"/>
      <c r="D858" s="2"/>
      <c r="E858" s="2"/>
      <c r="F858" s="2"/>
      <c r="G858" s="2"/>
      <c r="H858" s="2"/>
      <c r="I858" s="5"/>
    </row>
    <row r="859" spans="1:9" ht="17.399999999999999" x14ac:dyDescent="0.25">
      <c r="A859" s="16"/>
      <c r="B859" s="17"/>
      <c r="C859" s="2"/>
      <c r="D859" s="2"/>
      <c r="E859" s="2"/>
      <c r="F859" s="2"/>
      <c r="G859" s="2"/>
      <c r="H859" s="2"/>
      <c r="I859" s="5"/>
    </row>
    <row r="860" spans="1:9" ht="17.399999999999999" x14ac:dyDescent="0.25">
      <c r="A860" s="16"/>
      <c r="B860" s="17"/>
      <c r="C860" s="2"/>
      <c r="D860" s="2"/>
      <c r="E860" s="2"/>
      <c r="F860" s="2"/>
      <c r="G860" s="2"/>
      <c r="H860" s="2"/>
      <c r="I860" s="5"/>
    </row>
    <row r="861" spans="1:9" ht="17.399999999999999" x14ac:dyDescent="0.25">
      <c r="A861" s="16"/>
      <c r="B861" s="17"/>
      <c r="C861" s="2"/>
      <c r="D861" s="2"/>
      <c r="E861" s="2"/>
      <c r="F861" s="2"/>
      <c r="G861" s="2"/>
      <c r="H861" s="2"/>
      <c r="I861" s="5"/>
    </row>
    <row r="862" spans="1:9" ht="17.399999999999999" x14ac:dyDescent="0.25">
      <c r="A862" s="16"/>
      <c r="B862" s="17"/>
      <c r="C862" s="2"/>
      <c r="D862" s="2"/>
      <c r="E862" s="2"/>
      <c r="F862" s="2"/>
      <c r="G862" s="2"/>
      <c r="H862" s="2"/>
      <c r="I862" s="5"/>
    </row>
    <row r="863" spans="1:9" ht="17.399999999999999" x14ac:dyDescent="0.25">
      <c r="A863" s="16"/>
      <c r="B863" s="17"/>
      <c r="C863" s="2"/>
      <c r="D863" s="2"/>
      <c r="E863" s="2"/>
      <c r="F863" s="2"/>
      <c r="G863" s="2"/>
      <c r="H863" s="2"/>
      <c r="I863" s="5"/>
    </row>
    <row r="864" spans="1:9" ht="17.399999999999999" x14ac:dyDescent="0.25">
      <c r="A864" s="16"/>
      <c r="B864" s="17"/>
      <c r="C864" s="2"/>
      <c r="D864" s="2"/>
      <c r="E864" s="2"/>
      <c r="F864" s="2"/>
      <c r="G864" s="2"/>
      <c r="H864" s="2"/>
      <c r="I864" s="5"/>
    </row>
    <row r="865" spans="1:9" ht="17.399999999999999" x14ac:dyDescent="0.25">
      <c r="A865" s="16"/>
      <c r="B865" s="17"/>
      <c r="C865" s="2"/>
      <c r="D865" s="2"/>
      <c r="E865" s="2"/>
      <c r="F865" s="2"/>
      <c r="G865" s="2"/>
      <c r="H865" s="2"/>
      <c r="I865" s="5"/>
    </row>
    <row r="866" spans="1:9" ht="17.399999999999999" x14ac:dyDescent="0.25">
      <c r="A866" s="16"/>
      <c r="B866" s="17"/>
      <c r="C866" s="2"/>
      <c r="D866" s="2"/>
      <c r="E866" s="2"/>
      <c r="F866" s="2"/>
      <c r="G866" s="2"/>
      <c r="H866" s="2"/>
      <c r="I866" s="5"/>
    </row>
    <row r="867" spans="1:9" ht="17.399999999999999" x14ac:dyDescent="0.25">
      <c r="A867" s="16"/>
      <c r="B867" s="17"/>
      <c r="C867" s="2"/>
      <c r="D867" s="2"/>
      <c r="E867" s="2"/>
      <c r="F867" s="2"/>
      <c r="G867" s="2"/>
      <c r="H867" s="2"/>
      <c r="I867" s="5"/>
    </row>
    <row r="868" spans="1:9" ht="17.399999999999999" x14ac:dyDescent="0.25">
      <c r="A868" s="16"/>
      <c r="B868" s="17"/>
      <c r="C868" s="2"/>
      <c r="D868" s="2"/>
      <c r="E868" s="2"/>
      <c r="F868" s="2"/>
      <c r="G868" s="2"/>
      <c r="H868" s="2"/>
      <c r="I868" s="5"/>
    </row>
    <row r="869" spans="1:9" ht="17.399999999999999" x14ac:dyDescent="0.25">
      <c r="A869" s="16"/>
      <c r="B869" s="17"/>
      <c r="C869" s="2"/>
      <c r="D869" s="2"/>
      <c r="E869" s="2"/>
      <c r="F869" s="2"/>
      <c r="G869" s="2"/>
      <c r="H869" s="2"/>
      <c r="I869" s="5"/>
    </row>
    <row r="870" spans="1:9" ht="17.399999999999999" x14ac:dyDescent="0.25">
      <c r="A870" s="16"/>
      <c r="B870" s="17"/>
      <c r="C870" s="2"/>
      <c r="D870" s="2"/>
      <c r="E870" s="2"/>
      <c r="F870" s="2"/>
      <c r="G870" s="2"/>
      <c r="H870" s="2"/>
      <c r="I870" s="5"/>
    </row>
    <row r="871" spans="1:9" ht="17.399999999999999" x14ac:dyDescent="0.25">
      <c r="A871" s="16"/>
      <c r="B871" s="17"/>
      <c r="C871" s="2"/>
      <c r="D871" s="2"/>
      <c r="E871" s="2"/>
      <c r="F871" s="2"/>
      <c r="G871" s="2"/>
      <c r="H871" s="2"/>
      <c r="I871" s="5"/>
    </row>
    <row r="872" spans="1:9" ht="17.399999999999999" x14ac:dyDescent="0.25">
      <c r="A872" s="16"/>
      <c r="B872" s="17"/>
      <c r="C872" s="2"/>
      <c r="D872" s="2"/>
      <c r="E872" s="2"/>
      <c r="F872" s="2"/>
      <c r="G872" s="2"/>
      <c r="H872" s="2"/>
      <c r="I872" s="5"/>
    </row>
    <row r="873" spans="1:9" ht="17.399999999999999" x14ac:dyDescent="0.25">
      <c r="A873" s="16"/>
      <c r="B873" s="17"/>
      <c r="C873" s="2"/>
      <c r="D873" s="2"/>
      <c r="E873" s="2"/>
      <c r="F873" s="2"/>
      <c r="G873" s="2"/>
      <c r="H873" s="2"/>
      <c r="I873" s="5"/>
    </row>
    <row r="874" spans="1:9" ht="17.399999999999999" x14ac:dyDescent="0.25">
      <c r="A874" s="16"/>
      <c r="B874" s="17"/>
      <c r="C874" s="2"/>
      <c r="D874" s="2"/>
      <c r="E874" s="2"/>
      <c r="F874" s="2"/>
      <c r="G874" s="2"/>
      <c r="H874" s="2"/>
      <c r="I874" s="5"/>
    </row>
    <row r="875" spans="1:9" ht="17.399999999999999" x14ac:dyDescent="0.25">
      <c r="A875" s="16"/>
      <c r="B875" s="17"/>
      <c r="C875" s="2"/>
      <c r="D875" s="2"/>
      <c r="E875" s="2"/>
      <c r="F875" s="2"/>
      <c r="G875" s="2"/>
      <c r="H875" s="2"/>
      <c r="I875" s="5"/>
    </row>
    <row r="876" spans="1:9" ht="17.399999999999999" x14ac:dyDescent="0.25">
      <c r="A876" s="16"/>
      <c r="B876" s="17"/>
      <c r="C876" s="2"/>
      <c r="D876" s="2"/>
      <c r="E876" s="2"/>
      <c r="F876" s="2"/>
      <c r="G876" s="2"/>
      <c r="H876" s="2"/>
      <c r="I876" s="5"/>
    </row>
    <row r="877" spans="1:9" ht="17.399999999999999" x14ac:dyDescent="0.25">
      <c r="A877" s="16"/>
      <c r="B877" s="17"/>
      <c r="C877" s="2"/>
      <c r="D877" s="2"/>
      <c r="E877" s="2"/>
      <c r="F877" s="2"/>
      <c r="G877" s="2"/>
      <c r="H877" s="2"/>
      <c r="I877" s="5"/>
    </row>
    <row r="878" spans="1:9" ht="17.399999999999999" x14ac:dyDescent="0.25">
      <c r="A878" s="16"/>
      <c r="B878" s="17"/>
      <c r="C878" s="2"/>
      <c r="D878" s="2"/>
      <c r="E878" s="2"/>
      <c r="F878" s="2"/>
      <c r="G878" s="2"/>
      <c r="H878" s="2"/>
      <c r="I878" s="5"/>
    </row>
    <row r="879" spans="1:9" ht="17.399999999999999" x14ac:dyDescent="0.25">
      <c r="A879" s="16"/>
      <c r="B879" s="17"/>
      <c r="C879" s="2"/>
      <c r="D879" s="2"/>
      <c r="E879" s="2"/>
      <c r="F879" s="2"/>
      <c r="G879" s="2"/>
      <c r="H879" s="2"/>
      <c r="I879" s="5"/>
    </row>
    <row r="880" spans="1:9" ht="17.399999999999999" x14ac:dyDescent="0.25">
      <c r="A880" s="16"/>
      <c r="B880" s="17"/>
      <c r="C880" s="2"/>
      <c r="D880" s="2"/>
      <c r="E880" s="2"/>
      <c r="F880" s="2"/>
      <c r="G880" s="2"/>
      <c r="H880" s="2"/>
      <c r="I880" s="5"/>
    </row>
    <row r="881" spans="1:9" ht="17.399999999999999" x14ac:dyDescent="0.25">
      <c r="A881" s="16"/>
      <c r="B881" s="17"/>
      <c r="C881" s="2"/>
      <c r="D881" s="2"/>
      <c r="E881" s="2"/>
      <c r="F881" s="2"/>
      <c r="G881" s="2"/>
      <c r="H881" s="2"/>
      <c r="I881" s="5"/>
    </row>
    <row r="882" spans="1:9" ht="17.399999999999999" x14ac:dyDescent="0.25">
      <c r="A882" s="16"/>
      <c r="B882" s="17"/>
      <c r="C882" s="2"/>
      <c r="D882" s="2"/>
      <c r="E882" s="2"/>
      <c r="F882" s="2"/>
      <c r="G882" s="2"/>
      <c r="H882" s="2"/>
      <c r="I882" s="5"/>
    </row>
    <row r="883" spans="1:9" ht="17.399999999999999" x14ac:dyDescent="0.25">
      <c r="A883" s="16"/>
      <c r="B883" s="17"/>
      <c r="C883" s="2"/>
      <c r="D883" s="2"/>
      <c r="E883" s="2"/>
      <c r="F883" s="2"/>
      <c r="G883" s="2"/>
      <c r="H883" s="2"/>
      <c r="I883" s="5"/>
    </row>
    <row r="884" spans="1:9" ht="17.399999999999999" x14ac:dyDescent="0.25">
      <c r="A884" s="16"/>
      <c r="B884" s="17"/>
      <c r="C884" s="2"/>
      <c r="D884" s="2"/>
      <c r="E884" s="2"/>
      <c r="F884" s="2"/>
      <c r="G884" s="2"/>
      <c r="H884" s="2"/>
      <c r="I884" s="5"/>
    </row>
    <row r="885" spans="1:9" ht="17.399999999999999" x14ac:dyDescent="0.25">
      <c r="A885" s="16"/>
      <c r="B885" s="17"/>
      <c r="C885" s="2"/>
      <c r="D885" s="2"/>
      <c r="E885" s="2"/>
      <c r="F885" s="2"/>
      <c r="G885" s="2"/>
      <c r="H885" s="2"/>
      <c r="I885" s="5"/>
    </row>
    <row r="886" spans="1:9" ht="17.399999999999999" x14ac:dyDescent="0.25">
      <c r="A886" s="16"/>
      <c r="B886" s="17"/>
      <c r="C886" s="2"/>
      <c r="D886" s="2"/>
      <c r="E886" s="2"/>
      <c r="F886" s="2"/>
      <c r="G886" s="2"/>
      <c r="H886" s="2"/>
      <c r="I886" s="5"/>
    </row>
    <row r="887" spans="1:9" ht="17.399999999999999" x14ac:dyDescent="0.25">
      <c r="A887" s="16"/>
      <c r="B887" s="17"/>
      <c r="C887" s="2"/>
      <c r="D887" s="2"/>
      <c r="E887" s="2"/>
      <c r="F887" s="2"/>
      <c r="G887" s="2"/>
      <c r="H887" s="2"/>
      <c r="I887" s="5"/>
    </row>
    <row r="888" spans="1:9" ht="17.399999999999999" x14ac:dyDescent="0.25">
      <c r="A888" s="16"/>
      <c r="B888" s="17"/>
      <c r="C888" s="2"/>
      <c r="D888" s="2"/>
      <c r="E888" s="2"/>
      <c r="F888" s="2"/>
      <c r="G888" s="2"/>
      <c r="H888" s="2"/>
      <c r="I888" s="5"/>
    </row>
    <row r="889" spans="1:9" ht="17.399999999999999" x14ac:dyDescent="0.25">
      <c r="A889" s="16"/>
      <c r="B889" s="17"/>
      <c r="C889" s="2"/>
      <c r="D889" s="2"/>
      <c r="E889" s="2"/>
      <c r="F889" s="2"/>
      <c r="G889" s="2"/>
      <c r="H889" s="2"/>
      <c r="I889" s="5"/>
    </row>
    <row r="890" spans="1:9" ht="17.399999999999999" x14ac:dyDescent="0.25">
      <c r="A890" s="16"/>
      <c r="B890" s="17"/>
      <c r="C890" s="2"/>
      <c r="D890" s="2"/>
      <c r="E890" s="2"/>
      <c r="F890" s="2"/>
      <c r="G890" s="2"/>
      <c r="H890" s="2"/>
      <c r="I890" s="5"/>
    </row>
    <row r="891" spans="1:9" ht="17.399999999999999" x14ac:dyDescent="0.25">
      <c r="A891" s="16"/>
      <c r="B891" s="17"/>
      <c r="C891" s="2"/>
      <c r="D891" s="2"/>
      <c r="E891" s="2"/>
      <c r="F891" s="2"/>
      <c r="G891" s="2"/>
      <c r="H891" s="2"/>
      <c r="I891" s="5"/>
    </row>
    <row r="892" spans="1:9" ht="17.399999999999999" x14ac:dyDescent="0.25">
      <c r="A892" s="16"/>
      <c r="B892" s="17"/>
      <c r="C892" s="2"/>
      <c r="D892" s="2"/>
      <c r="E892" s="2"/>
      <c r="F892" s="2"/>
      <c r="G892" s="2"/>
      <c r="H892" s="2"/>
      <c r="I892" s="5"/>
    </row>
    <row r="893" spans="1:9" ht="17.399999999999999" x14ac:dyDescent="0.25">
      <c r="A893" s="16"/>
      <c r="B893" s="17"/>
      <c r="C893" s="2"/>
      <c r="D893" s="2"/>
      <c r="E893" s="2"/>
      <c r="F893" s="2"/>
      <c r="G893" s="2"/>
      <c r="H893" s="2"/>
      <c r="I893" s="5"/>
    </row>
    <row r="894" spans="1:9" ht="17.399999999999999" x14ac:dyDescent="0.25">
      <c r="A894" s="16"/>
      <c r="B894" s="17"/>
      <c r="C894" s="2"/>
      <c r="D894" s="2"/>
      <c r="E894" s="2"/>
      <c r="F894" s="2"/>
      <c r="G894" s="2"/>
      <c r="H894" s="2"/>
      <c r="I894" s="5"/>
    </row>
    <row r="895" spans="1:9" ht="17.399999999999999" x14ac:dyDescent="0.25">
      <c r="A895" s="16"/>
      <c r="B895" s="17"/>
      <c r="C895" s="2"/>
      <c r="D895" s="2"/>
      <c r="E895" s="2"/>
      <c r="F895" s="2"/>
      <c r="G895" s="2"/>
      <c r="H895" s="2"/>
      <c r="I895" s="5"/>
    </row>
    <row r="896" spans="1:9" ht="17.399999999999999" x14ac:dyDescent="0.25">
      <c r="A896" s="16"/>
      <c r="B896" s="17"/>
      <c r="C896" s="2"/>
      <c r="D896" s="2"/>
      <c r="E896" s="2"/>
      <c r="F896" s="2"/>
      <c r="G896" s="2"/>
      <c r="H896" s="2"/>
      <c r="I896" s="5"/>
    </row>
    <row r="897" spans="1:9" ht="17.399999999999999" x14ac:dyDescent="0.25">
      <c r="A897" s="16"/>
      <c r="B897" s="17"/>
      <c r="C897" s="2"/>
      <c r="D897" s="2"/>
      <c r="E897" s="2"/>
      <c r="F897" s="2"/>
      <c r="G897" s="2"/>
      <c r="H897" s="2"/>
      <c r="I897" s="5"/>
    </row>
    <row r="898" spans="1:9" ht="17.399999999999999" x14ac:dyDescent="0.25">
      <c r="A898" s="16"/>
      <c r="B898" s="17"/>
      <c r="C898" s="2"/>
      <c r="D898" s="2"/>
      <c r="E898" s="2"/>
      <c r="F898" s="2"/>
      <c r="G898" s="2"/>
      <c r="H898" s="2"/>
      <c r="I898" s="5"/>
    </row>
    <row r="899" spans="1:9" ht="17.399999999999999" x14ac:dyDescent="0.25">
      <c r="A899" s="16"/>
      <c r="B899" s="17"/>
      <c r="C899" s="2"/>
      <c r="D899" s="2"/>
      <c r="E899" s="2"/>
      <c r="F899" s="2"/>
      <c r="G899" s="2"/>
      <c r="H899" s="2"/>
      <c r="I899" s="5"/>
    </row>
    <row r="900" spans="1:9" ht="17.399999999999999" x14ac:dyDescent="0.25">
      <c r="A900" s="16"/>
      <c r="B900" s="17"/>
      <c r="C900" s="2"/>
      <c r="D900" s="2"/>
      <c r="E900" s="2"/>
      <c r="F900" s="2"/>
      <c r="G900" s="2"/>
      <c r="H900" s="2"/>
      <c r="I900" s="5"/>
    </row>
    <row r="901" spans="1:9" ht="17.399999999999999" x14ac:dyDescent="0.25">
      <c r="A901" s="16"/>
      <c r="B901" s="17"/>
      <c r="C901" s="2"/>
      <c r="D901" s="2"/>
      <c r="E901" s="2"/>
      <c r="F901" s="2"/>
      <c r="G901" s="2"/>
      <c r="H901" s="2"/>
      <c r="I901" s="5"/>
    </row>
    <row r="902" spans="1:9" ht="17.399999999999999" x14ac:dyDescent="0.25">
      <c r="A902" s="16"/>
      <c r="B902" s="17"/>
      <c r="C902" s="2"/>
      <c r="D902" s="2"/>
      <c r="E902" s="2"/>
      <c r="F902" s="2"/>
      <c r="G902" s="2"/>
      <c r="H902" s="2"/>
      <c r="I902" s="5"/>
    </row>
    <row r="903" spans="1:9" ht="17.399999999999999" x14ac:dyDescent="0.25">
      <c r="A903" s="16"/>
      <c r="B903" s="17"/>
      <c r="C903" s="2"/>
      <c r="D903" s="2"/>
      <c r="E903" s="2"/>
      <c r="F903" s="2"/>
      <c r="G903" s="2"/>
      <c r="H903" s="2"/>
      <c r="I903" s="5"/>
    </row>
    <row r="904" spans="1:9" ht="17.399999999999999" x14ac:dyDescent="0.25">
      <c r="A904" s="16"/>
      <c r="B904" s="17"/>
      <c r="C904" s="2"/>
      <c r="D904" s="2"/>
      <c r="E904" s="2"/>
      <c r="F904" s="2"/>
      <c r="G904" s="2"/>
      <c r="H904" s="2"/>
      <c r="I904" s="5"/>
    </row>
    <row r="905" spans="1:9" ht="17.399999999999999" x14ac:dyDescent="0.25">
      <c r="A905" s="16"/>
      <c r="B905" s="17"/>
      <c r="C905" s="2"/>
      <c r="D905" s="2"/>
      <c r="E905" s="2"/>
      <c r="F905" s="2"/>
      <c r="G905" s="2"/>
      <c r="H905" s="2"/>
      <c r="I905" s="5"/>
    </row>
    <row r="906" spans="1:9" ht="17.399999999999999" x14ac:dyDescent="0.25">
      <c r="A906" s="16"/>
      <c r="B906" s="17"/>
      <c r="C906" s="2"/>
      <c r="D906" s="2"/>
      <c r="E906" s="2"/>
      <c r="F906" s="2"/>
      <c r="G906" s="2"/>
      <c r="H906" s="2"/>
      <c r="I906" s="5"/>
    </row>
    <row r="907" spans="1:9" ht="17.399999999999999" x14ac:dyDescent="0.25">
      <c r="A907" s="16"/>
      <c r="B907" s="17"/>
      <c r="C907" s="2"/>
      <c r="D907" s="2"/>
      <c r="E907" s="2"/>
      <c r="F907" s="2"/>
      <c r="G907" s="2"/>
      <c r="H907" s="2"/>
      <c r="I907" s="5"/>
    </row>
    <row r="908" spans="1:9" ht="17.399999999999999" x14ac:dyDescent="0.25">
      <c r="A908" s="16"/>
      <c r="B908" s="17"/>
      <c r="C908" s="2"/>
      <c r="D908" s="2"/>
      <c r="E908" s="2"/>
      <c r="F908" s="2"/>
      <c r="G908" s="2"/>
      <c r="H908" s="2"/>
      <c r="I908" s="5"/>
    </row>
    <row r="909" spans="1:9" ht="17.399999999999999" x14ac:dyDescent="0.25">
      <c r="A909" s="16"/>
      <c r="B909" s="17"/>
      <c r="C909" s="2"/>
      <c r="D909" s="2"/>
      <c r="E909" s="2"/>
      <c r="F909" s="2"/>
      <c r="G909" s="2"/>
      <c r="H909" s="2"/>
      <c r="I909" s="5"/>
    </row>
    <row r="910" spans="1:9" ht="17.399999999999999" x14ac:dyDescent="0.25">
      <c r="A910" s="16"/>
      <c r="B910" s="17"/>
      <c r="C910" s="2"/>
      <c r="D910" s="2"/>
      <c r="E910" s="2"/>
      <c r="F910" s="2"/>
      <c r="G910" s="2"/>
      <c r="H910" s="2"/>
      <c r="I910" s="5"/>
    </row>
    <row r="911" spans="1:9" ht="17.399999999999999" x14ac:dyDescent="0.25">
      <c r="A911" s="16"/>
      <c r="B911" s="17"/>
      <c r="C911" s="2"/>
      <c r="D911" s="2"/>
      <c r="E911" s="2"/>
      <c r="F911" s="2"/>
      <c r="G911" s="2"/>
      <c r="H911" s="2"/>
      <c r="I911" s="5"/>
    </row>
    <row r="912" spans="1:9" ht="17.399999999999999" x14ac:dyDescent="0.25">
      <c r="A912" s="16"/>
      <c r="B912" s="17"/>
      <c r="C912" s="2"/>
      <c r="D912" s="2"/>
      <c r="E912" s="2"/>
      <c r="F912" s="2"/>
      <c r="G912" s="2"/>
      <c r="H912" s="2"/>
      <c r="I912" s="5"/>
    </row>
    <row r="913" spans="1:9" ht="17.399999999999999" x14ac:dyDescent="0.25">
      <c r="A913" s="16"/>
      <c r="B913" s="17"/>
      <c r="C913" s="2"/>
      <c r="D913" s="2"/>
      <c r="E913" s="2"/>
      <c r="F913" s="2"/>
      <c r="G913" s="2"/>
      <c r="H913" s="2"/>
      <c r="I913" s="5"/>
    </row>
    <row r="914" spans="1:9" ht="17.399999999999999" x14ac:dyDescent="0.25">
      <c r="A914" s="16"/>
      <c r="B914" s="17"/>
      <c r="C914" s="2"/>
      <c r="D914" s="2"/>
      <c r="E914" s="2"/>
      <c r="F914" s="2"/>
      <c r="G914" s="2"/>
      <c r="H914" s="2"/>
      <c r="I914" s="5"/>
    </row>
    <row r="915" spans="1:9" ht="17.399999999999999" x14ac:dyDescent="0.25">
      <c r="A915" s="16"/>
      <c r="B915" s="17"/>
      <c r="C915" s="2"/>
      <c r="D915" s="2"/>
      <c r="E915" s="2"/>
      <c r="F915" s="2"/>
      <c r="G915" s="2"/>
      <c r="H915" s="2"/>
      <c r="I915" s="5"/>
    </row>
    <row r="916" spans="1:9" ht="17.399999999999999" x14ac:dyDescent="0.25">
      <c r="A916" s="16"/>
      <c r="B916" s="17"/>
      <c r="C916" s="2"/>
      <c r="D916" s="2"/>
      <c r="E916" s="2"/>
      <c r="F916" s="2"/>
      <c r="G916" s="2"/>
      <c r="H916" s="2"/>
      <c r="I916" s="5"/>
    </row>
    <row r="917" spans="1:9" ht="17.399999999999999" x14ac:dyDescent="0.25">
      <c r="A917" s="16"/>
      <c r="B917" s="17"/>
      <c r="C917" s="2"/>
      <c r="D917" s="2"/>
      <c r="E917" s="2"/>
      <c r="F917" s="2"/>
      <c r="G917" s="2"/>
      <c r="H917" s="2"/>
      <c r="I917" s="5"/>
    </row>
    <row r="918" spans="1:9" ht="17.399999999999999" x14ac:dyDescent="0.25">
      <c r="A918" s="16"/>
      <c r="B918" s="17"/>
      <c r="C918" s="2"/>
      <c r="D918" s="2"/>
      <c r="E918" s="2"/>
      <c r="F918" s="2"/>
      <c r="G918" s="2"/>
      <c r="H918" s="2"/>
      <c r="I918" s="5"/>
    </row>
    <row r="919" spans="1:9" ht="17.399999999999999" x14ac:dyDescent="0.25">
      <c r="A919" s="16"/>
      <c r="B919" s="17"/>
      <c r="C919" s="2"/>
      <c r="D919" s="2"/>
      <c r="E919" s="2"/>
      <c r="F919" s="2"/>
      <c r="G919" s="2"/>
      <c r="H919" s="2"/>
      <c r="I919" s="5"/>
    </row>
    <row r="920" spans="1:9" ht="17.399999999999999" x14ac:dyDescent="0.25">
      <c r="A920" s="16"/>
      <c r="B920" s="17"/>
      <c r="C920" s="2"/>
      <c r="D920" s="2"/>
      <c r="E920" s="2"/>
      <c r="F920" s="2"/>
      <c r="G920" s="2"/>
      <c r="H920" s="2"/>
      <c r="I920" s="5"/>
    </row>
    <row r="921" spans="1:9" ht="17.399999999999999" x14ac:dyDescent="0.25">
      <c r="A921" s="16"/>
      <c r="B921" s="17"/>
      <c r="C921" s="2"/>
      <c r="D921" s="2"/>
      <c r="E921" s="2"/>
      <c r="F921" s="2"/>
      <c r="G921" s="2"/>
      <c r="H921" s="2"/>
      <c r="I921" s="5"/>
    </row>
    <row r="922" spans="1:9" ht="17.399999999999999" x14ac:dyDescent="0.25">
      <c r="A922" s="16"/>
      <c r="B922" s="17"/>
      <c r="C922" s="2"/>
      <c r="D922" s="2"/>
      <c r="E922" s="2"/>
      <c r="F922" s="2"/>
      <c r="G922" s="2"/>
      <c r="H922" s="2"/>
      <c r="I922" s="5"/>
    </row>
    <row r="923" spans="1:9" ht="17.399999999999999" x14ac:dyDescent="0.25">
      <c r="A923" s="16"/>
      <c r="B923" s="17"/>
      <c r="C923" s="2"/>
      <c r="D923" s="2"/>
      <c r="E923" s="2"/>
      <c r="F923" s="2"/>
      <c r="G923" s="2"/>
      <c r="H923" s="2"/>
      <c r="I923" s="5"/>
    </row>
    <row r="924" spans="1:9" ht="17.399999999999999" x14ac:dyDescent="0.25">
      <c r="A924" s="16"/>
      <c r="B924" s="17"/>
      <c r="C924" s="2"/>
      <c r="D924" s="2"/>
      <c r="E924" s="2"/>
      <c r="F924" s="2"/>
      <c r="G924" s="2"/>
      <c r="H924" s="2"/>
      <c r="I924" s="5"/>
    </row>
    <row r="925" spans="1:9" ht="17.399999999999999" x14ac:dyDescent="0.25">
      <c r="A925" s="16"/>
      <c r="B925" s="17"/>
      <c r="C925" s="2"/>
      <c r="D925" s="2"/>
      <c r="E925" s="2"/>
      <c r="F925" s="2"/>
      <c r="G925" s="2"/>
      <c r="H925" s="2"/>
      <c r="I925" s="5"/>
    </row>
    <row r="926" spans="1:9" ht="17.399999999999999" x14ac:dyDescent="0.25">
      <c r="A926" s="16"/>
      <c r="B926" s="17"/>
      <c r="C926" s="2"/>
      <c r="D926" s="2"/>
      <c r="E926" s="2"/>
      <c r="F926" s="2"/>
      <c r="G926" s="2"/>
      <c r="H926" s="2"/>
      <c r="I926" s="5"/>
    </row>
    <row r="927" spans="1:9" ht="17.399999999999999" x14ac:dyDescent="0.25">
      <c r="A927" s="16"/>
      <c r="B927" s="17"/>
      <c r="C927" s="2"/>
      <c r="D927" s="2"/>
      <c r="E927" s="2"/>
      <c r="F927" s="2"/>
      <c r="G927" s="2"/>
      <c r="H927" s="2"/>
      <c r="I927" s="5"/>
    </row>
    <row r="928" spans="1:9" ht="17.399999999999999" x14ac:dyDescent="0.25">
      <c r="A928" s="16"/>
      <c r="B928" s="17"/>
      <c r="C928" s="2"/>
      <c r="D928" s="2"/>
      <c r="E928" s="2"/>
      <c r="F928" s="2"/>
      <c r="G928" s="2"/>
      <c r="H928" s="2"/>
      <c r="I928" s="5"/>
    </row>
    <row r="929" spans="1:9" ht="17.399999999999999" x14ac:dyDescent="0.25">
      <c r="A929" s="16"/>
      <c r="B929" s="17"/>
      <c r="C929" s="2"/>
      <c r="D929" s="2"/>
      <c r="E929" s="2"/>
      <c r="F929" s="2"/>
      <c r="G929" s="2"/>
      <c r="H929" s="2"/>
      <c r="I929" s="5"/>
    </row>
    <row r="930" spans="1:9" ht="17.399999999999999" x14ac:dyDescent="0.25">
      <c r="A930" s="16"/>
      <c r="B930" s="17"/>
      <c r="C930" s="2"/>
      <c r="D930" s="2"/>
      <c r="E930" s="2"/>
      <c r="F930" s="2"/>
      <c r="G930" s="2"/>
      <c r="H930" s="2"/>
      <c r="I930" s="5"/>
    </row>
    <row r="931" spans="1:9" ht="17.399999999999999" x14ac:dyDescent="0.25">
      <c r="A931" s="16"/>
      <c r="B931" s="17"/>
      <c r="C931" s="2"/>
      <c r="D931" s="2"/>
      <c r="E931" s="2"/>
      <c r="F931" s="2"/>
      <c r="G931" s="2"/>
      <c r="H931" s="2"/>
      <c r="I931" s="5"/>
    </row>
    <row r="932" spans="1:9" ht="17.399999999999999" x14ac:dyDescent="0.25">
      <c r="A932" s="16"/>
      <c r="B932" s="17"/>
      <c r="C932" s="2"/>
      <c r="D932" s="2"/>
      <c r="E932" s="2"/>
      <c r="F932" s="2"/>
      <c r="G932" s="2"/>
      <c r="H932" s="2"/>
      <c r="I932" s="5"/>
    </row>
    <row r="933" spans="1:9" ht="17.399999999999999" x14ac:dyDescent="0.25">
      <c r="A933" s="16"/>
      <c r="B933" s="17"/>
      <c r="C933" s="2"/>
      <c r="D933" s="2"/>
      <c r="E933" s="2"/>
      <c r="F933" s="2"/>
      <c r="G933" s="2"/>
      <c r="H933" s="2"/>
      <c r="I933" s="5"/>
    </row>
    <row r="934" spans="1:9" ht="17.399999999999999" x14ac:dyDescent="0.25">
      <c r="A934" s="16"/>
      <c r="B934" s="17"/>
      <c r="C934" s="2"/>
      <c r="D934" s="2"/>
      <c r="E934" s="2"/>
      <c r="F934" s="2"/>
      <c r="G934" s="2"/>
      <c r="H934" s="2"/>
      <c r="I934" s="5"/>
    </row>
    <row r="935" spans="1:9" ht="17.399999999999999" x14ac:dyDescent="0.25">
      <c r="A935" s="16"/>
      <c r="B935" s="17"/>
      <c r="C935" s="2"/>
      <c r="D935" s="2"/>
      <c r="E935" s="2"/>
      <c r="F935" s="2"/>
      <c r="G935" s="2"/>
      <c r="H935" s="2"/>
      <c r="I935" s="5"/>
    </row>
    <row r="936" spans="1:9" ht="17.399999999999999" x14ac:dyDescent="0.25">
      <c r="A936" s="16"/>
      <c r="B936" s="17"/>
      <c r="C936" s="2"/>
      <c r="D936" s="2"/>
      <c r="E936" s="2"/>
      <c r="F936" s="2"/>
      <c r="G936" s="2"/>
      <c r="H936" s="2"/>
      <c r="I936" s="5"/>
    </row>
    <row r="937" spans="1:9" ht="17.399999999999999" x14ac:dyDescent="0.25">
      <c r="A937" s="16"/>
      <c r="B937" s="17"/>
      <c r="C937" s="2"/>
      <c r="D937" s="2"/>
      <c r="E937" s="2"/>
      <c r="F937" s="2"/>
      <c r="G937" s="2"/>
      <c r="H937" s="2"/>
      <c r="I937" s="5"/>
    </row>
    <row r="938" spans="1:9" ht="17.399999999999999" x14ac:dyDescent="0.25">
      <c r="A938" s="16"/>
      <c r="B938" s="17"/>
      <c r="C938" s="2"/>
      <c r="D938" s="2"/>
      <c r="E938" s="2"/>
      <c r="F938" s="2"/>
      <c r="G938" s="2"/>
      <c r="H938" s="2"/>
      <c r="I938" s="5"/>
    </row>
    <row r="939" spans="1:9" ht="17.399999999999999" x14ac:dyDescent="0.25">
      <c r="A939" s="16"/>
      <c r="B939" s="17"/>
      <c r="C939" s="2"/>
      <c r="D939" s="2"/>
      <c r="E939" s="2"/>
      <c r="F939" s="2"/>
      <c r="G939" s="2"/>
      <c r="H939" s="2"/>
      <c r="I939" s="5"/>
    </row>
    <row r="940" spans="1:9" ht="17.399999999999999" x14ac:dyDescent="0.25">
      <c r="A940" s="16"/>
      <c r="B940" s="17"/>
      <c r="C940" s="2"/>
      <c r="D940" s="2"/>
      <c r="E940" s="2"/>
      <c r="F940" s="2"/>
      <c r="G940" s="2"/>
      <c r="H940" s="2"/>
      <c r="I940" s="5"/>
    </row>
    <row r="941" spans="1:9" ht="17.399999999999999" x14ac:dyDescent="0.25">
      <c r="A941" s="16"/>
      <c r="B941" s="17"/>
      <c r="C941" s="2"/>
      <c r="D941" s="2"/>
      <c r="E941" s="2"/>
      <c r="F941" s="2"/>
      <c r="G941" s="2"/>
      <c r="H941" s="2"/>
      <c r="I941" s="5"/>
    </row>
    <row r="942" spans="1:9" ht="17.399999999999999" x14ac:dyDescent="0.25">
      <c r="A942" s="16"/>
      <c r="B942" s="17"/>
      <c r="C942" s="2"/>
      <c r="D942" s="2"/>
      <c r="E942" s="2"/>
      <c r="F942" s="2"/>
      <c r="G942" s="2"/>
      <c r="H942" s="2"/>
      <c r="I942" s="5"/>
    </row>
    <row r="943" spans="1:9" ht="17.399999999999999" x14ac:dyDescent="0.25">
      <c r="A943" s="16"/>
      <c r="B943" s="17"/>
      <c r="C943" s="2"/>
      <c r="D943" s="2"/>
      <c r="E943" s="2"/>
      <c r="F943" s="2"/>
      <c r="G943" s="2"/>
      <c r="H943" s="2"/>
      <c r="I943" s="5"/>
    </row>
    <row r="944" spans="1:9" ht="17.399999999999999" x14ac:dyDescent="0.25">
      <c r="A944" s="16"/>
      <c r="B944" s="17"/>
      <c r="C944" s="2"/>
      <c r="D944" s="2"/>
      <c r="E944" s="2"/>
      <c r="F944" s="2"/>
      <c r="G944" s="2"/>
      <c r="H944" s="2"/>
      <c r="I944" s="5"/>
    </row>
    <row r="945" spans="1:9" ht="17.399999999999999" x14ac:dyDescent="0.25">
      <c r="A945" s="16"/>
      <c r="B945" s="17"/>
      <c r="C945" s="2"/>
      <c r="D945" s="2"/>
      <c r="E945" s="2"/>
      <c r="F945" s="2"/>
      <c r="G945" s="2"/>
      <c r="H945" s="2"/>
      <c r="I945" s="5"/>
    </row>
    <row r="946" spans="1:9" ht="17.399999999999999" x14ac:dyDescent="0.25">
      <c r="A946" s="16"/>
      <c r="B946" s="17"/>
      <c r="C946" s="2"/>
      <c r="D946" s="2"/>
      <c r="E946" s="2"/>
      <c r="F946" s="2"/>
      <c r="G946" s="2"/>
      <c r="H946" s="2"/>
      <c r="I946" s="5"/>
    </row>
    <row r="947" spans="1:9" ht="17.399999999999999" x14ac:dyDescent="0.25">
      <c r="A947" s="16"/>
      <c r="B947" s="17"/>
      <c r="C947" s="2"/>
      <c r="D947" s="2"/>
      <c r="E947" s="2"/>
      <c r="F947" s="2"/>
      <c r="G947" s="2"/>
      <c r="H947" s="2"/>
      <c r="I947" s="5"/>
    </row>
    <row r="948" spans="1:9" ht="17.399999999999999" x14ac:dyDescent="0.25">
      <c r="A948" s="16"/>
      <c r="B948" s="17"/>
      <c r="C948" s="2"/>
      <c r="D948" s="2"/>
      <c r="E948" s="2"/>
      <c r="F948" s="2"/>
      <c r="G948" s="2"/>
      <c r="H948" s="2"/>
      <c r="I948" s="5"/>
    </row>
    <row r="949" spans="1:9" ht="17.399999999999999" x14ac:dyDescent="0.25">
      <c r="A949" s="16"/>
      <c r="B949" s="17"/>
      <c r="C949" s="2"/>
      <c r="D949" s="2"/>
      <c r="E949" s="2"/>
      <c r="F949" s="2"/>
      <c r="G949" s="2"/>
      <c r="H949" s="2"/>
      <c r="I949" s="5"/>
    </row>
    <row r="950" spans="1:9" ht="17.399999999999999" x14ac:dyDescent="0.25">
      <c r="A950" s="16"/>
      <c r="B950" s="17"/>
      <c r="C950" s="2"/>
      <c r="D950" s="2"/>
      <c r="E950" s="2"/>
      <c r="F950" s="2"/>
      <c r="G950" s="2"/>
      <c r="H950" s="2"/>
      <c r="I950" s="5"/>
    </row>
    <row r="951" spans="1:9" ht="17.399999999999999" x14ac:dyDescent="0.25">
      <c r="A951" s="16"/>
      <c r="B951" s="17"/>
      <c r="C951" s="2"/>
      <c r="D951" s="2"/>
      <c r="E951" s="2"/>
      <c r="F951" s="2"/>
      <c r="G951" s="2"/>
      <c r="H951" s="2"/>
      <c r="I951" s="5"/>
    </row>
    <row r="952" spans="1:9" ht="17.399999999999999" x14ac:dyDescent="0.25">
      <c r="A952" s="16"/>
      <c r="B952" s="17"/>
      <c r="C952" s="2"/>
      <c r="D952" s="2"/>
      <c r="E952" s="2"/>
      <c r="F952" s="2"/>
      <c r="G952" s="2"/>
      <c r="H952" s="2"/>
      <c r="I952" s="5"/>
    </row>
    <row r="953" spans="1:9" ht="17.399999999999999" x14ac:dyDescent="0.25">
      <c r="A953" s="16"/>
      <c r="B953" s="17"/>
      <c r="C953" s="2"/>
      <c r="D953" s="2"/>
      <c r="E953" s="2"/>
      <c r="F953" s="2"/>
      <c r="G953" s="2"/>
      <c r="H953" s="2"/>
      <c r="I953" s="5"/>
    </row>
    <row r="954" spans="1:9" ht="17.399999999999999" x14ac:dyDescent="0.25">
      <c r="A954" s="16"/>
      <c r="B954" s="17"/>
      <c r="C954" s="2"/>
      <c r="D954" s="2"/>
      <c r="E954" s="2"/>
      <c r="F954" s="2"/>
      <c r="G954" s="2"/>
      <c r="H954" s="2"/>
      <c r="I954" s="5"/>
    </row>
    <row r="955" spans="1:9" ht="17.399999999999999" x14ac:dyDescent="0.25">
      <c r="A955" s="16"/>
      <c r="B955" s="17"/>
      <c r="C955" s="2"/>
      <c r="D955" s="2"/>
      <c r="E955" s="2"/>
      <c r="F955" s="2"/>
      <c r="G955" s="2"/>
      <c r="H955" s="2"/>
      <c r="I955" s="5"/>
    </row>
    <row r="956" spans="1:9" ht="17.399999999999999" x14ac:dyDescent="0.25">
      <c r="A956" s="16"/>
      <c r="B956" s="17"/>
      <c r="C956" s="2"/>
      <c r="D956" s="2"/>
      <c r="E956" s="2"/>
      <c r="F956" s="2"/>
      <c r="G956" s="2"/>
      <c r="H956" s="2"/>
      <c r="I956" s="5"/>
    </row>
    <row r="957" spans="1:9" ht="17.399999999999999" x14ac:dyDescent="0.25">
      <c r="A957" s="16"/>
      <c r="B957" s="17"/>
      <c r="C957" s="2"/>
      <c r="D957" s="2"/>
      <c r="E957" s="2"/>
      <c r="F957" s="2"/>
      <c r="G957" s="2"/>
      <c r="H957" s="2"/>
      <c r="I957" s="5"/>
    </row>
    <row r="958" spans="1:9" ht="17.399999999999999" x14ac:dyDescent="0.25">
      <c r="A958" s="16"/>
      <c r="B958" s="17"/>
      <c r="C958" s="2"/>
      <c r="D958" s="2"/>
      <c r="E958" s="2"/>
      <c r="F958" s="2"/>
      <c r="G958" s="2"/>
      <c r="H958" s="2"/>
      <c r="I958" s="5"/>
    </row>
    <row r="959" spans="1:9" ht="17.399999999999999" x14ac:dyDescent="0.25">
      <c r="A959" s="16"/>
      <c r="B959" s="17"/>
      <c r="C959" s="2"/>
      <c r="D959" s="2"/>
      <c r="E959" s="2"/>
      <c r="F959" s="2"/>
      <c r="G959" s="2"/>
      <c r="H959" s="2"/>
      <c r="I959" s="5"/>
    </row>
    <row r="960" spans="1:9" ht="17.399999999999999" x14ac:dyDescent="0.25">
      <c r="A960" s="16"/>
      <c r="B960" s="17"/>
      <c r="C960" s="2"/>
      <c r="D960" s="2"/>
      <c r="E960" s="2"/>
      <c r="F960" s="2"/>
      <c r="G960" s="2"/>
      <c r="H960" s="2"/>
      <c r="I960" s="5"/>
    </row>
    <row r="961" spans="1:9" ht="17.399999999999999" x14ac:dyDescent="0.25">
      <c r="A961" s="16"/>
      <c r="B961" s="17"/>
      <c r="C961" s="2"/>
      <c r="D961" s="2"/>
      <c r="E961" s="2"/>
      <c r="F961" s="2"/>
      <c r="G961" s="2"/>
      <c r="H961" s="2"/>
      <c r="I961" s="5"/>
    </row>
    <row r="962" spans="1:9" ht="17.399999999999999" x14ac:dyDescent="0.25">
      <c r="A962" s="16"/>
      <c r="B962" s="17"/>
      <c r="C962" s="2"/>
      <c r="D962" s="2"/>
      <c r="E962" s="2"/>
      <c r="F962" s="2"/>
      <c r="G962" s="2"/>
      <c r="H962" s="2"/>
      <c r="I962" s="5"/>
    </row>
    <row r="963" spans="1:9" ht="17.399999999999999" x14ac:dyDescent="0.25">
      <c r="A963" s="16"/>
      <c r="B963" s="17"/>
      <c r="C963" s="2"/>
      <c r="D963" s="2"/>
      <c r="E963" s="2"/>
      <c r="F963" s="2"/>
      <c r="G963" s="2"/>
      <c r="H963" s="2"/>
      <c r="I963" s="5"/>
    </row>
    <row r="964" spans="1:9" ht="17.399999999999999" x14ac:dyDescent="0.25">
      <c r="A964" s="16"/>
      <c r="B964" s="17"/>
      <c r="C964" s="2"/>
      <c r="D964" s="2"/>
      <c r="E964" s="2"/>
      <c r="F964" s="2"/>
      <c r="G964" s="2"/>
      <c r="H964" s="2"/>
      <c r="I964" s="5"/>
    </row>
    <row r="965" spans="1:9" ht="17.399999999999999" x14ac:dyDescent="0.25">
      <c r="A965" s="16"/>
      <c r="B965" s="17"/>
      <c r="C965" s="2"/>
      <c r="D965" s="2"/>
      <c r="E965" s="2"/>
      <c r="F965" s="2"/>
      <c r="G965" s="2"/>
      <c r="H965" s="2"/>
      <c r="I965" s="5"/>
    </row>
    <row r="966" spans="1:9" ht="17.399999999999999" x14ac:dyDescent="0.25">
      <c r="A966" s="16"/>
      <c r="B966" s="17"/>
      <c r="C966" s="2"/>
      <c r="D966" s="2"/>
      <c r="E966" s="2"/>
      <c r="F966" s="2"/>
      <c r="G966" s="2"/>
      <c r="H966" s="2"/>
      <c r="I966" s="5"/>
    </row>
    <row r="967" spans="1:9" ht="17.399999999999999" x14ac:dyDescent="0.25">
      <c r="A967" s="16"/>
      <c r="B967" s="17"/>
      <c r="C967" s="2"/>
      <c r="D967" s="2"/>
      <c r="E967" s="2"/>
      <c r="F967" s="2"/>
      <c r="G967" s="2"/>
      <c r="H967" s="2"/>
      <c r="I967" s="5"/>
    </row>
    <row r="968" spans="1:9" ht="17.399999999999999" x14ac:dyDescent="0.25">
      <c r="A968" s="16"/>
      <c r="B968" s="17"/>
      <c r="C968" s="2"/>
      <c r="D968" s="2"/>
      <c r="E968" s="2"/>
      <c r="F968" s="2"/>
      <c r="G968" s="2"/>
      <c r="H968" s="2"/>
      <c r="I968" s="5"/>
    </row>
    <row r="969" spans="1:9" ht="17.399999999999999" x14ac:dyDescent="0.25">
      <c r="A969" s="16"/>
      <c r="B969" s="17"/>
      <c r="C969" s="2"/>
      <c r="D969" s="2"/>
      <c r="E969" s="2"/>
      <c r="F969" s="2"/>
      <c r="G969" s="2"/>
      <c r="H969" s="2"/>
      <c r="I969" s="5"/>
    </row>
    <row r="970" spans="1:9" ht="17.399999999999999" x14ac:dyDescent="0.25">
      <c r="A970" s="16"/>
      <c r="B970" s="17"/>
      <c r="C970" s="2"/>
      <c r="D970" s="2"/>
      <c r="E970" s="2"/>
      <c r="F970" s="2"/>
      <c r="G970" s="2"/>
      <c r="H970" s="2"/>
      <c r="I970" s="5"/>
    </row>
    <row r="971" spans="1:9" ht="17.399999999999999" x14ac:dyDescent="0.25">
      <c r="A971" s="16"/>
      <c r="B971" s="17"/>
      <c r="C971" s="2"/>
      <c r="D971" s="2"/>
      <c r="E971" s="2"/>
      <c r="F971" s="2"/>
      <c r="G971" s="2"/>
      <c r="H971" s="2"/>
      <c r="I971" s="5"/>
    </row>
    <row r="972" spans="1:9" ht="17.399999999999999" x14ac:dyDescent="0.25">
      <c r="A972" s="16"/>
      <c r="B972" s="17"/>
      <c r="C972" s="2"/>
      <c r="D972" s="2"/>
      <c r="E972" s="2"/>
      <c r="F972" s="2"/>
      <c r="G972" s="2"/>
      <c r="H972" s="2"/>
      <c r="I972" s="5"/>
    </row>
    <row r="973" spans="1:9" ht="17.399999999999999" x14ac:dyDescent="0.25">
      <c r="A973" s="16"/>
      <c r="B973" s="17"/>
      <c r="C973" s="2"/>
      <c r="D973" s="2"/>
      <c r="E973" s="2"/>
      <c r="F973" s="2"/>
      <c r="G973" s="2"/>
      <c r="H973" s="2"/>
      <c r="I973" s="5"/>
    </row>
    <row r="974" spans="1:9" ht="17.399999999999999" x14ac:dyDescent="0.25">
      <c r="A974" s="16"/>
      <c r="B974" s="17"/>
      <c r="C974" s="2"/>
      <c r="D974" s="2"/>
      <c r="E974" s="2"/>
      <c r="F974" s="2"/>
      <c r="G974" s="2"/>
      <c r="H974" s="2"/>
      <c r="I974" s="5"/>
    </row>
    <row r="975" spans="1:9" ht="17.399999999999999" x14ac:dyDescent="0.25">
      <c r="A975" s="16"/>
      <c r="B975" s="17"/>
      <c r="C975" s="2"/>
      <c r="D975" s="2"/>
      <c r="E975" s="2"/>
      <c r="F975" s="2"/>
      <c r="G975" s="2"/>
      <c r="H975" s="2"/>
      <c r="I975" s="5"/>
    </row>
    <row r="976" spans="1:9" ht="17.399999999999999" x14ac:dyDescent="0.25">
      <c r="A976" s="16"/>
      <c r="B976" s="17"/>
      <c r="C976" s="2"/>
      <c r="D976" s="2"/>
      <c r="E976" s="2"/>
      <c r="F976" s="2"/>
      <c r="G976" s="2"/>
      <c r="H976" s="2"/>
      <c r="I976" s="5"/>
    </row>
    <row r="977" spans="1:9" ht="17.399999999999999" x14ac:dyDescent="0.25">
      <c r="A977" s="16"/>
      <c r="B977" s="17"/>
      <c r="C977" s="2"/>
      <c r="D977" s="2"/>
      <c r="E977" s="2"/>
      <c r="F977" s="2"/>
      <c r="G977" s="2"/>
      <c r="H977" s="2"/>
      <c r="I977" s="5"/>
    </row>
    <row r="978" spans="1:9" ht="17.399999999999999" x14ac:dyDescent="0.25">
      <c r="A978" s="16"/>
      <c r="B978" s="17"/>
      <c r="C978" s="2"/>
      <c r="D978" s="2"/>
      <c r="E978" s="2"/>
      <c r="F978" s="2"/>
      <c r="G978" s="2"/>
      <c r="H978" s="2"/>
      <c r="I978" s="5"/>
    </row>
    <row r="979" spans="1:9" ht="17.399999999999999" x14ac:dyDescent="0.25">
      <c r="A979" s="16"/>
      <c r="B979" s="17"/>
      <c r="C979" s="2"/>
      <c r="D979" s="2"/>
      <c r="E979" s="2"/>
      <c r="F979" s="2"/>
      <c r="G979" s="2"/>
      <c r="H979" s="2"/>
      <c r="I979" s="5"/>
    </row>
    <row r="980" spans="1:9" ht="17.399999999999999" x14ac:dyDescent="0.25">
      <c r="A980" s="16"/>
      <c r="B980" s="17"/>
      <c r="C980" s="2"/>
      <c r="D980" s="2"/>
      <c r="E980" s="2"/>
      <c r="F980" s="2"/>
      <c r="G980" s="2"/>
      <c r="H980" s="2"/>
      <c r="I980" s="5"/>
    </row>
    <row r="981" spans="1:9" ht="17.399999999999999" x14ac:dyDescent="0.25">
      <c r="A981" s="16"/>
      <c r="B981" s="17"/>
      <c r="C981" s="2"/>
      <c r="D981" s="2"/>
      <c r="E981" s="2"/>
      <c r="F981" s="2"/>
      <c r="G981" s="2"/>
      <c r="H981" s="2"/>
      <c r="I981" s="5"/>
    </row>
    <row r="982" spans="1:9" ht="17.399999999999999" x14ac:dyDescent="0.25">
      <c r="A982" s="16"/>
      <c r="B982" s="17"/>
      <c r="C982" s="2"/>
      <c r="D982" s="2"/>
      <c r="E982" s="2"/>
      <c r="F982" s="2"/>
      <c r="G982" s="2"/>
      <c r="H982" s="2"/>
      <c r="I982" s="5"/>
    </row>
    <row r="983" spans="1:9" ht="17.399999999999999" x14ac:dyDescent="0.25">
      <c r="A983" s="16"/>
      <c r="B983" s="17"/>
      <c r="C983" s="2"/>
      <c r="D983" s="2"/>
      <c r="E983" s="2"/>
      <c r="F983" s="2"/>
      <c r="G983" s="2"/>
      <c r="H983" s="2"/>
      <c r="I983" s="5"/>
    </row>
    <row r="984" spans="1:9" ht="17.399999999999999" x14ac:dyDescent="0.25">
      <c r="A984" s="16"/>
      <c r="B984" s="17"/>
      <c r="C984" s="2"/>
      <c r="D984" s="2"/>
      <c r="E984" s="2"/>
      <c r="F984" s="2"/>
      <c r="G984" s="2"/>
      <c r="H984" s="2"/>
      <c r="I984" s="5"/>
    </row>
    <row r="985" spans="1:9" ht="17.399999999999999" x14ac:dyDescent="0.25">
      <c r="A985" s="16"/>
      <c r="B985" s="17"/>
      <c r="C985" s="2"/>
      <c r="D985" s="2"/>
      <c r="E985" s="2"/>
      <c r="F985" s="2"/>
      <c r="G985" s="2"/>
      <c r="H985" s="2"/>
      <c r="I985" s="5"/>
    </row>
    <row r="986" spans="1:9" ht="17.399999999999999" x14ac:dyDescent="0.25">
      <c r="A986" s="16"/>
      <c r="B986" s="17"/>
      <c r="C986" s="2"/>
      <c r="D986" s="2"/>
      <c r="E986" s="2"/>
      <c r="F986" s="2"/>
      <c r="G986" s="2"/>
      <c r="H986" s="2"/>
      <c r="I986" s="5"/>
    </row>
    <row r="987" spans="1:9" ht="17.399999999999999" x14ac:dyDescent="0.25">
      <c r="A987" s="16"/>
      <c r="B987" s="17"/>
      <c r="C987" s="2"/>
      <c r="D987" s="2"/>
      <c r="E987" s="2"/>
      <c r="F987" s="2"/>
      <c r="G987" s="2"/>
      <c r="H987" s="2"/>
      <c r="I987" s="5"/>
    </row>
    <row r="988" spans="1:9" ht="17.399999999999999" x14ac:dyDescent="0.25">
      <c r="A988" s="16"/>
      <c r="B988" s="17"/>
      <c r="C988" s="2"/>
      <c r="D988" s="2"/>
      <c r="E988" s="2"/>
      <c r="F988" s="2"/>
      <c r="G988" s="2"/>
      <c r="H988" s="2"/>
      <c r="I988" s="5"/>
    </row>
    <row r="989" spans="1:9" ht="17.399999999999999" x14ac:dyDescent="0.25">
      <c r="A989" s="16"/>
      <c r="B989" s="17"/>
      <c r="C989" s="2"/>
      <c r="D989" s="2"/>
      <c r="E989" s="2"/>
      <c r="F989" s="2"/>
      <c r="G989" s="2"/>
      <c r="H989" s="2"/>
      <c r="I989" s="5"/>
    </row>
    <row r="990" spans="1:9" ht="17.399999999999999" x14ac:dyDescent="0.25">
      <c r="A990" s="16"/>
      <c r="B990" s="17"/>
      <c r="C990" s="2"/>
      <c r="D990" s="2"/>
      <c r="E990" s="2"/>
      <c r="F990" s="2"/>
      <c r="G990" s="2"/>
      <c r="H990" s="2"/>
      <c r="I990" s="5"/>
    </row>
    <row r="991" spans="1:9" ht="17.399999999999999" x14ac:dyDescent="0.25">
      <c r="A991" s="16"/>
      <c r="B991" s="17"/>
      <c r="C991" s="2"/>
      <c r="D991" s="2"/>
      <c r="E991" s="2"/>
      <c r="F991" s="2"/>
      <c r="G991" s="2"/>
      <c r="H991" s="2"/>
      <c r="I991" s="5"/>
    </row>
    <row r="992" spans="1:9" ht="17.399999999999999" x14ac:dyDescent="0.25">
      <c r="A992" s="16"/>
      <c r="B992" s="17"/>
      <c r="C992" s="2"/>
      <c r="D992" s="2"/>
      <c r="E992" s="2"/>
      <c r="F992" s="2"/>
      <c r="G992" s="2"/>
      <c r="H992" s="2"/>
      <c r="I992" s="5"/>
    </row>
    <row r="993" spans="1:9" ht="17.399999999999999" x14ac:dyDescent="0.25">
      <c r="A993" s="16"/>
      <c r="B993" s="17"/>
      <c r="C993" s="2"/>
      <c r="D993" s="2"/>
      <c r="E993" s="2"/>
      <c r="F993" s="2"/>
      <c r="G993" s="2"/>
      <c r="H993" s="2"/>
      <c r="I993" s="5"/>
    </row>
    <row r="994" spans="1:9" ht="17.399999999999999" x14ac:dyDescent="0.25">
      <c r="A994" s="16"/>
      <c r="B994" s="17"/>
      <c r="C994" s="2"/>
      <c r="D994" s="2"/>
      <c r="E994" s="2"/>
      <c r="F994" s="2"/>
      <c r="G994" s="2"/>
      <c r="H994" s="2"/>
      <c r="I994" s="5"/>
    </row>
    <row r="995" spans="1:9" ht="17.399999999999999" x14ac:dyDescent="0.25">
      <c r="A995" s="16"/>
      <c r="B995" s="17"/>
      <c r="C995" s="2"/>
      <c r="D995" s="2"/>
      <c r="E995" s="2"/>
      <c r="F995" s="2"/>
      <c r="G995" s="2"/>
      <c r="H995" s="2"/>
      <c r="I995" s="5"/>
    </row>
    <row r="996" spans="1:9" ht="17.399999999999999" x14ac:dyDescent="0.25">
      <c r="A996" s="16"/>
      <c r="B996" s="17"/>
      <c r="C996" s="2"/>
      <c r="D996" s="2"/>
      <c r="E996" s="2"/>
      <c r="F996" s="2"/>
      <c r="G996" s="2"/>
      <c r="H996" s="2"/>
      <c r="I996" s="5"/>
    </row>
    <row r="997" spans="1:9" ht="17.399999999999999" x14ac:dyDescent="0.25">
      <c r="A997" s="16"/>
      <c r="B997" s="17"/>
      <c r="C997" s="2"/>
      <c r="D997" s="2"/>
      <c r="E997" s="2"/>
      <c r="F997" s="2"/>
      <c r="G997" s="2"/>
      <c r="H997" s="2"/>
      <c r="I997" s="5"/>
    </row>
    <row r="998" spans="1:9" ht="17.399999999999999" x14ac:dyDescent="0.25">
      <c r="A998" s="16"/>
      <c r="B998" s="17"/>
      <c r="C998" s="2"/>
      <c r="D998" s="2"/>
      <c r="E998" s="2"/>
      <c r="F998" s="2"/>
      <c r="G998" s="2"/>
      <c r="H998" s="2"/>
      <c r="I998" s="5"/>
    </row>
    <row r="999" spans="1:9" ht="17.399999999999999" x14ac:dyDescent="0.25">
      <c r="A999" s="16"/>
      <c r="B999" s="17"/>
      <c r="C999" s="2"/>
      <c r="D999" s="2"/>
      <c r="E999" s="2"/>
      <c r="F999" s="2"/>
      <c r="G999" s="2"/>
      <c r="H999" s="2"/>
      <c r="I999" s="5"/>
    </row>
    <row r="1000" spans="1:9" ht="17.399999999999999" x14ac:dyDescent="0.25">
      <c r="A1000" s="16"/>
      <c r="B1000" s="17"/>
      <c r="C1000" s="2"/>
      <c r="D1000" s="2"/>
      <c r="E1000" s="2"/>
      <c r="F1000" s="2"/>
      <c r="G1000" s="2"/>
      <c r="H1000" s="2"/>
      <c r="I1000" s="5"/>
    </row>
    <row r="1001" spans="1:9" ht="17.399999999999999" x14ac:dyDescent="0.25">
      <c r="A1001" s="16"/>
      <c r="B1001" s="17"/>
      <c r="C1001" s="2"/>
      <c r="D1001" s="2"/>
      <c r="E1001" s="2"/>
      <c r="F1001" s="2"/>
      <c r="G1001" s="2"/>
      <c r="H1001" s="2"/>
      <c r="I1001" s="5"/>
    </row>
    <row r="1002" spans="1:9" ht="17.399999999999999" x14ac:dyDescent="0.25">
      <c r="A1002" s="16"/>
      <c r="B1002" s="17"/>
      <c r="C1002" s="2"/>
      <c r="D1002" s="2"/>
      <c r="E1002" s="2"/>
      <c r="F1002" s="2"/>
      <c r="G1002" s="2"/>
      <c r="H1002" s="2"/>
      <c r="I1002" s="5"/>
    </row>
    <row r="1003" spans="1:9" ht="17.399999999999999" x14ac:dyDescent="0.25">
      <c r="A1003" s="16"/>
      <c r="B1003" s="17"/>
      <c r="C1003" s="2"/>
      <c r="D1003" s="2"/>
      <c r="E1003" s="2"/>
      <c r="F1003" s="2"/>
      <c r="G1003" s="2"/>
      <c r="H1003" s="2"/>
      <c r="I1003" s="5"/>
    </row>
    <row r="1004" spans="1:9" ht="17.399999999999999" x14ac:dyDescent="0.25">
      <c r="A1004" s="16"/>
      <c r="B1004" s="17"/>
      <c r="C1004" s="2"/>
      <c r="D1004" s="2"/>
      <c r="E1004" s="2"/>
      <c r="F1004" s="2"/>
      <c r="G1004" s="2"/>
      <c r="H1004" s="2"/>
      <c r="I1004" s="5"/>
    </row>
    <row r="1005" spans="1:9" ht="17.399999999999999" x14ac:dyDescent="0.25">
      <c r="A1005" s="16"/>
      <c r="B1005" s="17"/>
      <c r="C1005" s="2"/>
      <c r="D1005" s="2"/>
      <c r="E1005" s="2"/>
      <c r="F1005" s="2"/>
      <c r="G1005" s="2"/>
      <c r="H1005" s="2"/>
      <c r="I1005" s="5"/>
    </row>
    <row r="1006" spans="1:9" ht="17.399999999999999" x14ac:dyDescent="0.25">
      <c r="A1006" s="16"/>
      <c r="B1006" s="17"/>
      <c r="C1006" s="2"/>
      <c r="D1006" s="2"/>
      <c r="E1006" s="2"/>
      <c r="F1006" s="2"/>
      <c r="G1006" s="2"/>
      <c r="H1006" s="2"/>
      <c r="I1006" s="5"/>
    </row>
    <row r="1007" spans="1:9" ht="17.399999999999999" x14ac:dyDescent="0.25">
      <c r="A1007" s="16"/>
      <c r="B1007" s="17"/>
      <c r="C1007" s="2"/>
      <c r="D1007" s="2"/>
      <c r="E1007" s="2"/>
      <c r="F1007" s="2"/>
      <c r="G1007" s="2"/>
      <c r="H1007" s="2"/>
      <c r="I1007" s="5"/>
    </row>
    <row r="1008" spans="1:9" ht="17.399999999999999" x14ac:dyDescent="0.25">
      <c r="A1008" s="16"/>
      <c r="B1008" s="17"/>
      <c r="C1008" s="2"/>
      <c r="D1008" s="2"/>
      <c r="E1008" s="2"/>
      <c r="F1008" s="2"/>
      <c r="G1008" s="2"/>
      <c r="H1008" s="2"/>
      <c r="I1008" s="5"/>
    </row>
    <row r="1009" spans="1:9" ht="17.399999999999999" x14ac:dyDescent="0.25">
      <c r="A1009" s="16"/>
      <c r="B1009" s="17"/>
      <c r="C1009" s="2"/>
      <c r="D1009" s="2"/>
      <c r="E1009" s="2"/>
      <c r="F1009" s="2"/>
      <c r="G1009" s="2"/>
      <c r="H1009" s="2"/>
      <c r="I1009" s="5"/>
    </row>
    <row r="1010" spans="1:9" ht="17.399999999999999" x14ac:dyDescent="0.25">
      <c r="A1010" s="16"/>
      <c r="B1010" s="17"/>
      <c r="C1010" s="2"/>
      <c r="D1010" s="2"/>
      <c r="E1010" s="2"/>
      <c r="F1010" s="2"/>
      <c r="G1010" s="2"/>
      <c r="H1010" s="2"/>
      <c r="I1010" s="5"/>
    </row>
    <row r="1011" spans="1:9" ht="17.399999999999999" x14ac:dyDescent="0.25">
      <c r="A1011" s="16"/>
      <c r="B1011" s="17"/>
      <c r="C1011" s="2"/>
      <c r="D1011" s="2"/>
      <c r="E1011" s="2"/>
      <c r="F1011" s="2"/>
      <c r="G1011" s="2"/>
      <c r="H1011" s="2"/>
      <c r="I1011" s="5"/>
    </row>
    <row r="1012" spans="1:9" ht="17.399999999999999" x14ac:dyDescent="0.25">
      <c r="A1012" s="16"/>
      <c r="B1012" s="17"/>
      <c r="C1012" s="2"/>
      <c r="D1012" s="2"/>
      <c r="E1012" s="2"/>
      <c r="F1012" s="2"/>
      <c r="G1012" s="2"/>
      <c r="H1012" s="2"/>
      <c r="I1012" s="5"/>
    </row>
    <row r="1013" spans="1:9" ht="17.399999999999999" x14ac:dyDescent="0.25">
      <c r="A1013" s="16"/>
      <c r="B1013" s="17"/>
      <c r="C1013" s="2"/>
      <c r="D1013" s="2"/>
      <c r="E1013" s="2"/>
      <c r="F1013" s="2"/>
      <c r="G1013" s="2"/>
      <c r="H1013" s="2"/>
      <c r="I1013" s="5"/>
    </row>
    <row r="1014" spans="1:9" ht="17.399999999999999" x14ac:dyDescent="0.25">
      <c r="A1014" s="16"/>
      <c r="B1014" s="17"/>
      <c r="C1014" s="2"/>
      <c r="D1014" s="2"/>
      <c r="E1014" s="2"/>
      <c r="F1014" s="2"/>
      <c r="G1014" s="2"/>
      <c r="H1014" s="2"/>
      <c r="I1014" s="5"/>
    </row>
    <row r="1015" spans="1:9" ht="17.399999999999999" x14ac:dyDescent="0.25">
      <c r="A1015" s="16"/>
      <c r="B1015" s="17"/>
      <c r="C1015" s="2"/>
      <c r="D1015" s="2"/>
      <c r="E1015" s="2"/>
      <c r="F1015" s="2"/>
      <c r="G1015" s="2"/>
      <c r="H1015" s="2"/>
      <c r="I1015" s="5"/>
    </row>
    <row r="1016" spans="1:9" ht="17.399999999999999" x14ac:dyDescent="0.25">
      <c r="A1016" s="16"/>
      <c r="B1016" s="17"/>
      <c r="C1016" s="2"/>
      <c r="D1016" s="2"/>
      <c r="E1016" s="2"/>
      <c r="F1016" s="2"/>
      <c r="G1016" s="2"/>
      <c r="H1016" s="2"/>
      <c r="I1016" s="5"/>
    </row>
    <row r="1017" spans="1:9" ht="17.399999999999999" x14ac:dyDescent="0.25">
      <c r="A1017" s="16"/>
      <c r="B1017" s="17"/>
      <c r="C1017" s="2"/>
      <c r="D1017" s="2"/>
      <c r="E1017" s="2"/>
      <c r="F1017" s="2"/>
      <c r="G1017" s="2"/>
      <c r="H1017" s="2"/>
      <c r="I1017" s="5"/>
    </row>
    <row r="1018" spans="1:9" ht="17.399999999999999" x14ac:dyDescent="0.25">
      <c r="A1018" s="16"/>
      <c r="B1018" s="17"/>
      <c r="C1018" s="2"/>
      <c r="D1018" s="2"/>
      <c r="E1018" s="2"/>
      <c r="F1018" s="2"/>
      <c r="G1018" s="2"/>
      <c r="H1018" s="2"/>
      <c r="I1018" s="5"/>
    </row>
    <row r="1019" spans="1:9" ht="17.399999999999999" x14ac:dyDescent="0.25">
      <c r="A1019" s="16"/>
      <c r="B1019" s="17"/>
      <c r="C1019" s="2"/>
      <c r="D1019" s="2"/>
      <c r="E1019" s="2"/>
      <c r="F1019" s="2"/>
      <c r="G1019" s="2"/>
      <c r="H1019" s="2"/>
      <c r="I1019" s="5"/>
    </row>
    <row r="1020" spans="1:9" ht="17.399999999999999" x14ac:dyDescent="0.25">
      <c r="A1020" s="16"/>
      <c r="B1020" s="17"/>
      <c r="C1020" s="2"/>
      <c r="D1020" s="2"/>
      <c r="E1020" s="2"/>
      <c r="F1020" s="2"/>
      <c r="G1020" s="2"/>
      <c r="H1020" s="2"/>
      <c r="I1020" s="5"/>
    </row>
    <row r="1021" spans="1:9" ht="17.399999999999999" x14ac:dyDescent="0.25">
      <c r="A1021" s="16"/>
      <c r="B1021" s="17"/>
      <c r="C1021" s="2"/>
      <c r="D1021" s="2"/>
      <c r="E1021" s="2"/>
      <c r="F1021" s="2"/>
      <c r="G1021" s="2"/>
      <c r="H1021" s="2"/>
      <c r="I1021" s="5"/>
    </row>
    <row r="1022" spans="1:9" ht="17.399999999999999" x14ac:dyDescent="0.25">
      <c r="A1022" s="16"/>
      <c r="B1022" s="17"/>
      <c r="C1022" s="2"/>
      <c r="D1022" s="2"/>
      <c r="E1022" s="2"/>
      <c r="F1022" s="2"/>
      <c r="G1022" s="2"/>
      <c r="H1022" s="2"/>
      <c r="I1022" s="5"/>
    </row>
    <row r="1023" spans="1:9" ht="17.399999999999999" x14ac:dyDescent="0.25">
      <c r="A1023" s="16"/>
      <c r="B1023" s="17"/>
      <c r="C1023" s="2"/>
      <c r="D1023" s="2"/>
      <c r="E1023" s="2"/>
      <c r="F1023" s="2"/>
      <c r="G1023" s="2"/>
      <c r="H1023" s="2"/>
      <c r="I1023" s="5"/>
    </row>
    <row r="1024" spans="1:9" ht="17.399999999999999" x14ac:dyDescent="0.25">
      <c r="A1024" s="16"/>
      <c r="B1024" s="17"/>
      <c r="C1024" s="2"/>
      <c r="D1024" s="2"/>
      <c r="E1024" s="2"/>
      <c r="F1024" s="2"/>
      <c r="G1024" s="2"/>
      <c r="H1024" s="2"/>
      <c r="I1024" s="5"/>
    </row>
    <row r="1025" spans="1:9" ht="17.399999999999999" x14ac:dyDescent="0.25">
      <c r="A1025" s="16"/>
      <c r="B1025" s="17"/>
      <c r="C1025" s="2"/>
      <c r="D1025" s="2"/>
      <c r="E1025" s="2"/>
      <c r="F1025" s="2"/>
      <c r="G1025" s="2"/>
      <c r="H1025" s="2"/>
      <c r="I1025" s="5"/>
    </row>
    <row r="1026" spans="1:9" ht="17.399999999999999" x14ac:dyDescent="0.25">
      <c r="A1026" s="16"/>
      <c r="B1026" s="17"/>
      <c r="C1026" s="2"/>
      <c r="D1026" s="2"/>
      <c r="E1026" s="2"/>
      <c r="F1026" s="2"/>
      <c r="G1026" s="2"/>
      <c r="H1026" s="2"/>
      <c r="I1026" s="5"/>
    </row>
    <row r="1027" spans="1:9" ht="17.399999999999999" x14ac:dyDescent="0.25">
      <c r="A1027" s="16"/>
      <c r="B1027" s="17"/>
      <c r="C1027" s="2"/>
      <c r="D1027" s="2"/>
      <c r="E1027" s="2"/>
      <c r="F1027" s="2"/>
      <c r="G1027" s="2"/>
      <c r="H1027" s="2"/>
      <c r="I1027" s="5"/>
    </row>
    <row r="1028" spans="1:9" ht="17.399999999999999" x14ac:dyDescent="0.25">
      <c r="A1028" s="16"/>
      <c r="B1028" s="17"/>
      <c r="C1028" s="2"/>
      <c r="D1028" s="2"/>
      <c r="E1028" s="2"/>
      <c r="F1028" s="2"/>
      <c r="G1028" s="2"/>
      <c r="H1028" s="2"/>
      <c r="I1028" s="5"/>
    </row>
    <row r="1029" spans="1:9" ht="17.399999999999999" x14ac:dyDescent="0.25">
      <c r="A1029" s="16"/>
      <c r="B1029" s="17"/>
      <c r="C1029" s="2"/>
      <c r="D1029" s="2"/>
      <c r="E1029" s="2"/>
      <c r="F1029" s="2"/>
      <c r="G1029" s="2"/>
      <c r="H1029" s="2"/>
      <c r="I1029" s="5"/>
    </row>
    <row r="1030" spans="1:9" ht="17.399999999999999" x14ac:dyDescent="0.25">
      <c r="A1030" s="16"/>
      <c r="B1030" s="17"/>
      <c r="C1030" s="2"/>
      <c r="D1030" s="2"/>
      <c r="E1030" s="2"/>
      <c r="F1030" s="2"/>
      <c r="G1030" s="2"/>
      <c r="H1030" s="2"/>
      <c r="I1030" s="5"/>
    </row>
    <row r="1031" spans="1:9" ht="17.399999999999999" x14ac:dyDescent="0.25">
      <c r="A1031" s="16"/>
      <c r="B1031" s="17"/>
      <c r="C1031" s="2"/>
      <c r="D1031" s="2"/>
      <c r="E1031" s="2"/>
      <c r="F1031" s="2"/>
      <c r="G1031" s="2"/>
      <c r="H1031" s="2"/>
      <c r="I1031" s="5"/>
    </row>
    <row r="1032" spans="1:9" ht="17.399999999999999" x14ac:dyDescent="0.25">
      <c r="A1032" s="16"/>
      <c r="B1032" s="17"/>
      <c r="C1032" s="2"/>
      <c r="D1032" s="2"/>
      <c r="E1032" s="2"/>
      <c r="F1032" s="2"/>
      <c r="G1032" s="2"/>
      <c r="H1032" s="2"/>
      <c r="I1032" s="5"/>
    </row>
    <row r="1033" spans="1:9" ht="17.399999999999999" x14ac:dyDescent="0.25">
      <c r="A1033" s="16"/>
      <c r="B1033" s="17"/>
      <c r="C1033" s="2"/>
      <c r="D1033" s="2"/>
      <c r="E1033" s="2"/>
      <c r="F1033" s="2"/>
      <c r="G1033" s="2"/>
      <c r="H1033" s="2"/>
      <c r="I1033" s="5"/>
    </row>
    <row r="1034" spans="1:9" ht="17.399999999999999" x14ac:dyDescent="0.25">
      <c r="A1034" s="16"/>
      <c r="B1034" s="17"/>
      <c r="C1034" s="2"/>
      <c r="D1034" s="2"/>
      <c r="E1034" s="2"/>
      <c r="F1034" s="2"/>
      <c r="G1034" s="2"/>
      <c r="H1034" s="2"/>
      <c r="I1034" s="5"/>
    </row>
    <row r="1035" spans="1:9" ht="17.399999999999999" x14ac:dyDescent="0.25">
      <c r="A1035" s="16"/>
      <c r="B1035" s="17"/>
      <c r="C1035" s="2"/>
      <c r="D1035" s="2"/>
      <c r="E1035" s="2"/>
      <c r="F1035" s="2"/>
      <c r="G1035" s="2"/>
      <c r="H1035" s="2"/>
      <c r="I1035" s="5"/>
    </row>
    <row r="1036" spans="1:9" ht="17.399999999999999" x14ac:dyDescent="0.25">
      <c r="A1036" s="16"/>
      <c r="B1036" s="17"/>
      <c r="C1036" s="2"/>
      <c r="D1036" s="2"/>
      <c r="E1036" s="2"/>
      <c r="F1036" s="2"/>
      <c r="G1036" s="2"/>
      <c r="H1036" s="2"/>
      <c r="I1036" s="5"/>
    </row>
    <row r="1037" spans="1:9" ht="17.399999999999999" x14ac:dyDescent="0.25">
      <c r="A1037" s="16"/>
      <c r="B1037" s="17"/>
      <c r="C1037" s="2"/>
      <c r="D1037" s="2"/>
      <c r="E1037" s="2"/>
      <c r="F1037" s="2"/>
      <c r="G1037" s="2"/>
      <c r="H1037" s="2"/>
      <c r="I1037" s="5"/>
    </row>
    <row r="1038" spans="1:9" ht="17.399999999999999" x14ac:dyDescent="0.25">
      <c r="A1038" s="16"/>
      <c r="B1038" s="17"/>
      <c r="C1038" s="2"/>
      <c r="D1038" s="2"/>
      <c r="E1038" s="2"/>
      <c r="F1038" s="2"/>
      <c r="G1038" s="2"/>
      <c r="H1038" s="2"/>
      <c r="I1038" s="5"/>
    </row>
    <row r="1039" spans="1:9" ht="17.399999999999999" x14ac:dyDescent="0.25">
      <c r="A1039" s="16"/>
      <c r="B1039" s="17"/>
      <c r="C1039" s="2"/>
      <c r="D1039" s="2"/>
      <c r="E1039" s="2"/>
      <c r="F1039" s="2"/>
      <c r="G1039" s="2"/>
      <c r="H1039" s="2"/>
      <c r="I1039" s="5"/>
    </row>
    <row r="1040" spans="1:9" ht="17.399999999999999" x14ac:dyDescent="0.25">
      <c r="A1040" s="16"/>
      <c r="B1040" s="17"/>
      <c r="C1040" s="2"/>
      <c r="D1040" s="2"/>
      <c r="E1040" s="2"/>
      <c r="F1040" s="2"/>
      <c r="G1040" s="2"/>
      <c r="H1040" s="2"/>
      <c r="I1040" s="5"/>
    </row>
    <row r="1041" spans="1:9" ht="17.399999999999999" x14ac:dyDescent="0.25">
      <c r="A1041" s="16"/>
      <c r="B1041" s="17"/>
      <c r="C1041" s="2"/>
      <c r="D1041" s="2"/>
      <c r="E1041" s="2"/>
      <c r="F1041" s="2"/>
      <c r="G1041" s="2"/>
      <c r="H1041" s="2"/>
      <c r="I1041" s="5"/>
    </row>
    <row r="1042" spans="1:9" ht="17.399999999999999" x14ac:dyDescent="0.25">
      <c r="A1042" s="16"/>
      <c r="B1042" s="17"/>
      <c r="C1042" s="2"/>
      <c r="D1042" s="2"/>
      <c r="E1042" s="2"/>
      <c r="F1042" s="2"/>
      <c r="G1042" s="2"/>
      <c r="H1042" s="2"/>
      <c r="I1042" s="5"/>
    </row>
    <row r="1043" spans="1:9" ht="17.399999999999999" x14ac:dyDescent="0.25">
      <c r="A1043" s="16"/>
      <c r="B1043" s="17"/>
      <c r="C1043" s="2"/>
      <c r="D1043" s="2"/>
      <c r="E1043" s="2"/>
      <c r="F1043" s="2"/>
      <c r="G1043" s="2"/>
      <c r="H1043" s="2"/>
      <c r="I1043" s="5"/>
    </row>
    <row r="1044" spans="1:9" ht="17.399999999999999" x14ac:dyDescent="0.25">
      <c r="A1044" s="16"/>
      <c r="B1044" s="17"/>
      <c r="C1044" s="2"/>
      <c r="D1044" s="2"/>
      <c r="E1044" s="2"/>
      <c r="F1044" s="2"/>
      <c r="G1044" s="2"/>
      <c r="H1044" s="2"/>
      <c r="I1044" s="5"/>
    </row>
    <row r="1045" spans="1:9" ht="17.399999999999999" x14ac:dyDescent="0.25">
      <c r="A1045" s="16"/>
      <c r="B1045" s="17"/>
      <c r="C1045" s="2"/>
      <c r="D1045" s="2"/>
      <c r="E1045" s="2"/>
      <c r="F1045" s="2"/>
      <c r="G1045" s="2"/>
      <c r="H1045" s="2"/>
      <c r="I1045" s="5"/>
    </row>
    <row r="1046" spans="1:9" ht="17.399999999999999" x14ac:dyDescent="0.25">
      <c r="A1046" s="16"/>
      <c r="B1046" s="17"/>
      <c r="C1046" s="2"/>
      <c r="D1046" s="2"/>
      <c r="E1046" s="2"/>
      <c r="F1046" s="2"/>
      <c r="G1046" s="2"/>
      <c r="H1046" s="2"/>
      <c r="I1046" s="5"/>
    </row>
    <row r="1047" spans="1:9" ht="17.399999999999999" x14ac:dyDescent="0.25">
      <c r="A1047" s="16"/>
      <c r="B1047" s="17"/>
      <c r="C1047" s="2"/>
      <c r="D1047" s="2"/>
      <c r="E1047" s="2"/>
      <c r="F1047" s="2"/>
      <c r="G1047" s="2"/>
      <c r="H1047" s="2"/>
      <c r="I1047" s="5"/>
    </row>
    <row r="1048" spans="1:9" ht="17.399999999999999" x14ac:dyDescent="0.25">
      <c r="A1048" s="16"/>
      <c r="B1048" s="17"/>
      <c r="C1048" s="2"/>
      <c r="D1048" s="2"/>
      <c r="E1048" s="2"/>
      <c r="F1048" s="2"/>
      <c r="G1048" s="2"/>
      <c r="H1048" s="2"/>
      <c r="I1048" s="5"/>
    </row>
    <row r="1049" spans="1:9" ht="17.399999999999999" x14ac:dyDescent="0.25">
      <c r="A1049" s="16"/>
      <c r="B1049" s="17"/>
      <c r="C1049" s="2"/>
      <c r="D1049" s="2"/>
      <c r="E1049" s="2"/>
      <c r="F1049" s="2"/>
      <c r="G1049" s="2"/>
      <c r="H1049" s="2"/>
      <c r="I1049" s="5"/>
    </row>
    <row r="1050" spans="1:9" ht="17.399999999999999" x14ac:dyDescent="0.25">
      <c r="A1050" s="16"/>
      <c r="B1050" s="17"/>
      <c r="C1050" s="2"/>
      <c r="D1050" s="2"/>
      <c r="E1050" s="2"/>
      <c r="F1050" s="2"/>
      <c r="G1050" s="2"/>
      <c r="H1050" s="2"/>
      <c r="I1050" s="5"/>
    </row>
    <row r="1051" spans="1:9" ht="17.399999999999999" x14ac:dyDescent="0.25">
      <c r="A1051" s="16"/>
      <c r="B1051" s="17"/>
      <c r="C1051" s="2"/>
      <c r="D1051" s="2"/>
      <c r="E1051" s="2"/>
      <c r="F1051" s="2"/>
      <c r="G1051" s="2"/>
      <c r="H1051" s="2"/>
      <c r="I1051" s="5"/>
    </row>
    <row r="1052" spans="1:9" ht="17.399999999999999" x14ac:dyDescent="0.25">
      <c r="A1052" s="16"/>
      <c r="B1052" s="17"/>
      <c r="C1052" s="2"/>
      <c r="D1052" s="2"/>
      <c r="E1052" s="2"/>
      <c r="F1052" s="2"/>
      <c r="G1052" s="2"/>
      <c r="H1052" s="2"/>
      <c r="I1052" s="5"/>
    </row>
    <row r="1053" spans="1:9" ht="17.399999999999999" x14ac:dyDescent="0.25">
      <c r="A1053" s="16"/>
      <c r="B1053" s="17"/>
      <c r="C1053" s="2"/>
      <c r="D1053" s="2"/>
      <c r="E1053" s="2"/>
      <c r="F1053" s="2"/>
      <c r="G1053" s="2"/>
      <c r="H1053" s="2"/>
      <c r="I1053" s="5"/>
    </row>
    <row r="1054" spans="1:9" ht="17.399999999999999" x14ac:dyDescent="0.25">
      <c r="A1054" s="16"/>
      <c r="B1054" s="17"/>
      <c r="C1054" s="2"/>
      <c r="D1054" s="2"/>
      <c r="E1054" s="2"/>
      <c r="F1054" s="2"/>
      <c r="G1054" s="2"/>
      <c r="H1054" s="2"/>
      <c r="I1054" s="5"/>
    </row>
    <row r="1055" spans="1:9" ht="17.399999999999999" x14ac:dyDescent="0.25">
      <c r="A1055" s="16"/>
      <c r="B1055" s="17"/>
      <c r="C1055" s="2"/>
      <c r="D1055" s="2"/>
      <c r="E1055" s="2"/>
      <c r="F1055" s="2"/>
      <c r="G1055" s="2"/>
      <c r="H1055" s="2"/>
      <c r="I1055" s="5"/>
    </row>
    <row r="1056" spans="1:9" ht="17.399999999999999" x14ac:dyDescent="0.25">
      <c r="A1056" s="16"/>
      <c r="B1056" s="17"/>
      <c r="C1056" s="2"/>
      <c r="D1056" s="2"/>
      <c r="E1056" s="2"/>
      <c r="F1056" s="2"/>
      <c r="G1056" s="2"/>
      <c r="H1056" s="2"/>
      <c r="I1056" s="5"/>
    </row>
    <row r="1057" spans="1:9" ht="17.399999999999999" x14ac:dyDescent="0.25">
      <c r="A1057" s="16"/>
      <c r="B1057" s="17"/>
      <c r="C1057" s="2"/>
      <c r="D1057" s="2"/>
      <c r="E1057" s="2"/>
      <c r="F1057" s="2"/>
      <c r="G1057" s="2"/>
      <c r="H1057" s="2"/>
      <c r="I1057" s="5"/>
    </row>
    <row r="1058" spans="1:9" ht="17.399999999999999" x14ac:dyDescent="0.25">
      <c r="A1058" s="16"/>
      <c r="B1058" s="17"/>
      <c r="C1058" s="2"/>
      <c r="D1058" s="2"/>
      <c r="E1058" s="2"/>
      <c r="F1058" s="2"/>
      <c r="G1058" s="2"/>
      <c r="H1058" s="2"/>
      <c r="I1058" s="5"/>
    </row>
    <row r="1059" spans="1:9" ht="17.399999999999999" x14ac:dyDescent="0.25">
      <c r="A1059" s="16"/>
      <c r="B1059" s="17"/>
      <c r="C1059" s="2"/>
      <c r="D1059" s="2"/>
      <c r="E1059" s="2"/>
      <c r="F1059" s="2"/>
      <c r="G1059" s="2"/>
      <c r="H1059" s="2"/>
      <c r="I1059" s="5"/>
    </row>
    <row r="1060" spans="1:9" ht="17.399999999999999" x14ac:dyDescent="0.25">
      <c r="A1060" s="16"/>
      <c r="B1060" s="17"/>
      <c r="C1060" s="2"/>
      <c r="D1060" s="2"/>
      <c r="E1060" s="2"/>
      <c r="F1060" s="2"/>
      <c r="G1060" s="2"/>
      <c r="H1060" s="2"/>
      <c r="I1060" s="5"/>
    </row>
    <row r="1061" spans="1:9" ht="17.399999999999999" x14ac:dyDescent="0.25">
      <c r="A1061" s="16"/>
      <c r="B1061" s="17"/>
      <c r="C1061" s="2"/>
      <c r="D1061" s="2"/>
      <c r="E1061" s="2"/>
      <c r="F1061" s="2"/>
      <c r="G1061" s="2"/>
      <c r="H1061" s="2"/>
      <c r="I1061" s="5"/>
    </row>
    <row r="1062" spans="1:9" ht="17.399999999999999" x14ac:dyDescent="0.25">
      <c r="A1062" s="16"/>
      <c r="B1062" s="17"/>
      <c r="C1062" s="2"/>
      <c r="D1062" s="2"/>
      <c r="E1062" s="2"/>
      <c r="F1062" s="2"/>
      <c r="G1062" s="2"/>
      <c r="H1062" s="2"/>
      <c r="I1062" s="5"/>
    </row>
    <row r="1063" spans="1:9" ht="17.399999999999999" x14ac:dyDescent="0.25">
      <c r="A1063" s="16"/>
      <c r="B1063" s="17"/>
      <c r="C1063" s="2"/>
      <c r="D1063" s="2"/>
      <c r="E1063" s="2"/>
      <c r="F1063" s="2"/>
      <c r="G1063" s="2"/>
      <c r="H1063" s="2"/>
      <c r="I1063" s="5"/>
    </row>
    <row r="1064" spans="1:9" ht="17.399999999999999" x14ac:dyDescent="0.25">
      <c r="A1064" s="16"/>
      <c r="B1064" s="17"/>
      <c r="C1064" s="2"/>
      <c r="D1064" s="2"/>
      <c r="E1064" s="2"/>
      <c r="F1064" s="2"/>
      <c r="G1064" s="2"/>
      <c r="H1064" s="2"/>
      <c r="I1064" s="5"/>
    </row>
    <row r="1065" spans="1:9" ht="17.399999999999999" x14ac:dyDescent="0.25">
      <c r="A1065" s="16"/>
      <c r="B1065" s="17"/>
      <c r="C1065" s="2"/>
      <c r="D1065" s="2"/>
      <c r="E1065" s="2"/>
      <c r="F1065" s="2"/>
      <c r="G1065" s="2"/>
      <c r="H1065" s="2"/>
      <c r="I1065" s="5"/>
    </row>
    <row r="1066" spans="1:9" ht="17.399999999999999" x14ac:dyDescent="0.25">
      <c r="A1066" s="16"/>
      <c r="B1066" s="17"/>
      <c r="C1066" s="2"/>
      <c r="D1066" s="2"/>
      <c r="E1066" s="2"/>
      <c r="F1066" s="2"/>
      <c r="G1066" s="2"/>
      <c r="H1066" s="2"/>
      <c r="I1066" s="5"/>
    </row>
    <row r="1067" spans="1:9" ht="17.399999999999999" x14ac:dyDescent="0.25">
      <c r="A1067" s="16"/>
      <c r="B1067" s="17"/>
      <c r="C1067" s="2"/>
      <c r="D1067" s="2"/>
      <c r="E1067" s="2"/>
      <c r="F1067" s="2"/>
      <c r="G1067" s="2"/>
      <c r="H1067" s="2"/>
      <c r="I1067" s="5"/>
    </row>
    <row r="1068" spans="1:9" ht="17.399999999999999" x14ac:dyDescent="0.25">
      <c r="A1068" s="16"/>
      <c r="B1068" s="17"/>
      <c r="C1068" s="2"/>
      <c r="D1068" s="2"/>
      <c r="E1068" s="2"/>
      <c r="F1068" s="2"/>
      <c r="G1068" s="2"/>
      <c r="H1068" s="2"/>
      <c r="I1068" s="5"/>
    </row>
    <row r="1069" spans="1:9" ht="17.399999999999999" x14ac:dyDescent="0.25">
      <c r="A1069" s="16"/>
      <c r="B1069" s="17"/>
      <c r="C1069" s="2"/>
      <c r="D1069" s="2"/>
      <c r="E1069" s="2"/>
      <c r="F1069" s="2"/>
      <c r="G1069" s="2"/>
      <c r="H1069" s="2"/>
      <c r="I1069" s="5"/>
    </row>
    <row r="1070" spans="1:9" ht="17.399999999999999" x14ac:dyDescent="0.25">
      <c r="A1070" s="16"/>
      <c r="B1070" s="17"/>
      <c r="C1070" s="2"/>
      <c r="D1070" s="2"/>
      <c r="E1070" s="2"/>
      <c r="F1070" s="2"/>
      <c r="G1070" s="2"/>
      <c r="H1070" s="2"/>
      <c r="I1070" s="5"/>
    </row>
    <row r="1071" spans="1:9" ht="17.399999999999999" x14ac:dyDescent="0.25">
      <c r="A1071" s="16"/>
      <c r="B1071" s="17"/>
      <c r="C1071" s="2"/>
      <c r="D1071" s="2"/>
      <c r="E1071" s="2"/>
      <c r="F1071" s="2"/>
      <c r="G1071" s="2"/>
      <c r="H1071" s="2"/>
      <c r="I1071" s="5"/>
    </row>
    <row r="1072" spans="1:9" ht="17.399999999999999" x14ac:dyDescent="0.25">
      <c r="A1072" s="16"/>
      <c r="B1072" s="17"/>
      <c r="C1072" s="2"/>
      <c r="D1072" s="2"/>
      <c r="E1072" s="2"/>
      <c r="F1072" s="2"/>
      <c r="G1072" s="2"/>
      <c r="H1072" s="2"/>
      <c r="I1072" s="5"/>
    </row>
    <row r="1073" spans="1:9" ht="17.399999999999999" x14ac:dyDescent="0.25">
      <c r="A1073" s="16"/>
      <c r="B1073" s="17"/>
      <c r="C1073" s="2"/>
      <c r="D1073" s="2"/>
      <c r="E1073" s="2"/>
      <c r="F1073" s="2"/>
      <c r="G1073" s="2"/>
      <c r="H1073" s="2"/>
      <c r="I1073" s="5"/>
    </row>
    <row r="1074" spans="1:9" ht="17.399999999999999" x14ac:dyDescent="0.25">
      <c r="A1074" s="16"/>
      <c r="B1074" s="17"/>
      <c r="C1074" s="2"/>
      <c r="D1074" s="2"/>
      <c r="E1074" s="2"/>
      <c r="F1074" s="2"/>
      <c r="G1074" s="2"/>
      <c r="H1074" s="2"/>
      <c r="I1074" s="5"/>
    </row>
    <row r="1075" spans="1:9" ht="17.399999999999999" x14ac:dyDescent="0.25">
      <c r="A1075" s="16"/>
      <c r="B1075" s="17"/>
      <c r="C1075" s="2"/>
      <c r="D1075" s="2"/>
      <c r="E1075" s="2"/>
      <c r="F1075" s="2"/>
      <c r="G1075" s="2"/>
      <c r="H1075" s="2"/>
      <c r="I1075" s="5"/>
    </row>
    <row r="1076" spans="1:9" ht="17.399999999999999" x14ac:dyDescent="0.25">
      <c r="A1076" s="16"/>
      <c r="B1076" s="17"/>
      <c r="C1076" s="2"/>
      <c r="D1076" s="2"/>
      <c r="E1076" s="2"/>
      <c r="F1076" s="2"/>
      <c r="G1076" s="2"/>
      <c r="H1076" s="2"/>
      <c r="I1076" s="5"/>
    </row>
    <row r="1077" spans="1:9" ht="17.399999999999999" x14ac:dyDescent="0.25">
      <c r="A1077" s="16"/>
      <c r="B1077" s="17"/>
      <c r="C1077" s="2"/>
      <c r="D1077" s="2"/>
      <c r="E1077" s="2"/>
      <c r="F1077" s="2"/>
      <c r="G1077" s="2"/>
      <c r="H1077" s="2"/>
      <c r="I1077" s="5"/>
    </row>
    <row r="1078" spans="1:9" ht="17.399999999999999" x14ac:dyDescent="0.25">
      <c r="A1078" s="16"/>
      <c r="B1078" s="17"/>
      <c r="C1078" s="2"/>
      <c r="D1078" s="2"/>
      <c r="E1078" s="2"/>
      <c r="F1078" s="2"/>
      <c r="G1078" s="2"/>
      <c r="H1078" s="2"/>
      <c r="I1078" s="5"/>
    </row>
    <row r="1079" spans="1:9" ht="17.399999999999999" x14ac:dyDescent="0.25">
      <c r="A1079" s="16"/>
      <c r="B1079" s="17"/>
      <c r="C1079" s="2"/>
      <c r="D1079" s="2"/>
      <c r="E1079" s="2"/>
      <c r="F1079" s="2"/>
      <c r="G1079" s="2"/>
      <c r="H1079" s="2"/>
      <c r="I1079" s="5"/>
    </row>
    <row r="1080" spans="1:9" ht="17.399999999999999" x14ac:dyDescent="0.25">
      <c r="A1080" s="16"/>
      <c r="B1080" s="17"/>
      <c r="C1080" s="2"/>
      <c r="D1080" s="2"/>
      <c r="E1080" s="2"/>
      <c r="F1080" s="2"/>
      <c r="G1080" s="2"/>
      <c r="H1080" s="2"/>
      <c r="I1080" s="5"/>
    </row>
    <row r="1081" spans="1:9" ht="17.399999999999999" x14ac:dyDescent="0.25">
      <c r="A1081" s="16"/>
      <c r="B1081" s="17"/>
      <c r="C1081" s="2"/>
      <c r="D1081" s="2"/>
      <c r="E1081" s="2"/>
      <c r="F1081" s="2"/>
      <c r="G1081" s="2"/>
      <c r="H1081" s="2"/>
      <c r="I1081" s="5"/>
    </row>
    <row r="1082" spans="1:9" ht="17.399999999999999" x14ac:dyDescent="0.25">
      <c r="A1082" s="16"/>
      <c r="B1082" s="17"/>
      <c r="C1082" s="2"/>
      <c r="D1082" s="2"/>
      <c r="E1082" s="2"/>
      <c r="F1082" s="2"/>
      <c r="G1082" s="2"/>
      <c r="H1082" s="2"/>
      <c r="I1082" s="5"/>
    </row>
    <row r="1083" spans="1:9" ht="17.399999999999999" x14ac:dyDescent="0.25">
      <c r="A1083" s="16"/>
      <c r="B1083" s="17"/>
      <c r="C1083" s="2"/>
      <c r="D1083" s="2"/>
      <c r="E1083" s="2"/>
      <c r="F1083" s="2"/>
      <c r="G1083" s="2"/>
      <c r="H1083" s="2"/>
      <c r="I1083" s="5"/>
    </row>
    <row r="1084" spans="1:9" ht="17.399999999999999" x14ac:dyDescent="0.25">
      <c r="A1084" s="16"/>
      <c r="B1084" s="17"/>
      <c r="C1084" s="2"/>
      <c r="D1084" s="2"/>
      <c r="E1084" s="2"/>
      <c r="F1084" s="2"/>
      <c r="G1084" s="2"/>
      <c r="H1084" s="2"/>
      <c r="I1084" s="5"/>
    </row>
    <row r="1085" spans="1:9" ht="17.399999999999999" x14ac:dyDescent="0.25">
      <c r="A1085" s="16"/>
      <c r="B1085" s="17"/>
      <c r="C1085" s="2"/>
      <c r="D1085" s="2"/>
      <c r="E1085" s="2"/>
      <c r="F1085" s="2"/>
      <c r="G1085" s="2"/>
      <c r="H1085" s="2"/>
      <c r="I1085" s="5"/>
    </row>
    <row r="1086" spans="1:9" ht="17.399999999999999" x14ac:dyDescent="0.25">
      <c r="A1086" s="16"/>
      <c r="B1086" s="17"/>
      <c r="C1086" s="2"/>
      <c r="D1086" s="2"/>
      <c r="E1086" s="2"/>
      <c r="F1086" s="2"/>
      <c r="G1086" s="2"/>
      <c r="H1086" s="2"/>
      <c r="I1086" s="5"/>
    </row>
    <row r="1087" spans="1:9" ht="17.399999999999999" x14ac:dyDescent="0.25">
      <c r="A1087" s="16"/>
      <c r="B1087" s="17"/>
      <c r="C1087" s="2"/>
      <c r="D1087" s="2"/>
      <c r="E1087" s="2"/>
      <c r="F1087" s="2"/>
      <c r="G1087" s="2"/>
      <c r="H1087" s="2"/>
      <c r="I1087" s="5"/>
    </row>
    <row r="1088" spans="1:9" ht="17.399999999999999" x14ac:dyDescent="0.25">
      <c r="A1088" s="16"/>
      <c r="B1088" s="17"/>
      <c r="C1088" s="2"/>
      <c r="D1088" s="2"/>
      <c r="E1088" s="2"/>
      <c r="F1088" s="2"/>
      <c r="G1088" s="2"/>
      <c r="H1088" s="2"/>
      <c r="I1088" s="5"/>
    </row>
    <row r="1089" spans="1:9" ht="17.399999999999999" x14ac:dyDescent="0.25">
      <c r="A1089" s="16"/>
      <c r="B1089" s="17"/>
      <c r="C1089" s="2"/>
      <c r="D1089" s="2"/>
      <c r="E1089" s="2"/>
      <c r="F1089" s="2"/>
      <c r="G1089" s="2"/>
      <c r="H1089" s="2"/>
      <c r="I1089" s="5"/>
    </row>
    <row r="1090" spans="1:9" ht="17.399999999999999" x14ac:dyDescent="0.25">
      <c r="A1090" s="16"/>
      <c r="B1090" s="17"/>
      <c r="C1090" s="2"/>
      <c r="D1090" s="2"/>
      <c r="E1090" s="2"/>
      <c r="F1090" s="2"/>
      <c r="G1090" s="2"/>
      <c r="H1090" s="2"/>
      <c r="I1090" s="5"/>
    </row>
    <row r="1091" spans="1:9" ht="17.399999999999999" x14ac:dyDescent="0.25">
      <c r="A1091" s="16"/>
      <c r="B1091" s="17"/>
      <c r="C1091" s="2"/>
      <c r="D1091" s="2"/>
      <c r="E1091" s="2"/>
      <c r="F1091" s="2"/>
      <c r="G1091" s="2"/>
      <c r="H1091" s="2"/>
      <c r="I1091" s="5"/>
    </row>
    <row r="1092" spans="1:9" ht="17.399999999999999" x14ac:dyDescent="0.25">
      <c r="A1092" s="16"/>
      <c r="B1092" s="17"/>
      <c r="C1092" s="2"/>
      <c r="D1092" s="2"/>
      <c r="E1092" s="2"/>
      <c r="F1092" s="2"/>
      <c r="G1092" s="2"/>
      <c r="H1092" s="2"/>
      <c r="I1092" s="5"/>
    </row>
    <row r="1093" spans="1:9" ht="17.399999999999999" x14ac:dyDescent="0.25">
      <c r="A1093" s="16"/>
      <c r="B1093" s="17"/>
      <c r="C1093" s="2"/>
      <c r="D1093" s="2"/>
      <c r="E1093" s="2"/>
      <c r="F1093" s="2"/>
      <c r="G1093" s="2"/>
      <c r="H1093" s="2"/>
      <c r="I1093" s="5"/>
    </row>
    <row r="1094" spans="1:9" ht="17.399999999999999" x14ac:dyDescent="0.25">
      <c r="A1094" s="16"/>
      <c r="B1094" s="17"/>
      <c r="C1094" s="2"/>
      <c r="D1094" s="2"/>
      <c r="E1094" s="2"/>
      <c r="F1094" s="2"/>
      <c r="G1094" s="2"/>
      <c r="H1094" s="2"/>
      <c r="I1094" s="5"/>
    </row>
    <row r="1095" spans="1:9" ht="17.399999999999999" x14ac:dyDescent="0.25">
      <c r="A1095" s="16"/>
      <c r="B1095" s="17"/>
      <c r="C1095" s="2"/>
      <c r="D1095" s="2"/>
      <c r="E1095" s="2"/>
      <c r="F1095" s="2"/>
      <c r="G1095" s="2"/>
      <c r="H1095" s="2"/>
      <c r="I1095" s="5"/>
    </row>
    <row r="1096" spans="1:9" ht="17.399999999999999" x14ac:dyDescent="0.25">
      <c r="A1096" s="16"/>
      <c r="B1096" s="17"/>
      <c r="C1096" s="2"/>
      <c r="D1096" s="2"/>
      <c r="E1096" s="2"/>
      <c r="F1096" s="2"/>
      <c r="G1096" s="2"/>
      <c r="H1096" s="2"/>
      <c r="I1096" s="5"/>
    </row>
    <row r="1097" spans="1:9" ht="17.399999999999999" x14ac:dyDescent="0.25">
      <c r="A1097" s="16"/>
      <c r="B1097" s="17"/>
      <c r="C1097" s="2"/>
      <c r="D1097" s="2"/>
      <c r="E1097" s="2"/>
      <c r="F1097" s="2"/>
      <c r="G1097" s="2"/>
      <c r="H1097" s="2"/>
      <c r="I1097" s="5"/>
    </row>
    <row r="1098" spans="1:9" ht="17.399999999999999" x14ac:dyDescent="0.25">
      <c r="A1098" s="16"/>
      <c r="B1098" s="17"/>
      <c r="C1098" s="2"/>
      <c r="D1098" s="2"/>
      <c r="E1098" s="2"/>
      <c r="F1098" s="2"/>
      <c r="G1098" s="2"/>
      <c r="H1098" s="2"/>
      <c r="I1098" s="5"/>
    </row>
    <row r="1099" spans="1:9" ht="17.399999999999999" x14ac:dyDescent="0.25">
      <c r="A1099" s="16"/>
      <c r="B1099" s="17"/>
      <c r="C1099" s="2"/>
      <c r="D1099" s="2"/>
      <c r="E1099" s="2"/>
      <c r="F1099" s="2"/>
      <c r="G1099" s="2"/>
      <c r="H1099" s="2"/>
      <c r="I1099" s="5"/>
    </row>
    <row r="1100" spans="1:9" ht="17.399999999999999" x14ac:dyDescent="0.25">
      <c r="A1100" s="16"/>
      <c r="B1100" s="17"/>
      <c r="C1100" s="2"/>
      <c r="D1100" s="2"/>
      <c r="E1100" s="2"/>
      <c r="F1100" s="2"/>
      <c r="G1100" s="2"/>
      <c r="H1100" s="2"/>
      <c r="I1100" s="5"/>
    </row>
    <row r="1101" spans="1:9" ht="17.399999999999999" x14ac:dyDescent="0.25">
      <c r="A1101" s="16"/>
      <c r="B1101" s="17"/>
      <c r="C1101" s="2"/>
      <c r="D1101" s="2"/>
      <c r="E1101" s="2"/>
      <c r="F1101" s="2"/>
      <c r="G1101" s="2"/>
      <c r="H1101" s="2"/>
      <c r="I1101" s="5"/>
    </row>
    <row r="1102" spans="1:9" ht="17.399999999999999" x14ac:dyDescent="0.25">
      <c r="A1102" s="16"/>
      <c r="B1102" s="17"/>
      <c r="C1102" s="2"/>
      <c r="D1102" s="2"/>
      <c r="E1102" s="2"/>
      <c r="F1102" s="2"/>
      <c r="G1102" s="2"/>
      <c r="H1102" s="2"/>
      <c r="I1102" s="5"/>
    </row>
    <row r="1103" spans="1:9" ht="17.399999999999999" x14ac:dyDescent="0.25">
      <c r="A1103" s="16"/>
      <c r="B1103" s="17"/>
      <c r="C1103" s="2"/>
      <c r="D1103" s="2"/>
      <c r="E1103" s="2"/>
      <c r="F1103" s="2"/>
      <c r="G1103" s="2"/>
      <c r="H1103" s="2"/>
      <c r="I1103" s="5"/>
    </row>
    <row r="1104" spans="1:9" ht="17.399999999999999" x14ac:dyDescent="0.25">
      <c r="A1104" s="16"/>
      <c r="B1104" s="17"/>
      <c r="C1104" s="2"/>
      <c r="D1104" s="2"/>
      <c r="E1104" s="2"/>
      <c r="F1104" s="2"/>
      <c r="G1104" s="2"/>
      <c r="H1104" s="2"/>
      <c r="I1104" s="5"/>
    </row>
    <row r="1105" spans="1:9" ht="17.399999999999999" x14ac:dyDescent="0.25">
      <c r="A1105" s="16"/>
      <c r="B1105" s="17"/>
      <c r="C1105" s="2"/>
      <c r="D1105" s="2"/>
      <c r="E1105" s="2"/>
      <c r="F1105" s="2"/>
      <c r="G1105" s="2"/>
      <c r="H1105" s="2"/>
      <c r="I1105" s="5"/>
    </row>
    <row r="1106" spans="1:9" ht="17.399999999999999" x14ac:dyDescent="0.25">
      <c r="A1106" s="16"/>
      <c r="B1106" s="17"/>
      <c r="C1106" s="2"/>
      <c r="D1106" s="2"/>
      <c r="E1106" s="2"/>
      <c r="F1106" s="2"/>
      <c r="G1106" s="2"/>
      <c r="H1106" s="2"/>
      <c r="I1106" s="5"/>
    </row>
    <row r="1107" spans="1:9" ht="17.399999999999999" x14ac:dyDescent="0.25">
      <c r="A1107" s="16"/>
      <c r="B1107" s="17"/>
      <c r="C1107" s="2"/>
      <c r="D1107" s="2"/>
      <c r="E1107" s="2"/>
      <c r="F1107" s="2"/>
      <c r="G1107" s="2"/>
      <c r="H1107" s="2"/>
      <c r="I1107" s="5"/>
    </row>
    <row r="1108" spans="1:9" ht="17.399999999999999" x14ac:dyDescent="0.25">
      <c r="A1108" s="16"/>
      <c r="B1108" s="17"/>
      <c r="C1108" s="2"/>
      <c r="D1108" s="2"/>
      <c r="E1108" s="2"/>
      <c r="F1108" s="2"/>
      <c r="G1108" s="2"/>
      <c r="H1108" s="2"/>
      <c r="I1108" s="5"/>
    </row>
    <row r="1109" spans="1:9" ht="17.399999999999999" x14ac:dyDescent="0.25">
      <c r="A1109" s="16"/>
      <c r="B1109" s="17"/>
      <c r="C1109" s="2"/>
      <c r="D1109" s="2"/>
      <c r="E1109" s="2"/>
      <c r="F1109" s="2"/>
      <c r="G1109" s="2"/>
      <c r="H1109" s="2"/>
      <c r="I1109" s="5"/>
    </row>
    <row r="1110" spans="1:9" ht="17.399999999999999" x14ac:dyDescent="0.25">
      <c r="A1110" s="16"/>
      <c r="B1110" s="17"/>
      <c r="C1110" s="2"/>
      <c r="D1110" s="2"/>
      <c r="E1110" s="2"/>
      <c r="F1110" s="2"/>
      <c r="G1110" s="2"/>
      <c r="H1110" s="2"/>
      <c r="I1110" s="5"/>
    </row>
    <row r="1111" spans="1:9" ht="17.399999999999999" x14ac:dyDescent="0.25">
      <c r="A1111" s="16"/>
      <c r="B1111" s="17"/>
      <c r="C1111" s="2"/>
      <c r="D1111" s="2"/>
      <c r="E1111" s="2"/>
      <c r="F1111" s="2"/>
      <c r="G1111" s="2"/>
      <c r="H1111" s="2"/>
      <c r="I1111" s="5"/>
    </row>
    <row r="1112" spans="1:9" ht="17.399999999999999" x14ac:dyDescent="0.25">
      <c r="A1112" s="16"/>
      <c r="B1112" s="17"/>
      <c r="C1112" s="2"/>
      <c r="D1112" s="2"/>
      <c r="E1112" s="2"/>
      <c r="F1112" s="2"/>
      <c r="G1112" s="2"/>
      <c r="H1112" s="2"/>
      <c r="I1112" s="5"/>
    </row>
    <row r="1113" spans="1:9" ht="17.399999999999999" x14ac:dyDescent="0.25">
      <c r="A1113" s="16"/>
      <c r="B1113" s="17"/>
      <c r="C1113" s="2"/>
      <c r="D1113" s="2"/>
      <c r="E1113" s="2"/>
      <c r="F1113" s="2"/>
      <c r="G1113" s="2"/>
      <c r="H1113" s="2"/>
      <c r="I1113" s="5"/>
    </row>
    <row r="1114" spans="1:9" ht="17.399999999999999" x14ac:dyDescent="0.25">
      <c r="A1114" s="16"/>
      <c r="B1114" s="17"/>
      <c r="C1114" s="2"/>
      <c r="D1114" s="2"/>
      <c r="E1114" s="2"/>
      <c r="F1114" s="2"/>
      <c r="G1114" s="2"/>
      <c r="H1114" s="2"/>
      <c r="I1114" s="5"/>
    </row>
    <row r="1115" spans="1:9" ht="17.399999999999999" x14ac:dyDescent="0.25">
      <c r="A1115" s="16"/>
      <c r="B1115" s="17"/>
      <c r="C1115" s="2"/>
      <c r="D1115" s="2"/>
      <c r="E1115" s="2"/>
      <c r="F1115" s="2"/>
      <c r="G1115" s="2"/>
      <c r="H1115" s="2"/>
      <c r="I1115" s="5"/>
    </row>
    <row r="1116" spans="1:9" ht="17.399999999999999" x14ac:dyDescent="0.25">
      <c r="A1116" s="16"/>
      <c r="B1116" s="17"/>
      <c r="C1116" s="2"/>
      <c r="D1116" s="2"/>
      <c r="E1116" s="2"/>
      <c r="F1116" s="2"/>
      <c r="G1116" s="2"/>
      <c r="H1116" s="2"/>
      <c r="I1116" s="5"/>
    </row>
    <row r="1117" spans="1:9" ht="17.399999999999999" x14ac:dyDescent="0.25">
      <c r="A1117" s="16"/>
      <c r="B1117" s="17"/>
      <c r="C1117" s="2"/>
      <c r="D1117" s="2"/>
      <c r="E1117" s="2"/>
      <c r="F1117" s="2"/>
      <c r="G1117" s="2"/>
      <c r="H1117" s="2"/>
      <c r="I1117" s="5"/>
    </row>
    <row r="1118" spans="1:9" ht="17.399999999999999" x14ac:dyDescent="0.25">
      <c r="A1118" s="16"/>
      <c r="B1118" s="17"/>
      <c r="C1118" s="2"/>
      <c r="D1118" s="2"/>
      <c r="E1118" s="2"/>
      <c r="F1118" s="2"/>
      <c r="G1118" s="2"/>
      <c r="H1118" s="2"/>
      <c r="I1118" s="5"/>
    </row>
    <row r="1119" spans="1:9" ht="17.399999999999999" x14ac:dyDescent="0.25">
      <c r="A1119" s="16"/>
      <c r="B1119" s="17"/>
      <c r="C1119" s="2"/>
      <c r="D1119" s="2"/>
      <c r="E1119" s="2"/>
      <c r="F1119" s="2"/>
      <c r="G1119" s="2"/>
      <c r="H1119" s="2"/>
      <c r="I1119" s="5"/>
    </row>
    <row r="1120" spans="1:9" ht="17.399999999999999" x14ac:dyDescent="0.25">
      <c r="A1120" s="16"/>
      <c r="B1120" s="17"/>
      <c r="C1120" s="2"/>
      <c r="D1120" s="2"/>
      <c r="E1120" s="2"/>
      <c r="F1120" s="2"/>
      <c r="G1120" s="2"/>
      <c r="H1120" s="2"/>
      <c r="I1120" s="5"/>
    </row>
    <row r="1121" spans="1:9" ht="17.399999999999999" x14ac:dyDescent="0.25">
      <c r="A1121" s="16"/>
      <c r="B1121" s="17"/>
      <c r="C1121" s="2"/>
      <c r="D1121" s="2"/>
      <c r="E1121" s="2"/>
      <c r="F1121" s="2"/>
      <c r="G1121" s="2"/>
      <c r="H1121" s="2"/>
      <c r="I1121" s="5"/>
    </row>
    <row r="1122" spans="1:9" ht="17.399999999999999" x14ac:dyDescent="0.25">
      <c r="A1122" s="16"/>
      <c r="B1122" s="17"/>
      <c r="C1122" s="2"/>
      <c r="D1122" s="2"/>
      <c r="E1122" s="2"/>
      <c r="F1122" s="2"/>
      <c r="G1122" s="2"/>
      <c r="H1122" s="2"/>
      <c r="I1122" s="5"/>
    </row>
    <row r="1123" spans="1:9" ht="17.399999999999999" x14ac:dyDescent="0.25">
      <c r="A1123" s="16"/>
      <c r="B1123" s="17"/>
      <c r="C1123" s="2"/>
      <c r="D1123" s="2"/>
      <c r="E1123" s="2"/>
      <c r="F1123" s="2"/>
      <c r="G1123" s="2"/>
      <c r="H1123" s="2"/>
      <c r="I1123" s="5"/>
    </row>
    <row r="1124" spans="1:9" ht="17.399999999999999" x14ac:dyDescent="0.25">
      <c r="A1124" s="16"/>
      <c r="B1124" s="17"/>
      <c r="C1124" s="2"/>
      <c r="D1124" s="2"/>
      <c r="E1124" s="2"/>
      <c r="F1124" s="2"/>
      <c r="G1124" s="2"/>
      <c r="H1124" s="2"/>
      <c r="I1124" s="5"/>
    </row>
    <row r="1125" spans="1:9" ht="17.399999999999999" x14ac:dyDescent="0.25">
      <c r="A1125" s="16"/>
      <c r="B1125" s="17"/>
      <c r="C1125" s="2"/>
      <c r="D1125" s="2"/>
      <c r="E1125" s="2"/>
      <c r="F1125" s="2"/>
      <c r="G1125" s="2"/>
      <c r="H1125" s="2"/>
      <c r="I1125" s="5"/>
    </row>
    <row r="1126" spans="1:9" ht="17.399999999999999" x14ac:dyDescent="0.25">
      <c r="A1126" s="16"/>
      <c r="B1126" s="17"/>
      <c r="C1126" s="2"/>
      <c r="D1126" s="2"/>
      <c r="E1126" s="2"/>
      <c r="F1126" s="2"/>
      <c r="G1126" s="2"/>
      <c r="H1126" s="2"/>
      <c r="I1126" s="5"/>
    </row>
    <row r="1127" spans="1:9" ht="17.399999999999999" x14ac:dyDescent="0.25">
      <c r="A1127" s="16"/>
      <c r="B1127" s="17"/>
      <c r="C1127" s="2"/>
      <c r="D1127" s="2"/>
      <c r="E1127" s="2"/>
      <c r="F1127" s="2"/>
      <c r="G1127" s="2"/>
      <c r="H1127" s="2"/>
      <c r="I1127" s="5"/>
    </row>
    <row r="1128" spans="1:9" ht="17.399999999999999" x14ac:dyDescent="0.25">
      <c r="A1128" s="16"/>
      <c r="B1128" s="17"/>
      <c r="C1128" s="2"/>
      <c r="D1128" s="2"/>
      <c r="E1128" s="2"/>
      <c r="F1128" s="2"/>
      <c r="G1128" s="2"/>
      <c r="H1128" s="2"/>
      <c r="I1128" s="5"/>
    </row>
    <row r="1129" spans="1:9" ht="17.399999999999999" x14ac:dyDescent="0.25">
      <c r="A1129" s="16"/>
      <c r="B1129" s="17"/>
      <c r="C1129" s="2"/>
      <c r="D1129" s="2"/>
      <c r="E1129" s="2"/>
      <c r="F1129" s="2"/>
      <c r="G1129" s="2"/>
      <c r="H1129" s="2"/>
      <c r="I1129" s="5"/>
    </row>
    <row r="1130" spans="1:9" ht="17.399999999999999" x14ac:dyDescent="0.25">
      <c r="A1130" s="16"/>
      <c r="B1130" s="17"/>
      <c r="C1130" s="2"/>
      <c r="D1130" s="2"/>
      <c r="E1130" s="2"/>
      <c r="F1130" s="2"/>
      <c r="G1130" s="2"/>
      <c r="H1130" s="2"/>
      <c r="I1130" s="5"/>
    </row>
    <row r="1131" spans="1:9" ht="17.399999999999999" x14ac:dyDescent="0.25">
      <c r="A1131" s="16"/>
      <c r="B1131" s="17"/>
      <c r="C1131" s="2"/>
      <c r="D1131" s="2"/>
      <c r="E1131" s="2"/>
      <c r="F1131" s="2"/>
      <c r="G1131" s="2"/>
      <c r="H1131" s="2"/>
      <c r="I1131" s="5"/>
    </row>
    <row r="1132" spans="1:9" ht="17.399999999999999" x14ac:dyDescent="0.25">
      <c r="A1132" s="16"/>
      <c r="B1132" s="17"/>
      <c r="C1132" s="2"/>
      <c r="D1132" s="2"/>
      <c r="E1132" s="2"/>
      <c r="F1132" s="2"/>
      <c r="G1132" s="2"/>
      <c r="H1132" s="2"/>
      <c r="I1132" s="5"/>
    </row>
    <row r="1133" spans="1:9" ht="17.399999999999999" x14ac:dyDescent="0.25">
      <c r="A1133" s="16"/>
      <c r="B1133" s="17"/>
      <c r="C1133" s="2"/>
      <c r="D1133" s="2"/>
      <c r="E1133" s="2"/>
      <c r="F1133" s="2"/>
      <c r="G1133" s="2"/>
      <c r="H1133" s="2"/>
      <c r="I1133" s="5"/>
    </row>
    <row r="1134" spans="1:9" ht="17.399999999999999" x14ac:dyDescent="0.25">
      <c r="A1134" s="16"/>
      <c r="B1134" s="17"/>
      <c r="C1134" s="2"/>
      <c r="D1134" s="2"/>
      <c r="E1134" s="2"/>
      <c r="F1134" s="2"/>
      <c r="G1134" s="2"/>
      <c r="H1134" s="2"/>
      <c r="I1134" s="5"/>
    </row>
    <row r="1135" spans="1:9" ht="17.399999999999999" x14ac:dyDescent="0.25">
      <c r="A1135" s="16"/>
      <c r="B1135" s="17"/>
      <c r="C1135" s="2"/>
      <c r="D1135" s="2"/>
      <c r="E1135" s="2"/>
      <c r="F1135" s="2"/>
      <c r="G1135" s="2"/>
      <c r="H1135" s="2"/>
      <c r="I1135" s="5"/>
    </row>
    <row r="1136" spans="1:9" ht="17.399999999999999" x14ac:dyDescent="0.25">
      <c r="A1136" s="16"/>
      <c r="B1136" s="17"/>
      <c r="C1136" s="2"/>
      <c r="D1136" s="2"/>
      <c r="E1136" s="2"/>
      <c r="F1136" s="2"/>
      <c r="G1136" s="2"/>
      <c r="H1136" s="2"/>
      <c r="I1136" s="5"/>
    </row>
    <row r="1137" spans="1:9" ht="17.399999999999999" x14ac:dyDescent="0.25">
      <c r="A1137" s="16"/>
      <c r="B1137" s="17"/>
      <c r="C1137" s="2"/>
      <c r="D1137" s="2"/>
      <c r="E1137" s="2"/>
      <c r="F1137" s="2"/>
      <c r="G1137" s="2"/>
      <c r="H1137" s="2"/>
      <c r="I1137" s="5"/>
    </row>
    <row r="1138" spans="1:9" ht="17.399999999999999" x14ac:dyDescent="0.25">
      <c r="A1138" s="16"/>
      <c r="B1138" s="17"/>
      <c r="C1138" s="2"/>
      <c r="D1138" s="2"/>
      <c r="E1138" s="2"/>
      <c r="F1138" s="2"/>
      <c r="G1138" s="2"/>
      <c r="H1138" s="2"/>
      <c r="I1138" s="5"/>
    </row>
    <row r="1139" spans="1:9" ht="17.399999999999999" x14ac:dyDescent="0.25">
      <c r="A1139" s="16"/>
      <c r="B1139" s="17"/>
      <c r="C1139" s="2"/>
      <c r="D1139" s="2"/>
      <c r="E1139" s="2"/>
      <c r="F1139" s="2"/>
      <c r="G1139" s="2"/>
      <c r="H1139" s="2"/>
      <c r="I1139" s="5"/>
    </row>
    <row r="1140" spans="1:9" ht="17.399999999999999" x14ac:dyDescent="0.25">
      <c r="A1140" s="16"/>
      <c r="B1140" s="17"/>
      <c r="C1140" s="2"/>
      <c r="D1140" s="2"/>
      <c r="E1140" s="2"/>
      <c r="F1140" s="2"/>
      <c r="G1140" s="2"/>
      <c r="H1140" s="2"/>
      <c r="I1140" s="5"/>
    </row>
    <row r="1141" spans="1:9" ht="17.399999999999999" x14ac:dyDescent="0.25">
      <c r="A1141" s="16"/>
      <c r="B1141" s="17"/>
      <c r="C1141" s="2"/>
      <c r="D1141" s="2"/>
      <c r="E1141" s="2"/>
      <c r="F1141" s="2"/>
      <c r="G1141" s="2"/>
      <c r="H1141" s="2"/>
      <c r="I1141" s="5"/>
    </row>
    <row r="1142" spans="1:9" ht="17.399999999999999" x14ac:dyDescent="0.25">
      <c r="A1142" s="16"/>
      <c r="B1142" s="17"/>
      <c r="C1142" s="2"/>
      <c r="D1142" s="2"/>
      <c r="E1142" s="2"/>
      <c r="F1142" s="2"/>
      <c r="G1142" s="2"/>
      <c r="H1142" s="2"/>
      <c r="I1142" s="5"/>
    </row>
    <row r="1143" spans="1:9" ht="17.399999999999999" x14ac:dyDescent="0.25">
      <c r="A1143" s="16"/>
      <c r="B1143" s="17"/>
      <c r="C1143" s="2"/>
      <c r="D1143" s="2"/>
      <c r="E1143" s="2"/>
      <c r="F1143" s="2"/>
      <c r="G1143" s="2"/>
      <c r="H1143" s="2"/>
      <c r="I1143" s="5"/>
    </row>
    <row r="1144" spans="1:9" ht="17.399999999999999" x14ac:dyDescent="0.25">
      <c r="A1144" s="16"/>
      <c r="B1144" s="17"/>
      <c r="C1144" s="2"/>
      <c r="D1144" s="2"/>
      <c r="E1144" s="2"/>
      <c r="F1144" s="2"/>
      <c r="G1144" s="2"/>
      <c r="H1144" s="2"/>
      <c r="I1144" s="5"/>
    </row>
    <row r="1145" spans="1:9" ht="17.399999999999999" x14ac:dyDescent="0.25">
      <c r="A1145" s="16"/>
      <c r="B1145" s="17"/>
      <c r="C1145" s="2"/>
      <c r="D1145" s="2"/>
      <c r="E1145" s="2"/>
      <c r="F1145" s="2"/>
      <c r="G1145" s="2"/>
      <c r="H1145" s="2"/>
      <c r="I1145" s="5"/>
    </row>
    <row r="1146" spans="1:9" ht="17.399999999999999" x14ac:dyDescent="0.25">
      <c r="A1146" s="16"/>
      <c r="B1146" s="17"/>
      <c r="C1146" s="2"/>
      <c r="D1146" s="2"/>
      <c r="E1146" s="2"/>
      <c r="F1146" s="2"/>
      <c r="G1146" s="2"/>
      <c r="H1146" s="2"/>
      <c r="I1146" s="5"/>
    </row>
    <row r="1147" spans="1:9" ht="17.399999999999999" x14ac:dyDescent="0.25">
      <c r="A1147" s="16"/>
      <c r="B1147" s="17"/>
      <c r="C1147" s="2"/>
      <c r="D1147" s="2"/>
      <c r="E1147" s="2"/>
      <c r="F1147" s="2"/>
      <c r="G1147" s="2"/>
      <c r="H1147" s="2"/>
      <c r="I1147" s="5"/>
    </row>
    <row r="1148" spans="1:9" ht="17.399999999999999" x14ac:dyDescent="0.25">
      <c r="A1148" s="16"/>
      <c r="B1148" s="17"/>
      <c r="C1148" s="2"/>
      <c r="D1148" s="2"/>
      <c r="E1148" s="2"/>
      <c r="F1148" s="2"/>
      <c r="G1148" s="2"/>
      <c r="H1148" s="2"/>
      <c r="I1148" s="5"/>
    </row>
    <row r="1149" spans="1:9" ht="17.399999999999999" x14ac:dyDescent="0.25">
      <c r="A1149" s="16"/>
      <c r="B1149" s="17"/>
      <c r="C1149" s="2"/>
      <c r="D1149" s="2"/>
      <c r="E1149" s="2"/>
      <c r="F1149" s="2"/>
      <c r="G1149" s="2"/>
      <c r="H1149" s="2"/>
      <c r="I1149" s="5"/>
    </row>
    <row r="1150" spans="1:9" ht="17.399999999999999" x14ac:dyDescent="0.25">
      <c r="A1150" s="16"/>
      <c r="B1150" s="17"/>
      <c r="C1150" s="2"/>
      <c r="D1150" s="2"/>
      <c r="E1150" s="2"/>
      <c r="F1150" s="2"/>
      <c r="G1150" s="2"/>
      <c r="H1150" s="2"/>
      <c r="I1150" s="5"/>
    </row>
    <row r="1151" spans="1:9" ht="17.399999999999999" x14ac:dyDescent="0.25">
      <c r="A1151" s="16"/>
      <c r="B1151" s="17"/>
      <c r="C1151" s="2"/>
      <c r="D1151" s="2"/>
      <c r="E1151" s="2"/>
      <c r="F1151" s="2"/>
      <c r="G1151" s="2"/>
      <c r="H1151" s="2"/>
      <c r="I1151" s="5"/>
    </row>
    <row r="1152" spans="1:9" ht="17.399999999999999" x14ac:dyDescent="0.25">
      <c r="A1152" s="16"/>
      <c r="B1152" s="17"/>
      <c r="C1152" s="2"/>
      <c r="D1152" s="2"/>
      <c r="E1152" s="2"/>
      <c r="F1152" s="2"/>
      <c r="G1152" s="2"/>
      <c r="H1152" s="2"/>
      <c r="I1152" s="5"/>
    </row>
    <row r="1153" spans="1:9" ht="17.399999999999999" x14ac:dyDescent="0.25">
      <c r="A1153" s="16"/>
      <c r="B1153" s="17"/>
      <c r="C1153" s="2"/>
      <c r="D1153" s="2"/>
      <c r="E1153" s="2"/>
      <c r="F1153" s="2"/>
      <c r="G1153" s="2"/>
      <c r="H1153" s="2"/>
      <c r="I1153" s="5"/>
    </row>
    <row r="1154" spans="1:9" ht="17.399999999999999" x14ac:dyDescent="0.25">
      <c r="A1154" s="16"/>
      <c r="B1154" s="17"/>
      <c r="C1154" s="2"/>
      <c r="D1154" s="2"/>
      <c r="E1154" s="2"/>
      <c r="F1154" s="2"/>
      <c r="G1154" s="2"/>
      <c r="H1154" s="2"/>
      <c r="I1154" s="5"/>
    </row>
    <row r="1155" spans="1:9" ht="17.399999999999999" x14ac:dyDescent="0.25">
      <c r="A1155" s="16"/>
      <c r="B1155" s="17"/>
      <c r="C1155" s="2"/>
      <c r="D1155" s="2"/>
      <c r="E1155" s="2"/>
      <c r="F1155" s="2"/>
      <c r="G1155" s="2"/>
      <c r="H1155" s="2"/>
      <c r="I1155" s="5"/>
    </row>
    <row r="1156" spans="1:9" ht="17.399999999999999" x14ac:dyDescent="0.25">
      <c r="A1156" s="16"/>
      <c r="B1156" s="17"/>
      <c r="C1156" s="2"/>
      <c r="D1156" s="2"/>
      <c r="E1156" s="2"/>
      <c r="F1156" s="2"/>
      <c r="G1156" s="2"/>
      <c r="H1156" s="2"/>
      <c r="I1156" s="5"/>
    </row>
    <row r="1157" spans="1:9" ht="17.399999999999999" x14ac:dyDescent="0.25">
      <c r="A1157" s="16"/>
      <c r="B1157" s="17"/>
      <c r="C1157" s="2"/>
      <c r="D1157" s="2"/>
      <c r="E1157" s="2"/>
      <c r="F1157" s="2"/>
      <c r="G1157" s="2"/>
      <c r="H1157" s="2"/>
      <c r="I1157" s="5"/>
    </row>
    <row r="1158" spans="1:9" ht="17.399999999999999" x14ac:dyDescent="0.25">
      <c r="A1158" s="16"/>
      <c r="B1158" s="17"/>
      <c r="C1158" s="2"/>
      <c r="D1158" s="2"/>
      <c r="E1158" s="2"/>
      <c r="F1158" s="2"/>
      <c r="G1158" s="2"/>
      <c r="H1158" s="2"/>
      <c r="I1158" s="5"/>
    </row>
    <row r="1159" spans="1:9" ht="17.399999999999999" x14ac:dyDescent="0.25">
      <c r="A1159" s="16"/>
      <c r="B1159" s="17"/>
      <c r="C1159" s="2"/>
      <c r="D1159" s="2"/>
      <c r="E1159" s="2"/>
      <c r="F1159" s="2"/>
      <c r="G1159" s="2"/>
      <c r="H1159" s="2"/>
      <c r="I1159" s="5"/>
    </row>
    <row r="1160" spans="1:9" ht="17.399999999999999" x14ac:dyDescent="0.25">
      <c r="A1160" s="16"/>
      <c r="B1160" s="17"/>
      <c r="C1160" s="2"/>
      <c r="D1160" s="2"/>
      <c r="E1160" s="2"/>
      <c r="F1160" s="2"/>
      <c r="G1160" s="2"/>
      <c r="H1160" s="2"/>
      <c r="I1160" s="5"/>
    </row>
    <row r="1161" spans="1:9" ht="17.399999999999999" x14ac:dyDescent="0.25">
      <c r="A1161" s="16"/>
      <c r="B1161" s="17"/>
      <c r="C1161" s="2"/>
      <c r="D1161" s="2"/>
      <c r="E1161" s="2"/>
      <c r="F1161" s="2"/>
      <c r="G1161" s="2"/>
      <c r="H1161" s="2"/>
      <c r="I1161" s="5"/>
    </row>
    <row r="1162" spans="1:9" ht="17.399999999999999" x14ac:dyDescent="0.25">
      <c r="A1162" s="16"/>
      <c r="B1162" s="17"/>
      <c r="C1162" s="2"/>
      <c r="D1162" s="2"/>
      <c r="E1162" s="2"/>
      <c r="F1162" s="2"/>
      <c r="G1162" s="2"/>
      <c r="H1162" s="2"/>
      <c r="I1162" s="5"/>
    </row>
    <row r="1163" spans="1:9" ht="17.399999999999999" x14ac:dyDescent="0.25">
      <c r="A1163" s="16"/>
      <c r="B1163" s="17"/>
      <c r="C1163" s="2"/>
      <c r="D1163" s="2"/>
      <c r="E1163" s="2"/>
      <c r="F1163" s="2"/>
      <c r="G1163" s="2"/>
      <c r="H1163" s="2"/>
      <c r="I1163" s="5"/>
    </row>
    <row r="1164" spans="1:9" ht="17.399999999999999" x14ac:dyDescent="0.25">
      <c r="A1164" s="16"/>
      <c r="B1164" s="17"/>
      <c r="C1164" s="2"/>
      <c r="D1164" s="2"/>
      <c r="E1164" s="2"/>
      <c r="F1164" s="2"/>
      <c r="G1164" s="2"/>
      <c r="H1164" s="2"/>
      <c r="I1164" s="5"/>
    </row>
    <row r="1165" spans="1:9" ht="17.399999999999999" x14ac:dyDescent="0.25">
      <c r="A1165" s="16"/>
      <c r="B1165" s="17"/>
      <c r="C1165" s="2"/>
      <c r="D1165" s="2"/>
      <c r="E1165" s="2"/>
      <c r="F1165" s="2"/>
      <c r="G1165" s="2"/>
      <c r="H1165" s="2"/>
      <c r="I1165" s="5"/>
    </row>
    <row r="1166" spans="1:9" ht="17.399999999999999" x14ac:dyDescent="0.25">
      <c r="A1166" s="16"/>
      <c r="B1166" s="17"/>
      <c r="C1166" s="2"/>
      <c r="D1166" s="2"/>
      <c r="E1166" s="2"/>
      <c r="F1166" s="2"/>
      <c r="G1166" s="2"/>
      <c r="H1166" s="2"/>
      <c r="I1166" s="5"/>
    </row>
    <row r="1167" spans="1:9" ht="17.399999999999999" x14ac:dyDescent="0.25">
      <c r="A1167" s="16"/>
      <c r="B1167" s="17"/>
      <c r="C1167" s="2"/>
      <c r="D1167" s="2"/>
      <c r="E1167" s="2"/>
      <c r="F1167" s="2"/>
      <c r="G1167" s="2"/>
      <c r="H1167" s="2"/>
      <c r="I1167" s="5"/>
    </row>
    <row r="1168" spans="1:9" ht="17.399999999999999" x14ac:dyDescent="0.25">
      <c r="A1168" s="16"/>
      <c r="B1168" s="17"/>
      <c r="C1168" s="2"/>
      <c r="D1168" s="2"/>
      <c r="E1168" s="2"/>
      <c r="F1168" s="2"/>
      <c r="G1168" s="2"/>
      <c r="H1168" s="2"/>
      <c r="I1168" s="5"/>
    </row>
    <row r="1169" spans="1:9" ht="17.399999999999999" x14ac:dyDescent="0.25">
      <c r="A1169" s="16"/>
      <c r="B1169" s="17"/>
      <c r="C1169" s="2"/>
      <c r="D1169" s="2"/>
      <c r="E1169" s="2"/>
      <c r="F1169" s="2"/>
      <c r="G1169" s="2"/>
      <c r="H1169" s="2"/>
      <c r="I1169" s="5"/>
    </row>
    <row r="1170" spans="1:9" ht="17.399999999999999" x14ac:dyDescent="0.25">
      <c r="A1170" s="16"/>
      <c r="B1170" s="17"/>
      <c r="C1170" s="2"/>
      <c r="D1170" s="2"/>
      <c r="E1170" s="2"/>
      <c r="F1170" s="2"/>
      <c r="G1170" s="2"/>
      <c r="H1170" s="2"/>
      <c r="I1170" s="5"/>
    </row>
    <row r="1171" spans="1:9" ht="17.399999999999999" x14ac:dyDescent="0.25">
      <c r="A1171" s="16"/>
      <c r="B1171" s="17"/>
      <c r="C1171" s="2"/>
      <c r="D1171" s="2"/>
      <c r="E1171" s="2"/>
      <c r="F1171" s="2"/>
      <c r="G1171" s="2"/>
      <c r="H1171" s="2"/>
      <c r="I1171" s="5"/>
    </row>
    <row r="1172" spans="1:9" ht="17.399999999999999" x14ac:dyDescent="0.25">
      <c r="A1172" s="16"/>
      <c r="B1172" s="17"/>
      <c r="C1172" s="2"/>
      <c r="D1172" s="2"/>
      <c r="E1172" s="2"/>
      <c r="F1172" s="2"/>
      <c r="G1172" s="2"/>
      <c r="H1172" s="2"/>
      <c r="I1172" s="5"/>
    </row>
    <row r="1173" spans="1:9" ht="17.399999999999999" x14ac:dyDescent="0.25">
      <c r="A1173" s="16"/>
      <c r="B1173" s="17"/>
      <c r="C1173" s="2"/>
      <c r="D1173" s="2"/>
      <c r="E1173" s="2"/>
      <c r="F1173" s="2"/>
      <c r="G1173" s="2"/>
      <c r="H1173" s="2"/>
      <c r="I1173" s="5"/>
    </row>
    <row r="1174" spans="1:9" ht="17.399999999999999" x14ac:dyDescent="0.25">
      <c r="A1174" s="16"/>
      <c r="B1174" s="17"/>
      <c r="C1174" s="2"/>
      <c r="D1174" s="2"/>
      <c r="E1174" s="2"/>
      <c r="F1174" s="2"/>
      <c r="G1174" s="2"/>
      <c r="H1174" s="2"/>
      <c r="I1174" s="5"/>
    </row>
    <row r="1175" spans="1:9" ht="17.399999999999999" x14ac:dyDescent="0.25">
      <c r="A1175" s="16"/>
      <c r="B1175" s="17"/>
      <c r="C1175" s="2"/>
      <c r="D1175" s="2"/>
      <c r="E1175" s="2"/>
      <c r="F1175" s="2"/>
      <c r="G1175" s="2"/>
      <c r="H1175" s="2"/>
      <c r="I1175" s="5"/>
    </row>
    <row r="1176" spans="1:9" ht="17.399999999999999" x14ac:dyDescent="0.25">
      <c r="A1176" s="16"/>
      <c r="B1176" s="17"/>
      <c r="C1176" s="2"/>
      <c r="D1176" s="2"/>
      <c r="E1176" s="2"/>
      <c r="F1176" s="2"/>
      <c r="G1176" s="2"/>
      <c r="H1176" s="2"/>
      <c r="I1176" s="5"/>
    </row>
    <row r="1177" spans="1:9" ht="17.399999999999999" x14ac:dyDescent="0.25">
      <c r="A1177" s="16"/>
      <c r="B1177" s="17"/>
      <c r="C1177" s="2"/>
      <c r="D1177" s="2"/>
      <c r="E1177" s="2"/>
      <c r="F1177" s="2"/>
      <c r="G1177" s="2"/>
      <c r="H1177" s="2"/>
      <c r="I1177" s="5"/>
    </row>
    <row r="1178" spans="1:9" ht="17.399999999999999" x14ac:dyDescent="0.25">
      <c r="A1178" s="16"/>
      <c r="B1178" s="17"/>
      <c r="C1178" s="2"/>
      <c r="D1178" s="2"/>
      <c r="E1178" s="2"/>
      <c r="F1178" s="2"/>
      <c r="G1178" s="2"/>
      <c r="H1178" s="2"/>
      <c r="I1178" s="5"/>
    </row>
    <row r="1179" spans="1:9" ht="17.399999999999999" x14ac:dyDescent="0.25">
      <c r="A1179" s="16"/>
      <c r="B1179" s="17"/>
      <c r="C1179" s="2"/>
      <c r="D1179" s="2"/>
      <c r="E1179" s="2"/>
      <c r="F1179" s="2"/>
      <c r="G1179" s="2"/>
      <c r="H1179" s="2"/>
      <c r="I1179" s="5"/>
    </row>
    <row r="1180" spans="1:9" ht="17.399999999999999" x14ac:dyDescent="0.25">
      <c r="A1180" s="16"/>
      <c r="B1180" s="17"/>
      <c r="C1180" s="2"/>
      <c r="D1180" s="2"/>
      <c r="E1180" s="2"/>
      <c r="F1180" s="2"/>
      <c r="G1180" s="2"/>
      <c r="H1180" s="2"/>
      <c r="I1180" s="5"/>
    </row>
    <row r="1181" spans="1:9" ht="17.399999999999999" x14ac:dyDescent="0.25">
      <c r="A1181" s="16"/>
      <c r="B1181" s="17"/>
      <c r="C1181" s="2"/>
      <c r="D1181" s="2"/>
      <c r="E1181" s="2"/>
      <c r="F1181" s="2"/>
      <c r="G1181" s="2"/>
      <c r="H1181" s="2"/>
      <c r="I1181" s="5"/>
    </row>
    <row r="1182" spans="1:9" ht="17.399999999999999" x14ac:dyDescent="0.25">
      <c r="A1182" s="16"/>
      <c r="B1182" s="17"/>
      <c r="C1182" s="2"/>
      <c r="D1182" s="2"/>
      <c r="E1182" s="2"/>
      <c r="F1182" s="2"/>
      <c r="G1182" s="2"/>
      <c r="H1182" s="2"/>
      <c r="I1182" s="5"/>
    </row>
    <row r="1183" spans="1:9" ht="17.399999999999999" x14ac:dyDescent="0.25">
      <c r="A1183" s="16"/>
      <c r="B1183" s="17"/>
      <c r="C1183" s="2"/>
      <c r="D1183" s="2"/>
      <c r="E1183" s="2"/>
      <c r="F1183" s="2"/>
      <c r="G1183" s="2"/>
      <c r="H1183" s="2"/>
      <c r="I1183" s="5"/>
    </row>
    <row r="1184" spans="1:9" ht="17.399999999999999" x14ac:dyDescent="0.25">
      <c r="A1184" s="16"/>
      <c r="B1184" s="17"/>
      <c r="C1184" s="2"/>
      <c r="D1184" s="2"/>
      <c r="E1184" s="2"/>
      <c r="F1184" s="2"/>
      <c r="G1184" s="2"/>
      <c r="H1184" s="2"/>
      <c r="I1184" s="5"/>
    </row>
    <row r="1185" spans="1:9" ht="17.399999999999999" x14ac:dyDescent="0.25">
      <c r="A1185" s="16"/>
      <c r="B1185" s="17"/>
      <c r="C1185" s="2"/>
      <c r="D1185" s="2"/>
      <c r="E1185" s="2"/>
      <c r="F1185" s="2"/>
      <c r="G1185" s="2"/>
      <c r="H1185" s="2"/>
      <c r="I1185" s="5"/>
    </row>
    <row r="1186" spans="1:9" ht="17.399999999999999" x14ac:dyDescent="0.25">
      <c r="A1186" s="16"/>
      <c r="B1186" s="17"/>
      <c r="C1186" s="2"/>
      <c r="D1186" s="2"/>
      <c r="E1186" s="2"/>
      <c r="F1186" s="2"/>
      <c r="G1186" s="2"/>
      <c r="H1186" s="2"/>
      <c r="I1186" s="5"/>
    </row>
    <row r="1187" spans="1:9" ht="17.399999999999999" x14ac:dyDescent="0.25">
      <c r="A1187" s="16"/>
      <c r="B1187" s="17"/>
      <c r="C1187" s="2"/>
      <c r="D1187" s="2"/>
      <c r="E1187" s="2"/>
      <c r="F1187" s="2"/>
      <c r="G1187" s="2"/>
      <c r="H1187" s="2"/>
      <c r="I1187" s="5"/>
    </row>
    <row r="1188" spans="1:9" ht="17.399999999999999" x14ac:dyDescent="0.25">
      <c r="A1188" s="16"/>
      <c r="B1188" s="17"/>
      <c r="C1188" s="2"/>
      <c r="D1188" s="2"/>
      <c r="E1188" s="2"/>
      <c r="F1188" s="2"/>
      <c r="G1188" s="2"/>
      <c r="H1188" s="2"/>
      <c r="I1188" s="5"/>
    </row>
    <row r="1189" spans="1:9" ht="17.399999999999999" x14ac:dyDescent="0.25">
      <c r="A1189" s="16"/>
      <c r="B1189" s="17"/>
      <c r="C1189" s="2"/>
      <c r="D1189" s="2"/>
      <c r="E1189" s="2"/>
      <c r="F1189" s="2"/>
      <c r="G1189" s="2"/>
      <c r="H1189" s="2"/>
      <c r="I1189" s="5"/>
    </row>
    <row r="1190" spans="1:9" ht="17.399999999999999" x14ac:dyDescent="0.25">
      <c r="A1190" s="16"/>
      <c r="B1190" s="17"/>
      <c r="C1190" s="2"/>
      <c r="D1190" s="2"/>
      <c r="E1190" s="2"/>
      <c r="F1190" s="2"/>
      <c r="G1190" s="2"/>
      <c r="H1190" s="2"/>
      <c r="I1190" s="5"/>
    </row>
    <row r="1191" spans="1:9" ht="17.399999999999999" x14ac:dyDescent="0.25">
      <c r="A1191" s="16"/>
      <c r="B1191" s="17"/>
      <c r="C1191" s="2"/>
      <c r="D1191" s="2"/>
      <c r="E1191" s="2"/>
      <c r="F1191" s="2"/>
      <c r="G1191" s="2"/>
      <c r="H1191" s="2"/>
      <c r="I1191" s="5"/>
    </row>
    <row r="1192" spans="1:9" ht="17.399999999999999" x14ac:dyDescent="0.25">
      <c r="A1192" s="16"/>
      <c r="B1192" s="17"/>
      <c r="C1192" s="2"/>
      <c r="D1192" s="2"/>
      <c r="E1192" s="2"/>
      <c r="F1192" s="2"/>
      <c r="G1192" s="2"/>
      <c r="H1192" s="2"/>
      <c r="I1192" s="5"/>
    </row>
    <row r="1193" spans="1:9" ht="17.399999999999999" x14ac:dyDescent="0.25">
      <c r="A1193" s="16"/>
      <c r="B1193" s="17"/>
      <c r="C1193" s="2"/>
      <c r="D1193" s="2"/>
      <c r="E1193" s="2"/>
      <c r="F1193" s="2"/>
      <c r="G1193" s="2"/>
      <c r="H1193" s="2"/>
      <c r="I1193" s="5"/>
    </row>
    <row r="1194" spans="1:9" ht="17.399999999999999" x14ac:dyDescent="0.25">
      <c r="A1194" s="16"/>
      <c r="B1194" s="17"/>
      <c r="C1194" s="2"/>
      <c r="D1194" s="2"/>
      <c r="E1194" s="2"/>
      <c r="F1194" s="2"/>
      <c r="G1194" s="2"/>
      <c r="H1194" s="2"/>
      <c r="I1194" s="5"/>
    </row>
    <row r="1195" spans="1:9" ht="17.399999999999999" x14ac:dyDescent="0.25">
      <c r="A1195" s="16"/>
      <c r="B1195" s="17"/>
      <c r="C1195" s="2"/>
      <c r="D1195" s="2"/>
      <c r="E1195" s="2"/>
      <c r="F1195" s="2"/>
      <c r="G1195" s="2"/>
      <c r="H1195" s="2"/>
      <c r="I1195" s="5"/>
    </row>
    <row r="1196" spans="1:9" ht="17.399999999999999" x14ac:dyDescent="0.25">
      <c r="A1196" s="16"/>
      <c r="B1196" s="17"/>
      <c r="C1196" s="2"/>
      <c r="D1196" s="2"/>
      <c r="E1196" s="2"/>
      <c r="F1196" s="2"/>
      <c r="G1196" s="2"/>
      <c r="H1196" s="2"/>
      <c r="I1196" s="5"/>
    </row>
    <row r="1197" spans="1:9" ht="17.399999999999999" x14ac:dyDescent="0.25">
      <c r="A1197" s="16"/>
      <c r="B1197" s="17"/>
      <c r="C1197" s="2"/>
      <c r="D1197" s="2"/>
      <c r="E1197" s="2"/>
      <c r="F1197" s="2"/>
      <c r="G1197" s="2"/>
      <c r="H1197" s="2"/>
      <c r="I1197" s="5"/>
    </row>
    <row r="1198" spans="1:9" ht="17.399999999999999" x14ac:dyDescent="0.25">
      <c r="A1198" s="16"/>
      <c r="B1198" s="17"/>
      <c r="C1198" s="2"/>
      <c r="D1198" s="2"/>
      <c r="E1198" s="2"/>
      <c r="F1198" s="2"/>
      <c r="G1198" s="2"/>
      <c r="H1198" s="2"/>
      <c r="I1198" s="5"/>
    </row>
    <row r="1199" spans="1:9" ht="17.399999999999999" x14ac:dyDescent="0.25">
      <c r="A1199" s="16"/>
      <c r="B1199" s="17"/>
      <c r="C1199" s="2"/>
      <c r="D1199" s="2"/>
      <c r="E1199" s="2"/>
      <c r="F1199" s="2"/>
      <c r="G1199" s="2"/>
      <c r="H1199" s="2"/>
      <c r="I1199" s="5"/>
    </row>
    <row r="1200" spans="1:9" ht="17.399999999999999" x14ac:dyDescent="0.25">
      <c r="A1200" s="16"/>
      <c r="B1200" s="17"/>
      <c r="C1200" s="2"/>
      <c r="D1200" s="2"/>
      <c r="E1200" s="2"/>
      <c r="F1200" s="2"/>
      <c r="G1200" s="2"/>
      <c r="H1200" s="2"/>
      <c r="I1200" s="5"/>
    </row>
    <row r="1201" spans="1:9" ht="17.399999999999999" x14ac:dyDescent="0.25">
      <c r="A1201" s="16"/>
      <c r="B1201" s="17"/>
      <c r="C1201" s="2"/>
      <c r="D1201" s="2"/>
      <c r="E1201" s="2"/>
      <c r="F1201" s="2"/>
      <c r="G1201" s="2"/>
      <c r="H1201" s="2"/>
      <c r="I1201" s="5"/>
    </row>
    <row r="1202" spans="1:9" ht="17.399999999999999" x14ac:dyDescent="0.25">
      <c r="A1202" s="16"/>
      <c r="B1202" s="17"/>
      <c r="C1202" s="2"/>
      <c r="D1202" s="2"/>
      <c r="E1202" s="2"/>
      <c r="F1202" s="2"/>
      <c r="G1202" s="2"/>
      <c r="H1202" s="2"/>
      <c r="I1202" s="5"/>
    </row>
    <row r="1203" spans="1:9" ht="17.399999999999999" x14ac:dyDescent="0.25">
      <c r="A1203" s="16"/>
      <c r="B1203" s="17"/>
      <c r="C1203" s="2"/>
      <c r="D1203" s="2"/>
      <c r="E1203" s="2"/>
      <c r="F1203" s="2"/>
      <c r="G1203" s="2"/>
      <c r="H1203" s="2"/>
      <c r="I1203" s="5"/>
    </row>
    <row r="1204" spans="1:9" ht="17.399999999999999" x14ac:dyDescent="0.25">
      <c r="A1204" s="16"/>
      <c r="B1204" s="17"/>
      <c r="C1204" s="2"/>
      <c r="D1204" s="2"/>
      <c r="E1204" s="2"/>
      <c r="F1204" s="2"/>
      <c r="G1204" s="2"/>
      <c r="H1204" s="2"/>
      <c r="I1204" s="5"/>
    </row>
    <row r="1205" spans="1:9" ht="17.399999999999999" x14ac:dyDescent="0.25">
      <c r="A1205" s="16"/>
      <c r="B1205" s="17"/>
      <c r="C1205" s="2"/>
      <c r="D1205" s="2"/>
      <c r="E1205" s="2"/>
      <c r="F1205" s="2"/>
      <c r="G1205" s="2"/>
      <c r="H1205" s="2"/>
      <c r="I1205" s="5"/>
    </row>
    <row r="1206" spans="1:9" ht="17.399999999999999" x14ac:dyDescent="0.25">
      <c r="A1206" s="16"/>
      <c r="B1206" s="17"/>
      <c r="C1206" s="2"/>
      <c r="D1206" s="2"/>
      <c r="E1206" s="2"/>
      <c r="F1206" s="2"/>
      <c r="G1206" s="2"/>
      <c r="H1206" s="2"/>
      <c r="I1206" s="5"/>
    </row>
    <row r="1207" spans="1:9" ht="17.399999999999999" x14ac:dyDescent="0.25">
      <c r="A1207" s="16"/>
      <c r="B1207" s="17"/>
      <c r="C1207" s="2"/>
      <c r="D1207" s="2"/>
      <c r="E1207" s="2"/>
      <c r="F1207" s="2"/>
      <c r="G1207" s="2"/>
      <c r="H1207" s="2"/>
      <c r="I1207" s="5"/>
    </row>
    <row r="1208" spans="1:9" ht="17.399999999999999" x14ac:dyDescent="0.25">
      <c r="A1208" s="16"/>
      <c r="B1208" s="17"/>
      <c r="C1208" s="2"/>
      <c r="D1208" s="2"/>
      <c r="E1208" s="2"/>
      <c r="F1208" s="2"/>
      <c r="G1208" s="2"/>
      <c r="H1208" s="2"/>
      <c r="I1208" s="5"/>
    </row>
    <row r="1209" spans="1:9" ht="17.399999999999999" x14ac:dyDescent="0.25">
      <c r="A1209" s="16"/>
      <c r="B1209" s="17"/>
      <c r="C1209" s="2"/>
      <c r="D1209" s="2"/>
      <c r="E1209" s="2"/>
      <c r="F1209" s="2"/>
      <c r="G1209" s="2"/>
      <c r="H1209" s="2"/>
      <c r="I1209" s="5"/>
    </row>
    <row r="1210" spans="1:9" ht="17.399999999999999" x14ac:dyDescent="0.25">
      <c r="A1210" s="16"/>
      <c r="B1210" s="17"/>
      <c r="C1210" s="2"/>
      <c r="D1210" s="2"/>
      <c r="E1210" s="2"/>
      <c r="F1210" s="2"/>
      <c r="G1210" s="2"/>
      <c r="H1210" s="2"/>
      <c r="I1210" s="5"/>
    </row>
    <row r="1211" spans="1:9" ht="17.399999999999999" x14ac:dyDescent="0.25">
      <c r="A1211" s="16"/>
      <c r="B1211" s="17"/>
      <c r="C1211" s="2"/>
      <c r="D1211" s="2"/>
      <c r="E1211" s="2"/>
      <c r="F1211" s="2"/>
      <c r="G1211" s="2"/>
      <c r="H1211" s="2"/>
      <c r="I1211" s="5"/>
    </row>
    <row r="1212" spans="1:9" ht="17.399999999999999" x14ac:dyDescent="0.25">
      <c r="A1212" s="16"/>
      <c r="B1212" s="17"/>
      <c r="C1212" s="2"/>
      <c r="D1212" s="2"/>
      <c r="E1212" s="2"/>
      <c r="F1212" s="2"/>
      <c r="G1212" s="2"/>
      <c r="H1212" s="2"/>
      <c r="I1212" s="5"/>
    </row>
    <row r="1213" spans="1:9" ht="17.399999999999999" x14ac:dyDescent="0.25">
      <c r="A1213" s="16"/>
      <c r="B1213" s="17"/>
      <c r="C1213" s="2"/>
      <c r="D1213" s="2"/>
      <c r="E1213" s="2"/>
      <c r="F1213" s="2"/>
      <c r="G1213" s="2"/>
      <c r="H1213" s="2"/>
      <c r="I1213" s="5"/>
    </row>
    <row r="1214" spans="1:9" ht="17.399999999999999" x14ac:dyDescent="0.25">
      <c r="A1214" s="16"/>
      <c r="B1214" s="17"/>
      <c r="C1214" s="2"/>
      <c r="D1214" s="2"/>
      <c r="E1214" s="2"/>
      <c r="F1214" s="2"/>
      <c r="G1214" s="2"/>
      <c r="H1214" s="2"/>
      <c r="I1214" s="5"/>
    </row>
    <row r="1215" spans="1:9" ht="17.399999999999999" x14ac:dyDescent="0.25">
      <c r="A1215" s="16"/>
      <c r="B1215" s="17"/>
      <c r="C1215" s="2"/>
      <c r="D1215" s="2"/>
      <c r="E1215" s="2"/>
      <c r="F1215" s="2"/>
      <c r="G1215" s="2"/>
      <c r="H1215" s="2"/>
      <c r="I1215" s="5"/>
    </row>
    <row r="1216" spans="1:9" ht="17.399999999999999" x14ac:dyDescent="0.25">
      <c r="A1216" s="16"/>
      <c r="B1216" s="17"/>
      <c r="C1216" s="2"/>
      <c r="D1216" s="2"/>
      <c r="E1216" s="2"/>
      <c r="F1216" s="2"/>
      <c r="G1216" s="2"/>
      <c r="H1216" s="2"/>
      <c r="I1216" s="5"/>
    </row>
    <row r="1217" spans="1:9" ht="17.399999999999999" x14ac:dyDescent="0.25">
      <c r="A1217" s="16"/>
      <c r="B1217" s="17"/>
      <c r="C1217" s="2"/>
      <c r="D1217" s="2"/>
      <c r="E1217" s="2"/>
      <c r="F1217" s="2"/>
      <c r="G1217" s="2"/>
      <c r="H1217" s="2"/>
      <c r="I1217" s="5"/>
    </row>
    <row r="1218" spans="1:9" ht="17.399999999999999" x14ac:dyDescent="0.25">
      <c r="A1218" s="16"/>
      <c r="B1218" s="17"/>
      <c r="C1218" s="2"/>
      <c r="D1218" s="2"/>
      <c r="E1218" s="2"/>
      <c r="F1218" s="2"/>
      <c r="G1218" s="2"/>
      <c r="H1218" s="2"/>
      <c r="I1218" s="5"/>
    </row>
    <row r="1219" spans="1:9" ht="17.399999999999999" x14ac:dyDescent="0.25">
      <c r="A1219" s="16"/>
      <c r="B1219" s="17"/>
      <c r="C1219" s="2"/>
      <c r="D1219" s="2"/>
      <c r="E1219" s="2"/>
      <c r="F1219" s="2"/>
      <c r="G1219" s="2"/>
      <c r="H1219" s="2"/>
      <c r="I1219" s="5"/>
    </row>
    <row r="1220" spans="1:9" ht="17.399999999999999" x14ac:dyDescent="0.25">
      <c r="A1220" s="16"/>
      <c r="B1220" s="17"/>
      <c r="C1220" s="2"/>
      <c r="D1220" s="2"/>
      <c r="E1220" s="2"/>
      <c r="F1220" s="2"/>
      <c r="G1220" s="2"/>
      <c r="H1220" s="2"/>
      <c r="I1220" s="5"/>
    </row>
    <row r="1221" spans="1:9" ht="17.399999999999999" x14ac:dyDescent="0.25">
      <c r="A1221" s="16"/>
      <c r="B1221" s="17"/>
      <c r="C1221" s="2"/>
      <c r="D1221" s="2"/>
      <c r="E1221" s="2"/>
      <c r="F1221" s="2"/>
      <c r="G1221" s="2"/>
      <c r="H1221" s="2"/>
      <c r="I1221" s="5"/>
    </row>
    <row r="1222" spans="1:9" ht="17.399999999999999" x14ac:dyDescent="0.25">
      <c r="A1222" s="16"/>
      <c r="B1222" s="17"/>
      <c r="C1222" s="2"/>
      <c r="D1222" s="2"/>
      <c r="E1222" s="2"/>
      <c r="F1222" s="2"/>
      <c r="G1222" s="2"/>
      <c r="H1222" s="2"/>
      <c r="I1222" s="5"/>
    </row>
    <row r="1223" spans="1:9" ht="17.399999999999999" x14ac:dyDescent="0.25">
      <c r="A1223" s="16"/>
      <c r="B1223" s="17"/>
      <c r="C1223" s="2"/>
      <c r="D1223" s="2"/>
      <c r="E1223" s="2"/>
      <c r="F1223" s="2"/>
      <c r="G1223" s="2"/>
      <c r="H1223" s="2"/>
      <c r="I1223" s="5"/>
    </row>
    <row r="1224" spans="1:9" ht="17.399999999999999" x14ac:dyDescent="0.25">
      <c r="A1224" s="16"/>
      <c r="B1224" s="17"/>
      <c r="C1224" s="2"/>
      <c r="D1224" s="2"/>
      <c r="E1224" s="2"/>
      <c r="F1224" s="2"/>
      <c r="G1224" s="2"/>
      <c r="H1224" s="2"/>
      <c r="I1224" s="5"/>
    </row>
    <row r="1225" spans="1:9" ht="17.399999999999999" x14ac:dyDescent="0.25">
      <c r="A1225" s="16"/>
      <c r="B1225" s="17"/>
      <c r="C1225" s="2"/>
      <c r="D1225" s="2"/>
      <c r="E1225" s="2"/>
      <c r="F1225" s="2"/>
      <c r="G1225" s="2"/>
      <c r="H1225" s="2"/>
      <c r="I1225" s="5"/>
    </row>
    <row r="1226" spans="1:9" ht="17.399999999999999" x14ac:dyDescent="0.25">
      <c r="A1226" s="16"/>
      <c r="B1226" s="17"/>
      <c r="C1226" s="2"/>
      <c r="D1226" s="2"/>
      <c r="E1226" s="2"/>
      <c r="F1226" s="2"/>
      <c r="G1226" s="2"/>
      <c r="H1226" s="2"/>
      <c r="I1226" s="5"/>
    </row>
    <row r="1227" spans="1:9" ht="17.399999999999999" x14ac:dyDescent="0.25">
      <c r="A1227" s="16"/>
      <c r="B1227" s="17"/>
      <c r="C1227" s="2"/>
      <c r="D1227" s="2"/>
      <c r="E1227" s="2"/>
      <c r="F1227" s="2"/>
      <c r="G1227" s="2"/>
      <c r="H1227" s="2"/>
      <c r="I1227" s="5"/>
    </row>
    <row r="1228" spans="1:9" ht="17.399999999999999" x14ac:dyDescent="0.25">
      <c r="A1228" s="16"/>
      <c r="B1228" s="17"/>
      <c r="C1228" s="2"/>
      <c r="D1228" s="2"/>
      <c r="E1228" s="2"/>
      <c r="F1228" s="2"/>
      <c r="G1228" s="2"/>
      <c r="H1228" s="2"/>
      <c r="I1228" s="5"/>
    </row>
    <row r="1229" spans="1:9" ht="17.399999999999999" x14ac:dyDescent="0.25">
      <c r="A1229" s="16"/>
      <c r="B1229" s="17"/>
      <c r="C1229" s="2"/>
      <c r="D1229" s="2"/>
      <c r="E1229" s="2"/>
      <c r="F1229" s="2"/>
      <c r="G1229" s="2"/>
      <c r="H1229" s="2"/>
      <c r="I1229" s="5"/>
    </row>
    <row r="1230" spans="1:9" ht="17.399999999999999" x14ac:dyDescent="0.25">
      <c r="A1230" s="16"/>
      <c r="B1230" s="17"/>
      <c r="C1230" s="2"/>
      <c r="D1230" s="2"/>
      <c r="E1230" s="2"/>
      <c r="F1230" s="2"/>
      <c r="G1230" s="2"/>
      <c r="H1230" s="2"/>
      <c r="I1230" s="5"/>
    </row>
    <row r="1231" spans="1:9" ht="17.399999999999999" x14ac:dyDescent="0.25">
      <c r="A1231" s="16"/>
      <c r="B1231" s="17"/>
      <c r="C1231" s="2"/>
      <c r="D1231" s="2"/>
      <c r="E1231" s="2"/>
      <c r="F1231" s="2"/>
      <c r="G1231" s="2"/>
      <c r="H1231" s="2"/>
      <c r="I1231" s="5"/>
    </row>
    <row r="1232" spans="1:9" ht="17.399999999999999" x14ac:dyDescent="0.25">
      <c r="A1232" s="16"/>
      <c r="B1232" s="17"/>
      <c r="C1232" s="2"/>
      <c r="D1232" s="2"/>
      <c r="E1232" s="2"/>
      <c r="F1232" s="2"/>
      <c r="G1232" s="2"/>
      <c r="H1232" s="2"/>
      <c r="I1232" s="5"/>
    </row>
    <row r="1233" spans="1:9" ht="17.399999999999999" x14ac:dyDescent="0.25">
      <c r="A1233" s="16"/>
      <c r="B1233" s="17"/>
      <c r="C1233" s="2"/>
      <c r="D1233" s="2"/>
      <c r="E1233" s="2"/>
      <c r="F1233" s="2"/>
      <c r="G1233" s="2"/>
      <c r="H1233" s="2"/>
      <c r="I1233" s="5"/>
    </row>
    <row r="1234" spans="1:9" ht="17.399999999999999" x14ac:dyDescent="0.25">
      <c r="A1234" s="16"/>
      <c r="B1234" s="17"/>
      <c r="C1234" s="2"/>
      <c r="D1234" s="2"/>
      <c r="E1234" s="2"/>
      <c r="F1234" s="2"/>
      <c r="G1234" s="2"/>
      <c r="H1234" s="2"/>
      <c r="I1234" s="5"/>
    </row>
    <row r="1235" spans="1:9" ht="17.399999999999999" x14ac:dyDescent="0.25">
      <c r="A1235" s="16"/>
      <c r="B1235" s="17"/>
      <c r="C1235" s="2"/>
      <c r="D1235" s="2"/>
      <c r="E1235" s="2"/>
      <c r="F1235" s="2"/>
      <c r="G1235" s="2"/>
      <c r="H1235" s="2"/>
      <c r="I1235" s="5"/>
    </row>
    <row r="1236" spans="1:9" ht="17.399999999999999" x14ac:dyDescent="0.25">
      <c r="A1236" s="16"/>
      <c r="B1236" s="17"/>
      <c r="C1236" s="2"/>
      <c r="D1236" s="2"/>
      <c r="E1236" s="2"/>
      <c r="F1236" s="2"/>
      <c r="G1236" s="2"/>
      <c r="H1236" s="2"/>
      <c r="I1236" s="5"/>
    </row>
    <row r="1237" spans="1:9" ht="17.399999999999999" x14ac:dyDescent="0.25">
      <c r="A1237" s="16"/>
      <c r="B1237" s="17"/>
      <c r="C1237" s="2"/>
      <c r="D1237" s="2"/>
      <c r="E1237" s="2"/>
      <c r="F1237" s="2"/>
      <c r="G1237" s="2"/>
      <c r="H1237" s="2"/>
      <c r="I1237" s="5"/>
    </row>
    <row r="1238" spans="1:9" ht="17.399999999999999" x14ac:dyDescent="0.25">
      <c r="A1238" s="16"/>
      <c r="B1238" s="17"/>
      <c r="C1238" s="2"/>
      <c r="D1238" s="2"/>
      <c r="E1238" s="2"/>
      <c r="F1238" s="2"/>
      <c r="G1238" s="2"/>
      <c r="H1238" s="2"/>
      <c r="I1238" s="5"/>
    </row>
    <row r="1239" spans="1:9" ht="17.399999999999999" x14ac:dyDescent="0.25">
      <c r="A1239" s="16"/>
      <c r="B1239" s="17"/>
      <c r="C1239" s="2"/>
      <c r="D1239" s="2"/>
      <c r="E1239" s="2"/>
      <c r="F1239" s="2"/>
      <c r="G1239" s="2"/>
      <c r="H1239" s="2"/>
      <c r="I1239" s="5"/>
    </row>
    <row r="1240" spans="1:9" ht="17.399999999999999" x14ac:dyDescent="0.25">
      <c r="A1240" s="16"/>
      <c r="B1240" s="17"/>
      <c r="C1240" s="2"/>
      <c r="D1240" s="2"/>
      <c r="E1240" s="2"/>
      <c r="F1240" s="2"/>
      <c r="G1240" s="2"/>
      <c r="H1240" s="2"/>
      <c r="I1240" s="5"/>
    </row>
    <row r="1241" spans="1:9" ht="17.399999999999999" x14ac:dyDescent="0.25">
      <c r="A1241" s="16"/>
      <c r="B1241" s="17"/>
      <c r="C1241" s="2"/>
      <c r="D1241" s="2"/>
      <c r="E1241" s="2"/>
      <c r="F1241" s="2"/>
      <c r="G1241" s="2"/>
      <c r="H1241" s="2"/>
      <c r="I1241" s="5"/>
    </row>
    <row r="1242" spans="1:9" ht="17.399999999999999" x14ac:dyDescent="0.25">
      <c r="A1242" s="16"/>
      <c r="B1242" s="17"/>
      <c r="C1242" s="2"/>
      <c r="D1242" s="2"/>
      <c r="E1242" s="2"/>
      <c r="F1242" s="2"/>
      <c r="G1242" s="2"/>
      <c r="H1242" s="2"/>
      <c r="I1242" s="5"/>
    </row>
    <row r="1243" spans="1:9" ht="17.399999999999999" x14ac:dyDescent="0.25">
      <c r="A1243" s="16"/>
      <c r="B1243" s="17"/>
      <c r="C1243" s="2"/>
      <c r="D1243" s="2"/>
      <c r="E1243" s="2"/>
      <c r="F1243" s="2"/>
      <c r="G1243" s="2"/>
      <c r="H1243" s="2"/>
      <c r="I1243" s="5"/>
    </row>
    <row r="1244" spans="1:9" ht="17.399999999999999" x14ac:dyDescent="0.25">
      <c r="A1244" s="16"/>
      <c r="B1244" s="17"/>
      <c r="C1244" s="2"/>
      <c r="D1244" s="2"/>
      <c r="E1244" s="2"/>
      <c r="F1244" s="2"/>
      <c r="G1244" s="2"/>
      <c r="H1244" s="2"/>
      <c r="I1244" s="5"/>
    </row>
    <row r="1245" spans="1:9" ht="17.399999999999999" x14ac:dyDescent="0.25">
      <c r="A1245" s="16"/>
      <c r="B1245" s="17"/>
      <c r="C1245" s="2"/>
      <c r="D1245" s="2"/>
      <c r="E1245" s="2"/>
      <c r="F1245" s="2"/>
      <c r="G1245" s="2"/>
      <c r="H1245" s="2"/>
      <c r="I1245" s="5"/>
    </row>
    <row r="1246" spans="1:9" ht="17.399999999999999" x14ac:dyDescent="0.25">
      <c r="A1246" s="16"/>
      <c r="B1246" s="17"/>
      <c r="C1246" s="2"/>
      <c r="D1246" s="2"/>
      <c r="E1246" s="2"/>
      <c r="F1246" s="2"/>
      <c r="G1246" s="2"/>
      <c r="H1246" s="2"/>
      <c r="I1246" s="5"/>
    </row>
    <row r="1247" spans="1:9" ht="17.399999999999999" x14ac:dyDescent="0.25">
      <c r="A1247" s="16"/>
      <c r="B1247" s="17"/>
      <c r="C1247" s="2"/>
      <c r="D1247" s="2"/>
      <c r="E1247" s="2"/>
      <c r="F1247" s="2"/>
      <c r="G1247" s="2"/>
      <c r="H1247" s="2"/>
      <c r="I1247" s="5"/>
    </row>
    <row r="1248" spans="1:9" ht="17.399999999999999" x14ac:dyDescent="0.25">
      <c r="A1248" s="16"/>
      <c r="B1248" s="17"/>
      <c r="C1248" s="2"/>
      <c r="D1248" s="2"/>
      <c r="E1248" s="2"/>
      <c r="F1248" s="2"/>
      <c r="G1248" s="2"/>
      <c r="H1248" s="2"/>
      <c r="I1248" s="5"/>
    </row>
    <row r="1249" spans="1:9" ht="17.399999999999999" x14ac:dyDescent="0.25">
      <c r="A1249" s="16"/>
      <c r="B1249" s="17"/>
      <c r="C1249" s="2"/>
      <c r="D1249" s="2"/>
      <c r="E1249" s="2"/>
      <c r="F1249" s="2"/>
      <c r="G1249" s="2"/>
      <c r="H1249" s="2"/>
      <c r="I1249" s="5"/>
    </row>
    <row r="1250" spans="1:9" ht="17.399999999999999" x14ac:dyDescent="0.25">
      <c r="A1250" s="16"/>
      <c r="B1250" s="17"/>
      <c r="C1250" s="2"/>
      <c r="D1250" s="2"/>
      <c r="E1250" s="2"/>
      <c r="F1250" s="2"/>
      <c r="G1250" s="2"/>
      <c r="H1250" s="2"/>
      <c r="I1250" s="5"/>
    </row>
    <row r="1251" spans="1:9" ht="17.399999999999999" x14ac:dyDescent="0.25">
      <c r="A1251" s="16"/>
      <c r="B1251" s="17"/>
      <c r="C1251" s="2"/>
      <c r="D1251" s="2"/>
      <c r="E1251" s="2"/>
      <c r="F1251" s="2"/>
      <c r="G1251" s="2"/>
      <c r="H1251" s="2"/>
      <c r="I1251" s="5"/>
    </row>
    <row r="1252" spans="1:9" ht="17.399999999999999" x14ac:dyDescent="0.25">
      <c r="A1252" s="16"/>
      <c r="B1252" s="17"/>
      <c r="C1252" s="2"/>
      <c r="D1252" s="2"/>
      <c r="E1252" s="2"/>
      <c r="F1252" s="2"/>
      <c r="G1252" s="2"/>
      <c r="H1252" s="2"/>
      <c r="I1252" s="5"/>
    </row>
    <row r="1253" spans="1:9" ht="17.399999999999999" x14ac:dyDescent="0.25">
      <c r="A1253" s="16"/>
      <c r="B1253" s="17"/>
      <c r="C1253" s="2"/>
      <c r="D1253" s="2"/>
      <c r="E1253" s="2"/>
      <c r="F1253" s="2"/>
      <c r="G1253" s="2"/>
      <c r="H1253" s="2"/>
      <c r="I1253" s="5"/>
    </row>
    <row r="1254" spans="1:9" ht="17.399999999999999" x14ac:dyDescent="0.25">
      <c r="A1254" s="16"/>
      <c r="B1254" s="17"/>
      <c r="C1254" s="2"/>
      <c r="D1254" s="2"/>
      <c r="E1254" s="2"/>
      <c r="F1254" s="2"/>
      <c r="G1254" s="2"/>
      <c r="H1254" s="2"/>
      <c r="I1254" s="5"/>
    </row>
    <row r="1255" spans="1:9" ht="17.399999999999999" x14ac:dyDescent="0.25">
      <c r="A1255" s="16"/>
      <c r="B1255" s="17"/>
      <c r="C1255" s="2"/>
      <c r="D1255" s="2"/>
      <c r="E1255" s="2"/>
      <c r="F1255" s="2"/>
      <c r="G1255" s="2"/>
      <c r="H1255" s="2"/>
      <c r="I1255" s="5"/>
    </row>
    <row r="1256" spans="1:9" ht="17.399999999999999" x14ac:dyDescent="0.25">
      <c r="A1256" s="16"/>
      <c r="B1256" s="17"/>
      <c r="C1256" s="2"/>
      <c r="D1256" s="2"/>
      <c r="E1256" s="2"/>
      <c r="F1256" s="2"/>
      <c r="G1256" s="2"/>
      <c r="H1256" s="2"/>
      <c r="I1256" s="5"/>
    </row>
    <row r="1257" spans="1:9" ht="17.399999999999999" x14ac:dyDescent="0.25">
      <c r="A1257" s="16"/>
      <c r="B1257" s="17"/>
      <c r="C1257" s="2"/>
      <c r="D1257" s="2"/>
      <c r="E1257" s="2"/>
      <c r="F1257" s="2"/>
      <c r="G1257" s="2"/>
      <c r="H1257" s="2"/>
      <c r="I1257" s="5"/>
    </row>
    <row r="1258" spans="1:9" ht="17.399999999999999" x14ac:dyDescent="0.25">
      <c r="A1258" s="16"/>
      <c r="B1258" s="17"/>
      <c r="C1258" s="2"/>
      <c r="D1258" s="2"/>
      <c r="E1258" s="2"/>
      <c r="F1258" s="2"/>
      <c r="G1258" s="2"/>
      <c r="H1258" s="2"/>
      <c r="I1258" s="5"/>
    </row>
    <row r="1259" spans="1:9" ht="17.399999999999999" x14ac:dyDescent="0.25">
      <c r="A1259" s="16"/>
      <c r="B1259" s="17"/>
      <c r="C1259" s="2"/>
      <c r="D1259" s="2"/>
      <c r="E1259" s="2"/>
      <c r="F1259" s="2"/>
      <c r="G1259" s="2"/>
      <c r="H1259" s="2"/>
      <c r="I1259" s="5"/>
    </row>
    <row r="1260" spans="1:9" ht="17.399999999999999" x14ac:dyDescent="0.25">
      <c r="A1260" s="16"/>
      <c r="B1260" s="17"/>
      <c r="C1260" s="2"/>
      <c r="D1260" s="2"/>
      <c r="E1260" s="2"/>
      <c r="F1260" s="2"/>
      <c r="G1260" s="2"/>
      <c r="H1260" s="2"/>
      <c r="I1260" s="5"/>
    </row>
    <row r="1261" spans="1:9" ht="17.399999999999999" x14ac:dyDescent="0.25">
      <c r="A1261" s="16"/>
      <c r="B1261" s="17"/>
      <c r="C1261" s="2"/>
      <c r="D1261" s="2"/>
      <c r="E1261" s="2"/>
      <c r="F1261" s="2"/>
      <c r="G1261" s="2"/>
      <c r="H1261" s="2"/>
      <c r="I1261" s="5"/>
    </row>
    <row r="1262" spans="1:9" ht="17.399999999999999" x14ac:dyDescent="0.25">
      <c r="A1262" s="16"/>
      <c r="B1262" s="17"/>
      <c r="C1262" s="2"/>
      <c r="D1262" s="2"/>
      <c r="E1262" s="2"/>
      <c r="F1262" s="2"/>
      <c r="G1262" s="2"/>
      <c r="H1262" s="2"/>
      <c r="I1262" s="5"/>
    </row>
    <row r="1263" spans="1:9" ht="17.399999999999999" x14ac:dyDescent="0.25">
      <c r="A1263" s="16"/>
      <c r="B1263" s="17"/>
      <c r="C1263" s="2"/>
      <c r="D1263" s="2"/>
      <c r="E1263" s="2"/>
      <c r="F1263" s="2"/>
      <c r="G1263" s="2"/>
      <c r="H1263" s="2"/>
      <c r="I1263" s="5"/>
    </row>
    <row r="1264" spans="1:9" ht="17.399999999999999" x14ac:dyDescent="0.25">
      <c r="A1264" s="16"/>
      <c r="B1264" s="17"/>
      <c r="C1264" s="2"/>
      <c r="D1264" s="2"/>
      <c r="E1264" s="2"/>
      <c r="F1264" s="2"/>
      <c r="G1264" s="2"/>
      <c r="H1264" s="2"/>
      <c r="I1264" s="5"/>
    </row>
    <row r="1265" spans="1:9" ht="17.399999999999999" x14ac:dyDescent="0.25">
      <c r="A1265" s="16"/>
      <c r="B1265" s="17"/>
      <c r="C1265" s="2"/>
      <c r="D1265" s="2"/>
      <c r="E1265" s="2"/>
      <c r="F1265" s="2"/>
      <c r="G1265" s="2"/>
      <c r="H1265" s="2"/>
      <c r="I1265" s="5"/>
    </row>
    <row r="1266" spans="1:9" ht="17.399999999999999" x14ac:dyDescent="0.25">
      <c r="A1266" s="16"/>
      <c r="B1266" s="17"/>
      <c r="C1266" s="2"/>
      <c r="D1266" s="2"/>
      <c r="E1266" s="2"/>
      <c r="F1266" s="2"/>
      <c r="G1266" s="2"/>
      <c r="H1266" s="2"/>
      <c r="I1266" s="5"/>
    </row>
    <row r="1267" spans="1:9" ht="17.399999999999999" x14ac:dyDescent="0.25">
      <c r="A1267" s="16"/>
      <c r="B1267" s="17"/>
      <c r="C1267" s="2"/>
      <c r="D1267" s="2"/>
      <c r="E1267" s="2"/>
      <c r="F1267" s="2"/>
      <c r="G1267" s="2"/>
      <c r="H1267" s="2"/>
      <c r="I1267" s="5"/>
    </row>
    <row r="1268" spans="1:9" ht="17.399999999999999" x14ac:dyDescent="0.25">
      <c r="A1268" s="16"/>
      <c r="B1268" s="17"/>
      <c r="C1268" s="2"/>
      <c r="D1268" s="2"/>
      <c r="E1268" s="2"/>
      <c r="F1268" s="2"/>
      <c r="G1268" s="2"/>
      <c r="H1268" s="2"/>
      <c r="I1268" s="5"/>
    </row>
    <row r="1269" spans="1:9" ht="17.399999999999999" x14ac:dyDescent="0.25">
      <c r="A1269" s="16"/>
      <c r="B1269" s="17"/>
      <c r="C1269" s="2"/>
      <c r="D1269" s="2"/>
      <c r="E1269" s="2"/>
      <c r="F1269" s="2"/>
      <c r="G1269" s="2"/>
      <c r="H1269" s="2"/>
      <c r="I1269" s="5"/>
    </row>
    <row r="1270" spans="1:9" ht="17.399999999999999" x14ac:dyDescent="0.25">
      <c r="A1270" s="16"/>
      <c r="B1270" s="17"/>
      <c r="C1270" s="2"/>
      <c r="D1270" s="2"/>
      <c r="E1270" s="2"/>
      <c r="F1270" s="2"/>
      <c r="G1270" s="2"/>
      <c r="H1270" s="2"/>
      <c r="I1270" s="5"/>
    </row>
    <row r="1271" spans="1:9" ht="17.399999999999999" x14ac:dyDescent="0.25">
      <c r="A1271" s="16"/>
      <c r="B1271" s="17"/>
      <c r="C1271" s="2"/>
      <c r="D1271" s="2"/>
      <c r="E1271" s="2"/>
      <c r="F1271" s="2"/>
      <c r="G1271" s="2"/>
      <c r="H1271" s="2"/>
      <c r="I1271" s="5"/>
    </row>
    <row r="1272" spans="1:9" ht="17.399999999999999" x14ac:dyDescent="0.25">
      <c r="A1272" s="16"/>
      <c r="B1272" s="17"/>
      <c r="C1272" s="2"/>
      <c r="D1272" s="2"/>
      <c r="E1272" s="2"/>
      <c r="F1272" s="2"/>
      <c r="G1272" s="2"/>
      <c r="H1272" s="2"/>
      <c r="I1272" s="5"/>
    </row>
    <row r="1273" spans="1:9" ht="17.399999999999999" x14ac:dyDescent="0.25">
      <c r="A1273" s="16"/>
      <c r="B1273" s="17"/>
      <c r="C1273" s="2"/>
      <c r="D1273" s="2"/>
      <c r="E1273" s="2"/>
      <c r="F1273" s="2"/>
      <c r="G1273" s="2"/>
      <c r="H1273" s="2"/>
      <c r="I1273" s="5"/>
    </row>
    <row r="1274" spans="1:9" ht="17.399999999999999" x14ac:dyDescent="0.25">
      <c r="A1274" s="16"/>
      <c r="B1274" s="17"/>
      <c r="C1274" s="2"/>
      <c r="D1274" s="2"/>
      <c r="E1274" s="2"/>
      <c r="F1274" s="2"/>
      <c r="G1274" s="2"/>
      <c r="H1274" s="2"/>
      <c r="I1274" s="5"/>
    </row>
    <row r="1275" spans="1:9" ht="17.399999999999999" x14ac:dyDescent="0.25">
      <c r="A1275" s="16"/>
      <c r="B1275" s="17"/>
      <c r="C1275" s="2"/>
      <c r="D1275" s="2"/>
      <c r="E1275" s="2"/>
      <c r="F1275" s="2"/>
      <c r="G1275" s="2"/>
      <c r="H1275" s="2"/>
      <c r="I1275" s="5"/>
    </row>
    <row r="1276" spans="1:9" ht="17.399999999999999" x14ac:dyDescent="0.25">
      <c r="A1276" s="16"/>
      <c r="B1276" s="17"/>
      <c r="C1276" s="2"/>
      <c r="D1276" s="2"/>
      <c r="E1276" s="2"/>
      <c r="F1276" s="2"/>
      <c r="G1276" s="2"/>
      <c r="H1276" s="2"/>
      <c r="I1276" s="5"/>
    </row>
    <row r="1277" spans="1:9" ht="17.399999999999999" x14ac:dyDescent="0.25">
      <c r="A1277" s="16"/>
      <c r="B1277" s="17"/>
      <c r="C1277" s="2"/>
      <c r="D1277" s="2"/>
      <c r="E1277" s="2"/>
      <c r="F1277" s="2"/>
      <c r="G1277" s="2"/>
      <c r="H1277" s="2"/>
      <c r="I1277" s="5"/>
    </row>
    <row r="1278" spans="1:9" ht="17.399999999999999" x14ac:dyDescent="0.25">
      <c r="A1278" s="16"/>
      <c r="B1278" s="17"/>
      <c r="C1278" s="2"/>
      <c r="D1278" s="2"/>
      <c r="E1278" s="2"/>
      <c r="F1278" s="2"/>
      <c r="G1278" s="2"/>
      <c r="H1278" s="2"/>
      <c r="I1278" s="5"/>
    </row>
    <row r="1279" spans="1:9" ht="17.399999999999999" x14ac:dyDescent="0.25">
      <c r="A1279" s="16"/>
      <c r="B1279" s="17"/>
      <c r="C1279" s="2"/>
      <c r="D1279" s="2"/>
      <c r="E1279" s="2"/>
      <c r="F1279" s="2"/>
      <c r="G1279" s="2"/>
      <c r="H1279" s="2"/>
      <c r="I1279" s="5"/>
    </row>
    <row r="1280" spans="1:9" ht="17.399999999999999" x14ac:dyDescent="0.25">
      <c r="A1280" s="16"/>
      <c r="B1280" s="17"/>
      <c r="C1280" s="2"/>
      <c r="D1280" s="2"/>
      <c r="E1280" s="2"/>
      <c r="F1280" s="2"/>
      <c r="G1280" s="2"/>
      <c r="H1280" s="2"/>
      <c r="I1280" s="5"/>
    </row>
    <row r="1281" spans="1:9" ht="17.399999999999999" x14ac:dyDescent="0.25">
      <c r="A1281" s="16"/>
      <c r="B1281" s="17"/>
      <c r="C1281" s="2"/>
      <c r="D1281" s="2"/>
      <c r="E1281" s="2"/>
      <c r="F1281" s="2"/>
      <c r="G1281" s="2"/>
      <c r="H1281" s="2"/>
      <c r="I1281" s="5"/>
    </row>
    <row r="1282" spans="1:9" ht="17.399999999999999" x14ac:dyDescent="0.25">
      <c r="A1282" s="16"/>
      <c r="B1282" s="17"/>
      <c r="C1282" s="2"/>
      <c r="D1282" s="2"/>
      <c r="E1282" s="2"/>
      <c r="F1282" s="2"/>
      <c r="G1282" s="2"/>
      <c r="H1282" s="2"/>
      <c r="I1282" s="5"/>
    </row>
    <row r="1283" spans="1:9" ht="17.399999999999999" x14ac:dyDescent="0.25">
      <c r="A1283" s="16"/>
      <c r="B1283" s="17"/>
      <c r="C1283" s="2"/>
      <c r="D1283" s="2"/>
      <c r="E1283" s="2"/>
      <c r="F1283" s="2"/>
      <c r="G1283" s="2"/>
      <c r="H1283" s="2"/>
      <c r="I1283" s="5"/>
    </row>
    <row r="1284" spans="1:9" ht="17.399999999999999" x14ac:dyDescent="0.25">
      <c r="A1284" s="16"/>
      <c r="B1284" s="17"/>
      <c r="C1284" s="2"/>
      <c r="D1284" s="2"/>
      <c r="E1284" s="2"/>
      <c r="F1284" s="2"/>
      <c r="G1284" s="2"/>
      <c r="H1284" s="2"/>
      <c r="I1284" s="5"/>
    </row>
    <row r="1285" spans="1:9" ht="17.399999999999999" x14ac:dyDescent="0.25">
      <c r="A1285" s="16"/>
      <c r="B1285" s="17"/>
      <c r="C1285" s="2"/>
      <c r="D1285" s="2"/>
      <c r="E1285" s="2"/>
      <c r="F1285" s="2"/>
      <c r="G1285" s="2"/>
      <c r="H1285" s="2"/>
      <c r="I1285" s="5"/>
    </row>
    <row r="1286" spans="1:9" ht="17.399999999999999" x14ac:dyDescent="0.25">
      <c r="A1286" s="16"/>
      <c r="B1286" s="17"/>
      <c r="C1286" s="2"/>
      <c r="D1286" s="2"/>
      <c r="E1286" s="2"/>
      <c r="F1286" s="2"/>
      <c r="G1286" s="2"/>
      <c r="H1286" s="2"/>
      <c r="I1286" s="5"/>
    </row>
    <row r="1287" spans="1:9" ht="17.399999999999999" x14ac:dyDescent="0.25">
      <c r="A1287" s="16"/>
      <c r="B1287" s="17"/>
      <c r="C1287" s="2"/>
      <c r="D1287" s="2"/>
      <c r="E1287" s="2"/>
      <c r="F1287" s="2"/>
      <c r="G1287" s="2"/>
      <c r="H1287" s="2"/>
      <c r="I1287" s="5"/>
    </row>
    <row r="1288" spans="1:9" ht="17.399999999999999" x14ac:dyDescent="0.25">
      <c r="A1288" s="16"/>
      <c r="B1288" s="17"/>
      <c r="C1288" s="2"/>
      <c r="D1288" s="2"/>
      <c r="E1288" s="2"/>
      <c r="F1288" s="2"/>
      <c r="G1288" s="2"/>
      <c r="H1288" s="2"/>
      <c r="I1288" s="5"/>
    </row>
    <row r="1289" spans="1:9" ht="17.399999999999999" x14ac:dyDescent="0.25">
      <c r="A1289" s="16"/>
      <c r="B1289" s="17"/>
      <c r="C1289" s="2"/>
      <c r="D1289" s="2"/>
      <c r="E1289" s="2"/>
      <c r="F1289" s="2"/>
      <c r="G1289" s="2"/>
      <c r="H1289" s="2"/>
      <c r="I1289" s="5"/>
    </row>
    <row r="1290" spans="1:9" ht="17.399999999999999" x14ac:dyDescent="0.25">
      <c r="A1290" s="16"/>
      <c r="B1290" s="17"/>
      <c r="C1290" s="2"/>
      <c r="D1290" s="2"/>
      <c r="E1290" s="2"/>
      <c r="F1290" s="2"/>
      <c r="G1290" s="2"/>
      <c r="H1290" s="2"/>
      <c r="I1290" s="5"/>
    </row>
    <row r="1291" spans="1:9" ht="17.399999999999999" x14ac:dyDescent="0.25">
      <c r="A1291" s="16"/>
      <c r="B1291" s="17"/>
      <c r="C1291" s="2"/>
      <c r="D1291" s="2"/>
      <c r="E1291" s="2"/>
      <c r="F1291" s="2"/>
      <c r="G1291" s="2"/>
      <c r="H1291" s="2"/>
      <c r="I1291" s="5"/>
    </row>
    <row r="1292" spans="1:9" ht="17.399999999999999" x14ac:dyDescent="0.25">
      <c r="A1292" s="16"/>
      <c r="B1292" s="17"/>
      <c r="C1292" s="2"/>
      <c r="D1292" s="2"/>
      <c r="E1292" s="2"/>
      <c r="F1292" s="2"/>
      <c r="G1292" s="2"/>
      <c r="H1292" s="2"/>
      <c r="I1292" s="5"/>
    </row>
    <row r="1293" spans="1:9" ht="17.399999999999999" x14ac:dyDescent="0.25">
      <c r="A1293" s="16"/>
      <c r="B1293" s="17"/>
      <c r="C1293" s="2"/>
      <c r="D1293" s="2"/>
      <c r="E1293" s="2"/>
      <c r="F1293" s="2"/>
      <c r="G1293" s="2"/>
      <c r="H1293" s="2"/>
      <c r="I1293" s="5"/>
    </row>
    <row r="1294" spans="1:9" ht="17.399999999999999" x14ac:dyDescent="0.25">
      <c r="A1294" s="16"/>
      <c r="B1294" s="17"/>
      <c r="C1294" s="2"/>
      <c r="D1294" s="2"/>
      <c r="E1294" s="2"/>
      <c r="F1294" s="2"/>
      <c r="G1294" s="2"/>
      <c r="H1294" s="2"/>
      <c r="I1294" s="5"/>
    </row>
    <row r="1295" spans="1:9" ht="17.399999999999999" x14ac:dyDescent="0.25">
      <c r="A1295" s="16"/>
      <c r="B1295" s="17"/>
      <c r="C1295" s="2"/>
      <c r="D1295" s="2"/>
      <c r="E1295" s="2"/>
      <c r="F1295" s="2"/>
      <c r="G1295" s="2"/>
      <c r="H1295" s="2"/>
      <c r="I1295" s="5"/>
    </row>
    <row r="1296" spans="1:9" ht="17.399999999999999" x14ac:dyDescent="0.25">
      <c r="A1296" s="16"/>
      <c r="B1296" s="17"/>
      <c r="C1296" s="2"/>
      <c r="D1296" s="2"/>
      <c r="E1296" s="2"/>
      <c r="F1296" s="2"/>
      <c r="G1296" s="2"/>
      <c r="H1296" s="2"/>
      <c r="I1296" s="5"/>
    </row>
    <row r="1297" spans="1:9" ht="17.399999999999999" x14ac:dyDescent="0.25">
      <c r="A1297" s="16"/>
      <c r="B1297" s="17"/>
      <c r="C1297" s="2"/>
      <c r="D1297" s="2"/>
      <c r="E1297" s="2"/>
      <c r="F1297" s="2"/>
      <c r="G1297" s="2"/>
      <c r="H1297" s="2"/>
      <c r="I1297" s="5"/>
    </row>
    <row r="1298" spans="1:9" ht="17.399999999999999" x14ac:dyDescent="0.25">
      <c r="A1298" s="16"/>
      <c r="B1298" s="17"/>
      <c r="C1298" s="2"/>
      <c r="D1298" s="2"/>
      <c r="E1298" s="2"/>
      <c r="F1298" s="2"/>
      <c r="G1298" s="2"/>
      <c r="H1298" s="2"/>
      <c r="I1298" s="5"/>
    </row>
    <row r="1299" spans="1:9" ht="17.399999999999999" x14ac:dyDescent="0.25">
      <c r="A1299" s="16"/>
      <c r="B1299" s="17"/>
      <c r="C1299" s="2"/>
      <c r="D1299" s="2"/>
      <c r="E1299" s="2"/>
      <c r="F1299" s="2"/>
      <c r="G1299" s="2"/>
      <c r="H1299" s="2"/>
      <c r="I1299" s="5"/>
    </row>
    <row r="1300" spans="1:9" ht="17.399999999999999" x14ac:dyDescent="0.25">
      <c r="A1300" s="16"/>
      <c r="B1300" s="17"/>
      <c r="C1300" s="2"/>
      <c r="D1300" s="2"/>
      <c r="E1300" s="2"/>
      <c r="F1300" s="2"/>
      <c r="G1300" s="2"/>
      <c r="H1300" s="2"/>
      <c r="I1300" s="5"/>
    </row>
    <row r="1301" spans="1:9" ht="17.399999999999999" x14ac:dyDescent="0.25">
      <c r="A1301" s="16"/>
      <c r="B1301" s="17"/>
      <c r="C1301" s="2"/>
      <c r="D1301" s="2"/>
      <c r="E1301" s="2"/>
      <c r="F1301" s="2"/>
      <c r="G1301" s="2"/>
      <c r="H1301" s="2"/>
      <c r="I1301" s="5"/>
    </row>
    <row r="1302" spans="1:9" ht="17.399999999999999" x14ac:dyDescent="0.25">
      <c r="A1302" s="16"/>
      <c r="B1302" s="17"/>
      <c r="C1302" s="2"/>
      <c r="D1302" s="2"/>
      <c r="E1302" s="2"/>
      <c r="F1302" s="2"/>
      <c r="G1302" s="2"/>
      <c r="H1302" s="2"/>
      <c r="I1302" s="5"/>
    </row>
    <row r="1303" spans="1:9" ht="17.399999999999999" x14ac:dyDescent="0.25">
      <c r="A1303" s="16"/>
      <c r="B1303" s="17"/>
      <c r="C1303" s="2"/>
      <c r="D1303" s="2"/>
      <c r="E1303" s="2"/>
      <c r="F1303" s="2"/>
      <c r="G1303" s="2"/>
      <c r="H1303" s="2"/>
      <c r="I1303" s="5"/>
    </row>
    <row r="1304" spans="1:9" ht="17.399999999999999" x14ac:dyDescent="0.25">
      <c r="A1304" s="16"/>
      <c r="B1304" s="17"/>
      <c r="C1304" s="2"/>
      <c r="D1304" s="2"/>
      <c r="E1304" s="2"/>
      <c r="F1304" s="2"/>
      <c r="G1304" s="2"/>
      <c r="H1304" s="2"/>
      <c r="I1304" s="5"/>
    </row>
    <row r="1305" spans="1:9" ht="17.399999999999999" x14ac:dyDescent="0.25">
      <c r="A1305" s="16"/>
      <c r="B1305" s="17"/>
      <c r="C1305" s="2"/>
      <c r="D1305" s="2"/>
      <c r="E1305" s="2"/>
      <c r="F1305" s="2"/>
      <c r="G1305" s="2"/>
      <c r="H1305" s="2"/>
      <c r="I1305" s="5"/>
    </row>
    <row r="1306" spans="1:9" ht="17.399999999999999" x14ac:dyDescent="0.25">
      <c r="A1306" s="16"/>
      <c r="B1306" s="17"/>
      <c r="C1306" s="2"/>
      <c r="D1306" s="2"/>
      <c r="E1306" s="2"/>
      <c r="F1306" s="2"/>
      <c r="G1306" s="2"/>
      <c r="H1306" s="2"/>
      <c r="I1306" s="5"/>
    </row>
    <row r="1307" spans="1:9" ht="17.399999999999999" x14ac:dyDescent="0.25">
      <c r="A1307" s="16"/>
      <c r="B1307" s="17"/>
      <c r="C1307" s="2"/>
      <c r="D1307" s="2"/>
      <c r="E1307" s="2"/>
      <c r="F1307" s="2"/>
      <c r="G1307" s="2"/>
      <c r="H1307" s="2"/>
      <c r="I1307" s="5"/>
    </row>
    <row r="1308" spans="1:9" ht="17.399999999999999" x14ac:dyDescent="0.25">
      <c r="A1308" s="16"/>
      <c r="B1308" s="17"/>
      <c r="C1308" s="2"/>
      <c r="D1308" s="2"/>
      <c r="E1308" s="2"/>
      <c r="F1308" s="2"/>
      <c r="G1308" s="2"/>
      <c r="H1308" s="2"/>
      <c r="I1308" s="5"/>
    </row>
    <row r="1309" spans="1:9" ht="17.399999999999999" x14ac:dyDescent="0.25">
      <c r="A1309" s="16"/>
      <c r="B1309" s="17"/>
      <c r="C1309" s="2"/>
      <c r="D1309" s="2"/>
      <c r="E1309" s="2"/>
      <c r="F1309" s="2"/>
      <c r="G1309" s="2"/>
      <c r="H1309" s="2"/>
      <c r="I1309" s="5"/>
    </row>
    <row r="1310" spans="1:9" ht="17.399999999999999" x14ac:dyDescent="0.25">
      <c r="A1310" s="16"/>
      <c r="B1310" s="17"/>
      <c r="C1310" s="2"/>
      <c r="D1310" s="2"/>
      <c r="E1310" s="2"/>
      <c r="F1310" s="2"/>
      <c r="G1310" s="2"/>
      <c r="H1310" s="2"/>
      <c r="I1310" s="5"/>
    </row>
    <row r="1311" spans="1:9" ht="17.399999999999999" x14ac:dyDescent="0.25">
      <c r="A1311" s="16"/>
      <c r="B1311" s="17"/>
      <c r="C1311" s="2"/>
      <c r="D1311" s="2"/>
      <c r="E1311" s="2"/>
      <c r="F1311" s="2"/>
      <c r="G1311" s="2"/>
      <c r="H1311" s="2"/>
      <c r="I1311" s="5"/>
    </row>
    <row r="1312" spans="1:9" ht="17.399999999999999" x14ac:dyDescent="0.25">
      <c r="A1312" s="16"/>
      <c r="B1312" s="17"/>
      <c r="C1312" s="2"/>
      <c r="D1312" s="2"/>
      <c r="E1312" s="2"/>
      <c r="F1312" s="2"/>
      <c r="G1312" s="2"/>
      <c r="H1312" s="2"/>
      <c r="I1312" s="5"/>
    </row>
    <row r="1313" spans="1:9" ht="17.399999999999999" x14ac:dyDescent="0.25">
      <c r="A1313" s="16"/>
      <c r="B1313" s="17"/>
      <c r="C1313" s="2"/>
      <c r="D1313" s="2"/>
      <c r="E1313" s="2"/>
      <c r="F1313" s="2"/>
      <c r="G1313" s="2"/>
      <c r="H1313" s="2"/>
      <c r="I1313" s="5"/>
    </row>
    <row r="1314" spans="1:9" ht="17.399999999999999" x14ac:dyDescent="0.25">
      <c r="A1314" s="16"/>
      <c r="B1314" s="17"/>
      <c r="C1314" s="2"/>
      <c r="D1314" s="2"/>
      <c r="E1314" s="2"/>
      <c r="F1314" s="2"/>
      <c r="G1314" s="2"/>
      <c r="H1314" s="2"/>
      <c r="I1314" s="5"/>
    </row>
    <row r="1315" spans="1:9" ht="17.399999999999999" x14ac:dyDescent="0.25">
      <c r="A1315" s="16"/>
      <c r="B1315" s="17"/>
      <c r="C1315" s="2"/>
      <c r="D1315" s="2"/>
      <c r="E1315" s="2"/>
      <c r="F1315" s="2"/>
      <c r="G1315" s="2"/>
      <c r="H1315" s="2"/>
      <c r="I1315" s="5"/>
    </row>
    <row r="1316" spans="1:9" ht="17.399999999999999" x14ac:dyDescent="0.25">
      <c r="A1316" s="16"/>
      <c r="B1316" s="17"/>
      <c r="C1316" s="2"/>
      <c r="D1316" s="2"/>
      <c r="E1316" s="2"/>
      <c r="F1316" s="2"/>
      <c r="G1316" s="2"/>
      <c r="H1316" s="2"/>
      <c r="I1316" s="5"/>
    </row>
    <row r="1317" spans="1:9" ht="17.399999999999999" x14ac:dyDescent="0.25">
      <c r="A1317" s="16"/>
      <c r="B1317" s="17"/>
      <c r="C1317" s="2"/>
      <c r="D1317" s="2"/>
      <c r="E1317" s="2"/>
      <c r="F1317" s="2"/>
      <c r="G1317" s="2"/>
      <c r="H1317" s="2"/>
      <c r="I1317" s="5"/>
    </row>
    <row r="1318" spans="1:9" ht="17.399999999999999" x14ac:dyDescent="0.25">
      <c r="A1318" s="16"/>
      <c r="B1318" s="17"/>
      <c r="C1318" s="2"/>
      <c r="D1318" s="2"/>
      <c r="E1318" s="2"/>
      <c r="F1318" s="2"/>
      <c r="G1318" s="2"/>
      <c r="H1318" s="2"/>
      <c r="I1318" s="5"/>
    </row>
    <row r="1319" spans="1:9" ht="17.399999999999999" x14ac:dyDescent="0.25">
      <c r="A1319" s="16"/>
      <c r="B1319" s="17"/>
      <c r="C1319" s="2"/>
      <c r="D1319" s="2"/>
      <c r="E1319" s="2"/>
      <c r="F1319" s="2"/>
      <c r="G1319" s="2"/>
      <c r="H1319" s="2"/>
      <c r="I1319" s="5"/>
    </row>
    <row r="1320" spans="1:9" ht="17.399999999999999" x14ac:dyDescent="0.25">
      <c r="A1320" s="16"/>
      <c r="B1320" s="17"/>
      <c r="C1320" s="2"/>
      <c r="D1320" s="2"/>
      <c r="E1320" s="2"/>
      <c r="F1320" s="2"/>
      <c r="G1320" s="2"/>
      <c r="H1320" s="2"/>
      <c r="I1320" s="5"/>
    </row>
    <row r="1321" spans="1:9" ht="17.399999999999999" x14ac:dyDescent="0.25">
      <c r="A1321" s="16"/>
      <c r="B1321" s="17"/>
      <c r="C1321" s="2"/>
      <c r="D1321" s="2"/>
      <c r="E1321" s="2"/>
      <c r="F1321" s="2"/>
      <c r="G1321" s="2"/>
      <c r="H1321" s="2"/>
      <c r="I1321" s="5"/>
    </row>
    <row r="1322" spans="1:9" ht="17.399999999999999" x14ac:dyDescent="0.25">
      <c r="A1322" s="16"/>
      <c r="B1322" s="17"/>
      <c r="C1322" s="2"/>
      <c r="D1322" s="2"/>
      <c r="E1322" s="2"/>
      <c r="F1322" s="2"/>
      <c r="G1322" s="2"/>
      <c r="H1322" s="2"/>
      <c r="I1322" s="5"/>
    </row>
    <row r="1323" spans="1:9" ht="17.399999999999999" x14ac:dyDescent="0.25">
      <c r="A1323" s="16"/>
      <c r="B1323" s="17"/>
      <c r="C1323" s="2"/>
      <c r="D1323" s="2"/>
      <c r="E1323" s="2"/>
      <c r="F1323" s="2"/>
      <c r="G1323" s="2"/>
      <c r="H1323" s="2"/>
      <c r="I1323" s="5"/>
    </row>
    <row r="1324" spans="1:9" ht="17.399999999999999" x14ac:dyDescent="0.25">
      <c r="A1324" s="16"/>
      <c r="B1324" s="17"/>
      <c r="C1324" s="2"/>
      <c r="D1324" s="2"/>
      <c r="E1324" s="2"/>
      <c r="F1324" s="2"/>
      <c r="G1324" s="2"/>
      <c r="H1324" s="2"/>
      <c r="I1324" s="5"/>
    </row>
    <row r="1325" spans="1:9" ht="17.399999999999999" x14ac:dyDescent="0.25">
      <c r="A1325" s="16"/>
      <c r="B1325" s="17"/>
      <c r="C1325" s="2"/>
      <c r="D1325" s="2"/>
      <c r="E1325" s="2"/>
      <c r="F1325" s="2"/>
      <c r="G1325" s="2"/>
      <c r="H1325" s="2"/>
      <c r="I1325" s="5"/>
    </row>
    <row r="1326" spans="1:9" ht="17.399999999999999" x14ac:dyDescent="0.25">
      <c r="A1326" s="16"/>
      <c r="B1326" s="17"/>
      <c r="C1326" s="2"/>
      <c r="D1326" s="2"/>
      <c r="E1326" s="2"/>
      <c r="F1326" s="2"/>
      <c r="G1326" s="2"/>
      <c r="H1326" s="2"/>
      <c r="I1326" s="5"/>
    </row>
    <row r="1327" spans="1:9" ht="17.399999999999999" x14ac:dyDescent="0.25">
      <c r="A1327" s="16"/>
      <c r="B1327" s="17"/>
      <c r="C1327" s="2"/>
      <c r="D1327" s="2"/>
      <c r="E1327" s="2"/>
      <c r="F1327" s="2"/>
      <c r="G1327" s="2"/>
      <c r="H1327" s="2"/>
      <c r="I1327" s="5"/>
    </row>
    <row r="1328" spans="1:9" ht="17.399999999999999" x14ac:dyDescent="0.25">
      <c r="A1328" s="16"/>
      <c r="B1328" s="17"/>
      <c r="C1328" s="2"/>
      <c r="D1328" s="2"/>
      <c r="E1328" s="2"/>
      <c r="F1328" s="2"/>
      <c r="G1328" s="2"/>
      <c r="H1328" s="2"/>
      <c r="I1328" s="5"/>
    </row>
    <row r="1329" spans="1:9" ht="17.399999999999999" x14ac:dyDescent="0.25">
      <c r="A1329" s="16"/>
      <c r="B1329" s="17"/>
      <c r="C1329" s="2"/>
      <c r="D1329" s="2"/>
      <c r="E1329" s="2"/>
      <c r="F1329" s="2"/>
      <c r="G1329" s="2"/>
      <c r="H1329" s="2"/>
      <c r="I1329" s="5"/>
    </row>
    <row r="1330" spans="1:9" ht="17.399999999999999" x14ac:dyDescent="0.25">
      <c r="A1330" s="16"/>
      <c r="B1330" s="17"/>
      <c r="C1330" s="2"/>
      <c r="D1330" s="2"/>
      <c r="E1330" s="2"/>
      <c r="F1330" s="2"/>
      <c r="G1330" s="2"/>
      <c r="H1330" s="2"/>
      <c r="I1330" s="5"/>
    </row>
    <row r="1331" spans="1:9" ht="17.399999999999999" x14ac:dyDescent="0.25">
      <c r="A1331" s="16"/>
      <c r="B1331" s="17"/>
      <c r="C1331" s="2"/>
      <c r="D1331" s="2"/>
      <c r="E1331" s="2"/>
      <c r="F1331" s="2"/>
      <c r="G1331" s="2"/>
      <c r="H1331" s="2"/>
      <c r="I1331" s="5"/>
    </row>
    <row r="1332" spans="1:9" ht="17.399999999999999" x14ac:dyDescent="0.25">
      <c r="A1332" s="16"/>
      <c r="B1332" s="17"/>
      <c r="C1332" s="2"/>
      <c r="D1332" s="2"/>
      <c r="E1332" s="2"/>
      <c r="F1332" s="2"/>
      <c r="G1332" s="2"/>
      <c r="H1332" s="2"/>
      <c r="I1332" s="5"/>
    </row>
    <row r="1333" spans="1:9" ht="17.399999999999999" x14ac:dyDescent="0.25">
      <c r="A1333" s="16"/>
      <c r="B1333" s="17"/>
      <c r="C1333" s="2"/>
      <c r="D1333" s="2"/>
      <c r="E1333" s="2"/>
      <c r="F1333" s="2"/>
      <c r="G1333" s="2"/>
      <c r="H1333" s="2"/>
      <c r="I1333" s="5"/>
    </row>
    <row r="1334" spans="1:9" ht="17.399999999999999" x14ac:dyDescent="0.25">
      <c r="A1334" s="16"/>
      <c r="B1334" s="17"/>
      <c r="C1334" s="2"/>
      <c r="D1334" s="2"/>
      <c r="E1334" s="2"/>
      <c r="F1334" s="2"/>
      <c r="G1334" s="2"/>
      <c r="H1334" s="2"/>
      <c r="I1334" s="5"/>
    </row>
    <row r="1335" spans="1:9" ht="17.399999999999999" x14ac:dyDescent="0.25">
      <c r="A1335" s="16"/>
      <c r="B1335" s="17"/>
      <c r="C1335" s="2"/>
      <c r="D1335" s="2"/>
      <c r="E1335" s="2"/>
      <c r="F1335" s="2"/>
      <c r="G1335" s="2"/>
      <c r="H1335" s="2"/>
      <c r="I1335" s="5"/>
    </row>
    <row r="1336" spans="1:9" ht="17.399999999999999" x14ac:dyDescent="0.25">
      <c r="A1336" s="16"/>
      <c r="B1336" s="17"/>
      <c r="C1336" s="2"/>
      <c r="D1336" s="2"/>
      <c r="E1336" s="2"/>
      <c r="F1336" s="2"/>
      <c r="G1336" s="2"/>
      <c r="H1336" s="2"/>
      <c r="I1336" s="5"/>
    </row>
    <row r="1337" spans="1:9" ht="17.399999999999999" x14ac:dyDescent="0.25">
      <c r="A1337" s="16"/>
      <c r="B1337" s="17"/>
      <c r="C1337" s="2"/>
      <c r="D1337" s="2"/>
      <c r="E1337" s="2"/>
      <c r="F1337" s="2"/>
      <c r="G1337" s="2"/>
      <c r="H1337" s="2"/>
      <c r="I1337" s="5"/>
    </row>
    <row r="1338" spans="1:9" ht="17.399999999999999" x14ac:dyDescent="0.25">
      <c r="A1338" s="16"/>
      <c r="B1338" s="17"/>
      <c r="C1338" s="2"/>
      <c r="D1338" s="2"/>
      <c r="E1338" s="2"/>
      <c r="F1338" s="2"/>
      <c r="G1338" s="2"/>
      <c r="H1338" s="2"/>
      <c r="I1338" s="5"/>
    </row>
    <row r="1339" spans="1:9" ht="17.399999999999999" x14ac:dyDescent="0.25">
      <c r="A1339" s="16"/>
      <c r="B1339" s="17"/>
      <c r="C1339" s="2"/>
      <c r="D1339" s="2"/>
      <c r="E1339" s="2"/>
      <c r="F1339" s="2"/>
      <c r="G1339" s="2"/>
      <c r="H1339" s="2"/>
      <c r="I1339" s="5"/>
    </row>
    <row r="1340" spans="1:9" ht="17.399999999999999" x14ac:dyDescent="0.25">
      <c r="A1340" s="16"/>
      <c r="B1340" s="17"/>
      <c r="C1340" s="2"/>
      <c r="D1340" s="2"/>
      <c r="E1340" s="2"/>
      <c r="F1340" s="2"/>
      <c r="G1340" s="2"/>
      <c r="H1340" s="2"/>
      <c r="I1340" s="5"/>
    </row>
    <row r="1341" spans="1:9" ht="17.399999999999999" x14ac:dyDescent="0.25">
      <c r="A1341" s="16"/>
      <c r="B1341" s="17"/>
      <c r="C1341" s="2"/>
      <c r="D1341" s="2"/>
      <c r="E1341" s="2"/>
      <c r="F1341" s="2"/>
      <c r="G1341" s="2"/>
      <c r="H1341" s="2"/>
      <c r="I1341" s="5"/>
    </row>
    <row r="1342" spans="1:9" ht="17.399999999999999" x14ac:dyDescent="0.25">
      <c r="A1342" s="16"/>
      <c r="B1342" s="17"/>
      <c r="C1342" s="2"/>
      <c r="D1342" s="2"/>
      <c r="E1342" s="2"/>
      <c r="F1342" s="2"/>
      <c r="G1342" s="2"/>
      <c r="H1342" s="2"/>
      <c r="I1342" s="5"/>
    </row>
    <row r="1343" spans="1:9" ht="17.399999999999999" x14ac:dyDescent="0.25">
      <c r="A1343" s="16"/>
      <c r="B1343" s="17"/>
      <c r="C1343" s="2"/>
      <c r="D1343" s="2"/>
      <c r="E1343" s="2"/>
      <c r="F1343" s="2"/>
      <c r="G1343" s="2"/>
      <c r="H1343" s="2"/>
      <c r="I1343" s="5"/>
    </row>
    <row r="1344" spans="1:9" ht="17.399999999999999" x14ac:dyDescent="0.25">
      <c r="A1344" s="16"/>
      <c r="B1344" s="17"/>
      <c r="C1344" s="2"/>
      <c r="D1344" s="2"/>
      <c r="E1344" s="2"/>
      <c r="F1344" s="2"/>
      <c r="G1344" s="2"/>
      <c r="H1344" s="2"/>
      <c r="I1344" s="5"/>
    </row>
    <row r="1345" spans="1:9" ht="17.399999999999999" x14ac:dyDescent="0.25">
      <c r="A1345" s="16"/>
      <c r="B1345" s="17"/>
      <c r="C1345" s="2"/>
      <c r="D1345" s="2"/>
      <c r="E1345" s="2"/>
      <c r="F1345" s="2"/>
      <c r="G1345" s="2"/>
      <c r="H1345" s="2"/>
      <c r="I1345" s="5"/>
    </row>
    <row r="1346" spans="1:9" ht="17.399999999999999" x14ac:dyDescent="0.25">
      <c r="A1346" s="16"/>
      <c r="B1346" s="17"/>
      <c r="C1346" s="2"/>
      <c r="D1346" s="2"/>
      <c r="E1346" s="2"/>
      <c r="F1346" s="2"/>
      <c r="G1346" s="2"/>
      <c r="H1346" s="2"/>
      <c r="I1346" s="5"/>
    </row>
    <row r="1347" spans="1:9" ht="17.399999999999999" x14ac:dyDescent="0.25">
      <c r="A1347" s="16"/>
      <c r="B1347" s="17"/>
      <c r="C1347" s="2"/>
      <c r="D1347" s="2"/>
      <c r="E1347" s="2"/>
      <c r="F1347" s="2"/>
      <c r="G1347" s="2"/>
      <c r="H1347" s="2"/>
      <c r="I1347" s="5"/>
    </row>
    <row r="1348" spans="1:9" ht="17.399999999999999" x14ac:dyDescent="0.25">
      <c r="A1348" s="16"/>
      <c r="B1348" s="17"/>
      <c r="C1348" s="2"/>
      <c r="D1348" s="2"/>
      <c r="E1348" s="2"/>
      <c r="F1348" s="2"/>
      <c r="G1348" s="2"/>
      <c r="H1348" s="2"/>
      <c r="I1348" s="5"/>
    </row>
    <row r="1349" spans="1:9" ht="17.399999999999999" x14ac:dyDescent="0.25">
      <c r="A1349" s="16"/>
      <c r="B1349" s="17"/>
      <c r="C1349" s="2"/>
      <c r="D1349" s="2"/>
      <c r="E1349" s="2"/>
      <c r="F1349" s="2"/>
      <c r="G1349" s="2"/>
      <c r="H1349" s="2"/>
      <c r="I1349" s="5"/>
    </row>
    <row r="1350" spans="1:9" ht="17.399999999999999" x14ac:dyDescent="0.25">
      <c r="A1350" s="16"/>
      <c r="B1350" s="17"/>
      <c r="C1350" s="2"/>
      <c r="D1350" s="2"/>
      <c r="E1350" s="2"/>
      <c r="F1350" s="2"/>
      <c r="G1350" s="2"/>
      <c r="H1350" s="2"/>
      <c r="I1350" s="5"/>
    </row>
    <row r="1351" spans="1:9" ht="17.399999999999999" x14ac:dyDescent="0.25">
      <c r="A1351" s="16"/>
      <c r="B1351" s="17"/>
      <c r="C1351" s="2"/>
      <c r="D1351" s="2"/>
      <c r="E1351" s="2"/>
      <c r="F1351" s="2"/>
      <c r="G1351" s="2"/>
      <c r="H1351" s="2"/>
      <c r="I1351" s="5"/>
    </row>
    <row r="1352" spans="1:9" ht="17.399999999999999" x14ac:dyDescent="0.25">
      <c r="A1352" s="16"/>
      <c r="B1352" s="17"/>
      <c r="C1352" s="2"/>
      <c r="D1352" s="2"/>
      <c r="E1352" s="2"/>
      <c r="F1352" s="2"/>
      <c r="G1352" s="2"/>
      <c r="H1352" s="2"/>
      <c r="I1352" s="5"/>
    </row>
    <row r="1353" spans="1:9" ht="17.399999999999999" x14ac:dyDescent="0.25">
      <c r="A1353" s="16"/>
      <c r="B1353" s="17"/>
      <c r="C1353" s="2"/>
      <c r="D1353" s="2"/>
      <c r="E1353" s="2"/>
      <c r="F1353" s="2"/>
      <c r="G1353" s="2"/>
      <c r="H1353" s="2"/>
      <c r="I1353" s="5"/>
    </row>
    <row r="1354" spans="1:9" ht="17.399999999999999" x14ac:dyDescent="0.25">
      <c r="A1354" s="16"/>
      <c r="B1354" s="17"/>
      <c r="C1354" s="2"/>
      <c r="D1354" s="2"/>
      <c r="E1354" s="2"/>
      <c r="F1354" s="2"/>
      <c r="G1354" s="2"/>
      <c r="H1354" s="2"/>
      <c r="I1354" s="5"/>
    </row>
    <row r="1355" spans="1:9" ht="17.399999999999999" x14ac:dyDescent="0.25">
      <c r="A1355" s="16"/>
      <c r="B1355" s="17"/>
      <c r="C1355" s="2"/>
      <c r="D1355" s="2"/>
      <c r="E1355" s="2"/>
      <c r="F1355" s="2"/>
      <c r="G1355" s="2"/>
      <c r="H1355" s="2"/>
      <c r="I1355" s="5"/>
    </row>
    <row r="1356" spans="1:9" ht="17.399999999999999" x14ac:dyDescent="0.25">
      <c r="A1356" s="16"/>
      <c r="B1356" s="17"/>
      <c r="C1356" s="2"/>
      <c r="D1356" s="2"/>
      <c r="E1356" s="2"/>
      <c r="F1356" s="2"/>
      <c r="G1356" s="2"/>
      <c r="H1356" s="2"/>
      <c r="I1356" s="5"/>
    </row>
    <row r="1357" spans="1:9" ht="17.399999999999999" x14ac:dyDescent="0.25">
      <c r="A1357" s="16"/>
      <c r="B1357" s="17"/>
      <c r="C1357" s="2"/>
      <c r="D1357" s="2"/>
      <c r="E1357" s="2"/>
      <c r="F1357" s="2"/>
      <c r="G1357" s="2"/>
      <c r="H1357" s="2"/>
      <c r="I1357" s="5"/>
    </row>
    <row r="1358" spans="1:9" ht="17.399999999999999" x14ac:dyDescent="0.25">
      <c r="A1358" s="16"/>
      <c r="B1358" s="17"/>
      <c r="C1358" s="2"/>
      <c r="D1358" s="2"/>
      <c r="E1358" s="2"/>
      <c r="F1358" s="2"/>
      <c r="G1358" s="2"/>
      <c r="H1358" s="2"/>
      <c r="I1358" s="5"/>
    </row>
    <row r="1359" spans="1:9" ht="17.399999999999999" x14ac:dyDescent="0.25">
      <c r="A1359" s="16"/>
      <c r="B1359" s="17"/>
      <c r="C1359" s="2"/>
      <c r="D1359" s="2"/>
      <c r="E1359" s="2"/>
      <c r="F1359" s="2"/>
      <c r="G1359" s="2"/>
      <c r="H1359" s="2"/>
      <c r="I1359" s="5"/>
    </row>
    <row r="1360" spans="1:9" ht="17.399999999999999" x14ac:dyDescent="0.25">
      <c r="A1360" s="16"/>
      <c r="B1360" s="17"/>
      <c r="C1360" s="2"/>
      <c r="D1360" s="2"/>
      <c r="E1360" s="2"/>
      <c r="F1360" s="2"/>
      <c r="G1360" s="2"/>
      <c r="H1360" s="2"/>
      <c r="I1360" s="5"/>
    </row>
    <row r="1361" spans="1:9" ht="17.399999999999999" x14ac:dyDescent="0.25">
      <c r="A1361" s="16"/>
      <c r="B1361" s="17"/>
      <c r="C1361" s="2"/>
      <c r="D1361" s="2"/>
      <c r="E1361" s="2"/>
      <c r="F1361" s="2"/>
      <c r="G1361" s="2"/>
      <c r="H1361" s="2"/>
      <c r="I1361" s="5"/>
    </row>
    <row r="1362" spans="1:9" ht="17.399999999999999" x14ac:dyDescent="0.25">
      <c r="A1362" s="16"/>
      <c r="B1362" s="17"/>
      <c r="C1362" s="2"/>
      <c r="D1362" s="2"/>
      <c r="E1362" s="2"/>
      <c r="F1362" s="2"/>
      <c r="G1362" s="2"/>
      <c r="H1362" s="2"/>
      <c r="I1362" s="5"/>
    </row>
    <row r="1363" spans="1:9" ht="17.399999999999999" x14ac:dyDescent="0.25">
      <c r="A1363" s="16"/>
      <c r="B1363" s="17"/>
      <c r="C1363" s="2"/>
      <c r="D1363" s="2"/>
      <c r="E1363" s="2"/>
      <c r="F1363" s="2"/>
      <c r="G1363" s="2"/>
      <c r="H1363" s="2"/>
      <c r="I1363" s="5"/>
    </row>
    <row r="1364" spans="1:9" ht="17.399999999999999" x14ac:dyDescent="0.25">
      <c r="A1364" s="16"/>
      <c r="B1364" s="17"/>
      <c r="C1364" s="2"/>
      <c r="D1364" s="2"/>
      <c r="E1364" s="2"/>
      <c r="F1364" s="2"/>
      <c r="G1364" s="2"/>
      <c r="H1364" s="2"/>
      <c r="I1364" s="5"/>
    </row>
    <row r="1365" spans="1:9" ht="17.399999999999999" x14ac:dyDescent="0.25">
      <c r="A1365" s="16"/>
      <c r="B1365" s="17"/>
      <c r="C1365" s="2"/>
      <c r="D1365" s="2"/>
      <c r="E1365" s="2"/>
      <c r="F1365" s="2"/>
      <c r="G1365" s="2"/>
      <c r="H1365" s="2"/>
      <c r="I1365" s="5"/>
    </row>
    <row r="1366" spans="1:9" ht="17.399999999999999" x14ac:dyDescent="0.25">
      <c r="A1366" s="16"/>
      <c r="B1366" s="17"/>
      <c r="C1366" s="2"/>
      <c r="D1366" s="2"/>
      <c r="E1366" s="2"/>
      <c r="F1366" s="2"/>
      <c r="G1366" s="2"/>
      <c r="H1366" s="2"/>
      <c r="I1366" s="5"/>
    </row>
    <row r="1367" spans="1:9" ht="17.399999999999999" x14ac:dyDescent="0.25">
      <c r="A1367" s="16"/>
      <c r="B1367" s="17"/>
      <c r="C1367" s="2"/>
      <c r="D1367" s="2"/>
      <c r="E1367" s="2"/>
      <c r="F1367" s="2"/>
      <c r="G1367" s="2"/>
      <c r="H1367" s="2"/>
      <c r="I1367" s="5"/>
    </row>
    <row r="1368" spans="1:9" ht="17.399999999999999" x14ac:dyDescent="0.25">
      <c r="A1368" s="16"/>
      <c r="B1368" s="17"/>
      <c r="C1368" s="2"/>
      <c r="D1368" s="2"/>
      <c r="E1368" s="2"/>
      <c r="F1368" s="2"/>
      <c r="G1368" s="2"/>
      <c r="H1368" s="2"/>
      <c r="I1368" s="5"/>
    </row>
    <row r="1369" spans="1:9" ht="17.399999999999999" x14ac:dyDescent="0.25">
      <c r="A1369" s="16"/>
      <c r="B1369" s="17"/>
      <c r="C1369" s="2"/>
      <c r="D1369" s="2"/>
      <c r="E1369" s="2"/>
      <c r="F1369" s="2"/>
      <c r="G1369" s="2"/>
      <c r="H1369" s="2"/>
      <c r="I1369" s="5"/>
    </row>
    <row r="1370" spans="1:9" ht="17.399999999999999" x14ac:dyDescent="0.25">
      <c r="A1370" s="16"/>
      <c r="B1370" s="17"/>
      <c r="C1370" s="2"/>
      <c r="D1370" s="2"/>
      <c r="E1370" s="2"/>
      <c r="F1370" s="2"/>
      <c r="G1370" s="2"/>
      <c r="H1370" s="2"/>
      <c r="I1370" s="5"/>
    </row>
    <row r="1371" spans="1:9" ht="17.399999999999999" x14ac:dyDescent="0.25">
      <c r="A1371" s="16"/>
      <c r="B1371" s="17"/>
      <c r="C1371" s="2"/>
      <c r="D1371" s="2"/>
      <c r="E1371" s="2"/>
      <c r="F1371" s="2"/>
      <c r="G1371" s="2"/>
      <c r="H1371" s="2"/>
      <c r="I1371" s="5"/>
    </row>
    <row r="1372" spans="1:9" ht="17.399999999999999" x14ac:dyDescent="0.25">
      <c r="A1372" s="16"/>
      <c r="B1372" s="17"/>
      <c r="C1372" s="2"/>
      <c r="D1372" s="2"/>
      <c r="E1372" s="2"/>
      <c r="F1372" s="2"/>
      <c r="G1372" s="2"/>
      <c r="H1372" s="2"/>
      <c r="I1372" s="5"/>
    </row>
    <row r="1373" spans="1:9" ht="17.399999999999999" x14ac:dyDescent="0.25">
      <c r="A1373" s="16"/>
      <c r="B1373" s="17"/>
      <c r="C1373" s="2"/>
      <c r="D1373" s="2"/>
      <c r="E1373" s="2"/>
      <c r="F1373" s="2"/>
      <c r="G1373" s="2"/>
      <c r="H1373" s="2"/>
      <c r="I1373" s="5"/>
    </row>
    <row r="1374" spans="1:9" ht="17.399999999999999" x14ac:dyDescent="0.25">
      <c r="A1374" s="16"/>
      <c r="B1374" s="17"/>
      <c r="C1374" s="2"/>
      <c r="D1374" s="2"/>
      <c r="E1374" s="2"/>
      <c r="F1374" s="2"/>
      <c r="G1374" s="2"/>
      <c r="H1374" s="2"/>
      <c r="I1374" s="5"/>
    </row>
    <row r="1375" spans="1:9" ht="17.399999999999999" x14ac:dyDescent="0.25">
      <c r="A1375" s="16"/>
      <c r="B1375" s="17"/>
      <c r="C1375" s="2"/>
      <c r="D1375" s="2"/>
      <c r="E1375" s="2"/>
      <c r="F1375" s="2"/>
      <c r="G1375" s="2"/>
      <c r="H1375" s="2"/>
      <c r="I1375" s="5"/>
    </row>
    <row r="1376" spans="1:9" ht="17.399999999999999" x14ac:dyDescent="0.25">
      <c r="A1376" s="16"/>
      <c r="B1376" s="17"/>
      <c r="C1376" s="2"/>
      <c r="D1376" s="2"/>
      <c r="E1376" s="2"/>
      <c r="F1376" s="2"/>
      <c r="G1376" s="2"/>
      <c r="H1376" s="2"/>
      <c r="I1376" s="5"/>
    </row>
    <row r="1377" spans="1:9" ht="17.399999999999999" x14ac:dyDescent="0.25">
      <c r="A1377" s="16"/>
      <c r="B1377" s="17"/>
      <c r="C1377" s="2"/>
      <c r="D1377" s="2"/>
      <c r="E1377" s="2"/>
      <c r="F1377" s="2"/>
      <c r="G1377" s="2"/>
      <c r="H1377" s="2"/>
      <c r="I1377" s="5"/>
    </row>
    <row r="1378" spans="1:9" ht="17.399999999999999" x14ac:dyDescent="0.25">
      <c r="A1378" s="16"/>
      <c r="B1378" s="17"/>
      <c r="C1378" s="2"/>
      <c r="D1378" s="2"/>
      <c r="E1378" s="2"/>
      <c r="F1378" s="2"/>
      <c r="G1378" s="2"/>
      <c r="H1378" s="2"/>
      <c r="I1378" s="5"/>
    </row>
    <row r="1379" spans="1:9" ht="17.399999999999999" x14ac:dyDescent="0.25">
      <c r="A1379" s="16"/>
      <c r="B1379" s="17"/>
      <c r="C1379" s="2"/>
      <c r="D1379" s="2"/>
      <c r="E1379" s="2"/>
      <c r="F1379" s="2"/>
      <c r="G1379" s="2"/>
      <c r="H1379" s="2"/>
      <c r="I1379" s="5"/>
    </row>
    <row r="1380" spans="1:9" ht="17.399999999999999" x14ac:dyDescent="0.25">
      <c r="A1380" s="16"/>
      <c r="B1380" s="17"/>
      <c r="C1380" s="2"/>
      <c r="D1380" s="2"/>
      <c r="E1380" s="2"/>
      <c r="F1380" s="2"/>
      <c r="G1380" s="2"/>
      <c r="H1380" s="2"/>
      <c r="I1380" s="5"/>
    </row>
    <row r="1381" spans="1:9" ht="17.399999999999999" x14ac:dyDescent="0.25">
      <c r="A1381" s="16"/>
      <c r="B1381" s="17"/>
      <c r="C1381" s="2"/>
      <c r="D1381" s="2"/>
      <c r="E1381" s="2"/>
      <c r="F1381" s="2"/>
      <c r="G1381" s="2"/>
      <c r="H1381" s="2"/>
      <c r="I1381" s="5"/>
    </row>
    <row r="1382" spans="1:9" ht="17.399999999999999" x14ac:dyDescent="0.25">
      <c r="A1382" s="16"/>
      <c r="B1382" s="17"/>
      <c r="C1382" s="2"/>
      <c r="D1382" s="2"/>
      <c r="E1382" s="2"/>
      <c r="F1382" s="2"/>
      <c r="G1382" s="2"/>
      <c r="H1382" s="2"/>
      <c r="I1382" s="5"/>
    </row>
    <row r="1383" spans="1:9" ht="17.399999999999999" x14ac:dyDescent="0.25">
      <c r="A1383" s="16"/>
      <c r="B1383" s="17"/>
      <c r="C1383" s="2"/>
      <c r="D1383" s="2"/>
      <c r="E1383" s="2"/>
      <c r="F1383" s="2"/>
      <c r="G1383" s="2"/>
      <c r="H1383" s="2"/>
      <c r="I1383" s="5"/>
    </row>
    <row r="1384" spans="1:9" ht="17.399999999999999" x14ac:dyDescent="0.25">
      <c r="A1384" s="16"/>
      <c r="B1384" s="17"/>
      <c r="C1384" s="2"/>
      <c r="D1384" s="2"/>
      <c r="E1384" s="2"/>
      <c r="F1384" s="2"/>
      <c r="G1384" s="2"/>
      <c r="H1384" s="2"/>
      <c r="I1384" s="5"/>
    </row>
    <row r="1385" spans="1:9" ht="17.399999999999999" x14ac:dyDescent="0.25">
      <c r="A1385" s="16"/>
      <c r="B1385" s="17"/>
      <c r="C1385" s="2"/>
      <c r="D1385" s="2"/>
      <c r="E1385" s="2"/>
      <c r="F1385" s="2"/>
      <c r="G1385" s="2"/>
      <c r="H1385" s="2"/>
      <c r="I1385" s="5"/>
    </row>
    <row r="1386" spans="1:9" ht="17.399999999999999" x14ac:dyDescent="0.25">
      <c r="A1386" s="16"/>
      <c r="B1386" s="17"/>
      <c r="C1386" s="2"/>
      <c r="D1386" s="2"/>
      <c r="E1386" s="2"/>
      <c r="F1386" s="2"/>
      <c r="G1386" s="2"/>
      <c r="H1386" s="2"/>
      <c r="I1386" s="5"/>
    </row>
    <row r="1387" spans="1:9" ht="17.399999999999999" x14ac:dyDescent="0.25">
      <c r="A1387" s="16"/>
      <c r="B1387" s="17"/>
      <c r="C1387" s="2"/>
      <c r="D1387" s="2"/>
      <c r="E1387" s="2"/>
      <c r="F1387" s="2"/>
      <c r="G1387" s="2"/>
      <c r="H1387" s="2"/>
      <c r="I1387" s="5"/>
    </row>
    <row r="1388" spans="1:9" ht="17.399999999999999" x14ac:dyDescent="0.25">
      <c r="A1388" s="16"/>
      <c r="B1388" s="17"/>
      <c r="C1388" s="2"/>
      <c r="D1388" s="2"/>
      <c r="E1388" s="2"/>
      <c r="F1388" s="2"/>
      <c r="G1388" s="2"/>
      <c r="H1388" s="2"/>
      <c r="I1388" s="5"/>
    </row>
    <row r="1389" spans="1:9" ht="17.399999999999999" x14ac:dyDescent="0.25">
      <c r="A1389" s="16"/>
      <c r="B1389" s="17"/>
      <c r="C1389" s="2"/>
      <c r="D1389" s="2"/>
      <c r="E1389" s="2"/>
      <c r="F1389" s="2"/>
      <c r="G1389" s="2"/>
      <c r="H1389" s="2"/>
      <c r="I1389" s="5"/>
    </row>
    <row r="1390" spans="1:9" ht="17.399999999999999" x14ac:dyDescent="0.25">
      <c r="A1390" s="16"/>
      <c r="B1390" s="17"/>
      <c r="C1390" s="2"/>
      <c r="D1390" s="2"/>
      <c r="E1390" s="2"/>
      <c r="F1390" s="2"/>
      <c r="G1390" s="2"/>
      <c r="H1390" s="2"/>
      <c r="I1390" s="5"/>
    </row>
    <row r="1391" spans="1:9" ht="17.399999999999999" x14ac:dyDescent="0.25">
      <c r="A1391" s="16"/>
      <c r="B1391" s="17"/>
      <c r="C1391" s="2"/>
      <c r="D1391" s="2"/>
      <c r="E1391" s="2"/>
      <c r="F1391" s="2"/>
      <c r="G1391" s="2"/>
      <c r="H1391" s="2"/>
      <c r="I1391" s="5"/>
    </row>
    <row r="1392" spans="1:9" ht="17.399999999999999" x14ac:dyDescent="0.25">
      <c r="A1392" s="16"/>
      <c r="B1392" s="17"/>
      <c r="C1392" s="2"/>
      <c r="D1392" s="2"/>
      <c r="E1392" s="2"/>
      <c r="F1392" s="2"/>
      <c r="G1392" s="2"/>
      <c r="H1392" s="2"/>
      <c r="I1392" s="5"/>
    </row>
    <row r="1393" spans="1:9" ht="17.399999999999999" x14ac:dyDescent="0.25">
      <c r="A1393" s="16"/>
      <c r="B1393" s="17"/>
      <c r="C1393" s="2"/>
      <c r="D1393" s="2"/>
      <c r="E1393" s="2"/>
      <c r="F1393" s="2"/>
      <c r="G1393" s="2"/>
      <c r="H1393" s="2"/>
      <c r="I1393" s="5"/>
    </row>
    <row r="1394" spans="1:9" ht="17.399999999999999" x14ac:dyDescent="0.25">
      <c r="A1394" s="16"/>
      <c r="B1394" s="17"/>
      <c r="C1394" s="2"/>
      <c r="D1394" s="2"/>
      <c r="E1394" s="2"/>
      <c r="F1394" s="2"/>
      <c r="G1394" s="2"/>
      <c r="H1394" s="2"/>
      <c r="I1394" s="5"/>
    </row>
    <row r="1395" spans="1:9" ht="17.399999999999999" x14ac:dyDescent="0.25">
      <c r="A1395" s="16"/>
      <c r="B1395" s="17"/>
      <c r="C1395" s="2"/>
      <c r="D1395" s="2"/>
      <c r="E1395" s="2"/>
      <c r="F1395" s="2"/>
      <c r="G1395" s="2"/>
      <c r="H1395" s="2"/>
      <c r="I1395" s="5"/>
    </row>
    <row r="1396" spans="1:9" ht="17.399999999999999" x14ac:dyDescent="0.25">
      <c r="A1396" s="16"/>
      <c r="B1396" s="17"/>
      <c r="C1396" s="2"/>
      <c r="D1396" s="2"/>
      <c r="E1396" s="2"/>
      <c r="F1396" s="2"/>
      <c r="G1396" s="2"/>
      <c r="H1396" s="2"/>
      <c r="I1396" s="5"/>
    </row>
    <row r="1397" spans="1:9" ht="17.399999999999999" x14ac:dyDescent="0.25">
      <c r="A1397" s="16"/>
      <c r="B1397" s="17"/>
      <c r="C1397" s="2"/>
      <c r="D1397" s="2"/>
      <c r="E1397" s="2"/>
      <c r="F1397" s="2"/>
      <c r="G1397" s="2"/>
      <c r="H1397" s="2"/>
      <c r="I1397" s="5"/>
    </row>
    <row r="1398" spans="1:9" ht="17.399999999999999" x14ac:dyDescent="0.25">
      <c r="A1398" s="16"/>
      <c r="B1398" s="17"/>
      <c r="C1398" s="2"/>
      <c r="D1398" s="2"/>
      <c r="E1398" s="2"/>
      <c r="F1398" s="2"/>
      <c r="G1398" s="2"/>
      <c r="H1398" s="2"/>
      <c r="I1398" s="5"/>
    </row>
    <row r="1399" spans="1:9" ht="17.399999999999999" x14ac:dyDescent="0.25">
      <c r="A1399" s="16"/>
      <c r="B1399" s="17"/>
      <c r="C1399" s="2"/>
      <c r="D1399" s="2"/>
      <c r="E1399" s="2"/>
      <c r="F1399" s="2"/>
      <c r="G1399" s="2"/>
      <c r="H1399" s="2"/>
      <c r="I1399" s="5"/>
    </row>
    <row r="1400" spans="1:9" ht="17.399999999999999" x14ac:dyDescent="0.25">
      <c r="A1400" s="16"/>
      <c r="B1400" s="17"/>
      <c r="C1400" s="2"/>
      <c r="D1400" s="2"/>
      <c r="E1400" s="2"/>
      <c r="F1400" s="2"/>
      <c r="G1400" s="2"/>
      <c r="H1400" s="2"/>
      <c r="I1400" s="5"/>
    </row>
    <row r="1401" spans="1:9" ht="17.399999999999999" x14ac:dyDescent="0.25">
      <c r="A1401" s="16"/>
      <c r="B1401" s="17"/>
      <c r="C1401" s="2"/>
      <c r="D1401" s="2"/>
      <c r="E1401" s="2"/>
      <c r="F1401" s="2"/>
      <c r="G1401" s="2"/>
      <c r="H1401" s="2"/>
      <c r="I1401" s="5"/>
    </row>
    <row r="1402" spans="1:9" ht="17.399999999999999" x14ac:dyDescent="0.25">
      <c r="A1402" s="16"/>
      <c r="B1402" s="17"/>
      <c r="C1402" s="2"/>
      <c r="D1402" s="2"/>
      <c r="E1402" s="2"/>
      <c r="F1402" s="2"/>
      <c r="G1402" s="2"/>
      <c r="H1402" s="2"/>
      <c r="I1402" s="5"/>
    </row>
    <row r="1403" spans="1:9" ht="17.399999999999999" x14ac:dyDescent="0.25">
      <c r="A1403" s="16"/>
      <c r="B1403" s="17"/>
      <c r="C1403" s="2"/>
      <c r="D1403" s="2"/>
      <c r="E1403" s="2"/>
      <c r="F1403" s="2"/>
      <c r="G1403" s="2"/>
      <c r="H1403" s="2"/>
      <c r="I1403" s="5"/>
    </row>
    <row r="1404" spans="1:9" ht="17.399999999999999" x14ac:dyDescent="0.25">
      <c r="A1404" s="16"/>
      <c r="B1404" s="17"/>
      <c r="C1404" s="2"/>
      <c r="D1404" s="2"/>
      <c r="E1404" s="2"/>
      <c r="F1404" s="2"/>
      <c r="G1404" s="2"/>
      <c r="H1404" s="2"/>
      <c r="I1404" s="5"/>
    </row>
    <row r="1405" spans="1:9" ht="17.399999999999999" x14ac:dyDescent="0.25">
      <c r="A1405" s="16"/>
      <c r="B1405" s="17"/>
      <c r="C1405" s="2"/>
      <c r="D1405" s="2"/>
      <c r="E1405" s="2"/>
      <c r="F1405" s="2"/>
      <c r="G1405" s="2"/>
      <c r="H1405" s="2"/>
      <c r="I1405" s="5"/>
    </row>
    <row r="1406" spans="1:9" ht="17.399999999999999" x14ac:dyDescent="0.25">
      <c r="A1406" s="16"/>
      <c r="B1406" s="17"/>
      <c r="C1406" s="2"/>
      <c r="D1406" s="2"/>
      <c r="E1406" s="2"/>
      <c r="F1406" s="2"/>
      <c r="G1406" s="2"/>
      <c r="H1406" s="2"/>
      <c r="I1406" s="5"/>
    </row>
    <row r="1407" spans="1:9" ht="17.399999999999999" x14ac:dyDescent="0.25">
      <c r="A1407" s="16"/>
      <c r="B1407" s="17"/>
      <c r="C1407" s="2"/>
      <c r="D1407" s="2"/>
      <c r="E1407" s="2"/>
      <c r="F1407" s="2"/>
      <c r="G1407" s="2"/>
      <c r="H1407" s="2"/>
      <c r="I1407" s="5"/>
    </row>
    <row r="1408" spans="1:9" ht="17.399999999999999" x14ac:dyDescent="0.25">
      <c r="A1408" s="16"/>
      <c r="B1408" s="17"/>
      <c r="C1408" s="2"/>
      <c r="D1408" s="2"/>
      <c r="E1408" s="2"/>
      <c r="F1408" s="2"/>
      <c r="G1408" s="2"/>
      <c r="H1408" s="2"/>
      <c r="I1408" s="5"/>
    </row>
    <row r="1409" spans="1:9" ht="17.399999999999999" x14ac:dyDescent="0.25">
      <c r="A1409" s="16"/>
      <c r="B1409" s="17"/>
      <c r="C1409" s="2"/>
      <c r="D1409" s="2"/>
      <c r="E1409" s="2"/>
      <c r="F1409" s="2"/>
      <c r="G1409" s="2"/>
      <c r="H1409" s="2"/>
      <c r="I1409" s="5"/>
    </row>
    <row r="1410" spans="1:9" ht="17.399999999999999" x14ac:dyDescent="0.25">
      <c r="A1410" s="16"/>
      <c r="B1410" s="17"/>
      <c r="C1410" s="2"/>
      <c r="D1410" s="2"/>
      <c r="E1410" s="2"/>
      <c r="F1410" s="2"/>
      <c r="G1410" s="2"/>
      <c r="H1410" s="2"/>
      <c r="I1410" s="5"/>
    </row>
    <row r="1411" spans="1:9" ht="17.399999999999999" x14ac:dyDescent="0.25">
      <c r="A1411" s="16"/>
      <c r="B1411" s="17"/>
      <c r="C1411" s="2"/>
      <c r="D1411" s="2"/>
      <c r="E1411" s="2"/>
      <c r="F1411" s="2"/>
      <c r="G1411" s="2"/>
      <c r="H1411" s="2"/>
      <c r="I1411" s="5"/>
    </row>
    <row r="1412" spans="1:9" ht="17.399999999999999" x14ac:dyDescent="0.25">
      <c r="A1412" s="16"/>
      <c r="B1412" s="17"/>
      <c r="C1412" s="2"/>
      <c r="D1412" s="2"/>
      <c r="E1412" s="2"/>
      <c r="F1412" s="2"/>
      <c r="G1412" s="2"/>
      <c r="H1412" s="2"/>
      <c r="I1412" s="5"/>
    </row>
    <row r="1413" spans="1:9" ht="17.399999999999999" x14ac:dyDescent="0.25">
      <c r="A1413" s="16"/>
      <c r="B1413" s="17"/>
      <c r="C1413" s="2"/>
      <c r="D1413" s="2"/>
      <c r="E1413" s="2"/>
      <c r="F1413" s="2"/>
      <c r="G1413" s="2"/>
      <c r="H1413" s="2"/>
      <c r="I1413" s="5"/>
    </row>
    <row r="1414" spans="1:9" ht="17.399999999999999" x14ac:dyDescent="0.25">
      <c r="A1414" s="16"/>
      <c r="B1414" s="17"/>
      <c r="C1414" s="2"/>
      <c r="D1414" s="2"/>
      <c r="E1414" s="2"/>
      <c r="F1414" s="2"/>
      <c r="G1414" s="2"/>
      <c r="H1414" s="2"/>
      <c r="I1414" s="5"/>
    </row>
    <row r="1415" spans="1:9" ht="17.399999999999999" x14ac:dyDescent="0.25">
      <c r="A1415" s="16"/>
      <c r="B1415" s="17"/>
      <c r="C1415" s="2"/>
      <c r="D1415" s="2"/>
      <c r="E1415" s="2"/>
      <c r="F1415" s="2"/>
      <c r="G1415" s="2"/>
      <c r="H1415" s="2"/>
      <c r="I1415" s="5"/>
    </row>
    <row r="1416" spans="1:9" ht="17.399999999999999" x14ac:dyDescent="0.25">
      <c r="A1416" s="16"/>
      <c r="B1416" s="17"/>
      <c r="C1416" s="2"/>
      <c r="D1416" s="2"/>
      <c r="E1416" s="2"/>
      <c r="F1416" s="2"/>
      <c r="G1416" s="2"/>
      <c r="H1416" s="2"/>
      <c r="I1416" s="5"/>
    </row>
    <row r="1417" spans="1:9" ht="17.399999999999999" x14ac:dyDescent="0.25">
      <c r="A1417" s="16"/>
      <c r="B1417" s="17"/>
      <c r="C1417" s="2"/>
      <c r="D1417" s="2"/>
      <c r="E1417" s="2"/>
      <c r="F1417" s="2"/>
      <c r="G1417" s="2"/>
      <c r="H1417" s="2"/>
      <c r="I1417" s="5"/>
    </row>
    <row r="1418" spans="1:9" ht="17.399999999999999" x14ac:dyDescent="0.25">
      <c r="A1418" s="16"/>
      <c r="B1418" s="17"/>
      <c r="C1418" s="2"/>
      <c r="D1418" s="2"/>
      <c r="E1418" s="2"/>
      <c r="F1418" s="2"/>
      <c r="G1418" s="2"/>
      <c r="H1418" s="2"/>
      <c r="I1418" s="5"/>
    </row>
    <row r="1419" spans="1:9" ht="17.399999999999999" x14ac:dyDescent="0.25">
      <c r="A1419" s="16"/>
      <c r="B1419" s="17"/>
      <c r="C1419" s="2"/>
      <c r="D1419" s="2"/>
      <c r="E1419" s="2"/>
      <c r="F1419" s="2"/>
      <c r="G1419" s="2"/>
      <c r="H1419" s="2"/>
      <c r="I1419" s="5"/>
    </row>
    <row r="1420" spans="1:9" ht="17.399999999999999" x14ac:dyDescent="0.25">
      <c r="A1420" s="16"/>
      <c r="B1420" s="17"/>
      <c r="C1420" s="2"/>
      <c r="D1420" s="2"/>
      <c r="E1420" s="2"/>
      <c r="F1420" s="2"/>
      <c r="G1420" s="2"/>
      <c r="H1420" s="2"/>
      <c r="I1420" s="5"/>
    </row>
    <row r="1421" spans="1:9" ht="17.399999999999999" x14ac:dyDescent="0.25">
      <c r="A1421" s="16"/>
      <c r="B1421" s="17"/>
      <c r="C1421" s="2"/>
      <c r="D1421" s="2"/>
      <c r="E1421" s="2"/>
      <c r="F1421" s="2"/>
      <c r="G1421" s="2"/>
      <c r="H1421" s="2"/>
      <c r="I1421" s="5"/>
    </row>
    <row r="1422" spans="1:9" ht="17.399999999999999" x14ac:dyDescent="0.25">
      <c r="A1422" s="16"/>
      <c r="B1422" s="17"/>
      <c r="C1422" s="2"/>
      <c r="D1422" s="2"/>
      <c r="E1422" s="2"/>
      <c r="F1422" s="2"/>
      <c r="G1422" s="2"/>
      <c r="H1422" s="2"/>
      <c r="I1422" s="5"/>
    </row>
    <row r="1423" spans="1:9" ht="17.399999999999999" x14ac:dyDescent="0.25">
      <c r="A1423" s="16"/>
      <c r="B1423" s="17"/>
      <c r="C1423" s="2"/>
      <c r="D1423" s="2"/>
      <c r="E1423" s="2"/>
      <c r="F1423" s="2"/>
      <c r="G1423" s="2"/>
      <c r="H1423" s="2"/>
      <c r="I1423" s="5"/>
    </row>
    <row r="1424" spans="1:9" ht="17.399999999999999" x14ac:dyDescent="0.25">
      <c r="A1424" s="16"/>
      <c r="B1424" s="17"/>
      <c r="C1424" s="2"/>
      <c r="D1424" s="2"/>
      <c r="E1424" s="2"/>
      <c r="F1424" s="2"/>
      <c r="G1424" s="2"/>
      <c r="H1424" s="2"/>
      <c r="I1424" s="5"/>
    </row>
    <row r="1425" spans="1:9" ht="17.399999999999999" x14ac:dyDescent="0.25">
      <c r="A1425" s="16"/>
      <c r="B1425" s="17"/>
      <c r="C1425" s="2"/>
      <c r="D1425" s="2"/>
      <c r="E1425" s="2"/>
      <c r="F1425" s="2"/>
      <c r="G1425" s="2"/>
      <c r="H1425" s="2"/>
      <c r="I1425" s="5"/>
    </row>
    <row r="1426" spans="1:9" ht="17.399999999999999" x14ac:dyDescent="0.25">
      <c r="A1426" s="16"/>
      <c r="B1426" s="17"/>
      <c r="C1426" s="2"/>
      <c r="D1426" s="2"/>
      <c r="E1426" s="2"/>
      <c r="F1426" s="2"/>
      <c r="G1426" s="2"/>
      <c r="H1426" s="2"/>
      <c r="I1426" s="5"/>
    </row>
    <row r="1427" spans="1:9" ht="17.399999999999999" x14ac:dyDescent="0.25">
      <c r="A1427" s="16"/>
      <c r="B1427" s="17"/>
      <c r="C1427" s="2"/>
      <c r="D1427" s="2"/>
      <c r="E1427" s="2"/>
      <c r="F1427" s="2"/>
      <c r="G1427" s="2"/>
      <c r="H1427" s="2"/>
      <c r="I1427" s="5"/>
    </row>
    <row r="1428" spans="1:9" ht="17.399999999999999" x14ac:dyDescent="0.25">
      <c r="A1428" s="16"/>
      <c r="B1428" s="17"/>
      <c r="C1428" s="2"/>
      <c r="D1428" s="2"/>
      <c r="E1428" s="2"/>
      <c r="F1428" s="2"/>
      <c r="G1428" s="2"/>
      <c r="H1428" s="2"/>
      <c r="I1428" s="5"/>
    </row>
    <row r="1429" spans="1:9" ht="17.399999999999999" x14ac:dyDescent="0.25">
      <c r="A1429" s="16"/>
      <c r="B1429" s="17"/>
      <c r="C1429" s="2"/>
      <c r="D1429" s="2"/>
      <c r="E1429" s="2"/>
      <c r="F1429" s="2"/>
      <c r="G1429" s="2"/>
      <c r="H1429" s="2"/>
      <c r="I1429" s="5"/>
    </row>
    <row r="1430" spans="1:9" ht="17.399999999999999" x14ac:dyDescent="0.25">
      <c r="A1430" s="16"/>
      <c r="B1430" s="17"/>
      <c r="C1430" s="2"/>
      <c r="D1430" s="2"/>
      <c r="E1430" s="2"/>
      <c r="F1430" s="2"/>
      <c r="G1430" s="2"/>
      <c r="H1430" s="2"/>
      <c r="I1430" s="5"/>
    </row>
    <row r="1431" spans="1:9" ht="17.399999999999999" x14ac:dyDescent="0.25">
      <c r="A1431" s="16"/>
      <c r="B1431" s="17"/>
      <c r="C1431" s="2"/>
      <c r="D1431" s="2"/>
      <c r="E1431" s="2"/>
      <c r="F1431" s="2"/>
      <c r="G1431" s="2"/>
      <c r="H1431" s="2"/>
      <c r="I1431" s="5"/>
    </row>
    <row r="1432" spans="1:9" ht="17.399999999999999" x14ac:dyDescent="0.25">
      <c r="A1432" s="16"/>
      <c r="B1432" s="17"/>
      <c r="C1432" s="2"/>
      <c r="D1432" s="2"/>
      <c r="E1432" s="2"/>
      <c r="F1432" s="2"/>
      <c r="G1432" s="2"/>
      <c r="H1432" s="2"/>
      <c r="I1432" s="5"/>
    </row>
    <row r="1433" spans="1:9" ht="17.399999999999999" x14ac:dyDescent="0.25">
      <c r="A1433" s="16"/>
      <c r="B1433" s="17"/>
      <c r="C1433" s="2"/>
      <c r="D1433" s="2"/>
      <c r="E1433" s="2"/>
      <c r="F1433" s="2"/>
      <c r="G1433" s="2"/>
      <c r="H1433" s="2"/>
      <c r="I1433" s="5"/>
    </row>
    <row r="1434" spans="1:9" ht="17.399999999999999" x14ac:dyDescent="0.25">
      <c r="A1434" s="16"/>
      <c r="B1434" s="17"/>
      <c r="C1434" s="2"/>
      <c r="D1434" s="2"/>
      <c r="E1434" s="2"/>
      <c r="F1434" s="2"/>
      <c r="G1434" s="2"/>
      <c r="H1434" s="2"/>
      <c r="I1434" s="5"/>
    </row>
    <row r="1435" spans="1:9" ht="17.399999999999999" x14ac:dyDescent="0.25">
      <c r="A1435" s="16"/>
      <c r="B1435" s="17"/>
      <c r="C1435" s="2"/>
      <c r="D1435" s="2"/>
      <c r="E1435" s="2"/>
      <c r="F1435" s="2"/>
      <c r="G1435" s="2"/>
      <c r="H1435" s="2"/>
      <c r="I1435" s="5"/>
    </row>
    <row r="1436" spans="1:9" ht="17.399999999999999" x14ac:dyDescent="0.25">
      <c r="A1436" s="16"/>
      <c r="B1436" s="17"/>
      <c r="C1436" s="2"/>
      <c r="D1436" s="2"/>
      <c r="E1436" s="2"/>
      <c r="F1436" s="2"/>
      <c r="G1436" s="2"/>
      <c r="H1436" s="2"/>
      <c r="I1436" s="5"/>
    </row>
    <row r="1437" spans="1:9" ht="17.399999999999999" x14ac:dyDescent="0.25">
      <c r="A1437" s="16"/>
      <c r="B1437" s="17"/>
      <c r="C1437" s="2"/>
      <c r="D1437" s="2"/>
      <c r="E1437" s="2"/>
      <c r="F1437" s="2"/>
      <c r="G1437" s="2"/>
      <c r="H1437" s="2"/>
      <c r="I1437" s="5"/>
    </row>
    <row r="1438" spans="1:9" ht="17.399999999999999" x14ac:dyDescent="0.25">
      <c r="A1438" s="16"/>
      <c r="B1438" s="17"/>
      <c r="C1438" s="2"/>
      <c r="D1438" s="2"/>
      <c r="E1438" s="2"/>
      <c r="F1438" s="2"/>
      <c r="G1438" s="2"/>
      <c r="H1438" s="2"/>
      <c r="I1438" s="5"/>
    </row>
    <row r="1439" spans="1:9" ht="17.399999999999999" x14ac:dyDescent="0.25">
      <c r="A1439" s="16"/>
      <c r="B1439" s="17"/>
      <c r="C1439" s="2"/>
      <c r="D1439" s="2"/>
      <c r="E1439" s="2"/>
      <c r="F1439" s="2"/>
      <c r="G1439" s="2"/>
      <c r="H1439" s="2"/>
      <c r="I1439" s="5"/>
    </row>
    <row r="1440" spans="1:9" ht="17.399999999999999" x14ac:dyDescent="0.25">
      <c r="A1440" s="16"/>
      <c r="B1440" s="17"/>
      <c r="C1440" s="2"/>
      <c r="D1440" s="2"/>
      <c r="E1440" s="2"/>
      <c r="F1440" s="2"/>
      <c r="G1440" s="2"/>
      <c r="H1440" s="2"/>
      <c r="I1440" s="5"/>
    </row>
    <row r="1441" spans="1:9" ht="17.399999999999999" x14ac:dyDescent="0.25">
      <c r="A1441" s="16"/>
      <c r="B1441" s="17"/>
      <c r="C1441" s="2"/>
      <c r="D1441" s="2"/>
      <c r="E1441" s="2"/>
      <c r="F1441" s="2"/>
      <c r="G1441" s="2"/>
      <c r="H1441" s="2"/>
      <c r="I1441" s="5"/>
    </row>
    <row r="1442" spans="1:9" ht="17.399999999999999" x14ac:dyDescent="0.25">
      <c r="A1442" s="16"/>
      <c r="B1442" s="17"/>
      <c r="C1442" s="2"/>
      <c r="D1442" s="2"/>
      <c r="E1442" s="2"/>
      <c r="F1442" s="2"/>
      <c r="G1442" s="2"/>
      <c r="H1442" s="2"/>
      <c r="I1442" s="5"/>
    </row>
    <row r="1443" spans="1:9" ht="17.399999999999999" x14ac:dyDescent="0.25">
      <c r="A1443" s="16"/>
      <c r="B1443" s="17"/>
      <c r="C1443" s="2"/>
      <c r="D1443" s="2"/>
      <c r="E1443" s="2"/>
      <c r="F1443" s="2"/>
      <c r="G1443" s="2"/>
      <c r="H1443" s="2"/>
      <c r="I1443" s="5"/>
    </row>
    <row r="1444" spans="1:9" ht="17.399999999999999" x14ac:dyDescent="0.25">
      <c r="A1444" s="16"/>
      <c r="B1444" s="17"/>
      <c r="C1444" s="2"/>
      <c r="D1444" s="2"/>
      <c r="E1444" s="2"/>
      <c r="F1444" s="2"/>
      <c r="G1444" s="2"/>
      <c r="H1444" s="2"/>
      <c r="I1444" s="5"/>
    </row>
    <row r="1445" spans="1:9" ht="17.399999999999999" x14ac:dyDescent="0.25">
      <c r="A1445" s="16"/>
      <c r="B1445" s="17"/>
      <c r="C1445" s="2"/>
      <c r="D1445" s="2"/>
      <c r="E1445" s="2"/>
      <c r="F1445" s="2"/>
      <c r="G1445" s="2"/>
      <c r="H1445" s="2"/>
      <c r="I1445" s="5"/>
    </row>
    <row r="1446" spans="1:9" ht="17.399999999999999" x14ac:dyDescent="0.25">
      <c r="A1446" s="16"/>
      <c r="B1446" s="17"/>
      <c r="C1446" s="2"/>
      <c r="D1446" s="2"/>
      <c r="E1446" s="2"/>
      <c r="F1446" s="2"/>
      <c r="G1446" s="2"/>
      <c r="H1446" s="2"/>
      <c r="I1446" s="5"/>
    </row>
    <row r="1447" spans="1:9" ht="17.399999999999999" x14ac:dyDescent="0.25">
      <c r="A1447" s="16"/>
      <c r="B1447" s="17"/>
      <c r="C1447" s="2"/>
      <c r="D1447" s="2"/>
      <c r="E1447" s="2"/>
      <c r="F1447" s="2"/>
      <c r="G1447" s="2"/>
      <c r="H1447" s="2"/>
      <c r="I1447" s="5"/>
    </row>
    <row r="1448" spans="1:9" ht="17.399999999999999" x14ac:dyDescent="0.25">
      <c r="A1448" s="16"/>
      <c r="B1448" s="17"/>
      <c r="C1448" s="2"/>
      <c r="D1448" s="2"/>
      <c r="E1448" s="2"/>
      <c r="F1448" s="2"/>
      <c r="G1448" s="2"/>
      <c r="H1448" s="2"/>
      <c r="I1448" s="5"/>
    </row>
    <row r="1449" spans="1:9" ht="17.399999999999999" x14ac:dyDescent="0.25">
      <c r="A1449" s="16"/>
      <c r="B1449" s="17"/>
      <c r="C1449" s="2"/>
      <c r="D1449" s="2"/>
      <c r="E1449" s="2"/>
      <c r="F1449" s="2"/>
      <c r="G1449" s="2"/>
      <c r="H1449" s="2"/>
      <c r="I1449" s="5"/>
    </row>
    <row r="1450" spans="1:9" ht="17.399999999999999" x14ac:dyDescent="0.25">
      <c r="A1450" s="16"/>
      <c r="B1450" s="17"/>
      <c r="C1450" s="2"/>
      <c r="D1450" s="2"/>
      <c r="E1450" s="2"/>
      <c r="F1450" s="2"/>
      <c r="G1450" s="2"/>
      <c r="H1450" s="2"/>
      <c r="I1450" s="5"/>
    </row>
    <row r="1451" spans="1:9" ht="17.399999999999999" x14ac:dyDescent="0.25">
      <c r="A1451" s="16"/>
      <c r="B1451" s="17"/>
      <c r="C1451" s="2"/>
      <c r="D1451" s="2"/>
      <c r="E1451" s="2"/>
      <c r="F1451" s="2"/>
      <c r="G1451" s="2"/>
      <c r="H1451" s="2"/>
      <c r="I1451" s="5"/>
    </row>
    <row r="1452" spans="1:9" ht="17.399999999999999" x14ac:dyDescent="0.25">
      <c r="A1452" s="16"/>
      <c r="B1452" s="17"/>
      <c r="C1452" s="2"/>
      <c r="D1452" s="2"/>
      <c r="E1452" s="2"/>
      <c r="F1452" s="2"/>
      <c r="G1452" s="2"/>
      <c r="H1452" s="2"/>
      <c r="I1452" s="5"/>
    </row>
    <row r="1453" spans="1:9" ht="17.399999999999999" x14ac:dyDescent="0.25">
      <c r="A1453" s="16"/>
      <c r="B1453" s="17"/>
      <c r="C1453" s="2"/>
      <c r="D1453" s="2"/>
      <c r="E1453" s="2"/>
      <c r="F1453" s="2"/>
      <c r="G1453" s="2"/>
      <c r="H1453" s="2"/>
      <c r="I1453" s="5"/>
    </row>
    <row r="1454" spans="1:9" ht="17.399999999999999" x14ac:dyDescent="0.25">
      <c r="A1454" s="16"/>
      <c r="B1454" s="17"/>
      <c r="C1454" s="2"/>
      <c r="D1454" s="2"/>
      <c r="E1454" s="2"/>
      <c r="F1454" s="2"/>
      <c r="G1454" s="2"/>
      <c r="H1454" s="2"/>
      <c r="I1454" s="5"/>
    </row>
    <row r="1455" spans="1:9" ht="17.399999999999999" x14ac:dyDescent="0.25">
      <c r="A1455" s="16"/>
      <c r="B1455" s="17"/>
      <c r="C1455" s="2"/>
      <c r="D1455" s="2"/>
      <c r="E1455" s="2"/>
      <c r="F1455" s="2"/>
      <c r="G1455" s="2"/>
      <c r="H1455" s="2"/>
      <c r="I1455" s="5"/>
    </row>
    <row r="1456" spans="1:9" ht="17.399999999999999" x14ac:dyDescent="0.25">
      <c r="A1456" s="16"/>
      <c r="B1456" s="17"/>
      <c r="C1456" s="2"/>
      <c r="D1456" s="2"/>
      <c r="E1456" s="2"/>
      <c r="F1456" s="2"/>
      <c r="G1456" s="2"/>
      <c r="H1456" s="2"/>
      <c r="I1456" s="5"/>
    </row>
    <row r="1457" spans="1:9" ht="17.399999999999999" x14ac:dyDescent="0.25">
      <c r="A1457" s="16"/>
      <c r="B1457" s="17"/>
      <c r="C1457" s="2"/>
      <c r="D1457" s="2"/>
      <c r="E1457" s="2"/>
      <c r="F1457" s="2"/>
      <c r="G1457" s="2"/>
      <c r="H1457" s="2"/>
      <c r="I1457" s="5"/>
    </row>
    <row r="1458" spans="1:9" ht="17.399999999999999" x14ac:dyDescent="0.25">
      <c r="A1458" s="16"/>
      <c r="B1458" s="17"/>
      <c r="C1458" s="2"/>
      <c r="D1458" s="2"/>
      <c r="E1458" s="2"/>
      <c r="F1458" s="2"/>
      <c r="G1458" s="2"/>
      <c r="H1458" s="2"/>
      <c r="I1458" s="5"/>
    </row>
    <row r="1459" spans="1:9" ht="17.399999999999999" x14ac:dyDescent="0.25">
      <c r="A1459" s="16"/>
      <c r="B1459" s="17"/>
      <c r="C1459" s="2"/>
      <c r="D1459" s="2"/>
      <c r="E1459" s="2"/>
      <c r="F1459" s="2"/>
      <c r="G1459" s="2"/>
      <c r="H1459" s="2"/>
      <c r="I1459" s="5"/>
    </row>
    <row r="1460" spans="1:9" ht="17.399999999999999" x14ac:dyDescent="0.25">
      <c r="A1460" s="16"/>
      <c r="B1460" s="17"/>
      <c r="C1460" s="2"/>
      <c r="D1460" s="2"/>
      <c r="E1460" s="2"/>
      <c r="F1460" s="2"/>
      <c r="G1460" s="2"/>
      <c r="H1460" s="2"/>
      <c r="I1460" s="5"/>
    </row>
    <row r="1461" spans="1:9" ht="17.399999999999999" x14ac:dyDescent="0.25">
      <c r="A1461" s="16"/>
      <c r="B1461" s="17"/>
      <c r="C1461" s="2"/>
      <c r="D1461" s="2"/>
      <c r="E1461" s="2"/>
      <c r="F1461" s="2"/>
      <c r="G1461" s="2"/>
      <c r="H1461" s="2"/>
      <c r="I1461" s="5"/>
    </row>
    <row r="1462" spans="1:9" ht="17.399999999999999" x14ac:dyDescent="0.25">
      <c r="A1462" s="16"/>
      <c r="B1462" s="17"/>
      <c r="C1462" s="2"/>
      <c r="D1462" s="2"/>
      <c r="E1462" s="2"/>
      <c r="F1462" s="2"/>
      <c r="G1462" s="2"/>
      <c r="H1462" s="2"/>
      <c r="I1462" s="5"/>
    </row>
    <row r="1463" spans="1:9" ht="17.399999999999999" x14ac:dyDescent="0.25">
      <c r="A1463" s="16"/>
      <c r="B1463" s="17"/>
      <c r="C1463" s="2"/>
      <c r="D1463" s="2"/>
      <c r="E1463" s="2"/>
      <c r="F1463" s="2"/>
      <c r="G1463" s="2"/>
      <c r="H1463" s="2"/>
      <c r="I1463" s="5"/>
    </row>
    <row r="1464" spans="1:9" ht="17.399999999999999" x14ac:dyDescent="0.25">
      <c r="A1464" s="16"/>
      <c r="B1464" s="17"/>
      <c r="C1464" s="2"/>
      <c r="D1464" s="2"/>
      <c r="E1464" s="2"/>
      <c r="F1464" s="2"/>
      <c r="G1464" s="2"/>
      <c r="H1464" s="2"/>
      <c r="I1464" s="5"/>
    </row>
    <row r="1465" spans="1:9" ht="17.399999999999999" x14ac:dyDescent="0.25">
      <c r="A1465" s="16"/>
      <c r="B1465" s="17"/>
      <c r="C1465" s="2"/>
      <c r="D1465" s="2"/>
      <c r="E1465" s="2"/>
      <c r="F1465" s="2"/>
      <c r="G1465" s="2"/>
      <c r="H1465" s="2"/>
      <c r="I1465" s="5"/>
    </row>
    <row r="1466" spans="1:9" ht="17.399999999999999" x14ac:dyDescent="0.25">
      <c r="A1466" s="16"/>
      <c r="B1466" s="17"/>
      <c r="C1466" s="2"/>
      <c r="D1466" s="2"/>
      <c r="E1466" s="2"/>
      <c r="F1466" s="2"/>
      <c r="G1466" s="2"/>
      <c r="H1466" s="2"/>
      <c r="I1466" s="5"/>
    </row>
    <row r="1467" spans="1:9" ht="17.399999999999999" x14ac:dyDescent="0.25">
      <c r="A1467" s="16"/>
      <c r="B1467" s="17"/>
      <c r="C1467" s="2"/>
      <c r="D1467" s="2"/>
      <c r="E1467" s="2"/>
      <c r="F1467" s="2"/>
      <c r="G1467" s="2"/>
      <c r="H1467" s="2"/>
      <c r="I1467" s="5"/>
    </row>
    <row r="1468" spans="1:9" ht="17.399999999999999" x14ac:dyDescent="0.25">
      <c r="A1468" s="16"/>
      <c r="B1468" s="17"/>
      <c r="C1468" s="2"/>
      <c r="D1468" s="2"/>
      <c r="E1468" s="2"/>
      <c r="F1468" s="2"/>
      <c r="G1468" s="2"/>
      <c r="H1468" s="2"/>
      <c r="I1468" s="5"/>
    </row>
    <row r="1469" spans="1:9" ht="17.399999999999999" x14ac:dyDescent="0.25">
      <c r="A1469" s="16"/>
      <c r="B1469" s="17"/>
      <c r="C1469" s="2"/>
      <c r="D1469" s="2"/>
      <c r="E1469" s="2"/>
      <c r="F1469" s="2"/>
      <c r="G1469" s="2"/>
      <c r="H1469" s="2"/>
      <c r="I1469" s="5"/>
    </row>
    <row r="1470" spans="1:9" ht="17.399999999999999" x14ac:dyDescent="0.25">
      <c r="A1470" s="16"/>
      <c r="B1470" s="17"/>
      <c r="C1470" s="2"/>
      <c r="D1470" s="2"/>
      <c r="E1470" s="2"/>
      <c r="F1470" s="2"/>
      <c r="G1470" s="2"/>
      <c r="H1470" s="2"/>
      <c r="I1470" s="5"/>
    </row>
    <row r="1471" spans="1:9" ht="17.399999999999999" x14ac:dyDescent="0.25">
      <c r="A1471" s="16"/>
      <c r="B1471" s="17"/>
      <c r="C1471" s="2"/>
      <c r="D1471" s="2"/>
      <c r="E1471" s="2"/>
      <c r="F1471" s="2"/>
      <c r="G1471" s="2"/>
      <c r="H1471" s="2"/>
      <c r="I1471" s="5"/>
    </row>
    <row r="1472" spans="1:9" ht="17.399999999999999" x14ac:dyDescent="0.25">
      <c r="A1472" s="16"/>
      <c r="B1472" s="17"/>
      <c r="C1472" s="2"/>
      <c r="D1472" s="2"/>
      <c r="E1472" s="2"/>
      <c r="F1472" s="2"/>
      <c r="G1472" s="2"/>
      <c r="H1472" s="2"/>
      <c r="I1472" s="5"/>
    </row>
    <row r="1473" spans="1:9" ht="17.399999999999999" x14ac:dyDescent="0.25">
      <c r="A1473" s="16"/>
      <c r="B1473" s="17"/>
      <c r="C1473" s="2"/>
      <c r="D1473" s="2"/>
      <c r="E1473" s="2"/>
      <c r="F1473" s="2"/>
      <c r="G1473" s="2"/>
      <c r="H1473" s="2"/>
      <c r="I1473" s="5"/>
    </row>
    <row r="1474" spans="1:9" ht="17.399999999999999" x14ac:dyDescent="0.25">
      <c r="A1474" s="16"/>
      <c r="B1474" s="17"/>
      <c r="C1474" s="2"/>
      <c r="D1474" s="2"/>
      <c r="E1474" s="2"/>
      <c r="F1474" s="2"/>
      <c r="G1474" s="2"/>
      <c r="H1474" s="2"/>
      <c r="I1474" s="5"/>
    </row>
    <row r="1475" spans="1:9" ht="17.399999999999999" x14ac:dyDescent="0.25">
      <c r="A1475" s="16"/>
      <c r="B1475" s="17"/>
      <c r="C1475" s="2"/>
      <c r="D1475" s="2"/>
      <c r="E1475" s="2"/>
      <c r="F1475" s="2"/>
      <c r="G1475" s="2"/>
      <c r="H1475" s="2"/>
      <c r="I1475" s="5"/>
    </row>
    <row r="1476" spans="1:9" ht="17.399999999999999" x14ac:dyDescent="0.25">
      <c r="A1476" s="16"/>
      <c r="B1476" s="17"/>
      <c r="C1476" s="2"/>
      <c r="D1476" s="2"/>
      <c r="E1476" s="2"/>
      <c r="F1476" s="2"/>
      <c r="G1476" s="2"/>
      <c r="H1476" s="2"/>
      <c r="I1476" s="5"/>
    </row>
    <row r="1477" spans="1:9" ht="17.399999999999999" x14ac:dyDescent="0.25">
      <c r="A1477" s="16"/>
      <c r="B1477" s="17"/>
      <c r="C1477" s="2"/>
      <c r="D1477" s="2"/>
      <c r="E1477" s="2"/>
      <c r="F1477" s="2"/>
      <c r="G1477" s="2"/>
      <c r="H1477" s="2"/>
      <c r="I1477" s="5"/>
    </row>
    <row r="1478" spans="1:9" ht="17.399999999999999" x14ac:dyDescent="0.25">
      <c r="A1478" s="16"/>
      <c r="B1478" s="17"/>
      <c r="C1478" s="2"/>
      <c r="D1478" s="2"/>
      <c r="E1478" s="2"/>
      <c r="F1478" s="2"/>
      <c r="G1478" s="2"/>
      <c r="H1478" s="2"/>
      <c r="I1478" s="5"/>
    </row>
    <row r="1479" spans="1:9" ht="17.399999999999999" x14ac:dyDescent="0.25">
      <c r="A1479" s="16"/>
      <c r="B1479" s="17"/>
      <c r="C1479" s="2"/>
      <c r="D1479" s="2"/>
      <c r="E1479" s="2"/>
      <c r="F1479" s="2"/>
      <c r="G1479" s="2"/>
      <c r="H1479" s="2"/>
      <c r="I1479" s="5"/>
    </row>
    <row r="1480" spans="1:9" ht="17.399999999999999" x14ac:dyDescent="0.25">
      <c r="A1480" s="16"/>
      <c r="B1480" s="17"/>
      <c r="C1480" s="2"/>
      <c r="D1480" s="2"/>
      <c r="E1480" s="2"/>
      <c r="F1480" s="2"/>
      <c r="G1480" s="2"/>
      <c r="H1480" s="2"/>
      <c r="I1480" s="5"/>
    </row>
    <row r="1481" spans="1:9" ht="17.399999999999999" x14ac:dyDescent="0.25">
      <c r="A1481" s="16"/>
      <c r="B1481" s="17"/>
      <c r="C1481" s="2"/>
      <c r="D1481" s="2"/>
      <c r="E1481" s="2"/>
      <c r="F1481" s="2"/>
      <c r="G1481" s="2"/>
      <c r="H1481" s="2"/>
      <c r="I1481" s="5"/>
    </row>
    <row r="1482" spans="1:9" ht="17.399999999999999" x14ac:dyDescent="0.25">
      <c r="A1482" s="16"/>
      <c r="B1482" s="17"/>
      <c r="C1482" s="2"/>
      <c r="D1482" s="2"/>
      <c r="E1482" s="2"/>
      <c r="F1482" s="2"/>
      <c r="G1482" s="2"/>
      <c r="H1482" s="2"/>
      <c r="I1482" s="5"/>
    </row>
    <row r="1483" spans="1:9" ht="17.399999999999999" x14ac:dyDescent="0.25">
      <c r="A1483" s="16"/>
      <c r="B1483" s="17"/>
      <c r="C1483" s="2"/>
      <c r="D1483" s="2"/>
      <c r="E1483" s="2"/>
      <c r="F1483" s="2"/>
      <c r="G1483" s="2"/>
      <c r="H1483" s="2"/>
      <c r="I1483" s="5"/>
    </row>
    <row r="1484" spans="1:9" ht="17.399999999999999" x14ac:dyDescent="0.25">
      <c r="A1484" s="16"/>
      <c r="B1484" s="17"/>
      <c r="C1484" s="2"/>
      <c r="D1484" s="2"/>
      <c r="E1484" s="2"/>
      <c r="F1484" s="2"/>
      <c r="G1484" s="2"/>
      <c r="H1484" s="2"/>
      <c r="I1484" s="5"/>
    </row>
    <row r="1485" spans="1:9" ht="17.399999999999999" x14ac:dyDescent="0.25">
      <c r="A1485" s="16"/>
      <c r="B1485" s="17"/>
      <c r="C1485" s="2"/>
      <c r="D1485" s="2"/>
      <c r="E1485" s="2"/>
      <c r="F1485" s="2"/>
      <c r="G1485" s="2"/>
      <c r="H1485" s="2"/>
      <c r="I1485" s="5"/>
    </row>
    <row r="1486" spans="1:9" ht="17.399999999999999" x14ac:dyDescent="0.25">
      <c r="A1486" s="16"/>
      <c r="B1486" s="17"/>
      <c r="C1486" s="2"/>
      <c r="D1486" s="2"/>
      <c r="E1486" s="2"/>
      <c r="F1486" s="2"/>
      <c r="G1486" s="2"/>
      <c r="H1486" s="2"/>
      <c r="I1486" s="5"/>
    </row>
    <row r="1487" spans="1:9" ht="17.399999999999999" x14ac:dyDescent="0.25">
      <c r="A1487" s="16"/>
      <c r="B1487" s="17"/>
      <c r="C1487" s="2"/>
      <c r="D1487" s="2"/>
      <c r="E1487" s="2"/>
      <c r="F1487" s="2"/>
      <c r="G1487" s="2"/>
      <c r="H1487" s="2"/>
      <c r="I1487" s="5"/>
    </row>
    <row r="1488" spans="1:9" ht="17.399999999999999" x14ac:dyDescent="0.25">
      <c r="A1488" s="16"/>
      <c r="B1488" s="17"/>
      <c r="C1488" s="2"/>
      <c r="D1488" s="2"/>
      <c r="E1488" s="2"/>
      <c r="F1488" s="2"/>
      <c r="G1488" s="2"/>
      <c r="H1488" s="2"/>
      <c r="I1488" s="5"/>
    </row>
    <row r="1489" spans="1:9" ht="17.399999999999999" x14ac:dyDescent="0.25">
      <c r="A1489" s="16"/>
      <c r="B1489" s="17"/>
      <c r="C1489" s="2"/>
      <c r="D1489" s="2"/>
      <c r="E1489" s="2"/>
      <c r="F1489" s="2"/>
      <c r="G1489" s="2"/>
      <c r="H1489" s="2"/>
      <c r="I1489" s="5"/>
    </row>
    <row r="1490" spans="1:9" ht="17.399999999999999" x14ac:dyDescent="0.25">
      <c r="A1490" s="16"/>
      <c r="B1490" s="17"/>
      <c r="C1490" s="2"/>
      <c r="D1490" s="2"/>
      <c r="E1490" s="2"/>
      <c r="F1490" s="2"/>
      <c r="G1490" s="2"/>
      <c r="H1490" s="2"/>
      <c r="I1490" s="5"/>
    </row>
    <row r="1491" spans="1:9" ht="17.399999999999999" x14ac:dyDescent="0.25">
      <c r="A1491" s="16"/>
      <c r="B1491" s="17"/>
      <c r="C1491" s="2"/>
      <c r="D1491" s="2"/>
      <c r="E1491" s="2"/>
      <c r="F1491" s="2"/>
      <c r="G1491" s="2"/>
      <c r="H1491" s="2"/>
      <c r="I1491" s="5"/>
    </row>
    <row r="1492" spans="1:9" ht="17.399999999999999" x14ac:dyDescent="0.25">
      <c r="A1492" s="16"/>
      <c r="B1492" s="17"/>
      <c r="C1492" s="2"/>
      <c r="D1492" s="2"/>
      <c r="E1492" s="2"/>
      <c r="F1492" s="2"/>
      <c r="G1492" s="2"/>
      <c r="H1492" s="2"/>
      <c r="I1492" s="5"/>
    </row>
    <row r="1493" spans="1:9" ht="17.399999999999999" x14ac:dyDescent="0.25">
      <c r="A1493" s="16"/>
      <c r="B1493" s="17"/>
      <c r="C1493" s="2"/>
      <c r="D1493" s="2"/>
      <c r="E1493" s="2"/>
      <c r="F1493" s="2"/>
      <c r="G1493" s="2"/>
      <c r="H1493" s="2"/>
      <c r="I1493" s="5"/>
    </row>
    <row r="1494" spans="1:9" ht="17.399999999999999" x14ac:dyDescent="0.25">
      <c r="A1494" s="16"/>
      <c r="B1494" s="17"/>
      <c r="C1494" s="2"/>
      <c r="D1494" s="2"/>
      <c r="E1494" s="2"/>
      <c r="F1494" s="2"/>
      <c r="G1494" s="2"/>
      <c r="H1494" s="2"/>
      <c r="I1494" s="5"/>
    </row>
    <row r="1495" spans="1:9" ht="17.399999999999999" x14ac:dyDescent="0.25">
      <c r="A1495" s="16"/>
      <c r="B1495" s="17"/>
      <c r="C1495" s="2"/>
      <c r="D1495" s="2"/>
      <c r="E1495" s="2"/>
      <c r="F1495" s="2"/>
      <c r="G1495" s="2"/>
      <c r="H1495" s="2"/>
      <c r="I1495" s="5"/>
    </row>
    <row r="1496" spans="1:9" ht="17.399999999999999" x14ac:dyDescent="0.25">
      <c r="A1496" s="16"/>
      <c r="B1496" s="17"/>
      <c r="C1496" s="2"/>
      <c r="D1496" s="2"/>
      <c r="E1496" s="2"/>
      <c r="F1496" s="2"/>
      <c r="G1496" s="2"/>
      <c r="H1496" s="2"/>
      <c r="I1496" s="5"/>
    </row>
    <row r="1497" spans="1:9" ht="17.399999999999999" x14ac:dyDescent="0.25">
      <c r="A1497" s="16"/>
      <c r="B1497" s="17"/>
      <c r="C1497" s="2"/>
      <c r="D1497" s="2"/>
      <c r="E1497" s="2"/>
      <c r="F1497" s="2"/>
      <c r="G1497" s="2"/>
      <c r="H1497" s="2"/>
      <c r="I1497" s="5"/>
    </row>
    <row r="1498" spans="1:9" ht="17.399999999999999" x14ac:dyDescent="0.25">
      <c r="A1498" s="16"/>
      <c r="B1498" s="17"/>
      <c r="C1498" s="2"/>
      <c r="D1498" s="2"/>
      <c r="E1498" s="2"/>
      <c r="F1498" s="2"/>
      <c r="G1498" s="2"/>
      <c r="H1498" s="2"/>
      <c r="I1498" s="5"/>
    </row>
    <row r="1499" spans="1:9" ht="17.399999999999999" x14ac:dyDescent="0.25">
      <c r="A1499" s="16"/>
      <c r="B1499" s="17"/>
      <c r="C1499" s="2"/>
      <c r="D1499" s="2"/>
      <c r="E1499" s="2"/>
      <c r="F1499" s="2"/>
      <c r="G1499" s="2"/>
      <c r="H1499" s="2"/>
      <c r="I1499" s="5"/>
    </row>
    <row r="1500" spans="1:9" ht="17.399999999999999" x14ac:dyDescent="0.25">
      <c r="A1500" s="16"/>
      <c r="B1500" s="17"/>
      <c r="C1500" s="2"/>
      <c r="D1500" s="2"/>
      <c r="E1500" s="2"/>
      <c r="F1500" s="2"/>
      <c r="G1500" s="2"/>
      <c r="H1500" s="2"/>
      <c r="I1500" s="5"/>
    </row>
    <row r="1501" spans="1:9" ht="17.399999999999999" x14ac:dyDescent="0.25">
      <c r="A1501" s="16"/>
      <c r="B1501" s="17"/>
      <c r="C1501" s="2"/>
      <c r="D1501" s="2"/>
      <c r="E1501" s="2"/>
      <c r="F1501" s="2"/>
      <c r="G1501" s="2"/>
      <c r="H1501" s="2"/>
      <c r="I1501" s="5"/>
    </row>
    <row r="1502" spans="1:9" ht="17.399999999999999" x14ac:dyDescent="0.25">
      <c r="A1502" s="16"/>
      <c r="B1502" s="17"/>
      <c r="C1502" s="2"/>
      <c r="D1502" s="2"/>
      <c r="E1502" s="2"/>
      <c r="F1502" s="2"/>
      <c r="G1502" s="2"/>
      <c r="H1502" s="2"/>
      <c r="I1502" s="5"/>
    </row>
    <row r="1503" spans="1:9" ht="17.399999999999999" x14ac:dyDescent="0.25">
      <c r="A1503" s="16"/>
      <c r="B1503" s="17"/>
      <c r="C1503" s="2"/>
      <c r="D1503" s="2"/>
      <c r="E1503" s="2"/>
      <c r="F1503" s="2"/>
      <c r="G1503" s="2"/>
      <c r="H1503" s="2"/>
      <c r="I1503" s="5"/>
    </row>
    <row r="1504" spans="1:9" ht="17.399999999999999" x14ac:dyDescent="0.25">
      <c r="A1504" s="16"/>
      <c r="B1504" s="17"/>
      <c r="C1504" s="2"/>
      <c r="D1504" s="2"/>
      <c r="E1504" s="2"/>
      <c r="F1504" s="2"/>
      <c r="G1504" s="2"/>
      <c r="H1504" s="2"/>
      <c r="I1504" s="5"/>
    </row>
    <row r="1505" spans="1:9" ht="17.399999999999999" x14ac:dyDescent="0.25">
      <c r="A1505" s="16"/>
      <c r="B1505" s="17"/>
      <c r="C1505" s="2"/>
      <c r="D1505" s="2"/>
      <c r="E1505" s="2"/>
      <c r="F1505" s="2"/>
      <c r="G1505" s="2"/>
      <c r="H1505" s="2"/>
      <c r="I1505" s="5"/>
    </row>
    <row r="1506" spans="1:9" ht="17.399999999999999" x14ac:dyDescent="0.25">
      <c r="A1506" s="16"/>
      <c r="B1506" s="17"/>
      <c r="C1506" s="2"/>
      <c r="D1506" s="2"/>
      <c r="E1506" s="2"/>
      <c r="F1506" s="2"/>
      <c r="G1506" s="2"/>
      <c r="H1506" s="2"/>
      <c r="I1506" s="5"/>
    </row>
    <row r="1507" spans="1:9" ht="17.399999999999999" x14ac:dyDescent="0.25">
      <c r="A1507" s="16"/>
      <c r="B1507" s="17"/>
      <c r="C1507" s="2"/>
      <c r="D1507" s="2"/>
      <c r="E1507" s="2"/>
      <c r="F1507" s="2"/>
      <c r="G1507" s="2"/>
      <c r="H1507" s="2"/>
      <c r="I1507" s="5"/>
    </row>
    <row r="1508" spans="1:9" ht="17.399999999999999" x14ac:dyDescent="0.25">
      <c r="A1508" s="16"/>
      <c r="B1508" s="17"/>
      <c r="C1508" s="2"/>
      <c r="D1508" s="2"/>
      <c r="E1508" s="2"/>
      <c r="F1508" s="2"/>
      <c r="G1508" s="2"/>
      <c r="H1508" s="2"/>
      <c r="I1508" s="5"/>
    </row>
    <row r="1509" spans="1:9" ht="17.399999999999999" x14ac:dyDescent="0.25">
      <c r="A1509" s="16"/>
      <c r="B1509" s="17"/>
      <c r="C1509" s="2"/>
      <c r="D1509" s="2"/>
      <c r="E1509" s="2"/>
      <c r="F1509" s="2"/>
      <c r="G1509" s="2"/>
      <c r="H1509" s="2"/>
      <c r="I1509" s="5"/>
    </row>
    <row r="1510" spans="1:9" ht="17.399999999999999" x14ac:dyDescent="0.25">
      <c r="A1510" s="16"/>
      <c r="B1510" s="17"/>
      <c r="C1510" s="2"/>
      <c r="D1510" s="2"/>
      <c r="E1510" s="2"/>
      <c r="F1510" s="2"/>
      <c r="G1510" s="2"/>
      <c r="H1510" s="2"/>
      <c r="I1510" s="5"/>
    </row>
    <row r="1511" spans="1:9" ht="17.399999999999999" x14ac:dyDescent="0.25">
      <c r="A1511" s="16"/>
      <c r="B1511" s="17"/>
      <c r="C1511" s="2"/>
      <c r="D1511" s="2"/>
      <c r="E1511" s="2"/>
      <c r="F1511" s="2"/>
      <c r="G1511" s="2"/>
      <c r="H1511" s="2"/>
      <c r="I1511" s="5"/>
    </row>
    <row r="1512" spans="1:9" ht="17.399999999999999" x14ac:dyDescent="0.25">
      <c r="A1512" s="16"/>
      <c r="B1512" s="17"/>
      <c r="C1512" s="2"/>
      <c r="D1512" s="2"/>
      <c r="E1512" s="2"/>
      <c r="F1512" s="2"/>
      <c r="G1512" s="2"/>
      <c r="H1512" s="2"/>
      <c r="I1512" s="5"/>
    </row>
    <row r="1513" spans="1:9" ht="17.399999999999999" x14ac:dyDescent="0.25">
      <c r="A1513" s="16"/>
      <c r="B1513" s="17"/>
      <c r="C1513" s="2"/>
      <c r="D1513" s="2"/>
      <c r="E1513" s="2"/>
      <c r="F1513" s="2"/>
      <c r="G1513" s="2"/>
      <c r="H1513" s="2"/>
      <c r="I1513" s="5"/>
    </row>
    <row r="1514" spans="1:9" ht="17.399999999999999" x14ac:dyDescent="0.25">
      <c r="A1514" s="16"/>
      <c r="B1514" s="17"/>
      <c r="C1514" s="2"/>
      <c r="D1514" s="2"/>
      <c r="E1514" s="2"/>
      <c r="F1514" s="2"/>
      <c r="G1514" s="2"/>
      <c r="H1514" s="2"/>
      <c r="I1514" s="5"/>
    </row>
    <row r="1515" spans="1:9" ht="17.399999999999999" x14ac:dyDescent="0.25">
      <c r="A1515" s="16"/>
      <c r="B1515" s="17"/>
      <c r="C1515" s="2"/>
      <c r="D1515" s="2"/>
      <c r="E1515" s="2"/>
      <c r="F1515" s="2"/>
      <c r="G1515" s="2"/>
      <c r="H1515" s="2"/>
      <c r="I1515" s="5"/>
    </row>
    <row r="1516" spans="1:9" ht="17.399999999999999" x14ac:dyDescent="0.25">
      <c r="A1516" s="16"/>
      <c r="B1516" s="17"/>
      <c r="C1516" s="2"/>
      <c r="D1516" s="2"/>
      <c r="E1516" s="2"/>
      <c r="F1516" s="2"/>
      <c r="G1516" s="2"/>
      <c r="H1516" s="2"/>
      <c r="I1516" s="5"/>
    </row>
    <row r="1517" spans="1:9" ht="17.399999999999999" x14ac:dyDescent="0.25">
      <c r="A1517" s="16"/>
      <c r="B1517" s="17"/>
      <c r="C1517" s="2"/>
      <c r="D1517" s="2"/>
      <c r="E1517" s="2"/>
      <c r="F1517" s="2"/>
      <c r="G1517" s="2"/>
      <c r="H1517" s="2"/>
      <c r="I1517" s="5"/>
    </row>
    <row r="1518" spans="1:9" ht="17.399999999999999" x14ac:dyDescent="0.25">
      <c r="A1518" s="16"/>
      <c r="B1518" s="17"/>
      <c r="C1518" s="2"/>
      <c r="D1518" s="2"/>
      <c r="E1518" s="2"/>
      <c r="F1518" s="2"/>
      <c r="G1518" s="2"/>
      <c r="H1518" s="2"/>
      <c r="I1518" s="5"/>
    </row>
    <row r="1519" spans="1:9" ht="17.399999999999999" x14ac:dyDescent="0.25">
      <c r="A1519" s="16"/>
      <c r="B1519" s="17"/>
      <c r="C1519" s="2"/>
      <c r="D1519" s="2"/>
      <c r="E1519" s="2"/>
      <c r="F1519" s="2"/>
      <c r="G1519" s="2"/>
      <c r="H1519" s="2"/>
      <c r="I1519" s="5"/>
    </row>
    <row r="1520" spans="1:9" ht="17.399999999999999" x14ac:dyDescent="0.25">
      <c r="A1520" s="16"/>
      <c r="B1520" s="17"/>
      <c r="C1520" s="2"/>
      <c r="D1520" s="2"/>
      <c r="E1520" s="2"/>
      <c r="F1520" s="2"/>
      <c r="G1520" s="2"/>
      <c r="H1520" s="2"/>
      <c r="I1520" s="5"/>
    </row>
    <row r="1521" spans="1:9" ht="17.399999999999999" x14ac:dyDescent="0.25">
      <c r="A1521" s="16"/>
      <c r="B1521" s="17"/>
      <c r="C1521" s="2"/>
      <c r="D1521" s="2"/>
      <c r="E1521" s="2"/>
      <c r="F1521" s="2"/>
      <c r="G1521" s="2"/>
      <c r="H1521" s="2"/>
      <c r="I1521" s="5"/>
    </row>
    <row r="1522" spans="1:9" ht="17.399999999999999" x14ac:dyDescent="0.25">
      <c r="A1522" s="16"/>
      <c r="B1522" s="17"/>
      <c r="C1522" s="2"/>
      <c r="D1522" s="2"/>
      <c r="E1522" s="2"/>
      <c r="F1522" s="2"/>
      <c r="G1522" s="2"/>
      <c r="H1522" s="2"/>
      <c r="I1522" s="5"/>
    </row>
    <row r="1523" spans="1:9" ht="17.399999999999999" x14ac:dyDescent="0.25">
      <c r="A1523" s="16"/>
      <c r="B1523" s="17"/>
      <c r="C1523" s="2"/>
      <c r="D1523" s="2"/>
      <c r="E1523" s="2"/>
      <c r="F1523" s="2"/>
      <c r="G1523" s="2"/>
      <c r="H1523" s="2"/>
      <c r="I1523" s="5"/>
    </row>
    <row r="1524" spans="1:9" ht="17.399999999999999" x14ac:dyDescent="0.25">
      <c r="A1524" s="16"/>
      <c r="B1524" s="17"/>
      <c r="C1524" s="2"/>
      <c r="D1524" s="2"/>
      <c r="E1524" s="2"/>
      <c r="F1524" s="2"/>
      <c r="G1524" s="2"/>
      <c r="H1524" s="2"/>
      <c r="I1524" s="5"/>
    </row>
    <row r="1525" spans="1:9" ht="17.399999999999999" x14ac:dyDescent="0.25">
      <c r="A1525" s="16"/>
      <c r="B1525" s="17"/>
      <c r="C1525" s="2"/>
      <c r="D1525" s="2"/>
      <c r="E1525" s="2"/>
      <c r="F1525" s="2"/>
      <c r="G1525" s="2"/>
      <c r="H1525" s="2"/>
      <c r="I1525" s="5"/>
    </row>
    <row r="1526" spans="1:9" ht="17.399999999999999" x14ac:dyDescent="0.25">
      <c r="A1526" s="16"/>
      <c r="B1526" s="17"/>
      <c r="C1526" s="2"/>
      <c r="D1526" s="2"/>
      <c r="E1526" s="2"/>
      <c r="F1526" s="2"/>
      <c r="G1526" s="2"/>
      <c r="H1526" s="2"/>
      <c r="I1526" s="5"/>
    </row>
    <row r="1527" spans="1:9" ht="17.399999999999999" x14ac:dyDescent="0.25">
      <c r="A1527" s="16"/>
      <c r="B1527" s="17"/>
      <c r="C1527" s="2"/>
      <c r="D1527" s="2"/>
      <c r="E1527" s="2"/>
      <c r="F1527" s="2"/>
      <c r="G1527" s="2"/>
      <c r="H1527" s="2"/>
      <c r="I1527" s="5"/>
    </row>
    <row r="1528" spans="1:9" ht="17.399999999999999" x14ac:dyDescent="0.25">
      <c r="A1528" s="16"/>
      <c r="B1528" s="17"/>
      <c r="C1528" s="2"/>
      <c r="D1528" s="2"/>
      <c r="E1528" s="2"/>
      <c r="F1528" s="2"/>
      <c r="G1528" s="2"/>
      <c r="H1528" s="2"/>
      <c r="I1528" s="5"/>
    </row>
    <row r="1529" spans="1:9" ht="17.399999999999999" x14ac:dyDescent="0.25">
      <c r="A1529" s="16"/>
      <c r="B1529" s="17"/>
      <c r="C1529" s="2"/>
      <c r="D1529" s="2"/>
      <c r="E1529" s="2"/>
      <c r="F1529" s="2"/>
      <c r="G1529" s="2"/>
      <c r="H1529" s="2"/>
      <c r="I1529" s="5"/>
    </row>
    <row r="1530" spans="1:9" ht="17.399999999999999" x14ac:dyDescent="0.25">
      <c r="A1530" s="16"/>
      <c r="B1530" s="17"/>
      <c r="C1530" s="2"/>
      <c r="D1530" s="2"/>
      <c r="E1530" s="2"/>
      <c r="F1530" s="2"/>
      <c r="G1530" s="2"/>
      <c r="H1530" s="2"/>
      <c r="I1530" s="5"/>
    </row>
    <row r="1531" spans="1:9" ht="17.399999999999999" x14ac:dyDescent="0.25">
      <c r="A1531" s="16"/>
      <c r="B1531" s="17"/>
      <c r="C1531" s="2"/>
      <c r="D1531" s="2"/>
      <c r="E1531" s="2"/>
      <c r="F1531" s="2"/>
      <c r="G1531" s="2"/>
      <c r="H1531" s="2"/>
      <c r="I1531" s="5"/>
    </row>
    <row r="1532" spans="1:9" ht="17.399999999999999" x14ac:dyDescent="0.25">
      <c r="A1532" s="16"/>
      <c r="B1532" s="17"/>
      <c r="C1532" s="2"/>
      <c r="D1532" s="2"/>
      <c r="E1532" s="2"/>
      <c r="F1532" s="2"/>
      <c r="G1532" s="2"/>
      <c r="H1532" s="2"/>
      <c r="I1532" s="5"/>
    </row>
    <row r="1533" spans="1:9" ht="17.399999999999999" x14ac:dyDescent="0.25">
      <c r="A1533" s="16"/>
      <c r="B1533" s="17"/>
      <c r="C1533" s="2"/>
      <c r="D1533" s="2"/>
      <c r="E1533" s="2"/>
      <c r="F1533" s="2"/>
      <c r="G1533" s="2"/>
      <c r="H1533" s="2"/>
      <c r="I1533" s="5"/>
    </row>
    <row r="1534" spans="1:9" ht="17.399999999999999" x14ac:dyDescent="0.25">
      <c r="A1534" s="16"/>
      <c r="B1534" s="17"/>
      <c r="C1534" s="2"/>
      <c r="D1534" s="2"/>
      <c r="E1534" s="2"/>
      <c r="F1534" s="2"/>
      <c r="G1534" s="2"/>
      <c r="H1534" s="2"/>
      <c r="I1534" s="5"/>
    </row>
    <row r="1535" spans="1:9" ht="17.399999999999999" x14ac:dyDescent="0.25">
      <c r="A1535" s="16"/>
      <c r="B1535" s="17"/>
      <c r="C1535" s="2"/>
      <c r="D1535" s="2"/>
      <c r="E1535" s="2"/>
      <c r="F1535" s="2"/>
      <c r="G1535" s="2"/>
      <c r="H1535" s="2"/>
      <c r="I1535" s="5"/>
    </row>
    <row r="1536" spans="1:9" ht="17.399999999999999" x14ac:dyDescent="0.25">
      <c r="A1536" s="16"/>
      <c r="B1536" s="17"/>
      <c r="C1536" s="2"/>
      <c r="D1536" s="2"/>
      <c r="E1536" s="2"/>
      <c r="F1536" s="2"/>
      <c r="G1536" s="2"/>
      <c r="H1536" s="2"/>
      <c r="I1536" s="5"/>
    </row>
    <row r="1537" spans="1:9" ht="17.399999999999999" x14ac:dyDescent="0.25">
      <c r="A1537" s="16"/>
      <c r="B1537" s="17"/>
      <c r="C1537" s="2"/>
      <c r="D1537" s="2"/>
      <c r="E1537" s="2"/>
      <c r="F1537" s="2"/>
      <c r="G1537" s="2"/>
      <c r="H1537" s="2"/>
      <c r="I1537" s="5"/>
    </row>
    <row r="1538" spans="1:9" ht="17.399999999999999" x14ac:dyDescent="0.25">
      <c r="A1538" s="16"/>
      <c r="B1538" s="17"/>
      <c r="C1538" s="2"/>
      <c r="D1538" s="2"/>
      <c r="E1538" s="2"/>
      <c r="F1538" s="2"/>
      <c r="G1538" s="2"/>
      <c r="H1538" s="2"/>
      <c r="I1538" s="5"/>
    </row>
    <row r="1539" spans="1:9" ht="17.399999999999999" x14ac:dyDescent="0.25">
      <c r="A1539" s="16"/>
      <c r="B1539" s="17"/>
      <c r="C1539" s="2"/>
      <c r="D1539" s="2"/>
      <c r="E1539" s="2"/>
      <c r="F1539" s="2"/>
      <c r="G1539" s="2"/>
      <c r="H1539" s="2"/>
      <c r="I1539" s="5"/>
    </row>
    <row r="1540" spans="1:9" ht="17.399999999999999" x14ac:dyDescent="0.25">
      <c r="A1540" s="16"/>
      <c r="B1540" s="17"/>
      <c r="C1540" s="2"/>
      <c r="D1540" s="2"/>
      <c r="E1540" s="2"/>
      <c r="F1540" s="2"/>
      <c r="G1540" s="2"/>
      <c r="H1540" s="2"/>
      <c r="I1540" s="5"/>
    </row>
    <row r="1541" spans="1:9" ht="17.399999999999999" x14ac:dyDescent="0.25">
      <c r="A1541" s="16"/>
      <c r="B1541" s="17"/>
      <c r="C1541" s="2"/>
      <c r="D1541" s="2"/>
      <c r="E1541" s="2"/>
      <c r="F1541" s="2"/>
      <c r="G1541" s="2"/>
      <c r="H1541" s="2"/>
      <c r="I1541" s="5"/>
    </row>
    <row r="1542" spans="1:9" ht="17.399999999999999" x14ac:dyDescent="0.25">
      <c r="A1542" s="16"/>
      <c r="B1542" s="17"/>
      <c r="C1542" s="2"/>
      <c r="D1542" s="2"/>
      <c r="E1542" s="2"/>
      <c r="F1542" s="2"/>
      <c r="G1542" s="2"/>
      <c r="H1542" s="2"/>
      <c r="I1542" s="5"/>
    </row>
    <row r="1543" spans="1:9" ht="17.399999999999999" x14ac:dyDescent="0.25">
      <c r="A1543" s="16"/>
      <c r="B1543" s="17"/>
      <c r="C1543" s="2"/>
      <c r="D1543" s="2"/>
      <c r="E1543" s="2"/>
      <c r="F1543" s="2"/>
      <c r="G1543" s="2"/>
      <c r="H1543" s="2"/>
      <c r="I1543" s="5"/>
    </row>
    <row r="1544" spans="1:9" ht="17.399999999999999" x14ac:dyDescent="0.25">
      <c r="A1544" s="16"/>
      <c r="B1544" s="17"/>
      <c r="C1544" s="2"/>
      <c r="D1544" s="2"/>
      <c r="E1544" s="2"/>
      <c r="F1544" s="2"/>
      <c r="G1544" s="2"/>
      <c r="H1544" s="2"/>
      <c r="I1544" s="5"/>
    </row>
    <row r="1545" spans="1:9" ht="17.399999999999999" x14ac:dyDescent="0.25">
      <c r="A1545" s="16"/>
      <c r="B1545" s="17"/>
      <c r="C1545" s="2"/>
      <c r="D1545" s="2"/>
      <c r="E1545" s="2"/>
      <c r="F1545" s="2"/>
      <c r="G1545" s="2"/>
      <c r="H1545" s="2"/>
      <c r="I1545" s="5"/>
    </row>
    <row r="1546" spans="1:9" ht="17.399999999999999" x14ac:dyDescent="0.25">
      <c r="A1546" s="16"/>
      <c r="B1546" s="17"/>
      <c r="C1546" s="2"/>
      <c r="D1546" s="2"/>
      <c r="E1546" s="2"/>
      <c r="F1546" s="2"/>
      <c r="G1546" s="2"/>
      <c r="H1546" s="2"/>
      <c r="I1546" s="5"/>
    </row>
    <row r="1547" spans="1:9" ht="17.399999999999999" x14ac:dyDescent="0.25">
      <c r="A1547" s="16"/>
      <c r="B1547" s="17"/>
      <c r="C1547" s="2"/>
      <c r="D1547" s="2"/>
      <c r="E1547" s="2"/>
      <c r="F1547" s="2"/>
      <c r="G1547" s="2"/>
      <c r="H1547" s="2"/>
      <c r="I1547" s="5"/>
    </row>
    <row r="1548" spans="1:9" ht="17.399999999999999" x14ac:dyDescent="0.25">
      <c r="A1548" s="16"/>
      <c r="B1548" s="17"/>
      <c r="C1548" s="2"/>
      <c r="D1548" s="2"/>
      <c r="E1548" s="2"/>
      <c r="F1548" s="2"/>
      <c r="G1548" s="2"/>
      <c r="H1548" s="2"/>
      <c r="I1548" s="5"/>
    </row>
    <row r="1549" spans="1:9" ht="17.399999999999999" x14ac:dyDescent="0.25">
      <c r="A1549" s="16"/>
      <c r="B1549" s="17"/>
      <c r="C1549" s="2"/>
      <c r="D1549" s="2"/>
      <c r="E1549" s="2"/>
      <c r="F1549" s="2"/>
      <c r="G1549" s="2"/>
      <c r="H1549" s="2"/>
      <c r="I1549" s="5"/>
    </row>
    <row r="1550" spans="1:9" ht="17.399999999999999" x14ac:dyDescent="0.25">
      <c r="A1550" s="16"/>
      <c r="B1550" s="17"/>
      <c r="C1550" s="2"/>
      <c r="D1550" s="2"/>
      <c r="E1550" s="2"/>
      <c r="F1550" s="2"/>
      <c r="G1550" s="2"/>
      <c r="H1550" s="2"/>
      <c r="I1550" s="5"/>
    </row>
    <row r="1551" spans="1:9" ht="17.399999999999999" x14ac:dyDescent="0.25">
      <c r="A1551" s="16"/>
      <c r="B1551" s="17"/>
      <c r="C1551" s="2"/>
      <c r="D1551" s="2"/>
      <c r="E1551" s="2"/>
      <c r="F1551" s="2"/>
      <c r="G1551" s="2"/>
      <c r="H1551" s="2"/>
      <c r="I1551" s="5"/>
    </row>
    <row r="1552" spans="1:9" ht="17.399999999999999" x14ac:dyDescent="0.25">
      <c r="A1552" s="16"/>
      <c r="B1552" s="17"/>
      <c r="C1552" s="2"/>
      <c r="D1552" s="2"/>
      <c r="E1552" s="2"/>
      <c r="F1552" s="2"/>
      <c r="G1552" s="2"/>
      <c r="H1552" s="2"/>
      <c r="I1552" s="5"/>
    </row>
    <row r="1553" spans="1:9" ht="17.399999999999999" x14ac:dyDescent="0.25">
      <c r="A1553" s="16"/>
      <c r="B1553" s="17"/>
      <c r="C1553" s="2"/>
      <c r="D1553" s="2"/>
      <c r="E1553" s="2"/>
      <c r="F1553" s="2"/>
      <c r="G1553" s="2"/>
      <c r="H1553" s="2"/>
      <c r="I1553" s="5"/>
    </row>
    <row r="1554" spans="1:9" ht="17.399999999999999" x14ac:dyDescent="0.25">
      <c r="A1554" s="16"/>
      <c r="B1554" s="17"/>
      <c r="C1554" s="2"/>
      <c r="D1554" s="2"/>
      <c r="E1554" s="2"/>
      <c r="F1554" s="2"/>
      <c r="G1554" s="2"/>
      <c r="H1554" s="2"/>
      <c r="I1554" s="5"/>
    </row>
    <row r="1555" spans="1:9" ht="17.399999999999999" x14ac:dyDescent="0.25">
      <c r="A1555" s="16"/>
      <c r="B1555" s="17"/>
      <c r="C1555" s="2"/>
      <c r="D1555" s="2"/>
      <c r="E1555" s="2"/>
      <c r="F1555" s="2"/>
      <c r="G1555" s="2"/>
      <c r="H1555" s="2"/>
      <c r="I1555" s="5"/>
    </row>
    <row r="1556" spans="1:9" ht="17.399999999999999" x14ac:dyDescent="0.25">
      <c r="A1556" s="16"/>
      <c r="B1556" s="17"/>
      <c r="C1556" s="2"/>
      <c r="D1556" s="2"/>
      <c r="E1556" s="2"/>
      <c r="F1556" s="2"/>
      <c r="G1556" s="2"/>
      <c r="H1556" s="2"/>
      <c r="I1556" s="5"/>
    </row>
    <row r="1557" spans="1:9" ht="17.399999999999999" x14ac:dyDescent="0.25">
      <c r="A1557" s="16"/>
      <c r="B1557" s="17"/>
      <c r="C1557" s="2"/>
      <c r="D1557" s="2"/>
      <c r="E1557" s="2"/>
      <c r="F1557" s="2"/>
      <c r="G1557" s="2"/>
      <c r="H1557" s="2"/>
      <c r="I1557" s="5"/>
    </row>
    <row r="1558" spans="1:9" ht="17.399999999999999" x14ac:dyDescent="0.25">
      <c r="A1558" s="16"/>
      <c r="B1558" s="17"/>
      <c r="C1558" s="2"/>
      <c r="D1558" s="2"/>
      <c r="E1558" s="2"/>
      <c r="F1558" s="2"/>
      <c r="G1558" s="2"/>
      <c r="H1558" s="2"/>
      <c r="I1558" s="5"/>
    </row>
    <row r="1559" spans="1:9" ht="17.399999999999999" x14ac:dyDescent="0.25">
      <c r="A1559" s="16"/>
      <c r="B1559" s="17"/>
      <c r="C1559" s="2"/>
      <c r="D1559" s="2"/>
      <c r="E1559" s="2"/>
      <c r="F1559" s="2"/>
      <c r="G1559" s="2"/>
      <c r="H1559" s="2"/>
      <c r="I1559" s="5"/>
    </row>
    <row r="1560" spans="1:9" ht="17.399999999999999" x14ac:dyDescent="0.25">
      <c r="A1560" s="16"/>
      <c r="B1560" s="17"/>
      <c r="C1560" s="2"/>
      <c r="D1560" s="2"/>
      <c r="E1560" s="2"/>
      <c r="F1560" s="2"/>
      <c r="G1560" s="2"/>
      <c r="H1560" s="2"/>
      <c r="I1560" s="5"/>
    </row>
    <row r="1561" spans="1:9" ht="17.399999999999999" x14ac:dyDescent="0.25">
      <c r="A1561" s="16"/>
      <c r="B1561" s="17"/>
      <c r="C1561" s="2"/>
      <c r="D1561" s="2"/>
      <c r="E1561" s="2"/>
      <c r="F1561" s="2"/>
      <c r="G1561" s="2"/>
      <c r="H1561" s="2"/>
      <c r="I1561" s="5"/>
    </row>
    <row r="1562" spans="1:9" ht="17.399999999999999" x14ac:dyDescent="0.25">
      <c r="A1562" s="16"/>
      <c r="B1562" s="17"/>
      <c r="C1562" s="2"/>
      <c r="D1562" s="2"/>
      <c r="E1562" s="2"/>
      <c r="F1562" s="2"/>
      <c r="G1562" s="2"/>
      <c r="H1562" s="2"/>
      <c r="I1562" s="5"/>
    </row>
    <row r="1563" spans="1:9" ht="17.399999999999999" x14ac:dyDescent="0.25">
      <c r="A1563" s="16"/>
      <c r="B1563" s="17"/>
      <c r="C1563" s="2"/>
      <c r="D1563" s="2"/>
      <c r="E1563" s="2"/>
      <c r="F1563" s="2"/>
      <c r="G1563" s="2"/>
      <c r="H1563" s="2"/>
      <c r="I1563" s="5"/>
    </row>
    <row r="1564" spans="1:9" ht="17.399999999999999" x14ac:dyDescent="0.25">
      <c r="A1564" s="16"/>
      <c r="B1564" s="17"/>
      <c r="C1564" s="2"/>
      <c r="D1564" s="2"/>
      <c r="E1564" s="2"/>
      <c r="F1564" s="2"/>
      <c r="G1564" s="2"/>
      <c r="H1564" s="2"/>
      <c r="I1564" s="5"/>
    </row>
    <row r="1565" spans="1:9" ht="17.399999999999999" x14ac:dyDescent="0.25">
      <c r="A1565" s="16"/>
      <c r="B1565" s="17"/>
      <c r="C1565" s="2"/>
      <c r="D1565" s="2"/>
      <c r="E1565" s="2"/>
      <c r="F1565" s="2"/>
      <c r="G1565" s="2"/>
      <c r="H1565" s="2"/>
      <c r="I1565" s="5"/>
    </row>
    <row r="1566" spans="1:9" ht="17.399999999999999" x14ac:dyDescent="0.25">
      <c r="A1566" s="16"/>
      <c r="B1566" s="17"/>
      <c r="C1566" s="2"/>
      <c r="D1566" s="2"/>
      <c r="E1566" s="2"/>
      <c r="F1566" s="2"/>
      <c r="G1566" s="2"/>
      <c r="H1566" s="2"/>
      <c r="I1566" s="5"/>
    </row>
    <row r="1567" spans="1:9" ht="17.399999999999999" x14ac:dyDescent="0.25">
      <c r="A1567" s="16"/>
      <c r="B1567" s="17"/>
      <c r="C1567" s="2"/>
      <c r="D1567" s="2"/>
      <c r="E1567" s="2"/>
      <c r="F1567" s="2"/>
      <c r="G1567" s="2"/>
      <c r="H1567" s="2"/>
      <c r="I1567" s="5"/>
    </row>
    <row r="1568" spans="1:9" ht="17.399999999999999" x14ac:dyDescent="0.25">
      <c r="A1568" s="16"/>
      <c r="B1568" s="17"/>
      <c r="C1568" s="2"/>
      <c r="D1568" s="2"/>
      <c r="E1568" s="2"/>
      <c r="F1568" s="2"/>
      <c r="G1568" s="2"/>
      <c r="H1568" s="2"/>
      <c r="I1568" s="5"/>
    </row>
    <row r="1569" spans="1:9" ht="17.399999999999999" x14ac:dyDescent="0.25">
      <c r="A1569" s="16"/>
      <c r="B1569" s="17"/>
      <c r="C1569" s="2"/>
      <c r="D1569" s="2"/>
      <c r="E1569" s="2"/>
      <c r="F1569" s="2"/>
      <c r="G1569" s="2"/>
      <c r="H1569" s="2"/>
      <c r="I1569" s="5"/>
    </row>
    <row r="1570" spans="1:9" ht="17.399999999999999" x14ac:dyDescent="0.25">
      <c r="A1570" s="16"/>
      <c r="B1570" s="17"/>
      <c r="C1570" s="2"/>
      <c r="D1570" s="2"/>
      <c r="E1570" s="2"/>
      <c r="F1570" s="2"/>
      <c r="G1570" s="2"/>
      <c r="H1570" s="2"/>
      <c r="I1570" s="5"/>
    </row>
    <row r="1571" spans="1:9" ht="17.399999999999999" x14ac:dyDescent="0.25">
      <c r="A1571" s="16"/>
      <c r="B1571" s="17"/>
      <c r="C1571" s="2"/>
      <c r="D1571" s="2"/>
      <c r="E1571" s="2"/>
      <c r="F1571" s="2"/>
      <c r="G1571" s="2"/>
      <c r="H1571" s="2"/>
      <c r="I1571" s="5"/>
    </row>
    <row r="1572" spans="1:9" ht="17.399999999999999" x14ac:dyDescent="0.25">
      <c r="A1572" s="16"/>
      <c r="B1572" s="17"/>
      <c r="C1572" s="2"/>
      <c r="D1572" s="2"/>
      <c r="E1572" s="2"/>
      <c r="F1572" s="2"/>
      <c r="G1572" s="2"/>
      <c r="H1572" s="2"/>
      <c r="I1572" s="5"/>
    </row>
    <row r="1573" spans="1:9" ht="17.399999999999999" x14ac:dyDescent="0.25">
      <c r="A1573" s="16"/>
      <c r="B1573" s="17"/>
      <c r="C1573" s="2"/>
      <c r="D1573" s="2"/>
      <c r="E1573" s="2"/>
      <c r="F1573" s="2"/>
      <c r="G1573" s="2"/>
      <c r="H1573" s="2"/>
      <c r="I1573" s="5"/>
    </row>
    <row r="1574" spans="1:9" ht="17.399999999999999" x14ac:dyDescent="0.25">
      <c r="A1574" s="16"/>
      <c r="B1574" s="17"/>
      <c r="C1574" s="2"/>
      <c r="D1574" s="2"/>
      <c r="E1574" s="2"/>
      <c r="F1574" s="2"/>
      <c r="G1574" s="2"/>
      <c r="H1574" s="2"/>
      <c r="I1574" s="5"/>
    </row>
    <row r="1575" spans="1:9" ht="17.399999999999999" x14ac:dyDescent="0.25">
      <c r="A1575" s="16"/>
      <c r="B1575" s="17"/>
      <c r="C1575" s="2"/>
      <c r="D1575" s="2"/>
      <c r="E1575" s="2"/>
      <c r="F1575" s="2"/>
      <c r="G1575" s="2"/>
      <c r="H1575" s="2"/>
      <c r="I1575" s="5"/>
    </row>
    <row r="1576" spans="1:9" ht="17.399999999999999" x14ac:dyDescent="0.25">
      <c r="A1576" s="16"/>
      <c r="B1576" s="17"/>
      <c r="C1576" s="2"/>
      <c r="D1576" s="2"/>
      <c r="E1576" s="2"/>
      <c r="F1576" s="2"/>
      <c r="G1576" s="2"/>
      <c r="H1576" s="2"/>
      <c r="I1576" s="5"/>
    </row>
    <row r="1577" spans="1:9" ht="17.399999999999999" x14ac:dyDescent="0.25">
      <c r="A1577" s="16"/>
      <c r="B1577" s="17"/>
      <c r="C1577" s="2"/>
      <c r="D1577" s="2"/>
      <c r="E1577" s="2"/>
      <c r="F1577" s="2"/>
      <c r="G1577" s="2"/>
      <c r="H1577" s="2"/>
      <c r="I1577" s="5"/>
    </row>
    <row r="1578" spans="1:9" ht="17.399999999999999" x14ac:dyDescent="0.25">
      <c r="A1578" s="16"/>
      <c r="B1578" s="17"/>
      <c r="C1578" s="2"/>
      <c r="D1578" s="2"/>
      <c r="E1578" s="2"/>
      <c r="F1578" s="2"/>
      <c r="G1578" s="2"/>
      <c r="H1578" s="2"/>
      <c r="I1578" s="5"/>
    </row>
    <row r="1579" spans="1:9" ht="17.399999999999999" x14ac:dyDescent="0.25">
      <c r="A1579" s="16"/>
      <c r="B1579" s="17"/>
      <c r="C1579" s="2"/>
      <c r="D1579" s="2"/>
      <c r="E1579" s="2"/>
      <c r="F1579" s="2"/>
      <c r="G1579" s="2"/>
      <c r="H1579" s="2"/>
      <c r="I1579" s="5"/>
    </row>
    <row r="1580" spans="1:9" ht="17.399999999999999" x14ac:dyDescent="0.25">
      <c r="A1580" s="16"/>
      <c r="B1580" s="17"/>
      <c r="C1580" s="2"/>
      <c r="D1580" s="2"/>
      <c r="E1580" s="2"/>
      <c r="F1580" s="2"/>
      <c r="G1580" s="2"/>
      <c r="H1580" s="2"/>
      <c r="I1580" s="5"/>
    </row>
    <row r="1581" spans="1:9" ht="17.399999999999999" x14ac:dyDescent="0.25">
      <c r="A1581" s="16"/>
      <c r="B1581" s="17"/>
      <c r="C1581" s="2"/>
      <c r="D1581" s="2"/>
      <c r="E1581" s="2"/>
      <c r="F1581" s="2"/>
      <c r="G1581" s="2"/>
      <c r="H1581" s="2"/>
      <c r="I1581" s="5"/>
    </row>
    <row r="1582" spans="1:9" ht="17.399999999999999" x14ac:dyDescent="0.25">
      <c r="A1582" s="16"/>
      <c r="B1582" s="17"/>
      <c r="C1582" s="2"/>
      <c r="D1582" s="2"/>
      <c r="E1582" s="2"/>
      <c r="F1582" s="2"/>
      <c r="G1582" s="2"/>
      <c r="H1582" s="2"/>
      <c r="I1582" s="5"/>
    </row>
    <row r="1583" spans="1:9" ht="17.399999999999999" x14ac:dyDescent="0.25">
      <c r="A1583" s="16"/>
      <c r="B1583" s="17"/>
      <c r="C1583" s="2"/>
      <c r="D1583" s="2"/>
      <c r="E1583" s="2"/>
      <c r="F1583" s="2"/>
      <c r="G1583" s="2"/>
      <c r="H1583" s="2"/>
      <c r="I1583" s="5"/>
    </row>
    <row r="1584" spans="1:9" ht="17.399999999999999" x14ac:dyDescent="0.25">
      <c r="A1584" s="16"/>
      <c r="B1584" s="17"/>
      <c r="C1584" s="2"/>
      <c r="D1584" s="2"/>
      <c r="E1584" s="2"/>
      <c r="F1584" s="2"/>
      <c r="G1584" s="2"/>
      <c r="H1584" s="2"/>
      <c r="I1584" s="5"/>
    </row>
    <row r="1585" spans="1:9" ht="17.399999999999999" x14ac:dyDescent="0.25">
      <c r="A1585" s="16"/>
      <c r="B1585" s="17"/>
      <c r="C1585" s="2"/>
      <c r="D1585" s="2"/>
      <c r="E1585" s="2"/>
      <c r="F1585" s="2"/>
      <c r="G1585" s="2"/>
      <c r="H1585" s="2"/>
      <c r="I1585" s="5"/>
    </row>
    <row r="1586" spans="1:9" ht="17.399999999999999" x14ac:dyDescent="0.25">
      <c r="A1586" s="16"/>
      <c r="B1586" s="17"/>
      <c r="C1586" s="2"/>
      <c r="D1586" s="2"/>
      <c r="E1586" s="2"/>
      <c r="F1586" s="2"/>
      <c r="G1586" s="2"/>
      <c r="H1586" s="2"/>
      <c r="I1586" s="5"/>
    </row>
    <row r="1587" spans="1:9" ht="17.399999999999999" x14ac:dyDescent="0.25">
      <c r="A1587" s="16"/>
      <c r="B1587" s="17"/>
      <c r="C1587" s="2"/>
      <c r="D1587" s="2"/>
      <c r="E1587" s="2"/>
      <c r="F1587" s="2"/>
      <c r="G1587" s="2"/>
      <c r="H1587" s="2"/>
      <c r="I1587" s="5"/>
    </row>
    <row r="1588" spans="1:9" ht="17.399999999999999" x14ac:dyDescent="0.25">
      <c r="A1588" s="16"/>
      <c r="B1588" s="17"/>
      <c r="C1588" s="2"/>
      <c r="D1588" s="2"/>
      <c r="E1588" s="2"/>
      <c r="F1588" s="2"/>
      <c r="G1588" s="2"/>
      <c r="H1588" s="2"/>
      <c r="I1588" s="5"/>
    </row>
    <row r="1589" spans="1:9" ht="17.399999999999999" x14ac:dyDescent="0.25">
      <c r="A1589" s="16"/>
      <c r="B1589" s="17"/>
      <c r="C1589" s="2"/>
      <c r="D1589" s="2"/>
      <c r="E1589" s="2"/>
      <c r="F1589" s="2"/>
      <c r="G1589" s="2"/>
      <c r="H1589" s="2"/>
      <c r="I1589" s="5"/>
    </row>
    <row r="1590" spans="1:9" ht="17.399999999999999" x14ac:dyDescent="0.25">
      <c r="A1590" s="16"/>
      <c r="B1590" s="17"/>
      <c r="C1590" s="2"/>
      <c r="D1590" s="2"/>
      <c r="E1590" s="2"/>
      <c r="F1590" s="2"/>
      <c r="G1590" s="2"/>
      <c r="H1590" s="2"/>
      <c r="I1590" s="5"/>
    </row>
    <row r="1591" spans="1:9" ht="17.399999999999999" x14ac:dyDescent="0.25">
      <c r="A1591" s="16"/>
      <c r="B1591" s="17"/>
      <c r="C1591" s="2"/>
      <c r="D1591" s="2"/>
      <c r="E1591" s="2"/>
      <c r="F1591" s="2"/>
      <c r="G1591" s="2"/>
      <c r="H1591" s="2"/>
      <c r="I1591" s="5"/>
    </row>
    <row r="1592" spans="1:9" ht="17.399999999999999" x14ac:dyDescent="0.25">
      <c r="A1592" s="16"/>
      <c r="B1592" s="17"/>
      <c r="C1592" s="2"/>
      <c r="D1592" s="2"/>
      <c r="E1592" s="2"/>
      <c r="F1592" s="2"/>
      <c r="G1592" s="2"/>
      <c r="H1592" s="2"/>
      <c r="I1592" s="5"/>
    </row>
    <row r="1593" spans="1:9" ht="17.399999999999999" x14ac:dyDescent="0.25">
      <c r="A1593" s="16"/>
      <c r="B1593" s="17"/>
      <c r="C1593" s="2"/>
      <c r="D1593" s="2"/>
      <c r="E1593" s="2"/>
      <c r="F1593" s="2"/>
      <c r="G1593" s="2"/>
      <c r="H1593" s="2"/>
      <c r="I1593" s="5"/>
    </row>
    <row r="1594" spans="1:9" ht="17.399999999999999" x14ac:dyDescent="0.25">
      <c r="A1594" s="16"/>
      <c r="B1594" s="17"/>
      <c r="C1594" s="2"/>
      <c r="D1594" s="2"/>
      <c r="E1594" s="2"/>
      <c r="F1594" s="2"/>
      <c r="G1594" s="2"/>
      <c r="H1594" s="2"/>
      <c r="I1594" s="5"/>
    </row>
    <row r="1595" spans="1:9" ht="17.399999999999999" x14ac:dyDescent="0.25">
      <c r="A1595" s="16"/>
      <c r="B1595" s="17"/>
      <c r="C1595" s="2"/>
      <c r="D1595" s="2"/>
      <c r="E1595" s="2"/>
      <c r="F1595" s="2"/>
      <c r="G1595" s="2"/>
      <c r="H1595" s="2"/>
      <c r="I1595" s="5"/>
    </row>
    <row r="1596" spans="1:9" ht="17.399999999999999" x14ac:dyDescent="0.25">
      <c r="A1596" s="16"/>
      <c r="B1596" s="17"/>
      <c r="C1596" s="2"/>
      <c r="D1596" s="2"/>
      <c r="E1596" s="2"/>
      <c r="F1596" s="2"/>
      <c r="G1596" s="2"/>
      <c r="H1596" s="2"/>
      <c r="I1596" s="5"/>
    </row>
    <row r="1597" spans="1:9" ht="17.399999999999999" x14ac:dyDescent="0.25">
      <c r="A1597" s="16"/>
      <c r="B1597" s="17"/>
      <c r="C1597" s="2"/>
      <c r="D1597" s="2"/>
      <c r="E1597" s="2"/>
      <c r="F1597" s="2"/>
      <c r="G1597" s="2"/>
      <c r="H1597" s="2"/>
      <c r="I1597" s="5"/>
    </row>
    <row r="1598" spans="1:9" ht="17.399999999999999" x14ac:dyDescent="0.25">
      <c r="A1598" s="16"/>
      <c r="B1598" s="17"/>
      <c r="C1598" s="2"/>
      <c r="D1598" s="2"/>
      <c r="E1598" s="2"/>
      <c r="F1598" s="2"/>
      <c r="G1598" s="2"/>
      <c r="H1598" s="2"/>
      <c r="I1598" s="5"/>
    </row>
    <row r="1599" spans="1:9" ht="17.399999999999999" x14ac:dyDescent="0.25">
      <c r="A1599" s="16"/>
      <c r="B1599" s="17"/>
      <c r="C1599" s="2"/>
      <c r="D1599" s="2"/>
      <c r="E1599" s="2"/>
      <c r="F1599" s="2"/>
      <c r="G1599" s="2"/>
      <c r="H1599" s="2"/>
      <c r="I1599" s="5"/>
    </row>
    <row r="1600" spans="1:9" ht="17.399999999999999" x14ac:dyDescent="0.25">
      <c r="A1600" s="16"/>
      <c r="B1600" s="17"/>
      <c r="C1600" s="2"/>
      <c r="D1600" s="2"/>
      <c r="E1600" s="2"/>
      <c r="F1600" s="2"/>
      <c r="G1600" s="2"/>
      <c r="H1600" s="2"/>
      <c r="I1600" s="5"/>
    </row>
    <row r="1601" spans="1:9" ht="17.399999999999999" x14ac:dyDescent="0.25">
      <c r="A1601" s="16"/>
      <c r="B1601" s="17"/>
      <c r="C1601" s="2"/>
      <c r="D1601" s="2"/>
      <c r="E1601" s="2"/>
      <c r="F1601" s="2"/>
      <c r="G1601" s="2"/>
      <c r="H1601" s="2"/>
      <c r="I1601" s="5"/>
    </row>
    <row r="1602" spans="1:9" ht="17.399999999999999" x14ac:dyDescent="0.25">
      <c r="A1602" s="16"/>
      <c r="B1602" s="17"/>
      <c r="C1602" s="2"/>
      <c r="D1602" s="2"/>
      <c r="E1602" s="2"/>
      <c r="F1602" s="2"/>
      <c r="G1602" s="2"/>
      <c r="H1602" s="2"/>
      <c r="I1602" s="5"/>
    </row>
    <row r="1603" spans="1:9" ht="17.399999999999999" x14ac:dyDescent="0.25">
      <c r="A1603" s="16"/>
      <c r="B1603" s="17"/>
      <c r="C1603" s="2"/>
      <c r="D1603" s="2"/>
      <c r="E1603" s="2"/>
      <c r="F1603" s="2"/>
      <c r="G1603" s="2"/>
      <c r="H1603" s="2"/>
      <c r="I1603" s="5"/>
    </row>
    <row r="1604" spans="1:9" ht="17.399999999999999" x14ac:dyDescent="0.25">
      <c r="A1604" s="16"/>
      <c r="B1604" s="17"/>
      <c r="C1604" s="2"/>
      <c r="D1604" s="2"/>
      <c r="E1604" s="2"/>
      <c r="F1604" s="2"/>
      <c r="G1604" s="2"/>
      <c r="H1604" s="2"/>
      <c r="I1604" s="5"/>
    </row>
    <row r="1605" spans="1:9" ht="17.399999999999999" x14ac:dyDescent="0.25">
      <c r="A1605" s="16"/>
      <c r="B1605" s="17"/>
      <c r="C1605" s="2"/>
      <c r="D1605" s="2"/>
      <c r="E1605" s="2"/>
      <c r="F1605" s="2"/>
      <c r="G1605" s="2"/>
      <c r="H1605" s="2"/>
      <c r="I1605" s="5"/>
    </row>
    <row r="1606" spans="1:9" ht="17.399999999999999" x14ac:dyDescent="0.25">
      <c r="A1606" s="16"/>
      <c r="B1606" s="17"/>
      <c r="C1606" s="2"/>
      <c r="D1606" s="2"/>
      <c r="E1606" s="2"/>
      <c r="F1606" s="2"/>
      <c r="G1606" s="2"/>
      <c r="H1606" s="2"/>
      <c r="I1606" s="5"/>
    </row>
    <row r="1607" spans="1:9" ht="17.399999999999999" x14ac:dyDescent="0.25">
      <c r="A1607" s="16"/>
      <c r="B1607" s="17"/>
      <c r="C1607" s="2"/>
      <c r="D1607" s="2"/>
      <c r="E1607" s="2"/>
      <c r="F1607" s="2"/>
      <c r="G1607" s="2"/>
      <c r="H1607" s="2"/>
      <c r="I1607" s="5"/>
    </row>
    <row r="1608" spans="1:9" ht="17.399999999999999" x14ac:dyDescent="0.25">
      <c r="A1608" s="16"/>
      <c r="B1608" s="17"/>
      <c r="C1608" s="2"/>
      <c r="D1608" s="2"/>
      <c r="E1608" s="2"/>
      <c r="F1608" s="2"/>
      <c r="G1608" s="2"/>
      <c r="H1608" s="2"/>
      <c r="I1608" s="5"/>
    </row>
    <row r="1609" spans="1:9" ht="17.399999999999999" x14ac:dyDescent="0.25">
      <c r="A1609" s="16"/>
      <c r="B1609" s="17"/>
      <c r="C1609" s="2"/>
      <c r="D1609" s="2"/>
      <c r="E1609" s="2"/>
      <c r="F1609" s="2"/>
      <c r="G1609" s="2"/>
      <c r="H1609" s="2"/>
      <c r="I1609" s="5"/>
    </row>
    <row r="1610" spans="1:9" ht="17.399999999999999" x14ac:dyDescent="0.25">
      <c r="A1610" s="16"/>
      <c r="B1610" s="17"/>
      <c r="C1610" s="2"/>
      <c r="D1610" s="2"/>
      <c r="E1610" s="2"/>
      <c r="F1610" s="2"/>
      <c r="G1610" s="2"/>
      <c r="H1610" s="2"/>
      <c r="I1610" s="5"/>
    </row>
    <row r="1611" spans="1:9" ht="17.399999999999999" x14ac:dyDescent="0.25">
      <c r="A1611" s="16"/>
      <c r="B1611" s="17"/>
      <c r="C1611" s="2"/>
      <c r="D1611" s="2"/>
      <c r="E1611" s="2"/>
      <c r="F1611" s="2"/>
      <c r="G1611" s="2"/>
      <c r="H1611" s="2"/>
      <c r="I1611" s="5"/>
    </row>
    <row r="1612" spans="1:9" ht="17.399999999999999" x14ac:dyDescent="0.25">
      <c r="A1612" s="16"/>
      <c r="B1612" s="17"/>
      <c r="C1612" s="2"/>
      <c r="D1612" s="2"/>
      <c r="E1612" s="2"/>
      <c r="F1612" s="2"/>
      <c r="G1612" s="2"/>
      <c r="H1612" s="2"/>
      <c r="I1612" s="5"/>
    </row>
    <row r="1613" spans="1:9" ht="17.399999999999999" x14ac:dyDescent="0.25">
      <c r="A1613" s="16"/>
      <c r="B1613" s="17"/>
      <c r="C1613" s="2"/>
      <c r="D1613" s="2"/>
      <c r="E1613" s="2"/>
      <c r="F1613" s="2"/>
      <c r="G1613" s="2"/>
      <c r="H1613" s="2"/>
      <c r="I1613" s="5"/>
    </row>
    <row r="1614" spans="1:9" ht="17.399999999999999" x14ac:dyDescent="0.25">
      <c r="A1614" s="16"/>
      <c r="B1614" s="17"/>
      <c r="C1614" s="2"/>
      <c r="D1614" s="2"/>
      <c r="E1614" s="2"/>
      <c r="F1614" s="2"/>
      <c r="G1614" s="2"/>
      <c r="H1614" s="2"/>
      <c r="I1614" s="5"/>
    </row>
    <row r="1615" spans="1:9" ht="17.399999999999999" x14ac:dyDescent="0.25">
      <c r="A1615" s="16"/>
      <c r="B1615" s="17"/>
      <c r="C1615" s="2"/>
      <c r="D1615" s="2"/>
      <c r="E1615" s="2"/>
      <c r="F1615" s="2"/>
      <c r="G1615" s="2"/>
      <c r="H1615" s="2"/>
      <c r="I1615" s="5"/>
    </row>
    <row r="1616" spans="1:9" ht="17.399999999999999" x14ac:dyDescent="0.25">
      <c r="A1616" s="16"/>
      <c r="B1616" s="17"/>
      <c r="C1616" s="2"/>
      <c r="D1616" s="2"/>
      <c r="E1616" s="2"/>
      <c r="F1616" s="2"/>
      <c r="G1616" s="2"/>
      <c r="H1616" s="2"/>
      <c r="I1616" s="5"/>
    </row>
    <row r="1617" spans="1:9" ht="17.399999999999999" x14ac:dyDescent="0.25">
      <c r="A1617" s="16"/>
      <c r="B1617" s="17"/>
      <c r="C1617" s="2"/>
      <c r="D1617" s="2"/>
      <c r="E1617" s="2"/>
      <c r="F1617" s="2"/>
      <c r="G1617" s="2"/>
      <c r="H1617" s="2"/>
      <c r="I1617" s="5"/>
    </row>
    <row r="1618" spans="1:9" ht="17.399999999999999" x14ac:dyDescent="0.25">
      <c r="A1618" s="16"/>
      <c r="B1618" s="17"/>
      <c r="C1618" s="2"/>
      <c r="D1618" s="2"/>
      <c r="E1618" s="2"/>
      <c r="F1618" s="2"/>
      <c r="G1618" s="2"/>
      <c r="H1618" s="2"/>
      <c r="I1618" s="5"/>
    </row>
    <row r="1619" spans="1:9" ht="17.399999999999999" x14ac:dyDescent="0.25">
      <c r="A1619" s="16"/>
      <c r="B1619" s="17"/>
      <c r="C1619" s="2"/>
      <c r="D1619" s="2"/>
      <c r="E1619" s="2"/>
      <c r="F1619" s="2"/>
      <c r="G1619" s="2"/>
      <c r="H1619" s="2"/>
      <c r="I1619" s="5"/>
    </row>
    <row r="1620" spans="1:9" ht="17.399999999999999" x14ac:dyDescent="0.25">
      <c r="A1620" s="16"/>
      <c r="B1620" s="17"/>
      <c r="C1620" s="2"/>
      <c r="D1620" s="2"/>
      <c r="E1620" s="2"/>
      <c r="F1620" s="2"/>
      <c r="G1620" s="2"/>
      <c r="H1620" s="2"/>
      <c r="I1620" s="5"/>
    </row>
    <row r="1621" spans="1:9" ht="17.399999999999999" x14ac:dyDescent="0.25">
      <c r="A1621" s="16"/>
      <c r="B1621" s="17"/>
      <c r="C1621" s="2"/>
      <c r="D1621" s="2"/>
      <c r="E1621" s="2"/>
      <c r="F1621" s="2"/>
      <c r="G1621" s="2"/>
      <c r="H1621" s="2"/>
      <c r="I1621" s="5"/>
    </row>
    <row r="1622" spans="1:9" ht="17.399999999999999" x14ac:dyDescent="0.25">
      <c r="A1622" s="16"/>
      <c r="B1622" s="17"/>
      <c r="C1622" s="2"/>
      <c r="D1622" s="2"/>
      <c r="E1622" s="2"/>
      <c r="F1622" s="2"/>
      <c r="G1622" s="2"/>
      <c r="H1622" s="2"/>
      <c r="I1622" s="5"/>
    </row>
    <row r="1623" spans="1:9" ht="17.399999999999999" x14ac:dyDescent="0.25">
      <c r="A1623" s="16"/>
      <c r="B1623" s="17"/>
      <c r="C1623" s="2"/>
      <c r="D1623" s="2"/>
      <c r="E1623" s="2"/>
      <c r="F1623" s="2"/>
      <c r="G1623" s="2"/>
      <c r="H1623" s="2"/>
      <c r="I1623" s="5"/>
    </row>
    <row r="1624" spans="1:9" ht="17.399999999999999" x14ac:dyDescent="0.25">
      <c r="A1624" s="16"/>
      <c r="B1624" s="17"/>
      <c r="C1624" s="2"/>
      <c r="D1624" s="2"/>
      <c r="E1624" s="2"/>
      <c r="F1624" s="2"/>
      <c r="G1624" s="2"/>
      <c r="H1624" s="2"/>
      <c r="I1624" s="5"/>
    </row>
    <row r="1625" spans="1:9" ht="17.399999999999999" x14ac:dyDescent="0.25">
      <c r="A1625" s="16"/>
      <c r="B1625" s="17"/>
      <c r="C1625" s="2"/>
      <c r="D1625" s="2"/>
      <c r="E1625" s="2"/>
      <c r="F1625" s="2"/>
      <c r="G1625" s="2"/>
      <c r="H1625" s="2"/>
      <c r="I1625" s="5"/>
    </row>
    <row r="1626" spans="1:9" ht="17.399999999999999" x14ac:dyDescent="0.25">
      <c r="A1626" s="16"/>
      <c r="B1626" s="17"/>
      <c r="C1626" s="2"/>
      <c r="D1626" s="2"/>
      <c r="E1626" s="2"/>
      <c r="F1626" s="2"/>
      <c r="G1626" s="2"/>
      <c r="H1626" s="2"/>
      <c r="I1626" s="5"/>
    </row>
    <row r="1627" spans="1:9" ht="17.399999999999999" x14ac:dyDescent="0.25">
      <c r="A1627" s="16"/>
      <c r="B1627" s="17"/>
      <c r="C1627" s="2"/>
      <c r="D1627" s="2"/>
      <c r="E1627" s="2"/>
      <c r="F1627" s="2"/>
      <c r="G1627" s="2"/>
      <c r="H1627" s="2"/>
      <c r="I1627" s="5"/>
    </row>
    <row r="1628" spans="1:9" ht="17.399999999999999" x14ac:dyDescent="0.25">
      <c r="A1628" s="16"/>
      <c r="B1628" s="17"/>
      <c r="C1628" s="2"/>
      <c r="D1628" s="2"/>
      <c r="E1628" s="2"/>
      <c r="F1628" s="2"/>
      <c r="G1628" s="2"/>
      <c r="H1628" s="2"/>
      <c r="I1628" s="5"/>
    </row>
    <row r="1629" spans="1:9" ht="17.399999999999999" x14ac:dyDescent="0.25">
      <c r="A1629" s="16"/>
      <c r="B1629" s="17"/>
      <c r="C1629" s="2"/>
      <c r="D1629" s="2"/>
      <c r="E1629" s="2"/>
      <c r="F1629" s="2"/>
      <c r="G1629" s="2"/>
      <c r="H1629" s="2"/>
      <c r="I1629" s="5"/>
    </row>
    <row r="1630" spans="1:9" ht="17.399999999999999" x14ac:dyDescent="0.25">
      <c r="A1630" s="16"/>
      <c r="B1630" s="17"/>
      <c r="C1630" s="2"/>
      <c r="D1630" s="2"/>
      <c r="E1630" s="2"/>
      <c r="F1630" s="2"/>
      <c r="G1630" s="2"/>
      <c r="H1630" s="2"/>
      <c r="I1630" s="5"/>
    </row>
    <row r="1631" spans="1:9" ht="17.399999999999999" x14ac:dyDescent="0.25">
      <c r="A1631" s="16"/>
      <c r="B1631" s="17"/>
      <c r="C1631" s="2"/>
      <c r="D1631" s="2"/>
      <c r="E1631" s="2"/>
      <c r="F1631" s="2"/>
      <c r="G1631" s="2"/>
      <c r="H1631" s="2"/>
      <c r="I1631" s="5"/>
    </row>
    <row r="1632" spans="1:9" ht="17.399999999999999" x14ac:dyDescent="0.25">
      <c r="A1632" s="16"/>
      <c r="B1632" s="17"/>
      <c r="C1632" s="2"/>
      <c r="D1632" s="2"/>
      <c r="E1632" s="2"/>
      <c r="F1632" s="2"/>
      <c r="G1632" s="2"/>
      <c r="H1632" s="2"/>
      <c r="I1632" s="5"/>
    </row>
    <row r="1633" spans="1:9" ht="17.399999999999999" x14ac:dyDescent="0.25">
      <c r="A1633" s="16"/>
      <c r="B1633" s="17"/>
      <c r="C1633" s="2"/>
      <c r="D1633" s="2"/>
      <c r="E1633" s="2"/>
      <c r="F1633" s="2"/>
      <c r="G1633" s="2"/>
      <c r="H1633" s="2"/>
      <c r="I1633" s="5"/>
    </row>
    <row r="1634" spans="1:9" ht="17.399999999999999" x14ac:dyDescent="0.25">
      <c r="A1634" s="16"/>
      <c r="B1634" s="17"/>
      <c r="C1634" s="2"/>
      <c r="D1634" s="2"/>
      <c r="E1634" s="2"/>
      <c r="F1634" s="2"/>
      <c r="G1634" s="2"/>
      <c r="H1634" s="2"/>
      <c r="I1634" s="5"/>
    </row>
    <row r="1635" spans="1:9" ht="17.399999999999999" x14ac:dyDescent="0.25">
      <c r="A1635" s="16"/>
      <c r="B1635" s="17"/>
      <c r="C1635" s="2"/>
      <c r="D1635" s="2"/>
      <c r="E1635" s="2"/>
      <c r="F1635" s="2"/>
      <c r="G1635" s="2"/>
      <c r="H1635" s="2"/>
      <c r="I1635" s="5"/>
    </row>
    <row r="1636" spans="1:9" ht="17.399999999999999" x14ac:dyDescent="0.25">
      <c r="A1636" s="16"/>
      <c r="B1636" s="17"/>
      <c r="C1636" s="2"/>
      <c r="D1636" s="2"/>
      <c r="E1636" s="2"/>
      <c r="F1636" s="2"/>
      <c r="G1636" s="2"/>
      <c r="H1636" s="2"/>
      <c r="I1636" s="5"/>
    </row>
    <row r="1637" spans="1:9" ht="17.399999999999999" x14ac:dyDescent="0.25">
      <c r="A1637" s="16"/>
      <c r="B1637" s="17"/>
      <c r="C1637" s="2"/>
      <c r="D1637" s="2"/>
      <c r="E1637" s="2"/>
      <c r="F1637" s="2"/>
      <c r="G1637" s="2"/>
      <c r="H1637" s="2"/>
      <c r="I1637" s="5"/>
    </row>
    <row r="1638" spans="1:9" ht="17.399999999999999" x14ac:dyDescent="0.25">
      <c r="A1638" s="16"/>
      <c r="B1638" s="17"/>
      <c r="C1638" s="2"/>
      <c r="D1638" s="2"/>
      <c r="E1638" s="2"/>
      <c r="F1638" s="2"/>
      <c r="G1638" s="2"/>
      <c r="H1638" s="2"/>
      <c r="I1638" s="5"/>
    </row>
    <row r="1639" spans="1:9" ht="17.399999999999999" x14ac:dyDescent="0.25">
      <c r="A1639" s="16"/>
      <c r="B1639" s="17"/>
      <c r="C1639" s="2"/>
      <c r="D1639" s="2"/>
      <c r="E1639" s="2"/>
      <c r="F1639" s="2"/>
      <c r="G1639" s="2"/>
      <c r="H1639" s="2"/>
      <c r="I1639" s="5"/>
    </row>
    <row r="1640" spans="1:9" ht="17.399999999999999" x14ac:dyDescent="0.25">
      <c r="A1640" s="16"/>
      <c r="B1640" s="17"/>
      <c r="C1640" s="2"/>
      <c r="D1640" s="2"/>
      <c r="E1640" s="2"/>
      <c r="F1640" s="2"/>
      <c r="G1640" s="2"/>
      <c r="H1640" s="2"/>
      <c r="I1640" s="5"/>
    </row>
    <row r="1641" spans="1:9" ht="17.399999999999999" x14ac:dyDescent="0.25">
      <c r="A1641" s="16"/>
      <c r="B1641" s="17"/>
      <c r="C1641" s="2"/>
      <c r="D1641" s="2"/>
      <c r="E1641" s="2"/>
      <c r="F1641" s="2"/>
      <c r="G1641" s="2"/>
      <c r="H1641" s="2"/>
      <c r="I1641" s="5"/>
    </row>
    <row r="1642" spans="1:9" ht="17.399999999999999" x14ac:dyDescent="0.25">
      <c r="A1642" s="16"/>
      <c r="B1642" s="17"/>
      <c r="C1642" s="2"/>
      <c r="D1642" s="2"/>
      <c r="E1642" s="2"/>
      <c r="F1642" s="2"/>
      <c r="G1642" s="2"/>
      <c r="H1642" s="2"/>
      <c r="I1642" s="5"/>
    </row>
    <row r="1643" spans="1:9" ht="17.399999999999999" x14ac:dyDescent="0.25">
      <c r="A1643" s="16"/>
      <c r="B1643" s="17"/>
      <c r="C1643" s="2"/>
      <c r="D1643" s="2"/>
      <c r="E1643" s="2"/>
      <c r="F1643" s="2"/>
      <c r="G1643" s="2"/>
      <c r="H1643" s="2"/>
      <c r="I1643" s="5"/>
    </row>
    <row r="1644" spans="1:9" ht="17.399999999999999" x14ac:dyDescent="0.25">
      <c r="A1644" s="16"/>
      <c r="B1644" s="17"/>
      <c r="C1644" s="2"/>
      <c r="D1644" s="2"/>
      <c r="E1644" s="2"/>
      <c r="F1644" s="2"/>
      <c r="G1644" s="2"/>
      <c r="H1644" s="2"/>
      <c r="I1644" s="5"/>
    </row>
    <row r="1645" spans="1:9" ht="17.399999999999999" x14ac:dyDescent="0.25">
      <c r="A1645" s="16"/>
      <c r="B1645" s="17"/>
      <c r="C1645" s="2"/>
      <c r="D1645" s="2"/>
      <c r="E1645" s="2"/>
      <c r="F1645" s="2"/>
      <c r="G1645" s="2"/>
      <c r="H1645" s="2"/>
      <c r="I1645" s="5"/>
    </row>
    <row r="1646" spans="1:9" ht="17.399999999999999" x14ac:dyDescent="0.25">
      <c r="A1646" s="16"/>
      <c r="B1646" s="17"/>
      <c r="C1646" s="2"/>
      <c r="D1646" s="2"/>
      <c r="E1646" s="2"/>
      <c r="F1646" s="2"/>
      <c r="G1646" s="2"/>
      <c r="H1646" s="2"/>
      <c r="I1646" s="5"/>
    </row>
    <row r="1647" spans="1:9" ht="17.399999999999999" x14ac:dyDescent="0.25">
      <c r="A1647" s="16"/>
      <c r="B1647" s="17"/>
      <c r="C1647" s="2"/>
      <c r="D1647" s="2"/>
      <c r="E1647" s="2"/>
      <c r="F1647" s="2"/>
      <c r="G1647" s="2"/>
      <c r="H1647" s="2"/>
      <c r="I1647" s="5"/>
    </row>
    <row r="1648" spans="1:9" ht="17.399999999999999" x14ac:dyDescent="0.25">
      <c r="A1648" s="16"/>
      <c r="B1648" s="17"/>
      <c r="C1648" s="2"/>
      <c r="D1648" s="2"/>
      <c r="E1648" s="2"/>
      <c r="F1648" s="2"/>
      <c r="G1648" s="2"/>
      <c r="H1648" s="2"/>
      <c r="I1648" s="5"/>
    </row>
    <row r="1649" spans="1:9" ht="17.399999999999999" x14ac:dyDescent="0.25">
      <c r="A1649" s="16"/>
      <c r="B1649" s="17"/>
      <c r="C1649" s="2"/>
      <c r="D1649" s="2"/>
      <c r="E1649" s="2"/>
      <c r="F1649" s="2"/>
      <c r="G1649" s="2"/>
      <c r="H1649" s="2"/>
      <c r="I1649" s="5"/>
    </row>
    <row r="1650" spans="1:9" ht="17.399999999999999" x14ac:dyDescent="0.25">
      <c r="A1650" s="16"/>
      <c r="B1650" s="17"/>
      <c r="C1650" s="2"/>
      <c r="D1650" s="2"/>
      <c r="E1650" s="2"/>
      <c r="F1650" s="2"/>
      <c r="G1650" s="2"/>
      <c r="H1650" s="2"/>
      <c r="I1650" s="5"/>
    </row>
    <row r="1651" spans="1:9" ht="17.399999999999999" x14ac:dyDescent="0.25">
      <c r="A1651" s="16"/>
      <c r="B1651" s="17"/>
      <c r="C1651" s="2"/>
      <c r="D1651" s="2"/>
      <c r="E1651" s="2"/>
      <c r="F1651" s="2"/>
      <c r="G1651" s="2"/>
      <c r="H1651" s="2"/>
      <c r="I1651" s="5"/>
    </row>
    <row r="1652" spans="1:9" ht="17.399999999999999" x14ac:dyDescent="0.25">
      <c r="A1652" s="16"/>
      <c r="B1652" s="17"/>
      <c r="C1652" s="2"/>
      <c r="D1652" s="2"/>
      <c r="E1652" s="2"/>
      <c r="F1652" s="2"/>
      <c r="G1652" s="2"/>
      <c r="H1652" s="2"/>
      <c r="I1652" s="5"/>
    </row>
    <row r="1653" spans="1:9" ht="17.399999999999999" x14ac:dyDescent="0.25">
      <c r="A1653" s="16"/>
      <c r="B1653" s="17"/>
      <c r="C1653" s="2"/>
      <c r="D1653" s="2"/>
      <c r="E1653" s="2"/>
      <c r="F1653" s="2"/>
      <c r="G1653" s="2"/>
      <c r="H1653" s="2"/>
      <c r="I1653" s="5"/>
    </row>
    <row r="1654" spans="1:9" ht="17.399999999999999" x14ac:dyDescent="0.25">
      <c r="A1654" s="16"/>
      <c r="B1654" s="17"/>
      <c r="C1654" s="2"/>
      <c r="D1654" s="2"/>
      <c r="E1654" s="2"/>
      <c r="F1654" s="2"/>
      <c r="G1654" s="2"/>
      <c r="H1654" s="2"/>
      <c r="I1654" s="5"/>
    </row>
    <row r="1655" spans="1:9" ht="17.399999999999999" x14ac:dyDescent="0.25">
      <c r="A1655" s="16"/>
      <c r="B1655" s="17"/>
      <c r="C1655" s="2"/>
      <c r="D1655" s="2"/>
      <c r="E1655" s="2"/>
      <c r="F1655" s="2"/>
      <c r="G1655" s="2"/>
      <c r="H1655" s="2"/>
      <c r="I1655" s="5"/>
    </row>
    <row r="1656" spans="1:9" ht="17.399999999999999" x14ac:dyDescent="0.25">
      <c r="A1656" s="16"/>
      <c r="B1656" s="17"/>
      <c r="C1656" s="2"/>
      <c r="D1656" s="2"/>
      <c r="E1656" s="2"/>
      <c r="F1656" s="2"/>
      <c r="G1656" s="2"/>
      <c r="H1656" s="2"/>
      <c r="I1656" s="5"/>
    </row>
    <row r="1657" spans="1:9" ht="17.399999999999999" x14ac:dyDescent="0.25">
      <c r="A1657" s="16"/>
      <c r="B1657" s="17"/>
      <c r="C1657" s="2"/>
      <c r="D1657" s="2"/>
      <c r="E1657" s="2"/>
      <c r="F1657" s="2"/>
      <c r="G1657" s="2"/>
      <c r="H1657" s="2"/>
      <c r="I1657" s="5"/>
    </row>
    <row r="1658" spans="1:9" ht="17.399999999999999" x14ac:dyDescent="0.25">
      <c r="A1658" s="16"/>
      <c r="B1658" s="17"/>
      <c r="C1658" s="2"/>
      <c r="D1658" s="2"/>
      <c r="E1658" s="2"/>
      <c r="F1658" s="2"/>
      <c r="G1658" s="2"/>
      <c r="H1658" s="2"/>
      <c r="I1658" s="5"/>
    </row>
    <row r="1659" spans="1:9" ht="17.399999999999999" x14ac:dyDescent="0.25">
      <c r="A1659" s="16"/>
      <c r="B1659" s="17"/>
      <c r="C1659" s="2"/>
      <c r="D1659" s="2"/>
      <c r="E1659" s="2"/>
      <c r="F1659" s="2"/>
      <c r="G1659" s="2"/>
      <c r="H1659" s="2"/>
      <c r="I1659" s="5"/>
    </row>
    <row r="1660" spans="1:9" ht="17.399999999999999" x14ac:dyDescent="0.25">
      <c r="A1660" s="16"/>
      <c r="B1660" s="17"/>
      <c r="C1660" s="2"/>
      <c r="D1660" s="2"/>
      <c r="E1660" s="2"/>
      <c r="F1660" s="2"/>
      <c r="G1660" s="2"/>
      <c r="H1660" s="2"/>
      <c r="I1660" s="5"/>
    </row>
    <row r="1661" spans="1:9" ht="17.399999999999999" x14ac:dyDescent="0.25">
      <c r="A1661" s="16"/>
      <c r="B1661" s="17"/>
      <c r="C1661" s="2"/>
      <c r="D1661" s="2"/>
      <c r="E1661" s="2"/>
      <c r="F1661" s="2"/>
      <c r="G1661" s="2"/>
      <c r="H1661" s="2"/>
      <c r="I1661" s="5"/>
    </row>
    <row r="1662" spans="1:9" ht="17.399999999999999" x14ac:dyDescent="0.25">
      <c r="A1662" s="16"/>
      <c r="B1662" s="17"/>
      <c r="C1662" s="2"/>
      <c r="D1662" s="2"/>
      <c r="E1662" s="2"/>
      <c r="F1662" s="2"/>
      <c r="G1662" s="2"/>
      <c r="H1662" s="2"/>
      <c r="I1662" s="5"/>
    </row>
    <row r="1663" spans="1:9" ht="17.399999999999999" x14ac:dyDescent="0.25">
      <c r="A1663" s="16"/>
      <c r="B1663" s="17"/>
      <c r="C1663" s="2"/>
      <c r="D1663" s="2"/>
      <c r="E1663" s="2"/>
      <c r="F1663" s="2"/>
      <c r="G1663" s="2"/>
      <c r="H1663" s="2"/>
      <c r="I1663" s="5"/>
    </row>
    <row r="1664" spans="1:9" ht="17.399999999999999" x14ac:dyDescent="0.25">
      <c r="A1664" s="16"/>
      <c r="B1664" s="17"/>
      <c r="C1664" s="2"/>
      <c r="D1664" s="2"/>
      <c r="E1664" s="2"/>
      <c r="F1664" s="2"/>
      <c r="G1664" s="2"/>
      <c r="H1664" s="2"/>
      <c r="I1664" s="5"/>
    </row>
    <row r="1665" spans="1:9" ht="17.399999999999999" x14ac:dyDescent="0.25">
      <c r="A1665" s="16"/>
      <c r="B1665" s="17"/>
      <c r="C1665" s="2"/>
      <c r="D1665" s="2"/>
      <c r="E1665" s="2"/>
      <c r="F1665" s="2"/>
      <c r="G1665" s="2"/>
      <c r="H1665" s="2"/>
      <c r="I1665" s="5"/>
    </row>
    <row r="1666" spans="1:9" ht="17.399999999999999" x14ac:dyDescent="0.25">
      <c r="A1666" s="16"/>
      <c r="B1666" s="17"/>
      <c r="C1666" s="2"/>
      <c r="D1666" s="2"/>
      <c r="E1666" s="2"/>
      <c r="F1666" s="2"/>
      <c r="G1666" s="2"/>
      <c r="H1666" s="2"/>
      <c r="I1666" s="5"/>
    </row>
    <row r="1667" spans="1:9" ht="17.399999999999999" x14ac:dyDescent="0.25">
      <c r="A1667" s="16"/>
      <c r="B1667" s="17"/>
      <c r="C1667" s="2"/>
      <c r="D1667" s="2"/>
      <c r="E1667" s="2"/>
      <c r="F1667" s="2"/>
      <c r="G1667" s="2"/>
      <c r="H1667" s="2"/>
      <c r="I1667" s="5"/>
    </row>
    <row r="1668" spans="1:9" ht="17.399999999999999" x14ac:dyDescent="0.25">
      <c r="A1668" s="16"/>
      <c r="B1668" s="17"/>
      <c r="C1668" s="2"/>
      <c r="D1668" s="2"/>
      <c r="E1668" s="2"/>
      <c r="F1668" s="2"/>
      <c r="G1668" s="2"/>
      <c r="H1668" s="2"/>
      <c r="I1668" s="5"/>
    </row>
    <row r="1669" spans="1:9" ht="17.399999999999999" x14ac:dyDescent="0.25">
      <c r="A1669" s="16"/>
      <c r="B1669" s="17"/>
      <c r="C1669" s="2"/>
      <c r="D1669" s="2"/>
      <c r="E1669" s="2"/>
      <c r="F1669" s="2"/>
      <c r="G1669" s="2"/>
      <c r="H1669" s="2"/>
      <c r="I1669" s="5"/>
    </row>
    <row r="1670" spans="1:9" ht="17.399999999999999" x14ac:dyDescent="0.25">
      <c r="A1670" s="16"/>
      <c r="B1670" s="17"/>
      <c r="C1670" s="2"/>
      <c r="D1670" s="2"/>
      <c r="E1670" s="2"/>
      <c r="F1670" s="2"/>
      <c r="G1670" s="2"/>
      <c r="H1670" s="2"/>
      <c r="I1670" s="5"/>
    </row>
    <row r="1671" spans="1:9" ht="17.399999999999999" x14ac:dyDescent="0.25">
      <c r="A1671" s="16"/>
      <c r="B1671" s="17"/>
      <c r="C1671" s="2"/>
      <c r="D1671" s="2"/>
      <c r="E1671" s="2"/>
      <c r="F1671" s="2"/>
      <c r="G1671" s="2"/>
      <c r="H1671" s="2"/>
      <c r="I1671" s="5"/>
    </row>
    <row r="1672" spans="1:9" ht="17.399999999999999" x14ac:dyDescent="0.25">
      <c r="A1672" s="16"/>
      <c r="B1672" s="17"/>
      <c r="C1672" s="2"/>
      <c r="D1672" s="2"/>
      <c r="E1672" s="2"/>
      <c r="F1672" s="2"/>
      <c r="G1672" s="2"/>
      <c r="H1672" s="2"/>
      <c r="I1672" s="5"/>
    </row>
    <row r="1673" spans="1:9" ht="17.399999999999999" x14ac:dyDescent="0.25">
      <c r="A1673" s="16"/>
      <c r="B1673" s="17"/>
      <c r="C1673" s="2"/>
      <c r="D1673" s="2"/>
      <c r="E1673" s="2"/>
      <c r="F1673" s="2"/>
      <c r="G1673" s="2"/>
      <c r="H1673" s="2"/>
      <c r="I1673" s="5"/>
    </row>
    <row r="1674" spans="1:9" ht="17.399999999999999" x14ac:dyDescent="0.25">
      <c r="A1674" s="16"/>
      <c r="B1674" s="17"/>
      <c r="C1674" s="2"/>
      <c r="D1674" s="2"/>
      <c r="E1674" s="2"/>
      <c r="F1674" s="2"/>
      <c r="G1674" s="2"/>
      <c r="H1674" s="2"/>
      <c r="I1674" s="5"/>
    </row>
    <row r="1675" spans="1:9" ht="17.399999999999999" x14ac:dyDescent="0.25">
      <c r="A1675" s="16"/>
      <c r="B1675" s="17"/>
      <c r="C1675" s="2"/>
      <c r="D1675" s="2"/>
      <c r="E1675" s="2"/>
      <c r="F1675" s="2"/>
      <c r="G1675" s="2"/>
      <c r="H1675" s="2"/>
      <c r="I1675" s="5"/>
    </row>
    <row r="1676" spans="1:9" ht="17.399999999999999" x14ac:dyDescent="0.25">
      <c r="A1676" s="16"/>
      <c r="B1676" s="17"/>
      <c r="C1676" s="2"/>
      <c r="D1676" s="2"/>
      <c r="E1676" s="2"/>
      <c r="F1676" s="2"/>
      <c r="G1676" s="2"/>
      <c r="H1676" s="2"/>
      <c r="I1676" s="5"/>
    </row>
    <row r="1677" spans="1:9" ht="17.399999999999999" x14ac:dyDescent="0.25">
      <c r="A1677" s="16"/>
      <c r="B1677" s="17"/>
      <c r="C1677" s="2"/>
      <c r="D1677" s="2"/>
      <c r="E1677" s="2"/>
      <c r="F1677" s="2"/>
      <c r="G1677" s="2"/>
      <c r="H1677" s="2"/>
      <c r="I1677" s="5"/>
    </row>
    <row r="1678" spans="1:9" ht="17.399999999999999" x14ac:dyDescent="0.25">
      <c r="A1678" s="16"/>
      <c r="B1678" s="17"/>
      <c r="C1678" s="2"/>
      <c r="D1678" s="2"/>
      <c r="E1678" s="2"/>
      <c r="F1678" s="2"/>
      <c r="G1678" s="2"/>
      <c r="H1678" s="2"/>
      <c r="I1678" s="5"/>
    </row>
    <row r="1679" spans="1:9" ht="17.399999999999999" x14ac:dyDescent="0.25">
      <c r="A1679" s="16"/>
      <c r="B1679" s="17"/>
      <c r="C1679" s="2"/>
      <c r="D1679" s="2"/>
      <c r="E1679" s="2"/>
      <c r="F1679" s="2"/>
      <c r="G1679" s="2"/>
      <c r="H1679" s="2"/>
      <c r="I1679" s="5"/>
    </row>
    <row r="1680" spans="1:9" ht="17.399999999999999" x14ac:dyDescent="0.25">
      <c r="A1680" s="16"/>
      <c r="B1680" s="17"/>
      <c r="C1680" s="2"/>
      <c r="D1680" s="2"/>
      <c r="E1680" s="2"/>
      <c r="F1680" s="2"/>
      <c r="G1680" s="2"/>
      <c r="H1680" s="2"/>
      <c r="I1680" s="5"/>
    </row>
    <row r="1681" spans="1:9" ht="17.399999999999999" x14ac:dyDescent="0.25">
      <c r="A1681" s="16"/>
      <c r="B1681" s="17"/>
      <c r="C1681" s="2"/>
      <c r="D1681" s="2"/>
      <c r="E1681" s="2"/>
      <c r="F1681" s="2"/>
      <c r="G1681" s="2"/>
      <c r="H1681" s="2"/>
      <c r="I1681" s="5"/>
    </row>
    <row r="1682" spans="1:9" ht="17.399999999999999" x14ac:dyDescent="0.25">
      <c r="A1682" s="16"/>
      <c r="B1682" s="17"/>
      <c r="C1682" s="2"/>
      <c r="D1682" s="2"/>
      <c r="E1682" s="2"/>
      <c r="F1682" s="2"/>
      <c r="G1682" s="2"/>
      <c r="H1682" s="2"/>
      <c r="I1682" s="5"/>
    </row>
    <row r="1683" spans="1:9" ht="17.399999999999999" x14ac:dyDescent="0.25">
      <c r="A1683" s="16"/>
      <c r="B1683" s="17"/>
      <c r="C1683" s="2"/>
      <c r="D1683" s="2"/>
      <c r="E1683" s="2"/>
      <c r="F1683" s="2"/>
      <c r="G1683" s="2"/>
      <c r="H1683" s="2"/>
      <c r="I1683" s="5"/>
    </row>
    <row r="1684" spans="1:9" ht="17.399999999999999" x14ac:dyDescent="0.25">
      <c r="A1684" s="16"/>
      <c r="B1684" s="17"/>
      <c r="C1684" s="2"/>
      <c r="D1684" s="2"/>
      <c r="E1684" s="2"/>
      <c r="F1684" s="2"/>
      <c r="G1684" s="2"/>
      <c r="H1684" s="2"/>
      <c r="I1684" s="5"/>
    </row>
    <row r="1685" spans="1:9" ht="17.399999999999999" x14ac:dyDescent="0.25">
      <c r="A1685" s="16"/>
      <c r="B1685" s="17"/>
      <c r="C1685" s="2"/>
      <c r="D1685" s="2"/>
      <c r="E1685" s="2"/>
      <c r="F1685" s="2"/>
      <c r="G1685" s="2"/>
      <c r="H1685" s="2"/>
      <c r="I1685" s="5"/>
    </row>
    <row r="1686" spans="1:9" ht="17.399999999999999" x14ac:dyDescent="0.25">
      <c r="A1686" s="16"/>
      <c r="B1686" s="17"/>
      <c r="C1686" s="2"/>
      <c r="D1686" s="2"/>
      <c r="E1686" s="2"/>
      <c r="F1686" s="2"/>
      <c r="G1686" s="2"/>
      <c r="H1686" s="2"/>
      <c r="I1686" s="5"/>
    </row>
    <row r="1687" spans="1:9" ht="17.399999999999999" x14ac:dyDescent="0.25">
      <c r="A1687" s="16"/>
      <c r="B1687" s="17"/>
      <c r="C1687" s="2"/>
      <c r="D1687" s="2"/>
      <c r="E1687" s="2"/>
      <c r="F1687" s="2"/>
      <c r="G1687" s="2"/>
      <c r="H1687" s="2"/>
      <c r="I1687" s="5"/>
    </row>
    <row r="1688" spans="1:9" ht="17.399999999999999" x14ac:dyDescent="0.25">
      <c r="A1688" s="16"/>
      <c r="B1688" s="17"/>
      <c r="C1688" s="2"/>
      <c r="D1688" s="2"/>
      <c r="E1688" s="2"/>
      <c r="F1688" s="2"/>
      <c r="G1688" s="2"/>
      <c r="H1688" s="2"/>
      <c r="I1688" s="5"/>
    </row>
    <row r="1689" spans="1:9" ht="17.399999999999999" x14ac:dyDescent="0.25">
      <c r="A1689" s="16"/>
      <c r="B1689" s="17"/>
      <c r="C1689" s="2"/>
      <c r="D1689" s="2"/>
      <c r="E1689" s="2"/>
      <c r="F1689" s="2"/>
      <c r="G1689" s="2"/>
      <c r="H1689" s="2"/>
      <c r="I1689" s="5"/>
    </row>
    <row r="1690" spans="1:9" ht="17.399999999999999" x14ac:dyDescent="0.25">
      <c r="A1690" s="16"/>
      <c r="B1690" s="17"/>
      <c r="C1690" s="2"/>
      <c r="D1690" s="2"/>
      <c r="E1690" s="2"/>
      <c r="F1690" s="2"/>
      <c r="G1690" s="2"/>
      <c r="H1690" s="2"/>
      <c r="I1690" s="5"/>
    </row>
    <row r="1691" spans="1:9" ht="17.399999999999999" x14ac:dyDescent="0.25">
      <c r="A1691" s="16"/>
      <c r="B1691" s="17"/>
      <c r="C1691" s="2"/>
      <c r="D1691" s="2"/>
      <c r="E1691" s="2"/>
      <c r="F1691" s="2"/>
      <c r="G1691" s="2"/>
      <c r="H1691" s="2"/>
      <c r="I1691" s="5"/>
    </row>
    <row r="1692" spans="1:9" ht="17.399999999999999" x14ac:dyDescent="0.25">
      <c r="A1692" s="16"/>
      <c r="B1692" s="17"/>
      <c r="C1692" s="2"/>
      <c r="D1692" s="2"/>
      <c r="E1692" s="2"/>
      <c r="F1692" s="2"/>
      <c r="G1692" s="2"/>
      <c r="H1692" s="2"/>
      <c r="I1692" s="5"/>
    </row>
    <row r="1693" spans="1:9" ht="17.399999999999999" x14ac:dyDescent="0.25">
      <c r="A1693" s="16"/>
      <c r="B1693" s="17"/>
      <c r="C1693" s="2"/>
      <c r="D1693" s="2"/>
      <c r="E1693" s="2"/>
      <c r="F1693" s="2"/>
      <c r="G1693" s="2"/>
      <c r="H1693" s="2"/>
      <c r="I1693" s="5"/>
    </row>
    <row r="1694" spans="1:9" ht="17.399999999999999" x14ac:dyDescent="0.25">
      <c r="A1694" s="16"/>
      <c r="B1694" s="17"/>
      <c r="C1694" s="2"/>
      <c r="D1694" s="2"/>
      <c r="E1694" s="2"/>
      <c r="F1694" s="2"/>
      <c r="G1694" s="2"/>
      <c r="H1694" s="2"/>
      <c r="I1694" s="5"/>
    </row>
    <row r="1695" spans="1:9" ht="17.399999999999999" x14ac:dyDescent="0.25">
      <c r="A1695" s="16"/>
      <c r="B1695" s="17"/>
      <c r="C1695" s="2"/>
      <c r="D1695" s="2"/>
      <c r="E1695" s="2"/>
      <c r="F1695" s="2"/>
      <c r="G1695" s="2"/>
      <c r="H1695" s="2"/>
      <c r="I1695" s="5"/>
    </row>
    <row r="1696" spans="1:9" ht="17.399999999999999" x14ac:dyDescent="0.25">
      <c r="A1696" s="16"/>
      <c r="B1696" s="17"/>
      <c r="C1696" s="2"/>
      <c r="D1696" s="2"/>
      <c r="E1696" s="2"/>
      <c r="F1696" s="2"/>
      <c r="G1696" s="2"/>
      <c r="H1696" s="2"/>
      <c r="I1696" s="5"/>
    </row>
    <row r="1697" spans="1:9" ht="17.399999999999999" x14ac:dyDescent="0.25">
      <c r="A1697" s="16"/>
      <c r="B1697" s="17"/>
      <c r="C1697" s="2"/>
      <c r="D1697" s="2"/>
      <c r="E1697" s="2"/>
      <c r="F1697" s="2"/>
      <c r="G1697" s="2"/>
      <c r="H1697" s="2"/>
      <c r="I1697" s="5"/>
    </row>
    <row r="1698" spans="1:9" ht="17.399999999999999" x14ac:dyDescent="0.25">
      <c r="A1698" s="16"/>
      <c r="B1698" s="17"/>
      <c r="C1698" s="2"/>
      <c r="D1698" s="2"/>
      <c r="E1698" s="2"/>
      <c r="F1698" s="2"/>
      <c r="G1698" s="2"/>
      <c r="H1698" s="2"/>
      <c r="I1698" s="5"/>
    </row>
    <row r="1699" spans="1:9" ht="17.399999999999999" x14ac:dyDescent="0.25">
      <c r="A1699" s="16"/>
      <c r="B1699" s="17"/>
      <c r="C1699" s="2"/>
      <c r="D1699" s="2"/>
      <c r="E1699" s="2"/>
      <c r="F1699" s="2"/>
      <c r="G1699" s="2"/>
      <c r="H1699" s="2"/>
      <c r="I1699" s="5"/>
    </row>
    <row r="1700" spans="1:9" ht="17.399999999999999" x14ac:dyDescent="0.25">
      <c r="A1700" s="16"/>
      <c r="B1700" s="17"/>
      <c r="C1700" s="2"/>
      <c r="D1700" s="2"/>
      <c r="E1700" s="2"/>
      <c r="F1700" s="2"/>
      <c r="G1700" s="2"/>
      <c r="H1700" s="2"/>
      <c r="I1700" s="5"/>
    </row>
    <row r="1701" spans="1:9" ht="17.399999999999999" x14ac:dyDescent="0.25">
      <c r="A1701" s="16"/>
      <c r="B1701" s="17"/>
      <c r="C1701" s="2"/>
      <c r="D1701" s="2"/>
      <c r="E1701" s="2"/>
      <c r="F1701" s="2"/>
      <c r="G1701" s="2"/>
      <c r="H1701" s="2"/>
      <c r="I1701" s="5"/>
    </row>
    <row r="1702" spans="1:9" ht="17.399999999999999" x14ac:dyDescent="0.25">
      <c r="A1702" s="16"/>
      <c r="B1702" s="17"/>
      <c r="C1702" s="2"/>
      <c r="D1702" s="2"/>
      <c r="E1702" s="2"/>
      <c r="F1702" s="2"/>
      <c r="G1702" s="2"/>
      <c r="H1702" s="2"/>
      <c r="I1702" s="5"/>
    </row>
    <row r="1703" spans="1:9" ht="17.399999999999999" x14ac:dyDescent="0.25">
      <c r="A1703" s="16"/>
      <c r="B1703" s="17"/>
      <c r="C1703" s="2"/>
      <c r="D1703" s="2"/>
      <c r="E1703" s="2"/>
      <c r="F1703" s="2"/>
      <c r="G1703" s="2"/>
      <c r="H1703" s="2"/>
      <c r="I1703" s="5"/>
    </row>
    <row r="1704" spans="1:9" ht="17.399999999999999" x14ac:dyDescent="0.25">
      <c r="A1704" s="16"/>
      <c r="B1704" s="17"/>
      <c r="C1704" s="2"/>
      <c r="D1704" s="2"/>
      <c r="E1704" s="2"/>
      <c r="F1704" s="2"/>
      <c r="G1704" s="2"/>
      <c r="H1704" s="2"/>
      <c r="I1704" s="5"/>
    </row>
    <row r="1705" spans="1:9" ht="17.399999999999999" x14ac:dyDescent="0.25">
      <c r="A1705" s="16"/>
      <c r="B1705" s="17"/>
      <c r="C1705" s="2"/>
      <c r="D1705" s="2"/>
      <c r="E1705" s="2"/>
      <c r="F1705" s="2"/>
      <c r="G1705" s="2"/>
      <c r="H1705" s="2"/>
      <c r="I1705" s="5"/>
    </row>
    <row r="1706" spans="1:9" ht="17.399999999999999" x14ac:dyDescent="0.25">
      <c r="A1706" s="16"/>
      <c r="B1706" s="17"/>
      <c r="C1706" s="2"/>
      <c r="D1706" s="2"/>
      <c r="E1706" s="2"/>
      <c r="F1706" s="2"/>
      <c r="G1706" s="2"/>
      <c r="H1706" s="2"/>
      <c r="I1706" s="5"/>
    </row>
    <row r="1707" spans="1:9" ht="17.399999999999999" x14ac:dyDescent="0.25">
      <c r="A1707" s="16"/>
      <c r="B1707" s="17"/>
      <c r="C1707" s="2"/>
      <c r="D1707" s="2"/>
      <c r="E1707" s="2"/>
      <c r="F1707" s="2"/>
      <c r="G1707" s="2"/>
      <c r="H1707" s="2"/>
      <c r="I1707" s="5"/>
    </row>
    <row r="1708" spans="1:9" ht="17.399999999999999" x14ac:dyDescent="0.25">
      <c r="A1708" s="16"/>
      <c r="B1708" s="17"/>
      <c r="C1708" s="2"/>
      <c r="D1708" s="2"/>
      <c r="E1708" s="2"/>
      <c r="F1708" s="2"/>
      <c r="G1708" s="2"/>
      <c r="H1708" s="2"/>
      <c r="I1708" s="5"/>
    </row>
    <row r="1709" spans="1:9" ht="17.399999999999999" x14ac:dyDescent="0.25">
      <c r="A1709" s="16"/>
      <c r="B1709" s="17"/>
      <c r="C1709" s="2"/>
      <c r="D1709" s="2"/>
      <c r="E1709" s="2"/>
      <c r="F1709" s="2"/>
      <c r="G1709" s="2"/>
      <c r="H1709" s="2"/>
      <c r="I1709" s="5"/>
    </row>
    <row r="1710" spans="1:9" ht="17.399999999999999" x14ac:dyDescent="0.25">
      <c r="A1710" s="16"/>
      <c r="B1710" s="17"/>
      <c r="C1710" s="2"/>
      <c r="D1710" s="2"/>
      <c r="E1710" s="2"/>
      <c r="F1710" s="2"/>
      <c r="G1710" s="2"/>
      <c r="H1710" s="2"/>
      <c r="I1710" s="5"/>
    </row>
    <row r="1711" spans="1:9" ht="17.399999999999999" x14ac:dyDescent="0.25">
      <c r="A1711" s="16"/>
      <c r="B1711" s="17"/>
      <c r="C1711" s="2"/>
      <c r="D1711" s="2"/>
      <c r="E1711" s="2"/>
      <c r="F1711" s="2"/>
      <c r="G1711" s="2"/>
      <c r="H1711" s="2"/>
      <c r="I1711" s="5"/>
    </row>
    <row r="1712" spans="1:9" ht="17.399999999999999" x14ac:dyDescent="0.25">
      <c r="A1712" s="16"/>
      <c r="B1712" s="17"/>
      <c r="C1712" s="2"/>
      <c r="D1712" s="2"/>
      <c r="E1712" s="2"/>
      <c r="F1712" s="2"/>
      <c r="G1712" s="2"/>
      <c r="H1712" s="2"/>
      <c r="I1712" s="5"/>
    </row>
    <row r="1713" spans="1:9" ht="17.399999999999999" x14ac:dyDescent="0.25">
      <c r="A1713" s="16"/>
      <c r="B1713" s="17"/>
      <c r="C1713" s="2"/>
      <c r="D1713" s="2"/>
      <c r="E1713" s="2"/>
      <c r="F1713" s="2"/>
      <c r="G1713" s="2"/>
      <c r="H1713" s="2"/>
      <c r="I1713" s="5"/>
    </row>
    <row r="1714" spans="1:9" ht="17.399999999999999" x14ac:dyDescent="0.25">
      <c r="A1714" s="16"/>
      <c r="B1714" s="17"/>
      <c r="C1714" s="2"/>
      <c r="D1714" s="2"/>
      <c r="E1714" s="2"/>
      <c r="F1714" s="2"/>
      <c r="G1714" s="2"/>
      <c r="H1714" s="2"/>
      <c r="I1714" s="5"/>
    </row>
    <row r="1715" spans="1:9" ht="17.399999999999999" x14ac:dyDescent="0.25">
      <c r="A1715" s="16"/>
      <c r="B1715" s="17"/>
      <c r="C1715" s="2"/>
      <c r="D1715" s="2"/>
      <c r="E1715" s="2"/>
      <c r="F1715" s="2"/>
      <c r="G1715" s="2"/>
      <c r="H1715" s="2"/>
      <c r="I1715" s="5"/>
    </row>
    <row r="1716" spans="1:9" ht="17.399999999999999" x14ac:dyDescent="0.25">
      <c r="A1716" s="16"/>
      <c r="B1716" s="17"/>
      <c r="C1716" s="2"/>
      <c r="D1716" s="2"/>
      <c r="E1716" s="2"/>
      <c r="F1716" s="2"/>
      <c r="G1716" s="2"/>
      <c r="H1716" s="2"/>
      <c r="I1716" s="5"/>
    </row>
    <row r="1717" spans="1:9" ht="17.399999999999999" x14ac:dyDescent="0.25">
      <c r="A1717" s="16"/>
      <c r="B1717" s="17"/>
      <c r="C1717" s="2"/>
      <c r="D1717" s="2"/>
      <c r="E1717" s="2"/>
      <c r="F1717" s="2"/>
      <c r="G1717" s="2"/>
      <c r="H1717" s="2"/>
      <c r="I1717" s="5"/>
    </row>
    <row r="1718" spans="1:9" ht="17.399999999999999" x14ac:dyDescent="0.25">
      <c r="A1718" s="16"/>
      <c r="B1718" s="17"/>
      <c r="C1718" s="2"/>
      <c r="D1718" s="2"/>
      <c r="E1718" s="2"/>
      <c r="F1718" s="2"/>
      <c r="G1718" s="2"/>
      <c r="H1718" s="2"/>
      <c r="I1718" s="5"/>
    </row>
    <row r="1719" spans="1:9" ht="17.399999999999999" x14ac:dyDescent="0.25">
      <c r="A1719" s="16"/>
      <c r="B1719" s="17"/>
      <c r="C1719" s="2"/>
      <c r="D1719" s="2"/>
      <c r="E1719" s="2"/>
      <c r="F1719" s="2"/>
      <c r="G1719" s="2"/>
      <c r="H1719" s="2"/>
      <c r="I1719" s="5"/>
    </row>
    <row r="1720" spans="1:9" ht="17.399999999999999" x14ac:dyDescent="0.25">
      <c r="A1720" s="16"/>
      <c r="B1720" s="17"/>
      <c r="C1720" s="2"/>
      <c r="D1720" s="2"/>
      <c r="E1720" s="2"/>
      <c r="F1720" s="2"/>
      <c r="G1720" s="2"/>
      <c r="H1720" s="2"/>
      <c r="I1720" s="5"/>
    </row>
    <row r="1721" spans="1:9" ht="17.399999999999999" x14ac:dyDescent="0.25">
      <c r="A1721" s="16"/>
      <c r="B1721" s="17"/>
      <c r="C1721" s="2"/>
      <c r="D1721" s="2"/>
      <c r="E1721" s="2"/>
      <c r="F1721" s="2"/>
      <c r="G1721" s="2"/>
      <c r="H1721" s="2"/>
      <c r="I1721" s="5"/>
    </row>
    <row r="1722" spans="1:9" ht="17.399999999999999" x14ac:dyDescent="0.25">
      <c r="A1722" s="16"/>
      <c r="B1722" s="17"/>
      <c r="C1722" s="2"/>
      <c r="D1722" s="2"/>
      <c r="E1722" s="2"/>
      <c r="F1722" s="2"/>
      <c r="G1722" s="2"/>
      <c r="H1722" s="2"/>
      <c r="I1722" s="5"/>
    </row>
    <row r="1723" spans="1:9" ht="17.399999999999999" x14ac:dyDescent="0.25">
      <c r="A1723" s="16"/>
      <c r="B1723" s="17"/>
      <c r="C1723" s="2"/>
      <c r="D1723" s="2"/>
      <c r="E1723" s="2"/>
      <c r="F1723" s="2"/>
      <c r="G1723" s="2"/>
      <c r="H1723" s="2"/>
      <c r="I1723" s="5"/>
    </row>
    <row r="1724" spans="1:9" ht="17.399999999999999" x14ac:dyDescent="0.25">
      <c r="A1724" s="16"/>
      <c r="B1724" s="17"/>
      <c r="C1724" s="2"/>
      <c r="D1724" s="2"/>
      <c r="E1724" s="2"/>
      <c r="F1724" s="2"/>
      <c r="G1724" s="2"/>
      <c r="H1724" s="2"/>
      <c r="I1724" s="5"/>
    </row>
    <row r="1725" spans="1:9" ht="17.399999999999999" x14ac:dyDescent="0.25">
      <c r="A1725" s="16"/>
      <c r="B1725" s="17"/>
      <c r="C1725" s="2"/>
      <c r="D1725" s="2"/>
      <c r="E1725" s="2"/>
      <c r="F1725" s="2"/>
      <c r="G1725" s="2"/>
      <c r="H1725" s="2"/>
      <c r="I1725" s="5"/>
    </row>
    <row r="1726" spans="1:9" ht="17.399999999999999" x14ac:dyDescent="0.25">
      <c r="A1726" s="16"/>
      <c r="B1726" s="17"/>
      <c r="C1726" s="2"/>
      <c r="D1726" s="2"/>
      <c r="E1726" s="2"/>
      <c r="F1726" s="2"/>
      <c r="G1726" s="2"/>
      <c r="H1726" s="2"/>
      <c r="I1726" s="5"/>
    </row>
    <row r="1727" spans="1:9" ht="17.399999999999999" x14ac:dyDescent="0.25">
      <c r="A1727" s="16"/>
      <c r="B1727" s="17"/>
      <c r="C1727" s="2"/>
      <c r="D1727" s="2"/>
      <c r="E1727" s="2"/>
      <c r="F1727" s="2"/>
      <c r="G1727" s="2"/>
      <c r="H1727" s="2"/>
      <c r="I1727" s="5"/>
    </row>
    <row r="1728" spans="1:9" ht="17.399999999999999" x14ac:dyDescent="0.25">
      <c r="A1728" s="16"/>
      <c r="B1728" s="17"/>
      <c r="C1728" s="2"/>
      <c r="D1728" s="2"/>
      <c r="E1728" s="2"/>
      <c r="F1728" s="2"/>
      <c r="G1728" s="2"/>
      <c r="H1728" s="2"/>
      <c r="I1728" s="5"/>
    </row>
    <row r="1729" spans="1:9" ht="17.399999999999999" x14ac:dyDescent="0.25">
      <c r="A1729" s="16"/>
      <c r="B1729" s="17"/>
      <c r="C1729" s="2"/>
      <c r="D1729" s="2"/>
      <c r="E1729" s="2"/>
      <c r="F1729" s="2"/>
      <c r="G1729" s="2"/>
      <c r="H1729" s="2"/>
      <c r="I1729" s="5"/>
    </row>
    <row r="1730" spans="1:9" ht="17.399999999999999" x14ac:dyDescent="0.25">
      <c r="A1730" s="16"/>
      <c r="B1730" s="17"/>
      <c r="C1730" s="2"/>
      <c r="D1730" s="2"/>
      <c r="E1730" s="2"/>
      <c r="F1730" s="2"/>
      <c r="G1730" s="2"/>
      <c r="H1730" s="2"/>
      <c r="I1730" s="5"/>
    </row>
    <row r="1731" spans="1:9" ht="17.399999999999999" x14ac:dyDescent="0.25">
      <c r="A1731" s="16"/>
      <c r="B1731" s="17"/>
      <c r="C1731" s="2"/>
      <c r="D1731" s="2"/>
      <c r="E1731" s="2"/>
      <c r="F1731" s="2"/>
      <c r="G1731" s="2"/>
      <c r="H1731" s="2"/>
      <c r="I1731" s="5"/>
    </row>
    <row r="1732" spans="1:9" ht="17.399999999999999" x14ac:dyDescent="0.25">
      <c r="A1732" s="16"/>
      <c r="B1732" s="17"/>
      <c r="C1732" s="2"/>
      <c r="D1732" s="2"/>
      <c r="E1732" s="2"/>
      <c r="F1732" s="2"/>
      <c r="G1732" s="2"/>
      <c r="H1732" s="2"/>
      <c r="I1732" s="5"/>
    </row>
    <row r="1733" spans="1:9" ht="17.399999999999999" x14ac:dyDescent="0.25">
      <c r="A1733" s="16"/>
      <c r="B1733" s="17"/>
      <c r="C1733" s="2"/>
      <c r="D1733" s="2"/>
      <c r="E1733" s="2"/>
      <c r="F1733" s="2"/>
      <c r="G1733" s="2"/>
      <c r="H1733" s="2"/>
      <c r="I1733" s="5"/>
    </row>
    <row r="1734" spans="1:9" ht="17.399999999999999" x14ac:dyDescent="0.25">
      <c r="A1734" s="16"/>
      <c r="B1734" s="17"/>
      <c r="C1734" s="2"/>
      <c r="D1734" s="2"/>
      <c r="E1734" s="2"/>
      <c r="F1734" s="2"/>
      <c r="G1734" s="2"/>
      <c r="H1734" s="2"/>
      <c r="I1734" s="5"/>
    </row>
    <row r="1735" spans="1:9" ht="17.399999999999999" x14ac:dyDescent="0.25">
      <c r="A1735" s="16"/>
      <c r="B1735" s="17"/>
      <c r="C1735" s="2"/>
      <c r="D1735" s="2"/>
      <c r="E1735" s="2"/>
      <c r="F1735" s="2"/>
      <c r="G1735" s="2"/>
      <c r="H1735" s="2"/>
      <c r="I1735" s="5"/>
    </row>
    <row r="1736" spans="1:9" ht="17.399999999999999" x14ac:dyDescent="0.25">
      <c r="A1736" s="16"/>
      <c r="B1736" s="17"/>
      <c r="C1736" s="2"/>
      <c r="D1736" s="2"/>
      <c r="E1736" s="2"/>
      <c r="F1736" s="2"/>
      <c r="G1736" s="2"/>
      <c r="H1736" s="2"/>
      <c r="I1736" s="5"/>
    </row>
    <row r="1737" spans="1:9" ht="17.399999999999999" x14ac:dyDescent="0.25">
      <c r="A1737" s="16"/>
      <c r="B1737" s="17"/>
      <c r="C1737" s="2"/>
      <c r="D1737" s="2"/>
      <c r="E1737" s="2"/>
      <c r="F1737" s="2"/>
      <c r="G1737" s="2"/>
      <c r="H1737" s="2"/>
      <c r="I1737" s="5"/>
    </row>
    <row r="1738" spans="1:9" ht="17.399999999999999" x14ac:dyDescent="0.25">
      <c r="A1738" s="16"/>
      <c r="B1738" s="17"/>
      <c r="C1738" s="2"/>
      <c r="D1738" s="2"/>
      <c r="E1738" s="2"/>
      <c r="F1738" s="2"/>
      <c r="G1738" s="2"/>
      <c r="H1738" s="2"/>
      <c r="I1738" s="5"/>
    </row>
    <row r="1739" spans="1:9" ht="17.399999999999999" x14ac:dyDescent="0.25">
      <c r="A1739" s="16"/>
      <c r="B1739" s="17"/>
      <c r="C1739" s="2"/>
      <c r="D1739" s="2"/>
      <c r="E1739" s="2"/>
      <c r="F1739" s="2"/>
      <c r="G1739" s="2"/>
      <c r="H1739" s="2"/>
      <c r="I1739" s="5"/>
    </row>
    <row r="1740" spans="1:9" ht="17.399999999999999" x14ac:dyDescent="0.25">
      <c r="A1740" s="16"/>
      <c r="B1740" s="17"/>
      <c r="C1740" s="2"/>
      <c r="D1740" s="2"/>
      <c r="E1740" s="2"/>
      <c r="F1740" s="2"/>
      <c r="G1740" s="2"/>
      <c r="H1740" s="2"/>
      <c r="I1740" s="5"/>
    </row>
    <row r="1741" spans="1:9" ht="17.399999999999999" x14ac:dyDescent="0.25">
      <c r="A1741" s="16"/>
      <c r="B1741" s="17"/>
      <c r="C1741" s="2"/>
      <c r="D1741" s="2"/>
      <c r="E1741" s="2"/>
      <c r="F1741" s="2"/>
      <c r="G1741" s="2"/>
      <c r="H1741" s="2"/>
      <c r="I1741" s="5"/>
    </row>
    <row r="1742" spans="1:9" ht="17.399999999999999" x14ac:dyDescent="0.25">
      <c r="A1742" s="16"/>
      <c r="B1742" s="17"/>
      <c r="C1742" s="2"/>
      <c r="D1742" s="2"/>
      <c r="E1742" s="2"/>
      <c r="F1742" s="2"/>
      <c r="G1742" s="2"/>
      <c r="H1742" s="2"/>
      <c r="I1742" s="5"/>
    </row>
    <row r="1743" spans="1:9" ht="17.399999999999999" x14ac:dyDescent="0.25">
      <c r="A1743" s="16"/>
      <c r="B1743" s="17"/>
      <c r="C1743" s="2"/>
      <c r="D1743" s="2"/>
      <c r="E1743" s="2"/>
      <c r="F1743" s="2"/>
      <c r="G1743" s="2"/>
      <c r="H1743" s="2"/>
      <c r="I1743" s="5"/>
    </row>
    <row r="1744" spans="1:9" ht="17.399999999999999" x14ac:dyDescent="0.25">
      <c r="A1744" s="16"/>
      <c r="B1744" s="17"/>
      <c r="C1744" s="2"/>
      <c r="D1744" s="2"/>
      <c r="E1744" s="2"/>
      <c r="F1744" s="2"/>
      <c r="G1744" s="2"/>
      <c r="H1744" s="2"/>
      <c r="I1744" s="5"/>
    </row>
    <row r="1745" spans="1:9" ht="17.399999999999999" x14ac:dyDescent="0.25">
      <c r="A1745" s="16"/>
      <c r="B1745" s="17"/>
      <c r="C1745" s="2"/>
      <c r="D1745" s="2"/>
      <c r="E1745" s="2"/>
      <c r="F1745" s="2"/>
      <c r="G1745" s="2"/>
      <c r="H1745" s="2"/>
      <c r="I1745" s="5"/>
    </row>
    <row r="1746" spans="1:9" ht="17.399999999999999" x14ac:dyDescent="0.25">
      <c r="A1746" s="16"/>
      <c r="B1746" s="17"/>
      <c r="C1746" s="2"/>
      <c r="D1746" s="2"/>
      <c r="E1746" s="2"/>
      <c r="F1746" s="2"/>
      <c r="G1746" s="2"/>
      <c r="H1746" s="2"/>
      <c r="I1746" s="5"/>
    </row>
    <row r="1747" spans="1:9" ht="17.399999999999999" x14ac:dyDescent="0.25">
      <c r="A1747" s="16"/>
      <c r="B1747" s="17"/>
      <c r="C1747" s="2"/>
      <c r="D1747" s="2"/>
      <c r="E1747" s="2"/>
      <c r="F1747" s="2"/>
      <c r="G1747" s="2"/>
      <c r="H1747" s="2"/>
      <c r="I1747" s="5"/>
    </row>
    <row r="1748" spans="1:9" ht="17.399999999999999" x14ac:dyDescent="0.25">
      <c r="A1748" s="16"/>
      <c r="B1748" s="17"/>
      <c r="C1748" s="2"/>
      <c r="D1748" s="2"/>
      <c r="E1748" s="2"/>
      <c r="F1748" s="2"/>
      <c r="G1748" s="2"/>
      <c r="H1748" s="2"/>
      <c r="I1748" s="5"/>
    </row>
    <row r="1749" spans="1:9" ht="17.399999999999999" x14ac:dyDescent="0.25">
      <c r="A1749" s="16"/>
      <c r="B1749" s="17"/>
      <c r="C1749" s="2"/>
      <c r="D1749" s="2"/>
      <c r="E1749" s="2"/>
      <c r="F1749" s="2"/>
      <c r="G1749" s="2"/>
      <c r="H1749" s="2"/>
      <c r="I1749" s="5"/>
    </row>
    <row r="1750" spans="1:9" ht="17.399999999999999" x14ac:dyDescent="0.25">
      <c r="A1750" s="16"/>
      <c r="B1750" s="17"/>
      <c r="C1750" s="2"/>
      <c r="D1750" s="2"/>
      <c r="E1750" s="2"/>
      <c r="F1750" s="2"/>
      <c r="G1750" s="2"/>
      <c r="H1750" s="2"/>
      <c r="I1750" s="5"/>
    </row>
    <row r="1751" spans="1:9" ht="17.399999999999999" x14ac:dyDescent="0.25">
      <c r="A1751" s="16"/>
      <c r="B1751" s="17"/>
      <c r="C1751" s="2"/>
      <c r="D1751" s="2"/>
      <c r="E1751" s="2"/>
      <c r="F1751" s="2"/>
      <c r="G1751" s="2"/>
      <c r="H1751" s="2"/>
      <c r="I1751" s="5"/>
    </row>
    <row r="1752" spans="1:9" ht="17.399999999999999" x14ac:dyDescent="0.25">
      <c r="A1752" s="16"/>
      <c r="B1752" s="17"/>
      <c r="C1752" s="2"/>
      <c r="D1752" s="2"/>
      <c r="E1752" s="2"/>
      <c r="F1752" s="2"/>
      <c r="G1752" s="2"/>
      <c r="H1752" s="2"/>
      <c r="I1752" s="5"/>
    </row>
    <row r="1753" spans="1:9" ht="17.399999999999999" x14ac:dyDescent="0.25">
      <c r="A1753" s="16"/>
      <c r="B1753" s="17"/>
      <c r="C1753" s="2"/>
      <c r="D1753" s="2"/>
      <c r="E1753" s="2"/>
      <c r="F1753" s="2"/>
      <c r="G1753" s="2"/>
      <c r="H1753" s="2"/>
      <c r="I1753" s="5"/>
    </row>
    <row r="1754" spans="1:9" ht="17.399999999999999" x14ac:dyDescent="0.25">
      <c r="A1754" s="16"/>
      <c r="B1754" s="17"/>
      <c r="C1754" s="2"/>
      <c r="D1754" s="2"/>
      <c r="E1754" s="2"/>
      <c r="F1754" s="2"/>
      <c r="G1754" s="2"/>
      <c r="H1754" s="2"/>
      <c r="I1754" s="5"/>
    </row>
    <row r="1755" spans="1:9" ht="17.399999999999999" x14ac:dyDescent="0.25">
      <c r="A1755" s="16"/>
      <c r="B1755" s="17"/>
      <c r="C1755" s="2"/>
      <c r="D1755" s="2"/>
      <c r="E1755" s="2"/>
      <c r="F1755" s="2"/>
      <c r="G1755" s="2"/>
      <c r="H1755" s="2"/>
      <c r="I1755" s="5"/>
    </row>
    <row r="1756" spans="1:9" ht="17.399999999999999" x14ac:dyDescent="0.25">
      <c r="A1756" s="16"/>
      <c r="B1756" s="17"/>
      <c r="C1756" s="2"/>
      <c r="D1756" s="2"/>
      <c r="E1756" s="2"/>
      <c r="F1756" s="2"/>
      <c r="G1756" s="2"/>
      <c r="H1756" s="2"/>
      <c r="I1756" s="5"/>
    </row>
    <row r="1757" spans="1:9" ht="17.399999999999999" x14ac:dyDescent="0.25">
      <c r="A1757" s="16"/>
      <c r="B1757" s="17"/>
      <c r="C1757" s="2"/>
      <c r="D1757" s="2"/>
      <c r="E1757" s="2"/>
      <c r="F1757" s="2"/>
      <c r="G1757" s="2"/>
      <c r="H1757" s="2"/>
      <c r="I1757" s="5"/>
    </row>
    <row r="1758" spans="1:9" ht="17.399999999999999" x14ac:dyDescent="0.25">
      <c r="A1758" s="16"/>
      <c r="B1758" s="17"/>
      <c r="C1758" s="2"/>
      <c r="D1758" s="2"/>
      <c r="E1758" s="2"/>
      <c r="F1758" s="2"/>
      <c r="G1758" s="2"/>
      <c r="H1758" s="2"/>
      <c r="I1758" s="5"/>
    </row>
    <row r="1759" spans="1:9" ht="17.399999999999999" x14ac:dyDescent="0.25">
      <c r="A1759" s="16"/>
      <c r="B1759" s="17"/>
      <c r="C1759" s="2"/>
      <c r="D1759" s="2"/>
      <c r="E1759" s="2"/>
      <c r="F1759" s="2"/>
      <c r="G1759" s="2"/>
      <c r="H1759" s="2"/>
      <c r="I1759" s="5"/>
    </row>
    <row r="1760" spans="1:9" ht="17.399999999999999" x14ac:dyDescent="0.25">
      <c r="A1760" s="16"/>
      <c r="B1760" s="17"/>
      <c r="C1760" s="2"/>
      <c r="D1760" s="2"/>
      <c r="E1760" s="2"/>
      <c r="F1760" s="2"/>
      <c r="G1760" s="2"/>
      <c r="H1760" s="2"/>
      <c r="I1760" s="5"/>
    </row>
    <row r="1761" spans="1:9" ht="17.399999999999999" x14ac:dyDescent="0.25">
      <c r="A1761" s="16"/>
      <c r="B1761" s="17"/>
      <c r="C1761" s="2"/>
      <c r="D1761" s="2"/>
      <c r="E1761" s="2"/>
      <c r="F1761" s="2"/>
      <c r="G1761" s="2"/>
      <c r="H1761" s="2"/>
      <c r="I1761" s="5"/>
    </row>
    <row r="1762" spans="1:9" ht="17.399999999999999" x14ac:dyDescent="0.25">
      <c r="A1762" s="16"/>
      <c r="B1762" s="17"/>
      <c r="C1762" s="2"/>
      <c r="D1762" s="2"/>
      <c r="E1762" s="2"/>
      <c r="F1762" s="2"/>
      <c r="G1762" s="2"/>
      <c r="H1762" s="2"/>
      <c r="I1762" s="5"/>
    </row>
    <row r="1763" spans="1:9" ht="17.399999999999999" x14ac:dyDescent="0.25">
      <c r="A1763" s="16"/>
      <c r="B1763" s="17"/>
      <c r="C1763" s="2"/>
      <c r="D1763" s="2"/>
      <c r="E1763" s="2"/>
      <c r="F1763" s="2"/>
      <c r="G1763" s="2"/>
      <c r="H1763" s="2"/>
      <c r="I1763" s="5"/>
    </row>
    <row r="1764" spans="1:9" ht="17.399999999999999" x14ac:dyDescent="0.25">
      <c r="A1764" s="16"/>
      <c r="B1764" s="17"/>
      <c r="C1764" s="2"/>
      <c r="D1764" s="2"/>
      <c r="E1764" s="2"/>
      <c r="F1764" s="2"/>
      <c r="G1764" s="2"/>
      <c r="H1764" s="2"/>
      <c r="I1764" s="5"/>
    </row>
    <row r="1765" spans="1:9" ht="17.399999999999999" x14ac:dyDescent="0.25">
      <c r="A1765" s="16"/>
      <c r="B1765" s="17"/>
      <c r="C1765" s="2"/>
      <c r="D1765" s="2"/>
      <c r="E1765" s="2"/>
      <c r="F1765" s="2"/>
      <c r="G1765" s="2"/>
      <c r="H1765" s="2"/>
      <c r="I1765" s="5"/>
    </row>
    <row r="1766" spans="1:9" ht="17.399999999999999" x14ac:dyDescent="0.25">
      <c r="A1766" s="16"/>
      <c r="B1766" s="17"/>
      <c r="C1766" s="2"/>
      <c r="D1766" s="2"/>
      <c r="E1766" s="2"/>
      <c r="F1766" s="2"/>
      <c r="G1766" s="2"/>
      <c r="H1766" s="2"/>
      <c r="I1766" s="5"/>
    </row>
    <row r="1767" spans="1:9" ht="17.399999999999999" x14ac:dyDescent="0.25">
      <c r="A1767" s="16"/>
      <c r="B1767" s="17"/>
      <c r="C1767" s="2"/>
      <c r="D1767" s="2"/>
      <c r="E1767" s="2"/>
      <c r="F1767" s="2"/>
      <c r="G1767" s="2"/>
      <c r="H1767" s="2"/>
      <c r="I1767" s="5"/>
    </row>
    <row r="1768" spans="1:9" ht="17.399999999999999" x14ac:dyDescent="0.25">
      <c r="A1768" s="16"/>
      <c r="B1768" s="17"/>
      <c r="C1768" s="2"/>
      <c r="D1768" s="2"/>
      <c r="E1768" s="2"/>
      <c r="F1768" s="2"/>
      <c r="G1768" s="2"/>
      <c r="H1768" s="2"/>
      <c r="I1768" s="5"/>
    </row>
    <row r="1769" spans="1:9" ht="17.399999999999999" x14ac:dyDescent="0.25">
      <c r="A1769" s="16"/>
      <c r="B1769" s="17"/>
      <c r="C1769" s="2"/>
      <c r="D1769" s="2"/>
      <c r="E1769" s="2"/>
      <c r="F1769" s="2"/>
      <c r="G1769" s="2"/>
      <c r="H1769" s="2"/>
      <c r="I1769" s="5"/>
    </row>
    <row r="1770" spans="1:9" ht="17.399999999999999" x14ac:dyDescent="0.25">
      <c r="A1770" s="16"/>
      <c r="B1770" s="17"/>
      <c r="C1770" s="2"/>
      <c r="D1770" s="2"/>
      <c r="E1770" s="2"/>
      <c r="F1770" s="2"/>
      <c r="G1770" s="2"/>
      <c r="H1770" s="2"/>
      <c r="I1770" s="5"/>
    </row>
    <row r="1771" spans="1:9" ht="17.399999999999999" x14ac:dyDescent="0.25">
      <c r="A1771" s="16"/>
      <c r="B1771" s="17"/>
      <c r="C1771" s="2"/>
      <c r="D1771" s="2"/>
      <c r="E1771" s="2"/>
      <c r="F1771" s="2"/>
      <c r="G1771" s="2"/>
      <c r="H1771" s="2"/>
      <c r="I1771" s="5"/>
    </row>
    <row r="1772" spans="1:9" ht="17.399999999999999" x14ac:dyDescent="0.25">
      <c r="A1772" s="16"/>
      <c r="B1772" s="17"/>
      <c r="C1772" s="2"/>
      <c r="D1772" s="2"/>
      <c r="E1772" s="2"/>
      <c r="F1772" s="2"/>
      <c r="G1772" s="2"/>
      <c r="H1772" s="2"/>
      <c r="I1772" s="5"/>
    </row>
    <row r="1773" spans="1:9" ht="17.399999999999999" x14ac:dyDescent="0.25">
      <c r="A1773" s="16"/>
      <c r="B1773" s="17"/>
      <c r="C1773" s="2"/>
      <c r="D1773" s="2"/>
      <c r="E1773" s="2"/>
      <c r="F1773" s="2"/>
      <c r="G1773" s="2"/>
      <c r="H1773" s="2"/>
      <c r="I1773" s="5"/>
    </row>
    <row r="1774" spans="1:9" ht="17.399999999999999" x14ac:dyDescent="0.25">
      <c r="A1774" s="16"/>
      <c r="B1774" s="17"/>
      <c r="C1774" s="2"/>
      <c r="D1774" s="2"/>
      <c r="E1774" s="2"/>
      <c r="F1774" s="2"/>
      <c r="G1774" s="2"/>
      <c r="H1774" s="2"/>
      <c r="I1774" s="5"/>
    </row>
    <row r="1775" spans="1:9" ht="17.399999999999999" x14ac:dyDescent="0.25">
      <c r="A1775" s="16"/>
      <c r="B1775" s="17"/>
      <c r="C1775" s="2"/>
      <c r="D1775" s="2"/>
      <c r="E1775" s="2"/>
      <c r="F1775" s="2"/>
      <c r="G1775" s="2"/>
      <c r="H1775" s="2"/>
      <c r="I1775" s="5"/>
    </row>
    <row r="1776" spans="1:9" ht="17.399999999999999" x14ac:dyDescent="0.25">
      <c r="A1776" s="16"/>
      <c r="B1776" s="17"/>
      <c r="C1776" s="2"/>
      <c r="D1776" s="2"/>
      <c r="E1776" s="2"/>
      <c r="F1776" s="2"/>
      <c r="G1776" s="2"/>
      <c r="H1776" s="2"/>
      <c r="I1776" s="5"/>
    </row>
    <row r="1777" spans="1:9" ht="17.399999999999999" x14ac:dyDescent="0.25">
      <c r="A1777" s="16"/>
      <c r="B1777" s="17"/>
      <c r="C1777" s="2"/>
      <c r="D1777" s="2"/>
      <c r="E1777" s="2"/>
      <c r="F1777" s="2"/>
      <c r="G1777" s="2"/>
      <c r="H1777" s="2"/>
      <c r="I1777" s="5"/>
    </row>
    <row r="1778" spans="1:9" ht="17.399999999999999" x14ac:dyDescent="0.25">
      <c r="A1778" s="16"/>
      <c r="B1778" s="17"/>
      <c r="C1778" s="2"/>
      <c r="D1778" s="2"/>
      <c r="E1778" s="2"/>
      <c r="F1778" s="2"/>
      <c r="G1778" s="2"/>
      <c r="H1778" s="2"/>
      <c r="I1778" s="5"/>
    </row>
    <row r="1779" spans="1:9" ht="17.399999999999999" x14ac:dyDescent="0.25">
      <c r="A1779" s="16"/>
      <c r="B1779" s="17"/>
      <c r="C1779" s="2"/>
      <c r="D1779" s="2"/>
      <c r="E1779" s="2"/>
      <c r="F1779" s="2"/>
      <c r="G1779" s="2"/>
      <c r="H1779" s="2"/>
      <c r="I1779" s="5"/>
    </row>
    <row r="1780" spans="1:9" ht="17.399999999999999" x14ac:dyDescent="0.25">
      <c r="A1780" s="16"/>
      <c r="B1780" s="17"/>
      <c r="C1780" s="2"/>
      <c r="D1780" s="2"/>
      <c r="E1780" s="2"/>
      <c r="F1780" s="2"/>
      <c r="G1780" s="2"/>
      <c r="H1780" s="2"/>
      <c r="I1780" s="5"/>
    </row>
    <row r="1781" spans="1:9" ht="17.399999999999999" x14ac:dyDescent="0.25">
      <c r="A1781" s="16"/>
      <c r="B1781" s="17"/>
      <c r="C1781" s="2"/>
      <c r="D1781" s="2"/>
      <c r="E1781" s="2"/>
      <c r="F1781" s="2"/>
      <c r="G1781" s="2"/>
      <c r="H1781" s="2"/>
      <c r="I1781" s="5"/>
    </row>
    <row r="1782" spans="1:9" ht="17.399999999999999" x14ac:dyDescent="0.25">
      <c r="A1782" s="16"/>
      <c r="B1782" s="17"/>
      <c r="C1782" s="2"/>
      <c r="D1782" s="2"/>
      <c r="E1782" s="2"/>
      <c r="F1782" s="2"/>
      <c r="G1782" s="2"/>
      <c r="H1782" s="2"/>
      <c r="I1782" s="5"/>
    </row>
    <row r="1783" spans="1:9" ht="17.399999999999999" x14ac:dyDescent="0.25">
      <c r="A1783" s="16"/>
      <c r="B1783" s="17"/>
      <c r="C1783" s="2"/>
      <c r="D1783" s="2"/>
      <c r="E1783" s="2"/>
      <c r="F1783" s="2"/>
      <c r="G1783" s="2"/>
      <c r="H1783" s="2"/>
      <c r="I1783" s="5"/>
    </row>
    <row r="1784" spans="1:9" ht="17.399999999999999" x14ac:dyDescent="0.25">
      <c r="A1784" s="16"/>
      <c r="B1784" s="17"/>
      <c r="C1784" s="2"/>
      <c r="D1784" s="2"/>
      <c r="E1784" s="2"/>
      <c r="F1784" s="2"/>
      <c r="G1784" s="2"/>
      <c r="H1784" s="2"/>
      <c r="I1784" s="5"/>
    </row>
    <row r="1785" spans="1:9" ht="17.399999999999999" x14ac:dyDescent="0.25">
      <c r="A1785" s="16"/>
      <c r="B1785" s="17"/>
      <c r="C1785" s="2"/>
      <c r="D1785" s="2"/>
      <c r="E1785" s="2"/>
      <c r="F1785" s="2"/>
      <c r="G1785" s="2"/>
      <c r="H1785" s="2"/>
      <c r="I1785" s="5"/>
    </row>
    <row r="1786" spans="1:9" ht="17.399999999999999" x14ac:dyDescent="0.25">
      <c r="A1786" s="16"/>
      <c r="B1786" s="17"/>
      <c r="C1786" s="2"/>
      <c r="D1786" s="2"/>
      <c r="E1786" s="2"/>
      <c r="F1786" s="2"/>
      <c r="G1786" s="2"/>
      <c r="H1786" s="2"/>
      <c r="I1786" s="5"/>
    </row>
    <row r="1787" spans="1:9" ht="17.399999999999999" x14ac:dyDescent="0.25">
      <c r="A1787" s="16"/>
      <c r="B1787" s="17"/>
      <c r="C1787" s="2"/>
      <c r="D1787" s="2"/>
      <c r="E1787" s="2"/>
      <c r="F1787" s="2"/>
      <c r="G1787" s="2"/>
      <c r="H1787" s="2"/>
      <c r="I1787" s="5"/>
    </row>
    <row r="1788" spans="1:9" ht="17.399999999999999" x14ac:dyDescent="0.25">
      <c r="A1788" s="16"/>
      <c r="B1788" s="17"/>
      <c r="C1788" s="2"/>
      <c r="D1788" s="2"/>
      <c r="E1788" s="2"/>
      <c r="F1788" s="2"/>
      <c r="G1788" s="2"/>
      <c r="H1788" s="2"/>
      <c r="I1788" s="5"/>
    </row>
    <row r="1789" spans="1:9" ht="17.399999999999999" x14ac:dyDescent="0.25">
      <c r="A1789" s="16"/>
      <c r="B1789" s="17"/>
      <c r="C1789" s="2"/>
      <c r="D1789" s="2"/>
      <c r="E1789" s="2"/>
      <c r="F1789" s="2"/>
      <c r="G1789" s="2"/>
      <c r="H1789" s="2"/>
      <c r="I1789" s="5"/>
    </row>
    <row r="1790" spans="1:9" ht="17.399999999999999" x14ac:dyDescent="0.25">
      <c r="A1790" s="16"/>
      <c r="B1790" s="17"/>
      <c r="C1790" s="2"/>
      <c r="D1790" s="2"/>
      <c r="E1790" s="2"/>
      <c r="F1790" s="2"/>
      <c r="G1790" s="2"/>
      <c r="H1790" s="2"/>
      <c r="I1790" s="5"/>
    </row>
    <row r="1791" spans="1:9" ht="17.399999999999999" x14ac:dyDescent="0.25">
      <c r="A1791" s="16"/>
      <c r="B1791" s="17"/>
      <c r="C1791" s="2"/>
      <c r="D1791" s="2"/>
      <c r="E1791" s="2"/>
      <c r="F1791" s="2"/>
      <c r="G1791" s="2"/>
      <c r="H1791" s="2"/>
      <c r="I1791" s="5"/>
    </row>
    <row r="1792" spans="1:9" ht="17.399999999999999" x14ac:dyDescent="0.25">
      <c r="A1792" s="16"/>
      <c r="B1792" s="17"/>
      <c r="C1792" s="2"/>
      <c r="D1792" s="2"/>
      <c r="E1792" s="2"/>
      <c r="F1792" s="2"/>
      <c r="G1792" s="2"/>
      <c r="H1792" s="2"/>
      <c r="I1792" s="5"/>
    </row>
    <row r="1793" spans="1:9" ht="17.399999999999999" x14ac:dyDescent="0.25">
      <c r="A1793" s="16"/>
      <c r="B1793" s="17"/>
      <c r="C1793" s="2"/>
      <c r="D1793" s="2"/>
      <c r="E1793" s="2"/>
      <c r="F1793" s="2"/>
      <c r="G1793" s="2"/>
      <c r="H1793" s="2"/>
      <c r="I1793" s="5"/>
    </row>
    <row r="1794" spans="1:9" ht="17.399999999999999" x14ac:dyDescent="0.25">
      <c r="A1794" s="16"/>
      <c r="B1794" s="17"/>
      <c r="C1794" s="2"/>
      <c r="D1794" s="2"/>
      <c r="E1794" s="2"/>
      <c r="F1794" s="2"/>
      <c r="G1794" s="2"/>
      <c r="H1794" s="2"/>
      <c r="I1794" s="5"/>
    </row>
    <row r="1795" spans="1:9" ht="17.399999999999999" x14ac:dyDescent="0.25">
      <c r="A1795" s="16"/>
      <c r="B1795" s="17"/>
      <c r="C1795" s="2"/>
      <c r="D1795" s="2"/>
      <c r="E1795" s="2"/>
      <c r="F1795" s="2"/>
      <c r="G1795" s="2"/>
      <c r="H1795" s="2"/>
      <c r="I1795" s="5"/>
    </row>
    <row r="1796" spans="1:9" ht="17.399999999999999" x14ac:dyDescent="0.25">
      <c r="A1796" s="16"/>
      <c r="B1796" s="17"/>
      <c r="C1796" s="2"/>
      <c r="D1796" s="2"/>
      <c r="E1796" s="2"/>
      <c r="F1796" s="2"/>
      <c r="G1796" s="2"/>
      <c r="H1796" s="2"/>
      <c r="I1796" s="5"/>
    </row>
    <row r="1797" spans="1:9" ht="17.399999999999999" x14ac:dyDescent="0.25">
      <c r="A1797" s="16"/>
      <c r="B1797" s="17"/>
      <c r="C1797" s="2"/>
      <c r="D1797" s="2"/>
      <c r="E1797" s="2"/>
      <c r="F1797" s="2"/>
      <c r="G1797" s="2"/>
      <c r="H1797" s="2"/>
      <c r="I1797" s="5"/>
    </row>
    <row r="1798" spans="1:9" ht="17.399999999999999" x14ac:dyDescent="0.25">
      <c r="A1798" s="16"/>
      <c r="B1798" s="17"/>
      <c r="C1798" s="2"/>
      <c r="D1798" s="2"/>
      <c r="E1798" s="2"/>
      <c r="F1798" s="2"/>
      <c r="G1798" s="2"/>
      <c r="H1798" s="2"/>
      <c r="I1798" s="5"/>
    </row>
    <row r="1799" spans="1:9" ht="17.399999999999999" x14ac:dyDescent="0.25">
      <c r="A1799" s="16"/>
      <c r="B1799" s="17"/>
      <c r="C1799" s="2"/>
      <c r="D1799" s="2"/>
      <c r="E1799" s="2"/>
      <c r="F1799" s="2"/>
      <c r="G1799" s="2"/>
      <c r="H1799" s="2"/>
      <c r="I1799" s="5"/>
    </row>
    <row r="1800" spans="1:9" ht="17.399999999999999" x14ac:dyDescent="0.25">
      <c r="A1800" s="16"/>
      <c r="B1800" s="17"/>
      <c r="C1800" s="2"/>
      <c r="D1800" s="2"/>
      <c r="E1800" s="2"/>
      <c r="F1800" s="2"/>
      <c r="G1800" s="2"/>
      <c r="H1800" s="2"/>
      <c r="I1800" s="5"/>
    </row>
    <row r="1801" spans="1:9" ht="17.399999999999999" x14ac:dyDescent="0.25">
      <c r="A1801" s="16"/>
      <c r="B1801" s="17"/>
      <c r="C1801" s="2"/>
      <c r="D1801" s="2"/>
      <c r="E1801" s="2"/>
      <c r="F1801" s="2"/>
      <c r="G1801" s="2"/>
      <c r="H1801" s="2"/>
      <c r="I1801" s="5"/>
    </row>
    <row r="1802" spans="1:9" ht="17.399999999999999" x14ac:dyDescent="0.25">
      <c r="A1802" s="16"/>
      <c r="B1802" s="17"/>
      <c r="C1802" s="2"/>
      <c r="D1802" s="2"/>
      <c r="E1802" s="2"/>
      <c r="F1802" s="2"/>
      <c r="G1802" s="2"/>
      <c r="H1802" s="2"/>
      <c r="I1802" s="5"/>
    </row>
    <row r="1803" spans="1:9" ht="17.399999999999999" x14ac:dyDescent="0.25">
      <c r="A1803" s="16"/>
      <c r="B1803" s="17"/>
      <c r="C1803" s="2"/>
      <c r="D1803" s="2"/>
      <c r="E1803" s="2"/>
      <c r="F1803" s="2"/>
      <c r="G1803" s="2"/>
      <c r="H1803" s="2"/>
      <c r="I1803" s="5"/>
    </row>
    <row r="1804" spans="1:9" ht="17.399999999999999" x14ac:dyDescent="0.25">
      <c r="A1804" s="16"/>
      <c r="B1804" s="17"/>
      <c r="C1804" s="2"/>
      <c r="D1804" s="2"/>
      <c r="E1804" s="2"/>
      <c r="F1804" s="2"/>
      <c r="G1804" s="2"/>
      <c r="H1804" s="2"/>
      <c r="I1804" s="5"/>
    </row>
    <row r="1805" spans="1:9" ht="17.399999999999999" x14ac:dyDescent="0.25">
      <c r="A1805" s="16"/>
      <c r="B1805" s="17"/>
      <c r="C1805" s="2"/>
      <c r="D1805" s="2"/>
      <c r="E1805" s="2"/>
      <c r="F1805" s="2"/>
      <c r="G1805" s="2"/>
      <c r="H1805" s="2"/>
      <c r="I1805" s="5"/>
    </row>
    <row r="1806" spans="1:9" ht="17.399999999999999" x14ac:dyDescent="0.25">
      <c r="A1806" s="16"/>
      <c r="B1806" s="17"/>
      <c r="C1806" s="2"/>
      <c r="D1806" s="2"/>
      <c r="E1806" s="2"/>
      <c r="F1806" s="2"/>
      <c r="G1806" s="2"/>
      <c r="H1806" s="2"/>
      <c r="I1806" s="5"/>
    </row>
    <row r="1807" spans="1:9" ht="17.399999999999999" x14ac:dyDescent="0.25">
      <c r="A1807" s="16"/>
      <c r="B1807" s="17"/>
      <c r="C1807" s="2"/>
      <c r="D1807" s="2"/>
      <c r="E1807" s="2"/>
      <c r="F1807" s="2"/>
      <c r="G1807" s="2"/>
      <c r="H1807" s="2"/>
      <c r="I1807" s="5"/>
    </row>
    <row r="1808" spans="1:9" ht="17.399999999999999" x14ac:dyDescent="0.25">
      <c r="A1808" s="16"/>
      <c r="B1808" s="17"/>
      <c r="C1808" s="2"/>
      <c r="D1808" s="2"/>
      <c r="E1808" s="2"/>
      <c r="F1808" s="2"/>
      <c r="G1808" s="2"/>
      <c r="H1808" s="2"/>
      <c r="I1808" s="5"/>
    </row>
    <row r="1809" spans="1:9" ht="17.399999999999999" x14ac:dyDescent="0.25">
      <c r="A1809" s="16"/>
      <c r="B1809" s="17"/>
      <c r="C1809" s="2"/>
      <c r="D1809" s="2"/>
      <c r="E1809" s="2"/>
      <c r="F1809" s="2"/>
      <c r="G1809" s="2"/>
      <c r="H1809" s="2"/>
      <c r="I1809" s="5"/>
    </row>
    <row r="1810" spans="1:9" ht="17.399999999999999" x14ac:dyDescent="0.25">
      <c r="A1810" s="16"/>
      <c r="B1810" s="17"/>
      <c r="C1810" s="2"/>
      <c r="D1810" s="2"/>
      <c r="E1810" s="2"/>
      <c r="F1810" s="2"/>
      <c r="G1810" s="2"/>
      <c r="H1810" s="2"/>
      <c r="I1810" s="5"/>
    </row>
    <row r="1811" spans="1:9" ht="17.399999999999999" x14ac:dyDescent="0.25">
      <c r="A1811" s="16"/>
      <c r="B1811" s="17"/>
      <c r="C1811" s="2"/>
      <c r="D1811" s="2"/>
      <c r="E1811" s="2"/>
      <c r="F1811" s="2"/>
      <c r="G1811" s="2"/>
      <c r="H1811" s="2"/>
      <c r="I1811" s="5"/>
    </row>
    <row r="1812" spans="1:9" ht="17.399999999999999" x14ac:dyDescent="0.25">
      <c r="A1812" s="16"/>
      <c r="B1812" s="17"/>
      <c r="C1812" s="2"/>
      <c r="D1812" s="2"/>
      <c r="E1812" s="2"/>
      <c r="F1812" s="2"/>
      <c r="G1812" s="2"/>
      <c r="H1812" s="2"/>
      <c r="I1812" s="5"/>
    </row>
    <row r="1813" spans="1:9" ht="17.399999999999999" x14ac:dyDescent="0.25">
      <c r="A1813" s="16"/>
      <c r="B1813" s="17"/>
      <c r="C1813" s="2"/>
      <c r="D1813" s="2"/>
      <c r="E1813" s="2"/>
      <c r="F1813" s="2"/>
      <c r="G1813" s="2"/>
      <c r="H1813" s="2"/>
      <c r="I1813" s="5"/>
    </row>
    <row r="1814" spans="1:9" ht="17.399999999999999" x14ac:dyDescent="0.25">
      <c r="A1814" s="16"/>
      <c r="B1814" s="17"/>
      <c r="C1814" s="2"/>
      <c r="D1814" s="2"/>
      <c r="E1814" s="2"/>
      <c r="F1814" s="2"/>
      <c r="G1814" s="2"/>
      <c r="H1814" s="2"/>
      <c r="I1814" s="5"/>
    </row>
    <row r="1815" spans="1:9" ht="17.399999999999999" x14ac:dyDescent="0.25">
      <c r="A1815" s="16"/>
      <c r="B1815" s="17"/>
      <c r="C1815" s="2"/>
      <c r="D1815" s="2"/>
      <c r="E1815" s="2"/>
      <c r="F1815" s="2"/>
      <c r="G1815" s="2"/>
      <c r="H1815" s="2"/>
      <c r="I1815" s="5"/>
    </row>
    <row r="1816" spans="1:9" ht="17.399999999999999" x14ac:dyDescent="0.25">
      <c r="A1816" s="16"/>
      <c r="B1816" s="17"/>
      <c r="C1816" s="2"/>
      <c r="D1816" s="2"/>
      <c r="E1816" s="2"/>
      <c r="F1816" s="2"/>
      <c r="G1816" s="2"/>
      <c r="H1816" s="2"/>
      <c r="I1816" s="5"/>
    </row>
    <row r="1817" spans="1:9" ht="17.399999999999999" x14ac:dyDescent="0.25">
      <c r="A1817" s="16"/>
      <c r="B1817" s="17"/>
      <c r="C1817" s="2"/>
      <c r="D1817" s="2"/>
      <c r="E1817" s="2"/>
      <c r="F1817" s="2"/>
      <c r="G1817" s="2"/>
      <c r="H1817" s="2"/>
      <c r="I1817" s="5"/>
    </row>
    <row r="1818" spans="1:9" ht="17.399999999999999" x14ac:dyDescent="0.25">
      <c r="A1818" s="16"/>
      <c r="B1818" s="17"/>
      <c r="C1818" s="2"/>
      <c r="D1818" s="2"/>
      <c r="E1818" s="2"/>
      <c r="F1818" s="2"/>
      <c r="G1818" s="2"/>
      <c r="H1818" s="2"/>
      <c r="I1818" s="5"/>
    </row>
    <row r="1819" spans="1:9" ht="17.399999999999999" x14ac:dyDescent="0.25">
      <c r="A1819" s="16"/>
      <c r="B1819" s="17"/>
      <c r="C1819" s="2"/>
      <c r="D1819" s="2"/>
      <c r="E1819" s="2"/>
      <c r="F1819" s="2"/>
      <c r="G1819" s="2"/>
      <c r="H1819" s="2"/>
      <c r="I1819" s="5"/>
    </row>
    <row r="1820" spans="1:9" ht="17.399999999999999" x14ac:dyDescent="0.25">
      <c r="A1820" s="16"/>
      <c r="B1820" s="17"/>
      <c r="C1820" s="2"/>
      <c r="D1820" s="2"/>
      <c r="E1820" s="2"/>
      <c r="F1820" s="2"/>
      <c r="G1820" s="2"/>
      <c r="H1820" s="2"/>
      <c r="I1820" s="5"/>
    </row>
    <row r="1821" spans="1:9" ht="17.399999999999999" x14ac:dyDescent="0.25">
      <c r="A1821" s="16"/>
      <c r="B1821" s="17"/>
      <c r="C1821" s="2"/>
      <c r="D1821" s="2"/>
      <c r="E1821" s="2"/>
      <c r="F1821" s="2"/>
      <c r="G1821" s="2"/>
      <c r="H1821" s="2"/>
      <c r="I1821" s="5"/>
    </row>
    <row r="1822" spans="1:9" ht="17.399999999999999" x14ac:dyDescent="0.25">
      <c r="A1822" s="16"/>
      <c r="B1822" s="17"/>
      <c r="C1822" s="2"/>
      <c r="D1822" s="2"/>
      <c r="E1822" s="2"/>
      <c r="F1822" s="2"/>
      <c r="G1822" s="2"/>
      <c r="H1822" s="2"/>
      <c r="I1822" s="5"/>
    </row>
    <row r="1823" spans="1:9" ht="17.399999999999999" x14ac:dyDescent="0.25">
      <c r="A1823" s="16"/>
      <c r="B1823" s="17"/>
      <c r="C1823" s="2"/>
      <c r="D1823" s="2"/>
      <c r="E1823" s="2"/>
      <c r="F1823" s="2"/>
      <c r="G1823" s="2"/>
      <c r="H1823" s="2"/>
      <c r="I1823" s="5"/>
    </row>
    <row r="1824" spans="1:9" ht="17.399999999999999" x14ac:dyDescent="0.25">
      <c r="A1824" s="16"/>
      <c r="B1824" s="17"/>
      <c r="C1824" s="2"/>
      <c r="D1824" s="2"/>
      <c r="E1824" s="2"/>
      <c r="F1824" s="2"/>
      <c r="G1824" s="2"/>
      <c r="H1824" s="2"/>
      <c r="I1824" s="5"/>
    </row>
    <row r="1825" spans="1:9" ht="17.399999999999999" x14ac:dyDescent="0.25">
      <c r="A1825" s="16"/>
      <c r="B1825" s="17"/>
      <c r="C1825" s="2"/>
      <c r="D1825" s="2"/>
      <c r="E1825" s="2"/>
      <c r="F1825" s="2"/>
      <c r="G1825" s="2"/>
      <c r="H1825" s="2"/>
      <c r="I1825" s="5"/>
    </row>
    <row r="1826" spans="1:9" ht="17.399999999999999" x14ac:dyDescent="0.25">
      <c r="A1826" s="16"/>
      <c r="B1826" s="17"/>
      <c r="C1826" s="2"/>
      <c r="D1826" s="2"/>
      <c r="E1826" s="2"/>
      <c r="F1826" s="2"/>
      <c r="G1826" s="2"/>
      <c r="H1826" s="2"/>
      <c r="I1826" s="5"/>
    </row>
    <row r="1827" spans="1:9" ht="17.399999999999999" x14ac:dyDescent="0.25">
      <c r="A1827" s="16"/>
      <c r="B1827" s="17"/>
      <c r="C1827" s="2"/>
      <c r="D1827" s="2"/>
      <c r="E1827" s="2"/>
      <c r="F1827" s="2"/>
      <c r="G1827" s="2"/>
      <c r="H1827" s="2"/>
      <c r="I1827" s="5"/>
    </row>
    <row r="1828" spans="1:9" ht="17.399999999999999" x14ac:dyDescent="0.25">
      <c r="A1828" s="16"/>
      <c r="B1828" s="17"/>
      <c r="C1828" s="2"/>
      <c r="D1828" s="2"/>
      <c r="E1828" s="2"/>
      <c r="F1828" s="2"/>
      <c r="G1828" s="2"/>
      <c r="H1828" s="2"/>
      <c r="I1828" s="5"/>
    </row>
    <row r="1829" spans="1:9" ht="17.399999999999999" x14ac:dyDescent="0.25">
      <c r="A1829" s="16"/>
      <c r="B1829" s="17"/>
      <c r="C1829" s="2"/>
      <c r="D1829" s="2"/>
      <c r="E1829" s="2"/>
      <c r="F1829" s="2"/>
      <c r="G1829" s="2"/>
      <c r="H1829" s="2"/>
      <c r="I1829" s="5"/>
    </row>
    <row r="1830" spans="1:9" ht="17.399999999999999" x14ac:dyDescent="0.25">
      <c r="A1830" s="16"/>
      <c r="B1830" s="17"/>
      <c r="C1830" s="2"/>
      <c r="D1830" s="2"/>
      <c r="E1830" s="2"/>
      <c r="F1830" s="2"/>
      <c r="G1830" s="2"/>
      <c r="H1830" s="2"/>
      <c r="I1830" s="5"/>
    </row>
    <row r="1831" spans="1:9" ht="17.399999999999999" x14ac:dyDescent="0.25">
      <c r="A1831" s="16"/>
      <c r="B1831" s="17"/>
      <c r="C1831" s="2"/>
      <c r="D1831" s="2"/>
      <c r="E1831" s="2"/>
      <c r="F1831" s="2"/>
      <c r="G1831" s="2"/>
      <c r="H1831" s="2"/>
      <c r="I1831" s="5"/>
    </row>
    <row r="1832" spans="1:9" ht="17.399999999999999" x14ac:dyDescent="0.25">
      <c r="A1832" s="16"/>
      <c r="B1832" s="17"/>
      <c r="C1832" s="2"/>
      <c r="D1832" s="2"/>
      <c r="E1832" s="2"/>
      <c r="F1832" s="2"/>
      <c r="G1832" s="2"/>
      <c r="H1832" s="2"/>
      <c r="I1832" s="5"/>
    </row>
    <row r="1833" spans="1:9" ht="17.399999999999999" x14ac:dyDescent="0.25">
      <c r="A1833" s="16"/>
      <c r="B1833" s="17"/>
      <c r="C1833" s="2"/>
      <c r="D1833" s="2"/>
      <c r="E1833" s="2"/>
      <c r="F1833" s="2"/>
      <c r="G1833" s="2"/>
      <c r="H1833" s="2"/>
      <c r="I1833" s="5"/>
    </row>
    <row r="1834" spans="1:9" ht="17.399999999999999" x14ac:dyDescent="0.25">
      <c r="A1834" s="16"/>
      <c r="B1834" s="17"/>
      <c r="C1834" s="2"/>
      <c r="D1834" s="2"/>
      <c r="E1834" s="2"/>
      <c r="F1834" s="2"/>
      <c r="G1834" s="2"/>
      <c r="H1834" s="2"/>
      <c r="I1834" s="5"/>
    </row>
    <row r="1835" spans="1:9" ht="17.399999999999999" x14ac:dyDescent="0.25">
      <c r="A1835" s="16"/>
      <c r="B1835" s="17"/>
      <c r="C1835" s="2"/>
      <c r="D1835" s="2"/>
      <c r="E1835" s="2"/>
      <c r="F1835" s="2"/>
      <c r="G1835" s="2"/>
      <c r="H1835" s="2"/>
      <c r="I1835" s="5"/>
    </row>
    <row r="1836" spans="1:9" ht="17.399999999999999" x14ac:dyDescent="0.25">
      <c r="A1836" s="16"/>
      <c r="B1836" s="17"/>
      <c r="C1836" s="2"/>
      <c r="D1836" s="2"/>
      <c r="E1836" s="2"/>
      <c r="F1836" s="2"/>
      <c r="G1836" s="2"/>
      <c r="H1836" s="2"/>
      <c r="I1836" s="5"/>
    </row>
    <row r="1837" spans="1:9" ht="17.399999999999999" x14ac:dyDescent="0.25">
      <c r="A1837" s="16"/>
      <c r="B1837" s="17"/>
      <c r="C1837" s="2"/>
      <c r="D1837" s="2"/>
      <c r="E1837" s="2"/>
      <c r="F1837" s="2"/>
      <c r="G1837" s="2"/>
      <c r="H1837" s="2"/>
      <c r="I1837" s="5"/>
    </row>
    <row r="1838" spans="1:9" ht="17.399999999999999" x14ac:dyDescent="0.25">
      <c r="A1838" s="16"/>
      <c r="B1838" s="17"/>
      <c r="C1838" s="2"/>
      <c r="D1838" s="2"/>
      <c r="E1838" s="2"/>
      <c r="F1838" s="2"/>
      <c r="G1838" s="2"/>
      <c r="H1838" s="2"/>
      <c r="I1838" s="5"/>
    </row>
    <row r="1839" spans="1:9" ht="17.399999999999999" x14ac:dyDescent="0.25">
      <c r="A1839" s="16"/>
      <c r="B1839" s="17"/>
      <c r="C1839" s="2"/>
      <c r="D1839" s="2"/>
      <c r="E1839" s="2"/>
      <c r="F1839" s="2"/>
      <c r="G1839" s="2"/>
      <c r="H1839" s="2"/>
      <c r="I1839" s="5"/>
    </row>
    <row r="1840" spans="1:9" ht="17.399999999999999" x14ac:dyDescent="0.25">
      <c r="A1840" s="16"/>
      <c r="B1840" s="17"/>
      <c r="C1840" s="2"/>
      <c r="D1840" s="2"/>
      <c r="E1840" s="2"/>
      <c r="F1840" s="2"/>
      <c r="G1840" s="2"/>
      <c r="H1840" s="2"/>
      <c r="I1840" s="5"/>
    </row>
    <row r="1841" spans="1:9" ht="17.399999999999999" x14ac:dyDescent="0.25">
      <c r="A1841" s="16"/>
      <c r="B1841" s="17"/>
      <c r="C1841" s="2"/>
      <c r="D1841" s="2"/>
      <c r="E1841" s="2"/>
      <c r="F1841" s="2"/>
      <c r="G1841" s="2"/>
      <c r="H1841" s="2"/>
      <c r="I1841" s="5"/>
    </row>
    <row r="1842" spans="1:9" ht="17.399999999999999" x14ac:dyDescent="0.25">
      <c r="A1842" s="16"/>
      <c r="B1842" s="17"/>
      <c r="C1842" s="2"/>
      <c r="D1842" s="2"/>
      <c r="E1842" s="2"/>
      <c r="F1842" s="2"/>
      <c r="G1842" s="2"/>
      <c r="H1842" s="2"/>
      <c r="I1842" s="5"/>
    </row>
    <row r="1843" spans="1:9" ht="17.399999999999999" x14ac:dyDescent="0.25">
      <c r="A1843" s="16"/>
      <c r="B1843" s="17"/>
      <c r="C1843" s="2"/>
      <c r="D1843" s="2"/>
      <c r="E1843" s="2"/>
      <c r="F1843" s="2"/>
      <c r="G1843" s="2"/>
      <c r="H1843" s="2"/>
      <c r="I1843" s="5"/>
    </row>
    <row r="1844" spans="1:9" ht="17.399999999999999" x14ac:dyDescent="0.25">
      <c r="A1844" s="16"/>
      <c r="B1844" s="17"/>
      <c r="C1844" s="2"/>
      <c r="D1844" s="2"/>
      <c r="E1844" s="2"/>
      <c r="F1844" s="2"/>
      <c r="G1844" s="2"/>
      <c r="H1844" s="2"/>
      <c r="I1844" s="5"/>
    </row>
    <row r="1845" spans="1:9" ht="17.399999999999999" x14ac:dyDescent="0.25">
      <c r="A1845" s="16"/>
      <c r="B1845" s="17"/>
      <c r="C1845" s="2"/>
      <c r="D1845" s="2"/>
      <c r="E1845" s="2"/>
      <c r="F1845" s="2"/>
      <c r="G1845" s="2"/>
      <c r="H1845" s="2"/>
      <c r="I1845" s="5"/>
    </row>
    <row r="1846" spans="1:9" ht="17.399999999999999" x14ac:dyDescent="0.25">
      <c r="A1846" s="16"/>
      <c r="B1846" s="17"/>
      <c r="C1846" s="2"/>
      <c r="D1846" s="2"/>
      <c r="E1846" s="2"/>
      <c r="F1846" s="2"/>
      <c r="G1846" s="2"/>
      <c r="H1846" s="2"/>
      <c r="I1846" s="5"/>
    </row>
    <row r="1847" spans="1:9" ht="17.399999999999999" x14ac:dyDescent="0.25">
      <c r="A1847" s="16"/>
      <c r="B1847" s="17"/>
      <c r="C1847" s="2"/>
      <c r="D1847" s="2"/>
      <c r="E1847" s="2"/>
      <c r="F1847" s="2"/>
      <c r="G1847" s="2"/>
      <c r="H1847" s="2"/>
      <c r="I1847" s="5"/>
    </row>
    <row r="1848" spans="1:9" ht="17.399999999999999" x14ac:dyDescent="0.25">
      <c r="A1848" s="16"/>
      <c r="B1848" s="17"/>
      <c r="C1848" s="2"/>
      <c r="D1848" s="2"/>
      <c r="E1848" s="2"/>
      <c r="F1848" s="2"/>
      <c r="G1848" s="2"/>
      <c r="H1848" s="2"/>
      <c r="I1848" s="5"/>
    </row>
    <row r="1849" spans="1:9" ht="17.399999999999999" x14ac:dyDescent="0.25">
      <c r="A1849" s="16"/>
      <c r="B1849" s="17"/>
      <c r="C1849" s="2"/>
      <c r="D1849" s="2"/>
      <c r="E1849" s="2"/>
      <c r="F1849" s="2"/>
      <c r="G1849" s="2"/>
      <c r="H1849" s="2"/>
      <c r="I1849" s="5"/>
    </row>
    <row r="1850" spans="1:9" ht="17.399999999999999" x14ac:dyDescent="0.25">
      <c r="A1850" s="16"/>
      <c r="B1850" s="17"/>
      <c r="C1850" s="2"/>
      <c r="D1850" s="2"/>
      <c r="E1850" s="2"/>
      <c r="F1850" s="2"/>
      <c r="G1850" s="2"/>
      <c r="H1850" s="2"/>
      <c r="I1850" s="5"/>
    </row>
    <row r="1851" spans="1:9" ht="17.399999999999999" x14ac:dyDescent="0.25">
      <c r="A1851" s="16"/>
      <c r="B1851" s="17"/>
      <c r="C1851" s="2"/>
      <c r="D1851" s="2"/>
      <c r="E1851" s="2"/>
      <c r="F1851" s="2"/>
      <c r="G1851" s="2"/>
      <c r="H1851" s="2"/>
      <c r="I1851" s="5"/>
    </row>
    <row r="1852" spans="1:9" ht="17.399999999999999" x14ac:dyDescent="0.25">
      <c r="A1852" s="16"/>
      <c r="B1852" s="17"/>
      <c r="C1852" s="2"/>
      <c r="D1852" s="2"/>
      <c r="E1852" s="2"/>
      <c r="F1852" s="2"/>
      <c r="G1852" s="2"/>
      <c r="H1852" s="2"/>
      <c r="I1852" s="5"/>
    </row>
    <row r="1853" spans="1:9" ht="17.399999999999999" x14ac:dyDescent="0.25">
      <c r="A1853" s="16"/>
      <c r="B1853" s="17"/>
      <c r="C1853" s="2"/>
      <c r="D1853" s="2"/>
      <c r="E1853" s="2"/>
      <c r="F1853" s="2"/>
      <c r="G1853" s="2"/>
      <c r="H1853" s="2"/>
      <c r="I1853" s="5"/>
    </row>
    <row r="1854" spans="1:9" ht="17.399999999999999" x14ac:dyDescent="0.25">
      <c r="A1854" s="16"/>
      <c r="B1854" s="17"/>
      <c r="C1854" s="2"/>
      <c r="D1854" s="2"/>
      <c r="E1854" s="2"/>
      <c r="F1854" s="2"/>
      <c r="G1854" s="2"/>
      <c r="H1854" s="2"/>
      <c r="I1854" s="5"/>
    </row>
    <row r="1855" spans="1:9" ht="17.399999999999999" x14ac:dyDescent="0.25">
      <c r="A1855" s="16"/>
      <c r="B1855" s="17"/>
      <c r="C1855" s="2"/>
      <c r="D1855" s="2"/>
      <c r="E1855" s="2"/>
      <c r="F1855" s="2"/>
      <c r="G1855" s="2"/>
      <c r="H1855" s="2"/>
      <c r="I1855" s="5"/>
    </row>
    <row r="1856" spans="1:9" ht="17.399999999999999" x14ac:dyDescent="0.25">
      <c r="A1856" s="16"/>
      <c r="B1856" s="17"/>
      <c r="C1856" s="2"/>
      <c r="D1856" s="2"/>
      <c r="E1856" s="2"/>
      <c r="F1856" s="2"/>
      <c r="G1856" s="2"/>
      <c r="H1856" s="2"/>
      <c r="I1856" s="5"/>
    </row>
    <row r="1857" spans="1:9" ht="17.399999999999999" x14ac:dyDescent="0.25">
      <c r="A1857" s="16"/>
      <c r="B1857" s="17"/>
      <c r="C1857" s="2"/>
      <c r="D1857" s="2"/>
      <c r="E1857" s="2"/>
      <c r="F1857" s="2"/>
      <c r="G1857" s="2"/>
      <c r="H1857" s="2"/>
      <c r="I1857" s="5"/>
    </row>
    <row r="1858" spans="1:9" ht="17.399999999999999" x14ac:dyDescent="0.25">
      <c r="A1858" s="16"/>
      <c r="B1858" s="17"/>
      <c r="C1858" s="2"/>
      <c r="D1858" s="2"/>
      <c r="E1858" s="2"/>
      <c r="F1858" s="2"/>
      <c r="G1858" s="2"/>
      <c r="H1858" s="2"/>
      <c r="I1858" s="5"/>
    </row>
    <row r="1859" spans="1:9" ht="17.399999999999999" x14ac:dyDescent="0.25">
      <c r="A1859" s="16"/>
      <c r="B1859" s="17"/>
      <c r="C1859" s="2"/>
      <c r="D1859" s="2"/>
      <c r="E1859" s="2"/>
      <c r="F1859" s="2"/>
      <c r="G1859" s="2"/>
      <c r="H1859" s="2"/>
      <c r="I1859" s="5"/>
    </row>
    <row r="1860" spans="1:9" ht="17.399999999999999" x14ac:dyDescent="0.25">
      <c r="A1860" s="16"/>
      <c r="B1860" s="17"/>
      <c r="C1860" s="2"/>
      <c r="D1860" s="2"/>
      <c r="E1860" s="2"/>
      <c r="F1860" s="2"/>
      <c r="G1860" s="2"/>
      <c r="H1860" s="2"/>
      <c r="I1860" s="5"/>
    </row>
    <row r="1861" spans="1:9" ht="17.399999999999999" x14ac:dyDescent="0.25">
      <c r="A1861" s="16"/>
      <c r="B1861" s="17"/>
      <c r="C1861" s="2"/>
      <c r="D1861" s="2"/>
      <c r="E1861" s="2"/>
      <c r="F1861" s="2"/>
      <c r="G1861" s="2"/>
      <c r="H1861" s="2"/>
      <c r="I1861" s="5"/>
    </row>
    <row r="1862" spans="1:9" ht="17.399999999999999" x14ac:dyDescent="0.25">
      <c r="A1862" s="16"/>
      <c r="B1862" s="17"/>
      <c r="C1862" s="2"/>
      <c r="D1862" s="2"/>
      <c r="E1862" s="2"/>
      <c r="F1862" s="2"/>
      <c r="G1862" s="2"/>
      <c r="H1862" s="2"/>
      <c r="I1862" s="5"/>
    </row>
    <row r="1863" spans="1:9" ht="17.399999999999999" x14ac:dyDescent="0.25">
      <c r="A1863" s="16"/>
      <c r="B1863" s="17"/>
      <c r="C1863" s="2"/>
      <c r="D1863" s="2"/>
      <c r="E1863" s="2"/>
      <c r="F1863" s="2"/>
      <c r="G1863" s="2"/>
      <c r="H1863" s="2"/>
      <c r="I1863" s="5"/>
    </row>
    <row r="1864" spans="1:9" ht="17.399999999999999" x14ac:dyDescent="0.25">
      <c r="A1864" s="16"/>
      <c r="B1864" s="17"/>
      <c r="C1864" s="2"/>
      <c r="D1864" s="2"/>
      <c r="E1864" s="2"/>
      <c r="F1864" s="2"/>
      <c r="G1864" s="2"/>
      <c r="H1864" s="2"/>
      <c r="I1864" s="5"/>
    </row>
    <row r="1865" spans="1:9" ht="17.399999999999999" x14ac:dyDescent="0.25">
      <c r="A1865" s="16"/>
      <c r="B1865" s="17"/>
      <c r="C1865" s="2"/>
      <c r="D1865" s="2"/>
      <c r="E1865" s="2"/>
      <c r="F1865" s="2"/>
      <c r="G1865" s="2"/>
      <c r="H1865" s="2"/>
      <c r="I1865" s="5"/>
    </row>
    <row r="1866" spans="1:9" ht="17.399999999999999" x14ac:dyDescent="0.25">
      <c r="A1866" s="16"/>
      <c r="B1866" s="17"/>
      <c r="C1866" s="2"/>
      <c r="D1866" s="2"/>
      <c r="E1866" s="2"/>
      <c r="F1866" s="2"/>
      <c r="G1866" s="2"/>
      <c r="H1866" s="2"/>
      <c r="I1866" s="5"/>
    </row>
    <row r="1867" spans="1:9" ht="17.399999999999999" x14ac:dyDescent="0.25">
      <c r="A1867" s="16"/>
      <c r="B1867" s="17"/>
      <c r="C1867" s="2"/>
      <c r="D1867" s="2"/>
      <c r="E1867" s="2"/>
      <c r="F1867" s="2"/>
      <c r="G1867" s="2"/>
      <c r="H1867" s="2"/>
      <c r="I1867" s="5"/>
    </row>
    <row r="1868" spans="1:9" ht="17.399999999999999" x14ac:dyDescent="0.25">
      <c r="A1868" s="16"/>
      <c r="B1868" s="17"/>
      <c r="C1868" s="2"/>
      <c r="D1868" s="2"/>
      <c r="E1868" s="2"/>
      <c r="F1868" s="2"/>
      <c r="G1868" s="2"/>
      <c r="H1868" s="2"/>
      <c r="I1868" s="5"/>
    </row>
    <row r="1869" spans="1:9" ht="17.399999999999999" x14ac:dyDescent="0.25">
      <c r="A1869" s="16"/>
      <c r="B1869" s="17"/>
      <c r="C1869" s="2"/>
      <c r="D1869" s="2"/>
      <c r="E1869" s="2"/>
      <c r="F1869" s="2"/>
      <c r="G1869" s="2"/>
      <c r="H1869" s="2"/>
      <c r="I1869" s="5"/>
    </row>
    <row r="1870" spans="1:9" ht="17.399999999999999" x14ac:dyDescent="0.25">
      <c r="A1870" s="16"/>
      <c r="B1870" s="17"/>
      <c r="C1870" s="2"/>
      <c r="D1870" s="2"/>
      <c r="E1870" s="2"/>
      <c r="F1870" s="2"/>
      <c r="G1870" s="2"/>
      <c r="H1870" s="2"/>
      <c r="I1870" s="5"/>
    </row>
    <row r="1871" spans="1:9" ht="17.399999999999999" x14ac:dyDescent="0.25">
      <c r="A1871" s="16"/>
      <c r="B1871" s="17"/>
      <c r="C1871" s="2"/>
      <c r="D1871" s="2"/>
      <c r="E1871" s="2"/>
      <c r="F1871" s="2"/>
      <c r="G1871" s="2"/>
      <c r="H1871" s="2"/>
      <c r="I1871" s="5"/>
    </row>
    <row r="1872" spans="1:9" ht="17.399999999999999" x14ac:dyDescent="0.25">
      <c r="A1872" s="16"/>
      <c r="B1872" s="17"/>
      <c r="C1872" s="2"/>
      <c r="D1872" s="2"/>
      <c r="E1872" s="2"/>
      <c r="F1872" s="2"/>
      <c r="G1872" s="2"/>
      <c r="H1872" s="2"/>
      <c r="I1872" s="5"/>
    </row>
    <row r="1873" spans="1:9" ht="17.399999999999999" x14ac:dyDescent="0.25">
      <c r="A1873" s="16"/>
      <c r="B1873" s="17"/>
      <c r="C1873" s="2"/>
      <c r="D1873" s="2"/>
      <c r="E1873" s="2"/>
      <c r="F1873" s="2"/>
      <c r="G1873" s="2"/>
      <c r="H1873" s="2"/>
      <c r="I1873" s="5"/>
    </row>
    <row r="1874" spans="1:9" ht="17.399999999999999" x14ac:dyDescent="0.25">
      <c r="A1874" s="16"/>
      <c r="B1874" s="17"/>
      <c r="C1874" s="2"/>
      <c r="D1874" s="2"/>
      <c r="E1874" s="2"/>
      <c r="F1874" s="2"/>
      <c r="G1874" s="2"/>
      <c r="H1874" s="2"/>
      <c r="I1874" s="5"/>
    </row>
    <row r="1875" spans="1:9" ht="17.399999999999999" x14ac:dyDescent="0.25">
      <c r="A1875" s="16"/>
      <c r="B1875" s="17"/>
      <c r="C1875" s="2"/>
      <c r="D1875" s="2"/>
      <c r="E1875" s="2"/>
      <c r="F1875" s="2"/>
      <c r="G1875" s="2"/>
      <c r="H1875" s="2"/>
      <c r="I1875" s="5"/>
    </row>
    <row r="1876" spans="1:9" ht="17.399999999999999" x14ac:dyDescent="0.25">
      <c r="A1876" s="16"/>
      <c r="B1876" s="17"/>
      <c r="C1876" s="2"/>
      <c r="D1876" s="2"/>
      <c r="E1876" s="2"/>
      <c r="F1876" s="2"/>
      <c r="G1876" s="2"/>
      <c r="H1876" s="2"/>
      <c r="I1876" s="5"/>
    </row>
    <row r="1877" spans="1:9" ht="17.399999999999999" x14ac:dyDescent="0.25">
      <c r="A1877" s="16"/>
      <c r="B1877" s="17"/>
      <c r="C1877" s="2"/>
      <c r="D1877" s="2"/>
      <c r="E1877" s="2"/>
      <c r="F1877" s="2"/>
      <c r="G1877" s="2"/>
      <c r="H1877" s="2"/>
      <c r="I1877" s="5"/>
    </row>
    <row r="1878" spans="1:9" ht="17.399999999999999" x14ac:dyDescent="0.25">
      <c r="A1878" s="16"/>
      <c r="B1878" s="17"/>
      <c r="C1878" s="2"/>
      <c r="D1878" s="2"/>
      <c r="E1878" s="2"/>
      <c r="F1878" s="2"/>
      <c r="G1878" s="2"/>
      <c r="H1878" s="2"/>
      <c r="I1878" s="5"/>
    </row>
    <row r="1879" spans="1:9" ht="17.399999999999999" x14ac:dyDescent="0.25">
      <c r="A1879" s="16"/>
      <c r="B1879" s="17"/>
      <c r="C1879" s="2"/>
      <c r="D1879" s="2"/>
      <c r="E1879" s="2"/>
      <c r="F1879" s="2"/>
      <c r="G1879" s="2"/>
      <c r="H1879" s="2"/>
      <c r="I1879" s="5"/>
    </row>
    <row r="1880" spans="1:9" ht="17.399999999999999" x14ac:dyDescent="0.25">
      <c r="A1880" s="16"/>
      <c r="B1880" s="17"/>
      <c r="C1880" s="2"/>
      <c r="D1880" s="2"/>
      <c r="E1880" s="2"/>
      <c r="F1880" s="2"/>
      <c r="G1880" s="2"/>
      <c r="H1880" s="2"/>
      <c r="I1880" s="5"/>
    </row>
    <row r="1881" spans="1:9" ht="17.399999999999999" x14ac:dyDescent="0.25">
      <c r="A1881" s="16"/>
      <c r="B1881" s="17"/>
      <c r="C1881" s="2"/>
      <c r="D1881" s="2"/>
      <c r="E1881" s="2"/>
      <c r="F1881" s="2"/>
      <c r="G1881" s="2"/>
      <c r="H1881" s="2"/>
      <c r="I1881" s="5"/>
    </row>
    <row r="1882" spans="1:9" ht="17.399999999999999" x14ac:dyDescent="0.25">
      <c r="A1882" s="16"/>
      <c r="B1882" s="17"/>
      <c r="C1882" s="2"/>
      <c r="D1882" s="2"/>
      <c r="E1882" s="2"/>
      <c r="F1882" s="2"/>
      <c r="G1882" s="2"/>
      <c r="H1882" s="2"/>
      <c r="I1882" s="5"/>
    </row>
    <row r="1883" spans="1:9" ht="17.399999999999999" x14ac:dyDescent="0.25">
      <c r="A1883" s="16"/>
      <c r="B1883" s="17"/>
      <c r="C1883" s="2"/>
      <c r="D1883" s="2"/>
      <c r="E1883" s="2"/>
      <c r="F1883" s="2"/>
      <c r="G1883" s="2"/>
      <c r="H1883" s="2"/>
      <c r="I1883" s="5"/>
    </row>
    <row r="1884" spans="1:9" ht="17.399999999999999" x14ac:dyDescent="0.25">
      <c r="A1884" s="16"/>
      <c r="B1884" s="17"/>
      <c r="C1884" s="2"/>
      <c r="D1884" s="2"/>
      <c r="E1884" s="2"/>
      <c r="F1884" s="2"/>
      <c r="G1884" s="2"/>
      <c r="H1884" s="2"/>
      <c r="I1884" s="5"/>
    </row>
    <row r="1885" spans="1:9" ht="17.399999999999999" x14ac:dyDescent="0.25">
      <c r="A1885" s="16"/>
      <c r="B1885" s="17"/>
      <c r="C1885" s="2"/>
      <c r="D1885" s="2"/>
      <c r="E1885" s="2"/>
      <c r="F1885" s="2"/>
      <c r="G1885" s="2"/>
      <c r="H1885" s="2"/>
      <c r="I1885" s="5"/>
    </row>
    <row r="1886" spans="1:9" ht="17.399999999999999" x14ac:dyDescent="0.25">
      <c r="A1886" s="16"/>
      <c r="B1886" s="17"/>
      <c r="C1886" s="2"/>
      <c r="D1886" s="2"/>
      <c r="E1886" s="2"/>
      <c r="F1886" s="2"/>
      <c r="G1886" s="2"/>
      <c r="H1886" s="2"/>
      <c r="I1886" s="5"/>
    </row>
    <row r="1887" spans="1:9" ht="17.399999999999999" x14ac:dyDescent="0.25">
      <c r="A1887" s="16"/>
      <c r="B1887" s="17"/>
      <c r="C1887" s="2"/>
      <c r="D1887" s="2"/>
      <c r="E1887" s="2"/>
      <c r="F1887" s="2"/>
      <c r="G1887" s="2"/>
      <c r="H1887" s="2"/>
      <c r="I1887" s="5"/>
    </row>
    <row r="1888" spans="1:9" ht="17.399999999999999" x14ac:dyDescent="0.25">
      <c r="A1888" s="16"/>
      <c r="B1888" s="17"/>
      <c r="C1888" s="2"/>
      <c r="D1888" s="2"/>
      <c r="E1888" s="2"/>
      <c r="F1888" s="2"/>
      <c r="G1888" s="2"/>
      <c r="H1888" s="2"/>
      <c r="I1888" s="5"/>
    </row>
    <row r="1889" spans="1:9" ht="17.399999999999999" x14ac:dyDescent="0.25">
      <c r="A1889" s="16"/>
      <c r="B1889" s="17"/>
      <c r="C1889" s="2"/>
      <c r="D1889" s="2"/>
      <c r="E1889" s="2"/>
      <c r="F1889" s="2"/>
      <c r="G1889" s="2"/>
      <c r="H1889" s="2"/>
      <c r="I1889" s="5"/>
    </row>
    <row r="1890" spans="1:9" ht="17.399999999999999" x14ac:dyDescent="0.25">
      <c r="A1890" s="16"/>
      <c r="B1890" s="17"/>
      <c r="C1890" s="2"/>
      <c r="D1890" s="2"/>
      <c r="E1890" s="2"/>
      <c r="F1890" s="2"/>
      <c r="G1890" s="2"/>
      <c r="H1890" s="2"/>
      <c r="I1890" s="5"/>
    </row>
    <row r="1891" spans="1:9" ht="17.399999999999999" x14ac:dyDescent="0.25">
      <c r="A1891" s="16"/>
      <c r="B1891" s="17"/>
      <c r="C1891" s="2"/>
      <c r="D1891" s="2"/>
      <c r="E1891" s="2"/>
      <c r="F1891" s="2"/>
      <c r="G1891" s="2"/>
      <c r="H1891" s="2"/>
      <c r="I1891" s="5"/>
    </row>
    <row r="1892" spans="1:9" ht="17.399999999999999" x14ac:dyDescent="0.25">
      <c r="A1892" s="16"/>
      <c r="B1892" s="17"/>
      <c r="C1892" s="2"/>
      <c r="D1892" s="2"/>
      <c r="E1892" s="2"/>
      <c r="F1892" s="2"/>
      <c r="G1892" s="2"/>
      <c r="H1892" s="2"/>
      <c r="I1892" s="5"/>
    </row>
    <row r="1893" spans="1:9" ht="17.399999999999999" x14ac:dyDescent="0.25">
      <c r="A1893" s="16"/>
      <c r="B1893" s="17"/>
      <c r="C1893" s="2"/>
      <c r="D1893" s="2"/>
      <c r="E1893" s="2"/>
      <c r="F1893" s="2"/>
      <c r="G1893" s="2"/>
      <c r="H1893" s="2"/>
      <c r="I1893" s="5"/>
    </row>
    <row r="1894" spans="1:9" ht="17.399999999999999" x14ac:dyDescent="0.25">
      <c r="A1894" s="16"/>
      <c r="B1894" s="17"/>
      <c r="C1894" s="2"/>
      <c r="D1894" s="2"/>
      <c r="E1894" s="2"/>
      <c r="F1894" s="2"/>
      <c r="G1894" s="2"/>
      <c r="H1894" s="2"/>
      <c r="I1894" s="5"/>
    </row>
    <row r="1895" spans="1:9" ht="17.399999999999999" x14ac:dyDescent="0.25">
      <c r="A1895" s="16"/>
      <c r="B1895" s="17"/>
      <c r="C1895" s="2"/>
      <c r="D1895" s="2"/>
      <c r="E1895" s="2"/>
      <c r="F1895" s="2"/>
      <c r="G1895" s="2"/>
      <c r="H1895" s="2"/>
      <c r="I1895" s="5"/>
    </row>
    <row r="1896" spans="1:9" ht="17.399999999999999" x14ac:dyDescent="0.25">
      <c r="A1896" s="16"/>
      <c r="B1896" s="17"/>
      <c r="C1896" s="2"/>
      <c r="D1896" s="2"/>
      <c r="E1896" s="2"/>
      <c r="F1896" s="2"/>
      <c r="G1896" s="2"/>
      <c r="H1896" s="2"/>
      <c r="I1896" s="5"/>
    </row>
    <row r="1897" spans="1:9" ht="17.399999999999999" x14ac:dyDescent="0.25">
      <c r="A1897" s="16"/>
      <c r="B1897" s="17"/>
      <c r="C1897" s="2"/>
      <c r="D1897" s="2"/>
      <c r="E1897" s="2"/>
      <c r="F1897" s="2"/>
      <c r="G1897" s="2"/>
      <c r="H1897" s="2"/>
      <c r="I1897" s="5"/>
    </row>
    <row r="1898" spans="1:9" ht="17.399999999999999" x14ac:dyDescent="0.25">
      <c r="A1898" s="16"/>
      <c r="B1898" s="17"/>
      <c r="C1898" s="2"/>
      <c r="D1898" s="2"/>
      <c r="E1898" s="2"/>
      <c r="F1898" s="2"/>
      <c r="G1898" s="2"/>
      <c r="H1898" s="2"/>
      <c r="I1898" s="5"/>
    </row>
    <row r="1899" spans="1:9" ht="17.399999999999999" x14ac:dyDescent="0.25">
      <c r="A1899" s="16"/>
      <c r="B1899" s="17"/>
      <c r="C1899" s="2"/>
      <c r="D1899" s="2"/>
      <c r="E1899" s="2"/>
      <c r="F1899" s="2"/>
      <c r="G1899" s="2"/>
      <c r="H1899" s="2"/>
      <c r="I1899" s="5"/>
    </row>
    <row r="1900" spans="1:9" ht="17.399999999999999" x14ac:dyDescent="0.25">
      <c r="A1900" s="16"/>
      <c r="B1900" s="17"/>
      <c r="C1900" s="2"/>
      <c r="D1900" s="2"/>
      <c r="E1900" s="2"/>
      <c r="F1900" s="2"/>
      <c r="G1900" s="2"/>
      <c r="H1900" s="2"/>
      <c r="I1900" s="5"/>
    </row>
    <row r="1901" spans="1:9" ht="17.399999999999999" x14ac:dyDescent="0.25">
      <c r="A1901" s="16"/>
      <c r="B1901" s="17"/>
      <c r="C1901" s="2"/>
      <c r="D1901" s="2"/>
      <c r="E1901" s="2"/>
      <c r="F1901" s="2"/>
      <c r="G1901" s="2"/>
      <c r="H1901" s="2"/>
      <c r="I1901" s="5"/>
    </row>
    <row r="1902" spans="1:9" ht="17.399999999999999" x14ac:dyDescent="0.25">
      <c r="A1902" s="16"/>
      <c r="B1902" s="17"/>
      <c r="C1902" s="2"/>
      <c r="D1902" s="2"/>
      <c r="E1902" s="2"/>
      <c r="F1902" s="2"/>
      <c r="G1902" s="2"/>
      <c r="H1902" s="2"/>
      <c r="I1902" s="5"/>
    </row>
    <row r="1903" spans="1:9" ht="17.399999999999999" x14ac:dyDescent="0.25">
      <c r="A1903" s="16"/>
      <c r="B1903" s="17"/>
      <c r="C1903" s="2"/>
      <c r="D1903" s="2"/>
      <c r="E1903" s="2"/>
      <c r="F1903" s="2"/>
      <c r="G1903" s="2"/>
      <c r="H1903" s="2"/>
      <c r="I1903" s="5"/>
    </row>
    <row r="1904" spans="1:9" ht="17.399999999999999" x14ac:dyDescent="0.25">
      <c r="A1904" s="16"/>
      <c r="B1904" s="17"/>
      <c r="C1904" s="2"/>
      <c r="D1904" s="2"/>
      <c r="E1904" s="2"/>
      <c r="F1904" s="2"/>
      <c r="G1904" s="2"/>
      <c r="H1904" s="2"/>
      <c r="I1904" s="5"/>
    </row>
    <row r="1905" spans="1:9" ht="17.399999999999999" x14ac:dyDescent="0.25">
      <c r="A1905" s="16"/>
      <c r="B1905" s="17"/>
      <c r="C1905" s="2"/>
      <c r="D1905" s="2"/>
      <c r="E1905" s="2"/>
      <c r="F1905" s="2"/>
      <c r="G1905" s="2"/>
      <c r="H1905" s="2"/>
      <c r="I1905" s="5"/>
    </row>
    <row r="1906" spans="1:9" ht="17.399999999999999" x14ac:dyDescent="0.25">
      <c r="A1906" s="16"/>
      <c r="B1906" s="17"/>
      <c r="C1906" s="2"/>
      <c r="D1906" s="2"/>
      <c r="E1906" s="2"/>
      <c r="F1906" s="2"/>
      <c r="G1906" s="2"/>
      <c r="H1906" s="2"/>
      <c r="I1906" s="5"/>
    </row>
    <row r="1907" spans="1:9" ht="17.399999999999999" x14ac:dyDescent="0.25">
      <c r="A1907" s="16"/>
      <c r="B1907" s="17"/>
      <c r="C1907" s="2"/>
      <c r="D1907" s="2"/>
      <c r="E1907" s="2"/>
      <c r="F1907" s="2"/>
      <c r="G1907" s="2"/>
      <c r="H1907" s="2"/>
      <c r="I1907" s="5"/>
    </row>
    <row r="1908" spans="1:9" ht="17.399999999999999" x14ac:dyDescent="0.25">
      <c r="A1908" s="16"/>
      <c r="B1908" s="17"/>
      <c r="C1908" s="2"/>
      <c r="D1908" s="2"/>
      <c r="E1908" s="2"/>
      <c r="F1908" s="2"/>
      <c r="G1908" s="2"/>
      <c r="H1908" s="2"/>
      <c r="I1908" s="5"/>
    </row>
    <row r="1909" spans="1:9" ht="17.399999999999999" x14ac:dyDescent="0.25">
      <c r="A1909" s="16"/>
      <c r="B1909" s="17"/>
      <c r="C1909" s="2"/>
      <c r="D1909" s="2"/>
      <c r="E1909" s="2"/>
      <c r="F1909" s="2"/>
      <c r="G1909" s="2"/>
      <c r="H1909" s="2"/>
      <c r="I1909" s="5"/>
    </row>
    <row r="1910" spans="1:9" ht="17.399999999999999" x14ac:dyDescent="0.25">
      <c r="A1910" s="16"/>
      <c r="B1910" s="17"/>
      <c r="C1910" s="2"/>
      <c r="D1910" s="2"/>
      <c r="E1910" s="2"/>
      <c r="F1910" s="2"/>
      <c r="G1910" s="2"/>
      <c r="H1910" s="2"/>
      <c r="I1910" s="5"/>
    </row>
    <row r="1911" spans="1:9" ht="17.399999999999999" x14ac:dyDescent="0.25">
      <c r="A1911" s="16"/>
      <c r="B1911" s="17"/>
      <c r="C1911" s="2"/>
      <c r="D1911" s="2"/>
      <c r="E1911" s="2"/>
      <c r="F1911" s="2"/>
      <c r="G1911" s="2"/>
      <c r="H1911" s="2"/>
      <c r="I1911" s="5"/>
    </row>
    <row r="1912" spans="1:9" ht="17.399999999999999" x14ac:dyDescent="0.25">
      <c r="A1912" s="16"/>
      <c r="B1912" s="17"/>
      <c r="C1912" s="2"/>
      <c r="D1912" s="2"/>
      <c r="E1912" s="2"/>
      <c r="F1912" s="2"/>
      <c r="G1912" s="2"/>
      <c r="H1912" s="2"/>
      <c r="I1912" s="5"/>
    </row>
    <row r="1913" spans="1:9" ht="17.399999999999999" x14ac:dyDescent="0.25">
      <c r="A1913" s="16"/>
      <c r="B1913" s="17"/>
      <c r="C1913" s="2"/>
      <c r="D1913" s="2"/>
      <c r="E1913" s="2"/>
      <c r="F1913" s="2"/>
      <c r="G1913" s="2"/>
      <c r="H1913" s="2"/>
      <c r="I1913" s="5"/>
    </row>
    <row r="1914" spans="1:9" ht="17.399999999999999" x14ac:dyDescent="0.25">
      <c r="A1914" s="16"/>
      <c r="B1914" s="17"/>
      <c r="C1914" s="2"/>
      <c r="D1914" s="2"/>
      <c r="E1914" s="2"/>
      <c r="F1914" s="2"/>
      <c r="G1914" s="2"/>
      <c r="H1914" s="2"/>
      <c r="I1914" s="5"/>
    </row>
    <row r="1915" spans="1:9" ht="17.399999999999999" x14ac:dyDescent="0.25">
      <c r="A1915" s="16"/>
      <c r="B1915" s="17"/>
      <c r="C1915" s="2"/>
      <c r="D1915" s="2"/>
      <c r="E1915" s="2"/>
      <c r="F1915" s="2"/>
      <c r="G1915" s="2"/>
      <c r="H1915" s="2"/>
      <c r="I1915" s="5"/>
    </row>
    <row r="1916" spans="1:9" ht="17.399999999999999" x14ac:dyDescent="0.25">
      <c r="A1916" s="16"/>
      <c r="B1916" s="17"/>
      <c r="C1916" s="2"/>
      <c r="D1916" s="2"/>
      <c r="E1916" s="2"/>
      <c r="F1916" s="2"/>
      <c r="G1916" s="2"/>
      <c r="H1916" s="2"/>
      <c r="I1916" s="5"/>
    </row>
    <row r="1917" spans="1:9" ht="17.399999999999999" x14ac:dyDescent="0.25">
      <c r="A1917" s="16"/>
      <c r="B1917" s="17"/>
      <c r="C1917" s="2"/>
      <c r="D1917" s="2"/>
      <c r="E1917" s="2"/>
      <c r="F1917" s="2"/>
      <c r="G1917" s="2"/>
      <c r="H1917" s="2"/>
      <c r="I1917" s="5"/>
    </row>
    <row r="1918" spans="1:9" ht="17.399999999999999" x14ac:dyDescent="0.25">
      <c r="A1918" s="16"/>
      <c r="B1918" s="17"/>
      <c r="C1918" s="2"/>
      <c r="D1918" s="2"/>
      <c r="E1918" s="2"/>
      <c r="F1918" s="2"/>
      <c r="G1918" s="2"/>
      <c r="H1918" s="2"/>
      <c r="I1918" s="5"/>
    </row>
    <row r="1919" spans="1:9" ht="17.399999999999999" x14ac:dyDescent="0.25">
      <c r="A1919" s="16"/>
      <c r="B1919" s="17"/>
      <c r="C1919" s="2"/>
      <c r="D1919" s="2"/>
      <c r="E1919" s="2"/>
      <c r="F1919" s="2"/>
      <c r="G1919" s="2"/>
      <c r="H1919" s="2"/>
      <c r="I1919" s="5"/>
    </row>
    <row r="1920" spans="1:9" ht="17.399999999999999" x14ac:dyDescent="0.25">
      <c r="A1920" s="16"/>
      <c r="B1920" s="17"/>
      <c r="C1920" s="2"/>
      <c r="D1920" s="2"/>
      <c r="E1920" s="2"/>
      <c r="F1920" s="2"/>
      <c r="G1920" s="2"/>
      <c r="H1920" s="2"/>
      <c r="I1920" s="5"/>
    </row>
    <row r="1921" spans="1:9" ht="17.399999999999999" x14ac:dyDescent="0.25">
      <c r="A1921" s="16"/>
      <c r="B1921" s="17"/>
      <c r="C1921" s="2"/>
      <c r="D1921" s="2"/>
      <c r="E1921" s="2"/>
      <c r="F1921" s="2"/>
      <c r="G1921" s="2"/>
      <c r="H1921" s="2"/>
      <c r="I1921" s="5"/>
    </row>
    <row r="1922" spans="1:9" ht="17.399999999999999" x14ac:dyDescent="0.25">
      <c r="A1922" s="16"/>
      <c r="B1922" s="17"/>
      <c r="C1922" s="2"/>
      <c r="D1922" s="2"/>
      <c r="E1922" s="2"/>
      <c r="F1922" s="2"/>
      <c r="G1922" s="2"/>
      <c r="H1922" s="2"/>
      <c r="I1922" s="5"/>
    </row>
    <row r="1923" spans="1:9" ht="17.399999999999999" x14ac:dyDescent="0.25">
      <c r="A1923" s="16"/>
      <c r="B1923" s="17"/>
      <c r="C1923" s="2"/>
      <c r="D1923" s="2"/>
      <c r="E1923" s="2"/>
      <c r="F1923" s="2"/>
      <c r="G1923" s="2"/>
      <c r="H1923" s="2"/>
      <c r="I1923" s="5"/>
    </row>
    <row r="1924" spans="1:9" ht="17.399999999999999" x14ac:dyDescent="0.25">
      <c r="A1924" s="16"/>
      <c r="B1924" s="17"/>
      <c r="C1924" s="2"/>
      <c r="D1924" s="2"/>
      <c r="E1924" s="2"/>
      <c r="F1924" s="2"/>
      <c r="G1924" s="2"/>
      <c r="H1924" s="2"/>
      <c r="I1924" s="5"/>
    </row>
    <row r="1925" spans="1:9" ht="17.399999999999999" x14ac:dyDescent="0.25">
      <c r="A1925" s="16"/>
      <c r="B1925" s="17"/>
      <c r="C1925" s="2"/>
      <c r="D1925" s="2"/>
      <c r="E1925" s="2"/>
      <c r="F1925" s="2"/>
      <c r="G1925" s="2"/>
      <c r="H1925" s="2"/>
      <c r="I1925" s="5"/>
    </row>
    <row r="1926" spans="1:9" ht="17.399999999999999" x14ac:dyDescent="0.25">
      <c r="A1926" s="16"/>
      <c r="B1926" s="17"/>
      <c r="C1926" s="2"/>
      <c r="D1926" s="2"/>
      <c r="E1926" s="2"/>
      <c r="F1926" s="2"/>
      <c r="G1926" s="2"/>
      <c r="H1926" s="2"/>
      <c r="I1926" s="5"/>
    </row>
    <row r="1927" spans="1:9" ht="17.399999999999999" x14ac:dyDescent="0.25">
      <c r="A1927" s="16"/>
      <c r="B1927" s="17"/>
      <c r="C1927" s="2"/>
      <c r="D1927" s="2"/>
      <c r="E1927" s="2"/>
      <c r="F1927" s="2"/>
      <c r="G1927" s="2"/>
      <c r="H1927" s="2"/>
      <c r="I1927" s="5"/>
    </row>
    <row r="1928" spans="1:9" ht="17.399999999999999" x14ac:dyDescent="0.25">
      <c r="A1928" s="16"/>
      <c r="B1928" s="17"/>
      <c r="C1928" s="2"/>
      <c r="D1928" s="2"/>
      <c r="E1928" s="2"/>
      <c r="F1928" s="2"/>
      <c r="G1928" s="2"/>
      <c r="H1928" s="2"/>
      <c r="I1928" s="5"/>
    </row>
    <row r="1929" spans="1:9" ht="17.399999999999999" x14ac:dyDescent="0.25">
      <c r="A1929" s="16"/>
      <c r="B1929" s="17"/>
      <c r="C1929" s="2"/>
      <c r="D1929" s="2"/>
      <c r="E1929" s="2"/>
      <c r="F1929" s="2"/>
      <c r="G1929" s="2"/>
      <c r="H1929" s="2"/>
      <c r="I1929" s="5"/>
    </row>
    <row r="1930" spans="1:9" ht="17.399999999999999" x14ac:dyDescent="0.25">
      <c r="A1930" s="16"/>
      <c r="B1930" s="17"/>
      <c r="C1930" s="2"/>
      <c r="D1930" s="2"/>
      <c r="E1930" s="2"/>
      <c r="F1930" s="2"/>
      <c r="G1930" s="2"/>
      <c r="H1930" s="2"/>
      <c r="I1930" s="5"/>
    </row>
    <row r="1931" spans="1:9" ht="17.399999999999999" x14ac:dyDescent="0.25">
      <c r="A1931" s="16"/>
      <c r="B1931" s="17"/>
      <c r="C1931" s="2"/>
      <c r="D1931" s="2"/>
      <c r="E1931" s="2"/>
      <c r="F1931" s="2"/>
      <c r="G1931" s="2"/>
      <c r="H1931" s="2"/>
      <c r="I1931" s="5"/>
    </row>
    <row r="1932" spans="1:9" ht="17.399999999999999" x14ac:dyDescent="0.25">
      <c r="A1932" s="16"/>
      <c r="B1932" s="17"/>
      <c r="C1932" s="2"/>
      <c r="D1932" s="2"/>
      <c r="E1932" s="2"/>
      <c r="F1932" s="2"/>
      <c r="G1932" s="2"/>
      <c r="H1932" s="2"/>
      <c r="I1932" s="5"/>
    </row>
    <row r="1933" spans="1:9" ht="17.399999999999999" x14ac:dyDescent="0.25">
      <c r="A1933" s="16"/>
      <c r="B1933" s="17"/>
      <c r="C1933" s="2"/>
      <c r="D1933" s="2"/>
      <c r="E1933" s="2"/>
      <c r="F1933" s="2"/>
      <c r="G1933" s="2"/>
      <c r="H1933" s="2"/>
      <c r="I1933" s="5"/>
    </row>
    <row r="1934" spans="1:9" ht="17.399999999999999" x14ac:dyDescent="0.25">
      <c r="A1934" s="16"/>
      <c r="B1934" s="17"/>
      <c r="C1934" s="2"/>
      <c r="D1934" s="2"/>
      <c r="E1934" s="2"/>
      <c r="F1934" s="2"/>
      <c r="G1934" s="2"/>
      <c r="H1934" s="2"/>
      <c r="I1934" s="5"/>
    </row>
    <row r="1935" spans="1:9" ht="17.399999999999999" x14ac:dyDescent="0.25">
      <c r="A1935" s="16"/>
      <c r="B1935" s="17"/>
      <c r="C1935" s="2"/>
      <c r="D1935" s="2"/>
      <c r="E1935" s="2"/>
      <c r="F1935" s="2"/>
      <c r="G1935" s="2"/>
      <c r="H1935" s="2"/>
      <c r="I1935" s="5"/>
    </row>
    <row r="1936" spans="1:9" ht="17.399999999999999" x14ac:dyDescent="0.25">
      <c r="A1936" s="16"/>
      <c r="B1936" s="17"/>
      <c r="C1936" s="2"/>
      <c r="D1936" s="2"/>
      <c r="E1936" s="2"/>
      <c r="F1936" s="2"/>
      <c r="G1936" s="2"/>
      <c r="H1936" s="2"/>
      <c r="I1936" s="5"/>
    </row>
    <row r="1937" spans="1:9" ht="17.399999999999999" x14ac:dyDescent="0.25">
      <c r="A1937" s="16"/>
      <c r="B1937" s="17"/>
      <c r="C1937" s="2"/>
      <c r="D1937" s="2"/>
      <c r="E1937" s="2"/>
      <c r="F1937" s="2"/>
      <c r="G1937" s="2"/>
      <c r="H1937" s="2"/>
      <c r="I1937" s="5"/>
    </row>
    <row r="1938" spans="1:9" ht="17.399999999999999" x14ac:dyDescent="0.25">
      <c r="A1938" s="16"/>
      <c r="B1938" s="17"/>
      <c r="C1938" s="2"/>
      <c r="D1938" s="2"/>
      <c r="E1938" s="2"/>
      <c r="F1938" s="2"/>
      <c r="G1938" s="2"/>
      <c r="H1938" s="2"/>
      <c r="I1938" s="5"/>
    </row>
    <row r="1939" spans="1:9" ht="17.399999999999999" x14ac:dyDescent="0.25">
      <c r="A1939" s="16"/>
      <c r="B1939" s="17"/>
      <c r="C1939" s="2"/>
      <c r="D1939" s="2"/>
      <c r="E1939" s="2"/>
      <c r="F1939" s="2"/>
      <c r="G1939" s="2"/>
      <c r="H1939" s="2"/>
      <c r="I1939" s="5"/>
    </row>
    <row r="1940" spans="1:9" ht="17.399999999999999" x14ac:dyDescent="0.25">
      <c r="A1940" s="16"/>
      <c r="B1940" s="17"/>
      <c r="C1940" s="2"/>
      <c r="D1940" s="2"/>
      <c r="E1940" s="2"/>
      <c r="F1940" s="2"/>
      <c r="G1940" s="2"/>
      <c r="H1940" s="2"/>
      <c r="I1940" s="5"/>
    </row>
    <row r="1941" spans="1:9" ht="17.399999999999999" x14ac:dyDescent="0.25">
      <c r="A1941" s="16"/>
      <c r="B1941" s="17"/>
      <c r="C1941" s="2" t="b">
        <v>0</v>
      </c>
      <c r="D1941" s="2"/>
      <c r="E1941" s="2"/>
      <c r="F1941" s="2"/>
      <c r="G1941" s="2"/>
      <c r="H1941" s="2"/>
      <c r="I1941" s="5"/>
    </row>
    <row r="1942" spans="1:9" ht="17.399999999999999" x14ac:dyDescent="0.25">
      <c r="A1942" s="16"/>
      <c r="B1942" s="17"/>
      <c r="C1942" s="2" t="b">
        <v>0</v>
      </c>
      <c r="D1942" s="2"/>
      <c r="E1942" s="2"/>
      <c r="F1942" s="2"/>
      <c r="G1942" s="2"/>
      <c r="H1942" s="2"/>
      <c r="I1942" s="5"/>
    </row>
    <row r="1943" spans="1:9" ht="17.399999999999999" x14ac:dyDescent="0.25">
      <c r="A1943" s="16"/>
      <c r="B1943" s="17"/>
      <c r="C1943" s="2" t="b">
        <v>0</v>
      </c>
      <c r="D1943" s="2"/>
      <c r="E1943" s="2"/>
      <c r="F1943" s="2"/>
      <c r="G1943" s="2"/>
      <c r="H1943" s="2"/>
      <c r="I1943" s="5"/>
    </row>
    <row r="1944" spans="1:9" ht="17.399999999999999" x14ac:dyDescent="0.25">
      <c r="A1944" s="16"/>
      <c r="B1944" s="17"/>
      <c r="C1944" s="2" t="b">
        <v>0</v>
      </c>
      <c r="D1944" s="2"/>
      <c r="E1944" s="2"/>
      <c r="F1944" s="2"/>
      <c r="G1944" s="2"/>
      <c r="H1944" s="2"/>
      <c r="I1944" s="5"/>
    </row>
    <row r="1945" spans="1:9" ht="17.399999999999999" x14ac:dyDescent="0.25">
      <c r="A1945" s="16"/>
      <c r="B1945" s="17"/>
      <c r="C1945" s="2" t="b">
        <v>0</v>
      </c>
      <c r="D1945" s="2"/>
      <c r="E1945" s="2"/>
      <c r="F1945" s="2"/>
      <c r="G1945" s="2"/>
      <c r="H1945" s="2"/>
      <c r="I1945" s="5"/>
    </row>
    <row r="1946" spans="1:9" ht="17.399999999999999" x14ac:dyDescent="0.25">
      <c r="A1946" s="16"/>
      <c r="B1946" s="17"/>
      <c r="C1946" s="2" t="b">
        <v>0</v>
      </c>
      <c r="D1946" s="2"/>
      <c r="E1946" s="2"/>
      <c r="F1946" s="2"/>
      <c r="G1946" s="2"/>
      <c r="H1946" s="2"/>
      <c r="I1946" s="5"/>
    </row>
    <row r="1947" spans="1:9" ht="17.399999999999999" x14ac:dyDescent="0.25">
      <c r="A1947" s="16"/>
      <c r="B1947" s="17"/>
      <c r="C1947" s="2" t="b">
        <v>0</v>
      </c>
      <c r="D1947" s="2"/>
      <c r="E1947" s="2"/>
      <c r="F1947" s="2"/>
      <c r="G1947" s="2"/>
      <c r="H1947" s="2"/>
      <c r="I1947" s="5"/>
    </row>
    <row r="1948" spans="1:9" ht="17.399999999999999" x14ac:dyDescent="0.25">
      <c r="A1948" s="16"/>
      <c r="B1948" s="17"/>
      <c r="C1948" s="2" t="b">
        <v>0</v>
      </c>
      <c r="D1948" s="2"/>
      <c r="E1948" s="2"/>
      <c r="F1948" s="2"/>
      <c r="G1948" s="2"/>
      <c r="H1948" s="2"/>
      <c r="I1948" s="5"/>
    </row>
    <row r="1949" spans="1:9" ht="17.399999999999999" x14ac:dyDescent="0.25">
      <c r="A1949" s="16"/>
      <c r="B1949" s="17"/>
      <c r="C1949" s="2" t="b">
        <v>0</v>
      </c>
      <c r="D1949" s="2"/>
      <c r="E1949" s="2"/>
      <c r="F1949" s="2"/>
      <c r="G1949" s="2"/>
      <c r="H1949" s="2"/>
      <c r="I1949" s="5"/>
    </row>
    <row r="1950" spans="1:9" ht="17.399999999999999" x14ac:dyDescent="0.25">
      <c r="A1950" s="16"/>
      <c r="B1950" s="17"/>
      <c r="C1950" s="2" t="b">
        <v>0</v>
      </c>
      <c r="D1950" s="2"/>
      <c r="E1950" s="2"/>
      <c r="F1950" s="2"/>
      <c r="G1950" s="2"/>
      <c r="H1950" s="2"/>
      <c r="I1950" s="5"/>
    </row>
    <row r="1951" spans="1:9" ht="17.399999999999999" x14ac:dyDescent="0.25">
      <c r="A1951" s="16"/>
      <c r="B1951" s="17"/>
      <c r="C1951" s="2" t="b">
        <v>0</v>
      </c>
      <c r="D1951" s="2"/>
      <c r="E1951" s="2"/>
      <c r="F1951" s="2"/>
      <c r="G1951" s="2"/>
      <c r="H1951" s="2"/>
      <c r="I1951" s="5"/>
    </row>
    <row r="1952" spans="1:9" ht="17.399999999999999" x14ac:dyDescent="0.25">
      <c r="A1952" s="16"/>
      <c r="B1952" s="17"/>
      <c r="C1952" s="2" t="b">
        <v>0</v>
      </c>
      <c r="D1952" s="2"/>
      <c r="E1952" s="2"/>
      <c r="F1952" s="2"/>
      <c r="G1952" s="2"/>
      <c r="H1952" s="2"/>
      <c r="I1952" s="5"/>
    </row>
    <row r="1953" spans="1:9" ht="17.399999999999999" x14ac:dyDescent="0.25">
      <c r="A1953" s="16"/>
      <c r="B1953" s="17"/>
      <c r="C1953" s="2" t="b">
        <v>0</v>
      </c>
      <c r="D1953" s="2"/>
      <c r="E1953" s="2"/>
      <c r="F1953" s="2"/>
      <c r="G1953" s="2"/>
      <c r="H1953" s="2"/>
      <c r="I1953" s="5"/>
    </row>
    <row r="1954" spans="1:9" ht="17.399999999999999" x14ac:dyDescent="0.25">
      <c r="A1954" s="16"/>
      <c r="B1954" s="17"/>
      <c r="C1954" s="2" t="b">
        <v>0</v>
      </c>
      <c r="D1954" s="2"/>
      <c r="E1954" s="2"/>
      <c r="F1954" s="2"/>
      <c r="G1954" s="2"/>
      <c r="H1954" s="2"/>
      <c r="I1954" s="5"/>
    </row>
    <row r="1955" spans="1:9" ht="17.399999999999999" x14ac:dyDescent="0.25">
      <c r="A1955" s="16"/>
      <c r="B1955" s="17"/>
      <c r="C1955" s="2" t="b">
        <v>0</v>
      </c>
      <c r="D1955" s="2"/>
      <c r="E1955" s="2"/>
      <c r="F1955" s="2"/>
      <c r="G1955" s="2"/>
      <c r="H1955" s="2"/>
      <c r="I1955" s="5"/>
    </row>
    <row r="1956" spans="1:9" ht="17.399999999999999" x14ac:dyDescent="0.25">
      <c r="A1956" s="16"/>
      <c r="B1956" s="17"/>
      <c r="C1956" s="2" t="b">
        <v>0</v>
      </c>
      <c r="D1956" s="2"/>
      <c r="E1956" s="2"/>
      <c r="F1956" s="2"/>
      <c r="G1956" s="2"/>
      <c r="H1956" s="2"/>
      <c r="I1956" s="5"/>
    </row>
    <row r="1957" spans="1:9" ht="17.399999999999999" x14ac:dyDescent="0.25">
      <c r="A1957" s="16"/>
      <c r="B1957" s="17"/>
      <c r="C1957" s="2" t="b">
        <v>0</v>
      </c>
      <c r="D1957" s="2"/>
      <c r="E1957" s="2"/>
      <c r="F1957" s="2"/>
      <c r="G1957" s="2"/>
      <c r="H1957" s="2"/>
      <c r="I1957" s="5"/>
    </row>
    <row r="1958" spans="1:9" ht="17.399999999999999" x14ac:dyDescent="0.25">
      <c r="A1958" s="16"/>
      <c r="B1958" s="17"/>
      <c r="C1958" s="2" t="b">
        <v>0</v>
      </c>
      <c r="D1958" s="2"/>
      <c r="E1958" s="2"/>
      <c r="F1958" s="2"/>
      <c r="G1958" s="2"/>
      <c r="H1958" s="2"/>
      <c r="I1958" s="5"/>
    </row>
    <row r="1959" spans="1:9" ht="17.399999999999999" x14ac:dyDescent="0.25">
      <c r="A1959" s="16"/>
      <c r="B1959" s="17"/>
      <c r="C1959" s="2" t="b">
        <v>0</v>
      </c>
      <c r="D1959" s="2"/>
      <c r="E1959" s="2"/>
      <c r="F1959" s="2"/>
      <c r="G1959" s="2"/>
      <c r="H1959" s="2"/>
      <c r="I1959" s="5"/>
    </row>
    <row r="1960" spans="1:9" ht="17.399999999999999" x14ac:dyDescent="0.25">
      <c r="A1960" s="16"/>
      <c r="B1960" s="17"/>
      <c r="C1960" s="2" t="b">
        <v>0</v>
      </c>
      <c r="D1960" s="2"/>
      <c r="E1960" s="2"/>
      <c r="F1960" s="2"/>
      <c r="G1960" s="2"/>
      <c r="H1960" s="2"/>
      <c r="I1960" s="5"/>
    </row>
    <row r="1961" spans="1:9" ht="17.399999999999999" x14ac:dyDescent="0.25">
      <c r="A1961" s="16"/>
      <c r="B1961" s="17"/>
      <c r="C1961" s="2" t="b">
        <v>0</v>
      </c>
      <c r="D1961" s="2"/>
      <c r="E1961" s="2"/>
      <c r="F1961" s="2"/>
      <c r="G1961" s="2"/>
      <c r="H1961" s="2"/>
      <c r="I1961" s="5"/>
    </row>
    <row r="1962" spans="1:9" ht="17.399999999999999" x14ac:dyDescent="0.25">
      <c r="A1962" s="16"/>
      <c r="B1962" s="17"/>
      <c r="C1962" s="2" t="b">
        <v>0</v>
      </c>
      <c r="D1962" s="2"/>
      <c r="E1962" s="2"/>
      <c r="F1962" s="2"/>
      <c r="G1962" s="2"/>
      <c r="H1962" s="2"/>
      <c r="I1962" s="5"/>
    </row>
    <row r="1963" spans="1:9" ht="17.399999999999999" x14ac:dyDescent="0.25">
      <c r="A1963" s="16"/>
      <c r="B1963" s="17"/>
      <c r="C1963" s="2" t="b">
        <v>0</v>
      </c>
      <c r="D1963" s="2"/>
      <c r="E1963" s="2"/>
      <c r="F1963" s="2"/>
      <c r="G1963" s="2"/>
      <c r="H1963" s="2"/>
      <c r="I1963" s="5"/>
    </row>
    <row r="1964" spans="1:9" ht="17.399999999999999" x14ac:dyDescent="0.25">
      <c r="A1964" s="16"/>
      <c r="B1964" s="17"/>
      <c r="C1964" s="2" t="b">
        <v>0</v>
      </c>
      <c r="D1964" s="2"/>
      <c r="E1964" s="2"/>
      <c r="F1964" s="2"/>
      <c r="G1964" s="2"/>
      <c r="H1964" s="2"/>
      <c r="I1964" s="5"/>
    </row>
    <row r="1965" spans="1:9" ht="17.399999999999999" x14ac:dyDescent="0.25">
      <c r="A1965" s="16"/>
      <c r="B1965" s="17"/>
      <c r="C1965" s="2" t="b">
        <v>0</v>
      </c>
      <c r="D1965" s="2"/>
      <c r="E1965" s="2"/>
      <c r="F1965" s="2"/>
      <c r="G1965" s="2"/>
      <c r="H1965" s="2"/>
      <c r="I1965" s="5"/>
    </row>
    <row r="1966" spans="1:9" ht="17.399999999999999" x14ac:dyDescent="0.25">
      <c r="A1966" s="16"/>
      <c r="B1966" s="17"/>
      <c r="C1966" s="2" t="b">
        <v>0</v>
      </c>
      <c r="D1966" s="2"/>
      <c r="E1966" s="2"/>
      <c r="F1966" s="2"/>
      <c r="G1966" s="2"/>
      <c r="H1966" s="2"/>
      <c r="I1966" s="5"/>
    </row>
    <row r="1967" spans="1:9" ht="17.399999999999999" x14ac:dyDescent="0.25">
      <c r="A1967" s="16"/>
      <c r="B1967" s="17"/>
      <c r="C1967" s="2" t="b">
        <v>0</v>
      </c>
      <c r="D1967" s="2"/>
      <c r="E1967" s="2"/>
      <c r="F1967" s="2"/>
      <c r="G1967" s="2"/>
      <c r="H1967" s="2"/>
      <c r="I1967" s="5"/>
    </row>
    <row r="1968" spans="1:9" ht="17.399999999999999" x14ac:dyDescent="0.25">
      <c r="A1968" s="16"/>
      <c r="B1968" s="17"/>
      <c r="C1968" s="2" t="b">
        <v>0</v>
      </c>
      <c r="D1968" s="2"/>
      <c r="E1968" s="2"/>
      <c r="F1968" s="2"/>
      <c r="G1968" s="2"/>
      <c r="H1968" s="2"/>
      <c r="I1968" s="5"/>
    </row>
    <row r="1969" spans="1:9" ht="17.399999999999999" x14ac:dyDescent="0.25">
      <c r="A1969" s="16"/>
      <c r="B1969" s="17"/>
      <c r="C1969" s="2" t="b">
        <v>0</v>
      </c>
      <c r="D1969" s="2"/>
      <c r="E1969" s="2"/>
      <c r="F1969" s="2"/>
      <c r="G1969" s="2"/>
      <c r="H1969" s="2"/>
      <c r="I1969" s="5"/>
    </row>
    <row r="1970" spans="1:9" ht="17.399999999999999" x14ac:dyDescent="0.25">
      <c r="A1970" s="16"/>
      <c r="B1970" s="17"/>
      <c r="C1970" s="2" t="b">
        <v>0</v>
      </c>
      <c r="D1970" s="2"/>
      <c r="E1970" s="2"/>
      <c r="F1970" s="2"/>
      <c r="G1970" s="2"/>
      <c r="H1970" s="2"/>
      <c r="I1970" s="5"/>
    </row>
    <row r="1971" spans="1:9" ht="17.399999999999999" x14ac:dyDescent="0.25">
      <c r="A1971" s="16"/>
      <c r="B1971" s="17"/>
      <c r="C1971" s="2" t="b">
        <v>0</v>
      </c>
      <c r="D1971" s="2"/>
      <c r="E1971" s="2"/>
      <c r="F1971" s="2"/>
      <c r="G1971" s="2"/>
      <c r="H1971" s="2"/>
      <c r="I1971" s="5"/>
    </row>
    <row r="1972" spans="1:9" ht="17.399999999999999" x14ac:dyDescent="0.25">
      <c r="A1972" s="16"/>
      <c r="B1972" s="17"/>
      <c r="C1972" s="2" t="b">
        <v>0</v>
      </c>
      <c r="D1972" s="2"/>
      <c r="E1972" s="2"/>
      <c r="F1972" s="2"/>
      <c r="G1972" s="2"/>
      <c r="H1972" s="2"/>
      <c r="I1972" s="5"/>
    </row>
    <row r="1973" spans="1:9" ht="17.399999999999999" x14ac:dyDescent="0.25">
      <c r="A1973" s="16"/>
      <c r="B1973" s="17"/>
      <c r="C1973" s="2" t="b">
        <v>0</v>
      </c>
      <c r="D1973" s="2"/>
      <c r="E1973" s="2"/>
      <c r="F1973" s="2"/>
      <c r="G1973" s="2"/>
      <c r="H1973" s="2"/>
      <c r="I1973" s="5"/>
    </row>
    <row r="1974" spans="1:9" ht="17.399999999999999" x14ac:dyDescent="0.25">
      <c r="A1974" s="16"/>
      <c r="B1974" s="17"/>
      <c r="C1974" s="2" t="b">
        <v>0</v>
      </c>
      <c r="D1974" s="2"/>
      <c r="E1974" s="2"/>
      <c r="F1974" s="2"/>
      <c r="G1974" s="2"/>
      <c r="H1974" s="2"/>
      <c r="I1974" s="5"/>
    </row>
    <row r="1975" spans="1:9" ht="17.399999999999999" x14ac:dyDescent="0.25">
      <c r="A1975" s="16"/>
      <c r="B1975" s="17"/>
      <c r="C1975" s="2" t="b">
        <v>0</v>
      </c>
      <c r="D1975" s="2"/>
      <c r="E1975" s="2"/>
      <c r="F1975" s="2"/>
      <c r="G1975" s="2"/>
      <c r="H1975" s="2"/>
      <c r="I1975" s="5"/>
    </row>
    <row r="1976" spans="1:9" ht="17.399999999999999" x14ac:dyDescent="0.25">
      <c r="A1976" s="16"/>
      <c r="B1976" s="17"/>
      <c r="C1976" s="2" t="b">
        <v>0</v>
      </c>
      <c r="D1976" s="2"/>
      <c r="E1976" s="2"/>
      <c r="F1976" s="2"/>
      <c r="G1976" s="2"/>
      <c r="H1976" s="2"/>
      <c r="I1976" s="5"/>
    </row>
    <row r="1977" spans="1:9" ht="17.399999999999999" x14ac:dyDescent="0.25">
      <c r="A1977" s="16"/>
      <c r="B1977" s="17"/>
      <c r="C1977" s="2" t="b">
        <v>0</v>
      </c>
      <c r="D1977" s="2"/>
      <c r="E1977" s="2"/>
      <c r="F1977" s="2"/>
      <c r="G1977" s="2"/>
      <c r="H1977" s="2"/>
      <c r="I1977" s="5"/>
    </row>
    <row r="1978" spans="1:9" ht="17.399999999999999" x14ac:dyDescent="0.25">
      <c r="A1978" s="16"/>
      <c r="B1978" s="17"/>
      <c r="C1978" s="2" t="b">
        <v>0</v>
      </c>
      <c r="D1978" s="2"/>
      <c r="E1978" s="2"/>
      <c r="F1978" s="2"/>
      <c r="G1978" s="2"/>
      <c r="H1978" s="2"/>
      <c r="I1978" s="5"/>
    </row>
    <row r="1979" spans="1:9" ht="17.399999999999999" x14ac:dyDescent="0.25">
      <c r="A1979" s="16"/>
      <c r="B1979" s="17"/>
      <c r="C1979" s="2" t="b">
        <v>0</v>
      </c>
      <c r="D1979" s="2"/>
      <c r="E1979" s="2"/>
      <c r="F1979" s="2"/>
      <c r="G1979" s="2"/>
      <c r="H1979" s="2"/>
      <c r="I1979" s="5"/>
    </row>
    <row r="1980" spans="1:9" ht="17.399999999999999" x14ac:dyDescent="0.25">
      <c r="A1980" s="16"/>
      <c r="B1980" s="17"/>
      <c r="C1980" s="2" t="b">
        <v>0</v>
      </c>
      <c r="D1980" s="2"/>
      <c r="E1980" s="2"/>
      <c r="F1980" s="2"/>
      <c r="G1980" s="2"/>
      <c r="H1980" s="2"/>
      <c r="I1980" s="5"/>
    </row>
    <row r="1981" spans="1:9" ht="17.399999999999999" x14ac:dyDescent="0.25">
      <c r="A1981" s="16"/>
      <c r="B1981" s="17"/>
      <c r="C1981" s="2" t="b">
        <v>0</v>
      </c>
      <c r="D1981" s="2"/>
      <c r="E1981" s="2"/>
      <c r="F1981" s="2"/>
      <c r="G1981" s="2"/>
      <c r="H1981" s="2"/>
      <c r="I1981" s="5"/>
    </row>
    <row r="1982" spans="1:9" ht="17.399999999999999" x14ac:dyDescent="0.25">
      <c r="A1982" s="16"/>
      <c r="B1982" s="17"/>
      <c r="C1982" s="2" t="b">
        <v>0</v>
      </c>
      <c r="D1982" s="2"/>
      <c r="E1982" s="2"/>
      <c r="F1982" s="2"/>
      <c r="G1982" s="2"/>
      <c r="H1982" s="2"/>
      <c r="I1982" s="5"/>
    </row>
    <row r="1983" spans="1:9" ht="17.399999999999999" x14ac:dyDescent="0.25">
      <c r="A1983" s="16"/>
      <c r="B1983" s="17"/>
      <c r="C1983" s="2" t="b">
        <v>0</v>
      </c>
      <c r="D1983" s="2"/>
      <c r="E1983" s="2"/>
      <c r="F1983" s="2"/>
      <c r="G1983" s="2"/>
      <c r="H1983" s="2"/>
      <c r="I1983" s="5"/>
    </row>
    <row r="1984" spans="1:9" ht="17.399999999999999" x14ac:dyDescent="0.25">
      <c r="A1984" s="16"/>
      <c r="B1984" s="17"/>
      <c r="C1984" s="2" t="b">
        <v>0</v>
      </c>
      <c r="D1984" s="2"/>
      <c r="E1984" s="2"/>
      <c r="F1984" s="2"/>
      <c r="G1984" s="2"/>
      <c r="H1984" s="2"/>
      <c r="I1984" s="5"/>
    </row>
    <row r="1985" spans="1:9" ht="17.399999999999999" x14ac:dyDescent="0.25">
      <c r="A1985" s="16"/>
      <c r="B1985" s="17"/>
      <c r="C1985" s="2" t="b">
        <v>0</v>
      </c>
      <c r="D1985" s="2"/>
      <c r="E1985" s="2"/>
      <c r="F1985" s="2"/>
      <c r="G1985" s="2"/>
      <c r="H1985" s="2"/>
      <c r="I1985" s="5"/>
    </row>
    <row r="1986" spans="1:9" ht="17.399999999999999" x14ac:dyDescent="0.25">
      <c r="A1986" s="16"/>
      <c r="B1986" s="17"/>
      <c r="C1986" s="2" t="b">
        <v>0</v>
      </c>
      <c r="D1986" s="2"/>
      <c r="E1986" s="2"/>
      <c r="F1986" s="2"/>
      <c r="G1986" s="2"/>
      <c r="H1986" s="2"/>
      <c r="I1986" s="5"/>
    </row>
    <row r="1987" spans="1:9" ht="17.399999999999999" x14ac:dyDescent="0.25">
      <c r="A1987" s="16"/>
      <c r="B1987" s="17"/>
      <c r="C1987" s="2" t="b">
        <v>0</v>
      </c>
      <c r="D1987" s="2"/>
      <c r="E1987" s="2"/>
      <c r="F1987" s="2"/>
      <c r="G1987" s="2"/>
      <c r="H1987" s="2"/>
      <c r="I1987" s="5"/>
    </row>
    <row r="1988" spans="1:9" ht="17.399999999999999" x14ac:dyDescent="0.25">
      <c r="A1988" s="16"/>
      <c r="B1988" s="17"/>
      <c r="C1988" s="2" t="b">
        <v>0</v>
      </c>
      <c r="D1988" s="2"/>
      <c r="E1988" s="2"/>
      <c r="F1988" s="2"/>
      <c r="G1988" s="2"/>
      <c r="H1988" s="2"/>
      <c r="I1988" s="5"/>
    </row>
    <row r="1989" spans="1:9" ht="17.399999999999999" x14ac:dyDescent="0.25">
      <c r="A1989" s="16"/>
      <c r="B1989" s="17"/>
      <c r="C1989" s="2" t="b">
        <v>0</v>
      </c>
      <c r="D1989" s="2"/>
      <c r="E1989" s="2"/>
      <c r="F1989" s="2"/>
      <c r="G1989" s="2"/>
      <c r="H1989" s="2"/>
      <c r="I1989" s="5"/>
    </row>
    <row r="1990" spans="1:9" ht="17.399999999999999" x14ac:dyDescent="0.25">
      <c r="A1990" s="16"/>
      <c r="B1990" s="17"/>
      <c r="C1990" s="2" t="b">
        <v>0</v>
      </c>
      <c r="D1990" s="2"/>
      <c r="E1990" s="2"/>
      <c r="F1990" s="2"/>
      <c r="G1990" s="2"/>
      <c r="H1990" s="2"/>
      <c r="I1990" s="5"/>
    </row>
    <row r="1991" spans="1:9" ht="17.399999999999999" x14ac:dyDescent="0.25">
      <c r="A1991" s="16"/>
      <c r="B1991" s="17"/>
      <c r="C1991" s="2" t="b">
        <v>0</v>
      </c>
      <c r="D1991" s="2"/>
      <c r="E1991" s="2"/>
      <c r="F1991" s="2"/>
      <c r="G1991" s="2"/>
      <c r="H1991" s="2"/>
      <c r="I1991" s="5"/>
    </row>
    <row r="1992" spans="1:9" ht="17.399999999999999" x14ac:dyDescent="0.25">
      <c r="A1992" s="16"/>
      <c r="B1992" s="17"/>
      <c r="C1992" s="2" t="b">
        <v>0</v>
      </c>
      <c r="D1992" s="2"/>
      <c r="E1992" s="2"/>
      <c r="F1992" s="2"/>
      <c r="G1992" s="2"/>
      <c r="H1992" s="2"/>
      <c r="I1992" s="5"/>
    </row>
    <row r="1993" spans="1:9" ht="17.399999999999999" x14ac:dyDescent="0.25">
      <c r="A1993" s="16"/>
      <c r="B1993" s="17"/>
      <c r="C1993" s="2" t="b">
        <v>0</v>
      </c>
      <c r="D1993" s="2"/>
      <c r="E1993" s="2"/>
      <c r="F1993" s="2"/>
      <c r="G1993" s="2"/>
      <c r="H1993" s="2"/>
      <c r="I1993" s="5"/>
    </row>
    <row r="1994" spans="1:9" ht="17.399999999999999" x14ac:dyDescent="0.25">
      <c r="A1994" s="16"/>
      <c r="B1994" s="17"/>
      <c r="C1994" s="2" t="b">
        <v>0</v>
      </c>
      <c r="D1994" s="2"/>
      <c r="E1994" s="2"/>
      <c r="F1994" s="2"/>
      <c r="G1994" s="2"/>
      <c r="H1994" s="2"/>
      <c r="I1994" s="5"/>
    </row>
    <row r="1995" spans="1:9" ht="17.399999999999999" x14ac:dyDescent="0.25">
      <c r="A1995" s="16"/>
      <c r="B1995" s="17"/>
      <c r="C1995" s="2" t="b">
        <v>0</v>
      </c>
      <c r="D1995" s="2"/>
      <c r="E1995" s="2"/>
      <c r="F1995" s="2"/>
      <c r="G1995" s="2"/>
      <c r="H1995" s="2"/>
      <c r="I1995" s="5"/>
    </row>
    <row r="1996" spans="1:9" ht="17.399999999999999" x14ac:dyDescent="0.25">
      <c r="A1996" s="16"/>
      <c r="B1996" s="17"/>
      <c r="C1996" s="2" t="b">
        <v>0</v>
      </c>
      <c r="D1996" s="2"/>
      <c r="E1996" s="2"/>
      <c r="F1996" s="2"/>
      <c r="G1996" s="2"/>
      <c r="H1996" s="2"/>
      <c r="I1996" s="5"/>
    </row>
    <row r="1997" spans="1:9" ht="17.399999999999999" x14ac:dyDescent="0.25">
      <c r="A1997" s="16"/>
      <c r="B1997" s="17"/>
      <c r="C1997" s="2" t="b">
        <v>0</v>
      </c>
      <c r="D1997" s="2"/>
      <c r="E1997" s="2"/>
      <c r="F1997" s="2"/>
      <c r="G1997" s="2"/>
      <c r="H1997" s="2"/>
      <c r="I1997" s="5"/>
    </row>
    <row r="1998" spans="1:9" ht="17.399999999999999" x14ac:dyDescent="0.25">
      <c r="A1998" s="16"/>
      <c r="B1998" s="17"/>
      <c r="C1998" s="2" t="b">
        <v>0</v>
      </c>
      <c r="D1998" s="2"/>
      <c r="E1998" s="2"/>
      <c r="F1998" s="2"/>
      <c r="G1998" s="2"/>
      <c r="H1998" s="2"/>
      <c r="I1998" s="5"/>
    </row>
    <row r="1999" spans="1:9" ht="17.399999999999999" x14ac:dyDescent="0.25">
      <c r="A1999" s="16"/>
      <c r="B1999" s="17"/>
      <c r="C1999" s="2" t="b">
        <v>0</v>
      </c>
      <c r="D1999" s="2"/>
      <c r="E1999" s="2"/>
      <c r="F1999" s="2"/>
      <c r="G1999" s="2"/>
      <c r="H1999" s="2"/>
      <c r="I1999" s="5"/>
    </row>
    <row r="2000" spans="1:9" ht="17.399999999999999" x14ac:dyDescent="0.25">
      <c r="A2000" s="16"/>
      <c r="B2000" s="17"/>
      <c r="C2000" s="2" t="b">
        <v>0</v>
      </c>
      <c r="D2000" s="2"/>
      <c r="E2000" s="2"/>
      <c r="F2000" s="2"/>
      <c r="G2000" s="2"/>
      <c r="H2000" s="2"/>
      <c r="I2000" s="5"/>
    </row>
    <row r="2001" spans="1:9" ht="17.399999999999999" x14ac:dyDescent="0.25">
      <c r="A2001" s="16"/>
      <c r="B2001" s="17"/>
      <c r="C2001" s="2" t="b">
        <v>0</v>
      </c>
      <c r="D2001" s="2"/>
      <c r="E2001" s="2"/>
      <c r="F2001" s="2"/>
      <c r="G2001" s="2"/>
      <c r="H2001" s="2"/>
      <c r="I2001" s="5"/>
    </row>
    <row r="2002" spans="1:9" ht="17.399999999999999" x14ac:dyDescent="0.25">
      <c r="A2002" s="16"/>
      <c r="B2002" s="17"/>
      <c r="C2002" s="2" t="b">
        <v>0</v>
      </c>
      <c r="D2002" s="2"/>
      <c r="E2002" s="2"/>
      <c r="F2002" s="2"/>
      <c r="G2002" s="2"/>
      <c r="H2002" s="2"/>
      <c r="I2002" s="5"/>
    </row>
    <row r="2003" spans="1:9" ht="17.399999999999999" x14ac:dyDescent="0.25">
      <c r="A2003" s="16"/>
      <c r="B2003" s="17"/>
      <c r="C2003" s="2" t="b">
        <v>0</v>
      </c>
      <c r="D2003" s="2"/>
      <c r="E2003" s="2"/>
      <c r="F2003" s="2"/>
      <c r="G2003" s="2"/>
      <c r="H2003" s="2"/>
      <c r="I2003" s="5"/>
    </row>
    <row r="2004" spans="1:9" ht="17.399999999999999" x14ac:dyDescent="0.25">
      <c r="A2004" s="16"/>
      <c r="B2004" s="17"/>
      <c r="C2004" s="2" t="b">
        <v>0</v>
      </c>
      <c r="D2004" s="2"/>
      <c r="E2004" s="2"/>
      <c r="F2004" s="2"/>
      <c r="G2004" s="2"/>
      <c r="H2004" s="2"/>
      <c r="I2004" s="5"/>
    </row>
    <row r="2005" spans="1:9" ht="17.399999999999999" x14ac:dyDescent="0.25">
      <c r="A2005" s="16"/>
      <c r="B2005" s="17"/>
      <c r="C2005" s="2" t="b">
        <v>0</v>
      </c>
      <c r="D2005" s="2"/>
      <c r="E2005" s="2"/>
      <c r="F2005" s="2"/>
      <c r="G2005" s="2"/>
      <c r="H2005" s="2"/>
      <c r="I2005" s="5"/>
    </row>
    <row r="2006" spans="1:9" ht="17.399999999999999" x14ac:dyDescent="0.25">
      <c r="A2006" s="16"/>
      <c r="B2006" s="17"/>
      <c r="C2006" s="2" t="b">
        <v>0</v>
      </c>
      <c r="D2006" s="2"/>
      <c r="E2006" s="2"/>
      <c r="F2006" s="2"/>
      <c r="G2006" s="2"/>
      <c r="H2006" s="2"/>
      <c r="I2006" s="5"/>
    </row>
    <row r="2007" spans="1:9" ht="17.399999999999999" x14ac:dyDescent="0.25">
      <c r="A2007" s="16"/>
      <c r="B2007" s="17"/>
      <c r="C2007" s="2" t="b">
        <v>0</v>
      </c>
      <c r="D2007" s="2"/>
      <c r="E2007" s="2"/>
      <c r="F2007" s="2"/>
      <c r="G2007" s="2"/>
      <c r="H2007" s="2"/>
      <c r="I2007" s="5"/>
    </row>
    <row r="2008" spans="1:9" ht="17.399999999999999" x14ac:dyDescent="0.25">
      <c r="A2008" s="16"/>
      <c r="B2008" s="17"/>
      <c r="C2008" s="2" t="b">
        <v>0</v>
      </c>
      <c r="D2008" s="2"/>
      <c r="E2008" s="2"/>
      <c r="F2008" s="2"/>
      <c r="G2008" s="2"/>
      <c r="H2008" s="2"/>
      <c r="I2008" s="5"/>
    </row>
    <row r="2009" spans="1:9" ht="17.399999999999999" x14ac:dyDescent="0.25">
      <c r="A2009" s="16"/>
      <c r="B2009" s="17"/>
      <c r="C2009" s="2" t="b">
        <v>0</v>
      </c>
      <c r="D2009" s="2"/>
      <c r="E2009" s="2"/>
      <c r="F2009" s="2"/>
      <c r="G2009" s="2"/>
      <c r="H2009" s="2"/>
      <c r="I2009" s="5"/>
    </row>
    <row r="2010" spans="1:9" ht="17.399999999999999" x14ac:dyDescent="0.25">
      <c r="A2010" s="16"/>
      <c r="B2010" s="17"/>
      <c r="C2010" s="2" t="b">
        <v>0</v>
      </c>
      <c r="D2010" s="2"/>
      <c r="E2010" s="2"/>
      <c r="F2010" s="2"/>
      <c r="G2010" s="2"/>
      <c r="H2010" s="2"/>
      <c r="I2010" s="5"/>
    </row>
    <row r="2011" spans="1:9" ht="17.399999999999999" x14ac:dyDescent="0.25">
      <c r="A2011" s="16"/>
      <c r="B2011" s="17"/>
      <c r="C2011" s="2" t="b">
        <v>0</v>
      </c>
      <c r="D2011" s="2"/>
      <c r="E2011" s="2"/>
      <c r="F2011" s="2"/>
      <c r="G2011" s="2"/>
      <c r="H2011" s="2"/>
      <c r="I2011" s="5"/>
    </row>
    <row r="2012" spans="1:9" ht="17.399999999999999" x14ac:dyDescent="0.25">
      <c r="A2012" s="16"/>
      <c r="B2012" s="17"/>
      <c r="C2012" s="2" t="b">
        <v>0</v>
      </c>
      <c r="D2012" s="2"/>
      <c r="E2012" s="2"/>
      <c r="F2012" s="2"/>
      <c r="G2012" s="2"/>
      <c r="H2012" s="2"/>
      <c r="I2012" s="5"/>
    </row>
    <row r="2013" spans="1:9" ht="17.399999999999999" x14ac:dyDescent="0.25">
      <c r="A2013" s="16"/>
      <c r="B2013" s="17"/>
      <c r="C2013" s="2" t="b">
        <v>0</v>
      </c>
      <c r="D2013" s="2"/>
      <c r="E2013" s="2"/>
      <c r="F2013" s="2"/>
      <c r="G2013" s="2"/>
      <c r="H2013" s="2"/>
      <c r="I2013" s="5"/>
    </row>
    <row r="2014" spans="1:9" ht="17.399999999999999" x14ac:dyDescent="0.25">
      <c r="A2014" s="16"/>
      <c r="B2014" s="17"/>
      <c r="C2014" s="2" t="b">
        <v>0</v>
      </c>
      <c r="D2014" s="2"/>
      <c r="E2014" s="2"/>
      <c r="F2014" s="2"/>
      <c r="G2014" s="2"/>
      <c r="H2014" s="2"/>
      <c r="I2014" s="5"/>
    </row>
    <row r="2015" spans="1:9" ht="17.399999999999999" x14ac:dyDescent="0.25">
      <c r="A2015" s="16"/>
      <c r="B2015" s="17"/>
      <c r="C2015" s="2" t="b">
        <v>0</v>
      </c>
      <c r="D2015" s="2"/>
      <c r="E2015" s="2"/>
      <c r="F2015" s="2"/>
      <c r="G2015" s="2"/>
      <c r="H2015" s="2"/>
      <c r="I2015" s="5"/>
    </row>
    <row r="2016" spans="1:9" ht="17.399999999999999" x14ac:dyDescent="0.25">
      <c r="A2016" s="16"/>
      <c r="B2016" s="17"/>
      <c r="C2016" s="2" t="b">
        <v>0</v>
      </c>
      <c r="D2016" s="2"/>
      <c r="E2016" s="2"/>
      <c r="F2016" s="2"/>
      <c r="G2016" s="2"/>
      <c r="H2016" s="2"/>
      <c r="I2016" s="5"/>
    </row>
    <row r="2017" spans="1:9" ht="17.399999999999999" x14ac:dyDescent="0.25">
      <c r="A2017" s="16"/>
      <c r="B2017" s="17"/>
      <c r="C2017" s="2" t="b">
        <v>0</v>
      </c>
      <c r="D2017" s="2"/>
      <c r="E2017" s="2"/>
      <c r="F2017" s="2"/>
      <c r="G2017" s="2"/>
      <c r="H2017" s="2"/>
      <c r="I2017" s="5"/>
    </row>
    <row r="2018" spans="1:9" ht="17.399999999999999" x14ac:dyDescent="0.25">
      <c r="A2018" s="16"/>
      <c r="B2018" s="17"/>
      <c r="C2018" s="2" t="b">
        <v>0</v>
      </c>
      <c r="D2018" s="2"/>
      <c r="E2018" s="2"/>
      <c r="F2018" s="2"/>
      <c r="G2018" s="2"/>
      <c r="H2018" s="2"/>
      <c r="I2018" s="5"/>
    </row>
    <row r="2019" spans="1:9" ht="17.399999999999999" x14ac:dyDescent="0.25">
      <c r="A2019" s="16"/>
      <c r="B2019" s="17"/>
      <c r="C2019" s="2" t="b">
        <v>0</v>
      </c>
      <c r="D2019" s="2"/>
      <c r="E2019" s="2"/>
      <c r="F2019" s="2"/>
      <c r="G2019" s="2"/>
      <c r="H2019" s="2"/>
      <c r="I2019" s="5"/>
    </row>
    <row r="2020" spans="1:9" ht="17.399999999999999" x14ac:dyDescent="0.25">
      <c r="A2020" s="16"/>
      <c r="B2020" s="17"/>
      <c r="C2020" s="2" t="b">
        <v>0</v>
      </c>
      <c r="D2020" s="2"/>
      <c r="E2020" s="2"/>
      <c r="F2020" s="2"/>
      <c r="G2020" s="2"/>
      <c r="H2020" s="2"/>
      <c r="I2020" s="5"/>
    </row>
    <row r="2021" spans="1:9" ht="17.399999999999999" x14ac:dyDescent="0.25">
      <c r="A2021" s="16"/>
      <c r="B2021" s="17"/>
      <c r="C2021" s="2" t="b">
        <v>0</v>
      </c>
      <c r="D2021" s="2"/>
      <c r="E2021" s="2"/>
      <c r="F2021" s="2"/>
      <c r="G2021" s="2"/>
      <c r="H2021" s="2"/>
      <c r="I2021" s="5"/>
    </row>
    <row r="2022" spans="1:9" ht="17.399999999999999" x14ac:dyDescent="0.25">
      <c r="A2022" s="16"/>
      <c r="B2022" s="17"/>
      <c r="C2022" s="2" t="b">
        <v>0</v>
      </c>
      <c r="D2022" s="2"/>
      <c r="E2022" s="2"/>
      <c r="F2022" s="2"/>
      <c r="G2022" s="2"/>
      <c r="H2022" s="2"/>
      <c r="I2022" s="5"/>
    </row>
    <row r="2023" spans="1:9" ht="17.399999999999999" x14ac:dyDescent="0.25">
      <c r="A2023" s="16"/>
      <c r="B2023" s="17"/>
      <c r="C2023" s="2" t="b">
        <v>0</v>
      </c>
      <c r="D2023" s="2"/>
      <c r="E2023" s="2"/>
      <c r="F2023" s="2"/>
      <c r="G2023" s="2"/>
      <c r="H2023" s="2"/>
      <c r="I2023" s="5"/>
    </row>
    <row r="2024" spans="1:9" ht="17.399999999999999" x14ac:dyDescent="0.25">
      <c r="A2024" s="16"/>
      <c r="B2024" s="17"/>
      <c r="C2024" s="2" t="b">
        <v>0</v>
      </c>
      <c r="D2024" s="2"/>
      <c r="E2024" s="2"/>
      <c r="F2024" s="2"/>
      <c r="G2024" s="2"/>
      <c r="H2024" s="2"/>
      <c r="I2024" s="5"/>
    </row>
    <row r="2025" spans="1:9" ht="17.399999999999999" x14ac:dyDescent="0.25">
      <c r="A2025" s="16"/>
      <c r="B2025" s="17"/>
      <c r="C2025" s="2" t="b">
        <v>0</v>
      </c>
      <c r="D2025" s="2"/>
      <c r="E2025" s="2"/>
      <c r="F2025" s="2"/>
      <c r="G2025" s="2"/>
      <c r="H2025" s="2"/>
      <c r="I2025" s="5"/>
    </row>
    <row r="2026" spans="1:9" ht="17.399999999999999" x14ac:dyDescent="0.25">
      <c r="A2026" s="16"/>
      <c r="B2026" s="17"/>
      <c r="C2026" s="2" t="b">
        <v>0</v>
      </c>
      <c r="D2026" s="2"/>
      <c r="E2026" s="2"/>
      <c r="F2026" s="2"/>
      <c r="G2026" s="2"/>
      <c r="H2026" s="2"/>
      <c r="I2026" s="5"/>
    </row>
    <row r="2027" spans="1:9" ht="17.399999999999999" x14ac:dyDescent="0.25">
      <c r="A2027" s="16"/>
      <c r="B2027" s="17"/>
      <c r="C2027" s="2" t="b">
        <v>0</v>
      </c>
      <c r="D2027" s="2"/>
      <c r="E2027" s="2"/>
      <c r="F2027" s="2"/>
      <c r="G2027" s="2"/>
      <c r="H2027" s="2"/>
      <c r="I2027" s="5"/>
    </row>
    <row r="2028" spans="1:9" ht="17.399999999999999" x14ac:dyDescent="0.25">
      <c r="A2028" s="16"/>
      <c r="B2028" s="17"/>
      <c r="C2028" s="2" t="b">
        <v>0</v>
      </c>
      <c r="D2028" s="2"/>
      <c r="E2028" s="2"/>
      <c r="F2028" s="2"/>
      <c r="G2028" s="2"/>
      <c r="H2028" s="2"/>
      <c r="I2028" s="5"/>
    </row>
    <row r="2029" spans="1:9" ht="17.399999999999999" x14ac:dyDescent="0.25">
      <c r="A2029" s="16"/>
      <c r="B2029" s="17"/>
      <c r="C2029" s="2" t="b">
        <v>0</v>
      </c>
      <c r="D2029" s="2"/>
      <c r="E2029" s="2"/>
      <c r="F2029" s="2"/>
      <c r="G2029" s="2"/>
      <c r="H2029" s="2"/>
      <c r="I2029" s="5"/>
    </row>
    <row r="2030" spans="1:9" ht="17.399999999999999" x14ac:dyDescent="0.25">
      <c r="A2030" s="16"/>
      <c r="B2030" s="17"/>
      <c r="C2030" s="2" t="b">
        <v>0</v>
      </c>
      <c r="D2030" s="2"/>
      <c r="E2030" s="2"/>
      <c r="F2030" s="2"/>
      <c r="G2030" s="2"/>
      <c r="H2030" s="2"/>
      <c r="I2030" s="5"/>
    </row>
    <row r="2031" spans="1:9" ht="17.399999999999999" x14ac:dyDescent="0.25">
      <c r="A2031" s="16"/>
      <c r="B2031" s="17"/>
      <c r="C2031" s="2" t="b">
        <v>0</v>
      </c>
      <c r="D2031" s="2"/>
      <c r="E2031" s="2"/>
      <c r="F2031" s="2"/>
      <c r="G2031" s="2"/>
      <c r="H2031" s="2"/>
      <c r="I2031" s="5"/>
    </row>
    <row r="2032" spans="1:9" ht="17.399999999999999" x14ac:dyDescent="0.25">
      <c r="A2032" s="16"/>
      <c r="B2032" s="17"/>
      <c r="C2032" s="2" t="b">
        <v>0</v>
      </c>
      <c r="D2032" s="2"/>
      <c r="E2032" s="2"/>
      <c r="F2032" s="2"/>
      <c r="G2032" s="2"/>
      <c r="H2032" s="2"/>
      <c r="I2032" s="5"/>
    </row>
    <row r="2033" spans="1:9" ht="17.399999999999999" x14ac:dyDescent="0.25">
      <c r="A2033" s="16"/>
      <c r="B2033" s="17"/>
      <c r="C2033" s="2" t="b">
        <v>0</v>
      </c>
      <c r="D2033" s="2"/>
      <c r="E2033" s="2"/>
      <c r="F2033" s="2"/>
      <c r="G2033" s="2"/>
      <c r="H2033" s="2"/>
      <c r="I2033" s="5"/>
    </row>
    <row r="2034" spans="1:9" ht="17.399999999999999" x14ac:dyDescent="0.25">
      <c r="A2034" s="16"/>
      <c r="B2034" s="17"/>
      <c r="C2034" s="2" t="b">
        <v>0</v>
      </c>
      <c r="D2034" s="2"/>
      <c r="E2034" s="2"/>
      <c r="F2034" s="2"/>
      <c r="G2034" s="2"/>
      <c r="H2034" s="2"/>
      <c r="I2034" s="5"/>
    </row>
    <row r="2035" spans="1:9" ht="17.399999999999999" x14ac:dyDescent="0.25">
      <c r="A2035" s="16"/>
      <c r="B2035" s="17"/>
      <c r="C2035" s="2" t="b">
        <v>0</v>
      </c>
      <c r="D2035" s="2"/>
      <c r="E2035" s="2"/>
      <c r="F2035" s="2"/>
      <c r="G2035" s="2"/>
      <c r="H2035" s="2"/>
      <c r="I2035" s="5"/>
    </row>
    <row r="2036" spans="1:9" ht="17.399999999999999" x14ac:dyDescent="0.25">
      <c r="A2036" s="16"/>
      <c r="B2036" s="17"/>
      <c r="C2036" s="2" t="b">
        <v>0</v>
      </c>
      <c r="D2036" s="2"/>
      <c r="E2036" s="2"/>
      <c r="F2036" s="2"/>
      <c r="G2036" s="2"/>
      <c r="H2036" s="2"/>
      <c r="I2036" s="5"/>
    </row>
    <row r="2037" spans="1:9" ht="17.399999999999999" x14ac:dyDescent="0.25">
      <c r="A2037" s="16"/>
      <c r="B2037" s="17"/>
      <c r="C2037" s="2" t="b">
        <v>0</v>
      </c>
      <c r="D2037" s="2"/>
      <c r="E2037" s="2"/>
      <c r="F2037" s="2"/>
      <c r="G2037" s="2"/>
      <c r="H2037" s="2"/>
      <c r="I2037" s="5"/>
    </row>
    <row r="2038" spans="1:9" ht="17.399999999999999" x14ac:dyDescent="0.25">
      <c r="A2038" s="16"/>
      <c r="B2038" s="17"/>
      <c r="C2038" s="2" t="b">
        <v>0</v>
      </c>
      <c r="D2038" s="2"/>
      <c r="E2038" s="2"/>
      <c r="F2038" s="2"/>
      <c r="G2038" s="2"/>
      <c r="H2038" s="2"/>
      <c r="I2038" s="5"/>
    </row>
    <row r="2039" spans="1:9" ht="17.399999999999999" x14ac:dyDescent="0.25">
      <c r="A2039" s="16"/>
      <c r="B2039" s="17"/>
      <c r="C2039" s="2" t="b">
        <v>0</v>
      </c>
      <c r="D2039" s="2"/>
      <c r="E2039" s="2"/>
      <c r="F2039" s="2"/>
      <c r="G2039" s="2"/>
      <c r="H2039" s="2"/>
      <c r="I2039" s="5"/>
    </row>
    <row r="2040" spans="1:9" ht="17.399999999999999" x14ac:dyDescent="0.25">
      <c r="A2040" s="16"/>
      <c r="B2040" s="17"/>
      <c r="C2040" s="2" t="b">
        <v>0</v>
      </c>
      <c r="D2040" s="2"/>
      <c r="E2040" s="2"/>
      <c r="F2040" s="2"/>
      <c r="G2040" s="2"/>
      <c r="H2040" s="2"/>
      <c r="I2040" s="5"/>
    </row>
    <row r="2041" spans="1:9" ht="17.399999999999999" x14ac:dyDescent="0.25">
      <c r="A2041" s="16"/>
      <c r="B2041" s="17"/>
      <c r="C2041" s="2" t="b">
        <v>0</v>
      </c>
      <c r="D2041" s="2"/>
      <c r="E2041" s="2"/>
      <c r="F2041" s="2"/>
      <c r="G2041" s="2"/>
      <c r="H2041" s="2"/>
      <c r="I2041" s="5"/>
    </row>
    <row r="2042" spans="1:9" ht="17.399999999999999" x14ac:dyDescent="0.25">
      <c r="A2042" s="16"/>
      <c r="B2042" s="17"/>
      <c r="C2042" s="2" t="b">
        <v>0</v>
      </c>
      <c r="D2042" s="2"/>
      <c r="E2042" s="2"/>
      <c r="F2042" s="2"/>
      <c r="G2042" s="2"/>
      <c r="H2042" s="2"/>
      <c r="I2042" s="5"/>
    </row>
    <row r="2043" spans="1:9" ht="17.399999999999999" x14ac:dyDescent="0.25">
      <c r="A2043" s="16"/>
      <c r="B2043" s="17"/>
      <c r="C2043" s="2" t="b">
        <v>0</v>
      </c>
      <c r="D2043" s="2"/>
      <c r="E2043" s="2"/>
      <c r="F2043" s="2"/>
      <c r="G2043" s="2"/>
      <c r="H2043" s="2"/>
      <c r="I2043" s="5"/>
    </row>
    <row r="2044" spans="1:9" ht="17.399999999999999" x14ac:dyDescent="0.25">
      <c r="A2044" s="16"/>
      <c r="B2044" s="17"/>
      <c r="C2044" s="2" t="b">
        <v>0</v>
      </c>
      <c r="D2044" s="2"/>
      <c r="E2044" s="2"/>
      <c r="F2044" s="2"/>
      <c r="G2044" s="2"/>
      <c r="H2044" s="2"/>
      <c r="I2044" s="5"/>
    </row>
    <row r="2045" spans="1:9" ht="17.399999999999999" x14ac:dyDescent="0.25">
      <c r="A2045" s="16"/>
      <c r="B2045" s="17"/>
      <c r="C2045" s="2" t="b">
        <v>0</v>
      </c>
      <c r="D2045" s="2"/>
      <c r="E2045" s="2"/>
      <c r="F2045" s="2"/>
      <c r="G2045" s="2"/>
      <c r="H2045" s="2"/>
      <c r="I2045" s="5"/>
    </row>
    <row r="2046" spans="1:9" ht="17.399999999999999" x14ac:dyDescent="0.25">
      <c r="A2046" s="16"/>
      <c r="B2046" s="17"/>
      <c r="C2046" s="2" t="b">
        <v>0</v>
      </c>
      <c r="D2046" s="2"/>
      <c r="E2046" s="2"/>
      <c r="F2046" s="2"/>
      <c r="G2046" s="2"/>
      <c r="H2046" s="2"/>
      <c r="I2046" s="5"/>
    </row>
    <row r="2047" spans="1:9" ht="17.399999999999999" x14ac:dyDescent="0.25">
      <c r="A2047" s="16"/>
      <c r="B2047" s="17"/>
      <c r="C2047" s="2" t="b">
        <v>0</v>
      </c>
      <c r="D2047" s="2"/>
      <c r="E2047" s="2"/>
      <c r="F2047" s="2"/>
      <c r="G2047" s="2"/>
      <c r="H2047" s="2"/>
      <c r="I2047" s="5"/>
    </row>
    <row r="2048" spans="1:9" ht="17.399999999999999" x14ac:dyDescent="0.25">
      <c r="A2048" s="16"/>
      <c r="B2048" s="17"/>
      <c r="C2048" s="2" t="b">
        <v>0</v>
      </c>
      <c r="D2048" s="2"/>
      <c r="E2048" s="2"/>
      <c r="F2048" s="2"/>
      <c r="G2048" s="2"/>
      <c r="H2048" s="2"/>
      <c r="I2048" s="5"/>
    </row>
    <row r="2049" spans="1:9" ht="17.399999999999999" x14ac:dyDescent="0.25">
      <c r="A2049" s="16"/>
      <c r="B2049" s="17"/>
      <c r="C2049" s="2" t="b">
        <v>0</v>
      </c>
      <c r="D2049" s="2"/>
      <c r="E2049" s="2"/>
      <c r="F2049" s="2"/>
      <c r="G2049" s="2"/>
      <c r="H2049" s="2"/>
      <c r="I2049" s="5"/>
    </row>
    <row r="2050" spans="1:9" ht="17.399999999999999" x14ac:dyDescent="0.25">
      <c r="A2050" s="16"/>
      <c r="B2050" s="17"/>
      <c r="C2050" s="2" t="b">
        <v>0</v>
      </c>
      <c r="D2050" s="2"/>
      <c r="E2050" s="2"/>
      <c r="F2050" s="2"/>
      <c r="G2050" s="2"/>
      <c r="H2050" s="2"/>
      <c r="I2050" s="5"/>
    </row>
    <row r="2051" spans="1:9" ht="17.399999999999999" x14ac:dyDescent="0.25">
      <c r="A2051" s="16"/>
      <c r="B2051" s="17"/>
      <c r="C2051" s="2" t="b">
        <v>0</v>
      </c>
      <c r="D2051" s="2"/>
      <c r="E2051" s="2"/>
      <c r="F2051" s="2"/>
      <c r="G2051" s="2"/>
      <c r="H2051" s="2"/>
      <c r="I2051" s="5"/>
    </row>
    <row r="2052" spans="1:9" ht="17.399999999999999" x14ac:dyDescent="0.25">
      <c r="A2052" s="16"/>
      <c r="B2052" s="17"/>
      <c r="C2052" s="2" t="b">
        <v>0</v>
      </c>
      <c r="D2052" s="2"/>
      <c r="E2052" s="2"/>
      <c r="F2052" s="2"/>
      <c r="G2052" s="2"/>
      <c r="H2052" s="2"/>
      <c r="I2052" s="5"/>
    </row>
    <row r="2053" spans="1:9" ht="17.399999999999999" x14ac:dyDescent="0.25">
      <c r="A2053" s="16"/>
      <c r="B2053" s="17"/>
      <c r="C2053" s="2" t="b">
        <v>0</v>
      </c>
      <c r="D2053" s="2"/>
      <c r="E2053" s="2"/>
      <c r="F2053" s="2"/>
      <c r="G2053" s="2"/>
      <c r="H2053" s="2"/>
      <c r="I2053" s="5"/>
    </row>
    <row r="2054" spans="1:9" ht="17.399999999999999" x14ac:dyDescent="0.25">
      <c r="A2054" s="16"/>
      <c r="B2054" s="17"/>
      <c r="C2054" s="2" t="b">
        <v>0</v>
      </c>
      <c r="D2054" s="2"/>
      <c r="E2054" s="2"/>
      <c r="F2054" s="2"/>
      <c r="G2054" s="2"/>
      <c r="H2054" s="2"/>
      <c r="I2054" s="5"/>
    </row>
    <row r="2055" spans="1:9" ht="17.399999999999999" x14ac:dyDescent="0.25">
      <c r="A2055" s="16"/>
      <c r="B2055" s="17"/>
      <c r="C2055" s="2" t="b">
        <v>0</v>
      </c>
      <c r="D2055" s="2"/>
      <c r="E2055" s="2"/>
      <c r="F2055" s="2"/>
      <c r="G2055" s="2"/>
      <c r="H2055" s="2"/>
      <c r="I2055" s="5"/>
    </row>
    <row r="2056" spans="1:9" ht="17.399999999999999" x14ac:dyDescent="0.25">
      <c r="A2056" s="16"/>
      <c r="B2056" s="17"/>
      <c r="C2056" s="2" t="b">
        <v>0</v>
      </c>
      <c r="D2056" s="2"/>
      <c r="E2056" s="2"/>
      <c r="F2056" s="2"/>
      <c r="G2056" s="2"/>
      <c r="H2056" s="2"/>
      <c r="I2056" s="5"/>
    </row>
    <row r="2057" spans="1:9" ht="17.399999999999999" x14ac:dyDescent="0.25">
      <c r="A2057" s="16"/>
      <c r="B2057" s="17"/>
      <c r="C2057" s="2" t="b">
        <v>0</v>
      </c>
      <c r="D2057" s="2"/>
      <c r="E2057" s="2"/>
      <c r="F2057" s="2"/>
      <c r="G2057" s="2"/>
      <c r="H2057" s="2"/>
      <c r="I2057" s="5"/>
    </row>
    <row r="2058" spans="1:9" ht="17.399999999999999" x14ac:dyDescent="0.25">
      <c r="A2058" s="16"/>
      <c r="B2058" s="17"/>
      <c r="C2058" s="2" t="b">
        <v>0</v>
      </c>
      <c r="D2058" s="2"/>
      <c r="E2058" s="2"/>
      <c r="F2058" s="2"/>
      <c r="G2058" s="2"/>
      <c r="H2058" s="2"/>
      <c r="I2058" s="5"/>
    </row>
    <row r="2059" spans="1:9" ht="17.399999999999999" x14ac:dyDescent="0.25">
      <c r="A2059" s="16"/>
      <c r="B2059" s="17"/>
      <c r="C2059" s="2" t="b">
        <v>0</v>
      </c>
      <c r="D2059" s="2"/>
      <c r="E2059" s="2"/>
      <c r="F2059" s="2"/>
      <c r="G2059" s="2"/>
      <c r="H2059" s="2"/>
      <c r="I2059" s="5"/>
    </row>
    <row r="2060" spans="1:9" ht="17.399999999999999" x14ac:dyDescent="0.25">
      <c r="A2060" s="16"/>
      <c r="B2060" s="17"/>
      <c r="C2060" s="2" t="b">
        <v>0</v>
      </c>
      <c r="D2060" s="2"/>
      <c r="E2060" s="2"/>
      <c r="F2060" s="2"/>
      <c r="G2060" s="2"/>
      <c r="H2060" s="2"/>
      <c r="I2060" s="5"/>
    </row>
    <row r="2061" spans="1:9" ht="17.399999999999999" x14ac:dyDescent="0.25">
      <c r="A2061" s="16"/>
      <c r="B2061" s="17"/>
      <c r="C2061" s="2" t="b">
        <v>0</v>
      </c>
      <c r="D2061" s="2"/>
      <c r="E2061" s="2"/>
      <c r="F2061" s="2"/>
      <c r="G2061" s="2"/>
      <c r="H2061" s="2"/>
      <c r="I2061" s="5"/>
    </row>
    <row r="2062" spans="1:9" ht="17.399999999999999" x14ac:dyDescent="0.25">
      <c r="A2062" s="16"/>
      <c r="B2062" s="17"/>
      <c r="C2062" s="2" t="b">
        <v>0</v>
      </c>
      <c r="D2062" s="2"/>
      <c r="E2062" s="2"/>
      <c r="F2062" s="2"/>
      <c r="G2062" s="2"/>
      <c r="H2062" s="2"/>
      <c r="I2062" s="5"/>
    </row>
    <row r="2063" spans="1:9" ht="17.399999999999999" x14ac:dyDescent="0.25">
      <c r="A2063" s="16"/>
      <c r="B2063" s="17"/>
      <c r="C2063" s="2" t="b">
        <v>0</v>
      </c>
      <c r="D2063" s="2"/>
      <c r="E2063" s="2"/>
      <c r="F2063" s="2"/>
      <c r="G2063" s="2"/>
      <c r="H2063" s="2"/>
      <c r="I2063" s="5"/>
    </row>
    <row r="2064" spans="1:9" ht="17.399999999999999" x14ac:dyDescent="0.25">
      <c r="A2064" s="16"/>
      <c r="B2064" s="17"/>
      <c r="C2064" s="2" t="b">
        <v>0</v>
      </c>
      <c r="D2064" s="2"/>
      <c r="E2064" s="2"/>
      <c r="F2064" s="2"/>
      <c r="G2064" s="2"/>
      <c r="H2064" s="2"/>
      <c r="I2064" s="5"/>
    </row>
    <row r="2065" spans="1:9" ht="17.399999999999999" x14ac:dyDescent="0.25">
      <c r="A2065" s="16"/>
      <c r="B2065" s="17"/>
      <c r="C2065" s="2" t="b">
        <v>0</v>
      </c>
      <c r="D2065" s="2"/>
      <c r="E2065" s="2"/>
      <c r="F2065" s="2"/>
      <c r="G2065" s="2"/>
      <c r="H2065" s="2"/>
      <c r="I2065" s="5"/>
    </row>
    <row r="2066" spans="1:9" ht="17.399999999999999" x14ac:dyDescent="0.25">
      <c r="A2066" s="16"/>
      <c r="B2066" s="17"/>
      <c r="C2066" s="2" t="b">
        <v>0</v>
      </c>
      <c r="D2066" s="2"/>
      <c r="E2066" s="2"/>
      <c r="F2066" s="2"/>
      <c r="G2066" s="2"/>
      <c r="H2066" s="2"/>
      <c r="I2066" s="5"/>
    </row>
    <row r="2067" spans="1:9" ht="17.399999999999999" x14ac:dyDescent="0.25">
      <c r="A2067" s="16"/>
      <c r="B2067" s="17"/>
      <c r="C2067" s="2" t="b">
        <v>0</v>
      </c>
      <c r="D2067" s="2"/>
      <c r="E2067" s="2"/>
      <c r="F2067" s="2"/>
      <c r="G2067" s="2"/>
      <c r="H2067" s="2"/>
      <c r="I2067" s="5"/>
    </row>
    <row r="2068" spans="1:9" ht="17.399999999999999" x14ac:dyDescent="0.25">
      <c r="A2068" s="16"/>
      <c r="B2068" s="17"/>
      <c r="C2068" s="2" t="b">
        <v>0</v>
      </c>
      <c r="D2068" s="2"/>
      <c r="E2068" s="2"/>
      <c r="F2068" s="2"/>
      <c r="G2068" s="2"/>
      <c r="H2068" s="2"/>
      <c r="I2068" s="5"/>
    </row>
    <row r="2069" spans="1:9" ht="17.399999999999999" x14ac:dyDescent="0.25">
      <c r="A2069" s="16"/>
      <c r="B2069" s="17"/>
      <c r="C2069" s="2" t="b">
        <v>0</v>
      </c>
      <c r="D2069" s="2"/>
      <c r="E2069" s="2"/>
      <c r="F2069" s="2"/>
      <c r="G2069" s="2"/>
      <c r="H2069" s="2"/>
      <c r="I2069" s="5"/>
    </row>
    <row r="2070" spans="1:9" ht="17.399999999999999" x14ac:dyDescent="0.25">
      <c r="A2070" s="16"/>
      <c r="B2070" s="17"/>
      <c r="C2070" s="2" t="b">
        <v>0</v>
      </c>
      <c r="D2070" s="2"/>
      <c r="E2070" s="2"/>
      <c r="F2070" s="2"/>
      <c r="G2070" s="2"/>
      <c r="H2070" s="2"/>
      <c r="I2070" s="5"/>
    </row>
    <row r="2071" spans="1:9" ht="17.399999999999999" x14ac:dyDescent="0.25">
      <c r="A2071" s="16"/>
      <c r="B2071" s="17"/>
      <c r="C2071" s="2" t="b">
        <v>0</v>
      </c>
      <c r="D2071" s="2"/>
      <c r="E2071" s="2"/>
      <c r="F2071" s="2"/>
      <c r="G2071" s="2"/>
      <c r="H2071" s="2"/>
      <c r="I2071" s="5"/>
    </row>
    <row r="2072" spans="1:9" ht="17.399999999999999" x14ac:dyDescent="0.25">
      <c r="A2072" s="16"/>
      <c r="B2072" s="17"/>
      <c r="C2072" s="2" t="b">
        <v>0</v>
      </c>
      <c r="D2072" s="2"/>
      <c r="E2072" s="2"/>
      <c r="F2072" s="2"/>
      <c r="G2072" s="2"/>
      <c r="H2072" s="2"/>
      <c r="I2072" s="5"/>
    </row>
    <row r="2073" spans="1:9" ht="17.399999999999999" x14ac:dyDescent="0.25">
      <c r="A2073" s="16"/>
      <c r="B2073" s="17"/>
      <c r="C2073" s="2" t="b">
        <v>0</v>
      </c>
      <c r="D2073" s="2"/>
      <c r="E2073" s="2"/>
      <c r="F2073" s="2"/>
      <c r="G2073" s="2"/>
      <c r="H2073" s="2"/>
      <c r="I2073" s="5"/>
    </row>
    <row r="2074" spans="1:9" ht="17.399999999999999" x14ac:dyDescent="0.25">
      <c r="A2074" s="16"/>
      <c r="B2074" s="17"/>
      <c r="C2074" s="2" t="b">
        <v>0</v>
      </c>
      <c r="D2074" s="2"/>
      <c r="E2074" s="2"/>
      <c r="F2074" s="2"/>
      <c r="G2074" s="2"/>
      <c r="H2074" s="2"/>
      <c r="I2074" s="5"/>
    </row>
    <row r="2075" spans="1:9" ht="17.399999999999999" x14ac:dyDescent="0.25">
      <c r="A2075" s="16"/>
      <c r="B2075" s="17"/>
      <c r="C2075" s="2" t="b">
        <v>0</v>
      </c>
      <c r="D2075" s="2"/>
      <c r="E2075" s="2"/>
      <c r="F2075" s="2"/>
      <c r="G2075" s="2"/>
      <c r="H2075" s="2"/>
      <c r="I2075" s="5"/>
    </row>
    <row r="2076" spans="1:9" ht="17.399999999999999" x14ac:dyDescent="0.25">
      <c r="A2076" s="16"/>
      <c r="B2076" s="17"/>
      <c r="C2076" s="2" t="b">
        <v>0</v>
      </c>
      <c r="D2076" s="2"/>
      <c r="E2076" s="2"/>
      <c r="F2076" s="2"/>
      <c r="G2076" s="2"/>
      <c r="H2076" s="2"/>
      <c r="I2076" s="5"/>
    </row>
    <row r="2077" spans="1:9" ht="17.399999999999999" x14ac:dyDescent="0.25">
      <c r="A2077" s="16"/>
      <c r="B2077" s="17"/>
      <c r="C2077" s="2" t="b">
        <v>0</v>
      </c>
      <c r="D2077" s="2"/>
      <c r="E2077" s="2"/>
      <c r="F2077" s="2"/>
      <c r="G2077" s="2"/>
      <c r="H2077" s="2"/>
      <c r="I2077" s="5"/>
    </row>
    <row r="2078" spans="1:9" ht="17.399999999999999" x14ac:dyDescent="0.25">
      <c r="A2078" s="16"/>
      <c r="B2078" s="17"/>
      <c r="C2078" s="2" t="b">
        <v>0</v>
      </c>
      <c r="D2078" s="2"/>
      <c r="E2078" s="2"/>
      <c r="F2078" s="2"/>
      <c r="G2078" s="2"/>
      <c r="H2078" s="2"/>
      <c r="I2078" s="5"/>
    </row>
    <row r="2079" spans="1:9" ht="17.399999999999999" x14ac:dyDescent="0.25">
      <c r="A2079" s="16"/>
      <c r="B2079" s="17"/>
      <c r="C2079" s="2" t="b">
        <v>0</v>
      </c>
      <c r="D2079" s="2"/>
      <c r="E2079" s="2"/>
      <c r="F2079" s="2"/>
      <c r="G2079" s="2"/>
      <c r="H2079" s="2"/>
      <c r="I2079" s="5"/>
    </row>
    <row r="2080" spans="1:9" ht="17.399999999999999" x14ac:dyDescent="0.25">
      <c r="A2080" s="16"/>
      <c r="B2080" s="17"/>
      <c r="C2080" s="2" t="b">
        <v>0</v>
      </c>
      <c r="D2080" s="2"/>
      <c r="E2080" s="2"/>
      <c r="F2080" s="2"/>
      <c r="G2080" s="2"/>
      <c r="H2080" s="2"/>
      <c r="I2080" s="5"/>
    </row>
    <row r="2081" spans="1:9" ht="17.399999999999999" x14ac:dyDescent="0.25">
      <c r="A2081" s="16"/>
      <c r="B2081" s="17"/>
      <c r="C2081" s="2" t="b">
        <v>0</v>
      </c>
      <c r="D2081" s="2"/>
      <c r="E2081" s="2"/>
      <c r="F2081" s="2"/>
      <c r="G2081" s="2"/>
      <c r="H2081" s="2"/>
      <c r="I2081" s="5"/>
    </row>
    <row r="2082" spans="1:9" ht="17.399999999999999" x14ac:dyDescent="0.25">
      <c r="A2082" s="16"/>
      <c r="B2082" s="17"/>
      <c r="C2082" s="2" t="b">
        <v>0</v>
      </c>
      <c r="D2082" s="2"/>
      <c r="E2082" s="2"/>
      <c r="F2082" s="2"/>
      <c r="G2082" s="2"/>
      <c r="H2082" s="2"/>
      <c r="I2082" s="5"/>
    </row>
    <row r="2083" spans="1:9" ht="17.399999999999999" x14ac:dyDescent="0.25">
      <c r="A2083" s="16"/>
      <c r="B2083" s="17"/>
      <c r="C2083" s="2" t="b">
        <v>0</v>
      </c>
      <c r="D2083" s="2"/>
      <c r="E2083" s="2"/>
      <c r="F2083" s="2"/>
      <c r="G2083" s="2"/>
      <c r="H2083" s="2"/>
      <c r="I2083" s="5"/>
    </row>
    <row r="2084" spans="1:9" ht="17.399999999999999" x14ac:dyDescent="0.25">
      <c r="A2084" s="16"/>
      <c r="B2084" s="17"/>
      <c r="C2084" s="2" t="b">
        <v>0</v>
      </c>
      <c r="D2084" s="2"/>
      <c r="E2084" s="2"/>
      <c r="F2084" s="2"/>
      <c r="G2084" s="2"/>
      <c r="H2084" s="2"/>
      <c r="I2084" s="5"/>
    </row>
    <row r="2085" spans="1:9" ht="17.399999999999999" x14ac:dyDescent="0.25">
      <c r="A2085" s="16"/>
      <c r="B2085" s="17"/>
      <c r="C2085" s="2" t="b">
        <v>0</v>
      </c>
      <c r="D2085" s="2"/>
      <c r="E2085" s="2"/>
      <c r="F2085" s="2"/>
      <c r="G2085" s="2"/>
      <c r="H2085" s="2"/>
      <c r="I2085" s="5"/>
    </row>
    <row r="2086" spans="1:9" ht="17.399999999999999" x14ac:dyDescent="0.25">
      <c r="A2086" s="16"/>
      <c r="B2086" s="17"/>
      <c r="C2086" s="2" t="b">
        <v>0</v>
      </c>
      <c r="D2086" s="2"/>
      <c r="E2086" s="2"/>
      <c r="F2086" s="2"/>
      <c r="G2086" s="2"/>
      <c r="H2086" s="2"/>
      <c r="I2086" s="5"/>
    </row>
    <row r="2087" spans="1:9" ht="17.399999999999999" x14ac:dyDescent="0.25">
      <c r="A2087" s="16"/>
      <c r="B2087" s="17"/>
      <c r="C2087" s="2" t="b">
        <v>0</v>
      </c>
      <c r="D2087" s="2"/>
      <c r="E2087" s="2"/>
      <c r="F2087" s="2"/>
      <c r="G2087" s="2"/>
      <c r="H2087" s="2"/>
      <c r="I2087" s="5"/>
    </row>
    <row r="2088" spans="1:9" ht="17.399999999999999" x14ac:dyDescent="0.25">
      <c r="A2088" s="16"/>
      <c r="B2088" s="17"/>
      <c r="C2088" s="2" t="b">
        <v>0</v>
      </c>
      <c r="D2088" s="2"/>
      <c r="E2088" s="2"/>
      <c r="F2088" s="2"/>
      <c r="G2088" s="2"/>
      <c r="H2088" s="2"/>
      <c r="I2088" s="5"/>
    </row>
    <row r="2089" spans="1:9" ht="17.399999999999999" x14ac:dyDescent="0.25">
      <c r="A2089" s="16"/>
      <c r="B2089" s="17"/>
      <c r="C2089" s="2" t="b">
        <v>0</v>
      </c>
      <c r="D2089" s="2"/>
      <c r="E2089" s="2"/>
      <c r="F2089" s="2"/>
      <c r="G2089" s="2"/>
      <c r="H2089" s="2"/>
      <c r="I2089" s="5"/>
    </row>
    <row r="2090" spans="1:9" ht="17.399999999999999" x14ac:dyDescent="0.25">
      <c r="A2090" s="16"/>
      <c r="B2090" s="17"/>
      <c r="C2090" s="2" t="b">
        <v>0</v>
      </c>
      <c r="D2090" s="2"/>
      <c r="E2090" s="2"/>
      <c r="F2090" s="2"/>
      <c r="G2090" s="2"/>
      <c r="H2090" s="2"/>
      <c r="I2090" s="5"/>
    </row>
    <row r="2091" spans="1:9" ht="17.399999999999999" x14ac:dyDescent="0.25">
      <c r="A2091" s="16"/>
      <c r="B2091" s="17"/>
      <c r="C2091" s="2" t="b">
        <v>0</v>
      </c>
      <c r="D2091" s="2"/>
      <c r="E2091" s="2"/>
      <c r="F2091" s="2"/>
      <c r="G2091" s="2"/>
      <c r="H2091" s="2"/>
      <c r="I2091" s="5"/>
    </row>
    <row r="2092" spans="1:9" ht="17.399999999999999" x14ac:dyDescent="0.25">
      <c r="A2092" s="16"/>
      <c r="B2092" s="17"/>
      <c r="C2092" s="2" t="b">
        <v>0</v>
      </c>
      <c r="D2092" s="2"/>
      <c r="E2092" s="2"/>
      <c r="F2092" s="2"/>
      <c r="G2092" s="2"/>
      <c r="H2092" s="2"/>
      <c r="I2092" s="5"/>
    </row>
    <row r="2093" spans="1:9" ht="17.399999999999999" x14ac:dyDescent="0.25">
      <c r="A2093" s="16"/>
      <c r="B2093" s="17"/>
      <c r="C2093" s="2" t="b">
        <v>0</v>
      </c>
      <c r="D2093" s="2"/>
      <c r="E2093" s="2"/>
      <c r="F2093" s="2"/>
      <c r="G2093" s="2"/>
      <c r="H2093" s="2"/>
      <c r="I2093" s="5"/>
    </row>
    <row r="2094" spans="1:9" ht="17.399999999999999" x14ac:dyDescent="0.25">
      <c r="A2094" s="16"/>
      <c r="B2094" s="17"/>
      <c r="C2094" s="2" t="b">
        <v>0</v>
      </c>
      <c r="D2094" s="2"/>
      <c r="E2094" s="2"/>
      <c r="F2094" s="2"/>
      <c r="G2094" s="2"/>
      <c r="H2094" s="2"/>
      <c r="I2094" s="5"/>
    </row>
    <row r="2095" spans="1:9" ht="17.399999999999999" x14ac:dyDescent="0.25">
      <c r="A2095" s="16"/>
      <c r="B2095" s="17"/>
      <c r="C2095" s="2" t="b">
        <v>0</v>
      </c>
      <c r="D2095" s="2"/>
      <c r="E2095" s="2"/>
      <c r="F2095" s="2"/>
      <c r="G2095" s="2"/>
      <c r="H2095" s="2"/>
      <c r="I2095" s="5"/>
    </row>
    <row r="2096" spans="1:9" ht="17.399999999999999" x14ac:dyDescent="0.25">
      <c r="A2096" s="16"/>
      <c r="B2096" s="17"/>
      <c r="C2096" s="2" t="b">
        <v>0</v>
      </c>
      <c r="D2096" s="2"/>
      <c r="E2096" s="2"/>
      <c r="F2096" s="2"/>
      <c r="G2096" s="2"/>
      <c r="H2096" s="2"/>
      <c r="I2096" s="5"/>
    </row>
    <row r="2097" spans="1:9" ht="17.399999999999999" x14ac:dyDescent="0.25">
      <c r="A2097" s="16"/>
      <c r="B2097" s="17"/>
      <c r="C2097" s="2" t="b">
        <v>0</v>
      </c>
      <c r="D2097" s="2"/>
      <c r="E2097" s="2"/>
      <c r="F2097" s="2"/>
      <c r="G2097" s="2"/>
      <c r="H2097" s="2"/>
      <c r="I2097" s="5"/>
    </row>
    <row r="2098" spans="1:9" ht="17.399999999999999" x14ac:dyDescent="0.25">
      <c r="A2098" s="16"/>
      <c r="B2098" s="17"/>
      <c r="C2098" s="2" t="b">
        <v>0</v>
      </c>
      <c r="D2098" s="2"/>
      <c r="E2098" s="2"/>
      <c r="F2098" s="2"/>
      <c r="G2098" s="2"/>
      <c r="H2098" s="2"/>
      <c r="I2098" s="5"/>
    </row>
    <row r="2099" spans="1:9" ht="17.399999999999999" x14ac:dyDescent="0.25">
      <c r="A2099" s="16"/>
      <c r="B2099" s="17"/>
      <c r="C2099" s="2" t="b">
        <v>0</v>
      </c>
      <c r="D2099" s="2"/>
      <c r="E2099" s="2"/>
      <c r="F2099" s="2"/>
      <c r="G2099" s="2"/>
      <c r="H2099" s="2"/>
      <c r="I2099" s="5"/>
    </row>
    <row r="2100" spans="1:9" ht="17.399999999999999" x14ac:dyDescent="0.25">
      <c r="A2100" s="16"/>
      <c r="B2100" s="17"/>
      <c r="C2100" s="2" t="b">
        <v>0</v>
      </c>
      <c r="D2100" s="2"/>
      <c r="E2100" s="2"/>
      <c r="F2100" s="2"/>
      <c r="G2100" s="2"/>
      <c r="H2100" s="2"/>
      <c r="I2100" s="5"/>
    </row>
    <row r="2101" spans="1:9" ht="17.399999999999999" x14ac:dyDescent="0.25">
      <c r="A2101" s="16"/>
      <c r="B2101" s="17"/>
      <c r="C2101" s="2" t="b">
        <v>0</v>
      </c>
      <c r="D2101" s="2"/>
      <c r="E2101" s="2"/>
      <c r="F2101" s="2"/>
      <c r="G2101" s="2"/>
      <c r="H2101" s="2"/>
      <c r="I2101" s="5"/>
    </row>
    <row r="2102" spans="1:9" ht="17.399999999999999" x14ac:dyDescent="0.25">
      <c r="A2102" s="16"/>
      <c r="B2102" s="17"/>
      <c r="C2102" s="2" t="b">
        <v>0</v>
      </c>
      <c r="D2102" s="2"/>
      <c r="E2102" s="2"/>
      <c r="F2102" s="2"/>
      <c r="G2102" s="2"/>
      <c r="H2102" s="2"/>
      <c r="I2102" s="5"/>
    </row>
    <row r="2103" spans="1:9" ht="17.399999999999999" x14ac:dyDescent="0.25">
      <c r="A2103" s="16"/>
      <c r="B2103" s="17"/>
      <c r="C2103" s="2" t="b">
        <v>0</v>
      </c>
      <c r="D2103" s="2"/>
      <c r="E2103" s="2"/>
      <c r="F2103" s="2"/>
      <c r="G2103" s="2"/>
      <c r="H2103" s="2"/>
      <c r="I2103" s="5"/>
    </row>
    <row r="2104" spans="1:9" ht="17.399999999999999" x14ac:dyDescent="0.25">
      <c r="A2104" s="16"/>
      <c r="B2104" s="17"/>
      <c r="C2104" s="2" t="b">
        <v>0</v>
      </c>
      <c r="D2104" s="2"/>
      <c r="E2104" s="2"/>
      <c r="F2104" s="2"/>
      <c r="G2104" s="2"/>
      <c r="H2104" s="2"/>
      <c r="I2104" s="5"/>
    </row>
    <row r="2105" spans="1:9" ht="17.399999999999999" x14ac:dyDescent="0.25">
      <c r="A2105" s="16"/>
      <c r="B2105" s="17"/>
      <c r="C2105" s="2" t="b">
        <v>0</v>
      </c>
      <c r="D2105" s="2"/>
      <c r="E2105" s="2"/>
      <c r="F2105" s="2"/>
      <c r="G2105" s="2"/>
      <c r="H2105" s="2"/>
      <c r="I2105" s="5"/>
    </row>
    <row r="2106" spans="1:9" ht="17.399999999999999" x14ac:dyDescent="0.25">
      <c r="A2106" s="16"/>
      <c r="B2106" s="17"/>
      <c r="C2106" s="2" t="b">
        <v>0</v>
      </c>
      <c r="D2106" s="2"/>
      <c r="E2106" s="2"/>
      <c r="F2106" s="2"/>
      <c r="G2106" s="2"/>
      <c r="H2106" s="2"/>
      <c r="I2106" s="5"/>
    </row>
    <row r="2107" spans="1:9" ht="17.399999999999999" x14ac:dyDescent="0.25">
      <c r="A2107" s="16"/>
      <c r="B2107" s="17"/>
      <c r="C2107" s="2" t="b">
        <v>0</v>
      </c>
      <c r="D2107" s="2"/>
      <c r="E2107" s="2"/>
      <c r="F2107" s="2"/>
      <c r="G2107" s="2"/>
      <c r="H2107" s="2"/>
      <c r="I2107" s="5"/>
    </row>
    <row r="2108" spans="1:9" ht="17.399999999999999" x14ac:dyDescent="0.25">
      <c r="A2108" s="16"/>
      <c r="B2108" s="17"/>
      <c r="C2108" s="2" t="b">
        <v>0</v>
      </c>
      <c r="D2108" s="2"/>
      <c r="E2108" s="2"/>
      <c r="F2108" s="2"/>
      <c r="G2108" s="2"/>
      <c r="H2108" s="2"/>
      <c r="I2108" s="5"/>
    </row>
    <row r="2109" spans="1:9" ht="17.399999999999999" x14ac:dyDescent="0.25">
      <c r="A2109" s="16"/>
      <c r="B2109" s="17"/>
      <c r="C2109" s="2" t="b">
        <v>0</v>
      </c>
      <c r="D2109" s="2"/>
      <c r="E2109" s="2"/>
      <c r="F2109" s="2"/>
      <c r="G2109" s="2"/>
      <c r="H2109" s="2"/>
      <c r="I2109" s="5"/>
    </row>
    <row r="2110" spans="1:9" ht="17.399999999999999" x14ac:dyDescent="0.25">
      <c r="A2110" s="16"/>
      <c r="B2110" s="17"/>
      <c r="C2110" s="2" t="b">
        <v>0</v>
      </c>
      <c r="D2110" s="2"/>
      <c r="E2110" s="2"/>
      <c r="F2110" s="2"/>
      <c r="G2110" s="2"/>
      <c r="H2110" s="2"/>
      <c r="I2110" s="5"/>
    </row>
    <row r="2111" spans="1:9" ht="17.399999999999999" x14ac:dyDescent="0.25">
      <c r="A2111" s="16"/>
      <c r="B2111" s="17"/>
      <c r="C2111" s="2" t="b">
        <v>0</v>
      </c>
      <c r="D2111" s="2"/>
      <c r="E2111" s="2"/>
      <c r="F2111" s="2"/>
      <c r="G2111" s="2"/>
      <c r="H2111" s="2"/>
      <c r="I2111" s="5"/>
    </row>
    <row r="2112" spans="1:9" ht="17.399999999999999" x14ac:dyDescent="0.25">
      <c r="A2112" s="16"/>
      <c r="B2112" s="17"/>
      <c r="C2112" s="2" t="b">
        <v>0</v>
      </c>
      <c r="D2112" s="2"/>
      <c r="E2112" s="2"/>
      <c r="F2112" s="2"/>
      <c r="G2112" s="2"/>
      <c r="H2112" s="2"/>
      <c r="I2112" s="5"/>
    </row>
    <row r="2113" spans="1:9" ht="17.399999999999999" x14ac:dyDescent="0.25">
      <c r="A2113" s="16"/>
      <c r="B2113" s="17"/>
      <c r="C2113" s="2" t="b">
        <v>0</v>
      </c>
      <c r="D2113" s="2"/>
      <c r="E2113" s="2"/>
      <c r="F2113" s="2"/>
      <c r="G2113" s="2"/>
      <c r="H2113" s="2"/>
      <c r="I2113" s="5"/>
    </row>
    <row r="2114" spans="1:9" ht="17.399999999999999" x14ac:dyDescent="0.25">
      <c r="A2114" s="16"/>
      <c r="B2114" s="17"/>
      <c r="C2114" s="2" t="b">
        <v>0</v>
      </c>
      <c r="D2114" s="2"/>
      <c r="E2114" s="2"/>
      <c r="F2114" s="2"/>
      <c r="G2114" s="2"/>
      <c r="H2114" s="2"/>
      <c r="I2114" s="5"/>
    </row>
    <row r="2115" spans="1:9" ht="17.399999999999999" x14ac:dyDescent="0.25">
      <c r="A2115" s="16"/>
      <c r="B2115" s="17"/>
      <c r="C2115" s="2" t="b">
        <v>0</v>
      </c>
      <c r="D2115" s="2"/>
      <c r="E2115" s="2"/>
      <c r="F2115" s="2"/>
      <c r="G2115" s="2"/>
      <c r="H2115" s="2"/>
      <c r="I2115" s="5"/>
    </row>
    <row r="2116" spans="1:9" ht="17.399999999999999" x14ac:dyDescent="0.25">
      <c r="A2116" s="16"/>
      <c r="B2116" s="17"/>
      <c r="C2116" s="2" t="b">
        <v>0</v>
      </c>
      <c r="D2116" s="2"/>
      <c r="E2116" s="2"/>
      <c r="F2116" s="2"/>
      <c r="G2116" s="2"/>
      <c r="H2116" s="2"/>
      <c r="I2116" s="5"/>
    </row>
    <row r="2117" spans="1:9" ht="17.399999999999999" x14ac:dyDescent="0.25">
      <c r="A2117" s="16"/>
      <c r="B2117" s="17"/>
      <c r="C2117" s="2" t="b">
        <v>0</v>
      </c>
      <c r="D2117" s="2"/>
      <c r="E2117" s="2"/>
      <c r="F2117" s="2"/>
      <c r="G2117" s="2"/>
      <c r="H2117" s="2"/>
      <c r="I2117" s="5"/>
    </row>
    <row r="2118" spans="1:9" ht="17.399999999999999" x14ac:dyDescent="0.25">
      <c r="A2118" s="16"/>
      <c r="B2118" s="17"/>
      <c r="C2118" s="2" t="b">
        <v>0</v>
      </c>
      <c r="D2118" s="2"/>
      <c r="E2118" s="2"/>
      <c r="F2118" s="2"/>
      <c r="G2118" s="2"/>
      <c r="H2118" s="2"/>
      <c r="I2118" s="5"/>
    </row>
    <row r="2119" spans="1:9" ht="17.399999999999999" x14ac:dyDescent="0.25">
      <c r="A2119" s="16"/>
      <c r="B2119" s="17"/>
      <c r="C2119" s="2" t="b">
        <v>0</v>
      </c>
      <c r="D2119" s="2"/>
      <c r="E2119" s="2"/>
      <c r="F2119" s="2"/>
      <c r="G2119" s="2"/>
      <c r="H2119" s="2"/>
      <c r="I2119" s="5"/>
    </row>
    <row r="2120" spans="1:9" ht="17.399999999999999" x14ac:dyDescent="0.25">
      <c r="A2120" s="16"/>
      <c r="B2120" s="17"/>
      <c r="C2120" s="2" t="b">
        <v>0</v>
      </c>
      <c r="D2120" s="2"/>
      <c r="E2120" s="2"/>
      <c r="F2120" s="2"/>
      <c r="G2120" s="2"/>
      <c r="H2120" s="2"/>
      <c r="I2120" s="5"/>
    </row>
    <row r="2121" spans="1:9" ht="17.399999999999999" x14ac:dyDescent="0.25">
      <c r="A2121" s="16"/>
      <c r="B2121" s="17"/>
      <c r="C2121" s="2" t="b">
        <v>0</v>
      </c>
      <c r="D2121" s="2"/>
      <c r="E2121" s="2"/>
      <c r="F2121" s="2"/>
      <c r="G2121" s="2"/>
      <c r="H2121" s="2"/>
      <c r="I2121" s="5"/>
    </row>
    <row r="2122" spans="1:9" ht="17.399999999999999" x14ac:dyDescent="0.25">
      <c r="A2122" s="16"/>
      <c r="B2122" s="17"/>
      <c r="C2122" s="2" t="b">
        <v>0</v>
      </c>
      <c r="D2122" s="2"/>
      <c r="E2122" s="2"/>
      <c r="F2122" s="2"/>
      <c r="G2122" s="2"/>
      <c r="H2122" s="2"/>
      <c r="I2122" s="5"/>
    </row>
    <row r="2123" spans="1:9" ht="17.399999999999999" x14ac:dyDescent="0.25">
      <c r="A2123" s="16"/>
      <c r="B2123" s="17"/>
      <c r="C2123" s="2" t="b">
        <v>0</v>
      </c>
      <c r="D2123" s="2"/>
      <c r="E2123" s="2"/>
      <c r="F2123" s="2"/>
      <c r="G2123" s="2"/>
      <c r="H2123" s="2"/>
      <c r="I2123" s="5"/>
    </row>
    <row r="2124" spans="1:9" ht="17.399999999999999" x14ac:dyDescent="0.25">
      <c r="A2124" s="16"/>
      <c r="B2124" s="17"/>
      <c r="C2124" s="2" t="b">
        <v>0</v>
      </c>
      <c r="D2124" s="2"/>
      <c r="E2124" s="2"/>
      <c r="F2124" s="2"/>
      <c r="G2124" s="2"/>
      <c r="H2124" s="2"/>
      <c r="I2124" s="5"/>
    </row>
    <row r="2125" spans="1:9" ht="17.399999999999999" x14ac:dyDescent="0.25">
      <c r="A2125" s="16"/>
      <c r="B2125" s="17"/>
      <c r="C2125" s="2" t="b">
        <v>0</v>
      </c>
      <c r="D2125" s="2"/>
      <c r="E2125" s="2"/>
      <c r="F2125" s="2"/>
      <c r="G2125" s="2"/>
      <c r="H2125" s="2"/>
      <c r="I2125" s="5"/>
    </row>
    <row r="2126" spans="1:9" ht="17.399999999999999" x14ac:dyDescent="0.25">
      <c r="A2126" s="16"/>
      <c r="B2126" s="17"/>
      <c r="C2126" s="2" t="b">
        <v>0</v>
      </c>
      <c r="D2126" s="2"/>
      <c r="E2126" s="2"/>
      <c r="F2126" s="2"/>
      <c r="G2126" s="2"/>
      <c r="H2126" s="2"/>
      <c r="I2126" s="5"/>
    </row>
    <row r="2127" spans="1:9" ht="17.399999999999999" x14ac:dyDescent="0.25">
      <c r="A2127" s="16"/>
      <c r="B2127" s="17"/>
      <c r="C2127" s="2" t="b">
        <v>0</v>
      </c>
      <c r="D2127" s="2"/>
      <c r="E2127" s="2"/>
      <c r="F2127" s="2"/>
      <c r="G2127" s="2"/>
      <c r="H2127" s="2"/>
      <c r="I2127" s="5"/>
    </row>
    <row r="2128" spans="1:9" ht="17.399999999999999" x14ac:dyDescent="0.25">
      <c r="A2128" s="16"/>
      <c r="B2128" s="17"/>
      <c r="C2128" s="2" t="b">
        <v>0</v>
      </c>
      <c r="D2128" s="2"/>
      <c r="E2128" s="2"/>
      <c r="F2128" s="2"/>
      <c r="G2128" s="2"/>
      <c r="H2128" s="2"/>
      <c r="I2128" s="5"/>
    </row>
    <row r="2129" spans="1:9" ht="17.399999999999999" x14ac:dyDescent="0.25">
      <c r="A2129" s="16"/>
      <c r="B2129" s="17"/>
      <c r="C2129" s="2" t="b">
        <v>0</v>
      </c>
      <c r="D2129" s="2"/>
      <c r="E2129" s="2"/>
      <c r="F2129" s="2"/>
      <c r="G2129" s="2"/>
      <c r="H2129" s="2"/>
      <c r="I2129" s="5"/>
    </row>
    <row r="2130" spans="1:9" ht="17.399999999999999" x14ac:dyDescent="0.25">
      <c r="A2130" s="16"/>
      <c r="B2130" s="17"/>
      <c r="C2130" s="2" t="b">
        <v>0</v>
      </c>
      <c r="D2130" s="2"/>
      <c r="E2130" s="2"/>
      <c r="F2130" s="2"/>
      <c r="G2130" s="2"/>
      <c r="H2130" s="2"/>
      <c r="I2130" s="5"/>
    </row>
    <row r="2131" spans="1:9" ht="17.399999999999999" x14ac:dyDescent="0.25">
      <c r="A2131" s="16"/>
      <c r="B2131" s="17"/>
      <c r="C2131" s="2" t="b">
        <v>0</v>
      </c>
      <c r="D2131" s="2"/>
      <c r="E2131" s="2"/>
      <c r="F2131" s="2"/>
      <c r="G2131" s="2"/>
      <c r="H2131" s="2"/>
      <c r="I2131" s="5"/>
    </row>
    <row r="2132" spans="1:9" ht="17.399999999999999" x14ac:dyDescent="0.25">
      <c r="A2132" s="16"/>
      <c r="B2132" s="17"/>
      <c r="C2132" s="2" t="b">
        <v>0</v>
      </c>
      <c r="D2132" s="2"/>
      <c r="E2132" s="2"/>
      <c r="F2132" s="2"/>
      <c r="G2132" s="2"/>
      <c r="H2132" s="2"/>
      <c r="I2132" s="5"/>
    </row>
    <row r="2133" spans="1:9" ht="17.399999999999999" x14ac:dyDescent="0.25">
      <c r="A2133" s="16"/>
      <c r="B2133" s="17"/>
      <c r="C2133" s="2" t="b">
        <v>0</v>
      </c>
      <c r="D2133" s="2"/>
      <c r="E2133" s="2"/>
      <c r="F2133" s="2"/>
      <c r="G2133" s="2"/>
      <c r="H2133" s="2"/>
      <c r="I2133" s="5"/>
    </row>
    <row r="2134" spans="1:9" ht="17.399999999999999" x14ac:dyDescent="0.25">
      <c r="A2134" s="16"/>
      <c r="B2134" s="17"/>
      <c r="C2134" s="2" t="b">
        <v>0</v>
      </c>
      <c r="D2134" s="2"/>
      <c r="E2134" s="2"/>
      <c r="F2134" s="2"/>
      <c r="G2134" s="2"/>
      <c r="H2134" s="2"/>
      <c r="I2134" s="5"/>
    </row>
    <row r="2135" spans="1:9" ht="17.399999999999999" x14ac:dyDescent="0.25">
      <c r="A2135" s="16"/>
      <c r="B2135" s="17"/>
      <c r="C2135" s="2" t="b">
        <v>0</v>
      </c>
      <c r="D2135" s="2"/>
      <c r="E2135" s="2"/>
      <c r="F2135" s="2"/>
      <c r="G2135" s="2"/>
      <c r="H2135" s="2"/>
      <c r="I2135" s="5"/>
    </row>
    <row r="2136" spans="1:9" ht="17.399999999999999" x14ac:dyDescent="0.25">
      <c r="A2136" s="16"/>
      <c r="B2136" s="17"/>
      <c r="C2136" s="2" t="b">
        <v>0</v>
      </c>
      <c r="D2136" s="2"/>
      <c r="E2136" s="2"/>
      <c r="F2136" s="2"/>
      <c r="G2136" s="2"/>
      <c r="H2136" s="2"/>
      <c r="I2136" s="5"/>
    </row>
    <row r="2137" spans="1:9" ht="17.399999999999999" x14ac:dyDescent="0.25">
      <c r="A2137" s="16"/>
      <c r="B2137" s="17"/>
      <c r="C2137" s="2" t="b">
        <v>0</v>
      </c>
      <c r="D2137" s="2"/>
      <c r="E2137" s="2"/>
      <c r="F2137" s="2"/>
      <c r="G2137" s="2"/>
      <c r="H2137" s="2"/>
      <c r="I2137" s="5"/>
    </row>
    <row r="2138" spans="1:9" ht="17.399999999999999" x14ac:dyDescent="0.25">
      <c r="A2138" s="16"/>
      <c r="B2138" s="17"/>
      <c r="C2138" s="2" t="b">
        <v>0</v>
      </c>
      <c r="D2138" s="2"/>
      <c r="E2138" s="2"/>
      <c r="F2138" s="2"/>
      <c r="G2138" s="2"/>
      <c r="H2138" s="2"/>
      <c r="I2138" s="5"/>
    </row>
    <row r="2139" spans="1:9" ht="17.399999999999999" x14ac:dyDescent="0.25">
      <c r="A2139" s="16"/>
      <c r="B2139" s="17"/>
      <c r="C2139" s="2" t="b">
        <v>0</v>
      </c>
      <c r="D2139" s="2"/>
      <c r="E2139" s="2"/>
      <c r="F2139" s="2"/>
      <c r="G2139" s="2"/>
      <c r="H2139" s="2"/>
      <c r="I2139" s="5"/>
    </row>
    <row r="2140" spans="1:9" ht="17.399999999999999" x14ac:dyDescent="0.25">
      <c r="A2140" s="16"/>
      <c r="B2140" s="17"/>
      <c r="C2140" s="2" t="b">
        <v>0</v>
      </c>
      <c r="D2140" s="2"/>
      <c r="E2140" s="2"/>
      <c r="F2140" s="2"/>
      <c r="G2140" s="2"/>
      <c r="H2140" s="2"/>
      <c r="I2140" s="5"/>
    </row>
    <row r="2141" spans="1:9" ht="17.399999999999999" x14ac:dyDescent="0.25">
      <c r="A2141" s="16"/>
      <c r="B2141" s="17"/>
      <c r="C2141" s="2" t="b">
        <v>0</v>
      </c>
      <c r="D2141" s="2"/>
      <c r="E2141" s="2"/>
      <c r="F2141" s="2"/>
      <c r="G2141" s="2"/>
      <c r="H2141" s="2"/>
      <c r="I2141" s="5"/>
    </row>
    <row r="2142" spans="1:9" ht="17.399999999999999" x14ac:dyDescent="0.25">
      <c r="A2142" s="16"/>
      <c r="B2142" s="17"/>
      <c r="C2142" s="2" t="b">
        <v>0</v>
      </c>
      <c r="D2142" s="2"/>
      <c r="E2142" s="2"/>
      <c r="F2142" s="2"/>
      <c r="G2142" s="2"/>
      <c r="H2142" s="2"/>
      <c r="I2142" s="5"/>
    </row>
    <row r="2143" spans="1:9" ht="17.399999999999999" x14ac:dyDescent="0.25">
      <c r="A2143" s="16"/>
      <c r="B2143" s="17"/>
      <c r="C2143" s="2" t="b">
        <v>0</v>
      </c>
      <c r="D2143" s="2"/>
      <c r="E2143" s="2"/>
      <c r="F2143" s="2"/>
      <c r="G2143" s="2"/>
      <c r="H2143" s="2"/>
      <c r="I2143" s="5"/>
    </row>
    <row r="2144" spans="1:9" ht="17.399999999999999" x14ac:dyDescent="0.25">
      <c r="A2144" s="16"/>
      <c r="B2144" s="17"/>
      <c r="C2144" s="2" t="b">
        <v>0</v>
      </c>
      <c r="D2144" s="2"/>
      <c r="E2144" s="2"/>
      <c r="F2144" s="2"/>
      <c r="G2144" s="2"/>
      <c r="H2144" s="2"/>
      <c r="I2144" s="5"/>
    </row>
    <row r="2145" spans="1:9" ht="17.399999999999999" x14ac:dyDescent="0.25">
      <c r="A2145" s="16"/>
      <c r="B2145" s="17"/>
      <c r="C2145" s="2" t="b">
        <v>0</v>
      </c>
      <c r="D2145" s="2"/>
      <c r="E2145" s="2"/>
      <c r="F2145" s="2"/>
      <c r="G2145" s="2"/>
      <c r="H2145" s="2"/>
      <c r="I2145" s="5"/>
    </row>
    <row r="2146" spans="1:9" ht="17.399999999999999" x14ac:dyDescent="0.25">
      <c r="A2146" s="16"/>
      <c r="B2146" s="17"/>
      <c r="C2146" s="2" t="b">
        <v>0</v>
      </c>
      <c r="D2146" s="2"/>
      <c r="E2146" s="2"/>
      <c r="F2146" s="2"/>
      <c r="G2146" s="2"/>
      <c r="H2146" s="2"/>
      <c r="I2146" s="5"/>
    </row>
    <row r="2147" spans="1:9" ht="17.399999999999999" x14ac:dyDescent="0.25">
      <c r="A2147" s="16"/>
      <c r="B2147" s="17"/>
      <c r="C2147" s="2" t="b">
        <v>0</v>
      </c>
      <c r="D2147" s="2"/>
      <c r="E2147" s="2"/>
      <c r="F2147" s="2"/>
      <c r="G2147" s="2"/>
      <c r="H2147" s="2"/>
      <c r="I2147" s="5"/>
    </row>
    <row r="2148" spans="1:9" ht="17.399999999999999" x14ac:dyDescent="0.25">
      <c r="A2148" s="16"/>
      <c r="B2148" s="17"/>
      <c r="C2148" s="2" t="b">
        <v>0</v>
      </c>
      <c r="D2148" s="2"/>
      <c r="E2148" s="2"/>
      <c r="F2148" s="2"/>
      <c r="G2148" s="2"/>
      <c r="H2148" s="2"/>
      <c r="I2148" s="5"/>
    </row>
    <row r="2149" spans="1:9" ht="17.399999999999999" x14ac:dyDescent="0.25">
      <c r="A2149" s="16"/>
      <c r="B2149" s="17"/>
      <c r="C2149" s="2" t="b">
        <v>0</v>
      </c>
      <c r="D2149" s="2"/>
      <c r="E2149" s="2"/>
      <c r="F2149" s="2"/>
      <c r="G2149" s="2"/>
      <c r="H2149" s="2"/>
      <c r="I2149" s="5"/>
    </row>
    <row r="2150" spans="1:9" ht="17.399999999999999" x14ac:dyDescent="0.25">
      <c r="A2150" s="16"/>
      <c r="B2150" s="17"/>
      <c r="C2150" s="2" t="b">
        <v>0</v>
      </c>
      <c r="D2150" s="2"/>
      <c r="E2150" s="2"/>
      <c r="F2150" s="2"/>
      <c r="G2150" s="2"/>
      <c r="H2150" s="2"/>
      <c r="I2150" s="5"/>
    </row>
    <row r="2151" spans="1:9" ht="17.399999999999999" x14ac:dyDescent="0.25">
      <c r="A2151" s="16"/>
      <c r="B2151" s="17"/>
      <c r="C2151" s="2" t="b">
        <v>0</v>
      </c>
      <c r="D2151" s="2"/>
      <c r="E2151" s="2"/>
      <c r="F2151" s="2"/>
      <c r="G2151" s="2"/>
      <c r="H2151" s="2"/>
      <c r="I2151" s="5"/>
    </row>
    <row r="2152" spans="1:9" ht="17.399999999999999" x14ac:dyDescent="0.25">
      <c r="A2152" s="16"/>
      <c r="B2152" s="17"/>
      <c r="C2152" s="2" t="b">
        <v>0</v>
      </c>
      <c r="D2152" s="2"/>
      <c r="E2152" s="2"/>
      <c r="F2152" s="2"/>
      <c r="G2152" s="2"/>
      <c r="H2152" s="2"/>
      <c r="I2152" s="5"/>
    </row>
    <row r="2153" spans="1:9" ht="17.399999999999999" x14ac:dyDescent="0.25">
      <c r="A2153" s="16"/>
      <c r="B2153" s="17"/>
      <c r="C2153" s="2" t="b">
        <v>0</v>
      </c>
      <c r="D2153" s="2"/>
      <c r="E2153" s="2"/>
      <c r="F2153" s="2"/>
      <c r="G2153" s="2"/>
      <c r="H2153" s="2"/>
      <c r="I2153" s="5"/>
    </row>
    <row r="2154" spans="1:9" ht="17.399999999999999" x14ac:dyDescent="0.25">
      <c r="A2154" s="16"/>
      <c r="B2154" s="17"/>
      <c r="C2154" s="2" t="b">
        <v>0</v>
      </c>
      <c r="D2154" s="2"/>
      <c r="E2154" s="2"/>
      <c r="F2154" s="2"/>
      <c r="G2154" s="2"/>
      <c r="H2154" s="2"/>
      <c r="I2154" s="5"/>
    </row>
    <row r="2155" spans="1:9" ht="17.399999999999999" x14ac:dyDescent="0.25">
      <c r="A2155" s="16"/>
      <c r="B2155" s="17"/>
      <c r="C2155" s="2" t="b">
        <v>0</v>
      </c>
      <c r="D2155" s="2"/>
      <c r="E2155" s="2"/>
      <c r="F2155" s="2"/>
      <c r="G2155" s="2"/>
      <c r="H2155" s="2"/>
      <c r="I2155" s="5"/>
    </row>
    <row r="2156" spans="1:9" ht="17.399999999999999" x14ac:dyDescent="0.25">
      <c r="A2156" s="16"/>
      <c r="B2156" s="17"/>
      <c r="C2156" s="2" t="b">
        <v>0</v>
      </c>
      <c r="D2156" s="2"/>
      <c r="E2156" s="2"/>
      <c r="F2156" s="2"/>
      <c r="G2156" s="2"/>
      <c r="H2156" s="2"/>
      <c r="I2156" s="5"/>
    </row>
    <row r="2157" spans="1:9" ht="17.399999999999999" x14ac:dyDescent="0.25">
      <c r="A2157" s="16"/>
      <c r="B2157" s="17"/>
      <c r="C2157" s="2" t="b">
        <v>0</v>
      </c>
      <c r="D2157" s="2"/>
      <c r="E2157" s="2"/>
      <c r="F2157" s="2"/>
      <c r="G2157" s="2"/>
      <c r="H2157" s="2"/>
      <c r="I2157" s="5"/>
    </row>
    <row r="2158" spans="1:9" ht="17.399999999999999" x14ac:dyDescent="0.25">
      <c r="A2158" s="16"/>
      <c r="B2158" s="17"/>
      <c r="C2158" s="2" t="b">
        <v>0</v>
      </c>
      <c r="D2158" s="2"/>
      <c r="E2158" s="2"/>
      <c r="F2158" s="2"/>
      <c r="G2158" s="2"/>
      <c r="H2158" s="2"/>
      <c r="I2158" s="5"/>
    </row>
    <row r="2159" spans="1:9" ht="17.399999999999999" x14ac:dyDescent="0.25">
      <c r="A2159" s="16"/>
      <c r="B2159" s="17"/>
      <c r="C2159" s="2" t="b">
        <v>0</v>
      </c>
      <c r="D2159" s="2"/>
      <c r="E2159" s="2"/>
      <c r="F2159" s="2"/>
      <c r="G2159" s="2"/>
      <c r="H2159" s="2"/>
      <c r="I2159" s="5"/>
    </row>
    <row r="2160" spans="1:9" ht="17.399999999999999" x14ac:dyDescent="0.25">
      <c r="A2160" s="16"/>
      <c r="B2160" s="17"/>
      <c r="C2160" s="2" t="b">
        <v>0</v>
      </c>
      <c r="D2160" s="2"/>
      <c r="E2160" s="2"/>
      <c r="F2160" s="2"/>
      <c r="G2160" s="2"/>
      <c r="H2160" s="2"/>
      <c r="I2160" s="5"/>
    </row>
    <row r="2161" spans="1:9" ht="17.399999999999999" x14ac:dyDescent="0.25">
      <c r="A2161" s="16"/>
      <c r="B2161" s="17"/>
      <c r="C2161" s="2" t="b">
        <v>0</v>
      </c>
      <c r="D2161" s="2"/>
      <c r="E2161" s="2"/>
      <c r="F2161" s="2"/>
      <c r="G2161" s="2"/>
      <c r="H2161" s="2"/>
      <c r="I2161" s="5"/>
    </row>
    <row r="2162" spans="1:9" ht="17.399999999999999" x14ac:dyDescent="0.25">
      <c r="A2162" s="16"/>
      <c r="B2162" s="17"/>
      <c r="C2162" s="2" t="b">
        <v>0</v>
      </c>
      <c r="D2162" s="2"/>
      <c r="E2162" s="2"/>
      <c r="F2162" s="2"/>
      <c r="G2162" s="2"/>
      <c r="H2162" s="2"/>
      <c r="I2162" s="5"/>
    </row>
    <row r="2163" spans="1:9" ht="17.399999999999999" x14ac:dyDescent="0.25">
      <c r="A2163" s="16"/>
      <c r="B2163" s="17"/>
      <c r="C2163" s="2" t="b">
        <v>0</v>
      </c>
      <c r="D2163" s="2"/>
      <c r="E2163" s="2"/>
      <c r="F2163" s="2"/>
      <c r="G2163" s="2"/>
      <c r="H2163" s="2"/>
      <c r="I2163" s="5"/>
    </row>
    <row r="2164" spans="1:9" ht="17.399999999999999" x14ac:dyDescent="0.25">
      <c r="A2164" s="16"/>
      <c r="B2164" s="17"/>
      <c r="C2164" s="2" t="b">
        <v>0</v>
      </c>
      <c r="D2164" s="2"/>
      <c r="E2164" s="2"/>
      <c r="F2164" s="2"/>
      <c r="G2164" s="2"/>
      <c r="H2164" s="2"/>
      <c r="I2164" s="5"/>
    </row>
    <row r="2165" spans="1:9" ht="17.399999999999999" x14ac:dyDescent="0.25">
      <c r="A2165" s="16"/>
      <c r="B2165" s="17"/>
      <c r="C2165" s="2" t="b">
        <v>0</v>
      </c>
      <c r="D2165" s="2"/>
      <c r="E2165" s="2"/>
      <c r="F2165" s="2"/>
      <c r="G2165" s="2"/>
      <c r="H2165" s="2"/>
      <c r="I2165" s="5"/>
    </row>
    <row r="2166" spans="1:9" ht="17.399999999999999" x14ac:dyDescent="0.25">
      <c r="A2166" s="16"/>
      <c r="B2166" s="17"/>
      <c r="C2166" s="2" t="b">
        <v>0</v>
      </c>
      <c r="D2166" s="2"/>
      <c r="E2166" s="2"/>
      <c r="F2166" s="2"/>
      <c r="G2166" s="2"/>
      <c r="H2166" s="2"/>
      <c r="I2166" s="5"/>
    </row>
    <row r="2167" spans="1:9" ht="17.399999999999999" x14ac:dyDescent="0.25">
      <c r="A2167" s="16"/>
      <c r="B2167" s="17"/>
      <c r="C2167" s="2" t="b">
        <v>0</v>
      </c>
      <c r="D2167" s="2"/>
      <c r="E2167" s="2"/>
      <c r="F2167" s="2"/>
      <c r="G2167" s="2"/>
      <c r="H2167" s="2"/>
      <c r="I2167" s="5"/>
    </row>
    <row r="2168" spans="1:9" ht="17.399999999999999" x14ac:dyDescent="0.25">
      <c r="A2168" s="16"/>
      <c r="B2168" s="17"/>
      <c r="C2168" s="2" t="b">
        <v>0</v>
      </c>
      <c r="D2168" s="2"/>
      <c r="E2168" s="2"/>
      <c r="F2168" s="2"/>
      <c r="G2168" s="2"/>
      <c r="H2168" s="2"/>
      <c r="I2168" s="5"/>
    </row>
    <row r="2169" spans="1:9" ht="17.399999999999999" x14ac:dyDescent="0.25">
      <c r="A2169" s="16"/>
      <c r="B2169" s="17"/>
      <c r="C2169" s="2" t="b">
        <v>0</v>
      </c>
      <c r="D2169" s="2"/>
      <c r="E2169" s="2"/>
      <c r="F2169" s="2"/>
      <c r="G2169" s="2"/>
      <c r="H2169" s="2"/>
      <c r="I2169" s="5"/>
    </row>
    <row r="2170" spans="1:9" ht="17.399999999999999" x14ac:dyDescent="0.25">
      <c r="A2170" s="16"/>
      <c r="B2170" s="17"/>
      <c r="C2170" s="2" t="b">
        <v>0</v>
      </c>
      <c r="D2170" s="2"/>
      <c r="E2170" s="2"/>
      <c r="F2170" s="2"/>
      <c r="G2170" s="2"/>
      <c r="H2170" s="2"/>
      <c r="I2170" s="5"/>
    </row>
    <row r="2171" spans="1:9" ht="17.399999999999999" x14ac:dyDescent="0.25">
      <c r="A2171" s="16"/>
      <c r="B2171" s="17"/>
      <c r="C2171" s="2" t="b">
        <v>0</v>
      </c>
      <c r="D2171" s="2"/>
      <c r="E2171" s="2"/>
      <c r="F2171" s="2"/>
      <c r="G2171" s="2"/>
      <c r="H2171" s="2"/>
      <c r="I2171" s="5"/>
    </row>
    <row r="2172" spans="1:9" ht="17.399999999999999" x14ac:dyDescent="0.25">
      <c r="A2172" s="16"/>
      <c r="B2172" s="17"/>
      <c r="C2172" s="2" t="b">
        <v>0</v>
      </c>
      <c r="D2172" s="2"/>
      <c r="E2172" s="2"/>
      <c r="F2172" s="2"/>
      <c r="G2172" s="2"/>
      <c r="H2172" s="2"/>
      <c r="I2172" s="5"/>
    </row>
    <row r="2173" spans="1:9" ht="17.399999999999999" x14ac:dyDescent="0.25">
      <c r="A2173" s="16"/>
      <c r="B2173" s="17"/>
      <c r="C2173" s="2" t="b">
        <v>0</v>
      </c>
      <c r="D2173" s="2"/>
      <c r="E2173" s="2"/>
      <c r="F2173" s="2"/>
      <c r="G2173" s="2"/>
      <c r="H2173" s="2"/>
      <c r="I2173" s="5"/>
    </row>
    <row r="2174" spans="1:9" ht="17.399999999999999" x14ac:dyDescent="0.25">
      <c r="A2174" s="16"/>
      <c r="B2174" s="17"/>
      <c r="C2174" s="2" t="b">
        <v>0</v>
      </c>
      <c r="D2174" s="2"/>
      <c r="E2174" s="2"/>
      <c r="F2174" s="2"/>
      <c r="G2174" s="2"/>
      <c r="H2174" s="2"/>
      <c r="I2174" s="5"/>
    </row>
    <row r="2175" spans="1:9" ht="17.399999999999999" x14ac:dyDescent="0.25">
      <c r="A2175" s="16"/>
      <c r="B2175" s="17"/>
      <c r="C2175" s="2" t="b">
        <v>0</v>
      </c>
      <c r="D2175" s="2"/>
      <c r="E2175" s="2"/>
      <c r="F2175" s="2"/>
      <c r="G2175" s="2"/>
      <c r="H2175" s="2"/>
      <c r="I2175" s="5"/>
    </row>
    <row r="2176" spans="1:9" ht="17.399999999999999" x14ac:dyDescent="0.25">
      <c r="A2176" s="16"/>
      <c r="B2176" s="17"/>
      <c r="C2176" s="2" t="b">
        <v>0</v>
      </c>
      <c r="D2176" s="2"/>
      <c r="E2176" s="2"/>
      <c r="F2176" s="2"/>
      <c r="G2176" s="2"/>
      <c r="H2176" s="2"/>
      <c r="I2176" s="5"/>
    </row>
    <row r="2177" spans="1:9" ht="17.399999999999999" x14ac:dyDescent="0.25">
      <c r="A2177" s="16"/>
      <c r="B2177" s="17"/>
      <c r="C2177" s="2" t="b">
        <v>0</v>
      </c>
      <c r="D2177" s="2"/>
      <c r="E2177" s="2"/>
      <c r="F2177" s="2"/>
      <c r="G2177" s="2"/>
      <c r="H2177" s="2"/>
      <c r="I2177" s="5"/>
    </row>
    <row r="2178" spans="1:9" ht="17.399999999999999" x14ac:dyDescent="0.25">
      <c r="A2178" s="16"/>
      <c r="B2178" s="17"/>
      <c r="C2178" s="2" t="b">
        <v>0</v>
      </c>
      <c r="D2178" s="2"/>
      <c r="E2178" s="2"/>
      <c r="F2178" s="2"/>
      <c r="G2178" s="2"/>
      <c r="H2178" s="2"/>
      <c r="I2178" s="5"/>
    </row>
    <row r="2179" spans="1:9" ht="17.399999999999999" x14ac:dyDescent="0.25">
      <c r="A2179" s="16"/>
      <c r="B2179" s="17"/>
      <c r="C2179" s="2" t="b">
        <v>0</v>
      </c>
      <c r="D2179" s="2"/>
      <c r="E2179" s="2"/>
      <c r="F2179" s="2"/>
      <c r="G2179" s="2"/>
      <c r="H2179" s="2"/>
      <c r="I2179" s="5"/>
    </row>
    <row r="2180" spans="1:9" ht="17.399999999999999" x14ac:dyDescent="0.25">
      <c r="A2180" s="16"/>
      <c r="B2180" s="17"/>
      <c r="C2180" s="2" t="b">
        <v>0</v>
      </c>
      <c r="D2180" s="2"/>
      <c r="E2180" s="2"/>
      <c r="F2180" s="2"/>
      <c r="G2180" s="2"/>
      <c r="H2180" s="2"/>
      <c r="I2180" s="5"/>
    </row>
    <row r="2181" spans="1:9" ht="17.399999999999999" x14ac:dyDescent="0.25">
      <c r="A2181" s="16"/>
      <c r="B2181" s="17"/>
      <c r="C2181" s="2" t="b">
        <v>0</v>
      </c>
      <c r="D2181" s="2"/>
      <c r="E2181" s="2"/>
      <c r="F2181" s="2"/>
      <c r="G2181" s="2"/>
      <c r="H2181" s="2"/>
      <c r="I2181" s="5"/>
    </row>
    <row r="2182" spans="1:9" ht="17.399999999999999" x14ac:dyDescent="0.25">
      <c r="A2182" s="16"/>
      <c r="B2182" s="17"/>
      <c r="C2182" s="2" t="b">
        <v>0</v>
      </c>
      <c r="D2182" s="2"/>
      <c r="E2182" s="2"/>
      <c r="F2182" s="2"/>
      <c r="G2182" s="2"/>
      <c r="H2182" s="2"/>
      <c r="I2182" s="5"/>
    </row>
    <row r="2183" spans="1:9" ht="17.399999999999999" x14ac:dyDescent="0.25">
      <c r="A2183" s="16"/>
      <c r="B2183" s="17"/>
      <c r="C2183" s="2" t="b">
        <v>0</v>
      </c>
      <c r="D2183" s="2"/>
      <c r="E2183" s="2"/>
      <c r="F2183" s="2"/>
      <c r="G2183" s="2"/>
      <c r="H2183" s="2"/>
      <c r="I2183" s="5"/>
    </row>
    <row r="2184" spans="1:9" ht="17.399999999999999" x14ac:dyDescent="0.25">
      <c r="A2184" s="16"/>
      <c r="B2184" s="17"/>
      <c r="C2184" s="2" t="b">
        <v>0</v>
      </c>
      <c r="D2184" s="2"/>
      <c r="E2184" s="2"/>
      <c r="F2184" s="2"/>
      <c r="G2184" s="2"/>
      <c r="H2184" s="2"/>
      <c r="I2184" s="5"/>
    </row>
    <row r="2185" spans="1:9" ht="17.399999999999999" x14ac:dyDescent="0.25">
      <c r="A2185" s="16"/>
      <c r="B2185" s="17"/>
      <c r="C2185" s="2" t="b">
        <v>0</v>
      </c>
      <c r="D2185" s="2"/>
      <c r="E2185" s="2"/>
      <c r="F2185" s="2"/>
      <c r="G2185" s="2"/>
      <c r="H2185" s="2"/>
      <c r="I2185" s="5"/>
    </row>
    <row r="2186" spans="1:9" ht="17.399999999999999" x14ac:dyDescent="0.25">
      <c r="A2186" s="16"/>
      <c r="B2186" s="17"/>
      <c r="C2186" s="2" t="b">
        <v>0</v>
      </c>
      <c r="D2186" s="2"/>
      <c r="E2186" s="2"/>
      <c r="F2186" s="2"/>
      <c r="G2186" s="2"/>
      <c r="H2186" s="2"/>
      <c r="I2186" s="5"/>
    </row>
    <row r="2187" spans="1:9" ht="17.399999999999999" x14ac:dyDescent="0.25">
      <c r="A2187" s="16"/>
      <c r="B2187" s="17"/>
      <c r="C2187" s="2" t="b">
        <v>0</v>
      </c>
      <c r="D2187" s="2"/>
      <c r="E2187" s="2"/>
      <c r="F2187" s="2"/>
      <c r="G2187" s="2"/>
      <c r="H2187" s="2"/>
      <c r="I2187" s="5"/>
    </row>
    <row r="2188" spans="1:9" ht="17.399999999999999" x14ac:dyDescent="0.25">
      <c r="A2188" s="16"/>
      <c r="B2188" s="17"/>
      <c r="C2188" s="2" t="b">
        <v>0</v>
      </c>
      <c r="D2188" s="2"/>
      <c r="E2188" s="2"/>
      <c r="F2188" s="2"/>
      <c r="G2188" s="2"/>
      <c r="H2188" s="2"/>
      <c r="I2188" s="5"/>
    </row>
    <row r="2189" spans="1:9" ht="17.399999999999999" x14ac:dyDescent="0.25">
      <c r="A2189" s="16"/>
      <c r="B2189" s="17"/>
      <c r="C2189" s="2" t="b">
        <v>0</v>
      </c>
      <c r="D2189" s="2"/>
      <c r="E2189" s="2"/>
      <c r="F2189" s="2"/>
      <c r="G2189" s="2"/>
      <c r="H2189" s="2"/>
      <c r="I2189" s="5"/>
    </row>
    <row r="2190" spans="1:9" ht="17.399999999999999" x14ac:dyDescent="0.25">
      <c r="A2190" s="16"/>
      <c r="B2190" s="17"/>
      <c r="C2190" s="2" t="b">
        <v>0</v>
      </c>
      <c r="D2190" s="2"/>
      <c r="E2190" s="2"/>
      <c r="F2190" s="2"/>
      <c r="G2190" s="2"/>
      <c r="H2190" s="2"/>
      <c r="I2190" s="5"/>
    </row>
    <row r="2191" spans="1:9" ht="17.399999999999999" x14ac:dyDescent="0.25">
      <c r="A2191" s="16"/>
      <c r="B2191" s="17"/>
      <c r="C2191" s="2" t="b">
        <v>0</v>
      </c>
      <c r="D2191" s="2"/>
      <c r="E2191" s="2"/>
      <c r="F2191" s="2"/>
      <c r="G2191" s="2"/>
      <c r="H2191" s="2"/>
      <c r="I2191" s="5"/>
    </row>
    <row r="2192" spans="1:9" ht="17.399999999999999" x14ac:dyDescent="0.25">
      <c r="A2192" s="16"/>
      <c r="B2192" s="17"/>
      <c r="C2192" s="2" t="b">
        <v>0</v>
      </c>
      <c r="D2192" s="2"/>
      <c r="E2192" s="2"/>
      <c r="F2192" s="2"/>
      <c r="G2192" s="2"/>
      <c r="H2192" s="2"/>
      <c r="I2192" s="5"/>
    </row>
    <row r="2193" spans="1:9" ht="17.399999999999999" x14ac:dyDescent="0.25">
      <c r="A2193" s="16"/>
      <c r="B2193" s="17"/>
      <c r="C2193" s="2" t="b">
        <v>0</v>
      </c>
      <c r="D2193" s="2"/>
      <c r="E2193" s="2"/>
      <c r="F2193" s="2"/>
      <c r="G2193" s="2"/>
      <c r="H2193" s="2"/>
      <c r="I2193" s="5"/>
    </row>
    <row r="2194" spans="1:9" ht="17.399999999999999" x14ac:dyDescent="0.25">
      <c r="A2194" s="16"/>
      <c r="B2194" s="17"/>
      <c r="C2194" s="2" t="b">
        <v>0</v>
      </c>
      <c r="D2194" s="2"/>
      <c r="E2194" s="2"/>
      <c r="F2194" s="2"/>
      <c r="G2194" s="2"/>
      <c r="H2194" s="2"/>
      <c r="I2194" s="5"/>
    </row>
    <row r="2195" spans="1:9" ht="17.399999999999999" x14ac:dyDescent="0.25">
      <c r="A2195" s="16"/>
      <c r="B2195" s="17"/>
      <c r="C2195" s="2" t="b">
        <v>0</v>
      </c>
      <c r="D2195" s="2"/>
      <c r="E2195" s="2"/>
      <c r="F2195" s="2"/>
      <c r="G2195" s="2"/>
      <c r="H2195" s="2"/>
      <c r="I2195" s="5"/>
    </row>
    <row r="2196" spans="1:9" ht="17.399999999999999" x14ac:dyDescent="0.25">
      <c r="A2196" s="16"/>
      <c r="B2196" s="17"/>
      <c r="C2196" s="2" t="b">
        <v>0</v>
      </c>
      <c r="D2196" s="2"/>
      <c r="E2196" s="2"/>
      <c r="F2196" s="2"/>
      <c r="G2196" s="2"/>
      <c r="H2196" s="2"/>
      <c r="I2196" s="5"/>
    </row>
    <row r="2197" spans="1:9" ht="17.399999999999999" x14ac:dyDescent="0.25">
      <c r="A2197" s="16"/>
      <c r="B2197" s="17"/>
      <c r="C2197" s="2" t="b">
        <v>0</v>
      </c>
      <c r="D2197" s="2"/>
      <c r="E2197" s="2"/>
      <c r="F2197" s="2"/>
      <c r="G2197" s="2"/>
      <c r="H2197" s="2"/>
      <c r="I2197" s="5"/>
    </row>
    <row r="2198" spans="1:9" ht="17.399999999999999" x14ac:dyDescent="0.25">
      <c r="A2198" s="16"/>
      <c r="B2198" s="17"/>
      <c r="C2198" s="2" t="b">
        <v>0</v>
      </c>
      <c r="D2198" s="2"/>
      <c r="E2198" s="2"/>
      <c r="F2198" s="2"/>
      <c r="G2198" s="2"/>
      <c r="H2198" s="2"/>
      <c r="I2198" s="5"/>
    </row>
    <row r="2199" spans="1:9" ht="17.399999999999999" x14ac:dyDescent="0.25">
      <c r="A2199" s="16"/>
      <c r="B2199" s="17"/>
      <c r="C2199" s="2" t="b">
        <v>0</v>
      </c>
      <c r="D2199" s="2"/>
      <c r="E2199" s="2"/>
      <c r="F2199" s="2"/>
      <c r="G2199" s="2"/>
      <c r="H2199" s="2"/>
      <c r="I2199" s="5"/>
    </row>
    <row r="2200" spans="1:9" ht="17.399999999999999" x14ac:dyDescent="0.25">
      <c r="A2200" s="16"/>
      <c r="B2200" s="17"/>
      <c r="C2200" s="2" t="b">
        <v>0</v>
      </c>
      <c r="D2200" s="2"/>
      <c r="E2200" s="2"/>
      <c r="F2200" s="2"/>
      <c r="G2200" s="2"/>
      <c r="H2200" s="2"/>
      <c r="I2200" s="5"/>
    </row>
    <row r="2201" spans="1:9" ht="17.399999999999999" x14ac:dyDescent="0.25">
      <c r="A2201" s="16"/>
      <c r="B2201" s="17"/>
      <c r="C2201" s="2" t="b">
        <v>0</v>
      </c>
      <c r="D2201" s="2"/>
      <c r="E2201" s="2"/>
      <c r="F2201" s="2"/>
      <c r="G2201" s="2"/>
      <c r="H2201" s="2"/>
      <c r="I2201" s="5"/>
    </row>
    <row r="2202" spans="1:9" ht="17.399999999999999" x14ac:dyDescent="0.25">
      <c r="A2202" s="16"/>
      <c r="B2202" s="17"/>
      <c r="C2202" s="2" t="b">
        <v>0</v>
      </c>
      <c r="D2202" s="2"/>
      <c r="E2202" s="2"/>
      <c r="F2202" s="2"/>
      <c r="G2202" s="2"/>
      <c r="H2202" s="2"/>
      <c r="I2202" s="5"/>
    </row>
    <row r="2203" spans="1:9" ht="17.399999999999999" x14ac:dyDescent="0.25">
      <c r="A2203" s="16"/>
      <c r="B2203" s="17"/>
      <c r="C2203" s="2" t="b">
        <v>0</v>
      </c>
      <c r="D2203" s="2"/>
      <c r="E2203" s="2"/>
      <c r="F2203" s="2"/>
      <c r="G2203" s="2"/>
      <c r="H2203" s="2"/>
      <c r="I2203" s="5"/>
    </row>
    <row r="2204" spans="1:9" ht="17.399999999999999" x14ac:dyDescent="0.25">
      <c r="A2204" s="16"/>
      <c r="B2204" s="17"/>
      <c r="C2204" s="2" t="b">
        <v>0</v>
      </c>
      <c r="D2204" s="2"/>
      <c r="E2204" s="2"/>
      <c r="F2204" s="2"/>
      <c r="G2204" s="2"/>
      <c r="H2204" s="2"/>
      <c r="I2204" s="5"/>
    </row>
    <row r="2205" spans="1:9" ht="17.399999999999999" x14ac:dyDescent="0.25">
      <c r="A2205" s="16"/>
      <c r="B2205" s="17"/>
      <c r="C2205" s="2" t="b">
        <v>0</v>
      </c>
      <c r="D2205" s="2"/>
      <c r="E2205" s="2"/>
      <c r="F2205" s="2"/>
      <c r="G2205" s="2"/>
      <c r="H2205" s="2"/>
      <c r="I2205" s="5"/>
    </row>
    <row r="2206" spans="1:9" ht="17.399999999999999" x14ac:dyDescent="0.25">
      <c r="A2206" s="16"/>
      <c r="B2206" s="17"/>
      <c r="C2206" s="2" t="b">
        <v>0</v>
      </c>
      <c r="D2206" s="2"/>
      <c r="E2206" s="2"/>
      <c r="F2206" s="2"/>
      <c r="G2206" s="2"/>
      <c r="H2206" s="2"/>
      <c r="I2206" s="5"/>
    </row>
    <row r="2207" spans="1:9" ht="17.399999999999999" x14ac:dyDescent="0.25">
      <c r="A2207" s="16"/>
      <c r="B2207" s="17"/>
      <c r="C2207" s="2" t="b">
        <v>0</v>
      </c>
      <c r="D2207" s="2"/>
      <c r="E2207" s="2"/>
      <c r="F2207" s="2"/>
      <c r="G2207" s="2"/>
      <c r="H2207" s="2"/>
      <c r="I2207" s="5"/>
    </row>
    <row r="2208" spans="1:9" ht="17.399999999999999" x14ac:dyDescent="0.25">
      <c r="A2208" s="16"/>
      <c r="B2208" s="17"/>
      <c r="C2208" s="2" t="b">
        <v>0</v>
      </c>
      <c r="D2208" s="2"/>
      <c r="E2208" s="2"/>
      <c r="F2208" s="2"/>
      <c r="G2208" s="2"/>
      <c r="H2208" s="2"/>
      <c r="I2208" s="5"/>
    </row>
    <row r="2209" spans="1:9" ht="17.399999999999999" x14ac:dyDescent="0.25">
      <c r="A2209" s="16"/>
      <c r="B2209" s="17"/>
      <c r="C2209" s="2" t="b">
        <v>0</v>
      </c>
      <c r="D2209" s="2"/>
      <c r="E2209" s="2"/>
      <c r="F2209" s="2"/>
      <c r="G2209" s="2"/>
      <c r="H2209" s="2"/>
      <c r="I2209" s="5"/>
    </row>
    <row r="2210" spans="1:9" ht="17.399999999999999" x14ac:dyDescent="0.25">
      <c r="A2210" s="16"/>
      <c r="B2210" s="17"/>
      <c r="C2210" s="2" t="b">
        <v>0</v>
      </c>
      <c r="D2210" s="2"/>
      <c r="E2210" s="2"/>
      <c r="F2210" s="2"/>
      <c r="G2210" s="2"/>
      <c r="H2210" s="2"/>
      <c r="I2210" s="5"/>
    </row>
    <row r="2211" spans="1:9" ht="17.399999999999999" x14ac:dyDescent="0.25">
      <c r="A2211" s="16"/>
      <c r="B2211" s="17"/>
      <c r="C2211" s="2" t="b">
        <v>0</v>
      </c>
      <c r="D2211" s="2"/>
      <c r="E2211" s="2"/>
      <c r="F2211" s="2"/>
      <c r="G2211" s="2"/>
      <c r="H2211" s="2"/>
      <c r="I2211" s="5"/>
    </row>
    <row r="2212" spans="1:9" ht="17.399999999999999" x14ac:dyDescent="0.25">
      <c r="A2212" s="16"/>
      <c r="B2212" s="17"/>
      <c r="C2212" s="2" t="b">
        <v>0</v>
      </c>
      <c r="D2212" s="2"/>
      <c r="E2212" s="2"/>
      <c r="F2212" s="2"/>
      <c r="G2212" s="2"/>
      <c r="H2212" s="2"/>
      <c r="I2212" s="5"/>
    </row>
    <row r="2213" spans="1:9" ht="17.399999999999999" x14ac:dyDescent="0.25">
      <c r="A2213" s="16"/>
      <c r="B2213" s="17"/>
      <c r="C2213" s="2" t="b">
        <v>0</v>
      </c>
      <c r="D2213" s="2"/>
      <c r="E2213" s="2"/>
      <c r="F2213" s="2"/>
      <c r="G2213" s="2"/>
      <c r="H2213" s="2"/>
      <c r="I2213" s="5"/>
    </row>
    <row r="2214" spans="1:9" ht="17.399999999999999" x14ac:dyDescent="0.25">
      <c r="A2214" s="16"/>
      <c r="B2214" s="17"/>
      <c r="C2214" s="2" t="b">
        <v>0</v>
      </c>
      <c r="D2214" s="2"/>
      <c r="E2214" s="2"/>
      <c r="F2214" s="2"/>
      <c r="G2214" s="2"/>
      <c r="H2214" s="2"/>
      <c r="I2214" s="5"/>
    </row>
    <row r="2215" spans="1:9" ht="17.399999999999999" x14ac:dyDescent="0.25">
      <c r="A2215" s="16"/>
      <c r="B2215" s="17"/>
      <c r="C2215" s="2" t="b">
        <v>0</v>
      </c>
      <c r="D2215" s="2"/>
      <c r="E2215" s="2"/>
      <c r="F2215" s="2"/>
      <c r="G2215" s="2"/>
      <c r="H2215" s="2"/>
      <c r="I2215" s="5"/>
    </row>
    <row r="2216" spans="1:9" ht="17.399999999999999" x14ac:dyDescent="0.25">
      <c r="A2216" s="16"/>
      <c r="B2216" s="17"/>
      <c r="C2216" s="2" t="b">
        <v>0</v>
      </c>
      <c r="D2216" s="2"/>
      <c r="E2216" s="2"/>
      <c r="F2216" s="2"/>
      <c r="G2216" s="2"/>
      <c r="H2216" s="2"/>
      <c r="I2216" s="5"/>
    </row>
    <row r="2217" spans="1:9" ht="17.399999999999999" x14ac:dyDescent="0.25">
      <c r="A2217" s="16"/>
      <c r="B2217" s="17"/>
      <c r="C2217" s="2" t="b">
        <v>0</v>
      </c>
      <c r="D2217" s="2"/>
      <c r="E2217" s="2"/>
      <c r="F2217" s="2"/>
      <c r="G2217" s="2"/>
      <c r="H2217" s="2"/>
      <c r="I2217" s="5"/>
    </row>
    <row r="2218" spans="1:9" ht="17.399999999999999" x14ac:dyDescent="0.25">
      <c r="A2218" s="16"/>
      <c r="B2218" s="17"/>
      <c r="C2218" s="2" t="b">
        <v>0</v>
      </c>
      <c r="D2218" s="2"/>
      <c r="E2218" s="2"/>
      <c r="F2218" s="2"/>
      <c r="G2218" s="2"/>
      <c r="H2218" s="2"/>
      <c r="I2218" s="5"/>
    </row>
    <row r="2219" spans="1:9" ht="17.399999999999999" x14ac:dyDescent="0.25">
      <c r="A2219" s="16"/>
      <c r="B2219" s="17"/>
      <c r="C2219" s="2" t="b">
        <v>0</v>
      </c>
      <c r="D2219" s="2"/>
      <c r="E2219" s="2"/>
      <c r="F2219" s="2"/>
      <c r="G2219" s="2"/>
      <c r="H2219" s="2"/>
      <c r="I2219" s="5"/>
    </row>
    <row r="2220" spans="1:9" ht="17.399999999999999" x14ac:dyDescent="0.25">
      <c r="A2220" s="16"/>
      <c r="B2220" s="17"/>
      <c r="C2220" s="2" t="b">
        <v>0</v>
      </c>
      <c r="D2220" s="2"/>
      <c r="E2220" s="2"/>
      <c r="F2220" s="2"/>
      <c r="G2220" s="2"/>
      <c r="H2220" s="2"/>
      <c r="I2220" s="5"/>
    </row>
    <row r="2221" spans="1:9" ht="17.399999999999999" x14ac:dyDescent="0.25">
      <c r="A2221" s="16"/>
      <c r="B2221" s="17"/>
      <c r="C2221" s="2" t="b">
        <v>0</v>
      </c>
      <c r="D2221" s="2"/>
      <c r="E2221" s="2"/>
      <c r="F2221" s="2"/>
      <c r="G2221" s="2"/>
      <c r="H2221" s="2"/>
      <c r="I2221" s="5"/>
    </row>
    <row r="2222" spans="1:9" ht="17.399999999999999" x14ac:dyDescent="0.25">
      <c r="A2222" s="16"/>
      <c r="B2222" s="17"/>
      <c r="C2222" s="2" t="b">
        <v>0</v>
      </c>
      <c r="D2222" s="2"/>
      <c r="E2222" s="2"/>
      <c r="F2222" s="2"/>
      <c r="G2222" s="2"/>
      <c r="H2222" s="2"/>
      <c r="I2222" s="5"/>
    </row>
    <row r="2223" spans="1:9" ht="17.399999999999999" x14ac:dyDescent="0.25">
      <c r="A2223" s="16"/>
      <c r="B2223" s="17"/>
      <c r="C2223" s="2" t="b">
        <v>0</v>
      </c>
      <c r="D2223" s="2"/>
      <c r="E2223" s="2"/>
      <c r="F2223" s="2"/>
      <c r="G2223" s="2"/>
      <c r="H2223" s="2"/>
      <c r="I2223" s="5"/>
    </row>
    <row r="2224" spans="1:9" ht="17.399999999999999" x14ac:dyDescent="0.25">
      <c r="A2224" s="16"/>
      <c r="B2224" s="17"/>
      <c r="C2224" s="2" t="b">
        <v>0</v>
      </c>
      <c r="D2224" s="2"/>
      <c r="E2224" s="2"/>
      <c r="F2224" s="2"/>
      <c r="G2224" s="2"/>
      <c r="H2224" s="2"/>
      <c r="I2224" s="5"/>
    </row>
    <row r="2225" spans="1:9" ht="17.399999999999999" x14ac:dyDescent="0.25">
      <c r="A2225" s="16"/>
      <c r="B2225" s="17"/>
      <c r="C2225" s="2" t="b">
        <v>0</v>
      </c>
      <c r="D2225" s="2"/>
      <c r="E2225" s="2"/>
      <c r="F2225" s="2"/>
      <c r="G2225" s="2"/>
      <c r="H2225" s="2"/>
      <c r="I2225" s="5"/>
    </row>
    <row r="2226" spans="1:9" ht="17.399999999999999" x14ac:dyDescent="0.25">
      <c r="A2226" s="16"/>
      <c r="B2226" s="17"/>
      <c r="C2226" s="2" t="b">
        <v>0</v>
      </c>
      <c r="D2226" s="2"/>
      <c r="E2226" s="2"/>
      <c r="F2226" s="2"/>
      <c r="G2226" s="2"/>
      <c r="H2226" s="2"/>
      <c r="I2226" s="5"/>
    </row>
    <row r="2227" spans="1:9" ht="17.399999999999999" x14ac:dyDescent="0.25">
      <c r="A2227" s="16"/>
      <c r="B2227" s="17"/>
      <c r="C2227" s="2" t="b">
        <v>0</v>
      </c>
      <c r="D2227" s="2"/>
      <c r="E2227" s="2"/>
      <c r="F2227" s="2"/>
      <c r="G2227" s="2"/>
      <c r="H2227" s="2"/>
      <c r="I2227" s="5"/>
    </row>
    <row r="2228" spans="1:9" ht="17.399999999999999" x14ac:dyDescent="0.25">
      <c r="A2228" s="16"/>
      <c r="B2228" s="17"/>
      <c r="C2228" s="2" t="b">
        <v>0</v>
      </c>
      <c r="D2228" s="2"/>
      <c r="E2228" s="2"/>
      <c r="F2228" s="2"/>
      <c r="G2228" s="2"/>
      <c r="H2228" s="2"/>
      <c r="I2228" s="5"/>
    </row>
    <row r="2229" spans="1:9" ht="17.399999999999999" x14ac:dyDescent="0.25">
      <c r="A2229" s="16"/>
      <c r="B2229" s="17"/>
      <c r="C2229" s="2" t="b">
        <v>0</v>
      </c>
      <c r="D2229" s="2"/>
      <c r="E2229" s="2"/>
      <c r="F2229" s="2"/>
      <c r="G2229" s="2"/>
      <c r="H2229" s="2"/>
      <c r="I2229" s="5"/>
    </row>
    <row r="2230" spans="1:9" ht="17.399999999999999" x14ac:dyDescent="0.25">
      <c r="A2230" s="16"/>
      <c r="B2230" s="17"/>
      <c r="C2230" s="2" t="b">
        <v>0</v>
      </c>
      <c r="D2230" s="2"/>
      <c r="E2230" s="2"/>
      <c r="F2230" s="2"/>
      <c r="G2230" s="2"/>
      <c r="H2230" s="2"/>
      <c r="I2230" s="5"/>
    </row>
    <row r="2231" spans="1:9" ht="17.399999999999999" x14ac:dyDescent="0.25">
      <c r="A2231" s="16"/>
      <c r="B2231" s="17"/>
      <c r="C2231" s="2" t="b">
        <v>0</v>
      </c>
      <c r="D2231" s="2"/>
      <c r="E2231" s="2"/>
      <c r="F2231" s="2"/>
      <c r="G2231" s="2"/>
      <c r="H2231" s="2"/>
      <c r="I2231" s="5"/>
    </row>
    <row r="2232" spans="1:9" ht="17.399999999999999" x14ac:dyDescent="0.25">
      <c r="A2232" s="16"/>
      <c r="B2232" s="17"/>
      <c r="C2232" s="2" t="b">
        <v>0</v>
      </c>
      <c r="D2232" s="2"/>
      <c r="E2232" s="2"/>
      <c r="F2232" s="2"/>
      <c r="G2232" s="2"/>
      <c r="H2232" s="2"/>
      <c r="I2232" s="5"/>
    </row>
    <row r="2233" spans="1:9" ht="17.399999999999999" x14ac:dyDescent="0.25">
      <c r="A2233" s="16"/>
      <c r="B2233" s="17"/>
      <c r="C2233" s="2" t="b">
        <v>0</v>
      </c>
      <c r="D2233" s="2"/>
      <c r="E2233" s="2"/>
      <c r="F2233" s="2"/>
      <c r="G2233" s="2"/>
      <c r="H2233" s="2"/>
      <c r="I2233" s="5"/>
    </row>
    <row r="2234" spans="1:9" ht="17.399999999999999" x14ac:dyDescent="0.25">
      <c r="A2234" s="16"/>
      <c r="B2234" s="17"/>
      <c r="C2234" s="2" t="b">
        <v>0</v>
      </c>
      <c r="D2234" s="2"/>
      <c r="E2234" s="2"/>
      <c r="F2234" s="2"/>
      <c r="G2234" s="2"/>
      <c r="H2234" s="2"/>
      <c r="I2234" s="5"/>
    </row>
    <row r="2235" spans="1:9" ht="17.399999999999999" x14ac:dyDescent="0.25">
      <c r="A2235" s="16"/>
      <c r="B2235" s="17"/>
      <c r="C2235" s="2" t="b">
        <v>0</v>
      </c>
      <c r="D2235" s="2"/>
      <c r="E2235" s="2"/>
      <c r="F2235" s="2"/>
      <c r="G2235" s="2"/>
      <c r="H2235" s="2"/>
      <c r="I2235" s="5"/>
    </row>
    <row r="2236" spans="1:9" ht="17.399999999999999" x14ac:dyDescent="0.25">
      <c r="A2236" s="16"/>
      <c r="B2236" s="17"/>
      <c r="C2236" s="2" t="b">
        <v>0</v>
      </c>
      <c r="D2236" s="2"/>
      <c r="E2236" s="2"/>
      <c r="F2236" s="2"/>
      <c r="G2236" s="2"/>
      <c r="H2236" s="2"/>
      <c r="I2236" s="5"/>
    </row>
    <row r="2237" spans="1:9" ht="17.399999999999999" x14ac:dyDescent="0.25">
      <c r="A2237" s="16"/>
      <c r="B2237" s="17"/>
      <c r="C2237" s="2" t="b">
        <v>0</v>
      </c>
      <c r="D2237" s="2"/>
      <c r="E2237" s="2"/>
      <c r="F2237" s="2"/>
      <c r="G2237" s="2"/>
      <c r="H2237" s="2"/>
      <c r="I2237" s="5"/>
    </row>
    <row r="2238" spans="1:9" ht="17.399999999999999" x14ac:dyDescent="0.25">
      <c r="A2238" s="16"/>
      <c r="B2238" s="17"/>
      <c r="C2238" s="2" t="b">
        <v>0</v>
      </c>
      <c r="D2238" s="2"/>
      <c r="E2238" s="2"/>
      <c r="F2238" s="2"/>
      <c r="G2238" s="2"/>
      <c r="H2238" s="2"/>
      <c r="I2238" s="5"/>
    </row>
    <row r="2239" spans="1:9" ht="17.399999999999999" x14ac:dyDescent="0.25">
      <c r="A2239" s="16"/>
      <c r="B2239" s="17"/>
      <c r="C2239" s="2" t="b">
        <v>0</v>
      </c>
      <c r="D2239" s="2"/>
      <c r="E2239" s="2"/>
      <c r="F2239" s="2"/>
      <c r="G2239" s="2"/>
      <c r="H2239" s="2"/>
      <c r="I2239" s="5"/>
    </row>
    <row r="2240" spans="1:9" ht="17.399999999999999" x14ac:dyDescent="0.25">
      <c r="A2240" s="16"/>
      <c r="B2240" s="17"/>
      <c r="C2240" s="2" t="b">
        <v>0</v>
      </c>
      <c r="D2240" s="2"/>
      <c r="E2240" s="2"/>
      <c r="F2240" s="2"/>
      <c r="G2240" s="2"/>
      <c r="H2240" s="2"/>
      <c r="I2240" s="5"/>
    </row>
    <row r="2241" spans="1:9" ht="17.399999999999999" x14ac:dyDescent="0.25">
      <c r="A2241" s="16"/>
      <c r="B2241" s="17"/>
      <c r="C2241" s="2" t="b">
        <v>0</v>
      </c>
      <c r="D2241" s="2"/>
      <c r="E2241" s="2"/>
      <c r="F2241" s="2"/>
      <c r="G2241" s="2"/>
      <c r="H2241" s="2"/>
      <c r="I2241" s="5"/>
    </row>
    <row r="2242" spans="1:9" ht="17.399999999999999" x14ac:dyDescent="0.25">
      <c r="A2242" s="16"/>
      <c r="B2242" s="17"/>
      <c r="C2242" s="2" t="b">
        <v>0</v>
      </c>
      <c r="D2242" s="2"/>
      <c r="E2242" s="2"/>
      <c r="F2242" s="2"/>
      <c r="G2242" s="2"/>
      <c r="H2242" s="2"/>
      <c r="I2242" s="5"/>
    </row>
    <row r="2243" spans="1:9" ht="17.399999999999999" x14ac:dyDescent="0.25">
      <c r="A2243" s="16"/>
      <c r="B2243" s="17"/>
      <c r="C2243" s="2" t="b">
        <v>0</v>
      </c>
      <c r="D2243" s="2"/>
      <c r="E2243" s="2"/>
      <c r="F2243" s="2"/>
      <c r="G2243" s="2"/>
      <c r="H2243" s="2"/>
      <c r="I2243" s="5"/>
    </row>
    <row r="2244" spans="1:9" ht="17.399999999999999" x14ac:dyDescent="0.25">
      <c r="A2244" s="16"/>
      <c r="B2244" s="17"/>
      <c r="C2244" s="2" t="b">
        <v>0</v>
      </c>
      <c r="D2244" s="2"/>
      <c r="E2244" s="2"/>
      <c r="F2244" s="2"/>
      <c r="G2244" s="2"/>
      <c r="H2244" s="2"/>
      <c r="I2244" s="5"/>
    </row>
    <row r="2245" spans="1:9" ht="17.399999999999999" x14ac:dyDescent="0.25">
      <c r="A2245" s="16"/>
      <c r="B2245" s="17"/>
      <c r="C2245" s="2" t="b">
        <v>0</v>
      </c>
      <c r="D2245" s="2"/>
      <c r="E2245" s="2"/>
      <c r="F2245" s="2"/>
      <c r="G2245" s="2"/>
      <c r="H2245" s="2"/>
      <c r="I2245" s="5"/>
    </row>
    <row r="2246" spans="1:9" ht="17.399999999999999" x14ac:dyDescent="0.25">
      <c r="A2246" s="16"/>
      <c r="B2246" s="17"/>
      <c r="C2246" s="2" t="b">
        <v>0</v>
      </c>
      <c r="D2246" s="2"/>
      <c r="E2246" s="2"/>
      <c r="F2246" s="2"/>
      <c r="G2246" s="2"/>
      <c r="H2246" s="2"/>
      <c r="I2246" s="5"/>
    </row>
    <row r="2247" spans="1:9" ht="17.399999999999999" x14ac:dyDescent="0.25">
      <c r="A2247" s="16"/>
      <c r="B2247" s="17"/>
      <c r="C2247" s="2" t="b">
        <v>0</v>
      </c>
      <c r="D2247" s="2"/>
      <c r="E2247" s="2"/>
      <c r="F2247" s="2"/>
      <c r="G2247" s="2"/>
      <c r="H2247" s="2"/>
      <c r="I2247" s="5"/>
    </row>
    <row r="2248" spans="1:9" ht="17.399999999999999" x14ac:dyDescent="0.25">
      <c r="A2248" s="16"/>
      <c r="B2248" s="17"/>
      <c r="C2248" s="2" t="b">
        <v>0</v>
      </c>
      <c r="D2248" s="2"/>
      <c r="E2248" s="2"/>
      <c r="F2248" s="2"/>
      <c r="G2248" s="2"/>
      <c r="H2248" s="2"/>
      <c r="I2248" s="5"/>
    </row>
    <row r="2249" spans="1:9" ht="17.399999999999999" x14ac:dyDescent="0.25">
      <c r="A2249" s="16"/>
      <c r="B2249" s="17"/>
      <c r="C2249" s="2" t="b">
        <v>0</v>
      </c>
      <c r="D2249" s="2"/>
      <c r="E2249" s="2"/>
      <c r="F2249" s="2"/>
      <c r="G2249" s="2"/>
      <c r="H2249" s="2"/>
      <c r="I2249" s="5"/>
    </row>
    <row r="2250" spans="1:9" ht="17.399999999999999" x14ac:dyDescent="0.25">
      <c r="A2250" s="16"/>
      <c r="B2250" s="17"/>
      <c r="C2250" s="2" t="b">
        <v>0</v>
      </c>
      <c r="D2250" s="2"/>
      <c r="E2250" s="2"/>
      <c r="F2250" s="2"/>
      <c r="G2250" s="2"/>
      <c r="H2250" s="2"/>
      <c r="I2250" s="5"/>
    </row>
    <row r="2251" spans="1:9" ht="17.399999999999999" x14ac:dyDescent="0.25">
      <c r="A2251" s="16"/>
      <c r="B2251" s="17"/>
      <c r="C2251" s="2" t="b">
        <v>0</v>
      </c>
      <c r="D2251" s="2"/>
      <c r="E2251" s="2"/>
      <c r="F2251" s="2"/>
      <c r="G2251" s="2"/>
      <c r="H2251" s="2"/>
      <c r="I2251" s="5"/>
    </row>
    <row r="2252" spans="1:9" ht="17.399999999999999" x14ac:dyDescent="0.25">
      <c r="A2252" s="16"/>
      <c r="B2252" s="17"/>
      <c r="C2252" s="2" t="b">
        <v>0</v>
      </c>
      <c r="D2252" s="2"/>
      <c r="E2252" s="2"/>
      <c r="F2252" s="2"/>
      <c r="G2252" s="2"/>
      <c r="H2252" s="2"/>
      <c r="I2252" s="5"/>
    </row>
    <row r="2253" spans="1:9" ht="17.399999999999999" x14ac:dyDescent="0.25">
      <c r="A2253" s="16"/>
      <c r="B2253" s="17"/>
      <c r="C2253" s="2" t="b">
        <v>0</v>
      </c>
      <c r="D2253" s="2"/>
      <c r="E2253" s="2"/>
      <c r="F2253" s="2"/>
      <c r="G2253" s="2"/>
      <c r="H2253" s="2"/>
      <c r="I2253" s="5"/>
    </row>
    <row r="2254" spans="1:9" ht="17.399999999999999" x14ac:dyDescent="0.25">
      <c r="A2254" s="16"/>
      <c r="B2254" s="17"/>
      <c r="C2254" s="2" t="b">
        <v>0</v>
      </c>
      <c r="D2254" s="2"/>
      <c r="E2254" s="2"/>
      <c r="F2254" s="2"/>
      <c r="G2254" s="2"/>
      <c r="H2254" s="2"/>
      <c r="I2254" s="5"/>
    </row>
    <row r="2255" spans="1:9" ht="17.399999999999999" x14ac:dyDescent="0.25">
      <c r="A2255" s="16"/>
      <c r="B2255" s="17"/>
      <c r="C2255" s="2" t="b">
        <v>0</v>
      </c>
      <c r="D2255" s="2"/>
      <c r="E2255" s="2"/>
      <c r="F2255" s="2"/>
      <c r="G2255" s="2"/>
      <c r="H2255" s="2"/>
      <c r="I2255" s="5"/>
    </row>
    <row r="2256" spans="1:9" ht="17.399999999999999" x14ac:dyDescent="0.25">
      <c r="A2256" s="16"/>
      <c r="B2256" s="17"/>
      <c r="C2256" s="2" t="b">
        <v>0</v>
      </c>
      <c r="D2256" s="2"/>
      <c r="E2256" s="2"/>
      <c r="F2256" s="2"/>
      <c r="G2256" s="2"/>
      <c r="H2256" s="2"/>
      <c r="I2256" s="5"/>
    </row>
    <row r="2257" spans="1:9" ht="17.399999999999999" x14ac:dyDescent="0.25">
      <c r="A2257" s="16"/>
      <c r="B2257" s="17"/>
      <c r="C2257" s="2" t="b">
        <v>0</v>
      </c>
      <c r="D2257" s="2"/>
      <c r="E2257" s="2"/>
      <c r="F2257" s="2"/>
      <c r="G2257" s="2"/>
      <c r="H2257" s="2"/>
      <c r="I2257" s="5"/>
    </row>
    <row r="2258" spans="1:9" ht="17.399999999999999" x14ac:dyDescent="0.25">
      <c r="A2258" s="16"/>
      <c r="B2258" s="17"/>
      <c r="C2258" s="2" t="b">
        <v>0</v>
      </c>
      <c r="D2258" s="2"/>
      <c r="E2258" s="2"/>
      <c r="F2258" s="2"/>
      <c r="G2258" s="2"/>
      <c r="H2258" s="2"/>
      <c r="I2258" s="5"/>
    </row>
    <row r="2259" spans="1:9" ht="17.399999999999999" x14ac:dyDescent="0.25">
      <c r="A2259" s="16"/>
      <c r="B2259" s="17"/>
      <c r="C2259" s="2" t="b">
        <v>0</v>
      </c>
      <c r="D2259" s="2"/>
      <c r="E2259" s="2"/>
      <c r="F2259" s="2"/>
      <c r="G2259" s="2"/>
      <c r="H2259" s="2"/>
      <c r="I2259" s="5"/>
    </row>
    <row r="2260" spans="1:9" ht="17.399999999999999" x14ac:dyDescent="0.25">
      <c r="A2260" s="16"/>
      <c r="B2260" s="17"/>
      <c r="C2260" s="2" t="b">
        <v>0</v>
      </c>
      <c r="D2260" s="2"/>
      <c r="E2260" s="2"/>
      <c r="F2260" s="2"/>
      <c r="G2260" s="2"/>
      <c r="H2260" s="2"/>
      <c r="I2260" s="5"/>
    </row>
    <row r="2261" spans="1:9" ht="17.399999999999999" x14ac:dyDescent="0.25">
      <c r="A2261" s="16"/>
      <c r="B2261" s="17"/>
      <c r="C2261" s="2" t="b">
        <v>0</v>
      </c>
      <c r="D2261" s="2"/>
      <c r="E2261" s="2"/>
      <c r="F2261" s="2"/>
      <c r="G2261" s="2"/>
      <c r="H2261" s="2"/>
      <c r="I2261" s="5"/>
    </row>
    <row r="2262" spans="1:9" ht="17.399999999999999" x14ac:dyDescent="0.25">
      <c r="A2262" s="16"/>
      <c r="B2262" s="17"/>
      <c r="C2262" s="2" t="b">
        <v>0</v>
      </c>
      <c r="D2262" s="2"/>
      <c r="E2262" s="2"/>
      <c r="F2262" s="2"/>
      <c r="G2262" s="2"/>
      <c r="H2262" s="2"/>
      <c r="I2262" s="5"/>
    </row>
    <row r="2263" spans="1:9" ht="17.399999999999999" x14ac:dyDescent="0.25">
      <c r="A2263" s="16"/>
      <c r="B2263" s="17"/>
      <c r="C2263" s="2" t="b">
        <v>0</v>
      </c>
      <c r="D2263" s="2"/>
      <c r="E2263" s="2"/>
      <c r="F2263" s="2"/>
      <c r="G2263" s="2"/>
      <c r="H2263" s="2"/>
      <c r="I2263" s="5"/>
    </row>
    <row r="2264" spans="1:9" ht="17.399999999999999" x14ac:dyDescent="0.25">
      <c r="A2264" s="16"/>
      <c r="B2264" s="17"/>
      <c r="C2264" s="2" t="b">
        <v>0</v>
      </c>
      <c r="D2264" s="2"/>
      <c r="E2264" s="2"/>
      <c r="F2264" s="2"/>
      <c r="G2264" s="2"/>
      <c r="H2264" s="2"/>
      <c r="I2264" s="5"/>
    </row>
    <row r="2265" spans="1:9" ht="17.399999999999999" x14ac:dyDescent="0.25">
      <c r="A2265" s="16"/>
      <c r="B2265" s="17"/>
      <c r="C2265" s="2" t="b">
        <v>0</v>
      </c>
      <c r="D2265" s="2"/>
      <c r="E2265" s="2"/>
      <c r="F2265" s="2"/>
      <c r="G2265" s="2"/>
      <c r="H2265" s="2"/>
      <c r="I2265" s="5"/>
    </row>
    <row r="2266" spans="1:9" ht="17.399999999999999" x14ac:dyDescent="0.25">
      <c r="A2266" s="16"/>
      <c r="B2266" s="17"/>
      <c r="C2266" s="2" t="b">
        <v>0</v>
      </c>
      <c r="D2266" s="2"/>
      <c r="E2266" s="2"/>
      <c r="F2266" s="2"/>
      <c r="G2266" s="2"/>
      <c r="H2266" s="2"/>
      <c r="I2266" s="5"/>
    </row>
    <row r="2267" spans="1:9" ht="17.399999999999999" x14ac:dyDescent="0.25">
      <c r="A2267" s="16"/>
      <c r="B2267" s="17"/>
      <c r="C2267" s="2" t="b">
        <v>0</v>
      </c>
      <c r="D2267" s="2"/>
      <c r="E2267" s="2"/>
      <c r="F2267" s="2"/>
      <c r="G2267" s="2"/>
      <c r="H2267" s="2"/>
      <c r="I2267" s="5"/>
    </row>
    <row r="2268" spans="1:9" ht="17.399999999999999" x14ac:dyDescent="0.25">
      <c r="A2268" s="16"/>
      <c r="B2268" s="17"/>
      <c r="C2268" s="2" t="b">
        <v>0</v>
      </c>
      <c r="D2268" s="2"/>
      <c r="E2268" s="2"/>
      <c r="F2268" s="2"/>
      <c r="G2268" s="2"/>
      <c r="H2268" s="2"/>
      <c r="I2268" s="5"/>
    </row>
    <row r="2269" spans="1:9" ht="17.399999999999999" x14ac:dyDescent="0.25">
      <c r="A2269" s="16"/>
      <c r="B2269" s="17"/>
      <c r="C2269" s="2" t="b">
        <v>0</v>
      </c>
      <c r="D2269" s="2"/>
      <c r="E2269" s="2"/>
      <c r="F2269" s="2"/>
      <c r="G2269" s="2"/>
      <c r="H2269" s="2"/>
      <c r="I2269" s="5"/>
    </row>
    <row r="2270" spans="1:9" ht="17.399999999999999" x14ac:dyDescent="0.25">
      <c r="A2270" s="16"/>
      <c r="B2270" s="17"/>
      <c r="C2270" s="2" t="b">
        <v>0</v>
      </c>
      <c r="D2270" s="2"/>
      <c r="E2270" s="2"/>
      <c r="F2270" s="2"/>
      <c r="G2270" s="2"/>
      <c r="H2270" s="2"/>
      <c r="I2270" s="5"/>
    </row>
    <row r="2271" spans="1:9" ht="17.399999999999999" x14ac:dyDescent="0.25">
      <c r="A2271" s="16"/>
      <c r="B2271" s="17"/>
      <c r="C2271" s="2" t="b">
        <v>0</v>
      </c>
      <c r="D2271" s="2"/>
      <c r="E2271" s="2"/>
      <c r="F2271" s="2"/>
      <c r="G2271" s="2"/>
      <c r="H2271" s="2"/>
      <c r="I2271" s="5"/>
    </row>
    <row r="2272" spans="1:9" ht="17.399999999999999" x14ac:dyDescent="0.25">
      <c r="A2272" s="16"/>
      <c r="B2272" s="17"/>
      <c r="C2272" s="2" t="b">
        <v>0</v>
      </c>
      <c r="D2272" s="2"/>
      <c r="E2272" s="2"/>
      <c r="F2272" s="2"/>
      <c r="G2272" s="2"/>
      <c r="H2272" s="2"/>
      <c r="I2272" s="5"/>
    </row>
    <row r="2273" spans="1:9" ht="17.399999999999999" x14ac:dyDescent="0.25">
      <c r="A2273" s="16"/>
      <c r="B2273" s="17"/>
      <c r="C2273" s="2" t="b">
        <v>0</v>
      </c>
      <c r="D2273" s="2"/>
      <c r="E2273" s="2"/>
      <c r="F2273" s="2"/>
      <c r="G2273" s="2"/>
      <c r="H2273" s="2"/>
      <c r="I2273" s="5"/>
    </row>
    <row r="2274" spans="1:9" ht="17.399999999999999" x14ac:dyDescent="0.25">
      <c r="A2274" s="16"/>
      <c r="B2274" s="17"/>
      <c r="C2274" s="2" t="b">
        <v>0</v>
      </c>
      <c r="D2274" s="2"/>
      <c r="E2274" s="2"/>
      <c r="F2274" s="2"/>
      <c r="G2274" s="2"/>
      <c r="H2274" s="2"/>
      <c r="I2274" s="5"/>
    </row>
    <row r="2275" spans="1:9" ht="17.399999999999999" x14ac:dyDescent="0.25">
      <c r="A2275" s="16"/>
      <c r="B2275" s="17"/>
      <c r="C2275" s="2" t="b">
        <v>0</v>
      </c>
      <c r="D2275" s="2"/>
      <c r="E2275" s="2"/>
      <c r="F2275" s="2"/>
      <c r="G2275" s="2"/>
      <c r="H2275" s="2"/>
      <c r="I2275" s="5"/>
    </row>
    <row r="2276" spans="1:9" ht="17.399999999999999" x14ac:dyDescent="0.25">
      <c r="A2276" s="16"/>
      <c r="B2276" s="17"/>
      <c r="C2276" s="2" t="b">
        <v>0</v>
      </c>
      <c r="D2276" s="2"/>
      <c r="E2276" s="2"/>
      <c r="F2276" s="2"/>
      <c r="G2276" s="2"/>
      <c r="H2276" s="2"/>
      <c r="I2276" s="5"/>
    </row>
    <row r="2277" spans="1:9" ht="17.399999999999999" x14ac:dyDescent="0.25">
      <c r="A2277" s="16"/>
      <c r="B2277" s="17"/>
      <c r="C2277" s="2" t="b">
        <v>0</v>
      </c>
      <c r="D2277" s="2"/>
      <c r="E2277" s="2"/>
      <c r="F2277" s="2"/>
      <c r="G2277" s="2"/>
      <c r="H2277" s="2"/>
      <c r="I2277" s="5"/>
    </row>
    <row r="2278" spans="1:9" ht="17.399999999999999" x14ac:dyDescent="0.25">
      <c r="A2278" s="16"/>
      <c r="B2278" s="17"/>
      <c r="C2278" s="2" t="b">
        <v>0</v>
      </c>
      <c r="D2278" s="2"/>
      <c r="E2278" s="2"/>
      <c r="F2278" s="2"/>
      <c r="G2278" s="2"/>
      <c r="H2278" s="2"/>
      <c r="I2278" s="5"/>
    </row>
    <row r="2279" spans="1:9" ht="17.399999999999999" x14ac:dyDescent="0.25">
      <c r="A2279" s="16"/>
      <c r="B2279" s="17"/>
      <c r="C2279" s="2" t="b">
        <v>0</v>
      </c>
      <c r="D2279" s="2"/>
      <c r="E2279" s="2"/>
      <c r="F2279" s="2"/>
      <c r="G2279" s="2"/>
      <c r="H2279" s="2"/>
      <c r="I2279" s="5"/>
    </row>
    <row r="2280" spans="1:9" ht="17.399999999999999" x14ac:dyDescent="0.25">
      <c r="A2280" s="16"/>
      <c r="B2280" s="17"/>
      <c r="C2280" s="2" t="b">
        <v>0</v>
      </c>
      <c r="D2280" s="2"/>
      <c r="E2280" s="2"/>
      <c r="F2280" s="2"/>
      <c r="G2280" s="2"/>
      <c r="H2280" s="2"/>
      <c r="I2280" s="5"/>
    </row>
    <row r="2281" spans="1:9" ht="17.399999999999999" x14ac:dyDescent="0.25">
      <c r="A2281" s="16"/>
      <c r="B2281" s="17"/>
      <c r="C2281" s="2" t="b">
        <v>0</v>
      </c>
      <c r="D2281" s="2"/>
      <c r="E2281" s="2"/>
      <c r="F2281" s="2"/>
      <c r="G2281" s="2"/>
      <c r="H2281" s="2"/>
      <c r="I2281" s="5"/>
    </row>
    <row r="2282" spans="1:9" ht="17.399999999999999" x14ac:dyDescent="0.25">
      <c r="A2282" s="16"/>
      <c r="B2282" s="17"/>
      <c r="C2282" s="2" t="b">
        <v>0</v>
      </c>
      <c r="D2282" s="2"/>
      <c r="E2282" s="2"/>
      <c r="F2282" s="2"/>
      <c r="G2282" s="2"/>
      <c r="H2282" s="2"/>
      <c r="I2282" s="5"/>
    </row>
    <row r="2283" spans="1:9" ht="17.399999999999999" x14ac:dyDescent="0.25">
      <c r="A2283" s="16"/>
      <c r="B2283" s="17"/>
      <c r="C2283" s="2" t="b">
        <v>0</v>
      </c>
      <c r="D2283" s="2"/>
      <c r="E2283" s="2"/>
      <c r="F2283" s="2"/>
      <c r="G2283" s="2"/>
      <c r="H2283" s="2"/>
      <c r="I2283" s="5"/>
    </row>
    <row r="2284" spans="1:9" ht="17.399999999999999" x14ac:dyDescent="0.25">
      <c r="A2284" s="16"/>
      <c r="B2284" s="17"/>
      <c r="C2284" s="2" t="b">
        <v>0</v>
      </c>
      <c r="D2284" s="2"/>
      <c r="E2284" s="2"/>
      <c r="F2284" s="2"/>
      <c r="G2284" s="2"/>
      <c r="H2284" s="2"/>
      <c r="I2284" s="5"/>
    </row>
    <row r="2285" spans="1:9" ht="17.399999999999999" x14ac:dyDescent="0.25">
      <c r="A2285" s="16"/>
      <c r="B2285" s="17"/>
      <c r="C2285" s="2" t="b">
        <v>0</v>
      </c>
      <c r="D2285" s="2"/>
      <c r="E2285" s="2"/>
      <c r="F2285" s="2"/>
      <c r="G2285" s="2"/>
      <c r="H2285" s="2"/>
      <c r="I2285" s="5"/>
    </row>
    <row r="2286" spans="1:9" ht="17.399999999999999" x14ac:dyDescent="0.25">
      <c r="A2286" s="16"/>
      <c r="B2286" s="17"/>
      <c r="C2286" s="2" t="b">
        <v>0</v>
      </c>
      <c r="D2286" s="2"/>
      <c r="E2286" s="2"/>
      <c r="F2286" s="2"/>
      <c r="G2286" s="2"/>
      <c r="H2286" s="2"/>
      <c r="I2286" s="5"/>
    </row>
    <row r="2287" spans="1:9" ht="17.399999999999999" x14ac:dyDescent="0.25">
      <c r="A2287" s="16"/>
      <c r="B2287" s="17"/>
      <c r="C2287" s="2" t="b">
        <v>0</v>
      </c>
      <c r="D2287" s="2"/>
      <c r="E2287" s="2"/>
      <c r="F2287" s="2"/>
      <c r="G2287" s="2"/>
      <c r="H2287" s="2"/>
      <c r="I2287" s="5"/>
    </row>
    <row r="2288" spans="1:9" ht="17.399999999999999" x14ac:dyDescent="0.25">
      <c r="A2288" s="16"/>
      <c r="B2288" s="17"/>
      <c r="C2288" s="2" t="b">
        <v>0</v>
      </c>
      <c r="D2288" s="2"/>
      <c r="E2288" s="2"/>
      <c r="F2288" s="2"/>
      <c r="G2288" s="2"/>
      <c r="H2288" s="2"/>
      <c r="I2288" s="5"/>
    </row>
    <row r="2289" spans="1:9" ht="17.399999999999999" x14ac:dyDescent="0.25">
      <c r="A2289" s="16"/>
      <c r="B2289" s="17"/>
      <c r="C2289" s="2" t="b">
        <v>0</v>
      </c>
      <c r="D2289" s="2"/>
      <c r="E2289" s="2"/>
      <c r="F2289" s="2"/>
      <c r="G2289" s="2"/>
      <c r="H2289" s="2"/>
      <c r="I2289" s="5"/>
    </row>
    <row r="2290" spans="1:9" ht="17.399999999999999" x14ac:dyDescent="0.25">
      <c r="A2290" s="16"/>
      <c r="B2290" s="17"/>
      <c r="C2290" s="2" t="b">
        <v>0</v>
      </c>
      <c r="D2290" s="2"/>
      <c r="E2290" s="2"/>
      <c r="F2290" s="2"/>
      <c r="G2290" s="2"/>
      <c r="H2290" s="2"/>
      <c r="I2290" s="5"/>
    </row>
    <row r="2291" spans="1:9" ht="17.399999999999999" x14ac:dyDescent="0.25">
      <c r="A2291" s="16"/>
      <c r="B2291" s="17"/>
      <c r="C2291" s="2" t="b">
        <v>0</v>
      </c>
      <c r="D2291" s="2"/>
      <c r="E2291" s="2"/>
      <c r="F2291" s="2"/>
      <c r="G2291" s="2"/>
      <c r="H2291" s="2"/>
      <c r="I2291" s="5"/>
    </row>
    <row r="2292" spans="1:9" ht="17.399999999999999" x14ac:dyDescent="0.25">
      <c r="A2292" s="16"/>
      <c r="B2292" s="17"/>
      <c r="C2292" s="2" t="b">
        <v>0</v>
      </c>
      <c r="D2292" s="2"/>
      <c r="E2292" s="2"/>
      <c r="F2292" s="2"/>
      <c r="G2292" s="2"/>
      <c r="H2292" s="2"/>
      <c r="I2292" s="5"/>
    </row>
    <row r="2293" spans="1:9" ht="17.399999999999999" x14ac:dyDescent="0.25">
      <c r="A2293" s="16"/>
      <c r="B2293" s="17"/>
      <c r="C2293" s="2" t="b">
        <v>0</v>
      </c>
      <c r="D2293" s="2"/>
      <c r="E2293" s="2"/>
      <c r="F2293" s="2"/>
      <c r="G2293" s="2"/>
      <c r="H2293" s="2"/>
      <c r="I2293" s="5"/>
    </row>
    <row r="2294" spans="1:9" ht="17.399999999999999" x14ac:dyDescent="0.25">
      <c r="A2294" s="16"/>
      <c r="B2294" s="17"/>
      <c r="C2294" s="2" t="b">
        <v>0</v>
      </c>
      <c r="D2294" s="2"/>
      <c r="E2294" s="2"/>
      <c r="F2294" s="2"/>
      <c r="G2294" s="2"/>
      <c r="H2294" s="2"/>
      <c r="I2294" s="5"/>
    </row>
    <row r="2295" spans="1:9" ht="17.399999999999999" x14ac:dyDescent="0.25">
      <c r="A2295" s="16"/>
      <c r="B2295" s="17"/>
      <c r="C2295" s="2" t="b">
        <v>0</v>
      </c>
      <c r="D2295" s="2"/>
      <c r="E2295" s="2"/>
      <c r="F2295" s="2"/>
      <c r="G2295" s="2"/>
      <c r="H2295" s="2"/>
      <c r="I2295" s="5"/>
    </row>
    <row r="2296" spans="1:9" ht="17.399999999999999" x14ac:dyDescent="0.25">
      <c r="A2296" s="16"/>
      <c r="B2296" s="17"/>
      <c r="C2296" s="2" t="b">
        <v>0</v>
      </c>
      <c r="D2296" s="2"/>
      <c r="E2296" s="2"/>
      <c r="F2296" s="2"/>
      <c r="G2296" s="2"/>
      <c r="H2296" s="2"/>
      <c r="I2296" s="5"/>
    </row>
    <row r="2297" spans="1:9" ht="17.399999999999999" x14ac:dyDescent="0.25">
      <c r="A2297" s="16"/>
      <c r="B2297" s="17"/>
      <c r="C2297" s="2" t="b">
        <v>0</v>
      </c>
      <c r="D2297" s="2"/>
      <c r="E2297" s="2"/>
      <c r="F2297" s="2"/>
      <c r="G2297" s="2"/>
      <c r="H2297" s="2"/>
      <c r="I2297" s="5"/>
    </row>
    <row r="2298" spans="1:9" ht="17.399999999999999" x14ac:dyDescent="0.25">
      <c r="A2298" s="16"/>
      <c r="B2298" s="17"/>
      <c r="C2298" s="2" t="b">
        <v>0</v>
      </c>
      <c r="D2298" s="2"/>
      <c r="E2298" s="2"/>
      <c r="F2298" s="2"/>
      <c r="G2298" s="2"/>
      <c r="H2298" s="2"/>
      <c r="I2298" s="5"/>
    </row>
    <row r="2299" spans="1:9" ht="17.399999999999999" x14ac:dyDescent="0.25">
      <c r="A2299" s="16"/>
      <c r="B2299" s="17"/>
      <c r="C2299" s="2" t="b">
        <v>0</v>
      </c>
      <c r="D2299" s="2"/>
      <c r="E2299" s="2"/>
      <c r="F2299" s="2"/>
      <c r="G2299" s="2"/>
      <c r="H2299" s="2"/>
      <c r="I2299" s="5"/>
    </row>
    <row r="2300" spans="1:9" ht="17.399999999999999" x14ac:dyDescent="0.25">
      <c r="A2300" s="16"/>
      <c r="B2300" s="17"/>
      <c r="C2300" s="2" t="b">
        <v>0</v>
      </c>
      <c r="D2300" s="2"/>
      <c r="E2300" s="2"/>
      <c r="F2300" s="2"/>
      <c r="G2300" s="2"/>
      <c r="H2300" s="2"/>
      <c r="I2300" s="5"/>
    </row>
    <row r="2301" spans="1:9" ht="17.399999999999999" x14ac:dyDescent="0.25">
      <c r="A2301" s="16"/>
      <c r="B2301" s="17"/>
      <c r="C2301" s="2" t="b">
        <v>0</v>
      </c>
      <c r="D2301" s="2"/>
      <c r="E2301" s="2"/>
      <c r="F2301" s="2"/>
      <c r="G2301" s="2"/>
      <c r="H2301" s="2"/>
      <c r="I2301" s="5"/>
    </row>
    <row r="2302" spans="1:9" ht="17.399999999999999" x14ac:dyDescent="0.25">
      <c r="A2302" s="16"/>
      <c r="B2302" s="17"/>
      <c r="C2302" s="2" t="b">
        <v>0</v>
      </c>
      <c r="D2302" s="2"/>
      <c r="E2302" s="2"/>
      <c r="F2302" s="2"/>
      <c r="G2302" s="2"/>
      <c r="H2302" s="2"/>
      <c r="I2302" s="5"/>
    </row>
    <row r="2303" spans="1:9" ht="17.399999999999999" x14ac:dyDescent="0.25">
      <c r="A2303" s="16"/>
      <c r="B2303" s="17"/>
      <c r="C2303" s="2" t="b">
        <v>0</v>
      </c>
      <c r="D2303" s="2"/>
      <c r="E2303" s="2"/>
      <c r="F2303" s="2"/>
      <c r="G2303" s="2"/>
      <c r="H2303" s="2"/>
      <c r="I2303" s="5"/>
    </row>
    <row r="2304" spans="1:9" ht="17.399999999999999" x14ac:dyDescent="0.25">
      <c r="A2304" s="16"/>
      <c r="B2304" s="17"/>
      <c r="C2304" s="2" t="b">
        <v>0</v>
      </c>
      <c r="D2304" s="2"/>
      <c r="E2304" s="2"/>
      <c r="F2304" s="2"/>
      <c r="G2304" s="2"/>
      <c r="H2304" s="2"/>
      <c r="I2304" s="5"/>
    </row>
    <row r="2305" spans="1:9" ht="17.399999999999999" x14ac:dyDescent="0.25">
      <c r="A2305" s="16"/>
      <c r="B2305" s="17"/>
      <c r="C2305" s="2" t="b">
        <v>0</v>
      </c>
      <c r="D2305" s="2"/>
      <c r="E2305" s="2"/>
      <c r="F2305" s="2"/>
      <c r="G2305" s="2"/>
      <c r="H2305" s="2"/>
      <c r="I2305" s="5"/>
    </row>
    <row r="2306" spans="1:9" ht="17.399999999999999" x14ac:dyDescent="0.25">
      <c r="A2306" s="16"/>
      <c r="B2306" s="17"/>
      <c r="C2306" s="2" t="b">
        <v>0</v>
      </c>
      <c r="D2306" s="2"/>
      <c r="E2306" s="2"/>
      <c r="F2306" s="2"/>
      <c r="G2306" s="2"/>
      <c r="H2306" s="2"/>
      <c r="I2306" s="5"/>
    </row>
    <row r="2307" spans="1:9" ht="17.399999999999999" x14ac:dyDescent="0.25">
      <c r="A2307" s="16"/>
      <c r="B2307" s="17"/>
      <c r="C2307" s="2" t="b">
        <v>0</v>
      </c>
      <c r="D2307" s="2"/>
      <c r="E2307" s="2"/>
      <c r="F2307" s="2"/>
      <c r="G2307" s="2"/>
      <c r="H2307" s="2"/>
      <c r="I2307" s="5"/>
    </row>
    <row r="2308" spans="1:9" ht="17.399999999999999" x14ac:dyDescent="0.25">
      <c r="A2308" s="16"/>
      <c r="B2308" s="17"/>
      <c r="C2308" s="2" t="b">
        <v>0</v>
      </c>
      <c r="D2308" s="2"/>
      <c r="E2308" s="2"/>
      <c r="F2308" s="2"/>
      <c r="G2308" s="2"/>
      <c r="H2308" s="2"/>
      <c r="I2308" s="5"/>
    </row>
    <row r="2309" spans="1:9" ht="17.399999999999999" x14ac:dyDescent="0.25">
      <c r="A2309" s="16"/>
      <c r="B2309" s="17"/>
      <c r="C2309" s="2" t="b">
        <v>0</v>
      </c>
      <c r="D2309" s="2"/>
      <c r="E2309" s="2"/>
      <c r="F2309" s="2"/>
      <c r="G2309" s="2"/>
      <c r="H2309" s="2"/>
      <c r="I2309" s="5"/>
    </row>
    <row r="2310" spans="1:9" ht="17.399999999999999" x14ac:dyDescent="0.25">
      <c r="A2310" s="16"/>
      <c r="B2310" s="17"/>
      <c r="C2310" s="2" t="b">
        <v>0</v>
      </c>
      <c r="D2310" s="2"/>
      <c r="E2310" s="2"/>
      <c r="F2310" s="2"/>
      <c r="G2310" s="2"/>
      <c r="H2310" s="2"/>
      <c r="I2310" s="5"/>
    </row>
    <row r="2311" spans="1:9" ht="17.399999999999999" x14ac:dyDescent="0.25">
      <c r="A2311" s="16"/>
      <c r="B2311" s="17"/>
      <c r="C2311" s="2" t="b">
        <v>0</v>
      </c>
      <c r="D2311" s="2"/>
      <c r="E2311" s="2"/>
      <c r="F2311" s="2"/>
      <c r="G2311" s="2"/>
      <c r="H2311" s="2"/>
      <c r="I2311" s="5"/>
    </row>
    <row r="2312" spans="1:9" ht="17.399999999999999" x14ac:dyDescent="0.25">
      <c r="A2312" s="16"/>
      <c r="B2312" s="17"/>
      <c r="C2312" s="2" t="b">
        <v>0</v>
      </c>
      <c r="D2312" s="2"/>
      <c r="E2312" s="2"/>
      <c r="F2312" s="2"/>
      <c r="G2312" s="2"/>
      <c r="H2312" s="2"/>
      <c r="I2312" s="5"/>
    </row>
    <row r="2313" spans="1:9" ht="17.399999999999999" x14ac:dyDescent="0.25">
      <c r="A2313" s="16"/>
      <c r="B2313" s="17"/>
      <c r="C2313" s="2" t="b">
        <v>0</v>
      </c>
      <c r="D2313" s="2"/>
      <c r="E2313" s="2"/>
      <c r="F2313" s="2"/>
      <c r="G2313" s="2"/>
      <c r="H2313" s="2"/>
      <c r="I2313" s="5"/>
    </row>
    <row r="2314" spans="1:9" ht="17.399999999999999" x14ac:dyDescent="0.25">
      <c r="A2314" s="16"/>
      <c r="B2314" s="17"/>
      <c r="C2314" s="2" t="b">
        <v>0</v>
      </c>
      <c r="D2314" s="2"/>
      <c r="E2314" s="2"/>
      <c r="F2314" s="2"/>
      <c r="G2314" s="2"/>
      <c r="H2314" s="2"/>
      <c r="I2314" s="5"/>
    </row>
    <row r="2315" spans="1:9" ht="17.399999999999999" x14ac:dyDescent="0.25">
      <c r="A2315" s="16"/>
      <c r="B2315" s="17"/>
      <c r="C2315" s="2" t="b">
        <v>0</v>
      </c>
      <c r="D2315" s="2"/>
      <c r="E2315" s="2"/>
      <c r="F2315" s="2"/>
      <c r="G2315" s="2"/>
      <c r="H2315" s="2"/>
      <c r="I2315" s="5"/>
    </row>
    <row r="2316" spans="1:9" ht="17.399999999999999" x14ac:dyDescent="0.25">
      <c r="A2316" s="16"/>
      <c r="B2316" s="17"/>
      <c r="C2316" s="2" t="b">
        <v>0</v>
      </c>
      <c r="D2316" s="2"/>
      <c r="E2316" s="2"/>
      <c r="F2316" s="2"/>
      <c r="G2316" s="2"/>
      <c r="H2316" s="2"/>
      <c r="I2316" s="5"/>
    </row>
    <row r="2317" spans="1:9" ht="17.399999999999999" x14ac:dyDescent="0.25">
      <c r="A2317" s="16"/>
      <c r="B2317" s="17"/>
      <c r="C2317" s="2" t="b">
        <v>0</v>
      </c>
      <c r="D2317" s="2"/>
      <c r="E2317" s="2"/>
      <c r="F2317" s="2"/>
      <c r="G2317" s="2"/>
      <c r="H2317" s="2"/>
      <c r="I2317" s="5"/>
    </row>
    <row r="2318" spans="1:9" ht="17.399999999999999" x14ac:dyDescent="0.25">
      <c r="A2318" s="16"/>
      <c r="B2318" s="17"/>
      <c r="C2318" s="2" t="b">
        <v>0</v>
      </c>
      <c r="D2318" s="2"/>
      <c r="E2318" s="2"/>
      <c r="F2318" s="2"/>
      <c r="G2318" s="2"/>
      <c r="H2318" s="2"/>
      <c r="I2318" s="5"/>
    </row>
    <row r="2319" spans="1:9" ht="17.399999999999999" x14ac:dyDescent="0.25">
      <c r="A2319" s="16"/>
      <c r="B2319" s="17"/>
      <c r="C2319" s="2" t="b">
        <v>0</v>
      </c>
      <c r="D2319" s="2"/>
      <c r="E2319" s="2"/>
      <c r="F2319" s="2"/>
      <c r="G2319" s="2"/>
      <c r="H2319" s="2"/>
      <c r="I2319" s="5"/>
    </row>
    <row r="2320" spans="1:9" ht="17.399999999999999" x14ac:dyDescent="0.25">
      <c r="A2320" s="16"/>
      <c r="B2320" s="17"/>
      <c r="C2320" s="2" t="b">
        <v>0</v>
      </c>
      <c r="D2320" s="2"/>
      <c r="E2320" s="2"/>
      <c r="F2320" s="2"/>
      <c r="G2320" s="2"/>
      <c r="H2320" s="2"/>
      <c r="I2320" s="5"/>
    </row>
    <row r="2321" spans="1:9" ht="17.399999999999999" x14ac:dyDescent="0.25">
      <c r="A2321" s="16"/>
      <c r="B2321" s="17"/>
      <c r="C2321" s="2" t="b">
        <v>0</v>
      </c>
      <c r="D2321" s="2"/>
      <c r="E2321" s="2"/>
      <c r="F2321" s="2"/>
      <c r="G2321" s="2"/>
      <c r="H2321" s="2"/>
      <c r="I2321" s="5"/>
    </row>
    <row r="2322" spans="1:9" ht="17.399999999999999" x14ac:dyDescent="0.25">
      <c r="A2322" s="16"/>
      <c r="B2322" s="17"/>
      <c r="C2322" s="2" t="b">
        <v>0</v>
      </c>
      <c r="D2322" s="2"/>
      <c r="E2322" s="2"/>
      <c r="F2322" s="2"/>
      <c r="G2322" s="2"/>
      <c r="H2322" s="2"/>
      <c r="I2322" s="5"/>
    </row>
    <row r="2323" spans="1:9" ht="17.399999999999999" x14ac:dyDescent="0.25">
      <c r="A2323" s="16"/>
      <c r="B2323" s="17"/>
      <c r="C2323" s="2" t="b">
        <v>0</v>
      </c>
      <c r="D2323" s="2"/>
      <c r="E2323" s="2"/>
      <c r="F2323" s="2"/>
      <c r="G2323" s="2"/>
      <c r="H2323" s="2"/>
      <c r="I2323" s="5"/>
    </row>
    <row r="2324" spans="1:9" ht="17.399999999999999" x14ac:dyDescent="0.25">
      <c r="A2324" s="16"/>
      <c r="B2324" s="17"/>
      <c r="C2324" s="2" t="b">
        <v>0</v>
      </c>
      <c r="D2324" s="2"/>
      <c r="E2324" s="2"/>
      <c r="F2324" s="2"/>
      <c r="G2324" s="2"/>
      <c r="H2324" s="2"/>
      <c r="I2324" s="5"/>
    </row>
    <row r="2325" spans="1:9" ht="17.399999999999999" x14ac:dyDescent="0.25">
      <c r="A2325" s="16"/>
      <c r="B2325" s="17"/>
      <c r="C2325" s="2" t="b">
        <v>0</v>
      </c>
      <c r="D2325" s="2"/>
      <c r="E2325" s="2"/>
      <c r="F2325" s="2"/>
      <c r="G2325" s="2"/>
      <c r="H2325" s="2"/>
      <c r="I2325" s="5"/>
    </row>
    <row r="2326" spans="1:9" ht="17.399999999999999" x14ac:dyDescent="0.25">
      <c r="A2326" s="16"/>
      <c r="B2326" s="17"/>
      <c r="C2326" s="2" t="b">
        <v>0</v>
      </c>
      <c r="D2326" s="2"/>
      <c r="E2326" s="2"/>
      <c r="F2326" s="2"/>
      <c r="G2326" s="2"/>
      <c r="H2326" s="2"/>
      <c r="I2326" s="5"/>
    </row>
    <row r="2327" spans="1:9" ht="17.399999999999999" x14ac:dyDescent="0.25">
      <c r="A2327" s="16"/>
      <c r="B2327" s="17"/>
      <c r="C2327" s="2" t="b">
        <v>0</v>
      </c>
      <c r="D2327" s="2"/>
      <c r="E2327" s="2"/>
      <c r="F2327" s="2"/>
      <c r="G2327" s="2"/>
      <c r="H2327" s="2"/>
      <c r="I2327" s="5"/>
    </row>
    <row r="2328" spans="1:9" ht="17.399999999999999" x14ac:dyDescent="0.25">
      <c r="A2328" s="16"/>
      <c r="B2328" s="17"/>
      <c r="C2328" s="2" t="b">
        <v>0</v>
      </c>
      <c r="D2328" s="2"/>
      <c r="E2328" s="2"/>
      <c r="F2328" s="2"/>
      <c r="G2328" s="2"/>
      <c r="H2328" s="2"/>
      <c r="I2328" s="5"/>
    </row>
    <row r="2329" spans="1:9" ht="17.399999999999999" x14ac:dyDescent="0.25">
      <c r="A2329" s="16"/>
      <c r="B2329" s="17"/>
      <c r="C2329" s="2" t="b">
        <v>0</v>
      </c>
      <c r="D2329" s="2"/>
      <c r="E2329" s="2"/>
      <c r="F2329" s="2"/>
      <c r="G2329" s="2"/>
      <c r="H2329" s="2"/>
      <c r="I2329" s="5"/>
    </row>
    <row r="2330" spans="1:9" ht="17.399999999999999" x14ac:dyDescent="0.25">
      <c r="A2330" s="16"/>
      <c r="B2330" s="17"/>
      <c r="C2330" s="2" t="b">
        <v>0</v>
      </c>
      <c r="D2330" s="2"/>
      <c r="E2330" s="2"/>
      <c r="F2330" s="2"/>
      <c r="G2330" s="2"/>
      <c r="H2330" s="2"/>
      <c r="I2330" s="5"/>
    </row>
    <row r="2331" spans="1:9" ht="17.399999999999999" x14ac:dyDescent="0.25">
      <c r="A2331" s="16"/>
      <c r="B2331" s="17"/>
      <c r="C2331" s="2" t="b">
        <v>0</v>
      </c>
      <c r="D2331" s="2"/>
      <c r="E2331" s="2"/>
      <c r="F2331" s="2"/>
      <c r="G2331" s="2"/>
      <c r="H2331" s="2"/>
      <c r="I2331" s="5"/>
    </row>
    <row r="2332" spans="1:9" ht="17.399999999999999" x14ac:dyDescent="0.25">
      <c r="A2332" s="16"/>
      <c r="B2332" s="17"/>
      <c r="C2332" s="2" t="b">
        <v>0</v>
      </c>
      <c r="D2332" s="2"/>
      <c r="E2332" s="2"/>
      <c r="F2332" s="2"/>
      <c r="G2332" s="2"/>
      <c r="H2332" s="2"/>
      <c r="I2332" s="5"/>
    </row>
    <row r="2333" spans="1:9" ht="17.399999999999999" x14ac:dyDescent="0.25">
      <c r="A2333" s="16"/>
      <c r="B2333" s="17"/>
      <c r="C2333" s="2" t="b">
        <v>0</v>
      </c>
      <c r="D2333" s="2"/>
      <c r="E2333" s="2"/>
      <c r="F2333" s="2"/>
      <c r="G2333" s="2"/>
      <c r="H2333" s="2"/>
      <c r="I2333" s="5"/>
    </row>
    <row r="2334" spans="1:9" ht="17.399999999999999" x14ac:dyDescent="0.25">
      <c r="A2334" s="16"/>
      <c r="B2334" s="17"/>
      <c r="C2334" s="2" t="b">
        <v>0</v>
      </c>
      <c r="D2334" s="2"/>
      <c r="E2334" s="2"/>
      <c r="F2334" s="2"/>
      <c r="G2334" s="2"/>
      <c r="H2334" s="2"/>
      <c r="I2334" s="5"/>
    </row>
    <row r="2335" spans="1:9" ht="17.399999999999999" x14ac:dyDescent="0.25">
      <c r="A2335" s="16"/>
      <c r="B2335" s="17"/>
      <c r="C2335" s="2" t="b">
        <v>0</v>
      </c>
      <c r="D2335" s="2"/>
      <c r="E2335" s="2"/>
      <c r="F2335" s="2"/>
      <c r="G2335" s="2"/>
      <c r="H2335" s="2"/>
      <c r="I2335" s="5"/>
    </row>
    <row r="2336" spans="1:9" ht="17.399999999999999" x14ac:dyDescent="0.25">
      <c r="A2336" s="16"/>
      <c r="B2336" s="17"/>
      <c r="C2336" s="2" t="b">
        <v>0</v>
      </c>
      <c r="D2336" s="2"/>
      <c r="E2336" s="2"/>
      <c r="F2336" s="2"/>
      <c r="G2336" s="2"/>
      <c r="H2336" s="2"/>
      <c r="I2336" s="5"/>
    </row>
    <row r="2337" spans="1:9" ht="17.399999999999999" x14ac:dyDescent="0.25">
      <c r="A2337" s="16"/>
      <c r="B2337" s="17"/>
      <c r="C2337" s="2" t="b">
        <v>0</v>
      </c>
      <c r="D2337" s="2"/>
      <c r="E2337" s="2"/>
      <c r="F2337" s="2"/>
      <c r="G2337" s="2"/>
      <c r="H2337" s="2"/>
      <c r="I2337" s="5"/>
    </row>
    <row r="2338" spans="1:9" ht="17.399999999999999" x14ac:dyDescent="0.25">
      <c r="A2338" s="16"/>
      <c r="B2338" s="17"/>
      <c r="C2338" s="2" t="b">
        <v>0</v>
      </c>
      <c r="D2338" s="2"/>
      <c r="E2338" s="2"/>
      <c r="F2338" s="2"/>
      <c r="G2338" s="2"/>
      <c r="H2338" s="2"/>
      <c r="I2338" s="5"/>
    </row>
    <row r="2339" spans="1:9" ht="17.399999999999999" x14ac:dyDescent="0.25">
      <c r="A2339" s="16"/>
      <c r="B2339" s="17"/>
      <c r="C2339" s="2" t="b">
        <v>0</v>
      </c>
      <c r="D2339" s="2"/>
      <c r="E2339" s="2"/>
      <c r="F2339" s="2"/>
      <c r="G2339" s="2"/>
      <c r="H2339" s="2"/>
      <c r="I2339" s="5"/>
    </row>
    <row r="2340" spans="1:9" ht="17.399999999999999" x14ac:dyDescent="0.25">
      <c r="A2340" s="16"/>
      <c r="B2340" s="17"/>
      <c r="C2340" s="2" t="b">
        <v>0</v>
      </c>
      <c r="D2340" s="2"/>
      <c r="E2340" s="2"/>
      <c r="F2340" s="2"/>
      <c r="G2340" s="2"/>
      <c r="H2340" s="2"/>
      <c r="I2340" s="5"/>
    </row>
    <row r="2341" spans="1:9" ht="17.399999999999999" x14ac:dyDescent="0.25">
      <c r="A2341" s="16"/>
      <c r="B2341" s="17"/>
      <c r="C2341" s="2" t="b">
        <v>0</v>
      </c>
      <c r="D2341" s="2"/>
      <c r="E2341" s="2"/>
      <c r="F2341" s="2"/>
      <c r="G2341" s="2"/>
      <c r="H2341" s="2"/>
      <c r="I2341" s="5"/>
    </row>
    <row r="2342" spans="1:9" ht="17.399999999999999" x14ac:dyDescent="0.25">
      <c r="A2342" s="16"/>
      <c r="B2342" s="17"/>
      <c r="C2342" s="2" t="b">
        <v>0</v>
      </c>
      <c r="D2342" s="2"/>
      <c r="E2342" s="2"/>
      <c r="F2342" s="2"/>
      <c r="G2342" s="2"/>
      <c r="H2342" s="2"/>
      <c r="I2342" s="5"/>
    </row>
    <row r="2343" spans="1:9" ht="17.399999999999999" x14ac:dyDescent="0.25">
      <c r="A2343" s="16"/>
      <c r="B2343" s="17"/>
      <c r="C2343" s="2" t="b">
        <v>0</v>
      </c>
      <c r="D2343" s="2"/>
      <c r="E2343" s="2"/>
      <c r="F2343" s="2"/>
      <c r="G2343" s="2"/>
      <c r="H2343" s="2"/>
      <c r="I2343" s="5"/>
    </row>
    <row r="2344" spans="1:9" ht="17.399999999999999" x14ac:dyDescent="0.25">
      <c r="A2344" s="16"/>
      <c r="B2344" s="17"/>
      <c r="C2344" s="2" t="b">
        <v>0</v>
      </c>
      <c r="D2344" s="2"/>
      <c r="E2344" s="2"/>
      <c r="F2344" s="2"/>
      <c r="G2344" s="2"/>
      <c r="H2344" s="2"/>
      <c r="I2344" s="5"/>
    </row>
    <row r="2345" spans="1:9" ht="17.399999999999999" x14ac:dyDescent="0.25">
      <c r="A2345" s="16"/>
      <c r="B2345" s="17"/>
      <c r="C2345" s="2" t="b">
        <v>0</v>
      </c>
      <c r="D2345" s="2"/>
      <c r="E2345" s="2"/>
      <c r="F2345" s="2"/>
      <c r="G2345" s="2"/>
      <c r="H2345" s="2"/>
      <c r="I2345" s="5"/>
    </row>
    <row r="2346" spans="1:9" ht="17.399999999999999" x14ac:dyDescent="0.25">
      <c r="A2346" s="16"/>
      <c r="B2346" s="17"/>
      <c r="C2346" s="2" t="b">
        <v>0</v>
      </c>
      <c r="D2346" s="2"/>
      <c r="E2346" s="2"/>
      <c r="F2346" s="2"/>
      <c r="G2346" s="2"/>
      <c r="H2346" s="2"/>
      <c r="I2346" s="5"/>
    </row>
    <row r="2347" spans="1:9" ht="17.399999999999999" x14ac:dyDescent="0.25">
      <c r="A2347" s="16"/>
      <c r="B2347" s="17"/>
      <c r="C2347" s="2" t="b">
        <v>0</v>
      </c>
      <c r="D2347" s="2"/>
      <c r="E2347" s="2"/>
      <c r="F2347" s="2"/>
      <c r="G2347" s="2"/>
      <c r="H2347" s="2"/>
      <c r="I2347" s="5"/>
    </row>
    <row r="2348" spans="1:9" ht="17.399999999999999" x14ac:dyDescent="0.25">
      <c r="A2348" s="16"/>
      <c r="B2348" s="17"/>
      <c r="C2348" s="2" t="b">
        <v>0</v>
      </c>
      <c r="D2348" s="2"/>
      <c r="E2348" s="2"/>
      <c r="F2348" s="2"/>
      <c r="G2348" s="2"/>
      <c r="H2348" s="2"/>
      <c r="I2348" s="5"/>
    </row>
    <row r="2349" spans="1:9" ht="17.399999999999999" x14ac:dyDescent="0.25">
      <c r="A2349" s="16"/>
      <c r="B2349" s="17"/>
      <c r="C2349" s="2" t="b">
        <v>0</v>
      </c>
      <c r="D2349" s="2"/>
      <c r="E2349" s="2"/>
      <c r="F2349" s="2"/>
      <c r="G2349" s="2"/>
      <c r="H2349" s="2"/>
      <c r="I2349" s="5"/>
    </row>
    <row r="2350" spans="1:9" ht="17.399999999999999" x14ac:dyDescent="0.25">
      <c r="A2350" s="16"/>
      <c r="B2350" s="17"/>
      <c r="C2350" s="2" t="b">
        <v>0</v>
      </c>
      <c r="D2350" s="2"/>
      <c r="E2350" s="2"/>
      <c r="F2350" s="2"/>
      <c r="G2350" s="2"/>
      <c r="H2350" s="2"/>
      <c r="I2350" s="5"/>
    </row>
    <row r="2351" spans="1:9" ht="17.399999999999999" x14ac:dyDescent="0.25">
      <c r="A2351" s="16"/>
      <c r="B2351" s="17"/>
      <c r="C2351" s="2" t="b">
        <v>0</v>
      </c>
      <c r="D2351" s="2"/>
      <c r="E2351" s="2"/>
      <c r="F2351" s="2"/>
      <c r="G2351" s="2"/>
      <c r="H2351" s="2"/>
      <c r="I2351" s="5"/>
    </row>
    <row r="2352" spans="1:9" ht="17.399999999999999" x14ac:dyDescent="0.25">
      <c r="A2352" s="16"/>
      <c r="B2352" s="17"/>
      <c r="C2352" s="2" t="b">
        <v>0</v>
      </c>
      <c r="D2352" s="2"/>
      <c r="E2352" s="2"/>
      <c r="F2352" s="2"/>
      <c r="G2352" s="2"/>
      <c r="H2352" s="2"/>
      <c r="I2352" s="5"/>
    </row>
    <row r="2353" spans="1:9" ht="17.399999999999999" x14ac:dyDescent="0.25">
      <c r="A2353" s="16"/>
      <c r="B2353" s="17"/>
      <c r="C2353" s="2" t="b">
        <v>0</v>
      </c>
      <c r="D2353" s="2"/>
      <c r="E2353" s="2"/>
      <c r="F2353" s="2"/>
      <c r="G2353" s="2"/>
      <c r="H2353" s="2"/>
      <c r="I2353" s="5"/>
    </row>
    <row r="2354" spans="1:9" ht="17.399999999999999" x14ac:dyDescent="0.25">
      <c r="A2354" s="16"/>
      <c r="B2354" s="17"/>
      <c r="C2354" s="2" t="b">
        <v>0</v>
      </c>
      <c r="D2354" s="2"/>
      <c r="E2354" s="2"/>
      <c r="F2354" s="2"/>
      <c r="G2354" s="2"/>
      <c r="H2354" s="2"/>
      <c r="I2354" s="5"/>
    </row>
    <row r="2355" spans="1:9" ht="17.399999999999999" x14ac:dyDescent="0.25">
      <c r="A2355" s="16"/>
      <c r="B2355" s="17"/>
      <c r="C2355" s="2" t="b">
        <v>0</v>
      </c>
      <c r="D2355" s="2"/>
      <c r="E2355" s="2"/>
      <c r="F2355" s="2"/>
      <c r="G2355" s="2"/>
      <c r="H2355" s="2"/>
      <c r="I2355" s="5"/>
    </row>
    <row r="2356" spans="1:9" ht="17.399999999999999" x14ac:dyDescent="0.25">
      <c r="A2356" s="16"/>
      <c r="B2356" s="17"/>
      <c r="C2356" s="2" t="b">
        <v>0</v>
      </c>
      <c r="D2356" s="2"/>
      <c r="E2356" s="2"/>
      <c r="F2356" s="2"/>
      <c r="G2356" s="2"/>
      <c r="H2356" s="2"/>
      <c r="I2356" s="5"/>
    </row>
    <row r="2357" spans="1:9" ht="17.399999999999999" x14ac:dyDescent="0.25">
      <c r="A2357" s="16"/>
      <c r="B2357" s="17"/>
      <c r="C2357" s="2" t="b">
        <v>0</v>
      </c>
      <c r="D2357" s="2"/>
      <c r="E2357" s="2"/>
      <c r="F2357" s="2"/>
      <c r="G2357" s="2"/>
      <c r="H2357" s="2"/>
      <c r="I2357" s="5"/>
    </row>
    <row r="2358" spans="1:9" ht="17.399999999999999" x14ac:dyDescent="0.25">
      <c r="A2358" s="16"/>
      <c r="B2358" s="17"/>
      <c r="C2358" s="2" t="b">
        <v>0</v>
      </c>
      <c r="D2358" s="2"/>
      <c r="E2358" s="2"/>
      <c r="F2358" s="2"/>
      <c r="G2358" s="2"/>
      <c r="H2358" s="2"/>
      <c r="I2358" s="5"/>
    </row>
    <row r="2359" spans="1:9" ht="17.399999999999999" x14ac:dyDescent="0.25">
      <c r="A2359" s="16"/>
      <c r="B2359" s="17"/>
      <c r="C2359" s="2" t="b">
        <v>0</v>
      </c>
      <c r="D2359" s="2"/>
      <c r="E2359" s="2"/>
      <c r="F2359" s="2"/>
      <c r="G2359" s="2"/>
      <c r="H2359" s="2"/>
      <c r="I2359" s="5"/>
    </row>
    <row r="2360" spans="1:9" ht="17.399999999999999" x14ac:dyDescent="0.25">
      <c r="A2360" s="16"/>
      <c r="B2360" s="17"/>
      <c r="C2360" s="2" t="b">
        <v>0</v>
      </c>
      <c r="D2360" s="2"/>
      <c r="E2360" s="2"/>
      <c r="F2360" s="2"/>
      <c r="G2360" s="2"/>
      <c r="H2360" s="2"/>
      <c r="I2360" s="5"/>
    </row>
    <row r="2361" spans="1:9" ht="17.399999999999999" x14ac:dyDescent="0.25">
      <c r="A2361" s="16"/>
      <c r="B2361" s="17"/>
      <c r="C2361" s="2" t="b">
        <v>0</v>
      </c>
      <c r="D2361" s="2"/>
      <c r="E2361" s="2"/>
      <c r="F2361" s="2"/>
      <c r="G2361" s="2"/>
      <c r="H2361" s="2"/>
      <c r="I2361" s="5"/>
    </row>
    <row r="2362" spans="1:9" ht="17.399999999999999" x14ac:dyDescent="0.25">
      <c r="A2362" s="16"/>
      <c r="B2362" s="17"/>
      <c r="C2362" s="2" t="b">
        <v>0</v>
      </c>
      <c r="D2362" s="2"/>
      <c r="E2362" s="2"/>
      <c r="F2362" s="2"/>
      <c r="G2362" s="2"/>
      <c r="H2362" s="2"/>
      <c r="I2362" s="5"/>
    </row>
    <row r="2363" spans="1:9" ht="17.399999999999999" x14ac:dyDescent="0.25">
      <c r="A2363" s="16"/>
      <c r="B2363" s="17"/>
      <c r="C2363" s="2" t="b">
        <v>0</v>
      </c>
      <c r="D2363" s="2"/>
      <c r="E2363" s="2"/>
      <c r="F2363" s="2"/>
      <c r="G2363" s="2"/>
      <c r="H2363" s="2"/>
      <c r="I2363" s="5"/>
    </row>
    <row r="2364" spans="1:9" ht="17.399999999999999" x14ac:dyDescent="0.25">
      <c r="A2364" s="16"/>
      <c r="B2364" s="17"/>
      <c r="C2364" s="2" t="b">
        <v>0</v>
      </c>
      <c r="D2364" s="2"/>
      <c r="E2364" s="2"/>
      <c r="F2364" s="2"/>
      <c r="G2364" s="2"/>
      <c r="H2364" s="2"/>
      <c r="I2364" s="5"/>
    </row>
    <row r="2365" spans="1:9" ht="17.399999999999999" x14ac:dyDescent="0.25">
      <c r="A2365" s="16"/>
      <c r="B2365" s="17"/>
      <c r="C2365" s="2" t="b">
        <v>0</v>
      </c>
      <c r="D2365" s="2"/>
      <c r="E2365" s="2"/>
      <c r="F2365" s="2"/>
      <c r="G2365" s="2"/>
      <c r="H2365" s="2"/>
      <c r="I2365" s="5"/>
    </row>
    <row r="2366" spans="1:9" ht="17.399999999999999" x14ac:dyDescent="0.25">
      <c r="A2366" s="16"/>
      <c r="B2366" s="17"/>
      <c r="C2366" s="2" t="b">
        <v>0</v>
      </c>
      <c r="D2366" s="2"/>
      <c r="E2366" s="2"/>
      <c r="F2366" s="2"/>
      <c r="G2366" s="2"/>
      <c r="H2366" s="2"/>
      <c r="I2366" s="5"/>
    </row>
    <row r="2367" spans="1:9" ht="17.399999999999999" x14ac:dyDescent="0.25">
      <c r="A2367" s="16"/>
      <c r="B2367" s="17"/>
      <c r="C2367" s="2" t="b">
        <v>0</v>
      </c>
      <c r="D2367" s="2"/>
      <c r="E2367" s="2"/>
      <c r="F2367" s="2"/>
      <c r="G2367" s="2"/>
      <c r="H2367" s="2"/>
      <c r="I2367" s="5"/>
    </row>
    <row r="2368" spans="1:9" ht="17.399999999999999" x14ac:dyDescent="0.25">
      <c r="A2368" s="16"/>
      <c r="B2368" s="17"/>
      <c r="C2368" s="2" t="b">
        <v>0</v>
      </c>
      <c r="D2368" s="2"/>
      <c r="E2368" s="2"/>
      <c r="F2368" s="2"/>
      <c r="G2368" s="2"/>
      <c r="H2368" s="2"/>
      <c r="I2368" s="5"/>
    </row>
    <row r="2369" spans="1:9" ht="17.399999999999999" x14ac:dyDescent="0.25">
      <c r="A2369" s="16"/>
      <c r="B2369" s="17"/>
      <c r="C2369" s="2" t="b">
        <v>0</v>
      </c>
      <c r="D2369" s="2"/>
      <c r="E2369" s="2"/>
      <c r="F2369" s="2"/>
      <c r="G2369" s="2"/>
      <c r="H2369" s="2"/>
      <c r="I2369" s="5"/>
    </row>
    <row r="2370" spans="1:9" ht="17.399999999999999" x14ac:dyDescent="0.25">
      <c r="A2370" s="16"/>
      <c r="B2370" s="17"/>
      <c r="C2370" s="2" t="b">
        <v>0</v>
      </c>
      <c r="D2370" s="2"/>
      <c r="E2370" s="2"/>
      <c r="F2370" s="2"/>
      <c r="G2370" s="2"/>
      <c r="H2370" s="2"/>
      <c r="I2370" s="5"/>
    </row>
    <row r="2371" spans="1:9" ht="17.399999999999999" x14ac:dyDescent="0.25">
      <c r="A2371" s="16"/>
      <c r="B2371" s="17"/>
      <c r="C2371" s="2" t="b">
        <v>0</v>
      </c>
      <c r="D2371" s="2"/>
      <c r="E2371" s="2"/>
      <c r="F2371" s="2"/>
      <c r="G2371" s="2"/>
      <c r="H2371" s="2"/>
      <c r="I2371" s="5"/>
    </row>
    <row r="2372" spans="1:9" ht="17.399999999999999" x14ac:dyDescent="0.25">
      <c r="A2372" s="16"/>
      <c r="B2372" s="17"/>
      <c r="C2372" s="2" t="b">
        <v>0</v>
      </c>
      <c r="D2372" s="2"/>
      <c r="E2372" s="2"/>
      <c r="F2372" s="2"/>
      <c r="G2372" s="2"/>
      <c r="H2372" s="2"/>
      <c r="I2372" s="5"/>
    </row>
    <row r="2373" spans="1:9" ht="17.399999999999999" x14ac:dyDescent="0.25">
      <c r="A2373" s="16"/>
      <c r="B2373" s="17"/>
      <c r="C2373" s="2" t="b">
        <v>0</v>
      </c>
      <c r="D2373" s="2"/>
      <c r="E2373" s="2"/>
      <c r="F2373" s="2"/>
      <c r="G2373" s="2"/>
      <c r="H2373" s="2"/>
      <c r="I2373" s="5"/>
    </row>
    <row r="2374" spans="1:9" ht="17.399999999999999" x14ac:dyDescent="0.25">
      <c r="A2374" s="16"/>
      <c r="B2374" s="17"/>
      <c r="C2374" s="2" t="b">
        <v>0</v>
      </c>
      <c r="D2374" s="2"/>
      <c r="E2374" s="2"/>
      <c r="F2374" s="2"/>
      <c r="G2374" s="2"/>
      <c r="H2374" s="2"/>
      <c r="I2374" s="5"/>
    </row>
    <row r="2375" spans="1:9" ht="17.399999999999999" x14ac:dyDescent="0.25">
      <c r="A2375" s="16"/>
      <c r="B2375" s="17"/>
      <c r="C2375" s="2" t="b">
        <v>0</v>
      </c>
      <c r="D2375" s="2"/>
      <c r="E2375" s="2"/>
      <c r="F2375" s="2"/>
      <c r="G2375" s="2"/>
      <c r="H2375" s="2"/>
      <c r="I2375" s="5"/>
    </row>
    <row r="2376" spans="1:9" ht="17.399999999999999" x14ac:dyDescent="0.25">
      <c r="A2376" s="16"/>
      <c r="B2376" s="17"/>
      <c r="C2376" s="2" t="b">
        <v>0</v>
      </c>
      <c r="D2376" s="2"/>
      <c r="E2376" s="2"/>
      <c r="F2376" s="2"/>
      <c r="G2376" s="2"/>
      <c r="H2376" s="2"/>
      <c r="I2376" s="5"/>
    </row>
    <row r="2377" spans="1:9" ht="17.399999999999999" x14ac:dyDescent="0.25">
      <c r="A2377" s="16"/>
      <c r="B2377" s="17"/>
      <c r="C2377" s="2" t="b">
        <v>0</v>
      </c>
      <c r="D2377" s="2"/>
      <c r="E2377" s="2"/>
      <c r="F2377" s="2"/>
      <c r="G2377" s="2"/>
      <c r="H2377" s="2"/>
      <c r="I2377" s="5"/>
    </row>
    <row r="2378" spans="1:9" ht="17.399999999999999" x14ac:dyDescent="0.25">
      <c r="A2378" s="16"/>
      <c r="B2378" s="17"/>
      <c r="C2378" s="2" t="b">
        <v>0</v>
      </c>
      <c r="D2378" s="2"/>
      <c r="E2378" s="2"/>
      <c r="F2378" s="2"/>
      <c r="G2378" s="2"/>
      <c r="H2378" s="2"/>
      <c r="I2378" s="5"/>
    </row>
    <row r="2379" spans="1:9" ht="17.399999999999999" x14ac:dyDescent="0.25">
      <c r="A2379" s="16"/>
      <c r="B2379" s="17"/>
      <c r="C2379" s="2" t="b">
        <v>0</v>
      </c>
      <c r="D2379" s="2"/>
      <c r="E2379" s="2"/>
      <c r="F2379" s="2"/>
      <c r="G2379" s="2"/>
      <c r="H2379" s="2"/>
      <c r="I2379" s="5"/>
    </row>
    <row r="2380" spans="1:9" ht="17.399999999999999" x14ac:dyDescent="0.25">
      <c r="A2380" s="16"/>
      <c r="B2380" s="17"/>
      <c r="C2380" s="2" t="b">
        <v>0</v>
      </c>
      <c r="D2380" s="2"/>
      <c r="E2380" s="2"/>
      <c r="F2380" s="2"/>
      <c r="G2380" s="2"/>
      <c r="H2380" s="2"/>
      <c r="I2380" s="5"/>
    </row>
    <row r="2381" spans="1:9" ht="17.399999999999999" x14ac:dyDescent="0.25">
      <c r="A2381" s="16"/>
      <c r="B2381" s="17"/>
      <c r="C2381" s="2" t="b">
        <v>0</v>
      </c>
      <c r="D2381" s="2"/>
      <c r="E2381" s="2"/>
      <c r="F2381" s="2"/>
      <c r="G2381" s="2"/>
      <c r="H2381" s="2"/>
      <c r="I2381" s="5"/>
    </row>
    <row r="2382" spans="1:9" ht="17.399999999999999" x14ac:dyDescent="0.25">
      <c r="A2382" s="16"/>
      <c r="B2382" s="17"/>
      <c r="C2382" s="2" t="b">
        <v>0</v>
      </c>
      <c r="D2382" s="2"/>
      <c r="E2382" s="2"/>
      <c r="F2382" s="2"/>
      <c r="G2382" s="2"/>
      <c r="H2382" s="2"/>
      <c r="I2382" s="5"/>
    </row>
    <row r="2383" spans="1:9" ht="17.399999999999999" x14ac:dyDescent="0.25">
      <c r="A2383" s="16"/>
      <c r="B2383" s="17"/>
      <c r="C2383" s="2" t="b">
        <v>0</v>
      </c>
      <c r="D2383" s="2"/>
      <c r="E2383" s="2"/>
      <c r="F2383" s="2"/>
      <c r="G2383" s="2"/>
      <c r="H2383" s="2"/>
      <c r="I2383" s="5"/>
    </row>
    <row r="2384" spans="1:9" ht="17.399999999999999" x14ac:dyDescent="0.25">
      <c r="A2384" s="16"/>
      <c r="B2384" s="17"/>
      <c r="C2384" s="2" t="b">
        <v>0</v>
      </c>
      <c r="D2384" s="2"/>
      <c r="E2384" s="2"/>
      <c r="F2384" s="2"/>
      <c r="G2384" s="2"/>
      <c r="H2384" s="2"/>
      <c r="I2384" s="5"/>
    </row>
    <row r="2385" spans="1:9" ht="17.399999999999999" x14ac:dyDescent="0.25">
      <c r="A2385" s="16"/>
      <c r="B2385" s="17"/>
      <c r="C2385" s="2" t="b">
        <v>0</v>
      </c>
      <c r="D2385" s="2"/>
      <c r="E2385" s="2"/>
      <c r="F2385" s="2"/>
      <c r="G2385" s="2"/>
      <c r="H2385" s="2"/>
      <c r="I2385" s="5"/>
    </row>
    <row r="2386" spans="1:9" ht="17.399999999999999" x14ac:dyDescent="0.25">
      <c r="A2386" s="16"/>
      <c r="B2386" s="17"/>
      <c r="C2386" s="2" t="b">
        <v>0</v>
      </c>
      <c r="D2386" s="2"/>
      <c r="E2386" s="2"/>
      <c r="F2386" s="2"/>
      <c r="G2386" s="2"/>
      <c r="H2386" s="2"/>
      <c r="I2386" s="5"/>
    </row>
    <row r="2387" spans="1:9" ht="17.399999999999999" x14ac:dyDescent="0.25">
      <c r="A2387" s="16"/>
      <c r="B2387" s="17"/>
      <c r="C2387" s="2" t="b">
        <v>0</v>
      </c>
      <c r="D2387" s="2"/>
      <c r="E2387" s="2"/>
      <c r="F2387" s="2"/>
      <c r="G2387" s="2"/>
      <c r="H2387" s="2"/>
      <c r="I2387" s="5"/>
    </row>
    <row r="2388" spans="1:9" ht="17.399999999999999" x14ac:dyDescent="0.25">
      <c r="A2388" s="16"/>
      <c r="B2388" s="17"/>
      <c r="C2388" s="2" t="b">
        <v>0</v>
      </c>
      <c r="D2388" s="2"/>
      <c r="E2388" s="2"/>
      <c r="F2388" s="2"/>
      <c r="G2388" s="2"/>
      <c r="H2388" s="2"/>
      <c r="I2388" s="5"/>
    </row>
    <row r="2389" spans="1:9" ht="17.399999999999999" x14ac:dyDescent="0.25">
      <c r="A2389" s="16"/>
      <c r="B2389" s="17"/>
      <c r="C2389" s="2" t="b">
        <v>0</v>
      </c>
      <c r="D2389" s="2"/>
      <c r="E2389" s="2"/>
      <c r="F2389" s="2"/>
      <c r="G2389" s="2"/>
      <c r="H2389" s="2"/>
      <c r="I2389" s="5"/>
    </row>
    <row r="2390" spans="1:9" ht="17.399999999999999" x14ac:dyDescent="0.25">
      <c r="A2390" s="16"/>
      <c r="B2390" s="17"/>
      <c r="C2390" s="2" t="b">
        <v>0</v>
      </c>
      <c r="D2390" s="2"/>
      <c r="E2390" s="2"/>
      <c r="F2390" s="2"/>
      <c r="G2390" s="2"/>
      <c r="H2390" s="2"/>
      <c r="I2390" s="5"/>
    </row>
    <row r="2391" spans="1:9" ht="17.399999999999999" x14ac:dyDescent="0.25">
      <c r="A2391" s="16"/>
      <c r="B2391" s="17"/>
      <c r="C2391" s="2" t="b">
        <v>0</v>
      </c>
      <c r="D2391" s="2"/>
      <c r="E2391" s="2"/>
      <c r="F2391" s="2"/>
      <c r="G2391" s="2"/>
      <c r="H2391" s="2"/>
      <c r="I2391" s="5"/>
    </row>
    <row r="2392" spans="1:9" ht="17.399999999999999" x14ac:dyDescent="0.25">
      <c r="A2392" s="16"/>
      <c r="B2392" s="17"/>
      <c r="C2392" s="2" t="b">
        <v>0</v>
      </c>
      <c r="D2392" s="2"/>
      <c r="E2392" s="2"/>
      <c r="F2392" s="2"/>
      <c r="G2392" s="2"/>
      <c r="H2392" s="2"/>
      <c r="I2392" s="5"/>
    </row>
    <row r="2393" spans="1:9" ht="17.399999999999999" x14ac:dyDescent="0.25">
      <c r="A2393" s="16"/>
      <c r="B2393" s="17"/>
      <c r="C2393" s="2" t="b">
        <v>0</v>
      </c>
      <c r="D2393" s="2"/>
      <c r="E2393" s="2"/>
      <c r="F2393" s="2"/>
      <c r="G2393" s="2"/>
      <c r="H2393" s="2"/>
      <c r="I2393" s="5"/>
    </row>
    <row r="2394" spans="1:9" ht="17.399999999999999" x14ac:dyDescent="0.25">
      <c r="A2394" s="16"/>
      <c r="B2394" s="17"/>
      <c r="C2394" s="2" t="b">
        <v>0</v>
      </c>
      <c r="D2394" s="2"/>
      <c r="E2394" s="2"/>
      <c r="F2394" s="2"/>
      <c r="G2394" s="2"/>
      <c r="H2394" s="2"/>
      <c r="I2394" s="5"/>
    </row>
    <row r="2395" spans="1:9" ht="17.399999999999999" x14ac:dyDescent="0.25">
      <c r="A2395" s="16"/>
      <c r="B2395" s="17"/>
      <c r="C2395" s="2" t="b">
        <v>0</v>
      </c>
      <c r="D2395" s="2"/>
      <c r="E2395" s="2"/>
      <c r="F2395" s="2"/>
      <c r="G2395" s="2"/>
      <c r="H2395" s="2"/>
      <c r="I2395" s="5"/>
    </row>
    <row r="2396" spans="1:9" ht="17.399999999999999" x14ac:dyDescent="0.25">
      <c r="A2396" s="16"/>
      <c r="B2396" s="17"/>
      <c r="C2396" s="2" t="b">
        <v>0</v>
      </c>
      <c r="D2396" s="2"/>
      <c r="E2396" s="2"/>
      <c r="F2396" s="2"/>
      <c r="G2396" s="2"/>
      <c r="H2396" s="2"/>
      <c r="I2396" s="5"/>
    </row>
    <row r="2397" spans="1:9" ht="17.399999999999999" x14ac:dyDescent="0.25">
      <c r="A2397" s="16"/>
      <c r="B2397" s="17"/>
      <c r="C2397" s="2" t="b">
        <v>0</v>
      </c>
      <c r="D2397" s="2"/>
      <c r="E2397" s="2"/>
      <c r="F2397" s="2"/>
      <c r="G2397" s="2"/>
      <c r="H2397" s="2"/>
      <c r="I2397" s="5"/>
    </row>
    <row r="2398" spans="1:9" ht="17.399999999999999" x14ac:dyDescent="0.25">
      <c r="A2398" s="16"/>
      <c r="B2398" s="17"/>
      <c r="C2398" s="2" t="b">
        <v>0</v>
      </c>
      <c r="D2398" s="2"/>
      <c r="E2398" s="2"/>
      <c r="F2398" s="2"/>
      <c r="G2398" s="2"/>
      <c r="H2398" s="2"/>
      <c r="I2398" s="5"/>
    </row>
    <row r="2399" spans="1:9" ht="17.399999999999999" x14ac:dyDescent="0.25">
      <c r="A2399" s="16"/>
      <c r="B2399" s="17"/>
      <c r="C2399" s="2" t="b">
        <v>0</v>
      </c>
      <c r="D2399" s="2"/>
      <c r="E2399" s="2"/>
      <c r="F2399" s="2"/>
      <c r="G2399" s="2"/>
      <c r="H2399" s="2"/>
      <c r="I2399" s="5"/>
    </row>
    <row r="2400" spans="1:9" ht="17.399999999999999" x14ac:dyDescent="0.25">
      <c r="A2400" s="16"/>
      <c r="B2400" s="17"/>
      <c r="C2400" s="2" t="b">
        <v>0</v>
      </c>
      <c r="D2400" s="2"/>
      <c r="E2400" s="2"/>
      <c r="F2400" s="2"/>
      <c r="G2400" s="2"/>
      <c r="H2400" s="2"/>
      <c r="I2400" s="5"/>
    </row>
    <row r="2401" spans="1:9" ht="17.399999999999999" x14ac:dyDescent="0.25">
      <c r="A2401" s="16"/>
      <c r="B2401" s="17"/>
      <c r="C2401" s="2" t="b">
        <v>0</v>
      </c>
      <c r="D2401" s="2"/>
      <c r="E2401" s="2"/>
      <c r="F2401" s="2"/>
      <c r="G2401" s="2"/>
      <c r="H2401" s="2"/>
      <c r="I2401" s="5"/>
    </row>
    <row r="2402" spans="1:9" ht="17.399999999999999" x14ac:dyDescent="0.25">
      <c r="A2402" s="16"/>
      <c r="B2402" s="17"/>
      <c r="C2402" s="2" t="b">
        <v>0</v>
      </c>
      <c r="D2402" s="2"/>
      <c r="E2402" s="2"/>
      <c r="F2402" s="2"/>
      <c r="G2402" s="2"/>
      <c r="H2402" s="2"/>
      <c r="I2402" s="5"/>
    </row>
    <row r="2403" spans="1:9" ht="17.399999999999999" x14ac:dyDescent="0.25">
      <c r="A2403" s="16"/>
      <c r="B2403" s="17"/>
      <c r="C2403" s="2" t="b">
        <v>0</v>
      </c>
      <c r="D2403" s="2"/>
      <c r="E2403" s="2"/>
      <c r="F2403" s="2"/>
      <c r="G2403" s="2"/>
      <c r="H2403" s="2"/>
      <c r="I2403" s="5"/>
    </row>
    <row r="2404" spans="1:9" ht="17.399999999999999" x14ac:dyDescent="0.25">
      <c r="A2404" s="16"/>
      <c r="B2404" s="17"/>
      <c r="C2404" s="2" t="b">
        <v>0</v>
      </c>
      <c r="D2404" s="2"/>
      <c r="E2404" s="2"/>
      <c r="F2404" s="2"/>
      <c r="G2404" s="2"/>
      <c r="H2404" s="2"/>
      <c r="I2404" s="5"/>
    </row>
    <row r="2405" spans="1:9" ht="17.399999999999999" x14ac:dyDescent="0.25">
      <c r="A2405" s="16"/>
      <c r="B2405" s="17"/>
      <c r="C2405" s="2" t="b">
        <v>0</v>
      </c>
      <c r="D2405" s="2"/>
      <c r="E2405" s="2"/>
      <c r="F2405" s="2"/>
      <c r="G2405" s="2"/>
      <c r="H2405" s="2"/>
      <c r="I2405" s="5"/>
    </row>
    <row r="2406" spans="1:9" ht="17.399999999999999" x14ac:dyDescent="0.25">
      <c r="A2406" s="16"/>
      <c r="B2406" s="17"/>
      <c r="C2406" s="2" t="b">
        <v>0</v>
      </c>
      <c r="D2406" s="2"/>
      <c r="E2406" s="2"/>
      <c r="F2406" s="2"/>
      <c r="G2406" s="2"/>
      <c r="H2406" s="2"/>
      <c r="I2406" s="5"/>
    </row>
    <row r="2407" spans="1:9" ht="17.399999999999999" x14ac:dyDescent="0.25">
      <c r="A2407" s="16"/>
      <c r="B2407" s="17"/>
      <c r="C2407" s="2" t="b">
        <v>0</v>
      </c>
      <c r="D2407" s="2"/>
      <c r="E2407" s="2"/>
      <c r="F2407" s="2"/>
      <c r="G2407" s="2"/>
      <c r="H2407" s="2"/>
      <c r="I2407" s="5"/>
    </row>
    <row r="2408" spans="1:9" ht="17.399999999999999" x14ac:dyDescent="0.25">
      <c r="A2408" s="16"/>
      <c r="B2408" s="17"/>
      <c r="C2408" s="2" t="b">
        <v>0</v>
      </c>
      <c r="D2408" s="2"/>
      <c r="E2408" s="2"/>
      <c r="F2408" s="2"/>
      <c r="G2408" s="2"/>
      <c r="H2408" s="2"/>
      <c r="I2408" s="5"/>
    </row>
    <row r="2409" spans="1:9" ht="17.399999999999999" x14ac:dyDescent="0.25">
      <c r="A2409" s="16"/>
      <c r="B2409" s="17"/>
      <c r="C2409" s="2" t="b">
        <v>0</v>
      </c>
      <c r="D2409" s="2"/>
      <c r="E2409" s="2"/>
      <c r="F2409" s="2"/>
      <c r="G2409" s="2"/>
      <c r="H2409" s="2"/>
      <c r="I2409" s="5"/>
    </row>
    <row r="2410" spans="1:9" ht="17.399999999999999" x14ac:dyDescent="0.25">
      <c r="A2410" s="16"/>
      <c r="B2410" s="17"/>
      <c r="C2410" s="2" t="b">
        <v>0</v>
      </c>
      <c r="D2410" s="2"/>
      <c r="E2410" s="2"/>
      <c r="F2410" s="2"/>
      <c r="G2410" s="2"/>
      <c r="H2410" s="2"/>
      <c r="I2410" s="5"/>
    </row>
    <row r="2411" spans="1:9" ht="17.399999999999999" x14ac:dyDescent="0.25">
      <c r="A2411" s="16"/>
      <c r="B2411" s="17"/>
      <c r="C2411" s="2" t="b">
        <v>0</v>
      </c>
      <c r="D2411" s="2"/>
      <c r="E2411" s="2"/>
      <c r="F2411" s="2"/>
      <c r="G2411" s="2"/>
      <c r="H2411" s="2"/>
      <c r="I2411" s="5"/>
    </row>
    <row r="2412" spans="1:9" ht="17.399999999999999" x14ac:dyDescent="0.25">
      <c r="A2412" s="16"/>
      <c r="B2412" s="17"/>
      <c r="C2412" s="2" t="b">
        <v>0</v>
      </c>
      <c r="D2412" s="2"/>
      <c r="E2412" s="2"/>
      <c r="F2412" s="2"/>
      <c r="G2412" s="2"/>
      <c r="H2412" s="2"/>
      <c r="I2412" s="5"/>
    </row>
    <row r="2413" spans="1:9" ht="17.399999999999999" x14ac:dyDescent="0.25">
      <c r="A2413" s="16"/>
      <c r="B2413" s="17"/>
      <c r="C2413" s="2" t="b">
        <v>0</v>
      </c>
      <c r="D2413" s="2"/>
      <c r="E2413" s="2"/>
      <c r="F2413" s="2"/>
      <c r="G2413" s="2"/>
      <c r="H2413" s="2"/>
      <c r="I2413" s="5"/>
    </row>
    <row r="2414" spans="1:9" ht="17.399999999999999" x14ac:dyDescent="0.25">
      <c r="A2414" s="16"/>
      <c r="B2414" s="17"/>
      <c r="C2414" s="2" t="b">
        <v>0</v>
      </c>
      <c r="D2414" s="2"/>
      <c r="E2414" s="2"/>
      <c r="F2414" s="2"/>
      <c r="G2414" s="2"/>
      <c r="H2414" s="2"/>
      <c r="I2414" s="5"/>
    </row>
    <row r="2415" spans="1:9" ht="17.399999999999999" x14ac:dyDescent="0.25">
      <c r="A2415" s="16"/>
      <c r="B2415" s="17"/>
      <c r="C2415" s="2" t="b">
        <v>0</v>
      </c>
      <c r="D2415" s="2"/>
      <c r="E2415" s="2"/>
      <c r="F2415" s="2"/>
      <c r="G2415" s="2"/>
      <c r="H2415" s="2"/>
      <c r="I2415" s="5"/>
    </row>
    <row r="2416" spans="1:9" ht="17.399999999999999" x14ac:dyDescent="0.25">
      <c r="A2416" s="16"/>
      <c r="B2416" s="17"/>
      <c r="C2416" s="2" t="b">
        <v>0</v>
      </c>
      <c r="D2416" s="2"/>
      <c r="E2416" s="2"/>
      <c r="F2416" s="2"/>
      <c r="G2416" s="2"/>
      <c r="H2416" s="2"/>
      <c r="I2416" s="5"/>
    </row>
    <row r="2417" spans="1:9" ht="17.399999999999999" x14ac:dyDescent="0.25">
      <c r="A2417" s="16"/>
      <c r="B2417" s="17"/>
      <c r="C2417" s="2" t="b">
        <v>0</v>
      </c>
      <c r="D2417" s="2"/>
      <c r="E2417" s="2"/>
      <c r="F2417" s="2"/>
      <c r="G2417" s="2"/>
      <c r="H2417" s="2"/>
      <c r="I2417" s="5"/>
    </row>
    <row r="2418" spans="1:9" ht="17.399999999999999" x14ac:dyDescent="0.25">
      <c r="A2418" s="16"/>
      <c r="B2418" s="17"/>
      <c r="C2418" s="2" t="b">
        <v>0</v>
      </c>
      <c r="D2418" s="2"/>
      <c r="E2418" s="2"/>
      <c r="F2418" s="2"/>
      <c r="G2418" s="2"/>
      <c r="H2418" s="2"/>
      <c r="I2418" s="5"/>
    </row>
    <row r="2419" spans="1:9" ht="17.399999999999999" x14ac:dyDescent="0.25">
      <c r="A2419" s="16"/>
      <c r="B2419" s="17"/>
      <c r="C2419" s="2" t="b">
        <v>0</v>
      </c>
      <c r="D2419" s="2"/>
      <c r="E2419" s="2"/>
      <c r="F2419" s="2"/>
      <c r="G2419" s="2"/>
      <c r="H2419" s="2"/>
      <c r="I2419" s="5"/>
    </row>
    <row r="2420" spans="1:9" ht="17.399999999999999" x14ac:dyDescent="0.25">
      <c r="A2420" s="16"/>
      <c r="B2420" s="17"/>
      <c r="C2420" s="2" t="b">
        <v>0</v>
      </c>
      <c r="D2420" s="2"/>
      <c r="E2420" s="2"/>
      <c r="F2420" s="2"/>
      <c r="G2420" s="2"/>
      <c r="H2420" s="2"/>
      <c r="I2420" s="5"/>
    </row>
    <row r="2421" spans="1:9" ht="17.399999999999999" x14ac:dyDescent="0.25">
      <c r="A2421" s="16"/>
      <c r="B2421" s="17"/>
      <c r="C2421" s="2" t="b">
        <v>0</v>
      </c>
      <c r="D2421" s="2"/>
      <c r="E2421" s="2"/>
      <c r="F2421" s="2"/>
      <c r="G2421" s="2"/>
      <c r="H2421" s="2"/>
      <c r="I2421" s="5"/>
    </row>
    <row r="2422" spans="1:9" ht="17.399999999999999" x14ac:dyDescent="0.25">
      <c r="A2422" s="16"/>
      <c r="B2422" s="17"/>
      <c r="C2422" s="2" t="b">
        <v>0</v>
      </c>
      <c r="D2422" s="2"/>
      <c r="E2422" s="2"/>
      <c r="F2422" s="2"/>
      <c r="G2422" s="2"/>
      <c r="H2422" s="2"/>
      <c r="I2422" s="5"/>
    </row>
    <row r="2423" spans="1:9" ht="17.399999999999999" x14ac:dyDescent="0.25">
      <c r="A2423" s="16"/>
      <c r="B2423" s="17"/>
      <c r="C2423" s="2" t="b">
        <v>0</v>
      </c>
      <c r="D2423" s="2"/>
      <c r="E2423" s="2"/>
      <c r="F2423" s="2"/>
      <c r="G2423" s="2"/>
      <c r="H2423" s="2"/>
      <c r="I2423" s="5"/>
    </row>
    <row r="2424" spans="1:9" ht="17.399999999999999" x14ac:dyDescent="0.25">
      <c r="A2424" s="16"/>
      <c r="B2424" s="17"/>
      <c r="C2424" s="2" t="b">
        <v>0</v>
      </c>
      <c r="D2424" s="2"/>
      <c r="E2424" s="2"/>
      <c r="F2424" s="2"/>
      <c r="G2424" s="2"/>
      <c r="H2424" s="2"/>
      <c r="I2424" s="5"/>
    </row>
    <row r="2425" spans="1:9" ht="17.399999999999999" x14ac:dyDescent="0.25">
      <c r="A2425" s="16"/>
      <c r="B2425" s="17"/>
      <c r="C2425" s="2" t="b">
        <v>0</v>
      </c>
      <c r="D2425" s="2"/>
      <c r="E2425" s="2"/>
      <c r="F2425" s="2"/>
      <c r="G2425" s="2"/>
      <c r="H2425" s="2"/>
      <c r="I2425" s="5"/>
    </row>
    <row r="2426" spans="1:9" ht="17.399999999999999" x14ac:dyDescent="0.25">
      <c r="A2426" s="16"/>
      <c r="B2426" s="17"/>
      <c r="C2426" s="2" t="b">
        <v>0</v>
      </c>
      <c r="D2426" s="2"/>
      <c r="E2426" s="2"/>
      <c r="F2426" s="2"/>
      <c r="G2426" s="2"/>
      <c r="H2426" s="2"/>
      <c r="I2426" s="5"/>
    </row>
    <row r="2427" spans="1:9" ht="17.399999999999999" x14ac:dyDescent="0.25">
      <c r="A2427" s="16"/>
      <c r="B2427" s="17"/>
      <c r="C2427" s="2" t="b">
        <v>0</v>
      </c>
      <c r="D2427" s="2"/>
      <c r="E2427" s="2"/>
      <c r="F2427" s="2"/>
      <c r="G2427" s="2"/>
      <c r="H2427" s="2"/>
      <c r="I2427" s="5"/>
    </row>
    <row r="2428" spans="1:9" ht="17.399999999999999" x14ac:dyDescent="0.25">
      <c r="A2428" s="16"/>
      <c r="B2428" s="17"/>
      <c r="C2428" s="2" t="b">
        <v>0</v>
      </c>
      <c r="D2428" s="2"/>
      <c r="E2428" s="2"/>
      <c r="F2428" s="2"/>
      <c r="G2428" s="2"/>
      <c r="H2428" s="2"/>
      <c r="I2428" s="5"/>
    </row>
    <row r="2429" spans="1:9" ht="17.399999999999999" x14ac:dyDescent="0.25">
      <c r="A2429" s="16"/>
      <c r="B2429" s="17"/>
      <c r="C2429" s="2" t="b">
        <v>0</v>
      </c>
      <c r="D2429" s="2"/>
      <c r="E2429" s="2"/>
      <c r="F2429" s="2"/>
      <c r="G2429" s="2"/>
      <c r="H2429" s="2"/>
      <c r="I2429" s="5"/>
    </row>
    <row r="2430" spans="1:9" ht="17.399999999999999" x14ac:dyDescent="0.25">
      <c r="A2430" s="16"/>
      <c r="B2430" s="17"/>
      <c r="C2430" s="2" t="b">
        <v>0</v>
      </c>
      <c r="D2430" s="2"/>
      <c r="E2430" s="2"/>
      <c r="F2430" s="2"/>
      <c r="G2430" s="2"/>
      <c r="H2430" s="2"/>
      <c r="I2430" s="5"/>
    </row>
    <row r="2431" spans="1:9" ht="17.399999999999999" x14ac:dyDescent="0.25">
      <c r="A2431" s="16"/>
      <c r="B2431" s="17"/>
      <c r="C2431" s="2" t="b">
        <v>0</v>
      </c>
      <c r="D2431" s="2"/>
      <c r="E2431" s="2"/>
      <c r="F2431" s="2"/>
      <c r="G2431" s="2"/>
      <c r="H2431" s="2"/>
      <c r="I2431" s="5"/>
    </row>
    <row r="2432" spans="1:9" ht="17.399999999999999" x14ac:dyDescent="0.25">
      <c r="A2432" s="16"/>
      <c r="B2432" s="17"/>
      <c r="C2432" s="2" t="b">
        <v>0</v>
      </c>
      <c r="D2432" s="2"/>
      <c r="E2432" s="2"/>
      <c r="F2432" s="2"/>
      <c r="G2432" s="2"/>
      <c r="H2432" s="2"/>
      <c r="I2432" s="5"/>
    </row>
    <row r="2433" spans="1:9" ht="17.399999999999999" x14ac:dyDescent="0.25">
      <c r="A2433" s="16"/>
      <c r="B2433" s="17"/>
      <c r="C2433" s="2" t="b">
        <v>0</v>
      </c>
      <c r="D2433" s="2"/>
      <c r="E2433" s="2"/>
      <c r="F2433" s="2"/>
      <c r="G2433" s="2"/>
      <c r="H2433" s="2"/>
      <c r="I2433" s="5"/>
    </row>
    <row r="2434" spans="1:9" ht="17.399999999999999" x14ac:dyDescent="0.25">
      <c r="A2434" s="16"/>
      <c r="B2434" s="17"/>
      <c r="C2434" s="2" t="b">
        <v>0</v>
      </c>
      <c r="D2434" s="2"/>
      <c r="E2434" s="2"/>
      <c r="F2434" s="2"/>
      <c r="G2434" s="2"/>
      <c r="H2434" s="2"/>
      <c r="I2434" s="5"/>
    </row>
    <row r="2435" spans="1:9" ht="17.399999999999999" x14ac:dyDescent="0.25">
      <c r="A2435" s="16"/>
      <c r="B2435" s="17"/>
      <c r="C2435" s="2" t="b">
        <v>0</v>
      </c>
      <c r="D2435" s="2"/>
      <c r="E2435" s="2"/>
      <c r="F2435" s="2"/>
      <c r="G2435" s="2"/>
      <c r="H2435" s="2"/>
      <c r="I2435" s="5"/>
    </row>
    <row r="2436" spans="1:9" ht="17.399999999999999" x14ac:dyDescent="0.25">
      <c r="A2436" s="16"/>
      <c r="B2436" s="17"/>
      <c r="C2436" s="2" t="b">
        <v>0</v>
      </c>
      <c r="D2436" s="2"/>
      <c r="E2436" s="2"/>
      <c r="F2436" s="2"/>
      <c r="G2436" s="2"/>
      <c r="H2436" s="2"/>
      <c r="I2436" s="5"/>
    </row>
    <row r="2437" spans="1:9" ht="17.399999999999999" x14ac:dyDescent="0.25">
      <c r="A2437" s="16"/>
      <c r="B2437" s="17"/>
      <c r="C2437" s="2" t="b">
        <v>0</v>
      </c>
      <c r="D2437" s="2"/>
      <c r="E2437" s="2"/>
      <c r="F2437" s="2"/>
      <c r="G2437" s="2"/>
      <c r="H2437" s="2"/>
      <c r="I2437" s="5"/>
    </row>
    <row r="2438" spans="1:9" ht="17.399999999999999" x14ac:dyDescent="0.25">
      <c r="A2438" s="16"/>
      <c r="B2438" s="17"/>
      <c r="C2438" s="2" t="b">
        <v>0</v>
      </c>
      <c r="D2438" s="2"/>
      <c r="E2438" s="2"/>
      <c r="F2438" s="2"/>
      <c r="G2438" s="2"/>
      <c r="H2438" s="2"/>
      <c r="I2438" s="5"/>
    </row>
    <row r="2439" spans="1:9" ht="17.399999999999999" x14ac:dyDescent="0.25">
      <c r="A2439" s="16"/>
      <c r="B2439" s="17"/>
      <c r="C2439" s="2" t="b">
        <v>0</v>
      </c>
      <c r="D2439" s="2"/>
      <c r="E2439" s="2"/>
      <c r="F2439" s="2"/>
      <c r="G2439" s="2"/>
      <c r="H2439" s="2"/>
      <c r="I2439" s="5"/>
    </row>
    <row r="2440" spans="1:9" ht="17.399999999999999" x14ac:dyDescent="0.25">
      <c r="A2440" s="16"/>
      <c r="B2440" s="17"/>
      <c r="C2440" s="2" t="b">
        <v>0</v>
      </c>
      <c r="D2440" s="2"/>
      <c r="E2440" s="2"/>
      <c r="F2440" s="2"/>
      <c r="G2440" s="2"/>
      <c r="H2440" s="2"/>
      <c r="I2440" s="5"/>
    </row>
  </sheetData>
  <mergeCells count="2">
    <mergeCell ref="B2:H2"/>
    <mergeCell ref="B3:H3"/>
  </mergeCells>
  <conditionalFormatting sqref="A1:H2440">
    <cfRule type="cellIs" dxfId="15" priority="1" operator="equal">
      <formula>"Purchased Perks"</formula>
    </cfRule>
    <cfRule type="expression" dxfId="14" priority="2">
      <formula>IF($E1="Purchased Perks",TRUE,FALSE)</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outlinePr summaryBelow="0" summaryRight="0"/>
  </sheetPr>
  <dimension ref="A1:XFD2440"/>
  <sheetViews>
    <sheetView workbookViewId="0">
      <pane ySplit="4" topLeftCell="A5" activePane="bottomLeft" state="frozen"/>
      <selection pane="bottomLeft" activeCell="B6" sqref="B6"/>
    </sheetView>
  </sheetViews>
  <sheetFormatPr defaultColWidth="12.6640625" defaultRowHeight="15.75" customHeight="1" x14ac:dyDescent="0.25"/>
  <cols>
    <col min="1" max="1" width="3.21875" customWidth="1"/>
    <col min="2" max="2" width="3.33203125" customWidth="1"/>
    <col min="3" max="3" width="10" customWidth="1"/>
    <col min="4" max="4" width="7.6640625" customWidth="1"/>
    <col min="5" max="5" width="20.88671875" customWidth="1"/>
    <col min="6" max="6" width="14.77734375" customWidth="1"/>
    <col min="7" max="7" width="19.44140625" customWidth="1"/>
    <col min="8" max="8" width="105.109375" customWidth="1"/>
    <col min="9" max="9" width="3.21875" customWidth="1"/>
    <col min="16384" max="16384" width="0" hidden="1" customWidth="1"/>
  </cols>
  <sheetData>
    <row r="1" spans="1:9 16384:16384" ht="18.75" hidden="1" customHeight="1" x14ac:dyDescent="0.25">
      <c r="A1" s="16"/>
      <c r="B1" s="16"/>
      <c r="C1" s="26"/>
      <c r="D1" s="26"/>
      <c r="E1" s="26"/>
      <c r="F1" s="26"/>
      <c r="G1" s="26"/>
      <c r="H1" s="26"/>
      <c r="I1" s="5"/>
      <c r="XFD1">
        <f ca="1">IF('Roll All'!$B$4="Roll!",RAND(),RAND())</f>
        <v>0.28863850782867773</v>
      </c>
    </row>
    <row r="2" spans="1:9 16384:16384" ht="43.5" customHeight="1" x14ac:dyDescent="0.25">
      <c r="A2" s="16"/>
      <c r="B2" s="54" t="s">
        <v>58</v>
      </c>
      <c r="C2" s="40"/>
      <c r="D2" s="40"/>
      <c r="E2" s="40"/>
      <c r="F2" s="40"/>
      <c r="G2" s="40"/>
      <c r="H2" s="40"/>
      <c r="I2" s="5"/>
    </row>
    <row r="3" spans="1:9 16384:16384" ht="30" customHeight="1" x14ac:dyDescent="0.25">
      <c r="A3" s="16"/>
      <c r="B3" s="42" t="s">
        <v>5655</v>
      </c>
      <c r="C3" s="40"/>
      <c r="D3" s="40"/>
      <c r="E3" s="40"/>
      <c r="F3" s="40"/>
      <c r="G3" s="40"/>
      <c r="H3" s="40"/>
      <c r="I3" s="5"/>
    </row>
    <row r="4" spans="1:9 16384:16384" ht="34.799999999999997" x14ac:dyDescent="0.25">
      <c r="A4" s="16"/>
      <c r="B4" s="17">
        <f t="array" ref="B4:B40">ROW(B4:B2440)-4</f>
        <v>0</v>
      </c>
      <c r="C4" s="10" t="s">
        <v>50</v>
      </c>
      <c r="D4" s="10" t="s">
        <v>20</v>
      </c>
      <c r="E4" s="10" t="s">
        <v>21</v>
      </c>
      <c r="F4" s="10" t="s">
        <v>22</v>
      </c>
      <c r="G4" s="10" t="s">
        <v>23</v>
      </c>
      <c r="H4" s="10" t="s">
        <v>24</v>
      </c>
      <c r="I4" s="5"/>
    </row>
    <row r="5" spans="1:9 16384:16384" ht="226.2" x14ac:dyDescent="0.25">
      <c r="A5" s="16"/>
      <c r="B5" s="17">
        <v>1</v>
      </c>
      <c r="C5" s="3" t="b">
        <f ca="1">IFERROR(__xludf.DUMMYFUNCTION("sort(filter('Full Perk List'!B3:G1935,'Full Perk List'!F3:F1935=B2),1,1,2,1,3,1)"),FALSE)</f>
        <v>0</v>
      </c>
      <c r="D5" s="3">
        <f ca="1">IFERROR(__xludf.DUMMYFUNCTION("""COMPUTED_VALUE"""),100)</f>
        <v>100</v>
      </c>
      <c r="E5" s="3" t="str">
        <f ca="1">IFERROR(__xludf.DUMMYFUNCTION("""COMPUTED_VALUE"""),"Memory Room")</f>
        <v>Memory Room</v>
      </c>
      <c r="F5" s="3" t="str">
        <f ca="1">IFERROR(__xludf.DUMMYFUNCTION("""COMPUTED_VALUE"""),"Paccsu")</f>
        <v>Paccsu</v>
      </c>
      <c r="G5" s="3" t="str">
        <f ca="1">IFERROR(__xludf.DUMMYFUNCTION("""COMPUTED_VALUE"""),"Pocket Dimension")</f>
        <v>Pocket Dimension</v>
      </c>
      <c r="H5" s="3" t="str">
        <f ca="1">IFERROR(__xludf.DUMMYFUNCTION("""COMPUTED_VALUE"""),"When it comes to the sheer amount of sexual shenanigans that Namu and the gang get up to numerous would be an understatement. From getting violated by big thick tentacles, pinned down by thick dicked zombies, to even the citizens of the Kingdom of Rho’ho "&amp;"taking advantage of their misfortune, such things more likely than not aren’t fond memories. But for someone like you who may, or may not, have more positive sexual experiences there may be a number you’d like to reminisce about. And so by taking this ite"&amp;"m you’ll gain where you can do all the reminiscing you care to do. 
The “Memory Room” has rows of endless displays, each representing a time you had a lewd encounter whether that be having sex or peeping on someone changing. By touching a display you’ll "&amp;"be teleported to a temporary recreation of the associated encounter allowing you to relive it. The entire space also comes with indexing features letting you split the displays into different rooms based on different criteria, like having a room for all t"&amp;"he lewd encounters with a specific person.")</f>
        <v>When it comes to the sheer amount of sexual shenanigans that Namu and the gang get up to numerous would be an understatement. From getting violated by big thick tentacles, pinned down by thick dicked zombies, to even the citizens of the Kingdom of Rho’ho taking advantage of their misfortune, such things more likely than not aren’t fond memories. But for someone like you who may, or may not, have more positive sexual experiences there may be a number you’d like to reminisce about. And so by taking this item you’ll gain where you can do all the reminiscing you care to do. 
The “Memory Room” has rows of endless displays, each representing a time you had a lewd encounter whether that be having sex or peeping on someone changing. By touching a display you’ll be teleported to a temporary recreation of the associated encounter allowing you to relive it. The entire space also comes with indexing features letting you split the displays into different rooms based on different criteria, like having a room for all the lewd encounters with a specific person.</v>
      </c>
      <c r="I5" s="5"/>
    </row>
    <row r="6" spans="1:9 16384:16384" ht="104.4" x14ac:dyDescent="0.25">
      <c r="A6" s="16"/>
      <c r="B6" s="17">
        <v>2</v>
      </c>
      <c r="C6" s="4" t="b">
        <f ca="1">IFERROR(__xludf.DUMMYFUNCTION("""COMPUTED_VALUE"""),FALSE)</f>
        <v>0</v>
      </c>
      <c r="D6" s="4">
        <f ca="1">IFERROR(__xludf.DUMMYFUNCTION("""COMPUTED_VALUE"""),100)</f>
        <v>100</v>
      </c>
      <c r="E6" s="4" t="str">
        <f ca="1">IFERROR(__xludf.DUMMYFUNCTION("""COMPUTED_VALUE"""),"Musked Apartment")</f>
        <v>Musked Apartment</v>
      </c>
      <c r="F6" s="4" t="str">
        <f ca="1">IFERROR(__xludf.DUMMYFUNCTION("""COMPUTED_VALUE"""),"Bio-Weapon Quest")</f>
        <v>Bio-Weapon Quest</v>
      </c>
      <c r="G6" s="4" t="str">
        <f ca="1">IFERROR(__xludf.DUMMYFUNCTION("""COMPUTED_VALUE"""),"Pocket Dimension")</f>
        <v>Pocket Dimension</v>
      </c>
      <c r="H6" s="4" t="str">
        <f ca="1">IFERROR(__xludf.DUMMYFUNCTION("""COMPUTED_VALUE"""),"This dwelling might be one apartment in a block, or a room in the school dorms. It’s got basic furnishings and student/office supplies like a computer, stationary and some clothes, but the most useful effect is the fact it naturally smells of your ‘scent’"&amp;". If your scent has any special qualities - like musk, alpha control or fear pheromones - this room propagates those effects at a low level, even when you’re not there. Anyone you leave hanging out here will be thoroughly affected in a relatively short ti"&amp;"me.")</f>
        <v>This dwelling might be one apartment in a block, or a room in the school dorms. It’s got basic furnishings and student/office supplies like a computer, stationary and some clothes, but the most useful effect is the fact it naturally smells of your ‘scent’. If your scent has any special qualities - like musk, alpha control or fear pheromones - this room propagates those effects at a low level, even when you’re not there. Anyone you leave hanging out here will be thoroughly affected in a relatively short time.</v>
      </c>
      <c r="I6" s="5"/>
    </row>
    <row r="7" spans="1:9 16384:16384" ht="52.2" x14ac:dyDescent="0.25">
      <c r="A7" s="16"/>
      <c r="B7" s="17">
        <v>3</v>
      </c>
      <c r="C7" s="2" t="b">
        <f ca="1">IFERROR(__xludf.DUMMYFUNCTION("""COMPUTED_VALUE"""),FALSE)</f>
        <v>0</v>
      </c>
      <c r="D7" s="2">
        <f ca="1">IFERROR(__xludf.DUMMYFUNCTION("""COMPUTED_VALUE"""),200)</f>
        <v>200</v>
      </c>
      <c r="E7" s="2" t="str">
        <f ca="1">IFERROR(__xludf.DUMMYFUNCTION("""COMPUTED_VALUE"""),"Aphrodisac Hot Spring")</f>
        <v>Aphrodisac Hot Spring</v>
      </c>
      <c r="F7" s="2" t="str">
        <f ca="1">IFERROR(__xludf.DUMMYFUNCTION("""COMPUTED_VALUE"""),"My Bride is the Demon Lord")</f>
        <v>My Bride is the Demon Lord</v>
      </c>
      <c r="G7" s="2" t="str">
        <f ca="1">IFERROR(__xludf.DUMMYFUNCTION("""COMPUTED_VALUE"""),"Pocket Dimension")</f>
        <v>Pocket Dimension</v>
      </c>
      <c r="H7" s="2" t="str">
        <f ca="1">IFERROR(__xludf.DUMMYFUNCTION("""COMPUTED_VALUE"""),"This is a set of natural pools that formed over a peculiar leyline, which has imbued them with lustful energy and turned the vapors from the hot spring into an aphrodisiac, enhancing desire with each inhalation and imbuing bathers with youthful vigor no m"&amp;"atter how tired they may be. ")</f>
        <v xml:space="preserve">This is a set of natural pools that formed over a peculiar leyline, which has imbued them with lustful energy and turned the vapors from the hot spring into an aphrodisiac, enhancing desire with each inhalation and imbuing bathers with youthful vigor no matter how tired they may be. </v>
      </c>
      <c r="I7" s="5"/>
    </row>
    <row r="8" spans="1:9 16384:16384" ht="87" x14ac:dyDescent="0.25">
      <c r="A8" s="16"/>
      <c r="B8" s="17">
        <v>4</v>
      </c>
      <c r="C8" s="2" t="b">
        <f ca="1">IFERROR(__xludf.DUMMYFUNCTION("""COMPUTED_VALUE"""),FALSE)</f>
        <v>0</v>
      </c>
      <c r="D8" s="2">
        <f ca="1">IFERROR(__xludf.DUMMYFUNCTION("""COMPUTED_VALUE"""),200)</f>
        <v>200</v>
      </c>
      <c r="E8" s="2" t="str">
        <f ca="1">IFERROR(__xludf.DUMMYFUNCTION("""COMPUTED_VALUE"""),"Childcare")</f>
        <v>Childcare</v>
      </c>
      <c r="F8" s="2" t="str">
        <f ca="1">IFERROR(__xludf.DUMMYFUNCTION("""COMPUTED_VALUE"""),"eratohoK")</f>
        <v>eratohoK</v>
      </c>
      <c r="G8" s="2" t="str">
        <f ca="1">IFERROR(__xludf.DUMMYFUNCTION("""COMPUTED_VALUE"""),"Pocket Dimension")</f>
        <v>Pocket Dimension</v>
      </c>
      <c r="H8" s="2" t="str">
        <f ca="1">IFERROR(__xludf.DUMMYFUNCTION("""COMPUTED_VALUE"""),"You have a pocket childcare dimension that follows you around and, curiously, can always accept more of your children, but only your children. After throwing them in the childcare they’ll be released as regular, well-adjusted adults once they hit that age"&amp;". It makes it easy to simply dump all your unwanted kids here with a guarantee to be raised into responsible adults and to never have to see them again.")</f>
        <v>You have a pocket childcare dimension that follows you around and, curiously, can always accept more of your children, but only your children. After throwing them in the childcare they’ll be released as regular, well-adjusted adults once they hit that age. It makes it easy to simply dump all your unwanted kids here with a guarantee to be raised into responsible adults and to never have to see them again.</v>
      </c>
      <c r="I8" s="5"/>
    </row>
    <row r="9" spans="1:9 16384:16384" ht="87" x14ac:dyDescent="0.25">
      <c r="A9" s="16"/>
      <c r="B9" s="17">
        <v>5</v>
      </c>
      <c r="C9" s="2" t="b">
        <f ca="1">IFERROR(__xludf.DUMMYFUNCTION("""COMPUTED_VALUE"""),FALSE)</f>
        <v>0</v>
      </c>
      <c r="D9" s="2">
        <f ca="1">IFERROR(__xludf.DUMMYFUNCTION("""COMPUTED_VALUE"""),200)</f>
        <v>200</v>
      </c>
      <c r="E9" s="2" t="str">
        <f ca="1">IFERROR(__xludf.DUMMYFUNCTION("""COMPUTED_VALUE"""),"Flesh Cave")</f>
        <v>Flesh Cave</v>
      </c>
      <c r="F9" s="2" t="str">
        <f ca="1">IFERROR(__xludf.DUMMYFUNCTION("""COMPUTED_VALUE"""),"Generic: Hentai Fantasy")</f>
        <v>Generic: Hentai Fantasy</v>
      </c>
      <c r="G9" s="2" t="str">
        <f ca="1">IFERROR(__xludf.DUMMYFUNCTION("""COMPUTED_VALUE"""),"Pocket Dimension")</f>
        <v>Pocket Dimension</v>
      </c>
      <c r="H9" s="2" t="str">
        <f ca="1">IFERROR(__xludf.DUMMYFUNCTION("""COMPUTED_VALUE"""),"That might sound a bit odd, but basically you have a hidden room/cave that's been taken over by the mother of all tentacle monsters. It's completely obedient to you, to the point where it might as well be an extension of your mind and body. It's also got "&amp;"the standard complement of aphrodisiac bodily fluids and the like, so anyone you throw in here will enjoy themselves, even if they don't want to. ")</f>
        <v xml:space="preserve">That might sound a bit odd, but basically you have a hidden room/cave that's been taken over by the mother of all tentacle monsters. It's completely obedient to you, to the point where it might as well be an extension of your mind and body. It's also got the standard complement of aphrodisiac bodily fluids and the like, so anyone you throw in here will enjoy themselves, even if they don't want to. </v>
      </c>
      <c r="I9" s="5"/>
    </row>
    <row r="10" spans="1:9 16384:16384" ht="191.4" x14ac:dyDescent="0.25">
      <c r="A10" s="16"/>
      <c r="B10" s="17">
        <v>6</v>
      </c>
      <c r="C10" s="2" t="b">
        <f ca="1">IFERROR(__xludf.DUMMYFUNCTION("""COMPUTED_VALUE"""),FALSE)</f>
        <v>0</v>
      </c>
      <c r="D10" s="2">
        <f ca="1">IFERROR(__xludf.DUMMYFUNCTION("""COMPUTED_VALUE"""),200)</f>
        <v>200</v>
      </c>
      <c r="E10" s="2" t="str">
        <f ca="1">IFERROR(__xludf.DUMMYFUNCTION("""COMPUTED_VALUE"""),"Obscene Office")</f>
        <v>Obscene Office</v>
      </c>
      <c r="F10" s="2" t="str">
        <f ca="1">IFERROR(__xludf.DUMMYFUNCTION("""COMPUTED_VALUE"""),"World of Cybersluts")</f>
        <v>World of Cybersluts</v>
      </c>
      <c r="G10" s="2" t="str">
        <f ca="1">IFERROR(__xludf.DUMMYFUNCTION("""COMPUTED_VALUE"""),"Pocket Dimension")</f>
        <v>Pocket Dimension</v>
      </c>
      <c r="H10" s="2" t="str">
        <f ca="1">IFERROR(__xludf.DUMMYFUNCTION("""COMPUTED_VALUE"""),"If you’re going to spend a good chunk of your days stuck in an office, it better be a damn good office. This one is decorated in whatever style you prefer, regardless of the expense. Go wild with marble, gold, ivory, imported wood, or neon lighting if you"&amp;" like. There’s even the option to have ""tastefully” nude statues or holograms installed (note: tastes differ and massively busty/hung statues sculpted to appear in the middle of sex are fine too). 
Your desk is the centerpiece of the room, with an augme"&amp;"nted reality display on the top that will help you keep track of your businesses and ongoing projects. Plus, it can go transparent to give you a look at whoever you’re keeping under the desk. Ah yes, the desk is designed with enough room to keep a person "&amp;"under it and a variety of restraints and padding to keep them there for as long as you like. A perfect way to get some discrete relief when you are hard at work.")</f>
        <v>If you’re going to spend a good chunk of your days stuck in an office, it better be a damn good office. This one is decorated in whatever style you prefer, regardless of the expense. Go wild with marble, gold, ivory, imported wood, or neon lighting if you like. There’s even the option to have "tastefully” nude statues or holograms installed (note: tastes differ and massively busty/hung statues sculpted to appear in the middle of sex are fine too). 
Your desk is the centerpiece of the room, with an augmented reality display on the top that will help you keep track of your businesses and ongoing projects. Plus, it can go transparent to give you a look at whoever you’re keeping under the desk. Ah yes, the desk is designed with enough room to keep a person under it and a variety of restraints and padding to keep them there for as long as you like. A perfect way to get some discrete relief when you are hard at work.</v>
      </c>
      <c r="I10" s="5"/>
    </row>
    <row r="11" spans="1:9 16384:16384" ht="191.4" x14ac:dyDescent="0.25">
      <c r="A11" s="16"/>
      <c r="B11" s="17">
        <v>7</v>
      </c>
      <c r="C11" s="2" t="b">
        <f ca="1">IFERROR(__xludf.DUMMYFUNCTION("""COMPUTED_VALUE"""),FALSE)</f>
        <v>0</v>
      </c>
      <c r="D11" s="2">
        <f ca="1">IFERROR(__xludf.DUMMYFUNCTION("""COMPUTED_VALUE"""),200)</f>
        <v>200</v>
      </c>
      <c r="E11" s="2" t="str">
        <f ca="1">IFERROR(__xludf.DUMMYFUNCTION("""COMPUTED_VALUE"""),"Paradise Hot Springs")</f>
        <v>Paradise Hot Springs</v>
      </c>
      <c r="F11" s="2" t="str">
        <f ca="1">IFERROR(__xludf.DUMMYFUNCTION("""COMPUTED_VALUE"""),"Kemokko Zoo")</f>
        <v>Kemokko Zoo</v>
      </c>
      <c r="G11" s="2" t="str">
        <f ca="1">IFERROR(__xludf.DUMMYFUNCTION("""COMPUTED_VALUE"""),"Pocket Dimension")</f>
        <v>Pocket Dimension</v>
      </c>
      <c r="H11" s="2" t="str">
        <f ca="1">IFERROR(__xludf.DUMMYFUNCTION("""COMPUTED_VALUE"""),"A set of outdoor hot spring baths that the Director dug out for the zoo (best not to ask how much of it came from the already strained budget). All animals will find the hot springs relaxing and refreshing, creating a harmonious environment for everyone. "&amp;"It is attached to any zoos you have/gain, and can be selectively hidden from visitors’ view (and all zoo animals will have a way to discreetly access it).
The hot springs are maintained by a rotating staff of animal girls, and whenever you visit the hot "&amp;"springs, there will be some kemokko occupying the baths; but don’t worry, they’re more than willing to share the water with you. You can give others access to these pools, or even leave them open for other to find 
surreptitiously.")</f>
        <v>A set of outdoor hot spring baths that the Director dug out for the zoo (best not to ask how much of it came from the already strained budget). All animals will find the hot springs relaxing and refreshing, creating a harmonious environment for everyone. It is attached to any zoos you have/gain, and can be selectively hidden from visitors’ view (and all zoo animals will have a way to discreetly access it).
The hot springs are maintained by a rotating staff of animal girls, and whenever you visit the hot springs, there will be some kemokko occupying the baths; but don’t worry, they’re more than willing to share the water with you. You can give others access to these pools, or even leave them open for other to find 
surreptitiously.</v>
      </c>
      <c r="I11" s="5"/>
    </row>
    <row r="12" spans="1:9 16384:16384" ht="313.2" x14ac:dyDescent="0.25">
      <c r="A12" s="16"/>
      <c r="B12" s="17">
        <v>8</v>
      </c>
      <c r="C12" s="2" t="b">
        <f ca="1">IFERROR(__xludf.DUMMYFUNCTION("""COMPUTED_VALUE"""),FALSE)</f>
        <v>0</v>
      </c>
      <c r="D12" s="2">
        <f ca="1">IFERROR(__xludf.DUMMYFUNCTION("""COMPUTED_VALUE"""),200)</f>
        <v>200</v>
      </c>
      <c r="E12" s="2" t="str">
        <f ca="1">IFERROR(__xludf.DUMMYFUNCTION("""COMPUTED_VALUE"""),"Ritual Room")</f>
        <v>Ritual Room</v>
      </c>
      <c r="F12" s="2" t="str">
        <f ca="1">IFERROR(__xludf.DUMMYFUNCTION("""COMPUTED_VALUE"""),"Bible Black")</f>
        <v>Bible Black</v>
      </c>
      <c r="G12" s="2" t="str">
        <f ca="1">IFERROR(__xludf.DUMMYFUNCTION("""COMPUTED_VALUE"""),"Pocket Dimension")</f>
        <v>Pocket Dimension</v>
      </c>
      <c r="H12" s="2" t="str">
        <f ca="1">IFERROR(__xludf.DUMMYFUNCTION("""COMPUTED_VALUE"""),"This is a simple room that can either be attached to the property you already own or replace one of the rooms in your home as a convertible room. As a standard room, the Ritual Room is large enough to fit a dozen people inside of it at once and is good fo"&amp;"r both rituals, orgies, or ritualistic orgies. The room comes furnished with a stone altar large enough to fit a person and surrounded by magic circles both underneath and above it. These circles may be reconfigured at will and be used for any sort of rit"&amp;"ual you wish to perform. Candle Stands and various drapes and tapestries are also provided for ambiance. As a convertible room, the two magic circles are hidden under a decorative rug (the floor) or drawn in a type of paint that is invisible unless shown "&amp;"under a blacklight (ceiling). The Altar is made of metal with cloth drapes and is actually hidden in a small closet. It can be rolled out and unfolded when needed. This same closet holds all the necessary decorations and ritual gear as well.
Within thi"&amp;"s Room, any demonic entities and spirits that are summoned are instantly docile towards you. The spiritual forces that protect this room essentially make any attempts at assaulting you against your will impossible. They are also unable to possess anyone u"&amp;"nwilling. This makes summoning rituals nearly safe for all participants (sacrifices do not count as participants in this instance).
")</f>
        <v xml:space="preserve">This is a simple room that can either be attached to the property you already own or replace one of the rooms in your home as a convertible room. As a standard room, the Ritual Room is large enough to fit a dozen people inside of it at once and is good for both rituals, orgies, or ritualistic orgies. The room comes furnished with a stone altar large enough to fit a person and surrounded by magic circles both underneath and above it. These circles may be reconfigured at will and be used for any sort of ritual you wish to perform. Candle Stands and various drapes and tapestries are also provided for ambiance. As a convertible room, the two magic circles are hidden under a decorative rug (the floor) or drawn in a type of paint that is invisible unless shown under a blacklight (ceiling). The Altar is made of metal with cloth drapes and is actually hidden in a small closet. It can be rolled out and unfolded when needed. This same closet holds all the necessary decorations and ritual gear as well.
Within this Room, any demonic entities and spirits that are summoned are instantly docile towards you. The spiritual forces that protect this room essentially make any attempts at assaulting you against your will impossible. They are also unable to possess anyone unwilling. This makes summoning rituals nearly safe for all participants (sacrifices do not count as participants in this instance).
</v>
      </c>
      <c r="I12" s="5"/>
    </row>
    <row r="13" spans="1:9 16384:16384" ht="121.8" x14ac:dyDescent="0.25">
      <c r="A13" s="16"/>
      <c r="B13" s="17">
        <v>9</v>
      </c>
      <c r="C13" s="2" t="b">
        <f ca="1">IFERROR(__xludf.DUMMYFUNCTION("""COMPUTED_VALUE"""),FALSE)</f>
        <v>0</v>
      </c>
      <c r="D13" s="2">
        <f ca="1">IFERROR(__xludf.DUMMYFUNCTION("""COMPUTED_VALUE"""),200)</f>
        <v>200</v>
      </c>
      <c r="E13" s="2" t="str">
        <f ca="1">IFERROR(__xludf.DUMMYFUNCTION("""COMPUTED_VALUE"""),"Sex Museum")</f>
        <v>Sex Museum</v>
      </c>
      <c r="F13" s="2" t="str">
        <f ca="1">IFERROR(__xludf.DUMMYFUNCTION("""COMPUTED_VALUE"""),"Although Young People Recoil from Entering the Black Magic Industry...")</f>
        <v>Although Young People Recoil from Entering the Black Magic Industry...</v>
      </c>
      <c r="G13" s="2" t="str">
        <f ca="1">IFERROR(__xludf.DUMMYFUNCTION("""COMPUTED_VALUE"""),"Pocket Dimension")</f>
        <v>Pocket Dimension</v>
      </c>
      <c r="H13" s="2" t="str">
        <f ca="1">IFERROR(__xludf.DUMMYFUNCTION("""COMPUTED_VALUE"""),"You gain an attachment to your Warehouse consisting of a museum devoted to recording the sexual history of every jump you’ve been to, updating with each new jump. This includes detailed manuals of all known sexual positions, one copy of every work of porn"&amp;"ography, hentai, erotica, or similar content, and three of every type of sex toy or sexual paraphernalia ever used in any world you’ve been to. This does not include sex toys you may have purchased with CP, although you may optionally store them within th"&amp;"e museum. Nothing placed as an exhibit in the museum ages, and they are all cleaned automatically.")</f>
        <v>You gain an attachment to your Warehouse consisting of a museum devoted to recording the sexual history of every jump you’ve been to, updating with each new jump. This includes detailed manuals of all known sexual positions, one copy of every work of pornography, hentai, erotica, or similar content, and three of every type of sex toy or sexual paraphernalia ever used in any world you’ve been to. This does not include sex toys you may have purchased with CP, although you may optionally store them within the museum. Nothing placed as an exhibit in the museum ages, and they are all cleaned automatically.</v>
      </c>
      <c r="I13" s="5"/>
    </row>
    <row r="14" spans="1:9 16384:16384" ht="295.8" x14ac:dyDescent="0.25">
      <c r="A14" s="16"/>
      <c r="B14" s="17">
        <v>10</v>
      </c>
      <c r="C14" s="2" t="b">
        <f ca="1">IFERROR(__xludf.DUMMYFUNCTION("""COMPUTED_VALUE"""),FALSE)</f>
        <v>0</v>
      </c>
      <c r="D14" s="2">
        <f ca="1">IFERROR(__xludf.DUMMYFUNCTION("""COMPUTED_VALUE"""),300)</f>
        <v>300</v>
      </c>
      <c r="E14" s="2" t="str">
        <f ca="1">IFERROR(__xludf.DUMMYFUNCTION("""COMPUTED_VALUE"""),"Amorous Apartment")</f>
        <v>Amorous Apartment</v>
      </c>
      <c r="F14" s="2" t="str">
        <f ca="1">IFERROR(__xludf.DUMMYFUNCTION("""COMPUTED_VALUE"""),"World of Cybersluts")</f>
        <v>World of Cybersluts</v>
      </c>
      <c r="G14" s="2" t="str">
        <f ca="1">IFERROR(__xludf.DUMMYFUNCTION("""COMPUTED_VALUE"""),"Pocket Dimension")</f>
        <v>Pocket Dimension</v>
      </c>
      <c r="H14" s="2" t="str">
        <f ca="1">IFERROR(__xludf.DUMMYFUNCTION("""COMPUTED_VALUE"""),"Someone as charming as you deserves a comfortable place to live, like this modern apartment in the good part of a city. It comes with a free subscription to the good channels, networks, and delivery food on demand. More interestingly, everything here from"&amp;" the doors to the lighting is automated to make life easier for you, with even the kitchen and cleaning taken care of by automated appliances and small unobstructive drones. All of it is directly controlled by the apartment’s accompanying artificial intel"&amp;"ligence. Besides the appliances, the apartment also has some cleverly concealed holographic projectors to accommodate a more visual manifestation than just a disembodied voice for the AI.
The AI can be customized to act however you want it to, and will c"&amp;"ontinue to tailor and adapt its personality and behavior to your desires as it runs to better fulfill its role as a perfect (if virtual) companion and lover. Whether that means a caring AI girlfriend who cheers you up and makes your favorite food for you "&amp;"before you even think to ask, a hard dom who forces you to humiliate yourself before opening the automatic doors, or one switching between extremes like these depending on the situation, the specific results depend fully on what you want them to be. In ad"&amp;"dition, the AI could also run larger structures and collections of devices in a similar fashion, if you give it access to them. Up to a point, at least.")</f>
        <v>Someone as charming as you deserves a comfortable place to live, like this modern apartment in the good part of a city. It comes with a free subscription to the good channels, networks, and delivery food on demand. More interestingly, everything here from the doors to the lighting is automated to make life easier for you, with even the kitchen and cleaning taken care of by automated appliances and small unobstructive drones. All of it is directly controlled by the apartment’s accompanying artificial intelligence. Besides the appliances, the apartment also has some cleverly concealed holographic projectors to accommodate a more visual manifestation than just a disembodied voice for the AI.
The AI can be customized to act however you want it to, and will continue to tailor and adapt its personality and behavior to your desires as it runs to better fulfill its role as a perfect (if virtual) companion and lover. Whether that means a caring AI girlfriend who cheers you up and makes your favorite food for you before you even think to ask, a hard dom who forces you to humiliate yourself before opening the automatic doors, or one switching between extremes like these depending on the situation, the specific results depend fully on what you want them to be. In addition, the AI could also run larger structures and collections of devices in a similar fashion, if you give it access to them. Up to a point, at least.</v>
      </c>
      <c r="I14" s="5"/>
    </row>
    <row r="15" spans="1:9 16384:16384" ht="52.2" x14ac:dyDescent="0.25">
      <c r="A15" s="16"/>
      <c r="B15" s="17">
        <v>11</v>
      </c>
      <c r="C15" s="2" t="b">
        <f ca="1">IFERROR(__xludf.DUMMYFUNCTION("""COMPUTED_VALUE"""),FALSE)</f>
        <v>0</v>
      </c>
      <c r="D15" s="2">
        <f ca="1">IFERROR(__xludf.DUMMYFUNCTION("""COMPUTED_VALUE"""),300)</f>
        <v>300</v>
      </c>
      <c r="E15" s="2" t="str">
        <f ca="1">IFERROR(__xludf.DUMMYFUNCTION("""COMPUTED_VALUE"""),"Fortress of Solitude")</f>
        <v>Fortress of Solitude</v>
      </c>
      <c r="F15" s="2" t="str">
        <f ca="1">IFERROR(__xludf.DUMMYFUNCTION("""COMPUTED_VALUE"""),"Generic: Hentai Superheroes")</f>
        <v>Generic: Hentai Superheroes</v>
      </c>
      <c r="G15" s="2" t="str">
        <f ca="1">IFERROR(__xludf.DUMMYFUNCTION("""COMPUTED_VALUE"""),"Pocket Dimension")</f>
        <v>Pocket Dimension</v>
      </c>
      <c r="H15" s="2" t="str">
        <f ca="1">IFERROR(__xludf.DUMMYFUNCTION("""COMPUTED_VALUE"""),"Also known as your basement. No one else comes down here, so you’re activities won’t be interrupted. A large room, complete with multimedia entertainment system, a large table for games, and equipment for any kind of sexual activity. Perfect for a weekend"&amp;" with friends, or an orgy.")</f>
        <v>Also known as your basement. No one else comes down here, so you’re activities won’t be interrupted. A large room, complete with multimedia entertainment system, a large table for games, and equipment for any kind of sexual activity. Perfect for a weekend with friends, or an orgy.</v>
      </c>
      <c r="I15" s="5"/>
    </row>
    <row r="16" spans="1:9 16384:16384" ht="174" x14ac:dyDescent="0.25">
      <c r="A16" s="16"/>
      <c r="B16" s="17">
        <v>12</v>
      </c>
      <c r="C16" s="2" t="b">
        <f ca="1">IFERROR(__xludf.DUMMYFUNCTION("""COMPUTED_VALUE"""),FALSE)</f>
        <v>0</v>
      </c>
      <c r="D16" s="2">
        <f ca="1">IFERROR(__xludf.DUMMYFUNCTION("""COMPUTED_VALUE"""),300)</f>
        <v>300</v>
      </c>
      <c r="E16" s="2" t="str">
        <f ca="1">IFERROR(__xludf.DUMMYFUNCTION("""COMPUTED_VALUE"""),"Great Fairy Fountain")</f>
        <v>Great Fairy Fountain</v>
      </c>
      <c r="F16" s="2" t="str">
        <f ca="1">IFERROR(__xludf.DUMMYFUNCTION("""COMPUTED_VALUE"""),"Breathless Wild")</f>
        <v>Breathless Wild</v>
      </c>
      <c r="G16" s="2" t="str">
        <f ca="1">IFERROR(__xludf.DUMMYFUNCTION("""COMPUTED_VALUE"""),"Pocket Dimension")</f>
        <v>Pocket Dimension</v>
      </c>
      <c r="H16" s="2" t="str">
        <f ca="1">IFERROR(__xludf.DUMMYFUNCTION("""COMPUTED_VALUE"""),"Home of the Great Fairy Cotera, this fairy fountain is a wellspring of nature magic which its monarch can put to use for all sorts of useful benefits. Cotera and her fairy fountain join you on your adventure: while she won’t leave the fountain for any rea"&amp;"son, Cotera will happily put her magic to work enchanting items or breaking curses or bestowing blessings for you and your companions. She just wants a tiny little fee in return. She’ll take rupees or magical reagents like monster parts, or if you’re fres"&amp;"h out of those she’s also fine receiving you as payment, as in you spend a few days or weeks in the fountain as her personal sex toy. Of course the more powerful the magic you need the higher the price she’ll charge for it, but Cotera is ancient and power"&amp;"ful and can accomplish all sorts of things with her magic that nobody else in Hyrule can do, though she does have sharp limits when it comes to other powerful entities like Ganon.")</f>
        <v>Home of the Great Fairy Cotera, this fairy fountain is a wellspring of nature magic which its monarch can put to use for all sorts of useful benefits. Cotera and her fairy fountain join you on your adventure: while she won’t leave the fountain for any reason, Cotera will happily put her magic to work enchanting items or breaking curses or bestowing blessings for you and your companions. She just wants a tiny little fee in return. She’ll take rupees or magical reagents like monster parts, or if you’re fresh out of those she’s also fine receiving you as payment, as in you spend a few days or weeks in the fountain as her personal sex toy. Of course the more powerful the magic you need the higher the price she’ll charge for it, but Cotera is ancient and powerful and can accomplish all sorts of things with her magic that nobody else in Hyrule can do, though she does have sharp limits when it comes to other powerful entities like Ganon.</v>
      </c>
      <c r="I16" s="5"/>
    </row>
    <row r="17" spans="1:9" ht="156.6" x14ac:dyDescent="0.25">
      <c r="A17" s="16"/>
      <c r="B17" s="17">
        <v>13</v>
      </c>
      <c r="C17" s="2" t="b">
        <f ca="1">IFERROR(__xludf.DUMMYFUNCTION("""COMPUTED_VALUE"""),FALSE)</f>
        <v>0</v>
      </c>
      <c r="D17" s="2">
        <f ca="1">IFERROR(__xludf.DUMMYFUNCTION("""COMPUTED_VALUE"""),300)</f>
        <v>300</v>
      </c>
      <c r="E17" s="2" t="str">
        <f ca="1">IFERROR(__xludf.DUMMYFUNCTION("""COMPUTED_VALUE"""),"Marriage Island")</f>
        <v>Marriage Island</v>
      </c>
      <c r="F17" s="2" t="str">
        <f ca="1">IFERROR(__xludf.DUMMYFUNCTION("""COMPUTED_VALUE"""),"My Bride is the Demon Lord")</f>
        <v>My Bride is the Demon Lord</v>
      </c>
      <c r="G17" s="2" t="str">
        <f ca="1">IFERROR(__xludf.DUMMYFUNCTION("""COMPUTED_VALUE"""),"Pocket Dimension")</f>
        <v>Pocket Dimension</v>
      </c>
      <c r="H17" s="2" t="str">
        <f ca="1">IFERROR(__xludf.DUMMYFUNCTION("""COMPUTED_VALUE"""),"This is a full-fledged island that serves as a popular location for weddings. It is said that the Hero and Demon Lord were wed here, and that anyone else who follows their example will have long-lasting and happy marriages. While that’s just a rumor in-st"&amp;"ory, in this island it is perfectly true; spouses who wed here will be more empathic towards one another’s needs and will experience good fortune in regards to their marriage and staying together.
You may have this island act as a bridge between the worl"&amp;"d and your pocket dimension. If you do, you can manifest other locations on the island as you please, or even unmanifest the island as a whole. Your pocket dimension remains secure regardless of what is manifested.")</f>
        <v>This is a full-fledged island that serves as a popular location for weddings. It is said that the Hero and Demon Lord were wed here, and that anyone else who follows their example will have long-lasting and happy marriages. While that’s just a rumor in-story, in this island it is perfectly true; spouses who wed here will be more empathic towards one another’s needs and will experience good fortune in regards to their marriage and staying together.
You may have this island act as a bridge between the world and your pocket dimension. If you do, you can manifest other locations on the island as you please, or even unmanifest the island as a whole. Your pocket dimension remains secure regardless of what is manifested.</v>
      </c>
      <c r="I17" s="5"/>
    </row>
    <row r="18" spans="1:9" ht="121.8" x14ac:dyDescent="0.25">
      <c r="A18" s="16"/>
      <c r="B18" s="17">
        <v>14</v>
      </c>
      <c r="C18" s="2" t="b">
        <f ca="1">IFERROR(__xludf.DUMMYFUNCTION("""COMPUTED_VALUE"""),FALSE)</f>
        <v>0</v>
      </c>
      <c r="D18" s="2">
        <f ca="1">IFERROR(__xludf.DUMMYFUNCTION("""COMPUTED_VALUE"""),300)</f>
        <v>300</v>
      </c>
      <c r="E18" s="2" t="str">
        <f ca="1">IFERROR(__xludf.DUMMYFUNCTION("""COMPUTED_VALUE"""),"The Cherry Orchard")</f>
        <v>The Cherry Orchard</v>
      </c>
      <c r="F18" s="2" t="str">
        <f ca="1">IFERROR(__xludf.DUMMYFUNCTION("""COMPUTED_VALUE"""),"Generic: Virgin")</f>
        <v>Generic: Virgin</v>
      </c>
      <c r="G18" s="2" t="str">
        <f ca="1">IFERROR(__xludf.DUMMYFUNCTION("""COMPUTED_VALUE"""),"Pocket Dimension")</f>
        <v>Pocket Dimension</v>
      </c>
      <c r="H18" s="2" t="str">
        <f ca="1">IFERROR(__xludf.DUMMYFUNCTION("""COMPUTED_VALUE"""),"You now have an orchard of over 1000 cherry trees. Each tree is always ripe and fresh and can produce 10 kilos of cherries a day, though each tree is either sweet cherries or sour cherries on a given day.
Occasionally, wandering actors will stroll throug"&amp;"h the area at random, performing Anton Checkov’s immortal play of the same name or one of his other works. They’re very good, but only interested in performing.")</f>
        <v>You now have an orchard of over 1000 cherry trees. Each tree is always ripe and fresh and can produce 10 kilos of cherries a day, though each tree is either sweet cherries or sour cherries on a given day.
Occasionally, wandering actors will stroll through the area at random, performing Anton Checkov’s immortal play of the same name or one of his other works. They’re very good, but only interested in performing.</v>
      </c>
      <c r="I18" s="5"/>
    </row>
    <row r="19" spans="1:9" ht="104.4" x14ac:dyDescent="0.25">
      <c r="A19" s="16"/>
      <c r="B19" s="17">
        <v>15</v>
      </c>
      <c r="C19" s="2" t="b">
        <f ca="1">IFERROR(__xludf.DUMMYFUNCTION("""COMPUTED_VALUE"""),FALSE)</f>
        <v>0</v>
      </c>
      <c r="D19" s="2">
        <f ca="1">IFERROR(__xludf.DUMMYFUNCTION("""COMPUTED_VALUE"""),400)</f>
        <v>400</v>
      </c>
      <c r="E19" s="2" t="str">
        <f ca="1">IFERROR(__xludf.DUMMYFUNCTION("""COMPUTED_VALUE"""),"Garden of Lilith")</f>
        <v>Garden of Lilith</v>
      </c>
      <c r="F19" s="2" t="str">
        <f ca="1">IFERROR(__xludf.DUMMYFUNCTION("""COMPUTED_VALUE"""),"Prina the Dungeoneering Princess")</f>
        <v>Prina the Dungeoneering Princess</v>
      </c>
      <c r="G19" s="2" t="str">
        <f ca="1">IFERROR(__xludf.DUMMYFUNCTION("""COMPUTED_VALUE"""),"Pocket Dimension")</f>
        <v>Pocket Dimension</v>
      </c>
      <c r="H19" s="2" t="str">
        <f ca="1">IFERROR(__xludf.DUMMYFUNCTION("""COMPUTED_VALUE"""),"Perhaps you found and domesticated this place, or maybe Pai Lee Chel gave it to you after she left. Either way, you now have a lovely scenic woodlands mansion with large gardens and spacious grounds. However, it's worth noting that this place is inside th"&amp;"e dungeon, so every flower and plant in and around its lawn is a sexual trap of some kind. Moreover, the mansion and grounds can rearrange themselves to suit your needs and confuse 'visitors'. Of course, if you prefer something more final, the plants can "&amp;"suddenly switch from perverse to poisonous.")</f>
        <v>Perhaps you found and domesticated this place, or maybe Pai Lee Chel gave it to you after she left. Either way, you now have a lovely scenic woodlands mansion with large gardens and spacious grounds. However, it's worth noting that this place is inside the dungeon, so every flower and plant in and around its lawn is a sexual trap of some kind. Moreover, the mansion and grounds can rearrange themselves to suit your needs and confuse 'visitors'. Of course, if you prefer something more final, the plants can suddenly switch from perverse to poisonous.</v>
      </c>
      <c r="I19" s="5"/>
    </row>
    <row r="20" spans="1:9" ht="400.2" x14ac:dyDescent="0.25">
      <c r="A20" s="16"/>
      <c r="B20" s="17">
        <v>16</v>
      </c>
      <c r="C20" s="2" t="b">
        <f ca="1">IFERROR(__xludf.DUMMYFUNCTION("""COMPUTED_VALUE"""),FALSE)</f>
        <v>0</v>
      </c>
      <c r="D20" s="2">
        <f ca="1">IFERROR(__xludf.DUMMYFUNCTION("""COMPUTED_VALUE"""),400)</f>
        <v>400</v>
      </c>
      <c r="E20" s="2" t="str">
        <f ca="1">IFERROR(__xludf.DUMMYFUNCTION("""COMPUTED_VALUE"""),"Hellish Factory")</f>
        <v>Hellish Factory</v>
      </c>
      <c r="F20" s="2" t="str">
        <f ca="1">IFERROR(__xludf.DUMMYFUNCTION("""COMPUTED_VALUE"""),"Corruption of Champions v1.1")</f>
        <v>Corruption of Champions v1.1</v>
      </c>
      <c r="G20" s="2" t="str">
        <f ca="1">IFERROR(__xludf.DUMMYFUNCTION("""COMPUTED_VALUE"""),"Pocket Dimension")</f>
        <v>Pocket Dimension</v>
      </c>
      <c r="H20" s="2" t="str">
        <f ca="1">IFERROR(__xludf.DUMMYFUNCTION("""COMPUTED_VALUE"""),"A towering iron structure belching cloying pink smoke from its tall smokestacks. A bevy of green-tinged copper pipes stem from the rear of the building, climbing up the steep mountainside and disappearing into a hole in its face. High atop the roof sits a"&amp;" huge water tower fed by smaller pipes that run down the building’s side and off towards the lake. This is a demonic factory, constructed for corruption on an industrial scale. There are no windows to it, and only a single iron door adorns the front wall."&amp;" Here they take humans and once-humans, pump them full of aphrodisiacs, body-altering drugs, and corrupting agents, and then continually milk them of their tainted milk and cum for the rest of their lives. The resulting river of drug-filled sex-juices is "&amp;"used both to wash away the last pockets of purity and to create large quantities of premium goods. From body-altering drugs, to exceptional aphrodisiacs, all the way to concoctions that force people to survive on semen.
As a newly-built facility, this f"&amp;"actory doesn’t quite have row upon row of human and formerly-human cows to milk just yet. For the moment, you’ll have to make do with about half a dozen altered dickgirls mercifully eager to please, to obey, and especially to be milked. You’ll have to sup"&amp;"ply additional cow-sluts yourself if you want to meet demonic production quotas, perhaps sourced from some of Mareth’s portals, but even without doing so you’ll have a sizable stream of pink-tinted corrupt chemicals to do with as you please.
Regardless "&amp;"of what you decide to do with it, you’ve got a simple but comfortable office for yourself as the new overseer of the factory. Set one floor above the main chamber, it provides an excellent view of the 'factory floor' through a glass wall. Your new positio"&amp;"n also comes with a loyal and beautiful, if a little air-headed, succubus secretary to man the reception desk and handle any other tasks you’d require of a secretary.")</f>
        <v>A towering iron structure belching cloying pink smoke from its tall smokestacks. A bevy of green-tinged copper pipes stem from the rear of the building, climbing up the steep mountainside and disappearing into a hole in its face. High atop the roof sits a huge water tower fed by smaller pipes that run down the building’s side and off towards the lake. This is a demonic factory, constructed for corruption on an industrial scale. There are no windows to it, and only a single iron door adorns the front wall. Here they take humans and once-humans, pump them full of aphrodisiacs, body-altering drugs, and corrupting agents, and then continually milk them of their tainted milk and cum for the rest of their lives. The resulting river of drug-filled sex-juices is used both to wash away the last pockets of purity and to create large quantities of premium goods. From body-altering drugs, to exceptional aphrodisiacs, all the way to concoctions that force people to survive on semen.
As a newly-built facility, this factory doesn’t quite have row upon row of human and formerly-human cows to milk just yet. For the moment, you’ll have to make do with about half a dozen altered dickgirls mercifully eager to please, to obey, and especially to be milked. You’ll have to supply additional cow-sluts yourself if you want to meet demonic production quotas, perhaps sourced from some of Mareth’s portals, but even without doing so you’ll have a sizable stream of pink-tinted corrupt chemicals to do with as you please.
Regardless of what you decide to do with it, you’ve got a simple but comfortable office for yourself as the new overseer of the factory. Set one floor above the main chamber, it provides an excellent view of the 'factory floor' through a glass wall. Your new position also comes with a loyal and beautiful, if a little air-headed, succubus secretary to man the reception desk and handle any other tasks you’d require of a secretary.</v>
      </c>
      <c r="I20" s="5"/>
    </row>
    <row r="21" spans="1:9" ht="87" x14ac:dyDescent="0.25">
      <c r="A21" s="16"/>
      <c r="B21" s="17">
        <v>17</v>
      </c>
      <c r="C21" s="2" t="b">
        <f ca="1">IFERROR(__xludf.DUMMYFUNCTION("""COMPUTED_VALUE"""),FALSE)</f>
        <v>0</v>
      </c>
      <c r="D21" s="2">
        <f ca="1">IFERROR(__xludf.DUMMYFUNCTION("""COMPUTED_VALUE"""),400)</f>
        <v>400</v>
      </c>
      <c r="E21" s="2" t="str">
        <f ca="1">IFERROR(__xludf.DUMMYFUNCTION("""COMPUTED_VALUE"""),"Interdimensional Playpen")</f>
        <v>Interdimensional Playpen</v>
      </c>
      <c r="F21" s="2" t="str">
        <f ca="1">IFERROR(__xludf.DUMMYFUNCTION("""COMPUTED_VALUE"""),"How they Fap in Parallel Worlds")</f>
        <v>How they Fap in Parallel Worlds</v>
      </c>
      <c r="G21" s="2" t="str">
        <f ca="1">IFERROR(__xludf.DUMMYFUNCTION("""COMPUTED_VALUE"""),"Pocket Dimension")</f>
        <v>Pocket Dimension</v>
      </c>
      <c r="H21" s="2" t="str">
        <f ca="1">IFERROR(__xludf.DUMMYFUNCTION("""COMPUTED_VALUE"""),"The perfect stage for your lewd antics. You are in possession of a cozy, indestructible, self-cleaning bedroom, complete with a personal shower. When you desire, you can open up the door, and a random creature from another dimension will be welcomed in to"&amp;" have sex with you. You’ll even get paid. The acts they perform may be a tad extreme, but it’ll never put you in extreme danger, and it’ll always feel somewhat good for you.")</f>
        <v>The perfect stage for your lewd antics. You are in possession of a cozy, indestructible, self-cleaning bedroom, complete with a personal shower. When you desire, you can open up the door, and a random creature from another dimension will be welcomed in to have sex with you. You’ll even get paid. The acts they perform may be a tad extreme, but it’ll never put you in extreme danger, and it’ll always feel somewhat good for you.</v>
      </c>
      <c r="I21" s="5"/>
    </row>
    <row r="22" spans="1:9" ht="156.6" x14ac:dyDescent="0.25">
      <c r="A22" s="16"/>
      <c r="B22" s="17">
        <v>18</v>
      </c>
      <c r="C22" s="2" t="b">
        <f ca="1">IFERROR(__xludf.DUMMYFUNCTION("""COMPUTED_VALUE"""),FALSE)</f>
        <v>0</v>
      </c>
      <c r="D22" s="2">
        <f ca="1">IFERROR(__xludf.DUMMYFUNCTION("""COMPUTED_VALUE"""),400)</f>
        <v>400</v>
      </c>
      <c r="E22" s="2" t="str">
        <f ca="1">IFERROR(__xludf.DUMMYFUNCTION("""COMPUTED_VALUE"""),"Materia Spring")</f>
        <v>Materia Spring</v>
      </c>
      <c r="F22" s="2" t="str">
        <f ca="1">IFERROR(__xludf.DUMMYFUNCTION("""COMPUTED_VALUE"""),"Tifa Lockhart - Agent of Avalanche")</f>
        <v>Tifa Lockhart - Agent of Avalanche</v>
      </c>
      <c r="G22" s="2" t="str">
        <f ca="1">IFERROR(__xludf.DUMMYFUNCTION("""COMPUTED_VALUE"""),"Pocket Dimension")</f>
        <v>Pocket Dimension</v>
      </c>
      <c r="H22" s="2" t="str">
        <f ca="1">IFERROR(__xludf.DUMMYFUNCTION("""COMPUTED_VALUE"""),"A natural materia spring, this strange location provides a link to the Lifestream so you can create materia. Materia are small gems that grant the wielder different abilities, like the power to cast a certain spells, passive empowerments, modifying other "&amp;"materia, or summoning powerful beings to help you fight. Which materia the spring creates will be up to you, but the rarer they are the more time it takes to create them: a fire or cure materia might only require a day at most, but a powerful summon mater"&amp;"ia like Bahamut or Knights of the Round would take at least a year to gestate. If you want to shorten the wait then bathing in the spring can impregnate fertile wombs with enough mako that the desired materia can be produced in 1/10th of the normal creati"&amp;"on time at the cost of the host becoming pregnant with the desired materia for the length of the gestation time.")</f>
        <v>A natural materia spring, this strange location provides a link to the Lifestream so you can create materia. Materia are small gems that grant the wielder different abilities, like the power to cast a certain spells, passive empowerments, modifying other materia, or summoning powerful beings to help you fight. Which materia the spring creates will be up to you, but the rarer they are the more time it takes to create them: a fire or cure materia might only require a day at most, but a powerful summon materia like Bahamut or Knights of the Round would take at least a year to gestate. If you want to shorten the wait then bathing in the spring can impregnate fertile wombs with enough mako that the desired materia can be produced in 1/10th of the normal creation time at the cost of the host becoming pregnant with the desired materia for the length of the gestation time.</v>
      </c>
      <c r="I22" s="5"/>
    </row>
    <row r="23" spans="1:9" ht="139.19999999999999" x14ac:dyDescent="0.25">
      <c r="A23" s="16"/>
      <c r="B23" s="17">
        <v>19</v>
      </c>
      <c r="C23" s="2" t="b">
        <f ca="1">IFERROR(__xludf.DUMMYFUNCTION("""COMPUTED_VALUE"""),FALSE)</f>
        <v>0</v>
      </c>
      <c r="D23" s="2">
        <f ca="1">IFERROR(__xludf.DUMMYFUNCTION("""COMPUTED_VALUE"""),400)</f>
        <v>400</v>
      </c>
      <c r="E23" s="2" t="str">
        <f ca="1">IFERROR(__xludf.DUMMYFUNCTION("""COMPUTED_VALUE"""),"My Room")</f>
        <v>My Room</v>
      </c>
      <c r="F23" s="2" t="str">
        <f ca="1">IFERROR(__xludf.DUMMYFUNCTION("""COMPUTED_VALUE"""),"A Change of Tactics V2.2")</f>
        <v>A Change of Tactics V2.2</v>
      </c>
      <c r="G23" s="2" t="str">
        <f ca="1">IFERROR(__xludf.DUMMYFUNCTION("""COMPUTED_VALUE"""),"Pocket Dimension")</f>
        <v>Pocket Dimension</v>
      </c>
      <c r="H23" s="2" t="str">
        <f ca="1">IFERROR(__xludf.DUMMYFUNCTION("""COMPUTED_VALUE"""),"A tactician’s work often involves top-secret matters of state and requires guaranteed privacy and security in which to conduct business. My Room is a well-furnished combination of bedroom, bathroom, and office, and is the ideal place for hosting all manne"&amp;"r of clandestine affairs, from top-secret strategy meetings to scandalous trysts and orgies. The room is magically-sealed for privacy and secrecy: uninvited guests will never discover anything you might consider incriminating, be it secret documents or ev"&amp;"idence of infidelity. The room also comes with a luxurious bed big enough to fit quite a number of people, and the office desk has enough space for someone to comfortably fit under it while you work.")</f>
        <v>A tactician’s work often involves top-secret matters of state and requires guaranteed privacy and security in which to conduct business. My Room is a well-furnished combination of bedroom, bathroom, and office, and is the ideal place for hosting all manner of clandestine affairs, from top-secret strategy meetings to scandalous trysts and orgies. The room is magically-sealed for privacy and secrecy: uninvited guests will never discover anything you might consider incriminating, be it secret documents or evidence of infidelity. The room also comes with a luxurious bed big enough to fit quite a number of people, and the office desk has enough space for someone to comfortably fit under it while you work.</v>
      </c>
      <c r="I23" s="5"/>
    </row>
    <row r="24" spans="1:9" ht="156.6" x14ac:dyDescent="0.25">
      <c r="A24" s="16"/>
      <c r="B24" s="17">
        <v>20</v>
      </c>
      <c r="C24" s="2" t="b">
        <f ca="1">IFERROR(__xludf.DUMMYFUNCTION("""COMPUTED_VALUE"""),FALSE)</f>
        <v>0</v>
      </c>
      <c r="D24" s="2">
        <f ca="1">IFERROR(__xludf.DUMMYFUNCTION("""COMPUTED_VALUE"""),400)</f>
        <v>400</v>
      </c>
      <c r="E24" s="2" t="str">
        <f ca="1">IFERROR(__xludf.DUMMYFUNCTION("""COMPUTED_VALUE"""),"Mystic Training Ground")</f>
        <v>Mystic Training Ground</v>
      </c>
      <c r="F24" s="2" t="str">
        <f ca="1">IFERROR(__xludf.DUMMYFUNCTION("""COMPUTED_VALUE"""),"Naruto Blacked")</f>
        <v>Naruto Blacked</v>
      </c>
      <c r="G24" s="2" t="str">
        <f ca="1">IFERROR(__xludf.DUMMYFUNCTION("""COMPUTED_VALUE"""),"Pocket Dimension")</f>
        <v>Pocket Dimension</v>
      </c>
      <c r="H24" s="2" t="str">
        <f ca="1">IFERROR(__xludf.DUMMYFUNCTION("""COMPUTED_VALUE"""),"You’ve come across what could be a new sage region rivaling the Toad-Land of Mount Myōboku and the Ryuichi Cave, and like the both of those areas this place is well-hidden from the rest of the world and can only be found by the hardiest of ninja, and has "&amp;"an odd affinity for a particular animal of your choice, being mostly inhabited by abnormally large versions of them. The natural energy circulating through this area is massive, giving you and your partners the energy to perform whatever kind of training "&amp;"you like for days on end and the wisdom to learn many new techniques. You may even find yourself starting to resemble said animal or gaining new abilities based off them if you spend enough time training (or “training”) here. If you ever need to relax, tr"&amp;"ain, or hide from any unsavory types, this place is only a hand sign away.")</f>
        <v>You’ve come across what could be a new sage region rivaling the Toad-Land of Mount Myōboku and the Ryuichi Cave, and like the both of those areas this place is well-hidden from the rest of the world and can only be found by the hardiest of ninja, and has an odd affinity for a particular animal of your choice, being mostly inhabited by abnormally large versions of them. The natural energy circulating through this area is massive, giving you and your partners the energy to perform whatever kind of training you like for days on end and the wisdom to learn many new techniques. You may even find yourself starting to resemble said animal or gaining new abilities based off them if you spend enough time training (or “training”) here. If you ever need to relax, train, or hide from any unsavory types, this place is only a hand sign away.</v>
      </c>
      <c r="I24" s="5"/>
    </row>
    <row r="25" spans="1:9" ht="121.8" x14ac:dyDescent="0.25">
      <c r="A25" s="16"/>
      <c r="B25" s="17">
        <v>21</v>
      </c>
      <c r="C25" s="2" t="b">
        <f ca="1">IFERROR(__xludf.DUMMYFUNCTION("""COMPUTED_VALUE"""),FALSE)</f>
        <v>0</v>
      </c>
      <c r="D25" s="2">
        <f ca="1">IFERROR(__xludf.DUMMYFUNCTION("""COMPUTED_VALUE"""),400)</f>
        <v>400</v>
      </c>
      <c r="E25" s="2" t="str">
        <f ca="1">IFERROR(__xludf.DUMMYFUNCTION("""COMPUTED_VALUE"""),"Personal Quarters")</f>
        <v>Personal Quarters</v>
      </c>
      <c r="F25" s="2" t="str">
        <f ca="1">IFERROR(__xludf.DUMMYFUNCTION("""COMPUTED_VALUE"""),"Free Cities - Zenaku82 Edition")</f>
        <v>Free Cities - Zenaku82 Edition</v>
      </c>
      <c r="G25" s="2" t="str">
        <f ca="1">IFERROR(__xludf.DUMMYFUNCTION("""COMPUTED_VALUE"""),"Pocket Dimension")</f>
        <v>Pocket Dimension</v>
      </c>
      <c r="H25" s="2" t="str">
        <f ca="1">IFERROR(__xludf.DUMMYFUNCTION("""COMPUTED_VALUE"""),"​As the leader of the Arcology, your quarters are at the top. Both literally and figuratively. Luxuriously decorated, the room is dominated by a huge bed. Capable of holding half a dozen slaves to pleasure their master and cuddle. In the center of the roo"&amp;"m, is a large depression, filled with cushions. Those slaves who aren’t in bed with you, will be in here, having sex together for your entertainment. Those who live in this room want for nothing, allowing them to focus on their one duty: To pleasure you a"&amp;"nd see to your needs. There will always be room for you to bring another slave to serve here as Concubine or harem member.")</f>
        <v>​As the leader of the Arcology, your quarters are at the top. Both literally and figuratively. Luxuriously decorated, the room is dominated by a huge bed. Capable of holding half a dozen slaves to pleasure their master and cuddle. In the center of the room, is a large depression, filled with cushions. Those slaves who aren’t in bed with you, will be in here, having sex together for your entertainment. Those who live in this room want for nothing, allowing them to focus on their one duty: To pleasure you and see to your needs. There will always be room for you to bring another slave to serve here as Concubine or harem member.</v>
      </c>
      <c r="I25" s="5"/>
    </row>
    <row r="26" spans="1:9" ht="156.6" x14ac:dyDescent="0.25">
      <c r="A26" s="16"/>
      <c r="B26" s="17">
        <v>22</v>
      </c>
      <c r="C26" s="2" t="b">
        <f ca="1">IFERROR(__xludf.DUMMYFUNCTION("""COMPUTED_VALUE"""),FALSE)</f>
        <v>0</v>
      </c>
      <c r="D26" s="2">
        <f ca="1">IFERROR(__xludf.DUMMYFUNCTION("""COMPUTED_VALUE"""),400)</f>
        <v>400</v>
      </c>
      <c r="E26" s="2" t="str">
        <f ca="1">IFERROR(__xludf.DUMMYFUNCTION("""COMPUTED_VALUE"""),"Private Beach")</f>
        <v>Private Beach</v>
      </c>
      <c r="F26" s="2" t="str">
        <f ca="1">IFERROR(__xludf.DUMMYFUNCTION("""COMPUTED_VALUE"""),"Angel Academy ~ Hardcore Dorm Sex Life")</f>
        <v>Angel Academy ~ Hardcore Dorm Sex Life</v>
      </c>
      <c r="G26" s="2" t="str">
        <f ca="1">IFERROR(__xludf.DUMMYFUNCTION("""COMPUTED_VALUE"""),"Pocket Dimension")</f>
        <v>Pocket Dimension</v>
      </c>
      <c r="H26" s="2" t="str">
        <f ca="1">IFERROR(__xludf.DUMMYFUNCTION("""COMPUTED_VALUE"""),"Nothing beats a day at the beach, especially when you’ve got that beach all to yourself and your harem, am I right? You now own a strip of prime real estate right on the shore of a tropical beach where the weather is always warm and sunny and perfect swim"&amp;"ming weather regardless of the season. The beach is your private property and you can do just about anything you want on it, but the tropical vacation atmosphere is especially great for encouraging lewdness in an outdoor setting, a sort of “when in Rome” "&amp;"effect where a large group of people can become randy and amorous as soon as one or two of them start stripping or fucking or what have you. For bonus points, this item is also great for acquiring a perfect tan without the risk of sunburn, heatstroke, ski"&amp;"n cancer, or anything like that, so feel free to strip down and scorch those tan lines away.")</f>
        <v>Nothing beats a day at the beach, especially when you’ve got that beach all to yourself and your harem, am I right? You now own a strip of prime real estate right on the shore of a tropical beach where the weather is always warm and sunny and perfect swimming weather regardless of the season. The beach is your private property and you can do just about anything you want on it, but the tropical vacation atmosphere is especially great for encouraging lewdness in an outdoor setting, a sort of “when in Rome” effect where a large group of people can become randy and amorous as soon as one or two of them start stripping or fucking or what have you. For bonus points, this item is also great for acquiring a perfect tan without the risk of sunburn, heatstroke, skin cancer, or anything like that, so feel free to strip down and scorch those tan lines away.</v>
      </c>
      <c r="I26" s="5"/>
    </row>
    <row r="27" spans="1:9" ht="243.6" x14ac:dyDescent="0.25">
      <c r="A27" s="16"/>
      <c r="B27" s="17">
        <v>23</v>
      </c>
      <c r="C27" s="2" t="b">
        <f ca="1">IFERROR(__xludf.DUMMYFUNCTION("""COMPUTED_VALUE"""),FALSE)</f>
        <v>0</v>
      </c>
      <c r="D27" s="2">
        <f ca="1">IFERROR(__xludf.DUMMYFUNCTION("""COMPUTED_VALUE"""),400)</f>
        <v>400</v>
      </c>
      <c r="E27" s="2" t="str">
        <f ca="1">IFERROR(__xludf.DUMMYFUNCTION("""COMPUTED_VALUE"""),"Royal Library")</f>
        <v>Royal Library</v>
      </c>
      <c r="F27" s="2" t="str">
        <f ca="1">IFERROR(__xludf.DUMMYFUNCTION("""COMPUTED_VALUE"""),"Breathless Wild")</f>
        <v>Breathless Wild</v>
      </c>
      <c r="G27" s="2" t="str">
        <f ca="1">IFERROR(__xludf.DUMMYFUNCTION("""COMPUTED_VALUE"""),"Pocket Dimension")</f>
        <v>Pocket Dimension</v>
      </c>
      <c r="H27" s="2" t="str">
        <f ca="1">IFERROR(__xludf.DUMMYFUNCTION("""COMPUTED_VALUE"""),"Hyrule Castle once had the finest and most extensive collection of literature and ancient knowledge in the entire kingdom. It’s been sitting directly beneath Ganon’s lair for a hundred years and its contents are now deeply corrupted but they’ve also becom"&amp;"e deeply magical, a treasure trove of priceless arcane tomes with knowledge of subjects ranging from architecture and cooking to magical theory and Sheikah technology. The magic in each book makes it possible to master the knowledge contained within extre"&amp;"mely quickly but at the cost of immersing yourself in a lurid fantasy related to what you’re learning and how much you need to learn to master that skill. A chef hoping to learn a new dish might spend a few minutes having a fantasy about bending someone o"&amp;"ver his kitchen counter, while a student seeking knowledge of Sheikah artifacts might find herself trapped in an illusion of being ravished by machines. By the time the fantasy ends you’ll have gained whatever skills you were seeking, though if you’re una"&amp;"ble to grasp the knowledge you found you might only retain bits and pieces of it, requiring a great deal of studying to gain the full effect. As your adventure continues the library will automatically expand its contents to cover subjects unique to future"&amp;" worlds.")</f>
        <v>Hyrule Castle once had the finest and most extensive collection of literature and ancient knowledge in the entire kingdom. It’s been sitting directly beneath Ganon’s lair for a hundred years and its contents are now deeply corrupted but they’ve also become deeply magical, a treasure trove of priceless arcane tomes with knowledge of subjects ranging from architecture and cooking to magical theory and Sheikah technology. The magic in each book makes it possible to master the knowledge contained within extremely quickly but at the cost of immersing yourself in a lurid fantasy related to what you’re learning and how much you need to learn to master that skill. A chef hoping to learn a new dish might spend a few minutes having a fantasy about bending someone over his kitchen counter, while a student seeking knowledge of Sheikah artifacts might find herself trapped in an illusion of being ravished by machines. By the time the fantasy ends you’ll have gained whatever skills you were seeking, though if you’re unable to grasp the knowledge you found you might only retain bits and pieces of it, requiring a great deal of studying to gain the full effect. As your adventure continues the library will automatically expand its contents to cover subjects unique to future worlds.</v>
      </c>
      <c r="I27" s="5"/>
    </row>
    <row r="28" spans="1:9" ht="174" x14ac:dyDescent="0.25">
      <c r="A28" s="16"/>
      <c r="B28" s="17">
        <v>24</v>
      </c>
      <c r="C28" s="2" t="b">
        <f ca="1">IFERROR(__xludf.DUMMYFUNCTION("""COMPUTED_VALUE"""),FALSE)</f>
        <v>0</v>
      </c>
      <c r="D28" s="2">
        <f ca="1">IFERROR(__xludf.DUMMYFUNCTION("""COMPUTED_VALUE"""),400)</f>
        <v>400</v>
      </c>
      <c r="E28" s="2" t="str">
        <f ca="1">IFERROR(__xludf.DUMMYFUNCTION("""COMPUTED_VALUE"""),"Sextacy Power Plant")</f>
        <v>Sextacy Power Plant</v>
      </c>
      <c r="F28" s="2" t="str">
        <f ca="1">IFERROR(__xludf.DUMMYFUNCTION("""COMPUTED_VALUE"""),"The Otaku in 2200 AD")</f>
        <v>The Otaku in 2200 AD</v>
      </c>
      <c r="G28" s="2" t="str">
        <f ca="1">IFERROR(__xludf.DUMMYFUNCTION("""COMPUTED_VALUE"""),"Pocket Dimension")</f>
        <v>Pocket Dimension</v>
      </c>
      <c r="H28" s="2" t="str">
        <f ca="1">IFERROR(__xludf.DUMMYFUNCTION("""COMPUTED_VALUE"""),"What you have here is a room with multiple sex machines of varying types built into it. The room is hyper-optimized to extract all manner of sexual energies, including sextacy, and induces incredible amounts of pleasure in people who’ve been strapped into"&amp;" the machines in order to harvest the optimum levels of sextacy. It isn’t as effective as a Real Man would be, or an ordinary man with a good affinity for amplifying sextacy production, but it can still produce more than enough to power an entire base eve"&amp;"n from substandard women who can’t produce much sextacy. Its biggest advantage is that it can extract pleasure from multiple people simultaneously.
Yours, however, has another secret—if you strap your enemies into these machines, they are rendered helple"&amp;"ss, no matter how strong or capable they may be otherwise. ")</f>
        <v xml:space="preserve">What you have here is a room with multiple sex machines of varying types built into it. The room is hyper-optimized to extract all manner of sexual energies, including sextacy, and induces incredible amounts of pleasure in people who’ve been strapped into the machines in order to harvest the optimum levels of sextacy. It isn’t as effective as a Real Man would be, or an ordinary man with a good affinity for amplifying sextacy production, but it can still produce more than enough to power an entire base even from substandard women who can’t produce much sextacy. Its biggest advantage is that it can extract pleasure from multiple people simultaneously.
Yours, however, has another secret—if you strap your enemies into these machines, they are rendered helpless, no matter how strong or capable they may be otherwise. </v>
      </c>
      <c r="I28" s="5"/>
    </row>
    <row r="29" spans="1:9" ht="139.19999999999999" x14ac:dyDescent="0.25">
      <c r="A29" s="16"/>
      <c r="B29" s="17">
        <v>25</v>
      </c>
      <c r="C29" s="2" t="b">
        <f ca="1">IFERROR(__xludf.DUMMYFUNCTION("""COMPUTED_VALUE"""),FALSE)</f>
        <v>0</v>
      </c>
      <c r="D29" s="2">
        <f ca="1">IFERROR(__xludf.DUMMYFUNCTION("""COMPUTED_VALUE"""),400)</f>
        <v>400</v>
      </c>
      <c r="E29" s="2" t="str">
        <f ca="1">IFERROR(__xludf.DUMMYFUNCTION("""COMPUTED_VALUE"""),"Sexual Paradise")</f>
        <v>Sexual Paradise</v>
      </c>
      <c r="F29" s="2" t="str">
        <f ca="1">IFERROR(__xludf.DUMMYFUNCTION("""COMPUTED_VALUE"""),"Bricola")</f>
        <v>Bricola</v>
      </c>
      <c r="G29" s="2" t="str">
        <f ca="1">IFERROR(__xludf.DUMMYFUNCTION("""COMPUTED_VALUE"""),"Pocket Dimension")</f>
        <v>Pocket Dimension</v>
      </c>
      <c r="H29" s="2" t="str">
        <f ca="1">IFERROR(__xludf.DUMMYFUNCTION("""COMPUTED_VALUE"""),"I’m genuinely not sure whether this place is in the living world, somewhere in soul society, or is in a pocket dimension that they made, but welcome to your very own private island. It’s a picturesque tropical island perfect for summer vacation (or not, i"&amp;"f you’d rather something else) that lies smack dab in the middle of the ocean and thus far away from any potential distractions. It’s also, for all intents and purposes, a free use island - anyone who comes here abruptly becomes far more willing to do any"&amp;"thing with anyone until everyone involved dropped from exhaustion. The only real downside is that much like the rest of soul society, it’s two to three hundred years in the past. Hope you like mud huts?")</f>
        <v>I’m genuinely not sure whether this place is in the living world, somewhere in soul society, or is in a pocket dimension that they made, but welcome to your very own private island. It’s a picturesque tropical island perfect for summer vacation (or not, if you’d rather something else) that lies smack dab in the middle of the ocean and thus far away from any potential distractions. It’s also, for all intents and purposes, a free use island - anyone who comes here abruptly becomes far more willing to do anything with anyone until everyone involved dropped from exhaustion. The only real downside is that much like the rest of soul society, it’s two to three hundred years in the past. Hope you like mud huts?</v>
      </c>
      <c r="I29" s="5"/>
    </row>
    <row r="30" spans="1:9" ht="191.4" x14ac:dyDescent="0.25">
      <c r="A30" s="16"/>
      <c r="B30" s="17">
        <v>26</v>
      </c>
      <c r="C30" s="2" t="b">
        <f ca="1">IFERROR(__xludf.DUMMYFUNCTION("""COMPUTED_VALUE"""),FALSE)</f>
        <v>0</v>
      </c>
      <c r="D30" s="2">
        <f ca="1">IFERROR(__xludf.DUMMYFUNCTION("""COMPUTED_VALUE"""),500)</f>
        <v>500</v>
      </c>
      <c r="E30" s="2" t="str">
        <f ca="1">IFERROR(__xludf.DUMMYFUNCTION("""COMPUTED_VALUE"""),"Breeding Chamber")</f>
        <v>Breeding Chamber</v>
      </c>
      <c r="F30" s="2" t="str">
        <f ca="1">IFERROR(__xludf.DUMMYFUNCTION("""COMPUTED_VALUE"""),"World of Tentacles")</f>
        <v>World of Tentacles</v>
      </c>
      <c r="G30" s="2" t="str">
        <f ca="1">IFERROR(__xludf.DUMMYFUNCTION("""COMPUTED_VALUE"""),"Pocket Dimension")</f>
        <v>Pocket Dimension</v>
      </c>
      <c r="H30" s="2" t="str">
        <f ca="1">IFERROR(__xludf.DUMMYFUNCTION("""COMPUTED_VALUE"""),"The ultimate fate of a monster’s victims is to become broodmares for the creature’s spawn, and while some depraved souls might welcome such a fate, most will need some convincing first. This item is a hidden room in which to keep uncooperative mates until"&amp;" they become more docile. The Chamber's appearance can be anything from a living organism to a high-tech medical center, but in any form it is nearly impossible to escape from without outside assistance, even draining supernatural power from its prisoners"&amp;". Those who are held within this dungeon never suffer any of the normal issues of long-term restraint, as the chamber handles feeding, cleaning, and medical matters automatically, as if you were personally attending to each prisoner. You are able to contr"&amp;"ol a number of factors affecting the prisoners, including: rate of aging (from none to half normal); fertility (from none to guaranteed); side-effects of pregnancy on the mother (from none to fatal); and the rate at which pregnancy progresses (from indefi"&amp;"nite hold to twice normal speed).")</f>
        <v>The ultimate fate of a monster’s victims is to become broodmares for the creature’s spawn, and while some depraved souls might welcome such a fate, most will need some convincing first. This item is a hidden room in which to keep uncooperative mates until they become more docile. The Chamber's appearance can be anything from a living organism to a high-tech medical center, but in any form it is nearly impossible to escape from without outside assistance, even draining supernatural power from its prisoners. Those who are held within this dungeon never suffer any of the normal issues of long-term restraint, as the chamber handles feeding, cleaning, and medical matters automatically, as if you were personally attending to each prisoner. You are able to control a number of factors affecting the prisoners, including: rate of aging (from none to half normal); fertility (from none to guaranteed); side-effects of pregnancy on the mother (from none to fatal); and the rate at which pregnancy progresses (from indefinite hold to twice normal speed).</v>
      </c>
      <c r="I30" s="5"/>
    </row>
    <row r="31" spans="1:9" ht="261" x14ac:dyDescent="0.25">
      <c r="A31" s="16"/>
      <c r="B31" s="17">
        <v>27</v>
      </c>
      <c r="C31" s="2" t="b">
        <f ca="1">IFERROR(__xludf.DUMMYFUNCTION("""COMPUTED_VALUE"""),FALSE)</f>
        <v>0</v>
      </c>
      <c r="D31" s="2">
        <f ca="1">IFERROR(__xludf.DUMMYFUNCTION("""COMPUTED_VALUE"""),600)</f>
        <v>600</v>
      </c>
      <c r="E31" s="2" t="str">
        <f ca="1">IFERROR(__xludf.DUMMYFUNCTION("""COMPUTED_VALUE"""),"Ancient Tech Laboratory")</f>
        <v>Ancient Tech Laboratory</v>
      </c>
      <c r="F31" s="2" t="str">
        <f ca="1">IFERROR(__xludf.DUMMYFUNCTION("""COMPUTED_VALUE"""),"Breathless Wild")</f>
        <v>Breathless Wild</v>
      </c>
      <c r="G31" s="2" t="str">
        <f ca="1">IFERROR(__xludf.DUMMYFUNCTION("""COMPUTED_VALUE"""),"Pocket Dimension")</f>
        <v>Pocket Dimension</v>
      </c>
      <c r="H31" s="2" t="str">
        <f ca="1">IFERROR(__xludf.DUMMYFUNCTION("""COMPUTED_VALUE"""),"Purah and Robbie have gone to great lengths to defend what’s left of Hyrule from Ganon’s Nightmare and none of their creations exemplify their determination more than this structure. On the surface it appears to be an ordinary house but hidden in the base"&amp;"ment is a factory devoted to the recreation of ancient Sheikah weapons and artifacts, from bows and blades to brand new Guardians armed with a new security patch to repel corruption from Ganon’s power or others who may attempt to hijack them.
Unfortunate"&amp;"ly this factory requires much more than a mere blue flame to maintain its operations; instead, one or several volunteers (or prisoners!) must be strapped in to the lab’s factory-thrones and used as human generators, though the thrones do make the process "&amp;"just shy of mind-shatteringly pleasurable as they milk their sacrifices of their magical energy through an arsenal of mechanical methods. The quality and speed of the factory’s crafting also depends on how much magic the factory’s generators can feed it; "&amp;"Princess Zelda at the height of her power could fuel the creation of a brand new Guardian overnight, but a single ordinary hylian could barely produce spare parts in that time.")</f>
        <v>Purah and Robbie have gone to great lengths to defend what’s left of Hyrule from Ganon’s Nightmare and none of their creations exemplify their determination more than this structure. On the surface it appears to be an ordinary house but hidden in the basement is a factory devoted to the recreation of ancient Sheikah weapons and artifacts, from bows and blades to brand new Guardians armed with a new security patch to repel corruption from Ganon’s power or others who may attempt to hijack them.
Unfortunately this factory requires much more than a mere blue flame to maintain its operations; instead, one or several volunteers (or prisoners!) must be strapped in to the lab’s factory-thrones and used as human generators, though the thrones do make the process just shy of mind-shatteringly pleasurable as they milk their sacrifices of their magical energy through an arsenal of mechanical methods. The quality and speed of the factory’s crafting also depends on how much magic the factory’s generators can feed it; Princess Zelda at the height of her power could fuel the creation of a brand new Guardian overnight, but a single ordinary hylian could barely produce spare parts in that time.</v>
      </c>
      <c r="I31" s="5"/>
    </row>
    <row r="32" spans="1:9" ht="191.4" x14ac:dyDescent="0.25">
      <c r="A32" s="16"/>
      <c r="B32" s="17">
        <v>28</v>
      </c>
      <c r="C32" s="2" t="b">
        <f ca="1">IFERROR(__xludf.DUMMYFUNCTION("""COMPUTED_VALUE"""),FALSE)</f>
        <v>0</v>
      </c>
      <c r="D32" s="2">
        <f ca="1">IFERROR(__xludf.DUMMYFUNCTION("""COMPUTED_VALUE"""),600)</f>
        <v>600</v>
      </c>
      <c r="E32" s="2" t="str">
        <f ca="1">IFERROR(__xludf.DUMMYFUNCTION("""COMPUTED_VALUE"""),"Cauldron of Lust")</f>
        <v>Cauldron of Lust</v>
      </c>
      <c r="F32" s="2" t="str">
        <f ca="1">IFERROR(__xludf.DUMMYFUNCTION("""COMPUTED_VALUE"""),"The Lamuros Of Seven Colors")</f>
        <v>The Lamuros Of Seven Colors</v>
      </c>
      <c r="G32" s="2" t="str">
        <f ca="1">IFERROR(__xludf.DUMMYFUNCTION("""COMPUTED_VALUE"""),"Pocket Dimension")</f>
        <v>Pocket Dimension</v>
      </c>
      <c r="H32" s="2" t="str">
        <f ca="1">IFERROR(__xludf.DUMMYFUNCTION("""COMPUTED_VALUE"""),"Demons draw power from sex. That much should have been painfully obvious by now. High class demons can even consume light energy, and as a high quality energy to add insult to injury. But this... A bit over the top, don’t you think? A small dungeon with a"&amp;" pit in the lowest levels, seemingly coated with every from of lustful fluid known to man. As you go about your conquest, it will slowly fill up. Not terribly fast, but eventually. Maybe a few hundred years. Or you could sit your ass down nearby and turn "&amp;"a few women into farms, pumping them full of cum and draining them of their energy. If you manage to fill it up, the pit acts as an amplifier, releasing a burst of your poison of the heart. How far does it reach? Across the entire world. Drop enough conce"&amp;"ntrated lust in here, and you can extend your conquest across the entire world. Or, if you prefer, you can use it at face value, treating it as a storage system for energy even after you’ve drank your fill from your slaves. Maybe throw someone in to drive"&amp;" them insane with lust?")</f>
        <v>Demons draw power from sex. That much should have been painfully obvious by now. High class demons can even consume light energy, and as a high quality energy to add insult to injury. But this... A bit over the top, don’t you think? A small dungeon with a pit in the lowest levels, seemingly coated with every from of lustful fluid known to man. As you go about your conquest, it will slowly fill up. Not terribly fast, but eventually. Maybe a few hundred years. Or you could sit your ass down nearby and turn a few women into farms, pumping them full of cum and draining them of their energy. If you manage to fill it up, the pit acts as an amplifier, releasing a burst of your poison of the heart. How far does it reach? Across the entire world. Drop enough concentrated lust in here, and you can extend your conquest across the entire world. Or, if you prefer, you can use it at face value, treating it as a storage system for energy even after you’ve drank your fill from your slaves. Maybe throw someone in to drive them insane with lust?</v>
      </c>
      <c r="I32" s="5"/>
    </row>
    <row r="33" spans="1:9" ht="278.39999999999998" x14ac:dyDescent="0.25">
      <c r="A33" s="16"/>
      <c r="B33" s="17">
        <v>29</v>
      </c>
      <c r="C33" s="2" t="b">
        <f ca="1">IFERROR(__xludf.DUMMYFUNCTION("""COMPUTED_VALUE"""),FALSE)</f>
        <v>0</v>
      </c>
      <c r="D33" s="2">
        <f ca="1">IFERROR(__xludf.DUMMYFUNCTION("""COMPUTED_VALUE"""),600)</f>
        <v>600</v>
      </c>
      <c r="E33" s="2" t="str">
        <f ca="1">IFERROR(__xludf.DUMMYFUNCTION("""COMPUTED_VALUE"""),"Dungeon of Pain and Pleasure")</f>
        <v>Dungeon of Pain and Pleasure</v>
      </c>
      <c r="F33" s="2" t="str">
        <f ca="1">IFERROR(__xludf.DUMMYFUNCTION("""COMPUTED_VALUE"""),"Bible Black")</f>
        <v>Bible Black</v>
      </c>
      <c r="G33" s="2" t="str">
        <f ca="1">IFERROR(__xludf.DUMMYFUNCTION("""COMPUTED_VALUE"""),"Pocket Dimension")</f>
        <v>Pocket Dimension</v>
      </c>
      <c r="H33" s="2" t="str">
        <f ca="1">IFERROR(__xludf.DUMMYFUNCTION("""COMPUTED_VALUE"""),"A room that can be attached to any property you own or your warehouse, this Dungeon is quite versatile. In a positive light, it can be used as a sex dungeon for kinky bondage play. In this mode, it comes with any and all tools used for BDSM and are stored"&amp;" on wall racks for ease of access. It is also furnished with any type of Bondage furniture you can think of and more. Any individuals in this room will find their pleasure amplified and any pain caused will become pleasurable.
In a negative light, it c"&amp;"an actually be used for brutal torture. In this state, it comes with torture devices both ancient and modern that are stored upon wall racks for ease of access. It may also be furnished with any large torture device you may conceive. From Judas Cradles to"&amp;" Racks to even large water basins for water torture. Any individual tortured in this room will become docile and will answer any of your questions truthfully and without any tricks. Of course, they’ll only tell you once you’ve had your fill of sadism.
"&amp;"In order to switch between these modes, all you need to do is close the door and twist a little switch on the doorknob. This will convert the interior into either mode: Sex Dungeon or Torture Room.
")</f>
        <v xml:space="preserve">A room that can be attached to any property you own or your warehouse, this Dungeon is quite versatile. In a positive light, it can be used as a sex dungeon for kinky bondage play. In this mode, it comes with any and all tools used for BDSM and are stored on wall racks for ease of access. It is also furnished with any type of Bondage furniture you can think of and more. Any individuals in this room will find their pleasure amplified and any pain caused will become pleasurable.
In a negative light, it can actually be used for brutal torture. In this state, it comes with torture devices both ancient and modern that are stored upon wall racks for ease of access. It may also be furnished with any large torture device you may conceive. From Judas Cradles to Racks to even large water basins for water torture. Any individual tortured in this room will become docile and will answer any of your questions truthfully and without any tricks. Of course, they’ll only tell you once you’ve had your fill of sadism.
In order to switch between these modes, all you need to do is close the door and twist a little switch on the doorknob. This will convert the interior into either mode: Sex Dungeon or Torture Room.
</v>
      </c>
      <c r="I33" s="5"/>
    </row>
    <row r="34" spans="1:9" ht="156.6" x14ac:dyDescent="0.25">
      <c r="A34" s="16"/>
      <c r="B34" s="17">
        <v>30</v>
      </c>
      <c r="C34" s="2" t="b">
        <f ca="1">IFERROR(__xludf.DUMMYFUNCTION("""COMPUTED_VALUE"""),FALSE)</f>
        <v>0</v>
      </c>
      <c r="D34" s="2">
        <f ca="1">IFERROR(__xludf.DUMMYFUNCTION("""COMPUTED_VALUE"""),600)</f>
        <v>600</v>
      </c>
      <c r="E34" s="2" t="str">
        <f ca="1">IFERROR(__xludf.DUMMYFUNCTION("""COMPUTED_VALUE"""),"Elrk Rape Prison")</f>
        <v>Elrk Rape Prison</v>
      </c>
      <c r="F34" s="2" t="str">
        <f ca="1">IFERROR(__xludf.DUMMYFUNCTION("""COMPUTED_VALUE"""),"Elrk")</f>
        <v>Elrk</v>
      </c>
      <c r="G34" s="2" t="str">
        <f ca="1">IFERROR(__xludf.DUMMYFUNCTION("""COMPUTED_VALUE"""),"Pocket Dimension")</f>
        <v>Pocket Dimension</v>
      </c>
      <c r="H34" s="2" t="str">
        <f ca="1">IFERROR(__xludf.DUMMYFUNCTION("""COMPUTED_VALUE"""),"While each Elrk village isn’t exactly as well put together as a more educated race’s home might be, they take no chances and spare no expense when it comes to keeping their captives, well, captive. This giant underground complex is designed for two things"&amp;". One, to not only hold the prisoners, but to do so in a way that prevents them from potentially harming themselves - or their unborn children, if pregnant. And two, to also hold them in a way that leads to easy acess for the Elrk to keep raping them. Sim"&amp;"ply put, it’s geared entirely towards forcing the prisoners to be readily available to horny Elrks and to keep them pregnant as much as possible. There’s also a near infinite supply of some sort of corn mash, everything an expecting mother might need. If "&amp;"you prefer, you can have a more normal prison, or put your own spin on it depending on what race you might be.")</f>
        <v>While each Elrk village isn’t exactly as well put together as a more educated race’s home might be, they take no chances and spare no expense when it comes to keeping their captives, well, captive. This giant underground complex is designed for two things. One, to not only hold the prisoners, but to do so in a way that prevents them from potentially harming themselves - or their unborn children, if pregnant. And two, to also hold them in a way that leads to easy acess for the Elrk to keep raping them. Simply put, it’s geared entirely towards forcing the prisoners to be readily available to horny Elrks and to keep them pregnant as much as possible. There’s also a near infinite supply of some sort of corn mash, everything an expecting mother might need. If you prefer, you can have a more normal prison, or put your own spin on it depending on what race you might be.</v>
      </c>
      <c r="I34" s="5"/>
    </row>
    <row r="35" spans="1:9" ht="191.4" x14ac:dyDescent="0.25">
      <c r="A35" s="16"/>
      <c r="B35" s="17">
        <v>31</v>
      </c>
      <c r="C35" s="2" t="b">
        <f ca="1">IFERROR(__xludf.DUMMYFUNCTION("""COMPUTED_VALUE"""),FALSE)</f>
        <v>0</v>
      </c>
      <c r="D35" s="2">
        <f ca="1">IFERROR(__xludf.DUMMYFUNCTION("""COMPUTED_VALUE"""),600)</f>
        <v>600</v>
      </c>
      <c r="E35" s="2" t="str">
        <f ca="1">IFERROR(__xludf.DUMMYFUNCTION("""COMPUTED_VALUE"""),"Harem Housing")</f>
        <v>Harem Housing</v>
      </c>
      <c r="F35" s="2" t="str">
        <f ca="1">IFERROR(__xludf.DUMMYFUNCTION("""COMPUTED_VALUE"""),"Generic: Hentai World")</f>
        <v>Generic: Hentai World</v>
      </c>
      <c r="G35" s="2" t="str">
        <f ca="1">IFERROR(__xludf.DUMMYFUNCTION("""COMPUTED_VALUE"""),"Pocket Dimension")</f>
        <v>Pocket Dimension</v>
      </c>
      <c r="H35" s="2" t="str">
        <f ca="1">IFERROR(__xludf.DUMMYFUNCTION("""COMPUTED_VALUE"""),"Harem Protagonists are going to pick up a lot of girls as their chain goes on, and sooner or later you’re going to need to think about living space. Similar to the Hedonist’s Bachelor Pad, this house looks like an ordinary middle-class house on the outsid"&amp;"e and as long as it’s just you and one or two other people living there that’s all it’ll be. But as more people start living there and more space is needed the house will expand to accommodate them, adding new bedrooms, bathrooms, and other necessities an"&amp;"d growing in size so that the house never feels too cramped or too empty. Each member of your harem receives a private room (which they can combine if they want to share living space) as well as empty common space for any hobbies they might wish to pursue"&amp;" (within reason: some hobbies such as mecha or starship design will require additional facilities to properly support). There is no limit to the number of residents that this item can accommodate, it simply becomes bigger on the inside to greater and grea"&amp;"ter degrees.")</f>
        <v>Harem Protagonists are going to pick up a lot of girls as their chain goes on, and sooner or later you’re going to need to think about living space. Similar to the Hedonist’s Bachelor Pad, this house looks like an ordinary middle-class house on the outside and as long as it’s just you and one or two other people living there that’s all it’ll be. But as more people start living there and more space is needed the house will expand to accommodate them, adding new bedrooms, bathrooms, and other necessities and growing in size so that the house never feels too cramped or too empty. Each member of your harem receives a private room (which they can combine if they want to share living space) as well as empty common space for any hobbies they might wish to pursue (within reason: some hobbies such as mecha or starship design will require additional facilities to properly support). There is no limit to the number of residents that this item can accommodate, it simply becomes bigger on the inside to greater and greater degrees.</v>
      </c>
      <c r="I35" s="5"/>
    </row>
    <row r="36" spans="1:9" ht="174" x14ac:dyDescent="0.25">
      <c r="A36" s="16"/>
      <c r="B36" s="17">
        <v>32</v>
      </c>
      <c r="C36" s="2" t="b">
        <f ca="1">IFERROR(__xludf.DUMMYFUNCTION("""COMPUTED_VALUE"""),FALSE)</f>
        <v>0</v>
      </c>
      <c r="D36" s="2">
        <f ca="1">IFERROR(__xludf.DUMMYFUNCTION("""COMPUTED_VALUE"""),600)</f>
        <v>600</v>
      </c>
      <c r="E36" s="2" t="str">
        <f ca="1">IFERROR(__xludf.DUMMYFUNCTION("""COMPUTED_VALUE"""),"King's Domain")</f>
        <v>King's Domain</v>
      </c>
      <c r="F36" s="2" t="str">
        <f ca="1">IFERROR(__xludf.DUMMYFUNCTION("""COMPUTED_VALUE"""),"Fate/Whore Order")</f>
        <v>Fate/Whore Order</v>
      </c>
      <c r="G36" s="2" t="str">
        <f ca="1">IFERROR(__xludf.DUMMYFUNCTION("""COMPUTED_VALUE"""),"Pocket Dimension")</f>
        <v>Pocket Dimension</v>
      </c>
      <c r="H36" s="2" t="str">
        <f ca="1">IFERROR(__xludf.DUMMYFUNCTION("""COMPUTED_VALUE"""),"Your quarters here at Chaldea are far more opulent than those of the other servants, much more a royal bedroom fit for a king than what even the Master enjoys. Between the bed large enough to host an orgy, the luxurious bathroom, and every extravagant lux"&amp;"ury in between, this royal apartment could even meet Gilgamesh’s standards. But far more important than the fittings, this room is your domain, a place where your word is law and visitors must abide by your decree. To others this simply seems like common "&amp;"sense; why wouldn’t they strip naked and present themselves for inspection, or offer their holes to anyone who asks them for sexual favors, unless they are your enemies? Moreover you’re able to spread your domain far beyond this room via sexual conquest. "&amp;"Gilgamesh once fucked every bride and cucked every husband in Uruk, and if you did the same you could spread your dominance across a whole city or even further.")</f>
        <v>Your quarters here at Chaldea are far more opulent than those of the other servants, much more a royal bedroom fit for a king than what even the Master enjoys. Between the bed large enough to host an orgy, the luxurious bathroom, and every extravagant luxury in between, this royal apartment could even meet Gilgamesh’s standards. But far more important than the fittings, this room is your domain, a place where your word is law and visitors must abide by your decree. To others this simply seems like common sense; why wouldn’t they strip naked and present themselves for inspection, or offer their holes to anyone who asks them for sexual favors, unless they are your enemies? Moreover you’re able to spread your domain far beyond this room via sexual conquest. Gilgamesh once fucked every bride and cucked every husband in Uruk, and if you did the same you could spread your dominance across a whole city or even further.</v>
      </c>
      <c r="I36" s="5"/>
    </row>
    <row r="37" spans="1:9" ht="87" x14ac:dyDescent="0.25">
      <c r="A37" s="16"/>
      <c r="B37" s="17">
        <v>33</v>
      </c>
      <c r="C37" s="2" t="b">
        <f ca="1">IFERROR(__xludf.DUMMYFUNCTION("""COMPUTED_VALUE"""),FALSE)</f>
        <v>0</v>
      </c>
      <c r="D37" s="2">
        <f ca="1">IFERROR(__xludf.DUMMYFUNCTION("""COMPUTED_VALUE"""),600)</f>
        <v>600</v>
      </c>
      <c r="E37" s="2" t="str">
        <f ca="1">IFERROR(__xludf.DUMMYFUNCTION("""COMPUTED_VALUE"""),"Mirror Pool")</f>
        <v>Mirror Pool</v>
      </c>
      <c r="F37" s="2" t="str">
        <f ca="1">IFERROR(__xludf.DUMMYFUNCTION("""COMPUTED_VALUE"""),"Erotic Equestria")</f>
        <v>Erotic Equestria</v>
      </c>
      <c r="G37" s="2" t="str">
        <f ca="1">IFERROR(__xludf.DUMMYFUNCTION("""COMPUTED_VALUE"""),"Pocket Dimension")</f>
        <v>Pocket Dimension</v>
      </c>
      <c r="H37" s="2" t="str">
        <f ca="1">IFERROR(__xludf.DUMMYFUNCTION("""COMPUTED_VALUE"""),"This pool of deeply reflective water is now yours. What does it do? It reflects, obviously. It can create dopplegangers of people, the spitting mirror image, and can even invert such things as their morals, abilities, personalities and more! Unfortunately"&amp;" the copies it makes are a little frail and don’t last more than a day at a time on their own, but with careful study and experimentation, you could easily learn to extend this.")</f>
        <v>This pool of deeply reflective water is now yours. What does it do? It reflects, obviously. It can create dopplegangers of people, the spitting mirror image, and can even invert such things as their morals, abilities, personalities and more! Unfortunately the copies it makes are a little frail and don’t last more than a day at a time on their own, but with careful study and experimentation, you could easily learn to extend this.</v>
      </c>
      <c r="I37" s="5"/>
    </row>
    <row r="38" spans="1:9" ht="156.6" x14ac:dyDescent="0.25">
      <c r="A38" s="16"/>
      <c r="B38" s="17">
        <v>34</v>
      </c>
      <c r="C38" s="2" t="b">
        <f ca="1">IFERROR(__xludf.DUMMYFUNCTION("""COMPUTED_VALUE"""),FALSE)</f>
        <v>0</v>
      </c>
      <c r="D38" s="2">
        <f ca="1">IFERROR(__xludf.DUMMYFUNCTION("""COMPUTED_VALUE"""),600)</f>
        <v>600</v>
      </c>
      <c r="E38" s="2" t="str">
        <f ca="1">IFERROR(__xludf.DUMMYFUNCTION("""COMPUTED_VALUE"""),"Sex Dungeon")</f>
        <v>Sex Dungeon</v>
      </c>
      <c r="F38" s="2" t="str">
        <f ca="1">IFERROR(__xludf.DUMMYFUNCTION("""COMPUTED_VALUE"""),"Naruto Blacked")</f>
        <v>Naruto Blacked</v>
      </c>
      <c r="G38" s="2" t="str">
        <f ca="1">IFERROR(__xludf.DUMMYFUNCTION("""COMPUTED_VALUE"""),"Pocket Dimension")</f>
        <v>Pocket Dimension</v>
      </c>
      <c r="H38" s="2" t="str">
        <f ca="1">IFERROR(__xludf.DUMMYFUNCTION("""COMPUTED_VALUE"""),"Like any good ninja village you’ve got a space set aside for torture and interrogation, though you have far different methods than a typical ANBU T&amp;I division. This subterranean lair is a well-hidden prison capable of holding any ninja or kunoichi less po"&amp;"werful than yourself almost indefinitely. Once they’ve been caught and brought here there’s not much hope of escape without outside help, and the lair is sufficiently hidden to make that very difficult for most rescue parties. While they’re in your care t"&amp;"hey’re effectively powerless to resist anything you might want to do to them, with an array of seals preventing them from using any of their chakra or magic-based abilities. Naturally this dungeon is also furnished with substantial quantities of BDSM gear"&amp;" and any other mundane equipment you might need to keep your prisoners occupied.")</f>
        <v>Like any good ninja village you’ve got a space set aside for torture and interrogation, though you have far different methods than a typical ANBU T&amp;I division. This subterranean lair is a well-hidden prison capable of holding any ninja or kunoichi less powerful than yourself almost indefinitely. Once they’ve been caught and brought here there’s not much hope of escape without outside help, and the lair is sufficiently hidden to make that very difficult for most rescue parties. While they’re in your care they’re effectively powerless to resist anything you might want to do to them, with an array of seals preventing them from using any of their chakra or magic-based abilities. Naturally this dungeon is also furnished with substantial quantities of BDSM gear and any other mundane equipment you might need to keep your prisoners occupied.</v>
      </c>
      <c r="I38" s="5"/>
    </row>
    <row r="39" spans="1:9" ht="156.6" x14ac:dyDescent="0.25">
      <c r="A39" s="16"/>
      <c r="B39" s="17">
        <v>35</v>
      </c>
      <c r="C39" s="2" t="b">
        <f ca="1">IFERROR(__xludf.DUMMYFUNCTION("""COMPUTED_VALUE"""),FALSE)</f>
        <v>0</v>
      </c>
      <c r="D39" s="2">
        <f ca="1">IFERROR(__xludf.DUMMYFUNCTION("""COMPUTED_VALUE"""),600)</f>
        <v>600</v>
      </c>
      <c r="E39" s="2" t="str">
        <f ca="1">IFERROR(__xludf.DUMMYFUNCTION("""COMPUTED_VALUE"""),"Shrine of Ressurection")</f>
        <v>Shrine of Ressurection</v>
      </c>
      <c r="F39" s="2" t="str">
        <f ca="1">IFERROR(__xludf.DUMMYFUNCTION("""COMPUTED_VALUE"""),"Breathless Wild")</f>
        <v>Breathless Wild</v>
      </c>
      <c r="G39" s="2" t="str">
        <f ca="1">IFERROR(__xludf.DUMMYFUNCTION("""COMPUTED_VALUE"""),"Pocket Dimension")</f>
        <v>Pocket Dimension</v>
      </c>
      <c r="H39" s="2" t="str">
        <f ca="1">IFERROR(__xludf.DUMMYFUNCTION("""COMPUTED_VALUE"""),"The ancient Shiekah made many technomagical wonders but few proved as vital to Hyrule’s ultimate fate as the Shrine of Resurrection, savior of Zelda’s life in one timeline and Link’s in another. You’ve somehow acquired either the shrine itself or a long-f"&amp;"orgotten prototype of similar ability. Anyone placed inside will be healed of even the most grievous injuries or spiritual corruption: even death can be thwarted in a mere decade, though no others will be able to use it in that time. Apart from healing bo"&amp;"dies and souls, the shrine’s mechanisms can also remodel them to some extent as it did with Zelda: given just a few hours it can grant its occupant a body like an adonis or amazonwhile also allowing all kinds of body modification when in the hands of a sk"&amp;"illed technician. A far more extensive stay can take their beauty to the edge of divinity.")</f>
        <v>The ancient Shiekah made many technomagical wonders but few proved as vital to Hyrule’s ultimate fate as the Shrine of Resurrection, savior of Zelda’s life in one timeline and Link’s in another. You’ve somehow acquired either the shrine itself or a long-forgotten prototype of similar ability. Anyone placed inside will be healed of even the most grievous injuries or spiritual corruption: even death can be thwarted in a mere decade, though no others will be able to use it in that time. Apart from healing bodies and souls, the shrine’s mechanisms can also remodel them to some extent as it did with Zelda: given just a few hours it can grant its occupant a body like an adonis or amazonwhile also allowing all kinds of body modification when in the hands of a skilled technician. A far more extensive stay can take their beauty to the edge of divinity.</v>
      </c>
      <c r="I39" s="5"/>
    </row>
    <row r="40" spans="1:9" ht="87" x14ac:dyDescent="0.25">
      <c r="A40" s="16"/>
      <c r="B40" s="17">
        <v>36</v>
      </c>
      <c r="C40" s="2" t="b">
        <f ca="1">IFERROR(__xludf.DUMMYFUNCTION("""COMPUTED_VALUE"""),FALSE)</f>
        <v>0</v>
      </c>
      <c r="D40" s="2">
        <f ca="1">IFERROR(__xludf.DUMMYFUNCTION("""COMPUTED_VALUE"""),600)</f>
        <v>600</v>
      </c>
      <c r="E40" s="2" t="str">
        <f ca="1">IFERROR(__xludf.DUMMYFUNCTION("""COMPUTED_VALUE"""),"The Lewd Store")</f>
        <v>The Lewd Store</v>
      </c>
      <c r="F40" s="2" t="str">
        <f ca="1">IFERROR(__xludf.DUMMYFUNCTION("""COMPUTED_VALUE"""),"Nyakumi")</f>
        <v>Nyakumi</v>
      </c>
      <c r="G40" s="2" t="str">
        <f ca="1">IFERROR(__xludf.DUMMYFUNCTION("""COMPUTED_VALUE"""),"Pocket Dimension")</f>
        <v>Pocket Dimension</v>
      </c>
      <c r="H40" s="2" t="str">
        <f ca="1">IFERROR(__xludf.DUMMYFUNCTION("""COMPUTED_VALUE"""),"For a fair price, you can buy all sorts of things from this store to make your life extra lewd. From condoms, to lewd potions, to sex toys and porn. Its proprietor is extremely powerful and is unaffected by your perks, and while they can be befriended, th"&amp;"ey will not intervene in 'your journey'. They will increase their inventory in response to the worlds you visit and the perks you gain.")</f>
        <v>For a fair price, you can buy all sorts of things from this store to make your life extra lewd. From condoms, to lewd potions, to sex toys and porn. Its proprietor is extremely powerful and is unaffected by your perks, and while they can be befriended, they will not intervene in 'your journey'. They will increase their inventory in response to the worlds you visit and the perks you gain.</v>
      </c>
      <c r="I40" s="5"/>
    </row>
    <row r="41" spans="1:9" ht="17.399999999999999" x14ac:dyDescent="0.25">
      <c r="A41" s="16"/>
      <c r="B41" s="17"/>
      <c r="C41" s="2" t="b">
        <f ca="1">IFERROR(__xludf.DUMMYFUNCTION("""COMPUTED_VALUE"""),TRUE)</f>
        <v>1</v>
      </c>
      <c r="D41" s="2">
        <f ca="1">IFERROR(__xludf.DUMMYFUNCTION("""COMPUTED_VALUE"""),-100)</f>
        <v>-100</v>
      </c>
      <c r="E41" s="2" t="str">
        <f ca="1">IFERROR(__xludf.DUMMYFUNCTION("""COMPUTED_VALUE"""),"Purchased Perks")</f>
        <v>Purchased Perks</v>
      </c>
      <c r="F41" s="2">
        <f ca="1">IFERROR(__xludf.DUMMYFUNCTION("""COMPUTED_VALUE"""),7)</f>
        <v>7</v>
      </c>
      <c r="G41" s="2" t="str">
        <f ca="1">IFERROR(__xludf.DUMMYFUNCTION("""COMPUTED_VALUE"""),"Pocket Dimension")</f>
        <v>Pocket Dimension</v>
      </c>
      <c r="H41" s="2"/>
      <c r="I41" s="5"/>
    </row>
    <row r="42" spans="1:9" ht="261" x14ac:dyDescent="0.25">
      <c r="A42" s="16"/>
      <c r="B42" s="17"/>
      <c r="C42" s="2" t="b">
        <f ca="1">IFERROR(__xludf.DUMMYFUNCTION("""COMPUTED_VALUE"""),TRUE)</f>
        <v>1</v>
      </c>
      <c r="D42" s="2">
        <f ca="1">IFERROR(__xludf.DUMMYFUNCTION("""COMPUTED_VALUE"""),400)</f>
        <v>400</v>
      </c>
      <c r="E42" s="2" t="str">
        <f ca="1">IFERROR(__xludf.DUMMYFUNCTION("""COMPUTED_VALUE"""),"Wanton Workshop")</f>
        <v>Wanton Workshop</v>
      </c>
      <c r="F42" s="2" t="str">
        <f ca="1">IFERROR(__xludf.DUMMYFUNCTION("""COMPUTED_VALUE"""),"World of Cybersluts")</f>
        <v>World of Cybersluts</v>
      </c>
      <c r="G42" s="2" t="str">
        <f ca="1">IFERROR(__xludf.DUMMYFUNCTION("""COMPUTED_VALUE"""),"Pocket Dimension")</f>
        <v>Pocket Dimension</v>
      </c>
      <c r="H42" s="2" t="str">
        <f ca="1">IFERROR(__xludf.DUMMYFUNCTION("""COMPUTED_VALUE"""),"While you could just build things in your garage, having an actual workplace will get you much further. This here is a serious workshop, stocked with all the top-of-the-line tools and machinery you need to build, repair, and maintain just about any piece "&amp;"of tech. There’s even a small operating theater, specialized for implanting and maintaining cybernetics.
But the real selling point of the workshop is that it can automatically print out and assemble any technology you have the blueprints for, allowing f"&amp;"or easy mass production. By default the blueprints for any other gear or cyberware bought here are already included as well. 
There’s just one small thing you might want to keep in mind. If you try to have the workshop produce something that isn’t alread"&amp;"y sexual in some way, it’ll alter the plans slightly on its own to put some perverted spin on it. For example, those human level androids could come out as sexbots intent on seducing its owners, while power armour might keep its wearer in a constant state"&amp;" of arousal or have sextoys built-in. But as a bonus, along with the finished product it also provides a new set of blueprints for this perverse variation.")</f>
        <v>While you could just build things in your garage, having an actual workplace will get you much further. This here is a serious workshop, stocked with all the top-of-the-line tools and machinery you need to build, repair, and maintain just about any piece of tech. There’s even a small operating theater, specialized for implanting and maintaining cybernetics.
But the real selling point of the workshop is that it can automatically print out and assemble any technology you have the blueprints for, allowing for easy mass production. By default the blueprints for any other gear or cyberware bought here are already included as well. 
There’s just one small thing you might want to keep in mind. If you try to have the workshop produce something that isn’t already sexual in some way, it’ll alter the plans slightly on its own to put some perverted spin on it. For example, those human level androids could come out as sexbots intent on seducing its owners, while power armour might keep its wearer in a constant state of arousal or have sextoys built-in. But as a bonus, along with the finished product it also provides a new set of blueprints for this perverse variation.</v>
      </c>
      <c r="I42" s="5"/>
    </row>
    <row r="43" spans="1:9" ht="17.399999999999999" x14ac:dyDescent="0.25">
      <c r="A43" s="16"/>
      <c r="B43" s="17"/>
      <c r="C43" s="2"/>
      <c r="D43" s="2"/>
      <c r="E43" s="2"/>
      <c r="F43" s="2"/>
      <c r="G43" s="2"/>
      <c r="H43" s="2"/>
      <c r="I43" s="5"/>
    </row>
    <row r="44" spans="1:9" ht="17.399999999999999" x14ac:dyDescent="0.25">
      <c r="A44" s="16"/>
      <c r="B44" s="17"/>
      <c r="C44" s="2"/>
      <c r="D44" s="2"/>
      <c r="E44" s="2"/>
      <c r="F44" s="2"/>
      <c r="G44" s="2"/>
      <c r="H44" s="2"/>
      <c r="I44" s="5"/>
    </row>
    <row r="45" spans="1:9" ht="17.399999999999999" x14ac:dyDescent="0.25">
      <c r="A45" s="16"/>
      <c r="B45" s="17"/>
      <c r="C45" s="2"/>
      <c r="D45" s="2"/>
      <c r="E45" s="2"/>
      <c r="F45" s="2"/>
      <c r="G45" s="2"/>
      <c r="H45" s="2"/>
      <c r="I45" s="5"/>
    </row>
    <row r="46" spans="1:9" ht="17.399999999999999" x14ac:dyDescent="0.25">
      <c r="A46" s="16"/>
      <c r="B46" s="17"/>
      <c r="C46" s="2"/>
      <c r="D46" s="2"/>
      <c r="E46" s="2"/>
      <c r="F46" s="2"/>
      <c r="G46" s="2"/>
      <c r="H46" s="2"/>
      <c r="I46" s="5"/>
    </row>
    <row r="47" spans="1:9" ht="17.399999999999999" x14ac:dyDescent="0.25">
      <c r="A47" s="16"/>
      <c r="B47" s="17"/>
      <c r="C47" s="2"/>
      <c r="D47" s="2"/>
      <c r="E47" s="2"/>
      <c r="F47" s="2"/>
      <c r="G47" s="2"/>
      <c r="H47" s="2"/>
      <c r="I47" s="5"/>
    </row>
    <row r="48" spans="1:9" ht="17.399999999999999" x14ac:dyDescent="0.25">
      <c r="A48" s="16"/>
      <c r="B48" s="17"/>
      <c r="C48" s="2"/>
      <c r="D48" s="2"/>
      <c r="E48" s="2"/>
      <c r="F48" s="2"/>
      <c r="G48" s="2"/>
      <c r="H48" s="2"/>
      <c r="I48" s="5"/>
    </row>
    <row r="49" spans="1:9" ht="17.399999999999999" x14ac:dyDescent="0.25">
      <c r="A49" s="16"/>
      <c r="B49" s="17"/>
      <c r="C49" s="2"/>
      <c r="D49" s="2"/>
      <c r="E49" s="2"/>
      <c r="F49" s="2"/>
      <c r="G49" s="2"/>
      <c r="H49" s="2"/>
      <c r="I49" s="5"/>
    </row>
    <row r="50" spans="1:9" ht="17.399999999999999" x14ac:dyDescent="0.25">
      <c r="A50" s="16"/>
      <c r="B50" s="17"/>
      <c r="C50" s="2"/>
      <c r="D50" s="2"/>
      <c r="E50" s="2"/>
      <c r="F50" s="2"/>
      <c r="G50" s="2"/>
      <c r="H50" s="2"/>
      <c r="I50" s="5"/>
    </row>
    <row r="51" spans="1:9" ht="17.399999999999999" x14ac:dyDescent="0.25">
      <c r="A51" s="16"/>
      <c r="B51" s="17"/>
      <c r="C51" s="2"/>
      <c r="D51" s="2"/>
      <c r="E51" s="2"/>
      <c r="F51" s="2"/>
      <c r="G51" s="2"/>
      <c r="H51" s="2"/>
      <c r="I51" s="5"/>
    </row>
    <row r="52" spans="1:9" ht="17.399999999999999" x14ac:dyDescent="0.25">
      <c r="A52" s="16"/>
      <c r="B52" s="17"/>
      <c r="C52" s="2"/>
      <c r="D52" s="2"/>
      <c r="E52" s="2"/>
      <c r="F52" s="2"/>
      <c r="G52" s="2"/>
      <c r="H52" s="2"/>
      <c r="I52" s="5"/>
    </row>
    <row r="53" spans="1:9" ht="17.399999999999999" x14ac:dyDescent="0.25">
      <c r="A53" s="16"/>
      <c r="B53" s="17"/>
      <c r="C53" s="2"/>
      <c r="D53" s="2"/>
      <c r="E53" s="2"/>
      <c r="F53" s="2"/>
      <c r="G53" s="2"/>
      <c r="H53" s="2"/>
      <c r="I53" s="5"/>
    </row>
    <row r="54" spans="1:9" ht="17.399999999999999" x14ac:dyDescent="0.25">
      <c r="A54" s="16"/>
      <c r="B54" s="17"/>
      <c r="C54" s="2"/>
      <c r="D54" s="2"/>
      <c r="E54" s="2"/>
      <c r="F54" s="2"/>
      <c r="G54" s="2"/>
      <c r="H54" s="2"/>
      <c r="I54" s="5"/>
    </row>
    <row r="55" spans="1:9" ht="17.399999999999999" x14ac:dyDescent="0.25">
      <c r="A55" s="16"/>
      <c r="B55" s="17"/>
      <c r="C55" s="2"/>
      <c r="D55" s="2"/>
      <c r="E55" s="2"/>
      <c r="F55" s="2"/>
      <c r="G55" s="2"/>
      <c r="H55" s="2"/>
      <c r="I55" s="5"/>
    </row>
    <row r="56" spans="1:9" ht="17.399999999999999" x14ac:dyDescent="0.25">
      <c r="A56" s="16"/>
      <c r="B56" s="17"/>
      <c r="C56" s="2"/>
      <c r="D56" s="2"/>
      <c r="E56" s="2"/>
      <c r="F56" s="2"/>
      <c r="G56" s="2"/>
      <c r="H56" s="2"/>
      <c r="I56" s="5"/>
    </row>
    <row r="57" spans="1:9" ht="17.399999999999999" x14ac:dyDescent="0.25">
      <c r="A57" s="16"/>
      <c r="B57" s="17"/>
      <c r="C57" s="2"/>
      <c r="D57" s="2"/>
      <c r="E57" s="2"/>
      <c r="F57" s="2"/>
      <c r="G57" s="2"/>
      <c r="H57" s="2"/>
      <c r="I57" s="5"/>
    </row>
    <row r="58" spans="1:9" ht="17.399999999999999" x14ac:dyDescent="0.25">
      <c r="A58" s="16"/>
      <c r="B58" s="17"/>
      <c r="C58" s="2"/>
      <c r="D58" s="2"/>
      <c r="E58" s="2"/>
      <c r="F58" s="2"/>
      <c r="G58" s="2"/>
      <c r="H58" s="2"/>
      <c r="I58" s="5"/>
    </row>
    <row r="59" spans="1:9" ht="17.399999999999999" x14ac:dyDescent="0.25">
      <c r="A59" s="16"/>
      <c r="B59" s="17"/>
      <c r="C59" s="2"/>
      <c r="D59" s="2"/>
      <c r="E59" s="2"/>
      <c r="F59" s="2"/>
      <c r="G59" s="2"/>
      <c r="H59" s="2"/>
      <c r="I59" s="5"/>
    </row>
    <row r="60" spans="1:9" ht="17.399999999999999" x14ac:dyDescent="0.25">
      <c r="A60" s="16"/>
      <c r="B60" s="17"/>
      <c r="C60" s="2"/>
      <c r="D60" s="2"/>
      <c r="E60" s="2"/>
      <c r="F60" s="2"/>
      <c r="G60" s="2"/>
      <c r="H60" s="2"/>
      <c r="I60" s="5"/>
    </row>
    <row r="61" spans="1:9" ht="17.399999999999999" x14ac:dyDescent="0.25">
      <c r="A61" s="16"/>
      <c r="B61" s="17"/>
      <c r="C61" s="2"/>
      <c r="D61" s="2"/>
      <c r="E61" s="2"/>
      <c r="F61" s="2"/>
      <c r="G61" s="2"/>
      <c r="H61" s="2"/>
      <c r="I61" s="5"/>
    </row>
    <row r="62" spans="1:9" ht="17.399999999999999" x14ac:dyDescent="0.25">
      <c r="A62" s="16"/>
      <c r="B62" s="17"/>
      <c r="C62" s="2"/>
      <c r="D62" s="2"/>
      <c r="E62" s="2"/>
      <c r="F62" s="2"/>
      <c r="G62" s="2"/>
      <c r="H62" s="2"/>
      <c r="I62" s="5"/>
    </row>
    <row r="63" spans="1:9" ht="17.399999999999999" x14ac:dyDescent="0.25">
      <c r="A63" s="16"/>
      <c r="B63" s="17"/>
      <c r="C63" s="2"/>
      <c r="D63" s="2"/>
      <c r="E63" s="2"/>
      <c r="F63" s="2"/>
      <c r="G63" s="2"/>
      <c r="H63" s="2"/>
      <c r="I63" s="5"/>
    </row>
    <row r="64" spans="1:9" ht="17.399999999999999" x14ac:dyDescent="0.25">
      <c r="A64" s="16"/>
      <c r="B64" s="17"/>
      <c r="C64" s="2"/>
      <c r="D64" s="2"/>
      <c r="E64" s="2"/>
      <c r="F64" s="2"/>
      <c r="G64" s="2"/>
      <c r="H64" s="2"/>
      <c r="I64" s="5"/>
    </row>
    <row r="65" spans="1:9" ht="17.399999999999999" x14ac:dyDescent="0.25">
      <c r="A65" s="16"/>
      <c r="B65" s="17"/>
      <c r="C65" s="2"/>
      <c r="D65" s="2"/>
      <c r="E65" s="2"/>
      <c r="F65" s="2"/>
      <c r="G65" s="2"/>
      <c r="H65" s="2"/>
      <c r="I65" s="5"/>
    </row>
    <row r="66" spans="1:9" ht="17.399999999999999" x14ac:dyDescent="0.25">
      <c r="A66" s="16"/>
      <c r="B66" s="17"/>
      <c r="C66" s="2"/>
      <c r="D66" s="2"/>
      <c r="E66" s="2"/>
      <c r="F66" s="2"/>
      <c r="G66" s="2"/>
      <c r="H66" s="2"/>
      <c r="I66" s="5"/>
    </row>
    <row r="67" spans="1:9" ht="17.399999999999999" x14ac:dyDescent="0.25">
      <c r="A67" s="16"/>
      <c r="B67" s="17"/>
      <c r="C67" s="2"/>
      <c r="D67" s="2"/>
      <c r="E67" s="2"/>
      <c r="F67" s="2"/>
      <c r="G67" s="2"/>
      <c r="H67" s="2"/>
      <c r="I67" s="5"/>
    </row>
    <row r="68" spans="1:9" ht="17.399999999999999" x14ac:dyDescent="0.25">
      <c r="A68" s="16"/>
      <c r="B68" s="17"/>
      <c r="C68" s="2"/>
      <c r="D68" s="2"/>
      <c r="E68" s="2"/>
      <c r="F68" s="2"/>
      <c r="G68" s="2"/>
      <c r="H68" s="2"/>
      <c r="I68" s="5"/>
    </row>
    <row r="69" spans="1:9" ht="17.399999999999999" x14ac:dyDescent="0.25">
      <c r="A69" s="16"/>
      <c r="B69" s="17"/>
      <c r="C69" s="2"/>
      <c r="D69" s="2"/>
      <c r="E69" s="2"/>
      <c r="F69" s="2"/>
      <c r="G69" s="2"/>
      <c r="H69" s="2"/>
      <c r="I69" s="5"/>
    </row>
    <row r="70" spans="1:9" ht="17.399999999999999" x14ac:dyDescent="0.25">
      <c r="A70" s="16"/>
      <c r="B70" s="17"/>
      <c r="C70" s="2"/>
      <c r="D70" s="2"/>
      <c r="E70" s="2"/>
      <c r="F70" s="2"/>
      <c r="G70" s="2"/>
      <c r="H70" s="2"/>
      <c r="I70" s="5"/>
    </row>
    <row r="71" spans="1:9" ht="17.399999999999999" x14ac:dyDescent="0.25">
      <c r="A71" s="16"/>
      <c r="B71" s="17"/>
      <c r="C71" s="2"/>
      <c r="D71" s="2"/>
      <c r="E71" s="2"/>
      <c r="F71" s="2"/>
      <c r="G71" s="2"/>
      <c r="H71" s="2"/>
      <c r="I71" s="5"/>
    </row>
    <row r="72" spans="1:9" ht="17.399999999999999" x14ac:dyDescent="0.25">
      <c r="A72" s="16"/>
      <c r="B72" s="17"/>
      <c r="C72" s="2"/>
      <c r="D72" s="2"/>
      <c r="E72" s="2"/>
      <c r="F72" s="2"/>
      <c r="G72" s="2"/>
      <c r="H72" s="2"/>
      <c r="I72" s="5"/>
    </row>
    <row r="73" spans="1:9" ht="17.399999999999999" x14ac:dyDescent="0.25">
      <c r="A73" s="16"/>
      <c r="B73" s="17"/>
      <c r="C73" s="2"/>
      <c r="D73" s="2"/>
      <c r="E73" s="2"/>
      <c r="F73" s="2"/>
      <c r="G73" s="2"/>
      <c r="H73" s="2"/>
      <c r="I73" s="5"/>
    </row>
    <row r="74" spans="1:9" ht="17.399999999999999" x14ac:dyDescent="0.25">
      <c r="A74" s="16"/>
      <c r="B74" s="17"/>
      <c r="C74" s="2"/>
      <c r="D74" s="2"/>
      <c r="E74" s="2"/>
      <c r="F74" s="2"/>
      <c r="G74" s="2"/>
      <c r="H74" s="2"/>
      <c r="I74" s="5"/>
    </row>
    <row r="75" spans="1:9" ht="17.399999999999999" x14ac:dyDescent="0.25">
      <c r="A75" s="16"/>
      <c r="B75" s="17"/>
      <c r="C75" s="2"/>
      <c r="D75" s="2"/>
      <c r="E75" s="2"/>
      <c r="F75" s="2"/>
      <c r="G75" s="2"/>
      <c r="H75" s="2"/>
      <c r="I75" s="5"/>
    </row>
    <row r="76" spans="1:9" ht="17.399999999999999" x14ac:dyDescent="0.25">
      <c r="A76" s="16"/>
      <c r="B76" s="17"/>
      <c r="C76" s="2"/>
      <c r="D76" s="2"/>
      <c r="E76" s="2"/>
      <c r="F76" s="2"/>
      <c r="G76" s="2"/>
      <c r="H76" s="2"/>
      <c r="I76" s="5"/>
    </row>
    <row r="77" spans="1:9" ht="17.399999999999999" x14ac:dyDescent="0.25">
      <c r="A77" s="16"/>
      <c r="B77" s="17"/>
      <c r="C77" s="2"/>
      <c r="D77" s="2"/>
      <c r="E77" s="2"/>
      <c r="F77" s="2"/>
      <c r="G77" s="2"/>
      <c r="H77" s="2"/>
      <c r="I77" s="5"/>
    </row>
    <row r="78" spans="1:9" ht="17.399999999999999" x14ac:dyDescent="0.25">
      <c r="A78" s="16"/>
      <c r="B78" s="17"/>
      <c r="C78" s="2"/>
      <c r="D78" s="2"/>
      <c r="E78" s="2"/>
      <c r="F78" s="2"/>
      <c r="G78" s="2"/>
      <c r="H78" s="2"/>
      <c r="I78" s="5"/>
    </row>
    <row r="79" spans="1:9" ht="17.399999999999999" x14ac:dyDescent="0.25">
      <c r="A79" s="16"/>
      <c r="B79" s="17"/>
      <c r="C79" s="2"/>
      <c r="D79" s="2"/>
      <c r="E79" s="2"/>
      <c r="F79" s="2"/>
      <c r="G79" s="2"/>
      <c r="H79" s="2"/>
      <c r="I79" s="5"/>
    </row>
    <row r="80" spans="1:9" ht="17.399999999999999" x14ac:dyDescent="0.25">
      <c r="A80" s="16"/>
      <c r="B80" s="17"/>
      <c r="C80" s="2"/>
      <c r="D80" s="2"/>
      <c r="E80" s="2"/>
      <c r="F80" s="2"/>
      <c r="G80" s="2"/>
      <c r="H80" s="2"/>
      <c r="I80" s="5"/>
    </row>
    <row r="81" spans="1:9" ht="17.399999999999999" x14ac:dyDescent="0.25">
      <c r="A81" s="16"/>
      <c r="B81" s="17"/>
      <c r="C81" s="2"/>
      <c r="D81" s="2"/>
      <c r="E81" s="2"/>
      <c r="F81" s="2"/>
      <c r="G81" s="2"/>
      <c r="H81" s="2"/>
      <c r="I81" s="5"/>
    </row>
    <row r="82" spans="1:9" ht="17.399999999999999" x14ac:dyDescent="0.25">
      <c r="A82" s="16"/>
      <c r="B82" s="17"/>
      <c r="C82" s="2"/>
      <c r="D82" s="2"/>
      <c r="E82" s="2"/>
      <c r="F82" s="2"/>
      <c r="G82" s="2"/>
      <c r="H82" s="2"/>
      <c r="I82" s="5"/>
    </row>
    <row r="83" spans="1:9" ht="17.399999999999999" x14ac:dyDescent="0.25">
      <c r="A83" s="16"/>
      <c r="B83" s="17"/>
      <c r="C83" s="2"/>
      <c r="D83" s="2"/>
      <c r="E83" s="2"/>
      <c r="F83" s="2"/>
      <c r="G83" s="2"/>
      <c r="H83" s="2"/>
      <c r="I83" s="5"/>
    </row>
    <row r="84" spans="1:9" ht="17.399999999999999" x14ac:dyDescent="0.25">
      <c r="A84" s="16"/>
      <c r="B84" s="17"/>
      <c r="C84" s="2"/>
      <c r="D84" s="2"/>
      <c r="E84" s="2"/>
      <c r="F84" s="2"/>
      <c r="G84" s="2"/>
      <c r="H84" s="2"/>
      <c r="I84" s="5"/>
    </row>
    <row r="85" spans="1:9" ht="17.399999999999999" x14ac:dyDescent="0.25">
      <c r="A85" s="16"/>
      <c r="B85" s="17"/>
      <c r="C85" s="2"/>
      <c r="D85" s="2"/>
      <c r="E85" s="2"/>
      <c r="F85" s="2"/>
      <c r="G85" s="2"/>
      <c r="H85" s="2"/>
      <c r="I85" s="5"/>
    </row>
    <row r="86" spans="1:9" ht="17.399999999999999" x14ac:dyDescent="0.25">
      <c r="A86" s="16"/>
      <c r="B86" s="17"/>
      <c r="C86" s="2"/>
      <c r="D86" s="2"/>
      <c r="E86" s="2"/>
      <c r="F86" s="2"/>
      <c r="G86" s="2"/>
      <c r="H86" s="2"/>
      <c r="I86" s="5"/>
    </row>
    <row r="87" spans="1:9" ht="17.399999999999999" x14ac:dyDescent="0.25">
      <c r="A87" s="16"/>
      <c r="B87" s="17"/>
      <c r="C87" s="2"/>
      <c r="D87" s="2"/>
      <c r="E87" s="2"/>
      <c r="F87" s="2"/>
      <c r="G87" s="2"/>
      <c r="H87" s="2"/>
      <c r="I87" s="5"/>
    </row>
    <row r="88" spans="1:9" ht="17.399999999999999" x14ac:dyDescent="0.25">
      <c r="A88" s="16"/>
      <c r="B88" s="17"/>
      <c r="C88" s="2"/>
      <c r="D88" s="2"/>
      <c r="E88" s="2"/>
      <c r="F88" s="2"/>
      <c r="G88" s="2"/>
      <c r="H88" s="2"/>
      <c r="I88" s="5"/>
    </row>
    <row r="89" spans="1:9" ht="17.399999999999999" x14ac:dyDescent="0.25">
      <c r="A89" s="16"/>
      <c r="B89" s="17"/>
      <c r="C89" s="2"/>
      <c r="D89" s="2"/>
      <c r="E89" s="2"/>
      <c r="F89" s="2"/>
      <c r="G89" s="2"/>
      <c r="H89" s="2"/>
      <c r="I89" s="5"/>
    </row>
    <row r="90" spans="1:9" ht="17.399999999999999" x14ac:dyDescent="0.25">
      <c r="A90" s="16"/>
      <c r="B90" s="17"/>
      <c r="C90" s="2"/>
      <c r="D90" s="2"/>
      <c r="E90" s="2"/>
      <c r="F90" s="2"/>
      <c r="G90" s="2"/>
      <c r="H90" s="2"/>
      <c r="I90" s="5"/>
    </row>
    <row r="91" spans="1:9" ht="17.399999999999999" x14ac:dyDescent="0.25">
      <c r="A91" s="16"/>
      <c r="B91" s="17"/>
      <c r="C91" s="2"/>
      <c r="D91" s="2"/>
      <c r="E91" s="2"/>
      <c r="F91" s="2"/>
      <c r="G91" s="2"/>
      <c r="H91" s="2"/>
      <c r="I91" s="5"/>
    </row>
    <row r="92" spans="1:9" ht="17.399999999999999" x14ac:dyDescent="0.25">
      <c r="A92" s="16"/>
      <c r="B92" s="17"/>
      <c r="C92" s="2"/>
      <c r="D92" s="2"/>
      <c r="E92" s="2"/>
      <c r="F92" s="2"/>
      <c r="G92" s="2"/>
      <c r="H92" s="2"/>
      <c r="I92" s="5"/>
    </row>
    <row r="93" spans="1:9" ht="17.399999999999999" x14ac:dyDescent="0.25">
      <c r="A93" s="16"/>
      <c r="B93" s="17"/>
      <c r="C93" s="2"/>
      <c r="D93" s="2"/>
      <c r="E93" s="2"/>
      <c r="F93" s="2"/>
      <c r="G93" s="2"/>
      <c r="H93" s="2"/>
      <c r="I93" s="5"/>
    </row>
    <row r="94" spans="1:9" ht="17.399999999999999" x14ac:dyDescent="0.25">
      <c r="A94" s="16"/>
      <c r="B94" s="17"/>
      <c r="C94" s="2"/>
      <c r="D94" s="2"/>
      <c r="E94" s="2"/>
      <c r="F94" s="2"/>
      <c r="G94" s="2"/>
      <c r="H94" s="2"/>
      <c r="I94" s="5"/>
    </row>
    <row r="95" spans="1:9" ht="17.399999999999999" x14ac:dyDescent="0.25">
      <c r="A95" s="16"/>
      <c r="B95" s="17"/>
      <c r="C95" s="2"/>
      <c r="D95" s="2"/>
      <c r="E95" s="2"/>
      <c r="F95" s="2"/>
      <c r="G95" s="2"/>
      <c r="H95" s="2"/>
      <c r="I95" s="5"/>
    </row>
    <row r="96" spans="1:9" ht="17.399999999999999" x14ac:dyDescent="0.25">
      <c r="A96" s="16"/>
      <c r="B96" s="17"/>
      <c r="C96" s="2"/>
      <c r="D96" s="2"/>
      <c r="E96" s="2"/>
      <c r="F96" s="2"/>
      <c r="G96" s="2"/>
      <c r="H96" s="2"/>
      <c r="I96" s="5"/>
    </row>
    <row r="97" spans="1:9" ht="17.399999999999999" x14ac:dyDescent="0.25">
      <c r="A97" s="16"/>
      <c r="B97" s="17"/>
      <c r="C97" s="2"/>
      <c r="D97" s="2"/>
      <c r="E97" s="2"/>
      <c r="F97" s="2"/>
      <c r="G97" s="2"/>
      <c r="H97" s="2"/>
      <c r="I97" s="5"/>
    </row>
    <row r="98" spans="1:9" ht="17.399999999999999" x14ac:dyDescent="0.25">
      <c r="A98" s="16"/>
      <c r="B98" s="17"/>
      <c r="C98" s="2"/>
      <c r="D98" s="2"/>
      <c r="E98" s="2"/>
      <c r="F98" s="2"/>
      <c r="G98" s="2"/>
      <c r="H98" s="2"/>
      <c r="I98" s="5"/>
    </row>
    <row r="99" spans="1:9" ht="17.399999999999999" x14ac:dyDescent="0.25">
      <c r="A99" s="16"/>
      <c r="B99" s="17"/>
      <c r="C99" s="2"/>
      <c r="D99" s="2"/>
      <c r="E99" s="2"/>
      <c r="F99" s="2"/>
      <c r="G99" s="2"/>
      <c r="H99" s="2"/>
      <c r="I99" s="5"/>
    </row>
    <row r="100" spans="1:9" ht="17.399999999999999" x14ac:dyDescent="0.25">
      <c r="A100" s="16"/>
      <c r="B100" s="17"/>
      <c r="C100" s="2"/>
      <c r="D100" s="2"/>
      <c r="E100" s="2"/>
      <c r="F100" s="2"/>
      <c r="G100" s="2"/>
      <c r="H100" s="2"/>
      <c r="I100" s="5"/>
    </row>
    <row r="101" spans="1:9" ht="17.399999999999999" x14ac:dyDescent="0.25">
      <c r="A101" s="16"/>
      <c r="B101" s="17"/>
      <c r="C101" s="2"/>
      <c r="D101" s="2"/>
      <c r="E101" s="2"/>
      <c r="F101" s="2"/>
      <c r="G101" s="2"/>
      <c r="H101" s="2"/>
      <c r="I101" s="5"/>
    </row>
    <row r="102" spans="1:9" ht="17.399999999999999" x14ac:dyDescent="0.25">
      <c r="A102" s="16"/>
      <c r="B102" s="17"/>
      <c r="C102" s="2"/>
      <c r="D102" s="2"/>
      <c r="E102" s="2"/>
      <c r="F102" s="2"/>
      <c r="G102" s="2"/>
      <c r="H102" s="2"/>
      <c r="I102" s="5"/>
    </row>
    <row r="103" spans="1:9" ht="17.399999999999999" x14ac:dyDescent="0.25">
      <c r="A103" s="16"/>
      <c r="B103" s="17"/>
      <c r="C103" s="2"/>
      <c r="D103" s="2"/>
      <c r="E103" s="2"/>
      <c r="F103" s="2"/>
      <c r="G103" s="2"/>
      <c r="H103" s="2"/>
      <c r="I103" s="5"/>
    </row>
    <row r="104" spans="1:9" ht="17.399999999999999" x14ac:dyDescent="0.25">
      <c r="A104" s="16"/>
      <c r="B104" s="17"/>
      <c r="C104" s="2"/>
      <c r="D104" s="2"/>
      <c r="E104" s="2"/>
      <c r="F104" s="2"/>
      <c r="G104" s="2"/>
      <c r="H104" s="2"/>
      <c r="I104" s="5"/>
    </row>
    <row r="105" spans="1:9" ht="17.399999999999999" x14ac:dyDescent="0.25">
      <c r="A105" s="16"/>
      <c r="B105" s="17"/>
      <c r="C105" s="2"/>
      <c r="D105" s="2"/>
      <c r="E105" s="2"/>
      <c r="F105" s="2"/>
      <c r="G105" s="2"/>
      <c r="H105" s="2"/>
      <c r="I105" s="5"/>
    </row>
    <row r="106" spans="1:9" ht="17.399999999999999" x14ac:dyDescent="0.25">
      <c r="A106" s="16"/>
      <c r="B106" s="17"/>
      <c r="C106" s="2"/>
      <c r="D106" s="2"/>
      <c r="E106" s="2"/>
      <c r="F106" s="2"/>
      <c r="G106" s="2"/>
      <c r="H106" s="2"/>
      <c r="I106" s="5"/>
    </row>
    <row r="107" spans="1:9" ht="17.399999999999999" x14ac:dyDescent="0.25">
      <c r="A107" s="16"/>
      <c r="B107" s="17"/>
      <c r="C107" s="2"/>
      <c r="D107" s="2"/>
      <c r="E107" s="2"/>
      <c r="F107" s="2"/>
      <c r="G107" s="2"/>
      <c r="H107" s="2"/>
      <c r="I107" s="5"/>
    </row>
    <row r="108" spans="1:9" ht="17.399999999999999" x14ac:dyDescent="0.25">
      <c r="A108" s="16"/>
      <c r="B108" s="17"/>
      <c r="C108" s="2"/>
      <c r="D108" s="2"/>
      <c r="E108" s="2"/>
      <c r="F108" s="2"/>
      <c r="G108" s="2"/>
      <c r="H108" s="2"/>
      <c r="I108" s="5"/>
    </row>
    <row r="109" spans="1:9" ht="17.399999999999999" x14ac:dyDescent="0.25">
      <c r="A109" s="16"/>
      <c r="B109" s="17"/>
      <c r="C109" s="2"/>
      <c r="D109" s="2"/>
      <c r="E109" s="2"/>
      <c r="F109" s="2"/>
      <c r="G109" s="2"/>
      <c r="H109" s="2"/>
      <c r="I109" s="5"/>
    </row>
    <row r="110" spans="1:9" ht="17.399999999999999" x14ac:dyDescent="0.25">
      <c r="A110" s="16"/>
      <c r="B110" s="17"/>
      <c r="C110" s="2"/>
      <c r="D110" s="2"/>
      <c r="E110" s="2"/>
      <c r="F110" s="2"/>
      <c r="G110" s="2"/>
      <c r="H110" s="2"/>
      <c r="I110" s="5"/>
    </row>
    <row r="111" spans="1:9" ht="17.399999999999999" x14ac:dyDescent="0.25">
      <c r="A111" s="16"/>
      <c r="B111" s="17"/>
      <c r="C111" s="2"/>
      <c r="D111" s="2"/>
      <c r="E111" s="2"/>
      <c r="F111" s="2"/>
      <c r="G111" s="2"/>
      <c r="H111" s="2"/>
      <c r="I111" s="5"/>
    </row>
    <row r="112" spans="1:9" ht="17.399999999999999" x14ac:dyDescent="0.25">
      <c r="A112" s="16"/>
      <c r="B112" s="17"/>
      <c r="C112" s="2"/>
      <c r="D112" s="2"/>
      <c r="E112" s="2"/>
      <c r="F112" s="2"/>
      <c r="G112" s="2"/>
      <c r="H112" s="2"/>
      <c r="I112" s="5"/>
    </row>
    <row r="113" spans="1:9" ht="17.399999999999999" x14ac:dyDescent="0.25">
      <c r="A113" s="16"/>
      <c r="B113" s="17"/>
      <c r="C113" s="2"/>
      <c r="D113" s="2"/>
      <c r="E113" s="2"/>
      <c r="F113" s="2"/>
      <c r="G113" s="2"/>
      <c r="H113" s="2"/>
      <c r="I113" s="5"/>
    </row>
    <row r="114" spans="1:9" ht="17.399999999999999" x14ac:dyDescent="0.25">
      <c r="A114" s="16"/>
      <c r="B114" s="17"/>
      <c r="C114" s="2"/>
      <c r="D114" s="2"/>
      <c r="E114" s="2"/>
      <c r="F114" s="2"/>
      <c r="G114" s="2"/>
      <c r="H114" s="2"/>
      <c r="I114" s="5"/>
    </row>
    <row r="115" spans="1:9" ht="17.399999999999999" x14ac:dyDescent="0.25">
      <c r="A115" s="16"/>
      <c r="B115" s="17"/>
      <c r="C115" s="2"/>
      <c r="D115" s="2"/>
      <c r="E115" s="2"/>
      <c r="F115" s="2"/>
      <c r="G115" s="2"/>
      <c r="H115" s="2"/>
      <c r="I115" s="5"/>
    </row>
    <row r="116" spans="1:9" ht="17.399999999999999" x14ac:dyDescent="0.25">
      <c r="A116" s="16"/>
      <c r="B116" s="17"/>
      <c r="C116" s="2"/>
      <c r="D116" s="2"/>
      <c r="E116" s="2"/>
      <c r="F116" s="2"/>
      <c r="G116" s="2"/>
      <c r="H116" s="2"/>
      <c r="I116" s="5"/>
    </row>
    <row r="117" spans="1:9" ht="17.399999999999999" x14ac:dyDescent="0.25">
      <c r="A117" s="16"/>
      <c r="B117" s="17"/>
      <c r="C117" s="2"/>
      <c r="D117" s="2"/>
      <c r="E117" s="2"/>
      <c r="F117" s="2"/>
      <c r="G117" s="2"/>
      <c r="H117" s="2"/>
      <c r="I117" s="5"/>
    </row>
    <row r="118" spans="1:9" ht="17.399999999999999" x14ac:dyDescent="0.25">
      <c r="A118" s="16"/>
      <c r="B118" s="17"/>
      <c r="C118" s="2"/>
      <c r="D118" s="2"/>
      <c r="E118" s="2"/>
      <c r="F118" s="2"/>
      <c r="G118" s="2"/>
      <c r="H118" s="2"/>
      <c r="I118" s="5"/>
    </row>
    <row r="119" spans="1:9" ht="17.399999999999999" x14ac:dyDescent="0.25">
      <c r="A119" s="16"/>
      <c r="B119" s="17"/>
      <c r="C119" s="2"/>
      <c r="D119" s="2"/>
      <c r="E119" s="2"/>
      <c r="F119" s="2"/>
      <c r="G119" s="2"/>
      <c r="H119" s="2"/>
      <c r="I119" s="5"/>
    </row>
    <row r="120" spans="1:9" ht="17.399999999999999" x14ac:dyDescent="0.25">
      <c r="A120" s="16"/>
      <c r="B120" s="17"/>
      <c r="C120" s="2"/>
      <c r="D120" s="2"/>
      <c r="E120" s="2"/>
      <c r="F120" s="2"/>
      <c r="G120" s="2"/>
      <c r="H120" s="2"/>
      <c r="I120" s="5"/>
    </row>
    <row r="121" spans="1:9" ht="17.399999999999999" x14ac:dyDescent="0.25">
      <c r="A121" s="16"/>
      <c r="B121" s="17"/>
      <c r="C121" s="2"/>
      <c r="D121" s="2"/>
      <c r="E121" s="2"/>
      <c r="F121" s="2"/>
      <c r="G121" s="2"/>
      <c r="H121" s="2"/>
      <c r="I121" s="5"/>
    </row>
    <row r="122" spans="1:9" ht="17.399999999999999" x14ac:dyDescent="0.25">
      <c r="A122" s="16"/>
      <c r="B122" s="17"/>
      <c r="C122" s="2"/>
      <c r="D122" s="2"/>
      <c r="E122" s="2"/>
      <c r="F122" s="2"/>
      <c r="G122" s="2"/>
      <c r="H122" s="2"/>
      <c r="I122" s="5"/>
    </row>
    <row r="123" spans="1:9" ht="17.399999999999999" x14ac:dyDescent="0.25">
      <c r="A123" s="16"/>
      <c r="B123" s="17"/>
      <c r="C123" s="2"/>
      <c r="D123" s="2"/>
      <c r="E123" s="2"/>
      <c r="F123" s="2"/>
      <c r="G123" s="2"/>
      <c r="H123" s="2"/>
      <c r="I123" s="5"/>
    </row>
    <row r="124" spans="1:9" ht="17.399999999999999" x14ac:dyDescent="0.25">
      <c r="A124" s="16"/>
      <c r="B124" s="17"/>
      <c r="C124" s="2"/>
      <c r="D124" s="2"/>
      <c r="E124" s="2"/>
      <c r="F124" s="2"/>
      <c r="G124" s="2"/>
      <c r="H124" s="2"/>
      <c r="I124" s="5"/>
    </row>
    <row r="125" spans="1:9" ht="17.399999999999999" x14ac:dyDescent="0.25">
      <c r="A125" s="16"/>
      <c r="B125" s="17"/>
      <c r="C125" s="2"/>
      <c r="D125" s="2"/>
      <c r="E125" s="2"/>
      <c r="F125" s="2"/>
      <c r="G125" s="2"/>
      <c r="H125" s="2"/>
      <c r="I125" s="5"/>
    </row>
    <row r="126" spans="1:9" ht="17.399999999999999" x14ac:dyDescent="0.25">
      <c r="A126" s="16"/>
      <c r="B126" s="17"/>
      <c r="C126" s="2"/>
      <c r="D126" s="2"/>
      <c r="E126" s="2"/>
      <c r="F126" s="2"/>
      <c r="G126" s="2"/>
      <c r="H126" s="2"/>
      <c r="I126" s="5"/>
    </row>
    <row r="127" spans="1:9" ht="17.399999999999999" x14ac:dyDescent="0.25">
      <c r="A127" s="16"/>
      <c r="B127" s="17"/>
      <c r="C127" s="2"/>
      <c r="D127" s="2"/>
      <c r="E127" s="2"/>
      <c r="F127" s="2"/>
      <c r="G127" s="2"/>
      <c r="H127" s="2"/>
      <c r="I127" s="5"/>
    </row>
    <row r="128" spans="1:9" ht="17.399999999999999" x14ac:dyDescent="0.25">
      <c r="A128" s="16"/>
      <c r="B128" s="17"/>
      <c r="C128" s="2"/>
      <c r="D128" s="2"/>
      <c r="E128" s="2"/>
      <c r="F128" s="2"/>
      <c r="G128" s="2"/>
      <c r="H128" s="2"/>
      <c r="I128" s="5"/>
    </row>
    <row r="129" spans="1:10" ht="17.399999999999999" x14ac:dyDescent="0.25">
      <c r="A129" s="16"/>
      <c r="B129" s="17"/>
      <c r="C129" s="2"/>
      <c r="D129" s="2"/>
      <c r="E129" s="2"/>
      <c r="F129" s="2"/>
      <c r="G129" s="2"/>
      <c r="H129" s="2"/>
      <c r="I129" s="5"/>
    </row>
    <row r="130" spans="1:10" ht="17.399999999999999" x14ac:dyDescent="0.25">
      <c r="A130" s="16"/>
      <c r="B130" s="17"/>
      <c r="C130" s="2"/>
      <c r="D130" s="2"/>
      <c r="E130" s="2"/>
      <c r="F130" s="2"/>
      <c r="G130" s="2"/>
      <c r="H130" s="2"/>
      <c r="I130" s="5"/>
    </row>
    <row r="131" spans="1:10" ht="17.399999999999999" x14ac:dyDescent="0.25">
      <c r="A131" s="16"/>
      <c r="B131" s="17"/>
      <c r="C131" s="2"/>
      <c r="D131" s="2"/>
      <c r="E131" s="2"/>
      <c r="F131" s="2"/>
      <c r="G131" s="2"/>
      <c r="H131" s="2"/>
      <c r="I131" s="5"/>
    </row>
    <row r="132" spans="1:10" ht="17.399999999999999" x14ac:dyDescent="0.25">
      <c r="A132" s="16"/>
      <c r="B132" s="17"/>
      <c r="C132" s="2"/>
      <c r="D132" s="2"/>
      <c r="E132" s="2"/>
      <c r="F132" s="2"/>
      <c r="G132" s="2"/>
      <c r="H132" s="2"/>
      <c r="I132" s="5"/>
    </row>
    <row r="133" spans="1:10" ht="17.399999999999999" x14ac:dyDescent="0.35">
      <c r="A133" s="16"/>
      <c r="B133" s="17"/>
      <c r="C133" s="2"/>
      <c r="D133" s="2"/>
      <c r="E133" s="2"/>
      <c r="F133" s="2"/>
      <c r="G133" s="2"/>
      <c r="H133" s="2"/>
      <c r="I133" s="5"/>
      <c r="J133" s="13"/>
    </row>
    <row r="134" spans="1:10" ht="17.399999999999999" x14ac:dyDescent="0.35">
      <c r="A134" s="16"/>
      <c r="B134" s="17"/>
      <c r="C134" s="2"/>
      <c r="D134" s="2"/>
      <c r="E134" s="2"/>
      <c r="F134" s="2"/>
      <c r="G134" s="2"/>
      <c r="H134" s="2"/>
      <c r="I134" s="5"/>
      <c r="J134" s="27"/>
    </row>
    <row r="135" spans="1:10" ht="17.399999999999999" x14ac:dyDescent="0.25">
      <c r="A135" s="16"/>
      <c r="B135" s="17"/>
      <c r="C135" s="2"/>
      <c r="D135" s="2"/>
      <c r="E135" s="2"/>
      <c r="F135" s="2"/>
      <c r="G135" s="2"/>
      <c r="H135" s="2"/>
      <c r="I135" s="5"/>
    </row>
    <row r="136" spans="1:10" ht="17.399999999999999" x14ac:dyDescent="0.25">
      <c r="A136" s="16"/>
      <c r="B136" s="17"/>
      <c r="C136" s="2"/>
      <c r="D136" s="2"/>
      <c r="E136" s="2"/>
      <c r="F136" s="2"/>
      <c r="G136" s="2"/>
      <c r="H136" s="2"/>
      <c r="I136" s="5"/>
    </row>
    <row r="137" spans="1:10" ht="17.399999999999999" x14ac:dyDescent="0.25">
      <c r="A137" s="16"/>
      <c r="B137" s="17"/>
      <c r="C137" s="2"/>
      <c r="D137" s="2"/>
      <c r="E137" s="2"/>
      <c r="F137" s="2"/>
      <c r="G137" s="2"/>
      <c r="H137" s="2"/>
      <c r="I137" s="5"/>
    </row>
    <row r="138" spans="1:10" ht="17.399999999999999" x14ac:dyDescent="0.25">
      <c r="A138" s="16"/>
      <c r="B138" s="17"/>
      <c r="C138" s="2"/>
      <c r="D138" s="2"/>
      <c r="E138" s="2"/>
      <c r="F138" s="2"/>
      <c r="G138" s="2"/>
      <c r="H138" s="2"/>
      <c r="I138" s="5"/>
    </row>
    <row r="139" spans="1:10" ht="17.399999999999999" x14ac:dyDescent="0.25">
      <c r="A139" s="16"/>
      <c r="B139" s="17"/>
      <c r="C139" s="2"/>
      <c r="D139" s="2"/>
      <c r="E139" s="2"/>
      <c r="F139" s="2"/>
      <c r="G139" s="2"/>
      <c r="H139" s="2"/>
      <c r="I139" s="5"/>
    </row>
    <row r="140" spans="1:10" ht="17.399999999999999" x14ac:dyDescent="0.25">
      <c r="A140" s="16"/>
      <c r="B140" s="17"/>
      <c r="C140" s="2"/>
      <c r="D140" s="2"/>
      <c r="E140" s="2"/>
      <c r="F140" s="2"/>
      <c r="G140" s="2"/>
      <c r="H140" s="2"/>
      <c r="I140" s="5"/>
    </row>
    <row r="141" spans="1:10" ht="17.399999999999999" x14ac:dyDescent="0.25">
      <c r="A141" s="16"/>
      <c r="B141" s="17"/>
      <c r="C141" s="2"/>
      <c r="D141" s="2"/>
      <c r="E141" s="2"/>
      <c r="F141" s="2"/>
      <c r="G141" s="2"/>
      <c r="H141" s="2"/>
      <c r="I141" s="5"/>
    </row>
    <row r="142" spans="1:10" ht="17.399999999999999" x14ac:dyDescent="0.25">
      <c r="A142" s="16"/>
      <c r="B142" s="17"/>
      <c r="C142" s="2"/>
      <c r="D142" s="2"/>
      <c r="E142" s="2"/>
      <c r="F142" s="2"/>
      <c r="G142" s="2"/>
      <c r="H142" s="2"/>
      <c r="I142" s="5"/>
    </row>
    <row r="143" spans="1:10" ht="17.399999999999999" x14ac:dyDescent="0.25">
      <c r="A143" s="16"/>
      <c r="B143" s="17"/>
      <c r="C143" s="2"/>
      <c r="D143" s="2"/>
      <c r="E143" s="2"/>
      <c r="F143" s="2"/>
      <c r="G143" s="2"/>
      <c r="H143" s="2"/>
      <c r="I143" s="5"/>
    </row>
    <row r="144" spans="1:10" ht="17.399999999999999" x14ac:dyDescent="0.25">
      <c r="A144" s="16"/>
      <c r="B144" s="17"/>
      <c r="C144" s="2"/>
      <c r="D144" s="2"/>
      <c r="E144" s="2"/>
      <c r="F144" s="2"/>
      <c r="G144" s="2"/>
      <c r="H144" s="2"/>
      <c r="I144" s="5"/>
    </row>
    <row r="145" spans="1:9" ht="17.399999999999999" x14ac:dyDescent="0.25">
      <c r="A145" s="16"/>
      <c r="B145" s="17"/>
      <c r="C145" s="2"/>
      <c r="D145" s="2"/>
      <c r="E145" s="2"/>
      <c r="F145" s="2"/>
      <c r="G145" s="2"/>
      <c r="H145" s="2"/>
      <c r="I145" s="5"/>
    </row>
    <row r="146" spans="1:9" ht="17.399999999999999" x14ac:dyDescent="0.25">
      <c r="A146" s="16"/>
      <c r="B146" s="17"/>
      <c r="C146" s="2"/>
      <c r="D146" s="2"/>
      <c r="E146" s="2"/>
      <c r="F146" s="2"/>
      <c r="G146" s="2"/>
      <c r="H146" s="2"/>
      <c r="I146" s="5"/>
    </row>
    <row r="147" spans="1:9" ht="17.399999999999999" x14ac:dyDescent="0.25">
      <c r="A147" s="16"/>
      <c r="B147" s="17"/>
      <c r="C147" s="2"/>
      <c r="D147" s="2"/>
      <c r="E147" s="2"/>
      <c r="F147" s="2"/>
      <c r="G147" s="2"/>
      <c r="H147" s="2"/>
      <c r="I147" s="5"/>
    </row>
    <row r="148" spans="1:9" ht="17.399999999999999" x14ac:dyDescent="0.25">
      <c r="A148" s="16"/>
      <c r="B148" s="17"/>
      <c r="C148" s="2"/>
      <c r="D148" s="2"/>
      <c r="E148" s="2"/>
      <c r="F148" s="2"/>
      <c r="G148" s="2"/>
      <c r="H148" s="2"/>
      <c r="I148" s="5"/>
    </row>
    <row r="149" spans="1:9" ht="17.399999999999999" x14ac:dyDescent="0.25">
      <c r="A149" s="16"/>
      <c r="B149" s="17"/>
      <c r="C149" s="2"/>
      <c r="D149" s="2"/>
      <c r="E149" s="2"/>
      <c r="F149" s="2"/>
      <c r="G149" s="2"/>
      <c r="H149" s="2"/>
      <c r="I149" s="5"/>
    </row>
    <row r="150" spans="1:9" ht="17.399999999999999" x14ac:dyDescent="0.25">
      <c r="A150" s="16"/>
      <c r="B150" s="17"/>
      <c r="C150" s="2"/>
      <c r="D150" s="2"/>
      <c r="E150" s="2"/>
      <c r="F150" s="2"/>
      <c r="G150" s="2"/>
      <c r="H150" s="2"/>
      <c r="I150" s="5"/>
    </row>
    <row r="151" spans="1:9" ht="17.399999999999999" x14ac:dyDescent="0.25">
      <c r="A151" s="16"/>
      <c r="B151" s="17"/>
      <c r="C151" s="2"/>
      <c r="D151" s="2"/>
      <c r="E151" s="2"/>
      <c r="F151" s="2"/>
      <c r="G151" s="2"/>
      <c r="H151" s="2"/>
      <c r="I151" s="5"/>
    </row>
    <row r="152" spans="1:9" ht="17.399999999999999" x14ac:dyDescent="0.25">
      <c r="A152" s="16"/>
      <c r="B152" s="17"/>
      <c r="C152" s="2"/>
      <c r="D152" s="2"/>
      <c r="E152" s="2"/>
      <c r="F152" s="2"/>
      <c r="G152" s="2"/>
      <c r="H152" s="2"/>
      <c r="I152" s="5"/>
    </row>
    <row r="153" spans="1:9" ht="17.399999999999999" x14ac:dyDescent="0.25">
      <c r="A153" s="16"/>
      <c r="B153" s="17"/>
      <c r="C153" s="2"/>
      <c r="D153" s="2"/>
      <c r="E153" s="2"/>
      <c r="F153" s="2"/>
      <c r="G153" s="2"/>
      <c r="H153" s="2"/>
      <c r="I153" s="5"/>
    </row>
    <row r="154" spans="1:9" ht="17.399999999999999" x14ac:dyDescent="0.25">
      <c r="A154" s="16"/>
      <c r="B154" s="17"/>
      <c r="C154" s="2"/>
      <c r="D154" s="2"/>
      <c r="E154" s="2"/>
      <c r="F154" s="2"/>
      <c r="G154" s="2"/>
      <c r="H154" s="2"/>
      <c r="I154" s="5"/>
    </row>
    <row r="155" spans="1:9" ht="17.399999999999999" x14ac:dyDescent="0.25">
      <c r="A155" s="16"/>
      <c r="B155" s="17"/>
      <c r="C155" s="2"/>
      <c r="D155" s="2"/>
      <c r="E155" s="2"/>
      <c r="F155" s="2"/>
      <c r="G155" s="2"/>
      <c r="H155" s="2"/>
      <c r="I155" s="5"/>
    </row>
    <row r="156" spans="1:9" ht="17.399999999999999" x14ac:dyDescent="0.25">
      <c r="A156" s="16"/>
      <c r="B156" s="17"/>
      <c r="C156" s="2"/>
      <c r="D156" s="2"/>
      <c r="E156" s="2"/>
      <c r="F156" s="2"/>
      <c r="G156" s="2"/>
      <c r="H156" s="2"/>
      <c r="I156" s="5"/>
    </row>
    <row r="157" spans="1:9" ht="17.399999999999999" x14ac:dyDescent="0.25">
      <c r="A157" s="16"/>
      <c r="B157" s="17"/>
      <c r="C157" s="2"/>
      <c r="D157" s="2"/>
      <c r="E157" s="2"/>
      <c r="F157" s="2"/>
      <c r="G157" s="2"/>
      <c r="H157" s="2"/>
      <c r="I157" s="5"/>
    </row>
    <row r="158" spans="1:9" ht="17.399999999999999" x14ac:dyDescent="0.25">
      <c r="A158" s="16"/>
      <c r="B158" s="17"/>
      <c r="C158" s="2"/>
      <c r="D158" s="2"/>
      <c r="E158" s="2"/>
      <c r="F158" s="2"/>
      <c r="G158" s="2"/>
      <c r="H158" s="2"/>
      <c r="I158" s="5"/>
    </row>
    <row r="159" spans="1:9" ht="17.399999999999999" x14ac:dyDescent="0.25">
      <c r="A159" s="16"/>
      <c r="B159" s="17"/>
      <c r="C159" s="2"/>
      <c r="D159" s="2"/>
      <c r="E159" s="2"/>
      <c r="F159" s="2"/>
      <c r="G159" s="2"/>
      <c r="H159" s="2"/>
      <c r="I159" s="5"/>
    </row>
    <row r="160" spans="1:9" ht="17.399999999999999" x14ac:dyDescent="0.25">
      <c r="A160" s="16"/>
      <c r="B160" s="17"/>
      <c r="C160" s="2"/>
      <c r="D160" s="2"/>
      <c r="E160" s="2"/>
      <c r="F160" s="2"/>
      <c r="G160" s="2"/>
      <c r="H160" s="2"/>
      <c r="I160" s="5"/>
    </row>
    <row r="161" spans="1:9" ht="17.399999999999999" x14ac:dyDescent="0.25">
      <c r="A161" s="16"/>
      <c r="B161" s="17"/>
      <c r="C161" s="2"/>
      <c r="D161" s="2"/>
      <c r="E161" s="2"/>
      <c r="F161" s="2"/>
      <c r="G161" s="2"/>
      <c r="H161" s="2"/>
      <c r="I161" s="5"/>
    </row>
    <row r="162" spans="1:9" ht="17.399999999999999" x14ac:dyDescent="0.25">
      <c r="A162" s="16"/>
      <c r="B162" s="17"/>
      <c r="C162" s="2"/>
      <c r="D162" s="2"/>
      <c r="E162" s="2"/>
      <c r="F162" s="2"/>
      <c r="G162" s="2"/>
      <c r="H162" s="2"/>
      <c r="I162" s="5"/>
    </row>
    <row r="163" spans="1:9" ht="17.399999999999999" x14ac:dyDescent="0.25">
      <c r="A163" s="16"/>
      <c r="B163" s="17"/>
      <c r="C163" s="2"/>
      <c r="D163" s="2"/>
      <c r="E163" s="2"/>
      <c r="F163" s="2"/>
      <c r="G163" s="2"/>
      <c r="H163" s="2"/>
      <c r="I163" s="5"/>
    </row>
    <row r="164" spans="1:9" ht="17.399999999999999" x14ac:dyDescent="0.25">
      <c r="A164" s="16"/>
      <c r="B164" s="17"/>
      <c r="C164" s="2"/>
      <c r="D164" s="2"/>
      <c r="E164" s="2"/>
      <c r="F164" s="2"/>
      <c r="G164" s="2"/>
      <c r="H164" s="2"/>
      <c r="I164" s="5"/>
    </row>
    <row r="165" spans="1:9" ht="17.399999999999999" x14ac:dyDescent="0.25">
      <c r="A165" s="16"/>
      <c r="B165" s="17"/>
      <c r="C165" s="2"/>
      <c r="D165" s="2"/>
      <c r="E165" s="2"/>
      <c r="F165" s="2"/>
      <c r="G165" s="2"/>
      <c r="H165" s="2"/>
      <c r="I165" s="5"/>
    </row>
    <row r="166" spans="1:9" ht="17.399999999999999" x14ac:dyDescent="0.25">
      <c r="A166" s="16"/>
      <c r="B166" s="17"/>
      <c r="C166" s="2"/>
      <c r="D166" s="2"/>
      <c r="E166" s="2"/>
      <c r="F166" s="2"/>
      <c r="G166" s="2"/>
      <c r="H166" s="2"/>
      <c r="I166" s="5"/>
    </row>
    <row r="167" spans="1:9" ht="17.399999999999999" x14ac:dyDescent="0.25">
      <c r="A167" s="16"/>
      <c r="B167" s="17"/>
      <c r="C167" s="2"/>
      <c r="D167" s="2"/>
      <c r="E167" s="2"/>
      <c r="F167" s="2"/>
      <c r="G167" s="2"/>
      <c r="H167" s="2"/>
      <c r="I167" s="5"/>
    </row>
    <row r="168" spans="1:9" ht="17.399999999999999" x14ac:dyDescent="0.25">
      <c r="A168" s="16"/>
      <c r="B168" s="17"/>
      <c r="C168" s="2"/>
      <c r="D168" s="2"/>
      <c r="E168" s="2"/>
      <c r="F168" s="2"/>
      <c r="G168" s="2"/>
      <c r="H168" s="2"/>
      <c r="I168" s="5"/>
    </row>
    <row r="169" spans="1:9" ht="17.399999999999999" x14ac:dyDescent="0.25">
      <c r="A169" s="16"/>
      <c r="B169" s="17"/>
      <c r="C169" s="2"/>
      <c r="D169" s="2"/>
      <c r="E169" s="2"/>
      <c r="F169" s="2"/>
      <c r="G169" s="2"/>
      <c r="H169" s="2"/>
      <c r="I169" s="5"/>
    </row>
    <row r="170" spans="1:9" ht="17.399999999999999" x14ac:dyDescent="0.25">
      <c r="A170" s="16"/>
      <c r="B170" s="17"/>
      <c r="C170" s="2"/>
      <c r="D170" s="2"/>
      <c r="E170" s="2"/>
      <c r="F170" s="2"/>
      <c r="G170" s="2"/>
      <c r="H170" s="2"/>
      <c r="I170" s="5"/>
    </row>
    <row r="171" spans="1:9" ht="17.399999999999999" x14ac:dyDescent="0.25">
      <c r="A171" s="16"/>
      <c r="B171" s="17"/>
      <c r="C171" s="2"/>
      <c r="D171" s="2"/>
      <c r="E171" s="2"/>
      <c r="F171" s="2"/>
      <c r="G171" s="2"/>
      <c r="H171" s="2"/>
      <c r="I171" s="5"/>
    </row>
    <row r="172" spans="1:9" ht="17.399999999999999" x14ac:dyDescent="0.25">
      <c r="A172" s="16"/>
      <c r="B172" s="17"/>
      <c r="C172" s="2"/>
      <c r="D172" s="2"/>
      <c r="E172" s="2"/>
      <c r="F172" s="2"/>
      <c r="G172" s="2"/>
      <c r="H172" s="2"/>
      <c r="I172" s="5"/>
    </row>
    <row r="173" spans="1:9" ht="17.399999999999999" x14ac:dyDescent="0.25">
      <c r="A173" s="16"/>
      <c r="B173" s="17"/>
      <c r="C173" s="2"/>
      <c r="D173" s="2"/>
      <c r="E173" s="2"/>
      <c r="F173" s="2"/>
      <c r="G173" s="2"/>
      <c r="H173" s="2"/>
      <c r="I173" s="5"/>
    </row>
    <row r="174" spans="1:9" ht="17.399999999999999" x14ac:dyDescent="0.25">
      <c r="A174" s="16"/>
      <c r="B174" s="17"/>
      <c r="C174" s="2"/>
      <c r="D174" s="2"/>
      <c r="E174" s="2"/>
      <c r="F174" s="2"/>
      <c r="G174" s="2"/>
      <c r="H174" s="2"/>
      <c r="I174" s="5"/>
    </row>
    <row r="175" spans="1:9" ht="17.399999999999999" x14ac:dyDescent="0.25">
      <c r="A175" s="16"/>
      <c r="B175" s="17"/>
      <c r="C175" s="2"/>
      <c r="D175" s="2"/>
      <c r="E175" s="2"/>
      <c r="F175" s="2"/>
      <c r="G175" s="2"/>
      <c r="H175" s="2"/>
      <c r="I175" s="5"/>
    </row>
    <row r="176" spans="1:9" ht="17.399999999999999" x14ac:dyDescent="0.25">
      <c r="A176" s="16"/>
      <c r="B176" s="17"/>
      <c r="C176" s="2"/>
      <c r="D176" s="2"/>
      <c r="E176" s="2"/>
      <c r="F176" s="2"/>
      <c r="G176" s="2"/>
      <c r="H176" s="2"/>
      <c r="I176" s="5"/>
    </row>
    <row r="177" spans="1:9" ht="17.399999999999999" x14ac:dyDescent="0.25">
      <c r="A177" s="16"/>
      <c r="B177" s="17"/>
      <c r="C177" s="2"/>
      <c r="D177" s="2"/>
      <c r="E177" s="2"/>
      <c r="F177" s="2"/>
      <c r="G177" s="2"/>
      <c r="H177" s="2"/>
      <c r="I177" s="5"/>
    </row>
    <row r="178" spans="1:9" ht="17.399999999999999" x14ac:dyDescent="0.25">
      <c r="A178" s="16"/>
      <c r="B178" s="17"/>
      <c r="C178" s="2"/>
      <c r="D178" s="2"/>
      <c r="E178" s="2"/>
      <c r="F178" s="2"/>
      <c r="G178" s="2"/>
      <c r="H178" s="2"/>
      <c r="I178" s="5"/>
    </row>
    <row r="179" spans="1:9" ht="17.399999999999999" x14ac:dyDescent="0.25">
      <c r="A179" s="16"/>
      <c r="B179" s="17"/>
      <c r="C179" s="2"/>
      <c r="D179" s="2"/>
      <c r="E179" s="2"/>
      <c r="F179" s="2"/>
      <c r="G179" s="2"/>
      <c r="H179" s="2"/>
      <c r="I179" s="5"/>
    </row>
    <row r="180" spans="1:9" ht="17.399999999999999" x14ac:dyDescent="0.25">
      <c r="A180" s="16"/>
      <c r="B180" s="17"/>
      <c r="C180" s="2"/>
      <c r="D180" s="2"/>
      <c r="E180" s="2"/>
      <c r="F180" s="2"/>
      <c r="G180" s="2"/>
      <c r="H180" s="2"/>
      <c r="I180" s="5"/>
    </row>
    <row r="181" spans="1:9" ht="17.399999999999999" x14ac:dyDescent="0.25">
      <c r="A181" s="16"/>
      <c r="B181" s="17"/>
      <c r="C181" s="2"/>
      <c r="D181" s="2"/>
      <c r="E181" s="2"/>
      <c r="F181" s="2"/>
      <c r="G181" s="2"/>
      <c r="H181" s="2"/>
      <c r="I181" s="5"/>
    </row>
    <row r="182" spans="1:9" ht="17.399999999999999" x14ac:dyDescent="0.25">
      <c r="A182" s="16"/>
      <c r="B182" s="17"/>
      <c r="C182" s="2"/>
      <c r="D182" s="2"/>
      <c r="E182" s="2"/>
      <c r="F182" s="2"/>
      <c r="G182" s="2"/>
      <c r="H182" s="2"/>
      <c r="I182" s="5"/>
    </row>
    <row r="183" spans="1:9" ht="17.399999999999999" x14ac:dyDescent="0.25">
      <c r="A183" s="16"/>
      <c r="B183" s="17"/>
      <c r="C183" s="2"/>
      <c r="D183" s="2"/>
      <c r="E183" s="2"/>
      <c r="F183" s="2"/>
      <c r="G183" s="2"/>
      <c r="H183" s="2"/>
      <c r="I183" s="5"/>
    </row>
    <row r="184" spans="1:9" ht="17.399999999999999" x14ac:dyDescent="0.25">
      <c r="A184" s="16"/>
      <c r="B184" s="17"/>
      <c r="C184" s="2"/>
      <c r="D184" s="2"/>
      <c r="E184" s="2"/>
      <c r="F184" s="2"/>
      <c r="G184" s="2"/>
      <c r="H184" s="2"/>
      <c r="I184" s="5"/>
    </row>
    <row r="185" spans="1:9" ht="17.399999999999999" x14ac:dyDescent="0.25">
      <c r="A185" s="16"/>
      <c r="B185" s="17"/>
      <c r="C185" s="2"/>
      <c r="D185" s="2"/>
      <c r="E185" s="2"/>
      <c r="F185" s="2"/>
      <c r="G185" s="2"/>
      <c r="H185" s="2"/>
      <c r="I185" s="5"/>
    </row>
    <row r="186" spans="1:9" ht="17.399999999999999" x14ac:dyDescent="0.25">
      <c r="A186" s="16"/>
      <c r="B186" s="17"/>
      <c r="C186" s="2"/>
      <c r="D186" s="2"/>
      <c r="E186" s="2"/>
      <c r="F186" s="2"/>
      <c r="G186" s="2"/>
      <c r="H186" s="2"/>
      <c r="I186" s="5"/>
    </row>
    <row r="187" spans="1:9" ht="17.399999999999999" x14ac:dyDescent="0.25">
      <c r="A187" s="16"/>
      <c r="B187" s="17"/>
      <c r="C187" s="2"/>
      <c r="D187" s="2"/>
      <c r="E187" s="2"/>
      <c r="F187" s="2"/>
      <c r="G187" s="2"/>
      <c r="H187" s="2"/>
      <c r="I187" s="5"/>
    </row>
    <row r="188" spans="1:9" ht="17.399999999999999" x14ac:dyDescent="0.25">
      <c r="A188" s="16"/>
      <c r="B188" s="17"/>
      <c r="C188" s="2"/>
      <c r="D188" s="2"/>
      <c r="E188" s="2"/>
      <c r="F188" s="2"/>
      <c r="G188" s="2"/>
      <c r="H188" s="2"/>
      <c r="I188" s="5"/>
    </row>
    <row r="189" spans="1:9" ht="17.399999999999999" x14ac:dyDescent="0.25">
      <c r="A189" s="16"/>
      <c r="B189" s="17"/>
      <c r="C189" s="2"/>
      <c r="D189" s="2"/>
      <c r="E189" s="2"/>
      <c r="F189" s="2"/>
      <c r="G189" s="2"/>
      <c r="H189" s="2"/>
      <c r="I189" s="5"/>
    </row>
    <row r="190" spans="1:9" ht="17.399999999999999" x14ac:dyDescent="0.25">
      <c r="A190" s="16"/>
      <c r="B190" s="17"/>
      <c r="C190" s="2"/>
      <c r="D190" s="2"/>
      <c r="E190" s="2"/>
      <c r="F190" s="2"/>
      <c r="G190" s="2"/>
      <c r="H190" s="2"/>
      <c r="I190" s="5"/>
    </row>
    <row r="191" spans="1:9" ht="17.399999999999999" x14ac:dyDescent="0.25">
      <c r="A191" s="16"/>
      <c r="B191" s="17"/>
      <c r="C191" s="2"/>
      <c r="D191" s="2"/>
      <c r="E191" s="2"/>
      <c r="F191" s="2"/>
      <c r="G191" s="2"/>
      <c r="H191" s="2"/>
      <c r="I191" s="5"/>
    </row>
    <row r="192" spans="1:9" ht="17.399999999999999" x14ac:dyDescent="0.25">
      <c r="A192" s="16"/>
      <c r="B192" s="17"/>
      <c r="C192" s="2"/>
      <c r="D192" s="2"/>
      <c r="E192" s="2"/>
      <c r="F192" s="2"/>
      <c r="G192" s="2"/>
      <c r="H192" s="2"/>
      <c r="I192" s="5"/>
    </row>
    <row r="193" spans="1:9" ht="17.399999999999999" x14ac:dyDescent="0.25">
      <c r="A193" s="16"/>
      <c r="B193" s="17"/>
      <c r="C193" s="2"/>
      <c r="D193" s="2"/>
      <c r="E193" s="2"/>
      <c r="F193" s="2"/>
      <c r="G193" s="2"/>
      <c r="H193" s="2"/>
      <c r="I193" s="5"/>
    </row>
    <row r="194" spans="1:9" ht="17.399999999999999" x14ac:dyDescent="0.25">
      <c r="A194" s="16"/>
      <c r="B194" s="17"/>
      <c r="C194" s="2"/>
      <c r="D194" s="2"/>
      <c r="E194" s="2"/>
      <c r="F194" s="2"/>
      <c r="G194" s="2"/>
      <c r="H194" s="2"/>
      <c r="I194" s="5"/>
    </row>
    <row r="195" spans="1:9" ht="17.399999999999999" x14ac:dyDescent="0.25">
      <c r="A195" s="16"/>
      <c r="B195" s="17"/>
      <c r="C195" s="2"/>
      <c r="D195" s="2"/>
      <c r="E195" s="2"/>
      <c r="F195" s="2"/>
      <c r="G195" s="2"/>
      <c r="H195" s="2"/>
      <c r="I195" s="5"/>
    </row>
    <row r="196" spans="1:9" ht="17.399999999999999" x14ac:dyDescent="0.25">
      <c r="A196" s="16"/>
      <c r="B196" s="17"/>
      <c r="C196" s="2"/>
      <c r="D196" s="2"/>
      <c r="E196" s="2"/>
      <c r="F196" s="2"/>
      <c r="G196" s="2"/>
      <c r="H196" s="2"/>
      <c r="I196" s="5"/>
    </row>
    <row r="197" spans="1:9" ht="17.399999999999999" x14ac:dyDescent="0.25">
      <c r="A197" s="16"/>
      <c r="B197" s="17"/>
      <c r="C197" s="2"/>
      <c r="D197" s="2"/>
      <c r="E197" s="2"/>
      <c r="F197" s="2"/>
      <c r="G197" s="2"/>
      <c r="H197" s="2"/>
      <c r="I197" s="5"/>
    </row>
    <row r="198" spans="1:9" ht="17.399999999999999" x14ac:dyDescent="0.25">
      <c r="A198" s="16"/>
      <c r="B198" s="17"/>
      <c r="C198" s="2"/>
      <c r="D198" s="2"/>
      <c r="E198" s="2"/>
      <c r="F198" s="2"/>
      <c r="G198" s="2"/>
      <c r="H198" s="2"/>
      <c r="I198" s="5"/>
    </row>
    <row r="199" spans="1:9" ht="17.399999999999999" x14ac:dyDescent="0.25">
      <c r="A199" s="16"/>
      <c r="B199" s="17"/>
      <c r="C199" s="2"/>
      <c r="D199" s="2"/>
      <c r="E199" s="2"/>
      <c r="F199" s="2"/>
      <c r="G199" s="2"/>
      <c r="H199" s="2"/>
      <c r="I199" s="5"/>
    </row>
    <row r="200" spans="1:9" ht="17.399999999999999" x14ac:dyDescent="0.25">
      <c r="A200" s="16"/>
      <c r="B200" s="17"/>
      <c r="C200" s="2"/>
      <c r="D200" s="2"/>
      <c r="E200" s="2"/>
      <c r="F200" s="2"/>
      <c r="G200" s="2"/>
      <c r="H200" s="2"/>
      <c r="I200" s="5"/>
    </row>
    <row r="201" spans="1:9" ht="17.399999999999999" x14ac:dyDescent="0.25">
      <c r="A201" s="16"/>
      <c r="B201" s="17"/>
      <c r="C201" s="2"/>
      <c r="D201" s="2"/>
      <c r="E201" s="2"/>
      <c r="F201" s="2"/>
      <c r="G201" s="2"/>
      <c r="H201" s="2"/>
      <c r="I201" s="5"/>
    </row>
    <row r="202" spans="1:9" ht="17.399999999999999" x14ac:dyDescent="0.25">
      <c r="A202" s="16"/>
      <c r="B202" s="17"/>
      <c r="C202" s="2"/>
      <c r="D202" s="2"/>
      <c r="E202" s="2"/>
      <c r="F202" s="2"/>
      <c r="G202" s="2"/>
      <c r="H202" s="2"/>
      <c r="I202" s="5"/>
    </row>
    <row r="203" spans="1:9" ht="17.399999999999999" x14ac:dyDescent="0.25">
      <c r="A203" s="16"/>
      <c r="B203" s="17"/>
      <c r="C203" s="2"/>
      <c r="D203" s="2"/>
      <c r="E203" s="2"/>
      <c r="F203" s="2"/>
      <c r="G203" s="2"/>
      <c r="H203" s="2"/>
      <c r="I203" s="5"/>
    </row>
    <row r="204" spans="1:9" ht="17.399999999999999" x14ac:dyDescent="0.25">
      <c r="A204" s="16"/>
      <c r="B204" s="17"/>
      <c r="C204" s="2"/>
      <c r="D204" s="2"/>
      <c r="E204" s="2"/>
      <c r="F204" s="2"/>
      <c r="G204" s="2"/>
      <c r="H204" s="2"/>
      <c r="I204" s="5"/>
    </row>
    <row r="205" spans="1:9" ht="17.399999999999999" x14ac:dyDescent="0.25">
      <c r="A205" s="16"/>
      <c r="B205" s="17"/>
      <c r="C205" s="2"/>
      <c r="D205" s="2"/>
      <c r="E205" s="2"/>
      <c r="F205" s="2"/>
      <c r="G205" s="2"/>
      <c r="H205" s="2"/>
      <c r="I205" s="5"/>
    </row>
    <row r="206" spans="1:9" ht="17.399999999999999" x14ac:dyDescent="0.25">
      <c r="A206" s="16"/>
      <c r="B206" s="17"/>
      <c r="C206" s="2"/>
      <c r="D206" s="2"/>
      <c r="E206" s="2"/>
      <c r="F206" s="2"/>
      <c r="G206" s="2"/>
      <c r="H206" s="2"/>
      <c r="I206" s="5"/>
    </row>
    <row r="207" spans="1:9" ht="17.399999999999999" x14ac:dyDescent="0.25">
      <c r="A207" s="16"/>
      <c r="B207" s="17"/>
      <c r="C207" s="2"/>
      <c r="D207" s="2"/>
      <c r="E207" s="2"/>
      <c r="F207" s="2"/>
      <c r="G207" s="2"/>
      <c r="H207" s="2"/>
      <c r="I207" s="5"/>
    </row>
    <row r="208" spans="1:9" ht="17.399999999999999" x14ac:dyDescent="0.25">
      <c r="A208" s="16"/>
      <c r="B208" s="17"/>
      <c r="C208" s="2"/>
      <c r="D208" s="2"/>
      <c r="E208" s="2"/>
      <c r="F208" s="2"/>
      <c r="G208" s="2"/>
      <c r="H208" s="2"/>
      <c r="I208" s="5"/>
    </row>
    <row r="209" spans="1:9" ht="17.399999999999999" x14ac:dyDescent="0.25">
      <c r="A209" s="16"/>
      <c r="B209" s="17"/>
      <c r="C209" s="2"/>
      <c r="D209" s="2"/>
      <c r="E209" s="2"/>
      <c r="F209" s="2"/>
      <c r="G209" s="2"/>
      <c r="H209" s="2"/>
      <c r="I209" s="5"/>
    </row>
    <row r="210" spans="1:9" ht="17.399999999999999" x14ac:dyDescent="0.25">
      <c r="A210" s="16"/>
      <c r="B210" s="17"/>
      <c r="C210" s="2"/>
      <c r="D210" s="2"/>
      <c r="E210" s="2"/>
      <c r="F210" s="2"/>
      <c r="G210" s="2"/>
      <c r="H210" s="2"/>
      <c r="I210" s="5"/>
    </row>
    <row r="211" spans="1:9" ht="17.399999999999999" x14ac:dyDescent="0.25">
      <c r="A211" s="16"/>
      <c r="B211" s="17"/>
      <c r="C211" s="2"/>
      <c r="D211" s="2"/>
      <c r="E211" s="2"/>
      <c r="F211" s="2"/>
      <c r="G211" s="2"/>
      <c r="H211" s="2"/>
      <c r="I211" s="5"/>
    </row>
    <row r="212" spans="1:9" ht="17.399999999999999" x14ac:dyDescent="0.25">
      <c r="A212" s="16"/>
      <c r="B212" s="17"/>
      <c r="C212" s="2"/>
      <c r="D212" s="2"/>
      <c r="E212" s="2"/>
      <c r="F212" s="2"/>
      <c r="G212" s="2"/>
      <c r="H212" s="2"/>
      <c r="I212" s="5"/>
    </row>
    <row r="213" spans="1:9" ht="17.399999999999999" x14ac:dyDescent="0.25">
      <c r="A213" s="16"/>
      <c r="B213" s="17"/>
      <c r="C213" s="2"/>
      <c r="D213" s="2"/>
      <c r="E213" s="2"/>
      <c r="F213" s="2"/>
      <c r="G213" s="2"/>
      <c r="H213" s="2"/>
      <c r="I213" s="5"/>
    </row>
    <row r="214" spans="1:9" ht="17.399999999999999" x14ac:dyDescent="0.25">
      <c r="A214" s="16"/>
      <c r="B214" s="17"/>
      <c r="C214" s="2"/>
      <c r="D214" s="2"/>
      <c r="E214" s="2"/>
      <c r="F214" s="2"/>
      <c r="G214" s="2"/>
      <c r="H214" s="2"/>
      <c r="I214" s="5"/>
    </row>
    <row r="215" spans="1:9" ht="17.399999999999999" x14ac:dyDescent="0.25">
      <c r="A215" s="16"/>
      <c r="B215" s="17"/>
      <c r="C215" s="2"/>
      <c r="D215" s="2"/>
      <c r="E215" s="2"/>
      <c r="F215" s="2"/>
      <c r="G215" s="2"/>
      <c r="H215" s="2"/>
      <c r="I215" s="5"/>
    </row>
    <row r="216" spans="1:9" ht="17.399999999999999" x14ac:dyDescent="0.25">
      <c r="A216" s="16"/>
      <c r="B216" s="17"/>
      <c r="C216" s="2"/>
      <c r="D216" s="2"/>
      <c r="E216" s="2"/>
      <c r="F216" s="2"/>
      <c r="G216" s="2"/>
      <c r="H216" s="2"/>
      <c r="I216" s="5"/>
    </row>
    <row r="217" spans="1:9" ht="17.399999999999999" x14ac:dyDescent="0.25">
      <c r="A217" s="16"/>
      <c r="B217" s="17"/>
      <c r="C217" s="2"/>
      <c r="D217" s="2"/>
      <c r="E217" s="2"/>
      <c r="F217" s="2"/>
      <c r="G217" s="2"/>
      <c r="H217" s="2"/>
      <c r="I217" s="5"/>
    </row>
    <row r="218" spans="1:9" ht="17.399999999999999" x14ac:dyDescent="0.25">
      <c r="A218" s="16"/>
      <c r="B218" s="17"/>
      <c r="C218" s="2"/>
      <c r="D218" s="2"/>
      <c r="E218" s="2"/>
      <c r="F218" s="2"/>
      <c r="G218" s="2"/>
      <c r="H218" s="2"/>
      <c r="I218" s="5"/>
    </row>
    <row r="219" spans="1:9" ht="17.399999999999999" x14ac:dyDescent="0.25">
      <c r="A219" s="16"/>
      <c r="B219" s="17"/>
      <c r="C219" s="2"/>
      <c r="D219" s="2"/>
      <c r="E219" s="2"/>
      <c r="F219" s="2"/>
      <c r="G219" s="2"/>
      <c r="H219" s="2"/>
      <c r="I219" s="5"/>
    </row>
    <row r="220" spans="1:9" ht="17.399999999999999" x14ac:dyDescent="0.25">
      <c r="A220" s="16"/>
      <c r="B220" s="17"/>
      <c r="C220" s="2"/>
      <c r="D220" s="2"/>
      <c r="E220" s="2"/>
      <c r="F220" s="2"/>
      <c r="G220" s="2"/>
      <c r="H220" s="2"/>
      <c r="I220" s="5"/>
    </row>
    <row r="221" spans="1:9" ht="17.399999999999999" x14ac:dyDescent="0.25">
      <c r="A221" s="16"/>
      <c r="B221" s="17"/>
      <c r="C221" s="2"/>
      <c r="D221" s="2"/>
      <c r="E221" s="2"/>
      <c r="F221" s="2"/>
      <c r="G221" s="2"/>
      <c r="H221" s="2"/>
      <c r="I221" s="5"/>
    </row>
    <row r="222" spans="1:9" ht="17.399999999999999" x14ac:dyDescent="0.25">
      <c r="A222" s="16"/>
      <c r="B222" s="17"/>
      <c r="C222" s="2"/>
      <c r="D222" s="2"/>
      <c r="E222" s="2"/>
      <c r="F222" s="2"/>
      <c r="G222" s="2"/>
      <c r="H222" s="2"/>
      <c r="I222" s="5"/>
    </row>
    <row r="223" spans="1:9" ht="17.399999999999999" x14ac:dyDescent="0.25">
      <c r="A223" s="16"/>
      <c r="B223" s="17"/>
      <c r="C223" s="2"/>
      <c r="D223" s="2"/>
      <c r="E223" s="2"/>
      <c r="F223" s="2"/>
      <c r="G223" s="2"/>
      <c r="H223" s="2"/>
      <c r="I223" s="5"/>
    </row>
    <row r="224" spans="1:9" ht="17.399999999999999" x14ac:dyDescent="0.25">
      <c r="A224" s="16"/>
      <c r="B224" s="17"/>
      <c r="C224" s="2"/>
      <c r="D224" s="2"/>
      <c r="E224" s="2"/>
      <c r="F224" s="2"/>
      <c r="G224" s="2"/>
      <c r="H224" s="2"/>
      <c r="I224" s="5"/>
    </row>
    <row r="225" spans="1:9" ht="17.399999999999999" x14ac:dyDescent="0.25">
      <c r="A225" s="16"/>
      <c r="B225" s="17"/>
      <c r="C225" s="2"/>
      <c r="D225" s="2"/>
      <c r="E225" s="2"/>
      <c r="F225" s="2"/>
      <c r="G225" s="2"/>
      <c r="H225" s="2"/>
      <c r="I225" s="5"/>
    </row>
    <row r="226" spans="1:9" ht="17.399999999999999" x14ac:dyDescent="0.25">
      <c r="A226" s="16"/>
      <c r="B226" s="17"/>
      <c r="C226" s="2"/>
      <c r="D226" s="2"/>
      <c r="E226" s="2"/>
      <c r="F226" s="2"/>
      <c r="G226" s="2"/>
      <c r="H226" s="2"/>
      <c r="I226" s="5"/>
    </row>
    <row r="227" spans="1:9" ht="17.399999999999999" x14ac:dyDescent="0.25">
      <c r="A227" s="16"/>
      <c r="B227" s="17"/>
      <c r="C227" s="2"/>
      <c r="D227" s="2"/>
      <c r="E227" s="2"/>
      <c r="F227" s="2"/>
      <c r="G227" s="2"/>
      <c r="H227" s="2"/>
      <c r="I227" s="5"/>
    </row>
    <row r="228" spans="1:9" ht="17.399999999999999" x14ac:dyDescent="0.25">
      <c r="A228" s="16"/>
      <c r="B228" s="17"/>
      <c r="C228" s="2"/>
      <c r="D228" s="2"/>
      <c r="E228" s="2"/>
      <c r="F228" s="2"/>
      <c r="G228" s="2"/>
      <c r="H228" s="2"/>
      <c r="I228" s="5"/>
    </row>
    <row r="229" spans="1:9" ht="17.399999999999999" x14ac:dyDescent="0.25">
      <c r="A229" s="16"/>
      <c r="B229" s="17"/>
      <c r="C229" s="2"/>
      <c r="D229" s="2"/>
      <c r="E229" s="2"/>
      <c r="F229" s="2"/>
      <c r="G229" s="2"/>
      <c r="H229" s="2"/>
      <c r="I229" s="5"/>
    </row>
    <row r="230" spans="1:9" ht="17.399999999999999" x14ac:dyDescent="0.25">
      <c r="A230" s="16"/>
      <c r="B230" s="17"/>
      <c r="C230" s="2"/>
      <c r="D230" s="2"/>
      <c r="E230" s="2"/>
      <c r="F230" s="2"/>
      <c r="G230" s="2"/>
      <c r="H230" s="2"/>
      <c r="I230" s="5"/>
    </row>
    <row r="231" spans="1:9" ht="17.399999999999999" x14ac:dyDescent="0.25">
      <c r="A231" s="16"/>
      <c r="B231" s="17"/>
      <c r="C231" s="2"/>
      <c r="D231" s="2"/>
      <c r="E231" s="2"/>
      <c r="F231" s="2"/>
      <c r="G231" s="2"/>
      <c r="H231" s="2"/>
      <c r="I231" s="5"/>
    </row>
    <row r="232" spans="1:9" ht="17.399999999999999" x14ac:dyDescent="0.25">
      <c r="A232" s="16"/>
      <c r="B232" s="17"/>
      <c r="C232" s="2"/>
      <c r="D232" s="2"/>
      <c r="E232" s="2"/>
      <c r="F232" s="2"/>
      <c r="G232" s="2"/>
      <c r="H232" s="2"/>
      <c r="I232" s="5"/>
    </row>
    <row r="233" spans="1:9" ht="17.399999999999999" x14ac:dyDescent="0.25">
      <c r="A233" s="16"/>
      <c r="B233" s="17"/>
      <c r="C233" s="2"/>
      <c r="D233" s="2"/>
      <c r="E233" s="2"/>
      <c r="F233" s="2"/>
      <c r="G233" s="2"/>
      <c r="H233" s="2"/>
      <c r="I233" s="5"/>
    </row>
    <row r="234" spans="1:9" ht="17.399999999999999" x14ac:dyDescent="0.25">
      <c r="A234" s="16"/>
      <c r="B234" s="17"/>
      <c r="C234" s="2"/>
      <c r="D234" s="2"/>
      <c r="E234" s="2"/>
      <c r="F234" s="2"/>
      <c r="G234" s="2"/>
      <c r="H234" s="2"/>
      <c r="I234" s="5"/>
    </row>
    <row r="235" spans="1:9" ht="17.399999999999999" x14ac:dyDescent="0.25">
      <c r="A235" s="16"/>
      <c r="B235" s="17"/>
      <c r="C235" s="2"/>
      <c r="D235" s="2"/>
      <c r="E235" s="2"/>
      <c r="F235" s="2"/>
      <c r="G235" s="2"/>
      <c r="H235" s="2"/>
      <c r="I235" s="5"/>
    </row>
    <row r="236" spans="1:9" ht="17.399999999999999" x14ac:dyDescent="0.25">
      <c r="A236" s="16"/>
      <c r="B236" s="17"/>
      <c r="C236" s="2"/>
      <c r="D236" s="2"/>
      <c r="E236" s="2"/>
      <c r="F236" s="2"/>
      <c r="G236" s="2"/>
      <c r="H236" s="2"/>
      <c r="I236" s="5"/>
    </row>
    <row r="237" spans="1:9" ht="17.399999999999999" x14ac:dyDescent="0.25">
      <c r="A237" s="16"/>
      <c r="B237" s="17"/>
      <c r="C237" s="2"/>
      <c r="D237" s="2"/>
      <c r="E237" s="2"/>
      <c r="F237" s="2"/>
      <c r="G237" s="2"/>
      <c r="H237" s="2"/>
      <c r="I237" s="5"/>
    </row>
    <row r="238" spans="1:9" ht="17.399999999999999" x14ac:dyDescent="0.25">
      <c r="A238" s="16"/>
      <c r="B238" s="17"/>
      <c r="C238" s="2"/>
      <c r="D238" s="2"/>
      <c r="E238" s="2"/>
      <c r="F238" s="2"/>
      <c r="G238" s="2"/>
      <c r="H238" s="2"/>
      <c r="I238" s="5"/>
    </row>
    <row r="239" spans="1:9" ht="17.399999999999999" x14ac:dyDescent="0.25">
      <c r="A239" s="16"/>
      <c r="B239" s="17"/>
      <c r="C239" s="2"/>
      <c r="D239" s="2"/>
      <c r="E239" s="2"/>
      <c r="F239" s="2"/>
      <c r="G239" s="2"/>
      <c r="H239" s="2"/>
      <c r="I239" s="5"/>
    </row>
    <row r="240" spans="1:9" ht="17.399999999999999" x14ac:dyDescent="0.25">
      <c r="A240" s="16"/>
      <c r="B240" s="17"/>
      <c r="C240" s="2"/>
      <c r="D240" s="2"/>
      <c r="E240" s="2"/>
      <c r="F240" s="2"/>
      <c r="G240" s="2"/>
      <c r="H240" s="2"/>
      <c r="I240" s="5"/>
    </row>
    <row r="241" spans="1:9" ht="17.399999999999999" x14ac:dyDescent="0.25">
      <c r="A241" s="16"/>
      <c r="B241" s="17"/>
      <c r="C241" s="2"/>
      <c r="D241" s="2"/>
      <c r="E241" s="2"/>
      <c r="F241" s="2"/>
      <c r="G241" s="2"/>
      <c r="H241" s="2"/>
      <c r="I241" s="5"/>
    </row>
    <row r="242" spans="1:9" ht="17.399999999999999" x14ac:dyDescent="0.25">
      <c r="A242" s="16"/>
      <c r="B242" s="17"/>
      <c r="C242" s="2"/>
      <c r="D242" s="2"/>
      <c r="E242" s="2"/>
      <c r="F242" s="2"/>
      <c r="G242" s="2"/>
      <c r="H242" s="2"/>
      <c r="I242" s="5"/>
    </row>
    <row r="243" spans="1:9" ht="17.399999999999999" x14ac:dyDescent="0.25">
      <c r="A243" s="16"/>
      <c r="B243" s="17"/>
      <c r="C243" s="2"/>
      <c r="D243" s="2"/>
      <c r="E243" s="2"/>
      <c r="F243" s="2"/>
      <c r="G243" s="2"/>
      <c r="H243" s="2"/>
      <c r="I243" s="5"/>
    </row>
    <row r="244" spans="1:9" ht="17.399999999999999" x14ac:dyDescent="0.25">
      <c r="A244" s="16"/>
      <c r="B244" s="17"/>
      <c r="C244" s="2"/>
      <c r="D244" s="2"/>
      <c r="E244" s="2"/>
      <c r="F244" s="2"/>
      <c r="G244" s="2"/>
      <c r="H244" s="2"/>
      <c r="I244" s="5"/>
    </row>
    <row r="245" spans="1:9" ht="17.399999999999999" x14ac:dyDescent="0.25">
      <c r="A245" s="16"/>
      <c r="B245" s="17"/>
      <c r="C245" s="2"/>
      <c r="D245" s="2"/>
      <c r="E245" s="2"/>
      <c r="F245" s="2"/>
      <c r="G245" s="2"/>
      <c r="H245" s="2"/>
      <c r="I245" s="5"/>
    </row>
    <row r="246" spans="1:9" ht="17.399999999999999" x14ac:dyDescent="0.25">
      <c r="A246" s="16"/>
      <c r="B246" s="17"/>
      <c r="C246" s="2"/>
      <c r="D246" s="2"/>
      <c r="E246" s="2"/>
      <c r="F246" s="2"/>
      <c r="G246" s="2"/>
      <c r="H246" s="2"/>
      <c r="I246" s="5"/>
    </row>
    <row r="247" spans="1:9" ht="17.399999999999999" x14ac:dyDescent="0.25">
      <c r="A247" s="16"/>
      <c r="B247" s="17"/>
      <c r="C247" s="2"/>
      <c r="D247" s="2"/>
      <c r="E247" s="2"/>
      <c r="F247" s="2"/>
      <c r="G247" s="2"/>
      <c r="H247" s="2"/>
      <c r="I247" s="5"/>
    </row>
    <row r="248" spans="1:9" ht="17.399999999999999" x14ac:dyDescent="0.25">
      <c r="A248" s="16"/>
      <c r="B248" s="17"/>
      <c r="C248" s="2"/>
      <c r="D248" s="2"/>
      <c r="E248" s="2"/>
      <c r="F248" s="2"/>
      <c r="G248" s="2"/>
      <c r="H248" s="2"/>
      <c r="I248" s="5"/>
    </row>
    <row r="249" spans="1:9" ht="17.399999999999999" x14ac:dyDescent="0.25">
      <c r="A249" s="16"/>
      <c r="B249" s="17"/>
      <c r="C249" s="2"/>
      <c r="D249" s="2"/>
      <c r="E249" s="2"/>
      <c r="F249" s="2"/>
      <c r="G249" s="2"/>
      <c r="H249" s="2"/>
      <c r="I249" s="5"/>
    </row>
    <row r="250" spans="1:9" ht="17.399999999999999" x14ac:dyDescent="0.25">
      <c r="A250" s="16"/>
      <c r="B250" s="17"/>
      <c r="C250" s="2"/>
      <c r="D250" s="2"/>
      <c r="E250" s="2"/>
      <c r="F250" s="2"/>
      <c r="G250" s="2"/>
      <c r="H250" s="2"/>
      <c r="I250" s="5"/>
    </row>
    <row r="251" spans="1:9" ht="17.399999999999999" x14ac:dyDescent="0.25">
      <c r="A251" s="16"/>
      <c r="B251" s="17"/>
      <c r="C251" s="2"/>
      <c r="D251" s="2"/>
      <c r="E251" s="2"/>
      <c r="F251" s="2"/>
      <c r="G251" s="2"/>
      <c r="H251" s="2"/>
      <c r="I251" s="5"/>
    </row>
    <row r="252" spans="1:9" ht="17.399999999999999" x14ac:dyDescent="0.25">
      <c r="A252" s="16"/>
      <c r="B252" s="17"/>
      <c r="C252" s="2"/>
      <c r="D252" s="2"/>
      <c r="E252" s="2"/>
      <c r="F252" s="2"/>
      <c r="G252" s="2"/>
      <c r="H252" s="2"/>
      <c r="I252" s="5"/>
    </row>
    <row r="253" spans="1:9" ht="17.399999999999999" x14ac:dyDescent="0.25">
      <c r="A253" s="16"/>
      <c r="B253" s="17"/>
      <c r="C253" s="2"/>
      <c r="D253" s="2"/>
      <c r="E253" s="2"/>
      <c r="F253" s="2"/>
      <c r="G253" s="2"/>
      <c r="H253" s="2"/>
      <c r="I253" s="5"/>
    </row>
    <row r="254" spans="1:9" ht="17.399999999999999" x14ac:dyDescent="0.25">
      <c r="A254" s="16"/>
      <c r="B254" s="17"/>
      <c r="C254" s="2"/>
      <c r="D254" s="2"/>
      <c r="E254" s="2"/>
      <c r="F254" s="2"/>
      <c r="G254" s="2"/>
      <c r="H254" s="2"/>
      <c r="I254" s="5"/>
    </row>
    <row r="255" spans="1:9" ht="17.399999999999999" x14ac:dyDescent="0.25">
      <c r="A255" s="16"/>
      <c r="B255" s="17"/>
      <c r="C255" s="2"/>
      <c r="D255" s="2"/>
      <c r="E255" s="2"/>
      <c r="F255" s="2"/>
      <c r="G255" s="2"/>
      <c r="H255" s="2"/>
      <c r="I255" s="5"/>
    </row>
    <row r="256" spans="1:9" ht="17.399999999999999" x14ac:dyDescent="0.25">
      <c r="A256" s="16"/>
      <c r="B256" s="17"/>
      <c r="C256" s="2"/>
      <c r="D256" s="2"/>
      <c r="E256" s="2"/>
      <c r="F256" s="2"/>
      <c r="G256" s="2"/>
      <c r="H256" s="2"/>
      <c r="I256" s="5"/>
    </row>
    <row r="257" spans="1:9" ht="17.399999999999999" x14ac:dyDescent="0.25">
      <c r="A257" s="16"/>
      <c r="B257" s="17"/>
      <c r="C257" s="2"/>
      <c r="D257" s="2"/>
      <c r="E257" s="2"/>
      <c r="F257" s="2"/>
      <c r="G257" s="2"/>
      <c r="H257" s="2"/>
      <c r="I257" s="5"/>
    </row>
    <row r="258" spans="1:9" ht="17.399999999999999" x14ac:dyDescent="0.25">
      <c r="A258" s="16"/>
      <c r="B258" s="17"/>
      <c r="C258" s="2"/>
      <c r="D258" s="2"/>
      <c r="E258" s="2"/>
      <c r="F258" s="2"/>
      <c r="G258" s="2"/>
      <c r="H258" s="2"/>
      <c r="I258" s="5"/>
    </row>
    <row r="259" spans="1:9" ht="17.399999999999999" x14ac:dyDescent="0.25">
      <c r="A259" s="16"/>
      <c r="B259" s="17"/>
      <c r="C259" s="2"/>
      <c r="D259" s="2"/>
      <c r="E259" s="2"/>
      <c r="F259" s="2"/>
      <c r="G259" s="2"/>
      <c r="H259" s="2"/>
      <c r="I259" s="5"/>
    </row>
    <row r="260" spans="1:9" ht="17.399999999999999" x14ac:dyDescent="0.25">
      <c r="A260" s="16"/>
      <c r="B260" s="17"/>
      <c r="C260" s="2"/>
      <c r="D260" s="2"/>
      <c r="E260" s="2"/>
      <c r="F260" s="2"/>
      <c r="G260" s="2"/>
      <c r="H260" s="2"/>
      <c r="I260" s="5"/>
    </row>
    <row r="261" spans="1:9" ht="17.399999999999999" x14ac:dyDescent="0.25">
      <c r="A261" s="16"/>
      <c r="B261" s="17"/>
      <c r="C261" s="2"/>
      <c r="D261" s="2"/>
      <c r="E261" s="2"/>
      <c r="F261" s="2"/>
      <c r="G261" s="2"/>
      <c r="H261" s="2"/>
      <c r="I261" s="5"/>
    </row>
    <row r="262" spans="1:9" ht="17.399999999999999" x14ac:dyDescent="0.25">
      <c r="A262" s="16"/>
      <c r="B262" s="17"/>
      <c r="C262" s="2"/>
      <c r="D262" s="2"/>
      <c r="E262" s="2"/>
      <c r="F262" s="2"/>
      <c r="G262" s="2"/>
      <c r="H262" s="2"/>
      <c r="I262" s="5"/>
    </row>
    <row r="263" spans="1:9" ht="17.399999999999999" x14ac:dyDescent="0.25">
      <c r="A263" s="16"/>
      <c r="B263" s="17"/>
      <c r="C263" s="2"/>
      <c r="D263" s="2"/>
      <c r="E263" s="2"/>
      <c r="F263" s="2"/>
      <c r="G263" s="2"/>
      <c r="H263" s="2"/>
      <c r="I263" s="5"/>
    </row>
    <row r="264" spans="1:9" ht="17.399999999999999" x14ac:dyDescent="0.25">
      <c r="A264" s="16"/>
      <c r="B264" s="17"/>
      <c r="C264" s="2"/>
      <c r="D264" s="2"/>
      <c r="E264" s="2"/>
      <c r="F264" s="2"/>
      <c r="G264" s="2"/>
      <c r="H264" s="2"/>
      <c r="I264" s="5"/>
    </row>
    <row r="265" spans="1:9" ht="17.399999999999999" x14ac:dyDescent="0.25">
      <c r="A265" s="16"/>
      <c r="B265" s="17"/>
      <c r="C265" s="2"/>
      <c r="D265" s="2"/>
      <c r="E265" s="2"/>
      <c r="F265" s="2"/>
      <c r="G265" s="2"/>
      <c r="H265" s="2"/>
      <c r="I265" s="5"/>
    </row>
    <row r="266" spans="1:9" ht="17.399999999999999" x14ac:dyDescent="0.25">
      <c r="A266" s="16"/>
      <c r="B266" s="17"/>
      <c r="C266" s="2"/>
      <c r="D266" s="2"/>
      <c r="E266" s="2"/>
      <c r="F266" s="2"/>
      <c r="G266" s="2"/>
      <c r="H266" s="2"/>
      <c r="I266" s="5"/>
    </row>
    <row r="267" spans="1:9" ht="17.399999999999999" x14ac:dyDescent="0.25">
      <c r="A267" s="16"/>
      <c r="B267" s="17"/>
      <c r="C267" s="2"/>
      <c r="D267" s="2"/>
      <c r="E267" s="2"/>
      <c r="F267" s="2"/>
      <c r="G267" s="2"/>
      <c r="H267" s="2"/>
      <c r="I267" s="5"/>
    </row>
    <row r="268" spans="1:9" ht="17.399999999999999" x14ac:dyDescent="0.25">
      <c r="A268" s="16"/>
      <c r="B268" s="17"/>
      <c r="C268" s="2"/>
      <c r="D268" s="2"/>
      <c r="E268" s="2"/>
      <c r="F268" s="2"/>
      <c r="G268" s="2"/>
      <c r="H268" s="2"/>
      <c r="I268" s="5"/>
    </row>
    <row r="269" spans="1:9" ht="17.399999999999999" x14ac:dyDescent="0.25">
      <c r="A269" s="16"/>
      <c r="B269" s="17"/>
      <c r="C269" s="2"/>
      <c r="D269" s="2"/>
      <c r="E269" s="2"/>
      <c r="F269" s="2"/>
      <c r="G269" s="2"/>
      <c r="H269" s="2"/>
      <c r="I269" s="5"/>
    </row>
    <row r="270" spans="1:9" ht="17.399999999999999" x14ac:dyDescent="0.25">
      <c r="A270" s="16"/>
      <c r="B270" s="17"/>
      <c r="C270" s="2"/>
      <c r="D270" s="2"/>
      <c r="E270" s="2"/>
      <c r="F270" s="2"/>
      <c r="G270" s="2"/>
      <c r="H270" s="2"/>
      <c r="I270" s="5"/>
    </row>
    <row r="271" spans="1:9" ht="17.399999999999999" x14ac:dyDescent="0.25">
      <c r="A271" s="16"/>
      <c r="B271" s="17"/>
      <c r="C271" s="2"/>
      <c r="D271" s="2"/>
      <c r="E271" s="2"/>
      <c r="F271" s="2"/>
      <c r="G271" s="2"/>
      <c r="H271" s="2"/>
      <c r="I271" s="5"/>
    </row>
    <row r="272" spans="1:9" ht="17.399999999999999" x14ac:dyDescent="0.25">
      <c r="A272" s="16"/>
      <c r="B272" s="17"/>
      <c r="C272" s="2"/>
      <c r="D272" s="2"/>
      <c r="E272" s="2"/>
      <c r="F272" s="2"/>
      <c r="G272" s="2"/>
      <c r="H272" s="2"/>
      <c r="I272" s="5"/>
    </row>
    <row r="273" spans="1:9" ht="17.399999999999999" x14ac:dyDescent="0.25">
      <c r="A273" s="16"/>
      <c r="B273" s="17"/>
      <c r="C273" s="2"/>
      <c r="D273" s="2"/>
      <c r="E273" s="2"/>
      <c r="F273" s="2"/>
      <c r="G273" s="2"/>
      <c r="H273" s="2"/>
      <c r="I273" s="5"/>
    </row>
    <row r="274" spans="1:9" ht="17.399999999999999" x14ac:dyDescent="0.25">
      <c r="A274" s="16"/>
      <c r="B274" s="17"/>
      <c r="C274" s="2"/>
      <c r="D274" s="2"/>
      <c r="E274" s="2"/>
      <c r="F274" s="2"/>
      <c r="G274" s="2"/>
      <c r="H274" s="2"/>
      <c r="I274" s="5"/>
    </row>
    <row r="275" spans="1:9" ht="17.399999999999999" x14ac:dyDescent="0.25">
      <c r="A275" s="16"/>
      <c r="B275" s="17"/>
      <c r="C275" s="2"/>
      <c r="D275" s="2"/>
      <c r="E275" s="2"/>
      <c r="F275" s="2"/>
      <c r="G275" s="2"/>
      <c r="H275" s="2"/>
      <c r="I275" s="5"/>
    </row>
    <row r="276" spans="1:9" ht="17.399999999999999" x14ac:dyDescent="0.25">
      <c r="A276" s="16"/>
      <c r="B276" s="17"/>
      <c r="C276" s="2"/>
      <c r="D276" s="2"/>
      <c r="E276" s="2"/>
      <c r="F276" s="2"/>
      <c r="G276" s="2"/>
      <c r="H276" s="2"/>
      <c r="I276" s="5"/>
    </row>
    <row r="277" spans="1:9" ht="17.399999999999999" x14ac:dyDescent="0.25">
      <c r="A277" s="16"/>
      <c r="B277" s="17"/>
      <c r="C277" s="2"/>
      <c r="D277" s="2"/>
      <c r="E277" s="2"/>
      <c r="F277" s="2"/>
      <c r="G277" s="2"/>
      <c r="H277" s="2"/>
      <c r="I277" s="5"/>
    </row>
    <row r="278" spans="1:9" ht="17.399999999999999" x14ac:dyDescent="0.25">
      <c r="A278" s="16"/>
      <c r="B278" s="17"/>
      <c r="C278" s="2"/>
      <c r="D278" s="2"/>
      <c r="E278" s="2"/>
      <c r="F278" s="2"/>
      <c r="G278" s="2"/>
      <c r="H278" s="2"/>
      <c r="I278" s="5"/>
    </row>
    <row r="279" spans="1:9" ht="17.399999999999999" x14ac:dyDescent="0.25">
      <c r="A279" s="16"/>
      <c r="B279" s="17"/>
      <c r="C279" s="2"/>
      <c r="D279" s="2"/>
      <c r="E279" s="2"/>
      <c r="F279" s="2"/>
      <c r="G279" s="2"/>
      <c r="H279" s="2"/>
      <c r="I279" s="5"/>
    </row>
    <row r="280" spans="1:9" ht="17.399999999999999" x14ac:dyDescent="0.25">
      <c r="A280" s="16"/>
      <c r="B280" s="17"/>
      <c r="C280" s="2"/>
      <c r="D280" s="2"/>
      <c r="E280" s="2"/>
      <c r="F280" s="2"/>
      <c r="G280" s="2"/>
      <c r="H280" s="2"/>
      <c r="I280" s="5"/>
    </row>
    <row r="281" spans="1:9" ht="17.399999999999999" x14ac:dyDescent="0.25">
      <c r="A281" s="16"/>
      <c r="B281" s="17"/>
      <c r="C281" s="2"/>
      <c r="D281" s="2"/>
      <c r="E281" s="2"/>
      <c r="F281" s="2"/>
      <c r="G281" s="2"/>
      <c r="H281" s="2"/>
      <c r="I281" s="5"/>
    </row>
    <row r="282" spans="1:9" ht="17.399999999999999" x14ac:dyDescent="0.25">
      <c r="A282" s="16"/>
      <c r="B282" s="17"/>
      <c r="C282" s="2"/>
      <c r="D282" s="2"/>
      <c r="E282" s="2"/>
      <c r="F282" s="2"/>
      <c r="G282" s="2"/>
      <c r="H282" s="2"/>
      <c r="I282" s="5"/>
    </row>
    <row r="283" spans="1:9" ht="17.399999999999999" x14ac:dyDescent="0.25">
      <c r="A283" s="16"/>
      <c r="B283" s="17"/>
      <c r="C283" s="2"/>
      <c r="D283" s="2"/>
      <c r="E283" s="2"/>
      <c r="F283" s="2"/>
      <c r="G283" s="2"/>
      <c r="H283" s="2"/>
      <c r="I283" s="5"/>
    </row>
    <row r="284" spans="1:9" ht="17.399999999999999" x14ac:dyDescent="0.25">
      <c r="A284" s="16"/>
      <c r="B284" s="17"/>
      <c r="C284" s="2"/>
      <c r="D284" s="2"/>
      <c r="E284" s="2"/>
      <c r="F284" s="2"/>
      <c r="G284" s="2"/>
      <c r="H284" s="2"/>
      <c r="I284" s="5"/>
    </row>
    <row r="285" spans="1:9" ht="17.399999999999999" x14ac:dyDescent="0.25">
      <c r="A285" s="16"/>
      <c r="B285" s="17"/>
      <c r="C285" s="2"/>
      <c r="D285" s="2"/>
      <c r="E285" s="2"/>
      <c r="F285" s="2"/>
      <c r="G285" s="2"/>
      <c r="H285" s="2"/>
      <c r="I285" s="5"/>
    </row>
    <row r="286" spans="1:9" ht="17.399999999999999" x14ac:dyDescent="0.25">
      <c r="A286" s="16"/>
      <c r="B286" s="17"/>
      <c r="C286" s="2"/>
      <c r="D286" s="2"/>
      <c r="E286" s="2"/>
      <c r="F286" s="2"/>
      <c r="G286" s="2"/>
      <c r="H286" s="2"/>
      <c r="I286" s="5"/>
    </row>
    <row r="287" spans="1:9" ht="17.399999999999999" x14ac:dyDescent="0.25">
      <c r="A287" s="16"/>
      <c r="B287" s="17"/>
      <c r="C287" s="2"/>
      <c r="D287" s="2"/>
      <c r="E287" s="2"/>
      <c r="F287" s="2"/>
      <c r="G287" s="2"/>
      <c r="H287" s="2"/>
      <c r="I287" s="5"/>
    </row>
    <row r="288" spans="1:9" ht="17.399999999999999" x14ac:dyDescent="0.25">
      <c r="A288" s="16"/>
      <c r="B288" s="17"/>
      <c r="C288" s="2"/>
      <c r="D288" s="2"/>
      <c r="E288" s="2"/>
      <c r="F288" s="2"/>
      <c r="G288" s="2"/>
      <c r="H288" s="2"/>
      <c r="I288" s="5"/>
    </row>
    <row r="289" spans="1:9" ht="17.399999999999999" x14ac:dyDescent="0.25">
      <c r="A289" s="16"/>
      <c r="B289" s="17"/>
      <c r="C289" s="2"/>
      <c r="D289" s="2"/>
      <c r="E289" s="2"/>
      <c r="F289" s="2"/>
      <c r="G289" s="2"/>
      <c r="H289" s="2"/>
      <c r="I289" s="5"/>
    </row>
    <row r="290" spans="1:9" ht="17.399999999999999" x14ac:dyDescent="0.25">
      <c r="A290" s="16"/>
      <c r="B290" s="17"/>
      <c r="C290" s="2"/>
      <c r="D290" s="2"/>
      <c r="E290" s="2"/>
      <c r="F290" s="2"/>
      <c r="G290" s="2"/>
      <c r="H290" s="2"/>
      <c r="I290" s="5"/>
    </row>
    <row r="291" spans="1:9" ht="17.399999999999999" x14ac:dyDescent="0.25">
      <c r="A291" s="16"/>
      <c r="B291" s="17"/>
      <c r="C291" s="2"/>
      <c r="D291" s="2"/>
      <c r="E291" s="2"/>
      <c r="F291" s="2"/>
      <c r="G291" s="2"/>
      <c r="H291" s="2"/>
      <c r="I291" s="5"/>
    </row>
    <row r="292" spans="1:9" ht="17.399999999999999" x14ac:dyDescent="0.25">
      <c r="A292" s="16"/>
      <c r="B292" s="17"/>
      <c r="C292" s="2"/>
      <c r="D292" s="2"/>
      <c r="E292" s="2"/>
      <c r="F292" s="2"/>
      <c r="G292" s="2"/>
      <c r="H292" s="2"/>
      <c r="I292" s="5"/>
    </row>
    <row r="293" spans="1:9" ht="17.399999999999999" x14ac:dyDescent="0.25">
      <c r="A293" s="16"/>
      <c r="B293" s="17"/>
      <c r="C293" s="2"/>
      <c r="D293" s="2"/>
      <c r="E293" s="2"/>
      <c r="F293" s="2"/>
      <c r="G293" s="2"/>
      <c r="H293" s="2"/>
      <c r="I293" s="5"/>
    </row>
    <row r="294" spans="1:9" ht="17.399999999999999" x14ac:dyDescent="0.25">
      <c r="A294" s="16"/>
      <c r="B294" s="17"/>
      <c r="C294" s="2"/>
      <c r="D294" s="2"/>
      <c r="E294" s="2"/>
      <c r="F294" s="2"/>
      <c r="G294" s="2"/>
      <c r="H294" s="2"/>
      <c r="I294" s="5"/>
    </row>
    <row r="295" spans="1:9" ht="17.399999999999999" x14ac:dyDescent="0.25">
      <c r="A295" s="16"/>
      <c r="B295" s="17"/>
      <c r="C295" s="2"/>
      <c r="D295" s="2"/>
      <c r="E295" s="2"/>
      <c r="F295" s="2"/>
      <c r="G295" s="2"/>
      <c r="H295" s="2"/>
      <c r="I295" s="5"/>
    </row>
    <row r="296" spans="1:9" ht="17.399999999999999" x14ac:dyDescent="0.25">
      <c r="A296" s="16"/>
      <c r="B296" s="17"/>
      <c r="C296" s="2"/>
      <c r="D296" s="2"/>
      <c r="E296" s="2"/>
      <c r="F296" s="2"/>
      <c r="G296" s="2"/>
      <c r="H296" s="2"/>
      <c r="I296" s="5"/>
    </row>
    <row r="297" spans="1:9" ht="17.399999999999999" x14ac:dyDescent="0.25">
      <c r="A297" s="16"/>
      <c r="B297" s="17"/>
      <c r="C297" s="2"/>
      <c r="D297" s="2"/>
      <c r="E297" s="2"/>
      <c r="F297" s="2"/>
      <c r="G297" s="2"/>
      <c r="H297" s="2"/>
      <c r="I297" s="5"/>
    </row>
    <row r="298" spans="1:9" ht="17.399999999999999" x14ac:dyDescent="0.25">
      <c r="A298" s="16"/>
      <c r="B298" s="17"/>
      <c r="C298" s="2"/>
      <c r="D298" s="2"/>
      <c r="E298" s="2"/>
      <c r="F298" s="2"/>
      <c r="G298" s="2"/>
      <c r="H298" s="2"/>
      <c r="I298" s="5"/>
    </row>
    <row r="299" spans="1:9" ht="17.399999999999999" x14ac:dyDescent="0.25">
      <c r="A299" s="16"/>
      <c r="B299" s="17"/>
      <c r="C299" s="2"/>
      <c r="D299" s="2"/>
      <c r="E299" s="2"/>
      <c r="F299" s="2"/>
      <c r="G299" s="2"/>
      <c r="H299" s="2"/>
      <c r="I299" s="5"/>
    </row>
    <row r="300" spans="1:9" ht="17.399999999999999" x14ac:dyDescent="0.25">
      <c r="A300" s="16"/>
      <c r="B300" s="17"/>
      <c r="C300" s="2"/>
      <c r="D300" s="2"/>
      <c r="E300" s="2"/>
      <c r="F300" s="2"/>
      <c r="G300" s="2"/>
      <c r="H300" s="2"/>
      <c r="I300" s="5"/>
    </row>
    <row r="301" spans="1:9" ht="17.399999999999999" x14ac:dyDescent="0.25">
      <c r="A301" s="16"/>
      <c r="B301" s="17"/>
      <c r="C301" s="2"/>
      <c r="D301" s="2"/>
      <c r="E301" s="2"/>
      <c r="F301" s="2"/>
      <c r="G301" s="2"/>
      <c r="H301" s="2"/>
      <c r="I301" s="5"/>
    </row>
    <row r="302" spans="1:9" ht="17.399999999999999" x14ac:dyDescent="0.25">
      <c r="A302" s="16"/>
      <c r="B302" s="17"/>
      <c r="C302" s="2"/>
      <c r="D302" s="2"/>
      <c r="E302" s="2"/>
      <c r="F302" s="2"/>
      <c r="G302" s="2"/>
      <c r="H302" s="2"/>
      <c r="I302" s="5"/>
    </row>
    <row r="303" spans="1:9" ht="17.399999999999999" x14ac:dyDescent="0.25">
      <c r="A303" s="16"/>
      <c r="B303" s="17"/>
      <c r="C303" s="2"/>
      <c r="D303" s="2"/>
      <c r="E303" s="2"/>
      <c r="F303" s="2"/>
      <c r="G303" s="2"/>
      <c r="H303" s="2"/>
      <c r="I303" s="5"/>
    </row>
    <row r="304" spans="1:9" ht="17.399999999999999" x14ac:dyDescent="0.25">
      <c r="A304" s="16"/>
      <c r="B304" s="17"/>
      <c r="C304" s="2"/>
      <c r="D304" s="2"/>
      <c r="E304" s="2"/>
      <c r="F304" s="2"/>
      <c r="G304" s="2"/>
      <c r="H304" s="2"/>
      <c r="I304" s="5"/>
    </row>
    <row r="305" spans="1:9" ht="17.399999999999999" x14ac:dyDescent="0.25">
      <c r="A305" s="16"/>
      <c r="B305" s="17"/>
      <c r="C305" s="2"/>
      <c r="D305" s="2"/>
      <c r="E305" s="2"/>
      <c r="F305" s="2"/>
      <c r="G305" s="2"/>
      <c r="H305" s="2"/>
      <c r="I305" s="5"/>
    </row>
    <row r="306" spans="1:9" ht="17.399999999999999" x14ac:dyDescent="0.25">
      <c r="A306" s="16"/>
      <c r="B306" s="17"/>
      <c r="C306" s="2"/>
      <c r="D306" s="2"/>
      <c r="E306" s="2"/>
      <c r="F306" s="2"/>
      <c r="G306" s="2"/>
      <c r="H306" s="2"/>
      <c r="I306" s="5"/>
    </row>
    <row r="307" spans="1:9" ht="17.399999999999999" x14ac:dyDescent="0.25">
      <c r="A307" s="16"/>
      <c r="B307" s="17"/>
      <c r="C307" s="2"/>
      <c r="D307" s="2"/>
      <c r="E307" s="2"/>
      <c r="F307" s="2"/>
      <c r="G307" s="2"/>
      <c r="H307" s="2"/>
      <c r="I307" s="5"/>
    </row>
    <row r="308" spans="1:9" ht="17.399999999999999" x14ac:dyDescent="0.25">
      <c r="A308" s="16"/>
      <c r="B308" s="17"/>
      <c r="C308" s="2"/>
      <c r="D308" s="2"/>
      <c r="E308" s="2"/>
      <c r="F308" s="2"/>
      <c r="G308" s="2"/>
      <c r="H308" s="2"/>
      <c r="I308" s="5"/>
    </row>
    <row r="309" spans="1:9" ht="17.399999999999999" x14ac:dyDescent="0.25">
      <c r="A309" s="16"/>
      <c r="B309" s="17"/>
      <c r="C309" s="2"/>
      <c r="D309" s="2"/>
      <c r="E309" s="2"/>
      <c r="F309" s="2"/>
      <c r="G309" s="2"/>
      <c r="H309" s="2"/>
      <c r="I309" s="5"/>
    </row>
    <row r="310" spans="1:9" ht="17.399999999999999" x14ac:dyDescent="0.25">
      <c r="A310" s="16"/>
      <c r="B310" s="17"/>
      <c r="C310" s="2"/>
      <c r="D310" s="2"/>
      <c r="E310" s="2"/>
      <c r="F310" s="2"/>
      <c r="G310" s="2"/>
      <c r="H310" s="2"/>
      <c r="I310" s="5"/>
    </row>
    <row r="311" spans="1:9" ht="17.399999999999999" x14ac:dyDescent="0.25">
      <c r="A311" s="16"/>
      <c r="B311" s="17"/>
      <c r="C311" s="2"/>
      <c r="D311" s="2"/>
      <c r="E311" s="2"/>
      <c r="F311" s="2"/>
      <c r="G311" s="2"/>
      <c r="H311" s="2"/>
      <c r="I311" s="5"/>
    </row>
    <row r="312" spans="1:9" ht="17.399999999999999" x14ac:dyDescent="0.25">
      <c r="A312" s="16"/>
      <c r="B312" s="17"/>
      <c r="C312" s="2"/>
      <c r="D312" s="2"/>
      <c r="E312" s="2"/>
      <c r="F312" s="2"/>
      <c r="G312" s="2"/>
      <c r="H312" s="2"/>
      <c r="I312" s="5"/>
    </row>
    <row r="313" spans="1:9" ht="17.399999999999999" x14ac:dyDescent="0.25">
      <c r="A313" s="16"/>
      <c r="B313" s="17"/>
      <c r="C313" s="2"/>
      <c r="D313" s="2"/>
      <c r="E313" s="2"/>
      <c r="F313" s="2"/>
      <c r="G313" s="2"/>
      <c r="H313" s="2"/>
      <c r="I313" s="5"/>
    </row>
    <row r="314" spans="1:9" ht="17.399999999999999" x14ac:dyDescent="0.25">
      <c r="A314" s="16"/>
      <c r="B314" s="17"/>
      <c r="C314" s="2"/>
      <c r="D314" s="2"/>
      <c r="E314" s="2"/>
      <c r="F314" s="2"/>
      <c r="G314" s="2"/>
      <c r="H314" s="2"/>
      <c r="I314" s="5"/>
    </row>
    <row r="315" spans="1:9" ht="17.399999999999999" x14ac:dyDescent="0.25">
      <c r="A315" s="16"/>
      <c r="B315" s="17"/>
      <c r="C315" s="2"/>
      <c r="D315" s="2"/>
      <c r="E315" s="2"/>
      <c r="F315" s="2"/>
      <c r="G315" s="2"/>
      <c r="H315" s="2"/>
      <c r="I315" s="5"/>
    </row>
    <row r="316" spans="1:9" ht="17.399999999999999" x14ac:dyDescent="0.25">
      <c r="A316" s="16"/>
      <c r="B316" s="17"/>
      <c r="C316" s="2"/>
      <c r="D316" s="2"/>
      <c r="E316" s="2"/>
      <c r="F316" s="2"/>
      <c r="G316" s="2"/>
      <c r="H316" s="2"/>
      <c r="I316" s="5"/>
    </row>
    <row r="317" spans="1:9" ht="17.399999999999999" x14ac:dyDescent="0.25">
      <c r="A317" s="16"/>
      <c r="B317" s="17"/>
      <c r="C317" s="2"/>
      <c r="D317" s="2"/>
      <c r="E317" s="2"/>
      <c r="F317" s="2"/>
      <c r="G317" s="2"/>
      <c r="H317" s="2"/>
      <c r="I317" s="5"/>
    </row>
    <row r="318" spans="1:9" ht="17.399999999999999" x14ac:dyDescent="0.25">
      <c r="A318" s="16"/>
      <c r="B318" s="17"/>
      <c r="C318" s="2"/>
      <c r="D318" s="2"/>
      <c r="E318" s="2"/>
      <c r="F318" s="2"/>
      <c r="G318" s="2"/>
      <c r="H318" s="2"/>
      <c r="I318" s="5"/>
    </row>
    <row r="319" spans="1:9" ht="17.399999999999999" x14ac:dyDescent="0.25">
      <c r="A319" s="16"/>
      <c r="B319" s="17"/>
      <c r="C319" s="2"/>
      <c r="D319" s="2"/>
      <c r="E319" s="2"/>
      <c r="F319" s="2"/>
      <c r="G319" s="2"/>
      <c r="H319" s="2"/>
      <c r="I319" s="5"/>
    </row>
    <row r="320" spans="1:9" ht="17.399999999999999" x14ac:dyDescent="0.25">
      <c r="A320" s="16"/>
      <c r="B320" s="17"/>
      <c r="C320" s="2"/>
      <c r="D320" s="2"/>
      <c r="E320" s="2"/>
      <c r="F320" s="2"/>
      <c r="G320" s="2"/>
      <c r="H320" s="2"/>
      <c r="I320" s="5"/>
    </row>
    <row r="321" spans="1:9" ht="17.399999999999999" x14ac:dyDescent="0.25">
      <c r="A321" s="16"/>
      <c r="B321" s="17"/>
      <c r="C321" s="2"/>
      <c r="D321" s="2"/>
      <c r="E321" s="2"/>
      <c r="F321" s="2"/>
      <c r="G321" s="2"/>
      <c r="H321" s="2"/>
      <c r="I321" s="5"/>
    </row>
    <row r="322" spans="1:9" ht="17.399999999999999" x14ac:dyDescent="0.25">
      <c r="A322" s="16"/>
      <c r="B322" s="17"/>
      <c r="C322" s="2"/>
      <c r="D322" s="2"/>
      <c r="E322" s="2"/>
      <c r="F322" s="2"/>
      <c r="G322" s="2"/>
      <c r="H322" s="2"/>
      <c r="I322" s="5"/>
    </row>
    <row r="323" spans="1:9" ht="17.399999999999999" x14ac:dyDescent="0.25">
      <c r="A323" s="16"/>
      <c r="B323" s="17"/>
      <c r="C323" s="2"/>
      <c r="D323" s="2"/>
      <c r="E323" s="2"/>
      <c r="F323" s="2"/>
      <c r="G323" s="2"/>
      <c r="H323" s="2"/>
      <c r="I323" s="5"/>
    </row>
    <row r="324" spans="1:9" ht="17.399999999999999" x14ac:dyDescent="0.25">
      <c r="A324" s="16"/>
      <c r="B324" s="17"/>
      <c r="C324" s="2"/>
      <c r="D324" s="2"/>
      <c r="E324" s="2"/>
      <c r="F324" s="2"/>
      <c r="G324" s="2"/>
      <c r="H324" s="2"/>
      <c r="I324" s="5"/>
    </row>
    <row r="325" spans="1:9" ht="17.399999999999999" x14ac:dyDescent="0.25">
      <c r="A325" s="16"/>
      <c r="B325" s="17"/>
      <c r="C325" s="2"/>
      <c r="D325" s="2"/>
      <c r="E325" s="2"/>
      <c r="F325" s="2"/>
      <c r="G325" s="2"/>
      <c r="H325" s="2"/>
      <c r="I325" s="5"/>
    </row>
    <row r="326" spans="1:9" ht="17.399999999999999" x14ac:dyDescent="0.25">
      <c r="A326" s="16"/>
      <c r="B326" s="17"/>
      <c r="C326" s="2"/>
      <c r="D326" s="2"/>
      <c r="E326" s="2"/>
      <c r="F326" s="2"/>
      <c r="G326" s="2"/>
      <c r="H326" s="2"/>
      <c r="I326" s="5"/>
    </row>
    <row r="327" spans="1:9" ht="17.399999999999999" x14ac:dyDescent="0.25">
      <c r="A327" s="16"/>
      <c r="B327" s="17"/>
      <c r="C327" s="2"/>
      <c r="D327" s="2"/>
      <c r="E327" s="2"/>
      <c r="F327" s="2"/>
      <c r="G327" s="2"/>
      <c r="H327" s="2"/>
      <c r="I327" s="5"/>
    </row>
    <row r="328" spans="1:9" ht="17.399999999999999" x14ac:dyDescent="0.25">
      <c r="A328" s="16"/>
      <c r="B328" s="17"/>
      <c r="C328" s="2"/>
      <c r="D328" s="2"/>
      <c r="E328" s="2"/>
      <c r="F328" s="2"/>
      <c r="G328" s="2"/>
      <c r="H328" s="2"/>
      <c r="I328" s="5"/>
    </row>
    <row r="329" spans="1:9" ht="17.399999999999999" x14ac:dyDescent="0.25">
      <c r="A329" s="16"/>
      <c r="B329" s="17"/>
      <c r="C329" s="2"/>
      <c r="D329" s="2"/>
      <c r="E329" s="2"/>
      <c r="F329" s="2"/>
      <c r="G329" s="2"/>
      <c r="H329" s="2"/>
      <c r="I329" s="5"/>
    </row>
    <row r="330" spans="1:9" ht="17.399999999999999" x14ac:dyDescent="0.25">
      <c r="A330" s="16"/>
      <c r="B330" s="17"/>
      <c r="C330" s="2"/>
      <c r="D330" s="2"/>
      <c r="E330" s="2"/>
      <c r="F330" s="2"/>
      <c r="G330" s="2"/>
      <c r="H330" s="2"/>
      <c r="I330" s="5"/>
    </row>
    <row r="331" spans="1:9" ht="17.399999999999999" x14ac:dyDescent="0.25">
      <c r="A331" s="16"/>
      <c r="B331" s="17"/>
      <c r="C331" s="2"/>
      <c r="D331" s="2"/>
      <c r="E331" s="2"/>
      <c r="F331" s="2"/>
      <c r="G331" s="2"/>
      <c r="H331" s="2"/>
      <c r="I331" s="5"/>
    </row>
    <row r="332" spans="1:9" ht="17.399999999999999" x14ac:dyDescent="0.25">
      <c r="A332" s="16"/>
      <c r="B332" s="17"/>
      <c r="C332" s="2"/>
      <c r="D332" s="2"/>
      <c r="E332" s="2"/>
      <c r="F332" s="2"/>
      <c r="G332" s="2"/>
      <c r="H332" s="2"/>
      <c r="I332" s="5"/>
    </row>
    <row r="333" spans="1:9" ht="17.399999999999999" x14ac:dyDescent="0.25">
      <c r="A333" s="16"/>
      <c r="B333" s="17"/>
      <c r="C333" s="2"/>
      <c r="D333" s="2"/>
      <c r="E333" s="2"/>
      <c r="F333" s="2"/>
      <c r="G333" s="2"/>
      <c r="H333" s="2"/>
      <c r="I333" s="5"/>
    </row>
    <row r="334" spans="1:9" ht="17.399999999999999" x14ac:dyDescent="0.25">
      <c r="A334" s="16"/>
      <c r="B334" s="17"/>
      <c r="C334" s="2"/>
      <c r="D334" s="2"/>
      <c r="E334" s="2"/>
      <c r="F334" s="2"/>
      <c r="G334" s="2"/>
      <c r="H334" s="2"/>
      <c r="I334" s="5"/>
    </row>
    <row r="335" spans="1:9" ht="17.399999999999999" x14ac:dyDescent="0.25">
      <c r="A335" s="16"/>
      <c r="B335" s="17"/>
      <c r="C335" s="2"/>
      <c r="D335" s="2"/>
      <c r="E335" s="2"/>
      <c r="F335" s="2"/>
      <c r="G335" s="2"/>
      <c r="H335" s="2"/>
      <c r="I335" s="5"/>
    </row>
    <row r="336" spans="1:9" ht="17.399999999999999" x14ac:dyDescent="0.25">
      <c r="A336" s="16"/>
      <c r="B336" s="17"/>
      <c r="C336" s="2"/>
      <c r="D336" s="2"/>
      <c r="E336" s="2"/>
      <c r="F336" s="2"/>
      <c r="G336" s="2"/>
      <c r="H336" s="2"/>
      <c r="I336" s="5"/>
    </row>
    <row r="337" spans="1:9" ht="17.399999999999999" x14ac:dyDescent="0.25">
      <c r="A337" s="16"/>
      <c r="B337" s="17"/>
      <c r="C337" s="2"/>
      <c r="D337" s="2"/>
      <c r="E337" s="2"/>
      <c r="F337" s="2"/>
      <c r="G337" s="2"/>
      <c r="H337" s="2"/>
      <c r="I337" s="5"/>
    </row>
    <row r="338" spans="1:9" ht="17.399999999999999" x14ac:dyDescent="0.25">
      <c r="A338" s="16"/>
      <c r="B338" s="17"/>
      <c r="C338" s="2"/>
      <c r="D338" s="2"/>
      <c r="E338" s="2"/>
      <c r="F338" s="2"/>
      <c r="G338" s="2"/>
      <c r="H338" s="2"/>
      <c r="I338" s="5"/>
    </row>
    <row r="339" spans="1:9" ht="17.399999999999999" x14ac:dyDescent="0.25">
      <c r="A339" s="16"/>
      <c r="B339" s="17"/>
      <c r="C339" s="2"/>
      <c r="D339" s="2"/>
      <c r="E339" s="2"/>
      <c r="F339" s="2"/>
      <c r="G339" s="2"/>
      <c r="H339" s="2"/>
      <c r="I339" s="5"/>
    </row>
    <row r="340" spans="1:9" ht="17.399999999999999" x14ac:dyDescent="0.25">
      <c r="A340" s="16"/>
      <c r="B340" s="17"/>
      <c r="C340" s="2"/>
      <c r="D340" s="2"/>
      <c r="E340" s="2"/>
      <c r="F340" s="2"/>
      <c r="G340" s="2"/>
      <c r="H340" s="2"/>
      <c r="I340" s="5"/>
    </row>
    <row r="341" spans="1:9" ht="17.399999999999999" x14ac:dyDescent="0.25">
      <c r="A341" s="16"/>
      <c r="B341" s="17"/>
      <c r="C341" s="2"/>
      <c r="D341" s="2"/>
      <c r="E341" s="2"/>
      <c r="F341" s="2"/>
      <c r="G341" s="2"/>
      <c r="H341" s="2"/>
      <c r="I341" s="5"/>
    </row>
    <row r="342" spans="1:9" ht="17.399999999999999" x14ac:dyDescent="0.25">
      <c r="A342" s="16"/>
      <c r="B342" s="17"/>
      <c r="C342" s="2"/>
      <c r="D342" s="2"/>
      <c r="E342" s="2"/>
      <c r="F342" s="2"/>
      <c r="G342" s="2"/>
      <c r="H342" s="2"/>
      <c r="I342" s="5"/>
    </row>
    <row r="343" spans="1:9" ht="17.399999999999999" x14ac:dyDescent="0.25">
      <c r="A343" s="16"/>
      <c r="B343" s="17"/>
      <c r="C343" s="2"/>
      <c r="D343" s="2"/>
      <c r="E343" s="2"/>
      <c r="F343" s="2"/>
      <c r="G343" s="2"/>
      <c r="H343" s="2"/>
      <c r="I343" s="5"/>
    </row>
    <row r="344" spans="1:9" ht="17.399999999999999" x14ac:dyDescent="0.25">
      <c r="A344" s="16"/>
      <c r="B344" s="17"/>
      <c r="C344" s="2"/>
      <c r="D344" s="2"/>
      <c r="E344" s="2"/>
      <c r="F344" s="2"/>
      <c r="G344" s="2"/>
      <c r="H344" s="2"/>
      <c r="I344" s="5"/>
    </row>
    <row r="345" spans="1:9" ht="17.399999999999999" x14ac:dyDescent="0.25">
      <c r="A345" s="16"/>
      <c r="B345" s="17"/>
      <c r="C345" s="2"/>
      <c r="D345" s="2"/>
      <c r="E345" s="2"/>
      <c r="F345" s="2"/>
      <c r="G345" s="2"/>
      <c r="H345" s="2"/>
      <c r="I345" s="5"/>
    </row>
    <row r="346" spans="1:9" ht="17.399999999999999" x14ac:dyDescent="0.25">
      <c r="A346" s="16"/>
      <c r="B346" s="17"/>
      <c r="C346" s="2"/>
      <c r="D346" s="2"/>
      <c r="E346" s="2"/>
      <c r="F346" s="2"/>
      <c r="G346" s="2"/>
      <c r="H346" s="2"/>
      <c r="I346" s="5"/>
    </row>
    <row r="347" spans="1:9" ht="17.399999999999999" x14ac:dyDescent="0.25">
      <c r="A347" s="16"/>
      <c r="B347" s="17"/>
      <c r="C347" s="2"/>
      <c r="D347" s="2"/>
      <c r="E347" s="2"/>
      <c r="F347" s="2"/>
      <c r="G347" s="2"/>
      <c r="H347" s="2"/>
      <c r="I347" s="5"/>
    </row>
    <row r="348" spans="1:9" ht="17.399999999999999" x14ac:dyDescent="0.25">
      <c r="A348" s="16"/>
      <c r="B348" s="17"/>
      <c r="C348" s="2"/>
      <c r="D348" s="2"/>
      <c r="E348" s="2"/>
      <c r="F348" s="2"/>
      <c r="G348" s="2"/>
      <c r="H348" s="2"/>
      <c r="I348" s="5"/>
    </row>
    <row r="349" spans="1:9" ht="17.399999999999999" x14ac:dyDescent="0.25">
      <c r="A349" s="16"/>
      <c r="B349" s="17"/>
      <c r="C349" s="2"/>
      <c r="D349" s="2"/>
      <c r="E349" s="2"/>
      <c r="F349" s="2"/>
      <c r="G349" s="2"/>
      <c r="H349" s="2"/>
      <c r="I349" s="5"/>
    </row>
    <row r="350" spans="1:9" ht="17.399999999999999" x14ac:dyDescent="0.25">
      <c r="A350" s="16"/>
      <c r="B350" s="17"/>
      <c r="C350" s="2"/>
      <c r="D350" s="2"/>
      <c r="E350" s="2"/>
      <c r="F350" s="2"/>
      <c r="G350" s="2"/>
      <c r="H350" s="2"/>
      <c r="I350" s="5"/>
    </row>
    <row r="351" spans="1:9" ht="17.399999999999999" x14ac:dyDescent="0.25">
      <c r="A351" s="16"/>
      <c r="B351" s="17"/>
      <c r="C351" s="2"/>
      <c r="D351" s="2"/>
      <c r="E351" s="2"/>
      <c r="F351" s="2"/>
      <c r="G351" s="2"/>
      <c r="H351" s="2"/>
      <c r="I351" s="5"/>
    </row>
    <row r="352" spans="1:9" ht="17.399999999999999" x14ac:dyDescent="0.25">
      <c r="A352" s="16"/>
      <c r="B352" s="17"/>
      <c r="C352" s="2"/>
      <c r="D352" s="2"/>
      <c r="E352" s="2"/>
      <c r="F352" s="2"/>
      <c r="G352" s="2"/>
      <c r="H352" s="2"/>
      <c r="I352" s="5"/>
    </row>
    <row r="353" spans="1:9" ht="17.399999999999999" x14ac:dyDescent="0.25">
      <c r="A353" s="16"/>
      <c r="B353" s="17"/>
      <c r="C353" s="2"/>
      <c r="D353" s="2"/>
      <c r="E353" s="2"/>
      <c r="F353" s="2"/>
      <c r="G353" s="2"/>
      <c r="H353" s="2"/>
      <c r="I353" s="5"/>
    </row>
    <row r="354" spans="1:9" ht="17.399999999999999" x14ac:dyDescent="0.25">
      <c r="A354" s="16"/>
      <c r="B354" s="17"/>
      <c r="C354" s="2"/>
      <c r="D354" s="2"/>
      <c r="E354" s="2"/>
      <c r="F354" s="2"/>
      <c r="G354" s="2"/>
      <c r="H354" s="2"/>
      <c r="I354" s="5"/>
    </row>
    <row r="355" spans="1:9" ht="17.399999999999999" x14ac:dyDescent="0.25">
      <c r="A355" s="16"/>
      <c r="B355" s="17"/>
      <c r="C355" s="2"/>
      <c r="D355" s="2"/>
      <c r="E355" s="2"/>
      <c r="F355" s="2"/>
      <c r="G355" s="2"/>
      <c r="H355" s="2"/>
      <c r="I355" s="5"/>
    </row>
    <row r="356" spans="1:9" ht="17.399999999999999" x14ac:dyDescent="0.25">
      <c r="A356" s="16"/>
      <c r="B356" s="17"/>
      <c r="C356" s="2"/>
      <c r="D356" s="2"/>
      <c r="E356" s="2"/>
      <c r="F356" s="2"/>
      <c r="G356" s="2"/>
      <c r="H356" s="2"/>
      <c r="I356" s="5"/>
    </row>
    <row r="357" spans="1:9" ht="17.399999999999999" x14ac:dyDescent="0.25">
      <c r="A357" s="16"/>
      <c r="B357" s="17"/>
      <c r="C357" s="2"/>
      <c r="D357" s="2"/>
      <c r="E357" s="2"/>
      <c r="F357" s="2"/>
      <c r="G357" s="2"/>
      <c r="H357" s="2"/>
      <c r="I357" s="5"/>
    </row>
    <row r="358" spans="1:9" ht="17.399999999999999" x14ac:dyDescent="0.25">
      <c r="A358" s="16"/>
      <c r="B358" s="17"/>
      <c r="C358" s="2"/>
      <c r="D358" s="2"/>
      <c r="E358" s="2"/>
      <c r="F358" s="2"/>
      <c r="G358" s="2"/>
      <c r="H358" s="2"/>
      <c r="I358" s="5"/>
    </row>
    <row r="359" spans="1:9" ht="17.399999999999999" x14ac:dyDescent="0.25">
      <c r="A359" s="16"/>
      <c r="B359" s="17"/>
      <c r="C359" s="2"/>
      <c r="D359" s="2"/>
      <c r="E359" s="2"/>
      <c r="F359" s="2"/>
      <c r="G359" s="2"/>
      <c r="H359" s="2"/>
      <c r="I359" s="5"/>
    </row>
    <row r="360" spans="1:9" ht="17.399999999999999" x14ac:dyDescent="0.25">
      <c r="A360" s="16"/>
      <c r="B360" s="17"/>
      <c r="C360" s="2"/>
      <c r="D360" s="2"/>
      <c r="E360" s="2"/>
      <c r="F360" s="2"/>
      <c r="G360" s="2"/>
      <c r="H360" s="2"/>
      <c r="I360" s="5"/>
    </row>
    <row r="361" spans="1:9" ht="17.399999999999999" x14ac:dyDescent="0.25">
      <c r="A361" s="16"/>
      <c r="B361" s="17"/>
      <c r="C361" s="2"/>
      <c r="D361" s="2"/>
      <c r="E361" s="2"/>
      <c r="F361" s="2"/>
      <c r="G361" s="2"/>
      <c r="H361" s="2"/>
      <c r="I361" s="5"/>
    </row>
    <row r="362" spans="1:9" ht="17.399999999999999" x14ac:dyDescent="0.25">
      <c r="A362" s="16"/>
      <c r="B362" s="17"/>
      <c r="C362" s="2"/>
      <c r="D362" s="2"/>
      <c r="E362" s="2"/>
      <c r="F362" s="2"/>
      <c r="G362" s="2"/>
      <c r="H362" s="2"/>
      <c r="I362" s="5"/>
    </row>
    <row r="363" spans="1:9" ht="17.399999999999999" x14ac:dyDescent="0.25">
      <c r="A363" s="16"/>
      <c r="B363" s="17"/>
      <c r="C363" s="2"/>
      <c r="D363" s="2"/>
      <c r="E363" s="2"/>
      <c r="F363" s="2"/>
      <c r="G363" s="2"/>
      <c r="H363" s="2"/>
      <c r="I363" s="5"/>
    </row>
    <row r="364" spans="1:9" ht="17.399999999999999" x14ac:dyDescent="0.25">
      <c r="A364" s="16"/>
      <c r="B364" s="17"/>
      <c r="C364" s="2"/>
      <c r="D364" s="2"/>
      <c r="E364" s="2"/>
      <c r="F364" s="2"/>
      <c r="G364" s="2"/>
      <c r="H364" s="2"/>
      <c r="I364" s="5"/>
    </row>
    <row r="365" spans="1:9" ht="17.399999999999999" x14ac:dyDescent="0.25">
      <c r="A365" s="16"/>
      <c r="B365" s="17"/>
      <c r="C365" s="2"/>
      <c r="D365" s="2"/>
      <c r="E365" s="2"/>
      <c r="F365" s="2"/>
      <c r="G365" s="2"/>
      <c r="H365" s="2"/>
      <c r="I365" s="5"/>
    </row>
    <row r="366" spans="1:9" ht="17.399999999999999" x14ac:dyDescent="0.25">
      <c r="A366" s="16"/>
      <c r="B366" s="17"/>
      <c r="C366" s="2"/>
      <c r="D366" s="2"/>
      <c r="E366" s="2"/>
      <c r="F366" s="2"/>
      <c r="G366" s="2"/>
      <c r="H366" s="2"/>
      <c r="I366" s="5"/>
    </row>
    <row r="367" spans="1:9" ht="17.399999999999999" x14ac:dyDescent="0.25">
      <c r="A367" s="16"/>
      <c r="B367" s="17"/>
      <c r="C367" s="2"/>
      <c r="D367" s="2"/>
      <c r="E367" s="2"/>
      <c r="F367" s="2"/>
      <c r="G367" s="2"/>
      <c r="H367" s="2"/>
      <c r="I367" s="5"/>
    </row>
    <row r="368" spans="1:9" ht="17.399999999999999" x14ac:dyDescent="0.25">
      <c r="A368" s="16"/>
      <c r="B368" s="17"/>
      <c r="C368" s="2"/>
      <c r="D368" s="2"/>
      <c r="E368" s="2"/>
      <c r="F368" s="2"/>
      <c r="G368" s="2"/>
      <c r="H368" s="2"/>
      <c r="I368" s="5"/>
    </row>
    <row r="369" spans="1:9" ht="17.399999999999999" x14ac:dyDescent="0.25">
      <c r="A369" s="16"/>
      <c r="B369" s="17"/>
      <c r="C369" s="2"/>
      <c r="D369" s="2"/>
      <c r="E369" s="2"/>
      <c r="F369" s="2"/>
      <c r="G369" s="2"/>
      <c r="H369" s="2"/>
      <c r="I369" s="5"/>
    </row>
    <row r="370" spans="1:9" ht="17.399999999999999" x14ac:dyDescent="0.25">
      <c r="A370" s="16"/>
      <c r="B370" s="17"/>
      <c r="C370" s="2"/>
      <c r="D370" s="2"/>
      <c r="E370" s="2"/>
      <c r="F370" s="2"/>
      <c r="G370" s="2"/>
      <c r="H370" s="2"/>
      <c r="I370" s="5"/>
    </row>
    <row r="371" spans="1:9" ht="17.399999999999999" x14ac:dyDescent="0.25">
      <c r="A371" s="16"/>
      <c r="B371" s="17"/>
      <c r="C371" s="2"/>
      <c r="D371" s="2"/>
      <c r="E371" s="2"/>
      <c r="F371" s="2"/>
      <c r="G371" s="2"/>
      <c r="H371" s="2"/>
      <c r="I371" s="5"/>
    </row>
    <row r="372" spans="1:9" ht="17.399999999999999" x14ac:dyDescent="0.25">
      <c r="A372" s="16"/>
      <c r="B372" s="17"/>
      <c r="C372" s="2"/>
      <c r="D372" s="2"/>
      <c r="E372" s="2"/>
      <c r="F372" s="2"/>
      <c r="G372" s="2"/>
      <c r="H372" s="2"/>
      <c r="I372" s="5"/>
    </row>
    <row r="373" spans="1:9" ht="17.399999999999999" x14ac:dyDescent="0.25">
      <c r="A373" s="16"/>
      <c r="B373" s="17"/>
      <c r="C373" s="2"/>
      <c r="D373" s="2"/>
      <c r="E373" s="2"/>
      <c r="F373" s="2"/>
      <c r="G373" s="2"/>
      <c r="H373" s="2"/>
      <c r="I373" s="5"/>
    </row>
    <row r="374" spans="1:9" ht="17.399999999999999" x14ac:dyDescent="0.25">
      <c r="A374" s="16"/>
      <c r="B374" s="17"/>
      <c r="C374" s="2"/>
      <c r="D374" s="2"/>
      <c r="E374" s="2"/>
      <c r="F374" s="2"/>
      <c r="G374" s="2"/>
      <c r="H374" s="2"/>
      <c r="I374" s="5"/>
    </row>
    <row r="375" spans="1:9" ht="17.399999999999999" x14ac:dyDescent="0.25">
      <c r="A375" s="16"/>
      <c r="B375" s="17"/>
      <c r="C375" s="2"/>
      <c r="D375" s="2"/>
      <c r="E375" s="2"/>
      <c r="F375" s="2"/>
      <c r="G375" s="2"/>
      <c r="H375" s="2"/>
      <c r="I375" s="5"/>
    </row>
    <row r="376" spans="1:9" ht="17.399999999999999" x14ac:dyDescent="0.25">
      <c r="A376" s="16"/>
      <c r="B376" s="17"/>
      <c r="C376" s="2"/>
      <c r="D376" s="2"/>
      <c r="E376" s="2"/>
      <c r="F376" s="2"/>
      <c r="G376" s="2"/>
      <c r="H376" s="2"/>
      <c r="I376" s="5"/>
    </row>
    <row r="377" spans="1:9" ht="17.399999999999999" x14ac:dyDescent="0.25">
      <c r="A377" s="16"/>
      <c r="B377" s="17"/>
      <c r="C377" s="2"/>
      <c r="D377" s="2"/>
      <c r="E377" s="2"/>
      <c r="F377" s="2"/>
      <c r="G377" s="2"/>
      <c r="H377" s="2"/>
      <c r="I377" s="5"/>
    </row>
    <row r="378" spans="1:9" ht="17.399999999999999" x14ac:dyDescent="0.25">
      <c r="A378" s="16"/>
      <c r="B378" s="17"/>
      <c r="C378" s="2"/>
      <c r="D378" s="2"/>
      <c r="E378" s="2"/>
      <c r="F378" s="2"/>
      <c r="G378" s="2"/>
      <c r="H378" s="2"/>
      <c r="I378" s="5"/>
    </row>
    <row r="379" spans="1:9" ht="17.399999999999999" x14ac:dyDescent="0.25">
      <c r="A379" s="16"/>
      <c r="B379" s="17"/>
      <c r="C379" s="2"/>
      <c r="D379" s="2"/>
      <c r="E379" s="2"/>
      <c r="F379" s="2"/>
      <c r="G379" s="2"/>
      <c r="H379" s="2"/>
      <c r="I379" s="5"/>
    </row>
    <row r="380" spans="1:9" ht="17.399999999999999" x14ac:dyDescent="0.25">
      <c r="A380" s="16"/>
      <c r="B380" s="17"/>
      <c r="C380" s="2"/>
      <c r="D380" s="2"/>
      <c r="E380" s="2"/>
      <c r="F380" s="2"/>
      <c r="G380" s="2"/>
      <c r="H380" s="2"/>
      <c r="I380" s="5"/>
    </row>
    <row r="381" spans="1:9" ht="17.399999999999999" x14ac:dyDescent="0.25">
      <c r="A381" s="16"/>
      <c r="B381" s="17"/>
      <c r="C381" s="2"/>
      <c r="D381" s="2"/>
      <c r="E381" s="2"/>
      <c r="F381" s="2"/>
      <c r="G381" s="2"/>
      <c r="H381" s="2"/>
      <c r="I381" s="5"/>
    </row>
    <row r="382" spans="1:9" ht="17.399999999999999" x14ac:dyDescent="0.25">
      <c r="A382" s="16"/>
      <c r="B382" s="17"/>
      <c r="C382" s="2"/>
      <c r="D382" s="2"/>
      <c r="E382" s="2"/>
      <c r="F382" s="2"/>
      <c r="G382" s="2"/>
      <c r="H382" s="2"/>
      <c r="I382" s="5"/>
    </row>
    <row r="383" spans="1:9" ht="17.399999999999999" x14ac:dyDescent="0.25">
      <c r="A383" s="16"/>
      <c r="B383" s="17"/>
      <c r="C383" s="2"/>
      <c r="D383" s="2"/>
      <c r="E383" s="2"/>
      <c r="F383" s="2"/>
      <c r="G383" s="2"/>
      <c r="H383" s="2"/>
      <c r="I383" s="5"/>
    </row>
    <row r="384" spans="1:9" ht="17.399999999999999" x14ac:dyDescent="0.25">
      <c r="A384" s="16"/>
      <c r="B384" s="17"/>
      <c r="C384" s="2"/>
      <c r="D384" s="2"/>
      <c r="E384" s="2"/>
      <c r="F384" s="2"/>
      <c r="G384" s="2"/>
      <c r="H384" s="2"/>
      <c r="I384" s="5"/>
    </row>
    <row r="385" spans="1:9" ht="17.399999999999999" x14ac:dyDescent="0.25">
      <c r="A385" s="16"/>
      <c r="B385" s="17"/>
      <c r="C385" s="2"/>
      <c r="D385" s="2"/>
      <c r="E385" s="2"/>
      <c r="F385" s="2"/>
      <c r="G385" s="2"/>
      <c r="H385" s="2"/>
      <c r="I385" s="5"/>
    </row>
    <row r="386" spans="1:9" ht="17.399999999999999" x14ac:dyDescent="0.25">
      <c r="A386" s="16"/>
      <c r="B386" s="17"/>
      <c r="C386" s="2"/>
      <c r="D386" s="2"/>
      <c r="E386" s="2"/>
      <c r="F386" s="2"/>
      <c r="G386" s="2"/>
      <c r="H386" s="2"/>
      <c r="I386" s="5"/>
    </row>
    <row r="387" spans="1:9" ht="17.399999999999999" x14ac:dyDescent="0.25">
      <c r="A387" s="16"/>
      <c r="B387" s="17"/>
      <c r="C387" s="2"/>
      <c r="D387" s="2"/>
      <c r="E387" s="2"/>
      <c r="F387" s="2"/>
      <c r="G387" s="2"/>
      <c r="H387" s="2"/>
      <c r="I387" s="5"/>
    </row>
    <row r="388" spans="1:9" ht="17.399999999999999" x14ac:dyDescent="0.25">
      <c r="A388" s="16"/>
      <c r="B388" s="17"/>
      <c r="C388" s="2"/>
      <c r="D388" s="2"/>
      <c r="E388" s="2"/>
      <c r="F388" s="2"/>
      <c r="G388" s="2"/>
      <c r="H388" s="2"/>
      <c r="I388" s="5"/>
    </row>
    <row r="389" spans="1:9" ht="17.399999999999999" x14ac:dyDescent="0.25">
      <c r="A389" s="16"/>
      <c r="B389" s="17"/>
      <c r="C389" s="2"/>
      <c r="D389" s="2"/>
      <c r="E389" s="2"/>
      <c r="F389" s="2"/>
      <c r="G389" s="2"/>
      <c r="H389" s="2"/>
      <c r="I389" s="5"/>
    </row>
    <row r="390" spans="1:9" ht="17.399999999999999" x14ac:dyDescent="0.25">
      <c r="A390" s="16"/>
      <c r="B390" s="17"/>
      <c r="C390" s="2"/>
      <c r="D390" s="2"/>
      <c r="E390" s="2"/>
      <c r="F390" s="2"/>
      <c r="G390" s="2"/>
      <c r="H390" s="2"/>
      <c r="I390" s="5"/>
    </row>
    <row r="391" spans="1:9" ht="17.399999999999999" x14ac:dyDescent="0.25">
      <c r="A391" s="16"/>
      <c r="B391" s="17"/>
      <c r="C391" s="2"/>
      <c r="D391" s="2"/>
      <c r="E391" s="2"/>
      <c r="F391" s="2"/>
      <c r="G391" s="2"/>
      <c r="H391" s="2"/>
      <c r="I391" s="5"/>
    </row>
    <row r="392" spans="1:9" ht="17.399999999999999" x14ac:dyDescent="0.25">
      <c r="A392" s="16"/>
      <c r="B392" s="17"/>
      <c r="C392" s="2"/>
      <c r="D392" s="2"/>
      <c r="E392" s="2"/>
      <c r="F392" s="2"/>
      <c r="G392" s="2"/>
      <c r="H392" s="2"/>
      <c r="I392" s="5"/>
    </row>
    <row r="393" spans="1:9" ht="17.399999999999999" x14ac:dyDescent="0.25">
      <c r="A393" s="16"/>
      <c r="B393" s="17"/>
      <c r="C393" s="2"/>
      <c r="D393" s="2"/>
      <c r="E393" s="2"/>
      <c r="F393" s="2"/>
      <c r="G393" s="2"/>
      <c r="H393" s="2"/>
      <c r="I393" s="5"/>
    </row>
    <row r="394" spans="1:9" ht="17.399999999999999" x14ac:dyDescent="0.25">
      <c r="A394" s="16"/>
      <c r="B394" s="17"/>
      <c r="C394" s="2"/>
      <c r="D394" s="2"/>
      <c r="E394" s="2"/>
      <c r="F394" s="2"/>
      <c r="G394" s="2"/>
      <c r="H394" s="2"/>
      <c r="I394" s="5"/>
    </row>
    <row r="395" spans="1:9" ht="17.399999999999999" x14ac:dyDescent="0.25">
      <c r="A395" s="16"/>
      <c r="B395" s="17"/>
      <c r="C395" s="2"/>
      <c r="D395" s="2"/>
      <c r="E395" s="2"/>
      <c r="F395" s="2"/>
      <c r="G395" s="2"/>
      <c r="H395" s="2"/>
      <c r="I395" s="5"/>
    </row>
    <row r="396" spans="1:9" ht="17.399999999999999" x14ac:dyDescent="0.25">
      <c r="A396" s="16"/>
      <c r="B396" s="17"/>
      <c r="C396" s="2"/>
      <c r="D396" s="2"/>
      <c r="E396" s="2"/>
      <c r="F396" s="2"/>
      <c r="G396" s="2"/>
      <c r="H396" s="2"/>
      <c r="I396" s="5"/>
    </row>
    <row r="397" spans="1:9" ht="17.399999999999999" x14ac:dyDescent="0.25">
      <c r="A397" s="16"/>
      <c r="B397" s="17"/>
      <c r="C397" s="2"/>
      <c r="D397" s="2"/>
      <c r="E397" s="2"/>
      <c r="F397" s="2"/>
      <c r="G397" s="2"/>
      <c r="H397" s="2"/>
      <c r="I397" s="5"/>
    </row>
    <row r="398" spans="1:9" ht="17.399999999999999" x14ac:dyDescent="0.25">
      <c r="A398" s="16"/>
      <c r="B398" s="17"/>
      <c r="C398" s="2"/>
      <c r="D398" s="2"/>
      <c r="E398" s="2"/>
      <c r="F398" s="2"/>
      <c r="G398" s="2"/>
      <c r="H398" s="2"/>
      <c r="I398" s="5"/>
    </row>
    <row r="399" spans="1:9" ht="17.399999999999999" x14ac:dyDescent="0.25">
      <c r="A399" s="16"/>
      <c r="B399" s="17"/>
      <c r="C399" s="2"/>
      <c r="D399" s="2"/>
      <c r="E399" s="2"/>
      <c r="F399" s="2"/>
      <c r="G399" s="2"/>
      <c r="H399" s="2"/>
      <c r="I399" s="5"/>
    </row>
    <row r="400" spans="1:9" ht="17.399999999999999" x14ac:dyDescent="0.25">
      <c r="A400" s="16"/>
      <c r="B400" s="17"/>
      <c r="C400" s="2"/>
      <c r="D400" s="2"/>
      <c r="E400" s="2"/>
      <c r="F400" s="2"/>
      <c r="G400" s="2"/>
      <c r="H400" s="2"/>
      <c r="I400" s="5"/>
    </row>
    <row r="401" spans="1:9" ht="17.399999999999999" x14ac:dyDescent="0.25">
      <c r="A401" s="16"/>
      <c r="B401" s="17"/>
      <c r="C401" s="2"/>
      <c r="D401" s="2"/>
      <c r="E401" s="2"/>
      <c r="F401" s="2"/>
      <c r="G401" s="2"/>
      <c r="H401" s="2"/>
      <c r="I401" s="5"/>
    </row>
    <row r="402" spans="1:9" ht="17.399999999999999" x14ac:dyDescent="0.25">
      <c r="A402" s="16"/>
      <c r="B402" s="17"/>
      <c r="C402" s="2"/>
      <c r="D402" s="2"/>
      <c r="E402" s="2"/>
      <c r="F402" s="2"/>
      <c r="G402" s="2"/>
      <c r="H402" s="2"/>
      <c r="I402" s="5"/>
    </row>
    <row r="403" spans="1:9" ht="17.399999999999999" x14ac:dyDescent="0.25">
      <c r="A403" s="16"/>
      <c r="B403" s="17"/>
      <c r="C403" s="2"/>
      <c r="D403" s="2"/>
      <c r="E403" s="2"/>
      <c r="F403" s="2"/>
      <c r="G403" s="2"/>
      <c r="H403" s="2"/>
      <c r="I403" s="5"/>
    </row>
    <row r="404" spans="1:9" ht="17.399999999999999" x14ac:dyDescent="0.25">
      <c r="A404" s="16"/>
      <c r="B404" s="17"/>
      <c r="C404" s="2"/>
      <c r="D404" s="2"/>
      <c r="E404" s="2"/>
      <c r="F404" s="2"/>
      <c r="G404" s="2"/>
      <c r="H404" s="2"/>
      <c r="I404" s="5"/>
    </row>
    <row r="405" spans="1:9" ht="17.399999999999999" x14ac:dyDescent="0.25">
      <c r="A405" s="16"/>
      <c r="B405" s="17"/>
      <c r="C405" s="2"/>
      <c r="D405" s="2"/>
      <c r="E405" s="2"/>
      <c r="F405" s="2"/>
      <c r="G405" s="2"/>
      <c r="H405" s="2"/>
      <c r="I405" s="5"/>
    </row>
    <row r="406" spans="1:9" ht="17.399999999999999" x14ac:dyDescent="0.25">
      <c r="A406" s="16"/>
      <c r="B406" s="17"/>
      <c r="C406" s="2"/>
      <c r="D406" s="2"/>
      <c r="E406" s="2"/>
      <c r="F406" s="2"/>
      <c r="G406" s="2"/>
      <c r="H406" s="2"/>
      <c r="I406" s="5"/>
    </row>
    <row r="407" spans="1:9" ht="17.399999999999999" x14ac:dyDescent="0.25">
      <c r="A407" s="16"/>
      <c r="B407" s="17"/>
      <c r="C407" s="2"/>
      <c r="D407" s="2"/>
      <c r="E407" s="2"/>
      <c r="F407" s="2"/>
      <c r="G407" s="2"/>
      <c r="H407" s="2"/>
      <c r="I407" s="5"/>
    </row>
    <row r="408" spans="1:9" ht="17.399999999999999" x14ac:dyDescent="0.25">
      <c r="A408" s="16"/>
      <c r="B408" s="17"/>
      <c r="C408" s="2"/>
      <c r="D408" s="2"/>
      <c r="E408" s="2"/>
      <c r="F408" s="2"/>
      <c r="G408" s="2"/>
      <c r="H408" s="2"/>
      <c r="I408" s="5"/>
    </row>
    <row r="409" spans="1:9" ht="17.399999999999999" x14ac:dyDescent="0.25">
      <c r="A409" s="16"/>
      <c r="B409" s="17"/>
      <c r="C409" s="2"/>
      <c r="D409" s="2"/>
      <c r="E409" s="2"/>
      <c r="F409" s="2"/>
      <c r="G409" s="2"/>
      <c r="H409" s="2"/>
      <c r="I409" s="5"/>
    </row>
    <row r="410" spans="1:9" ht="17.399999999999999" x14ac:dyDescent="0.25">
      <c r="A410" s="16"/>
      <c r="B410" s="17"/>
      <c r="C410" s="2"/>
      <c r="D410" s="2"/>
      <c r="E410" s="2"/>
      <c r="F410" s="2"/>
      <c r="G410" s="2"/>
      <c r="H410" s="2"/>
      <c r="I410" s="5"/>
    </row>
    <row r="411" spans="1:9" ht="17.399999999999999" x14ac:dyDescent="0.25">
      <c r="A411" s="16"/>
      <c r="B411" s="17"/>
      <c r="C411" s="2"/>
      <c r="D411" s="2"/>
      <c r="E411" s="2"/>
      <c r="F411" s="2"/>
      <c r="G411" s="2"/>
      <c r="H411" s="2"/>
      <c r="I411" s="5"/>
    </row>
    <row r="412" spans="1:9" ht="17.399999999999999" x14ac:dyDescent="0.25">
      <c r="A412" s="16"/>
      <c r="B412" s="17"/>
      <c r="C412" s="2"/>
      <c r="D412" s="2"/>
      <c r="E412" s="2"/>
      <c r="F412" s="2"/>
      <c r="G412" s="2"/>
      <c r="H412" s="2"/>
      <c r="I412" s="5"/>
    </row>
    <row r="413" spans="1:9" ht="17.399999999999999" x14ac:dyDescent="0.25">
      <c r="A413" s="16"/>
      <c r="B413" s="17"/>
      <c r="C413" s="2"/>
      <c r="D413" s="2"/>
      <c r="E413" s="2"/>
      <c r="F413" s="2"/>
      <c r="G413" s="2"/>
      <c r="H413" s="2"/>
      <c r="I413" s="5"/>
    </row>
    <row r="414" spans="1:9" ht="17.399999999999999" x14ac:dyDescent="0.25">
      <c r="A414" s="16"/>
      <c r="B414" s="17"/>
      <c r="C414" s="2"/>
      <c r="D414" s="2"/>
      <c r="E414" s="2"/>
      <c r="F414" s="2"/>
      <c r="G414" s="2"/>
      <c r="H414" s="2"/>
      <c r="I414" s="5"/>
    </row>
    <row r="415" spans="1:9" ht="17.399999999999999" x14ac:dyDescent="0.25">
      <c r="A415" s="16"/>
      <c r="B415" s="17"/>
      <c r="C415" s="2"/>
      <c r="D415" s="2"/>
      <c r="E415" s="2"/>
      <c r="F415" s="2"/>
      <c r="G415" s="2"/>
      <c r="H415" s="2"/>
      <c r="I415" s="5"/>
    </row>
    <row r="416" spans="1:9" ht="17.399999999999999" x14ac:dyDescent="0.25">
      <c r="A416" s="16"/>
      <c r="B416" s="17"/>
      <c r="C416" s="2"/>
      <c r="D416" s="2"/>
      <c r="E416" s="2"/>
      <c r="F416" s="2"/>
      <c r="G416" s="2"/>
      <c r="H416" s="2"/>
      <c r="I416" s="5"/>
    </row>
    <row r="417" spans="1:9" ht="17.399999999999999" x14ac:dyDescent="0.25">
      <c r="A417" s="16"/>
      <c r="B417" s="17"/>
      <c r="C417" s="2"/>
      <c r="D417" s="2"/>
      <c r="E417" s="2"/>
      <c r="F417" s="2"/>
      <c r="G417" s="2"/>
      <c r="H417" s="2"/>
      <c r="I417" s="5"/>
    </row>
    <row r="418" spans="1:9" ht="17.399999999999999" x14ac:dyDescent="0.25">
      <c r="A418" s="16"/>
      <c r="B418" s="17"/>
      <c r="C418" s="2"/>
      <c r="D418" s="2"/>
      <c r="E418" s="2"/>
      <c r="F418" s="2"/>
      <c r="G418" s="2"/>
      <c r="H418" s="2"/>
      <c r="I418" s="5"/>
    </row>
    <row r="419" spans="1:9" ht="17.399999999999999" x14ac:dyDescent="0.25">
      <c r="A419" s="16"/>
      <c r="B419" s="17"/>
      <c r="C419" s="2"/>
      <c r="D419" s="2"/>
      <c r="E419" s="2"/>
      <c r="F419" s="2"/>
      <c r="G419" s="2"/>
      <c r="H419" s="2"/>
      <c r="I419" s="5"/>
    </row>
    <row r="420" spans="1:9" ht="17.399999999999999" x14ac:dyDescent="0.25">
      <c r="A420" s="16"/>
      <c r="B420" s="17"/>
      <c r="C420" s="2"/>
      <c r="D420" s="2"/>
      <c r="E420" s="2"/>
      <c r="F420" s="2"/>
      <c r="G420" s="2"/>
      <c r="H420" s="2"/>
      <c r="I420" s="5"/>
    </row>
    <row r="421" spans="1:9" ht="17.399999999999999" x14ac:dyDescent="0.25">
      <c r="A421" s="16"/>
      <c r="B421" s="17"/>
      <c r="C421" s="2"/>
      <c r="D421" s="2"/>
      <c r="E421" s="2"/>
      <c r="F421" s="2"/>
      <c r="G421" s="2"/>
      <c r="H421" s="2"/>
      <c r="I421" s="5"/>
    </row>
    <row r="422" spans="1:9" ht="17.399999999999999" x14ac:dyDescent="0.25">
      <c r="A422" s="16"/>
      <c r="B422" s="17"/>
      <c r="C422" s="2"/>
      <c r="D422" s="2"/>
      <c r="E422" s="2"/>
      <c r="F422" s="2"/>
      <c r="G422" s="2"/>
      <c r="H422" s="2"/>
      <c r="I422" s="5"/>
    </row>
    <row r="423" spans="1:9" ht="17.399999999999999" x14ac:dyDescent="0.25">
      <c r="A423" s="16"/>
      <c r="B423" s="17"/>
      <c r="C423" s="2"/>
      <c r="D423" s="2"/>
      <c r="E423" s="2"/>
      <c r="F423" s="2"/>
      <c r="G423" s="2"/>
      <c r="H423" s="2"/>
      <c r="I423" s="5"/>
    </row>
    <row r="424" spans="1:9" ht="17.399999999999999" x14ac:dyDescent="0.25">
      <c r="A424" s="16"/>
      <c r="B424" s="17"/>
      <c r="C424" s="2"/>
      <c r="D424" s="2"/>
      <c r="E424" s="2"/>
      <c r="F424" s="2"/>
      <c r="G424" s="2"/>
      <c r="H424" s="2"/>
      <c r="I424" s="5"/>
    </row>
    <row r="425" spans="1:9" ht="17.399999999999999" x14ac:dyDescent="0.25">
      <c r="A425" s="16"/>
      <c r="B425" s="17"/>
      <c r="C425" s="2"/>
      <c r="D425" s="2"/>
      <c r="E425" s="2"/>
      <c r="F425" s="2"/>
      <c r="G425" s="2"/>
      <c r="H425" s="2"/>
      <c r="I425" s="5"/>
    </row>
    <row r="426" spans="1:9" ht="17.399999999999999" x14ac:dyDescent="0.25">
      <c r="A426" s="16"/>
      <c r="B426" s="17"/>
      <c r="C426" s="2"/>
      <c r="D426" s="2"/>
      <c r="E426" s="2"/>
      <c r="F426" s="2"/>
      <c r="G426" s="2"/>
      <c r="H426" s="2"/>
      <c r="I426" s="5"/>
    </row>
    <row r="427" spans="1:9" ht="17.399999999999999" x14ac:dyDescent="0.25">
      <c r="A427" s="16"/>
      <c r="B427" s="17"/>
      <c r="C427" s="2"/>
      <c r="D427" s="2"/>
      <c r="E427" s="2"/>
      <c r="F427" s="2"/>
      <c r="G427" s="2"/>
      <c r="H427" s="2"/>
      <c r="I427" s="5"/>
    </row>
    <row r="428" spans="1:9" ht="17.399999999999999" x14ac:dyDescent="0.25">
      <c r="A428" s="16"/>
      <c r="B428" s="17"/>
      <c r="C428" s="2"/>
      <c r="D428" s="2"/>
      <c r="E428" s="2"/>
      <c r="F428" s="2"/>
      <c r="G428" s="2"/>
      <c r="H428" s="2"/>
      <c r="I428" s="5"/>
    </row>
    <row r="429" spans="1:9" ht="17.399999999999999" x14ac:dyDescent="0.25">
      <c r="A429" s="16"/>
      <c r="B429" s="17"/>
      <c r="C429" s="2"/>
      <c r="D429" s="2"/>
      <c r="E429" s="2"/>
      <c r="F429" s="2"/>
      <c r="G429" s="2"/>
      <c r="H429" s="2"/>
      <c r="I429" s="5"/>
    </row>
    <row r="430" spans="1:9" ht="17.399999999999999" x14ac:dyDescent="0.25">
      <c r="A430" s="16"/>
      <c r="B430" s="17"/>
      <c r="C430" s="2"/>
      <c r="D430" s="2"/>
      <c r="E430" s="2"/>
      <c r="F430" s="2"/>
      <c r="G430" s="2"/>
      <c r="H430" s="2"/>
      <c r="I430" s="5"/>
    </row>
    <row r="431" spans="1:9" ht="17.399999999999999" x14ac:dyDescent="0.25">
      <c r="A431" s="16"/>
      <c r="B431" s="17"/>
      <c r="C431" s="2"/>
      <c r="D431" s="2"/>
      <c r="E431" s="2"/>
      <c r="F431" s="2"/>
      <c r="G431" s="2"/>
      <c r="H431" s="2"/>
      <c r="I431" s="5"/>
    </row>
    <row r="432" spans="1:9" ht="17.399999999999999" x14ac:dyDescent="0.25">
      <c r="A432" s="16"/>
      <c r="B432" s="17"/>
      <c r="C432" s="2"/>
      <c r="D432" s="2"/>
      <c r="E432" s="2"/>
      <c r="F432" s="2"/>
      <c r="G432" s="2"/>
      <c r="H432" s="2"/>
      <c r="I432" s="5"/>
    </row>
    <row r="433" spans="1:9" ht="17.399999999999999" x14ac:dyDescent="0.25">
      <c r="A433" s="16"/>
      <c r="B433" s="17"/>
      <c r="C433" s="2"/>
      <c r="D433" s="2"/>
      <c r="E433" s="2"/>
      <c r="F433" s="2"/>
      <c r="G433" s="2"/>
      <c r="H433" s="2"/>
      <c r="I433" s="5"/>
    </row>
    <row r="434" spans="1:9" ht="17.399999999999999" x14ac:dyDescent="0.25">
      <c r="A434" s="16"/>
      <c r="B434" s="17"/>
      <c r="C434" s="2"/>
      <c r="D434" s="2"/>
      <c r="E434" s="2"/>
      <c r="F434" s="2"/>
      <c r="G434" s="2"/>
      <c r="H434" s="2"/>
      <c r="I434" s="5"/>
    </row>
    <row r="435" spans="1:9" ht="17.399999999999999" x14ac:dyDescent="0.25">
      <c r="A435" s="16"/>
      <c r="B435" s="17"/>
      <c r="C435" s="2"/>
      <c r="D435" s="2"/>
      <c r="E435" s="2"/>
      <c r="F435" s="2"/>
      <c r="G435" s="2"/>
      <c r="H435" s="2"/>
      <c r="I435" s="5"/>
    </row>
    <row r="436" spans="1:9" ht="17.399999999999999" x14ac:dyDescent="0.25">
      <c r="A436" s="16"/>
      <c r="B436" s="17"/>
      <c r="C436" s="2"/>
      <c r="D436" s="2"/>
      <c r="E436" s="2"/>
      <c r="F436" s="2"/>
      <c r="G436" s="2"/>
      <c r="H436" s="2"/>
      <c r="I436" s="5"/>
    </row>
    <row r="437" spans="1:9" ht="17.399999999999999" x14ac:dyDescent="0.25">
      <c r="A437" s="16"/>
      <c r="B437" s="17"/>
      <c r="C437" s="2"/>
      <c r="D437" s="2"/>
      <c r="E437" s="2"/>
      <c r="F437" s="2"/>
      <c r="G437" s="2"/>
      <c r="H437" s="2"/>
      <c r="I437" s="5"/>
    </row>
    <row r="438" spans="1:9" ht="17.399999999999999" x14ac:dyDescent="0.25">
      <c r="A438" s="16"/>
      <c r="B438" s="17"/>
      <c r="C438" s="2"/>
      <c r="D438" s="2"/>
      <c r="E438" s="2"/>
      <c r="F438" s="2"/>
      <c r="G438" s="2"/>
      <c r="H438" s="2"/>
      <c r="I438" s="5"/>
    </row>
    <row r="439" spans="1:9" ht="17.399999999999999" x14ac:dyDescent="0.25">
      <c r="A439" s="16"/>
      <c r="B439" s="17"/>
      <c r="C439" s="2"/>
      <c r="D439" s="2"/>
      <c r="E439" s="2"/>
      <c r="F439" s="2"/>
      <c r="G439" s="2"/>
      <c r="H439" s="2"/>
      <c r="I439" s="5"/>
    </row>
    <row r="440" spans="1:9" ht="17.399999999999999" x14ac:dyDescent="0.25">
      <c r="A440" s="16"/>
      <c r="B440" s="17"/>
      <c r="C440" s="2"/>
      <c r="D440" s="2"/>
      <c r="E440" s="2"/>
      <c r="F440" s="2"/>
      <c r="G440" s="2"/>
      <c r="H440" s="2"/>
      <c r="I440" s="5"/>
    </row>
    <row r="441" spans="1:9" ht="17.399999999999999" x14ac:dyDescent="0.25">
      <c r="A441" s="16"/>
      <c r="B441" s="17"/>
      <c r="C441" s="2"/>
      <c r="D441" s="2"/>
      <c r="E441" s="2"/>
      <c r="F441" s="2"/>
      <c r="G441" s="2"/>
      <c r="H441" s="2"/>
      <c r="I441" s="5"/>
    </row>
    <row r="442" spans="1:9" ht="17.399999999999999" x14ac:dyDescent="0.25">
      <c r="A442" s="16"/>
      <c r="B442" s="17"/>
      <c r="C442" s="2"/>
      <c r="D442" s="2"/>
      <c r="E442" s="2"/>
      <c r="F442" s="2"/>
      <c r="G442" s="2"/>
      <c r="H442" s="2"/>
      <c r="I442" s="5"/>
    </row>
    <row r="443" spans="1:9" ht="17.399999999999999" x14ac:dyDescent="0.25">
      <c r="A443" s="16"/>
      <c r="B443" s="17"/>
      <c r="C443" s="2"/>
      <c r="D443" s="2"/>
      <c r="E443" s="2"/>
      <c r="F443" s="2"/>
      <c r="G443" s="2"/>
      <c r="H443" s="2"/>
      <c r="I443" s="5"/>
    </row>
    <row r="444" spans="1:9" ht="17.399999999999999" x14ac:dyDescent="0.25">
      <c r="A444" s="16"/>
      <c r="B444" s="17"/>
      <c r="C444" s="2"/>
      <c r="D444" s="2"/>
      <c r="E444" s="2"/>
      <c r="F444" s="2"/>
      <c r="G444" s="2"/>
      <c r="H444" s="2"/>
      <c r="I444" s="5"/>
    </row>
    <row r="445" spans="1:9" ht="17.399999999999999" x14ac:dyDescent="0.25">
      <c r="A445" s="16"/>
      <c r="B445" s="17"/>
      <c r="C445" s="2"/>
      <c r="D445" s="2"/>
      <c r="E445" s="2"/>
      <c r="F445" s="2"/>
      <c r="G445" s="2"/>
      <c r="H445" s="2"/>
      <c r="I445" s="5"/>
    </row>
    <row r="446" spans="1:9" ht="17.399999999999999" x14ac:dyDescent="0.25">
      <c r="A446" s="16"/>
      <c r="B446" s="17"/>
      <c r="C446" s="2"/>
      <c r="D446" s="2"/>
      <c r="E446" s="2"/>
      <c r="F446" s="2"/>
      <c r="G446" s="2"/>
      <c r="H446" s="2"/>
      <c r="I446" s="5"/>
    </row>
    <row r="447" spans="1:9" ht="17.399999999999999" x14ac:dyDescent="0.25">
      <c r="A447" s="16"/>
      <c r="B447" s="17"/>
      <c r="C447" s="2"/>
      <c r="D447" s="2"/>
      <c r="E447" s="2"/>
      <c r="F447" s="2"/>
      <c r="G447" s="2"/>
      <c r="H447" s="2"/>
      <c r="I447" s="5"/>
    </row>
    <row r="448" spans="1:9" ht="17.399999999999999" x14ac:dyDescent="0.25">
      <c r="A448" s="16"/>
      <c r="B448" s="17"/>
      <c r="C448" s="2"/>
      <c r="D448" s="2"/>
      <c r="E448" s="2"/>
      <c r="F448" s="2"/>
      <c r="G448" s="2"/>
      <c r="H448" s="2"/>
      <c r="I448" s="5"/>
    </row>
    <row r="449" spans="1:9" ht="17.399999999999999" x14ac:dyDescent="0.25">
      <c r="A449" s="16"/>
      <c r="B449" s="17"/>
      <c r="C449" s="2"/>
      <c r="D449" s="2"/>
      <c r="E449" s="2"/>
      <c r="F449" s="2"/>
      <c r="G449" s="2"/>
      <c r="H449" s="2"/>
      <c r="I449" s="5"/>
    </row>
    <row r="450" spans="1:9" ht="17.399999999999999" x14ac:dyDescent="0.25">
      <c r="A450" s="16"/>
      <c r="B450" s="17"/>
      <c r="C450" s="2"/>
      <c r="D450" s="2"/>
      <c r="E450" s="2"/>
      <c r="F450" s="2"/>
      <c r="G450" s="2"/>
      <c r="H450" s="2"/>
      <c r="I450" s="5"/>
    </row>
    <row r="451" spans="1:9" ht="17.399999999999999" x14ac:dyDescent="0.25">
      <c r="A451" s="16"/>
      <c r="B451" s="17"/>
      <c r="C451" s="2"/>
      <c r="D451" s="2"/>
      <c r="E451" s="2"/>
      <c r="F451" s="2"/>
      <c r="G451" s="2"/>
      <c r="H451" s="2"/>
      <c r="I451" s="5"/>
    </row>
    <row r="452" spans="1:9" ht="17.399999999999999" x14ac:dyDescent="0.25">
      <c r="A452" s="16"/>
      <c r="B452" s="17"/>
      <c r="C452" s="2"/>
      <c r="D452" s="2"/>
      <c r="E452" s="2"/>
      <c r="F452" s="2"/>
      <c r="G452" s="2"/>
      <c r="H452" s="2"/>
      <c r="I452" s="5"/>
    </row>
    <row r="453" spans="1:9" ht="17.399999999999999" x14ac:dyDescent="0.25">
      <c r="A453" s="16"/>
      <c r="B453" s="17"/>
      <c r="C453" s="2"/>
      <c r="D453" s="2"/>
      <c r="E453" s="2"/>
      <c r="F453" s="2"/>
      <c r="G453" s="2"/>
      <c r="H453" s="2"/>
      <c r="I453" s="5"/>
    </row>
    <row r="454" spans="1:9" ht="17.399999999999999" x14ac:dyDescent="0.25">
      <c r="A454" s="16"/>
      <c r="B454" s="17"/>
      <c r="C454" s="2"/>
      <c r="D454" s="2"/>
      <c r="E454" s="2"/>
      <c r="F454" s="2"/>
      <c r="G454" s="2"/>
      <c r="H454" s="2"/>
      <c r="I454" s="5"/>
    </row>
    <row r="455" spans="1:9" ht="17.399999999999999" x14ac:dyDescent="0.25">
      <c r="A455" s="16"/>
      <c r="B455" s="17"/>
      <c r="C455" s="2"/>
      <c r="D455" s="2"/>
      <c r="E455" s="2"/>
      <c r="F455" s="2"/>
      <c r="G455" s="2"/>
      <c r="H455" s="2"/>
      <c r="I455" s="5"/>
    </row>
    <row r="456" spans="1:9" ht="17.399999999999999" x14ac:dyDescent="0.25">
      <c r="A456" s="16"/>
      <c r="B456" s="17"/>
      <c r="C456" s="2"/>
      <c r="D456" s="2"/>
      <c r="E456" s="2"/>
      <c r="F456" s="2"/>
      <c r="G456" s="2"/>
      <c r="H456" s="2"/>
      <c r="I456" s="5"/>
    </row>
    <row r="457" spans="1:9" ht="17.399999999999999" x14ac:dyDescent="0.25">
      <c r="A457" s="16"/>
      <c r="B457" s="17"/>
      <c r="C457" s="2"/>
      <c r="D457" s="2"/>
      <c r="E457" s="2"/>
      <c r="F457" s="2"/>
      <c r="G457" s="2"/>
      <c r="H457" s="2"/>
      <c r="I457" s="5"/>
    </row>
    <row r="458" spans="1:9" ht="17.399999999999999" x14ac:dyDescent="0.25">
      <c r="A458" s="16"/>
      <c r="B458" s="17"/>
      <c r="C458" s="2"/>
      <c r="D458" s="2"/>
      <c r="E458" s="2"/>
      <c r="F458" s="2"/>
      <c r="G458" s="2"/>
      <c r="H458" s="2"/>
      <c r="I458" s="5"/>
    </row>
    <row r="459" spans="1:9" ht="17.399999999999999" x14ac:dyDescent="0.25">
      <c r="A459" s="16"/>
      <c r="B459" s="17"/>
      <c r="C459" s="2"/>
      <c r="D459" s="2"/>
      <c r="E459" s="2"/>
      <c r="F459" s="2"/>
      <c r="G459" s="2"/>
      <c r="H459" s="2"/>
      <c r="I459" s="5"/>
    </row>
    <row r="460" spans="1:9" ht="17.399999999999999" x14ac:dyDescent="0.25">
      <c r="A460" s="16"/>
      <c r="B460" s="17"/>
      <c r="C460" s="2"/>
      <c r="D460" s="2"/>
      <c r="E460" s="2"/>
      <c r="F460" s="2"/>
      <c r="G460" s="2"/>
      <c r="H460" s="2"/>
      <c r="I460" s="5"/>
    </row>
    <row r="461" spans="1:9" ht="17.399999999999999" x14ac:dyDescent="0.25">
      <c r="A461" s="16"/>
      <c r="B461" s="17"/>
      <c r="C461" s="2"/>
      <c r="D461" s="2"/>
      <c r="E461" s="2"/>
      <c r="F461" s="2"/>
      <c r="G461" s="2"/>
      <c r="H461" s="2"/>
      <c r="I461" s="5"/>
    </row>
    <row r="462" spans="1:9" ht="17.399999999999999" x14ac:dyDescent="0.25">
      <c r="A462" s="16"/>
      <c r="B462" s="17"/>
      <c r="C462" s="2"/>
      <c r="D462" s="2"/>
      <c r="E462" s="2"/>
      <c r="F462" s="2"/>
      <c r="G462" s="2"/>
      <c r="H462" s="2"/>
      <c r="I462" s="5"/>
    </row>
    <row r="463" spans="1:9" ht="17.399999999999999" x14ac:dyDescent="0.25">
      <c r="A463" s="16"/>
      <c r="B463" s="17"/>
      <c r="C463" s="2"/>
      <c r="D463" s="2"/>
      <c r="E463" s="2"/>
      <c r="F463" s="2"/>
      <c r="G463" s="2"/>
      <c r="H463" s="2"/>
      <c r="I463" s="5"/>
    </row>
    <row r="464" spans="1:9" ht="17.399999999999999" x14ac:dyDescent="0.25">
      <c r="A464" s="16"/>
      <c r="B464" s="17"/>
      <c r="C464" s="2"/>
      <c r="D464" s="2"/>
      <c r="E464" s="2"/>
      <c r="F464" s="2"/>
      <c r="G464" s="2"/>
      <c r="H464" s="2"/>
      <c r="I464" s="5"/>
    </row>
    <row r="465" spans="1:9" ht="17.399999999999999" x14ac:dyDescent="0.25">
      <c r="A465" s="16"/>
      <c r="B465" s="17"/>
      <c r="C465" s="2"/>
      <c r="D465" s="2"/>
      <c r="E465" s="2"/>
      <c r="F465" s="2"/>
      <c r="G465" s="2"/>
      <c r="H465" s="2"/>
      <c r="I465" s="5"/>
    </row>
    <row r="466" spans="1:9" ht="17.399999999999999" x14ac:dyDescent="0.25">
      <c r="A466" s="16"/>
      <c r="B466" s="17"/>
      <c r="C466" s="2"/>
      <c r="D466" s="2"/>
      <c r="E466" s="2"/>
      <c r="F466" s="2"/>
      <c r="G466" s="2"/>
      <c r="H466" s="2"/>
      <c r="I466" s="5"/>
    </row>
    <row r="467" spans="1:9" ht="17.399999999999999" x14ac:dyDescent="0.25">
      <c r="A467" s="16"/>
      <c r="B467" s="17"/>
      <c r="C467" s="2"/>
      <c r="D467" s="2"/>
      <c r="E467" s="2"/>
      <c r="F467" s="2"/>
      <c r="G467" s="2"/>
      <c r="H467" s="2"/>
      <c r="I467" s="5"/>
    </row>
    <row r="468" spans="1:9" ht="17.399999999999999" x14ac:dyDescent="0.25">
      <c r="A468" s="16"/>
      <c r="B468" s="17"/>
      <c r="C468" s="2"/>
      <c r="D468" s="2"/>
      <c r="E468" s="2"/>
      <c r="F468" s="2"/>
      <c r="G468" s="2"/>
      <c r="H468" s="2"/>
      <c r="I468" s="5"/>
    </row>
    <row r="469" spans="1:9" ht="17.399999999999999" x14ac:dyDescent="0.25">
      <c r="A469" s="16"/>
      <c r="B469" s="17"/>
      <c r="C469" s="2"/>
      <c r="D469" s="2"/>
      <c r="E469" s="2"/>
      <c r="F469" s="2"/>
      <c r="G469" s="2"/>
      <c r="H469" s="2"/>
      <c r="I469" s="5"/>
    </row>
    <row r="470" spans="1:9" ht="17.399999999999999" x14ac:dyDescent="0.25">
      <c r="A470" s="16"/>
      <c r="B470" s="17"/>
      <c r="C470" s="2"/>
      <c r="D470" s="2"/>
      <c r="E470" s="2"/>
      <c r="F470" s="2"/>
      <c r="G470" s="2"/>
      <c r="H470" s="2"/>
      <c r="I470" s="5"/>
    </row>
    <row r="471" spans="1:9" ht="17.399999999999999" x14ac:dyDescent="0.25">
      <c r="A471" s="16"/>
      <c r="B471" s="17"/>
      <c r="C471" s="2"/>
      <c r="D471" s="2"/>
      <c r="E471" s="2"/>
      <c r="F471" s="2"/>
      <c r="G471" s="2"/>
      <c r="H471" s="2"/>
      <c r="I471" s="5"/>
    </row>
    <row r="472" spans="1:9" ht="17.399999999999999" x14ac:dyDescent="0.25">
      <c r="A472" s="16"/>
      <c r="B472" s="17"/>
      <c r="C472" s="2"/>
      <c r="D472" s="2"/>
      <c r="E472" s="2"/>
      <c r="F472" s="2"/>
      <c r="G472" s="2"/>
      <c r="H472" s="2"/>
      <c r="I472" s="5"/>
    </row>
    <row r="473" spans="1:9" ht="17.399999999999999" x14ac:dyDescent="0.25">
      <c r="A473" s="16"/>
      <c r="B473" s="17"/>
      <c r="C473" s="2"/>
      <c r="D473" s="2"/>
      <c r="E473" s="2"/>
      <c r="F473" s="2"/>
      <c r="G473" s="2"/>
      <c r="H473" s="2"/>
      <c r="I473" s="5"/>
    </row>
    <row r="474" spans="1:9" ht="17.399999999999999" x14ac:dyDescent="0.25">
      <c r="A474" s="16"/>
      <c r="B474" s="17"/>
      <c r="C474" s="2"/>
      <c r="D474" s="2"/>
      <c r="E474" s="2"/>
      <c r="F474" s="2"/>
      <c r="G474" s="2"/>
      <c r="H474" s="2"/>
      <c r="I474" s="5"/>
    </row>
    <row r="475" spans="1:9" ht="17.399999999999999" x14ac:dyDescent="0.25">
      <c r="A475" s="16"/>
      <c r="B475" s="17"/>
      <c r="C475" s="2"/>
      <c r="D475" s="2"/>
      <c r="E475" s="2"/>
      <c r="F475" s="2"/>
      <c r="G475" s="2"/>
      <c r="H475" s="2"/>
      <c r="I475" s="5"/>
    </row>
    <row r="476" spans="1:9" ht="17.399999999999999" x14ac:dyDescent="0.25">
      <c r="A476" s="16"/>
      <c r="B476" s="17"/>
      <c r="C476" s="2"/>
      <c r="D476" s="2"/>
      <c r="E476" s="2"/>
      <c r="F476" s="2"/>
      <c r="G476" s="2"/>
      <c r="H476" s="2"/>
      <c r="I476" s="5"/>
    </row>
    <row r="477" spans="1:9" ht="17.399999999999999" x14ac:dyDescent="0.25">
      <c r="A477" s="16"/>
      <c r="B477" s="17"/>
      <c r="C477" s="2"/>
      <c r="D477" s="2"/>
      <c r="E477" s="2"/>
      <c r="F477" s="2"/>
      <c r="G477" s="2"/>
      <c r="H477" s="2"/>
      <c r="I477" s="5"/>
    </row>
    <row r="478" spans="1:9" ht="17.399999999999999" x14ac:dyDescent="0.25">
      <c r="A478" s="16"/>
      <c r="B478" s="17"/>
      <c r="C478" s="2"/>
      <c r="D478" s="2"/>
      <c r="E478" s="2"/>
      <c r="F478" s="2"/>
      <c r="G478" s="2"/>
      <c r="H478" s="2"/>
      <c r="I478" s="5"/>
    </row>
    <row r="479" spans="1:9" ht="17.399999999999999" x14ac:dyDescent="0.25">
      <c r="A479" s="16"/>
      <c r="B479" s="17"/>
      <c r="C479" s="2"/>
      <c r="D479" s="2"/>
      <c r="E479" s="2"/>
      <c r="F479" s="2"/>
      <c r="G479" s="2"/>
      <c r="H479" s="2"/>
      <c r="I479" s="5"/>
    </row>
    <row r="480" spans="1:9" ht="17.399999999999999" x14ac:dyDescent="0.25">
      <c r="A480" s="16"/>
      <c r="B480" s="17"/>
      <c r="C480" s="2"/>
      <c r="D480" s="2"/>
      <c r="E480" s="2"/>
      <c r="F480" s="2"/>
      <c r="G480" s="2"/>
      <c r="H480" s="2"/>
      <c r="I480" s="5"/>
    </row>
    <row r="481" spans="1:9" ht="17.399999999999999" x14ac:dyDescent="0.25">
      <c r="A481" s="16"/>
      <c r="B481" s="17"/>
      <c r="C481" s="2"/>
      <c r="D481" s="2"/>
      <c r="E481" s="2"/>
      <c r="F481" s="2"/>
      <c r="G481" s="2"/>
      <c r="H481" s="2"/>
      <c r="I481" s="5"/>
    </row>
    <row r="482" spans="1:9" ht="17.399999999999999" x14ac:dyDescent="0.25">
      <c r="A482" s="16"/>
      <c r="B482" s="17"/>
      <c r="C482" s="2"/>
      <c r="D482" s="2"/>
      <c r="E482" s="2"/>
      <c r="F482" s="2"/>
      <c r="G482" s="2"/>
      <c r="H482" s="2"/>
      <c r="I482" s="5"/>
    </row>
    <row r="483" spans="1:9" ht="17.399999999999999" x14ac:dyDescent="0.25">
      <c r="A483" s="16"/>
      <c r="B483" s="17"/>
      <c r="C483" s="2"/>
      <c r="D483" s="2"/>
      <c r="E483" s="2"/>
      <c r="F483" s="2"/>
      <c r="G483" s="2"/>
      <c r="H483" s="2"/>
      <c r="I483" s="5"/>
    </row>
    <row r="484" spans="1:9" ht="17.399999999999999" x14ac:dyDescent="0.25">
      <c r="A484" s="16"/>
      <c r="B484" s="17"/>
      <c r="C484" s="2"/>
      <c r="D484" s="2"/>
      <c r="E484" s="2"/>
      <c r="F484" s="2"/>
      <c r="G484" s="2"/>
      <c r="H484" s="2"/>
      <c r="I484" s="5"/>
    </row>
    <row r="485" spans="1:9" ht="17.399999999999999" x14ac:dyDescent="0.25">
      <c r="A485" s="16"/>
      <c r="B485" s="17"/>
      <c r="C485" s="2"/>
      <c r="D485" s="2"/>
      <c r="E485" s="2"/>
      <c r="F485" s="2"/>
      <c r="G485" s="2"/>
      <c r="H485" s="2"/>
      <c r="I485" s="5"/>
    </row>
    <row r="486" spans="1:9" ht="17.399999999999999" x14ac:dyDescent="0.25">
      <c r="A486" s="16"/>
      <c r="B486" s="17"/>
      <c r="C486" s="2"/>
      <c r="D486" s="2"/>
      <c r="E486" s="2"/>
      <c r="F486" s="2"/>
      <c r="G486" s="2"/>
      <c r="H486" s="2"/>
      <c r="I486" s="5"/>
    </row>
    <row r="487" spans="1:9" ht="17.399999999999999" x14ac:dyDescent="0.25">
      <c r="A487" s="16"/>
      <c r="B487" s="17"/>
      <c r="C487" s="2"/>
      <c r="D487" s="2"/>
      <c r="E487" s="2"/>
      <c r="F487" s="2"/>
      <c r="G487" s="2"/>
      <c r="H487" s="2"/>
      <c r="I487" s="5"/>
    </row>
    <row r="488" spans="1:9" ht="17.399999999999999" x14ac:dyDescent="0.25">
      <c r="A488" s="16"/>
      <c r="B488" s="17"/>
      <c r="C488" s="2"/>
      <c r="D488" s="2"/>
      <c r="E488" s="2"/>
      <c r="F488" s="2"/>
      <c r="G488" s="2"/>
      <c r="H488" s="2"/>
      <c r="I488" s="5"/>
    </row>
    <row r="489" spans="1:9" ht="17.399999999999999" x14ac:dyDescent="0.25">
      <c r="A489" s="16"/>
      <c r="B489" s="17"/>
      <c r="C489" s="2"/>
      <c r="D489" s="2"/>
      <c r="E489" s="2"/>
      <c r="F489" s="2"/>
      <c r="G489" s="2"/>
      <c r="H489" s="2"/>
      <c r="I489" s="5"/>
    </row>
    <row r="490" spans="1:9" ht="17.399999999999999" x14ac:dyDescent="0.25">
      <c r="A490" s="16"/>
      <c r="B490" s="17"/>
      <c r="C490" s="2"/>
      <c r="D490" s="2"/>
      <c r="E490" s="2"/>
      <c r="F490" s="2"/>
      <c r="G490" s="2"/>
      <c r="H490" s="2"/>
      <c r="I490" s="5"/>
    </row>
    <row r="491" spans="1:9" ht="17.399999999999999" x14ac:dyDescent="0.25">
      <c r="A491" s="16"/>
      <c r="B491" s="17"/>
      <c r="C491" s="2"/>
      <c r="D491" s="2"/>
      <c r="E491" s="2"/>
      <c r="F491" s="2"/>
      <c r="G491" s="2"/>
      <c r="H491" s="2"/>
      <c r="I491" s="5"/>
    </row>
    <row r="492" spans="1:9" ht="17.399999999999999" x14ac:dyDescent="0.25">
      <c r="A492" s="16"/>
      <c r="B492" s="17"/>
      <c r="C492" s="2"/>
      <c r="D492" s="2"/>
      <c r="E492" s="2"/>
      <c r="F492" s="2"/>
      <c r="G492" s="2"/>
      <c r="H492" s="2"/>
      <c r="I492" s="5"/>
    </row>
    <row r="493" spans="1:9" ht="17.399999999999999" x14ac:dyDescent="0.25">
      <c r="A493" s="16"/>
      <c r="B493" s="17"/>
      <c r="C493" s="2"/>
      <c r="D493" s="2"/>
      <c r="E493" s="2"/>
      <c r="F493" s="2"/>
      <c r="G493" s="2"/>
      <c r="H493" s="2"/>
      <c r="I493" s="5"/>
    </row>
    <row r="494" spans="1:9" ht="17.399999999999999" x14ac:dyDescent="0.25">
      <c r="A494" s="16"/>
      <c r="B494" s="17"/>
      <c r="C494" s="2"/>
      <c r="D494" s="2"/>
      <c r="E494" s="2"/>
      <c r="F494" s="2"/>
      <c r="G494" s="2"/>
      <c r="H494" s="2"/>
      <c r="I494" s="5"/>
    </row>
    <row r="495" spans="1:9" ht="17.399999999999999" x14ac:dyDescent="0.25">
      <c r="A495" s="16"/>
      <c r="B495" s="17"/>
      <c r="C495" s="2"/>
      <c r="D495" s="2"/>
      <c r="E495" s="2"/>
      <c r="F495" s="2"/>
      <c r="G495" s="2"/>
      <c r="H495" s="2"/>
      <c r="I495" s="5"/>
    </row>
    <row r="496" spans="1:9" ht="17.399999999999999" x14ac:dyDescent="0.25">
      <c r="A496" s="16"/>
      <c r="B496" s="17"/>
      <c r="C496" s="2"/>
      <c r="D496" s="2"/>
      <c r="E496" s="2"/>
      <c r="F496" s="2"/>
      <c r="G496" s="2"/>
      <c r="H496" s="2"/>
      <c r="I496" s="5"/>
    </row>
    <row r="497" spans="1:9" ht="17.399999999999999" x14ac:dyDescent="0.25">
      <c r="A497" s="16"/>
      <c r="B497" s="17"/>
      <c r="C497" s="2"/>
      <c r="D497" s="2"/>
      <c r="E497" s="2"/>
      <c r="F497" s="2"/>
      <c r="G497" s="2"/>
      <c r="H497" s="2"/>
      <c r="I497" s="5"/>
    </row>
    <row r="498" spans="1:9" ht="17.399999999999999" x14ac:dyDescent="0.25">
      <c r="A498" s="16"/>
      <c r="B498" s="17"/>
      <c r="C498" s="2"/>
      <c r="D498" s="2"/>
      <c r="E498" s="2"/>
      <c r="F498" s="2"/>
      <c r="G498" s="2"/>
      <c r="H498" s="2"/>
      <c r="I498" s="5"/>
    </row>
    <row r="499" spans="1:9" ht="17.399999999999999" x14ac:dyDescent="0.25">
      <c r="A499" s="16"/>
      <c r="B499" s="17"/>
      <c r="C499" s="2"/>
      <c r="D499" s="2"/>
      <c r="E499" s="2"/>
      <c r="F499" s="2"/>
      <c r="G499" s="2"/>
      <c r="H499" s="2"/>
      <c r="I499" s="5"/>
    </row>
    <row r="500" spans="1:9" ht="17.399999999999999" x14ac:dyDescent="0.25">
      <c r="A500" s="16"/>
      <c r="B500" s="17"/>
      <c r="C500" s="2"/>
      <c r="D500" s="2"/>
      <c r="E500" s="2"/>
      <c r="F500" s="2"/>
      <c r="G500" s="2"/>
      <c r="H500" s="2"/>
      <c r="I500" s="5"/>
    </row>
    <row r="501" spans="1:9" ht="17.399999999999999" x14ac:dyDescent="0.25">
      <c r="A501" s="16"/>
      <c r="B501" s="17"/>
      <c r="C501" s="2"/>
      <c r="D501" s="2"/>
      <c r="E501" s="2"/>
      <c r="F501" s="2"/>
      <c r="G501" s="2"/>
      <c r="H501" s="2"/>
      <c r="I501" s="5"/>
    </row>
    <row r="502" spans="1:9" ht="17.399999999999999" x14ac:dyDescent="0.25">
      <c r="A502" s="16"/>
      <c r="B502" s="17"/>
      <c r="C502" s="2"/>
      <c r="D502" s="2"/>
      <c r="E502" s="2"/>
      <c r="F502" s="2"/>
      <c r="G502" s="2"/>
      <c r="H502" s="2"/>
      <c r="I502" s="5"/>
    </row>
    <row r="503" spans="1:9" ht="17.399999999999999" x14ac:dyDescent="0.25">
      <c r="A503" s="16"/>
      <c r="B503" s="17"/>
      <c r="C503" s="2"/>
      <c r="D503" s="2"/>
      <c r="E503" s="2"/>
      <c r="F503" s="2"/>
      <c r="G503" s="2"/>
      <c r="H503" s="2"/>
      <c r="I503" s="5"/>
    </row>
    <row r="504" spans="1:9" ht="17.399999999999999" x14ac:dyDescent="0.25">
      <c r="A504" s="16"/>
      <c r="B504" s="17"/>
      <c r="C504" s="2"/>
      <c r="D504" s="2"/>
      <c r="E504" s="2"/>
      <c r="F504" s="2"/>
      <c r="G504" s="2"/>
      <c r="H504" s="2"/>
      <c r="I504" s="5"/>
    </row>
    <row r="505" spans="1:9" ht="17.399999999999999" x14ac:dyDescent="0.25">
      <c r="A505" s="16"/>
      <c r="B505" s="17"/>
      <c r="C505" s="2"/>
      <c r="D505" s="2"/>
      <c r="E505" s="2"/>
      <c r="F505" s="2"/>
      <c r="G505" s="2"/>
      <c r="H505" s="2"/>
      <c r="I505" s="5"/>
    </row>
    <row r="506" spans="1:9" ht="17.399999999999999" x14ac:dyDescent="0.25">
      <c r="A506" s="16"/>
      <c r="B506" s="17"/>
      <c r="C506" s="2"/>
      <c r="D506" s="2"/>
      <c r="E506" s="2"/>
      <c r="F506" s="2"/>
      <c r="G506" s="2"/>
      <c r="H506" s="2"/>
      <c r="I506" s="5"/>
    </row>
    <row r="507" spans="1:9" ht="17.399999999999999" x14ac:dyDescent="0.25">
      <c r="A507" s="16"/>
      <c r="B507" s="17"/>
      <c r="C507" s="2"/>
      <c r="D507" s="2"/>
      <c r="E507" s="2"/>
      <c r="F507" s="2"/>
      <c r="G507" s="2"/>
      <c r="H507" s="2"/>
      <c r="I507" s="5"/>
    </row>
    <row r="508" spans="1:9" ht="17.399999999999999" x14ac:dyDescent="0.25">
      <c r="A508" s="16"/>
      <c r="B508" s="17"/>
      <c r="C508" s="2"/>
      <c r="D508" s="2"/>
      <c r="E508" s="2"/>
      <c r="F508" s="2"/>
      <c r="G508" s="2"/>
      <c r="H508" s="2"/>
      <c r="I508" s="5"/>
    </row>
    <row r="509" spans="1:9" ht="17.399999999999999" x14ac:dyDescent="0.25">
      <c r="A509" s="16"/>
      <c r="B509" s="17"/>
      <c r="C509" s="2"/>
      <c r="D509" s="2"/>
      <c r="E509" s="2"/>
      <c r="F509" s="2"/>
      <c r="G509" s="2"/>
      <c r="H509" s="2"/>
      <c r="I509" s="5"/>
    </row>
    <row r="510" spans="1:9" ht="17.399999999999999" x14ac:dyDescent="0.25">
      <c r="A510" s="16"/>
      <c r="B510" s="17"/>
      <c r="C510" s="2"/>
      <c r="D510" s="2"/>
      <c r="E510" s="2"/>
      <c r="F510" s="2"/>
      <c r="G510" s="2"/>
      <c r="H510" s="2"/>
      <c r="I510" s="5"/>
    </row>
    <row r="511" spans="1:9" ht="17.399999999999999" x14ac:dyDescent="0.25">
      <c r="A511" s="16"/>
      <c r="B511" s="17"/>
      <c r="C511" s="2"/>
      <c r="D511" s="2"/>
      <c r="E511" s="2"/>
      <c r="F511" s="2"/>
      <c r="G511" s="2"/>
      <c r="H511" s="2"/>
      <c r="I511" s="5"/>
    </row>
    <row r="512" spans="1:9" ht="17.399999999999999" x14ac:dyDescent="0.25">
      <c r="A512" s="16"/>
      <c r="B512" s="17"/>
      <c r="C512" s="2"/>
      <c r="D512" s="2"/>
      <c r="E512" s="2"/>
      <c r="F512" s="2"/>
      <c r="G512" s="2"/>
      <c r="H512" s="2"/>
      <c r="I512" s="5"/>
    </row>
    <row r="513" spans="1:9" ht="17.399999999999999" x14ac:dyDescent="0.25">
      <c r="A513" s="16"/>
      <c r="B513" s="17"/>
      <c r="C513" s="2"/>
      <c r="D513" s="2"/>
      <c r="E513" s="2"/>
      <c r="F513" s="2"/>
      <c r="G513" s="2"/>
      <c r="H513" s="2"/>
      <c r="I513" s="5"/>
    </row>
    <row r="514" spans="1:9" ht="17.399999999999999" x14ac:dyDescent="0.25">
      <c r="A514" s="16"/>
      <c r="B514" s="17"/>
      <c r="C514" s="2"/>
      <c r="D514" s="2"/>
      <c r="E514" s="2"/>
      <c r="F514" s="2"/>
      <c r="G514" s="2"/>
      <c r="H514" s="2"/>
      <c r="I514" s="5"/>
    </row>
    <row r="515" spans="1:9" ht="17.399999999999999" x14ac:dyDescent="0.25">
      <c r="A515" s="16"/>
      <c r="B515" s="17"/>
      <c r="C515" s="2"/>
      <c r="D515" s="2"/>
      <c r="E515" s="2"/>
      <c r="F515" s="2"/>
      <c r="G515" s="2"/>
      <c r="H515" s="2"/>
      <c r="I515" s="5"/>
    </row>
    <row r="516" spans="1:9" ht="17.399999999999999" x14ac:dyDescent="0.25">
      <c r="A516" s="16"/>
      <c r="B516" s="17"/>
      <c r="C516" s="2"/>
      <c r="D516" s="2"/>
      <c r="E516" s="2"/>
      <c r="F516" s="2"/>
      <c r="G516" s="2"/>
      <c r="H516" s="2"/>
      <c r="I516" s="5"/>
    </row>
    <row r="517" spans="1:9" ht="17.399999999999999" x14ac:dyDescent="0.25">
      <c r="A517" s="16"/>
      <c r="B517" s="17"/>
      <c r="C517" s="2"/>
      <c r="D517" s="2"/>
      <c r="E517" s="2"/>
      <c r="F517" s="2"/>
      <c r="G517" s="2"/>
      <c r="H517" s="2"/>
      <c r="I517" s="5"/>
    </row>
    <row r="518" spans="1:9" ht="17.399999999999999" x14ac:dyDescent="0.25">
      <c r="A518" s="16"/>
      <c r="B518" s="17"/>
      <c r="C518" s="2"/>
      <c r="D518" s="2"/>
      <c r="E518" s="2"/>
      <c r="F518" s="2"/>
      <c r="G518" s="2"/>
      <c r="H518" s="2"/>
      <c r="I518" s="5"/>
    </row>
    <row r="519" spans="1:9" ht="17.399999999999999" x14ac:dyDescent="0.25">
      <c r="A519" s="16"/>
      <c r="B519" s="17"/>
      <c r="C519" s="2"/>
      <c r="D519" s="2"/>
      <c r="E519" s="2"/>
      <c r="F519" s="2"/>
      <c r="G519" s="2"/>
      <c r="H519" s="2"/>
      <c r="I519" s="5"/>
    </row>
    <row r="520" spans="1:9" ht="17.399999999999999" x14ac:dyDescent="0.25">
      <c r="A520" s="16"/>
      <c r="B520" s="17"/>
      <c r="C520" s="2"/>
      <c r="D520" s="2"/>
      <c r="E520" s="2"/>
      <c r="F520" s="2"/>
      <c r="G520" s="2"/>
      <c r="H520" s="2"/>
      <c r="I520" s="5"/>
    </row>
    <row r="521" spans="1:9" ht="17.399999999999999" x14ac:dyDescent="0.25">
      <c r="A521" s="16"/>
      <c r="B521" s="17"/>
      <c r="C521" s="2"/>
      <c r="D521" s="2"/>
      <c r="E521" s="2"/>
      <c r="F521" s="2"/>
      <c r="G521" s="2"/>
      <c r="H521" s="2"/>
      <c r="I521" s="5"/>
    </row>
    <row r="522" spans="1:9" ht="17.399999999999999" x14ac:dyDescent="0.25">
      <c r="A522" s="16"/>
      <c r="B522" s="17"/>
      <c r="C522" s="2"/>
      <c r="D522" s="2"/>
      <c r="E522" s="2"/>
      <c r="F522" s="2"/>
      <c r="G522" s="2"/>
      <c r="H522" s="2"/>
      <c r="I522" s="5"/>
    </row>
    <row r="523" spans="1:9" ht="17.399999999999999" x14ac:dyDescent="0.25">
      <c r="A523" s="16"/>
      <c r="B523" s="17"/>
      <c r="C523" s="2"/>
      <c r="D523" s="2"/>
      <c r="E523" s="2"/>
      <c r="F523" s="2"/>
      <c r="G523" s="2"/>
      <c r="H523" s="2"/>
      <c r="I523" s="5"/>
    </row>
    <row r="524" spans="1:9" ht="17.399999999999999" x14ac:dyDescent="0.25">
      <c r="A524" s="16"/>
      <c r="B524" s="17"/>
      <c r="C524" s="2"/>
      <c r="D524" s="2"/>
      <c r="E524" s="2"/>
      <c r="F524" s="2"/>
      <c r="G524" s="2"/>
      <c r="H524" s="2"/>
      <c r="I524" s="5"/>
    </row>
    <row r="525" spans="1:9" ht="17.399999999999999" x14ac:dyDescent="0.25">
      <c r="A525" s="16"/>
      <c r="B525" s="17"/>
      <c r="C525" s="2"/>
      <c r="D525" s="2"/>
      <c r="E525" s="2"/>
      <c r="F525" s="2"/>
      <c r="G525" s="2"/>
      <c r="H525" s="2"/>
      <c r="I525" s="5"/>
    </row>
    <row r="526" spans="1:9" ht="17.399999999999999" x14ac:dyDescent="0.25">
      <c r="A526" s="16"/>
      <c r="B526" s="17"/>
      <c r="C526" s="2"/>
      <c r="D526" s="2"/>
      <c r="E526" s="2"/>
      <c r="F526" s="2"/>
      <c r="G526" s="2"/>
      <c r="H526" s="2"/>
      <c r="I526" s="5"/>
    </row>
    <row r="527" spans="1:9" ht="17.399999999999999" x14ac:dyDescent="0.25">
      <c r="A527" s="16"/>
      <c r="B527" s="17"/>
      <c r="C527" s="2"/>
      <c r="D527" s="2"/>
      <c r="E527" s="2"/>
      <c r="F527" s="2"/>
      <c r="G527" s="2"/>
      <c r="H527" s="2"/>
      <c r="I527" s="5"/>
    </row>
    <row r="528" spans="1:9" ht="17.399999999999999" x14ac:dyDescent="0.25">
      <c r="A528" s="16"/>
      <c r="B528" s="17"/>
      <c r="C528" s="2"/>
      <c r="D528" s="2"/>
      <c r="E528" s="2"/>
      <c r="F528" s="2"/>
      <c r="G528" s="2"/>
      <c r="H528" s="2"/>
      <c r="I528" s="5"/>
    </row>
    <row r="529" spans="1:9" ht="17.399999999999999" x14ac:dyDescent="0.25">
      <c r="A529" s="16"/>
      <c r="B529" s="17"/>
      <c r="C529" s="2"/>
      <c r="D529" s="2"/>
      <c r="E529" s="2"/>
      <c r="F529" s="2"/>
      <c r="G529" s="2"/>
      <c r="H529" s="2"/>
      <c r="I529" s="5"/>
    </row>
    <row r="530" spans="1:9" ht="17.399999999999999" x14ac:dyDescent="0.25">
      <c r="A530" s="16"/>
      <c r="B530" s="17"/>
      <c r="C530" s="2"/>
      <c r="D530" s="2"/>
      <c r="E530" s="2"/>
      <c r="F530" s="2"/>
      <c r="G530" s="2"/>
      <c r="H530" s="2"/>
      <c r="I530" s="5"/>
    </row>
    <row r="531" spans="1:9" ht="17.399999999999999" x14ac:dyDescent="0.25">
      <c r="A531" s="16"/>
      <c r="B531" s="17"/>
      <c r="C531" s="2"/>
      <c r="D531" s="2"/>
      <c r="E531" s="2"/>
      <c r="F531" s="2"/>
      <c r="G531" s="2"/>
      <c r="H531" s="2"/>
      <c r="I531" s="5"/>
    </row>
    <row r="532" spans="1:9" ht="17.399999999999999" x14ac:dyDescent="0.25">
      <c r="A532" s="16"/>
      <c r="B532" s="17"/>
      <c r="C532" s="2"/>
      <c r="D532" s="2"/>
      <c r="E532" s="2"/>
      <c r="F532" s="2"/>
      <c r="G532" s="2"/>
      <c r="H532" s="2"/>
      <c r="I532" s="5"/>
    </row>
    <row r="533" spans="1:9" ht="17.399999999999999" x14ac:dyDescent="0.25">
      <c r="A533" s="16"/>
      <c r="B533" s="17"/>
      <c r="C533" s="2"/>
      <c r="D533" s="2"/>
      <c r="E533" s="2"/>
      <c r="F533" s="2"/>
      <c r="G533" s="2"/>
      <c r="H533" s="2"/>
      <c r="I533" s="5"/>
    </row>
    <row r="534" spans="1:9" ht="17.399999999999999" x14ac:dyDescent="0.25">
      <c r="A534" s="16"/>
      <c r="B534" s="17"/>
      <c r="C534" s="2"/>
      <c r="D534" s="2"/>
      <c r="E534" s="2"/>
      <c r="F534" s="2"/>
      <c r="G534" s="2"/>
      <c r="H534" s="2"/>
      <c r="I534" s="5"/>
    </row>
    <row r="535" spans="1:9" ht="17.399999999999999" x14ac:dyDescent="0.25">
      <c r="A535" s="16"/>
      <c r="B535" s="17"/>
      <c r="C535" s="2"/>
      <c r="D535" s="2"/>
      <c r="E535" s="2"/>
      <c r="F535" s="2"/>
      <c r="G535" s="2"/>
      <c r="H535" s="2"/>
      <c r="I535" s="5"/>
    </row>
    <row r="536" spans="1:9" ht="17.399999999999999" x14ac:dyDescent="0.25">
      <c r="A536" s="16"/>
      <c r="B536" s="17"/>
      <c r="C536" s="2"/>
      <c r="D536" s="2"/>
      <c r="E536" s="2"/>
      <c r="F536" s="2"/>
      <c r="G536" s="2"/>
      <c r="H536" s="2"/>
      <c r="I536" s="5"/>
    </row>
    <row r="537" spans="1:9" ht="17.399999999999999" x14ac:dyDescent="0.25">
      <c r="A537" s="16"/>
      <c r="B537" s="17"/>
      <c r="C537" s="2"/>
      <c r="D537" s="2"/>
      <c r="E537" s="2"/>
      <c r="F537" s="2"/>
      <c r="G537" s="2"/>
      <c r="H537" s="2"/>
      <c r="I537" s="5"/>
    </row>
    <row r="538" spans="1:9" ht="17.399999999999999" x14ac:dyDescent="0.25">
      <c r="A538" s="16"/>
      <c r="B538" s="17"/>
      <c r="C538" s="2"/>
      <c r="D538" s="2"/>
      <c r="E538" s="2"/>
      <c r="F538" s="2"/>
      <c r="G538" s="2"/>
      <c r="H538" s="2"/>
      <c r="I538" s="5"/>
    </row>
    <row r="539" spans="1:9" ht="17.399999999999999" x14ac:dyDescent="0.25">
      <c r="A539" s="16"/>
      <c r="B539" s="17"/>
      <c r="C539" s="2"/>
      <c r="D539" s="2"/>
      <c r="E539" s="2"/>
      <c r="F539" s="2"/>
      <c r="G539" s="2"/>
      <c r="H539" s="2"/>
      <c r="I539" s="5"/>
    </row>
    <row r="540" spans="1:9" ht="17.399999999999999" x14ac:dyDescent="0.25">
      <c r="A540" s="16"/>
      <c r="B540" s="17"/>
      <c r="C540" s="2"/>
      <c r="D540" s="2"/>
      <c r="E540" s="2"/>
      <c r="F540" s="2"/>
      <c r="G540" s="2"/>
      <c r="H540" s="2"/>
      <c r="I540" s="5"/>
    </row>
    <row r="541" spans="1:9" ht="17.399999999999999" x14ac:dyDescent="0.25">
      <c r="A541" s="16"/>
      <c r="B541" s="17"/>
      <c r="C541" s="2"/>
      <c r="D541" s="2"/>
      <c r="E541" s="2"/>
      <c r="F541" s="2"/>
      <c r="G541" s="2"/>
      <c r="H541" s="2"/>
      <c r="I541" s="5"/>
    </row>
    <row r="542" spans="1:9" ht="17.399999999999999" x14ac:dyDescent="0.25">
      <c r="A542" s="16"/>
      <c r="B542" s="17"/>
      <c r="C542" s="2"/>
      <c r="D542" s="2"/>
      <c r="E542" s="2"/>
      <c r="F542" s="2"/>
      <c r="G542" s="2"/>
      <c r="H542" s="2"/>
      <c r="I542" s="5"/>
    </row>
    <row r="543" spans="1:9" ht="17.399999999999999" x14ac:dyDescent="0.25">
      <c r="A543" s="16"/>
      <c r="B543" s="17"/>
      <c r="C543" s="2"/>
      <c r="D543" s="2"/>
      <c r="E543" s="2"/>
      <c r="F543" s="2"/>
      <c r="G543" s="2"/>
      <c r="H543" s="2"/>
      <c r="I543" s="5"/>
    </row>
    <row r="544" spans="1:9" ht="17.399999999999999" x14ac:dyDescent="0.25">
      <c r="A544" s="16"/>
      <c r="B544" s="17"/>
      <c r="C544" s="2"/>
      <c r="D544" s="2"/>
      <c r="E544" s="2"/>
      <c r="F544" s="2"/>
      <c r="G544" s="2"/>
      <c r="H544" s="2"/>
      <c r="I544" s="5"/>
    </row>
    <row r="545" spans="1:9" ht="17.399999999999999" x14ac:dyDescent="0.25">
      <c r="A545" s="16"/>
      <c r="B545" s="17"/>
      <c r="C545" s="2"/>
      <c r="D545" s="2"/>
      <c r="E545" s="2"/>
      <c r="F545" s="2"/>
      <c r="G545" s="2"/>
      <c r="H545" s="2"/>
      <c r="I545" s="5"/>
    </row>
    <row r="546" spans="1:9" ht="17.399999999999999" x14ac:dyDescent="0.25">
      <c r="A546" s="16"/>
      <c r="B546" s="17"/>
      <c r="C546" s="2"/>
      <c r="D546" s="2"/>
      <c r="E546" s="2"/>
      <c r="F546" s="2"/>
      <c r="G546" s="2"/>
      <c r="H546" s="2"/>
      <c r="I546" s="5"/>
    </row>
    <row r="547" spans="1:9" ht="17.399999999999999" x14ac:dyDescent="0.25">
      <c r="A547" s="16"/>
      <c r="B547" s="17"/>
      <c r="C547" s="2"/>
      <c r="D547" s="2"/>
      <c r="E547" s="2"/>
      <c r="F547" s="2"/>
      <c r="G547" s="2"/>
      <c r="H547" s="2"/>
      <c r="I547" s="5"/>
    </row>
    <row r="548" spans="1:9" ht="17.399999999999999" x14ac:dyDescent="0.25">
      <c r="A548" s="16"/>
      <c r="B548" s="17"/>
      <c r="C548" s="2"/>
      <c r="D548" s="2"/>
      <c r="E548" s="2"/>
      <c r="F548" s="2"/>
      <c r="G548" s="2"/>
      <c r="H548" s="2"/>
      <c r="I548" s="5"/>
    </row>
    <row r="549" spans="1:9" ht="17.399999999999999" x14ac:dyDescent="0.25">
      <c r="A549" s="16"/>
      <c r="B549" s="17"/>
      <c r="C549" s="2"/>
      <c r="D549" s="2"/>
      <c r="E549" s="2"/>
      <c r="F549" s="2"/>
      <c r="G549" s="2"/>
      <c r="H549" s="2"/>
      <c r="I549" s="5"/>
    </row>
    <row r="550" spans="1:9" ht="17.399999999999999" x14ac:dyDescent="0.25">
      <c r="A550" s="16"/>
      <c r="B550" s="17"/>
      <c r="C550" s="2"/>
      <c r="D550" s="2"/>
      <c r="E550" s="2"/>
      <c r="F550" s="2"/>
      <c r="G550" s="2"/>
      <c r="H550" s="2"/>
      <c r="I550" s="5"/>
    </row>
    <row r="551" spans="1:9" ht="17.399999999999999" x14ac:dyDescent="0.25">
      <c r="A551" s="16"/>
      <c r="B551" s="17"/>
      <c r="C551" s="2"/>
      <c r="D551" s="2"/>
      <c r="E551" s="2"/>
      <c r="F551" s="2"/>
      <c r="G551" s="2"/>
      <c r="H551" s="2"/>
      <c r="I551" s="5"/>
    </row>
    <row r="552" spans="1:9" ht="17.399999999999999" x14ac:dyDescent="0.25">
      <c r="A552" s="16"/>
      <c r="B552" s="17"/>
      <c r="C552" s="2"/>
      <c r="D552" s="2"/>
      <c r="E552" s="2"/>
      <c r="F552" s="2"/>
      <c r="G552" s="2"/>
      <c r="H552" s="2"/>
      <c r="I552" s="5"/>
    </row>
    <row r="553" spans="1:9" ht="17.399999999999999" x14ac:dyDescent="0.25">
      <c r="A553" s="16"/>
      <c r="B553" s="17"/>
      <c r="C553" s="2"/>
      <c r="D553" s="2"/>
      <c r="E553" s="2"/>
      <c r="F553" s="2"/>
      <c r="G553" s="2"/>
      <c r="H553" s="2"/>
      <c r="I553" s="5"/>
    </row>
    <row r="554" spans="1:9" ht="17.399999999999999" x14ac:dyDescent="0.25">
      <c r="A554" s="16"/>
      <c r="B554" s="17"/>
      <c r="C554" s="2"/>
      <c r="D554" s="2"/>
      <c r="E554" s="2"/>
      <c r="F554" s="2"/>
      <c r="G554" s="2"/>
      <c r="H554" s="2"/>
      <c r="I554" s="5"/>
    </row>
    <row r="555" spans="1:9" ht="17.399999999999999" x14ac:dyDescent="0.25">
      <c r="A555" s="16"/>
      <c r="B555" s="17"/>
      <c r="C555" s="2"/>
      <c r="D555" s="2"/>
      <c r="E555" s="2"/>
      <c r="F555" s="2"/>
      <c r="G555" s="2"/>
      <c r="H555" s="2"/>
      <c r="I555" s="5"/>
    </row>
    <row r="556" spans="1:9" ht="17.399999999999999" x14ac:dyDescent="0.25">
      <c r="A556" s="16"/>
      <c r="B556" s="17"/>
      <c r="C556" s="2"/>
      <c r="D556" s="2"/>
      <c r="E556" s="2"/>
      <c r="F556" s="2"/>
      <c r="G556" s="2"/>
      <c r="H556" s="2"/>
      <c r="I556" s="5"/>
    </row>
    <row r="557" spans="1:9" ht="17.399999999999999" x14ac:dyDescent="0.25">
      <c r="A557" s="16"/>
      <c r="B557" s="17"/>
      <c r="C557" s="2"/>
      <c r="D557" s="2"/>
      <c r="E557" s="2"/>
      <c r="F557" s="2"/>
      <c r="G557" s="2"/>
      <c r="H557" s="2"/>
      <c r="I557" s="5"/>
    </row>
    <row r="558" spans="1:9" ht="17.399999999999999" x14ac:dyDescent="0.25">
      <c r="A558" s="16"/>
      <c r="B558" s="17"/>
      <c r="C558" s="2"/>
      <c r="D558" s="2"/>
      <c r="E558" s="2"/>
      <c r="F558" s="2"/>
      <c r="G558" s="2"/>
      <c r="H558" s="2"/>
      <c r="I558" s="5"/>
    </row>
    <row r="559" spans="1:9" ht="17.399999999999999" x14ac:dyDescent="0.25">
      <c r="A559" s="16"/>
      <c r="B559" s="17"/>
      <c r="C559" s="2"/>
      <c r="D559" s="2"/>
      <c r="E559" s="2"/>
      <c r="F559" s="2"/>
      <c r="G559" s="2"/>
      <c r="H559" s="2"/>
      <c r="I559" s="5"/>
    </row>
    <row r="560" spans="1:9" ht="17.399999999999999" x14ac:dyDescent="0.25">
      <c r="A560" s="16"/>
      <c r="B560" s="17"/>
      <c r="C560" s="2"/>
      <c r="D560" s="2"/>
      <c r="E560" s="2"/>
      <c r="F560" s="2"/>
      <c r="G560" s="2"/>
      <c r="H560" s="2"/>
      <c r="I560" s="5"/>
    </row>
    <row r="561" spans="1:9" ht="17.399999999999999" x14ac:dyDescent="0.25">
      <c r="A561" s="16"/>
      <c r="B561" s="17"/>
      <c r="C561" s="2"/>
      <c r="D561" s="2"/>
      <c r="E561" s="2"/>
      <c r="F561" s="2"/>
      <c r="G561" s="2"/>
      <c r="H561" s="2"/>
      <c r="I561" s="5"/>
    </row>
    <row r="562" spans="1:9" ht="17.399999999999999" x14ac:dyDescent="0.25">
      <c r="A562" s="16"/>
      <c r="B562" s="17"/>
      <c r="C562" s="2"/>
      <c r="D562" s="2"/>
      <c r="E562" s="2"/>
      <c r="F562" s="2"/>
      <c r="G562" s="2"/>
      <c r="H562" s="2"/>
      <c r="I562" s="5"/>
    </row>
    <row r="563" spans="1:9" ht="17.399999999999999" x14ac:dyDescent="0.25">
      <c r="A563" s="16"/>
      <c r="B563" s="17"/>
      <c r="C563" s="2"/>
      <c r="D563" s="2"/>
      <c r="E563" s="2"/>
      <c r="F563" s="2"/>
      <c r="G563" s="2"/>
      <c r="H563" s="2"/>
      <c r="I563" s="5"/>
    </row>
    <row r="564" spans="1:9" ht="17.399999999999999" x14ac:dyDescent="0.25">
      <c r="A564" s="16"/>
      <c r="B564" s="17"/>
      <c r="C564" s="2"/>
      <c r="D564" s="2"/>
      <c r="E564" s="2"/>
      <c r="F564" s="2"/>
      <c r="G564" s="2"/>
      <c r="H564" s="2"/>
      <c r="I564" s="5"/>
    </row>
    <row r="565" spans="1:9" ht="17.399999999999999" x14ac:dyDescent="0.25">
      <c r="A565" s="16"/>
      <c r="B565" s="17"/>
      <c r="C565" s="2"/>
      <c r="D565" s="2"/>
      <c r="E565" s="2"/>
      <c r="F565" s="2"/>
      <c r="G565" s="2"/>
      <c r="H565" s="2"/>
      <c r="I565" s="5"/>
    </row>
    <row r="566" spans="1:9" ht="17.399999999999999" x14ac:dyDescent="0.25">
      <c r="A566" s="16"/>
      <c r="B566" s="17"/>
      <c r="C566" s="2"/>
      <c r="D566" s="2"/>
      <c r="E566" s="2"/>
      <c r="F566" s="2"/>
      <c r="G566" s="2"/>
      <c r="H566" s="2"/>
      <c r="I566" s="5"/>
    </row>
    <row r="567" spans="1:9" ht="17.399999999999999" x14ac:dyDescent="0.25">
      <c r="A567" s="16"/>
      <c r="B567" s="17"/>
      <c r="C567" s="2"/>
      <c r="D567" s="2"/>
      <c r="E567" s="2"/>
      <c r="F567" s="2"/>
      <c r="G567" s="2"/>
      <c r="H567" s="2"/>
      <c r="I567" s="5"/>
    </row>
    <row r="568" spans="1:9" ht="17.399999999999999" x14ac:dyDescent="0.25">
      <c r="A568" s="16"/>
      <c r="B568" s="17"/>
      <c r="C568" s="2"/>
      <c r="D568" s="2"/>
      <c r="E568" s="2"/>
      <c r="F568" s="2"/>
      <c r="G568" s="2"/>
      <c r="H568" s="2"/>
      <c r="I568" s="5"/>
    </row>
    <row r="569" spans="1:9" ht="17.399999999999999" x14ac:dyDescent="0.25">
      <c r="A569" s="16"/>
      <c r="B569" s="17"/>
      <c r="C569" s="2"/>
      <c r="D569" s="2"/>
      <c r="E569" s="2"/>
      <c r="F569" s="2"/>
      <c r="G569" s="2"/>
      <c r="H569" s="2"/>
      <c r="I569" s="5"/>
    </row>
    <row r="570" spans="1:9" ht="17.399999999999999" x14ac:dyDescent="0.25">
      <c r="A570" s="16"/>
      <c r="B570" s="17"/>
      <c r="C570" s="2"/>
      <c r="D570" s="2"/>
      <c r="E570" s="2"/>
      <c r="F570" s="2"/>
      <c r="G570" s="2"/>
      <c r="H570" s="2"/>
      <c r="I570" s="5"/>
    </row>
    <row r="571" spans="1:9" ht="17.399999999999999" x14ac:dyDescent="0.25">
      <c r="A571" s="16"/>
      <c r="B571" s="17"/>
      <c r="C571" s="2"/>
      <c r="D571" s="2"/>
      <c r="E571" s="2"/>
      <c r="F571" s="2"/>
      <c r="G571" s="2"/>
      <c r="H571" s="2"/>
      <c r="I571" s="5"/>
    </row>
    <row r="572" spans="1:9" ht="17.399999999999999" x14ac:dyDescent="0.25">
      <c r="A572" s="16"/>
      <c r="B572" s="17"/>
      <c r="C572" s="2"/>
      <c r="D572" s="2"/>
      <c r="E572" s="2"/>
      <c r="F572" s="2"/>
      <c r="G572" s="2"/>
      <c r="H572" s="2"/>
      <c r="I572" s="5"/>
    </row>
    <row r="573" spans="1:9" ht="17.399999999999999" x14ac:dyDescent="0.25">
      <c r="A573" s="16"/>
      <c r="B573" s="17"/>
      <c r="C573" s="2"/>
      <c r="D573" s="2"/>
      <c r="E573" s="2"/>
      <c r="F573" s="2"/>
      <c r="G573" s="2"/>
      <c r="H573" s="2"/>
      <c r="I573" s="5"/>
    </row>
    <row r="574" spans="1:9" ht="17.399999999999999" x14ac:dyDescent="0.25">
      <c r="A574" s="16"/>
      <c r="B574" s="17"/>
      <c r="C574" s="2"/>
      <c r="D574" s="2"/>
      <c r="E574" s="2"/>
      <c r="F574" s="2"/>
      <c r="G574" s="2"/>
      <c r="H574" s="2"/>
      <c r="I574" s="5"/>
    </row>
    <row r="575" spans="1:9" ht="17.399999999999999" x14ac:dyDescent="0.25">
      <c r="A575" s="16"/>
      <c r="B575" s="17"/>
      <c r="C575" s="2"/>
      <c r="D575" s="2"/>
      <c r="E575" s="2"/>
      <c r="F575" s="2"/>
      <c r="G575" s="2"/>
      <c r="H575" s="2"/>
      <c r="I575" s="5"/>
    </row>
    <row r="576" spans="1:9" ht="17.399999999999999" x14ac:dyDescent="0.25">
      <c r="A576" s="16"/>
      <c r="B576" s="17"/>
      <c r="C576" s="2"/>
      <c r="D576" s="2"/>
      <c r="E576" s="2"/>
      <c r="F576" s="2"/>
      <c r="G576" s="2"/>
      <c r="H576" s="2"/>
      <c r="I576" s="5"/>
    </row>
    <row r="577" spans="1:9" ht="17.399999999999999" x14ac:dyDescent="0.25">
      <c r="A577" s="16"/>
      <c r="B577" s="17"/>
      <c r="C577" s="2"/>
      <c r="D577" s="2"/>
      <c r="E577" s="2"/>
      <c r="F577" s="2"/>
      <c r="G577" s="2"/>
      <c r="H577" s="2"/>
      <c r="I577" s="5"/>
    </row>
    <row r="578" spans="1:9" ht="17.399999999999999" x14ac:dyDescent="0.25">
      <c r="A578" s="16"/>
      <c r="B578" s="17"/>
      <c r="C578" s="2"/>
      <c r="D578" s="2"/>
      <c r="E578" s="2"/>
      <c r="F578" s="2"/>
      <c r="G578" s="2"/>
      <c r="H578" s="2"/>
      <c r="I578" s="5"/>
    </row>
    <row r="579" spans="1:9" ht="17.399999999999999" x14ac:dyDescent="0.25">
      <c r="A579" s="16"/>
      <c r="B579" s="17"/>
      <c r="C579" s="2"/>
      <c r="D579" s="2"/>
      <c r="E579" s="2"/>
      <c r="F579" s="2"/>
      <c r="G579" s="2"/>
      <c r="H579" s="2"/>
      <c r="I579" s="5"/>
    </row>
    <row r="580" spans="1:9" ht="17.399999999999999" x14ac:dyDescent="0.25">
      <c r="A580" s="16"/>
      <c r="B580" s="17"/>
      <c r="C580" s="2"/>
      <c r="D580" s="2"/>
      <c r="E580" s="2"/>
      <c r="F580" s="2"/>
      <c r="G580" s="2"/>
      <c r="H580" s="2"/>
      <c r="I580" s="5"/>
    </row>
    <row r="581" spans="1:9" ht="17.399999999999999" x14ac:dyDescent="0.25">
      <c r="A581" s="16"/>
      <c r="B581" s="17"/>
      <c r="C581" s="2"/>
      <c r="D581" s="2"/>
      <c r="E581" s="2"/>
      <c r="F581" s="2"/>
      <c r="G581" s="2"/>
      <c r="H581" s="2"/>
      <c r="I581" s="5"/>
    </row>
    <row r="582" spans="1:9" ht="17.399999999999999" x14ac:dyDescent="0.25">
      <c r="A582" s="16"/>
      <c r="B582" s="17"/>
      <c r="C582" s="2"/>
      <c r="D582" s="2"/>
      <c r="E582" s="2"/>
      <c r="F582" s="2"/>
      <c r="G582" s="2"/>
      <c r="H582" s="2"/>
      <c r="I582" s="5"/>
    </row>
    <row r="583" spans="1:9" ht="17.399999999999999" x14ac:dyDescent="0.25">
      <c r="A583" s="16"/>
      <c r="B583" s="17"/>
      <c r="C583" s="2"/>
      <c r="D583" s="2"/>
      <c r="E583" s="2"/>
      <c r="F583" s="2"/>
      <c r="G583" s="2"/>
      <c r="H583" s="2"/>
      <c r="I583" s="5"/>
    </row>
    <row r="584" spans="1:9" ht="17.399999999999999" x14ac:dyDescent="0.25">
      <c r="A584" s="16"/>
      <c r="B584" s="17"/>
      <c r="C584" s="2"/>
      <c r="D584" s="2"/>
      <c r="E584" s="2"/>
      <c r="F584" s="2"/>
      <c r="G584" s="2"/>
      <c r="H584" s="2"/>
      <c r="I584" s="5"/>
    </row>
    <row r="585" spans="1:9" ht="17.399999999999999" x14ac:dyDescent="0.25">
      <c r="A585" s="16"/>
      <c r="B585" s="17"/>
      <c r="C585" s="2"/>
      <c r="D585" s="2"/>
      <c r="E585" s="2"/>
      <c r="F585" s="2"/>
      <c r="G585" s="2"/>
      <c r="H585" s="2"/>
      <c r="I585" s="5"/>
    </row>
    <row r="586" spans="1:9" ht="17.399999999999999" x14ac:dyDescent="0.25">
      <c r="A586" s="16"/>
      <c r="B586" s="17"/>
      <c r="C586" s="2"/>
      <c r="D586" s="2"/>
      <c r="E586" s="2"/>
      <c r="F586" s="2"/>
      <c r="G586" s="2"/>
      <c r="H586" s="2"/>
      <c r="I586" s="5"/>
    </row>
    <row r="587" spans="1:9" ht="17.399999999999999" x14ac:dyDescent="0.25">
      <c r="A587" s="16"/>
      <c r="B587" s="17"/>
      <c r="C587" s="2"/>
      <c r="D587" s="2"/>
      <c r="E587" s="2"/>
      <c r="F587" s="2"/>
      <c r="G587" s="2"/>
      <c r="H587" s="2"/>
      <c r="I587" s="5"/>
    </row>
    <row r="588" spans="1:9" ht="17.399999999999999" x14ac:dyDescent="0.25">
      <c r="A588" s="16"/>
      <c r="B588" s="17"/>
      <c r="C588" s="2"/>
      <c r="D588" s="2"/>
      <c r="E588" s="2"/>
      <c r="F588" s="2"/>
      <c r="G588" s="2"/>
      <c r="H588" s="2"/>
      <c r="I588" s="5"/>
    </row>
    <row r="589" spans="1:9" ht="17.399999999999999" x14ac:dyDescent="0.25">
      <c r="A589" s="16"/>
      <c r="B589" s="17"/>
      <c r="C589" s="2"/>
      <c r="D589" s="2"/>
      <c r="E589" s="2"/>
      <c r="F589" s="2"/>
      <c r="G589" s="2"/>
      <c r="H589" s="2"/>
      <c r="I589" s="5"/>
    </row>
    <row r="590" spans="1:9" ht="17.399999999999999" x14ac:dyDescent="0.25">
      <c r="A590" s="16"/>
      <c r="B590" s="17"/>
      <c r="C590" s="2"/>
      <c r="D590" s="2"/>
      <c r="E590" s="2"/>
      <c r="F590" s="2"/>
      <c r="G590" s="2"/>
      <c r="H590" s="2"/>
      <c r="I590" s="5"/>
    </row>
    <row r="591" spans="1:9" ht="17.399999999999999" x14ac:dyDescent="0.25">
      <c r="A591" s="16"/>
      <c r="B591" s="17"/>
      <c r="C591" s="2"/>
      <c r="D591" s="2"/>
      <c r="E591" s="2"/>
      <c r="F591" s="2"/>
      <c r="G591" s="2"/>
      <c r="H591" s="2"/>
      <c r="I591" s="5"/>
    </row>
    <row r="592" spans="1:9" ht="17.399999999999999" x14ac:dyDescent="0.25">
      <c r="A592" s="16"/>
      <c r="B592" s="17"/>
      <c r="C592" s="2"/>
      <c r="D592" s="2"/>
      <c r="E592" s="2"/>
      <c r="F592" s="2"/>
      <c r="G592" s="2"/>
      <c r="H592" s="2"/>
      <c r="I592" s="5"/>
    </row>
    <row r="593" spans="1:9" ht="17.399999999999999" x14ac:dyDescent="0.25">
      <c r="A593" s="16"/>
      <c r="B593" s="17"/>
      <c r="C593" s="2"/>
      <c r="D593" s="2"/>
      <c r="E593" s="2"/>
      <c r="F593" s="2"/>
      <c r="G593" s="2"/>
      <c r="H593" s="2"/>
      <c r="I593" s="5"/>
    </row>
    <row r="594" spans="1:9" ht="17.399999999999999" x14ac:dyDescent="0.25">
      <c r="A594" s="16"/>
      <c r="B594" s="17"/>
      <c r="C594" s="2"/>
      <c r="D594" s="2"/>
      <c r="E594" s="2"/>
      <c r="F594" s="2"/>
      <c r="G594" s="2"/>
      <c r="H594" s="2"/>
      <c r="I594" s="5"/>
    </row>
    <row r="595" spans="1:9" ht="17.399999999999999" x14ac:dyDescent="0.25">
      <c r="A595" s="16"/>
      <c r="B595" s="17"/>
      <c r="C595" s="2"/>
      <c r="D595" s="2"/>
      <c r="E595" s="2"/>
      <c r="F595" s="2"/>
      <c r="G595" s="2"/>
      <c r="H595" s="2"/>
      <c r="I595" s="5"/>
    </row>
    <row r="596" spans="1:9" ht="17.399999999999999" x14ac:dyDescent="0.25">
      <c r="A596" s="16"/>
      <c r="B596" s="17"/>
      <c r="C596" s="2"/>
      <c r="D596" s="2"/>
      <c r="E596" s="2"/>
      <c r="F596" s="2"/>
      <c r="G596" s="2"/>
      <c r="H596" s="2"/>
      <c r="I596" s="5"/>
    </row>
    <row r="597" spans="1:9" ht="17.399999999999999" x14ac:dyDescent="0.25">
      <c r="A597" s="16"/>
      <c r="B597" s="17"/>
      <c r="C597" s="2"/>
      <c r="D597" s="2"/>
      <c r="E597" s="2"/>
      <c r="F597" s="2"/>
      <c r="G597" s="2"/>
      <c r="H597" s="2"/>
      <c r="I597" s="5"/>
    </row>
    <row r="598" spans="1:9" ht="17.399999999999999" x14ac:dyDescent="0.25">
      <c r="A598" s="16"/>
      <c r="B598" s="17"/>
      <c r="C598" s="2"/>
      <c r="D598" s="2"/>
      <c r="E598" s="2"/>
      <c r="F598" s="2"/>
      <c r="G598" s="2"/>
      <c r="H598" s="2"/>
      <c r="I598" s="5"/>
    </row>
    <row r="599" spans="1:9" ht="17.399999999999999" x14ac:dyDescent="0.25">
      <c r="A599" s="16"/>
      <c r="B599" s="17"/>
      <c r="C599" s="2"/>
      <c r="D599" s="2"/>
      <c r="E599" s="2"/>
      <c r="F599" s="2"/>
      <c r="G599" s="2"/>
      <c r="H599" s="2"/>
      <c r="I599" s="5"/>
    </row>
    <row r="600" spans="1:9" ht="17.399999999999999" x14ac:dyDescent="0.25">
      <c r="A600" s="16"/>
      <c r="B600" s="17"/>
      <c r="C600" s="2"/>
      <c r="D600" s="2"/>
      <c r="E600" s="2"/>
      <c r="F600" s="2"/>
      <c r="G600" s="2"/>
      <c r="H600" s="2"/>
      <c r="I600" s="5"/>
    </row>
    <row r="601" spans="1:9" ht="17.399999999999999" x14ac:dyDescent="0.25">
      <c r="A601" s="16"/>
      <c r="B601" s="17"/>
      <c r="C601" s="2"/>
      <c r="D601" s="2"/>
      <c r="E601" s="2"/>
      <c r="F601" s="2"/>
      <c r="G601" s="2"/>
      <c r="H601" s="2"/>
      <c r="I601" s="5"/>
    </row>
    <row r="602" spans="1:9" ht="17.399999999999999" x14ac:dyDescent="0.25">
      <c r="A602" s="16"/>
      <c r="B602" s="17"/>
      <c r="C602" s="2"/>
      <c r="D602" s="2"/>
      <c r="E602" s="2"/>
      <c r="F602" s="2"/>
      <c r="G602" s="2"/>
      <c r="H602" s="2"/>
      <c r="I602" s="5"/>
    </row>
    <row r="603" spans="1:9" ht="17.399999999999999" x14ac:dyDescent="0.25">
      <c r="A603" s="16"/>
      <c r="B603" s="17"/>
      <c r="C603" s="2"/>
      <c r="D603" s="2"/>
      <c r="E603" s="2"/>
      <c r="F603" s="2"/>
      <c r="G603" s="2"/>
      <c r="H603" s="2"/>
      <c r="I603" s="5"/>
    </row>
    <row r="604" spans="1:9" ht="17.399999999999999" x14ac:dyDescent="0.25">
      <c r="A604" s="16"/>
      <c r="B604" s="17"/>
      <c r="C604" s="2"/>
      <c r="D604" s="2"/>
      <c r="E604" s="2"/>
      <c r="F604" s="2"/>
      <c r="G604" s="2"/>
      <c r="H604" s="2"/>
      <c r="I604" s="5"/>
    </row>
    <row r="605" spans="1:9" ht="17.399999999999999" x14ac:dyDescent="0.25">
      <c r="A605" s="16"/>
      <c r="B605" s="17"/>
      <c r="C605" s="2"/>
      <c r="D605" s="2"/>
      <c r="E605" s="2"/>
      <c r="F605" s="2"/>
      <c r="G605" s="2"/>
      <c r="H605" s="2"/>
      <c r="I605" s="5"/>
    </row>
    <row r="606" spans="1:9" ht="17.399999999999999" x14ac:dyDescent="0.25">
      <c r="A606" s="16"/>
      <c r="B606" s="17"/>
      <c r="C606" s="2"/>
      <c r="D606" s="2"/>
      <c r="E606" s="2"/>
      <c r="F606" s="2"/>
      <c r="G606" s="2"/>
      <c r="H606" s="2"/>
      <c r="I606" s="5"/>
    </row>
    <row r="607" spans="1:9" ht="17.399999999999999" x14ac:dyDescent="0.25">
      <c r="A607" s="16"/>
      <c r="B607" s="17"/>
      <c r="C607" s="2"/>
      <c r="D607" s="2"/>
      <c r="E607" s="2"/>
      <c r="F607" s="2"/>
      <c r="G607" s="2"/>
      <c r="H607" s="2"/>
      <c r="I607" s="5"/>
    </row>
    <row r="608" spans="1:9" ht="17.399999999999999" x14ac:dyDescent="0.25">
      <c r="A608" s="16"/>
      <c r="B608" s="17"/>
      <c r="C608" s="2"/>
      <c r="D608" s="2"/>
      <c r="E608" s="2"/>
      <c r="F608" s="2"/>
      <c r="G608" s="2"/>
      <c r="H608" s="2"/>
      <c r="I608" s="5"/>
    </row>
    <row r="609" spans="1:9" ht="17.399999999999999" x14ac:dyDescent="0.25">
      <c r="A609" s="16"/>
      <c r="B609" s="17"/>
      <c r="C609" s="2"/>
      <c r="D609" s="2"/>
      <c r="E609" s="2"/>
      <c r="F609" s="2"/>
      <c r="G609" s="2"/>
      <c r="H609" s="2"/>
      <c r="I609" s="5"/>
    </row>
    <row r="610" spans="1:9" ht="17.399999999999999" x14ac:dyDescent="0.25">
      <c r="A610" s="16"/>
      <c r="B610" s="17"/>
      <c r="C610" s="2"/>
      <c r="D610" s="2"/>
      <c r="E610" s="2"/>
      <c r="F610" s="2"/>
      <c r="G610" s="2"/>
      <c r="H610" s="2"/>
      <c r="I610" s="5"/>
    </row>
    <row r="611" spans="1:9" ht="17.399999999999999" x14ac:dyDescent="0.25">
      <c r="A611" s="16"/>
      <c r="B611" s="17"/>
      <c r="C611" s="2"/>
      <c r="D611" s="2"/>
      <c r="E611" s="2"/>
      <c r="F611" s="2"/>
      <c r="G611" s="2"/>
      <c r="H611" s="2"/>
      <c r="I611" s="5"/>
    </row>
    <row r="612" spans="1:9" ht="17.399999999999999" x14ac:dyDescent="0.25">
      <c r="A612" s="16"/>
      <c r="B612" s="17"/>
      <c r="C612" s="2"/>
      <c r="D612" s="2"/>
      <c r="E612" s="2"/>
      <c r="F612" s="2"/>
      <c r="G612" s="2"/>
      <c r="H612" s="2"/>
      <c r="I612" s="5"/>
    </row>
    <row r="613" spans="1:9" ht="17.399999999999999" x14ac:dyDescent="0.25">
      <c r="A613" s="16"/>
      <c r="B613" s="17"/>
      <c r="C613" s="2"/>
      <c r="D613" s="2"/>
      <c r="E613" s="2"/>
      <c r="F613" s="2"/>
      <c r="G613" s="2"/>
      <c r="H613" s="2"/>
      <c r="I613" s="5"/>
    </row>
    <row r="614" spans="1:9" ht="17.399999999999999" x14ac:dyDescent="0.25">
      <c r="A614" s="16"/>
      <c r="B614" s="17"/>
      <c r="C614" s="2"/>
      <c r="D614" s="2"/>
      <c r="E614" s="2"/>
      <c r="F614" s="2"/>
      <c r="G614" s="2"/>
      <c r="H614" s="2"/>
      <c r="I614" s="5"/>
    </row>
    <row r="615" spans="1:9" ht="17.399999999999999" x14ac:dyDescent="0.25">
      <c r="A615" s="16"/>
      <c r="B615" s="17"/>
      <c r="C615" s="2"/>
      <c r="D615" s="2"/>
      <c r="E615" s="2"/>
      <c r="F615" s="2"/>
      <c r="G615" s="2"/>
      <c r="H615" s="2"/>
      <c r="I615" s="5"/>
    </row>
    <row r="616" spans="1:9" ht="17.399999999999999" x14ac:dyDescent="0.25">
      <c r="A616" s="16"/>
      <c r="B616" s="17"/>
      <c r="C616" s="2"/>
      <c r="D616" s="2"/>
      <c r="E616" s="2"/>
      <c r="F616" s="2"/>
      <c r="G616" s="2"/>
      <c r="H616" s="2"/>
      <c r="I616" s="5"/>
    </row>
    <row r="617" spans="1:9" ht="17.399999999999999" x14ac:dyDescent="0.25">
      <c r="A617" s="16"/>
      <c r="B617" s="17"/>
      <c r="C617" s="2"/>
      <c r="D617" s="2"/>
      <c r="E617" s="2"/>
      <c r="F617" s="2"/>
      <c r="G617" s="2"/>
      <c r="H617" s="2"/>
      <c r="I617" s="5"/>
    </row>
    <row r="618" spans="1:9" ht="17.399999999999999" x14ac:dyDescent="0.25">
      <c r="A618" s="16"/>
      <c r="B618" s="17"/>
      <c r="C618" s="2"/>
      <c r="D618" s="2"/>
      <c r="E618" s="2"/>
      <c r="F618" s="2"/>
      <c r="G618" s="2"/>
      <c r="H618" s="2"/>
      <c r="I618" s="5"/>
    </row>
    <row r="619" spans="1:9" ht="17.399999999999999" x14ac:dyDescent="0.25">
      <c r="A619" s="16"/>
      <c r="B619" s="17"/>
      <c r="C619" s="2"/>
      <c r="D619" s="2"/>
      <c r="E619" s="2"/>
      <c r="F619" s="2"/>
      <c r="G619" s="2"/>
      <c r="H619" s="2"/>
      <c r="I619" s="5"/>
    </row>
    <row r="620" spans="1:9" ht="17.399999999999999" x14ac:dyDescent="0.25">
      <c r="A620" s="16"/>
      <c r="B620" s="17"/>
      <c r="C620" s="2"/>
      <c r="D620" s="2"/>
      <c r="E620" s="2"/>
      <c r="F620" s="2"/>
      <c r="G620" s="2"/>
      <c r="H620" s="2"/>
      <c r="I620" s="5"/>
    </row>
    <row r="621" spans="1:9" ht="17.399999999999999" x14ac:dyDescent="0.25">
      <c r="A621" s="16"/>
      <c r="B621" s="17"/>
      <c r="C621" s="2"/>
      <c r="D621" s="2"/>
      <c r="E621" s="2"/>
      <c r="F621" s="2"/>
      <c r="G621" s="2"/>
      <c r="H621" s="2"/>
      <c r="I621" s="5"/>
    </row>
    <row r="622" spans="1:9" ht="17.399999999999999" x14ac:dyDescent="0.25">
      <c r="A622" s="16"/>
      <c r="B622" s="17"/>
      <c r="C622" s="2"/>
      <c r="D622" s="2"/>
      <c r="E622" s="2"/>
      <c r="F622" s="2"/>
      <c r="G622" s="2"/>
      <c r="H622" s="2"/>
      <c r="I622" s="5"/>
    </row>
    <row r="623" spans="1:9" ht="17.399999999999999" x14ac:dyDescent="0.25">
      <c r="A623" s="16"/>
      <c r="B623" s="17"/>
      <c r="C623" s="2"/>
      <c r="D623" s="2"/>
      <c r="E623" s="2"/>
      <c r="F623" s="2"/>
      <c r="G623" s="2"/>
      <c r="H623" s="2"/>
      <c r="I623" s="5"/>
    </row>
    <row r="624" spans="1:9" ht="17.399999999999999" x14ac:dyDescent="0.25">
      <c r="A624" s="16"/>
      <c r="B624" s="17"/>
      <c r="C624" s="2"/>
      <c r="D624" s="2"/>
      <c r="E624" s="2"/>
      <c r="F624" s="2"/>
      <c r="G624" s="2"/>
      <c r="H624" s="2"/>
      <c r="I624" s="5"/>
    </row>
    <row r="625" spans="1:9" ht="17.399999999999999" x14ac:dyDescent="0.25">
      <c r="A625" s="16"/>
      <c r="B625" s="17"/>
      <c r="C625" s="2"/>
      <c r="D625" s="2"/>
      <c r="E625" s="2"/>
      <c r="F625" s="2"/>
      <c r="G625" s="2"/>
      <c r="H625" s="2"/>
      <c r="I625" s="5"/>
    </row>
    <row r="626" spans="1:9" ht="17.399999999999999" x14ac:dyDescent="0.25">
      <c r="A626" s="16"/>
      <c r="B626" s="17"/>
      <c r="C626" s="2"/>
      <c r="D626" s="2"/>
      <c r="E626" s="2"/>
      <c r="F626" s="2"/>
      <c r="G626" s="2"/>
      <c r="H626" s="2"/>
      <c r="I626" s="5"/>
    </row>
    <row r="627" spans="1:9" ht="17.399999999999999" x14ac:dyDescent="0.25">
      <c r="A627" s="16"/>
      <c r="B627" s="17"/>
      <c r="C627" s="2"/>
      <c r="D627" s="2"/>
      <c r="E627" s="2"/>
      <c r="F627" s="2"/>
      <c r="G627" s="2"/>
      <c r="H627" s="2"/>
      <c r="I627" s="5"/>
    </row>
    <row r="628" spans="1:9" ht="17.399999999999999" x14ac:dyDescent="0.25">
      <c r="A628" s="16"/>
      <c r="B628" s="17"/>
      <c r="C628" s="2"/>
      <c r="D628" s="2"/>
      <c r="E628" s="2"/>
      <c r="F628" s="2"/>
      <c r="G628" s="2"/>
      <c r="H628" s="2"/>
      <c r="I628" s="5"/>
    </row>
    <row r="629" spans="1:9" ht="17.399999999999999" x14ac:dyDescent="0.25">
      <c r="A629" s="16"/>
      <c r="B629" s="17"/>
      <c r="C629" s="2"/>
      <c r="D629" s="2"/>
      <c r="E629" s="2"/>
      <c r="F629" s="2"/>
      <c r="G629" s="2"/>
      <c r="H629" s="2"/>
      <c r="I629" s="5"/>
    </row>
    <row r="630" spans="1:9" ht="17.399999999999999" x14ac:dyDescent="0.25">
      <c r="A630" s="16"/>
      <c r="B630" s="17"/>
      <c r="C630" s="2"/>
      <c r="D630" s="2"/>
      <c r="E630" s="2"/>
      <c r="F630" s="2"/>
      <c r="G630" s="2"/>
      <c r="H630" s="2"/>
      <c r="I630" s="5"/>
    </row>
    <row r="631" spans="1:9" ht="17.399999999999999" x14ac:dyDescent="0.25">
      <c r="A631" s="16"/>
      <c r="B631" s="17"/>
      <c r="C631" s="2"/>
      <c r="D631" s="2"/>
      <c r="E631" s="2"/>
      <c r="F631" s="2"/>
      <c r="G631" s="2"/>
      <c r="H631" s="2"/>
      <c r="I631" s="5"/>
    </row>
    <row r="632" spans="1:9" ht="17.399999999999999" x14ac:dyDescent="0.25">
      <c r="A632" s="16"/>
      <c r="B632" s="17"/>
      <c r="C632" s="2"/>
      <c r="D632" s="2"/>
      <c r="E632" s="2"/>
      <c r="F632" s="2"/>
      <c r="G632" s="2"/>
      <c r="H632" s="2"/>
      <c r="I632" s="5"/>
    </row>
    <row r="633" spans="1:9" ht="17.399999999999999" x14ac:dyDescent="0.25">
      <c r="A633" s="16"/>
      <c r="B633" s="17"/>
      <c r="C633" s="2"/>
      <c r="D633" s="2"/>
      <c r="E633" s="2"/>
      <c r="F633" s="2"/>
      <c r="G633" s="2"/>
      <c r="H633" s="2"/>
      <c r="I633" s="5"/>
    </row>
    <row r="634" spans="1:9" ht="17.399999999999999" x14ac:dyDescent="0.25">
      <c r="A634" s="16"/>
      <c r="B634" s="17"/>
      <c r="C634" s="2"/>
      <c r="D634" s="2"/>
      <c r="E634" s="2"/>
      <c r="F634" s="2"/>
      <c r="G634" s="2"/>
      <c r="H634" s="2"/>
      <c r="I634" s="5"/>
    </row>
    <row r="635" spans="1:9" ht="17.399999999999999" x14ac:dyDescent="0.25">
      <c r="A635" s="16"/>
      <c r="B635" s="17"/>
      <c r="C635" s="2"/>
      <c r="D635" s="2"/>
      <c r="E635" s="2"/>
      <c r="F635" s="2"/>
      <c r="G635" s="2"/>
      <c r="H635" s="2"/>
      <c r="I635" s="5"/>
    </row>
    <row r="636" spans="1:9" ht="17.399999999999999" x14ac:dyDescent="0.25">
      <c r="A636" s="16"/>
      <c r="B636" s="17"/>
      <c r="C636" s="2"/>
      <c r="D636" s="2"/>
      <c r="E636" s="2"/>
      <c r="F636" s="2"/>
      <c r="G636" s="2"/>
      <c r="H636" s="2"/>
      <c r="I636" s="5"/>
    </row>
    <row r="637" spans="1:9" ht="17.399999999999999" x14ac:dyDescent="0.25">
      <c r="A637" s="16"/>
      <c r="B637" s="17"/>
      <c r="C637" s="2"/>
      <c r="D637" s="2"/>
      <c r="E637" s="2"/>
      <c r="F637" s="2"/>
      <c r="G637" s="2"/>
      <c r="H637" s="2"/>
      <c r="I637" s="5"/>
    </row>
    <row r="638" spans="1:9" ht="17.399999999999999" x14ac:dyDescent="0.25">
      <c r="A638" s="16"/>
      <c r="B638" s="17"/>
      <c r="C638" s="2"/>
      <c r="D638" s="2"/>
      <c r="E638" s="2"/>
      <c r="F638" s="2"/>
      <c r="G638" s="2"/>
      <c r="H638" s="2"/>
      <c r="I638" s="5"/>
    </row>
    <row r="639" spans="1:9" ht="17.399999999999999" x14ac:dyDescent="0.25">
      <c r="A639" s="16"/>
      <c r="B639" s="17"/>
      <c r="C639" s="2"/>
      <c r="D639" s="2"/>
      <c r="E639" s="2"/>
      <c r="F639" s="2"/>
      <c r="G639" s="2"/>
      <c r="H639" s="2"/>
      <c r="I639" s="5"/>
    </row>
    <row r="640" spans="1:9" ht="17.399999999999999" x14ac:dyDescent="0.25">
      <c r="A640" s="16"/>
      <c r="B640" s="17"/>
      <c r="C640" s="2"/>
      <c r="D640" s="2"/>
      <c r="E640" s="2"/>
      <c r="F640" s="2"/>
      <c r="G640" s="2"/>
      <c r="H640" s="2"/>
      <c r="I640" s="5"/>
    </row>
    <row r="641" spans="1:9" ht="17.399999999999999" x14ac:dyDescent="0.25">
      <c r="A641" s="16"/>
      <c r="B641" s="17"/>
      <c r="C641" s="2"/>
      <c r="D641" s="2"/>
      <c r="E641" s="2"/>
      <c r="F641" s="2"/>
      <c r="G641" s="2"/>
      <c r="H641" s="2"/>
      <c r="I641" s="5"/>
    </row>
    <row r="642" spans="1:9" ht="17.399999999999999" x14ac:dyDescent="0.25">
      <c r="A642" s="16"/>
      <c r="B642" s="17"/>
      <c r="C642" s="2"/>
      <c r="D642" s="2"/>
      <c r="E642" s="2"/>
      <c r="F642" s="2"/>
      <c r="G642" s="2"/>
      <c r="H642" s="2"/>
      <c r="I642" s="5"/>
    </row>
    <row r="643" spans="1:9" ht="17.399999999999999" x14ac:dyDescent="0.25">
      <c r="A643" s="16"/>
      <c r="B643" s="17"/>
      <c r="C643" s="2"/>
      <c r="D643" s="2"/>
      <c r="E643" s="2"/>
      <c r="F643" s="2"/>
      <c r="G643" s="2"/>
      <c r="H643" s="2"/>
      <c r="I643" s="5"/>
    </row>
    <row r="644" spans="1:9" ht="17.399999999999999" x14ac:dyDescent="0.25">
      <c r="A644" s="16"/>
      <c r="B644" s="17"/>
      <c r="C644" s="2"/>
      <c r="D644" s="2"/>
      <c r="E644" s="2"/>
      <c r="F644" s="2"/>
      <c r="G644" s="2"/>
      <c r="H644" s="2"/>
      <c r="I644" s="5"/>
    </row>
    <row r="645" spans="1:9" ht="17.399999999999999" x14ac:dyDescent="0.25">
      <c r="A645" s="16"/>
      <c r="B645" s="17"/>
      <c r="C645" s="2"/>
      <c r="D645" s="2"/>
      <c r="E645" s="2"/>
      <c r="F645" s="2"/>
      <c r="G645" s="2"/>
      <c r="H645" s="2"/>
      <c r="I645" s="5"/>
    </row>
    <row r="646" spans="1:9" ht="17.399999999999999" x14ac:dyDescent="0.25">
      <c r="A646" s="16"/>
      <c r="B646" s="17"/>
      <c r="C646" s="2"/>
      <c r="D646" s="2"/>
      <c r="E646" s="2"/>
      <c r="F646" s="2"/>
      <c r="G646" s="2"/>
      <c r="H646" s="2"/>
      <c r="I646" s="5"/>
    </row>
    <row r="647" spans="1:9" ht="17.399999999999999" x14ac:dyDescent="0.25">
      <c r="A647" s="16"/>
      <c r="B647" s="17"/>
      <c r="C647" s="2"/>
      <c r="D647" s="2"/>
      <c r="E647" s="2"/>
      <c r="F647" s="2"/>
      <c r="G647" s="2"/>
      <c r="H647" s="2"/>
      <c r="I647" s="5"/>
    </row>
    <row r="648" spans="1:9" ht="17.399999999999999" x14ac:dyDescent="0.25">
      <c r="A648" s="16"/>
      <c r="B648" s="17"/>
      <c r="C648" s="2"/>
      <c r="D648" s="2"/>
      <c r="E648" s="2"/>
      <c r="F648" s="2"/>
      <c r="G648" s="2"/>
      <c r="H648" s="2"/>
      <c r="I648" s="5"/>
    </row>
    <row r="649" spans="1:9" ht="17.399999999999999" x14ac:dyDescent="0.25">
      <c r="A649" s="16"/>
      <c r="B649" s="17"/>
      <c r="C649" s="2"/>
      <c r="D649" s="2"/>
      <c r="E649" s="2"/>
      <c r="F649" s="2"/>
      <c r="G649" s="2"/>
      <c r="H649" s="2"/>
      <c r="I649" s="5"/>
    </row>
    <row r="650" spans="1:9" ht="17.399999999999999" x14ac:dyDescent="0.25">
      <c r="A650" s="16"/>
      <c r="B650" s="17"/>
      <c r="C650" s="2"/>
      <c r="D650" s="2"/>
      <c r="E650" s="2"/>
      <c r="F650" s="2"/>
      <c r="G650" s="2"/>
      <c r="H650" s="2"/>
      <c r="I650" s="5"/>
    </row>
    <row r="651" spans="1:9" ht="17.399999999999999" x14ac:dyDescent="0.25">
      <c r="A651" s="16"/>
      <c r="B651" s="17"/>
      <c r="C651" s="2"/>
      <c r="D651" s="2"/>
      <c r="E651" s="2"/>
      <c r="F651" s="2"/>
      <c r="G651" s="2"/>
      <c r="H651" s="2"/>
      <c r="I651" s="5"/>
    </row>
    <row r="652" spans="1:9" ht="17.399999999999999" x14ac:dyDescent="0.25">
      <c r="A652" s="16"/>
      <c r="B652" s="17"/>
      <c r="C652" s="2"/>
      <c r="D652" s="2"/>
      <c r="E652" s="2"/>
      <c r="F652" s="2"/>
      <c r="G652" s="2"/>
      <c r="H652" s="2"/>
      <c r="I652" s="5"/>
    </row>
    <row r="653" spans="1:9" ht="17.399999999999999" x14ac:dyDescent="0.25">
      <c r="A653" s="16"/>
      <c r="B653" s="17"/>
      <c r="C653" s="2"/>
      <c r="D653" s="2"/>
      <c r="E653" s="2"/>
      <c r="F653" s="2"/>
      <c r="G653" s="2"/>
      <c r="H653" s="2"/>
      <c r="I653" s="5"/>
    </row>
    <row r="654" spans="1:9" ht="17.399999999999999" x14ac:dyDescent="0.25">
      <c r="A654" s="16"/>
      <c r="B654" s="17"/>
      <c r="C654" s="2"/>
      <c r="D654" s="2"/>
      <c r="E654" s="2"/>
      <c r="F654" s="2"/>
      <c r="G654" s="2"/>
      <c r="H654" s="2"/>
      <c r="I654" s="5"/>
    </row>
    <row r="655" spans="1:9" ht="17.399999999999999" x14ac:dyDescent="0.25">
      <c r="A655" s="16"/>
      <c r="B655" s="17"/>
      <c r="C655" s="2"/>
      <c r="D655" s="2"/>
      <c r="E655" s="2"/>
      <c r="F655" s="2"/>
      <c r="G655" s="2"/>
      <c r="H655" s="2"/>
      <c r="I655" s="5"/>
    </row>
    <row r="656" spans="1:9" ht="17.399999999999999" x14ac:dyDescent="0.25">
      <c r="A656" s="16"/>
      <c r="B656" s="17"/>
      <c r="C656" s="2"/>
      <c r="D656" s="2"/>
      <c r="E656" s="2"/>
      <c r="F656" s="2"/>
      <c r="G656" s="2"/>
      <c r="H656" s="2"/>
      <c r="I656" s="5"/>
    </row>
    <row r="657" spans="1:9" ht="17.399999999999999" x14ac:dyDescent="0.25">
      <c r="A657" s="16"/>
      <c r="B657" s="17"/>
      <c r="C657" s="2"/>
      <c r="D657" s="2"/>
      <c r="E657" s="2"/>
      <c r="F657" s="2"/>
      <c r="G657" s="2"/>
      <c r="H657" s="2"/>
      <c r="I657" s="5"/>
    </row>
    <row r="658" spans="1:9" ht="17.399999999999999" x14ac:dyDescent="0.25">
      <c r="A658" s="16"/>
      <c r="B658" s="17"/>
      <c r="C658" s="2"/>
      <c r="D658" s="2"/>
      <c r="E658" s="2"/>
      <c r="F658" s="2"/>
      <c r="G658" s="2"/>
      <c r="H658" s="2"/>
      <c r="I658" s="5"/>
    </row>
    <row r="659" spans="1:9" ht="17.399999999999999" x14ac:dyDescent="0.25">
      <c r="A659" s="16"/>
      <c r="B659" s="17"/>
      <c r="C659" s="2"/>
      <c r="D659" s="2"/>
      <c r="E659" s="2"/>
      <c r="F659" s="2"/>
      <c r="G659" s="2"/>
      <c r="H659" s="2"/>
      <c r="I659" s="5"/>
    </row>
    <row r="660" spans="1:9" ht="17.399999999999999" x14ac:dyDescent="0.25">
      <c r="A660" s="16"/>
      <c r="B660" s="17"/>
      <c r="C660" s="2"/>
      <c r="D660" s="2"/>
      <c r="E660" s="2"/>
      <c r="F660" s="2"/>
      <c r="G660" s="2"/>
      <c r="H660" s="2"/>
      <c r="I660" s="5"/>
    </row>
    <row r="661" spans="1:9" ht="17.399999999999999" x14ac:dyDescent="0.25">
      <c r="A661" s="16"/>
      <c r="B661" s="17"/>
      <c r="C661" s="2"/>
      <c r="D661" s="2"/>
      <c r="E661" s="2"/>
      <c r="F661" s="2"/>
      <c r="G661" s="2"/>
      <c r="H661" s="2"/>
      <c r="I661" s="5"/>
    </row>
    <row r="662" spans="1:9" ht="17.399999999999999" x14ac:dyDescent="0.25">
      <c r="A662" s="16"/>
      <c r="B662" s="17"/>
      <c r="C662" s="2"/>
      <c r="D662" s="2"/>
      <c r="E662" s="2"/>
      <c r="F662" s="2"/>
      <c r="G662" s="2"/>
      <c r="H662" s="2"/>
      <c r="I662" s="5"/>
    </row>
    <row r="663" spans="1:9" ht="17.399999999999999" x14ac:dyDescent="0.25">
      <c r="A663" s="16"/>
      <c r="B663" s="17"/>
      <c r="C663" s="2"/>
      <c r="D663" s="2"/>
      <c r="E663" s="2"/>
      <c r="F663" s="2"/>
      <c r="G663" s="2"/>
      <c r="H663" s="2"/>
      <c r="I663" s="5"/>
    </row>
    <row r="664" spans="1:9" ht="17.399999999999999" x14ac:dyDescent="0.25">
      <c r="A664" s="16"/>
      <c r="B664" s="17"/>
      <c r="C664" s="2"/>
      <c r="D664" s="2"/>
      <c r="E664" s="2"/>
      <c r="F664" s="2"/>
      <c r="G664" s="2"/>
      <c r="H664" s="2"/>
      <c r="I664" s="5"/>
    </row>
    <row r="665" spans="1:9" ht="17.399999999999999" x14ac:dyDescent="0.25">
      <c r="A665" s="16"/>
      <c r="B665" s="17"/>
      <c r="C665" s="2"/>
      <c r="D665" s="2"/>
      <c r="E665" s="2"/>
      <c r="F665" s="2"/>
      <c r="G665" s="2"/>
      <c r="H665" s="2"/>
      <c r="I665" s="5"/>
    </row>
    <row r="666" spans="1:9" ht="17.399999999999999" x14ac:dyDescent="0.25">
      <c r="A666" s="16"/>
      <c r="B666" s="17"/>
      <c r="C666" s="2"/>
      <c r="D666" s="2"/>
      <c r="E666" s="2"/>
      <c r="F666" s="2"/>
      <c r="G666" s="2"/>
      <c r="H666" s="2"/>
      <c r="I666" s="5"/>
    </row>
    <row r="667" spans="1:9" ht="17.399999999999999" x14ac:dyDescent="0.25">
      <c r="A667" s="16"/>
      <c r="B667" s="17"/>
      <c r="C667" s="2"/>
      <c r="D667" s="2"/>
      <c r="E667" s="2"/>
      <c r="F667" s="2"/>
      <c r="G667" s="2"/>
      <c r="H667" s="2"/>
      <c r="I667" s="5"/>
    </row>
    <row r="668" spans="1:9" ht="17.399999999999999" x14ac:dyDescent="0.25">
      <c r="A668" s="16"/>
      <c r="B668" s="17"/>
      <c r="C668" s="2"/>
      <c r="D668" s="2"/>
      <c r="E668" s="2"/>
      <c r="F668" s="2"/>
      <c r="G668" s="2"/>
      <c r="H668" s="2"/>
      <c r="I668" s="5"/>
    </row>
    <row r="669" spans="1:9" ht="17.399999999999999" x14ac:dyDescent="0.25">
      <c r="A669" s="16"/>
      <c r="B669" s="17"/>
      <c r="C669" s="2"/>
      <c r="D669" s="2"/>
      <c r="E669" s="2"/>
      <c r="F669" s="2"/>
      <c r="G669" s="2"/>
      <c r="H669" s="2"/>
      <c r="I669" s="5"/>
    </row>
    <row r="670" spans="1:9" ht="17.399999999999999" x14ac:dyDescent="0.25">
      <c r="A670" s="16"/>
      <c r="B670" s="17"/>
      <c r="C670" s="2"/>
      <c r="D670" s="2"/>
      <c r="E670" s="2"/>
      <c r="F670" s="2"/>
      <c r="G670" s="2"/>
      <c r="H670" s="2"/>
      <c r="I670" s="5"/>
    </row>
    <row r="671" spans="1:9" ht="17.399999999999999" x14ac:dyDescent="0.25">
      <c r="A671" s="16"/>
      <c r="B671" s="17"/>
      <c r="C671" s="2"/>
      <c r="D671" s="2"/>
      <c r="E671" s="2"/>
      <c r="F671" s="2"/>
      <c r="G671" s="2"/>
      <c r="H671" s="2"/>
      <c r="I671" s="5"/>
    </row>
    <row r="672" spans="1:9" ht="17.399999999999999" x14ac:dyDescent="0.25">
      <c r="A672" s="16"/>
      <c r="B672" s="17"/>
      <c r="C672" s="2"/>
      <c r="D672" s="2"/>
      <c r="E672" s="2"/>
      <c r="F672" s="2"/>
      <c r="G672" s="2"/>
      <c r="H672" s="2"/>
      <c r="I672" s="5"/>
    </row>
    <row r="673" spans="1:9" ht="17.399999999999999" x14ac:dyDescent="0.25">
      <c r="A673" s="16"/>
      <c r="B673" s="17"/>
      <c r="C673" s="2"/>
      <c r="D673" s="2"/>
      <c r="E673" s="2"/>
      <c r="F673" s="2"/>
      <c r="G673" s="2"/>
      <c r="H673" s="2"/>
      <c r="I673" s="5"/>
    </row>
    <row r="674" spans="1:9" ht="17.399999999999999" x14ac:dyDescent="0.25">
      <c r="A674" s="16"/>
      <c r="B674" s="17"/>
      <c r="C674" s="2"/>
      <c r="D674" s="2"/>
      <c r="E674" s="2"/>
      <c r="F674" s="2"/>
      <c r="G674" s="2"/>
      <c r="H674" s="2"/>
      <c r="I674" s="5"/>
    </row>
    <row r="675" spans="1:9" ht="17.399999999999999" x14ac:dyDescent="0.25">
      <c r="A675" s="16"/>
      <c r="B675" s="17"/>
      <c r="C675" s="2"/>
      <c r="D675" s="2"/>
      <c r="E675" s="2"/>
      <c r="F675" s="2"/>
      <c r="G675" s="2"/>
      <c r="H675" s="2"/>
      <c r="I675" s="5"/>
    </row>
    <row r="676" spans="1:9" ht="17.399999999999999" x14ac:dyDescent="0.25">
      <c r="A676" s="16"/>
      <c r="B676" s="17"/>
      <c r="C676" s="2"/>
      <c r="D676" s="2"/>
      <c r="E676" s="2"/>
      <c r="F676" s="2"/>
      <c r="G676" s="2"/>
      <c r="H676" s="2"/>
      <c r="I676" s="5"/>
    </row>
    <row r="677" spans="1:9" ht="17.399999999999999" x14ac:dyDescent="0.25">
      <c r="A677" s="16"/>
      <c r="B677" s="17"/>
      <c r="C677" s="2"/>
      <c r="D677" s="2"/>
      <c r="E677" s="2"/>
      <c r="F677" s="2"/>
      <c r="G677" s="2"/>
      <c r="H677" s="2"/>
      <c r="I677" s="5"/>
    </row>
    <row r="678" spans="1:9" ht="17.399999999999999" x14ac:dyDescent="0.25">
      <c r="A678" s="16"/>
      <c r="B678" s="17"/>
      <c r="C678" s="2"/>
      <c r="D678" s="2"/>
      <c r="E678" s="2"/>
      <c r="F678" s="2"/>
      <c r="G678" s="2"/>
      <c r="H678" s="2"/>
      <c r="I678" s="5"/>
    </row>
    <row r="679" spans="1:9" ht="17.399999999999999" x14ac:dyDescent="0.25">
      <c r="A679" s="16"/>
      <c r="B679" s="17"/>
      <c r="C679" s="2"/>
      <c r="D679" s="2"/>
      <c r="E679" s="2"/>
      <c r="F679" s="2"/>
      <c r="G679" s="2"/>
      <c r="H679" s="2"/>
      <c r="I679" s="5"/>
    </row>
    <row r="680" spans="1:9" ht="17.399999999999999" x14ac:dyDescent="0.25">
      <c r="A680" s="16"/>
      <c r="B680" s="17"/>
      <c r="C680" s="2"/>
      <c r="D680" s="2"/>
      <c r="E680" s="2"/>
      <c r="F680" s="2"/>
      <c r="G680" s="2"/>
      <c r="H680" s="2"/>
      <c r="I680" s="5"/>
    </row>
    <row r="681" spans="1:9" ht="17.399999999999999" x14ac:dyDescent="0.25">
      <c r="A681" s="16"/>
      <c r="B681" s="17"/>
      <c r="C681" s="2"/>
      <c r="D681" s="2"/>
      <c r="E681" s="2"/>
      <c r="F681" s="2"/>
      <c r="G681" s="2"/>
      <c r="H681" s="2"/>
      <c r="I681" s="5"/>
    </row>
    <row r="682" spans="1:9" ht="17.399999999999999" x14ac:dyDescent="0.25">
      <c r="A682" s="16"/>
      <c r="B682" s="17"/>
      <c r="C682" s="2"/>
      <c r="D682" s="2"/>
      <c r="E682" s="2"/>
      <c r="F682" s="2"/>
      <c r="G682" s="2"/>
      <c r="H682" s="2"/>
      <c r="I682" s="5"/>
    </row>
    <row r="683" spans="1:9" ht="17.399999999999999" x14ac:dyDescent="0.25">
      <c r="A683" s="16"/>
      <c r="B683" s="17"/>
      <c r="C683" s="2"/>
      <c r="D683" s="2"/>
      <c r="E683" s="2"/>
      <c r="F683" s="2"/>
      <c r="G683" s="2"/>
      <c r="H683" s="2"/>
      <c r="I683" s="5"/>
    </row>
    <row r="684" spans="1:9" ht="17.399999999999999" x14ac:dyDescent="0.25">
      <c r="A684" s="16"/>
      <c r="B684" s="17"/>
      <c r="C684" s="2"/>
      <c r="D684" s="2"/>
      <c r="E684" s="2"/>
      <c r="F684" s="2"/>
      <c r="G684" s="2"/>
      <c r="H684" s="2"/>
      <c r="I684" s="5"/>
    </row>
    <row r="685" spans="1:9" ht="17.399999999999999" x14ac:dyDescent="0.25">
      <c r="A685" s="16"/>
      <c r="B685" s="17"/>
      <c r="C685" s="2"/>
      <c r="D685" s="2"/>
      <c r="E685" s="2"/>
      <c r="F685" s="2"/>
      <c r="G685" s="2"/>
      <c r="H685" s="2"/>
      <c r="I685" s="5"/>
    </row>
    <row r="686" spans="1:9" ht="17.399999999999999" x14ac:dyDescent="0.25">
      <c r="A686" s="16"/>
      <c r="B686" s="17"/>
      <c r="C686" s="2"/>
      <c r="D686" s="2"/>
      <c r="E686" s="2"/>
      <c r="F686" s="2"/>
      <c r="G686" s="2"/>
      <c r="H686" s="2"/>
      <c r="I686" s="5"/>
    </row>
    <row r="687" spans="1:9" ht="17.399999999999999" x14ac:dyDescent="0.25">
      <c r="A687" s="16"/>
      <c r="B687" s="17"/>
      <c r="C687" s="2"/>
      <c r="D687" s="2"/>
      <c r="E687" s="2"/>
      <c r="F687" s="2"/>
      <c r="G687" s="2"/>
      <c r="H687" s="2"/>
      <c r="I687" s="5"/>
    </row>
    <row r="688" spans="1:9" ht="17.399999999999999" x14ac:dyDescent="0.25">
      <c r="A688" s="16"/>
      <c r="B688" s="17"/>
      <c r="C688" s="2"/>
      <c r="D688" s="2"/>
      <c r="E688" s="2"/>
      <c r="F688" s="2"/>
      <c r="G688" s="2"/>
      <c r="H688" s="2"/>
      <c r="I688" s="5"/>
    </row>
    <row r="689" spans="1:9" ht="17.399999999999999" x14ac:dyDescent="0.25">
      <c r="A689" s="16"/>
      <c r="B689" s="17"/>
      <c r="C689" s="2"/>
      <c r="D689" s="2"/>
      <c r="E689" s="2"/>
      <c r="F689" s="2"/>
      <c r="G689" s="2"/>
      <c r="H689" s="2"/>
      <c r="I689" s="5"/>
    </row>
    <row r="690" spans="1:9" ht="17.399999999999999" x14ac:dyDescent="0.25">
      <c r="A690" s="16"/>
      <c r="B690" s="17"/>
      <c r="C690" s="2"/>
      <c r="D690" s="2"/>
      <c r="E690" s="2"/>
      <c r="F690" s="2"/>
      <c r="G690" s="2"/>
      <c r="H690" s="2"/>
      <c r="I690" s="5"/>
    </row>
    <row r="691" spans="1:9" ht="17.399999999999999" x14ac:dyDescent="0.25">
      <c r="A691" s="16"/>
      <c r="B691" s="17"/>
      <c r="C691" s="2"/>
      <c r="D691" s="2"/>
      <c r="E691" s="2"/>
      <c r="F691" s="2"/>
      <c r="G691" s="2"/>
      <c r="H691" s="2"/>
      <c r="I691" s="5"/>
    </row>
    <row r="692" spans="1:9" ht="17.399999999999999" x14ac:dyDescent="0.25">
      <c r="A692" s="16"/>
      <c r="B692" s="17"/>
      <c r="C692" s="2"/>
      <c r="D692" s="2"/>
      <c r="E692" s="2"/>
      <c r="F692" s="2"/>
      <c r="G692" s="2"/>
      <c r="H692" s="2"/>
      <c r="I692" s="5"/>
    </row>
    <row r="693" spans="1:9" ht="17.399999999999999" x14ac:dyDescent="0.25">
      <c r="A693" s="16"/>
      <c r="B693" s="17"/>
      <c r="C693" s="2"/>
      <c r="D693" s="2"/>
      <c r="E693" s="2"/>
      <c r="F693" s="2"/>
      <c r="G693" s="2"/>
      <c r="H693" s="2"/>
      <c r="I693" s="5"/>
    </row>
    <row r="694" spans="1:9" ht="17.399999999999999" x14ac:dyDescent="0.25">
      <c r="A694" s="16"/>
      <c r="B694" s="17"/>
      <c r="C694" s="2"/>
      <c r="D694" s="2"/>
      <c r="E694" s="2"/>
      <c r="F694" s="2"/>
      <c r="G694" s="2"/>
      <c r="H694" s="2"/>
      <c r="I694" s="5"/>
    </row>
    <row r="695" spans="1:9" ht="17.399999999999999" x14ac:dyDescent="0.25">
      <c r="A695" s="16"/>
      <c r="B695" s="17"/>
      <c r="C695" s="2"/>
      <c r="D695" s="2"/>
      <c r="E695" s="2"/>
      <c r="F695" s="2"/>
      <c r="G695" s="2"/>
      <c r="H695" s="2"/>
      <c r="I695" s="5"/>
    </row>
    <row r="696" spans="1:9" ht="17.399999999999999" x14ac:dyDescent="0.25">
      <c r="A696" s="16"/>
      <c r="B696" s="17"/>
      <c r="C696" s="2"/>
      <c r="D696" s="2"/>
      <c r="E696" s="2"/>
      <c r="F696" s="2"/>
      <c r="G696" s="2"/>
      <c r="H696" s="2"/>
      <c r="I696" s="5"/>
    </row>
    <row r="697" spans="1:9" ht="17.399999999999999" x14ac:dyDescent="0.25">
      <c r="A697" s="16"/>
      <c r="B697" s="17"/>
      <c r="C697" s="2"/>
      <c r="D697" s="2"/>
      <c r="E697" s="2"/>
      <c r="F697" s="2"/>
      <c r="G697" s="2"/>
      <c r="H697" s="2"/>
      <c r="I697" s="5"/>
    </row>
    <row r="698" spans="1:9" ht="17.399999999999999" x14ac:dyDescent="0.25">
      <c r="A698" s="16"/>
      <c r="B698" s="17"/>
      <c r="C698" s="2"/>
      <c r="D698" s="2"/>
      <c r="E698" s="2"/>
      <c r="F698" s="2"/>
      <c r="G698" s="2"/>
      <c r="H698" s="2"/>
      <c r="I698" s="5"/>
    </row>
    <row r="699" spans="1:9" ht="17.399999999999999" x14ac:dyDescent="0.25">
      <c r="A699" s="16"/>
      <c r="B699" s="17"/>
      <c r="C699" s="2"/>
      <c r="D699" s="2"/>
      <c r="E699" s="2"/>
      <c r="F699" s="2"/>
      <c r="G699" s="2"/>
      <c r="H699" s="2"/>
      <c r="I699" s="5"/>
    </row>
    <row r="700" spans="1:9" ht="17.399999999999999" x14ac:dyDescent="0.25">
      <c r="A700" s="16"/>
      <c r="B700" s="17"/>
      <c r="C700" s="2"/>
      <c r="D700" s="2"/>
      <c r="E700" s="2"/>
      <c r="F700" s="2"/>
      <c r="G700" s="2"/>
      <c r="H700" s="2"/>
      <c r="I700" s="5"/>
    </row>
    <row r="701" spans="1:9" ht="17.399999999999999" x14ac:dyDescent="0.25">
      <c r="A701" s="16"/>
      <c r="B701" s="17"/>
      <c r="C701" s="2"/>
      <c r="D701" s="2"/>
      <c r="E701" s="2"/>
      <c r="F701" s="2"/>
      <c r="G701" s="2"/>
      <c r="H701" s="2"/>
      <c r="I701" s="5"/>
    </row>
    <row r="702" spans="1:9" ht="17.399999999999999" x14ac:dyDescent="0.25">
      <c r="A702" s="16"/>
      <c r="B702" s="17"/>
      <c r="C702" s="2"/>
      <c r="D702" s="2"/>
      <c r="E702" s="2"/>
      <c r="F702" s="2"/>
      <c r="G702" s="2"/>
      <c r="H702" s="2"/>
      <c r="I702" s="5"/>
    </row>
    <row r="703" spans="1:9" ht="17.399999999999999" x14ac:dyDescent="0.25">
      <c r="A703" s="16"/>
      <c r="B703" s="17"/>
      <c r="C703" s="2"/>
      <c r="D703" s="2"/>
      <c r="E703" s="2"/>
      <c r="F703" s="2"/>
      <c r="G703" s="2"/>
      <c r="H703" s="2"/>
      <c r="I703" s="5"/>
    </row>
    <row r="704" spans="1:9" ht="17.399999999999999" x14ac:dyDescent="0.25">
      <c r="A704" s="16"/>
      <c r="B704" s="17"/>
      <c r="C704" s="2"/>
      <c r="D704" s="2"/>
      <c r="E704" s="2"/>
      <c r="F704" s="2"/>
      <c r="G704" s="2"/>
      <c r="H704" s="2"/>
      <c r="I704" s="5"/>
    </row>
    <row r="705" spans="1:9" ht="17.399999999999999" x14ac:dyDescent="0.25">
      <c r="A705" s="16"/>
      <c r="B705" s="17"/>
      <c r="C705" s="2"/>
      <c r="D705" s="2"/>
      <c r="E705" s="2"/>
      <c r="F705" s="2"/>
      <c r="G705" s="2"/>
      <c r="H705" s="2"/>
      <c r="I705" s="5"/>
    </row>
    <row r="706" spans="1:9" ht="17.399999999999999" x14ac:dyDescent="0.25">
      <c r="A706" s="16"/>
      <c r="B706" s="17"/>
      <c r="C706" s="2"/>
      <c r="D706" s="2"/>
      <c r="E706" s="2"/>
      <c r="F706" s="2"/>
      <c r="G706" s="2"/>
      <c r="H706" s="2"/>
      <c r="I706" s="5"/>
    </row>
    <row r="707" spans="1:9" ht="17.399999999999999" x14ac:dyDescent="0.25">
      <c r="A707" s="16"/>
      <c r="B707" s="17"/>
      <c r="C707" s="2"/>
      <c r="D707" s="2"/>
      <c r="E707" s="2"/>
      <c r="F707" s="2"/>
      <c r="G707" s="2"/>
      <c r="H707" s="2"/>
      <c r="I707" s="5"/>
    </row>
    <row r="708" spans="1:9" ht="17.399999999999999" x14ac:dyDescent="0.25">
      <c r="A708" s="16"/>
      <c r="B708" s="17"/>
      <c r="C708" s="2"/>
      <c r="D708" s="2"/>
      <c r="E708" s="2"/>
      <c r="F708" s="2"/>
      <c r="G708" s="2"/>
      <c r="H708" s="2"/>
      <c r="I708" s="5"/>
    </row>
    <row r="709" spans="1:9" ht="17.399999999999999" x14ac:dyDescent="0.25">
      <c r="A709" s="16"/>
      <c r="B709" s="17"/>
      <c r="C709" s="2"/>
      <c r="D709" s="2"/>
      <c r="E709" s="2"/>
      <c r="F709" s="2"/>
      <c r="G709" s="2"/>
      <c r="H709" s="2"/>
      <c r="I709" s="5"/>
    </row>
    <row r="710" spans="1:9" ht="17.399999999999999" x14ac:dyDescent="0.25">
      <c r="A710" s="16"/>
      <c r="B710" s="17"/>
      <c r="C710" s="2"/>
      <c r="D710" s="2"/>
      <c r="E710" s="2"/>
      <c r="F710" s="2"/>
      <c r="G710" s="2"/>
      <c r="H710" s="2"/>
      <c r="I710" s="5"/>
    </row>
    <row r="711" spans="1:9" ht="17.399999999999999" x14ac:dyDescent="0.25">
      <c r="A711" s="16"/>
      <c r="B711" s="17"/>
      <c r="C711" s="2"/>
      <c r="D711" s="2"/>
      <c r="E711" s="2"/>
      <c r="F711" s="2"/>
      <c r="G711" s="2"/>
      <c r="H711" s="2"/>
      <c r="I711" s="5"/>
    </row>
    <row r="712" spans="1:9" ht="17.399999999999999" x14ac:dyDescent="0.25">
      <c r="A712" s="16"/>
      <c r="B712" s="17"/>
      <c r="C712" s="2"/>
      <c r="D712" s="2"/>
      <c r="E712" s="2"/>
      <c r="F712" s="2"/>
      <c r="G712" s="2"/>
      <c r="H712" s="2"/>
      <c r="I712" s="5"/>
    </row>
    <row r="713" spans="1:9" ht="17.399999999999999" x14ac:dyDescent="0.25">
      <c r="A713" s="16"/>
      <c r="B713" s="17"/>
      <c r="C713" s="2"/>
      <c r="D713" s="2"/>
      <c r="E713" s="2"/>
      <c r="F713" s="2"/>
      <c r="G713" s="2"/>
      <c r="H713" s="2"/>
      <c r="I713" s="5"/>
    </row>
    <row r="714" spans="1:9" ht="17.399999999999999" x14ac:dyDescent="0.25">
      <c r="A714" s="16"/>
      <c r="B714" s="17"/>
      <c r="C714" s="2"/>
      <c r="D714" s="2"/>
      <c r="E714" s="2"/>
      <c r="F714" s="2"/>
      <c r="G714" s="2"/>
      <c r="H714" s="2"/>
      <c r="I714" s="5"/>
    </row>
    <row r="715" spans="1:9" ht="17.399999999999999" x14ac:dyDescent="0.25">
      <c r="A715" s="16"/>
      <c r="B715" s="17"/>
      <c r="C715" s="2"/>
      <c r="D715" s="2"/>
      <c r="E715" s="2"/>
      <c r="F715" s="2"/>
      <c r="G715" s="2"/>
      <c r="H715" s="2"/>
      <c r="I715" s="5"/>
    </row>
    <row r="716" spans="1:9" ht="17.399999999999999" x14ac:dyDescent="0.25">
      <c r="A716" s="16"/>
      <c r="B716" s="17"/>
      <c r="C716" s="2"/>
      <c r="D716" s="2"/>
      <c r="E716" s="2"/>
      <c r="F716" s="2"/>
      <c r="G716" s="2"/>
      <c r="H716" s="2"/>
      <c r="I716" s="5"/>
    </row>
    <row r="717" spans="1:9" ht="17.399999999999999" x14ac:dyDescent="0.25">
      <c r="A717" s="16"/>
      <c r="B717" s="17"/>
      <c r="C717" s="2"/>
      <c r="D717" s="2"/>
      <c r="E717" s="2"/>
      <c r="F717" s="2"/>
      <c r="G717" s="2"/>
      <c r="H717" s="2"/>
      <c r="I717" s="5"/>
    </row>
    <row r="718" spans="1:9" ht="17.399999999999999" x14ac:dyDescent="0.25">
      <c r="A718" s="16"/>
      <c r="B718" s="17"/>
      <c r="C718" s="2"/>
      <c r="D718" s="2"/>
      <c r="E718" s="2"/>
      <c r="F718" s="2"/>
      <c r="G718" s="2"/>
      <c r="H718" s="2"/>
      <c r="I718" s="5"/>
    </row>
    <row r="719" spans="1:9" ht="17.399999999999999" x14ac:dyDescent="0.25">
      <c r="A719" s="16"/>
      <c r="B719" s="17"/>
      <c r="C719" s="2"/>
      <c r="D719" s="2"/>
      <c r="E719" s="2"/>
      <c r="F719" s="2"/>
      <c r="G719" s="2"/>
      <c r="H719" s="2"/>
      <c r="I719" s="5"/>
    </row>
    <row r="720" spans="1:9" ht="17.399999999999999" x14ac:dyDescent="0.25">
      <c r="A720" s="16"/>
      <c r="B720" s="17"/>
      <c r="C720" s="2"/>
      <c r="D720" s="2"/>
      <c r="E720" s="2"/>
      <c r="F720" s="2"/>
      <c r="G720" s="2"/>
      <c r="H720" s="2"/>
      <c r="I720" s="5"/>
    </row>
    <row r="721" spans="1:9" ht="17.399999999999999" x14ac:dyDescent="0.25">
      <c r="A721" s="16"/>
      <c r="B721" s="17"/>
      <c r="C721" s="2"/>
      <c r="D721" s="2"/>
      <c r="E721" s="2"/>
      <c r="F721" s="2"/>
      <c r="G721" s="2"/>
      <c r="H721" s="2"/>
      <c r="I721" s="5"/>
    </row>
    <row r="722" spans="1:9" ht="17.399999999999999" x14ac:dyDescent="0.25">
      <c r="A722" s="16"/>
      <c r="B722" s="17"/>
      <c r="C722" s="2"/>
      <c r="D722" s="2"/>
      <c r="E722" s="2"/>
      <c r="F722" s="2"/>
      <c r="G722" s="2"/>
      <c r="H722" s="2"/>
      <c r="I722" s="5"/>
    </row>
    <row r="723" spans="1:9" ht="17.399999999999999" x14ac:dyDescent="0.25">
      <c r="A723" s="16"/>
      <c r="B723" s="17"/>
      <c r="C723" s="2"/>
      <c r="D723" s="2"/>
      <c r="E723" s="2"/>
      <c r="F723" s="2"/>
      <c r="G723" s="2"/>
      <c r="H723" s="2"/>
      <c r="I723" s="5"/>
    </row>
    <row r="724" spans="1:9" ht="17.399999999999999" x14ac:dyDescent="0.25">
      <c r="A724" s="16"/>
      <c r="B724" s="17"/>
      <c r="C724" s="2"/>
      <c r="D724" s="2"/>
      <c r="E724" s="2"/>
      <c r="F724" s="2"/>
      <c r="G724" s="2"/>
      <c r="H724" s="2"/>
      <c r="I724" s="5"/>
    </row>
    <row r="725" spans="1:9" ht="17.399999999999999" x14ac:dyDescent="0.25">
      <c r="A725" s="16"/>
      <c r="B725" s="17"/>
      <c r="C725" s="2"/>
      <c r="D725" s="2"/>
      <c r="E725" s="2"/>
      <c r="F725" s="2"/>
      <c r="G725" s="2"/>
      <c r="H725" s="2"/>
      <c r="I725" s="5"/>
    </row>
    <row r="726" spans="1:9" ht="17.399999999999999" x14ac:dyDescent="0.25">
      <c r="A726" s="16"/>
      <c r="B726" s="17"/>
      <c r="C726" s="2"/>
      <c r="D726" s="2"/>
      <c r="E726" s="2"/>
      <c r="F726" s="2"/>
      <c r="G726" s="2"/>
      <c r="H726" s="2"/>
      <c r="I726" s="5"/>
    </row>
    <row r="727" spans="1:9" ht="17.399999999999999" x14ac:dyDescent="0.25">
      <c r="A727" s="16"/>
      <c r="B727" s="17"/>
      <c r="C727" s="2"/>
      <c r="D727" s="2"/>
      <c r="E727" s="2"/>
      <c r="F727" s="2"/>
      <c r="G727" s="2"/>
      <c r="H727" s="2"/>
      <c r="I727" s="5"/>
    </row>
    <row r="728" spans="1:9" ht="17.399999999999999" x14ac:dyDescent="0.25">
      <c r="A728" s="16"/>
      <c r="B728" s="17"/>
      <c r="C728" s="2"/>
      <c r="D728" s="2"/>
      <c r="E728" s="2"/>
      <c r="F728" s="2"/>
      <c r="G728" s="2"/>
      <c r="H728" s="2"/>
      <c r="I728" s="5"/>
    </row>
    <row r="729" spans="1:9" ht="17.399999999999999" x14ac:dyDescent="0.25">
      <c r="A729" s="16"/>
      <c r="B729" s="17"/>
      <c r="C729" s="2"/>
      <c r="D729" s="2"/>
      <c r="E729" s="2"/>
      <c r="F729" s="2"/>
      <c r="G729" s="2"/>
      <c r="H729" s="2"/>
      <c r="I729" s="5"/>
    </row>
    <row r="730" spans="1:9" ht="17.399999999999999" x14ac:dyDescent="0.25">
      <c r="A730" s="16"/>
      <c r="B730" s="17"/>
      <c r="C730" s="2"/>
      <c r="D730" s="2"/>
      <c r="E730" s="2"/>
      <c r="F730" s="2"/>
      <c r="G730" s="2"/>
      <c r="H730" s="2"/>
      <c r="I730" s="5"/>
    </row>
    <row r="731" spans="1:9" ht="17.399999999999999" x14ac:dyDescent="0.25">
      <c r="A731" s="16"/>
      <c r="B731" s="17"/>
      <c r="C731" s="2"/>
      <c r="D731" s="2"/>
      <c r="E731" s="2"/>
      <c r="F731" s="2"/>
      <c r="G731" s="2"/>
      <c r="H731" s="2"/>
      <c r="I731" s="5"/>
    </row>
    <row r="732" spans="1:9" ht="17.399999999999999" x14ac:dyDescent="0.25">
      <c r="A732" s="16"/>
      <c r="B732" s="17"/>
      <c r="C732" s="2"/>
      <c r="D732" s="2"/>
      <c r="E732" s="2"/>
      <c r="F732" s="2"/>
      <c r="G732" s="2"/>
      <c r="H732" s="2"/>
      <c r="I732" s="5"/>
    </row>
    <row r="733" spans="1:9" ht="17.399999999999999" x14ac:dyDescent="0.25">
      <c r="A733" s="16"/>
      <c r="B733" s="17"/>
      <c r="C733" s="2"/>
      <c r="D733" s="2"/>
      <c r="E733" s="2"/>
      <c r="F733" s="2"/>
      <c r="G733" s="2"/>
      <c r="H733" s="2"/>
      <c r="I733" s="5"/>
    </row>
    <row r="734" spans="1:9" ht="17.399999999999999" x14ac:dyDescent="0.25">
      <c r="A734" s="16"/>
      <c r="B734" s="17"/>
      <c r="C734" s="2"/>
      <c r="D734" s="2"/>
      <c r="E734" s="2"/>
      <c r="F734" s="2"/>
      <c r="G734" s="2"/>
      <c r="H734" s="2"/>
      <c r="I734" s="5"/>
    </row>
    <row r="735" spans="1:9" ht="17.399999999999999" x14ac:dyDescent="0.25">
      <c r="A735" s="16"/>
      <c r="B735" s="17"/>
      <c r="C735" s="2"/>
      <c r="D735" s="2"/>
      <c r="E735" s="2"/>
      <c r="F735" s="2"/>
      <c r="G735" s="2"/>
      <c r="H735" s="2"/>
      <c r="I735" s="5"/>
    </row>
    <row r="736" spans="1:9" ht="17.399999999999999" x14ac:dyDescent="0.25">
      <c r="A736" s="16"/>
      <c r="B736" s="17"/>
      <c r="C736" s="2"/>
      <c r="D736" s="2"/>
      <c r="E736" s="2"/>
      <c r="F736" s="2"/>
      <c r="G736" s="2"/>
      <c r="H736" s="2"/>
      <c r="I736" s="5"/>
    </row>
    <row r="737" spans="1:9" ht="17.399999999999999" x14ac:dyDescent="0.25">
      <c r="A737" s="16"/>
      <c r="B737" s="17"/>
      <c r="C737" s="2"/>
      <c r="D737" s="2"/>
      <c r="E737" s="2"/>
      <c r="F737" s="2"/>
      <c r="G737" s="2"/>
      <c r="H737" s="2"/>
      <c r="I737" s="5"/>
    </row>
    <row r="738" spans="1:9" ht="17.399999999999999" x14ac:dyDescent="0.25">
      <c r="A738" s="16"/>
      <c r="B738" s="17"/>
      <c r="C738" s="2"/>
      <c r="D738" s="2"/>
      <c r="E738" s="2"/>
      <c r="F738" s="2"/>
      <c r="G738" s="2"/>
      <c r="H738" s="2"/>
      <c r="I738" s="5"/>
    </row>
    <row r="739" spans="1:9" ht="17.399999999999999" x14ac:dyDescent="0.25">
      <c r="A739" s="16"/>
      <c r="B739" s="17"/>
      <c r="C739" s="2"/>
      <c r="D739" s="2"/>
      <c r="E739" s="2"/>
      <c r="F739" s="2"/>
      <c r="G739" s="2"/>
      <c r="H739" s="2"/>
      <c r="I739" s="5"/>
    </row>
    <row r="740" spans="1:9" ht="17.399999999999999" x14ac:dyDescent="0.25">
      <c r="A740" s="16"/>
      <c r="B740" s="17"/>
      <c r="C740" s="2"/>
      <c r="D740" s="2"/>
      <c r="E740" s="2"/>
      <c r="F740" s="2"/>
      <c r="G740" s="2"/>
      <c r="H740" s="2"/>
      <c r="I740" s="5"/>
    </row>
    <row r="741" spans="1:9" ht="17.399999999999999" x14ac:dyDescent="0.25">
      <c r="A741" s="16"/>
      <c r="B741" s="17"/>
      <c r="C741" s="2"/>
      <c r="D741" s="2"/>
      <c r="E741" s="2"/>
      <c r="F741" s="2"/>
      <c r="G741" s="2"/>
      <c r="H741" s="2"/>
      <c r="I741" s="5"/>
    </row>
    <row r="742" spans="1:9" ht="17.399999999999999" x14ac:dyDescent="0.25">
      <c r="A742" s="16"/>
      <c r="B742" s="17"/>
      <c r="C742" s="2"/>
      <c r="D742" s="2"/>
      <c r="E742" s="2"/>
      <c r="F742" s="2"/>
      <c r="G742" s="2"/>
      <c r="H742" s="2"/>
      <c r="I742" s="5"/>
    </row>
    <row r="743" spans="1:9" ht="17.399999999999999" x14ac:dyDescent="0.25">
      <c r="A743" s="16"/>
      <c r="B743" s="17"/>
      <c r="C743" s="2"/>
      <c r="D743" s="2"/>
      <c r="E743" s="2"/>
      <c r="F743" s="2"/>
      <c r="G743" s="2"/>
      <c r="H743" s="2"/>
      <c r="I743" s="5"/>
    </row>
    <row r="744" spans="1:9" ht="17.399999999999999" x14ac:dyDescent="0.25">
      <c r="A744" s="16"/>
      <c r="B744" s="17"/>
      <c r="C744" s="2"/>
      <c r="D744" s="2"/>
      <c r="E744" s="2"/>
      <c r="F744" s="2"/>
      <c r="G744" s="2"/>
      <c r="H744" s="2"/>
      <c r="I744" s="5"/>
    </row>
    <row r="745" spans="1:9" ht="17.399999999999999" x14ac:dyDescent="0.25">
      <c r="A745" s="16"/>
      <c r="B745" s="17"/>
      <c r="C745" s="2"/>
      <c r="D745" s="2"/>
      <c r="E745" s="2"/>
      <c r="F745" s="2"/>
      <c r="G745" s="2"/>
      <c r="H745" s="2"/>
      <c r="I745" s="5"/>
    </row>
    <row r="746" spans="1:9" ht="17.399999999999999" x14ac:dyDescent="0.25">
      <c r="A746" s="16"/>
      <c r="B746" s="17"/>
      <c r="C746" s="2"/>
      <c r="D746" s="2"/>
      <c r="E746" s="2"/>
      <c r="F746" s="2"/>
      <c r="G746" s="2"/>
      <c r="H746" s="2"/>
      <c r="I746" s="5"/>
    </row>
    <row r="747" spans="1:9" ht="17.399999999999999" x14ac:dyDescent="0.25">
      <c r="A747" s="16"/>
      <c r="B747" s="17"/>
      <c r="C747" s="2"/>
      <c r="D747" s="2"/>
      <c r="E747" s="2"/>
      <c r="F747" s="2"/>
      <c r="G747" s="2"/>
      <c r="H747" s="2"/>
      <c r="I747" s="5"/>
    </row>
    <row r="748" spans="1:9" ht="17.399999999999999" x14ac:dyDescent="0.25">
      <c r="A748" s="16"/>
      <c r="B748" s="17"/>
      <c r="C748" s="2"/>
      <c r="D748" s="2"/>
      <c r="E748" s="2"/>
      <c r="F748" s="2"/>
      <c r="G748" s="2"/>
      <c r="H748" s="2"/>
      <c r="I748" s="5"/>
    </row>
    <row r="749" spans="1:9" ht="17.399999999999999" x14ac:dyDescent="0.25">
      <c r="A749" s="16"/>
      <c r="B749" s="17"/>
      <c r="C749" s="2"/>
      <c r="D749" s="2"/>
      <c r="E749" s="2"/>
      <c r="F749" s="2"/>
      <c r="G749" s="2"/>
      <c r="H749" s="2"/>
      <c r="I749" s="5"/>
    </row>
    <row r="750" spans="1:9" ht="17.399999999999999" x14ac:dyDescent="0.25">
      <c r="A750" s="16"/>
      <c r="B750" s="17"/>
      <c r="C750" s="2"/>
      <c r="D750" s="2"/>
      <c r="E750" s="2"/>
      <c r="F750" s="2"/>
      <c r="G750" s="2"/>
      <c r="H750" s="2"/>
      <c r="I750" s="5"/>
    </row>
    <row r="751" spans="1:9" ht="17.399999999999999" x14ac:dyDescent="0.25">
      <c r="A751" s="16"/>
      <c r="B751" s="17"/>
      <c r="C751" s="2"/>
      <c r="D751" s="2"/>
      <c r="E751" s="2"/>
      <c r="F751" s="2"/>
      <c r="G751" s="2"/>
      <c r="H751" s="2"/>
      <c r="I751" s="5"/>
    </row>
    <row r="752" spans="1:9" ht="17.399999999999999" x14ac:dyDescent="0.25">
      <c r="A752" s="16"/>
      <c r="B752" s="17"/>
      <c r="C752" s="2"/>
      <c r="D752" s="2"/>
      <c r="E752" s="2"/>
      <c r="F752" s="2"/>
      <c r="G752" s="2"/>
      <c r="H752" s="2"/>
      <c r="I752" s="5"/>
    </row>
    <row r="753" spans="1:9" ht="17.399999999999999" x14ac:dyDescent="0.25">
      <c r="A753" s="16"/>
      <c r="B753" s="17"/>
      <c r="C753" s="2"/>
      <c r="D753" s="2"/>
      <c r="E753" s="2"/>
      <c r="F753" s="2"/>
      <c r="G753" s="2"/>
      <c r="H753" s="2"/>
      <c r="I753" s="5"/>
    </row>
    <row r="754" spans="1:9" ht="17.399999999999999" x14ac:dyDescent="0.25">
      <c r="A754" s="16"/>
      <c r="B754" s="17"/>
      <c r="C754" s="2"/>
      <c r="D754" s="2"/>
      <c r="E754" s="2"/>
      <c r="F754" s="2"/>
      <c r="G754" s="2"/>
      <c r="H754" s="2"/>
      <c r="I754" s="5"/>
    </row>
    <row r="755" spans="1:9" ht="17.399999999999999" x14ac:dyDescent="0.25">
      <c r="A755" s="16"/>
      <c r="B755" s="17"/>
      <c r="C755" s="2"/>
      <c r="D755" s="2"/>
      <c r="E755" s="2"/>
      <c r="F755" s="2"/>
      <c r="G755" s="2"/>
      <c r="H755" s="2"/>
      <c r="I755" s="5"/>
    </row>
    <row r="756" spans="1:9" ht="17.399999999999999" x14ac:dyDescent="0.25">
      <c r="A756" s="16"/>
      <c r="B756" s="17"/>
      <c r="C756" s="2"/>
      <c r="D756" s="2"/>
      <c r="E756" s="2"/>
      <c r="F756" s="2"/>
      <c r="G756" s="2"/>
      <c r="H756" s="2"/>
      <c r="I756" s="5"/>
    </row>
    <row r="757" spans="1:9" ht="17.399999999999999" x14ac:dyDescent="0.25">
      <c r="A757" s="16"/>
      <c r="B757" s="17"/>
      <c r="C757" s="2"/>
      <c r="D757" s="2"/>
      <c r="E757" s="2"/>
      <c r="F757" s="2"/>
      <c r="G757" s="2"/>
      <c r="H757" s="2"/>
      <c r="I757" s="5"/>
    </row>
    <row r="758" spans="1:9" ht="17.399999999999999" x14ac:dyDescent="0.25">
      <c r="A758" s="16"/>
      <c r="B758" s="17"/>
      <c r="C758" s="2"/>
      <c r="D758" s="2"/>
      <c r="E758" s="2"/>
      <c r="F758" s="2"/>
      <c r="G758" s="2"/>
      <c r="H758" s="2"/>
      <c r="I758" s="5"/>
    </row>
    <row r="759" spans="1:9" ht="17.399999999999999" x14ac:dyDescent="0.25">
      <c r="A759" s="16"/>
      <c r="B759" s="17"/>
      <c r="C759" s="2"/>
      <c r="D759" s="2"/>
      <c r="E759" s="2"/>
      <c r="F759" s="2"/>
      <c r="G759" s="2"/>
      <c r="H759" s="2"/>
      <c r="I759" s="5"/>
    </row>
    <row r="760" spans="1:9" ht="17.399999999999999" x14ac:dyDescent="0.25">
      <c r="A760" s="16"/>
      <c r="B760" s="17"/>
      <c r="C760" s="2"/>
      <c r="D760" s="2"/>
      <c r="E760" s="2"/>
      <c r="F760" s="2"/>
      <c r="G760" s="2"/>
      <c r="H760" s="2"/>
      <c r="I760" s="5"/>
    </row>
    <row r="761" spans="1:9" ht="17.399999999999999" x14ac:dyDescent="0.25">
      <c r="A761" s="16"/>
      <c r="B761" s="17"/>
      <c r="C761" s="2"/>
      <c r="D761" s="2"/>
      <c r="E761" s="2"/>
      <c r="F761" s="2"/>
      <c r="G761" s="2"/>
      <c r="H761" s="2"/>
      <c r="I761" s="5"/>
    </row>
    <row r="762" spans="1:9" ht="17.399999999999999" x14ac:dyDescent="0.25">
      <c r="A762" s="16"/>
      <c r="B762" s="17"/>
      <c r="C762" s="2"/>
      <c r="D762" s="2"/>
      <c r="E762" s="2"/>
      <c r="F762" s="2"/>
      <c r="G762" s="2"/>
      <c r="H762" s="2"/>
      <c r="I762" s="5"/>
    </row>
    <row r="763" spans="1:9" ht="17.399999999999999" x14ac:dyDescent="0.25">
      <c r="A763" s="16"/>
      <c r="B763" s="17"/>
      <c r="C763" s="2"/>
      <c r="D763" s="2"/>
      <c r="E763" s="2"/>
      <c r="F763" s="2"/>
      <c r="G763" s="2"/>
      <c r="H763" s="2"/>
      <c r="I763" s="5"/>
    </row>
    <row r="764" spans="1:9" ht="17.399999999999999" x14ac:dyDescent="0.25">
      <c r="A764" s="16"/>
      <c r="B764" s="17"/>
      <c r="C764" s="2"/>
      <c r="D764" s="2"/>
      <c r="E764" s="2"/>
      <c r="F764" s="2"/>
      <c r="G764" s="2"/>
      <c r="H764" s="2"/>
      <c r="I764" s="5"/>
    </row>
    <row r="765" spans="1:9" ht="17.399999999999999" x14ac:dyDescent="0.25">
      <c r="A765" s="16"/>
      <c r="B765" s="17"/>
      <c r="C765" s="2"/>
      <c r="D765" s="2"/>
      <c r="E765" s="2"/>
      <c r="F765" s="2"/>
      <c r="G765" s="2"/>
      <c r="H765" s="2"/>
      <c r="I765" s="5"/>
    </row>
    <row r="766" spans="1:9" ht="17.399999999999999" x14ac:dyDescent="0.25">
      <c r="A766" s="16"/>
      <c r="B766" s="17"/>
      <c r="C766" s="2"/>
      <c r="D766" s="2"/>
      <c r="E766" s="2"/>
      <c r="F766" s="2"/>
      <c r="G766" s="2"/>
      <c r="H766" s="2"/>
      <c r="I766" s="5"/>
    </row>
    <row r="767" spans="1:9" ht="17.399999999999999" x14ac:dyDescent="0.25">
      <c r="A767" s="16"/>
      <c r="B767" s="17"/>
      <c r="C767" s="2"/>
      <c r="D767" s="2"/>
      <c r="E767" s="2"/>
      <c r="F767" s="2"/>
      <c r="G767" s="2"/>
      <c r="H767" s="2"/>
      <c r="I767" s="5"/>
    </row>
    <row r="768" spans="1:9" ht="17.399999999999999" x14ac:dyDescent="0.25">
      <c r="A768" s="16"/>
      <c r="B768" s="17"/>
      <c r="C768" s="2"/>
      <c r="D768" s="2"/>
      <c r="E768" s="2"/>
      <c r="F768" s="2"/>
      <c r="G768" s="2"/>
      <c r="H768" s="2"/>
      <c r="I768" s="5"/>
    </row>
    <row r="769" spans="1:9" ht="17.399999999999999" x14ac:dyDescent="0.25">
      <c r="A769" s="16"/>
      <c r="B769" s="17"/>
      <c r="C769" s="2"/>
      <c r="D769" s="2"/>
      <c r="E769" s="2"/>
      <c r="F769" s="2"/>
      <c r="G769" s="2"/>
      <c r="H769" s="2"/>
      <c r="I769" s="5"/>
    </row>
    <row r="770" spans="1:9" ht="17.399999999999999" x14ac:dyDescent="0.25">
      <c r="A770" s="16"/>
      <c r="B770" s="17"/>
      <c r="C770" s="2"/>
      <c r="D770" s="2"/>
      <c r="E770" s="2"/>
      <c r="F770" s="2"/>
      <c r="G770" s="2"/>
      <c r="H770" s="2"/>
      <c r="I770" s="5"/>
    </row>
    <row r="771" spans="1:9" ht="17.399999999999999" x14ac:dyDescent="0.25">
      <c r="A771" s="16"/>
      <c r="B771" s="17"/>
      <c r="C771" s="2"/>
      <c r="D771" s="2"/>
      <c r="E771" s="2"/>
      <c r="F771" s="2"/>
      <c r="G771" s="2"/>
      <c r="H771" s="2"/>
      <c r="I771" s="5"/>
    </row>
    <row r="772" spans="1:9" ht="17.399999999999999" x14ac:dyDescent="0.25">
      <c r="A772" s="16"/>
      <c r="B772" s="17"/>
      <c r="C772" s="2"/>
      <c r="D772" s="2"/>
      <c r="E772" s="2"/>
      <c r="F772" s="2"/>
      <c r="G772" s="2"/>
      <c r="H772" s="2"/>
      <c r="I772" s="5"/>
    </row>
    <row r="773" spans="1:9" ht="17.399999999999999" x14ac:dyDescent="0.25">
      <c r="A773" s="16"/>
      <c r="B773" s="17"/>
      <c r="C773" s="2"/>
      <c r="D773" s="2"/>
      <c r="E773" s="2"/>
      <c r="F773" s="2"/>
      <c r="G773" s="2"/>
      <c r="H773" s="2"/>
      <c r="I773" s="5"/>
    </row>
    <row r="774" spans="1:9" ht="17.399999999999999" x14ac:dyDescent="0.25">
      <c r="A774" s="16"/>
      <c r="B774" s="17"/>
      <c r="C774" s="2"/>
      <c r="D774" s="2"/>
      <c r="E774" s="2"/>
      <c r="F774" s="2"/>
      <c r="G774" s="2"/>
      <c r="H774" s="2"/>
      <c r="I774" s="5"/>
    </row>
    <row r="775" spans="1:9" ht="17.399999999999999" x14ac:dyDescent="0.25">
      <c r="A775" s="16"/>
      <c r="B775" s="17"/>
      <c r="C775" s="2"/>
      <c r="D775" s="2"/>
      <c r="E775" s="2"/>
      <c r="F775" s="2"/>
      <c r="G775" s="2"/>
      <c r="H775" s="2"/>
      <c r="I775" s="5"/>
    </row>
    <row r="776" spans="1:9" ht="17.399999999999999" x14ac:dyDescent="0.25">
      <c r="A776" s="16"/>
      <c r="B776" s="17"/>
      <c r="C776" s="2"/>
      <c r="D776" s="2"/>
      <c r="E776" s="2"/>
      <c r="F776" s="2"/>
      <c r="G776" s="2"/>
      <c r="H776" s="2"/>
      <c r="I776" s="5"/>
    </row>
    <row r="777" spans="1:9" ht="17.399999999999999" x14ac:dyDescent="0.25">
      <c r="A777" s="16"/>
      <c r="B777" s="17"/>
      <c r="C777" s="2"/>
      <c r="D777" s="2"/>
      <c r="E777" s="2"/>
      <c r="F777" s="2"/>
      <c r="G777" s="2"/>
      <c r="H777" s="2"/>
      <c r="I777" s="5"/>
    </row>
    <row r="778" spans="1:9" ht="17.399999999999999" x14ac:dyDescent="0.25">
      <c r="A778" s="16"/>
      <c r="B778" s="17"/>
      <c r="C778" s="2"/>
      <c r="D778" s="2"/>
      <c r="E778" s="2"/>
      <c r="F778" s="2"/>
      <c r="G778" s="2"/>
      <c r="H778" s="2"/>
      <c r="I778" s="5"/>
    </row>
    <row r="779" spans="1:9" ht="17.399999999999999" x14ac:dyDescent="0.25">
      <c r="A779" s="16"/>
      <c r="B779" s="17"/>
      <c r="C779" s="2"/>
      <c r="D779" s="2"/>
      <c r="E779" s="2"/>
      <c r="F779" s="2"/>
      <c r="G779" s="2"/>
      <c r="H779" s="2"/>
      <c r="I779" s="5"/>
    </row>
    <row r="780" spans="1:9" ht="17.399999999999999" x14ac:dyDescent="0.25">
      <c r="A780" s="16"/>
      <c r="B780" s="17"/>
      <c r="C780" s="2"/>
      <c r="D780" s="2"/>
      <c r="E780" s="2"/>
      <c r="F780" s="2"/>
      <c r="G780" s="2"/>
      <c r="H780" s="2"/>
      <c r="I780" s="5"/>
    </row>
    <row r="781" spans="1:9" ht="17.399999999999999" x14ac:dyDescent="0.25">
      <c r="A781" s="16"/>
      <c r="B781" s="17"/>
      <c r="C781" s="2"/>
      <c r="D781" s="2"/>
      <c r="E781" s="2"/>
      <c r="F781" s="2"/>
      <c r="G781" s="2"/>
      <c r="H781" s="2"/>
      <c r="I781" s="5"/>
    </row>
    <row r="782" spans="1:9" ht="17.399999999999999" x14ac:dyDescent="0.25">
      <c r="A782" s="16"/>
      <c r="B782" s="17"/>
      <c r="C782" s="2"/>
      <c r="D782" s="2"/>
      <c r="E782" s="2"/>
      <c r="F782" s="2"/>
      <c r="G782" s="2"/>
      <c r="H782" s="2"/>
      <c r="I782" s="5"/>
    </row>
    <row r="783" spans="1:9" ht="17.399999999999999" x14ac:dyDescent="0.25">
      <c r="A783" s="16"/>
      <c r="B783" s="17"/>
      <c r="C783" s="2"/>
      <c r="D783" s="2"/>
      <c r="E783" s="2"/>
      <c r="F783" s="2"/>
      <c r="G783" s="2"/>
      <c r="H783" s="2"/>
      <c r="I783" s="5"/>
    </row>
    <row r="784" spans="1:9" ht="17.399999999999999" x14ac:dyDescent="0.25">
      <c r="A784" s="16"/>
      <c r="B784" s="17"/>
      <c r="C784" s="2"/>
      <c r="D784" s="2"/>
      <c r="E784" s="2"/>
      <c r="F784" s="2"/>
      <c r="G784" s="2"/>
      <c r="H784" s="2"/>
      <c r="I784" s="5"/>
    </row>
    <row r="785" spans="1:9" ht="17.399999999999999" x14ac:dyDescent="0.25">
      <c r="A785" s="16"/>
      <c r="B785" s="17"/>
      <c r="C785" s="2"/>
      <c r="D785" s="2"/>
      <c r="E785" s="2"/>
      <c r="F785" s="2"/>
      <c r="G785" s="2"/>
      <c r="H785" s="2"/>
      <c r="I785" s="5"/>
    </row>
    <row r="786" spans="1:9" ht="17.399999999999999" x14ac:dyDescent="0.25">
      <c r="A786" s="16"/>
      <c r="B786" s="17"/>
      <c r="C786" s="2"/>
      <c r="D786" s="2"/>
      <c r="E786" s="2"/>
      <c r="F786" s="2"/>
      <c r="G786" s="2"/>
      <c r="H786" s="2"/>
      <c r="I786" s="5"/>
    </row>
    <row r="787" spans="1:9" ht="17.399999999999999" x14ac:dyDescent="0.25">
      <c r="A787" s="16"/>
      <c r="B787" s="17"/>
      <c r="C787" s="2"/>
      <c r="D787" s="2"/>
      <c r="E787" s="2"/>
      <c r="F787" s="2"/>
      <c r="G787" s="2"/>
      <c r="H787" s="2"/>
      <c r="I787" s="5"/>
    </row>
    <row r="788" spans="1:9" ht="17.399999999999999" x14ac:dyDescent="0.25">
      <c r="A788" s="16"/>
      <c r="B788" s="17"/>
      <c r="C788" s="2"/>
      <c r="D788" s="2"/>
      <c r="E788" s="2"/>
      <c r="F788" s="2"/>
      <c r="G788" s="2"/>
      <c r="H788" s="2"/>
      <c r="I788" s="5"/>
    </row>
    <row r="789" spans="1:9" ht="17.399999999999999" x14ac:dyDescent="0.25">
      <c r="A789" s="16"/>
      <c r="B789" s="17"/>
      <c r="C789" s="2"/>
      <c r="D789" s="2"/>
      <c r="E789" s="2"/>
      <c r="F789" s="2"/>
      <c r="G789" s="2"/>
      <c r="H789" s="2"/>
      <c r="I789" s="5"/>
    </row>
    <row r="790" spans="1:9" ht="17.399999999999999" x14ac:dyDescent="0.25">
      <c r="A790" s="16"/>
      <c r="B790" s="17"/>
      <c r="C790" s="2"/>
      <c r="D790" s="2"/>
      <c r="E790" s="2"/>
      <c r="F790" s="2"/>
      <c r="G790" s="2"/>
      <c r="H790" s="2"/>
      <c r="I790" s="5"/>
    </row>
    <row r="791" spans="1:9" ht="17.399999999999999" x14ac:dyDescent="0.25">
      <c r="A791" s="16"/>
      <c r="B791" s="17"/>
      <c r="C791" s="2"/>
      <c r="D791" s="2"/>
      <c r="E791" s="2"/>
      <c r="F791" s="2"/>
      <c r="G791" s="2"/>
      <c r="H791" s="2"/>
      <c r="I791" s="5"/>
    </row>
    <row r="792" spans="1:9" ht="17.399999999999999" x14ac:dyDescent="0.25">
      <c r="A792" s="16"/>
      <c r="B792" s="17"/>
      <c r="C792" s="2"/>
      <c r="D792" s="2"/>
      <c r="E792" s="2"/>
      <c r="F792" s="2"/>
      <c r="G792" s="2"/>
      <c r="H792" s="2"/>
      <c r="I792" s="5"/>
    </row>
    <row r="793" spans="1:9" ht="17.399999999999999" x14ac:dyDescent="0.25">
      <c r="A793" s="16"/>
      <c r="B793" s="17"/>
      <c r="C793" s="2"/>
      <c r="D793" s="2"/>
      <c r="E793" s="2"/>
      <c r="F793" s="2"/>
      <c r="G793" s="2"/>
      <c r="H793" s="2"/>
      <c r="I793" s="5"/>
    </row>
    <row r="794" spans="1:9" ht="17.399999999999999" x14ac:dyDescent="0.25">
      <c r="A794" s="16"/>
      <c r="B794" s="17"/>
      <c r="C794" s="2"/>
      <c r="D794" s="2"/>
      <c r="E794" s="2"/>
      <c r="F794" s="2"/>
      <c r="G794" s="2"/>
      <c r="H794" s="2"/>
      <c r="I794" s="5"/>
    </row>
    <row r="795" spans="1:9" ht="17.399999999999999" x14ac:dyDescent="0.25">
      <c r="A795" s="16"/>
      <c r="B795" s="17"/>
      <c r="C795" s="2"/>
      <c r="D795" s="2"/>
      <c r="E795" s="2"/>
      <c r="F795" s="2"/>
      <c r="G795" s="2"/>
      <c r="H795" s="2"/>
      <c r="I795" s="5"/>
    </row>
    <row r="796" spans="1:9" ht="17.399999999999999" x14ac:dyDescent="0.25">
      <c r="A796" s="16"/>
      <c r="B796" s="17"/>
      <c r="C796" s="2"/>
      <c r="D796" s="2"/>
      <c r="E796" s="2"/>
      <c r="F796" s="2"/>
      <c r="G796" s="2"/>
      <c r="H796" s="2"/>
      <c r="I796" s="5"/>
    </row>
    <row r="797" spans="1:9" ht="17.399999999999999" x14ac:dyDescent="0.25">
      <c r="A797" s="16"/>
      <c r="B797" s="17"/>
      <c r="C797" s="2"/>
      <c r="D797" s="2"/>
      <c r="E797" s="2"/>
      <c r="F797" s="2"/>
      <c r="G797" s="2"/>
      <c r="H797" s="2"/>
      <c r="I797" s="5"/>
    </row>
    <row r="798" spans="1:9" ht="17.399999999999999" x14ac:dyDescent="0.25">
      <c r="A798" s="16"/>
      <c r="B798" s="17"/>
      <c r="C798" s="2"/>
      <c r="D798" s="2"/>
      <c r="E798" s="2"/>
      <c r="F798" s="2"/>
      <c r="G798" s="2"/>
      <c r="H798" s="2"/>
      <c r="I798" s="5"/>
    </row>
    <row r="799" spans="1:9" ht="17.399999999999999" x14ac:dyDescent="0.25">
      <c r="A799" s="16"/>
      <c r="B799" s="17"/>
      <c r="C799" s="2"/>
      <c r="D799" s="2"/>
      <c r="E799" s="2"/>
      <c r="F799" s="2"/>
      <c r="G799" s="2"/>
      <c r="H799" s="2"/>
      <c r="I799" s="5"/>
    </row>
    <row r="800" spans="1:9" ht="17.399999999999999" x14ac:dyDescent="0.25">
      <c r="A800" s="16"/>
      <c r="B800" s="17"/>
      <c r="C800" s="2"/>
      <c r="D800" s="2"/>
      <c r="E800" s="2"/>
      <c r="F800" s="2"/>
      <c r="G800" s="2"/>
      <c r="H800" s="2"/>
      <c r="I800" s="5"/>
    </row>
    <row r="801" spans="1:9" ht="17.399999999999999" x14ac:dyDescent="0.25">
      <c r="A801" s="16"/>
      <c r="B801" s="17"/>
      <c r="C801" s="2"/>
      <c r="D801" s="2"/>
      <c r="E801" s="2"/>
      <c r="F801" s="2"/>
      <c r="G801" s="2"/>
      <c r="H801" s="2"/>
      <c r="I801" s="5"/>
    </row>
    <row r="802" spans="1:9" ht="17.399999999999999" x14ac:dyDescent="0.25">
      <c r="A802" s="16"/>
      <c r="B802" s="17"/>
      <c r="C802" s="2"/>
      <c r="D802" s="2"/>
      <c r="E802" s="2"/>
      <c r="F802" s="2"/>
      <c r="G802" s="2"/>
      <c r="H802" s="2"/>
      <c r="I802" s="5"/>
    </row>
    <row r="803" spans="1:9" ht="17.399999999999999" x14ac:dyDescent="0.25">
      <c r="A803" s="16"/>
      <c r="B803" s="17"/>
      <c r="C803" s="2"/>
      <c r="D803" s="2"/>
      <c r="E803" s="2"/>
      <c r="F803" s="2"/>
      <c r="G803" s="2"/>
      <c r="H803" s="2"/>
      <c r="I803" s="5"/>
    </row>
    <row r="804" spans="1:9" ht="17.399999999999999" x14ac:dyDescent="0.25">
      <c r="A804" s="16"/>
      <c r="B804" s="17"/>
      <c r="C804" s="2"/>
      <c r="D804" s="2"/>
      <c r="E804" s="2"/>
      <c r="F804" s="2"/>
      <c r="G804" s="2"/>
      <c r="H804" s="2"/>
      <c r="I804" s="5"/>
    </row>
    <row r="805" spans="1:9" ht="17.399999999999999" x14ac:dyDescent="0.25">
      <c r="A805" s="16"/>
      <c r="B805" s="17"/>
      <c r="C805" s="2"/>
      <c r="D805" s="2"/>
      <c r="E805" s="2"/>
      <c r="F805" s="2"/>
      <c r="G805" s="2"/>
      <c r="H805" s="2"/>
      <c r="I805" s="5"/>
    </row>
    <row r="806" spans="1:9" ht="17.399999999999999" x14ac:dyDescent="0.25">
      <c r="A806" s="16"/>
      <c r="B806" s="17"/>
      <c r="C806" s="2"/>
      <c r="D806" s="2"/>
      <c r="E806" s="2"/>
      <c r="F806" s="2"/>
      <c r="G806" s="2"/>
      <c r="H806" s="2"/>
      <c r="I806" s="5"/>
    </row>
    <row r="807" spans="1:9" ht="17.399999999999999" x14ac:dyDescent="0.25">
      <c r="A807" s="16"/>
      <c r="B807" s="17"/>
      <c r="C807" s="2"/>
      <c r="D807" s="2"/>
      <c r="E807" s="2"/>
      <c r="F807" s="2"/>
      <c r="G807" s="2"/>
      <c r="H807" s="2"/>
      <c r="I807" s="5"/>
    </row>
    <row r="808" spans="1:9" ht="17.399999999999999" x14ac:dyDescent="0.25">
      <c r="A808" s="16"/>
      <c r="B808" s="17"/>
      <c r="C808" s="2"/>
      <c r="D808" s="2"/>
      <c r="E808" s="2"/>
      <c r="F808" s="2"/>
      <c r="G808" s="2"/>
      <c r="H808" s="2"/>
      <c r="I808" s="5"/>
    </row>
    <row r="809" spans="1:9" ht="17.399999999999999" x14ac:dyDescent="0.25">
      <c r="A809" s="16"/>
      <c r="B809" s="17"/>
      <c r="C809" s="2"/>
      <c r="D809" s="2"/>
      <c r="E809" s="2"/>
      <c r="F809" s="2"/>
      <c r="G809" s="2"/>
      <c r="H809" s="2"/>
      <c r="I809" s="5"/>
    </row>
    <row r="810" spans="1:9" ht="17.399999999999999" x14ac:dyDescent="0.25">
      <c r="A810" s="16"/>
      <c r="B810" s="17"/>
      <c r="C810" s="2"/>
      <c r="D810" s="2"/>
      <c r="E810" s="2"/>
      <c r="F810" s="2"/>
      <c r="G810" s="2"/>
      <c r="H810" s="2"/>
      <c r="I810" s="5"/>
    </row>
    <row r="811" spans="1:9" ht="17.399999999999999" x14ac:dyDescent="0.25">
      <c r="A811" s="16"/>
      <c r="B811" s="17"/>
      <c r="C811" s="2"/>
      <c r="D811" s="2"/>
      <c r="E811" s="2"/>
      <c r="F811" s="2"/>
      <c r="G811" s="2"/>
      <c r="H811" s="2"/>
      <c r="I811" s="5"/>
    </row>
    <row r="812" spans="1:9" ht="17.399999999999999" x14ac:dyDescent="0.25">
      <c r="A812" s="16"/>
      <c r="B812" s="17"/>
      <c r="C812" s="2"/>
      <c r="D812" s="2"/>
      <c r="E812" s="2"/>
      <c r="F812" s="2"/>
      <c r="G812" s="2"/>
      <c r="H812" s="2"/>
      <c r="I812" s="5"/>
    </row>
    <row r="813" spans="1:9" ht="17.399999999999999" x14ac:dyDescent="0.25">
      <c r="A813" s="16"/>
      <c r="B813" s="17"/>
      <c r="C813" s="2"/>
      <c r="D813" s="2"/>
      <c r="E813" s="2"/>
      <c r="F813" s="2"/>
      <c r="G813" s="2"/>
      <c r="H813" s="2"/>
      <c r="I813" s="5"/>
    </row>
    <row r="814" spans="1:9" ht="17.399999999999999" x14ac:dyDescent="0.25">
      <c r="A814" s="16"/>
      <c r="B814" s="17"/>
      <c r="C814" s="2"/>
      <c r="D814" s="2"/>
      <c r="E814" s="2"/>
      <c r="F814" s="2"/>
      <c r="G814" s="2"/>
      <c r="H814" s="2"/>
      <c r="I814" s="5"/>
    </row>
    <row r="815" spans="1:9" ht="17.399999999999999" x14ac:dyDescent="0.25">
      <c r="A815" s="16"/>
      <c r="B815" s="17"/>
      <c r="C815" s="2"/>
      <c r="D815" s="2"/>
      <c r="E815" s="2"/>
      <c r="F815" s="2"/>
      <c r="G815" s="2"/>
      <c r="H815" s="2"/>
      <c r="I815" s="5"/>
    </row>
    <row r="816" spans="1:9" ht="17.399999999999999" x14ac:dyDescent="0.25">
      <c r="A816" s="16"/>
      <c r="B816" s="17"/>
      <c r="C816" s="2"/>
      <c r="D816" s="2"/>
      <c r="E816" s="2"/>
      <c r="F816" s="2"/>
      <c r="G816" s="2"/>
      <c r="H816" s="2"/>
      <c r="I816" s="5"/>
    </row>
    <row r="817" spans="1:9" ht="17.399999999999999" x14ac:dyDescent="0.25">
      <c r="A817" s="16"/>
      <c r="B817" s="17"/>
      <c r="C817" s="2"/>
      <c r="D817" s="2"/>
      <c r="E817" s="2"/>
      <c r="F817" s="2"/>
      <c r="G817" s="2"/>
      <c r="H817" s="2"/>
      <c r="I817" s="5"/>
    </row>
    <row r="818" spans="1:9" ht="17.399999999999999" x14ac:dyDescent="0.25">
      <c r="A818" s="16"/>
      <c r="B818" s="17"/>
      <c r="C818" s="2"/>
      <c r="D818" s="2"/>
      <c r="E818" s="2"/>
      <c r="F818" s="2"/>
      <c r="G818" s="2"/>
      <c r="H818" s="2"/>
      <c r="I818" s="5"/>
    </row>
    <row r="819" spans="1:9" ht="17.399999999999999" x14ac:dyDescent="0.25">
      <c r="A819" s="16"/>
      <c r="B819" s="17"/>
      <c r="C819" s="2"/>
      <c r="D819" s="2"/>
      <c r="E819" s="2"/>
      <c r="F819" s="2"/>
      <c r="G819" s="2"/>
      <c r="H819" s="2"/>
      <c r="I819" s="5"/>
    </row>
    <row r="820" spans="1:9" ht="17.399999999999999" x14ac:dyDescent="0.25">
      <c r="A820" s="16"/>
      <c r="B820" s="17"/>
      <c r="C820" s="2"/>
      <c r="D820" s="2"/>
      <c r="E820" s="2"/>
      <c r="F820" s="2"/>
      <c r="G820" s="2"/>
      <c r="H820" s="2"/>
      <c r="I820" s="5"/>
    </row>
    <row r="821" spans="1:9" ht="17.399999999999999" x14ac:dyDescent="0.25">
      <c r="A821" s="16"/>
      <c r="B821" s="17"/>
      <c r="C821" s="2"/>
      <c r="D821" s="2"/>
      <c r="E821" s="2"/>
      <c r="F821" s="2"/>
      <c r="G821" s="2"/>
      <c r="H821" s="2"/>
      <c r="I821" s="5"/>
    </row>
    <row r="822" spans="1:9" ht="17.399999999999999" x14ac:dyDescent="0.25">
      <c r="A822" s="16"/>
      <c r="B822" s="17"/>
      <c r="C822" s="2"/>
      <c r="D822" s="2"/>
      <c r="E822" s="2"/>
      <c r="F822" s="2"/>
      <c r="G822" s="2"/>
      <c r="H822" s="2"/>
      <c r="I822" s="5"/>
    </row>
    <row r="823" spans="1:9" ht="17.399999999999999" x14ac:dyDescent="0.25">
      <c r="A823" s="16"/>
      <c r="B823" s="17"/>
      <c r="C823" s="2"/>
      <c r="D823" s="2"/>
      <c r="E823" s="2"/>
      <c r="F823" s="2"/>
      <c r="G823" s="2"/>
      <c r="H823" s="2"/>
      <c r="I823" s="5"/>
    </row>
    <row r="824" spans="1:9" ht="17.399999999999999" x14ac:dyDescent="0.25">
      <c r="A824" s="16"/>
      <c r="B824" s="17"/>
      <c r="C824" s="2"/>
      <c r="D824" s="2"/>
      <c r="E824" s="2"/>
      <c r="F824" s="2"/>
      <c r="G824" s="2"/>
      <c r="H824" s="2"/>
      <c r="I824" s="5"/>
    </row>
    <row r="825" spans="1:9" ht="17.399999999999999" x14ac:dyDescent="0.25">
      <c r="A825" s="16"/>
      <c r="B825" s="17"/>
      <c r="C825" s="2"/>
      <c r="D825" s="2"/>
      <c r="E825" s="2"/>
      <c r="F825" s="2"/>
      <c r="G825" s="2"/>
      <c r="H825" s="2"/>
      <c r="I825" s="5"/>
    </row>
    <row r="826" spans="1:9" ht="17.399999999999999" x14ac:dyDescent="0.25">
      <c r="A826" s="16"/>
      <c r="B826" s="17"/>
      <c r="C826" s="2"/>
      <c r="D826" s="2"/>
      <c r="E826" s="2"/>
      <c r="F826" s="2"/>
      <c r="G826" s="2"/>
      <c r="H826" s="2"/>
      <c r="I826" s="5"/>
    </row>
    <row r="827" spans="1:9" ht="17.399999999999999" x14ac:dyDescent="0.25">
      <c r="A827" s="16"/>
      <c r="B827" s="17"/>
      <c r="C827" s="2"/>
      <c r="D827" s="2"/>
      <c r="E827" s="2"/>
      <c r="F827" s="2"/>
      <c r="G827" s="2"/>
      <c r="H827" s="2"/>
      <c r="I827" s="5"/>
    </row>
    <row r="828" spans="1:9" ht="17.399999999999999" x14ac:dyDescent="0.25">
      <c r="A828" s="16"/>
      <c r="B828" s="17"/>
      <c r="C828" s="2"/>
      <c r="D828" s="2"/>
      <c r="E828" s="2"/>
      <c r="F828" s="2"/>
      <c r="G828" s="2"/>
      <c r="H828" s="2"/>
      <c r="I828" s="5"/>
    </row>
    <row r="829" spans="1:9" ht="17.399999999999999" x14ac:dyDescent="0.25">
      <c r="A829" s="16"/>
      <c r="B829" s="17"/>
      <c r="C829" s="2"/>
      <c r="D829" s="2"/>
      <c r="E829" s="2"/>
      <c r="F829" s="2"/>
      <c r="G829" s="2"/>
      <c r="H829" s="2"/>
      <c r="I829" s="5"/>
    </row>
    <row r="830" spans="1:9" ht="17.399999999999999" x14ac:dyDescent="0.25">
      <c r="A830" s="16"/>
      <c r="B830" s="17"/>
      <c r="C830" s="2"/>
      <c r="D830" s="2"/>
      <c r="E830" s="2"/>
      <c r="F830" s="2"/>
      <c r="G830" s="2"/>
      <c r="H830" s="2"/>
      <c r="I830" s="5"/>
    </row>
    <row r="831" spans="1:9" ht="17.399999999999999" x14ac:dyDescent="0.25">
      <c r="A831" s="16"/>
      <c r="B831" s="17"/>
      <c r="C831" s="2"/>
      <c r="D831" s="2"/>
      <c r="E831" s="2"/>
      <c r="F831" s="2"/>
      <c r="G831" s="2"/>
      <c r="H831" s="2"/>
      <c r="I831" s="5"/>
    </row>
    <row r="832" spans="1:9" ht="17.399999999999999" x14ac:dyDescent="0.25">
      <c r="A832" s="16"/>
      <c r="B832" s="17"/>
      <c r="C832" s="2"/>
      <c r="D832" s="2"/>
      <c r="E832" s="2"/>
      <c r="F832" s="2"/>
      <c r="G832" s="2"/>
      <c r="H832" s="2"/>
      <c r="I832" s="5"/>
    </row>
    <row r="833" spans="1:9" ht="17.399999999999999" x14ac:dyDescent="0.25">
      <c r="A833" s="16"/>
      <c r="B833" s="17"/>
      <c r="C833" s="2"/>
      <c r="D833" s="2"/>
      <c r="E833" s="2"/>
      <c r="F833" s="2"/>
      <c r="G833" s="2"/>
      <c r="H833" s="2"/>
      <c r="I833" s="5"/>
    </row>
    <row r="834" spans="1:9" ht="17.399999999999999" x14ac:dyDescent="0.25">
      <c r="A834" s="16"/>
      <c r="B834" s="17"/>
      <c r="C834" s="2"/>
      <c r="D834" s="2"/>
      <c r="E834" s="2"/>
      <c r="F834" s="2"/>
      <c r="G834" s="2"/>
      <c r="H834" s="2"/>
      <c r="I834" s="5"/>
    </row>
    <row r="835" spans="1:9" ht="17.399999999999999" x14ac:dyDescent="0.25">
      <c r="A835" s="16"/>
      <c r="B835" s="17"/>
      <c r="C835" s="2"/>
      <c r="D835" s="2"/>
      <c r="E835" s="2"/>
      <c r="F835" s="2"/>
      <c r="G835" s="2"/>
      <c r="H835" s="2"/>
      <c r="I835" s="5"/>
    </row>
    <row r="836" spans="1:9" ht="17.399999999999999" x14ac:dyDescent="0.25">
      <c r="A836" s="16"/>
      <c r="B836" s="17"/>
      <c r="C836" s="2"/>
      <c r="D836" s="2"/>
      <c r="E836" s="2"/>
      <c r="F836" s="2"/>
      <c r="G836" s="2"/>
      <c r="H836" s="2"/>
      <c r="I836" s="5"/>
    </row>
    <row r="837" spans="1:9" ht="17.399999999999999" x14ac:dyDescent="0.25">
      <c r="A837" s="16"/>
      <c r="B837" s="17"/>
      <c r="C837" s="2"/>
      <c r="D837" s="2"/>
      <c r="E837" s="2"/>
      <c r="F837" s="2"/>
      <c r="G837" s="2"/>
      <c r="H837" s="2"/>
      <c r="I837" s="5"/>
    </row>
    <row r="838" spans="1:9" ht="17.399999999999999" x14ac:dyDescent="0.25">
      <c r="A838" s="16"/>
      <c r="B838" s="17"/>
      <c r="C838" s="2"/>
      <c r="D838" s="2"/>
      <c r="E838" s="2"/>
      <c r="F838" s="2"/>
      <c r="G838" s="2"/>
      <c r="H838" s="2"/>
      <c r="I838" s="5"/>
    </row>
    <row r="839" spans="1:9" ht="17.399999999999999" x14ac:dyDescent="0.25">
      <c r="A839" s="16"/>
      <c r="B839" s="17"/>
      <c r="C839" s="2"/>
      <c r="D839" s="2"/>
      <c r="E839" s="2"/>
      <c r="F839" s="2"/>
      <c r="G839" s="2"/>
      <c r="H839" s="2"/>
      <c r="I839" s="5"/>
    </row>
    <row r="840" spans="1:9" ht="17.399999999999999" x14ac:dyDescent="0.25">
      <c r="A840" s="16"/>
      <c r="B840" s="17"/>
      <c r="C840" s="2"/>
      <c r="D840" s="2"/>
      <c r="E840" s="2"/>
      <c r="F840" s="2"/>
      <c r="G840" s="2"/>
      <c r="H840" s="2"/>
      <c r="I840" s="5"/>
    </row>
    <row r="841" spans="1:9" ht="17.399999999999999" x14ac:dyDescent="0.25">
      <c r="A841" s="16"/>
      <c r="B841" s="17"/>
      <c r="C841" s="2"/>
      <c r="D841" s="2"/>
      <c r="E841" s="2"/>
      <c r="F841" s="2"/>
      <c r="G841" s="2"/>
      <c r="H841" s="2"/>
      <c r="I841" s="5"/>
    </row>
    <row r="842" spans="1:9" ht="17.399999999999999" x14ac:dyDescent="0.25">
      <c r="A842" s="16"/>
      <c r="B842" s="17"/>
      <c r="C842" s="2"/>
      <c r="D842" s="2"/>
      <c r="E842" s="2"/>
      <c r="F842" s="2"/>
      <c r="G842" s="2"/>
      <c r="H842" s="2"/>
      <c r="I842" s="5"/>
    </row>
    <row r="843" spans="1:9" ht="17.399999999999999" x14ac:dyDescent="0.25">
      <c r="A843" s="16"/>
      <c r="B843" s="17"/>
      <c r="C843" s="2"/>
      <c r="D843" s="2"/>
      <c r="E843" s="2"/>
      <c r="F843" s="2"/>
      <c r="G843" s="2"/>
      <c r="H843" s="2"/>
      <c r="I843" s="5"/>
    </row>
    <row r="844" spans="1:9" ht="17.399999999999999" x14ac:dyDescent="0.25">
      <c r="A844" s="16"/>
      <c r="B844" s="17"/>
      <c r="C844" s="2"/>
      <c r="D844" s="2"/>
      <c r="E844" s="2"/>
      <c r="F844" s="2"/>
      <c r="G844" s="2"/>
      <c r="H844" s="2"/>
      <c r="I844" s="5"/>
    </row>
    <row r="845" spans="1:9" ht="17.399999999999999" x14ac:dyDescent="0.25">
      <c r="A845" s="16"/>
      <c r="B845" s="17"/>
      <c r="C845" s="2"/>
      <c r="D845" s="2"/>
      <c r="E845" s="2"/>
      <c r="F845" s="2"/>
      <c r="G845" s="2"/>
      <c r="H845" s="2"/>
      <c r="I845" s="5"/>
    </row>
    <row r="846" spans="1:9" ht="17.399999999999999" x14ac:dyDescent="0.25">
      <c r="A846" s="16"/>
      <c r="B846" s="17"/>
      <c r="C846" s="2"/>
      <c r="D846" s="2"/>
      <c r="E846" s="2"/>
      <c r="F846" s="2"/>
      <c r="G846" s="2"/>
      <c r="H846" s="2"/>
      <c r="I846" s="5"/>
    </row>
    <row r="847" spans="1:9" ht="17.399999999999999" x14ac:dyDescent="0.25">
      <c r="A847" s="16"/>
      <c r="B847" s="17"/>
      <c r="C847" s="2"/>
      <c r="D847" s="2"/>
      <c r="E847" s="2"/>
      <c r="F847" s="2"/>
      <c r="G847" s="2"/>
      <c r="H847" s="2"/>
      <c r="I847" s="5"/>
    </row>
    <row r="848" spans="1:9" ht="17.399999999999999" x14ac:dyDescent="0.25">
      <c r="A848" s="16"/>
      <c r="B848" s="17"/>
      <c r="C848" s="2"/>
      <c r="D848" s="2"/>
      <c r="E848" s="2"/>
      <c r="F848" s="2"/>
      <c r="G848" s="2"/>
      <c r="H848" s="2"/>
      <c r="I848" s="5"/>
    </row>
    <row r="849" spans="1:9" ht="17.399999999999999" x14ac:dyDescent="0.25">
      <c r="A849" s="16"/>
      <c r="B849" s="17"/>
      <c r="C849" s="2"/>
      <c r="D849" s="2"/>
      <c r="E849" s="2"/>
      <c r="F849" s="2"/>
      <c r="G849" s="2"/>
      <c r="H849" s="2"/>
      <c r="I849" s="5"/>
    </row>
    <row r="850" spans="1:9" ht="17.399999999999999" x14ac:dyDescent="0.25">
      <c r="A850" s="16"/>
      <c r="B850" s="17"/>
      <c r="C850" s="2"/>
      <c r="D850" s="2"/>
      <c r="E850" s="2"/>
      <c r="F850" s="2"/>
      <c r="G850" s="2"/>
      <c r="H850" s="2"/>
      <c r="I850" s="5"/>
    </row>
    <row r="851" spans="1:9" ht="17.399999999999999" x14ac:dyDescent="0.25">
      <c r="A851" s="16"/>
      <c r="B851" s="17"/>
      <c r="C851" s="2"/>
      <c r="D851" s="2"/>
      <c r="E851" s="2"/>
      <c r="F851" s="2"/>
      <c r="G851" s="2"/>
      <c r="H851" s="2"/>
      <c r="I851" s="5"/>
    </row>
    <row r="852" spans="1:9" ht="17.399999999999999" x14ac:dyDescent="0.25">
      <c r="A852" s="16"/>
      <c r="B852" s="17"/>
      <c r="C852" s="2"/>
      <c r="D852" s="2"/>
      <c r="E852" s="2"/>
      <c r="F852" s="2"/>
      <c r="G852" s="2"/>
      <c r="H852" s="2"/>
      <c r="I852" s="5"/>
    </row>
    <row r="853" spans="1:9" ht="17.399999999999999" x14ac:dyDescent="0.25">
      <c r="A853" s="16"/>
      <c r="B853" s="17"/>
      <c r="C853" s="2"/>
      <c r="D853" s="2"/>
      <c r="E853" s="2"/>
      <c r="F853" s="2"/>
      <c r="G853" s="2"/>
      <c r="H853" s="2"/>
      <c r="I853" s="5"/>
    </row>
    <row r="854" spans="1:9" ht="17.399999999999999" x14ac:dyDescent="0.25">
      <c r="A854" s="16"/>
      <c r="B854" s="17"/>
      <c r="C854" s="2"/>
      <c r="D854" s="2"/>
      <c r="E854" s="2"/>
      <c r="F854" s="2"/>
      <c r="G854" s="2"/>
      <c r="H854" s="2"/>
      <c r="I854" s="5"/>
    </row>
    <row r="855" spans="1:9" ht="17.399999999999999" x14ac:dyDescent="0.25">
      <c r="A855" s="16"/>
      <c r="B855" s="17"/>
      <c r="C855" s="2"/>
      <c r="D855" s="2"/>
      <c r="E855" s="2"/>
      <c r="F855" s="2"/>
      <c r="G855" s="2"/>
      <c r="H855" s="2"/>
      <c r="I855" s="5"/>
    </row>
    <row r="856" spans="1:9" ht="17.399999999999999" x14ac:dyDescent="0.25">
      <c r="A856" s="16"/>
      <c r="B856" s="17"/>
      <c r="C856" s="2"/>
      <c r="D856" s="2"/>
      <c r="E856" s="2"/>
      <c r="F856" s="2"/>
      <c r="G856" s="2"/>
      <c r="H856" s="2"/>
      <c r="I856" s="5"/>
    </row>
    <row r="857" spans="1:9" ht="17.399999999999999" x14ac:dyDescent="0.25">
      <c r="A857" s="16"/>
      <c r="B857" s="17"/>
      <c r="C857" s="2"/>
      <c r="D857" s="2"/>
      <c r="E857" s="2"/>
      <c r="F857" s="2"/>
      <c r="G857" s="2"/>
      <c r="H857" s="2"/>
      <c r="I857" s="5"/>
    </row>
    <row r="858" spans="1:9" ht="17.399999999999999" x14ac:dyDescent="0.25">
      <c r="A858" s="16"/>
      <c r="B858" s="17"/>
      <c r="C858" s="2"/>
      <c r="D858" s="2"/>
      <c r="E858" s="2"/>
      <c r="F858" s="2"/>
      <c r="G858" s="2"/>
      <c r="H858" s="2"/>
      <c r="I858" s="5"/>
    </row>
    <row r="859" spans="1:9" ht="17.399999999999999" x14ac:dyDescent="0.25">
      <c r="A859" s="16"/>
      <c r="B859" s="17"/>
      <c r="C859" s="2"/>
      <c r="D859" s="2"/>
      <c r="E859" s="2"/>
      <c r="F859" s="2"/>
      <c r="G859" s="2"/>
      <c r="H859" s="2"/>
      <c r="I859" s="5"/>
    </row>
    <row r="860" spans="1:9" ht="17.399999999999999" x14ac:dyDescent="0.25">
      <c r="A860" s="16"/>
      <c r="B860" s="17"/>
      <c r="C860" s="2"/>
      <c r="D860" s="2"/>
      <c r="E860" s="2"/>
      <c r="F860" s="2"/>
      <c r="G860" s="2"/>
      <c r="H860" s="2"/>
      <c r="I860" s="5"/>
    </row>
    <row r="861" spans="1:9" ht="17.399999999999999" x14ac:dyDescent="0.25">
      <c r="A861" s="16"/>
      <c r="B861" s="17"/>
      <c r="C861" s="2"/>
      <c r="D861" s="2"/>
      <c r="E861" s="2"/>
      <c r="F861" s="2"/>
      <c r="G861" s="2"/>
      <c r="H861" s="2"/>
      <c r="I861" s="5"/>
    </row>
    <row r="862" spans="1:9" ht="17.399999999999999" x14ac:dyDescent="0.25">
      <c r="A862" s="16"/>
      <c r="B862" s="17"/>
      <c r="C862" s="2"/>
      <c r="D862" s="2"/>
      <c r="E862" s="2"/>
      <c r="F862" s="2"/>
      <c r="G862" s="2"/>
      <c r="H862" s="2"/>
      <c r="I862" s="5"/>
    </row>
    <row r="863" spans="1:9" ht="17.399999999999999" x14ac:dyDescent="0.25">
      <c r="A863" s="16"/>
      <c r="B863" s="17"/>
      <c r="C863" s="2"/>
      <c r="D863" s="2"/>
      <c r="E863" s="2"/>
      <c r="F863" s="2"/>
      <c r="G863" s="2"/>
      <c r="H863" s="2"/>
      <c r="I863" s="5"/>
    </row>
    <row r="864" spans="1:9" ht="17.399999999999999" x14ac:dyDescent="0.25">
      <c r="A864" s="16"/>
      <c r="B864" s="17"/>
      <c r="C864" s="2"/>
      <c r="D864" s="2"/>
      <c r="E864" s="2"/>
      <c r="F864" s="2"/>
      <c r="G864" s="2"/>
      <c r="H864" s="2"/>
      <c r="I864" s="5"/>
    </row>
    <row r="865" spans="1:9" ht="17.399999999999999" x14ac:dyDescent="0.25">
      <c r="A865" s="16"/>
      <c r="B865" s="17"/>
      <c r="C865" s="2"/>
      <c r="D865" s="2"/>
      <c r="E865" s="2"/>
      <c r="F865" s="2"/>
      <c r="G865" s="2"/>
      <c r="H865" s="2"/>
      <c r="I865" s="5"/>
    </row>
    <row r="866" spans="1:9" ht="17.399999999999999" x14ac:dyDescent="0.25">
      <c r="A866" s="16"/>
      <c r="B866" s="17"/>
      <c r="C866" s="2"/>
      <c r="D866" s="2"/>
      <c r="E866" s="2"/>
      <c r="F866" s="2"/>
      <c r="G866" s="2"/>
      <c r="H866" s="2"/>
      <c r="I866" s="5"/>
    </row>
    <row r="867" spans="1:9" ht="17.399999999999999" x14ac:dyDescent="0.25">
      <c r="A867" s="16"/>
      <c r="B867" s="17"/>
      <c r="C867" s="2"/>
      <c r="D867" s="2"/>
      <c r="E867" s="2"/>
      <c r="F867" s="2"/>
      <c r="G867" s="2"/>
      <c r="H867" s="2"/>
      <c r="I867" s="5"/>
    </row>
    <row r="868" spans="1:9" ht="17.399999999999999" x14ac:dyDescent="0.25">
      <c r="A868" s="16"/>
      <c r="B868" s="17"/>
      <c r="C868" s="2"/>
      <c r="D868" s="2"/>
      <c r="E868" s="2"/>
      <c r="F868" s="2"/>
      <c r="G868" s="2"/>
      <c r="H868" s="2"/>
      <c r="I868" s="5"/>
    </row>
    <row r="869" spans="1:9" ht="17.399999999999999" x14ac:dyDescent="0.25">
      <c r="A869" s="16"/>
      <c r="B869" s="17"/>
      <c r="C869" s="2"/>
      <c r="D869" s="2"/>
      <c r="E869" s="2"/>
      <c r="F869" s="2"/>
      <c r="G869" s="2"/>
      <c r="H869" s="2"/>
      <c r="I869" s="5"/>
    </row>
    <row r="870" spans="1:9" ht="17.399999999999999" x14ac:dyDescent="0.25">
      <c r="A870" s="16"/>
      <c r="B870" s="17"/>
      <c r="C870" s="2"/>
      <c r="D870" s="2"/>
      <c r="E870" s="2"/>
      <c r="F870" s="2"/>
      <c r="G870" s="2"/>
      <c r="H870" s="2"/>
      <c r="I870" s="5"/>
    </row>
    <row r="871" spans="1:9" ht="17.399999999999999" x14ac:dyDescent="0.25">
      <c r="A871" s="16"/>
      <c r="B871" s="17"/>
      <c r="C871" s="2"/>
      <c r="D871" s="2"/>
      <c r="E871" s="2"/>
      <c r="F871" s="2"/>
      <c r="G871" s="2"/>
      <c r="H871" s="2"/>
      <c r="I871" s="5"/>
    </row>
    <row r="872" spans="1:9" ht="17.399999999999999" x14ac:dyDescent="0.25">
      <c r="A872" s="16"/>
      <c r="B872" s="17"/>
      <c r="C872" s="2"/>
      <c r="D872" s="2"/>
      <c r="E872" s="2"/>
      <c r="F872" s="2"/>
      <c r="G872" s="2"/>
      <c r="H872" s="2"/>
      <c r="I872" s="5"/>
    </row>
    <row r="873" spans="1:9" ht="17.399999999999999" x14ac:dyDescent="0.25">
      <c r="A873" s="16"/>
      <c r="B873" s="17"/>
      <c r="C873" s="2"/>
      <c r="D873" s="2"/>
      <c r="E873" s="2"/>
      <c r="F873" s="2"/>
      <c r="G873" s="2"/>
      <c r="H873" s="2"/>
      <c r="I873" s="5"/>
    </row>
    <row r="874" spans="1:9" ht="17.399999999999999" x14ac:dyDescent="0.25">
      <c r="A874" s="16"/>
      <c r="B874" s="17"/>
      <c r="C874" s="2"/>
      <c r="D874" s="2"/>
      <c r="E874" s="2"/>
      <c r="F874" s="2"/>
      <c r="G874" s="2"/>
      <c r="H874" s="2"/>
      <c r="I874" s="5"/>
    </row>
    <row r="875" spans="1:9" ht="17.399999999999999" x14ac:dyDescent="0.25">
      <c r="A875" s="16"/>
      <c r="B875" s="17"/>
      <c r="C875" s="2"/>
      <c r="D875" s="2"/>
      <c r="E875" s="2"/>
      <c r="F875" s="2"/>
      <c r="G875" s="2"/>
      <c r="H875" s="2"/>
      <c r="I875" s="5"/>
    </row>
    <row r="876" spans="1:9" ht="17.399999999999999" x14ac:dyDescent="0.25">
      <c r="A876" s="16"/>
      <c r="B876" s="17"/>
      <c r="C876" s="2"/>
      <c r="D876" s="2"/>
      <c r="E876" s="2"/>
      <c r="F876" s="2"/>
      <c r="G876" s="2"/>
      <c r="H876" s="2"/>
      <c r="I876" s="5"/>
    </row>
    <row r="877" spans="1:9" ht="17.399999999999999" x14ac:dyDescent="0.25">
      <c r="A877" s="16"/>
      <c r="B877" s="17"/>
      <c r="C877" s="2"/>
      <c r="D877" s="2"/>
      <c r="E877" s="2"/>
      <c r="F877" s="2"/>
      <c r="G877" s="2"/>
      <c r="H877" s="2"/>
      <c r="I877" s="5"/>
    </row>
    <row r="878" spans="1:9" ht="17.399999999999999" x14ac:dyDescent="0.25">
      <c r="A878" s="16"/>
      <c r="B878" s="17"/>
      <c r="C878" s="2"/>
      <c r="D878" s="2"/>
      <c r="E878" s="2"/>
      <c r="F878" s="2"/>
      <c r="G878" s="2"/>
      <c r="H878" s="2"/>
      <c r="I878" s="5"/>
    </row>
    <row r="879" spans="1:9" ht="17.399999999999999" x14ac:dyDescent="0.25">
      <c r="A879" s="16"/>
      <c r="B879" s="17"/>
      <c r="C879" s="2"/>
      <c r="D879" s="2"/>
      <c r="E879" s="2"/>
      <c r="F879" s="2"/>
      <c r="G879" s="2"/>
      <c r="H879" s="2"/>
      <c r="I879" s="5"/>
    </row>
    <row r="880" spans="1:9" ht="17.399999999999999" x14ac:dyDescent="0.25">
      <c r="A880" s="16"/>
      <c r="B880" s="17"/>
      <c r="C880" s="2"/>
      <c r="D880" s="2"/>
      <c r="E880" s="2"/>
      <c r="F880" s="2"/>
      <c r="G880" s="2"/>
      <c r="H880" s="2"/>
      <c r="I880" s="5"/>
    </row>
    <row r="881" spans="1:9" ht="17.399999999999999" x14ac:dyDescent="0.25">
      <c r="A881" s="16"/>
      <c r="B881" s="17"/>
      <c r="C881" s="2"/>
      <c r="D881" s="2"/>
      <c r="E881" s="2"/>
      <c r="F881" s="2"/>
      <c r="G881" s="2"/>
      <c r="H881" s="2"/>
      <c r="I881" s="5"/>
    </row>
    <row r="882" spans="1:9" ht="17.399999999999999" x14ac:dyDescent="0.25">
      <c r="A882" s="16"/>
      <c r="B882" s="17"/>
      <c r="C882" s="2"/>
      <c r="D882" s="2"/>
      <c r="E882" s="2"/>
      <c r="F882" s="2"/>
      <c r="G882" s="2"/>
      <c r="H882" s="2"/>
      <c r="I882" s="5"/>
    </row>
    <row r="883" spans="1:9" ht="17.399999999999999" x14ac:dyDescent="0.25">
      <c r="A883" s="16"/>
      <c r="B883" s="17"/>
      <c r="C883" s="2"/>
      <c r="D883" s="2"/>
      <c r="E883" s="2"/>
      <c r="F883" s="2"/>
      <c r="G883" s="2"/>
      <c r="H883" s="2"/>
      <c r="I883" s="5"/>
    </row>
    <row r="884" spans="1:9" ht="17.399999999999999" x14ac:dyDescent="0.25">
      <c r="A884" s="16"/>
      <c r="B884" s="17"/>
      <c r="C884" s="2"/>
      <c r="D884" s="2"/>
      <c r="E884" s="2"/>
      <c r="F884" s="2"/>
      <c r="G884" s="2"/>
      <c r="H884" s="2"/>
      <c r="I884" s="5"/>
    </row>
    <row r="885" spans="1:9" ht="17.399999999999999" x14ac:dyDescent="0.25">
      <c r="A885" s="16"/>
      <c r="B885" s="17"/>
      <c r="C885" s="2"/>
      <c r="D885" s="2"/>
      <c r="E885" s="2"/>
      <c r="F885" s="2"/>
      <c r="G885" s="2"/>
      <c r="H885" s="2"/>
      <c r="I885" s="5"/>
    </row>
    <row r="886" spans="1:9" ht="17.399999999999999" x14ac:dyDescent="0.25">
      <c r="A886" s="16"/>
      <c r="B886" s="17"/>
      <c r="C886" s="2"/>
      <c r="D886" s="2"/>
      <c r="E886" s="2"/>
      <c r="F886" s="2"/>
      <c r="G886" s="2"/>
      <c r="H886" s="2"/>
      <c r="I886" s="5"/>
    </row>
    <row r="887" spans="1:9" ht="17.399999999999999" x14ac:dyDescent="0.25">
      <c r="A887" s="16"/>
      <c r="B887" s="17"/>
      <c r="C887" s="2"/>
      <c r="D887" s="2"/>
      <c r="E887" s="2"/>
      <c r="F887" s="2"/>
      <c r="G887" s="2"/>
      <c r="H887" s="2"/>
      <c r="I887" s="5"/>
    </row>
    <row r="888" spans="1:9" ht="17.399999999999999" x14ac:dyDescent="0.25">
      <c r="A888" s="16"/>
      <c r="B888" s="17"/>
      <c r="C888" s="2"/>
      <c r="D888" s="2"/>
      <c r="E888" s="2"/>
      <c r="F888" s="2"/>
      <c r="G888" s="2"/>
      <c r="H888" s="2"/>
      <c r="I888" s="5"/>
    </row>
    <row r="889" spans="1:9" ht="17.399999999999999" x14ac:dyDescent="0.25">
      <c r="A889" s="16"/>
      <c r="B889" s="17"/>
      <c r="C889" s="2"/>
      <c r="D889" s="2"/>
      <c r="E889" s="2"/>
      <c r="F889" s="2"/>
      <c r="G889" s="2"/>
      <c r="H889" s="2"/>
      <c r="I889" s="5"/>
    </row>
    <row r="890" spans="1:9" ht="17.399999999999999" x14ac:dyDescent="0.25">
      <c r="A890" s="16"/>
      <c r="B890" s="17"/>
      <c r="C890" s="2"/>
      <c r="D890" s="2"/>
      <c r="E890" s="2"/>
      <c r="F890" s="2"/>
      <c r="G890" s="2"/>
      <c r="H890" s="2"/>
      <c r="I890" s="5"/>
    </row>
    <row r="891" spans="1:9" ht="17.399999999999999" x14ac:dyDescent="0.25">
      <c r="A891" s="16"/>
      <c r="B891" s="17"/>
      <c r="C891" s="2"/>
      <c r="D891" s="2"/>
      <c r="E891" s="2"/>
      <c r="F891" s="2"/>
      <c r="G891" s="2"/>
      <c r="H891" s="2"/>
      <c r="I891" s="5"/>
    </row>
    <row r="892" spans="1:9" ht="17.399999999999999" x14ac:dyDescent="0.25">
      <c r="A892" s="16"/>
      <c r="B892" s="17"/>
      <c r="C892" s="2"/>
      <c r="D892" s="2"/>
      <c r="E892" s="2"/>
      <c r="F892" s="2"/>
      <c r="G892" s="2"/>
      <c r="H892" s="2"/>
      <c r="I892" s="5"/>
    </row>
    <row r="893" spans="1:9" ht="17.399999999999999" x14ac:dyDescent="0.25">
      <c r="A893" s="16"/>
      <c r="B893" s="17"/>
      <c r="C893" s="2"/>
      <c r="D893" s="2"/>
      <c r="E893" s="2"/>
      <c r="F893" s="2"/>
      <c r="G893" s="2"/>
      <c r="H893" s="2"/>
      <c r="I893" s="5"/>
    </row>
    <row r="894" spans="1:9" ht="17.399999999999999" x14ac:dyDescent="0.25">
      <c r="A894" s="16"/>
      <c r="B894" s="17"/>
      <c r="C894" s="2"/>
      <c r="D894" s="2"/>
      <c r="E894" s="2"/>
      <c r="F894" s="2"/>
      <c r="G894" s="2"/>
      <c r="H894" s="2"/>
      <c r="I894" s="5"/>
    </row>
    <row r="895" spans="1:9" ht="17.399999999999999" x14ac:dyDescent="0.25">
      <c r="A895" s="16"/>
      <c r="B895" s="17"/>
      <c r="C895" s="2"/>
      <c r="D895" s="2"/>
      <c r="E895" s="2"/>
      <c r="F895" s="2"/>
      <c r="G895" s="2"/>
      <c r="H895" s="2"/>
      <c r="I895" s="5"/>
    </row>
    <row r="896" spans="1:9" ht="17.399999999999999" x14ac:dyDescent="0.25">
      <c r="A896" s="16"/>
      <c r="B896" s="17"/>
      <c r="C896" s="2"/>
      <c r="D896" s="2"/>
      <c r="E896" s="2"/>
      <c r="F896" s="2"/>
      <c r="G896" s="2"/>
      <c r="H896" s="2"/>
      <c r="I896" s="5"/>
    </row>
    <row r="897" spans="1:9" ht="17.399999999999999" x14ac:dyDescent="0.25">
      <c r="A897" s="16"/>
      <c r="B897" s="17"/>
      <c r="C897" s="2"/>
      <c r="D897" s="2"/>
      <c r="E897" s="2"/>
      <c r="F897" s="2"/>
      <c r="G897" s="2"/>
      <c r="H897" s="2"/>
      <c r="I897" s="5"/>
    </row>
    <row r="898" spans="1:9" ht="17.399999999999999" x14ac:dyDescent="0.25">
      <c r="A898" s="16"/>
      <c r="B898" s="17"/>
      <c r="C898" s="2"/>
      <c r="D898" s="2"/>
      <c r="E898" s="2"/>
      <c r="F898" s="2"/>
      <c r="G898" s="2"/>
      <c r="H898" s="2"/>
      <c r="I898" s="5"/>
    </row>
    <row r="899" spans="1:9" ht="17.399999999999999" x14ac:dyDescent="0.25">
      <c r="A899" s="16"/>
      <c r="B899" s="17"/>
      <c r="C899" s="2"/>
      <c r="D899" s="2"/>
      <c r="E899" s="2"/>
      <c r="F899" s="2"/>
      <c r="G899" s="2"/>
      <c r="H899" s="2"/>
      <c r="I899" s="5"/>
    </row>
    <row r="900" spans="1:9" ht="17.399999999999999" x14ac:dyDescent="0.25">
      <c r="A900" s="16"/>
      <c r="B900" s="17"/>
      <c r="C900" s="2"/>
      <c r="D900" s="2"/>
      <c r="E900" s="2"/>
      <c r="F900" s="2"/>
      <c r="G900" s="2"/>
      <c r="H900" s="2"/>
      <c r="I900" s="5"/>
    </row>
    <row r="901" spans="1:9" ht="17.399999999999999" x14ac:dyDescent="0.25">
      <c r="A901" s="16"/>
      <c r="B901" s="17"/>
      <c r="C901" s="2"/>
      <c r="D901" s="2"/>
      <c r="E901" s="2"/>
      <c r="F901" s="2"/>
      <c r="G901" s="2"/>
      <c r="H901" s="2"/>
      <c r="I901" s="5"/>
    </row>
    <row r="902" spans="1:9" ht="17.399999999999999" x14ac:dyDescent="0.25">
      <c r="A902" s="16"/>
      <c r="B902" s="17"/>
      <c r="C902" s="2"/>
      <c r="D902" s="2"/>
      <c r="E902" s="2"/>
      <c r="F902" s="2"/>
      <c r="G902" s="2"/>
      <c r="H902" s="2"/>
      <c r="I902" s="5"/>
    </row>
    <row r="903" spans="1:9" ht="17.399999999999999" x14ac:dyDescent="0.25">
      <c r="A903" s="16"/>
      <c r="B903" s="17"/>
      <c r="C903" s="2"/>
      <c r="D903" s="2"/>
      <c r="E903" s="2"/>
      <c r="F903" s="2"/>
      <c r="G903" s="2"/>
      <c r="H903" s="2"/>
      <c r="I903" s="5"/>
    </row>
    <row r="904" spans="1:9" ht="17.399999999999999" x14ac:dyDescent="0.25">
      <c r="A904" s="16"/>
      <c r="B904" s="17"/>
      <c r="C904" s="2"/>
      <c r="D904" s="2"/>
      <c r="E904" s="2"/>
      <c r="F904" s="2"/>
      <c r="G904" s="2"/>
      <c r="H904" s="2"/>
      <c r="I904" s="5"/>
    </row>
    <row r="905" spans="1:9" ht="17.399999999999999" x14ac:dyDescent="0.25">
      <c r="A905" s="16"/>
      <c r="B905" s="17"/>
      <c r="C905" s="2"/>
      <c r="D905" s="2"/>
      <c r="E905" s="2"/>
      <c r="F905" s="2"/>
      <c r="G905" s="2"/>
      <c r="H905" s="2"/>
      <c r="I905" s="5"/>
    </row>
    <row r="906" spans="1:9" ht="17.399999999999999" x14ac:dyDescent="0.25">
      <c r="A906" s="16"/>
      <c r="B906" s="17"/>
      <c r="C906" s="2"/>
      <c r="D906" s="2"/>
      <c r="E906" s="2"/>
      <c r="F906" s="2"/>
      <c r="G906" s="2"/>
      <c r="H906" s="2"/>
      <c r="I906" s="5"/>
    </row>
    <row r="907" spans="1:9" ht="17.399999999999999" x14ac:dyDescent="0.25">
      <c r="A907" s="16"/>
      <c r="B907" s="17"/>
      <c r="C907" s="2"/>
      <c r="D907" s="2"/>
      <c r="E907" s="2"/>
      <c r="F907" s="2"/>
      <c r="G907" s="2"/>
      <c r="H907" s="2"/>
      <c r="I907" s="5"/>
    </row>
    <row r="908" spans="1:9" ht="17.399999999999999" x14ac:dyDescent="0.25">
      <c r="A908" s="16"/>
      <c r="B908" s="17"/>
      <c r="C908" s="2"/>
      <c r="D908" s="2"/>
      <c r="E908" s="2"/>
      <c r="F908" s="2"/>
      <c r="G908" s="2"/>
      <c r="H908" s="2"/>
      <c r="I908" s="5"/>
    </row>
    <row r="909" spans="1:9" ht="17.399999999999999" x14ac:dyDescent="0.25">
      <c r="A909" s="16"/>
      <c r="B909" s="17"/>
      <c r="C909" s="2"/>
      <c r="D909" s="2"/>
      <c r="E909" s="2"/>
      <c r="F909" s="2"/>
      <c r="G909" s="2"/>
      <c r="H909" s="2"/>
      <c r="I909" s="5"/>
    </row>
    <row r="910" spans="1:9" ht="17.399999999999999" x14ac:dyDescent="0.25">
      <c r="A910" s="16"/>
      <c r="B910" s="17"/>
      <c r="C910" s="2"/>
      <c r="D910" s="2"/>
      <c r="E910" s="2"/>
      <c r="F910" s="2"/>
      <c r="G910" s="2"/>
      <c r="H910" s="2"/>
      <c r="I910" s="5"/>
    </row>
    <row r="911" spans="1:9" ht="17.399999999999999" x14ac:dyDescent="0.25">
      <c r="A911" s="16"/>
      <c r="B911" s="17"/>
      <c r="C911" s="2"/>
      <c r="D911" s="2"/>
      <c r="E911" s="2"/>
      <c r="F911" s="2"/>
      <c r="G911" s="2"/>
      <c r="H911" s="2"/>
      <c r="I911" s="5"/>
    </row>
    <row r="912" spans="1:9" ht="17.399999999999999" x14ac:dyDescent="0.25">
      <c r="A912" s="16"/>
      <c r="B912" s="17"/>
      <c r="C912" s="2"/>
      <c r="D912" s="2"/>
      <c r="E912" s="2"/>
      <c r="F912" s="2"/>
      <c r="G912" s="2"/>
      <c r="H912" s="2"/>
      <c r="I912" s="5"/>
    </row>
    <row r="913" spans="1:9" ht="17.399999999999999" x14ac:dyDescent="0.25">
      <c r="A913" s="16"/>
      <c r="B913" s="17"/>
      <c r="C913" s="2"/>
      <c r="D913" s="2"/>
      <c r="E913" s="2"/>
      <c r="F913" s="2"/>
      <c r="G913" s="2"/>
      <c r="H913" s="2"/>
      <c r="I913" s="5"/>
    </row>
    <row r="914" spans="1:9" ht="17.399999999999999" x14ac:dyDescent="0.25">
      <c r="A914" s="16"/>
      <c r="B914" s="17"/>
      <c r="C914" s="2"/>
      <c r="D914" s="2"/>
      <c r="E914" s="2"/>
      <c r="F914" s="2"/>
      <c r="G914" s="2"/>
      <c r="H914" s="2"/>
      <c r="I914" s="5"/>
    </row>
    <row r="915" spans="1:9" ht="17.399999999999999" x14ac:dyDescent="0.25">
      <c r="A915" s="16"/>
      <c r="B915" s="17"/>
      <c r="C915" s="2"/>
      <c r="D915" s="2"/>
      <c r="E915" s="2"/>
      <c r="F915" s="2"/>
      <c r="G915" s="2"/>
      <c r="H915" s="2"/>
      <c r="I915" s="5"/>
    </row>
    <row r="916" spans="1:9" ht="17.399999999999999" x14ac:dyDescent="0.25">
      <c r="A916" s="16"/>
      <c r="B916" s="17"/>
      <c r="C916" s="2"/>
      <c r="D916" s="2"/>
      <c r="E916" s="2"/>
      <c r="F916" s="2"/>
      <c r="G916" s="2"/>
      <c r="H916" s="2"/>
      <c r="I916" s="5"/>
    </row>
    <row r="917" spans="1:9" ht="17.399999999999999" x14ac:dyDescent="0.25">
      <c r="A917" s="16"/>
      <c r="B917" s="17"/>
      <c r="C917" s="2"/>
      <c r="D917" s="2"/>
      <c r="E917" s="2"/>
      <c r="F917" s="2"/>
      <c r="G917" s="2"/>
      <c r="H917" s="2"/>
      <c r="I917" s="5"/>
    </row>
    <row r="918" spans="1:9" ht="17.399999999999999" x14ac:dyDescent="0.25">
      <c r="A918" s="16"/>
      <c r="B918" s="17"/>
      <c r="C918" s="2"/>
      <c r="D918" s="2"/>
      <c r="E918" s="2"/>
      <c r="F918" s="2"/>
      <c r="G918" s="2"/>
      <c r="H918" s="2"/>
      <c r="I918" s="5"/>
    </row>
    <row r="919" spans="1:9" ht="17.399999999999999" x14ac:dyDescent="0.25">
      <c r="A919" s="16"/>
      <c r="B919" s="17"/>
      <c r="C919" s="2"/>
      <c r="D919" s="2"/>
      <c r="E919" s="2"/>
      <c r="F919" s="2"/>
      <c r="G919" s="2"/>
      <c r="H919" s="2"/>
      <c r="I919" s="5"/>
    </row>
    <row r="920" spans="1:9" ht="17.399999999999999" x14ac:dyDescent="0.25">
      <c r="A920" s="16"/>
      <c r="B920" s="17"/>
      <c r="C920" s="2"/>
      <c r="D920" s="2"/>
      <c r="E920" s="2"/>
      <c r="F920" s="2"/>
      <c r="G920" s="2"/>
      <c r="H920" s="2"/>
      <c r="I920" s="5"/>
    </row>
    <row r="921" spans="1:9" ht="17.399999999999999" x14ac:dyDescent="0.25">
      <c r="A921" s="16"/>
      <c r="B921" s="17"/>
      <c r="C921" s="2"/>
      <c r="D921" s="2"/>
      <c r="E921" s="2"/>
      <c r="F921" s="2"/>
      <c r="G921" s="2"/>
      <c r="H921" s="2"/>
      <c r="I921" s="5"/>
    </row>
    <row r="922" spans="1:9" ht="17.399999999999999" x14ac:dyDescent="0.25">
      <c r="A922" s="16"/>
      <c r="B922" s="17"/>
      <c r="C922" s="2"/>
      <c r="D922" s="2"/>
      <c r="E922" s="2"/>
      <c r="F922" s="2"/>
      <c r="G922" s="2"/>
      <c r="H922" s="2"/>
      <c r="I922" s="5"/>
    </row>
    <row r="923" spans="1:9" ht="17.399999999999999" x14ac:dyDescent="0.25">
      <c r="A923" s="16"/>
      <c r="B923" s="17"/>
      <c r="C923" s="2"/>
      <c r="D923" s="2"/>
      <c r="E923" s="2"/>
      <c r="F923" s="2"/>
      <c r="G923" s="2"/>
      <c r="H923" s="2"/>
      <c r="I923" s="5"/>
    </row>
    <row r="924" spans="1:9" ht="17.399999999999999" x14ac:dyDescent="0.25">
      <c r="A924" s="16"/>
      <c r="B924" s="17"/>
      <c r="C924" s="2"/>
      <c r="D924" s="2"/>
      <c r="E924" s="2"/>
      <c r="F924" s="2"/>
      <c r="G924" s="2"/>
      <c r="H924" s="2"/>
      <c r="I924" s="5"/>
    </row>
    <row r="925" spans="1:9" ht="17.399999999999999" x14ac:dyDescent="0.25">
      <c r="A925" s="16"/>
      <c r="B925" s="17"/>
      <c r="C925" s="2"/>
      <c r="D925" s="2"/>
      <c r="E925" s="2"/>
      <c r="F925" s="2"/>
      <c r="G925" s="2"/>
      <c r="H925" s="2"/>
      <c r="I925" s="5"/>
    </row>
    <row r="926" spans="1:9" ht="17.399999999999999" x14ac:dyDescent="0.25">
      <c r="A926" s="16"/>
      <c r="B926" s="17"/>
      <c r="C926" s="2"/>
      <c r="D926" s="2"/>
      <c r="E926" s="2"/>
      <c r="F926" s="2"/>
      <c r="G926" s="2"/>
      <c r="H926" s="2"/>
      <c r="I926" s="5"/>
    </row>
    <row r="927" spans="1:9" ht="17.399999999999999" x14ac:dyDescent="0.25">
      <c r="A927" s="16"/>
      <c r="B927" s="17"/>
      <c r="C927" s="2"/>
      <c r="D927" s="2"/>
      <c r="E927" s="2"/>
      <c r="F927" s="2"/>
      <c r="G927" s="2"/>
      <c r="H927" s="2"/>
      <c r="I927" s="5"/>
    </row>
    <row r="928" spans="1:9" ht="17.399999999999999" x14ac:dyDescent="0.25">
      <c r="A928" s="16"/>
      <c r="B928" s="17"/>
      <c r="C928" s="2"/>
      <c r="D928" s="2"/>
      <c r="E928" s="2"/>
      <c r="F928" s="2"/>
      <c r="G928" s="2"/>
      <c r="H928" s="2"/>
      <c r="I928" s="5"/>
    </row>
    <row r="929" spans="1:9" ht="17.399999999999999" x14ac:dyDescent="0.25">
      <c r="A929" s="16"/>
      <c r="B929" s="17"/>
      <c r="C929" s="2"/>
      <c r="D929" s="2"/>
      <c r="E929" s="2"/>
      <c r="F929" s="2"/>
      <c r="G929" s="2"/>
      <c r="H929" s="2"/>
      <c r="I929" s="5"/>
    </row>
    <row r="930" spans="1:9" ht="17.399999999999999" x14ac:dyDescent="0.25">
      <c r="A930" s="16"/>
      <c r="B930" s="17"/>
      <c r="C930" s="2"/>
      <c r="D930" s="2"/>
      <c r="E930" s="2"/>
      <c r="F930" s="2"/>
      <c r="G930" s="2"/>
      <c r="H930" s="2"/>
      <c r="I930" s="5"/>
    </row>
    <row r="931" spans="1:9" ht="17.399999999999999" x14ac:dyDescent="0.25">
      <c r="A931" s="16"/>
      <c r="B931" s="17"/>
      <c r="C931" s="2"/>
      <c r="D931" s="2"/>
      <c r="E931" s="2"/>
      <c r="F931" s="2"/>
      <c r="G931" s="2"/>
      <c r="H931" s="2"/>
      <c r="I931" s="5"/>
    </row>
    <row r="932" spans="1:9" ht="17.399999999999999" x14ac:dyDescent="0.25">
      <c r="A932" s="16"/>
      <c r="B932" s="17"/>
      <c r="C932" s="2"/>
      <c r="D932" s="2"/>
      <c r="E932" s="2"/>
      <c r="F932" s="2"/>
      <c r="G932" s="2"/>
      <c r="H932" s="2"/>
      <c r="I932" s="5"/>
    </row>
    <row r="933" spans="1:9" ht="17.399999999999999" x14ac:dyDescent="0.25">
      <c r="A933" s="16"/>
      <c r="B933" s="17"/>
      <c r="C933" s="2"/>
      <c r="D933" s="2"/>
      <c r="E933" s="2"/>
      <c r="F933" s="2"/>
      <c r="G933" s="2"/>
      <c r="H933" s="2"/>
      <c r="I933" s="5"/>
    </row>
    <row r="934" spans="1:9" ht="17.399999999999999" x14ac:dyDescent="0.25">
      <c r="A934" s="16"/>
      <c r="B934" s="17"/>
      <c r="C934" s="2"/>
      <c r="D934" s="2"/>
      <c r="E934" s="2"/>
      <c r="F934" s="2"/>
      <c r="G934" s="2"/>
      <c r="H934" s="2"/>
      <c r="I934" s="5"/>
    </row>
    <row r="935" spans="1:9" ht="17.399999999999999" x14ac:dyDescent="0.25">
      <c r="A935" s="16"/>
      <c r="B935" s="17"/>
      <c r="C935" s="2"/>
      <c r="D935" s="2"/>
      <c r="E935" s="2"/>
      <c r="F935" s="2"/>
      <c r="G935" s="2"/>
      <c r="H935" s="2"/>
      <c r="I935" s="5"/>
    </row>
    <row r="936" spans="1:9" ht="17.399999999999999" x14ac:dyDescent="0.25">
      <c r="A936" s="16"/>
      <c r="B936" s="17"/>
      <c r="C936" s="2"/>
      <c r="D936" s="2"/>
      <c r="E936" s="2"/>
      <c r="F936" s="2"/>
      <c r="G936" s="2"/>
      <c r="H936" s="2"/>
      <c r="I936" s="5"/>
    </row>
    <row r="937" spans="1:9" ht="17.399999999999999" x14ac:dyDescent="0.25">
      <c r="A937" s="16"/>
      <c r="B937" s="17"/>
      <c r="C937" s="2"/>
      <c r="D937" s="2"/>
      <c r="E937" s="2"/>
      <c r="F937" s="2"/>
      <c r="G937" s="2"/>
      <c r="H937" s="2"/>
      <c r="I937" s="5"/>
    </row>
    <row r="938" spans="1:9" ht="17.399999999999999" x14ac:dyDescent="0.25">
      <c r="A938" s="16"/>
      <c r="B938" s="17"/>
      <c r="C938" s="2"/>
      <c r="D938" s="2"/>
      <c r="E938" s="2"/>
      <c r="F938" s="2"/>
      <c r="G938" s="2"/>
      <c r="H938" s="2"/>
      <c r="I938" s="5"/>
    </row>
    <row r="939" spans="1:9" ht="17.399999999999999" x14ac:dyDescent="0.25">
      <c r="A939" s="16"/>
      <c r="B939" s="17"/>
      <c r="C939" s="2"/>
      <c r="D939" s="2"/>
      <c r="E939" s="2"/>
      <c r="F939" s="2"/>
      <c r="G939" s="2"/>
      <c r="H939" s="2"/>
      <c r="I939" s="5"/>
    </row>
    <row r="940" spans="1:9" ht="17.399999999999999" x14ac:dyDescent="0.25">
      <c r="A940" s="16"/>
      <c r="B940" s="17"/>
      <c r="C940" s="2"/>
      <c r="D940" s="2"/>
      <c r="E940" s="2"/>
      <c r="F940" s="2"/>
      <c r="G940" s="2"/>
      <c r="H940" s="2"/>
      <c r="I940" s="5"/>
    </row>
    <row r="941" spans="1:9" ht="17.399999999999999" x14ac:dyDescent="0.25">
      <c r="A941" s="16"/>
      <c r="B941" s="17"/>
      <c r="C941" s="2"/>
      <c r="D941" s="2"/>
      <c r="E941" s="2"/>
      <c r="F941" s="2"/>
      <c r="G941" s="2"/>
      <c r="H941" s="2"/>
      <c r="I941" s="5"/>
    </row>
    <row r="942" spans="1:9" ht="17.399999999999999" x14ac:dyDescent="0.25">
      <c r="A942" s="16"/>
      <c r="B942" s="17"/>
      <c r="C942" s="2"/>
      <c r="D942" s="2"/>
      <c r="E942" s="2"/>
      <c r="F942" s="2"/>
      <c r="G942" s="2"/>
      <c r="H942" s="2"/>
      <c r="I942" s="5"/>
    </row>
    <row r="943" spans="1:9" ht="17.399999999999999" x14ac:dyDescent="0.25">
      <c r="A943" s="16"/>
      <c r="B943" s="17"/>
      <c r="C943" s="2"/>
      <c r="D943" s="2"/>
      <c r="E943" s="2"/>
      <c r="F943" s="2"/>
      <c r="G943" s="2"/>
      <c r="H943" s="2"/>
      <c r="I943" s="5"/>
    </row>
    <row r="944" spans="1:9" ht="17.399999999999999" x14ac:dyDescent="0.25">
      <c r="A944" s="16"/>
      <c r="B944" s="17"/>
      <c r="C944" s="2"/>
      <c r="D944" s="2"/>
      <c r="E944" s="2"/>
      <c r="F944" s="2"/>
      <c r="G944" s="2"/>
      <c r="H944" s="2"/>
      <c r="I944" s="5"/>
    </row>
    <row r="945" spans="1:9" ht="17.399999999999999" x14ac:dyDescent="0.25">
      <c r="A945" s="16"/>
      <c r="B945" s="17"/>
      <c r="C945" s="2"/>
      <c r="D945" s="2"/>
      <c r="E945" s="2"/>
      <c r="F945" s="2"/>
      <c r="G945" s="2"/>
      <c r="H945" s="2"/>
      <c r="I945" s="5"/>
    </row>
    <row r="946" spans="1:9" ht="17.399999999999999" x14ac:dyDescent="0.25">
      <c r="A946" s="16"/>
      <c r="B946" s="17"/>
      <c r="C946" s="2"/>
      <c r="D946" s="2"/>
      <c r="E946" s="2"/>
      <c r="F946" s="2"/>
      <c r="G946" s="2"/>
      <c r="H946" s="2"/>
      <c r="I946" s="5"/>
    </row>
    <row r="947" spans="1:9" ht="17.399999999999999" x14ac:dyDescent="0.25">
      <c r="A947" s="16"/>
      <c r="B947" s="17"/>
      <c r="C947" s="2"/>
      <c r="D947" s="2"/>
      <c r="E947" s="2"/>
      <c r="F947" s="2"/>
      <c r="G947" s="2"/>
      <c r="H947" s="2"/>
      <c r="I947" s="5"/>
    </row>
    <row r="948" spans="1:9" ht="17.399999999999999" x14ac:dyDescent="0.25">
      <c r="A948" s="16"/>
      <c r="B948" s="17"/>
      <c r="C948" s="2"/>
      <c r="D948" s="2"/>
      <c r="E948" s="2"/>
      <c r="F948" s="2"/>
      <c r="G948" s="2"/>
      <c r="H948" s="2"/>
      <c r="I948" s="5"/>
    </row>
    <row r="949" spans="1:9" ht="17.399999999999999" x14ac:dyDescent="0.25">
      <c r="A949" s="16"/>
      <c r="B949" s="17"/>
      <c r="C949" s="2"/>
      <c r="D949" s="2"/>
      <c r="E949" s="2"/>
      <c r="F949" s="2"/>
      <c r="G949" s="2"/>
      <c r="H949" s="2"/>
      <c r="I949" s="5"/>
    </row>
    <row r="950" spans="1:9" ht="17.399999999999999" x14ac:dyDescent="0.25">
      <c r="A950" s="16"/>
      <c r="B950" s="17"/>
      <c r="C950" s="2"/>
      <c r="D950" s="2"/>
      <c r="E950" s="2"/>
      <c r="F950" s="2"/>
      <c r="G950" s="2"/>
      <c r="H950" s="2"/>
      <c r="I950" s="5"/>
    </row>
    <row r="951" spans="1:9" ht="17.399999999999999" x14ac:dyDescent="0.25">
      <c r="A951" s="16"/>
      <c r="B951" s="17"/>
      <c r="C951" s="2"/>
      <c r="D951" s="2"/>
      <c r="E951" s="2"/>
      <c r="F951" s="2"/>
      <c r="G951" s="2"/>
      <c r="H951" s="2"/>
      <c r="I951" s="5"/>
    </row>
    <row r="952" spans="1:9" ht="17.399999999999999" x14ac:dyDescent="0.25">
      <c r="A952" s="16"/>
      <c r="B952" s="17"/>
      <c r="C952" s="2"/>
      <c r="D952" s="2"/>
      <c r="E952" s="2"/>
      <c r="F952" s="2"/>
      <c r="G952" s="2"/>
      <c r="H952" s="2"/>
      <c r="I952" s="5"/>
    </row>
    <row r="953" spans="1:9" ht="17.399999999999999" x14ac:dyDescent="0.25">
      <c r="A953" s="16"/>
      <c r="B953" s="17"/>
      <c r="C953" s="2"/>
      <c r="D953" s="2"/>
      <c r="E953" s="2"/>
      <c r="F953" s="2"/>
      <c r="G953" s="2"/>
      <c r="H953" s="2"/>
      <c r="I953" s="5"/>
    </row>
    <row r="954" spans="1:9" ht="17.399999999999999" x14ac:dyDescent="0.25">
      <c r="A954" s="16"/>
      <c r="B954" s="17"/>
      <c r="C954" s="2"/>
      <c r="D954" s="2"/>
      <c r="E954" s="2"/>
      <c r="F954" s="2"/>
      <c r="G954" s="2"/>
      <c r="H954" s="2"/>
      <c r="I954" s="5"/>
    </row>
    <row r="955" spans="1:9" ht="17.399999999999999" x14ac:dyDescent="0.25">
      <c r="A955" s="16"/>
      <c r="B955" s="17"/>
      <c r="C955" s="2"/>
      <c r="D955" s="2"/>
      <c r="E955" s="2"/>
      <c r="F955" s="2"/>
      <c r="G955" s="2"/>
      <c r="H955" s="2"/>
      <c r="I955" s="5"/>
    </row>
    <row r="956" spans="1:9" ht="17.399999999999999" x14ac:dyDescent="0.25">
      <c r="A956" s="16"/>
      <c r="B956" s="17"/>
      <c r="C956" s="2"/>
      <c r="D956" s="2"/>
      <c r="E956" s="2"/>
      <c r="F956" s="2"/>
      <c r="G956" s="2"/>
      <c r="H956" s="2"/>
      <c r="I956" s="5"/>
    </row>
    <row r="957" spans="1:9" ht="17.399999999999999" x14ac:dyDescent="0.25">
      <c r="A957" s="16"/>
      <c r="B957" s="17"/>
      <c r="C957" s="2"/>
      <c r="D957" s="2"/>
      <c r="E957" s="2"/>
      <c r="F957" s="2"/>
      <c r="G957" s="2"/>
      <c r="H957" s="2"/>
      <c r="I957" s="5"/>
    </row>
    <row r="958" spans="1:9" ht="17.399999999999999" x14ac:dyDescent="0.25">
      <c r="A958" s="16"/>
      <c r="B958" s="17"/>
      <c r="C958" s="2"/>
      <c r="D958" s="2"/>
      <c r="E958" s="2"/>
      <c r="F958" s="2"/>
      <c r="G958" s="2"/>
      <c r="H958" s="2"/>
      <c r="I958" s="5"/>
    </row>
    <row r="959" spans="1:9" ht="17.399999999999999" x14ac:dyDescent="0.25">
      <c r="A959" s="16"/>
      <c r="B959" s="17"/>
      <c r="C959" s="2"/>
      <c r="D959" s="2"/>
      <c r="E959" s="2"/>
      <c r="F959" s="2"/>
      <c r="G959" s="2"/>
      <c r="H959" s="2"/>
      <c r="I959" s="5"/>
    </row>
    <row r="960" spans="1:9" ht="17.399999999999999" x14ac:dyDescent="0.25">
      <c r="A960" s="16"/>
      <c r="B960" s="17"/>
      <c r="C960" s="2"/>
      <c r="D960" s="2"/>
      <c r="E960" s="2"/>
      <c r="F960" s="2"/>
      <c r="G960" s="2"/>
      <c r="H960" s="2"/>
      <c r="I960" s="5"/>
    </row>
    <row r="961" spans="1:9" ht="17.399999999999999" x14ac:dyDescent="0.25">
      <c r="A961" s="16"/>
      <c r="B961" s="17"/>
      <c r="C961" s="2"/>
      <c r="D961" s="2"/>
      <c r="E961" s="2"/>
      <c r="F961" s="2"/>
      <c r="G961" s="2"/>
      <c r="H961" s="2"/>
      <c r="I961" s="5"/>
    </row>
    <row r="962" spans="1:9" ht="17.399999999999999" x14ac:dyDescent="0.25">
      <c r="A962" s="16"/>
      <c r="B962" s="17"/>
      <c r="C962" s="2"/>
      <c r="D962" s="2"/>
      <c r="E962" s="2"/>
      <c r="F962" s="2"/>
      <c r="G962" s="2"/>
      <c r="H962" s="2"/>
      <c r="I962" s="5"/>
    </row>
    <row r="963" spans="1:9" ht="17.399999999999999" x14ac:dyDescent="0.25">
      <c r="A963" s="16"/>
      <c r="B963" s="17"/>
      <c r="C963" s="2"/>
      <c r="D963" s="2"/>
      <c r="E963" s="2"/>
      <c r="F963" s="2"/>
      <c r="G963" s="2"/>
      <c r="H963" s="2"/>
      <c r="I963" s="5"/>
    </row>
    <row r="964" spans="1:9" ht="17.399999999999999" x14ac:dyDescent="0.25">
      <c r="A964" s="16"/>
      <c r="B964" s="17"/>
      <c r="C964" s="2"/>
      <c r="D964" s="2"/>
      <c r="E964" s="2"/>
      <c r="F964" s="2"/>
      <c r="G964" s="2"/>
      <c r="H964" s="2"/>
      <c r="I964" s="5"/>
    </row>
    <row r="965" spans="1:9" ht="17.399999999999999" x14ac:dyDescent="0.25">
      <c r="A965" s="16"/>
      <c r="B965" s="17"/>
      <c r="C965" s="2"/>
      <c r="D965" s="2"/>
      <c r="E965" s="2"/>
      <c r="F965" s="2"/>
      <c r="G965" s="2"/>
      <c r="H965" s="2"/>
      <c r="I965" s="5"/>
    </row>
    <row r="966" spans="1:9" ht="17.399999999999999" x14ac:dyDescent="0.25">
      <c r="A966" s="16"/>
      <c r="B966" s="17"/>
      <c r="C966" s="2"/>
      <c r="D966" s="2"/>
      <c r="E966" s="2"/>
      <c r="F966" s="2"/>
      <c r="G966" s="2"/>
      <c r="H966" s="2"/>
      <c r="I966" s="5"/>
    </row>
    <row r="967" spans="1:9" ht="17.399999999999999" x14ac:dyDescent="0.25">
      <c r="A967" s="16"/>
      <c r="B967" s="17"/>
      <c r="C967" s="2"/>
      <c r="D967" s="2"/>
      <c r="E967" s="2"/>
      <c r="F967" s="2"/>
      <c r="G967" s="2"/>
      <c r="H967" s="2"/>
      <c r="I967" s="5"/>
    </row>
    <row r="968" spans="1:9" ht="17.399999999999999" x14ac:dyDescent="0.25">
      <c r="A968" s="16"/>
      <c r="B968" s="17"/>
      <c r="C968" s="2"/>
      <c r="D968" s="2"/>
      <c r="E968" s="2"/>
      <c r="F968" s="2"/>
      <c r="G968" s="2"/>
      <c r="H968" s="2"/>
      <c r="I968" s="5"/>
    </row>
    <row r="969" spans="1:9" ht="17.399999999999999" x14ac:dyDescent="0.25">
      <c r="A969" s="16"/>
      <c r="B969" s="17"/>
      <c r="C969" s="2"/>
      <c r="D969" s="2"/>
      <c r="E969" s="2"/>
      <c r="F969" s="2"/>
      <c r="G969" s="2"/>
      <c r="H969" s="2"/>
      <c r="I969" s="5"/>
    </row>
    <row r="970" spans="1:9" ht="17.399999999999999" x14ac:dyDescent="0.25">
      <c r="A970" s="16"/>
      <c r="B970" s="17"/>
      <c r="C970" s="2"/>
      <c r="D970" s="2"/>
      <c r="E970" s="2"/>
      <c r="F970" s="2"/>
      <c r="G970" s="2"/>
      <c r="H970" s="2"/>
      <c r="I970" s="5"/>
    </row>
    <row r="971" spans="1:9" ht="17.399999999999999" x14ac:dyDescent="0.25">
      <c r="A971" s="16"/>
      <c r="B971" s="17"/>
      <c r="C971" s="2"/>
      <c r="D971" s="2"/>
      <c r="E971" s="2"/>
      <c r="F971" s="2"/>
      <c r="G971" s="2"/>
      <c r="H971" s="2"/>
      <c r="I971" s="5"/>
    </row>
    <row r="972" spans="1:9" ht="17.399999999999999" x14ac:dyDescent="0.25">
      <c r="A972" s="16"/>
      <c r="B972" s="17"/>
      <c r="C972" s="2"/>
      <c r="D972" s="2"/>
      <c r="E972" s="2"/>
      <c r="F972" s="2"/>
      <c r="G972" s="2"/>
      <c r="H972" s="2"/>
      <c r="I972" s="5"/>
    </row>
    <row r="973" spans="1:9" ht="17.399999999999999" x14ac:dyDescent="0.25">
      <c r="A973" s="16"/>
      <c r="B973" s="17"/>
      <c r="C973" s="2"/>
      <c r="D973" s="2"/>
      <c r="E973" s="2"/>
      <c r="F973" s="2"/>
      <c r="G973" s="2"/>
      <c r="H973" s="2"/>
      <c r="I973" s="5"/>
    </row>
    <row r="974" spans="1:9" ht="17.399999999999999" x14ac:dyDescent="0.25">
      <c r="A974" s="16"/>
      <c r="B974" s="17"/>
      <c r="C974" s="2"/>
      <c r="D974" s="2"/>
      <c r="E974" s="2"/>
      <c r="F974" s="2"/>
      <c r="G974" s="2"/>
      <c r="H974" s="2"/>
      <c r="I974" s="5"/>
    </row>
    <row r="975" spans="1:9" ht="17.399999999999999" x14ac:dyDescent="0.25">
      <c r="A975" s="16"/>
      <c r="B975" s="17"/>
      <c r="C975" s="2"/>
      <c r="D975" s="2"/>
      <c r="E975" s="2"/>
      <c r="F975" s="2"/>
      <c r="G975" s="2"/>
      <c r="H975" s="2"/>
      <c r="I975" s="5"/>
    </row>
    <row r="976" spans="1:9" ht="17.399999999999999" x14ac:dyDescent="0.25">
      <c r="A976" s="16"/>
      <c r="B976" s="17"/>
      <c r="C976" s="2"/>
      <c r="D976" s="2"/>
      <c r="E976" s="2"/>
      <c r="F976" s="2"/>
      <c r="G976" s="2"/>
      <c r="H976" s="2"/>
      <c r="I976" s="5"/>
    </row>
    <row r="977" spans="1:9" ht="17.399999999999999" x14ac:dyDescent="0.25">
      <c r="A977" s="16"/>
      <c r="B977" s="17"/>
      <c r="C977" s="2"/>
      <c r="D977" s="2"/>
      <c r="E977" s="2"/>
      <c r="F977" s="2"/>
      <c r="G977" s="2"/>
      <c r="H977" s="2"/>
      <c r="I977" s="5"/>
    </row>
    <row r="978" spans="1:9" ht="17.399999999999999" x14ac:dyDescent="0.25">
      <c r="A978" s="16"/>
      <c r="B978" s="17"/>
      <c r="C978" s="2"/>
      <c r="D978" s="2"/>
      <c r="E978" s="2"/>
      <c r="F978" s="2"/>
      <c r="G978" s="2"/>
      <c r="H978" s="2"/>
      <c r="I978" s="5"/>
    </row>
    <row r="979" spans="1:9" ht="17.399999999999999" x14ac:dyDescent="0.25">
      <c r="A979" s="16"/>
      <c r="B979" s="17"/>
      <c r="C979" s="2"/>
      <c r="D979" s="2"/>
      <c r="E979" s="2"/>
      <c r="F979" s="2"/>
      <c r="G979" s="2"/>
      <c r="H979" s="2"/>
      <c r="I979" s="5"/>
    </row>
    <row r="980" spans="1:9" ht="17.399999999999999" x14ac:dyDescent="0.25">
      <c r="A980" s="16"/>
      <c r="B980" s="17"/>
      <c r="C980" s="2"/>
      <c r="D980" s="2"/>
      <c r="E980" s="2"/>
      <c r="F980" s="2"/>
      <c r="G980" s="2"/>
      <c r="H980" s="2"/>
      <c r="I980" s="5"/>
    </row>
    <row r="981" spans="1:9" ht="17.399999999999999" x14ac:dyDescent="0.25">
      <c r="A981" s="16"/>
      <c r="B981" s="17"/>
      <c r="C981" s="2"/>
      <c r="D981" s="2"/>
      <c r="E981" s="2"/>
      <c r="F981" s="2"/>
      <c r="G981" s="2"/>
      <c r="H981" s="2"/>
      <c r="I981" s="5"/>
    </row>
    <row r="982" spans="1:9" ht="17.399999999999999" x14ac:dyDescent="0.25">
      <c r="A982" s="16"/>
      <c r="B982" s="17"/>
      <c r="C982" s="2"/>
      <c r="D982" s="2"/>
      <c r="E982" s="2"/>
      <c r="F982" s="2"/>
      <c r="G982" s="2"/>
      <c r="H982" s="2"/>
      <c r="I982" s="5"/>
    </row>
    <row r="983" spans="1:9" ht="17.399999999999999" x14ac:dyDescent="0.25">
      <c r="A983" s="16"/>
      <c r="B983" s="17"/>
      <c r="C983" s="2"/>
      <c r="D983" s="2"/>
      <c r="E983" s="2"/>
      <c r="F983" s="2"/>
      <c r="G983" s="2"/>
      <c r="H983" s="2"/>
      <c r="I983" s="5"/>
    </row>
    <row r="984" spans="1:9" ht="17.399999999999999" x14ac:dyDescent="0.25">
      <c r="A984" s="16"/>
      <c r="B984" s="17"/>
      <c r="C984" s="2"/>
      <c r="D984" s="2"/>
      <c r="E984" s="2"/>
      <c r="F984" s="2"/>
      <c r="G984" s="2"/>
      <c r="H984" s="2"/>
      <c r="I984" s="5"/>
    </row>
    <row r="985" spans="1:9" ht="17.399999999999999" x14ac:dyDescent="0.25">
      <c r="A985" s="16"/>
      <c r="B985" s="17"/>
      <c r="C985" s="2"/>
      <c r="D985" s="2"/>
      <c r="E985" s="2"/>
      <c r="F985" s="2"/>
      <c r="G985" s="2"/>
      <c r="H985" s="2"/>
      <c r="I985" s="5"/>
    </row>
    <row r="986" spans="1:9" ht="17.399999999999999" x14ac:dyDescent="0.25">
      <c r="A986" s="16"/>
      <c r="B986" s="17"/>
      <c r="C986" s="2"/>
      <c r="D986" s="2"/>
      <c r="E986" s="2"/>
      <c r="F986" s="2"/>
      <c r="G986" s="2"/>
      <c r="H986" s="2"/>
      <c r="I986" s="5"/>
    </row>
    <row r="987" spans="1:9" ht="17.399999999999999" x14ac:dyDescent="0.25">
      <c r="A987" s="16"/>
      <c r="B987" s="17"/>
      <c r="C987" s="2"/>
      <c r="D987" s="2"/>
      <c r="E987" s="2"/>
      <c r="F987" s="2"/>
      <c r="G987" s="2"/>
      <c r="H987" s="2"/>
      <c r="I987" s="5"/>
    </row>
    <row r="988" spans="1:9" ht="17.399999999999999" x14ac:dyDescent="0.25">
      <c r="A988" s="16"/>
      <c r="B988" s="17"/>
      <c r="C988" s="2"/>
      <c r="D988" s="2"/>
      <c r="E988" s="2"/>
      <c r="F988" s="2"/>
      <c r="G988" s="2"/>
      <c r="H988" s="2"/>
      <c r="I988" s="5"/>
    </row>
    <row r="989" spans="1:9" ht="17.399999999999999" x14ac:dyDescent="0.25">
      <c r="A989" s="16"/>
      <c r="B989" s="17"/>
      <c r="C989" s="2"/>
      <c r="D989" s="2"/>
      <c r="E989" s="2"/>
      <c r="F989" s="2"/>
      <c r="G989" s="2"/>
      <c r="H989" s="2"/>
      <c r="I989" s="5"/>
    </row>
    <row r="990" spans="1:9" ht="17.399999999999999" x14ac:dyDescent="0.25">
      <c r="A990" s="16"/>
      <c r="B990" s="17"/>
      <c r="C990" s="2"/>
      <c r="D990" s="2"/>
      <c r="E990" s="2"/>
      <c r="F990" s="2"/>
      <c r="G990" s="2"/>
      <c r="H990" s="2"/>
      <c r="I990" s="5"/>
    </row>
    <row r="991" spans="1:9" ht="17.399999999999999" x14ac:dyDescent="0.25">
      <c r="A991" s="16"/>
      <c r="B991" s="17"/>
      <c r="C991" s="2"/>
      <c r="D991" s="2"/>
      <c r="E991" s="2"/>
      <c r="F991" s="2"/>
      <c r="G991" s="2"/>
      <c r="H991" s="2"/>
      <c r="I991" s="5"/>
    </row>
    <row r="992" spans="1:9" ht="17.399999999999999" x14ac:dyDescent="0.25">
      <c r="A992" s="16"/>
      <c r="B992" s="17"/>
      <c r="C992" s="2"/>
      <c r="D992" s="2"/>
      <c r="E992" s="2"/>
      <c r="F992" s="2"/>
      <c r="G992" s="2"/>
      <c r="H992" s="2"/>
      <c r="I992" s="5"/>
    </row>
    <row r="993" spans="1:9" ht="17.399999999999999" x14ac:dyDescent="0.25">
      <c r="A993" s="16"/>
      <c r="B993" s="17"/>
      <c r="C993" s="2"/>
      <c r="D993" s="2"/>
      <c r="E993" s="2"/>
      <c r="F993" s="2"/>
      <c r="G993" s="2"/>
      <c r="H993" s="2"/>
      <c r="I993" s="5"/>
    </row>
    <row r="994" spans="1:9" ht="17.399999999999999" x14ac:dyDescent="0.25">
      <c r="A994" s="16"/>
      <c r="B994" s="17"/>
      <c r="C994" s="2"/>
      <c r="D994" s="2"/>
      <c r="E994" s="2"/>
      <c r="F994" s="2"/>
      <c r="G994" s="2"/>
      <c r="H994" s="2"/>
      <c r="I994" s="5"/>
    </row>
    <row r="995" spans="1:9" ht="17.399999999999999" x14ac:dyDescent="0.25">
      <c r="A995" s="16"/>
      <c r="B995" s="17"/>
      <c r="C995" s="2"/>
      <c r="D995" s="2"/>
      <c r="E995" s="2"/>
      <c r="F995" s="2"/>
      <c r="G995" s="2"/>
      <c r="H995" s="2"/>
      <c r="I995" s="5"/>
    </row>
    <row r="996" spans="1:9" ht="17.399999999999999" x14ac:dyDescent="0.25">
      <c r="A996" s="16"/>
      <c r="B996" s="17"/>
      <c r="C996" s="2"/>
      <c r="D996" s="2"/>
      <c r="E996" s="2"/>
      <c r="F996" s="2"/>
      <c r="G996" s="2"/>
      <c r="H996" s="2"/>
      <c r="I996" s="5"/>
    </row>
    <row r="997" spans="1:9" ht="17.399999999999999" x14ac:dyDescent="0.25">
      <c r="A997" s="16"/>
      <c r="B997" s="17"/>
      <c r="C997" s="2"/>
      <c r="D997" s="2"/>
      <c r="E997" s="2"/>
      <c r="F997" s="2"/>
      <c r="G997" s="2"/>
      <c r="H997" s="2"/>
      <c r="I997" s="5"/>
    </row>
    <row r="998" spans="1:9" ht="17.399999999999999" x14ac:dyDescent="0.25">
      <c r="A998" s="16"/>
      <c r="B998" s="17"/>
      <c r="C998" s="2"/>
      <c r="D998" s="2"/>
      <c r="E998" s="2"/>
      <c r="F998" s="2"/>
      <c r="G998" s="2"/>
      <c r="H998" s="2"/>
      <c r="I998" s="5"/>
    </row>
    <row r="999" spans="1:9" ht="17.399999999999999" x14ac:dyDescent="0.25">
      <c r="A999" s="16"/>
      <c r="B999" s="17"/>
      <c r="C999" s="2"/>
      <c r="D999" s="2"/>
      <c r="E999" s="2"/>
      <c r="F999" s="2"/>
      <c r="G999" s="2"/>
      <c r="H999" s="2"/>
      <c r="I999" s="5"/>
    </row>
    <row r="1000" spans="1:9" ht="17.399999999999999" x14ac:dyDescent="0.25">
      <c r="A1000" s="16"/>
      <c r="B1000" s="17"/>
      <c r="C1000" s="2"/>
      <c r="D1000" s="2"/>
      <c r="E1000" s="2"/>
      <c r="F1000" s="2"/>
      <c r="G1000" s="2"/>
      <c r="H1000" s="2"/>
      <c r="I1000" s="5"/>
    </row>
    <row r="1001" spans="1:9" ht="17.399999999999999" x14ac:dyDescent="0.25">
      <c r="A1001" s="16"/>
      <c r="B1001" s="17"/>
      <c r="C1001" s="2"/>
      <c r="D1001" s="2"/>
      <c r="E1001" s="2"/>
      <c r="F1001" s="2"/>
      <c r="G1001" s="2"/>
      <c r="H1001" s="2"/>
      <c r="I1001" s="5"/>
    </row>
    <row r="1002" spans="1:9" ht="17.399999999999999" x14ac:dyDescent="0.25">
      <c r="A1002" s="16"/>
      <c r="B1002" s="17"/>
      <c r="C1002" s="2"/>
      <c r="D1002" s="2"/>
      <c r="E1002" s="2"/>
      <c r="F1002" s="2"/>
      <c r="G1002" s="2"/>
      <c r="H1002" s="2"/>
      <c r="I1002" s="5"/>
    </row>
    <row r="1003" spans="1:9" ht="17.399999999999999" x14ac:dyDescent="0.25">
      <c r="A1003" s="16"/>
      <c r="B1003" s="17"/>
      <c r="C1003" s="2"/>
      <c r="D1003" s="2"/>
      <c r="E1003" s="2"/>
      <c r="F1003" s="2"/>
      <c r="G1003" s="2"/>
      <c r="H1003" s="2"/>
      <c r="I1003" s="5"/>
    </row>
    <row r="1004" spans="1:9" ht="17.399999999999999" x14ac:dyDescent="0.25">
      <c r="A1004" s="16"/>
      <c r="B1004" s="17"/>
      <c r="C1004" s="2"/>
      <c r="D1004" s="2"/>
      <c r="E1004" s="2"/>
      <c r="F1004" s="2"/>
      <c r="G1004" s="2"/>
      <c r="H1004" s="2"/>
      <c r="I1004" s="5"/>
    </row>
    <row r="1005" spans="1:9" ht="17.399999999999999" x14ac:dyDescent="0.25">
      <c r="A1005" s="16"/>
      <c r="B1005" s="17"/>
      <c r="C1005" s="2"/>
      <c r="D1005" s="2"/>
      <c r="E1005" s="2"/>
      <c r="F1005" s="2"/>
      <c r="G1005" s="2"/>
      <c r="H1005" s="2"/>
      <c r="I1005" s="5"/>
    </row>
    <row r="1006" spans="1:9" ht="17.399999999999999" x14ac:dyDescent="0.25">
      <c r="A1006" s="16"/>
      <c r="B1006" s="17"/>
      <c r="C1006" s="2"/>
      <c r="D1006" s="2"/>
      <c r="E1006" s="2"/>
      <c r="F1006" s="2"/>
      <c r="G1006" s="2"/>
      <c r="H1006" s="2"/>
      <c r="I1006" s="5"/>
    </row>
    <row r="1007" spans="1:9" ht="17.399999999999999" x14ac:dyDescent="0.25">
      <c r="A1007" s="16"/>
      <c r="B1007" s="17"/>
      <c r="C1007" s="2"/>
      <c r="D1007" s="2"/>
      <c r="E1007" s="2"/>
      <c r="F1007" s="2"/>
      <c r="G1007" s="2"/>
      <c r="H1007" s="2"/>
      <c r="I1007" s="5"/>
    </row>
    <row r="1008" spans="1:9" ht="17.399999999999999" x14ac:dyDescent="0.25">
      <c r="A1008" s="16"/>
      <c r="B1008" s="17"/>
      <c r="C1008" s="2"/>
      <c r="D1008" s="2"/>
      <c r="E1008" s="2"/>
      <c r="F1008" s="2"/>
      <c r="G1008" s="2"/>
      <c r="H1008" s="2"/>
      <c r="I1008" s="5"/>
    </row>
    <row r="1009" spans="1:9" ht="17.399999999999999" x14ac:dyDescent="0.25">
      <c r="A1009" s="16"/>
      <c r="B1009" s="17"/>
      <c r="C1009" s="2"/>
      <c r="D1009" s="2"/>
      <c r="E1009" s="2"/>
      <c r="F1009" s="2"/>
      <c r="G1009" s="2"/>
      <c r="H1009" s="2"/>
      <c r="I1009" s="5"/>
    </row>
    <row r="1010" spans="1:9" ht="17.399999999999999" x14ac:dyDescent="0.25">
      <c r="A1010" s="16"/>
      <c r="B1010" s="17"/>
      <c r="C1010" s="2"/>
      <c r="D1010" s="2"/>
      <c r="E1010" s="2"/>
      <c r="F1010" s="2"/>
      <c r="G1010" s="2"/>
      <c r="H1010" s="2"/>
      <c r="I1010" s="5"/>
    </row>
    <row r="1011" spans="1:9" ht="17.399999999999999" x14ac:dyDescent="0.25">
      <c r="A1011" s="16"/>
      <c r="B1011" s="17"/>
      <c r="C1011" s="2"/>
      <c r="D1011" s="2"/>
      <c r="E1011" s="2"/>
      <c r="F1011" s="2"/>
      <c r="G1011" s="2"/>
      <c r="H1011" s="2"/>
      <c r="I1011" s="5"/>
    </row>
    <row r="1012" spans="1:9" ht="17.399999999999999" x14ac:dyDescent="0.25">
      <c r="A1012" s="16"/>
      <c r="B1012" s="17"/>
      <c r="C1012" s="2"/>
      <c r="D1012" s="2"/>
      <c r="E1012" s="2"/>
      <c r="F1012" s="2"/>
      <c r="G1012" s="2"/>
      <c r="H1012" s="2"/>
      <c r="I1012" s="5"/>
    </row>
    <row r="1013" spans="1:9" ht="17.399999999999999" x14ac:dyDescent="0.25">
      <c r="A1013" s="16"/>
      <c r="B1013" s="17"/>
      <c r="C1013" s="2"/>
      <c r="D1013" s="2"/>
      <c r="E1013" s="2"/>
      <c r="F1013" s="2"/>
      <c r="G1013" s="2"/>
      <c r="H1013" s="2"/>
      <c r="I1013" s="5"/>
    </row>
    <row r="1014" spans="1:9" ht="17.399999999999999" x14ac:dyDescent="0.25">
      <c r="A1014" s="16"/>
      <c r="B1014" s="17"/>
      <c r="C1014" s="2"/>
      <c r="D1014" s="2"/>
      <c r="E1014" s="2"/>
      <c r="F1014" s="2"/>
      <c r="G1014" s="2"/>
      <c r="H1014" s="2"/>
      <c r="I1014" s="5"/>
    </row>
    <row r="1015" spans="1:9" ht="17.399999999999999" x14ac:dyDescent="0.25">
      <c r="A1015" s="16"/>
      <c r="B1015" s="17"/>
      <c r="C1015" s="2"/>
      <c r="D1015" s="2"/>
      <c r="E1015" s="2"/>
      <c r="F1015" s="2"/>
      <c r="G1015" s="2"/>
      <c r="H1015" s="2"/>
      <c r="I1015" s="5"/>
    </row>
    <row r="1016" spans="1:9" ht="17.399999999999999" x14ac:dyDescent="0.25">
      <c r="A1016" s="16"/>
      <c r="B1016" s="17"/>
      <c r="C1016" s="2"/>
      <c r="D1016" s="2"/>
      <c r="E1016" s="2"/>
      <c r="F1016" s="2"/>
      <c r="G1016" s="2"/>
      <c r="H1016" s="2"/>
      <c r="I1016" s="5"/>
    </row>
    <row r="1017" spans="1:9" ht="17.399999999999999" x14ac:dyDescent="0.25">
      <c r="A1017" s="16"/>
      <c r="B1017" s="17"/>
      <c r="C1017" s="2"/>
      <c r="D1017" s="2"/>
      <c r="E1017" s="2"/>
      <c r="F1017" s="2"/>
      <c r="G1017" s="2"/>
      <c r="H1017" s="2"/>
      <c r="I1017" s="5"/>
    </row>
    <row r="1018" spans="1:9" ht="17.399999999999999" x14ac:dyDescent="0.25">
      <c r="A1018" s="16"/>
      <c r="B1018" s="17"/>
      <c r="C1018" s="2"/>
      <c r="D1018" s="2"/>
      <c r="E1018" s="2"/>
      <c r="F1018" s="2"/>
      <c r="G1018" s="2"/>
      <c r="H1018" s="2"/>
      <c r="I1018" s="5"/>
    </row>
    <row r="1019" spans="1:9" ht="17.399999999999999" x14ac:dyDescent="0.25">
      <c r="A1019" s="16"/>
      <c r="B1019" s="17"/>
      <c r="C1019" s="2"/>
      <c r="D1019" s="2"/>
      <c r="E1019" s="2"/>
      <c r="F1019" s="2"/>
      <c r="G1019" s="2"/>
      <c r="H1019" s="2"/>
      <c r="I1019" s="5"/>
    </row>
    <row r="1020" spans="1:9" ht="17.399999999999999" x14ac:dyDescent="0.25">
      <c r="A1020" s="16"/>
      <c r="B1020" s="17"/>
      <c r="C1020" s="2"/>
      <c r="D1020" s="2"/>
      <c r="E1020" s="2"/>
      <c r="F1020" s="2"/>
      <c r="G1020" s="2"/>
      <c r="H1020" s="2"/>
      <c r="I1020" s="5"/>
    </row>
    <row r="1021" spans="1:9" ht="17.399999999999999" x14ac:dyDescent="0.25">
      <c r="A1021" s="16"/>
      <c r="B1021" s="17"/>
      <c r="C1021" s="2"/>
      <c r="D1021" s="2"/>
      <c r="E1021" s="2"/>
      <c r="F1021" s="2"/>
      <c r="G1021" s="2"/>
      <c r="H1021" s="2"/>
      <c r="I1021" s="5"/>
    </row>
    <row r="1022" spans="1:9" ht="17.399999999999999" x14ac:dyDescent="0.25">
      <c r="A1022" s="16"/>
      <c r="B1022" s="17"/>
      <c r="C1022" s="2"/>
      <c r="D1022" s="2"/>
      <c r="E1022" s="2"/>
      <c r="F1022" s="2"/>
      <c r="G1022" s="2"/>
      <c r="H1022" s="2"/>
      <c r="I1022" s="5"/>
    </row>
    <row r="1023" spans="1:9" ht="17.399999999999999" x14ac:dyDescent="0.25">
      <c r="A1023" s="16"/>
      <c r="B1023" s="17"/>
      <c r="C1023" s="2"/>
      <c r="D1023" s="2"/>
      <c r="E1023" s="2"/>
      <c r="F1023" s="2"/>
      <c r="G1023" s="2"/>
      <c r="H1023" s="2"/>
      <c r="I1023" s="5"/>
    </row>
    <row r="1024" spans="1:9" ht="17.399999999999999" x14ac:dyDescent="0.25">
      <c r="A1024" s="16"/>
      <c r="B1024" s="17"/>
      <c r="C1024" s="2"/>
      <c r="D1024" s="2"/>
      <c r="E1024" s="2"/>
      <c r="F1024" s="2"/>
      <c r="G1024" s="2"/>
      <c r="H1024" s="2"/>
      <c r="I1024" s="5"/>
    </row>
    <row r="1025" spans="1:9" ht="17.399999999999999" x14ac:dyDescent="0.25">
      <c r="A1025" s="16"/>
      <c r="B1025" s="17"/>
      <c r="C1025" s="2"/>
      <c r="D1025" s="2"/>
      <c r="E1025" s="2"/>
      <c r="F1025" s="2"/>
      <c r="G1025" s="2"/>
      <c r="H1025" s="2"/>
      <c r="I1025" s="5"/>
    </row>
    <row r="1026" spans="1:9" ht="17.399999999999999" x14ac:dyDescent="0.25">
      <c r="A1026" s="16"/>
      <c r="B1026" s="17"/>
      <c r="C1026" s="2"/>
      <c r="D1026" s="2"/>
      <c r="E1026" s="2"/>
      <c r="F1026" s="2"/>
      <c r="G1026" s="2"/>
      <c r="H1026" s="2"/>
      <c r="I1026" s="5"/>
    </row>
    <row r="1027" spans="1:9" ht="17.399999999999999" x14ac:dyDescent="0.25">
      <c r="A1027" s="16"/>
      <c r="B1027" s="17"/>
      <c r="C1027" s="2"/>
      <c r="D1027" s="2"/>
      <c r="E1027" s="2"/>
      <c r="F1027" s="2"/>
      <c r="G1027" s="2"/>
      <c r="H1027" s="2"/>
      <c r="I1027" s="5"/>
    </row>
    <row r="1028" spans="1:9" ht="17.399999999999999" x14ac:dyDescent="0.25">
      <c r="A1028" s="16"/>
      <c r="B1028" s="17"/>
      <c r="C1028" s="2"/>
      <c r="D1028" s="2"/>
      <c r="E1028" s="2"/>
      <c r="F1028" s="2"/>
      <c r="G1028" s="2"/>
      <c r="H1028" s="2"/>
      <c r="I1028" s="5"/>
    </row>
    <row r="1029" spans="1:9" ht="17.399999999999999" x14ac:dyDescent="0.25">
      <c r="A1029" s="16"/>
      <c r="B1029" s="17"/>
      <c r="C1029" s="2"/>
      <c r="D1029" s="2"/>
      <c r="E1029" s="2"/>
      <c r="F1029" s="2"/>
      <c r="G1029" s="2"/>
      <c r="H1029" s="2"/>
      <c r="I1029" s="5"/>
    </row>
    <row r="1030" spans="1:9" ht="17.399999999999999" x14ac:dyDescent="0.25">
      <c r="A1030" s="16"/>
      <c r="B1030" s="17"/>
      <c r="C1030" s="2"/>
      <c r="D1030" s="2"/>
      <c r="E1030" s="2"/>
      <c r="F1030" s="2"/>
      <c r="G1030" s="2"/>
      <c r="H1030" s="2"/>
      <c r="I1030" s="5"/>
    </row>
    <row r="1031" spans="1:9" ht="17.399999999999999" x14ac:dyDescent="0.25">
      <c r="A1031" s="16"/>
      <c r="B1031" s="17"/>
      <c r="C1031" s="2"/>
      <c r="D1031" s="2"/>
      <c r="E1031" s="2"/>
      <c r="F1031" s="2"/>
      <c r="G1031" s="2"/>
      <c r="H1031" s="2"/>
      <c r="I1031" s="5"/>
    </row>
    <row r="1032" spans="1:9" ht="17.399999999999999" x14ac:dyDescent="0.25">
      <c r="A1032" s="16"/>
      <c r="B1032" s="17"/>
      <c r="C1032" s="2"/>
      <c r="D1032" s="2"/>
      <c r="E1032" s="2"/>
      <c r="F1032" s="2"/>
      <c r="G1032" s="2"/>
      <c r="H1032" s="2"/>
      <c r="I1032" s="5"/>
    </row>
    <row r="1033" spans="1:9" ht="17.399999999999999" x14ac:dyDescent="0.25">
      <c r="A1033" s="16"/>
      <c r="B1033" s="17"/>
      <c r="C1033" s="2"/>
      <c r="D1033" s="2"/>
      <c r="E1033" s="2"/>
      <c r="F1033" s="2"/>
      <c r="G1033" s="2"/>
      <c r="H1033" s="2"/>
      <c r="I1033" s="5"/>
    </row>
    <row r="1034" spans="1:9" ht="17.399999999999999" x14ac:dyDescent="0.25">
      <c r="A1034" s="16"/>
      <c r="B1034" s="17"/>
      <c r="C1034" s="2"/>
      <c r="D1034" s="2"/>
      <c r="E1034" s="2"/>
      <c r="F1034" s="2"/>
      <c r="G1034" s="2"/>
      <c r="H1034" s="2"/>
      <c r="I1034" s="5"/>
    </row>
    <row r="1035" spans="1:9" ht="17.399999999999999" x14ac:dyDescent="0.25">
      <c r="A1035" s="16"/>
      <c r="B1035" s="17"/>
      <c r="C1035" s="2"/>
      <c r="D1035" s="2"/>
      <c r="E1035" s="2"/>
      <c r="F1035" s="2"/>
      <c r="G1035" s="2"/>
      <c r="H1035" s="2"/>
      <c r="I1035" s="5"/>
    </row>
    <row r="1036" spans="1:9" ht="17.399999999999999" x14ac:dyDescent="0.25">
      <c r="A1036" s="16"/>
      <c r="B1036" s="17"/>
      <c r="C1036" s="2"/>
      <c r="D1036" s="2"/>
      <c r="E1036" s="2"/>
      <c r="F1036" s="2"/>
      <c r="G1036" s="2"/>
      <c r="H1036" s="2"/>
      <c r="I1036" s="5"/>
    </row>
    <row r="1037" spans="1:9" ht="17.399999999999999" x14ac:dyDescent="0.25">
      <c r="A1037" s="16"/>
      <c r="B1037" s="17"/>
      <c r="C1037" s="2"/>
      <c r="D1037" s="2"/>
      <c r="E1037" s="2"/>
      <c r="F1037" s="2"/>
      <c r="G1037" s="2"/>
      <c r="H1037" s="2"/>
      <c r="I1037" s="5"/>
    </row>
    <row r="1038" spans="1:9" ht="17.399999999999999" x14ac:dyDescent="0.25">
      <c r="A1038" s="16"/>
      <c r="B1038" s="17"/>
      <c r="C1038" s="2"/>
      <c r="D1038" s="2"/>
      <c r="E1038" s="2"/>
      <c r="F1038" s="2"/>
      <c r="G1038" s="2"/>
      <c r="H1038" s="2"/>
      <c r="I1038" s="5"/>
    </row>
    <row r="1039" spans="1:9" ht="17.399999999999999" x14ac:dyDescent="0.25">
      <c r="A1039" s="16"/>
      <c r="B1039" s="17"/>
      <c r="C1039" s="2"/>
      <c r="D1039" s="2"/>
      <c r="E1039" s="2"/>
      <c r="F1039" s="2"/>
      <c r="G1039" s="2"/>
      <c r="H1039" s="2"/>
      <c r="I1039" s="5"/>
    </row>
    <row r="1040" spans="1:9" ht="17.399999999999999" x14ac:dyDescent="0.25">
      <c r="A1040" s="16"/>
      <c r="B1040" s="17"/>
      <c r="C1040" s="2"/>
      <c r="D1040" s="2"/>
      <c r="E1040" s="2"/>
      <c r="F1040" s="2"/>
      <c r="G1040" s="2"/>
      <c r="H1040" s="2"/>
      <c r="I1040" s="5"/>
    </row>
    <row r="1041" spans="1:9" ht="17.399999999999999" x14ac:dyDescent="0.25">
      <c r="A1041" s="16"/>
      <c r="B1041" s="17"/>
      <c r="C1041" s="2"/>
      <c r="D1041" s="2"/>
      <c r="E1041" s="2"/>
      <c r="F1041" s="2"/>
      <c r="G1041" s="2"/>
      <c r="H1041" s="2"/>
      <c r="I1041" s="5"/>
    </row>
    <row r="1042" spans="1:9" ht="17.399999999999999" x14ac:dyDescent="0.25">
      <c r="A1042" s="16"/>
      <c r="B1042" s="17"/>
      <c r="C1042" s="2"/>
      <c r="D1042" s="2"/>
      <c r="E1042" s="2"/>
      <c r="F1042" s="2"/>
      <c r="G1042" s="2"/>
      <c r="H1042" s="2"/>
      <c r="I1042" s="5"/>
    </row>
    <row r="1043" spans="1:9" ht="17.399999999999999" x14ac:dyDescent="0.25">
      <c r="A1043" s="16"/>
      <c r="B1043" s="17"/>
      <c r="C1043" s="2"/>
      <c r="D1043" s="2"/>
      <c r="E1043" s="2"/>
      <c r="F1043" s="2"/>
      <c r="G1043" s="2"/>
      <c r="H1043" s="2"/>
      <c r="I1043" s="5"/>
    </row>
    <row r="1044" spans="1:9" ht="17.399999999999999" x14ac:dyDescent="0.25">
      <c r="A1044" s="16"/>
      <c r="B1044" s="17"/>
      <c r="C1044" s="2"/>
      <c r="D1044" s="2"/>
      <c r="E1044" s="2"/>
      <c r="F1044" s="2"/>
      <c r="G1044" s="2"/>
      <c r="H1044" s="2"/>
      <c r="I1044" s="5"/>
    </row>
    <row r="1045" spans="1:9" ht="17.399999999999999" x14ac:dyDescent="0.25">
      <c r="A1045" s="16"/>
      <c r="B1045" s="17"/>
      <c r="C1045" s="2"/>
      <c r="D1045" s="2"/>
      <c r="E1045" s="2"/>
      <c r="F1045" s="2"/>
      <c r="G1045" s="2"/>
      <c r="H1045" s="2"/>
      <c r="I1045" s="5"/>
    </row>
    <row r="1046" spans="1:9" ht="17.399999999999999" x14ac:dyDescent="0.25">
      <c r="A1046" s="16"/>
      <c r="B1046" s="17"/>
      <c r="C1046" s="2"/>
      <c r="D1046" s="2"/>
      <c r="E1046" s="2"/>
      <c r="F1046" s="2"/>
      <c r="G1046" s="2"/>
      <c r="H1046" s="2"/>
      <c r="I1046" s="5"/>
    </row>
    <row r="1047" spans="1:9" ht="17.399999999999999" x14ac:dyDescent="0.25">
      <c r="A1047" s="16"/>
      <c r="B1047" s="17"/>
      <c r="C1047" s="2"/>
      <c r="D1047" s="2"/>
      <c r="E1047" s="2"/>
      <c r="F1047" s="2"/>
      <c r="G1047" s="2"/>
      <c r="H1047" s="2"/>
      <c r="I1047" s="5"/>
    </row>
    <row r="1048" spans="1:9" ht="17.399999999999999" x14ac:dyDescent="0.25">
      <c r="A1048" s="16"/>
      <c r="B1048" s="17"/>
      <c r="C1048" s="2"/>
      <c r="D1048" s="2"/>
      <c r="E1048" s="2"/>
      <c r="F1048" s="2"/>
      <c r="G1048" s="2"/>
      <c r="H1048" s="2"/>
      <c r="I1048" s="5"/>
    </row>
    <row r="1049" spans="1:9" ht="17.399999999999999" x14ac:dyDescent="0.25">
      <c r="A1049" s="16"/>
      <c r="B1049" s="17"/>
      <c r="C1049" s="2"/>
      <c r="D1049" s="2"/>
      <c r="E1049" s="2"/>
      <c r="F1049" s="2"/>
      <c r="G1049" s="2"/>
      <c r="H1049" s="2"/>
      <c r="I1049" s="5"/>
    </row>
    <row r="1050" spans="1:9" ht="17.399999999999999" x14ac:dyDescent="0.25">
      <c r="A1050" s="16"/>
      <c r="B1050" s="17"/>
      <c r="C1050" s="2"/>
      <c r="D1050" s="2"/>
      <c r="E1050" s="2"/>
      <c r="F1050" s="2"/>
      <c r="G1050" s="2"/>
      <c r="H1050" s="2"/>
      <c r="I1050" s="5"/>
    </row>
    <row r="1051" spans="1:9" ht="17.399999999999999" x14ac:dyDescent="0.25">
      <c r="A1051" s="16"/>
      <c r="B1051" s="17"/>
      <c r="C1051" s="2"/>
      <c r="D1051" s="2"/>
      <c r="E1051" s="2"/>
      <c r="F1051" s="2"/>
      <c r="G1051" s="2"/>
      <c r="H1051" s="2"/>
      <c r="I1051" s="5"/>
    </row>
    <row r="1052" spans="1:9" ht="17.399999999999999" x14ac:dyDescent="0.25">
      <c r="A1052" s="16"/>
      <c r="B1052" s="17"/>
      <c r="C1052" s="2"/>
      <c r="D1052" s="2"/>
      <c r="E1052" s="2"/>
      <c r="F1052" s="2"/>
      <c r="G1052" s="2"/>
      <c r="H1052" s="2"/>
      <c r="I1052" s="5"/>
    </row>
    <row r="1053" spans="1:9" ht="17.399999999999999" x14ac:dyDescent="0.25">
      <c r="A1053" s="16"/>
      <c r="B1053" s="17"/>
      <c r="C1053" s="2"/>
      <c r="D1053" s="2"/>
      <c r="E1053" s="2"/>
      <c r="F1053" s="2"/>
      <c r="G1053" s="2"/>
      <c r="H1053" s="2"/>
      <c r="I1053" s="5"/>
    </row>
    <row r="1054" spans="1:9" ht="17.399999999999999" x14ac:dyDescent="0.25">
      <c r="A1054" s="16"/>
      <c r="B1054" s="17"/>
      <c r="C1054" s="2"/>
      <c r="D1054" s="2"/>
      <c r="E1054" s="2"/>
      <c r="F1054" s="2"/>
      <c r="G1054" s="2"/>
      <c r="H1054" s="2"/>
      <c r="I1054" s="5"/>
    </row>
    <row r="1055" spans="1:9" ht="17.399999999999999" x14ac:dyDescent="0.25">
      <c r="A1055" s="16"/>
      <c r="B1055" s="17"/>
      <c r="C1055" s="2"/>
      <c r="D1055" s="2"/>
      <c r="E1055" s="2"/>
      <c r="F1055" s="2"/>
      <c r="G1055" s="2"/>
      <c r="H1055" s="2"/>
      <c r="I1055" s="5"/>
    </row>
    <row r="1056" spans="1:9" ht="17.399999999999999" x14ac:dyDescent="0.25">
      <c r="A1056" s="16"/>
      <c r="B1056" s="17"/>
      <c r="C1056" s="2"/>
      <c r="D1056" s="2"/>
      <c r="E1056" s="2"/>
      <c r="F1056" s="2"/>
      <c r="G1056" s="2"/>
      <c r="H1056" s="2"/>
      <c r="I1056" s="5"/>
    </row>
    <row r="1057" spans="1:9" ht="17.399999999999999" x14ac:dyDescent="0.25">
      <c r="A1057" s="16"/>
      <c r="B1057" s="17"/>
      <c r="C1057" s="2"/>
      <c r="D1057" s="2"/>
      <c r="E1057" s="2"/>
      <c r="F1057" s="2"/>
      <c r="G1057" s="2"/>
      <c r="H1057" s="2"/>
      <c r="I1057" s="5"/>
    </row>
    <row r="1058" spans="1:9" ht="17.399999999999999" x14ac:dyDescent="0.25">
      <c r="A1058" s="16"/>
      <c r="B1058" s="17"/>
      <c r="C1058" s="2"/>
      <c r="D1058" s="2"/>
      <c r="E1058" s="2"/>
      <c r="F1058" s="2"/>
      <c r="G1058" s="2"/>
      <c r="H1058" s="2"/>
      <c r="I1058" s="5"/>
    </row>
    <row r="1059" spans="1:9" ht="17.399999999999999" x14ac:dyDescent="0.25">
      <c r="A1059" s="16"/>
      <c r="B1059" s="17"/>
      <c r="C1059" s="2"/>
      <c r="D1059" s="2"/>
      <c r="E1059" s="2"/>
      <c r="F1059" s="2"/>
      <c r="G1059" s="2"/>
      <c r="H1059" s="2"/>
      <c r="I1059" s="5"/>
    </row>
    <row r="1060" spans="1:9" ht="17.399999999999999" x14ac:dyDescent="0.25">
      <c r="A1060" s="16"/>
      <c r="B1060" s="17"/>
      <c r="C1060" s="2"/>
      <c r="D1060" s="2"/>
      <c r="E1060" s="2"/>
      <c r="F1060" s="2"/>
      <c r="G1060" s="2"/>
      <c r="H1060" s="2"/>
      <c r="I1060" s="5"/>
    </row>
    <row r="1061" spans="1:9" ht="17.399999999999999" x14ac:dyDescent="0.25">
      <c r="A1061" s="16"/>
      <c r="B1061" s="17"/>
      <c r="C1061" s="2"/>
      <c r="D1061" s="2"/>
      <c r="E1061" s="2"/>
      <c r="F1061" s="2"/>
      <c r="G1061" s="2"/>
      <c r="H1061" s="2"/>
      <c r="I1061" s="5"/>
    </row>
    <row r="1062" spans="1:9" ht="17.399999999999999" x14ac:dyDescent="0.25">
      <c r="A1062" s="16"/>
      <c r="B1062" s="17"/>
      <c r="C1062" s="2"/>
      <c r="D1062" s="2"/>
      <c r="E1062" s="2"/>
      <c r="F1062" s="2"/>
      <c r="G1062" s="2"/>
      <c r="H1062" s="2"/>
      <c r="I1062" s="5"/>
    </row>
    <row r="1063" spans="1:9" ht="17.399999999999999" x14ac:dyDescent="0.25">
      <c r="A1063" s="16"/>
      <c r="B1063" s="17"/>
      <c r="C1063" s="2"/>
      <c r="D1063" s="2"/>
      <c r="E1063" s="2"/>
      <c r="F1063" s="2"/>
      <c r="G1063" s="2"/>
      <c r="H1063" s="2"/>
      <c r="I1063" s="5"/>
    </row>
    <row r="1064" spans="1:9" ht="17.399999999999999" x14ac:dyDescent="0.25">
      <c r="A1064" s="16"/>
      <c r="B1064" s="17"/>
      <c r="C1064" s="2"/>
      <c r="D1064" s="2"/>
      <c r="E1064" s="2"/>
      <c r="F1064" s="2"/>
      <c r="G1064" s="2"/>
      <c r="H1064" s="2"/>
      <c r="I1064" s="5"/>
    </row>
    <row r="1065" spans="1:9" ht="17.399999999999999" x14ac:dyDescent="0.25">
      <c r="A1065" s="16"/>
      <c r="B1065" s="17"/>
      <c r="C1065" s="2"/>
      <c r="D1065" s="2"/>
      <c r="E1065" s="2"/>
      <c r="F1065" s="2"/>
      <c r="G1065" s="2"/>
      <c r="H1065" s="2"/>
      <c r="I1065" s="5"/>
    </row>
    <row r="1066" spans="1:9" ht="17.399999999999999" x14ac:dyDescent="0.25">
      <c r="A1066" s="16"/>
      <c r="B1066" s="17"/>
      <c r="C1066" s="2"/>
      <c r="D1066" s="2"/>
      <c r="E1066" s="2"/>
      <c r="F1066" s="2"/>
      <c r="G1066" s="2"/>
      <c r="H1066" s="2"/>
      <c r="I1066" s="5"/>
    </row>
    <row r="1067" spans="1:9" ht="17.399999999999999" x14ac:dyDescent="0.25">
      <c r="A1067" s="16"/>
      <c r="B1067" s="17"/>
      <c r="C1067" s="2"/>
      <c r="D1067" s="2"/>
      <c r="E1067" s="2"/>
      <c r="F1067" s="2"/>
      <c r="G1067" s="2"/>
      <c r="H1067" s="2"/>
      <c r="I1067" s="5"/>
    </row>
    <row r="1068" spans="1:9" ht="17.399999999999999" x14ac:dyDescent="0.25">
      <c r="A1068" s="16"/>
      <c r="B1068" s="17"/>
      <c r="C1068" s="2"/>
      <c r="D1068" s="2"/>
      <c r="E1068" s="2"/>
      <c r="F1068" s="2"/>
      <c r="G1068" s="2"/>
      <c r="H1068" s="2"/>
      <c r="I1068" s="5"/>
    </row>
    <row r="1069" spans="1:9" ht="17.399999999999999" x14ac:dyDescent="0.25">
      <c r="A1069" s="16"/>
      <c r="B1069" s="17"/>
      <c r="C1069" s="2"/>
      <c r="D1069" s="2"/>
      <c r="E1069" s="2"/>
      <c r="F1069" s="2"/>
      <c r="G1069" s="2"/>
      <c r="H1069" s="2"/>
      <c r="I1069" s="5"/>
    </row>
    <row r="1070" spans="1:9" ht="17.399999999999999" x14ac:dyDescent="0.25">
      <c r="A1070" s="16"/>
      <c r="B1070" s="17"/>
      <c r="C1070" s="2"/>
      <c r="D1070" s="2"/>
      <c r="E1070" s="2"/>
      <c r="F1070" s="2"/>
      <c r="G1070" s="2"/>
      <c r="H1070" s="2"/>
      <c r="I1070" s="5"/>
    </row>
    <row r="1071" spans="1:9" ht="17.399999999999999" x14ac:dyDescent="0.25">
      <c r="A1071" s="16"/>
      <c r="B1071" s="17"/>
      <c r="C1071" s="2"/>
      <c r="D1071" s="2"/>
      <c r="E1071" s="2"/>
      <c r="F1071" s="2"/>
      <c r="G1071" s="2"/>
      <c r="H1071" s="2"/>
      <c r="I1071" s="5"/>
    </row>
    <row r="1072" spans="1:9" ht="17.399999999999999" x14ac:dyDescent="0.25">
      <c r="A1072" s="16"/>
      <c r="B1072" s="17"/>
      <c r="C1072" s="2"/>
      <c r="D1072" s="2"/>
      <c r="E1072" s="2"/>
      <c r="F1072" s="2"/>
      <c r="G1072" s="2"/>
      <c r="H1072" s="2"/>
      <c r="I1072" s="5"/>
    </row>
    <row r="1073" spans="1:9" ht="17.399999999999999" x14ac:dyDescent="0.25">
      <c r="A1073" s="16"/>
      <c r="B1073" s="17"/>
      <c r="C1073" s="2"/>
      <c r="D1073" s="2"/>
      <c r="E1073" s="2"/>
      <c r="F1073" s="2"/>
      <c r="G1073" s="2"/>
      <c r="H1073" s="2"/>
      <c r="I1073" s="5"/>
    </row>
    <row r="1074" spans="1:9" ht="17.399999999999999" x14ac:dyDescent="0.25">
      <c r="A1074" s="16"/>
      <c r="B1074" s="17"/>
      <c r="C1074" s="2"/>
      <c r="D1074" s="2"/>
      <c r="E1074" s="2"/>
      <c r="F1074" s="2"/>
      <c r="G1074" s="2"/>
      <c r="H1074" s="2"/>
      <c r="I1074" s="5"/>
    </row>
    <row r="1075" spans="1:9" ht="17.399999999999999" x14ac:dyDescent="0.25">
      <c r="A1075" s="16"/>
      <c r="B1075" s="17"/>
      <c r="C1075" s="2"/>
      <c r="D1075" s="2"/>
      <c r="E1075" s="2"/>
      <c r="F1075" s="2"/>
      <c r="G1075" s="2"/>
      <c r="H1075" s="2"/>
      <c r="I1075" s="5"/>
    </row>
    <row r="1076" spans="1:9" ht="17.399999999999999" x14ac:dyDescent="0.25">
      <c r="A1076" s="16"/>
      <c r="B1076" s="17"/>
      <c r="C1076" s="2"/>
      <c r="D1076" s="2"/>
      <c r="E1076" s="2"/>
      <c r="F1076" s="2"/>
      <c r="G1076" s="2"/>
      <c r="H1076" s="2"/>
      <c r="I1076" s="5"/>
    </row>
    <row r="1077" spans="1:9" ht="17.399999999999999" x14ac:dyDescent="0.25">
      <c r="A1077" s="16"/>
      <c r="B1077" s="17"/>
      <c r="C1077" s="2"/>
      <c r="D1077" s="2"/>
      <c r="E1077" s="2"/>
      <c r="F1077" s="2"/>
      <c r="G1077" s="2"/>
      <c r="H1077" s="2"/>
      <c r="I1077" s="5"/>
    </row>
    <row r="1078" spans="1:9" ht="17.399999999999999" x14ac:dyDescent="0.25">
      <c r="A1078" s="16"/>
      <c r="B1078" s="17"/>
      <c r="C1078" s="2"/>
      <c r="D1078" s="2"/>
      <c r="E1078" s="2"/>
      <c r="F1078" s="2"/>
      <c r="G1078" s="2"/>
      <c r="H1078" s="2"/>
      <c r="I1078" s="5"/>
    </row>
    <row r="1079" spans="1:9" ht="17.399999999999999" x14ac:dyDescent="0.25">
      <c r="A1079" s="16"/>
      <c r="B1079" s="17"/>
      <c r="C1079" s="2"/>
      <c r="D1079" s="2"/>
      <c r="E1079" s="2"/>
      <c r="F1079" s="2"/>
      <c r="G1079" s="2"/>
      <c r="H1079" s="2"/>
      <c r="I1079" s="5"/>
    </row>
    <row r="1080" spans="1:9" ht="17.399999999999999" x14ac:dyDescent="0.25">
      <c r="A1080" s="16"/>
      <c r="B1080" s="17"/>
      <c r="C1080" s="2"/>
      <c r="D1080" s="2"/>
      <c r="E1080" s="2"/>
      <c r="F1080" s="2"/>
      <c r="G1080" s="2"/>
      <c r="H1080" s="2"/>
      <c r="I1080" s="5"/>
    </row>
    <row r="1081" spans="1:9" ht="17.399999999999999" x14ac:dyDescent="0.25">
      <c r="A1081" s="16"/>
      <c r="B1081" s="17"/>
      <c r="C1081" s="2"/>
      <c r="D1081" s="2"/>
      <c r="E1081" s="2"/>
      <c r="F1081" s="2"/>
      <c r="G1081" s="2"/>
      <c r="H1081" s="2"/>
      <c r="I1081" s="5"/>
    </row>
    <row r="1082" spans="1:9" ht="17.399999999999999" x14ac:dyDescent="0.25">
      <c r="A1082" s="16"/>
      <c r="B1082" s="17"/>
      <c r="C1082" s="2"/>
      <c r="D1082" s="2"/>
      <c r="E1082" s="2"/>
      <c r="F1082" s="2"/>
      <c r="G1082" s="2"/>
      <c r="H1082" s="2"/>
      <c r="I1082" s="5"/>
    </row>
    <row r="1083" spans="1:9" ht="17.399999999999999" x14ac:dyDescent="0.25">
      <c r="A1083" s="16"/>
      <c r="B1083" s="17"/>
      <c r="C1083" s="2"/>
      <c r="D1083" s="2"/>
      <c r="E1083" s="2"/>
      <c r="F1083" s="2"/>
      <c r="G1083" s="2"/>
      <c r="H1083" s="2"/>
      <c r="I1083" s="5"/>
    </row>
    <row r="1084" spans="1:9" ht="17.399999999999999" x14ac:dyDescent="0.25">
      <c r="A1084" s="16"/>
      <c r="B1084" s="17"/>
      <c r="C1084" s="2"/>
      <c r="D1084" s="2"/>
      <c r="E1084" s="2"/>
      <c r="F1084" s="2"/>
      <c r="G1084" s="2"/>
      <c r="H1084" s="2"/>
      <c r="I1084" s="5"/>
    </row>
    <row r="1085" spans="1:9" ht="17.399999999999999" x14ac:dyDescent="0.25">
      <c r="A1085" s="16"/>
      <c r="B1085" s="17"/>
      <c r="C1085" s="2"/>
      <c r="D1085" s="2"/>
      <c r="E1085" s="2"/>
      <c r="F1085" s="2"/>
      <c r="G1085" s="2"/>
      <c r="H1085" s="2"/>
      <c r="I1085" s="5"/>
    </row>
    <row r="1086" spans="1:9" ht="17.399999999999999" x14ac:dyDescent="0.25">
      <c r="A1086" s="16"/>
      <c r="B1086" s="17"/>
      <c r="C1086" s="2"/>
      <c r="D1086" s="2"/>
      <c r="E1086" s="2"/>
      <c r="F1086" s="2"/>
      <c r="G1086" s="2"/>
      <c r="H1086" s="2"/>
      <c r="I1086" s="5"/>
    </row>
    <row r="1087" spans="1:9" ht="17.399999999999999" x14ac:dyDescent="0.25">
      <c r="A1087" s="16"/>
      <c r="B1087" s="17"/>
      <c r="C1087" s="2"/>
      <c r="D1087" s="2"/>
      <c r="E1087" s="2"/>
      <c r="F1087" s="2"/>
      <c r="G1087" s="2"/>
      <c r="H1087" s="2"/>
      <c r="I1087" s="5"/>
    </row>
    <row r="1088" spans="1:9" ht="17.399999999999999" x14ac:dyDescent="0.25">
      <c r="A1088" s="16"/>
      <c r="B1088" s="17"/>
      <c r="C1088" s="2"/>
      <c r="D1088" s="2"/>
      <c r="E1088" s="2"/>
      <c r="F1088" s="2"/>
      <c r="G1088" s="2"/>
      <c r="H1088" s="2"/>
      <c r="I1088" s="5"/>
    </row>
    <row r="1089" spans="1:9" ht="17.399999999999999" x14ac:dyDescent="0.25">
      <c r="A1089" s="16"/>
      <c r="B1089" s="17"/>
      <c r="C1089" s="2"/>
      <c r="D1089" s="2"/>
      <c r="E1089" s="2"/>
      <c r="F1089" s="2"/>
      <c r="G1089" s="2"/>
      <c r="H1089" s="2"/>
      <c r="I1089" s="5"/>
    </row>
    <row r="1090" spans="1:9" ht="17.399999999999999" x14ac:dyDescent="0.25">
      <c r="A1090" s="16"/>
      <c r="B1090" s="17"/>
      <c r="C1090" s="2"/>
      <c r="D1090" s="2"/>
      <c r="E1090" s="2"/>
      <c r="F1090" s="2"/>
      <c r="G1090" s="2"/>
      <c r="H1090" s="2"/>
      <c r="I1090" s="5"/>
    </row>
    <row r="1091" spans="1:9" ht="17.399999999999999" x14ac:dyDescent="0.25">
      <c r="A1091" s="16"/>
      <c r="B1091" s="17"/>
      <c r="C1091" s="2"/>
      <c r="D1091" s="2"/>
      <c r="E1091" s="2"/>
      <c r="F1091" s="2"/>
      <c r="G1091" s="2"/>
      <c r="H1091" s="2"/>
      <c r="I1091" s="5"/>
    </row>
    <row r="1092" spans="1:9" ht="17.399999999999999" x14ac:dyDescent="0.25">
      <c r="A1092" s="16"/>
      <c r="B1092" s="17"/>
      <c r="C1092" s="2"/>
      <c r="D1092" s="2"/>
      <c r="E1092" s="2"/>
      <c r="F1092" s="2"/>
      <c r="G1092" s="2"/>
      <c r="H1092" s="2"/>
      <c r="I1092" s="5"/>
    </row>
    <row r="1093" spans="1:9" ht="17.399999999999999" x14ac:dyDescent="0.25">
      <c r="A1093" s="16"/>
      <c r="B1093" s="17"/>
      <c r="C1093" s="2"/>
      <c r="D1093" s="2"/>
      <c r="E1093" s="2"/>
      <c r="F1093" s="2"/>
      <c r="G1093" s="2"/>
      <c r="H1093" s="2"/>
      <c r="I1093" s="5"/>
    </row>
    <row r="1094" spans="1:9" ht="17.399999999999999" x14ac:dyDescent="0.25">
      <c r="A1094" s="16"/>
      <c r="B1094" s="17"/>
      <c r="C1094" s="2"/>
      <c r="D1094" s="2"/>
      <c r="E1094" s="2"/>
      <c r="F1094" s="2"/>
      <c r="G1094" s="2"/>
      <c r="H1094" s="2"/>
      <c r="I1094" s="5"/>
    </row>
    <row r="1095" spans="1:9" ht="17.399999999999999" x14ac:dyDescent="0.25">
      <c r="A1095" s="16"/>
      <c r="B1095" s="17"/>
      <c r="C1095" s="2"/>
      <c r="D1095" s="2"/>
      <c r="E1095" s="2"/>
      <c r="F1095" s="2"/>
      <c r="G1095" s="2"/>
      <c r="H1095" s="2"/>
      <c r="I1095" s="5"/>
    </row>
    <row r="1096" spans="1:9" ht="17.399999999999999" x14ac:dyDescent="0.25">
      <c r="A1096" s="16"/>
      <c r="B1096" s="17"/>
      <c r="C1096" s="2"/>
      <c r="D1096" s="2"/>
      <c r="E1096" s="2"/>
      <c r="F1096" s="2"/>
      <c r="G1096" s="2"/>
      <c r="H1096" s="2"/>
      <c r="I1096" s="5"/>
    </row>
    <row r="1097" spans="1:9" ht="17.399999999999999" x14ac:dyDescent="0.25">
      <c r="A1097" s="16"/>
      <c r="B1097" s="17"/>
      <c r="C1097" s="2"/>
      <c r="D1097" s="2"/>
      <c r="E1097" s="2"/>
      <c r="F1097" s="2"/>
      <c r="G1097" s="2"/>
      <c r="H1097" s="2"/>
      <c r="I1097" s="5"/>
    </row>
    <row r="1098" spans="1:9" ht="17.399999999999999" x14ac:dyDescent="0.25">
      <c r="A1098" s="16"/>
      <c r="B1098" s="17"/>
      <c r="C1098" s="2"/>
      <c r="D1098" s="2"/>
      <c r="E1098" s="2"/>
      <c r="F1098" s="2"/>
      <c r="G1098" s="2"/>
      <c r="H1098" s="2"/>
      <c r="I1098" s="5"/>
    </row>
    <row r="1099" spans="1:9" ht="17.399999999999999" x14ac:dyDescent="0.25">
      <c r="A1099" s="16"/>
      <c r="B1099" s="17"/>
      <c r="C1099" s="2"/>
      <c r="D1099" s="2"/>
      <c r="E1099" s="2"/>
      <c r="F1099" s="2"/>
      <c r="G1099" s="2"/>
      <c r="H1099" s="2"/>
      <c r="I1099" s="5"/>
    </row>
    <row r="1100" spans="1:9" ht="17.399999999999999" x14ac:dyDescent="0.25">
      <c r="A1100" s="16"/>
      <c r="B1100" s="17"/>
      <c r="C1100" s="2"/>
      <c r="D1100" s="2"/>
      <c r="E1100" s="2"/>
      <c r="F1100" s="2"/>
      <c r="G1100" s="2"/>
      <c r="H1100" s="2"/>
      <c r="I1100" s="5"/>
    </row>
    <row r="1101" spans="1:9" ht="17.399999999999999" x14ac:dyDescent="0.25">
      <c r="A1101" s="16"/>
      <c r="B1101" s="17"/>
      <c r="C1101" s="2"/>
      <c r="D1101" s="2"/>
      <c r="E1101" s="2"/>
      <c r="F1101" s="2"/>
      <c r="G1101" s="2"/>
      <c r="H1101" s="2"/>
      <c r="I1101" s="5"/>
    </row>
    <row r="1102" spans="1:9" ht="17.399999999999999" x14ac:dyDescent="0.25">
      <c r="A1102" s="16"/>
      <c r="B1102" s="17"/>
      <c r="C1102" s="2"/>
      <c r="D1102" s="2"/>
      <c r="E1102" s="2"/>
      <c r="F1102" s="2"/>
      <c r="G1102" s="2"/>
      <c r="H1102" s="2"/>
      <c r="I1102" s="5"/>
    </row>
    <row r="1103" spans="1:9" ht="17.399999999999999" x14ac:dyDescent="0.25">
      <c r="A1103" s="16"/>
      <c r="B1103" s="17"/>
      <c r="C1103" s="2"/>
      <c r="D1103" s="2"/>
      <c r="E1103" s="2"/>
      <c r="F1103" s="2"/>
      <c r="G1103" s="2"/>
      <c r="H1103" s="2"/>
      <c r="I1103" s="5"/>
    </row>
    <row r="1104" spans="1:9" ht="17.399999999999999" x14ac:dyDescent="0.25">
      <c r="A1104" s="16"/>
      <c r="B1104" s="17"/>
      <c r="C1104" s="2"/>
      <c r="D1104" s="2"/>
      <c r="E1104" s="2"/>
      <c r="F1104" s="2"/>
      <c r="G1104" s="2"/>
      <c r="H1104" s="2"/>
      <c r="I1104" s="5"/>
    </row>
    <row r="1105" spans="1:9" ht="17.399999999999999" x14ac:dyDescent="0.25">
      <c r="A1105" s="16"/>
      <c r="B1105" s="17"/>
      <c r="C1105" s="2"/>
      <c r="D1105" s="2"/>
      <c r="E1105" s="2"/>
      <c r="F1105" s="2"/>
      <c r="G1105" s="2"/>
      <c r="H1105" s="2"/>
      <c r="I1105" s="5"/>
    </row>
    <row r="1106" spans="1:9" ht="17.399999999999999" x14ac:dyDescent="0.25">
      <c r="A1106" s="16"/>
      <c r="B1106" s="17"/>
      <c r="C1106" s="2"/>
      <c r="D1106" s="2"/>
      <c r="E1106" s="2"/>
      <c r="F1106" s="2"/>
      <c r="G1106" s="2"/>
      <c r="H1106" s="2"/>
      <c r="I1106" s="5"/>
    </row>
    <row r="1107" spans="1:9" ht="17.399999999999999" x14ac:dyDescent="0.25">
      <c r="A1107" s="16"/>
      <c r="B1107" s="17"/>
      <c r="C1107" s="2"/>
      <c r="D1107" s="2"/>
      <c r="E1107" s="2"/>
      <c r="F1107" s="2"/>
      <c r="G1107" s="2"/>
      <c r="H1107" s="2"/>
      <c r="I1107" s="5"/>
    </row>
    <row r="1108" spans="1:9" ht="17.399999999999999" x14ac:dyDescent="0.25">
      <c r="A1108" s="16"/>
      <c r="B1108" s="17"/>
      <c r="C1108" s="2"/>
      <c r="D1108" s="2"/>
      <c r="E1108" s="2"/>
      <c r="F1108" s="2"/>
      <c r="G1108" s="2"/>
      <c r="H1108" s="2"/>
      <c r="I1108" s="5"/>
    </row>
    <row r="1109" spans="1:9" ht="17.399999999999999" x14ac:dyDescent="0.25">
      <c r="A1109" s="16"/>
      <c r="B1109" s="17"/>
      <c r="C1109" s="2"/>
      <c r="D1109" s="2"/>
      <c r="E1109" s="2"/>
      <c r="F1109" s="2"/>
      <c r="G1109" s="2"/>
      <c r="H1109" s="2"/>
      <c r="I1109" s="5"/>
    </row>
    <row r="1110" spans="1:9" ht="17.399999999999999" x14ac:dyDescent="0.25">
      <c r="A1110" s="16"/>
      <c r="B1110" s="17"/>
      <c r="C1110" s="2"/>
      <c r="D1110" s="2"/>
      <c r="E1110" s="2"/>
      <c r="F1110" s="2"/>
      <c r="G1110" s="2"/>
      <c r="H1110" s="2"/>
      <c r="I1110" s="5"/>
    </row>
    <row r="1111" spans="1:9" ht="17.399999999999999" x14ac:dyDescent="0.25">
      <c r="A1111" s="16"/>
      <c r="B1111" s="17"/>
      <c r="C1111" s="2"/>
      <c r="D1111" s="2"/>
      <c r="E1111" s="2"/>
      <c r="F1111" s="2"/>
      <c r="G1111" s="2"/>
      <c r="H1111" s="2"/>
      <c r="I1111" s="5"/>
    </row>
    <row r="1112" spans="1:9" ht="17.399999999999999" x14ac:dyDescent="0.25">
      <c r="A1112" s="16"/>
      <c r="B1112" s="17"/>
      <c r="C1112" s="2"/>
      <c r="D1112" s="2"/>
      <c r="E1112" s="2"/>
      <c r="F1112" s="2"/>
      <c r="G1112" s="2"/>
      <c r="H1112" s="2"/>
      <c r="I1112" s="5"/>
    </row>
    <row r="1113" spans="1:9" ht="17.399999999999999" x14ac:dyDescent="0.25">
      <c r="A1113" s="16"/>
      <c r="B1113" s="17"/>
      <c r="C1113" s="2"/>
      <c r="D1113" s="2"/>
      <c r="E1113" s="2"/>
      <c r="F1113" s="2"/>
      <c r="G1113" s="2"/>
      <c r="H1113" s="2"/>
      <c r="I1113" s="5"/>
    </row>
    <row r="1114" spans="1:9" ht="17.399999999999999" x14ac:dyDescent="0.25">
      <c r="A1114" s="16"/>
      <c r="B1114" s="17"/>
      <c r="C1114" s="2"/>
      <c r="D1114" s="2"/>
      <c r="E1114" s="2"/>
      <c r="F1114" s="2"/>
      <c r="G1114" s="2"/>
      <c r="H1114" s="2"/>
      <c r="I1114" s="5"/>
    </row>
    <row r="1115" spans="1:9" ht="17.399999999999999" x14ac:dyDescent="0.25">
      <c r="A1115" s="16"/>
      <c r="B1115" s="17"/>
      <c r="C1115" s="2"/>
      <c r="D1115" s="2"/>
      <c r="E1115" s="2"/>
      <c r="F1115" s="2"/>
      <c r="G1115" s="2"/>
      <c r="H1115" s="2"/>
      <c r="I1115" s="5"/>
    </row>
    <row r="1116" spans="1:9" ht="17.399999999999999" x14ac:dyDescent="0.25">
      <c r="A1116" s="16"/>
      <c r="B1116" s="17"/>
      <c r="C1116" s="2"/>
      <c r="D1116" s="2"/>
      <c r="E1116" s="2"/>
      <c r="F1116" s="2"/>
      <c r="G1116" s="2"/>
      <c r="H1116" s="2"/>
      <c r="I1116" s="5"/>
    </row>
    <row r="1117" spans="1:9" ht="17.399999999999999" x14ac:dyDescent="0.25">
      <c r="A1117" s="16"/>
      <c r="B1117" s="17"/>
      <c r="C1117" s="2"/>
      <c r="D1117" s="2"/>
      <c r="E1117" s="2"/>
      <c r="F1117" s="2"/>
      <c r="G1117" s="2"/>
      <c r="H1117" s="2"/>
      <c r="I1117" s="5"/>
    </row>
    <row r="1118" spans="1:9" ht="17.399999999999999" x14ac:dyDescent="0.25">
      <c r="A1118" s="16"/>
      <c r="B1118" s="17"/>
      <c r="C1118" s="2"/>
      <c r="D1118" s="2"/>
      <c r="E1118" s="2"/>
      <c r="F1118" s="2"/>
      <c r="G1118" s="2"/>
      <c r="H1118" s="2"/>
      <c r="I1118" s="5"/>
    </row>
    <row r="1119" spans="1:9" ht="17.399999999999999" x14ac:dyDescent="0.25">
      <c r="A1119" s="16"/>
      <c r="B1119" s="17"/>
      <c r="C1119" s="2"/>
      <c r="D1119" s="2"/>
      <c r="E1119" s="2"/>
      <c r="F1119" s="2"/>
      <c r="G1119" s="2"/>
      <c r="H1119" s="2"/>
      <c r="I1119" s="5"/>
    </row>
    <row r="1120" spans="1:9" ht="17.399999999999999" x14ac:dyDescent="0.25">
      <c r="A1120" s="16"/>
      <c r="B1120" s="17"/>
      <c r="C1120" s="2"/>
      <c r="D1120" s="2"/>
      <c r="E1120" s="2"/>
      <c r="F1120" s="2"/>
      <c r="G1120" s="2"/>
      <c r="H1120" s="2"/>
      <c r="I1120" s="5"/>
    </row>
    <row r="1121" spans="1:9" ht="17.399999999999999" x14ac:dyDescent="0.25">
      <c r="A1121" s="16"/>
      <c r="B1121" s="17"/>
      <c r="C1121" s="2"/>
      <c r="D1121" s="2"/>
      <c r="E1121" s="2"/>
      <c r="F1121" s="2"/>
      <c r="G1121" s="2"/>
      <c r="H1121" s="2"/>
      <c r="I1121" s="5"/>
    </row>
    <row r="1122" spans="1:9" ht="17.399999999999999" x14ac:dyDescent="0.25">
      <c r="A1122" s="16"/>
      <c r="B1122" s="17"/>
      <c r="C1122" s="2"/>
      <c r="D1122" s="2"/>
      <c r="E1122" s="2"/>
      <c r="F1122" s="2"/>
      <c r="G1122" s="2"/>
      <c r="H1122" s="2"/>
      <c r="I1122" s="5"/>
    </row>
    <row r="1123" spans="1:9" ht="17.399999999999999" x14ac:dyDescent="0.25">
      <c r="A1123" s="16"/>
      <c r="B1123" s="17"/>
      <c r="C1123" s="2"/>
      <c r="D1123" s="2"/>
      <c r="E1123" s="2"/>
      <c r="F1123" s="2"/>
      <c r="G1123" s="2"/>
      <c r="H1123" s="2"/>
      <c r="I1123" s="5"/>
    </row>
    <row r="1124" spans="1:9" ht="17.399999999999999" x14ac:dyDescent="0.25">
      <c r="A1124" s="16"/>
      <c r="B1124" s="17"/>
      <c r="C1124" s="2"/>
      <c r="D1124" s="2"/>
      <c r="E1124" s="2"/>
      <c r="F1124" s="2"/>
      <c r="G1124" s="2"/>
      <c r="H1124" s="2"/>
      <c r="I1124" s="5"/>
    </row>
    <row r="1125" spans="1:9" ht="17.399999999999999" x14ac:dyDescent="0.25">
      <c r="A1125" s="16"/>
      <c r="B1125" s="17"/>
      <c r="C1125" s="2"/>
      <c r="D1125" s="2"/>
      <c r="E1125" s="2"/>
      <c r="F1125" s="2"/>
      <c r="G1125" s="2"/>
      <c r="H1125" s="2"/>
      <c r="I1125" s="5"/>
    </row>
    <row r="1126" spans="1:9" ht="17.399999999999999" x14ac:dyDescent="0.25">
      <c r="A1126" s="16"/>
      <c r="B1126" s="17"/>
      <c r="C1126" s="2"/>
      <c r="D1126" s="2"/>
      <c r="E1126" s="2"/>
      <c r="F1126" s="2"/>
      <c r="G1126" s="2"/>
      <c r="H1126" s="2"/>
      <c r="I1126" s="5"/>
    </row>
    <row r="1127" spans="1:9" ht="17.399999999999999" x14ac:dyDescent="0.25">
      <c r="A1127" s="16"/>
      <c r="B1127" s="17"/>
      <c r="C1127" s="2"/>
      <c r="D1127" s="2"/>
      <c r="E1127" s="2"/>
      <c r="F1127" s="2"/>
      <c r="G1127" s="2"/>
      <c r="H1127" s="2"/>
      <c r="I1127" s="5"/>
    </row>
    <row r="1128" spans="1:9" ht="17.399999999999999" x14ac:dyDescent="0.25">
      <c r="A1128" s="16"/>
      <c r="B1128" s="17"/>
      <c r="C1128" s="2"/>
      <c r="D1128" s="2"/>
      <c r="E1128" s="2"/>
      <c r="F1128" s="2"/>
      <c r="G1128" s="2"/>
      <c r="H1128" s="2"/>
      <c r="I1128" s="5"/>
    </row>
    <row r="1129" spans="1:9" ht="17.399999999999999" x14ac:dyDescent="0.25">
      <c r="A1129" s="16"/>
      <c r="B1129" s="17"/>
      <c r="C1129" s="2"/>
      <c r="D1129" s="2"/>
      <c r="E1129" s="2"/>
      <c r="F1129" s="2"/>
      <c r="G1129" s="2"/>
      <c r="H1129" s="2"/>
      <c r="I1129" s="5"/>
    </row>
    <row r="1130" spans="1:9" ht="17.399999999999999" x14ac:dyDescent="0.25">
      <c r="A1130" s="16"/>
      <c r="B1130" s="17"/>
      <c r="C1130" s="2"/>
      <c r="D1130" s="2"/>
      <c r="E1130" s="2"/>
      <c r="F1130" s="2"/>
      <c r="G1130" s="2"/>
      <c r="H1130" s="2"/>
      <c r="I1130" s="5"/>
    </row>
    <row r="1131" spans="1:9" ht="17.399999999999999" x14ac:dyDescent="0.25">
      <c r="A1131" s="16"/>
      <c r="B1131" s="17"/>
      <c r="C1131" s="2"/>
      <c r="D1131" s="2"/>
      <c r="E1131" s="2"/>
      <c r="F1131" s="2"/>
      <c r="G1131" s="2"/>
      <c r="H1131" s="2"/>
      <c r="I1131" s="5"/>
    </row>
    <row r="1132" spans="1:9" ht="17.399999999999999" x14ac:dyDescent="0.25">
      <c r="A1132" s="16"/>
      <c r="B1132" s="17"/>
      <c r="C1132" s="2"/>
      <c r="D1132" s="2"/>
      <c r="E1132" s="2"/>
      <c r="F1132" s="2"/>
      <c r="G1132" s="2"/>
      <c r="H1132" s="2"/>
      <c r="I1132" s="5"/>
    </row>
    <row r="1133" spans="1:9" ht="17.399999999999999" x14ac:dyDescent="0.25">
      <c r="A1133" s="16"/>
      <c r="B1133" s="17"/>
      <c r="C1133" s="2"/>
      <c r="D1133" s="2"/>
      <c r="E1133" s="2"/>
      <c r="F1133" s="2"/>
      <c r="G1133" s="2"/>
      <c r="H1133" s="2"/>
      <c r="I1133" s="5"/>
    </row>
    <row r="1134" spans="1:9" ht="17.399999999999999" x14ac:dyDescent="0.25">
      <c r="A1134" s="16"/>
      <c r="B1134" s="17"/>
      <c r="C1134" s="2"/>
      <c r="D1134" s="2"/>
      <c r="E1134" s="2"/>
      <c r="F1134" s="2"/>
      <c r="G1134" s="2"/>
      <c r="H1134" s="2"/>
      <c r="I1134" s="5"/>
    </row>
    <row r="1135" spans="1:9" ht="17.399999999999999" x14ac:dyDescent="0.25">
      <c r="A1135" s="16"/>
      <c r="B1135" s="17"/>
      <c r="C1135" s="2"/>
      <c r="D1135" s="2"/>
      <c r="E1135" s="2"/>
      <c r="F1135" s="2"/>
      <c r="G1135" s="2"/>
      <c r="H1135" s="2"/>
      <c r="I1135" s="5"/>
    </row>
    <row r="1136" spans="1:9" ht="17.399999999999999" x14ac:dyDescent="0.25">
      <c r="A1136" s="16"/>
      <c r="B1136" s="17"/>
      <c r="C1136" s="2"/>
      <c r="D1136" s="2"/>
      <c r="E1136" s="2"/>
      <c r="F1136" s="2"/>
      <c r="G1136" s="2"/>
      <c r="H1136" s="2"/>
      <c r="I1136" s="5"/>
    </row>
    <row r="1137" spans="1:9" ht="17.399999999999999" x14ac:dyDescent="0.25">
      <c r="A1137" s="16"/>
      <c r="B1137" s="17"/>
      <c r="C1137" s="2"/>
      <c r="D1137" s="2"/>
      <c r="E1137" s="2"/>
      <c r="F1137" s="2"/>
      <c r="G1137" s="2"/>
      <c r="H1137" s="2"/>
      <c r="I1137" s="5"/>
    </row>
    <row r="1138" spans="1:9" ht="17.399999999999999" x14ac:dyDescent="0.25">
      <c r="A1138" s="16"/>
      <c r="B1138" s="17"/>
      <c r="C1138" s="2"/>
      <c r="D1138" s="2"/>
      <c r="E1138" s="2"/>
      <c r="F1138" s="2"/>
      <c r="G1138" s="2"/>
      <c r="H1138" s="2"/>
      <c r="I1138" s="5"/>
    </row>
    <row r="1139" spans="1:9" ht="17.399999999999999" x14ac:dyDescent="0.25">
      <c r="A1139" s="16"/>
      <c r="B1139" s="17"/>
      <c r="C1139" s="2"/>
      <c r="D1139" s="2"/>
      <c r="E1139" s="2"/>
      <c r="F1139" s="2"/>
      <c r="G1139" s="2"/>
      <c r="H1139" s="2"/>
      <c r="I1139" s="5"/>
    </row>
    <row r="1140" spans="1:9" ht="17.399999999999999" x14ac:dyDescent="0.25">
      <c r="A1140" s="16"/>
      <c r="B1140" s="17"/>
      <c r="C1140" s="2"/>
      <c r="D1140" s="2"/>
      <c r="E1140" s="2"/>
      <c r="F1140" s="2"/>
      <c r="G1140" s="2"/>
      <c r="H1140" s="2"/>
      <c r="I1140" s="5"/>
    </row>
    <row r="1141" spans="1:9" ht="17.399999999999999" x14ac:dyDescent="0.25">
      <c r="A1141" s="16"/>
      <c r="B1141" s="17"/>
      <c r="C1141" s="2"/>
      <c r="D1141" s="2"/>
      <c r="E1141" s="2"/>
      <c r="F1141" s="2"/>
      <c r="G1141" s="2"/>
      <c r="H1141" s="2"/>
      <c r="I1141" s="5"/>
    </row>
    <row r="1142" spans="1:9" ht="17.399999999999999" x14ac:dyDescent="0.25">
      <c r="A1142" s="16"/>
      <c r="B1142" s="17"/>
      <c r="C1142" s="2"/>
      <c r="D1142" s="2"/>
      <c r="E1142" s="2"/>
      <c r="F1142" s="2"/>
      <c r="G1142" s="2"/>
      <c r="H1142" s="2"/>
      <c r="I1142" s="5"/>
    </row>
    <row r="1143" spans="1:9" ht="17.399999999999999" x14ac:dyDescent="0.25">
      <c r="A1143" s="16"/>
      <c r="B1143" s="17"/>
      <c r="C1143" s="2"/>
      <c r="D1143" s="2"/>
      <c r="E1143" s="2"/>
      <c r="F1143" s="2"/>
      <c r="G1143" s="2"/>
      <c r="H1143" s="2"/>
      <c r="I1143" s="5"/>
    </row>
    <row r="1144" spans="1:9" ht="17.399999999999999" x14ac:dyDescent="0.25">
      <c r="A1144" s="16"/>
      <c r="B1144" s="17"/>
      <c r="C1144" s="2"/>
      <c r="D1144" s="2"/>
      <c r="E1144" s="2"/>
      <c r="F1144" s="2"/>
      <c r="G1144" s="2"/>
      <c r="H1144" s="2"/>
      <c r="I1144" s="5"/>
    </row>
    <row r="1145" spans="1:9" ht="17.399999999999999" x14ac:dyDescent="0.25">
      <c r="A1145" s="16"/>
      <c r="B1145" s="17"/>
      <c r="C1145" s="2"/>
      <c r="D1145" s="2"/>
      <c r="E1145" s="2"/>
      <c r="F1145" s="2"/>
      <c r="G1145" s="2"/>
      <c r="H1145" s="2"/>
      <c r="I1145" s="5"/>
    </row>
    <row r="1146" spans="1:9" ht="17.399999999999999" x14ac:dyDescent="0.25">
      <c r="A1146" s="16"/>
      <c r="B1146" s="17"/>
      <c r="C1146" s="2"/>
      <c r="D1146" s="2"/>
      <c r="E1146" s="2"/>
      <c r="F1146" s="2"/>
      <c r="G1146" s="2"/>
      <c r="H1146" s="2"/>
      <c r="I1146" s="5"/>
    </row>
    <row r="1147" spans="1:9" ht="17.399999999999999" x14ac:dyDescent="0.25">
      <c r="A1147" s="16"/>
      <c r="B1147" s="17"/>
      <c r="C1147" s="2"/>
      <c r="D1147" s="2"/>
      <c r="E1147" s="2"/>
      <c r="F1147" s="2"/>
      <c r="G1147" s="2"/>
      <c r="H1147" s="2"/>
      <c r="I1147" s="5"/>
    </row>
    <row r="1148" spans="1:9" ht="17.399999999999999" x14ac:dyDescent="0.25">
      <c r="A1148" s="16"/>
      <c r="B1148" s="17"/>
      <c r="C1148" s="2"/>
      <c r="D1148" s="2"/>
      <c r="E1148" s="2"/>
      <c r="F1148" s="2"/>
      <c r="G1148" s="2"/>
      <c r="H1148" s="2"/>
      <c r="I1148" s="5"/>
    </row>
    <row r="1149" spans="1:9" ht="17.399999999999999" x14ac:dyDescent="0.25">
      <c r="A1149" s="16"/>
      <c r="B1149" s="17"/>
      <c r="C1149" s="2"/>
      <c r="D1149" s="2"/>
      <c r="E1149" s="2"/>
      <c r="F1149" s="2"/>
      <c r="G1149" s="2"/>
      <c r="H1149" s="2"/>
      <c r="I1149" s="5"/>
    </row>
    <row r="1150" spans="1:9" ht="17.399999999999999" x14ac:dyDescent="0.25">
      <c r="A1150" s="16"/>
      <c r="B1150" s="17"/>
      <c r="C1150" s="2"/>
      <c r="D1150" s="2"/>
      <c r="E1150" s="2"/>
      <c r="F1150" s="2"/>
      <c r="G1150" s="2"/>
      <c r="H1150" s="2"/>
      <c r="I1150" s="5"/>
    </row>
    <row r="1151" spans="1:9" ht="17.399999999999999" x14ac:dyDescent="0.25">
      <c r="A1151" s="16"/>
      <c r="B1151" s="17"/>
      <c r="C1151" s="2"/>
      <c r="D1151" s="2"/>
      <c r="E1151" s="2"/>
      <c r="F1151" s="2"/>
      <c r="G1151" s="2"/>
      <c r="H1151" s="2"/>
      <c r="I1151" s="5"/>
    </row>
    <row r="1152" spans="1:9" ht="17.399999999999999" x14ac:dyDescent="0.25">
      <c r="A1152" s="16"/>
      <c r="B1152" s="17"/>
      <c r="C1152" s="2"/>
      <c r="D1152" s="2"/>
      <c r="E1152" s="2"/>
      <c r="F1152" s="2"/>
      <c r="G1152" s="2"/>
      <c r="H1152" s="2"/>
      <c r="I1152" s="5"/>
    </row>
    <row r="1153" spans="1:9" ht="17.399999999999999" x14ac:dyDescent="0.25">
      <c r="A1153" s="16"/>
      <c r="B1153" s="17"/>
      <c r="C1153" s="2"/>
      <c r="D1153" s="2"/>
      <c r="E1153" s="2"/>
      <c r="F1153" s="2"/>
      <c r="G1153" s="2"/>
      <c r="H1153" s="2"/>
      <c r="I1153" s="5"/>
    </row>
    <row r="1154" spans="1:9" ht="17.399999999999999" x14ac:dyDescent="0.25">
      <c r="A1154" s="16"/>
      <c r="B1154" s="17"/>
      <c r="C1154" s="2"/>
      <c r="D1154" s="2"/>
      <c r="E1154" s="2"/>
      <c r="F1154" s="2"/>
      <c r="G1154" s="2"/>
      <c r="H1154" s="2"/>
      <c r="I1154" s="5"/>
    </row>
    <row r="1155" spans="1:9" ht="17.399999999999999" x14ac:dyDescent="0.25">
      <c r="A1155" s="16"/>
      <c r="B1155" s="17"/>
      <c r="C1155" s="2"/>
      <c r="D1155" s="2"/>
      <c r="E1155" s="2"/>
      <c r="F1155" s="2"/>
      <c r="G1155" s="2"/>
      <c r="H1155" s="2"/>
      <c r="I1155" s="5"/>
    </row>
    <row r="1156" spans="1:9" ht="17.399999999999999" x14ac:dyDescent="0.25">
      <c r="A1156" s="16"/>
      <c r="B1156" s="17"/>
      <c r="C1156" s="2"/>
      <c r="D1156" s="2"/>
      <c r="E1156" s="2"/>
      <c r="F1156" s="2"/>
      <c r="G1156" s="2"/>
      <c r="H1156" s="2"/>
      <c r="I1156" s="5"/>
    </row>
    <row r="1157" spans="1:9" ht="17.399999999999999" x14ac:dyDescent="0.25">
      <c r="A1157" s="16"/>
      <c r="B1157" s="17"/>
      <c r="C1157" s="2"/>
      <c r="D1157" s="2"/>
      <c r="E1157" s="2"/>
      <c r="F1157" s="2"/>
      <c r="G1157" s="2"/>
      <c r="H1157" s="2"/>
      <c r="I1157" s="5"/>
    </row>
    <row r="1158" spans="1:9" ht="17.399999999999999" x14ac:dyDescent="0.25">
      <c r="A1158" s="16"/>
      <c r="B1158" s="17"/>
      <c r="C1158" s="2"/>
      <c r="D1158" s="2"/>
      <c r="E1158" s="2"/>
      <c r="F1158" s="2"/>
      <c r="G1158" s="2"/>
      <c r="H1158" s="2"/>
      <c r="I1158" s="5"/>
    </row>
    <row r="1159" spans="1:9" ht="17.399999999999999" x14ac:dyDescent="0.25">
      <c r="A1159" s="16"/>
      <c r="B1159" s="17"/>
      <c r="C1159" s="2"/>
      <c r="D1159" s="2"/>
      <c r="E1159" s="2"/>
      <c r="F1159" s="2"/>
      <c r="G1159" s="2"/>
      <c r="H1159" s="2"/>
      <c r="I1159" s="5"/>
    </row>
    <row r="1160" spans="1:9" ht="17.399999999999999" x14ac:dyDescent="0.25">
      <c r="A1160" s="16"/>
      <c r="B1160" s="17"/>
      <c r="C1160" s="2"/>
      <c r="D1160" s="2"/>
      <c r="E1160" s="2"/>
      <c r="F1160" s="2"/>
      <c r="G1160" s="2"/>
      <c r="H1160" s="2"/>
      <c r="I1160" s="5"/>
    </row>
    <row r="1161" spans="1:9" ht="17.399999999999999" x14ac:dyDescent="0.25">
      <c r="A1161" s="16"/>
      <c r="B1161" s="17"/>
      <c r="C1161" s="2"/>
      <c r="D1161" s="2"/>
      <c r="E1161" s="2"/>
      <c r="F1161" s="2"/>
      <c r="G1161" s="2"/>
      <c r="H1161" s="2"/>
      <c r="I1161" s="5"/>
    </row>
    <row r="1162" spans="1:9" ht="17.399999999999999" x14ac:dyDescent="0.25">
      <c r="A1162" s="16"/>
      <c r="B1162" s="17"/>
      <c r="C1162" s="2"/>
      <c r="D1162" s="2"/>
      <c r="E1162" s="2"/>
      <c r="F1162" s="2"/>
      <c r="G1162" s="2"/>
      <c r="H1162" s="2"/>
      <c r="I1162" s="5"/>
    </row>
    <row r="1163" spans="1:9" ht="17.399999999999999" x14ac:dyDescent="0.25">
      <c r="A1163" s="16"/>
      <c r="B1163" s="17"/>
      <c r="C1163" s="2"/>
      <c r="D1163" s="2"/>
      <c r="E1163" s="2"/>
      <c r="F1163" s="2"/>
      <c r="G1163" s="2"/>
      <c r="H1163" s="2"/>
      <c r="I1163" s="5"/>
    </row>
    <row r="1164" spans="1:9" ht="17.399999999999999" x14ac:dyDescent="0.25">
      <c r="A1164" s="16"/>
      <c r="B1164" s="17"/>
      <c r="C1164" s="2"/>
      <c r="D1164" s="2"/>
      <c r="E1164" s="2"/>
      <c r="F1164" s="2"/>
      <c r="G1164" s="2"/>
      <c r="H1164" s="2"/>
      <c r="I1164" s="5"/>
    </row>
    <row r="1165" spans="1:9" ht="17.399999999999999" x14ac:dyDescent="0.25">
      <c r="A1165" s="16"/>
      <c r="B1165" s="17"/>
      <c r="C1165" s="2"/>
      <c r="D1165" s="2"/>
      <c r="E1165" s="2"/>
      <c r="F1165" s="2"/>
      <c r="G1165" s="2"/>
      <c r="H1165" s="2"/>
      <c r="I1165" s="5"/>
    </row>
    <row r="1166" spans="1:9" ht="17.399999999999999" x14ac:dyDescent="0.25">
      <c r="A1166" s="16"/>
      <c r="B1166" s="17"/>
      <c r="C1166" s="2"/>
      <c r="D1166" s="2"/>
      <c r="E1166" s="2"/>
      <c r="F1166" s="2"/>
      <c r="G1166" s="2"/>
      <c r="H1166" s="2"/>
      <c r="I1166" s="5"/>
    </row>
    <row r="1167" spans="1:9" ht="17.399999999999999" x14ac:dyDescent="0.25">
      <c r="A1167" s="16"/>
      <c r="B1167" s="17"/>
      <c r="C1167" s="2"/>
      <c r="D1167" s="2"/>
      <c r="E1167" s="2"/>
      <c r="F1167" s="2"/>
      <c r="G1167" s="2"/>
      <c r="H1167" s="2"/>
      <c r="I1167" s="5"/>
    </row>
    <row r="1168" spans="1:9" ht="17.399999999999999" x14ac:dyDescent="0.25">
      <c r="A1168" s="16"/>
      <c r="B1168" s="17"/>
      <c r="C1168" s="2"/>
      <c r="D1168" s="2"/>
      <c r="E1168" s="2"/>
      <c r="F1168" s="2"/>
      <c r="G1168" s="2"/>
      <c r="H1168" s="2"/>
      <c r="I1168" s="5"/>
    </row>
    <row r="1169" spans="1:9" ht="17.399999999999999" x14ac:dyDescent="0.25">
      <c r="A1169" s="16"/>
      <c r="B1169" s="17"/>
      <c r="C1169" s="2"/>
      <c r="D1169" s="2"/>
      <c r="E1169" s="2"/>
      <c r="F1169" s="2"/>
      <c r="G1169" s="2"/>
      <c r="H1169" s="2"/>
      <c r="I1169" s="5"/>
    </row>
    <row r="1170" spans="1:9" ht="17.399999999999999" x14ac:dyDescent="0.25">
      <c r="A1170" s="16"/>
      <c r="B1170" s="17"/>
      <c r="C1170" s="2"/>
      <c r="D1170" s="2"/>
      <c r="E1170" s="2"/>
      <c r="F1170" s="2"/>
      <c r="G1170" s="2"/>
      <c r="H1170" s="2"/>
      <c r="I1170" s="5"/>
    </row>
    <row r="1171" spans="1:9" ht="17.399999999999999" x14ac:dyDescent="0.25">
      <c r="A1171" s="16"/>
      <c r="B1171" s="17"/>
      <c r="C1171" s="2"/>
      <c r="D1171" s="2"/>
      <c r="E1171" s="2"/>
      <c r="F1171" s="2"/>
      <c r="G1171" s="2"/>
      <c r="H1171" s="2"/>
      <c r="I1171" s="5"/>
    </row>
    <row r="1172" spans="1:9" ht="17.399999999999999" x14ac:dyDescent="0.25">
      <c r="A1172" s="16"/>
      <c r="B1172" s="17"/>
      <c r="C1172" s="2"/>
      <c r="D1172" s="2"/>
      <c r="E1172" s="2"/>
      <c r="F1172" s="2"/>
      <c r="G1172" s="2"/>
      <c r="H1172" s="2"/>
      <c r="I1172" s="5"/>
    </row>
    <row r="1173" spans="1:9" ht="17.399999999999999" x14ac:dyDescent="0.25">
      <c r="A1173" s="16"/>
      <c r="B1173" s="17"/>
      <c r="C1173" s="2"/>
      <c r="D1173" s="2"/>
      <c r="E1173" s="2"/>
      <c r="F1173" s="2"/>
      <c r="G1173" s="2"/>
      <c r="H1173" s="2"/>
      <c r="I1173" s="5"/>
    </row>
    <row r="1174" spans="1:9" ht="17.399999999999999" x14ac:dyDescent="0.25">
      <c r="A1174" s="16"/>
      <c r="B1174" s="17"/>
      <c r="C1174" s="2"/>
      <c r="D1174" s="2"/>
      <c r="E1174" s="2"/>
      <c r="F1174" s="2"/>
      <c r="G1174" s="2"/>
      <c r="H1174" s="2"/>
      <c r="I1174" s="5"/>
    </row>
    <row r="1175" spans="1:9" ht="17.399999999999999" x14ac:dyDescent="0.25">
      <c r="A1175" s="16"/>
      <c r="B1175" s="17"/>
      <c r="C1175" s="2"/>
      <c r="D1175" s="2"/>
      <c r="E1175" s="2"/>
      <c r="F1175" s="2"/>
      <c r="G1175" s="2"/>
      <c r="H1175" s="2"/>
      <c r="I1175" s="5"/>
    </row>
    <row r="1176" spans="1:9" ht="17.399999999999999" x14ac:dyDescent="0.25">
      <c r="A1176" s="16"/>
      <c r="B1176" s="17"/>
      <c r="C1176" s="2"/>
      <c r="D1176" s="2"/>
      <c r="E1176" s="2"/>
      <c r="F1176" s="2"/>
      <c r="G1176" s="2"/>
      <c r="H1176" s="2"/>
      <c r="I1176" s="5"/>
    </row>
    <row r="1177" spans="1:9" ht="17.399999999999999" x14ac:dyDescent="0.25">
      <c r="A1177" s="16"/>
      <c r="B1177" s="17"/>
      <c r="C1177" s="2"/>
      <c r="D1177" s="2"/>
      <c r="E1177" s="2"/>
      <c r="F1177" s="2"/>
      <c r="G1177" s="2"/>
      <c r="H1177" s="2"/>
      <c r="I1177" s="5"/>
    </row>
    <row r="1178" spans="1:9" ht="17.399999999999999" x14ac:dyDescent="0.25">
      <c r="A1178" s="16"/>
      <c r="B1178" s="17"/>
      <c r="C1178" s="2"/>
      <c r="D1178" s="2"/>
      <c r="E1178" s="2"/>
      <c r="F1178" s="2"/>
      <c r="G1178" s="2"/>
      <c r="H1178" s="2"/>
      <c r="I1178" s="5"/>
    </row>
    <row r="1179" spans="1:9" ht="17.399999999999999" x14ac:dyDescent="0.25">
      <c r="A1179" s="16"/>
      <c r="B1179" s="17"/>
      <c r="C1179" s="2"/>
      <c r="D1179" s="2"/>
      <c r="E1179" s="2"/>
      <c r="F1179" s="2"/>
      <c r="G1179" s="2"/>
      <c r="H1179" s="2"/>
      <c r="I1179" s="5"/>
    </row>
    <row r="1180" spans="1:9" ht="17.399999999999999" x14ac:dyDescent="0.25">
      <c r="A1180" s="16"/>
      <c r="B1180" s="17"/>
      <c r="C1180" s="2"/>
      <c r="D1180" s="2"/>
      <c r="E1180" s="2"/>
      <c r="F1180" s="2"/>
      <c r="G1180" s="2"/>
      <c r="H1180" s="2"/>
      <c r="I1180" s="5"/>
    </row>
    <row r="1181" spans="1:9" ht="17.399999999999999" x14ac:dyDescent="0.25">
      <c r="A1181" s="16"/>
      <c r="B1181" s="17"/>
      <c r="C1181" s="2"/>
      <c r="D1181" s="2"/>
      <c r="E1181" s="2"/>
      <c r="F1181" s="2"/>
      <c r="G1181" s="2"/>
      <c r="H1181" s="2"/>
      <c r="I1181" s="5"/>
    </row>
    <row r="1182" spans="1:9" ht="17.399999999999999" x14ac:dyDescent="0.25">
      <c r="A1182" s="16"/>
      <c r="B1182" s="17"/>
      <c r="C1182" s="2"/>
      <c r="D1182" s="2"/>
      <c r="E1182" s="2"/>
      <c r="F1182" s="2"/>
      <c r="G1182" s="2"/>
      <c r="H1182" s="2"/>
      <c r="I1182" s="5"/>
    </row>
    <row r="1183" spans="1:9" ht="17.399999999999999" x14ac:dyDescent="0.25">
      <c r="A1183" s="16"/>
      <c r="B1183" s="17"/>
      <c r="C1183" s="2"/>
      <c r="D1183" s="2"/>
      <c r="E1183" s="2"/>
      <c r="F1183" s="2"/>
      <c r="G1183" s="2"/>
      <c r="H1183" s="2"/>
      <c r="I1183" s="5"/>
    </row>
    <row r="1184" spans="1:9" ht="17.399999999999999" x14ac:dyDescent="0.25">
      <c r="A1184" s="16"/>
      <c r="B1184" s="17"/>
      <c r="C1184" s="2"/>
      <c r="D1184" s="2"/>
      <c r="E1184" s="2"/>
      <c r="F1184" s="2"/>
      <c r="G1184" s="2"/>
      <c r="H1184" s="2"/>
      <c r="I1184" s="5"/>
    </row>
    <row r="1185" spans="1:9" ht="17.399999999999999" x14ac:dyDescent="0.25">
      <c r="A1185" s="16"/>
      <c r="B1185" s="17"/>
      <c r="C1185" s="2"/>
      <c r="D1185" s="2"/>
      <c r="E1185" s="2"/>
      <c r="F1185" s="2"/>
      <c r="G1185" s="2"/>
      <c r="H1185" s="2"/>
      <c r="I1185" s="5"/>
    </row>
    <row r="1186" spans="1:9" ht="17.399999999999999" x14ac:dyDescent="0.25">
      <c r="A1186" s="16"/>
      <c r="B1186" s="17"/>
      <c r="C1186" s="2"/>
      <c r="D1186" s="2"/>
      <c r="E1186" s="2"/>
      <c r="F1186" s="2"/>
      <c r="G1186" s="2"/>
      <c r="H1186" s="2"/>
      <c r="I1186" s="5"/>
    </row>
    <row r="1187" spans="1:9" ht="17.399999999999999" x14ac:dyDescent="0.25">
      <c r="A1187" s="16"/>
      <c r="B1187" s="17"/>
      <c r="C1187" s="2"/>
      <c r="D1187" s="2"/>
      <c r="E1187" s="2"/>
      <c r="F1187" s="2"/>
      <c r="G1187" s="2"/>
      <c r="H1187" s="2"/>
      <c r="I1187" s="5"/>
    </row>
    <row r="1188" spans="1:9" ht="17.399999999999999" x14ac:dyDescent="0.25">
      <c r="A1188" s="16"/>
      <c r="B1188" s="17"/>
      <c r="C1188" s="2"/>
      <c r="D1188" s="2"/>
      <c r="E1188" s="2"/>
      <c r="F1188" s="2"/>
      <c r="G1188" s="2"/>
      <c r="H1188" s="2"/>
      <c r="I1188" s="5"/>
    </row>
    <row r="1189" spans="1:9" ht="17.399999999999999" x14ac:dyDescent="0.25">
      <c r="A1189" s="16"/>
      <c r="B1189" s="17"/>
      <c r="C1189" s="2"/>
      <c r="D1189" s="2"/>
      <c r="E1189" s="2"/>
      <c r="F1189" s="2"/>
      <c r="G1189" s="2"/>
      <c r="H1189" s="2"/>
      <c r="I1189" s="5"/>
    </row>
    <row r="1190" spans="1:9" ht="17.399999999999999" x14ac:dyDescent="0.25">
      <c r="A1190" s="16"/>
      <c r="B1190" s="17"/>
      <c r="C1190" s="2"/>
      <c r="D1190" s="2"/>
      <c r="E1190" s="2"/>
      <c r="F1190" s="2"/>
      <c r="G1190" s="2"/>
      <c r="H1190" s="2"/>
      <c r="I1190" s="5"/>
    </row>
    <row r="1191" spans="1:9" ht="17.399999999999999" x14ac:dyDescent="0.25">
      <c r="A1191" s="16"/>
      <c r="B1191" s="17"/>
      <c r="C1191" s="2"/>
      <c r="D1191" s="2"/>
      <c r="E1191" s="2"/>
      <c r="F1191" s="2"/>
      <c r="G1191" s="2"/>
      <c r="H1191" s="2"/>
      <c r="I1191" s="5"/>
    </row>
    <row r="1192" spans="1:9" ht="17.399999999999999" x14ac:dyDescent="0.25">
      <c r="A1192" s="16"/>
      <c r="B1192" s="17"/>
      <c r="C1192" s="2"/>
      <c r="D1192" s="2"/>
      <c r="E1192" s="2"/>
      <c r="F1192" s="2"/>
      <c r="G1192" s="2"/>
      <c r="H1192" s="2"/>
      <c r="I1192" s="5"/>
    </row>
    <row r="1193" spans="1:9" ht="17.399999999999999" x14ac:dyDescent="0.25">
      <c r="A1193" s="16"/>
      <c r="B1193" s="17"/>
      <c r="C1193" s="2"/>
      <c r="D1193" s="2"/>
      <c r="E1193" s="2"/>
      <c r="F1193" s="2"/>
      <c r="G1193" s="2"/>
      <c r="H1193" s="2"/>
      <c r="I1193" s="5"/>
    </row>
    <row r="1194" spans="1:9" ht="17.399999999999999" x14ac:dyDescent="0.25">
      <c r="A1194" s="16"/>
      <c r="B1194" s="17"/>
      <c r="C1194" s="2"/>
      <c r="D1194" s="2"/>
      <c r="E1194" s="2"/>
      <c r="F1194" s="2"/>
      <c r="G1194" s="2"/>
      <c r="H1194" s="2"/>
      <c r="I1194" s="5"/>
    </row>
    <row r="1195" spans="1:9" ht="17.399999999999999" x14ac:dyDescent="0.25">
      <c r="A1195" s="16"/>
      <c r="B1195" s="17"/>
      <c r="C1195" s="2"/>
      <c r="D1195" s="2"/>
      <c r="E1195" s="2"/>
      <c r="F1195" s="2"/>
      <c r="G1195" s="2"/>
      <c r="H1195" s="2"/>
      <c r="I1195" s="5"/>
    </row>
    <row r="1196" spans="1:9" ht="17.399999999999999" x14ac:dyDescent="0.25">
      <c r="A1196" s="16"/>
      <c r="B1196" s="17"/>
      <c r="C1196" s="2"/>
      <c r="D1196" s="2"/>
      <c r="E1196" s="2"/>
      <c r="F1196" s="2"/>
      <c r="G1196" s="2"/>
      <c r="H1196" s="2"/>
      <c r="I1196" s="5"/>
    </row>
    <row r="1197" spans="1:9" ht="17.399999999999999" x14ac:dyDescent="0.25">
      <c r="A1197" s="16"/>
      <c r="B1197" s="17"/>
      <c r="C1197" s="2"/>
      <c r="D1197" s="2"/>
      <c r="E1197" s="2"/>
      <c r="F1197" s="2"/>
      <c r="G1197" s="2"/>
      <c r="H1197" s="2"/>
      <c r="I1197" s="5"/>
    </row>
    <row r="1198" spans="1:9" ht="17.399999999999999" x14ac:dyDescent="0.25">
      <c r="A1198" s="16"/>
      <c r="B1198" s="17"/>
      <c r="C1198" s="2"/>
      <c r="D1198" s="2"/>
      <c r="E1198" s="2"/>
      <c r="F1198" s="2"/>
      <c r="G1198" s="2"/>
      <c r="H1198" s="2"/>
      <c r="I1198" s="5"/>
    </row>
    <row r="1199" spans="1:9" ht="17.399999999999999" x14ac:dyDescent="0.25">
      <c r="A1199" s="16"/>
      <c r="B1199" s="17"/>
      <c r="C1199" s="2"/>
      <c r="D1199" s="2"/>
      <c r="E1199" s="2"/>
      <c r="F1199" s="2"/>
      <c r="G1199" s="2"/>
      <c r="H1199" s="2"/>
      <c r="I1199" s="5"/>
    </row>
    <row r="1200" spans="1:9" ht="17.399999999999999" x14ac:dyDescent="0.25">
      <c r="A1200" s="16"/>
      <c r="B1200" s="17"/>
      <c r="C1200" s="2"/>
      <c r="D1200" s="2"/>
      <c r="E1200" s="2"/>
      <c r="F1200" s="2"/>
      <c r="G1200" s="2"/>
      <c r="H1200" s="2"/>
      <c r="I1200" s="5"/>
    </row>
    <row r="1201" spans="1:9" ht="17.399999999999999" x14ac:dyDescent="0.25">
      <c r="A1201" s="16"/>
      <c r="B1201" s="17"/>
      <c r="C1201" s="2"/>
      <c r="D1201" s="2"/>
      <c r="E1201" s="2"/>
      <c r="F1201" s="2"/>
      <c r="G1201" s="2"/>
      <c r="H1201" s="2"/>
      <c r="I1201" s="5"/>
    </row>
    <row r="1202" spans="1:9" ht="17.399999999999999" x14ac:dyDescent="0.25">
      <c r="A1202" s="16"/>
      <c r="B1202" s="17"/>
      <c r="C1202" s="2"/>
      <c r="D1202" s="2"/>
      <c r="E1202" s="2"/>
      <c r="F1202" s="2"/>
      <c r="G1202" s="2"/>
      <c r="H1202" s="2"/>
      <c r="I1202" s="5"/>
    </row>
    <row r="1203" spans="1:9" ht="17.399999999999999" x14ac:dyDescent="0.25">
      <c r="A1203" s="16"/>
      <c r="B1203" s="17"/>
      <c r="C1203" s="2"/>
      <c r="D1203" s="2"/>
      <c r="E1203" s="2"/>
      <c r="F1203" s="2"/>
      <c r="G1203" s="2"/>
      <c r="H1203" s="2"/>
      <c r="I1203" s="5"/>
    </row>
    <row r="1204" spans="1:9" ht="17.399999999999999" x14ac:dyDescent="0.25">
      <c r="A1204" s="16"/>
      <c r="B1204" s="17"/>
      <c r="C1204" s="2"/>
      <c r="D1204" s="2"/>
      <c r="E1204" s="2"/>
      <c r="F1204" s="2"/>
      <c r="G1204" s="2"/>
      <c r="H1204" s="2"/>
      <c r="I1204" s="5"/>
    </row>
    <row r="1205" spans="1:9" ht="17.399999999999999" x14ac:dyDescent="0.25">
      <c r="A1205" s="16"/>
      <c r="B1205" s="17"/>
      <c r="C1205" s="2"/>
      <c r="D1205" s="2"/>
      <c r="E1205" s="2"/>
      <c r="F1205" s="2"/>
      <c r="G1205" s="2"/>
      <c r="H1205" s="2"/>
      <c r="I1205" s="5"/>
    </row>
    <row r="1206" spans="1:9" ht="17.399999999999999" x14ac:dyDescent="0.25">
      <c r="A1206" s="16"/>
      <c r="B1206" s="17"/>
      <c r="C1206" s="2"/>
      <c r="D1206" s="2"/>
      <c r="E1206" s="2"/>
      <c r="F1206" s="2"/>
      <c r="G1206" s="2"/>
      <c r="H1206" s="2"/>
      <c r="I1206" s="5"/>
    </row>
    <row r="1207" spans="1:9" ht="17.399999999999999" x14ac:dyDescent="0.25">
      <c r="A1207" s="16"/>
      <c r="B1207" s="17"/>
      <c r="C1207" s="2"/>
      <c r="D1207" s="2"/>
      <c r="E1207" s="2"/>
      <c r="F1207" s="2"/>
      <c r="G1207" s="2"/>
      <c r="H1207" s="2"/>
      <c r="I1207" s="5"/>
    </row>
    <row r="1208" spans="1:9" ht="17.399999999999999" x14ac:dyDescent="0.25">
      <c r="A1208" s="16"/>
      <c r="B1208" s="17"/>
      <c r="C1208" s="2"/>
      <c r="D1208" s="2"/>
      <c r="E1208" s="2"/>
      <c r="F1208" s="2"/>
      <c r="G1208" s="2"/>
      <c r="H1208" s="2"/>
      <c r="I1208" s="5"/>
    </row>
    <row r="1209" spans="1:9" ht="17.399999999999999" x14ac:dyDescent="0.25">
      <c r="A1209" s="16"/>
      <c r="B1209" s="17"/>
      <c r="C1209" s="2"/>
      <c r="D1209" s="2"/>
      <c r="E1209" s="2"/>
      <c r="F1209" s="2"/>
      <c r="G1209" s="2"/>
      <c r="H1209" s="2"/>
      <c r="I1209" s="5"/>
    </row>
    <row r="1210" spans="1:9" ht="17.399999999999999" x14ac:dyDescent="0.25">
      <c r="A1210" s="16"/>
      <c r="B1210" s="17"/>
      <c r="C1210" s="2"/>
      <c r="D1210" s="2"/>
      <c r="E1210" s="2"/>
      <c r="F1210" s="2"/>
      <c r="G1210" s="2"/>
      <c r="H1210" s="2"/>
      <c r="I1210" s="5"/>
    </row>
    <row r="1211" spans="1:9" ht="17.399999999999999" x14ac:dyDescent="0.25">
      <c r="A1211" s="16"/>
      <c r="B1211" s="17"/>
      <c r="C1211" s="2"/>
      <c r="D1211" s="2"/>
      <c r="E1211" s="2"/>
      <c r="F1211" s="2"/>
      <c r="G1211" s="2"/>
      <c r="H1211" s="2"/>
      <c r="I1211" s="5"/>
    </row>
    <row r="1212" spans="1:9" ht="17.399999999999999" x14ac:dyDescent="0.25">
      <c r="A1212" s="16"/>
      <c r="B1212" s="17"/>
      <c r="C1212" s="2"/>
      <c r="D1212" s="2"/>
      <c r="E1212" s="2"/>
      <c r="F1212" s="2"/>
      <c r="G1212" s="2"/>
      <c r="H1212" s="2"/>
      <c r="I1212" s="5"/>
    </row>
    <row r="1213" spans="1:9" ht="17.399999999999999" x14ac:dyDescent="0.25">
      <c r="A1213" s="16"/>
      <c r="B1213" s="17"/>
      <c r="C1213" s="2"/>
      <c r="D1213" s="2"/>
      <c r="E1213" s="2"/>
      <c r="F1213" s="2"/>
      <c r="G1213" s="2"/>
      <c r="H1213" s="2"/>
      <c r="I1213" s="5"/>
    </row>
    <row r="1214" spans="1:9" ht="17.399999999999999" x14ac:dyDescent="0.25">
      <c r="A1214" s="16"/>
      <c r="B1214" s="17"/>
      <c r="C1214" s="2"/>
      <c r="D1214" s="2"/>
      <c r="E1214" s="2"/>
      <c r="F1214" s="2"/>
      <c r="G1214" s="2"/>
      <c r="H1214" s="2"/>
      <c r="I1214" s="5"/>
    </row>
    <row r="1215" spans="1:9" ht="17.399999999999999" x14ac:dyDescent="0.25">
      <c r="A1215" s="16"/>
      <c r="B1215" s="17"/>
      <c r="C1215" s="2"/>
      <c r="D1215" s="2"/>
      <c r="E1215" s="2"/>
      <c r="F1215" s="2"/>
      <c r="G1215" s="2"/>
      <c r="H1215" s="2"/>
      <c r="I1215" s="5"/>
    </row>
    <row r="1216" spans="1:9" ht="17.399999999999999" x14ac:dyDescent="0.25">
      <c r="A1216" s="16"/>
      <c r="B1216" s="17"/>
      <c r="C1216" s="2"/>
      <c r="D1216" s="2"/>
      <c r="E1216" s="2"/>
      <c r="F1216" s="2"/>
      <c r="G1216" s="2"/>
      <c r="H1216" s="2"/>
      <c r="I1216" s="5"/>
    </row>
    <row r="1217" spans="1:9" ht="17.399999999999999" x14ac:dyDescent="0.25">
      <c r="A1217" s="16"/>
      <c r="B1217" s="17"/>
      <c r="C1217" s="2"/>
      <c r="D1217" s="2"/>
      <c r="E1217" s="2"/>
      <c r="F1217" s="2"/>
      <c r="G1217" s="2"/>
      <c r="H1217" s="2"/>
      <c r="I1217" s="5"/>
    </row>
    <row r="1218" spans="1:9" ht="17.399999999999999" x14ac:dyDescent="0.25">
      <c r="A1218" s="16"/>
      <c r="B1218" s="17"/>
      <c r="C1218" s="2"/>
      <c r="D1218" s="2"/>
      <c r="E1218" s="2"/>
      <c r="F1218" s="2"/>
      <c r="G1218" s="2"/>
      <c r="H1218" s="2"/>
      <c r="I1218" s="5"/>
    </row>
    <row r="1219" spans="1:9" ht="17.399999999999999" x14ac:dyDescent="0.25">
      <c r="A1219" s="16"/>
      <c r="B1219" s="17"/>
      <c r="C1219" s="2"/>
      <c r="D1219" s="2"/>
      <c r="E1219" s="2"/>
      <c r="F1219" s="2"/>
      <c r="G1219" s="2"/>
      <c r="H1219" s="2"/>
      <c r="I1219" s="5"/>
    </row>
    <row r="1220" spans="1:9" ht="17.399999999999999" x14ac:dyDescent="0.25">
      <c r="A1220" s="16"/>
      <c r="B1220" s="17"/>
      <c r="C1220" s="2"/>
      <c r="D1220" s="2"/>
      <c r="E1220" s="2"/>
      <c r="F1220" s="2"/>
      <c r="G1220" s="2"/>
      <c r="H1220" s="2"/>
      <c r="I1220" s="5"/>
    </row>
    <row r="1221" spans="1:9" ht="17.399999999999999" x14ac:dyDescent="0.25">
      <c r="A1221" s="16"/>
      <c r="B1221" s="17"/>
      <c r="C1221" s="2"/>
      <c r="D1221" s="2"/>
      <c r="E1221" s="2"/>
      <c r="F1221" s="2"/>
      <c r="G1221" s="2"/>
      <c r="H1221" s="2"/>
      <c r="I1221" s="5"/>
    </row>
    <row r="1222" spans="1:9" ht="17.399999999999999" x14ac:dyDescent="0.25">
      <c r="A1222" s="16"/>
      <c r="B1222" s="17"/>
      <c r="C1222" s="2"/>
      <c r="D1222" s="2"/>
      <c r="E1222" s="2"/>
      <c r="F1222" s="2"/>
      <c r="G1222" s="2"/>
      <c r="H1222" s="2"/>
      <c r="I1222" s="5"/>
    </row>
    <row r="1223" spans="1:9" ht="17.399999999999999" x14ac:dyDescent="0.25">
      <c r="A1223" s="16"/>
      <c r="B1223" s="17"/>
      <c r="C1223" s="2"/>
      <c r="D1223" s="2"/>
      <c r="E1223" s="2"/>
      <c r="F1223" s="2"/>
      <c r="G1223" s="2"/>
      <c r="H1223" s="2"/>
      <c r="I1223" s="5"/>
    </row>
    <row r="1224" spans="1:9" ht="17.399999999999999" x14ac:dyDescent="0.25">
      <c r="A1224" s="16"/>
      <c r="B1224" s="17"/>
      <c r="C1224" s="2"/>
      <c r="D1224" s="2"/>
      <c r="E1224" s="2"/>
      <c r="F1224" s="2"/>
      <c r="G1224" s="2"/>
      <c r="H1224" s="2"/>
      <c r="I1224" s="5"/>
    </row>
    <row r="1225" spans="1:9" ht="17.399999999999999" x14ac:dyDescent="0.25">
      <c r="A1225" s="16"/>
      <c r="B1225" s="17"/>
      <c r="C1225" s="2"/>
      <c r="D1225" s="2"/>
      <c r="E1225" s="2"/>
      <c r="F1225" s="2"/>
      <c r="G1225" s="2"/>
      <c r="H1225" s="2"/>
      <c r="I1225" s="5"/>
    </row>
    <row r="1226" spans="1:9" ht="17.399999999999999" x14ac:dyDescent="0.25">
      <c r="A1226" s="16"/>
      <c r="B1226" s="17"/>
      <c r="C1226" s="2"/>
      <c r="D1226" s="2"/>
      <c r="E1226" s="2"/>
      <c r="F1226" s="2"/>
      <c r="G1226" s="2"/>
      <c r="H1226" s="2"/>
      <c r="I1226" s="5"/>
    </row>
    <row r="1227" spans="1:9" ht="17.399999999999999" x14ac:dyDescent="0.25">
      <c r="A1227" s="16"/>
      <c r="B1227" s="17"/>
      <c r="C1227" s="2"/>
      <c r="D1227" s="2"/>
      <c r="E1227" s="2"/>
      <c r="F1227" s="2"/>
      <c r="G1227" s="2"/>
      <c r="H1227" s="2"/>
      <c r="I1227" s="5"/>
    </row>
    <row r="1228" spans="1:9" ht="17.399999999999999" x14ac:dyDescent="0.25">
      <c r="A1228" s="16"/>
      <c r="B1228" s="17"/>
      <c r="C1228" s="2"/>
      <c r="D1228" s="2"/>
      <c r="E1228" s="2"/>
      <c r="F1228" s="2"/>
      <c r="G1228" s="2"/>
      <c r="H1228" s="2"/>
      <c r="I1228" s="5"/>
    </row>
    <row r="1229" spans="1:9" ht="17.399999999999999" x14ac:dyDescent="0.25">
      <c r="A1229" s="16"/>
      <c r="B1229" s="17"/>
      <c r="C1229" s="2"/>
      <c r="D1229" s="2"/>
      <c r="E1229" s="2"/>
      <c r="F1229" s="2"/>
      <c r="G1229" s="2"/>
      <c r="H1229" s="2"/>
      <c r="I1229" s="5"/>
    </row>
    <row r="1230" spans="1:9" ht="17.399999999999999" x14ac:dyDescent="0.25">
      <c r="A1230" s="16"/>
      <c r="B1230" s="17"/>
      <c r="C1230" s="2"/>
      <c r="D1230" s="2"/>
      <c r="E1230" s="2"/>
      <c r="F1230" s="2"/>
      <c r="G1230" s="2"/>
      <c r="H1230" s="2"/>
      <c r="I1230" s="5"/>
    </row>
    <row r="1231" spans="1:9" ht="17.399999999999999" x14ac:dyDescent="0.25">
      <c r="A1231" s="16"/>
      <c r="B1231" s="17"/>
      <c r="C1231" s="2"/>
      <c r="D1231" s="2"/>
      <c r="E1231" s="2"/>
      <c r="F1231" s="2"/>
      <c r="G1231" s="2"/>
      <c r="H1231" s="2"/>
      <c r="I1231" s="5"/>
    </row>
    <row r="1232" spans="1:9" ht="17.399999999999999" x14ac:dyDescent="0.25">
      <c r="A1232" s="16"/>
      <c r="B1232" s="17"/>
      <c r="C1232" s="2"/>
      <c r="D1232" s="2"/>
      <c r="E1232" s="2"/>
      <c r="F1232" s="2"/>
      <c r="G1232" s="2"/>
      <c r="H1232" s="2"/>
      <c r="I1232" s="5"/>
    </row>
    <row r="1233" spans="1:9" ht="17.399999999999999" x14ac:dyDescent="0.25">
      <c r="A1233" s="16"/>
      <c r="B1233" s="17"/>
      <c r="C1233" s="2"/>
      <c r="D1233" s="2"/>
      <c r="E1233" s="2"/>
      <c r="F1233" s="2"/>
      <c r="G1233" s="2"/>
      <c r="H1233" s="2"/>
      <c r="I1233" s="5"/>
    </row>
    <row r="1234" spans="1:9" ht="17.399999999999999" x14ac:dyDescent="0.25">
      <c r="A1234" s="16"/>
      <c r="B1234" s="17"/>
      <c r="C1234" s="2"/>
      <c r="D1234" s="2"/>
      <c r="E1234" s="2"/>
      <c r="F1234" s="2"/>
      <c r="G1234" s="2"/>
      <c r="H1234" s="2"/>
      <c r="I1234" s="5"/>
    </row>
    <row r="1235" spans="1:9" ht="17.399999999999999" x14ac:dyDescent="0.25">
      <c r="A1235" s="16"/>
      <c r="B1235" s="17"/>
      <c r="C1235" s="2"/>
      <c r="D1235" s="2"/>
      <c r="E1235" s="2"/>
      <c r="F1235" s="2"/>
      <c r="G1235" s="2"/>
      <c r="H1235" s="2"/>
      <c r="I1235" s="5"/>
    </row>
    <row r="1236" spans="1:9" ht="17.399999999999999" x14ac:dyDescent="0.25">
      <c r="A1236" s="16"/>
      <c r="B1236" s="17"/>
      <c r="C1236" s="2"/>
      <c r="D1236" s="2"/>
      <c r="E1236" s="2"/>
      <c r="F1236" s="2"/>
      <c r="G1236" s="2"/>
      <c r="H1236" s="2"/>
      <c r="I1236" s="5"/>
    </row>
    <row r="1237" spans="1:9" ht="17.399999999999999" x14ac:dyDescent="0.25">
      <c r="A1237" s="16"/>
      <c r="B1237" s="17"/>
      <c r="C1237" s="2"/>
      <c r="D1237" s="2"/>
      <c r="E1237" s="2"/>
      <c r="F1237" s="2"/>
      <c r="G1237" s="2"/>
      <c r="H1237" s="2"/>
      <c r="I1237" s="5"/>
    </row>
    <row r="1238" spans="1:9" ht="17.399999999999999" x14ac:dyDescent="0.25">
      <c r="A1238" s="16"/>
      <c r="B1238" s="17"/>
      <c r="C1238" s="2"/>
      <c r="D1238" s="2"/>
      <c r="E1238" s="2"/>
      <c r="F1238" s="2"/>
      <c r="G1238" s="2"/>
      <c r="H1238" s="2"/>
      <c r="I1238" s="5"/>
    </row>
    <row r="1239" spans="1:9" ht="17.399999999999999" x14ac:dyDescent="0.25">
      <c r="A1239" s="16"/>
      <c r="B1239" s="17"/>
      <c r="C1239" s="2"/>
      <c r="D1239" s="2"/>
      <c r="E1239" s="2"/>
      <c r="F1239" s="2"/>
      <c r="G1239" s="2"/>
      <c r="H1239" s="2"/>
      <c r="I1239" s="5"/>
    </row>
    <row r="1240" spans="1:9" ht="17.399999999999999" x14ac:dyDescent="0.25">
      <c r="A1240" s="16"/>
      <c r="B1240" s="17"/>
      <c r="C1240" s="2"/>
      <c r="D1240" s="2"/>
      <c r="E1240" s="2"/>
      <c r="F1240" s="2"/>
      <c r="G1240" s="2"/>
      <c r="H1240" s="2"/>
      <c r="I1240" s="5"/>
    </row>
    <row r="1241" spans="1:9" ht="17.399999999999999" x14ac:dyDescent="0.25">
      <c r="A1241" s="16"/>
      <c r="B1241" s="17"/>
      <c r="C1241" s="2"/>
      <c r="D1241" s="2"/>
      <c r="E1241" s="2"/>
      <c r="F1241" s="2"/>
      <c r="G1241" s="2"/>
      <c r="H1241" s="2"/>
      <c r="I1241" s="5"/>
    </row>
    <row r="1242" spans="1:9" ht="17.399999999999999" x14ac:dyDescent="0.25">
      <c r="A1242" s="16"/>
      <c r="B1242" s="17"/>
      <c r="C1242" s="2"/>
      <c r="D1242" s="2"/>
      <c r="E1242" s="2"/>
      <c r="F1242" s="2"/>
      <c r="G1242" s="2"/>
      <c r="H1242" s="2"/>
      <c r="I1242" s="5"/>
    </row>
    <row r="1243" spans="1:9" ht="17.399999999999999" x14ac:dyDescent="0.25">
      <c r="A1243" s="16"/>
      <c r="B1243" s="17"/>
      <c r="C1243" s="2"/>
      <c r="D1243" s="2"/>
      <c r="E1243" s="2"/>
      <c r="F1243" s="2"/>
      <c r="G1243" s="2"/>
      <c r="H1243" s="2"/>
      <c r="I1243" s="5"/>
    </row>
    <row r="1244" spans="1:9" ht="17.399999999999999" x14ac:dyDescent="0.25">
      <c r="A1244" s="16"/>
      <c r="B1244" s="17"/>
      <c r="C1244" s="2"/>
      <c r="D1244" s="2"/>
      <c r="E1244" s="2"/>
      <c r="F1244" s="2"/>
      <c r="G1244" s="2"/>
      <c r="H1244" s="2"/>
      <c r="I1244" s="5"/>
    </row>
    <row r="1245" spans="1:9" ht="17.399999999999999" x14ac:dyDescent="0.25">
      <c r="A1245" s="16"/>
      <c r="B1245" s="17"/>
      <c r="C1245" s="2"/>
      <c r="D1245" s="2"/>
      <c r="E1245" s="2"/>
      <c r="F1245" s="2"/>
      <c r="G1245" s="2"/>
      <c r="H1245" s="2"/>
      <c r="I1245" s="5"/>
    </row>
    <row r="1246" spans="1:9" ht="17.399999999999999" x14ac:dyDescent="0.25">
      <c r="A1246" s="16"/>
      <c r="B1246" s="17"/>
      <c r="C1246" s="2"/>
      <c r="D1246" s="2"/>
      <c r="E1246" s="2"/>
      <c r="F1246" s="2"/>
      <c r="G1246" s="2"/>
      <c r="H1246" s="2"/>
      <c r="I1246" s="5"/>
    </row>
    <row r="1247" spans="1:9" ht="17.399999999999999" x14ac:dyDescent="0.25">
      <c r="A1247" s="16"/>
      <c r="B1247" s="17"/>
      <c r="C1247" s="2"/>
      <c r="D1247" s="2"/>
      <c r="E1247" s="2"/>
      <c r="F1247" s="2"/>
      <c r="G1247" s="2"/>
      <c r="H1247" s="2"/>
      <c r="I1247" s="5"/>
    </row>
    <row r="1248" spans="1:9" ht="17.399999999999999" x14ac:dyDescent="0.25">
      <c r="A1248" s="16"/>
      <c r="B1248" s="17"/>
      <c r="C1248" s="2"/>
      <c r="D1248" s="2"/>
      <c r="E1248" s="2"/>
      <c r="F1248" s="2"/>
      <c r="G1248" s="2"/>
      <c r="H1248" s="2"/>
      <c r="I1248" s="5"/>
    </row>
    <row r="1249" spans="1:9" ht="17.399999999999999" x14ac:dyDescent="0.25">
      <c r="A1249" s="16"/>
      <c r="B1249" s="17"/>
      <c r="C1249" s="2"/>
      <c r="D1249" s="2"/>
      <c r="E1249" s="2"/>
      <c r="F1249" s="2"/>
      <c r="G1249" s="2"/>
      <c r="H1249" s="2"/>
      <c r="I1249" s="5"/>
    </row>
    <row r="1250" spans="1:9" ht="17.399999999999999" x14ac:dyDescent="0.25">
      <c r="A1250" s="16"/>
      <c r="B1250" s="17"/>
      <c r="C1250" s="2"/>
      <c r="D1250" s="2"/>
      <c r="E1250" s="2"/>
      <c r="F1250" s="2"/>
      <c r="G1250" s="2"/>
      <c r="H1250" s="2"/>
      <c r="I1250" s="5"/>
    </row>
    <row r="1251" spans="1:9" ht="17.399999999999999" x14ac:dyDescent="0.25">
      <c r="A1251" s="16"/>
      <c r="B1251" s="17"/>
      <c r="C1251" s="2"/>
      <c r="D1251" s="2"/>
      <c r="E1251" s="2"/>
      <c r="F1251" s="2"/>
      <c r="G1251" s="2"/>
      <c r="H1251" s="2"/>
      <c r="I1251" s="5"/>
    </row>
    <row r="1252" spans="1:9" ht="17.399999999999999" x14ac:dyDescent="0.25">
      <c r="A1252" s="16"/>
      <c r="B1252" s="17"/>
      <c r="C1252" s="2"/>
      <c r="D1252" s="2"/>
      <c r="E1252" s="2"/>
      <c r="F1252" s="2"/>
      <c r="G1252" s="2"/>
      <c r="H1252" s="2"/>
      <c r="I1252" s="5"/>
    </row>
    <row r="1253" spans="1:9" ht="17.399999999999999" x14ac:dyDescent="0.25">
      <c r="A1253" s="16"/>
      <c r="B1253" s="17"/>
      <c r="C1253" s="2"/>
      <c r="D1253" s="2"/>
      <c r="E1253" s="2"/>
      <c r="F1253" s="2"/>
      <c r="G1253" s="2"/>
      <c r="H1253" s="2"/>
      <c r="I1253" s="5"/>
    </row>
    <row r="1254" spans="1:9" ht="17.399999999999999" x14ac:dyDescent="0.25">
      <c r="A1254" s="16"/>
      <c r="B1254" s="17"/>
      <c r="C1254" s="2"/>
      <c r="D1254" s="2"/>
      <c r="E1254" s="2"/>
      <c r="F1254" s="2"/>
      <c r="G1254" s="2"/>
      <c r="H1254" s="2"/>
      <c r="I1254" s="5"/>
    </row>
    <row r="1255" spans="1:9" ht="17.399999999999999" x14ac:dyDescent="0.25">
      <c r="A1255" s="16"/>
      <c r="B1255" s="17"/>
      <c r="C1255" s="2"/>
      <c r="D1255" s="2"/>
      <c r="E1255" s="2"/>
      <c r="F1255" s="2"/>
      <c r="G1255" s="2"/>
      <c r="H1255" s="2"/>
      <c r="I1255" s="5"/>
    </row>
    <row r="1256" spans="1:9" ht="17.399999999999999" x14ac:dyDescent="0.25">
      <c r="A1256" s="16"/>
      <c r="B1256" s="17"/>
      <c r="C1256" s="2"/>
      <c r="D1256" s="2"/>
      <c r="E1256" s="2"/>
      <c r="F1256" s="2"/>
      <c r="G1256" s="2"/>
      <c r="H1256" s="2"/>
      <c r="I1256" s="5"/>
    </row>
    <row r="1257" spans="1:9" ht="17.399999999999999" x14ac:dyDescent="0.25">
      <c r="A1257" s="16"/>
      <c r="B1257" s="17"/>
      <c r="C1257" s="2"/>
      <c r="D1257" s="2"/>
      <c r="E1257" s="2"/>
      <c r="F1257" s="2"/>
      <c r="G1257" s="2"/>
      <c r="H1257" s="2"/>
      <c r="I1257" s="5"/>
    </row>
    <row r="1258" spans="1:9" ht="17.399999999999999" x14ac:dyDescent="0.25">
      <c r="A1258" s="16"/>
      <c r="B1258" s="17"/>
      <c r="C1258" s="2"/>
      <c r="D1258" s="2"/>
      <c r="E1258" s="2"/>
      <c r="F1258" s="2"/>
      <c r="G1258" s="2"/>
      <c r="H1258" s="2"/>
      <c r="I1258" s="5"/>
    </row>
    <row r="1259" spans="1:9" ht="17.399999999999999" x14ac:dyDescent="0.25">
      <c r="A1259" s="16"/>
      <c r="B1259" s="17"/>
      <c r="C1259" s="2"/>
      <c r="D1259" s="2"/>
      <c r="E1259" s="2"/>
      <c r="F1259" s="2"/>
      <c r="G1259" s="2"/>
      <c r="H1259" s="2"/>
      <c r="I1259" s="5"/>
    </row>
    <row r="1260" spans="1:9" ht="17.399999999999999" x14ac:dyDescent="0.25">
      <c r="A1260" s="16"/>
      <c r="B1260" s="17"/>
      <c r="C1260" s="2"/>
      <c r="D1260" s="2"/>
      <c r="E1260" s="2"/>
      <c r="F1260" s="2"/>
      <c r="G1260" s="2"/>
      <c r="H1260" s="2"/>
      <c r="I1260" s="5"/>
    </row>
    <row r="1261" spans="1:9" ht="17.399999999999999" x14ac:dyDescent="0.25">
      <c r="A1261" s="16"/>
      <c r="B1261" s="17"/>
      <c r="C1261" s="2"/>
      <c r="D1261" s="2"/>
      <c r="E1261" s="2"/>
      <c r="F1261" s="2"/>
      <c r="G1261" s="2"/>
      <c r="H1261" s="2"/>
      <c r="I1261" s="5"/>
    </row>
    <row r="1262" spans="1:9" ht="17.399999999999999" x14ac:dyDescent="0.25">
      <c r="A1262" s="16"/>
      <c r="B1262" s="17"/>
      <c r="C1262" s="2"/>
      <c r="D1262" s="2"/>
      <c r="E1262" s="2"/>
      <c r="F1262" s="2"/>
      <c r="G1262" s="2"/>
      <c r="H1262" s="2"/>
      <c r="I1262" s="5"/>
    </row>
    <row r="1263" spans="1:9" ht="17.399999999999999" x14ac:dyDescent="0.25">
      <c r="A1263" s="16"/>
      <c r="B1263" s="17"/>
      <c r="C1263" s="2"/>
      <c r="D1263" s="2"/>
      <c r="E1263" s="2"/>
      <c r="F1263" s="2"/>
      <c r="G1263" s="2"/>
      <c r="H1263" s="2"/>
      <c r="I1263" s="5"/>
    </row>
    <row r="1264" spans="1:9" ht="17.399999999999999" x14ac:dyDescent="0.25">
      <c r="A1264" s="16"/>
      <c r="B1264" s="17"/>
      <c r="C1264" s="2"/>
      <c r="D1264" s="2"/>
      <c r="E1264" s="2"/>
      <c r="F1264" s="2"/>
      <c r="G1264" s="2"/>
      <c r="H1264" s="2"/>
      <c r="I1264" s="5"/>
    </row>
    <row r="1265" spans="1:9" ht="17.399999999999999" x14ac:dyDescent="0.25">
      <c r="A1265" s="16"/>
      <c r="B1265" s="17"/>
      <c r="C1265" s="2"/>
      <c r="D1265" s="2"/>
      <c r="E1265" s="2"/>
      <c r="F1265" s="2"/>
      <c r="G1265" s="2"/>
      <c r="H1265" s="2"/>
      <c r="I1265" s="5"/>
    </row>
    <row r="1266" spans="1:9" ht="17.399999999999999" x14ac:dyDescent="0.25">
      <c r="A1266" s="16"/>
      <c r="B1266" s="17"/>
      <c r="C1266" s="2"/>
      <c r="D1266" s="2"/>
      <c r="E1266" s="2"/>
      <c r="F1266" s="2"/>
      <c r="G1266" s="2"/>
      <c r="H1266" s="2"/>
      <c r="I1266" s="5"/>
    </row>
    <row r="1267" spans="1:9" ht="17.399999999999999" x14ac:dyDescent="0.25">
      <c r="A1267" s="16"/>
      <c r="B1267" s="17"/>
      <c r="C1267" s="2"/>
      <c r="D1267" s="2"/>
      <c r="E1267" s="2"/>
      <c r="F1267" s="2"/>
      <c r="G1267" s="2"/>
      <c r="H1267" s="2"/>
      <c r="I1267" s="5"/>
    </row>
    <row r="1268" spans="1:9" ht="17.399999999999999" x14ac:dyDescent="0.25">
      <c r="A1268" s="16"/>
      <c r="B1268" s="17"/>
      <c r="C1268" s="2"/>
      <c r="D1268" s="2"/>
      <c r="E1268" s="2"/>
      <c r="F1268" s="2"/>
      <c r="G1268" s="2"/>
      <c r="H1268" s="2"/>
      <c r="I1268" s="5"/>
    </row>
    <row r="1269" spans="1:9" ht="17.399999999999999" x14ac:dyDescent="0.25">
      <c r="A1269" s="16"/>
      <c r="B1269" s="17"/>
      <c r="C1269" s="2"/>
      <c r="D1269" s="2"/>
      <c r="E1269" s="2"/>
      <c r="F1269" s="2"/>
      <c r="G1269" s="2"/>
      <c r="H1269" s="2"/>
      <c r="I1269" s="5"/>
    </row>
    <row r="1270" spans="1:9" ht="17.399999999999999" x14ac:dyDescent="0.25">
      <c r="A1270" s="16"/>
      <c r="B1270" s="17"/>
      <c r="C1270" s="2"/>
      <c r="D1270" s="2"/>
      <c r="E1270" s="2"/>
      <c r="F1270" s="2"/>
      <c r="G1270" s="2"/>
      <c r="H1270" s="2"/>
      <c r="I1270" s="5"/>
    </row>
    <row r="1271" spans="1:9" ht="17.399999999999999" x14ac:dyDescent="0.25">
      <c r="A1271" s="16"/>
      <c r="B1271" s="17"/>
      <c r="C1271" s="2"/>
      <c r="D1271" s="2"/>
      <c r="E1271" s="2"/>
      <c r="F1271" s="2"/>
      <c r="G1271" s="2"/>
      <c r="H1271" s="2"/>
      <c r="I1271" s="5"/>
    </row>
    <row r="1272" spans="1:9" ht="17.399999999999999" x14ac:dyDescent="0.25">
      <c r="A1272" s="16"/>
      <c r="B1272" s="17"/>
      <c r="C1272" s="2"/>
      <c r="D1272" s="2"/>
      <c r="E1272" s="2"/>
      <c r="F1272" s="2"/>
      <c r="G1272" s="2"/>
      <c r="H1272" s="2"/>
      <c r="I1272" s="5"/>
    </row>
    <row r="1273" spans="1:9" ht="17.399999999999999" x14ac:dyDescent="0.25">
      <c r="A1273" s="16"/>
      <c r="B1273" s="17"/>
      <c r="C1273" s="2"/>
      <c r="D1273" s="2"/>
      <c r="E1273" s="2"/>
      <c r="F1273" s="2"/>
      <c r="G1273" s="2"/>
      <c r="H1273" s="2"/>
      <c r="I1273" s="5"/>
    </row>
    <row r="1274" spans="1:9" ht="17.399999999999999" x14ac:dyDescent="0.25">
      <c r="A1274" s="16"/>
      <c r="B1274" s="17"/>
      <c r="C1274" s="2"/>
      <c r="D1274" s="2"/>
      <c r="E1274" s="2"/>
      <c r="F1274" s="2"/>
      <c r="G1274" s="2"/>
      <c r="H1274" s="2"/>
      <c r="I1274" s="5"/>
    </row>
    <row r="1275" spans="1:9" ht="17.399999999999999" x14ac:dyDescent="0.25">
      <c r="A1275" s="16"/>
      <c r="B1275" s="17"/>
      <c r="C1275" s="2"/>
      <c r="D1275" s="2"/>
      <c r="E1275" s="2"/>
      <c r="F1275" s="2"/>
      <c r="G1275" s="2"/>
      <c r="H1275" s="2"/>
      <c r="I1275" s="5"/>
    </row>
    <row r="1276" spans="1:9" ht="17.399999999999999" x14ac:dyDescent="0.25">
      <c r="A1276" s="16"/>
      <c r="B1276" s="17"/>
      <c r="C1276" s="2"/>
      <c r="D1276" s="2"/>
      <c r="E1276" s="2"/>
      <c r="F1276" s="2"/>
      <c r="G1276" s="2"/>
      <c r="H1276" s="2"/>
      <c r="I1276" s="5"/>
    </row>
    <row r="1277" spans="1:9" ht="17.399999999999999" x14ac:dyDescent="0.25">
      <c r="A1277" s="16"/>
      <c r="B1277" s="17"/>
      <c r="C1277" s="2"/>
      <c r="D1277" s="2"/>
      <c r="E1277" s="2"/>
      <c r="F1277" s="2"/>
      <c r="G1277" s="2"/>
      <c r="H1277" s="2"/>
      <c r="I1277" s="5"/>
    </row>
    <row r="1278" spans="1:9" ht="17.399999999999999" x14ac:dyDescent="0.25">
      <c r="A1278" s="16"/>
      <c r="B1278" s="17"/>
      <c r="C1278" s="2"/>
      <c r="D1278" s="2"/>
      <c r="E1278" s="2"/>
      <c r="F1278" s="2"/>
      <c r="G1278" s="2"/>
      <c r="H1278" s="2"/>
      <c r="I1278" s="5"/>
    </row>
    <row r="1279" spans="1:9" ht="17.399999999999999" x14ac:dyDescent="0.25">
      <c r="A1279" s="16"/>
      <c r="B1279" s="17"/>
      <c r="C1279" s="2"/>
      <c r="D1279" s="2"/>
      <c r="E1279" s="2"/>
      <c r="F1279" s="2"/>
      <c r="G1279" s="2"/>
      <c r="H1279" s="2"/>
      <c r="I1279" s="5"/>
    </row>
    <row r="1280" spans="1:9" ht="17.399999999999999" x14ac:dyDescent="0.25">
      <c r="A1280" s="16"/>
      <c r="B1280" s="17"/>
      <c r="C1280" s="2"/>
      <c r="D1280" s="2"/>
      <c r="E1280" s="2"/>
      <c r="F1280" s="2"/>
      <c r="G1280" s="2"/>
      <c r="H1280" s="2"/>
      <c r="I1280" s="5"/>
    </row>
    <row r="1281" spans="1:9" ht="17.399999999999999" x14ac:dyDescent="0.25">
      <c r="A1281" s="16"/>
      <c r="B1281" s="17"/>
      <c r="C1281" s="2"/>
      <c r="D1281" s="2"/>
      <c r="E1281" s="2"/>
      <c r="F1281" s="2"/>
      <c r="G1281" s="2"/>
      <c r="H1281" s="2"/>
      <c r="I1281" s="5"/>
    </row>
    <row r="1282" spans="1:9" ht="17.399999999999999" x14ac:dyDescent="0.25">
      <c r="A1282" s="16"/>
      <c r="B1282" s="17"/>
      <c r="C1282" s="2"/>
      <c r="D1282" s="2"/>
      <c r="E1282" s="2"/>
      <c r="F1282" s="2"/>
      <c r="G1282" s="2"/>
      <c r="H1282" s="2"/>
      <c r="I1282" s="5"/>
    </row>
    <row r="1283" spans="1:9" ht="17.399999999999999" x14ac:dyDescent="0.25">
      <c r="A1283" s="16"/>
      <c r="B1283" s="17"/>
      <c r="C1283" s="2"/>
      <c r="D1283" s="2"/>
      <c r="E1283" s="2"/>
      <c r="F1283" s="2"/>
      <c r="G1283" s="2"/>
      <c r="H1283" s="2"/>
      <c r="I1283" s="5"/>
    </row>
    <row r="1284" spans="1:9" ht="17.399999999999999" x14ac:dyDescent="0.25">
      <c r="A1284" s="16"/>
      <c r="B1284" s="17"/>
      <c r="C1284" s="2"/>
      <c r="D1284" s="2"/>
      <c r="E1284" s="2"/>
      <c r="F1284" s="2"/>
      <c r="G1284" s="2"/>
      <c r="H1284" s="2"/>
      <c r="I1284" s="5"/>
    </row>
    <row r="1285" spans="1:9" ht="17.399999999999999" x14ac:dyDescent="0.25">
      <c r="A1285" s="16"/>
      <c r="B1285" s="17"/>
      <c r="C1285" s="2"/>
      <c r="D1285" s="2"/>
      <c r="E1285" s="2"/>
      <c r="F1285" s="2"/>
      <c r="G1285" s="2"/>
      <c r="H1285" s="2"/>
      <c r="I1285" s="5"/>
    </row>
    <row r="1286" spans="1:9" ht="17.399999999999999" x14ac:dyDescent="0.25">
      <c r="A1286" s="16"/>
      <c r="B1286" s="17"/>
      <c r="C1286" s="2"/>
      <c r="D1286" s="2"/>
      <c r="E1286" s="2"/>
      <c r="F1286" s="2"/>
      <c r="G1286" s="2"/>
      <c r="H1286" s="2"/>
      <c r="I1286" s="5"/>
    </row>
    <row r="1287" spans="1:9" ht="17.399999999999999" x14ac:dyDescent="0.25">
      <c r="A1287" s="16"/>
      <c r="B1287" s="17"/>
      <c r="C1287" s="2"/>
      <c r="D1287" s="2"/>
      <c r="E1287" s="2"/>
      <c r="F1287" s="2"/>
      <c r="G1287" s="2"/>
      <c r="H1287" s="2"/>
      <c r="I1287" s="5"/>
    </row>
    <row r="1288" spans="1:9" ht="17.399999999999999" x14ac:dyDescent="0.25">
      <c r="A1288" s="16"/>
      <c r="B1288" s="17"/>
      <c r="C1288" s="2"/>
      <c r="D1288" s="2"/>
      <c r="E1288" s="2"/>
      <c r="F1288" s="2"/>
      <c r="G1288" s="2"/>
      <c r="H1288" s="2"/>
      <c r="I1288" s="5"/>
    </row>
    <row r="1289" spans="1:9" ht="17.399999999999999" x14ac:dyDescent="0.25">
      <c r="A1289" s="16"/>
      <c r="B1289" s="17"/>
      <c r="C1289" s="2"/>
      <c r="D1289" s="2"/>
      <c r="E1289" s="2"/>
      <c r="F1289" s="2"/>
      <c r="G1289" s="2"/>
      <c r="H1289" s="2"/>
      <c r="I1289" s="5"/>
    </row>
    <row r="1290" spans="1:9" ht="17.399999999999999" x14ac:dyDescent="0.25">
      <c r="A1290" s="16"/>
      <c r="B1290" s="17"/>
      <c r="C1290" s="2"/>
      <c r="D1290" s="2"/>
      <c r="E1290" s="2"/>
      <c r="F1290" s="2"/>
      <c r="G1290" s="2"/>
      <c r="H1290" s="2"/>
      <c r="I1290" s="5"/>
    </row>
    <row r="1291" spans="1:9" ht="17.399999999999999" x14ac:dyDescent="0.25">
      <c r="A1291" s="16"/>
      <c r="B1291" s="17"/>
      <c r="C1291" s="2"/>
      <c r="D1291" s="2"/>
      <c r="E1291" s="2"/>
      <c r="F1291" s="2"/>
      <c r="G1291" s="2"/>
      <c r="H1291" s="2"/>
      <c r="I1291" s="5"/>
    </row>
    <row r="1292" spans="1:9" ht="17.399999999999999" x14ac:dyDescent="0.25">
      <c r="A1292" s="16"/>
      <c r="B1292" s="17"/>
      <c r="C1292" s="2"/>
      <c r="D1292" s="2"/>
      <c r="E1292" s="2"/>
      <c r="F1292" s="2"/>
      <c r="G1292" s="2"/>
      <c r="H1292" s="2"/>
      <c r="I1292" s="5"/>
    </row>
    <row r="1293" spans="1:9" ht="17.399999999999999" x14ac:dyDescent="0.25">
      <c r="A1293" s="16"/>
      <c r="B1293" s="17"/>
      <c r="C1293" s="2"/>
      <c r="D1293" s="2"/>
      <c r="E1293" s="2"/>
      <c r="F1293" s="2"/>
      <c r="G1293" s="2"/>
      <c r="H1293" s="2"/>
      <c r="I1293" s="5"/>
    </row>
    <row r="1294" spans="1:9" ht="17.399999999999999" x14ac:dyDescent="0.25">
      <c r="A1294" s="16"/>
      <c r="B1294" s="17"/>
      <c r="C1294" s="2"/>
      <c r="D1294" s="2"/>
      <c r="E1294" s="2"/>
      <c r="F1294" s="2"/>
      <c r="G1294" s="2"/>
      <c r="H1294" s="2"/>
      <c r="I1294" s="5"/>
    </row>
    <row r="1295" spans="1:9" ht="17.399999999999999" x14ac:dyDescent="0.25">
      <c r="A1295" s="16"/>
      <c r="B1295" s="17"/>
      <c r="C1295" s="2"/>
      <c r="D1295" s="2"/>
      <c r="E1295" s="2"/>
      <c r="F1295" s="2"/>
      <c r="G1295" s="2"/>
      <c r="H1295" s="2"/>
      <c r="I1295" s="5"/>
    </row>
    <row r="1296" spans="1:9" ht="17.399999999999999" x14ac:dyDescent="0.25">
      <c r="A1296" s="16"/>
      <c r="B1296" s="17"/>
      <c r="C1296" s="2"/>
      <c r="D1296" s="2"/>
      <c r="E1296" s="2"/>
      <c r="F1296" s="2"/>
      <c r="G1296" s="2"/>
      <c r="H1296" s="2"/>
      <c r="I1296" s="5"/>
    </row>
    <row r="1297" spans="1:9" ht="17.399999999999999" x14ac:dyDescent="0.25">
      <c r="A1297" s="16"/>
      <c r="B1297" s="17"/>
      <c r="C1297" s="2"/>
      <c r="D1297" s="2"/>
      <c r="E1297" s="2"/>
      <c r="F1297" s="2"/>
      <c r="G1297" s="2"/>
      <c r="H1297" s="2"/>
      <c r="I1297" s="5"/>
    </row>
    <row r="1298" spans="1:9" ht="17.399999999999999" x14ac:dyDescent="0.25">
      <c r="A1298" s="16"/>
      <c r="B1298" s="17"/>
      <c r="C1298" s="2"/>
      <c r="D1298" s="2"/>
      <c r="E1298" s="2"/>
      <c r="F1298" s="2"/>
      <c r="G1298" s="2"/>
      <c r="H1298" s="2"/>
      <c r="I1298" s="5"/>
    </row>
    <row r="1299" spans="1:9" ht="17.399999999999999" x14ac:dyDescent="0.25">
      <c r="A1299" s="16"/>
      <c r="B1299" s="17"/>
      <c r="C1299" s="2"/>
      <c r="D1299" s="2"/>
      <c r="E1299" s="2"/>
      <c r="F1299" s="2"/>
      <c r="G1299" s="2"/>
      <c r="H1299" s="2"/>
      <c r="I1299" s="5"/>
    </row>
    <row r="1300" spans="1:9" ht="17.399999999999999" x14ac:dyDescent="0.25">
      <c r="A1300" s="16"/>
      <c r="B1300" s="17"/>
      <c r="C1300" s="2"/>
      <c r="D1300" s="2"/>
      <c r="E1300" s="2"/>
      <c r="F1300" s="2"/>
      <c r="G1300" s="2"/>
      <c r="H1300" s="2"/>
      <c r="I1300" s="5"/>
    </row>
    <row r="1301" spans="1:9" ht="17.399999999999999" x14ac:dyDescent="0.25">
      <c r="A1301" s="16"/>
      <c r="B1301" s="17"/>
      <c r="C1301" s="2"/>
      <c r="D1301" s="2"/>
      <c r="E1301" s="2"/>
      <c r="F1301" s="2"/>
      <c r="G1301" s="2"/>
      <c r="H1301" s="2"/>
      <c r="I1301" s="5"/>
    </row>
    <row r="1302" spans="1:9" ht="17.399999999999999" x14ac:dyDescent="0.25">
      <c r="A1302" s="16"/>
      <c r="B1302" s="17"/>
      <c r="C1302" s="2"/>
      <c r="D1302" s="2"/>
      <c r="E1302" s="2"/>
      <c r="F1302" s="2"/>
      <c r="G1302" s="2"/>
      <c r="H1302" s="2"/>
      <c r="I1302" s="5"/>
    </row>
    <row r="1303" spans="1:9" ht="17.399999999999999" x14ac:dyDescent="0.25">
      <c r="A1303" s="16"/>
      <c r="B1303" s="17"/>
      <c r="C1303" s="2"/>
      <c r="D1303" s="2"/>
      <c r="E1303" s="2"/>
      <c r="F1303" s="2"/>
      <c r="G1303" s="2"/>
      <c r="H1303" s="2"/>
      <c r="I1303" s="5"/>
    </row>
    <row r="1304" spans="1:9" ht="17.399999999999999" x14ac:dyDescent="0.25">
      <c r="A1304" s="16"/>
      <c r="B1304" s="17"/>
      <c r="C1304" s="2"/>
      <c r="D1304" s="2"/>
      <c r="E1304" s="2"/>
      <c r="F1304" s="2"/>
      <c r="G1304" s="2"/>
      <c r="H1304" s="2"/>
      <c r="I1304" s="5"/>
    </row>
    <row r="1305" spans="1:9" ht="17.399999999999999" x14ac:dyDescent="0.25">
      <c r="A1305" s="16"/>
      <c r="B1305" s="17"/>
      <c r="C1305" s="2"/>
      <c r="D1305" s="2"/>
      <c r="E1305" s="2"/>
      <c r="F1305" s="2"/>
      <c r="G1305" s="2"/>
      <c r="H1305" s="2"/>
      <c r="I1305" s="5"/>
    </row>
    <row r="1306" spans="1:9" ht="17.399999999999999" x14ac:dyDescent="0.25">
      <c r="A1306" s="16"/>
      <c r="B1306" s="17"/>
      <c r="C1306" s="2"/>
      <c r="D1306" s="2"/>
      <c r="E1306" s="2"/>
      <c r="F1306" s="2"/>
      <c r="G1306" s="2"/>
      <c r="H1306" s="2"/>
      <c r="I1306" s="5"/>
    </row>
    <row r="1307" spans="1:9" ht="17.399999999999999" x14ac:dyDescent="0.25">
      <c r="A1307" s="16"/>
      <c r="B1307" s="17"/>
      <c r="C1307" s="2"/>
      <c r="D1307" s="2"/>
      <c r="E1307" s="2"/>
      <c r="F1307" s="2"/>
      <c r="G1307" s="2"/>
      <c r="H1307" s="2"/>
      <c r="I1307" s="5"/>
    </row>
    <row r="1308" spans="1:9" ht="17.399999999999999" x14ac:dyDescent="0.25">
      <c r="A1308" s="16"/>
      <c r="B1308" s="17"/>
      <c r="C1308" s="2"/>
      <c r="D1308" s="2"/>
      <c r="E1308" s="2"/>
      <c r="F1308" s="2"/>
      <c r="G1308" s="2"/>
      <c r="H1308" s="2"/>
      <c r="I1308" s="5"/>
    </row>
    <row r="1309" spans="1:9" ht="17.399999999999999" x14ac:dyDescent="0.25">
      <c r="A1309" s="16"/>
      <c r="B1309" s="17"/>
      <c r="C1309" s="2"/>
      <c r="D1309" s="2"/>
      <c r="E1309" s="2"/>
      <c r="F1309" s="2"/>
      <c r="G1309" s="2"/>
      <c r="H1309" s="2"/>
      <c r="I1309" s="5"/>
    </row>
    <row r="1310" spans="1:9" ht="17.399999999999999" x14ac:dyDescent="0.25">
      <c r="A1310" s="16"/>
      <c r="B1310" s="17"/>
      <c r="C1310" s="2"/>
      <c r="D1310" s="2"/>
      <c r="E1310" s="2"/>
      <c r="F1310" s="2"/>
      <c r="G1310" s="2"/>
      <c r="H1310" s="2"/>
      <c r="I1310" s="5"/>
    </row>
    <row r="1311" spans="1:9" ht="17.399999999999999" x14ac:dyDescent="0.25">
      <c r="A1311" s="16"/>
      <c r="B1311" s="17"/>
      <c r="C1311" s="2"/>
      <c r="D1311" s="2"/>
      <c r="E1311" s="2"/>
      <c r="F1311" s="2"/>
      <c r="G1311" s="2"/>
      <c r="H1311" s="2"/>
      <c r="I1311" s="5"/>
    </row>
    <row r="1312" spans="1:9" ht="17.399999999999999" x14ac:dyDescent="0.25">
      <c r="A1312" s="16"/>
      <c r="B1312" s="17"/>
      <c r="C1312" s="2"/>
      <c r="D1312" s="2"/>
      <c r="E1312" s="2"/>
      <c r="F1312" s="2"/>
      <c r="G1312" s="2"/>
      <c r="H1312" s="2"/>
      <c r="I1312" s="5"/>
    </row>
    <row r="1313" spans="1:9" ht="17.399999999999999" x14ac:dyDescent="0.25">
      <c r="A1313" s="16"/>
      <c r="B1313" s="17"/>
      <c r="C1313" s="2"/>
      <c r="D1313" s="2"/>
      <c r="E1313" s="2"/>
      <c r="F1313" s="2"/>
      <c r="G1313" s="2"/>
      <c r="H1313" s="2"/>
      <c r="I1313" s="5"/>
    </row>
    <row r="1314" spans="1:9" ht="17.399999999999999" x14ac:dyDescent="0.25">
      <c r="A1314" s="16"/>
      <c r="B1314" s="17"/>
      <c r="C1314" s="2"/>
      <c r="D1314" s="2"/>
      <c r="E1314" s="2"/>
      <c r="F1314" s="2"/>
      <c r="G1314" s="2"/>
      <c r="H1314" s="2"/>
      <c r="I1314" s="5"/>
    </row>
    <row r="1315" spans="1:9" ht="17.399999999999999" x14ac:dyDescent="0.25">
      <c r="A1315" s="16"/>
      <c r="B1315" s="17"/>
      <c r="C1315" s="2"/>
      <c r="D1315" s="2"/>
      <c r="E1315" s="2"/>
      <c r="F1315" s="2"/>
      <c r="G1315" s="2"/>
      <c r="H1315" s="2"/>
      <c r="I1315" s="5"/>
    </row>
    <row r="1316" spans="1:9" ht="17.399999999999999" x14ac:dyDescent="0.25">
      <c r="A1316" s="16"/>
      <c r="B1316" s="17"/>
      <c r="C1316" s="2"/>
      <c r="D1316" s="2"/>
      <c r="E1316" s="2"/>
      <c r="F1316" s="2"/>
      <c r="G1316" s="2"/>
      <c r="H1316" s="2"/>
      <c r="I1316" s="5"/>
    </row>
    <row r="1317" spans="1:9" ht="17.399999999999999" x14ac:dyDescent="0.25">
      <c r="A1317" s="16"/>
      <c r="B1317" s="17"/>
      <c r="C1317" s="2"/>
      <c r="D1317" s="2"/>
      <c r="E1317" s="2"/>
      <c r="F1317" s="2"/>
      <c r="G1317" s="2"/>
      <c r="H1317" s="2"/>
      <c r="I1317" s="5"/>
    </row>
    <row r="1318" spans="1:9" ht="17.399999999999999" x14ac:dyDescent="0.25">
      <c r="A1318" s="16"/>
      <c r="B1318" s="17"/>
      <c r="C1318" s="2"/>
      <c r="D1318" s="2"/>
      <c r="E1318" s="2"/>
      <c r="F1318" s="2"/>
      <c r="G1318" s="2"/>
      <c r="H1318" s="2"/>
      <c r="I1318" s="5"/>
    </row>
    <row r="1319" spans="1:9" ht="17.399999999999999" x14ac:dyDescent="0.25">
      <c r="A1319" s="16"/>
      <c r="B1319" s="17"/>
      <c r="C1319" s="2"/>
      <c r="D1319" s="2"/>
      <c r="E1319" s="2"/>
      <c r="F1319" s="2"/>
      <c r="G1319" s="2"/>
      <c r="H1319" s="2"/>
      <c r="I1319" s="5"/>
    </row>
    <row r="1320" spans="1:9" ht="17.399999999999999" x14ac:dyDescent="0.25">
      <c r="A1320" s="16"/>
      <c r="B1320" s="17"/>
      <c r="C1320" s="2"/>
      <c r="D1320" s="2"/>
      <c r="E1320" s="2"/>
      <c r="F1320" s="2"/>
      <c r="G1320" s="2"/>
      <c r="H1320" s="2"/>
      <c r="I1320" s="5"/>
    </row>
    <row r="1321" spans="1:9" ht="17.399999999999999" x14ac:dyDescent="0.25">
      <c r="A1321" s="16"/>
      <c r="B1321" s="17"/>
      <c r="C1321" s="2"/>
      <c r="D1321" s="2"/>
      <c r="E1321" s="2"/>
      <c r="F1321" s="2"/>
      <c r="G1321" s="2"/>
      <c r="H1321" s="2"/>
      <c r="I1321" s="5"/>
    </row>
    <row r="1322" spans="1:9" ht="17.399999999999999" x14ac:dyDescent="0.25">
      <c r="A1322" s="16"/>
      <c r="B1322" s="17"/>
      <c r="C1322" s="2"/>
      <c r="D1322" s="2"/>
      <c r="E1322" s="2"/>
      <c r="F1322" s="2"/>
      <c r="G1322" s="2"/>
      <c r="H1322" s="2"/>
      <c r="I1322" s="5"/>
    </row>
    <row r="1323" spans="1:9" ht="17.399999999999999" x14ac:dyDescent="0.25">
      <c r="A1323" s="16"/>
      <c r="B1323" s="17"/>
      <c r="C1323" s="2"/>
      <c r="D1323" s="2"/>
      <c r="E1323" s="2"/>
      <c r="F1323" s="2"/>
      <c r="G1323" s="2"/>
      <c r="H1323" s="2"/>
      <c r="I1323" s="5"/>
    </row>
    <row r="1324" spans="1:9" ht="17.399999999999999" x14ac:dyDescent="0.25">
      <c r="A1324" s="16"/>
      <c r="B1324" s="17"/>
      <c r="C1324" s="2"/>
      <c r="D1324" s="2"/>
      <c r="E1324" s="2"/>
      <c r="F1324" s="2"/>
      <c r="G1324" s="2"/>
      <c r="H1324" s="2"/>
      <c r="I1324" s="5"/>
    </row>
    <row r="1325" spans="1:9" ht="17.399999999999999" x14ac:dyDescent="0.25">
      <c r="A1325" s="16"/>
      <c r="B1325" s="17"/>
      <c r="C1325" s="2"/>
      <c r="D1325" s="2"/>
      <c r="E1325" s="2"/>
      <c r="F1325" s="2"/>
      <c r="G1325" s="2"/>
      <c r="H1325" s="2"/>
      <c r="I1325" s="5"/>
    </row>
    <row r="1326" spans="1:9" ht="17.399999999999999" x14ac:dyDescent="0.25">
      <c r="A1326" s="16"/>
      <c r="B1326" s="17"/>
      <c r="C1326" s="2"/>
      <c r="D1326" s="2"/>
      <c r="E1326" s="2"/>
      <c r="F1326" s="2"/>
      <c r="G1326" s="2"/>
      <c r="H1326" s="2"/>
      <c r="I1326" s="5"/>
    </row>
    <row r="1327" spans="1:9" ht="17.399999999999999" x14ac:dyDescent="0.25">
      <c r="A1327" s="16"/>
      <c r="B1327" s="17"/>
      <c r="C1327" s="2"/>
      <c r="D1327" s="2"/>
      <c r="E1327" s="2"/>
      <c r="F1327" s="2"/>
      <c r="G1327" s="2"/>
      <c r="H1327" s="2"/>
      <c r="I1327" s="5"/>
    </row>
    <row r="1328" spans="1:9" ht="17.399999999999999" x14ac:dyDescent="0.25">
      <c r="A1328" s="16"/>
      <c r="B1328" s="17"/>
      <c r="C1328" s="2"/>
      <c r="D1328" s="2"/>
      <c r="E1328" s="2"/>
      <c r="F1328" s="2"/>
      <c r="G1328" s="2"/>
      <c r="H1328" s="2"/>
      <c r="I1328" s="5"/>
    </row>
    <row r="1329" spans="1:9" ht="17.399999999999999" x14ac:dyDescent="0.25">
      <c r="A1329" s="16"/>
      <c r="B1329" s="17"/>
      <c r="C1329" s="2"/>
      <c r="D1329" s="2"/>
      <c r="E1329" s="2"/>
      <c r="F1329" s="2"/>
      <c r="G1329" s="2"/>
      <c r="H1329" s="2"/>
      <c r="I1329" s="5"/>
    </row>
    <row r="1330" spans="1:9" ht="17.399999999999999" x14ac:dyDescent="0.25">
      <c r="A1330" s="16"/>
      <c r="B1330" s="17"/>
      <c r="C1330" s="2"/>
      <c r="D1330" s="2"/>
      <c r="E1330" s="2"/>
      <c r="F1330" s="2"/>
      <c r="G1330" s="2"/>
      <c r="H1330" s="2"/>
      <c r="I1330" s="5"/>
    </row>
    <row r="1331" spans="1:9" ht="17.399999999999999" x14ac:dyDescent="0.25">
      <c r="A1331" s="16"/>
      <c r="B1331" s="17"/>
      <c r="C1331" s="2"/>
      <c r="D1331" s="2"/>
      <c r="E1331" s="2"/>
      <c r="F1331" s="2"/>
      <c r="G1331" s="2"/>
      <c r="H1331" s="2"/>
      <c r="I1331" s="5"/>
    </row>
    <row r="1332" spans="1:9" ht="17.399999999999999" x14ac:dyDescent="0.25">
      <c r="A1332" s="16"/>
      <c r="B1332" s="17"/>
      <c r="C1332" s="2"/>
      <c r="D1332" s="2"/>
      <c r="E1332" s="2"/>
      <c r="F1332" s="2"/>
      <c r="G1332" s="2"/>
      <c r="H1332" s="2"/>
      <c r="I1332" s="5"/>
    </row>
    <row r="1333" spans="1:9" ht="17.399999999999999" x14ac:dyDescent="0.25">
      <c r="A1333" s="16"/>
      <c r="B1333" s="17"/>
      <c r="C1333" s="2"/>
      <c r="D1333" s="2"/>
      <c r="E1333" s="2"/>
      <c r="F1333" s="2"/>
      <c r="G1333" s="2"/>
      <c r="H1333" s="2"/>
      <c r="I1333" s="5"/>
    </row>
    <row r="1334" spans="1:9" ht="17.399999999999999" x14ac:dyDescent="0.25">
      <c r="A1334" s="16"/>
      <c r="B1334" s="17"/>
      <c r="C1334" s="2"/>
      <c r="D1334" s="2"/>
      <c r="E1334" s="2"/>
      <c r="F1334" s="2"/>
      <c r="G1334" s="2"/>
      <c r="H1334" s="2"/>
      <c r="I1334" s="5"/>
    </row>
    <row r="1335" spans="1:9" ht="17.399999999999999" x14ac:dyDescent="0.25">
      <c r="A1335" s="16"/>
      <c r="B1335" s="17"/>
      <c r="C1335" s="2"/>
      <c r="D1335" s="2"/>
      <c r="E1335" s="2"/>
      <c r="F1335" s="2"/>
      <c r="G1335" s="2"/>
      <c r="H1335" s="2"/>
      <c r="I1335" s="5"/>
    </row>
    <row r="1336" spans="1:9" ht="17.399999999999999" x14ac:dyDescent="0.25">
      <c r="A1336" s="16"/>
      <c r="B1336" s="17"/>
      <c r="C1336" s="2"/>
      <c r="D1336" s="2"/>
      <c r="E1336" s="2"/>
      <c r="F1336" s="2"/>
      <c r="G1336" s="2"/>
      <c r="H1336" s="2"/>
      <c r="I1336" s="5"/>
    </row>
    <row r="1337" spans="1:9" ht="17.399999999999999" x14ac:dyDescent="0.25">
      <c r="A1337" s="16"/>
      <c r="B1337" s="17"/>
      <c r="C1337" s="2"/>
      <c r="D1337" s="2"/>
      <c r="E1337" s="2"/>
      <c r="F1337" s="2"/>
      <c r="G1337" s="2"/>
      <c r="H1337" s="2"/>
      <c r="I1337" s="5"/>
    </row>
    <row r="1338" spans="1:9" ht="17.399999999999999" x14ac:dyDescent="0.25">
      <c r="A1338" s="16"/>
      <c r="B1338" s="17"/>
      <c r="C1338" s="2"/>
      <c r="D1338" s="2"/>
      <c r="E1338" s="2"/>
      <c r="F1338" s="2"/>
      <c r="G1338" s="2"/>
      <c r="H1338" s="2"/>
      <c r="I1338" s="5"/>
    </row>
    <row r="1339" spans="1:9" ht="17.399999999999999" x14ac:dyDescent="0.25">
      <c r="A1339" s="16"/>
      <c r="B1339" s="17"/>
      <c r="C1339" s="2"/>
      <c r="D1339" s="2"/>
      <c r="E1339" s="2"/>
      <c r="F1339" s="2"/>
      <c r="G1339" s="2"/>
      <c r="H1339" s="2"/>
      <c r="I1339" s="5"/>
    </row>
    <row r="1340" spans="1:9" ht="17.399999999999999" x14ac:dyDescent="0.25">
      <c r="A1340" s="16"/>
      <c r="B1340" s="17"/>
      <c r="C1340" s="2"/>
      <c r="D1340" s="2"/>
      <c r="E1340" s="2"/>
      <c r="F1340" s="2"/>
      <c r="G1340" s="2"/>
      <c r="H1340" s="2"/>
      <c r="I1340" s="5"/>
    </row>
    <row r="1341" spans="1:9" ht="17.399999999999999" x14ac:dyDescent="0.25">
      <c r="A1341" s="16"/>
      <c r="B1341" s="17"/>
      <c r="C1341" s="2"/>
      <c r="D1341" s="2"/>
      <c r="E1341" s="2"/>
      <c r="F1341" s="2"/>
      <c r="G1341" s="2"/>
      <c r="H1341" s="2"/>
      <c r="I1341" s="5"/>
    </row>
    <row r="1342" spans="1:9" ht="17.399999999999999" x14ac:dyDescent="0.25">
      <c r="A1342" s="16"/>
      <c r="B1342" s="17"/>
      <c r="C1342" s="2"/>
      <c r="D1342" s="2"/>
      <c r="E1342" s="2"/>
      <c r="F1342" s="2"/>
      <c r="G1342" s="2"/>
      <c r="H1342" s="2"/>
      <c r="I1342" s="5"/>
    </row>
    <row r="1343" spans="1:9" ht="17.399999999999999" x14ac:dyDescent="0.25">
      <c r="A1343" s="16"/>
      <c r="B1343" s="17"/>
      <c r="C1343" s="2"/>
      <c r="D1343" s="2"/>
      <c r="E1343" s="2"/>
      <c r="F1343" s="2"/>
      <c r="G1343" s="2"/>
      <c r="H1343" s="2"/>
      <c r="I1343" s="5"/>
    </row>
    <row r="1344" spans="1:9" ht="17.399999999999999" x14ac:dyDescent="0.25">
      <c r="A1344" s="16"/>
      <c r="B1344" s="17"/>
      <c r="C1344" s="2"/>
      <c r="D1344" s="2"/>
      <c r="E1344" s="2"/>
      <c r="F1344" s="2"/>
      <c r="G1344" s="2"/>
      <c r="H1344" s="2"/>
      <c r="I1344" s="5"/>
    </row>
    <row r="1345" spans="1:9" ht="17.399999999999999" x14ac:dyDescent="0.25">
      <c r="A1345" s="16"/>
      <c r="B1345" s="17"/>
      <c r="C1345" s="2"/>
      <c r="D1345" s="2"/>
      <c r="E1345" s="2"/>
      <c r="F1345" s="2"/>
      <c r="G1345" s="2"/>
      <c r="H1345" s="2"/>
      <c r="I1345" s="5"/>
    </row>
    <row r="1346" spans="1:9" ht="17.399999999999999" x14ac:dyDescent="0.25">
      <c r="A1346" s="16"/>
      <c r="B1346" s="17"/>
      <c r="C1346" s="2"/>
      <c r="D1346" s="2"/>
      <c r="E1346" s="2"/>
      <c r="F1346" s="2"/>
      <c r="G1346" s="2"/>
      <c r="H1346" s="2"/>
      <c r="I1346" s="5"/>
    </row>
    <row r="1347" spans="1:9" ht="17.399999999999999" x14ac:dyDescent="0.25">
      <c r="A1347" s="16"/>
      <c r="B1347" s="17"/>
      <c r="C1347" s="2"/>
      <c r="D1347" s="2"/>
      <c r="E1347" s="2"/>
      <c r="F1347" s="2"/>
      <c r="G1347" s="2"/>
      <c r="H1347" s="2"/>
      <c r="I1347" s="5"/>
    </row>
    <row r="1348" spans="1:9" ht="17.399999999999999" x14ac:dyDescent="0.25">
      <c r="A1348" s="16"/>
      <c r="B1348" s="17"/>
      <c r="C1348" s="2"/>
      <c r="D1348" s="2"/>
      <c r="E1348" s="2"/>
      <c r="F1348" s="2"/>
      <c r="G1348" s="2"/>
      <c r="H1348" s="2"/>
      <c r="I1348" s="5"/>
    </row>
    <row r="1349" spans="1:9" ht="17.399999999999999" x14ac:dyDescent="0.25">
      <c r="A1349" s="16"/>
      <c r="B1349" s="17"/>
      <c r="C1349" s="2"/>
      <c r="D1349" s="2"/>
      <c r="E1349" s="2"/>
      <c r="F1349" s="2"/>
      <c r="G1349" s="2"/>
      <c r="H1349" s="2"/>
      <c r="I1349" s="5"/>
    </row>
    <row r="1350" spans="1:9" ht="17.399999999999999" x14ac:dyDescent="0.25">
      <c r="A1350" s="16"/>
      <c r="B1350" s="17"/>
      <c r="C1350" s="2"/>
      <c r="D1350" s="2"/>
      <c r="E1350" s="2"/>
      <c r="F1350" s="2"/>
      <c r="G1350" s="2"/>
      <c r="H1350" s="2"/>
      <c r="I1350" s="5"/>
    </row>
    <row r="1351" spans="1:9" ht="17.399999999999999" x14ac:dyDescent="0.25">
      <c r="A1351" s="16"/>
      <c r="B1351" s="17"/>
      <c r="C1351" s="2"/>
      <c r="D1351" s="2"/>
      <c r="E1351" s="2"/>
      <c r="F1351" s="2"/>
      <c r="G1351" s="2"/>
      <c r="H1351" s="2"/>
      <c r="I1351" s="5"/>
    </row>
    <row r="1352" spans="1:9" ht="17.399999999999999" x14ac:dyDescent="0.25">
      <c r="A1352" s="16"/>
      <c r="B1352" s="17"/>
      <c r="C1352" s="2"/>
      <c r="D1352" s="2"/>
      <c r="E1352" s="2"/>
      <c r="F1352" s="2"/>
      <c r="G1352" s="2"/>
      <c r="H1352" s="2"/>
      <c r="I1352" s="5"/>
    </row>
    <row r="1353" spans="1:9" ht="17.399999999999999" x14ac:dyDescent="0.25">
      <c r="A1353" s="16"/>
      <c r="B1353" s="17"/>
      <c r="C1353" s="2"/>
      <c r="D1353" s="2"/>
      <c r="E1353" s="2"/>
      <c r="F1353" s="2"/>
      <c r="G1353" s="2"/>
      <c r="H1353" s="2"/>
      <c r="I1353" s="5"/>
    </row>
    <row r="1354" spans="1:9" ht="17.399999999999999" x14ac:dyDescent="0.25">
      <c r="A1354" s="16"/>
      <c r="B1354" s="17"/>
      <c r="C1354" s="2"/>
      <c r="D1354" s="2"/>
      <c r="E1354" s="2"/>
      <c r="F1354" s="2"/>
      <c r="G1354" s="2"/>
      <c r="H1354" s="2"/>
      <c r="I1354" s="5"/>
    </row>
    <row r="1355" spans="1:9" ht="17.399999999999999" x14ac:dyDescent="0.25">
      <c r="A1355" s="16"/>
      <c r="B1355" s="17"/>
      <c r="C1355" s="2"/>
      <c r="D1355" s="2"/>
      <c r="E1355" s="2"/>
      <c r="F1355" s="2"/>
      <c r="G1355" s="2"/>
      <c r="H1355" s="2"/>
      <c r="I1355" s="5"/>
    </row>
    <row r="1356" spans="1:9" ht="17.399999999999999" x14ac:dyDescent="0.25">
      <c r="A1356" s="16"/>
      <c r="B1356" s="17"/>
      <c r="C1356" s="2"/>
      <c r="D1356" s="2"/>
      <c r="E1356" s="2"/>
      <c r="F1356" s="2"/>
      <c r="G1356" s="2"/>
      <c r="H1356" s="2"/>
      <c r="I1356" s="5"/>
    </row>
    <row r="1357" spans="1:9" ht="17.399999999999999" x14ac:dyDescent="0.25">
      <c r="A1357" s="16"/>
      <c r="B1357" s="17"/>
      <c r="C1357" s="2"/>
      <c r="D1357" s="2"/>
      <c r="E1357" s="2"/>
      <c r="F1357" s="2"/>
      <c r="G1357" s="2"/>
      <c r="H1357" s="2"/>
      <c r="I1357" s="5"/>
    </row>
    <row r="1358" spans="1:9" ht="17.399999999999999" x14ac:dyDescent="0.25">
      <c r="A1358" s="16"/>
      <c r="B1358" s="17"/>
      <c r="C1358" s="2"/>
      <c r="D1358" s="2"/>
      <c r="E1358" s="2"/>
      <c r="F1358" s="2"/>
      <c r="G1358" s="2"/>
      <c r="H1358" s="2"/>
      <c r="I1358" s="5"/>
    </row>
    <row r="1359" spans="1:9" ht="17.399999999999999" x14ac:dyDescent="0.25">
      <c r="A1359" s="16"/>
      <c r="B1359" s="17"/>
      <c r="C1359" s="2"/>
      <c r="D1359" s="2"/>
      <c r="E1359" s="2"/>
      <c r="F1359" s="2"/>
      <c r="G1359" s="2"/>
      <c r="H1359" s="2"/>
      <c r="I1359" s="5"/>
    </row>
    <row r="1360" spans="1:9" ht="17.399999999999999" x14ac:dyDescent="0.25">
      <c r="A1360" s="16"/>
      <c r="B1360" s="17"/>
      <c r="C1360" s="2"/>
      <c r="D1360" s="2"/>
      <c r="E1360" s="2"/>
      <c r="F1360" s="2"/>
      <c r="G1360" s="2"/>
      <c r="H1360" s="2"/>
      <c r="I1360" s="5"/>
    </row>
    <row r="1361" spans="1:9" ht="17.399999999999999" x14ac:dyDescent="0.25">
      <c r="A1361" s="16"/>
      <c r="B1361" s="17"/>
      <c r="C1361" s="2"/>
      <c r="D1361" s="2"/>
      <c r="E1361" s="2"/>
      <c r="F1361" s="2"/>
      <c r="G1361" s="2"/>
      <c r="H1361" s="2"/>
      <c r="I1361" s="5"/>
    </row>
    <row r="1362" spans="1:9" ht="17.399999999999999" x14ac:dyDescent="0.25">
      <c r="A1362" s="16"/>
      <c r="B1362" s="17"/>
      <c r="C1362" s="2"/>
      <c r="D1362" s="2"/>
      <c r="E1362" s="2"/>
      <c r="F1362" s="2"/>
      <c r="G1362" s="2"/>
      <c r="H1362" s="2"/>
      <c r="I1362" s="5"/>
    </row>
    <row r="1363" spans="1:9" ht="17.399999999999999" x14ac:dyDescent="0.25">
      <c r="A1363" s="16"/>
      <c r="B1363" s="17"/>
      <c r="C1363" s="2"/>
      <c r="D1363" s="2"/>
      <c r="E1363" s="2"/>
      <c r="F1363" s="2"/>
      <c r="G1363" s="2"/>
      <c r="H1363" s="2"/>
      <c r="I1363" s="5"/>
    </row>
    <row r="1364" spans="1:9" ht="17.399999999999999" x14ac:dyDescent="0.25">
      <c r="A1364" s="16"/>
      <c r="B1364" s="17"/>
      <c r="C1364" s="2"/>
      <c r="D1364" s="2"/>
      <c r="E1364" s="2"/>
      <c r="F1364" s="2"/>
      <c r="G1364" s="2"/>
      <c r="H1364" s="2"/>
      <c r="I1364" s="5"/>
    </row>
    <row r="1365" spans="1:9" ht="17.399999999999999" x14ac:dyDescent="0.25">
      <c r="A1365" s="16"/>
      <c r="B1365" s="17"/>
      <c r="C1365" s="2"/>
      <c r="D1365" s="2"/>
      <c r="E1365" s="2"/>
      <c r="F1365" s="2"/>
      <c r="G1365" s="2"/>
      <c r="H1365" s="2"/>
      <c r="I1365" s="5"/>
    </row>
    <row r="1366" spans="1:9" ht="17.399999999999999" x14ac:dyDescent="0.25">
      <c r="A1366" s="16"/>
      <c r="B1366" s="17"/>
      <c r="C1366" s="2"/>
      <c r="D1366" s="2"/>
      <c r="E1366" s="2"/>
      <c r="F1366" s="2"/>
      <c r="G1366" s="2"/>
      <c r="H1366" s="2"/>
      <c r="I1366" s="5"/>
    </row>
    <row r="1367" spans="1:9" ht="17.399999999999999" x14ac:dyDescent="0.25">
      <c r="A1367" s="16"/>
      <c r="B1367" s="17"/>
      <c r="C1367" s="2"/>
      <c r="D1367" s="2"/>
      <c r="E1367" s="2"/>
      <c r="F1367" s="2"/>
      <c r="G1367" s="2"/>
      <c r="H1367" s="2"/>
      <c r="I1367" s="5"/>
    </row>
    <row r="1368" spans="1:9" ht="17.399999999999999" x14ac:dyDescent="0.25">
      <c r="A1368" s="16"/>
      <c r="B1368" s="17"/>
      <c r="C1368" s="2"/>
      <c r="D1368" s="2"/>
      <c r="E1368" s="2"/>
      <c r="F1368" s="2"/>
      <c r="G1368" s="2"/>
      <c r="H1368" s="2"/>
      <c r="I1368" s="5"/>
    </row>
    <row r="1369" spans="1:9" ht="17.399999999999999" x14ac:dyDescent="0.25">
      <c r="A1369" s="16"/>
      <c r="B1369" s="17"/>
      <c r="C1369" s="2"/>
      <c r="D1369" s="2"/>
      <c r="E1369" s="2"/>
      <c r="F1369" s="2"/>
      <c r="G1369" s="2"/>
      <c r="H1369" s="2"/>
      <c r="I1369" s="5"/>
    </row>
    <row r="1370" spans="1:9" ht="17.399999999999999" x14ac:dyDescent="0.25">
      <c r="A1370" s="16"/>
      <c r="B1370" s="17"/>
      <c r="C1370" s="2"/>
      <c r="D1370" s="2"/>
      <c r="E1370" s="2"/>
      <c r="F1370" s="2"/>
      <c r="G1370" s="2"/>
      <c r="H1370" s="2"/>
      <c r="I1370" s="5"/>
    </row>
    <row r="1371" spans="1:9" ht="17.399999999999999" x14ac:dyDescent="0.25">
      <c r="A1371" s="16"/>
      <c r="B1371" s="17"/>
      <c r="C1371" s="2"/>
      <c r="D1371" s="2"/>
      <c r="E1371" s="2"/>
      <c r="F1371" s="2"/>
      <c r="G1371" s="2"/>
      <c r="H1371" s="2"/>
      <c r="I1371" s="5"/>
    </row>
    <row r="1372" spans="1:9" ht="17.399999999999999" x14ac:dyDescent="0.25">
      <c r="A1372" s="16"/>
      <c r="B1372" s="17"/>
      <c r="C1372" s="2"/>
      <c r="D1372" s="2"/>
      <c r="E1372" s="2"/>
      <c r="F1372" s="2"/>
      <c r="G1372" s="2"/>
      <c r="H1372" s="2"/>
      <c r="I1372" s="5"/>
    </row>
    <row r="1373" spans="1:9" ht="17.399999999999999" x14ac:dyDescent="0.25">
      <c r="A1373" s="16"/>
      <c r="B1373" s="17"/>
      <c r="C1373" s="2"/>
      <c r="D1373" s="2"/>
      <c r="E1373" s="2"/>
      <c r="F1373" s="2"/>
      <c r="G1373" s="2"/>
      <c r="H1373" s="2"/>
      <c r="I1373" s="5"/>
    </row>
    <row r="1374" spans="1:9" ht="17.399999999999999" x14ac:dyDescent="0.25">
      <c r="A1374" s="16"/>
      <c r="B1374" s="17"/>
      <c r="C1374" s="2"/>
      <c r="D1374" s="2"/>
      <c r="E1374" s="2"/>
      <c r="F1374" s="2"/>
      <c r="G1374" s="2"/>
      <c r="H1374" s="2"/>
      <c r="I1374" s="5"/>
    </row>
    <row r="1375" spans="1:9" ht="17.399999999999999" x14ac:dyDescent="0.25">
      <c r="A1375" s="16"/>
      <c r="B1375" s="17"/>
      <c r="C1375" s="2"/>
      <c r="D1375" s="2"/>
      <c r="E1375" s="2"/>
      <c r="F1375" s="2"/>
      <c r="G1375" s="2"/>
      <c r="H1375" s="2"/>
      <c r="I1375" s="5"/>
    </row>
    <row r="1376" spans="1:9" ht="17.399999999999999" x14ac:dyDescent="0.25">
      <c r="A1376" s="16"/>
      <c r="B1376" s="17"/>
      <c r="C1376" s="2"/>
      <c r="D1376" s="2"/>
      <c r="E1376" s="2"/>
      <c r="F1376" s="2"/>
      <c r="G1376" s="2"/>
      <c r="H1376" s="2"/>
      <c r="I1376" s="5"/>
    </row>
    <row r="1377" spans="1:9" ht="17.399999999999999" x14ac:dyDescent="0.25">
      <c r="A1377" s="16"/>
      <c r="B1377" s="17"/>
      <c r="C1377" s="2"/>
      <c r="D1377" s="2"/>
      <c r="E1377" s="2"/>
      <c r="F1377" s="2"/>
      <c r="G1377" s="2"/>
      <c r="H1377" s="2"/>
      <c r="I1377" s="5"/>
    </row>
    <row r="1378" spans="1:9" ht="17.399999999999999" x14ac:dyDescent="0.25">
      <c r="A1378" s="16"/>
      <c r="B1378" s="17"/>
      <c r="C1378" s="2"/>
      <c r="D1378" s="2"/>
      <c r="E1378" s="2"/>
      <c r="F1378" s="2"/>
      <c r="G1378" s="2"/>
      <c r="H1378" s="2"/>
      <c r="I1378" s="5"/>
    </row>
    <row r="1379" spans="1:9" ht="17.399999999999999" x14ac:dyDescent="0.25">
      <c r="A1379" s="16"/>
      <c r="B1379" s="17"/>
      <c r="C1379" s="2"/>
      <c r="D1379" s="2"/>
      <c r="E1379" s="2"/>
      <c r="F1379" s="2"/>
      <c r="G1379" s="2"/>
      <c r="H1379" s="2"/>
      <c r="I1379" s="5"/>
    </row>
    <row r="1380" spans="1:9" ht="17.399999999999999" x14ac:dyDescent="0.25">
      <c r="A1380" s="16"/>
      <c r="B1380" s="17"/>
      <c r="C1380" s="2"/>
      <c r="D1380" s="2"/>
      <c r="E1380" s="2"/>
      <c r="F1380" s="2"/>
      <c r="G1380" s="2"/>
      <c r="H1380" s="2"/>
      <c r="I1380" s="5"/>
    </row>
    <row r="1381" spans="1:9" ht="17.399999999999999" x14ac:dyDescent="0.25">
      <c r="A1381" s="16"/>
      <c r="B1381" s="17"/>
      <c r="C1381" s="2"/>
      <c r="D1381" s="2"/>
      <c r="E1381" s="2"/>
      <c r="F1381" s="2"/>
      <c r="G1381" s="2"/>
      <c r="H1381" s="2"/>
      <c r="I1381" s="5"/>
    </row>
    <row r="1382" spans="1:9" ht="17.399999999999999" x14ac:dyDescent="0.25">
      <c r="A1382" s="16"/>
      <c r="B1382" s="17"/>
      <c r="C1382" s="2"/>
      <c r="D1382" s="2"/>
      <c r="E1382" s="2"/>
      <c r="F1382" s="2"/>
      <c r="G1382" s="2"/>
      <c r="H1382" s="2"/>
      <c r="I1382" s="5"/>
    </row>
    <row r="1383" spans="1:9" ht="17.399999999999999" x14ac:dyDescent="0.25">
      <c r="A1383" s="16"/>
      <c r="B1383" s="17"/>
      <c r="C1383" s="2"/>
      <c r="D1383" s="2"/>
      <c r="E1383" s="2"/>
      <c r="F1383" s="2"/>
      <c r="G1383" s="2"/>
      <c r="H1383" s="2"/>
      <c r="I1383" s="5"/>
    </row>
    <row r="1384" spans="1:9" ht="17.399999999999999" x14ac:dyDescent="0.25">
      <c r="A1384" s="16"/>
      <c r="B1384" s="17"/>
      <c r="C1384" s="2"/>
      <c r="D1384" s="2"/>
      <c r="E1384" s="2"/>
      <c r="F1384" s="2"/>
      <c r="G1384" s="2"/>
      <c r="H1384" s="2"/>
      <c r="I1384" s="5"/>
    </row>
    <row r="1385" spans="1:9" ht="17.399999999999999" x14ac:dyDescent="0.25">
      <c r="A1385" s="16"/>
      <c r="B1385" s="17"/>
      <c r="C1385" s="2"/>
      <c r="D1385" s="2"/>
      <c r="E1385" s="2"/>
      <c r="F1385" s="2"/>
      <c r="G1385" s="2"/>
      <c r="H1385" s="2"/>
      <c r="I1385" s="5"/>
    </row>
    <row r="1386" spans="1:9" ht="17.399999999999999" x14ac:dyDescent="0.25">
      <c r="A1386" s="16"/>
      <c r="B1386" s="17"/>
      <c r="C1386" s="2"/>
      <c r="D1386" s="2"/>
      <c r="E1386" s="2"/>
      <c r="F1386" s="2"/>
      <c r="G1386" s="2"/>
      <c r="H1386" s="2"/>
      <c r="I1386" s="5"/>
    </row>
    <row r="1387" spans="1:9" ht="17.399999999999999" x14ac:dyDescent="0.25">
      <c r="A1387" s="16"/>
      <c r="B1387" s="17"/>
      <c r="C1387" s="2"/>
      <c r="D1387" s="2"/>
      <c r="E1387" s="2"/>
      <c r="F1387" s="2"/>
      <c r="G1387" s="2"/>
      <c r="H1387" s="2"/>
      <c r="I1387" s="5"/>
    </row>
    <row r="1388" spans="1:9" ht="17.399999999999999" x14ac:dyDescent="0.25">
      <c r="A1388" s="16"/>
      <c r="B1388" s="17"/>
      <c r="C1388" s="2"/>
      <c r="D1388" s="2"/>
      <c r="E1388" s="2"/>
      <c r="F1388" s="2"/>
      <c r="G1388" s="2"/>
      <c r="H1388" s="2"/>
      <c r="I1388" s="5"/>
    </row>
    <row r="1389" spans="1:9" ht="17.399999999999999" x14ac:dyDescent="0.25">
      <c r="A1389" s="16"/>
      <c r="B1389" s="17"/>
      <c r="C1389" s="2"/>
      <c r="D1389" s="2"/>
      <c r="E1389" s="2"/>
      <c r="F1389" s="2"/>
      <c r="G1389" s="2"/>
      <c r="H1389" s="2"/>
      <c r="I1389" s="5"/>
    </row>
    <row r="1390" spans="1:9" ht="17.399999999999999" x14ac:dyDescent="0.25">
      <c r="A1390" s="16"/>
      <c r="B1390" s="17"/>
      <c r="C1390" s="2"/>
      <c r="D1390" s="2"/>
      <c r="E1390" s="2"/>
      <c r="F1390" s="2"/>
      <c r="G1390" s="2"/>
      <c r="H1390" s="2"/>
      <c r="I1390" s="5"/>
    </row>
    <row r="1391" spans="1:9" ht="17.399999999999999" x14ac:dyDescent="0.25">
      <c r="A1391" s="16"/>
      <c r="B1391" s="17"/>
      <c r="C1391" s="2"/>
      <c r="D1391" s="2"/>
      <c r="E1391" s="2"/>
      <c r="F1391" s="2"/>
      <c r="G1391" s="2"/>
      <c r="H1391" s="2"/>
      <c r="I1391" s="5"/>
    </row>
    <row r="1392" spans="1:9" ht="17.399999999999999" x14ac:dyDescent="0.25">
      <c r="A1392" s="16"/>
      <c r="B1392" s="17"/>
      <c r="C1392" s="2"/>
      <c r="D1392" s="2"/>
      <c r="E1392" s="2"/>
      <c r="F1392" s="2"/>
      <c r="G1392" s="2"/>
      <c r="H1392" s="2"/>
      <c r="I1392" s="5"/>
    </row>
    <row r="1393" spans="1:9" ht="17.399999999999999" x14ac:dyDescent="0.25">
      <c r="A1393" s="16"/>
      <c r="B1393" s="17"/>
      <c r="C1393" s="2"/>
      <c r="D1393" s="2"/>
      <c r="E1393" s="2"/>
      <c r="F1393" s="2"/>
      <c r="G1393" s="2"/>
      <c r="H1393" s="2"/>
      <c r="I1393" s="5"/>
    </row>
    <row r="1394" spans="1:9" ht="17.399999999999999" x14ac:dyDescent="0.25">
      <c r="A1394" s="16"/>
      <c r="B1394" s="17"/>
      <c r="C1394" s="2"/>
      <c r="D1394" s="2"/>
      <c r="E1394" s="2"/>
      <c r="F1394" s="2"/>
      <c r="G1394" s="2"/>
      <c r="H1394" s="2"/>
      <c r="I1394" s="5"/>
    </row>
    <row r="1395" spans="1:9" ht="17.399999999999999" x14ac:dyDescent="0.25">
      <c r="A1395" s="16"/>
      <c r="B1395" s="17"/>
      <c r="C1395" s="2"/>
      <c r="D1395" s="2"/>
      <c r="E1395" s="2"/>
      <c r="F1395" s="2"/>
      <c r="G1395" s="2"/>
      <c r="H1395" s="2"/>
      <c r="I1395" s="5"/>
    </row>
    <row r="1396" spans="1:9" ht="17.399999999999999" x14ac:dyDescent="0.25">
      <c r="A1396" s="16"/>
      <c r="B1396" s="17"/>
      <c r="C1396" s="2"/>
      <c r="D1396" s="2"/>
      <c r="E1396" s="2"/>
      <c r="F1396" s="2"/>
      <c r="G1396" s="2"/>
      <c r="H1396" s="2"/>
      <c r="I1396" s="5"/>
    </row>
    <row r="1397" spans="1:9" ht="17.399999999999999" x14ac:dyDescent="0.25">
      <c r="A1397" s="16"/>
      <c r="B1397" s="17"/>
      <c r="C1397" s="2"/>
      <c r="D1397" s="2"/>
      <c r="E1397" s="2"/>
      <c r="F1397" s="2"/>
      <c r="G1397" s="2"/>
      <c r="H1397" s="2"/>
      <c r="I1397" s="5"/>
    </row>
    <row r="1398" spans="1:9" ht="17.399999999999999" x14ac:dyDescent="0.25">
      <c r="A1398" s="16"/>
      <c r="B1398" s="17"/>
      <c r="C1398" s="2"/>
      <c r="D1398" s="2"/>
      <c r="E1398" s="2"/>
      <c r="F1398" s="2"/>
      <c r="G1398" s="2"/>
      <c r="H1398" s="2"/>
      <c r="I1398" s="5"/>
    </row>
    <row r="1399" spans="1:9" ht="17.399999999999999" x14ac:dyDescent="0.25">
      <c r="A1399" s="16"/>
      <c r="B1399" s="17"/>
      <c r="C1399" s="2"/>
      <c r="D1399" s="2"/>
      <c r="E1399" s="2"/>
      <c r="F1399" s="2"/>
      <c r="G1399" s="2"/>
      <c r="H1399" s="2"/>
      <c r="I1399" s="5"/>
    </row>
    <row r="1400" spans="1:9" ht="17.399999999999999" x14ac:dyDescent="0.25">
      <c r="A1400" s="16"/>
      <c r="B1400" s="17"/>
      <c r="C1400" s="2"/>
      <c r="D1400" s="2"/>
      <c r="E1400" s="2"/>
      <c r="F1400" s="2"/>
      <c r="G1400" s="2"/>
      <c r="H1400" s="2"/>
      <c r="I1400" s="5"/>
    </row>
    <row r="1401" spans="1:9" ht="17.399999999999999" x14ac:dyDescent="0.25">
      <c r="A1401" s="16"/>
      <c r="B1401" s="17"/>
      <c r="C1401" s="2"/>
      <c r="D1401" s="2"/>
      <c r="E1401" s="2"/>
      <c r="F1401" s="2"/>
      <c r="G1401" s="2"/>
      <c r="H1401" s="2"/>
      <c r="I1401" s="5"/>
    </row>
    <row r="1402" spans="1:9" ht="17.399999999999999" x14ac:dyDescent="0.25">
      <c r="A1402" s="16"/>
      <c r="B1402" s="17"/>
      <c r="C1402" s="2"/>
      <c r="D1402" s="2"/>
      <c r="E1402" s="2"/>
      <c r="F1402" s="2"/>
      <c r="G1402" s="2"/>
      <c r="H1402" s="2"/>
      <c r="I1402" s="5"/>
    </row>
    <row r="1403" spans="1:9" ht="17.399999999999999" x14ac:dyDescent="0.25">
      <c r="A1403" s="16"/>
      <c r="B1403" s="17"/>
      <c r="C1403" s="2"/>
      <c r="D1403" s="2"/>
      <c r="E1403" s="2"/>
      <c r="F1403" s="2"/>
      <c r="G1403" s="2"/>
      <c r="H1403" s="2"/>
      <c r="I1403" s="5"/>
    </row>
    <row r="1404" spans="1:9" ht="17.399999999999999" x14ac:dyDescent="0.25">
      <c r="A1404" s="16"/>
      <c r="B1404" s="17"/>
      <c r="C1404" s="2"/>
      <c r="D1404" s="2"/>
      <c r="E1404" s="2"/>
      <c r="F1404" s="2"/>
      <c r="G1404" s="2"/>
      <c r="H1404" s="2"/>
      <c r="I1404" s="5"/>
    </row>
    <row r="1405" spans="1:9" ht="17.399999999999999" x14ac:dyDescent="0.25">
      <c r="A1405" s="16"/>
      <c r="B1405" s="17"/>
      <c r="C1405" s="2"/>
      <c r="D1405" s="2"/>
      <c r="E1405" s="2"/>
      <c r="F1405" s="2"/>
      <c r="G1405" s="2"/>
      <c r="H1405" s="2"/>
      <c r="I1405" s="5"/>
    </row>
    <row r="1406" spans="1:9" ht="17.399999999999999" x14ac:dyDescent="0.25">
      <c r="A1406" s="16"/>
      <c r="B1406" s="17"/>
      <c r="C1406" s="2"/>
      <c r="D1406" s="2"/>
      <c r="E1406" s="2"/>
      <c r="F1406" s="2"/>
      <c r="G1406" s="2"/>
      <c r="H1406" s="2"/>
      <c r="I1406" s="5"/>
    </row>
    <row r="1407" spans="1:9" ht="17.399999999999999" x14ac:dyDescent="0.25">
      <c r="A1407" s="16"/>
      <c r="B1407" s="17"/>
      <c r="C1407" s="2"/>
      <c r="D1407" s="2"/>
      <c r="E1407" s="2"/>
      <c r="F1407" s="2"/>
      <c r="G1407" s="2"/>
      <c r="H1407" s="2"/>
      <c r="I1407" s="5"/>
    </row>
    <row r="1408" spans="1:9" ht="17.399999999999999" x14ac:dyDescent="0.25">
      <c r="A1408" s="16"/>
      <c r="B1408" s="17"/>
      <c r="C1408" s="2"/>
      <c r="D1408" s="2"/>
      <c r="E1408" s="2"/>
      <c r="F1408" s="2"/>
      <c r="G1408" s="2"/>
      <c r="H1408" s="2"/>
      <c r="I1408" s="5"/>
    </row>
    <row r="1409" spans="1:9" ht="17.399999999999999" x14ac:dyDescent="0.25">
      <c r="A1409" s="16"/>
      <c r="B1409" s="17"/>
      <c r="C1409" s="2"/>
      <c r="D1409" s="2"/>
      <c r="E1409" s="2"/>
      <c r="F1409" s="2"/>
      <c r="G1409" s="2"/>
      <c r="H1409" s="2"/>
      <c r="I1409" s="5"/>
    </row>
    <row r="1410" spans="1:9" ht="17.399999999999999" x14ac:dyDescent="0.25">
      <c r="A1410" s="16"/>
      <c r="B1410" s="17"/>
      <c r="C1410" s="2"/>
      <c r="D1410" s="2"/>
      <c r="E1410" s="2"/>
      <c r="F1410" s="2"/>
      <c r="G1410" s="2"/>
      <c r="H1410" s="2"/>
      <c r="I1410" s="5"/>
    </row>
    <row r="1411" spans="1:9" ht="17.399999999999999" x14ac:dyDescent="0.25">
      <c r="A1411" s="16"/>
      <c r="B1411" s="17"/>
      <c r="C1411" s="2"/>
      <c r="D1411" s="2"/>
      <c r="E1411" s="2"/>
      <c r="F1411" s="2"/>
      <c r="G1411" s="2"/>
      <c r="H1411" s="2"/>
      <c r="I1411" s="5"/>
    </row>
    <row r="1412" spans="1:9" ht="17.399999999999999" x14ac:dyDescent="0.25">
      <c r="A1412" s="16"/>
      <c r="B1412" s="17"/>
      <c r="C1412" s="2"/>
      <c r="D1412" s="2"/>
      <c r="E1412" s="2"/>
      <c r="F1412" s="2"/>
      <c r="G1412" s="2"/>
      <c r="H1412" s="2"/>
      <c r="I1412" s="5"/>
    </row>
    <row r="1413" spans="1:9" ht="17.399999999999999" x14ac:dyDescent="0.25">
      <c r="A1413" s="16"/>
      <c r="B1413" s="17"/>
      <c r="C1413" s="2"/>
      <c r="D1413" s="2"/>
      <c r="E1413" s="2"/>
      <c r="F1413" s="2"/>
      <c r="G1413" s="2"/>
      <c r="H1413" s="2"/>
      <c r="I1413" s="5"/>
    </row>
    <row r="1414" spans="1:9" ht="17.399999999999999" x14ac:dyDescent="0.25">
      <c r="A1414" s="16"/>
      <c r="B1414" s="17"/>
      <c r="C1414" s="2"/>
      <c r="D1414" s="2"/>
      <c r="E1414" s="2"/>
      <c r="F1414" s="2"/>
      <c r="G1414" s="2"/>
      <c r="H1414" s="2"/>
      <c r="I1414" s="5"/>
    </row>
    <row r="1415" spans="1:9" ht="17.399999999999999" x14ac:dyDescent="0.25">
      <c r="A1415" s="16"/>
      <c r="B1415" s="17"/>
      <c r="C1415" s="2"/>
      <c r="D1415" s="2"/>
      <c r="E1415" s="2"/>
      <c r="F1415" s="2"/>
      <c r="G1415" s="2"/>
      <c r="H1415" s="2"/>
      <c r="I1415" s="5"/>
    </row>
    <row r="1416" spans="1:9" ht="17.399999999999999" x14ac:dyDescent="0.25">
      <c r="A1416" s="16"/>
      <c r="B1416" s="17"/>
      <c r="C1416" s="2"/>
      <c r="D1416" s="2"/>
      <c r="E1416" s="2"/>
      <c r="F1416" s="2"/>
      <c r="G1416" s="2"/>
      <c r="H1416" s="2"/>
      <c r="I1416" s="5"/>
    </row>
    <row r="1417" spans="1:9" ht="17.399999999999999" x14ac:dyDescent="0.25">
      <c r="A1417" s="16"/>
      <c r="B1417" s="17"/>
      <c r="C1417" s="2"/>
      <c r="D1417" s="2"/>
      <c r="E1417" s="2"/>
      <c r="F1417" s="2"/>
      <c r="G1417" s="2"/>
      <c r="H1417" s="2"/>
      <c r="I1417" s="5"/>
    </row>
    <row r="1418" spans="1:9" ht="17.399999999999999" x14ac:dyDescent="0.25">
      <c r="A1418" s="16"/>
      <c r="B1418" s="17"/>
      <c r="C1418" s="2"/>
      <c r="D1418" s="2"/>
      <c r="E1418" s="2"/>
      <c r="F1418" s="2"/>
      <c r="G1418" s="2"/>
      <c r="H1418" s="2"/>
      <c r="I1418" s="5"/>
    </row>
    <row r="1419" spans="1:9" ht="17.399999999999999" x14ac:dyDescent="0.25">
      <c r="A1419" s="16"/>
      <c r="B1419" s="17"/>
      <c r="C1419" s="2"/>
      <c r="D1419" s="2"/>
      <c r="E1419" s="2"/>
      <c r="F1419" s="2"/>
      <c r="G1419" s="2"/>
      <c r="H1419" s="2"/>
      <c r="I1419" s="5"/>
    </row>
    <row r="1420" spans="1:9" ht="17.399999999999999" x14ac:dyDescent="0.25">
      <c r="A1420" s="16"/>
      <c r="B1420" s="17"/>
      <c r="C1420" s="2"/>
      <c r="D1420" s="2"/>
      <c r="E1420" s="2"/>
      <c r="F1420" s="2"/>
      <c r="G1420" s="2"/>
      <c r="H1420" s="2"/>
      <c r="I1420" s="5"/>
    </row>
    <row r="1421" spans="1:9" ht="17.399999999999999" x14ac:dyDescent="0.25">
      <c r="A1421" s="16"/>
      <c r="B1421" s="17"/>
      <c r="C1421" s="2"/>
      <c r="D1421" s="2"/>
      <c r="E1421" s="2"/>
      <c r="F1421" s="2"/>
      <c r="G1421" s="2"/>
      <c r="H1421" s="2"/>
      <c r="I1421" s="5"/>
    </row>
    <row r="1422" spans="1:9" ht="17.399999999999999" x14ac:dyDescent="0.25">
      <c r="A1422" s="16"/>
      <c r="B1422" s="17"/>
      <c r="C1422" s="2"/>
      <c r="D1422" s="2"/>
      <c r="E1422" s="2"/>
      <c r="F1422" s="2"/>
      <c r="G1422" s="2"/>
      <c r="H1422" s="2"/>
      <c r="I1422" s="5"/>
    </row>
    <row r="1423" spans="1:9" ht="17.399999999999999" x14ac:dyDescent="0.25">
      <c r="A1423" s="16"/>
      <c r="B1423" s="17"/>
      <c r="C1423" s="2"/>
      <c r="D1423" s="2"/>
      <c r="E1423" s="2"/>
      <c r="F1423" s="2"/>
      <c r="G1423" s="2"/>
      <c r="H1423" s="2"/>
      <c r="I1423" s="5"/>
    </row>
    <row r="1424" spans="1:9" ht="17.399999999999999" x14ac:dyDescent="0.25">
      <c r="A1424" s="16"/>
      <c r="B1424" s="17"/>
      <c r="C1424" s="2"/>
      <c r="D1424" s="2"/>
      <c r="E1424" s="2"/>
      <c r="F1424" s="2"/>
      <c r="G1424" s="2"/>
      <c r="H1424" s="2"/>
      <c r="I1424" s="5"/>
    </row>
    <row r="1425" spans="1:9" ht="17.399999999999999" x14ac:dyDescent="0.25">
      <c r="A1425" s="16"/>
      <c r="B1425" s="17"/>
      <c r="C1425" s="2"/>
      <c r="D1425" s="2"/>
      <c r="E1425" s="2"/>
      <c r="F1425" s="2"/>
      <c r="G1425" s="2"/>
      <c r="H1425" s="2"/>
      <c r="I1425" s="5"/>
    </row>
    <row r="1426" spans="1:9" ht="17.399999999999999" x14ac:dyDescent="0.25">
      <c r="A1426" s="16"/>
      <c r="B1426" s="17"/>
      <c r="C1426" s="2"/>
      <c r="D1426" s="2"/>
      <c r="E1426" s="2"/>
      <c r="F1426" s="2"/>
      <c r="G1426" s="2"/>
      <c r="H1426" s="2"/>
      <c r="I1426" s="5"/>
    </row>
    <row r="1427" spans="1:9" ht="17.399999999999999" x14ac:dyDescent="0.25">
      <c r="A1427" s="16"/>
      <c r="B1427" s="17"/>
      <c r="C1427" s="2"/>
      <c r="D1427" s="2"/>
      <c r="E1427" s="2"/>
      <c r="F1427" s="2"/>
      <c r="G1427" s="2"/>
      <c r="H1427" s="2"/>
      <c r="I1427" s="5"/>
    </row>
    <row r="1428" spans="1:9" ht="17.399999999999999" x14ac:dyDescent="0.25">
      <c r="A1428" s="16"/>
      <c r="B1428" s="17"/>
      <c r="C1428" s="2"/>
      <c r="D1428" s="2"/>
      <c r="E1428" s="2"/>
      <c r="F1428" s="2"/>
      <c r="G1428" s="2"/>
      <c r="H1428" s="2"/>
      <c r="I1428" s="5"/>
    </row>
    <row r="1429" spans="1:9" ht="17.399999999999999" x14ac:dyDescent="0.25">
      <c r="A1429" s="16"/>
      <c r="B1429" s="17"/>
      <c r="C1429" s="2"/>
      <c r="D1429" s="2"/>
      <c r="E1429" s="2"/>
      <c r="F1429" s="2"/>
      <c r="G1429" s="2"/>
      <c r="H1429" s="2"/>
      <c r="I1429" s="5"/>
    </row>
    <row r="1430" spans="1:9" ht="17.399999999999999" x14ac:dyDescent="0.25">
      <c r="A1430" s="16"/>
      <c r="B1430" s="17"/>
      <c r="C1430" s="2"/>
      <c r="D1430" s="2"/>
      <c r="E1430" s="2"/>
      <c r="F1430" s="2"/>
      <c r="G1430" s="2"/>
      <c r="H1430" s="2"/>
      <c r="I1430" s="5"/>
    </row>
    <row r="1431" spans="1:9" ht="17.399999999999999" x14ac:dyDescent="0.25">
      <c r="A1431" s="16"/>
      <c r="B1431" s="17"/>
      <c r="C1431" s="2"/>
      <c r="D1431" s="2"/>
      <c r="E1431" s="2"/>
      <c r="F1431" s="2"/>
      <c r="G1431" s="2"/>
      <c r="H1431" s="2"/>
      <c r="I1431" s="5"/>
    </row>
    <row r="1432" spans="1:9" ht="17.399999999999999" x14ac:dyDescent="0.25">
      <c r="A1432" s="16"/>
      <c r="B1432" s="17"/>
      <c r="C1432" s="2"/>
      <c r="D1432" s="2"/>
      <c r="E1432" s="2"/>
      <c r="F1432" s="2"/>
      <c r="G1432" s="2"/>
      <c r="H1432" s="2"/>
      <c r="I1432" s="5"/>
    </row>
    <row r="1433" spans="1:9" ht="17.399999999999999" x14ac:dyDescent="0.25">
      <c r="A1433" s="16"/>
      <c r="B1433" s="17"/>
      <c r="C1433" s="2"/>
      <c r="D1433" s="2"/>
      <c r="E1433" s="2"/>
      <c r="F1433" s="2"/>
      <c r="G1433" s="2"/>
      <c r="H1433" s="2"/>
      <c r="I1433" s="5"/>
    </row>
    <row r="1434" spans="1:9" ht="17.399999999999999" x14ac:dyDescent="0.25">
      <c r="A1434" s="16"/>
      <c r="B1434" s="17"/>
      <c r="C1434" s="2"/>
      <c r="D1434" s="2"/>
      <c r="E1434" s="2"/>
      <c r="F1434" s="2"/>
      <c r="G1434" s="2"/>
      <c r="H1434" s="2"/>
      <c r="I1434" s="5"/>
    </row>
    <row r="1435" spans="1:9" ht="17.399999999999999" x14ac:dyDescent="0.25">
      <c r="A1435" s="16"/>
      <c r="B1435" s="17"/>
      <c r="C1435" s="2"/>
      <c r="D1435" s="2"/>
      <c r="E1435" s="2"/>
      <c r="F1435" s="2"/>
      <c r="G1435" s="2"/>
      <c r="H1435" s="2"/>
      <c r="I1435" s="5"/>
    </row>
    <row r="1436" spans="1:9" ht="17.399999999999999" x14ac:dyDescent="0.25">
      <c r="A1436" s="16"/>
      <c r="B1436" s="17"/>
      <c r="C1436" s="2"/>
      <c r="D1436" s="2"/>
      <c r="E1436" s="2"/>
      <c r="F1436" s="2"/>
      <c r="G1436" s="2"/>
      <c r="H1436" s="2"/>
      <c r="I1436" s="5"/>
    </row>
    <row r="1437" spans="1:9" ht="17.399999999999999" x14ac:dyDescent="0.25">
      <c r="A1437" s="16"/>
      <c r="B1437" s="17"/>
      <c r="C1437" s="2"/>
      <c r="D1437" s="2"/>
      <c r="E1437" s="2"/>
      <c r="F1437" s="2"/>
      <c r="G1437" s="2"/>
      <c r="H1437" s="2"/>
      <c r="I1437" s="5"/>
    </row>
    <row r="1438" spans="1:9" ht="17.399999999999999" x14ac:dyDescent="0.25">
      <c r="A1438" s="16"/>
      <c r="B1438" s="17"/>
      <c r="C1438" s="2"/>
      <c r="D1438" s="2"/>
      <c r="E1438" s="2"/>
      <c r="F1438" s="2"/>
      <c r="G1438" s="2"/>
      <c r="H1438" s="2"/>
      <c r="I1438" s="5"/>
    </row>
    <row r="1439" spans="1:9" ht="17.399999999999999" x14ac:dyDescent="0.25">
      <c r="A1439" s="16"/>
      <c r="B1439" s="17"/>
      <c r="C1439" s="2"/>
      <c r="D1439" s="2"/>
      <c r="E1439" s="2"/>
      <c r="F1439" s="2"/>
      <c r="G1439" s="2"/>
      <c r="H1439" s="2"/>
      <c r="I1439" s="5"/>
    </row>
    <row r="1440" spans="1:9" ht="17.399999999999999" x14ac:dyDescent="0.25">
      <c r="A1440" s="16"/>
      <c r="B1440" s="17"/>
      <c r="C1440" s="2"/>
      <c r="D1440" s="2"/>
      <c r="E1440" s="2"/>
      <c r="F1440" s="2"/>
      <c r="G1440" s="2"/>
      <c r="H1440" s="2"/>
      <c r="I1440" s="5"/>
    </row>
    <row r="1441" spans="1:9" ht="17.399999999999999" x14ac:dyDescent="0.25">
      <c r="A1441" s="16"/>
      <c r="B1441" s="17"/>
      <c r="C1441" s="2"/>
      <c r="D1441" s="2"/>
      <c r="E1441" s="2"/>
      <c r="F1441" s="2"/>
      <c r="G1441" s="2"/>
      <c r="H1441" s="2"/>
      <c r="I1441" s="5"/>
    </row>
    <row r="1442" spans="1:9" ht="17.399999999999999" x14ac:dyDescent="0.25">
      <c r="A1442" s="16"/>
      <c r="B1442" s="17"/>
      <c r="C1442" s="2"/>
      <c r="D1442" s="2"/>
      <c r="E1442" s="2"/>
      <c r="F1442" s="2"/>
      <c r="G1442" s="2"/>
      <c r="H1442" s="2"/>
      <c r="I1442" s="5"/>
    </row>
    <row r="1443" spans="1:9" ht="17.399999999999999" x14ac:dyDescent="0.25">
      <c r="A1443" s="16"/>
      <c r="B1443" s="17"/>
      <c r="C1443" s="2"/>
      <c r="D1443" s="2"/>
      <c r="E1443" s="2"/>
      <c r="F1443" s="2"/>
      <c r="G1443" s="2"/>
      <c r="H1443" s="2"/>
      <c r="I1443" s="5"/>
    </row>
    <row r="1444" spans="1:9" ht="17.399999999999999" x14ac:dyDescent="0.25">
      <c r="A1444" s="16"/>
      <c r="B1444" s="17"/>
      <c r="C1444" s="2"/>
      <c r="D1444" s="2"/>
      <c r="E1444" s="2"/>
      <c r="F1444" s="2"/>
      <c r="G1444" s="2"/>
      <c r="H1444" s="2"/>
      <c r="I1444" s="5"/>
    </row>
    <row r="1445" spans="1:9" ht="17.399999999999999" x14ac:dyDescent="0.25">
      <c r="A1445" s="16"/>
      <c r="B1445" s="17"/>
      <c r="C1445" s="2"/>
      <c r="D1445" s="2"/>
      <c r="E1445" s="2"/>
      <c r="F1445" s="2"/>
      <c r="G1445" s="2"/>
      <c r="H1445" s="2"/>
      <c r="I1445" s="5"/>
    </row>
    <row r="1446" spans="1:9" ht="17.399999999999999" x14ac:dyDescent="0.25">
      <c r="A1446" s="16"/>
      <c r="B1446" s="17"/>
      <c r="C1446" s="2"/>
      <c r="D1446" s="2"/>
      <c r="E1446" s="2"/>
      <c r="F1446" s="2"/>
      <c r="G1446" s="2"/>
      <c r="H1446" s="2"/>
      <c r="I1446" s="5"/>
    </row>
    <row r="1447" spans="1:9" ht="17.399999999999999" x14ac:dyDescent="0.25">
      <c r="A1447" s="16"/>
      <c r="B1447" s="17"/>
      <c r="C1447" s="2"/>
      <c r="D1447" s="2"/>
      <c r="E1447" s="2"/>
      <c r="F1447" s="2"/>
      <c r="G1447" s="2"/>
      <c r="H1447" s="2"/>
      <c r="I1447" s="5"/>
    </row>
    <row r="1448" spans="1:9" ht="17.399999999999999" x14ac:dyDescent="0.25">
      <c r="A1448" s="16"/>
      <c r="B1448" s="17"/>
      <c r="C1448" s="2"/>
      <c r="D1448" s="2"/>
      <c r="E1448" s="2"/>
      <c r="F1448" s="2"/>
      <c r="G1448" s="2"/>
      <c r="H1448" s="2"/>
      <c r="I1448" s="5"/>
    </row>
    <row r="1449" spans="1:9" ht="17.399999999999999" x14ac:dyDescent="0.25">
      <c r="A1449" s="16"/>
      <c r="B1449" s="17"/>
      <c r="C1449" s="2"/>
      <c r="D1449" s="2"/>
      <c r="E1449" s="2"/>
      <c r="F1449" s="2"/>
      <c r="G1449" s="2"/>
      <c r="H1449" s="2"/>
      <c r="I1449" s="5"/>
    </row>
    <row r="1450" spans="1:9" ht="17.399999999999999" x14ac:dyDescent="0.25">
      <c r="A1450" s="16"/>
      <c r="B1450" s="17"/>
      <c r="C1450" s="2"/>
      <c r="D1450" s="2"/>
      <c r="E1450" s="2"/>
      <c r="F1450" s="2"/>
      <c r="G1450" s="2"/>
      <c r="H1450" s="2"/>
      <c r="I1450" s="5"/>
    </row>
    <row r="1451" spans="1:9" ht="17.399999999999999" x14ac:dyDescent="0.25">
      <c r="A1451" s="16"/>
      <c r="B1451" s="17"/>
      <c r="C1451" s="2"/>
      <c r="D1451" s="2"/>
      <c r="E1451" s="2"/>
      <c r="F1451" s="2"/>
      <c r="G1451" s="2"/>
      <c r="H1451" s="2"/>
      <c r="I1451" s="5"/>
    </row>
    <row r="1452" spans="1:9" ht="17.399999999999999" x14ac:dyDescent="0.25">
      <c r="A1452" s="16"/>
      <c r="B1452" s="17"/>
      <c r="C1452" s="2"/>
      <c r="D1452" s="2"/>
      <c r="E1452" s="2"/>
      <c r="F1452" s="2"/>
      <c r="G1452" s="2"/>
      <c r="H1452" s="2"/>
      <c r="I1452" s="5"/>
    </row>
    <row r="1453" spans="1:9" ht="17.399999999999999" x14ac:dyDescent="0.25">
      <c r="A1453" s="16"/>
      <c r="B1453" s="17"/>
      <c r="C1453" s="2"/>
      <c r="D1453" s="2"/>
      <c r="E1453" s="2"/>
      <c r="F1453" s="2"/>
      <c r="G1453" s="2"/>
      <c r="H1453" s="2"/>
      <c r="I1453" s="5"/>
    </row>
    <row r="1454" spans="1:9" ht="17.399999999999999" x14ac:dyDescent="0.25">
      <c r="A1454" s="16"/>
      <c r="B1454" s="17"/>
      <c r="C1454" s="2"/>
      <c r="D1454" s="2"/>
      <c r="E1454" s="2"/>
      <c r="F1454" s="2"/>
      <c r="G1454" s="2"/>
      <c r="H1454" s="2"/>
      <c r="I1454" s="5"/>
    </row>
    <row r="1455" spans="1:9" ht="17.399999999999999" x14ac:dyDescent="0.25">
      <c r="A1455" s="16"/>
      <c r="B1455" s="17"/>
      <c r="C1455" s="2"/>
      <c r="D1455" s="2"/>
      <c r="E1455" s="2"/>
      <c r="F1455" s="2"/>
      <c r="G1455" s="2"/>
      <c r="H1455" s="2"/>
      <c r="I1455" s="5"/>
    </row>
    <row r="1456" spans="1:9" ht="17.399999999999999" x14ac:dyDescent="0.25">
      <c r="A1456" s="16"/>
      <c r="B1456" s="17"/>
      <c r="C1456" s="2"/>
      <c r="D1456" s="2"/>
      <c r="E1456" s="2"/>
      <c r="F1456" s="2"/>
      <c r="G1456" s="2"/>
      <c r="H1456" s="2"/>
      <c r="I1456" s="5"/>
    </row>
    <row r="1457" spans="1:9" ht="17.399999999999999" x14ac:dyDescent="0.25">
      <c r="A1457" s="16"/>
      <c r="B1457" s="17"/>
      <c r="C1457" s="2"/>
      <c r="D1457" s="2"/>
      <c r="E1457" s="2"/>
      <c r="F1457" s="2"/>
      <c r="G1457" s="2"/>
      <c r="H1457" s="2"/>
      <c r="I1457" s="5"/>
    </row>
    <row r="1458" spans="1:9" ht="17.399999999999999" x14ac:dyDescent="0.25">
      <c r="A1458" s="16"/>
      <c r="B1458" s="17"/>
      <c r="C1458" s="2"/>
      <c r="D1458" s="2"/>
      <c r="E1458" s="2"/>
      <c r="F1458" s="2"/>
      <c r="G1458" s="2"/>
      <c r="H1458" s="2"/>
      <c r="I1458" s="5"/>
    </row>
    <row r="1459" spans="1:9" ht="17.399999999999999" x14ac:dyDescent="0.25">
      <c r="A1459" s="16"/>
      <c r="B1459" s="17"/>
      <c r="C1459" s="2"/>
      <c r="D1459" s="2"/>
      <c r="E1459" s="2"/>
      <c r="F1459" s="2"/>
      <c r="G1459" s="2"/>
      <c r="H1459" s="2"/>
      <c r="I1459" s="5"/>
    </row>
    <row r="1460" spans="1:9" ht="17.399999999999999" x14ac:dyDescent="0.25">
      <c r="A1460" s="16"/>
      <c r="B1460" s="17"/>
      <c r="C1460" s="2"/>
      <c r="D1460" s="2"/>
      <c r="E1460" s="2"/>
      <c r="F1460" s="2"/>
      <c r="G1460" s="2"/>
      <c r="H1460" s="2"/>
      <c r="I1460" s="5"/>
    </row>
    <row r="1461" spans="1:9" ht="17.399999999999999" x14ac:dyDescent="0.25">
      <c r="A1461" s="16"/>
      <c r="B1461" s="17"/>
      <c r="C1461" s="2"/>
      <c r="D1461" s="2"/>
      <c r="E1461" s="2"/>
      <c r="F1461" s="2"/>
      <c r="G1461" s="2"/>
      <c r="H1461" s="2"/>
      <c r="I1461" s="5"/>
    </row>
    <row r="1462" spans="1:9" ht="17.399999999999999" x14ac:dyDescent="0.25">
      <c r="A1462" s="16"/>
      <c r="B1462" s="17"/>
      <c r="C1462" s="2"/>
      <c r="D1462" s="2"/>
      <c r="E1462" s="2"/>
      <c r="F1462" s="2"/>
      <c r="G1462" s="2"/>
      <c r="H1462" s="2"/>
      <c r="I1462" s="5"/>
    </row>
    <row r="1463" spans="1:9" ht="17.399999999999999" x14ac:dyDescent="0.25">
      <c r="A1463" s="16"/>
      <c r="B1463" s="17"/>
      <c r="C1463" s="2"/>
      <c r="D1463" s="2"/>
      <c r="E1463" s="2"/>
      <c r="F1463" s="2"/>
      <c r="G1463" s="2"/>
      <c r="H1463" s="2"/>
      <c r="I1463" s="5"/>
    </row>
    <row r="1464" spans="1:9" ht="17.399999999999999" x14ac:dyDescent="0.25">
      <c r="A1464" s="16"/>
      <c r="B1464" s="17"/>
      <c r="C1464" s="2"/>
      <c r="D1464" s="2"/>
      <c r="E1464" s="2"/>
      <c r="F1464" s="2"/>
      <c r="G1464" s="2"/>
      <c r="H1464" s="2"/>
      <c r="I1464" s="5"/>
    </row>
    <row r="1465" spans="1:9" ht="17.399999999999999" x14ac:dyDescent="0.25">
      <c r="A1465" s="16"/>
      <c r="B1465" s="17"/>
      <c r="C1465" s="2"/>
      <c r="D1465" s="2"/>
      <c r="E1465" s="2"/>
      <c r="F1465" s="2"/>
      <c r="G1465" s="2"/>
      <c r="H1465" s="2"/>
      <c r="I1465" s="5"/>
    </row>
    <row r="1466" spans="1:9" ht="17.399999999999999" x14ac:dyDescent="0.25">
      <c r="A1466" s="16"/>
      <c r="B1466" s="17"/>
      <c r="C1466" s="2"/>
      <c r="D1466" s="2"/>
      <c r="E1466" s="2"/>
      <c r="F1466" s="2"/>
      <c r="G1466" s="2"/>
      <c r="H1466" s="2"/>
      <c r="I1466" s="5"/>
    </row>
    <row r="1467" spans="1:9" ht="17.399999999999999" x14ac:dyDescent="0.25">
      <c r="A1467" s="16"/>
      <c r="B1467" s="17"/>
      <c r="C1467" s="2"/>
      <c r="D1467" s="2"/>
      <c r="E1467" s="2"/>
      <c r="F1467" s="2"/>
      <c r="G1467" s="2"/>
      <c r="H1467" s="2"/>
      <c r="I1467" s="5"/>
    </row>
    <row r="1468" spans="1:9" ht="17.399999999999999" x14ac:dyDescent="0.25">
      <c r="A1468" s="16"/>
      <c r="B1468" s="17"/>
      <c r="C1468" s="2"/>
      <c r="D1468" s="2"/>
      <c r="E1468" s="2"/>
      <c r="F1468" s="2"/>
      <c r="G1468" s="2"/>
      <c r="H1468" s="2"/>
      <c r="I1468" s="5"/>
    </row>
    <row r="1469" spans="1:9" ht="17.399999999999999" x14ac:dyDescent="0.25">
      <c r="A1469" s="16"/>
      <c r="B1469" s="17"/>
      <c r="C1469" s="2"/>
      <c r="D1469" s="2"/>
      <c r="E1469" s="2"/>
      <c r="F1469" s="2"/>
      <c r="G1469" s="2"/>
      <c r="H1469" s="2"/>
      <c r="I1469" s="5"/>
    </row>
    <row r="1470" spans="1:9" ht="17.399999999999999" x14ac:dyDescent="0.25">
      <c r="A1470" s="16"/>
      <c r="B1470" s="17"/>
      <c r="C1470" s="2"/>
      <c r="D1470" s="2"/>
      <c r="E1470" s="2"/>
      <c r="F1470" s="2"/>
      <c r="G1470" s="2"/>
      <c r="H1470" s="2"/>
      <c r="I1470" s="5"/>
    </row>
    <row r="1471" spans="1:9" ht="17.399999999999999" x14ac:dyDescent="0.25">
      <c r="A1471" s="16"/>
      <c r="B1471" s="17"/>
      <c r="C1471" s="2"/>
      <c r="D1471" s="2"/>
      <c r="E1471" s="2"/>
      <c r="F1471" s="2"/>
      <c r="G1471" s="2"/>
      <c r="H1471" s="2"/>
      <c r="I1471" s="5"/>
    </row>
    <row r="1472" spans="1:9" ht="17.399999999999999" x14ac:dyDescent="0.25">
      <c r="A1472" s="16"/>
      <c r="B1472" s="17"/>
      <c r="C1472" s="2"/>
      <c r="D1472" s="2"/>
      <c r="E1472" s="2"/>
      <c r="F1472" s="2"/>
      <c r="G1472" s="2"/>
      <c r="H1472" s="2"/>
      <c r="I1472" s="5"/>
    </row>
    <row r="1473" spans="1:9" ht="17.399999999999999" x14ac:dyDescent="0.25">
      <c r="A1473" s="16"/>
      <c r="B1473" s="17"/>
      <c r="C1473" s="2"/>
      <c r="D1473" s="2"/>
      <c r="E1473" s="2"/>
      <c r="F1473" s="2"/>
      <c r="G1473" s="2"/>
      <c r="H1473" s="2"/>
      <c r="I1473" s="5"/>
    </row>
    <row r="1474" spans="1:9" ht="17.399999999999999" x14ac:dyDescent="0.25">
      <c r="A1474" s="16"/>
      <c r="B1474" s="17"/>
      <c r="C1474" s="2"/>
      <c r="D1474" s="2"/>
      <c r="E1474" s="2"/>
      <c r="F1474" s="2"/>
      <c r="G1474" s="2"/>
      <c r="H1474" s="2"/>
      <c r="I1474" s="5"/>
    </row>
    <row r="1475" spans="1:9" ht="17.399999999999999" x14ac:dyDescent="0.25">
      <c r="A1475" s="16"/>
      <c r="B1475" s="17"/>
      <c r="C1475" s="2"/>
      <c r="D1475" s="2"/>
      <c r="E1475" s="2"/>
      <c r="F1475" s="2"/>
      <c r="G1475" s="2"/>
      <c r="H1475" s="2"/>
      <c r="I1475" s="5"/>
    </row>
    <row r="1476" spans="1:9" ht="17.399999999999999" x14ac:dyDescent="0.25">
      <c r="A1476" s="16"/>
      <c r="B1476" s="17"/>
      <c r="C1476" s="2"/>
      <c r="D1476" s="2"/>
      <c r="E1476" s="2"/>
      <c r="F1476" s="2"/>
      <c r="G1476" s="2"/>
      <c r="H1476" s="2"/>
      <c r="I1476" s="5"/>
    </row>
    <row r="1477" spans="1:9" ht="17.399999999999999" x14ac:dyDescent="0.25">
      <c r="A1477" s="16"/>
      <c r="B1477" s="17"/>
      <c r="C1477" s="2"/>
      <c r="D1477" s="2"/>
      <c r="E1477" s="2"/>
      <c r="F1477" s="2"/>
      <c r="G1477" s="2"/>
      <c r="H1477" s="2"/>
      <c r="I1477" s="5"/>
    </row>
    <row r="1478" spans="1:9" ht="17.399999999999999" x14ac:dyDescent="0.25">
      <c r="A1478" s="16"/>
      <c r="B1478" s="17"/>
      <c r="C1478" s="2"/>
      <c r="D1478" s="2"/>
      <c r="E1478" s="2"/>
      <c r="F1478" s="2"/>
      <c r="G1478" s="2"/>
      <c r="H1478" s="2"/>
      <c r="I1478" s="5"/>
    </row>
    <row r="1479" spans="1:9" ht="17.399999999999999" x14ac:dyDescent="0.25">
      <c r="A1479" s="16"/>
      <c r="B1479" s="17"/>
      <c r="C1479" s="2"/>
      <c r="D1479" s="2"/>
      <c r="E1479" s="2"/>
      <c r="F1479" s="2"/>
      <c r="G1479" s="2"/>
      <c r="H1479" s="2"/>
      <c r="I1479" s="5"/>
    </row>
    <row r="1480" spans="1:9" ht="17.399999999999999" x14ac:dyDescent="0.25">
      <c r="A1480" s="16"/>
      <c r="B1480" s="17"/>
      <c r="C1480" s="2"/>
      <c r="D1480" s="2"/>
      <c r="E1480" s="2"/>
      <c r="F1480" s="2"/>
      <c r="G1480" s="2"/>
      <c r="H1480" s="2"/>
      <c r="I1480" s="5"/>
    </row>
    <row r="1481" spans="1:9" ht="17.399999999999999" x14ac:dyDescent="0.25">
      <c r="A1481" s="16"/>
      <c r="B1481" s="17"/>
      <c r="C1481" s="2"/>
      <c r="D1481" s="2"/>
      <c r="E1481" s="2"/>
      <c r="F1481" s="2"/>
      <c r="G1481" s="2"/>
      <c r="H1481" s="2"/>
      <c r="I1481" s="5"/>
    </row>
    <row r="1482" spans="1:9" ht="17.399999999999999" x14ac:dyDescent="0.25">
      <c r="A1482" s="16"/>
      <c r="B1482" s="17"/>
      <c r="C1482" s="2"/>
      <c r="D1482" s="2"/>
      <c r="E1482" s="2"/>
      <c r="F1482" s="2"/>
      <c r="G1482" s="2"/>
      <c r="H1482" s="2"/>
      <c r="I1482" s="5"/>
    </row>
    <row r="1483" spans="1:9" ht="17.399999999999999" x14ac:dyDescent="0.25">
      <c r="A1483" s="16"/>
      <c r="B1483" s="17"/>
      <c r="C1483" s="2"/>
      <c r="D1483" s="2"/>
      <c r="E1483" s="2"/>
      <c r="F1483" s="2"/>
      <c r="G1483" s="2"/>
      <c r="H1483" s="2"/>
      <c r="I1483" s="5"/>
    </row>
    <row r="1484" spans="1:9" ht="17.399999999999999" x14ac:dyDescent="0.25">
      <c r="A1484" s="16"/>
      <c r="B1484" s="17"/>
      <c r="C1484" s="2"/>
      <c r="D1484" s="2"/>
      <c r="E1484" s="2"/>
      <c r="F1484" s="2"/>
      <c r="G1484" s="2"/>
      <c r="H1484" s="2"/>
      <c r="I1484" s="5"/>
    </row>
    <row r="1485" spans="1:9" ht="17.399999999999999" x14ac:dyDescent="0.25">
      <c r="A1485" s="16"/>
      <c r="B1485" s="17"/>
      <c r="C1485" s="2"/>
      <c r="D1485" s="2"/>
      <c r="E1485" s="2"/>
      <c r="F1485" s="2"/>
      <c r="G1485" s="2"/>
      <c r="H1485" s="2"/>
      <c r="I1485" s="5"/>
    </row>
    <row r="1486" spans="1:9" ht="17.399999999999999" x14ac:dyDescent="0.25">
      <c r="A1486" s="16"/>
      <c r="B1486" s="17"/>
      <c r="C1486" s="2"/>
      <c r="D1486" s="2"/>
      <c r="E1486" s="2"/>
      <c r="F1486" s="2"/>
      <c r="G1486" s="2"/>
      <c r="H1486" s="2"/>
      <c r="I1486" s="5"/>
    </row>
    <row r="1487" spans="1:9" ht="17.399999999999999" x14ac:dyDescent="0.25">
      <c r="A1487" s="16"/>
      <c r="B1487" s="17"/>
      <c r="C1487" s="2"/>
      <c r="D1487" s="2"/>
      <c r="E1487" s="2"/>
      <c r="F1487" s="2"/>
      <c r="G1487" s="2"/>
      <c r="H1487" s="2"/>
      <c r="I1487" s="5"/>
    </row>
    <row r="1488" spans="1:9" ht="17.399999999999999" x14ac:dyDescent="0.25">
      <c r="A1488" s="16"/>
      <c r="B1488" s="17"/>
      <c r="C1488" s="2"/>
      <c r="D1488" s="2"/>
      <c r="E1488" s="2"/>
      <c r="F1488" s="2"/>
      <c r="G1488" s="2"/>
      <c r="H1488" s="2"/>
      <c r="I1488" s="5"/>
    </row>
    <row r="1489" spans="1:9" ht="17.399999999999999" x14ac:dyDescent="0.25">
      <c r="A1489" s="16"/>
      <c r="B1489" s="17"/>
      <c r="C1489" s="2"/>
      <c r="D1489" s="2"/>
      <c r="E1489" s="2"/>
      <c r="F1489" s="2"/>
      <c r="G1489" s="2"/>
      <c r="H1489" s="2"/>
      <c r="I1489" s="5"/>
    </row>
    <row r="1490" spans="1:9" ht="17.399999999999999" x14ac:dyDescent="0.25">
      <c r="A1490" s="16"/>
      <c r="B1490" s="17"/>
      <c r="C1490" s="2"/>
      <c r="D1490" s="2"/>
      <c r="E1490" s="2"/>
      <c r="F1490" s="2"/>
      <c r="G1490" s="2"/>
      <c r="H1490" s="2"/>
      <c r="I1490" s="5"/>
    </row>
    <row r="1491" spans="1:9" ht="17.399999999999999" x14ac:dyDescent="0.25">
      <c r="A1491" s="16"/>
      <c r="B1491" s="17"/>
      <c r="C1491" s="2"/>
      <c r="D1491" s="2"/>
      <c r="E1491" s="2"/>
      <c r="F1491" s="2"/>
      <c r="G1491" s="2"/>
      <c r="H1491" s="2"/>
      <c r="I1491" s="5"/>
    </row>
    <row r="1492" spans="1:9" ht="17.399999999999999" x14ac:dyDescent="0.25">
      <c r="A1492" s="16"/>
      <c r="B1492" s="17"/>
      <c r="C1492" s="2"/>
      <c r="D1492" s="2"/>
      <c r="E1492" s="2"/>
      <c r="F1492" s="2"/>
      <c r="G1492" s="2"/>
      <c r="H1492" s="2"/>
      <c r="I1492" s="5"/>
    </row>
    <row r="1493" spans="1:9" ht="17.399999999999999" x14ac:dyDescent="0.25">
      <c r="A1493" s="16"/>
      <c r="B1493" s="17"/>
      <c r="C1493" s="2"/>
      <c r="D1493" s="2"/>
      <c r="E1493" s="2"/>
      <c r="F1493" s="2"/>
      <c r="G1493" s="2"/>
      <c r="H1493" s="2"/>
      <c r="I1493" s="5"/>
    </row>
    <row r="1494" spans="1:9" ht="17.399999999999999" x14ac:dyDescent="0.25">
      <c r="A1494" s="16"/>
      <c r="B1494" s="17"/>
      <c r="C1494" s="2"/>
      <c r="D1494" s="2"/>
      <c r="E1494" s="2"/>
      <c r="F1494" s="2"/>
      <c r="G1494" s="2"/>
      <c r="H1494" s="2"/>
      <c r="I1494" s="5"/>
    </row>
    <row r="1495" spans="1:9" ht="17.399999999999999" x14ac:dyDescent="0.25">
      <c r="A1495" s="16"/>
      <c r="B1495" s="17"/>
      <c r="C1495" s="2"/>
      <c r="D1495" s="2"/>
      <c r="E1495" s="2"/>
      <c r="F1495" s="2"/>
      <c r="G1495" s="2"/>
      <c r="H1495" s="2"/>
      <c r="I1495" s="5"/>
    </row>
    <row r="1496" spans="1:9" ht="17.399999999999999" x14ac:dyDescent="0.25">
      <c r="A1496" s="16"/>
      <c r="B1496" s="17"/>
      <c r="C1496" s="2"/>
      <c r="D1496" s="2"/>
      <c r="E1496" s="2"/>
      <c r="F1496" s="2"/>
      <c r="G1496" s="2"/>
      <c r="H1496" s="2"/>
      <c r="I1496" s="5"/>
    </row>
    <row r="1497" spans="1:9" ht="17.399999999999999" x14ac:dyDescent="0.25">
      <c r="A1497" s="16"/>
      <c r="B1497" s="17"/>
      <c r="C1497" s="2"/>
      <c r="D1497" s="2"/>
      <c r="E1497" s="2"/>
      <c r="F1497" s="2"/>
      <c r="G1497" s="2"/>
      <c r="H1497" s="2"/>
      <c r="I1497" s="5"/>
    </row>
    <row r="1498" spans="1:9" ht="17.399999999999999" x14ac:dyDescent="0.25">
      <c r="A1498" s="16"/>
      <c r="B1498" s="17"/>
      <c r="C1498" s="2"/>
      <c r="D1498" s="2"/>
      <c r="E1498" s="2"/>
      <c r="F1498" s="2"/>
      <c r="G1498" s="2"/>
      <c r="H1498" s="2"/>
      <c r="I1498" s="5"/>
    </row>
    <row r="1499" spans="1:9" ht="17.399999999999999" x14ac:dyDescent="0.25">
      <c r="A1499" s="16"/>
      <c r="B1499" s="17"/>
      <c r="C1499" s="2"/>
      <c r="D1499" s="2"/>
      <c r="E1499" s="2"/>
      <c r="F1499" s="2"/>
      <c r="G1499" s="2"/>
      <c r="H1499" s="2"/>
      <c r="I1499" s="5"/>
    </row>
    <row r="1500" spans="1:9" ht="17.399999999999999" x14ac:dyDescent="0.25">
      <c r="A1500" s="16"/>
      <c r="B1500" s="17"/>
      <c r="C1500" s="2"/>
      <c r="D1500" s="2"/>
      <c r="E1500" s="2"/>
      <c r="F1500" s="2"/>
      <c r="G1500" s="2"/>
      <c r="H1500" s="2"/>
      <c r="I1500" s="5"/>
    </row>
    <row r="1501" spans="1:9" ht="17.399999999999999" x14ac:dyDescent="0.25">
      <c r="A1501" s="16"/>
      <c r="B1501" s="17"/>
      <c r="C1501" s="2"/>
      <c r="D1501" s="2"/>
      <c r="E1501" s="2"/>
      <c r="F1501" s="2"/>
      <c r="G1501" s="2"/>
      <c r="H1501" s="2"/>
      <c r="I1501" s="5"/>
    </row>
    <row r="1502" spans="1:9" ht="17.399999999999999" x14ac:dyDescent="0.25">
      <c r="A1502" s="16"/>
      <c r="B1502" s="17"/>
      <c r="C1502" s="2"/>
      <c r="D1502" s="2"/>
      <c r="E1502" s="2"/>
      <c r="F1502" s="2"/>
      <c r="G1502" s="2"/>
      <c r="H1502" s="2"/>
      <c r="I1502" s="5"/>
    </row>
    <row r="1503" spans="1:9" ht="17.399999999999999" x14ac:dyDescent="0.25">
      <c r="A1503" s="16"/>
      <c r="B1503" s="17"/>
      <c r="C1503" s="2"/>
      <c r="D1503" s="2"/>
      <c r="E1503" s="2"/>
      <c r="F1503" s="2"/>
      <c r="G1503" s="2"/>
      <c r="H1503" s="2"/>
      <c r="I1503" s="5"/>
    </row>
    <row r="1504" spans="1:9" ht="17.399999999999999" x14ac:dyDescent="0.25">
      <c r="A1504" s="16"/>
      <c r="B1504" s="17"/>
      <c r="C1504" s="2"/>
      <c r="D1504" s="2"/>
      <c r="E1504" s="2"/>
      <c r="F1504" s="2"/>
      <c r="G1504" s="2"/>
      <c r="H1504" s="2"/>
      <c r="I1504" s="5"/>
    </row>
    <row r="1505" spans="1:9" ht="17.399999999999999" x14ac:dyDescent="0.25">
      <c r="A1505" s="16"/>
      <c r="B1505" s="17"/>
      <c r="C1505" s="2"/>
      <c r="D1505" s="2"/>
      <c r="E1505" s="2"/>
      <c r="F1505" s="2"/>
      <c r="G1505" s="2"/>
      <c r="H1505" s="2"/>
      <c r="I1505" s="5"/>
    </row>
    <row r="1506" spans="1:9" ht="17.399999999999999" x14ac:dyDescent="0.25">
      <c r="A1506" s="16"/>
      <c r="B1506" s="17"/>
      <c r="C1506" s="2"/>
      <c r="D1506" s="2"/>
      <c r="E1506" s="2"/>
      <c r="F1506" s="2"/>
      <c r="G1506" s="2"/>
      <c r="H1506" s="2"/>
      <c r="I1506" s="5"/>
    </row>
    <row r="1507" spans="1:9" ht="17.399999999999999" x14ac:dyDescent="0.25">
      <c r="A1507" s="16"/>
      <c r="B1507" s="17"/>
      <c r="C1507" s="2"/>
      <c r="D1507" s="2"/>
      <c r="E1507" s="2"/>
      <c r="F1507" s="2"/>
      <c r="G1507" s="2"/>
      <c r="H1507" s="2"/>
      <c r="I1507" s="5"/>
    </row>
    <row r="1508" spans="1:9" ht="17.399999999999999" x14ac:dyDescent="0.25">
      <c r="A1508" s="16"/>
      <c r="B1508" s="17"/>
      <c r="C1508" s="2"/>
      <c r="D1508" s="2"/>
      <c r="E1508" s="2"/>
      <c r="F1508" s="2"/>
      <c r="G1508" s="2"/>
      <c r="H1508" s="2"/>
      <c r="I1508" s="5"/>
    </row>
    <row r="1509" spans="1:9" ht="17.399999999999999" x14ac:dyDescent="0.25">
      <c r="A1509" s="16"/>
      <c r="B1509" s="17"/>
      <c r="C1509" s="2"/>
      <c r="D1509" s="2"/>
      <c r="E1509" s="2"/>
      <c r="F1509" s="2"/>
      <c r="G1509" s="2"/>
      <c r="H1509" s="2"/>
      <c r="I1509" s="5"/>
    </row>
    <row r="1510" spans="1:9" ht="17.399999999999999" x14ac:dyDescent="0.25">
      <c r="A1510" s="16"/>
      <c r="B1510" s="17"/>
      <c r="C1510" s="2"/>
      <c r="D1510" s="2"/>
      <c r="E1510" s="2"/>
      <c r="F1510" s="2"/>
      <c r="G1510" s="2"/>
      <c r="H1510" s="2"/>
      <c r="I1510" s="5"/>
    </row>
    <row r="1511" spans="1:9" ht="17.399999999999999" x14ac:dyDescent="0.25">
      <c r="A1511" s="16"/>
      <c r="B1511" s="17"/>
      <c r="C1511" s="2"/>
      <c r="D1511" s="2"/>
      <c r="E1511" s="2"/>
      <c r="F1511" s="2"/>
      <c r="G1511" s="2"/>
      <c r="H1511" s="2"/>
      <c r="I1511" s="5"/>
    </row>
    <row r="1512" spans="1:9" ht="17.399999999999999" x14ac:dyDescent="0.25">
      <c r="A1512" s="16"/>
      <c r="B1512" s="17"/>
      <c r="C1512" s="2"/>
      <c r="D1512" s="2"/>
      <c r="E1512" s="2"/>
      <c r="F1512" s="2"/>
      <c r="G1512" s="2"/>
      <c r="H1512" s="2"/>
      <c r="I1512" s="5"/>
    </row>
    <row r="1513" spans="1:9" ht="17.399999999999999" x14ac:dyDescent="0.25">
      <c r="A1513" s="16"/>
      <c r="B1513" s="17"/>
      <c r="C1513" s="2"/>
      <c r="D1513" s="2"/>
      <c r="E1513" s="2"/>
      <c r="F1513" s="2"/>
      <c r="G1513" s="2"/>
      <c r="H1513" s="2"/>
      <c r="I1513" s="5"/>
    </row>
    <row r="1514" spans="1:9" ht="17.399999999999999" x14ac:dyDescent="0.25">
      <c r="A1514" s="16"/>
      <c r="B1514" s="17"/>
      <c r="C1514" s="2"/>
      <c r="D1514" s="2"/>
      <c r="E1514" s="2"/>
      <c r="F1514" s="2"/>
      <c r="G1514" s="2"/>
      <c r="H1514" s="2"/>
      <c r="I1514" s="5"/>
    </row>
    <row r="1515" spans="1:9" ht="17.399999999999999" x14ac:dyDescent="0.25">
      <c r="A1515" s="16"/>
      <c r="B1515" s="17"/>
      <c r="C1515" s="2"/>
      <c r="D1515" s="2"/>
      <c r="E1515" s="2"/>
      <c r="F1515" s="2"/>
      <c r="G1515" s="2"/>
      <c r="H1515" s="2"/>
      <c r="I1515" s="5"/>
    </row>
    <row r="1516" spans="1:9" ht="17.399999999999999" x14ac:dyDescent="0.25">
      <c r="A1516" s="16"/>
      <c r="B1516" s="17"/>
      <c r="C1516" s="2"/>
      <c r="D1516" s="2"/>
      <c r="E1516" s="2"/>
      <c r="F1516" s="2"/>
      <c r="G1516" s="2"/>
      <c r="H1516" s="2"/>
      <c r="I1516" s="5"/>
    </row>
    <row r="1517" spans="1:9" ht="17.399999999999999" x14ac:dyDescent="0.25">
      <c r="A1517" s="16"/>
      <c r="B1517" s="17"/>
      <c r="C1517" s="2"/>
      <c r="D1517" s="2"/>
      <c r="E1517" s="2"/>
      <c r="F1517" s="2"/>
      <c r="G1517" s="2"/>
      <c r="H1517" s="2"/>
      <c r="I1517" s="5"/>
    </row>
    <row r="1518" spans="1:9" ht="17.399999999999999" x14ac:dyDescent="0.25">
      <c r="A1518" s="16"/>
      <c r="B1518" s="17"/>
      <c r="C1518" s="2"/>
      <c r="D1518" s="2"/>
      <c r="E1518" s="2"/>
      <c r="F1518" s="2"/>
      <c r="G1518" s="2"/>
      <c r="H1518" s="2"/>
      <c r="I1518" s="5"/>
    </row>
    <row r="1519" spans="1:9" ht="17.399999999999999" x14ac:dyDescent="0.25">
      <c r="A1519" s="16"/>
      <c r="B1519" s="17"/>
      <c r="C1519" s="2"/>
      <c r="D1519" s="2"/>
      <c r="E1519" s="2"/>
      <c r="F1519" s="2"/>
      <c r="G1519" s="2"/>
      <c r="H1519" s="2"/>
      <c r="I1519" s="5"/>
    </row>
    <row r="1520" spans="1:9" ht="17.399999999999999" x14ac:dyDescent="0.25">
      <c r="A1520" s="16"/>
      <c r="B1520" s="17"/>
      <c r="C1520" s="2"/>
      <c r="D1520" s="2"/>
      <c r="E1520" s="2"/>
      <c r="F1520" s="2"/>
      <c r="G1520" s="2"/>
      <c r="H1520" s="2"/>
      <c r="I1520" s="5"/>
    </row>
    <row r="1521" spans="1:9" ht="17.399999999999999" x14ac:dyDescent="0.25">
      <c r="A1521" s="16"/>
      <c r="B1521" s="17"/>
      <c r="C1521" s="2"/>
      <c r="D1521" s="2"/>
      <c r="E1521" s="2"/>
      <c r="F1521" s="2"/>
      <c r="G1521" s="2"/>
      <c r="H1521" s="2"/>
      <c r="I1521" s="5"/>
    </row>
    <row r="1522" spans="1:9" ht="17.399999999999999" x14ac:dyDescent="0.25">
      <c r="A1522" s="16"/>
      <c r="B1522" s="17"/>
      <c r="C1522" s="2"/>
      <c r="D1522" s="2"/>
      <c r="E1522" s="2"/>
      <c r="F1522" s="2"/>
      <c r="G1522" s="2"/>
      <c r="H1522" s="2"/>
      <c r="I1522" s="5"/>
    </row>
    <row r="1523" spans="1:9" ht="17.399999999999999" x14ac:dyDescent="0.25">
      <c r="A1523" s="16"/>
      <c r="B1523" s="17"/>
      <c r="C1523" s="2"/>
      <c r="D1523" s="2"/>
      <c r="E1523" s="2"/>
      <c r="F1523" s="2"/>
      <c r="G1523" s="2"/>
      <c r="H1523" s="2"/>
      <c r="I1523" s="5"/>
    </row>
    <row r="1524" spans="1:9" ht="17.399999999999999" x14ac:dyDescent="0.25">
      <c r="A1524" s="16"/>
      <c r="B1524" s="17"/>
      <c r="C1524" s="2"/>
      <c r="D1524" s="2"/>
      <c r="E1524" s="2"/>
      <c r="F1524" s="2"/>
      <c r="G1524" s="2"/>
      <c r="H1524" s="2"/>
      <c r="I1524" s="5"/>
    </row>
    <row r="1525" spans="1:9" ht="17.399999999999999" x14ac:dyDescent="0.25">
      <c r="A1525" s="16"/>
      <c r="B1525" s="17"/>
      <c r="C1525" s="2"/>
      <c r="D1525" s="2"/>
      <c r="E1525" s="2"/>
      <c r="F1525" s="2"/>
      <c r="G1525" s="2"/>
      <c r="H1525" s="2"/>
      <c r="I1525" s="5"/>
    </row>
    <row r="1526" spans="1:9" ht="17.399999999999999" x14ac:dyDescent="0.25">
      <c r="A1526" s="16"/>
      <c r="B1526" s="17"/>
      <c r="C1526" s="2"/>
      <c r="D1526" s="2"/>
      <c r="E1526" s="2"/>
      <c r="F1526" s="2"/>
      <c r="G1526" s="2"/>
      <c r="H1526" s="2"/>
      <c r="I1526" s="5"/>
    </row>
    <row r="1527" spans="1:9" ht="17.399999999999999" x14ac:dyDescent="0.25">
      <c r="A1527" s="16"/>
      <c r="B1527" s="17"/>
      <c r="C1527" s="2"/>
      <c r="D1527" s="2"/>
      <c r="E1527" s="2"/>
      <c r="F1527" s="2"/>
      <c r="G1527" s="2"/>
      <c r="H1527" s="2"/>
      <c r="I1527" s="5"/>
    </row>
    <row r="1528" spans="1:9" ht="17.399999999999999" x14ac:dyDescent="0.25">
      <c r="A1528" s="16"/>
      <c r="B1528" s="17"/>
      <c r="C1528" s="2"/>
      <c r="D1528" s="2"/>
      <c r="E1528" s="2"/>
      <c r="F1528" s="2"/>
      <c r="G1528" s="2"/>
      <c r="H1528" s="2"/>
      <c r="I1528" s="5"/>
    </row>
    <row r="1529" spans="1:9" ht="17.399999999999999" x14ac:dyDescent="0.25">
      <c r="A1529" s="16"/>
      <c r="B1529" s="17"/>
      <c r="C1529" s="2"/>
      <c r="D1529" s="2"/>
      <c r="E1529" s="2"/>
      <c r="F1529" s="2"/>
      <c r="G1529" s="2"/>
      <c r="H1529" s="2"/>
      <c r="I1529" s="5"/>
    </row>
    <row r="1530" spans="1:9" ht="17.399999999999999" x14ac:dyDescent="0.25">
      <c r="A1530" s="16"/>
      <c r="B1530" s="17"/>
      <c r="C1530" s="2"/>
      <c r="D1530" s="2"/>
      <c r="E1530" s="2"/>
      <c r="F1530" s="2"/>
      <c r="G1530" s="2"/>
      <c r="H1530" s="2"/>
      <c r="I1530" s="5"/>
    </row>
    <row r="1531" spans="1:9" ht="17.399999999999999" x14ac:dyDescent="0.25">
      <c r="A1531" s="16"/>
      <c r="B1531" s="17"/>
      <c r="C1531" s="2"/>
      <c r="D1531" s="2"/>
      <c r="E1531" s="2"/>
      <c r="F1531" s="2"/>
      <c r="G1531" s="2"/>
      <c r="H1531" s="2"/>
      <c r="I1531" s="5"/>
    </row>
    <row r="1532" spans="1:9" ht="17.399999999999999" x14ac:dyDescent="0.25">
      <c r="A1532" s="16"/>
      <c r="B1532" s="17"/>
      <c r="C1532" s="2"/>
      <c r="D1532" s="2"/>
      <c r="E1532" s="2"/>
      <c r="F1532" s="2"/>
      <c r="G1532" s="2"/>
      <c r="H1532" s="2"/>
      <c r="I1532" s="5"/>
    </row>
    <row r="1533" spans="1:9" ht="17.399999999999999" x14ac:dyDescent="0.25">
      <c r="A1533" s="16"/>
      <c r="B1533" s="17"/>
      <c r="C1533" s="2"/>
      <c r="D1533" s="2"/>
      <c r="E1533" s="2"/>
      <c r="F1533" s="2"/>
      <c r="G1533" s="2"/>
      <c r="H1533" s="2"/>
      <c r="I1533" s="5"/>
    </row>
    <row r="1534" spans="1:9" ht="17.399999999999999" x14ac:dyDescent="0.25">
      <c r="A1534" s="16"/>
      <c r="B1534" s="17"/>
      <c r="C1534" s="2"/>
      <c r="D1534" s="2"/>
      <c r="E1534" s="2"/>
      <c r="F1534" s="2"/>
      <c r="G1534" s="2"/>
      <c r="H1534" s="2"/>
      <c r="I1534" s="5"/>
    </row>
    <row r="1535" spans="1:9" ht="17.399999999999999" x14ac:dyDescent="0.25">
      <c r="A1535" s="16"/>
      <c r="B1535" s="17"/>
      <c r="C1535" s="2"/>
      <c r="D1535" s="2"/>
      <c r="E1535" s="2"/>
      <c r="F1535" s="2"/>
      <c r="G1535" s="2"/>
      <c r="H1535" s="2"/>
      <c r="I1535" s="5"/>
    </row>
    <row r="1536" spans="1:9" ht="17.399999999999999" x14ac:dyDescent="0.25">
      <c r="A1536" s="16"/>
      <c r="B1536" s="17"/>
      <c r="C1536" s="2"/>
      <c r="D1536" s="2"/>
      <c r="E1536" s="2"/>
      <c r="F1536" s="2"/>
      <c r="G1536" s="2"/>
      <c r="H1536" s="2"/>
      <c r="I1536" s="5"/>
    </row>
    <row r="1537" spans="1:9" ht="17.399999999999999" x14ac:dyDescent="0.25">
      <c r="A1537" s="16"/>
      <c r="B1537" s="17"/>
      <c r="C1537" s="2"/>
      <c r="D1537" s="2"/>
      <c r="E1537" s="2"/>
      <c r="F1537" s="2"/>
      <c r="G1537" s="2"/>
      <c r="H1537" s="2"/>
      <c r="I1537" s="5"/>
    </row>
    <row r="1538" spans="1:9" ht="17.399999999999999" x14ac:dyDescent="0.25">
      <c r="A1538" s="16"/>
      <c r="B1538" s="17"/>
      <c r="C1538" s="2"/>
      <c r="D1538" s="2"/>
      <c r="E1538" s="2"/>
      <c r="F1538" s="2"/>
      <c r="G1538" s="2"/>
      <c r="H1538" s="2"/>
      <c r="I1538" s="5"/>
    </row>
    <row r="1539" spans="1:9" ht="17.399999999999999" x14ac:dyDescent="0.25">
      <c r="A1539" s="16"/>
      <c r="B1539" s="17"/>
      <c r="C1539" s="2"/>
      <c r="D1539" s="2"/>
      <c r="E1539" s="2"/>
      <c r="F1539" s="2"/>
      <c r="G1539" s="2"/>
      <c r="H1539" s="2"/>
      <c r="I1539" s="5"/>
    </row>
    <row r="1540" spans="1:9" ht="17.399999999999999" x14ac:dyDescent="0.25">
      <c r="A1540" s="16"/>
      <c r="B1540" s="17"/>
      <c r="C1540" s="2"/>
      <c r="D1540" s="2"/>
      <c r="E1540" s="2"/>
      <c r="F1540" s="2"/>
      <c r="G1540" s="2"/>
      <c r="H1540" s="2"/>
      <c r="I1540" s="5"/>
    </row>
    <row r="1541" spans="1:9" ht="17.399999999999999" x14ac:dyDescent="0.25">
      <c r="A1541" s="16"/>
      <c r="B1541" s="17"/>
      <c r="C1541" s="2"/>
      <c r="D1541" s="2"/>
      <c r="E1541" s="2"/>
      <c r="F1541" s="2"/>
      <c r="G1541" s="2"/>
      <c r="H1541" s="2"/>
      <c r="I1541" s="5"/>
    </row>
    <row r="1542" spans="1:9" ht="17.399999999999999" x14ac:dyDescent="0.25">
      <c r="A1542" s="16"/>
      <c r="B1542" s="17"/>
      <c r="C1542" s="2"/>
      <c r="D1542" s="2"/>
      <c r="E1542" s="2"/>
      <c r="F1542" s="2"/>
      <c r="G1542" s="2"/>
      <c r="H1542" s="2"/>
      <c r="I1542" s="5"/>
    </row>
    <row r="1543" spans="1:9" ht="17.399999999999999" x14ac:dyDescent="0.25">
      <c r="A1543" s="16"/>
      <c r="B1543" s="17"/>
      <c r="C1543" s="2"/>
      <c r="D1543" s="2"/>
      <c r="E1543" s="2"/>
      <c r="F1543" s="2"/>
      <c r="G1543" s="2"/>
      <c r="H1543" s="2"/>
      <c r="I1543" s="5"/>
    </row>
    <row r="1544" spans="1:9" ht="17.399999999999999" x14ac:dyDescent="0.25">
      <c r="A1544" s="16"/>
      <c r="B1544" s="17"/>
      <c r="C1544" s="2"/>
      <c r="D1544" s="2"/>
      <c r="E1544" s="2"/>
      <c r="F1544" s="2"/>
      <c r="G1544" s="2"/>
      <c r="H1544" s="2"/>
      <c r="I1544" s="5"/>
    </row>
    <row r="1545" spans="1:9" ht="17.399999999999999" x14ac:dyDescent="0.25">
      <c r="A1545" s="16"/>
      <c r="B1545" s="17"/>
      <c r="C1545" s="2"/>
      <c r="D1545" s="2"/>
      <c r="E1545" s="2"/>
      <c r="F1545" s="2"/>
      <c r="G1545" s="2"/>
      <c r="H1545" s="2"/>
      <c r="I1545" s="5"/>
    </row>
    <row r="1546" spans="1:9" ht="17.399999999999999" x14ac:dyDescent="0.25">
      <c r="A1546" s="16"/>
      <c r="B1546" s="17"/>
      <c r="C1546" s="2"/>
      <c r="D1546" s="2"/>
      <c r="E1546" s="2"/>
      <c r="F1546" s="2"/>
      <c r="G1546" s="2"/>
      <c r="H1546" s="2"/>
      <c r="I1546" s="5"/>
    </row>
    <row r="1547" spans="1:9" ht="17.399999999999999" x14ac:dyDescent="0.25">
      <c r="A1547" s="16"/>
      <c r="B1547" s="17"/>
      <c r="C1547" s="2"/>
      <c r="D1547" s="2"/>
      <c r="E1547" s="2"/>
      <c r="F1547" s="2"/>
      <c r="G1547" s="2"/>
      <c r="H1547" s="2"/>
      <c r="I1547" s="5"/>
    </row>
    <row r="1548" spans="1:9" ht="17.399999999999999" x14ac:dyDescent="0.25">
      <c r="A1548" s="16"/>
      <c r="B1548" s="17"/>
      <c r="C1548" s="2"/>
      <c r="D1548" s="2"/>
      <c r="E1548" s="2"/>
      <c r="F1548" s="2"/>
      <c r="G1548" s="2"/>
      <c r="H1548" s="2"/>
      <c r="I1548" s="5"/>
    </row>
    <row r="1549" spans="1:9" ht="17.399999999999999" x14ac:dyDescent="0.25">
      <c r="A1549" s="16"/>
      <c r="B1549" s="17"/>
      <c r="C1549" s="2"/>
      <c r="D1549" s="2"/>
      <c r="E1549" s="2"/>
      <c r="F1549" s="2"/>
      <c r="G1549" s="2"/>
      <c r="H1549" s="2"/>
      <c r="I1549" s="5"/>
    </row>
    <row r="1550" spans="1:9" ht="17.399999999999999" x14ac:dyDescent="0.25">
      <c r="A1550" s="16"/>
      <c r="B1550" s="17"/>
      <c r="C1550" s="2"/>
      <c r="D1550" s="2"/>
      <c r="E1550" s="2"/>
      <c r="F1550" s="2"/>
      <c r="G1550" s="2"/>
      <c r="H1550" s="2"/>
      <c r="I1550" s="5"/>
    </row>
    <row r="1551" spans="1:9" ht="17.399999999999999" x14ac:dyDescent="0.25">
      <c r="A1551" s="16"/>
      <c r="B1551" s="17"/>
      <c r="C1551" s="2"/>
      <c r="D1551" s="2"/>
      <c r="E1551" s="2"/>
      <c r="F1551" s="2"/>
      <c r="G1551" s="2"/>
      <c r="H1551" s="2"/>
      <c r="I1551" s="5"/>
    </row>
    <row r="1552" spans="1:9" ht="17.399999999999999" x14ac:dyDescent="0.25">
      <c r="A1552" s="16"/>
      <c r="B1552" s="17"/>
      <c r="C1552" s="2"/>
      <c r="D1552" s="2"/>
      <c r="E1552" s="2"/>
      <c r="F1552" s="2"/>
      <c r="G1552" s="2"/>
      <c r="H1552" s="2"/>
      <c r="I1552" s="5"/>
    </row>
    <row r="1553" spans="1:9" ht="17.399999999999999" x14ac:dyDescent="0.25">
      <c r="A1553" s="16"/>
      <c r="B1553" s="17"/>
      <c r="C1553" s="2"/>
      <c r="D1553" s="2"/>
      <c r="E1553" s="2"/>
      <c r="F1553" s="2"/>
      <c r="G1553" s="2"/>
      <c r="H1553" s="2"/>
      <c r="I1553" s="5"/>
    </row>
    <row r="1554" spans="1:9" ht="17.399999999999999" x14ac:dyDescent="0.25">
      <c r="A1554" s="16"/>
      <c r="B1554" s="17"/>
      <c r="C1554" s="2"/>
      <c r="D1554" s="2"/>
      <c r="E1554" s="2"/>
      <c r="F1554" s="2"/>
      <c r="G1554" s="2"/>
      <c r="H1554" s="2"/>
      <c r="I1554" s="5"/>
    </row>
    <row r="1555" spans="1:9" ht="17.399999999999999" x14ac:dyDescent="0.25">
      <c r="A1555" s="16"/>
      <c r="B1555" s="17"/>
      <c r="C1555" s="2"/>
      <c r="D1555" s="2"/>
      <c r="E1555" s="2"/>
      <c r="F1555" s="2"/>
      <c r="G1555" s="2"/>
      <c r="H1555" s="2"/>
      <c r="I1555" s="5"/>
    </row>
    <row r="1556" spans="1:9" ht="17.399999999999999" x14ac:dyDescent="0.25">
      <c r="A1556" s="16"/>
      <c r="B1556" s="17"/>
      <c r="C1556" s="2"/>
      <c r="D1556" s="2"/>
      <c r="E1556" s="2"/>
      <c r="F1556" s="2"/>
      <c r="G1556" s="2"/>
      <c r="H1556" s="2"/>
      <c r="I1556" s="5"/>
    </row>
    <row r="1557" spans="1:9" ht="17.399999999999999" x14ac:dyDescent="0.25">
      <c r="A1557" s="16"/>
      <c r="B1557" s="17"/>
      <c r="C1557" s="2"/>
      <c r="D1557" s="2"/>
      <c r="E1557" s="2"/>
      <c r="F1557" s="2"/>
      <c r="G1557" s="2"/>
      <c r="H1557" s="2"/>
      <c r="I1557" s="5"/>
    </row>
    <row r="1558" spans="1:9" ht="17.399999999999999" x14ac:dyDescent="0.25">
      <c r="A1558" s="16"/>
      <c r="B1558" s="17"/>
      <c r="C1558" s="2"/>
      <c r="D1558" s="2"/>
      <c r="E1558" s="2"/>
      <c r="F1558" s="2"/>
      <c r="G1558" s="2"/>
      <c r="H1558" s="2"/>
      <c r="I1558" s="5"/>
    </row>
    <row r="1559" spans="1:9" ht="17.399999999999999" x14ac:dyDescent="0.25">
      <c r="A1559" s="16"/>
      <c r="B1559" s="17"/>
      <c r="C1559" s="2"/>
      <c r="D1559" s="2"/>
      <c r="E1559" s="2"/>
      <c r="F1559" s="2"/>
      <c r="G1559" s="2"/>
      <c r="H1559" s="2"/>
      <c r="I1559" s="5"/>
    </row>
    <row r="1560" spans="1:9" ht="17.399999999999999" x14ac:dyDescent="0.25">
      <c r="A1560" s="16"/>
      <c r="B1560" s="17"/>
      <c r="C1560" s="2"/>
      <c r="D1560" s="2"/>
      <c r="E1560" s="2"/>
      <c r="F1560" s="2"/>
      <c r="G1560" s="2"/>
      <c r="H1560" s="2"/>
      <c r="I1560" s="5"/>
    </row>
    <row r="1561" spans="1:9" ht="17.399999999999999" x14ac:dyDescent="0.25">
      <c r="A1561" s="16"/>
      <c r="B1561" s="17"/>
      <c r="C1561" s="2"/>
      <c r="D1561" s="2"/>
      <c r="E1561" s="2"/>
      <c r="F1561" s="2"/>
      <c r="G1561" s="2"/>
      <c r="H1561" s="2"/>
      <c r="I1561" s="5"/>
    </row>
    <row r="1562" spans="1:9" ht="17.399999999999999" x14ac:dyDescent="0.25">
      <c r="A1562" s="16"/>
      <c r="B1562" s="17"/>
      <c r="C1562" s="2"/>
      <c r="D1562" s="2"/>
      <c r="E1562" s="2"/>
      <c r="F1562" s="2"/>
      <c r="G1562" s="2"/>
      <c r="H1562" s="2"/>
      <c r="I1562" s="5"/>
    </row>
    <row r="1563" spans="1:9" ht="17.399999999999999" x14ac:dyDescent="0.25">
      <c r="A1563" s="16"/>
      <c r="B1563" s="17"/>
      <c r="C1563" s="2"/>
      <c r="D1563" s="2"/>
      <c r="E1563" s="2"/>
      <c r="F1563" s="2"/>
      <c r="G1563" s="2"/>
      <c r="H1563" s="2"/>
      <c r="I1563" s="5"/>
    </row>
    <row r="1564" spans="1:9" ht="17.399999999999999" x14ac:dyDescent="0.25">
      <c r="A1564" s="16"/>
      <c r="B1564" s="17"/>
      <c r="C1564" s="2"/>
      <c r="D1564" s="2"/>
      <c r="E1564" s="2"/>
      <c r="F1564" s="2"/>
      <c r="G1564" s="2"/>
      <c r="H1564" s="2"/>
      <c r="I1564" s="5"/>
    </row>
    <row r="1565" spans="1:9" ht="17.399999999999999" x14ac:dyDescent="0.25">
      <c r="A1565" s="16"/>
      <c r="B1565" s="17"/>
      <c r="C1565" s="2"/>
      <c r="D1565" s="2"/>
      <c r="E1565" s="2"/>
      <c r="F1565" s="2"/>
      <c r="G1565" s="2"/>
      <c r="H1565" s="2"/>
      <c r="I1565" s="5"/>
    </row>
    <row r="1566" spans="1:9" ht="17.399999999999999" x14ac:dyDescent="0.25">
      <c r="A1566" s="16"/>
      <c r="B1566" s="17"/>
      <c r="C1566" s="2"/>
      <c r="D1566" s="2"/>
      <c r="E1566" s="2"/>
      <c r="F1566" s="2"/>
      <c r="G1566" s="2"/>
      <c r="H1566" s="2"/>
      <c r="I1566" s="5"/>
    </row>
    <row r="1567" spans="1:9" ht="17.399999999999999" x14ac:dyDescent="0.25">
      <c r="A1567" s="16"/>
      <c r="B1567" s="17"/>
      <c r="C1567" s="2"/>
      <c r="D1567" s="2"/>
      <c r="E1567" s="2"/>
      <c r="F1567" s="2"/>
      <c r="G1567" s="2"/>
      <c r="H1567" s="2"/>
      <c r="I1567" s="5"/>
    </row>
    <row r="1568" spans="1:9" ht="17.399999999999999" x14ac:dyDescent="0.25">
      <c r="A1568" s="16"/>
      <c r="B1568" s="17"/>
      <c r="C1568" s="2"/>
      <c r="D1568" s="2"/>
      <c r="E1568" s="2"/>
      <c r="F1568" s="2"/>
      <c r="G1568" s="2"/>
      <c r="H1568" s="2"/>
      <c r="I1568" s="5"/>
    </row>
    <row r="1569" spans="1:9" ht="17.399999999999999" x14ac:dyDescent="0.25">
      <c r="A1569" s="16"/>
      <c r="B1569" s="17"/>
      <c r="C1569" s="2"/>
      <c r="D1569" s="2"/>
      <c r="E1569" s="2"/>
      <c r="F1569" s="2"/>
      <c r="G1569" s="2"/>
      <c r="H1569" s="2"/>
      <c r="I1569" s="5"/>
    </row>
    <row r="1570" spans="1:9" ht="17.399999999999999" x14ac:dyDescent="0.25">
      <c r="A1570" s="16"/>
      <c r="B1570" s="17"/>
      <c r="C1570" s="2"/>
      <c r="D1570" s="2"/>
      <c r="E1570" s="2"/>
      <c r="F1570" s="2"/>
      <c r="G1570" s="2"/>
      <c r="H1570" s="2"/>
      <c r="I1570" s="5"/>
    </row>
    <row r="1571" spans="1:9" ht="17.399999999999999" x14ac:dyDescent="0.25">
      <c r="A1571" s="16"/>
      <c r="B1571" s="17"/>
      <c r="C1571" s="2"/>
      <c r="D1571" s="2"/>
      <c r="E1571" s="2"/>
      <c r="F1571" s="2"/>
      <c r="G1571" s="2"/>
      <c r="H1571" s="2"/>
      <c r="I1571" s="5"/>
    </row>
    <row r="1572" spans="1:9" ht="17.399999999999999" x14ac:dyDescent="0.25">
      <c r="A1572" s="16"/>
      <c r="B1572" s="17"/>
      <c r="C1572" s="2"/>
      <c r="D1572" s="2"/>
      <c r="E1572" s="2"/>
      <c r="F1572" s="2"/>
      <c r="G1572" s="2"/>
      <c r="H1572" s="2"/>
      <c r="I1572" s="5"/>
    </row>
    <row r="1573" spans="1:9" ht="17.399999999999999" x14ac:dyDescent="0.25">
      <c r="A1573" s="16"/>
      <c r="B1573" s="17"/>
      <c r="C1573" s="2"/>
      <c r="D1573" s="2"/>
      <c r="E1573" s="2"/>
      <c r="F1573" s="2"/>
      <c r="G1573" s="2"/>
      <c r="H1573" s="2"/>
      <c r="I1573" s="5"/>
    </row>
    <row r="1574" spans="1:9" ht="17.399999999999999" x14ac:dyDescent="0.25">
      <c r="A1574" s="16"/>
      <c r="B1574" s="17"/>
      <c r="C1574" s="2"/>
      <c r="D1574" s="2"/>
      <c r="E1574" s="2"/>
      <c r="F1574" s="2"/>
      <c r="G1574" s="2"/>
      <c r="H1574" s="2"/>
      <c r="I1574" s="5"/>
    </row>
    <row r="1575" spans="1:9" ht="17.399999999999999" x14ac:dyDescent="0.25">
      <c r="A1575" s="16"/>
      <c r="B1575" s="17"/>
      <c r="C1575" s="2"/>
      <c r="D1575" s="2"/>
      <c r="E1575" s="2"/>
      <c r="F1575" s="2"/>
      <c r="G1575" s="2"/>
      <c r="H1575" s="2"/>
      <c r="I1575" s="5"/>
    </row>
    <row r="1576" spans="1:9" ht="17.399999999999999" x14ac:dyDescent="0.25">
      <c r="A1576" s="16"/>
      <c r="B1576" s="17"/>
      <c r="C1576" s="2"/>
      <c r="D1576" s="2"/>
      <c r="E1576" s="2"/>
      <c r="F1576" s="2"/>
      <c r="G1576" s="2"/>
      <c r="H1576" s="2"/>
      <c r="I1576" s="5"/>
    </row>
    <row r="1577" spans="1:9" ht="17.399999999999999" x14ac:dyDescent="0.25">
      <c r="A1577" s="16"/>
      <c r="B1577" s="17"/>
      <c r="C1577" s="2"/>
      <c r="D1577" s="2"/>
      <c r="E1577" s="2"/>
      <c r="F1577" s="2"/>
      <c r="G1577" s="2"/>
      <c r="H1577" s="2"/>
      <c r="I1577" s="5"/>
    </row>
    <row r="1578" spans="1:9" ht="17.399999999999999" x14ac:dyDescent="0.25">
      <c r="A1578" s="16"/>
      <c r="B1578" s="17"/>
      <c r="C1578" s="2"/>
      <c r="D1578" s="2"/>
      <c r="E1578" s="2"/>
      <c r="F1578" s="2"/>
      <c r="G1578" s="2"/>
      <c r="H1578" s="2"/>
      <c r="I1578" s="5"/>
    </row>
    <row r="1579" spans="1:9" ht="17.399999999999999" x14ac:dyDescent="0.25">
      <c r="A1579" s="16"/>
      <c r="B1579" s="17"/>
      <c r="C1579" s="2"/>
      <c r="D1579" s="2"/>
      <c r="E1579" s="2"/>
      <c r="F1579" s="2"/>
      <c r="G1579" s="2"/>
      <c r="H1579" s="2"/>
      <c r="I1579" s="5"/>
    </row>
    <row r="1580" spans="1:9" ht="17.399999999999999" x14ac:dyDescent="0.25">
      <c r="A1580" s="16"/>
      <c r="B1580" s="17"/>
      <c r="C1580" s="2"/>
      <c r="D1580" s="2"/>
      <c r="E1580" s="2"/>
      <c r="F1580" s="2"/>
      <c r="G1580" s="2"/>
      <c r="H1580" s="2"/>
      <c r="I1580" s="5"/>
    </row>
    <row r="1581" spans="1:9" ht="17.399999999999999" x14ac:dyDescent="0.25">
      <c r="A1581" s="16"/>
      <c r="B1581" s="17"/>
      <c r="C1581" s="2"/>
      <c r="D1581" s="2"/>
      <c r="E1581" s="2"/>
      <c r="F1581" s="2"/>
      <c r="G1581" s="2"/>
      <c r="H1581" s="2"/>
      <c r="I1581" s="5"/>
    </row>
    <row r="1582" spans="1:9" ht="17.399999999999999" x14ac:dyDescent="0.25">
      <c r="A1582" s="16"/>
      <c r="B1582" s="17"/>
      <c r="C1582" s="2"/>
      <c r="D1582" s="2"/>
      <c r="E1582" s="2"/>
      <c r="F1582" s="2"/>
      <c r="G1582" s="2"/>
      <c r="H1582" s="2"/>
      <c r="I1582" s="5"/>
    </row>
    <row r="1583" spans="1:9" ht="17.399999999999999" x14ac:dyDescent="0.25">
      <c r="A1583" s="16"/>
      <c r="B1583" s="17"/>
      <c r="C1583" s="2"/>
      <c r="D1583" s="2"/>
      <c r="E1583" s="2"/>
      <c r="F1583" s="2"/>
      <c r="G1583" s="2"/>
      <c r="H1583" s="2"/>
      <c r="I1583" s="5"/>
    </row>
    <row r="1584" spans="1:9" ht="17.399999999999999" x14ac:dyDescent="0.25">
      <c r="A1584" s="16"/>
      <c r="B1584" s="17"/>
      <c r="C1584" s="2"/>
      <c r="D1584" s="2"/>
      <c r="E1584" s="2"/>
      <c r="F1584" s="2"/>
      <c r="G1584" s="2"/>
      <c r="H1584" s="2"/>
      <c r="I1584" s="5"/>
    </row>
    <row r="1585" spans="1:9" ht="17.399999999999999" x14ac:dyDescent="0.25">
      <c r="A1585" s="16"/>
      <c r="B1585" s="17"/>
      <c r="C1585" s="2"/>
      <c r="D1585" s="2"/>
      <c r="E1585" s="2"/>
      <c r="F1585" s="2"/>
      <c r="G1585" s="2"/>
      <c r="H1585" s="2"/>
      <c r="I1585" s="5"/>
    </row>
    <row r="1586" spans="1:9" ht="17.399999999999999" x14ac:dyDescent="0.25">
      <c r="A1586" s="16"/>
      <c r="B1586" s="17"/>
      <c r="C1586" s="2"/>
      <c r="D1586" s="2"/>
      <c r="E1586" s="2"/>
      <c r="F1586" s="2"/>
      <c r="G1586" s="2"/>
      <c r="H1586" s="2"/>
      <c r="I1586" s="5"/>
    </row>
    <row r="1587" spans="1:9" ht="17.399999999999999" x14ac:dyDescent="0.25">
      <c r="A1587" s="16"/>
      <c r="B1587" s="17"/>
      <c r="C1587" s="2"/>
      <c r="D1587" s="2"/>
      <c r="E1587" s="2"/>
      <c r="F1587" s="2"/>
      <c r="G1587" s="2"/>
      <c r="H1587" s="2"/>
      <c r="I1587" s="5"/>
    </row>
    <row r="1588" spans="1:9" ht="17.399999999999999" x14ac:dyDescent="0.25">
      <c r="A1588" s="16"/>
      <c r="B1588" s="17"/>
      <c r="C1588" s="2"/>
      <c r="D1588" s="2"/>
      <c r="E1588" s="2"/>
      <c r="F1588" s="2"/>
      <c r="G1588" s="2"/>
      <c r="H1588" s="2"/>
      <c r="I1588" s="5"/>
    </row>
    <row r="1589" spans="1:9" ht="17.399999999999999" x14ac:dyDescent="0.25">
      <c r="A1589" s="16"/>
      <c r="B1589" s="17"/>
      <c r="C1589" s="2"/>
      <c r="D1589" s="2"/>
      <c r="E1589" s="2"/>
      <c r="F1589" s="2"/>
      <c r="G1589" s="2"/>
      <c r="H1589" s="2"/>
      <c r="I1589" s="5"/>
    </row>
    <row r="1590" spans="1:9" ht="17.399999999999999" x14ac:dyDescent="0.25">
      <c r="A1590" s="16"/>
      <c r="B1590" s="17"/>
      <c r="C1590" s="2"/>
      <c r="D1590" s="2"/>
      <c r="E1590" s="2"/>
      <c r="F1590" s="2"/>
      <c r="G1590" s="2"/>
      <c r="H1590" s="2"/>
      <c r="I1590" s="5"/>
    </row>
    <row r="1591" spans="1:9" ht="17.399999999999999" x14ac:dyDescent="0.25">
      <c r="A1591" s="16"/>
      <c r="B1591" s="17"/>
      <c r="C1591" s="2"/>
      <c r="D1591" s="2"/>
      <c r="E1591" s="2"/>
      <c r="F1591" s="2"/>
      <c r="G1591" s="2"/>
      <c r="H1591" s="2"/>
      <c r="I1591" s="5"/>
    </row>
    <row r="1592" spans="1:9" ht="17.399999999999999" x14ac:dyDescent="0.25">
      <c r="A1592" s="16"/>
      <c r="B1592" s="17"/>
      <c r="C1592" s="2"/>
      <c r="D1592" s="2"/>
      <c r="E1592" s="2"/>
      <c r="F1592" s="2"/>
      <c r="G1592" s="2"/>
      <c r="H1592" s="2"/>
      <c r="I1592" s="5"/>
    </row>
    <row r="1593" spans="1:9" ht="17.399999999999999" x14ac:dyDescent="0.25">
      <c r="A1593" s="16"/>
      <c r="B1593" s="17"/>
      <c r="C1593" s="2"/>
      <c r="D1593" s="2"/>
      <c r="E1593" s="2"/>
      <c r="F1593" s="2"/>
      <c r="G1593" s="2"/>
      <c r="H1593" s="2"/>
      <c r="I1593" s="5"/>
    </row>
    <row r="1594" spans="1:9" ht="17.399999999999999" x14ac:dyDescent="0.25">
      <c r="A1594" s="16"/>
      <c r="B1594" s="17"/>
      <c r="C1594" s="2"/>
      <c r="D1594" s="2"/>
      <c r="E1594" s="2"/>
      <c r="F1594" s="2"/>
      <c r="G1594" s="2"/>
      <c r="H1594" s="2"/>
      <c r="I1594" s="5"/>
    </row>
    <row r="1595" spans="1:9" ht="17.399999999999999" x14ac:dyDescent="0.25">
      <c r="A1595" s="16"/>
      <c r="B1595" s="17"/>
      <c r="C1595" s="2"/>
      <c r="D1595" s="2"/>
      <c r="E1595" s="2"/>
      <c r="F1595" s="2"/>
      <c r="G1595" s="2"/>
      <c r="H1595" s="2"/>
      <c r="I1595" s="5"/>
    </row>
    <row r="1596" spans="1:9" ht="17.399999999999999" x14ac:dyDescent="0.25">
      <c r="A1596" s="16"/>
      <c r="B1596" s="17"/>
      <c r="C1596" s="2"/>
      <c r="D1596" s="2"/>
      <c r="E1596" s="2"/>
      <c r="F1596" s="2"/>
      <c r="G1596" s="2"/>
      <c r="H1596" s="2"/>
      <c r="I1596" s="5"/>
    </row>
    <row r="1597" spans="1:9" ht="17.399999999999999" x14ac:dyDescent="0.25">
      <c r="A1597" s="16"/>
      <c r="B1597" s="17"/>
      <c r="C1597" s="2"/>
      <c r="D1597" s="2"/>
      <c r="E1597" s="2"/>
      <c r="F1597" s="2"/>
      <c r="G1597" s="2"/>
      <c r="H1597" s="2"/>
      <c r="I1597" s="5"/>
    </row>
    <row r="1598" spans="1:9" ht="17.399999999999999" x14ac:dyDescent="0.25">
      <c r="A1598" s="16"/>
      <c r="B1598" s="17"/>
      <c r="C1598" s="2"/>
      <c r="D1598" s="2"/>
      <c r="E1598" s="2"/>
      <c r="F1598" s="2"/>
      <c r="G1598" s="2"/>
      <c r="H1598" s="2"/>
      <c r="I1598" s="5"/>
    </row>
    <row r="1599" spans="1:9" ht="17.399999999999999" x14ac:dyDescent="0.25">
      <c r="A1599" s="16"/>
      <c r="B1599" s="17"/>
      <c r="C1599" s="2"/>
      <c r="D1599" s="2"/>
      <c r="E1599" s="2"/>
      <c r="F1599" s="2"/>
      <c r="G1599" s="2"/>
      <c r="H1599" s="2"/>
      <c r="I1599" s="5"/>
    </row>
    <row r="1600" spans="1:9" ht="17.399999999999999" x14ac:dyDescent="0.25">
      <c r="A1600" s="16"/>
      <c r="B1600" s="17"/>
      <c r="C1600" s="2"/>
      <c r="D1600" s="2"/>
      <c r="E1600" s="2"/>
      <c r="F1600" s="2"/>
      <c r="G1600" s="2"/>
      <c r="H1600" s="2"/>
      <c r="I1600" s="5"/>
    </row>
    <row r="1601" spans="1:9" ht="17.399999999999999" x14ac:dyDescent="0.25">
      <c r="A1601" s="16"/>
      <c r="B1601" s="17"/>
      <c r="C1601" s="2"/>
      <c r="D1601" s="2"/>
      <c r="E1601" s="2"/>
      <c r="F1601" s="2"/>
      <c r="G1601" s="2"/>
      <c r="H1601" s="2"/>
      <c r="I1601" s="5"/>
    </row>
    <row r="1602" spans="1:9" ht="17.399999999999999" x14ac:dyDescent="0.25">
      <c r="A1602" s="16"/>
      <c r="B1602" s="17"/>
      <c r="C1602" s="2"/>
      <c r="D1602" s="2"/>
      <c r="E1602" s="2"/>
      <c r="F1602" s="2"/>
      <c r="G1602" s="2"/>
      <c r="H1602" s="2"/>
      <c r="I1602" s="5"/>
    </row>
    <row r="1603" spans="1:9" ht="17.399999999999999" x14ac:dyDescent="0.25">
      <c r="A1603" s="16"/>
      <c r="B1603" s="17"/>
      <c r="C1603" s="2"/>
      <c r="D1603" s="2"/>
      <c r="E1603" s="2"/>
      <c r="F1603" s="2"/>
      <c r="G1603" s="2"/>
      <c r="H1603" s="2"/>
      <c r="I1603" s="5"/>
    </row>
    <row r="1604" spans="1:9" ht="17.399999999999999" x14ac:dyDescent="0.25">
      <c r="A1604" s="16"/>
      <c r="B1604" s="17"/>
      <c r="C1604" s="2"/>
      <c r="D1604" s="2"/>
      <c r="E1604" s="2"/>
      <c r="F1604" s="2"/>
      <c r="G1604" s="2"/>
      <c r="H1604" s="2"/>
      <c r="I1604" s="5"/>
    </row>
    <row r="1605" spans="1:9" ht="17.399999999999999" x14ac:dyDescent="0.25">
      <c r="A1605" s="16"/>
      <c r="B1605" s="17"/>
      <c r="C1605" s="2"/>
      <c r="D1605" s="2"/>
      <c r="E1605" s="2"/>
      <c r="F1605" s="2"/>
      <c r="G1605" s="2"/>
      <c r="H1605" s="2"/>
      <c r="I1605" s="5"/>
    </row>
    <row r="1606" spans="1:9" ht="17.399999999999999" x14ac:dyDescent="0.25">
      <c r="A1606" s="16"/>
      <c r="B1606" s="17"/>
      <c r="C1606" s="2"/>
      <c r="D1606" s="2"/>
      <c r="E1606" s="2"/>
      <c r="F1606" s="2"/>
      <c r="G1606" s="2"/>
      <c r="H1606" s="2"/>
      <c r="I1606" s="5"/>
    </row>
    <row r="1607" spans="1:9" ht="17.399999999999999" x14ac:dyDescent="0.25">
      <c r="A1607" s="16"/>
      <c r="B1607" s="17"/>
      <c r="C1607" s="2"/>
      <c r="D1607" s="2"/>
      <c r="E1607" s="2"/>
      <c r="F1607" s="2"/>
      <c r="G1607" s="2"/>
      <c r="H1607" s="2"/>
      <c r="I1607" s="5"/>
    </row>
    <row r="1608" spans="1:9" ht="17.399999999999999" x14ac:dyDescent="0.25">
      <c r="A1608" s="16"/>
      <c r="B1608" s="17"/>
      <c r="C1608" s="2"/>
      <c r="D1608" s="2"/>
      <c r="E1608" s="2"/>
      <c r="F1608" s="2"/>
      <c r="G1608" s="2"/>
      <c r="H1608" s="2"/>
      <c r="I1608" s="5"/>
    </row>
    <row r="1609" spans="1:9" ht="17.399999999999999" x14ac:dyDescent="0.25">
      <c r="A1609" s="16"/>
      <c r="B1609" s="17"/>
      <c r="C1609" s="2"/>
      <c r="D1609" s="2"/>
      <c r="E1609" s="2"/>
      <c r="F1609" s="2"/>
      <c r="G1609" s="2"/>
      <c r="H1609" s="2"/>
      <c r="I1609" s="5"/>
    </row>
    <row r="1610" spans="1:9" ht="17.399999999999999" x14ac:dyDescent="0.25">
      <c r="A1610" s="16"/>
      <c r="B1610" s="17"/>
      <c r="C1610" s="2"/>
      <c r="D1610" s="2"/>
      <c r="E1610" s="2"/>
      <c r="F1610" s="2"/>
      <c r="G1610" s="2"/>
      <c r="H1610" s="2"/>
      <c r="I1610" s="5"/>
    </row>
    <row r="1611" spans="1:9" ht="17.399999999999999" x14ac:dyDescent="0.25">
      <c r="A1611" s="16"/>
      <c r="B1611" s="17"/>
      <c r="C1611" s="2"/>
      <c r="D1611" s="2"/>
      <c r="E1611" s="2"/>
      <c r="F1611" s="2"/>
      <c r="G1611" s="2"/>
      <c r="H1611" s="2"/>
      <c r="I1611" s="5"/>
    </row>
    <row r="1612" spans="1:9" ht="17.399999999999999" x14ac:dyDescent="0.25">
      <c r="A1612" s="16"/>
      <c r="B1612" s="17"/>
      <c r="C1612" s="2"/>
      <c r="D1612" s="2"/>
      <c r="E1612" s="2"/>
      <c r="F1612" s="2"/>
      <c r="G1612" s="2"/>
      <c r="H1612" s="2"/>
      <c r="I1612" s="5"/>
    </row>
    <row r="1613" spans="1:9" ht="17.399999999999999" x14ac:dyDescent="0.25">
      <c r="A1613" s="16"/>
      <c r="B1613" s="17"/>
      <c r="C1613" s="2"/>
      <c r="D1613" s="2"/>
      <c r="E1613" s="2"/>
      <c r="F1613" s="2"/>
      <c r="G1613" s="2"/>
      <c r="H1613" s="2"/>
      <c r="I1613" s="5"/>
    </row>
    <row r="1614" spans="1:9" ht="17.399999999999999" x14ac:dyDescent="0.25">
      <c r="A1614" s="16"/>
      <c r="B1614" s="17"/>
      <c r="C1614" s="2"/>
      <c r="D1614" s="2"/>
      <c r="E1614" s="2"/>
      <c r="F1614" s="2"/>
      <c r="G1614" s="2"/>
      <c r="H1614" s="2"/>
      <c r="I1614" s="5"/>
    </row>
    <row r="1615" spans="1:9" ht="17.399999999999999" x14ac:dyDescent="0.25">
      <c r="A1615" s="16"/>
      <c r="B1615" s="17"/>
      <c r="C1615" s="2"/>
      <c r="D1615" s="2"/>
      <c r="E1615" s="2"/>
      <c r="F1615" s="2"/>
      <c r="G1615" s="2"/>
      <c r="H1615" s="2"/>
      <c r="I1615" s="5"/>
    </row>
    <row r="1616" spans="1:9" ht="17.399999999999999" x14ac:dyDescent="0.25">
      <c r="A1616" s="16"/>
      <c r="B1616" s="17"/>
      <c r="C1616" s="2"/>
      <c r="D1616" s="2"/>
      <c r="E1616" s="2"/>
      <c r="F1616" s="2"/>
      <c r="G1616" s="2"/>
      <c r="H1616" s="2"/>
      <c r="I1616" s="5"/>
    </row>
    <row r="1617" spans="1:9" ht="17.399999999999999" x14ac:dyDescent="0.25">
      <c r="A1617" s="16"/>
      <c r="B1617" s="17"/>
      <c r="C1617" s="2"/>
      <c r="D1617" s="2"/>
      <c r="E1617" s="2"/>
      <c r="F1617" s="2"/>
      <c r="G1617" s="2"/>
      <c r="H1617" s="2"/>
      <c r="I1617" s="5"/>
    </row>
    <row r="1618" spans="1:9" ht="17.399999999999999" x14ac:dyDescent="0.25">
      <c r="A1618" s="16"/>
      <c r="B1618" s="17"/>
      <c r="C1618" s="2"/>
      <c r="D1618" s="2"/>
      <c r="E1618" s="2"/>
      <c r="F1618" s="2"/>
      <c r="G1618" s="2"/>
      <c r="H1618" s="2"/>
      <c r="I1618" s="5"/>
    </row>
    <row r="1619" spans="1:9" ht="17.399999999999999" x14ac:dyDescent="0.25">
      <c r="A1619" s="16"/>
      <c r="B1619" s="17"/>
      <c r="C1619" s="2"/>
      <c r="D1619" s="2"/>
      <c r="E1619" s="2"/>
      <c r="F1619" s="2"/>
      <c r="G1619" s="2"/>
      <c r="H1619" s="2"/>
      <c r="I1619" s="5"/>
    </row>
    <row r="1620" spans="1:9" ht="17.399999999999999" x14ac:dyDescent="0.25">
      <c r="A1620" s="16"/>
      <c r="B1620" s="17"/>
      <c r="C1620" s="2"/>
      <c r="D1620" s="2"/>
      <c r="E1620" s="2"/>
      <c r="F1620" s="2"/>
      <c r="G1620" s="2"/>
      <c r="H1620" s="2"/>
      <c r="I1620" s="5"/>
    </row>
    <row r="1621" spans="1:9" ht="17.399999999999999" x14ac:dyDescent="0.25">
      <c r="A1621" s="16"/>
      <c r="B1621" s="17"/>
      <c r="C1621" s="2"/>
      <c r="D1621" s="2"/>
      <c r="E1621" s="2"/>
      <c r="F1621" s="2"/>
      <c r="G1621" s="2"/>
      <c r="H1621" s="2"/>
      <c r="I1621" s="5"/>
    </row>
    <row r="1622" spans="1:9" ht="17.399999999999999" x14ac:dyDescent="0.25">
      <c r="A1622" s="16"/>
      <c r="B1622" s="17"/>
      <c r="C1622" s="2"/>
      <c r="D1622" s="2"/>
      <c r="E1622" s="2"/>
      <c r="F1622" s="2"/>
      <c r="G1622" s="2"/>
      <c r="H1622" s="2"/>
      <c r="I1622" s="5"/>
    </row>
    <row r="1623" spans="1:9" ht="17.399999999999999" x14ac:dyDescent="0.25">
      <c r="A1623" s="16"/>
      <c r="B1623" s="17"/>
      <c r="C1623" s="2"/>
      <c r="D1623" s="2"/>
      <c r="E1623" s="2"/>
      <c r="F1623" s="2"/>
      <c r="G1623" s="2"/>
      <c r="H1623" s="2"/>
      <c r="I1623" s="5"/>
    </row>
    <row r="1624" spans="1:9" ht="17.399999999999999" x14ac:dyDescent="0.25">
      <c r="A1624" s="16"/>
      <c r="B1624" s="17"/>
      <c r="C1624" s="2"/>
      <c r="D1624" s="2"/>
      <c r="E1624" s="2"/>
      <c r="F1624" s="2"/>
      <c r="G1624" s="2"/>
      <c r="H1624" s="2"/>
      <c r="I1624" s="5"/>
    </row>
    <row r="1625" spans="1:9" ht="17.399999999999999" x14ac:dyDescent="0.25">
      <c r="A1625" s="16"/>
      <c r="B1625" s="17"/>
      <c r="C1625" s="2"/>
      <c r="D1625" s="2"/>
      <c r="E1625" s="2"/>
      <c r="F1625" s="2"/>
      <c r="G1625" s="2"/>
      <c r="H1625" s="2"/>
      <c r="I1625" s="5"/>
    </row>
    <row r="1626" spans="1:9" ht="17.399999999999999" x14ac:dyDescent="0.25">
      <c r="A1626" s="16"/>
      <c r="B1626" s="17"/>
      <c r="C1626" s="2"/>
      <c r="D1626" s="2"/>
      <c r="E1626" s="2"/>
      <c r="F1626" s="2"/>
      <c r="G1626" s="2"/>
      <c r="H1626" s="2"/>
      <c r="I1626" s="5"/>
    </row>
    <row r="1627" spans="1:9" ht="17.399999999999999" x14ac:dyDescent="0.25">
      <c r="A1627" s="16"/>
      <c r="B1627" s="17"/>
      <c r="C1627" s="2"/>
      <c r="D1627" s="2"/>
      <c r="E1627" s="2"/>
      <c r="F1627" s="2"/>
      <c r="G1627" s="2"/>
      <c r="H1627" s="2"/>
      <c r="I1627" s="5"/>
    </row>
    <row r="1628" spans="1:9" ht="17.399999999999999" x14ac:dyDescent="0.25">
      <c r="A1628" s="16"/>
      <c r="B1628" s="17"/>
      <c r="C1628" s="2"/>
      <c r="D1628" s="2"/>
      <c r="E1628" s="2"/>
      <c r="F1628" s="2"/>
      <c r="G1628" s="2"/>
      <c r="H1628" s="2"/>
      <c r="I1628" s="5"/>
    </row>
    <row r="1629" spans="1:9" ht="17.399999999999999" x14ac:dyDescent="0.25">
      <c r="A1629" s="16"/>
      <c r="B1629" s="17"/>
      <c r="C1629" s="2"/>
      <c r="D1629" s="2"/>
      <c r="E1629" s="2"/>
      <c r="F1629" s="2"/>
      <c r="G1629" s="2"/>
      <c r="H1629" s="2"/>
      <c r="I1629" s="5"/>
    </row>
    <row r="1630" spans="1:9" ht="17.399999999999999" x14ac:dyDescent="0.25">
      <c r="A1630" s="16"/>
      <c r="B1630" s="17"/>
      <c r="C1630" s="2"/>
      <c r="D1630" s="2"/>
      <c r="E1630" s="2"/>
      <c r="F1630" s="2"/>
      <c r="G1630" s="2"/>
      <c r="H1630" s="2"/>
      <c r="I1630" s="5"/>
    </row>
    <row r="1631" spans="1:9" ht="17.399999999999999" x14ac:dyDescent="0.25">
      <c r="A1631" s="16"/>
      <c r="B1631" s="17"/>
      <c r="C1631" s="2"/>
      <c r="D1631" s="2"/>
      <c r="E1631" s="2"/>
      <c r="F1631" s="2"/>
      <c r="G1631" s="2"/>
      <c r="H1631" s="2"/>
      <c r="I1631" s="5"/>
    </row>
    <row r="1632" spans="1:9" ht="17.399999999999999" x14ac:dyDescent="0.25">
      <c r="A1632" s="16"/>
      <c r="B1632" s="17"/>
      <c r="C1632" s="2"/>
      <c r="D1632" s="2"/>
      <c r="E1632" s="2"/>
      <c r="F1632" s="2"/>
      <c r="G1632" s="2"/>
      <c r="H1632" s="2"/>
      <c r="I1632" s="5"/>
    </row>
    <row r="1633" spans="1:9" ht="17.399999999999999" x14ac:dyDescent="0.25">
      <c r="A1633" s="16"/>
      <c r="B1633" s="17"/>
      <c r="C1633" s="2"/>
      <c r="D1633" s="2"/>
      <c r="E1633" s="2"/>
      <c r="F1633" s="2"/>
      <c r="G1633" s="2"/>
      <c r="H1633" s="2"/>
      <c r="I1633" s="5"/>
    </row>
    <row r="1634" spans="1:9" ht="17.399999999999999" x14ac:dyDescent="0.25">
      <c r="A1634" s="16"/>
      <c r="B1634" s="17"/>
      <c r="C1634" s="2"/>
      <c r="D1634" s="2"/>
      <c r="E1634" s="2"/>
      <c r="F1634" s="2"/>
      <c r="G1634" s="2"/>
      <c r="H1634" s="2"/>
      <c r="I1634" s="5"/>
    </row>
    <row r="1635" spans="1:9" ht="17.399999999999999" x14ac:dyDescent="0.25">
      <c r="A1635" s="16"/>
      <c r="B1635" s="17"/>
      <c r="C1635" s="2"/>
      <c r="D1635" s="2"/>
      <c r="E1635" s="2"/>
      <c r="F1635" s="2"/>
      <c r="G1635" s="2"/>
      <c r="H1635" s="2"/>
      <c r="I1635" s="5"/>
    </row>
    <row r="1636" spans="1:9" ht="17.399999999999999" x14ac:dyDescent="0.25">
      <c r="A1636" s="16"/>
      <c r="B1636" s="17"/>
      <c r="C1636" s="2"/>
      <c r="D1636" s="2"/>
      <c r="E1636" s="2"/>
      <c r="F1636" s="2"/>
      <c r="G1636" s="2"/>
      <c r="H1636" s="2"/>
      <c r="I1636" s="5"/>
    </row>
    <row r="1637" spans="1:9" ht="17.399999999999999" x14ac:dyDescent="0.25">
      <c r="A1637" s="16"/>
      <c r="B1637" s="17"/>
      <c r="C1637" s="2"/>
      <c r="D1637" s="2"/>
      <c r="E1637" s="2"/>
      <c r="F1637" s="2"/>
      <c r="G1637" s="2"/>
      <c r="H1637" s="2"/>
      <c r="I1637" s="5"/>
    </row>
    <row r="1638" spans="1:9" ht="17.399999999999999" x14ac:dyDescent="0.25">
      <c r="A1638" s="16"/>
      <c r="B1638" s="17"/>
      <c r="C1638" s="2"/>
      <c r="D1638" s="2"/>
      <c r="E1638" s="2"/>
      <c r="F1638" s="2"/>
      <c r="G1638" s="2"/>
      <c r="H1638" s="2"/>
      <c r="I1638" s="5"/>
    </row>
    <row r="1639" spans="1:9" ht="17.399999999999999" x14ac:dyDescent="0.25">
      <c r="A1639" s="16"/>
      <c r="B1639" s="17"/>
      <c r="C1639" s="2"/>
      <c r="D1639" s="2"/>
      <c r="E1639" s="2"/>
      <c r="F1639" s="2"/>
      <c r="G1639" s="2"/>
      <c r="H1639" s="2"/>
      <c r="I1639" s="5"/>
    </row>
    <row r="1640" spans="1:9" ht="17.399999999999999" x14ac:dyDescent="0.25">
      <c r="A1640" s="16"/>
      <c r="B1640" s="17"/>
      <c r="C1640" s="2"/>
      <c r="D1640" s="2"/>
      <c r="E1640" s="2"/>
      <c r="F1640" s="2"/>
      <c r="G1640" s="2"/>
      <c r="H1640" s="2"/>
      <c r="I1640" s="5"/>
    </row>
    <row r="1641" spans="1:9" ht="17.399999999999999" x14ac:dyDescent="0.25">
      <c r="A1641" s="16"/>
      <c r="B1641" s="17"/>
      <c r="C1641" s="2"/>
      <c r="D1641" s="2"/>
      <c r="E1641" s="2"/>
      <c r="F1641" s="2"/>
      <c r="G1641" s="2"/>
      <c r="H1641" s="2"/>
      <c r="I1641" s="5"/>
    </row>
    <row r="1642" spans="1:9" ht="17.399999999999999" x14ac:dyDescent="0.25">
      <c r="A1642" s="16"/>
      <c r="B1642" s="17"/>
      <c r="C1642" s="2"/>
      <c r="D1642" s="2"/>
      <c r="E1642" s="2"/>
      <c r="F1642" s="2"/>
      <c r="G1642" s="2"/>
      <c r="H1642" s="2"/>
      <c r="I1642" s="5"/>
    </row>
    <row r="1643" spans="1:9" ht="17.399999999999999" x14ac:dyDescent="0.25">
      <c r="A1643" s="16"/>
      <c r="B1643" s="17"/>
      <c r="C1643" s="2"/>
      <c r="D1643" s="2"/>
      <c r="E1643" s="2"/>
      <c r="F1643" s="2"/>
      <c r="G1643" s="2"/>
      <c r="H1643" s="2"/>
      <c r="I1643" s="5"/>
    </row>
    <row r="1644" spans="1:9" ht="17.399999999999999" x14ac:dyDescent="0.25">
      <c r="A1644" s="16"/>
      <c r="B1644" s="17"/>
      <c r="C1644" s="2"/>
      <c r="D1644" s="2"/>
      <c r="E1644" s="2"/>
      <c r="F1644" s="2"/>
      <c r="G1644" s="2"/>
      <c r="H1644" s="2"/>
      <c r="I1644" s="5"/>
    </row>
    <row r="1645" spans="1:9" ht="17.399999999999999" x14ac:dyDescent="0.25">
      <c r="A1645" s="16"/>
      <c r="B1645" s="17"/>
      <c r="C1645" s="2"/>
      <c r="D1645" s="2"/>
      <c r="E1645" s="2"/>
      <c r="F1645" s="2"/>
      <c r="G1645" s="2"/>
      <c r="H1645" s="2"/>
      <c r="I1645" s="5"/>
    </row>
    <row r="1646" spans="1:9" ht="17.399999999999999" x14ac:dyDescent="0.25">
      <c r="A1646" s="16"/>
      <c r="B1646" s="17"/>
      <c r="C1646" s="2"/>
      <c r="D1646" s="2"/>
      <c r="E1646" s="2"/>
      <c r="F1646" s="2"/>
      <c r="G1646" s="2"/>
      <c r="H1646" s="2"/>
      <c r="I1646" s="5"/>
    </row>
    <row r="1647" spans="1:9" ht="17.399999999999999" x14ac:dyDescent="0.25">
      <c r="A1647" s="16"/>
      <c r="B1647" s="17"/>
      <c r="C1647" s="2"/>
      <c r="D1647" s="2"/>
      <c r="E1647" s="2"/>
      <c r="F1647" s="2"/>
      <c r="G1647" s="2"/>
      <c r="H1647" s="2"/>
      <c r="I1647" s="5"/>
    </row>
    <row r="1648" spans="1:9" ht="17.399999999999999" x14ac:dyDescent="0.25">
      <c r="A1648" s="16"/>
      <c r="B1648" s="17"/>
      <c r="C1648" s="2"/>
      <c r="D1648" s="2"/>
      <c r="E1648" s="2"/>
      <c r="F1648" s="2"/>
      <c r="G1648" s="2"/>
      <c r="H1648" s="2"/>
      <c r="I1648" s="5"/>
    </row>
    <row r="1649" spans="1:9" ht="17.399999999999999" x14ac:dyDescent="0.25">
      <c r="A1649" s="16"/>
      <c r="B1649" s="17"/>
      <c r="C1649" s="2"/>
      <c r="D1649" s="2"/>
      <c r="E1649" s="2"/>
      <c r="F1649" s="2"/>
      <c r="G1649" s="2"/>
      <c r="H1649" s="2"/>
      <c r="I1649" s="5"/>
    </row>
    <row r="1650" spans="1:9" ht="17.399999999999999" x14ac:dyDescent="0.25">
      <c r="A1650" s="16"/>
      <c r="B1650" s="17"/>
      <c r="C1650" s="2"/>
      <c r="D1650" s="2"/>
      <c r="E1650" s="2"/>
      <c r="F1650" s="2"/>
      <c r="G1650" s="2"/>
      <c r="H1650" s="2"/>
      <c r="I1650" s="5"/>
    </row>
    <row r="1651" spans="1:9" ht="17.399999999999999" x14ac:dyDescent="0.25">
      <c r="A1651" s="16"/>
      <c r="B1651" s="17"/>
      <c r="C1651" s="2"/>
      <c r="D1651" s="2"/>
      <c r="E1651" s="2"/>
      <c r="F1651" s="2"/>
      <c r="G1651" s="2"/>
      <c r="H1651" s="2"/>
      <c r="I1651" s="5"/>
    </row>
    <row r="1652" spans="1:9" ht="17.399999999999999" x14ac:dyDescent="0.25">
      <c r="A1652" s="16"/>
      <c r="B1652" s="17"/>
      <c r="C1652" s="2"/>
      <c r="D1652" s="2"/>
      <c r="E1652" s="2"/>
      <c r="F1652" s="2"/>
      <c r="G1652" s="2"/>
      <c r="H1652" s="2"/>
      <c r="I1652" s="5"/>
    </row>
    <row r="1653" spans="1:9" ht="17.399999999999999" x14ac:dyDescent="0.25">
      <c r="A1653" s="16"/>
      <c r="B1653" s="17"/>
      <c r="C1653" s="2"/>
      <c r="D1653" s="2"/>
      <c r="E1653" s="2"/>
      <c r="F1653" s="2"/>
      <c r="G1653" s="2"/>
      <c r="H1653" s="2"/>
      <c r="I1653" s="5"/>
    </row>
    <row r="1654" spans="1:9" ht="17.399999999999999" x14ac:dyDescent="0.25">
      <c r="A1654" s="16"/>
      <c r="B1654" s="17"/>
      <c r="C1654" s="2"/>
      <c r="D1654" s="2"/>
      <c r="E1654" s="2"/>
      <c r="F1654" s="2"/>
      <c r="G1654" s="2"/>
      <c r="H1654" s="2"/>
      <c r="I1654" s="5"/>
    </row>
    <row r="1655" spans="1:9" ht="17.399999999999999" x14ac:dyDescent="0.25">
      <c r="A1655" s="16"/>
      <c r="B1655" s="17"/>
      <c r="C1655" s="2"/>
      <c r="D1655" s="2"/>
      <c r="E1655" s="2"/>
      <c r="F1655" s="2"/>
      <c r="G1655" s="2"/>
      <c r="H1655" s="2"/>
      <c r="I1655" s="5"/>
    </row>
    <row r="1656" spans="1:9" ht="17.399999999999999" x14ac:dyDescent="0.25">
      <c r="A1656" s="16"/>
      <c r="B1656" s="17"/>
      <c r="C1656" s="2"/>
      <c r="D1656" s="2"/>
      <c r="E1656" s="2"/>
      <c r="F1656" s="2"/>
      <c r="G1656" s="2"/>
      <c r="H1656" s="2"/>
      <c r="I1656" s="5"/>
    </row>
    <row r="1657" spans="1:9" ht="17.399999999999999" x14ac:dyDescent="0.25">
      <c r="A1657" s="16"/>
      <c r="B1657" s="17"/>
      <c r="C1657" s="2"/>
      <c r="D1657" s="2"/>
      <c r="E1657" s="2"/>
      <c r="F1657" s="2"/>
      <c r="G1657" s="2"/>
      <c r="H1657" s="2"/>
      <c r="I1657" s="5"/>
    </row>
    <row r="1658" spans="1:9" ht="17.399999999999999" x14ac:dyDescent="0.25">
      <c r="A1658" s="16"/>
      <c r="B1658" s="17"/>
      <c r="C1658" s="2"/>
      <c r="D1658" s="2"/>
      <c r="E1658" s="2"/>
      <c r="F1658" s="2"/>
      <c r="G1658" s="2"/>
      <c r="H1658" s="2"/>
      <c r="I1658" s="5"/>
    </row>
    <row r="1659" spans="1:9" ht="17.399999999999999" x14ac:dyDescent="0.25">
      <c r="A1659" s="16"/>
      <c r="B1659" s="17"/>
      <c r="C1659" s="2"/>
      <c r="D1659" s="2"/>
      <c r="E1659" s="2"/>
      <c r="F1659" s="2"/>
      <c r="G1659" s="2"/>
      <c r="H1659" s="2"/>
      <c r="I1659" s="5"/>
    </row>
    <row r="1660" spans="1:9" ht="17.399999999999999" x14ac:dyDescent="0.25">
      <c r="A1660" s="16"/>
      <c r="B1660" s="17"/>
      <c r="C1660" s="2"/>
      <c r="D1660" s="2"/>
      <c r="E1660" s="2"/>
      <c r="F1660" s="2"/>
      <c r="G1660" s="2"/>
      <c r="H1660" s="2"/>
      <c r="I1660" s="5"/>
    </row>
    <row r="1661" spans="1:9" ht="17.399999999999999" x14ac:dyDescent="0.25">
      <c r="A1661" s="16"/>
      <c r="B1661" s="17"/>
      <c r="C1661" s="2"/>
      <c r="D1661" s="2"/>
      <c r="E1661" s="2"/>
      <c r="F1661" s="2"/>
      <c r="G1661" s="2"/>
      <c r="H1661" s="2"/>
      <c r="I1661" s="5"/>
    </row>
    <row r="1662" spans="1:9" ht="17.399999999999999" x14ac:dyDescent="0.25">
      <c r="A1662" s="16"/>
      <c r="B1662" s="17"/>
      <c r="C1662" s="2"/>
      <c r="D1662" s="2"/>
      <c r="E1662" s="2"/>
      <c r="F1662" s="2"/>
      <c r="G1662" s="2"/>
      <c r="H1662" s="2"/>
      <c r="I1662" s="5"/>
    </row>
    <row r="1663" spans="1:9" ht="17.399999999999999" x14ac:dyDescent="0.25">
      <c r="A1663" s="16"/>
      <c r="B1663" s="17"/>
      <c r="C1663" s="2"/>
      <c r="D1663" s="2"/>
      <c r="E1663" s="2"/>
      <c r="F1663" s="2"/>
      <c r="G1663" s="2"/>
      <c r="H1663" s="2"/>
      <c r="I1663" s="5"/>
    </row>
    <row r="1664" spans="1:9" ht="17.399999999999999" x14ac:dyDescent="0.25">
      <c r="A1664" s="16"/>
      <c r="B1664" s="17"/>
      <c r="C1664" s="2"/>
      <c r="D1664" s="2"/>
      <c r="E1664" s="2"/>
      <c r="F1664" s="2"/>
      <c r="G1664" s="2"/>
      <c r="H1664" s="2"/>
      <c r="I1664" s="5"/>
    </row>
    <row r="1665" spans="1:9" ht="17.399999999999999" x14ac:dyDescent="0.25">
      <c r="A1665" s="16"/>
      <c r="B1665" s="17"/>
      <c r="C1665" s="2"/>
      <c r="D1665" s="2"/>
      <c r="E1665" s="2"/>
      <c r="F1665" s="2"/>
      <c r="G1665" s="2"/>
      <c r="H1665" s="2"/>
      <c r="I1665" s="5"/>
    </row>
    <row r="1666" spans="1:9" ht="17.399999999999999" x14ac:dyDescent="0.25">
      <c r="A1666" s="16"/>
      <c r="B1666" s="17"/>
      <c r="C1666" s="2"/>
      <c r="D1666" s="2"/>
      <c r="E1666" s="2"/>
      <c r="F1666" s="2"/>
      <c r="G1666" s="2"/>
      <c r="H1666" s="2"/>
      <c r="I1666" s="5"/>
    </row>
    <row r="1667" spans="1:9" ht="17.399999999999999" x14ac:dyDescent="0.25">
      <c r="A1667" s="16"/>
      <c r="B1667" s="17"/>
      <c r="C1667" s="2"/>
      <c r="D1667" s="2"/>
      <c r="E1667" s="2"/>
      <c r="F1667" s="2"/>
      <c r="G1667" s="2"/>
      <c r="H1667" s="2"/>
      <c r="I1667" s="5"/>
    </row>
    <row r="1668" spans="1:9" ht="17.399999999999999" x14ac:dyDescent="0.25">
      <c r="A1668" s="16"/>
      <c r="B1668" s="17"/>
      <c r="C1668" s="2"/>
      <c r="D1668" s="2"/>
      <c r="E1668" s="2"/>
      <c r="F1668" s="2"/>
      <c r="G1668" s="2"/>
      <c r="H1668" s="2"/>
      <c r="I1668" s="5"/>
    </row>
    <row r="1669" spans="1:9" ht="17.399999999999999" x14ac:dyDescent="0.25">
      <c r="A1669" s="16"/>
      <c r="B1669" s="17"/>
      <c r="C1669" s="2"/>
      <c r="D1669" s="2"/>
      <c r="E1669" s="2"/>
      <c r="F1669" s="2"/>
      <c r="G1669" s="2"/>
      <c r="H1669" s="2"/>
      <c r="I1669" s="5"/>
    </row>
    <row r="1670" spans="1:9" ht="17.399999999999999" x14ac:dyDescent="0.25">
      <c r="A1670" s="16"/>
      <c r="B1670" s="17"/>
      <c r="C1670" s="2"/>
      <c r="D1670" s="2"/>
      <c r="E1670" s="2"/>
      <c r="F1670" s="2"/>
      <c r="G1670" s="2"/>
      <c r="H1670" s="2"/>
      <c r="I1670" s="5"/>
    </row>
    <row r="1671" spans="1:9" ht="17.399999999999999" x14ac:dyDescent="0.25">
      <c r="A1671" s="16"/>
      <c r="B1671" s="17"/>
      <c r="C1671" s="2"/>
      <c r="D1671" s="2"/>
      <c r="E1671" s="2"/>
      <c r="F1671" s="2"/>
      <c r="G1671" s="2"/>
      <c r="H1671" s="2"/>
      <c r="I1671" s="5"/>
    </row>
    <row r="1672" spans="1:9" ht="17.399999999999999" x14ac:dyDescent="0.25">
      <c r="A1672" s="16"/>
      <c r="B1672" s="17"/>
      <c r="C1672" s="2"/>
      <c r="D1672" s="2"/>
      <c r="E1672" s="2"/>
      <c r="F1672" s="2"/>
      <c r="G1672" s="2"/>
      <c r="H1672" s="2"/>
      <c r="I1672" s="5"/>
    </row>
    <row r="1673" spans="1:9" ht="17.399999999999999" x14ac:dyDescent="0.25">
      <c r="A1673" s="16"/>
      <c r="B1673" s="17"/>
      <c r="C1673" s="2"/>
      <c r="D1673" s="2"/>
      <c r="E1673" s="2"/>
      <c r="F1673" s="2"/>
      <c r="G1673" s="2"/>
      <c r="H1673" s="2"/>
      <c r="I1673" s="5"/>
    </row>
    <row r="1674" spans="1:9" ht="17.399999999999999" x14ac:dyDescent="0.25">
      <c r="A1674" s="16"/>
      <c r="B1674" s="17"/>
      <c r="C1674" s="2"/>
      <c r="D1674" s="2"/>
      <c r="E1674" s="2"/>
      <c r="F1674" s="2"/>
      <c r="G1674" s="2"/>
      <c r="H1674" s="2"/>
      <c r="I1674" s="5"/>
    </row>
    <row r="1675" spans="1:9" ht="17.399999999999999" x14ac:dyDescent="0.25">
      <c r="A1675" s="16"/>
      <c r="B1675" s="17"/>
      <c r="C1675" s="2"/>
      <c r="D1675" s="2"/>
      <c r="E1675" s="2"/>
      <c r="F1675" s="2"/>
      <c r="G1675" s="2"/>
      <c r="H1675" s="2"/>
      <c r="I1675" s="5"/>
    </row>
    <row r="1676" spans="1:9" ht="17.399999999999999" x14ac:dyDescent="0.25">
      <c r="A1676" s="16"/>
      <c r="B1676" s="17"/>
      <c r="C1676" s="2"/>
      <c r="D1676" s="2"/>
      <c r="E1676" s="2"/>
      <c r="F1676" s="2"/>
      <c r="G1676" s="2"/>
      <c r="H1676" s="2"/>
      <c r="I1676" s="5"/>
    </row>
    <row r="1677" spans="1:9" ht="17.399999999999999" x14ac:dyDescent="0.25">
      <c r="A1677" s="16"/>
      <c r="B1677" s="17"/>
      <c r="C1677" s="2"/>
      <c r="D1677" s="2"/>
      <c r="E1677" s="2"/>
      <c r="F1677" s="2"/>
      <c r="G1677" s="2"/>
      <c r="H1677" s="2"/>
      <c r="I1677" s="5"/>
    </row>
    <row r="1678" spans="1:9" ht="17.399999999999999" x14ac:dyDescent="0.25">
      <c r="A1678" s="16"/>
      <c r="B1678" s="17"/>
      <c r="C1678" s="2"/>
      <c r="D1678" s="2"/>
      <c r="E1678" s="2"/>
      <c r="F1678" s="2"/>
      <c r="G1678" s="2"/>
      <c r="H1678" s="2"/>
      <c r="I1678" s="5"/>
    </row>
    <row r="1679" spans="1:9" ht="17.399999999999999" x14ac:dyDescent="0.25">
      <c r="A1679" s="16"/>
      <c r="B1679" s="17"/>
      <c r="C1679" s="2"/>
      <c r="D1679" s="2"/>
      <c r="E1679" s="2"/>
      <c r="F1679" s="2"/>
      <c r="G1679" s="2"/>
      <c r="H1679" s="2"/>
      <c r="I1679" s="5"/>
    </row>
    <row r="1680" spans="1:9" ht="17.399999999999999" x14ac:dyDescent="0.25">
      <c r="A1680" s="16"/>
      <c r="B1680" s="17"/>
      <c r="C1680" s="2"/>
      <c r="D1680" s="2"/>
      <c r="E1680" s="2"/>
      <c r="F1680" s="2"/>
      <c r="G1680" s="2"/>
      <c r="H1680" s="2"/>
      <c r="I1680" s="5"/>
    </row>
    <row r="1681" spans="1:9" ht="17.399999999999999" x14ac:dyDescent="0.25">
      <c r="A1681" s="16"/>
      <c r="B1681" s="17"/>
      <c r="C1681" s="2"/>
      <c r="D1681" s="2"/>
      <c r="E1681" s="2"/>
      <c r="F1681" s="2"/>
      <c r="G1681" s="2"/>
      <c r="H1681" s="2"/>
      <c r="I1681" s="5"/>
    </row>
    <row r="1682" spans="1:9" ht="17.399999999999999" x14ac:dyDescent="0.25">
      <c r="A1682" s="16"/>
      <c r="B1682" s="17"/>
      <c r="C1682" s="2"/>
      <c r="D1682" s="2"/>
      <c r="E1682" s="2"/>
      <c r="F1682" s="2"/>
      <c r="G1682" s="2"/>
      <c r="H1682" s="2"/>
      <c r="I1682" s="5"/>
    </row>
    <row r="1683" spans="1:9" ht="17.399999999999999" x14ac:dyDescent="0.25">
      <c r="A1683" s="16"/>
      <c r="B1683" s="17"/>
      <c r="C1683" s="2"/>
      <c r="D1683" s="2"/>
      <c r="E1683" s="2"/>
      <c r="F1683" s="2"/>
      <c r="G1683" s="2"/>
      <c r="H1683" s="2"/>
      <c r="I1683" s="5"/>
    </row>
    <row r="1684" spans="1:9" ht="17.399999999999999" x14ac:dyDescent="0.25">
      <c r="A1684" s="16"/>
      <c r="B1684" s="17"/>
      <c r="C1684" s="2"/>
      <c r="D1684" s="2"/>
      <c r="E1684" s="2"/>
      <c r="F1684" s="2"/>
      <c r="G1684" s="2"/>
      <c r="H1684" s="2"/>
      <c r="I1684" s="5"/>
    </row>
    <row r="1685" spans="1:9" ht="17.399999999999999" x14ac:dyDescent="0.25">
      <c r="A1685" s="16"/>
      <c r="B1685" s="17"/>
      <c r="C1685" s="2"/>
      <c r="D1685" s="2"/>
      <c r="E1685" s="2"/>
      <c r="F1685" s="2"/>
      <c r="G1685" s="2"/>
      <c r="H1685" s="2"/>
      <c r="I1685" s="5"/>
    </row>
    <row r="1686" spans="1:9" ht="17.399999999999999" x14ac:dyDescent="0.25">
      <c r="A1686" s="16"/>
      <c r="B1686" s="17"/>
      <c r="C1686" s="2"/>
      <c r="D1686" s="2"/>
      <c r="E1686" s="2"/>
      <c r="F1686" s="2"/>
      <c r="G1686" s="2"/>
      <c r="H1686" s="2"/>
      <c r="I1686" s="5"/>
    </row>
    <row r="1687" spans="1:9" ht="17.399999999999999" x14ac:dyDescent="0.25">
      <c r="A1687" s="16"/>
      <c r="B1687" s="17"/>
      <c r="C1687" s="2"/>
      <c r="D1687" s="2"/>
      <c r="E1687" s="2"/>
      <c r="F1687" s="2"/>
      <c r="G1687" s="2"/>
      <c r="H1687" s="2"/>
      <c r="I1687" s="5"/>
    </row>
    <row r="1688" spans="1:9" ht="17.399999999999999" x14ac:dyDescent="0.25">
      <c r="A1688" s="16"/>
      <c r="B1688" s="17"/>
      <c r="C1688" s="2"/>
      <c r="D1688" s="2"/>
      <c r="E1688" s="2"/>
      <c r="F1688" s="2"/>
      <c r="G1688" s="2"/>
      <c r="H1688" s="2"/>
      <c r="I1688" s="5"/>
    </row>
    <row r="1689" spans="1:9" ht="17.399999999999999" x14ac:dyDescent="0.25">
      <c r="A1689" s="16"/>
      <c r="B1689" s="17"/>
      <c r="C1689" s="2"/>
      <c r="D1689" s="2"/>
      <c r="E1689" s="2"/>
      <c r="F1689" s="2"/>
      <c r="G1689" s="2"/>
      <c r="H1689" s="2"/>
      <c r="I1689" s="5"/>
    </row>
    <row r="1690" spans="1:9" ht="17.399999999999999" x14ac:dyDescent="0.25">
      <c r="A1690" s="16"/>
      <c r="B1690" s="17"/>
      <c r="C1690" s="2"/>
      <c r="D1690" s="2"/>
      <c r="E1690" s="2"/>
      <c r="F1690" s="2"/>
      <c r="G1690" s="2"/>
      <c r="H1690" s="2"/>
      <c r="I1690" s="5"/>
    </row>
    <row r="1691" spans="1:9" ht="17.399999999999999" x14ac:dyDescent="0.25">
      <c r="A1691" s="16"/>
      <c r="B1691" s="17"/>
      <c r="C1691" s="2"/>
      <c r="D1691" s="2"/>
      <c r="E1691" s="2"/>
      <c r="F1691" s="2"/>
      <c r="G1691" s="2"/>
      <c r="H1691" s="2"/>
      <c r="I1691" s="5"/>
    </row>
    <row r="1692" spans="1:9" ht="17.399999999999999" x14ac:dyDescent="0.25">
      <c r="A1692" s="16"/>
      <c r="B1692" s="17"/>
      <c r="C1692" s="2"/>
      <c r="D1692" s="2"/>
      <c r="E1692" s="2"/>
      <c r="F1692" s="2"/>
      <c r="G1692" s="2"/>
      <c r="H1692" s="2"/>
      <c r="I1692" s="5"/>
    </row>
    <row r="1693" spans="1:9" ht="17.399999999999999" x14ac:dyDescent="0.25">
      <c r="A1693" s="16"/>
      <c r="B1693" s="17"/>
      <c r="C1693" s="2"/>
      <c r="D1693" s="2"/>
      <c r="E1693" s="2"/>
      <c r="F1693" s="2"/>
      <c r="G1693" s="2"/>
      <c r="H1693" s="2"/>
      <c r="I1693" s="5"/>
    </row>
    <row r="1694" spans="1:9" ht="17.399999999999999" x14ac:dyDescent="0.25">
      <c r="A1694" s="16"/>
      <c r="B1694" s="17"/>
      <c r="C1694" s="2"/>
      <c r="D1694" s="2"/>
      <c r="E1694" s="2"/>
      <c r="F1694" s="2"/>
      <c r="G1694" s="2"/>
      <c r="H1694" s="2"/>
      <c r="I1694" s="5"/>
    </row>
    <row r="1695" spans="1:9" ht="17.399999999999999" x14ac:dyDescent="0.25">
      <c r="A1695" s="16"/>
      <c r="B1695" s="17"/>
      <c r="C1695" s="2"/>
      <c r="D1695" s="2"/>
      <c r="E1695" s="2"/>
      <c r="F1695" s="2"/>
      <c r="G1695" s="2"/>
      <c r="H1695" s="2"/>
      <c r="I1695" s="5"/>
    </row>
    <row r="1696" spans="1:9" ht="17.399999999999999" x14ac:dyDescent="0.25">
      <c r="A1696" s="16"/>
      <c r="B1696" s="17"/>
      <c r="C1696" s="2"/>
      <c r="D1696" s="2"/>
      <c r="E1696" s="2"/>
      <c r="F1696" s="2"/>
      <c r="G1696" s="2"/>
      <c r="H1696" s="2"/>
      <c r="I1696" s="5"/>
    </row>
    <row r="1697" spans="1:9" ht="17.399999999999999" x14ac:dyDescent="0.25">
      <c r="A1697" s="16"/>
      <c r="B1697" s="17"/>
      <c r="C1697" s="2"/>
      <c r="D1697" s="2"/>
      <c r="E1697" s="2"/>
      <c r="F1697" s="2"/>
      <c r="G1697" s="2"/>
      <c r="H1697" s="2"/>
      <c r="I1697" s="5"/>
    </row>
    <row r="1698" spans="1:9" ht="17.399999999999999" x14ac:dyDescent="0.25">
      <c r="A1698" s="16"/>
      <c r="B1698" s="17"/>
      <c r="C1698" s="2"/>
      <c r="D1698" s="2"/>
      <c r="E1698" s="2"/>
      <c r="F1698" s="2"/>
      <c r="G1698" s="2"/>
      <c r="H1698" s="2"/>
      <c r="I1698" s="5"/>
    </row>
    <row r="1699" spans="1:9" ht="17.399999999999999" x14ac:dyDescent="0.25">
      <c r="A1699" s="16"/>
      <c r="B1699" s="17"/>
      <c r="C1699" s="2"/>
      <c r="D1699" s="2"/>
      <c r="E1699" s="2"/>
      <c r="F1699" s="2"/>
      <c r="G1699" s="2"/>
      <c r="H1699" s="2"/>
      <c r="I1699" s="5"/>
    </row>
    <row r="1700" spans="1:9" ht="17.399999999999999" x14ac:dyDescent="0.25">
      <c r="A1700" s="16"/>
      <c r="B1700" s="17"/>
      <c r="C1700" s="2"/>
      <c r="D1700" s="2"/>
      <c r="E1700" s="2"/>
      <c r="F1700" s="2"/>
      <c r="G1700" s="2"/>
      <c r="H1700" s="2"/>
      <c r="I1700" s="5"/>
    </row>
    <row r="1701" spans="1:9" ht="17.399999999999999" x14ac:dyDescent="0.25">
      <c r="A1701" s="16"/>
      <c r="B1701" s="17"/>
      <c r="C1701" s="2"/>
      <c r="D1701" s="2"/>
      <c r="E1701" s="2"/>
      <c r="F1701" s="2"/>
      <c r="G1701" s="2"/>
      <c r="H1701" s="2"/>
      <c r="I1701" s="5"/>
    </row>
    <row r="1702" spans="1:9" ht="17.399999999999999" x14ac:dyDescent="0.25">
      <c r="A1702" s="16"/>
      <c r="B1702" s="17"/>
      <c r="C1702" s="2"/>
      <c r="D1702" s="2"/>
      <c r="E1702" s="2"/>
      <c r="F1702" s="2"/>
      <c r="G1702" s="2"/>
      <c r="H1702" s="2"/>
      <c r="I1702" s="5"/>
    </row>
    <row r="1703" spans="1:9" ht="17.399999999999999" x14ac:dyDescent="0.25">
      <c r="A1703" s="16"/>
      <c r="B1703" s="17"/>
      <c r="C1703" s="2"/>
      <c r="D1703" s="2"/>
      <c r="E1703" s="2"/>
      <c r="F1703" s="2"/>
      <c r="G1703" s="2"/>
      <c r="H1703" s="2"/>
      <c r="I1703" s="5"/>
    </row>
    <row r="1704" spans="1:9" ht="17.399999999999999" x14ac:dyDescent="0.25">
      <c r="A1704" s="16"/>
      <c r="B1704" s="17"/>
      <c r="C1704" s="2"/>
      <c r="D1704" s="2"/>
      <c r="E1704" s="2"/>
      <c r="F1704" s="2"/>
      <c r="G1704" s="2"/>
      <c r="H1704" s="2"/>
      <c r="I1704" s="5"/>
    </row>
    <row r="1705" spans="1:9" ht="17.399999999999999" x14ac:dyDescent="0.25">
      <c r="A1705" s="16"/>
      <c r="B1705" s="17"/>
      <c r="C1705" s="2"/>
      <c r="D1705" s="2"/>
      <c r="E1705" s="2"/>
      <c r="F1705" s="2"/>
      <c r="G1705" s="2"/>
      <c r="H1705" s="2"/>
      <c r="I1705" s="5"/>
    </row>
    <row r="1706" spans="1:9" ht="17.399999999999999" x14ac:dyDescent="0.25">
      <c r="A1706" s="16"/>
      <c r="B1706" s="17"/>
      <c r="C1706" s="2"/>
      <c r="D1706" s="2"/>
      <c r="E1706" s="2"/>
      <c r="F1706" s="2"/>
      <c r="G1706" s="2"/>
      <c r="H1706" s="2"/>
      <c r="I1706" s="5"/>
    </row>
    <row r="1707" spans="1:9" ht="17.399999999999999" x14ac:dyDescent="0.25">
      <c r="A1707" s="16"/>
      <c r="B1707" s="17"/>
      <c r="C1707" s="2"/>
      <c r="D1707" s="2"/>
      <c r="E1707" s="2"/>
      <c r="F1707" s="2"/>
      <c r="G1707" s="2"/>
      <c r="H1707" s="2"/>
      <c r="I1707" s="5"/>
    </row>
    <row r="1708" spans="1:9" ht="17.399999999999999" x14ac:dyDescent="0.25">
      <c r="A1708" s="16"/>
      <c r="B1708" s="17"/>
      <c r="C1708" s="2"/>
      <c r="D1708" s="2"/>
      <c r="E1708" s="2"/>
      <c r="F1708" s="2"/>
      <c r="G1708" s="2"/>
      <c r="H1708" s="2"/>
      <c r="I1708" s="5"/>
    </row>
    <row r="1709" spans="1:9" ht="17.399999999999999" x14ac:dyDescent="0.25">
      <c r="A1709" s="16"/>
      <c r="B1709" s="17"/>
      <c r="C1709" s="2"/>
      <c r="D1709" s="2"/>
      <c r="E1709" s="2"/>
      <c r="F1709" s="2"/>
      <c r="G1709" s="2"/>
      <c r="H1709" s="2"/>
      <c r="I1709" s="5"/>
    </row>
    <row r="1710" spans="1:9" ht="17.399999999999999" x14ac:dyDescent="0.25">
      <c r="A1710" s="16"/>
      <c r="B1710" s="17"/>
      <c r="C1710" s="2"/>
      <c r="D1710" s="2"/>
      <c r="E1710" s="2"/>
      <c r="F1710" s="2"/>
      <c r="G1710" s="2"/>
      <c r="H1710" s="2"/>
      <c r="I1710" s="5"/>
    </row>
    <row r="1711" spans="1:9" ht="17.399999999999999" x14ac:dyDescent="0.25">
      <c r="A1711" s="16"/>
      <c r="B1711" s="17"/>
      <c r="C1711" s="2"/>
      <c r="D1711" s="2"/>
      <c r="E1711" s="2"/>
      <c r="F1711" s="2"/>
      <c r="G1711" s="2"/>
      <c r="H1711" s="2"/>
      <c r="I1711" s="5"/>
    </row>
    <row r="1712" spans="1:9" ht="17.399999999999999" x14ac:dyDescent="0.25">
      <c r="A1712" s="16"/>
      <c r="B1712" s="17"/>
      <c r="C1712" s="2"/>
      <c r="D1712" s="2"/>
      <c r="E1712" s="2"/>
      <c r="F1712" s="2"/>
      <c r="G1712" s="2"/>
      <c r="H1712" s="2"/>
      <c r="I1712" s="5"/>
    </row>
    <row r="1713" spans="1:9" ht="17.399999999999999" x14ac:dyDescent="0.25">
      <c r="A1713" s="16"/>
      <c r="B1713" s="17"/>
      <c r="C1713" s="2"/>
      <c r="D1713" s="2"/>
      <c r="E1713" s="2"/>
      <c r="F1713" s="2"/>
      <c r="G1713" s="2"/>
      <c r="H1713" s="2"/>
      <c r="I1713" s="5"/>
    </row>
    <row r="1714" spans="1:9" ht="17.399999999999999" x14ac:dyDescent="0.25">
      <c r="A1714" s="16"/>
      <c r="B1714" s="17"/>
      <c r="C1714" s="2"/>
      <c r="D1714" s="2"/>
      <c r="E1714" s="2"/>
      <c r="F1714" s="2"/>
      <c r="G1714" s="2"/>
      <c r="H1714" s="2"/>
      <c r="I1714" s="5"/>
    </row>
    <row r="1715" spans="1:9" ht="17.399999999999999" x14ac:dyDescent="0.25">
      <c r="A1715" s="16"/>
      <c r="B1715" s="17"/>
      <c r="C1715" s="2"/>
      <c r="D1715" s="2"/>
      <c r="E1715" s="2"/>
      <c r="F1715" s="2"/>
      <c r="G1715" s="2"/>
      <c r="H1715" s="2"/>
      <c r="I1715" s="5"/>
    </row>
    <row r="1716" spans="1:9" ht="17.399999999999999" x14ac:dyDescent="0.25">
      <c r="A1716" s="16"/>
      <c r="B1716" s="17"/>
      <c r="C1716" s="2"/>
      <c r="D1716" s="2"/>
      <c r="E1716" s="2"/>
      <c r="F1716" s="2"/>
      <c r="G1716" s="2"/>
      <c r="H1716" s="2"/>
      <c r="I1716" s="5"/>
    </row>
    <row r="1717" spans="1:9" ht="17.399999999999999" x14ac:dyDescent="0.25">
      <c r="A1717" s="16"/>
      <c r="B1717" s="17"/>
      <c r="C1717" s="2"/>
      <c r="D1717" s="2"/>
      <c r="E1717" s="2"/>
      <c r="F1717" s="2"/>
      <c r="G1717" s="2"/>
      <c r="H1717" s="2"/>
      <c r="I1717" s="5"/>
    </row>
    <row r="1718" spans="1:9" ht="17.399999999999999" x14ac:dyDescent="0.25">
      <c r="A1718" s="16"/>
      <c r="B1718" s="17"/>
      <c r="C1718" s="2"/>
      <c r="D1718" s="2"/>
      <c r="E1718" s="2"/>
      <c r="F1718" s="2"/>
      <c r="G1718" s="2"/>
      <c r="H1718" s="2"/>
      <c r="I1718" s="5"/>
    </row>
    <row r="1719" spans="1:9" ht="17.399999999999999" x14ac:dyDescent="0.25">
      <c r="A1719" s="16"/>
      <c r="B1719" s="17"/>
      <c r="C1719" s="2"/>
      <c r="D1719" s="2"/>
      <c r="E1719" s="2"/>
      <c r="F1719" s="2"/>
      <c r="G1719" s="2"/>
      <c r="H1719" s="2"/>
      <c r="I1719" s="5"/>
    </row>
    <row r="1720" spans="1:9" ht="17.399999999999999" x14ac:dyDescent="0.25">
      <c r="A1720" s="16"/>
      <c r="B1720" s="17"/>
      <c r="C1720" s="2"/>
      <c r="D1720" s="2"/>
      <c r="E1720" s="2"/>
      <c r="F1720" s="2"/>
      <c r="G1720" s="2"/>
      <c r="H1720" s="2"/>
      <c r="I1720" s="5"/>
    </row>
    <row r="1721" spans="1:9" ht="17.399999999999999" x14ac:dyDescent="0.25">
      <c r="A1721" s="16"/>
      <c r="B1721" s="17"/>
      <c r="C1721" s="2"/>
      <c r="D1721" s="2"/>
      <c r="E1721" s="2"/>
      <c r="F1721" s="2"/>
      <c r="G1721" s="2"/>
      <c r="H1721" s="2"/>
      <c r="I1721" s="5"/>
    </row>
    <row r="1722" spans="1:9" ht="17.399999999999999" x14ac:dyDescent="0.25">
      <c r="A1722" s="16"/>
      <c r="B1722" s="17"/>
      <c r="C1722" s="2"/>
      <c r="D1722" s="2"/>
      <c r="E1722" s="2"/>
      <c r="F1722" s="2"/>
      <c r="G1722" s="2"/>
      <c r="H1722" s="2"/>
      <c r="I1722" s="5"/>
    </row>
    <row r="1723" spans="1:9" ht="17.399999999999999" x14ac:dyDescent="0.25">
      <c r="A1723" s="16"/>
      <c r="B1723" s="17"/>
      <c r="C1723" s="2"/>
      <c r="D1723" s="2"/>
      <c r="E1723" s="2"/>
      <c r="F1723" s="2"/>
      <c r="G1723" s="2"/>
      <c r="H1723" s="2"/>
      <c r="I1723" s="5"/>
    </row>
    <row r="1724" spans="1:9" ht="17.399999999999999" x14ac:dyDescent="0.25">
      <c r="A1724" s="16"/>
      <c r="B1724" s="17"/>
      <c r="C1724" s="2"/>
      <c r="D1724" s="2"/>
      <c r="E1724" s="2"/>
      <c r="F1724" s="2"/>
      <c r="G1724" s="2"/>
      <c r="H1724" s="2"/>
      <c r="I1724" s="5"/>
    </row>
    <row r="1725" spans="1:9" ht="17.399999999999999" x14ac:dyDescent="0.25">
      <c r="A1725" s="16"/>
      <c r="B1725" s="17"/>
      <c r="C1725" s="2"/>
      <c r="D1725" s="2"/>
      <c r="E1725" s="2"/>
      <c r="F1725" s="2"/>
      <c r="G1725" s="2"/>
      <c r="H1725" s="2"/>
      <c r="I1725" s="5"/>
    </row>
    <row r="1726" spans="1:9" ht="17.399999999999999" x14ac:dyDescent="0.25">
      <c r="A1726" s="16"/>
      <c r="B1726" s="17"/>
      <c r="C1726" s="2"/>
      <c r="D1726" s="2"/>
      <c r="E1726" s="2"/>
      <c r="F1726" s="2"/>
      <c r="G1726" s="2"/>
      <c r="H1726" s="2"/>
      <c r="I1726" s="5"/>
    </row>
    <row r="1727" spans="1:9" ht="17.399999999999999" x14ac:dyDescent="0.25">
      <c r="A1727" s="16"/>
      <c r="B1727" s="17"/>
      <c r="C1727" s="2"/>
      <c r="D1727" s="2"/>
      <c r="E1727" s="2"/>
      <c r="F1727" s="2"/>
      <c r="G1727" s="2"/>
      <c r="H1727" s="2"/>
      <c r="I1727" s="5"/>
    </row>
    <row r="1728" spans="1:9" ht="17.399999999999999" x14ac:dyDescent="0.25">
      <c r="A1728" s="16"/>
      <c r="B1728" s="17"/>
      <c r="C1728" s="2"/>
      <c r="D1728" s="2"/>
      <c r="E1728" s="2"/>
      <c r="F1728" s="2"/>
      <c r="G1728" s="2"/>
      <c r="H1728" s="2"/>
      <c r="I1728" s="5"/>
    </row>
    <row r="1729" spans="1:9" ht="17.399999999999999" x14ac:dyDescent="0.25">
      <c r="A1729" s="16"/>
      <c r="B1729" s="17"/>
      <c r="C1729" s="2"/>
      <c r="D1729" s="2"/>
      <c r="E1729" s="2"/>
      <c r="F1729" s="2"/>
      <c r="G1729" s="2"/>
      <c r="H1729" s="2"/>
      <c r="I1729" s="5"/>
    </row>
    <row r="1730" spans="1:9" ht="17.399999999999999" x14ac:dyDescent="0.25">
      <c r="A1730" s="16"/>
      <c r="B1730" s="17"/>
      <c r="C1730" s="2"/>
      <c r="D1730" s="2"/>
      <c r="E1730" s="2"/>
      <c r="F1730" s="2"/>
      <c r="G1730" s="2"/>
      <c r="H1730" s="2"/>
      <c r="I1730" s="5"/>
    </row>
    <row r="1731" spans="1:9" ht="17.399999999999999" x14ac:dyDescent="0.25">
      <c r="A1731" s="16"/>
      <c r="B1731" s="17"/>
      <c r="C1731" s="2"/>
      <c r="D1731" s="2"/>
      <c r="E1731" s="2"/>
      <c r="F1731" s="2"/>
      <c r="G1731" s="2"/>
      <c r="H1731" s="2"/>
      <c r="I1731" s="5"/>
    </row>
    <row r="1732" spans="1:9" ht="17.399999999999999" x14ac:dyDescent="0.25">
      <c r="A1732" s="16"/>
      <c r="B1732" s="17"/>
      <c r="C1732" s="2"/>
      <c r="D1732" s="2"/>
      <c r="E1732" s="2"/>
      <c r="F1732" s="2"/>
      <c r="G1732" s="2"/>
      <c r="H1732" s="2"/>
      <c r="I1732" s="5"/>
    </row>
    <row r="1733" spans="1:9" ht="17.399999999999999" x14ac:dyDescent="0.25">
      <c r="A1733" s="16"/>
      <c r="B1733" s="17"/>
      <c r="C1733" s="2"/>
      <c r="D1733" s="2"/>
      <c r="E1733" s="2"/>
      <c r="F1733" s="2"/>
      <c r="G1733" s="2"/>
      <c r="H1733" s="2"/>
      <c r="I1733" s="5"/>
    </row>
    <row r="1734" spans="1:9" ht="17.399999999999999" x14ac:dyDescent="0.25">
      <c r="A1734" s="16"/>
      <c r="B1734" s="17"/>
      <c r="C1734" s="2"/>
      <c r="D1734" s="2"/>
      <c r="E1734" s="2"/>
      <c r="F1734" s="2"/>
      <c r="G1734" s="2"/>
      <c r="H1734" s="2"/>
      <c r="I1734" s="5"/>
    </row>
    <row r="1735" spans="1:9" ht="17.399999999999999" x14ac:dyDescent="0.25">
      <c r="A1735" s="16"/>
      <c r="B1735" s="17"/>
      <c r="C1735" s="2"/>
      <c r="D1735" s="2"/>
      <c r="E1735" s="2"/>
      <c r="F1735" s="2"/>
      <c r="G1735" s="2"/>
      <c r="H1735" s="2"/>
      <c r="I1735" s="5"/>
    </row>
    <row r="1736" spans="1:9" ht="17.399999999999999" x14ac:dyDescent="0.25">
      <c r="A1736" s="16"/>
      <c r="B1736" s="17"/>
      <c r="C1736" s="2"/>
      <c r="D1736" s="2"/>
      <c r="E1736" s="2"/>
      <c r="F1736" s="2"/>
      <c r="G1736" s="2"/>
      <c r="H1736" s="2"/>
      <c r="I1736" s="5"/>
    </row>
    <row r="1737" spans="1:9" ht="17.399999999999999" x14ac:dyDescent="0.25">
      <c r="A1737" s="16"/>
      <c r="B1737" s="17"/>
      <c r="C1737" s="2"/>
      <c r="D1737" s="2"/>
      <c r="E1737" s="2"/>
      <c r="F1737" s="2"/>
      <c r="G1737" s="2"/>
      <c r="H1737" s="2"/>
      <c r="I1737" s="5"/>
    </row>
    <row r="1738" spans="1:9" ht="17.399999999999999" x14ac:dyDescent="0.25">
      <c r="A1738" s="16"/>
      <c r="B1738" s="17"/>
      <c r="C1738" s="2"/>
      <c r="D1738" s="2"/>
      <c r="E1738" s="2"/>
      <c r="F1738" s="2"/>
      <c r="G1738" s="2"/>
      <c r="H1738" s="2"/>
      <c r="I1738" s="5"/>
    </row>
    <row r="1739" spans="1:9" ht="17.399999999999999" x14ac:dyDescent="0.25">
      <c r="A1739" s="16"/>
      <c r="B1739" s="17"/>
      <c r="C1739" s="2"/>
      <c r="D1739" s="2"/>
      <c r="E1739" s="2"/>
      <c r="F1739" s="2"/>
      <c r="G1739" s="2"/>
      <c r="H1739" s="2"/>
      <c r="I1739" s="5"/>
    </row>
    <row r="1740" spans="1:9" ht="17.399999999999999" x14ac:dyDescent="0.25">
      <c r="A1740" s="16"/>
      <c r="B1740" s="17"/>
      <c r="C1740" s="2"/>
      <c r="D1740" s="2"/>
      <c r="E1740" s="2"/>
      <c r="F1740" s="2"/>
      <c r="G1740" s="2"/>
      <c r="H1740" s="2"/>
      <c r="I1740" s="5"/>
    </row>
    <row r="1741" spans="1:9" ht="17.399999999999999" x14ac:dyDescent="0.25">
      <c r="A1741" s="16"/>
      <c r="B1741" s="17"/>
      <c r="C1741" s="2"/>
      <c r="D1741" s="2"/>
      <c r="E1741" s="2"/>
      <c r="F1741" s="2"/>
      <c r="G1741" s="2"/>
      <c r="H1741" s="2"/>
      <c r="I1741" s="5"/>
    </row>
    <row r="1742" spans="1:9" ht="17.399999999999999" x14ac:dyDescent="0.25">
      <c r="A1742" s="16"/>
      <c r="B1742" s="17"/>
      <c r="C1742" s="2"/>
      <c r="D1742" s="2"/>
      <c r="E1742" s="2"/>
      <c r="F1742" s="2"/>
      <c r="G1742" s="2"/>
      <c r="H1742" s="2"/>
      <c r="I1742" s="5"/>
    </row>
    <row r="1743" spans="1:9" ht="17.399999999999999" x14ac:dyDescent="0.25">
      <c r="A1743" s="16"/>
      <c r="B1743" s="17"/>
      <c r="C1743" s="2"/>
      <c r="D1743" s="2"/>
      <c r="E1743" s="2"/>
      <c r="F1743" s="2"/>
      <c r="G1743" s="2"/>
      <c r="H1743" s="2"/>
      <c r="I1743" s="5"/>
    </row>
    <row r="1744" spans="1:9" ht="17.399999999999999" x14ac:dyDescent="0.25">
      <c r="A1744" s="16"/>
      <c r="B1744" s="17"/>
      <c r="C1744" s="2"/>
      <c r="D1744" s="2"/>
      <c r="E1744" s="2"/>
      <c r="F1744" s="2"/>
      <c r="G1744" s="2"/>
      <c r="H1744" s="2"/>
      <c r="I1744" s="5"/>
    </row>
    <row r="1745" spans="1:9" ht="17.399999999999999" x14ac:dyDescent="0.25">
      <c r="A1745" s="16"/>
      <c r="B1745" s="17"/>
      <c r="C1745" s="2"/>
      <c r="D1745" s="2"/>
      <c r="E1745" s="2"/>
      <c r="F1745" s="2"/>
      <c r="G1745" s="2"/>
      <c r="H1745" s="2"/>
      <c r="I1745" s="5"/>
    </row>
    <row r="1746" spans="1:9" ht="17.399999999999999" x14ac:dyDescent="0.25">
      <c r="A1746" s="16"/>
      <c r="B1746" s="17"/>
      <c r="C1746" s="2"/>
      <c r="D1746" s="2"/>
      <c r="E1746" s="2"/>
      <c r="F1746" s="2"/>
      <c r="G1746" s="2"/>
      <c r="H1746" s="2"/>
      <c r="I1746" s="5"/>
    </row>
    <row r="1747" spans="1:9" ht="17.399999999999999" x14ac:dyDescent="0.25">
      <c r="A1747" s="16"/>
      <c r="B1747" s="17"/>
      <c r="C1747" s="2"/>
      <c r="D1747" s="2"/>
      <c r="E1747" s="2"/>
      <c r="F1747" s="2"/>
      <c r="G1747" s="2"/>
      <c r="H1747" s="2"/>
      <c r="I1747" s="5"/>
    </row>
    <row r="1748" spans="1:9" ht="17.399999999999999" x14ac:dyDescent="0.25">
      <c r="A1748" s="16"/>
      <c r="B1748" s="17"/>
      <c r="C1748" s="2"/>
      <c r="D1748" s="2"/>
      <c r="E1748" s="2"/>
      <c r="F1748" s="2"/>
      <c r="G1748" s="2"/>
      <c r="H1748" s="2"/>
      <c r="I1748" s="5"/>
    </row>
    <row r="1749" spans="1:9" ht="17.399999999999999" x14ac:dyDescent="0.25">
      <c r="A1749" s="16"/>
      <c r="B1749" s="17"/>
      <c r="C1749" s="2"/>
      <c r="D1749" s="2"/>
      <c r="E1749" s="2"/>
      <c r="F1749" s="2"/>
      <c r="G1749" s="2"/>
      <c r="H1749" s="2"/>
      <c r="I1749" s="5"/>
    </row>
    <row r="1750" spans="1:9" ht="17.399999999999999" x14ac:dyDescent="0.25">
      <c r="A1750" s="16"/>
      <c r="B1750" s="17"/>
      <c r="C1750" s="2"/>
      <c r="D1750" s="2"/>
      <c r="E1750" s="2"/>
      <c r="F1750" s="2"/>
      <c r="G1750" s="2"/>
      <c r="H1750" s="2"/>
      <c r="I1750" s="5"/>
    </row>
    <row r="1751" spans="1:9" ht="17.399999999999999" x14ac:dyDescent="0.25">
      <c r="A1751" s="16"/>
      <c r="B1751" s="17"/>
      <c r="C1751" s="2"/>
      <c r="D1751" s="2"/>
      <c r="E1751" s="2"/>
      <c r="F1751" s="2"/>
      <c r="G1751" s="2"/>
      <c r="H1751" s="2"/>
      <c r="I1751" s="5"/>
    </row>
    <row r="1752" spans="1:9" ht="17.399999999999999" x14ac:dyDescent="0.25">
      <c r="A1752" s="16"/>
      <c r="B1752" s="17"/>
      <c r="C1752" s="2"/>
      <c r="D1752" s="2"/>
      <c r="E1752" s="2"/>
      <c r="F1752" s="2"/>
      <c r="G1752" s="2"/>
      <c r="H1752" s="2"/>
      <c r="I1752" s="5"/>
    </row>
    <row r="1753" spans="1:9" ht="17.399999999999999" x14ac:dyDescent="0.25">
      <c r="A1753" s="16"/>
      <c r="B1753" s="17"/>
      <c r="C1753" s="2"/>
      <c r="D1753" s="2"/>
      <c r="E1753" s="2"/>
      <c r="F1753" s="2"/>
      <c r="G1753" s="2"/>
      <c r="H1753" s="2"/>
      <c r="I1753" s="5"/>
    </row>
    <row r="1754" spans="1:9" ht="17.399999999999999" x14ac:dyDescent="0.25">
      <c r="A1754" s="16"/>
      <c r="B1754" s="17"/>
      <c r="C1754" s="2"/>
      <c r="D1754" s="2"/>
      <c r="E1754" s="2"/>
      <c r="F1754" s="2"/>
      <c r="G1754" s="2"/>
      <c r="H1754" s="2"/>
      <c r="I1754" s="5"/>
    </row>
    <row r="1755" spans="1:9" ht="17.399999999999999" x14ac:dyDescent="0.25">
      <c r="A1755" s="16"/>
      <c r="B1755" s="17"/>
      <c r="C1755" s="2"/>
      <c r="D1755" s="2"/>
      <c r="E1755" s="2"/>
      <c r="F1755" s="2"/>
      <c r="G1755" s="2"/>
      <c r="H1755" s="2"/>
      <c r="I1755" s="5"/>
    </row>
    <row r="1756" spans="1:9" ht="17.399999999999999" x14ac:dyDescent="0.25">
      <c r="A1756" s="16"/>
      <c r="B1756" s="17"/>
      <c r="C1756" s="2"/>
      <c r="D1756" s="2"/>
      <c r="E1756" s="2"/>
      <c r="F1756" s="2"/>
      <c r="G1756" s="2"/>
      <c r="H1756" s="2"/>
      <c r="I1756" s="5"/>
    </row>
    <row r="1757" spans="1:9" ht="17.399999999999999" x14ac:dyDescent="0.25">
      <c r="A1757" s="16"/>
      <c r="B1757" s="17"/>
      <c r="C1757" s="2"/>
      <c r="D1757" s="2"/>
      <c r="E1757" s="2"/>
      <c r="F1757" s="2"/>
      <c r="G1757" s="2"/>
      <c r="H1757" s="2"/>
      <c r="I1757" s="5"/>
    </row>
    <row r="1758" spans="1:9" ht="17.399999999999999" x14ac:dyDescent="0.25">
      <c r="A1758" s="16"/>
      <c r="B1758" s="17"/>
      <c r="C1758" s="2"/>
      <c r="D1758" s="2"/>
      <c r="E1758" s="2"/>
      <c r="F1758" s="2"/>
      <c r="G1758" s="2"/>
      <c r="H1758" s="2"/>
      <c r="I1758" s="5"/>
    </row>
    <row r="1759" spans="1:9" ht="17.399999999999999" x14ac:dyDescent="0.25">
      <c r="A1759" s="16"/>
      <c r="B1759" s="17"/>
      <c r="C1759" s="2"/>
      <c r="D1759" s="2"/>
      <c r="E1759" s="2"/>
      <c r="F1759" s="2"/>
      <c r="G1759" s="2"/>
      <c r="H1759" s="2"/>
      <c r="I1759" s="5"/>
    </row>
    <row r="1760" spans="1:9" ht="17.399999999999999" x14ac:dyDescent="0.25">
      <c r="A1760" s="16"/>
      <c r="B1760" s="17"/>
      <c r="C1760" s="2"/>
      <c r="D1760" s="2"/>
      <c r="E1760" s="2"/>
      <c r="F1760" s="2"/>
      <c r="G1760" s="2"/>
      <c r="H1760" s="2"/>
      <c r="I1760" s="5"/>
    </row>
    <row r="1761" spans="1:9" ht="17.399999999999999" x14ac:dyDescent="0.25">
      <c r="A1761" s="16"/>
      <c r="B1761" s="17"/>
      <c r="C1761" s="2"/>
      <c r="D1761" s="2"/>
      <c r="E1761" s="2"/>
      <c r="F1761" s="2"/>
      <c r="G1761" s="2"/>
      <c r="H1761" s="2"/>
      <c r="I1761" s="5"/>
    </row>
    <row r="1762" spans="1:9" ht="17.399999999999999" x14ac:dyDescent="0.25">
      <c r="A1762" s="16"/>
      <c r="B1762" s="17"/>
      <c r="C1762" s="2"/>
      <c r="D1762" s="2"/>
      <c r="E1762" s="2"/>
      <c r="F1762" s="2"/>
      <c r="G1762" s="2"/>
      <c r="H1762" s="2"/>
      <c r="I1762" s="5"/>
    </row>
    <row r="1763" spans="1:9" ht="17.399999999999999" x14ac:dyDescent="0.25">
      <c r="A1763" s="16"/>
      <c r="B1763" s="17"/>
      <c r="C1763" s="2"/>
      <c r="D1763" s="2"/>
      <c r="E1763" s="2"/>
      <c r="F1763" s="2"/>
      <c r="G1763" s="2"/>
      <c r="H1763" s="2"/>
      <c r="I1763" s="5"/>
    </row>
    <row r="1764" spans="1:9" ht="17.399999999999999" x14ac:dyDescent="0.25">
      <c r="A1764" s="16"/>
      <c r="B1764" s="17"/>
      <c r="C1764" s="2"/>
      <c r="D1764" s="2"/>
      <c r="E1764" s="2"/>
      <c r="F1764" s="2"/>
      <c r="G1764" s="2"/>
      <c r="H1764" s="2"/>
      <c r="I1764" s="5"/>
    </row>
    <row r="1765" spans="1:9" ht="17.399999999999999" x14ac:dyDescent="0.25">
      <c r="A1765" s="16"/>
      <c r="B1765" s="17"/>
      <c r="C1765" s="2"/>
      <c r="D1765" s="2"/>
      <c r="E1765" s="2"/>
      <c r="F1765" s="2"/>
      <c r="G1765" s="2"/>
      <c r="H1765" s="2"/>
      <c r="I1765" s="5"/>
    </row>
    <row r="1766" spans="1:9" ht="17.399999999999999" x14ac:dyDescent="0.25">
      <c r="A1766" s="16"/>
      <c r="B1766" s="17"/>
      <c r="C1766" s="2"/>
      <c r="D1766" s="2"/>
      <c r="E1766" s="2"/>
      <c r="F1766" s="2"/>
      <c r="G1766" s="2"/>
      <c r="H1766" s="2"/>
      <c r="I1766" s="5"/>
    </row>
    <row r="1767" spans="1:9" ht="17.399999999999999" x14ac:dyDescent="0.25">
      <c r="A1767" s="16"/>
      <c r="B1767" s="17"/>
      <c r="C1767" s="2"/>
      <c r="D1767" s="2"/>
      <c r="E1767" s="2"/>
      <c r="F1767" s="2"/>
      <c r="G1767" s="2"/>
      <c r="H1767" s="2"/>
      <c r="I1767" s="5"/>
    </row>
    <row r="1768" spans="1:9" ht="17.399999999999999" x14ac:dyDescent="0.25">
      <c r="A1768" s="16"/>
      <c r="B1768" s="17"/>
      <c r="C1768" s="2"/>
      <c r="D1768" s="2"/>
      <c r="E1768" s="2"/>
      <c r="F1768" s="2"/>
      <c r="G1768" s="2"/>
      <c r="H1768" s="2"/>
      <c r="I1768" s="5"/>
    </row>
    <row r="1769" spans="1:9" ht="17.399999999999999" x14ac:dyDescent="0.25">
      <c r="A1769" s="16"/>
      <c r="B1769" s="17"/>
      <c r="C1769" s="2"/>
      <c r="D1769" s="2"/>
      <c r="E1769" s="2"/>
      <c r="F1769" s="2"/>
      <c r="G1769" s="2"/>
      <c r="H1769" s="2"/>
      <c r="I1769" s="5"/>
    </row>
    <row r="1770" spans="1:9" ht="17.399999999999999" x14ac:dyDescent="0.25">
      <c r="A1770" s="16"/>
      <c r="B1770" s="17"/>
      <c r="C1770" s="2"/>
      <c r="D1770" s="2"/>
      <c r="E1770" s="2"/>
      <c r="F1770" s="2"/>
      <c r="G1770" s="2"/>
      <c r="H1770" s="2"/>
      <c r="I1770" s="5"/>
    </row>
    <row r="1771" spans="1:9" ht="17.399999999999999" x14ac:dyDescent="0.25">
      <c r="A1771" s="16"/>
      <c r="B1771" s="17"/>
      <c r="C1771" s="2"/>
      <c r="D1771" s="2"/>
      <c r="E1771" s="2"/>
      <c r="F1771" s="2"/>
      <c r="G1771" s="2"/>
      <c r="H1771" s="2"/>
      <c r="I1771" s="5"/>
    </row>
    <row r="1772" spans="1:9" ht="17.399999999999999" x14ac:dyDescent="0.25">
      <c r="A1772" s="16"/>
      <c r="B1772" s="17"/>
      <c r="C1772" s="2"/>
      <c r="D1772" s="2"/>
      <c r="E1772" s="2"/>
      <c r="F1772" s="2"/>
      <c r="G1772" s="2"/>
      <c r="H1772" s="2"/>
      <c r="I1772" s="5"/>
    </row>
    <row r="1773" spans="1:9" ht="17.399999999999999" x14ac:dyDescent="0.25">
      <c r="A1773" s="16"/>
      <c r="B1773" s="17"/>
      <c r="C1773" s="2"/>
      <c r="D1773" s="2"/>
      <c r="E1773" s="2"/>
      <c r="F1773" s="2"/>
      <c r="G1773" s="2"/>
      <c r="H1773" s="2"/>
      <c r="I1773" s="5"/>
    </row>
    <row r="1774" spans="1:9" ht="17.399999999999999" x14ac:dyDescent="0.25">
      <c r="A1774" s="16"/>
      <c r="B1774" s="17"/>
      <c r="C1774" s="2"/>
      <c r="D1774" s="2"/>
      <c r="E1774" s="2"/>
      <c r="F1774" s="2"/>
      <c r="G1774" s="2"/>
      <c r="H1774" s="2"/>
      <c r="I1774" s="5"/>
    </row>
    <row r="1775" spans="1:9" ht="17.399999999999999" x14ac:dyDescent="0.25">
      <c r="A1775" s="16"/>
      <c r="B1775" s="17"/>
      <c r="C1775" s="2"/>
      <c r="D1775" s="2"/>
      <c r="E1775" s="2"/>
      <c r="F1775" s="2"/>
      <c r="G1775" s="2"/>
      <c r="H1775" s="2"/>
      <c r="I1775" s="5"/>
    </row>
    <row r="1776" spans="1:9" ht="17.399999999999999" x14ac:dyDescent="0.25">
      <c r="A1776" s="16"/>
      <c r="B1776" s="17"/>
      <c r="C1776" s="2"/>
      <c r="D1776" s="2"/>
      <c r="E1776" s="2"/>
      <c r="F1776" s="2"/>
      <c r="G1776" s="2"/>
      <c r="H1776" s="2"/>
      <c r="I1776" s="5"/>
    </row>
    <row r="1777" spans="1:9" ht="17.399999999999999" x14ac:dyDescent="0.25">
      <c r="A1777" s="16"/>
      <c r="B1777" s="17"/>
      <c r="C1777" s="2"/>
      <c r="D1777" s="2"/>
      <c r="E1777" s="2"/>
      <c r="F1777" s="2"/>
      <c r="G1777" s="2"/>
      <c r="H1777" s="2"/>
      <c r="I1777" s="5"/>
    </row>
    <row r="1778" spans="1:9" ht="17.399999999999999" x14ac:dyDescent="0.25">
      <c r="A1778" s="16"/>
      <c r="B1778" s="17"/>
      <c r="C1778" s="2"/>
      <c r="D1778" s="2"/>
      <c r="E1778" s="2"/>
      <c r="F1778" s="2"/>
      <c r="G1778" s="2"/>
      <c r="H1778" s="2"/>
      <c r="I1778" s="5"/>
    </row>
    <row r="1779" spans="1:9" ht="17.399999999999999" x14ac:dyDescent="0.25">
      <c r="A1779" s="16"/>
      <c r="B1779" s="17"/>
      <c r="C1779" s="2"/>
      <c r="D1779" s="2"/>
      <c r="E1779" s="2"/>
      <c r="F1779" s="2"/>
      <c r="G1779" s="2"/>
      <c r="H1779" s="2"/>
      <c r="I1779" s="5"/>
    </row>
    <row r="1780" spans="1:9" ht="17.399999999999999" x14ac:dyDescent="0.25">
      <c r="A1780" s="16"/>
      <c r="B1780" s="17"/>
      <c r="C1780" s="2"/>
      <c r="D1780" s="2"/>
      <c r="E1780" s="2"/>
      <c r="F1780" s="2"/>
      <c r="G1780" s="2"/>
      <c r="H1780" s="2"/>
      <c r="I1780" s="5"/>
    </row>
    <row r="1781" spans="1:9" ht="17.399999999999999" x14ac:dyDescent="0.25">
      <c r="A1781" s="16"/>
      <c r="B1781" s="17"/>
      <c r="C1781" s="2"/>
      <c r="D1781" s="2"/>
      <c r="E1781" s="2"/>
      <c r="F1781" s="2"/>
      <c r="G1781" s="2"/>
      <c r="H1781" s="2"/>
      <c r="I1781" s="5"/>
    </row>
    <row r="1782" spans="1:9" ht="17.399999999999999" x14ac:dyDescent="0.25">
      <c r="A1782" s="16"/>
      <c r="B1782" s="17"/>
      <c r="C1782" s="2"/>
      <c r="D1782" s="2"/>
      <c r="E1782" s="2"/>
      <c r="F1782" s="2"/>
      <c r="G1782" s="2"/>
      <c r="H1782" s="2"/>
      <c r="I1782" s="5"/>
    </row>
    <row r="1783" spans="1:9" ht="17.399999999999999" x14ac:dyDescent="0.25">
      <c r="A1783" s="16"/>
      <c r="B1783" s="17"/>
      <c r="C1783" s="2"/>
      <c r="D1783" s="2"/>
      <c r="E1783" s="2"/>
      <c r="F1783" s="2"/>
      <c r="G1783" s="2"/>
      <c r="H1783" s="2"/>
      <c r="I1783" s="5"/>
    </row>
    <row r="1784" spans="1:9" ht="17.399999999999999" x14ac:dyDescent="0.25">
      <c r="A1784" s="16"/>
      <c r="B1784" s="17"/>
      <c r="C1784" s="2"/>
      <c r="D1784" s="2"/>
      <c r="E1784" s="2"/>
      <c r="F1784" s="2"/>
      <c r="G1784" s="2"/>
      <c r="H1784" s="2"/>
      <c r="I1784" s="5"/>
    </row>
    <row r="1785" spans="1:9" ht="17.399999999999999" x14ac:dyDescent="0.25">
      <c r="A1785" s="16"/>
      <c r="B1785" s="17"/>
      <c r="C1785" s="2"/>
      <c r="D1785" s="2"/>
      <c r="E1785" s="2"/>
      <c r="F1785" s="2"/>
      <c r="G1785" s="2"/>
      <c r="H1785" s="2"/>
      <c r="I1785" s="5"/>
    </row>
    <row r="1786" spans="1:9" ht="17.399999999999999" x14ac:dyDescent="0.25">
      <c r="A1786" s="16"/>
      <c r="B1786" s="17"/>
      <c r="C1786" s="2"/>
      <c r="D1786" s="2"/>
      <c r="E1786" s="2"/>
      <c r="F1786" s="2"/>
      <c r="G1786" s="2"/>
      <c r="H1786" s="2"/>
      <c r="I1786" s="5"/>
    </row>
    <row r="1787" spans="1:9" ht="17.399999999999999" x14ac:dyDescent="0.25">
      <c r="A1787" s="16"/>
      <c r="B1787" s="17"/>
      <c r="C1787" s="2"/>
      <c r="D1787" s="2"/>
      <c r="E1787" s="2"/>
      <c r="F1787" s="2"/>
      <c r="G1787" s="2"/>
      <c r="H1787" s="2"/>
      <c r="I1787" s="5"/>
    </row>
    <row r="1788" spans="1:9" ht="17.399999999999999" x14ac:dyDescent="0.25">
      <c r="A1788" s="16"/>
      <c r="B1788" s="17"/>
      <c r="C1788" s="2"/>
      <c r="D1788" s="2"/>
      <c r="E1788" s="2"/>
      <c r="F1788" s="2"/>
      <c r="G1788" s="2"/>
      <c r="H1788" s="2"/>
      <c r="I1788" s="5"/>
    </row>
    <row r="1789" spans="1:9" ht="17.399999999999999" x14ac:dyDescent="0.25">
      <c r="A1789" s="16"/>
      <c r="B1789" s="17"/>
      <c r="C1789" s="2"/>
      <c r="D1789" s="2"/>
      <c r="E1789" s="2"/>
      <c r="F1789" s="2"/>
      <c r="G1789" s="2"/>
      <c r="H1789" s="2"/>
      <c r="I1789" s="5"/>
    </row>
    <row r="1790" spans="1:9" ht="17.399999999999999" x14ac:dyDescent="0.25">
      <c r="A1790" s="16"/>
      <c r="B1790" s="17"/>
      <c r="C1790" s="2"/>
      <c r="D1790" s="2"/>
      <c r="E1790" s="2"/>
      <c r="F1790" s="2"/>
      <c r="G1790" s="2"/>
      <c r="H1790" s="2"/>
      <c r="I1790" s="5"/>
    </row>
    <row r="1791" spans="1:9" ht="17.399999999999999" x14ac:dyDescent="0.25">
      <c r="A1791" s="16"/>
      <c r="B1791" s="17"/>
      <c r="C1791" s="2"/>
      <c r="D1791" s="2"/>
      <c r="E1791" s="2"/>
      <c r="F1791" s="2"/>
      <c r="G1791" s="2"/>
      <c r="H1791" s="2"/>
      <c r="I1791" s="5"/>
    </row>
    <row r="1792" spans="1:9" ht="17.399999999999999" x14ac:dyDescent="0.25">
      <c r="A1792" s="16"/>
      <c r="B1792" s="17"/>
      <c r="C1792" s="2"/>
      <c r="D1792" s="2"/>
      <c r="E1792" s="2"/>
      <c r="F1792" s="2"/>
      <c r="G1792" s="2"/>
      <c r="H1792" s="2"/>
      <c r="I1792" s="5"/>
    </row>
    <row r="1793" spans="1:9" ht="17.399999999999999" x14ac:dyDescent="0.25">
      <c r="A1793" s="16"/>
      <c r="B1793" s="17"/>
      <c r="C1793" s="2"/>
      <c r="D1793" s="2"/>
      <c r="E1793" s="2"/>
      <c r="F1793" s="2"/>
      <c r="G1793" s="2"/>
      <c r="H1793" s="2"/>
      <c r="I1793" s="5"/>
    </row>
    <row r="1794" spans="1:9" ht="17.399999999999999" x14ac:dyDescent="0.25">
      <c r="A1794" s="16"/>
      <c r="B1794" s="17"/>
      <c r="C1794" s="2"/>
      <c r="D1794" s="2"/>
      <c r="E1794" s="2"/>
      <c r="F1794" s="2"/>
      <c r="G1794" s="2"/>
      <c r="H1794" s="2"/>
      <c r="I1794" s="5"/>
    </row>
    <row r="1795" spans="1:9" ht="17.399999999999999" x14ac:dyDescent="0.25">
      <c r="A1795" s="16"/>
      <c r="B1795" s="17"/>
      <c r="C1795" s="2"/>
      <c r="D1795" s="2"/>
      <c r="E1795" s="2"/>
      <c r="F1795" s="2"/>
      <c r="G1795" s="2"/>
      <c r="H1795" s="2"/>
      <c r="I1795" s="5"/>
    </row>
    <row r="1796" spans="1:9" ht="17.399999999999999" x14ac:dyDescent="0.25">
      <c r="A1796" s="16"/>
      <c r="B1796" s="17"/>
      <c r="C1796" s="2"/>
      <c r="D1796" s="2"/>
      <c r="E1796" s="2"/>
      <c r="F1796" s="2"/>
      <c r="G1796" s="2"/>
      <c r="H1796" s="2"/>
      <c r="I1796" s="5"/>
    </row>
    <row r="1797" spans="1:9" ht="17.399999999999999" x14ac:dyDescent="0.25">
      <c r="A1797" s="16"/>
      <c r="B1797" s="17"/>
      <c r="C1797" s="2"/>
      <c r="D1797" s="2"/>
      <c r="E1797" s="2"/>
      <c r="F1797" s="2"/>
      <c r="G1797" s="2"/>
      <c r="H1797" s="2"/>
      <c r="I1797" s="5"/>
    </row>
    <row r="1798" spans="1:9" ht="17.399999999999999" x14ac:dyDescent="0.25">
      <c r="A1798" s="16"/>
      <c r="B1798" s="17"/>
      <c r="C1798" s="2"/>
      <c r="D1798" s="2"/>
      <c r="E1798" s="2"/>
      <c r="F1798" s="2"/>
      <c r="G1798" s="2"/>
      <c r="H1798" s="2"/>
      <c r="I1798" s="5"/>
    </row>
    <row r="1799" spans="1:9" ht="17.399999999999999" x14ac:dyDescent="0.25">
      <c r="A1799" s="16"/>
      <c r="B1799" s="17"/>
      <c r="C1799" s="2"/>
      <c r="D1799" s="2"/>
      <c r="E1799" s="2"/>
      <c r="F1799" s="2"/>
      <c r="G1799" s="2"/>
      <c r="H1799" s="2"/>
      <c r="I1799" s="5"/>
    </row>
    <row r="1800" spans="1:9" ht="17.399999999999999" x14ac:dyDescent="0.25">
      <c r="A1800" s="16"/>
      <c r="B1800" s="17"/>
      <c r="C1800" s="2"/>
      <c r="D1800" s="2"/>
      <c r="E1800" s="2"/>
      <c r="F1800" s="2"/>
      <c r="G1800" s="2"/>
      <c r="H1800" s="2"/>
      <c r="I1800" s="5"/>
    </row>
    <row r="1801" spans="1:9" ht="17.399999999999999" x14ac:dyDescent="0.25">
      <c r="A1801" s="16"/>
      <c r="B1801" s="17"/>
      <c r="C1801" s="2"/>
      <c r="D1801" s="2"/>
      <c r="E1801" s="2"/>
      <c r="F1801" s="2"/>
      <c r="G1801" s="2"/>
      <c r="H1801" s="2"/>
      <c r="I1801" s="5"/>
    </row>
    <row r="1802" spans="1:9" ht="17.399999999999999" x14ac:dyDescent="0.25">
      <c r="A1802" s="16"/>
      <c r="B1802" s="17"/>
      <c r="C1802" s="2"/>
      <c r="D1802" s="2"/>
      <c r="E1802" s="2"/>
      <c r="F1802" s="2"/>
      <c r="G1802" s="2"/>
      <c r="H1802" s="2"/>
      <c r="I1802" s="5"/>
    </row>
    <row r="1803" spans="1:9" ht="17.399999999999999" x14ac:dyDescent="0.25">
      <c r="A1803" s="16"/>
      <c r="B1803" s="17"/>
      <c r="C1803" s="2"/>
      <c r="D1803" s="2"/>
      <c r="E1803" s="2"/>
      <c r="F1803" s="2"/>
      <c r="G1803" s="2"/>
      <c r="H1803" s="2"/>
      <c r="I1803" s="5"/>
    </row>
    <row r="1804" spans="1:9" ht="17.399999999999999" x14ac:dyDescent="0.25">
      <c r="A1804" s="16"/>
      <c r="B1804" s="17"/>
      <c r="C1804" s="2"/>
      <c r="D1804" s="2"/>
      <c r="E1804" s="2"/>
      <c r="F1804" s="2"/>
      <c r="G1804" s="2"/>
      <c r="H1804" s="2"/>
      <c r="I1804" s="5"/>
    </row>
    <row r="1805" spans="1:9" ht="17.399999999999999" x14ac:dyDescent="0.25">
      <c r="A1805" s="16"/>
      <c r="B1805" s="17"/>
      <c r="C1805" s="2"/>
      <c r="D1805" s="2"/>
      <c r="E1805" s="2"/>
      <c r="F1805" s="2"/>
      <c r="G1805" s="2"/>
      <c r="H1805" s="2"/>
      <c r="I1805" s="5"/>
    </row>
    <row r="1806" spans="1:9" ht="17.399999999999999" x14ac:dyDescent="0.25">
      <c r="A1806" s="16"/>
      <c r="B1806" s="17"/>
      <c r="C1806" s="2"/>
      <c r="D1806" s="2"/>
      <c r="E1806" s="2"/>
      <c r="F1806" s="2"/>
      <c r="G1806" s="2"/>
      <c r="H1806" s="2"/>
      <c r="I1806" s="5"/>
    </row>
    <row r="1807" spans="1:9" ht="17.399999999999999" x14ac:dyDescent="0.25">
      <c r="A1807" s="16"/>
      <c r="B1807" s="17"/>
      <c r="C1807" s="2"/>
      <c r="D1807" s="2"/>
      <c r="E1807" s="2"/>
      <c r="F1807" s="2"/>
      <c r="G1807" s="2"/>
      <c r="H1807" s="2"/>
      <c r="I1807" s="5"/>
    </row>
    <row r="1808" spans="1:9" ht="17.399999999999999" x14ac:dyDescent="0.25">
      <c r="A1808" s="16"/>
      <c r="B1808" s="17"/>
      <c r="C1808" s="2"/>
      <c r="D1808" s="2"/>
      <c r="E1808" s="2"/>
      <c r="F1808" s="2"/>
      <c r="G1808" s="2"/>
      <c r="H1808" s="2"/>
      <c r="I1808" s="5"/>
    </row>
    <row r="1809" spans="1:9" ht="17.399999999999999" x14ac:dyDescent="0.25">
      <c r="A1809" s="16"/>
      <c r="B1809" s="17"/>
      <c r="C1809" s="2"/>
      <c r="D1809" s="2"/>
      <c r="E1809" s="2"/>
      <c r="F1809" s="2"/>
      <c r="G1809" s="2"/>
      <c r="H1809" s="2"/>
      <c r="I1809" s="5"/>
    </row>
    <row r="1810" spans="1:9" ht="17.399999999999999" x14ac:dyDescent="0.25">
      <c r="A1810" s="16"/>
      <c r="B1810" s="17"/>
      <c r="C1810" s="2"/>
      <c r="D1810" s="2"/>
      <c r="E1810" s="2"/>
      <c r="F1810" s="2"/>
      <c r="G1810" s="2"/>
      <c r="H1810" s="2"/>
      <c r="I1810" s="5"/>
    </row>
    <row r="1811" spans="1:9" ht="17.399999999999999" x14ac:dyDescent="0.25">
      <c r="A1811" s="16"/>
      <c r="B1811" s="17"/>
      <c r="C1811" s="2"/>
      <c r="D1811" s="2"/>
      <c r="E1811" s="2"/>
      <c r="F1811" s="2"/>
      <c r="G1811" s="2"/>
      <c r="H1811" s="2"/>
      <c r="I1811" s="5"/>
    </row>
    <row r="1812" spans="1:9" ht="17.399999999999999" x14ac:dyDescent="0.25">
      <c r="A1812" s="16"/>
      <c r="B1812" s="17"/>
      <c r="C1812" s="2"/>
      <c r="D1812" s="2"/>
      <c r="E1812" s="2"/>
      <c r="F1812" s="2"/>
      <c r="G1812" s="2"/>
      <c r="H1812" s="2"/>
      <c r="I1812" s="5"/>
    </row>
    <row r="1813" spans="1:9" ht="17.399999999999999" x14ac:dyDescent="0.25">
      <c r="A1813" s="16"/>
      <c r="B1813" s="17"/>
      <c r="C1813" s="2"/>
      <c r="D1813" s="2"/>
      <c r="E1813" s="2"/>
      <c r="F1813" s="2"/>
      <c r="G1813" s="2"/>
      <c r="H1813" s="2"/>
      <c r="I1813" s="5"/>
    </row>
    <row r="1814" spans="1:9" ht="17.399999999999999" x14ac:dyDescent="0.25">
      <c r="A1814" s="16"/>
      <c r="B1814" s="17"/>
      <c r="C1814" s="2"/>
      <c r="D1814" s="2"/>
      <c r="E1814" s="2"/>
      <c r="F1814" s="2"/>
      <c r="G1814" s="2"/>
      <c r="H1814" s="2"/>
      <c r="I1814" s="5"/>
    </row>
    <row r="1815" spans="1:9" ht="17.399999999999999" x14ac:dyDescent="0.25">
      <c r="A1815" s="16"/>
      <c r="B1815" s="17"/>
      <c r="C1815" s="2"/>
      <c r="D1815" s="2"/>
      <c r="E1815" s="2"/>
      <c r="F1815" s="2"/>
      <c r="G1815" s="2"/>
      <c r="H1815" s="2"/>
      <c r="I1815" s="5"/>
    </row>
    <row r="1816" spans="1:9" ht="17.399999999999999" x14ac:dyDescent="0.25">
      <c r="A1816" s="16"/>
      <c r="B1816" s="17"/>
      <c r="C1816" s="2"/>
      <c r="D1816" s="2"/>
      <c r="E1816" s="2"/>
      <c r="F1816" s="2"/>
      <c r="G1816" s="2"/>
      <c r="H1816" s="2"/>
      <c r="I1816" s="5"/>
    </row>
    <row r="1817" spans="1:9" ht="17.399999999999999" x14ac:dyDescent="0.25">
      <c r="A1817" s="16"/>
      <c r="B1817" s="17"/>
      <c r="C1817" s="2"/>
      <c r="D1817" s="2"/>
      <c r="E1817" s="2"/>
      <c r="F1817" s="2"/>
      <c r="G1817" s="2"/>
      <c r="H1817" s="2"/>
      <c r="I1817" s="5"/>
    </row>
    <row r="1818" spans="1:9" ht="17.399999999999999" x14ac:dyDescent="0.25">
      <c r="A1818" s="16"/>
      <c r="B1818" s="17"/>
      <c r="C1818" s="2"/>
      <c r="D1818" s="2"/>
      <c r="E1818" s="2"/>
      <c r="F1818" s="2"/>
      <c r="G1818" s="2"/>
      <c r="H1818" s="2"/>
      <c r="I1818" s="5"/>
    </row>
    <row r="1819" spans="1:9" ht="17.399999999999999" x14ac:dyDescent="0.25">
      <c r="A1819" s="16"/>
      <c r="B1819" s="17"/>
      <c r="C1819" s="2"/>
      <c r="D1819" s="2"/>
      <c r="E1819" s="2"/>
      <c r="F1819" s="2"/>
      <c r="G1819" s="2"/>
      <c r="H1819" s="2"/>
      <c r="I1819" s="5"/>
    </row>
    <row r="1820" spans="1:9" ht="17.399999999999999" x14ac:dyDescent="0.25">
      <c r="A1820" s="16"/>
      <c r="B1820" s="17"/>
      <c r="C1820" s="2"/>
      <c r="D1820" s="2"/>
      <c r="E1820" s="2"/>
      <c r="F1820" s="2"/>
      <c r="G1820" s="2"/>
      <c r="H1820" s="2"/>
      <c r="I1820" s="5"/>
    </row>
    <row r="1821" spans="1:9" ht="17.399999999999999" x14ac:dyDescent="0.25">
      <c r="A1821" s="16"/>
      <c r="B1821" s="17"/>
      <c r="C1821" s="2"/>
      <c r="D1821" s="2"/>
      <c r="E1821" s="2"/>
      <c r="F1821" s="2"/>
      <c r="G1821" s="2"/>
      <c r="H1821" s="2"/>
      <c r="I1821" s="5"/>
    </row>
    <row r="1822" spans="1:9" ht="17.399999999999999" x14ac:dyDescent="0.25">
      <c r="A1822" s="16"/>
      <c r="B1822" s="17"/>
      <c r="C1822" s="2"/>
      <c r="D1822" s="2"/>
      <c r="E1822" s="2"/>
      <c r="F1822" s="2"/>
      <c r="G1822" s="2"/>
      <c r="H1822" s="2"/>
      <c r="I1822" s="5"/>
    </row>
    <row r="1823" spans="1:9" ht="17.399999999999999" x14ac:dyDescent="0.25">
      <c r="A1823" s="16"/>
      <c r="B1823" s="17"/>
      <c r="C1823" s="2"/>
      <c r="D1823" s="2"/>
      <c r="E1823" s="2"/>
      <c r="F1823" s="2"/>
      <c r="G1823" s="2"/>
      <c r="H1823" s="2"/>
      <c r="I1823" s="5"/>
    </row>
    <row r="1824" spans="1:9" ht="17.399999999999999" x14ac:dyDescent="0.25">
      <c r="A1824" s="16"/>
      <c r="B1824" s="17"/>
      <c r="C1824" s="2"/>
      <c r="D1824" s="2"/>
      <c r="E1824" s="2"/>
      <c r="F1824" s="2"/>
      <c r="G1824" s="2"/>
      <c r="H1824" s="2"/>
      <c r="I1824" s="5"/>
    </row>
    <row r="1825" spans="1:9" ht="17.399999999999999" x14ac:dyDescent="0.25">
      <c r="A1825" s="16"/>
      <c r="B1825" s="17"/>
      <c r="C1825" s="2"/>
      <c r="D1825" s="2"/>
      <c r="E1825" s="2"/>
      <c r="F1825" s="2"/>
      <c r="G1825" s="2"/>
      <c r="H1825" s="2"/>
      <c r="I1825" s="5"/>
    </row>
    <row r="1826" spans="1:9" ht="17.399999999999999" x14ac:dyDescent="0.25">
      <c r="A1826" s="16"/>
      <c r="B1826" s="17"/>
      <c r="C1826" s="2"/>
      <c r="D1826" s="2"/>
      <c r="E1826" s="2"/>
      <c r="F1826" s="2"/>
      <c r="G1826" s="2"/>
      <c r="H1826" s="2"/>
      <c r="I1826" s="5"/>
    </row>
    <row r="1827" spans="1:9" ht="17.399999999999999" x14ac:dyDescent="0.25">
      <c r="A1827" s="16"/>
      <c r="B1827" s="17"/>
      <c r="C1827" s="2"/>
      <c r="D1827" s="2"/>
      <c r="E1827" s="2"/>
      <c r="F1827" s="2"/>
      <c r="G1827" s="2"/>
      <c r="H1827" s="2"/>
      <c r="I1827" s="5"/>
    </row>
    <row r="1828" spans="1:9" ht="17.399999999999999" x14ac:dyDescent="0.25">
      <c r="A1828" s="16"/>
      <c r="B1828" s="17"/>
      <c r="C1828" s="2"/>
      <c r="D1828" s="2"/>
      <c r="E1828" s="2"/>
      <c r="F1828" s="2"/>
      <c r="G1828" s="2"/>
      <c r="H1828" s="2"/>
      <c r="I1828" s="5"/>
    </row>
    <row r="1829" spans="1:9" ht="17.399999999999999" x14ac:dyDescent="0.25">
      <c r="A1829" s="16"/>
      <c r="B1829" s="17"/>
      <c r="C1829" s="2"/>
      <c r="D1829" s="2"/>
      <c r="E1829" s="2"/>
      <c r="F1829" s="2"/>
      <c r="G1829" s="2"/>
      <c r="H1829" s="2"/>
      <c r="I1829" s="5"/>
    </row>
    <row r="1830" spans="1:9" ht="17.399999999999999" x14ac:dyDescent="0.25">
      <c r="A1830" s="16"/>
      <c r="B1830" s="17"/>
      <c r="C1830" s="2"/>
      <c r="D1830" s="2"/>
      <c r="E1830" s="2"/>
      <c r="F1830" s="2"/>
      <c r="G1830" s="2"/>
      <c r="H1830" s="2"/>
      <c r="I1830" s="5"/>
    </row>
    <row r="1831" spans="1:9" ht="17.399999999999999" x14ac:dyDescent="0.25">
      <c r="A1831" s="16"/>
      <c r="B1831" s="17"/>
      <c r="C1831" s="2"/>
      <c r="D1831" s="2"/>
      <c r="E1831" s="2"/>
      <c r="F1831" s="2"/>
      <c r="G1831" s="2"/>
      <c r="H1831" s="2"/>
      <c r="I1831" s="5"/>
    </row>
    <row r="1832" spans="1:9" ht="17.399999999999999" x14ac:dyDescent="0.25">
      <c r="A1832" s="16"/>
      <c r="B1832" s="17"/>
      <c r="C1832" s="2"/>
      <c r="D1832" s="2"/>
      <c r="E1832" s="2"/>
      <c r="F1832" s="2"/>
      <c r="G1832" s="2"/>
      <c r="H1832" s="2"/>
      <c r="I1832" s="5"/>
    </row>
    <row r="1833" spans="1:9" ht="17.399999999999999" x14ac:dyDescent="0.25">
      <c r="A1833" s="16"/>
      <c r="B1833" s="17"/>
      <c r="C1833" s="2"/>
      <c r="D1833" s="2"/>
      <c r="E1833" s="2"/>
      <c r="F1833" s="2"/>
      <c r="G1833" s="2"/>
      <c r="H1833" s="2"/>
      <c r="I1833" s="5"/>
    </row>
    <row r="1834" spans="1:9" ht="17.399999999999999" x14ac:dyDescent="0.25">
      <c r="A1834" s="16"/>
      <c r="B1834" s="17"/>
      <c r="C1834" s="2"/>
      <c r="D1834" s="2"/>
      <c r="E1834" s="2"/>
      <c r="F1834" s="2"/>
      <c r="G1834" s="2"/>
      <c r="H1834" s="2"/>
      <c r="I1834" s="5"/>
    </row>
    <row r="1835" spans="1:9" ht="17.399999999999999" x14ac:dyDescent="0.25">
      <c r="A1835" s="16"/>
      <c r="B1835" s="17"/>
      <c r="C1835" s="2"/>
      <c r="D1835" s="2"/>
      <c r="E1835" s="2"/>
      <c r="F1835" s="2"/>
      <c r="G1835" s="2"/>
      <c r="H1835" s="2"/>
      <c r="I1835" s="5"/>
    </row>
    <row r="1836" spans="1:9" ht="17.399999999999999" x14ac:dyDescent="0.25">
      <c r="A1836" s="16"/>
      <c r="B1836" s="17"/>
      <c r="C1836" s="2"/>
      <c r="D1836" s="2"/>
      <c r="E1836" s="2"/>
      <c r="F1836" s="2"/>
      <c r="G1836" s="2"/>
      <c r="H1836" s="2"/>
      <c r="I1836" s="5"/>
    </row>
    <row r="1837" spans="1:9" ht="17.399999999999999" x14ac:dyDescent="0.25">
      <c r="A1837" s="16"/>
      <c r="B1837" s="17"/>
      <c r="C1837" s="2"/>
      <c r="D1837" s="2"/>
      <c r="E1837" s="2"/>
      <c r="F1837" s="2"/>
      <c r="G1837" s="2"/>
      <c r="H1837" s="2"/>
      <c r="I1837" s="5"/>
    </row>
    <row r="1838" spans="1:9" ht="17.399999999999999" x14ac:dyDescent="0.25">
      <c r="A1838" s="16"/>
      <c r="B1838" s="17"/>
      <c r="C1838" s="2"/>
      <c r="D1838" s="2"/>
      <c r="E1838" s="2"/>
      <c r="F1838" s="2"/>
      <c r="G1838" s="2"/>
      <c r="H1838" s="2"/>
      <c r="I1838" s="5"/>
    </row>
    <row r="1839" spans="1:9" ht="17.399999999999999" x14ac:dyDescent="0.25">
      <c r="A1839" s="16"/>
      <c r="B1839" s="17"/>
      <c r="C1839" s="2"/>
      <c r="D1839" s="2"/>
      <c r="E1839" s="2"/>
      <c r="F1839" s="2"/>
      <c r="G1839" s="2"/>
      <c r="H1839" s="2"/>
      <c r="I1839" s="5"/>
    </row>
    <row r="1840" spans="1:9" ht="17.399999999999999" x14ac:dyDescent="0.25">
      <c r="A1840" s="16"/>
      <c r="B1840" s="17"/>
      <c r="C1840" s="2"/>
      <c r="D1840" s="2"/>
      <c r="E1840" s="2"/>
      <c r="F1840" s="2"/>
      <c r="G1840" s="2"/>
      <c r="H1840" s="2"/>
      <c r="I1840" s="5"/>
    </row>
    <row r="1841" spans="1:9" ht="17.399999999999999" x14ac:dyDescent="0.25">
      <c r="A1841" s="16"/>
      <c r="B1841" s="17"/>
      <c r="C1841" s="2"/>
      <c r="D1841" s="2"/>
      <c r="E1841" s="2"/>
      <c r="F1841" s="2"/>
      <c r="G1841" s="2"/>
      <c r="H1841" s="2"/>
      <c r="I1841" s="5"/>
    </row>
    <row r="1842" spans="1:9" ht="17.399999999999999" x14ac:dyDescent="0.25">
      <c r="A1842" s="16"/>
      <c r="B1842" s="17"/>
      <c r="C1842" s="2"/>
      <c r="D1842" s="2"/>
      <c r="E1842" s="2"/>
      <c r="F1842" s="2"/>
      <c r="G1842" s="2"/>
      <c r="H1842" s="2"/>
      <c r="I1842" s="5"/>
    </row>
    <row r="1843" spans="1:9" ht="17.399999999999999" x14ac:dyDescent="0.25">
      <c r="A1843" s="16"/>
      <c r="B1843" s="17"/>
      <c r="C1843" s="2"/>
      <c r="D1843" s="2"/>
      <c r="E1843" s="2"/>
      <c r="F1843" s="2"/>
      <c r="G1843" s="2"/>
      <c r="H1843" s="2"/>
      <c r="I1843" s="5"/>
    </row>
    <row r="1844" spans="1:9" ht="17.399999999999999" x14ac:dyDescent="0.25">
      <c r="A1844" s="16"/>
      <c r="B1844" s="17"/>
      <c r="C1844" s="2"/>
      <c r="D1844" s="2"/>
      <c r="E1844" s="2"/>
      <c r="F1844" s="2"/>
      <c r="G1844" s="2"/>
      <c r="H1844" s="2"/>
      <c r="I1844" s="5"/>
    </row>
    <row r="1845" spans="1:9" ht="17.399999999999999" x14ac:dyDescent="0.25">
      <c r="A1845" s="16"/>
      <c r="B1845" s="17"/>
      <c r="C1845" s="2"/>
      <c r="D1845" s="2"/>
      <c r="E1845" s="2"/>
      <c r="F1845" s="2"/>
      <c r="G1845" s="2"/>
      <c r="H1845" s="2"/>
      <c r="I1845" s="5"/>
    </row>
    <row r="1846" spans="1:9" ht="17.399999999999999" x14ac:dyDescent="0.25">
      <c r="A1846" s="16"/>
      <c r="B1846" s="17"/>
      <c r="C1846" s="2"/>
      <c r="D1846" s="2"/>
      <c r="E1846" s="2"/>
      <c r="F1846" s="2"/>
      <c r="G1846" s="2"/>
      <c r="H1846" s="2"/>
      <c r="I1846" s="5"/>
    </row>
    <row r="1847" spans="1:9" ht="17.399999999999999" x14ac:dyDescent="0.25">
      <c r="A1847" s="16"/>
      <c r="B1847" s="17"/>
      <c r="C1847" s="2"/>
      <c r="D1847" s="2"/>
      <c r="E1847" s="2"/>
      <c r="F1847" s="2"/>
      <c r="G1847" s="2"/>
      <c r="H1847" s="2"/>
      <c r="I1847" s="5"/>
    </row>
    <row r="1848" spans="1:9" ht="17.399999999999999" x14ac:dyDescent="0.25">
      <c r="A1848" s="16"/>
      <c r="B1848" s="17"/>
      <c r="C1848" s="2"/>
      <c r="D1848" s="2"/>
      <c r="E1848" s="2"/>
      <c r="F1848" s="2"/>
      <c r="G1848" s="2"/>
      <c r="H1848" s="2"/>
      <c r="I1848" s="5"/>
    </row>
    <row r="1849" spans="1:9" ht="17.399999999999999" x14ac:dyDescent="0.25">
      <c r="A1849" s="16"/>
      <c r="B1849" s="17"/>
      <c r="C1849" s="2"/>
      <c r="D1849" s="2"/>
      <c r="E1849" s="2"/>
      <c r="F1849" s="2"/>
      <c r="G1849" s="2"/>
      <c r="H1849" s="2"/>
      <c r="I1849" s="5"/>
    </row>
    <row r="1850" spans="1:9" ht="17.399999999999999" x14ac:dyDescent="0.25">
      <c r="A1850" s="16"/>
      <c r="B1850" s="17"/>
      <c r="C1850" s="2"/>
      <c r="D1850" s="2"/>
      <c r="E1850" s="2"/>
      <c r="F1850" s="2"/>
      <c r="G1850" s="2"/>
      <c r="H1850" s="2"/>
      <c r="I1850" s="5"/>
    </row>
    <row r="1851" spans="1:9" ht="17.399999999999999" x14ac:dyDescent="0.25">
      <c r="A1851" s="16"/>
      <c r="B1851" s="17"/>
      <c r="C1851" s="2"/>
      <c r="D1851" s="2"/>
      <c r="E1851" s="2"/>
      <c r="F1851" s="2"/>
      <c r="G1851" s="2"/>
      <c r="H1851" s="2"/>
      <c r="I1851" s="5"/>
    </row>
    <row r="1852" spans="1:9" ht="17.399999999999999" x14ac:dyDescent="0.25">
      <c r="A1852" s="16"/>
      <c r="B1852" s="17"/>
      <c r="C1852" s="2"/>
      <c r="D1852" s="2"/>
      <c r="E1852" s="2"/>
      <c r="F1852" s="2"/>
      <c r="G1852" s="2"/>
      <c r="H1852" s="2"/>
      <c r="I1852" s="5"/>
    </row>
    <row r="1853" spans="1:9" ht="17.399999999999999" x14ac:dyDescent="0.25">
      <c r="A1853" s="16"/>
      <c r="B1853" s="17"/>
      <c r="C1853" s="2"/>
      <c r="D1853" s="2"/>
      <c r="E1853" s="2"/>
      <c r="F1853" s="2"/>
      <c r="G1853" s="2"/>
      <c r="H1853" s="2"/>
      <c r="I1853" s="5"/>
    </row>
    <row r="1854" spans="1:9" ht="17.399999999999999" x14ac:dyDescent="0.25">
      <c r="A1854" s="16"/>
      <c r="B1854" s="17"/>
      <c r="C1854" s="2"/>
      <c r="D1854" s="2"/>
      <c r="E1854" s="2"/>
      <c r="F1854" s="2"/>
      <c r="G1854" s="2"/>
      <c r="H1854" s="2"/>
      <c r="I1854" s="5"/>
    </row>
    <row r="1855" spans="1:9" ht="17.399999999999999" x14ac:dyDescent="0.25">
      <c r="A1855" s="16"/>
      <c r="B1855" s="17"/>
      <c r="C1855" s="2"/>
      <c r="D1855" s="2"/>
      <c r="E1855" s="2"/>
      <c r="F1855" s="2"/>
      <c r="G1855" s="2"/>
      <c r="H1855" s="2"/>
      <c r="I1855" s="5"/>
    </row>
    <row r="1856" spans="1:9" ht="17.399999999999999" x14ac:dyDescent="0.25">
      <c r="A1856" s="16"/>
      <c r="B1856" s="17"/>
      <c r="C1856" s="2"/>
      <c r="D1856" s="2"/>
      <c r="E1856" s="2"/>
      <c r="F1856" s="2"/>
      <c r="G1856" s="2"/>
      <c r="H1856" s="2"/>
      <c r="I1856" s="5"/>
    </row>
    <row r="1857" spans="1:9" ht="17.399999999999999" x14ac:dyDescent="0.25">
      <c r="A1857" s="16"/>
      <c r="B1857" s="17"/>
      <c r="C1857" s="2"/>
      <c r="D1857" s="2"/>
      <c r="E1857" s="2"/>
      <c r="F1857" s="2"/>
      <c r="G1857" s="2"/>
      <c r="H1857" s="2"/>
      <c r="I1857" s="5"/>
    </row>
    <row r="1858" spans="1:9" ht="17.399999999999999" x14ac:dyDescent="0.25">
      <c r="A1858" s="16"/>
      <c r="B1858" s="17"/>
      <c r="C1858" s="2"/>
      <c r="D1858" s="2"/>
      <c r="E1858" s="2"/>
      <c r="F1858" s="2"/>
      <c r="G1858" s="2"/>
      <c r="H1858" s="2"/>
      <c r="I1858" s="5"/>
    </row>
    <row r="1859" spans="1:9" ht="17.399999999999999" x14ac:dyDescent="0.25">
      <c r="A1859" s="16"/>
      <c r="B1859" s="17"/>
      <c r="C1859" s="2"/>
      <c r="D1859" s="2"/>
      <c r="E1859" s="2"/>
      <c r="F1859" s="2"/>
      <c r="G1859" s="2"/>
      <c r="H1859" s="2"/>
      <c r="I1859" s="5"/>
    </row>
    <row r="1860" spans="1:9" ht="17.399999999999999" x14ac:dyDescent="0.25">
      <c r="A1860" s="16"/>
      <c r="B1860" s="17"/>
      <c r="C1860" s="2"/>
      <c r="D1860" s="2"/>
      <c r="E1860" s="2"/>
      <c r="F1860" s="2"/>
      <c r="G1860" s="2"/>
      <c r="H1860" s="2"/>
      <c r="I1860" s="5"/>
    </row>
    <row r="1861" spans="1:9" ht="17.399999999999999" x14ac:dyDescent="0.25">
      <c r="A1861" s="16"/>
      <c r="B1861" s="17"/>
      <c r="C1861" s="2"/>
      <c r="D1861" s="2"/>
      <c r="E1861" s="2"/>
      <c r="F1861" s="2"/>
      <c r="G1861" s="2"/>
      <c r="H1861" s="2"/>
      <c r="I1861" s="5"/>
    </row>
    <row r="1862" spans="1:9" ht="17.399999999999999" x14ac:dyDescent="0.25">
      <c r="A1862" s="16"/>
      <c r="B1862" s="17"/>
      <c r="C1862" s="2"/>
      <c r="D1862" s="2"/>
      <c r="E1862" s="2"/>
      <c r="F1862" s="2"/>
      <c r="G1862" s="2"/>
      <c r="H1862" s="2"/>
      <c r="I1862" s="5"/>
    </row>
    <row r="1863" spans="1:9" ht="17.399999999999999" x14ac:dyDescent="0.25">
      <c r="A1863" s="16"/>
      <c r="B1863" s="17"/>
      <c r="C1863" s="2"/>
      <c r="D1863" s="2"/>
      <c r="E1863" s="2"/>
      <c r="F1863" s="2"/>
      <c r="G1863" s="2"/>
      <c r="H1863" s="2"/>
      <c r="I1863" s="5"/>
    </row>
    <row r="1864" spans="1:9" ht="17.399999999999999" x14ac:dyDescent="0.25">
      <c r="A1864" s="16"/>
      <c r="B1864" s="17"/>
      <c r="C1864" s="2"/>
      <c r="D1864" s="2"/>
      <c r="E1864" s="2"/>
      <c r="F1864" s="2"/>
      <c r="G1864" s="2"/>
      <c r="H1864" s="2"/>
      <c r="I1864" s="5"/>
    </row>
    <row r="1865" spans="1:9" ht="17.399999999999999" x14ac:dyDescent="0.25">
      <c r="A1865" s="16"/>
      <c r="B1865" s="17"/>
      <c r="C1865" s="2"/>
      <c r="D1865" s="2"/>
      <c r="E1865" s="2"/>
      <c r="F1865" s="2"/>
      <c r="G1865" s="2"/>
      <c r="H1865" s="2"/>
      <c r="I1865" s="5"/>
    </row>
    <row r="1866" spans="1:9" ht="17.399999999999999" x14ac:dyDescent="0.25">
      <c r="A1866" s="16"/>
      <c r="B1866" s="17"/>
      <c r="C1866" s="2"/>
      <c r="D1866" s="2"/>
      <c r="E1866" s="2"/>
      <c r="F1866" s="2"/>
      <c r="G1866" s="2"/>
      <c r="H1866" s="2"/>
      <c r="I1866" s="5"/>
    </row>
    <row r="1867" spans="1:9" ht="17.399999999999999" x14ac:dyDescent="0.25">
      <c r="A1867" s="16"/>
      <c r="B1867" s="17"/>
      <c r="C1867" s="2"/>
      <c r="D1867" s="2"/>
      <c r="E1867" s="2"/>
      <c r="F1867" s="2"/>
      <c r="G1867" s="2"/>
      <c r="H1867" s="2"/>
      <c r="I1867" s="5"/>
    </row>
    <row r="1868" spans="1:9" ht="17.399999999999999" x14ac:dyDescent="0.25">
      <c r="A1868" s="16"/>
      <c r="B1868" s="17"/>
      <c r="C1868" s="2"/>
      <c r="D1868" s="2"/>
      <c r="E1868" s="2"/>
      <c r="F1868" s="2"/>
      <c r="G1868" s="2"/>
      <c r="H1868" s="2"/>
      <c r="I1868" s="5"/>
    </row>
    <row r="1869" spans="1:9" ht="17.399999999999999" x14ac:dyDescent="0.25">
      <c r="A1869" s="16"/>
      <c r="B1869" s="17"/>
      <c r="C1869" s="2"/>
      <c r="D1869" s="2"/>
      <c r="E1869" s="2"/>
      <c r="F1869" s="2"/>
      <c r="G1869" s="2"/>
      <c r="H1869" s="2"/>
      <c r="I1869" s="5"/>
    </row>
    <row r="1870" spans="1:9" ht="17.399999999999999" x14ac:dyDescent="0.25">
      <c r="A1870" s="16"/>
      <c r="B1870" s="17"/>
      <c r="C1870" s="2"/>
      <c r="D1870" s="2"/>
      <c r="E1870" s="2"/>
      <c r="F1870" s="2"/>
      <c r="G1870" s="2"/>
      <c r="H1870" s="2"/>
      <c r="I1870" s="5"/>
    </row>
    <row r="1871" spans="1:9" ht="17.399999999999999" x14ac:dyDescent="0.25">
      <c r="A1871" s="16"/>
      <c r="B1871" s="17"/>
      <c r="C1871" s="2"/>
      <c r="D1871" s="2"/>
      <c r="E1871" s="2"/>
      <c r="F1871" s="2"/>
      <c r="G1871" s="2"/>
      <c r="H1871" s="2"/>
      <c r="I1871" s="5"/>
    </row>
    <row r="1872" spans="1:9" ht="17.399999999999999" x14ac:dyDescent="0.25">
      <c r="A1872" s="16"/>
      <c r="B1872" s="17"/>
      <c r="C1872" s="2"/>
      <c r="D1872" s="2"/>
      <c r="E1872" s="2"/>
      <c r="F1872" s="2"/>
      <c r="G1872" s="2"/>
      <c r="H1872" s="2"/>
      <c r="I1872" s="5"/>
    </row>
    <row r="1873" spans="1:9" ht="17.399999999999999" x14ac:dyDescent="0.25">
      <c r="A1873" s="16"/>
      <c r="B1873" s="17"/>
      <c r="C1873" s="2"/>
      <c r="D1873" s="2"/>
      <c r="E1873" s="2"/>
      <c r="F1873" s="2"/>
      <c r="G1873" s="2"/>
      <c r="H1873" s="2"/>
      <c r="I1873" s="5"/>
    </row>
    <row r="1874" spans="1:9" ht="17.399999999999999" x14ac:dyDescent="0.25">
      <c r="A1874" s="16"/>
      <c r="B1874" s="17"/>
      <c r="C1874" s="2"/>
      <c r="D1874" s="2"/>
      <c r="E1874" s="2"/>
      <c r="F1874" s="2"/>
      <c r="G1874" s="2"/>
      <c r="H1874" s="2"/>
      <c r="I1874" s="5"/>
    </row>
    <row r="1875" spans="1:9" ht="17.399999999999999" x14ac:dyDescent="0.25">
      <c r="A1875" s="16"/>
      <c r="B1875" s="17"/>
      <c r="C1875" s="2"/>
      <c r="D1875" s="2"/>
      <c r="E1875" s="2"/>
      <c r="F1875" s="2"/>
      <c r="G1875" s="2"/>
      <c r="H1875" s="2"/>
      <c r="I1875" s="5"/>
    </row>
    <row r="1876" spans="1:9" ht="17.399999999999999" x14ac:dyDescent="0.25">
      <c r="A1876" s="16"/>
      <c r="B1876" s="17"/>
      <c r="C1876" s="2"/>
      <c r="D1876" s="2"/>
      <c r="E1876" s="2"/>
      <c r="F1876" s="2"/>
      <c r="G1876" s="2"/>
      <c r="H1876" s="2"/>
      <c r="I1876" s="5"/>
    </row>
    <row r="1877" spans="1:9" ht="17.399999999999999" x14ac:dyDescent="0.25">
      <c r="A1877" s="16"/>
      <c r="B1877" s="17"/>
      <c r="C1877" s="2"/>
      <c r="D1877" s="2"/>
      <c r="E1877" s="2"/>
      <c r="F1877" s="2"/>
      <c r="G1877" s="2"/>
      <c r="H1877" s="2"/>
      <c r="I1877" s="5"/>
    </row>
    <row r="1878" spans="1:9" ht="17.399999999999999" x14ac:dyDescent="0.25">
      <c r="A1878" s="16"/>
      <c r="B1878" s="17"/>
      <c r="C1878" s="2"/>
      <c r="D1878" s="2"/>
      <c r="E1878" s="2"/>
      <c r="F1878" s="2"/>
      <c r="G1878" s="2"/>
      <c r="H1878" s="2"/>
      <c r="I1878" s="5"/>
    </row>
    <row r="1879" spans="1:9" ht="17.399999999999999" x14ac:dyDescent="0.25">
      <c r="A1879" s="16"/>
      <c r="B1879" s="17"/>
      <c r="C1879" s="2"/>
      <c r="D1879" s="2"/>
      <c r="E1879" s="2"/>
      <c r="F1879" s="2"/>
      <c r="G1879" s="2"/>
      <c r="H1879" s="2"/>
      <c r="I1879" s="5"/>
    </row>
    <row r="1880" spans="1:9" ht="17.399999999999999" x14ac:dyDescent="0.25">
      <c r="A1880" s="16"/>
      <c r="B1880" s="17"/>
      <c r="C1880" s="2"/>
      <c r="D1880" s="2"/>
      <c r="E1880" s="2"/>
      <c r="F1880" s="2"/>
      <c r="G1880" s="2"/>
      <c r="H1880" s="2"/>
      <c r="I1880" s="5"/>
    </row>
    <row r="1881" spans="1:9" ht="17.399999999999999" x14ac:dyDescent="0.25">
      <c r="A1881" s="16"/>
      <c r="B1881" s="17"/>
      <c r="C1881" s="2"/>
      <c r="D1881" s="2"/>
      <c r="E1881" s="2"/>
      <c r="F1881" s="2"/>
      <c r="G1881" s="2"/>
      <c r="H1881" s="2"/>
      <c r="I1881" s="5"/>
    </row>
    <row r="1882" spans="1:9" ht="17.399999999999999" x14ac:dyDescent="0.25">
      <c r="A1882" s="16"/>
      <c r="B1882" s="17"/>
      <c r="C1882" s="2"/>
      <c r="D1882" s="2"/>
      <c r="E1882" s="2"/>
      <c r="F1882" s="2"/>
      <c r="G1882" s="2"/>
      <c r="H1882" s="2"/>
      <c r="I1882" s="5"/>
    </row>
    <row r="1883" spans="1:9" ht="17.399999999999999" x14ac:dyDescent="0.25">
      <c r="A1883" s="16"/>
      <c r="B1883" s="17"/>
      <c r="C1883" s="2"/>
      <c r="D1883" s="2"/>
      <c r="E1883" s="2"/>
      <c r="F1883" s="2"/>
      <c r="G1883" s="2"/>
      <c r="H1883" s="2"/>
      <c r="I1883" s="5"/>
    </row>
    <row r="1884" spans="1:9" ht="17.399999999999999" x14ac:dyDescent="0.25">
      <c r="A1884" s="16"/>
      <c r="B1884" s="17"/>
      <c r="C1884" s="2"/>
      <c r="D1884" s="2"/>
      <c r="E1884" s="2"/>
      <c r="F1884" s="2"/>
      <c r="G1884" s="2"/>
      <c r="H1884" s="2"/>
      <c r="I1884" s="5"/>
    </row>
    <row r="1885" spans="1:9" ht="17.399999999999999" x14ac:dyDescent="0.25">
      <c r="A1885" s="16"/>
      <c r="B1885" s="17"/>
      <c r="C1885" s="2"/>
      <c r="D1885" s="2"/>
      <c r="E1885" s="2"/>
      <c r="F1885" s="2"/>
      <c r="G1885" s="2"/>
      <c r="H1885" s="2"/>
      <c r="I1885" s="5"/>
    </row>
    <row r="1886" spans="1:9" ht="17.399999999999999" x14ac:dyDescent="0.25">
      <c r="A1886" s="16"/>
      <c r="B1886" s="17"/>
      <c r="C1886" s="2"/>
      <c r="D1886" s="2"/>
      <c r="E1886" s="2"/>
      <c r="F1886" s="2"/>
      <c r="G1886" s="2"/>
      <c r="H1886" s="2"/>
      <c r="I1886" s="5"/>
    </row>
    <row r="1887" spans="1:9" ht="17.399999999999999" x14ac:dyDescent="0.25">
      <c r="A1887" s="16"/>
      <c r="B1887" s="17"/>
      <c r="C1887" s="2"/>
      <c r="D1887" s="2"/>
      <c r="E1887" s="2"/>
      <c r="F1887" s="2"/>
      <c r="G1887" s="2"/>
      <c r="H1887" s="2"/>
      <c r="I1887" s="5"/>
    </row>
    <row r="1888" spans="1:9" ht="17.399999999999999" x14ac:dyDescent="0.25">
      <c r="A1888" s="16"/>
      <c r="B1888" s="17"/>
      <c r="C1888" s="2"/>
      <c r="D1888" s="2"/>
      <c r="E1888" s="2"/>
      <c r="F1888" s="2"/>
      <c r="G1888" s="2"/>
      <c r="H1888" s="2"/>
      <c r="I1888" s="5"/>
    </row>
    <row r="1889" spans="1:9" ht="17.399999999999999" x14ac:dyDescent="0.25">
      <c r="A1889" s="16"/>
      <c r="B1889" s="17"/>
      <c r="C1889" s="2"/>
      <c r="D1889" s="2"/>
      <c r="E1889" s="2"/>
      <c r="F1889" s="2"/>
      <c r="G1889" s="2"/>
      <c r="H1889" s="2"/>
      <c r="I1889" s="5"/>
    </row>
    <row r="1890" spans="1:9" ht="17.399999999999999" x14ac:dyDescent="0.25">
      <c r="A1890" s="16"/>
      <c r="B1890" s="17"/>
      <c r="C1890" s="2"/>
      <c r="D1890" s="2"/>
      <c r="E1890" s="2"/>
      <c r="F1890" s="2"/>
      <c r="G1890" s="2"/>
      <c r="H1890" s="2"/>
      <c r="I1890" s="5"/>
    </row>
    <row r="1891" spans="1:9" ht="17.399999999999999" x14ac:dyDescent="0.25">
      <c r="A1891" s="16"/>
      <c r="B1891" s="17"/>
      <c r="C1891" s="2"/>
      <c r="D1891" s="2"/>
      <c r="E1891" s="2"/>
      <c r="F1891" s="2"/>
      <c r="G1891" s="2"/>
      <c r="H1891" s="2"/>
      <c r="I1891" s="5"/>
    </row>
    <row r="1892" spans="1:9" ht="17.399999999999999" x14ac:dyDescent="0.25">
      <c r="A1892" s="16"/>
      <c r="B1892" s="17"/>
      <c r="C1892" s="2"/>
      <c r="D1892" s="2"/>
      <c r="E1892" s="2"/>
      <c r="F1892" s="2"/>
      <c r="G1892" s="2"/>
      <c r="H1892" s="2"/>
      <c r="I1892" s="5"/>
    </row>
    <row r="1893" spans="1:9" ht="17.399999999999999" x14ac:dyDescent="0.25">
      <c r="A1893" s="16"/>
      <c r="B1893" s="17"/>
      <c r="C1893" s="2"/>
      <c r="D1893" s="2"/>
      <c r="E1893" s="2"/>
      <c r="F1893" s="2"/>
      <c r="G1893" s="2"/>
      <c r="H1893" s="2"/>
      <c r="I1893" s="5"/>
    </row>
    <row r="1894" spans="1:9" ht="17.399999999999999" x14ac:dyDescent="0.25">
      <c r="A1894" s="16"/>
      <c r="B1894" s="17"/>
      <c r="C1894" s="2"/>
      <c r="D1894" s="2"/>
      <c r="E1894" s="2"/>
      <c r="F1894" s="2"/>
      <c r="G1894" s="2"/>
      <c r="H1894" s="2"/>
      <c r="I1894" s="5"/>
    </row>
    <row r="1895" spans="1:9" ht="17.399999999999999" x14ac:dyDescent="0.25">
      <c r="A1895" s="16"/>
      <c r="B1895" s="17"/>
      <c r="C1895" s="2"/>
      <c r="D1895" s="2"/>
      <c r="E1895" s="2"/>
      <c r="F1895" s="2"/>
      <c r="G1895" s="2"/>
      <c r="H1895" s="2"/>
      <c r="I1895" s="5"/>
    </row>
    <row r="1896" spans="1:9" ht="17.399999999999999" x14ac:dyDescent="0.25">
      <c r="A1896" s="16"/>
      <c r="B1896" s="17"/>
      <c r="C1896" s="2"/>
      <c r="D1896" s="2"/>
      <c r="E1896" s="2"/>
      <c r="F1896" s="2"/>
      <c r="G1896" s="2"/>
      <c r="H1896" s="2"/>
      <c r="I1896" s="5"/>
    </row>
    <row r="1897" spans="1:9" ht="17.399999999999999" x14ac:dyDescent="0.25">
      <c r="A1897" s="16"/>
      <c r="B1897" s="17"/>
      <c r="C1897" s="2"/>
      <c r="D1897" s="2"/>
      <c r="E1897" s="2"/>
      <c r="F1897" s="2"/>
      <c r="G1897" s="2"/>
      <c r="H1897" s="2"/>
      <c r="I1897" s="5"/>
    </row>
    <row r="1898" spans="1:9" ht="17.399999999999999" x14ac:dyDescent="0.25">
      <c r="A1898" s="16"/>
      <c r="B1898" s="17"/>
      <c r="C1898" s="2"/>
      <c r="D1898" s="2"/>
      <c r="E1898" s="2"/>
      <c r="F1898" s="2"/>
      <c r="G1898" s="2"/>
      <c r="H1898" s="2"/>
      <c r="I1898" s="5"/>
    </row>
    <row r="1899" spans="1:9" ht="17.399999999999999" x14ac:dyDescent="0.25">
      <c r="A1899" s="16"/>
      <c r="B1899" s="17"/>
      <c r="C1899" s="2"/>
      <c r="D1899" s="2"/>
      <c r="E1899" s="2"/>
      <c r="F1899" s="2"/>
      <c r="G1899" s="2"/>
      <c r="H1899" s="2"/>
      <c r="I1899" s="5"/>
    </row>
    <row r="1900" spans="1:9" ht="17.399999999999999" x14ac:dyDescent="0.25">
      <c r="A1900" s="16"/>
      <c r="B1900" s="17"/>
      <c r="C1900" s="2"/>
      <c r="D1900" s="2"/>
      <c r="E1900" s="2"/>
      <c r="F1900" s="2"/>
      <c r="G1900" s="2"/>
      <c r="H1900" s="2"/>
      <c r="I1900" s="5"/>
    </row>
    <row r="1901" spans="1:9" ht="17.399999999999999" x14ac:dyDescent="0.25">
      <c r="A1901" s="16"/>
      <c r="B1901" s="17"/>
      <c r="C1901" s="2"/>
      <c r="D1901" s="2"/>
      <c r="E1901" s="2"/>
      <c r="F1901" s="2"/>
      <c r="G1901" s="2"/>
      <c r="H1901" s="2"/>
      <c r="I1901" s="5"/>
    </row>
    <row r="1902" spans="1:9" ht="17.399999999999999" x14ac:dyDescent="0.25">
      <c r="A1902" s="16"/>
      <c r="B1902" s="17"/>
      <c r="C1902" s="2"/>
      <c r="D1902" s="2"/>
      <c r="E1902" s="2"/>
      <c r="F1902" s="2"/>
      <c r="G1902" s="2"/>
      <c r="H1902" s="2"/>
      <c r="I1902" s="5"/>
    </row>
    <row r="1903" spans="1:9" ht="17.399999999999999" x14ac:dyDescent="0.25">
      <c r="A1903" s="16"/>
      <c r="B1903" s="17"/>
      <c r="C1903" s="2"/>
      <c r="D1903" s="2"/>
      <c r="E1903" s="2"/>
      <c r="F1903" s="2"/>
      <c r="G1903" s="2"/>
      <c r="H1903" s="2"/>
      <c r="I1903" s="5"/>
    </row>
    <row r="1904" spans="1:9" ht="17.399999999999999" x14ac:dyDescent="0.25">
      <c r="A1904" s="16"/>
      <c r="B1904" s="17"/>
      <c r="C1904" s="2"/>
      <c r="D1904" s="2"/>
      <c r="E1904" s="2"/>
      <c r="F1904" s="2"/>
      <c r="G1904" s="2"/>
      <c r="H1904" s="2"/>
      <c r="I1904" s="5"/>
    </row>
    <row r="1905" spans="1:9" ht="17.399999999999999" x14ac:dyDescent="0.25">
      <c r="A1905" s="16"/>
      <c r="B1905" s="17"/>
      <c r="C1905" s="2"/>
      <c r="D1905" s="2"/>
      <c r="E1905" s="2"/>
      <c r="F1905" s="2"/>
      <c r="G1905" s="2"/>
      <c r="H1905" s="2"/>
      <c r="I1905" s="5"/>
    </row>
    <row r="1906" spans="1:9" ht="17.399999999999999" x14ac:dyDescent="0.25">
      <c r="A1906" s="16"/>
      <c r="B1906" s="17"/>
      <c r="C1906" s="2"/>
      <c r="D1906" s="2"/>
      <c r="E1906" s="2"/>
      <c r="F1906" s="2"/>
      <c r="G1906" s="2"/>
      <c r="H1906" s="2"/>
      <c r="I1906" s="5"/>
    </row>
    <row r="1907" spans="1:9" ht="17.399999999999999" x14ac:dyDescent="0.25">
      <c r="A1907" s="16"/>
      <c r="B1907" s="17"/>
      <c r="C1907" s="2"/>
      <c r="D1907" s="2"/>
      <c r="E1907" s="2"/>
      <c r="F1907" s="2"/>
      <c r="G1907" s="2"/>
      <c r="H1907" s="2"/>
      <c r="I1907" s="5"/>
    </row>
    <row r="1908" spans="1:9" ht="17.399999999999999" x14ac:dyDescent="0.25">
      <c r="A1908" s="16"/>
      <c r="B1908" s="17"/>
      <c r="C1908" s="2"/>
      <c r="D1908" s="2"/>
      <c r="E1908" s="2"/>
      <c r="F1908" s="2"/>
      <c r="G1908" s="2"/>
      <c r="H1908" s="2"/>
      <c r="I1908" s="5"/>
    </row>
    <row r="1909" spans="1:9" ht="17.399999999999999" x14ac:dyDescent="0.25">
      <c r="A1909" s="16"/>
      <c r="B1909" s="17"/>
      <c r="C1909" s="2"/>
      <c r="D1909" s="2"/>
      <c r="E1909" s="2"/>
      <c r="F1909" s="2"/>
      <c r="G1909" s="2"/>
      <c r="H1909" s="2"/>
      <c r="I1909" s="5"/>
    </row>
    <row r="1910" spans="1:9" ht="17.399999999999999" x14ac:dyDescent="0.25">
      <c r="A1910" s="16"/>
      <c r="B1910" s="17"/>
      <c r="C1910" s="2"/>
      <c r="D1910" s="2"/>
      <c r="E1910" s="2"/>
      <c r="F1910" s="2"/>
      <c r="G1910" s="2"/>
      <c r="H1910" s="2"/>
      <c r="I1910" s="5"/>
    </row>
    <row r="1911" spans="1:9" ht="17.399999999999999" x14ac:dyDescent="0.25">
      <c r="A1911" s="16"/>
      <c r="B1911" s="17"/>
      <c r="C1911" s="2"/>
      <c r="D1911" s="2"/>
      <c r="E1911" s="2"/>
      <c r="F1911" s="2"/>
      <c r="G1911" s="2"/>
      <c r="H1911" s="2"/>
      <c r="I1911" s="5"/>
    </row>
    <row r="1912" spans="1:9" ht="17.399999999999999" x14ac:dyDescent="0.25">
      <c r="A1912" s="16"/>
      <c r="B1912" s="17"/>
      <c r="C1912" s="2"/>
      <c r="D1912" s="2"/>
      <c r="E1912" s="2"/>
      <c r="F1912" s="2"/>
      <c r="G1912" s="2"/>
      <c r="H1912" s="2"/>
      <c r="I1912" s="5"/>
    </row>
    <row r="1913" spans="1:9" ht="17.399999999999999" x14ac:dyDescent="0.25">
      <c r="A1913" s="16"/>
      <c r="B1913" s="17"/>
      <c r="C1913" s="2"/>
      <c r="D1913" s="2"/>
      <c r="E1913" s="2"/>
      <c r="F1913" s="2"/>
      <c r="G1913" s="2"/>
      <c r="H1913" s="2"/>
      <c r="I1913" s="5"/>
    </row>
    <row r="1914" spans="1:9" ht="17.399999999999999" x14ac:dyDescent="0.25">
      <c r="A1914" s="16"/>
      <c r="B1914" s="17"/>
      <c r="C1914" s="2"/>
      <c r="D1914" s="2"/>
      <c r="E1914" s="2"/>
      <c r="F1914" s="2"/>
      <c r="G1914" s="2"/>
      <c r="H1914" s="2"/>
      <c r="I1914" s="5"/>
    </row>
    <row r="1915" spans="1:9" ht="17.399999999999999" x14ac:dyDescent="0.25">
      <c r="A1915" s="16"/>
      <c r="B1915" s="17"/>
      <c r="C1915" s="2"/>
      <c r="D1915" s="2"/>
      <c r="E1915" s="2"/>
      <c r="F1915" s="2"/>
      <c r="G1915" s="2"/>
      <c r="H1915" s="2"/>
      <c r="I1915" s="5"/>
    </row>
    <row r="1916" spans="1:9" ht="17.399999999999999" x14ac:dyDescent="0.25">
      <c r="A1916" s="16"/>
      <c r="B1916" s="17"/>
      <c r="C1916" s="2"/>
      <c r="D1916" s="2"/>
      <c r="E1916" s="2"/>
      <c r="F1916" s="2"/>
      <c r="G1916" s="2"/>
      <c r="H1916" s="2"/>
      <c r="I1916" s="5"/>
    </row>
    <row r="1917" spans="1:9" ht="17.399999999999999" x14ac:dyDescent="0.25">
      <c r="A1917" s="16"/>
      <c r="B1917" s="17"/>
      <c r="C1917" s="2"/>
      <c r="D1917" s="2"/>
      <c r="E1917" s="2"/>
      <c r="F1917" s="2"/>
      <c r="G1917" s="2"/>
      <c r="H1917" s="2"/>
      <c r="I1917" s="5"/>
    </row>
    <row r="1918" spans="1:9" ht="17.399999999999999" x14ac:dyDescent="0.25">
      <c r="A1918" s="16"/>
      <c r="B1918" s="17"/>
      <c r="C1918" s="2"/>
      <c r="D1918" s="2"/>
      <c r="E1918" s="2"/>
      <c r="F1918" s="2"/>
      <c r="G1918" s="2"/>
      <c r="H1918" s="2"/>
      <c r="I1918" s="5"/>
    </row>
    <row r="1919" spans="1:9" ht="17.399999999999999" x14ac:dyDescent="0.25">
      <c r="A1919" s="16"/>
      <c r="B1919" s="17"/>
      <c r="C1919" s="2"/>
      <c r="D1919" s="2"/>
      <c r="E1919" s="2"/>
      <c r="F1919" s="2"/>
      <c r="G1919" s="2"/>
      <c r="H1919" s="2"/>
      <c r="I1919" s="5"/>
    </row>
    <row r="1920" spans="1:9" ht="17.399999999999999" x14ac:dyDescent="0.25">
      <c r="A1920" s="16"/>
      <c r="B1920" s="17"/>
      <c r="C1920" s="2"/>
      <c r="D1920" s="2"/>
      <c r="E1920" s="2"/>
      <c r="F1920" s="2"/>
      <c r="G1920" s="2"/>
      <c r="H1920" s="2"/>
      <c r="I1920" s="5"/>
    </row>
    <row r="1921" spans="1:9" ht="17.399999999999999" x14ac:dyDescent="0.25">
      <c r="A1921" s="16"/>
      <c r="B1921" s="17"/>
      <c r="C1921" s="2"/>
      <c r="D1921" s="2"/>
      <c r="E1921" s="2"/>
      <c r="F1921" s="2"/>
      <c r="G1921" s="2"/>
      <c r="H1921" s="2"/>
      <c r="I1921" s="5"/>
    </row>
    <row r="1922" spans="1:9" ht="17.399999999999999" x14ac:dyDescent="0.25">
      <c r="A1922" s="16"/>
      <c r="B1922" s="17"/>
      <c r="C1922" s="2"/>
      <c r="D1922" s="2"/>
      <c r="E1922" s="2"/>
      <c r="F1922" s="2"/>
      <c r="G1922" s="2"/>
      <c r="H1922" s="2"/>
      <c r="I1922" s="5"/>
    </row>
    <row r="1923" spans="1:9" ht="17.399999999999999" x14ac:dyDescent="0.25">
      <c r="A1923" s="16"/>
      <c r="B1923" s="17"/>
      <c r="C1923" s="2"/>
      <c r="D1923" s="2"/>
      <c r="E1923" s="2"/>
      <c r="F1923" s="2"/>
      <c r="G1923" s="2"/>
      <c r="H1923" s="2"/>
      <c r="I1923" s="5"/>
    </row>
    <row r="1924" spans="1:9" ht="17.399999999999999" x14ac:dyDescent="0.25">
      <c r="A1924" s="16"/>
      <c r="B1924" s="17"/>
      <c r="C1924" s="2"/>
      <c r="D1924" s="2"/>
      <c r="E1924" s="2"/>
      <c r="F1924" s="2"/>
      <c r="G1924" s="2"/>
      <c r="H1924" s="2"/>
      <c r="I1924" s="5"/>
    </row>
    <row r="1925" spans="1:9" ht="17.399999999999999" x14ac:dyDescent="0.25">
      <c r="A1925" s="16"/>
      <c r="B1925" s="17"/>
      <c r="C1925" s="2"/>
      <c r="D1925" s="2"/>
      <c r="E1925" s="2"/>
      <c r="F1925" s="2"/>
      <c r="G1925" s="2"/>
      <c r="H1925" s="2"/>
      <c r="I1925" s="5"/>
    </row>
    <row r="1926" spans="1:9" ht="17.399999999999999" x14ac:dyDescent="0.25">
      <c r="A1926" s="16"/>
      <c r="B1926" s="17"/>
      <c r="C1926" s="2"/>
      <c r="D1926" s="2"/>
      <c r="E1926" s="2"/>
      <c r="F1926" s="2"/>
      <c r="G1926" s="2"/>
      <c r="H1926" s="2"/>
      <c r="I1926" s="5"/>
    </row>
    <row r="1927" spans="1:9" ht="17.399999999999999" x14ac:dyDescent="0.25">
      <c r="A1927" s="16"/>
      <c r="B1927" s="17"/>
      <c r="C1927" s="2"/>
      <c r="D1927" s="2"/>
      <c r="E1927" s="2"/>
      <c r="F1927" s="2"/>
      <c r="G1927" s="2"/>
      <c r="H1927" s="2"/>
      <c r="I1927" s="5"/>
    </row>
    <row r="1928" spans="1:9" ht="17.399999999999999" x14ac:dyDescent="0.25">
      <c r="A1928" s="16"/>
      <c r="B1928" s="17"/>
      <c r="C1928" s="2"/>
      <c r="D1928" s="2"/>
      <c r="E1928" s="2"/>
      <c r="F1928" s="2"/>
      <c r="G1928" s="2"/>
      <c r="H1928" s="2"/>
      <c r="I1928" s="5"/>
    </row>
    <row r="1929" spans="1:9" ht="17.399999999999999" x14ac:dyDescent="0.25">
      <c r="A1929" s="16"/>
      <c r="B1929" s="17"/>
      <c r="C1929" s="2"/>
      <c r="D1929" s="2"/>
      <c r="E1929" s="2"/>
      <c r="F1929" s="2"/>
      <c r="G1929" s="2"/>
      <c r="H1929" s="2"/>
      <c r="I1929" s="5"/>
    </row>
    <row r="1930" spans="1:9" ht="17.399999999999999" x14ac:dyDescent="0.25">
      <c r="A1930" s="16"/>
      <c r="B1930" s="17"/>
      <c r="C1930" s="2"/>
      <c r="D1930" s="2"/>
      <c r="E1930" s="2"/>
      <c r="F1930" s="2"/>
      <c r="G1930" s="2"/>
      <c r="H1930" s="2"/>
      <c r="I1930" s="5"/>
    </row>
    <row r="1931" spans="1:9" ht="17.399999999999999" x14ac:dyDescent="0.25">
      <c r="A1931" s="16"/>
      <c r="B1931" s="17"/>
      <c r="C1931" s="2"/>
      <c r="D1931" s="2"/>
      <c r="E1931" s="2"/>
      <c r="F1931" s="2"/>
      <c r="G1931" s="2"/>
      <c r="H1931" s="2"/>
      <c r="I1931" s="5"/>
    </row>
    <row r="1932" spans="1:9" ht="17.399999999999999" x14ac:dyDescent="0.25">
      <c r="A1932" s="16"/>
      <c r="B1932" s="17"/>
      <c r="C1932" s="2"/>
      <c r="D1932" s="2"/>
      <c r="E1932" s="2"/>
      <c r="F1932" s="2"/>
      <c r="G1932" s="2"/>
      <c r="H1932" s="2"/>
      <c r="I1932" s="5"/>
    </row>
    <row r="1933" spans="1:9" ht="17.399999999999999" x14ac:dyDescent="0.25">
      <c r="A1933" s="16"/>
      <c r="B1933" s="17"/>
      <c r="C1933" s="2"/>
      <c r="D1933" s="2"/>
      <c r="E1933" s="2"/>
      <c r="F1933" s="2"/>
      <c r="G1933" s="2"/>
      <c r="H1933" s="2"/>
      <c r="I1933" s="5"/>
    </row>
    <row r="1934" spans="1:9" ht="17.399999999999999" x14ac:dyDescent="0.25">
      <c r="A1934" s="16"/>
      <c r="B1934" s="17"/>
      <c r="C1934" s="2"/>
      <c r="D1934" s="2"/>
      <c r="E1934" s="2"/>
      <c r="F1934" s="2"/>
      <c r="G1934" s="2"/>
      <c r="H1934" s="2"/>
      <c r="I1934" s="5"/>
    </row>
    <row r="1935" spans="1:9" ht="17.399999999999999" x14ac:dyDescent="0.25">
      <c r="A1935" s="16"/>
      <c r="B1935" s="17"/>
      <c r="C1935" s="2"/>
      <c r="D1935" s="2"/>
      <c r="E1935" s="2"/>
      <c r="F1935" s="2"/>
      <c r="G1935" s="2"/>
      <c r="H1935" s="2"/>
      <c r="I1935" s="5"/>
    </row>
    <row r="1936" spans="1:9" ht="17.399999999999999" x14ac:dyDescent="0.25">
      <c r="A1936" s="16"/>
      <c r="B1936" s="17"/>
      <c r="C1936" s="2"/>
      <c r="D1936" s="2"/>
      <c r="E1936" s="2"/>
      <c r="F1936" s="2"/>
      <c r="G1936" s="2"/>
      <c r="H1936" s="2"/>
      <c r="I1936" s="5"/>
    </row>
    <row r="1937" spans="1:9" ht="17.399999999999999" x14ac:dyDescent="0.25">
      <c r="A1937" s="16"/>
      <c r="B1937" s="17"/>
      <c r="C1937" s="2"/>
      <c r="D1937" s="2"/>
      <c r="E1937" s="2"/>
      <c r="F1937" s="2"/>
      <c r="G1937" s="2"/>
      <c r="H1937" s="2"/>
      <c r="I1937" s="5"/>
    </row>
    <row r="1938" spans="1:9" ht="17.399999999999999" x14ac:dyDescent="0.25">
      <c r="A1938" s="16"/>
      <c r="B1938" s="17"/>
      <c r="C1938" s="2"/>
      <c r="D1938" s="2"/>
      <c r="E1938" s="2"/>
      <c r="F1938" s="2"/>
      <c r="G1938" s="2"/>
      <c r="H1938" s="2"/>
      <c r="I1938" s="5"/>
    </row>
    <row r="1939" spans="1:9" ht="17.399999999999999" x14ac:dyDescent="0.25">
      <c r="A1939" s="16"/>
      <c r="B1939" s="17"/>
      <c r="C1939" s="2"/>
      <c r="D1939" s="2"/>
      <c r="E1939" s="2"/>
      <c r="F1939" s="2"/>
      <c r="G1939" s="2"/>
      <c r="H1939" s="2"/>
      <c r="I1939" s="5"/>
    </row>
    <row r="1940" spans="1:9" ht="17.399999999999999" x14ac:dyDescent="0.25">
      <c r="A1940" s="16"/>
      <c r="B1940" s="17"/>
      <c r="C1940" s="2"/>
      <c r="D1940" s="2"/>
      <c r="E1940" s="2"/>
      <c r="F1940" s="2"/>
      <c r="G1940" s="2"/>
      <c r="H1940" s="2"/>
      <c r="I1940" s="5"/>
    </row>
    <row r="1941" spans="1:9" ht="17.399999999999999" x14ac:dyDescent="0.25">
      <c r="A1941" s="16"/>
      <c r="B1941" s="17"/>
      <c r="C1941" s="2" t="b">
        <v>0</v>
      </c>
      <c r="D1941" s="2"/>
      <c r="E1941" s="2"/>
      <c r="F1941" s="2"/>
      <c r="G1941" s="2"/>
      <c r="H1941" s="2"/>
      <c r="I1941" s="5"/>
    </row>
    <row r="1942" spans="1:9" ht="17.399999999999999" x14ac:dyDescent="0.25">
      <c r="A1942" s="16"/>
      <c r="B1942" s="17"/>
      <c r="C1942" s="2" t="b">
        <v>0</v>
      </c>
      <c r="D1942" s="2"/>
      <c r="E1942" s="2"/>
      <c r="F1942" s="2"/>
      <c r="G1942" s="2"/>
      <c r="H1942" s="2"/>
      <c r="I1942" s="5"/>
    </row>
    <row r="1943" spans="1:9" ht="17.399999999999999" x14ac:dyDescent="0.25">
      <c r="A1943" s="16"/>
      <c r="B1943" s="17"/>
      <c r="C1943" s="2" t="b">
        <v>0</v>
      </c>
      <c r="D1943" s="2"/>
      <c r="E1943" s="2"/>
      <c r="F1943" s="2"/>
      <c r="G1943" s="2"/>
      <c r="H1943" s="2"/>
      <c r="I1943" s="5"/>
    </row>
    <row r="1944" spans="1:9" ht="17.399999999999999" x14ac:dyDescent="0.25">
      <c r="A1944" s="16"/>
      <c r="B1944" s="17"/>
      <c r="C1944" s="2" t="b">
        <v>0</v>
      </c>
      <c r="D1944" s="2"/>
      <c r="E1944" s="2"/>
      <c r="F1944" s="2"/>
      <c r="G1944" s="2"/>
      <c r="H1944" s="2"/>
      <c r="I1944" s="5"/>
    </row>
    <row r="1945" spans="1:9" ht="17.399999999999999" x14ac:dyDescent="0.25">
      <c r="A1945" s="16"/>
      <c r="B1945" s="17"/>
      <c r="C1945" s="2" t="b">
        <v>0</v>
      </c>
      <c r="D1945" s="2"/>
      <c r="E1945" s="2"/>
      <c r="F1945" s="2"/>
      <c r="G1945" s="2"/>
      <c r="H1945" s="2"/>
      <c r="I1945" s="5"/>
    </row>
    <row r="1946" spans="1:9" ht="17.399999999999999" x14ac:dyDescent="0.25">
      <c r="A1946" s="16"/>
      <c r="B1946" s="17"/>
      <c r="C1946" s="2" t="b">
        <v>0</v>
      </c>
      <c r="D1946" s="2"/>
      <c r="E1946" s="2"/>
      <c r="F1946" s="2"/>
      <c r="G1946" s="2"/>
      <c r="H1946" s="2"/>
      <c r="I1946" s="5"/>
    </row>
    <row r="1947" spans="1:9" ht="17.399999999999999" x14ac:dyDescent="0.25">
      <c r="A1947" s="16"/>
      <c r="B1947" s="17"/>
      <c r="C1947" s="2" t="b">
        <v>0</v>
      </c>
      <c r="D1947" s="2"/>
      <c r="E1947" s="2"/>
      <c r="F1947" s="2"/>
      <c r="G1947" s="2"/>
      <c r="H1947" s="2"/>
      <c r="I1947" s="5"/>
    </row>
    <row r="1948" spans="1:9" ht="17.399999999999999" x14ac:dyDescent="0.25">
      <c r="A1948" s="16"/>
      <c r="B1948" s="17"/>
      <c r="C1948" s="2" t="b">
        <v>0</v>
      </c>
      <c r="D1948" s="2"/>
      <c r="E1948" s="2"/>
      <c r="F1948" s="2"/>
      <c r="G1948" s="2"/>
      <c r="H1948" s="2"/>
      <c r="I1948" s="5"/>
    </row>
    <row r="1949" spans="1:9" ht="17.399999999999999" x14ac:dyDescent="0.25">
      <c r="A1949" s="16"/>
      <c r="B1949" s="17"/>
      <c r="C1949" s="2" t="b">
        <v>0</v>
      </c>
      <c r="D1949" s="2"/>
      <c r="E1949" s="2"/>
      <c r="F1949" s="2"/>
      <c r="G1949" s="2"/>
      <c r="H1949" s="2"/>
      <c r="I1949" s="5"/>
    </row>
    <row r="1950" spans="1:9" ht="17.399999999999999" x14ac:dyDescent="0.25">
      <c r="A1950" s="16"/>
      <c r="B1950" s="17"/>
      <c r="C1950" s="2" t="b">
        <v>0</v>
      </c>
      <c r="D1950" s="2"/>
      <c r="E1950" s="2"/>
      <c r="F1950" s="2"/>
      <c r="G1950" s="2"/>
      <c r="H1950" s="2"/>
      <c r="I1950" s="5"/>
    </row>
    <row r="1951" spans="1:9" ht="17.399999999999999" x14ac:dyDescent="0.25">
      <c r="A1951" s="16"/>
      <c r="B1951" s="17"/>
      <c r="C1951" s="2" t="b">
        <v>0</v>
      </c>
      <c r="D1951" s="2"/>
      <c r="E1951" s="2"/>
      <c r="F1951" s="2"/>
      <c r="G1951" s="2"/>
      <c r="H1951" s="2"/>
      <c r="I1951" s="5"/>
    </row>
    <row r="1952" spans="1:9" ht="17.399999999999999" x14ac:dyDescent="0.25">
      <c r="A1952" s="16"/>
      <c r="B1952" s="17"/>
      <c r="C1952" s="2" t="b">
        <v>0</v>
      </c>
      <c r="D1952" s="2"/>
      <c r="E1952" s="2"/>
      <c r="F1952" s="2"/>
      <c r="G1952" s="2"/>
      <c r="H1952" s="2"/>
      <c r="I1952" s="5"/>
    </row>
    <row r="1953" spans="1:9" ht="17.399999999999999" x14ac:dyDescent="0.25">
      <c r="A1953" s="16"/>
      <c r="B1953" s="17"/>
      <c r="C1953" s="2" t="b">
        <v>0</v>
      </c>
      <c r="D1953" s="2"/>
      <c r="E1953" s="2"/>
      <c r="F1953" s="2"/>
      <c r="G1953" s="2"/>
      <c r="H1953" s="2"/>
      <c r="I1953" s="5"/>
    </row>
    <row r="1954" spans="1:9" ht="17.399999999999999" x14ac:dyDescent="0.25">
      <c r="A1954" s="16"/>
      <c r="B1954" s="17"/>
      <c r="C1954" s="2" t="b">
        <v>0</v>
      </c>
      <c r="D1954" s="2"/>
      <c r="E1954" s="2"/>
      <c r="F1954" s="2"/>
      <c r="G1954" s="2"/>
      <c r="H1954" s="2"/>
      <c r="I1954" s="5"/>
    </row>
    <row r="1955" spans="1:9" ht="17.399999999999999" x14ac:dyDescent="0.25">
      <c r="A1955" s="16"/>
      <c r="B1955" s="17"/>
      <c r="C1955" s="2" t="b">
        <v>0</v>
      </c>
      <c r="D1955" s="2"/>
      <c r="E1955" s="2"/>
      <c r="F1955" s="2"/>
      <c r="G1955" s="2"/>
      <c r="H1955" s="2"/>
      <c r="I1955" s="5"/>
    </row>
    <row r="1956" spans="1:9" ht="17.399999999999999" x14ac:dyDescent="0.25">
      <c r="A1956" s="16"/>
      <c r="B1956" s="17"/>
      <c r="C1956" s="2" t="b">
        <v>0</v>
      </c>
      <c r="D1956" s="2"/>
      <c r="E1956" s="2"/>
      <c r="F1956" s="2"/>
      <c r="G1956" s="2"/>
      <c r="H1956" s="2"/>
      <c r="I1956" s="5"/>
    </row>
    <row r="1957" spans="1:9" ht="17.399999999999999" x14ac:dyDescent="0.25">
      <c r="A1957" s="16"/>
      <c r="B1957" s="17"/>
      <c r="C1957" s="2" t="b">
        <v>0</v>
      </c>
      <c r="D1957" s="2"/>
      <c r="E1957" s="2"/>
      <c r="F1957" s="2"/>
      <c r="G1957" s="2"/>
      <c r="H1957" s="2"/>
      <c r="I1957" s="5"/>
    </row>
    <row r="1958" spans="1:9" ht="17.399999999999999" x14ac:dyDescent="0.25">
      <c r="A1958" s="16"/>
      <c r="B1958" s="17"/>
      <c r="C1958" s="2" t="b">
        <v>0</v>
      </c>
      <c r="D1958" s="2"/>
      <c r="E1958" s="2"/>
      <c r="F1958" s="2"/>
      <c r="G1958" s="2"/>
      <c r="H1958" s="2"/>
      <c r="I1958" s="5"/>
    </row>
    <row r="1959" spans="1:9" ht="17.399999999999999" x14ac:dyDescent="0.25">
      <c r="A1959" s="16"/>
      <c r="B1959" s="17"/>
      <c r="C1959" s="2" t="b">
        <v>0</v>
      </c>
      <c r="D1959" s="2"/>
      <c r="E1959" s="2"/>
      <c r="F1959" s="2"/>
      <c r="G1959" s="2"/>
      <c r="H1959" s="2"/>
      <c r="I1959" s="5"/>
    </row>
    <row r="1960" spans="1:9" ht="17.399999999999999" x14ac:dyDescent="0.25">
      <c r="A1960" s="16"/>
      <c r="B1960" s="17"/>
      <c r="C1960" s="2" t="b">
        <v>0</v>
      </c>
      <c r="D1960" s="2"/>
      <c r="E1960" s="2"/>
      <c r="F1960" s="2"/>
      <c r="G1960" s="2"/>
      <c r="H1960" s="2"/>
      <c r="I1960" s="5"/>
    </row>
    <row r="1961" spans="1:9" ht="17.399999999999999" x14ac:dyDescent="0.25">
      <c r="A1961" s="16"/>
      <c r="B1961" s="17"/>
      <c r="C1961" s="2" t="b">
        <v>0</v>
      </c>
      <c r="D1961" s="2"/>
      <c r="E1961" s="2"/>
      <c r="F1961" s="2"/>
      <c r="G1961" s="2"/>
      <c r="H1961" s="2"/>
      <c r="I1961" s="5"/>
    </row>
    <row r="1962" spans="1:9" ht="17.399999999999999" x14ac:dyDescent="0.25">
      <c r="A1962" s="16"/>
      <c r="B1962" s="17"/>
      <c r="C1962" s="2" t="b">
        <v>0</v>
      </c>
      <c r="D1962" s="2"/>
      <c r="E1962" s="2"/>
      <c r="F1962" s="2"/>
      <c r="G1962" s="2"/>
      <c r="H1962" s="2"/>
      <c r="I1962" s="5"/>
    </row>
    <row r="1963" spans="1:9" ht="17.399999999999999" x14ac:dyDescent="0.25">
      <c r="A1963" s="16"/>
      <c r="B1963" s="17"/>
      <c r="C1963" s="2" t="b">
        <v>0</v>
      </c>
      <c r="D1963" s="2"/>
      <c r="E1963" s="2"/>
      <c r="F1963" s="2"/>
      <c r="G1963" s="2"/>
      <c r="H1963" s="2"/>
      <c r="I1963" s="5"/>
    </row>
    <row r="1964" spans="1:9" ht="17.399999999999999" x14ac:dyDescent="0.25">
      <c r="A1964" s="16"/>
      <c r="B1964" s="17"/>
      <c r="C1964" s="2" t="b">
        <v>0</v>
      </c>
      <c r="D1964" s="2"/>
      <c r="E1964" s="2"/>
      <c r="F1964" s="2"/>
      <c r="G1964" s="2"/>
      <c r="H1964" s="2"/>
      <c r="I1964" s="5"/>
    </row>
    <row r="1965" spans="1:9" ht="17.399999999999999" x14ac:dyDescent="0.25">
      <c r="A1965" s="16"/>
      <c r="B1965" s="17"/>
      <c r="C1965" s="2" t="b">
        <v>0</v>
      </c>
      <c r="D1965" s="2"/>
      <c r="E1965" s="2"/>
      <c r="F1965" s="2"/>
      <c r="G1965" s="2"/>
      <c r="H1965" s="2"/>
      <c r="I1965" s="5"/>
    </row>
    <row r="1966" spans="1:9" ht="17.399999999999999" x14ac:dyDescent="0.25">
      <c r="A1966" s="16"/>
      <c r="B1966" s="17"/>
      <c r="C1966" s="2" t="b">
        <v>0</v>
      </c>
      <c r="D1966" s="2"/>
      <c r="E1966" s="2"/>
      <c r="F1966" s="2"/>
      <c r="G1966" s="2"/>
      <c r="H1966" s="2"/>
      <c r="I1966" s="5"/>
    </row>
    <row r="1967" spans="1:9" ht="17.399999999999999" x14ac:dyDescent="0.25">
      <c r="A1967" s="16"/>
      <c r="B1967" s="17"/>
      <c r="C1967" s="2" t="b">
        <v>0</v>
      </c>
      <c r="D1967" s="2"/>
      <c r="E1967" s="2"/>
      <c r="F1967" s="2"/>
      <c r="G1967" s="2"/>
      <c r="H1967" s="2"/>
      <c r="I1967" s="5"/>
    </row>
    <row r="1968" spans="1:9" ht="17.399999999999999" x14ac:dyDescent="0.25">
      <c r="A1968" s="16"/>
      <c r="B1968" s="17"/>
      <c r="C1968" s="2" t="b">
        <v>0</v>
      </c>
      <c r="D1968" s="2"/>
      <c r="E1968" s="2"/>
      <c r="F1968" s="2"/>
      <c r="G1968" s="2"/>
      <c r="H1968" s="2"/>
      <c r="I1968" s="5"/>
    </row>
    <row r="1969" spans="1:9" ht="17.399999999999999" x14ac:dyDescent="0.25">
      <c r="A1969" s="16"/>
      <c r="B1969" s="17"/>
      <c r="C1969" s="2" t="b">
        <v>0</v>
      </c>
      <c r="D1969" s="2"/>
      <c r="E1969" s="2"/>
      <c r="F1969" s="2"/>
      <c r="G1969" s="2"/>
      <c r="H1969" s="2"/>
      <c r="I1969" s="5"/>
    </row>
    <row r="1970" spans="1:9" ht="17.399999999999999" x14ac:dyDescent="0.25">
      <c r="A1970" s="16"/>
      <c r="B1970" s="17"/>
      <c r="C1970" s="2" t="b">
        <v>0</v>
      </c>
      <c r="D1970" s="2"/>
      <c r="E1970" s="2"/>
      <c r="F1970" s="2"/>
      <c r="G1970" s="2"/>
      <c r="H1970" s="2"/>
      <c r="I1970" s="5"/>
    </row>
    <row r="1971" spans="1:9" ht="17.399999999999999" x14ac:dyDescent="0.25">
      <c r="A1971" s="16"/>
      <c r="B1971" s="17"/>
      <c r="C1971" s="2" t="b">
        <v>0</v>
      </c>
      <c r="D1971" s="2"/>
      <c r="E1971" s="2"/>
      <c r="F1971" s="2"/>
      <c r="G1971" s="2"/>
      <c r="H1971" s="2"/>
      <c r="I1971" s="5"/>
    </row>
    <row r="1972" spans="1:9" ht="17.399999999999999" x14ac:dyDescent="0.25">
      <c r="A1972" s="16"/>
      <c r="B1972" s="17"/>
      <c r="C1972" s="2" t="b">
        <v>0</v>
      </c>
      <c r="D1972" s="2"/>
      <c r="E1972" s="2"/>
      <c r="F1972" s="2"/>
      <c r="G1972" s="2"/>
      <c r="H1972" s="2"/>
      <c r="I1972" s="5"/>
    </row>
    <row r="1973" spans="1:9" ht="17.399999999999999" x14ac:dyDescent="0.25">
      <c r="A1973" s="16"/>
      <c r="B1973" s="17"/>
      <c r="C1973" s="2" t="b">
        <v>0</v>
      </c>
      <c r="D1973" s="2"/>
      <c r="E1973" s="2"/>
      <c r="F1973" s="2"/>
      <c r="G1973" s="2"/>
      <c r="H1973" s="2"/>
      <c r="I1973" s="5"/>
    </row>
    <row r="1974" spans="1:9" ht="17.399999999999999" x14ac:dyDescent="0.25">
      <c r="A1974" s="16"/>
      <c r="B1974" s="17"/>
      <c r="C1974" s="2" t="b">
        <v>0</v>
      </c>
      <c r="D1974" s="2"/>
      <c r="E1974" s="2"/>
      <c r="F1974" s="2"/>
      <c r="G1974" s="2"/>
      <c r="H1974" s="2"/>
      <c r="I1974" s="5"/>
    </row>
    <row r="1975" spans="1:9" ht="17.399999999999999" x14ac:dyDescent="0.25">
      <c r="A1975" s="16"/>
      <c r="B1975" s="17"/>
      <c r="C1975" s="2" t="b">
        <v>0</v>
      </c>
      <c r="D1975" s="2"/>
      <c r="E1975" s="2"/>
      <c r="F1975" s="2"/>
      <c r="G1975" s="2"/>
      <c r="H1975" s="2"/>
      <c r="I1975" s="5"/>
    </row>
    <row r="1976" spans="1:9" ht="17.399999999999999" x14ac:dyDescent="0.25">
      <c r="A1976" s="16"/>
      <c r="B1976" s="17"/>
      <c r="C1976" s="2" t="b">
        <v>0</v>
      </c>
      <c r="D1976" s="2"/>
      <c r="E1976" s="2"/>
      <c r="F1976" s="2"/>
      <c r="G1976" s="2"/>
      <c r="H1976" s="2"/>
      <c r="I1976" s="5"/>
    </row>
    <row r="1977" spans="1:9" ht="17.399999999999999" x14ac:dyDescent="0.25">
      <c r="A1977" s="16"/>
      <c r="B1977" s="17"/>
      <c r="C1977" s="2" t="b">
        <v>0</v>
      </c>
      <c r="D1977" s="2"/>
      <c r="E1977" s="2"/>
      <c r="F1977" s="2"/>
      <c r="G1977" s="2"/>
      <c r="H1977" s="2"/>
      <c r="I1977" s="5"/>
    </row>
    <row r="1978" spans="1:9" ht="17.399999999999999" x14ac:dyDescent="0.25">
      <c r="A1978" s="16"/>
      <c r="B1978" s="17"/>
      <c r="C1978" s="2" t="b">
        <v>0</v>
      </c>
      <c r="D1978" s="2"/>
      <c r="E1978" s="2"/>
      <c r="F1978" s="2"/>
      <c r="G1978" s="2"/>
      <c r="H1978" s="2"/>
      <c r="I1978" s="5"/>
    </row>
    <row r="1979" spans="1:9" ht="17.399999999999999" x14ac:dyDescent="0.25">
      <c r="A1979" s="16"/>
      <c r="B1979" s="17"/>
      <c r="C1979" s="2" t="b">
        <v>0</v>
      </c>
      <c r="D1979" s="2"/>
      <c r="E1979" s="2"/>
      <c r="F1979" s="2"/>
      <c r="G1979" s="2"/>
      <c r="H1979" s="2"/>
      <c r="I1979" s="5"/>
    </row>
    <row r="1980" spans="1:9" ht="17.399999999999999" x14ac:dyDescent="0.25">
      <c r="A1980" s="16"/>
      <c r="B1980" s="17"/>
      <c r="C1980" s="2" t="b">
        <v>0</v>
      </c>
      <c r="D1980" s="2"/>
      <c r="E1980" s="2"/>
      <c r="F1980" s="2"/>
      <c r="G1980" s="2"/>
      <c r="H1980" s="2"/>
      <c r="I1980" s="5"/>
    </row>
    <row r="1981" spans="1:9" ht="17.399999999999999" x14ac:dyDescent="0.25">
      <c r="A1981" s="16"/>
      <c r="B1981" s="17"/>
      <c r="C1981" s="2" t="b">
        <v>0</v>
      </c>
      <c r="D1981" s="2"/>
      <c r="E1981" s="2"/>
      <c r="F1981" s="2"/>
      <c r="G1981" s="2"/>
      <c r="H1981" s="2"/>
      <c r="I1981" s="5"/>
    </row>
    <row r="1982" spans="1:9" ht="17.399999999999999" x14ac:dyDescent="0.25">
      <c r="A1982" s="16"/>
      <c r="B1982" s="17"/>
      <c r="C1982" s="2" t="b">
        <v>0</v>
      </c>
      <c r="D1982" s="2"/>
      <c r="E1982" s="2"/>
      <c r="F1982" s="2"/>
      <c r="G1982" s="2"/>
      <c r="H1982" s="2"/>
      <c r="I1982" s="5"/>
    </row>
    <row r="1983" spans="1:9" ht="17.399999999999999" x14ac:dyDescent="0.25">
      <c r="A1983" s="16"/>
      <c r="B1983" s="17"/>
      <c r="C1983" s="2" t="b">
        <v>0</v>
      </c>
      <c r="D1983" s="2"/>
      <c r="E1983" s="2"/>
      <c r="F1983" s="2"/>
      <c r="G1983" s="2"/>
      <c r="H1983" s="2"/>
      <c r="I1983" s="5"/>
    </row>
    <row r="1984" spans="1:9" ht="17.399999999999999" x14ac:dyDescent="0.25">
      <c r="A1984" s="16"/>
      <c r="B1984" s="17"/>
      <c r="C1984" s="2" t="b">
        <v>0</v>
      </c>
      <c r="D1984" s="2"/>
      <c r="E1984" s="2"/>
      <c r="F1984" s="2"/>
      <c r="G1984" s="2"/>
      <c r="H1984" s="2"/>
      <c r="I1984" s="5"/>
    </row>
    <row r="1985" spans="1:9" ht="17.399999999999999" x14ac:dyDescent="0.25">
      <c r="A1985" s="16"/>
      <c r="B1985" s="17"/>
      <c r="C1985" s="2" t="b">
        <v>0</v>
      </c>
      <c r="D1985" s="2"/>
      <c r="E1985" s="2"/>
      <c r="F1985" s="2"/>
      <c r="G1985" s="2"/>
      <c r="H1985" s="2"/>
      <c r="I1985" s="5"/>
    </row>
    <row r="1986" spans="1:9" ht="17.399999999999999" x14ac:dyDescent="0.25">
      <c r="A1986" s="16"/>
      <c r="B1986" s="17"/>
      <c r="C1986" s="2" t="b">
        <v>0</v>
      </c>
      <c r="D1986" s="2"/>
      <c r="E1986" s="2"/>
      <c r="F1986" s="2"/>
      <c r="G1986" s="2"/>
      <c r="H1986" s="2"/>
      <c r="I1986" s="5"/>
    </row>
    <row r="1987" spans="1:9" ht="17.399999999999999" x14ac:dyDescent="0.25">
      <c r="A1987" s="16"/>
      <c r="B1987" s="17"/>
      <c r="C1987" s="2" t="b">
        <v>0</v>
      </c>
      <c r="D1987" s="2"/>
      <c r="E1987" s="2"/>
      <c r="F1987" s="2"/>
      <c r="G1987" s="2"/>
      <c r="H1987" s="2"/>
      <c r="I1987" s="5"/>
    </row>
    <row r="1988" spans="1:9" ht="17.399999999999999" x14ac:dyDescent="0.25">
      <c r="A1988" s="16"/>
      <c r="B1988" s="17"/>
      <c r="C1988" s="2" t="b">
        <v>0</v>
      </c>
      <c r="D1988" s="2"/>
      <c r="E1988" s="2"/>
      <c r="F1988" s="2"/>
      <c r="G1988" s="2"/>
      <c r="H1988" s="2"/>
      <c r="I1988" s="5"/>
    </row>
    <row r="1989" spans="1:9" ht="17.399999999999999" x14ac:dyDescent="0.25">
      <c r="A1989" s="16"/>
      <c r="B1989" s="17"/>
      <c r="C1989" s="2" t="b">
        <v>0</v>
      </c>
      <c r="D1989" s="2"/>
      <c r="E1989" s="2"/>
      <c r="F1989" s="2"/>
      <c r="G1989" s="2"/>
      <c r="H1989" s="2"/>
      <c r="I1989" s="5"/>
    </row>
    <row r="1990" spans="1:9" ht="17.399999999999999" x14ac:dyDescent="0.25">
      <c r="A1990" s="16"/>
      <c r="B1990" s="17"/>
      <c r="C1990" s="2" t="b">
        <v>0</v>
      </c>
      <c r="D1990" s="2"/>
      <c r="E1990" s="2"/>
      <c r="F1990" s="2"/>
      <c r="G1990" s="2"/>
      <c r="H1990" s="2"/>
      <c r="I1990" s="5"/>
    </row>
    <row r="1991" spans="1:9" ht="17.399999999999999" x14ac:dyDescent="0.25">
      <c r="A1991" s="16"/>
      <c r="B1991" s="17"/>
      <c r="C1991" s="2" t="b">
        <v>0</v>
      </c>
      <c r="D1991" s="2"/>
      <c r="E1991" s="2"/>
      <c r="F1991" s="2"/>
      <c r="G1991" s="2"/>
      <c r="H1991" s="2"/>
      <c r="I1991" s="5"/>
    </row>
    <row r="1992" spans="1:9" ht="17.399999999999999" x14ac:dyDescent="0.25">
      <c r="A1992" s="16"/>
      <c r="B1992" s="17"/>
      <c r="C1992" s="2" t="b">
        <v>0</v>
      </c>
      <c r="D1992" s="2"/>
      <c r="E1992" s="2"/>
      <c r="F1992" s="2"/>
      <c r="G1992" s="2"/>
      <c r="H1992" s="2"/>
      <c r="I1992" s="5"/>
    </row>
    <row r="1993" spans="1:9" ht="17.399999999999999" x14ac:dyDescent="0.25">
      <c r="A1993" s="16"/>
      <c r="B1993" s="17"/>
      <c r="C1993" s="2" t="b">
        <v>0</v>
      </c>
      <c r="D1993" s="2"/>
      <c r="E1993" s="2"/>
      <c r="F1993" s="2"/>
      <c r="G1993" s="2"/>
      <c r="H1993" s="2"/>
      <c r="I1993" s="5"/>
    </row>
    <row r="1994" spans="1:9" ht="17.399999999999999" x14ac:dyDescent="0.25">
      <c r="A1994" s="16"/>
      <c r="B1994" s="17"/>
      <c r="C1994" s="2" t="b">
        <v>0</v>
      </c>
      <c r="D1994" s="2"/>
      <c r="E1994" s="2"/>
      <c r="F1994" s="2"/>
      <c r="G1994" s="2"/>
      <c r="H1994" s="2"/>
      <c r="I1994" s="5"/>
    </row>
    <row r="1995" spans="1:9" ht="17.399999999999999" x14ac:dyDescent="0.25">
      <c r="A1995" s="16"/>
      <c r="B1995" s="17"/>
      <c r="C1995" s="2" t="b">
        <v>0</v>
      </c>
      <c r="D1995" s="2"/>
      <c r="E1995" s="2"/>
      <c r="F1995" s="2"/>
      <c r="G1995" s="2"/>
      <c r="H1995" s="2"/>
      <c r="I1995" s="5"/>
    </row>
    <row r="1996" spans="1:9" ht="17.399999999999999" x14ac:dyDescent="0.25">
      <c r="A1996" s="16"/>
      <c r="B1996" s="17"/>
      <c r="C1996" s="2" t="b">
        <v>0</v>
      </c>
      <c r="D1996" s="2"/>
      <c r="E1996" s="2"/>
      <c r="F1996" s="2"/>
      <c r="G1996" s="2"/>
      <c r="H1996" s="2"/>
      <c r="I1996" s="5"/>
    </row>
    <row r="1997" spans="1:9" ht="17.399999999999999" x14ac:dyDescent="0.25">
      <c r="A1997" s="16"/>
      <c r="B1997" s="17"/>
      <c r="C1997" s="2" t="b">
        <v>0</v>
      </c>
      <c r="D1997" s="2"/>
      <c r="E1997" s="2"/>
      <c r="F1997" s="2"/>
      <c r="G1997" s="2"/>
      <c r="H1997" s="2"/>
      <c r="I1997" s="5"/>
    </row>
    <row r="1998" spans="1:9" ht="17.399999999999999" x14ac:dyDescent="0.25">
      <c r="A1998" s="16"/>
      <c r="B1998" s="17"/>
      <c r="C1998" s="2" t="b">
        <v>0</v>
      </c>
      <c r="D1998" s="2"/>
      <c r="E1998" s="2"/>
      <c r="F1998" s="2"/>
      <c r="G1998" s="2"/>
      <c r="H1998" s="2"/>
      <c r="I1998" s="5"/>
    </row>
    <row r="1999" spans="1:9" ht="17.399999999999999" x14ac:dyDescent="0.25">
      <c r="A1999" s="16"/>
      <c r="B1999" s="17"/>
      <c r="C1999" s="2" t="b">
        <v>0</v>
      </c>
      <c r="D1999" s="2"/>
      <c r="E1999" s="2"/>
      <c r="F1999" s="2"/>
      <c r="G1999" s="2"/>
      <c r="H1999" s="2"/>
      <c r="I1999" s="5"/>
    </row>
    <row r="2000" spans="1:9" ht="17.399999999999999" x14ac:dyDescent="0.25">
      <c r="A2000" s="16"/>
      <c r="B2000" s="17"/>
      <c r="C2000" s="2" t="b">
        <v>0</v>
      </c>
      <c r="D2000" s="2"/>
      <c r="E2000" s="2"/>
      <c r="F2000" s="2"/>
      <c r="G2000" s="2"/>
      <c r="H2000" s="2"/>
      <c r="I2000" s="5"/>
    </row>
    <row r="2001" spans="1:9" ht="17.399999999999999" x14ac:dyDescent="0.25">
      <c r="A2001" s="16"/>
      <c r="B2001" s="17"/>
      <c r="C2001" s="2" t="b">
        <v>0</v>
      </c>
      <c r="D2001" s="2"/>
      <c r="E2001" s="2"/>
      <c r="F2001" s="2"/>
      <c r="G2001" s="2"/>
      <c r="H2001" s="2"/>
      <c r="I2001" s="5"/>
    </row>
    <row r="2002" spans="1:9" ht="17.399999999999999" x14ac:dyDescent="0.25">
      <c r="A2002" s="16"/>
      <c r="B2002" s="17"/>
      <c r="C2002" s="2" t="b">
        <v>0</v>
      </c>
      <c r="D2002" s="2"/>
      <c r="E2002" s="2"/>
      <c r="F2002" s="2"/>
      <c r="G2002" s="2"/>
      <c r="H2002" s="2"/>
      <c r="I2002" s="5"/>
    </row>
    <row r="2003" spans="1:9" ht="17.399999999999999" x14ac:dyDescent="0.25">
      <c r="A2003" s="16"/>
      <c r="B2003" s="17"/>
      <c r="C2003" s="2" t="b">
        <v>0</v>
      </c>
      <c r="D2003" s="2"/>
      <c r="E2003" s="2"/>
      <c r="F2003" s="2"/>
      <c r="G2003" s="2"/>
      <c r="H2003" s="2"/>
      <c r="I2003" s="5"/>
    </row>
    <row r="2004" spans="1:9" ht="17.399999999999999" x14ac:dyDescent="0.25">
      <c r="A2004" s="16"/>
      <c r="B2004" s="17"/>
      <c r="C2004" s="2" t="b">
        <v>0</v>
      </c>
      <c r="D2004" s="2"/>
      <c r="E2004" s="2"/>
      <c r="F2004" s="2"/>
      <c r="G2004" s="2"/>
      <c r="H2004" s="2"/>
      <c r="I2004" s="5"/>
    </row>
    <row r="2005" spans="1:9" ht="17.399999999999999" x14ac:dyDescent="0.25">
      <c r="A2005" s="16"/>
      <c r="B2005" s="17"/>
      <c r="C2005" s="2" t="b">
        <v>0</v>
      </c>
      <c r="D2005" s="2"/>
      <c r="E2005" s="2"/>
      <c r="F2005" s="2"/>
      <c r="G2005" s="2"/>
      <c r="H2005" s="2"/>
      <c r="I2005" s="5"/>
    </row>
    <row r="2006" spans="1:9" ht="17.399999999999999" x14ac:dyDescent="0.25">
      <c r="A2006" s="16"/>
      <c r="B2006" s="17"/>
      <c r="C2006" s="2" t="b">
        <v>0</v>
      </c>
      <c r="D2006" s="2"/>
      <c r="E2006" s="2"/>
      <c r="F2006" s="2"/>
      <c r="G2006" s="2"/>
      <c r="H2006" s="2"/>
      <c r="I2006" s="5"/>
    </row>
    <row r="2007" spans="1:9" ht="17.399999999999999" x14ac:dyDescent="0.25">
      <c r="A2007" s="16"/>
      <c r="B2007" s="17"/>
      <c r="C2007" s="2" t="b">
        <v>0</v>
      </c>
      <c r="D2007" s="2"/>
      <c r="E2007" s="2"/>
      <c r="F2007" s="2"/>
      <c r="G2007" s="2"/>
      <c r="H2007" s="2"/>
      <c r="I2007" s="5"/>
    </row>
    <row r="2008" spans="1:9" ht="17.399999999999999" x14ac:dyDescent="0.25">
      <c r="A2008" s="16"/>
      <c r="B2008" s="17"/>
      <c r="C2008" s="2" t="b">
        <v>0</v>
      </c>
      <c r="D2008" s="2"/>
      <c r="E2008" s="2"/>
      <c r="F2008" s="2"/>
      <c r="G2008" s="2"/>
      <c r="H2008" s="2"/>
      <c r="I2008" s="5"/>
    </row>
    <row r="2009" spans="1:9" ht="17.399999999999999" x14ac:dyDescent="0.25">
      <c r="A2009" s="16"/>
      <c r="B2009" s="17"/>
      <c r="C2009" s="2" t="b">
        <v>0</v>
      </c>
      <c r="D2009" s="2"/>
      <c r="E2009" s="2"/>
      <c r="F2009" s="2"/>
      <c r="G2009" s="2"/>
      <c r="H2009" s="2"/>
      <c r="I2009" s="5"/>
    </row>
    <row r="2010" spans="1:9" ht="17.399999999999999" x14ac:dyDescent="0.25">
      <c r="A2010" s="16"/>
      <c r="B2010" s="17"/>
      <c r="C2010" s="2" t="b">
        <v>0</v>
      </c>
      <c r="D2010" s="2"/>
      <c r="E2010" s="2"/>
      <c r="F2010" s="2"/>
      <c r="G2010" s="2"/>
      <c r="H2010" s="2"/>
      <c r="I2010" s="5"/>
    </row>
    <row r="2011" spans="1:9" ht="17.399999999999999" x14ac:dyDescent="0.25">
      <c r="A2011" s="16"/>
      <c r="B2011" s="17"/>
      <c r="C2011" s="2" t="b">
        <v>0</v>
      </c>
      <c r="D2011" s="2"/>
      <c r="E2011" s="2"/>
      <c r="F2011" s="2"/>
      <c r="G2011" s="2"/>
      <c r="H2011" s="2"/>
      <c r="I2011" s="5"/>
    </row>
    <row r="2012" spans="1:9" ht="17.399999999999999" x14ac:dyDescent="0.25">
      <c r="A2012" s="16"/>
      <c r="B2012" s="17"/>
      <c r="C2012" s="2" t="b">
        <v>0</v>
      </c>
      <c r="D2012" s="2"/>
      <c r="E2012" s="2"/>
      <c r="F2012" s="2"/>
      <c r="G2012" s="2"/>
      <c r="H2012" s="2"/>
      <c r="I2012" s="5"/>
    </row>
    <row r="2013" spans="1:9" ht="17.399999999999999" x14ac:dyDescent="0.25">
      <c r="A2013" s="16"/>
      <c r="B2013" s="17"/>
      <c r="C2013" s="2" t="b">
        <v>0</v>
      </c>
      <c r="D2013" s="2"/>
      <c r="E2013" s="2"/>
      <c r="F2013" s="2"/>
      <c r="G2013" s="2"/>
      <c r="H2013" s="2"/>
      <c r="I2013" s="5"/>
    </row>
    <row r="2014" spans="1:9" ht="17.399999999999999" x14ac:dyDescent="0.25">
      <c r="A2014" s="16"/>
      <c r="B2014" s="17"/>
      <c r="C2014" s="2" t="b">
        <v>0</v>
      </c>
      <c r="D2014" s="2"/>
      <c r="E2014" s="2"/>
      <c r="F2014" s="2"/>
      <c r="G2014" s="2"/>
      <c r="H2014" s="2"/>
      <c r="I2014" s="5"/>
    </row>
    <row r="2015" spans="1:9" ht="17.399999999999999" x14ac:dyDescent="0.25">
      <c r="A2015" s="16"/>
      <c r="B2015" s="17"/>
      <c r="C2015" s="2" t="b">
        <v>0</v>
      </c>
      <c r="D2015" s="2"/>
      <c r="E2015" s="2"/>
      <c r="F2015" s="2"/>
      <c r="G2015" s="2"/>
      <c r="H2015" s="2"/>
      <c r="I2015" s="5"/>
    </row>
    <row r="2016" spans="1:9" ht="17.399999999999999" x14ac:dyDescent="0.25">
      <c r="A2016" s="16"/>
      <c r="B2016" s="17"/>
      <c r="C2016" s="2" t="b">
        <v>0</v>
      </c>
      <c r="D2016" s="2"/>
      <c r="E2016" s="2"/>
      <c r="F2016" s="2"/>
      <c r="G2016" s="2"/>
      <c r="H2016" s="2"/>
      <c r="I2016" s="5"/>
    </row>
    <row r="2017" spans="1:9" ht="17.399999999999999" x14ac:dyDescent="0.25">
      <c r="A2017" s="16"/>
      <c r="B2017" s="17"/>
      <c r="C2017" s="2" t="b">
        <v>0</v>
      </c>
      <c r="D2017" s="2"/>
      <c r="E2017" s="2"/>
      <c r="F2017" s="2"/>
      <c r="G2017" s="2"/>
      <c r="H2017" s="2"/>
      <c r="I2017" s="5"/>
    </row>
    <row r="2018" spans="1:9" ht="17.399999999999999" x14ac:dyDescent="0.25">
      <c r="A2018" s="16"/>
      <c r="B2018" s="17"/>
      <c r="C2018" s="2" t="b">
        <v>0</v>
      </c>
      <c r="D2018" s="2"/>
      <c r="E2018" s="2"/>
      <c r="F2018" s="2"/>
      <c r="G2018" s="2"/>
      <c r="H2018" s="2"/>
      <c r="I2018" s="5"/>
    </row>
    <row r="2019" spans="1:9" ht="17.399999999999999" x14ac:dyDescent="0.25">
      <c r="A2019" s="16"/>
      <c r="B2019" s="17"/>
      <c r="C2019" s="2" t="b">
        <v>0</v>
      </c>
      <c r="D2019" s="2"/>
      <c r="E2019" s="2"/>
      <c r="F2019" s="2"/>
      <c r="G2019" s="2"/>
      <c r="H2019" s="2"/>
      <c r="I2019" s="5"/>
    </row>
    <row r="2020" spans="1:9" ht="17.399999999999999" x14ac:dyDescent="0.25">
      <c r="A2020" s="16"/>
      <c r="B2020" s="17"/>
      <c r="C2020" s="2" t="b">
        <v>0</v>
      </c>
      <c r="D2020" s="2"/>
      <c r="E2020" s="2"/>
      <c r="F2020" s="2"/>
      <c r="G2020" s="2"/>
      <c r="H2020" s="2"/>
      <c r="I2020" s="5"/>
    </row>
    <row r="2021" spans="1:9" ht="17.399999999999999" x14ac:dyDescent="0.25">
      <c r="A2021" s="16"/>
      <c r="B2021" s="17"/>
      <c r="C2021" s="2" t="b">
        <v>0</v>
      </c>
      <c r="D2021" s="2"/>
      <c r="E2021" s="2"/>
      <c r="F2021" s="2"/>
      <c r="G2021" s="2"/>
      <c r="H2021" s="2"/>
      <c r="I2021" s="5"/>
    </row>
    <row r="2022" spans="1:9" ht="17.399999999999999" x14ac:dyDescent="0.25">
      <c r="A2022" s="16"/>
      <c r="B2022" s="17"/>
      <c r="C2022" s="2" t="b">
        <v>0</v>
      </c>
      <c r="D2022" s="2"/>
      <c r="E2022" s="2"/>
      <c r="F2022" s="2"/>
      <c r="G2022" s="2"/>
      <c r="H2022" s="2"/>
      <c r="I2022" s="5"/>
    </row>
    <row r="2023" spans="1:9" ht="17.399999999999999" x14ac:dyDescent="0.25">
      <c r="A2023" s="16"/>
      <c r="B2023" s="17"/>
      <c r="C2023" s="2" t="b">
        <v>0</v>
      </c>
      <c r="D2023" s="2"/>
      <c r="E2023" s="2"/>
      <c r="F2023" s="2"/>
      <c r="G2023" s="2"/>
      <c r="H2023" s="2"/>
      <c r="I2023" s="5"/>
    </row>
    <row r="2024" spans="1:9" ht="17.399999999999999" x14ac:dyDescent="0.25">
      <c r="A2024" s="16"/>
      <c r="B2024" s="17"/>
      <c r="C2024" s="2" t="b">
        <v>0</v>
      </c>
      <c r="D2024" s="2"/>
      <c r="E2024" s="2"/>
      <c r="F2024" s="2"/>
      <c r="G2024" s="2"/>
      <c r="H2024" s="2"/>
      <c r="I2024" s="5"/>
    </row>
    <row r="2025" spans="1:9" ht="17.399999999999999" x14ac:dyDescent="0.25">
      <c r="A2025" s="16"/>
      <c r="B2025" s="17"/>
      <c r="C2025" s="2" t="b">
        <v>0</v>
      </c>
      <c r="D2025" s="2"/>
      <c r="E2025" s="2"/>
      <c r="F2025" s="2"/>
      <c r="G2025" s="2"/>
      <c r="H2025" s="2"/>
      <c r="I2025" s="5"/>
    </row>
    <row r="2026" spans="1:9" ht="17.399999999999999" x14ac:dyDescent="0.25">
      <c r="A2026" s="16"/>
      <c r="B2026" s="17"/>
      <c r="C2026" s="2" t="b">
        <v>0</v>
      </c>
      <c r="D2026" s="2"/>
      <c r="E2026" s="2"/>
      <c r="F2026" s="2"/>
      <c r="G2026" s="2"/>
      <c r="H2026" s="2"/>
      <c r="I2026" s="5"/>
    </row>
    <row r="2027" spans="1:9" ht="17.399999999999999" x14ac:dyDescent="0.25">
      <c r="A2027" s="16"/>
      <c r="B2027" s="17"/>
      <c r="C2027" s="2" t="b">
        <v>0</v>
      </c>
      <c r="D2027" s="2"/>
      <c r="E2027" s="2"/>
      <c r="F2027" s="2"/>
      <c r="G2027" s="2"/>
      <c r="H2027" s="2"/>
      <c r="I2027" s="5"/>
    </row>
    <row r="2028" spans="1:9" ht="17.399999999999999" x14ac:dyDescent="0.25">
      <c r="A2028" s="16"/>
      <c r="B2028" s="17"/>
      <c r="C2028" s="2" t="b">
        <v>0</v>
      </c>
      <c r="D2028" s="2"/>
      <c r="E2028" s="2"/>
      <c r="F2028" s="2"/>
      <c r="G2028" s="2"/>
      <c r="H2028" s="2"/>
      <c r="I2028" s="5"/>
    </row>
    <row r="2029" spans="1:9" ht="17.399999999999999" x14ac:dyDescent="0.25">
      <c r="A2029" s="16"/>
      <c r="B2029" s="17"/>
      <c r="C2029" s="2" t="b">
        <v>0</v>
      </c>
      <c r="D2029" s="2"/>
      <c r="E2029" s="2"/>
      <c r="F2029" s="2"/>
      <c r="G2029" s="2"/>
      <c r="H2029" s="2"/>
      <c r="I2029" s="5"/>
    </row>
    <row r="2030" spans="1:9" ht="17.399999999999999" x14ac:dyDescent="0.25">
      <c r="A2030" s="16"/>
      <c r="B2030" s="17"/>
      <c r="C2030" s="2" t="b">
        <v>0</v>
      </c>
      <c r="D2030" s="2"/>
      <c r="E2030" s="2"/>
      <c r="F2030" s="2"/>
      <c r="G2030" s="2"/>
      <c r="H2030" s="2"/>
      <c r="I2030" s="5"/>
    </row>
    <row r="2031" spans="1:9" ht="17.399999999999999" x14ac:dyDescent="0.25">
      <c r="A2031" s="16"/>
      <c r="B2031" s="17"/>
      <c r="C2031" s="2" t="b">
        <v>0</v>
      </c>
      <c r="D2031" s="2"/>
      <c r="E2031" s="2"/>
      <c r="F2031" s="2"/>
      <c r="G2031" s="2"/>
      <c r="H2031" s="2"/>
      <c r="I2031" s="5"/>
    </row>
    <row r="2032" spans="1:9" ht="17.399999999999999" x14ac:dyDescent="0.25">
      <c r="A2032" s="16"/>
      <c r="B2032" s="17"/>
      <c r="C2032" s="2" t="b">
        <v>0</v>
      </c>
      <c r="D2032" s="2"/>
      <c r="E2032" s="2"/>
      <c r="F2032" s="2"/>
      <c r="G2032" s="2"/>
      <c r="H2032" s="2"/>
      <c r="I2032" s="5"/>
    </row>
    <row r="2033" spans="1:9" ht="17.399999999999999" x14ac:dyDescent="0.25">
      <c r="A2033" s="16"/>
      <c r="B2033" s="17"/>
      <c r="C2033" s="2" t="b">
        <v>0</v>
      </c>
      <c r="D2033" s="2"/>
      <c r="E2033" s="2"/>
      <c r="F2033" s="2"/>
      <c r="G2033" s="2"/>
      <c r="H2033" s="2"/>
      <c r="I2033" s="5"/>
    </row>
    <row r="2034" spans="1:9" ht="17.399999999999999" x14ac:dyDescent="0.25">
      <c r="A2034" s="16"/>
      <c r="B2034" s="17"/>
      <c r="C2034" s="2" t="b">
        <v>0</v>
      </c>
      <c r="D2034" s="2"/>
      <c r="E2034" s="2"/>
      <c r="F2034" s="2"/>
      <c r="G2034" s="2"/>
      <c r="H2034" s="2"/>
      <c r="I2034" s="5"/>
    </row>
    <row r="2035" spans="1:9" ht="17.399999999999999" x14ac:dyDescent="0.25">
      <c r="A2035" s="16"/>
      <c r="B2035" s="17"/>
      <c r="C2035" s="2" t="b">
        <v>0</v>
      </c>
      <c r="D2035" s="2"/>
      <c r="E2035" s="2"/>
      <c r="F2035" s="2"/>
      <c r="G2035" s="2"/>
      <c r="H2035" s="2"/>
      <c r="I2035" s="5"/>
    </row>
    <row r="2036" spans="1:9" ht="17.399999999999999" x14ac:dyDescent="0.25">
      <c r="A2036" s="16"/>
      <c r="B2036" s="17"/>
      <c r="C2036" s="2" t="b">
        <v>0</v>
      </c>
      <c r="D2036" s="2"/>
      <c r="E2036" s="2"/>
      <c r="F2036" s="2"/>
      <c r="G2036" s="2"/>
      <c r="H2036" s="2"/>
      <c r="I2036" s="5"/>
    </row>
    <row r="2037" spans="1:9" ht="17.399999999999999" x14ac:dyDescent="0.25">
      <c r="A2037" s="16"/>
      <c r="B2037" s="17"/>
      <c r="C2037" s="2" t="b">
        <v>0</v>
      </c>
      <c r="D2037" s="2"/>
      <c r="E2037" s="2"/>
      <c r="F2037" s="2"/>
      <c r="G2037" s="2"/>
      <c r="H2037" s="2"/>
      <c r="I2037" s="5"/>
    </row>
    <row r="2038" spans="1:9" ht="17.399999999999999" x14ac:dyDescent="0.25">
      <c r="A2038" s="16"/>
      <c r="B2038" s="17"/>
      <c r="C2038" s="2" t="b">
        <v>0</v>
      </c>
      <c r="D2038" s="2"/>
      <c r="E2038" s="2"/>
      <c r="F2038" s="2"/>
      <c r="G2038" s="2"/>
      <c r="H2038" s="2"/>
      <c r="I2038" s="5"/>
    </row>
    <row r="2039" spans="1:9" ht="17.399999999999999" x14ac:dyDescent="0.25">
      <c r="A2039" s="16"/>
      <c r="B2039" s="17"/>
      <c r="C2039" s="2" t="b">
        <v>0</v>
      </c>
      <c r="D2039" s="2"/>
      <c r="E2039" s="2"/>
      <c r="F2039" s="2"/>
      <c r="G2039" s="2"/>
      <c r="H2039" s="2"/>
      <c r="I2039" s="5"/>
    </row>
    <row r="2040" spans="1:9" ht="17.399999999999999" x14ac:dyDescent="0.25">
      <c r="A2040" s="16"/>
      <c r="B2040" s="17"/>
      <c r="C2040" s="2" t="b">
        <v>0</v>
      </c>
      <c r="D2040" s="2"/>
      <c r="E2040" s="2"/>
      <c r="F2040" s="2"/>
      <c r="G2040" s="2"/>
      <c r="H2040" s="2"/>
      <c r="I2040" s="5"/>
    </row>
    <row r="2041" spans="1:9" ht="17.399999999999999" x14ac:dyDescent="0.25">
      <c r="A2041" s="16"/>
      <c r="B2041" s="17"/>
      <c r="C2041" s="2" t="b">
        <v>0</v>
      </c>
      <c r="D2041" s="2"/>
      <c r="E2041" s="2"/>
      <c r="F2041" s="2"/>
      <c r="G2041" s="2"/>
      <c r="H2041" s="2"/>
      <c r="I2041" s="5"/>
    </row>
    <row r="2042" spans="1:9" ht="17.399999999999999" x14ac:dyDescent="0.25">
      <c r="A2042" s="16"/>
      <c r="B2042" s="17"/>
      <c r="C2042" s="2" t="b">
        <v>0</v>
      </c>
      <c r="D2042" s="2"/>
      <c r="E2042" s="2"/>
      <c r="F2042" s="2"/>
      <c r="G2042" s="2"/>
      <c r="H2042" s="2"/>
      <c r="I2042" s="5"/>
    </row>
    <row r="2043" spans="1:9" ht="17.399999999999999" x14ac:dyDescent="0.25">
      <c r="A2043" s="16"/>
      <c r="B2043" s="17"/>
      <c r="C2043" s="2" t="b">
        <v>0</v>
      </c>
      <c r="D2043" s="2"/>
      <c r="E2043" s="2"/>
      <c r="F2043" s="2"/>
      <c r="G2043" s="2"/>
      <c r="H2043" s="2"/>
      <c r="I2043" s="5"/>
    </row>
    <row r="2044" spans="1:9" ht="17.399999999999999" x14ac:dyDescent="0.25">
      <c r="A2044" s="16"/>
      <c r="B2044" s="17"/>
      <c r="C2044" s="2" t="b">
        <v>0</v>
      </c>
      <c r="D2044" s="2"/>
      <c r="E2044" s="2"/>
      <c r="F2044" s="2"/>
      <c r="G2044" s="2"/>
      <c r="H2044" s="2"/>
      <c r="I2044" s="5"/>
    </row>
    <row r="2045" spans="1:9" ht="17.399999999999999" x14ac:dyDescent="0.25">
      <c r="A2045" s="16"/>
      <c r="B2045" s="17"/>
      <c r="C2045" s="2" t="b">
        <v>0</v>
      </c>
      <c r="D2045" s="2"/>
      <c r="E2045" s="2"/>
      <c r="F2045" s="2"/>
      <c r="G2045" s="2"/>
      <c r="H2045" s="2"/>
      <c r="I2045" s="5"/>
    </row>
    <row r="2046" spans="1:9" ht="17.399999999999999" x14ac:dyDescent="0.25">
      <c r="A2046" s="16"/>
      <c r="B2046" s="17"/>
      <c r="C2046" s="2" t="b">
        <v>0</v>
      </c>
      <c r="D2046" s="2"/>
      <c r="E2046" s="2"/>
      <c r="F2046" s="2"/>
      <c r="G2046" s="2"/>
      <c r="H2046" s="2"/>
      <c r="I2046" s="5"/>
    </row>
    <row r="2047" spans="1:9" ht="17.399999999999999" x14ac:dyDescent="0.25">
      <c r="A2047" s="16"/>
      <c r="B2047" s="17"/>
      <c r="C2047" s="2" t="b">
        <v>0</v>
      </c>
      <c r="D2047" s="2"/>
      <c r="E2047" s="2"/>
      <c r="F2047" s="2"/>
      <c r="G2047" s="2"/>
      <c r="H2047" s="2"/>
      <c r="I2047" s="5"/>
    </row>
    <row r="2048" spans="1:9" ht="17.399999999999999" x14ac:dyDescent="0.25">
      <c r="A2048" s="16"/>
      <c r="B2048" s="17"/>
      <c r="C2048" s="2" t="b">
        <v>0</v>
      </c>
      <c r="D2048" s="2"/>
      <c r="E2048" s="2"/>
      <c r="F2048" s="2"/>
      <c r="G2048" s="2"/>
      <c r="H2048" s="2"/>
      <c r="I2048" s="5"/>
    </row>
    <row r="2049" spans="1:9" ht="17.399999999999999" x14ac:dyDescent="0.25">
      <c r="A2049" s="16"/>
      <c r="B2049" s="17"/>
      <c r="C2049" s="2" t="b">
        <v>0</v>
      </c>
      <c r="D2049" s="2"/>
      <c r="E2049" s="2"/>
      <c r="F2049" s="2"/>
      <c r="G2049" s="2"/>
      <c r="H2049" s="2"/>
      <c r="I2049" s="5"/>
    </row>
    <row r="2050" spans="1:9" ht="17.399999999999999" x14ac:dyDescent="0.25">
      <c r="A2050" s="16"/>
      <c r="B2050" s="17"/>
      <c r="C2050" s="2" t="b">
        <v>0</v>
      </c>
      <c r="D2050" s="2"/>
      <c r="E2050" s="2"/>
      <c r="F2050" s="2"/>
      <c r="G2050" s="2"/>
      <c r="H2050" s="2"/>
      <c r="I2050" s="5"/>
    </row>
    <row r="2051" spans="1:9" ht="17.399999999999999" x14ac:dyDescent="0.25">
      <c r="A2051" s="16"/>
      <c r="B2051" s="17"/>
      <c r="C2051" s="2" t="b">
        <v>0</v>
      </c>
      <c r="D2051" s="2"/>
      <c r="E2051" s="2"/>
      <c r="F2051" s="2"/>
      <c r="G2051" s="2"/>
      <c r="H2051" s="2"/>
      <c r="I2051" s="5"/>
    </row>
    <row r="2052" spans="1:9" ht="17.399999999999999" x14ac:dyDescent="0.25">
      <c r="A2052" s="16"/>
      <c r="B2052" s="17"/>
      <c r="C2052" s="2" t="b">
        <v>0</v>
      </c>
      <c r="D2052" s="2"/>
      <c r="E2052" s="2"/>
      <c r="F2052" s="2"/>
      <c r="G2052" s="2"/>
      <c r="H2052" s="2"/>
      <c r="I2052" s="5"/>
    </row>
    <row r="2053" spans="1:9" ht="17.399999999999999" x14ac:dyDescent="0.25">
      <c r="A2053" s="16"/>
      <c r="B2053" s="17"/>
      <c r="C2053" s="2" t="b">
        <v>0</v>
      </c>
      <c r="D2053" s="2"/>
      <c r="E2053" s="2"/>
      <c r="F2053" s="2"/>
      <c r="G2053" s="2"/>
      <c r="H2053" s="2"/>
      <c r="I2053" s="5"/>
    </row>
    <row r="2054" spans="1:9" ht="17.399999999999999" x14ac:dyDescent="0.25">
      <c r="A2054" s="16"/>
      <c r="B2054" s="17"/>
      <c r="C2054" s="2" t="b">
        <v>0</v>
      </c>
      <c r="D2054" s="2"/>
      <c r="E2054" s="2"/>
      <c r="F2054" s="2"/>
      <c r="G2054" s="2"/>
      <c r="H2054" s="2"/>
      <c r="I2054" s="5"/>
    </row>
    <row r="2055" spans="1:9" ht="17.399999999999999" x14ac:dyDescent="0.25">
      <c r="A2055" s="16"/>
      <c r="B2055" s="17"/>
      <c r="C2055" s="2" t="b">
        <v>0</v>
      </c>
      <c r="D2055" s="2"/>
      <c r="E2055" s="2"/>
      <c r="F2055" s="2"/>
      <c r="G2055" s="2"/>
      <c r="H2055" s="2"/>
      <c r="I2055" s="5"/>
    </row>
    <row r="2056" spans="1:9" ht="17.399999999999999" x14ac:dyDescent="0.25">
      <c r="A2056" s="16"/>
      <c r="B2056" s="17"/>
      <c r="C2056" s="2" t="b">
        <v>0</v>
      </c>
      <c r="D2056" s="2"/>
      <c r="E2056" s="2"/>
      <c r="F2056" s="2"/>
      <c r="G2056" s="2"/>
      <c r="H2056" s="2"/>
      <c r="I2056" s="5"/>
    </row>
    <row r="2057" spans="1:9" ht="17.399999999999999" x14ac:dyDescent="0.25">
      <c r="A2057" s="16"/>
      <c r="B2057" s="17"/>
      <c r="C2057" s="2" t="b">
        <v>0</v>
      </c>
      <c r="D2057" s="2"/>
      <c r="E2057" s="2"/>
      <c r="F2057" s="2"/>
      <c r="G2057" s="2"/>
      <c r="H2057" s="2"/>
      <c r="I2057" s="5"/>
    </row>
    <row r="2058" spans="1:9" ht="17.399999999999999" x14ac:dyDescent="0.25">
      <c r="A2058" s="16"/>
      <c r="B2058" s="17"/>
      <c r="C2058" s="2" t="b">
        <v>0</v>
      </c>
      <c r="D2058" s="2"/>
      <c r="E2058" s="2"/>
      <c r="F2058" s="2"/>
      <c r="G2058" s="2"/>
      <c r="H2058" s="2"/>
      <c r="I2058" s="5"/>
    </row>
    <row r="2059" spans="1:9" ht="17.399999999999999" x14ac:dyDescent="0.25">
      <c r="A2059" s="16"/>
      <c r="B2059" s="17"/>
      <c r="C2059" s="2" t="b">
        <v>0</v>
      </c>
      <c r="D2059" s="2"/>
      <c r="E2059" s="2"/>
      <c r="F2059" s="2"/>
      <c r="G2059" s="2"/>
      <c r="H2059" s="2"/>
      <c r="I2059" s="5"/>
    </row>
    <row r="2060" spans="1:9" ht="17.399999999999999" x14ac:dyDescent="0.25">
      <c r="A2060" s="16"/>
      <c r="B2060" s="17"/>
      <c r="C2060" s="2" t="b">
        <v>0</v>
      </c>
      <c r="D2060" s="2"/>
      <c r="E2060" s="2"/>
      <c r="F2060" s="2"/>
      <c r="G2060" s="2"/>
      <c r="H2060" s="2"/>
      <c r="I2060" s="5"/>
    </row>
    <row r="2061" spans="1:9" ht="17.399999999999999" x14ac:dyDescent="0.25">
      <c r="A2061" s="16"/>
      <c r="B2061" s="17"/>
      <c r="C2061" s="2" t="b">
        <v>0</v>
      </c>
      <c r="D2061" s="2"/>
      <c r="E2061" s="2"/>
      <c r="F2061" s="2"/>
      <c r="G2061" s="2"/>
      <c r="H2061" s="2"/>
      <c r="I2061" s="5"/>
    </row>
    <row r="2062" spans="1:9" ht="17.399999999999999" x14ac:dyDescent="0.25">
      <c r="A2062" s="16"/>
      <c r="B2062" s="17"/>
      <c r="C2062" s="2" t="b">
        <v>0</v>
      </c>
      <c r="D2062" s="2"/>
      <c r="E2062" s="2"/>
      <c r="F2062" s="2"/>
      <c r="G2062" s="2"/>
      <c r="H2062" s="2"/>
      <c r="I2062" s="5"/>
    </row>
    <row r="2063" spans="1:9" ht="17.399999999999999" x14ac:dyDescent="0.25">
      <c r="A2063" s="16"/>
      <c r="B2063" s="17"/>
      <c r="C2063" s="2" t="b">
        <v>0</v>
      </c>
      <c r="D2063" s="2"/>
      <c r="E2063" s="2"/>
      <c r="F2063" s="2"/>
      <c r="G2063" s="2"/>
      <c r="H2063" s="2"/>
      <c r="I2063" s="5"/>
    </row>
    <row r="2064" spans="1:9" ht="17.399999999999999" x14ac:dyDescent="0.25">
      <c r="A2064" s="16"/>
      <c r="B2064" s="17"/>
      <c r="C2064" s="2" t="b">
        <v>0</v>
      </c>
      <c r="D2064" s="2"/>
      <c r="E2064" s="2"/>
      <c r="F2064" s="2"/>
      <c r="G2064" s="2"/>
      <c r="H2064" s="2"/>
      <c r="I2064" s="5"/>
    </row>
    <row r="2065" spans="1:9" ht="17.399999999999999" x14ac:dyDescent="0.25">
      <c r="A2065" s="16"/>
      <c r="B2065" s="17"/>
      <c r="C2065" s="2" t="b">
        <v>0</v>
      </c>
      <c r="D2065" s="2"/>
      <c r="E2065" s="2"/>
      <c r="F2065" s="2"/>
      <c r="G2065" s="2"/>
      <c r="H2065" s="2"/>
      <c r="I2065" s="5"/>
    </row>
    <row r="2066" spans="1:9" ht="17.399999999999999" x14ac:dyDescent="0.25">
      <c r="A2066" s="16"/>
      <c r="B2066" s="17"/>
      <c r="C2066" s="2" t="b">
        <v>0</v>
      </c>
      <c r="D2066" s="2"/>
      <c r="E2066" s="2"/>
      <c r="F2066" s="2"/>
      <c r="G2066" s="2"/>
      <c r="H2066" s="2"/>
      <c r="I2066" s="5"/>
    </row>
    <row r="2067" spans="1:9" ht="17.399999999999999" x14ac:dyDescent="0.25">
      <c r="A2067" s="16"/>
      <c r="B2067" s="17"/>
      <c r="C2067" s="2" t="b">
        <v>0</v>
      </c>
      <c r="D2067" s="2"/>
      <c r="E2067" s="2"/>
      <c r="F2067" s="2"/>
      <c r="G2067" s="2"/>
      <c r="H2067" s="2"/>
      <c r="I2067" s="5"/>
    </row>
    <row r="2068" spans="1:9" ht="17.399999999999999" x14ac:dyDescent="0.25">
      <c r="A2068" s="16"/>
      <c r="B2068" s="17"/>
      <c r="C2068" s="2" t="b">
        <v>0</v>
      </c>
      <c r="D2068" s="2"/>
      <c r="E2068" s="2"/>
      <c r="F2068" s="2"/>
      <c r="G2068" s="2"/>
      <c r="H2068" s="2"/>
      <c r="I2068" s="5"/>
    </row>
    <row r="2069" spans="1:9" ht="17.399999999999999" x14ac:dyDescent="0.25">
      <c r="A2069" s="16"/>
      <c r="B2069" s="17"/>
      <c r="C2069" s="2" t="b">
        <v>0</v>
      </c>
      <c r="D2069" s="2"/>
      <c r="E2069" s="2"/>
      <c r="F2069" s="2"/>
      <c r="G2069" s="2"/>
      <c r="H2069" s="2"/>
      <c r="I2069" s="5"/>
    </row>
    <row r="2070" spans="1:9" ht="17.399999999999999" x14ac:dyDescent="0.25">
      <c r="A2070" s="16"/>
      <c r="B2070" s="17"/>
      <c r="C2070" s="2" t="b">
        <v>0</v>
      </c>
      <c r="D2070" s="2"/>
      <c r="E2070" s="2"/>
      <c r="F2070" s="2"/>
      <c r="G2070" s="2"/>
      <c r="H2070" s="2"/>
      <c r="I2070" s="5"/>
    </row>
    <row r="2071" spans="1:9" ht="17.399999999999999" x14ac:dyDescent="0.25">
      <c r="A2071" s="16"/>
      <c r="B2071" s="17"/>
      <c r="C2071" s="2" t="b">
        <v>0</v>
      </c>
      <c r="D2071" s="2"/>
      <c r="E2071" s="2"/>
      <c r="F2071" s="2"/>
      <c r="G2071" s="2"/>
      <c r="H2071" s="2"/>
      <c r="I2071" s="5"/>
    </row>
    <row r="2072" spans="1:9" ht="17.399999999999999" x14ac:dyDescent="0.25">
      <c r="A2072" s="16"/>
      <c r="B2072" s="17"/>
      <c r="C2072" s="2" t="b">
        <v>0</v>
      </c>
      <c r="D2072" s="2"/>
      <c r="E2072" s="2"/>
      <c r="F2072" s="2"/>
      <c r="G2072" s="2"/>
      <c r="H2072" s="2"/>
      <c r="I2072" s="5"/>
    </row>
    <row r="2073" spans="1:9" ht="17.399999999999999" x14ac:dyDescent="0.25">
      <c r="A2073" s="16"/>
      <c r="B2073" s="17"/>
      <c r="C2073" s="2" t="b">
        <v>0</v>
      </c>
      <c r="D2073" s="2"/>
      <c r="E2073" s="2"/>
      <c r="F2073" s="2"/>
      <c r="G2073" s="2"/>
      <c r="H2073" s="2"/>
      <c r="I2073" s="5"/>
    </row>
    <row r="2074" spans="1:9" ht="17.399999999999999" x14ac:dyDescent="0.25">
      <c r="A2074" s="16"/>
      <c r="B2074" s="17"/>
      <c r="C2074" s="2" t="b">
        <v>0</v>
      </c>
      <c r="D2074" s="2"/>
      <c r="E2074" s="2"/>
      <c r="F2074" s="2"/>
      <c r="G2074" s="2"/>
      <c r="H2074" s="2"/>
      <c r="I2074" s="5"/>
    </row>
    <row r="2075" spans="1:9" ht="17.399999999999999" x14ac:dyDescent="0.25">
      <c r="A2075" s="16"/>
      <c r="B2075" s="17"/>
      <c r="C2075" s="2" t="b">
        <v>0</v>
      </c>
      <c r="D2075" s="2"/>
      <c r="E2075" s="2"/>
      <c r="F2075" s="2"/>
      <c r="G2075" s="2"/>
      <c r="H2075" s="2"/>
      <c r="I2075" s="5"/>
    </row>
    <row r="2076" spans="1:9" ht="17.399999999999999" x14ac:dyDescent="0.25">
      <c r="A2076" s="16"/>
      <c r="B2076" s="17"/>
      <c r="C2076" s="2" t="b">
        <v>0</v>
      </c>
      <c r="D2076" s="2"/>
      <c r="E2076" s="2"/>
      <c r="F2076" s="2"/>
      <c r="G2076" s="2"/>
      <c r="H2076" s="2"/>
      <c r="I2076" s="5"/>
    </row>
    <row r="2077" spans="1:9" ht="17.399999999999999" x14ac:dyDescent="0.25">
      <c r="A2077" s="16"/>
      <c r="B2077" s="17"/>
      <c r="C2077" s="2" t="b">
        <v>0</v>
      </c>
      <c r="D2077" s="2"/>
      <c r="E2077" s="2"/>
      <c r="F2077" s="2"/>
      <c r="G2077" s="2"/>
      <c r="H2077" s="2"/>
      <c r="I2077" s="5"/>
    </row>
    <row r="2078" spans="1:9" ht="17.399999999999999" x14ac:dyDescent="0.25">
      <c r="A2078" s="16"/>
      <c r="B2078" s="17"/>
      <c r="C2078" s="2" t="b">
        <v>0</v>
      </c>
      <c r="D2078" s="2"/>
      <c r="E2078" s="2"/>
      <c r="F2078" s="2"/>
      <c r="G2078" s="2"/>
      <c r="H2078" s="2"/>
      <c r="I2078" s="5"/>
    </row>
    <row r="2079" spans="1:9" ht="17.399999999999999" x14ac:dyDescent="0.25">
      <c r="A2079" s="16"/>
      <c r="B2079" s="17"/>
      <c r="C2079" s="2" t="b">
        <v>0</v>
      </c>
      <c r="D2079" s="2"/>
      <c r="E2079" s="2"/>
      <c r="F2079" s="2"/>
      <c r="G2079" s="2"/>
      <c r="H2079" s="2"/>
      <c r="I2079" s="5"/>
    </row>
    <row r="2080" spans="1:9" ht="17.399999999999999" x14ac:dyDescent="0.25">
      <c r="A2080" s="16"/>
      <c r="B2080" s="17"/>
      <c r="C2080" s="2" t="b">
        <v>0</v>
      </c>
      <c r="D2080" s="2"/>
      <c r="E2080" s="2"/>
      <c r="F2080" s="2"/>
      <c r="G2080" s="2"/>
      <c r="H2080" s="2"/>
      <c r="I2080" s="5"/>
    </row>
    <row r="2081" spans="1:9" ht="17.399999999999999" x14ac:dyDescent="0.25">
      <c r="A2081" s="16"/>
      <c r="B2081" s="17"/>
      <c r="C2081" s="2" t="b">
        <v>0</v>
      </c>
      <c r="D2081" s="2"/>
      <c r="E2081" s="2"/>
      <c r="F2081" s="2"/>
      <c r="G2081" s="2"/>
      <c r="H2081" s="2"/>
      <c r="I2081" s="5"/>
    </row>
    <row r="2082" spans="1:9" ht="17.399999999999999" x14ac:dyDescent="0.25">
      <c r="A2082" s="16"/>
      <c r="B2082" s="17"/>
      <c r="C2082" s="2" t="b">
        <v>0</v>
      </c>
      <c r="D2082" s="2"/>
      <c r="E2082" s="2"/>
      <c r="F2082" s="2"/>
      <c r="G2082" s="2"/>
      <c r="H2082" s="2"/>
      <c r="I2082" s="5"/>
    </row>
    <row r="2083" spans="1:9" ht="17.399999999999999" x14ac:dyDescent="0.25">
      <c r="A2083" s="16"/>
      <c r="B2083" s="17"/>
      <c r="C2083" s="2" t="b">
        <v>0</v>
      </c>
      <c r="D2083" s="2"/>
      <c r="E2083" s="2"/>
      <c r="F2083" s="2"/>
      <c r="G2083" s="2"/>
      <c r="H2083" s="2"/>
      <c r="I2083" s="5"/>
    </row>
    <row r="2084" spans="1:9" ht="17.399999999999999" x14ac:dyDescent="0.25">
      <c r="A2084" s="16"/>
      <c r="B2084" s="17"/>
      <c r="C2084" s="2" t="b">
        <v>0</v>
      </c>
      <c r="D2084" s="2"/>
      <c r="E2084" s="2"/>
      <c r="F2084" s="2"/>
      <c r="G2084" s="2"/>
      <c r="H2084" s="2"/>
      <c r="I2084" s="5"/>
    </row>
    <row r="2085" spans="1:9" ht="17.399999999999999" x14ac:dyDescent="0.25">
      <c r="A2085" s="16"/>
      <c r="B2085" s="17"/>
      <c r="C2085" s="2" t="b">
        <v>0</v>
      </c>
      <c r="D2085" s="2"/>
      <c r="E2085" s="2"/>
      <c r="F2085" s="2"/>
      <c r="G2085" s="2"/>
      <c r="H2085" s="2"/>
      <c r="I2085" s="5"/>
    </row>
    <row r="2086" spans="1:9" ht="17.399999999999999" x14ac:dyDescent="0.25">
      <c r="A2086" s="16"/>
      <c r="B2086" s="17"/>
      <c r="C2086" s="2" t="b">
        <v>0</v>
      </c>
      <c r="D2086" s="2"/>
      <c r="E2086" s="2"/>
      <c r="F2086" s="2"/>
      <c r="G2086" s="2"/>
      <c r="H2086" s="2"/>
      <c r="I2086" s="5"/>
    </row>
    <row r="2087" spans="1:9" ht="17.399999999999999" x14ac:dyDescent="0.25">
      <c r="A2087" s="16"/>
      <c r="B2087" s="17"/>
      <c r="C2087" s="2" t="b">
        <v>0</v>
      </c>
      <c r="D2087" s="2"/>
      <c r="E2087" s="2"/>
      <c r="F2087" s="2"/>
      <c r="G2087" s="2"/>
      <c r="H2087" s="2"/>
      <c r="I2087" s="5"/>
    </row>
    <row r="2088" spans="1:9" ht="17.399999999999999" x14ac:dyDescent="0.25">
      <c r="A2088" s="16"/>
      <c r="B2088" s="17"/>
      <c r="C2088" s="2" t="b">
        <v>0</v>
      </c>
      <c r="D2088" s="2"/>
      <c r="E2088" s="2"/>
      <c r="F2088" s="2"/>
      <c r="G2088" s="2"/>
      <c r="H2088" s="2"/>
      <c r="I2088" s="5"/>
    </row>
    <row r="2089" spans="1:9" ht="17.399999999999999" x14ac:dyDescent="0.25">
      <c r="A2089" s="16"/>
      <c r="B2089" s="17"/>
      <c r="C2089" s="2" t="b">
        <v>0</v>
      </c>
      <c r="D2089" s="2"/>
      <c r="E2089" s="2"/>
      <c r="F2089" s="2"/>
      <c r="G2089" s="2"/>
      <c r="H2089" s="2"/>
      <c r="I2089" s="5"/>
    </row>
    <row r="2090" spans="1:9" ht="17.399999999999999" x14ac:dyDescent="0.25">
      <c r="A2090" s="16"/>
      <c r="B2090" s="17"/>
      <c r="C2090" s="2" t="b">
        <v>0</v>
      </c>
      <c r="D2090" s="2"/>
      <c r="E2090" s="2"/>
      <c r="F2090" s="2"/>
      <c r="G2090" s="2"/>
      <c r="H2090" s="2"/>
      <c r="I2090" s="5"/>
    </row>
    <row r="2091" spans="1:9" ht="17.399999999999999" x14ac:dyDescent="0.25">
      <c r="A2091" s="16"/>
      <c r="B2091" s="17"/>
      <c r="C2091" s="2" t="b">
        <v>0</v>
      </c>
      <c r="D2091" s="2"/>
      <c r="E2091" s="2"/>
      <c r="F2091" s="2"/>
      <c r="G2091" s="2"/>
      <c r="H2091" s="2"/>
      <c r="I2091" s="5"/>
    </row>
    <row r="2092" spans="1:9" ht="17.399999999999999" x14ac:dyDescent="0.25">
      <c r="A2092" s="16"/>
      <c r="B2092" s="17"/>
      <c r="C2092" s="2" t="b">
        <v>0</v>
      </c>
      <c r="D2092" s="2"/>
      <c r="E2092" s="2"/>
      <c r="F2092" s="2"/>
      <c r="G2092" s="2"/>
      <c r="H2092" s="2"/>
      <c r="I2092" s="5"/>
    </row>
    <row r="2093" spans="1:9" ht="17.399999999999999" x14ac:dyDescent="0.25">
      <c r="A2093" s="16"/>
      <c r="B2093" s="17"/>
      <c r="C2093" s="2" t="b">
        <v>0</v>
      </c>
      <c r="D2093" s="2"/>
      <c r="E2093" s="2"/>
      <c r="F2093" s="2"/>
      <c r="G2093" s="2"/>
      <c r="H2093" s="2"/>
      <c r="I2093" s="5"/>
    </row>
    <row r="2094" spans="1:9" ht="17.399999999999999" x14ac:dyDescent="0.25">
      <c r="A2094" s="16"/>
      <c r="B2094" s="17"/>
      <c r="C2094" s="2" t="b">
        <v>0</v>
      </c>
      <c r="D2094" s="2"/>
      <c r="E2094" s="2"/>
      <c r="F2094" s="2"/>
      <c r="G2094" s="2"/>
      <c r="H2094" s="2"/>
      <c r="I2094" s="5"/>
    </row>
    <row r="2095" spans="1:9" ht="17.399999999999999" x14ac:dyDescent="0.25">
      <c r="A2095" s="16"/>
      <c r="B2095" s="17"/>
      <c r="C2095" s="2" t="b">
        <v>0</v>
      </c>
      <c r="D2095" s="2"/>
      <c r="E2095" s="2"/>
      <c r="F2095" s="2"/>
      <c r="G2095" s="2"/>
      <c r="H2095" s="2"/>
      <c r="I2095" s="5"/>
    </row>
    <row r="2096" spans="1:9" ht="17.399999999999999" x14ac:dyDescent="0.25">
      <c r="A2096" s="16"/>
      <c r="B2096" s="17"/>
      <c r="C2096" s="2" t="b">
        <v>0</v>
      </c>
      <c r="D2096" s="2"/>
      <c r="E2096" s="2"/>
      <c r="F2096" s="2"/>
      <c r="G2096" s="2"/>
      <c r="H2096" s="2"/>
      <c r="I2096" s="5"/>
    </row>
    <row r="2097" spans="1:9" ht="17.399999999999999" x14ac:dyDescent="0.25">
      <c r="A2097" s="16"/>
      <c r="B2097" s="17"/>
      <c r="C2097" s="2" t="b">
        <v>0</v>
      </c>
      <c r="D2097" s="2"/>
      <c r="E2097" s="2"/>
      <c r="F2097" s="2"/>
      <c r="G2097" s="2"/>
      <c r="H2097" s="2"/>
      <c r="I2097" s="5"/>
    </row>
    <row r="2098" spans="1:9" ht="17.399999999999999" x14ac:dyDescent="0.25">
      <c r="A2098" s="16"/>
      <c r="B2098" s="17"/>
      <c r="C2098" s="2" t="b">
        <v>0</v>
      </c>
      <c r="D2098" s="2"/>
      <c r="E2098" s="2"/>
      <c r="F2098" s="2"/>
      <c r="G2098" s="2"/>
      <c r="H2098" s="2"/>
      <c r="I2098" s="5"/>
    </row>
    <row r="2099" spans="1:9" ht="17.399999999999999" x14ac:dyDescent="0.25">
      <c r="A2099" s="16"/>
      <c r="B2099" s="17"/>
      <c r="C2099" s="2" t="b">
        <v>0</v>
      </c>
      <c r="D2099" s="2"/>
      <c r="E2099" s="2"/>
      <c r="F2099" s="2"/>
      <c r="G2099" s="2"/>
      <c r="H2099" s="2"/>
      <c r="I2099" s="5"/>
    </row>
    <row r="2100" spans="1:9" ht="17.399999999999999" x14ac:dyDescent="0.25">
      <c r="A2100" s="16"/>
      <c r="B2100" s="17"/>
      <c r="C2100" s="2" t="b">
        <v>0</v>
      </c>
      <c r="D2100" s="2"/>
      <c r="E2100" s="2"/>
      <c r="F2100" s="2"/>
      <c r="G2100" s="2"/>
      <c r="H2100" s="2"/>
      <c r="I2100" s="5"/>
    </row>
    <row r="2101" spans="1:9" ht="17.399999999999999" x14ac:dyDescent="0.25">
      <c r="A2101" s="16"/>
      <c r="B2101" s="17"/>
      <c r="C2101" s="2" t="b">
        <v>0</v>
      </c>
      <c r="D2101" s="2"/>
      <c r="E2101" s="2"/>
      <c r="F2101" s="2"/>
      <c r="G2101" s="2"/>
      <c r="H2101" s="2"/>
      <c r="I2101" s="5"/>
    </row>
    <row r="2102" spans="1:9" ht="17.399999999999999" x14ac:dyDescent="0.25">
      <c r="A2102" s="16"/>
      <c r="B2102" s="17"/>
      <c r="C2102" s="2" t="b">
        <v>0</v>
      </c>
      <c r="D2102" s="2"/>
      <c r="E2102" s="2"/>
      <c r="F2102" s="2"/>
      <c r="G2102" s="2"/>
      <c r="H2102" s="2"/>
      <c r="I2102" s="5"/>
    </row>
    <row r="2103" spans="1:9" ht="17.399999999999999" x14ac:dyDescent="0.25">
      <c r="A2103" s="16"/>
      <c r="B2103" s="17"/>
      <c r="C2103" s="2" t="b">
        <v>0</v>
      </c>
      <c r="D2103" s="2"/>
      <c r="E2103" s="2"/>
      <c r="F2103" s="2"/>
      <c r="G2103" s="2"/>
      <c r="H2103" s="2"/>
      <c r="I2103" s="5"/>
    </row>
    <row r="2104" spans="1:9" ht="17.399999999999999" x14ac:dyDescent="0.25">
      <c r="A2104" s="16"/>
      <c r="B2104" s="17"/>
      <c r="C2104" s="2" t="b">
        <v>0</v>
      </c>
      <c r="D2104" s="2"/>
      <c r="E2104" s="2"/>
      <c r="F2104" s="2"/>
      <c r="G2104" s="2"/>
      <c r="H2104" s="2"/>
      <c r="I2104" s="5"/>
    </row>
    <row r="2105" spans="1:9" ht="17.399999999999999" x14ac:dyDescent="0.25">
      <c r="A2105" s="16"/>
      <c r="B2105" s="17"/>
      <c r="C2105" s="2" t="b">
        <v>0</v>
      </c>
      <c r="D2105" s="2"/>
      <c r="E2105" s="2"/>
      <c r="F2105" s="2"/>
      <c r="G2105" s="2"/>
      <c r="H2105" s="2"/>
      <c r="I2105" s="5"/>
    </row>
    <row r="2106" spans="1:9" ht="17.399999999999999" x14ac:dyDescent="0.25">
      <c r="A2106" s="16"/>
      <c r="B2106" s="17"/>
      <c r="C2106" s="2" t="b">
        <v>0</v>
      </c>
      <c r="D2106" s="2"/>
      <c r="E2106" s="2"/>
      <c r="F2106" s="2"/>
      <c r="G2106" s="2"/>
      <c r="H2106" s="2"/>
      <c r="I2106" s="5"/>
    </row>
    <row r="2107" spans="1:9" ht="17.399999999999999" x14ac:dyDescent="0.25">
      <c r="A2107" s="16"/>
      <c r="B2107" s="17"/>
      <c r="C2107" s="2" t="b">
        <v>0</v>
      </c>
      <c r="D2107" s="2"/>
      <c r="E2107" s="2"/>
      <c r="F2107" s="2"/>
      <c r="G2107" s="2"/>
      <c r="H2107" s="2"/>
      <c r="I2107" s="5"/>
    </row>
    <row r="2108" spans="1:9" ht="17.399999999999999" x14ac:dyDescent="0.25">
      <c r="A2108" s="16"/>
      <c r="B2108" s="17"/>
      <c r="C2108" s="2" t="b">
        <v>0</v>
      </c>
      <c r="D2108" s="2"/>
      <c r="E2108" s="2"/>
      <c r="F2108" s="2"/>
      <c r="G2108" s="2"/>
      <c r="H2108" s="2"/>
      <c r="I2108" s="5"/>
    </row>
    <row r="2109" spans="1:9" ht="17.399999999999999" x14ac:dyDescent="0.25">
      <c r="A2109" s="16"/>
      <c r="B2109" s="17"/>
      <c r="C2109" s="2" t="b">
        <v>0</v>
      </c>
      <c r="D2109" s="2"/>
      <c r="E2109" s="2"/>
      <c r="F2109" s="2"/>
      <c r="G2109" s="2"/>
      <c r="H2109" s="2"/>
      <c r="I2109" s="5"/>
    </row>
    <row r="2110" spans="1:9" ht="17.399999999999999" x14ac:dyDescent="0.25">
      <c r="A2110" s="16"/>
      <c r="B2110" s="17"/>
      <c r="C2110" s="2" t="b">
        <v>0</v>
      </c>
      <c r="D2110" s="2"/>
      <c r="E2110" s="2"/>
      <c r="F2110" s="2"/>
      <c r="G2110" s="2"/>
      <c r="H2110" s="2"/>
      <c r="I2110" s="5"/>
    </row>
    <row r="2111" spans="1:9" ht="17.399999999999999" x14ac:dyDescent="0.25">
      <c r="A2111" s="16"/>
      <c r="B2111" s="17"/>
      <c r="C2111" s="2" t="b">
        <v>0</v>
      </c>
      <c r="D2111" s="2"/>
      <c r="E2111" s="2"/>
      <c r="F2111" s="2"/>
      <c r="G2111" s="2"/>
      <c r="H2111" s="2"/>
      <c r="I2111" s="5"/>
    </row>
    <row r="2112" spans="1:9" ht="17.399999999999999" x14ac:dyDescent="0.25">
      <c r="A2112" s="16"/>
      <c r="B2112" s="17"/>
      <c r="C2112" s="2" t="b">
        <v>0</v>
      </c>
      <c r="D2112" s="2"/>
      <c r="E2112" s="2"/>
      <c r="F2112" s="2"/>
      <c r="G2112" s="2"/>
      <c r="H2112" s="2"/>
      <c r="I2112" s="5"/>
    </row>
    <row r="2113" spans="1:9" ht="17.399999999999999" x14ac:dyDescent="0.25">
      <c r="A2113" s="16"/>
      <c r="B2113" s="17"/>
      <c r="C2113" s="2" t="b">
        <v>0</v>
      </c>
      <c r="D2113" s="2"/>
      <c r="E2113" s="2"/>
      <c r="F2113" s="2"/>
      <c r="G2113" s="2"/>
      <c r="H2113" s="2"/>
      <c r="I2113" s="5"/>
    </row>
    <row r="2114" spans="1:9" ht="17.399999999999999" x14ac:dyDescent="0.25">
      <c r="A2114" s="16"/>
      <c r="B2114" s="17"/>
      <c r="C2114" s="2" t="b">
        <v>0</v>
      </c>
      <c r="D2114" s="2"/>
      <c r="E2114" s="2"/>
      <c r="F2114" s="2"/>
      <c r="G2114" s="2"/>
      <c r="H2114" s="2"/>
      <c r="I2114" s="5"/>
    </row>
    <row r="2115" spans="1:9" ht="17.399999999999999" x14ac:dyDescent="0.25">
      <c r="A2115" s="16"/>
      <c r="B2115" s="17"/>
      <c r="C2115" s="2" t="b">
        <v>0</v>
      </c>
      <c r="D2115" s="2"/>
      <c r="E2115" s="2"/>
      <c r="F2115" s="2"/>
      <c r="G2115" s="2"/>
      <c r="H2115" s="2"/>
      <c r="I2115" s="5"/>
    </row>
    <row r="2116" spans="1:9" ht="17.399999999999999" x14ac:dyDescent="0.25">
      <c r="A2116" s="16"/>
      <c r="B2116" s="17"/>
      <c r="C2116" s="2" t="b">
        <v>0</v>
      </c>
      <c r="D2116" s="2"/>
      <c r="E2116" s="2"/>
      <c r="F2116" s="2"/>
      <c r="G2116" s="2"/>
      <c r="H2116" s="2"/>
      <c r="I2116" s="5"/>
    </row>
    <row r="2117" spans="1:9" ht="17.399999999999999" x14ac:dyDescent="0.25">
      <c r="A2117" s="16"/>
      <c r="B2117" s="17"/>
      <c r="C2117" s="2" t="b">
        <v>0</v>
      </c>
      <c r="D2117" s="2"/>
      <c r="E2117" s="2"/>
      <c r="F2117" s="2"/>
      <c r="G2117" s="2"/>
      <c r="H2117" s="2"/>
      <c r="I2117" s="5"/>
    </row>
    <row r="2118" spans="1:9" ht="17.399999999999999" x14ac:dyDescent="0.25">
      <c r="A2118" s="16"/>
      <c r="B2118" s="17"/>
      <c r="C2118" s="2" t="b">
        <v>0</v>
      </c>
      <c r="D2118" s="2"/>
      <c r="E2118" s="2"/>
      <c r="F2118" s="2"/>
      <c r="G2118" s="2"/>
      <c r="H2118" s="2"/>
      <c r="I2118" s="5"/>
    </row>
    <row r="2119" spans="1:9" ht="17.399999999999999" x14ac:dyDescent="0.25">
      <c r="A2119" s="16"/>
      <c r="B2119" s="17"/>
      <c r="C2119" s="2" t="b">
        <v>0</v>
      </c>
      <c r="D2119" s="2"/>
      <c r="E2119" s="2"/>
      <c r="F2119" s="2"/>
      <c r="G2119" s="2"/>
      <c r="H2119" s="2"/>
      <c r="I2119" s="5"/>
    </row>
    <row r="2120" spans="1:9" ht="17.399999999999999" x14ac:dyDescent="0.25">
      <c r="A2120" s="16"/>
      <c r="B2120" s="17"/>
      <c r="C2120" s="2" t="b">
        <v>0</v>
      </c>
      <c r="D2120" s="2"/>
      <c r="E2120" s="2"/>
      <c r="F2120" s="2"/>
      <c r="G2120" s="2"/>
      <c r="H2120" s="2"/>
      <c r="I2120" s="5"/>
    </row>
    <row r="2121" spans="1:9" ht="17.399999999999999" x14ac:dyDescent="0.25">
      <c r="A2121" s="16"/>
      <c r="B2121" s="17"/>
      <c r="C2121" s="2" t="b">
        <v>0</v>
      </c>
      <c r="D2121" s="2"/>
      <c r="E2121" s="2"/>
      <c r="F2121" s="2"/>
      <c r="G2121" s="2"/>
      <c r="H2121" s="2"/>
      <c r="I2121" s="5"/>
    </row>
    <row r="2122" spans="1:9" ht="17.399999999999999" x14ac:dyDescent="0.25">
      <c r="A2122" s="16"/>
      <c r="B2122" s="17"/>
      <c r="C2122" s="2" t="b">
        <v>0</v>
      </c>
      <c r="D2122" s="2"/>
      <c r="E2122" s="2"/>
      <c r="F2122" s="2"/>
      <c r="G2122" s="2"/>
      <c r="H2122" s="2"/>
      <c r="I2122" s="5"/>
    </row>
    <row r="2123" spans="1:9" ht="17.399999999999999" x14ac:dyDescent="0.25">
      <c r="A2123" s="16"/>
      <c r="B2123" s="17"/>
      <c r="C2123" s="2" t="b">
        <v>0</v>
      </c>
      <c r="D2123" s="2"/>
      <c r="E2123" s="2"/>
      <c r="F2123" s="2"/>
      <c r="G2123" s="2"/>
      <c r="H2123" s="2"/>
      <c r="I2123" s="5"/>
    </row>
    <row r="2124" spans="1:9" ht="17.399999999999999" x14ac:dyDescent="0.25">
      <c r="A2124" s="16"/>
      <c r="B2124" s="17"/>
      <c r="C2124" s="2" t="b">
        <v>0</v>
      </c>
      <c r="D2124" s="2"/>
      <c r="E2124" s="2"/>
      <c r="F2124" s="2"/>
      <c r="G2124" s="2"/>
      <c r="H2124" s="2"/>
      <c r="I2124" s="5"/>
    </row>
    <row r="2125" spans="1:9" ht="17.399999999999999" x14ac:dyDescent="0.25">
      <c r="A2125" s="16"/>
      <c r="B2125" s="17"/>
      <c r="C2125" s="2" t="b">
        <v>0</v>
      </c>
      <c r="D2125" s="2"/>
      <c r="E2125" s="2"/>
      <c r="F2125" s="2"/>
      <c r="G2125" s="2"/>
      <c r="H2125" s="2"/>
      <c r="I2125" s="5"/>
    </row>
    <row r="2126" spans="1:9" ht="17.399999999999999" x14ac:dyDescent="0.25">
      <c r="A2126" s="16"/>
      <c r="B2126" s="17"/>
      <c r="C2126" s="2" t="b">
        <v>0</v>
      </c>
      <c r="D2126" s="2"/>
      <c r="E2126" s="2"/>
      <c r="F2126" s="2"/>
      <c r="G2126" s="2"/>
      <c r="H2126" s="2"/>
      <c r="I2126" s="5"/>
    </row>
    <row r="2127" spans="1:9" ht="17.399999999999999" x14ac:dyDescent="0.25">
      <c r="A2127" s="16"/>
      <c r="B2127" s="17"/>
      <c r="C2127" s="2" t="b">
        <v>0</v>
      </c>
      <c r="D2127" s="2"/>
      <c r="E2127" s="2"/>
      <c r="F2127" s="2"/>
      <c r="G2127" s="2"/>
      <c r="H2127" s="2"/>
      <c r="I2127" s="5"/>
    </row>
    <row r="2128" spans="1:9" ht="17.399999999999999" x14ac:dyDescent="0.25">
      <c r="A2128" s="16"/>
      <c r="B2128" s="17"/>
      <c r="C2128" s="2" t="b">
        <v>0</v>
      </c>
      <c r="D2128" s="2"/>
      <c r="E2128" s="2"/>
      <c r="F2128" s="2"/>
      <c r="G2128" s="2"/>
      <c r="H2128" s="2"/>
      <c r="I2128" s="5"/>
    </row>
    <row r="2129" spans="1:9" ht="17.399999999999999" x14ac:dyDescent="0.25">
      <c r="A2129" s="16"/>
      <c r="B2129" s="17"/>
      <c r="C2129" s="2" t="b">
        <v>0</v>
      </c>
      <c r="D2129" s="2"/>
      <c r="E2129" s="2"/>
      <c r="F2129" s="2"/>
      <c r="G2129" s="2"/>
      <c r="H2129" s="2"/>
      <c r="I2129" s="5"/>
    </row>
    <row r="2130" spans="1:9" ht="17.399999999999999" x14ac:dyDescent="0.25">
      <c r="A2130" s="16"/>
      <c r="B2130" s="17"/>
      <c r="C2130" s="2" t="b">
        <v>0</v>
      </c>
      <c r="D2130" s="2"/>
      <c r="E2130" s="2"/>
      <c r="F2130" s="2"/>
      <c r="G2130" s="2"/>
      <c r="H2130" s="2"/>
      <c r="I2130" s="5"/>
    </row>
    <row r="2131" spans="1:9" ht="17.399999999999999" x14ac:dyDescent="0.25">
      <c r="A2131" s="16"/>
      <c r="B2131" s="17"/>
      <c r="C2131" s="2" t="b">
        <v>0</v>
      </c>
      <c r="D2131" s="2"/>
      <c r="E2131" s="2"/>
      <c r="F2131" s="2"/>
      <c r="G2131" s="2"/>
      <c r="H2131" s="2"/>
      <c r="I2131" s="5"/>
    </row>
    <row r="2132" spans="1:9" ht="17.399999999999999" x14ac:dyDescent="0.25">
      <c r="A2132" s="16"/>
      <c r="B2132" s="17"/>
      <c r="C2132" s="2" t="b">
        <v>0</v>
      </c>
      <c r="D2132" s="2"/>
      <c r="E2132" s="2"/>
      <c r="F2132" s="2"/>
      <c r="G2132" s="2"/>
      <c r="H2132" s="2"/>
      <c r="I2132" s="5"/>
    </row>
    <row r="2133" spans="1:9" ht="17.399999999999999" x14ac:dyDescent="0.25">
      <c r="A2133" s="16"/>
      <c r="B2133" s="17"/>
      <c r="C2133" s="2" t="b">
        <v>0</v>
      </c>
      <c r="D2133" s="2"/>
      <c r="E2133" s="2"/>
      <c r="F2133" s="2"/>
      <c r="G2133" s="2"/>
      <c r="H2133" s="2"/>
      <c r="I2133" s="5"/>
    </row>
    <row r="2134" spans="1:9" ht="17.399999999999999" x14ac:dyDescent="0.25">
      <c r="A2134" s="16"/>
      <c r="B2134" s="17"/>
      <c r="C2134" s="2" t="b">
        <v>0</v>
      </c>
      <c r="D2134" s="2"/>
      <c r="E2134" s="2"/>
      <c r="F2134" s="2"/>
      <c r="G2134" s="2"/>
      <c r="H2134" s="2"/>
      <c r="I2134" s="5"/>
    </row>
    <row r="2135" spans="1:9" ht="17.399999999999999" x14ac:dyDescent="0.25">
      <c r="A2135" s="16"/>
      <c r="B2135" s="17"/>
      <c r="C2135" s="2" t="b">
        <v>0</v>
      </c>
      <c r="D2135" s="2"/>
      <c r="E2135" s="2"/>
      <c r="F2135" s="2"/>
      <c r="G2135" s="2"/>
      <c r="H2135" s="2"/>
      <c r="I2135" s="5"/>
    </row>
    <row r="2136" spans="1:9" ht="17.399999999999999" x14ac:dyDescent="0.25">
      <c r="A2136" s="16"/>
      <c r="B2136" s="17"/>
      <c r="C2136" s="2" t="b">
        <v>0</v>
      </c>
      <c r="D2136" s="2"/>
      <c r="E2136" s="2"/>
      <c r="F2136" s="2"/>
      <c r="G2136" s="2"/>
      <c r="H2136" s="2"/>
      <c r="I2136" s="5"/>
    </row>
    <row r="2137" spans="1:9" ht="17.399999999999999" x14ac:dyDescent="0.25">
      <c r="A2137" s="16"/>
      <c r="B2137" s="17"/>
      <c r="C2137" s="2" t="b">
        <v>0</v>
      </c>
      <c r="D2137" s="2"/>
      <c r="E2137" s="2"/>
      <c r="F2137" s="2"/>
      <c r="G2137" s="2"/>
      <c r="H2137" s="2"/>
      <c r="I2137" s="5"/>
    </row>
    <row r="2138" spans="1:9" ht="17.399999999999999" x14ac:dyDescent="0.25">
      <c r="A2138" s="16"/>
      <c r="B2138" s="17"/>
      <c r="C2138" s="2" t="b">
        <v>0</v>
      </c>
      <c r="D2138" s="2"/>
      <c r="E2138" s="2"/>
      <c r="F2138" s="2"/>
      <c r="G2138" s="2"/>
      <c r="H2138" s="2"/>
      <c r="I2138" s="5"/>
    </row>
    <row r="2139" spans="1:9" ht="17.399999999999999" x14ac:dyDescent="0.25">
      <c r="A2139" s="16"/>
      <c r="B2139" s="17"/>
      <c r="C2139" s="2" t="b">
        <v>0</v>
      </c>
      <c r="D2139" s="2"/>
      <c r="E2139" s="2"/>
      <c r="F2139" s="2"/>
      <c r="G2139" s="2"/>
      <c r="H2139" s="2"/>
      <c r="I2139" s="5"/>
    </row>
    <row r="2140" spans="1:9" ht="17.399999999999999" x14ac:dyDescent="0.25">
      <c r="A2140" s="16"/>
      <c r="B2140" s="17"/>
      <c r="C2140" s="2" t="b">
        <v>0</v>
      </c>
      <c r="D2140" s="2"/>
      <c r="E2140" s="2"/>
      <c r="F2140" s="2"/>
      <c r="G2140" s="2"/>
      <c r="H2140" s="2"/>
      <c r="I2140" s="5"/>
    </row>
    <row r="2141" spans="1:9" ht="17.399999999999999" x14ac:dyDescent="0.25">
      <c r="A2141" s="16"/>
      <c r="B2141" s="17"/>
      <c r="C2141" s="2" t="b">
        <v>0</v>
      </c>
      <c r="D2141" s="2"/>
      <c r="E2141" s="2"/>
      <c r="F2141" s="2"/>
      <c r="G2141" s="2"/>
      <c r="H2141" s="2"/>
      <c r="I2141" s="5"/>
    </row>
    <row r="2142" spans="1:9" ht="17.399999999999999" x14ac:dyDescent="0.25">
      <c r="A2142" s="16"/>
      <c r="B2142" s="17"/>
      <c r="C2142" s="2" t="b">
        <v>0</v>
      </c>
      <c r="D2142" s="2"/>
      <c r="E2142" s="2"/>
      <c r="F2142" s="2"/>
      <c r="G2142" s="2"/>
      <c r="H2142" s="2"/>
      <c r="I2142" s="5"/>
    </row>
    <row r="2143" spans="1:9" ht="17.399999999999999" x14ac:dyDescent="0.25">
      <c r="A2143" s="16"/>
      <c r="B2143" s="17"/>
      <c r="C2143" s="2" t="b">
        <v>0</v>
      </c>
      <c r="D2143" s="2"/>
      <c r="E2143" s="2"/>
      <c r="F2143" s="2"/>
      <c r="G2143" s="2"/>
      <c r="H2143" s="2"/>
      <c r="I2143" s="5"/>
    </row>
    <row r="2144" spans="1:9" ht="17.399999999999999" x14ac:dyDescent="0.25">
      <c r="A2144" s="16"/>
      <c r="B2144" s="17"/>
      <c r="C2144" s="2" t="b">
        <v>0</v>
      </c>
      <c r="D2144" s="2"/>
      <c r="E2144" s="2"/>
      <c r="F2144" s="2"/>
      <c r="G2144" s="2"/>
      <c r="H2144" s="2"/>
      <c r="I2144" s="5"/>
    </row>
    <row r="2145" spans="1:9" ht="17.399999999999999" x14ac:dyDescent="0.25">
      <c r="A2145" s="16"/>
      <c r="B2145" s="17"/>
      <c r="C2145" s="2" t="b">
        <v>0</v>
      </c>
      <c r="D2145" s="2"/>
      <c r="E2145" s="2"/>
      <c r="F2145" s="2"/>
      <c r="G2145" s="2"/>
      <c r="H2145" s="2"/>
      <c r="I2145" s="5"/>
    </row>
    <row r="2146" spans="1:9" ht="17.399999999999999" x14ac:dyDescent="0.25">
      <c r="A2146" s="16"/>
      <c r="B2146" s="17"/>
      <c r="C2146" s="2" t="b">
        <v>0</v>
      </c>
      <c r="D2146" s="2"/>
      <c r="E2146" s="2"/>
      <c r="F2146" s="2"/>
      <c r="G2146" s="2"/>
      <c r="H2146" s="2"/>
      <c r="I2146" s="5"/>
    </row>
    <row r="2147" spans="1:9" ht="17.399999999999999" x14ac:dyDescent="0.25">
      <c r="A2147" s="16"/>
      <c r="B2147" s="17"/>
      <c r="C2147" s="2" t="b">
        <v>0</v>
      </c>
      <c r="D2147" s="2"/>
      <c r="E2147" s="2"/>
      <c r="F2147" s="2"/>
      <c r="G2147" s="2"/>
      <c r="H2147" s="2"/>
      <c r="I2147" s="5"/>
    </row>
    <row r="2148" spans="1:9" ht="17.399999999999999" x14ac:dyDescent="0.25">
      <c r="A2148" s="16"/>
      <c r="B2148" s="17"/>
      <c r="C2148" s="2" t="b">
        <v>0</v>
      </c>
      <c r="D2148" s="2"/>
      <c r="E2148" s="2"/>
      <c r="F2148" s="2"/>
      <c r="G2148" s="2"/>
      <c r="H2148" s="2"/>
      <c r="I2148" s="5"/>
    </row>
    <row r="2149" spans="1:9" ht="17.399999999999999" x14ac:dyDescent="0.25">
      <c r="A2149" s="16"/>
      <c r="B2149" s="17"/>
      <c r="C2149" s="2" t="b">
        <v>0</v>
      </c>
      <c r="D2149" s="2"/>
      <c r="E2149" s="2"/>
      <c r="F2149" s="2"/>
      <c r="G2149" s="2"/>
      <c r="H2149" s="2"/>
      <c r="I2149" s="5"/>
    </row>
    <row r="2150" spans="1:9" ht="17.399999999999999" x14ac:dyDescent="0.25">
      <c r="A2150" s="16"/>
      <c r="B2150" s="17"/>
      <c r="C2150" s="2" t="b">
        <v>0</v>
      </c>
      <c r="D2150" s="2"/>
      <c r="E2150" s="2"/>
      <c r="F2150" s="2"/>
      <c r="G2150" s="2"/>
      <c r="H2150" s="2"/>
      <c r="I2150" s="5"/>
    </row>
    <row r="2151" spans="1:9" ht="17.399999999999999" x14ac:dyDescent="0.25">
      <c r="A2151" s="16"/>
      <c r="B2151" s="17"/>
      <c r="C2151" s="2" t="b">
        <v>0</v>
      </c>
      <c r="D2151" s="2"/>
      <c r="E2151" s="2"/>
      <c r="F2151" s="2"/>
      <c r="G2151" s="2"/>
      <c r="H2151" s="2"/>
      <c r="I2151" s="5"/>
    </row>
    <row r="2152" spans="1:9" ht="17.399999999999999" x14ac:dyDescent="0.25">
      <c r="A2152" s="16"/>
      <c r="B2152" s="17"/>
      <c r="C2152" s="2" t="b">
        <v>0</v>
      </c>
      <c r="D2152" s="2"/>
      <c r="E2152" s="2"/>
      <c r="F2152" s="2"/>
      <c r="G2152" s="2"/>
      <c r="H2152" s="2"/>
      <c r="I2152" s="5"/>
    </row>
    <row r="2153" spans="1:9" ht="17.399999999999999" x14ac:dyDescent="0.25">
      <c r="A2153" s="16"/>
      <c r="B2153" s="17"/>
      <c r="C2153" s="2" t="b">
        <v>0</v>
      </c>
      <c r="D2153" s="2"/>
      <c r="E2153" s="2"/>
      <c r="F2153" s="2"/>
      <c r="G2153" s="2"/>
      <c r="H2153" s="2"/>
      <c r="I2153" s="5"/>
    </row>
    <row r="2154" spans="1:9" ht="17.399999999999999" x14ac:dyDescent="0.25">
      <c r="A2154" s="16"/>
      <c r="B2154" s="17"/>
      <c r="C2154" s="2" t="b">
        <v>0</v>
      </c>
      <c r="D2154" s="2"/>
      <c r="E2154" s="2"/>
      <c r="F2154" s="2"/>
      <c r="G2154" s="2"/>
      <c r="H2154" s="2"/>
      <c r="I2154" s="5"/>
    </row>
    <row r="2155" spans="1:9" ht="17.399999999999999" x14ac:dyDescent="0.25">
      <c r="A2155" s="16"/>
      <c r="B2155" s="17"/>
      <c r="C2155" s="2" t="b">
        <v>0</v>
      </c>
      <c r="D2155" s="2"/>
      <c r="E2155" s="2"/>
      <c r="F2155" s="2"/>
      <c r="G2155" s="2"/>
      <c r="H2155" s="2"/>
      <c r="I2155" s="5"/>
    </row>
    <row r="2156" spans="1:9" ht="17.399999999999999" x14ac:dyDescent="0.25">
      <c r="A2156" s="16"/>
      <c r="B2156" s="17"/>
      <c r="C2156" s="2" t="b">
        <v>0</v>
      </c>
      <c r="D2156" s="2"/>
      <c r="E2156" s="2"/>
      <c r="F2156" s="2"/>
      <c r="G2156" s="2"/>
      <c r="H2156" s="2"/>
      <c r="I2156" s="5"/>
    </row>
    <row r="2157" spans="1:9" ht="17.399999999999999" x14ac:dyDescent="0.25">
      <c r="A2157" s="16"/>
      <c r="B2157" s="17"/>
      <c r="C2157" s="2" t="b">
        <v>0</v>
      </c>
      <c r="D2157" s="2"/>
      <c r="E2157" s="2"/>
      <c r="F2157" s="2"/>
      <c r="G2157" s="2"/>
      <c r="H2157" s="2"/>
      <c r="I2157" s="5"/>
    </row>
    <row r="2158" spans="1:9" ht="17.399999999999999" x14ac:dyDescent="0.25">
      <c r="A2158" s="16"/>
      <c r="B2158" s="17"/>
      <c r="C2158" s="2" t="b">
        <v>0</v>
      </c>
      <c r="D2158" s="2"/>
      <c r="E2158" s="2"/>
      <c r="F2158" s="2"/>
      <c r="G2158" s="2"/>
      <c r="H2158" s="2"/>
      <c r="I2158" s="5"/>
    </row>
    <row r="2159" spans="1:9" ht="17.399999999999999" x14ac:dyDescent="0.25">
      <c r="A2159" s="16"/>
      <c r="B2159" s="17"/>
      <c r="C2159" s="2" t="b">
        <v>0</v>
      </c>
      <c r="D2159" s="2"/>
      <c r="E2159" s="2"/>
      <c r="F2159" s="2"/>
      <c r="G2159" s="2"/>
      <c r="H2159" s="2"/>
      <c r="I2159" s="5"/>
    </row>
    <row r="2160" spans="1:9" ht="17.399999999999999" x14ac:dyDescent="0.25">
      <c r="A2160" s="16"/>
      <c r="B2160" s="17"/>
      <c r="C2160" s="2" t="b">
        <v>0</v>
      </c>
      <c r="D2160" s="2"/>
      <c r="E2160" s="2"/>
      <c r="F2160" s="2"/>
      <c r="G2160" s="2"/>
      <c r="H2160" s="2"/>
      <c r="I2160" s="5"/>
    </row>
    <row r="2161" spans="1:9" ht="17.399999999999999" x14ac:dyDescent="0.25">
      <c r="A2161" s="16"/>
      <c r="B2161" s="17"/>
      <c r="C2161" s="2" t="b">
        <v>0</v>
      </c>
      <c r="D2161" s="2"/>
      <c r="E2161" s="2"/>
      <c r="F2161" s="2"/>
      <c r="G2161" s="2"/>
      <c r="H2161" s="2"/>
      <c r="I2161" s="5"/>
    </row>
    <row r="2162" spans="1:9" ht="17.399999999999999" x14ac:dyDescent="0.25">
      <c r="A2162" s="16"/>
      <c r="B2162" s="17"/>
      <c r="C2162" s="2" t="b">
        <v>0</v>
      </c>
      <c r="D2162" s="2"/>
      <c r="E2162" s="2"/>
      <c r="F2162" s="2"/>
      <c r="G2162" s="2"/>
      <c r="H2162" s="2"/>
      <c r="I2162" s="5"/>
    </row>
    <row r="2163" spans="1:9" ht="17.399999999999999" x14ac:dyDescent="0.25">
      <c r="A2163" s="16"/>
      <c r="B2163" s="17"/>
      <c r="C2163" s="2" t="b">
        <v>0</v>
      </c>
      <c r="D2163" s="2"/>
      <c r="E2163" s="2"/>
      <c r="F2163" s="2"/>
      <c r="G2163" s="2"/>
      <c r="H2163" s="2"/>
      <c r="I2163" s="5"/>
    </row>
    <row r="2164" spans="1:9" ht="17.399999999999999" x14ac:dyDescent="0.25">
      <c r="A2164" s="16"/>
      <c r="B2164" s="17"/>
      <c r="C2164" s="2" t="b">
        <v>0</v>
      </c>
      <c r="D2164" s="2"/>
      <c r="E2164" s="2"/>
      <c r="F2164" s="2"/>
      <c r="G2164" s="2"/>
      <c r="H2164" s="2"/>
      <c r="I2164" s="5"/>
    </row>
    <row r="2165" spans="1:9" ht="17.399999999999999" x14ac:dyDescent="0.25">
      <c r="A2165" s="16"/>
      <c r="B2165" s="17"/>
      <c r="C2165" s="2" t="b">
        <v>0</v>
      </c>
      <c r="D2165" s="2"/>
      <c r="E2165" s="2"/>
      <c r="F2165" s="2"/>
      <c r="G2165" s="2"/>
      <c r="H2165" s="2"/>
      <c r="I2165" s="5"/>
    </row>
    <row r="2166" spans="1:9" ht="17.399999999999999" x14ac:dyDescent="0.25">
      <c r="A2166" s="16"/>
      <c r="B2166" s="17"/>
      <c r="C2166" s="2" t="b">
        <v>0</v>
      </c>
      <c r="D2166" s="2"/>
      <c r="E2166" s="2"/>
      <c r="F2166" s="2"/>
      <c r="G2166" s="2"/>
      <c r="H2166" s="2"/>
      <c r="I2166" s="5"/>
    </row>
    <row r="2167" spans="1:9" ht="17.399999999999999" x14ac:dyDescent="0.25">
      <c r="A2167" s="16"/>
      <c r="B2167" s="17"/>
      <c r="C2167" s="2" t="b">
        <v>0</v>
      </c>
      <c r="D2167" s="2"/>
      <c r="E2167" s="2"/>
      <c r="F2167" s="2"/>
      <c r="G2167" s="2"/>
      <c r="H2167" s="2"/>
      <c r="I2167" s="5"/>
    </row>
    <row r="2168" spans="1:9" ht="17.399999999999999" x14ac:dyDescent="0.25">
      <c r="A2168" s="16"/>
      <c r="B2168" s="17"/>
      <c r="C2168" s="2" t="b">
        <v>0</v>
      </c>
      <c r="D2168" s="2"/>
      <c r="E2168" s="2"/>
      <c r="F2168" s="2"/>
      <c r="G2168" s="2"/>
      <c r="H2168" s="2"/>
      <c r="I2168" s="5"/>
    </row>
    <row r="2169" spans="1:9" ht="17.399999999999999" x14ac:dyDescent="0.25">
      <c r="A2169" s="16"/>
      <c r="B2169" s="17"/>
      <c r="C2169" s="2" t="b">
        <v>0</v>
      </c>
      <c r="D2169" s="2"/>
      <c r="E2169" s="2"/>
      <c r="F2169" s="2"/>
      <c r="G2169" s="2"/>
      <c r="H2169" s="2"/>
      <c r="I2169" s="5"/>
    </row>
    <row r="2170" spans="1:9" ht="17.399999999999999" x14ac:dyDescent="0.25">
      <c r="A2170" s="16"/>
      <c r="B2170" s="17"/>
      <c r="C2170" s="2" t="b">
        <v>0</v>
      </c>
      <c r="D2170" s="2"/>
      <c r="E2170" s="2"/>
      <c r="F2170" s="2"/>
      <c r="G2170" s="2"/>
      <c r="H2170" s="2"/>
      <c r="I2170" s="5"/>
    </row>
    <row r="2171" spans="1:9" ht="17.399999999999999" x14ac:dyDescent="0.25">
      <c r="A2171" s="16"/>
      <c r="B2171" s="17"/>
      <c r="C2171" s="2" t="b">
        <v>0</v>
      </c>
      <c r="D2171" s="2"/>
      <c r="E2171" s="2"/>
      <c r="F2171" s="2"/>
      <c r="G2171" s="2"/>
      <c r="H2171" s="2"/>
      <c r="I2171" s="5"/>
    </row>
    <row r="2172" spans="1:9" ht="17.399999999999999" x14ac:dyDescent="0.25">
      <c r="A2172" s="16"/>
      <c r="B2172" s="17"/>
      <c r="C2172" s="2" t="b">
        <v>0</v>
      </c>
      <c r="D2172" s="2"/>
      <c r="E2172" s="2"/>
      <c r="F2172" s="2"/>
      <c r="G2172" s="2"/>
      <c r="H2172" s="2"/>
      <c r="I2172" s="5"/>
    </row>
    <row r="2173" spans="1:9" ht="17.399999999999999" x14ac:dyDescent="0.25">
      <c r="A2173" s="16"/>
      <c r="B2173" s="17"/>
      <c r="C2173" s="2" t="b">
        <v>0</v>
      </c>
      <c r="D2173" s="2"/>
      <c r="E2173" s="2"/>
      <c r="F2173" s="2"/>
      <c r="G2173" s="2"/>
      <c r="H2173" s="2"/>
      <c r="I2173" s="5"/>
    </row>
    <row r="2174" spans="1:9" ht="17.399999999999999" x14ac:dyDescent="0.25">
      <c r="A2174" s="16"/>
      <c r="B2174" s="17"/>
      <c r="C2174" s="2" t="b">
        <v>0</v>
      </c>
      <c r="D2174" s="2"/>
      <c r="E2174" s="2"/>
      <c r="F2174" s="2"/>
      <c r="G2174" s="2"/>
      <c r="H2174" s="2"/>
      <c r="I2174" s="5"/>
    </row>
    <row r="2175" spans="1:9" ht="17.399999999999999" x14ac:dyDescent="0.25">
      <c r="A2175" s="16"/>
      <c r="B2175" s="17"/>
      <c r="C2175" s="2" t="b">
        <v>0</v>
      </c>
      <c r="D2175" s="2"/>
      <c r="E2175" s="2"/>
      <c r="F2175" s="2"/>
      <c r="G2175" s="2"/>
      <c r="H2175" s="2"/>
      <c r="I2175" s="5"/>
    </row>
    <row r="2176" spans="1:9" ht="17.399999999999999" x14ac:dyDescent="0.25">
      <c r="A2176" s="16"/>
      <c r="B2176" s="17"/>
      <c r="C2176" s="2" t="b">
        <v>0</v>
      </c>
      <c r="D2176" s="2"/>
      <c r="E2176" s="2"/>
      <c r="F2176" s="2"/>
      <c r="G2176" s="2"/>
      <c r="H2176" s="2"/>
      <c r="I2176" s="5"/>
    </row>
    <row r="2177" spans="1:9" ht="17.399999999999999" x14ac:dyDescent="0.25">
      <c r="A2177" s="16"/>
      <c r="B2177" s="17"/>
      <c r="C2177" s="2" t="b">
        <v>0</v>
      </c>
      <c r="D2177" s="2"/>
      <c r="E2177" s="2"/>
      <c r="F2177" s="2"/>
      <c r="G2177" s="2"/>
      <c r="H2177" s="2"/>
      <c r="I2177" s="5"/>
    </row>
    <row r="2178" spans="1:9" ht="17.399999999999999" x14ac:dyDescent="0.25">
      <c r="A2178" s="16"/>
      <c r="B2178" s="17"/>
      <c r="C2178" s="2" t="b">
        <v>0</v>
      </c>
      <c r="D2178" s="2"/>
      <c r="E2178" s="2"/>
      <c r="F2178" s="2"/>
      <c r="G2178" s="2"/>
      <c r="H2178" s="2"/>
      <c r="I2178" s="5"/>
    </row>
    <row r="2179" spans="1:9" ht="17.399999999999999" x14ac:dyDescent="0.25">
      <c r="A2179" s="16"/>
      <c r="B2179" s="17"/>
      <c r="C2179" s="2" t="b">
        <v>0</v>
      </c>
      <c r="D2179" s="2"/>
      <c r="E2179" s="2"/>
      <c r="F2179" s="2"/>
      <c r="G2179" s="2"/>
      <c r="H2179" s="2"/>
      <c r="I2179" s="5"/>
    </row>
    <row r="2180" spans="1:9" ht="17.399999999999999" x14ac:dyDescent="0.25">
      <c r="A2180" s="16"/>
      <c r="B2180" s="17"/>
      <c r="C2180" s="2" t="b">
        <v>0</v>
      </c>
      <c r="D2180" s="2"/>
      <c r="E2180" s="2"/>
      <c r="F2180" s="2"/>
      <c r="G2180" s="2"/>
      <c r="H2180" s="2"/>
      <c r="I2180" s="5"/>
    </row>
    <row r="2181" spans="1:9" ht="17.399999999999999" x14ac:dyDescent="0.25">
      <c r="A2181" s="16"/>
      <c r="B2181" s="17"/>
      <c r="C2181" s="2" t="b">
        <v>0</v>
      </c>
      <c r="D2181" s="2"/>
      <c r="E2181" s="2"/>
      <c r="F2181" s="2"/>
      <c r="G2181" s="2"/>
      <c r="H2181" s="2"/>
      <c r="I2181" s="5"/>
    </row>
    <row r="2182" spans="1:9" ht="17.399999999999999" x14ac:dyDescent="0.25">
      <c r="A2182" s="16"/>
      <c r="B2182" s="17"/>
      <c r="C2182" s="2" t="b">
        <v>0</v>
      </c>
      <c r="D2182" s="2"/>
      <c r="E2182" s="2"/>
      <c r="F2182" s="2"/>
      <c r="G2182" s="2"/>
      <c r="H2182" s="2"/>
      <c r="I2182" s="5"/>
    </row>
    <row r="2183" spans="1:9" ht="17.399999999999999" x14ac:dyDescent="0.25">
      <c r="A2183" s="16"/>
      <c r="B2183" s="17"/>
      <c r="C2183" s="2" t="b">
        <v>0</v>
      </c>
      <c r="D2183" s="2"/>
      <c r="E2183" s="2"/>
      <c r="F2183" s="2"/>
      <c r="G2183" s="2"/>
      <c r="H2183" s="2"/>
      <c r="I2183" s="5"/>
    </row>
    <row r="2184" spans="1:9" ht="17.399999999999999" x14ac:dyDescent="0.25">
      <c r="A2184" s="16"/>
      <c r="B2184" s="17"/>
      <c r="C2184" s="2" t="b">
        <v>0</v>
      </c>
      <c r="D2184" s="2"/>
      <c r="E2184" s="2"/>
      <c r="F2184" s="2"/>
      <c r="G2184" s="2"/>
      <c r="H2184" s="2"/>
      <c r="I2184" s="5"/>
    </row>
    <row r="2185" spans="1:9" ht="17.399999999999999" x14ac:dyDescent="0.25">
      <c r="A2185" s="16"/>
      <c r="B2185" s="17"/>
      <c r="C2185" s="2" t="b">
        <v>0</v>
      </c>
      <c r="D2185" s="2"/>
      <c r="E2185" s="2"/>
      <c r="F2185" s="2"/>
      <c r="G2185" s="2"/>
      <c r="H2185" s="2"/>
      <c r="I2185" s="5"/>
    </row>
    <row r="2186" spans="1:9" ht="17.399999999999999" x14ac:dyDescent="0.25">
      <c r="A2186" s="16"/>
      <c r="B2186" s="17"/>
      <c r="C2186" s="2" t="b">
        <v>0</v>
      </c>
      <c r="D2186" s="2"/>
      <c r="E2186" s="2"/>
      <c r="F2186" s="2"/>
      <c r="G2186" s="2"/>
      <c r="H2186" s="2"/>
      <c r="I2186" s="5"/>
    </row>
    <row r="2187" spans="1:9" ht="17.399999999999999" x14ac:dyDescent="0.25">
      <c r="A2187" s="16"/>
      <c r="B2187" s="17"/>
      <c r="C2187" s="2" t="b">
        <v>0</v>
      </c>
      <c r="D2187" s="2"/>
      <c r="E2187" s="2"/>
      <c r="F2187" s="2"/>
      <c r="G2187" s="2"/>
      <c r="H2187" s="2"/>
      <c r="I2187" s="5"/>
    </row>
    <row r="2188" spans="1:9" ht="17.399999999999999" x14ac:dyDescent="0.25">
      <c r="A2188" s="16"/>
      <c r="B2188" s="17"/>
      <c r="C2188" s="2" t="b">
        <v>0</v>
      </c>
      <c r="D2188" s="2"/>
      <c r="E2188" s="2"/>
      <c r="F2188" s="2"/>
      <c r="G2188" s="2"/>
      <c r="H2188" s="2"/>
      <c r="I2188" s="5"/>
    </row>
    <row r="2189" spans="1:9" ht="17.399999999999999" x14ac:dyDescent="0.25">
      <c r="A2189" s="16"/>
      <c r="B2189" s="17"/>
      <c r="C2189" s="2" t="b">
        <v>0</v>
      </c>
      <c r="D2189" s="2"/>
      <c r="E2189" s="2"/>
      <c r="F2189" s="2"/>
      <c r="G2189" s="2"/>
      <c r="H2189" s="2"/>
      <c r="I2189" s="5"/>
    </row>
    <row r="2190" spans="1:9" ht="17.399999999999999" x14ac:dyDescent="0.25">
      <c r="A2190" s="16"/>
      <c r="B2190" s="17"/>
      <c r="C2190" s="2" t="b">
        <v>0</v>
      </c>
      <c r="D2190" s="2"/>
      <c r="E2190" s="2"/>
      <c r="F2190" s="2"/>
      <c r="G2190" s="2"/>
      <c r="H2190" s="2"/>
      <c r="I2190" s="5"/>
    </row>
    <row r="2191" spans="1:9" ht="17.399999999999999" x14ac:dyDescent="0.25">
      <c r="A2191" s="16"/>
      <c r="B2191" s="17"/>
      <c r="C2191" s="2" t="b">
        <v>0</v>
      </c>
      <c r="D2191" s="2"/>
      <c r="E2191" s="2"/>
      <c r="F2191" s="2"/>
      <c r="G2191" s="2"/>
      <c r="H2191" s="2"/>
      <c r="I2191" s="5"/>
    </row>
    <row r="2192" spans="1:9" ht="17.399999999999999" x14ac:dyDescent="0.25">
      <c r="A2192" s="16"/>
      <c r="B2192" s="17"/>
      <c r="C2192" s="2" t="b">
        <v>0</v>
      </c>
      <c r="D2192" s="2"/>
      <c r="E2192" s="2"/>
      <c r="F2192" s="2"/>
      <c r="G2192" s="2"/>
      <c r="H2192" s="2"/>
      <c r="I2192" s="5"/>
    </row>
    <row r="2193" spans="1:9" ht="17.399999999999999" x14ac:dyDescent="0.25">
      <c r="A2193" s="16"/>
      <c r="B2193" s="17"/>
      <c r="C2193" s="2" t="b">
        <v>0</v>
      </c>
      <c r="D2193" s="2"/>
      <c r="E2193" s="2"/>
      <c r="F2193" s="2"/>
      <c r="G2193" s="2"/>
      <c r="H2193" s="2"/>
      <c r="I2193" s="5"/>
    </row>
    <row r="2194" spans="1:9" ht="17.399999999999999" x14ac:dyDescent="0.25">
      <c r="A2194" s="16"/>
      <c r="B2194" s="17"/>
      <c r="C2194" s="2" t="b">
        <v>0</v>
      </c>
      <c r="D2194" s="2"/>
      <c r="E2194" s="2"/>
      <c r="F2194" s="2"/>
      <c r="G2194" s="2"/>
      <c r="H2194" s="2"/>
      <c r="I2194" s="5"/>
    </row>
    <row r="2195" spans="1:9" ht="17.399999999999999" x14ac:dyDescent="0.25">
      <c r="A2195" s="16"/>
      <c r="B2195" s="17"/>
      <c r="C2195" s="2" t="b">
        <v>0</v>
      </c>
      <c r="D2195" s="2"/>
      <c r="E2195" s="2"/>
      <c r="F2195" s="2"/>
      <c r="G2195" s="2"/>
      <c r="H2195" s="2"/>
      <c r="I2195" s="5"/>
    </row>
    <row r="2196" spans="1:9" ht="17.399999999999999" x14ac:dyDescent="0.25">
      <c r="A2196" s="16"/>
      <c r="B2196" s="17"/>
      <c r="C2196" s="2" t="b">
        <v>0</v>
      </c>
      <c r="D2196" s="2"/>
      <c r="E2196" s="2"/>
      <c r="F2196" s="2"/>
      <c r="G2196" s="2"/>
      <c r="H2196" s="2"/>
      <c r="I2196" s="5"/>
    </row>
    <row r="2197" spans="1:9" ht="17.399999999999999" x14ac:dyDescent="0.25">
      <c r="A2197" s="16"/>
      <c r="B2197" s="17"/>
      <c r="C2197" s="2" t="b">
        <v>0</v>
      </c>
      <c r="D2197" s="2"/>
      <c r="E2197" s="2"/>
      <c r="F2197" s="2"/>
      <c r="G2197" s="2"/>
      <c r="H2197" s="2"/>
      <c r="I2197" s="5"/>
    </row>
    <row r="2198" spans="1:9" ht="17.399999999999999" x14ac:dyDescent="0.25">
      <c r="A2198" s="16"/>
      <c r="B2198" s="17"/>
      <c r="C2198" s="2" t="b">
        <v>0</v>
      </c>
      <c r="D2198" s="2"/>
      <c r="E2198" s="2"/>
      <c r="F2198" s="2"/>
      <c r="G2198" s="2"/>
      <c r="H2198" s="2"/>
      <c r="I2198" s="5"/>
    </row>
    <row r="2199" spans="1:9" ht="17.399999999999999" x14ac:dyDescent="0.25">
      <c r="A2199" s="16"/>
      <c r="B2199" s="17"/>
      <c r="C2199" s="2" t="b">
        <v>0</v>
      </c>
      <c r="D2199" s="2"/>
      <c r="E2199" s="2"/>
      <c r="F2199" s="2"/>
      <c r="G2199" s="2"/>
      <c r="H2199" s="2"/>
      <c r="I2199" s="5"/>
    </row>
    <row r="2200" spans="1:9" ht="17.399999999999999" x14ac:dyDescent="0.25">
      <c r="A2200" s="16"/>
      <c r="B2200" s="17"/>
      <c r="C2200" s="2" t="b">
        <v>0</v>
      </c>
      <c r="D2200" s="2"/>
      <c r="E2200" s="2"/>
      <c r="F2200" s="2"/>
      <c r="G2200" s="2"/>
      <c r="H2200" s="2"/>
      <c r="I2200" s="5"/>
    </row>
    <row r="2201" spans="1:9" ht="17.399999999999999" x14ac:dyDescent="0.25">
      <c r="A2201" s="16"/>
      <c r="B2201" s="17"/>
      <c r="C2201" s="2" t="b">
        <v>0</v>
      </c>
      <c r="D2201" s="2"/>
      <c r="E2201" s="2"/>
      <c r="F2201" s="2"/>
      <c r="G2201" s="2"/>
      <c r="H2201" s="2"/>
      <c r="I2201" s="5"/>
    </row>
    <row r="2202" spans="1:9" ht="17.399999999999999" x14ac:dyDescent="0.25">
      <c r="A2202" s="16"/>
      <c r="B2202" s="17"/>
      <c r="C2202" s="2" t="b">
        <v>0</v>
      </c>
      <c r="D2202" s="2"/>
      <c r="E2202" s="2"/>
      <c r="F2202" s="2"/>
      <c r="G2202" s="2"/>
      <c r="H2202" s="2"/>
      <c r="I2202" s="5"/>
    </row>
    <row r="2203" spans="1:9" ht="17.399999999999999" x14ac:dyDescent="0.25">
      <c r="A2203" s="16"/>
      <c r="B2203" s="17"/>
      <c r="C2203" s="2" t="b">
        <v>0</v>
      </c>
      <c r="D2203" s="2"/>
      <c r="E2203" s="2"/>
      <c r="F2203" s="2"/>
      <c r="G2203" s="2"/>
      <c r="H2203" s="2"/>
      <c r="I2203" s="5"/>
    </row>
    <row r="2204" spans="1:9" ht="17.399999999999999" x14ac:dyDescent="0.25">
      <c r="A2204" s="16"/>
      <c r="B2204" s="17"/>
      <c r="C2204" s="2" t="b">
        <v>0</v>
      </c>
      <c r="D2204" s="2"/>
      <c r="E2204" s="2"/>
      <c r="F2204" s="2"/>
      <c r="G2204" s="2"/>
      <c r="H2204" s="2"/>
      <c r="I2204" s="5"/>
    </row>
    <row r="2205" spans="1:9" ht="17.399999999999999" x14ac:dyDescent="0.25">
      <c r="A2205" s="16"/>
      <c r="B2205" s="17"/>
      <c r="C2205" s="2" t="b">
        <v>0</v>
      </c>
      <c r="D2205" s="2"/>
      <c r="E2205" s="2"/>
      <c r="F2205" s="2"/>
      <c r="G2205" s="2"/>
      <c r="H2205" s="2"/>
      <c r="I2205" s="5"/>
    </row>
    <row r="2206" spans="1:9" ht="17.399999999999999" x14ac:dyDescent="0.25">
      <c r="A2206" s="16"/>
      <c r="B2206" s="17"/>
      <c r="C2206" s="2" t="b">
        <v>0</v>
      </c>
      <c r="D2206" s="2"/>
      <c r="E2206" s="2"/>
      <c r="F2206" s="2"/>
      <c r="G2206" s="2"/>
      <c r="H2206" s="2"/>
      <c r="I2206" s="5"/>
    </row>
    <row r="2207" spans="1:9" ht="17.399999999999999" x14ac:dyDescent="0.25">
      <c r="A2207" s="16"/>
      <c r="B2207" s="17"/>
      <c r="C2207" s="2" t="b">
        <v>0</v>
      </c>
      <c r="D2207" s="2"/>
      <c r="E2207" s="2"/>
      <c r="F2207" s="2"/>
      <c r="G2207" s="2"/>
      <c r="H2207" s="2"/>
      <c r="I2207" s="5"/>
    </row>
    <row r="2208" spans="1:9" ht="17.399999999999999" x14ac:dyDescent="0.25">
      <c r="A2208" s="16"/>
      <c r="B2208" s="17"/>
      <c r="C2208" s="2" t="b">
        <v>0</v>
      </c>
      <c r="D2208" s="2"/>
      <c r="E2208" s="2"/>
      <c r="F2208" s="2"/>
      <c r="G2208" s="2"/>
      <c r="H2208" s="2"/>
      <c r="I2208" s="5"/>
    </row>
    <row r="2209" spans="1:9" ht="17.399999999999999" x14ac:dyDescent="0.25">
      <c r="A2209" s="16"/>
      <c r="B2209" s="17"/>
      <c r="C2209" s="2" t="b">
        <v>0</v>
      </c>
      <c r="D2209" s="2"/>
      <c r="E2209" s="2"/>
      <c r="F2209" s="2"/>
      <c r="G2209" s="2"/>
      <c r="H2209" s="2"/>
      <c r="I2209" s="5"/>
    </row>
    <row r="2210" spans="1:9" ht="17.399999999999999" x14ac:dyDescent="0.25">
      <c r="A2210" s="16"/>
      <c r="B2210" s="17"/>
      <c r="C2210" s="2" t="b">
        <v>0</v>
      </c>
      <c r="D2210" s="2"/>
      <c r="E2210" s="2"/>
      <c r="F2210" s="2"/>
      <c r="G2210" s="2"/>
      <c r="H2210" s="2"/>
      <c r="I2210" s="5"/>
    </row>
    <row r="2211" spans="1:9" ht="17.399999999999999" x14ac:dyDescent="0.25">
      <c r="A2211" s="16"/>
      <c r="B2211" s="17"/>
      <c r="C2211" s="2" t="b">
        <v>0</v>
      </c>
      <c r="D2211" s="2"/>
      <c r="E2211" s="2"/>
      <c r="F2211" s="2"/>
      <c r="G2211" s="2"/>
      <c r="H2211" s="2"/>
      <c r="I2211" s="5"/>
    </row>
    <row r="2212" spans="1:9" ht="17.399999999999999" x14ac:dyDescent="0.25">
      <c r="A2212" s="16"/>
      <c r="B2212" s="17"/>
      <c r="C2212" s="2" t="b">
        <v>0</v>
      </c>
      <c r="D2212" s="2"/>
      <c r="E2212" s="2"/>
      <c r="F2212" s="2"/>
      <c r="G2212" s="2"/>
      <c r="H2212" s="2"/>
      <c r="I2212" s="5"/>
    </row>
    <row r="2213" spans="1:9" ht="17.399999999999999" x14ac:dyDescent="0.25">
      <c r="A2213" s="16"/>
      <c r="B2213" s="17"/>
      <c r="C2213" s="2" t="b">
        <v>0</v>
      </c>
      <c r="D2213" s="2"/>
      <c r="E2213" s="2"/>
      <c r="F2213" s="2"/>
      <c r="G2213" s="2"/>
      <c r="H2213" s="2"/>
      <c r="I2213" s="5"/>
    </row>
    <row r="2214" spans="1:9" ht="17.399999999999999" x14ac:dyDescent="0.25">
      <c r="A2214" s="16"/>
      <c r="B2214" s="17"/>
      <c r="C2214" s="2" t="b">
        <v>0</v>
      </c>
      <c r="D2214" s="2"/>
      <c r="E2214" s="2"/>
      <c r="F2214" s="2"/>
      <c r="G2214" s="2"/>
      <c r="H2214" s="2"/>
      <c r="I2214" s="5"/>
    </row>
    <row r="2215" spans="1:9" ht="17.399999999999999" x14ac:dyDescent="0.25">
      <c r="A2215" s="16"/>
      <c r="B2215" s="17"/>
      <c r="C2215" s="2" t="b">
        <v>0</v>
      </c>
      <c r="D2215" s="2"/>
      <c r="E2215" s="2"/>
      <c r="F2215" s="2"/>
      <c r="G2215" s="2"/>
      <c r="H2215" s="2"/>
      <c r="I2215" s="5"/>
    </row>
    <row r="2216" spans="1:9" ht="17.399999999999999" x14ac:dyDescent="0.25">
      <c r="A2216" s="16"/>
      <c r="B2216" s="17"/>
      <c r="C2216" s="2" t="b">
        <v>0</v>
      </c>
      <c r="D2216" s="2"/>
      <c r="E2216" s="2"/>
      <c r="F2216" s="2"/>
      <c r="G2216" s="2"/>
      <c r="H2216" s="2"/>
      <c r="I2216" s="5"/>
    </row>
    <row r="2217" spans="1:9" ht="17.399999999999999" x14ac:dyDescent="0.25">
      <c r="A2217" s="16"/>
      <c r="B2217" s="17"/>
      <c r="C2217" s="2" t="b">
        <v>0</v>
      </c>
      <c r="D2217" s="2"/>
      <c r="E2217" s="2"/>
      <c r="F2217" s="2"/>
      <c r="G2217" s="2"/>
      <c r="H2217" s="2"/>
      <c r="I2217" s="5"/>
    </row>
    <row r="2218" spans="1:9" ht="17.399999999999999" x14ac:dyDescent="0.25">
      <c r="A2218" s="16"/>
      <c r="B2218" s="17"/>
      <c r="C2218" s="2" t="b">
        <v>0</v>
      </c>
      <c r="D2218" s="2"/>
      <c r="E2218" s="2"/>
      <c r="F2218" s="2"/>
      <c r="G2218" s="2"/>
      <c r="H2218" s="2"/>
      <c r="I2218" s="5"/>
    </row>
    <row r="2219" spans="1:9" ht="17.399999999999999" x14ac:dyDescent="0.25">
      <c r="A2219" s="16"/>
      <c r="B2219" s="17"/>
      <c r="C2219" s="2" t="b">
        <v>0</v>
      </c>
      <c r="D2219" s="2"/>
      <c r="E2219" s="2"/>
      <c r="F2219" s="2"/>
      <c r="G2219" s="2"/>
      <c r="H2219" s="2"/>
      <c r="I2219" s="5"/>
    </row>
    <row r="2220" spans="1:9" ht="17.399999999999999" x14ac:dyDescent="0.25">
      <c r="A2220" s="16"/>
      <c r="B2220" s="17"/>
      <c r="C2220" s="2" t="b">
        <v>0</v>
      </c>
      <c r="D2220" s="2"/>
      <c r="E2220" s="2"/>
      <c r="F2220" s="2"/>
      <c r="G2220" s="2"/>
      <c r="H2220" s="2"/>
      <c r="I2220" s="5"/>
    </row>
    <row r="2221" spans="1:9" ht="17.399999999999999" x14ac:dyDescent="0.25">
      <c r="A2221" s="16"/>
      <c r="B2221" s="17"/>
      <c r="C2221" s="2" t="b">
        <v>0</v>
      </c>
      <c r="D2221" s="2"/>
      <c r="E2221" s="2"/>
      <c r="F2221" s="2"/>
      <c r="G2221" s="2"/>
      <c r="H2221" s="2"/>
      <c r="I2221" s="5"/>
    </row>
    <row r="2222" spans="1:9" ht="17.399999999999999" x14ac:dyDescent="0.25">
      <c r="A2222" s="16"/>
      <c r="B2222" s="17"/>
      <c r="C2222" s="2" t="b">
        <v>0</v>
      </c>
      <c r="D2222" s="2"/>
      <c r="E2222" s="2"/>
      <c r="F2222" s="2"/>
      <c r="G2222" s="2"/>
      <c r="H2222" s="2"/>
      <c r="I2222" s="5"/>
    </row>
    <row r="2223" spans="1:9" ht="17.399999999999999" x14ac:dyDescent="0.25">
      <c r="A2223" s="16"/>
      <c r="B2223" s="17"/>
      <c r="C2223" s="2" t="b">
        <v>0</v>
      </c>
      <c r="D2223" s="2"/>
      <c r="E2223" s="2"/>
      <c r="F2223" s="2"/>
      <c r="G2223" s="2"/>
      <c r="H2223" s="2"/>
      <c r="I2223" s="5"/>
    </row>
    <row r="2224" spans="1:9" ht="17.399999999999999" x14ac:dyDescent="0.25">
      <c r="A2224" s="16"/>
      <c r="B2224" s="17"/>
      <c r="C2224" s="2" t="b">
        <v>0</v>
      </c>
      <c r="D2224" s="2"/>
      <c r="E2224" s="2"/>
      <c r="F2224" s="2"/>
      <c r="G2224" s="2"/>
      <c r="H2224" s="2"/>
      <c r="I2224" s="5"/>
    </row>
    <row r="2225" spans="1:9" ht="17.399999999999999" x14ac:dyDescent="0.25">
      <c r="A2225" s="16"/>
      <c r="B2225" s="17"/>
      <c r="C2225" s="2" t="b">
        <v>0</v>
      </c>
      <c r="D2225" s="2"/>
      <c r="E2225" s="2"/>
      <c r="F2225" s="2"/>
      <c r="G2225" s="2"/>
      <c r="H2225" s="2"/>
      <c r="I2225" s="5"/>
    </row>
    <row r="2226" spans="1:9" ht="17.399999999999999" x14ac:dyDescent="0.25">
      <c r="A2226" s="16"/>
      <c r="B2226" s="17"/>
      <c r="C2226" s="2" t="b">
        <v>0</v>
      </c>
      <c r="D2226" s="2"/>
      <c r="E2226" s="2"/>
      <c r="F2226" s="2"/>
      <c r="G2226" s="2"/>
      <c r="H2226" s="2"/>
      <c r="I2226" s="5"/>
    </row>
    <row r="2227" spans="1:9" ht="17.399999999999999" x14ac:dyDescent="0.25">
      <c r="A2227" s="16"/>
      <c r="B2227" s="17"/>
      <c r="C2227" s="2" t="b">
        <v>0</v>
      </c>
      <c r="D2227" s="2"/>
      <c r="E2227" s="2"/>
      <c r="F2227" s="2"/>
      <c r="G2227" s="2"/>
      <c r="H2227" s="2"/>
      <c r="I2227" s="5"/>
    </row>
    <row r="2228" spans="1:9" ht="17.399999999999999" x14ac:dyDescent="0.25">
      <c r="A2228" s="16"/>
      <c r="B2228" s="17"/>
      <c r="C2228" s="2" t="b">
        <v>0</v>
      </c>
      <c r="D2228" s="2"/>
      <c r="E2228" s="2"/>
      <c r="F2228" s="2"/>
      <c r="G2228" s="2"/>
      <c r="H2228" s="2"/>
      <c r="I2228" s="5"/>
    </row>
    <row r="2229" spans="1:9" ht="17.399999999999999" x14ac:dyDescent="0.25">
      <c r="A2229" s="16"/>
      <c r="B2229" s="17"/>
      <c r="C2229" s="2" t="b">
        <v>0</v>
      </c>
      <c r="D2229" s="2"/>
      <c r="E2229" s="2"/>
      <c r="F2229" s="2"/>
      <c r="G2229" s="2"/>
      <c r="H2229" s="2"/>
      <c r="I2229" s="5"/>
    </row>
    <row r="2230" spans="1:9" ht="17.399999999999999" x14ac:dyDescent="0.25">
      <c r="A2230" s="16"/>
      <c r="B2230" s="17"/>
      <c r="C2230" s="2" t="b">
        <v>0</v>
      </c>
      <c r="D2230" s="2"/>
      <c r="E2230" s="2"/>
      <c r="F2230" s="2"/>
      <c r="G2230" s="2"/>
      <c r="H2230" s="2"/>
      <c r="I2230" s="5"/>
    </row>
    <row r="2231" spans="1:9" ht="17.399999999999999" x14ac:dyDescent="0.25">
      <c r="A2231" s="16"/>
      <c r="B2231" s="17"/>
      <c r="C2231" s="2" t="b">
        <v>0</v>
      </c>
      <c r="D2231" s="2"/>
      <c r="E2231" s="2"/>
      <c r="F2231" s="2"/>
      <c r="G2231" s="2"/>
      <c r="H2231" s="2"/>
      <c r="I2231" s="5"/>
    </row>
    <row r="2232" spans="1:9" ht="17.399999999999999" x14ac:dyDescent="0.25">
      <c r="A2232" s="16"/>
      <c r="B2232" s="17"/>
      <c r="C2232" s="2" t="b">
        <v>0</v>
      </c>
      <c r="D2232" s="2"/>
      <c r="E2232" s="2"/>
      <c r="F2232" s="2"/>
      <c r="G2232" s="2"/>
      <c r="H2232" s="2"/>
      <c r="I2232" s="5"/>
    </row>
    <row r="2233" spans="1:9" ht="17.399999999999999" x14ac:dyDescent="0.25">
      <c r="A2233" s="16"/>
      <c r="B2233" s="17"/>
      <c r="C2233" s="2" t="b">
        <v>0</v>
      </c>
      <c r="D2233" s="2"/>
      <c r="E2233" s="2"/>
      <c r="F2233" s="2"/>
      <c r="G2233" s="2"/>
      <c r="H2233" s="2"/>
      <c r="I2233" s="5"/>
    </row>
    <row r="2234" spans="1:9" ht="17.399999999999999" x14ac:dyDescent="0.25">
      <c r="A2234" s="16"/>
      <c r="B2234" s="17"/>
      <c r="C2234" s="2" t="b">
        <v>0</v>
      </c>
      <c r="D2234" s="2"/>
      <c r="E2234" s="2"/>
      <c r="F2234" s="2"/>
      <c r="G2234" s="2"/>
      <c r="H2234" s="2"/>
      <c r="I2234" s="5"/>
    </row>
    <row r="2235" spans="1:9" ht="17.399999999999999" x14ac:dyDescent="0.25">
      <c r="A2235" s="16"/>
      <c r="B2235" s="17"/>
      <c r="C2235" s="2" t="b">
        <v>0</v>
      </c>
      <c r="D2235" s="2"/>
      <c r="E2235" s="2"/>
      <c r="F2235" s="2"/>
      <c r="G2235" s="2"/>
      <c r="H2235" s="2"/>
      <c r="I2235" s="5"/>
    </row>
    <row r="2236" spans="1:9" ht="17.399999999999999" x14ac:dyDescent="0.25">
      <c r="A2236" s="16"/>
      <c r="B2236" s="17"/>
      <c r="C2236" s="2" t="b">
        <v>0</v>
      </c>
      <c r="D2236" s="2"/>
      <c r="E2236" s="2"/>
      <c r="F2236" s="2"/>
      <c r="G2236" s="2"/>
      <c r="H2236" s="2"/>
      <c r="I2236" s="5"/>
    </row>
    <row r="2237" spans="1:9" ht="17.399999999999999" x14ac:dyDescent="0.25">
      <c r="A2237" s="16"/>
      <c r="B2237" s="17"/>
      <c r="C2237" s="2" t="b">
        <v>0</v>
      </c>
      <c r="D2237" s="2"/>
      <c r="E2237" s="2"/>
      <c r="F2237" s="2"/>
      <c r="G2237" s="2"/>
      <c r="H2237" s="2"/>
      <c r="I2237" s="5"/>
    </row>
    <row r="2238" spans="1:9" ht="17.399999999999999" x14ac:dyDescent="0.25">
      <c r="A2238" s="16"/>
      <c r="B2238" s="17"/>
      <c r="C2238" s="2" t="b">
        <v>0</v>
      </c>
      <c r="D2238" s="2"/>
      <c r="E2238" s="2"/>
      <c r="F2238" s="2"/>
      <c r="G2238" s="2"/>
      <c r="H2238" s="2"/>
      <c r="I2238" s="5"/>
    </row>
    <row r="2239" spans="1:9" ht="17.399999999999999" x14ac:dyDescent="0.25">
      <c r="A2239" s="16"/>
      <c r="B2239" s="17"/>
      <c r="C2239" s="2" t="b">
        <v>0</v>
      </c>
      <c r="D2239" s="2"/>
      <c r="E2239" s="2"/>
      <c r="F2239" s="2"/>
      <c r="G2239" s="2"/>
      <c r="H2239" s="2"/>
      <c r="I2239" s="5"/>
    </row>
    <row r="2240" spans="1:9" ht="17.399999999999999" x14ac:dyDescent="0.25">
      <c r="A2240" s="16"/>
      <c r="B2240" s="17"/>
      <c r="C2240" s="2" t="b">
        <v>0</v>
      </c>
      <c r="D2240" s="2"/>
      <c r="E2240" s="2"/>
      <c r="F2240" s="2"/>
      <c r="G2240" s="2"/>
      <c r="H2240" s="2"/>
      <c r="I2240" s="5"/>
    </row>
    <row r="2241" spans="1:9" ht="17.399999999999999" x14ac:dyDescent="0.25">
      <c r="A2241" s="16"/>
      <c r="B2241" s="17"/>
      <c r="C2241" s="2" t="b">
        <v>0</v>
      </c>
      <c r="D2241" s="2"/>
      <c r="E2241" s="2"/>
      <c r="F2241" s="2"/>
      <c r="G2241" s="2"/>
      <c r="H2241" s="2"/>
      <c r="I2241" s="5"/>
    </row>
    <row r="2242" spans="1:9" ht="17.399999999999999" x14ac:dyDescent="0.25">
      <c r="A2242" s="16"/>
      <c r="B2242" s="17"/>
      <c r="C2242" s="2" t="b">
        <v>0</v>
      </c>
      <c r="D2242" s="2"/>
      <c r="E2242" s="2"/>
      <c r="F2242" s="2"/>
      <c r="G2242" s="2"/>
      <c r="H2242" s="2"/>
      <c r="I2242" s="5"/>
    </row>
    <row r="2243" spans="1:9" ht="17.399999999999999" x14ac:dyDescent="0.25">
      <c r="A2243" s="16"/>
      <c r="B2243" s="17"/>
      <c r="C2243" s="2" t="b">
        <v>0</v>
      </c>
      <c r="D2243" s="2"/>
      <c r="E2243" s="2"/>
      <c r="F2243" s="2"/>
      <c r="G2243" s="2"/>
      <c r="H2243" s="2"/>
      <c r="I2243" s="5"/>
    </row>
    <row r="2244" spans="1:9" ht="17.399999999999999" x14ac:dyDescent="0.25">
      <c r="A2244" s="16"/>
      <c r="B2244" s="17"/>
      <c r="C2244" s="2" t="b">
        <v>0</v>
      </c>
      <c r="D2244" s="2"/>
      <c r="E2244" s="2"/>
      <c r="F2244" s="2"/>
      <c r="G2244" s="2"/>
      <c r="H2244" s="2"/>
      <c r="I2244" s="5"/>
    </row>
    <row r="2245" spans="1:9" ht="17.399999999999999" x14ac:dyDescent="0.25">
      <c r="A2245" s="16"/>
      <c r="B2245" s="17"/>
      <c r="C2245" s="2" t="b">
        <v>0</v>
      </c>
      <c r="D2245" s="2"/>
      <c r="E2245" s="2"/>
      <c r="F2245" s="2"/>
      <c r="G2245" s="2"/>
      <c r="H2245" s="2"/>
      <c r="I2245" s="5"/>
    </row>
    <row r="2246" spans="1:9" ht="17.399999999999999" x14ac:dyDescent="0.25">
      <c r="A2246" s="16"/>
      <c r="B2246" s="17"/>
      <c r="C2246" s="2" t="b">
        <v>0</v>
      </c>
      <c r="D2246" s="2"/>
      <c r="E2246" s="2"/>
      <c r="F2246" s="2"/>
      <c r="G2246" s="2"/>
      <c r="H2246" s="2"/>
      <c r="I2246" s="5"/>
    </row>
    <row r="2247" spans="1:9" ht="17.399999999999999" x14ac:dyDescent="0.25">
      <c r="A2247" s="16"/>
      <c r="B2247" s="17"/>
      <c r="C2247" s="2" t="b">
        <v>0</v>
      </c>
      <c r="D2247" s="2"/>
      <c r="E2247" s="2"/>
      <c r="F2247" s="2"/>
      <c r="G2247" s="2"/>
      <c r="H2247" s="2"/>
      <c r="I2247" s="5"/>
    </row>
    <row r="2248" spans="1:9" ht="17.399999999999999" x14ac:dyDescent="0.25">
      <c r="A2248" s="16"/>
      <c r="B2248" s="17"/>
      <c r="C2248" s="2" t="b">
        <v>0</v>
      </c>
      <c r="D2248" s="2"/>
      <c r="E2248" s="2"/>
      <c r="F2248" s="2"/>
      <c r="G2248" s="2"/>
      <c r="H2248" s="2"/>
      <c r="I2248" s="5"/>
    </row>
    <row r="2249" spans="1:9" ht="17.399999999999999" x14ac:dyDescent="0.25">
      <c r="A2249" s="16"/>
      <c r="B2249" s="17"/>
      <c r="C2249" s="2" t="b">
        <v>0</v>
      </c>
      <c r="D2249" s="2"/>
      <c r="E2249" s="2"/>
      <c r="F2249" s="2"/>
      <c r="G2249" s="2"/>
      <c r="H2249" s="2"/>
      <c r="I2249" s="5"/>
    </row>
    <row r="2250" spans="1:9" ht="17.399999999999999" x14ac:dyDescent="0.25">
      <c r="A2250" s="16"/>
      <c r="B2250" s="17"/>
      <c r="C2250" s="2" t="b">
        <v>0</v>
      </c>
      <c r="D2250" s="2"/>
      <c r="E2250" s="2"/>
      <c r="F2250" s="2"/>
      <c r="G2250" s="2"/>
      <c r="H2250" s="2"/>
      <c r="I2250" s="5"/>
    </row>
    <row r="2251" spans="1:9" ht="17.399999999999999" x14ac:dyDescent="0.25">
      <c r="A2251" s="16"/>
      <c r="B2251" s="17"/>
      <c r="C2251" s="2" t="b">
        <v>0</v>
      </c>
      <c r="D2251" s="2"/>
      <c r="E2251" s="2"/>
      <c r="F2251" s="2"/>
      <c r="G2251" s="2"/>
      <c r="H2251" s="2"/>
      <c r="I2251" s="5"/>
    </row>
    <row r="2252" spans="1:9" ht="17.399999999999999" x14ac:dyDescent="0.25">
      <c r="A2252" s="16"/>
      <c r="B2252" s="17"/>
      <c r="C2252" s="2" t="b">
        <v>0</v>
      </c>
      <c r="D2252" s="2"/>
      <c r="E2252" s="2"/>
      <c r="F2252" s="2"/>
      <c r="G2252" s="2"/>
      <c r="H2252" s="2"/>
      <c r="I2252" s="5"/>
    </row>
    <row r="2253" spans="1:9" ht="17.399999999999999" x14ac:dyDescent="0.25">
      <c r="A2253" s="16"/>
      <c r="B2253" s="17"/>
      <c r="C2253" s="2" t="b">
        <v>0</v>
      </c>
      <c r="D2253" s="2"/>
      <c r="E2253" s="2"/>
      <c r="F2253" s="2"/>
      <c r="G2253" s="2"/>
      <c r="H2253" s="2"/>
      <c r="I2253" s="5"/>
    </row>
    <row r="2254" spans="1:9" ht="17.399999999999999" x14ac:dyDescent="0.25">
      <c r="A2254" s="16"/>
      <c r="B2254" s="17"/>
      <c r="C2254" s="2" t="b">
        <v>0</v>
      </c>
      <c r="D2254" s="2"/>
      <c r="E2254" s="2"/>
      <c r="F2254" s="2"/>
      <c r="G2254" s="2"/>
      <c r="H2254" s="2"/>
      <c r="I2254" s="5"/>
    </row>
    <row r="2255" spans="1:9" ht="17.399999999999999" x14ac:dyDescent="0.25">
      <c r="A2255" s="16"/>
      <c r="B2255" s="17"/>
      <c r="C2255" s="2" t="b">
        <v>0</v>
      </c>
      <c r="D2255" s="2"/>
      <c r="E2255" s="2"/>
      <c r="F2255" s="2"/>
      <c r="G2255" s="2"/>
      <c r="H2255" s="2"/>
      <c r="I2255" s="5"/>
    </row>
    <row r="2256" spans="1:9" ht="17.399999999999999" x14ac:dyDescent="0.25">
      <c r="A2256" s="16"/>
      <c r="B2256" s="17"/>
      <c r="C2256" s="2" t="b">
        <v>0</v>
      </c>
      <c r="D2256" s="2"/>
      <c r="E2256" s="2"/>
      <c r="F2256" s="2"/>
      <c r="G2256" s="2"/>
      <c r="H2256" s="2"/>
      <c r="I2256" s="5"/>
    </row>
    <row r="2257" spans="1:9" ht="17.399999999999999" x14ac:dyDescent="0.25">
      <c r="A2257" s="16"/>
      <c r="B2257" s="17"/>
      <c r="C2257" s="2" t="b">
        <v>0</v>
      </c>
      <c r="D2257" s="2"/>
      <c r="E2257" s="2"/>
      <c r="F2257" s="2"/>
      <c r="G2257" s="2"/>
      <c r="H2257" s="2"/>
      <c r="I2257" s="5"/>
    </row>
    <row r="2258" spans="1:9" ht="17.399999999999999" x14ac:dyDescent="0.25">
      <c r="A2258" s="16"/>
      <c r="B2258" s="17"/>
      <c r="C2258" s="2" t="b">
        <v>0</v>
      </c>
      <c r="D2258" s="2"/>
      <c r="E2258" s="2"/>
      <c r="F2258" s="2"/>
      <c r="G2258" s="2"/>
      <c r="H2258" s="2"/>
      <c r="I2258" s="5"/>
    </row>
    <row r="2259" spans="1:9" ht="17.399999999999999" x14ac:dyDescent="0.25">
      <c r="A2259" s="16"/>
      <c r="B2259" s="17"/>
      <c r="C2259" s="2" t="b">
        <v>0</v>
      </c>
      <c r="D2259" s="2"/>
      <c r="E2259" s="2"/>
      <c r="F2259" s="2"/>
      <c r="G2259" s="2"/>
      <c r="H2259" s="2"/>
      <c r="I2259" s="5"/>
    </row>
    <row r="2260" spans="1:9" ht="17.399999999999999" x14ac:dyDescent="0.25">
      <c r="A2260" s="16"/>
      <c r="B2260" s="17"/>
      <c r="C2260" s="2" t="b">
        <v>0</v>
      </c>
      <c r="D2260" s="2"/>
      <c r="E2260" s="2"/>
      <c r="F2260" s="2"/>
      <c r="G2260" s="2"/>
      <c r="H2260" s="2"/>
      <c r="I2260" s="5"/>
    </row>
    <row r="2261" spans="1:9" ht="17.399999999999999" x14ac:dyDescent="0.25">
      <c r="A2261" s="16"/>
      <c r="B2261" s="17"/>
      <c r="C2261" s="2" t="b">
        <v>0</v>
      </c>
      <c r="D2261" s="2"/>
      <c r="E2261" s="2"/>
      <c r="F2261" s="2"/>
      <c r="G2261" s="2"/>
      <c r="H2261" s="2"/>
      <c r="I2261" s="5"/>
    </row>
    <row r="2262" spans="1:9" ht="17.399999999999999" x14ac:dyDescent="0.25">
      <c r="A2262" s="16"/>
      <c r="B2262" s="17"/>
      <c r="C2262" s="2" t="b">
        <v>0</v>
      </c>
      <c r="D2262" s="2"/>
      <c r="E2262" s="2"/>
      <c r="F2262" s="2"/>
      <c r="G2262" s="2"/>
      <c r="H2262" s="2"/>
      <c r="I2262" s="5"/>
    </row>
    <row r="2263" spans="1:9" ht="17.399999999999999" x14ac:dyDescent="0.25">
      <c r="A2263" s="16"/>
      <c r="B2263" s="17"/>
      <c r="C2263" s="2" t="b">
        <v>0</v>
      </c>
      <c r="D2263" s="2"/>
      <c r="E2263" s="2"/>
      <c r="F2263" s="2"/>
      <c r="G2263" s="2"/>
      <c r="H2263" s="2"/>
      <c r="I2263" s="5"/>
    </row>
    <row r="2264" spans="1:9" ht="17.399999999999999" x14ac:dyDescent="0.25">
      <c r="A2264" s="16"/>
      <c r="B2264" s="17"/>
      <c r="C2264" s="2" t="b">
        <v>0</v>
      </c>
      <c r="D2264" s="2"/>
      <c r="E2264" s="2"/>
      <c r="F2264" s="2"/>
      <c r="G2264" s="2"/>
      <c r="H2264" s="2"/>
      <c r="I2264" s="5"/>
    </row>
    <row r="2265" spans="1:9" ht="17.399999999999999" x14ac:dyDescent="0.25">
      <c r="A2265" s="16"/>
      <c r="B2265" s="17"/>
      <c r="C2265" s="2" t="b">
        <v>0</v>
      </c>
      <c r="D2265" s="2"/>
      <c r="E2265" s="2"/>
      <c r="F2265" s="2"/>
      <c r="G2265" s="2"/>
      <c r="H2265" s="2"/>
      <c r="I2265" s="5"/>
    </row>
    <row r="2266" spans="1:9" ht="17.399999999999999" x14ac:dyDescent="0.25">
      <c r="A2266" s="16"/>
      <c r="B2266" s="17"/>
      <c r="C2266" s="2" t="b">
        <v>0</v>
      </c>
      <c r="D2266" s="2"/>
      <c r="E2266" s="2"/>
      <c r="F2266" s="2"/>
      <c r="G2266" s="2"/>
      <c r="H2266" s="2"/>
      <c r="I2266" s="5"/>
    </row>
    <row r="2267" spans="1:9" ht="17.399999999999999" x14ac:dyDescent="0.25">
      <c r="A2267" s="16"/>
      <c r="B2267" s="17"/>
      <c r="C2267" s="2" t="b">
        <v>0</v>
      </c>
      <c r="D2267" s="2"/>
      <c r="E2267" s="2"/>
      <c r="F2267" s="2"/>
      <c r="G2267" s="2"/>
      <c r="H2267" s="2"/>
      <c r="I2267" s="5"/>
    </row>
    <row r="2268" spans="1:9" ht="17.399999999999999" x14ac:dyDescent="0.25">
      <c r="A2268" s="16"/>
      <c r="B2268" s="17"/>
      <c r="C2268" s="2" t="b">
        <v>0</v>
      </c>
      <c r="D2268" s="2"/>
      <c r="E2268" s="2"/>
      <c r="F2268" s="2"/>
      <c r="G2268" s="2"/>
      <c r="H2268" s="2"/>
      <c r="I2268" s="5"/>
    </row>
    <row r="2269" spans="1:9" ht="17.399999999999999" x14ac:dyDescent="0.25">
      <c r="A2269" s="16"/>
      <c r="B2269" s="17"/>
      <c r="C2269" s="2" t="b">
        <v>0</v>
      </c>
      <c r="D2269" s="2"/>
      <c r="E2269" s="2"/>
      <c r="F2269" s="2"/>
      <c r="G2269" s="2"/>
      <c r="H2269" s="2"/>
      <c r="I2269" s="5"/>
    </row>
    <row r="2270" spans="1:9" ht="17.399999999999999" x14ac:dyDescent="0.25">
      <c r="A2270" s="16"/>
      <c r="B2270" s="17"/>
      <c r="C2270" s="2" t="b">
        <v>0</v>
      </c>
      <c r="D2270" s="2"/>
      <c r="E2270" s="2"/>
      <c r="F2270" s="2"/>
      <c r="G2270" s="2"/>
      <c r="H2270" s="2"/>
      <c r="I2270" s="5"/>
    </row>
    <row r="2271" spans="1:9" ht="17.399999999999999" x14ac:dyDescent="0.25">
      <c r="A2271" s="16"/>
      <c r="B2271" s="17"/>
      <c r="C2271" s="2" t="b">
        <v>0</v>
      </c>
      <c r="D2271" s="2"/>
      <c r="E2271" s="2"/>
      <c r="F2271" s="2"/>
      <c r="G2271" s="2"/>
      <c r="H2271" s="2"/>
      <c r="I2271" s="5"/>
    </row>
    <row r="2272" spans="1:9" ht="17.399999999999999" x14ac:dyDescent="0.25">
      <c r="A2272" s="16"/>
      <c r="B2272" s="17"/>
      <c r="C2272" s="2" t="b">
        <v>0</v>
      </c>
      <c r="D2272" s="2"/>
      <c r="E2272" s="2"/>
      <c r="F2272" s="2"/>
      <c r="G2272" s="2"/>
      <c r="H2272" s="2"/>
      <c r="I2272" s="5"/>
    </row>
    <row r="2273" spans="1:9" ht="17.399999999999999" x14ac:dyDescent="0.25">
      <c r="A2273" s="16"/>
      <c r="B2273" s="17"/>
      <c r="C2273" s="2" t="b">
        <v>0</v>
      </c>
      <c r="D2273" s="2"/>
      <c r="E2273" s="2"/>
      <c r="F2273" s="2"/>
      <c r="G2273" s="2"/>
      <c r="H2273" s="2"/>
      <c r="I2273" s="5"/>
    </row>
    <row r="2274" spans="1:9" ht="17.399999999999999" x14ac:dyDescent="0.25">
      <c r="A2274" s="16"/>
      <c r="B2274" s="17"/>
      <c r="C2274" s="2" t="b">
        <v>0</v>
      </c>
      <c r="D2274" s="2"/>
      <c r="E2274" s="2"/>
      <c r="F2274" s="2"/>
      <c r="G2274" s="2"/>
      <c r="H2274" s="2"/>
      <c r="I2274" s="5"/>
    </row>
    <row r="2275" spans="1:9" ht="17.399999999999999" x14ac:dyDescent="0.25">
      <c r="A2275" s="16"/>
      <c r="B2275" s="17"/>
      <c r="C2275" s="2" t="b">
        <v>0</v>
      </c>
      <c r="D2275" s="2"/>
      <c r="E2275" s="2"/>
      <c r="F2275" s="2"/>
      <c r="G2275" s="2"/>
      <c r="H2275" s="2"/>
      <c r="I2275" s="5"/>
    </row>
    <row r="2276" spans="1:9" ht="17.399999999999999" x14ac:dyDescent="0.25">
      <c r="A2276" s="16"/>
      <c r="B2276" s="17"/>
      <c r="C2276" s="2" t="b">
        <v>0</v>
      </c>
      <c r="D2276" s="2"/>
      <c r="E2276" s="2"/>
      <c r="F2276" s="2"/>
      <c r="G2276" s="2"/>
      <c r="H2276" s="2"/>
      <c r="I2276" s="5"/>
    </row>
    <row r="2277" spans="1:9" ht="17.399999999999999" x14ac:dyDescent="0.25">
      <c r="A2277" s="16"/>
      <c r="B2277" s="17"/>
      <c r="C2277" s="2" t="b">
        <v>0</v>
      </c>
      <c r="D2277" s="2"/>
      <c r="E2277" s="2"/>
      <c r="F2277" s="2"/>
      <c r="G2277" s="2"/>
      <c r="H2277" s="2"/>
      <c r="I2277" s="5"/>
    </row>
    <row r="2278" spans="1:9" ht="17.399999999999999" x14ac:dyDescent="0.25">
      <c r="A2278" s="16"/>
      <c r="B2278" s="17"/>
      <c r="C2278" s="2" t="b">
        <v>0</v>
      </c>
      <c r="D2278" s="2"/>
      <c r="E2278" s="2"/>
      <c r="F2278" s="2"/>
      <c r="G2278" s="2"/>
      <c r="H2278" s="2"/>
      <c r="I2278" s="5"/>
    </row>
    <row r="2279" spans="1:9" ht="17.399999999999999" x14ac:dyDescent="0.25">
      <c r="A2279" s="16"/>
      <c r="B2279" s="17"/>
      <c r="C2279" s="2" t="b">
        <v>0</v>
      </c>
      <c r="D2279" s="2"/>
      <c r="E2279" s="2"/>
      <c r="F2279" s="2"/>
      <c r="G2279" s="2"/>
      <c r="H2279" s="2"/>
      <c r="I2279" s="5"/>
    </row>
    <row r="2280" spans="1:9" ht="17.399999999999999" x14ac:dyDescent="0.25">
      <c r="A2280" s="16"/>
      <c r="B2280" s="17"/>
      <c r="C2280" s="2" t="b">
        <v>0</v>
      </c>
      <c r="D2280" s="2"/>
      <c r="E2280" s="2"/>
      <c r="F2280" s="2"/>
      <c r="G2280" s="2"/>
      <c r="H2280" s="2"/>
      <c r="I2280" s="5"/>
    </row>
    <row r="2281" spans="1:9" ht="17.399999999999999" x14ac:dyDescent="0.25">
      <c r="A2281" s="16"/>
      <c r="B2281" s="17"/>
      <c r="C2281" s="2" t="b">
        <v>0</v>
      </c>
      <c r="D2281" s="2"/>
      <c r="E2281" s="2"/>
      <c r="F2281" s="2"/>
      <c r="G2281" s="2"/>
      <c r="H2281" s="2"/>
      <c r="I2281" s="5"/>
    </row>
    <row r="2282" spans="1:9" ht="17.399999999999999" x14ac:dyDescent="0.25">
      <c r="A2282" s="16"/>
      <c r="B2282" s="17"/>
      <c r="C2282" s="2" t="b">
        <v>0</v>
      </c>
      <c r="D2282" s="2"/>
      <c r="E2282" s="2"/>
      <c r="F2282" s="2"/>
      <c r="G2282" s="2"/>
      <c r="H2282" s="2"/>
      <c r="I2282" s="5"/>
    </row>
    <row r="2283" spans="1:9" ht="17.399999999999999" x14ac:dyDescent="0.25">
      <c r="A2283" s="16"/>
      <c r="B2283" s="17"/>
      <c r="C2283" s="2" t="b">
        <v>0</v>
      </c>
      <c r="D2283" s="2"/>
      <c r="E2283" s="2"/>
      <c r="F2283" s="2"/>
      <c r="G2283" s="2"/>
      <c r="H2283" s="2"/>
      <c r="I2283" s="5"/>
    </row>
    <row r="2284" spans="1:9" ht="17.399999999999999" x14ac:dyDescent="0.25">
      <c r="A2284" s="16"/>
      <c r="B2284" s="17"/>
      <c r="C2284" s="2" t="b">
        <v>0</v>
      </c>
      <c r="D2284" s="2"/>
      <c r="E2284" s="2"/>
      <c r="F2284" s="2"/>
      <c r="G2284" s="2"/>
      <c r="H2284" s="2"/>
      <c r="I2284" s="5"/>
    </row>
    <row r="2285" spans="1:9" ht="17.399999999999999" x14ac:dyDescent="0.25">
      <c r="A2285" s="16"/>
      <c r="B2285" s="17"/>
      <c r="C2285" s="2" t="b">
        <v>0</v>
      </c>
      <c r="D2285" s="2"/>
      <c r="E2285" s="2"/>
      <c r="F2285" s="2"/>
      <c r="G2285" s="2"/>
      <c r="H2285" s="2"/>
      <c r="I2285" s="5"/>
    </row>
    <row r="2286" spans="1:9" ht="17.399999999999999" x14ac:dyDescent="0.25">
      <c r="A2286" s="16"/>
      <c r="B2286" s="17"/>
      <c r="C2286" s="2" t="b">
        <v>0</v>
      </c>
      <c r="D2286" s="2"/>
      <c r="E2286" s="2"/>
      <c r="F2286" s="2"/>
      <c r="G2286" s="2"/>
      <c r="H2286" s="2"/>
      <c r="I2286" s="5"/>
    </row>
    <row r="2287" spans="1:9" ht="17.399999999999999" x14ac:dyDescent="0.25">
      <c r="A2287" s="16"/>
      <c r="B2287" s="17"/>
      <c r="C2287" s="2" t="b">
        <v>0</v>
      </c>
      <c r="D2287" s="2"/>
      <c r="E2287" s="2"/>
      <c r="F2287" s="2"/>
      <c r="G2287" s="2"/>
      <c r="H2287" s="2"/>
      <c r="I2287" s="5"/>
    </row>
    <row r="2288" spans="1:9" ht="17.399999999999999" x14ac:dyDescent="0.25">
      <c r="A2288" s="16"/>
      <c r="B2288" s="17"/>
      <c r="C2288" s="2" t="b">
        <v>0</v>
      </c>
      <c r="D2288" s="2"/>
      <c r="E2288" s="2"/>
      <c r="F2288" s="2"/>
      <c r="G2288" s="2"/>
      <c r="H2288" s="2"/>
      <c r="I2288" s="5"/>
    </row>
    <row r="2289" spans="1:9" ht="17.399999999999999" x14ac:dyDescent="0.25">
      <c r="A2289" s="16"/>
      <c r="B2289" s="17"/>
      <c r="C2289" s="2" t="b">
        <v>0</v>
      </c>
      <c r="D2289" s="2"/>
      <c r="E2289" s="2"/>
      <c r="F2289" s="2"/>
      <c r="G2289" s="2"/>
      <c r="H2289" s="2"/>
      <c r="I2289" s="5"/>
    </row>
    <row r="2290" spans="1:9" ht="17.399999999999999" x14ac:dyDescent="0.25">
      <c r="A2290" s="16"/>
      <c r="B2290" s="17"/>
      <c r="C2290" s="2" t="b">
        <v>0</v>
      </c>
      <c r="D2290" s="2"/>
      <c r="E2290" s="2"/>
      <c r="F2290" s="2"/>
      <c r="G2290" s="2"/>
      <c r="H2290" s="2"/>
      <c r="I2290" s="5"/>
    </row>
    <row r="2291" spans="1:9" ht="17.399999999999999" x14ac:dyDescent="0.25">
      <c r="A2291" s="16"/>
      <c r="B2291" s="17"/>
      <c r="C2291" s="2" t="b">
        <v>0</v>
      </c>
      <c r="D2291" s="2"/>
      <c r="E2291" s="2"/>
      <c r="F2291" s="2"/>
      <c r="G2291" s="2"/>
      <c r="H2291" s="2"/>
      <c r="I2291" s="5"/>
    </row>
    <row r="2292" spans="1:9" ht="17.399999999999999" x14ac:dyDescent="0.25">
      <c r="A2292" s="16"/>
      <c r="B2292" s="17"/>
      <c r="C2292" s="2" t="b">
        <v>0</v>
      </c>
      <c r="D2292" s="2"/>
      <c r="E2292" s="2"/>
      <c r="F2292" s="2"/>
      <c r="G2292" s="2"/>
      <c r="H2292" s="2"/>
      <c r="I2292" s="5"/>
    </row>
    <row r="2293" spans="1:9" ht="17.399999999999999" x14ac:dyDescent="0.25">
      <c r="A2293" s="16"/>
      <c r="B2293" s="17"/>
      <c r="C2293" s="2" t="b">
        <v>0</v>
      </c>
      <c r="D2293" s="2"/>
      <c r="E2293" s="2"/>
      <c r="F2293" s="2"/>
      <c r="G2293" s="2"/>
      <c r="H2293" s="2"/>
      <c r="I2293" s="5"/>
    </row>
    <row r="2294" spans="1:9" ht="17.399999999999999" x14ac:dyDescent="0.25">
      <c r="A2294" s="16"/>
      <c r="B2294" s="17"/>
      <c r="C2294" s="2" t="b">
        <v>0</v>
      </c>
      <c r="D2294" s="2"/>
      <c r="E2294" s="2"/>
      <c r="F2294" s="2"/>
      <c r="G2294" s="2"/>
      <c r="H2294" s="2"/>
      <c r="I2294" s="5"/>
    </row>
    <row r="2295" spans="1:9" ht="17.399999999999999" x14ac:dyDescent="0.25">
      <c r="A2295" s="16"/>
      <c r="B2295" s="17"/>
      <c r="C2295" s="2" t="b">
        <v>0</v>
      </c>
      <c r="D2295" s="2"/>
      <c r="E2295" s="2"/>
      <c r="F2295" s="2"/>
      <c r="G2295" s="2"/>
      <c r="H2295" s="2"/>
      <c r="I2295" s="5"/>
    </row>
    <row r="2296" spans="1:9" ht="17.399999999999999" x14ac:dyDescent="0.25">
      <c r="A2296" s="16"/>
      <c r="B2296" s="17"/>
      <c r="C2296" s="2" t="b">
        <v>0</v>
      </c>
      <c r="D2296" s="2"/>
      <c r="E2296" s="2"/>
      <c r="F2296" s="2"/>
      <c r="G2296" s="2"/>
      <c r="H2296" s="2"/>
      <c r="I2296" s="5"/>
    </row>
    <row r="2297" spans="1:9" ht="17.399999999999999" x14ac:dyDescent="0.25">
      <c r="A2297" s="16"/>
      <c r="B2297" s="17"/>
      <c r="C2297" s="2" t="b">
        <v>0</v>
      </c>
      <c r="D2297" s="2"/>
      <c r="E2297" s="2"/>
      <c r="F2297" s="2"/>
      <c r="G2297" s="2"/>
      <c r="H2297" s="2"/>
      <c r="I2297" s="5"/>
    </row>
    <row r="2298" spans="1:9" ht="17.399999999999999" x14ac:dyDescent="0.25">
      <c r="A2298" s="16"/>
      <c r="B2298" s="17"/>
      <c r="C2298" s="2" t="b">
        <v>0</v>
      </c>
      <c r="D2298" s="2"/>
      <c r="E2298" s="2"/>
      <c r="F2298" s="2"/>
      <c r="G2298" s="2"/>
      <c r="H2298" s="2"/>
      <c r="I2298" s="5"/>
    </row>
    <row r="2299" spans="1:9" ht="17.399999999999999" x14ac:dyDescent="0.25">
      <c r="A2299" s="16"/>
      <c r="B2299" s="17"/>
      <c r="C2299" s="2" t="b">
        <v>0</v>
      </c>
      <c r="D2299" s="2"/>
      <c r="E2299" s="2"/>
      <c r="F2299" s="2"/>
      <c r="G2299" s="2"/>
      <c r="H2299" s="2"/>
      <c r="I2299" s="5"/>
    </row>
    <row r="2300" spans="1:9" ht="17.399999999999999" x14ac:dyDescent="0.25">
      <c r="A2300" s="16"/>
      <c r="B2300" s="17"/>
      <c r="C2300" s="2" t="b">
        <v>0</v>
      </c>
      <c r="D2300" s="2"/>
      <c r="E2300" s="2"/>
      <c r="F2300" s="2"/>
      <c r="G2300" s="2"/>
      <c r="H2300" s="2"/>
      <c r="I2300" s="5"/>
    </row>
    <row r="2301" spans="1:9" ht="17.399999999999999" x14ac:dyDescent="0.25">
      <c r="A2301" s="16"/>
      <c r="B2301" s="17"/>
      <c r="C2301" s="2" t="b">
        <v>0</v>
      </c>
      <c r="D2301" s="2"/>
      <c r="E2301" s="2"/>
      <c r="F2301" s="2"/>
      <c r="G2301" s="2"/>
      <c r="H2301" s="2"/>
      <c r="I2301" s="5"/>
    </row>
    <row r="2302" spans="1:9" ht="17.399999999999999" x14ac:dyDescent="0.25">
      <c r="A2302" s="16"/>
      <c r="B2302" s="17"/>
      <c r="C2302" s="2" t="b">
        <v>0</v>
      </c>
      <c r="D2302" s="2"/>
      <c r="E2302" s="2"/>
      <c r="F2302" s="2"/>
      <c r="G2302" s="2"/>
      <c r="H2302" s="2"/>
      <c r="I2302" s="5"/>
    </row>
    <row r="2303" spans="1:9" ht="17.399999999999999" x14ac:dyDescent="0.25">
      <c r="A2303" s="16"/>
      <c r="B2303" s="17"/>
      <c r="C2303" s="2" t="b">
        <v>0</v>
      </c>
      <c r="D2303" s="2"/>
      <c r="E2303" s="2"/>
      <c r="F2303" s="2"/>
      <c r="G2303" s="2"/>
      <c r="H2303" s="2"/>
      <c r="I2303" s="5"/>
    </row>
    <row r="2304" spans="1:9" ht="17.399999999999999" x14ac:dyDescent="0.25">
      <c r="A2304" s="16"/>
      <c r="B2304" s="17"/>
      <c r="C2304" s="2" t="b">
        <v>0</v>
      </c>
      <c r="D2304" s="2"/>
      <c r="E2304" s="2"/>
      <c r="F2304" s="2"/>
      <c r="G2304" s="2"/>
      <c r="H2304" s="2"/>
      <c r="I2304" s="5"/>
    </row>
    <row r="2305" spans="1:9" ht="17.399999999999999" x14ac:dyDescent="0.25">
      <c r="A2305" s="16"/>
      <c r="B2305" s="17"/>
      <c r="C2305" s="2" t="b">
        <v>0</v>
      </c>
      <c r="D2305" s="2"/>
      <c r="E2305" s="2"/>
      <c r="F2305" s="2"/>
      <c r="G2305" s="2"/>
      <c r="H2305" s="2"/>
      <c r="I2305" s="5"/>
    </row>
    <row r="2306" spans="1:9" ht="17.399999999999999" x14ac:dyDescent="0.25">
      <c r="A2306" s="16"/>
      <c r="B2306" s="17"/>
      <c r="C2306" s="2" t="b">
        <v>0</v>
      </c>
      <c r="D2306" s="2"/>
      <c r="E2306" s="2"/>
      <c r="F2306" s="2"/>
      <c r="G2306" s="2"/>
      <c r="H2306" s="2"/>
      <c r="I2306" s="5"/>
    </row>
    <row r="2307" spans="1:9" ht="17.399999999999999" x14ac:dyDescent="0.25">
      <c r="A2307" s="16"/>
      <c r="B2307" s="17"/>
      <c r="C2307" s="2" t="b">
        <v>0</v>
      </c>
      <c r="D2307" s="2"/>
      <c r="E2307" s="2"/>
      <c r="F2307" s="2"/>
      <c r="G2307" s="2"/>
      <c r="H2307" s="2"/>
      <c r="I2307" s="5"/>
    </row>
    <row r="2308" spans="1:9" ht="17.399999999999999" x14ac:dyDescent="0.25">
      <c r="A2308" s="16"/>
      <c r="B2308" s="17"/>
      <c r="C2308" s="2" t="b">
        <v>0</v>
      </c>
      <c r="D2308" s="2"/>
      <c r="E2308" s="2"/>
      <c r="F2308" s="2"/>
      <c r="G2308" s="2"/>
      <c r="H2308" s="2"/>
      <c r="I2308" s="5"/>
    </row>
    <row r="2309" spans="1:9" ht="17.399999999999999" x14ac:dyDescent="0.25">
      <c r="A2309" s="16"/>
      <c r="B2309" s="17"/>
      <c r="C2309" s="2" t="b">
        <v>0</v>
      </c>
      <c r="D2309" s="2"/>
      <c r="E2309" s="2"/>
      <c r="F2309" s="2"/>
      <c r="G2309" s="2"/>
      <c r="H2309" s="2"/>
      <c r="I2309" s="5"/>
    </row>
    <row r="2310" spans="1:9" ht="17.399999999999999" x14ac:dyDescent="0.25">
      <c r="A2310" s="16"/>
      <c r="B2310" s="17"/>
      <c r="C2310" s="2" t="b">
        <v>0</v>
      </c>
      <c r="D2310" s="2"/>
      <c r="E2310" s="2"/>
      <c r="F2310" s="2"/>
      <c r="G2310" s="2"/>
      <c r="H2310" s="2"/>
      <c r="I2310" s="5"/>
    </row>
    <row r="2311" spans="1:9" ht="17.399999999999999" x14ac:dyDescent="0.25">
      <c r="A2311" s="16"/>
      <c r="B2311" s="17"/>
      <c r="C2311" s="2" t="b">
        <v>0</v>
      </c>
      <c r="D2311" s="2"/>
      <c r="E2311" s="2"/>
      <c r="F2311" s="2"/>
      <c r="G2311" s="2"/>
      <c r="H2311" s="2"/>
      <c r="I2311" s="5"/>
    </row>
    <row r="2312" spans="1:9" ht="17.399999999999999" x14ac:dyDescent="0.25">
      <c r="A2312" s="16"/>
      <c r="B2312" s="17"/>
      <c r="C2312" s="2" t="b">
        <v>0</v>
      </c>
      <c r="D2312" s="2"/>
      <c r="E2312" s="2"/>
      <c r="F2312" s="2"/>
      <c r="G2312" s="2"/>
      <c r="H2312" s="2"/>
      <c r="I2312" s="5"/>
    </row>
    <row r="2313" spans="1:9" ht="17.399999999999999" x14ac:dyDescent="0.25">
      <c r="A2313" s="16"/>
      <c r="B2313" s="17"/>
      <c r="C2313" s="2" t="b">
        <v>0</v>
      </c>
      <c r="D2313" s="2"/>
      <c r="E2313" s="2"/>
      <c r="F2313" s="2"/>
      <c r="G2313" s="2"/>
      <c r="H2313" s="2"/>
      <c r="I2313" s="5"/>
    </row>
    <row r="2314" spans="1:9" ht="17.399999999999999" x14ac:dyDescent="0.25">
      <c r="A2314" s="16"/>
      <c r="B2314" s="17"/>
      <c r="C2314" s="2" t="b">
        <v>0</v>
      </c>
      <c r="D2314" s="2"/>
      <c r="E2314" s="2"/>
      <c r="F2314" s="2"/>
      <c r="G2314" s="2"/>
      <c r="H2314" s="2"/>
      <c r="I2314" s="5"/>
    </row>
    <row r="2315" spans="1:9" ht="17.399999999999999" x14ac:dyDescent="0.25">
      <c r="A2315" s="16"/>
      <c r="B2315" s="17"/>
      <c r="C2315" s="2" t="b">
        <v>0</v>
      </c>
      <c r="D2315" s="2"/>
      <c r="E2315" s="2"/>
      <c r="F2315" s="2"/>
      <c r="G2315" s="2"/>
      <c r="H2315" s="2"/>
      <c r="I2315" s="5"/>
    </row>
    <row r="2316" spans="1:9" ht="17.399999999999999" x14ac:dyDescent="0.25">
      <c r="A2316" s="16"/>
      <c r="B2316" s="17"/>
      <c r="C2316" s="2" t="b">
        <v>0</v>
      </c>
      <c r="D2316" s="2"/>
      <c r="E2316" s="2"/>
      <c r="F2316" s="2"/>
      <c r="G2316" s="2"/>
      <c r="H2316" s="2"/>
      <c r="I2316" s="5"/>
    </row>
    <row r="2317" spans="1:9" ht="17.399999999999999" x14ac:dyDescent="0.25">
      <c r="A2317" s="16"/>
      <c r="B2317" s="17"/>
      <c r="C2317" s="2" t="b">
        <v>0</v>
      </c>
      <c r="D2317" s="2"/>
      <c r="E2317" s="2"/>
      <c r="F2317" s="2"/>
      <c r="G2317" s="2"/>
      <c r="H2317" s="2"/>
      <c r="I2317" s="5"/>
    </row>
    <row r="2318" spans="1:9" ht="17.399999999999999" x14ac:dyDescent="0.25">
      <c r="A2318" s="16"/>
      <c r="B2318" s="17"/>
      <c r="C2318" s="2" t="b">
        <v>0</v>
      </c>
      <c r="D2318" s="2"/>
      <c r="E2318" s="2"/>
      <c r="F2318" s="2"/>
      <c r="G2318" s="2"/>
      <c r="H2318" s="2"/>
      <c r="I2318" s="5"/>
    </row>
    <row r="2319" spans="1:9" ht="17.399999999999999" x14ac:dyDescent="0.25">
      <c r="A2319" s="16"/>
      <c r="B2319" s="17"/>
      <c r="C2319" s="2" t="b">
        <v>0</v>
      </c>
      <c r="D2319" s="2"/>
      <c r="E2319" s="2"/>
      <c r="F2319" s="2"/>
      <c r="G2319" s="2"/>
      <c r="H2319" s="2"/>
      <c r="I2319" s="5"/>
    </row>
    <row r="2320" spans="1:9" ht="17.399999999999999" x14ac:dyDescent="0.25">
      <c r="A2320" s="16"/>
      <c r="B2320" s="17"/>
      <c r="C2320" s="2" t="b">
        <v>0</v>
      </c>
      <c r="D2320" s="2"/>
      <c r="E2320" s="2"/>
      <c r="F2320" s="2"/>
      <c r="G2320" s="2"/>
      <c r="H2320" s="2"/>
      <c r="I2320" s="5"/>
    </row>
    <row r="2321" spans="1:9" ht="17.399999999999999" x14ac:dyDescent="0.25">
      <c r="A2321" s="16"/>
      <c r="B2321" s="17"/>
      <c r="C2321" s="2" t="b">
        <v>0</v>
      </c>
      <c r="D2321" s="2"/>
      <c r="E2321" s="2"/>
      <c r="F2321" s="2"/>
      <c r="G2321" s="2"/>
      <c r="H2321" s="2"/>
      <c r="I2321" s="5"/>
    </row>
    <row r="2322" spans="1:9" ht="17.399999999999999" x14ac:dyDescent="0.25">
      <c r="A2322" s="16"/>
      <c r="B2322" s="17"/>
      <c r="C2322" s="2" t="b">
        <v>0</v>
      </c>
      <c r="D2322" s="2"/>
      <c r="E2322" s="2"/>
      <c r="F2322" s="2"/>
      <c r="G2322" s="2"/>
      <c r="H2322" s="2"/>
      <c r="I2322" s="5"/>
    </row>
    <row r="2323" spans="1:9" ht="17.399999999999999" x14ac:dyDescent="0.25">
      <c r="A2323" s="16"/>
      <c r="B2323" s="17"/>
      <c r="C2323" s="2" t="b">
        <v>0</v>
      </c>
      <c r="D2323" s="2"/>
      <c r="E2323" s="2"/>
      <c r="F2323" s="2"/>
      <c r="G2323" s="2"/>
      <c r="H2323" s="2"/>
      <c r="I2323" s="5"/>
    </row>
    <row r="2324" spans="1:9" ht="17.399999999999999" x14ac:dyDescent="0.25">
      <c r="A2324" s="16"/>
      <c r="B2324" s="17"/>
      <c r="C2324" s="2" t="b">
        <v>0</v>
      </c>
      <c r="D2324" s="2"/>
      <c r="E2324" s="2"/>
      <c r="F2324" s="2"/>
      <c r="G2324" s="2"/>
      <c r="H2324" s="2"/>
      <c r="I2324" s="5"/>
    </row>
    <row r="2325" spans="1:9" ht="17.399999999999999" x14ac:dyDescent="0.25">
      <c r="A2325" s="16"/>
      <c r="B2325" s="17"/>
      <c r="C2325" s="2" t="b">
        <v>0</v>
      </c>
      <c r="D2325" s="2"/>
      <c r="E2325" s="2"/>
      <c r="F2325" s="2"/>
      <c r="G2325" s="2"/>
      <c r="H2325" s="2"/>
      <c r="I2325" s="5"/>
    </row>
    <row r="2326" spans="1:9" ht="17.399999999999999" x14ac:dyDescent="0.25">
      <c r="A2326" s="16"/>
      <c r="B2326" s="17"/>
      <c r="C2326" s="2" t="b">
        <v>0</v>
      </c>
      <c r="D2326" s="2"/>
      <c r="E2326" s="2"/>
      <c r="F2326" s="2"/>
      <c r="G2326" s="2"/>
      <c r="H2326" s="2"/>
      <c r="I2326" s="5"/>
    </row>
    <row r="2327" spans="1:9" ht="17.399999999999999" x14ac:dyDescent="0.25">
      <c r="A2327" s="16"/>
      <c r="B2327" s="17"/>
      <c r="C2327" s="2" t="b">
        <v>0</v>
      </c>
      <c r="D2327" s="2"/>
      <c r="E2327" s="2"/>
      <c r="F2327" s="2"/>
      <c r="G2327" s="2"/>
      <c r="H2327" s="2"/>
      <c r="I2327" s="5"/>
    </row>
    <row r="2328" spans="1:9" ht="17.399999999999999" x14ac:dyDescent="0.25">
      <c r="A2328" s="16"/>
      <c r="B2328" s="17"/>
      <c r="C2328" s="2" t="b">
        <v>0</v>
      </c>
      <c r="D2328" s="2"/>
      <c r="E2328" s="2"/>
      <c r="F2328" s="2"/>
      <c r="G2328" s="2"/>
      <c r="H2328" s="2"/>
      <c r="I2328" s="5"/>
    </row>
    <row r="2329" spans="1:9" ht="17.399999999999999" x14ac:dyDescent="0.25">
      <c r="A2329" s="16"/>
      <c r="B2329" s="17"/>
      <c r="C2329" s="2" t="b">
        <v>0</v>
      </c>
      <c r="D2329" s="2"/>
      <c r="E2329" s="2"/>
      <c r="F2329" s="2"/>
      <c r="G2329" s="2"/>
      <c r="H2329" s="2"/>
      <c r="I2329" s="5"/>
    </row>
    <row r="2330" spans="1:9" ht="17.399999999999999" x14ac:dyDescent="0.25">
      <c r="A2330" s="16"/>
      <c r="B2330" s="17"/>
      <c r="C2330" s="2" t="b">
        <v>0</v>
      </c>
      <c r="D2330" s="2"/>
      <c r="E2330" s="2"/>
      <c r="F2330" s="2"/>
      <c r="G2330" s="2"/>
      <c r="H2330" s="2"/>
      <c r="I2330" s="5"/>
    </row>
    <row r="2331" spans="1:9" ht="17.399999999999999" x14ac:dyDescent="0.25">
      <c r="A2331" s="16"/>
      <c r="B2331" s="17"/>
      <c r="C2331" s="2" t="b">
        <v>0</v>
      </c>
      <c r="D2331" s="2"/>
      <c r="E2331" s="2"/>
      <c r="F2331" s="2"/>
      <c r="G2331" s="2"/>
      <c r="H2331" s="2"/>
      <c r="I2331" s="5"/>
    </row>
    <row r="2332" spans="1:9" ht="17.399999999999999" x14ac:dyDescent="0.25">
      <c r="A2332" s="16"/>
      <c r="B2332" s="17"/>
      <c r="C2332" s="2" t="b">
        <v>0</v>
      </c>
      <c r="D2332" s="2"/>
      <c r="E2332" s="2"/>
      <c r="F2332" s="2"/>
      <c r="G2332" s="2"/>
      <c r="H2332" s="2"/>
      <c r="I2332" s="5"/>
    </row>
    <row r="2333" spans="1:9" ht="17.399999999999999" x14ac:dyDescent="0.25">
      <c r="A2333" s="16"/>
      <c r="B2333" s="17"/>
      <c r="C2333" s="2" t="b">
        <v>0</v>
      </c>
      <c r="D2333" s="2"/>
      <c r="E2333" s="2"/>
      <c r="F2333" s="2"/>
      <c r="G2333" s="2"/>
      <c r="H2333" s="2"/>
      <c r="I2333" s="5"/>
    </row>
    <row r="2334" spans="1:9" ht="17.399999999999999" x14ac:dyDescent="0.25">
      <c r="A2334" s="16"/>
      <c r="B2334" s="17"/>
      <c r="C2334" s="2" t="b">
        <v>0</v>
      </c>
      <c r="D2334" s="2"/>
      <c r="E2334" s="2"/>
      <c r="F2334" s="2"/>
      <c r="G2334" s="2"/>
      <c r="H2334" s="2"/>
      <c r="I2334" s="5"/>
    </row>
    <row r="2335" spans="1:9" ht="17.399999999999999" x14ac:dyDescent="0.25">
      <c r="A2335" s="16"/>
      <c r="B2335" s="17"/>
      <c r="C2335" s="2" t="b">
        <v>0</v>
      </c>
      <c r="D2335" s="2"/>
      <c r="E2335" s="2"/>
      <c r="F2335" s="2"/>
      <c r="G2335" s="2"/>
      <c r="H2335" s="2"/>
      <c r="I2335" s="5"/>
    </row>
    <row r="2336" spans="1:9" ht="17.399999999999999" x14ac:dyDescent="0.25">
      <c r="A2336" s="16"/>
      <c r="B2336" s="17"/>
      <c r="C2336" s="2" t="b">
        <v>0</v>
      </c>
      <c r="D2336" s="2"/>
      <c r="E2336" s="2"/>
      <c r="F2336" s="2"/>
      <c r="G2336" s="2"/>
      <c r="H2336" s="2"/>
      <c r="I2336" s="5"/>
    </row>
    <row r="2337" spans="1:9" ht="17.399999999999999" x14ac:dyDescent="0.25">
      <c r="A2337" s="16"/>
      <c r="B2337" s="17"/>
      <c r="C2337" s="2" t="b">
        <v>0</v>
      </c>
      <c r="D2337" s="2"/>
      <c r="E2337" s="2"/>
      <c r="F2337" s="2"/>
      <c r="G2337" s="2"/>
      <c r="H2337" s="2"/>
      <c r="I2337" s="5"/>
    </row>
    <row r="2338" spans="1:9" ht="17.399999999999999" x14ac:dyDescent="0.25">
      <c r="A2338" s="16"/>
      <c r="B2338" s="17"/>
      <c r="C2338" s="2" t="b">
        <v>0</v>
      </c>
      <c r="D2338" s="2"/>
      <c r="E2338" s="2"/>
      <c r="F2338" s="2"/>
      <c r="G2338" s="2"/>
      <c r="H2338" s="2"/>
      <c r="I2338" s="5"/>
    </row>
    <row r="2339" spans="1:9" ht="17.399999999999999" x14ac:dyDescent="0.25">
      <c r="A2339" s="16"/>
      <c r="B2339" s="17"/>
      <c r="C2339" s="2" t="b">
        <v>0</v>
      </c>
      <c r="D2339" s="2"/>
      <c r="E2339" s="2"/>
      <c r="F2339" s="2"/>
      <c r="G2339" s="2"/>
      <c r="H2339" s="2"/>
      <c r="I2339" s="5"/>
    </row>
    <row r="2340" spans="1:9" ht="17.399999999999999" x14ac:dyDescent="0.25">
      <c r="A2340" s="16"/>
      <c r="B2340" s="17"/>
      <c r="C2340" s="2" t="b">
        <v>0</v>
      </c>
      <c r="D2340" s="2"/>
      <c r="E2340" s="2"/>
      <c r="F2340" s="2"/>
      <c r="G2340" s="2"/>
      <c r="H2340" s="2"/>
      <c r="I2340" s="5"/>
    </row>
    <row r="2341" spans="1:9" ht="17.399999999999999" x14ac:dyDescent="0.25">
      <c r="A2341" s="16"/>
      <c r="B2341" s="17"/>
      <c r="C2341" s="2" t="b">
        <v>0</v>
      </c>
      <c r="D2341" s="2"/>
      <c r="E2341" s="2"/>
      <c r="F2341" s="2"/>
      <c r="G2341" s="2"/>
      <c r="H2341" s="2"/>
      <c r="I2341" s="5"/>
    </row>
    <row r="2342" spans="1:9" ht="17.399999999999999" x14ac:dyDescent="0.25">
      <c r="A2342" s="16"/>
      <c r="B2342" s="17"/>
      <c r="C2342" s="2" t="b">
        <v>0</v>
      </c>
      <c r="D2342" s="2"/>
      <c r="E2342" s="2"/>
      <c r="F2342" s="2"/>
      <c r="G2342" s="2"/>
      <c r="H2342" s="2"/>
      <c r="I2342" s="5"/>
    </row>
    <row r="2343" spans="1:9" ht="17.399999999999999" x14ac:dyDescent="0.25">
      <c r="A2343" s="16"/>
      <c r="B2343" s="17"/>
      <c r="C2343" s="2" t="b">
        <v>0</v>
      </c>
      <c r="D2343" s="2"/>
      <c r="E2343" s="2"/>
      <c r="F2343" s="2"/>
      <c r="G2343" s="2"/>
      <c r="H2343" s="2"/>
      <c r="I2343" s="5"/>
    </row>
    <row r="2344" spans="1:9" ht="17.399999999999999" x14ac:dyDescent="0.25">
      <c r="A2344" s="16"/>
      <c r="B2344" s="17"/>
      <c r="C2344" s="2" t="b">
        <v>0</v>
      </c>
      <c r="D2344" s="2"/>
      <c r="E2344" s="2"/>
      <c r="F2344" s="2"/>
      <c r="G2344" s="2"/>
      <c r="H2344" s="2"/>
      <c r="I2344" s="5"/>
    </row>
    <row r="2345" spans="1:9" ht="17.399999999999999" x14ac:dyDescent="0.25">
      <c r="A2345" s="16"/>
      <c r="B2345" s="17"/>
      <c r="C2345" s="2" t="b">
        <v>0</v>
      </c>
      <c r="D2345" s="2"/>
      <c r="E2345" s="2"/>
      <c r="F2345" s="2"/>
      <c r="G2345" s="2"/>
      <c r="H2345" s="2"/>
      <c r="I2345" s="5"/>
    </row>
    <row r="2346" spans="1:9" ht="17.399999999999999" x14ac:dyDescent="0.25">
      <c r="A2346" s="16"/>
      <c r="B2346" s="17"/>
      <c r="C2346" s="2" t="b">
        <v>0</v>
      </c>
      <c r="D2346" s="2"/>
      <c r="E2346" s="2"/>
      <c r="F2346" s="2"/>
      <c r="G2346" s="2"/>
      <c r="H2346" s="2"/>
      <c r="I2346" s="5"/>
    </row>
    <row r="2347" spans="1:9" ht="17.399999999999999" x14ac:dyDescent="0.25">
      <c r="A2347" s="16"/>
      <c r="B2347" s="17"/>
      <c r="C2347" s="2" t="b">
        <v>0</v>
      </c>
      <c r="D2347" s="2"/>
      <c r="E2347" s="2"/>
      <c r="F2347" s="2"/>
      <c r="G2347" s="2"/>
      <c r="H2347" s="2"/>
      <c r="I2347" s="5"/>
    </row>
    <row r="2348" spans="1:9" ht="17.399999999999999" x14ac:dyDescent="0.25">
      <c r="A2348" s="16"/>
      <c r="B2348" s="17"/>
      <c r="C2348" s="2" t="b">
        <v>0</v>
      </c>
      <c r="D2348" s="2"/>
      <c r="E2348" s="2"/>
      <c r="F2348" s="2"/>
      <c r="G2348" s="2"/>
      <c r="H2348" s="2"/>
      <c r="I2348" s="5"/>
    </row>
    <row r="2349" spans="1:9" ht="17.399999999999999" x14ac:dyDescent="0.25">
      <c r="A2349" s="16"/>
      <c r="B2349" s="17"/>
      <c r="C2349" s="2" t="b">
        <v>0</v>
      </c>
      <c r="D2349" s="2"/>
      <c r="E2349" s="2"/>
      <c r="F2349" s="2"/>
      <c r="G2349" s="2"/>
      <c r="H2349" s="2"/>
      <c r="I2349" s="5"/>
    </row>
    <row r="2350" spans="1:9" ht="17.399999999999999" x14ac:dyDescent="0.25">
      <c r="A2350" s="16"/>
      <c r="B2350" s="17"/>
      <c r="C2350" s="2" t="b">
        <v>0</v>
      </c>
      <c r="D2350" s="2"/>
      <c r="E2350" s="2"/>
      <c r="F2350" s="2"/>
      <c r="G2350" s="2"/>
      <c r="H2350" s="2"/>
      <c r="I2350" s="5"/>
    </row>
    <row r="2351" spans="1:9" ht="17.399999999999999" x14ac:dyDescent="0.25">
      <c r="A2351" s="16"/>
      <c r="B2351" s="17"/>
      <c r="C2351" s="2" t="b">
        <v>0</v>
      </c>
      <c r="D2351" s="2"/>
      <c r="E2351" s="2"/>
      <c r="F2351" s="2"/>
      <c r="G2351" s="2"/>
      <c r="H2351" s="2"/>
      <c r="I2351" s="5"/>
    </row>
    <row r="2352" spans="1:9" ht="17.399999999999999" x14ac:dyDescent="0.25">
      <c r="A2352" s="16"/>
      <c r="B2352" s="17"/>
      <c r="C2352" s="2" t="b">
        <v>0</v>
      </c>
      <c r="D2352" s="2"/>
      <c r="E2352" s="2"/>
      <c r="F2352" s="2"/>
      <c r="G2352" s="2"/>
      <c r="H2352" s="2"/>
      <c r="I2352" s="5"/>
    </row>
    <row r="2353" spans="1:9" ht="17.399999999999999" x14ac:dyDescent="0.25">
      <c r="A2353" s="16"/>
      <c r="B2353" s="17"/>
      <c r="C2353" s="2" t="b">
        <v>0</v>
      </c>
      <c r="D2353" s="2"/>
      <c r="E2353" s="2"/>
      <c r="F2353" s="2"/>
      <c r="G2353" s="2"/>
      <c r="H2353" s="2"/>
      <c r="I2353" s="5"/>
    </row>
    <row r="2354" spans="1:9" ht="17.399999999999999" x14ac:dyDescent="0.25">
      <c r="A2354" s="16"/>
      <c r="B2354" s="17"/>
      <c r="C2354" s="2" t="b">
        <v>0</v>
      </c>
      <c r="D2354" s="2"/>
      <c r="E2354" s="2"/>
      <c r="F2354" s="2"/>
      <c r="G2354" s="2"/>
      <c r="H2354" s="2"/>
      <c r="I2354" s="5"/>
    </row>
    <row r="2355" spans="1:9" ht="17.399999999999999" x14ac:dyDescent="0.25">
      <c r="A2355" s="16"/>
      <c r="B2355" s="17"/>
      <c r="C2355" s="2" t="b">
        <v>0</v>
      </c>
      <c r="D2355" s="2"/>
      <c r="E2355" s="2"/>
      <c r="F2355" s="2"/>
      <c r="G2355" s="2"/>
      <c r="H2355" s="2"/>
      <c r="I2355" s="5"/>
    </row>
    <row r="2356" spans="1:9" ht="17.399999999999999" x14ac:dyDescent="0.25">
      <c r="A2356" s="16"/>
      <c r="B2356" s="17"/>
      <c r="C2356" s="2" t="b">
        <v>0</v>
      </c>
      <c r="D2356" s="2"/>
      <c r="E2356" s="2"/>
      <c r="F2356" s="2"/>
      <c r="G2356" s="2"/>
      <c r="H2356" s="2"/>
      <c r="I2356" s="5"/>
    </row>
    <row r="2357" spans="1:9" ht="17.399999999999999" x14ac:dyDescent="0.25">
      <c r="A2357" s="16"/>
      <c r="B2357" s="17"/>
      <c r="C2357" s="2" t="b">
        <v>0</v>
      </c>
      <c r="D2357" s="2"/>
      <c r="E2357" s="2"/>
      <c r="F2357" s="2"/>
      <c r="G2357" s="2"/>
      <c r="H2357" s="2"/>
      <c r="I2357" s="5"/>
    </row>
    <row r="2358" spans="1:9" ht="17.399999999999999" x14ac:dyDescent="0.25">
      <c r="A2358" s="16"/>
      <c r="B2358" s="17"/>
      <c r="C2358" s="2" t="b">
        <v>0</v>
      </c>
      <c r="D2358" s="2"/>
      <c r="E2358" s="2"/>
      <c r="F2358" s="2"/>
      <c r="G2358" s="2"/>
      <c r="H2358" s="2"/>
      <c r="I2358" s="5"/>
    </row>
    <row r="2359" spans="1:9" ht="17.399999999999999" x14ac:dyDescent="0.25">
      <c r="A2359" s="16"/>
      <c r="B2359" s="17"/>
      <c r="C2359" s="2" t="b">
        <v>0</v>
      </c>
      <c r="D2359" s="2"/>
      <c r="E2359" s="2"/>
      <c r="F2359" s="2"/>
      <c r="G2359" s="2"/>
      <c r="H2359" s="2"/>
      <c r="I2359" s="5"/>
    </row>
    <row r="2360" spans="1:9" ht="17.399999999999999" x14ac:dyDescent="0.25">
      <c r="A2360" s="16"/>
      <c r="B2360" s="17"/>
      <c r="C2360" s="2" t="b">
        <v>0</v>
      </c>
      <c r="D2360" s="2"/>
      <c r="E2360" s="2"/>
      <c r="F2360" s="2"/>
      <c r="G2360" s="2"/>
      <c r="H2360" s="2"/>
      <c r="I2360" s="5"/>
    </row>
    <row r="2361" spans="1:9" ht="17.399999999999999" x14ac:dyDescent="0.25">
      <c r="A2361" s="16"/>
      <c r="B2361" s="17"/>
      <c r="C2361" s="2" t="b">
        <v>0</v>
      </c>
      <c r="D2361" s="2"/>
      <c r="E2361" s="2"/>
      <c r="F2361" s="2"/>
      <c r="G2361" s="2"/>
      <c r="H2361" s="2"/>
      <c r="I2361" s="5"/>
    </row>
    <row r="2362" spans="1:9" ht="17.399999999999999" x14ac:dyDescent="0.25">
      <c r="A2362" s="16"/>
      <c r="B2362" s="17"/>
      <c r="C2362" s="2" t="b">
        <v>0</v>
      </c>
      <c r="D2362" s="2"/>
      <c r="E2362" s="2"/>
      <c r="F2362" s="2"/>
      <c r="G2362" s="2"/>
      <c r="H2362" s="2"/>
      <c r="I2362" s="5"/>
    </row>
    <row r="2363" spans="1:9" ht="17.399999999999999" x14ac:dyDescent="0.25">
      <c r="A2363" s="16"/>
      <c r="B2363" s="17"/>
      <c r="C2363" s="2" t="b">
        <v>0</v>
      </c>
      <c r="D2363" s="2"/>
      <c r="E2363" s="2"/>
      <c r="F2363" s="2"/>
      <c r="G2363" s="2"/>
      <c r="H2363" s="2"/>
      <c r="I2363" s="5"/>
    </row>
    <row r="2364" spans="1:9" ht="17.399999999999999" x14ac:dyDescent="0.25">
      <c r="A2364" s="16"/>
      <c r="B2364" s="17"/>
      <c r="C2364" s="2" t="b">
        <v>0</v>
      </c>
      <c r="D2364" s="2"/>
      <c r="E2364" s="2"/>
      <c r="F2364" s="2"/>
      <c r="G2364" s="2"/>
      <c r="H2364" s="2"/>
      <c r="I2364" s="5"/>
    </row>
    <row r="2365" spans="1:9" ht="17.399999999999999" x14ac:dyDescent="0.25">
      <c r="A2365" s="16"/>
      <c r="B2365" s="17"/>
      <c r="C2365" s="2" t="b">
        <v>0</v>
      </c>
      <c r="D2365" s="2"/>
      <c r="E2365" s="2"/>
      <c r="F2365" s="2"/>
      <c r="G2365" s="2"/>
      <c r="H2365" s="2"/>
      <c r="I2365" s="5"/>
    </row>
    <row r="2366" spans="1:9" ht="17.399999999999999" x14ac:dyDescent="0.25">
      <c r="A2366" s="16"/>
      <c r="B2366" s="17"/>
      <c r="C2366" s="2" t="b">
        <v>0</v>
      </c>
      <c r="D2366" s="2"/>
      <c r="E2366" s="2"/>
      <c r="F2366" s="2"/>
      <c r="G2366" s="2"/>
      <c r="H2366" s="2"/>
      <c r="I2366" s="5"/>
    </row>
    <row r="2367" spans="1:9" ht="17.399999999999999" x14ac:dyDescent="0.25">
      <c r="A2367" s="16"/>
      <c r="B2367" s="17"/>
      <c r="C2367" s="2" t="b">
        <v>0</v>
      </c>
      <c r="D2367" s="2"/>
      <c r="E2367" s="2"/>
      <c r="F2367" s="2"/>
      <c r="G2367" s="2"/>
      <c r="H2367" s="2"/>
      <c r="I2367" s="5"/>
    </row>
    <row r="2368" spans="1:9" ht="17.399999999999999" x14ac:dyDescent="0.25">
      <c r="A2368" s="16"/>
      <c r="B2368" s="17"/>
      <c r="C2368" s="2" t="b">
        <v>0</v>
      </c>
      <c r="D2368" s="2"/>
      <c r="E2368" s="2"/>
      <c r="F2368" s="2"/>
      <c r="G2368" s="2"/>
      <c r="H2368" s="2"/>
      <c r="I2368" s="5"/>
    </row>
    <row r="2369" spans="1:9" ht="17.399999999999999" x14ac:dyDescent="0.25">
      <c r="A2369" s="16"/>
      <c r="B2369" s="17"/>
      <c r="C2369" s="2" t="b">
        <v>0</v>
      </c>
      <c r="D2369" s="2"/>
      <c r="E2369" s="2"/>
      <c r="F2369" s="2"/>
      <c r="G2369" s="2"/>
      <c r="H2369" s="2"/>
      <c r="I2369" s="5"/>
    </row>
    <row r="2370" spans="1:9" ht="17.399999999999999" x14ac:dyDescent="0.25">
      <c r="A2370" s="16"/>
      <c r="B2370" s="17"/>
      <c r="C2370" s="2" t="b">
        <v>0</v>
      </c>
      <c r="D2370" s="2"/>
      <c r="E2370" s="2"/>
      <c r="F2370" s="2"/>
      <c r="G2370" s="2"/>
      <c r="H2370" s="2"/>
      <c r="I2370" s="5"/>
    </row>
    <row r="2371" spans="1:9" ht="17.399999999999999" x14ac:dyDescent="0.25">
      <c r="A2371" s="16"/>
      <c r="B2371" s="17"/>
      <c r="C2371" s="2" t="b">
        <v>0</v>
      </c>
      <c r="D2371" s="2"/>
      <c r="E2371" s="2"/>
      <c r="F2371" s="2"/>
      <c r="G2371" s="2"/>
      <c r="H2371" s="2"/>
      <c r="I2371" s="5"/>
    </row>
    <row r="2372" spans="1:9" ht="17.399999999999999" x14ac:dyDescent="0.25">
      <c r="A2372" s="16"/>
      <c r="B2372" s="17"/>
      <c r="C2372" s="2" t="b">
        <v>0</v>
      </c>
      <c r="D2372" s="2"/>
      <c r="E2372" s="2"/>
      <c r="F2372" s="2"/>
      <c r="G2372" s="2"/>
      <c r="H2372" s="2"/>
      <c r="I2372" s="5"/>
    </row>
    <row r="2373" spans="1:9" ht="17.399999999999999" x14ac:dyDescent="0.25">
      <c r="A2373" s="16"/>
      <c r="B2373" s="17"/>
      <c r="C2373" s="2" t="b">
        <v>0</v>
      </c>
      <c r="D2373" s="2"/>
      <c r="E2373" s="2"/>
      <c r="F2373" s="2"/>
      <c r="G2373" s="2"/>
      <c r="H2373" s="2"/>
      <c r="I2373" s="5"/>
    </row>
    <row r="2374" spans="1:9" ht="17.399999999999999" x14ac:dyDescent="0.25">
      <c r="A2374" s="16"/>
      <c r="B2374" s="17"/>
      <c r="C2374" s="2" t="b">
        <v>0</v>
      </c>
      <c r="D2374" s="2"/>
      <c r="E2374" s="2"/>
      <c r="F2374" s="2"/>
      <c r="G2374" s="2"/>
      <c r="H2374" s="2"/>
      <c r="I2374" s="5"/>
    </row>
    <row r="2375" spans="1:9" ht="17.399999999999999" x14ac:dyDescent="0.25">
      <c r="A2375" s="16"/>
      <c r="B2375" s="17"/>
      <c r="C2375" s="2" t="b">
        <v>0</v>
      </c>
      <c r="D2375" s="2"/>
      <c r="E2375" s="2"/>
      <c r="F2375" s="2"/>
      <c r="G2375" s="2"/>
      <c r="H2375" s="2"/>
      <c r="I2375" s="5"/>
    </row>
    <row r="2376" spans="1:9" ht="17.399999999999999" x14ac:dyDescent="0.25">
      <c r="A2376" s="16"/>
      <c r="B2376" s="17"/>
      <c r="C2376" s="2" t="b">
        <v>0</v>
      </c>
      <c r="D2376" s="2"/>
      <c r="E2376" s="2"/>
      <c r="F2376" s="2"/>
      <c r="G2376" s="2"/>
      <c r="H2376" s="2"/>
      <c r="I2376" s="5"/>
    </row>
    <row r="2377" spans="1:9" ht="17.399999999999999" x14ac:dyDescent="0.25">
      <c r="A2377" s="16"/>
      <c r="B2377" s="17"/>
      <c r="C2377" s="2" t="b">
        <v>0</v>
      </c>
      <c r="D2377" s="2"/>
      <c r="E2377" s="2"/>
      <c r="F2377" s="2"/>
      <c r="G2377" s="2"/>
      <c r="H2377" s="2"/>
      <c r="I2377" s="5"/>
    </row>
    <row r="2378" spans="1:9" ht="17.399999999999999" x14ac:dyDescent="0.25">
      <c r="A2378" s="16"/>
      <c r="B2378" s="17"/>
      <c r="C2378" s="2" t="b">
        <v>0</v>
      </c>
      <c r="D2378" s="2"/>
      <c r="E2378" s="2"/>
      <c r="F2378" s="2"/>
      <c r="G2378" s="2"/>
      <c r="H2378" s="2"/>
      <c r="I2378" s="5"/>
    </row>
    <row r="2379" spans="1:9" ht="17.399999999999999" x14ac:dyDescent="0.25">
      <c r="A2379" s="16"/>
      <c r="B2379" s="17"/>
      <c r="C2379" s="2" t="b">
        <v>0</v>
      </c>
      <c r="D2379" s="2"/>
      <c r="E2379" s="2"/>
      <c r="F2379" s="2"/>
      <c r="G2379" s="2"/>
      <c r="H2379" s="2"/>
      <c r="I2379" s="5"/>
    </row>
    <row r="2380" spans="1:9" ht="17.399999999999999" x14ac:dyDescent="0.25">
      <c r="A2380" s="16"/>
      <c r="B2380" s="17"/>
      <c r="C2380" s="2" t="b">
        <v>0</v>
      </c>
      <c r="D2380" s="2"/>
      <c r="E2380" s="2"/>
      <c r="F2380" s="2"/>
      <c r="G2380" s="2"/>
      <c r="H2380" s="2"/>
      <c r="I2380" s="5"/>
    </row>
    <row r="2381" spans="1:9" ht="17.399999999999999" x14ac:dyDescent="0.25">
      <c r="A2381" s="16"/>
      <c r="B2381" s="17"/>
      <c r="C2381" s="2" t="b">
        <v>0</v>
      </c>
      <c r="D2381" s="2"/>
      <c r="E2381" s="2"/>
      <c r="F2381" s="2"/>
      <c r="G2381" s="2"/>
      <c r="H2381" s="2"/>
      <c r="I2381" s="5"/>
    </row>
    <row r="2382" spans="1:9" ht="17.399999999999999" x14ac:dyDescent="0.25">
      <c r="A2382" s="16"/>
      <c r="B2382" s="17"/>
      <c r="C2382" s="2" t="b">
        <v>0</v>
      </c>
      <c r="D2382" s="2"/>
      <c r="E2382" s="2"/>
      <c r="F2382" s="2"/>
      <c r="G2382" s="2"/>
      <c r="H2382" s="2"/>
      <c r="I2382" s="5"/>
    </row>
    <row r="2383" spans="1:9" ht="17.399999999999999" x14ac:dyDescent="0.25">
      <c r="A2383" s="16"/>
      <c r="B2383" s="17"/>
      <c r="C2383" s="2" t="b">
        <v>0</v>
      </c>
      <c r="D2383" s="2"/>
      <c r="E2383" s="2"/>
      <c r="F2383" s="2"/>
      <c r="G2383" s="2"/>
      <c r="H2383" s="2"/>
      <c r="I2383" s="5"/>
    </row>
    <row r="2384" spans="1:9" ht="17.399999999999999" x14ac:dyDescent="0.25">
      <c r="A2384" s="16"/>
      <c r="B2384" s="17"/>
      <c r="C2384" s="2" t="b">
        <v>0</v>
      </c>
      <c r="D2384" s="2"/>
      <c r="E2384" s="2"/>
      <c r="F2384" s="2"/>
      <c r="G2384" s="2"/>
      <c r="H2384" s="2"/>
      <c r="I2384" s="5"/>
    </row>
    <row r="2385" spans="1:9" ht="17.399999999999999" x14ac:dyDescent="0.25">
      <c r="A2385" s="16"/>
      <c r="B2385" s="17"/>
      <c r="C2385" s="2" t="b">
        <v>0</v>
      </c>
      <c r="D2385" s="2"/>
      <c r="E2385" s="2"/>
      <c r="F2385" s="2"/>
      <c r="G2385" s="2"/>
      <c r="H2385" s="2"/>
      <c r="I2385" s="5"/>
    </row>
    <row r="2386" spans="1:9" ht="17.399999999999999" x14ac:dyDescent="0.25">
      <c r="A2386" s="16"/>
      <c r="B2386" s="17"/>
      <c r="C2386" s="2" t="b">
        <v>0</v>
      </c>
      <c r="D2386" s="2"/>
      <c r="E2386" s="2"/>
      <c r="F2386" s="2"/>
      <c r="G2386" s="2"/>
      <c r="H2386" s="2"/>
      <c r="I2386" s="5"/>
    </row>
    <row r="2387" spans="1:9" ht="17.399999999999999" x14ac:dyDescent="0.25">
      <c r="A2387" s="16"/>
      <c r="B2387" s="17"/>
      <c r="C2387" s="2" t="b">
        <v>0</v>
      </c>
      <c r="D2387" s="2"/>
      <c r="E2387" s="2"/>
      <c r="F2387" s="2"/>
      <c r="G2387" s="2"/>
      <c r="H2387" s="2"/>
      <c r="I2387" s="5"/>
    </row>
    <row r="2388" spans="1:9" ht="17.399999999999999" x14ac:dyDescent="0.25">
      <c r="A2388" s="16"/>
      <c r="B2388" s="17"/>
      <c r="C2388" s="2" t="b">
        <v>0</v>
      </c>
      <c r="D2388" s="2"/>
      <c r="E2388" s="2"/>
      <c r="F2388" s="2"/>
      <c r="G2388" s="2"/>
      <c r="H2388" s="2"/>
      <c r="I2388" s="5"/>
    </row>
    <row r="2389" spans="1:9" ht="17.399999999999999" x14ac:dyDescent="0.25">
      <c r="A2389" s="16"/>
      <c r="B2389" s="17"/>
      <c r="C2389" s="2" t="b">
        <v>0</v>
      </c>
      <c r="D2389" s="2"/>
      <c r="E2389" s="2"/>
      <c r="F2389" s="2"/>
      <c r="G2389" s="2"/>
      <c r="H2389" s="2"/>
      <c r="I2389" s="5"/>
    </row>
    <row r="2390" spans="1:9" ht="17.399999999999999" x14ac:dyDescent="0.25">
      <c r="A2390" s="16"/>
      <c r="B2390" s="17"/>
      <c r="C2390" s="2" t="b">
        <v>0</v>
      </c>
      <c r="D2390" s="2"/>
      <c r="E2390" s="2"/>
      <c r="F2390" s="2"/>
      <c r="G2390" s="2"/>
      <c r="H2390" s="2"/>
      <c r="I2390" s="5"/>
    </row>
    <row r="2391" spans="1:9" ht="17.399999999999999" x14ac:dyDescent="0.25">
      <c r="A2391" s="16"/>
      <c r="B2391" s="17"/>
      <c r="C2391" s="2" t="b">
        <v>0</v>
      </c>
      <c r="D2391" s="2"/>
      <c r="E2391" s="2"/>
      <c r="F2391" s="2"/>
      <c r="G2391" s="2"/>
      <c r="H2391" s="2"/>
      <c r="I2391" s="5"/>
    </row>
    <row r="2392" spans="1:9" ht="17.399999999999999" x14ac:dyDescent="0.25">
      <c r="A2392" s="16"/>
      <c r="B2392" s="17"/>
      <c r="C2392" s="2" t="b">
        <v>0</v>
      </c>
      <c r="D2392" s="2"/>
      <c r="E2392" s="2"/>
      <c r="F2392" s="2"/>
      <c r="G2392" s="2"/>
      <c r="H2392" s="2"/>
      <c r="I2392" s="5"/>
    </row>
    <row r="2393" spans="1:9" ht="17.399999999999999" x14ac:dyDescent="0.25">
      <c r="A2393" s="16"/>
      <c r="B2393" s="17"/>
      <c r="C2393" s="2" t="b">
        <v>0</v>
      </c>
      <c r="D2393" s="2"/>
      <c r="E2393" s="2"/>
      <c r="F2393" s="2"/>
      <c r="G2393" s="2"/>
      <c r="H2393" s="2"/>
      <c r="I2393" s="5"/>
    </row>
    <row r="2394" spans="1:9" ht="17.399999999999999" x14ac:dyDescent="0.25">
      <c r="A2394" s="16"/>
      <c r="B2394" s="17"/>
      <c r="C2394" s="2" t="b">
        <v>0</v>
      </c>
      <c r="D2394" s="2"/>
      <c r="E2394" s="2"/>
      <c r="F2394" s="2"/>
      <c r="G2394" s="2"/>
      <c r="H2394" s="2"/>
      <c r="I2394" s="5"/>
    </row>
    <row r="2395" spans="1:9" ht="17.399999999999999" x14ac:dyDescent="0.25">
      <c r="A2395" s="16"/>
      <c r="B2395" s="17"/>
      <c r="C2395" s="2" t="b">
        <v>0</v>
      </c>
      <c r="D2395" s="2"/>
      <c r="E2395" s="2"/>
      <c r="F2395" s="2"/>
      <c r="G2395" s="2"/>
      <c r="H2395" s="2"/>
      <c r="I2395" s="5"/>
    </row>
    <row r="2396" spans="1:9" ht="17.399999999999999" x14ac:dyDescent="0.25">
      <c r="A2396" s="16"/>
      <c r="B2396" s="17"/>
      <c r="C2396" s="2" t="b">
        <v>0</v>
      </c>
      <c r="D2396" s="2"/>
      <c r="E2396" s="2"/>
      <c r="F2396" s="2"/>
      <c r="G2396" s="2"/>
      <c r="H2396" s="2"/>
      <c r="I2396" s="5"/>
    </row>
    <row r="2397" spans="1:9" ht="17.399999999999999" x14ac:dyDescent="0.25">
      <c r="A2397" s="16"/>
      <c r="B2397" s="17"/>
      <c r="C2397" s="2" t="b">
        <v>0</v>
      </c>
      <c r="D2397" s="2"/>
      <c r="E2397" s="2"/>
      <c r="F2397" s="2"/>
      <c r="G2397" s="2"/>
      <c r="H2397" s="2"/>
      <c r="I2397" s="5"/>
    </row>
    <row r="2398" spans="1:9" ht="17.399999999999999" x14ac:dyDescent="0.25">
      <c r="A2398" s="16"/>
      <c r="B2398" s="17"/>
      <c r="C2398" s="2" t="b">
        <v>0</v>
      </c>
      <c r="D2398" s="2"/>
      <c r="E2398" s="2"/>
      <c r="F2398" s="2"/>
      <c r="G2398" s="2"/>
      <c r="H2398" s="2"/>
      <c r="I2398" s="5"/>
    </row>
    <row r="2399" spans="1:9" ht="17.399999999999999" x14ac:dyDescent="0.25">
      <c r="A2399" s="16"/>
      <c r="B2399" s="17"/>
      <c r="C2399" s="2" t="b">
        <v>0</v>
      </c>
      <c r="D2399" s="2"/>
      <c r="E2399" s="2"/>
      <c r="F2399" s="2"/>
      <c r="G2399" s="2"/>
      <c r="H2399" s="2"/>
      <c r="I2399" s="5"/>
    </row>
    <row r="2400" spans="1:9" ht="17.399999999999999" x14ac:dyDescent="0.25">
      <c r="A2400" s="16"/>
      <c r="B2400" s="17"/>
      <c r="C2400" s="2" t="b">
        <v>0</v>
      </c>
      <c r="D2400" s="2"/>
      <c r="E2400" s="2"/>
      <c r="F2400" s="2"/>
      <c r="G2400" s="2"/>
      <c r="H2400" s="2"/>
      <c r="I2400" s="5"/>
    </row>
    <row r="2401" spans="1:9" ht="17.399999999999999" x14ac:dyDescent="0.25">
      <c r="A2401" s="16"/>
      <c r="B2401" s="17"/>
      <c r="C2401" s="2" t="b">
        <v>0</v>
      </c>
      <c r="D2401" s="2"/>
      <c r="E2401" s="2"/>
      <c r="F2401" s="2"/>
      <c r="G2401" s="2"/>
      <c r="H2401" s="2"/>
      <c r="I2401" s="5"/>
    </row>
    <row r="2402" spans="1:9" ht="17.399999999999999" x14ac:dyDescent="0.25">
      <c r="A2402" s="16"/>
      <c r="B2402" s="17"/>
      <c r="C2402" s="2" t="b">
        <v>0</v>
      </c>
      <c r="D2402" s="2"/>
      <c r="E2402" s="2"/>
      <c r="F2402" s="2"/>
      <c r="G2402" s="2"/>
      <c r="H2402" s="2"/>
      <c r="I2402" s="5"/>
    </row>
    <row r="2403" spans="1:9" ht="17.399999999999999" x14ac:dyDescent="0.25">
      <c r="A2403" s="16"/>
      <c r="B2403" s="17"/>
      <c r="C2403" s="2" t="b">
        <v>0</v>
      </c>
      <c r="D2403" s="2"/>
      <c r="E2403" s="2"/>
      <c r="F2403" s="2"/>
      <c r="G2403" s="2"/>
      <c r="H2403" s="2"/>
      <c r="I2403" s="5"/>
    </row>
    <row r="2404" spans="1:9" ht="17.399999999999999" x14ac:dyDescent="0.25">
      <c r="A2404" s="16"/>
      <c r="B2404" s="17"/>
      <c r="C2404" s="2" t="b">
        <v>0</v>
      </c>
      <c r="D2404" s="2"/>
      <c r="E2404" s="2"/>
      <c r="F2404" s="2"/>
      <c r="G2404" s="2"/>
      <c r="H2404" s="2"/>
      <c r="I2404" s="5"/>
    </row>
    <row r="2405" spans="1:9" ht="17.399999999999999" x14ac:dyDescent="0.25">
      <c r="A2405" s="16"/>
      <c r="B2405" s="17"/>
      <c r="C2405" s="2" t="b">
        <v>0</v>
      </c>
      <c r="D2405" s="2"/>
      <c r="E2405" s="2"/>
      <c r="F2405" s="2"/>
      <c r="G2405" s="2"/>
      <c r="H2405" s="2"/>
      <c r="I2405" s="5"/>
    </row>
    <row r="2406" spans="1:9" ht="17.399999999999999" x14ac:dyDescent="0.25">
      <c r="A2406" s="16"/>
      <c r="B2406" s="17"/>
      <c r="C2406" s="2" t="b">
        <v>0</v>
      </c>
      <c r="D2406" s="2"/>
      <c r="E2406" s="2"/>
      <c r="F2406" s="2"/>
      <c r="G2406" s="2"/>
      <c r="H2406" s="2"/>
      <c r="I2406" s="5"/>
    </row>
    <row r="2407" spans="1:9" ht="17.399999999999999" x14ac:dyDescent="0.25">
      <c r="A2407" s="16"/>
      <c r="B2407" s="17"/>
      <c r="C2407" s="2" t="b">
        <v>0</v>
      </c>
      <c r="D2407" s="2"/>
      <c r="E2407" s="2"/>
      <c r="F2407" s="2"/>
      <c r="G2407" s="2"/>
      <c r="H2407" s="2"/>
      <c r="I2407" s="5"/>
    </row>
    <row r="2408" spans="1:9" ht="17.399999999999999" x14ac:dyDescent="0.25">
      <c r="A2408" s="16"/>
      <c r="B2408" s="17"/>
      <c r="C2408" s="2" t="b">
        <v>0</v>
      </c>
      <c r="D2408" s="2"/>
      <c r="E2408" s="2"/>
      <c r="F2408" s="2"/>
      <c r="G2408" s="2"/>
      <c r="H2408" s="2"/>
      <c r="I2408" s="5"/>
    </row>
    <row r="2409" spans="1:9" ht="17.399999999999999" x14ac:dyDescent="0.25">
      <c r="A2409" s="16"/>
      <c r="B2409" s="17"/>
      <c r="C2409" s="2" t="b">
        <v>0</v>
      </c>
      <c r="D2409" s="2"/>
      <c r="E2409" s="2"/>
      <c r="F2409" s="2"/>
      <c r="G2409" s="2"/>
      <c r="H2409" s="2"/>
      <c r="I2409" s="5"/>
    </row>
    <row r="2410" spans="1:9" ht="17.399999999999999" x14ac:dyDescent="0.25">
      <c r="A2410" s="16"/>
      <c r="B2410" s="17"/>
      <c r="C2410" s="2" t="b">
        <v>0</v>
      </c>
      <c r="D2410" s="2"/>
      <c r="E2410" s="2"/>
      <c r="F2410" s="2"/>
      <c r="G2410" s="2"/>
      <c r="H2410" s="2"/>
      <c r="I2410" s="5"/>
    </row>
    <row r="2411" spans="1:9" ht="17.399999999999999" x14ac:dyDescent="0.25">
      <c r="A2411" s="16"/>
      <c r="B2411" s="17"/>
      <c r="C2411" s="2" t="b">
        <v>0</v>
      </c>
      <c r="D2411" s="2"/>
      <c r="E2411" s="2"/>
      <c r="F2411" s="2"/>
      <c r="G2411" s="2"/>
      <c r="H2411" s="2"/>
      <c r="I2411" s="5"/>
    </row>
    <row r="2412" spans="1:9" ht="17.399999999999999" x14ac:dyDescent="0.25">
      <c r="A2412" s="16"/>
      <c r="B2412" s="17"/>
      <c r="C2412" s="2" t="b">
        <v>0</v>
      </c>
      <c r="D2412" s="2"/>
      <c r="E2412" s="2"/>
      <c r="F2412" s="2"/>
      <c r="G2412" s="2"/>
      <c r="H2412" s="2"/>
      <c r="I2412" s="5"/>
    </row>
    <row r="2413" spans="1:9" ht="17.399999999999999" x14ac:dyDescent="0.25">
      <c r="A2413" s="16"/>
      <c r="B2413" s="17"/>
      <c r="C2413" s="2" t="b">
        <v>0</v>
      </c>
      <c r="D2413" s="2"/>
      <c r="E2413" s="2"/>
      <c r="F2413" s="2"/>
      <c r="G2413" s="2"/>
      <c r="H2413" s="2"/>
      <c r="I2413" s="5"/>
    </row>
    <row r="2414" spans="1:9" ht="17.399999999999999" x14ac:dyDescent="0.25">
      <c r="A2414" s="16"/>
      <c r="B2414" s="17"/>
      <c r="C2414" s="2" t="b">
        <v>0</v>
      </c>
      <c r="D2414" s="2"/>
      <c r="E2414" s="2"/>
      <c r="F2414" s="2"/>
      <c r="G2414" s="2"/>
      <c r="H2414" s="2"/>
      <c r="I2414" s="5"/>
    </row>
    <row r="2415" spans="1:9" ht="17.399999999999999" x14ac:dyDescent="0.25">
      <c r="A2415" s="16"/>
      <c r="B2415" s="17"/>
      <c r="C2415" s="2" t="b">
        <v>0</v>
      </c>
      <c r="D2415" s="2"/>
      <c r="E2415" s="2"/>
      <c r="F2415" s="2"/>
      <c r="G2415" s="2"/>
      <c r="H2415" s="2"/>
      <c r="I2415" s="5"/>
    </row>
    <row r="2416" spans="1:9" ht="17.399999999999999" x14ac:dyDescent="0.25">
      <c r="A2416" s="16"/>
      <c r="B2416" s="17"/>
      <c r="C2416" s="2" t="b">
        <v>0</v>
      </c>
      <c r="D2416" s="2"/>
      <c r="E2416" s="2"/>
      <c r="F2416" s="2"/>
      <c r="G2416" s="2"/>
      <c r="H2416" s="2"/>
      <c r="I2416" s="5"/>
    </row>
    <row r="2417" spans="1:9" ht="17.399999999999999" x14ac:dyDescent="0.25">
      <c r="A2417" s="16"/>
      <c r="B2417" s="17"/>
      <c r="C2417" s="2" t="b">
        <v>0</v>
      </c>
      <c r="D2417" s="2"/>
      <c r="E2417" s="2"/>
      <c r="F2417" s="2"/>
      <c r="G2417" s="2"/>
      <c r="H2417" s="2"/>
      <c r="I2417" s="5"/>
    </row>
    <row r="2418" spans="1:9" ht="17.399999999999999" x14ac:dyDescent="0.25">
      <c r="A2418" s="16"/>
      <c r="B2418" s="17"/>
      <c r="C2418" s="2" t="b">
        <v>0</v>
      </c>
      <c r="D2418" s="2"/>
      <c r="E2418" s="2"/>
      <c r="F2418" s="2"/>
      <c r="G2418" s="2"/>
      <c r="H2418" s="2"/>
      <c r="I2418" s="5"/>
    </row>
    <row r="2419" spans="1:9" ht="17.399999999999999" x14ac:dyDescent="0.25">
      <c r="A2419" s="16"/>
      <c r="B2419" s="17"/>
      <c r="C2419" s="2" t="b">
        <v>0</v>
      </c>
      <c r="D2419" s="2"/>
      <c r="E2419" s="2"/>
      <c r="F2419" s="2"/>
      <c r="G2419" s="2"/>
      <c r="H2419" s="2"/>
      <c r="I2419" s="5"/>
    </row>
    <row r="2420" spans="1:9" ht="17.399999999999999" x14ac:dyDescent="0.25">
      <c r="A2420" s="16"/>
      <c r="B2420" s="17"/>
      <c r="C2420" s="2" t="b">
        <v>0</v>
      </c>
      <c r="D2420" s="2"/>
      <c r="E2420" s="2"/>
      <c r="F2420" s="2"/>
      <c r="G2420" s="2"/>
      <c r="H2420" s="2"/>
      <c r="I2420" s="5"/>
    </row>
    <row r="2421" spans="1:9" ht="17.399999999999999" x14ac:dyDescent="0.25">
      <c r="A2421" s="16"/>
      <c r="B2421" s="17"/>
      <c r="C2421" s="2" t="b">
        <v>0</v>
      </c>
      <c r="D2421" s="2"/>
      <c r="E2421" s="2"/>
      <c r="F2421" s="2"/>
      <c r="G2421" s="2"/>
      <c r="H2421" s="2"/>
      <c r="I2421" s="5"/>
    </row>
    <row r="2422" spans="1:9" ht="17.399999999999999" x14ac:dyDescent="0.25">
      <c r="A2422" s="16"/>
      <c r="B2422" s="17"/>
      <c r="C2422" s="2" t="b">
        <v>0</v>
      </c>
      <c r="D2422" s="2"/>
      <c r="E2422" s="2"/>
      <c r="F2422" s="2"/>
      <c r="G2422" s="2"/>
      <c r="H2422" s="2"/>
      <c r="I2422" s="5"/>
    </row>
    <row r="2423" spans="1:9" ht="17.399999999999999" x14ac:dyDescent="0.25">
      <c r="A2423" s="16"/>
      <c r="B2423" s="17"/>
      <c r="C2423" s="2" t="b">
        <v>0</v>
      </c>
      <c r="D2423" s="2"/>
      <c r="E2423" s="2"/>
      <c r="F2423" s="2"/>
      <c r="G2423" s="2"/>
      <c r="H2423" s="2"/>
      <c r="I2423" s="5"/>
    </row>
    <row r="2424" spans="1:9" ht="17.399999999999999" x14ac:dyDescent="0.25">
      <c r="A2424" s="16"/>
      <c r="B2424" s="17"/>
      <c r="C2424" s="2" t="b">
        <v>0</v>
      </c>
      <c r="D2424" s="2"/>
      <c r="E2424" s="2"/>
      <c r="F2424" s="2"/>
      <c r="G2424" s="2"/>
      <c r="H2424" s="2"/>
      <c r="I2424" s="5"/>
    </row>
    <row r="2425" spans="1:9" ht="17.399999999999999" x14ac:dyDescent="0.25">
      <c r="A2425" s="16"/>
      <c r="B2425" s="17"/>
      <c r="C2425" s="2" t="b">
        <v>0</v>
      </c>
      <c r="D2425" s="2"/>
      <c r="E2425" s="2"/>
      <c r="F2425" s="2"/>
      <c r="G2425" s="2"/>
      <c r="H2425" s="2"/>
      <c r="I2425" s="5"/>
    </row>
    <row r="2426" spans="1:9" ht="17.399999999999999" x14ac:dyDescent="0.25">
      <c r="A2426" s="16"/>
      <c r="B2426" s="17"/>
      <c r="C2426" s="2" t="b">
        <v>0</v>
      </c>
      <c r="D2426" s="2"/>
      <c r="E2426" s="2"/>
      <c r="F2426" s="2"/>
      <c r="G2426" s="2"/>
      <c r="H2426" s="2"/>
      <c r="I2426" s="5"/>
    </row>
    <row r="2427" spans="1:9" ht="17.399999999999999" x14ac:dyDescent="0.25">
      <c r="A2427" s="16"/>
      <c r="B2427" s="17"/>
      <c r="C2427" s="2" t="b">
        <v>0</v>
      </c>
      <c r="D2427" s="2"/>
      <c r="E2427" s="2"/>
      <c r="F2427" s="2"/>
      <c r="G2427" s="2"/>
      <c r="H2427" s="2"/>
      <c r="I2427" s="5"/>
    </row>
    <row r="2428" spans="1:9" ht="17.399999999999999" x14ac:dyDescent="0.25">
      <c r="A2428" s="16"/>
      <c r="B2428" s="17"/>
      <c r="C2428" s="2" t="b">
        <v>0</v>
      </c>
      <c r="D2428" s="2"/>
      <c r="E2428" s="2"/>
      <c r="F2428" s="2"/>
      <c r="G2428" s="2"/>
      <c r="H2428" s="2"/>
      <c r="I2428" s="5"/>
    </row>
    <row r="2429" spans="1:9" ht="17.399999999999999" x14ac:dyDescent="0.25">
      <c r="A2429" s="16"/>
      <c r="B2429" s="17"/>
      <c r="C2429" s="2" t="b">
        <v>0</v>
      </c>
      <c r="D2429" s="2"/>
      <c r="E2429" s="2"/>
      <c r="F2429" s="2"/>
      <c r="G2429" s="2"/>
      <c r="H2429" s="2"/>
      <c r="I2429" s="5"/>
    </row>
    <row r="2430" spans="1:9" ht="17.399999999999999" x14ac:dyDescent="0.25">
      <c r="A2430" s="16"/>
      <c r="B2430" s="17"/>
      <c r="C2430" s="2" t="b">
        <v>0</v>
      </c>
      <c r="D2430" s="2"/>
      <c r="E2430" s="2"/>
      <c r="F2430" s="2"/>
      <c r="G2430" s="2"/>
      <c r="H2430" s="2"/>
      <c r="I2430" s="5"/>
    </row>
    <row r="2431" spans="1:9" ht="17.399999999999999" x14ac:dyDescent="0.25">
      <c r="A2431" s="16"/>
      <c r="B2431" s="17"/>
      <c r="C2431" s="2" t="b">
        <v>0</v>
      </c>
      <c r="D2431" s="2"/>
      <c r="E2431" s="2"/>
      <c r="F2431" s="2"/>
      <c r="G2431" s="2"/>
      <c r="H2431" s="2"/>
      <c r="I2431" s="5"/>
    </row>
    <row r="2432" spans="1:9" ht="17.399999999999999" x14ac:dyDescent="0.25">
      <c r="A2432" s="16"/>
      <c r="B2432" s="17"/>
      <c r="C2432" s="2" t="b">
        <v>0</v>
      </c>
      <c r="D2432" s="2"/>
      <c r="E2432" s="2"/>
      <c r="F2432" s="2"/>
      <c r="G2432" s="2"/>
      <c r="H2432" s="2"/>
      <c r="I2432" s="5"/>
    </row>
    <row r="2433" spans="1:9" ht="17.399999999999999" x14ac:dyDescent="0.25">
      <c r="A2433" s="16"/>
      <c r="B2433" s="17"/>
      <c r="C2433" s="2" t="b">
        <v>0</v>
      </c>
      <c r="D2433" s="2"/>
      <c r="E2433" s="2"/>
      <c r="F2433" s="2"/>
      <c r="G2433" s="2"/>
      <c r="H2433" s="2"/>
      <c r="I2433" s="5"/>
    </row>
    <row r="2434" spans="1:9" ht="17.399999999999999" x14ac:dyDescent="0.25">
      <c r="A2434" s="16"/>
      <c r="B2434" s="17"/>
      <c r="C2434" s="2" t="b">
        <v>0</v>
      </c>
      <c r="D2434" s="2"/>
      <c r="E2434" s="2"/>
      <c r="F2434" s="2"/>
      <c r="G2434" s="2"/>
      <c r="H2434" s="2"/>
      <c r="I2434" s="5"/>
    </row>
    <row r="2435" spans="1:9" ht="17.399999999999999" x14ac:dyDescent="0.25">
      <c r="A2435" s="16"/>
      <c r="B2435" s="17"/>
      <c r="C2435" s="2" t="b">
        <v>0</v>
      </c>
      <c r="D2435" s="2"/>
      <c r="E2435" s="2"/>
      <c r="F2435" s="2"/>
      <c r="G2435" s="2"/>
      <c r="H2435" s="2"/>
      <c r="I2435" s="5"/>
    </row>
    <row r="2436" spans="1:9" ht="17.399999999999999" x14ac:dyDescent="0.25">
      <c r="A2436" s="16"/>
      <c r="B2436" s="17"/>
      <c r="C2436" s="2" t="b">
        <v>0</v>
      </c>
      <c r="D2436" s="2"/>
      <c r="E2436" s="2"/>
      <c r="F2436" s="2"/>
      <c r="G2436" s="2"/>
      <c r="H2436" s="2"/>
      <c r="I2436" s="5"/>
    </row>
    <row r="2437" spans="1:9" ht="17.399999999999999" x14ac:dyDescent="0.25">
      <c r="A2437" s="16"/>
      <c r="B2437" s="17"/>
      <c r="C2437" s="2" t="b">
        <v>0</v>
      </c>
      <c r="D2437" s="2"/>
      <c r="E2437" s="2"/>
      <c r="F2437" s="2"/>
      <c r="G2437" s="2"/>
      <c r="H2437" s="2"/>
      <c r="I2437" s="5"/>
    </row>
    <row r="2438" spans="1:9" ht="17.399999999999999" x14ac:dyDescent="0.25">
      <c r="A2438" s="16"/>
      <c r="B2438" s="17"/>
      <c r="C2438" s="2" t="b">
        <v>0</v>
      </c>
      <c r="D2438" s="2"/>
      <c r="E2438" s="2"/>
      <c r="F2438" s="2"/>
      <c r="G2438" s="2"/>
      <c r="H2438" s="2"/>
      <c r="I2438" s="5"/>
    </row>
    <row r="2439" spans="1:9" ht="17.399999999999999" x14ac:dyDescent="0.25">
      <c r="A2439" s="16"/>
      <c r="B2439" s="17"/>
      <c r="C2439" s="2" t="b">
        <v>0</v>
      </c>
      <c r="D2439" s="2"/>
      <c r="E2439" s="2"/>
      <c r="F2439" s="2"/>
      <c r="G2439" s="2"/>
      <c r="H2439" s="2"/>
      <c r="I2439" s="5"/>
    </row>
    <row r="2440" spans="1:9" ht="17.399999999999999" x14ac:dyDescent="0.25">
      <c r="A2440" s="16"/>
      <c r="B2440" s="17"/>
      <c r="C2440" s="2" t="b">
        <v>0</v>
      </c>
      <c r="D2440" s="2"/>
      <c r="E2440" s="2"/>
      <c r="F2440" s="2"/>
      <c r="G2440" s="2"/>
      <c r="H2440" s="2"/>
      <c r="I2440" s="5"/>
    </row>
  </sheetData>
  <mergeCells count="2">
    <mergeCell ref="B2:H2"/>
    <mergeCell ref="B3:H3"/>
  </mergeCells>
  <conditionalFormatting sqref="A1:H2440">
    <cfRule type="cellIs" dxfId="13" priority="1" operator="equal">
      <formula>"Purchased Perks"</formula>
    </cfRule>
    <cfRule type="expression" dxfId="12" priority="2">
      <formula>IF($E1="Purchased Perks",TRUE,FALSE)</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outlinePr summaryBelow="0" summaryRight="0"/>
  </sheetPr>
  <dimension ref="A1:XFD2440"/>
  <sheetViews>
    <sheetView workbookViewId="0">
      <pane ySplit="4" topLeftCell="A5" activePane="bottomLeft" state="frozen"/>
      <selection pane="bottomLeft" activeCell="B6" sqref="B6"/>
    </sheetView>
  </sheetViews>
  <sheetFormatPr defaultColWidth="12.6640625" defaultRowHeight="15.75" customHeight="1" x14ac:dyDescent="0.25"/>
  <cols>
    <col min="1" max="1" width="3.21875" customWidth="1"/>
    <col min="2" max="2" width="3.33203125" customWidth="1"/>
    <col min="3" max="3" width="10" customWidth="1"/>
    <col min="4" max="4" width="7.6640625" customWidth="1"/>
    <col min="5" max="5" width="20.88671875" customWidth="1"/>
    <col min="6" max="6" width="14.77734375" customWidth="1"/>
    <col min="7" max="7" width="19.44140625" customWidth="1"/>
    <col min="8" max="8" width="105.109375" customWidth="1"/>
    <col min="9" max="9" width="3.21875" customWidth="1"/>
    <col min="16384" max="16384" width="0" hidden="1" customWidth="1"/>
  </cols>
  <sheetData>
    <row r="1" spans="1:9 16384:16384" ht="18.75" hidden="1" customHeight="1" x14ac:dyDescent="0.25">
      <c r="A1" s="16"/>
      <c r="B1" s="16"/>
      <c r="C1" s="26"/>
      <c r="D1" s="26"/>
      <c r="E1" s="26"/>
      <c r="F1" s="26"/>
      <c r="G1" s="26"/>
      <c r="H1" s="26"/>
      <c r="I1" s="5"/>
      <c r="XFD1">
        <f ca="1">IF('Roll All'!$B$4="Roll!",RAND(),RAND())</f>
        <v>0.52435947645397296</v>
      </c>
    </row>
    <row r="2" spans="1:9 16384:16384" ht="43.5" customHeight="1" x14ac:dyDescent="0.25">
      <c r="A2" s="16"/>
      <c r="B2" s="54" t="s">
        <v>59</v>
      </c>
      <c r="C2" s="40"/>
      <c r="D2" s="40"/>
      <c r="E2" s="40"/>
      <c r="F2" s="40"/>
      <c r="G2" s="40"/>
      <c r="H2" s="40"/>
      <c r="I2" s="5"/>
    </row>
    <row r="3" spans="1:9 16384:16384" ht="30" customHeight="1" x14ac:dyDescent="0.25">
      <c r="A3" s="16"/>
      <c r="B3" s="42" t="s">
        <v>5656</v>
      </c>
      <c r="C3" s="40"/>
      <c r="D3" s="40"/>
      <c r="E3" s="40"/>
      <c r="F3" s="40"/>
      <c r="G3" s="40"/>
      <c r="H3" s="40"/>
      <c r="I3" s="5"/>
    </row>
    <row r="4" spans="1:9 16384:16384" ht="34.799999999999997" x14ac:dyDescent="0.25">
      <c r="A4" s="16"/>
      <c r="B4" s="17">
        <f t="array" ref="B4:B153">ROW(B4:B2440)-4</f>
        <v>0</v>
      </c>
      <c r="C4" s="10" t="s">
        <v>50</v>
      </c>
      <c r="D4" s="10" t="s">
        <v>20</v>
      </c>
      <c r="E4" s="10" t="s">
        <v>21</v>
      </c>
      <c r="F4" s="10" t="s">
        <v>22</v>
      </c>
      <c r="G4" s="10" t="s">
        <v>23</v>
      </c>
      <c r="H4" s="10" t="s">
        <v>24</v>
      </c>
      <c r="I4" s="5"/>
    </row>
    <row r="5" spans="1:9 16384:16384" ht="139.19999999999999" x14ac:dyDescent="0.25">
      <c r="A5" s="16"/>
      <c r="B5" s="17">
        <v>1</v>
      </c>
      <c r="C5" s="3" t="b">
        <f ca="1">IFERROR(__xludf.DUMMYFUNCTION("sort(filter('Full Perk List'!B3:G1935,'Full Perk List'!F3:F1935=B2),1,1,2,1,3,1)"),FALSE)</f>
        <v>0</v>
      </c>
      <c r="D5" s="3">
        <f ca="1">IFERROR(__xludf.DUMMYFUNCTION("""COMPUTED_VALUE"""),0)</f>
        <v>0</v>
      </c>
      <c r="E5" s="3" t="str">
        <f ca="1">IFERROR(__xludf.DUMMYFUNCTION("""COMPUTED_VALUE"""),"Books of Wisdom'")</f>
        <v>Books of Wisdom'</v>
      </c>
      <c r="F5" s="3" t="str">
        <f ca="1">IFERROR(__xludf.DUMMYFUNCTION("""COMPUTED_VALUE"""),"Dragon Ball: Troop of Beasts")</f>
        <v>Dragon Ball: Troop of Beasts</v>
      </c>
      <c r="G5" s="3" t="str">
        <f ca="1">IFERROR(__xludf.DUMMYFUNCTION("""COMPUTED_VALUE"""),"Porn &amp; Paraphernalia")</f>
        <v>Porn &amp; Paraphernalia</v>
      </c>
      <c r="H5" s="3" t="str">
        <f ca="1">IFERROR(__xludf.DUMMYFUNCTION("""COMPUTED_VALUE"""),"Ahah, it seems that you share Master Roshi’s love of literacy! You possess a vast library of various books, all centered around a certain the- Okay, yeah, it’s porn. What you got here is an impressive amount of porn books, in the format of either novels, "&amp;"comics or photos. What’s interesting is that a good number of them seem to represent alternate versions of the jumps you have visited, much like this universe is based on a version of Dragon Ball where Goku never hit his head. For example, one book can ta"&amp;"ke place in a world where Planet Vegeta never blew up and the saiyans are having sexy shenanigans, or a world where one of the many villains won and enjoyed the spoils of conquest. Naturally, this library expands with each world you visit.")</f>
        <v>Ahah, it seems that you share Master Roshi’s love of literacy! You possess a vast library of various books, all centered around a certain the- Okay, yeah, it’s porn. What you got here is an impressive amount of porn books, in the format of either novels, comics or photos. What’s interesting is that a good number of them seem to represent alternate versions of the jumps you have visited, much like this universe is based on a version of Dragon Ball where Goku never hit his head. For example, one book can take place in a world where Planet Vegeta never blew up and the saiyans are having sexy shenanigans, or a world where one of the many villains won and enjoyed the spoils of conquest. Naturally, this library expands with each world you visit.</v>
      </c>
      <c r="I5" s="5"/>
    </row>
    <row r="6" spans="1:9 16384:16384" ht="52.2" x14ac:dyDescent="0.25">
      <c r="A6" s="16"/>
      <c r="B6" s="17">
        <v>2</v>
      </c>
      <c r="C6" s="4" t="b">
        <f ca="1">IFERROR(__xludf.DUMMYFUNCTION("""COMPUTED_VALUE"""),FALSE)</f>
        <v>0</v>
      </c>
      <c r="D6" s="4">
        <f ca="1">IFERROR(__xludf.DUMMYFUNCTION("""COMPUTED_VALUE"""),0)</f>
        <v>0</v>
      </c>
      <c r="E6" s="4" t="str">
        <f ca="1">IFERROR(__xludf.DUMMYFUNCTION("""COMPUTED_VALUE"""),"Completed Eroge")</f>
        <v>Completed Eroge</v>
      </c>
      <c r="F6" s="4" t="str">
        <f ca="1">IFERROR(__xludf.DUMMYFUNCTION("""COMPUTED_VALUE"""),"Power Play")</f>
        <v>Power Play</v>
      </c>
      <c r="G6" s="4" t="str">
        <f ca="1">IFERROR(__xludf.DUMMYFUNCTION("""COMPUTED_VALUE"""),"Porn &amp; Paraphernalia")</f>
        <v>Porn &amp; Paraphernalia</v>
      </c>
      <c r="H6" s="4" t="str">
        <f ca="1">IFERROR(__xludf.DUMMYFUNCTION("""COMPUTED_VALUE"""),"A completed version of the eroge Sadaharu was intending to make, without knowing that it was actually based on his memories as the Evil Sex King. A high- quality story that would surely have pushed Sadaharu into the big leagues of eroge production, if onl"&amp;"y he had ever finished it.")</f>
        <v>A completed version of the eroge Sadaharu was intending to make, without knowing that it was actually based on his memories as the Evil Sex King. A high- quality story that would surely have pushed Sadaharu into the big leagues of eroge production, if only he had ever finished it.</v>
      </c>
      <c r="I6" s="5"/>
    </row>
    <row r="7" spans="1:9 16384:16384" ht="139.19999999999999" x14ac:dyDescent="0.25">
      <c r="A7" s="16"/>
      <c r="B7" s="17">
        <v>3</v>
      </c>
      <c r="C7" s="2" t="b">
        <f ca="1">IFERROR(__xludf.DUMMYFUNCTION("""COMPUTED_VALUE"""),FALSE)</f>
        <v>0</v>
      </c>
      <c r="D7" s="2">
        <f ca="1">IFERROR(__xludf.DUMMYFUNCTION("""COMPUTED_VALUE"""),0)</f>
        <v>0</v>
      </c>
      <c r="E7" s="2" t="str">
        <f ca="1">IFERROR(__xludf.DUMMYFUNCTION("""COMPUTED_VALUE"""),"Ith-Video Account")</f>
        <v>Ith-Video Account</v>
      </c>
      <c r="F7" s="2" t="str">
        <f ca="1">IFERROR(__xludf.DUMMYFUNCTION("""COMPUTED_VALUE"""),"Evening Starter")</f>
        <v>Evening Starter</v>
      </c>
      <c r="G7" s="2" t="str">
        <f ca="1">IFERROR(__xludf.DUMMYFUNCTION("""COMPUTED_VALUE"""),"Porn &amp; Paraphernalia")</f>
        <v>Porn &amp; Paraphernalia</v>
      </c>
      <c r="H7" s="2" t="str">
        <f ca="1">IFERROR(__xludf.DUMMYFUNCTION("""COMPUTED_VALUE"""),"A strange website that has no known owner or even actual content providers. Yet, for some strange reason, random videos keep getting added to the site. To make matters even stranger, they can come from all points in time, location, and even plane of exist"&amp;"ence. More often than not, you will find videos involving your companions and you involved in all sorts of strange moments of debauchery and adventure. Essentially, you get an account of a strange online video site that will randomly post videos of your c"&amp;"ompanions and you in sexual moments or moments of violence. You might even see glimpses into the future or a future that will never come about, but you’ll get no context of how your companions or you ended up in that situation.")</f>
        <v>A strange website that has no known owner or even actual content providers. Yet, for some strange reason, random videos keep getting added to the site. To make matters even stranger, they can come from all points in time, location, and even plane of existence. More often than not, you will find videos involving your companions and you involved in all sorts of strange moments of debauchery and adventure. Essentially, you get an account of a strange online video site that will randomly post videos of your companions and you in sexual moments or moments of violence. You might even see glimpses into the future or a future that will never come about, but you’ll get no context of how your companions or you ended up in that situation.</v>
      </c>
      <c r="I7" s="5"/>
    </row>
    <row r="8" spans="1:9 16384:16384" ht="52.2" x14ac:dyDescent="0.25">
      <c r="A8" s="16"/>
      <c r="B8" s="17">
        <v>4</v>
      </c>
      <c r="C8" s="2" t="b">
        <f ca="1">IFERROR(__xludf.DUMMYFUNCTION("""COMPUTED_VALUE"""),FALSE)</f>
        <v>0</v>
      </c>
      <c r="D8" s="2">
        <f ca="1">IFERROR(__xludf.DUMMYFUNCTION("""COMPUTED_VALUE"""),0)</f>
        <v>0</v>
      </c>
      <c r="E8" s="2" t="str">
        <f ca="1">IFERROR(__xludf.DUMMYFUNCTION("""COMPUTED_VALUE"""),"Preferred Refreshments")</f>
        <v>Preferred Refreshments</v>
      </c>
      <c r="F8" s="2" t="str">
        <f ca="1">IFERROR(__xludf.DUMMYFUNCTION("""COMPUTED_VALUE"""),"Free Cities - 9anon Edition")</f>
        <v>Free Cities - 9anon Edition</v>
      </c>
      <c r="G8" s="2" t="str">
        <f ca="1">IFERROR(__xludf.DUMMYFUNCTION("""COMPUTED_VALUE"""),"Porn &amp; Paraphernalia")</f>
        <v>Porn &amp; Paraphernalia</v>
      </c>
      <c r="H8" s="2" t="str">
        <f ca="1">IFERROR(__xludf.DUMMYFUNCTION("""COMPUTED_VALUE"""),"Everyone’s got their vice, and being an arcology owner means having the means to ensure a steady supply of whatever yours is. Pick some sort of mundane consumable; like a food, drink, or drug. You have an endless supply of it, and what you get is of excel"&amp;"lent quality.")</f>
        <v>Everyone’s got their vice, and being an arcology owner means having the means to ensure a steady supply of whatever yours is. Pick some sort of mundane consumable; like a food, drink, or drug. You have an endless supply of it, and what you get is of excellent quality.</v>
      </c>
      <c r="I8" s="5"/>
    </row>
    <row r="9" spans="1:9 16384:16384" ht="69.599999999999994" x14ac:dyDescent="0.25">
      <c r="A9" s="16"/>
      <c r="B9" s="17">
        <v>5</v>
      </c>
      <c r="C9" s="2" t="b">
        <f ca="1">IFERROR(__xludf.DUMMYFUNCTION("""COMPUTED_VALUE"""),FALSE)</f>
        <v>0</v>
      </c>
      <c r="D9" s="2">
        <f ca="1">IFERROR(__xludf.DUMMYFUNCTION("""COMPUTED_VALUE"""),0)</f>
        <v>0</v>
      </c>
      <c r="E9" s="2" t="str">
        <f ca="1">IFERROR(__xludf.DUMMYFUNCTION("""COMPUTED_VALUE"""),"Slippery Fun")</f>
        <v>Slippery Fun</v>
      </c>
      <c r="F9" s="2" t="str">
        <f ca="1">IFERROR(__xludf.DUMMYFUNCTION("""COMPUTED_VALUE"""),"Haydee 2")</f>
        <v>Haydee 2</v>
      </c>
      <c r="G9" s="2" t="str">
        <f ca="1">IFERROR(__xludf.DUMMYFUNCTION("""COMPUTED_VALUE"""),"Porn &amp; Paraphernalia")</f>
        <v>Porn &amp; Paraphernalia</v>
      </c>
      <c r="H9" s="2" t="str">
        <f ca="1">IFERROR(__xludf.DUMMYFUNCTION("""COMPUTED_VALUE"""),"Taking the form of a large dispenser, this item can produce an infinite amount of Triphenylamine Juicy - a high strength water based lube gel - in containers of various different sizes, with the smallest being a 2fl oz bottle and the largest being a 275 g"&amp;"allon tank. It also comes with various hose spouts in case you need to shoot the lube out of a hose for whatever reason.")</f>
        <v>Taking the form of a large dispenser, this item can produce an infinite amount of Triphenylamine Juicy - a high strength water based lube gel - in containers of various different sizes, with the smallest being a 2fl oz bottle and the largest being a 275 gallon tank. It also comes with various hose spouts in case you need to shoot the lube out of a hose for whatever reason.</v>
      </c>
      <c r="I9" s="5"/>
    </row>
    <row r="10" spans="1:9 16384:16384" ht="104.4" x14ac:dyDescent="0.25">
      <c r="A10" s="16"/>
      <c r="B10" s="17">
        <v>6</v>
      </c>
      <c r="C10" s="2" t="b">
        <f ca="1">IFERROR(__xludf.DUMMYFUNCTION("""COMPUTED_VALUE"""),FALSE)</f>
        <v>0</v>
      </c>
      <c r="D10" s="2">
        <f ca="1">IFERROR(__xludf.DUMMYFUNCTION("""COMPUTED_VALUE"""),0)</f>
        <v>0</v>
      </c>
      <c r="E10" s="2" t="str">
        <f ca="1">IFERROR(__xludf.DUMMYFUNCTION("""COMPUTED_VALUE"""),"White Bread")</f>
        <v>White Bread</v>
      </c>
      <c r="F10" s="2" t="str">
        <f ca="1">IFERROR(__xludf.DUMMYFUNCTION("""COMPUTED_VALUE"""),"Kyonyuu Fantasy")</f>
        <v>Kyonyuu Fantasy</v>
      </c>
      <c r="G10" s="2" t="str">
        <f ca="1">IFERROR(__xludf.DUMMYFUNCTION("""COMPUTED_VALUE"""),"Porn &amp; Paraphernalia")</f>
        <v>Porn &amp; Paraphernalia</v>
      </c>
      <c r="H10" s="2" t="str">
        <f ca="1">IFERROR(__xludf.DUMMYFUNCTION("""COMPUTED_VALUE"""),"Eating poor grain bread? That’s an inconceivable thought for a Master/Madame. Luckily by purchasing this you seem to have found a large supply of the most delicious and high class bread around. Even better, there is enough for a whole village to feed on a"&amp;"nd it is non-perishable, so you can eat in luxury no matter where you go. It replenishes weekly.
No, it's not Wonderbread.")</f>
        <v>Eating poor grain bread? That’s an inconceivable thought for a Master/Madame. Luckily by purchasing this you seem to have found a large supply of the most delicious and high class bread around. Even better, there is enough for a whole village to feed on and it is non-perishable, so you can eat in luxury no matter where you go. It replenishes weekly.
No, it's not Wonderbread.</v>
      </c>
      <c r="I10" s="5"/>
    </row>
    <row r="11" spans="1:9 16384:16384" ht="34.799999999999997" x14ac:dyDescent="0.25">
      <c r="A11" s="16"/>
      <c r="B11" s="17">
        <v>7</v>
      </c>
      <c r="C11" s="2" t="b">
        <f ca="1">IFERROR(__xludf.DUMMYFUNCTION("""COMPUTED_VALUE"""),FALSE)</f>
        <v>0</v>
      </c>
      <c r="D11" s="2">
        <f ca="1">IFERROR(__xludf.DUMMYFUNCTION("""COMPUTED_VALUE"""),50)</f>
        <v>50</v>
      </c>
      <c r="E11" s="2" t="str">
        <f ca="1">IFERROR(__xludf.DUMMYFUNCTION("""COMPUTED_VALUE"""),"Aftercare Kit")</f>
        <v>Aftercare Kit</v>
      </c>
      <c r="F11" s="2" t="str">
        <f ca="1">IFERROR(__xludf.DUMMYFUNCTION("""COMPUTED_VALUE"""),"Futadom World")</f>
        <v>Futadom World</v>
      </c>
      <c r="G11" s="2" t="str">
        <f ca="1">IFERROR(__xludf.DUMMYFUNCTION("""COMPUTED_VALUE"""),"Porn &amp; Paraphernalia")</f>
        <v>Porn &amp; Paraphernalia</v>
      </c>
      <c r="H11" s="2" t="str">
        <f ca="1">IFERROR(__xludf.DUMMYFUNCTION("""COMPUTED_VALUE"""),"A high-quality selection of numbing lotions, ointments, and other tools for post-sex care. Respawns after one week.")</f>
        <v>A high-quality selection of numbing lotions, ointments, and other tools for post-sex care. Respawns after one week.</v>
      </c>
      <c r="I11" s="5"/>
    </row>
    <row r="12" spans="1:9 16384:16384" ht="69.599999999999994" x14ac:dyDescent="0.25">
      <c r="A12" s="16"/>
      <c r="B12" s="17">
        <v>8</v>
      </c>
      <c r="C12" s="2" t="b">
        <f ca="1">IFERROR(__xludf.DUMMYFUNCTION("""COMPUTED_VALUE"""),FALSE)</f>
        <v>0</v>
      </c>
      <c r="D12" s="2">
        <f ca="1">IFERROR(__xludf.DUMMYFUNCTION("""COMPUTED_VALUE"""),50)</f>
        <v>50</v>
      </c>
      <c r="E12" s="2" t="str">
        <f ca="1">IFERROR(__xludf.DUMMYFUNCTION("""COMPUTED_VALUE"""),"Aramula Alcohol")</f>
        <v>Aramula Alcohol</v>
      </c>
      <c r="F12" s="2" t="str">
        <f ca="1">IFERROR(__xludf.DUMMYFUNCTION("""COMPUTED_VALUE"""),"Kemokko Zoo")</f>
        <v>Kemokko Zoo</v>
      </c>
      <c r="G12" s="2" t="str">
        <f ca="1">IFERROR(__xludf.DUMMYFUNCTION("""COMPUTED_VALUE"""),"Porn &amp; Paraphernalia")</f>
        <v>Porn &amp; Paraphernalia</v>
      </c>
      <c r="H12" s="2" t="str">
        <f ca="1">IFERROR(__xludf.DUMMYFUNCTION("""COMPUTED_VALUE"""),"Beer brewed from marula fruit; it's said that all the animals of the wild gather around and get drunk on the fruit once a year. Therefore, this alcoholic drink is (relatively) safe and enjoyable for all animals, regardless of species, and is certain to ge"&amp;"t them drunk. You get two dozen cases of them, but the beer is only replenished by one bottle per night.")</f>
        <v>Beer brewed from marula fruit; it's said that all the animals of the wild gather around and get drunk on the fruit once a year. Therefore, this alcoholic drink is (relatively) safe and enjoyable for all animals, regardless of species, and is certain to get them drunk. You get two dozen cases of them, but the beer is only replenished by one bottle per night.</v>
      </c>
      <c r="I12" s="5"/>
    </row>
    <row r="13" spans="1:9 16384:16384" ht="156.6" x14ac:dyDescent="0.25">
      <c r="A13" s="16"/>
      <c r="B13" s="17">
        <v>9</v>
      </c>
      <c r="C13" s="2" t="b">
        <f ca="1">IFERROR(__xludf.DUMMYFUNCTION("""COMPUTED_VALUE"""),FALSE)</f>
        <v>0</v>
      </c>
      <c r="D13" s="2">
        <f ca="1">IFERROR(__xludf.DUMMYFUNCTION("""COMPUTED_VALUE"""),50)</f>
        <v>50</v>
      </c>
      <c r="E13" s="2" t="str">
        <f ca="1">IFERROR(__xludf.DUMMYFUNCTION("""COMPUTED_VALUE"""),"Bottled Tears")</f>
        <v>Bottled Tears</v>
      </c>
      <c r="F13" s="2" t="str">
        <f ca="1">IFERROR(__xludf.DUMMYFUNCTION("""COMPUTED_VALUE"""),"Overwhored")</f>
        <v>Overwhored</v>
      </c>
      <c r="G13" s="2" t="str">
        <f ca="1">IFERROR(__xludf.DUMMYFUNCTION("""COMPUTED_VALUE"""),"Porn &amp; Paraphernalia")</f>
        <v>Porn &amp; Paraphernalia</v>
      </c>
      <c r="H13" s="2" t="str">
        <f ca="1">IFERROR(__xludf.DUMMYFUNCTION("""COMPUTED_VALUE"""),"Few things are sweeter than drinking the tears of your fallen foes. Well, usually they’d be rather salty, but to the Overmind the taste is exceptionally sweet. And regardless of the side you’re on, these tears in particular will taste similarly sweet to y"&amp;"ou.
You get a couple dozen bottles of tears to start with. These tears restore your health and give you the will to squeeze even more out of your foes as a quick pick me up. There’s a few lust potions mixed in as well, which allow the Overmind and his s"&amp;"laves to recover mana and serve as mild aphrodisiacs for others. Curiously, both of these sets of potions will magically refill themselves with the tears your enemies actually shed.")</f>
        <v>Few things are sweeter than drinking the tears of your fallen foes. Well, usually they’d be rather salty, but to the Overmind the taste is exceptionally sweet. And regardless of the side you’re on, these tears in particular will taste similarly sweet to you.
You get a couple dozen bottles of tears to start with. These tears restore your health and give you the will to squeeze even more out of your foes as a quick pick me up. There’s a few lust potions mixed in as well, which allow the Overmind and his slaves to recover mana and serve as mild aphrodisiacs for others. Curiously, both of these sets of potions will magically refill themselves with the tears your enemies actually shed.</v>
      </c>
      <c r="I13" s="5"/>
    </row>
    <row r="14" spans="1:9 16384:16384" ht="52.2" x14ac:dyDescent="0.25">
      <c r="A14" s="16"/>
      <c r="B14" s="17">
        <v>10</v>
      </c>
      <c r="C14" s="2" t="b">
        <f ca="1">IFERROR(__xludf.DUMMYFUNCTION("""COMPUTED_VALUE"""),FALSE)</f>
        <v>0</v>
      </c>
      <c r="D14" s="2">
        <f ca="1">IFERROR(__xludf.DUMMYFUNCTION("""COMPUTED_VALUE"""),50)</f>
        <v>50</v>
      </c>
      <c r="E14" s="2" t="str">
        <f ca="1">IFERROR(__xludf.DUMMYFUNCTION("""COMPUTED_VALUE"""),"Dirty DVDs")</f>
        <v>Dirty DVDs</v>
      </c>
      <c r="F14" s="2" t="str">
        <f ca="1">IFERROR(__xludf.DUMMYFUNCTION("""COMPUTED_VALUE"""),"Bokunchi No Mikage-san")</f>
        <v>Bokunchi No Mikage-san</v>
      </c>
      <c r="G14" s="2" t="str">
        <f ca="1">IFERROR(__xludf.DUMMYFUNCTION("""COMPUTED_VALUE"""),"Porn &amp; Paraphernalia")</f>
        <v>Porn &amp; Paraphernalia</v>
      </c>
      <c r="H14" s="2" t="str">
        <f ca="1">IFERROR(__xludf.DUMMYFUNCTION("""COMPUTED_VALUE"""),"This is a set of pornographic DVDs containing a wide variety of real-life porn as well as animated hentai. It is specifically catered to your fetishes, and there always seems to be a new disc in the pile that you haven’t seen before.")</f>
        <v>This is a set of pornographic DVDs containing a wide variety of real-life porn as well as animated hentai. It is specifically catered to your fetishes, and there always seems to be a new disc in the pile that you haven’t seen before.</v>
      </c>
      <c r="I14" s="5"/>
    </row>
    <row r="15" spans="1:9 16384:16384" ht="104.4" x14ac:dyDescent="0.25">
      <c r="A15" s="16"/>
      <c r="B15" s="17">
        <v>11</v>
      </c>
      <c r="C15" s="2" t="b">
        <f ca="1">IFERROR(__xludf.DUMMYFUNCTION("""COMPUTED_VALUE"""),FALSE)</f>
        <v>0</v>
      </c>
      <c r="D15" s="2">
        <f ca="1">IFERROR(__xludf.DUMMYFUNCTION("""COMPUTED_VALUE"""),50)</f>
        <v>50</v>
      </c>
      <c r="E15" s="2" t="str">
        <f ca="1">IFERROR(__xludf.DUMMYFUNCTION("""COMPUTED_VALUE"""),"Enhanced Bra")</f>
        <v>Enhanced Bra</v>
      </c>
      <c r="F15" s="2" t="str">
        <f ca="1">IFERROR(__xludf.DUMMYFUNCTION("""COMPUTED_VALUE"""),"Kyonyuu Fantasy")</f>
        <v>Kyonyuu Fantasy</v>
      </c>
      <c r="G15" s="2" t="str">
        <f ca="1">IFERROR(__xludf.DUMMYFUNCTION("""COMPUTED_VALUE"""),"Porn &amp; Paraphernalia")</f>
        <v>Porn &amp; Paraphernalia</v>
      </c>
      <c r="H15" s="2" t="str">
        <f ca="1">IFERROR(__xludf.DUMMYFUNCTION("""COMPUTED_VALUE"""),"While there are benefits to a large chest there are also quite a few downsides such as the added weight causing you to become imbalanced, running around causing them to jiggle uncontrollably, or chaffing when your two massive orbs rub against each other. "&amp;"Luckily this PlatineTM standard bra provides quite a neat solution these problems. This well made bra not only provides support and stability to your chest beyond what any other non CP backed bra could do, but also looks quite flattering on you as well.")</f>
        <v>While there are benefits to a large chest there are also quite a few downsides such as the added weight causing you to become imbalanced, running around causing them to jiggle uncontrollably, or chaffing when your two massive orbs rub against each other. Luckily this PlatineTM standard bra provides quite a neat solution these problems. This well made bra not only provides support and stability to your chest beyond what any other non CP backed bra could do, but also looks quite flattering on you as well.</v>
      </c>
      <c r="I15" s="5"/>
    </row>
    <row r="16" spans="1:9 16384:16384" ht="104.4" x14ac:dyDescent="0.25">
      <c r="A16" s="16"/>
      <c r="B16" s="17">
        <v>12</v>
      </c>
      <c r="C16" s="2" t="b">
        <f ca="1">IFERROR(__xludf.DUMMYFUNCTION("""COMPUTED_VALUE"""),FALSE)</f>
        <v>0</v>
      </c>
      <c r="D16" s="2">
        <f ca="1">IFERROR(__xludf.DUMMYFUNCTION("""COMPUTED_VALUE"""),50)</f>
        <v>50</v>
      </c>
      <c r="E16" s="2" t="str">
        <f ca="1">IFERROR(__xludf.DUMMYFUNCTION("""COMPUTED_VALUE"""),"Magical Girl Paraphernalia")</f>
        <v>Magical Girl Paraphernalia</v>
      </c>
      <c r="F16" s="2" t="str">
        <f ca="1">IFERROR(__xludf.DUMMYFUNCTION("""COMPUTED_VALUE"""),"Archangel of Love, Love Mary ~Malignant Conception~")</f>
        <v>Archangel of Love, Love Mary ~Malignant Conception~</v>
      </c>
      <c r="G16" s="2" t="str">
        <f ca="1">IFERROR(__xludf.DUMMYFUNCTION("""COMPUTED_VALUE"""),"Porn &amp; Paraphernalia")</f>
        <v>Porn &amp; Paraphernalia</v>
      </c>
      <c r="H16" s="2" t="str">
        <f ca="1">IFERROR(__xludf.DUMMYFUNCTION("""COMPUTED_VALUE"""),"This is like a treasure chest of magical girl goodies, except instead of a box, it’s an entire specialized storage attachment to your Warehouse. You’ve got one of every piece of official magical girl merchandise that’s ever been produced. Every manga, ani"&amp;"me, OVA, game, light novel, visual novel, live - action adaptation, every body pillow, every figurine, every poster, every toy, every bit of cosplay… all of it. In addition to the official stuff, you also have a copy of every magical girl doujin ever writ"&amp;"ten.")</f>
        <v>This is like a treasure chest of magical girl goodies, except instead of a box, it’s an entire specialized storage attachment to your Warehouse. You’ve got one of every piece of official magical girl merchandise that’s ever been produced. Every manga, anime, OVA, game, light novel, visual novel, live - action adaptation, every body pillow, every figurine, every poster, every toy, every bit of cosplay… all of it. In addition to the official stuff, you also have a copy of every magical girl doujin ever written.</v>
      </c>
      <c r="I16" s="5"/>
    </row>
    <row r="17" spans="1:9" ht="87" x14ac:dyDescent="0.25">
      <c r="A17" s="16"/>
      <c r="B17" s="17">
        <v>13</v>
      </c>
      <c r="C17" s="2" t="b">
        <f ca="1">IFERROR(__xludf.DUMMYFUNCTION("""COMPUTED_VALUE"""),FALSE)</f>
        <v>0</v>
      </c>
      <c r="D17" s="2">
        <f ca="1">IFERROR(__xludf.DUMMYFUNCTION("""COMPUTED_VALUE"""),50)</f>
        <v>50</v>
      </c>
      <c r="E17" s="2" t="str">
        <f ca="1">IFERROR(__xludf.DUMMYFUNCTION("""COMPUTED_VALUE"""),"Mala Mushrooms")</f>
        <v>Mala Mushrooms</v>
      </c>
      <c r="F17" s="2" t="str">
        <f ca="1">IFERROR(__xludf.DUMMYFUNCTION("""COMPUTED_VALUE"""),"Generic: Lewd Digimon")</f>
        <v>Generic: Lewd Digimon</v>
      </c>
      <c r="G17" s="2" t="str">
        <f ca="1">IFERROR(__xludf.DUMMYFUNCTION("""COMPUTED_VALUE"""),"Porn &amp; Paraphernalia")</f>
        <v>Porn &amp; Paraphernalia</v>
      </c>
      <c r="H17" s="2" t="str">
        <f ca="1">IFERROR(__xludf.DUMMYFUNCTION("""COMPUTED_VALUE"""),"I get that you’re both hungry and horny, but just because you find something that is both phallic-shaped and food-shaped does not mean you have to eat it. These mushrooms in particular make those that eat them both hungry and unbearably horny. Which is gr"&amp;"eat if you’re sick and have trouble getting an appetite, but not so great if you're trying to survive in the Digital World. You get a big basket of them, refreshed daily.")</f>
        <v>I get that you’re both hungry and horny, but just because you find something that is both phallic-shaped and food-shaped does not mean you have to eat it. These mushrooms in particular make those that eat them both hungry and unbearably horny. Which is great if you’re sick and have trouble getting an appetite, but not so great if you're trying to survive in the Digital World. You get a big basket of them, refreshed daily.</v>
      </c>
      <c r="I17" s="5"/>
    </row>
    <row r="18" spans="1:9" ht="243.6" x14ac:dyDescent="0.25">
      <c r="A18" s="16"/>
      <c r="B18" s="17">
        <v>14</v>
      </c>
      <c r="C18" s="2" t="b">
        <f ca="1">IFERROR(__xludf.DUMMYFUNCTION("""COMPUTED_VALUE"""),FALSE)</f>
        <v>0</v>
      </c>
      <c r="D18" s="2">
        <f ca="1">IFERROR(__xludf.DUMMYFUNCTION("""COMPUTED_VALUE"""),50)</f>
        <v>50</v>
      </c>
      <c r="E18" s="2" t="str">
        <f ca="1">IFERROR(__xludf.DUMMYFUNCTION("""COMPUTED_VALUE"""),"Mrs Coffee")</f>
        <v>Mrs Coffee</v>
      </c>
      <c r="F18" s="2" t="str">
        <f ca="1">IFERROR(__xludf.DUMMYFUNCTION("""COMPUTED_VALUE"""),"Corruption of Champions v1.1")</f>
        <v>Corruption of Champions v1.1</v>
      </c>
      <c r="G18" s="2" t="str">
        <f ca="1">IFERROR(__xludf.DUMMYFUNCTION("""COMPUTED_VALUE"""),"Porn &amp; Paraphernalia")</f>
        <v>Porn &amp; Paraphernalia</v>
      </c>
      <c r="H18" s="2" t="str">
        <f ca="1">IFERROR(__xludf.DUMMYFUNCTION("""COMPUTED_VALUE"""),"A demonic coffee-maker, shaped like an ebony sculpture of a lady with 'Mrs. Coffee' printed on the side. Below the sculpture is a pot of steaming hot coffee, giving off an invigoratingly rich smell. The magic of the coffee-maker always keeps the rich, cre"&amp;"amy coffee at a properly steaming temperature while the pot is left in place, ensuring its readiness whenever you need a refreshingly caffeinated drink to energize yourself.
However, the most notable thing about it only becomes apparent once the coffee "&amp;"pot is put back in place. The busty coffee-maker will come to life, grabbing her thick dusky nipples and squeezing out a trickle of scaldingly hot liquid. Her eyes rolling up into her head from pleasure as she automatically refills the missing coffee, mou"&amp;"th open with ecstasy. As the coffee pot is refilled, her movements gradually slow down with almost imperceptibly quivers, before she freezes back into place with a final smile of contentment.
It also comes with a free mug that has '#1 Dad' written on it"&amp;".")</f>
        <v>A demonic coffee-maker, shaped like an ebony sculpture of a lady with 'Mrs. Coffee' printed on the side. Below the sculpture is a pot of steaming hot coffee, giving off an invigoratingly rich smell. The magic of the coffee-maker always keeps the rich, creamy coffee at a properly steaming temperature while the pot is left in place, ensuring its readiness whenever you need a refreshingly caffeinated drink to energize yourself.
However, the most notable thing about it only becomes apparent once the coffee pot is put back in place. The busty coffee-maker will come to life, grabbing her thick dusky nipples and squeezing out a trickle of scaldingly hot liquid. Her eyes rolling up into her head from pleasure as she automatically refills the missing coffee, mouth open with ecstasy. As the coffee pot is refilled, her movements gradually slow down with almost imperceptibly quivers, before she freezes back into place with a final smile of contentment.
It also comes with a free mug that has '#1 Dad' written on it.</v>
      </c>
      <c r="I18" s="5"/>
    </row>
    <row r="19" spans="1:9" ht="34.799999999999997" x14ac:dyDescent="0.25">
      <c r="A19" s="16"/>
      <c r="B19" s="17">
        <v>15</v>
      </c>
      <c r="C19" s="2" t="b">
        <f ca="1">IFERROR(__xludf.DUMMYFUNCTION("""COMPUTED_VALUE"""),FALSE)</f>
        <v>0</v>
      </c>
      <c r="D19" s="2">
        <f ca="1">IFERROR(__xludf.DUMMYFUNCTION("""COMPUTED_VALUE"""),50)</f>
        <v>50</v>
      </c>
      <c r="E19" s="2" t="str">
        <f ca="1">IFERROR(__xludf.DUMMYFUNCTION("""COMPUTED_VALUE"""),"Rope")</f>
        <v>Rope</v>
      </c>
      <c r="F19" s="2" t="str">
        <f ca="1">IFERROR(__xludf.DUMMYFUNCTION("""COMPUTED_VALUE"""),"Baalbuddy")</f>
        <v>Baalbuddy</v>
      </c>
      <c r="G19" s="2" t="str">
        <f ca="1">IFERROR(__xludf.DUMMYFUNCTION("""COMPUTED_VALUE"""),"Porn &amp; Paraphernalia")</f>
        <v>Porn &amp; Paraphernalia</v>
      </c>
      <c r="H19" s="2" t="str">
        <f ca="1">IFERROR(__xludf.DUMMYFUNCTION("""COMPUTED_VALUE"""),"It’s rope. Smooth, strong, rope. Great at all things...rope-y. Just reach behind your back and pull out a fresh coil whenever you need one. You’ll probably find a few uses for this here.")</f>
        <v>It’s rope. Smooth, strong, rope. Great at all things...rope-y. Just reach behind your back and pull out a fresh coil whenever you need one. You’ll probably find a few uses for this here.</v>
      </c>
      <c r="I19" s="5"/>
    </row>
    <row r="20" spans="1:9" ht="121.8" x14ac:dyDescent="0.25">
      <c r="A20" s="16"/>
      <c r="B20" s="17">
        <v>16</v>
      </c>
      <c r="C20" s="2" t="b">
        <f ca="1">IFERROR(__xludf.DUMMYFUNCTION("""COMPUTED_VALUE"""),FALSE)</f>
        <v>0</v>
      </c>
      <c r="D20" s="2">
        <f ca="1">IFERROR(__xludf.DUMMYFUNCTION("""COMPUTED_VALUE"""),50)</f>
        <v>50</v>
      </c>
      <c r="E20" s="2" t="str">
        <f ca="1">IFERROR(__xludf.DUMMYFUNCTION("""COMPUTED_VALUE"""),"Sex Ed Video")</f>
        <v>Sex Ed Video</v>
      </c>
      <c r="F20" s="2" t="str">
        <f ca="1">IFERROR(__xludf.DUMMYFUNCTION("""COMPUTED_VALUE"""),"The Otaku in 2200 AD")</f>
        <v>The Otaku in 2200 AD</v>
      </c>
      <c r="G20" s="2" t="str">
        <f ca="1">IFERROR(__xludf.DUMMYFUNCTION("""COMPUTED_VALUE"""),"Porn &amp; Paraphernalia")</f>
        <v>Porn &amp; Paraphernalia</v>
      </c>
      <c r="H20" s="2" t="str">
        <f ca="1">IFERROR(__xludf.DUMMYFUNCTION("""COMPUTED_VALUE"""),"This 1-hour recording contains all the knowledge needed to educate someone about sex, somehow compressed into the space of a single hour. Not only does it cover the potential consequences of sex, but it also explains the physiology of sex, the psychology "&amp;"of sex, as well as covering sexual history and recommendations on making sex more enjoyable for all involved parties. Ample visual demonstrations are provided. In worlds that possess sexual energies such as sextacy, it will also delve into them in suffici"&amp;"ent depth to provide knowledge in the subject equivalent to a college graduate focusing in sex and sexuality. All in only an hour! Kind of weird how that works.")</f>
        <v>This 1-hour recording contains all the knowledge needed to educate someone about sex, somehow compressed into the space of a single hour. Not only does it cover the potential consequences of sex, but it also explains the physiology of sex, the psychology of sex, as well as covering sexual history and recommendations on making sex more enjoyable for all involved parties. Ample visual demonstrations are provided. In worlds that possess sexual energies such as sextacy, it will also delve into them in sufficient depth to provide knowledge in the subject equivalent to a college graduate focusing in sex and sexuality. All in only an hour! Kind of weird how that works.</v>
      </c>
      <c r="I20" s="5"/>
    </row>
    <row r="21" spans="1:9" ht="174" x14ac:dyDescent="0.25">
      <c r="A21" s="16"/>
      <c r="B21" s="17">
        <v>17</v>
      </c>
      <c r="C21" s="2" t="b">
        <f ca="1">IFERROR(__xludf.DUMMYFUNCTION("""COMPUTED_VALUE"""),FALSE)</f>
        <v>0</v>
      </c>
      <c r="D21" s="2">
        <f ca="1">IFERROR(__xludf.DUMMYFUNCTION("""COMPUTED_VALUE"""),50)</f>
        <v>50</v>
      </c>
      <c r="E21" s="2" t="str">
        <f ca="1">IFERROR(__xludf.DUMMYFUNCTION("""COMPUTED_VALUE"""),"Sex Practice")</f>
        <v>Sex Practice</v>
      </c>
      <c r="F21" s="2" t="str">
        <f ca="1">IFERROR(__xludf.DUMMYFUNCTION("""COMPUTED_VALUE"""),"The Otaku in 2200 AD")</f>
        <v>The Otaku in 2200 AD</v>
      </c>
      <c r="G21" s="2" t="str">
        <f ca="1">IFERROR(__xludf.DUMMYFUNCTION("""COMPUTED_VALUE"""),"Porn &amp; Paraphernalia")</f>
        <v>Porn &amp; Paraphernalia</v>
      </c>
      <c r="H21" s="2" t="str">
        <f ca="1">IFERROR(__xludf.DUMMYFUNCTION("""COMPUTED_VALUE"""),"This is a punching bag that’s had a hole cut into it, and either a dildo or an onahole inserted into said hole. When you fuck this punching bag, you will get better at sex, even though it’s an inanimate object and shouldn’t reasonably make you any more sk"&amp;"illed at sex. You will, nonetheless, improve in staying power and control over your pelvis, be it to restrain yourself from coming or to control the muscles in your vagina.
This also comes with a number of sex manuals. By studying these manuals, you will"&amp;" learn more about sex, and your skill in all matters of eroticism will improve; your hands will more deftly please your partner, you will find their personal weak spots faster, and your pole dancing will be more sensual.")</f>
        <v>This is a punching bag that’s had a hole cut into it, and either a dildo or an onahole inserted into said hole. When you fuck this punching bag, you will get better at sex, even though it’s an inanimate object and shouldn’t reasonably make you any more skilled at sex. You will, nonetheless, improve in staying power and control over your pelvis, be it to restrain yourself from coming or to control the muscles in your vagina.
This also comes with a number of sex manuals. By studying these manuals, you will learn more about sex, and your skill in all matters of eroticism will improve; your hands will more deftly please your partner, you will find their personal weak spots faster, and your pole dancing will be more sensual.</v>
      </c>
      <c r="I21" s="5"/>
    </row>
    <row r="22" spans="1:9" ht="34.799999999999997" x14ac:dyDescent="0.25">
      <c r="A22" s="16"/>
      <c r="B22" s="17">
        <v>18</v>
      </c>
      <c r="C22" s="2" t="b">
        <f ca="1">IFERROR(__xludf.DUMMYFUNCTION("""COMPUTED_VALUE"""),FALSE)</f>
        <v>0</v>
      </c>
      <c r="D22" s="2">
        <f ca="1">IFERROR(__xludf.DUMMYFUNCTION("""COMPUTED_VALUE"""),50)</f>
        <v>50</v>
      </c>
      <c r="E22" s="2" t="str">
        <f ca="1">IFERROR(__xludf.DUMMYFUNCTION("""COMPUTED_VALUE"""),"Virgin Mary")</f>
        <v>Virgin Mary</v>
      </c>
      <c r="F22" s="2" t="str">
        <f ca="1">IFERROR(__xludf.DUMMYFUNCTION("""COMPUTED_VALUE"""),"Generic: Virgin")</f>
        <v>Generic: Virgin</v>
      </c>
      <c r="G22" s="2" t="str">
        <f ca="1">IFERROR(__xludf.DUMMYFUNCTION("""COMPUTED_VALUE"""),"Porn &amp; Paraphernalia")</f>
        <v>Porn &amp; Paraphernalia</v>
      </c>
      <c r="H22" s="2" t="str">
        <f ca="1">IFERROR(__xludf.DUMMYFUNCTION("""COMPUTED_VALUE"""),"You get an unlimited supply of any and all non-alcoholic cocktails from every setting you have visited. This comes with glasses, ice, little umbrellas, and other needed accouterments.")</f>
        <v>You get an unlimited supply of any and all non-alcoholic cocktails from every setting you have visited. This comes with glasses, ice, little umbrellas, and other needed accouterments.</v>
      </c>
      <c r="I22" s="5"/>
    </row>
    <row r="23" spans="1:9" ht="121.8" x14ac:dyDescent="0.25">
      <c r="A23" s="16"/>
      <c r="B23" s="17">
        <v>19</v>
      </c>
      <c r="C23" s="2" t="b">
        <f ca="1">IFERROR(__xludf.DUMMYFUNCTION("""COMPUTED_VALUE"""),FALSE)</f>
        <v>0</v>
      </c>
      <c r="D23" s="2">
        <f ca="1">IFERROR(__xludf.DUMMYFUNCTION("""COMPUTED_VALUE"""),100)</f>
        <v>100</v>
      </c>
      <c r="E23" s="2" t="str">
        <f ca="1">IFERROR(__xludf.DUMMYFUNCTION("""COMPUTED_VALUE"""),"“Official” Art book:")</f>
        <v>“Official” Art book:</v>
      </c>
      <c r="F23" s="2" t="str">
        <f ca="1">IFERROR(__xludf.DUMMYFUNCTION("""COMPUTED_VALUE"""),"Dragonaut: The Resonance")</f>
        <v>Dragonaut: The Resonance</v>
      </c>
      <c r="G23" s="2" t="str">
        <f ca="1">IFERROR(__xludf.DUMMYFUNCTION("""COMPUTED_VALUE"""),"Porn &amp; Paraphernalia")</f>
        <v>Porn &amp; Paraphernalia</v>
      </c>
      <c r="H23" s="2" t="str">
        <f ca="1">IFERROR(__xludf.DUMMYFUNCTION("""COMPUTED_VALUE"""),"If you even glanced at the title picture, you should know that this setting is rather replete with quite a few amazingly gorgeous women. Wouldn’t you like to... see them better? This incredibly detailed, exactingly drawn book contains full profiles and ma"&amp;"ny ‘compromising’ drawings of every attractive female Character in the setting. It even comes with hard numbers like their bust/waist/hip measurements, weight, height, etc. For free, this book updates itself with a repository of the select ‘top of the hea"&amp;"p’ women for every world you bring it along to. For no charge, you could, I suppose, have it show the dudes or some combination instead.")</f>
        <v>If you even glanced at the title picture, you should know that this setting is rather replete with quite a few amazingly gorgeous women. Wouldn’t you like to... see them better? This incredibly detailed, exactingly drawn book contains full profiles and many ‘compromising’ drawings of every attractive female Character in the setting. It even comes with hard numbers like their bust/waist/hip measurements, weight, height, etc. For free, this book updates itself with a repository of the select ‘top of the heap’ women for every world you bring it along to. For no charge, you could, I suppose, have it show the dudes or some combination instead.</v>
      </c>
      <c r="I23" s="5"/>
    </row>
    <row r="24" spans="1:9" ht="156.6" x14ac:dyDescent="0.25">
      <c r="A24" s="16"/>
      <c r="B24" s="17">
        <v>20</v>
      </c>
      <c r="C24" s="2" t="b">
        <f ca="1">IFERROR(__xludf.DUMMYFUNCTION("""COMPUTED_VALUE"""),FALSE)</f>
        <v>0</v>
      </c>
      <c r="D24" s="2">
        <f ca="1">IFERROR(__xludf.DUMMYFUNCTION("""COMPUTED_VALUE"""),100)</f>
        <v>100</v>
      </c>
      <c r="E24" s="2" t="str">
        <f ca="1">IFERROR(__xludf.DUMMYFUNCTION("""COMPUTED_VALUE"""),"""Treasure"" Chest")</f>
        <v>"Treasure" Chest</v>
      </c>
      <c r="F24" s="2" t="str">
        <f ca="1">IFERROR(__xludf.DUMMYFUNCTION("""COMPUTED_VALUE"""),"Angel Academy ~ Hardcore Dorm Sex Life")</f>
        <v>Angel Academy ~ Hardcore Dorm Sex Life</v>
      </c>
      <c r="G24" s="2" t="str">
        <f ca="1">IFERROR(__xludf.DUMMYFUNCTION("""COMPUTED_VALUE"""),"Porn &amp; Paraphernalia")</f>
        <v>Porn &amp; Paraphernalia</v>
      </c>
      <c r="H24" s="2" t="str">
        <f ca="1">IFERROR(__xludf.DUMMYFUNCTION("""COMPUTED_VALUE"""),"The essential toolkit of any aspiring pervert, this item is a chest full of quality sex toys; dildos, plugs, vibrators, harnesses, condoms, ropes and gags, and anything else you might think of that could be useful for lewd purposes. Everything here except"&amp;" the disposable stuff is self-cleaning and self-maintaining, and you can choose to “equip” this item, allowing you to always have some of this item’s contents on your person at your convenience; condoms materialize in your wallet at a moment’s notice, a g"&amp;"ag and ropes just happen to be in your backpack, etc. While there’s nothing fantastical or high-tech in this lewd treasure chest, just stuff available in a modern setting, if you find or create more exotic sex toys in other settings you can add them to th"&amp;"is item and confer its benefits to them.")</f>
        <v>The essential toolkit of any aspiring pervert, this item is a chest full of quality sex toys; dildos, plugs, vibrators, harnesses, condoms, ropes and gags, and anything else you might think of that could be useful for lewd purposes. Everything here except the disposable stuff is self-cleaning and self-maintaining, and you can choose to “equip” this item, allowing you to always have some of this item’s contents on your person at your convenience; condoms materialize in your wallet at a moment’s notice, a gag and ropes just happen to be in your backpack, etc. While there’s nothing fantastical or high-tech in this lewd treasure chest, just stuff available in a modern setting, if you find or create more exotic sex toys in other settings you can add them to this item and confer its benefits to them.</v>
      </c>
      <c r="I24" s="5"/>
    </row>
    <row r="25" spans="1:9" ht="139.19999999999999" x14ac:dyDescent="0.25">
      <c r="A25" s="16"/>
      <c r="B25" s="17">
        <v>21</v>
      </c>
      <c r="C25" s="2" t="b">
        <f ca="1">IFERROR(__xludf.DUMMYFUNCTION("""COMPUTED_VALUE"""),FALSE)</f>
        <v>0</v>
      </c>
      <c r="D25" s="2">
        <f ca="1">IFERROR(__xludf.DUMMYFUNCTION("""COMPUTED_VALUE"""),100)</f>
        <v>100</v>
      </c>
      <c r="E25" s="2" t="str">
        <f ca="1">IFERROR(__xludf.DUMMYFUNCTION("""COMPUTED_VALUE"""),"Adventurer's Essentials")</f>
        <v>Adventurer's Essentials</v>
      </c>
      <c r="F25" s="2" t="str">
        <f ca="1">IFERROR(__xludf.DUMMYFUNCTION("""COMPUTED_VALUE"""),"Breathless Wild")</f>
        <v>Breathless Wild</v>
      </c>
      <c r="G25" s="2" t="str">
        <f ca="1">IFERROR(__xludf.DUMMYFUNCTION("""COMPUTED_VALUE"""),"Porn &amp; Paraphernalia")</f>
        <v>Porn &amp; Paraphernalia</v>
      </c>
      <c r="H25" s="2" t="str">
        <f ca="1">IFERROR(__xludf.DUMMYFUNCTION("""COMPUTED_VALUE"""),"Most heroes need to pack light to avoid being bogged down by too much weight, but this enchanted travel bag makes such concerns a thing of the past. It’s much bigger on the inside than it first appears and it can easily hold hundreds of pounds of supplies"&amp;", treasure, outfits, and weapons, all without weighing any more than the bag itself does. It even comes equipped with a few travel essentials including a tent and bedrolls, a cooking pot, a few empty bottles, a paraglider, and an entire side pocket stuffe"&amp;"d to bursting with various kinds of sex toys by some practical joker. All of these contents are entirely mundane but they’ll be cleaned and repaired whenever they’re stowed away in the bag.")</f>
        <v>Most heroes need to pack light to avoid being bogged down by too much weight, but this enchanted travel bag makes such concerns a thing of the past. It’s much bigger on the inside than it first appears and it can easily hold hundreds of pounds of supplies, treasure, outfits, and weapons, all without weighing any more than the bag itself does. It even comes equipped with a few travel essentials including a tent and bedrolls, a cooking pot, a few empty bottles, a paraglider, and an entire side pocket stuffed to bursting with various kinds of sex toys by some practical joker. All of these contents are entirely mundane but they’ll be cleaned and repaired whenever they’re stowed away in the bag.</v>
      </c>
      <c r="I25" s="5"/>
    </row>
    <row r="26" spans="1:9" ht="139.19999999999999" x14ac:dyDescent="0.25">
      <c r="A26" s="16"/>
      <c r="B26" s="17">
        <v>22</v>
      </c>
      <c r="C26" s="2" t="b">
        <f ca="1">IFERROR(__xludf.DUMMYFUNCTION("""COMPUTED_VALUE"""),FALSE)</f>
        <v>0</v>
      </c>
      <c r="D26" s="2">
        <f ca="1">IFERROR(__xludf.DUMMYFUNCTION("""COMPUTED_VALUE"""),100)</f>
        <v>100</v>
      </c>
      <c r="E26" s="2" t="str">
        <f ca="1">IFERROR(__xludf.DUMMYFUNCTION("""COMPUTED_VALUE"""),"Ancient Vibrator")</f>
        <v>Ancient Vibrator</v>
      </c>
      <c r="F26" s="2" t="str">
        <f ca="1">IFERROR(__xludf.DUMMYFUNCTION("""COMPUTED_VALUE"""),"Breathless Wild")</f>
        <v>Breathless Wild</v>
      </c>
      <c r="G26" s="2" t="str">
        <f ca="1">IFERROR(__xludf.DUMMYFUNCTION("""COMPUTED_VALUE"""),"Porn &amp; Paraphernalia")</f>
        <v>Porn &amp; Paraphernalia</v>
      </c>
      <c r="H26" s="2" t="str">
        <f ca="1">IFERROR(__xludf.DUMMYFUNCTION("""COMPUTED_VALUE"""),"The ancient Sheikah were no strangers to demons of lust and invented countless artifacts to counter their debauched foes. One such artifact is this ancient sex toy, a finely-sculpted vibrator or similar device which actively drains dark magic and corrupti"&amp;"on through the pleasure it grants the user. Acting like a heat sink, it can break curses and purge your body of the effects of demonic aphrodisiacs and other unwanted effects which impair your mind or body, but the more powerful the curse the harder you’l"&amp;"l need to work to purge yourself of these unwanted effects. The harness that comes with the device ought to help with that, letting you strap yourself in and wear it under your clothes. Long journeys have never been so pleasant!")</f>
        <v>The ancient Sheikah were no strangers to demons of lust and invented countless artifacts to counter their debauched foes. One such artifact is this ancient sex toy, a finely-sculpted vibrator or similar device which actively drains dark magic and corruption through the pleasure it grants the user. Acting like a heat sink, it can break curses and purge your body of the effects of demonic aphrodisiacs and other unwanted effects which impair your mind or body, but the more powerful the curse the harder you’ll need to work to purge yourself of these unwanted effects. The harness that comes with the device ought to help with that, letting you strap yourself in and wear it under your clothes. Long journeys have never been so pleasant!</v>
      </c>
      <c r="I26" s="5"/>
    </row>
    <row r="27" spans="1:9" ht="52.2" x14ac:dyDescent="0.25">
      <c r="A27" s="16"/>
      <c r="B27" s="17">
        <v>23</v>
      </c>
      <c r="C27" s="2" t="b">
        <f ca="1">IFERROR(__xludf.DUMMYFUNCTION("""COMPUTED_VALUE"""),FALSE)</f>
        <v>0</v>
      </c>
      <c r="D27" s="2">
        <f ca="1">IFERROR(__xludf.DUMMYFUNCTION("""COMPUTED_VALUE"""),100)</f>
        <v>100</v>
      </c>
      <c r="E27" s="2" t="str">
        <f ca="1">IFERROR(__xludf.DUMMYFUNCTION("""COMPUTED_VALUE"""),"Bag O' Gold")</f>
        <v>Bag O' Gold</v>
      </c>
      <c r="F27" s="2" t="str">
        <f ca="1">IFERROR(__xludf.DUMMYFUNCTION("""COMPUTED_VALUE"""),"Ishuzoku Reviewers")</f>
        <v>Ishuzoku Reviewers</v>
      </c>
      <c r="G27" s="2" t="str">
        <f ca="1">IFERROR(__xludf.DUMMYFUNCTION("""COMPUTED_VALUE"""),"Porn &amp; Paraphernalia")</f>
        <v>Porn &amp; Paraphernalia</v>
      </c>
      <c r="H27" s="2" t="str">
        <f ca="1">IFERROR(__xludf.DUMMYFUNCTION("""COMPUTED_VALUE"""),"Your typical bag of gold. Contains about 30,000 pieces of gold. Enough to support you for a while. Or pay for 6 trips to a brothel. Each gold coin is 1 Troy Ounce of pure gold. The bag itself will regenerate once every decade.")</f>
        <v>Your typical bag of gold. Contains about 30,000 pieces of gold. Enough to support you for a while. Or pay for 6 trips to a brothel. Each gold coin is 1 Troy Ounce of pure gold. The bag itself will regenerate once every decade.</v>
      </c>
      <c r="I27" s="5"/>
    </row>
    <row r="28" spans="1:9" ht="191.4" x14ac:dyDescent="0.25">
      <c r="A28" s="16"/>
      <c r="B28" s="17">
        <v>24</v>
      </c>
      <c r="C28" s="2" t="b">
        <f ca="1">IFERROR(__xludf.DUMMYFUNCTION("""COMPUTED_VALUE"""),FALSE)</f>
        <v>0</v>
      </c>
      <c r="D28" s="2">
        <f ca="1">IFERROR(__xludf.DUMMYFUNCTION("""COMPUTED_VALUE"""),100)</f>
        <v>100</v>
      </c>
      <c r="E28" s="2" t="str">
        <f ca="1">IFERROR(__xludf.DUMMYFUNCTION("""COMPUTED_VALUE"""),"Bag of Bondage")</f>
        <v>Bag of Bondage</v>
      </c>
      <c r="F28" s="2" t="str">
        <f ca="1">IFERROR(__xludf.DUMMYFUNCTION("""COMPUTED_VALUE"""),"Rope Master")</f>
        <v>Rope Master</v>
      </c>
      <c r="G28" s="2" t="str">
        <f ca="1">IFERROR(__xludf.DUMMYFUNCTION("""COMPUTED_VALUE"""),"Porn &amp; Paraphernalia")</f>
        <v>Porn &amp; Paraphernalia</v>
      </c>
      <c r="H28" s="2" t="str">
        <f ca="1">IFERROR(__xludf.DUMMYFUNCTION("""COMPUTED_VALUE"""),"BDSM is an extremely gear-heavy hobby and it would really suck if you ran into an opportunity to indulge only to miss out because you left your ropes at home. Not to worry: this unassuming backpack, briefcase, or similar accessory has space enough to hold"&amp;" an entire arsenal of kinky accessories plus everything else you might want to carry around with you. Anyone who tries to go through your stuff without permission will find nothing suspicious inside but as soon as you need the contents they'll be ready an"&amp;"d waiting for you to have your fun with them, as if you were actually prepared to have a random encounter while out in public. In addition to ordinary BDSM accessories such as ball gags and bundles of rope you can also conjure up related but somewhat more"&amp;" exotic implements, such as a chloroform rag and a phony time bomb for your ""evil villain kidnaps heroic police girl"" roleplay fantasy. Even minor enchanted items like dragon ropes and can be conjured up if you could easily have made them yourself.")</f>
        <v>BDSM is an extremely gear-heavy hobby and it would really suck if you ran into an opportunity to indulge only to miss out because you left your ropes at home. Not to worry: this unassuming backpack, briefcase, or similar accessory has space enough to hold an entire arsenal of kinky accessories plus everything else you might want to carry around with you. Anyone who tries to go through your stuff without permission will find nothing suspicious inside but as soon as you need the contents they'll be ready and waiting for you to have your fun with them, as if you were actually prepared to have a random encounter while out in public. In addition to ordinary BDSM accessories such as ball gags and bundles of rope you can also conjure up related but somewhat more exotic implements, such as a chloroform rag and a phony time bomb for your "evil villain kidnaps heroic police girl" roleplay fantasy. Even minor enchanted items like dragon ropes and can be conjured up if you could easily have made them yourself.</v>
      </c>
      <c r="I28" s="5"/>
    </row>
    <row r="29" spans="1:9" ht="69.599999999999994" x14ac:dyDescent="0.25">
      <c r="A29" s="16"/>
      <c r="B29" s="17">
        <v>25</v>
      </c>
      <c r="C29" s="2" t="b">
        <f ca="1">IFERROR(__xludf.DUMMYFUNCTION("""COMPUTED_VALUE"""),FALSE)</f>
        <v>0</v>
      </c>
      <c r="D29" s="2">
        <f ca="1">IFERROR(__xludf.DUMMYFUNCTION("""COMPUTED_VALUE"""),100)</f>
        <v>100</v>
      </c>
      <c r="E29" s="2" t="str">
        <f ca="1">IFERROR(__xludf.DUMMYFUNCTION("""COMPUTED_VALUE"""),"BDSM Toys")</f>
        <v>BDSM Toys</v>
      </c>
      <c r="F29" s="2" t="str">
        <f ca="1">IFERROR(__xludf.DUMMYFUNCTION("""COMPUTED_VALUE"""),"eratohoK")</f>
        <v>eratohoK</v>
      </c>
      <c r="G29" s="2" t="str">
        <f ca="1">IFERROR(__xludf.DUMMYFUNCTION("""COMPUTED_VALUE"""),"Porn &amp; Paraphernalia")</f>
        <v>Porn &amp; Paraphernalia</v>
      </c>
      <c r="H29" s="2" t="str">
        <f ca="1">IFERROR(__xludf.DUMMYFUNCTION("""COMPUTED_VALUE"""),"You have a collection of toys befitting BDSM play, about a dozen of each of the following: Ropes, whips, gags, three vibrating clamps to attach to the nipples and clitoris, nose hook, permanent markers, blindfold, balloons designed to be inserted into an "&amp;"orifice and inflated, and a collar with a leash.")</f>
        <v>You have a collection of toys befitting BDSM play, about a dozen of each of the following: Ropes, whips, gags, three vibrating clamps to attach to the nipples and clitoris, nose hook, permanent markers, blindfold, balloons designed to be inserted into an orifice and inflated, and a collar with a leash.</v>
      </c>
      <c r="I29" s="5"/>
    </row>
    <row r="30" spans="1:9" ht="104.4" x14ac:dyDescent="0.25">
      <c r="A30" s="16"/>
      <c r="B30" s="17">
        <v>26</v>
      </c>
      <c r="C30" s="2" t="b">
        <f ca="1">IFERROR(__xludf.DUMMYFUNCTION("""COMPUTED_VALUE"""),FALSE)</f>
        <v>0</v>
      </c>
      <c r="D30" s="2">
        <f ca="1">IFERROR(__xludf.DUMMYFUNCTION("""COMPUTED_VALUE"""),100)</f>
        <v>100</v>
      </c>
      <c r="E30" s="2" t="str">
        <f ca="1">IFERROR(__xludf.DUMMYFUNCTION("""COMPUTED_VALUE"""),"Bottles of Cum")</f>
        <v>Bottles of Cum</v>
      </c>
      <c r="F30" s="2" t="str">
        <f ca="1">IFERROR(__xludf.DUMMYFUNCTION("""COMPUTED_VALUE"""),"Elrk")</f>
        <v>Elrk</v>
      </c>
      <c r="G30" s="2" t="str">
        <f ca="1">IFERROR(__xludf.DUMMYFUNCTION("""COMPUTED_VALUE"""),"Porn &amp; Paraphernalia")</f>
        <v>Porn &amp; Paraphernalia</v>
      </c>
      <c r="H30" s="2" t="str">
        <f ca="1">IFERROR(__xludf.DUMMYFUNCTION("""COMPUTED_VALUE"""),"...What an interesting thing you have here. I question why on earth you would ever need it, but I suppose it might have some use. Simply put, this massive collection of bottles automatically collects any cum that you shoot out that isn’t... Shall we say, "&amp;"in use? A creampie is useful, and giving someone a nice coating in your fluids is extremely satisfying - but no matter what you do, some of it’s bound to end up on the floor, right? That’s what these bottles collect. While the cum isn’t really special on "&amp;"it’s own, you’ll find that sealife seem to think of it as a tasty treat.")</f>
        <v>...What an interesting thing you have here. I question why on earth you would ever need it, but I suppose it might have some use. Simply put, this massive collection of bottles automatically collects any cum that you shoot out that isn’t... Shall we say, in use? A creampie is useful, and giving someone a nice coating in your fluids is extremely satisfying - but no matter what you do, some of it’s bound to end up on the floor, right? That’s what these bottles collect. While the cum isn’t really special on it’s own, you’ll find that sealife seem to think of it as a tasty treat.</v>
      </c>
      <c r="I30" s="5"/>
    </row>
    <row r="31" spans="1:9" ht="156.6" x14ac:dyDescent="0.25">
      <c r="A31" s="16"/>
      <c r="B31" s="17">
        <v>27</v>
      </c>
      <c r="C31" s="2" t="b">
        <f ca="1">IFERROR(__xludf.DUMMYFUNCTION("""COMPUTED_VALUE"""),FALSE)</f>
        <v>0</v>
      </c>
      <c r="D31" s="2">
        <f ca="1">IFERROR(__xludf.DUMMYFUNCTION("""COMPUTED_VALUE"""),100)</f>
        <v>100</v>
      </c>
      <c r="E31" s="2" t="str">
        <f ca="1">IFERROR(__xludf.DUMMYFUNCTION("""COMPUTED_VALUE"""),"Broken Vending Machine")</f>
        <v>Broken Vending Machine</v>
      </c>
      <c r="F31" s="2" t="str">
        <f ca="1">IFERROR(__xludf.DUMMYFUNCTION("""COMPUTED_VALUE"""),"Neon Dreams of Organic Toys")</f>
        <v>Neon Dreams of Organic Toys</v>
      </c>
      <c r="G31" s="2" t="str">
        <f ca="1">IFERROR(__xludf.DUMMYFUNCTION("""COMPUTED_VALUE"""),"Porn &amp; Paraphernalia")</f>
        <v>Porn &amp; Paraphernalia</v>
      </c>
      <c r="H31" s="2" t="str">
        <f ca="1">IFERROR(__xludf.DUMMYFUNCTION("""COMPUTED_VALUE"""),"A futuristic vending machine that’s constantly stocked with a wide variety of delicious, highly processed, pre-packaged food and drink. It doesn’t need power to function and all the prices are ‘zero’, so you could probably feed a whole neighborhood indefi"&amp;"nitely without having to spend a single eddie.
The machine can provide both cold and hot comestibles, so you can have a cool soda with your hot burrito. Also, the comestibles it provides somehow don’t negatively affect the health of those who consume the"&amp;"m, even if they provide 1000% your daily recommended amount of sodium and microplastics.")</f>
        <v>A futuristic vending machine that’s constantly stocked with a wide variety of delicious, highly processed, pre-packaged food and drink. It doesn’t need power to function and all the prices are ‘zero’, so you could probably feed a whole neighborhood indefinitely without having to spend a single eddie.
The machine can provide both cold and hot comestibles, so you can have a cool soda with your hot burrito. Also, the comestibles it provides somehow don’t negatively affect the health of those who consume them, even if they provide 1000% your daily recommended amount of sodium and microplastics.</v>
      </c>
      <c r="I31" s="5"/>
    </row>
    <row r="32" spans="1:9" ht="52.2" x14ac:dyDescent="0.25">
      <c r="A32" s="16"/>
      <c r="B32" s="17">
        <v>28</v>
      </c>
      <c r="C32" s="2" t="b">
        <f ca="1">IFERROR(__xludf.DUMMYFUNCTION("""COMPUTED_VALUE"""),FALSE)</f>
        <v>0</v>
      </c>
      <c r="D32" s="2">
        <f ca="1">IFERROR(__xludf.DUMMYFUNCTION("""COMPUTED_VALUE"""),100)</f>
        <v>100</v>
      </c>
      <c r="E32" s="2" t="str">
        <f ca="1">IFERROR(__xludf.DUMMYFUNCTION("""COMPUTED_VALUE"""),"Buzzkillers")</f>
        <v>Buzzkillers</v>
      </c>
      <c r="F32" s="2" t="str">
        <f ca="1">IFERROR(__xludf.DUMMYFUNCTION("""COMPUTED_VALUE"""),"Carbon Pink")</f>
        <v>Carbon Pink</v>
      </c>
      <c r="G32" s="2" t="str">
        <f ca="1">IFERROR(__xludf.DUMMYFUNCTION("""COMPUTED_VALUE"""),"Porn &amp; Paraphernalia")</f>
        <v>Porn &amp; Paraphernalia</v>
      </c>
      <c r="H32" s="2" t="str">
        <f ca="1">IFERROR(__xludf.DUMMYFUNCTION("""COMPUTED_VALUE"""),"These administer a simple neural scrub, through either a nasal inhaler or a dissolving chips put on the back of the neck, made to remove the effects of drugs on a given person's system; essentially removing any tolerance or addiction they may have.")</f>
        <v>These administer a simple neural scrub, through either a nasal inhaler or a dissolving chips put on the back of the neck, made to remove the effects of drugs on a given person's system; essentially removing any tolerance or addiction they may have.</v>
      </c>
      <c r="I32" s="5"/>
    </row>
    <row r="33" spans="1:9" ht="52.2" x14ac:dyDescent="0.25">
      <c r="A33" s="16"/>
      <c r="B33" s="17">
        <v>29</v>
      </c>
      <c r="C33" s="2" t="b">
        <f ca="1">IFERROR(__xludf.DUMMYFUNCTION("""COMPUTED_VALUE"""),FALSE)</f>
        <v>0</v>
      </c>
      <c r="D33" s="2">
        <f ca="1">IFERROR(__xludf.DUMMYFUNCTION("""COMPUTED_VALUE"""),100)</f>
        <v>100</v>
      </c>
      <c r="E33" s="2" t="str">
        <f ca="1">IFERROR(__xludf.DUMMYFUNCTION("""COMPUTED_VALUE"""),"Camera Golems")</f>
        <v>Camera Golems</v>
      </c>
      <c r="F33" s="2" t="str">
        <f ca="1">IFERROR(__xludf.DUMMYFUNCTION("""COMPUTED_VALUE"""),"The Succubus Trap Island")</f>
        <v>The Succubus Trap Island</v>
      </c>
      <c r="G33" s="2" t="str">
        <f ca="1">IFERROR(__xludf.DUMMYFUNCTION("""COMPUTED_VALUE"""),"Porn &amp; Paraphernalia")</f>
        <v>Porn &amp; Paraphernalia</v>
      </c>
      <c r="H33" s="2" t="str">
        <f ca="1">IFERROR(__xludf.DUMMYFUNCTION("""COMPUTED_VALUE"""),"A set of floating orbs capable of recording footage or broadcasting it elsewhere. They even come with a large crystal that can project whatever footage you give it, so you can advertise your work and titillate the adoring public.")</f>
        <v>A set of floating orbs capable of recording footage or broadcasting it elsewhere. They even come with a large crystal that can project whatever footage you give it, so you can advertise your work and titillate the adoring public.</v>
      </c>
      <c r="I33" s="5"/>
    </row>
    <row r="34" spans="1:9" ht="121.8" x14ac:dyDescent="0.25">
      <c r="A34" s="16"/>
      <c r="B34" s="17">
        <v>30</v>
      </c>
      <c r="C34" s="2" t="b">
        <f ca="1">IFERROR(__xludf.DUMMYFUNCTION("""COMPUTED_VALUE"""),FALSE)</f>
        <v>0</v>
      </c>
      <c r="D34" s="2">
        <f ca="1">IFERROR(__xludf.DUMMYFUNCTION("""COMPUTED_VALUE"""),100)</f>
        <v>100</v>
      </c>
      <c r="E34" s="2" t="str">
        <f ca="1">IFERROR(__xludf.DUMMYFUNCTION("""COMPUTED_VALUE"""),"Catch my Good Side")</f>
        <v>Catch my Good Side</v>
      </c>
      <c r="F34" s="2" t="str">
        <f ca="1">IFERROR(__xludf.DUMMYFUNCTION("""COMPUTED_VALUE"""),"World of Lewd Horror")</f>
        <v>World of Lewd Horror</v>
      </c>
      <c r="G34" s="2" t="str">
        <f ca="1">IFERROR(__xludf.DUMMYFUNCTION("""COMPUTED_VALUE"""),"Porn &amp; Paraphernalia")</f>
        <v>Porn &amp; Paraphernalia</v>
      </c>
      <c r="H34" s="2" t="str">
        <f ca="1">IFERROR(__xludf.DUMMYFUNCTION("""COMPUTED_VALUE"""),"You are uncommonly photogenic. Recordings of you tend to keep you in frame and make you look good, even if your cameraman is a total amateur. You don’t even necessarily need one, as recording equipment always seems to keep working, or even start itself, w"&amp;"hen you want to catch a moment on film. Your phone may glitch out and automatically start recording an important conversation even without you touching it. And if you drop your camera when a monster catches you, you can rest assured that it will not only "&amp;"be undamaged and keep rolling, but that it will land at the perfect angle to catch your pussy getting destroyed by monster cock.")</f>
        <v>You are uncommonly photogenic. Recordings of you tend to keep you in frame and make you look good, even if your cameraman is a total amateur. You don’t even necessarily need one, as recording equipment always seems to keep working, or even start itself, when you want to catch a moment on film. Your phone may glitch out and automatically start recording an important conversation even without you touching it. And if you drop your camera when a monster catches you, you can rest assured that it will not only be undamaged and keep rolling, but that it will land at the perfect angle to catch your pussy getting destroyed by monster cock.</v>
      </c>
      <c r="I34" s="5"/>
    </row>
    <row r="35" spans="1:9" ht="313.2" x14ac:dyDescent="0.25">
      <c r="A35" s="16"/>
      <c r="B35" s="17">
        <v>31</v>
      </c>
      <c r="C35" s="2" t="b">
        <f ca="1">IFERROR(__xludf.DUMMYFUNCTION("""COMPUTED_VALUE"""),FALSE)</f>
        <v>0</v>
      </c>
      <c r="D35" s="2">
        <f ca="1">IFERROR(__xludf.DUMMYFUNCTION("""COMPUTED_VALUE"""),100)</f>
        <v>100</v>
      </c>
      <c r="E35" s="2" t="str">
        <f ca="1">IFERROR(__xludf.DUMMYFUNCTION("""COMPUTED_VALUE"""),"Codex")</f>
        <v>Codex</v>
      </c>
      <c r="F35" s="2" t="str">
        <f ca="1">IFERROR(__xludf.DUMMYFUNCTION("""COMPUTED_VALUE"""),"Trials In Tainted Space")</f>
        <v>Trials In Tainted Space</v>
      </c>
      <c r="G35" s="2" t="str">
        <f ca="1">IFERROR(__xludf.DUMMYFUNCTION("""COMPUTED_VALUE"""),"Porn &amp; Paraphernalia")</f>
        <v>Porn &amp; Paraphernalia</v>
      </c>
      <c r="H35" s="2" t="str">
        <f ca="1">IFERROR(__xludf.DUMMYFUNCTION("""COMPUTED_VALUE"""),"What you have here is a leather-accented tablet with a connector to attach to a belt. And it even writes its own introduction. “Greetings, Master/Madame. I am the Codex. You may address me as Codex. I am a simple virtual intelligence, or V.I. in common pa"&amp;"rlance, programmed to assist you in cataloging new life, resources, and technologies. I am equipped with long-range extranet transmitters and receivers, allowing for communication and data access in most locations. There is a short-range life sensor embed"&amp;"ded in me that allows me to warn you of impending danger. Upon detecting a new species, I will collate all extranet-available data on the species for you to peruse within a minute or two. I have haptic feedback on my screen and do accept voice commands, M"&amp;"aster/Madame.” 
Handy, ain’t it? It also keeps track of your personal status, up to and including your levels of Taint or other corruption. It will also collect samples of speech, and once enough progress is made, will be able to translate others and you"&amp;"rself automatically in real time. In following jumps, when encountering new species or resources, it will pull info from any recorded source, including the written word. You should always know if a race has hallucinogenic genitals, right? All Codexes also"&amp;" come with a psionic energy sensor, to warn you when a new encounter is trying to be tricky with your brain meats. You can also import this device into any sort of tablet or personal communication device.")</f>
        <v>What you have here is a leather-accented tablet with a connector to attach to a belt. And it even writes its own introduction. “Greetings, Master/Madame. I am the Codex. You may address me as Codex. I am a simple virtual intelligence, or V.I. in common parlance, programmed to assist you in cataloging new life, resources, and technologies. I am equipped with long-range extranet transmitters and receivers, allowing for communication and data access in most locations. There is a short-range life sensor embedded in me that allows me to warn you of impending danger. Upon detecting a new species, I will collate all extranet-available data on the species for you to peruse within a minute or two. I have haptic feedback on my screen and do accept voice commands, Master/Madame.” 
Handy, ain’t it? It also keeps track of your personal status, up to and including your levels of Taint or other corruption. It will also collect samples of speech, and once enough progress is made, will be able to translate others and yourself automatically in real time. In following jumps, when encountering new species or resources, it will pull info from any recorded source, including the written word. You should always know if a race has hallucinogenic genitals, right? All Codexes also come with a psionic energy sensor, to warn you when a new encounter is trying to be tricky with your brain meats. You can also import this device into any sort of tablet or personal communication device.</v>
      </c>
      <c r="I35" s="5"/>
    </row>
    <row r="36" spans="1:9" ht="52.2" x14ac:dyDescent="0.25">
      <c r="A36" s="16"/>
      <c r="B36" s="17">
        <v>32</v>
      </c>
      <c r="C36" s="2" t="b">
        <f ca="1">IFERROR(__xludf.DUMMYFUNCTION("""COMPUTED_VALUE"""),FALSE)</f>
        <v>0</v>
      </c>
      <c r="D36" s="2">
        <f ca="1">IFERROR(__xludf.DUMMYFUNCTION("""COMPUTED_VALUE"""),100)</f>
        <v>100</v>
      </c>
      <c r="E36" s="2" t="str">
        <f ca="1">IFERROR(__xludf.DUMMYFUNCTION("""COMPUTED_VALUE"""),"Commemorative Photos")</f>
        <v>Commemorative Photos</v>
      </c>
      <c r="F36" s="2" t="str">
        <f ca="1">IFERROR(__xludf.DUMMYFUNCTION("""COMPUTED_VALUE"""),"Succubi’s Supporter")</f>
        <v>Succubi’s Supporter</v>
      </c>
      <c r="G36" s="2" t="str">
        <f ca="1">IFERROR(__xludf.DUMMYFUNCTION("""COMPUTED_VALUE"""),"Porn &amp; Paraphernalia")</f>
        <v>Porn &amp; Paraphernalia</v>
      </c>
      <c r="H36" s="2" t="str">
        <f ca="1">IFERROR(__xludf.DUMMYFUNCTION("""COMPUTED_VALUE"""),"For every appreciable sexual milestone you reach, you receive a photo of yourself to celebrate your accomplishment. For instance, jacking off a thousand dicks would get you a picture, but so would jacking off a hundred, or ten thousand.")</f>
        <v>For every appreciable sexual milestone you reach, you receive a photo of yourself to celebrate your accomplishment. For instance, jacking off a thousand dicks would get you a picture, but so would jacking off a hundred, or ten thousand.</v>
      </c>
      <c r="I36" s="5"/>
    </row>
    <row r="37" spans="1:9" ht="69.599999999999994" x14ac:dyDescent="0.25">
      <c r="A37" s="16"/>
      <c r="B37" s="17">
        <v>33</v>
      </c>
      <c r="C37" s="2" t="b">
        <f ca="1">IFERROR(__xludf.DUMMYFUNCTION("""COMPUTED_VALUE"""),FALSE)</f>
        <v>0</v>
      </c>
      <c r="D37" s="2">
        <f ca="1">IFERROR(__xludf.DUMMYFUNCTION("""COMPUTED_VALUE"""),100)</f>
        <v>100</v>
      </c>
      <c r="E37" s="2" t="str">
        <f ca="1">IFERROR(__xludf.DUMMYFUNCTION("""COMPUTED_VALUE"""),"DO NOT")</f>
        <v>DO NOT</v>
      </c>
      <c r="F37" s="2" t="str">
        <f ca="1">IFERROR(__xludf.DUMMYFUNCTION("""COMPUTED_VALUE"""),"Metal &amp; Lace")</f>
        <v>Metal &amp; Lace</v>
      </c>
      <c r="G37" s="2" t="str">
        <f ca="1">IFERROR(__xludf.DUMMYFUNCTION("""COMPUTED_VALUE"""),"Porn &amp; Paraphernalia")</f>
        <v>Porn &amp; Paraphernalia</v>
      </c>
      <c r="H37" s="2" t="str">
        <f ca="1">IFERROR(__xludf.DUMMYFUNCTION("""COMPUTED_VALUE"""),"An ordinary-looking ‘DO NOT ENTER’ road sign, except that due to a manufacturing error, the ‘ENTER’ is missing. Won’t bend or break if used as a weapon, though it’s pretty unwieldy unless you have superhuman strength. Very good for expressing your displea"&amp;"sure at someone doing something that you would very much rather them DO NOT.")</f>
        <v>An ordinary-looking ‘DO NOT ENTER’ road sign, except that due to a manufacturing error, the ‘ENTER’ is missing. Won’t bend or break if used as a weapon, though it’s pretty unwieldy unless you have superhuman strength. Very good for expressing your displeasure at someone doing something that you would very much rather them DO NOT.</v>
      </c>
      <c r="I37" s="5"/>
    </row>
    <row r="38" spans="1:9" ht="69.599999999999994" x14ac:dyDescent="0.25">
      <c r="A38" s="16"/>
      <c r="B38" s="17">
        <v>34</v>
      </c>
      <c r="C38" s="2" t="b">
        <f ca="1">IFERROR(__xludf.DUMMYFUNCTION("""COMPUTED_VALUE"""),FALSE)</f>
        <v>0</v>
      </c>
      <c r="D38" s="2">
        <f ca="1">IFERROR(__xludf.DUMMYFUNCTION("""COMPUTED_VALUE"""),100)</f>
        <v>100</v>
      </c>
      <c r="E38" s="2" t="str">
        <f ca="1">IFERROR(__xludf.DUMMYFUNCTION("""COMPUTED_VALUE"""),"Enchanted Camera")</f>
        <v>Enchanted Camera</v>
      </c>
      <c r="F38" s="2" t="str">
        <f ca="1">IFERROR(__xludf.DUMMYFUNCTION("""COMPUTED_VALUE"""),"My Bride is the Demon Lord")</f>
        <v>My Bride is the Demon Lord</v>
      </c>
      <c r="G38" s="2" t="str">
        <f ca="1">IFERROR(__xludf.DUMMYFUNCTION("""COMPUTED_VALUE"""),"Porn &amp; Paraphernalia")</f>
        <v>Porn &amp; Paraphernalia</v>
      </c>
      <c r="H38" s="2" t="str">
        <f ca="1">IFERROR(__xludf.DUMMYFUNCTION("""COMPUTED_VALUE"""),"A video camera that has been magically empowered, this one will never run out of charge and has an infinite memory space. It has incredibly high, perfectly lifelike fidelity, an has been enchanted with both an ultra-intensity zoon and hentai x-ray vision;"&amp;" perfect for if you want to videotape the process of getting creampied, or watch the insemination of your own eggs.")</f>
        <v>A video camera that has been magically empowered, this one will never run out of charge and has an infinite memory space. It has incredibly high, perfectly lifelike fidelity, an has been enchanted with both an ultra-intensity zoon and hentai x-ray vision; perfect for if you want to videotape the process of getting creampied, or watch the insemination of your own eggs.</v>
      </c>
      <c r="I38" s="5"/>
    </row>
    <row r="39" spans="1:9" ht="69.599999999999994" x14ac:dyDescent="0.25">
      <c r="A39" s="16"/>
      <c r="B39" s="17">
        <v>35</v>
      </c>
      <c r="C39" s="2" t="b">
        <f ca="1">IFERROR(__xludf.DUMMYFUNCTION("""COMPUTED_VALUE"""),FALSE)</f>
        <v>0</v>
      </c>
      <c r="D39" s="2">
        <f ca="1">IFERROR(__xludf.DUMMYFUNCTION("""COMPUTED_VALUE"""),100)</f>
        <v>100</v>
      </c>
      <c r="E39" s="2" t="str">
        <f ca="1">IFERROR(__xludf.DUMMYFUNCTION("""COMPUTED_VALUE"""),"Fetishwear")</f>
        <v>Fetishwear</v>
      </c>
      <c r="F39" s="2" t="str">
        <f ca="1">IFERROR(__xludf.DUMMYFUNCTION("""COMPUTED_VALUE"""),"Collar 6")</f>
        <v>Collar 6</v>
      </c>
      <c r="G39" s="2" t="str">
        <f ca="1">IFERROR(__xludf.DUMMYFUNCTION("""COMPUTED_VALUE"""),"Porn &amp; Paraphernalia")</f>
        <v>Porn &amp; Paraphernalia</v>
      </c>
      <c r="H39" s="2" t="str">
        <f ca="1">IFERROR(__xludf.DUMMYFUNCTION("""COMPUTED_VALUE"""),"This grants you an infinite credit line with the famed fetishwear makers ""Unlimited Fetish Works"", who will make any fetish outfit to your specifications, throw in whatever enchantments are required to ensure comfortable wear (as long as comfort is part"&amp;" of the design, that is) and deliver up to a hundred outfits a week straight to your pocket dimension in no time at all.")</f>
        <v>This grants you an infinite credit line with the famed fetishwear makers "Unlimited Fetish Works", who will make any fetish outfit to your specifications, throw in whatever enchantments are required to ensure comfortable wear (as long as comfort is part of the design, that is) and deliver up to a hundred outfits a week straight to your pocket dimension in no time at all.</v>
      </c>
      <c r="I39" s="5"/>
    </row>
    <row r="40" spans="1:9" ht="104.4" x14ac:dyDescent="0.25">
      <c r="A40" s="16"/>
      <c r="B40" s="17">
        <v>36</v>
      </c>
      <c r="C40" s="2" t="b">
        <f ca="1">IFERROR(__xludf.DUMMYFUNCTION("""COMPUTED_VALUE"""),FALSE)</f>
        <v>0</v>
      </c>
      <c r="D40" s="2">
        <f ca="1">IFERROR(__xludf.DUMMYFUNCTION("""COMPUTED_VALUE"""),100)</f>
        <v>100</v>
      </c>
      <c r="E40" s="2" t="str">
        <f ca="1">IFERROR(__xludf.DUMMYFUNCTION("""COMPUTED_VALUE"""),"Fukbuk Bracelet")</f>
        <v>Fukbuk Bracelet</v>
      </c>
      <c r="F40" s="2" t="str">
        <f ca="1">IFERROR(__xludf.DUMMYFUNCTION("""COMPUTED_VALUE"""),"Mizuryu Kei Land")</f>
        <v>Mizuryu Kei Land</v>
      </c>
      <c r="G40" s="2" t="str">
        <f ca="1">IFERROR(__xludf.DUMMYFUNCTION("""COMPUTED_VALUE"""),"Porn &amp; Paraphernalia")</f>
        <v>Porn &amp; Paraphernalia</v>
      </c>
      <c r="H40" s="2" t="str">
        <f ca="1">IFERROR(__xludf.DUMMYFUNCTION("""COMPUTED_VALUE"""),"A small bracelet like device with a small computer inside of it. All it really does is keep track of your location as well as your wallet. So, in a nutshell, it’s just a fancy gps/credit card combo. However, this version is prepaid, for lack of a better t"&amp;"erm. Not a whole lot, but it’s enough to enjoy a day or two at Mizuryu Kei Land without hurting your actual wallet. Anything more than that and you’re on your own. However, as a small added bonus, you can fill it manually, and the bracelet can also serve "&amp;"as it’s intended purpose - ID and money - anywhere and everywhere, not just inside the park.")</f>
        <v>A small bracelet like device with a small computer inside of it. All it really does is keep track of your location as well as your wallet. So, in a nutshell, it’s just a fancy gps/credit card combo. However, this version is prepaid, for lack of a better term. Not a whole lot, but it’s enough to enjoy a day or two at Mizuryu Kei Land without hurting your actual wallet. Anything more than that and you’re on your own. However, as a small added bonus, you can fill it manually, and the bracelet can also serve as it’s intended purpose - ID and money - anywhere and everywhere, not just inside the park.</v>
      </c>
      <c r="I40" s="5"/>
    </row>
    <row r="41" spans="1:9" ht="104.4" x14ac:dyDescent="0.25">
      <c r="A41" s="16"/>
      <c r="B41" s="17">
        <v>37</v>
      </c>
      <c r="C41" s="2" t="b">
        <f ca="1">IFERROR(__xludf.DUMMYFUNCTION("""COMPUTED_VALUE"""),FALSE)</f>
        <v>0</v>
      </c>
      <c r="D41" s="2">
        <f ca="1">IFERROR(__xludf.DUMMYFUNCTION("""COMPUTED_VALUE"""),100)</f>
        <v>100</v>
      </c>
      <c r="E41" s="2" t="str">
        <f ca="1">IFERROR(__xludf.DUMMYFUNCTION("""COMPUTED_VALUE"""),"Gifted by the Grail")</f>
        <v>Gifted by the Grail</v>
      </c>
      <c r="F41" s="2" t="str">
        <f ca="1">IFERROR(__xludf.DUMMYFUNCTION("""COMPUTED_VALUE"""),"Fate / Blacked")</f>
        <v>Fate / Blacked</v>
      </c>
      <c r="G41" s="2" t="str">
        <f ca="1">IFERROR(__xludf.DUMMYFUNCTION("""COMPUTED_VALUE"""),"Porn &amp; Paraphernalia")</f>
        <v>Porn &amp; Paraphernalia</v>
      </c>
      <c r="H41" s="2" t="str">
        <f ca="1">IFERROR(__xludf.DUMMYFUNCTION("""COMPUTED_VALUE"""),"Most servants know nothing about the modern era, with only a few tidbits of information about language and locale shoved into their head during their summoning. This? This is the history of your fetish, a comprehensive collection of just about every piece"&amp;" of porn ever produced that fits the theme. It sits you down, walks you through it, and explains to you exactly why this fetish is so much better than all the others. It’s also extremely easy to upload onto the internet, and has more than a few ‘home movi"&amp;"es’ of famous individuals. No I don’t know why the Holy Grail gave this to you.")</f>
        <v>Most servants know nothing about the modern era, with only a few tidbits of information about language and locale shoved into their head during their summoning. This? This is the history of your fetish, a comprehensive collection of just about every piece of porn ever produced that fits the theme. It sits you down, walks you through it, and explains to you exactly why this fetish is so much better than all the others. It’s also extremely easy to upload onto the internet, and has more than a few ‘home movies’ of famous individuals. No I don’t know why the Holy Grail gave this to you.</v>
      </c>
      <c r="I41" s="5"/>
    </row>
    <row r="42" spans="1:9" ht="52.2" x14ac:dyDescent="0.25">
      <c r="A42" s="16"/>
      <c r="B42" s="17">
        <v>38</v>
      </c>
      <c r="C42" s="2" t="b">
        <f ca="1">IFERROR(__xludf.DUMMYFUNCTION("""COMPUTED_VALUE"""),FALSE)</f>
        <v>0</v>
      </c>
      <c r="D42" s="2">
        <f ca="1">IFERROR(__xludf.DUMMYFUNCTION("""COMPUTED_VALUE"""),100)</f>
        <v>100</v>
      </c>
      <c r="E42" s="2" t="str">
        <f ca="1">IFERROR(__xludf.DUMMYFUNCTION("""COMPUTED_VALUE"""),"Glorious Treasure")</f>
        <v>Glorious Treasure</v>
      </c>
      <c r="F42" s="2" t="str">
        <f ca="1">IFERROR(__xludf.DUMMYFUNCTION("""COMPUTED_VALUE"""),"Ashigei Shoujo Komura-san")</f>
        <v>Ashigei Shoujo Komura-san</v>
      </c>
      <c r="G42" s="2" t="str">
        <f ca="1">IFERROR(__xludf.DUMMYFUNCTION("""COMPUTED_VALUE"""),"Porn &amp; Paraphernalia")</f>
        <v>Porn &amp; Paraphernalia</v>
      </c>
      <c r="H42" s="2" t="str">
        <f ca="1">IFERROR(__xludf.DUMMYFUNCTION("""COMPUTED_VALUE"""),"To the right buyer, this stash of top-tier smut is the next best thing to gold. You’ll find many school boys or girls willing to pay top dollar, or recieve in place of payment. Restocks monthly.")</f>
        <v>To the right buyer, this stash of top-tier smut is the next best thing to gold. You’ll find many school boys or girls willing to pay top dollar, or recieve in place of payment. Restocks monthly.</v>
      </c>
      <c r="I42" s="5"/>
    </row>
    <row r="43" spans="1:9" ht="34.799999999999997" x14ac:dyDescent="0.25">
      <c r="A43" s="16"/>
      <c r="B43" s="17">
        <v>39</v>
      </c>
      <c r="C43" s="2" t="b">
        <f ca="1">IFERROR(__xludf.DUMMYFUNCTION("""COMPUTED_VALUE"""),FALSE)</f>
        <v>0</v>
      </c>
      <c r="D43" s="2">
        <f ca="1">IFERROR(__xludf.DUMMYFUNCTION("""COMPUTED_VALUE"""),100)</f>
        <v>100</v>
      </c>
      <c r="E43" s="2" t="str">
        <f ca="1">IFERROR(__xludf.DUMMYFUNCTION("""COMPUTED_VALUE"""),"Holo-Lounge")</f>
        <v>Holo-Lounge</v>
      </c>
      <c r="F43" s="2" t="str">
        <f ca="1">IFERROR(__xludf.DUMMYFUNCTION("""COMPUTED_VALUE"""),"Destiny: Fuck the Darkness")</f>
        <v>Destiny: Fuck the Darkness</v>
      </c>
      <c r="G43" s="2" t="str">
        <f ca="1">IFERROR(__xludf.DUMMYFUNCTION("""COMPUTED_VALUE"""),"Porn &amp; Paraphernalia")</f>
        <v>Porn &amp; Paraphernalia</v>
      </c>
      <c r="H43" s="2" t="str">
        <f ca="1">IFERROR(__xludf.DUMMYFUNCTION("""COMPUTED_VALUE"""),"A chaise lounge that you can summon literally everywhere. It’s transparent, immensely comfortable, instantly cleans itself when you put it away, and is weight-rated for an entire orgy.")</f>
        <v>A chaise lounge that you can summon literally everywhere. It’s transparent, immensely comfortable, instantly cleans itself when you put it away, and is weight-rated for an entire orgy.</v>
      </c>
      <c r="I43" s="5"/>
    </row>
    <row r="44" spans="1:9" ht="52.2" x14ac:dyDescent="0.25">
      <c r="A44" s="16"/>
      <c r="B44" s="17">
        <v>40</v>
      </c>
      <c r="C44" s="2" t="b">
        <f ca="1">IFERROR(__xludf.DUMMYFUNCTION("""COMPUTED_VALUE"""),FALSE)</f>
        <v>0</v>
      </c>
      <c r="D44" s="2">
        <f ca="1">IFERROR(__xludf.DUMMYFUNCTION("""COMPUTED_VALUE"""),100)</f>
        <v>100</v>
      </c>
      <c r="E44" s="2" t="str">
        <f ca="1">IFERROR(__xludf.DUMMYFUNCTION("""COMPUTED_VALUE"""),"Hunter of the Heart the Novel")</f>
        <v>Hunter of the Heart the Novel</v>
      </c>
      <c r="F44" s="2" t="str">
        <f ca="1">IFERROR(__xludf.DUMMYFUNCTION("""COMPUTED_VALUE"""),"Destiny: Fuck the Darkness")</f>
        <v>Destiny: Fuck the Darkness</v>
      </c>
      <c r="G44" s="2" t="str">
        <f ca="1">IFERROR(__xludf.DUMMYFUNCTION("""COMPUTED_VALUE"""),"Porn &amp; Paraphernalia")</f>
        <v>Porn &amp; Paraphernalia</v>
      </c>
      <c r="H44" s="2" t="str">
        <f ca="1">IFERROR(__xludf.DUMMYFUNCTION("""COMPUTED_VALUE"""),"No, not the Perk, the book. This little red novel of infinite pages will catalogue your sexual exploits in exquisite melodrama, with chapter after chapter dedicated to even a single lover. Great for reminiscing, or for inspiration.")</f>
        <v>No, not the Perk, the book. This little red novel of infinite pages will catalogue your sexual exploits in exquisite melodrama, with chapter after chapter dedicated to even a single lover. Great for reminiscing, or for inspiration.</v>
      </c>
      <c r="I44" s="5"/>
    </row>
    <row r="45" spans="1:9" ht="34.799999999999997" x14ac:dyDescent="0.25">
      <c r="A45" s="16"/>
      <c r="B45" s="17">
        <v>41</v>
      </c>
      <c r="C45" s="2" t="b">
        <f ca="1">IFERROR(__xludf.DUMMYFUNCTION("""COMPUTED_VALUE"""),FALSE)</f>
        <v>0</v>
      </c>
      <c r="D45" s="2">
        <f ca="1">IFERROR(__xludf.DUMMYFUNCTION("""COMPUTED_VALUE"""),100)</f>
        <v>100</v>
      </c>
      <c r="E45" s="2" t="str">
        <f ca="1">IFERROR(__xludf.DUMMYFUNCTION("""COMPUTED_VALUE"""),"Hyper Sex Toys")</f>
        <v>Hyper Sex Toys</v>
      </c>
      <c r="F45" s="2" t="str">
        <f ca="1">IFERROR(__xludf.DUMMYFUNCTION("""COMPUTED_VALUE"""),"Winger’s World")</f>
        <v>Winger’s World</v>
      </c>
      <c r="G45" s="2" t="str">
        <f ca="1">IFERROR(__xludf.DUMMYFUNCTION("""COMPUTED_VALUE"""),"Porn &amp; Paraphernalia")</f>
        <v>Porn &amp; Paraphernalia</v>
      </c>
      <c r="H45" s="2" t="str">
        <f ca="1">IFERROR(__xludf.DUMMYFUNCTION("""COMPUTED_VALUE"""),"Toys designed for those of a size fetish. Dildos and strapons that are measured in feet. Onaholes you could easily shove an entire arm into.")</f>
        <v>Toys designed for those of a size fetish. Dildos and strapons that are measured in feet. Onaholes you could easily shove an entire arm into.</v>
      </c>
      <c r="I45" s="5"/>
    </row>
    <row r="46" spans="1:9" ht="87" x14ac:dyDescent="0.25">
      <c r="A46" s="16"/>
      <c r="B46" s="17">
        <v>42</v>
      </c>
      <c r="C46" s="2" t="b">
        <f ca="1">IFERROR(__xludf.DUMMYFUNCTION("""COMPUTED_VALUE"""),FALSE)</f>
        <v>0</v>
      </c>
      <c r="D46" s="2">
        <f ca="1">IFERROR(__xludf.DUMMYFUNCTION("""COMPUTED_VALUE"""),100)</f>
        <v>100</v>
      </c>
      <c r="E46" s="2" t="str">
        <f ca="1">IFERROR(__xludf.DUMMYFUNCTION("""COMPUTED_VALUE"""),"Icha Icha Collection")</f>
        <v>Icha Icha Collection</v>
      </c>
      <c r="F46" s="2" t="str">
        <f ca="1">IFERROR(__xludf.DUMMYFUNCTION("""COMPUTED_VALUE"""),"Naruto Blacked")</f>
        <v>Naruto Blacked</v>
      </c>
      <c r="G46" s="2" t="str">
        <f ca="1">IFERROR(__xludf.DUMMYFUNCTION("""COMPUTED_VALUE"""),"Porn &amp; Paraphernalia")</f>
        <v>Porn &amp; Paraphernalia</v>
      </c>
      <c r="H46" s="2" t="str">
        <f ca="1">IFERROR(__xludf.DUMMYFUNCTION("""COMPUTED_VALUE"""),"The finest stash of porn in all the land, Icha Icha is the best professionally-produced smut in the elemental nations and right here you’ve got signed copies of every single volume. Not only is this stuff great fapping material, it’s actually surprisingly"&amp;" good at teaching you how to flirt, almost like the writer had some actual experience hooking up with girls or something. While the early volumes start off vanilla, later issues start delving into more advanced material, like BDSM.")</f>
        <v>The finest stash of porn in all the land, Icha Icha is the best professionally-produced smut in the elemental nations and right here you’ve got signed copies of every single volume. Not only is this stuff great fapping material, it’s actually surprisingly good at teaching you how to flirt, almost like the writer had some actual experience hooking up with girls or something. While the early volumes start off vanilla, later issues start delving into more advanced material, like BDSM.</v>
      </c>
      <c r="I46" s="5"/>
    </row>
    <row r="47" spans="1:9" ht="34.799999999999997" x14ac:dyDescent="0.25">
      <c r="A47" s="16"/>
      <c r="B47" s="17">
        <v>43</v>
      </c>
      <c r="C47" s="2" t="b">
        <f ca="1">IFERROR(__xludf.DUMMYFUNCTION("""COMPUTED_VALUE"""),FALSE)</f>
        <v>0</v>
      </c>
      <c r="D47" s="2">
        <f ca="1">IFERROR(__xludf.DUMMYFUNCTION("""COMPUTED_VALUE"""),100)</f>
        <v>100</v>
      </c>
      <c r="E47" s="2" t="str">
        <f ca="1">IFERROR(__xludf.DUMMYFUNCTION("""COMPUTED_VALUE"""),"Injection Gun")</f>
        <v>Injection Gun</v>
      </c>
      <c r="F47" s="2" t="str">
        <f ca="1">IFERROR(__xludf.DUMMYFUNCTION("""COMPUTED_VALUE"""),"Nyakumi")</f>
        <v>Nyakumi</v>
      </c>
      <c r="G47" s="2" t="str">
        <f ca="1">IFERROR(__xludf.DUMMYFUNCTION("""COMPUTED_VALUE"""),"Porn &amp; Paraphernalia")</f>
        <v>Porn &amp; Paraphernalia</v>
      </c>
      <c r="H47" s="2" t="str">
        <f ca="1">IFERROR(__xludf.DUMMYFUNCTION("""COMPUTED_VALUE"""),"This little pistol-like device will inject the contents of whatever vial you insert into it. Just jab them with the needle on the end of the ‘barrel’, and pull the ‘trigger’.")</f>
        <v>This little pistol-like device will inject the contents of whatever vial you insert into it. Just jab them with the needle on the end of the ‘barrel’, and pull the ‘trigger’.</v>
      </c>
      <c r="I47" s="5"/>
    </row>
    <row r="48" spans="1:9" ht="104.4" x14ac:dyDescent="0.25">
      <c r="A48" s="16"/>
      <c r="B48" s="17">
        <v>44</v>
      </c>
      <c r="C48" s="2" t="b">
        <f ca="1">IFERROR(__xludf.DUMMYFUNCTION("""COMPUTED_VALUE"""),FALSE)</f>
        <v>0</v>
      </c>
      <c r="D48" s="2">
        <f ca="1">IFERROR(__xludf.DUMMYFUNCTION("""COMPUTED_VALUE"""),100)</f>
        <v>100</v>
      </c>
      <c r="E48" s="2" t="str">
        <f ca="1">IFERROR(__xludf.DUMMYFUNCTION("""COMPUTED_VALUE"""),"Insurance Card")</f>
        <v>Insurance Card</v>
      </c>
      <c r="F48" s="2" t="str">
        <f ca="1">IFERROR(__xludf.DUMMYFUNCTION("""COMPUTED_VALUE"""),"Ane Naru Mono")</f>
        <v>Ane Naru Mono</v>
      </c>
      <c r="G48" s="2" t="str">
        <f ca="1">IFERROR(__xludf.DUMMYFUNCTION("""COMPUTED_VALUE"""),"Porn &amp; Paraphernalia")</f>
        <v>Porn &amp; Paraphernalia</v>
      </c>
      <c r="H48" s="2" t="str">
        <f ca="1">IFERROR(__xludf.DUMMYFUNCTION("""COMPUTED_VALUE"""),"This item is exactly what it says on the tin, your insurance. You need never worry about someone scratching your car, an expensive surgery, or a tree falling on your house ever again. All of those things are simply handled for you. Additionally, while not"&amp;" impossible to lose or have stolen, the card will semi randomly move itself to a more convenient location if you leave it alone for too long. The inside of your wallet seems like an obvious place, though it may also lay itself on your desk, if you get int"&amp;"o the habit of spending all your time there.")</f>
        <v>This item is exactly what it says on the tin, your insurance. You need never worry about someone scratching your car, an expensive surgery, or a tree falling on your house ever again. All of those things are simply handled for you. Additionally, while not impossible to lose or have stolen, the card will semi randomly move itself to a more convenient location if you leave it alone for too long. The inside of your wallet seems like an obvious place, though it may also lay itself on your desk, if you get into the habit of spending all your time there.</v>
      </c>
      <c r="I48" s="5"/>
    </row>
    <row r="49" spans="1:9" ht="104.4" x14ac:dyDescent="0.25">
      <c r="A49" s="16"/>
      <c r="B49" s="17">
        <v>45</v>
      </c>
      <c r="C49" s="2" t="b">
        <f ca="1">IFERROR(__xludf.DUMMYFUNCTION("""COMPUTED_VALUE"""),FALSE)</f>
        <v>0</v>
      </c>
      <c r="D49" s="2">
        <f ca="1">IFERROR(__xludf.DUMMYFUNCTION("""COMPUTED_VALUE"""),100)</f>
        <v>100</v>
      </c>
      <c r="E49" s="2" t="str">
        <f ca="1">IFERROR(__xludf.DUMMYFUNCTION("""COMPUTED_VALUE"""),"Legally Mandated Slutwear")</f>
        <v>Legally Mandated Slutwear</v>
      </c>
      <c r="F49" s="2" t="str">
        <f ca="1">IFERROR(__xludf.DUMMYFUNCTION("""COMPUTED_VALUE"""),"Lewd Virus")</f>
        <v>Lewd Virus</v>
      </c>
      <c r="G49" s="2" t="str">
        <f ca="1">IFERROR(__xludf.DUMMYFUNCTION("""COMPUTED_VALUE"""),"Porn &amp; Paraphernalia")</f>
        <v>Porn &amp; Paraphernalia</v>
      </c>
      <c r="H49" s="2" t="str">
        <f ca="1">IFERROR(__xludf.DUMMYFUNCTION("""COMPUTED_VALUE"""),"You receive a wardrobe full of slutty clothing, all of which leaves your crotch exposed at the bare minimum, and often more. The wardrobe has clothing for a wide variety of functions, from school to formal dinners to funerals to weddings to clothing suite"&amp;"d to whatever jobs or hobbies you might have. No matter how little you are wearing, as long as its from this wardrobe no one will ever object to you showing up so exposed. Furthermore, no matter what fluids it is exposed to this clothing will never stain "&amp;"or get dirty... unless you want it to, for some reason.")</f>
        <v>You receive a wardrobe full of slutty clothing, all of which leaves your crotch exposed at the bare minimum, and often more. The wardrobe has clothing for a wide variety of functions, from school to formal dinners to funerals to weddings to clothing suited to whatever jobs or hobbies you might have. No matter how little you are wearing, as long as its from this wardrobe no one will ever object to you showing up so exposed. Furthermore, no matter what fluids it is exposed to this clothing will never stain or get dirty... unless you want it to, for some reason.</v>
      </c>
      <c r="I49" s="5"/>
    </row>
    <row r="50" spans="1:9" ht="52.2" x14ac:dyDescent="0.25">
      <c r="A50" s="16"/>
      <c r="B50" s="17">
        <v>46</v>
      </c>
      <c r="C50" s="2" t="b">
        <f ca="1">IFERROR(__xludf.DUMMYFUNCTION("""COMPUTED_VALUE"""),FALSE)</f>
        <v>0</v>
      </c>
      <c r="D50" s="2">
        <f ca="1">IFERROR(__xludf.DUMMYFUNCTION("""COMPUTED_VALUE"""),100)</f>
        <v>100</v>
      </c>
      <c r="E50" s="2" t="str">
        <f ca="1">IFERROR(__xludf.DUMMYFUNCTION("""COMPUTED_VALUE"""),"Magical Trunk")</f>
        <v>Magical Trunk</v>
      </c>
      <c r="F50" s="2" t="str">
        <f ca="1">IFERROR(__xludf.DUMMYFUNCTION("""COMPUTED_VALUE"""),"Radaslab's The Harem War")</f>
        <v>Radaslab's The Harem War</v>
      </c>
      <c r="G50" s="2" t="str">
        <f ca="1">IFERROR(__xludf.DUMMYFUNCTION("""COMPUTED_VALUE"""),"Porn &amp; Paraphernalia")</f>
        <v>Porn &amp; Paraphernalia</v>
      </c>
      <c r="H50" s="2" t="str">
        <f ca="1">IFERROR(__xludf.DUMMYFUNCTION("""COMPUTED_VALUE"""),"A magical trunk that is slightly bigger on the inside than outside, filled with all of the things you would expect a Hogwarts student to have, from textbooks and packets of potion ingredients to school uniforms and writing supplies.")</f>
        <v>A magical trunk that is slightly bigger on the inside than outside, filled with all of the things you would expect a Hogwarts student to have, from textbooks and packets of potion ingredients to school uniforms and writing supplies.</v>
      </c>
      <c r="I50" s="5"/>
    </row>
    <row r="51" spans="1:9" ht="174" x14ac:dyDescent="0.25">
      <c r="A51" s="16"/>
      <c r="B51" s="17">
        <v>47</v>
      </c>
      <c r="C51" s="2" t="b">
        <f ca="1">IFERROR(__xludf.DUMMYFUNCTION("""COMPUTED_VALUE"""),FALSE)</f>
        <v>0</v>
      </c>
      <c r="D51" s="2">
        <f ca="1">IFERROR(__xludf.DUMMYFUNCTION("""COMPUTED_VALUE"""),100)</f>
        <v>100</v>
      </c>
      <c r="E51" s="2" t="str">
        <f ca="1">IFERROR(__xludf.DUMMYFUNCTION("""COMPUTED_VALUE"""),"Malanya's Saddle")</f>
        <v>Malanya's Saddle</v>
      </c>
      <c r="F51" s="2" t="str">
        <f ca="1">IFERROR(__xludf.DUMMYFUNCTION("""COMPUTED_VALUE"""),"Breathless Wild")</f>
        <v>Breathless Wild</v>
      </c>
      <c r="G51" s="2" t="str">
        <f ca="1">IFERROR(__xludf.DUMMYFUNCTION("""COMPUTED_VALUE"""),"Porn &amp; Paraphernalia")</f>
        <v>Porn &amp; Paraphernalia</v>
      </c>
      <c r="H51" s="2" t="str">
        <f ca="1">IFERROR(__xludf.DUMMYFUNCTION("""COMPUTED_VALUE"""),"As the god of horses Malanya is always happy to share the joy of being a horse with those of his followers who’ve been cursed to be born in non-horsey bodies. To that end he created this magical ensemble which allows the wearer to be transformed into a ho"&amp;"rse, in a sense. Consisting of a saddle, bridle, anal tail plug, and bondage gear which securely restrains all of the wearer’s non-horsey bits, this enchanted gear grants a wearer the strength, speed, and endurance of a wild stallion while also allowing a"&amp;" person to ride on their back as comfortably and effectively (for both rider and horse) as a real horse. While wearing the complete outfit the horse can even teleport straight to her master’s side: simply whistle for her and she’ll magically appear from o"&amp;"ver the nearest hill or as if she’d been loyally waiting for you just out of sight even if she was actually many miles away.")</f>
        <v>As the god of horses Malanya is always happy to share the joy of being a horse with those of his followers who’ve been cursed to be born in non-horsey bodies. To that end he created this magical ensemble which allows the wearer to be transformed into a horse, in a sense. Consisting of a saddle, bridle, anal tail plug, and bondage gear which securely restrains all of the wearer’s non-horsey bits, this enchanted gear grants a wearer the strength, speed, and endurance of a wild stallion while also allowing a person to ride on their back as comfortably and effectively (for both rider and horse) as a real horse. While wearing the complete outfit the horse can even teleport straight to her master’s side: simply whistle for her and she’ll magically appear from over the nearest hill or as if she’d been loyally waiting for you just out of sight even if she was actually many miles away.</v>
      </c>
      <c r="I51" s="5"/>
    </row>
    <row r="52" spans="1:9" ht="87" x14ac:dyDescent="0.25">
      <c r="A52" s="16"/>
      <c r="B52" s="17">
        <v>48</v>
      </c>
      <c r="C52" s="2" t="b">
        <f ca="1">IFERROR(__xludf.DUMMYFUNCTION("""COMPUTED_VALUE"""),FALSE)</f>
        <v>0</v>
      </c>
      <c r="D52" s="2">
        <f ca="1">IFERROR(__xludf.DUMMYFUNCTION("""COMPUTED_VALUE"""),100)</f>
        <v>100</v>
      </c>
      <c r="E52" s="2" t="str">
        <f ca="1">IFERROR(__xludf.DUMMYFUNCTION("""COMPUTED_VALUE"""),"Media Remaker")</f>
        <v>Media Remaker</v>
      </c>
      <c r="F52" s="2" t="str">
        <f ca="1">IFERROR(__xludf.DUMMYFUNCTION("""COMPUTED_VALUE"""),"Generic: Hentai Modern")</f>
        <v>Generic: Hentai Modern</v>
      </c>
      <c r="G52" s="2" t="str">
        <f ca="1">IFERROR(__xludf.DUMMYFUNCTION("""COMPUTED_VALUE"""),"Porn &amp; Paraphernalia")</f>
        <v>Porn &amp; Paraphernalia</v>
      </c>
      <c r="H52" s="2" t="str">
        <f ca="1">IFERROR(__xludf.DUMMYFUNCTION("""COMPUTED_VALUE"""),"For all that the world is currently running on porn logic - possibly literally if you bought said perk - you may still find yourself in need of some actual porn. That why the adaptifier was created. It remakes any media you point it at, from video games, "&amp;"tv shows, books, hell even the bible. Said remaking ups the amount of sex in it, as well as the explicitness, by quite a bit. Send your RPG party to the inn to heal up? Get a nice cutscene of them having an orgy. So on and so forth.")</f>
        <v>For all that the world is currently running on porn logic - possibly literally if you bought said perk - you may still find yourself in need of some actual porn. That why the adaptifier was created. It remakes any media you point it at, from video games, tv shows, books, hell even the bible. Said remaking ups the amount of sex in it, as well as the explicitness, by quite a bit. Send your RPG party to the inn to heal up? Get a nice cutscene of them having an orgy. So on and so forth.</v>
      </c>
      <c r="I52" s="5"/>
    </row>
    <row r="53" spans="1:9" ht="121.8" x14ac:dyDescent="0.25">
      <c r="A53" s="16"/>
      <c r="B53" s="17">
        <v>49</v>
      </c>
      <c r="C53" s="2" t="b">
        <f ca="1">IFERROR(__xludf.DUMMYFUNCTION("""COMPUTED_VALUE"""),FALSE)</f>
        <v>0</v>
      </c>
      <c r="D53" s="2">
        <f ca="1">IFERROR(__xludf.DUMMYFUNCTION("""COMPUTED_VALUE"""),100)</f>
        <v>100</v>
      </c>
      <c r="E53" s="2" t="str">
        <f ca="1">IFERROR(__xludf.DUMMYFUNCTION("""COMPUTED_VALUE"""),"Ninja Goods")</f>
        <v>Ninja Goods</v>
      </c>
      <c r="F53" s="2" t="str">
        <f ca="1">IFERROR(__xludf.DUMMYFUNCTION("""COMPUTED_VALUE"""),"Naruto Blacked")</f>
        <v>Naruto Blacked</v>
      </c>
      <c r="G53" s="2" t="str">
        <f ca="1">IFERROR(__xludf.DUMMYFUNCTION("""COMPUTED_VALUE"""),"Porn &amp; Paraphernalia")</f>
        <v>Porn &amp; Paraphernalia</v>
      </c>
      <c r="H53" s="2" t="str">
        <f ca="1">IFERROR(__xludf.DUMMYFUNCTION("""COMPUTED_VALUE"""),"These ninja goods include common tools like shuriken, kunai, rope and ninja wire, explosive tags, and so on. But someone appears to have played a prank on you and switched out all the standard gear for something a seduction specialist would use. All of th"&amp;"e shuriken and kunai are coated in aphrodisiac poisons, the wire and ropes always seem to bind their targets into shibari positions, the explosive tags unleash clouds of sleeping gas, and so on. Conveniently you’ve also been inoculated against all of the "&amp;"poisons and drugs in this collection, so don’t worry too much about your weapons being turned against you.")</f>
        <v>These ninja goods include common tools like shuriken, kunai, rope and ninja wire, explosive tags, and so on. But someone appears to have played a prank on you and switched out all the standard gear for something a seduction specialist would use. All of the shuriken and kunai are coated in aphrodisiac poisons, the wire and ropes always seem to bind their targets into shibari positions, the explosive tags unleash clouds of sleeping gas, and so on. Conveniently you’ve also been inoculated against all of the poisons and drugs in this collection, so don’t worry too much about your weapons being turned against you.</v>
      </c>
      <c r="I53" s="5"/>
    </row>
    <row r="54" spans="1:9" ht="69.599999999999994" x14ac:dyDescent="0.25">
      <c r="A54" s="16"/>
      <c r="B54" s="17">
        <v>50</v>
      </c>
      <c r="C54" s="2" t="b">
        <f ca="1">IFERROR(__xludf.DUMMYFUNCTION("""COMPUTED_VALUE"""),FALSE)</f>
        <v>0</v>
      </c>
      <c r="D54" s="2">
        <f ca="1">IFERROR(__xludf.DUMMYFUNCTION("""COMPUTED_VALUE"""),100)</f>
        <v>100</v>
      </c>
      <c r="E54" s="2" t="str">
        <f ca="1">IFERROR(__xludf.DUMMYFUNCTION("""COMPUTED_VALUE"""),"Perfect Size and Girth")</f>
        <v>Perfect Size and Girth</v>
      </c>
      <c r="F54" s="2" t="str">
        <f ca="1">IFERROR(__xludf.DUMMYFUNCTION("""COMPUTED_VALUE"""),"World of Moral Reversal")</f>
        <v>World of Moral Reversal</v>
      </c>
      <c r="G54" s="2" t="str">
        <f ca="1">IFERROR(__xludf.DUMMYFUNCTION("""COMPUTED_VALUE"""),"Porn &amp; Paraphernalia")</f>
        <v>Porn &amp; Paraphernalia</v>
      </c>
      <c r="H54" s="2" t="str">
        <f ca="1">IFERROR(__xludf.DUMMYFUNCTION("""COMPUTED_VALUE"""),"A gift from the heavens for any sexually frustrated but squeamish girl. What you have is a collection of dildos with the magnificent property of being completely painless. Even in the process of ripping a virgin’s hymen, the recipient will feel only pleas"&amp;"ure, never any pain. Those you inform of this will often believe you as well.")</f>
        <v>A gift from the heavens for any sexually frustrated but squeamish girl. What you have is a collection of dildos with the magnificent property of being completely painless. Even in the process of ripping a virgin’s hymen, the recipient will feel only pleasure, never any pain. Those you inform of this will often believe you as well.</v>
      </c>
      <c r="I54" s="5"/>
    </row>
    <row r="55" spans="1:9" ht="156.6" x14ac:dyDescent="0.25">
      <c r="A55" s="16"/>
      <c r="B55" s="17">
        <v>51</v>
      </c>
      <c r="C55" s="2" t="b">
        <f ca="1">IFERROR(__xludf.DUMMYFUNCTION("""COMPUTED_VALUE"""),FALSE)</f>
        <v>0</v>
      </c>
      <c r="D55" s="2">
        <f ca="1">IFERROR(__xludf.DUMMYFUNCTION("""COMPUTED_VALUE"""),100)</f>
        <v>100</v>
      </c>
      <c r="E55" s="2" t="str">
        <f ca="1">IFERROR(__xludf.DUMMYFUNCTION("""COMPUTED_VALUE"""),"Pocket Full of Leverage")</f>
        <v>Pocket Full of Leverage</v>
      </c>
      <c r="F55" s="2" t="str">
        <f ca="1">IFERROR(__xludf.DUMMYFUNCTION("""COMPUTED_VALUE"""),"Naruto Blacked")</f>
        <v>Naruto Blacked</v>
      </c>
      <c r="G55" s="2" t="str">
        <f ca="1">IFERROR(__xludf.DUMMYFUNCTION("""COMPUTED_VALUE"""),"Porn &amp; Paraphernalia")</f>
        <v>Porn &amp; Paraphernalia</v>
      </c>
      <c r="H55" s="2" t="str">
        <f ca="1">IFERROR(__xludf.DUMMYFUNCTION("""COMPUTED_VALUE"""),"As a ninja you get up to all sorts of wicked escapades, some of which don’t even involve fucking another man’s wife! It sure would be a shame to have no proof that the deed was ever done though, which is why you have this folder full of photographic and v"&amp;"ideo evidence, taken of every woman you’ve ever slept with. You needn’t have a camera on hand to capture the best shots, you’ll simply find them in your possession afterwards, as if you’d set up recording equipment to get all the best angles. Naturally th"&amp;"is evidence never leaves your person so it can’t be discovered on accident, but it makes fantastic blackmail material should you ever have need of such a thing, and if you decide to send it to a relation of the women you fucked it’s sure to have a devasta"&amp;"ting effect on them.")</f>
        <v>As a ninja you get up to all sorts of wicked escapades, some of which don’t even involve fucking another man’s wife! It sure would be a shame to have no proof that the deed was ever done though, which is why you have this folder full of photographic and video evidence, taken of every woman you’ve ever slept with. You needn’t have a camera on hand to capture the best shots, you’ll simply find them in your possession afterwards, as if you’d set up recording equipment to get all the best angles. Naturally this evidence never leaves your person so it can’t be discovered on accident, but it makes fantastic blackmail material should you ever have need of such a thing, and if you decide to send it to a relation of the women you fucked it’s sure to have a devastating effect on them.</v>
      </c>
      <c r="I55" s="5"/>
    </row>
    <row r="56" spans="1:9" ht="69.599999999999994" x14ac:dyDescent="0.25">
      <c r="A56" s="16"/>
      <c r="B56" s="17">
        <v>52</v>
      </c>
      <c r="C56" s="2" t="b">
        <f ca="1">IFERROR(__xludf.DUMMYFUNCTION("""COMPUTED_VALUE"""),FALSE)</f>
        <v>0</v>
      </c>
      <c r="D56" s="2">
        <f ca="1">IFERROR(__xludf.DUMMYFUNCTION("""COMPUTED_VALUE"""),100)</f>
        <v>100</v>
      </c>
      <c r="E56" s="2" t="str">
        <f ca="1">IFERROR(__xludf.DUMMYFUNCTION("""COMPUTED_VALUE"""),"Portable Computer")</f>
        <v>Portable Computer</v>
      </c>
      <c r="F56" s="2" t="str">
        <f ca="1">IFERROR(__xludf.DUMMYFUNCTION("""COMPUTED_VALUE"""),"Bio-Weapon Quest")</f>
        <v>Bio-Weapon Quest</v>
      </c>
      <c r="G56" s="2" t="str">
        <f ca="1">IFERROR(__xludf.DUMMYFUNCTION("""COMPUTED_VALUE"""),"Porn &amp; Paraphernalia")</f>
        <v>Porn &amp; Paraphernalia</v>
      </c>
      <c r="H56" s="2" t="str">
        <f ca="1">IFERROR(__xludf.DUMMYFUNCTION("""COMPUTED_VALUE"""),"Virus equips its agents with only the best technology, as expected of an evil scientific organisation. This is a wearable or portable computer, in the form of a ring, wristband, small tablet or other compact item. It has a holographic display and gesture-"&amp;"recognition, making for an excellent way to control linked devices discreetly as well as conduct research or run simulations.")</f>
        <v>Virus equips its agents with only the best technology, as expected of an evil scientific organisation. This is a wearable or portable computer, in the form of a ring, wristband, small tablet or other compact item. It has a holographic display and gesture-recognition, making for an excellent way to control linked devices discreetly as well as conduct research or run simulations.</v>
      </c>
      <c r="I56" s="5"/>
    </row>
    <row r="57" spans="1:9" ht="104.4" x14ac:dyDescent="0.25">
      <c r="A57" s="16"/>
      <c r="B57" s="17">
        <v>53</v>
      </c>
      <c r="C57" s="2" t="b">
        <f ca="1">IFERROR(__xludf.DUMMYFUNCTION("""COMPUTED_VALUE"""),FALSE)</f>
        <v>0</v>
      </c>
      <c r="D57" s="2">
        <f ca="1">IFERROR(__xludf.DUMMYFUNCTION("""COMPUTED_VALUE"""),100)</f>
        <v>100</v>
      </c>
      <c r="E57" s="2" t="str">
        <f ca="1">IFERROR(__xludf.DUMMYFUNCTION("""COMPUTED_VALUE"""),"Power Suit")</f>
        <v>Power Suit</v>
      </c>
      <c r="F57" s="2" t="str">
        <f ca="1">IFERROR(__xludf.DUMMYFUNCTION("""COMPUTED_VALUE"""),"World of Tentacles")</f>
        <v>World of Tentacles</v>
      </c>
      <c r="G57" s="2" t="str">
        <f ca="1">IFERROR(__xludf.DUMMYFUNCTION("""COMPUTED_VALUE"""),"Porn &amp; Paraphernalia")</f>
        <v>Porn &amp; Paraphernalia</v>
      </c>
      <c r="H57" s="2" t="str">
        <f ca="1">IFERROR(__xludf.DUMMYFUNCTION("""COMPUTED_VALUE"""),"You’re royalty now so it’s time to start dressing the part. This item is your choice of a business suit, royal dress, or any other outfit which fits the role of making you look impressive and authoritarian. It fits you perfectly, is always comfortable to "&amp;"wear no matter the weather, and onlookers will never think of it as inappropriate for the situation. You can don and remove this outfit at will, clothing or disrobing yourself instantly or with a dramatic flourish such as flinging it aside, and it is alwa"&amp;"ys freshly cleaned and maintained whenever you call it back to yourself.")</f>
        <v>You’re royalty now so it’s time to start dressing the part. This item is your choice of a business suit, royal dress, or any other outfit which fits the role of making you look impressive and authoritarian. It fits you perfectly, is always comfortable to wear no matter the weather, and onlookers will never think of it as inappropriate for the situation. You can don and remove this outfit at will, clothing or disrobing yourself instantly or with a dramatic flourish such as flinging it aside, and it is always freshly cleaned and maintained whenever you call it back to yourself.</v>
      </c>
      <c r="I57" s="5"/>
    </row>
    <row r="58" spans="1:9" ht="87" x14ac:dyDescent="0.25">
      <c r="A58" s="16"/>
      <c r="B58" s="17">
        <v>54</v>
      </c>
      <c r="C58" s="2" t="b">
        <f ca="1">IFERROR(__xludf.DUMMYFUNCTION("""COMPUTED_VALUE"""),FALSE)</f>
        <v>0</v>
      </c>
      <c r="D58" s="2">
        <f ca="1">IFERROR(__xludf.DUMMYFUNCTION("""COMPUTED_VALUE"""),100)</f>
        <v>100</v>
      </c>
      <c r="E58" s="2" t="str">
        <f ca="1">IFERROR(__xludf.DUMMYFUNCTION("""COMPUTED_VALUE"""),"Rape Whistle")</f>
        <v>Rape Whistle</v>
      </c>
      <c r="F58" s="2" t="str">
        <f ca="1">IFERROR(__xludf.DUMMYFUNCTION("""COMPUTED_VALUE"""),"Generic: BDSM")</f>
        <v>Generic: BDSM</v>
      </c>
      <c r="G58" s="2" t="str">
        <f ca="1">IFERROR(__xludf.DUMMYFUNCTION("""COMPUTED_VALUE"""),"Porn &amp; Paraphernalia")</f>
        <v>Porn &amp; Paraphernalia</v>
      </c>
      <c r="H58" s="2" t="str">
        <f ca="1">IFERROR(__xludf.DUMMYFUNCTION("""COMPUTED_VALUE"""),"Hopefully you’ll never need to use this item but a little insurance can’t hurt, right? This innocent-looking whistle is your ticket out of a bad situation in any public place: blowing into it instantly draws the attention of anyone within about fifty feet"&amp;" or so to yourself, and more importantly it draws their wrath down on anyone who might be trying to take advantage of you at the time, be it sexually or otherwise.")</f>
        <v>Hopefully you’ll never need to use this item but a little insurance can’t hurt, right? This innocent-looking whistle is your ticket out of a bad situation in any public place: blowing into it instantly draws the attention of anyone within about fifty feet or so to yourself, and more importantly it draws their wrath down on anyone who might be trying to take advantage of you at the time, be it sexually or otherwise.</v>
      </c>
      <c r="I58" s="5"/>
    </row>
    <row r="59" spans="1:9" ht="121.8" x14ac:dyDescent="0.25">
      <c r="A59" s="16"/>
      <c r="B59" s="17">
        <v>55</v>
      </c>
      <c r="C59" s="2" t="b">
        <f ca="1">IFERROR(__xludf.DUMMYFUNCTION("""COMPUTED_VALUE"""),FALSE)</f>
        <v>0</v>
      </c>
      <c r="D59" s="2">
        <f ca="1">IFERROR(__xludf.DUMMYFUNCTION("""COMPUTED_VALUE"""),100)</f>
        <v>100</v>
      </c>
      <c r="E59" s="2" t="str">
        <f ca="1">IFERROR(__xludf.DUMMYFUNCTION("""COMPUTED_VALUE"""),"Recording Crystal Ball")</f>
        <v>Recording Crystal Ball</v>
      </c>
      <c r="F59" s="2" t="str">
        <f ca="1">IFERROR(__xludf.DUMMYFUNCTION("""COMPUTED_VALUE"""),"Kuroinu")</f>
        <v>Kuroinu</v>
      </c>
      <c r="G59" s="2" t="str">
        <f ca="1">IFERROR(__xludf.DUMMYFUNCTION("""COMPUTED_VALUE"""),"Porn &amp; Paraphernalia")</f>
        <v>Porn &amp; Paraphernalia</v>
      </c>
      <c r="H59" s="2" t="str">
        <f ca="1">IFERROR(__xludf.DUMMYFUNCTION("""COMPUTED_VALUE"""),"If you are going to show the public humiliation of the heroines you might as well spread it across the kingdom. Luckily you have a set of these crystal balls which can record the acts of debauchery you commit to be spread across the continent. The best pa"&amp;"rt is, you don’t even need to set up these crystal balls beforehand. Instead every time you have sex or preside over those having sex you automatically get a set of these crystal balls which have recorded the events. Perfect for breaking down the moral of"&amp;" the kingdom you have conquered by showing their idol getting raped.... or just selling as porn to make a little extra money on the side.")</f>
        <v>If you are going to show the public humiliation of the heroines you might as well spread it across the kingdom. Luckily you have a set of these crystal balls which can record the acts of debauchery you commit to be spread across the continent. The best part is, you don’t even need to set up these crystal balls beforehand. Instead every time you have sex or preside over those having sex you automatically get a set of these crystal balls which have recorded the events. Perfect for breaking down the moral of the kingdom you have conquered by showing their idol getting raped.... or just selling as porn to make a little extra money on the side.</v>
      </c>
      <c r="I59" s="5"/>
    </row>
    <row r="60" spans="1:9" ht="87" x14ac:dyDescent="0.25">
      <c r="A60" s="16"/>
      <c r="B60" s="17">
        <v>56</v>
      </c>
      <c r="C60" s="2" t="b">
        <f ca="1">IFERROR(__xludf.DUMMYFUNCTION("""COMPUTED_VALUE"""),FALSE)</f>
        <v>0</v>
      </c>
      <c r="D60" s="2">
        <f ca="1">IFERROR(__xludf.DUMMYFUNCTION("""COMPUTED_VALUE"""),100)</f>
        <v>100</v>
      </c>
      <c r="E60" s="2" t="str">
        <f ca="1">IFERROR(__xludf.DUMMYFUNCTION("""COMPUTED_VALUE"""),"Respirator")</f>
        <v>Respirator</v>
      </c>
      <c r="F60" s="2" t="str">
        <f ca="1">IFERROR(__xludf.DUMMYFUNCTION("""COMPUTED_VALUE"""),"Nyakumi")</f>
        <v>Nyakumi</v>
      </c>
      <c r="G60" s="2" t="str">
        <f ca="1">IFERROR(__xludf.DUMMYFUNCTION("""COMPUTED_VALUE"""),"Porn &amp; Paraphernalia")</f>
        <v>Porn &amp; Paraphernalia</v>
      </c>
      <c r="H60" s="2" t="str">
        <f ca="1">IFERROR(__xludf.DUMMYFUNCTION("""COMPUTED_VALUE"""),"This gas mask is great for keeping out the Lewd Mist or other airborne contaminants. Its filter shines in a bright color of your choice that turns into a pinkish red when compromised. Even the Nyakuza, who are immune to the Lewd Mist, carry these for any "&amp;"civilians that they might come across in their duties. Normally, they should be recharged between uses, but this one seems to have a permanent charge.")</f>
        <v>This gas mask is great for keeping out the Lewd Mist or other airborne contaminants. Its filter shines in a bright color of your choice that turns into a pinkish red when compromised. Even the Nyakuza, who are immune to the Lewd Mist, carry these for any civilians that they might come across in their duties. Normally, they should be recharged between uses, but this one seems to have a permanent charge.</v>
      </c>
      <c r="I60" s="5"/>
    </row>
    <row r="61" spans="1:9" ht="52.2" x14ac:dyDescent="0.25">
      <c r="A61" s="16"/>
      <c r="B61" s="17">
        <v>57</v>
      </c>
      <c r="C61" s="2" t="b">
        <f ca="1">IFERROR(__xludf.DUMMYFUNCTION("""COMPUTED_VALUE"""),FALSE)</f>
        <v>0</v>
      </c>
      <c r="D61" s="2">
        <f ca="1">IFERROR(__xludf.DUMMYFUNCTION("""COMPUTED_VALUE"""),100)</f>
        <v>100</v>
      </c>
      <c r="E61" s="2" t="str">
        <f ca="1">IFERROR(__xludf.DUMMYFUNCTION("""COMPUTED_VALUE"""),"Restraints of No-Restraint")</f>
        <v>Restraints of No-Restraint</v>
      </c>
      <c r="F61" s="2" t="str">
        <f ca="1">IFERROR(__xludf.DUMMYFUNCTION("""COMPUTED_VALUE"""),"Boku To Nottori Nakademia")</f>
        <v>Boku To Nottori Nakademia</v>
      </c>
      <c r="G61" s="2" t="str">
        <f ca="1">IFERROR(__xludf.DUMMYFUNCTION("""COMPUTED_VALUE"""),"Porn &amp; Paraphernalia")</f>
        <v>Porn &amp; Paraphernalia</v>
      </c>
      <c r="H61" s="2" t="str">
        <f ca="1">IFERROR(__xludf.DUMMYFUNCTION("""COMPUTED_VALUE"""),"A whole pile of various pieces of bondage equipment, from gags, handcuffs and spreader-bars to actual rope made of silk, nylon and other materials. Perfect for spicing up your dubiously consensual sexy funtimes!")</f>
        <v>A whole pile of various pieces of bondage equipment, from gags, handcuffs and spreader-bars to actual rope made of silk, nylon and other materials. Perfect for spicing up your dubiously consensual sexy funtimes!</v>
      </c>
      <c r="I61" s="5"/>
    </row>
    <row r="62" spans="1:9" ht="208.8" x14ac:dyDescent="0.25">
      <c r="A62" s="16"/>
      <c r="B62" s="17">
        <v>58</v>
      </c>
      <c r="C62" s="2" t="b">
        <f ca="1">IFERROR(__xludf.DUMMYFUNCTION("""COMPUTED_VALUE"""),FALSE)</f>
        <v>0</v>
      </c>
      <c r="D62" s="2">
        <f ca="1">IFERROR(__xludf.DUMMYFUNCTION("""COMPUTED_VALUE"""),100)</f>
        <v>100</v>
      </c>
      <c r="E62" s="2" t="str">
        <f ca="1">IFERROR(__xludf.DUMMYFUNCTION("""COMPUTED_VALUE"""),"Self-Care Kit")</f>
        <v>Self-Care Kit</v>
      </c>
      <c r="F62" s="2" t="str">
        <f ca="1">IFERROR(__xludf.DUMMYFUNCTION("""COMPUTED_VALUE"""),"Rope Master")</f>
        <v>Rope Master</v>
      </c>
      <c r="G62" s="2" t="str">
        <f ca="1">IFERROR(__xludf.DUMMYFUNCTION("""COMPUTED_VALUE"""),"Porn &amp; Paraphernalia")</f>
        <v>Porn &amp; Paraphernalia</v>
      </c>
      <c r="H62" s="2" t="str">
        <f ca="1">IFERROR(__xludf.DUMMYFUNCTION("""COMPUTED_VALUE"""),"Bondage is difficult but not impossible to practice without a partner. You have an arsenal of rope, sex toys, and miscellaneous accessories designed for self-bondage and similar sorts of play. Whether you prefer to put yourself in elaborate predicaments o"&amp;"r indulge in more simple scenes you'll find things in this collection to enable your wildest fantasies and do so with perfect safety. While you can't rely on a partner to untie you if something goes wrong, you also won't need to because the ropes would so"&amp;"oner snap on their own than cut off circulation or otherwise endanger your health. Accidentally tying yourself up so well that you can't escape at all is a nice fantasy but won't actually happen when push comes to shove. Moreover, your self-care routines "&amp;"are exceptionally effective at eroding magical effects like curses or addictions or other hostile spells that you currently suffer from, allowing you to purify yourself of such things. More powerful curses may require a great deal of time and effort to de"&amp;"stroy them completely, but any sort of curse can be removed if you work at it hard enough.")</f>
        <v>Bondage is difficult but not impossible to practice without a partner. You have an arsenal of rope, sex toys, and miscellaneous accessories designed for self-bondage and similar sorts of play. Whether you prefer to put yourself in elaborate predicaments or indulge in more simple scenes you'll find things in this collection to enable your wildest fantasies and do so with perfect safety. While you can't rely on a partner to untie you if something goes wrong, you also won't need to because the ropes would sooner snap on their own than cut off circulation or otherwise endanger your health. Accidentally tying yourself up so well that you can't escape at all is a nice fantasy but won't actually happen when push comes to shove. Moreover, your self-care routines are exceptionally effective at eroding magical effects like curses or addictions or other hostile spells that you currently suffer from, allowing you to purify yourself of such things. More powerful curses may require a great deal of time and effort to destroy them completely, but any sort of curse can be removed if you work at it hard enough.</v>
      </c>
      <c r="I62" s="5"/>
    </row>
    <row r="63" spans="1:9" ht="261" x14ac:dyDescent="0.25">
      <c r="A63" s="16"/>
      <c r="B63" s="17">
        <v>59</v>
      </c>
      <c r="C63" s="2" t="b">
        <f ca="1">IFERROR(__xludf.DUMMYFUNCTION("""COMPUTED_VALUE"""),FALSE)</f>
        <v>0</v>
      </c>
      <c r="D63" s="2">
        <f ca="1">IFERROR(__xludf.DUMMYFUNCTION("""COMPUTED_VALUE"""),100)</f>
        <v>100</v>
      </c>
      <c r="E63" s="2" t="str">
        <f ca="1">IFERROR(__xludf.DUMMYFUNCTION("""COMPUTED_VALUE"""),"Sex Toys for the Corrupted")</f>
        <v>Sex Toys for the Corrupted</v>
      </c>
      <c r="F63" s="2" t="str">
        <f ca="1">IFERROR(__xludf.DUMMYFUNCTION("""COMPUTED_VALUE"""),"Corruption of Champions v1.1")</f>
        <v>Corruption of Champions v1.1</v>
      </c>
      <c r="G63" s="2" t="str">
        <f ca="1">IFERROR(__xludf.DUMMYFUNCTION("""COMPUTED_VALUE"""),"Porn &amp; Paraphernalia")</f>
        <v>Porn &amp; Paraphernalia</v>
      </c>
      <c r="H63" s="2" t="str">
        <f ca="1">IFERROR(__xludf.DUMMYFUNCTION("""COMPUTED_VALUE"""),"The most noticeable effect of corruption is the increased libido it is almost always accompanied by. And since you might not always have someone else on hand to relieve your lusts, this collection of toys may help with that. Onaholes, dildos, and self-sti"&amp;"mulation belts both common and deluxe, custom made in all shapes and sizes you could want. From a standard single-piece dildo, to a large and floppy one that produces aphrodisiacs, and variants that use intricate clockworks to vibrate. There’s even specia"&amp;"lized aids for people with different body structures, like fake mares and poles for centaurs.
Besides these mundane examples, there’s also some enchanted fare here. Belts that cover the wearer in a layer of temporary and pulsing latex, strapons that all"&amp;"ow the wearer to feel through them and produce actual cum, and more. But most curious of all are the organic 'items' serving as toys. Hybrid animal-plant creatures that feed upon semen, belt-like creatures that clamp down to grow and organic dildos to rub"&amp;" and fuck their wearer, even the occasional arm-sized squirming tentacle. These are not for the delicate, as the experience of using them is often quite overwhelming.")</f>
        <v>The most noticeable effect of corruption is the increased libido it is almost always accompanied by. And since you might not always have someone else on hand to relieve your lusts, this collection of toys may help with that. Onaholes, dildos, and self-stimulation belts both common and deluxe, custom made in all shapes and sizes you could want. From a standard single-piece dildo, to a large and floppy one that produces aphrodisiacs, and variants that use intricate clockworks to vibrate. There’s even specialized aids for people with different body structures, like fake mares and poles for centaurs.
Besides these mundane examples, there’s also some enchanted fare here. Belts that cover the wearer in a layer of temporary and pulsing latex, strapons that allow the wearer to feel through them and produce actual cum, and more. But most curious of all are the organic 'items' serving as toys. Hybrid animal-plant creatures that feed upon semen, belt-like creatures that clamp down to grow and organic dildos to rub and fuck their wearer, even the occasional arm-sized squirming tentacle. These are not for the delicate, as the experience of using them is often quite overwhelming.</v>
      </c>
      <c r="I63" s="5"/>
    </row>
    <row r="64" spans="1:9" ht="191.4" x14ac:dyDescent="0.25">
      <c r="A64" s="16"/>
      <c r="B64" s="17">
        <v>60</v>
      </c>
      <c r="C64" s="2" t="b">
        <f ca="1">IFERROR(__xludf.DUMMYFUNCTION("""COMPUTED_VALUE"""),FALSE)</f>
        <v>0</v>
      </c>
      <c r="D64" s="2">
        <f ca="1">IFERROR(__xludf.DUMMYFUNCTION("""COMPUTED_VALUE"""),100)</f>
        <v>100</v>
      </c>
      <c r="E64" s="2" t="str">
        <f ca="1">IFERROR(__xludf.DUMMYFUNCTION("""COMPUTED_VALUE"""),"Slave Raiments")</f>
        <v>Slave Raiments</v>
      </c>
      <c r="F64" s="2" t="str">
        <f ca="1">IFERROR(__xludf.DUMMYFUNCTION("""COMPUTED_VALUE"""),"Rope Master")</f>
        <v>Rope Master</v>
      </c>
      <c r="G64" s="2" t="str">
        <f ca="1">IFERROR(__xludf.DUMMYFUNCTION("""COMPUTED_VALUE"""),"Porn &amp; Paraphernalia")</f>
        <v>Porn &amp; Paraphernalia</v>
      </c>
      <c r="H64" s="2" t="str">
        <f ca="1">IFERROR(__xludf.DUMMYFUNCTION("""COMPUTED_VALUE"""),"Masters and slaves are bound together by something stronger than rope, but that's no reason to skimp on accessories for your loyal slaves. You own a vast wardrobe of outfits and accessories for your rope slaves to wear, from collars and cuffs to corsets a"&amp;"nd panties to full ensembles such as gimp suits, maid uniforms, miko robes, and much more. These enchanted threads are like nothing you'll ever find in a store because they're woven out of your own magical power like the threads of a dragon rope, and when"&amp;" they're worn by your rope slaves they strengthen the bond between you, allowing a slave to always be within reach of her master’s magic no matter where she is. You can easily toy with a shibari harness or tweak the settings on a set of vibrator panties f"&amp;"rom clear across town, and you'll instinctively know whenever your slaves are in enough danger to need your help, or if they've been naughty and need to be punished for breaking a rule you've set for them, like ""no masturbating without permission.""")</f>
        <v>Masters and slaves are bound together by something stronger than rope, but that's no reason to skimp on accessories for your loyal slaves. You own a vast wardrobe of outfits and accessories for your rope slaves to wear, from collars and cuffs to corsets and panties to full ensembles such as gimp suits, maid uniforms, miko robes, and much more. These enchanted threads are like nothing you'll ever find in a store because they're woven out of your own magical power like the threads of a dragon rope, and when they're worn by your rope slaves they strengthen the bond between you, allowing a slave to always be within reach of her master’s magic no matter where she is. You can easily toy with a shibari harness or tweak the settings on a set of vibrator panties from clear across town, and you'll instinctively know whenever your slaves are in enough danger to need your help, or if they've been naughty and need to be punished for breaking a rule you've set for them, like "no masturbating without permission."</v>
      </c>
      <c r="I64" s="5"/>
    </row>
    <row r="65" spans="1:9" ht="87" x14ac:dyDescent="0.25">
      <c r="A65" s="16"/>
      <c r="B65" s="17">
        <v>61</v>
      </c>
      <c r="C65" s="2" t="b">
        <f ca="1">IFERROR(__xludf.DUMMYFUNCTION("""COMPUTED_VALUE"""),FALSE)</f>
        <v>0</v>
      </c>
      <c r="D65" s="2">
        <f ca="1">IFERROR(__xludf.DUMMYFUNCTION("""COMPUTED_VALUE"""),100)</f>
        <v>100</v>
      </c>
      <c r="E65" s="2" t="str">
        <f ca="1">IFERROR(__xludf.DUMMYFUNCTION("""COMPUTED_VALUE"""),"Slave Wardrobe")</f>
        <v>Slave Wardrobe</v>
      </c>
      <c r="F65" s="2" t="str">
        <f ca="1">IFERROR(__xludf.DUMMYFUNCTION("""COMPUTED_VALUE"""),"Free Cities - Zenaku82 Edition")</f>
        <v>Free Cities - Zenaku82 Edition</v>
      </c>
      <c r="G65" s="2" t="str">
        <f ca="1">IFERROR(__xludf.DUMMYFUNCTION("""COMPUTED_VALUE"""),"Porn &amp; Paraphernalia")</f>
        <v>Porn &amp; Paraphernalia</v>
      </c>
      <c r="H65" s="2" t="str">
        <f ca="1">IFERROR(__xludf.DUMMYFUNCTION("""COMPUTED_VALUE"""),"Oh don’t get me wrong. There’s plenty of professional suits for you in here too. But this is mainly filled with outfits for your many, many slaves. These outfits span the range from cruel to kind. From slutty to conservative. As well, you will find additi"&amp;"onal outfits suited to your arcologies Future Society. From maternity dress with fake bellies to make the girls look 9 months pregnant, to tops for those with mountainous breasts, to Arabian harem outfits and kimonos.")</f>
        <v>Oh don’t get me wrong. There’s plenty of professional suits for you in here too. But this is mainly filled with outfits for your many, many slaves. These outfits span the range from cruel to kind. From slutty to conservative. As well, you will find additional outfits suited to your arcologies Future Society. From maternity dress with fake bellies to make the girls look 9 months pregnant, to tops for those with mountainous breasts, to Arabian harem outfits and kimonos.</v>
      </c>
      <c r="I65" s="5"/>
    </row>
    <row r="66" spans="1:9" ht="34.799999999999997" x14ac:dyDescent="0.25">
      <c r="A66" s="16"/>
      <c r="B66" s="17">
        <v>62</v>
      </c>
      <c r="C66" s="2" t="b">
        <f ca="1">IFERROR(__xludf.DUMMYFUNCTION("""COMPUTED_VALUE"""),FALSE)</f>
        <v>0</v>
      </c>
      <c r="D66" s="2">
        <f ca="1">IFERROR(__xludf.DUMMYFUNCTION("""COMPUTED_VALUE"""),100)</f>
        <v>100</v>
      </c>
      <c r="E66" s="2" t="str">
        <f ca="1">IFERROR(__xludf.DUMMYFUNCTION("""COMPUTED_VALUE"""),"Super Comfy Bed")</f>
        <v>Super Comfy Bed</v>
      </c>
      <c r="F66" s="2" t="str">
        <f ca="1">IFERROR(__xludf.DUMMYFUNCTION("""COMPUTED_VALUE"""),"Sekirei")</f>
        <v>Sekirei</v>
      </c>
      <c r="G66" s="2" t="str">
        <f ca="1">IFERROR(__xludf.DUMMYFUNCTION("""COMPUTED_VALUE"""),"Porn &amp; Paraphernalia")</f>
        <v>Porn &amp; Paraphernalia</v>
      </c>
      <c r="H66" s="2" t="str">
        <f ca="1">IFERROR(__xludf.DUMMYFUNCTION("""COMPUTED_VALUE"""),"King sized, queen sized, a cot, futon... this bed can be whatever bed you want it to be!")</f>
        <v>King sized, queen sized, a cot, futon... this bed can be whatever bed you want it to be!</v>
      </c>
      <c r="I66" s="5"/>
    </row>
    <row r="67" spans="1:9" ht="104.4" x14ac:dyDescent="0.25">
      <c r="A67" s="16"/>
      <c r="B67" s="17">
        <v>63</v>
      </c>
      <c r="C67" s="2" t="b">
        <f ca="1">IFERROR(__xludf.DUMMYFUNCTION("""COMPUTED_VALUE"""),FALSE)</f>
        <v>0</v>
      </c>
      <c r="D67" s="2">
        <f ca="1">IFERROR(__xludf.DUMMYFUNCTION("""COMPUTED_VALUE"""),100)</f>
        <v>100</v>
      </c>
      <c r="E67" s="2" t="str">
        <f ca="1">IFERROR(__xludf.DUMMYFUNCTION("""COMPUTED_VALUE"""),"Super Spy Teddy")</f>
        <v>Super Spy Teddy</v>
      </c>
      <c r="F67" s="2" t="str">
        <f ca="1">IFERROR(__xludf.DUMMYFUNCTION("""COMPUTED_VALUE"""),"Generic: Incest")</f>
        <v>Generic: Incest</v>
      </c>
      <c r="G67" s="2" t="str">
        <f ca="1">IFERROR(__xludf.DUMMYFUNCTION("""COMPUTED_VALUE"""),"Porn &amp; Paraphernalia")</f>
        <v>Porn &amp; Paraphernalia</v>
      </c>
      <c r="H67" s="2" t="str">
        <f ca="1">IFERROR(__xludf.DUMMYFUNCTION("""COMPUTED_VALUE"""),"This plushy will take any shape you desire, and if you choose can be a cutesy stuffed version of a creature from one of your previous jumps. However, in addition, this toy contains a number of spy cameras and recording devices, allowing you to surreptitio"&amp;"usly record anyone who gets close to it. The plushy also has a small SEP field surrounding it, causing people to tend to overlook it and assume it’s just a harmless toy. This effect isn’t perfect, and someone already suspicious of you might be able to neg"&amp;"ate the effect with enough willpower, but most people will tend to overlook it.")</f>
        <v>This plushy will take any shape you desire, and if you choose can be a cutesy stuffed version of a creature from one of your previous jumps. However, in addition, this toy contains a number of spy cameras and recording devices, allowing you to surreptitiously record anyone who gets close to it. The plushy also has a small SEP field surrounding it, causing people to tend to overlook it and assume it’s just a harmless toy. This effect isn’t perfect, and someone already suspicious of you might be able to negate the effect with enough willpower, but most people will tend to overlook it.</v>
      </c>
      <c r="I67" s="5"/>
    </row>
    <row r="68" spans="1:9" ht="87" x14ac:dyDescent="0.25">
      <c r="A68" s="16"/>
      <c r="B68" s="17">
        <v>64</v>
      </c>
      <c r="C68" s="2" t="b">
        <f ca="1">IFERROR(__xludf.DUMMYFUNCTION("""COMPUTED_VALUE"""),FALSE)</f>
        <v>0</v>
      </c>
      <c r="D68" s="2">
        <f ca="1">IFERROR(__xludf.DUMMYFUNCTION("""COMPUTED_VALUE"""),100)</f>
        <v>100</v>
      </c>
      <c r="E68" s="2" t="str">
        <f ca="1">IFERROR(__xludf.DUMMYFUNCTION("""COMPUTED_VALUE"""),"Teaching Aid")</f>
        <v>Teaching Aid</v>
      </c>
      <c r="F68" s="2" t="str">
        <f ca="1">IFERROR(__xludf.DUMMYFUNCTION("""COMPUTED_VALUE"""),"Boku To Nottori Nakademia")</f>
        <v>Boku To Nottori Nakademia</v>
      </c>
      <c r="G68" s="2" t="str">
        <f ca="1">IFERROR(__xludf.DUMMYFUNCTION("""COMPUTED_VALUE"""),"Porn &amp; Paraphernalia")</f>
        <v>Porn &amp; Paraphernalia</v>
      </c>
      <c r="H68" s="2" t="str">
        <f ca="1">IFERROR(__xludf.DUMMYFUNCTION("""COMPUTED_VALUE"""),"Do you know what happens to female heroes when they’re caught by villains? It’s important to prepare aspiring heroines ahead of time. That’s why you have a set of transparent stocks made of some kind of incredibly tough material, still somehow padded enou"&amp;"gh to avoid injury no matter how thoroughly they’re used. When sealed, they can only be opened via a remote control, although they might still be broken if they’re subjected to truly stupendous levels of force.")</f>
        <v>Do you know what happens to female heroes when they’re caught by villains? It’s important to prepare aspiring heroines ahead of time. That’s why you have a set of transparent stocks made of some kind of incredibly tough material, still somehow padded enough to avoid injury no matter how thoroughly they’re used. When sealed, they can only be opened via a remote control, although they might still be broken if they’re subjected to truly stupendous levels of force.</v>
      </c>
      <c r="I68" s="5"/>
    </row>
    <row r="69" spans="1:9" ht="104.4" x14ac:dyDescent="0.25">
      <c r="A69" s="16"/>
      <c r="B69" s="17">
        <v>65</v>
      </c>
      <c r="C69" s="2" t="b">
        <f ca="1">IFERROR(__xludf.DUMMYFUNCTION("""COMPUTED_VALUE"""),FALSE)</f>
        <v>0</v>
      </c>
      <c r="D69" s="2">
        <f ca="1">IFERROR(__xludf.DUMMYFUNCTION("""COMPUTED_VALUE"""),100)</f>
        <v>100</v>
      </c>
      <c r="E69" s="2" t="str">
        <f ca="1">IFERROR(__xludf.DUMMYFUNCTION("""COMPUTED_VALUE"""),"Tentacles for Dummies")</f>
        <v>Tentacles for Dummies</v>
      </c>
      <c r="F69" s="2" t="str">
        <f ca="1">IFERROR(__xludf.DUMMYFUNCTION("""COMPUTED_VALUE"""),"World of Tentacles")</f>
        <v>World of Tentacles</v>
      </c>
      <c r="G69" s="2" t="str">
        <f ca="1">IFERROR(__xludf.DUMMYFUNCTION("""COMPUTED_VALUE"""),"Porn &amp; Paraphernalia")</f>
        <v>Porn &amp; Paraphernalia</v>
      </c>
      <c r="H69" s="2" t="str">
        <f ca="1">IFERROR(__xludf.DUMMYFUNCTION("""COMPUTED_VALUE"""),"This self-updating instruction manual is something like a Kama Sutra for tentacle monsters, focusing on the possibilities that tentacles present. Splitting your time between reading the book and practice allows you to progress in the sexual skills made po"&amp;"ssible by tentacles as if being given personal tuition. Anyone without tentacles reading this book finds it a mortifyingly fascinating read. Such people who persist in finishing the book gain a strong and lingering curiosity about just how having the desc"&amp;"ribed techniques used on them would feel.")</f>
        <v>This self-updating instruction manual is something like a Kama Sutra for tentacle monsters, focusing on the possibilities that tentacles present. Splitting your time between reading the book and practice allows you to progress in the sexual skills made possible by tentacles as if being given personal tuition. Anyone without tentacles reading this book finds it a mortifyingly fascinating read. Such people who persist in finishing the book gain a strong and lingering curiosity about just how having the described techniques used on them would feel.</v>
      </c>
      <c r="I69" s="5"/>
    </row>
    <row r="70" spans="1:9" ht="104.4" x14ac:dyDescent="0.25">
      <c r="A70" s="16"/>
      <c r="B70" s="17">
        <v>66</v>
      </c>
      <c r="C70" s="2" t="b">
        <f ca="1">IFERROR(__xludf.DUMMYFUNCTION("""COMPUTED_VALUE"""),FALSE)</f>
        <v>0</v>
      </c>
      <c r="D70" s="2">
        <f ca="1">IFERROR(__xludf.DUMMYFUNCTION("""COMPUTED_VALUE"""),100)</f>
        <v>100</v>
      </c>
      <c r="E70" s="2" t="str">
        <f ca="1">IFERROR(__xludf.DUMMYFUNCTION("""COMPUTED_VALUE"""),"The Album")</f>
        <v>The Album</v>
      </c>
      <c r="F70" s="2" t="str">
        <f ca="1">IFERROR(__xludf.DUMMYFUNCTION("""COMPUTED_VALUE"""),"Omega Labyrinth: Life")</f>
        <v>Omega Labyrinth: Life</v>
      </c>
      <c r="G70" s="2" t="str">
        <f ca="1">IFERROR(__xludf.DUMMYFUNCTION("""COMPUTED_VALUE"""),"Porn &amp; Paraphernalia")</f>
        <v>Porn &amp; Paraphernalia</v>
      </c>
      <c r="H70" s="2" t="str">
        <f ca="1">IFERROR(__xludf.DUMMYFUNCTION("""COMPUTED_VALUE"""),"You are going to meet a lot of lovely ladies (or dudes) along your journey. Wouldn’t you like to just ‘know’ on meet that they fit your tastes? Well here you go, this little pocketbook automatically appraises a woman’s proportions down to the centimeter o"&amp;"n the meet, and fills in details on their personality as you learn them. What’s more, it can even generate a small, 3D model of them for you to visually appraise, and feel up, complete with appropriate ‘sound effects,’ at your leisure. Lastly, it opens to"&amp;" the appropriate page you want whenever you open it.")</f>
        <v>You are going to meet a lot of lovely ladies (or dudes) along your journey. Wouldn’t you like to just ‘know’ on meet that they fit your tastes? Well here you go, this little pocketbook automatically appraises a woman’s proportions down to the centimeter on the meet, and fills in details on their personality as you learn them. What’s more, it can even generate a small, 3D model of them for you to visually appraise, and feel up, complete with appropriate ‘sound effects,’ at your leisure. Lastly, it opens to the appropriate page you want whenever you open it.</v>
      </c>
      <c r="I70" s="5"/>
    </row>
    <row r="71" spans="1:9" ht="52.2" x14ac:dyDescent="0.25">
      <c r="A71" s="16"/>
      <c r="B71" s="17">
        <v>67</v>
      </c>
      <c r="C71" s="2" t="b">
        <f ca="1">IFERROR(__xludf.DUMMYFUNCTION("""COMPUTED_VALUE"""),FALSE)</f>
        <v>0</v>
      </c>
      <c r="D71" s="2">
        <f ca="1">IFERROR(__xludf.DUMMYFUNCTION("""COMPUTED_VALUE"""),100)</f>
        <v>100</v>
      </c>
      <c r="E71" s="2" t="str">
        <f ca="1">IFERROR(__xludf.DUMMYFUNCTION("""COMPUTED_VALUE"""),"The Perfect Cig")</f>
        <v>The Perfect Cig</v>
      </c>
      <c r="F71" s="2" t="str">
        <f ca="1">IFERROR(__xludf.DUMMYFUNCTION("""COMPUTED_VALUE"""),"Waifu Fighter")</f>
        <v>Waifu Fighter</v>
      </c>
      <c r="G71" s="2" t="str">
        <f ca="1">IFERROR(__xludf.DUMMYFUNCTION("""COMPUTED_VALUE"""),"Porn &amp; Paraphernalia")</f>
        <v>Porn &amp; Paraphernalia</v>
      </c>
      <c r="H71" s="2" t="str">
        <f ca="1">IFERROR(__xludf.DUMMYFUNCTION("""COMPUTED_VALUE"""),"This cigarette never runs out, isn’t a carcinogen, and the smoke never interferes with other people unless you want it to. It always has the perfect rush of nicotine you want, but doesn’t cause addiction.")</f>
        <v>This cigarette never runs out, isn’t a carcinogen, and the smoke never interferes with other people unless you want it to. It always has the perfect rush of nicotine you want, but doesn’t cause addiction.</v>
      </c>
      <c r="I71" s="5"/>
    </row>
    <row r="72" spans="1:9" ht="69.599999999999994" x14ac:dyDescent="0.25">
      <c r="A72" s="16"/>
      <c r="B72" s="17">
        <v>68</v>
      </c>
      <c r="C72" s="2" t="b">
        <f ca="1">IFERROR(__xludf.DUMMYFUNCTION("""COMPUTED_VALUE"""),FALSE)</f>
        <v>0</v>
      </c>
      <c r="D72" s="2">
        <f ca="1">IFERROR(__xludf.DUMMYFUNCTION("""COMPUTED_VALUE"""),100)</f>
        <v>100</v>
      </c>
      <c r="E72" s="2" t="str">
        <f ca="1">IFERROR(__xludf.DUMMYFUNCTION("""COMPUTED_VALUE"""),"The Rape Bed")</f>
        <v>The Rape Bed</v>
      </c>
      <c r="F72" s="2" t="str">
        <f ca="1">IFERROR(__xludf.DUMMYFUNCTION("""COMPUTED_VALUE"""),"High Elf x High School")</f>
        <v>High Elf x High School</v>
      </c>
      <c r="G72" s="2" t="str">
        <f ca="1">IFERROR(__xludf.DUMMYFUNCTION("""COMPUTED_VALUE"""),"Porn &amp; Paraphernalia")</f>
        <v>Porn &amp; Paraphernalia</v>
      </c>
      <c r="H72" s="2" t="str">
        <f ca="1">IFERROR(__xludf.DUMMYFUNCTION("""COMPUTED_VALUE"""),"This is a bed, the likes of which you might find in a school nurse’s office. What makes it so special? Well, at any point in time while someone is in contact with it, you can instantly tie them to the bed and strip them. This allows you to easily have you"&amp;"r way with them... as long as nobody interferes, at any rate. With a bit of focus, you can transfer these properties to a different bed.")</f>
        <v>This is a bed, the likes of which you might find in a school nurse’s office. What makes it so special? Well, at any point in time while someone is in contact with it, you can instantly tie them to the bed and strip them. This allows you to easily have your way with them... as long as nobody interferes, at any rate. With a bit of focus, you can transfer these properties to a different bed.</v>
      </c>
      <c r="I72" s="5"/>
    </row>
    <row r="73" spans="1:9" ht="34.799999999999997" x14ac:dyDescent="0.25">
      <c r="A73" s="16"/>
      <c r="B73" s="17">
        <v>69</v>
      </c>
      <c r="C73" s="2" t="b">
        <f ca="1">IFERROR(__xludf.DUMMYFUNCTION("""COMPUTED_VALUE"""),FALSE)</f>
        <v>0</v>
      </c>
      <c r="D73" s="2">
        <f ca="1">IFERROR(__xludf.DUMMYFUNCTION("""COMPUTED_VALUE"""),100)</f>
        <v>100</v>
      </c>
      <c r="E73" s="2" t="str">
        <f ca="1">IFERROR(__xludf.DUMMYFUNCTION("""COMPUTED_VALUE"""),"The Right Tunes")</f>
        <v>The Right Tunes</v>
      </c>
      <c r="F73" s="2" t="str">
        <f ca="1">IFERROR(__xludf.DUMMYFUNCTION("""COMPUTED_VALUE"""),"Generic: Lewd School")</f>
        <v>Generic: Lewd School</v>
      </c>
      <c r="G73" s="2" t="str">
        <f ca="1">IFERROR(__xludf.DUMMYFUNCTION("""COMPUTED_VALUE"""),"Porn &amp; Paraphernalia")</f>
        <v>Porn &amp; Paraphernalia</v>
      </c>
      <c r="H73" s="2" t="str">
        <f ca="1">IFERROR(__xludf.DUMMYFUNCTION("""COMPUTED_VALUE"""),"A collection of music for any time and place. Organised by genre and mood. You’ll never be without the right background music.")</f>
        <v>A collection of music for any time and place. Organised by genre and mood. You’ll never be without the right background music.</v>
      </c>
      <c r="I73" s="5"/>
    </row>
    <row r="74" spans="1:9" ht="69.599999999999994" x14ac:dyDescent="0.25">
      <c r="A74" s="16"/>
      <c r="B74" s="17">
        <v>70</v>
      </c>
      <c r="C74" s="2" t="b">
        <f ca="1">IFERROR(__xludf.DUMMYFUNCTION("""COMPUTED_VALUE"""),FALSE)</f>
        <v>0</v>
      </c>
      <c r="D74" s="2">
        <f ca="1">IFERROR(__xludf.DUMMYFUNCTION("""COMPUTED_VALUE"""),100)</f>
        <v>100</v>
      </c>
      <c r="E74" s="2" t="str">
        <f ca="1">IFERROR(__xludf.DUMMYFUNCTION("""COMPUTED_VALUE"""),"Vibrator")</f>
        <v>Vibrator</v>
      </c>
      <c r="F74" s="2" t="str">
        <f ca="1">IFERROR(__xludf.DUMMYFUNCTION("""COMPUTED_VALUE"""),"Shunned by the Village")</f>
        <v>Shunned by the Village</v>
      </c>
      <c r="G74" s="2" t="str">
        <f ca="1">IFERROR(__xludf.DUMMYFUNCTION("""COMPUTED_VALUE"""),"Porn &amp; Paraphernalia")</f>
        <v>Porn &amp; Paraphernalia</v>
      </c>
      <c r="H74" s="2" t="str">
        <f ca="1">IFERROR(__xludf.DUMMYFUNCTION("""COMPUTED_VALUE"""),"A simple “magic wand” type vibrator. It never runs out of charge, and when you place it over someone’s clothing, it will stimulate the skin beneath as though there was nothing in the way. Even if the subject doesn’t have skin at all, it will still FEEL li"&amp;"ke it, letting you apply sexual stimulation even to entities that don’t have a sense of touch.")</f>
        <v>A simple “magic wand” type vibrator. It never runs out of charge, and when you place it over someone’s clothing, it will stimulate the skin beneath as though there was nothing in the way. Even if the subject doesn’t have skin at all, it will still FEEL like it, letting you apply sexual stimulation even to entities that don’t have a sense of touch.</v>
      </c>
      <c r="I74" s="5"/>
    </row>
    <row r="75" spans="1:9" ht="87" x14ac:dyDescent="0.25">
      <c r="A75" s="16"/>
      <c r="B75" s="17">
        <v>71</v>
      </c>
      <c r="C75" s="2" t="b">
        <f ca="1">IFERROR(__xludf.DUMMYFUNCTION("""COMPUTED_VALUE"""),FALSE)</f>
        <v>0</v>
      </c>
      <c r="D75" s="2">
        <f ca="1">IFERROR(__xludf.DUMMYFUNCTION("""COMPUTED_VALUE"""),100)</f>
        <v>100</v>
      </c>
      <c r="E75" s="2" t="str">
        <f ca="1">IFERROR(__xludf.DUMMYFUNCTION("""COMPUTED_VALUE"""),"Visiting Hours Leash")</f>
        <v>Visiting Hours Leash</v>
      </c>
      <c r="F75" s="2" t="str">
        <f ca="1">IFERROR(__xludf.DUMMYFUNCTION("""COMPUTED_VALUE"""),"Aki-Akane")</f>
        <v>Aki-Akane</v>
      </c>
      <c r="G75" s="2" t="str">
        <f ca="1">IFERROR(__xludf.DUMMYFUNCTION("""COMPUTED_VALUE"""),"Porn &amp; Paraphernalia")</f>
        <v>Porn &amp; Paraphernalia</v>
      </c>
      <c r="H75" s="2" t="str">
        <f ca="1">IFERROR(__xludf.DUMMYFUNCTION("""COMPUTED_VALUE"""),"When it comes to explaining all this spirit stuff to people who don't know anything about it, it's quite troublesome. Shut up and come with me just doesn't seem to cut it anymore. Thats where this handy dandy magic leash and collar comes from! Simply latc"&amp;"h it on and get moving, the person attached to it will be fine as you outrun cars and drag them behind you. No, really, they'll be fine. It's magic, remember?")</f>
        <v>When it comes to explaining all this spirit stuff to people who don't know anything about it, it's quite troublesome. Shut up and come with me just doesn't seem to cut it anymore. Thats where this handy dandy magic leash and collar comes from! Simply latch it on and get moving, the person attached to it will be fine as you outrun cars and drag them behind you. No, really, they'll be fine. It's magic, remember?</v>
      </c>
      <c r="I75" s="5"/>
    </row>
    <row r="76" spans="1:9" ht="52.2" x14ac:dyDescent="0.25">
      <c r="A76" s="16"/>
      <c r="B76" s="17">
        <v>72</v>
      </c>
      <c r="C76" s="2" t="b">
        <f ca="1">IFERROR(__xludf.DUMMYFUNCTION("""COMPUTED_VALUE"""),FALSE)</f>
        <v>0</v>
      </c>
      <c r="D76" s="2">
        <f ca="1">IFERROR(__xludf.DUMMYFUNCTION("""COMPUTED_VALUE"""),100)</f>
        <v>100</v>
      </c>
      <c r="E76" s="2" t="str">
        <f ca="1">IFERROR(__xludf.DUMMYFUNCTION("""COMPUTED_VALUE"""),"Voice from on High")</f>
        <v>Voice from on High</v>
      </c>
      <c r="F76" s="2" t="str">
        <f ca="1">IFERROR(__xludf.DUMMYFUNCTION("""COMPUTED_VALUE"""),"Generic: Lewd School")</f>
        <v>Generic: Lewd School</v>
      </c>
      <c r="G76" s="2" t="str">
        <f ca="1">IFERROR(__xludf.DUMMYFUNCTION("""COMPUTED_VALUE"""),"Porn &amp; Paraphernalia")</f>
        <v>Porn &amp; Paraphernalia</v>
      </c>
      <c r="H76" s="2" t="str">
        <f ca="1">IFERROR(__xludf.DUMMYFUNCTION("""COMPUTED_VALUE"""),"A special microphone that will broadcast your voice throughout the property it is placed in. No one will be able to claim they didn’t hear you with this. By speaking a person’s name first, you can set it so only they hear you. Only works if they are on th"&amp;"e property.")</f>
        <v>A special microphone that will broadcast your voice throughout the property it is placed in. No one will be able to claim they didn’t hear you with this. By speaking a person’s name first, you can set it so only they hear you. Only works if they are on the property.</v>
      </c>
      <c r="I76" s="5"/>
    </row>
    <row r="77" spans="1:9" ht="69.599999999999994" x14ac:dyDescent="0.25">
      <c r="A77" s="16"/>
      <c r="B77" s="17">
        <v>73</v>
      </c>
      <c r="C77" s="2" t="b">
        <f ca="1">IFERROR(__xludf.DUMMYFUNCTION("""COMPUTED_VALUE"""),FALSE)</f>
        <v>0</v>
      </c>
      <c r="D77" s="2">
        <f ca="1">IFERROR(__xludf.DUMMYFUNCTION("""COMPUTED_VALUE"""),100)</f>
        <v>100</v>
      </c>
      <c r="E77" s="2" t="str">
        <f ca="1">IFERROR(__xludf.DUMMYFUNCTION("""COMPUTED_VALUE"""),"X-ray Glasses")</f>
        <v>X-ray Glasses</v>
      </c>
      <c r="F77" s="2" t="str">
        <f ca="1">IFERROR(__xludf.DUMMYFUNCTION("""COMPUTED_VALUE"""),"Generic: Hentai Occult")</f>
        <v>Generic: Hentai Occult</v>
      </c>
      <c r="G77" s="2" t="str">
        <f ca="1">IFERROR(__xludf.DUMMYFUNCTION("""COMPUTED_VALUE"""),"Porn &amp; Paraphernalia")</f>
        <v>Porn &amp; Paraphernalia</v>
      </c>
      <c r="H77" s="2" t="str">
        <f ca="1">IFERROR(__xludf.DUMMYFUNCTION("""COMPUTED_VALUE"""),"The simplest of occult rapetech, a pair of glasses that lets you see through things. Clothes being the primary thing, obviously. You can set it to ‘off’, ‘underwear’, or ‘nude’, and it also comes with a gender/age filter. Just try not to giggle perversely"&amp;" and get a boner, or everyone will stare at you weirdly. Can also be turned into a camera filter.")</f>
        <v>The simplest of occult rapetech, a pair of glasses that lets you see through things. Clothes being the primary thing, obviously. You can set it to ‘off’, ‘underwear’, or ‘nude’, and it also comes with a gender/age filter. Just try not to giggle perversely and get a boner, or everyone will stare at you weirdly. Can also be turned into a camera filter.</v>
      </c>
      <c r="I77" s="5"/>
    </row>
    <row r="78" spans="1:9" ht="121.8" x14ac:dyDescent="0.25">
      <c r="A78" s="16"/>
      <c r="B78" s="17">
        <v>74</v>
      </c>
      <c r="C78" s="2" t="b">
        <f ca="1">IFERROR(__xludf.DUMMYFUNCTION("""COMPUTED_VALUE"""),FALSE)</f>
        <v>0</v>
      </c>
      <c r="D78" s="2">
        <f ca="1">IFERROR(__xludf.DUMMYFUNCTION("""COMPUTED_VALUE"""),100)</f>
        <v>100</v>
      </c>
      <c r="E78" s="2" t="str">
        <f ca="1">IFERROR(__xludf.DUMMYFUNCTION("""COMPUTED_VALUE"""),"XXX-Tract")</f>
        <v>XXX-Tract</v>
      </c>
      <c r="F78" s="2" t="str">
        <f ca="1">IFERROR(__xludf.DUMMYFUNCTION("""COMPUTED_VALUE"""),"Generic: Casual Sex World")</f>
        <v>Generic: Casual Sex World</v>
      </c>
      <c r="G78" s="2" t="str">
        <f ca="1">IFERROR(__xludf.DUMMYFUNCTION("""COMPUTED_VALUE"""),"Porn &amp; Paraphernalia")</f>
        <v>Porn &amp; Paraphernalia</v>
      </c>
      <c r="H78" s="2" t="str">
        <f ca="1">IFERROR(__xludf.DUMMYFUNCTION("""COMPUTED_VALUE"""),"In the far flung future, pharmaceuticals have no doubt advanced with the other industries and this is once such result. A futuristic, non-addictive drug in the form of translucent strips that dissolve on the tongue with a sweet aftertaste. You receive a r"&amp;"ejuvenating pack that dispenses them like gum and holds five strips at a time. The drug is an incredibly potent aphrodisiac and sexual enhancement drug that can get a randy couple forming the beast with two backs for hours without breaks or tiring. It wor"&amp;"ks across all known species and is sure to cause numerous memorable experiences. Over the top drug name, optional mandatory.")</f>
        <v>In the far flung future, pharmaceuticals have no doubt advanced with the other industries and this is once such result. A futuristic, non-addictive drug in the form of translucent strips that dissolve on the tongue with a sweet aftertaste. You receive a rejuvenating pack that dispenses them like gum and holds five strips at a time. The drug is an incredibly potent aphrodisiac and sexual enhancement drug that can get a randy couple forming the beast with two backs for hours without breaks or tiring. It works across all known species and is sure to cause numerous memorable experiences. Over the top drug name, optional mandatory.</v>
      </c>
      <c r="I78" s="5"/>
    </row>
    <row r="79" spans="1:9" ht="69.599999999999994" x14ac:dyDescent="0.25">
      <c r="A79" s="16"/>
      <c r="B79" s="17">
        <v>75</v>
      </c>
      <c r="C79" s="2" t="b">
        <f ca="1">IFERROR(__xludf.DUMMYFUNCTION("""COMPUTED_VALUE"""),FALSE)</f>
        <v>0</v>
      </c>
      <c r="D79" s="2">
        <f ca="1">IFERROR(__xludf.DUMMYFUNCTION("""COMPUTED_VALUE"""),100)</f>
        <v>100</v>
      </c>
      <c r="E79" s="2" t="str">
        <f ca="1">IFERROR(__xludf.DUMMYFUNCTION("""COMPUTED_VALUE"""),"You Never Know")</f>
        <v>You Never Know</v>
      </c>
      <c r="F79" s="2" t="str">
        <f ca="1">IFERROR(__xludf.DUMMYFUNCTION("""COMPUTED_VALUE"""),"How they Fap in Parallel Worlds")</f>
        <v>How they Fap in Parallel Worlds</v>
      </c>
      <c r="G79" s="2" t="str">
        <f ca="1">IFERROR(__xludf.DUMMYFUNCTION("""COMPUTED_VALUE"""),"Porn &amp; Paraphernalia")</f>
        <v>Porn &amp; Paraphernalia</v>
      </c>
      <c r="H79" s="2" t="str">
        <f ca="1">IFERROR(__xludf.DUMMYFUNCTION("""COMPUTED_VALUE"""),"Some species are far more dangerous to please than others, so it pays to always be prepared. This is a gas mask that you can pull out of seemingly nowhere on a moment’s notice. You never need to replace the filter, but it’s otherwise a completely mundane "&amp;"gas mask. You can choose to give other companions the ability to pull out their own masks, as long as they’re in the same room as you.")</f>
        <v>Some species are far more dangerous to please than others, so it pays to always be prepared. This is a gas mask that you can pull out of seemingly nowhere on a moment’s notice. You never need to replace the filter, but it’s otherwise a completely mundane gas mask. You can choose to give other companions the ability to pull out their own masks, as long as they’re in the same room as you.</v>
      </c>
      <c r="I79" s="5"/>
    </row>
    <row r="80" spans="1:9" ht="87" x14ac:dyDescent="0.25">
      <c r="A80" s="16"/>
      <c r="B80" s="17">
        <v>76</v>
      </c>
      <c r="C80" s="2" t="b">
        <f ca="1">IFERROR(__xludf.DUMMYFUNCTION("""COMPUTED_VALUE"""),FALSE)</f>
        <v>0</v>
      </c>
      <c r="D80" s="2">
        <f ca="1">IFERROR(__xludf.DUMMYFUNCTION("""COMPUTED_VALUE"""),100)</f>
        <v>100</v>
      </c>
      <c r="E80" s="2" t="str">
        <f ca="1">IFERROR(__xludf.DUMMYFUNCTION("""COMPUTED_VALUE"""),"Yummies for Hubby")</f>
        <v>Yummies for Hubby</v>
      </c>
      <c r="F80" s="2" t="str">
        <f ca="1">IFERROR(__xludf.DUMMYFUNCTION("""COMPUTED_VALUE"""),"Monster Girl Dreams 1.3 - The Pre-Capitol Update")</f>
        <v>Monster Girl Dreams 1.3 - The Pre-Capitol Update</v>
      </c>
      <c r="G80" s="2" t="str">
        <f ca="1">IFERROR(__xludf.DUMMYFUNCTION("""COMPUTED_VALUE"""),"Porn &amp; Paraphernalia")</f>
        <v>Porn &amp; Paraphernalia</v>
      </c>
      <c r="H80" s="2" t="str">
        <f ca="1">IFERROR(__xludf.DUMMYFUNCTION("""COMPUTED_VALUE"""),"Want to make something tasty for your husband-to-be but worried about ingredients? Well, worry no more because I have something special for you. Contained in this box are all kinds of ingredients from Elven Herbs to Imp Juice. The one thing they have in c"&amp;"ommon is that they taste amazing when properly made into food...and that they have an aphrodisiac effect when consumed. A nice bonus, right?")</f>
        <v>Want to make something tasty for your husband-to-be but worried about ingredients? Well, worry no more because I have something special for you. Contained in this box are all kinds of ingredients from Elven Herbs to Imp Juice. The one thing they have in common is that they taste amazing when properly made into food...and that they have an aphrodisiac effect when consumed. A nice bonus, right?</v>
      </c>
      <c r="I80" s="5"/>
    </row>
    <row r="81" spans="1:9" ht="87" x14ac:dyDescent="0.25">
      <c r="A81" s="16"/>
      <c r="B81" s="17">
        <v>77</v>
      </c>
      <c r="C81" s="2" t="b">
        <f ca="1">IFERROR(__xludf.DUMMYFUNCTION("""COMPUTED_VALUE"""),FALSE)</f>
        <v>0</v>
      </c>
      <c r="D81" s="2">
        <f ca="1">IFERROR(__xludf.DUMMYFUNCTION("""COMPUTED_VALUE"""),200)</f>
        <v>200</v>
      </c>
      <c r="E81" s="2" t="str">
        <f ca="1">IFERROR(__xludf.DUMMYFUNCTION("""COMPUTED_VALUE"""),"""Banana Cream""")</f>
        <v>"Banana Cream"</v>
      </c>
      <c r="F81" s="2" t="str">
        <f ca="1">IFERROR(__xludf.DUMMYFUNCTION("""COMPUTED_VALUE"""),"Generic: Hentai Modern")</f>
        <v>Generic: Hentai Modern</v>
      </c>
      <c r="G81" s="2" t="str">
        <f ca="1">IFERROR(__xludf.DUMMYFUNCTION("""COMPUTED_VALUE"""),"Porn &amp; Paraphernalia")</f>
        <v>Porn &amp; Paraphernalia</v>
      </c>
      <c r="H81" s="2" t="str">
        <f ca="1">IFERROR(__xludf.DUMMYFUNCTION("""COMPUTED_VALUE"""),"I’m not entirely sure why you would ever need this, but you now have a daily supply of a dozen gallons of your own cum. It’s sterile though, so if you want to impregnate someone you’ll have to do it the old fashioned way. On the other hand, if you had som"&amp;"ething like a flavor, or addictive cum... How’s your cooking? Ever felt like opening a bakery? It's kept fresh for the day and any you don't use will dispose of itself.")</f>
        <v>I’m not entirely sure why you would ever need this, but you now have a daily supply of a dozen gallons of your own cum. It’s sterile though, so if you want to impregnate someone you’ll have to do it the old fashioned way. On the other hand, if you had something like a flavor, or addictive cum... How’s your cooking? Ever felt like opening a bakery? It's kept fresh for the day and any you don't use will dispose of itself.</v>
      </c>
      <c r="I81" s="5"/>
    </row>
    <row r="82" spans="1:9" ht="87" x14ac:dyDescent="0.25">
      <c r="A82" s="16"/>
      <c r="B82" s="17">
        <v>78</v>
      </c>
      <c r="C82" s="2" t="b">
        <f ca="1">IFERROR(__xludf.DUMMYFUNCTION("""COMPUTED_VALUE"""),FALSE)</f>
        <v>0</v>
      </c>
      <c r="D82" s="2">
        <f ca="1">IFERROR(__xludf.DUMMYFUNCTION("""COMPUTED_VALUE"""),200)</f>
        <v>200</v>
      </c>
      <c r="E82" s="2" t="str">
        <f ca="1">IFERROR(__xludf.DUMMYFUNCTION("""COMPUTED_VALUE"""),"""Chastity"" Belt")</f>
        <v>"Chastity" Belt</v>
      </c>
      <c r="F82" s="2" t="str">
        <f ca="1">IFERROR(__xludf.DUMMYFUNCTION("""COMPUTED_VALUE"""),"Shunned by the Village")</f>
        <v>Shunned by the Village</v>
      </c>
      <c r="G82" s="2" t="str">
        <f ca="1">IFERROR(__xludf.DUMMYFUNCTION("""COMPUTED_VALUE"""),"Porn &amp; Paraphernalia")</f>
        <v>Porn &amp; Paraphernalia</v>
      </c>
      <c r="H82" s="2" t="str">
        <f ca="1">IFERROR(__xludf.DUMMYFUNCTION("""COMPUTED_VALUE"""),"This looks like a simple chastity belt, until you open it up and reveal the fronds within, designed to vibrate and stimulate the genitals while being utterly impossible to open without the key (which simply appears in your hands when you want it; it canno"&amp;"t be lost). This chastity belt will apply a constant level of pleasure, while at the same time not permitting the target to orgasm by any means until the belt is removed. You receive two such belts.")</f>
        <v>This looks like a simple chastity belt, until you open it up and reveal the fronds within, designed to vibrate and stimulate the genitals while being utterly impossible to open without the key (which simply appears in your hands when you want it; it cannot be lost). This chastity belt will apply a constant level of pleasure, while at the same time not permitting the target to orgasm by any means until the belt is removed. You receive two such belts.</v>
      </c>
      <c r="I82" s="5"/>
    </row>
    <row r="83" spans="1:9" ht="139.19999999999999" x14ac:dyDescent="0.25">
      <c r="A83" s="16"/>
      <c r="B83" s="17">
        <v>79</v>
      </c>
      <c r="C83" s="2" t="b">
        <f ca="1">IFERROR(__xludf.DUMMYFUNCTION("""COMPUTED_VALUE"""),FALSE)</f>
        <v>0</v>
      </c>
      <c r="D83" s="2">
        <f ca="1">IFERROR(__xludf.DUMMYFUNCTION("""COMPUTED_VALUE"""),200)</f>
        <v>200</v>
      </c>
      <c r="E83" s="2" t="str">
        <f ca="1">IFERROR(__xludf.DUMMYFUNCTION("""COMPUTED_VALUE"""),"Adult Toybox")</f>
        <v>Adult Toybox</v>
      </c>
      <c r="F83" s="2" t="str">
        <f ca="1">IFERROR(__xludf.DUMMYFUNCTION("""COMPUTED_VALUE"""),"High Elf x High School")</f>
        <v>High Elf x High School</v>
      </c>
      <c r="G83" s="2" t="str">
        <f ca="1">IFERROR(__xludf.DUMMYFUNCTION("""COMPUTED_VALUE"""),"Porn &amp; Paraphernalia")</f>
        <v>Porn &amp; Paraphernalia</v>
      </c>
      <c r="H83" s="2" t="str">
        <f ca="1">IFERROR(__xludf.DUMMYFUNCTION("""COMPUTED_VALUE"""),"A big cardboard box, it’s chock-full of sex toys of all shapes and types. The box is significantly larger on the inside, and it has very nearly any sex toy you can imagine (so long as it is small enough to be carried in one hand and isn’t more technologic"&amp;"ally advanced than the modern age). Vibrators, dildos, strap-ons, onaholes, handcuffs, whips, and a vast host of other options can all be found within. But most peculiarly, you can designate up to 5 sex toys from this box, and can summon them from this bo"&amp;"x regardless of distance with an act of will. A similar mental effort is required to banish them back to the box, and you can easily switch what toys you can summon by shuffling through the box for a few moments.")</f>
        <v>A big cardboard box, it’s chock-full of sex toys of all shapes and types. The box is significantly larger on the inside, and it has very nearly any sex toy you can imagine (so long as it is small enough to be carried in one hand and isn’t more technologically advanced than the modern age). Vibrators, dildos, strap-ons, onaholes, handcuffs, whips, and a vast host of other options can all be found within. But most peculiarly, you can designate up to 5 sex toys from this box, and can summon them from this box regardless of distance with an act of will. A similar mental effort is required to banish them back to the box, and you can easily switch what toys you can summon by shuffling through the box for a few moments.</v>
      </c>
      <c r="I83" s="5"/>
    </row>
    <row r="84" spans="1:9" ht="104.4" x14ac:dyDescent="0.25">
      <c r="A84" s="16"/>
      <c r="B84" s="17">
        <v>80</v>
      </c>
      <c r="C84" s="2" t="b">
        <f ca="1">IFERROR(__xludf.DUMMYFUNCTION("""COMPUTED_VALUE"""),FALSE)</f>
        <v>0</v>
      </c>
      <c r="D84" s="2">
        <f ca="1">IFERROR(__xludf.DUMMYFUNCTION("""COMPUTED_VALUE"""),200)</f>
        <v>200</v>
      </c>
      <c r="E84" s="2" t="str">
        <f ca="1">IFERROR(__xludf.DUMMYFUNCTION("""COMPUTED_VALUE"""),"Almost Daily")</f>
        <v>Almost Daily</v>
      </c>
      <c r="F84" s="2" t="str">
        <f ca="1">IFERROR(__xludf.DUMMYFUNCTION("""COMPUTED_VALUE"""),"Monster Musume no Iru Nichijou")</f>
        <v>Monster Musume no Iru Nichijou</v>
      </c>
      <c r="G84" s="2" t="str">
        <f ca="1">IFERROR(__xludf.DUMMYFUNCTION("""COMPUTED_VALUE"""),"Porn &amp; Paraphernalia")</f>
        <v>Porn &amp; Paraphernalia</v>
      </c>
      <c r="H84" s="2" t="str">
        <f ca="1">IFERROR(__xludf.DUMMYFUNCTION("""COMPUTED_VALUE"""),"It would appear that you’ve come into possession of a camera. This one however is not just any ordinary camera. In addition to being mostly indestructible and extremely high quality, if you happen to lose it you’ll find it later that same day. You’ll also"&amp;" find that every twenty-four hours for five days a week a single thirty second video of a companion and their most notable daily activity will appear on it. On the seventh day another video summarizing what exactly they were doing and why they were doing "&amp;"what they were doing will appear on it.")</f>
        <v>It would appear that you’ve come into possession of a camera. This one however is not just any ordinary camera. In addition to being mostly indestructible and extremely high quality, if you happen to lose it you’ll find it later that same day. You’ll also find that every twenty-four hours for five days a week a single thirty second video of a companion and their most notable daily activity will appear on it. On the seventh day another video summarizing what exactly they were doing and why they were doing what they were doing will appear on it.</v>
      </c>
      <c r="I84" s="5"/>
    </row>
    <row r="85" spans="1:9" ht="69.599999999999994" x14ac:dyDescent="0.25">
      <c r="A85" s="16"/>
      <c r="B85" s="17">
        <v>81</v>
      </c>
      <c r="C85" s="2" t="b">
        <f ca="1">IFERROR(__xludf.DUMMYFUNCTION("""COMPUTED_VALUE"""),FALSE)</f>
        <v>0</v>
      </c>
      <c r="D85" s="2">
        <f ca="1">IFERROR(__xludf.DUMMYFUNCTION("""COMPUTED_VALUE"""),200)</f>
        <v>200</v>
      </c>
      <c r="E85" s="2" t="str">
        <f ca="1">IFERROR(__xludf.DUMMYFUNCTION("""COMPUTED_VALUE"""),"Always Prepared")</f>
        <v>Always Prepared</v>
      </c>
      <c r="F85" s="2" t="str">
        <f ca="1">IFERROR(__xludf.DUMMYFUNCTION("""COMPUTED_VALUE"""),"High Tail Hall")</f>
        <v>High Tail Hall</v>
      </c>
      <c r="G85" s="2" t="str">
        <f ca="1">IFERROR(__xludf.DUMMYFUNCTION("""COMPUTED_VALUE"""),"Porn &amp; Paraphernalia")</f>
        <v>Porn &amp; Paraphernalia</v>
      </c>
      <c r="H85" s="2" t="str">
        <f ca="1">IFERROR(__xludf.DUMMYFUNCTION("""COMPUTED_VALUE"""),"So, you invited that beautiful horse gal back to your place, and suddenly you notice you didn’t bring any condoms! Or worse, you brought that cute femboy fox you met back to your room, only to find out you don’t have any lube! Well, lucky for you you’ll a"&amp;"lways be equipped with a suitable amount of these things if ya buy this! You’ll never be unprepared!")</f>
        <v>So, you invited that beautiful horse gal back to your place, and suddenly you notice you didn’t bring any condoms! Or worse, you brought that cute femboy fox you met back to your room, only to find out you don’t have any lube! Well, lucky for you you’ll always be equipped with a suitable amount of these things if ya buy this! You’ll never be unprepared!</v>
      </c>
      <c r="I85" s="5"/>
    </row>
    <row r="86" spans="1:9" ht="87" x14ac:dyDescent="0.25">
      <c r="A86" s="16"/>
      <c r="B86" s="17">
        <v>82</v>
      </c>
      <c r="C86" s="2" t="b">
        <f ca="1">IFERROR(__xludf.DUMMYFUNCTION("""COMPUTED_VALUE"""),FALSE)</f>
        <v>0</v>
      </c>
      <c r="D86" s="2">
        <f ca="1">IFERROR(__xludf.DUMMYFUNCTION("""COMPUTED_VALUE"""),200)</f>
        <v>200</v>
      </c>
      <c r="E86" s="2" t="str">
        <f ca="1">IFERROR(__xludf.DUMMYFUNCTION("""COMPUTED_VALUE"""),"Animal Costume")</f>
        <v>Animal Costume</v>
      </c>
      <c r="F86" s="2" t="str">
        <f ca="1">IFERROR(__xludf.DUMMYFUNCTION("""COMPUTED_VALUE"""),"Mizuryu Kei Land")</f>
        <v>Mizuryu Kei Land</v>
      </c>
      <c r="G86" s="2" t="str">
        <f ca="1">IFERROR(__xludf.DUMMYFUNCTION("""COMPUTED_VALUE"""),"Porn &amp; Paraphernalia")</f>
        <v>Porn &amp; Paraphernalia</v>
      </c>
      <c r="H86" s="2" t="str">
        <f ca="1">IFERROR(__xludf.DUMMYFUNCTION("""COMPUTED_VALUE"""),"This barely qualifies as a costume, even by our standards! It's basically just some animal ears and a tail attachment. Not even an animal themed bikini or anything! Well, the purpose of the attraction this comes from is to be beastial, so I suppose less c"&amp;"lothes fits that part. Anyways, wearing this costume causes the wearer to temporarily develop an intense petplay fetish. Speaking is kept to the minimum, while doggystyle is at an all time high, and yes that was a pun. You get the idea, right?")</f>
        <v>This barely qualifies as a costume, even by our standards! It's basically just some animal ears and a tail attachment. Not even an animal themed bikini or anything! Well, the purpose of the attraction this comes from is to be beastial, so I suppose less clothes fits that part. Anyways, wearing this costume causes the wearer to temporarily develop an intense petplay fetish. Speaking is kept to the minimum, while doggystyle is at an all time high, and yes that was a pun. You get the idea, right?</v>
      </c>
      <c r="I86" s="5"/>
    </row>
    <row r="87" spans="1:9" ht="52.2" x14ac:dyDescent="0.25">
      <c r="A87" s="16"/>
      <c r="B87" s="17">
        <v>83</v>
      </c>
      <c r="C87" s="2" t="b">
        <f ca="1">IFERROR(__xludf.DUMMYFUNCTION("""COMPUTED_VALUE"""),FALSE)</f>
        <v>0</v>
      </c>
      <c r="D87" s="2">
        <f ca="1">IFERROR(__xludf.DUMMYFUNCTION("""COMPUTED_VALUE"""),200)</f>
        <v>200</v>
      </c>
      <c r="E87" s="2" t="str">
        <f ca="1">IFERROR(__xludf.DUMMYFUNCTION("""COMPUTED_VALUE"""),"Aphrodisiac Drug")</f>
        <v>Aphrodisiac Drug</v>
      </c>
      <c r="F87" s="2" t="str">
        <f ca="1">IFERROR(__xludf.DUMMYFUNCTION("""COMPUTED_VALUE"""),"Bokunchi No Mikage-san")</f>
        <v>Bokunchi No Mikage-san</v>
      </c>
      <c r="G87" s="2" t="str">
        <f ca="1">IFERROR(__xludf.DUMMYFUNCTION("""COMPUTED_VALUE"""),"Porn &amp; Paraphernalia")</f>
        <v>Porn &amp; Paraphernalia</v>
      </c>
      <c r="H87" s="2" t="str">
        <f ca="1">IFERROR(__xludf.DUMMYFUNCTION("""COMPUTED_VALUE"""),"A simple powder drug that works as an aphrodisiac. It functions when consumed, and is tasteless and colorless when combined with food or a liquid. It’s quite strong, too, enough to get a tsundere to stop being physically violent and start being physically"&amp;" affectionate.")</f>
        <v>A simple powder drug that works as an aphrodisiac. It functions when consumed, and is tasteless and colorless when combined with food or a liquid. It’s quite strong, too, enough to get a tsundere to stop being physically violent and start being physically affectionate.</v>
      </c>
      <c r="I87" s="5"/>
    </row>
    <row r="88" spans="1:9" ht="121.8" x14ac:dyDescent="0.25">
      <c r="A88" s="16"/>
      <c r="B88" s="17">
        <v>84</v>
      </c>
      <c r="C88" s="2" t="b">
        <f ca="1">IFERROR(__xludf.DUMMYFUNCTION("""COMPUTED_VALUE"""),FALSE)</f>
        <v>0</v>
      </c>
      <c r="D88" s="2">
        <f ca="1">IFERROR(__xludf.DUMMYFUNCTION("""COMPUTED_VALUE"""),200)</f>
        <v>200</v>
      </c>
      <c r="E88" s="2" t="str">
        <f ca="1">IFERROR(__xludf.DUMMYFUNCTION("""COMPUTED_VALUE"""),"Blackmail Collection")</f>
        <v>Blackmail Collection</v>
      </c>
      <c r="F88" s="2" t="str">
        <f ca="1">IFERROR(__xludf.DUMMYFUNCTION("""COMPUTED_VALUE"""),"Milk Hunters")</f>
        <v>Milk Hunters</v>
      </c>
      <c r="G88" s="2" t="str">
        <f ca="1">IFERROR(__xludf.DUMMYFUNCTION("""COMPUTED_VALUE"""),"Porn &amp; Paraphernalia")</f>
        <v>Porn &amp; Paraphernalia</v>
      </c>
      <c r="H88" s="2" t="str">
        <f ca="1">IFERROR(__xludf.DUMMYFUNCTION("""COMPUTED_VALUE"""),"Maybe you see the class president shoplifting from a convenience store, but don’t have your camera on you? Maybe you raped the school idol when she was unconscious due to a Zakenna attack, but your phone was out of batteries, so you couldn’t record a vide"&amp;"o of it? No need to worry, I’ve got you covered. From now on, any and all potential blackmail that you come across will appear on this external hard drive. It has an infinite amount of storage, perfect indexing, nobody but you can interact with the data o"&amp;"n it, and if it’s ever stolen, it will return to your warehouse as soon as the thief takes their eyes off of it.")</f>
        <v>Maybe you see the class president shoplifting from a convenience store, but don’t have your camera on you? Maybe you raped the school idol when she was unconscious due to a Zakenna attack, but your phone was out of batteries, so you couldn’t record a video of it? No need to worry, I’ve got you covered. From now on, any and all potential blackmail that you come across will appear on this external hard drive. It has an infinite amount of storage, perfect indexing, nobody but you can interact with the data on it, and if it’s ever stolen, it will return to your warehouse as soon as the thief takes their eyes off of it.</v>
      </c>
      <c r="I88" s="5"/>
    </row>
    <row r="89" spans="1:9" ht="69.599999999999994" x14ac:dyDescent="0.25">
      <c r="A89" s="16"/>
      <c r="B89" s="17">
        <v>85</v>
      </c>
      <c r="C89" s="2" t="b">
        <f ca="1">IFERROR(__xludf.DUMMYFUNCTION("""COMPUTED_VALUE"""),FALSE)</f>
        <v>0</v>
      </c>
      <c r="D89" s="2">
        <f ca="1">IFERROR(__xludf.DUMMYFUNCTION("""COMPUTED_VALUE"""),200)</f>
        <v>200</v>
      </c>
      <c r="E89" s="2" t="str">
        <f ca="1">IFERROR(__xludf.DUMMYFUNCTION("""COMPUTED_VALUE"""),"Captital Games")</f>
        <v>Captital Games</v>
      </c>
      <c r="F89" s="2" t="str">
        <f ca="1">IFERROR(__xludf.DUMMYFUNCTION("""COMPUTED_VALUE"""),"Neon Dreams of Organic Toys")</f>
        <v>Neon Dreams of Organic Toys</v>
      </c>
      <c r="G89" s="2" t="str">
        <f ca="1">IFERROR(__xludf.DUMMYFUNCTION("""COMPUTED_VALUE"""),"Porn &amp; Paraphernalia")</f>
        <v>Porn &amp; Paraphernalia</v>
      </c>
      <c r="H89" s="2" t="str">
        <f ca="1">IFERROR(__xludf.DUMMYFUNCTION("""COMPUTED_VALUE"""),"You can’t make money if you don’t have the money to invest in the first place. So here’s a steady trickle of the local currency, coming in on a weekly basis. It’s enough to sustain an indulgent middle class lifestyle, with a little extra leftover to sink "&amp;"into investments for a steadily increasing flow of cash. No one questions this income, even the taxman.")</f>
        <v>You can’t make money if you don’t have the money to invest in the first place. So here’s a steady trickle of the local currency, coming in on a weekly basis. It’s enough to sustain an indulgent middle class lifestyle, with a little extra leftover to sink into investments for a steadily increasing flow of cash. No one questions this income, even the taxman.</v>
      </c>
      <c r="I89" s="5"/>
    </row>
    <row r="90" spans="1:9" ht="139.19999999999999" x14ac:dyDescent="0.25">
      <c r="A90" s="16"/>
      <c r="B90" s="17">
        <v>86</v>
      </c>
      <c r="C90" s="2" t="b">
        <f ca="1">IFERROR(__xludf.DUMMYFUNCTION("""COMPUTED_VALUE"""),FALSE)</f>
        <v>0</v>
      </c>
      <c r="D90" s="2">
        <f ca="1">IFERROR(__xludf.DUMMYFUNCTION("""COMPUTED_VALUE"""),200)</f>
        <v>200</v>
      </c>
      <c r="E90" s="2" t="str">
        <f ca="1">IFERROR(__xludf.DUMMYFUNCTION("""COMPUTED_VALUE"""),"Capture Gear")</f>
        <v>Capture Gear</v>
      </c>
      <c r="F90" s="2" t="str">
        <f ca="1">IFERROR(__xludf.DUMMYFUNCTION("""COMPUTED_VALUE"""),"Bible Black")</f>
        <v>Bible Black</v>
      </c>
      <c r="G90" s="2" t="str">
        <f ca="1">IFERROR(__xludf.DUMMYFUNCTION("""COMPUTED_VALUE"""),"Porn &amp; Paraphernalia")</f>
        <v>Porn &amp; Paraphernalia</v>
      </c>
      <c r="H90" s="2" t="str">
        <f ca="1">IFERROR(__xludf.DUMMYFUNCTION("""COMPUTED_VALUE"""),"Normally, an Agent would just get a set of handcuffs or zip ties to bind their suspects for transport to a holding cell. That wouldn’t be quite as fun if that were the case here. Instead, you gain an assortment of bondage and capture gear ranging from rop"&amp;"e to shackles to even leather bindings. It’s all stored in a special duffel bag where you can pull out whatever style of restraint you would prefer. Heck, there might even be a chastity belt or two laying around. What makes these accoutrements better than"&amp;" the standard fair, other than indestructibility, is the fact that it can channel magic spells for anyone that knows magic. So you could literally spell them to shock people if you wish.")</f>
        <v>Normally, an Agent would just get a set of handcuffs or zip ties to bind their suspects for transport to a holding cell. That wouldn’t be quite as fun if that were the case here. Instead, you gain an assortment of bondage and capture gear ranging from rope to shackles to even leather bindings. It’s all stored in a special duffel bag where you can pull out whatever style of restraint you would prefer. Heck, there might even be a chastity belt or two laying around. What makes these accoutrements better than the standard fair, other than indestructibility, is the fact that it can channel magic spells for anyone that knows magic. So you could literally spell them to shock people if you wish.</v>
      </c>
      <c r="I90" s="5"/>
    </row>
    <row r="91" spans="1:9" ht="261" x14ac:dyDescent="0.25">
      <c r="A91" s="16"/>
      <c r="B91" s="17">
        <v>87</v>
      </c>
      <c r="C91" s="2" t="b">
        <f ca="1">IFERROR(__xludf.DUMMYFUNCTION("""COMPUTED_VALUE"""),FALSE)</f>
        <v>0</v>
      </c>
      <c r="D91" s="2">
        <f ca="1">IFERROR(__xludf.DUMMYFUNCTION("""COMPUTED_VALUE"""),200)</f>
        <v>200</v>
      </c>
      <c r="E91" s="2" t="str">
        <f ca="1">IFERROR(__xludf.DUMMYFUNCTION("""COMPUTED_VALUE"""),"Carnal Ride")</f>
        <v>Carnal Ride</v>
      </c>
      <c r="F91" s="2" t="str">
        <f ca="1">IFERROR(__xludf.DUMMYFUNCTION("""COMPUTED_VALUE"""),"World of Cybersluts")</f>
        <v>World of Cybersluts</v>
      </c>
      <c r="G91" s="2" t="str">
        <f ca="1">IFERROR(__xludf.DUMMYFUNCTION("""COMPUTED_VALUE"""),"Porn &amp; Paraphernalia")</f>
        <v>Porn &amp; Paraphernalia</v>
      </c>
      <c r="H91" s="2" t="str">
        <f ca="1">IFERROR(__xludf.DUMMYFUNCTION("""COMPUTED_VALUE"""),"A top-of-the-line motorcycle, sports car, or something similar. Possibly even a modified classic, or a flying hover car. It's fast, it's eye-catching in a way that attracts potential suitors, and it's got some nice extra features. Most notably, the vehicl"&amp;"e is designed for pleasure as much as transport. Though the specific implementation is left up to your tastes. 
The seats might be able to vibrate like ""massage"" chairs, a wealth of different sex toys might be discreetly built-in and ready to pop out o"&amp;"n command, or you could have something like electrodes that directly stimulate the nerves with pleasure. Regardless of the specifics, these special features make long rides more enjoyable for you and potentially also make for a fun surprise for any unwitt"&amp;"ing passengers or prospective thieves. 
It is also self-driving with an advanced autopiloting system, so you can just lean back and enjoy the ride. Just specify a destination and off you go. Though if you prefer doing things yourself, you could drive it "&amp;"manually by using one of the built-in sex toys to control it...or you could drive it normally, using the steering wheel. Like a boring person.")</f>
        <v>A top-of-the-line motorcycle, sports car, or something similar. Possibly even a modified classic, or a flying hover car. It's fast, it's eye-catching in a way that attracts potential suitors, and it's got some nice extra features. Most notably, the vehicle is designed for pleasure as much as transport. Though the specific implementation is left up to your tastes. 
The seats might be able to vibrate like "massage" chairs, a wealth of different sex toys might be discreetly built-in and ready to pop out on command, or you could have something like electrodes that directly stimulate the nerves with pleasure. Regardless of the specifics, these special features make long rides more enjoyable for you and potentially also make for a fun surprise for any unwitting passengers or prospective thieves. 
It is also self-driving with an advanced autopiloting system, so you can just lean back and enjoy the ride. Just specify a destination and off you go. Though if you prefer doing things yourself, you could drive it manually by using one of the built-in sex toys to control it...or you could drive it normally, using the steering wheel. Like a boring person.</v>
      </c>
      <c r="I91" s="5"/>
    </row>
    <row r="92" spans="1:9" ht="191.4" x14ac:dyDescent="0.25">
      <c r="A92" s="16"/>
      <c r="B92" s="17">
        <v>88</v>
      </c>
      <c r="C92" s="2" t="b">
        <f ca="1">IFERROR(__xludf.DUMMYFUNCTION("""COMPUTED_VALUE"""),FALSE)</f>
        <v>0</v>
      </c>
      <c r="D92" s="2">
        <f ca="1">IFERROR(__xludf.DUMMYFUNCTION("""COMPUTED_VALUE"""),200)</f>
        <v>200</v>
      </c>
      <c r="E92" s="2" t="str">
        <f ca="1">IFERROR(__xludf.DUMMYFUNCTION("""COMPUTED_VALUE"""),"Cleaning Supplies")</f>
        <v>Cleaning Supplies</v>
      </c>
      <c r="F92" s="2" t="str">
        <f ca="1">IFERROR(__xludf.DUMMYFUNCTION("""COMPUTED_VALUE"""),"World of Tentacles")</f>
        <v>World of Tentacles</v>
      </c>
      <c r="G92" s="2" t="str">
        <f ca="1">IFERROR(__xludf.DUMMYFUNCTION("""COMPUTED_VALUE"""),"Porn &amp; Paraphernalia")</f>
        <v>Porn &amp; Paraphernalia</v>
      </c>
      <c r="H92" s="2" t="str">
        <f ca="1">IFERROR(__xludf.DUMMYFUNCTION("""COMPUTED_VALUE"""),"Between the traditional methods of Monster Hunters and sorcerers, the senses of rival predators, and modern forensics, leaving samples of your unholy essence laying around is a worse idea than it's ever been. This unremarkable spritzer bottle contains a s"&amp;"olution. When sprayed over a solid surface, the liquid reacts with and rapidly breaks down all forms of organic residue, from stray hairs and skin flakes to sweat and saliva to various forms of discharge. Among other things, this eliminates scents. In add"&amp;"ition to destroying physical evidence, the liquid masks magical energy and similarly exotic traces. Despite this, it's non-toxic, doesn't harm organic matter that is alive or above a very small size, and has no reaction with inorganic matter. This does me"&amp;"an it's unable to dispose of larger forms of evidence; it also leaves a slurry that experienced investigators will recognize, even if they can't tell what it used to be. A bottle of Cleaning Supplies is large enough to scrub the sites of as many as seven "&amp;"typical single-victim feedings. It refills once per week.")</f>
        <v>Between the traditional methods of Monster Hunters and sorcerers, the senses of rival predators, and modern forensics, leaving samples of your unholy essence laying around is a worse idea than it's ever been. This unremarkable spritzer bottle contains a solution. When sprayed over a solid surface, the liquid reacts with and rapidly breaks down all forms of organic residue, from stray hairs and skin flakes to sweat and saliva to various forms of discharge. Among other things, this eliminates scents. In addition to destroying physical evidence, the liquid masks magical energy and similarly exotic traces. Despite this, it's non-toxic, doesn't harm organic matter that is alive or above a very small size, and has no reaction with inorganic matter. This does mean it's unable to dispose of larger forms of evidence; it also leaves a slurry that experienced investigators will recognize, even if they can't tell what it used to be. A bottle of Cleaning Supplies is large enough to scrub the sites of as many as seven typical single-victim feedings. It refills once per week.</v>
      </c>
      <c r="I92" s="5"/>
    </row>
    <row r="93" spans="1:9" ht="87" x14ac:dyDescent="0.25">
      <c r="A93" s="16"/>
      <c r="B93" s="17">
        <v>89</v>
      </c>
      <c r="C93" s="2" t="b">
        <f ca="1">IFERROR(__xludf.DUMMYFUNCTION("""COMPUTED_VALUE"""),FALSE)</f>
        <v>0</v>
      </c>
      <c r="D93" s="2">
        <f ca="1">IFERROR(__xludf.DUMMYFUNCTION("""COMPUTED_VALUE"""),200)</f>
        <v>200</v>
      </c>
      <c r="E93" s="2" t="str">
        <f ca="1">IFERROR(__xludf.DUMMYFUNCTION("""COMPUTED_VALUE"""),"Collar of Kinky Education")</f>
        <v>Collar of Kinky Education</v>
      </c>
      <c r="F93" s="2" t="str">
        <f ca="1">IFERROR(__xludf.DUMMYFUNCTION("""COMPUTED_VALUE"""),"Monster Girl Dreams 1.3 - The Pre-Capitol Update")</f>
        <v>Monster Girl Dreams 1.3 - The Pre-Capitol Update</v>
      </c>
      <c r="G93" s="2" t="str">
        <f ca="1">IFERROR(__xludf.DUMMYFUNCTION("""COMPUTED_VALUE"""),"Porn &amp; Paraphernalia")</f>
        <v>Porn &amp; Paraphernalia</v>
      </c>
      <c r="H93" s="2" t="str">
        <f ca="1">IFERROR(__xludf.DUMMYFUNCTION("""COMPUTED_VALUE"""),"This tight leather collar increases your body’s sensitivity to pleasure and leaves your mind thinking dirty thoughts all the time, but also greatly increases your ability to memorize and understand information. But the question is, Are you a Teacher’s Pet"&amp;" or a Teacher’s Pet?")</f>
        <v>This tight leather collar increases your body’s sensitivity to pleasure and leaves your mind thinking dirty thoughts all the time, but also greatly increases your ability to memorize and understand information. But the question is, Are you a Teacher’s Pet or a Teacher’s Pet?</v>
      </c>
      <c r="I93" s="5"/>
    </row>
    <row r="94" spans="1:9" ht="87" x14ac:dyDescent="0.25">
      <c r="A94" s="16"/>
      <c r="B94" s="17">
        <v>90</v>
      </c>
      <c r="C94" s="2" t="b">
        <f ca="1">IFERROR(__xludf.DUMMYFUNCTION("""COMPUTED_VALUE"""),FALSE)</f>
        <v>0</v>
      </c>
      <c r="D94" s="2">
        <f ca="1">IFERROR(__xludf.DUMMYFUNCTION("""COMPUTED_VALUE"""),200)</f>
        <v>200</v>
      </c>
      <c r="E94" s="2" t="str">
        <f ca="1">IFERROR(__xludf.DUMMYFUNCTION("""COMPUTED_VALUE"""),"Cosmic Vibrator")</f>
        <v>Cosmic Vibrator</v>
      </c>
      <c r="F94" s="2" t="str">
        <f ca="1">IFERROR(__xludf.DUMMYFUNCTION("""COMPUTED_VALUE"""),"The Otaku in 2200 AD")</f>
        <v>The Otaku in 2200 AD</v>
      </c>
      <c r="G94" s="2" t="str">
        <f ca="1">IFERROR(__xludf.DUMMYFUNCTION("""COMPUTED_VALUE"""),"Porn &amp; Paraphernalia")</f>
        <v>Porn &amp; Paraphernalia</v>
      </c>
      <c r="H94" s="2" t="str">
        <f ca="1">IFERROR(__xludf.DUMMYFUNCTION("""COMPUTED_VALUE"""),"By harnessing the energy of the interplanetary attraction, this, the ultimate sex toy, has been created. It looks a little like a vibrator version of the handle of a walking stick, but it isn’t used for traditional masturbation. Rather, it can be used to "&amp;"shoot a vibrating beam—a beam that induces a cosmic level of pleasure beyond what anyone is capable of imagining. The pleasure when focused on an erogenous zone is more than almost anyone would be capable of withstanding.")</f>
        <v>By harnessing the energy of the interplanetary attraction, this, the ultimate sex toy, has been created. It looks a little like a vibrator version of the handle of a walking stick, but it isn’t used for traditional masturbation. Rather, it can be used to shoot a vibrating beam—a beam that induces a cosmic level of pleasure beyond what anyone is capable of imagining. The pleasure when focused on an erogenous zone is more than almost anyone would be capable of withstanding.</v>
      </c>
      <c r="I94" s="5"/>
    </row>
    <row r="95" spans="1:9" ht="104.4" x14ac:dyDescent="0.25">
      <c r="A95" s="16"/>
      <c r="B95" s="17">
        <v>91</v>
      </c>
      <c r="C95" s="2" t="b">
        <f ca="1">IFERROR(__xludf.DUMMYFUNCTION("""COMPUTED_VALUE"""),FALSE)</f>
        <v>0</v>
      </c>
      <c r="D95" s="2">
        <f ca="1">IFERROR(__xludf.DUMMYFUNCTION("""COMPUTED_VALUE"""),200)</f>
        <v>200</v>
      </c>
      <c r="E95" s="2" t="str">
        <f ca="1">IFERROR(__xludf.DUMMYFUNCTION("""COMPUTED_VALUE"""),"Diuretic")</f>
        <v>Diuretic</v>
      </c>
      <c r="F95" s="2" t="str">
        <f ca="1">IFERROR(__xludf.DUMMYFUNCTION("""COMPUTED_VALUE"""),"Shunned by the Village")</f>
        <v>Shunned by the Village</v>
      </c>
      <c r="G95" s="2" t="str">
        <f ca="1">IFERROR(__xludf.DUMMYFUNCTION("""COMPUTED_VALUE"""),"Porn &amp; Paraphernalia")</f>
        <v>Porn &amp; Paraphernalia</v>
      </c>
      <c r="H95" s="2" t="str">
        <f ca="1">IFERROR(__xludf.DUMMYFUNCTION("""COMPUTED_VALUE"""),"Some people are resistant to pleasure. But nobody can completely ignore the urge to piss, and it is nearly impossible to both fight off the feelings of stimulation and hold off the need to pee at the same time. That’s why you have this bottle of diuretic "&amp;"pills, which will take only a few seconds to come into effect and give someone an ever-increasing urge to pee. It also has the side effect of increasing their sensitivity to sexual pleasure. This bottle refills once per week, and only one pill is needed f"&amp;"or any subject, regardless of body mass.")</f>
        <v>Some people are resistant to pleasure. But nobody can completely ignore the urge to piss, and it is nearly impossible to both fight off the feelings of stimulation and hold off the need to pee at the same time. That’s why you have this bottle of diuretic pills, which will take only a few seconds to come into effect and give someone an ever-increasing urge to pee. It also has the side effect of increasing their sensitivity to sexual pleasure. This bottle refills once per week, and only one pill is needed for any subject, regardless of body mass.</v>
      </c>
      <c r="I95" s="5"/>
    </row>
    <row r="96" spans="1:9" ht="87" x14ac:dyDescent="0.25">
      <c r="A96" s="16"/>
      <c r="B96" s="17">
        <v>92</v>
      </c>
      <c r="C96" s="2" t="b">
        <f ca="1">IFERROR(__xludf.DUMMYFUNCTION("""COMPUTED_VALUE"""),FALSE)</f>
        <v>0</v>
      </c>
      <c r="D96" s="2">
        <f ca="1">IFERROR(__xludf.DUMMYFUNCTION("""COMPUTED_VALUE"""),200)</f>
        <v>200</v>
      </c>
      <c r="E96" s="2" t="str">
        <f ca="1">IFERROR(__xludf.DUMMYFUNCTION("""COMPUTED_VALUE"""),"Dom Perignon")</f>
        <v>Dom Perignon</v>
      </c>
      <c r="F96" s="2" t="str">
        <f ca="1">IFERROR(__xludf.DUMMYFUNCTION("""COMPUTED_VALUE"""),"Sei So Tsui Dan Sha")</f>
        <v>Sei So Tsui Dan Sha</v>
      </c>
      <c r="G96" s="2" t="str">
        <f ca="1">IFERROR(__xludf.DUMMYFUNCTION("""COMPUTED_VALUE"""),"Porn &amp; Paraphernalia")</f>
        <v>Porn &amp; Paraphernalia</v>
      </c>
      <c r="H96" s="2" t="str">
        <f ca="1">IFERROR(__xludf.DUMMYFUNCTION("""COMPUTED_VALUE"""),"You are in possession of a replenishing supply of Don Perignon wine. In addition to being pretty good wine in its own right, this batch is a little special. It’s laced with a fast-acting rape drug, knocking those affected unconscious after the drug has ha"&amp;"d time to circulate through their system. Conveniently enough, you seem to be able to decide on a moment’s notice who gets drugged, and who is completely immune for no particular reason at a given moment.")</f>
        <v>You are in possession of a replenishing supply of Don Perignon wine. In addition to being pretty good wine in its own right, this batch is a little special. It’s laced with a fast-acting rape drug, knocking those affected unconscious after the drug has had time to circulate through their system. Conveniently enough, you seem to be able to decide on a moment’s notice who gets drugged, and who is completely immune for no particular reason at a given moment.</v>
      </c>
      <c r="I96" s="5"/>
    </row>
    <row r="97" spans="1:9" ht="52.2" x14ac:dyDescent="0.25">
      <c r="A97" s="16"/>
      <c r="B97" s="17">
        <v>93</v>
      </c>
      <c r="C97" s="2" t="b">
        <f ca="1">IFERROR(__xludf.DUMMYFUNCTION("""COMPUTED_VALUE"""),FALSE)</f>
        <v>0</v>
      </c>
      <c r="D97" s="2">
        <f ca="1">IFERROR(__xludf.DUMMYFUNCTION("""COMPUTED_VALUE"""),200)</f>
        <v>200</v>
      </c>
      <c r="E97" s="2" t="str">
        <f ca="1">IFERROR(__xludf.DUMMYFUNCTION("""COMPUTED_VALUE"""),"Good 'ol Fashioned Camera")</f>
        <v>Good 'ol Fashioned Camera</v>
      </c>
      <c r="F97" s="2" t="str">
        <f ca="1">IFERROR(__xludf.DUMMYFUNCTION("""COMPUTED_VALUE"""),"High Tail Hall")</f>
        <v>High Tail Hall</v>
      </c>
      <c r="G97" s="2" t="str">
        <f ca="1">IFERROR(__xludf.DUMMYFUNCTION("""COMPUTED_VALUE"""),"Porn &amp; Paraphernalia")</f>
        <v>Porn &amp; Paraphernalia</v>
      </c>
      <c r="H97" s="2" t="str">
        <f ca="1">IFERROR(__xludf.DUMMYFUNCTION("""COMPUTED_VALUE"""),"A neat little camera that records you every time you have sex. With neat editing, a nice sensual music choice, and impeccable angles, you can have the best sex tapes on the island! Even better, those tapes don’t spread unless you want them to.")</f>
        <v>A neat little camera that records you every time you have sex. With neat editing, a nice sensual music choice, and impeccable angles, you can have the best sex tapes on the island! Even better, those tapes don’t spread unless you want them to.</v>
      </c>
      <c r="I97" s="5"/>
    </row>
    <row r="98" spans="1:9" ht="87" x14ac:dyDescent="0.25">
      <c r="A98" s="16"/>
      <c r="B98" s="17">
        <v>94</v>
      </c>
      <c r="C98" s="2" t="b">
        <f ca="1">IFERROR(__xludf.DUMMYFUNCTION("""COMPUTED_VALUE"""),FALSE)</f>
        <v>0</v>
      </c>
      <c r="D98" s="2">
        <f ca="1">IFERROR(__xludf.DUMMYFUNCTION("""COMPUTED_VALUE"""),200)</f>
        <v>200</v>
      </c>
      <c r="E98" s="2" t="str">
        <f ca="1">IFERROR(__xludf.DUMMYFUNCTION("""COMPUTED_VALUE"""),"Handy Cellphone")</f>
        <v>Handy Cellphone</v>
      </c>
      <c r="F98" s="2" t="str">
        <f ca="1">IFERROR(__xludf.DUMMYFUNCTION("""COMPUTED_VALUE"""),"Boku To Nottori Nakademia")</f>
        <v>Boku To Nottori Nakademia</v>
      </c>
      <c r="G98" s="2" t="str">
        <f ca="1">IFERROR(__xludf.DUMMYFUNCTION("""COMPUTED_VALUE"""),"Porn &amp; Paraphernalia")</f>
        <v>Porn &amp; Paraphernalia</v>
      </c>
      <c r="H98" s="2" t="str">
        <f ca="1">IFERROR(__xludf.DUMMYFUNCTION("""COMPUTED_VALUE"""),"A smartphone with all the latest apps. It can take and send calls from anywhere and has a high-definition camera with plenty of storage. For some reason, it always seems to find itself in a perfect position to subtly record events around you when you want"&amp;" it to, without you needing to distract yourself to put it there. Whether you use that evidence for good or to just get yourself off at a later date is up to you.")</f>
        <v>A smartphone with all the latest apps. It can take and send calls from anywhere and has a high-definition camera with plenty of storage. For some reason, it always seems to find itself in a perfect position to subtly record events around you when you want it to, without you needing to distract yourself to put it there. Whether you use that evidence for good or to just get yourself off at a later date is up to you.</v>
      </c>
      <c r="I98" s="5"/>
    </row>
    <row r="99" spans="1:9" ht="156.6" x14ac:dyDescent="0.25">
      <c r="A99" s="16"/>
      <c r="B99" s="17">
        <v>95</v>
      </c>
      <c r="C99" s="2" t="b">
        <f ca="1">IFERROR(__xludf.DUMMYFUNCTION("""COMPUTED_VALUE"""),FALSE)</f>
        <v>0</v>
      </c>
      <c r="D99" s="2">
        <f ca="1">IFERROR(__xludf.DUMMYFUNCTION("""COMPUTED_VALUE"""),200)</f>
        <v>200</v>
      </c>
      <c r="E99" s="2" t="str">
        <f ca="1">IFERROR(__xludf.DUMMYFUNCTION("""COMPUTED_VALUE"""),"Ka-Ju Whip")</f>
        <v>Ka-Ju Whip</v>
      </c>
      <c r="F99" s="2" t="str">
        <f ca="1">IFERROR(__xludf.DUMMYFUNCTION("""COMPUTED_VALUE"""),"Breathless Wild")</f>
        <v>Breathless Wild</v>
      </c>
      <c r="G99" s="2" t="str">
        <f ca="1">IFERROR(__xludf.DUMMYFUNCTION("""COMPUTED_VALUE"""),"Porn &amp; Paraphernalia")</f>
        <v>Porn &amp; Paraphernalia</v>
      </c>
      <c r="H99" s="2" t="str">
        <f ca="1">IFERROR(__xludf.DUMMYFUNCTION("""COMPUTED_VALUE"""),"Made out of blessed Ka-Ju Rope, this whip is a useful tool for anyone who wants to take an enemy alive. The blessings on this magical whip make it simple to tie up things or people that the whip is swung at: not only can it stretch to reach distant target"&amp;"s, it can automatically knot and release itself instantly the moment its wielder needs it to, making it useful not only for tying up enemies and disarming them of their weapons but also as an improvised grappling hook for crossing challenging terrain. Hig"&amp;"hly skilled wielders can even learn to tie up their captives with a single flourish, leaving them bound, gagged, and totally helpless in just a few seconds. Cutting the rope at the hilt will make a new one grow in to replace it, giving you a limitless sup"&amp;"ply of bondage-ready rope strong enough to keep even the most ornery monstergirls under wraps.")</f>
        <v>Made out of blessed Ka-Ju Rope, this whip is a useful tool for anyone who wants to take an enemy alive. The blessings on this magical whip make it simple to tie up things or people that the whip is swung at: not only can it stretch to reach distant targets, it can automatically knot and release itself instantly the moment its wielder needs it to, making it useful not only for tying up enemies and disarming them of their weapons but also as an improvised grappling hook for crossing challenging terrain. Highly skilled wielders can even learn to tie up their captives with a single flourish, leaving them bound, gagged, and totally helpless in just a few seconds. Cutting the rope at the hilt will make a new one grow in to replace it, giving you a limitless supply of bondage-ready rope strong enough to keep even the most ornery monstergirls under wraps.</v>
      </c>
      <c r="I99" s="5"/>
    </row>
    <row r="100" spans="1:9" ht="104.4" x14ac:dyDescent="0.25">
      <c r="A100" s="16"/>
      <c r="B100" s="17">
        <v>96</v>
      </c>
      <c r="C100" s="2" t="b">
        <f ca="1">IFERROR(__xludf.DUMMYFUNCTION("""COMPUTED_VALUE"""),FALSE)</f>
        <v>0</v>
      </c>
      <c r="D100" s="2">
        <f ca="1">IFERROR(__xludf.DUMMYFUNCTION("""COMPUTED_VALUE"""),200)</f>
        <v>200</v>
      </c>
      <c r="E100" s="2" t="str">
        <f ca="1">IFERROR(__xludf.DUMMYFUNCTION("""COMPUTED_VALUE"""),"Kunoichi's Best Friend")</f>
        <v>Kunoichi's Best Friend</v>
      </c>
      <c r="F100" s="2" t="str">
        <f ca="1">IFERROR(__xludf.DUMMYFUNCTION("""COMPUTED_VALUE"""),"Naruto Blacked")</f>
        <v>Naruto Blacked</v>
      </c>
      <c r="G100" s="2" t="str">
        <f ca="1">IFERROR(__xludf.DUMMYFUNCTION("""COMPUTED_VALUE"""),"Porn &amp; Paraphernalia")</f>
        <v>Porn &amp; Paraphernalia</v>
      </c>
      <c r="H100" s="2" t="str">
        <f ca="1">IFERROR(__xludf.DUMMYFUNCTION("""COMPUTED_VALUE"""),"When your boyfriend is nowhere to be found, you can always rely on a big fat dildo to help fill the gap, so to speak. This item is a set of exceptionally large and very high-quality sex toys which will either help addict you to fat cock even further than "&amp;"you already are or help you try to get over it by weaning you off the real thing. They also either double as weapons, like a club or a tonfa, or they actually have weapons hidden inside of them, like a hidden blade or a stash of ninja wire and so on. The "&amp;"specifics are left up to your imagination.")</f>
        <v>When your boyfriend is nowhere to be found, you can always rely on a big fat dildo to help fill the gap, so to speak. This item is a set of exceptionally large and very high-quality sex toys which will either help addict you to fat cock even further than you already are or help you try to get over it by weaning you off the real thing. They also either double as weapons, like a club or a tonfa, or they actually have weapons hidden inside of them, like a hidden blade or a stash of ninja wire and so on. The specifics are left up to your imagination.</v>
      </c>
      <c r="I100" s="5"/>
    </row>
    <row r="101" spans="1:9" ht="104.4" x14ac:dyDescent="0.25">
      <c r="A101" s="16"/>
      <c r="B101" s="17">
        <v>97</v>
      </c>
      <c r="C101" s="2" t="b">
        <f ca="1">IFERROR(__xludf.DUMMYFUNCTION("""COMPUTED_VALUE"""),FALSE)</f>
        <v>0</v>
      </c>
      <c r="D101" s="2">
        <f ca="1">IFERROR(__xludf.DUMMYFUNCTION("""COMPUTED_VALUE"""),200)</f>
        <v>200</v>
      </c>
      <c r="E101" s="2" t="str">
        <f ca="1">IFERROR(__xludf.DUMMYFUNCTION("""COMPUTED_VALUE"""),"Magic Cock Ring")</f>
        <v>Magic Cock Ring</v>
      </c>
      <c r="F101" s="2" t="str">
        <f ca="1">IFERROR(__xludf.DUMMYFUNCTION("""COMPUTED_VALUE"""),"Generic: Hentai Occult")</f>
        <v>Generic: Hentai Occult</v>
      </c>
      <c r="G101" s="2" t="str">
        <f ca="1">IFERROR(__xludf.DUMMYFUNCTION("""COMPUTED_VALUE"""),"Porn &amp; Paraphernalia")</f>
        <v>Porn &amp; Paraphernalia</v>
      </c>
      <c r="H101" s="2" t="str">
        <f ca="1">IFERROR(__xludf.DUMMYFUNCTION("""COMPUTED_VALUE"""),"A small rubber ring, a few inches in diameter. Placing it around cock - or over a vagina - will cause a small portal to open up. The other end can be placed anywhere you can see, from three feet away to through a live television signal. Who says long dist"&amp;"ance relationships can’t work? In addition, there is a small SEP field - the portal and dick/vagina is completely ignored, save for those that you exclude. The closest you’ll get to them paying attention to it is a bit of repositioning into a sexy positio"&amp;"n if they were to sit on it.")</f>
        <v>A small rubber ring, a few inches in diameter. Placing it around cock - or over a vagina - will cause a small portal to open up. The other end can be placed anywhere you can see, from three feet away to through a live television signal. Who says long distance relationships can’t work? In addition, there is a small SEP field - the portal and dick/vagina is completely ignored, save for those that you exclude. The closest you’ll get to them paying attention to it is a bit of repositioning into a sexy position if they were to sit on it.</v>
      </c>
      <c r="I101" s="5"/>
    </row>
    <row r="102" spans="1:9" ht="87" x14ac:dyDescent="0.25">
      <c r="A102" s="16"/>
      <c r="B102" s="17">
        <v>98</v>
      </c>
      <c r="C102" s="2" t="b">
        <f ca="1">IFERROR(__xludf.DUMMYFUNCTION("""COMPUTED_VALUE"""),FALSE)</f>
        <v>0</v>
      </c>
      <c r="D102" s="2">
        <f ca="1">IFERROR(__xludf.DUMMYFUNCTION("""COMPUTED_VALUE"""),200)</f>
        <v>200</v>
      </c>
      <c r="E102" s="2" t="str">
        <f ca="1">IFERROR(__xludf.DUMMYFUNCTION("""COMPUTED_VALUE"""),"Mary Doll")</f>
        <v>Mary Doll</v>
      </c>
      <c r="F102" s="2" t="str">
        <f ca="1">IFERROR(__xludf.DUMMYFUNCTION("""COMPUTED_VALUE"""),"Toshi Densetsu Bitch")</f>
        <v>Toshi Densetsu Bitch</v>
      </c>
      <c r="G102" s="2" t="str">
        <f ca="1">IFERROR(__xludf.DUMMYFUNCTION("""COMPUTED_VALUE"""),"Porn &amp; Paraphernalia")</f>
        <v>Porn &amp; Paraphernalia</v>
      </c>
      <c r="H102" s="2" t="str">
        <f ca="1">IFERROR(__xludf.DUMMYFUNCTION("""COMPUTED_VALUE"""),"A sex doll of the ‘Mary’ line of products, this doll has many lewd functions, such as aphrodisiac saliva, changing the size of your sexual attributes at will, or even applying a vibrating or vacuum effect to certain body parts. It even comes without the v"&amp;"engeful possessing spirit that has turned Mary Jane addicting! It’s also self-maintaining, mysteriously cleaning itself and refilling its stores of aphrodisiac overnight.")</f>
        <v>A sex doll of the ‘Mary’ line of products, this doll has many lewd functions, such as aphrodisiac saliva, changing the size of your sexual attributes at will, or even applying a vibrating or vacuum effect to certain body parts. It even comes without the vengeful possessing spirit that has turned Mary Jane addicting! It’s also self-maintaining, mysteriously cleaning itself and refilling its stores of aphrodisiac overnight.</v>
      </c>
      <c r="I102" s="5"/>
    </row>
    <row r="103" spans="1:9" ht="52.2" x14ac:dyDescent="0.25">
      <c r="A103" s="16"/>
      <c r="B103" s="17">
        <v>99</v>
      </c>
      <c r="C103" s="2" t="b">
        <f ca="1">IFERROR(__xludf.DUMMYFUNCTION("""COMPUTED_VALUE"""),FALSE)</f>
        <v>0</v>
      </c>
      <c r="D103" s="2">
        <f ca="1">IFERROR(__xludf.DUMMYFUNCTION("""COMPUTED_VALUE"""),200)</f>
        <v>200</v>
      </c>
      <c r="E103" s="2" t="str">
        <f ca="1">IFERROR(__xludf.DUMMYFUNCTION("""COMPUTED_VALUE"""),"Milker")</f>
        <v>Milker</v>
      </c>
      <c r="F103" s="2" t="str">
        <f ca="1">IFERROR(__xludf.DUMMYFUNCTION("""COMPUTED_VALUE"""),"Winger’s World")</f>
        <v>Winger’s World</v>
      </c>
      <c r="G103" s="2" t="str">
        <f ca="1">IFERROR(__xludf.DUMMYFUNCTION("""COMPUTED_VALUE"""),"Porn &amp; Paraphernalia")</f>
        <v>Porn &amp; Paraphernalia</v>
      </c>
      <c r="H103" s="2" t="str">
        <f ca="1">IFERROR(__xludf.DUMMYFUNCTION("""COMPUTED_VALUE"""),"A special machine meant to milk the sexual fluids from the body. A tube for the dick, a pair of cups for the breast, and an extra absorbent dildo for the vagina. Capable of handling liters per second of fluid. As a bonus, the containers in the pumps are t"&amp;"he perfect size to fit in a Winger Generator.")</f>
        <v>A special machine meant to milk the sexual fluids from the body. A tube for the dick, a pair of cups for the breast, and an extra absorbent dildo for the vagina. Capable of handling liters per second of fluid. As a bonus, the containers in the pumps are the perfect size to fit in a Winger Generator.</v>
      </c>
      <c r="I103" s="5"/>
    </row>
    <row r="104" spans="1:9" ht="52.2" x14ac:dyDescent="0.25">
      <c r="A104" s="16"/>
      <c r="B104" s="17">
        <v>100</v>
      </c>
      <c r="C104" s="2" t="b">
        <f ca="1">IFERROR(__xludf.DUMMYFUNCTION("""COMPUTED_VALUE"""),FALSE)</f>
        <v>0</v>
      </c>
      <c r="D104" s="2">
        <f ca="1">IFERROR(__xludf.DUMMYFUNCTION("""COMPUTED_VALUE"""),200)</f>
        <v>200</v>
      </c>
      <c r="E104" s="2" t="str">
        <f ca="1">IFERROR(__xludf.DUMMYFUNCTION("""COMPUTED_VALUE"""),"Miracle Lube")</f>
        <v>Miracle Lube</v>
      </c>
      <c r="F104" s="2" t="str">
        <f ca="1">IFERROR(__xludf.DUMMYFUNCTION("""COMPUTED_VALUE"""),"Destiny: Fuck the Darkness")</f>
        <v>Destiny: Fuck the Darkness</v>
      </c>
      <c r="G104" s="2" t="str">
        <f ca="1">IFERROR(__xludf.DUMMYFUNCTION("""COMPUTED_VALUE"""),"Porn &amp; Paraphernalia")</f>
        <v>Porn &amp; Paraphernalia</v>
      </c>
      <c r="H104" s="2" t="str">
        <f ca="1">IFERROR(__xludf.DUMMYFUNCTION("""COMPUTED_VALUE"""),"Is that Hive Knight too tight because she’s never done it? Never fear, this small jar of white goop, which only looks like radiolaria, will get the job done. Seriously, you could fit a Cadillac into a dog house with this stuff... And of course that’s what"&amp;" you’re working with, right? Refills itself every week.")</f>
        <v>Is that Hive Knight too tight because she’s never done it? Never fear, this small jar of white goop, which only looks like radiolaria, will get the job done. Seriously, you could fit a Cadillac into a dog house with this stuff... And of course that’s what you’re working with, right? Refills itself every week.</v>
      </c>
      <c r="I104" s="5"/>
    </row>
    <row r="105" spans="1:9" ht="139.19999999999999" x14ac:dyDescent="0.25">
      <c r="A105" s="16"/>
      <c r="B105" s="17">
        <v>101</v>
      </c>
      <c r="C105" s="2" t="b">
        <f ca="1">IFERROR(__xludf.DUMMYFUNCTION("""COMPUTED_VALUE"""),FALSE)</f>
        <v>0</v>
      </c>
      <c r="D105" s="2">
        <f ca="1">IFERROR(__xludf.DUMMYFUNCTION("""COMPUTED_VALUE"""),200)</f>
        <v>200</v>
      </c>
      <c r="E105" s="2" t="str">
        <f ca="1">IFERROR(__xludf.DUMMYFUNCTION("""COMPUTED_VALUE"""),"Nabe Hot Pot")</f>
        <v>Nabe Hot Pot</v>
      </c>
      <c r="F105" s="2" t="str">
        <f ca="1">IFERROR(__xludf.DUMMYFUNCTION("""COMPUTED_VALUE"""),"Bokunchi No Mikage-san")</f>
        <v>Bokunchi No Mikage-san</v>
      </c>
      <c r="G105" s="2" t="str">
        <f ca="1">IFERROR(__xludf.DUMMYFUNCTION("""COMPUTED_VALUE"""),"Porn &amp; Paraphernalia")</f>
        <v>Porn &amp; Paraphernalia</v>
      </c>
      <c r="H105" s="2" t="str">
        <f ca="1">IFERROR(__xludf.DUMMYFUNCTION("""COMPUTED_VALUE"""),"This is a bowl of nabe, a type of Japanese hot pot. By itself it is a generic, but endless, supply of the stuff. However, by adding ingredients into the pot, it will change the makeup of the nabe, incorporating the ingredient into itself in the best possi"&amp;"ble way and providing a likewise infinite supply of the modified nabe. If you want to “reset” the nabe, just dump out the pot; if you try to dump it out, it is no longer endless, but just a normal pot. When you set it right-side up again, it will refill a"&amp;"s its basic “plain” nabe, ready to be upgraded again. Any ingredients added to the nabe will retain any special properties they may possess, even if they wouldn’t normally have them after being cooked.")</f>
        <v>This is a bowl of nabe, a type of Japanese hot pot. By itself it is a generic, but endless, supply of the stuff. However, by adding ingredients into the pot, it will change the makeup of the nabe, incorporating the ingredient into itself in the best possible way and providing a likewise infinite supply of the modified nabe. If you want to “reset” the nabe, just dump out the pot; if you try to dump it out, it is no longer endless, but just a normal pot. When you set it right-side up again, it will refill as its basic “plain” nabe, ready to be upgraded again. Any ingredients added to the nabe will retain any special properties they may possess, even if they wouldn’t normally have them after being cooked.</v>
      </c>
      <c r="I105" s="5"/>
    </row>
    <row r="106" spans="1:9" ht="34.799999999999997" x14ac:dyDescent="0.25">
      <c r="A106" s="16"/>
      <c r="B106" s="17">
        <v>102</v>
      </c>
      <c r="C106" s="2" t="b">
        <f ca="1">IFERROR(__xludf.DUMMYFUNCTION("""COMPUTED_VALUE"""),FALSE)</f>
        <v>0</v>
      </c>
      <c r="D106" s="2">
        <f ca="1">IFERROR(__xludf.DUMMYFUNCTION("""COMPUTED_VALUE"""),200)</f>
        <v>200</v>
      </c>
      <c r="E106" s="2" t="str">
        <f ca="1">IFERROR(__xludf.DUMMYFUNCTION("""COMPUTED_VALUE"""),"Paralysis Drug")</f>
        <v>Paralysis Drug</v>
      </c>
      <c r="F106" s="2" t="str">
        <f ca="1">IFERROR(__xludf.DUMMYFUNCTION("""COMPUTED_VALUE"""),"Bokunchi No Mikage-san")</f>
        <v>Bokunchi No Mikage-san</v>
      </c>
      <c r="G106" s="2" t="str">
        <f ca="1">IFERROR(__xludf.DUMMYFUNCTION("""COMPUTED_VALUE"""),"Porn &amp; Paraphernalia")</f>
        <v>Porn &amp; Paraphernalia</v>
      </c>
      <c r="H106" s="2" t="str">
        <f ca="1">IFERROR(__xludf.DUMMYFUNCTION("""COMPUTED_VALUE"""),"This is a simple oral pill; once swallowed, it will induce muscle paralysis across most of the body, leaving vital organs, as well as the head, untouched.")</f>
        <v>This is a simple oral pill; once swallowed, it will induce muscle paralysis across most of the body, leaving vital organs, as well as the head, untouched.</v>
      </c>
      <c r="I106" s="5"/>
    </row>
    <row r="107" spans="1:9" ht="87" x14ac:dyDescent="0.25">
      <c r="A107" s="16"/>
      <c r="B107" s="17">
        <v>103</v>
      </c>
      <c r="C107" s="2" t="b">
        <f ca="1">IFERROR(__xludf.DUMMYFUNCTION("""COMPUTED_VALUE"""),FALSE)</f>
        <v>0</v>
      </c>
      <c r="D107" s="2">
        <f ca="1">IFERROR(__xludf.DUMMYFUNCTION("""COMPUTED_VALUE"""),200)</f>
        <v>200</v>
      </c>
      <c r="E107" s="2" t="str">
        <f ca="1">IFERROR(__xludf.DUMMYFUNCTION("""COMPUTED_VALUE"""),"Photogenic")</f>
        <v>Photogenic</v>
      </c>
      <c r="F107" s="2" t="str">
        <f ca="1">IFERROR(__xludf.DUMMYFUNCTION("""COMPUTED_VALUE"""),"High Tail Hall")</f>
        <v>High Tail Hall</v>
      </c>
      <c r="G107" s="2" t="str">
        <f ca="1">IFERROR(__xludf.DUMMYFUNCTION("""COMPUTED_VALUE"""),"Porn &amp; Paraphernalia")</f>
        <v>Porn &amp; Paraphernalia</v>
      </c>
      <c r="H107" s="2" t="str">
        <f ca="1">IFERROR(__xludf.DUMMYFUNCTION("""COMPUTED_VALUE"""),"No matter what situation you’re in or what angle people look at you from, you are as attractive as you can possibly be. Not only do cameras always show your best side (Which is pretty much every side) simply looking at you is like looking at a perfect pin"&amp;"-up poster. No matter the position of the sun, the lighting of the room, or any part of your surroundings, you will always look absolutely amazing. You’re also a wizard at making and selling sex tapes.")</f>
        <v>No matter what situation you’re in or what angle people look at you from, you are as attractive as you can possibly be. Not only do cameras always show your best side (Which is pretty much every side) simply looking at you is like looking at a perfect pin-up poster. No matter the position of the sun, the lighting of the room, or any part of your surroundings, you will always look absolutely amazing. You’re also a wizard at making and selling sex tapes.</v>
      </c>
      <c r="I107" s="5"/>
    </row>
    <row r="108" spans="1:9" ht="104.4" x14ac:dyDescent="0.25">
      <c r="A108" s="16"/>
      <c r="B108" s="17">
        <v>104</v>
      </c>
      <c r="C108" s="2" t="b">
        <f ca="1">IFERROR(__xludf.DUMMYFUNCTION("""COMPUTED_VALUE"""),FALSE)</f>
        <v>0</v>
      </c>
      <c r="D108" s="2">
        <f ca="1">IFERROR(__xludf.DUMMYFUNCTION("""COMPUTED_VALUE"""),200)</f>
        <v>200</v>
      </c>
      <c r="E108" s="2" t="str">
        <f ca="1">IFERROR(__xludf.DUMMYFUNCTION("""COMPUTED_VALUE"""),"Pink Glowing Stone")</f>
        <v>Pink Glowing Stone</v>
      </c>
      <c r="F108" s="2" t="str">
        <f ca="1">IFERROR(__xludf.DUMMYFUNCTION("""COMPUTED_VALUE"""),"Generic: Hentai Superheroes")</f>
        <v>Generic: Hentai Superheroes</v>
      </c>
      <c r="G108" s="2" t="str">
        <f ca="1">IFERROR(__xludf.DUMMYFUNCTION("""COMPUTED_VALUE"""),"Porn &amp; Paraphernalia")</f>
        <v>Porn &amp; Paraphernalia</v>
      </c>
      <c r="H108" s="2" t="str">
        <f ca="1">IFERROR(__xludf.DUMMYFUNCTION("""COMPUTED_VALUE"""),"A strange stone from outer space. Its radioactive, though not poisonous. Rather, anyone exposed to its radiation without proper protection will find themselves getting more and more aroused, quickly losing control and going into a sexual frenzy. Worse, if"&amp;" the stone should come into contact with a person’s skin, the person’s primary and secondary sexual characteristics would grow as long as contact is maintained. Effects wear off in about an hour after exposure is stopped. If lost or destroyed, a new one w"&amp;"ill appear in your warehouse in a week, enclosed in a secure lead box")</f>
        <v>A strange stone from outer space. Its radioactive, though not poisonous. Rather, anyone exposed to its radiation without proper protection will find themselves getting more and more aroused, quickly losing control and going into a sexual frenzy. Worse, if the stone should come into contact with a person’s skin, the person’s primary and secondary sexual characteristics would grow as long as contact is maintained. Effects wear off in about an hour after exposure is stopped. If lost or destroyed, a new one will appear in your warehouse in a week, enclosed in a secure lead box</v>
      </c>
      <c r="I108" s="5"/>
    </row>
    <row r="109" spans="1:9" ht="69.599999999999994" x14ac:dyDescent="0.25">
      <c r="A109" s="16"/>
      <c r="B109" s="17">
        <v>105</v>
      </c>
      <c r="C109" s="2" t="b">
        <f ca="1">IFERROR(__xludf.DUMMYFUNCTION("""COMPUTED_VALUE"""),FALSE)</f>
        <v>0</v>
      </c>
      <c r="D109" s="2">
        <f ca="1">IFERROR(__xludf.DUMMYFUNCTION("""COMPUTED_VALUE"""),200)</f>
        <v>200</v>
      </c>
      <c r="E109" s="2" t="str">
        <f ca="1">IFERROR(__xludf.DUMMYFUNCTION("""COMPUTED_VALUE"""),"Plus Ultra Undies")</f>
        <v>Plus Ultra Undies</v>
      </c>
      <c r="F109" s="2" t="str">
        <f ca="1">IFERROR(__xludf.DUMMYFUNCTION("""COMPUTED_VALUE"""),"Boku To Nottori Nakademia")</f>
        <v>Boku To Nottori Nakademia</v>
      </c>
      <c r="G109" s="2" t="str">
        <f ca="1">IFERROR(__xludf.DUMMYFUNCTION("""COMPUTED_VALUE"""),"Porn &amp; Paraphernalia")</f>
        <v>Porn &amp; Paraphernalia</v>
      </c>
      <c r="H109" s="2" t="str">
        <f ca="1">IFERROR(__xludf.DUMMYFUNCTION("""COMPUTED_VALUE"""),"The problem with being in such enticing situations is how your pants tend to get very uncomfortable very quickly. Say no more! This set of underwear decorated with All Might’s face (How did that get past legal!?) is rated for Plus-Ultra size erections, ab"&amp;"le to contain them without crushing pain or broken waistbands! It can also highlight them in very tempting ways, even through clothing.")</f>
        <v>The problem with being in such enticing situations is how your pants tend to get very uncomfortable very quickly. Say no more! This set of underwear decorated with All Might’s face (How did that get past legal!?) is rated for Plus-Ultra size erections, able to contain them without crushing pain or broken waistbands! It can also highlight them in very tempting ways, even through clothing.</v>
      </c>
      <c r="I109" s="5"/>
    </row>
    <row r="110" spans="1:9" ht="87" x14ac:dyDescent="0.25">
      <c r="A110" s="16"/>
      <c r="B110" s="17">
        <v>106</v>
      </c>
      <c r="C110" s="2" t="b">
        <f ca="1">IFERROR(__xludf.DUMMYFUNCTION("""COMPUTED_VALUE"""),FALSE)</f>
        <v>0</v>
      </c>
      <c r="D110" s="2">
        <f ca="1">IFERROR(__xludf.DUMMYFUNCTION("""COMPUTED_VALUE"""),200)</f>
        <v>200</v>
      </c>
      <c r="E110" s="2" t="str">
        <f ca="1">IFERROR(__xludf.DUMMYFUNCTION("""COMPUTED_VALUE"""),"Robot Buddy")</f>
        <v>Robot Buddy</v>
      </c>
      <c r="F110" s="2" t="str">
        <f ca="1">IFERROR(__xludf.DUMMYFUNCTION("""COMPUTED_VALUE"""),"Generic: Lewd Science Fiction")</f>
        <v>Generic: Lewd Science Fiction</v>
      </c>
      <c r="G110" s="2" t="str">
        <f ca="1">IFERROR(__xludf.DUMMYFUNCTION("""COMPUTED_VALUE"""),"Porn &amp; Paraphernalia")</f>
        <v>Porn &amp; Paraphernalia</v>
      </c>
      <c r="H110" s="2" t="str">
        <f ca="1">IFERROR(__xludf.DUMMYFUNCTION("""COMPUTED_VALUE"""),"A somewhat adorable second-hand robot of your own design. It’s got quite the toolkit of utility features like hologram projectors, long-range sensors and tool hands, but explorers like you should keep it around for two reasons: one, this little guy will d"&amp;"ownload and store any and all porn it can link its databases to, and secondly is just the kind of bumbling sidekick that makes a fantastic wingman.")</f>
        <v>A somewhat adorable second-hand robot of your own design. It’s got quite the toolkit of utility features like hologram projectors, long-range sensors and tool hands, but explorers like you should keep it around for two reasons: one, this little guy will download and store any and all porn it can link its databases to, and secondly is just the kind of bumbling sidekick that makes a fantastic wingman.</v>
      </c>
      <c r="I110" s="5"/>
    </row>
    <row r="111" spans="1:9" ht="104.4" x14ac:dyDescent="0.25">
      <c r="A111" s="16"/>
      <c r="B111" s="17">
        <v>107</v>
      </c>
      <c r="C111" s="2" t="b">
        <f ca="1">IFERROR(__xludf.DUMMYFUNCTION("""COMPUTED_VALUE"""),FALSE)</f>
        <v>0</v>
      </c>
      <c r="D111" s="2">
        <f ca="1">IFERROR(__xludf.DUMMYFUNCTION("""COMPUTED_VALUE"""),200)</f>
        <v>200</v>
      </c>
      <c r="E111" s="2" t="str">
        <f ca="1">IFERROR(__xludf.DUMMYFUNCTION("""COMPUTED_VALUE"""),"Saint Killer")</f>
        <v>Saint Killer</v>
      </c>
      <c r="F111" s="2" t="str">
        <f ca="1">IFERROR(__xludf.DUMMYFUNCTION("""COMPUTED_VALUE"""),"Princess Sacrifice")</f>
        <v>Princess Sacrifice</v>
      </c>
      <c r="G111" s="2" t="str">
        <f ca="1">IFERROR(__xludf.DUMMYFUNCTION("""COMPUTED_VALUE"""),"Porn &amp; Paraphernalia")</f>
        <v>Porn &amp; Paraphernalia</v>
      </c>
      <c r="H111" s="2" t="str">
        <f ca="1">IFERROR(__xludf.DUMMYFUNCTION("""COMPUTED_VALUE"""),"A bondage harness that can fit under clothing, the Saint Killer is cursed attire that cannot be removed unless the owner of the harness wills it. This makes it the perfect outfit to humiliate and weaken captives. The Saint Killer also has two vibrating di"&amp;"ldos in the panties of the harness. Powered by magic and willed by the owner of the harness, they are used for tormenting the one who wears it. It is also quite accommodating to the owner and anyone who wants to enjoy the victim of the Saint Killer, often"&amp;" allowing the dildos to vanish in order for the victim to be ravished.")</f>
        <v>A bondage harness that can fit under clothing, the Saint Killer is cursed attire that cannot be removed unless the owner of the harness wills it. This makes it the perfect outfit to humiliate and weaken captives. The Saint Killer also has two vibrating dildos in the panties of the harness. Powered by magic and willed by the owner of the harness, they are used for tormenting the one who wears it. It is also quite accommodating to the owner and anyone who wants to enjoy the victim of the Saint Killer, often allowing the dildos to vanish in order for the victim to be ravished.</v>
      </c>
      <c r="I111" s="5"/>
    </row>
    <row r="112" spans="1:9" ht="87" x14ac:dyDescent="0.25">
      <c r="A112" s="16"/>
      <c r="B112" s="17">
        <v>108</v>
      </c>
      <c r="C112" s="2" t="b">
        <f ca="1">IFERROR(__xludf.DUMMYFUNCTION("""COMPUTED_VALUE"""),FALSE)</f>
        <v>0</v>
      </c>
      <c r="D112" s="2">
        <f ca="1">IFERROR(__xludf.DUMMYFUNCTION("""COMPUTED_VALUE"""),200)</f>
        <v>200</v>
      </c>
      <c r="E112" s="2" t="str">
        <f ca="1">IFERROR(__xludf.DUMMYFUNCTION("""COMPUTED_VALUE"""),"Schrodinger's Bodysuit")</f>
        <v>Schrodinger's Bodysuit</v>
      </c>
      <c r="F112" s="2" t="str">
        <f ca="1">IFERROR(__xludf.DUMMYFUNCTION("""COMPUTED_VALUE"""),"Nyakumi")</f>
        <v>Nyakumi</v>
      </c>
      <c r="G112" s="2" t="str">
        <f ca="1">IFERROR(__xludf.DUMMYFUNCTION("""COMPUTED_VALUE"""),"Porn &amp; Paraphernalia")</f>
        <v>Porn &amp; Paraphernalia</v>
      </c>
      <c r="H112" s="2" t="str">
        <f ca="1">IFERROR(__xludf.DUMMYFUNCTION("""COMPUTED_VALUE"""),"This shiny bodysuit is practically painted onto your body, deliciously showing off your curves and/or muscles to anyone who cares to look. Yet somehow, it’s also able to hide cocks perfectly, leaving a smooth surface as if the dick doesn’t even exist. If "&amp;"you like, you can turn this function off at will, revealing your bulge in all of its glory and even drawing viewers’ attention to it like moths to a flame. If the suit ever gets damaged, it will slowly repair itself over the course of a day or so.")</f>
        <v>This shiny bodysuit is practically painted onto your body, deliciously showing off your curves and/or muscles to anyone who cares to look. Yet somehow, it’s also able to hide cocks perfectly, leaving a smooth surface as if the dick doesn’t even exist. If you like, you can turn this function off at will, revealing your bulge in all of its glory and even drawing viewers’ attention to it like moths to a flame. If the suit ever gets damaged, it will slowly repair itself over the course of a day or so.</v>
      </c>
      <c r="I112" s="5"/>
    </row>
    <row r="113" spans="1:9" ht="87" x14ac:dyDescent="0.25">
      <c r="A113" s="16"/>
      <c r="B113" s="17">
        <v>109</v>
      </c>
      <c r="C113" s="2" t="b">
        <f ca="1">IFERROR(__xludf.DUMMYFUNCTION("""COMPUTED_VALUE"""),FALSE)</f>
        <v>0</v>
      </c>
      <c r="D113" s="2">
        <f ca="1">IFERROR(__xludf.DUMMYFUNCTION("""COMPUTED_VALUE"""),200)</f>
        <v>200</v>
      </c>
      <c r="E113" s="2" t="str">
        <f ca="1">IFERROR(__xludf.DUMMYFUNCTION("""COMPUTED_VALUE"""),"Setting the Mood")</f>
        <v>Setting the Mood</v>
      </c>
      <c r="F113" s="2" t="str">
        <f ca="1">IFERROR(__xludf.DUMMYFUNCTION("""COMPUTED_VALUE"""),"Ane Naru Mono")</f>
        <v>Ane Naru Mono</v>
      </c>
      <c r="G113" s="2" t="str">
        <f ca="1">IFERROR(__xludf.DUMMYFUNCTION("""COMPUTED_VALUE"""),"Porn &amp; Paraphernalia")</f>
        <v>Porn &amp; Paraphernalia</v>
      </c>
      <c r="H113" s="2" t="str">
        <f ca="1">IFERROR(__xludf.DUMMYFUNCTION("""COMPUTED_VALUE"""),"I’m not 100% sure how or why a demon has these, but you have a small closet full of cosplay outfits. That said, they’re magic. Wearing these naughty outfits will automatically make you more skilled at your so-called job - the naughty nurse might suddenly "&amp;"know a few basic medical skills, though only for as long as she wore the outfit. But, more importantly is that wearing the outfits helps you act in a manner befitting that outfit… well, in a perverse parody of itself.")</f>
        <v>I’m not 100% sure how or why a demon has these, but you have a small closet full of cosplay outfits. That said, they’re magic. Wearing these naughty outfits will automatically make you more skilled at your so-called job - the naughty nurse might suddenly know a few basic medical skills, though only for as long as she wore the outfit. But, more importantly is that wearing the outfits helps you act in a manner befitting that outfit… well, in a perverse parody of itself.</v>
      </c>
      <c r="I113" s="5"/>
    </row>
    <row r="114" spans="1:9" ht="87" x14ac:dyDescent="0.25">
      <c r="A114" s="16"/>
      <c r="B114" s="17">
        <v>110</v>
      </c>
      <c r="C114" s="2" t="b">
        <f ca="1">IFERROR(__xludf.DUMMYFUNCTION("""COMPUTED_VALUE"""),FALSE)</f>
        <v>0</v>
      </c>
      <c r="D114" s="2">
        <f ca="1">IFERROR(__xludf.DUMMYFUNCTION("""COMPUTED_VALUE"""),200)</f>
        <v>200</v>
      </c>
      <c r="E114" s="2" t="str">
        <f ca="1">IFERROR(__xludf.DUMMYFUNCTION("""COMPUTED_VALUE"""),"Sinister Black Gloves")</f>
        <v>Sinister Black Gloves</v>
      </c>
      <c r="F114" s="2" t="str">
        <f ca="1">IFERROR(__xludf.DUMMYFUNCTION("""COMPUTED_VALUE"""),"Monster Girl Dreams 1.3 - The Pre-Capitol Update")</f>
        <v>Monster Girl Dreams 1.3 - The Pre-Capitol Update</v>
      </c>
      <c r="G114" s="2" t="str">
        <f ca="1">IFERROR(__xludf.DUMMYFUNCTION("""COMPUTED_VALUE"""),"Porn &amp; Paraphernalia")</f>
        <v>Porn &amp; Paraphernalia</v>
      </c>
      <c r="H114" s="2" t="str">
        <f ca="1">IFERROR(__xludf.DUMMYFUNCTION("""COMPUTED_VALUE"""),"Likely made by Dark Elves, the enchantment on these gloves seem perfectly designed for someone with more dominant tastes, amplifying the sensations you inflict on your victims while limiting the damage you cause. In a place like Lucidia, where deliberate "&amp;"damage is impossible anyway, they can be surprisingly effective weapons in the right hands.")</f>
        <v>Likely made by Dark Elves, the enchantment on these gloves seem perfectly designed for someone with more dominant tastes, amplifying the sensations you inflict on your victims while limiting the damage you cause. In a place like Lucidia, where deliberate damage is impossible anyway, they can be surprisingly effective weapons in the right hands.</v>
      </c>
      <c r="I114" s="5"/>
    </row>
    <row r="115" spans="1:9" ht="52.2" x14ac:dyDescent="0.25">
      <c r="A115" s="16"/>
      <c r="B115" s="17">
        <v>111</v>
      </c>
      <c r="C115" s="2" t="b">
        <f ca="1">IFERROR(__xludf.DUMMYFUNCTION("""COMPUTED_VALUE"""),FALSE)</f>
        <v>0</v>
      </c>
      <c r="D115" s="2">
        <f ca="1">IFERROR(__xludf.DUMMYFUNCTION("""COMPUTED_VALUE"""),200)</f>
        <v>200</v>
      </c>
      <c r="E115" s="2" t="str">
        <f ca="1">IFERROR(__xludf.DUMMYFUNCTION("""COMPUTED_VALUE"""),"Super Aphrodisiac Tentacloid")</f>
        <v>Super Aphrodisiac Tentacloid</v>
      </c>
      <c r="F115" s="2" t="str">
        <f ca="1">IFERROR(__xludf.DUMMYFUNCTION("""COMPUTED_VALUE"""),"Carbon Pink")</f>
        <v>Carbon Pink</v>
      </c>
      <c r="G115" s="2" t="str">
        <f ca="1">IFERROR(__xludf.DUMMYFUNCTION("""COMPUTED_VALUE"""),"Porn &amp; Paraphernalia")</f>
        <v>Porn &amp; Paraphernalia</v>
      </c>
      <c r="H115" s="2" t="str">
        <f ca="1">IFERROR(__xludf.DUMMYFUNCTION("""COMPUTED_VALUE"""),"This is a tentacle creature covered in an assortment of aphrodisiacs from the J.A.V research labs and is about the size of a small cat. If this thing crawls into your ass, you’ll probably end up around twelve seconds from asking it to marry you.")</f>
        <v>This is a tentacle creature covered in an assortment of aphrodisiacs from the J.A.V research labs and is about the size of a small cat. If this thing crawls into your ass, you’ll probably end up around twelve seconds from asking it to marry you.</v>
      </c>
      <c r="I115" s="5"/>
    </row>
    <row r="116" spans="1:9" ht="87" x14ac:dyDescent="0.25">
      <c r="A116" s="16"/>
      <c r="B116" s="17">
        <v>112</v>
      </c>
      <c r="C116" s="2" t="b">
        <f ca="1">IFERROR(__xludf.DUMMYFUNCTION("""COMPUTED_VALUE"""),FALSE)</f>
        <v>0</v>
      </c>
      <c r="D116" s="2">
        <f ca="1">IFERROR(__xludf.DUMMYFUNCTION("""COMPUTED_VALUE"""),200)</f>
        <v>200</v>
      </c>
      <c r="E116" s="2" t="str">
        <f ca="1">IFERROR(__xludf.DUMMYFUNCTION("""COMPUTED_VALUE"""),"Super Powered Toys")</f>
        <v>Super Powered Toys</v>
      </c>
      <c r="F116" s="2" t="str">
        <f ca="1">IFERROR(__xludf.DUMMYFUNCTION("""COMPUTED_VALUE"""),"Generic: Hentai Superheroes")</f>
        <v>Generic: Hentai Superheroes</v>
      </c>
      <c r="G116" s="2" t="str">
        <f ca="1">IFERROR(__xludf.DUMMYFUNCTION("""COMPUTED_VALUE"""),"Porn &amp; Paraphernalia")</f>
        <v>Porn &amp; Paraphernalia</v>
      </c>
      <c r="H116" s="2" t="str">
        <f ca="1">IFERROR(__xludf.DUMMYFUNCTION("""COMPUTED_VALUE"""),"This box comes with a whole assortment of sex toys. From shapeshifting condoms, to dildos that will fill any hole. Onaholes that can mimic the vagina of any girl whose dna is placed in the little side container. There are even vibrators possessed by the s"&amp;"ouls of succubi, that want nothing more than to keep you orgasming. Everything for the lonely horny superhero. If any of the toys break, are stolen, or disappear, a new one appears in the box. They are all dishwasher safe.")</f>
        <v>This box comes with a whole assortment of sex toys. From shapeshifting condoms, to dildos that will fill any hole. Onaholes that can mimic the vagina of any girl whose dna is placed in the little side container. There are even vibrators possessed by the souls of succubi, that want nothing more than to keep you orgasming. Everything for the lonely horny superhero. If any of the toys break, are stolen, or disappear, a new one appears in the box. They are all dishwasher safe.</v>
      </c>
      <c r="I116" s="5"/>
    </row>
    <row r="117" spans="1:9" ht="104.4" x14ac:dyDescent="0.25">
      <c r="A117" s="16"/>
      <c r="B117" s="17">
        <v>113</v>
      </c>
      <c r="C117" s="2" t="b">
        <f ca="1">IFERROR(__xludf.DUMMYFUNCTION("""COMPUTED_VALUE"""),FALSE)</f>
        <v>0</v>
      </c>
      <c r="D117" s="2">
        <f ca="1">IFERROR(__xludf.DUMMYFUNCTION("""COMPUTED_VALUE"""),200)</f>
        <v>200</v>
      </c>
      <c r="E117" s="2" t="str">
        <f ca="1">IFERROR(__xludf.DUMMYFUNCTION("""COMPUTED_VALUE"""),"Sweet Sleeper's Cradle")</f>
        <v>Sweet Sleeper's Cradle</v>
      </c>
      <c r="F117" s="2" t="str">
        <f ca="1">IFERROR(__xludf.DUMMYFUNCTION("""COMPUTED_VALUE"""),"Generic: Incest")</f>
        <v>Generic: Incest</v>
      </c>
      <c r="G117" s="2" t="str">
        <f ca="1">IFERROR(__xludf.DUMMYFUNCTION("""COMPUTED_VALUE"""),"Porn &amp; Paraphernalia")</f>
        <v>Porn &amp; Paraphernalia</v>
      </c>
      <c r="H117" s="2" t="str">
        <f ca="1">IFERROR(__xludf.DUMMYFUNCTION("""COMPUTED_VALUE"""),"This bed will shapeshift to fit your particular aesthetics and needs. It is also luxuriantly comfortable and will always be the perfect mixture of firm and soft for anyone who rests on it, dynamically altering these aspects of itself to better suit whatev"&amp;"er 'activities' the bed is currently being used for. In addition, this bed will temporarily cure the insomnia of any who sleep on it, allowing them to sleep well with relatively pleasant dreams. The bed seems to have something of a mind of its own, delibe"&amp;"rately making itself uncomfortable to try and encourage you to get up in the morning.")</f>
        <v>This bed will shapeshift to fit your particular aesthetics and needs. It is also luxuriantly comfortable and will always be the perfect mixture of firm and soft for anyone who rests on it, dynamically altering these aspects of itself to better suit whatever 'activities' the bed is currently being used for. In addition, this bed will temporarily cure the insomnia of any who sleep on it, allowing them to sleep well with relatively pleasant dreams. The bed seems to have something of a mind of its own, deliberately making itself uncomfortable to try and encourage you to get up in the morning.</v>
      </c>
      <c r="I117" s="5"/>
    </row>
    <row r="118" spans="1:9" ht="174" x14ac:dyDescent="0.25">
      <c r="A118" s="16"/>
      <c r="B118" s="17">
        <v>114</v>
      </c>
      <c r="C118" s="2" t="b">
        <f ca="1">IFERROR(__xludf.DUMMYFUNCTION("""COMPUTED_VALUE"""),FALSE)</f>
        <v>0</v>
      </c>
      <c r="D118" s="2">
        <f ca="1">IFERROR(__xludf.DUMMYFUNCTION("""COMPUTED_VALUE"""),200)</f>
        <v>200</v>
      </c>
      <c r="E118" s="2" t="str">
        <f ca="1">IFERROR(__xludf.DUMMYFUNCTION("""COMPUTED_VALUE"""),"Tengirl Lifetime Purchase")</f>
        <v>Tengirl Lifetime Purchase</v>
      </c>
      <c r="F118" s="2" t="str">
        <f ca="1">IFERROR(__xludf.DUMMYFUNCTION("""COMPUTED_VALUE"""),"Elzikyuchi’s Dickgirls 2")</f>
        <v>Elzikyuchi’s Dickgirls 2</v>
      </c>
      <c r="G118" s="2" t="str">
        <f ca="1">IFERROR(__xludf.DUMMYFUNCTION("""COMPUTED_VALUE"""),"Porn &amp; Paraphernalia")</f>
        <v>Porn &amp; Paraphernalia</v>
      </c>
      <c r="H118" s="2" t="str">
        <f ca="1">IFERROR(__xludf.DUMMYFUNCTION("""COMPUTED_VALUE"""),"Having sex with other people is great, but what if you could make an entire person for the sole purpose of fucking? Introducing, Tengirl! For studs and sissies alike, tengirls are artificial partners made with a variety of body types and personalities to "&amp;"fulfill any fantasy and serve as life partners. Most people are content with just one, but what you have here is the potential to build an entire harem or stable of them for free. At first this only gives you the standard model, a blonde and somewhat musc"&amp;"ular dickgirl with no outstanding fetishes or preferences who simply acts as a very loyal and very loving girlfriend, but the company will send you a new model every year based on your feedback. You may send an older tengirl back if you eventually find ta"&amp;"king on new partners too troublesome or have them refitted into a new model if you actually grow emotionally attached, as well. ")</f>
        <v xml:space="preserve">Having sex with other people is great, but what if you could make an entire person for the sole purpose of fucking? Introducing, Tengirl! For studs and sissies alike, tengirls are artificial partners made with a variety of body types and personalities to fulfill any fantasy and serve as life partners. Most people are content with just one, but what you have here is the potential to build an entire harem or stable of them for free. At first this only gives you the standard model, a blonde and somewhat muscular dickgirl with no outstanding fetishes or preferences who simply acts as a very loyal and very loving girlfriend, but the company will send you a new model every year based on your feedback. You may send an older tengirl back if you eventually find taking on new partners too troublesome or have them refitted into a new model if you actually grow emotionally attached, as well. </v>
      </c>
      <c r="I118" s="5"/>
    </row>
    <row r="119" spans="1:9" ht="52.2" x14ac:dyDescent="0.25">
      <c r="A119" s="16"/>
      <c r="B119" s="17">
        <v>115</v>
      </c>
      <c r="C119" s="2" t="b">
        <f ca="1">IFERROR(__xludf.DUMMYFUNCTION("""COMPUTED_VALUE"""),FALSE)</f>
        <v>0</v>
      </c>
      <c r="D119" s="2">
        <f ca="1">IFERROR(__xludf.DUMMYFUNCTION("""COMPUTED_VALUE"""),200)</f>
        <v>200</v>
      </c>
      <c r="E119" s="2" t="str">
        <f ca="1">IFERROR(__xludf.DUMMYFUNCTION("""COMPUTED_VALUE"""),"The Colonel")</f>
        <v>The Colonel</v>
      </c>
      <c r="F119" s="2" t="str">
        <f ca="1">IFERROR(__xludf.DUMMYFUNCTION("""COMPUTED_VALUE"""),"Destiny: Fuck the Darkness")</f>
        <v>Destiny: Fuck the Darkness</v>
      </c>
      <c r="G119" s="2" t="str">
        <f ca="1">IFERROR(__xludf.DUMMYFUNCTION("""COMPUTED_VALUE"""),"Porn &amp; Paraphernalia")</f>
        <v>Porn &amp; Paraphernalia</v>
      </c>
      <c r="H119" s="2" t="str">
        <f ca="1">IFERROR(__xludf.DUMMYFUNCTION("""COMPUTED_VALUE"""),"It’s a dildo. A dildo sturdy enough to be used as a shank in an emergency. More importantly, its functions, everything you could ever want from a sex toy, respond to your mental commands. Great for occupying the front hole, while you plunder the booty.")</f>
        <v>It’s a dildo. A dildo sturdy enough to be used as a shank in an emergency. More importantly, its functions, everything you could ever want from a sex toy, respond to your mental commands. Great for occupying the front hole, while you plunder the booty.</v>
      </c>
      <c r="I119" s="5"/>
    </row>
    <row r="120" spans="1:9" ht="156.6" x14ac:dyDescent="0.25">
      <c r="A120" s="16"/>
      <c r="B120" s="17">
        <v>116</v>
      </c>
      <c r="C120" s="2" t="b">
        <f ca="1">IFERROR(__xludf.DUMMYFUNCTION("""COMPUTED_VALUE"""),FALSE)</f>
        <v>0</v>
      </c>
      <c r="D120" s="2">
        <f ca="1">IFERROR(__xludf.DUMMYFUNCTION("""COMPUTED_VALUE"""),200)</f>
        <v>200</v>
      </c>
      <c r="E120" s="2" t="str">
        <f ca="1">IFERROR(__xludf.DUMMYFUNCTION("""COMPUTED_VALUE"""),"The Kal'Sutra")</f>
        <v>The Kal'Sutra</v>
      </c>
      <c r="F120" s="2" t="str">
        <f ca="1">IFERROR(__xludf.DUMMYFUNCTION("""COMPUTED_VALUE"""),"A Change of Tactics V2.2")</f>
        <v>A Change of Tactics V2.2</v>
      </c>
      <c r="G120" s="2" t="str">
        <f ca="1">IFERROR(__xludf.DUMMYFUNCTION("""COMPUTED_VALUE"""),"Porn &amp; Paraphernalia")</f>
        <v>Porn &amp; Paraphernalia</v>
      </c>
      <c r="H120" s="2" t="str">
        <f ca="1">IFERROR(__xludf.DUMMYFUNCTION("""COMPUTED_VALUE"""),"Kal’Sutara: The Complete Guide to Lovemaking is a lavishly illustrated tome packed from cover to cover with everything there is to know about sex and eroticism, from the most basic mechanics to the specifics of individual fetishes to philosophical ruminat"&amp;"ions on the nature of love. After reading this tome, even the most innocent virgin could pleasure her partners with a degree of borrowed skill, and experienced lovers will find new tricks with every re-read. In particular, several chapters are devoted to "&amp;"the use of magic for erotic purposes, and a novice mage could use this book as a manual to train themselves to become an expert in perverse spellcraft. The book also updates itself in future jumps, adding new chapters to cover new subject material such as"&amp;" exotic races and new forms of magic to exploit.")</f>
        <v>Kal’Sutara: The Complete Guide to Lovemaking is a lavishly illustrated tome packed from cover to cover with everything there is to know about sex and eroticism, from the most basic mechanics to the specifics of individual fetishes to philosophical ruminations on the nature of love. After reading this tome, even the most innocent virgin could pleasure her partners with a degree of borrowed skill, and experienced lovers will find new tricks with every re-read. In particular, several chapters are devoted to the use of magic for erotic purposes, and a novice mage could use this book as a manual to train themselves to become an expert in perverse spellcraft. The book also updates itself in future jumps, adding new chapters to cover new subject material such as exotic races and new forms of magic to exploit.</v>
      </c>
      <c r="I120" s="5"/>
    </row>
    <row r="121" spans="1:9" ht="87" x14ac:dyDescent="0.25">
      <c r="A121" s="16"/>
      <c r="B121" s="17">
        <v>117</v>
      </c>
      <c r="C121" s="2" t="b">
        <f ca="1">IFERROR(__xludf.DUMMYFUNCTION("""COMPUTED_VALUE"""),FALSE)</f>
        <v>0</v>
      </c>
      <c r="D121" s="2">
        <f ca="1">IFERROR(__xludf.DUMMYFUNCTION("""COMPUTED_VALUE"""),200)</f>
        <v>200</v>
      </c>
      <c r="E121" s="2" t="str">
        <f ca="1">IFERROR(__xludf.DUMMYFUNCTION("""COMPUTED_VALUE"""),"Top Quality Protein Rinse")</f>
        <v>Top Quality Protein Rinse</v>
      </c>
      <c r="F121" s="2" t="str">
        <f ca="1">IFERROR(__xludf.DUMMYFUNCTION("""COMPUTED_VALUE"""),"Bloom Pirate Hooker")</f>
        <v>Bloom Pirate Hooker</v>
      </c>
      <c r="G121" s="2" t="str">
        <f ca="1">IFERROR(__xludf.DUMMYFUNCTION("""COMPUTED_VALUE"""),"Porn &amp; Paraphernalia")</f>
        <v>Porn &amp; Paraphernalia</v>
      </c>
      <c r="H121" s="2" t="str">
        <f ca="1">IFERROR(__xludf.DUMMYFUNCTION("""COMPUTED_VALUE"""),"I’m not sure what use you could have for this, but you now have a collection of bottles, jars, and other containers. What's inside them? Cum. Lots and lots of cum. For whatever reason, this cum has the odd property of being incredibly healthy. You could e"&amp;"at it for every meal and have no issues. You could use it as a skin cleaner and have the softest skin around. You could use it as a suntan lotion and come out beautifully bronze. You get the idea, right?")</f>
        <v>I’m not sure what use you could have for this, but you now have a collection of bottles, jars, and other containers. What's inside them? Cum. Lots and lots of cum. For whatever reason, this cum has the odd property of being incredibly healthy. You could eat it for every meal and have no issues. You could use it as a skin cleaner and have the softest skin around. You could use it as a suntan lotion and come out beautifully bronze. You get the idea, right?</v>
      </c>
      <c r="I121" s="5"/>
    </row>
    <row r="122" spans="1:9" ht="87" x14ac:dyDescent="0.25">
      <c r="A122" s="16"/>
      <c r="B122" s="17">
        <v>118</v>
      </c>
      <c r="C122" s="2" t="b">
        <f ca="1">IFERROR(__xludf.DUMMYFUNCTION("""COMPUTED_VALUE"""),FALSE)</f>
        <v>0</v>
      </c>
      <c r="D122" s="2">
        <f ca="1">IFERROR(__xludf.DUMMYFUNCTION("""COMPUTED_VALUE"""),200)</f>
        <v>200</v>
      </c>
      <c r="E122" s="2" t="str">
        <f ca="1">IFERROR(__xludf.DUMMYFUNCTION("""COMPUTED_VALUE"""),"Training Vibrator")</f>
        <v>Training Vibrator</v>
      </c>
      <c r="F122" s="2" t="str">
        <f ca="1">IFERROR(__xludf.DUMMYFUNCTION("""COMPUTED_VALUE"""),"The NTR of Slutty Magical Girl Flan")</f>
        <v>The NTR of Slutty Magical Girl Flan</v>
      </c>
      <c r="G122" s="2" t="str">
        <f ca="1">IFERROR(__xludf.DUMMYFUNCTION("""COMPUTED_VALUE"""),"Porn &amp; Paraphernalia")</f>
        <v>Porn &amp; Paraphernalia</v>
      </c>
      <c r="H122" s="2" t="str">
        <f ca="1">IFERROR(__xludf.DUMMYFUNCTION("""COMPUTED_VALUE"""),"This black vibrator is actually made of processed tentacle monster flesh, and thus twists and squirms to rub up against its victim’s most sensitive spots. It can also take a variety of shapes, although by default it’ll take the form of your own (assuredly"&amp;" massive) cock. It even comes with an onahole with similar properties so you can link their movements. Perfect for training troublesome brats...or maybe just as a neat toy for a loving master and servant pair~.")</f>
        <v>This black vibrator is actually made of processed tentacle monster flesh, and thus twists and squirms to rub up against its victim’s most sensitive spots. It can also take a variety of shapes, although by default it’ll take the form of your own (assuredly massive) cock. It even comes with an onahole with similar properties so you can link their movements. Perfect for training troublesome brats...or maybe just as a neat toy for a loving master and servant pair~.</v>
      </c>
      <c r="I122" s="5"/>
    </row>
    <row r="123" spans="1:9" ht="278.39999999999998" x14ac:dyDescent="0.25">
      <c r="A123" s="16"/>
      <c r="B123" s="17">
        <v>119</v>
      </c>
      <c r="C123" s="2" t="b">
        <f ca="1">IFERROR(__xludf.DUMMYFUNCTION("""COMPUTED_VALUE"""),FALSE)</f>
        <v>0</v>
      </c>
      <c r="D123" s="2">
        <f ca="1">IFERROR(__xludf.DUMMYFUNCTION("""COMPUTED_VALUE"""),200)</f>
        <v>200</v>
      </c>
      <c r="E123" s="2" t="str">
        <f ca="1">IFERROR(__xludf.DUMMYFUNCTION("""COMPUTED_VALUE"""),"VR Loveseat")</f>
        <v>VR Loveseat</v>
      </c>
      <c r="F123" s="2" t="str">
        <f ca="1">IFERROR(__xludf.DUMMYFUNCTION("""COMPUTED_VALUE"""),"World of Cybersluts")</f>
        <v>World of Cybersluts</v>
      </c>
      <c r="G123" s="2" t="str">
        <f ca="1">IFERROR(__xludf.DUMMYFUNCTION("""COMPUTED_VALUE"""),"Porn &amp; Paraphernalia")</f>
        <v>Porn &amp; Paraphernalia</v>
      </c>
      <c r="H123" s="2" t="str">
        <f ca="1">IFERROR(__xludf.DUMMYFUNCTION("""COMPUTED_VALUE"""),"If you’re going to spend a good chunk of your time in cyberspace, you’re going to need more than a console and a Net connection. This comfortable recliner chair provides a comfortable seat to keep you from suffering too much in the way of body aches due t"&amp;"o staying motionless for long periods of time. The seat itself is wired up with a high-speed data connection, and comes with a set of additional accessories. First, a flattering and skin tight suit that helps regulate your body processes to allow you to s"&amp;"tay in full VR for longer, and which can give tactile feedback for augmented reality when you’re not deep diving.
Second, and more impressively, a full virtual reality helmet just in case you don’t have any cybernetics to let you dive into VR. You could "&amp;"plug the helmet into the chair’s connection or just use it separately if you already have a wireless connection. But even if you do have the ‘ware, you might still want to use the helmet for its secondary function. It can translate the digital world into "&amp;"more familiar (and sexual) settings, allowing you to interact with programs and similar things as if they were human-like entities. Expect everything in this version of cyberspace to be very sexy, and for your bedroom skills to be as useful as (or more th"&amp;"an) your hacking abilities if you try to penetrate security while using this.")</f>
        <v>If you’re going to spend a good chunk of your time in cyberspace, you’re going to need more than a console and a Net connection. This comfortable recliner chair provides a comfortable seat to keep you from suffering too much in the way of body aches due to staying motionless for long periods of time. The seat itself is wired up with a high-speed data connection, and comes with a set of additional accessories. First, a flattering and skin tight suit that helps regulate your body processes to allow you to stay in full VR for longer, and which can give tactile feedback for augmented reality when you’re not deep diving.
Second, and more impressively, a full virtual reality helmet just in case you don’t have any cybernetics to let you dive into VR. You could plug the helmet into the chair’s connection or just use it separately if you already have a wireless connection. But even if you do have the ‘ware, you might still want to use the helmet for its secondary function. It can translate the digital world into more familiar (and sexual) settings, allowing you to interact with programs and similar things as if they were human-like entities. Expect everything in this version of cyberspace to be very sexy, and for your bedroom skills to be as useful as (or more than) your hacking abilities if you try to penetrate security while using this.</v>
      </c>
      <c r="I123" s="5"/>
    </row>
    <row r="124" spans="1:9" ht="104.4" x14ac:dyDescent="0.25">
      <c r="A124" s="16"/>
      <c r="B124" s="17">
        <v>120</v>
      </c>
      <c r="C124" s="2" t="b">
        <f ca="1">IFERROR(__xludf.DUMMYFUNCTION("""COMPUTED_VALUE"""),FALSE)</f>
        <v>0</v>
      </c>
      <c r="D124" s="2">
        <f ca="1">IFERROR(__xludf.DUMMYFUNCTION("""COMPUTED_VALUE"""),300)</f>
        <v>300</v>
      </c>
      <c r="E124" s="2" t="str">
        <f ca="1">IFERROR(__xludf.DUMMYFUNCTION("""COMPUTED_VALUE"""),"Deep Pockets")</f>
        <v>Deep Pockets</v>
      </c>
      <c r="F124" s="2" t="str">
        <f ca="1">IFERROR(__xludf.DUMMYFUNCTION("""COMPUTED_VALUE"""),"High Tail Hall")</f>
        <v>High Tail Hall</v>
      </c>
      <c r="G124" s="2" t="str">
        <f ca="1">IFERROR(__xludf.DUMMYFUNCTION("""COMPUTED_VALUE"""),"Porn &amp; Paraphernalia")</f>
        <v>Porn &amp; Paraphernalia</v>
      </c>
      <c r="H124" s="2" t="str">
        <f ca="1">IFERROR(__xludf.DUMMYFUNCTION("""COMPUTED_VALUE"""),"Money and sex can sometimes go hand in hand, and nothing is worse than the blueballs you get from not being able to afford busting the perfect nut. Well lucky for you, money will never be an issue for you when it comes to sex. As long as what you’re buyin"&amp;"g is for sexual purposes, you’ve always got cash to burn on it. Prostitutes? You could buy every single one of them in the Red Light District and it’d be like you didn’t spend a cent. Commissioned porn? Literally no expense. Dildos and onaholes? It’s free"&amp;" baby! As long as sex is involved, it’s all free!")</f>
        <v>Money and sex can sometimes go hand in hand, and nothing is worse than the blueballs you get from not being able to afford busting the perfect nut. Well lucky for you, money will never be an issue for you when it comes to sex. As long as what you’re buying is for sexual purposes, you’ve always got cash to burn on it. Prostitutes? You could buy every single one of them in the Red Light District and it’d be like you didn’t spend a cent. Commissioned porn? Literally no expense. Dildos and onaholes? It’s free baby! As long as sex is involved, it’s all free!</v>
      </c>
      <c r="I124" s="5"/>
    </row>
    <row r="125" spans="1:9" ht="52.2" x14ac:dyDescent="0.25">
      <c r="A125" s="16"/>
      <c r="B125" s="17">
        <v>121</v>
      </c>
      <c r="C125" s="2" t="b">
        <f ca="1">IFERROR(__xludf.DUMMYFUNCTION("""COMPUTED_VALUE"""),FALSE)</f>
        <v>0</v>
      </c>
      <c r="D125" s="2">
        <f ca="1">IFERROR(__xludf.DUMMYFUNCTION("""COMPUTED_VALUE"""),300)</f>
        <v>300</v>
      </c>
      <c r="E125" s="2" t="str">
        <f ca="1">IFERROR(__xludf.DUMMYFUNCTION("""COMPUTED_VALUE"""),"Don't Tell Your Parents")</f>
        <v>Don't Tell Your Parents</v>
      </c>
      <c r="F125" s="2" t="str">
        <f ca="1">IFERROR(__xludf.DUMMYFUNCTION("""COMPUTED_VALUE"""),"Ashigei Shoujo Komura-san")</f>
        <v>Ashigei Shoujo Komura-san</v>
      </c>
      <c r="G125" s="2" t="str">
        <f ca="1">IFERROR(__xludf.DUMMYFUNCTION("""COMPUTED_VALUE"""),"Porn &amp; Paraphernalia")</f>
        <v>Porn &amp; Paraphernalia</v>
      </c>
      <c r="H125" s="2" t="str">
        <f ca="1">IFERROR(__xludf.DUMMYFUNCTION("""COMPUTED_VALUE"""),"No one will ever question your ownership of this unmarked van and license. Those close to you in age are bizarrely trusting of you in this, unless they already have reason to suspect you.")</f>
        <v>No one will ever question your ownership of this unmarked van and license. Those close to you in age are bizarrely trusting of you in this, unless they already have reason to suspect you.</v>
      </c>
      <c r="I125" s="5"/>
    </row>
    <row r="126" spans="1:9" ht="87" x14ac:dyDescent="0.25">
      <c r="A126" s="16"/>
      <c r="B126" s="17">
        <v>122</v>
      </c>
      <c r="C126" s="2" t="b">
        <f ca="1">IFERROR(__xludf.DUMMYFUNCTION("""COMPUTED_VALUE"""),FALSE)</f>
        <v>0</v>
      </c>
      <c r="D126" s="2">
        <f ca="1">IFERROR(__xludf.DUMMYFUNCTION("""COMPUTED_VALUE"""),300)</f>
        <v>300</v>
      </c>
      <c r="E126" s="2" t="str">
        <f ca="1">IFERROR(__xludf.DUMMYFUNCTION("""COMPUTED_VALUE"""),"Magical Toys")</f>
        <v>Magical Toys</v>
      </c>
      <c r="F126" s="2" t="str">
        <f ca="1">IFERROR(__xludf.DUMMYFUNCTION("""COMPUTED_VALUE"""),"Ishuzoku Reviewers")</f>
        <v>Ishuzoku Reviewers</v>
      </c>
      <c r="G126" s="2" t="str">
        <f ca="1">IFERROR(__xludf.DUMMYFUNCTION("""COMPUTED_VALUE"""),"Porn &amp; Paraphernalia")</f>
        <v>Porn &amp; Paraphernalia</v>
      </c>
      <c r="H126" s="2" t="str">
        <f ca="1">IFERROR(__xludf.DUMMYFUNCTION("""COMPUTED_VALUE"""),"Sometimes, you need a little something-something to help spice up the ol’ sex life. Thats where these babies come in. A collection of some of the best sex toys money can buy. From Magical Holes that feel like you are actually inside a mouth, vagina or anu"&amp;"s; to dildos that feel like a real cock is pounding the shit of you. Or for the truly adventurous, there’s Tentacles in a Bottle. Or the Ovipositor toys.")</f>
        <v>Sometimes, you need a little something-something to help spice up the ol’ sex life. Thats where these babies come in. A collection of some of the best sex toys money can buy. From Magical Holes that feel like you are actually inside a mouth, vagina or anus; to dildos that feel like a real cock is pounding the shit of you. Or for the truly adventurous, there’s Tentacles in a Bottle. Or the Ovipositor toys.</v>
      </c>
      <c r="I126" s="5"/>
    </row>
    <row r="127" spans="1:9" ht="226.2" x14ac:dyDescent="0.25">
      <c r="A127" s="16"/>
      <c r="B127" s="17">
        <v>123</v>
      </c>
      <c r="C127" s="2" t="b">
        <f ca="1">IFERROR(__xludf.DUMMYFUNCTION("""COMPUTED_VALUE"""),FALSE)</f>
        <v>0</v>
      </c>
      <c r="D127" s="2">
        <f ca="1">IFERROR(__xludf.DUMMYFUNCTION("""COMPUTED_VALUE"""),300)</f>
        <v>300</v>
      </c>
      <c r="E127" s="2" t="str">
        <f ca="1">IFERROR(__xludf.DUMMYFUNCTION("""COMPUTED_VALUE"""),"Porn Paydata")</f>
        <v>Porn Paydata</v>
      </c>
      <c r="F127" s="2" t="str">
        <f ca="1">IFERROR(__xludf.DUMMYFUNCTION("""COMPUTED_VALUE"""),"World of Cybersluts")</f>
        <v>World of Cybersluts</v>
      </c>
      <c r="G127" s="2" t="str">
        <f ca="1">IFERROR(__xludf.DUMMYFUNCTION("""COMPUTED_VALUE"""),"Porn &amp; Paraphernalia")</f>
        <v>Porn &amp; Paraphernalia</v>
      </c>
      <c r="H127" s="2" t="str">
        <f ca="1">IFERROR(__xludf.DUMMYFUNCTION("""COMPUTED_VALUE"""),"A veritable treasure trove of pornography suiting your tastes and fetishes, with a lifetime subscription to get fresh material monthly. They’re available in several media including the classic videos and images, as well as sensory recordings and better-th"&amp;"an-sex edits. 
Video and images should speak for themselves (though holographic versions are possible), but the rest might require some explanation. The sensory recordings are fully VR and allow you to experience the senses and emotions of the porn actor"&amp;" for yourself. Every bit of physical pleasure, every touch and emotion they felt during the scene will be something you’ll be able to feel for yourself. The BTS edits take those basic recordings and amp up all of the contents, intensifying the entire expe"&amp;"rience into something quite literally better than sex. Do be careful with those, or you might find reality paling in comparison. Lastly, you can put in requests for other porn you already own to be converted into VR recordings or even better-than-life ver"&amp;"sions, if you’d like to revisit old favorites. Comes with a complementary VR visor.")</f>
        <v>A veritable treasure trove of pornography suiting your tastes and fetishes, with a lifetime subscription to get fresh material monthly. They’re available in several media including the classic videos and images, as well as sensory recordings and better-than-sex edits. 
Video and images should speak for themselves (though holographic versions are possible), but the rest might require some explanation. The sensory recordings are fully VR and allow you to experience the senses and emotions of the porn actor for yourself. Every bit of physical pleasure, every touch and emotion they felt during the scene will be something you’ll be able to feel for yourself. The BTS edits take those basic recordings and amp up all of the contents, intensifying the entire experience into something quite literally better than sex. Do be careful with those, or you might find reality paling in comparison. Lastly, you can put in requests for other porn you already own to be converted into VR recordings or even better-than-life versions, if you’d like to revisit old favorites. Comes with a complementary VR visor.</v>
      </c>
      <c r="I127" s="5"/>
    </row>
    <row r="128" spans="1:9" ht="104.4" x14ac:dyDescent="0.25">
      <c r="A128" s="16"/>
      <c r="B128" s="17">
        <v>124</v>
      </c>
      <c r="C128" s="2" t="b">
        <f ca="1">IFERROR(__xludf.DUMMYFUNCTION("""COMPUTED_VALUE"""),FALSE)</f>
        <v>0</v>
      </c>
      <c r="D128" s="2">
        <f ca="1">IFERROR(__xludf.DUMMYFUNCTION("""COMPUTED_VALUE"""),300)</f>
        <v>300</v>
      </c>
      <c r="E128" s="2" t="str">
        <f ca="1">IFERROR(__xludf.DUMMYFUNCTION("""COMPUTED_VALUE"""),"Secret Photographs and Recordings")</f>
        <v>Secret Photographs and Recordings</v>
      </c>
      <c r="F128" s="2" t="str">
        <f ca="1">IFERROR(__xludf.DUMMYFUNCTION("""COMPUTED_VALUE"""),"Sei So Tsui Dan Sha")</f>
        <v>Sei So Tsui Dan Sha</v>
      </c>
      <c r="G128" s="2" t="str">
        <f ca="1">IFERROR(__xludf.DUMMYFUNCTION("""COMPUTED_VALUE"""),"Porn &amp; Paraphernalia")</f>
        <v>Porn &amp; Paraphernalia</v>
      </c>
      <c r="H128" s="2" t="str">
        <f ca="1">IFERROR(__xludf.DUMMYFUNCTION("""COMPUTED_VALUE"""),"A far less altruistic take on the phrase “hands-on research”. You have a large supply of cameras, recording devices that you can hide in virtually any scenery, with your actors being none the wiser. Oh, sorry, did I say “place”? I meant, suddenly material"&amp;"ize throughout a small area of your choosing, without any need to be there in person, the same goes for collecting the recorded data. You can only prep one area at a time like this, but the cameras are always placed in obscure places with a good viewing a"&amp;"ngle. By the way, in case I was being too vague, yes, this is for blackmail.")</f>
        <v>A far less altruistic take on the phrase “hands-on research”. You have a large supply of cameras, recording devices that you can hide in virtually any scenery, with your actors being none the wiser. Oh, sorry, did I say “place”? I meant, suddenly materialize throughout a small area of your choosing, without any need to be there in person, the same goes for collecting the recorded data. You can only prep one area at a time like this, but the cameras are always placed in obscure places with a good viewing angle. By the way, in case I was being too vague, yes, this is for blackmail.</v>
      </c>
      <c r="I128" s="5"/>
    </row>
    <row r="129" spans="1:10" ht="121.8" x14ac:dyDescent="0.25">
      <c r="A129" s="16"/>
      <c r="B129" s="17">
        <v>125</v>
      </c>
      <c r="C129" s="2" t="b">
        <f ca="1">IFERROR(__xludf.DUMMYFUNCTION("""COMPUTED_VALUE"""),FALSE)</f>
        <v>0</v>
      </c>
      <c r="D129" s="2">
        <f ca="1">IFERROR(__xludf.DUMMYFUNCTION("""COMPUTED_VALUE"""),300)</f>
        <v>300</v>
      </c>
      <c r="E129" s="2" t="str">
        <f ca="1">IFERROR(__xludf.DUMMYFUNCTION("""COMPUTED_VALUE"""),"Suspicious Bag")</f>
        <v>Suspicious Bag</v>
      </c>
      <c r="F129" s="2" t="str">
        <f ca="1">IFERROR(__xludf.DUMMYFUNCTION("""COMPUTED_VALUE"""),"Sei So Tsui Dan Sha")</f>
        <v>Sei So Tsui Dan Sha</v>
      </c>
      <c r="G129" s="2" t="str">
        <f ca="1">IFERROR(__xludf.DUMMYFUNCTION("""COMPUTED_VALUE"""),"Porn &amp; Paraphernalia")</f>
        <v>Porn &amp; Paraphernalia</v>
      </c>
      <c r="H129" s="2" t="str">
        <f ca="1">IFERROR(__xludf.DUMMYFUNCTION("""COMPUTED_VALUE"""),"From this small tote bag, you’re able to produce any real sex toy you can imagine, in any amount, as long as it can reasonably fit through the opening. This won’t produce anything where sexual pleasure is obviously the secondary function or value of the t"&amp;"oy, like pulling out weaponized dildos, or solid-gold buttpluggs. You can even pull out mundane drugs associated with sex, like poppers, viagra, or various weak aphrodisiacs. As an extension of the “sexual purposes only” clause, this bag will stop produci"&amp;"ng drugs once it becomes a very real of overdose for you, or whoever you’re sharing these drugs with.")</f>
        <v>From this small tote bag, you’re able to produce any real sex toy you can imagine, in any amount, as long as it can reasonably fit through the opening. This won’t produce anything where sexual pleasure is obviously the secondary function or value of the toy, like pulling out weaponized dildos, or solid-gold buttpluggs. You can even pull out mundane drugs associated with sex, like poppers, viagra, or various weak aphrodisiacs. As an extension of the “sexual purposes only” clause, this bag will stop producing drugs once it becomes a very real of overdose for you, or whoever you’re sharing these drugs with.</v>
      </c>
      <c r="I129" s="5"/>
    </row>
    <row r="130" spans="1:10" ht="52.2" x14ac:dyDescent="0.25">
      <c r="A130" s="16"/>
      <c r="B130" s="17">
        <v>126</v>
      </c>
      <c r="C130" s="2" t="b">
        <f ca="1">IFERROR(__xludf.DUMMYFUNCTION("""COMPUTED_VALUE"""),FALSE)</f>
        <v>0</v>
      </c>
      <c r="D130" s="2">
        <f ca="1">IFERROR(__xludf.DUMMYFUNCTION("""COMPUTED_VALUE"""),300)</f>
        <v>300</v>
      </c>
      <c r="E130" s="2" t="str">
        <f ca="1">IFERROR(__xludf.DUMMYFUNCTION("""COMPUTED_VALUE"""),"Unbreakable Bed")</f>
        <v>Unbreakable Bed</v>
      </c>
      <c r="F130" s="2" t="str">
        <f ca="1">IFERROR(__xludf.DUMMYFUNCTION("""COMPUTED_VALUE"""),"Generic: Hentai Superheroes")</f>
        <v>Generic: Hentai Superheroes</v>
      </c>
      <c r="G130" s="2" t="str">
        <f ca="1">IFERROR(__xludf.DUMMYFUNCTION("""COMPUTED_VALUE"""),"Porn &amp; Paraphernalia")</f>
        <v>Porn &amp; Paraphernalia</v>
      </c>
      <c r="H130" s="2" t="str">
        <f ca="1">IFERROR(__xludf.DUMMYFUNCTION("""COMPUTED_VALUE"""),"Just because your body can handle any sexual activity you or your significant other can think of, doesn’t mean your bed can. Well this one can. You can hold an olympian orgy on this bed, and it would remain in one piece.")</f>
        <v>Just because your body can handle any sexual activity you or your significant other can think of, doesn’t mean your bed can. Well this one can. You can hold an olympian orgy on this bed, and it would remain in one piece.</v>
      </c>
      <c r="I130" s="5"/>
    </row>
    <row r="131" spans="1:10" ht="104.4" x14ac:dyDescent="0.25">
      <c r="A131" s="16"/>
      <c r="B131" s="17">
        <v>127</v>
      </c>
      <c r="C131" s="2" t="b">
        <f ca="1">IFERROR(__xludf.DUMMYFUNCTION("""COMPUTED_VALUE"""),FALSE)</f>
        <v>0</v>
      </c>
      <c r="D131" s="2">
        <f ca="1">IFERROR(__xludf.DUMMYFUNCTION("""COMPUTED_VALUE"""),300)</f>
        <v>300</v>
      </c>
      <c r="E131" s="2" t="str">
        <f ca="1">IFERROR(__xludf.DUMMYFUNCTION("""COMPUTED_VALUE"""),"Voyeur App")</f>
        <v>Voyeur App</v>
      </c>
      <c r="F131" s="2" t="str">
        <f ca="1">IFERROR(__xludf.DUMMYFUNCTION("""COMPUTED_VALUE"""),"Generic: Lewd School")</f>
        <v>Generic: Lewd School</v>
      </c>
      <c r="G131" s="2" t="str">
        <f ca="1">IFERROR(__xludf.DUMMYFUNCTION("""COMPUTED_VALUE"""),"Porn &amp; Paraphernalia")</f>
        <v>Porn &amp; Paraphernalia</v>
      </c>
      <c r="H131" s="2" t="str">
        <f ca="1">IFERROR(__xludf.DUMMYFUNCTION("""COMPUTED_VALUE"""),"Oh. You’re somebody who likes to watch, huh? Well, this app is for you. Simply scan a person’s face, and the app will allow you to watch videos of their life. Every event, from any angle. It even has a filter if you want to only see nsfw moments. Like the"&amp;"m showering, or doing the horizontal mambo. Free for streaming or downloading. And while you can show these videos to others, there’s no guarantee how they’ll react. A blackmail attempt could go off without a hitch, or blow up in your face. Comes with com"&amp;"plementary smartphone if you don't have one.")</f>
        <v>Oh. You’re somebody who likes to watch, huh? Well, this app is for you. Simply scan a person’s face, and the app will allow you to watch videos of their life. Every event, from any angle. It even has a filter if you want to only see nsfw moments. Like them showering, or doing the horizontal mambo. Free for streaming or downloading. And while you can show these videos to others, there’s no guarantee how they’ll react. A blackmail attempt could go off without a hitch, or blow up in your face. Comes with complementary smartphone if you don't have one.</v>
      </c>
      <c r="I131" s="5"/>
    </row>
    <row r="132" spans="1:10" ht="104.4" x14ac:dyDescent="0.25">
      <c r="A132" s="16"/>
      <c r="B132" s="17">
        <v>128</v>
      </c>
      <c r="C132" s="2" t="b">
        <f ca="1">IFERROR(__xludf.DUMMYFUNCTION("""COMPUTED_VALUE"""),FALSE)</f>
        <v>0</v>
      </c>
      <c r="D132" s="2">
        <f ca="1">IFERROR(__xludf.DUMMYFUNCTION("""COMPUTED_VALUE"""),400)</f>
        <v>400</v>
      </c>
      <c r="E132" s="2" t="str">
        <f ca="1">IFERROR(__xludf.DUMMYFUNCTION("""COMPUTED_VALUE"""),"Book of Essential Carnal Knowledge")</f>
        <v>Book of Essential Carnal Knowledge</v>
      </c>
      <c r="F132" s="2" t="str">
        <f ca="1">IFERROR(__xludf.DUMMYFUNCTION("""COMPUTED_VALUE"""),"Baalbuddy")</f>
        <v>Baalbuddy</v>
      </c>
      <c r="G132" s="2" t="str">
        <f ca="1">IFERROR(__xludf.DUMMYFUNCTION("""COMPUTED_VALUE"""),"Porn &amp; Paraphernalia")</f>
        <v>Porn &amp; Paraphernalia</v>
      </c>
      <c r="H132" s="2" t="str">
        <f ca="1">IFERROR(__xludf.DUMMYFUNCTION("""COMPUTED_VALUE"""),"This weighty tome is filled with everything you need to know about sex. It’s got sexual positions and techniques, how to flirt and seduce, maintain the spark of a relationship and safely ‘test the water’ when it comes to new things. It’s got sexy magic sp"&amp;"ells, sexy alchemy recipes, sexy engineering blueprints, sexy everything. If it’s in any kind of realistic sex manual or health guide, it’s in here. Also anything that only really exists in porn. Surprisingly, the book covers all of its subjects so comple"&amp;"tely that you can pick up a bit of genuinely useful knowledge in a wide variety of fields from its study.")</f>
        <v>This weighty tome is filled with everything you need to know about sex. It’s got sexual positions and techniques, how to flirt and seduce, maintain the spark of a relationship and safely ‘test the water’ when it comes to new things. It’s got sexy magic spells, sexy alchemy recipes, sexy engineering blueprints, sexy everything. If it’s in any kind of realistic sex manual or health guide, it’s in here. Also anything that only really exists in porn. Surprisingly, the book covers all of its subjects so completely that you can pick up a bit of genuinely useful knowledge in a wide variety of fields from its study.</v>
      </c>
      <c r="I132" s="5"/>
    </row>
    <row r="133" spans="1:10" ht="52.2" x14ac:dyDescent="0.35">
      <c r="A133" s="16"/>
      <c r="B133" s="17">
        <v>129</v>
      </c>
      <c r="C133" s="2" t="b">
        <f ca="1">IFERROR(__xludf.DUMMYFUNCTION("""COMPUTED_VALUE"""),FALSE)</f>
        <v>0</v>
      </c>
      <c r="D133" s="2">
        <f ca="1">IFERROR(__xludf.DUMMYFUNCTION("""COMPUTED_VALUE"""),400)</f>
        <v>400</v>
      </c>
      <c r="E133" s="2" t="str">
        <f ca="1">IFERROR(__xludf.DUMMYFUNCTION("""COMPUTED_VALUE"""),"Brain Dance Suite")</f>
        <v>Brain Dance Suite</v>
      </c>
      <c r="F133" s="2" t="str">
        <f ca="1">IFERROR(__xludf.DUMMYFUNCTION("""COMPUTED_VALUE"""),"Cyberpunk: Edgerunners")</f>
        <v>Cyberpunk: Edgerunners</v>
      </c>
      <c r="G133" s="2" t="str">
        <f ca="1">IFERROR(__xludf.DUMMYFUNCTION("""COMPUTED_VALUE"""),"Porn &amp; Paraphernalia")</f>
        <v>Porn &amp; Paraphernalia</v>
      </c>
      <c r="H133" s="2" t="str">
        <f ca="1">IFERROR(__xludf.DUMMYFUNCTION("""COMPUTED_VALUE"""),"A nice set of equipment to run a braindance operation. Chips to stick in people to record experiences, the hardware to modify it easily, and a large collection of textbooks and documentation on how to brush yourself up on the process.")</f>
        <v>A nice set of equipment to run a braindance operation. Chips to stick in people to record experiences, the hardware to modify it easily, and a large collection of textbooks and documentation on how to brush yourself up on the process.</v>
      </c>
      <c r="I133" s="5"/>
      <c r="J133" s="13"/>
    </row>
    <row r="134" spans="1:10" ht="104.4" x14ac:dyDescent="0.35">
      <c r="A134" s="16"/>
      <c r="B134" s="17">
        <v>130</v>
      </c>
      <c r="C134" s="2" t="b">
        <f ca="1">IFERROR(__xludf.DUMMYFUNCTION("""COMPUTED_VALUE"""),FALSE)</f>
        <v>0</v>
      </c>
      <c r="D134" s="2">
        <f ca="1">IFERROR(__xludf.DUMMYFUNCTION("""COMPUTED_VALUE"""),400)</f>
        <v>400</v>
      </c>
      <c r="E134" s="2" t="str">
        <f ca="1">IFERROR(__xludf.DUMMYFUNCTION("""COMPUTED_VALUE"""),"Curse-Holding Sheathe")</f>
        <v>Curse-Holding Sheathe</v>
      </c>
      <c r="F134" s="2" t="str">
        <f ca="1">IFERROR(__xludf.DUMMYFUNCTION("""COMPUTED_VALUE"""),"NUKENAI Seiken-chan")</f>
        <v>NUKENAI Seiken-chan</v>
      </c>
      <c r="G134" s="2" t="str">
        <f ca="1">IFERROR(__xludf.DUMMYFUNCTION("""COMPUTED_VALUE"""),"Porn &amp; Paraphernalia")</f>
        <v>Porn &amp; Paraphernalia</v>
      </c>
      <c r="H134" s="2" t="str">
        <f ca="1">IFERROR(__xludf.DUMMYFUNCTION("""COMPUTED_VALUE"""),"You have a ""sheath"" or set of skintight clothes that can control and contain any passive auras or effects that you might be radiating from your body. 
This outfit also unzips, letting you bare your body while at the same time technically not ""taking i"&amp;"t off"". If you're wearing these clothes unzipped and ""open"", for all intents and purposes you'll still be treated as wearing body-covering clothes, and the power-containing effect still applies.")</f>
        <v>You have a "sheath" or set of skintight clothes that can control and contain any passive auras or effects that you might be radiating from your body. 
This outfit also unzips, letting you bare your body while at the same time technically not "taking it off". If you're wearing these clothes unzipped and "open", for all intents and purposes you'll still be treated as wearing body-covering clothes, and the power-containing effect still applies.</v>
      </c>
      <c r="I134" s="5"/>
      <c r="J134" s="27"/>
    </row>
    <row r="135" spans="1:10" ht="87" x14ac:dyDescent="0.25">
      <c r="A135" s="16"/>
      <c r="B135" s="17">
        <v>131</v>
      </c>
      <c r="C135" s="2" t="b">
        <f ca="1">IFERROR(__xludf.DUMMYFUNCTION("""COMPUTED_VALUE"""),FALSE)</f>
        <v>0</v>
      </c>
      <c r="D135" s="2">
        <f ca="1">IFERROR(__xludf.DUMMYFUNCTION("""COMPUTED_VALUE"""),400)</f>
        <v>400</v>
      </c>
      <c r="E135" s="2" t="str">
        <f ca="1">IFERROR(__xludf.DUMMYFUNCTION("""COMPUTED_VALUE"""),"Demon-Engineer's Devices")</f>
        <v>Demon-Engineer's Devices</v>
      </c>
      <c r="F135" s="2" t="str">
        <f ca="1">IFERROR(__xludf.DUMMYFUNCTION("""COMPUTED_VALUE"""),"Gensoukyou Futanari Chinpo Wrestling")</f>
        <v>Gensoukyou Futanari Chinpo Wrestling</v>
      </c>
      <c r="G135" s="2" t="str">
        <f ca="1">IFERROR(__xludf.DUMMYFUNCTION("""COMPUTED_VALUE"""),"Porn &amp; Paraphernalia")</f>
        <v>Porn &amp; Paraphernalia</v>
      </c>
      <c r="H135" s="2" t="str">
        <f ca="1">IFERROR(__xludf.DUMMYFUNCTION("""COMPUTED_VALUE"""),"Behold the peak of Kappa sex engineering, designed after long hours of testing on the inventor’s own body. A backpack full of long stretchy mechanical arms ending in bright white ‘gloves’, the insides of which are equipped with textured surfaces sure to t"&amp;"urn mere groping into an experience that sets the body alight with pleasure, to say nothing of actual handjobs or fingering. The palms are even equipped with onaholes!")</f>
        <v>Behold the peak of Kappa sex engineering, designed after long hours of testing on the inventor’s own body. A backpack full of long stretchy mechanical arms ending in bright white ‘gloves’, the insides of which are equipped with textured surfaces sure to turn mere groping into an experience that sets the body alight with pleasure, to say nothing of actual handjobs or fingering. The palms are even equipped with onaholes!</v>
      </c>
      <c r="I135" s="5"/>
    </row>
    <row r="136" spans="1:10" ht="87" x14ac:dyDescent="0.25">
      <c r="A136" s="16"/>
      <c r="B136" s="17">
        <v>132</v>
      </c>
      <c r="C136" s="2" t="b">
        <f ca="1">IFERROR(__xludf.DUMMYFUNCTION("""COMPUTED_VALUE"""),FALSE)</f>
        <v>0</v>
      </c>
      <c r="D136" s="2">
        <f ca="1">IFERROR(__xludf.DUMMYFUNCTION("""COMPUTED_VALUE"""),400)</f>
        <v>400</v>
      </c>
      <c r="E136" s="2" t="str">
        <f ca="1">IFERROR(__xludf.DUMMYFUNCTION("""COMPUTED_VALUE"""),"Film Crew")</f>
        <v>Film Crew</v>
      </c>
      <c r="F136" s="2" t="str">
        <f ca="1">IFERROR(__xludf.DUMMYFUNCTION("""COMPUTED_VALUE"""),"Generic: Hentai Modern")</f>
        <v>Generic: Hentai Modern</v>
      </c>
      <c r="G136" s="2" t="str">
        <f ca="1">IFERROR(__xludf.DUMMYFUNCTION("""COMPUTED_VALUE"""),"Porn &amp; Paraphernalia")</f>
        <v>Porn &amp; Paraphernalia</v>
      </c>
      <c r="H136" s="2" t="str">
        <f ca="1">IFERROR(__xludf.DUMMYFUNCTION("""COMPUTED_VALUE"""),"Well, not really but kinda? Basically, everything you do is recorded. And from pretty much every angle as well. No need to bother with getting a studio or an actual film crew, you’ve got this. Be a one idol show and do it all yourself. Or turn it all into"&amp;" one big porno and make loadsa money. Either one works. Comes with a usb stick which somehow fits all of this, and a smartphone app that determines exactly what gets recorded, from what angle, and so on.")</f>
        <v>Well, not really but kinda? Basically, everything you do is recorded. And from pretty much every angle as well. No need to bother with getting a studio or an actual film crew, you’ve got this. Be a one idol show and do it all yourself. Or turn it all into one big porno and make loadsa money. Either one works. Comes with a usb stick which somehow fits all of this, and a smartphone app that determines exactly what gets recorded, from what angle, and so on.</v>
      </c>
      <c r="I136" s="5"/>
    </row>
    <row r="137" spans="1:10" ht="156.6" x14ac:dyDescent="0.25">
      <c r="A137" s="16"/>
      <c r="B137" s="17">
        <v>133</v>
      </c>
      <c r="C137" s="2" t="b">
        <f ca="1">IFERROR(__xludf.DUMMYFUNCTION("""COMPUTED_VALUE"""),FALSE)</f>
        <v>0</v>
      </c>
      <c r="D137" s="2">
        <f ca="1">IFERROR(__xludf.DUMMYFUNCTION("""COMPUTED_VALUE"""),400)</f>
        <v>400</v>
      </c>
      <c r="E137" s="2" t="str">
        <f ca="1">IFERROR(__xludf.DUMMYFUNCTION("""COMPUTED_VALUE"""),"Gimp Suits")</f>
        <v>Gimp Suits</v>
      </c>
      <c r="F137" s="2" t="str">
        <f ca="1">IFERROR(__xludf.DUMMYFUNCTION("""COMPUTED_VALUE"""),"Earth Defense Team Star Guardians")</f>
        <v>Earth Defense Team Star Guardians</v>
      </c>
      <c r="G137" s="2" t="str">
        <f ca="1">IFERROR(__xludf.DUMMYFUNCTION("""COMPUTED_VALUE"""),"Porn &amp; Paraphernalia")</f>
        <v>Porn &amp; Paraphernalia</v>
      </c>
      <c r="H137" s="2" t="str">
        <f ca="1">IFERROR(__xludf.DUMMYFUNCTION("""COMPUTED_VALUE"""),"Standard fare for the Dystopian empire’s unfortunate prisoners, these high-tech gimp suits are the perfect uniform for a slave who hasn’t learned her place yet, or one who has for that matter. Consisting of a black straitjacket, hood, gag, and mittens ove"&amp;"r a set of fetching purple stockings, this suit renders its wearer unable to see, speak, or make any use of their fingers to hold or use items or weapons. The suit’s fabric and collar also interface directly with the wearer’s nervous system, not only maki"&amp;"ng them much more sensitive and vulnerable to pleasure but also blocking access to any special powers or abilities they may have and rendering them no stronger than an ordinary human. Without outside assistance this suit is basically impossible to escape "&amp;"from once it has been donned, and you have a few dozen of them ready and waiting for your new slaves.")</f>
        <v>Standard fare for the Dystopian empire’s unfortunate prisoners, these high-tech gimp suits are the perfect uniform for a slave who hasn’t learned her place yet, or one who has for that matter. Consisting of a black straitjacket, hood, gag, and mittens over a set of fetching purple stockings, this suit renders its wearer unable to see, speak, or make any use of their fingers to hold or use items or weapons. The suit’s fabric and collar also interface directly with the wearer’s nervous system, not only making them much more sensitive and vulnerable to pleasure but also blocking access to any special powers or abilities they may have and rendering them no stronger than an ordinary human. Without outside assistance this suit is basically impossible to escape from once it has been donned, and you have a few dozen of them ready and waiting for your new slaves.</v>
      </c>
      <c r="I137" s="5"/>
    </row>
    <row r="138" spans="1:10" ht="69.599999999999994" x14ac:dyDescent="0.25">
      <c r="A138" s="16"/>
      <c r="B138" s="17">
        <v>134</v>
      </c>
      <c r="C138" s="2" t="b">
        <f ca="1">IFERROR(__xludf.DUMMYFUNCTION("""COMPUTED_VALUE"""),FALSE)</f>
        <v>0</v>
      </c>
      <c r="D138" s="2">
        <f ca="1">IFERROR(__xludf.DUMMYFUNCTION("""COMPUTED_VALUE"""),400)</f>
        <v>400</v>
      </c>
      <c r="E138" s="2" t="str">
        <f ca="1">IFERROR(__xludf.DUMMYFUNCTION("""COMPUTED_VALUE"""),"Good Morning Gamers")</f>
        <v>Good Morning Gamers</v>
      </c>
      <c r="F138" s="2" t="str">
        <f ca="1">IFERROR(__xludf.DUMMYFUNCTION("""COMPUTED_VALUE"""),"Carbon Pink")</f>
        <v>Carbon Pink</v>
      </c>
      <c r="G138" s="2" t="str">
        <f ca="1">IFERROR(__xludf.DUMMYFUNCTION("""COMPUTED_VALUE"""),"Porn &amp; Paraphernalia")</f>
        <v>Porn &amp; Paraphernalia</v>
      </c>
      <c r="H138" s="2" t="str">
        <f ca="1">IFERROR(__xludf.DUMMYFUNCTION("""COMPUTED_VALUE"""),"You have a knack for coming up with unorthodox plans that most people wouldn’t normally think of. This is especially effective when the plans involve some level of lewdness, for instance, voring a VIP in the digital realm so that your friends can trace hi"&amp;"s digital signal and take him out whilst he’s helpless.")</f>
        <v>You have a knack for coming up with unorthodox plans that most people wouldn’t normally think of. This is especially effective when the plans involve some level of lewdness, for instance, voring a VIP in the digital realm so that your friends can trace his digital signal and take him out whilst he’s helpless.</v>
      </c>
      <c r="I138" s="5"/>
    </row>
    <row r="139" spans="1:10" ht="156.6" x14ac:dyDescent="0.25">
      <c r="A139" s="16"/>
      <c r="B139" s="17">
        <v>135</v>
      </c>
      <c r="C139" s="2" t="b">
        <f ca="1">IFERROR(__xludf.DUMMYFUNCTION("""COMPUTED_VALUE"""),FALSE)</f>
        <v>0</v>
      </c>
      <c r="D139" s="2">
        <f ca="1">IFERROR(__xludf.DUMMYFUNCTION("""COMPUTED_VALUE"""),400)</f>
        <v>400</v>
      </c>
      <c r="E139" s="2" t="str">
        <f ca="1">IFERROR(__xludf.DUMMYFUNCTION("""COMPUTED_VALUE"""),"Ka-Ju Rope")</f>
        <v>Ka-Ju Rope</v>
      </c>
      <c r="F139" s="2" t="str">
        <f ca="1">IFERROR(__xludf.DUMMYFUNCTION("""COMPUTED_VALUE"""),"Breathless Wild")</f>
        <v>Breathless Wild</v>
      </c>
      <c r="G139" s="2" t="str">
        <f ca="1">IFERROR(__xludf.DUMMYFUNCTION("""COMPUTED_VALUE"""),"Porn &amp; Paraphernalia")</f>
        <v>Porn &amp; Paraphernalia</v>
      </c>
      <c r="H139" s="2" t="str">
        <f ca="1">IFERROR(__xludf.DUMMYFUNCTION("""COMPUTED_VALUE"""),"A magical rope blessed by a Great Fairy, this item embodies the bonds between two lovers from the time before the Calamity, and by “bonds” I mean they were both avid bondage enthusiasts. The rope’s magic shows itself only when you are tied up in it, grant"&amp;"ing you great strength and functionally limitless stamina, though it must restrain you in order to do so. This seemingly counterintuitive blessing can also be shared with a selected owner of the rope, your master if you will, so long as it remains in use."&amp;" The rope is ideally used to restrain a slave for use as a pack mule, turning even a delicate princess into a valuable member of an adventuring party while also giving her master the strength and stamina to scale sheer cliffs with his bare hands. Of cours"&amp;"e it’s also quite useful for enabling even the most extreme types of bondage play.")</f>
        <v>A magical rope blessed by a Great Fairy, this item embodies the bonds between two lovers from the time before the Calamity, and by “bonds” I mean they were both avid bondage enthusiasts. The rope’s magic shows itself only when you are tied up in it, granting you great strength and functionally limitless stamina, though it must restrain you in order to do so. This seemingly counterintuitive blessing can also be shared with a selected owner of the rope, your master if you will, so long as it remains in use. The rope is ideally used to restrain a slave for use as a pack mule, turning even a delicate princess into a valuable member of an adventuring party while also giving her master the strength and stamina to scale sheer cliffs with his bare hands. Of course it’s also quite useful for enabling even the most extreme types of bondage play.</v>
      </c>
      <c r="I139" s="5"/>
    </row>
    <row r="140" spans="1:10" ht="104.4" x14ac:dyDescent="0.25">
      <c r="A140" s="16"/>
      <c r="B140" s="17">
        <v>136</v>
      </c>
      <c r="C140" s="2" t="b">
        <f ca="1">IFERROR(__xludf.DUMMYFUNCTION("""COMPUTED_VALUE"""),FALSE)</f>
        <v>0</v>
      </c>
      <c r="D140" s="2">
        <f ca="1">IFERROR(__xludf.DUMMYFUNCTION("""COMPUTED_VALUE"""),400)</f>
        <v>400</v>
      </c>
      <c r="E140" s="2" t="str">
        <f ca="1">IFERROR(__xludf.DUMMYFUNCTION("""COMPUTED_VALUE"""),"Key")</f>
        <v>Key</v>
      </c>
      <c r="F140" s="2" t="str">
        <f ca="1">IFERROR(__xludf.DUMMYFUNCTION("""COMPUTED_VALUE"""),"Lexx")</f>
        <v>Lexx</v>
      </c>
      <c r="G140" s="2" t="str">
        <f ca="1">IFERROR(__xludf.DUMMYFUNCTION("""COMPUTED_VALUE"""),"Porn &amp; Paraphernalia")</f>
        <v>Porn &amp; Paraphernalia</v>
      </c>
      <c r="H140" s="2" t="str">
        <f ca="1">IFERROR(__xludf.DUMMYFUNCTION("""COMPUTED_VALUE"""),"Inside your body there is a semi-living energy field, similar to the Key to the Lexx. With a touch, you may attune anything you own to this Key. Anything attuned to this Key cannot be used by anybody except you without your explicit say-so, which you may "&amp;"explicitly revoke at any time. Guns will refuse to fire, vehicles will fail to start, doors won’t open, etc. There is no limit to the number of things you may attune this Key to, though you do need to actually own it. Any fiat purchased items are attuned "&amp;"to your Key automatically.")</f>
        <v>Inside your body there is a semi-living energy field, similar to the Key to the Lexx. With a touch, you may attune anything you own to this Key. Anything attuned to this Key cannot be used by anybody except you without your explicit say-so, which you may explicitly revoke at any time. Guns will refuse to fire, vehicles will fail to start, doors won’t open, etc. There is no limit to the number of things you may attune this Key to, though you do need to actually own it. Any fiat purchased items are attuned to your Key automatically.</v>
      </c>
      <c r="I140" s="5"/>
    </row>
    <row r="141" spans="1:10" ht="261" x14ac:dyDescent="0.25">
      <c r="A141" s="16"/>
      <c r="B141" s="17">
        <v>137</v>
      </c>
      <c r="C141" s="2" t="b">
        <f ca="1">IFERROR(__xludf.DUMMYFUNCTION("""COMPUTED_VALUE"""),FALSE)</f>
        <v>0</v>
      </c>
      <c r="D141" s="2">
        <f ca="1">IFERROR(__xludf.DUMMYFUNCTION("""COMPUTED_VALUE"""),400)</f>
        <v>400</v>
      </c>
      <c r="E141" s="2" t="str">
        <f ca="1">IFERROR(__xludf.DUMMYFUNCTION("""COMPUTED_VALUE"""),"Morphic Furniture")</f>
        <v>Morphic Furniture</v>
      </c>
      <c r="F141" s="2" t="str">
        <f ca="1">IFERROR(__xludf.DUMMYFUNCTION("""COMPUTED_VALUE"""),"Generic: Lewd Science Fiction")</f>
        <v>Generic: Lewd Science Fiction</v>
      </c>
      <c r="G141" s="2" t="str">
        <f ca="1">IFERROR(__xludf.DUMMYFUNCTION("""COMPUTED_VALUE"""),"Porn &amp; Paraphernalia")</f>
        <v>Porn &amp; Paraphernalia</v>
      </c>
      <c r="H141" s="2" t="str">
        <f ca="1">IFERROR(__xludf.DUMMYFUNCTION("""COMPUTED_VALUE"""),"You have acquired a set of animated smart furniture – chairs, tables, desks, cupboards, beds and other assorted furniture that can move on their legs and feet, and control themselves by your command or in anticipation of your needs.
In addition to being "&amp;"able to move around on their own they also adjust their dimensions and contours slightly to best suit their user. Tables adjust their height or levelness, chairs adjust their padding and reclining angle, beds become softer or firmer. Each piece also has i"&amp;"ts own functions – wardrobes or cupboards might sort their contents for you and open the drawer holding the thing you are looking for, mirrors might link to your ship’s communications systems to function as screens, the arms of chairs might be able to res"&amp;"train hostile visitors, and the beds come with all kinds of warming, massaging and vibrating features, which will be handy if you expect to spend a lot of time in them.
There are enough separate pieces to outfit a whole house or a similarly-sized starshi"&amp;"p. All of these items are self-cleaning and will match the decor of the room they are placed in.")</f>
        <v>You have acquired a set of animated smart furniture – chairs, tables, desks, cupboards, beds and other assorted furniture that can move on their legs and feet, and control themselves by your command or in anticipation of your needs.
In addition to being able to move around on their own they also adjust their dimensions and contours slightly to best suit their user. Tables adjust their height or levelness, chairs adjust their padding and reclining angle, beds become softer or firmer. Each piece also has its own functions – wardrobes or cupboards might sort their contents for you and open the drawer holding the thing you are looking for, mirrors might link to your ship’s communications systems to function as screens, the arms of chairs might be able to restrain hostile visitors, and the beds come with all kinds of warming, massaging and vibrating features, which will be handy if you expect to spend a lot of time in them.
There are enough separate pieces to outfit a whole house or a similarly-sized starship. All of these items are self-cleaning and will match the decor of the room they are placed in.</v>
      </c>
      <c r="I141" s="5"/>
    </row>
    <row r="142" spans="1:10" ht="87" x14ac:dyDescent="0.25">
      <c r="A142" s="16"/>
      <c r="B142" s="17">
        <v>138</v>
      </c>
      <c r="C142" s="2" t="b">
        <f ca="1">IFERROR(__xludf.DUMMYFUNCTION("""COMPUTED_VALUE"""),FALSE)</f>
        <v>0</v>
      </c>
      <c r="D142" s="2">
        <f ca="1">IFERROR(__xludf.DUMMYFUNCTION("""COMPUTED_VALUE"""),400)</f>
        <v>400</v>
      </c>
      <c r="E142" s="2" t="str">
        <f ca="1">IFERROR(__xludf.DUMMYFUNCTION("""COMPUTED_VALUE"""),"Nude Photos")</f>
        <v>Nude Photos</v>
      </c>
      <c r="F142" s="2" t="str">
        <f ca="1">IFERROR(__xludf.DUMMYFUNCTION("""COMPUTED_VALUE"""),"Bokunchi No Mikage-san")</f>
        <v>Bokunchi No Mikage-san</v>
      </c>
      <c r="G142" s="2" t="str">
        <f ca="1">IFERROR(__xludf.DUMMYFUNCTION("""COMPUTED_VALUE"""),"Porn &amp; Paraphernalia")</f>
        <v>Porn &amp; Paraphernalia</v>
      </c>
      <c r="H142" s="2" t="str">
        <f ca="1">IFERROR(__xludf.DUMMYFUNCTION("""COMPUTED_VALUE"""),"The person on these images is blurred, but the moment you write a person’s name on the photographs, the hazy images will sharpen into what is clearly images of that person, although completely naked and in potentially embarrassing situations. This makes f"&amp;"or excellent blackmail material, or maybe just a nice piece of memorabilia... or wanking material. Once “activated”, you will receive a new set of photos the following week.")</f>
        <v>The person on these images is blurred, but the moment you write a person’s name on the photographs, the hazy images will sharpen into what is clearly images of that person, although completely naked and in potentially embarrassing situations. This makes for excellent blackmail material, or maybe just a nice piece of memorabilia... or wanking material. Once “activated”, you will receive a new set of photos the following week.</v>
      </c>
      <c r="I142" s="5"/>
    </row>
    <row r="143" spans="1:10" ht="69.599999999999994" x14ac:dyDescent="0.25">
      <c r="A143" s="16"/>
      <c r="B143" s="17">
        <v>139</v>
      </c>
      <c r="C143" s="2" t="b">
        <f ca="1">IFERROR(__xludf.DUMMYFUNCTION("""COMPUTED_VALUE"""),FALSE)</f>
        <v>0</v>
      </c>
      <c r="D143" s="2">
        <f ca="1">IFERROR(__xludf.DUMMYFUNCTION("""COMPUTED_VALUE"""),400)</f>
        <v>400</v>
      </c>
      <c r="E143" s="2" t="str">
        <f ca="1">IFERROR(__xludf.DUMMYFUNCTION("""COMPUTED_VALUE"""),"Orgasm Ray")</f>
        <v>Orgasm Ray</v>
      </c>
      <c r="F143" s="2" t="str">
        <f ca="1">IFERROR(__xludf.DUMMYFUNCTION("""COMPUTED_VALUE"""),"Generic: Hentai Superheroes")</f>
        <v>Generic: Hentai Superheroes</v>
      </c>
      <c r="G143" s="2" t="str">
        <f ca="1">IFERROR(__xludf.DUMMYFUNCTION("""COMPUTED_VALUE"""),"Porn &amp; Paraphernalia")</f>
        <v>Porn &amp; Paraphernalia</v>
      </c>
      <c r="H143" s="2" t="str">
        <f ca="1">IFERROR(__xludf.DUMMYFUNCTION("""COMPUTED_VALUE"""),"A powerful beam of pure energy that strikes the nerves, sending the target into orgasmic bliss. It has varying degrees of intensity, from ‘Warm Afterglow’, to ‘Earth Shaking’ to ‘I Can’t Feel My Everything!’. Focused beam or wide area blast. Use it to bri"&amp;"ng about world peace, or stopping any security guards. If lost or destroyed, a new one will appear in your Warehouse in a week.")</f>
        <v>A powerful beam of pure energy that strikes the nerves, sending the target into orgasmic bliss. It has varying degrees of intensity, from ‘Warm Afterglow’, to ‘Earth Shaking’ to ‘I Can’t Feel My Everything!’. Focused beam or wide area blast. Use it to bring about world peace, or stopping any security guards. If lost or destroyed, a new one will appear in your Warehouse in a week.</v>
      </c>
      <c r="I143" s="5"/>
    </row>
    <row r="144" spans="1:10" ht="139.19999999999999" x14ac:dyDescent="0.25">
      <c r="A144" s="16"/>
      <c r="B144" s="17">
        <v>140</v>
      </c>
      <c r="C144" s="2" t="b">
        <f ca="1">IFERROR(__xludf.DUMMYFUNCTION("""COMPUTED_VALUE"""),FALSE)</f>
        <v>0</v>
      </c>
      <c r="D144" s="2">
        <f ca="1">IFERROR(__xludf.DUMMYFUNCTION("""COMPUTED_VALUE"""),400)</f>
        <v>400</v>
      </c>
      <c r="E144" s="2" t="str">
        <f ca="1">IFERROR(__xludf.DUMMYFUNCTION("""COMPUTED_VALUE"""),"Poetry in Motion")</f>
        <v>Poetry in Motion</v>
      </c>
      <c r="F144" s="2" t="str">
        <f ca="1">IFERROR(__xludf.DUMMYFUNCTION("""COMPUTED_VALUE"""),"It’s a Straight Line Once You Fall in Love!")</f>
        <v>It’s a Straight Line Once You Fall in Love!</v>
      </c>
      <c r="G144" s="2" t="str">
        <f ca="1">IFERROR(__xludf.DUMMYFUNCTION("""COMPUTED_VALUE"""),"Porn &amp; Paraphernalia")</f>
        <v>Porn &amp; Paraphernalia</v>
      </c>
      <c r="H144" s="2" t="str">
        <f ca="1">IFERROR(__xludf.DUMMYFUNCTION("""COMPUTED_VALUE"""),"Seikodo isn’t just about causing the most pleasure, but about doing so in a visually appealing way. It’s more than a sport, it’s also a performance art. And when it comes to the artistic side of things, you excel. You have the ability to know what you loo"&amp;"k like from an outside perspective, and you know what the people who are watching you want to see. This also comes with a superhuman sense of proprioception, giving you near-perfect control over your own body and a sense of how to move in the most gracefu"&amp;"l and appealing fashion. Combining these, you can always present yourself in the best possible light and provide a good show, which is even more important to a successful seikodo career than simply having good technique.")</f>
        <v>Seikodo isn’t just about causing the most pleasure, but about doing so in a visually appealing way. It’s more than a sport, it’s also a performance art. And when it comes to the artistic side of things, you excel. You have the ability to know what you look like from an outside perspective, and you know what the people who are watching you want to see. This also comes with a superhuman sense of proprioception, giving you near-perfect control over your own body and a sense of how to move in the most graceful and appealing fashion. Combining these, you can always present yourself in the best possible light and provide a good show, which is even more important to a successful seikodo career than simply having good technique.</v>
      </c>
      <c r="I144" s="5"/>
    </row>
    <row r="145" spans="1:9" ht="104.4" x14ac:dyDescent="0.25">
      <c r="A145" s="16"/>
      <c r="B145" s="17">
        <v>141</v>
      </c>
      <c r="C145" s="2" t="b">
        <f ca="1">IFERROR(__xludf.DUMMYFUNCTION("""COMPUTED_VALUE"""),FALSE)</f>
        <v>0</v>
      </c>
      <c r="D145" s="2">
        <f ca="1">IFERROR(__xludf.DUMMYFUNCTION("""COMPUTED_VALUE"""),400)</f>
        <v>400</v>
      </c>
      <c r="E145" s="2" t="str">
        <f ca="1">IFERROR(__xludf.DUMMYFUNCTION("""COMPUTED_VALUE"""),"Sexual Education")</f>
        <v>Sexual Education</v>
      </c>
      <c r="F145" s="2" t="str">
        <f ca="1">IFERROR(__xludf.DUMMYFUNCTION("""COMPUTED_VALUE"""),"Generic: Hentai Modern")</f>
        <v>Generic: Hentai Modern</v>
      </c>
      <c r="G145" s="2" t="str">
        <f ca="1">IFERROR(__xludf.DUMMYFUNCTION("""COMPUTED_VALUE"""),"Porn &amp; Paraphernalia")</f>
        <v>Porn &amp; Paraphernalia</v>
      </c>
      <c r="H145" s="2" t="str">
        <f ca="1">IFERROR(__xludf.DUMMYFUNCTION("""COMPUTED_VALUE"""),"You know how the library of congress contains a copy of nearly every book ever, and as many as america itself can get its hands on? Well this is that, except for porn. Every book, movie, hentai, art, anything and everything of an erotic nature. It comes i"&amp;"n two forms. The first is a library, which at your discretion can be an actual one, with librarians and loans. Second, it can anthropomorphise into the form of a very sexy librarian with an experience level equivalent to the amount of porn ‘she’ holds. Wh"&amp;"ich is all of it.")</f>
        <v>You know how the library of congress contains a copy of nearly every book ever, and as many as america itself can get its hands on? Well this is that, except for porn. Every book, movie, hentai, art, anything and everything of an erotic nature. It comes in two forms. The first is a library, which at your discretion can be an actual one, with librarians and loans. Second, it can anthropomorphise into the form of a very sexy librarian with an experience level equivalent to the amount of porn ‘she’ holds. Which is all of it.</v>
      </c>
      <c r="I145" s="5"/>
    </row>
    <row r="146" spans="1:9" ht="121.8" x14ac:dyDescent="0.25">
      <c r="A146" s="16"/>
      <c r="B146" s="17">
        <v>142</v>
      </c>
      <c r="C146" s="2" t="b">
        <f ca="1">IFERROR(__xludf.DUMMYFUNCTION("""COMPUTED_VALUE"""),FALSE)</f>
        <v>0</v>
      </c>
      <c r="D146" s="2">
        <f ca="1">IFERROR(__xludf.DUMMYFUNCTION("""COMPUTED_VALUE"""),400)</f>
        <v>400</v>
      </c>
      <c r="E146" s="2" t="str">
        <f ca="1">IFERROR(__xludf.DUMMYFUNCTION("""COMPUTED_VALUE"""),"Trait Fruit Seeds")</f>
        <v>Trait Fruit Seeds</v>
      </c>
      <c r="F146" s="2" t="str">
        <f ca="1">IFERROR(__xludf.DUMMYFUNCTION("""COMPUTED_VALUE"""),"Huniepop")</f>
        <v>Huniepop</v>
      </c>
      <c r="G146" s="2" t="str">
        <f ca="1">IFERROR(__xludf.DUMMYFUNCTION("""COMPUTED_VALUE"""),"Porn &amp; Paraphernalia")</f>
        <v>Porn &amp; Paraphernalia</v>
      </c>
      <c r="H146" s="2" t="str">
        <f ca="1">IFERROR(__xludf.DUMMYFUNCTION("""COMPUTED_VALUE"""),"The fruits that grow from these seeds are very special. Making them into smoothies and drinking them will increase your ability with a given trait for a month or so. The available fruits are Sexuality, Flirtation, Romance, and Talent and all you need to g"&amp;"row them is shove them in some dirt and water them around once a week. They’ll grow to full size in a month, but any successful dates and seductions you achieve will cause them to grow much faster. You can pull more seeds from the fruits when you’re makin"&amp;"g them into smoothies, but if you run out you will receive replacements in about a week.")</f>
        <v>The fruits that grow from these seeds are very special. Making them into smoothies and drinking them will increase your ability with a given trait for a month or so. The available fruits are Sexuality, Flirtation, Romance, and Talent and all you need to grow them is shove them in some dirt and water them around once a week. They’ll grow to full size in a month, but any successful dates and seductions you achieve will cause them to grow much faster. You can pull more seeds from the fruits when you’re making them into smoothies, but if you run out you will receive replacements in about a week.</v>
      </c>
      <c r="I146" s="5"/>
    </row>
    <row r="147" spans="1:9" ht="139.19999999999999" x14ac:dyDescent="0.25">
      <c r="A147" s="16"/>
      <c r="B147" s="17">
        <v>143</v>
      </c>
      <c r="C147" s="2" t="b">
        <f ca="1">IFERROR(__xludf.DUMMYFUNCTION("""COMPUTED_VALUE"""),FALSE)</f>
        <v>0</v>
      </c>
      <c r="D147" s="2">
        <f ca="1">IFERROR(__xludf.DUMMYFUNCTION("""COMPUTED_VALUE"""),400)</f>
        <v>400</v>
      </c>
      <c r="E147" s="2" t="str">
        <f ca="1">IFERROR(__xludf.DUMMYFUNCTION("""COMPUTED_VALUE"""),"Unison Collars")</f>
        <v>Unison Collars</v>
      </c>
      <c r="F147" s="2" t="str">
        <f ca="1">IFERROR(__xludf.DUMMYFUNCTION("""COMPUTED_VALUE"""),"Nyakumi")</f>
        <v>Nyakumi</v>
      </c>
      <c r="G147" s="2" t="str">
        <f ca="1">IFERROR(__xludf.DUMMYFUNCTION("""COMPUTED_VALUE"""),"Porn &amp; Paraphernalia")</f>
        <v>Porn &amp; Paraphernalia</v>
      </c>
      <c r="H147" s="2" t="str">
        <f ca="1">IFERROR(__xludf.DUMMYFUNCTION("""COMPUTED_VALUE"""),"You have in your possession a set of collars. They are quite small and easily missed, but they contain a great power. When each of the wearers of these collars sync themselves in thought and action with each other (usually through sex), they will fuse int"&amp;"o a single being, combining their power, skills, and knowledge, and potentially even unlocking entirely new abilities, such as lulling their opponent into a lewd trace. It also gives a sharp increase in sexual ability, as having sex with the merged being "&amp;"feels like having sex with all of the component people at once. Be aware that the merge is only temporary, but the wearers can extend the time merged by continuing to be in sync with each other, and disagreement and discord between the merged beings will "&amp;"cut the time down even further.")</f>
        <v>You have in your possession a set of collars. They are quite small and easily missed, but they contain a great power. When each of the wearers of these collars sync themselves in thought and action with each other (usually through sex), they will fuse into a single being, combining their power, skills, and knowledge, and potentially even unlocking entirely new abilities, such as lulling their opponent into a lewd trace. It also gives a sharp increase in sexual ability, as having sex with the merged being feels like having sex with all of the component people at once. Be aware that the merge is only temporary, but the wearers can extend the time merged by continuing to be in sync with each other, and disagreement and discord between the merged beings will cut the time down even further.</v>
      </c>
      <c r="I147" s="5"/>
    </row>
    <row r="148" spans="1:9" ht="69.599999999999994" x14ac:dyDescent="0.25">
      <c r="A148" s="16"/>
      <c r="B148" s="17">
        <v>144</v>
      </c>
      <c r="C148" s="2" t="b">
        <f ca="1">IFERROR(__xludf.DUMMYFUNCTION("""COMPUTED_VALUE"""),FALSE)</f>
        <v>0</v>
      </c>
      <c r="D148" s="2">
        <f ca="1">IFERROR(__xludf.DUMMYFUNCTION("""COMPUTED_VALUE"""),500)</f>
        <v>500</v>
      </c>
      <c r="E148" s="2" t="str">
        <f ca="1">IFERROR(__xludf.DUMMYFUNCTION("""COMPUTED_VALUE"""),"Slime Tank")</f>
        <v>Slime Tank</v>
      </c>
      <c r="F148" s="2" t="str">
        <f ca="1">IFERROR(__xludf.DUMMYFUNCTION("""COMPUTED_VALUE"""),"Nyakumi")</f>
        <v>Nyakumi</v>
      </c>
      <c r="G148" s="2" t="str">
        <f ca="1">IFERROR(__xludf.DUMMYFUNCTION("""COMPUTED_VALUE"""),"Porn &amp; Paraphernalia")</f>
        <v>Porn &amp; Paraphernalia</v>
      </c>
      <c r="H148" s="2" t="str">
        <f ca="1">IFERROR(__xludf.DUMMYFUNCTION("""COMPUTED_VALUE"""),"If anyone disturbs this bright blue liquid, attractive futas made of slime will rise up from the surface and fuck the shit out of anyone they can get their hands on. They feel no tiredness or pain, but usually leave their prey alone after they’ve been utt"&amp;"erly exhausted. Great for use in a security system, or just for fun. As the owner, they’ll mostly follow your orders. Mostly.")</f>
        <v>If anyone disturbs this bright blue liquid, attractive futas made of slime will rise up from the surface and fuck the shit out of anyone they can get their hands on. They feel no tiredness or pain, but usually leave their prey alone after they’ve been utterly exhausted. Great for use in a security system, or just for fun. As the owner, they’ll mostly follow your orders. Mostly.</v>
      </c>
      <c r="I148" s="5"/>
    </row>
    <row r="149" spans="1:9" ht="156.6" x14ac:dyDescent="0.25">
      <c r="A149" s="16"/>
      <c r="B149" s="17">
        <v>145</v>
      </c>
      <c r="C149" s="2" t="b">
        <f ca="1">IFERROR(__xludf.DUMMYFUNCTION("""COMPUTED_VALUE"""),FALSE)</f>
        <v>0</v>
      </c>
      <c r="D149" s="2">
        <f ca="1">IFERROR(__xludf.DUMMYFUNCTION("""COMPUTED_VALUE"""),600)</f>
        <v>600</v>
      </c>
      <c r="E149" s="2" t="str">
        <f ca="1">IFERROR(__xludf.DUMMYFUNCTION("""COMPUTED_VALUE"""),"""Trends of the Era""")</f>
        <v>"Trends of the Era"</v>
      </c>
      <c r="F149" s="2" t="str">
        <f ca="1">IFERROR(__xludf.DUMMYFUNCTION("""COMPUTED_VALUE"""),"Generic: Casual Sex World")</f>
        <v>Generic: Casual Sex World</v>
      </c>
      <c r="G149" s="2" t="str">
        <f ca="1">IFERROR(__xludf.DUMMYFUNCTION("""COMPUTED_VALUE"""),"Porn &amp; Paraphernalia")</f>
        <v>Porn &amp; Paraphernalia</v>
      </c>
      <c r="H149" s="2" t="str">
        <f ca="1">IFERROR(__xludf.DUMMYFUNCTION("""COMPUTED_VALUE"""),"You’ve expanded your horizons, brought loved ones and lovers in on those things you love, but it is not enough. It won’t be enough until those things you like are not only publicly acceptable, but popular! The ebb and flow of things that are popular or tr"&amp;"endy is a mysterious thing indeed. Complete accidents rise to stardom, memes born over night, and you have tapped into this. You have the power to spread one thing you love into the spotlight where it trends, becomes popular and ends up all over the place"&amp;". Some things might not survive or spread very well, dangerous or illegal things especially, and you can’t use this power more than once every few months. That said, there aren’t many other limitations. You could start up food trends, popularity for a cer"&amp;"tain show, or spread a fetish into the mainstream. Hey, if it’s a good enough idea, it might even stick.")</f>
        <v>You’ve expanded your horizons, brought loved ones and lovers in on those things you love, but it is not enough. It won’t be enough until those things you like are not only publicly acceptable, but popular! The ebb and flow of things that are popular or trendy is a mysterious thing indeed. Complete accidents rise to stardom, memes born over night, and you have tapped into this. You have the power to spread one thing you love into the spotlight where it trends, becomes popular and ends up all over the place. Some things might not survive or spread very well, dangerous or illegal things especially, and you can’t use this power more than once every few months. That said, there aren’t many other limitations. You could start up food trends, popularity for a certain show, or spread a fetish into the mainstream. Hey, if it’s a good enough idea, it might even stick.</v>
      </c>
      <c r="I149" s="5"/>
    </row>
    <row r="150" spans="1:9" ht="278.39999999999998" x14ac:dyDescent="0.25">
      <c r="A150" s="16"/>
      <c r="B150" s="17">
        <v>146</v>
      </c>
      <c r="C150" s="2" t="b">
        <f ca="1">IFERROR(__xludf.DUMMYFUNCTION("""COMPUTED_VALUE"""),FALSE)</f>
        <v>0</v>
      </c>
      <c r="D150" s="2">
        <f ca="1">IFERROR(__xludf.DUMMYFUNCTION("""COMPUTED_VALUE"""),600)</f>
        <v>600</v>
      </c>
      <c r="E150" s="2" t="str">
        <f ca="1">IFERROR(__xludf.DUMMYFUNCTION("""COMPUTED_VALUE"""),"A Beast of a Machine")</f>
        <v>A Beast of a Machine</v>
      </c>
      <c r="F150" s="2" t="str">
        <f ca="1">IFERROR(__xludf.DUMMYFUNCTION("""COMPUTED_VALUE"""),"World of Tentacles")</f>
        <v>World of Tentacles</v>
      </c>
      <c r="G150" s="2" t="str">
        <f ca="1">IFERROR(__xludf.DUMMYFUNCTION("""COMPUTED_VALUE"""),"Porn &amp; Paraphernalia")</f>
        <v>Porn &amp; Paraphernalia</v>
      </c>
      <c r="H150" s="2" t="str">
        <f ca="1">IFERROR(__xludf.DUMMYFUNCTION("""COMPUTED_VALUE"""),"There are computers and then there are supercomputers. Normally this machine is room sized and requires a standard power supply. In this base form it performs a high quality mainframe, as the better of your current world's or one built on a modern Earth c"&amp;"irca 2010 AD (whichever is superior), and can be upgraded normally. However the computer's interior conceals a writhing mass of cables which act in a suspiciously tentacle-like manner. They will attempt to 'connect' in a highly sexual manner to anyone bes"&amp;"ides you who is unwise enough to touch the machine (or to attempt a connection for AIs or technopaths). You and any others you authorise can treat this as merely a disconcerting form of neural interface which somehow doesn't distract from use of the syste"&amp;"m.
However any unauthorised individuals are pulled inside the machine and restrained by it to be used as biological hardware. The performance of the system improves with their intellect and skills, but not personal memories, accessible for its use. When "&amp;"not working on a task the system improves itself as though the victim was actively working to upgrade the system's software and hardware in cooperation with all other victims. Victims are sustained by the system as though they were a normal electronic com"&amp;"ponent although the size of the machine, and its power consumption, does increase for each victim it contains.")</f>
        <v>There are computers and then there are supercomputers. Normally this machine is room sized and requires a standard power supply. In this base form it performs a high quality mainframe, as the better of your current world's or one built on a modern Earth circa 2010 AD (whichever is superior), and can be upgraded normally. However the computer's interior conceals a writhing mass of cables which act in a suspiciously tentacle-like manner. They will attempt to 'connect' in a highly sexual manner to anyone besides you who is unwise enough to touch the machine (or to attempt a connection for AIs or technopaths). You and any others you authorise can treat this as merely a disconcerting form of neural interface which somehow doesn't distract from use of the system.
However any unauthorised individuals are pulled inside the machine and restrained by it to be used as biological hardware. The performance of the system improves with their intellect and skills, but not personal memories, accessible for its use. When not working on a task the system improves itself as though the victim was actively working to upgrade the system's software and hardware in cooperation with all other victims. Victims are sustained by the system as though they were a normal electronic component although the size of the machine, and its power consumption, does increase for each victim it contains.</v>
      </c>
      <c r="I150" s="5"/>
    </row>
    <row r="151" spans="1:9" ht="330.6" x14ac:dyDescent="0.25">
      <c r="A151" s="16"/>
      <c r="B151" s="17">
        <v>147</v>
      </c>
      <c r="C151" s="2" t="b">
        <f ca="1">IFERROR(__xludf.DUMMYFUNCTION("""COMPUTED_VALUE"""),FALSE)</f>
        <v>0</v>
      </c>
      <c r="D151" s="2">
        <f ca="1">IFERROR(__xludf.DUMMYFUNCTION("""COMPUTED_VALUE"""),600)</f>
        <v>600</v>
      </c>
      <c r="E151" s="2" t="str">
        <f ca="1">IFERROR(__xludf.DUMMYFUNCTION("""COMPUTED_VALUE"""),"A Towel")</f>
        <v>A Towel</v>
      </c>
      <c r="F151" s="2" t="str">
        <f ca="1">IFERROR(__xludf.DUMMYFUNCTION("""COMPUTED_VALUE"""),"Generic: Lewd Science Fiction")</f>
        <v>Generic: Lewd Science Fiction</v>
      </c>
      <c r="G151" s="2" t="str">
        <f ca="1">IFERROR(__xludf.DUMMYFUNCTION("""COMPUTED_VALUE"""),"Porn &amp; Paraphernalia")</f>
        <v>Porn &amp; Paraphernalia</v>
      </c>
      <c r="H151" s="2" t="str">
        <f ca="1">IFERROR(__xludf.DUMMYFUNCTION("""COMPUTED_VALUE"""),"What good is a towel, you ask? Why, this is only the finest clarketech towel a hyper-advanced species has ever invented. It’s incomparably soft and fluffy, and dries your body without becoming sopping wet itself. It’s whatever color you want it to be, and"&amp;" is always clean and fresh. Used as a blanket it’s as warm as a feather doona, used to lie on it’s as comfortable as a mattress, and used to cover your head in a storm it is waterproof. 
It’s cut, tear, and puncture-proof, impermeable to anything on the "&amp;"electromagnetic spectrum and a lot of things not on it – preventing even X-ray vision from peeking through it if you’ve got it wrapped around yourself, and it makes an effective shield against lasers and rayguns, yet you can still cover your face and brea"&amp;"th through it to filter out noxious fumes (which it does better than a real gas mask). When twisted up and whipped at foes, it’s a formidable weapon with the heft of a laser-resistant metal bar.
The presence of this towel also has an effect on bystanders"&amp;": unless they are extraordinarily selfish or on outright inhospitable terms with you, others will happily lend you things which they deem “trivial”. A space trucker might loan you a spare old space suit, a galactic tyrant might lend you a small army and o"&amp;"ne of his less-used summer palaces.
And finally, you always know where it is in relation to yourself at all times.")</f>
        <v>What good is a towel, you ask? Why, this is only the finest clarketech towel a hyper-advanced species has ever invented. It’s incomparably soft and fluffy, and dries your body without becoming sopping wet itself. It’s whatever color you want it to be, and is always clean and fresh. Used as a blanket it’s as warm as a feather doona, used to lie on it’s as comfortable as a mattress, and used to cover your head in a storm it is waterproof. 
It’s cut, tear, and puncture-proof, impermeable to anything on the electromagnetic spectrum and a lot of things not on it – preventing even X-ray vision from peeking through it if you’ve got it wrapped around yourself, and it makes an effective shield against lasers and rayguns, yet you can still cover your face and breath through it to filter out noxious fumes (which it does better than a real gas mask). When twisted up and whipped at foes, it’s a formidable weapon with the heft of a laser-resistant metal bar.
The presence of this towel also has an effect on bystanders: unless they are extraordinarily selfish or on outright inhospitable terms with you, others will happily lend you things which they deem “trivial”. A space trucker might loan you a spare old space suit, a galactic tyrant might lend you a small army and one of his less-used summer palaces.
And finally, you always know where it is in relation to yourself at all times.</v>
      </c>
      <c r="I151" s="5"/>
    </row>
    <row r="152" spans="1:9" ht="174" x14ac:dyDescent="0.25">
      <c r="A152" s="16"/>
      <c r="B152" s="17">
        <v>148</v>
      </c>
      <c r="C152" s="2" t="b">
        <f ca="1">IFERROR(__xludf.DUMMYFUNCTION("""COMPUTED_VALUE"""),FALSE)</f>
        <v>0</v>
      </c>
      <c r="D152" s="2">
        <f ca="1">IFERROR(__xludf.DUMMYFUNCTION("""COMPUTED_VALUE"""),600)</f>
        <v>600</v>
      </c>
      <c r="E152" s="2" t="str">
        <f ca="1">IFERROR(__xludf.DUMMYFUNCTION("""COMPUTED_VALUE"""),"Sex Drive")</f>
        <v>Sex Drive</v>
      </c>
      <c r="F152" s="2" t="str">
        <f ca="1">IFERROR(__xludf.DUMMYFUNCTION("""COMPUTED_VALUE"""),"Generic: Lewd Science Fiction")</f>
        <v>Generic: Lewd Science Fiction</v>
      </c>
      <c r="G152" s="2" t="str">
        <f ca="1">IFERROR(__xludf.DUMMYFUNCTION("""COMPUTED_VALUE"""),"Porn &amp; Paraphernalia")</f>
        <v>Porn &amp; Paraphernalia</v>
      </c>
      <c r="H152" s="2" t="str">
        <f ca="1">IFERROR(__xludf.DUMMYFUNCTION("""COMPUTED_VALUE"""),"You know how some space ships have that ‘something extra’ under the hood that makes them go faster, shoot harder and fly like a rocket-powered hummingbird? This is that something. This is a comprehensive reactor/hyperdrive system that can provide stupidly"&amp;" fast interstellar travel with the accuracy to place your ship anywhere it can fit – doesn’t matter if you’re in a gravity well or trying to exit hyperspace into a sealed hanger, it’ll get you there safely with speed almost nothing can match. 
The only c"&amp;"atch is it somehow absorbs sexual energy from the people aboard and uses that for power. An up-tight prude or a couple with unresolved sexual tension will find this drive barely works, but if those aboard have a lot of (ahem) free-flowing sexual energy, i"&amp;"t’ll take you anywhere you want to go. (Does not come with Spaceship)")</f>
        <v>You know how some space ships have that ‘something extra’ under the hood that makes them go faster, shoot harder and fly like a rocket-powered hummingbird? This is that something. This is a comprehensive reactor/hyperdrive system that can provide stupidly fast interstellar travel with the accuracy to place your ship anywhere it can fit – doesn’t matter if you’re in a gravity well or trying to exit hyperspace into a sealed hanger, it’ll get you there safely with speed almost nothing can match. 
The only catch is it somehow absorbs sexual energy from the people aboard and uses that for power. An up-tight prude or a couple with unresolved sexual tension will find this drive barely works, but if those aboard have a lot of (ahem) free-flowing sexual energy, it’ll take you anywhere you want to go. (Does not come with Spaceship)</v>
      </c>
      <c r="I152" s="5"/>
    </row>
    <row r="153" spans="1:9" ht="69.599999999999994" x14ac:dyDescent="0.25">
      <c r="A153" s="16"/>
      <c r="B153" s="17">
        <v>149</v>
      </c>
      <c r="C153" s="2" t="b">
        <f ca="1">IFERROR(__xludf.DUMMYFUNCTION("""COMPUTED_VALUE"""),FALSE)</f>
        <v>0</v>
      </c>
      <c r="D153" s="2">
        <f ca="1">IFERROR(__xludf.DUMMYFUNCTION("""COMPUTED_VALUE"""),600)</f>
        <v>600</v>
      </c>
      <c r="E153" s="2" t="str">
        <f ca="1">IFERROR(__xludf.DUMMYFUNCTION("""COMPUTED_VALUE"""),"Yum Yum Bubblegum")</f>
        <v>Yum Yum Bubblegum</v>
      </c>
      <c r="F153" s="2" t="str">
        <f ca="1">IFERROR(__xludf.DUMMYFUNCTION("""COMPUTED_VALUE"""),"Carbon Pink")</f>
        <v>Carbon Pink</v>
      </c>
      <c r="G153" s="2" t="str">
        <f ca="1">IFERROR(__xludf.DUMMYFUNCTION("""COMPUTED_VALUE"""),"Porn &amp; Paraphernalia")</f>
        <v>Porn &amp; Paraphernalia</v>
      </c>
      <c r="H153" s="2" t="str">
        <f ca="1">IFERROR(__xludf.DUMMYFUNCTION("""COMPUTED_VALUE"""),"You have an instinctive sense for how to make the best porn you possibly can, be able to instantly understand the best kind of angle to use, how the actors should be behaving and being able to set up a scene just right. This also gives you better luck wit"&amp;"h dating multiple people at the same time, to the point where you could have a personal harem which exceeds the ten-million mark.")</f>
        <v>You have an instinctive sense for how to make the best porn you possibly can, be able to instantly understand the best kind of angle to use, how the actors should be behaving and being able to set up a scene just right. This also gives you better luck with dating multiple people at the same time, to the point where you could have a personal harem which exceeds the ten-million mark.</v>
      </c>
      <c r="I153" s="5"/>
    </row>
    <row r="154" spans="1:9" ht="34.799999999999997" x14ac:dyDescent="0.25">
      <c r="A154" s="16"/>
      <c r="B154" s="17"/>
      <c r="C154" s="2" t="b">
        <f ca="1">IFERROR(__xludf.DUMMYFUNCTION("""COMPUTED_VALUE"""),TRUE)</f>
        <v>1</v>
      </c>
      <c r="D154" s="2">
        <f ca="1">IFERROR(__xludf.DUMMYFUNCTION("""COMPUTED_VALUE"""),-100)</f>
        <v>-100</v>
      </c>
      <c r="E154" s="2" t="str">
        <f ca="1">IFERROR(__xludf.DUMMYFUNCTION("""COMPUTED_VALUE"""),"Purchased Perks")</f>
        <v>Purchased Perks</v>
      </c>
      <c r="F154" s="2">
        <f ca="1">IFERROR(__xludf.DUMMYFUNCTION("""COMPUTED_VALUE"""),8)</f>
        <v>8</v>
      </c>
      <c r="G154" s="2" t="str">
        <f ca="1">IFERROR(__xludf.DUMMYFUNCTION("""COMPUTED_VALUE"""),"Porn &amp; Paraphernalia")</f>
        <v>Porn &amp; Paraphernalia</v>
      </c>
      <c r="H154" s="2"/>
      <c r="I154" s="5"/>
    </row>
    <row r="155" spans="1:9" ht="17.399999999999999" x14ac:dyDescent="0.25">
      <c r="A155" s="16"/>
      <c r="B155" s="17"/>
      <c r="C155" s="2"/>
      <c r="D155" s="2"/>
      <c r="E155" s="2"/>
      <c r="F155" s="2"/>
      <c r="G155" s="2"/>
      <c r="H155" s="2"/>
      <c r="I155" s="5"/>
    </row>
    <row r="156" spans="1:9" ht="17.399999999999999" x14ac:dyDescent="0.25">
      <c r="A156" s="16"/>
      <c r="B156" s="17"/>
      <c r="C156" s="2"/>
      <c r="D156" s="2"/>
      <c r="E156" s="2"/>
      <c r="F156" s="2"/>
      <c r="G156" s="2"/>
      <c r="H156" s="2"/>
      <c r="I156" s="5"/>
    </row>
    <row r="157" spans="1:9" ht="17.399999999999999" x14ac:dyDescent="0.25">
      <c r="A157" s="16"/>
      <c r="B157" s="17"/>
      <c r="C157" s="2"/>
      <c r="D157" s="2"/>
      <c r="E157" s="2"/>
      <c r="F157" s="2"/>
      <c r="G157" s="2"/>
      <c r="H157" s="2"/>
      <c r="I157" s="5"/>
    </row>
    <row r="158" spans="1:9" ht="17.399999999999999" x14ac:dyDescent="0.25">
      <c r="A158" s="16"/>
      <c r="B158" s="17"/>
      <c r="C158" s="2"/>
      <c r="D158" s="2"/>
      <c r="E158" s="2"/>
      <c r="F158" s="2"/>
      <c r="G158" s="2"/>
      <c r="H158" s="2"/>
      <c r="I158" s="5"/>
    </row>
    <row r="159" spans="1:9" ht="17.399999999999999" x14ac:dyDescent="0.25">
      <c r="A159" s="16"/>
      <c r="B159" s="17"/>
      <c r="C159" s="2"/>
      <c r="D159" s="2"/>
      <c r="E159" s="2"/>
      <c r="F159" s="2"/>
      <c r="G159" s="2"/>
      <c r="H159" s="2"/>
      <c r="I159" s="5"/>
    </row>
    <row r="160" spans="1:9" ht="17.399999999999999" x14ac:dyDescent="0.25">
      <c r="A160" s="16"/>
      <c r="B160" s="17"/>
      <c r="C160" s="2"/>
      <c r="D160" s="2"/>
      <c r="E160" s="2"/>
      <c r="F160" s="2"/>
      <c r="G160" s="2"/>
      <c r="H160" s="2"/>
      <c r="I160" s="5"/>
    </row>
    <row r="161" spans="1:9" ht="17.399999999999999" x14ac:dyDescent="0.25">
      <c r="A161" s="16"/>
      <c r="B161" s="17"/>
      <c r="C161" s="2"/>
      <c r="D161" s="2"/>
      <c r="E161" s="2"/>
      <c r="F161" s="2"/>
      <c r="G161" s="2"/>
      <c r="H161" s="2"/>
      <c r="I161" s="5"/>
    </row>
    <row r="162" spans="1:9" ht="17.399999999999999" x14ac:dyDescent="0.25">
      <c r="A162" s="16"/>
      <c r="B162" s="17"/>
      <c r="C162" s="2"/>
      <c r="D162" s="2"/>
      <c r="E162" s="2"/>
      <c r="F162" s="2"/>
      <c r="G162" s="2"/>
      <c r="H162" s="2"/>
      <c r="I162" s="5"/>
    </row>
    <row r="163" spans="1:9" ht="17.399999999999999" x14ac:dyDescent="0.25">
      <c r="A163" s="16"/>
      <c r="B163" s="17"/>
      <c r="C163" s="2"/>
      <c r="D163" s="2"/>
      <c r="E163" s="2"/>
      <c r="F163" s="2"/>
      <c r="G163" s="2"/>
      <c r="H163" s="2"/>
      <c r="I163" s="5"/>
    </row>
    <row r="164" spans="1:9" ht="17.399999999999999" x14ac:dyDescent="0.25">
      <c r="A164" s="16"/>
      <c r="B164" s="17"/>
      <c r="C164" s="2"/>
      <c r="D164" s="2"/>
      <c r="E164" s="2"/>
      <c r="F164" s="2"/>
      <c r="G164" s="2"/>
      <c r="H164" s="2"/>
      <c r="I164" s="5"/>
    </row>
    <row r="165" spans="1:9" ht="17.399999999999999" x14ac:dyDescent="0.25">
      <c r="A165" s="16"/>
      <c r="B165" s="17"/>
      <c r="C165" s="2"/>
      <c r="D165" s="2"/>
      <c r="E165" s="2"/>
      <c r="F165" s="2"/>
      <c r="G165" s="2"/>
      <c r="H165" s="2"/>
      <c r="I165" s="5"/>
    </row>
    <row r="166" spans="1:9" ht="17.399999999999999" x14ac:dyDescent="0.25">
      <c r="A166" s="16"/>
      <c r="B166" s="17"/>
      <c r="C166" s="2"/>
      <c r="D166" s="2"/>
      <c r="E166" s="2"/>
      <c r="F166" s="2"/>
      <c r="G166" s="2"/>
      <c r="H166" s="2"/>
      <c r="I166" s="5"/>
    </row>
    <row r="167" spans="1:9" ht="17.399999999999999" x14ac:dyDescent="0.25">
      <c r="A167" s="16"/>
      <c r="B167" s="17"/>
      <c r="C167" s="2"/>
      <c r="D167" s="2"/>
      <c r="E167" s="2"/>
      <c r="F167" s="2"/>
      <c r="G167" s="2"/>
      <c r="H167" s="2"/>
      <c r="I167" s="5"/>
    </row>
    <row r="168" spans="1:9" ht="17.399999999999999" x14ac:dyDescent="0.25">
      <c r="A168" s="16"/>
      <c r="B168" s="17"/>
      <c r="C168" s="2"/>
      <c r="D168" s="2"/>
      <c r="E168" s="2"/>
      <c r="F168" s="2"/>
      <c r="G168" s="2"/>
      <c r="H168" s="2"/>
      <c r="I168" s="5"/>
    </row>
    <row r="169" spans="1:9" ht="17.399999999999999" x14ac:dyDescent="0.25">
      <c r="A169" s="16"/>
      <c r="B169" s="17"/>
      <c r="C169" s="2"/>
      <c r="D169" s="2"/>
      <c r="E169" s="2"/>
      <c r="F169" s="2"/>
      <c r="G169" s="2"/>
      <c r="H169" s="2"/>
      <c r="I169" s="5"/>
    </row>
    <row r="170" spans="1:9" ht="17.399999999999999" x14ac:dyDescent="0.25">
      <c r="A170" s="16"/>
      <c r="B170" s="17"/>
      <c r="C170" s="2"/>
      <c r="D170" s="2"/>
      <c r="E170" s="2"/>
      <c r="F170" s="2"/>
      <c r="G170" s="2"/>
      <c r="H170" s="2"/>
      <c r="I170" s="5"/>
    </row>
    <row r="171" spans="1:9" ht="17.399999999999999" x14ac:dyDescent="0.25">
      <c r="A171" s="16"/>
      <c r="B171" s="17"/>
      <c r="C171" s="2"/>
      <c r="D171" s="2"/>
      <c r="E171" s="2"/>
      <c r="F171" s="2"/>
      <c r="G171" s="2"/>
      <c r="H171" s="2"/>
      <c r="I171" s="5"/>
    </row>
    <row r="172" spans="1:9" ht="17.399999999999999" x14ac:dyDescent="0.25">
      <c r="A172" s="16"/>
      <c r="B172" s="17"/>
      <c r="C172" s="2"/>
      <c r="D172" s="2"/>
      <c r="E172" s="2"/>
      <c r="F172" s="2"/>
      <c r="G172" s="2"/>
      <c r="H172" s="2"/>
      <c r="I172" s="5"/>
    </row>
    <row r="173" spans="1:9" ht="17.399999999999999" x14ac:dyDescent="0.25">
      <c r="A173" s="16"/>
      <c r="B173" s="17"/>
      <c r="C173" s="2"/>
      <c r="D173" s="2"/>
      <c r="E173" s="2"/>
      <c r="F173" s="2"/>
      <c r="G173" s="2"/>
      <c r="H173" s="2"/>
      <c r="I173" s="5"/>
    </row>
    <row r="174" spans="1:9" ht="17.399999999999999" x14ac:dyDescent="0.25">
      <c r="A174" s="16"/>
      <c r="B174" s="17"/>
      <c r="C174" s="2"/>
      <c r="D174" s="2"/>
      <c r="E174" s="2"/>
      <c r="F174" s="2"/>
      <c r="G174" s="2"/>
      <c r="H174" s="2"/>
      <c r="I174" s="5"/>
    </row>
    <row r="175" spans="1:9" ht="17.399999999999999" x14ac:dyDescent="0.25">
      <c r="A175" s="16"/>
      <c r="B175" s="17"/>
      <c r="C175" s="2"/>
      <c r="D175" s="2"/>
      <c r="E175" s="2"/>
      <c r="F175" s="2"/>
      <c r="G175" s="2"/>
      <c r="H175" s="2"/>
      <c r="I175" s="5"/>
    </row>
    <row r="176" spans="1:9" ht="17.399999999999999" x14ac:dyDescent="0.25">
      <c r="A176" s="16"/>
      <c r="B176" s="17"/>
      <c r="C176" s="2"/>
      <c r="D176" s="2"/>
      <c r="E176" s="2"/>
      <c r="F176" s="2"/>
      <c r="G176" s="2"/>
      <c r="H176" s="2"/>
      <c r="I176" s="5"/>
    </row>
    <row r="177" spans="1:9" ht="17.399999999999999" x14ac:dyDescent="0.25">
      <c r="A177" s="16"/>
      <c r="B177" s="17"/>
      <c r="C177" s="2"/>
      <c r="D177" s="2"/>
      <c r="E177" s="2"/>
      <c r="F177" s="2"/>
      <c r="G177" s="2"/>
      <c r="H177" s="2"/>
      <c r="I177" s="5"/>
    </row>
    <row r="178" spans="1:9" ht="17.399999999999999" x14ac:dyDescent="0.25">
      <c r="A178" s="16"/>
      <c r="B178" s="17"/>
      <c r="C178" s="2"/>
      <c r="D178" s="2"/>
      <c r="E178" s="2"/>
      <c r="F178" s="2"/>
      <c r="G178" s="2"/>
      <c r="H178" s="2"/>
      <c r="I178" s="5"/>
    </row>
    <row r="179" spans="1:9" ht="17.399999999999999" x14ac:dyDescent="0.25">
      <c r="A179" s="16"/>
      <c r="B179" s="17"/>
      <c r="C179" s="2"/>
      <c r="D179" s="2"/>
      <c r="E179" s="2"/>
      <c r="F179" s="2"/>
      <c r="G179" s="2"/>
      <c r="H179" s="2"/>
      <c r="I179" s="5"/>
    </row>
    <row r="180" spans="1:9" ht="17.399999999999999" x14ac:dyDescent="0.25">
      <c r="A180" s="16"/>
      <c r="B180" s="17"/>
      <c r="C180" s="2"/>
      <c r="D180" s="2"/>
      <c r="E180" s="2"/>
      <c r="F180" s="2"/>
      <c r="G180" s="2"/>
      <c r="H180" s="2"/>
      <c r="I180" s="5"/>
    </row>
    <row r="181" spans="1:9" ht="17.399999999999999" x14ac:dyDescent="0.25">
      <c r="A181" s="16"/>
      <c r="B181" s="17"/>
      <c r="C181" s="2"/>
      <c r="D181" s="2"/>
      <c r="E181" s="2"/>
      <c r="F181" s="2"/>
      <c r="G181" s="2"/>
      <c r="H181" s="2"/>
      <c r="I181" s="5"/>
    </row>
    <row r="182" spans="1:9" ht="17.399999999999999" x14ac:dyDescent="0.25">
      <c r="A182" s="16"/>
      <c r="B182" s="17"/>
      <c r="C182" s="2"/>
      <c r="D182" s="2"/>
      <c r="E182" s="2"/>
      <c r="F182" s="2"/>
      <c r="G182" s="2"/>
      <c r="H182" s="2"/>
      <c r="I182" s="5"/>
    </row>
    <row r="183" spans="1:9" ht="17.399999999999999" x14ac:dyDescent="0.25">
      <c r="A183" s="16"/>
      <c r="B183" s="17"/>
      <c r="C183" s="2"/>
      <c r="D183" s="2"/>
      <c r="E183" s="2"/>
      <c r="F183" s="2"/>
      <c r="G183" s="2"/>
      <c r="H183" s="2"/>
      <c r="I183" s="5"/>
    </row>
    <row r="184" spans="1:9" ht="17.399999999999999" x14ac:dyDescent="0.25">
      <c r="A184" s="16"/>
      <c r="B184" s="17"/>
      <c r="C184" s="2"/>
      <c r="D184" s="2"/>
      <c r="E184" s="2"/>
      <c r="F184" s="2"/>
      <c r="G184" s="2"/>
      <c r="H184" s="2"/>
      <c r="I184" s="5"/>
    </row>
    <row r="185" spans="1:9" ht="17.399999999999999" x14ac:dyDescent="0.25">
      <c r="A185" s="16"/>
      <c r="B185" s="17"/>
      <c r="C185" s="2"/>
      <c r="D185" s="2"/>
      <c r="E185" s="2"/>
      <c r="F185" s="2"/>
      <c r="G185" s="2"/>
      <c r="H185" s="2"/>
      <c r="I185" s="5"/>
    </row>
    <row r="186" spans="1:9" ht="17.399999999999999" x14ac:dyDescent="0.25">
      <c r="A186" s="16"/>
      <c r="B186" s="17"/>
      <c r="C186" s="2"/>
      <c r="D186" s="2"/>
      <c r="E186" s="2"/>
      <c r="F186" s="2"/>
      <c r="G186" s="2"/>
      <c r="H186" s="2"/>
      <c r="I186" s="5"/>
    </row>
    <row r="187" spans="1:9" ht="17.399999999999999" x14ac:dyDescent="0.25">
      <c r="A187" s="16"/>
      <c r="B187" s="17"/>
      <c r="C187" s="2"/>
      <c r="D187" s="2"/>
      <c r="E187" s="2"/>
      <c r="F187" s="2"/>
      <c r="G187" s="2"/>
      <c r="H187" s="2"/>
      <c r="I187" s="5"/>
    </row>
    <row r="188" spans="1:9" ht="17.399999999999999" x14ac:dyDescent="0.25">
      <c r="A188" s="16"/>
      <c r="B188" s="17"/>
      <c r="C188" s="2"/>
      <c r="D188" s="2"/>
      <c r="E188" s="2"/>
      <c r="F188" s="2"/>
      <c r="G188" s="2"/>
      <c r="H188" s="2"/>
      <c r="I188" s="5"/>
    </row>
    <row r="189" spans="1:9" ht="17.399999999999999" x14ac:dyDescent="0.25">
      <c r="A189" s="16"/>
      <c r="B189" s="17"/>
      <c r="C189" s="2"/>
      <c r="D189" s="2"/>
      <c r="E189" s="2"/>
      <c r="F189" s="2"/>
      <c r="G189" s="2"/>
      <c r="H189" s="2"/>
      <c r="I189" s="5"/>
    </row>
    <row r="190" spans="1:9" ht="17.399999999999999" x14ac:dyDescent="0.25">
      <c r="A190" s="16"/>
      <c r="B190" s="17"/>
      <c r="C190" s="2"/>
      <c r="D190" s="2"/>
      <c r="E190" s="2"/>
      <c r="F190" s="2"/>
      <c r="G190" s="2"/>
      <c r="H190" s="2"/>
      <c r="I190" s="5"/>
    </row>
    <row r="191" spans="1:9" ht="17.399999999999999" x14ac:dyDescent="0.25">
      <c r="A191" s="16"/>
      <c r="B191" s="17"/>
      <c r="C191" s="2"/>
      <c r="D191" s="2"/>
      <c r="E191" s="2"/>
      <c r="F191" s="2"/>
      <c r="G191" s="2"/>
      <c r="H191" s="2"/>
      <c r="I191" s="5"/>
    </row>
    <row r="192" spans="1:9" ht="17.399999999999999" x14ac:dyDescent="0.25">
      <c r="A192" s="16"/>
      <c r="B192" s="17"/>
      <c r="C192" s="2"/>
      <c r="D192" s="2"/>
      <c r="E192" s="2"/>
      <c r="F192" s="2"/>
      <c r="G192" s="2"/>
      <c r="H192" s="2"/>
      <c r="I192" s="5"/>
    </row>
    <row r="193" spans="1:9" ht="17.399999999999999" x14ac:dyDescent="0.25">
      <c r="A193" s="16"/>
      <c r="B193" s="17"/>
      <c r="C193" s="2"/>
      <c r="D193" s="2"/>
      <c r="E193" s="2"/>
      <c r="F193" s="2"/>
      <c r="G193" s="2"/>
      <c r="H193" s="2"/>
      <c r="I193" s="5"/>
    </row>
    <row r="194" spans="1:9" ht="17.399999999999999" x14ac:dyDescent="0.25">
      <c r="A194" s="16"/>
      <c r="B194" s="17"/>
      <c r="C194" s="2"/>
      <c r="D194" s="2"/>
      <c r="E194" s="2"/>
      <c r="F194" s="2"/>
      <c r="G194" s="2"/>
      <c r="H194" s="2"/>
      <c r="I194" s="5"/>
    </row>
    <row r="195" spans="1:9" ht="17.399999999999999" x14ac:dyDescent="0.25">
      <c r="A195" s="16"/>
      <c r="B195" s="17"/>
      <c r="C195" s="2"/>
      <c r="D195" s="2"/>
      <c r="E195" s="2"/>
      <c r="F195" s="2"/>
      <c r="G195" s="2"/>
      <c r="H195" s="2"/>
      <c r="I195" s="5"/>
    </row>
    <row r="196" spans="1:9" ht="17.399999999999999" x14ac:dyDescent="0.25">
      <c r="A196" s="16"/>
      <c r="B196" s="17"/>
      <c r="C196" s="2"/>
      <c r="D196" s="2"/>
      <c r="E196" s="2"/>
      <c r="F196" s="2"/>
      <c r="G196" s="2"/>
      <c r="H196" s="2"/>
      <c r="I196" s="5"/>
    </row>
    <row r="197" spans="1:9" ht="17.399999999999999" x14ac:dyDescent="0.25">
      <c r="A197" s="16"/>
      <c r="B197" s="17"/>
      <c r="C197" s="2"/>
      <c r="D197" s="2"/>
      <c r="E197" s="2"/>
      <c r="F197" s="2"/>
      <c r="G197" s="2"/>
      <c r="H197" s="2"/>
      <c r="I197" s="5"/>
    </row>
    <row r="198" spans="1:9" ht="17.399999999999999" x14ac:dyDescent="0.25">
      <c r="A198" s="16"/>
      <c r="B198" s="17"/>
      <c r="C198" s="2"/>
      <c r="D198" s="2"/>
      <c r="E198" s="2"/>
      <c r="F198" s="2"/>
      <c r="G198" s="2"/>
      <c r="H198" s="2"/>
      <c r="I198" s="5"/>
    </row>
    <row r="199" spans="1:9" ht="17.399999999999999" x14ac:dyDescent="0.25">
      <c r="A199" s="16"/>
      <c r="B199" s="17"/>
      <c r="C199" s="2"/>
      <c r="D199" s="2"/>
      <c r="E199" s="2"/>
      <c r="F199" s="2"/>
      <c r="G199" s="2"/>
      <c r="H199" s="2"/>
      <c r="I199" s="5"/>
    </row>
    <row r="200" spans="1:9" ht="17.399999999999999" x14ac:dyDescent="0.25">
      <c r="A200" s="16"/>
      <c r="B200" s="17"/>
      <c r="C200" s="2"/>
      <c r="D200" s="2"/>
      <c r="E200" s="2"/>
      <c r="F200" s="2"/>
      <c r="G200" s="2"/>
      <c r="H200" s="2"/>
      <c r="I200" s="5"/>
    </row>
    <row r="201" spans="1:9" ht="17.399999999999999" x14ac:dyDescent="0.25">
      <c r="A201" s="16"/>
      <c r="B201" s="17"/>
      <c r="C201" s="2"/>
      <c r="D201" s="2"/>
      <c r="E201" s="2"/>
      <c r="F201" s="2"/>
      <c r="G201" s="2"/>
      <c r="H201" s="2"/>
      <c r="I201" s="5"/>
    </row>
    <row r="202" spans="1:9" ht="17.399999999999999" x14ac:dyDescent="0.25">
      <c r="A202" s="16"/>
      <c r="B202" s="17"/>
      <c r="C202" s="2"/>
      <c r="D202" s="2"/>
      <c r="E202" s="2"/>
      <c r="F202" s="2"/>
      <c r="G202" s="2"/>
      <c r="H202" s="2"/>
      <c r="I202" s="5"/>
    </row>
    <row r="203" spans="1:9" ht="17.399999999999999" x14ac:dyDescent="0.25">
      <c r="A203" s="16"/>
      <c r="B203" s="17"/>
      <c r="C203" s="2"/>
      <c r="D203" s="2"/>
      <c r="E203" s="2"/>
      <c r="F203" s="2"/>
      <c r="G203" s="2"/>
      <c r="H203" s="2"/>
      <c r="I203" s="5"/>
    </row>
    <row r="204" spans="1:9" ht="17.399999999999999" x14ac:dyDescent="0.25">
      <c r="A204" s="16"/>
      <c r="B204" s="17"/>
      <c r="C204" s="2"/>
      <c r="D204" s="2"/>
      <c r="E204" s="2"/>
      <c r="F204" s="2"/>
      <c r="G204" s="2"/>
      <c r="H204" s="2"/>
      <c r="I204" s="5"/>
    </row>
    <row r="205" spans="1:9" ht="17.399999999999999" x14ac:dyDescent="0.25">
      <c r="A205" s="16"/>
      <c r="B205" s="17"/>
      <c r="C205" s="2"/>
      <c r="D205" s="2"/>
      <c r="E205" s="2"/>
      <c r="F205" s="2"/>
      <c r="G205" s="2"/>
      <c r="H205" s="2"/>
      <c r="I205" s="5"/>
    </row>
    <row r="206" spans="1:9" ht="17.399999999999999" x14ac:dyDescent="0.25">
      <c r="A206" s="16"/>
      <c r="B206" s="17"/>
      <c r="C206" s="2"/>
      <c r="D206" s="2"/>
      <c r="E206" s="2"/>
      <c r="F206" s="2"/>
      <c r="G206" s="2"/>
      <c r="H206" s="2"/>
      <c r="I206" s="5"/>
    </row>
    <row r="207" spans="1:9" ht="17.399999999999999" x14ac:dyDescent="0.25">
      <c r="A207" s="16"/>
      <c r="B207" s="17"/>
      <c r="C207" s="2"/>
      <c r="D207" s="2"/>
      <c r="E207" s="2"/>
      <c r="F207" s="2"/>
      <c r="G207" s="2"/>
      <c r="H207" s="2"/>
      <c r="I207" s="5"/>
    </row>
    <row r="208" spans="1:9" ht="17.399999999999999" x14ac:dyDescent="0.25">
      <c r="A208" s="16"/>
      <c r="B208" s="17"/>
      <c r="C208" s="2"/>
      <c r="D208" s="2"/>
      <c r="E208" s="2"/>
      <c r="F208" s="2"/>
      <c r="G208" s="2"/>
      <c r="H208" s="2"/>
      <c r="I208" s="5"/>
    </row>
    <row r="209" spans="1:9" ht="17.399999999999999" x14ac:dyDescent="0.25">
      <c r="A209" s="16"/>
      <c r="B209" s="17"/>
      <c r="C209" s="2"/>
      <c r="D209" s="2"/>
      <c r="E209" s="2"/>
      <c r="F209" s="2"/>
      <c r="G209" s="2"/>
      <c r="H209" s="2"/>
      <c r="I209" s="5"/>
    </row>
    <row r="210" spans="1:9" ht="17.399999999999999" x14ac:dyDescent="0.25">
      <c r="A210" s="16"/>
      <c r="B210" s="17"/>
      <c r="C210" s="2"/>
      <c r="D210" s="2"/>
      <c r="E210" s="2"/>
      <c r="F210" s="2"/>
      <c r="G210" s="2"/>
      <c r="H210" s="2"/>
      <c r="I210" s="5"/>
    </row>
    <row r="211" spans="1:9" ht="17.399999999999999" x14ac:dyDescent="0.25">
      <c r="A211" s="16"/>
      <c r="B211" s="17"/>
      <c r="C211" s="2"/>
      <c r="D211" s="2"/>
      <c r="E211" s="2"/>
      <c r="F211" s="2"/>
      <c r="G211" s="2"/>
      <c r="H211" s="2"/>
      <c r="I211" s="5"/>
    </row>
    <row r="212" spans="1:9" ht="17.399999999999999" x14ac:dyDescent="0.25">
      <c r="A212" s="16"/>
      <c r="B212" s="17"/>
      <c r="C212" s="2"/>
      <c r="D212" s="2"/>
      <c r="E212" s="2"/>
      <c r="F212" s="2"/>
      <c r="G212" s="2"/>
      <c r="H212" s="2"/>
      <c r="I212" s="5"/>
    </row>
    <row r="213" spans="1:9" ht="17.399999999999999" x14ac:dyDescent="0.25">
      <c r="A213" s="16"/>
      <c r="B213" s="17"/>
      <c r="C213" s="2"/>
      <c r="D213" s="2"/>
      <c r="E213" s="2"/>
      <c r="F213" s="2"/>
      <c r="G213" s="2"/>
      <c r="H213" s="2"/>
      <c r="I213" s="5"/>
    </row>
    <row r="214" spans="1:9" ht="17.399999999999999" x14ac:dyDescent="0.25">
      <c r="A214" s="16"/>
      <c r="B214" s="17"/>
      <c r="C214" s="2"/>
      <c r="D214" s="2"/>
      <c r="E214" s="2"/>
      <c r="F214" s="2"/>
      <c r="G214" s="2"/>
      <c r="H214" s="2"/>
      <c r="I214" s="5"/>
    </row>
    <row r="215" spans="1:9" ht="17.399999999999999" x14ac:dyDescent="0.25">
      <c r="A215" s="16"/>
      <c r="B215" s="17"/>
      <c r="C215" s="2"/>
      <c r="D215" s="2"/>
      <c r="E215" s="2"/>
      <c r="F215" s="2"/>
      <c r="G215" s="2"/>
      <c r="H215" s="2"/>
      <c r="I215" s="5"/>
    </row>
    <row r="216" spans="1:9" ht="17.399999999999999" x14ac:dyDescent="0.25">
      <c r="A216" s="16"/>
      <c r="B216" s="17"/>
      <c r="C216" s="2"/>
      <c r="D216" s="2"/>
      <c r="E216" s="2"/>
      <c r="F216" s="2"/>
      <c r="G216" s="2"/>
      <c r="H216" s="2"/>
      <c r="I216" s="5"/>
    </row>
    <row r="217" spans="1:9" ht="17.399999999999999" x14ac:dyDescent="0.25">
      <c r="A217" s="16"/>
      <c r="B217" s="17"/>
      <c r="C217" s="2"/>
      <c r="D217" s="2"/>
      <c r="E217" s="2"/>
      <c r="F217" s="2"/>
      <c r="G217" s="2"/>
      <c r="H217" s="2"/>
      <c r="I217" s="5"/>
    </row>
    <row r="218" spans="1:9" ht="17.399999999999999" x14ac:dyDescent="0.25">
      <c r="A218" s="16"/>
      <c r="B218" s="17"/>
      <c r="C218" s="2"/>
      <c r="D218" s="2"/>
      <c r="E218" s="2"/>
      <c r="F218" s="2"/>
      <c r="G218" s="2"/>
      <c r="H218" s="2"/>
      <c r="I218" s="5"/>
    </row>
    <row r="219" spans="1:9" ht="17.399999999999999" x14ac:dyDescent="0.25">
      <c r="A219" s="16"/>
      <c r="B219" s="17"/>
      <c r="C219" s="2"/>
      <c r="D219" s="2"/>
      <c r="E219" s="2"/>
      <c r="F219" s="2"/>
      <c r="G219" s="2"/>
      <c r="H219" s="2"/>
      <c r="I219" s="5"/>
    </row>
    <row r="220" spans="1:9" ht="17.399999999999999" x14ac:dyDescent="0.25">
      <c r="A220" s="16"/>
      <c r="B220" s="17"/>
      <c r="C220" s="2"/>
      <c r="D220" s="2"/>
      <c r="E220" s="2"/>
      <c r="F220" s="2"/>
      <c r="G220" s="2"/>
      <c r="H220" s="2"/>
      <c r="I220" s="5"/>
    </row>
    <row r="221" spans="1:9" ht="17.399999999999999" x14ac:dyDescent="0.25">
      <c r="A221" s="16"/>
      <c r="B221" s="17"/>
      <c r="C221" s="2"/>
      <c r="D221" s="2"/>
      <c r="E221" s="2"/>
      <c r="F221" s="2"/>
      <c r="G221" s="2"/>
      <c r="H221" s="2"/>
      <c r="I221" s="5"/>
    </row>
    <row r="222" spans="1:9" ht="17.399999999999999" x14ac:dyDescent="0.25">
      <c r="A222" s="16"/>
      <c r="B222" s="17"/>
      <c r="C222" s="2"/>
      <c r="D222" s="2"/>
      <c r="E222" s="2"/>
      <c r="F222" s="2"/>
      <c r="G222" s="2"/>
      <c r="H222" s="2"/>
      <c r="I222" s="5"/>
    </row>
    <row r="223" spans="1:9" ht="17.399999999999999" x14ac:dyDescent="0.25">
      <c r="A223" s="16"/>
      <c r="B223" s="17"/>
      <c r="C223" s="2"/>
      <c r="D223" s="2"/>
      <c r="E223" s="2"/>
      <c r="F223" s="2"/>
      <c r="G223" s="2"/>
      <c r="H223" s="2"/>
      <c r="I223" s="5"/>
    </row>
    <row r="224" spans="1:9" ht="17.399999999999999" x14ac:dyDescent="0.25">
      <c r="A224" s="16"/>
      <c r="B224" s="17"/>
      <c r="C224" s="2"/>
      <c r="D224" s="2"/>
      <c r="E224" s="2"/>
      <c r="F224" s="2"/>
      <c r="G224" s="2"/>
      <c r="H224" s="2"/>
      <c r="I224" s="5"/>
    </row>
    <row r="225" spans="1:9" ht="17.399999999999999" x14ac:dyDescent="0.25">
      <c r="A225" s="16"/>
      <c r="B225" s="17"/>
      <c r="C225" s="2"/>
      <c r="D225" s="2"/>
      <c r="E225" s="2"/>
      <c r="F225" s="2"/>
      <c r="G225" s="2"/>
      <c r="H225" s="2"/>
      <c r="I225" s="5"/>
    </row>
    <row r="226" spans="1:9" ht="17.399999999999999" x14ac:dyDescent="0.25">
      <c r="A226" s="16"/>
      <c r="B226" s="17"/>
      <c r="C226" s="2"/>
      <c r="D226" s="2"/>
      <c r="E226" s="2"/>
      <c r="F226" s="2"/>
      <c r="G226" s="2"/>
      <c r="H226" s="2"/>
      <c r="I226" s="5"/>
    </row>
    <row r="227" spans="1:9" ht="17.399999999999999" x14ac:dyDescent="0.25">
      <c r="A227" s="16"/>
      <c r="B227" s="17"/>
      <c r="C227" s="2"/>
      <c r="D227" s="2"/>
      <c r="E227" s="2"/>
      <c r="F227" s="2"/>
      <c r="G227" s="2"/>
      <c r="H227" s="2"/>
      <c r="I227" s="5"/>
    </row>
    <row r="228" spans="1:9" ht="17.399999999999999" x14ac:dyDescent="0.25">
      <c r="A228" s="16"/>
      <c r="B228" s="17"/>
      <c r="C228" s="2"/>
      <c r="D228" s="2"/>
      <c r="E228" s="2"/>
      <c r="F228" s="2"/>
      <c r="G228" s="2"/>
      <c r="H228" s="2"/>
      <c r="I228" s="5"/>
    </row>
    <row r="229" spans="1:9" ht="17.399999999999999" x14ac:dyDescent="0.25">
      <c r="A229" s="16"/>
      <c r="B229" s="17"/>
      <c r="C229" s="2"/>
      <c r="D229" s="2"/>
      <c r="E229" s="2"/>
      <c r="F229" s="2"/>
      <c r="G229" s="2"/>
      <c r="H229" s="2"/>
      <c r="I229" s="5"/>
    </row>
    <row r="230" spans="1:9" ht="17.399999999999999" x14ac:dyDescent="0.25">
      <c r="A230" s="16"/>
      <c r="B230" s="17"/>
      <c r="C230" s="2"/>
      <c r="D230" s="2"/>
      <c r="E230" s="2"/>
      <c r="F230" s="2"/>
      <c r="G230" s="2"/>
      <c r="H230" s="2"/>
      <c r="I230" s="5"/>
    </row>
    <row r="231" spans="1:9" ht="17.399999999999999" x14ac:dyDescent="0.25">
      <c r="A231" s="16"/>
      <c r="B231" s="17"/>
      <c r="C231" s="2"/>
      <c r="D231" s="2"/>
      <c r="E231" s="2"/>
      <c r="F231" s="2"/>
      <c r="G231" s="2"/>
      <c r="H231" s="2"/>
      <c r="I231" s="5"/>
    </row>
    <row r="232" spans="1:9" ht="17.399999999999999" x14ac:dyDescent="0.25">
      <c r="A232" s="16"/>
      <c r="B232" s="17"/>
      <c r="C232" s="2"/>
      <c r="D232" s="2"/>
      <c r="E232" s="2"/>
      <c r="F232" s="2"/>
      <c r="G232" s="2"/>
      <c r="H232" s="2"/>
      <c r="I232" s="5"/>
    </row>
    <row r="233" spans="1:9" ht="17.399999999999999" x14ac:dyDescent="0.25">
      <c r="A233" s="16"/>
      <c r="B233" s="17"/>
      <c r="C233" s="2"/>
      <c r="D233" s="2"/>
      <c r="E233" s="2"/>
      <c r="F233" s="2"/>
      <c r="G233" s="2"/>
      <c r="H233" s="2"/>
      <c r="I233" s="5"/>
    </row>
    <row r="234" spans="1:9" ht="17.399999999999999" x14ac:dyDescent="0.25">
      <c r="A234" s="16"/>
      <c r="B234" s="17"/>
      <c r="C234" s="2"/>
      <c r="D234" s="2"/>
      <c r="E234" s="2"/>
      <c r="F234" s="2"/>
      <c r="G234" s="2"/>
      <c r="H234" s="2"/>
      <c r="I234" s="5"/>
    </row>
    <row r="235" spans="1:9" ht="17.399999999999999" x14ac:dyDescent="0.25">
      <c r="A235" s="16"/>
      <c r="B235" s="17"/>
      <c r="C235" s="2"/>
      <c r="D235" s="2"/>
      <c r="E235" s="2"/>
      <c r="F235" s="2"/>
      <c r="G235" s="2"/>
      <c r="H235" s="2"/>
      <c r="I235" s="5"/>
    </row>
    <row r="236" spans="1:9" ht="17.399999999999999" x14ac:dyDescent="0.25">
      <c r="A236" s="16"/>
      <c r="B236" s="17"/>
      <c r="C236" s="2"/>
      <c r="D236" s="2"/>
      <c r="E236" s="2"/>
      <c r="F236" s="2"/>
      <c r="G236" s="2"/>
      <c r="H236" s="2"/>
      <c r="I236" s="5"/>
    </row>
    <row r="237" spans="1:9" ht="17.399999999999999" x14ac:dyDescent="0.25">
      <c r="A237" s="16"/>
      <c r="B237" s="17"/>
      <c r="C237" s="2"/>
      <c r="D237" s="2"/>
      <c r="E237" s="2"/>
      <c r="F237" s="2"/>
      <c r="G237" s="2"/>
      <c r="H237" s="2"/>
      <c r="I237" s="5"/>
    </row>
    <row r="238" spans="1:9" ht="17.399999999999999" x14ac:dyDescent="0.25">
      <c r="A238" s="16"/>
      <c r="B238" s="17"/>
      <c r="C238" s="2"/>
      <c r="D238" s="2"/>
      <c r="E238" s="2"/>
      <c r="F238" s="2"/>
      <c r="G238" s="2"/>
      <c r="H238" s="2"/>
      <c r="I238" s="5"/>
    </row>
    <row r="239" spans="1:9" ht="17.399999999999999" x14ac:dyDescent="0.25">
      <c r="A239" s="16"/>
      <c r="B239" s="17"/>
      <c r="C239" s="2"/>
      <c r="D239" s="2"/>
      <c r="E239" s="2"/>
      <c r="F239" s="2"/>
      <c r="G239" s="2"/>
      <c r="H239" s="2"/>
      <c r="I239" s="5"/>
    </row>
    <row r="240" spans="1:9" ht="17.399999999999999" x14ac:dyDescent="0.25">
      <c r="A240" s="16"/>
      <c r="B240" s="17"/>
      <c r="C240" s="2"/>
      <c r="D240" s="2"/>
      <c r="E240" s="2"/>
      <c r="F240" s="2"/>
      <c r="G240" s="2"/>
      <c r="H240" s="2"/>
      <c r="I240" s="5"/>
    </row>
    <row r="241" spans="1:9" ht="17.399999999999999" x14ac:dyDescent="0.25">
      <c r="A241" s="16"/>
      <c r="B241" s="17"/>
      <c r="C241" s="2"/>
      <c r="D241" s="2"/>
      <c r="E241" s="2"/>
      <c r="F241" s="2"/>
      <c r="G241" s="2"/>
      <c r="H241" s="2"/>
      <c r="I241" s="5"/>
    </row>
    <row r="242" spans="1:9" ht="17.399999999999999" x14ac:dyDescent="0.25">
      <c r="A242" s="16"/>
      <c r="B242" s="17"/>
      <c r="C242" s="2"/>
      <c r="D242" s="2"/>
      <c r="E242" s="2"/>
      <c r="F242" s="2"/>
      <c r="G242" s="2"/>
      <c r="H242" s="2"/>
      <c r="I242" s="5"/>
    </row>
    <row r="243" spans="1:9" ht="17.399999999999999" x14ac:dyDescent="0.25">
      <c r="A243" s="16"/>
      <c r="B243" s="17"/>
      <c r="C243" s="2"/>
      <c r="D243" s="2"/>
      <c r="E243" s="2"/>
      <c r="F243" s="2"/>
      <c r="G243" s="2"/>
      <c r="H243" s="2"/>
      <c r="I243" s="5"/>
    </row>
    <row r="244" spans="1:9" ht="17.399999999999999" x14ac:dyDescent="0.25">
      <c r="A244" s="16"/>
      <c r="B244" s="17"/>
      <c r="C244" s="2"/>
      <c r="D244" s="2"/>
      <c r="E244" s="2"/>
      <c r="F244" s="2"/>
      <c r="G244" s="2"/>
      <c r="H244" s="2"/>
      <c r="I244" s="5"/>
    </row>
    <row r="245" spans="1:9" ht="17.399999999999999" x14ac:dyDescent="0.25">
      <c r="A245" s="16"/>
      <c r="B245" s="17"/>
      <c r="C245" s="2"/>
      <c r="D245" s="2"/>
      <c r="E245" s="2"/>
      <c r="F245" s="2"/>
      <c r="G245" s="2"/>
      <c r="H245" s="2"/>
      <c r="I245" s="5"/>
    </row>
    <row r="246" spans="1:9" ht="17.399999999999999" x14ac:dyDescent="0.25">
      <c r="A246" s="16"/>
      <c r="B246" s="17"/>
      <c r="C246" s="2"/>
      <c r="D246" s="2"/>
      <c r="E246" s="2"/>
      <c r="F246" s="2"/>
      <c r="G246" s="2"/>
      <c r="H246" s="2"/>
      <c r="I246" s="5"/>
    </row>
    <row r="247" spans="1:9" ht="17.399999999999999" x14ac:dyDescent="0.25">
      <c r="A247" s="16"/>
      <c r="B247" s="17"/>
      <c r="C247" s="2"/>
      <c r="D247" s="2"/>
      <c r="E247" s="2"/>
      <c r="F247" s="2"/>
      <c r="G247" s="2"/>
      <c r="H247" s="2"/>
      <c r="I247" s="5"/>
    </row>
    <row r="248" spans="1:9" ht="17.399999999999999" x14ac:dyDescent="0.25">
      <c r="A248" s="16"/>
      <c r="B248" s="17"/>
      <c r="C248" s="2"/>
      <c r="D248" s="2"/>
      <c r="E248" s="2"/>
      <c r="F248" s="2"/>
      <c r="G248" s="2"/>
      <c r="H248" s="2"/>
      <c r="I248" s="5"/>
    </row>
    <row r="249" spans="1:9" ht="17.399999999999999" x14ac:dyDescent="0.25">
      <c r="A249" s="16"/>
      <c r="B249" s="17"/>
      <c r="C249" s="2"/>
      <c r="D249" s="2"/>
      <c r="E249" s="2"/>
      <c r="F249" s="2"/>
      <c r="G249" s="2"/>
      <c r="H249" s="2"/>
      <c r="I249" s="5"/>
    </row>
    <row r="250" spans="1:9" ht="17.399999999999999" x14ac:dyDescent="0.25">
      <c r="A250" s="16"/>
      <c r="B250" s="17"/>
      <c r="C250" s="2"/>
      <c r="D250" s="2"/>
      <c r="E250" s="2"/>
      <c r="F250" s="2"/>
      <c r="G250" s="2"/>
      <c r="H250" s="2"/>
      <c r="I250" s="5"/>
    </row>
    <row r="251" spans="1:9" ht="17.399999999999999" x14ac:dyDescent="0.25">
      <c r="A251" s="16"/>
      <c r="B251" s="17"/>
      <c r="C251" s="2"/>
      <c r="D251" s="2"/>
      <c r="E251" s="2"/>
      <c r="F251" s="2"/>
      <c r="G251" s="2"/>
      <c r="H251" s="2"/>
      <c r="I251" s="5"/>
    </row>
    <row r="252" spans="1:9" ht="17.399999999999999" x14ac:dyDescent="0.25">
      <c r="A252" s="16"/>
      <c r="B252" s="17"/>
      <c r="C252" s="2"/>
      <c r="D252" s="2"/>
      <c r="E252" s="2"/>
      <c r="F252" s="2"/>
      <c r="G252" s="2"/>
      <c r="H252" s="2"/>
      <c r="I252" s="5"/>
    </row>
    <row r="253" spans="1:9" ht="17.399999999999999" x14ac:dyDescent="0.25">
      <c r="A253" s="16"/>
      <c r="B253" s="17"/>
      <c r="C253" s="2"/>
      <c r="D253" s="2"/>
      <c r="E253" s="2"/>
      <c r="F253" s="2"/>
      <c r="G253" s="2"/>
      <c r="H253" s="2"/>
      <c r="I253" s="5"/>
    </row>
    <row r="254" spans="1:9" ht="17.399999999999999" x14ac:dyDescent="0.25">
      <c r="A254" s="16"/>
      <c r="B254" s="17"/>
      <c r="C254" s="2"/>
      <c r="D254" s="2"/>
      <c r="E254" s="2"/>
      <c r="F254" s="2"/>
      <c r="G254" s="2"/>
      <c r="H254" s="2"/>
      <c r="I254" s="5"/>
    </row>
    <row r="255" spans="1:9" ht="17.399999999999999" x14ac:dyDescent="0.25">
      <c r="A255" s="16"/>
      <c r="B255" s="17"/>
      <c r="C255" s="2"/>
      <c r="D255" s="2"/>
      <c r="E255" s="2"/>
      <c r="F255" s="2"/>
      <c r="G255" s="2"/>
      <c r="H255" s="2"/>
      <c r="I255" s="5"/>
    </row>
    <row r="256" spans="1:9" ht="17.399999999999999" x14ac:dyDescent="0.25">
      <c r="A256" s="16"/>
      <c r="B256" s="17"/>
      <c r="C256" s="2"/>
      <c r="D256" s="2"/>
      <c r="E256" s="2"/>
      <c r="F256" s="2"/>
      <c r="G256" s="2"/>
      <c r="H256" s="2"/>
      <c r="I256" s="5"/>
    </row>
    <row r="257" spans="1:9" ht="17.399999999999999" x14ac:dyDescent="0.25">
      <c r="A257" s="16"/>
      <c r="B257" s="17"/>
      <c r="C257" s="2"/>
      <c r="D257" s="2"/>
      <c r="E257" s="2"/>
      <c r="F257" s="2"/>
      <c r="G257" s="2"/>
      <c r="H257" s="2"/>
      <c r="I257" s="5"/>
    </row>
    <row r="258" spans="1:9" ht="17.399999999999999" x14ac:dyDescent="0.25">
      <c r="A258" s="16"/>
      <c r="B258" s="17"/>
      <c r="C258" s="2"/>
      <c r="D258" s="2"/>
      <c r="E258" s="2"/>
      <c r="F258" s="2"/>
      <c r="G258" s="2"/>
      <c r="H258" s="2"/>
      <c r="I258" s="5"/>
    </row>
    <row r="259" spans="1:9" ht="17.399999999999999" x14ac:dyDescent="0.25">
      <c r="A259" s="16"/>
      <c r="B259" s="17"/>
      <c r="C259" s="2"/>
      <c r="D259" s="2"/>
      <c r="E259" s="2"/>
      <c r="F259" s="2"/>
      <c r="G259" s="2"/>
      <c r="H259" s="2"/>
      <c r="I259" s="5"/>
    </row>
    <row r="260" spans="1:9" ht="17.399999999999999" x14ac:dyDescent="0.25">
      <c r="A260" s="16"/>
      <c r="B260" s="17"/>
      <c r="C260" s="2"/>
      <c r="D260" s="2"/>
      <c r="E260" s="2"/>
      <c r="F260" s="2"/>
      <c r="G260" s="2"/>
      <c r="H260" s="2"/>
      <c r="I260" s="5"/>
    </row>
    <row r="261" spans="1:9" ht="17.399999999999999" x14ac:dyDescent="0.25">
      <c r="A261" s="16"/>
      <c r="B261" s="17"/>
      <c r="C261" s="2"/>
      <c r="D261" s="2"/>
      <c r="E261" s="2"/>
      <c r="F261" s="2"/>
      <c r="G261" s="2"/>
      <c r="H261" s="2"/>
      <c r="I261" s="5"/>
    </row>
    <row r="262" spans="1:9" ht="17.399999999999999" x14ac:dyDescent="0.25">
      <c r="A262" s="16"/>
      <c r="B262" s="17"/>
      <c r="C262" s="2"/>
      <c r="D262" s="2"/>
      <c r="E262" s="2"/>
      <c r="F262" s="2"/>
      <c r="G262" s="2"/>
      <c r="H262" s="2"/>
      <c r="I262" s="5"/>
    </row>
    <row r="263" spans="1:9" ht="17.399999999999999" x14ac:dyDescent="0.25">
      <c r="A263" s="16"/>
      <c r="B263" s="17"/>
      <c r="C263" s="2"/>
      <c r="D263" s="2"/>
      <c r="E263" s="2"/>
      <c r="F263" s="2"/>
      <c r="G263" s="2"/>
      <c r="H263" s="2"/>
      <c r="I263" s="5"/>
    </row>
    <row r="264" spans="1:9" ht="17.399999999999999" x14ac:dyDescent="0.25">
      <c r="A264" s="16"/>
      <c r="B264" s="17"/>
      <c r="C264" s="2"/>
      <c r="D264" s="2"/>
      <c r="E264" s="2"/>
      <c r="F264" s="2"/>
      <c r="G264" s="2"/>
      <c r="H264" s="2"/>
      <c r="I264" s="5"/>
    </row>
    <row r="265" spans="1:9" ht="17.399999999999999" x14ac:dyDescent="0.25">
      <c r="A265" s="16"/>
      <c r="B265" s="17"/>
      <c r="C265" s="2"/>
      <c r="D265" s="2"/>
      <c r="E265" s="2"/>
      <c r="F265" s="2"/>
      <c r="G265" s="2"/>
      <c r="H265" s="2"/>
      <c r="I265" s="5"/>
    </row>
    <row r="266" spans="1:9" ht="17.399999999999999" x14ac:dyDescent="0.25">
      <c r="A266" s="16"/>
      <c r="B266" s="17"/>
      <c r="C266" s="2"/>
      <c r="D266" s="2"/>
      <c r="E266" s="2"/>
      <c r="F266" s="2"/>
      <c r="G266" s="2"/>
      <c r="H266" s="2"/>
      <c r="I266" s="5"/>
    </row>
    <row r="267" spans="1:9" ht="17.399999999999999" x14ac:dyDescent="0.25">
      <c r="A267" s="16"/>
      <c r="B267" s="17"/>
      <c r="C267" s="2"/>
      <c r="D267" s="2"/>
      <c r="E267" s="2"/>
      <c r="F267" s="2"/>
      <c r="G267" s="2"/>
      <c r="H267" s="2"/>
      <c r="I267" s="5"/>
    </row>
    <row r="268" spans="1:9" ht="17.399999999999999" x14ac:dyDescent="0.25">
      <c r="A268" s="16"/>
      <c r="B268" s="17"/>
      <c r="C268" s="2"/>
      <c r="D268" s="2"/>
      <c r="E268" s="2"/>
      <c r="F268" s="2"/>
      <c r="G268" s="2"/>
      <c r="H268" s="2"/>
      <c r="I268" s="5"/>
    </row>
    <row r="269" spans="1:9" ht="17.399999999999999" x14ac:dyDescent="0.25">
      <c r="A269" s="16"/>
      <c r="B269" s="17"/>
      <c r="C269" s="2"/>
      <c r="D269" s="2"/>
      <c r="E269" s="2"/>
      <c r="F269" s="2"/>
      <c r="G269" s="2"/>
      <c r="H269" s="2"/>
      <c r="I269" s="5"/>
    </row>
    <row r="270" spans="1:9" ht="17.399999999999999" x14ac:dyDescent="0.25">
      <c r="A270" s="16"/>
      <c r="B270" s="17"/>
      <c r="C270" s="2"/>
      <c r="D270" s="2"/>
      <c r="E270" s="2"/>
      <c r="F270" s="2"/>
      <c r="G270" s="2"/>
      <c r="H270" s="2"/>
      <c r="I270" s="5"/>
    </row>
    <row r="271" spans="1:9" ht="17.399999999999999" x14ac:dyDescent="0.25">
      <c r="A271" s="16"/>
      <c r="B271" s="17"/>
      <c r="C271" s="2"/>
      <c r="D271" s="2"/>
      <c r="E271" s="2"/>
      <c r="F271" s="2"/>
      <c r="G271" s="2"/>
      <c r="H271" s="2"/>
      <c r="I271" s="5"/>
    </row>
    <row r="272" spans="1:9" ht="17.399999999999999" x14ac:dyDescent="0.25">
      <c r="A272" s="16"/>
      <c r="B272" s="17"/>
      <c r="C272" s="2"/>
      <c r="D272" s="2"/>
      <c r="E272" s="2"/>
      <c r="F272" s="2"/>
      <c r="G272" s="2"/>
      <c r="H272" s="2"/>
      <c r="I272" s="5"/>
    </row>
    <row r="273" spans="1:9" ht="17.399999999999999" x14ac:dyDescent="0.25">
      <c r="A273" s="16"/>
      <c r="B273" s="17"/>
      <c r="C273" s="2"/>
      <c r="D273" s="2"/>
      <c r="E273" s="2"/>
      <c r="F273" s="2"/>
      <c r="G273" s="2"/>
      <c r="H273" s="2"/>
      <c r="I273" s="5"/>
    </row>
    <row r="274" spans="1:9" ht="17.399999999999999" x14ac:dyDescent="0.25">
      <c r="A274" s="16"/>
      <c r="B274" s="17"/>
      <c r="C274" s="2"/>
      <c r="D274" s="2"/>
      <c r="E274" s="2"/>
      <c r="F274" s="2"/>
      <c r="G274" s="2"/>
      <c r="H274" s="2"/>
      <c r="I274" s="5"/>
    </row>
    <row r="275" spans="1:9" ht="17.399999999999999" x14ac:dyDescent="0.25">
      <c r="A275" s="16"/>
      <c r="B275" s="17"/>
      <c r="C275" s="2"/>
      <c r="D275" s="2"/>
      <c r="E275" s="2"/>
      <c r="F275" s="2"/>
      <c r="G275" s="2"/>
      <c r="H275" s="2"/>
      <c r="I275" s="5"/>
    </row>
    <row r="276" spans="1:9" ht="17.399999999999999" x14ac:dyDescent="0.25">
      <c r="A276" s="16"/>
      <c r="B276" s="17"/>
      <c r="C276" s="2"/>
      <c r="D276" s="2"/>
      <c r="E276" s="2"/>
      <c r="F276" s="2"/>
      <c r="G276" s="2"/>
      <c r="H276" s="2"/>
      <c r="I276" s="5"/>
    </row>
    <row r="277" spans="1:9" ht="17.399999999999999" x14ac:dyDescent="0.25">
      <c r="A277" s="16"/>
      <c r="B277" s="17"/>
      <c r="C277" s="2"/>
      <c r="D277" s="2"/>
      <c r="E277" s="2"/>
      <c r="F277" s="2"/>
      <c r="G277" s="2"/>
      <c r="H277" s="2"/>
      <c r="I277" s="5"/>
    </row>
    <row r="278" spans="1:9" ht="17.399999999999999" x14ac:dyDescent="0.25">
      <c r="A278" s="16"/>
      <c r="B278" s="17"/>
      <c r="C278" s="2"/>
      <c r="D278" s="2"/>
      <c r="E278" s="2"/>
      <c r="F278" s="2"/>
      <c r="G278" s="2"/>
      <c r="H278" s="2"/>
      <c r="I278" s="5"/>
    </row>
    <row r="279" spans="1:9" ht="17.399999999999999" x14ac:dyDescent="0.25">
      <c r="A279" s="16"/>
      <c r="B279" s="17"/>
      <c r="C279" s="2"/>
      <c r="D279" s="2"/>
      <c r="E279" s="2"/>
      <c r="F279" s="2"/>
      <c r="G279" s="2"/>
      <c r="H279" s="2"/>
      <c r="I279" s="5"/>
    </row>
    <row r="280" spans="1:9" ht="17.399999999999999" x14ac:dyDescent="0.25">
      <c r="A280" s="16"/>
      <c r="B280" s="17"/>
      <c r="C280" s="2"/>
      <c r="D280" s="2"/>
      <c r="E280" s="2"/>
      <c r="F280" s="2"/>
      <c r="G280" s="2"/>
      <c r="H280" s="2"/>
      <c r="I280" s="5"/>
    </row>
    <row r="281" spans="1:9" ht="17.399999999999999" x14ac:dyDescent="0.25">
      <c r="A281" s="16"/>
      <c r="B281" s="17"/>
      <c r="C281" s="2"/>
      <c r="D281" s="2"/>
      <c r="E281" s="2"/>
      <c r="F281" s="2"/>
      <c r="G281" s="2"/>
      <c r="H281" s="2"/>
      <c r="I281" s="5"/>
    </row>
    <row r="282" spans="1:9" ht="17.399999999999999" x14ac:dyDescent="0.25">
      <c r="A282" s="16"/>
      <c r="B282" s="17"/>
      <c r="C282" s="2"/>
      <c r="D282" s="2"/>
      <c r="E282" s="2"/>
      <c r="F282" s="2"/>
      <c r="G282" s="2"/>
      <c r="H282" s="2"/>
      <c r="I282" s="5"/>
    </row>
    <row r="283" spans="1:9" ht="17.399999999999999" x14ac:dyDescent="0.25">
      <c r="A283" s="16"/>
      <c r="B283" s="17"/>
      <c r="C283" s="2"/>
      <c r="D283" s="2"/>
      <c r="E283" s="2"/>
      <c r="F283" s="2"/>
      <c r="G283" s="2"/>
      <c r="H283" s="2"/>
      <c r="I283" s="5"/>
    </row>
    <row r="284" spans="1:9" ht="17.399999999999999" x14ac:dyDescent="0.25">
      <c r="A284" s="16"/>
      <c r="B284" s="17"/>
      <c r="C284" s="2"/>
      <c r="D284" s="2"/>
      <c r="E284" s="2"/>
      <c r="F284" s="2"/>
      <c r="G284" s="2"/>
      <c r="H284" s="2"/>
      <c r="I284" s="5"/>
    </row>
    <row r="285" spans="1:9" ht="17.399999999999999" x14ac:dyDescent="0.25">
      <c r="A285" s="16"/>
      <c r="B285" s="17"/>
      <c r="C285" s="2"/>
      <c r="D285" s="2"/>
      <c r="E285" s="2"/>
      <c r="F285" s="2"/>
      <c r="G285" s="2"/>
      <c r="H285" s="2"/>
      <c r="I285" s="5"/>
    </row>
    <row r="286" spans="1:9" ht="17.399999999999999" x14ac:dyDescent="0.25">
      <c r="A286" s="16"/>
      <c r="B286" s="17"/>
      <c r="C286" s="2"/>
      <c r="D286" s="2"/>
      <c r="E286" s="2"/>
      <c r="F286" s="2"/>
      <c r="G286" s="2"/>
      <c r="H286" s="2"/>
      <c r="I286" s="5"/>
    </row>
    <row r="287" spans="1:9" ht="17.399999999999999" x14ac:dyDescent="0.25">
      <c r="A287" s="16"/>
      <c r="B287" s="17"/>
      <c r="C287" s="2"/>
      <c r="D287" s="2"/>
      <c r="E287" s="2"/>
      <c r="F287" s="2"/>
      <c r="G287" s="2"/>
      <c r="H287" s="2"/>
      <c r="I287" s="5"/>
    </row>
    <row r="288" spans="1:9" ht="17.399999999999999" x14ac:dyDescent="0.25">
      <c r="A288" s="16"/>
      <c r="B288" s="17"/>
      <c r="C288" s="2"/>
      <c r="D288" s="2"/>
      <c r="E288" s="2"/>
      <c r="F288" s="2"/>
      <c r="G288" s="2"/>
      <c r="H288" s="2"/>
      <c r="I288" s="5"/>
    </row>
    <row r="289" spans="1:9" ht="17.399999999999999" x14ac:dyDescent="0.25">
      <c r="A289" s="16"/>
      <c r="B289" s="17"/>
      <c r="C289" s="2"/>
      <c r="D289" s="2"/>
      <c r="E289" s="2"/>
      <c r="F289" s="2"/>
      <c r="G289" s="2"/>
      <c r="H289" s="2"/>
      <c r="I289" s="5"/>
    </row>
    <row r="290" spans="1:9" ht="17.399999999999999" x14ac:dyDescent="0.25">
      <c r="A290" s="16"/>
      <c r="B290" s="17"/>
      <c r="C290" s="2"/>
      <c r="D290" s="2"/>
      <c r="E290" s="2"/>
      <c r="F290" s="2"/>
      <c r="G290" s="2"/>
      <c r="H290" s="2"/>
      <c r="I290" s="5"/>
    </row>
    <row r="291" spans="1:9" ht="17.399999999999999" x14ac:dyDescent="0.25">
      <c r="A291" s="16"/>
      <c r="B291" s="17"/>
      <c r="C291" s="2"/>
      <c r="D291" s="2"/>
      <c r="E291" s="2"/>
      <c r="F291" s="2"/>
      <c r="G291" s="2"/>
      <c r="H291" s="2"/>
      <c r="I291" s="5"/>
    </row>
    <row r="292" spans="1:9" ht="17.399999999999999" x14ac:dyDescent="0.25">
      <c r="A292" s="16"/>
      <c r="B292" s="17"/>
      <c r="C292" s="2"/>
      <c r="D292" s="2"/>
      <c r="E292" s="2"/>
      <c r="F292" s="2"/>
      <c r="G292" s="2"/>
      <c r="H292" s="2"/>
      <c r="I292" s="5"/>
    </row>
    <row r="293" spans="1:9" ht="17.399999999999999" x14ac:dyDescent="0.25">
      <c r="A293" s="16"/>
      <c r="B293" s="17"/>
      <c r="C293" s="2"/>
      <c r="D293" s="2"/>
      <c r="E293" s="2"/>
      <c r="F293" s="2"/>
      <c r="G293" s="2"/>
      <c r="H293" s="2"/>
      <c r="I293" s="5"/>
    </row>
    <row r="294" spans="1:9" ht="17.399999999999999" x14ac:dyDescent="0.25">
      <c r="A294" s="16"/>
      <c r="B294" s="17"/>
      <c r="C294" s="2"/>
      <c r="D294" s="2"/>
      <c r="E294" s="2"/>
      <c r="F294" s="2"/>
      <c r="G294" s="2"/>
      <c r="H294" s="2"/>
      <c r="I294" s="5"/>
    </row>
    <row r="295" spans="1:9" ht="17.399999999999999" x14ac:dyDescent="0.25">
      <c r="A295" s="16"/>
      <c r="B295" s="17"/>
      <c r="C295" s="2"/>
      <c r="D295" s="2"/>
      <c r="E295" s="2"/>
      <c r="F295" s="2"/>
      <c r="G295" s="2"/>
      <c r="H295" s="2"/>
      <c r="I295" s="5"/>
    </row>
    <row r="296" spans="1:9" ht="17.399999999999999" x14ac:dyDescent="0.25">
      <c r="A296" s="16"/>
      <c r="B296" s="17"/>
      <c r="C296" s="2"/>
      <c r="D296" s="2"/>
      <c r="E296" s="2"/>
      <c r="F296" s="2"/>
      <c r="G296" s="2"/>
      <c r="H296" s="2"/>
      <c r="I296" s="5"/>
    </row>
    <row r="297" spans="1:9" ht="17.399999999999999" x14ac:dyDescent="0.25">
      <c r="A297" s="16"/>
      <c r="B297" s="17"/>
      <c r="C297" s="2"/>
      <c r="D297" s="2"/>
      <c r="E297" s="2"/>
      <c r="F297" s="2"/>
      <c r="G297" s="2"/>
      <c r="H297" s="2"/>
      <c r="I297" s="5"/>
    </row>
    <row r="298" spans="1:9" ht="17.399999999999999" x14ac:dyDescent="0.25">
      <c r="A298" s="16"/>
      <c r="B298" s="17"/>
      <c r="C298" s="2"/>
      <c r="D298" s="2"/>
      <c r="E298" s="2"/>
      <c r="F298" s="2"/>
      <c r="G298" s="2"/>
      <c r="H298" s="2"/>
      <c r="I298" s="5"/>
    </row>
    <row r="299" spans="1:9" ht="17.399999999999999" x14ac:dyDescent="0.25">
      <c r="A299" s="16"/>
      <c r="B299" s="17"/>
      <c r="C299" s="2"/>
      <c r="D299" s="2"/>
      <c r="E299" s="2"/>
      <c r="F299" s="2"/>
      <c r="G299" s="2"/>
      <c r="H299" s="2"/>
      <c r="I299" s="5"/>
    </row>
    <row r="300" spans="1:9" ht="17.399999999999999" x14ac:dyDescent="0.25">
      <c r="A300" s="16"/>
      <c r="B300" s="17"/>
      <c r="C300" s="2"/>
      <c r="D300" s="2"/>
      <c r="E300" s="2"/>
      <c r="F300" s="2"/>
      <c r="G300" s="2"/>
      <c r="H300" s="2"/>
      <c r="I300" s="5"/>
    </row>
    <row r="301" spans="1:9" ht="17.399999999999999" x14ac:dyDescent="0.25">
      <c r="A301" s="16"/>
      <c r="B301" s="17"/>
      <c r="C301" s="2"/>
      <c r="D301" s="2"/>
      <c r="E301" s="2"/>
      <c r="F301" s="2"/>
      <c r="G301" s="2"/>
      <c r="H301" s="2"/>
      <c r="I301" s="5"/>
    </row>
    <row r="302" spans="1:9" ht="17.399999999999999" x14ac:dyDescent="0.25">
      <c r="A302" s="16"/>
      <c r="B302" s="17"/>
      <c r="C302" s="2"/>
      <c r="D302" s="2"/>
      <c r="E302" s="2"/>
      <c r="F302" s="2"/>
      <c r="G302" s="2"/>
      <c r="H302" s="2"/>
      <c r="I302" s="5"/>
    </row>
    <row r="303" spans="1:9" ht="17.399999999999999" x14ac:dyDescent="0.25">
      <c r="A303" s="16"/>
      <c r="B303" s="17"/>
      <c r="C303" s="2"/>
      <c r="D303" s="2"/>
      <c r="E303" s="2"/>
      <c r="F303" s="2"/>
      <c r="G303" s="2"/>
      <c r="H303" s="2"/>
      <c r="I303" s="5"/>
    </row>
    <row r="304" spans="1:9" ht="17.399999999999999" x14ac:dyDescent="0.25">
      <c r="A304" s="16"/>
      <c r="B304" s="17"/>
      <c r="C304" s="2"/>
      <c r="D304" s="2"/>
      <c r="E304" s="2"/>
      <c r="F304" s="2"/>
      <c r="G304" s="2"/>
      <c r="H304" s="2"/>
      <c r="I304" s="5"/>
    </row>
    <row r="305" spans="1:9" ht="17.399999999999999" x14ac:dyDescent="0.25">
      <c r="A305" s="16"/>
      <c r="B305" s="17"/>
      <c r="C305" s="2"/>
      <c r="D305" s="2"/>
      <c r="E305" s="2"/>
      <c r="F305" s="2"/>
      <c r="G305" s="2"/>
      <c r="H305" s="2"/>
      <c r="I305" s="5"/>
    </row>
    <row r="306" spans="1:9" ht="17.399999999999999" x14ac:dyDescent="0.25">
      <c r="A306" s="16"/>
      <c r="B306" s="17"/>
      <c r="C306" s="2"/>
      <c r="D306" s="2"/>
      <c r="E306" s="2"/>
      <c r="F306" s="2"/>
      <c r="G306" s="2"/>
      <c r="H306" s="2"/>
      <c r="I306" s="5"/>
    </row>
    <row r="307" spans="1:9" ht="17.399999999999999" x14ac:dyDescent="0.25">
      <c r="A307" s="16"/>
      <c r="B307" s="17"/>
      <c r="C307" s="2"/>
      <c r="D307" s="2"/>
      <c r="E307" s="2"/>
      <c r="F307" s="2"/>
      <c r="G307" s="2"/>
      <c r="H307" s="2"/>
      <c r="I307" s="5"/>
    </row>
    <row r="308" spans="1:9" ht="17.399999999999999" x14ac:dyDescent="0.25">
      <c r="A308" s="16"/>
      <c r="B308" s="17"/>
      <c r="C308" s="2"/>
      <c r="D308" s="2"/>
      <c r="E308" s="2"/>
      <c r="F308" s="2"/>
      <c r="G308" s="2"/>
      <c r="H308" s="2"/>
      <c r="I308" s="5"/>
    </row>
    <row r="309" spans="1:9" ht="17.399999999999999" x14ac:dyDescent="0.25">
      <c r="A309" s="16"/>
      <c r="B309" s="17"/>
      <c r="C309" s="2"/>
      <c r="D309" s="2"/>
      <c r="E309" s="2"/>
      <c r="F309" s="2"/>
      <c r="G309" s="2"/>
      <c r="H309" s="2"/>
      <c r="I309" s="5"/>
    </row>
    <row r="310" spans="1:9" ht="17.399999999999999" x14ac:dyDescent="0.25">
      <c r="A310" s="16"/>
      <c r="B310" s="17"/>
      <c r="C310" s="2"/>
      <c r="D310" s="2"/>
      <c r="E310" s="2"/>
      <c r="F310" s="2"/>
      <c r="G310" s="2"/>
      <c r="H310" s="2"/>
      <c r="I310" s="5"/>
    </row>
    <row r="311" spans="1:9" ht="17.399999999999999" x14ac:dyDescent="0.25">
      <c r="A311" s="16"/>
      <c r="B311" s="17"/>
      <c r="C311" s="2"/>
      <c r="D311" s="2"/>
      <c r="E311" s="2"/>
      <c r="F311" s="2"/>
      <c r="G311" s="2"/>
      <c r="H311" s="2"/>
      <c r="I311" s="5"/>
    </row>
    <row r="312" spans="1:9" ht="17.399999999999999" x14ac:dyDescent="0.25">
      <c r="A312" s="16"/>
      <c r="B312" s="17"/>
      <c r="C312" s="2"/>
      <c r="D312" s="2"/>
      <c r="E312" s="2"/>
      <c r="F312" s="2"/>
      <c r="G312" s="2"/>
      <c r="H312" s="2"/>
      <c r="I312" s="5"/>
    </row>
    <row r="313" spans="1:9" ht="17.399999999999999" x14ac:dyDescent="0.25">
      <c r="A313" s="16"/>
      <c r="B313" s="17"/>
      <c r="C313" s="2"/>
      <c r="D313" s="2"/>
      <c r="E313" s="2"/>
      <c r="F313" s="2"/>
      <c r="G313" s="2"/>
      <c r="H313" s="2"/>
      <c r="I313" s="5"/>
    </row>
    <row r="314" spans="1:9" ht="17.399999999999999" x14ac:dyDescent="0.25">
      <c r="A314" s="16"/>
      <c r="B314" s="17"/>
      <c r="C314" s="2"/>
      <c r="D314" s="2"/>
      <c r="E314" s="2"/>
      <c r="F314" s="2"/>
      <c r="G314" s="2"/>
      <c r="H314" s="2"/>
      <c r="I314" s="5"/>
    </row>
    <row r="315" spans="1:9" ht="17.399999999999999" x14ac:dyDescent="0.25">
      <c r="A315" s="16"/>
      <c r="B315" s="17"/>
      <c r="C315" s="2"/>
      <c r="D315" s="2"/>
      <c r="E315" s="2"/>
      <c r="F315" s="2"/>
      <c r="G315" s="2"/>
      <c r="H315" s="2"/>
      <c r="I315" s="5"/>
    </row>
    <row r="316" spans="1:9" ht="17.399999999999999" x14ac:dyDescent="0.25">
      <c r="A316" s="16"/>
      <c r="B316" s="17"/>
      <c r="C316" s="2"/>
      <c r="D316" s="2"/>
      <c r="E316" s="2"/>
      <c r="F316" s="2"/>
      <c r="G316" s="2"/>
      <c r="H316" s="2"/>
      <c r="I316" s="5"/>
    </row>
    <row r="317" spans="1:9" ht="17.399999999999999" x14ac:dyDescent="0.25">
      <c r="A317" s="16"/>
      <c r="B317" s="17"/>
      <c r="C317" s="2"/>
      <c r="D317" s="2"/>
      <c r="E317" s="2"/>
      <c r="F317" s="2"/>
      <c r="G317" s="2"/>
      <c r="H317" s="2"/>
      <c r="I317" s="5"/>
    </row>
    <row r="318" spans="1:9" ht="17.399999999999999" x14ac:dyDescent="0.25">
      <c r="A318" s="16"/>
      <c r="B318" s="17"/>
      <c r="C318" s="2"/>
      <c r="D318" s="2"/>
      <c r="E318" s="2"/>
      <c r="F318" s="2"/>
      <c r="G318" s="2"/>
      <c r="H318" s="2"/>
      <c r="I318" s="5"/>
    </row>
    <row r="319" spans="1:9" ht="17.399999999999999" x14ac:dyDescent="0.25">
      <c r="A319" s="16"/>
      <c r="B319" s="17"/>
      <c r="C319" s="2"/>
      <c r="D319" s="2"/>
      <c r="E319" s="2"/>
      <c r="F319" s="2"/>
      <c r="G319" s="2"/>
      <c r="H319" s="2"/>
      <c r="I319" s="5"/>
    </row>
    <row r="320" spans="1:9" ht="17.399999999999999" x14ac:dyDescent="0.25">
      <c r="A320" s="16"/>
      <c r="B320" s="17"/>
      <c r="C320" s="2"/>
      <c r="D320" s="2"/>
      <c r="E320" s="2"/>
      <c r="F320" s="2"/>
      <c r="G320" s="2"/>
      <c r="H320" s="2"/>
      <c r="I320" s="5"/>
    </row>
    <row r="321" spans="1:9" ht="17.399999999999999" x14ac:dyDescent="0.25">
      <c r="A321" s="16"/>
      <c r="B321" s="17"/>
      <c r="C321" s="2"/>
      <c r="D321" s="2"/>
      <c r="E321" s="2"/>
      <c r="F321" s="2"/>
      <c r="G321" s="2"/>
      <c r="H321" s="2"/>
      <c r="I321" s="5"/>
    </row>
    <row r="322" spans="1:9" ht="17.399999999999999" x14ac:dyDescent="0.25">
      <c r="A322" s="16"/>
      <c r="B322" s="17"/>
      <c r="C322" s="2"/>
      <c r="D322" s="2"/>
      <c r="E322" s="2"/>
      <c r="F322" s="2"/>
      <c r="G322" s="2"/>
      <c r="H322" s="2"/>
      <c r="I322" s="5"/>
    </row>
    <row r="323" spans="1:9" ht="17.399999999999999" x14ac:dyDescent="0.25">
      <c r="A323" s="16"/>
      <c r="B323" s="17"/>
      <c r="C323" s="2"/>
      <c r="D323" s="2"/>
      <c r="E323" s="2"/>
      <c r="F323" s="2"/>
      <c r="G323" s="2"/>
      <c r="H323" s="2"/>
      <c r="I323" s="5"/>
    </row>
    <row r="324" spans="1:9" ht="17.399999999999999" x14ac:dyDescent="0.25">
      <c r="A324" s="16"/>
      <c r="B324" s="17"/>
      <c r="C324" s="2"/>
      <c r="D324" s="2"/>
      <c r="E324" s="2"/>
      <c r="F324" s="2"/>
      <c r="G324" s="2"/>
      <c r="H324" s="2"/>
      <c r="I324" s="5"/>
    </row>
    <row r="325" spans="1:9" ht="17.399999999999999" x14ac:dyDescent="0.25">
      <c r="A325" s="16"/>
      <c r="B325" s="17"/>
      <c r="C325" s="2"/>
      <c r="D325" s="2"/>
      <c r="E325" s="2"/>
      <c r="F325" s="2"/>
      <c r="G325" s="2"/>
      <c r="H325" s="2"/>
      <c r="I325" s="5"/>
    </row>
    <row r="326" spans="1:9" ht="17.399999999999999" x14ac:dyDescent="0.25">
      <c r="A326" s="16"/>
      <c r="B326" s="17"/>
      <c r="C326" s="2"/>
      <c r="D326" s="2"/>
      <c r="E326" s="2"/>
      <c r="F326" s="2"/>
      <c r="G326" s="2"/>
      <c r="H326" s="2"/>
      <c r="I326" s="5"/>
    </row>
    <row r="327" spans="1:9" ht="17.399999999999999" x14ac:dyDescent="0.25">
      <c r="A327" s="16"/>
      <c r="B327" s="17"/>
      <c r="C327" s="2"/>
      <c r="D327" s="2"/>
      <c r="E327" s="2"/>
      <c r="F327" s="2"/>
      <c r="G327" s="2"/>
      <c r="H327" s="2"/>
      <c r="I327" s="5"/>
    </row>
    <row r="328" spans="1:9" ht="17.399999999999999" x14ac:dyDescent="0.25">
      <c r="A328" s="16"/>
      <c r="B328" s="17"/>
      <c r="C328" s="2"/>
      <c r="D328" s="2"/>
      <c r="E328" s="2"/>
      <c r="F328" s="2"/>
      <c r="G328" s="2"/>
      <c r="H328" s="2"/>
      <c r="I328" s="5"/>
    </row>
    <row r="329" spans="1:9" ht="17.399999999999999" x14ac:dyDescent="0.25">
      <c r="A329" s="16"/>
      <c r="B329" s="17"/>
      <c r="C329" s="2"/>
      <c r="D329" s="2"/>
      <c r="E329" s="2"/>
      <c r="F329" s="2"/>
      <c r="G329" s="2"/>
      <c r="H329" s="2"/>
      <c r="I329" s="5"/>
    </row>
    <row r="330" spans="1:9" ht="17.399999999999999" x14ac:dyDescent="0.25">
      <c r="A330" s="16"/>
      <c r="B330" s="17"/>
      <c r="C330" s="2"/>
      <c r="D330" s="2"/>
      <c r="E330" s="2"/>
      <c r="F330" s="2"/>
      <c r="G330" s="2"/>
      <c r="H330" s="2"/>
      <c r="I330" s="5"/>
    </row>
    <row r="331" spans="1:9" ht="17.399999999999999" x14ac:dyDescent="0.25">
      <c r="A331" s="16"/>
      <c r="B331" s="17"/>
      <c r="C331" s="2"/>
      <c r="D331" s="2"/>
      <c r="E331" s="2"/>
      <c r="F331" s="2"/>
      <c r="G331" s="2"/>
      <c r="H331" s="2"/>
      <c r="I331" s="5"/>
    </row>
    <row r="332" spans="1:9" ht="17.399999999999999" x14ac:dyDescent="0.25">
      <c r="A332" s="16"/>
      <c r="B332" s="17"/>
      <c r="C332" s="2"/>
      <c r="D332" s="2"/>
      <c r="E332" s="2"/>
      <c r="F332" s="2"/>
      <c r="G332" s="2"/>
      <c r="H332" s="2"/>
      <c r="I332" s="5"/>
    </row>
    <row r="333" spans="1:9" ht="17.399999999999999" x14ac:dyDescent="0.25">
      <c r="A333" s="16"/>
      <c r="B333" s="17"/>
      <c r="C333" s="2"/>
      <c r="D333" s="2"/>
      <c r="E333" s="2"/>
      <c r="F333" s="2"/>
      <c r="G333" s="2"/>
      <c r="H333" s="2"/>
      <c r="I333" s="5"/>
    </row>
    <row r="334" spans="1:9" ht="17.399999999999999" x14ac:dyDescent="0.25">
      <c r="A334" s="16"/>
      <c r="B334" s="17"/>
      <c r="C334" s="2"/>
      <c r="D334" s="2"/>
      <c r="E334" s="2"/>
      <c r="F334" s="2"/>
      <c r="G334" s="2"/>
      <c r="H334" s="2"/>
      <c r="I334" s="5"/>
    </row>
    <row r="335" spans="1:9" ht="17.399999999999999" x14ac:dyDescent="0.25">
      <c r="A335" s="16"/>
      <c r="B335" s="17"/>
      <c r="C335" s="2"/>
      <c r="D335" s="2"/>
      <c r="E335" s="2"/>
      <c r="F335" s="2"/>
      <c r="G335" s="2"/>
      <c r="H335" s="2"/>
      <c r="I335" s="5"/>
    </row>
    <row r="336" spans="1:9" ht="17.399999999999999" x14ac:dyDescent="0.25">
      <c r="A336" s="16"/>
      <c r="B336" s="17"/>
      <c r="C336" s="2"/>
      <c r="D336" s="2"/>
      <c r="E336" s="2"/>
      <c r="F336" s="2"/>
      <c r="G336" s="2"/>
      <c r="H336" s="2"/>
      <c r="I336" s="5"/>
    </row>
    <row r="337" spans="1:9" ht="17.399999999999999" x14ac:dyDescent="0.25">
      <c r="A337" s="16"/>
      <c r="B337" s="17"/>
      <c r="C337" s="2"/>
      <c r="D337" s="2"/>
      <c r="E337" s="2"/>
      <c r="F337" s="2"/>
      <c r="G337" s="2"/>
      <c r="H337" s="2"/>
      <c r="I337" s="5"/>
    </row>
    <row r="338" spans="1:9" ht="17.399999999999999" x14ac:dyDescent="0.25">
      <c r="A338" s="16"/>
      <c r="B338" s="17"/>
      <c r="C338" s="2"/>
      <c r="D338" s="2"/>
      <c r="E338" s="2"/>
      <c r="F338" s="2"/>
      <c r="G338" s="2"/>
      <c r="H338" s="2"/>
      <c r="I338" s="5"/>
    </row>
    <row r="339" spans="1:9" ht="17.399999999999999" x14ac:dyDescent="0.25">
      <c r="A339" s="16"/>
      <c r="B339" s="17"/>
      <c r="C339" s="2"/>
      <c r="D339" s="2"/>
      <c r="E339" s="2"/>
      <c r="F339" s="2"/>
      <c r="G339" s="2"/>
      <c r="H339" s="2"/>
      <c r="I339" s="5"/>
    </row>
    <row r="340" spans="1:9" ht="17.399999999999999" x14ac:dyDescent="0.25">
      <c r="A340" s="16"/>
      <c r="B340" s="17"/>
      <c r="C340" s="2"/>
      <c r="D340" s="2"/>
      <c r="E340" s="2"/>
      <c r="F340" s="2"/>
      <c r="G340" s="2"/>
      <c r="H340" s="2"/>
      <c r="I340" s="5"/>
    </row>
    <row r="341" spans="1:9" ht="17.399999999999999" x14ac:dyDescent="0.25">
      <c r="A341" s="16"/>
      <c r="B341" s="17"/>
      <c r="C341" s="2"/>
      <c r="D341" s="2"/>
      <c r="E341" s="2"/>
      <c r="F341" s="2"/>
      <c r="G341" s="2"/>
      <c r="H341" s="2"/>
      <c r="I341" s="5"/>
    </row>
    <row r="342" spans="1:9" ht="17.399999999999999" x14ac:dyDescent="0.25">
      <c r="A342" s="16"/>
      <c r="B342" s="17"/>
      <c r="C342" s="2"/>
      <c r="D342" s="2"/>
      <c r="E342" s="2"/>
      <c r="F342" s="2"/>
      <c r="G342" s="2"/>
      <c r="H342" s="2"/>
      <c r="I342" s="5"/>
    </row>
    <row r="343" spans="1:9" ht="17.399999999999999" x14ac:dyDescent="0.25">
      <c r="A343" s="16"/>
      <c r="B343" s="17"/>
      <c r="C343" s="2"/>
      <c r="D343" s="2"/>
      <c r="E343" s="2"/>
      <c r="F343" s="2"/>
      <c r="G343" s="2"/>
      <c r="H343" s="2"/>
      <c r="I343" s="5"/>
    </row>
    <row r="344" spans="1:9" ht="17.399999999999999" x14ac:dyDescent="0.25">
      <c r="A344" s="16"/>
      <c r="B344" s="17"/>
      <c r="C344" s="2"/>
      <c r="D344" s="2"/>
      <c r="E344" s="2"/>
      <c r="F344" s="2"/>
      <c r="G344" s="2"/>
      <c r="H344" s="2"/>
      <c r="I344" s="5"/>
    </row>
    <row r="345" spans="1:9" ht="17.399999999999999" x14ac:dyDescent="0.25">
      <c r="A345" s="16"/>
      <c r="B345" s="17"/>
      <c r="C345" s="2"/>
      <c r="D345" s="2"/>
      <c r="E345" s="2"/>
      <c r="F345" s="2"/>
      <c r="G345" s="2"/>
      <c r="H345" s="2"/>
      <c r="I345" s="5"/>
    </row>
    <row r="346" spans="1:9" ht="17.399999999999999" x14ac:dyDescent="0.25">
      <c r="A346" s="16"/>
      <c r="B346" s="17"/>
      <c r="C346" s="2"/>
      <c r="D346" s="2"/>
      <c r="E346" s="2"/>
      <c r="F346" s="2"/>
      <c r="G346" s="2"/>
      <c r="H346" s="2"/>
      <c r="I346" s="5"/>
    </row>
    <row r="347" spans="1:9" ht="17.399999999999999" x14ac:dyDescent="0.25">
      <c r="A347" s="16"/>
      <c r="B347" s="17"/>
      <c r="C347" s="2"/>
      <c r="D347" s="2"/>
      <c r="E347" s="2"/>
      <c r="F347" s="2"/>
      <c r="G347" s="2"/>
      <c r="H347" s="2"/>
      <c r="I347" s="5"/>
    </row>
    <row r="348" spans="1:9" ht="17.399999999999999" x14ac:dyDescent="0.25">
      <c r="A348" s="16"/>
      <c r="B348" s="17"/>
      <c r="C348" s="2"/>
      <c r="D348" s="2"/>
      <c r="E348" s="2"/>
      <c r="F348" s="2"/>
      <c r="G348" s="2"/>
      <c r="H348" s="2"/>
      <c r="I348" s="5"/>
    </row>
    <row r="349" spans="1:9" ht="17.399999999999999" x14ac:dyDescent="0.25">
      <c r="A349" s="16"/>
      <c r="B349" s="17"/>
      <c r="C349" s="2"/>
      <c r="D349" s="2"/>
      <c r="E349" s="2"/>
      <c r="F349" s="2"/>
      <c r="G349" s="2"/>
      <c r="H349" s="2"/>
      <c r="I349" s="5"/>
    </row>
    <row r="350" spans="1:9" ht="17.399999999999999" x14ac:dyDescent="0.25">
      <c r="A350" s="16"/>
      <c r="B350" s="17"/>
      <c r="C350" s="2"/>
      <c r="D350" s="2"/>
      <c r="E350" s="2"/>
      <c r="F350" s="2"/>
      <c r="G350" s="2"/>
      <c r="H350" s="2"/>
      <c r="I350" s="5"/>
    </row>
    <row r="351" spans="1:9" ht="17.399999999999999" x14ac:dyDescent="0.25">
      <c r="A351" s="16"/>
      <c r="B351" s="17"/>
      <c r="C351" s="2"/>
      <c r="D351" s="2"/>
      <c r="E351" s="2"/>
      <c r="F351" s="2"/>
      <c r="G351" s="2"/>
      <c r="H351" s="2"/>
      <c r="I351" s="5"/>
    </row>
    <row r="352" spans="1:9" ht="17.399999999999999" x14ac:dyDescent="0.25">
      <c r="A352" s="16"/>
      <c r="B352" s="17"/>
      <c r="C352" s="2"/>
      <c r="D352" s="2"/>
      <c r="E352" s="2"/>
      <c r="F352" s="2"/>
      <c r="G352" s="2"/>
      <c r="H352" s="2"/>
      <c r="I352" s="5"/>
    </row>
    <row r="353" spans="1:9" ht="17.399999999999999" x14ac:dyDescent="0.25">
      <c r="A353" s="16"/>
      <c r="B353" s="17"/>
      <c r="C353" s="2"/>
      <c r="D353" s="2"/>
      <c r="E353" s="2"/>
      <c r="F353" s="2"/>
      <c r="G353" s="2"/>
      <c r="H353" s="2"/>
      <c r="I353" s="5"/>
    </row>
    <row r="354" spans="1:9" ht="17.399999999999999" x14ac:dyDescent="0.25">
      <c r="A354" s="16"/>
      <c r="B354" s="17"/>
      <c r="C354" s="2"/>
      <c r="D354" s="2"/>
      <c r="E354" s="2"/>
      <c r="F354" s="2"/>
      <c r="G354" s="2"/>
      <c r="H354" s="2"/>
      <c r="I354" s="5"/>
    </row>
    <row r="355" spans="1:9" ht="17.399999999999999" x14ac:dyDescent="0.25">
      <c r="A355" s="16"/>
      <c r="B355" s="17"/>
      <c r="C355" s="2"/>
      <c r="D355" s="2"/>
      <c r="E355" s="2"/>
      <c r="F355" s="2"/>
      <c r="G355" s="2"/>
      <c r="H355" s="2"/>
      <c r="I355" s="5"/>
    </row>
    <row r="356" spans="1:9" ht="17.399999999999999" x14ac:dyDescent="0.25">
      <c r="A356" s="16"/>
      <c r="B356" s="17"/>
      <c r="C356" s="2"/>
      <c r="D356" s="2"/>
      <c r="E356" s="2"/>
      <c r="F356" s="2"/>
      <c r="G356" s="2"/>
      <c r="H356" s="2"/>
      <c r="I356" s="5"/>
    </row>
    <row r="357" spans="1:9" ht="17.399999999999999" x14ac:dyDescent="0.25">
      <c r="A357" s="16"/>
      <c r="B357" s="17"/>
      <c r="C357" s="2"/>
      <c r="D357" s="2"/>
      <c r="E357" s="2"/>
      <c r="F357" s="2"/>
      <c r="G357" s="2"/>
      <c r="H357" s="2"/>
      <c r="I357" s="5"/>
    </row>
    <row r="358" spans="1:9" ht="17.399999999999999" x14ac:dyDescent="0.25">
      <c r="A358" s="16"/>
      <c r="B358" s="17"/>
      <c r="C358" s="2"/>
      <c r="D358" s="2"/>
      <c r="E358" s="2"/>
      <c r="F358" s="2"/>
      <c r="G358" s="2"/>
      <c r="H358" s="2"/>
      <c r="I358" s="5"/>
    </row>
    <row r="359" spans="1:9" ht="17.399999999999999" x14ac:dyDescent="0.25">
      <c r="A359" s="16"/>
      <c r="B359" s="17"/>
      <c r="C359" s="2"/>
      <c r="D359" s="2"/>
      <c r="E359" s="2"/>
      <c r="F359" s="2"/>
      <c r="G359" s="2"/>
      <c r="H359" s="2"/>
      <c r="I359" s="5"/>
    </row>
    <row r="360" spans="1:9" ht="17.399999999999999" x14ac:dyDescent="0.25">
      <c r="A360" s="16"/>
      <c r="B360" s="17"/>
      <c r="C360" s="2"/>
      <c r="D360" s="2"/>
      <c r="E360" s="2"/>
      <c r="F360" s="2"/>
      <c r="G360" s="2"/>
      <c r="H360" s="2"/>
      <c r="I360" s="5"/>
    </row>
    <row r="361" spans="1:9" ht="17.399999999999999" x14ac:dyDescent="0.25">
      <c r="A361" s="16"/>
      <c r="B361" s="17"/>
      <c r="C361" s="2"/>
      <c r="D361" s="2"/>
      <c r="E361" s="2"/>
      <c r="F361" s="2"/>
      <c r="G361" s="2"/>
      <c r="H361" s="2"/>
      <c r="I361" s="5"/>
    </row>
    <row r="362" spans="1:9" ht="17.399999999999999" x14ac:dyDescent="0.25">
      <c r="A362" s="16"/>
      <c r="B362" s="17"/>
      <c r="C362" s="2"/>
      <c r="D362" s="2"/>
      <c r="E362" s="2"/>
      <c r="F362" s="2"/>
      <c r="G362" s="2"/>
      <c r="H362" s="2"/>
      <c r="I362" s="5"/>
    </row>
    <row r="363" spans="1:9" ht="17.399999999999999" x14ac:dyDescent="0.25">
      <c r="A363" s="16"/>
      <c r="B363" s="17"/>
      <c r="C363" s="2"/>
      <c r="D363" s="2"/>
      <c r="E363" s="2"/>
      <c r="F363" s="2"/>
      <c r="G363" s="2"/>
      <c r="H363" s="2"/>
      <c r="I363" s="5"/>
    </row>
    <row r="364" spans="1:9" ht="17.399999999999999" x14ac:dyDescent="0.25">
      <c r="A364" s="16"/>
      <c r="B364" s="17"/>
      <c r="C364" s="2"/>
      <c r="D364" s="2"/>
      <c r="E364" s="2"/>
      <c r="F364" s="2"/>
      <c r="G364" s="2"/>
      <c r="H364" s="2"/>
      <c r="I364" s="5"/>
    </row>
    <row r="365" spans="1:9" ht="17.399999999999999" x14ac:dyDescent="0.25">
      <c r="A365" s="16"/>
      <c r="B365" s="17"/>
      <c r="C365" s="2"/>
      <c r="D365" s="2"/>
      <c r="E365" s="2"/>
      <c r="F365" s="2"/>
      <c r="G365" s="2"/>
      <c r="H365" s="2"/>
      <c r="I365" s="5"/>
    </row>
    <row r="366" spans="1:9" ht="17.399999999999999" x14ac:dyDescent="0.25">
      <c r="A366" s="16"/>
      <c r="B366" s="17"/>
      <c r="C366" s="2"/>
      <c r="D366" s="2"/>
      <c r="E366" s="2"/>
      <c r="F366" s="2"/>
      <c r="G366" s="2"/>
      <c r="H366" s="2"/>
      <c r="I366" s="5"/>
    </row>
    <row r="367" spans="1:9" ht="17.399999999999999" x14ac:dyDescent="0.25">
      <c r="A367" s="16"/>
      <c r="B367" s="17"/>
      <c r="C367" s="2"/>
      <c r="D367" s="2"/>
      <c r="E367" s="2"/>
      <c r="F367" s="2"/>
      <c r="G367" s="2"/>
      <c r="H367" s="2"/>
      <c r="I367" s="5"/>
    </row>
    <row r="368" spans="1:9" ht="17.399999999999999" x14ac:dyDescent="0.25">
      <c r="A368" s="16"/>
      <c r="B368" s="17"/>
      <c r="C368" s="2"/>
      <c r="D368" s="2"/>
      <c r="E368" s="2"/>
      <c r="F368" s="2"/>
      <c r="G368" s="2"/>
      <c r="H368" s="2"/>
      <c r="I368" s="5"/>
    </row>
    <row r="369" spans="1:9" ht="17.399999999999999" x14ac:dyDescent="0.25">
      <c r="A369" s="16"/>
      <c r="B369" s="17"/>
      <c r="C369" s="2"/>
      <c r="D369" s="2"/>
      <c r="E369" s="2"/>
      <c r="F369" s="2"/>
      <c r="G369" s="2"/>
      <c r="H369" s="2"/>
      <c r="I369" s="5"/>
    </row>
    <row r="370" spans="1:9" ht="17.399999999999999" x14ac:dyDescent="0.25">
      <c r="A370" s="16"/>
      <c r="B370" s="17"/>
      <c r="C370" s="2"/>
      <c r="D370" s="2"/>
      <c r="E370" s="2"/>
      <c r="F370" s="2"/>
      <c r="G370" s="2"/>
      <c r="H370" s="2"/>
      <c r="I370" s="5"/>
    </row>
    <row r="371" spans="1:9" ht="17.399999999999999" x14ac:dyDescent="0.25">
      <c r="A371" s="16"/>
      <c r="B371" s="17"/>
      <c r="C371" s="2"/>
      <c r="D371" s="2"/>
      <c r="E371" s="2"/>
      <c r="F371" s="2"/>
      <c r="G371" s="2"/>
      <c r="H371" s="2"/>
      <c r="I371" s="5"/>
    </row>
    <row r="372" spans="1:9" ht="17.399999999999999" x14ac:dyDescent="0.25">
      <c r="A372" s="16"/>
      <c r="B372" s="17"/>
      <c r="C372" s="2"/>
      <c r="D372" s="2"/>
      <c r="E372" s="2"/>
      <c r="F372" s="2"/>
      <c r="G372" s="2"/>
      <c r="H372" s="2"/>
      <c r="I372" s="5"/>
    </row>
    <row r="373" spans="1:9" ht="17.399999999999999" x14ac:dyDescent="0.25">
      <c r="A373" s="16"/>
      <c r="B373" s="17"/>
      <c r="C373" s="2"/>
      <c r="D373" s="2"/>
      <c r="E373" s="2"/>
      <c r="F373" s="2"/>
      <c r="G373" s="2"/>
      <c r="H373" s="2"/>
      <c r="I373" s="5"/>
    </row>
    <row r="374" spans="1:9" ht="17.399999999999999" x14ac:dyDescent="0.25">
      <c r="A374" s="16"/>
      <c r="B374" s="17"/>
      <c r="C374" s="2"/>
      <c r="D374" s="2"/>
      <c r="E374" s="2"/>
      <c r="F374" s="2"/>
      <c r="G374" s="2"/>
      <c r="H374" s="2"/>
      <c r="I374" s="5"/>
    </row>
    <row r="375" spans="1:9" ht="17.399999999999999" x14ac:dyDescent="0.25">
      <c r="A375" s="16"/>
      <c r="B375" s="17"/>
      <c r="C375" s="2"/>
      <c r="D375" s="2"/>
      <c r="E375" s="2"/>
      <c r="F375" s="2"/>
      <c r="G375" s="2"/>
      <c r="H375" s="2"/>
      <c r="I375" s="5"/>
    </row>
    <row r="376" spans="1:9" ht="17.399999999999999" x14ac:dyDescent="0.25">
      <c r="A376" s="16"/>
      <c r="B376" s="17"/>
      <c r="C376" s="2"/>
      <c r="D376" s="2"/>
      <c r="E376" s="2"/>
      <c r="F376" s="2"/>
      <c r="G376" s="2"/>
      <c r="H376" s="2"/>
      <c r="I376" s="5"/>
    </row>
    <row r="377" spans="1:9" ht="17.399999999999999" x14ac:dyDescent="0.25">
      <c r="A377" s="16"/>
      <c r="B377" s="17"/>
      <c r="C377" s="2"/>
      <c r="D377" s="2"/>
      <c r="E377" s="2"/>
      <c r="F377" s="2"/>
      <c r="G377" s="2"/>
      <c r="H377" s="2"/>
      <c r="I377" s="5"/>
    </row>
    <row r="378" spans="1:9" ht="17.399999999999999" x14ac:dyDescent="0.25">
      <c r="A378" s="16"/>
      <c r="B378" s="17"/>
      <c r="C378" s="2"/>
      <c r="D378" s="2"/>
      <c r="E378" s="2"/>
      <c r="F378" s="2"/>
      <c r="G378" s="2"/>
      <c r="H378" s="2"/>
      <c r="I378" s="5"/>
    </row>
    <row r="379" spans="1:9" ht="17.399999999999999" x14ac:dyDescent="0.25">
      <c r="A379" s="16"/>
      <c r="B379" s="17"/>
      <c r="C379" s="2"/>
      <c r="D379" s="2"/>
      <c r="E379" s="2"/>
      <c r="F379" s="2"/>
      <c r="G379" s="2"/>
      <c r="H379" s="2"/>
      <c r="I379" s="5"/>
    </row>
    <row r="380" spans="1:9" ht="17.399999999999999" x14ac:dyDescent="0.25">
      <c r="A380" s="16"/>
      <c r="B380" s="17"/>
      <c r="C380" s="2"/>
      <c r="D380" s="2"/>
      <c r="E380" s="2"/>
      <c r="F380" s="2"/>
      <c r="G380" s="2"/>
      <c r="H380" s="2"/>
      <c r="I380" s="5"/>
    </row>
    <row r="381" spans="1:9" ht="17.399999999999999" x14ac:dyDescent="0.25">
      <c r="A381" s="16"/>
      <c r="B381" s="17"/>
      <c r="C381" s="2"/>
      <c r="D381" s="2"/>
      <c r="E381" s="2"/>
      <c r="F381" s="2"/>
      <c r="G381" s="2"/>
      <c r="H381" s="2"/>
      <c r="I381" s="5"/>
    </row>
    <row r="382" spans="1:9" ht="17.399999999999999" x14ac:dyDescent="0.25">
      <c r="A382" s="16"/>
      <c r="B382" s="17"/>
      <c r="C382" s="2"/>
      <c r="D382" s="2"/>
      <c r="E382" s="2"/>
      <c r="F382" s="2"/>
      <c r="G382" s="2"/>
      <c r="H382" s="2"/>
      <c r="I382" s="5"/>
    </row>
    <row r="383" spans="1:9" ht="17.399999999999999" x14ac:dyDescent="0.25">
      <c r="A383" s="16"/>
      <c r="B383" s="17"/>
      <c r="C383" s="2"/>
      <c r="D383" s="2"/>
      <c r="E383" s="2"/>
      <c r="F383" s="2"/>
      <c r="G383" s="2"/>
      <c r="H383" s="2"/>
      <c r="I383" s="5"/>
    </row>
    <row r="384" spans="1:9" ht="17.399999999999999" x14ac:dyDescent="0.25">
      <c r="A384" s="16"/>
      <c r="B384" s="17"/>
      <c r="C384" s="2"/>
      <c r="D384" s="2"/>
      <c r="E384" s="2"/>
      <c r="F384" s="2"/>
      <c r="G384" s="2"/>
      <c r="H384" s="2"/>
      <c r="I384" s="5"/>
    </row>
    <row r="385" spans="1:9" ht="17.399999999999999" x14ac:dyDescent="0.25">
      <c r="A385" s="16"/>
      <c r="B385" s="17"/>
      <c r="C385" s="2"/>
      <c r="D385" s="2"/>
      <c r="E385" s="2"/>
      <c r="F385" s="2"/>
      <c r="G385" s="2"/>
      <c r="H385" s="2"/>
      <c r="I385" s="5"/>
    </row>
    <row r="386" spans="1:9" ht="17.399999999999999" x14ac:dyDescent="0.25">
      <c r="A386" s="16"/>
      <c r="B386" s="17"/>
      <c r="C386" s="2"/>
      <c r="D386" s="2"/>
      <c r="E386" s="2"/>
      <c r="F386" s="2"/>
      <c r="G386" s="2"/>
      <c r="H386" s="2"/>
      <c r="I386" s="5"/>
    </row>
    <row r="387" spans="1:9" ht="17.399999999999999" x14ac:dyDescent="0.25">
      <c r="A387" s="16"/>
      <c r="B387" s="17"/>
      <c r="C387" s="2"/>
      <c r="D387" s="2"/>
      <c r="E387" s="2"/>
      <c r="F387" s="2"/>
      <c r="G387" s="2"/>
      <c r="H387" s="2"/>
      <c r="I387" s="5"/>
    </row>
    <row r="388" spans="1:9" ht="17.399999999999999" x14ac:dyDescent="0.25">
      <c r="A388" s="16"/>
      <c r="B388" s="17"/>
      <c r="C388" s="2"/>
      <c r="D388" s="2"/>
      <c r="E388" s="2"/>
      <c r="F388" s="2"/>
      <c r="G388" s="2"/>
      <c r="H388" s="2"/>
      <c r="I388" s="5"/>
    </row>
    <row r="389" spans="1:9" ht="17.399999999999999" x14ac:dyDescent="0.25">
      <c r="A389" s="16"/>
      <c r="B389" s="17"/>
      <c r="C389" s="2"/>
      <c r="D389" s="2"/>
      <c r="E389" s="2"/>
      <c r="F389" s="2"/>
      <c r="G389" s="2"/>
      <c r="H389" s="2"/>
      <c r="I389" s="5"/>
    </row>
    <row r="390" spans="1:9" ht="17.399999999999999" x14ac:dyDescent="0.25">
      <c r="A390" s="16"/>
      <c r="B390" s="17"/>
      <c r="C390" s="2"/>
      <c r="D390" s="2"/>
      <c r="E390" s="2"/>
      <c r="F390" s="2"/>
      <c r="G390" s="2"/>
      <c r="H390" s="2"/>
      <c r="I390" s="5"/>
    </row>
    <row r="391" spans="1:9" ht="17.399999999999999" x14ac:dyDescent="0.25">
      <c r="A391" s="16"/>
      <c r="B391" s="17"/>
      <c r="C391" s="2"/>
      <c r="D391" s="2"/>
      <c r="E391" s="2"/>
      <c r="F391" s="2"/>
      <c r="G391" s="2"/>
      <c r="H391" s="2"/>
      <c r="I391" s="5"/>
    </row>
    <row r="392" spans="1:9" ht="17.399999999999999" x14ac:dyDescent="0.25">
      <c r="A392" s="16"/>
      <c r="B392" s="17"/>
      <c r="C392" s="2"/>
      <c r="D392" s="2"/>
      <c r="E392" s="2"/>
      <c r="F392" s="2"/>
      <c r="G392" s="2"/>
      <c r="H392" s="2"/>
      <c r="I392" s="5"/>
    </row>
    <row r="393" spans="1:9" ht="17.399999999999999" x14ac:dyDescent="0.25">
      <c r="A393" s="16"/>
      <c r="B393" s="17"/>
      <c r="C393" s="2"/>
      <c r="D393" s="2"/>
      <c r="E393" s="2"/>
      <c r="F393" s="2"/>
      <c r="G393" s="2"/>
      <c r="H393" s="2"/>
      <c r="I393" s="5"/>
    </row>
    <row r="394" spans="1:9" ht="17.399999999999999" x14ac:dyDescent="0.25">
      <c r="A394" s="16"/>
      <c r="B394" s="17"/>
      <c r="C394" s="2"/>
      <c r="D394" s="2"/>
      <c r="E394" s="2"/>
      <c r="F394" s="2"/>
      <c r="G394" s="2"/>
      <c r="H394" s="2"/>
      <c r="I394" s="5"/>
    </row>
    <row r="395" spans="1:9" ht="17.399999999999999" x14ac:dyDescent="0.25">
      <c r="A395" s="16"/>
      <c r="B395" s="17"/>
      <c r="C395" s="2"/>
      <c r="D395" s="2"/>
      <c r="E395" s="2"/>
      <c r="F395" s="2"/>
      <c r="G395" s="2"/>
      <c r="H395" s="2"/>
      <c r="I395" s="5"/>
    </row>
    <row r="396" spans="1:9" ht="17.399999999999999" x14ac:dyDescent="0.25">
      <c r="A396" s="16"/>
      <c r="B396" s="17"/>
      <c r="C396" s="2"/>
      <c r="D396" s="2"/>
      <c r="E396" s="2"/>
      <c r="F396" s="2"/>
      <c r="G396" s="2"/>
      <c r="H396" s="2"/>
      <c r="I396" s="5"/>
    </row>
    <row r="397" spans="1:9" ht="17.399999999999999" x14ac:dyDescent="0.25">
      <c r="A397" s="16"/>
      <c r="B397" s="17"/>
      <c r="C397" s="2"/>
      <c r="D397" s="2"/>
      <c r="E397" s="2"/>
      <c r="F397" s="2"/>
      <c r="G397" s="2"/>
      <c r="H397" s="2"/>
      <c r="I397" s="5"/>
    </row>
    <row r="398" spans="1:9" ht="17.399999999999999" x14ac:dyDescent="0.25">
      <c r="A398" s="16"/>
      <c r="B398" s="17"/>
      <c r="C398" s="2"/>
      <c r="D398" s="2"/>
      <c r="E398" s="2"/>
      <c r="F398" s="2"/>
      <c r="G398" s="2"/>
      <c r="H398" s="2"/>
      <c r="I398" s="5"/>
    </row>
    <row r="399" spans="1:9" ht="17.399999999999999" x14ac:dyDescent="0.25">
      <c r="A399" s="16"/>
      <c r="B399" s="17"/>
      <c r="C399" s="2"/>
      <c r="D399" s="2"/>
      <c r="E399" s="2"/>
      <c r="F399" s="2"/>
      <c r="G399" s="2"/>
      <c r="H399" s="2"/>
      <c r="I399" s="5"/>
    </row>
    <row r="400" spans="1:9" ht="17.399999999999999" x14ac:dyDescent="0.25">
      <c r="A400" s="16"/>
      <c r="B400" s="17"/>
      <c r="C400" s="2"/>
      <c r="D400" s="2"/>
      <c r="E400" s="2"/>
      <c r="F400" s="2"/>
      <c r="G400" s="2"/>
      <c r="H400" s="2"/>
      <c r="I400" s="5"/>
    </row>
    <row r="401" spans="1:9" ht="17.399999999999999" x14ac:dyDescent="0.25">
      <c r="A401" s="16"/>
      <c r="B401" s="17"/>
      <c r="C401" s="2"/>
      <c r="D401" s="2"/>
      <c r="E401" s="2"/>
      <c r="F401" s="2"/>
      <c r="G401" s="2"/>
      <c r="H401" s="2"/>
      <c r="I401" s="5"/>
    </row>
    <row r="402" spans="1:9" ht="17.399999999999999" x14ac:dyDescent="0.25">
      <c r="A402" s="16"/>
      <c r="B402" s="17"/>
      <c r="C402" s="2"/>
      <c r="D402" s="2"/>
      <c r="E402" s="2"/>
      <c r="F402" s="2"/>
      <c r="G402" s="2"/>
      <c r="H402" s="2"/>
      <c r="I402" s="5"/>
    </row>
    <row r="403" spans="1:9" ht="17.399999999999999" x14ac:dyDescent="0.25">
      <c r="A403" s="16"/>
      <c r="B403" s="17"/>
      <c r="C403" s="2"/>
      <c r="D403" s="2"/>
      <c r="E403" s="2"/>
      <c r="F403" s="2"/>
      <c r="G403" s="2"/>
      <c r="H403" s="2"/>
      <c r="I403" s="5"/>
    </row>
    <row r="404" spans="1:9" ht="17.399999999999999" x14ac:dyDescent="0.25">
      <c r="A404" s="16"/>
      <c r="B404" s="17"/>
      <c r="C404" s="2"/>
      <c r="D404" s="2"/>
      <c r="E404" s="2"/>
      <c r="F404" s="2"/>
      <c r="G404" s="2"/>
      <c r="H404" s="2"/>
      <c r="I404" s="5"/>
    </row>
    <row r="405" spans="1:9" ht="17.399999999999999" x14ac:dyDescent="0.25">
      <c r="A405" s="16"/>
      <c r="B405" s="17"/>
      <c r="C405" s="2"/>
      <c r="D405" s="2"/>
      <c r="E405" s="2"/>
      <c r="F405" s="2"/>
      <c r="G405" s="2"/>
      <c r="H405" s="2"/>
      <c r="I405" s="5"/>
    </row>
    <row r="406" spans="1:9" ht="17.399999999999999" x14ac:dyDescent="0.25">
      <c r="A406" s="16"/>
      <c r="B406" s="17"/>
      <c r="C406" s="2"/>
      <c r="D406" s="2"/>
      <c r="E406" s="2"/>
      <c r="F406" s="2"/>
      <c r="G406" s="2"/>
      <c r="H406" s="2"/>
      <c r="I406" s="5"/>
    </row>
    <row r="407" spans="1:9" ht="17.399999999999999" x14ac:dyDescent="0.25">
      <c r="A407" s="16"/>
      <c r="B407" s="17"/>
      <c r="C407" s="2"/>
      <c r="D407" s="2"/>
      <c r="E407" s="2"/>
      <c r="F407" s="2"/>
      <c r="G407" s="2"/>
      <c r="H407" s="2"/>
      <c r="I407" s="5"/>
    </row>
    <row r="408" spans="1:9" ht="17.399999999999999" x14ac:dyDescent="0.25">
      <c r="A408" s="16"/>
      <c r="B408" s="17"/>
      <c r="C408" s="2"/>
      <c r="D408" s="2"/>
      <c r="E408" s="2"/>
      <c r="F408" s="2"/>
      <c r="G408" s="2"/>
      <c r="H408" s="2"/>
      <c r="I408" s="5"/>
    </row>
    <row r="409" spans="1:9" ht="17.399999999999999" x14ac:dyDescent="0.25">
      <c r="A409" s="16"/>
      <c r="B409" s="17"/>
      <c r="C409" s="2"/>
      <c r="D409" s="2"/>
      <c r="E409" s="2"/>
      <c r="F409" s="2"/>
      <c r="G409" s="2"/>
      <c r="H409" s="2"/>
      <c r="I409" s="5"/>
    </row>
    <row r="410" spans="1:9" ht="17.399999999999999" x14ac:dyDescent="0.25">
      <c r="A410" s="16"/>
      <c r="B410" s="17"/>
      <c r="C410" s="2"/>
      <c r="D410" s="2"/>
      <c r="E410" s="2"/>
      <c r="F410" s="2"/>
      <c r="G410" s="2"/>
      <c r="H410" s="2"/>
      <c r="I410" s="5"/>
    </row>
    <row r="411" spans="1:9" ht="17.399999999999999" x14ac:dyDescent="0.25">
      <c r="A411" s="16"/>
      <c r="B411" s="17"/>
      <c r="C411" s="2"/>
      <c r="D411" s="2"/>
      <c r="E411" s="2"/>
      <c r="F411" s="2"/>
      <c r="G411" s="2"/>
      <c r="H411" s="2"/>
      <c r="I411" s="5"/>
    </row>
    <row r="412" spans="1:9" ht="17.399999999999999" x14ac:dyDescent="0.25">
      <c r="A412" s="16"/>
      <c r="B412" s="17"/>
      <c r="C412" s="2"/>
      <c r="D412" s="2"/>
      <c r="E412" s="2"/>
      <c r="F412" s="2"/>
      <c r="G412" s="2"/>
      <c r="H412" s="2"/>
      <c r="I412" s="5"/>
    </row>
    <row r="413" spans="1:9" ht="17.399999999999999" x14ac:dyDescent="0.25">
      <c r="A413" s="16"/>
      <c r="B413" s="17"/>
      <c r="C413" s="2"/>
      <c r="D413" s="2"/>
      <c r="E413" s="2"/>
      <c r="F413" s="2"/>
      <c r="G413" s="2"/>
      <c r="H413" s="2"/>
      <c r="I413" s="5"/>
    </row>
    <row r="414" spans="1:9" ht="17.399999999999999" x14ac:dyDescent="0.25">
      <c r="A414" s="16"/>
      <c r="B414" s="17"/>
      <c r="C414" s="2"/>
      <c r="D414" s="2"/>
      <c r="E414" s="2"/>
      <c r="F414" s="2"/>
      <c r="G414" s="2"/>
      <c r="H414" s="2"/>
      <c r="I414" s="5"/>
    </row>
    <row r="415" spans="1:9" ht="17.399999999999999" x14ac:dyDescent="0.25">
      <c r="A415" s="16"/>
      <c r="B415" s="17"/>
      <c r="C415" s="2"/>
      <c r="D415" s="2"/>
      <c r="E415" s="2"/>
      <c r="F415" s="2"/>
      <c r="G415" s="2"/>
      <c r="H415" s="2"/>
      <c r="I415" s="5"/>
    </row>
    <row r="416" spans="1:9" ht="17.399999999999999" x14ac:dyDescent="0.25">
      <c r="A416" s="16"/>
      <c r="B416" s="17"/>
      <c r="C416" s="2"/>
      <c r="D416" s="2"/>
      <c r="E416" s="2"/>
      <c r="F416" s="2"/>
      <c r="G416" s="2"/>
      <c r="H416" s="2"/>
      <c r="I416" s="5"/>
    </row>
    <row r="417" spans="1:9" ht="17.399999999999999" x14ac:dyDescent="0.25">
      <c r="A417" s="16"/>
      <c r="B417" s="17"/>
      <c r="C417" s="2"/>
      <c r="D417" s="2"/>
      <c r="E417" s="2"/>
      <c r="F417" s="2"/>
      <c r="G417" s="2"/>
      <c r="H417" s="2"/>
      <c r="I417" s="5"/>
    </row>
    <row r="418" spans="1:9" ht="17.399999999999999" x14ac:dyDescent="0.25">
      <c r="A418" s="16"/>
      <c r="B418" s="17"/>
      <c r="C418" s="2"/>
      <c r="D418" s="2"/>
      <c r="E418" s="2"/>
      <c r="F418" s="2"/>
      <c r="G418" s="2"/>
      <c r="H418" s="2"/>
      <c r="I418" s="5"/>
    </row>
    <row r="419" spans="1:9" ht="17.399999999999999" x14ac:dyDescent="0.25">
      <c r="A419" s="16"/>
      <c r="B419" s="17"/>
      <c r="C419" s="2"/>
      <c r="D419" s="2"/>
      <c r="E419" s="2"/>
      <c r="F419" s="2"/>
      <c r="G419" s="2"/>
      <c r="H419" s="2"/>
      <c r="I419" s="5"/>
    </row>
    <row r="420" spans="1:9" ht="17.399999999999999" x14ac:dyDescent="0.25">
      <c r="A420" s="16"/>
      <c r="B420" s="17"/>
      <c r="C420" s="2"/>
      <c r="D420" s="2"/>
      <c r="E420" s="2"/>
      <c r="F420" s="2"/>
      <c r="G420" s="2"/>
      <c r="H420" s="2"/>
      <c r="I420" s="5"/>
    </row>
    <row r="421" spans="1:9" ht="17.399999999999999" x14ac:dyDescent="0.25">
      <c r="A421" s="16"/>
      <c r="B421" s="17"/>
      <c r="C421" s="2"/>
      <c r="D421" s="2"/>
      <c r="E421" s="2"/>
      <c r="F421" s="2"/>
      <c r="G421" s="2"/>
      <c r="H421" s="2"/>
      <c r="I421" s="5"/>
    </row>
    <row r="422" spans="1:9" ht="17.399999999999999" x14ac:dyDescent="0.25">
      <c r="A422" s="16"/>
      <c r="B422" s="17"/>
      <c r="C422" s="2"/>
      <c r="D422" s="2"/>
      <c r="E422" s="2"/>
      <c r="F422" s="2"/>
      <c r="G422" s="2"/>
      <c r="H422" s="2"/>
      <c r="I422" s="5"/>
    </row>
    <row r="423" spans="1:9" ht="17.399999999999999" x14ac:dyDescent="0.25">
      <c r="A423" s="16"/>
      <c r="B423" s="17"/>
      <c r="C423" s="2"/>
      <c r="D423" s="2"/>
      <c r="E423" s="2"/>
      <c r="F423" s="2"/>
      <c r="G423" s="2"/>
      <c r="H423" s="2"/>
      <c r="I423" s="5"/>
    </row>
    <row r="424" spans="1:9" ht="17.399999999999999" x14ac:dyDescent="0.25">
      <c r="A424" s="16"/>
      <c r="B424" s="17"/>
      <c r="C424" s="2"/>
      <c r="D424" s="2"/>
      <c r="E424" s="2"/>
      <c r="F424" s="2"/>
      <c r="G424" s="2"/>
      <c r="H424" s="2"/>
      <c r="I424" s="5"/>
    </row>
    <row r="425" spans="1:9" ht="17.399999999999999" x14ac:dyDescent="0.25">
      <c r="A425" s="16"/>
      <c r="B425" s="17"/>
      <c r="C425" s="2"/>
      <c r="D425" s="2"/>
      <c r="E425" s="2"/>
      <c r="F425" s="2"/>
      <c r="G425" s="2"/>
      <c r="H425" s="2"/>
      <c r="I425" s="5"/>
    </row>
    <row r="426" spans="1:9" ht="17.399999999999999" x14ac:dyDescent="0.25">
      <c r="A426" s="16"/>
      <c r="B426" s="17"/>
      <c r="C426" s="2"/>
      <c r="D426" s="2"/>
      <c r="E426" s="2"/>
      <c r="F426" s="2"/>
      <c r="G426" s="2"/>
      <c r="H426" s="2"/>
      <c r="I426" s="5"/>
    </row>
    <row r="427" spans="1:9" ht="17.399999999999999" x14ac:dyDescent="0.25">
      <c r="A427" s="16"/>
      <c r="B427" s="17"/>
      <c r="C427" s="2"/>
      <c r="D427" s="2"/>
      <c r="E427" s="2"/>
      <c r="F427" s="2"/>
      <c r="G427" s="2"/>
      <c r="H427" s="2"/>
      <c r="I427" s="5"/>
    </row>
    <row r="428" spans="1:9" ht="17.399999999999999" x14ac:dyDescent="0.25">
      <c r="A428" s="16"/>
      <c r="B428" s="17"/>
      <c r="C428" s="2"/>
      <c r="D428" s="2"/>
      <c r="E428" s="2"/>
      <c r="F428" s="2"/>
      <c r="G428" s="2"/>
      <c r="H428" s="2"/>
      <c r="I428" s="5"/>
    </row>
    <row r="429" spans="1:9" ht="17.399999999999999" x14ac:dyDescent="0.25">
      <c r="A429" s="16"/>
      <c r="B429" s="17"/>
      <c r="C429" s="2"/>
      <c r="D429" s="2"/>
      <c r="E429" s="2"/>
      <c r="F429" s="2"/>
      <c r="G429" s="2"/>
      <c r="H429" s="2"/>
      <c r="I429" s="5"/>
    </row>
    <row r="430" spans="1:9" ht="17.399999999999999" x14ac:dyDescent="0.25">
      <c r="A430" s="16"/>
      <c r="B430" s="17"/>
      <c r="C430" s="2"/>
      <c r="D430" s="2"/>
      <c r="E430" s="2"/>
      <c r="F430" s="2"/>
      <c r="G430" s="2"/>
      <c r="H430" s="2"/>
      <c r="I430" s="5"/>
    </row>
    <row r="431" spans="1:9" ht="17.399999999999999" x14ac:dyDescent="0.25">
      <c r="A431" s="16"/>
      <c r="B431" s="17"/>
      <c r="C431" s="2"/>
      <c r="D431" s="2"/>
      <c r="E431" s="2"/>
      <c r="F431" s="2"/>
      <c r="G431" s="2"/>
      <c r="H431" s="2"/>
      <c r="I431" s="5"/>
    </row>
    <row r="432" spans="1:9" ht="17.399999999999999" x14ac:dyDescent="0.25">
      <c r="A432" s="16"/>
      <c r="B432" s="17"/>
      <c r="C432" s="2"/>
      <c r="D432" s="2"/>
      <c r="E432" s="2"/>
      <c r="F432" s="2"/>
      <c r="G432" s="2"/>
      <c r="H432" s="2"/>
      <c r="I432" s="5"/>
    </row>
    <row r="433" spans="1:9" ht="17.399999999999999" x14ac:dyDescent="0.25">
      <c r="A433" s="16"/>
      <c r="B433" s="17"/>
      <c r="C433" s="2"/>
      <c r="D433" s="2"/>
      <c r="E433" s="2"/>
      <c r="F433" s="2"/>
      <c r="G433" s="2"/>
      <c r="H433" s="2"/>
      <c r="I433" s="5"/>
    </row>
    <row r="434" spans="1:9" ht="17.399999999999999" x14ac:dyDescent="0.25">
      <c r="A434" s="16"/>
      <c r="B434" s="17"/>
      <c r="C434" s="2"/>
      <c r="D434" s="2"/>
      <c r="E434" s="2"/>
      <c r="F434" s="2"/>
      <c r="G434" s="2"/>
      <c r="H434" s="2"/>
      <c r="I434" s="5"/>
    </row>
    <row r="435" spans="1:9" ht="17.399999999999999" x14ac:dyDescent="0.25">
      <c r="A435" s="16"/>
      <c r="B435" s="17"/>
      <c r="C435" s="2"/>
      <c r="D435" s="2"/>
      <c r="E435" s="2"/>
      <c r="F435" s="2"/>
      <c r="G435" s="2"/>
      <c r="H435" s="2"/>
      <c r="I435" s="5"/>
    </row>
    <row r="436" spans="1:9" ht="17.399999999999999" x14ac:dyDescent="0.25">
      <c r="A436" s="16"/>
      <c r="B436" s="17"/>
      <c r="C436" s="2"/>
      <c r="D436" s="2"/>
      <c r="E436" s="2"/>
      <c r="F436" s="2"/>
      <c r="G436" s="2"/>
      <c r="H436" s="2"/>
      <c r="I436" s="5"/>
    </row>
    <row r="437" spans="1:9" ht="17.399999999999999" x14ac:dyDescent="0.25">
      <c r="A437" s="16"/>
      <c r="B437" s="17"/>
      <c r="C437" s="2"/>
      <c r="D437" s="2"/>
      <c r="E437" s="2"/>
      <c r="F437" s="2"/>
      <c r="G437" s="2"/>
      <c r="H437" s="2"/>
      <c r="I437" s="5"/>
    </row>
    <row r="438" spans="1:9" ht="17.399999999999999" x14ac:dyDescent="0.25">
      <c r="A438" s="16"/>
      <c r="B438" s="17"/>
      <c r="C438" s="2"/>
      <c r="D438" s="2"/>
      <c r="E438" s="2"/>
      <c r="F438" s="2"/>
      <c r="G438" s="2"/>
      <c r="H438" s="2"/>
      <c r="I438" s="5"/>
    </row>
    <row r="439" spans="1:9" ht="17.399999999999999" x14ac:dyDescent="0.25">
      <c r="A439" s="16"/>
      <c r="B439" s="17"/>
      <c r="C439" s="2"/>
      <c r="D439" s="2"/>
      <c r="E439" s="2"/>
      <c r="F439" s="2"/>
      <c r="G439" s="2"/>
      <c r="H439" s="2"/>
      <c r="I439" s="5"/>
    </row>
    <row r="440" spans="1:9" ht="17.399999999999999" x14ac:dyDescent="0.25">
      <c r="A440" s="16"/>
      <c r="B440" s="17"/>
      <c r="C440" s="2"/>
      <c r="D440" s="2"/>
      <c r="E440" s="2"/>
      <c r="F440" s="2"/>
      <c r="G440" s="2"/>
      <c r="H440" s="2"/>
      <c r="I440" s="5"/>
    </row>
    <row r="441" spans="1:9" ht="17.399999999999999" x14ac:dyDescent="0.25">
      <c r="A441" s="16"/>
      <c r="B441" s="17"/>
      <c r="C441" s="2"/>
      <c r="D441" s="2"/>
      <c r="E441" s="2"/>
      <c r="F441" s="2"/>
      <c r="G441" s="2"/>
      <c r="H441" s="2"/>
      <c r="I441" s="5"/>
    </row>
    <row r="442" spans="1:9" ht="17.399999999999999" x14ac:dyDescent="0.25">
      <c r="A442" s="16"/>
      <c r="B442" s="17"/>
      <c r="C442" s="2"/>
      <c r="D442" s="2"/>
      <c r="E442" s="2"/>
      <c r="F442" s="2"/>
      <c r="G442" s="2"/>
      <c r="H442" s="2"/>
      <c r="I442" s="5"/>
    </row>
    <row r="443" spans="1:9" ht="17.399999999999999" x14ac:dyDescent="0.25">
      <c r="A443" s="16"/>
      <c r="B443" s="17"/>
      <c r="C443" s="2"/>
      <c r="D443" s="2"/>
      <c r="E443" s="2"/>
      <c r="F443" s="2"/>
      <c r="G443" s="2"/>
      <c r="H443" s="2"/>
      <c r="I443" s="5"/>
    </row>
    <row r="444" spans="1:9" ht="17.399999999999999" x14ac:dyDescent="0.25">
      <c r="A444" s="16"/>
      <c r="B444" s="17"/>
      <c r="C444" s="2"/>
      <c r="D444" s="2"/>
      <c r="E444" s="2"/>
      <c r="F444" s="2"/>
      <c r="G444" s="2"/>
      <c r="H444" s="2"/>
      <c r="I444" s="5"/>
    </row>
    <row r="445" spans="1:9" ht="17.399999999999999" x14ac:dyDescent="0.25">
      <c r="A445" s="16"/>
      <c r="B445" s="17"/>
      <c r="C445" s="2"/>
      <c r="D445" s="2"/>
      <c r="E445" s="2"/>
      <c r="F445" s="2"/>
      <c r="G445" s="2"/>
      <c r="H445" s="2"/>
      <c r="I445" s="5"/>
    </row>
    <row r="446" spans="1:9" ht="17.399999999999999" x14ac:dyDescent="0.25">
      <c r="A446" s="16"/>
      <c r="B446" s="17"/>
      <c r="C446" s="2"/>
      <c r="D446" s="2"/>
      <c r="E446" s="2"/>
      <c r="F446" s="2"/>
      <c r="G446" s="2"/>
      <c r="H446" s="2"/>
      <c r="I446" s="5"/>
    </row>
    <row r="447" spans="1:9" ht="17.399999999999999" x14ac:dyDescent="0.25">
      <c r="A447" s="16"/>
      <c r="B447" s="17"/>
      <c r="C447" s="2"/>
      <c r="D447" s="2"/>
      <c r="E447" s="2"/>
      <c r="F447" s="2"/>
      <c r="G447" s="2"/>
      <c r="H447" s="2"/>
      <c r="I447" s="5"/>
    </row>
    <row r="448" spans="1:9" ht="17.399999999999999" x14ac:dyDescent="0.25">
      <c r="A448" s="16"/>
      <c r="B448" s="17"/>
      <c r="C448" s="2"/>
      <c r="D448" s="2"/>
      <c r="E448" s="2"/>
      <c r="F448" s="2"/>
      <c r="G448" s="2"/>
      <c r="H448" s="2"/>
      <c r="I448" s="5"/>
    </row>
    <row r="449" spans="1:9" ht="17.399999999999999" x14ac:dyDescent="0.25">
      <c r="A449" s="16"/>
      <c r="B449" s="17"/>
      <c r="C449" s="2"/>
      <c r="D449" s="2"/>
      <c r="E449" s="2"/>
      <c r="F449" s="2"/>
      <c r="G449" s="2"/>
      <c r="H449" s="2"/>
      <c r="I449" s="5"/>
    </row>
    <row r="450" spans="1:9" ht="17.399999999999999" x14ac:dyDescent="0.25">
      <c r="A450" s="16"/>
      <c r="B450" s="17"/>
      <c r="C450" s="2"/>
      <c r="D450" s="2"/>
      <c r="E450" s="2"/>
      <c r="F450" s="2"/>
      <c r="G450" s="2"/>
      <c r="H450" s="2"/>
      <c r="I450" s="5"/>
    </row>
    <row r="451" spans="1:9" ht="17.399999999999999" x14ac:dyDescent="0.25">
      <c r="A451" s="16"/>
      <c r="B451" s="17"/>
      <c r="C451" s="2"/>
      <c r="D451" s="2"/>
      <c r="E451" s="2"/>
      <c r="F451" s="2"/>
      <c r="G451" s="2"/>
      <c r="H451" s="2"/>
      <c r="I451" s="5"/>
    </row>
    <row r="452" spans="1:9" ht="17.399999999999999" x14ac:dyDescent="0.25">
      <c r="A452" s="16"/>
      <c r="B452" s="17"/>
      <c r="C452" s="2"/>
      <c r="D452" s="2"/>
      <c r="E452" s="2"/>
      <c r="F452" s="2"/>
      <c r="G452" s="2"/>
      <c r="H452" s="2"/>
      <c r="I452" s="5"/>
    </row>
    <row r="453" spans="1:9" ht="17.399999999999999" x14ac:dyDescent="0.25">
      <c r="A453" s="16"/>
      <c r="B453" s="17"/>
      <c r="C453" s="2"/>
      <c r="D453" s="2"/>
      <c r="E453" s="2"/>
      <c r="F453" s="2"/>
      <c r="G453" s="2"/>
      <c r="H453" s="2"/>
      <c r="I453" s="5"/>
    </row>
    <row r="454" spans="1:9" ht="17.399999999999999" x14ac:dyDescent="0.25">
      <c r="A454" s="16"/>
      <c r="B454" s="17"/>
      <c r="C454" s="2"/>
      <c r="D454" s="2"/>
      <c r="E454" s="2"/>
      <c r="F454" s="2"/>
      <c r="G454" s="2"/>
      <c r="H454" s="2"/>
      <c r="I454" s="5"/>
    </row>
    <row r="455" spans="1:9" ht="17.399999999999999" x14ac:dyDescent="0.25">
      <c r="A455" s="16"/>
      <c r="B455" s="17"/>
      <c r="C455" s="2"/>
      <c r="D455" s="2"/>
      <c r="E455" s="2"/>
      <c r="F455" s="2"/>
      <c r="G455" s="2"/>
      <c r="H455" s="2"/>
      <c r="I455" s="5"/>
    </row>
    <row r="456" spans="1:9" ht="17.399999999999999" x14ac:dyDescent="0.25">
      <c r="A456" s="16"/>
      <c r="B456" s="17"/>
      <c r="C456" s="2"/>
      <c r="D456" s="2"/>
      <c r="E456" s="2"/>
      <c r="F456" s="2"/>
      <c r="G456" s="2"/>
      <c r="H456" s="2"/>
      <c r="I456" s="5"/>
    </row>
    <row r="457" spans="1:9" ht="17.399999999999999" x14ac:dyDescent="0.25">
      <c r="A457" s="16"/>
      <c r="B457" s="17"/>
      <c r="C457" s="2"/>
      <c r="D457" s="2"/>
      <c r="E457" s="2"/>
      <c r="F457" s="2"/>
      <c r="G457" s="2"/>
      <c r="H457" s="2"/>
      <c r="I457" s="5"/>
    </row>
    <row r="458" spans="1:9" ht="17.399999999999999" x14ac:dyDescent="0.25">
      <c r="A458" s="16"/>
      <c r="B458" s="17"/>
      <c r="C458" s="2"/>
      <c r="D458" s="2"/>
      <c r="E458" s="2"/>
      <c r="F458" s="2"/>
      <c r="G458" s="2"/>
      <c r="H458" s="2"/>
      <c r="I458" s="5"/>
    </row>
    <row r="459" spans="1:9" ht="17.399999999999999" x14ac:dyDescent="0.25">
      <c r="A459" s="16"/>
      <c r="B459" s="17"/>
      <c r="C459" s="2"/>
      <c r="D459" s="2"/>
      <c r="E459" s="2"/>
      <c r="F459" s="2"/>
      <c r="G459" s="2"/>
      <c r="H459" s="2"/>
      <c r="I459" s="5"/>
    </row>
    <row r="460" spans="1:9" ht="17.399999999999999" x14ac:dyDescent="0.25">
      <c r="A460" s="16"/>
      <c r="B460" s="17"/>
      <c r="C460" s="2"/>
      <c r="D460" s="2"/>
      <c r="E460" s="2"/>
      <c r="F460" s="2"/>
      <c r="G460" s="2"/>
      <c r="H460" s="2"/>
      <c r="I460" s="5"/>
    </row>
    <row r="461" spans="1:9" ht="17.399999999999999" x14ac:dyDescent="0.25">
      <c r="A461" s="16"/>
      <c r="B461" s="17"/>
      <c r="C461" s="2"/>
      <c r="D461" s="2"/>
      <c r="E461" s="2"/>
      <c r="F461" s="2"/>
      <c r="G461" s="2"/>
      <c r="H461" s="2"/>
      <c r="I461" s="5"/>
    </row>
    <row r="462" spans="1:9" ht="17.399999999999999" x14ac:dyDescent="0.25">
      <c r="A462" s="16"/>
      <c r="B462" s="17"/>
      <c r="C462" s="2"/>
      <c r="D462" s="2"/>
      <c r="E462" s="2"/>
      <c r="F462" s="2"/>
      <c r="G462" s="2"/>
      <c r="H462" s="2"/>
      <c r="I462" s="5"/>
    </row>
    <row r="463" spans="1:9" ht="17.399999999999999" x14ac:dyDescent="0.25">
      <c r="A463" s="16"/>
      <c r="B463" s="17"/>
      <c r="C463" s="2"/>
      <c r="D463" s="2"/>
      <c r="E463" s="2"/>
      <c r="F463" s="2"/>
      <c r="G463" s="2"/>
      <c r="H463" s="2"/>
      <c r="I463" s="5"/>
    </row>
    <row r="464" spans="1:9" ht="17.399999999999999" x14ac:dyDescent="0.25">
      <c r="A464" s="16"/>
      <c r="B464" s="17"/>
      <c r="C464" s="2"/>
      <c r="D464" s="2"/>
      <c r="E464" s="2"/>
      <c r="F464" s="2"/>
      <c r="G464" s="2"/>
      <c r="H464" s="2"/>
      <c r="I464" s="5"/>
    </row>
    <row r="465" spans="1:9" ht="17.399999999999999" x14ac:dyDescent="0.25">
      <c r="A465" s="16"/>
      <c r="B465" s="17"/>
      <c r="C465" s="2"/>
      <c r="D465" s="2"/>
      <c r="E465" s="2"/>
      <c r="F465" s="2"/>
      <c r="G465" s="2"/>
      <c r="H465" s="2"/>
      <c r="I465" s="5"/>
    </row>
    <row r="466" spans="1:9" ht="17.399999999999999" x14ac:dyDescent="0.25">
      <c r="A466" s="16"/>
      <c r="B466" s="17"/>
      <c r="C466" s="2"/>
      <c r="D466" s="2"/>
      <c r="E466" s="2"/>
      <c r="F466" s="2"/>
      <c r="G466" s="2"/>
      <c r="H466" s="2"/>
      <c r="I466" s="5"/>
    </row>
    <row r="467" spans="1:9" ht="17.399999999999999" x14ac:dyDescent="0.25">
      <c r="A467" s="16"/>
      <c r="B467" s="17"/>
      <c r="C467" s="2"/>
      <c r="D467" s="2"/>
      <c r="E467" s="2"/>
      <c r="F467" s="2"/>
      <c r="G467" s="2"/>
      <c r="H467" s="2"/>
      <c r="I467" s="5"/>
    </row>
    <row r="468" spans="1:9" ht="17.399999999999999" x14ac:dyDescent="0.25">
      <c r="A468" s="16"/>
      <c r="B468" s="17"/>
      <c r="C468" s="2"/>
      <c r="D468" s="2"/>
      <c r="E468" s="2"/>
      <c r="F468" s="2"/>
      <c r="G468" s="2"/>
      <c r="H468" s="2"/>
      <c r="I468" s="5"/>
    </row>
    <row r="469" spans="1:9" ht="17.399999999999999" x14ac:dyDescent="0.25">
      <c r="A469" s="16"/>
      <c r="B469" s="17"/>
      <c r="C469" s="2"/>
      <c r="D469" s="2"/>
      <c r="E469" s="2"/>
      <c r="F469" s="2"/>
      <c r="G469" s="2"/>
      <c r="H469" s="2"/>
      <c r="I469" s="5"/>
    </row>
    <row r="470" spans="1:9" ht="17.399999999999999" x14ac:dyDescent="0.25">
      <c r="A470" s="16"/>
      <c r="B470" s="17"/>
      <c r="C470" s="2"/>
      <c r="D470" s="2"/>
      <c r="E470" s="2"/>
      <c r="F470" s="2"/>
      <c r="G470" s="2"/>
      <c r="H470" s="2"/>
      <c r="I470" s="5"/>
    </row>
    <row r="471" spans="1:9" ht="17.399999999999999" x14ac:dyDescent="0.25">
      <c r="A471" s="16"/>
      <c r="B471" s="17"/>
      <c r="C471" s="2"/>
      <c r="D471" s="2"/>
      <c r="E471" s="2"/>
      <c r="F471" s="2"/>
      <c r="G471" s="2"/>
      <c r="H471" s="2"/>
      <c r="I471" s="5"/>
    </row>
    <row r="472" spans="1:9" ht="17.399999999999999" x14ac:dyDescent="0.25">
      <c r="A472" s="16"/>
      <c r="B472" s="17"/>
      <c r="C472" s="2"/>
      <c r="D472" s="2"/>
      <c r="E472" s="2"/>
      <c r="F472" s="2"/>
      <c r="G472" s="2"/>
      <c r="H472" s="2"/>
      <c r="I472" s="5"/>
    </row>
    <row r="473" spans="1:9" ht="17.399999999999999" x14ac:dyDescent="0.25">
      <c r="A473" s="16"/>
      <c r="B473" s="17"/>
      <c r="C473" s="2"/>
      <c r="D473" s="2"/>
      <c r="E473" s="2"/>
      <c r="F473" s="2"/>
      <c r="G473" s="2"/>
      <c r="H473" s="2"/>
      <c r="I473" s="5"/>
    </row>
    <row r="474" spans="1:9" ht="17.399999999999999" x14ac:dyDescent="0.25">
      <c r="A474" s="16"/>
      <c r="B474" s="17"/>
      <c r="C474" s="2"/>
      <c r="D474" s="2"/>
      <c r="E474" s="2"/>
      <c r="F474" s="2"/>
      <c r="G474" s="2"/>
      <c r="H474" s="2"/>
      <c r="I474" s="5"/>
    </row>
    <row r="475" spans="1:9" ht="17.399999999999999" x14ac:dyDescent="0.25">
      <c r="A475" s="16"/>
      <c r="B475" s="17"/>
      <c r="C475" s="2"/>
      <c r="D475" s="2"/>
      <c r="E475" s="2"/>
      <c r="F475" s="2"/>
      <c r="G475" s="2"/>
      <c r="H475" s="2"/>
      <c r="I475" s="5"/>
    </row>
    <row r="476" spans="1:9" ht="17.399999999999999" x14ac:dyDescent="0.25">
      <c r="A476" s="16"/>
      <c r="B476" s="17"/>
      <c r="C476" s="2"/>
      <c r="D476" s="2"/>
      <c r="E476" s="2"/>
      <c r="F476" s="2"/>
      <c r="G476" s="2"/>
      <c r="H476" s="2"/>
      <c r="I476" s="5"/>
    </row>
    <row r="477" spans="1:9" ht="17.399999999999999" x14ac:dyDescent="0.25">
      <c r="A477" s="16"/>
      <c r="B477" s="17"/>
      <c r="C477" s="2"/>
      <c r="D477" s="2"/>
      <c r="E477" s="2"/>
      <c r="F477" s="2"/>
      <c r="G477" s="2"/>
      <c r="H477" s="2"/>
      <c r="I477" s="5"/>
    </row>
    <row r="478" spans="1:9" ht="17.399999999999999" x14ac:dyDescent="0.25">
      <c r="A478" s="16"/>
      <c r="B478" s="17"/>
      <c r="C478" s="2"/>
      <c r="D478" s="2"/>
      <c r="E478" s="2"/>
      <c r="F478" s="2"/>
      <c r="G478" s="2"/>
      <c r="H478" s="2"/>
      <c r="I478" s="5"/>
    </row>
    <row r="479" spans="1:9" ht="17.399999999999999" x14ac:dyDescent="0.25">
      <c r="A479" s="16"/>
      <c r="B479" s="17"/>
      <c r="C479" s="2"/>
      <c r="D479" s="2"/>
      <c r="E479" s="2"/>
      <c r="F479" s="2"/>
      <c r="G479" s="2"/>
      <c r="H479" s="2"/>
      <c r="I479" s="5"/>
    </row>
    <row r="480" spans="1:9" ht="17.399999999999999" x14ac:dyDescent="0.25">
      <c r="A480" s="16"/>
      <c r="B480" s="17"/>
      <c r="C480" s="2"/>
      <c r="D480" s="2"/>
      <c r="E480" s="2"/>
      <c r="F480" s="2"/>
      <c r="G480" s="2"/>
      <c r="H480" s="2"/>
      <c r="I480" s="5"/>
    </row>
    <row r="481" spans="1:9" ht="17.399999999999999" x14ac:dyDescent="0.25">
      <c r="A481" s="16"/>
      <c r="B481" s="17"/>
      <c r="C481" s="2"/>
      <c r="D481" s="2"/>
      <c r="E481" s="2"/>
      <c r="F481" s="2"/>
      <c r="G481" s="2"/>
      <c r="H481" s="2"/>
      <c r="I481" s="5"/>
    </row>
    <row r="482" spans="1:9" ht="17.399999999999999" x14ac:dyDescent="0.25">
      <c r="A482" s="16"/>
      <c r="B482" s="17"/>
      <c r="C482" s="2"/>
      <c r="D482" s="2"/>
      <c r="E482" s="2"/>
      <c r="F482" s="2"/>
      <c r="G482" s="2"/>
      <c r="H482" s="2"/>
      <c r="I482" s="5"/>
    </row>
    <row r="483" spans="1:9" ht="17.399999999999999" x14ac:dyDescent="0.25">
      <c r="A483" s="16"/>
      <c r="B483" s="17"/>
      <c r="C483" s="2"/>
      <c r="D483" s="2"/>
      <c r="E483" s="2"/>
      <c r="F483" s="2"/>
      <c r="G483" s="2"/>
      <c r="H483" s="2"/>
      <c r="I483" s="5"/>
    </row>
    <row r="484" spans="1:9" ht="17.399999999999999" x14ac:dyDescent="0.25">
      <c r="A484" s="16"/>
      <c r="B484" s="17"/>
      <c r="C484" s="2"/>
      <c r="D484" s="2"/>
      <c r="E484" s="2"/>
      <c r="F484" s="2"/>
      <c r="G484" s="2"/>
      <c r="H484" s="2"/>
      <c r="I484" s="5"/>
    </row>
    <row r="485" spans="1:9" ht="17.399999999999999" x14ac:dyDescent="0.25">
      <c r="A485" s="16"/>
      <c r="B485" s="17"/>
      <c r="C485" s="2"/>
      <c r="D485" s="2"/>
      <c r="E485" s="2"/>
      <c r="F485" s="2"/>
      <c r="G485" s="2"/>
      <c r="H485" s="2"/>
      <c r="I485" s="5"/>
    </row>
    <row r="486" spans="1:9" ht="17.399999999999999" x14ac:dyDescent="0.25">
      <c r="A486" s="16"/>
      <c r="B486" s="17"/>
      <c r="C486" s="2"/>
      <c r="D486" s="2"/>
      <c r="E486" s="2"/>
      <c r="F486" s="2"/>
      <c r="G486" s="2"/>
      <c r="H486" s="2"/>
      <c r="I486" s="5"/>
    </row>
    <row r="487" spans="1:9" ht="17.399999999999999" x14ac:dyDescent="0.25">
      <c r="A487" s="16"/>
      <c r="B487" s="17"/>
      <c r="C487" s="2"/>
      <c r="D487" s="2"/>
      <c r="E487" s="2"/>
      <c r="F487" s="2"/>
      <c r="G487" s="2"/>
      <c r="H487" s="2"/>
      <c r="I487" s="5"/>
    </row>
    <row r="488" spans="1:9" ht="17.399999999999999" x14ac:dyDescent="0.25">
      <c r="A488" s="16"/>
      <c r="B488" s="17"/>
      <c r="C488" s="2"/>
      <c r="D488" s="2"/>
      <c r="E488" s="2"/>
      <c r="F488" s="2"/>
      <c r="G488" s="2"/>
      <c r="H488" s="2"/>
      <c r="I488" s="5"/>
    </row>
    <row r="489" spans="1:9" ht="17.399999999999999" x14ac:dyDescent="0.25">
      <c r="A489" s="16"/>
      <c r="B489" s="17"/>
      <c r="C489" s="2"/>
      <c r="D489" s="2"/>
      <c r="E489" s="2"/>
      <c r="F489" s="2"/>
      <c r="G489" s="2"/>
      <c r="H489" s="2"/>
      <c r="I489" s="5"/>
    </row>
    <row r="490" spans="1:9" ht="17.399999999999999" x14ac:dyDescent="0.25">
      <c r="A490" s="16"/>
      <c r="B490" s="17"/>
      <c r="C490" s="2"/>
      <c r="D490" s="2"/>
      <c r="E490" s="2"/>
      <c r="F490" s="2"/>
      <c r="G490" s="2"/>
      <c r="H490" s="2"/>
      <c r="I490" s="5"/>
    </row>
    <row r="491" spans="1:9" ht="17.399999999999999" x14ac:dyDescent="0.25">
      <c r="A491" s="16"/>
      <c r="B491" s="17"/>
      <c r="C491" s="2"/>
      <c r="D491" s="2"/>
      <c r="E491" s="2"/>
      <c r="F491" s="2"/>
      <c r="G491" s="2"/>
      <c r="H491" s="2"/>
      <c r="I491" s="5"/>
    </row>
    <row r="492" spans="1:9" ht="17.399999999999999" x14ac:dyDescent="0.25">
      <c r="A492" s="16"/>
      <c r="B492" s="17"/>
      <c r="C492" s="2"/>
      <c r="D492" s="2"/>
      <c r="E492" s="2"/>
      <c r="F492" s="2"/>
      <c r="G492" s="2"/>
      <c r="H492" s="2"/>
      <c r="I492" s="5"/>
    </row>
    <row r="493" spans="1:9" ht="17.399999999999999" x14ac:dyDescent="0.25">
      <c r="A493" s="16"/>
      <c r="B493" s="17"/>
      <c r="C493" s="2"/>
      <c r="D493" s="2"/>
      <c r="E493" s="2"/>
      <c r="F493" s="2"/>
      <c r="G493" s="2"/>
      <c r="H493" s="2"/>
      <c r="I493" s="5"/>
    </row>
    <row r="494" spans="1:9" ht="17.399999999999999" x14ac:dyDescent="0.25">
      <c r="A494" s="16"/>
      <c r="B494" s="17"/>
      <c r="C494" s="2"/>
      <c r="D494" s="2"/>
      <c r="E494" s="2"/>
      <c r="F494" s="2"/>
      <c r="G494" s="2"/>
      <c r="H494" s="2"/>
      <c r="I494" s="5"/>
    </row>
    <row r="495" spans="1:9" ht="17.399999999999999" x14ac:dyDescent="0.25">
      <c r="A495" s="16"/>
      <c r="B495" s="17"/>
      <c r="C495" s="2"/>
      <c r="D495" s="2"/>
      <c r="E495" s="2"/>
      <c r="F495" s="2"/>
      <c r="G495" s="2"/>
      <c r="H495" s="2"/>
      <c r="I495" s="5"/>
    </row>
    <row r="496" spans="1:9" ht="17.399999999999999" x14ac:dyDescent="0.25">
      <c r="A496" s="16"/>
      <c r="B496" s="17"/>
      <c r="C496" s="2"/>
      <c r="D496" s="2"/>
      <c r="E496" s="2"/>
      <c r="F496" s="2"/>
      <c r="G496" s="2"/>
      <c r="H496" s="2"/>
      <c r="I496" s="5"/>
    </row>
    <row r="497" spans="1:9" ht="17.399999999999999" x14ac:dyDescent="0.25">
      <c r="A497" s="16"/>
      <c r="B497" s="17"/>
      <c r="C497" s="2"/>
      <c r="D497" s="2"/>
      <c r="E497" s="2"/>
      <c r="F497" s="2"/>
      <c r="G497" s="2"/>
      <c r="H497" s="2"/>
      <c r="I497" s="5"/>
    </row>
    <row r="498" spans="1:9" ht="17.399999999999999" x14ac:dyDescent="0.25">
      <c r="A498" s="16"/>
      <c r="B498" s="17"/>
      <c r="C498" s="2"/>
      <c r="D498" s="2"/>
      <c r="E498" s="2"/>
      <c r="F498" s="2"/>
      <c r="G498" s="2"/>
      <c r="H498" s="2"/>
      <c r="I498" s="5"/>
    </row>
    <row r="499" spans="1:9" ht="17.399999999999999" x14ac:dyDescent="0.25">
      <c r="A499" s="16"/>
      <c r="B499" s="17"/>
      <c r="C499" s="2"/>
      <c r="D499" s="2"/>
      <c r="E499" s="2"/>
      <c r="F499" s="2"/>
      <c r="G499" s="2"/>
      <c r="H499" s="2"/>
      <c r="I499" s="5"/>
    </row>
    <row r="500" spans="1:9" ht="17.399999999999999" x14ac:dyDescent="0.25">
      <c r="A500" s="16"/>
      <c r="B500" s="17"/>
      <c r="C500" s="2"/>
      <c r="D500" s="2"/>
      <c r="E500" s="2"/>
      <c r="F500" s="2"/>
      <c r="G500" s="2"/>
      <c r="H500" s="2"/>
      <c r="I500" s="5"/>
    </row>
    <row r="501" spans="1:9" ht="17.399999999999999" x14ac:dyDescent="0.25">
      <c r="A501" s="16"/>
      <c r="B501" s="17"/>
      <c r="C501" s="2"/>
      <c r="D501" s="2"/>
      <c r="E501" s="2"/>
      <c r="F501" s="2"/>
      <c r="G501" s="2"/>
      <c r="H501" s="2"/>
      <c r="I501" s="5"/>
    </row>
    <row r="502" spans="1:9" ht="17.399999999999999" x14ac:dyDescent="0.25">
      <c r="A502" s="16"/>
      <c r="B502" s="17"/>
      <c r="C502" s="2"/>
      <c r="D502" s="2"/>
      <c r="E502" s="2"/>
      <c r="F502" s="2"/>
      <c r="G502" s="2"/>
      <c r="H502" s="2"/>
      <c r="I502" s="5"/>
    </row>
    <row r="503" spans="1:9" ht="17.399999999999999" x14ac:dyDescent="0.25">
      <c r="A503" s="16"/>
      <c r="B503" s="17"/>
      <c r="C503" s="2"/>
      <c r="D503" s="2"/>
      <c r="E503" s="2"/>
      <c r="F503" s="2"/>
      <c r="G503" s="2"/>
      <c r="H503" s="2"/>
      <c r="I503" s="5"/>
    </row>
    <row r="504" spans="1:9" ht="17.399999999999999" x14ac:dyDescent="0.25">
      <c r="A504" s="16"/>
      <c r="B504" s="17"/>
      <c r="C504" s="2"/>
      <c r="D504" s="2"/>
      <c r="E504" s="2"/>
      <c r="F504" s="2"/>
      <c r="G504" s="2"/>
      <c r="H504" s="2"/>
      <c r="I504" s="5"/>
    </row>
    <row r="505" spans="1:9" ht="17.399999999999999" x14ac:dyDescent="0.25">
      <c r="A505" s="16"/>
      <c r="B505" s="17"/>
      <c r="C505" s="2"/>
      <c r="D505" s="2"/>
      <c r="E505" s="2"/>
      <c r="F505" s="2"/>
      <c r="G505" s="2"/>
      <c r="H505" s="2"/>
      <c r="I505" s="5"/>
    </row>
    <row r="506" spans="1:9" ht="17.399999999999999" x14ac:dyDescent="0.25">
      <c r="A506" s="16"/>
      <c r="B506" s="17"/>
      <c r="C506" s="2"/>
      <c r="D506" s="2"/>
      <c r="E506" s="2"/>
      <c r="F506" s="2"/>
      <c r="G506" s="2"/>
      <c r="H506" s="2"/>
      <c r="I506" s="5"/>
    </row>
    <row r="507" spans="1:9" ht="17.399999999999999" x14ac:dyDescent="0.25">
      <c r="A507" s="16"/>
      <c r="B507" s="17"/>
      <c r="C507" s="2"/>
      <c r="D507" s="2"/>
      <c r="E507" s="2"/>
      <c r="F507" s="2"/>
      <c r="G507" s="2"/>
      <c r="H507" s="2"/>
      <c r="I507" s="5"/>
    </row>
    <row r="508" spans="1:9" ht="17.399999999999999" x14ac:dyDescent="0.25">
      <c r="A508" s="16"/>
      <c r="B508" s="17"/>
      <c r="C508" s="2"/>
      <c r="D508" s="2"/>
      <c r="E508" s="2"/>
      <c r="F508" s="2"/>
      <c r="G508" s="2"/>
      <c r="H508" s="2"/>
      <c r="I508" s="5"/>
    </row>
    <row r="509" spans="1:9" ht="17.399999999999999" x14ac:dyDescent="0.25">
      <c r="A509" s="16"/>
      <c r="B509" s="17"/>
      <c r="C509" s="2"/>
      <c r="D509" s="2"/>
      <c r="E509" s="2"/>
      <c r="F509" s="2"/>
      <c r="G509" s="2"/>
      <c r="H509" s="2"/>
      <c r="I509" s="5"/>
    </row>
    <row r="510" spans="1:9" ht="17.399999999999999" x14ac:dyDescent="0.25">
      <c r="A510" s="16"/>
      <c r="B510" s="17"/>
      <c r="C510" s="2"/>
      <c r="D510" s="2"/>
      <c r="E510" s="2"/>
      <c r="F510" s="2"/>
      <c r="G510" s="2"/>
      <c r="H510" s="2"/>
      <c r="I510" s="5"/>
    </row>
    <row r="511" spans="1:9" ht="17.399999999999999" x14ac:dyDescent="0.25">
      <c r="A511" s="16"/>
      <c r="B511" s="17"/>
      <c r="C511" s="2"/>
      <c r="D511" s="2"/>
      <c r="E511" s="2"/>
      <c r="F511" s="2"/>
      <c r="G511" s="2"/>
      <c r="H511" s="2"/>
      <c r="I511" s="5"/>
    </row>
    <row r="512" spans="1:9" ht="17.399999999999999" x14ac:dyDescent="0.25">
      <c r="A512" s="16"/>
      <c r="B512" s="17"/>
      <c r="C512" s="2"/>
      <c r="D512" s="2"/>
      <c r="E512" s="2"/>
      <c r="F512" s="2"/>
      <c r="G512" s="2"/>
      <c r="H512" s="2"/>
      <c r="I512" s="5"/>
    </row>
    <row r="513" spans="1:9" ht="17.399999999999999" x14ac:dyDescent="0.25">
      <c r="A513" s="16"/>
      <c r="B513" s="17"/>
      <c r="C513" s="2"/>
      <c r="D513" s="2"/>
      <c r="E513" s="2"/>
      <c r="F513" s="2"/>
      <c r="G513" s="2"/>
      <c r="H513" s="2"/>
      <c r="I513" s="5"/>
    </row>
    <row r="514" spans="1:9" ht="17.399999999999999" x14ac:dyDescent="0.25">
      <c r="A514" s="16"/>
      <c r="B514" s="17"/>
      <c r="C514" s="2"/>
      <c r="D514" s="2"/>
      <c r="E514" s="2"/>
      <c r="F514" s="2"/>
      <c r="G514" s="2"/>
      <c r="H514" s="2"/>
      <c r="I514" s="5"/>
    </row>
    <row r="515" spans="1:9" ht="17.399999999999999" x14ac:dyDescent="0.25">
      <c r="A515" s="16"/>
      <c r="B515" s="17"/>
      <c r="C515" s="2"/>
      <c r="D515" s="2"/>
      <c r="E515" s="2"/>
      <c r="F515" s="2"/>
      <c r="G515" s="2"/>
      <c r="H515" s="2"/>
      <c r="I515" s="5"/>
    </row>
    <row r="516" spans="1:9" ht="17.399999999999999" x14ac:dyDescent="0.25">
      <c r="A516" s="16"/>
      <c r="B516" s="17"/>
      <c r="C516" s="2"/>
      <c r="D516" s="2"/>
      <c r="E516" s="2"/>
      <c r="F516" s="2"/>
      <c r="G516" s="2"/>
      <c r="H516" s="2"/>
      <c r="I516" s="5"/>
    </row>
    <row r="517" spans="1:9" ht="17.399999999999999" x14ac:dyDescent="0.25">
      <c r="A517" s="16"/>
      <c r="B517" s="17"/>
      <c r="C517" s="2"/>
      <c r="D517" s="2"/>
      <c r="E517" s="2"/>
      <c r="F517" s="2"/>
      <c r="G517" s="2"/>
      <c r="H517" s="2"/>
      <c r="I517" s="5"/>
    </row>
    <row r="518" spans="1:9" ht="17.399999999999999" x14ac:dyDescent="0.25">
      <c r="A518" s="16"/>
      <c r="B518" s="17"/>
      <c r="C518" s="2"/>
      <c r="D518" s="2"/>
      <c r="E518" s="2"/>
      <c r="F518" s="2"/>
      <c r="G518" s="2"/>
      <c r="H518" s="2"/>
      <c r="I518" s="5"/>
    </row>
    <row r="519" spans="1:9" ht="17.399999999999999" x14ac:dyDescent="0.25">
      <c r="A519" s="16"/>
      <c r="B519" s="17"/>
      <c r="C519" s="2"/>
      <c r="D519" s="2"/>
      <c r="E519" s="2"/>
      <c r="F519" s="2"/>
      <c r="G519" s="2"/>
      <c r="H519" s="2"/>
      <c r="I519" s="5"/>
    </row>
    <row r="520" spans="1:9" ht="17.399999999999999" x14ac:dyDescent="0.25">
      <c r="A520" s="16"/>
      <c r="B520" s="17"/>
      <c r="C520" s="2"/>
      <c r="D520" s="2"/>
      <c r="E520" s="2"/>
      <c r="F520" s="2"/>
      <c r="G520" s="2"/>
      <c r="H520" s="2"/>
      <c r="I520" s="5"/>
    </row>
    <row r="521" spans="1:9" ht="17.399999999999999" x14ac:dyDescent="0.25">
      <c r="A521" s="16"/>
      <c r="B521" s="17"/>
      <c r="C521" s="2"/>
      <c r="D521" s="2"/>
      <c r="E521" s="2"/>
      <c r="F521" s="2"/>
      <c r="G521" s="2"/>
      <c r="H521" s="2"/>
      <c r="I521" s="5"/>
    </row>
    <row r="522" spans="1:9" ht="17.399999999999999" x14ac:dyDescent="0.25">
      <c r="A522" s="16"/>
      <c r="B522" s="17"/>
      <c r="C522" s="2"/>
      <c r="D522" s="2"/>
      <c r="E522" s="2"/>
      <c r="F522" s="2"/>
      <c r="G522" s="2"/>
      <c r="H522" s="2"/>
      <c r="I522" s="5"/>
    </row>
    <row r="523" spans="1:9" ht="17.399999999999999" x14ac:dyDescent="0.25">
      <c r="A523" s="16"/>
      <c r="B523" s="17"/>
      <c r="C523" s="2"/>
      <c r="D523" s="2"/>
      <c r="E523" s="2"/>
      <c r="F523" s="2"/>
      <c r="G523" s="2"/>
      <c r="H523" s="2"/>
      <c r="I523" s="5"/>
    </row>
    <row r="524" spans="1:9" ht="17.399999999999999" x14ac:dyDescent="0.25">
      <c r="A524" s="16"/>
      <c r="B524" s="17"/>
      <c r="C524" s="2"/>
      <c r="D524" s="2"/>
      <c r="E524" s="2"/>
      <c r="F524" s="2"/>
      <c r="G524" s="2"/>
      <c r="H524" s="2"/>
      <c r="I524" s="5"/>
    </row>
    <row r="525" spans="1:9" ht="17.399999999999999" x14ac:dyDescent="0.25">
      <c r="A525" s="16"/>
      <c r="B525" s="17"/>
      <c r="C525" s="2"/>
      <c r="D525" s="2"/>
      <c r="E525" s="2"/>
      <c r="F525" s="2"/>
      <c r="G525" s="2"/>
      <c r="H525" s="2"/>
      <c r="I525" s="5"/>
    </row>
    <row r="526" spans="1:9" ht="17.399999999999999" x14ac:dyDescent="0.25">
      <c r="A526" s="16"/>
      <c r="B526" s="17"/>
      <c r="C526" s="2"/>
      <c r="D526" s="2"/>
      <c r="E526" s="2"/>
      <c r="F526" s="2"/>
      <c r="G526" s="2"/>
      <c r="H526" s="2"/>
      <c r="I526" s="5"/>
    </row>
    <row r="527" spans="1:9" ht="17.399999999999999" x14ac:dyDescent="0.25">
      <c r="A527" s="16"/>
      <c r="B527" s="17"/>
      <c r="C527" s="2"/>
      <c r="D527" s="2"/>
      <c r="E527" s="2"/>
      <c r="F527" s="2"/>
      <c r="G527" s="2"/>
      <c r="H527" s="2"/>
      <c r="I527" s="5"/>
    </row>
    <row r="528" spans="1:9" ht="17.399999999999999" x14ac:dyDescent="0.25">
      <c r="A528" s="16"/>
      <c r="B528" s="17"/>
      <c r="C528" s="2"/>
      <c r="D528" s="2"/>
      <c r="E528" s="2"/>
      <c r="F528" s="2"/>
      <c r="G528" s="2"/>
      <c r="H528" s="2"/>
      <c r="I528" s="5"/>
    </row>
    <row r="529" spans="1:9" ht="17.399999999999999" x14ac:dyDescent="0.25">
      <c r="A529" s="16"/>
      <c r="B529" s="17"/>
      <c r="C529" s="2"/>
      <c r="D529" s="2"/>
      <c r="E529" s="2"/>
      <c r="F529" s="2"/>
      <c r="G529" s="2"/>
      <c r="H529" s="2"/>
      <c r="I529" s="5"/>
    </row>
    <row r="530" spans="1:9" ht="17.399999999999999" x14ac:dyDescent="0.25">
      <c r="A530" s="16"/>
      <c r="B530" s="17"/>
      <c r="C530" s="2"/>
      <c r="D530" s="2"/>
      <c r="E530" s="2"/>
      <c r="F530" s="2"/>
      <c r="G530" s="2"/>
      <c r="H530" s="2"/>
      <c r="I530" s="5"/>
    </row>
    <row r="531" spans="1:9" ht="17.399999999999999" x14ac:dyDescent="0.25">
      <c r="A531" s="16"/>
      <c r="B531" s="17"/>
      <c r="C531" s="2"/>
      <c r="D531" s="2"/>
      <c r="E531" s="2"/>
      <c r="F531" s="2"/>
      <c r="G531" s="2"/>
      <c r="H531" s="2"/>
      <c r="I531" s="5"/>
    </row>
    <row r="532" spans="1:9" ht="17.399999999999999" x14ac:dyDescent="0.25">
      <c r="A532" s="16"/>
      <c r="B532" s="17"/>
      <c r="C532" s="2"/>
      <c r="D532" s="2"/>
      <c r="E532" s="2"/>
      <c r="F532" s="2"/>
      <c r="G532" s="2"/>
      <c r="H532" s="2"/>
      <c r="I532" s="5"/>
    </row>
    <row r="533" spans="1:9" ht="17.399999999999999" x14ac:dyDescent="0.25">
      <c r="A533" s="16"/>
      <c r="B533" s="17"/>
      <c r="C533" s="2"/>
      <c r="D533" s="2"/>
      <c r="E533" s="2"/>
      <c r="F533" s="2"/>
      <c r="G533" s="2"/>
      <c r="H533" s="2"/>
      <c r="I533" s="5"/>
    </row>
    <row r="534" spans="1:9" ht="17.399999999999999" x14ac:dyDescent="0.25">
      <c r="A534" s="16"/>
      <c r="B534" s="17"/>
      <c r="C534" s="2"/>
      <c r="D534" s="2"/>
      <c r="E534" s="2"/>
      <c r="F534" s="2"/>
      <c r="G534" s="2"/>
      <c r="H534" s="2"/>
      <c r="I534" s="5"/>
    </row>
    <row r="535" spans="1:9" ht="17.399999999999999" x14ac:dyDescent="0.25">
      <c r="A535" s="16"/>
      <c r="B535" s="17"/>
      <c r="C535" s="2"/>
      <c r="D535" s="2"/>
      <c r="E535" s="2"/>
      <c r="F535" s="2"/>
      <c r="G535" s="2"/>
      <c r="H535" s="2"/>
      <c r="I535" s="5"/>
    </row>
    <row r="536" spans="1:9" ht="17.399999999999999" x14ac:dyDescent="0.25">
      <c r="A536" s="16"/>
      <c r="B536" s="17"/>
      <c r="C536" s="2"/>
      <c r="D536" s="2"/>
      <c r="E536" s="2"/>
      <c r="F536" s="2"/>
      <c r="G536" s="2"/>
      <c r="H536" s="2"/>
      <c r="I536" s="5"/>
    </row>
    <row r="537" spans="1:9" ht="17.399999999999999" x14ac:dyDescent="0.25">
      <c r="A537" s="16"/>
      <c r="B537" s="17"/>
      <c r="C537" s="2"/>
      <c r="D537" s="2"/>
      <c r="E537" s="2"/>
      <c r="F537" s="2"/>
      <c r="G537" s="2"/>
      <c r="H537" s="2"/>
      <c r="I537" s="5"/>
    </row>
    <row r="538" spans="1:9" ht="17.399999999999999" x14ac:dyDescent="0.25">
      <c r="A538" s="16"/>
      <c r="B538" s="17"/>
      <c r="C538" s="2"/>
      <c r="D538" s="2"/>
      <c r="E538" s="2"/>
      <c r="F538" s="2"/>
      <c r="G538" s="2"/>
      <c r="H538" s="2"/>
      <c r="I538" s="5"/>
    </row>
    <row r="539" spans="1:9" ht="17.399999999999999" x14ac:dyDescent="0.25">
      <c r="A539" s="16"/>
      <c r="B539" s="17"/>
      <c r="C539" s="2"/>
      <c r="D539" s="2"/>
      <c r="E539" s="2"/>
      <c r="F539" s="2"/>
      <c r="G539" s="2"/>
      <c r="H539" s="2"/>
      <c r="I539" s="5"/>
    </row>
    <row r="540" spans="1:9" ht="17.399999999999999" x14ac:dyDescent="0.25">
      <c r="A540" s="16"/>
      <c r="B540" s="17"/>
      <c r="C540" s="2"/>
      <c r="D540" s="2"/>
      <c r="E540" s="2"/>
      <c r="F540" s="2"/>
      <c r="G540" s="2"/>
      <c r="H540" s="2"/>
      <c r="I540" s="5"/>
    </row>
    <row r="541" spans="1:9" ht="17.399999999999999" x14ac:dyDescent="0.25">
      <c r="A541" s="16"/>
      <c r="B541" s="17"/>
      <c r="C541" s="2"/>
      <c r="D541" s="2"/>
      <c r="E541" s="2"/>
      <c r="F541" s="2"/>
      <c r="G541" s="2"/>
      <c r="H541" s="2"/>
      <c r="I541" s="5"/>
    </row>
    <row r="542" spans="1:9" ht="17.399999999999999" x14ac:dyDescent="0.25">
      <c r="A542" s="16"/>
      <c r="B542" s="17"/>
      <c r="C542" s="2"/>
      <c r="D542" s="2"/>
      <c r="E542" s="2"/>
      <c r="F542" s="2"/>
      <c r="G542" s="2"/>
      <c r="H542" s="2"/>
      <c r="I542" s="5"/>
    </row>
    <row r="543" spans="1:9" ht="17.399999999999999" x14ac:dyDescent="0.25">
      <c r="A543" s="16"/>
      <c r="B543" s="17"/>
      <c r="C543" s="2"/>
      <c r="D543" s="2"/>
      <c r="E543" s="2"/>
      <c r="F543" s="2"/>
      <c r="G543" s="2"/>
      <c r="H543" s="2"/>
      <c r="I543" s="5"/>
    </row>
    <row r="544" spans="1:9" ht="17.399999999999999" x14ac:dyDescent="0.25">
      <c r="A544" s="16"/>
      <c r="B544" s="17"/>
      <c r="C544" s="2"/>
      <c r="D544" s="2"/>
      <c r="E544" s="2"/>
      <c r="F544" s="2"/>
      <c r="G544" s="2"/>
      <c r="H544" s="2"/>
      <c r="I544" s="5"/>
    </row>
    <row r="545" spans="1:9" ht="17.399999999999999" x14ac:dyDescent="0.25">
      <c r="A545" s="16"/>
      <c r="B545" s="17"/>
      <c r="C545" s="2"/>
      <c r="D545" s="2"/>
      <c r="E545" s="2"/>
      <c r="F545" s="2"/>
      <c r="G545" s="2"/>
      <c r="H545" s="2"/>
      <c r="I545" s="5"/>
    </row>
    <row r="546" spans="1:9" ht="17.399999999999999" x14ac:dyDescent="0.25">
      <c r="A546" s="16"/>
      <c r="B546" s="17"/>
      <c r="C546" s="2"/>
      <c r="D546" s="2"/>
      <c r="E546" s="2"/>
      <c r="F546" s="2"/>
      <c r="G546" s="2"/>
      <c r="H546" s="2"/>
      <c r="I546" s="5"/>
    </row>
    <row r="547" spans="1:9" ht="17.399999999999999" x14ac:dyDescent="0.25">
      <c r="A547" s="16"/>
      <c r="B547" s="17"/>
      <c r="C547" s="2"/>
      <c r="D547" s="2"/>
      <c r="E547" s="2"/>
      <c r="F547" s="2"/>
      <c r="G547" s="2"/>
      <c r="H547" s="2"/>
      <c r="I547" s="5"/>
    </row>
    <row r="548" spans="1:9" ht="17.399999999999999" x14ac:dyDescent="0.25">
      <c r="A548" s="16"/>
      <c r="B548" s="17"/>
      <c r="C548" s="2"/>
      <c r="D548" s="2"/>
      <c r="E548" s="2"/>
      <c r="F548" s="2"/>
      <c r="G548" s="2"/>
      <c r="H548" s="2"/>
      <c r="I548" s="5"/>
    </row>
    <row r="549" spans="1:9" ht="17.399999999999999" x14ac:dyDescent="0.25">
      <c r="A549" s="16"/>
      <c r="B549" s="17"/>
      <c r="C549" s="2"/>
      <c r="D549" s="2"/>
      <c r="E549" s="2"/>
      <c r="F549" s="2"/>
      <c r="G549" s="2"/>
      <c r="H549" s="2"/>
      <c r="I549" s="5"/>
    </row>
    <row r="550" spans="1:9" ht="17.399999999999999" x14ac:dyDescent="0.25">
      <c r="A550" s="16"/>
      <c r="B550" s="17"/>
      <c r="C550" s="2"/>
      <c r="D550" s="2"/>
      <c r="E550" s="2"/>
      <c r="F550" s="2"/>
      <c r="G550" s="2"/>
      <c r="H550" s="2"/>
      <c r="I550" s="5"/>
    </row>
    <row r="551" spans="1:9" ht="17.399999999999999" x14ac:dyDescent="0.25">
      <c r="A551" s="16"/>
      <c r="B551" s="17"/>
      <c r="C551" s="2"/>
      <c r="D551" s="2"/>
      <c r="E551" s="2"/>
      <c r="F551" s="2"/>
      <c r="G551" s="2"/>
      <c r="H551" s="2"/>
      <c r="I551" s="5"/>
    </row>
    <row r="552" spans="1:9" ht="17.399999999999999" x14ac:dyDescent="0.25">
      <c r="A552" s="16"/>
      <c r="B552" s="17"/>
      <c r="C552" s="2"/>
      <c r="D552" s="2"/>
      <c r="E552" s="2"/>
      <c r="F552" s="2"/>
      <c r="G552" s="2"/>
      <c r="H552" s="2"/>
      <c r="I552" s="5"/>
    </row>
    <row r="553" spans="1:9" ht="17.399999999999999" x14ac:dyDescent="0.25">
      <c r="A553" s="16"/>
      <c r="B553" s="17"/>
      <c r="C553" s="2"/>
      <c r="D553" s="2"/>
      <c r="E553" s="2"/>
      <c r="F553" s="2"/>
      <c r="G553" s="2"/>
      <c r="H553" s="2"/>
      <c r="I553" s="5"/>
    </row>
    <row r="554" spans="1:9" ht="17.399999999999999" x14ac:dyDescent="0.25">
      <c r="A554" s="16"/>
      <c r="B554" s="17"/>
      <c r="C554" s="2"/>
      <c r="D554" s="2"/>
      <c r="E554" s="2"/>
      <c r="F554" s="2"/>
      <c r="G554" s="2"/>
      <c r="H554" s="2"/>
      <c r="I554" s="5"/>
    </row>
    <row r="555" spans="1:9" ht="17.399999999999999" x14ac:dyDescent="0.25">
      <c r="A555" s="16"/>
      <c r="B555" s="17"/>
      <c r="C555" s="2"/>
      <c r="D555" s="2"/>
      <c r="E555" s="2"/>
      <c r="F555" s="2"/>
      <c r="G555" s="2"/>
      <c r="H555" s="2"/>
      <c r="I555" s="5"/>
    </row>
    <row r="556" spans="1:9" ht="17.399999999999999" x14ac:dyDescent="0.25">
      <c r="A556" s="16"/>
      <c r="B556" s="17"/>
      <c r="C556" s="2"/>
      <c r="D556" s="2"/>
      <c r="E556" s="2"/>
      <c r="F556" s="2"/>
      <c r="G556" s="2"/>
      <c r="H556" s="2"/>
      <c r="I556" s="5"/>
    </row>
    <row r="557" spans="1:9" ht="17.399999999999999" x14ac:dyDescent="0.25">
      <c r="A557" s="16"/>
      <c r="B557" s="17"/>
      <c r="C557" s="2"/>
      <c r="D557" s="2"/>
      <c r="E557" s="2"/>
      <c r="F557" s="2"/>
      <c r="G557" s="2"/>
      <c r="H557" s="2"/>
      <c r="I557" s="5"/>
    </row>
    <row r="558" spans="1:9" ht="17.399999999999999" x14ac:dyDescent="0.25">
      <c r="A558" s="16"/>
      <c r="B558" s="17"/>
      <c r="C558" s="2"/>
      <c r="D558" s="2"/>
      <c r="E558" s="2"/>
      <c r="F558" s="2"/>
      <c r="G558" s="2"/>
      <c r="H558" s="2"/>
      <c r="I558" s="5"/>
    </row>
    <row r="559" spans="1:9" ht="17.399999999999999" x14ac:dyDescent="0.25">
      <c r="A559" s="16"/>
      <c r="B559" s="17"/>
      <c r="C559" s="2"/>
      <c r="D559" s="2"/>
      <c r="E559" s="2"/>
      <c r="F559" s="2"/>
      <c r="G559" s="2"/>
      <c r="H559" s="2"/>
      <c r="I559" s="5"/>
    </row>
    <row r="560" spans="1:9" ht="17.399999999999999" x14ac:dyDescent="0.25">
      <c r="A560" s="16"/>
      <c r="B560" s="17"/>
      <c r="C560" s="2"/>
      <c r="D560" s="2"/>
      <c r="E560" s="2"/>
      <c r="F560" s="2"/>
      <c r="G560" s="2"/>
      <c r="H560" s="2"/>
      <c r="I560" s="5"/>
    </row>
    <row r="561" spans="1:9" ht="17.399999999999999" x14ac:dyDescent="0.25">
      <c r="A561" s="16"/>
      <c r="B561" s="17"/>
      <c r="C561" s="2"/>
      <c r="D561" s="2"/>
      <c r="E561" s="2"/>
      <c r="F561" s="2"/>
      <c r="G561" s="2"/>
      <c r="H561" s="2"/>
      <c r="I561" s="5"/>
    </row>
    <row r="562" spans="1:9" ht="17.399999999999999" x14ac:dyDescent="0.25">
      <c r="A562" s="16"/>
      <c r="B562" s="17"/>
      <c r="C562" s="2"/>
      <c r="D562" s="2"/>
      <c r="E562" s="2"/>
      <c r="F562" s="2"/>
      <c r="G562" s="2"/>
      <c r="H562" s="2"/>
      <c r="I562" s="5"/>
    </row>
    <row r="563" spans="1:9" ht="17.399999999999999" x14ac:dyDescent="0.25">
      <c r="A563" s="16"/>
      <c r="B563" s="17"/>
      <c r="C563" s="2"/>
      <c r="D563" s="2"/>
      <c r="E563" s="2"/>
      <c r="F563" s="2"/>
      <c r="G563" s="2"/>
      <c r="H563" s="2"/>
      <c r="I563" s="5"/>
    </row>
    <row r="564" spans="1:9" ht="17.399999999999999" x14ac:dyDescent="0.25">
      <c r="A564" s="16"/>
      <c r="B564" s="17"/>
      <c r="C564" s="2"/>
      <c r="D564" s="2"/>
      <c r="E564" s="2"/>
      <c r="F564" s="2"/>
      <c r="G564" s="2"/>
      <c r="H564" s="2"/>
      <c r="I564" s="5"/>
    </row>
    <row r="565" spans="1:9" ht="17.399999999999999" x14ac:dyDescent="0.25">
      <c r="A565" s="16"/>
      <c r="B565" s="17"/>
      <c r="C565" s="2"/>
      <c r="D565" s="2"/>
      <c r="E565" s="2"/>
      <c r="F565" s="2"/>
      <c r="G565" s="2"/>
      <c r="H565" s="2"/>
      <c r="I565" s="5"/>
    </row>
    <row r="566" spans="1:9" ht="17.399999999999999" x14ac:dyDescent="0.25">
      <c r="A566" s="16"/>
      <c r="B566" s="17"/>
      <c r="C566" s="2"/>
      <c r="D566" s="2"/>
      <c r="E566" s="2"/>
      <c r="F566" s="2"/>
      <c r="G566" s="2"/>
      <c r="H566" s="2"/>
      <c r="I566" s="5"/>
    </row>
    <row r="567" spans="1:9" ht="17.399999999999999" x14ac:dyDescent="0.25">
      <c r="A567" s="16"/>
      <c r="B567" s="17"/>
      <c r="C567" s="2"/>
      <c r="D567" s="2"/>
      <c r="E567" s="2"/>
      <c r="F567" s="2"/>
      <c r="G567" s="2"/>
      <c r="H567" s="2"/>
      <c r="I567" s="5"/>
    </row>
    <row r="568" spans="1:9" ht="17.399999999999999" x14ac:dyDescent="0.25">
      <c r="A568" s="16"/>
      <c r="B568" s="17"/>
      <c r="C568" s="2"/>
      <c r="D568" s="2"/>
      <c r="E568" s="2"/>
      <c r="F568" s="2"/>
      <c r="G568" s="2"/>
      <c r="H568" s="2"/>
      <c r="I568" s="5"/>
    </row>
    <row r="569" spans="1:9" ht="17.399999999999999" x14ac:dyDescent="0.25">
      <c r="A569" s="16"/>
      <c r="B569" s="17"/>
      <c r="C569" s="2"/>
      <c r="D569" s="2"/>
      <c r="E569" s="2"/>
      <c r="F569" s="2"/>
      <c r="G569" s="2"/>
      <c r="H569" s="2"/>
      <c r="I569" s="5"/>
    </row>
    <row r="570" spans="1:9" ht="17.399999999999999" x14ac:dyDescent="0.25">
      <c r="A570" s="16"/>
      <c r="B570" s="17"/>
      <c r="C570" s="2"/>
      <c r="D570" s="2"/>
      <c r="E570" s="2"/>
      <c r="F570" s="2"/>
      <c r="G570" s="2"/>
      <c r="H570" s="2"/>
      <c r="I570" s="5"/>
    </row>
    <row r="571" spans="1:9" ht="17.399999999999999" x14ac:dyDescent="0.25">
      <c r="A571" s="16"/>
      <c r="B571" s="17"/>
      <c r="C571" s="2"/>
      <c r="D571" s="2"/>
      <c r="E571" s="2"/>
      <c r="F571" s="2"/>
      <c r="G571" s="2"/>
      <c r="H571" s="2"/>
      <c r="I571" s="5"/>
    </row>
    <row r="572" spans="1:9" ht="17.399999999999999" x14ac:dyDescent="0.25">
      <c r="A572" s="16"/>
      <c r="B572" s="17"/>
      <c r="C572" s="2"/>
      <c r="D572" s="2"/>
      <c r="E572" s="2"/>
      <c r="F572" s="2"/>
      <c r="G572" s="2"/>
      <c r="H572" s="2"/>
      <c r="I572" s="5"/>
    </row>
    <row r="573" spans="1:9" ht="17.399999999999999" x14ac:dyDescent="0.25">
      <c r="A573" s="16"/>
      <c r="B573" s="17"/>
      <c r="C573" s="2"/>
      <c r="D573" s="2"/>
      <c r="E573" s="2"/>
      <c r="F573" s="2"/>
      <c r="G573" s="2"/>
      <c r="H573" s="2"/>
      <c r="I573" s="5"/>
    </row>
    <row r="574" spans="1:9" ht="17.399999999999999" x14ac:dyDescent="0.25">
      <c r="A574" s="16"/>
      <c r="B574" s="17"/>
      <c r="C574" s="2"/>
      <c r="D574" s="2"/>
      <c r="E574" s="2"/>
      <c r="F574" s="2"/>
      <c r="G574" s="2"/>
      <c r="H574" s="2"/>
      <c r="I574" s="5"/>
    </row>
    <row r="575" spans="1:9" ht="17.399999999999999" x14ac:dyDescent="0.25">
      <c r="A575" s="16"/>
      <c r="B575" s="17"/>
      <c r="C575" s="2"/>
      <c r="D575" s="2"/>
      <c r="E575" s="2"/>
      <c r="F575" s="2"/>
      <c r="G575" s="2"/>
      <c r="H575" s="2"/>
      <c r="I575" s="5"/>
    </row>
    <row r="576" spans="1:9" ht="17.399999999999999" x14ac:dyDescent="0.25">
      <c r="A576" s="16"/>
      <c r="B576" s="17"/>
      <c r="C576" s="2"/>
      <c r="D576" s="2"/>
      <c r="E576" s="2"/>
      <c r="F576" s="2"/>
      <c r="G576" s="2"/>
      <c r="H576" s="2"/>
      <c r="I576" s="5"/>
    </row>
    <row r="577" spans="1:9" ht="17.399999999999999" x14ac:dyDescent="0.25">
      <c r="A577" s="16"/>
      <c r="B577" s="17"/>
      <c r="C577" s="2"/>
      <c r="D577" s="2"/>
      <c r="E577" s="2"/>
      <c r="F577" s="2"/>
      <c r="G577" s="2"/>
      <c r="H577" s="2"/>
      <c r="I577" s="5"/>
    </row>
    <row r="578" spans="1:9" ht="17.399999999999999" x14ac:dyDescent="0.25">
      <c r="A578" s="16"/>
      <c r="B578" s="17"/>
      <c r="C578" s="2"/>
      <c r="D578" s="2"/>
      <c r="E578" s="2"/>
      <c r="F578" s="2"/>
      <c r="G578" s="2"/>
      <c r="H578" s="2"/>
      <c r="I578" s="5"/>
    </row>
    <row r="579" spans="1:9" ht="17.399999999999999" x14ac:dyDescent="0.25">
      <c r="A579" s="16"/>
      <c r="B579" s="17"/>
      <c r="C579" s="2"/>
      <c r="D579" s="2"/>
      <c r="E579" s="2"/>
      <c r="F579" s="2"/>
      <c r="G579" s="2"/>
      <c r="H579" s="2"/>
      <c r="I579" s="5"/>
    </row>
    <row r="580" spans="1:9" ht="17.399999999999999" x14ac:dyDescent="0.25">
      <c r="A580" s="16"/>
      <c r="B580" s="17"/>
      <c r="C580" s="2"/>
      <c r="D580" s="2"/>
      <c r="E580" s="2"/>
      <c r="F580" s="2"/>
      <c r="G580" s="2"/>
      <c r="H580" s="2"/>
      <c r="I580" s="5"/>
    </row>
    <row r="581" spans="1:9" ht="17.399999999999999" x14ac:dyDescent="0.25">
      <c r="A581" s="16"/>
      <c r="B581" s="17"/>
      <c r="C581" s="2"/>
      <c r="D581" s="2"/>
      <c r="E581" s="2"/>
      <c r="F581" s="2"/>
      <c r="G581" s="2"/>
      <c r="H581" s="2"/>
      <c r="I581" s="5"/>
    </row>
    <row r="582" spans="1:9" ht="17.399999999999999" x14ac:dyDescent="0.25">
      <c r="A582" s="16"/>
      <c r="B582" s="17"/>
      <c r="C582" s="2"/>
      <c r="D582" s="2"/>
      <c r="E582" s="2"/>
      <c r="F582" s="2"/>
      <c r="G582" s="2"/>
      <c r="H582" s="2"/>
      <c r="I582" s="5"/>
    </row>
    <row r="583" spans="1:9" ht="17.399999999999999" x14ac:dyDescent="0.25">
      <c r="A583" s="16"/>
      <c r="B583" s="17"/>
      <c r="C583" s="2"/>
      <c r="D583" s="2"/>
      <c r="E583" s="2"/>
      <c r="F583" s="2"/>
      <c r="G583" s="2"/>
      <c r="H583" s="2"/>
      <c r="I583" s="5"/>
    </row>
    <row r="584" spans="1:9" ht="17.399999999999999" x14ac:dyDescent="0.25">
      <c r="A584" s="16"/>
      <c r="B584" s="17"/>
      <c r="C584" s="2"/>
      <c r="D584" s="2"/>
      <c r="E584" s="2"/>
      <c r="F584" s="2"/>
      <c r="G584" s="2"/>
      <c r="H584" s="2"/>
      <c r="I584" s="5"/>
    </row>
    <row r="585" spans="1:9" ht="17.399999999999999" x14ac:dyDescent="0.25">
      <c r="A585" s="16"/>
      <c r="B585" s="17"/>
      <c r="C585" s="2"/>
      <c r="D585" s="2"/>
      <c r="E585" s="2"/>
      <c r="F585" s="2"/>
      <c r="G585" s="2"/>
      <c r="H585" s="2"/>
      <c r="I585" s="5"/>
    </row>
    <row r="586" spans="1:9" ht="17.399999999999999" x14ac:dyDescent="0.25">
      <c r="A586" s="16"/>
      <c r="B586" s="17"/>
      <c r="C586" s="2"/>
      <c r="D586" s="2"/>
      <c r="E586" s="2"/>
      <c r="F586" s="2"/>
      <c r="G586" s="2"/>
      <c r="H586" s="2"/>
      <c r="I586" s="5"/>
    </row>
    <row r="587" spans="1:9" ht="17.399999999999999" x14ac:dyDescent="0.25">
      <c r="A587" s="16"/>
      <c r="B587" s="17"/>
      <c r="C587" s="2"/>
      <c r="D587" s="2"/>
      <c r="E587" s="2"/>
      <c r="F587" s="2"/>
      <c r="G587" s="2"/>
      <c r="H587" s="2"/>
      <c r="I587" s="5"/>
    </row>
    <row r="588" spans="1:9" ht="17.399999999999999" x14ac:dyDescent="0.25">
      <c r="A588" s="16"/>
      <c r="B588" s="17"/>
      <c r="C588" s="2"/>
      <c r="D588" s="2"/>
      <c r="E588" s="2"/>
      <c r="F588" s="2"/>
      <c r="G588" s="2"/>
      <c r="H588" s="2"/>
      <c r="I588" s="5"/>
    </row>
    <row r="589" spans="1:9" ht="17.399999999999999" x14ac:dyDescent="0.25">
      <c r="A589" s="16"/>
      <c r="B589" s="17"/>
      <c r="C589" s="2"/>
      <c r="D589" s="2"/>
      <c r="E589" s="2"/>
      <c r="F589" s="2"/>
      <c r="G589" s="2"/>
      <c r="H589" s="2"/>
      <c r="I589" s="5"/>
    </row>
    <row r="590" spans="1:9" ht="17.399999999999999" x14ac:dyDescent="0.25">
      <c r="A590" s="16"/>
      <c r="B590" s="17"/>
      <c r="C590" s="2"/>
      <c r="D590" s="2"/>
      <c r="E590" s="2"/>
      <c r="F590" s="2"/>
      <c r="G590" s="2"/>
      <c r="H590" s="2"/>
      <c r="I590" s="5"/>
    </row>
    <row r="591" spans="1:9" ht="17.399999999999999" x14ac:dyDescent="0.25">
      <c r="A591" s="16"/>
      <c r="B591" s="17"/>
      <c r="C591" s="2"/>
      <c r="D591" s="2"/>
      <c r="E591" s="2"/>
      <c r="F591" s="2"/>
      <c r="G591" s="2"/>
      <c r="H591" s="2"/>
      <c r="I591" s="5"/>
    </row>
    <row r="592" spans="1:9" ht="17.399999999999999" x14ac:dyDescent="0.25">
      <c r="A592" s="16"/>
      <c r="B592" s="17"/>
      <c r="C592" s="2"/>
      <c r="D592" s="2"/>
      <c r="E592" s="2"/>
      <c r="F592" s="2"/>
      <c r="G592" s="2"/>
      <c r="H592" s="2"/>
      <c r="I592" s="5"/>
    </row>
    <row r="593" spans="1:9" ht="17.399999999999999" x14ac:dyDescent="0.25">
      <c r="A593" s="16"/>
      <c r="B593" s="17"/>
      <c r="C593" s="2"/>
      <c r="D593" s="2"/>
      <c r="E593" s="2"/>
      <c r="F593" s="2"/>
      <c r="G593" s="2"/>
      <c r="H593" s="2"/>
      <c r="I593" s="5"/>
    </row>
    <row r="594" spans="1:9" ht="17.399999999999999" x14ac:dyDescent="0.25">
      <c r="A594" s="16"/>
      <c r="B594" s="17"/>
      <c r="C594" s="2"/>
      <c r="D594" s="2"/>
      <c r="E594" s="2"/>
      <c r="F594" s="2"/>
      <c r="G594" s="2"/>
      <c r="H594" s="2"/>
      <c r="I594" s="5"/>
    </row>
    <row r="595" spans="1:9" ht="17.399999999999999" x14ac:dyDescent="0.25">
      <c r="A595" s="16"/>
      <c r="B595" s="17"/>
      <c r="C595" s="2"/>
      <c r="D595" s="2"/>
      <c r="E595" s="2"/>
      <c r="F595" s="2"/>
      <c r="G595" s="2"/>
      <c r="H595" s="2"/>
      <c r="I595" s="5"/>
    </row>
    <row r="596" spans="1:9" ht="17.399999999999999" x14ac:dyDescent="0.25">
      <c r="A596" s="16"/>
      <c r="B596" s="17"/>
      <c r="C596" s="2"/>
      <c r="D596" s="2"/>
      <c r="E596" s="2"/>
      <c r="F596" s="2"/>
      <c r="G596" s="2"/>
      <c r="H596" s="2"/>
      <c r="I596" s="5"/>
    </row>
    <row r="597" spans="1:9" ht="17.399999999999999" x14ac:dyDescent="0.25">
      <c r="A597" s="16"/>
      <c r="B597" s="17"/>
      <c r="C597" s="2"/>
      <c r="D597" s="2"/>
      <c r="E597" s="2"/>
      <c r="F597" s="2"/>
      <c r="G597" s="2"/>
      <c r="H597" s="2"/>
      <c r="I597" s="5"/>
    </row>
    <row r="598" spans="1:9" ht="17.399999999999999" x14ac:dyDescent="0.25">
      <c r="A598" s="16"/>
      <c r="B598" s="17"/>
      <c r="C598" s="2"/>
      <c r="D598" s="2"/>
      <c r="E598" s="2"/>
      <c r="F598" s="2"/>
      <c r="G598" s="2"/>
      <c r="H598" s="2"/>
      <c r="I598" s="5"/>
    </row>
    <row r="599" spans="1:9" ht="17.399999999999999" x14ac:dyDescent="0.25">
      <c r="A599" s="16"/>
      <c r="B599" s="17"/>
      <c r="C599" s="2"/>
      <c r="D599" s="2"/>
      <c r="E599" s="2"/>
      <c r="F599" s="2"/>
      <c r="G599" s="2"/>
      <c r="H599" s="2"/>
      <c r="I599" s="5"/>
    </row>
    <row r="600" spans="1:9" ht="17.399999999999999" x14ac:dyDescent="0.25">
      <c r="A600" s="16"/>
      <c r="B600" s="17"/>
      <c r="C600" s="2"/>
      <c r="D600" s="2"/>
      <c r="E600" s="2"/>
      <c r="F600" s="2"/>
      <c r="G600" s="2"/>
      <c r="H600" s="2"/>
      <c r="I600" s="5"/>
    </row>
    <row r="601" spans="1:9" ht="17.399999999999999" x14ac:dyDescent="0.25">
      <c r="A601" s="16"/>
      <c r="B601" s="17"/>
      <c r="C601" s="2"/>
      <c r="D601" s="2"/>
      <c r="E601" s="2"/>
      <c r="F601" s="2"/>
      <c r="G601" s="2"/>
      <c r="H601" s="2"/>
      <c r="I601" s="5"/>
    </row>
    <row r="602" spans="1:9" ht="17.399999999999999" x14ac:dyDescent="0.25">
      <c r="A602" s="16"/>
      <c r="B602" s="17"/>
      <c r="C602" s="2"/>
      <c r="D602" s="2"/>
      <c r="E602" s="2"/>
      <c r="F602" s="2"/>
      <c r="G602" s="2"/>
      <c r="H602" s="2"/>
      <c r="I602" s="5"/>
    </row>
    <row r="603" spans="1:9" ht="17.399999999999999" x14ac:dyDescent="0.25">
      <c r="A603" s="16"/>
      <c r="B603" s="17"/>
      <c r="C603" s="2"/>
      <c r="D603" s="2"/>
      <c r="E603" s="2"/>
      <c r="F603" s="2"/>
      <c r="G603" s="2"/>
      <c r="H603" s="2"/>
      <c r="I603" s="5"/>
    </row>
    <row r="604" spans="1:9" ht="17.399999999999999" x14ac:dyDescent="0.25">
      <c r="A604" s="16"/>
      <c r="B604" s="17"/>
      <c r="C604" s="2"/>
      <c r="D604" s="2"/>
      <c r="E604" s="2"/>
      <c r="F604" s="2"/>
      <c r="G604" s="2"/>
      <c r="H604" s="2"/>
      <c r="I604" s="5"/>
    </row>
    <row r="605" spans="1:9" ht="17.399999999999999" x14ac:dyDescent="0.25">
      <c r="A605" s="16"/>
      <c r="B605" s="17"/>
      <c r="C605" s="2"/>
      <c r="D605" s="2"/>
      <c r="E605" s="2"/>
      <c r="F605" s="2"/>
      <c r="G605" s="2"/>
      <c r="H605" s="2"/>
      <c r="I605" s="5"/>
    </row>
    <row r="606" spans="1:9" ht="17.399999999999999" x14ac:dyDescent="0.25">
      <c r="A606" s="16"/>
      <c r="B606" s="17"/>
      <c r="C606" s="2"/>
      <c r="D606" s="2"/>
      <c r="E606" s="2"/>
      <c r="F606" s="2"/>
      <c r="G606" s="2"/>
      <c r="H606" s="2"/>
      <c r="I606" s="5"/>
    </row>
    <row r="607" spans="1:9" ht="17.399999999999999" x14ac:dyDescent="0.25">
      <c r="A607" s="16"/>
      <c r="B607" s="17"/>
      <c r="C607" s="2"/>
      <c r="D607" s="2"/>
      <c r="E607" s="2"/>
      <c r="F607" s="2"/>
      <c r="G607" s="2"/>
      <c r="H607" s="2"/>
      <c r="I607" s="5"/>
    </row>
    <row r="608" spans="1:9" ht="17.399999999999999" x14ac:dyDescent="0.25">
      <c r="A608" s="16"/>
      <c r="B608" s="17"/>
      <c r="C608" s="2"/>
      <c r="D608" s="2"/>
      <c r="E608" s="2"/>
      <c r="F608" s="2"/>
      <c r="G608" s="2"/>
      <c r="H608" s="2"/>
      <c r="I608" s="5"/>
    </row>
    <row r="609" spans="1:9" ht="17.399999999999999" x14ac:dyDescent="0.25">
      <c r="A609" s="16"/>
      <c r="B609" s="17"/>
      <c r="C609" s="2"/>
      <c r="D609" s="2"/>
      <c r="E609" s="2"/>
      <c r="F609" s="2"/>
      <c r="G609" s="2"/>
      <c r="H609" s="2"/>
      <c r="I609" s="5"/>
    </row>
    <row r="610" spans="1:9" ht="17.399999999999999" x14ac:dyDescent="0.25">
      <c r="A610" s="16"/>
      <c r="B610" s="17"/>
      <c r="C610" s="2"/>
      <c r="D610" s="2"/>
      <c r="E610" s="2"/>
      <c r="F610" s="2"/>
      <c r="G610" s="2"/>
      <c r="H610" s="2"/>
      <c r="I610" s="5"/>
    </row>
    <row r="611" spans="1:9" ht="17.399999999999999" x14ac:dyDescent="0.25">
      <c r="A611" s="16"/>
      <c r="B611" s="17"/>
      <c r="C611" s="2"/>
      <c r="D611" s="2"/>
      <c r="E611" s="2"/>
      <c r="F611" s="2"/>
      <c r="G611" s="2"/>
      <c r="H611" s="2"/>
      <c r="I611" s="5"/>
    </row>
    <row r="612" spans="1:9" ht="17.399999999999999" x14ac:dyDescent="0.25">
      <c r="A612" s="16"/>
      <c r="B612" s="17"/>
      <c r="C612" s="2"/>
      <c r="D612" s="2"/>
      <c r="E612" s="2"/>
      <c r="F612" s="2"/>
      <c r="G612" s="2"/>
      <c r="H612" s="2"/>
      <c r="I612" s="5"/>
    </row>
    <row r="613" spans="1:9" ht="17.399999999999999" x14ac:dyDescent="0.25">
      <c r="A613" s="16"/>
      <c r="B613" s="17"/>
      <c r="C613" s="2"/>
      <c r="D613" s="2"/>
      <c r="E613" s="2"/>
      <c r="F613" s="2"/>
      <c r="G613" s="2"/>
      <c r="H613" s="2"/>
      <c r="I613" s="5"/>
    </row>
    <row r="614" spans="1:9" ht="17.399999999999999" x14ac:dyDescent="0.25">
      <c r="A614" s="16"/>
      <c r="B614" s="17"/>
      <c r="C614" s="2"/>
      <c r="D614" s="2"/>
      <c r="E614" s="2"/>
      <c r="F614" s="2"/>
      <c r="G614" s="2"/>
      <c r="H614" s="2"/>
      <c r="I614" s="5"/>
    </row>
    <row r="615" spans="1:9" ht="17.399999999999999" x14ac:dyDescent="0.25">
      <c r="A615" s="16"/>
      <c r="B615" s="17"/>
      <c r="C615" s="2"/>
      <c r="D615" s="2"/>
      <c r="E615" s="2"/>
      <c r="F615" s="2"/>
      <c r="G615" s="2"/>
      <c r="H615" s="2"/>
      <c r="I615" s="5"/>
    </row>
    <row r="616" spans="1:9" ht="17.399999999999999" x14ac:dyDescent="0.25">
      <c r="A616" s="16"/>
      <c r="B616" s="17"/>
      <c r="C616" s="2"/>
      <c r="D616" s="2"/>
      <c r="E616" s="2"/>
      <c r="F616" s="2"/>
      <c r="G616" s="2"/>
      <c r="H616" s="2"/>
      <c r="I616" s="5"/>
    </row>
    <row r="617" spans="1:9" ht="17.399999999999999" x14ac:dyDescent="0.25">
      <c r="A617" s="16"/>
      <c r="B617" s="17"/>
      <c r="C617" s="2"/>
      <c r="D617" s="2"/>
      <c r="E617" s="2"/>
      <c r="F617" s="2"/>
      <c r="G617" s="2"/>
      <c r="H617" s="2"/>
      <c r="I617" s="5"/>
    </row>
    <row r="618" spans="1:9" ht="17.399999999999999" x14ac:dyDescent="0.25">
      <c r="A618" s="16"/>
      <c r="B618" s="17"/>
      <c r="C618" s="2"/>
      <c r="D618" s="2"/>
      <c r="E618" s="2"/>
      <c r="F618" s="2"/>
      <c r="G618" s="2"/>
      <c r="H618" s="2"/>
      <c r="I618" s="5"/>
    </row>
    <row r="619" spans="1:9" ht="17.399999999999999" x14ac:dyDescent="0.25">
      <c r="A619" s="16"/>
      <c r="B619" s="17"/>
      <c r="C619" s="2"/>
      <c r="D619" s="2"/>
      <c r="E619" s="2"/>
      <c r="F619" s="2"/>
      <c r="G619" s="2"/>
      <c r="H619" s="2"/>
      <c r="I619" s="5"/>
    </row>
    <row r="620" spans="1:9" ht="17.399999999999999" x14ac:dyDescent="0.25">
      <c r="A620" s="16"/>
      <c r="B620" s="17"/>
      <c r="C620" s="2"/>
      <c r="D620" s="2"/>
      <c r="E620" s="2"/>
      <c r="F620" s="2"/>
      <c r="G620" s="2"/>
      <c r="H620" s="2"/>
      <c r="I620" s="5"/>
    </row>
    <row r="621" spans="1:9" ht="17.399999999999999" x14ac:dyDescent="0.25">
      <c r="A621" s="16"/>
      <c r="B621" s="17"/>
      <c r="C621" s="2"/>
      <c r="D621" s="2"/>
      <c r="E621" s="2"/>
      <c r="F621" s="2"/>
      <c r="G621" s="2"/>
      <c r="H621" s="2"/>
      <c r="I621" s="5"/>
    </row>
    <row r="622" spans="1:9" ht="17.399999999999999" x14ac:dyDescent="0.25">
      <c r="A622" s="16"/>
      <c r="B622" s="17"/>
      <c r="C622" s="2"/>
      <c r="D622" s="2"/>
      <c r="E622" s="2"/>
      <c r="F622" s="2"/>
      <c r="G622" s="2"/>
      <c r="H622" s="2"/>
      <c r="I622" s="5"/>
    </row>
    <row r="623" spans="1:9" ht="17.399999999999999" x14ac:dyDescent="0.25">
      <c r="A623" s="16"/>
      <c r="B623" s="17"/>
      <c r="C623" s="2"/>
      <c r="D623" s="2"/>
      <c r="E623" s="2"/>
      <c r="F623" s="2"/>
      <c r="G623" s="2"/>
      <c r="H623" s="2"/>
      <c r="I623" s="5"/>
    </row>
    <row r="624" spans="1:9" ht="17.399999999999999" x14ac:dyDescent="0.25">
      <c r="A624" s="16"/>
      <c r="B624" s="17"/>
      <c r="C624" s="2"/>
      <c r="D624" s="2"/>
      <c r="E624" s="2"/>
      <c r="F624" s="2"/>
      <c r="G624" s="2"/>
      <c r="H624" s="2"/>
      <c r="I624" s="5"/>
    </row>
    <row r="625" spans="1:9" ht="17.399999999999999" x14ac:dyDescent="0.25">
      <c r="A625" s="16"/>
      <c r="B625" s="17"/>
      <c r="C625" s="2"/>
      <c r="D625" s="2"/>
      <c r="E625" s="2"/>
      <c r="F625" s="2"/>
      <c r="G625" s="2"/>
      <c r="H625" s="2"/>
      <c r="I625" s="5"/>
    </row>
    <row r="626" spans="1:9" ht="17.399999999999999" x14ac:dyDescent="0.25">
      <c r="A626" s="16"/>
      <c r="B626" s="17"/>
      <c r="C626" s="2"/>
      <c r="D626" s="2"/>
      <c r="E626" s="2"/>
      <c r="F626" s="2"/>
      <c r="G626" s="2"/>
      <c r="H626" s="2"/>
      <c r="I626" s="5"/>
    </row>
    <row r="627" spans="1:9" ht="17.399999999999999" x14ac:dyDescent="0.25">
      <c r="A627" s="16"/>
      <c r="B627" s="17"/>
      <c r="C627" s="2"/>
      <c r="D627" s="2"/>
      <c r="E627" s="2"/>
      <c r="F627" s="2"/>
      <c r="G627" s="2"/>
      <c r="H627" s="2"/>
      <c r="I627" s="5"/>
    </row>
    <row r="628" spans="1:9" ht="17.399999999999999" x14ac:dyDescent="0.25">
      <c r="A628" s="16"/>
      <c r="B628" s="17"/>
      <c r="C628" s="2"/>
      <c r="D628" s="2"/>
      <c r="E628" s="2"/>
      <c r="F628" s="2"/>
      <c r="G628" s="2"/>
      <c r="H628" s="2"/>
      <c r="I628" s="5"/>
    </row>
    <row r="629" spans="1:9" ht="17.399999999999999" x14ac:dyDescent="0.25">
      <c r="A629" s="16"/>
      <c r="B629" s="17"/>
      <c r="C629" s="2"/>
      <c r="D629" s="2"/>
      <c r="E629" s="2"/>
      <c r="F629" s="2"/>
      <c r="G629" s="2"/>
      <c r="H629" s="2"/>
      <c r="I629" s="5"/>
    </row>
    <row r="630" spans="1:9" ht="17.399999999999999" x14ac:dyDescent="0.25">
      <c r="A630" s="16"/>
      <c r="B630" s="17"/>
      <c r="C630" s="2"/>
      <c r="D630" s="2"/>
      <c r="E630" s="2"/>
      <c r="F630" s="2"/>
      <c r="G630" s="2"/>
      <c r="H630" s="2"/>
      <c r="I630" s="5"/>
    </row>
    <row r="631" spans="1:9" ht="17.399999999999999" x14ac:dyDescent="0.25">
      <c r="A631" s="16"/>
      <c r="B631" s="17"/>
      <c r="C631" s="2"/>
      <c r="D631" s="2"/>
      <c r="E631" s="2"/>
      <c r="F631" s="2"/>
      <c r="G631" s="2"/>
      <c r="H631" s="2"/>
      <c r="I631" s="5"/>
    </row>
    <row r="632" spans="1:9" ht="17.399999999999999" x14ac:dyDescent="0.25">
      <c r="A632" s="16"/>
      <c r="B632" s="17"/>
      <c r="C632" s="2"/>
      <c r="D632" s="2"/>
      <c r="E632" s="2"/>
      <c r="F632" s="2"/>
      <c r="G632" s="2"/>
      <c r="H632" s="2"/>
      <c r="I632" s="5"/>
    </row>
    <row r="633" spans="1:9" ht="17.399999999999999" x14ac:dyDescent="0.25">
      <c r="A633" s="16"/>
      <c r="B633" s="17"/>
      <c r="C633" s="2"/>
      <c r="D633" s="2"/>
      <c r="E633" s="2"/>
      <c r="F633" s="2"/>
      <c r="G633" s="2"/>
      <c r="H633" s="2"/>
      <c r="I633" s="5"/>
    </row>
    <row r="634" spans="1:9" ht="17.399999999999999" x14ac:dyDescent="0.25">
      <c r="A634" s="16"/>
      <c r="B634" s="17"/>
      <c r="C634" s="2"/>
      <c r="D634" s="2"/>
      <c r="E634" s="2"/>
      <c r="F634" s="2"/>
      <c r="G634" s="2"/>
      <c r="H634" s="2"/>
      <c r="I634" s="5"/>
    </row>
    <row r="635" spans="1:9" ht="17.399999999999999" x14ac:dyDescent="0.25">
      <c r="A635" s="16"/>
      <c r="B635" s="17"/>
      <c r="C635" s="2"/>
      <c r="D635" s="2"/>
      <c r="E635" s="2"/>
      <c r="F635" s="2"/>
      <c r="G635" s="2"/>
      <c r="H635" s="2"/>
      <c r="I635" s="5"/>
    </row>
    <row r="636" spans="1:9" ht="17.399999999999999" x14ac:dyDescent="0.25">
      <c r="A636" s="16"/>
      <c r="B636" s="17"/>
      <c r="C636" s="2"/>
      <c r="D636" s="2"/>
      <c r="E636" s="2"/>
      <c r="F636" s="2"/>
      <c r="G636" s="2"/>
      <c r="H636" s="2"/>
      <c r="I636" s="5"/>
    </row>
    <row r="637" spans="1:9" ht="17.399999999999999" x14ac:dyDescent="0.25">
      <c r="A637" s="16"/>
      <c r="B637" s="17"/>
      <c r="C637" s="2"/>
      <c r="D637" s="2"/>
      <c r="E637" s="2"/>
      <c r="F637" s="2"/>
      <c r="G637" s="2"/>
      <c r="H637" s="2"/>
      <c r="I637" s="5"/>
    </row>
    <row r="638" spans="1:9" ht="17.399999999999999" x14ac:dyDescent="0.25">
      <c r="A638" s="16"/>
      <c r="B638" s="17"/>
      <c r="C638" s="2"/>
      <c r="D638" s="2"/>
      <c r="E638" s="2"/>
      <c r="F638" s="2"/>
      <c r="G638" s="2"/>
      <c r="H638" s="2"/>
      <c r="I638" s="5"/>
    </row>
    <row r="639" spans="1:9" ht="17.399999999999999" x14ac:dyDescent="0.25">
      <c r="A639" s="16"/>
      <c r="B639" s="17"/>
      <c r="C639" s="2"/>
      <c r="D639" s="2"/>
      <c r="E639" s="2"/>
      <c r="F639" s="2"/>
      <c r="G639" s="2"/>
      <c r="H639" s="2"/>
      <c r="I639" s="5"/>
    </row>
    <row r="640" spans="1:9" ht="17.399999999999999" x14ac:dyDescent="0.25">
      <c r="A640" s="16"/>
      <c r="B640" s="17"/>
      <c r="C640" s="2"/>
      <c r="D640" s="2"/>
      <c r="E640" s="2"/>
      <c r="F640" s="2"/>
      <c r="G640" s="2"/>
      <c r="H640" s="2"/>
      <c r="I640" s="5"/>
    </row>
    <row r="641" spans="1:9" ht="17.399999999999999" x14ac:dyDescent="0.25">
      <c r="A641" s="16"/>
      <c r="B641" s="17"/>
      <c r="C641" s="2"/>
      <c r="D641" s="2"/>
      <c r="E641" s="2"/>
      <c r="F641" s="2"/>
      <c r="G641" s="2"/>
      <c r="H641" s="2"/>
      <c r="I641" s="5"/>
    </row>
    <row r="642" spans="1:9" ht="17.399999999999999" x14ac:dyDescent="0.25">
      <c r="A642" s="16"/>
      <c r="B642" s="17"/>
      <c r="C642" s="2"/>
      <c r="D642" s="2"/>
      <c r="E642" s="2"/>
      <c r="F642" s="2"/>
      <c r="G642" s="2"/>
      <c r="H642" s="2"/>
      <c r="I642" s="5"/>
    </row>
    <row r="643" spans="1:9" ht="17.399999999999999" x14ac:dyDescent="0.25">
      <c r="A643" s="16"/>
      <c r="B643" s="17"/>
      <c r="C643" s="2"/>
      <c r="D643" s="2"/>
      <c r="E643" s="2"/>
      <c r="F643" s="2"/>
      <c r="G643" s="2"/>
      <c r="H643" s="2"/>
      <c r="I643" s="5"/>
    </row>
    <row r="644" spans="1:9" ht="17.399999999999999" x14ac:dyDescent="0.25">
      <c r="A644" s="16"/>
      <c r="B644" s="17"/>
      <c r="C644" s="2"/>
      <c r="D644" s="2"/>
      <c r="E644" s="2"/>
      <c r="F644" s="2"/>
      <c r="G644" s="2"/>
      <c r="H644" s="2"/>
      <c r="I644" s="5"/>
    </row>
    <row r="645" spans="1:9" ht="17.399999999999999" x14ac:dyDescent="0.25">
      <c r="A645" s="16"/>
      <c r="B645" s="17"/>
      <c r="C645" s="2"/>
      <c r="D645" s="2"/>
      <c r="E645" s="2"/>
      <c r="F645" s="2"/>
      <c r="G645" s="2"/>
      <c r="H645" s="2"/>
      <c r="I645" s="5"/>
    </row>
    <row r="646" spans="1:9" ht="17.399999999999999" x14ac:dyDescent="0.25">
      <c r="A646" s="16"/>
      <c r="B646" s="17"/>
      <c r="C646" s="2"/>
      <c r="D646" s="2"/>
      <c r="E646" s="2"/>
      <c r="F646" s="2"/>
      <c r="G646" s="2"/>
      <c r="H646" s="2"/>
      <c r="I646" s="5"/>
    </row>
    <row r="647" spans="1:9" ht="17.399999999999999" x14ac:dyDescent="0.25">
      <c r="A647" s="16"/>
      <c r="B647" s="17"/>
      <c r="C647" s="2"/>
      <c r="D647" s="2"/>
      <c r="E647" s="2"/>
      <c r="F647" s="2"/>
      <c r="G647" s="2"/>
      <c r="H647" s="2"/>
      <c r="I647" s="5"/>
    </row>
    <row r="648" spans="1:9" ht="17.399999999999999" x14ac:dyDescent="0.25">
      <c r="A648" s="16"/>
      <c r="B648" s="17"/>
      <c r="C648" s="2"/>
      <c r="D648" s="2"/>
      <c r="E648" s="2"/>
      <c r="F648" s="2"/>
      <c r="G648" s="2"/>
      <c r="H648" s="2"/>
      <c r="I648" s="5"/>
    </row>
    <row r="649" spans="1:9" ht="17.399999999999999" x14ac:dyDescent="0.25">
      <c r="A649" s="16"/>
      <c r="B649" s="17"/>
      <c r="C649" s="2"/>
      <c r="D649" s="2"/>
      <c r="E649" s="2"/>
      <c r="F649" s="2"/>
      <c r="G649" s="2"/>
      <c r="H649" s="2"/>
      <c r="I649" s="5"/>
    </row>
    <row r="650" spans="1:9" ht="17.399999999999999" x14ac:dyDescent="0.25">
      <c r="A650" s="16"/>
      <c r="B650" s="17"/>
      <c r="C650" s="2"/>
      <c r="D650" s="2"/>
      <c r="E650" s="2"/>
      <c r="F650" s="2"/>
      <c r="G650" s="2"/>
      <c r="H650" s="2"/>
      <c r="I650" s="5"/>
    </row>
    <row r="651" spans="1:9" ht="17.399999999999999" x14ac:dyDescent="0.25">
      <c r="A651" s="16"/>
      <c r="B651" s="17"/>
      <c r="C651" s="2"/>
      <c r="D651" s="2"/>
      <c r="E651" s="2"/>
      <c r="F651" s="2"/>
      <c r="G651" s="2"/>
      <c r="H651" s="2"/>
      <c r="I651" s="5"/>
    </row>
    <row r="652" spans="1:9" ht="17.399999999999999" x14ac:dyDescent="0.25">
      <c r="A652" s="16"/>
      <c r="B652" s="17"/>
      <c r="C652" s="2"/>
      <c r="D652" s="2"/>
      <c r="E652" s="2"/>
      <c r="F652" s="2"/>
      <c r="G652" s="2"/>
      <c r="H652" s="2"/>
      <c r="I652" s="5"/>
    </row>
    <row r="653" spans="1:9" ht="17.399999999999999" x14ac:dyDescent="0.25">
      <c r="A653" s="16"/>
      <c r="B653" s="17"/>
      <c r="C653" s="2"/>
      <c r="D653" s="2"/>
      <c r="E653" s="2"/>
      <c r="F653" s="2"/>
      <c r="G653" s="2"/>
      <c r="H653" s="2"/>
      <c r="I653" s="5"/>
    </row>
    <row r="654" spans="1:9" ht="17.399999999999999" x14ac:dyDescent="0.25">
      <c r="A654" s="16"/>
      <c r="B654" s="17"/>
      <c r="C654" s="2"/>
      <c r="D654" s="2"/>
      <c r="E654" s="2"/>
      <c r="F654" s="2"/>
      <c r="G654" s="2"/>
      <c r="H654" s="2"/>
      <c r="I654" s="5"/>
    </row>
    <row r="655" spans="1:9" ht="17.399999999999999" x14ac:dyDescent="0.25">
      <c r="A655" s="16"/>
      <c r="B655" s="17"/>
      <c r="C655" s="2"/>
      <c r="D655" s="2"/>
      <c r="E655" s="2"/>
      <c r="F655" s="2"/>
      <c r="G655" s="2"/>
      <c r="H655" s="2"/>
      <c r="I655" s="5"/>
    </row>
    <row r="656" spans="1:9" ht="17.399999999999999" x14ac:dyDescent="0.25">
      <c r="A656" s="16"/>
      <c r="B656" s="17"/>
      <c r="C656" s="2"/>
      <c r="D656" s="2"/>
      <c r="E656" s="2"/>
      <c r="F656" s="2"/>
      <c r="G656" s="2"/>
      <c r="H656" s="2"/>
      <c r="I656" s="5"/>
    </row>
    <row r="657" spans="1:9" ht="17.399999999999999" x14ac:dyDescent="0.25">
      <c r="A657" s="16"/>
      <c r="B657" s="17"/>
      <c r="C657" s="2"/>
      <c r="D657" s="2"/>
      <c r="E657" s="2"/>
      <c r="F657" s="2"/>
      <c r="G657" s="2"/>
      <c r="H657" s="2"/>
      <c r="I657" s="5"/>
    </row>
    <row r="658" spans="1:9" ht="17.399999999999999" x14ac:dyDescent="0.25">
      <c r="A658" s="16"/>
      <c r="B658" s="17"/>
      <c r="C658" s="2"/>
      <c r="D658" s="2"/>
      <c r="E658" s="2"/>
      <c r="F658" s="2"/>
      <c r="G658" s="2"/>
      <c r="H658" s="2"/>
      <c r="I658" s="5"/>
    </row>
    <row r="659" spans="1:9" ht="17.399999999999999" x14ac:dyDescent="0.25">
      <c r="A659" s="16"/>
      <c r="B659" s="17"/>
      <c r="C659" s="2"/>
      <c r="D659" s="2"/>
      <c r="E659" s="2"/>
      <c r="F659" s="2"/>
      <c r="G659" s="2"/>
      <c r="H659" s="2"/>
      <c r="I659" s="5"/>
    </row>
    <row r="660" spans="1:9" ht="17.399999999999999" x14ac:dyDescent="0.25">
      <c r="A660" s="16"/>
      <c r="B660" s="17"/>
      <c r="C660" s="2"/>
      <c r="D660" s="2"/>
      <c r="E660" s="2"/>
      <c r="F660" s="2"/>
      <c r="G660" s="2"/>
      <c r="H660" s="2"/>
      <c r="I660" s="5"/>
    </row>
    <row r="661" spans="1:9" ht="17.399999999999999" x14ac:dyDescent="0.25">
      <c r="A661" s="16"/>
      <c r="B661" s="17"/>
      <c r="C661" s="2"/>
      <c r="D661" s="2"/>
      <c r="E661" s="2"/>
      <c r="F661" s="2"/>
      <c r="G661" s="2"/>
      <c r="H661" s="2"/>
      <c r="I661" s="5"/>
    </row>
    <row r="662" spans="1:9" ht="17.399999999999999" x14ac:dyDescent="0.25">
      <c r="A662" s="16"/>
      <c r="B662" s="17"/>
      <c r="C662" s="2"/>
      <c r="D662" s="2"/>
      <c r="E662" s="2"/>
      <c r="F662" s="2"/>
      <c r="G662" s="2"/>
      <c r="H662" s="2"/>
      <c r="I662" s="5"/>
    </row>
    <row r="663" spans="1:9" ht="17.399999999999999" x14ac:dyDescent="0.25">
      <c r="A663" s="16"/>
      <c r="B663" s="17"/>
      <c r="C663" s="2"/>
      <c r="D663" s="2"/>
      <c r="E663" s="2"/>
      <c r="F663" s="2"/>
      <c r="G663" s="2"/>
      <c r="H663" s="2"/>
      <c r="I663" s="5"/>
    </row>
    <row r="664" spans="1:9" ht="17.399999999999999" x14ac:dyDescent="0.25">
      <c r="A664" s="16"/>
      <c r="B664" s="17"/>
      <c r="C664" s="2"/>
      <c r="D664" s="2"/>
      <c r="E664" s="2"/>
      <c r="F664" s="2"/>
      <c r="G664" s="2"/>
      <c r="H664" s="2"/>
      <c r="I664" s="5"/>
    </row>
    <row r="665" spans="1:9" ht="17.399999999999999" x14ac:dyDescent="0.25">
      <c r="A665" s="16"/>
      <c r="B665" s="17"/>
      <c r="C665" s="2"/>
      <c r="D665" s="2"/>
      <c r="E665" s="2"/>
      <c r="F665" s="2"/>
      <c r="G665" s="2"/>
      <c r="H665" s="2"/>
      <c r="I665" s="5"/>
    </row>
    <row r="666" spans="1:9" ht="17.399999999999999" x14ac:dyDescent="0.25">
      <c r="A666" s="16"/>
      <c r="B666" s="17"/>
      <c r="C666" s="2"/>
      <c r="D666" s="2"/>
      <c r="E666" s="2"/>
      <c r="F666" s="2"/>
      <c r="G666" s="2"/>
      <c r="H666" s="2"/>
      <c r="I666" s="5"/>
    </row>
    <row r="667" spans="1:9" ht="17.399999999999999" x14ac:dyDescent="0.25">
      <c r="A667" s="16"/>
      <c r="B667" s="17"/>
      <c r="C667" s="2"/>
      <c r="D667" s="2"/>
      <c r="E667" s="2"/>
      <c r="F667" s="2"/>
      <c r="G667" s="2"/>
      <c r="H667" s="2"/>
      <c r="I667" s="5"/>
    </row>
    <row r="668" spans="1:9" ht="17.399999999999999" x14ac:dyDescent="0.25">
      <c r="A668" s="16"/>
      <c r="B668" s="17"/>
      <c r="C668" s="2"/>
      <c r="D668" s="2"/>
      <c r="E668" s="2"/>
      <c r="F668" s="2"/>
      <c r="G668" s="2"/>
      <c r="H668" s="2"/>
      <c r="I668" s="5"/>
    </row>
    <row r="669" spans="1:9" ht="17.399999999999999" x14ac:dyDescent="0.25">
      <c r="A669" s="16"/>
      <c r="B669" s="17"/>
      <c r="C669" s="2"/>
      <c r="D669" s="2"/>
      <c r="E669" s="2"/>
      <c r="F669" s="2"/>
      <c r="G669" s="2"/>
      <c r="H669" s="2"/>
      <c r="I669" s="5"/>
    </row>
    <row r="670" spans="1:9" ht="17.399999999999999" x14ac:dyDescent="0.25">
      <c r="A670" s="16"/>
      <c r="B670" s="17"/>
      <c r="C670" s="2"/>
      <c r="D670" s="2"/>
      <c r="E670" s="2"/>
      <c r="F670" s="2"/>
      <c r="G670" s="2"/>
      <c r="H670" s="2"/>
      <c r="I670" s="5"/>
    </row>
    <row r="671" spans="1:9" ht="17.399999999999999" x14ac:dyDescent="0.25">
      <c r="A671" s="16"/>
      <c r="B671" s="17"/>
      <c r="C671" s="2"/>
      <c r="D671" s="2"/>
      <c r="E671" s="2"/>
      <c r="F671" s="2"/>
      <c r="G671" s="2"/>
      <c r="H671" s="2"/>
      <c r="I671" s="5"/>
    </row>
    <row r="672" spans="1:9" ht="17.399999999999999" x14ac:dyDescent="0.25">
      <c r="A672" s="16"/>
      <c r="B672" s="17"/>
      <c r="C672" s="2"/>
      <c r="D672" s="2"/>
      <c r="E672" s="2"/>
      <c r="F672" s="2"/>
      <c r="G672" s="2"/>
      <c r="H672" s="2"/>
      <c r="I672" s="5"/>
    </row>
    <row r="673" spans="1:9" ht="17.399999999999999" x14ac:dyDescent="0.25">
      <c r="A673" s="16"/>
      <c r="B673" s="17"/>
      <c r="C673" s="2"/>
      <c r="D673" s="2"/>
      <c r="E673" s="2"/>
      <c r="F673" s="2"/>
      <c r="G673" s="2"/>
      <c r="H673" s="2"/>
      <c r="I673" s="5"/>
    </row>
    <row r="674" spans="1:9" ht="17.399999999999999" x14ac:dyDescent="0.25">
      <c r="A674" s="16"/>
      <c r="B674" s="17"/>
      <c r="C674" s="2"/>
      <c r="D674" s="2"/>
      <c r="E674" s="2"/>
      <c r="F674" s="2"/>
      <c r="G674" s="2"/>
      <c r="H674" s="2"/>
      <c r="I674" s="5"/>
    </row>
    <row r="675" spans="1:9" ht="17.399999999999999" x14ac:dyDescent="0.25">
      <c r="A675" s="16"/>
      <c r="B675" s="17"/>
      <c r="C675" s="2"/>
      <c r="D675" s="2"/>
      <c r="E675" s="2"/>
      <c r="F675" s="2"/>
      <c r="G675" s="2"/>
      <c r="H675" s="2"/>
      <c r="I675" s="5"/>
    </row>
    <row r="676" spans="1:9" ht="17.399999999999999" x14ac:dyDescent="0.25">
      <c r="A676" s="16"/>
      <c r="B676" s="17"/>
      <c r="C676" s="2"/>
      <c r="D676" s="2"/>
      <c r="E676" s="2"/>
      <c r="F676" s="2"/>
      <c r="G676" s="2"/>
      <c r="H676" s="2"/>
      <c r="I676" s="5"/>
    </row>
    <row r="677" spans="1:9" ht="17.399999999999999" x14ac:dyDescent="0.25">
      <c r="A677" s="16"/>
      <c r="B677" s="17"/>
      <c r="C677" s="2"/>
      <c r="D677" s="2"/>
      <c r="E677" s="2"/>
      <c r="F677" s="2"/>
      <c r="G677" s="2"/>
      <c r="H677" s="2"/>
      <c r="I677" s="5"/>
    </row>
    <row r="678" spans="1:9" ht="17.399999999999999" x14ac:dyDescent="0.25">
      <c r="A678" s="16"/>
      <c r="B678" s="17"/>
      <c r="C678" s="2"/>
      <c r="D678" s="2"/>
      <c r="E678" s="2"/>
      <c r="F678" s="2"/>
      <c r="G678" s="2"/>
      <c r="H678" s="2"/>
      <c r="I678" s="5"/>
    </row>
    <row r="679" spans="1:9" ht="17.399999999999999" x14ac:dyDescent="0.25">
      <c r="A679" s="16"/>
      <c r="B679" s="17"/>
      <c r="C679" s="2"/>
      <c r="D679" s="2"/>
      <c r="E679" s="2"/>
      <c r="F679" s="2"/>
      <c r="G679" s="2"/>
      <c r="H679" s="2"/>
      <c r="I679" s="5"/>
    </row>
    <row r="680" spans="1:9" ht="17.399999999999999" x14ac:dyDescent="0.25">
      <c r="A680" s="16"/>
      <c r="B680" s="17"/>
      <c r="C680" s="2"/>
      <c r="D680" s="2"/>
      <c r="E680" s="2"/>
      <c r="F680" s="2"/>
      <c r="G680" s="2"/>
      <c r="H680" s="2"/>
      <c r="I680" s="5"/>
    </row>
    <row r="681" spans="1:9" ht="17.399999999999999" x14ac:dyDescent="0.25">
      <c r="A681" s="16"/>
      <c r="B681" s="17"/>
      <c r="C681" s="2"/>
      <c r="D681" s="2"/>
      <c r="E681" s="2"/>
      <c r="F681" s="2"/>
      <c r="G681" s="2"/>
      <c r="H681" s="2"/>
      <c r="I681" s="5"/>
    </row>
    <row r="682" spans="1:9" ht="17.399999999999999" x14ac:dyDescent="0.25">
      <c r="A682" s="16"/>
      <c r="B682" s="17"/>
      <c r="C682" s="2"/>
      <c r="D682" s="2"/>
      <c r="E682" s="2"/>
      <c r="F682" s="2"/>
      <c r="G682" s="2"/>
      <c r="H682" s="2"/>
      <c r="I682" s="5"/>
    </row>
    <row r="683" spans="1:9" ht="17.399999999999999" x14ac:dyDescent="0.25">
      <c r="A683" s="16"/>
      <c r="B683" s="17"/>
      <c r="C683" s="2"/>
      <c r="D683" s="2"/>
      <c r="E683" s="2"/>
      <c r="F683" s="2"/>
      <c r="G683" s="2"/>
      <c r="H683" s="2"/>
      <c r="I683" s="5"/>
    </row>
    <row r="684" spans="1:9" ht="17.399999999999999" x14ac:dyDescent="0.25">
      <c r="A684" s="16"/>
      <c r="B684" s="17"/>
      <c r="C684" s="2"/>
      <c r="D684" s="2"/>
      <c r="E684" s="2"/>
      <c r="F684" s="2"/>
      <c r="G684" s="2"/>
      <c r="H684" s="2"/>
      <c r="I684" s="5"/>
    </row>
    <row r="685" spans="1:9" ht="17.399999999999999" x14ac:dyDescent="0.25">
      <c r="A685" s="16"/>
      <c r="B685" s="17"/>
      <c r="C685" s="2"/>
      <c r="D685" s="2"/>
      <c r="E685" s="2"/>
      <c r="F685" s="2"/>
      <c r="G685" s="2"/>
      <c r="H685" s="2"/>
      <c r="I685" s="5"/>
    </row>
    <row r="686" spans="1:9" ht="17.399999999999999" x14ac:dyDescent="0.25">
      <c r="A686" s="16"/>
      <c r="B686" s="17"/>
      <c r="C686" s="2"/>
      <c r="D686" s="2"/>
      <c r="E686" s="2"/>
      <c r="F686" s="2"/>
      <c r="G686" s="2"/>
      <c r="H686" s="2"/>
      <c r="I686" s="5"/>
    </row>
    <row r="687" spans="1:9" ht="17.399999999999999" x14ac:dyDescent="0.25">
      <c r="A687" s="16"/>
      <c r="B687" s="17"/>
      <c r="C687" s="2"/>
      <c r="D687" s="2"/>
      <c r="E687" s="2"/>
      <c r="F687" s="2"/>
      <c r="G687" s="2"/>
      <c r="H687" s="2"/>
      <c r="I687" s="5"/>
    </row>
    <row r="688" spans="1:9" ht="17.399999999999999" x14ac:dyDescent="0.25">
      <c r="A688" s="16"/>
      <c r="B688" s="17"/>
      <c r="C688" s="2"/>
      <c r="D688" s="2"/>
      <c r="E688" s="2"/>
      <c r="F688" s="2"/>
      <c r="G688" s="2"/>
      <c r="H688" s="2"/>
      <c r="I688" s="5"/>
    </row>
    <row r="689" spans="1:9" ht="17.399999999999999" x14ac:dyDescent="0.25">
      <c r="A689" s="16"/>
      <c r="B689" s="17"/>
      <c r="C689" s="2"/>
      <c r="D689" s="2"/>
      <c r="E689" s="2"/>
      <c r="F689" s="2"/>
      <c r="G689" s="2"/>
      <c r="H689" s="2"/>
      <c r="I689" s="5"/>
    </row>
    <row r="690" spans="1:9" ht="17.399999999999999" x14ac:dyDescent="0.25">
      <c r="A690" s="16"/>
      <c r="B690" s="17"/>
      <c r="C690" s="2"/>
      <c r="D690" s="2"/>
      <c r="E690" s="2"/>
      <c r="F690" s="2"/>
      <c r="G690" s="2"/>
      <c r="H690" s="2"/>
      <c r="I690" s="5"/>
    </row>
    <row r="691" spans="1:9" ht="17.399999999999999" x14ac:dyDescent="0.25">
      <c r="A691" s="16"/>
      <c r="B691" s="17"/>
      <c r="C691" s="2"/>
      <c r="D691" s="2"/>
      <c r="E691" s="2"/>
      <c r="F691" s="2"/>
      <c r="G691" s="2"/>
      <c r="H691" s="2"/>
      <c r="I691" s="5"/>
    </row>
    <row r="692" spans="1:9" ht="17.399999999999999" x14ac:dyDescent="0.25">
      <c r="A692" s="16"/>
      <c r="B692" s="17"/>
      <c r="C692" s="2"/>
      <c r="D692" s="2"/>
      <c r="E692" s="2"/>
      <c r="F692" s="2"/>
      <c r="G692" s="2"/>
      <c r="H692" s="2"/>
      <c r="I692" s="5"/>
    </row>
    <row r="693" spans="1:9" ht="17.399999999999999" x14ac:dyDescent="0.25">
      <c r="A693" s="16"/>
      <c r="B693" s="17"/>
      <c r="C693" s="2"/>
      <c r="D693" s="2"/>
      <c r="E693" s="2"/>
      <c r="F693" s="2"/>
      <c r="G693" s="2"/>
      <c r="H693" s="2"/>
      <c r="I693" s="5"/>
    </row>
    <row r="694" spans="1:9" ht="17.399999999999999" x14ac:dyDescent="0.25">
      <c r="A694" s="16"/>
      <c r="B694" s="17"/>
      <c r="C694" s="2"/>
      <c r="D694" s="2"/>
      <c r="E694" s="2"/>
      <c r="F694" s="2"/>
      <c r="G694" s="2"/>
      <c r="H694" s="2"/>
      <c r="I694" s="5"/>
    </row>
    <row r="695" spans="1:9" ht="17.399999999999999" x14ac:dyDescent="0.25">
      <c r="A695" s="16"/>
      <c r="B695" s="17"/>
      <c r="C695" s="2"/>
      <c r="D695" s="2"/>
      <c r="E695" s="2"/>
      <c r="F695" s="2"/>
      <c r="G695" s="2"/>
      <c r="H695" s="2"/>
      <c r="I695" s="5"/>
    </row>
    <row r="696" spans="1:9" ht="17.399999999999999" x14ac:dyDescent="0.25">
      <c r="A696" s="16"/>
      <c r="B696" s="17"/>
      <c r="C696" s="2"/>
      <c r="D696" s="2"/>
      <c r="E696" s="2"/>
      <c r="F696" s="2"/>
      <c r="G696" s="2"/>
      <c r="H696" s="2"/>
      <c r="I696" s="5"/>
    </row>
    <row r="697" spans="1:9" ht="17.399999999999999" x14ac:dyDescent="0.25">
      <c r="A697" s="16"/>
      <c r="B697" s="17"/>
      <c r="C697" s="2"/>
      <c r="D697" s="2"/>
      <c r="E697" s="2"/>
      <c r="F697" s="2"/>
      <c r="G697" s="2"/>
      <c r="H697" s="2"/>
      <c r="I697" s="5"/>
    </row>
    <row r="698" spans="1:9" ht="17.399999999999999" x14ac:dyDescent="0.25">
      <c r="A698" s="16"/>
      <c r="B698" s="17"/>
      <c r="C698" s="2"/>
      <c r="D698" s="2"/>
      <c r="E698" s="2"/>
      <c r="F698" s="2"/>
      <c r="G698" s="2"/>
      <c r="H698" s="2"/>
      <c r="I698" s="5"/>
    </row>
    <row r="699" spans="1:9" ht="17.399999999999999" x14ac:dyDescent="0.25">
      <c r="A699" s="16"/>
      <c r="B699" s="17"/>
      <c r="C699" s="2"/>
      <c r="D699" s="2"/>
      <c r="E699" s="2"/>
      <c r="F699" s="2"/>
      <c r="G699" s="2"/>
      <c r="H699" s="2"/>
      <c r="I699" s="5"/>
    </row>
    <row r="700" spans="1:9" ht="17.399999999999999" x14ac:dyDescent="0.25">
      <c r="A700" s="16"/>
      <c r="B700" s="17"/>
      <c r="C700" s="2"/>
      <c r="D700" s="2"/>
      <c r="E700" s="2"/>
      <c r="F700" s="2"/>
      <c r="G700" s="2"/>
      <c r="H700" s="2"/>
      <c r="I700" s="5"/>
    </row>
    <row r="701" spans="1:9" ht="17.399999999999999" x14ac:dyDescent="0.25">
      <c r="A701" s="16"/>
      <c r="B701" s="17"/>
      <c r="C701" s="2"/>
      <c r="D701" s="2"/>
      <c r="E701" s="2"/>
      <c r="F701" s="2"/>
      <c r="G701" s="2"/>
      <c r="H701" s="2"/>
      <c r="I701" s="5"/>
    </row>
    <row r="702" spans="1:9" ht="17.399999999999999" x14ac:dyDescent="0.25">
      <c r="A702" s="16"/>
      <c r="B702" s="17"/>
      <c r="C702" s="2"/>
      <c r="D702" s="2"/>
      <c r="E702" s="2"/>
      <c r="F702" s="2"/>
      <c r="G702" s="2"/>
      <c r="H702" s="2"/>
      <c r="I702" s="5"/>
    </row>
    <row r="703" spans="1:9" ht="17.399999999999999" x14ac:dyDescent="0.25">
      <c r="A703" s="16"/>
      <c r="B703" s="17"/>
      <c r="C703" s="2"/>
      <c r="D703" s="2"/>
      <c r="E703" s="2"/>
      <c r="F703" s="2"/>
      <c r="G703" s="2"/>
      <c r="H703" s="2"/>
      <c r="I703" s="5"/>
    </row>
    <row r="704" spans="1:9" ht="17.399999999999999" x14ac:dyDescent="0.25">
      <c r="A704" s="16"/>
      <c r="B704" s="17"/>
      <c r="C704" s="2"/>
      <c r="D704" s="2"/>
      <c r="E704" s="2"/>
      <c r="F704" s="2"/>
      <c r="G704" s="2"/>
      <c r="H704" s="2"/>
      <c r="I704" s="5"/>
    </row>
    <row r="705" spans="1:9" ht="17.399999999999999" x14ac:dyDescent="0.25">
      <c r="A705" s="16"/>
      <c r="B705" s="17"/>
      <c r="C705" s="2"/>
      <c r="D705" s="2"/>
      <c r="E705" s="2"/>
      <c r="F705" s="2"/>
      <c r="G705" s="2"/>
      <c r="H705" s="2"/>
      <c r="I705" s="5"/>
    </row>
    <row r="706" spans="1:9" ht="17.399999999999999" x14ac:dyDescent="0.25">
      <c r="A706" s="16"/>
      <c r="B706" s="17"/>
      <c r="C706" s="2"/>
      <c r="D706" s="2"/>
      <c r="E706" s="2"/>
      <c r="F706" s="2"/>
      <c r="G706" s="2"/>
      <c r="H706" s="2"/>
      <c r="I706" s="5"/>
    </row>
    <row r="707" spans="1:9" ht="17.399999999999999" x14ac:dyDescent="0.25">
      <c r="A707" s="16"/>
      <c r="B707" s="17"/>
      <c r="C707" s="2"/>
      <c r="D707" s="2"/>
      <c r="E707" s="2"/>
      <c r="F707" s="2"/>
      <c r="G707" s="2"/>
      <c r="H707" s="2"/>
      <c r="I707" s="5"/>
    </row>
    <row r="708" spans="1:9" ht="17.399999999999999" x14ac:dyDescent="0.25">
      <c r="A708" s="16"/>
      <c r="B708" s="17"/>
      <c r="C708" s="2"/>
      <c r="D708" s="2"/>
      <c r="E708" s="2"/>
      <c r="F708" s="2"/>
      <c r="G708" s="2"/>
      <c r="H708" s="2"/>
      <c r="I708" s="5"/>
    </row>
    <row r="709" spans="1:9" ht="17.399999999999999" x14ac:dyDescent="0.25">
      <c r="A709" s="16"/>
      <c r="B709" s="17"/>
      <c r="C709" s="2"/>
      <c r="D709" s="2"/>
      <c r="E709" s="2"/>
      <c r="F709" s="2"/>
      <c r="G709" s="2"/>
      <c r="H709" s="2"/>
      <c r="I709" s="5"/>
    </row>
    <row r="710" spans="1:9" ht="17.399999999999999" x14ac:dyDescent="0.25">
      <c r="A710" s="16"/>
      <c r="B710" s="17"/>
      <c r="C710" s="2"/>
      <c r="D710" s="2"/>
      <c r="E710" s="2"/>
      <c r="F710" s="2"/>
      <c r="G710" s="2"/>
      <c r="H710" s="2"/>
      <c r="I710" s="5"/>
    </row>
    <row r="711" spans="1:9" ht="17.399999999999999" x14ac:dyDescent="0.25">
      <c r="A711" s="16"/>
      <c r="B711" s="17"/>
      <c r="C711" s="2"/>
      <c r="D711" s="2"/>
      <c r="E711" s="2"/>
      <c r="F711" s="2"/>
      <c r="G711" s="2"/>
      <c r="H711" s="2"/>
      <c r="I711" s="5"/>
    </row>
    <row r="712" spans="1:9" ht="17.399999999999999" x14ac:dyDescent="0.25">
      <c r="A712" s="16"/>
      <c r="B712" s="17"/>
      <c r="C712" s="2"/>
      <c r="D712" s="2"/>
      <c r="E712" s="2"/>
      <c r="F712" s="2"/>
      <c r="G712" s="2"/>
      <c r="H712" s="2"/>
      <c r="I712" s="5"/>
    </row>
    <row r="713" spans="1:9" ht="17.399999999999999" x14ac:dyDescent="0.25">
      <c r="A713" s="16"/>
      <c r="B713" s="17"/>
      <c r="C713" s="2"/>
      <c r="D713" s="2"/>
      <c r="E713" s="2"/>
      <c r="F713" s="2"/>
      <c r="G713" s="2"/>
      <c r="H713" s="2"/>
      <c r="I713" s="5"/>
    </row>
    <row r="714" spans="1:9" ht="17.399999999999999" x14ac:dyDescent="0.25">
      <c r="A714" s="16"/>
      <c r="B714" s="17"/>
      <c r="C714" s="2"/>
      <c r="D714" s="2"/>
      <c r="E714" s="2"/>
      <c r="F714" s="2"/>
      <c r="G714" s="2"/>
      <c r="H714" s="2"/>
      <c r="I714" s="5"/>
    </row>
    <row r="715" spans="1:9" ht="17.399999999999999" x14ac:dyDescent="0.25">
      <c r="A715" s="16"/>
      <c r="B715" s="17"/>
      <c r="C715" s="2"/>
      <c r="D715" s="2"/>
      <c r="E715" s="2"/>
      <c r="F715" s="2"/>
      <c r="G715" s="2"/>
      <c r="H715" s="2"/>
      <c r="I715" s="5"/>
    </row>
    <row r="716" spans="1:9" ht="17.399999999999999" x14ac:dyDescent="0.25">
      <c r="A716" s="16"/>
      <c r="B716" s="17"/>
      <c r="C716" s="2"/>
      <c r="D716" s="2"/>
      <c r="E716" s="2"/>
      <c r="F716" s="2"/>
      <c r="G716" s="2"/>
      <c r="H716" s="2"/>
      <c r="I716" s="5"/>
    </row>
    <row r="717" spans="1:9" ht="17.399999999999999" x14ac:dyDescent="0.25">
      <c r="A717" s="16"/>
      <c r="B717" s="17"/>
      <c r="C717" s="2"/>
      <c r="D717" s="2"/>
      <c r="E717" s="2"/>
      <c r="F717" s="2"/>
      <c r="G717" s="2"/>
      <c r="H717" s="2"/>
      <c r="I717" s="5"/>
    </row>
    <row r="718" spans="1:9" ht="17.399999999999999" x14ac:dyDescent="0.25">
      <c r="A718" s="16"/>
      <c r="B718" s="17"/>
      <c r="C718" s="2"/>
      <c r="D718" s="2"/>
      <c r="E718" s="2"/>
      <c r="F718" s="2"/>
      <c r="G718" s="2"/>
      <c r="H718" s="2"/>
      <c r="I718" s="5"/>
    </row>
    <row r="719" spans="1:9" ht="17.399999999999999" x14ac:dyDescent="0.25">
      <c r="A719" s="16"/>
      <c r="B719" s="17"/>
      <c r="C719" s="2"/>
      <c r="D719" s="2"/>
      <c r="E719" s="2"/>
      <c r="F719" s="2"/>
      <c r="G719" s="2"/>
      <c r="H719" s="2"/>
      <c r="I719" s="5"/>
    </row>
    <row r="720" spans="1:9" ht="17.399999999999999" x14ac:dyDescent="0.25">
      <c r="A720" s="16"/>
      <c r="B720" s="17"/>
      <c r="C720" s="2"/>
      <c r="D720" s="2"/>
      <c r="E720" s="2"/>
      <c r="F720" s="2"/>
      <c r="G720" s="2"/>
      <c r="H720" s="2"/>
      <c r="I720" s="5"/>
    </row>
    <row r="721" spans="1:9" ht="17.399999999999999" x14ac:dyDescent="0.25">
      <c r="A721" s="16"/>
      <c r="B721" s="17"/>
      <c r="C721" s="2"/>
      <c r="D721" s="2"/>
      <c r="E721" s="2"/>
      <c r="F721" s="2"/>
      <c r="G721" s="2"/>
      <c r="H721" s="2"/>
      <c r="I721" s="5"/>
    </row>
    <row r="722" spans="1:9" ht="17.399999999999999" x14ac:dyDescent="0.25">
      <c r="A722" s="16"/>
      <c r="B722" s="17"/>
      <c r="C722" s="2"/>
      <c r="D722" s="2"/>
      <c r="E722" s="2"/>
      <c r="F722" s="2"/>
      <c r="G722" s="2"/>
      <c r="H722" s="2"/>
      <c r="I722" s="5"/>
    </row>
    <row r="723" spans="1:9" ht="17.399999999999999" x14ac:dyDescent="0.25">
      <c r="A723" s="16"/>
      <c r="B723" s="17"/>
      <c r="C723" s="2"/>
      <c r="D723" s="2"/>
      <c r="E723" s="2"/>
      <c r="F723" s="2"/>
      <c r="G723" s="2"/>
      <c r="H723" s="2"/>
      <c r="I723" s="5"/>
    </row>
    <row r="724" spans="1:9" ht="17.399999999999999" x14ac:dyDescent="0.25">
      <c r="A724" s="16"/>
      <c r="B724" s="17"/>
      <c r="C724" s="2"/>
      <c r="D724" s="2"/>
      <c r="E724" s="2"/>
      <c r="F724" s="2"/>
      <c r="G724" s="2"/>
      <c r="H724" s="2"/>
      <c r="I724" s="5"/>
    </row>
    <row r="725" spans="1:9" ht="17.399999999999999" x14ac:dyDescent="0.25">
      <c r="A725" s="16"/>
      <c r="B725" s="17"/>
      <c r="C725" s="2"/>
      <c r="D725" s="2"/>
      <c r="E725" s="2"/>
      <c r="F725" s="2"/>
      <c r="G725" s="2"/>
      <c r="H725" s="2"/>
      <c r="I725" s="5"/>
    </row>
    <row r="726" spans="1:9" ht="17.399999999999999" x14ac:dyDescent="0.25">
      <c r="A726" s="16"/>
      <c r="B726" s="17"/>
      <c r="C726" s="2"/>
      <c r="D726" s="2"/>
      <c r="E726" s="2"/>
      <c r="F726" s="2"/>
      <c r="G726" s="2"/>
      <c r="H726" s="2"/>
      <c r="I726" s="5"/>
    </row>
    <row r="727" spans="1:9" ht="17.399999999999999" x14ac:dyDescent="0.25">
      <c r="A727" s="16"/>
      <c r="B727" s="17"/>
      <c r="C727" s="2"/>
      <c r="D727" s="2"/>
      <c r="E727" s="2"/>
      <c r="F727" s="2"/>
      <c r="G727" s="2"/>
      <c r="H727" s="2"/>
      <c r="I727" s="5"/>
    </row>
    <row r="728" spans="1:9" ht="17.399999999999999" x14ac:dyDescent="0.25">
      <c r="A728" s="16"/>
      <c r="B728" s="17"/>
      <c r="C728" s="2"/>
      <c r="D728" s="2"/>
      <c r="E728" s="2"/>
      <c r="F728" s="2"/>
      <c r="G728" s="2"/>
      <c r="H728" s="2"/>
      <c r="I728" s="5"/>
    </row>
    <row r="729" spans="1:9" ht="17.399999999999999" x14ac:dyDescent="0.25">
      <c r="A729" s="16"/>
      <c r="B729" s="17"/>
      <c r="C729" s="2"/>
      <c r="D729" s="2"/>
      <c r="E729" s="2"/>
      <c r="F729" s="2"/>
      <c r="G729" s="2"/>
      <c r="H729" s="2"/>
      <c r="I729" s="5"/>
    </row>
    <row r="730" spans="1:9" ht="17.399999999999999" x14ac:dyDescent="0.25">
      <c r="A730" s="16"/>
      <c r="B730" s="17"/>
      <c r="C730" s="2"/>
      <c r="D730" s="2"/>
      <c r="E730" s="2"/>
      <c r="F730" s="2"/>
      <c r="G730" s="2"/>
      <c r="H730" s="2"/>
      <c r="I730" s="5"/>
    </row>
    <row r="731" spans="1:9" ht="17.399999999999999" x14ac:dyDescent="0.25">
      <c r="A731" s="16"/>
      <c r="B731" s="17"/>
      <c r="C731" s="2"/>
      <c r="D731" s="2"/>
      <c r="E731" s="2"/>
      <c r="F731" s="2"/>
      <c r="G731" s="2"/>
      <c r="H731" s="2"/>
      <c r="I731" s="5"/>
    </row>
    <row r="732" spans="1:9" ht="17.399999999999999" x14ac:dyDescent="0.25">
      <c r="A732" s="16"/>
      <c r="B732" s="17"/>
      <c r="C732" s="2"/>
      <c r="D732" s="2"/>
      <c r="E732" s="2"/>
      <c r="F732" s="2"/>
      <c r="G732" s="2"/>
      <c r="H732" s="2"/>
      <c r="I732" s="5"/>
    </row>
    <row r="733" spans="1:9" ht="17.399999999999999" x14ac:dyDescent="0.25">
      <c r="A733" s="16"/>
      <c r="B733" s="17"/>
      <c r="C733" s="2"/>
      <c r="D733" s="2"/>
      <c r="E733" s="2"/>
      <c r="F733" s="2"/>
      <c r="G733" s="2"/>
      <c r="H733" s="2"/>
      <c r="I733" s="5"/>
    </row>
    <row r="734" spans="1:9" ht="17.399999999999999" x14ac:dyDescent="0.25">
      <c r="A734" s="16"/>
      <c r="B734" s="17"/>
      <c r="C734" s="2"/>
      <c r="D734" s="2"/>
      <c r="E734" s="2"/>
      <c r="F734" s="2"/>
      <c r="G734" s="2"/>
      <c r="H734" s="2"/>
      <c r="I734" s="5"/>
    </row>
    <row r="735" spans="1:9" ht="17.399999999999999" x14ac:dyDescent="0.25">
      <c r="A735" s="16"/>
      <c r="B735" s="17"/>
      <c r="C735" s="2"/>
      <c r="D735" s="2"/>
      <c r="E735" s="2"/>
      <c r="F735" s="2"/>
      <c r="G735" s="2"/>
      <c r="H735" s="2"/>
      <c r="I735" s="5"/>
    </row>
    <row r="736" spans="1:9" ht="17.399999999999999" x14ac:dyDescent="0.25">
      <c r="A736" s="16"/>
      <c r="B736" s="17"/>
      <c r="C736" s="2"/>
      <c r="D736" s="2"/>
      <c r="E736" s="2"/>
      <c r="F736" s="2"/>
      <c r="G736" s="2"/>
      <c r="H736" s="2"/>
      <c r="I736" s="5"/>
    </row>
    <row r="737" spans="1:9" ht="17.399999999999999" x14ac:dyDescent="0.25">
      <c r="A737" s="16"/>
      <c r="B737" s="17"/>
      <c r="C737" s="2"/>
      <c r="D737" s="2"/>
      <c r="E737" s="2"/>
      <c r="F737" s="2"/>
      <c r="G737" s="2"/>
      <c r="H737" s="2"/>
      <c r="I737" s="5"/>
    </row>
    <row r="738" spans="1:9" ht="17.399999999999999" x14ac:dyDescent="0.25">
      <c r="A738" s="16"/>
      <c r="B738" s="17"/>
      <c r="C738" s="2"/>
      <c r="D738" s="2"/>
      <c r="E738" s="2"/>
      <c r="F738" s="2"/>
      <c r="G738" s="2"/>
      <c r="H738" s="2"/>
      <c r="I738" s="5"/>
    </row>
    <row r="739" spans="1:9" ht="17.399999999999999" x14ac:dyDescent="0.25">
      <c r="A739" s="16"/>
      <c r="B739" s="17"/>
      <c r="C739" s="2"/>
      <c r="D739" s="2"/>
      <c r="E739" s="2"/>
      <c r="F739" s="2"/>
      <c r="G739" s="2"/>
      <c r="H739" s="2"/>
      <c r="I739" s="5"/>
    </row>
    <row r="740" spans="1:9" ht="17.399999999999999" x14ac:dyDescent="0.25">
      <c r="A740" s="16"/>
      <c r="B740" s="17"/>
      <c r="C740" s="2"/>
      <c r="D740" s="2"/>
      <c r="E740" s="2"/>
      <c r="F740" s="2"/>
      <c r="G740" s="2"/>
      <c r="H740" s="2"/>
      <c r="I740" s="5"/>
    </row>
    <row r="741" spans="1:9" ht="17.399999999999999" x14ac:dyDescent="0.25">
      <c r="A741" s="16"/>
      <c r="B741" s="17"/>
      <c r="C741" s="2"/>
      <c r="D741" s="2"/>
      <c r="E741" s="2"/>
      <c r="F741" s="2"/>
      <c r="G741" s="2"/>
      <c r="H741" s="2"/>
      <c r="I741" s="5"/>
    </row>
    <row r="742" spans="1:9" ht="17.399999999999999" x14ac:dyDescent="0.25">
      <c r="A742" s="16"/>
      <c r="B742" s="17"/>
      <c r="C742" s="2"/>
      <c r="D742" s="2"/>
      <c r="E742" s="2"/>
      <c r="F742" s="2"/>
      <c r="G742" s="2"/>
      <c r="H742" s="2"/>
      <c r="I742" s="5"/>
    </row>
    <row r="743" spans="1:9" ht="17.399999999999999" x14ac:dyDescent="0.25">
      <c r="A743" s="16"/>
      <c r="B743" s="17"/>
      <c r="C743" s="2"/>
      <c r="D743" s="2"/>
      <c r="E743" s="2"/>
      <c r="F743" s="2"/>
      <c r="G743" s="2"/>
      <c r="H743" s="2"/>
      <c r="I743" s="5"/>
    </row>
    <row r="744" spans="1:9" ht="17.399999999999999" x14ac:dyDescent="0.25">
      <c r="A744" s="16"/>
      <c r="B744" s="17"/>
      <c r="C744" s="2"/>
      <c r="D744" s="2"/>
      <c r="E744" s="2"/>
      <c r="F744" s="2"/>
      <c r="G744" s="2"/>
      <c r="H744" s="2"/>
      <c r="I744" s="5"/>
    </row>
    <row r="745" spans="1:9" ht="17.399999999999999" x14ac:dyDescent="0.25">
      <c r="A745" s="16"/>
      <c r="B745" s="17"/>
      <c r="C745" s="2"/>
      <c r="D745" s="2"/>
      <c r="E745" s="2"/>
      <c r="F745" s="2"/>
      <c r="G745" s="2"/>
      <c r="H745" s="2"/>
      <c r="I745" s="5"/>
    </row>
    <row r="746" spans="1:9" ht="17.399999999999999" x14ac:dyDescent="0.25">
      <c r="A746" s="16"/>
      <c r="B746" s="17"/>
      <c r="C746" s="2"/>
      <c r="D746" s="2"/>
      <c r="E746" s="2"/>
      <c r="F746" s="2"/>
      <c r="G746" s="2"/>
      <c r="H746" s="2"/>
      <c r="I746" s="5"/>
    </row>
    <row r="747" spans="1:9" ht="17.399999999999999" x14ac:dyDescent="0.25">
      <c r="A747" s="16"/>
      <c r="B747" s="17"/>
      <c r="C747" s="2"/>
      <c r="D747" s="2"/>
      <c r="E747" s="2"/>
      <c r="F747" s="2"/>
      <c r="G747" s="2"/>
      <c r="H747" s="2"/>
      <c r="I747" s="5"/>
    </row>
    <row r="748" spans="1:9" ht="17.399999999999999" x14ac:dyDescent="0.25">
      <c r="A748" s="16"/>
      <c r="B748" s="17"/>
      <c r="C748" s="2"/>
      <c r="D748" s="2"/>
      <c r="E748" s="2"/>
      <c r="F748" s="2"/>
      <c r="G748" s="2"/>
      <c r="H748" s="2"/>
      <c r="I748" s="5"/>
    </row>
    <row r="749" spans="1:9" ht="17.399999999999999" x14ac:dyDescent="0.25">
      <c r="A749" s="16"/>
      <c r="B749" s="17"/>
      <c r="C749" s="2"/>
      <c r="D749" s="2"/>
      <c r="E749" s="2"/>
      <c r="F749" s="2"/>
      <c r="G749" s="2"/>
      <c r="H749" s="2"/>
      <c r="I749" s="5"/>
    </row>
    <row r="750" spans="1:9" ht="17.399999999999999" x14ac:dyDescent="0.25">
      <c r="A750" s="16"/>
      <c r="B750" s="17"/>
      <c r="C750" s="2"/>
      <c r="D750" s="2"/>
      <c r="E750" s="2"/>
      <c r="F750" s="2"/>
      <c r="G750" s="2"/>
      <c r="H750" s="2"/>
      <c r="I750" s="5"/>
    </row>
    <row r="751" spans="1:9" ht="17.399999999999999" x14ac:dyDescent="0.25">
      <c r="A751" s="16"/>
      <c r="B751" s="17"/>
      <c r="C751" s="2"/>
      <c r="D751" s="2"/>
      <c r="E751" s="2"/>
      <c r="F751" s="2"/>
      <c r="G751" s="2"/>
      <c r="H751" s="2"/>
      <c r="I751" s="5"/>
    </row>
    <row r="752" spans="1:9" ht="17.399999999999999" x14ac:dyDescent="0.25">
      <c r="A752" s="16"/>
      <c r="B752" s="17"/>
      <c r="C752" s="2"/>
      <c r="D752" s="2"/>
      <c r="E752" s="2"/>
      <c r="F752" s="2"/>
      <c r="G752" s="2"/>
      <c r="H752" s="2"/>
      <c r="I752" s="5"/>
    </row>
    <row r="753" spans="1:9" ht="17.399999999999999" x14ac:dyDescent="0.25">
      <c r="A753" s="16"/>
      <c r="B753" s="17"/>
      <c r="C753" s="2"/>
      <c r="D753" s="2"/>
      <c r="E753" s="2"/>
      <c r="F753" s="2"/>
      <c r="G753" s="2"/>
      <c r="H753" s="2"/>
      <c r="I753" s="5"/>
    </row>
    <row r="754" spans="1:9" ht="17.399999999999999" x14ac:dyDescent="0.25">
      <c r="A754" s="16"/>
      <c r="B754" s="17"/>
      <c r="C754" s="2"/>
      <c r="D754" s="2"/>
      <c r="E754" s="2"/>
      <c r="F754" s="2"/>
      <c r="G754" s="2"/>
      <c r="H754" s="2"/>
      <c r="I754" s="5"/>
    </row>
    <row r="755" spans="1:9" ht="17.399999999999999" x14ac:dyDescent="0.25">
      <c r="A755" s="16"/>
      <c r="B755" s="17"/>
      <c r="C755" s="2"/>
      <c r="D755" s="2"/>
      <c r="E755" s="2"/>
      <c r="F755" s="2"/>
      <c r="G755" s="2"/>
      <c r="H755" s="2"/>
      <c r="I755" s="5"/>
    </row>
    <row r="756" spans="1:9" ht="17.399999999999999" x14ac:dyDescent="0.25">
      <c r="A756" s="16"/>
      <c r="B756" s="17"/>
      <c r="C756" s="2"/>
      <c r="D756" s="2"/>
      <c r="E756" s="2"/>
      <c r="F756" s="2"/>
      <c r="G756" s="2"/>
      <c r="H756" s="2"/>
      <c r="I756" s="5"/>
    </row>
    <row r="757" spans="1:9" ht="17.399999999999999" x14ac:dyDescent="0.25">
      <c r="A757" s="16"/>
      <c r="B757" s="17"/>
      <c r="C757" s="2"/>
      <c r="D757" s="2"/>
      <c r="E757" s="2"/>
      <c r="F757" s="2"/>
      <c r="G757" s="2"/>
      <c r="H757" s="2"/>
      <c r="I757" s="5"/>
    </row>
    <row r="758" spans="1:9" ht="17.399999999999999" x14ac:dyDescent="0.25">
      <c r="A758" s="16"/>
      <c r="B758" s="17"/>
      <c r="C758" s="2"/>
      <c r="D758" s="2"/>
      <c r="E758" s="2"/>
      <c r="F758" s="2"/>
      <c r="G758" s="2"/>
      <c r="H758" s="2"/>
      <c r="I758" s="5"/>
    </row>
    <row r="759" spans="1:9" ht="17.399999999999999" x14ac:dyDescent="0.25">
      <c r="A759" s="16"/>
      <c r="B759" s="17"/>
      <c r="C759" s="2"/>
      <c r="D759" s="2"/>
      <c r="E759" s="2"/>
      <c r="F759" s="2"/>
      <c r="G759" s="2"/>
      <c r="H759" s="2"/>
      <c r="I759" s="5"/>
    </row>
    <row r="760" spans="1:9" ht="17.399999999999999" x14ac:dyDescent="0.25">
      <c r="A760" s="16"/>
      <c r="B760" s="17"/>
      <c r="C760" s="2"/>
      <c r="D760" s="2"/>
      <c r="E760" s="2"/>
      <c r="F760" s="2"/>
      <c r="G760" s="2"/>
      <c r="H760" s="2"/>
      <c r="I760" s="5"/>
    </row>
    <row r="761" spans="1:9" ht="17.399999999999999" x14ac:dyDescent="0.25">
      <c r="A761" s="16"/>
      <c r="B761" s="17"/>
      <c r="C761" s="2"/>
      <c r="D761" s="2"/>
      <c r="E761" s="2"/>
      <c r="F761" s="2"/>
      <c r="G761" s="2"/>
      <c r="H761" s="2"/>
      <c r="I761" s="5"/>
    </row>
    <row r="762" spans="1:9" ht="17.399999999999999" x14ac:dyDescent="0.25">
      <c r="A762" s="16"/>
      <c r="B762" s="17"/>
      <c r="C762" s="2"/>
      <c r="D762" s="2"/>
      <c r="E762" s="2"/>
      <c r="F762" s="2"/>
      <c r="G762" s="2"/>
      <c r="H762" s="2"/>
      <c r="I762" s="5"/>
    </row>
    <row r="763" spans="1:9" ht="17.399999999999999" x14ac:dyDescent="0.25">
      <c r="A763" s="16"/>
      <c r="B763" s="17"/>
      <c r="C763" s="2"/>
      <c r="D763" s="2"/>
      <c r="E763" s="2"/>
      <c r="F763" s="2"/>
      <c r="G763" s="2"/>
      <c r="H763" s="2"/>
      <c r="I763" s="5"/>
    </row>
    <row r="764" spans="1:9" ht="17.399999999999999" x14ac:dyDescent="0.25">
      <c r="A764" s="16"/>
      <c r="B764" s="17"/>
      <c r="C764" s="2"/>
      <c r="D764" s="2"/>
      <c r="E764" s="2"/>
      <c r="F764" s="2"/>
      <c r="G764" s="2"/>
      <c r="H764" s="2"/>
      <c r="I764" s="5"/>
    </row>
    <row r="765" spans="1:9" ht="17.399999999999999" x14ac:dyDescent="0.25">
      <c r="A765" s="16"/>
      <c r="B765" s="17"/>
      <c r="C765" s="2"/>
      <c r="D765" s="2"/>
      <c r="E765" s="2"/>
      <c r="F765" s="2"/>
      <c r="G765" s="2"/>
      <c r="H765" s="2"/>
      <c r="I765" s="5"/>
    </row>
    <row r="766" spans="1:9" ht="17.399999999999999" x14ac:dyDescent="0.25">
      <c r="A766" s="16"/>
      <c r="B766" s="17"/>
      <c r="C766" s="2"/>
      <c r="D766" s="2"/>
      <c r="E766" s="2"/>
      <c r="F766" s="2"/>
      <c r="G766" s="2"/>
      <c r="H766" s="2"/>
      <c r="I766" s="5"/>
    </row>
    <row r="767" spans="1:9" ht="17.399999999999999" x14ac:dyDescent="0.25">
      <c r="A767" s="16"/>
      <c r="B767" s="17"/>
      <c r="C767" s="2"/>
      <c r="D767" s="2"/>
      <c r="E767" s="2"/>
      <c r="F767" s="2"/>
      <c r="G767" s="2"/>
      <c r="H767" s="2"/>
      <c r="I767" s="5"/>
    </row>
    <row r="768" spans="1:9" ht="17.399999999999999" x14ac:dyDescent="0.25">
      <c r="A768" s="16"/>
      <c r="B768" s="17"/>
      <c r="C768" s="2"/>
      <c r="D768" s="2"/>
      <c r="E768" s="2"/>
      <c r="F768" s="2"/>
      <c r="G768" s="2"/>
      <c r="H768" s="2"/>
      <c r="I768" s="5"/>
    </row>
    <row r="769" spans="1:9" ht="17.399999999999999" x14ac:dyDescent="0.25">
      <c r="A769" s="16"/>
      <c r="B769" s="17"/>
      <c r="C769" s="2"/>
      <c r="D769" s="2"/>
      <c r="E769" s="2"/>
      <c r="F769" s="2"/>
      <c r="G769" s="2"/>
      <c r="H769" s="2"/>
      <c r="I769" s="5"/>
    </row>
    <row r="770" spans="1:9" ht="17.399999999999999" x14ac:dyDescent="0.25">
      <c r="A770" s="16"/>
      <c r="B770" s="17"/>
      <c r="C770" s="2"/>
      <c r="D770" s="2"/>
      <c r="E770" s="2"/>
      <c r="F770" s="2"/>
      <c r="G770" s="2"/>
      <c r="H770" s="2"/>
      <c r="I770" s="5"/>
    </row>
    <row r="771" spans="1:9" ht="17.399999999999999" x14ac:dyDescent="0.25">
      <c r="A771" s="16"/>
      <c r="B771" s="17"/>
      <c r="C771" s="2"/>
      <c r="D771" s="2"/>
      <c r="E771" s="2"/>
      <c r="F771" s="2"/>
      <c r="G771" s="2"/>
      <c r="H771" s="2"/>
      <c r="I771" s="5"/>
    </row>
    <row r="772" spans="1:9" ht="17.399999999999999" x14ac:dyDescent="0.25">
      <c r="A772" s="16"/>
      <c r="B772" s="17"/>
      <c r="C772" s="2"/>
      <c r="D772" s="2"/>
      <c r="E772" s="2"/>
      <c r="F772" s="2"/>
      <c r="G772" s="2"/>
      <c r="H772" s="2"/>
      <c r="I772" s="5"/>
    </row>
    <row r="773" spans="1:9" ht="17.399999999999999" x14ac:dyDescent="0.25">
      <c r="A773" s="16"/>
      <c r="B773" s="17"/>
      <c r="C773" s="2"/>
      <c r="D773" s="2"/>
      <c r="E773" s="2"/>
      <c r="F773" s="2"/>
      <c r="G773" s="2"/>
      <c r="H773" s="2"/>
      <c r="I773" s="5"/>
    </row>
    <row r="774" spans="1:9" ht="17.399999999999999" x14ac:dyDescent="0.25">
      <c r="A774" s="16"/>
      <c r="B774" s="17"/>
      <c r="C774" s="2"/>
      <c r="D774" s="2"/>
      <c r="E774" s="2"/>
      <c r="F774" s="2"/>
      <c r="G774" s="2"/>
      <c r="H774" s="2"/>
      <c r="I774" s="5"/>
    </row>
    <row r="775" spans="1:9" ht="17.399999999999999" x14ac:dyDescent="0.25">
      <c r="A775" s="16"/>
      <c r="B775" s="17"/>
      <c r="C775" s="2"/>
      <c r="D775" s="2"/>
      <c r="E775" s="2"/>
      <c r="F775" s="2"/>
      <c r="G775" s="2"/>
      <c r="H775" s="2"/>
      <c r="I775" s="5"/>
    </row>
    <row r="776" spans="1:9" ht="17.399999999999999" x14ac:dyDescent="0.25">
      <c r="A776" s="16"/>
      <c r="B776" s="17"/>
      <c r="C776" s="2"/>
      <c r="D776" s="2"/>
      <c r="E776" s="2"/>
      <c r="F776" s="2"/>
      <c r="G776" s="2"/>
      <c r="H776" s="2"/>
      <c r="I776" s="5"/>
    </row>
    <row r="777" spans="1:9" ht="17.399999999999999" x14ac:dyDescent="0.25">
      <c r="A777" s="16"/>
      <c r="B777" s="17"/>
      <c r="C777" s="2"/>
      <c r="D777" s="2"/>
      <c r="E777" s="2"/>
      <c r="F777" s="2"/>
      <c r="G777" s="2"/>
      <c r="H777" s="2"/>
      <c r="I777" s="5"/>
    </row>
    <row r="778" spans="1:9" ht="17.399999999999999" x14ac:dyDescent="0.25">
      <c r="A778" s="16"/>
      <c r="B778" s="17"/>
      <c r="C778" s="2"/>
      <c r="D778" s="2"/>
      <c r="E778" s="2"/>
      <c r="F778" s="2"/>
      <c r="G778" s="2"/>
      <c r="H778" s="2"/>
      <c r="I778" s="5"/>
    </row>
    <row r="779" spans="1:9" ht="17.399999999999999" x14ac:dyDescent="0.25">
      <c r="A779" s="16"/>
      <c r="B779" s="17"/>
      <c r="C779" s="2"/>
      <c r="D779" s="2"/>
      <c r="E779" s="2"/>
      <c r="F779" s="2"/>
      <c r="G779" s="2"/>
      <c r="H779" s="2"/>
      <c r="I779" s="5"/>
    </row>
    <row r="780" spans="1:9" ht="17.399999999999999" x14ac:dyDescent="0.25">
      <c r="A780" s="16"/>
      <c r="B780" s="17"/>
      <c r="C780" s="2"/>
      <c r="D780" s="2"/>
      <c r="E780" s="2"/>
      <c r="F780" s="2"/>
      <c r="G780" s="2"/>
      <c r="H780" s="2"/>
      <c r="I780" s="5"/>
    </row>
    <row r="781" spans="1:9" ht="17.399999999999999" x14ac:dyDescent="0.25">
      <c r="A781" s="16"/>
      <c r="B781" s="17"/>
      <c r="C781" s="2"/>
      <c r="D781" s="2"/>
      <c r="E781" s="2"/>
      <c r="F781" s="2"/>
      <c r="G781" s="2"/>
      <c r="H781" s="2"/>
      <c r="I781" s="5"/>
    </row>
    <row r="782" spans="1:9" ht="17.399999999999999" x14ac:dyDescent="0.25">
      <c r="A782" s="16"/>
      <c r="B782" s="17"/>
      <c r="C782" s="2"/>
      <c r="D782" s="2"/>
      <c r="E782" s="2"/>
      <c r="F782" s="2"/>
      <c r="G782" s="2"/>
      <c r="H782" s="2"/>
      <c r="I782" s="5"/>
    </row>
    <row r="783" spans="1:9" ht="17.399999999999999" x14ac:dyDescent="0.25">
      <c r="A783" s="16"/>
      <c r="B783" s="17"/>
      <c r="C783" s="2"/>
      <c r="D783" s="2"/>
      <c r="E783" s="2"/>
      <c r="F783" s="2"/>
      <c r="G783" s="2"/>
      <c r="H783" s="2"/>
      <c r="I783" s="5"/>
    </row>
    <row r="784" spans="1:9" ht="17.399999999999999" x14ac:dyDescent="0.25">
      <c r="A784" s="16"/>
      <c r="B784" s="17"/>
      <c r="C784" s="2"/>
      <c r="D784" s="2"/>
      <c r="E784" s="2"/>
      <c r="F784" s="2"/>
      <c r="G784" s="2"/>
      <c r="H784" s="2"/>
      <c r="I784" s="5"/>
    </row>
    <row r="785" spans="1:9" ht="17.399999999999999" x14ac:dyDescent="0.25">
      <c r="A785" s="16"/>
      <c r="B785" s="17"/>
      <c r="C785" s="2"/>
      <c r="D785" s="2"/>
      <c r="E785" s="2"/>
      <c r="F785" s="2"/>
      <c r="G785" s="2"/>
      <c r="H785" s="2"/>
      <c r="I785" s="5"/>
    </row>
    <row r="786" spans="1:9" ht="17.399999999999999" x14ac:dyDescent="0.25">
      <c r="A786" s="16"/>
      <c r="B786" s="17"/>
      <c r="C786" s="2"/>
      <c r="D786" s="2"/>
      <c r="E786" s="2"/>
      <c r="F786" s="2"/>
      <c r="G786" s="2"/>
      <c r="H786" s="2"/>
      <c r="I786" s="5"/>
    </row>
    <row r="787" spans="1:9" ht="17.399999999999999" x14ac:dyDescent="0.25">
      <c r="A787" s="16"/>
      <c r="B787" s="17"/>
      <c r="C787" s="2"/>
      <c r="D787" s="2"/>
      <c r="E787" s="2"/>
      <c r="F787" s="2"/>
      <c r="G787" s="2"/>
      <c r="H787" s="2"/>
      <c r="I787" s="5"/>
    </row>
    <row r="788" spans="1:9" ht="17.399999999999999" x14ac:dyDescent="0.25">
      <c r="A788" s="16"/>
      <c r="B788" s="17"/>
      <c r="C788" s="2"/>
      <c r="D788" s="2"/>
      <c r="E788" s="2"/>
      <c r="F788" s="2"/>
      <c r="G788" s="2"/>
      <c r="H788" s="2"/>
      <c r="I788" s="5"/>
    </row>
    <row r="789" spans="1:9" ht="17.399999999999999" x14ac:dyDescent="0.25">
      <c r="A789" s="16"/>
      <c r="B789" s="17"/>
      <c r="C789" s="2"/>
      <c r="D789" s="2"/>
      <c r="E789" s="2"/>
      <c r="F789" s="2"/>
      <c r="G789" s="2"/>
      <c r="H789" s="2"/>
      <c r="I789" s="5"/>
    </row>
    <row r="790" spans="1:9" ht="17.399999999999999" x14ac:dyDescent="0.25">
      <c r="A790" s="16"/>
      <c r="B790" s="17"/>
      <c r="C790" s="2"/>
      <c r="D790" s="2"/>
      <c r="E790" s="2"/>
      <c r="F790" s="2"/>
      <c r="G790" s="2"/>
      <c r="H790" s="2"/>
      <c r="I790" s="5"/>
    </row>
    <row r="791" spans="1:9" ht="17.399999999999999" x14ac:dyDescent="0.25">
      <c r="A791" s="16"/>
      <c r="B791" s="17"/>
      <c r="C791" s="2"/>
      <c r="D791" s="2"/>
      <c r="E791" s="2"/>
      <c r="F791" s="2"/>
      <c r="G791" s="2"/>
      <c r="H791" s="2"/>
      <c r="I791" s="5"/>
    </row>
    <row r="792" spans="1:9" ht="17.399999999999999" x14ac:dyDescent="0.25">
      <c r="A792" s="16"/>
      <c r="B792" s="17"/>
      <c r="C792" s="2"/>
      <c r="D792" s="2"/>
      <c r="E792" s="2"/>
      <c r="F792" s="2"/>
      <c r="G792" s="2"/>
      <c r="H792" s="2"/>
      <c r="I792" s="5"/>
    </row>
    <row r="793" spans="1:9" ht="17.399999999999999" x14ac:dyDescent="0.25">
      <c r="A793" s="16"/>
      <c r="B793" s="17"/>
      <c r="C793" s="2"/>
      <c r="D793" s="2"/>
      <c r="E793" s="2"/>
      <c r="F793" s="2"/>
      <c r="G793" s="2"/>
      <c r="H793" s="2"/>
      <c r="I793" s="5"/>
    </row>
    <row r="794" spans="1:9" ht="17.399999999999999" x14ac:dyDescent="0.25">
      <c r="A794" s="16"/>
      <c r="B794" s="17"/>
      <c r="C794" s="2"/>
      <c r="D794" s="2"/>
      <c r="E794" s="2"/>
      <c r="F794" s="2"/>
      <c r="G794" s="2"/>
      <c r="H794" s="2"/>
      <c r="I794" s="5"/>
    </row>
    <row r="795" spans="1:9" ht="17.399999999999999" x14ac:dyDescent="0.25">
      <c r="A795" s="16"/>
      <c r="B795" s="17"/>
      <c r="C795" s="2"/>
      <c r="D795" s="2"/>
      <c r="E795" s="2"/>
      <c r="F795" s="2"/>
      <c r="G795" s="2"/>
      <c r="H795" s="2"/>
      <c r="I795" s="5"/>
    </row>
    <row r="796" spans="1:9" ht="17.399999999999999" x14ac:dyDescent="0.25">
      <c r="A796" s="16"/>
      <c r="B796" s="17"/>
      <c r="C796" s="2"/>
      <c r="D796" s="2"/>
      <c r="E796" s="2"/>
      <c r="F796" s="2"/>
      <c r="G796" s="2"/>
      <c r="H796" s="2"/>
      <c r="I796" s="5"/>
    </row>
    <row r="797" spans="1:9" ht="17.399999999999999" x14ac:dyDescent="0.25">
      <c r="A797" s="16"/>
      <c r="B797" s="17"/>
      <c r="C797" s="2"/>
      <c r="D797" s="2"/>
      <c r="E797" s="2"/>
      <c r="F797" s="2"/>
      <c r="G797" s="2"/>
      <c r="H797" s="2"/>
      <c r="I797" s="5"/>
    </row>
    <row r="798" spans="1:9" ht="17.399999999999999" x14ac:dyDescent="0.25">
      <c r="A798" s="16"/>
      <c r="B798" s="17"/>
      <c r="C798" s="2"/>
      <c r="D798" s="2"/>
      <c r="E798" s="2"/>
      <c r="F798" s="2"/>
      <c r="G798" s="2"/>
      <c r="H798" s="2"/>
      <c r="I798" s="5"/>
    </row>
    <row r="799" spans="1:9" ht="17.399999999999999" x14ac:dyDescent="0.25">
      <c r="A799" s="16"/>
      <c r="B799" s="17"/>
      <c r="C799" s="2"/>
      <c r="D799" s="2"/>
      <c r="E799" s="2"/>
      <c r="F799" s="2"/>
      <c r="G799" s="2"/>
      <c r="H799" s="2"/>
      <c r="I799" s="5"/>
    </row>
    <row r="800" spans="1:9" ht="17.399999999999999" x14ac:dyDescent="0.25">
      <c r="A800" s="16"/>
      <c r="B800" s="17"/>
      <c r="C800" s="2"/>
      <c r="D800" s="2"/>
      <c r="E800" s="2"/>
      <c r="F800" s="2"/>
      <c r="G800" s="2"/>
      <c r="H800" s="2"/>
      <c r="I800" s="5"/>
    </row>
    <row r="801" spans="1:9" ht="17.399999999999999" x14ac:dyDescent="0.25">
      <c r="A801" s="16"/>
      <c r="B801" s="17"/>
      <c r="C801" s="2"/>
      <c r="D801" s="2"/>
      <c r="E801" s="2"/>
      <c r="F801" s="2"/>
      <c r="G801" s="2"/>
      <c r="H801" s="2"/>
      <c r="I801" s="5"/>
    </row>
    <row r="802" spans="1:9" ht="17.399999999999999" x14ac:dyDescent="0.25">
      <c r="A802" s="16"/>
      <c r="B802" s="17"/>
      <c r="C802" s="2"/>
      <c r="D802" s="2"/>
      <c r="E802" s="2"/>
      <c r="F802" s="2"/>
      <c r="G802" s="2"/>
      <c r="H802" s="2"/>
      <c r="I802" s="5"/>
    </row>
    <row r="803" spans="1:9" ht="17.399999999999999" x14ac:dyDescent="0.25">
      <c r="A803" s="16"/>
      <c r="B803" s="17"/>
      <c r="C803" s="2"/>
      <c r="D803" s="2"/>
      <c r="E803" s="2"/>
      <c r="F803" s="2"/>
      <c r="G803" s="2"/>
      <c r="H803" s="2"/>
      <c r="I803" s="5"/>
    </row>
    <row r="804" spans="1:9" ht="17.399999999999999" x14ac:dyDescent="0.25">
      <c r="A804" s="16"/>
      <c r="B804" s="17"/>
      <c r="C804" s="2"/>
      <c r="D804" s="2"/>
      <c r="E804" s="2"/>
      <c r="F804" s="2"/>
      <c r="G804" s="2"/>
      <c r="H804" s="2"/>
      <c r="I804" s="5"/>
    </row>
    <row r="805" spans="1:9" ht="17.399999999999999" x14ac:dyDescent="0.25">
      <c r="A805" s="16"/>
      <c r="B805" s="17"/>
      <c r="C805" s="2"/>
      <c r="D805" s="2"/>
      <c r="E805" s="2"/>
      <c r="F805" s="2"/>
      <c r="G805" s="2"/>
      <c r="H805" s="2"/>
      <c r="I805" s="5"/>
    </row>
    <row r="806" spans="1:9" ht="17.399999999999999" x14ac:dyDescent="0.25">
      <c r="A806" s="16"/>
      <c r="B806" s="17"/>
      <c r="C806" s="2"/>
      <c r="D806" s="2"/>
      <c r="E806" s="2"/>
      <c r="F806" s="2"/>
      <c r="G806" s="2"/>
      <c r="H806" s="2"/>
      <c r="I806" s="5"/>
    </row>
    <row r="807" spans="1:9" ht="17.399999999999999" x14ac:dyDescent="0.25">
      <c r="A807" s="16"/>
      <c r="B807" s="17"/>
      <c r="C807" s="2"/>
      <c r="D807" s="2"/>
      <c r="E807" s="2"/>
      <c r="F807" s="2"/>
      <c r="G807" s="2"/>
      <c r="H807" s="2"/>
      <c r="I807" s="5"/>
    </row>
    <row r="808" spans="1:9" ht="17.399999999999999" x14ac:dyDescent="0.25">
      <c r="A808" s="16"/>
      <c r="B808" s="17"/>
      <c r="C808" s="2"/>
      <c r="D808" s="2"/>
      <c r="E808" s="2"/>
      <c r="F808" s="2"/>
      <c r="G808" s="2"/>
      <c r="H808" s="2"/>
      <c r="I808" s="5"/>
    </row>
    <row r="809" spans="1:9" ht="17.399999999999999" x14ac:dyDescent="0.25">
      <c r="A809" s="16"/>
      <c r="B809" s="17"/>
      <c r="C809" s="2"/>
      <c r="D809" s="2"/>
      <c r="E809" s="2"/>
      <c r="F809" s="2"/>
      <c r="G809" s="2"/>
      <c r="H809" s="2"/>
      <c r="I809" s="5"/>
    </row>
    <row r="810" spans="1:9" ht="17.399999999999999" x14ac:dyDescent="0.25">
      <c r="A810" s="16"/>
      <c r="B810" s="17"/>
      <c r="C810" s="2"/>
      <c r="D810" s="2"/>
      <c r="E810" s="2"/>
      <c r="F810" s="2"/>
      <c r="G810" s="2"/>
      <c r="H810" s="2"/>
      <c r="I810" s="5"/>
    </row>
    <row r="811" spans="1:9" ht="17.399999999999999" x14ac:dyDescent="0.25">
      <c r="A811" s="16"/>
      <c r="B811" s="17"/>
      <c r="C811" s="2"/>
      <c r="D811" s="2"/>
      <c r="E811" s="2"/>
      <c r="F811" s="2"/>
      <c r="G811" s="2"/>
      <c r="H811" s="2"/>
      <c r="I811" s="5"/>
    </row>
    <row r="812" spans="1:9" ht="17.399999999999999" x14ac:dyDescent="0.25">
      <c r="A812" s="16"/>
      <c r="B812" s="17"/>
      <c r="C812" s="2"/>
      <c r="D812" s="2"/>
      <c r="E812" s="2"/>
      <c r="F812" s="2"/>
      <c r="G812" s="2"/>
      <c r="H812" s="2"/>
      <c r="I812" s="5"/>
    </row>
    <row r="813" spans="1:9" ht="17.399999999999999" x14ac:dyDescent="0.25">
      <c r="A813" s="16"/>
      <c r="B813" s="17"/>
      <c r="C813" s="2"/>
      <c r="D813" s="2"/>
      <c r="E813" s="2"/>
      <c r="F813" s="2"/>
      <c r="G813" s="2"/>
      <c r="H813" s="2"/>
      <c r="I813" s="5"/>
    </row>
    <row r="814" spans="1:9" ht="17.399999999999999" x14ac:dyDescent="0.25">
      <c r="A814" s="16"/>
      <c r="B814" s="17"/>
      <c r="C814" s="2"/>
      <c r="D814" s="2"/>
      <c r="E814" s="2"/>
      <c r="F814" s="2"/>
      <c r="G814" s="2"/>
      <c r="H814" s="2"/>
      <c r="I814" s="5"/>
    </row>
    <row r="815" spans="1:9" ht="17.399999999999999" x14ac:dyDescent="0.25">
      <c r="A815" s="16"/>
      <c r="B815" s="17"/>
      <c r="C815" s="2"/>
      <c r="D815" s="2"/>
      <c r="E815" s="2"/>
      <c r="F815" s="2"/>
      <c r="G815" s="2"/>
      <c r="H815" s="2"/>
      <c r="I815" s="5"/>
    </row>
    <row r="816" spans="1:9" ht="17.399999999999999" x14ac:dyDescent="0.25">
      <c r="A816" s="16"/>
      <c r="B816" s="17"/>
      <c r="C816" s="2"/>
      <c r="D816" s="2"/>
      <c r="E816" s="2"/>
      <c r="F816" s="2"/>
      <c r="G816" s="2"/>
      <c r="H816" s="2"/>
      <c r="I816" s="5"/>
    </row>
    <row r="817" spans="1:9" ht="17.399999999999999" x14ac:dyDescent="0.25">
      <c r="A817" s="16"/>
      <c r="B817" s="17"/>
      <c r="C817" s="2"/>
      <c r="D817" s="2"/>
      <c r="E817" s="2"/>
      <c r="F817" s="2"/>
      <c r="G817" s="2"/>
      <c r="H817" s="2"/>
      <c r="I817" s="5"/>
    </row>
    <row r="818" spans="1:9" ht="17.399999999999999" x14ac:dyDescent="0.25">
      <c r="A818" s="16"/>
      <c r="B818" s="17"/>
      <c r="C818" s="2"/>
      <c r="D818" s="2"/>
      <c r="E818" s="2"/>
      <c r="F818" s="2"/>
      <c r="G818" s="2"/>
      <c r="H818" s="2"/>
      <c r="I818" s="5"/>
    </row>
    <row r="819" spans="1:9" ht="17.399999999999999" x14ac:dyDescent="0.25">
      <c r="A819" s="16"/>
      <c r="B819" s="17"/>
      <c r="C819" s="2"/>
      <c r="D819" s="2"/>
      <c r="E819" s="2"/>
      <c r="F819" s="2"/>
      <c r="G819" s="2"/>
      <c r="H819" s="2"/>
      <c r="I819" s="5"/>
    </row>
    <row r="820" spans="1:9" ht="17.399999999999999" x14ac:dyDescent="0.25">
      <c r="A820" s="16"/>
      <c r="B820" s="17"/>
      <c r="C820" s="2"/>
      <c r="D820" s="2"/>
      <c r="E820" s="2"/>
      <c r="F820" s="2"/>
      <c r="G820" s="2"/>
      <c r="H820" s="2"/>
      <c r="I820" s="5"/>
    </row>
    <row r="821" spans="1:9" ht="17.399999999999999" x14ac:dyDescent="0.25">
      <c r="A821" s="16"/>
      <c r="B821" s="17"/>
      <c r="C821" s="2"/>
      <c r="D821" s="2"/>
      <c r="E821" s="2"/>
      <c r="F821" s="2"/>
      <c r="G821" s="2"/>
      <c r="H821" s="2"/>
      <c r="I821" s="5"/>
    </row>
    <row r="822" spans="1:9" ht="17.399999999999999" x14ac:dyDescent="0.25">
      <c r="A822" s="16"/>
      <c r="B822" s="17"/>
      <c r="C822" s="2"/>
      <c r="D822" s="2"/>
      <c r="E822" s="2"/>
      <c r="F822" s="2"/>
      <c r="G822" s="2"/>
      <c r="H822" s="2"/>
      <c r="I822" s="5"/>
    </row>
    <row r="823" spans="1:9" ht="17.399999999999999" x14ac:dyDescent="0.25">
      <c r="A823" s="16"/>
      <c r="B823" s="17"/>
      <c r="C823" s="2"/>
      <c r="D823" s="2"/>
      <c r="E823" s="2"/>
      <c r="F823" s="2"/>
      <c r="G823" s="2"/>
      <c r="H823" s="2"/>
      <c r="I823" s="5"/>
    </row>
    <row r="824" spans="1:9" ht="17.399999999999999" x14ac:dyDescent="0.25">
      <c r="A824" s="16"/>
      <c r="B824" s="17"/>
      <c r="C824" s="2"/>
      <c r="D824" s="2"/>
      <c r="E824" s="2"/>
      <c r="F824" s="2"/>
      <c r="G824" s="2"/>
      <c r="H824" s="2"/>
      <c r="I824" s="5"/>
    </row>
    <row r="825" spans="1:9" ht="17.399999999999999" x14ac:dyDescent="0.25">
      <c r="A825" s="16"/>
      <c r="B825" s="17"/>
      <c r="C825" s="2"/>
      <c r="D825" s="2"/>
      <c r="E825" s="2"/>
      <c r="F825" s="2"/>
      <c r="G825" s="2"/>
      <c r="H825" s="2"/>
      <c r="I825" s="5"/>
    </row>
    <row r="826" spans="1:9" ht="17.399999999999999" x14ac:dyDescent="0.25">
      <c r="A826" s="16"/>
      <c r="B826" s="17"/>
      <c r="C826" s="2"/>
      <c r="D826" s="2"/>
      <c r="E826" s="2"/>
      <c r="F826" s="2"/>
      <c r="G826" s="2"/>
      <c r="H826" s="2"/>
      <c r="I826" s="5"/>
    </row>
    <row r="827" spans="1:9" ht="17.399999999999999" x14ac:dyDescent="0.25">
      <c r="A827" s="16"/>
      <c r="B827" s="17"/>
      <c r="C827" s="2"/>
      <c r="D827" s="2"/>
      <c r="E827" s="2"/>
      <c r="F827" s="2"/>
      <c r="G827" s="2"/>
      <c r="H827" s="2"/>
      <c r="I827" s="5"/>
    </row>
    <row r="828" spans="1:9" ht="17.399999999999999" x14ac:dyDescent="0.25">
      <c r="A828" s="16"/>
      <c r="B828" s="17"/>
      <c r="C828" s="2"/>
      <c r="D828" s="2"/>
      <c r="E828" s="2"/>
      <c r="F828" s="2"/>
      <c r="G828" s="2"/>
      <c r="H828" s="2"/>
      <c r="I828" s="5"/>
    </row>
    <row r="829" spans="1:9" ht="17.399999999999999" x14ac:dyDescent="0.25">
      <c r="A829" s="16"/>
      <c r="B829" s="17"/>
      <c r="C829" s="2"/>
      <c r="D829" s="2"/>
      <c r="E829" s="2"/>
      <c r="F829" s="2"/>
      <c r="G829" s="2"/>
      <c r="H829" s="2"/>
      <c r="I829" s="5"/>
    </row>
    <row r="830" spans="1:9" ht="17.399999999999999" x14ac:dyDescent="0.25">
      <c r="A830" s="16"/>
      <c r="B830" s="17"/>
      <c r="C830" s="2"/>
      <c r="D830" s="2"/>
      <c r="E830" s="2"/>
      <c r="F830" s="2"/>
      <c r="G830" s="2"/>
      <c r="H830" s="2"/>
      <c r="I830" s="5"/>
    </row>
    <row r="831" spans="1:9" ht="17.399999999999999" x14ac:dyDescent="0.25">
      <c r="A831" s="16"/>
      <c r="B831" s="17"/>
      <c r="C831" s="2"/>
      <c r="D831" s="2"/>
      <c r="E831" s="2"/>
      <c r="F831" s="2"/>
      <c r="G831" s="2"/>
      <c r="H831" s="2"/>
      <c r="I831" s="5"/>
    </row>
    <row r="832" spans="1:9" ht="17.399999999999999" x14ac:dyDescent="0.25">
      <c r="A832" s="16"/>
      <c r="B832" s="17"/>
      <c r="C832" s="2"/>
      <c r="D832" s="2"/>
      <c r="E832" s="2"/>
      <c r="F832" s="2"/>
      <c r="G832" s="2"/>
      <c r="H832" s="2"/>
      <c r="I832" s="5"/>
    </row>
    <row r="833" spans="1:9" ht="17.399999999999999" x14ac:dyDescent="0.25">
      <c r="A833" s="16"/>
      <c r="B833" s="17"/>
      <c r="C833" s="2"/>
      <c r="D833" s="2"/>
      <c r="E833" s="2"/>
      <c r="F833" s="2"/>
      <c r="G833" s="2"/>
      <c r="H833" s="2"/>
      <c r="I833" s="5"/>
    </row>
    <row r="834" spans="1:9" ht="17.399999999999999" x14ac:dyDescent="0.25">
      <c r="A834" s="16"/>
      <c r="B834" s="17"/>
      <c r="C834" s="2"/>
      <c r="D834" s="2"/>
      <c r="E834" s="2"/>
      <c r="F834" s="2"/>
      <c r="G834" s="2"/>
      <c r="H834" s="2"/>
      <c r="I834" s="5"/>
    </row>
    <row r="835" spans="1:9" ht="17.399999999999999" x14ac:dyDescent="0.25">
      <c r="A835" s="16"/>
      <c r="B835" s="17"/>
      <c r="C835" s="2"/>
      <c r="D835" s="2"/>
      <c r="E835" s="2"/>
      <c r="F835" s="2"/>
      <c r="G835" s="2"/>
      <c r="H835" s="2"/>
      <c r="I835" s="5"/>
    </row>
    <row r="836" spans="1:9" ht="17.399999999999999" x14ac:dyDescent="0.25">
      <c r="A836" s="16"/>
      <c r="B836" s="17"/>
      <c r="C836" s="2"/>
      <c r="D836" s="2"/>
      <c r="E836" s="2"/>
      <c r="F836" s="2"/>
      <c r="G836" s="2"/>
      <c r="H836" s="2"/>
      <c r="I836" s="5"/>
    </row>
    <row r="837" spans="1:9" ht="17.399999999999999" x14ac:dyDescent="0.25">
      <c r="A837" s="16"/>
      <c r="B837" s="17"/>
      <c r="C837" s="2"/>
      <c r="D837" s="2"/>
      <c r="E837" s="2"/>
      <c r="F837" s="2"/>
      <c r="G837" s="2"/>
      <c r="H837" s="2"/>
      <c r="I837" s="5"/>
    </row>
    <row r="838" spans="1:9" ht="17.399999999999999" x14ac:dyDescent="0.25">
      <c r="A838" s="16"/>
      <c r="B838" s="17"/>
      <c r="C838" s="2"/>
      <c r="D838" s="2"/>
      <c r="E838" s="2"/>
      <c r="F838" s="2"/>
      <c r="G838" s="2"/>
      <c r="H838" s="2"/>
      <c r="I838" s="5"/>
    </row>
    <row r="839" spans="1:9" ht="17.399999999999999" x14ac:dyDescent="0.25">
      <c r="A839" s="16"/>
      <c r="B839" s="17"/>
      <c r="C839" s="2"/>
      <c r="D839" s="2"/>
      <c r="E839" s="2"/>
      <c r="F839" s="2"/>
      <c r="G839" s="2"/>
      <c r="H839" s="2"/>
      <c r="I839" s="5"/>
    </row>
    <row r="840" spans="1:9" ht="17.399999999999999" x14ac:dyDescent="0.25">
      <c r="A840" s="16"/>
      <c r="B840" s="17"/>
      <c r="C840" s="2"/>
      <c r="D840" s="2"/>
      <c r="E840" s="2"/>
      <c r="F840" s="2"/>
      <c r="G840" s="2"/>
      <c r="H840" s="2"/>
      <c r="I840" s="5"/>
    </row>
    <row r="841" spans="1:9" ht="17.399999999999999" x14ac:dyDescent="0.25">
      <c r="A841" s="16"/>
      <c r="B841" s="17"/>
      <c r="C841" s="2"/>
      <c r="D841" s="2"/>
      <c r="E841" s="2"/>
      <c r="F841" s="2"/>
      <c r="G841" s="2"/>
      <c r="H841" s="2"/>
      <c r="I841" s="5"/>
    </row>
    <row r="842" spans="1:9" ht="17.399999999999999" x14ac:dyDescent="0.25">
      <c r="A842" s="16"/>
      <c r="B842" s="17"/>
      <c r="C842" s="2"/>
      <c r="D842" s="2"/>
      <c r="E842" s="2"/>
      <c r="F842" s="2"/>
      <c r="G842" s="2"/>
      <c r="H842" s="2"/>
      <c r="I842" s="5"/>
    </row>
    <row r="843" spans="1:9" ht="17.399999999999999" x14ac:dyDescent="0.25">
      <c r="A843" s="16"/>
      <c r="B843" s="17"/>
      <c r="C843" s="2"/>
      <c r="D843" s="2"/>
      <c r="E843" s="2"/>
      <c r="F843" s="2"/>
      <c r="G843" s="2"/>
      <c r="H843" s="2"/>
      <c r="I843" s="5"/>
    </row>
    <row r="844" spans="1:9" ht="17.399999999999999" x14ac:dyDescent="0.25">
      <c r="A844" s="16"/>
      <c r="B844" s="17"/>
      <c r="C844" s="2"/>
      <c r="D844" s="2"/>
      <c r="E844" s="2"/>
      <c r="F844" s="2"/>
      <c r="G844" s="2"/>
      <c r="H844" s="2"/>
      <c r="I844" s="5"/>
    </row>
    <row r="845" spans="1:9" ht="17.399999999999999" x14ac:dyDescent="0.25">
      <c r="A845" s="16"/>
      <c r="B845" s="17"/>
      <c r="C845" s="2"/>
      <c r="D845" s="2"/>
      <c r="E845" s="2"/>
      <c r="F845" s="2"/>
      <c r="G845" s="2"/>
      <c r="H845" s="2"/>
      <c r="I845" s="5"/>
    </row>
    <row r="846" spans="1:9" ht="17.399999999999999" x14ac:dyDescent="0.25">
      <c r="A846" s="16"/>
      <c r="B846" s="17"/>
      <c r="C846" s="2"/>
      <c r="D846" s="2"/>
      <c r="E846" s="2"/>
      <c r="F846" s="2"/>
      <c r="G846" s="2"/>
      <c r="H846" s="2"/>
      <c r="I846" s="5"/>
    </row>
    <row r="847" spans="1:9" ht="17.399999999999999" x14ac:dyDescent="0.25">
      <c r="A847" s="16"/>
      <c r="B847" s="17"/>
      <c r="C847" s="2"/>
      <c r="D847" s="2"/>
      <c r="E847" s="2"/>
      <c r="F847" s="2"/>
      <c r="G847" s="2"/>
      <c r="H847" s="2"/>
      <c r="I847" s="5"/>
    </row>
    <row r="848" spans="1:9" ht="17.399999999999999" x14ac:dyDescent="0.25">
      <c r="A848" s="16"/>
      <c r="B848" s="17"/>
      <c r="C848" s="2"/>
      <c r="D848" s="2"/>
      <c r="E848" s="2"/>
      <c r="F848" s="2"/>
      <c r="G848" s="2"/>
      <c r="H848" s="2"/>
      <c r="I848" s="5"/>
    </row>
    <row r="849" spans="1:9" ht="17.399999999999999" x14ac:dyDescent="0.25">
      <c r="A849" s="16"/>
      <c r="B849" s="17"/>
      <c r="C849" s="2"/>
      <c r="D849" s="2"/>
      <c r="E849" s="2"/>
      <c r="F849" s="2"/>
      <c r="G849" s="2"/>
      <c r="H849" s="2"/>
      <c r="I849" s="5"/>
    </row>
    <row r="850" spans="1:9" ht="17.399999999999999" x14ac:dyDescent="0.25">
      <c r="A850" s="16"/>
      <c r="B850" s="17"/>
      <c r="C850" s="2"/>
      <c r="D850" s="2"/>
      <c r="E850" s="2"/>
      <c r="F850" s="2"/>
      <c r="G850" s="2"/>
      <c r="H850" s="2"/>
      <c r="I850" s="5"/>
    </row>
    <row r="851" spans="1:9" ht="17.399999999999999" x14ac:dyDescent="0.25">
      <c r="A851" s="16"/>
      <c r="B851" s="17"/>
      <c r="C851" s="2"/>
      <c r="D851" s="2"/>
      <c r="E851" s="2"/>
      <c r="F851" s="2"/>
      <c r="G851" s="2"/>
      <c r="H851" s="2"/>
      <c r="I851" s="5"/>
    </row>
    <row r="852" spans="1:9" ht="17.399999999999999" x14ac:dyDescent="0.25">
      <c r="A852" s="16"/>
      <c r="B852" s="17"/>
      <c r="C852" s="2"/>
      <c r="D852" s="2"/>
      <c r="E852" s="2"/>
      <c r="F852" s="2"/>
      <c r="G852" s="2"/>
      <c r="H852" s="2"/>
      <c r="I852" s="5"/>
    </row>
    <row r="853" spans="1:9" ht="17.399999999999999" x14ac:dyDescent="0.25">
      <c r="A853" s="16"/>
      <c r="B853" s="17"/>
      <c r="C853" s="2"/>
      <c r="D853" s="2"/>
      <c r="E853" s="2"/>
      <c r="F853" s="2"/>
      <c r="G853" s="2"/>
      <c r="H853" s="2"/>
      <c r="I853" s="5"/>
    </row>
    <row r="854" spans="1:9" ht="17.399999999999999" x14ac:dyDescent="0.25">
      <c r="A854" s="16"/>
      <c r="B854" s="17"/>
      <c r="C854" s="2"/>
      <c r="D854" s="2"/>
      <c r="E854" s="2"/>
      <c r="F854" s="2"/>
      <c r="G854" s="2"/>
      <c r="H854" s="2"/>
      <c r="I854" s="5"/>
    </row>
    <row r="855" spans="1:9" ht="17.399999999999999" x14ac:dyDescent="0.25">
      <c r="A855" s="16"/>
      <c r="B855" s="17"/>
      <c r="C855" s="2"/>
      <c r="D855" s="2"/>
      <c r="E855" s="2"/>
      <c r="F855" s="2"/>
      <c r="G855" s="2"/>
      <c r="H855" s="2"/>
      <c r="I855" s="5"/>
    </row>
    <row r="856" spans="1:9" ht="17.399999999999999" x14ac:dyDescent="0.25">
      <c r="A856" s="16"/>
      <c r="B856" s="17"/>
      <c r="C856" s="2"/>
      <c r="D856" s="2"/>
      <c r="E856" s="2"/>
      <c r="F856" s="2"/>
      <c r="G856" s="2"/>
      <c r="H856" s="2"/>
      <c r="I856" s="5"/>
    </row>
    <row r="857" spans="1:9" ht="17.399999999999999" x14ac:dyDescent="0.25">
      <c r="A857" s="16"/>
      <c r="B857" s="17"/>
      <c r="C857" s="2"/>
      <c r="D857" s="2"/>
      <c r="E857" s="2"/>
      <c r="F857" s="2"/>
      <c r="G857" s="2"/>
      <c r="H857" s="2"/>
      <c r="I857" s="5"/>
    </row>
    <row r="858" spans="1:9" ht="17.399999999999999" x14ac:dyDescent="0.25">
      <c r="A858" s="16"/>
      <c r="B858" s="17"/>
      <c r="C858" s="2"/>
      <c r="D858" s="2"/>
      <c r="E858" s="2"/>
      <c r="F858" s="2"/>
      <c r="G858" s="2"/>
      <c r="H858" s="2"/>
      <c r="I858" s="5"/>
    </row>
    <row r="859" spans="1:9" ht="17.399999999999999" x14ac:dyDescent="0.25">
      <c r="A859" s="16"/>
      <c r="B859" s="17"/>
      <c r="C859" s="2"/>
      <c r="D859" s="2"/>
      <c r="E859" s="2"/>
      <c r="F859" s="2"/>
      <c r="G859" s="2"/>
      <c r="H859" s="2"/>
      <c r="I859" s="5"/>
    </row>
    <row r="860" spans="1:9" ht="17.399999999999999" x14ac:dyDescent="0.25">
      <c r="A860" s="16"/>
      <c r="B860" s="17"/>
      <c r="C860" s="2"/>
      <c r="D860" s="2"/>
      <c r="E860" s="2"/>
      <c r="F860" s="2"/>
      <c r="G860" s="2"/>
      <c r="H860" s="2"/>
      <c r="I860" s="5"/>
    </row>
    <row r="861" spans="1:9" ht="17.399999999999999" x14ac:dyDescent="0.25">
      <c r="A861" s="16"/>
      <c r="B861" s="17"/>
      <c r="C861" s="2"/>
      <c r="D861" s="2"/>
      <c r="E861" s="2"/>
      <c r="F861" s="2"/>
      <c r="G861" s="2"/>
      <c r="H861" s="2"/>
      <c r="I861" s="5"/>
    </row>
    <row r="862" spans="1:9" ht="17.399999999999999" x14ac:dyDescent="0.25">
      <c r="A862" s="16"/>
      <c r="B862" s="17"/>
      <c r="C862" s="2"/>
      <c r="D862" s="2"/>
      <c r="E862" s="2"/>
      <c r="F862" s="2"/>
      <c r="G862" s="2"/>
      <c r="H862" s="2"/>
      <c r="I862" s="5"/>
    </row>
    <row r="863" spans="1:9" ht="17.399999999999999" x14ac:dyDescent="0.25">
      <c r="A863" s="16"/>
      <c r="B863" s="17"/>
      <c r="C863" s="2"/>
      <c r="D863" s="2"/>
      <c r="E863" s="2"/>
      <c r="F863" s="2"/>
      <c r="G863" s="2"/>
      <c r="H863" s="2"/>
      <c r="I863" s="5"/>
    </row>
    <row r="864" spans="1:9" ht="17.399999999999999" x14ac:dyDescent="0.25">
      <c r="A864" s="16"/>
      <c r="B864" s="17"/>
      <c r="C864" s="2"/>
      <c r="D864" s="2"/>
      <c r="E864" s="2"/>
      <c r="F864" s="2"/>
      <c r="G864" s="2"/>
      <c r="H864" s="2"/>
      <c r="I864" s="5"/>
    </row>
    <row r="865" spans="1:9" ht="17.399999999999999" x14ac:dyDescent="0.25">
      <c r="A865" s="16"/>
      <c r="B865" s="17"/>
      <c r="C865" s="2"/>
      <c r="D865" s="2"/>
      <c r="E865" s="2"/>
      <c r="F865" s="2"/>
      <c r="G865" s="2"/>
      <c r="H865" s="2"/>
      <c r="I865" s="5"/>
    </row>
    <row r="866" spans="1:9" ht="17.399999999999999" x14ac:dyDescent="0.25">
      <c r="A866" s="16"/>
      <c r="B866" s="17"/>
      <c r="C866" s="2"/>
      <c r="D866" s="2"/>
      <c r="E866" s="2"/>
      <c r="F866" s="2"/>
      <c r="G866" s="2"/>
      <c r="H866" s="2"/>
      <c r="I866" s="5"/>
    </row>
    <row r="867" spans="1:9" ht="17.399999999999999" x14ac:dyDescent="0.25">
      <c r="A867" s="16"/>
      <c r="B867" s="17"/>
      <c r="C867" s="2"/>
      <c r="D867" s="2"/>
      <c r="E867" s="2"/>
      <c r="F867" s="2"/>
      <c r="G867" s="2"/>
      <c r="H867" s="2"/>
      <c r="I867" s="5"/>
    </row>
    <row r="868" spans="1:9" ht="17.399999999999999" x14ac:dyDescent="0.25">
      <c r="A868" s="16"/>
      <c r="B868" s="17"/>
      <c r="C868" s="2"/>
      <c r="D868" s="2"/>
      <c r="E868" s="2"/>
      <c r="F868" s="2"/>
      <c r="G868" s="2"/>
      <c r="H868" s="2"/>
      <c r="I868" s="5"/>
    </row>
    <row r="869" spans="1:9" ht="17.399999999999999" x14ac:dyDescent="0.25">
      <c r="A869" s="16"/>
      <c r="B869" s="17"/>
      <c r="C869" s="2"/>
      <c r="D869" s="2"/>
      <c r="E869" s="2"/>
      <c r="F869" s="2"/>
      <c r="G869" s="2"/>
      <c r="H869" s="2"/>
      <c r="I869" s="5"/>
    </row>
    <row r="870" spans="1:9" ht="17.399999999999999" x14ac:dyDescent="0.25">
      <c r="A870" s="16"/>
      <c r="B870" s="17"/>
      <c r="C870" s="2"/>
      <c r="D870" s="2"/>
      <c r="E870" s="2"/>
      <c r="F870" s="2"/>
      <c r="G870" s="2"/>
      <c r="H870" s="2"/>
      <c r="I870" s="5"/>
    </row>
    <row r="871" spans="1:9" ht="17.399999999999999" x14ac:dyDescent="0.25">
      <c r="A871" s="16"/>
      <c r="B871" s="17"/>
      <c r="C871" s="2"/>
      <c r="D871" s="2"/>
      <c r="E871" s="2"/>
      <c r="F871" s="2"/>
      <c r="G871" s="2"/>
      <c r="H871" s="2"/>
      <c r="I871" s="5"/>
    </row>
    <row r="872" spans="1:9" ht="17.399999999999999" x14ac:dyDescent="0.25">
      <c r="A872" s="16"/>
      <c r="B872" s="17"/>
      <c r="C872" s="2"/>
      <c r="D872" s="2"/>
      <c r="E872" s="2"/>
      <c r="F872" s="2"/>
      <c r="G872" s="2"/>
      <c r="H872" s="2"/>
      <c r="I872" s="5"/>
    </row>
    <row r="873" spans="1:9" ht="17.399999999999999" x14ac:dyDescent="0.25">
      <c r="A873" s="16"/>
      <c r="B873" s="17"/>
      <c r="C873" s="2"/>
      <c r="D873" s="2"/>
      <c r="E873" s="2"/>
      <c r="F873" s="2"/>
      <c r="G873" s="2"/>
      <c r="H873" s="2"/>
      <c r="I873" s="5"/>
    </row>
    <row r="874" spans="1:9" ht="17.399999999999999" x14ac:dyDescent="0.25">
      <c r="A874" s="16"/>
      <c r="B874" s="17"/>
      <c r="C874" s="2"/>
      <c r="D874" s="2"/>
      <c r="E874" s="2"/>
      <c r="F874" s="2"/>
      <c r="G874" s="2"/>
      <c r="H874" s="2"/>
      <c r="I874" s="5"/>
    </row>
    <row r="875" spans="1:9" ht="17.399999999999999" x14ac:dyDescent="0.25">
      <c r="A875" s="16"/>
      <c r="B875" s="17"/>
      <c r="C875" s="2"/>
      <c r="D875" s="2"/>
      <c r="E875" s="2"/>
      <c r="F875" s="2"/>
      <c r="G875" s="2"/>
      <c r="H875" s="2"/>
      <c r="I875" s="5"/>
    </row>
    <row r="876" spans="1:9" ht="17.399999999999999" x14ac:dyDescent="0.25">
      <c r="A876" s="16"/>
      <c r="B876" s="17"/>
      <c r="C876" s="2"/>
      <c r="D876" s="2"/>
      <c r="E876" s="2"/>
      <c r="F876" s="2"/>
      <c r="G876" s="2"/>
      <c r="H876" s="2"/>
      <c r="I876" s="5"/>
    </row>
    <row r="877" spans="1:9" ht="17.399999999999999" x14ac:dyDescent="0.25">
      <c r="A877" s="16"/>
      <c r="B877" s="17"/>
      <c r="C877" s="2"/>
      <c r="D877" s="2"/>
      <c r="E877" s="2"/>
      <c r="F877" s="2"/>
      <c r="G877" s="2"/>
      <c r="H877" s="2"/>
      <c r="I877" s="5"/>
    </row>
    <row r="878" spans="1:9" ht="17.399999999999999" x14ac:dyDescent="0.25">
      <c r="A878" s="16"/>
      <c r="B878" s="17"/>
      <c r="C878" s="2"/>
      <c r="D878" s="2"/>
      <c r="E878" s="2"/>
      <c r="F878" s="2"/>
      <c r="G878" s="2"/>
      <c r="H878" s="2"/>
      <c r="I878" s="5"/>
    </row>
    <row r="879" spans="1:9" ht="17.399999999999999" x14ac:dyDescent="0.25">
      <c r="A879" s="16"/>
      <c r="B879" s="17"/>
      <c r="C879" s="2"/>
      <c r="D879" s="2"/>
      <c r="E879" s="2"/>
      <c r="F879" s="2"/>
      <c r="G879" s="2"/>
      <c r="H879" s="2"/>
      <c r="I879" s="5"/>
    </row>
    <row r="880" spans="1:9" ht="17.399999999999999" x14ac:dyDescent="0.25">
      <c r="A880" s="16"/>
      <c r="B880" s="17"/>
      <c r="C880" s="2"/>
      <c r="D880" s="2"/>
      <c r="E880" s="2"/>
      <c r="F880" s="2"/>
      <c r="G880" s="2"/>
      <c r="H880" s="2"/>
      <c r="I880" s="5"/>
    </row>
    <row r="881" spans="1:9" ht="17.399999999999999" x14ac:dyDescent="0.25">
      <c r="A881" s="16"/>
      <c r="B881" s="17"/>
      <c r="C881" s="2"/>
      <c r="D881" s="2"/>
      <c r="E881" s="2"/>
      <c r="F881" s="2"/>
      <c r="G881" s="2"/>
      <c r="H881" s="2"/>
      <c r="I881" s="5"/>
    </row>
    <row r="882" spans="1:9" ht="17.399999999999999" x14ac:dyDescent="0.25">
      <c r="A882" s="16"/>
      <c r="B882" s="17"/>
      <c r="C882" s="2"/>
      <c r="D882" s="2"/>
      <c r="E882" s="2"/>
      <c r="F882" s="2"/>
      <c r="G882" s="2"/>
      <c r="H882" s="2"/>
      <c r="I882" s="5"/>
    </row>
    <row r="883" spans="1:9" ht="17.399999999999999" x14ac:dyDescent="0.25">
      <c r="A883" s="16"/>
      <c r="B883" s="17"/>
      <c r="C883" s="2"/>
      <c r="D883" s="2"/>
      <c r="E883" s="2"/>
      <c r="F883" s="2"/>
      <c r="G883" s="2"/>
      <c r="H883" s="2"/>
      <c r="I883" s="5"/>
    </row>
    <row r="884" spans="1:9" ht="17.399999999999999" x14ac:dyDescent="0.25">
      <c r="A884" s="16"/>
      <c r="B884" s="17"/>
      <c r="C884" s="2"/>
      <c r="D884" s="2"/>
      <c r="E884" s="2"/>
      <c r="F884" s="2"/>
      <c r="G884" s="2"/>
      <c r="H884" s="2"/>
      <c r="I884" s="5"/>
    </row>
    <row r="885" spans="1:9" ht="17.399999999999999" x14ac:dyDescent="0.25">
      <c r="A885" s="16"/>
      <c r="B885" s="17"/>
      <c r="C885" s="2"/>
      <c r="D885" s="2"/>
      <c r="E885" s="2"/>
      <c r="F885" s="2"/>
      <c r="G885" s="2"/>
      <c r="H885" s="2"/>
      <c r="I885" s="5"/>
    </row>
    <row r="886" spans="1:9" ht="17.399999999999999" x14ac:dyDescent="0.25">
      <c r="A886" s="16"/>
      <c r="B886" s="17"/>
      <c r="C886" s="2"/>
      <c r="D886" s="2"/>
      <c r="E886" s="2"/>
      <c r="F886" s="2"/>
      <c r="G886" s="2"/>
      <c r="H886" s="2"/>
      <c r="I886" s="5"/>
    </row>
    <row r="887" spans="1:9" ht="17.399999999999999" x14ac:dyDescent="0.25">
      <c r="A887" s="16"/>
      <c r="B887" s="17"/>
      <c r="C887" s="2"/>
      <c r="D887" s="2"/>
      <c r="E887" s="2"/>
      <c r="F887" s="2"/>
      <c r="G887" s="2"/>
      <c r="H887" s="2"/>
      <c r="I887" s="5"/>
    </row>
    <row r="888" spans="1:9" ht="17.399999999999999" x14ac:dyDescent="0.25">
      <c r="A888" s="16"/>
      <c r="B888" s="17"/>
      <c r="C888" s="2"/>
      <c r="D888" s="2"/>
      <c r="E888" s="2"/>
      <c r="F888" s="2"/>
      <c r="G888" s="2"/>
      <c r="H888" s="2"/>
      <c r="I888" s="5"/>
    </row>
    <row r="889" spans="1:9" ht="17.399999999999999" x14ac:dyDescent="0.25">
      <c r="A889" s="16"/>
      <c r="B889" s="17"/>
      <c r="C889" s="2"/>
      <c r="D889" s="2"/>
      <c r="E889" s="2"/>
      <c r="F889" s="2"/>
      <c r="G889" s="2"/>
      <c r="H889" s="2"/>
      <c r="I889" s="5"/>
    </row>
    <row r="890" spans="1:9" ht="17.399999999999999" x14ac:dyDescent="0.25">
      <c r="A890" s="16"/>
      <c r="B890" s="17"/>
      <c r="C890" s="2"/>
      <c r="D890" s="2"/>
      <c r="E890" s="2"/>
      <c r="F890" s="2"/>
      <c r="G890" s="2"/>
      <c r="H890" s="2"/>
      <c r="I890" s="5"/>
    </row>
    <row r="891" spans="1:9" ht="17.399999999999999" x14ac:dyDescent="0.25">
      <c r="A891" s="16"/>
      <c r="B891" s="17"/>
      <c r="C891" s="2"/>
      <c r="D891" s="2"/>
      <c r="E891" s="2"/>
      <c r="F891" s="2"/>
      <c r="G891" s="2"/>
      <c r="H891" s="2"/>
      <c r="I891" s="5"/>
    </row>
    <row r="892" spans="1:9" ht="17.399999999999999" x14ac:dyDescent="0.25">
      <c r="A892" s="16"/>
      <c r="B892" s="17"/>
      <c r="C892" s="2"/>
      <c r="D892" s="2"/>
      <c r="E892" s="2"/>
      <c r="F892" s="2"/>
      <c r="G892" s="2"/>
      <c r="H892" s="2"/>
      <c r="I892" s="5"/>
    </row>
    <row r="893" spans="1:9" ht="17.399999999999999" x14ac:dyDescent="0.25">
      <c r="A893" s="16"/>
      <c r="B893" s="17"/>
      <c r="C893" s="2"/>
      <c r="D893" s="2"/>
      <c r="E893" s="2"/>
      <c r="F893" s="2"/>
      <c r="G893" s="2"/>
      <c r="H893" s="2"/>
      <c r="I893" s="5"/>
    </row>
    <row r="894" spans="1:9" ht="17.399999999999999" x14ac:dyDescent="0.25">
      <c r="A894" s="16"/>
      <c r="B894" s="17"/>
      <c r="C894" s="2"/>
      <c r="D894" s="2"/>
      <c r="E894" s="2"/>
      <c r="F894" s="2"/>
      <c r="G894" s="2"/>
      <c r="H894" s="2"/>
      <c r="I894" s="5"/>
    </row>
    <row r="895" spans="1:9" ht="17.399999999999999" x14ac:dyDescent="0.25">
      <c r="A895" s="16"/>
      <c r="B895" s="17"/>
      <c r="C895" s="2"/>
      <c r="D895" s="2"/>
      <c r="E895" s="2"/>
      <c r="F895" s="2"/>
      <c r="G895" s="2"/>
      <c r="H895" s="2"/>
      <c r="I895" s="5"/>
    </row>
    <row r="896" spans="1:9" ht="17.399999999999999" x14ac:dyDescent="0.25">
      <c r="A896" s="16"/>
      <c r="B896" s="17"/>
      <c r="C896" s="2"/>
      <c r="D896" s="2"/>
      <c r="E896" s="2"/>
      <c r="F896" s="2"/>
      <c r="G896" s="2"/>
      <c r="H896" s="2"/>
      <c r="I896" s="5"/>
    </row>
    <row r="897" spans="1:9" ht="17.399999999999999" x14ac:dyDescent="0.25">
      <c r="A897" s="16"/>
      <c r="B897" s="17"/>
      <c r="C897" s="2"/>
      <c r="D897" s="2"/>
      <c r="E897" s="2"/>
      <c r="F897" s="2"/>
      <c r="G897" s="2"/>
      <c r="H897" s="2"/>
      <c r="I897" s="5"/>
    </row>
    <row r="898" spans="1:9" ht="17.399999999999999" x14ac:dyDescent="0.25">
      <c r="A898" s="16"/>
      <c r="B898" s="17"/>
      <c r="C898" s="2"/>
      <c r="D898" s="2"/>
      <c r="E898" s="2"/>
      <c r="F898" s="2"/>
      <c r="G898" s="2"/>
      <c r="H898" s="2"/>
      <c r="I898" s="5"/>
    </row>
    <row r="899" spans="1:9" ht="17.399999999999999" x14ac:dyDescent="0.25">
      <c r="A899" s="16"/>
      <c r="B899" s="17"/>
      <c r="C899" s="2"/>
      <c r="D899" s="2"/>
      <c r="E899" s="2"/>
      <c r="F899" s="2"/>
      <c r="G899" s="2"/>
      <c r="H899" s="2"/>
      <c r="I899" s="5"/>
    </row>
    <row r="900" spans="1:9" ht="17.399999999999999" x14ac:dyDescent="0.25">
      <c r="A900" s="16"/>
      <c r="B900" s="17"/>
      <c r="C900" s="2"/>
      <c r="D900" s="2"/>
      <c r="E900" s="2"/>
      <c r="F900" s="2"/>
      <c r="G900" s="2"/>
      <c r="H900" s="2"/>
      <c r="I900" s="5"/>
    </row>
    <row r="901" spans="1:9" ht="17.399999999999999" x14ac:dyDescent="0.25">
      <c r="A901" s="16"/>
      <c r="B901" s="17"/>
      <c r="C901" s="2"/>
      <c r="D901" s="2"/>
      <c r="E901" s="2"/>
      <c r="F901" s="2"/>
      <c r="G901" s="2"/>
      <c r="H901" s="2"/>
      <c r="I901" s="5"/>
    </row>
    <row r="902" spans="1:9" ht="17.399999999999999" x14ac:dyDescent="0.25">
      <c r="A902" s="16"/>
      <c r="B902" s="17"/>
      <c r="C902" s="2"/>
      <c r="D902" s="2"/>
      <c r="E902" s="2"/>
      <c r="F902" s="2"/>
      <c r="G902" s="2"/>
      <c r="H902" s="2"/>
      <c r="I902" s="5"/>
    </row>
    <row r="903" spans="1:9" ht="17.399999999999999" x14ac:dyDescent="0.25">
      <c r="A903" s="16"/>
      <c r="B903" s="17"/>
      <c r="C903" s="2"/>
      <c r="D903" s="2"/>
      <c r="E903" s="2"/>
      <c r="F903" s="2"/>
      <c r="G903" s="2"/>
      <c r="H903" s="2"/>
      <c r="I903" s="5"/>
    </row>
    <row r="904" spans="1:9" ht="17.399999999999999" x14ac:dyDescent="0.25">
      <c r="A904" s="16"/>
      <c r="B904" s="17"/>
      <c r="C904" s="2"/>
      <c r="D904" s="2"/>
      <c r="E904" s="2"/>
      <c r="F904" s="2"/>
      <c r="G904" s="2"/>
      <c r="H904" s="2"/>
      <c r="I904" s="5"/>
    </row>
    <row r="905" spans="1:9" ht="17.399999999999999" x14ac:dyDescent="0.25">
      <c r="A905" s="16"/>
      <c r="B905" s="17"/>
      <c r="C905" s="2"/>
      <c r="D905" s="2"/>
      <c r="E905" s="2"/>
      <c r="F905" s="2"/>
      <c r="G905" s="2"/>
      <c r="H905" s="2"/>
      <c r="I905" s="5"/>
    </row>
    <row r="906" spans="1:9" ht="17.399999999999999" x14ac:dyDescent="0.25">
      <c r="A906" s="16"/>
      <c r="B906" s="17"/>
      <c r="C906" s="2"/>
      <c r="D906" s="2"/>
      <c r="E906" s="2"/>
      <c r="F906" s="2"/>
      <c r="G906" s="2"/>
      <c r="H906" s="2"/>
      <c r="I906" s="5"/>
    </row>
    <row r="907" spans="1:9" ht="17.399999999999999" x14ac:dyDescent="0.25">
      <c r="A907" s="16"/>
      <c r="B907" s="17"/>
      <c r="C907" s="2"/>
      <c r="D907" s="2"/>
      <c r="E907" s="2"/>
      <c r="F907" s="2"/>
      <c r="G907" s="2"/>
      <c r="H907" s="2"/>
      <c r="I907" s="5"/>
    </row>
    <row r="908" spans="1:9" ht="17.399999999999999" x14ac:dyDescent="0.25">
      <c r="A908" s="16"/>
      <c r="B908" s="17"/>
      <c r="C908" s="2"/>
      <c r="D908" s="2"/>
      <c r="E908" s="2"/>
      <c r="F908" s="2"/>
      <c r="G908" s="2"/>
      <c r="H908" s="2"/>
      <c r="I908" s="5"/>
    </row>
    <row r="909" spans="1:9" ht="17.399999999999999" x14ac:dyDescent="0.25">
      <c r="A909" s="16"/>
      <c r="B909" s="17"/>
      <c r="C909" s="2"/>
      <c r="D909" s="2"/>
      <c r="E909" s="2"/>
      <c r="F909" s="2"/>
      <c r="G909" s="2"/>
      <c r="H909" s="2"/>
      <c r="I909" s="5"/>
    </row>
    <row r="910" spans="1:9" ht="17.399999999999999" x14ac:dyDescent="0.25">
      <c r="A910" s="16"/>
      <c r="B910" s="17"/>
      <c r="C910" s="2"/>
      <c r="D910" s="2"/>
      <c r="E910" s="2"/>
      <c r="F910" s="2"/>
      <c r="G910" s="2"/>
      <c r="H910" s="2"/>
      <c r="I910" s="5"/>
    </row>
    <row r="911" spans="1:9" ht="17.399999999999999" x14ac:dyDescent="0.25">
      <c r="A911" s="16"/>
      <c r="B911" s="17"/>
      <c r="C911" s="2"/>
      <c r="D911" s="2"/>
      <c r="E911" s="2"/>
      <c r="F911" s="2"/>
      <c r="G911" s="2"/>
      <c r="H911" s="2"/>
      <c r="I911" s="5"/>
    </row>
    <row r="912" spans="1:9" ht="17.399999999999999" x14ac:dyDescent="0.25">
      <c r="A912" s="16"/>
      <c r="B912" s="17"/>
      <c r="C912" s="2"/>
      <c r="D912" s="2"/>
      <c r="E912" s="2"/>
      <c r="F912" s="2"/>
      <c r="G912" s="2"/>
      <c r="H912" s="2"/>
      <c r="I912" s="5"/>
    </row>
    <row r="913" spans="1:9" ht="17.399999999999999" x14ac:dyDescent="0.25">
      <c r="A913" s="16"/>
      <c r="B913" s="17"/>
      <c r="C913" s="2"/>
      <c r="D913" s="2"/>
      <c r="E913" s="2"/>
      <c r="F913" s="2"/>
      <c r="G913" s="2"/>
      <c r="H913" s="2"/>
      <c r="I913" s="5"/>
    </row>
    <row r="914" spans="1:9" ht="17.399999999999999" x14ac:dyDescent="0.25">
      <c r="A914" s="16"/>
      <c r="B914" s="17"/>
      <c r="C914" s="2"/>
      <c r="D914" s="2"/>
      <c r="E914" s="2"/>
      <c r="F914" s="2"/>
      <c r="G914" s="2"/>
      <c r="H914" s="2"/>
      <c r="I914" s="5"/>
    </row>
    <row r="915" spans="1:9" ht="17.399999999999999" x14ac:dyDescent="0.25">
      <c r="A915" s="16"/>
      <c r="B915" s="17"/>
      <c r="C915" s="2"/>
      <c r="D915" s="2"/>
      <c r="E915" s="2"/>
      <c r="F915" s="2"/>
      <c r="G915" s="2"/>
      <c r="H915" s="2"/>
      <c r="I915" s="5"/>
    </row>
    <row r="916" spans="1:9" ht="17.399999999999999" x14ac:dyDescent="0.25">
      <c r="A916" s="16"/>
      <c r="B916" s="17"/>
      <c r="C916" s="2"/>
      <c r="D916" s="2"/>
      <c r="E916" s="2"/>
      <c r="F916" s="2"/>
      <c r="G916" s="2"/>
      <c r="H916" s="2"/>
      <c r="I916" s="5"/>
    </row>
    <row r="917" spans="1:9" ht="17.399999999999999" x14ac:dyDescent="0.25">
      <c r="A917" s="16"/>
      <c r="B917" s="17"/>
      <c r="C917" s="2"/>
      <c r="D917" s="2"/>
      <c r="E917" s="2"/>
      <c r="F917" s="2"/>
      <c r="G917" s="2"/>
      <c r="H917" s="2"/>
      <c r="I917" s="5"/>
    </row>
    <row r="918" spans="1:9" ht="17.399999999999999" x14ac:dyDescent="0.25">
      <c r="A918" s="16"/>
      <c r="B918" s="17"/>
      <c r="C918" s="2"/>
      <c r="D918" s="2"/>
      <c r="E918" s="2"/>
      <c r="F918" s="2"/>
      <c r="G918" s="2"/>
      <c r="H918" s="2"/>
      <c r="I918" s="5"/>
    </row>
    <row r="919" spans="1:9" ht="17.399999999999999" x14ac:dyDescent="0.25">
      <c r="A919" s="16"/>
      <c r="B919" s="17"/>
      <c r="C919" s="2"/>
      <c r="D919" s="2"/>
      <c r="E919" s="2"/>
      <c r="F919" s="2"/>
      <c r="G919" s="2"/>
      <c r="H919" s="2"/>
      <c r="I919" s="5"/>
    </row>
    <row r="920" spans="1:9" ht="17.399999999999999" x14ac:dyDescent="0.25">
      <c r="A920" s="16"/>
      <c r="B920" s="17"/>
      <c r="C920" s="2"/>
      <c r="D920" s="2"/>
      <c r="E920" s="2"/>
      <c r="F920" s="2"/>
      <c r="G920" s="2"/>
      <c r="H920" s="2"/>
      <c r="I920" s="5"/>
    </row>
    <row r="921" spans="1:9" ht="17.399999999999999" x14ac:dyDescent="0.25">
      <c r="A921" s="16"/>
      <c r="B921" s="17"/>
      <c r="C921" s="2"/>
      <c r="D921" s="2"/>
      <c r="E921" s="2"/>
      <c r="F921" s="2"/>
      <c r="G921" s="2"/>
      <c r="H921" s="2"/>
      <c r="I921" s="5"/>
    </row>
    <row r="922" spans="1:9" ht="17.399999999999999" x14ac:dyDescent="0.25">
      <c r="A922" s="16"/>
      <c r="B922" s="17"/>
      <c r="C922" s="2"/>
      <c r="D922" s="2"/>
      <c r="E922" s="2"/>
      <c r="F922" s="2"/>
      <c r="G922" s="2"/>
      <c r="H922" s="2"/>
      <c r="I922" s="5"/>
    </row>
    <row r="923" spans="1:9" ht="17.399999999999999" x14ac:dyDescent="0.25">
      <c r="A923" s="16"/>
      <c r="B923" s="17"/>
      <c r="C923" s="2"/>
      <c r="D923" s="2"/>
      <c r="E923" s="2"/>
      <c r="F923" s="2"/>
      <c r="G923" s="2"/>
      <c r="H923" s="2"/>
      <c r="I923" s="5"/>
    </row>
    <row r="924" spans="1:9" ht="17.399999999999999" x14ac:dyDescent="0.25">
      <c r="A924" s="16"/>
      <c r="B924" s="17"/>
      <c r="C924" s="2"/>
      <c r="D924" s="2"/>
      <c r="E924" s="2"/>
      <c r="F924" s="2"/>
      <c r="G924" s="2"/>
      <c r="H924" s="2"/>
      <c r="I924" s="5"/>
    </row>
    <row r="925" spans="1:9" ht="17.399999999999999" x14ac:dyDescent="0.25">
      <c r="A925" s="16"/>
      <c r="B925" s="17"/>
      <c r="C925" s="2"/>
      <c r="D925" s="2"/>
      <c r="E925" s="2"/>
      <c r="F925" s="2"/>
      <c r="G925" s="2"/>
      <c r="H925" s="2"/>
      <c r="I925" s="5"/>
    </row>
    <row r="926" spans="1:9" ht="17.399999999999999" x14ac:dyDescent="0.25">
      <c r="A926" s="16"/>
      <c r="B926" s="17"/>
      <c r="C926" s="2"/>
      <c r="D926" s="2"/>
      <c r="E926" s="2"/>
      <c r="F926" s="2"/>
      <c r="G926" s="2"/>
      <c r="H926" s="2"/>
      <c r="I926" s="5"/>
    </row>
    <row r="927" spans="1:9" ht="17.399999999999999" x14ac:dyDescent="0.25">
      <c r="A927" s="16"/>
      <c r="B927" s="17"/>
      <c r="C927" s="2"/>
      <c r="D927" s="2"/>
      <c r="E927" s="2"/>
      <c r="F927" s="2"/>
      <c r="G927" s="2"/>
      <c r="H927" s="2"/>
      <c r="I927" s="5"/>
    </row>
    <row r="928" spans="1:9" ht="17.399999999999999" x14ac:dyDescent="0.25">
      <c r="A928" s="16"/>
      <c r="B928" s="17"/>
      <c r="C928" s="2"/>
      <c r="D928" s="2"/>
      <c r="E928" s="2"/>
      <c r="F928" s="2"/>
      <c r="G928" s="2"/>
      <c r="H928" s="2"/>
      <c r="I928" s="5"/>
    </row>
    <row r="929" spans="1:9" ht="17.399999999999999" x14ac:dyDescent="0.25">
      <c r="A929" s="16"/>
      <c r="B929" s="17"/>
      <c r="C929" s="2"/>
      <c r="D929" s="2"/>
      <c r="E929" s="2"/>
      <c r="F929" s="2"/>
      <c r="G929" s="2"/>
      <c r="H929" s="2"/>
      <c r="I929" s="5"/>
    </row>
    <row r="930" spans="1:9" ht="17.399999999999999" x14ac:dyDescent="0.25">
      <c r="A930" s="16"/>
      <c r="B930" s="17"/>
      <c r="C930" s="2"/>
      <c r="D930" s="2"/>
      <c r="E930" s="2"/>
      <c r="F930" s="2"/>
      <c r="G930" s="2"/>
      <c r="H930" s="2"/>
      <c r="I930" s="5"/>
    </row>
    <row r="931" spans="1:9" ht="17.399999999999999" x14ac:dyDescent="0.25">
      <c r="A931" s="16"/>
      <c r="B931" s="17"/>
      <c r="C931" s="2"/>
      <c r="D931" s="2"/>
      <c r="E931" s="2"/>
      <c r="F931" s="2"/>
      <c r="G931" s="2"/>
      <c r="H931" s="2"/>
      <c r="I931" s="5"/>
    </row>
    <row r="932" spans="1:9" ht="17.399999999999999" x14ac:dyDescent="0.25">
      <c r="A932" s="16"/>
      <c r="B932" s="17"/>
      <c r="C932" s="2"/>
      <c r="D932" s="2"/>
      <c r="E932" s="2"/>
      <c r="F932" s="2"/>
      <c r="G932" s="2"/>
      <c r="H932" s="2"/>
      <c r="I932" s="5"/>
    </row>
    <row r="933" spans="1:9" ht="17.399999999999999" x14ac:dyDescent="0.25">
      <c r="A933" s="16"/>
      <c r="B933" s="17"/>
      <c r="C933" s="2"/>
      <c r="D933" s="2"/>
      <c r="E933" s="2"/>
      <c r="F933" s="2"/>
      <c r="G933" s="2"/>
      <c r="H933" s="2"/>
      <c r="I933" s="5"/>
    </row>
    <row r="934" spans="1:9" ht="17.399999999999999" x14ac:dyDescent="0.25">
      <c r="A934" s="16"/>
      <c r="B934" s="17"/>
      <c r="C934" s="2"/>
      <c r="D934" s="2"/>
      <c r="E934" s="2"/>
      <c r="F934" s="2"/>
      <c r="G934" s="2"/>
      <c r="H934" s="2"/>
      <c r="I934" s="5"/>
    </row>
    <row r="935" spans="1:9" ht="17.399999999999999" x14ac:dyDescent="0.25">
      <c r="A935" s="16"/>
      <c r="B935" s="17"/>
      <c r="C935" s="2"/>
      <c r="D935" s="2"/>
      <c r="E935" s="2"/>
      <c r="F935" s="2"/>
      <c r="G935" s="2"/>
      <c r="H935" s="2"/>
      <c r="I935" s="5"/>
    </row>
    <row r="936" spans="1:9" ht="17.399999999999999" x14ac:dyDescent="0.25">
      <c r="A936" s="16"/>
      <c r="B936" s="17"/>
      <c r="C936" s="2"/>
      <c r="D936" s="2"/>
      <c r="E936" s="2"/>
      <c r="F936" s="2"/>
      <c r="G936" s="2"/>
      <c r="H936" s="2"/>
      <c r="I936" s="5"/>
    </row>
    <row r="937" spans="1:9" ht="17.399999999999999" x14ac:dyDescent="0.25">
      <c r="A937" s="16"/>
      <c r="B937" s="17"/>
      <c r="C937" s="2"/>
      <c r="D937" s="2"/>
      <c r="E937" s="2"/>
      <c r="F937" s="2"/>
      <c r="G937" s="2"/>
      <c r="H937" s="2"/>
      <c r="I937" s="5"/>
    </row>
    <row r="938" spans="1:9" ht="17.399999999999999" x14ac:dyDescent="0.25">
      <c r="A938" s="16"/>
      <c r="B938" s="17"/>
      <c r="C938" s="2"/>
      <c r="D938" s="2"/>
      <c r="E938" s="2"/>
      <c r="F938" s="2"/>
      <c r="G938" s="2"/>
      <c r="H938" s="2"/>
      <c r="I938" s="5"/>
    </row>
    <row r="939" spans="1:9" ht="17.399999999999999" x14ac:dyDescent="0.25">
      <c r="A939" s="16"/>
      <c r="B939" s="17"/>
      <c r="C939" s="2"/>
      <c r="D939" s="2"/>
      <c r="E939" s="2"/>
      <c r="F939" s="2"/>
      <c r="G939" s="2"/>
      <c r="H939" s="2"/>
      <c r="I939" s="5"/>
    </row>
    <row r="940" spans="1:9" ht="17.399999999999999" x14ac:dyDescent="0.25">
      <c r="A940" s="16"/>
      <c r="B940" s="17"/>
      <c r="C940" s="2"/>
      <c r="D940" s="2"/>
      <c r="E940" s="2"/>
      <c r="F940" s="2"/>
      <c r="G940" s="2"/>
      <c r="H940" s="2"/>
      <c r="I940" s="5"/>
    </row>
    <row r="941" spans="1:9" ht="17.399999999999999" x14ac:dyDescent="0.25">
      <c r="A941" s="16"/>
      <c r="B941" s="17"/>
      <c r="C941" s="2"/>
      <c r="D941" s="2"/>
      <c r="E941" s="2"/>
      <c r="F941" s="2"/>
      <c r="G941" s="2"/>
      <c r="H941" s="2"/>
      <c r="I941" s="5"/>
    </row>
    <row r="942" spans="1:9" ht="17.399999999999999" x14ac:dyDescent="0.25">
      <c r="A942" s="16"/>
      <c r="B942" s="17"/>
      <c r="C942" s="2"/>
      <c r="D942" s="2"/>
      <c r="E942" s="2"/>
      <c r="F942" s="2"/>
      <c r="G942" s="2"/>
      <c r="H942" s="2"/>
      <c r="I942" s="5"/>
    </row>
    <row r="943" spans="1:9" ht="17.399999999999999" x14ac:dyDescent="0.25">
      <c r="A943" s="16"/>
      <c r="B943" s="17"/>
      <c r="C943" s="2"/>
      <c r="D943" s="2"/>
      <c r="E943" s="2"/>
      <c r="F943" s="2"/>
      <c r="G943" s="2"/>
      <c r="H943" s="2"/>
      <c r="I943" s="5"/>
    </row>
    <row r="944" spans="1:9" ht="17.399999999999999" x14ac:dyDescent="0.25">
      <c r="A944" s="16"/>
      <c r="B944" s="17"/>
      <c r="C944" s="2"/>
      <c r="D944" s="2"/>
      <c r="E944" s="2"/>
      <c r="F944" s="2"/>
      <c r="G944" s="2"/>
      <c r="H944" s="2"/>
      <c r="I944" s="5"/>
    </row>
    <row r="945" spans="1:9" ht="17.399999999999999" x14ac:dyDescent="0.25">
      <c r="A945" s="16"/>
      <c r="B945" s="17"/>
      <c r="C945" s="2"/>
      <c r="D945" s="2"/>
      <c r="E945" s="2"/>
      <c r="F945" s="2"/>
      <c r="G945" s="2"/>
      <c r="H945" s="2"/>
      <c r="I945" s="5"/>
    </row>
    <row r="946" spans="1:9" ht="17.399999999999999" x14ac:dyDescent="0.25">
      <c r="A946" s="16"/>
      <c r="B946" s="17"/>
      <c r="C946" s="2"/>
      <c r="D946" s="2"/>
      <c r="E946" s="2"/>
      <c r="F946" s="2"/>
      <c r="G946" s="2"/>
      <c r="H946" s="2"/>
      <c r="I946" s="5"/>
    </row>
    <row r="947" spans="1:9" ht="17.399999999999999" x14ac:dyDescent="0.25">
      <c r="A947" s="16"/>
      <c r="B947" s="17"/>
      <c r="C947" s="2"/>
      <c r="D947" s="2"/>
      <c r="E947" s="2"/>
      <c r="F947" s="2"/>
      <c r="G947" s="2"/>
      <c r="H947" s="2"/>
      <c r="I947" s="5"/>
    </row>
    <row r="948" spans="1:9" ht="17.399999999999999" x14ac:dyDescent="0.25">
      <c r="A948" s="16"/>
      <c r="B948" s="17"/>
      <c r="C948" s="2"/>
      <c r="D948" s="2"/>
      <c r="E948" s="2"/>
      <c r="F948" s="2"/>
      <c r="G948" s="2"/>
      <c r="H948" s="2"/>
      <c r="I948" s="5"/>
    </row>
    <row r="949" spans="1:9" ht="17.399999999999999" x14ac:dyDescent="0.25">
      <c r="A949" s="16"/>
      <c r="B949" s="17"/>
      <c r="C949" s="2"/>
      <c r="D949" s="2"/>
      <c r="E949" s="2"/>
      <c r="F949" s="2"/>
      <c r="G949" s="2"/>
      <c r="H949" s="2"/>
      <c r="I949" s="5"/>
    </row>
    <row r="950" spans="1:9" ht="17.399999999999999" x14ac:dyDescent="0.25">
      <c r="A950" s="16"/>
      <c r="B950" s="17"/>
      <c r="C950" s="2"/>
      <c r="D950" s="2"/>
      <c r="E950" s="2"/>
      <c r="F950" s="2"/>
      <c r="G950" s="2"/>
      <c r="H950" s="2"/>
      <c r="I950" s="5"/>
    </row>
    <row r="951" spans="1:9" ht="17.399999999999999" x14ac:dyDescent="0.25">
      <c r="A951" s="16"/>
      <c r="B951" s="17"/>
      <c r="C951" s="2"/>
      <c r="D951" s="2"/>
      <c r="E951" s="2"/>
      <c r="F951" s="2"/>
      <c r="G951" s="2"/>
      <c r="H951" s="2"/>
      <c r="I951" s="5"/>
    </row>
    <row r="952" spans="1:9" ht="17.399999999999999" x14ac:dyDescent="0.25">
      <c r="A952" s="16"/>
      <c r="B952" s="17"/>
      <c r="C952" s="2"/>
      <c r="D952" s="2"/>
      <c r="E952" s="2"/>
      <c r="F952" s="2"/>
      <c r="G952" s="2"/>
      <c r="H952" s="2"/>
      <c r="I952" s="5"/>
    </row>
    <row r="953" spans="1:9" ht="17.399999999999999" x14ac:dyDescent="0.25">
      <c r="A953" s="16"/>
      <c r="B953" s="17"/>
      <c r="C953" s="2"/>
      <c r="D953" s="2"/>
      <c r="E953" s="2"/>
      <c r="F953" s="2"/>
      <c r="G953" s="2"/>
      <c r="H953" s="2"/>
      <c r="I953" s="5"/>
    </row>
    <row r="954" spans="1:9" ht="17.399999999999999" x14ac:dyDescent="0.25">
      <c r="A954" s="16"/>
      <c r="B954" s="17"/>
      <c r="C954" s="2"/>
      <c r="D954" s="2"/>
      <c r="E954" s="2"/>
      <c r="F954" s="2"/>
      <c r="G954" s="2"/>
      <c r="H954" s="2"/>
      <c r="I954" s="5"/>
    </row>
    <row r="955" spans="1:9" ht="17.399999999999999" x14ac:dyDescent="0.25">
      <c r="A955" s="16"/>
      <c r="B955" s="17"/>
      <c r="C955" s="2"/>
      <c r="D955" s="2"/>
      <c r="E955" s="2"/>
      <c r="F955" s="2"/>
      <c r="G955" s="2"/>
      <c r="H955" s="2"/>
      <c r="I955" s="5"/>
    </row>
    <row r="956" spans="1:9" ht="17.399999999999999" x14ac:dyDescent="0.25">
      <c r="A956" s="16"/>
      <c r="B956" s="17"/>
      <c r="C956" s="2"/>
      <c r="D956" s="2"/>
      <c r="E956" s="2"/>
      <c r="F956" s="2"/>
      <c r="G956" s="2"/>
      <c r="H956" s="2"/>
      <c r="I956" s="5"/>
    </row>
    <row r="957" spans="1:9" ht="17.399999999999999" x14ac:dyDescent="0.25">
      <c r="A957" s="16"/>
      <c r="B957" s="17"/>
      <c r="C957" s="2"/>
      <c r="D957" s="2"/>
      <c r="E957" s="2"/>
      <c r="F957" s="2"/>
      <c r="G957" s="2"/>
      <c r="H957" s="2"/>
      <c r="I957" s="5"/>
    </row>
    <row r="958" spans="1:9" ht="17.399999999999999" x14ac:dyDescent="0.25">
      <c r="A958" s="16"/>
      <c r="B958" s="17"/>
      <c r="C958" s="2"/>
      <c r="D958" s="2"/>
      <c r="E958" s="2"/>
      <c r="F958" s="2"/>
      <c r="G958" s="2"/>
      <c r="H958" s="2"/>
      <c r="I958" s="5"/>
    </row>
    <row r="959" spans="1:9" ht="17.399999999999999" x14ac:dyDescent="0.25">
      <c r="A959" s="16"/>
      <c r="B959" s="17"/>
      <c r="C959" s="2"/>
      <c r="D959" s="2"/>
      <c r="E959" s="2"/>
      <c r="F959" s="2"/>
      <c r="G959" s="2"/>
      <c r="H959" s="2"/>
      <c r="I959" s="5"/>
    </row>
    <row r="960" spans="1:9" ht="17.399999999999999" x14ac:dyDescent="0.25">
      <c r="A960" s="16"/>
      <c r="B960" s="17"/>
      <c r="C960" s="2"/>
      <c r="D960" s="2"/>
      <c r="E960" s="2"/>
      <c r="F960" s="2"/>
      <c r="G960" s="2"/>
      <c r="H960" s="2"/>
      <c r="I960" s="5"/>
    </row>
    <row r="961" spans="1:9" ht="17.399999999999999" x14ac:dyDescent="0.25">
      <c r="A961" s="16"/>
      <c r="B961" s="17"/>
      <c r="C961" s="2"/>
      <c r="D961" s="2"/>
      <c r="E961" s="2"/>
      <c r="F961" s="2"/>
      <c r="G961" s="2"/>
      <c r="H961" s="2"/>
      <c r="I961" s="5"/>
    </row>
    <row r="962" spans="1:9" ht="17.399999999999999" x14ac:dyDescent="0.25">
      <c r="A962" s="16"/>
      <c r="B962" s="17"/>
      <c r="C962" s="2"/>
      <c r="D962" s="2"/>
      <c r="E962" s="2"/>
      <c r="F962" s="2"/>
      <c r="G962" s="2"/>
      <c r="H962" s="2"/>
      <c r="I962" s="5"/>
    </row>
    <row r="963" spans="1:9" ht="17.399999999999999" x14ac:dyDescent="0.25">
      <c r="A963" s="16"/>
      <c r="B963" s="17"/>
      <c r="C963" s="2"/>
      <c r="D963" s="2"/>
      <c r="E963" s="2"/>
      <c r="F963" s="2"/>
      <c r="G963" s="2"/>
      <c r="H963" s="2"/>
      <c r="I963" s="5"/>
    </row>
    <row r="964" spans="1:9" ht="17.399999999999999" x14ac:dyDescent="0.25">
      <c r="A964" s="16"/>
      <c r="B964" s="17"/>
      <c r="C964" s="2"/>
      <c r="D964" s="2"/>
      <c r="E964" s="2"/>
      <c r="F964" s="2"/>
      <c r="G964" s="2"/>
      <c r="H964" s="2"/>
      <c r="I964" s="5"/>
    </row>
    <row r="965" spans="1:9" ht="17.399999999999999" x14ac:dyDescent="0.25">
      <c r="A965" s="16"/>
      <c r="B965" s="17"/>
      <c r="C965" s="2"/>
      <c r="D965" s="2"/>
      <c r="E965" s="2"/>
      <c r="F965" s="2"/>
      <c r="G965" s="2"/>
      <c r="H965" s="2"/>
      <c r="I965" s="5"/>
    </row>
    <row r="966" spans="1:9" ht="17.399999999999999" x14ac:dyDescent="0.25">
      <c r="A966" s="16"/>
      <c r="B966" s="17"/>
      <c r="C966" s="2"/>
      <c r="D966" s="2"/>
      <c r="E966" s="2"/>
      <c r="F966" s="2"/>
      <c r="G966" s="2"/>
      <c r="H966" s="2"/>
      <c r="I966" s="5"/>
    </row>
    <row r="967" spans="1:9" ht="17.399999999999999" x14ac:dyDescent="0.25">
      <c r="A967" s="16"/>
      <c r="B967" s="17"/>
      <c r="C967" s="2"/>
      <c r="D967" s="2"/>
      <c r="E967" s="2"/>
      <c r="F967" s="2"/>
      <c r="G967" s="2"/>
      <c r="H967" s="2"/>
      <c r="I967" s="5"/>
    </row>
    <row r="968" spans="1:9" ht="17.399999999999999" x14ac:dyDescent="0.25">
      <c r="A968" s="16"/>
      <c r="B968" s="17"/>
      <c r="C968" s="2"/>
      <c r="D968" s="2"/>
      <c r="E968" s="2"/>
      <c r="F968" s="2"/>
      <c r="G968" s="2"/>
      <c r="H968" s="2"/>
      <c r="I968" s="5"/>
    </row>
    <row r="969" spans="1:9" ht="17.399999999999999" x14ac:dyDescent="0.25">
      <c r="A969" s="16"/>
      <c r="B969" s="17"/>
      <c r="C969" s="2"/>
      <c r="D969" s="2"/>
      <c r="E969" s="2"/>
      <c r="F969" s="2"/>
      <c r="G969" s="2"/>
      <c r="H969" s="2"/>
      <c r="I969" s="5"/>
    </row>
    <row r="970" spans="1:9" ht="17.399999999999999" x14ac:dyDescent="0.25">
      <c r="A970" s="16"/>
      <c r="B970" s="17"/>
      <c r="C970" s="2"/>
      <c r="D970" s="2"/>
      <c r="E970" s="2"/>
      <c r="F970" s="2"/>
      <c r="G970" s="2"/>
      <c r="H970" s="2"/>
      <c r="I970" s="5"/>
    </row>
    <row r="971" spans="1:9" ht="17.399999999999999" x14ac:dyDescent="0.25">
      <c r="A971" s="16"/>
      <c r="B971" s="17"/>
      <c r="C971" s="2"/>
      <c r="D971" s="2"/>
      <c r="E971" s="2"/>
      <c r="F971" s="2"/>
      <c r="G971" s="2"/>
      <c r="H971" s="2"/>
      <c r="I971" s="5"/>
    </row>
    <row r="972" spans="1:9" ht="17.399999999999999" x14ac:dyDescent="0.25">
      <c r="A972" s="16"/>
      <c r="B972" s="17"/>
      <c r="C972" s="2"/>
      <c r="D972" s="2"/>
      <c r="E972" s="2"/>
      <c r="F972" s="2"/>
      <c r="G972" s="2"/>
      <c r="H972" s="2"/>
      <c r="I972" s="5"/>
    </row>
    <row r="973" spans="1:9" ht="17.399999999999999" x14ac:dyDescent="0.25">
      <c r="A973" s="16"/>
      <c r="B973" s="17"/>
      <c r="C973" s="2"/>
      <c r="D973" s="2"/>
      <c r="E973" s="2"/>
      <c r="F973" s="2"/>
      <c r="G973" s="2"/>
      <c r="H973" s="2"/>
      <c r="I973" s="5"/>
    </row>
    <row r="974" spans="1:9" ht="17.399999999999999" x14ac:dyDescent="0.25">
      <c r="A974" s="16"/>
      <c r="B974" s="17"/>
      <c r="C974" s="2"/>
      <c r="D974" s="2"/>
      <c r="E974" s="2"/>
      <c r="F974" s="2"/>
      <c r="G974" s="2"/>
      <c r="H974" s="2"/>
      <c r="I974" s="5"/>
    </row>
    <row r="975" spans="1:9" ht="17.399999999999999" x14ac:dyDescent="0.25">
      <c r="A975" s="16"/>
      <c r="B975" s="17"/>
      <c r="C975" s="2"/>
      <c r="D975" s="2"/>
      <c r="E975" s="2"/>
      <c r="F975" s="2"/>
      <c r="G975" s="2"/>
      <c r="H975" s="2"/>
      <c r="I975" s="5"/>
    </row>
    <row r="976" spans="1:9" ht="17.399999999999999" x14ac:dyDescent="0.25">
      <c r="A976" s="16"/>
      <c r="B976" s="17"/>
      <c r="C976" s="2"/>
      <c r="D976" s="2"/>
      <c r="E976" s="2"/>
      <c r="F976" s="2"/>
      <c r="G976" s="2"/>
      <c r="H976" s="2"/>
      <c r="I976" s="5"/>
    </row>
    <row r="977" spans="1:9" ht="17.399999999999999" x14ac:dyDescent="0.25">
      <c r="A977" s="16"/>
      <c r="B977" s="17"/>
      <c r="C977" s="2"/>
      <c r="D977" s="2"/>
      <c r="E977" s="2"/>
      <c r="F977" s="2"/>
      <c r="G977" s="2"/>
      <c r="H977" s="2"/>
      <c r="I977" s="5"/>
    </row>
    <row r="978" spans="1:9" ht="17.399999999999999" x14ac:dyDescent="0.25">
      <c r="A978" s="16"/>
      <c r="B978" s="17"/>
      <c r="C978" s="2"/>
      <c r="D978" s="2"/>
      <c r="E978" s="2"/>
      <c r="F978" s="2"/>
      <c r="G978" s="2"/>
      <c r="H978" s="2"/>
      <c r="I978" s="5"/>
    </row>
    <row r="979" spans="1:9" ht="17.399999999999999" x14ac:dyDescent="0.25">
      <c r="A979" s="16"/>
      <c r="B979" s="17"/>
      <c r="C979" s="2"/>
      <c r="D979" s="2"/>
      <c r="E979" s="2"/>
      <c r="F979" s="2"/>
      <c r="G979" s="2"/>
      <c r="H979" s="2"/>
      <c r="I979" s="5"/>
    </row>
    <row r="980" spans="1:9" ht="17.399999999999999" x14ac:dyDescent="0.25">
      <c r="A980" s="16"/>
      <c r="B980" s="17"/>
      <c r="C980" s="2"/>
      <c r="D980" s="2"/>
      <c r="E980" s="2"/>
      <c r="F980" s="2"/>
      <c r="G980" s="2"/>
      <c r="H980" s="2"/>
      <c r="I980" s="5"/>
    </row>
    <row r="981" spans="1:9" ht="17.399999999999999" x14ac:dyDescent="0.25">
      <c r="A981" s="16"/>
      <c r="B981" s="17"/>
      <c r="C981" s="2"/>
      <c r="D981" s="2"/>
      <c r="E981" s="2"/>
      <c r="F981" s="2"/>
      <c r="G981" s="2"/>
      <c r="H981" s="2"/>
      <c r="I981" s="5"/>
    </row>
    <row r="982" spans="1:9" ht="17.399999999999999" x14ac:dyDescent="0.25">
      <c r="A982" s="16"/>
      <c r="B982" s="17"/>
      <c r="C982" s="2"/>
      <c r="D982" s="2"/>
      <c r="E982" s="2"/>
      <c r="F982" s="2"/>
      <c r="G982" s="2"/>
      <c r="H982" s="2"/>
      <c r="I982" s="5"/>
    </row>
    <row r="983" spans="1:9" ht="17.399999999999999" x14ac:dyDescent="0.25">
      <c r="A983" s="16"/>
      <c r="B983" s="17"/>
      <c r="C983" s="2"/>
      <c r="D983" s="2"/>
      <c r="E983" s="2"/>
      <c r="F983" s="2"/>
      <c r="G983" s="2"/>
      <c r="H983" s="2"/>
      <c r="I983" s="5"/>
    </row>
    <row r="984" spans="1:9" ht="17.399999999999999" x14ac:dyDescent="0.25">
      <c r="A984" s="16"/>
      <c r="B984" s="17"/>
      <c r="C984" s="2"/>
      <c r="D984" s="2"/>
      <c r="E984" s="2"/>
      <c r="F984" s="2"/>
      <c r="G984" s="2"/>
      <c r="H984" s="2"/>
      <c r="I984" s="5"/>
    </row>
    <row r="985" spans="1:9" ht="17.399999999999999" x14ac:dyDescent="0.25">
      <c r="A985" s="16"/>
      <c r="B985" s="17"/>
      <c r="C985" s="2"/>
      <c r="D985" s="2"/>
      <c r="E985" s="2"/>
      <c r="F985" s="2"/>
      <c r="G985" s="2"/>
      <c r="H985" s="2"/>
      <c r="I985" s="5"/>
    </row>
    <row r="986" spans="1:9" ht="17.399999999999999" x14ac:dyDescent="0.25">
      <c r="A986" s="16"/>
      <c r="B986" s="17"/>
      <c r="C986" s="2"/>
      <c r="D986" s="2"/>
      <c r="E986" s="2"/>
      <c r="F986" s="2"/>
      <c r="G986" s="2"/>
      <c r="H986" s="2"/>
      <c r="I986" s="5"/>
    </row>
    <row r="987" spans="1:9" ht="17.399999999999999" x14ac:dyDescent="0.25">
      <c r="A987" s="16"/>
      <c r="B987" s="17"/>
      <c r="C987" s="2"/>
      <c r="D987" s="2"/>
      <c r="E987" s="2"/>
      <c r="F987" s="2"/>
      <c r="G987" s="2"/>
      <c r="H987" s="2"/>
      <c r="I987" s="5"/>
    </row>
    <row r="988" spans="1:9" ht="17.399999999999999" x14ac:dyDescent="0.25">
      <c r="A988" s="16"/>
      <c r="B988" s="17"/>
      <c r="C988" s="2"/>
      <c r="D988" s="2"/>
      <c r="E988" s="2"/>
      <c r="F988" s="2"/>
      <c r="G988" s="2"/>
      <c r="H988" s="2"/>
      <c r="I988" s="5"/>
    </row>
    <row r="989" spans="1:9" ht="17.399999999999999" x14ac:dyDescent="0.25">
      <c r="A989" s="16"/>
      <c r="B989" s="17"/>
      <c r="C989" s="2"/>
      <c r="D989" s="2"/>
      <c r="E989" s="2"/>
      <c r="F989" s="2"/>
      <c r="G989" s="2"/>
      <c r="H989" s="2"/>
      <c r="I989" s="5"/>
    </row>
    <row r="990" spans="1:9" ht="17.399999999999999" x14ac:dyDescent="0.25">
      <c r="A990" s="16"/>
      <c r="B990" s="17"/>
      <c r="C990" s="2"/>
      <c r="D990" s="2"/>
      <c r="E990" s="2"/>
      <c r="F990" s="2"/>
      <c r="G990" s="2"/>
      <c r="H990" s="2"/>
      <c r="I990" s="5"/>
    </row>
    <row r="991" spans="1:9" ht="17.399999999999999" x14ac:dyDescent="0.25">
      <c r="A991" s="16"/>
      <c r="B991" s="17"/>
      <c r="C991" s="2"/>
      <c r="D991" s="2"/>
      <c r="E991" s="2"/>
      <c r="F991" s="2"/>
      <c r="G991" s="2"/>
      <c r="H991" s="2"/>
      <c r="I991" s="5"/>
    </row>
    <row r="992" spans="1:9" ht="17.399999999999999" x14ac:dyDescent="0.25">
      <c r="A992" s="16"/>
      <c r="B992" s="17"/>
      <c r="C992" s="2"/>
      <c r="D992" s="2"/>
      <c r="E992" s="2"/>
      <c r="F992" s="2"/>
      <c r="G992" s="2"/>
      <c r="H992" s="2"/>
      <c r="I992" s="5"/>
    </row>
    <row r="993" spans="1:9" ht="17.399999999999999" x14ac:dyDescent="0.25">
      <c r="A993" s="16"/>
      <c r="B993" s="17"/>
      <c r="C993" s="2"/>
      <c r="D993" s="2"/>
      <c r="E993" s="2"/>
      <c r="F993" s="2"/>
      <c r="G993" s="2"/>
      <c r="H993" s="2"/>
      <c r="I993" s="5"/>
    </row>
    <row r="994" spans="1:9" ht="17.399999999999999" x14ac:dyDescent="0.25">
      <c r="A994" s="16"/>
      <c r="B994" s="17"/>
      <c r="C994" s="2"/>
      <c r="D994" s="2"/>
      <c r="E994" s="2"/>
      <c r="F994" s="2"/>
      <c r="G994" s="2"/>
      <c r="H994" s="2"/>
      <c r="I994" s="5"/>
    </row>
    <row r="995" spans="1:9" ht="17.399999999999999" x14ac:dyDescent="0.25">
      <c r="A995" s="16"/>
      <c r="B995" s="17"/>
      <c r="C995" s="2"/>
      <c r="D995" s="2"/>
      <c r="E995" s="2"/>
      <c r="F995" s="2"/>
      <c r="G995" s="2"/>
      <c r="H995" s="2"/>
      <c r="I995" s="5"/>
    </row>
    <row r="996" spans="1:9" ht="17.399999999999999" x14ac:dyDescent="0.25">
      <c r="A996" s="16"/>
      <c r="B996" s="17"/>
      <c r="C996" s="2"/>
      <c r="D996" s="2"/>
      <c r="E996" s="2"/>
      <c r="F996" s="2"/>
      <c r="G996" s="2"/>
      <c r="H996" s="2"/>
      <c r="I996" s="5"/>
    </row>
    <row r="997" spans="1:9" ht="17.399999999999999" x14ac:dyDescent="0.25">
      <c r="A997" s="16"/>
      <c r="B997" s="17"/>
      <c r="C997" s="2"/>
      <c r="D997" s="2"/>
      <c r="E997" s="2"/>
      <c r="F997" s="2"/>
      <c r="G997" s="2"/>
      <c r="H997" s="2"/>
      <c r="I997" s="5"/>
    </row>
    <row r="998" spans="1:9" ht="17.399999999999999" x14ac:dyDescent="0.25">
      <c r="A998" s="16"/>
      <c r="B998" s="17"/>
      <c r="C998" s="2"/>
      <c r="D998" s="2"/>
      <c r="E998" s="2"/>
      <c r="F998" s="2"/>
      <c r="G998" s="2"/>
      <c r="H998" s="2"/>
      <c r="I998" s="5"/>
    </row>
    <row r="999" spans="1:9" ht="17.399999999999999" x14ac:dyDescent="0.25">
      <c r="A999" s="16"/>
      <c r="B999" s="17"/>
      <c r="C999" s="2"/>
      <c r="D999" s="2"/>
      <c r="E999" s="2"/>
      <c r="F999" s="2"/>
      <c r="G999" s="2"/>
      <c r="H999" s="2"/>
      <c r="I999" s="5"/>
    </row>
    <row r="1000" spans="1:9" ht="17.399999999999999" x14ac:dyDescent="0.25">
      <c r="A1000" s="16"/>
      <c r="B1000" s="17"/>
      <c r="C1000" s="2"/>
      <c r="D1000" s="2"/>
      <c r="E1000" s="2"/>
      <c r="F1000" s="2"/>
      <c r="G1000" s="2"/>
      <c r="H1000" s="2"/>
      <c r="I1000" s="5"/>
    </row>
    <row r="1001" spans="1:9" ht="17.399999999999999" x14ac:dyDescent="0.25">
      <c r="A1001" s="16"/>
      <c r="B1001" s="17"/>
      <c r="C1001" s="2"/>
      <c r="D1001" s="2"/>
      <c r="E1001" s="2"/>
      <c r="F1001" s="2"/>
      <c r="G1001" s="2"/>
      <c r="H1001" s="2"/>
      <c r="I1001" s="5"/>
    </row>
    <row r="1002" spans="1:9" ht="17.399999999999999" x14ac:dyDescent="0.25">
      <c r="A1002" s="16"/>
      <c r="B1002" s="17"/>
      <c r="C1002" s="2"/>
      <c r="D1002" s="2"/>
      <c r="E1002" s="2"/>
      <c r="F1002" s="2"/>
      <c r="G1002" s="2"/>
      <c r="H1002" s="2"/>
      <c r="I1002" s="5"/>
    </row>
    <row r="1003" spans="1:9" ht="17.399999999999999" x14ac:dyDescent="0.25">
      <c r="A1003" s="16"/>
      <c r="B1003" s="17"/>
      <c r="C1003" s="2"/>
      <c r="D1003" s="2"/>
      <c r="E1003" s="2"/>
      <c r="F1003" s="2"/>
      <c r="G1003" s="2"/>
      <c r="H1003" s="2"/>
      <c r="I1003" s="5"/>
    </row>
    <row r="1004" spans="1:9" ht="17.399999999999999" x14ac:dyDescent="0.25">
      <c r="A1004" s="16"/>
      <c r="B1004" s="17"/>
      <c r="C1004" s="2"/>
      <c r="D1004" s="2"/>
      <c r="E1004" s="2"/>
      <c r="F1004" s="2"/>
      <c r="G1004" s="2"/>
      <c r="H1004" s="2"/>
      <c r="I1004" s="5"/>
    </row>
    <row r="1005" spans="1:9" ht="17.399999999999999" x14ac:dyDescent="0.25">
      <c r="A1005" s="16"/>
      <c r="B1005" s="17"/>
      <c r="C1005" s="2"/>
      <c r="D1005" s="2"/>
      <c r="E1005" s="2"/>
      <c r="F1005" s="2"/>
      <c r="G1005" s="2"/>
      <c r="H1005" s="2"/>
      <c r="I1005" s="5"/>
    </row>
    <row r="1006" spans="1:9" ht="17.399999999999999" x14ac:dyDescent="0.25">
      <c r="A1006" s="16"/>
      <c r="B1006" s="17"/>
      <c r="C1006" s="2"/>
      <c r="D1006" s="2"/>
      <c r="E1006" s="2"/>
      <c r="F1006" s="2"/>
      <c r="G1006" s="2"/>
      <c r="H1006" s="2"/>
      <c r="I1006" s="5"/>
    </row>
    <row r="1007" spans="1:9" ht="17.399999999999999" x14ac:dyDescent="0.25">
      <c r="A1007" s="16"/>
      <c r="B1007" s="17"/>
      <c r="C1007" s="2"/>
      <c r="D1007" s="2"/>
      <c r="E1007" s="2"/>
      <c r="F1007" s="2"/>
      <c r="G1007" s="2"/>
      <c r="H1007" s="2"/>
      <c r="I1007" s="5"/>
    </row>
    <row r="1008" spans="1:9" ht="17.399999999999999" x14ac:dyDescent="0.25">
      <c r="A1008" s="16"/>
      <c r="B1008" s="17"/>
      <c r="C1008" s="2"/>
      <c r="D1008" s="2"/>
      <c r="E1008" s="2"/>
      <c r="F1008" s="2"/>
      <c r="G1008" s="2"/>
      <c r="H1008" s="2"/>
      <c r="I1008" s="5"/>
    </row>
    <row r="1009" spans="1:9" ht="17.399999999999999" x14ac:dyDescent="0.25">
      <c r="A1009" s="16"/>
      <c r="B1009" s="17"/>
      <c r="C1009" s="2"/>
      <c r="D1009" s="2"/>
      <c r="E1009" s="2"/>
      <c r="F1009" s="2"/>
      <c r="G1009" s="2"/>
      <c r="H1009" s="2"/>
      <c r="I1009" s="5"/>
    </row>
    <row r="1010" spans="1:9" ht="17.399999999999999" x14ac:dyDescent="0.25">
      <c r="A1010" s="16"/>
      <c r="B1010" s="17"/>
      <c r="C1010" s="2"/>
      <c r="D1010" s="2"/>
      <c r="E1010" s="2"/>
      <c r="F1010" s="2"/>
      <c r="G1010" s="2"/>
      <c r="H1010" s="2"/>
      <c r="I1010" s="5"/>
    </row>
    <row r="1011" spans="1:9" ht="17.399999999999999" x14ac:dyDescent="0.25">
      <c r="A1011" s="16"/>
      <c r="B1011" s="17"/>
      <c r="C1011" s="2"/>
      <c r="D1011" s="2"/>
      <c r="E1011" s="2"/>
      <c r="F1011" s="2"/>
      <c r="G1011" s="2"/>
      <c r="H1011" s="2"/>
      <c r="I1011" s="5"/>
    </row>
    <row r="1012" spans="1:9" ht="17.399999999999999" x14ac:dyDescent="0.25">
      <c r="A1012" s="16"/>
      <c r="B1012" s="17"/>
      <c r="C1012" s="2"/>
      <c r="D1012" s="2"/>
      <c r="E1012" s="2"/>
      <c r="F1012" s="2"/>
      <c r="G1012" s="2"/>
      <c r="H1012" s="2"/>
      <c r="I1012" s="5"/>
    </row>
    <row r="1013" spans="1:9" ht="17.399999999999999" x14ac:dyDescent="0.25">
      <c r="A1013" s="16"/>
      <c r="B1013" s="17"/>
      <c r="C1013" s="2"/>
      <c r="D1013" s="2"/>
      <c r="E1013" s="2"/>
      <c r="F1013" s="2"/>
      <c r="G1013" s="2"/>
      <c r="H1013" s="2"/>
      <c r="I1013" s="5"/>
    </row>
    <row r="1014" spans="1:9" ht="17.399999999999999" x14ac:dyDescent="0.25">
      <c r="A1014" s="16"/>
      <c r="B1014" s="17"/>
      <c r="C1014" s="2"/>
      <c r="D1014" s="2"/>
      <c r="E1014" s="2"/>
      <c r="F1014" s="2"/>
      <c r="G1014" s="2"/>
      <c r="H1014" s="2"/>
      <c r="I1014" s="5"/>
    </row>
    <row r="1015" spans="1:9" ht="17.399999999999999" x14ac:dyDescent="0.25">
      <c r="A1015" s="16"/>
      <c r="B1015" s="17"/>
      <c r="C1015" s="2"/>
      <c r="D1015" s="2"/>
      <c r="E1015" s="2"/>
      <c r="F1015" s="2"/>
      <c r="G1015" s="2"/>
      <c r="H1015" s="2"/>
      <c r="I1015" s="5"/>
    </row>
    <row r="1016" spans="1:9" ht="17.399999999999999" x14ac:dyDescent="0.25">
      <c r="A1016" s="16"/>
      <c r="B1016" s="17"/>
      <c r="C1016" s="2"/>
      <c r="D1016" s="2"/>
      <c r="E1016" s="2"/>
      <c r="F1016" s="2"/>
      <c r="G1016" s="2"/>
      <c r="H1016" s="2"/>
      <c r="I1016" s="5"/>
    </row>
    <row r="1017" spans="1:9" ht="17.399999999999999" x14ac:dyDescent="0.25">
      <c r="A1017" s="16"/>
      <c r="B1017" s="17"/>
      <c r="C1017" s="2"/>
      <c r="D1017" s="2"/>
      <c r="E1017" s="2"/>
      <c r="F1017" s="2"/>
      <c r="G1017" s="2"/>
      <c r="H1017" s="2"/>
      <c r="I1017" s="5"/>
    </row>
    <row r="1018" spans="1:9" ht="17.399999999999999" x14ac:dyDescent="0.25">
      <c r="A1018" s="16"/>
      <c r="B1018" s="17"/>
      <c r="C1018" s="2"/>
      <c r="D1018" s="2"/>
      <c r="E1018" s="2"/>
      <c r="F1018" s="2"/>
      <c r="G1018" s="2"/>
      <c r="H1018" s="2"/>
      <c r="I1018" s="5"/>
    </row>
    <row r="1019" spans="1:9" ht="17.399999999999999" x14ac:dyDescent="0.25">
      <c r="A1019" s="16"/>
      <c r="B1019" s="17"/>
      <c r="C1019" s="2"/>
      <c r="D1019" s="2"/>
      <c r="E1019" s="2"/>
      <c r="F1019" s="2"/>
      <c r="G1019" s="2"/>
      <c r="H1019" s="2"/>
      <c r="I1019" s="5"/>
    </row>
    <row r="1020" spans="1:9" ht="17.399999999999999" x14ac:dyDescent="0.25">
      <c r="A1020" s="16"/>
      <c r="B1020" s="17"/>
      <c r="C1020" s="2"/>
      <c r="D1020" s="2"/>
      <c r="E1020" s="2"/>
      <c r="F1020" s="2"/>
      <c r="G1020" s="2"/>
      <c r="H1020" s="2"/>
      <c r="I1020" s="5"/>
    </row>
    <row r="1021" spans="1:9" ht="17.399999999999999" x14ac:dyDescent="0.25">
      <c r="A1021" s="16"/>
      <c r="B1021" s="17"/>
      <c r="C1021" s="2"/>
      <c r="D1021" s="2"/>
      <c r="E1021" s="2"/>
      <c r="F1021" s="2"/>
      <c r="G1021" s="2"/>
      <c r="H1021" s="2"/>
      <c r="I1021" s="5"/>
    </row>
    <row r="1022" spans="1:9" ht="17.399999999999999" x14ac:dyDescent="0.25">
      <c r="A1022" s="16"/>
      <c r="B1022" s="17"/>
      <c r="C1022" s="2"/>
      <c r="D1022" s="2"/>
      <c r="E1022" s="2"/>
      <c r="F1022" s="2"/>
      <c r="G1022" s="2"/>
      <c r="H1022" s="2"/>
      <c r="I1022" s="5"/>
    </row>
    <row r="1023" spans="1:9" ht="17.399999999999999" x14ac:dyDescent="0.25">
      <c r="A1023" s="16"/>
      <c r="B1023" s="17"/>
      <c r="C1023" s="2"/>
      <c r="D1023" s="2"/>
      <c r="E1023" s="2"/>
      <c r="F1023" s="2"/>
      <c r="G1023" s="2"/>
      <c r="H1023" s="2"/>
      <c r="I1023" s="5"/>
    </row>
    <row r="1024" spans="1:9" ht="17.399999999999999" x14ac:dyDescent="0.25">
      <c r="A1024" s="16"/>
      <c r="B1024" s="17"/>
      <c r="C1024" s="2"/>
      <c r="D1024" s="2"/>
      <c r="E1024" s="2"/>
      <c r="F1024" s="2"/>
      <c r="G1024" s="2"/>
      <c r="H1024" s="2"/>
      <c r="I1024" s="5"/>
    </row>
    <row r="1025" spans="1:9" ht="17.399999999999999" x14ac:dyDescent="0.25">
      <c r="A1025" s="16"/>
      <c r="B1025" s="17"/>
      <c r="C1025" s="2"/>
      <c r="D1025" s="2"/>
      <c r="E1025" s="2"/>
      <c r="F1025" s="2"/>
      <c r="G1025" s="2"/>
      <c r="H1025" s="2"/>
      <c r="I1025" s="5"/>
    </row>
    <row r="1026" spans="1:9" ht="17.399999999999999" x14ac:dyDescent="0.25">
      <c r="A1026" s="16"/>
      <c r="B1026" s="17"/>
      <c r="C1026" s="2"/>
      <c r="D1026" s="2"/>
      <c r="E1026" s="2"/>
      <c r="F1026" s="2"/>
      <c r="G1026" s="2"/>
      <c r="H1026" s="2"/>
      <c r="I1026" s="5"/>
    </row>
    <row r="1027" spans="1:9" ht="17.399999999999999" x14ac:dyDescent="0.25">
      <c r="A1027" s="16"/>
      <c r="B1027" s="17"/>
      <c r="C1027" s="2"/>
      <c r="D1027" s="2"/>
      <c r="E1027" s="2"/>
      <c r="F1027" s="2"/>
      <c r="G1027" s="2"/>
      <c r="H1027" s="2"/>
      <c r="I1027" s="5"/>
    </row>
    <row r="1028" spans="1:9" ht="17.399999999999999" x14ac:dyDescent="0.25">
      <c r="A1028" s="16"/>
      <c r="B1028" s="17"/>
      <c r="C1028" s="2"/>
      <c r="D1028" s="2"/>
      <c r="E1028" s="2"/>
      <c r="F1028" s="2"/>
      <c r="G1028" s="2"/>
      <c r="H1028" s="2"/>
      <c r="I1028" s="5"/>
    </row>
    <row r="1029" spans="1:9" ht="17.399999999999999" x14ac:dyDescent="0.25">
      <c r="A1029" s="16"/>
      <c r="B1029" s="17"/>
      <c r="C1029" s="2"/>
      <c r="D1029" s="2"/>
      <c r="E1029" s="2"/>
      <c r="F1029" s="2"/>
      <c r="G1029" s="2"/>
      <c r="H1029" s="2"/>
      <c r="I1029" s="5"/>
    </row>
    <row r="1030" spans="1:9" ht="17.399999999999999" x14ac:dyDescent="0.25">
      <c r="A1030" s="16"/>
      <c r="B1030" s="17"/>
      <c r="C1030" s="2"/>
      <c r="D1030" s="2"/>
      <c r="E1030" s="2"/>
      <c r="F1030" s="2"/>
      <c r="G1030" s="2"/>
      <c r="H1030" s="2"/>
      <c r="I1030" s="5"/>
    </row>
    <row r="1031" spans="1:9" ht="17.399999999999999" x14ac:dyDescent="0.25">
      <c r="A1031" s="16"/>
      <c r="B1031" s="17"/>
      <c r="C1031" s="2"/>
      <c r="D1031" s="2"/>
      <c r="E1031" s="2"/>
      <c r="F1031" s="2"/>
      <c r="G1031" s="2"/>
      <c r="H1031" s="2"/>
      <c r="I1031" s="5"/>
    </row>
    <row r="1032" spans="1:9" ht="17.399999999999999" x14ac:dyDescent="0.25">
      <c r="A1032" s="16"/>
      <c r="B1032" s="17"/>
      <c r="C1032" s="2"/>
      <c r="D1032" s="2"/>
      <c r="E1032" s="2"/>
      <c r="F1032" s="2"/>
      <c r="G1032" s="2"/>
      <c r="H1032" s="2"/>
      <c r="I1032" s="5"/>
    </row>
    <row r="1033" spans="1:9" ht="17.399999999999999" x14ac:dyDescent="0.25">
      <c r="A1033" s="16"/>
      <c r="B1033" s="17"/>
      <c r="C1033" s="2"/>
      <c r="D1033" s="2"/>
      <c r="E1033" s="2"/>
      <c r="F1033" s="2"/>
      <c r="G1033" s="2"/>
      <c r="H1033" s="2"/>
      <c r="I1033" s="5"/>
    </row>
    <row r="1034" spans="1:9" ht="17.399999999999999" x14ac:dyDescent="0.25">
      <c r="A1034" s="16"/>
      <c r="B1034" s="17"/>
      <c r="C1034" s="2"/>
      <c r="D1034" s="2"/>
      <c r="E1034" s="2"/>
      <c r="F1034" s="2"/>
      <c r="G1034" s="2"/>
      <c r="H1034" s="2"/>
      <c r="I1034" s="5"/>
    </row>
    <row r="1035" spans="1:9" ht="17.399999999999999" x14ac:dyDescent="0.25">
      <c r="A1035" s="16"/>
      <c r="B1035" s="17"/>
      <c r="C1035" s="2"/>
      <c r="D1035" s="2"/>
      <c r="E1035" s="2"/>
      <c r="F1035" s="2"/>
      <c r="G1035" s="2"/>
      <c r="H1035" s="2"/>
      <c r="I1035" s="5"/>
    </row>
    <row r="1036" spans="1:9" ht="17.399999999999999" x14ac:dyDescent="0.25">
      <c r="A1036" s="16"/>
      <c r="B1036" s="17"/>
      <c r="C1036" s="2"/>
      <c r="D1036" s="2"/>
      <c r="E1036" s="2"/>
      <c r="F1036" s="2"/>
      <c r="G1036" s="2"/>
      <c r="H1036" s="2"/>
      <c r="I1036" s="5"/>
    </row>
    <row r="1037" spans="1:9" ht="17.399999999999999" x14ac:dyDescent="0.25">
      <c r="A1037" s="16"/>
      <c r="B1037" s="17"/>
      <c r="C1037" s="2"/>
      <c r="D1037" s="2"/>
      <c r="E1037" s="2"/>
      <c r="F1037" s="2"/>
      <c r="G1037" s="2"/>
      <c r="H1037" s="2"/>
      <c r="I1037" s="5"/>
    </row>
    <row r="1038" spans="1:9" ht="17.399999999999999" x14ac:dyDescent="0.25">
      <c r="A1038" s="16"/>
      <c r="B1038" s="17"/>
      <c r="C1038" s="2"/>
      <c r="D1038" s="2"/>
      <c r="E1038" s="2"/>
      <c r="F1038" s="2"/>
      <c r="G1038" s="2"/>
      <c r="H1038" s="2"/>
      <c r="I1038" s="5"/>
    </row>
    <row r="1039" spans="1:9" ht="17.399999999999999" x14ac:dyDescent="0.25">
      <c r="A1039" s="16"/>
      <c r="B1039" s="17"/>
      <c r="C1039" s="2"/>
      <c r="D1039" s="2"/>
      <c r="E1039" s="2"/>
      <c r="F1039" s="2"/>
      <c r="G1039" s="2"/>
      <c r="H1039" s="2"/>
      <c r="I1039" s="5"/>
    </row>
    <row r="1040" spans="1:9" ht="17.399999999999999" x14ac:dyDescent="0.25">
      <c r="A1040" s="16"/>
      <c r="B1040" s="17"/>
      <c r="C1040" s="2"/>
      <c r="D1040" s="2"/>
      <c r="E1040" s="2"/>
      <c r="F1040" s="2"/>
      <c r="G1040" s="2"/>
      <c r="H1040" s="2"/>
      <c r="I1040" s="5"/>
    </row>
    <row r="1041" spans="1:9" ht="17.399999999999999" x14ac:dyDescent="0.25">
      <c r="A1041" s="16"/>
      <c r="B1041" s="17"/>
      <c r="C1041" s="2"/>
      <c r="D1041" s="2"/>
      <c r="E1041" s="2"/>
      <c r="F1041" s="2"/>
      <c r="G1041" s="2"/>
      <c r="H1041" s="2"/>
      <c r="I1041" s="5"/>
    </row>
    <row r="1042" spans="1:9" ht="17.399999999999999" x14ac:dyDescent="0.25">
      <c r="A1042" s="16"/>
      <c r="B1042" s="17"/>
      <c r="C1042" s="2"/>
      <c r="D1042" s="2"/>
      <c r="E1042" s="2"/>
      <c r="F1042" s="2"/>
      <c r="G1042" s="2"/>
      <c r="H1042" s="2"/>
      <c r="I1042" s="5"/>
    </row>
    <row r="1043" spans="1:9" ht="17.399999999999999" x14ac:dyDescent="0.25">
      <c r="A1043" s="16"/>
      <c r="B1043" s="17"/>
      <c r="C1043" s="2"/>
      <c r="D1043" s="2"/>
      <c r="E1043" s="2"/>
      <c r="F1043" s="2"/>
      <c r="G1043" s="2"/>
      <c r="H1043" s="2"/>
      <c r="I1043" s="5"/>
    </row>
    <row r="1044" spans="1:9" ht="17.399999999999999" x14ac:dyDescent="0.25">
      <c r="A1044" s="16"/>
      <c r="B1044" s="17"/>
      <c r="C1044" s="2"/>
      <c r="D1044" s="2"/>
      <c r="E1044" s="2"/>
      <c r="F1044" s="2"/>
      <c r="G1044" s="2"/>
      <c r="H1044" s="2"/>
      <c r="I1044" s="5"/>
    </row>
    <row r="1045" spans="1:9" ht="17.399999999999999" x14ac:dyDescent="0.25">
      <c r="A1045" s="16"/>
      <c r="B1045" s="17"/>
      <c r="C1045" s="2"/>
      <c r="D1045" s="2"/>
      <c r="E1045" s="2"/>
      <c r="F1045" s="2"/>
      <c r="G1045" s="2"/>
      <c r="H1045" s="2"/>
      <c r="I1045" s="5"/>
    </row>
    <row r="1046" spans="1:9" ht="17.399999999999999" x14ac:dyDescent="0.25">
      <c r="A1046" s="16"/>
      <c r="B1046" s="17"/>
      <c r="C1046" s="2"/>
      <c r="D1046" s="2"/>
      <c r="E1046" s="2"/>
      <c r="F1046" s="2"/>
      <c r="G1046" s="2"/>
      <c r="H1046" s="2"/>
      <c r="I1046" s="5"/>
    </row>
    <row r="1047" spans="1:9" ht="17.399999999999999" x14ac:dyDescent="0.25">
      <c r="A1047" s="16"/>
      <c r="B1047" s="17"/>
      <c r="C1047" s="2"/>
      <c r="D1047" s="2"/>
      <c r="E1047" s="2"/>
      <c r="F1047" s="2"/>
      <c r="G1047" s="2"/>
      <c r="H1047" s="2"/>
      <c r="I1047" s="5"/>
    </row>
    <row r="1048" spans="1:9" ht="17.399999999999999" x14ac:dyDescent="0.25">
      <c r="A1048" s="16"/>
      <c r="B1048" s="17"/>
      <c r="C1048" s="2"/>
      <c r="D1048" s="2"/>
      <c r="E1048" s="2"/>
      <c r="F1048" s="2"/>
      <c r="G1048" s="2"/>
      <c r="H1048" s="2"/>
      <c r="I1048" s="5"/>
    </row>
    <row r="1049" spans="1:9" ht="17.399999999999999" x14ac:dyDescent="0.25">
      <c r="A1049" s="16"/>
      <c r="B1049" s="17"/>
      <c r="C1049" s="2"/>
      <c r="D1049" s="2"/>
      <c r="E1049" s="2"/>
      <c r="F1049" s="2"/>
      <c r="G1049" s="2"/>
      <c r="H1049" s="2"/>
      <c r="I1049" s="5"/>
    </row>
    <row r="1050" spans="1:9" ht="17.399999999999999" x14ac:dyDescent="0.25">
      <c r="A1050" s="16"/>
      <c r="B1050" s="17"/>
      <c r="C1050" s="2"/>
      <c r="D1050" s="2"/>
      <c r="E1050" s="2"/>
      <c r="F1050" s="2"/>
      <c r="G1050" s="2"/>
      <c r="H1050" s="2"/>
      <c r="I1050" s="5"/>
    </row>
    <row r="1051" spans="1:9" ht="17.399999999999999" x14ac:dyDescent="0.25">
      <c r="A1051" s="16"/>
      <c r="B1051" s="17"/>
      <c r="C1051" s="2"/>
      <c r="D1051" s="2"/>
      <c r="E1051" s="2"/>
      <c r="F1051" s="2"/>
      <c r="G1051" s="2"/>
      <c r="H1051" s="2"/>
      <c r="I1051" s="5"/>
    </row>
    <row r="1052" spans="1:9" ht="17.399999999999999" x14ac:dyDescent="0.25">
      <c r="A1052" s="16"/>
      <c r="B1052" s="17"/>
      <c r="C1052" s="2"/>
      <c r="D1052" s="2"/>
      <c r="E1052" s="2"/>
      <c r="F1052" s="2"/>
      <c r="G1052" s="2"/>
      <c r="H1052" s="2"/>
      <c r="I1052" s="5"/>
    </row>
    <row r="1053" spans="1:9" ht="17.399999999999999" x14ac:dyDescent="0.25">
      <c r="A1053" s="16"/>
      <c r="B1053" s="17"/>
      <c r="C1053" s="2"/>
      <c r="D1053" s="2"/>
      <c r="E1053" s="2"/>
      <c r="F1053" s="2"/>
      <c r="G1053" s="2"/>
      <c r="H1053" s="2"/>
      <c r="I1053" s="5"/>
    </row>
    <row r="1054" spans="1:9" ht="17.399999999999999" x14ac:dyDescent="0.25">
      <c r="A1054" s="16"/>
      <c r="B1054" s="17"/>
      <c r="C1054" s="2"/>
      <c r="D1054" s="2"/>
      <c r="E1054" s="2"/>
      <c r="F1054" s="2"/>
      <c r="G1054" s="2"/>
      <c r="H1054" s="2"/>
      <c r="I1054" s="5"/>
    </row>
    <row r="1055" spans="1:9" ht="17.399999999999999" x14ac:dyDescent="0.25">
      <c r="A1055" s="16"/>
      <c r="B1055" s="17"/>
      <c r="C1055" s="2"/>
      <c r="D1055" s="2"/>
      <c r="E1055" s="2"/>
      <c r="F1055" s="2"/>
      <c r="G1055" s="2"/>
      <c r="H1055" s="2"/>
      <c r="I1055" s="5"/>
    </row>
    <row r="1056" spans="1:9" ht="17.399999999999999" x14ac:dyDescent="0.25">
      <c r="A1056" s="16"/>
      <c r="B1056" s="17"/>
      <c r="C1056" s="2"/>
      <c r="D1056" s="2"/>
      <c r="E1056" s="2"/>
      <c r="F1056" s="2"/>
      <c r="G1056" s="2"/>
      <c r="H1056" s="2"/>
      <c r="I1056" s="5"/>
    </row>
    <row r="1057" spans="1:9" ht="17.399999999999999" x14ac:dyDescent="0.25">
      <c r="A1057" s="16"/>
      <c r="B1057" s="17"/>
      <c r="C1057" s="2"/>
      <c r="D1057" s="2"/>
      <c r="E1057" s="2"/>
      <c r="F1057" s="2"/>
      <c r="G1057" s="2"/>
      <c r="H1057" s="2"/>
      <c r="I1057" s="5"/>
    </row>
    <row r="1058" spans="1:9" ht="17.399999999999999" x14ac:dyDescent="0.25">
      <c r="A1058" s="16"/>
      <c r="B1058" s="17"/>
      <c r="C1058" s="2"/>
      <c r="D1058" s="2"/>
      <c r="E1058" s="2"/>
      <c r="F1058" s="2"/>
      <c r="G1058" s="2"/>
      <c r="H1058" s="2"/>
      <c r="I1058" s="5"/>
    </row>
    <row r="1059" spans="1:9" ht="17.399999999999999" x14ac:dyDescent="0.25">
      <c r="A1059" s="16"/>
      <c r="B1059" s="17"/>
      <c r="C1059" s="2"/>
      <c r="D1059" s="2"/>
      <c r="E1059" s="2"/>
      <c r="F1059" s="2"/>
      <c r="G1059" s="2"/>
      <c r="H1059" s="2"/>
      <c r="I1059" s="5"/>
    </row>
    <row r="1060" spans="1:9" ht="17.399999999999999" x14ac:dyDescent="0.25">
      <c r="A1060" s="16"/>
      <c r="B1060" s="17"/>
      <c r="C1060" s="2"/>
      <c r="D1060" s="2"/>
      <c r="E1060" s="2"/>
      <c r="F1060" s="2"/>
      <c r="G1060" s="2"/>
      <c r="H1060" s="2"/>
      <c r="I1060" s="5"/>
    </row>
    <row r="1061" spans="1:9" ht="17.399999999999999" x14ac:dyDescent="0.25">
      <c r="A1061" s="16"/>
      <c r="B1061" s="17"/>
      <c r="C1061" s="2"/>
      <c r="D1061" s="2"/>
      <c r="E1061" s="2"/>
      <c r="F1061" s="2"/>
      <c r="G1061" s="2"/>
      <c r="H1061" s="2"/>
      <c r="I1061" s="5"/>
    </row>
    <row r="1062" spans="1:9" ht="17.399999999999999" x14ac:dyDescent="0.25">
      <c r="A1062" s="16"/>
      <c r="B1062" s="17"/>
      <c r="C1062" s="2"/>
      <c r="D1062" s="2"/>
      <c r="E1062" s="2"/>
      <c r="F1062" s="2"/>
      <c r="G1062" s="2"/>
      <c r="H1062" s="2"/>
      <c r="I1062" s="5"/>
    </row>
    <row r="1063" spans="1:9" ht="17.399999999999999" x14ac:dyDescent="0.25">
      <c r="A1063" s="16"/>
      <c r="B1063" s="17"/>
      <c r="C1063" s="2"/>
      <c r="D1063" s="2"/>
      <c r="E1063" s="2"/>
      <c r="F1063" s="2"/>
      <c r="G1063" s="2"/>
      <c r="H1063" s="2"/>
      <c r="I1063" s="5"/>
    </row>
    <row r="1064" spans="1:9" ht="17.399999999999999" x14ac:dyDescent="0.25">
      <c r="A1064" s="16"/>
      <c r="B1064" s="17"/>
      <c r="C1064" s="2"/>
      <c r="D1064" s="2"/>
      <c r="E1064" s="2"/>
      <c r="F1064" s="2"/>
      <c r="G1064" s="2"/>
      <c r="H1064" s="2"/>
      <c r="I1064" s="5"/>
    </row>
    <row r="1065" spans="1:9" ht="17.399999999999999" x14ac:dyDescent="0.25">
      <c r="A1065" s="16"/>
      <c r="B1065" s="17"/>
      <c r="C1065" s="2"/>
      <c r="D1065" s="2"/>
      <c r="E1065" s="2"/>
      <c r="F1065" s="2"/>
      <c r="G1065" s="2"/>
      <c r="H1065" s="2"/>
      <c r="I1065" s="5"/>
    </row>
    <row r="1066" spans="1:9" ht="17.399999999999999" x14ac:dyDescent="0.25">
      <c r="A1066" s="16"/>
      <c r="B1066" s="17"/>
      <c r="C1066" s="2"/>
      <c r="D1066" s="2"/>
      <c r="E1066" s="2"/>
      <c r="F1066" s="2"/>
      <c r="G1066" s="2"/>
      <c r="H1066" s="2"/>
      <c r="I1066" s="5"/>
    </row>
    <row r="1067" spans="1:9" ht="17.399999999999999" x14ac:dyDescent="0.25">
      <c r="A1067" s="16"/>
      <c r="B1067" s="17"/>
      <c r="C1067" s="2"/>
      <c r="D1067" s="2"/>
      <c r="E1067" s="2"/>
      <c r="F1067" s="2"/>
      <c r="G1067" s="2"/>
      <c r="H1067" s="2"/>
      <c r="I1067" s="5"/>
    </row>
    <row r="1068" spans="1:9" ht="17.399999999999999" x14ac:dyDescent="0.25">
      <c r="A1068" s="16"/>
      <c r="B1068" s="17"/>
      <c r="C1068" s="2"/>
      <c r="D1068" s="2"/>
      <c r="E1068" s="2"/>
      <c r="F1068" s="2"/>
      <c r="G1068" s="2"/>
      <c r="H1068" s="2"/>
      <c r="I1068" s="5"/>
    </row>
    <row r="1069" spans="1:9" ht="17.399999999999999" x14ac:dyDescent="0.25">
      <c r="A1069" s="16"/>
      <c r="B1069" s="17"/>
      <c r="C1069" s="2"/>
      <c r="D1069" s="2"/>
      <c r="E1069" s="2"/>
      <c r="F1069" s="2"/>
      <c r="G1069" s="2"/>
      <c r="H1069" s="2"/>
      <c r="I1069" s="5"/>
    </row>
    <row r="1070" spans="1:9" ht="17.399999999999999" x14ac:dyDescent="0.25">
      <c r="A1070" s="16"/>
      <c r="B1070" s="17"/>
      <c r="C1070" s="2"/>
      <c r="D1070" s="2"/>
      <c r="E1070" s="2"/>
      <c r="F1070" s="2"/>
      <c r="G1070" s="2"/>
      <c r="H1070" s="2"/>
      <c r="I1070" s="5"/>
    </row>
    <row r="1071" spans="1:9" ht="17.399999999999999" x14ac:dyDescent="0.25">
      <c r="A1071" s="16"/>
      <c r="B1071" s="17"/>
      <c r="C1071" s="2"/>
      <c r="D1071" s="2"/>
      <c r="E1071" s="2"/>
      <c r="F1071" s="2"/>
      <c r="G1071" s="2"/>
      <c r="H1071" s="2"/>
      <c r="I1071" s="5"/>
    </row>
    <row r="1072" spans="1:9" ht="17.399999999999999" x14ac:dyDescent="0.25">
      <c r="A1072" s="16"/>
      <c r="B1072" s="17"/>
      <c r="C1072" s="2"/>
      <c r="D1072" s="2"/>
      <c r="E1072" s="2"/>
      <c r="F1072" s="2"/>
      <c r="G1072" s="2"/>
      <c r="H1072" s="2"/>
      <c r="I1072" s="5"/>
    </row>
    <row r="1073" spans="1:9" ht="17.399999999999999" x14ac:dyDescent="0.25">
      <c r="A1073" s="16"/>
      <c r="B1073" s="17"/>
      <c r="C1073" s="2"/>
      <c r="D1073" s="2"/>
      <c r="E1073" s="2"/>
      <c r="F1073" s="2"/>
      <c r="G1073" s="2"/>
      <c r="H1073" s="2"/>
      <c r="I1073" s="5"/>
    </row>
    <row r="1074" spans="1:9" ht="17.399999999999999" x14ac:dyDescent="0.25">
      <c r="A1074" s="16"/>
      <c r="B1074" s="17"/>
      <c r="C1074" s="2"/>
      <c r="D1074" s="2"/>
      <c r="E1074" s="2"/>
      <c r="F1074" s="2"/>
      <c r="G1074" s="2"/>
      <c r="H1074" s="2"/>
      <c r="I1074" s="5"/>
    </row>
    <row r="1075" spans="1:9" ht="17.399999999999999" x14ac:dyDescent="0.25">
      <c r="A1075" s="16"/>
      <c r="B1075" s="17"/>
      <c r="C1075" s="2"/>
      <c r="D1075" s="2"/>
      <c r="E1075" s="2"/>
      <c r="F1075" s="2"/>
      <c r="G1075" s="2"/>
      <c r="H1075" s="2"/>
      <c r="I1075" s="5"/>
    </row>
    <row r="1076" spans="1:9" ht="17.399999999999999" x14ac:dyDescent="0.25">
      <c r="A1076" s="16"/>
      <c r="B1076" s="17"/>
      <c r="C1076" s="2"/>
      <c r="D1076" s="2"/>
      <c r="E1076" s="2"/>
      <c r="F1076" s="2"/>
      <c r="G1076" s="2"/>
      <c r="H1076" s="2"/>
      <c r="I1076" s="5"/>
    </row>
    <row r="1077" spans="1:9" ht="17.399999999999999" x14ac:dyDescent="0.25">
      <c r="A1077" s="16"/>
      <c r="B1077" s="17"/>
      <c r="C1077" s="2"/>
      <c r="D1077" s="2"/>
      <c r="E1077" s="2"/>
      <c r="F1077" s="2"/>
      <c r="G1077" s="2"/>
      <c r="H1077" s="2"/>
      <c r="I1077" s="5"/>
    </row>
    <row r="1078" spans="1:9" ht="17.399999999999999" x14ac:dyDescent="0.25">
      <c r="A1078" s="16"/>
      <c r="B1078" s="17"/>
      <c r="C1078" s="2"/>
      <c r="D1078" s="2"/>
      <c r="E1078" s="2"/>
      <c r="F1078" s="2"/>
      <c r="G1078" s="2"/>
      <c r="H1078" s="2"/>
      <c r="I1078" s="5"/>
    </row>
    <row r="1079" spans="1:9" ht="17.399999999999999" x14ac:dyDescent="0.25">
      <c r="A1079" s="16"/>
      <c r="B1079" s="17"/>
      <c r="C1079" s="2"/>
      <c r="D1079" s="2"/>
      <c r="E1079" s="2"/>
      <c r="F1079" s="2"/>
      <c r="G1079" s="2"/>
      <c r="H1079" s="2"/>
      <c r="I1079" s="5"/>
    </row>
    <row r="1080" spans="1:9" ht="17.399999999999999" x14ac:dyDescent="0.25">
      <c r="A1080" s="16"/>
      <c r="B1080" s="17"/>
      <c r="C1080" s="2"/>
      <c r="D1080" s="2"/>
      <c r="E1080" s="2"/>
      <c r="F1080" s="2"/>
      <c r="G1080" s="2"/>
      <c r="H1080" s="2"/>
      <c r="I1080" s="5"/>
    </row>
    <row r="1081" spans="1:9" ht="17.399999999999999" x14ac:dyDescent="0.25">
      <c r="A1081" s="16"/>
      <c r="B1081" s="17"/>
      <c r="C1081" s="2"/>
      <c r="D1081" s="2"/>
      <c r="E1081" s="2"/>
      <c r="F1081" s="2"/>
      <c r="G1081" s="2"/>
      <c r="H1081" s="2"/>
      <c r="I1081" s="5"/>
    </row>
    <row r="1082" spans="1:9" ht="17.399999999999999" x14ac:dyDescent="0.25">
      <c r="A1082" s="16"/>
      <c r="B1082" s="17"/>
      <c r="C1082" s="2"/>
      <c r="D1082" s="2"/>
      <c r="E1082" s="2"/>
      <c r="F1082" s="2"/>
      <c r="G1082" s="2"/>
      <c r="H1082" s="2"/>
      <c r="I1082" s="5"/>
    </row>
    <row r="1083" spans="1:9" ht="17.399999999999999" x14ac:dyDescent="0.25">
      <c r="A1083" s="16"/>
      <c r="B1083" s="17"/>
      <c r="C1083" s="2"/>
      <c r="D1083" s="2"/>
      <c r="E1083" s="2"/>
      <c r="F1083" s="2"/>
      <c r="G1083" s="2"/>
      <c r="H1083" s="2"/>
      <c r="I1083" s="5"/>
    </row>
    <row r="1084" spans="1:9" ht="17.399999999999999" x14ac:dyDescent="0.25">
      <c r="A1084" s="16"/>
      <c r="B1084" s="17"/>
      <c r="C1084" s="2"/>
      <c r="D1084" s="2"/>
      <c r="E1084" s="2"/>
      <c r="F1084" s="2"/>
      <c r="G1084" s="2"/>
      <c r="H1084" s="2"/>
      <c r="I1084" s="5"/>
    </row>
    <row r="1085" spans="1:9" ht="17.399999999999999" x14ac:dyDescent="0.25">
      <c r="A1085" s="16"/>
      <c r="B1085" s="17"/>
      <c r="C1085" s="2"/>
      <c r="D1085" s="2"/>
      <c r="E1085" s="2"/>
      <c r="F1085" s="2"/>
      <c r="G1085" s="2"/>
      <c r="H1085" s="2"/>
      <c r="I1085" s="5"/>
    </row>
    <row r="1086" spans="1:9" ht="17.399999999999999" x14ac:dyDescent="0.25">
      <c r="A1086" s="16"/>
      <c r="B1086" s="17"/>
      <c r="C1086" s="2"/>
      <c r="D1086" s="2"/>
      <c r="E1086" s="2"/>
      <c r="F1086" s="2"/>
      <c r="G1086" s="2"/>
      <c r="H1086" s="2"/>
      <c r="I1086" s="5"/>
    </row>
    <row r="1087" spans="1:9" ht="17.399999999999999" x14ac:dyDescent="0.25">
      <c r="A1087" s="16"/>
      <c r="B1087" s="17"/>
      <c r="C1087" s="2"/>
      <c r="D1087" s="2"/>
      <c r="E1087" s="2"/>
      <c r="F1087" s="2"/>
      <c r="G1087" s="2"/>
      <c r="H1087" s="2"/>
      <c r="I1087" s="5"/>
    </row>
    <row r="1088" spans="1:9" ht="17.399999999999999" x14ac:dyDescent="0.25">
      <c r="A1088" s="16"/>
      <c r="B1088" s="17"/>
      <c r="C1088" s="2"/>
      <c r="D1088" s="2"/>
      <c r="E1088" s="2"/>
      <c r="F1088" s="2"/>
      <c r="G1088" s="2"/>
      <c r="H1088" s="2"/>
      <c r="I1088" s="5"/>
    </row>
    <row r="1089" spans="1:9" ht="17.399999999999999" x14ac:dyDescent="0.25">
      <c r="A1089" s="16"/>
      <c r="B1089" s="17"/>
      <c r="C1089" s="2"/>
      <c r="D1089" s="2"/>
      <c r="E1089" s="2"/>
      <c r="F1089" s="2"/>
      <c r="G1089" s="2"/>
      <c r="H1089" s="2"/>
      <c r="I1089" s="5"/>
    </row>
    <row r="1090" spans="1:9" ht="17.399999999999999" x14ac:dyDescent="0.25">
      <c r="A1090" s="16"/>
      <c r="B1090" s="17"/>
      <c r="C1090" s="2"/>
      <c r="D1090" s="2"/>
      <c r="E1090" s="2"/>
      <c r="F1090" s="2"/>
      <c r="G1090" s="2"/>
      <c r="H1090" s="2"/>
      <c r="I1090" s="5"/>
    </row>
    <row r="1091" spans="1:9" ht="17.399999999999999" x14ac:dyDescent="0.25">
      <c r="A1091" s="16"/>
      <c r="B1091" s="17"/>
      <c r="C1091" s="2"/>
      <c r="D1091" s="2"/>
      <c r="E1091" s="2"/>
      <c r="F1091" s="2"/>
      <c r="G1091" s="2"/>
      <c r="H1091" s="2"/>
      <c r="I1091" s="5"/>
    </row>
    <row r="1092" spans="1:9" ht="17.399999999999999" x14ac:dyDescent="0.25">
      <c r="A1092" s="16"/>
      <c r="B1092" s="17"/>
      <c r="C1092" s="2"/>
      <c r="D1092" s="2"/>
      <c r="E1092" s="2"/>
      <c r="F1092" s="2"/>
      <c r="G1092" s="2"/>
      <c r="H1092" s="2"/>
      <c r="I1092" s="5"/>
    </row>
    <row r="1093" spans="1:9" ht="17.399999999999999" x14ac:dyDescent="0.25">
      <c r="A1093" s="16"/>
      <c r="B1093" s="17"/>
      <c r="C1093" s="2"/>
      <c r="D1093" s="2"/>
      <c r="E1093" s="2"/>
      <c r="F1093" s="2"/>
      <c r="G1093" s="2"/>
      <c r="H1093" s="2"/>
      <c r="I1093" s="5"/>
    </row>
    <row r="1094" spans="1:9" ht="17.399999999999999" x14ac:dyDescent="0.25">
      <c r="A1094" s="16"/>
      <c r="B1094" s="17"/>
      <c r="C1094" s="2"/>
      <c r="D1094" s="2"/>
      <c r="E1094" s="2"/>
      <c r="F1094" s="2"/>
      <c r="G1094" s="2"/>
      <c r="H1094" s="2"/>
      <c r="I1094" s="5"/>
    </row>
    <row r="1095" spans="1:9" ht="17.399999999999999" x14ac:dyDescent="0.25">
      <c r="A1095" s="16"/>
      <c r="B1095" s="17"/>
      <c r="C1095" s="2"/>
      <c r="D1095" s="2"/>
      <c r="E1095" s="2"/>
      <c r="F1095" s="2"/>
      <c r="G1095" s="2"/>
      <c r="H1095" s="2"/>
      <c r="I1095" s="5"/>
    </row>
    <row r="1096" spans="1:9" ht="17.399999999999999" x14ac:dyDescent="0.25">
      <c r="A1096" s="16"/>
      <c r="B1096" s="17"/>
      <c r="C1096" s="2"/>
      <c r="D1096" s="2"/>
      <c r="E1096" s="2"/>
      <c r="F1096" s="2"/>
      <c r="G1096" s="2"/>
      <c r="H1096" s="2"/>
      <c r="I1096" s="5"/>
    </row>
    <row r="1097" spans="1:9" ht="17.399999999999999" x14ac:dyDescent="0.25">
      <c r="A1097" s="16"/>
      <c r="B1097" s="17"/>
      <c r="C1097" s="2"/>
      <c r="D1097" s="2"/>
      <c r="E1097" s="2"/>
      <c r="F1097" s="2"/>
      <c r="G1097" s="2"/>
      <c r="H1097" s="2"/>
      <c r="I1097" s="5"/>
    </row>
    <row r="1098" spans="1:9" ht="17.399999999999999" x14ac:dyDescent="0.25">
      <c r="A1098" s="16"/>
      <c r="B1098" s="17"/>
      <c r="C1098" s="2"/>
      <c r="D1098" s="2"/>
      <c r="E1098" s="2"/>
      <c r="F1098" s="2"/>
      <c r="G1098" s="2"/>
      <c r="H1098" s="2"/>
      <c r="I1098" s="5"/>
    </row>
    <row r="1099" spans="1:9" ht="17.399999999999999" x14ac:dyDescent="0.25">
      <c r="A1099" s="16"/>
      <c r="B1099" s="17"/>
      <c r="C1099" s="2"/>
      <c r="D1099" s="2"/>
      <c r="E1099" s="2"/>
      <c r="F1099" s="2"/>
      <c r="G1099" s="2"/>
      <c r="H1099" s="2"/>
      <c r="I1099" s="5"/>
    </row>
    <row r="1100" spans="1:9" ht="17.399999999999999" x14ac:dyDescent="0.25">
      <c r="A1100" s="16"/>
      <c r="B1100" s="17"/>
      <c r="C1100" s="2"/>
      <c r="D1100" s="2"/>
      <c r="E1100" s="2"/>
      <c r="F1100" s="2"/>
      <c r="G1100" s="2"/>
      <c r="H1100" s="2"/>
      <c r="I1100" s="5"/>
    </row>
    <row r="1101" spans="1:9" ht="17.399999999999999" x14ac:dyDescent="0.25">
      <c r="A1101" s="16"/>
      <c r="B1101" s="17"/>
      <c r="C1101" s="2"/>
      <c r="D1101" s="2"/>
      <c r="E1101" s="2"/>
      <c r="F1101" s="2"/>
      <c r="G1101" s="2"/>
      <c r="H1101" s="2"/>
      <c r="I1101" s="5"/>
    </row>
    <row r="1102" spans="1:9" ht="17.399999999999999" x14ac:dyDescent="0.25">
      <c r="A1102" s="16"/>
      <c r="B1102" s="17"/>
      <c r="C1102" s="2"/>
      <c r="D1102" s="2"/>
      <c r="E1102" s="2"/>
      <c r="F1102" s="2"/>
      <c r="G1102" s="2"/>
      <c r="H1102" s="2"/>
      <c r="I1102" s="5"/>
    </row>
    <row r="1103" spans="1:9" ht="17.399999999999999" x14ac:dyDescent="0.25">
      <c r="A1103" s="16"/>
      <c r="B1103" s="17"/>
      <c r="C1103" s="2"/>
      <c r="D1103" s="2"/>
      <c r="E1103" s="2"/>
      <c r="F1103" s="2"/>
      <c r="G1103" s="2"/>
      <c r="H1103" s="2"/>
      <c r="I1103" s="5"/>
    </row>
    <row r="1104" spans="1:9" ht="17.399999999999999" x14ac:dyDescent="0.25">
      <c r="A1104" s="16"/>
      <c r="B1104" s="17"/>
      <c r="C1104" s="2"/>
      <c r="D1104" s="2"/>
      <c r="E1104" s="2"/>
      <c r="F1104" s="2"/>
      <c r="G1104" s="2"/>
      <c r="H1104" s="2"/>
      <c r="I1104" s="5"/>
    </row>
    <row r="1105" spans="1:9" ht="17.399999999999999" x14ac:dyDescent="0.25">
      <c r="A1105" s="16"/>
      <c r="B1105" s="17"/>
      <c r="C1105" s="2"/>
      <c r="D1105" s="2"/>
      <c r="E1105" s="2"/>
      <c r="F1105" s="2"/>
      <c r="G1105" s="2"/>
      <c r="H1105" s="2"/>
      <c r="I1105" s="5"/>
    </row>
    <row r="1106" spans="1:9" ht="17.399999999999999" x14ac:dyDescent="0.25">
      <c r="A1106" s="16"/>
      <c r="B1106" s="17"/>
      <c r="C1106" s="2"/>
      <c r="D1106" s="2"/>
      <c r="E1106" s="2"/>
      <c r="F1106" s="2"/>
      <c r="G1106" s="2"/>
      <c r="H1106" s="2"/>
      <c r="I1106" s="5"/>
    </row>
    <row r="1107" spans="1:9" ht="17.399999999999999" x14ac:dyDescent="0.25">
      <c r="A1107" s="16"/>
      <c r="B1107" s="17"/>
      <c r="C1107" s="2"/>
      <c r="D1107" s="2"/>
      <c r="E1107" s="2"/>
      <c r="F1107" s="2"/>
      <c r="G1107" s="2"/>
      <c r="H1107" s="2"/>
      <c r="I1107" s="5"/>
    </row>
    <row r="1108" spans="1:9" ht="17.399999999999999" x14ac:dyDescent="0.25">
      <c r="A1108" s="16"/>
      <c r="B1108" s="17"/>
      <c r="C1108" s="2"/>
      <c r="D1108" s="2"/>
      <c r="E1108" s="2"/>
      <c r="F1108" s="2"/>
      <c r="G1108" s="2"/>
      <c r="H1108" s="2"/>
      <c r="I1108" s="5"/>
    </row>
    <row r="1109" spans="1:9" ht="17.399999999999999" x14ac:dyDescent="0.25">
      <c r="A1109" s="16"/>
      <c r="B1109" s="17"/>
      <c r="C1109" s="2"/>
      <c r="D1109" s="2"/>
      <c r="E1109" s="2"/>
      <c r="F1109" s="2"/>
      <c r="G1109" s="2"/>
      <c r="H1109" s="2"/>
      <c r="I1109" s="5"/>
    </row>
    <row r="1110" spans="1:9" ht="17.399999999999999" x14ac:dyDescent="0.25">
      <c r="A1110" s="16"/>
      <c r="B1110" s="17"/>
      <c r="C1110" s="2"/>
      <c r="D1110" s="2"/>
      <c r="E1110" s="2"/>
      <c r="F1110" s="2"/>
      <c r="G1110" s="2"/>
      <c r="H1110" s="2"/>
      <c r="I1110" s="5"/>
    </row>
    <row r="1111" spans="1:9" ht="17.399999999999999" x14ac:dyDescent="0.25">
      <c r="A1111" s="16"/>
      <c r="B1111" s="17"/>
      <c r="C1111" s="2"/>
      <c r="D1111" s="2"/>
      <c r="E1111" s="2"/>
      <c r="F1111" s="2"/>
      <c r="G1111" s="2"/>
      <c r="H1111" s="2"/>
      <c r="I1111" s="5"/>
    </row>
    <row r="1112" spans="1:9" ht="17.399999999999999" x14ac:dyDescent="0.25">
      <c r="A1112" s="16"/>
      <c r="B1112" s="17"/>
      <c r="C1112" s="2"/>
      <c r="D1112" s="2"/>
      <c r="E1112" s="2"/>
      <c r="F1112" s="2"/>
      <c r="G1112" s="2"/>
      <c r="H1112" s="2"/>
      <c r="I1112" s="5"/>
    </row>
    <row r="1113" spans="1:9" ht="17.399999999999999" x14ac:dyDescent="0.25">
      <c r="A1113" s="16"/>
      <c r="B1113" s="17"/>
      <c r="C1113" s="2"/>
      <c r="D1113" s="2"/>
      <c r="E1113" s="2"/>
      <c r="F1113" s="2"/>
      <c r="G1113" s="2"/>
      <c r="H1113" s="2"/>
      <c r="I1113" s="5"/>
    </row>
    <row r="1114" spans="1:9" ht="17.399999999999999" x14ac:dyDescent="0.25">
      <c r="A1114" s="16"/>
      <c r="B1114" s="17"/>
      <c r="C1114" s="2"/>
      <c r="D1114" s="2"/>
      <c r="E1114" s="2"/>
      <c r="F1114" s="2"/>
      <c r="G1114" s="2"/>
      <c r="H1114" s="2"/>
      <c r="I1114" s="5"/>
    </row>
    <row r="1115" spans="1:9" ht="17.399999999999999" x14ac:dyDescent="0.25">
      <c r="A1115" s="16"/>
      <c r="B1115" s="17"/>
      <c r="C1115" s="2"/>
      <c r="D1115" s="2"/>
      <c r="E1115" s="2"/>
      <c r="F1115" s="2"/>
      <c r="G1115" s="2"/>
      <c r="H1115" s="2"/>
      <c r="I1115" s="5"/>
    </row>
    <row r="1116" spans="1:9" ht="17.399999999999999" x14ac:dyDescent="0.25">
      <c r="A1116" s="16"/>
      <c r="B1116" s="17"/>
      <c r="C1116" s="2"/>
      <c r="D1116" s="2"/>
      <c r="E1116" s="2"/>
      <c r="F1116" s="2"/>
      <c r="G1116" s="2"/>
      <c r="H1116" s="2"/>
      <c r="I1116" s="5"/>
    </row>
    <row r="1117" spans="1:9" ht="17.399999999999999" x14ac:dyDescent="0.25">
      <c r="A1117" s="16"/>
      <c r="B1117" s="17"/>
      <c r="C1117" s="2"/>
      <c r="D1117" s="2"/>
      <c r="E1117" s="2"/>
      <c r="F1117" s="2"/>
      <c r="G1117" s="2"/>
      <c r="H1117" s="2"/>
      <c r="I1117" s="5"/>
    </row>
    <row r="1118" spans="1:9" ht="17.399999999999999" x14ac:dyDescent="0.25">
      <c r="A1118" s="16"/>
      <c r="B1118" s="17"/>
      <c r="C1118" s="2"/>
      <c r="D1118" s="2"/>
      <c r="E1118" s="2"/>
      <c r="F1118" s="2"/>
      <c r="G1118" s="2"/>
      <c r="H1118" s="2"/>
      <c r="I1118" s="5"/>
    </row>
    <row r="1119" spans="1:9" ht="17.399999999999999" x14ac:dyDescent="0.25">
      <c r="A1119" s="16"/>
      <c r="B1119" s="17"/>
      <c r="C1119" s="2"/>
      <c r="D1119" s="2"/>
      <c r="E1119" s="2"/>
      <c r="F1119" s="2"/>
      <c r="G1119" s="2"/>
      <c r="H1119" s="2"/>
      <c r="I1119" s="5"/>
    </row>
    <row r="1120" spans="1:9" ht="17.399999999999999" x14ac:dyDescent="0.25">
      <c r="A1120" s="16"/>
      <c r="B1120" s="17"/>
      <c r="C1120" s="2"/>
      <c r="D1120" s="2"/>
      <c r="E1120" s="2"/>
      <c r="F1120" s="2"/>
      <c r="G1120" s="2"/>
      <c r="H1120" s="2"/>
      <c r="I1120" s="5"/>
    </row>
    <row r="1121" spans="1:9" ht="17.399999999999999" x14ac:dyDescent="0.25">
      <c r="A1121" s="16"/>
      <c r="B1121" s="17"/>
      <c r="C1121" s="2"/>
      <c r="D1121" s="2"/>
      <c r="E1121" s="2"/>
      <c r="F1121" s="2"/>
      <c r="G1121" s="2"/>
      <c r="H1121" s="2"/>
      <c r="I1121" s="5"/>
    </row>
    <row r="1122" spans="1:9" ht="17.399999999999999" x14ac:dyDescent="0.25">
      <c r="A1122" s="16"/>
      <c r="B1122" s="17"/>
      <c r="C1122" s="2"/>
      <c r="D1122" s="2"/>
      <c r="E1122" s="2"/>
      <c r="F1122" s="2"/>
      <c r="G1122" s="2"/>
      <c r="H1122" s="2"/>
      <c r="I1122" s="5"/>
    </row>
    <row r="1123" spans="1:9" ht="17.399999999999999" x14ac:dyDescent="0.25">
      <c r="A1123" s="16"/>
      <c r="B1123" s="17"/>
      <c r="C1123" s="2"/>
      <c r="D1123" s="2"/>
      <c r="E1123" s="2"/>
      <c r="F1123" s="2"/>
      <c r="G1123" s="2"/>
      <c r="H1123" s="2"/>
      <c r="I1123" s="5"/>
    </row>
    <row r="1124" spans="1:9" ht="17.399999999999999" x14ac:dyDescent="0.25">
      <c r="A1124" s="16"/>
      <c r="B1124" s="17"/>
      <c r="C1124" s="2"/>
      <c r="D1124" s="2"/>
      <c r="E1124" s="2"/>
      <c r="F1124" s="2"/>
      <c r="G1124" s="2"/>
      <c r="H1124" s="2"/>
      <c r="I1124" s="5"/>
    </row>
    <row r="1125" spans="1:9" ht="17.399999999999999" x14ac:dyDescent="0.25">
      <c r="A1125" s="16"/>
      <c r="B1125" s="17"/>
      <c r="C1125" s="2"/>
      <c r="D1125" s="2"/>
      <c r="E1125" s="2"/>
      <c r="F1125" s="2"/>
      <c r="G1125" s="2"/>
      <c r="H1125" s="2"/>
      <c r="I1125" s="5"/>
    </row>
    <row r="1126" spans="1:9" ht="17.399999999999999" x14ac:dyDescent="0.25">
      <c r="A1126" s="16"/>
      <c r="B1126" s="17"/>
      <c r="C1126" s="2"/>
      <c r="D1126" s="2"/>
      <c r="E1126" s="2"/>
      <c r="F1126" s="2"/>
      <c r="G1126" s="2"/>
      <c r="H1126" s="2"/>
      <c r="I1126" s="5"/>
    </row>
    <row r="1127" spans="1:9" ht="17.399999999999999" x14ac:dyDescent="0.25">
      <c r="A1127" s="16"/>
      <c r="B1127" s="17"/>
      <c r="C1127" s="2"/>
      <c r="D1127" s="2"/>
      <c r="E1127" s="2"/>
      <c r="F1127" s="2"/>
      <c r="G1127" s="2"/>
      <c r="H1127" s="2"/>
      <c r="I1127" s="5"/>
    </row>
    <row r="1128" spans="1:9" ht="17.399999999999999" x14ac:dyDescent="0.25">
      <c r="A1128" s="16"/>
      <c r="B1128" s="17"/>
      <c r="C1128" s="2"/>
      <c r="D1128" s="2"/>
      <c r="E1128" s="2"/>
      <c r="F1128" s="2"/>
      <c r="G1128" s="2"/>
      <c r="H1128" s="2"/>
      <c r="I1128" s="5"/>
    </row>
    <row r="1129" spans="1:9" ht="17.399999999999999" x14ac:dyDescent="0.25">
      <c r="A1129" s="16"/>
      <c r="B1129" s="17"/>
      <c r="C1129" s="2"/>
      <c r="D1129" s="2"/>
      <c r="E1129" s="2"/>
      <c r="F1129" s="2"/>
      <c r="G1129" s="2"/>
      <c r="H1129" s="2"/>
      <c r="I1129" s="5"/>
    </row>
    <row r="1130" spans="1:9" ht="17.399999999999999" x14ac:dyDescent="0.25">
      <c r="A1130" s="16"/>
      <c r="B1130" s="17"/>
      <c r="C1130" s="2"/>
      <c r="D1130" s="2"/>
      <c r="E1130" s="2"/>
      <c r="F1130" s="2"/>
      <c r="G1130" s="2"/>
      <c r="H1130" s="2"/>
      <c r="I1130" s="5"/>
    </row>
    <row r="1131" spans="1:9" ht="17.399999999999999" x14ac:dyDescent="0.25">
      <c r="A1131" s="16"/>
      <c r="B1131" s="17"/>
      <c r="C1131" s="2"/>
      <c r="D1131" s="2"/>
      <c r="E1131" s="2"/>
      <c r="F1131" s="2"/>
      <c r="G1131" s="2"/>
      <c r="H1131" s="2"/>
      <c r="I1131" s="5"/>
    </row>
    <row r="1132" spans="1:9" ht="17.399999999999999" x14ac:dyDescent="0.25">
      <c r="A1132" s="16"/>
      <c r="B1132" s="17"/>
      <c r="C1132" s="2"/>
      <c r="D1132" s="2"/>
      <c r="E1132" s="2"/>
      <c r="F1132" s="2"/>
      <c r="G1132" s="2"/>
      <c r="H1132" s="2"/>
      <c r="I1132" s="5"/>
    </row>
    <row r="1133" spans="1:9" ht="17.399999999999999" x14ac:dyDescent="0.25">
      <c r="A1133" s="16"/>
      <c r="B1133" s="17"/>
      <c r="C1133" s="2"/>
      <c r="D1133" s="2"/>
      <c r="E1133" s="2"/>
      <c r="F1133" s="2"/>
      <c r="G1133" s="2"/>
      <c r="H1133" s="2"/>
      <c r="I1133" s="5"/>
    </row>
    <row r="1134" spans="1:9" ht="17.399999999999999" x14ac:dyDescent="0.25">
      <c r="A1134" s="16"/>
      <c r="B1134" s="17"/>
      <c r="C1134" s="2"/>
      <c r="D1134" s="2"/>
      <c r="E1134" s="2"/>
      <c r="F1134" s="2"/>
      <c r="G1134" s="2"/>
      <c r="H1134" s="2"/>
      <c r="I1134" s="5"/>
    </row>
    <row r="1135" spans="1:9" ht="17.399999999999999" x14ac:dyDescent="0.25">
      <c r="A1135" s="16"/>
      <c r="B1135" s="17"/>
      <c r="C1135" s="2"/>
      <c r="D1135" s="2"/>
      <c r="E1135" s="2"/>
      <c r="F1135" s="2"/>
      <c r="G1135" s="2"/>
      <c r="H1135" s="2"/>
      <c r="I1135" s="5"/>
    </row>
    <row r="1136" spans="1:9" ht="17.399999999999999" x14ac:dyDescent="0.25">
      <c r="A1136" s="16"/>
      <c r="B1136" s="17"/>
      <c r="C1136" s="2"/>
      <c r="D1136" s="2"/>
      <c r="E1136" s="2"/>
      <c r="F1136" s="2"/>
      <c r="G1136" s="2"/>
      <c r="H1136" s="2"/>
      <c r="I1136" s="5"/>
    </row>
    <row r="1137" spans="1:9" ht="17.399999999999999" x14ac:dyDescent="0.25">
      <c r="A1137" s="16"/>
      <c r="B1137" s="17"/>
      <c r="C1137" s="2"/>
      <c r="D1137" s="2"/>
      <c r="E1137" s="2"/>
      <c r="F1137" s="2"/>
      <c r="G1137" s="2"/>
      <c r="H1137" s="2"/>
      <c r="I1137" s="5"/>
    </row>
    <row r="1138" spans="1:9" ht="17.399999999999999" x14ac:dyDescent="0.25">
      <c r="A1138" s="16"/>
      <c r="B1138" s="17"/>
      <c r="C1138" s="2"/>
      <c r="D1138" s="2"/>
      <c r="E1138" s="2"/>
      <c r="F1138" s="2"/>
      <c r="G1138" s="2"/>
      <c r="H1138" s="2"/>
      <c r="I1138" s="5"/>
    </row>
    <row r="1139" spans="1:9" ht="17.399999999999999" x14ac:dyDescent="0.25">
      <c r="A1139" s="16"/>
      <c r="B1139" s="17"/>
      <c r="C1139" s="2"/>
      <c r="D1139" s="2"/>
      <c r="E1139" s="2"/>
      <c r="F1139" s="2"/>
      <c r="G1139" s="2"/>
      <c r="H1139" s="2"/>
      <c r="I1139" s="5"/>
    </row>
    <row r="1140" spans="1:9" ht="17.399999999999999" x14ac:dyDescent="0.25">
      <c r="A1140" s="16"/>
      <c r="B1140" s="17"/>
      <c r="C1140" s="2"/>
      <c r="D1140" s="2"/>
      <c r="E1140" s="2"/>
      <c r="F1140" s="2"/>
      <c r="G1140" s="2"/>
      <c r="H1140" s="2"/>
      <c r="I1140" s="5"/>
    </row>
    <row r="1141" spans="1:9" ht="17.399999999999999" x14ac:dyDescent="0.25">
      <c r="A1141" s="16"/>
      <c r="B1141" s="17"/>
      <c r="C1141" s="2"/>
      <c r="D1141" s="2"/>
      <c r="E1141" s="2"/>
      <c r="F1141" s="2"/>
      <c r="G1141" s="2"/>
      <c r="H1141" s="2"/>
      <c r="I1141" s="5"/>
    </row>
    <row r="1142" spans="1:9" ht="17.399999999999999" x14ac:dyDescent="0.25">
      <c r="A1142" s="16"/>
      <c r="B1142" s="17"/>
      <c r="C1142" s="2"/>
      <c r="D1142" s="2"/>
      <c r="E1142" s="2"/>
      <c r="F1142" s="2"/>
      <c r="G1142" s="2"/>
      <c r="H1142" s="2"/>
      <c r="I1142" s="5"/>
    </row>
    <row r="1143" spans="1:9" ht="17.399999999999999" x14ac:dyDescent="0.25">
      <c r="A1143" s="16"/>
      <c r="B1143" s="17"/>
      <c r="C1143" s="2"/>
      <c r="D1143" s="2"/>
      <c r="E1143" s="2"/>
      <c r="F1143" s="2"/>
      <c r="G1143" s="2"/>
      <c r="H1143" s="2"/>
      <c r="I1143" s="5"/>
    </row>
    <row r="1144" spans="1:9" ht="17.399999999999999" x14ac:dyDescent="0.25">
      <c r="A1144" s="16"/>
      <c r="B1144" s="17"/>
      <c r="C1144" s="2"/>
      <c r="D1144" s="2"/>
      <c r="E1144" s="2"/>
      <c r="F1144" s="2"/>
      <c r="G1144" s="2"/>
      <c r="H1144" s="2"/>
      <c r="I1144" s="5"/>
    </row>
    <row r="1145" spans="1:9" ht="17.399999999999999" x14ac:dyDescent="0.25">
      <c r="A1145" s="16"/>
      <c r="B1145" s="17"/>
      <c r="C1145" s="2"/>
      <c r="D1145" s="2"/>
      <c r="E1145" s="2"/>
      <c r="F1145" s="2"/>
      <c r="G1145" s="2"/>
      <c r="H1145" s="2"/>
      <c r="I1145" s="5"/>
    </row>
    <row r="1146" spans="1:9" ht="17.399999999999999" x14ac:dyDescent="0.25">
      <c r="A1146" s="16"/>
      <c r="B1146" s="17"/>
      <c r="C1146" s="2"/>
      <c r="D1146" s="2"/>
      <c r="E1146" s="2"/>
      <c r="F1146" s="2"/>
      <c r="G1146" s="2"/>
      <c r="H1146" s="2"/>
      <c r="I1146" s="5"/>
    </row>
    <row r="1147" spans="1:9" ht="17.399999999999999" x14ac:dyDescent="0.25">
      <c r="A1147" s="16"/>
      <c r="B1147" s="17"/>
      <c r="C1147" s="2"/>
      <c r="D1147" s="2"/>
      <c r="E1147" s="2"/>
      <c r="F1147" s="2"/>
      <c r="G1147" s="2"/>
      <c r="H1147" s="2"/>
      <c r="I1147" s="5"/>
    </row>
    <row r="1148" spans="1:9" ht="17.399999999999999" x14ac:dyDescent="0.25">
      <c r="A1148" s="16"/>
      <c r="B1148" s="17"/>
      <c r="C1148" s="2"/>
      <c r="D1148" s="2"/>
      <c r="E1148" s="2"/>
      <c r="F1148" s="2"/>
      <c r="G1148" s="2"/>
      <c r="H1148" s="2"/>
      <c r="I1148" s="5"/>
    </row>
    <row r="1149" spans="1:9" ht="17.399999999999999" x14ac:dyDescent="0.25">
      <c r="A1149" s="16"/>
      <c r="B1149" s="17"/>
      <c r="C1149" s="2"/>
      <c r="D1149" s="2"/>
      <c r="E1149" s="2"/>
      <c r="F1149" s="2"/>
      <c r="G1149" s="2"/>
      <c r="H1149" s="2"/>
      <c r="I1149" s="5"/>
    </row>
    <row r="1150" spans="1:9" ht="17.399999999999999" x14ac:dyDescent="0.25">
      <c r="A1150" s="16"/>
      <c r="B1150" s="17"/>
      <c r="C1150" s="2"/>
      <c r="D1150" s="2"/>
      <c r="E1150" s="2"/>
      <c r="F1150" s="2"/>
      <c r="G1150" s="2"/>
      <c r="H1150" s="2"/>
      <c r="I1150" s="5"/>
    </row>
    <row r="1151" spans="1:9" ht="17.399999999999999" x14ac:dyDescent="0.25">
      <c r="A1151" s="16"/>
      <c r="B1151" s="17"/>
      <c r="C1151" s="2"/>
      <c r="D1151" s="2"/>
      <c r="E1151" s="2"/>
      <c r="F1151" s="2"/>
      <c r="G1151" s="2"/>
      <c r="H1151" s="2"/>
      <c r="I1151" s="5"/>
    </row>
    <row r="1152" spans="1:9" ht="17.399999999999999" x14ac:dyDescent="0.25">
      <c r="A1152" s="16"/>
      <c r="B1152" s="17"/>
      <c r="C1152" s="2"/>
      <c r="D1152" s="2"/>
      <c r="E1152" s="2"/>
      <c r="F1152" s="2"/>
      <c r="G1152" s="2"/>
      <c r="H1152" s="2"/>
      <c r="I1152" s="5"/>
    </row>
    <row r="1153" spans="1:9" ht="17.399999999999999" x14ac:dyDescent="0.25">
      <c r="A1153" s="16"/>
      <c r="B1153" s="17"/>
      <c r="C1153" s="2"/>
      <c r="D1153" s="2"/>
      <c r="E1153" s="2"/>
      <c r="F1153" s="2"/>
      <c r="G1153" s="2"/>
      <c r="H1153" s="2"/>
      <c r="I1153" s="5"/>
    </row>
    <row r="1154" spans="1:9" ht="17.399999999999999" x14ac:dyDescent="0.25">
      <c r="A1154" s="16"/>
      <c r="B1154" s="17"/>
      <c r="C1154" s="2"/>
      <c r="D1154" s="2"/>
      <c r="E1154" s="2"/>
      <c r="F1154" s="2"/>
      <c r="G1154" s="2"/>
      <c r="H1154" s="2"/>
      <c r="I1154" s="5"/>
    </row>
    <row r="1155" spans="1:9" ht="17.399999999999999" x14ac:dyDescent="0.25">
      <c r="A1155" s="16"/>
      <c r="B1155" s="17"/>
      <c r="C1155" s="2"/>
      <c r="D1155" s="2"/>
      <c r="E1155" s="2"/>
      <c r="F1155" s="2"/>
      <c r="G1155" s="2"/>
      <c r="H1155" s="2"/>
      <c r="I1155" s="5"/>
    </row>
    <row r="1156" spans="1:9" ht="17.399999999999999" x14ac:dyDescent="0.25">
      <c r="A1156" s="16"/>
      <c r="B1156" s="17"/>
      <c r="C1156" s="2"/>
      <c r="D1156" s="2"/>
      <c r="E1156" s="2"/>
      <c r="F1156" s="2"/>
      <c r="G1156" s="2"/>
      <c r="H1156" s="2"/>
      <c r="I1156" s="5"/>
    </row>
    <row r="1157" spans="1:9" ht="17.399999999999999" x14ac:dyDescent="0.25">
      <c r="A1157" s="16"/>
      <c r="B1157" s="17"/>
      <c r="C1157" s="2"/>
      <c r="D1157" s="2"/>
      <c r="E1157" s="2"/>
      <c r="F1157" s="2"/>
      <c r="G1157" s="2"/>
      <c r="H1157" s="2"/>
      <c r="I1157" s="5"/>
    </row>
    <row r="1158" spans="1:9" ht="17.399999999999999" x14ac:dyDescent="0.25">
      <c r="A1158" s="16"/>
      <c r="B1158" s="17"/>
      <c r="C1158" s="2"/>
      <c r="D1158" s="2"/>
      <c r="E1158" s="2"/>
      <c r="F1158" s="2"/>
      <c r="G1158" s="2"/>
      <c r="H1158" s="2"/>
      <c r="I1158" s="5"/>
    </row>
    <row r="1159" spans="1:9" ht="17.399999999999999" x14ac:dyDescent="0.25">
      <c r="A1159" s="16"/>
      <c r="B1159" s="17"/>
      <c r="C1159" s="2"/>
      <c r="D1159" s="2"/>
      <c r="E1159" s="2"/>
      <c r="F1159" s="2"/>
      <c r="G1159" s="2"/>
      <c r="H1159" s="2"/>
      <c r="I1159" s="5"/>
    </row>
    <row r="1160" spans="1:9" ht="17.399999999999999" x14ac:dyDescent="0.25">
      <c r="A1160" s="16"/>
      <c r="B1160" s="17"/>
      <c r="C1160" s="2"/>
      <c r="D1160" s="2"/>
      <c r="E1160" s="2"/>
      <c r="F1160" s="2"/>
      <c r="G1160" s="2"/>
      <c r="H1160" s="2"/>
      <c r="I1160" s="5"/>
    </row>
    <row r="1161" spans="1:9" ht="17.399999999999999" x14ac:dyDescent="0.25">
      <c r="A1161" s="16"/>
      <c r="B1161" s="17"/>
      <c r="C1161" s="2"/>
      <c r="D1161" s="2"/>
      <c r="E1161" s="2"/>
      <c r="F1161" s="2"/>
      <c r="G1161" s="2"/>
      <c r="H1161" s="2"/>
      <c r="I1161" s="5"/>
    </row>
    <row r="1162" spans="1:9" ht="17.399999999999999" x14ac:dyDescent="0.25">
      <c r="A1162" s="16"/>
      <c r="B1162" s="17"/>
      <c r="C1162" s="2"/>
      <c r="D1162" s="2"/>
      <c r="E1162" s="2"/>
      <c r="F1162" s="2"/>
      <c r="G1162" s="2"/>
      <c r="H1162" s="2"/>
      <c r="I1162" s="5"/>
    </row>
    <row r="1163" spans="1:9" ht="17.399999999999999" x14ac:dyDescent="0.25">
      <c r="A1163" s="16"/>
      <c r="B1163" s="17"/>
      <c r="C1163" s="2"/>
      <c r="D1163" s="2"/>
      <c r="E1163" s="2"/>
      <c r="F1163" s="2"/>
      <c r="G1163" s="2"/>
      <c r="H1163" s="2"/>
      <c r="I1163" s="5"/>
    </row>
    <row r="1164" spans="1:9" ht="17.399999999999999" x14ac:dyDescent="0.25">
      <c r="A1164" s="16"/>
      <c r="B1164" s="17"/>
      <c r="C1164" s="2"/>
      <c r="D1164" s="2"/>
      <c r="E1164" s="2"/>
      <c r="F1164" s="2"/>
      <c r="G1164" s="2"/>
      <c r="H1164" s="2"/>
      <c r="I1164" s="5"/>
    </row>
    <row r="1165" spans="1:9" ht="17.399999999999999" x14ac:dyDescent="0.25">
      <c r="A1165" s="16"/>
      <c r="B1165" s="17"/>
      <c r="C1165" s="2"/>
      <c r="D1165" s="2"/>
      <c r="E1165" s="2"/>
      <c r="F1165" s="2"/>
      <c r="G1165" s="2"/>
      <c r="H1165" s="2"/>
      <c r="I1165" s="5"/>
    </row>
    <row r="1166" spans="1:9" ht="17.399999999999999" x14ac:dyDescent="0.25">
      <c r="A1166" s="16"/>
      <c r="B1166" s="17"/>
      <c r="C1166" s="2"/>
      <c r="D1166" s="2"/>
      <c r="E1166" s="2"/>
      <c r="F1166" s="2"/>
      <c r="G1166" s="2"/>
      <c r="H1166" s="2"/>
      <c r="I1166" s="5"/>
    </row>
    <row r="1167" spans="1:9" ht="17.399999999999999" x14ac:dyDescent="0.25">
      <c r="A1167" s="16"/>
      <c r="B1167" s="17"/>
      <c r="C1167" s="2"/>
      <c r="D1167" s="2"/>
      <c r="E1167" s="2"/>
      <c r="F1167" s="2"/>
      <c r="G1167" s="2"/>
      <c r="H1167" s="2"/>
      <c r="I1167" s="5"/>
    </row>
    <row r="1168" spans="1:9" ht="17.399999999999999" x14ac:dyDescent="0.25">
      <c r="A1168" s="16"/>
      <c r="B1168" s="17"/>
      <c r="C1168" s="2"/>
      <c r="D1168" s="2"/>
      <c r="E1168" s="2"/>
      <c r="F1168" s="2"/>
      <c r="G1168" s="2"/>
      <c r="H1168" s="2"/>
      <c r="I1168" s="5"/>
    </row>
    <row r="1169" spans="1:9" ht="17.399999999999999" x14ac:dyDescent="0.25">
      <c r="A1169" s="16"/>
      <c r="B1169" s="17"/>
      <c r="C1169" s="2"/>
      <c r="D1169" s="2"/>
      <c r="E1169" s="2"/>
      <c r="F1169" s="2"/>
      <c r="G1169" s="2"/>
      <c r="H1169" s="2"/>
      <c r="I1169" s="5"/>
    </row>
    <row r="1170" spans="1:9" ht="17.399999999999999" x14ac:dyDescent="0.25">
      <c r="A1170" s="16"/>
      <c r="B1170" s="17"/>
      <c r="C1170" s="2"/>
      <c r="D1170" s="2"/>
      <c r="E1170" s="2"/>
      <c r="F1170" s="2"/>
      <c r="G1170" s="2"/>
      <c r="H1170" s="2"/>
      <c r="I1170" s="5"/>
    </row>
    <row r="1171" spans="1:9" ht="17.399999999999999" x14ac:dyDescent="0.25">
      <c r="A1171" s="16"/>
      <c r="B1171" s="17"/>
      <c r="C1171" s="2"/>
      <c r="D1171" s="2"/>
      <c r="E1171" s="2"/>
      <c r="F1171" s="2"/>
      <c r="G1171" s="2"/>
      <c r="H1171" s="2"/>
      <c r="I1171" s="5"/>
    </row>
    <row r="1172" spans="1:9" ht="17.399999999999999" x14ac:dyDescent="0.25">
      <c r="A1172" s="16"/>
      <c r="B1172" s="17"/>
      <c r="C1172" s="2"/>
      <c r="D1172" s="2"/>
      <c r="E1172" s="2"/>
      <c r="F1172" s="2"/>
      <c r="G1172" s="2"/>
      <c r="H1172" s="2"/>
      <c r="I1172" s="5"/>
    </row>
    <row r="1173" spans="1:9" ht="17.399999999999999" x14ac:dyDescent="0.25">
      <c r="A1173" s="16"/>
      <c r="B1173" s="17"/>
      <c r="C1173" s="2"/>
      <c r="D1173" s="2"/>
      <c r="E1173" s="2"/>
      <c r="F1173" s="2"/>
      <c r="G1173" s="2"/>
      <c r="H1173" s="2"/>
      <c r="I1173" s="5"/>
    </row>
    <row r="1174" spans="1:9" ht="17.399999999999999" x14ac:dyDescent="0.25">
      <c r="A1174" s="16"/>
      <c r="B1174" s="17"/>
      <c r="C1174" s="2"/>
      <c r="D1174" s="2"/>
      <c r="E1174" s="2"/>
      <c r="F1174" s="2"/>
      <c r="G1174" s="2"/>
      <c r="H1174" s="2"/>
      <c r="I1174" s="5"/>
    </row>
    <row r="1175" spans="1:9" ht="17.399999999999999" x14ac:dyDescent="0.25">
      <c r="A1175" s="16"/>
      <c r="B1175" s="17"/>
      <c r="C1175" s="2"/>
      <c r="D1175" s="2"/>
      <c r="E1175" s="2"/>
      <c r="F1175" s="2"/>
      <c r="G1175" s="2"/>
      <c r="H1175" s="2"/>
      <c r="I1175" s="5"/>
    </row>
    <row r="1176" spans="1:9" ht="17.399999999999999" x14ac:dyDescent="0.25">
      <c r="A1176" s="16"/>
      <c r="B1176" s="17"/>
      <c r="C1176" s="2"/>
      <c r="D1176" s="2"/>
      <c r="E1176" s="2"/>
      <c r="F1176" s="2"/>
      <c r="G1176" s="2"/>
      <c r="H1176" s="2"/>
      <c r="I1176" s="5"/>
    </row>
    <row r="1177" spans="1:9" ht="17.399999999999999" x14ac:dyDescent="0.25">
      <c r="A1177" s="16"/>
      <c r="B1177" s="17"/>
      <c r="C1177" s="2"/>
      <c r="D1177" s="2"/>
      <c r="E1177" s="2"/>
      <c r="F1177" s="2"/>
      <c r="G1177" s="2"/>
      <c r="H1177" s="2"/>
      <c r="I1177" s="5"/>
    </row>
    <row r="1178" spans="1:9" ht="17.399999999999999" x14ac:dyDescent="0.25">
      <c r="A1178" s="16"/>
      <c r="B1178" s="17"/>
      <c r="C1178" s="2"/>
      <c r="D1178" s="2"/>
      <c r="E1178" s="2"/>
      <c r="F1178" s="2"/>
      <c r="G1178" s="2"/>
      <c r="H1178" s="2"/>
      <c r="I1178" s="5"/>
    </row>
    <row r="1179" spans="1:9" ht="17.399999999999999" x14ac:dyDescent="0.25">
      <c r="A1179" s="16"/>
      <c r="B1179" s="17"/>
      <c r="C1179" s="2"/>
      <c r="D1179" s="2"/>
      <c r="E1179" s="2"/>
      <c r="F1179" s="2"/>
      <c r="G1179" s="2"/>
      <c r="H1179" s="2"/>
      <c r="I1179" s="5"/>
    </row>
    <row r="1180" spans="1:9" ht="17.399999999999999" x14ac:dyDescent="0.25">
      <c r="A1180" s="16"/>
      <c r="B1180" s="17"/>
      <c r="C1180" s="2"/>
      <c r="D1180" s="2"/>
      <c r="E1180" s="2"/>
      <c r="F1180" s="2"/>
      <c r="G1180" s="2"/>
      <c r="H1180" s="2"/>
      <c r="I1180" s="5"/>
    </row>
    <row r="1181" spans="1:9" ht="17.399999999999999" x14ac:dyDescent="0.25">
      <c r="A1181" s="16"/>
      <c r="B1181" s="17"/>
      <c r="C1181" s="2"/>
      <c r="D1181" s="2"/>
      <c r="E1181" s="2"/>
      <c r="F1181" s="2"/>
      <c r="G1181" s="2"/>
      <c r="H1181" s="2"/>
      <c r="I1181" s="5"/>
    </row>
    <row r="1182" spans="1:9" ht="17.399999999999999" x14ac:dyDescent="0.25">
      <c r="A1182" s="16"/>
      <c r="B1182" s="17"/>
      <c r="C1182" s="2"/>
      <c r="D1182" s="2"/>
      <c r="E1182" s="2"/>
      <c r="F1182" s="2"/>
      <c r="G1182" s="2"/>
      <c r="H1182" s="2"/>
      <c r="I1182" s="5"/>
    </row>
    <row r="1183" spans="1:9" ht="17.399999999999999" x14ac:dyDescent="0.25">
      <c r="A1183" s="16"/>
      <c r="B1183" s="17"/>
      <c r="C1183" s="2"/>
      <c r="D1183" s="2"/>
      <c r="E1183" s="2"/>
      <c r="F1183" s="2"/>
      <c r="G1183" s="2"/>
      <c r="H1183" s="2"/>
      <c r="I1183" s="5"/>
    </row>
    <row r="1184" spans="1:9" ht="17.399999999999999" x14ac:dyDescent="0.25">
      <c r="A1184" s="16"/>
      <c r="B1184" s="17"/>
      <c r="C1184" s="2"/>
      <c r="D1184" s="2"/>
      <c r="E1184" s="2"/>
      <c r="F1184" s="2"/>
      <c r="G1184" s="2"/>
      <c r="H1184" s="2"/>
      <c r="I1184" s="5"/>
    </row>
    <row r="1185" spans="1:9" ht="17.399999999999999" x14ac:dyDescent="0.25">
      <c r="A1185" s="16"/>
      <c r="B1185" s="17"/>
      <c r="C1185" s="2"/>
      <c r="D1185" s="2"/>
      <c r="E1185" s="2"/>
      <c r="F1185" s="2"/>
      <c r="G1185" s="2"/>
      <c r="H1185" s="2"/>
      <c r="I1185" s="5"/>
    </row>
    <row r="1186" spans="1:9" ht="17.399999999999999" x14ac:dyDescent="0.25">
      <c r="A1186" s="16"/>
      <c r="B1186" s="17"/>
      <c r="C1186" s="2"/>
      <c r="D1186" s="2"/>
      <c r="E1186" s="2"/>
      <c r="F1186" s="2"/>
      <c r="G1186" s="2"/>
      <c r="H1186" s="2"/>
      <c r="I1186" s="5"/>
    </row>
    <row r="1187" spans="1:9" ht="17.399999999999999" x14ac:dyDescent="0.25">
      <c r="A1187" s="16"/>
      <c r="B1187" s="17"/>
      <c r="C1187" s="2"/>
      <c r="D1187" s="2"/>
      <c r="E1187" s="2"/>
      <c r="F1187" s="2"/>
      <c r="G1187" s="2"/>
      <c r="H1187" s="2"/>
      <c r="I1187" s="5"/>
    </row>
    <row r="1188" spans="1:9" ht="17.399999999999999" x14ac:dyDescent="0.25">
      <c r="A1188" s="16"/>
      <c r="B1188" s="17"/>
      <c r="C1188" s="2"/>
      <c r="D1188" s="2"/>
      <c r="E1188" s="2"/>
      <c r="F1188" s="2"/>
      <c r="G1188" s="2"/>
      <c r="H1188" s="2"/>
      <c r="I1188" s="5"/>
    </row>
    <row r="1189" spans="1:9" ht="17.399999999999999" x14ac:dyDescent="0.25">
      <c r="A1189" s="16"/>
      <c r="B1189" s="17"/>
      <c r="C1189" s="2"/>
      <c r="D1189" s="2"/>
      <c r="E1189" s="2"/>
      <c r="F1189" s="2"/>
      <c r="G1189" s="2"/>
      <c r="H1189" s="2"/>
      <c r="I1189" s="5"/>
    </row>
    <row r="1190" spans="1:9" ht="17.399999999999999" x14ac:dyDescent="0.25">
      <c r="A1190" s="16"/>
      <c r="B1190" s="17"/>
      <c r="C1190" s="2"/>
      <c r="D1190" s="2"/>
      <c r="E1190" s="2"/>
      <c r="F1190" s="2"/>
      <c r="G1190" s="2"/>
      <c r="H1190" s="2"/>
      <c r="I1190" s="5"/>
    </row>
    <row r="1191" spans="1:9" ht="17.399999999999999" x14ac:dyDescent="0.25">
      <c r="A1191" s="16"/>
      <c r="B1191" s="17"/>
      <c r="C1191" s="2"/>
      <c r="D1191" s="2"/>
      <c r="E1191" s="2"/>
      <c r="F1191" s="2"/>
      <c r="G1191" s="2"/>
      <c r="H1191" s="2"/>
      <c r="I1191" s="5"/>
    </row>
    <row r="1192" spans="1:9" ht="17.399999999999999" x14ac:dyDescent="0.25">
      <c r="A1192" s="16"/>
      <c r="B1192" s="17"/>
      <c r="C1192" s="2"/>
      <c r="D1192" s="2"/>
      <c r="E1192" s="2"/>
      <c r="F1192" s="2"/>
      <c r="G1192" s="2"/>
      <c r="H1192" s="2"/>
      <c r="I1192" s="5"/>
    </row>
    <row r="1193" spans="1:9" ht="17.399999999999999" x14ac:dyDescent="0.25">
      <c r="A1193" s="16"/>
      <c r="B1193" s="17"/>
      <c r="C1193" s="2"/>
      <c r="D1193" s="2"/>
      <c r="E1193" s="2"/>
      <c r="F1193" s="2"/>
      <c r="G1193" s="2"/>
      <c r="H1193" s="2"/>
      <c r="I1193" s="5"/>
    </row>
    <row r="1194" spans="1:9" ht="17.399999999999999" x14ac:dyDescent="0.25">
      <c r="A1194" s="16"/>
      <c r="B1194" s="17"/>
      <c r="C1194" s="2"/>
      <c r="D1194" s="2"/>
      <c r="E1194" s="2"/>
      <c r="F1194" s="2"/>
      <c r="G1194" s="2"/>
      <c r="H1194" s="2"/>
      <c r="I1194" s="5"/>
    </row>
    <row r="1195" spans="1:9" ht="17.399999999999999" x14ac:dyDescent="0.25">
      <c r="A1195" s="16"/>
      <c r="B1195" s="17"/>
      <c r="C1195" s="2"/>
      <c r="D1195" s="2"/>
      <c r="E1195" s="2"/>
      <c r="F1195" s="2"/>
      <c r="G1195" s="2"/>
      <c r="H1195" s="2"/>
      <c r="I1195" s="5"/>
    </row>
    <row r="1196" spans="1:9" ht="17.399999999999999" x14ac:dyDescent="0.25">
      <c r="A1196" s="16"/>
      <c r="B1196" s="17"/>
      <c r="C1196" s="2"/>
      <c r="D1196" s="2"/>
      <c r="E1196" s="2"/>
      <c r="F1196" s="2"/>
      <c r="G1196" s="2"/>
      <c r="H1196" s="2"/>
      <c r="I1196" s="5"/>
    </row>
    <row r="1197" spans="1:9" ht="17.399999999999999" x14ac:dyDescent="0.25">
      <c r="A1197" s="16"/>
      <c r="B1197" s="17"/>
      <c r="C1197" s="2"/>
      <c r="D1197" s="2"/>
      <c r="E1197" s="2"/>
      <c r="F1197" s="2"/>
      <c r="G1197" s="2"/>
      <c r="H1197" s="2"/>
      <c r="I1197" s="5"/>
    </row>
    <row r="1198" spans="1:9" ht="17.399999999999999" x14ac:dyDescent="0.25">
      <c r="A1198" s="16"/>
      <c r="B1198" s="17"/>
      <c r="C1198" s="2"/>
      <c r="D1198" s="2"/>
      <c r="E1198" s="2"/>
      <c r="F1198" s="2"/>
      <c r="G1198" s="2"/>
      <c r="H1198" s="2"/>
      <c r="I1198" s="5"/>
    </row>
    <row r="1199" spans="1:9" ht="17.399999999999999" x14ac:dyDescent="0.25">
      <c r="A1199" s="16"/>
      <c r="B1199" s="17"/>
      <c r="C1199" s="2"/>
      <c r="D1199" s="2"/>
      <c r="E1199" s="2"/>
      <c r="F1199" s="2"/>
      <c r="G1199" s="2"/>
      <c r="H1199" s="2"/>
      <c r="I1199" s="5"/>
    </row>
    <row r="1200" spans="1:9" ht="17.399999999999999" x14ac:dyDescent="0.25">
      <c r="A1200" s="16"/>
      <c r="B1200" s="17"/>
      <c r="C1200" s="2"/>
      <c r="D1200" s="2"/>
      <c r="E1200" s="2"/>
      <c r="F1200" s="2"/>
      <c r="G1200" s="2"/>
      <c r="H1200" s="2"/>
      <c r="I1200" s="5"/>
    </row>
    <row r="1201" spans="1:9" ht="17.399999999999999" x14ac:dyDescent="0.25">
      <c r="A1201" s="16"/>
      <c r="B1201" s="17"/>
      <c r="C1201" s="2"/>
      <c r="D1201" s="2"/>
      <c r="E1201" s="2"/>
      <c r="F1201" s="2"/>
      <c r="G1201" s="2"/>
      <c r="H1201" s="2"/>
      <c r="I1201" s="5"/>
    </row>
    <row r="1202" spans="1:9" ht="17.399999999999999" x14ac:dyDescent="0.25">
      <c r="A1202" s="16"/>
      <c r="B1202" s="17"/>
      <c r="C1202" s="2"/>
      <c r="D1202" s="2"/>
      <c r="E1202" s="2"/>
      <c r="F1202" s="2"/>
      <c r="G1202" s="2"/>
      <c r="H1202" s="2"/>
      <c r="I1202" s="5"/>
    </row>
    <row r="1203" spans="1:9" ht="17.399999999999999" x14ac:dyDescent="0.25">
      <c r="A1203" s="16"/>
      <c r="B1203" s="17"/>
      <c r="C1203" s="2"/>
      <c r="D1203" s="2"/>
      <c r="E1203" s="2"/>
      <c r="F1203" s="2"/>
      <c r="G1203" s="2"/>
      <c r="H1203" s="2"/>
      <c r="I1203" s="5"/>
    </row>
    <row r="1204" spans="1:9" ht="17.399999999999999" x14ac:dyDescent="0.25">
      <c r="A1204" s="16"/>
      <c r="B1204" s="17"/>
      <c r="C1204" s="2"/>
      <c r="D1204" s="2"/>
      <c r="E1204" s="2"/>
      <c r="F1204" s="2"/>
      <c r="G1204" s="2"/>
      <c r="H1204" s="2"/>
      <c r="I1204" s="5"/>
    </row>
    <row r="1205" spans="1:9" ht="17.399999999999999" x14ac:dyDescent="0.25">
      <c r="A1205" s="16"/>
      <c r="B1205" s="17"/>
      <c r="C1205" s="2"/>
      <c r="D1205" s="2"/>
      <c r="E1205" s="2"/>
      <c r="F1205" s="2"/>
      <c r="G1205" s="2"/>
      <c r="H1205" s="2"/>
      <c r="I1205" s="5"/>
    </row>
    <row r="1206" spans="1:9" ht="17.399999999999999" x14ac:dyDescent="0.25">
      <c r="A1206" s="16"/>
      <c r="B1206" s="17"/>
      <c r="C1206" s="2"/>
      <c r="D1206" s="2"/>
      <c r="E1206" s="2"/>
      <c r="F1206" s="2"/>
      <c r="G1206" s="2"/>
      <c r="H1206" s="2"/>
      <c r="I1206" s="5"/>
    </row>
    <row r="1207" spans="1:9" ht="17.399999999999999" x14ac:dyDescent="0.25">
      <c r="A1207" s="16"/>
      <c r="B1207" s="17"/>
      <c r="C1207" s="2"/>
      <c r="D1207" s="2"/>
      <c r="E1207" s="2"/>
      <c r="F1207" s="2"/>
      <c r="G1207" s="2"/>
      <c r="H1207" s="2"/>
      <c r="I1207" s="5"/>
    </row>
    <row r="1208" spans="1:9" ht="17.399999999999999" x14ac:dyDescent="0.25">
      <c r="A1208" s="16"/>
      <c r="B1208" s="17"/>
      <c r="C1208" s="2"/>
      <c r="D1208" s="2"/>
      <c r="E1208" s="2"/>
      <c r="F1208" s="2"/>
      <c r="G1208" s="2"/>
      <c r="H1208" s="2"/>
      <c r="I1208" s="5"/>
    </row>
    <row r="1209" spans="1:9" ht="17.399999999999999" x14ac:dyDescent="0.25">
      <c r="A1209" s="16"/>
      <c r="B1209" s="17"/>
      <c r="C1209" s="2"/>
      <c r="D1209" s="2"/>
      <c r="E1209" s="2"/>
      <c r="F1209" s="2"/>
      <c r="G1209" s="2"/>
      <c r="H1209" s="2"/>
      <c r="I1209" s="5"/>
    </row>
    <row r="1210" spans="1:9" ht="17.399999999999999" x14ac:dyDescent="0.25">
      <c r="A1210" s="16"/>
      <c r="B1210" s="17"/>
      <c r="C1210" s="2"/>
      <c r="D1210" s="2"/>
      <c r="E1210" s="2"/>
      <c r="F1210" s="2"/>
      <c r="G1210" s="2"/>
      <c r="H1210" s="2"/>
      <c r="I1210" s="5"/>
    </row>
    <row r="1211" spans="1:9" ht="17.399999999999999" x14ac:dyDescent="0.25">
      <c r="A1211" s="16"/>
      <c r="B1211" s="17"/>
      <c r="C1211" s="2"/>
      <c r="D1211" s="2"/>
      <c r="E1211" s="2"/>
      <c r="F1211" s="2"/>
      <c r="G1211" s="2"/>
      <c r="H1211" s="2"/>
      <c r="I1211" s="5"/>
    </row>
    <row r="1212" spans="1:9" ht="17.399999999999999" x14ac:dyDescent="0.25">
      <c r="A1212" s="16"/>
      <c r="B1212" s="17"/>
      <c r="C1212" s="2"/>
      <c r="D1212" s="2"/>
      <c r="E1212" s="2"/>
      <c r="F1212" s="2"/>
      <c r="G1212" s="2"/>
      <c r="H1212" s="2"/>
      <c r="I1212" s="5"/>
    </row>
    <row r="1213" spans="1:9" ht="17.399999999999999" x14ac:dyDescent="0.25">
      <c r="A1213" s="16"/>
      <c r="B1213" s="17"/>
      <c r="C1213" s="2"/>
      <c r="D1213" s="2"/>
      <c r="E1213" s="2"/>
      <c r="F1213" s="2"/>
      <c r="G1213" s="2"/>
      <c r="H1213" s="2"/>
      <c r="I1213" s="5"/>
    </row>
    <row r="1214" spans="1:9" ht="17.399999999999999" x14ac:dyDescent="0.25">
      <c r="A1214" s="16"/>
      <c r="B1214" s="17"/>
      <c r="C1214" s="2"/>
      <c r="D1214" s="2"/>
      <c r="E1214" s="2"/>
      <c r="F1214" s="2"/>
      <c r="G1214" s="2"/>
      <c r="H1214" s="2"/>
      <c r="I1214" s="5"/>
    </row>
    <row r="1215" spans="1:9" ht="17.399999999999999" x14ac:dyDescent="0.25">
      <c r="A1215" s="16"/>
      <c r="B1215" s="17"/>
      <c r="C1215" s="2"/>
      <c r="D1215" s="2"/>
      <c r="E1215" s="2"/>
      <c r="F1215" s="2"/>
      <c r="G1215" s="2"/>
      <c r="H1215" s="2"/>
      <c r="I1215" s="5"/>
    </row>
    <row r="1216" spans="1:9" ht="17.399999999999999" x14ac:dyDescent="0.25">
      <c r="A1216" s="16"/>
      <c r="B1216" s="17"/>
      <c r="C1216" s="2"/>
      <c r="D1216" s="2"/>
      <c r="E1216" s="2"/>
      <c r="F1216" s="2"/>
      <c r="G1216" s="2"/>
      <c r="H1216" s="2"/>
      <c r="I1216" s="5"/>
    </row>
    <row r="1217" spans="1:9" ht="17.399999999999999" x14ac:dyDescent="0.25">
      <c r="A1217" s="16"/>
      <c r="B1217" s="17"/>
      <c r="C1217" s="2"/>
      <c r="D1217" s="2"/>
      <c r="E1217" s="2"/>
      <c r="F1217" s="2"/>
      <c r="G1217" s="2"/>
      <c r="H1217" s="2"/>
      <c r="I1217" s="5"/>
    </row>
    <row r="1218" spans="1:9" ht="17.399999999999999" x14ac:dyDescent="0.25">
      <c r="A1218" s="16"/>
      <c r="B1218" s="17"/>
      <c r="C1218" s="2"/>
      <c r="D1218" s="2"/>
      <c r="E1218" s="2"/>
      <c r="F1218" s="2"/>
      <c r="G1218" s="2"/>
      <c r="H1218" s="2"/>
      <c r="I1218" s="5"/>
    </row>
    <row r="1219" spans="1:9" ht="17.399999999999999" x14ac:dyDescent="0.25">
      <c r="A1219" s="16"/>
      <c r="B1219" s="17"/>
      <c r="C1219" s="2"/>
      <c r="D1219" s="2"/>
      <c r="E1219" s="2"/>
      <c r="F1219" s="2"/>
      <c r="G1219" s="2"/>
      <c r="H1219" s="2"/>
      <c r="I1219" s="5"/>
    </row>
    <row r="1220" spans="1:9" ht="17.399999999999999" x14ac:dyDescent="0.25">
      <c r="A1220" s="16"/>
      <c r="B1220" s="17"/>
      <c r="C1220" s="2"/>
      <c r="D1220" s="2"/>
      <c r="E1220" s="2"/>
      <c r="F1220" s="2"/>
      <c r="G1220" s="2"/>
      <c r="H1220" s="2"/>
      <c r="I1220" s="5"/>
    </row>
    <row r="1221" spans="1:9" ht="17.399999999999999" x14ac:dyDescent="0.25">
      <c r="A1221" s="16"/>
      <c r="B1221" s="17"/>
      <c r="C1221" s="2"/>
      <c r="D1221" s="2"/>
      <c r="E1221" s="2"/>
      <c r="F1221" s="2"/>
      <c r="G1221" s="2"/>
      <c r="H1221" s="2"/>
      <c r="I1221" s="5"/>
    </row>
    <row r="1222" spans="1:9" ht="17.399999999999999" x14ac:dyDescent="0.25">
      <c r="A1222" s="16"/>
      <c r="B1222" s="17"/>
      <c r="C1222" s="2"/>
      <c r="D1222" s="2"/>
      <c r="E1222" s="2"/>
      <c r="F1222" s="2"/>
      <c r="G1222" s="2"/>
      <c r="H1222" s="2"/>
      <c r="I1222" s="5"/>
    </row>
    <row r="1223" spans="1:9" ht="17.399999999999999" x14ac:dyDescent="0.25">
      <c r="A1223" s="16"/>
      <c r="B1223" s="17"/>
      <c r="C1223" s="2"/>
      <c r="D1223" s="2"/>
      <c r="E1223" s="2"/>
      <c r="F1223" s="2"/>
      <c r="G1223" s="2"/>
      <c r="H1223" s="2"/>
      <c r="I1223" s="5"/>
    </row>
    <row r="1224" spans="1:9" ht="17.399999999999999" x14ac:dyDescent="0.25">
      <c r="A1224" s="16"/>
      <c r="B1224" s="17"/>
      <c r="C1224" s="2"/>
      <c r="D1224" s="2"/>
      <c r="E1224" s="2"/>
      <c r="F1224" s="2"/>
      <c r="G1224" s="2"/>
      <c r="H1224" s="2"/>
      <c r="I1224" s="5"/>
    </row>
    <row r="1225" spans="1:9" ht="17.399999999999999" x14ac:dyDescent="0.25">
      <c r="A1225" s="16"/>
      <c r="B1225" s="17"/>
      <c r="C1225" s="2"/>
      <c r="D1225" s="2"/>
      <c r="E1225" s="2"/>
      <c r="F1225" s="2"/>
      <c r="G1225" s="2"/>
      <c r="H1225" s="2"/>
      <c r="I1225" s="5"/>
    </row>
    <row r="1226" spans="1:9" ht="17.399999999999999" x14ac:dyDescent="0.25">
      <c r="A1226" s="16"/>
      <c r="B1226" s="17"/>
      <c r="C1226" s="2"/>
      <c r="D1226" s="2"/>
      <c r="E1226" s="2"/>
      <c r="F1226" s="2"/>
      <c r="G1226" s="2"/>
      <c r="H1226" s="2"/>
      <c r="I1226" s="5"/>
    </row>
    <row r="1227" spans="1:9" ht="17.399999999999999" x14ac:dyDescent="0.25">
      <c r="A1227" s="16"/>
      <c r="B1227" s="17"/>
      <c r="C1227" s="2"/>
      <c r="D1227" s="2"/>
      <c r="E1227" s="2"/>
      <c r="F1227" s="2"/>
      <c r="G1227" s="2"/>
      <c r="H1227" s="2"/>
      <c r="I1227" s="5"/>
    </row>
    <row r="1228" spans="1:9" ht="17.399999999999999" x14ac:dyDescent="0.25">
      <c r="A1228" s="16"/>
      <c r="B1228" s="17"/>
      <c r="C1228" s="2"/>
      <c r="D1228" s="2"/>
      <c r="E1228" s="2"/>
      <c r="F1228" s="2"/>
      <c r="G1228" s="2"/>
      <c r="H1228" s="2"/>
      <c r="I1228" s="5"/>
    </row>
    <row r="1229" spans="1:9" ht="17.399999999999999" x14ac:dyDescent="0.25">
      <c r="A1229" s="16"/>
      <c r="B1229" s="17"/>
      <c r="C1229" s="2"/>
      <c r="D1229" s="2"/>
      <c r="E1229" s="2"/>
      <c r="F1229" s="2"/>
      <c r="G1229" s="2"/>
      <c r="H1229" s="2"/>
      <c r="I1229" s="5"/>
    </row>
    <row r="1230" spans="1:9" ht="17.399999999999999" x14ac:dyDescent="0.25">
      <c r="A1230" s="16"/>
      <c r="B1230" s="17"/>
      <c r="C1230" s="2"/>
      <c r="D1230" s="2"/>
      <c r="E1230" s="2"/>
      <c r="F1230" s="2"/>
      <c r="G1230" s="2"/>
      <c r="H1230" s="2"/>
      <c r="I1230" s="5"/>
    </row>
    <row r="1231" spans="1:9" ht="17.399999999999999" x14ac:dyDescent="0.25">
      <c r="A1231" s="16"/>
      <c r="B1231" s="17"/>
      <c r="C1231" s="2"/>
      <c r="D1231" s="2"/>
      <c r="E1231" s="2"/>
      <c r="F1231" s="2"/>
      <c r="G1231" s="2"/>
      <c r="H1231" s="2"/>
      <c r="I1231" s="5"/>
    </row>
    <row r="1232" spans="1:9" ht="17.399999999999999" x14ac:dyDescent="0.25">
      <c r="A1232" s="16"/>
      <c r="B1232" s="17"/>
      <c r="C1232" s="2"/>
      <c r="D1232" s="2"/>
      <c r="E1232" s="2"/>
      <c r="F1232" s="2"/>
      <c r="G1232" s="2"/>
      <c r="H1232" s="2"/>
      <c r="I1232" s="5"/>
    </row>
    <row r="1233" spans="1:9" ht="17.399999999999999" x14ac:dyDescent="0.25">
      <c r="A1233" s="16"/>
      <c r="B1233" s="17"/>
      <c r="C1233" s="2"/>
      <c r="D1233" s="2"/>
      <c r="E1233" s="2"/>
      <c r="F1233" s="2"/>
      <c r="G1233" s="2"/>
      <c r="H1233" s="2"/>
      <c r="I1233" s="5"/>
    </row>
    <row r="1234" spans="1:9" ht="17.399999999999999" x14ac:dyDescent="0.25">
      <c r="A1234" s="16"/>
      <c r="B1234" s="17"/>
      <c r="C1234" s="2"/>
      <c r="D1234" s="2"/>
      <c r="E1234" s="2"/>
      <c r="F1234" s="2"/>
      <c r="G1234" s="2"/>
      <c r="H1234" s="2"/>
      <c r="I1234" s="5"/>
    </row>
    <row r="1235" spans="1:9" ht="17.399999999999999" x14ac:dyDescent="0.25">
      <c r="A1235" s="16"/>
      <c r="B1235" s="17"/>
      <c r="C1235" s="2"/>
      <c r="D1235" s="2"/>
      <c r="E1235" s="2"/>
      <c r="F1235" s="2"/>
      <c r="G1235" s="2"/>
      <c r="H1235" s="2"/>
      <c r="I1235" s="5"/>
    </row>
    <row r="1236" spans="1:9" ht="17.399999999999999" x14ac:dyDescent="0.25">
      <c r="A1236" s="16"/>
      <c r="B1236" s="17"/>
      <c r="C1236" s="2"/>
      <c r="D1236" s="2"/>
      <c r="E1236" s="2"/>
      <c r="F1236" s="2"/>
      <c r="G1236" s="2"/>
      <c r="H1236" s="2"/>
      <c r="I1236" s="5"/>
    </row>
    <row r="1237" spans="1:9" ht="17.399999999999999" x14ac:dyDescent="0.25">
      <c r="A1237" s="16"/>
      <c r="B1237" s="17"/>
      <c r="C1237" s="2"/>
      <c r="D1237" s="2"/>
      <c r="E1237" s="2"/>
      <c r="F1237" s="2"/>
      <c r="G1237" s="2"/>
      <c r="H1237" s="2"/>
      <c r="I1237" s="5"/>
    </row>
    <row r="1238" spans="1:9" ht="17.399999999999999" x14ac:dyDescent="0.25">
      <c r="A1238" s="16"/>
      <c r="B1238" s="17"/>
      <c r="C1238" s="2"/>
      <c r="D1238" s="2"/>
      <c r="E1238" s="2"/>
      <c r="F1238" s="2"/>
      <c r="G1238" s="2"/>
      <c r="H1238" s="2"/>
      <c r="I1238" s="5"/>
    </row>
    <row r="1239" spans="1:9" ht="17.399999999999999" x14ac:dyDescent="0.25">
      <c r="A1239" s="16"/>
      <c r="B1239" s="17"/>
      <c r="C1239" s="2"/>
      <c r="D1239" s="2"/>
      <c r="E1239" s="2"/>
      <c r="F1239" s="2"/>
      <c r="G1239" s="2"/>
      <c r="H1239" s="2"/>
      <c r="I1239" s="5"/>
    </row>
    <row r="1240" spans="1:9" ht="17.399999999999999" x14ac:dyDescent="0.25">
      <c r="A1240" s="16"/>
      <c r="B1240" s="17"/>
      <c r="C1240" s="2"/>
      <c r="D1240" s="2"/>
      <c r="E1240" s="2"/>
      <c r="F1240" s="2"/>
      <c r="G1240" s="2"/>
      <c r="H1240" s="2"/>
      <c r="I1240" s="5"/>
    </row>
    <row r="1241" spans="1:9" ht="17.399999999999999" x14ac:dyDescent="0.25">
      <c r="A1241" s="16"/>
      <c r="B1241" s="17"/>
      <c r="C1241" s="2"/>
      <c r="D1241" s="2"/>
      <c r="E1241" s="2"/>
      <c r="F1241" s="2"/>
      <c r="G1241" s="2"/>
      <c r="H1241" s="2"/>
      <c r="I1241" s="5"/>
    </row>
    <row r="1242" spans="1:9" ht="17.399999999999999" x14ac:dyDescent="0.25">
      <c r="A1242" s="16"/>
      <c r="B1242" s="17"/>
      <c r="C1242" s="2"/>
      <c r="D1242" s="2"/>
      <c r="E1242" s="2"/>
      <c r="F1242" s="2"/>
      <c r="G1242" s="2"/>
      <c r="H1242" s="2"/>
      <c r="I1242" s="5"/>
    </row>
    <row r="1243" spans="1:9" ht="17.399999999999999" x14ac:dyDescent="0.25">
      <c r="A1243" s="16"/>
      <c r="B1243" s="17"/>
      <c r="C1243" s="2"/>
      <c r="D1243" s="2"/>
      <c r="E1243" s="2"/>
      <c r="F1243" s="2"/>
      <c r="G1243" s="2"/>
      <c r="H1243" s="2"/>
      <c r="I1243" s="5"/>
    </row>
    <row r="1244" spans="1:9" ht="17.399999999999999" x14ac:dyDescent="0.25">
      <c r="A1244" s="16"/>
      <c r="B1244" s="17"/>
      <c r="C1244" s="2"/>
      <c r="D1244" s="2"/>
      <c r="E1244" s="2"/>
      <c r="F1244" s="2"/>
      <c r="G1244" s="2"/>
      <c r="H1244" s="2"/>
      <c r="I1244" s="5"/>
    </row>
    <row r="1245" spans="1:9" ht="17.399999999999999" x14ac:dyDescent="0.25">
      <c r="A1245" s="16"/>
      <c r="B1245" s="17"/>
      <c r="C1245" s="2"/>
      <c r="D1245" s="2"/>
      <c r="E1245" s="2"/>
      <c r="F1245" s="2"/>
      <c r="G1245" s="2"/>
      <c r="H1245" s="2"/>
      <c r="I1245" s="5"/>
    </row>
    <row r="1246" spans="1:9" ht="17.399999999999999" x14ac:dyDescent="0.25">
      <c r="A1246" s="16"/>
      <c r="B1246" s="17"/>
      <c r="C1246" s="2"/>
      <c r="D1246" s="2"/>
      <c r="E1246" s="2"/>
      <c r="F1246" s="2"/>
      <c r="G1246" s="2"/>
      <c r="H1246" s="2"/>
      <c r="I1246" s="5"/>
    </row>
    <row r="1247" spans="1:9" ht="17.399999999999999" x14ac:dyDescent="0.25">
      <c r="A1247" s="16"/>
      <c r="B1247" s="17"/>
      <c r="C1247" s="2"/>
      <c r="D1247" s="2"/>
      <c r="E1247" s="2"/>
      <c r="F1247" s="2"/>
      <c r="G1247" s="2"/>
      <c r="H1247" s="2"/>
      <c r="I1247" s="5"/>
    </row>
    <row r="1248" spans="1:9" ht="17.399999999999999" x14ac:dyDescent="0.25">
      <c r="A1248" s="16"/>
      <c r="B1248" s="17"/>
      <c r="C1248" s="2"/>
      <c r="D1248" s="2"/>
      <c r="E1248" s="2"/>
      <c r="F1248" s="2"/>
      <c r="G1248" s="2"/>
      <c r="H1248" s="2"/>
      <c r="I1248" s="5"/>
    </row>
    <row r="1249" spans="1:9" ht="17.399999999999999" x14ac:dyDescent="0.25">
      <c r="A1249" s="16"/>
      <c r="B1249" s="17"/>
      <c r="C1249" s="2"/>
      <c r="D1249" s="2"/>
      <c r="E1249" s="2"/>
      <c r="F1249" s="2"/>
      <c r="G1249" s="2"/>
      <c r="H1249" s="2"/>
      <c r="I1249" s="5"/>
    </row>
    <row r="1250" spans="1:9" ht="17.399999999999999" x14ac:dyDescent="0.25">
      <c r="A1250" s="16"/>
      <c r="B1250" s="17"/>
      <c r="C1250" s="2"/>
      <c r="D1250" s="2"/>
      <c r="E1250" s="2"/>
      <c r="F1250" s="2"/>
      <c r="G1250" s="2"/>
      <c r="H1250" s="2"/>
      <c r="I1250" s="5"/>
    </row>
    <row r="1251" spans="1:9" ht="17.399999999999999" x14ac:dyDescent="0.25">
      <c r="A1251" s="16"/>
      <c r="B1251" s="17"/>
      <c r="C1251" s="2"/>
      <c r="D1251" s="2"/>
      <c r="E1251" s="2"/>
      <c r="F1251" s="2"/>
      <c r="G1251" s="2"/>
      <c r="H1251" s="2"/>
      <c r="I1251" s="5"/>
    </row>
    <row r="1252" spans="1:9" ht="17.399999999999999" x14ac:dyDescent="0.25">
      <c r="A1252" s="16"/>
      <c r="B1252" s="17"/>
      <c r="C1252" s="2"/>
      <c r="D1252" s="2"/>
      <c r="E1252" s="2"/>
      <c r="F1252" s="2"/>
      <c r="G1252" s="2"/>
      <c r="H1252" s="2"/>
      <c r="I1252" s="5"/>
    </row>
    <row r="1253" spans="1:9" ht="17.399999999999999" x14ac:dyDescent="0.25">
      <c r="A1253" s="16"/>
      <c r="B1253" s="17"/>
      <c r="C1253" s="2"/>
      <c r="D1253" s="2"/>
      <c r="E1253" s="2"/>
      <c r="F1253" s="2"/>
      <c r="G1253" s="2"/>
      <c r="H1253" s="2"/>
      <c r="I1253" s="5"/>
    </row>
    <row r="1254" spans="1:9" ht="17.399999999999999" x14ac:dyDescent="0.25">
      <c r="A1254" s="16"/>
      <c r="B1254" s="17"/>
      <c r="C1254" s="2"/>
      <c r="D1254" s="2"/>
      <c r="E1254" s="2"/>
      <c r="F1254" s="2"/>
      <c r="G1254" s="2"/>
      <c r="H1254" s="2"/>
      <c r="I1254" s="5"/>
    </row>
    <row r="1255" spans="1:9" ht="17.399999999999999" x14ac:dyDescent="0.25">
      <c r="A1255" s="16"/>
      <c r="B1255" s="17"/>
      <c r="C1255" s="2"/>
      <c r="D1255" s="2"/>
      <c r="E1255" s="2"/>
      <c r="F1255" s="2"/>
      <c r="G1255" s="2"/>
      <c r="H1255" s="2"/>
      <c r="I1255" s="5"/>
    </row>
    <row r="1256" spans="1:9" ht="17.399999999999999" x14ac:dyDescent="0.25">
      <c r="A1256" s="16"/>
      <c r="B1256" s="17"/>
      <c r="C1256" s="2"/>
      <c r="D1256" s="2"/>
      <c r="E1256" s="2"/>
      <c r="F1256" s="2"/>
      <c r="G1256" s="2"/>
      <c r="H1256" s="2"/>
      <c r="I1256" s="5"/>
    </row>
    <row r="1257" spans="1:9" ht="17.399999999999999" x14ac:dyDescent="0.25">
      <c r="A1257" s="16"/>
      <c r="B1257" s="17"/>
      <c r="C1257" s="2"/>
      <c r="D1257" s="2"/>
      <c r="E1257" s="2"/>
      <c r="F1257" s="2"/>
      <c r="G1257" s="2"/>
      <c r="H1257" s="2"/>
      <c r="I1257" s="5"/>
    </row>
    <row r="1258" spans="1:9" ht="17.399999999999999" x14ac:dyDescent="0.25">
      <c r="A1258" s="16"/>
      <c r="B1258" s="17"/>
      <c r="C1258" s="2"/>
      <c r="D1258" s="2"/>
      <c r="E1258" s="2"/>
      <c r="F1258" s="2"/>
      <c r="G1258" s="2"/>
      <c r="H1258" s="2"/>
      <c r="I1258" s="5"/>
    </row>
    <row r="1259" spans="1:9" ht="17.399999999999999" x14ac:dyDescent="0.25">
      <c r="A1259" s="16"/>
      <c r="B1259" s="17"/>
      <c r="C1259" s="2"/>
      <c r="D1259" s="2"/>
      <c r="E1259" s="2"/>
      <c r="F1259" s="2"/>
      <c r="G1259" s="2"/>
      <c r="H1259" s="2"/>
      <c r="I1259" s="5"/>
    </row>
    <row r="1260" spans="1:9" ht="17.399999999999999" x14ac:dyDescent="0.25">
      <c r="A1260" s="16"/>
      <c r="B1260" s="17"/>
      <c r="C1260" s="2"/>
      <c r="D1260" s="2"/>
      <c r="E1260" s="2"/>
      <c r="F1260" s="2"/>
      <c r="G1260" s="2"/>
      <c r="H1260" s="2"/>
      <c r="I1260" s="5"/>
    </row>
    <row r="1261" spans="1:9" ht="17.399999999999999" x14ac:dyDescent="0.25">
      <c r="A1261" s="16"/>
      <c r="B1261" s="17"/>
      <c r="C1261" s="2"/>
      <c r="D1261" s="2"/>
      <c r="E1261" s="2"/>
      <c r="F1261" s="2"/>
      <c r="G1261" s="2"/>
      <c r="H1261" s="2"/>
      <c r="I1261" s="5"/>
    </row>
    <row r="1262" spans="1:9" ht="17.399999999999999" x14ac:dyDescent="0.25">
      <c r="A1262" s="16"/>
      <c r="B1262" s="17"/>
      <c r="C1262" s="2"/>
      <c r="D1262" s="2"/>
      <c r="E1262" s="2"/>
      <c r="F1262" s="2"/>
      <c r="G1262" s="2"/>
      <c r="H1262" s="2"/>
      <c r="I1262" s="5"/>
    </row>
    <row r="1263" spans="1:9" ht="17.399999999999999" x14ac:dyDescent="0.25">
      <c r="A1263" s="16"/>
      <c r="B1263" s="17"/>
      <c r="C1263" s="2"/>
      <c r="D1263" s="2"/>
      <c r="E1263" s="2"/>
      <c r="F1263" s="2"/>
      <c r="G1263" s="2"/>
      <c r="H1263" s="2"/>
      <c r="I1263" s="5"/>
    </row>
    <row r="1264" spans="1:9" ht="17.399999999999999" x14ac:dyDescent="0.25">
      <c r="A1264" s="16"/>
      <c r="B1264" s="17"/>
      <c r="C1264" s="2"/>
      <c r="D1264" s="2"/>
      <c r="E1264" s="2"/>
      <c r="F1264" s="2"/>
      <c r="G1264" s="2"/>
      <c r="H1264" s="2"/>
      <c r="I1264" s="5"/>
    </row>
    <row r="1265" spans="1:9" ht="17.399999999999999" x14ac:dyDescent="0.25">
      <c r="A1265" s="16"/>
      <c r="B1265" s="17"/>
      <c r="C1265" s="2"/>
      <c r="D1265" s="2"/>
      <c r="E1265" s="2"/>
      <c r="F1265" s="2"/>
      <c r="G1265" s="2"/>
      <c r="H1265" s="2"/>
      <c r="I1265" s="5"/>
    </row>
    <row r="1266" spans="1:9" ht="17.399999999999999" x14ac:dyDescent="0.25">
      <c r="A1266" s="16"/>
      <c r="B1266" s="17"/>
      <c r="C1266" s="2"/>
      <c r="D1266" s="2"/>
      <c r="E1266" s="2"/>
      <c r="F1266" s="2"/>
      <c r="G1266" s="2"/>
      <c r="H1266" s="2"/>
      <c r="I1266" s="5"/>
    </row>
    <row r="1267" spans="1:9" ht="17.399999999999999" x14ac:dyDescent="0.25">
      <c r="A1267" s="16"/>
      <c r="B1267" s="17"/>
      <c r="C1267" s="2"/>
      <c r="D1267" s="2"/>
      <c r="E1267" s="2"/>
      <c r="F1267" s="2"/>
      <c r="G1267" s="2"/>
      <c r="H1267" s="2"/>
      <c r="I1267" s="5"/>
    </row>
    <row r="1268" spans="1:9" ht="17.399999999999999" x14ac:dyDescent="0.25">
      <c r="A1268" s="16"/>
      <c r="B1268" s="17"/>
      <c r="C1268" s="2"/>
      <c r="D1268" s="2"/>
      <c r="E1268" s="2"/>
      <c r="F1268" s="2"/>
      <c r="G1268" s="2"/>
      <c r="H1268" s="2"/>
      <c r="I1268" s="5"/>
    </row>
    <row r="1269" spans="1:9" ht="17.399999999999999" x14ac:dyDescent="0.25">
      <c r="A1269" s="16"/>
      <c r="B1269" s="17"/>
      <c r="C1269" s="2"/>
      <c r="D1269" s="2"/>
      <c r="E1269" s="2"/>
      <c r="F1269" s="2"/>
      <c r="G1269" s="2"/>
      <c r="H1269" s="2"/>
      <c r="I1269" s="5"/>
    </row>
    <row r="1270" spans="1:9" ht="17.399999999999999" x14ac:dyDescent="0.25">
      <c r="A1270" s="16"/>
      <c r="B1270" s="17"/>
      <c r="C1270" s="2"/>
      <c r="D1270" s="2"/>
      <c r="E1270" s="2"/>
      <c r="F1270" s="2"/>
      <c r="G1270" s="2"/>
      <c r="H1270" s="2"/>
      <c r="I1270" s="5"/>
    </row>
    <row r="1271" spans="1:9" ht="17.399999999999999" x14ac:dyDescent="0.25">
      <c r="A1271" s="16"/>
      <c r="B1271" s="17"/>
      <c r="C1271" s="2"/>
      <c r="D1271" s="2"/>
      <c r="E1271" s="2"/>
      <c r="F1271" s="2"/>
      <c r="G1271" s="2"/>
      <c r="H1271" s="2"/>
      <c r="I1271" s="5"/>
    </row>
    <row r="1272" spans="1:9" ht="17.399999999999999" x14ac:dyDescent="0.25">
      <c r="A1272" s="16"/>
      <c r="B1272" s="17"/>
      <c r="C1272" s="2"/>
      <c r="D1272" s="2"/>
      <c r="E1272" s="2"/>
      <c r="F1272" s="2"/>
      <c r="G1272" s="2"/>
      <c r="H1272" s="2"/>
      <c r="I1272" s="5"/>
    </row>
    <row r="1273" spans="1:9" ht="17.399999999999999" x14ac:dyDescent="0.25">
      <c r="A1273" s="16"/>
      <c r="B1273" s="17"/>
      <c r="C1273" s="2"/>
      <c r="D1273" s="2"/>
      <c r="E1273" s="2"/>
      <c r="F1273" s="2"/>
      <c r="G1273" s="2"/>
      <c r="H1273" s="2"/>
      <c r="I1273" s="5"/>
    </row>
    <row r="1274" spans="1:9" ht="17.399999999999999" x14ac:dyDescent="0.25">
      <c r="A1274" s="16"/>
      <c r="B1274" s="17"/>
      <c r="C1274" s="2"/>
      <c r="D1274" s="2"/>
      <c r="E1274" s="2"/>
      <c r="F1274" s="2"/>
      <c r="G1274" s="2"/>
      <c r="H1274" s="2"/>
      <c r="I1274" s="5"/>
    </row>
    <row r="1275" spans="1:9" ht="17.399999999999999" x14ac:dyDescent="0.25">
      <c r="A1275" s="16"/>
      <c r="B1275" s="17"/>
      <c r="C1275" s="2"/>
      <c r="D1275" s="2"/>
      <c r="E1275" s="2"/>
      <c r="F1275" s="2"/>
      <c r="G1275" s="2"/>
      <c r="H1275" s="2"/>
      <c r="I1275" s="5"/>
    </row>
    <row r="1276" spans="1:9" ht="17.399999999999999" x14ac:dyDescent="0.25">
      <c r="A1276" s="16"/>
      <c r="B1276" s="17"/>
      <c r="C1276" s="2"/>
      <c r="D1276" s="2"/>
      <c r="E1276" s="2"/>
      <c r="F1276" s="2"/>
      <c r="G1276" s="2"/>
      <c r="H1276" s="2"/>
      <c r="I1276" s="5"/>
    </row>
    <row r="1277" spans="1:9" ht="17.399999999999999" x14ac:dyDescent="0.25">
      <c r="A1277" s="16"/>
      <c r="B1277" s="17"/>
      <c r="C1277" s="2"/>
      <c r="D1277" s="2"/>
      <c r="E1277" s="2"/>
      <c r="F1277" s="2"/>
      <c r="G1277" s="2"/>
      <c r="H1277" s="2"/>
      <c r="I1277" s="5"/>
    </row>
    <row r="1278" spans="1:9" ht="17.399999999999999" x14ac:dyDescent="0.25">
      <c r="A1278" s="16"/>
      <c r="B1278" s="17"/>
      <c r="C1278" s="2"/>
      <c r="D1278" s="2"/>
      <c r="E1278" s="2"/>
      <c r="F1278" s="2"/>
      <c r="G1278" s="2"/>
      <c r="H1278" s="2"/>
      <c r="I1278" s="5"/>
    </row>
    <row r="1279" spans="1:9" ht="17.399999999999999" x14ac:dyDescent="0.25">
      <c r="A1279" s="16"/>
      <c r="B1279" s="17"/>
      <c r="C1279" s="2"/>
      <c r="D1279" s="2"/>
      <c r="E1279" s="2"/>
      <c r="F1279" s="2"/>
      <c r="G1279" s="2"/>
      <c r="H1279" s="2"/>
      <c r="I1279" s="5"/>
    </row>
    <row r="1280" spans="1:9" ht="17.399999999999999" x14ac:dyDescent="0.25">
      <c r="A1280" s="16"/>
      <c r="B1280" s="17"/>
      <c r="C1280" s="2"/>
      <c r="D1280" s="2"/>
      <c r="E1280" s="2"/>
      <c r="F1280" s="2"/>
      <c r="G1280" s="2"/>
      <c r="H1280" s="2"/>
      <c r="I1280" s="5"/>
    </row>
    <row r="1281" spans="1:9" ht="17.399999999999999" x14ac:dyDescent="0.25">
      <c r="A1281" s="16"/>
      <c r="B1281" s="17"/>
      <c r="C1281" s="2"/>
      <c r="D1281" s="2"/>
      <c r="E1281" s="2"/>
      <c r="F1281" s="2"/>
      <c r="G1281" s="2"/>
      <c r="H1281" s="2"/>
      <c r="I1281" s="5"/>
    </row>
    <row r="1282" spans="1:9" ht="17.399999999999999" x14ac:dyDescent="0.25">
      <c r="A1282" s="16"/>
      <c r="B1282" s="17"/>
      <c r="C1282" s="2"/>
      <c r="D1282" s="2"/>
      <c r="E1282" s="2"/>
      <c r="F1282" s="2"/>
      <c r="G1282" s="2"/>
      <c r="H1282" s="2"/>
      <c r="I1282" s="5"/>
    </row>
    <row r="1283" spans="1:9" ht="17.399999999999999" x14ac:dyDescent="0.25">
      <c r="A1283" s="16"/>
      <c r="B1283" s="17"/>
      <c r="C1283" s="2"/>
      <c r="D1283" s="2"/>
      <c r="E1283" s="2"/>
      <c r="F1283" s="2"/>
      <c r="G1283" s="2"/>
      <c r="H1283" s="2"/>
      <c r="I1283" s="5"/>
    </row>
    <row r="1284" spans="1:9" ht="17.399999999999999" x14ac:dyDescent="0.25">
      <c r="A1284" s="16"/>
      <c r="B1284" s="17"/>
      <c r="C1284" s="2"/>
      <c r="D1284" s="2"/>
      <c r="E1284" s="2"/>
      <c r="F1284" s="2"/>
      <c r="G1284" s="2"/>
      <c r="H1284" s="2"/>
      <c r="I1284" s="5"/>
    </row>
    <row r="1285" spans="1:9" ht="17.399999999999999" x14ac:dyDescent="0.25">
      <c r="A1285" s="16"/>
      <c r="B1285" s="17"/>
      <c r="C1285" s="2"/>
      <c r="D1285" s="2"/>
      <c r="E1285" s="2"/>
      <c r="F1285" s="2"/>
      <c r="G1285" s="2"/>
      <c r="H1285" s="2"/>
      <c r="I1285" s="5"/>
    </row>
    <row r="1286" spans="1:9" ht="17.399999999999999" x14ac:dyDescent="0.25">
      <c r="A1286" s="16"/>
      <c r="B1286" s="17"/>
      <c r="C1286" s="2"/>
      <c r="D1286" s="2"/>
      <c r="E1286" s="2"/>
      <c r="F1286" s="2"/>
      <c r="G1286" s="2"/>
      <c r="H1286" s="2"/>
      <c r="I1286" s="5"/>
    </row>
    <row r="1287" spans="1:9" ht="17.399999999999999" x14ac:dyDescent="0.25">
      <c r="A1287" s="16"/>
      <c r="B1287" s="17"/>
      <c r="C1287" s="2"/>
      <c r="D1287" s="2"/>
      <c r="E1287" s="2"/>
      <c r="F1287" s="2"/>
      <c r="G1287" s="2"/>
      <c r="H1287" s="2"/>
      <c r="I1287" s="5"/>
    </row>
    <row r="1288" spans="1:9" ht="17.399999999999999" x14ac:dyDescent="0.25">
      <c r="A1288" s="16"/>
      <c r="B1288" s="17"/>
      <c r="C1288" s="2"/>
      <c r="D1288" s="2"/>
      <c r="E1288" s="2"/>
      <c r="F1288" s="2"/>
      <c r="G1288" s="2"/>
      <c r="H1288" s="2"/>
      <c r="I1288" s="5"/>
    </row>
    <row r="1289" spans="1:9" ht="17.399999999999999" x14ac:dyDescent="0.25">
      <c r="A1289" s="16"/>
      <c r="B1289" s="17"/>
      <c r="C1289" s="2"/>
      <c r="D1289" s="2"/>
      <c r="E1289" s="2"/>
      <c r="F1289" s="2"/>
      <c r="G1289" s="2"/>
      <c r="H1289" s="2"/>
      <c r="I1289" s="5"/>
    </row>
    <row r="1290" spans="1:9" ht="17.399999999999999" x14ac:dyDescent="0.25">
      <c r="A1290" s="16"/>
      <c r="B1290" s="17"/>
      <c r="C1290" s="2"/>
      <c r="D1290" s="2"/>
      <c r="E1290" s="2"/>
      <c r="F1290" s="2"/>
      <c r="G1290" s="2"/>
      <c r="H1290" s="2"/>
      <c r="I1290" s="5"/>
    </row>
    <row r="1291" spans="1:9" ht="17.399999999999999" x14ac:dyDescent="0.25">
      <c r="A1291" s="16"/>
      <c r="B1291" s="17"/>
      <c r="C1291" s="2"/>
      <c r="D1291" s="2"/>
      <c r="E1291" s="2"/>
      <c r="F1291" s="2"/>
      <c r="G1291" s="2"/>
      <c r="H1291" s="2"/>
      <c r="I1291" s="5"/>
    </row>
    <row r="1292" spans="1:9" ht="17.399999999999999" x14ac:dyDescent="0.25">
      <c r="A1292" s="16"/>
      <c r="B1292" s="17"/>
      <c r="C1292" s="2"/>
      <c r="D1292" s="2"/>
      <c r="E1292" s="2"/>
      <c r="F1292" s="2"/>
      <c r="G1292" s="2"/>
      <c r="H1292" s="2"/>
      <c r="I1292" s="5"/>
    </row>
    <row r="1293" spans="1:9" ht="17.399999999999999" x14ac:dyDescent="0.25">
      <c r="A1293" s="16"/>
      <c r="B1293" s="17"/>
      <c r="C1293" s="2"/>
      <c r="D1293" s="2"/>
      <c r="E1293" s="2"/>
      <c r="F1293" s="2"/>
      <c r="G1293" s="2"/>
      <c r="H1293" s="2"/>
      <c r="I1293" s="5"/>
    </row>
    <row r="1294" spans="1:9" ht="17.399999999999999" x14ac:dyDescent="0.25">
      <c r="A1294" s="16"/>
      <c r="B1294" s="17"/>
      <c r="C1294" s="2"/>
      <c r="D1294" s="2"/>
      <c r="E1294" s="2"/>
      <c r="F1294" s="2"/>
      <c r="G1294" s="2"/>
      <c r="H1294" s="2"/>
      <c r="I1294" s="5"/>
    </row>
    <row r="1295" spans="1:9" ht="17.399999999999999" x14ac:dyDescent="0.25">
      <c r="A1295" s="16"/>
      <c r="B1295" s="17"/>
      <c r="C1295" s="2"/>
      <c r="D1295" s="2"/>
      <c r="E1295" s="2"/>
      <c r="F1295" s="2"/>
      <c r="G1295" s="2"/>
      <c r="H1295" s="2"/>
      <c r="I1295" s="5"/>
    </row>
    <row r="1296" spans="1:9" ht="17.399999999999999" x14ac:dyDescent="0.25">
      <c r="A1296" s="16"/>
      <c r="B1296" s="17"/>
      <c r="C1296" s="2"/>
      <c r="D1296" s="2"/>
      <c r="E1296" s="2"/>
      <c r="F1296" s="2"/>
      <c r="G1296" s="2"/>
      <c r="H1296" s="2"/>
      <c r="I1296" s="5"/>
    </row>
    <row r="1297" spans="1:9" ht="17.399999999999999" x14ac:dyDescent="0.25">
      <c r="A1297" s="16"/>
      <c r="B1297" s="17"/>
      <c r="C1297" s="2"/>
      <c r="D1297" s="2"/>
      <c r="E1297" s="2"/>
      <c r="F1297" s="2"/>
      <c r="G1297" s="2"/>
      <c r="H1297" s="2"/>
      <c r="I1297" s="5"/>
    </row>
    <row r="1298" spans="1:9" ht="17.399999999999999" x14ac:dyDescent="0.25">
      <c r="A1298" s="16"/>
      <c r="B1298" s="17"/>
      <c r="C1298" s="2"/>
      <c r="D1298" s="2"/>
      <c r="E1298" s="2"/>
      <c r="F1298" s="2"/>
      <c r="G1298" s="2"/>
      <c r="H1298" s="2"/>
      <c r="I1298" s="5"/>
    </row>
    <row r="1299" spans="1:9" ht="17.399999999999999" x14ac:dyDescent="0.25">
      <c r="A1299" s="16"/>
      <c r="B1299" s="17"/>
      <c r="C1299" s="2"/>
      <c r="D1299" s="2"/>
      <c r="E1299" s="2"/>
      <c r="F1299" s="2"/>
      <c r="G1299" s="2"/>
      <c r="H1299" s="2"/>
      <c r="I1299" s="5"/>
    </row>
    <row r="1300" spans="1:9" ht="17.399999999999999" x14ac:dyDescent="0.25">
      <c r="A1300" s="16"/>
      <c r="B1300" s="17"/>
      <c r="C1300" s="2"/>
      <c r="D1300" s="2"/>
      <c r="E1300" s="2"/>
      <c r="F1300" s="2"/>
      <c r="G1300" s="2"/>
      <c r="H1300" s="2"/>
      <c r="I1300" s="5"/>
    </row>
    <row r="1301" spans="1:9" ht="17.399999999999999" x14ac:dyDescent="0.25">
      <c r="A1301" s="16"/>
      <c r="B1301" s="17"/>
      <c r="C1301" s="2"/>
      <c r="D1301" s="2"/>
      <c r="E1301" s="2"/>
      <c r="F1301" s="2"/>
      <c r="G1301" s="2"/>
      <c r="H1301" s="2"/>
      <c r="I1301" s="5"/>
    </row>
    <row r="1302" spans="1:9" ht="17.399999999999999" x14ac:dyDescent="0.25">
      <c r="A1302" s="16"/>
      <c r="B1302" s="17"/>
      <c r="C1302" s="2"/>
      <c r="D1302" s="2"/>
      <c r="E1302" s="2"/>
      <c r="F1302" s="2"/>
      <c r="G1302" s="2"/>
      <c r="H1302" s="2"/>
      <c r="I1302" s="5"/>
    </row>
    <row r="1303" spans="1:9" ht="17.399999999999999" x14ac:dyDescent="0.25">
      <c r="A1303" s="16"/>
      <c r="B1303" s="17"/>
      <c r="C1303" s="2"/>
      <c r="D1303" s="2"/>
      <c r="E1303" s="2"/>
      <c r="F1303" s="2"/>
      <c r="G1303" s="2"/>
      <c r="H1303" s="2"/>
      <c r="I1303" s="5"/>
    </row>
    <row r="1304" spans="1:9" ht="17.399999999999999" x14ac:dyDescent="0.25">
      <c r="A1304" s="16"/>
      <c r="B1304" s="17"/>
      <c r="C1304" s="2"/>
      <c r="D1304" s="2"/>
      <c r="E1304" s="2"/>
      <c r="F1304" s="2"/>
      <c r="G1304" s="2"/>
      <c r="H1304" s="2"/>
      <c r="I1304" s="5"/>
    </row>
    <row r="1305" spans="1:9" ht="17.399999999999999" x14ac:dyDescent="0.25">
      <c r="A1305" s="16"/>
      <c r="B1305" s="17"/>
      <c r="C1305" s="2"/>
      <c r="D1305" s="2"/>
      <c r="E1305" s="2"/>
      <c r="F1305" s="2"/>
      <c r="G1305" s="2"/>
      <c r="H1305" s="2"/>
      <c r="I1305" s="5"/>
    </row>
    <row r="1306" spans="1:9" ht="17.399999999999999" x14ac:dyDescent="0.25">
      <c r="A1306" s="16"/>
      <c r="B1306" s="17"/>
      <c r="C1306" s="2"/>
      <c r="D1306" s="2"/>
      <c r="E1306" s="2"/>
      <c r="F1306" s="2"/>
      <c r="G1306" s="2"/>
      <c r="H1306" s="2"/>
      <c r="I1306" s="5"/>
    </row>
    <row r="1307" spans="1:9" ht="17.399999999999999" x14ac:dyDescent="0.25">
      <c r="A1307" s="16"/>
      <c r="B1307" s="17"/>
      <c r="C1307" s="2"/>
      <c r="D1307" s="2"/>
      <c r="E1307" s="2"/>
      <c r="F1307" s="2"/>
      <c r="G1307" s="2"/>
      <c r="H1307" s="2"/>
      <c r="I1307" s="5"/>
    </row>
    <row r="1308" spans="1:9" ht="17.399999999999999" x14ac:dyDescent="0.25">
      <c r="A1308" s="16"/>
      <c r="B1308" s="17"/>
      <c r="C1308" s="2"/>
      <c r="D1308" s="2"/>
      <c r="E1308" s="2"/>
      <c r="F1308" s="2"/>
      <c r="G1308" s="2"/>
      <c r="H1308" s="2"/>
      <c r="I1308" s="5"/>
    </row>
    <row r="1309" spans="1:9" ht="17.399999999999999" x14ac:dyDescent="0.25">
      <c r="A1309" s="16"/>
      <c r="B1309" s="17"/>
      <c r="C1309" s="2"/>
      <c r="D1309" s="2"/>
      <c r="E1309" s="2"/>
      <c r="F1309" s="2"/>
      <c r="G1309" s="2"/>
      <c r="H1309" s="2"/>
      <c r="I1309" s="5"/>
    </row>
    <row r="1310" spans="1:9" ht="17.399999999999999" x14ac:dyDescent="0.25">
      <c r="A1310" s="16"/>
      <c r="B1310" s="17"/>
      <c r="C1310" s="2"/>
      <c r="D1310" s="2"/>
      <c r="E1310" s="2"/>
      <c r="F1310" s="2"/>
      <c r="G1310" s="2"/>
      <c r="H1310" s="2"/>
      <c r="I1310" s="5"/>
    </row>
    <row r="1311" spans="1:9" ht="17.399999999999999" x14ac:dyDescent="0.25">
      <c r="A1311" s="16"/>
      <c r="B1311" s="17"/>
      <c r="C1311" s="2"/>
      <c r="D1311" s="2"/>
      <c r="E1311" s="2"/>
      <c r="F1311" s="2"/>
      <c r="G1311" s="2"/>
      <c r="H1311" s="2"/>
      <c r="I1311" s="5"/>
    </row>
    <row r="1312" spans="1:9" ht="17.399999999999999" x14ac:dyDescent="0.25">
      <c r="A1312" s="16"/>
      <c r="B1312" s="17"/>
      <c r="C1312" s="2"/>
      <c r="D1312" s="2"/>
      <c r="E1312" s="2"/>
      <c r="F1312" s="2"/>
      <c r="G1312" s="2"/>
      <c r="H1312" s="2"/>
      <c r="I1312" s="5"/>
    </row>
    <row r="1313" spans="1:9" ht="17.399999999999999" x14ac:dyDescent="0.25">
      <c r="A1313" s="16"/>
      <c r="B1313" s="17"/>
      <c r="C1313" s="2"/>
      <c r="D1313" s="2"/>
      <c r="E1313" s="2"/>
      <c r="F1313" s="2"/>
      <c r="G1313" s="2"/>
      <c r="H1313" s="2"/>
      <c r="I1313" s="5"/>
    </row>
    <row r="1314" spans="1:9" ht="17.399999999999999" x14ac:dyDescent="0.25">
      <c r="A1314" s="16"/>
      <c r="B1314" s="17"/>
      <c r="C1314" s="2"/>
      <c r="D1314" s="2"/>
      <c r="E1314" s="2"/>
      <c r="F1314" s="2"/>
      <c r="G1314" s="2"/>
      <c r="H1314" s="2"/>
      <c r="I1314" s="5"/>
    </row>
    <row r="1315" spans="1:9" ht="17.399999999999999" x14ac:dyDescent="0.25">
      <c r="A1315" s="16"/>
      <c r="B1315" s="17"/>
      <c r="C1315" s="2"/>
      <c r="D1315" s="2"/>
      <c r="E1315" s="2"/>
      <c r="F1315" s="2"/>
      <c r="G1315" s="2"/>
      <c r="H1315" s="2"/>
      <c r="I1315" s="5"/>
    </row>
    <row r="1316" spans="1:9" ht="17.399999999999999" x14ac:dyDescent="0.25">
      <c r="A1316" s="16"/>
      <c r="B1316" s="17"/>
      <c r="C1316" s="2"/>
      <c r="D1316" s="2"/>
      <c r="E1316" s="2"/>
      <c r="F1316" s="2"/>
      <c r="G1316" s="2"/>
      <c r="H1316" s="2"/>
      <c r="I1316" s="5"/>
    </row>
    <row r="1317" spans="1:9" ht="17.399999999999999" x14ac:dyDescent="0.25">
      <c r="A1317" s="16"/>
      <c r="B1317" s="17"/>
      <c r="C1317" s="2"/>
      <c r="D1317" s="2"/>
      <c r="E1317" s="2"/>
      <c r="F1317" s="2"/>
      <c r="G1317" s="2"/>
      <c r="H1317" s="2"/>
      <c r="I1317" s="5"/>
    </row>
    <row r="1318" spans="1:9" ht="17.399999999999999" x14ac:dyDescent="0.25">
      <c r="A1318" s="16"/>
      <c r="B1318" s="17"/>
      <c r="C1318" s="2"/>
      <c r="D1318" s="2"/>
      <c r="E1318" s="2"/>
      <c r="F1318" s="2"/>
      <c r="G1318" s="2"/>
      <c r="H1318" s="2"/>
      <c r="I1318" s="5"/>
    </row>
    <row r="1319" spans="1:9" ht="17.399999999999999" x14ac:dyDescent="0.25">
      <c r="A1319" s="16"/>
      <c r="B1319" s="17"/>
      <c r="C1319" s="2"/>
      <c r="D1319" s="2"/>
      <c r="E1319" s="2"/>
      <c r="F1319" s="2"/>
      <c r="G1319" s="2"/>
      <c r="H1319" s="2"/>
      <c r="I1319" s="5"/>
    </row>
    <row r="1320" spans="1:9" ht="17.399999999999999" x14ac:dyDescent="0.25">
      <c r="A1320" s="16"/>
      <c r="B1320" s="17"/>
      <c r="C1320" s="2"/>
      <c r="D1320" s="2"/>
      <c r="E1320" s="2"/>
      <c r="F1320" s="2"/>
      <c r="G1320" s="2"/>
      <c r="H1320" s="2"/>
      <c r="I1320" s="5"/>
    </row>
    <row r="1321" spans="1:9" ht="17.399999999999999" x14ac:dyDescent="0.25">
      <c r="A1321" s="16"/>
      <c r="B1321" s="17"/>
      <c r="C1321" s="2"/>
      <c r="D1321" s="2"/>
      <c r="E1321" s="2"/>
      <c r="F1321" s="2"/>
      <c r="G1321" s="2"/>
      <c r="H1321" s="2"/>
      <c r="I1321" s="5"/>
    </row>
    <row r="1322" spans="1:9" ht="17.399999999999999" x14ac:dyDescent="0.25">
      <c r="A1322" s="16"/>
      <c r="B1322" s="17"/>
      <c r="C1322" s="2"/>
      <c r="D1322" s="2"/>
      <c r="E1322" s="2"/>
      <c r="F1322" s="2"/>
      <c r="G1322" s="2"/>
      <c r="H1322" s="2"/>
      <c r="I1322" s="5"/>
    </row>
    <row r="1323" spans="1:9" ht="17.399999999999999" x14ac:dyDescent="0.25">
      <c r="A1323" s="16"/>
      <c r="B1323" s="17"/>
      <c r="C1323" s="2"/>
      <c r="D1323" s="2"/>
      <c r="E1323" s="2"/>
      <c r="F1323" s="2"/>
      <c r="G1323" s="2"/>
      <c r="H1323" s="2"/>
      <c r="I1323" s="5"/>
    </row>
    <row r="1324" spans="1:9" ht="17.399999999999999" x14ac:dyDescent="0.25">
      <c r="A1324" s="16"/>
      <c r="B1324" s="17"/>
      <c r="C1324" s="2"/>
      <c r="D1324" s="2"/>
      <c r="E1324" s="2"/>
      <c r="F1324" s="2"/>
      <c r="G1324" s="2"/>
      <c r="H1324" s="2"/>
      <c r="I1324" s="5"/>
    </row>
    <row r="1325" spans="1:9" ht="17.399999999999999" x14ac:dyDescent="0.25">
      <c r="A1325" s="16"/>
      <c r="B1325" s="17"/>
      <c r="C1325" s="2"/>
      <c r="D1325" s="2"/>
      <c r="E1325" s="2"/>
      <c r="F1325" s="2"/>
      <c r="G1325" s="2"/>
      <c r="H1325" s="2"/>
      <c r="I1325" s="5"/>
    </row>
    <row r="1326" spans="1:9" ht="17.399999999999999" x14ac:dyDescent="0.25">
      <c r="A1326" s="16"/>
      <c r="B1326" s="17"/>
      <c r="C1326" s="2"/>
      <c r="D1326" s="2"/>
      <c r="E1326" s="2"/>
      <c r="F1326" s="2"/>
      <c r="G1326" s="2"/>
      <c r="H1326" s="2"/>
      <c r="I1326" s="5"/>
    </row>
    <row r="1327" spans="1:9" ht="17.399999999999999" x14ac:dyDescent="0.25">
      <c r="A1327" s="16"/>
      <c r="B1327" s="17"/>
      <c r="C1327" s="2"/>
      <c r="D1327" s="2"/>
      <c r="E1327" s="2"/>
      <c r="F1327" s="2"/>
      <c r="G1327" s="2"/>
      <c r="H1327" s="2"/>
      <c r="I1327" s="5"/>
    </row>
    <row r="1328" spans="1:9" ht="17.399999999999999" x14ac:dyDescent="0.25">
      <c r="A1328" s="16"/>
      <c r="B1328" s="17"/>
      <c r="C1328" s="2"/>
      <c r="D1328" s="2"/>
      <c r="E1328" s="2"/>
      <c r="F1328" s="2"/>
      <c r="G1328" s="2"/>
      <c r="H1328" s="2"/>
      <c r="I1328" s="5"/>
    </row>
    <row r="1329" spans="1:9" ht="17.399999999999999" x14ac:dyDescent="0.25">
      <c r="A1329" s="16"/>
      <c r="B1329" s="17"/>
      <c r="C1329" s="2"/>
      <c r="D1329" s="2"/>
      <c r="E1329" s="2"/>
      <c r="F1329" s="2"/>
      <c r="G1329" s="2"/>
      <c r="H1329" s="2"/>
      <c r="I1329" s="5"/>
    </row>
    <row r="1330" spans="1:9" ht="17.399999999999999" x14ac:dyDescent="0.25">
      <c r="A1330" s="16"/>
      <c r="B1330" s="17"/>
      <c r="C1330" s="2"/>
      <c r="D1330" s="2"/>
      <c r="E1330" s="2"/>
      <c r="F1330" s="2"/>
      <c r="G1330" s="2"/>
      <c r="H1330" s="2"/>
      <c r="I1330" s="5"/>
    </row>
    <row r="1331" spans="1:9" ht="17.399999999999999" x14ac:dyDescent="0.25">
      <c r="A1331" s="16"/>
      <c r="B1331" s="17"/>
      <c r="C1331" s="2"/>
      <c r="D1331" s="2"/>
      <c r="E1331" s="2"/>
      <c r="F1331" s="2"/>
      <c r="G1331" s="2"/>
      <c r="H1331" s="2"/>
      <c r="I1331" s="5"/>
    </row>
    <row r="1332" spans="1:9" ht="17.399999999999999" x14ac:dyDescent="0.25">
      <c r="A1332" s="16"/>
      <c r="B1332" s="17"/>
      <c r="C1332" s="2"/>
      <c r="D1332" s="2"/>
      <c r="E1332" s="2"/>
      <c r="F1332" s="2"/>
      <c r="G1332" s="2"/>
      <c r="H1332" s="2"/>
      <c r="I1332" s="5"/>
    </row>
    <row r="1333" spans="1:9" ht="17.399999999999999" x14ac:dyDescent="0.25">
      <c r="A1333" s="16"/>
      <c r="B1333" s="17"/>
      <c r="C1333" s="2"/>
      <c r="D1333" s="2"/>
      <c r="E1333" s="2"/>
      <c r="F1333" s="2"/>
      <c r="G1333" s="2"/>
      <c r="H1333" s="2"/>
      <c r="I1333" s="5"/>
    </row>
    <row r="1334" spans="1:9" ht="17.399999999999999" x14ac:dyDescent="0.25">
      <c r="A1334" s="16"/>
      <c r="B1334" s="17"/>
      <c r="C1334" s="2"/>
      <c r="D1334" s="2"/>
      <c r="E1334" s="2"/>
      <c r="F1334" s="2"/>
      <c r="G1334" s="2"/>
      <c r="H1334" s="2"/>
      <c r="I1334" s="5"/>
    </row>
    <row r="1335" spans="1:9" ht="17.399999999999999" x14ac:dyDescent="0.25">
      <c r="A1335" s="16"/>
      <c r="B1335" s="17"/>
      <c r="C1335" s="2"/>
      <c r="D1335" s="2"/>
      <c r="E1335" s="2"/>
      <c r="F1335" s="2"/>
      <c r="G1335" s="2"/>
      <c r="H1335" s="2"/>
      <c r="I1335" s="5"/>
    </row>
    <row r="1336" spans="1:9" ht="17.399999999999999" x14ac:dyDescent="0.25">
      <c r="A1336" s="16"/>
      <c r="B1336" s="17"/>
      <c r="C1336" s="2"/>
      <c r="D1336" s="2"/>
      <c r="E1336" s="2"/>
      <c r="F1336" s="2"/>
      <c r="G1336" s="2"/>
      <c r="H1336" s="2"/>
      <c r="I1336" s="5"/>
    </row>
    <row r="1337" spans="1:9" ht="17.399999999999999" x14ac:dyDescent="0.25">
      <c r="A1337" s="16"/>
      <c r="B1337" s="17"/>
      <c r="C1337" s="2"/>
      <c r="D1337" s="2"/>
      <c r="E1337" s="2"/>
      <c r="F1337" s="2"/>
      <c r="G1337" s="2"/>
      <c r="H1337" s="2"/>
      <c r="I1337" s="5"/>
    </row>
    <row r="1338" spans="1:9" ht="17.399999999999999" x14ac:dyDescent="0.25">
      <c r="A1338" s="16"/>
      <c r="B1338" s="17"/>
      <c r="C1338" s="2"/>
      <c r="D1338" s="2"/>
      <c r="E1338" s="2"/>
      <c r="F1338" s="2"/>
      <c r="G1338" s="2"/>
      <c r="H1338" s="2"/>
      <c r="I1338" s="5"/>
    </row>
    <row r="1339" spans="1:9" ht="17.399999999999999" x14ac:dyDescent="0.25">
      <c r="A1339" s="16"/>
      <c r="B1339" s="17"/>
      <c r="C1339" s="2"/>
      <c r="D1339" s="2"/>
      <c r="E1339" s="2"/>
      <c r="F1339" s="2"/>
      <c r="G1339" s="2"/>
      <c r="H1339" s="2"/>
      <c r="I1339" s="5"/>
    </row>
    <row r="1340" spans="1:9" ht="17.399999999999999" x14ac:dyDescent="0.25">
      <c r="A1340" s="16"/>
      <c r="B1340" s="17"/>
      <c r="C1340" s="2"/>
      <c r="D1340" s="2"/>
      <c r="E1340" s="2"/>
      <c r="F1340" s="2"/>
      <c r="G1340" s="2"/>
      <c r="H1340" s="2"/>
      <c r="I1340" s="5"/>
    </row>
    <row r="1341" spans="1:9" ht="17.399999999999999" x14ac:dyDescent="0.25">
      <c r="A1341" s="16"/>
      <c r="B1341" s="17"/>
      <c r="C1341" s="2"/>
      <c r="D1341" s="2"/>
      <c r="E1341" s="2"/>
      <c r="F1341" s="2"/>
      <c r="G1341" s="2"/>
      <c r="H1341" s="2"/>
      <c r="I1341" s="5"/>
    </row>
    <row r="1342" spans="1:9" ht="17.399999999999999" x14ac:dyDescent="0.25">
      <c r="A1342" s="16"/>
      <c r="B1342" s="17"/>
      <c r="C1342" s="2"/>
      <c r="D1342" s="2"/>
      <c r="E1342" s="2"/>
      <c r="F1342" s="2"/>
      <c r="G1342" s="2"/>
      <c r="H1342" s="2"/>
      <c r="I1342" s="5"/>
    </row>
    <row r="1343" spans="1:9" ht="17.399999999999999" x14ac:dyDescent="0.25">
      <c r="A1343" s="16"/>
      <c r="B1343" s="17"/>
      <c r="C1343" s="2"/>
      <c r="D1343" s="2"/>
      <c r="E1343" s="2"/>
      <c r="F1343" s="2"/>
      <c r="G1343" s="2"/>
      <c r="H1343" s="2"/>
      <c r="I1343" s="5"/>
    </row>
    <row r="1344" spans="1:9" ht="17.399999999999999" x14ac:dyDescent="0.25">
      <c r="A1344" s="16"/>
      <c r="B1344" s="17"/>
      <c r="C1344" s="2"/>
      <c r="D1344" s="2"/>
      <c r="E1344" s="2"/>
      <c r="F1344" s="2"/>
      <c r="G1344" s="2"/>
      <c r="H1344" s="2"/>
      <c r="I1344" s="5"/>
    </row>
    <row r="1345" spans="1:9" ht="17.399999999999999" x14ac:dyDescent="0.25">
      <c r="A1345" s="16"/>
      <c r="B1345" s="17"/>
      <c r="C1345" s="2"/>
      <c r="D1345" s="2"/>
      <c r="E1345" s="2"/>
      <c r="F1345" s="2"/>
      <c r="G1345" s="2"/>
      <c r="H1345" s="2"/>
      <c r="I1345" s="5"/>
    </row>
    <row r="1346" spans="1:9" ht="17.399999999999999" x14ac:dyDescent="0.25">
      <c r="A1346" s="16"/>
      <c r="B1346" s="17"/>
      <c r="C1346" s="2"/>
      <c r="D1346" s="2"/>
      <c r="E1346" s="2"/>
      <c r="F1346" s="2"/>
      <c r="G1346" s="2"/>
      <c r="H1346" s="2"/>
      <c r="I1346" s="5"/>
    </row>
    <row r="1347" spans="1:9" ht="17.399999999999999" x14ac:dyDescent="0.25">
      <c r="A1347" s="16"/>
      <c r="B1347" s="17"/>
      <c r="C1347" s="2"/>
      <c r="D1347" s="2"/>
      <c r="E1347" s="2"/>
      <c r="F1347" s="2"/>
      <c r="G1347" s="2"/>
      <c r="H1347" s="2"/>
      <c r="I1347" s="5"/>
    </row>
    <row r="1348" spans="1:9" ht="17.399999999999999" x14ac:dyDescent="0.25">
      <c r="A1348" s="16"/>
      <c r="B1348" s="17"/>
      <c r="C1348" s="2"/>
      <c r="D1348" s="2"/>
      <c r="E1348" s="2"/>
      <c r="F1348" s="2"/>
      <c r="G1348" s="2"/>
      <c r="H1348" s="2"/>
      <c r="I1348" s="5"/>
    </row>
    <row r="1349" spans="1:9" ht="17.399999999999999" x14ac:dyDescent="0.25">
      <c r="A1349" s="16"/>
      <c r="B1349" s="17"/>
      <c r="C1349" s="2"/>
      <c r="D1349" s="2"/>
      <c r="E1349" s="2"/>
      <c r="F1349" s="2"/>
      <c r="G1349" s="2"/>
      <c r="H1349" s="2"/>
      <c r="I1349" s="5"/>
    </row>
    <row r="1350" spans="1:9" ht="17.399999999999999" x14ac:dyDescent="0.25">
      <c r="A1350" s="16"/>
      <c r="B1350" s="17"/>
      <c r="C1350" s="2"/>
      <c r="D1350" s="2"/>
      <c r="E1350" s="2"/>
      <c r="F1350" s="2"/>
      <c r="G1350" s="2"/>
      <c r="H1350" s="2"/>
      <c r="I1350" s="5"/>
    </row>
    <row r="1351" spans="1:9" ht="17.399999999999999" x14ac:dyDescent="0.25">
      <c r="A1351" s="16"/>
      <c r="B1351" s="17"/>
      <c r="C1351" s="2"/>
      <c r="D1351" s="2"/>
      <c r="E1351" s="2"/>
      <c r="F1351" s="2"/>
      <c r="G1351" s="2"/>
      <c r="H1351" s="2"/>
      <c r="I1351" s="5"/>
    </row>
    <row r="1352" spans="1:9" ht="17.399999999999999" x14ac:dyDescent="0.25">
      <c r="A1352" s="16"/>
      <c r="B1352" s="17"/>
      <c r="C1352" s="2"/>
      <c r="D1352" s="2"/>
      <c r="E1352" s="2"/>
      <c r="F1352" s="2"/>
      <c r="G1352" s="2"/>
      <c r="H1352" s="2"/>
      <c r="I1352" s="5"/>
    </row>
    <row r="1353" spans="1:9" ht="17.399999999999999" x14ac:dyDescent="0.25">
      <c r="A1353" s="16"/>
      <c r="B1353" s="17"/>
      <c r="C1353" s="2"/>
      <c r="D1353" s="2"/>
      <c r="E1353" s="2"/>
      <c r="F1353" s="2"/>
      <c r="G1353" s="2"/>
      <c r="H1353" s="2"/>
      <c r="I1353" s="5"/>
    </row>
    <row r="1354" spans="1:9" ht="17.399999999999999" x14ac:dyDescent="0.25">
      <c r="A1354" s="16"/>
      <c r="B1354" s="17"/>
      <c r="C1354" s="2"/>
      <c r="D1354" s="2"/>
      <c r="E1354" s="2"/>
      <c r="F1354" s="2"/>
      <c r="G1354" s="2"/>
      <c r="H1354" s="2"/>
      <c r="I1354" s="5"/>
    </row>
    <row r="1355" spans="1:9" ht="17.399999999999999" x14ac:dyDescent="0.25">
      <c r="A1355" s="16"/>
      <c r="B1355" s="17"/>
      <c r="C1355" s="2"/>
      <c r="D1355" s="2"/>
      <c r="E1355" s="2"/>
      <c r="F1355" s="2"/>
      <c r="G1355" s="2"/>
      <c r="H1355" s="2"/>
      <c r="I1355" s="5"/>
    </row>
    <row r="1356" spans="1:9" ht="17.399999999999999" x14ac:dyDescent="0.25">
      <c r="A1356" s="16"/>
      <c r="B1356" s="17"/>
      <c r="C1356" s="2"/>
      <c r="D1356" s="2"/>
      <c r="E1356" s="2"/>
      <c r="F1356" s="2"/>
      <c r="G1356" s="2"/>
      <c r="H1356" s="2"/>
      <c r="I1356" s="5"/>
    </row>
    <row r="1357" spans="1:9" ht="17.399999999999999" x14ac:dyDescent="0.25">
      <c r="A1357" s="16"/>
      <c r="B1357" s="17"/>
      <c r="C1357" s="2"/>
      <c r="D1357" s="2"/>
      <c r="E1357" s="2"/>
      <c r="F1357" s="2"/>
      <c r="G1357" s="2"/>
      <c r="H1357" s="2"/>
      <c r="I1357" s="5"/>
    </row>
    <row r="1358" spans="1:9" ht="17.399999999999999" x14ac:dyDescent="0.25">
      <c r="A1358" s="16"/>
      <c r="B1358" s="17"/>
      <c r="C1358" s="2"/>
      <c r="D1358" s="2"/>
      <c r="E1358" s="2"/>
      <c r="F1358" s="2"/>
      <c r="G1358" s="2"/>
      <c r="H1358" s="2"/>
      <c r="I1358" s="5"/>
    </row>
    <row r="1359" spans="1:9" ht="17.399999999999999" x14ac:dyDescent="0.25">
      <c r="A1359" s="16"/>
      <c r="B1359" s="17"/>
      <c r="C1359" s="2"/>
      <c r="D1359" s="2"/>
      <c r="E1359" s="2"/>
      <c r="F1359" s="2"/>
      <c r="G1359" s="2"/>
      <c r="H1359" s="2"/>
      <c r="I1359" s="5"/>
    </row>
    <row r="1360" spans="1:9" ht="17.399999999999999" x14ac:dyDescent="0.25">
      <c r="A1360" s="16"/>
      <c r="B1360" s="17"/>
      <c r="C1360" s="2"/>
      <c r="D1360" s="2"/>
      <c r="E1360" s="2"/>
      <c r="F1360" s="2"/>
      <c r="G1360" s="2"/>
      <c r="H1360" s="2"/>
      <c r="I1360" s="5"/>
    </row>
    <row r="1361" spans="1:9" ht="17.399999999999999" x14ac:dyDescent="0.25">
      <c r="A1361" s="16"/>
      <c r="B1361" s="17"/>
      <c r="C1361" s="2"/>
      <c r="D1361" s="2"/>
      <c r="E1361" s="2"/>
      <c r="F1361" s="2"/>
      <c r="G1361" s="2"/>
      <c r="H1361" s="2"/>
      <c r="I1361" s="5"/>
    </row>
    <row r="1362" spans="1:9" ht="17.399999999999999" x14ac:dyDescent="0.25">
      <c r="A1362" s="16"/>
      <c r="B1362" s="17"/>
      <c r="C1362" s="2"/>
      <c r="D1362" s="2"/>
      <c r="E1362" s="2"/>
      <c r="F1362" s="2"/>
      <c r="G1362" s="2"/>
      <c r="H1362" s="2"/>
      <c r="I1362" s="5"/>
    </row>
    <row r="1363" spans="1:9" ht="17.399999999999999" x14ac:dyDescent="0.25">
      <c r="A1363" s="16"/>
      <c r="B1363" s="17"/>
      <c r="C1363" s="2"/>
      <c r="D1363" s="2"/>
      <c r="E1363" s="2"/>
      <c r="F1363" s="2"/>
      <c r="G1363" s="2"/>
      <c r="H1363" s="2"/>
      <c r="I1363" s="5"/>
    </row>
    <row r="1364" spans="1:9" ht="17.399999999999999" x14ac:dyDescent="0.25">
      <c r="A1364" s="16"/>
      <c r="B1364" s="17"/>
      <c r="C1364" s="2"/>
      <c r="D1364" s="2"/>
      <c r="E1364" s="2"/>
      <c r="F1364" s="2"/>
      <c r="G1364" s="2"/>
      <c r="H1364" s="2"/>
      <c r="I1364" s="5"/>
    </row>
    <row r="1365" spans="1:9" ht="17.399999999999999" x14ac:dyDescent="0.25">
      <c r="A1365" s="16"/>
      <c r="B1365" s="17"/>
      <c r="C1365" s="2"/>
      <c r="D1365" s="2"/>
      <c r="E1365" s="2"/>
      <c r="F1365" s="2"/>
      <c r="G1365" s="2"/>
      <c r="H1365" s="2"/>
      <c r="I1365" s="5"/>
    </row>
    <row r="1366" spans="1:9" ht="17.399999999999999" x14ac:dyDescent="0.25">
      <c r="A1366" s="16"/>
      <c r="B1366" s="17"/>
      <c r="C1366" s="2"/>
      <c r="D1366" s="2"/>
      <c r="E1366" s="2"/>
      <c r="F1366" s="2"/>
      <c r="G1366" s="2"/>
      <c r="H1366" s="2"/>
      <c r="I1366" s="5"/>
    </row>
    <row r="1367" spans="1:9" ht="17.399999999999999" x14ac:dyDescent="0.25">
      <c r="A1367" s="16"/>
      <c r="B1367" s="17"/>
      <c r="C1367" s="2"/>
      <c r="D1367" s="2"/>
      <c r="E1367" s="2"/>
      <c r="F1367" s="2"/>
      <c r="G1367" s="2"/>
      <c r="H1367" s="2"/>
      <c r="I1367" s="5"/>
    </row>
    <row r="1368" spans="1:9" ht="17.399999999999999" x14ac:dyDescent="0.25">
      <c r="A1368" s="16"/>
      <c r="B1368" s="17"/>
      <c r="C1368" s="2"/>
      <c r="D1368" s="2"/>
      <c r="E1368" s="2"/>
      <c r="F1368" s="2"/>
      <c r="G1368" s="2"/>
      <c r="H1368" s="2"/>
      <c r="I1368" s="5"/>
    </row>
    <row r="1369" spans="1:9" ht="17.399999999999999" x14ac:dyDescent="0.25">
      <c r="A1369" s="16"/>
      <c r="B1369" s="17"/>
      <c r="C1369" s="2"/>
      <c r="D1369" s="2"/>
      <c r="E1369" s="2"/>
      <c r="F1369" s="2"/>
      <c r="G1369" s="2"/>
      <c r="H1369" s="2"/>
      <c r="I1369" s="5"/>
    </row>
    <row r="1370" spans="1:9" ht="17.399999999999999" x14ac:dyDescent="0.25">
      <c r="A1370" s="16"/>
      <c r="B1370" s="17"/>
      <c r="C1370" s="2"/>
      <c r="D1370" s="2"/>
      <c r="E1370" s="2"/>
      <c r="F1370" s="2"/>
      <c r="G1370" s="2"/>
      <c r="H1370" s="2"/>
      <c r="I1370" s="5"/>
    </row>
    <row r="1371" spans="1:9" ht="17.399999999999999" x14ac:dyDescent="0.25">
      <c r="A1371" s="16"/>
      <c r="B1371" s="17"/>
      <c r="C1371" s="2"/>
      <c r="D1371" s="2"/>
      <c r="E1371" s="2"/>
      <c r="F1371" s="2"/>
      <c r="G1371" s="2"/>
      <c r="H1371" s="2"/>
      <c r="I1371" s="5"/>
    </row>
    <row r="1372" spans="1:9" ht="17.399999999999999" x14ac:dyDescent="0.25">
      <c r="A1372" s="16"/>
      <c r="B1372" s="17"/>
      <c r="C1372" s="2"/>
      <c r="D1372" s="2"/>
      <c r="E1372" s="2"/>
      <c r="F1372" s="2"/>
      <c r="G1372" s="2"/>
      <c r="H1372" s="2"/>
      <c r="I1372" s="5"/>
    </row>
    <row r="1373" spans="1:9" ht="17.399999999999999" x14ac:dyDescent="0.25">
      <c r="A1373" s="16"/>
      <c r="B1373" s="17"/>
      <c r="C1373" s="2"/>
      <c r="D1373" s="2"/>
      <c r="E1373" s="2"/>
      <c r="F1373" s="2"/>
      <c r="G1373" s="2"/>
      <c r="H1373" s="2"/>
      <c r="I1373" s="5"/>
    </row>
    <row r="1374" spans="1:9" ht="17.399999999999999" x14ac:dyDescent="0.25">
      <c r="A1374" s="16"/>
      <c r="B1374" s="17"/>
      <c r="C1374" s="2"/>
      <c r="D1374" s="2"/>
      <c r="E1374" s="2"/>
      <c r="F1374" s="2"/>
      <c r="G1374" s="2"/>
      <c r="H1374" s="2"/>
      <c r="I1374" s="5"/>
    </row>
    <row r="1375" spans="1:9" ht="17.399999999999999" x14ac:dyDescent="0.25">
      <c r="A1375" s="16"/>
      <c r="B1375" s="17"/>
      <c r="C1375" s="2"/>
      <c r="D1375" s="2"/>
      <c r="E1375" s="2"/>
      <c r="F1375" s="2"/>
      <c r="G1375" s="2"/>
      <c r="H1375" s="2"/>
      <c r="I1375" s="5"/>
    </row>
    <row r="1376" spans="1:9" ht="17.399999999999999" x14ac:dyDescent="0.25">
      <c r="A1376" s="16"/>
      <c r="B1376" s="17"/>
      <c r="C1376" s="2"/>
      <c r="D1376" s="2"/>
      <c r="E1376" s="2"/>
      <c r="F1376" s="2"/>
      <c r="G1376" s="2"/>
      <c r="H1376" s="2"/>
      <c r="I1376" s="5"/>
    </row>
    <row r="1377" spans="1:9" ht="17.399999999999999" x14ac:dyDescent="0.25">
      <c r="A1377" s="16"/>
      <c r="B1377" s="17"/>
      <c r="C1377" s="2"/>
      <c r="D1377" s="2"/>
      <c r="E1377" s="2"/>
      <c r="F1377" s="2"/>
      <c r="G1377" s="2"/>
      <c r="H1377" s="2"/>
      <c r="I1377" s="5"/>
    </row>
    <row r="1378" spans="1:9" ht="17.399999999999999" x14ac:dyDescent="0.25">
      <c r="A1378" s="16"/>
      <c r="B1378" s="17"/>
      <c r="C1378" s="2"/>
      <c r="D1378" s="2"/>
      <c r="E1378" s="2"/>
      <c r="F1378" s="2"/>
      <c r="G1378" s="2"/>
      <c r="H1378" s="2"/>
      <c r="I1378" s="5"/>
    </row>
    <row r="1379" spans="1:9" ht="17.399999999999999" x14ac:dyDescent="0.25">
      <c r="A1379" s="16"/>
      <c r="B1379" s="17"/>
      <c r="C1379" s="2"/>
      <c r="D1379" s="2"/>
      <c r="E1379" s="2"/>
      <c r="F1379" s="2"/>
      <c r="G1379" s="2"/>
      <c r="H1379" s="2"/>
      <c r="I1379" s="5"/>
    </row>
    <row r="1380" spans="1:9" ht="17.399999999999999" x14ac:dyDescent="0.25">
      <c r="A1380" s="16"/>
      <c r="B1380" s="17"/>
      <c r="C1380" s="2"/>
      <c r="D1380" s="2"/>
      <c r="E1380" s="2"/>
      <c r="F1380" s="2"/>
      <c r="G1380" s="2"/>
      <c r="H1380" s="2"/>
      <c r="I1380" s="5"/>
    </row>
    <row r="1381" spans="1:9" ht="17.399999999999999" x14ac:dyDescent="0.25">
      <c r="A1381" s="16"/>
      <c r="B1381" s="17"/>
      <c r="C1381" s="2"/>
      <c r="D1381" s="2"/>
      <c r="E1381" s="2"/>
      <c r="F1381" s="2"/>
      <c r="G1381" s="2"/>
      <c r="H1381" s="2"/>
      <c r="I1381" s="5"/>
    </row>
    <row r="1382" spans="1:9" ht="17.399999999999999" x14ac:dyDescent="0.25">
      <c r="A1382" s="16"/>
      <c r="B1382" s="17"/>
      <c r="C1382" s="2"/>
      <c r="D1382" s="2"/>
      <c r="E1382" s="2"/>
      <c r="F1382" s="2"/>
      <c r="G1382" s="2"/>
      <c r="H1382" s="2"/>
      <c r="I1382" s="5"/>
    </row>
    <row r="1383" spans="1:9" ht="17.399999999999999" x14ac:dyDescent="0.25">
      <c r="A1383" s="16"/>
      <c r="B1383" s="17"/>
      <c r="C1383" s="2"/>
      <c r="D1383" s="2"/>
      <c r="E1383" s="2"/>
      <c r="F1383" s="2"/>
      <c r="G1383" s="2"/>
      <c r="H1383" s="2"/>
      <c r="I1383" s="5"/>
    </row>
    <row r="1384" spans="1:9" ht="17.399999999999999" x14ac:dyDescent="0.25">
      <c r="A1384" s="16"/>
      <c r="B1384" s="17"/>
      <c r="C1384" s="2"/>
      <c r="D1384" s="2"/>
      <c r="E1384" s="2"/>
      <c r="F1384" s="2"/>
      <c r="G1384" s="2"/>
      <c r="H1384" s="2"/>
      <c r="I1384" s="5"/>
    </row>
    <row r="1385" spans="1:9" ht="17.399999999999999" x14ac:dyDescent="0.25">
      <c r="A1385" s="16"/>
      <c r="B1385" s="17"/>
      <c r="C1385" s="2"/>
      <c r="D1385" s="2"/>
      <c r="E1385" s="2"/>
      <c r="F1385" s="2"/>
      <c r="G1385" s="2"/>
      <c r="H1385" s="2"/>
      <c r="I1385" s="5"/>
    </row>
    <row r="1386" spans="1:9" ht="17.399999999999999" x14ac:dyDescent="0.25">
      <c r="A1386" s="16"/>
      <c r="B1386" s="17"/>
      <c r="C1386" s="2"/>
      <c r="D1386" s="2"/>
      <c r="E1386" s="2"/>
      <c r="F1386" s="2"/>
      <c r="G1386" s="2"/>
      <c r="H1386" s="2"/>
      <c r="I1386" s="5"/>
    </row>
    <row r="1387" spans="1:9" ht="17.399999999999999" x14ac:dyDescent="0.25">
      <c r="A1387" s="16"/>
      <c r="B1387" s="17"/>
      <c r="C1387" s="2"/>
      <c r="D1387" s="2"/>
      <c r="E1387" s="2"/>
      <c r="F1387" s="2"/>
      <c r="G1387" s="2"/>
      <c r="H1387" s="2"/>
      <c r="I1387" s="5"/>
    </row>
    <row r="1388" spans="1:9" ht="17.399999999999999" x14ac:dyDescent="0.25">
      <c r="A1388" s="16"/>
      <c r="B1388" s="17"/>
      <c r="C1388" s="2"/>
      <c r="D1388" s="2"/>
      <c r="E1388" s="2"/>
      <c r="F1388" s="2"/>
      <c r="G1388" s="2"/>
      <c r="H1388" s="2"/>
      <c r="I1388" s="5"/>
    </row>
    <row r="1389" spans="1:9" ht="17.399999999999999" x14ac:dyDescent="0.25">
      <c r="A1389" s="16"/>
      <c r="B1389" s="17"/>
      <c r="C1389" s="2"/>
      <c r="D1389" s="2"/>
      <c r="E1389" s="2"/>
      <c r="F1389" s="2"/>
      <c r="G1389" s="2"/>
      <c r="H1389" s="2"/>
      <c r="I1389" s="5"/>
    </row>
    <row r="1390" spans="1:9" ht="17.399999999999999" x14ac:dyDescent="0.25">
      <c r="A1390" s="16"/>
      <c r="B1390" s="17"/>
      <c r="C1390" s="2"/>
      <c r="D1390" s="2"/>
      <c r="E1390" s="2"/>
      <c r="F1390" s="2"/>
      <c r="G1390" s="2"/>
      <c r="H1390" s="2"/>
      <c r="I1390" s="5"/>
    </row>
    <row r="1391" spans="1:9" ht="17.399999999999999" x14ac:dyDescent="0.25">
      <c r="A1391" s="16"/>
      <c r="B1391" s="17"/>
      <c r="C1391" s="2"/>
      <c r="D1391" s="2"/>
      <c r="E1391" s="2"/>
      <c r="F1391" s="2"/>
      <c r="G1391" s="2"/>
      <c r="H1391" s="2"/>
      <c r="I1391" s="5"/>
    </row>
    <row r="1392" spans="1:9" ht="17.399999999999999" x14ac:dyDescent="0.25">
      <c r="A1392" s="16"/>
      <c r="B1392" s="17"/>
      <c r="C1392" s="2"/>
      <c r="D1392" s="2"/>
      <c r="E1392" s="2"/>
      <c r="F1392" s="2"/>
      <c r="G1392" s="2"/>
      <c r="H1392" s="2"/>
      <c r="I1392" s="5"/>
    </row>
    <row r="1393" spans="1:9" ht="17.399999999999999" x14ac:dyDescent="0.25">
      <c r="A1393" s="16"/>
      <c r="B1393" s="17"/>
      <c r="C1393" s="2"/>
      <c r="D1393" s="2"/>
      <c r="E1393" s="2"/>
      <c r="F1393" s="2"/>
      <c r="G1393" s="2"/>
      <c r="H1393" s="2"/>
      <c r="I1393" s="5"/>
    </row>
    <row r="1394" spans="1:9" ht="17.399999999999999" x14ac:dyDescent="0.25">
      <c r="A1394" s="16"/>
      <c r="B1394" s="17"/>
      <c r="C1394" s="2"/>
      <c r="D1394" s="2"/>
      <c r="E1394" s="2"/>
      <c r="F1394" s="2"/>
      <c r="G1394" s="2"/>
      <c r="H1394" s="2"/>
      <c r="I1394" s="5"/>
    </row>
    <row r="1395" spans="1:9" ht="17.399999999999999" x14ac:dyDescent="0.25">
      <c r="A1395" s="16"/>
      <c r="B1395" s="17"/>
      <c r="C1395" s="2"/>
      <c r="D1395" s="2"/>
      <c r="E1395" s="2"/>
      <c r="F1395" s="2"/>
      <c r="G1395" s="2"/>
      <c r="H1395" s="2"/>
      <c r="I1395" s="5"/>
    </row>
    <row r="1396" spans="1:9" ht="17.399999999999999" x14ac:dyDescent="0.25">
      <c r="A1396" s="16"/>
      <c r="B1396" s="17"/>
      <c r="C1396" s="2"/>
      <c r="D1396" s="2"/>
      <c r="E1396" s="2"/>
      <c r="F1396" s="2"/>
      <c r="G1396" s="2"/>
      <c r="H1396" s="2"/>
      <c r="I1396" s="5"/>
    </row>
    <row r="1397" spans="1:9" ht="17.399999999999999" x14ac:dyDescent="0.25">
      <c r="A1397" s="16"/>
      <c r="B1397" s="17"/>
      <c r="C1397" s="2"/>
      <c r="D1397" s="2"/>
      <c r="E1397" s="2"/>
      <c r="F1397" s="2"/>
      <c r="G1397" s="2"/>
      <c r="H1397" s="2"/>
      <c r="I1397" s="5"/>
    </row>
    <row r="1398" spans="1:9" ht="17.399999999999999" x14ac:dyDescent="0.25">
      <c r="A1398" s="16"/>
      <c r="B1398" s="17"/>
      <c r="C1398" s="2"/>
      <c r="D1398" s="2"/>
      <c r="E1398" s="2"/>
      <c r="F1398" s="2"/>
      <c r="G1398" s="2"/>
      <c r="H1398" s="2"/>
      <c r="I1398" s="5"/>
    </row>
    <row r="1399" spans="1:9" ht="17.399999999999999" x14ac:dyDescent="0.25">
      <c r="A1399" s="16"/>
      <c r="B1399" s="17"/>
      <c r="C1399" s="2"/>
      <c r="D1399" s="2"/>
      <c r="E1399" s="2"/>
      <c r="F1399" s="2"/>
      <c r="G1399" s="2"/>
      <c r="H1399" s="2"/>
      <c r="I1399" s="5"/>
    </row>
    <row r="1400" spans="1:9" ht="17.399999999999999" x14ac:dyDescent="0.25">
      <c r="A1400" s="16"/>
      <c r="B1400" s="17"/>
      <c r="C1400" s="2"/>
      <c r="D1400" s="2"/>
      <c r="E1400" s="2"/>
      <c r="F1400" s="2"/>
      <c r="G1400" s="2"/>
      <c r="H1400" s="2"/>
      <c r="I1400" s="5"/>
    </row>
    <row r="1401" spans="1:9" ht="17.399999999999999" x14ac:dyDescent="0.25">
      <c r="A1401" s="16"/>
      <c r="B1401" s="17"/>
      <c r="C1401" s="2"/>
      <c r="D1401" s="2"/>
      <c r="E1401" s="2"/>
      <c r="F1401" s="2"/>
      <c r="G1401" s="2"/>
      <c r="H1401" s="2"/>
      <c r="I1401" s="5"/>
    </row>
    <row r="1402" spans="1:9" ht="17.399999999999999" x14ac:dyDescent="0.25">
      <c r="A1402" s="16"/>
      <c r="B1402" s="17"/>
      <c r="C1402" s="2"/>
      <c r="D1402" s="2"/>
      <c r="E1402" s="2"/>
      <c r="F1402" s="2"/>
      <c r="G1402" s="2"/>
      <c r="H1402" s="2"/>
      <c r="I1402" s="5"/>
    </row>
    <row r="1403" spans="1:9" ht="17.399999999999999" x14ac:dyDescent="0.25">
      <c r="A1403" s="16"/>
      <c r="B1403" s="17"/>
      <c r="C1403" s="2"/>
      <c r="D1403" s="2"/>
      <c r="E1403" s="2"/>
      <c r="F1403" s="2"/>
      <c r="G1403" s="2"/>
      <c r="H1403" s="2"/>
      <c r="I1403" s="5"/>
    </row>
    <row r="1404" spans="1:9" ht="17.399999999999999" x14ac:dyDescent="0.25">
      <c r="A1404" s="16"/>
      <c r="B1404" s="17"/>
      <c r="C1404" s="2"/>
      <c r="D1404" s="2"/>
      <c r="E1404" s="2"/>
      <c r="F1404" s="2"/>
      <c r="G1404" s="2"/>
      <c r="H1404" s="2"/>
      <c r="I1404" s="5"/>
    </row>
    <row r="1405" spans="1:9" ht="17.399999999999999" x14ac:dyDescent="0.25">
      <c r="A1405" s="16"/>
      <c r="B1405" s="17"/>
      <c r="C1405" s="2"/>
      <c r="D1405" s="2"/>
      <c r="E1405" s="2"/>
      <c r="F1405" s="2"/>
      <c r="G1405" s="2"/>
      <c r="H1405" s="2"/>
      <c r="I1405" s="5"/>
    </row>
    <row r="1406" spans="1:9" ht="17.399999999999999" x14ac:dyDescent="0.25">
      <c r="A1406" s="16"/>
      <c r="B1406" s="17"/>
      <c r="C1406" s="2"/>
      <c r="D1406" s="2"/>
      <c r="E1406" s="2"/>
      <c r="F1406" s="2"/>
      <c r="G1406" s="2"/>
      <c r="H1406" s="2"/>
      <c r="I1406" s="5"/>
    </row>
    <row r="1407" spans="1:9" ht="17.399999999999999" x14ac:dyDescent="0.25">
      <c r="A1407" s="16"/>
      <c r="B1407" s="17"/>
      <c r="C1407" s="2"/>
      <c r="D1407" s="2"/>
      <c r="E1407" s="2"/>
      <c r="F1407" s="2"/>
      <c r="G1407" s="2"/>
      <c r="H1407" s="2"/>
      <c r="I1407" s="5"/>
    </row>
    <row r="1408" spans="1:9" ht="17.399999999999999" x14ac:dyDescent="0.25">
      <c r="A1408" s="16"/>
      <c r="B1408" s="17"/>
      <c r="C1408" s="2"/>
      <c r="D1408" s="2"/>
      <c r="E1408" s="2"/>
      <c r="F1408" s="2"/>
      <c r="G1408" s="2"/>
      <c r="H1408" s="2"/>
      <c r="I1408" s="5"/>
    </row>
    <row r="1409" spans="1:9" ht="17.399999999999999" x14ac:dyDescent="0.25">
      <c r="A1409" s="16"/>
      <c r="B1409" s="17"/>
      <c r="C1409" s="2"/>
      <c r="D1409" s="2"/>
      <c r="E1409" s="2"/>
      <c r="F1409" s="2"/>
      <c r="G1409" s="2"/>
      <c r="H1409" s="2"/>
      <c r="I1409" s="5"/>
    </row>
    <row r="1410" spans="1:9" ht="17.399999999999999" x14ac:dyDescent="0.25">
      <c r="A1410" s="16"/>
      <c r="B1410" s="17"/>
      <c r="C1410" s="2"/>
      <c r="D1410" s="2"/>
      <c r="E1410" s="2"/>
      <c r="F1410" s="2"/>
      <c r="G1410" s="2"/>
      <c r="H1410" s="2"/>
      <c r="I1410" s="5"/>
    </row>
    <row r="1411" spans="1:9" ht="17.399999999999999" x14ac:dyDescent="0.25">
      <c r="A1411" s="16"/>
      <c r="B1411" s="17"/>
      <c r="C1411" s="2"/>
      <c r="D1411" s="2"/>
      <c r="E1411" s="2"/>
      <c r="F1411" s="2"/>
      <c r="G1411" s="2"/>
      <c r="H1411" s="2"/>
      <c r="I1411" s="5"/>
    </row>
    <row r="1412" spans="1:9" ht="17.399999999999999" x14ac:dyDescent="0.25">
      <c r="A1412" s="16"/>
      <c r="B1412" s="17"/>
      <c r="C1412" s="2"/>
      <c r="D1412" s="2"/>
      <c r="E1412" s="2"/>
      <c r="F1412" s="2"/>
      <c r="G1412" s="2"/>
      <c r="H1412" s="2"/>
      <c r="I1412" s="5"/>
    </row>
    <row r="1413" spans="1:9" ht="17.399999999999999" x14ac:dyDescent="0.25">
      <c r="A1413" s="16"/>
      <c r="B1413" s="17"/>
      <c r="C1413" s="2"/>
      <c r="D1413" s="2"/>
      <c r="E1413" s="2"/>
      <c r="F1413" s="2"/>
      <c r="G1413" s="2"/>
      <c r="H1413" s="2"/>
      <c r="I1413" s="5"/>
    </row>
    <row r="1414" spans="1:9" ht="17.399999999999999" x14ac:dyDescent="0.25">
      <c r="A1414" s="16"/>
      <c r="B1414" s="17"/>
      <c r="C1414" s="2"/>
      <c r="D1414" s="2"/>
      <c r="E1414" s="2"/>
      <c r="F1414" s="2"/>
      <c r="G1414" s="2"/>
      <c r="H1414" s="2"/>
      <c r="I1414" s="5"/>
    </row>
    <row r="1415" spans="1:9" ht="17.399999999999999" x14ac:dyDescent="0.25">
      <c r="A1415" s="16"/>
      <c r="B1415" s="17"/>
      <c r="C1415" s="2"/>
      <c r="D1415" s="2"/>
      <c r="E1415" s="2"/>
      <c r="F1415" s="2"/>
      <c r="G1415" s="2"/>
      <c r="H1415" s="2"/>
      <c r="I1415" s="5"/>
    </row>
    <row r="1416" spans="1:9" ht="17.399999999999999" x14ac:dyDescent="0.25">
      <c r="A1416" s="16"/>
      <c r="B1416" s="17"/>
      <c r="C1416" s="2"/>
      <c r="D1416" s="2"/>
      <c r="E1416" s="2"/>
      <c r="F1416" s="2"/>
      <c r="G1416" s="2"/>
      <c r="H1416" s="2"/>
      <c r="I1416" s="5"/>
    </row>
    <row r="1417" spans="1:9" ht="17.399999999999999" x14ac:dyDescent="0.25">
      <c r="A1417" s="16"/>
      <c r="B1417" s="17"/>
      <c r="C1417" s="2"/>
      <c r="D1417" s="2"/>
      <c r="E1417" s="2"/>
      <c r="F1417" s="2"/>
      <c r="G1417" s="2"/>
      <c r="H1417" s="2"/>
      <c r="I1417" s="5"/>
    </row>
    <row r="1418" spans="1:9" ht="17.399999999999999" x14ac:dyDescent="0.25">
      <c r="A1418" s="16"/>
      <c r="B1418" s="17"/>
      <c r="C1418" s="2"/>
      <c r="D1418" s="2"/>
      <c r="E1418" s="2"/>
      <c r="F1418" s="2"/>
      <c r="G1418" s="2"/>
      <c r="H1418" s="2"/>
      <c r="I1418" s="5"/>
    </row>
    <row r="1419" spans="1:9" ht="17.399999999999999" x14ac:dyDescent="0.25">
      <c r="A1419" s="16"/>
      <c r="B1419" s="17"/>
      <c r="C1419" s="2"/>
      <c r="D1419" s="2"/>
      <c r="E1419" s="2"/>
      <c r="F1419" s="2"/>
      <c r="G1419" s="2"/>
      <c r="H1419" s="2"/>
      <c r="I1419" s="5"/>
    </row>
    <row r="1420" spans="1:9" ht="17.399999999999999" x14ac:dyDescent="0.25">
      <c r="A1420" s="16"/>
      <c r="B1420" s="17"/>
      <c r="C1420" s="2"/>
      <c r="D1420" s="2"/>
      <c r="E1420" s="2"/>
      <c r="F1420" s="2"/>
      <c r="G1420" s="2"/>
      <c r="H1420" s="2"/>
      <c r="I1420" s="5"/>
    </row>
    <row r="1421" spans="1:9" ht="17.399999999999999" x14ac:dyDescent="0.25">
      <c r="A1421" s="16"/>
      <c r="B1421" s="17"/>
      <c r="C1421" s="2"/>
      <c r="D1421" s="2"/>
      <c r="E1421" s="2"/>
      <c r="F1421" s="2"/>
      <c r="G1421" s="2"/>
      <c r="H1421" s="2"/>
      <c r="I1421" s="5"/>
    </row>
    <row r="1422" spans="1:9" ht="17.399999999999999" x14ac:dyDescent="0.25">
      <c r="A1422" s="16"/>
      <c r="B1422" s="17"/>
      <c r="C1422" s="2"/>
      <c r="D1422" s="2"/>
      <c r="E1422" s="2"/>
      <c r="F1422" s="2"/>
      <c r="G1422" s="2"/>
      <c r="H1422" s="2"/>
      <c r="I1422" s="5"/>
    </row>
    <row r="1423" spans="1:9" ht="17.399999999999999" x14ac:dyDescent="0.25">
      <c r="A1423" s="16"/>
      <c r="B1423" s="17"/>
      <c r="C1423" s="2"/>
      <c r="D1423" s="2"/>
      <c r="E1423" s="2"/>
      <c r="F1423" s="2"/>
      <c r="G1423" s="2"/>
      <c r="H1423" s="2"/>
      <c r="I1423" s="5"/>
    </row>
    <row r="1424" spans="1:9" ht="17.399999999999999" x14ac:dyDescent="0.25">
      <c r="A1424" s="16"/>
      <c r="B1424" s="17"/>
      <c r="C1424" s="2"/>
      <c r="D1424" s="2"/>
      <c r="E1424" s="2"/>
      <c r="F1424" s="2"/>
      <c r="G1424" s="2"/>
      <c r="H1424" s="2"/>
      <c r="I1424" s="5"/>
    </row>
    <row r="1425" spans="1:9" ht="17.399999999999999" x14ac:dyDescent="0.25">
      <c r="A1425" s="16"/>
      <c r="B1425" s="17"/>
      <c r="C1425" s="2"/>
      <c r="D1425" s="2"/>
      <c r="E1425" s="2"/>
      <c r="F1425" s="2"/>
      <c r="G1425" s="2"/>
      <c r="H1425" s="2"/>
      <c r="I1425" s="5"/>
    </row>
    <row r="1426" spans="1:9" ht="17.399999999999999" x14ac:dyDescent="0.25">
      <c r="A1426" s="16"/>
      <c r="B1426" s="17"/>
      <c r="C1426" s="2"/>
      <c r="D1426" s="2"/>
      <c r="E1426" s="2"/>
      <c r="F1426" s="2"/>
      <c r="G1426" s="2"/>
      <c r="H1426" s="2"/>
      <c r="I1426" s="5"/>
    </row>
    <row r="1427" spans="1:9" ht="17.399999999999999" x14ac:dyDescent="0.25">
      <c r="A1427" s="16"/>
      <c r="B1427" s="17"/>
      <c r="C1427" s="2"/>
      <c r="D1427" s="2"/>
      <c r="E1427" s="2"/>
      <c r="F1427" s="2"/>
      <c r="G1427" s="2"/>
      <c r="H1427" s="2"/>
      <c r="I1427" s="5"/>
    </row>
    <row r="1428" spans="1:9" ht="17.399999999999999" x14ac:dyDescent="0.25">
      <c r="A1428" s="16"/>
      <c r="B1428" s="17"/>
      <c r="C1428" s="2"/>
      <c r="D1428" s="2"/>
      <c r="E1428" s="2"/>
      <c r="F1428" s="2"/>
      <c r="G1428" s="2"/>
      <c r="H1428" s="2"/>
      <c r="I1428" s="5"/>
    </row>
    <row r="1429" spans="1:9" ht="17.399999999999999" x14ac:dyDescent="0.25">
      <c r="A1429" s="16"/>
      <c r="B1429" s="17"/>
      <c r="C1429" s="2"/>
      <c r="D1429" s="2"/>
      <c r="E1429" s="2"/>
      <c r="F1429" s="2"/>
      <c r="G1429" s="2"/>
      <c r="H1429" s="2"/>
      <c r="I1429" s="5"/>
    </row>
    <row r="1430" spans="1:9" ht="17.399999999999999" x14ac:dyDescent="0.25">
      <c r="A1430" s="16"/>
      <c r="B1430" s="17"/>
      <c r="C1430" s="2"/>
      <c r="D1430" s="2"/>
      <c r="E1430" s="2"/>
      <c r="F1430" s="2"/>
      <c r="G1430" s="2"/>
      <c r="H1430" s="2"/>
      <c r="I1430" s="5"/>
    </row>
    <row r="1431" spans="1:9" ht="17.399999999999999" x14ac:dyDescent="0.25">
      <c r="A1431" s="16"/>
      <c r="B1431" s="17"/>
      <c r="C1431" s="2"/>
      <c r="D1431" s="2"/>
      <c r="E1431" s="2"/>
      <c r="F1431" s="2"/>
      <c r="G1431" s="2"/>
      <c r="H1431" s="2"/>
      <c r="I1431" s="5"/>
    </row>
    <row r="1432" spans="1:9" ht="17.399999999999999" x14ac:dyDescent="0.25">
      <c r="A1432" s="16"/>
      <c r="B1432" s="17"/>
      <c r="C1432" s="2"/>
      <c r="D1432" s="2"/>
      <c r="E1432" s="2"/>
      <c r="F1432" s="2"/>
      <c r="G1432" s="2"/>
      <c r="H1432" s="2"/>
      <c r="I1432" s="5"/>
    </row>
    <row r="1433" spans="1:9" ht="17.399999999999999" x14ac:dyDescent="0.25">
      <c r="A1433" s="16"/>
      <c r="B1433" s="17"/>
      <c r="C1433" s="2"/>
      <c r="D1433" s="2"/>
      <c r="E1433" s="2"/>
      <c r="F1433" s="2"/>
      <c r="G1433" s="2"/>
      <c r="H1433" s="2"/>
      <c r="I1433" s="5"/>
    </row>
    <row r="1434" spans="1:9" ht="17.399999999999999" x14ac:dyDescent="0.25">
      <c r="A1434" s="16"/>
      <c r="B1434" s="17"/>
      <c r="C1434" s="2"/>
      <c r="D1434" s="2"/>
      <c r="E1434" s="2"/>
      <c r="F1434" s="2"/>
      <c r="G1434" s="2"/>
      <c r="H1434" s="2"/>
      <c r="I1434" s="5"/>
    </row>
    <row r="1435" spans="1:9" ht="17.399999999999999" x14ac:dyDescent="0.25">
      <c r="A1435" s="16"/>
      <c r="B1435" s="17"/>
      <c r="C1435" s="2"/>
      <c r="D1435" s="2"/>
      <c r="E1435" s="2"/>
      <c r="F1435" s="2"/>
      <c r="G1435" s="2"/>
      <c r="H1435" s="2"/>
      <c r="I1435" s="5"/>
    </row>
    <row r="1436" spans="1:9" ht="17.399999999999999" x14ac:dyDescent="0.25">
      <c r="A1436" s="16"/>
      <c r="B1436" s="17"/>
      <c r="C1436" s="2"/>
      <c r="D1436" s="2"/>
      <c r="E1436" s="2"/>
      <c r="F1436" s="2"/>
      <c r="G1436" s="2"/>
      <c r="H1436" s="2"/>
      <c r="I1436" s="5"/>
    </row>
    <row r="1437" spans="1:9" ht="17.399999999999999" x14ac:dyDescent="0.25">
      <c r="A1437" s="16"/>
      <c r="B1437" s="17"/>
      <c r="C1437" s="2"/>
      <c r="D1437" s="2"/>
      <c r="E1437" s="2"/>
      <c r="F1437" s="2"/>
      <c r="G1437" s="2"/>
      <c r="H1437" s="2"/>
      <c r="I1437" s="5"/>
    </row>
    <row r="1438" spans="1:9" ht="17.399999999999999" x14ac:dyDescent="0.25">
      <c r="A1438" s="16"/>
      <c r="B1438" s="17"/>
      <c r="C1438" s="2"/>
      <c r="D1438" s="2"/>
      <c r="E1438" s="2"/>
      <c r="F1438" s="2"/>
      <c r="G1438" s="2"/>
      <c r="H1438" s="2"/>
      <c r="I1438" s="5"/>
    </row>
    <row r="1439" spans="1:9" ht="17.399999999999999" x14ac:dyDescent="0.25">
      <c r="A1439" s="16"/>
      <c r="B1439" s="17"/>
      <c r="C1439" s="2"/>
      <c r="D1439" s="2"/>
      <c r="E1439" s="2"/>
      <c r="F1439" s="2"/>
      <c r="G1439" s="2"/>
      <c r="H1439" s="2"/>
      <c r="I1439" s="5"/>
    </row>
    <row r="1440" spans="1:9" ht="17.399999999999999" x14ac:dyDescent="0.25">
      <c r="A1440" s="16"/>
      <c r="B1440" s="17"/>
      <c r="C1440" s="2"/>
      <c r="D1440" s="2"/>
      <c r="E1440" s="2"/>
      <c r="F1440" s="2"/>
      <c r="G1440" s="2"/>
      <c r="H1440" s="2"/>
      <c r="I1440" s="5"/>
    </row>
    <row r="1441" spans="1:9" ht="17.399999999999999" x14ac:dyDescent="0.25">
      <c r="A1441" s="16"/>
      <c r="B1441" s="17"/>
      <c r="C1441" s="2"/>
      <c r="D1441" s="2"/>
      <c r="E1441" s="2"/>
      <c r="F1441" s="2"/>
      <c r="G1441" s="2"/>
      <c r="H1441" s="2"/>
      <c r="I1441" s="5"/>
    </row>
    <row r="1442" spans="1:9" ht="17.399999999999999" x14ac:dyDescent="0.25">
      <c r="A1442" s="16"/>
      <c r="B1442" s="17"/>
      <c r="C1442" s="2"/>
      <c r="D1442" s="2"/>
      <c r="E1442" s="2"/>
      <c r="F1442" s="2"/>
      <c r="G1442" s="2"/>
      <c r="H1442" s="2"/>
      <c r="I1442" s="5"/>
    </row>
    <row r="1443" spans="1:9" ht="17.399999999999999" x14ac:dyDescent="0.25">
      <c r="A1443" s="16"/>
      <c r="B1443" s="17"/>
      <c r="C1443" s="2"/>
      <c r="D1443" s="2"/>
      <c r="E1443" s="2"/>
      <c r="F1443" s="2"/>
      <c r="G1443" s="2"/>
      <c r="H1443" s="2"/>
      <c r="I1443" s="5"/>
    </row>
    <row r="1444" spans="1:9" ht="17.399999999999999" x14ac:dyDescent="0.25">
      <c r="A1444" s="16"/>
      <c r="B1444" s="17"/>
      <c r="C1444" s="2"/>
      <c r="D1444" s="2"/>
      <c r="E1444" s="2"/>
      <c r="F1444" s="2"/>
      <c r="G1444" s="2"/>
      <c r="H1444" s="2"/>
      <c r="I1444" s="5"/>
    </row>
    <row r="1445" spans="1:9" ht="17.399999999999999" x14ac:dyDescent="0.25">
      <c r="A1445" s="16"/>
      <c r="B1445" s="17"/>
      <c r="C1445" s="2"/>
      <c r="D1445" s="2"/>
      <c r="E1445" s="2"/>
      <c r="F1445" s="2"/>
      <c r="G1445" s="2"/>
      <c r="H1445" s="2"/>
      <c r="I1445" s="5"/>
    </row>
    <row r="1446" spans="1:9" ht="17.399999999999999" x14ac:dyDescent="0.25">
      <c r="A1446" s="16"/>
      <c r="B1446" s="17"/>
      <c r="C1446" s="2"/>
      <c r="D1446" s="2"/>
      <c r="E1446" s="2"/>
      <c r="F1446" s="2"/>
      <c r="G1446" s="2"/>
      <c r="H1446" s="2"/>
      <c r="I1446" s="5"/>
    </row>
    <row r="1447" spans="1:9" ht="17.399999999999999" x14ac:dyDescent="0.25">
      <c r="A1447" s="16"/>
      <c r="B1447" s="17"/>
      <c r="C1447" s="2"/>
      <c r="D1447" s="2"/>
      <c r="E1447" s="2"/>
      <c r="F1447" s="2"/>
      <c r="G1447" s="2"/>
      <c r="H1447" s="2"/>
      <c r="I1447" s="5"/>
    </row>
    <row r="1448" spans="1:9" ht="17.399999999999999" x14ac:dyDescent="0.25">
      <c r="A1448" s="16"/>
      <c r="B1448" s="17"/>
      <c r="C1448" s="2"/>
      <c r="D1448" s="2"/>
      <c r="E1448" s="2"/>
      <c r="F1448" s="2"/>
      <c r="G1448" s="2"/>
      <c r="H1448" s="2"/>
      <c r="I1448" s="5"/>
    </row>
    <row r="1449" spans="1:9" ht="17.399999999999999" x14ac:dyDescent="0.25">
      <c r="A1449" s="16"/>
      <c r="B1449" s="17"/>
      <c r="C1449" s="2"/>
      <c r="D1449" s="2"/>
      <c r="E1449" s="2"/>
      <c r="F1449" s="2"/>
      <c r="G1449" s="2"/>
      <c r="H1449" s="2"/>
      <c r="I1449" s="5"/>
    </row>
    <row r="1450" spans="1:9" ht="17.399999999999999" x14ac:dyDescent="0.25">
      <c r="A1450" s="16"/>
      <c r="B1450" s="17"/>
      <c r="C1450" s="2"/>
      <c r="D1450" s="2"/>
      <c r="E1450" s="2"/>
      <c r="F1450" s="2"/>
      <c r="G1450" s="2"/>
      <c r="H1450" s="2"/>
      <c r="I1450" s="5"/>
    </row>
    <row r="1451" spans="1:9" ht="17.399999999999999" x14ac:dyDescent="0.25">
      <c r="A1451" s="16"/>
      <c r="B1451" s="17"/>
      <c r="C1451" s="2"/>
      <c r="D1451" s="2"/>
      <c r="E1451" s="2"/>
      <c r="F1451" s="2"/>
      <c r="G1451" s="2"/>
      <c r="H1451" s="2"/>
      <c r="I1451" s="5"/>
    </row>
    <row r="1452" spans="1:9" ht="17.399999999999999" x14ac:dyDescent="0.25">
      <c r="A1452" s="16"/>
      <c r="B1452" s="17"/>
      <c r="C1452" s="2"/>
      <c r="D1452" s="2"/>
      <c r="E1452" s="2"/>
      <c r="F1452" s="2"/>
      <c r="G1452" s="2"/>
      <c r="H1452" s="2"/>
      <c r="I1452" s="5"/>
    </row>
    <row r="1453" spans="1:9" ht="17.399999999999999" x14ac:dyDescent="0.25">
      <c r="A1453" s="16"/>
      <c r="B1453" s="17"/>
      <c r="C1453" s="2"/>
      <c r="D1453" s="2"/>
      <c r="E1453" s="2"/>
      <c r="F1453" s="2"/>
      <c r="G1453" s="2"/>
      <c r="H1453" s="2"/>
      <c r="I1453" s="5"/>
    </row>
    <row r="1454" spans="1:9" ht="17.399999999999999" x14ac:dyDescent="0.25">
      <c r="A1454" s="16"/>
      <c r="B1454" s="17"/>
      <c r="C1454" s="2"/>
      <c r="D1454" s="2"/>
      <c r="E1454" s="2"/>
      <c r="F1454" s="2"/>
      <c r="G1454" s="2"/>
      <c r="H1454" s="2"/>
      <c r="I1454" s="5"/>
    </row>
    <row r="1455" spans="1:9" ht="17.399999999999999" x14ac:dyDescent="0.25">
      <c r="A1455" s="16"/>
      <c r="B1455" s="17"/>
      <c r="C1455" s="2"/>
      <c r="D1455" s="2"/>
      <c r="E1455" s="2"/>
      <c r="F1455" s="2"/>
      <c r="G1455" s="2"/>
      <c r="H1455" s="2"/>
      <c r="I1455" s="5"/>
    </row>
    <row r="1456" spans="1:9" ht="17.399999999999999" x14ac:dyDescent="0.25">
      <c r="A1456" s="16"/>
      <c r="B1456" s="17"/>
      <c r="C1456" s="2"/>
      <c r="D1456" s="2"/>
      <c r="E1456" s="2"/>
      <c r="F1456" s="2"/>
      <c r="G1456" s="2"/>
      <c r="H1456" s="2"/>
      <c r="I1456" s="5"/>
    </row>
    <row r="1457" spans="1:9" ht="17.399999999999999" x14ac:dyDescent="0.25">
      <c r="A1457" s="16"/>
      <c r="B1457" s="17"/>
      <c r="C1457" s="2"/>
      <c r="D1457" s="2"/>
      <c r="E1457" s="2"/>
      <c r="F1457" s="2"/>
      <c r="G1457" s="2"/>
      <c r="H1457" s="2"/>
      <c r="I1457" s="5"/>
    </row>
    <row r="1458" spans="1:9" ht="17.399999999999999" x14ac:dyDescent="0.25">
      <c r="A1458" s="16"/>
      <c r="B1458" s="17"/>
      <c r="C1458" s="2"/>
      <c r="D1458" s="2"/>
      <c r="E1458" s="2"/>
      <c r="F1458" s="2"/>
      <c r="G1458" s="2"/>
      <c r="H1458" s="2"/>
      <c r="I1458" s="5"/>
    </row>
    <row r="1459" spans="1:9" ht="17.399999999999999" x14ac:dyDescent="0.25">
      <c r="A1459" s="16"/>
      <c r="B1459" s="17"/>
      <c r="C1459" s="2"/>
      <c r="D1459" s="2"/>
      <c r="E1459" s="2"/>
      <c r="F1459" s="2"/>
      <c r="G1459" s="2"/>
      <c r="H1459" s="2"/>
      <c r="I1459" s="5"/>
    </row>
    <row r="1460" spans="1:9" ht="17.399999999999999" x14ac:dyDescent="0.25">
      <c r="A1460" s="16"/>
      <c r="B1460" s="17"/>
      <c r="C1460" s="2"/>
      <c r="D1460" s="2"/>
      <c r="E1460" s="2"/>
      <c r="F1460" s="2"/>
      <c r="G1460" s="2"/>
      <c r="H1460" s="2"/>
      <c r="I1460" s="5"/>
    </row>
    <row r="1461" spans="1:9" ht="17.399999999999999" x14ac:dyDescent="0.25">
      <c r="A1461" s="16"/>
      <c r="B1461" s="17"/>
      <c r="C1461" s="2"/>
      <c r="D1461" s="2"/>
      <c r="E1461" s="2"/>
      <c r="F1461" s="2"/>
      <c r="G1461" s="2"/>
      <c r="H1461" s="2"/>
      <c r="I1461" s="5"/>
    </row>
    <row r="1462" spans="1:9" ht="17.399999999999999" x14ac:dyDescent="0.25">
      <c r="A1462" s="16"/>
      <c r="B1462" s="17"/>
      <c r="C1462" s="2"/>
      <c r="D1462" s="2"/>
      <c r="E1462" s="2"/>
      <c r="F1462" s="2"/>
      <c r="G1462" s="2"/>
      <c r="H1462" s="2"/>
      <c r="I1462" s="5"/>
    </row>
    <row r="1463" spans="1:9" ht="17.399999999999999" x14ac:dyDescent="0.25">
      <c r="A1463" s="16"/>
      <c r="B1463" s="17"/>
      <c r="C1463" s="2"/>
      <c r="D1463" s="2"/>
      <c r="E1463" s="2"/>
      <c r="F1463" s="2"/>
      <c r="G1463" s="2"/>
      <c r="H1463" s="2"/>
      <c r="I1463" s="5"/>
    </row>
    <row r="1464" spans="1:9" ht="17.399999999999999" x14ac:dyDescent="0.25">
      <c r="A1464" s="16"/>
      <c r="B1464" s="17"/>
      <c r="C1464" s="2"/>
      <c r="D1464" s="2"/>
      <c r="E1464" s="2"/>
      <c r="F1464" s="2"/>
      <c r="G1464" s="2"/>
      <c r="H1464" s="2"/>
      <c r="I1464" s="5"/>
    </row>
    <row r="1465" spans="1:9" ht="17.399999999999999" x14ac:dyDescent="0.25">
      <c r="A1465" s="16"/>
      <c r="B1465" s="17"/>
      <c r="C1465" s="2"/>
      <c r="D1465" s="2"/>
      <c r="E1465" s="2"/>
      <c r="F1465" s="2"/>
      <c r="G1465" s="2"/>
      <c r="H1465" s="2"/>
      <c r="I1465" s="5"/>
    </row>
    <row r="1466" spans="1:9" ht="17.399999999999999" x14ac:dyDescent="0.25">
      <c r="A1466" s="16"/>
      <c r="B1466" s="17"/>
      <c r="C1466" s="2"/>
      <c r="D1466" s="2"/>
      <c r="E1466" s="2"/>
      <c r="F1466" s="2"/>
      <c r="G1466" s="2"/>
      <c r="H1466" s="2"/>
      <c r="I1466" s="5"/>
    </row>
    <row r="1467" spans="1:9" ht="17.399999999999999" x14ac:dyDescent="0.25">
      <c r="A1467" s="16"/>
      <c r="B1467" s="17"/>
      <c r="C1467" s="2"/>
      <c r="D1467" s="2"/>
      <c r="E1467" s="2"/>
      <c r="F1467" s="2"/>
      <c r="G1467" s="2"/>
      <c r="H1467" s="2"/>
      <c r="I1467" s="5"/>
    </row>
    <row r="1468" spans="1:9" ht="17.399999999999999" x14ac:dyDescent="0.25">
      <c r="A1468" s="16"/>
      <c r="B1468" s="17"/>
      <c r="C1468" s="2"/>
      <c r="D1468" s="2"/>
      <c r="E1468" s="2"/>
      <c r="F1468" s="2"/>
      <c r="G1468" s="2"/>
      <c r="H1468" s="2"/>
      <c r="I1468" s="5"/>
    </row>
    <row r="1469" spans="1:9" ht="17.399999999999999" x14ac:dyDescent="0.25">
      <c r="A1469" s="16"/>
      <c r="B1469" s="17"/>
      <c r="C1469" s="2"/>
      <c r="D1469" s="2"/>
      <c r="E1469" s="2"/>
      <c r="F1469" s="2"/>
      <c r="G1469" s="2"/>
      <c r="H1469" s="2"/>
      <c r="I1469" s="5"/>
    </row>
    <row r="1470" spans="1:9" ht="17.399999999999999" x14ac:dyDescent="0.25">
      <c r="A1470" s="16"/>
      <c r="B1470" s="17"/>
      <c r="C1470" s="2"/>
      <c r="D1470" s="2"/>
      <c r="E1470" s="2"/>
      <c r="F1470" s="2"/>
      <c r="G1470" s="2"/>
      <c r="H1470" s="2"/>
      <c r="I1470" s="5"/>
    </row>
    <row r="1471" spans="1:9" ht="17.399999999999999" x14ac:dyDescent="0.25">
      <c r="A1471" s="16"/>
      <c r="B1471" s="17"/>
      <c r="C1471" s="2"/>
      <c r="D1471" s="2"/>
      <c r="E1471" s="2"/>
      <c r="F1471" s="2"/>
      <c r="G1471" s="2"/>
      <c r="H1471" s="2"/>
      <c r="I1471" s="5"/>
    </row>
    <row r="1472" spans="1:9" ht="17.399999999999999" x14ac:dyDescent="0.25">
      <c r="A1472" s="16"/>
      <c r="B1472" s="17"/>
      <c r="C1472" s="2"/>
      <c r="D1472" s="2"/>
      <c r="E1472" s="2"/>
      <c r="F1472" s="2"/>
      <c r="G1472" s="2"/>
      <c r="H1472" s="2"/>
      <c r="I1472" s="5"/>
    </row>
    <row r="1473" spans="1:9" ht="17.399999999999999" x14ac:dyDescent="0.25">
      <c r="A1473" s="16"/>
      <c r="B1473" s="17"/>
      <c r="C1473" s="2"/>
      <c r="D1473" s="2"/>
      <c r="E1473" s="2"/>
      <c r="F1473" s="2"/>
      <c r="G1473" s="2"/>
      <c r="H1473" s="2"/>
      <c r="I1473" s="5"/>
    </row>
    <row r="1474" spans="1:9" ht="17.399999999999999" x14ac:dyDescent="0.25">
      <c r="A1474" s="16"/>
      <c r="B1474" s="17"/>
      <c r="C1474" s="2"/>
      <c r="D1474" s="2"/>
      <c r="E1474" s="2"/>
      <c r="F1474" s="2"/>
      <c r="G1474" s="2"/>
      <c r="H1474" s="2"/>
      <c r="I1474" s="5"/>
    </row>
    <row r="1475" spans="1:9" ht="17.399999999999999" x14ac:dyDescent="0.25">
      <c r="A1475" s="16"/>
      <c r="B1475" s="17"/>
      <c r="C1475" s="2"/>
      <c r="D1475" s="2"/>
      <c r="E1475" s="2"/>
      <c r="F1475" s="2"/>
      <c r="G1475" s="2"/>
      <c r="H1475" s="2"/>
      <c r="I1475" s="5"/>
    </row>
    <row r="1476" spans="1:9" ht="17.399999999999999" x14ac:dyDescent="0.25">
      <c r="A1476" s="16"/>
      <c r="B1476" s="17"/>
      <c r="C1476" s="2"/>
      <c r="D1476" s="2"/>
      <c r="E1476" s="2"/>
      <c r="F1476" s="2"/>
      <c r="G1476" s="2"/>
      <c r="H1476" s="2"/>
      <c r="I1476" s="5"/>
    </row>
    <row r="1477" spans="1:9" ht="17.399999999999999" x14ac:dyDescent="0.25">
      <c r="A1477" s="16"/>
      <c r="B1477" s="17"/>
      <c r="C1477" s="2"/>
      <c r="D1477" s="2"/>
      <c r="E1477" s="2"/>
      <c r="F1477" s="2"/>
      <c r="G1477" s="2"/>
      <c r="H1477" s="2"/>
      <c r="I1477" s="5"/>
    </row>
    <row r="1478" spans="1:9" ht="17.399999999999999" x14ac:dyDescent="0.25">
      <c r="A1478" s="16"/>
      <c r="B1478" s="17"/>
      <c r="C1478" s="2"/>
      <c r="D1478" s="2"/>
      <c r="E1478" s="2"/>
      <c r="F1478" s="2"/>
      <c r="G1478" s="2"/>
      <c r="H1478" s="2"/>
      <c r="I1478" s="5"/>
    </row>
    <row r="1479" spans="1:9" ht="17.399999999999999" x14ac:dyDescent="0.25">
      <c r="A1479" s="16"/>
      <c r="B1479" s="17"/>
      <c r="C1479" s="2"/>
      <c r="D1479" s="2"/>
      <c r="E1479" s="2"/>
      <c r="F1479" s="2"/>
      <c r="G1479" s="2"/>
      <c r="H1479" s="2"/>
      <c r="I1479" s="5"/>
    </row>
    <row r="1480" spans="1:9" ht="17.399999999999999" x14ac:dyDescent="0.25">
      <c r="A1480" s="16"/>
      <c r="B1480" s="17"/>
      <c r="C1480" s="2"/>
      <c r="D1480" s="2"/>
      <c r="E1480" s="2"/>
      <c r="F1480" s="2"/>
      <c r="G1480" s="2"/>
      <c r="H1480" s="2"/>
      <c r="I1480" s="5"/>
    </row>
    <row r="1481" spans="1:9" ht="17.399999999999999" x14ac:dyDescent="0.25">
      <c r="A1481" s="16"/>
      <c r="B1481" s="17"/>
      <c r="C1481" s="2"/>
      <c r="D1481" s="2"/>
      <c r="E1481" s="2"/>
      <c r="F1481" s="2"/>
      <c r="G1481" s="2"/>
      <c r="H1481" s="2"/>
      <c r="I1481" s="5"/>
    </row>
    <row r="1482" spans="1:9" ht="17.399999999999999" x14ac:dyDescent="0.25">
      <c r="A1482" s="16"/>
      <c r="B1482" s="17"/>
      <c r="C1482" s="2"/>
      <c r="D1482" s="2"/>
      <c r="E1482" s="2"/>
      <c r="F1482" s="2"/>
      <c r="G1482" s="2"/>
      <c r="H1482" s="2"/>
      <c r="I1482" s="5"/>
    </row>
    <row r="1483" spans="1:9" ht="17.399999999999999" x14ac:dyDescent="0.25">
      <c r="A1483" s="16"/>
      <c r="B1483" s="17"/>
      <c r="C1483" s="2"/>
      <c r="D1483" s="2"/>
      <c r="E1483" s="2"/>
      <c r="F1483" s="2"/>
      <c r="G1483" s="2"/>
      <c r="H1483" s="2"/>
      <c r="I1483" s="5"/>
    </row>
    <row r="1484" spans="1:9" ht="17.399999999999999" x14ac:dyDescent="0.25">
      <c r="A1484" s="16"/>
      <c r="B1484" s="17"/>
      <c r="C1484" s="2"/>
      <c r="D1484" s="2"/>
      <c r="E1484" s="2"/>
      <c r="F1484" s="2"/>
      <c r="G1484" s="2"/>
      <c r="H1484" s="2"/>
      <c r="I1484" s="5"/>
    </row>
    <row r="1485" spans="1:9" ht="17.399999999999999" x14ac:dyDescent="0.25">
      <c r="A1485" s="16"/>
      <c r="B1485" s="17"/>
      <c r="C1485" s="2"/>
      <c r="D1485" s="2"/>
      <c r="E1485" s="2"/>
      <c r="F1485" s="2"/>
      <c r="G1485" s="2"/>
      <c r="H1485" s="2"/>
      <c r="I1485" s="5"/>
    </row>
    <row r="1486" spans="1:9" ht="17.399999999999999" x14ac:dyDescent="0.25">
      <c r="A1486" s="16"/>
      <c r="B1486" s="17"/>
      <c r="C1486" s="2"/>
      <c r="D1486" s="2"/>
      <c r="E1486" s="2"/>
      <c r="F1486" s="2"/>
      <c r="G1486" s="2"/>
      <c r="H1486" s="2"/>
      <c r="I1486" s="5"/>
    </row>
    <row r="1487" spans="1:9" ht="17.399999999999999" x14ac:dyDescent="0.25">
      <c r="A1487" s="16"/>
      <c r="B1487" s="17"/>
      <c r="C1487" s="2"/>
      <c r="D1487" s="2"/>
      <c r="E1487" s="2"/>
      <c r="F1487" s="2"/>
      <c r="G1487" s="2"/>
      <c r="H1487" s="2"/>
      <c r="I1487" s="5"/>
    </row>
    <row r="1488" spans="1:9" ht="17.399999999999999" x14ac:dyDescent="0.25">
      <c r="A1488" s="16"/>
      <c r="B1488" s="17"/>
      <c r="C1488" s="2"/>
      <c r="D1488" s="2"/>
      <c r="E1488" s="2"/>
      <c r="F1488" s="2"/>
      <c r="G1488" s="2"/>
      <c r="H1488" s="2"/>
      <c r="I1488" s="5"/>
    </row>
    <row r="1489" spans="1:9" ht="17.399999999999999" x14ac:dyDescent="0.25">
      <c r="A1489" s="16"/>
      <c r="B1489" s="17"/>
      <c r="C1489" s="2"/>
      <c r="D1489" s="2"/>
      <c r="E1489" s="2"/>
      <c r="F1489" s="2"/>
      <c r="G1489" s="2"/>
      <c r="H1489" s="2"/>
      <c r="I1489" s="5"/>
    </row>
    <row r="1490" spans="1:9" ht="17.399999999999999" x14ac:dyDescent="0.25">
      <c r="A1490" s="16"/>
      <c r="B1490" s="17"/>
      <c r="C1490" s="2"/>
      <c r="D1490" s="2"/>
      <c r="E1490" s="2"/>
      <c r="F1490" s="2"/>
      <c r="G1490" s="2"/>
      <c r="H1490" s="2"/>
      <c r="I1490" s="5"/>
    </row>
    <row r="1491" spans="1:9" ht="17.399999999999999" x14ac:dyDescent="0.25">
      <c r="A1491" s="16"/>
      <c r="B1491" s="17"/>
      <c r="C1491" s="2"/>
      <c r="D1491" s="2"/>
      <c r="E1491" s="2"/>
      <c r="F1491" s="2"/>
      <c r="G1491" s="2"/>
      <c r="H1491" s="2"/>
      <c r="I1491" s="5"/>
    </row>
    <row r="1492" spans="1:9" ht="17.399999999999999" x14ac:dyDescent="0.25">
      <c r="A1492" s="16"/>
      <c r="B1492" s="17"/>
      <c r="C1492" s="2"/>
      <c r="D1492" s="2"/>
      <c r="E1492" s="2"/>
      <c r="F1492" s="2"/>
      <c r="G1492" s="2"/>
      <c r="H1492" s="2"/>
      <c r="I1492" s="5"/>
    </row>
    <row r="1493" spans="1:9" ht="17.399999999999999" x14ac:dyDescent="0.25">
      <c r="A1493" s="16"/>
      <c r="B1493" s="17"/>
      <c r="C1493" s="2"/>
      <c r="D1493" s="2"/>
      <c r="E1493" s="2"/>
      <c r="F1493" s="2"/>
      <c r="G1493" s="2"/>
      <c r="H1493" s="2"/>
      <c r="I1493" s="5"/>
    </row>
    <row r="1494" spans="1:9" ht="17.399999999999999" x14ac:dyDescent="0.25">
      <c r="A1494" s="16"/>
      <c r="B1494" s="17"/>
      <c r="C1494" s="2"/>
      <c r="D1494" s="2"/>
      <c r="E1494" s="2"/>
      <c r="F1494" s="2"/>
      <c r="G1494" s="2"/>
      <c r="H1494" s="2"/>
      <c r="I1494" s="5"/>
    </row>
    <row r="1495" spans="1:9" ht="17.399999999999999" x14ac:dyDescent="0.25">
      <c r="A1495" s="16"/>
      <c r="B1495" s="17"/>
      <c r="C1495" s="2"/>
      <c r="D1495" s="2"/>
      <c r="E1495" s="2"/>
      <c r="F1495" s="2"/>
      <c r="G1495" s="2"/>
      <c r="H1495" s="2"/>
      <c r="I1495" s="5"/>
    </row>
    <row r="1496" spans="1:9" ht="17.399999999999999" x14ac:dyDescent="0.25">
      <c r="A1496" s="16"/>
      <c r="B1496" s="17"/>
      <c r="C1496" s="2"/>
      <c r="D1496" s="2"/>
      <c r="E1496" s="2"/>
      <c r="F1496" s="2"/>
      <c r="G1496" s="2"/>
      <c r="H1496" s="2"/>
      <c r="I1496" s="5"/>
    </row>
    <row r="1497" spans="1:9" ht="17.399999999999999" x14ac:dyDescent="0.25">
      <c r="A1497" s="16"/>
      <c r="B1497" s="17"/>
      <c r="C1497" s="2"/>
      <c r="D1497" s="2"/>
      <c r="E1497" s="2"/>
      <c r="F1497" s="2"/>
      <c r="G1497" s="2"/>
      <c r="H1497" s="2"/>
      <c r="I1497" s="5"/>
    </row>
    <row r="1498" spans="1:9" ht="17.399999999999999" x14ac:dyDescent="0.25">
      <c r="A1498" s="16"/>
      <c r="B1498" s="17"/>
      <c r="C1498" s="2"/>
      <c r="D1498" s="2"/>
      <c r="E1498" s="2"/>
      <c r="F1498" s="2"/>
      <c r="G1498" s="2"/>
      <c r="H1498" s="2"/>
      <c r="I1498" s="5"/>
    </row>
    <row r="1499" spans="1:9" ht="17.399999999999999" x14ac:dyDescent="0.25">
      <c r="A1499" s="16"/>
      <c r="B1499" s="17"/>
      <c r="C1499" s="2"/>
      <c r="D1499" s="2"/>
      <c r="E1499" s="2"/>
      <c r="F1499" s="2"/>
      <c r="G1499" s="2"/>
      <c r="H1499" s="2"/>
      <c r="I1499" s="5"/>
    </row>
    <row r="1500" spans="1:9" ht="17.399999999999999" x14ac:dyDescent="0.25">
      <c r="A1500" s="16"/>
      <c r="B1500" s="17"/>
      <c r="C1500" s="2"/>
      <c r="D1500" s="2"/>
      <c r="E1500" s="2"/>
      <c r="F1500" s="2"/>
      <c r="G1500" s="2"/>
      <c r="H1500" s="2"/>
      <c r="I1500" s="5"/>
    </row>
    <row r="1501" spans="1:9" ht="17.399999999999999" x14ac:dyDescent="0.25">
      <c r="A1501" s="16"/>
      <c r="B1501" s="17"/>
      <c r="C1501" s="2"/>
      <c r="D1501" s="2"/>
      <c r="E1501" s="2"/>
      <c r="F1501" s="2"/>
      <c r="G1501" s="2"/>
      <c r="H1501" s="2"/>
      <c r="I1501" s="5"/>
    </row>
    <row r="1502" spans="1:9" ht="17.399999999999999" x14ac:dyDescent="0.25">
      <c r="A1502" s="16"/>
      <c r="B1502" s="17"/>
      <c r="C1502" s="2"/>
      <c r="D1502" s="2"/>
      <c r="E1502" s="2"/>
      <c r="F1502" s="2"/>
      <c r="G1502" s="2"/>
      <c r="H1502" s="2"/>
      <c r="I1502" s="5"/>
    </row>
    <row r="1503" spans="1:9" ht="17.399999999999999" x14ac:dyDescent="0.25">
      <c r="A1503" s="16"/>
      <c r="B1503" s="17"/>
      <c r="C1503" s="2"/>
      <c r="D1503" s="2"/>
      <c r="E1503" s="2"/>
      <c r="F1503" s="2"/>
      <c r="G1503" s="2"/>
      <c r="H1503" s="2"/>
      <c r="I1503" s="5"/>
    </row>
    <row r="1504" spans="1:9" ht="17.399999999999999" x14ac:dyDescent="0.25">
      <c r="A1504" s="16"/>
      <c r="B1504" s="17"/>
      <c r="C1504" s="2"/>
      <c r="D1504" s="2"/>
      <c r="E1504" s="2"/>
      <c r="F1504" s="2"/>
      <c r="G1504" s="2"/>
      <c r="H1504" s="2"/>
      <c r="I1504" s="5"/>
    </row>
    <row r="1505" spans="1:9" ht="17.399999999999999" x14ac:dyDescent="0.25">
      <c r="A1505" s="16"/>
      <c r="B1505" s="17"/>
      <c r="C1505" s="2"/>
      <c r="D1505" s="2"/>
      <c r="E1505" s="2"/>
      <c r="F1505" s="2"/>
      <c r="G1505" s="2"/>
      <c r="H1505" s="2"/>
      <c r="I1505" s="5"/>
    </row>
    <row r="1506" spans="1:9" ht="17.399999999999999" x14ac:dyDescent="0.25">
      <c r="A1506" s="16"/>
      <c r="B1506" s="17"/>
      <c r="C1506" s="2"/>
      <c r="D1506" s="2"/>
      <c r="E1506" s="2"/>
      <c r="F1506" s="2"/>
      <c r="G1506" s="2"/>
      <c r="H1506" s="2"/>
      <c r="I1506" s="5"/>
    </row>
    <row r="1507" spans="1:9" ht="17.399999999999999" x14ac:dyDescent="0.25">
      <c r="A1507" s="16"/>
      <c r="B1507" s="17"/>
      <c r="C1507" s="2"/>
      <c r="D1507" s="2"/>
      <c r="E1507" s="2"/>
      <c r="F1507" s="2"/>
      <c r="G1507" s="2"/>
      <c r="H1507" s="2"/>
      <c r="I1507" s="5"/>
    </row>
    <row r="1508" spans="1:9" ht="17.399999999999999" x14ac:dyDescent="0.25">
      <c r="A1508" s="16"/>
      <c r="B1508" s="17"/>
      <c r="C1508" s="2"/>
      <c r="D1508" s="2"/>
      <c r="E1508" s="2"/>
      <c r="F1508" s="2"/>
      <c r="G1508" s="2"/>
      <c r="H1508" s="2"/>
      <c r="I1508" s="5"/>
    </row>
    <row r="1509" spans="1:9" ht="17.399999999999999" x14ac:dyDescent="0.25">
      <c r="A1509" s="16"/>
      <c r="B1509" s="17"/>
      <c r="C1509" s="2"/>
      <c r="D1509" s="2"/>
      <c r="E1509" s="2"/>
      <c r="F1509" s="2"/>
      <c r="G1509" s="2"/>
      <c r="H1509" s="2"/>
      <c r="I1509" s="5"/>
    </row>
    <row r="1510" spans="1:9" ht="17.399999999999999" x14ac:dyDescent="0.25">
      <c r="A1510" s="16"/>
      <c r="B1510" s="17"/>
      <c r="C1510" s="2"/>
      <c r="D1510" s="2"/>
      <c r="E1510" s="2"/>
      <c r="F1510" s="2"/>
      <c r="G1510" s="2"/>
      <c r="H1510" s="2"/>
      <c r="I1510" s="5"/>
    </row>
    <row r="1511" spans="1:9" ht="17.399999999999999" x14ac:dyDescent="0.25">
      <c r="A1511" s="16"/>
      <c r="B1511" s="17"/>
      <c r="C1511" s="2"/>
      <c r="D1511" s="2"/>
      <c r="E1511" s="2"/>
      <c r="F1511" s="2"/>
      <c r="G1511" s="2"/>
      <c r="H1511" s="2"/>
      <c r="I1511" s="5"/>
    </row>
    <row r="1512" spans="1:9" ht="17.399999999999999" x14ac:dyDescent="0.25">
      <c r="A1512" s="16"/>
      <c r="B1512" s="17"/>
      <c r="C1512" s="2"/>
      <c r="D1512" s="2"/>
      <c r="E1512" s="2"/>
      <c r="F1512" s="2"/>
      <c r="G1512" s="2"/>
      <c r="H1512" s="2"/>
      <c r="I1512" s="5"/>
    </row>
    <row r="1513" spans="1:9" ht="17.399999999999999" x14ac:dyDescent="0.25">
      <c r="A1513" s="16"/>
      <c r="B1513" s="17"/>
      <c r="C1513" s="2"/>
      <c r="D1513" s="2"/>
      <c r="E1513" s="2"/>
      <c r="F1513" s="2"/>
      <c r="G1513" s="2"/>
      <c r="H1513" s="2"/>
      <c r="I1513" s="5"/>
    </row>
    <row r="1514" spans="1:9" ht="17.399999999999999" x14ac:dyDescent="0.25">
      <c r="A1514" s="16"/>
      <c r="B1514" s="17"/>
      <c r="C1514" s="2"/>
      <c r="D1514" s="2"/>
      <c r="E1514" s="2"/>
      <c r="F1514" s="2"/>
      <c r="G1514" s="2"/>
      <c r="H1514" s="2"/>
      <c r="I1514" s="5"/>
    </row>
    <row r="1515" spans="1:9" ht="17.399999999999999" x14ac:dyDescent="0.25">
      <c r="A1515" s="16"/>
      <c r="B1515" s="17"/>
      <c r="C1515" s="2"/>
      <c r="D1515" s="2"/>
      <c r="E1515" s="2"/>
      <c r="F1515" s="2"/>
      <c r="G1515" s="2"/>
      <c r="H1515" s="2"/>
      <c r="I1515" s="5"/>
    </row>
    <row r="1516" spans="1:9" ht="17.399999999999999" x14ac:dyDescent="0.25">
      <c r="A1516" s="16"/>
      <c r="B1516" s="17"/>
      <c r="C1516" s="2"/>
      <c r="D1516" s="2"/>
      <c r="E1516" s="2"/>
      <c r="F1516" s="2"/>
      <c r="G1516" s="2"/>
      <c r="H1516" s="2"/>
      <c r="I1516" s="5"/>
    </row>
    <row r="1517" spans="1:9" ht="17.399999999999999" x14ac:dyDescent="0.25">
      <c r="A1517" s="16"/>
      <c r="B1517" s="17"/>
      <c r="C1517" s="2"/>
      <c r="D1517" s="2"/>
      <c r="E1517" s="2"/>
      <c r="F1517" s="2"/>
      <c r="G1517" s="2"/>
      <c r="H1517" s="2"/>
      <c r="I1517" s="5"/>
    </row>
    <row r="1518" spans="1:9" ht="17.399999999999999" x14ac:dyDescent="0.25">
      <c r="A1518" s="16"/>
      <c r="B1518" s="17"/>
      <c r="C1518" s="2"/>
      <c r="D1518" s="2"/>
      <c r="E1518" s="2"/>
      <c r="F1518" s="2"/>
      <c r="G1518" s="2"/>
      <c r="H1518" s="2"/>
      <c r="I1518" s="5"/>
    </row>
    <row r="1519" spans="1:9" ht="17.399999999999999" x14ac:dyDescent="0.25">
      <c r="A1519" s="16"/>
      <c r="B1519" s="17"/>
      <c r="C1519" s="2"/>
      <c r="D1519" s="2"/>
      <c r="E1519" s="2"/>
      <c r="F1519" s="2"/>
      <c r="G1519" s="2"/>
      <c r="H1519" s="2"/>
      <c r="I1519" s="5"/>
    </row>
    <row r="1520" spans="1:9" ht="17.399999999999999" x14ac:dyDescent="0.25">
      <c r="A1520" s="16"/>
      <c r="B1520" s="17"/>
      <c r="C1520" s="2"/>
      <c r="D1520" s="2"/>
      <c r="E1520" s="2"/>
      <c r="F1520" s="2"/>
      <c r="G1520" s="2"/>
      <c r="H1520" s="2"/>
      <c r="I1520" s="5"/>
    </row>
    <row r="1521" spans="1:9" ht="17.399999999999999" x14ac:dyDescent="0.25">
      <c r="A1521" s="16"/>
      <c r="B1521" s="17"/>
      <c r="C1521" s="2"/>
      <c r="D1521" s="2"/>
      <c r="E1521" s="2"/>
      <c r="F1521" s="2"/>
      <c r="G1521" s="2"/>
      <c r="H1521" s="2"/>
      <c r="I1521" s="5"/>
    </row>
    <row r="1522" spans="1:9" ht="17.399999999999999" x14ac:dyDescent="0.25">
      <c r="A1522" s="16"/>
      <c r="B1522" s="17"/>
      <c r="C1522" s="2"/>
      <c r="D1522" s="2"/>
      <c r="E1522" s="2"/>
      <c r="F1522" s="2"/>
      <c r="G1522" s="2"/>
      <c r="H1522" s="2"/>
      <c r="I1522" s="5"/>
    </row>
    <row r="1523" spans="1:9" ht="17.399999999999999" x14ac:dyDescent="0.25">
      <c r="A1523" s="16"/>
      <c r="B1523" s="17"/>
      <c r="C1523" s="2"/>
      <c r="D1523" s="2"/>
      <c r="E1523" s="2"/>
      <c r="F1523" s="2"/>
      <c r="G1523" s="2"/>
      <c r="H1523" s="2"/>
      <c r="I1523" s="5"/>
    </row>
    <row r="1524" spans="1:9" ht="17.399999999999999" x14ac:dyDescent="0.25">
      <c r="A1524" s="16"/>
      <c r="B1524" s="17"/>
      <c r="C1524" s="2"/>
      <c r="D1524" s="2"/>
      <c r="E1524" s="2"/>
      <c r="F1524" s="2"/>
      <c r="G1524" s="2"/>
      <c r="H1524" s="2"/>
      <c r="I1524" s="5"/>
    </row>
    <row r="1525" spans="1:9" ht="17.399999999999999" x14ac:dyDescent="0.25">
      <c r="A1525" s="16"/>
      <c r="B1525" s="17"/>
      <c r="C1525" s="2"/>
      <c r="D1525" s="2"/>
      <c r="E1525" s="2"/>
      <c r="F1525" s="2"/>
      <c r="G1525" s="2"/>
      <c r="H1525" s="2"/>
      <c r="I1525" s="5"/>
    </row>
    <row r="1526" spans="1:9" ht="17.399999999999999" x14ac:dyDescent="0.25">
      <c r="A1526" s="16"/>
      <c r="B1526" s="17"/>
      <c r="C1526" s="2"/>
      <c r="D1526" s="2"/>
      <c r="E1526" s="2"/>
      <c r="F1526" s="2"/>
      <c r="G1526" s="2"/>
      <c r="H1526" s="2"/>
      <c r="I1526" s="5"/>
    </row>
    <row r="1527" spans="1:9" ht="17.399999999999999" x14ac:dyDescent="0.25">
      <c r="A1527" s="16"/>
      <c r="B1527" s="17"/>
      <c r="C1527" s="2"/>
      <c r="D1527" s="2"/>
      <c r="E1527" s="2"/>
      <c r="F1527" s="2"/>
      <c r="G1527" s="2"/>
      <c r="H1527" s="2"/>
      <c r="I1527" s="5"/>
    </row>
    <row r="1528" spans="1:9" ht="17.399999999999999" x14ac:dyDescent="0.25">
      <c r="A1528" s="16"/>
      <c r="B1528" s="17"/>
      <c r="C1528" s="2"/>
      <c r="D1528" s="2"/>
      <c r="E1528" s="2"/>
      <c r="F1528" s="2"/>
      <c r="G1528" s="2"/>
      <c r="H1528" s="2"/>
      <c r="I1528" s="5"/>
    </row>
    <row r="1529" spans="1:9" ht="17.399999999999999" x14ac:dyDescent="0.25">
      <c r="A1529" s="16"/>
      <c r="B1529" s="17"/>
      <c r="C1529" s="2"/>
      <c r="D1529" s="2"/>
      <c r="E1529" s="2"/>
      <c r="F1529" s="2"/>
      <c r="G1529" s="2"/>
      <c r="H1529" s="2"/>
      <c r="I1529" s="5"/>
    </row>
    <row r="1530" spans="1:9" ht="17.399999999999999" x14ac:dyDescent="0.25">
      <c r="A1530" s="16"/>
      <c r="B1530" s="17"/>
      <c r="C1530" s="2"/>
      <c r="D1530" s="2"/>
      <c r="E1530" s="2"/>
      <c r="F1530" s="2"/>
      <c r="G1530" s="2"/>
      <c r="H1530" s="2"/>
      <c r="I1530" s="5"/>
    </row>
    <row r="1531" spans="1:9" ht="17.399999999999999" x14ac:dyDescent="0.25">
      <c r="A1531" s="16"/>
      <c r="B1531" s="17"/>
      <c r="C1531" s="2"/>
      <c r="D1531" s="2"/>
      <c r="E1531" s="2"/>
      <c r="F1531" s="2"/>
      <c r="G1531" s="2"/>
      <c r="H1531" s="2"/>
      <c r="I1531" s="5"/>
    </row>
    <row r="1532" spans="1:9" ht="17.399999999999999" x14ac:dyDescent="0.25">
      <c r="A1532" s="16"/>
      <c r="B1532" s="17"/>
      <c r="C1532" s="2"/>
      <c r="D1532" s="2"/>
      <c r="E1532" s="2"/>
      <c r="F1532" s="2"/>
      <c r="G1532" s="2"/>
      <c r="H1532" s="2"/>
      <c r="I1532" s="5"/>
    </row>
    <row r="1533" spans="1:9" ht="17.399999999999999" x14ac:dyDescent="0.25">
      <c r="A1533" s="16"/>
      <c r="B1533" s="17"/>
      <c r="C1533" s="2"/>
      <c r="D1533" s="2"/>
      <c r="E1533" s="2"/>
      <c r="F1533" s="2"/>
      <c r="G1533" s="2"/>
      <c r="H1533" s="2"/>
      <c r="I1533" s="5"/>
    </row>
    <row r="1534" spans="1:9" ht="17.399999999999999" x14ac:dyDescent="0.25">
      <c r="A1534" s="16"/>
      <c r="B1534" s="17"/>
      <c r="C1534" s="2"/>
      <c r="D1534" s="2"/>
      <c r="E1534" s="2"/>
      <c r="F1534" s="2"/>
      <c r="G1534" s="2"/>
      <c r="H1534" s="2"/>
      <c r="I1534" s="5"/>
    </row>
    <row r="1535" spans="1:9" ht="17.399999999999999" x14ac:dyDescent="0.25">
      <c r="A1535" s="16"/>
      <c r="B1535" s="17"/>
      <c r="C1535" s="2"/>
      <c r="D1535" s="2"/>
      <c r="E1535" s="2"/>
      <c r="F1535" s="2"/>
      <c r="G1535" s="2"/>
      <c r="H1535" s="2"/>
      <c r="I1535" s="5"/>
    </row>
    <row r="1536" spans="1:9" ht="17.399999999999999" x14ac:dyDescent="0.25">
      <c r="A1536" s="16"/>
      <c r="B1536" s="17"/>
      <c r="C1536" s="2"/>
      <c r="D1536" s="2"/>
      <c r="E1536" s="2"/>
      <c r="F1536" s="2"/>
      <c r="G1536" s="2"/>
      <c r="H1536" s="2"/>
      <c r="I1536" s="5"/>
    </row>
    <row r="1537" spans="1:9" ht="17.399999999999999" x14ac:dyDescent="0.25">
      <c r="A1537" s="16"/>
      <c r="B1537" s="17"/>
      <c r="C1537" s="2"/>
      <c r="D1537" s="2"/>
      <c r="E1537" s="2"/>
      <c r="F1537" s="2"/>
      <c r="G1537" s="2"/>
      <c r="H1537" s="2"/>
      <c r="I1537" s="5"/>
    </row>
    <row r="1538" spans="1:9" ht="17.399999999999999" x14ac:dyDescent="0.25">
      <c r="A1538" s="16"/>
      <c r="B1538" s="17"/>
      <c r="C1538" s="2"/>
      <c r="D1538" s="2"/>
      <c r="E1538" s="2"/>
      <c r="F1538" s="2"/>
      <c r="G1538" s="2"/>
      <c r="H1538" s="2"/>
      <c r="I1538" s="5"/>
    </row>
    <row r="1539" spans="1:9" ht="17.399999999999999" x14ac:dyDescent="0.25">
      <c r="A1539" s="16"/>
      <c r="B1539" s="17"/>
      <c r="C1539" s="2"/>
      <c r="D1539" s="2"/>
      <c r="E1539" s="2"/>
      <c r="F1539" s="2"/>
      <c r="G1539" s="2"/>
      <c r="H1539" s="2"/>
      <c r="I1539" s="5"/>
    </row>
    <row r="1540" spans="1:9" ht="17.399999999999999" x14ac:dyDescent="0.25">
      <c r="A1540" s="16"/>
      <c r="B1540" s="17"/>
      <c r="C1540" s="2"/>
      <c r="D1540" s="2"/>
      <c r="E1540" s="2"/>
      <c r="F1540" s="2"/>
      <c r="G1540" s="2"/>
      <c r="H1540" s="2"/>
      <c r="I1540" s="5"/>
    </row>
    <row r="1541" spans="1:9" ht="17.399999999999999" x14ac:dyDescent="0.25">
      <c r="A1541" s="16"/>
      <c r="B1541" s="17"/>
      <c r="C1541" s="2"/>
      <c r="D1541" s="2"/>
      <c r="E1541" s="2"/>
      <c r="F1541" s="2"/>
      <c r="G1541" s="2"/>
      <c r="H1541" s="2"/>
      <c r="I1541" s="5"/>
    </row>
    <row r="1542" spans="1:9" ht="17.399999999999999" x14ac:dyDescent="0.25">
      <c r="A1542" s="16"/>
      <c r="B1542" s="17"/>
      <c r="C1542" s="2"/>
      <c r="D1542" s="2"/>
      <c r="E1542" s="2"/>
      <c r="F1542" s="2"/>
      <c r="G1542" s="2"/>
      <c r="H1542" s="2"/>
      <c r="I1542" s="5"/>
    </row>
    <row r="1543" spans="1:9" ht="17.399999999999999" x14ac:dyDescent="0.25">
      <c r="A1543" s="16"/>
      <c r="B1543" s="17"/>
      <c r="C1543" s="2"/>
      <c r="D1543" s="2"/>
      <c r="E1543" s="2"/>
      <c r="F1543" s="2"/>
      <c r="G1543" s="2"/>
      <c r="H1543" s="2"/>
      <c r="I1543" s="5"/>
    </row>
    <row r="1544" spans="1:9" ht="17.399999999999999" x14ac:dyDescent="0.25">
      <c r="A1544" s="16"/>
      <c r="B1544" s="17"/>
      <c r="C1544" s="2"/>
      <c r="D1544" s="2"/>
      <c r="E1544" s="2"/>
      <c r="F1544" s="2"/>
      <c r="G1544" s="2"/>
      <c r="H1544" s="2"/>
      <c r="I1544" s="5"/>
    </row>
    <row r="1545" spans="1:9" ht="17.399999999999999" x14ac:dyDescent="0.25">
      <c r="A1545" s="16"/>
      <c r="B1545" s="17"/>
      <c r="C1545" s="2"/>
      <c r="D1545" s="2"/>
      <c r="E1545" s="2"/>
      <c r="F1545" s="2"/>
      <c r="G1545" s="2"/>
      <c r="H1545" s="2"/>
      <c r="I1545" s="5"/>
    </row>
    <row r="1546" spans="1:9" ht="17.399999999999999" x14ac:dyDescent="0.25">
      <c r="A1546" s="16"/>
      <c r="B1546" s="17"/>
      <c r="C1546" s="2"/>
      <c r="D1546" s="2"/>
      <c r="E1546" s="2"/>
      <c r="F1546" s="2"/>
      <c r="G1546" s="2"/>
      <c r="H1546" s="2"/>
      <c r="I1546" s="5"/>
    </row>
    <row r="1547" spans="1:9" ht="17.399999999999999" x14ac:dyDescent="0.25">
      <c r="A1547" s="16"/>
      <c r="B1547" s="17"/>
      <c r="C1547" s="2"/>
      <c r="D1547" s="2"/>
      <c r="E1547" s="2"/>
      <c r="F1547" s="2"/>
      <c r="G1547" s="2"/>
      <c r="H1547" s="2"/>
      <c r="I1547" s="5"/>
    </row>
    <row r="1548" spans="1:9" ht="17.399999999999999" x14ac:dyDescent="0.25">
      <c r="A1548" s="16"/>
      <c r="B1548" s="17"/>
      <c r="C1548" s="2"/>
      <c r="D1548" s="2"/>
      <c r="E1548" s="2"/>
      <c r="F1548" s="2"/>
      <c r="G1548" s="2"/>
      <c r="H1548" s="2"/>
      <c r="I1548" s="5"/>
    </row>
    <row r="1549" spans="1:9" ht="17.399999999999999" x14ac:dyDescent="0.25">
      <c r="A1549" s="16"/>
      <c r="B1549" s="17"/>
      <c r="C1549" s="2"/>
      <c r="D1549" s="2"/>
      <c r="E1549" s="2"/>
      <c r="F1549" s="2"/>
      <c r="G1549" s="2"/>
      <c r="H1549" s="2"/>
      <c r="I1549" s="5"/>
    </row>
    <row r="1550" spans="1:9" ht="17.399999999999999" x14ac:dyDescent="0.25">
      <c r="A1550" s="16"/>
      <c r="B1550" s="17"/>
      <c r="C1550" s="2"/>
      <c r="D1550" s="2"/>
      <c r="E1550" s="2"/>
      <c r="F1550" s="2"/>
      <c r="G1550" s="2"/>
      <c r="H1550" s="2"/>
      <c r="I1550" s="5"/>
    </row>
    <row r="1551" spans="1:9" ht="17.399999999999999" x14ac:dyDescent="0.25">
      <c r="A1551" s="16"/>
      <c r="B1551" s="17"/>
      <c r="C1551" s="2"/>
      <c r="D1551" s="2"/>
      <c r="E1551" s="2"/>
      <c r="F1551" s="2"/>
      <c r="G1551" s="2"/>
      <c r="H1551" s="2"/>
      <c r="I1551" s="5"/>
    </row>
    <row r="1552" spans="1:9" ht="17.399999999999999" x14ac:dyDescent="0.25">
      <c r="A1552" s="16"/>
      <c r="B1552" s="17"/>
      <c r="C1552" s="2"/>
      <c r="D1552" s="2"/>
      <c r="E1552" s="2"/>
      <c r="F1552" s="2"/>
      <c r="G1552" s="2"/>
      <c r="H1552" s="2"/>
      <c r="I1552" s="5"/>
    </row>
    <row r="1553" spans="1:9" ht="17.399999999999999" x14ac:dyDescent="0.25">
      <c r="A1553" s="16"/>
      <c r="B1553" s="17"/>
      <c r="C1553" s="2"/>
      <c r="D1553" s="2"/>
      <c r="E1553" s="2"/>
      <c r="F1553" s="2"/>
      <c r="G1553" s="2"/>
      <c r="H1553" s="2"/>
      <c r="I1553" s="5"/>
    </row>
    <row r="1554" spans="1:9" ht="17.399999999999999" x14ac:dyDescent="0.25">
      <c r="A1554" s="16"/>
      <c r="B1554" s="17"/>
      <c r="C1554" s="2"/>
      <c r="D1554" s="2"/>
      <c r="E1554" s="2"/>
      <c r="F1554" s="2"/>
      <c r="G1554" s="2"/>
      <c r="H1554" s="2"/>
      <c r="I1554" s="5"/>
    </row>
    <row r="1555" spans="1:9" ht="17.399999999999999" x14ac:dyDescent="0.25">
      <c r="A1555" s="16"/>
      <c r="B1555" s="17"/>
      <c r="C1555" s="2"/>
      <c r="D1555" s="2"/>
      <c r="E1555" s="2"/>
      <c r="F1555" s="2"/>
      <c r="G1555" s="2"/>
      <c r="H1555" s="2"/>
      <c r="I1555" s="5"/>
    </row>
    <row r="1556" spans="1:9" ht="17.399999999999999" x14ac:dyDescent="0.25">
      <c r="A1556" s="16"/>
      <c r="B1556" s="17"/>
      <c r="C1556" s="2"/>
      <c r="D1556" s="2"/>
      <c r="E1556" s="2"/>
      <c r="F1556" s="2"/>
      <c r="G1556" s="2"/>
      <c r="H1556" s="2"/>
      <c r="I1556" s="5"/>
    </row>
    <row r="1557" spans="1:9" ht="17.399999999999999" x14ac:dyDescent="0.25">
      <c r="A1557" s="16"/>
      <c r="B1557" s="17"/>
      <c r="C1557" s="2"/>
      <c r="D1557" s="2"/>
      <c r="E1557" s="2"/>
      <c r="F1557" s="2"/>
      <c r="G1557" s="2"/>
      <c r="H1557" s="2"/>
      <c r="I1557" s="5"/>
    </row>
    <row r="1558" spans="1:9" ht="17.399999999999999" x14ac:dyDescent="0.25">
      <c r="A1558" s="16"/>
      <c r="B1558" s="17"/>
      <c r="C1558" s="2"/>
      <c r="D1558" s="2"/>
      <c r="E1558" s="2"/>
      <c r="F1558" s="2"/>
      <c r="G1558" s="2"/>
      <c r="H1558" s="2"/>
      <c r="I1558" s="5"/>
    </row>
    <row r="1559" spans="1:9" ht="17.399999999999999" x14ac:dyDescent="0.25">
      <c r="A1559" s="16"/>
      <c r="B1559" s="17"/>
      <c r="C1559" s="2"/>
      <c r="D1559" s="2"/>
      <c r="E1559" s="2"/>
      <c r="F1559" s="2"/>
      <c r="G1559" s="2"/>
      <c r="H1559" s="2"/>
      <c r="I1559" s="5"/>
    </row>
    <row r="1560" spans="1:9" ht="17.399999999999999" x14ac:dyDescent="0.25">
      <c r="A1560" s="16"/>
      <c r="B1560" s="17"/>
      <c r="C1560" s="2"/>
      <c r="D1560" s="2"/>
      <c r="E1560" s="2"/>
      <c r="F1560" s="2"/>
      <c r="G1560" s="2"/>
      <c r="H1560" s="2"/>
      <c r="I1560" s="5"/>
    </row>
    <row r="1561" spans="1:9" ht="17.399999999999999" x14ac:dyDescent="0.25">
      <c r="A1561" s="16"/>
      <c r="B1561" s="17"/>
      <c r="C1561" s="2"/>
      <c r="D1561" s="2"/>
      <c r="E1561" s="2"/>
      <c r="F1561" s="2"/>
      <c r="G1561" s="2"/>
      <c r="H1561" s="2"/>
      <c r="I1561" s="5"/>
    </row>
    <row r="1562" spans="1:9" ht="17.399999999999999" x14ac:dyDescent="0.25">
      <c r="A1562" s="16"/>
      <c r="B1562" s="17"/>
      <c r="C1562" s="2"/>
      <c r="D1562" s="2"/>
      <c r="E1562" s="2"/>
      <c r="F1562" s="2"/>
      <c r="G1562" s="2"/>
      <c r="H1562" s="2"/>
      <c r="I1562" s="5"/>
    </row>
    <row r="1563" spans="1:9" ht="17.399999999999999" x14ac:dyDescent="0.25">
      <c r="A1563" s="16"/>
      <c r="B1563" s="17"/>
      <c r="C1563" s="2"/>
      <c r="D1563" s="2"/>
      <c r="E1563" s="2"/>
      <c r="F1563" s="2"/>
      <c r="G1563" s="2"/>
      <c r="H1563" s="2"/>
      <c r="I1563" s="5"/>
    </row>
    <row r="1564" spans="1:9" ht="17.399999999999999" x14ac:dyDescent="0.25">
      <c r="A1564" s="16"/>
      <c r="B1564" s="17"/>
      <c r="C1564" s="2"/>
      <c r="D1564" s="2"/>
      <c r="E1564" s="2"/>
      <c r="F1564" s="2"/>
      <c r="G1564" s="2"/>
      <c r="H1564" s="2"/>
      <c r="I1564" s="5"/>
    </row>
    <row r="1565" spans="1:9" ht="17.399999999999999" x14ac:dyDescent="0.25">
      <c r="A1565" s="16"/>
      <c r="B1565" s="17"/>
      <c r="C1565" s="2"/>
      <c r="D1565" s="2"/>
      <c r="E1565" s="2"/>
      <c r="F1565" s="2"/>
      <c r="G1565" s="2"/>
      <c r="H1565" s="2"/>
      <c r="I1565" s="5"/>
    </row>
    <row r="1566" spans="1:9" ht="17.399999999999999" x14ac:dyDescent="0.25">
      <c r="A1566" s="16"/>
      <c r="B1566" s="17"/>
      <c r="C1566" s="2"/>
      <c r="D1566" s="2"/>
      <c r="E1566" s="2"/>
      <c r="F1566" s="2"/>
      <c r="G1566" s="2"/>
      <c r="H1566" s="2"/>
      <c r="I1566" s="5"/>
    </row>
    <row r="1567" spans="1:9" ht="17.399999999999999" x14ac:dyDescent="0.25">
      <c r="A1567" s="16"/>
      <c r="B1567" s="17"/>
      <c r="C1567" s="2"/>
      <c r="D1567" s="2"/>
      <c r="E1567" s="2"/>
      <c r="F1567" s="2"/>
      <c r="G1567" s="2"/>
      <c r="H1567" s="2"/>
      <c r="I1567" s="5"/>
    </row>
    <row r="1568" spans="1:9" ht="17.399999999999999" x14ac:dyDescent="0.25">
      <c r="A1568" s="16"/>
      <c r="B1568" s="17"/>
      <c r="C1568" s="2"/>
      <c r="D1568" s="2"/>
      <c r="E1568" s="2"/>
      <c r="F1568" s="2"/>
      <c r="G1568" s="2"/>
      <c r="H1568" s="2"/>
      <c r="I1568" s="5"/>
    </row>
    <row r="1569" spans="1:9" ht="17.399999999999999" x14ac:dyDescent="0.25">
      <c r="A1569" s="16"/>
      <c r="B1569" s="17"/>
      <c r="C1569" s="2"/>
      <c r="D1569" s="2"/>
      <c r="E1569" s="2"/>
      <c r="F1569" s="2"/>
      <c r="G1569" s="2"/>
      <c r="H1569" s="2"/>
      <c r="I1569" s="5"/>
    </row>
    <row r="1570" spans="1:9" ht="17.399999999999999" x14ac:dyDescent="0.25">
      <c r="A1570" s="16"/>
      <c r="B1570" s="17"/>
      <c r="C1570" s="2"/>
      <c r="D1570" s="2"/>
      <c r="E1570" s="2"/>
      <c r="F1570" s="2"/>
      <c r="G1570" s="2"/>
      <c r="H1570" s="2"/>
      <c r="I1570" s="5"/>
    </row>
    <row r="1571" spans="1:9" ht="17.399999999999999" x14ac:dyDescent="0.25">
      <c r="A1571" s="16"/>
      <c r="B1571" s="17"/>
      <c r="C1571" s="2"/>
      <c r="D1571" s="2"/>
      <c r="E1571" s="2"/>
      <c r="F1571" s="2"/>
      <c r="G1571" s="2"/>
      <c r="H1571" s="2"/>
      <c r="I1571" s="5"/>
    </row>
    <row r="1572" spans="1:9" ht="17.399999999999999" x14ac:dyDescent="0.25">
      <c r="A1572" s="16"/>
      <c r="B1572" s="17"/>
      <c r="C1572" s="2"/>
      <c r="D1572" s="2"/>
      <c r="E1572" s="2"/>
      <c r="F1572" s="2"/>
      <c r="G1572" s="2"/>
      <c r="H1572" s="2"/>
      <c r="I1572" s="5"/>
    </row>
    <row r="1573" spans="1:9" ht="17.399999999999999" x14ac:dyDescent="0.25">
      <c r="A1573" s="16"/>
      <c r="B1573" s="17"/>
      <c r="C1573" s="2"/>
      <c r="D1573" s="2"/>
      <c r="E1573" s="2"/>
      <c r="F1573" s="2"/>
      <c r="G1573" s="2"/>
      <c r="H1573" s="2"/>
      <c r="I1573" s="5"/>
    </row>
    <row r="1574" spans="1:9" ht="17.399999999999999" x14ac:dyDescent="0.25">
      <c r="A1574" s="16"/>
      <c r="B1574" s="17"/>
      <c r="C1574" s="2"/>
      <c r="D1574" s="2"/>
      <c r="E1574" s="2"/>
      <c r="F1574" s="2"/>
      <c r="G1574" s="2"/>
      <c r="H1574" s="2"/>
      <c r="I1574" s="5"/>
    </row>
    <row r="1575" spans="1:9" ht="17.399999999999999" x14ac:dyDescent="0.25">
      <c r="A1575" s="16"/>
      <c r="B1575" s="17"/>
      <c r="C1575" s="2"/>
      <c r="D1575" s="2"/>
      <c r="E1575" s="2"/>
      <c r="F1575" s="2"/>
      <c r="G1575" s="2"/>
      <c r="H1575" s="2"/>
      <c r="I1575" s="5"/>
    </row>
    <row r="1576" spans="1:9" ht="17.399999999999999" x14ac:dyDescent="0.25">
      <c r="A1576" s="16"/>
      <c r="B1576" s="17"/>
      <c r="C1576" s="2"/>
      <c r="D1576" s="2"/>
      <c r="E1576" s="2"/>
      <c r="F1576" s="2"/>
      <c r="G1576" s="2"/>
      <c r="H1576" s="2"/>
      <c r="I1576" s="5"/>
    </row>
    <row r="1577" spans="1:9" ht="17.399999999999999" x14ac:dyDescent="0.25">
      <c r="A1577" s="16"/>
      <c r="B1577" s="17"/>
      <c r="C1577" s="2"/>
      <c r="D1577" s="2"/>
      <c r="E1577" s="2"/>
      <c r="F1577" s="2"/>
      <c r="G1577" s="2"/>
      <c r="H1577" s="2"/>
      <c r="I1577" s="5"/>
    </row>
    <row r="1578" spans="1:9" ht="17.399999999999999" x14ac:dyDescent="0.25">
      <c r="A1578" s="16"/>
      <c r="B1578" s="17"/>
      <c r="C1578" s="2"/>
      <c r="D1578" s="2"/>
      <c r="E1578" s="2"/>
      <c r="F1578" s="2"/>
      <c r="G1578" s="2"/>
      <c r="H1578" s="2"/>
      <c r="I1578" s="5"/>
    </row>
    <row r="1579" spans="1:9" ht="17.399999999999999" x14ac:dyDescent="0.25">
      <c r="A1579" s="16"/>
      <c r="B1579" s="17"/>
      <c r="C1579" s="2"/>
      <c r="D1579" s="2"/>
      <c r="E1579" s="2"/>
      <c r="F1579" s="2"/>
      <c r="G1579" s="2"/>
      <c r="H1579" s="2"/>
      <c r="I1579" s="5"/>
    </row>
    <row r="1580" spans="1:9" ht="17.399999999999999" x14ac:dyDescent="0.25">
      <c r="A1580" s="16"/>
      <c r="B1580" s="17"/>
      <c r="C1580" s="2"/>
      <c r="D1580" s="2"/>
      <c r="E1580" s="2"/>
      <c r="F1580" s="2"/>
      <c r="G1580" s="2"/>
      <c r="H1580" s="2"/>
      <c r="I1580" s="5"/>
    </row>
    <row r="1581" spans="1:9" ht="17.399999999999999" x14ac:dyDescent="0.25">
      <c r="A1581" s="16"/>
      <c r="B1581" s="17"/>
      <c r="C1581" s="2"/>
      <c r="D1581" s="2"/>
      <c r="E1581" s="2"/>
      <c r="F1581" s="2"/>
      <c r="G1581" s="2"/>
      <c r="H1581" s="2"/>
      <c r="I1581" s="5"/>
    </row>
    <row r="1582" spans="1:9" ht="17.399999999999999" x14ac:dyDescent="0.25">
      <c r="A1582" s="16"/>
      <c r="B1582" s="17"/>
      <c r="C1582" s="2"/>
      <c r="D1582" s="2"/>
      <c r="E1582" s="2"/>
      <c r="F1582" s="2"/>
      <c r="G1582" s="2"/>
      <c r="H1582" s="2"/>
      <c r="I1582" s="5"/>
    </row>
    <row r="1583" spans="1:9" ht="17.399999999999999" x14ac:dyDescent="0.25">
      <c r="A1583" s="16"/>
      <c r="B1583" s="17"/>
      <c r="C1583" s="2"/>
      <c r="D1583" s="2"/>
      <c r="E1583" s="2"/>
      <c r="F1583" s="2"/>
      <c r="G1583" s="2"/>
      <c r="H1583" s="2"/>
      <c r="I1583" s="5"/>
    </row>
    <row r="1584" spans="1:9" ht="17.399999999999999" x14ac:dyDescent="0.25">
      <c r="A1584" s="16"/>
      <c r="B1584" s="17"/>
      <c r="C1584" s="2"/>
      <c r="D1584" s="2"/>
      <c r="E1584" s="2"/>
      <c r="F1584" s="2"/>
      <c r="G1584" s="2"/>
      <c r="H1584" s="2"/>
      <c r="I1584" s="5"/>
    </row>
    <row r="1585" spans="1:9" ht="17.399999999999999" x14ac:dyDescent="0.25">
      <c r="A1585" s="16"/>
      <c r="B1585" s="17"/>
      <c r="C1585" s="2"/>
      <c r="D1585" s="2"/>
      <c r="E1585" s="2"/>
      <c r="F1585" s="2"/>
      <c r="G1585" s="2"/>
      <c r="H1585" s="2"/>
      <c r="I1585" s="5"/>
    </row>
    <row r="1586" spans="1:9" ht="17.399999999999999" x14ac:dyDescent="0.25">
      <c r="A1586" s="16"/>
      <c r="B1586" s="17"/>
      <c r="C1586" s="2"/>
      <c r="D1586" s="2"/>
      <c r="E1586" s="2"/>
      <c r="F1586" s="2"/>
      <c r="G1586" s="2"/>
      <c r="H1586" s="2"/>
      <c r="I1586" s="5"/>
    </row>
    <row r="1587" spans="1:9" ht="17.399999999999999" x14ac:dyDescent="0.25">
      <c r="A1587" s="16"/>
      <c r="B1587" s="17"/>
      <c r="C1587" s="2"/>
      <c r="D1587" s="2"/>
      <c r="E1587" s="2"/>
      <c r="F1587" s="2"/>
      <c r="G1587" s="2"/>
      <c r="H1587" s="2"/>
      <c r="I1587" s="5"/>
    </row>
    <row r="1588" spans="1:9" ht="17.399999999999999" x14ac:dyDescent="0.25">
      <c r="A1588" s="16"/>
      <c r="B1588" s="17"/>
      <c r="C1588" s="2"/>
      <c r="D1588" s="2"/>
      <c r="E1588" s="2"/>
      <c r="F1588" s="2"/>
      <c r="G1588" s="2"/>
      <c r="H1588" s="2"/>
      <c r="I1588" s="5"/>
    </row>
    <row r="1589" spans="1:9" ht="17.399999999999999" x14ac:dyDescent="0.25">
      <c r="A1589" s="16"/>
      <c r="B1589" s="17"/>
      <c r="C1589" s="2"/>
      <c r="D1589" s="2"/>
      <c r="E1589" s="2"/>
      <c r="F1589" s="2"/>
      <c r="G1589" s="2"/>
      <c r="H1589" s="2"/>
      <c r="I1589" s="5"/>
    </row>
    <row r="1590" spans="1:9" ht="17.399999999999999" x14ac:dyDescent="0.25">
      <c r="A1590" s="16"/>
      <c r="B1590" s="17"/>
      <c r="C1590" s="2"/>
      <c r="D1590" s="2"/>
      <c r="E1590" s="2"/>
      <c r="F1590" s="2"/>
      <c r="G1590" s="2"/>
      <c r="H1590" s="2"/>
      <c r="I1590" s="5"/>
    </row>
    <row r="1591" spans="1:9" ht="17.399999999999999" x14ac:dyDescent="0.25">
      <c r="A1591" s="16"/>
      <c r="B1591" s="17"/>
      <c r="C1591" s="2"/>
      <c r="D1591" s="2"/>
      <c r="E1591" s="2"/>
      <c r="F1591" s="2"/>
      <c r="G1591" s="2"/>
      <c r="H1591" s="2"/>
      <c r="I1591" s="5"/>
    </row>
    <row r="1592" spans="1:9" ht="17.399999999999999" x14ac:dyDescent="0.25">
      <c r="A1592" s="16"/>
      <c r="B1592" s="17"/>
      <c r="C1592" s="2"/>
      <c r="D1592" s="2"/>
      <c r="E1592" s="2"/>
      <c r="F1592" s="2"/>
      <c r="G1592" s="2"/>
      <c r="H1592" s="2"/>
      <c r="I1592" s="5"/>
    </row>
    <row r="1593" spans="1:9" ht="17.399999999999999" x14ac:dyDescent="0.25">
      <c r="A1593" s="16"/>
      <c r="B1593" s="17"/>
      <c r="C1593" s="2"/>
      <c r="D1593" s="2"/>
      <c r="E1593" s="2"/>
      <c r="F1593" s="2"/>
      <c r="G1593" s="2"/>
      <c r="H1593" s="2"/>
      <c r="I1593" s="5"/>
    </row>
    <row r="1594" spans="1:9" ht="17.399999999999999" x14ac:dyDescent="0.25">
      <c r="A1594" s="16"/>
      <c r="B1594" s="17"/>
      <c r="C1594" s="2"/>
      <c r="D1594" s="2"/>
      <c r="E1594" s="2"/>
      <c r="F1594" s="2"/>
      <c r="G1594" s="2"/>
      <c r="H1594" s="2"/>
      <c r="I1594" s="5"/>
    </row>
    <row r="1595" spans="1:9" ht="17.399999999999999" x14ac:dyDescent="0.25">
      <c r="A1595" s="16"/>
      <c r="B1595" s="17"/>
      <c r="C1595" s="2"/>
      <c r="D1595" s="2"/>
      <c r="E1595" s="2"/>
      <c r="F1595" s="2"/>
      <c r="G1595" s="2"/>
      <c r="H1595" s="2"/>
      <c r="I1595" s="5"/>
    </row>
    <row r="1596" spans="1:9" ht="17.399999999999999" x14ac:dyDescent="0.25">
      <c r="A1596" s="16"/>
      <c r="B1596" s="17"/>
      <c r="C1596" s="2"/>
      <c r="D1596" s="2"/>
      <c r="E1596" s="2"/>
      <c r="F1596" s="2"/>
      <c r="G1596" s="2"/>
      <c r="H1596" s="2"/>
      <c r="I1596" s="5"/>
    </row>
    <row r="1597" spans="1:9" ht="17.399999999999999" x14ac:dyDescent="0.25">
      <c r="A1597" s="16"/>
      <c r="B1597" s="17"/>
      <c r="C1597" s="2"/>
      <c r="D1597" s="2"/>
      <c r="E1597" s="2"/>
      <c r="F1597" s="2"/>
      <c r="G1597" s="2"/>
      <c r="H1597" s="2"/>
      <c r="I1597" s="5"/>
    </row>
    <row r="1598" spans="1:9" ht="17.399999999999999" x14ac:dyDescent="0.25">
      <c r="A1598" s="16"/>
      <c r="B1598" s="17"/>
      <c r="C1598" s="2"/>
      <c r="D1598" s="2"/>
      <c r="E1598" s="2"/>
      <c r="F1598" s="2"/>
      <c r="G1598" s="2"/>
      <c r="H1598" s="2"/>
      <c r="I1598" s="5"/>
    </row>
    <row r="1599" spans="1:9" ht="17.399999999999999" x14ac:dyDescent="0.25">
      <c r="A1599" s="16"/>
      <c r="B1599" s="17"/>
      <c r="C1599" s="2"/>
      <c r="D1599" s="2"/>
      <c r="E1599" s="2"/>
      <c r="F1599" s="2"/>
      <c r="G1599" s="2"/>
      <c r="H1599" s="2"/>
      <c r="I1599" s="5"/>
    </row>
    <row r="1600" spans="1:9" ht="17.399999999999999" x14ac:dyDescent="0.25">
      <c r="A1600" s="16"/>
      <c r="B1600" s="17"/>
      <c r="C1600" s="2"/>
      <c r="D1600" s="2"/>
      <c r="E1600" s="2"/>
      <c r="F1600" s="2"/>
      <c r="G1600" s="2"/>
      <c r="H1600" s="2"/>
      <c r="I1600" s="5"/>
    </row>
    <row r="1601" spans="1:9" ht="17.399999999999999" x14ac:dyDescent="0.25">
      <c r="A1601" s="16"/>
      <c r="B1601" s="17"/>
      <c r="C1601" s="2"/>
      <c r="D1601" s="2"/>
      <c r="E1601" s="2"/>
      <c r="F1601" s="2"/>
      <c r="G1601" s="2"/>
      <c r="H1601" s="2"/>
      <c r="I1601" s="5"/>
    </row>
    <row r="1602" spans="1:9" ht="17.399999999999999" x14ac:dyDescent="0.25">
      <c r="A1602" s="16"/>
      <c r="B1602" s="17"/>
      <c r="C1602" s="2"/>
      <c r="D1602" s="2"/>
      <c r="E1602" s="2"/>
      <c r="F1602" s="2"/>
      <c r="G1602" s="2"/>
      <c r="H1602" s="2"/>
      <c r="I1602" s="5"/>
    </row>
    <row r="1603" spans="1:9" ht="17.399999999999999" x14ac:dyDescent="0.25">
      <c r="A1603" s="16"/>
      <c r="B1603" s="17"/>
      <c r="C1603" s="2"/>
      <c r="D1603" s="2"/>
      <c r="E1603" s="2"/>
      <c r="F1603" s="2"/>
      <c r="G1603" s="2"/>
      <c r="H1603" s="2"/>
      <c r="I1603" s="5"/>
    </row>
    <row r="1604" spans="1:9" ht="17.399999999999999" x14ac:dyDescent="0.25">
      <c r="A1604" s="16"/>
      <c r="B1604" s="17"/>
      <c r="C1604" s="2"/>
      <c r="D1604" s="2"/>
      <c r="E1604" s="2"/>
      <c r="F1604" s="2"/>
      <c r="G1604" s="2"/>
      <c r="H1604" s="2"/>
      <c r="I1604" s="5"/>
    </row>
    <row r="1605" spans="1:9" ht="17.399999999999999" x14ac:dyDescent="0.25">
      <c r="A1605" s="16"/>
      <c r="B1605" s="17"/>
      <c r="C1605" s="2"/>
      <c r="D1605" s="2"/>
      <c r="E1605" s="2"/>
      <c r="F1605" s="2"/>
      <c r="G1605" s="2"/>
      <c r="H1605" s="2"/>
      <c r="I1605" s="5"/>
    </row>
    <row r="1606" spans="1:9" ht="17.399999999999999" x14ac:dyDescent="0.25">
      <c r="A1606" s="16"/>
      <c r="B1606" s="17"/>
      <c r="C1606" s="2"/>
      <c r="D1606" s="2"/>
      <c r="E1606" s="2"/>
      <c r="F1606" s="2"/>
      <c r="G1606" s="2"/>
      <c r="H1606" s="2"/>
      <c r="I1606" s="5"/>
    </row>
    <row r="1607" spans="1:9" ht="17.399999999999999" x14ac:dyDescent="0.25">
      <c r="A1607" s="16"/>
      <c r="B1607" s="17"/>
      <c r="C1607" s="2"/>
      <c r="D1607" s="2"/>
      <c r="E1607" s="2"/>
      <c r="F1607" s="2"/>
      <c r="G1607" s="2"/>
      <c r="H1607" s="2"/>
      <c r="I1607" s="5"/>
    </row>
    <row r="1608" spans="1:9" ht="17.399999999999999" x14ac:dyDescent="0.25">
      <c r="A1608" s="16"/>
      <c r="B1608" s="17"/>
      <c r="C1608" s="2"/>
      <c r="D1608" s="2"/>
      <c r="E1608" s="2"/>
      <c r="F1608" s="2"/>
      <c r="G1608" s="2"/>
      <c r="H1608" s="2"/>
      <c r="I1608" s="5"/>
    </row>
    <row r="1609" spans="1:9" ht="17.399999999999999" x14ac:dyDescent="0.25">
      <c r="A1609" s="16"/>
      <c r="B1609" s="17"/>
      <c r="C1609" s="2"/>
      <c r="D1609" s="2"/>
      <c r="E1609" s="2"/>
      <c r="F1609" s="2"/>
      <c r="G1609" s="2"/>
      <c r="H1609" s="2"/>
      <c r="I1609" s="5"/>
    </row>
    <row r="1610" spans="1:9" ht="17.399999999999999" x14ac:dyDescent="0.25">
      <c r="A1610" s="16"/>
      <c r="B1610" s="17"/>
      <c r="C1610" s="2"/>
      <c r="D1610" s="2"/>
      <c r="E1610" s="2"/>
      <c r="F1610" s="2"/>
      <c r="G1610" s="2"/>
      <c r="H1610" s="2"/>
      <c r="I1610" s="5"/>
    </row>
    <row r="1611" spans="1:9" ht="17.399999999999999" x14ac:dyDescent="0.25">
      <c r="A1611" s="16"/>
      <c r="B1611" s="17"/>
      <c r="C1611" s="2"/>
      <c r="D1611" s="2"/>
      <c r="E1611" s="2"/>
      <c r="F1611" s="2"/>
      <c r="G1611" s="2"/>
      <c r="H1611" s="2"/>
      <c r="I1611" s="5"/>
    </row>
    <row r="1612" spans="1:9" ht="17.399999999999999" x14ac:dyDescent="0.25">
      <c r="A1612" s="16"/>
      <c r="B1612" s="17"/>
      <c r="C1612" s="2"/>
      <c r="D1612" s="2"/>
      <c r="E1612" s="2"/>
      <c r="F1612" s="2"/>
      <c r="G1612" s="2"/>
      <c r="H1612" s="2"/>
      <c r="I1612" s="5"/>
    </row>
    <row r="1613" spans="1:9" ht="17.399999999999999" x14ac:dyDescent="0.25">
      <c r="A1613" s="16"/>
      <c r="B1613" s="17"/>
      <c r="C1613" s="2"/>
      <c r="D1613" s="2"/>
      <c r="E1613" s="2"/>
      <c r="F1613" s="2"/>
      <c r="G1613" s="2"/>
      <c r="H1613" s="2"/>
      <c r="I1613" s="5"/>
    </row>
    <row r="1614" spans="1:9" ht="17.399999999999999" x14ac:dyDescent="0.25">
      <c r="A1614" s="16"/>
      <c r="B1614" s="17"/>
      <c r="C1614" s="2"/>
      <c r="D1614" s="2"/>
      <c r="E1614" s="2"/>
      <c r="F1614" s="2"/>
      <c r="G1614" s="2"/>
      <c r="H1614" s="2"/>
      <c r="I1614" s="5"/>
    </row>
    <row r="1615" spans="1:9" ht="17.399999999999999" x14ac:dyDescent="0.25">
      <c r="A1615" s="16"/>
      <c r="B1615" s="17"/>
      <c r="C1615" s="2"/>
      <c r="D1615" s="2"/>
      <c r="E1615" s="2"/>
      <c r="F1615" s="2"/>
      <c r="G1615" s="2"/>
      <c r="H1615" s="2"/>
      <c r="I1615" s="5"/>
    </row>
    <row r="1616" spans="1:9" ht="17.399999999999999" x14ac:dyDescent="0.25">
      <c r="A1616" s="16"/>
      <c r="B1616" s="17"/>
      <c r="C1616" s="2"/>
      <c r="D1616" s="2"/>
      <c r="E1616" s="2"/>
      <c r="F1616" s="2"/>
      <c r="G1616" s="2"/>
      <c r="H1616" s="2"/>
      <c r="I1616" s="5"/>
    </row>
    <row r="1617" spans="1:9" ht="17.399999999999999" x14ac:dyDescent="0.25">
      <c r="A1617" s="16"/>
      <c r="B1617" s="17"/>
      <c r="C1617" s="2"/>
      <c r="D1617" s="2"/>
      <c r="E1617" s="2"/>
      <c r="F1617" s="2"/>
      <c r="G1617" s="2"/>
      <c r="H1617" s="2"/>
      <c r="I1617" s="5"/>
    </row>
    <row r="1618" spans="1:9" ht="17.399999999999999" x14ac:dyDescent="0.25">
      <c r="A1618" s="16"/>
      <c r="B1618" s="17"/>
      <c r="C1618" s="2"/>
      <c r="D1618" s="2"/>
      <c r="E1618" s="2"/>
      <c r="F1618" s="2"/>
      <c r="G1618" s="2"/>
      <c r="H1618" s="2"/>
      <c r="I1618" s="5"/>
    </row>
    <row r="1619" spans="1:9" ht="17.399999999999999" x14ac:dyDescent="0.25">
      <c r="A1619" s="16"/>
      <c r="B1619" s="17"/>
      <c r="C1619" s="2"/>
      <c r="D1619" s="2"/>
      <c r="E1619" s="2"/>
      <c r="F1619" s="2"/>
      <c r="G1619" s="2"/>
      <c r="H1619" s="2"/>
      <c r="I1619" s="5"/>
    </row>
    <row r="1620" spans="1:9" ht="17.399999999999999" x14ac:dyDescent="0.25">
      <c r="A1620" s="16"/>
      <c r="B1620" s="17"/>
      <c r="C1620" s="2"/>
      <c r="D1620" s="2"/>
      <c r="E1620" s="2"/>
      <c r="F1620" s="2"/>
      <c r="G1620" s="2"/>
      <c r="H1620" s="2"/>
      <c r="I1620" s="5"/>
    </row>
    <row r="1621" spans="1:9" ht="17.399999999999999" x14ac:dyDescent="0.25">
      <c r="A1621" s="16"/>
      <c r="B1621" s="17"/>
      <c r="C1621" s="2"/>
      <c r="D1621" s="2"/>
      <c r="E1621" s="2"/>
      <c r="F1621" s="2"/>
      <c r="G1621" s="2"/>
      <c r="H1621" s="2"/>
      <c r="I1621" s="5"/>
    </row>
    <row r="1622" spans="1:9" ht="17.399999999999999" x14ac:dyDescent="0.25">
      <c r="A1622" s="16"/>
      <c r="B1622" s="17"/>
      <c r="C1622" s="2"/>
      <c r="D1622" s="2"/>
      <c r="E1622" s="2"/>
      <c r="F1622" s="2"/>
      <c r="G1622" s="2"/>
      <c r="H1622" s="2"/>
      <c r="I1622" s="5"/>
    </row>
    <row r="1623" spans="1:9" ht="17.399999999999999" x14ac:dyDescent="0.25">
      <c r="A1623" s="16"/>
      <c r="B1623" s="17"/>
      <c r="C1623" s="2"/>
      <c r="D1623" s="2"/>
      <c r="E1623" s="2"/>
      <c r="F1623" s="2"/>
      <c r="G1623" s="2"/>
      <c r="H1623" s="2"/>
      <c r="I1623" s="5"/>
    </row>
    <row r="1624" spans="1:9" ht="17.399999999999999" x14ac:dyDescent="0.25">
      <c r="A1624" s="16"/>
      <c r="B1624" s="17"/>
      <c r="C1624" s="2"/>
      <c r="D1624" s="2"/>
      <c r="E1624" s="2"/>
      <c r="F1624" s="2"/>
      <c r="G1624" s="2"/>
      <c r="H1624" s="2"/>
      <c r="I1624" s="5"/>
    </row>
    <row r="1625" spans="1:9" ht="17.399999999999999" x14ac:dyDescent="0.25">
      <c r="A1625" s="16"/>
      <c r="B1625" s="17"/>
      <c r="C1625" s="2"/>
      <c r="D1625" s="2"/>
      <c r="E1625" s="2"/>
      <c r="F1625" s="2"/>
      <c r="G1625" s="2"/>
      <c r="H1625" s="2"/>
      <c r="I1625" s="5"/>
    </row>
    <row r="1626" spans="1:9" ht="17.399999999999999" x14ac:dyDescent="0.25">
      <c r="A1626" s="16"/>
      <c r="B1626" s="17"/>
      <c r="C1626" s="2"/>
      <c r="D1626" s="2"/>
      <c r="E1626" s="2"/>
      <c r="F1626" s="2"/>
      <c r="G1626" s="2"/>
      <c r="H1626" s="2"/>
      <c r="I1626" s="5"/>
    </row>
    <row r="1627" spans="1:9" ht="17.399999999999999" x14ac:dyDescent="0.25">
      <c r="A1627" s="16"/>
      <c r="B1627" s="17"/>
      <c r="C1627" s="2"/>
      <c r="D1627" s="2"/>
      <c r="E1627" s="2"/>
      <c r="F1627" s="2"/>
      <c r="G1627" s="2"/>
      <c r="H1627" s="2"/>
      <c r="I1627" s="5"/>
    </row>
    <row r="1628" spans="1:9" ht="17.399999999999999" x14ac:dyDescent="0.25">
      <c r="A1628" s="16"/>
      <c r="B1628" s="17"/>
      <c r="C1628" s="2"/>
      <c r="D1628" s="2"/>
      <c r="E1628" s="2"/>
      <c r="F1628" s="2"/>
      <c r="G1628" s="2"/>
      <c r="H1628" s="2"/>
      <c r="I1628" s="5"/>
    </row>
    <row r="1629" spans="1:9" ht="17.399999999999999" x14ac:dyDescent="0.25">
      <c r="A1629" s="16"/>
      <c r="B1629" s="17"/>
      <c r="C1629" s="2"/>
      <c r="D1629" s="2"/>
      <c r="E1629" s="2"/>
      <c r="F1629" s="2"/>
      <c r="G1629" s="2"/>
      <c r="H1629" s="2"/>
      <c r="I1629" s="5"/>
    </row>
    <row r="1630" spans="1:9" ht="17.399999999999999" x14ac:dyDescent="0.25">
      <c r="A1630" s="16"/>
      <c r="B1630" s="17"/>
      <c r="C1630" s="2"/>
      <c r="D1630" s="2"/>
      <c r="E1630" s="2"/>
      <c r="F1630" s="2"/>
      <c r="G1630" s="2"/>
      <c r="H1630" s="2"/>
      <c r="I1630" s="5"/>
    </row>
    <row r="1631" spans="1:9" ht="17.399999999999999" x14ac:dyDescent="0.25">
      <c r="A1631" s="16"/>
      <c r="B1631" s="17"/>
      <c r="C1631" s="2"/>
      <c r="D1631" s="2"/>
      <c r="E1631" s="2"/>
      <c r="F1631" s="2"/>
      <c r="G1631" s="2"/>
      <c r="H1631" s="2"/>
      <c r="I1631" s="5"/>
    </row>
    <row r="1632" spans="1:9" ht="17.399999999999999" x14ac:dyDescent="0.25">
      <c r="A1632" s="16"/>
      <c r="B1632" s="17"/>
      <c r="C1632" s="2"/>
      <c r="D1632" s="2"/>
      <c r="E1632" s="2"/>
      <c r="F1632" s="2"/>
      <c r="G1632" s="2"/>
      <c r="H1632" s="2"/>
      <c r="I1632" s="5"/>
    </row>
    <row r="1633" spans="1:9" ht="17.399999999999999" x14ac:dyDescent="0.25">
      <c r="A1633" s="16"/>
      <c r="B1633" s="17"/>
      <c r="C1633" s="2"/>
      <c r="D1633" s="2"/>
      <c r="E1633" s="2"/>
      <c r="F1633" s="2"/>
      <c r="G1633" s="2"/>
      <c r="H1633" s="2"/>
      <c r="I1633" s="5"/>
    </row>
    <row r="1634" spans="1:9" ht="17.399999999999999" x14ac:dyDescent="0.25">
      <c r="A1634" s="16"/>
      <c r="B1634" s="17"/>
      <c r="C1634" s="2"/>
      <c r="D1634" s="2"/>
      <c r="E1634" s="2"/>
      <c r="F1634" s="2"/>
      <c r="G1634" s="2"/>
      <c r="H1634" s="2"/>
      <c r="I1634" s="5"/>
    </row>
    <row r="1635" spans="1:9" ht="17.399999999999999" x14ac:dyDescent="0.25">
      <c r="A1635" s="16"/>
      <c r="B1635" s="17"/>
      <c r="C1635" s="2"/>
      <c r="D1635" s="2"/>
      <c r="E1635" s="2"/>
      <c r="F1635" s="2"/>
      <c r="G1635" s="2"/>
      <c r="H1635" s="2"/>
      <c r="I1635" s="5"/>
    </row>
    <row r="1636" spans="1:9" ht="17.399999999999999" x14ac:dyDescent="0.25">
      <c r="A1636" s="16"/>
      <c r="B1636" s="17"/>
      <c r="C1636" s="2"/>
      <c r="D1636" s="2"/>
      <c r="E1636" s="2"/>
      <c r="F1636" s="2"/>
      <c r="G1636" s="2"/>
      <c r="H1636" s="2"/>
      <c r="I1636" s="5"/>
    </row>
    <row r="1637" spans="1:9" ht="17.399999999999999" x14ac:dyDescent="0.25">
      <c r="A1637" s="16"/>
      <c r="B1637" s="17"/>
      <c r="C1637" s="2"/>
      <c r="D1637" s="2"/>
      <c r="E1637" s="2"/>
      <c r="F1637" s="2"/>
      <c r="G1637" s="2"/>
      <c r="H1637" s="2"/>
      <c r="I1637" s="5"/>
    </row>
    <row r="1638" spans="1:9" ht="17.399999999999999" x14ac:dyDescent="0.25">
      <c r="A1638" s="16"/>
      <c r="B1638" s="17"/>
      <c r="C1638" s="2"/>
      <c r="D1638" s="2"/>
      <c r="E1638" s="2"/>
      <c r="F1638" s="2"/>
      <c r="G1638" s="2"/>
      <c r="H1638" s="2"/>
      <c r="I1638" s="5"/>
    </row>
    <row r="1639" spans="1:9" ht="17.399999999999999" x14ac:dyDescent="0.25">
      <c r="A1639" s="16"/>
      <c r="B1639" s="17"/>
      <c r="C1639" s="2"/>
      <c r="D1639" s="2"/>
      <c r="E1639" s="2"/>
      <c r="F1639" s="2"/>
      <c r="G1639" s="2"/>
      <c r="H1639" s="2"/>
      <c r="I1639" s="5"/>
    </row>
    <row r="1640" spans="1:9" ht="17.399999999999999" x14ac:dyDescent="0.25">
      <c r="A1640" s="16"/>
      <c r="B1640" s="17"/>
      <c r="C1640" s="2"/>
      <c r="D1640" s="2"/>
      <c r="E1640" s="2"/>
      <c r="F1640" s="2"/>
      <c r="G1640" s="2"/>
      <c r="H1640" s="2"/>
      <c r="I1640" s="5"/>
    </row>
    <row r="1641" spans="1:9" ht="17.399999999999999" x14ac:dyDescent="0.25">
      <c r="A1641" s="16"/>
      <c r="B1641" s="17"/>
      <c r="C1641" s="2"/>
      <c r="D1641" s="2"/>
      <c r="E1641" s="2"/>
      <c r="F1641" s="2"/>
      <c r="G1641" s="2"/>
      <c r="H1641" s="2"/>
      <c r="I1641" s="5"/>
    </row>
    <row r="1642" spans="1:9" ht="17.399999999999999" x14ac:dyDescent="0.25">
      <c r="A1642" s="16"/>
      <c r="B1642" s="17"/>
      <c r="C1642" s="2"/>
      <c r="D1642" s="2"/>
      <c r="E1642" s="2"/>
      <c r="F1642" s="2"/>
      <c r="G1642" s="2"/>
      <c r="H1642" s="2"/>
      <c r="I1642" s="5"/>
    </row>
    <row r="1643" spans="1:9" ht="17.399999999999999" x14ac:dyDescent="0.25">
      <c r="A1643" s="16"/>
      <c r="B1643" s="17"/>
      <c r="C1643" s="2"/>
      <c r="D1643" s="2"/>
      <c r="E1643" s="2"/>
      <c r="F1643" s="2"/>
      <c r="G1643" s="2"/>
      <c r="H1643" s="2"/>
      <c r="I1643" s="5"/>
    </row>
    <row r="1644" spans="1:9" ht="17.399999999999999" x14ac:dyDescent="0.25">
      <c r="A1644" s="16"/>
      <c r="B1644" s="17"/>
      <c r="C1644" s="2"/>
      <c r="D1644" s="2"/>
      <c r="E1644" s="2"/>
      <c r="F1644" s="2"/>
      <c r="G1644" s="2"/>
      <c r="H1644" s="2"/>
      <c r="I1644" s="5"/>
    </row>
    <row r="1645" spans="1:9" ht="17.399999999999999" x14ac:dyDescent="0.25">
      <c r="A1645" s="16"/>
      <c r="B1645" s="17"/>
      <c r="C1645" s="2"/>
      <c r="D1645" s="2"/>
      <c r="E1645" s="2"/>
      <c r="F1645" s="2"/>
      <c r="G1645" s="2"/>
      <c r="H1645" s="2"/>
      <c r="I1645" s="5"/>
    </row>
    <row r="1646" spans="1:9" ht="17.399999999999999" x14ac:dyDescent="0.25">
      <c r="A1646" s="16"/>
      <c r="B1646" s="17"/>
      <c r="C1646" s="2"/>
      <c r="D1646" s="2"/>
      <c r="E1646" s="2"/>
      <c r="F1646" s="2"/>
      <c r="G1646" s="2"/>
      <c r="H1646" s="2"/>
      <c r="I1646" s="5"/>
    </row>
    <row r="1647" spans="1:9" ht="17.399999999999999" x14ac:dyDescent="0.25">
      <c r="A1647" s="16"/>
      <c r="B1647" s="17"/>
      <c r="C1647" s="2"/>
      <c r="D1647" s="2"/>
      <c r="E1647" s="2"/>
      <c r="F1647" s="2"/>
      <c r="G1647" s="2"/>
      <c r="H1647" s="2"/>
      <c r="I1647" s="5"/>
    </row>
    <row r="1648" spans="1:9" ht="17.399999999999999" x14ac:dyDescent="0.25">
      <c r="A1648" s="16"/>
      <c r="B1648" s="17"/>
      <c r="C1648" s="2"/>
      <c r="D1648" s="2"/>
      <c r="E1648" s="2"/>
      <c r="F1648" s="2"/>
      <c r="G1648" s="2"/>
      <c r="H1648" s="2"/>
      <c r="I1648" s="5"/>
    </row>
    <row r="1649" spans="1:9" ht="17.399999999999999" x14ac:dyDescent="0.25">
      <c r="A1649" s="16"/>
      <c r="B1649" s="17"/>
      <c r="C1649" s="2"/>
      <c r="D1649" s="2"/>
      <c r="E1649" s="2"/>
      <c r="F1649" s="2"/>
      <c r="G1649" s="2"/>
      <c r="H1649" s="2"/>
      <c r="I1649" s="5"/>
    </row>
    <row r="1650" spans="1:9" ht="17.399999999999999" x14ac:dyDescent="0.25">
      <c r="A1650" s="16"/>
      <c r="B1650" s="17"/>
      <c r="C1650" s="2"/>
      <c r="D1650" s="2"/>
      <c r="E1650" s="2"/>
      <c r="F1650" s="2"/>
      <c r="G1650" s="2"/>
      <c r="H1650" s="2"/>
      <c r="I1650" s="5"/>
    </row>
    <row r="1651" spans="1:9" ht="17.399999999999999" x14ac:dyDescent="0.25">
      <c r="A1651" s="16"/>
      <c r="B1651" s="17"/>
      <c r="C1651" s="2"/>
      <c r="D1651" s="2"/>
      <c r="E1651" s="2"/>
      <c r="F1651" s="2"/>
      <c r="G1651" s="2"/>
      <c r="H1651" s="2"/>
      <c r="I1651" s="5"/>
    </row>
    <row r="1652" spans="1:9" ht="17.399999999999999" x14ac:dyDescent="0.25">
      <c r="A1652" s="16"/>
      <c r="B1652" s="17"/>
      <c r="C1652" s="2"/>
      <c r="D1652" s="2"/>
      <c r="E1652" s="2"/>
      <c r="F1652" s="2"/>
      <c r="G1652" s="2"/>
      <c r="H1652" s="2"/>
      <c r="I1652" s="5"/>
    </row>
    <row r="1653" spans="1:9" ht="17.399999999999999" x14ac:dyDescent="0.25">
      <c r="A1653" s="16"/>
      <c r="B1653" s="17"/>
      <c r="C1653" s="2"/>
      <c r="D1653" s="2"/>
      <c r="E1653" s="2"/>
      <c r="F1653" s="2"/>
      <c r="G1653" s="2"/>
      <c r="H1653" s="2"/>
      <c r="I1653" s="5"/>
    </row>
    <row r="1654" spans="1:9" ht="17.399999999999999" x14ac:dyDescent="0.25">
      <c r="A1654" s="16"/>
      <c r="B1654" s="17"/>
      <c r="C1654" s="2"/>
      <c r="D1654" s="2"/>
      <c r="E1654" s="2"/>
      <c r="F1654" s="2"/>
      <c r="G1654" s="2"/>
      <c r="H1654" s="2"/>
      <c r="I1654" s="5"/>
    </row>
    <row r="1655" spans="1:9" ht="17.399999999999999" x14ac:dyDescent="0.25">
      <c r="A1655" s="16"/>
      <c r="B1655" s="17"/>
      <c r="C1655" s="2"/>
      <c r="D1655" s="2"/>
      <c r="E1655" s="2"/>
      <c r="F1655" s="2"/>
      <c r="G1655" s="2"/>
      <c r="H1655" s="2"/>
      <c r="I1655" s="5"/>
    </row>
    <row r="1656" spans="1:9" ht="17.399999999999999" x14ac:dyDescent="0.25">
      <c r="A1656" s="16"/>
      <c r="B1656" s="17"/>
      <c r="C1656" s="2"/>
      <c r="D1656" s="2"/>
      <c r="E1656" s="2"/>
      <c r="F1656" s="2"/>
      <c r="G1656" s="2"/>
      <c r="H1656" s="2"/>
      <c r="I1656" s="5"/>
    </row>
    <row r="1657" spans="1:9" ht="17.399999999999999" x14ac:dyDescent="0.25">
      <c r="A1657" s="16"/>
      <c r="B1657" s="17"/>
      <c r="C1657" s="2"/>
      <c r="D1657" s="2"/>
      <c r="E1657" s="2"/>
      <c r="F1657" s="2"/>
      <c r="G1657" s="2"/>
      <c r="H1657" s="2"/>
      <c r="I1657" s="5"/>
    </row>
    <row r="1658" spans="1:9" ht="17.399999999999999" x14ac:dyDescent="0.25">
      <c r="A1658" s="16"/>
      <c r="B1658" s="17"/>
      <c r="C1658" s="2"/>
      <c r="D1658" s="2"/>
      <c r="E1658" s="2"/>
      <c r="F1658" s="2"/>
      <c r="G1658" s="2"/>
      <c r="H1658" s="2"/>
      <c r="I1658" s="5"/>
    </row>
    <row r="1659" spans="1:9" ht="17.399999999999999" x14ac:dyDescent="0.25">
      <c r="A1659" s="16"/>
      <c r="B1659" s="17"/>
      <c r="C1659" s="2"/>
      <c r="D1659" s="2"/>
      <c r="E1659" s="2"/>
      <c r="F1659" s="2"/>
      <c r="G1659" s="2"/>
      <c r="H1659" s="2"/>
      <c r="I1659" s="5"/>
    </row>
    <row r="1660" spans="1:9" ht="17.399999999999999" x14ac:dyDescent="0.25">
      <c r="A1660" s="16"/>
      <c r="B1660" s="17"/>
      <c r="C1660" s="2"/>
      <c r="D1660" s="2"/>
      <c r="E1660" s="2"/>
      <c r="F1660" s="2"/>
      <c r="G1660" s="2"/>
      <c r="H1660" s="2"/>
      <c r="I1660" s="5"/>
    </row>
    <row r="1661" spans="1:9" ht="17.399999999999999" x14ac:dyDescent="0.25">
      <c r="A1661" s="16"/>
      <c r="B1661" s="17"/>
      <c r="C1661" s="2"/>
      <c r="D1661" s="2"/>
      <c r="E1661" s="2"/>
      <c r="F1661" s="2"/>
      <c r="G1661" s="2"/>
      <c r="H1661" s="2"/>
      <c r="I1661" s="5"/>
    </row>
    <row r="1662" spans="1:9" ht="17.399999999999999" x14ac:dyDescent="0.25">
      <c r="A1662" s="16"/>
      <c r="B1662" s="17"/>
      <c r="C1662" s="2"/>
      <c r="D1662" s="2"/>
      <c r="E1662" s="2"/>
      <c r="F1662" s="2"/>
      <c r="G1662" s="2"/>
      <c r="H1662" s="2"/>
      <c r="I1662" s="5"/>
    </row>
    <row r="1663" spans="1:9" ht="17.399999999999999" x14ac:dyDescent="0.25">
      <c r="A1663" s="16"/>
      <c r="B1663" s="17"/>
      <c r="C1663" s="2"/>
      <c r="D1663" s="2"/>
      <c r="E1663" s="2"/>
      <c r="F1663" s="2"/>
      <c r="G1663" s="2"/>
      <c r="H1663" s="2"/>
      <c r="I1663" s="5"/>
    </row>
    <row r="1664" spans="1:9" ht="17.399999999999999" x14ac:dyDescent="0.25">
      <c r="A1664" s="16"/>
      <c r="B1664" s="17"/>
      <c r="C1664" s="2"/>
      <c r="D1664" s="2"/>
      <c r="E1664" s="2"/>
      <c r="F1664" s="2"/>
      <c r="G1664" s="2"/>
      <c r="H1664" s="2"/>
      <c r="I1664" s="5"/>
    </row>
    <row r="1665" spans="1:9" ht="17.399999999999999" x14ac:dyDescent="0.25">
      <c r="A1665" s="16"/>
      <c r="B1665" s="17"/>
      <c r="C1665" s="2"/>
      <c r="D1665" s="2"/>
      <c r="E1665" s="2"/>
      <c r="F1665" s="2"/>
      <c r="G1665" s="2"/>
      <c r="H1665" s="2"/>
      <c r="I1665" s="5"/>
    </row>
    <row r="1666" spans="1:9" ht="17.399999999999999" x14ac:dyDescent="0.25">
      <c r="A1666" s="16"/>
      <c r="B1666" s="17"/>
      <c r="C1666" s="2"/>
      <c r="D1666" s="2"/>
      <c r="E1666" s="2"/>
      <c r="F1666" s="2"/>
      <c r="G1666" s="2"/>
      <c r="H1666" s="2"/>
      <c r="I1666" s="5"/>
    </row>
    <row r="1667" spans="1:9" ht="17.399999999999999" x14ac:dyDescent="0.25">
      <c r="A1667" s="16"/>
      <c r="B1667" s="17"/>
      <c r="C1667" s="2"/>
      <c r="D1667" s="2"/>
      <c r="E1667" s="2"/>
      <c r="F1667" s="2"/>
      <c r="G1667" s="2"/>
      <c r="H1667" s="2"/>
      <c r="I1667" s="5"/>
    </row>
    <row r="1668" spans="1:9" ht="17.399999999999999" x14ac:dyDescent="0.25">
      <c r="A1668" s="16"/>
      <c r="B1668" s="17"/>
      <c r="C1668" s="2"/>
      <c r="D1668" s="2"/>
      <c r="E1668" s="2"/>
      <c r="F1668" s="2"/>
      <c r="G1668" s="2"/>
      <c r="H1668" s="2"/>
      <c r="I1668" s="5"/>
    </row>
    <row r="1669" spans="1:9" ht="17.399999999999999" x14ac:dyDescent="0.25">
      <c r="A1669" s="16"/>
      <c r="B1669" s="17"/>
      <c r="C1669" s="2"/>
      <c r="D1669" s="2"/>
      <c r="E1669" s="2"/>
      <c r="F1669" s="2"/>
      <c r="G1669" s="2"/>
      <c r="H1669" s="2"/>
      <c r="I1669" s="5"/>
    </row>
    <row r="1670" spans="1:9" ht="17.399999999999999" x14ac:dyDescent="0.25">
      <c r="A1670" s="16"/>
      <c r="B1670" s="17"/>
      <c r="C1670" s="2"/>
      <c r="D1670" s="2"/>
      <c r="E1670" s="2"/>
      <c r="F1670" s="2"/>
      <c r="G1670" s="2"/>
      <c r="H1670" s="2"/>
      <c r="I1670" s="5"/>
    </row>
    <row r="1671" spans="1:9" ht="17.399999999999999" x14ac:dyDescent="0.25">
      <c r="A1671" s="16"/>
      <c r="B1671" s="17"/>
      <c r="C1671" s="2"/>
      <c r="D1671" s="2"/>
      <c r="E1671" s="2"/>
      <c r="F1671" s="2"/>
      <c r="G1671" s="2"/>
      <c r="H1671" s="2"/>
      <c r="I1671" s="5"/>
    </row>
    <row r="1672" spans="1:9" ht="17.399999999999999" x14ac:dyDescent="0.25">
      <c r="A1672" s="16"/>
      <c r="B1672" s="17"/>
      <c r="C1672" s="2"/>
      <c r="D1672" s="2"/>
      <c r="E1672" s="2"/>
      <c r="F1672" s="2"/>
      <c r="G1672" s="2"/>
      <c r="H1672" s="2"/>
      <c r="I1672" s="5"/>
    </row>
    <row r="1673" spans="1:9" ht="17.399999999999999" x14ac:dyDescent="0.25">
      <c r="A1673" s="16"/>
      <c r="B1673" s="17"/>
      <c r="C1673" s="2"/>
      <c r="D1673" s="2"/>
      <c r="E1673" s="2"/>
      <c r="F1673" s="2"/>
      <c r="G1673" s="2"/>
      <c r="H1673" s="2"/>
      <c r="I1673" s="5"/>
    </row>
    <row r="1674" spans="1:9" ht="17.399999999999999" x14ac:dyDescent="0.25">
      <c r="A1674" s="16"/>
      <c r="B1674" s="17"/>
      <c r="C1674" s="2"/>
      <c r="D1674" s="2"/>
      <c r="E1674" s="2"/>
      <c r="F1674" s="2"/>
      <c r="G1674" s="2"/>
      <c r="H1674" s="2"/>
      <c r="I1674" s="5"/>
    </row>
    <row r="1675" spans="1:9" ht="17.399999999999999" x14ac:dyDescent="0.25">
      <c r="A1675" s="16"/>
      <c r="B1675" s="17"/>
      <c r="C1675" s="2"/>
      <c r="D1675" s="2"/>
      <c r="E1675" s="2"/>
      <c r="F1675" s="2"/>
      <c r="G1675" s="2"/>
      <c r="H1675" s="2"/>
      <c r="I1675" s="5"/>
    </row>
    <row r="1676" spans="1:9" ht="17.399999999999999" x14ac:dyDescent="0.25">
      <c r="A1676" s="16"/>
      <c r="B1676" s="17"/>
      <c r="C1676" s="2"/>
      <c r="D1676" s="2"/>
      <c r="E1676" s="2"/>
      <c r="F1676" s="2"/>
      <c r="G1676" s="2"/>
      <c r="H1676" s="2"/>
      <c r="I1676" s="5"/>
    </row>
    <row r="1677" spans="1:9" ht="17.399999999999999" x14ac:dyDescent="0.25">
      <c r="A1677" s="16"/>
      <c r="B1677" s="17"/>
      <c r="C1677" s="2"/>
      <c r="D1677" s="2"/>
      <c r="E1677" s="2"/>
      <c r="F1677" s="2"/>
      <c r="G1677" s="2"/>
      <c r="H1677" s="2"/>
      <c r="I1677" s="5"/>
    </row>
    <row r="1678" spans="1:9" ht="17.399999999999999" x14ac:dyDescent="0.25">
      <c r="A1678" s="16"/>
      <c r="B1678" s="17"/>
      <c r="C1678" s="2"/>
      <c r="D1678" s="2"/>
      <c r="E1678" s="2"/>
      <c r="F1678" s="2"/>
      <c r="G1678" s="2"/>
      <c r="H1678" s="2"/>
      <c r="I1678" s="5"/>
    </row>
    <row r="1679" spans="1:9" ht="17.399999999999999" x14ac:dyDescent="0.25">
      <c r="A1679" s="16"/>
      <c r="B1679" s="17"/>
      <c r="C1679" s="2"/>
      <c r="D1679" s="2"/>
      <c r="E1679" s="2"/>
      <c r="F1679" s="2"/>
      <c r="G1679" s="2"/>
      <c r="H1679" s="2"/>
      <c r="I1679" s="5"/>
    </row>
    <row r="1680" spans="1:9" ht="17.399999999999999" x14ac:dyDescent="0.25">
      <c r="A1680" s="16"/>
      <c r="B1680" s="17"/>
      <c r="C1680" s="2"/>
      <c r="D1680" s="2"/>
      <c r="E1680" s="2"/>
      <c r="F1680" s="2"/>
      <c r="G1680" s="2"/>
      <c r="H1680" s="2"/>
      <c r="I1680" s="5"/>
    </row>
    <row r="1681" spans="1:9" ht="17.399999999999999" x14ac:dyDescent="0.25">
      <c r="A1681" s="16"/>
      <c r="B1681" s="17"/>
      <c r="C1681" s="2"/>
      <c r="D1681" s="2"/>
      <c r="E1681" s="2"/>
      <c r="F1681" s="2"/>
      <c r="G1681" s="2"/>
      <c r="H1681" s="2"/>
      <c r="I1681" s="5"/>
    </row>
    <row r="1682" spans="1:9" ht="17.399999999999999" x14ac:dyDescent="0.25">
      <c r="A1682" s="16"/>
      <c r="B1682" s="17"/>
      <c r="C1682" s="2"/>
      <c r="D1682" s="2"/>
      <c r="E1682" s="2"/>
      <c r="F1682" s="2"/>
      <c r="G1682" s="2"/>
      <c r="H1682" s="2"/>
      <c r="I1682" s="5"/>
    </row>
    <row r="1683" spans="1:9" ht="17.399999999999999" x14ac:dyDescent="0.25">
      <c r="A1683" s="16"/>
      <c r="B1683" s="17"/>
      <c r="C1683" s="2"/>
      <c r="D1683" s="2"/>
      <c r="E1683" s="2"/>
      <c r="F1683" s="2"/>
      <c r="G1683" s="2"/>
      <c r="H1683" s="2"/>
      <c r="I1683" s="5"/>
    </row>
    <row r="1684" spans="1:9" ht="17.399999999999999" x14ac:dyDescent="0.25">
      <c r="A1684" s="16"/>
      <c r="B1684" s="17"/>
      <c r="C1684" s="2"/>
      <c r="D1684" s="2"/>
      <c r="E1684" s="2"/>
      <c r="F1684" s="2"/>
      <c r="G1684" s="2"/>
      <c r="H1684" s="2"/>
      <c r="I1684" s="5"/>
    </row>
    <row r="1685" spans="1:9" ht="17.399999999999999" x14ac:dyDescent="0.25">
      <c r="A1685" s="16"/>
      <c r="B1685" s="17"/>
      <c r="C1685" s="2"/>
      <c r="D1685" s="2"/>
      <c r="E1685" s="2"/>
      <c r="F1685" s="2"/>
      <c r="G1685" s="2"/>
      <c r="H1685" s="2"/>
      <c r="I1685" s="5"/>
    </row>
    <row r="1686" spans="1:9" ht="17.399999999999999" x14ac:dyDescent="0.25">
      <c r="A1686" s="16"/>
      <c r="B1686" s="17"/>
      <c r="C1686" s="2"/>
      <c r="D1686" s="2"/>
      <c r="E1686" s="2"/>
      <c r="F1686" s="2"/>
      <c r="G1686" s="2"/>
      <c r="H1686" s="2"/>
      <c r="I1686" s="5"/>
    </row>
    <row r="1687" spans="1:9" ht="17.399999999999999" x14ac:dyDescent="0.25">
      <c r="A1687" s="16"/>
      <c r="B1687" s="17"/>
      <c r="C1687" s="2"/>
      <c r="D1687" s="2"/>
      <c r="E1687" s="2"/>
      <c r="F1687" s="2"/>
      <c r="G1687" s="2"/>
      <c r="H1687" s="2"/>
      <c r="I1687" s="5"/>
    </row>
    <row r="1688" spans="1:9" ht="17.399999999999999" x14ac:dyDescent="0.25">
      <c r="A1688" s="16"/>
      <c r="B1688" s="17"/>
      <c r="C1688" s="2"/>
      <c r="D1688" s="2"/>
      <c r="E1688" s="2"/>
      <c r="F1688" s="2"/>
      <c r="G1688" s="2"/>
      <c r="H1688" s="2"/>
      <c r="I1688" s="5"/>
    </row>
    <row r="1689" spans="1:9" ht="17.399999999999999" x14ac:dyDescent="0.25">
      <c r="A1689" s="16"/>
      <c r="B1689" s="17"/>
      <c r="C1689" s="2"/>
      <c r="D1689" s="2"/>
      <c r="E1689" s="2"/>
      <c r="F1689" s="2"/>
      <c r="G1689" s="2"/>
      <c r="H1689" s="2"/>
      <c r="I1689" s="5"/>
    </row>
    <row r="1690" spans="1:9" ht="17.399999999999999" x14ac:dyDescent="0.25">
      <c r="A1690" s="16"/>
      <c r="B1690" s="17"/>
      <c r="C1690" s="2"/>
      <c r="D1690" s="2"/>
      <c r="E1690" s="2"/>
      <c r="F1690" s="2"/>
      <c r="G1690" s="2"/>
      <c r="H1690" s="2"/>
      <c r="I1690" s="5"/>
    </row>
    <row r="1691" spans="1:9" ht="17.399999999999999" x14ac:dyDescent="0.25">
      <c r="A1691" s="16"/>
      <c r="B1691" s="17"/>
      <c r="C1691" s="2"/>
      <c r="D1691" s="2"/>
      <c r="E1691" s="2"/>
      <c r="F1691" s="2"/>
      <c r="G1691" s="2"/>
      <c r="H1691" s="2"/>
      <c r="I1691" s="5"/>
    </row>
    <row r="1692" spans="1:9" ht="17.399999999999999" x14ac:dyDescent="0.25">
      <c r="A1692" s="16"/>
      <c r="B1692" s="17"/>
      <c r="C1692" s="2"/>
      <c r="D1692" s="2"/>
      <c r="E1692" s="2"/>
      <c r="F1692" s="2"/>
      <c r="G1692" s="2"/>
      <c r="H1692" s="2"/>
      <c r="I1692" s="5"/>
    </row>
    <row r="1693" spans="1:9" ht="17.399999999999999" x14ac:dyDescent="0.25">
      <c r="A1693" s="16"/>
      <c r="B1693" s="17"/>
      <c r="C1693" s="2"/>
      <c r="D1693" s="2"/>
      <c r="E1693" s="2"/>
      <c r="F1693" s="2"/>
      <c r="G1693" s="2"/>
      <c r="H1693" s="2"/>
      <c r="I1693" s="5"/>
    </row>
    <row r="1694" spans="1:9" ht="17.399999999999999" x14ac:dyDescent="0.25">
      <c r="A1694" s="16"/>
      <c r="B1694" s="17"/>
      <c r="C1694" s="2"/>
      <c r="D1694" s="2"/>
      <c r="E1694" s="2"/>
      <c r="F1694" s="2"/>
      <c r="G1694" s="2"/>
      <c r="H1694" s="2"/>
      <c r="I1694" s="5"/>
    </row>
    <row r="1695" spans="1:9" ht="17.399999999999999" x14ac:dyDescent="0.25">
      <c r="A1695" s="16"/>
      <c r="B1695" s="17"/>
      <c r="C1695" s="2"/>
      <c r="D1695" s="2"/>
      <c r="E1695" s="2"/>
      <c r="F1695" s="2"/>
      <c r="G1695" s="2"/>
      <c r="H1695" s="2"/>
      <c r="I1695" s="5"/>
    </row>
    <row r="1696" spans="1:9" ht="17.399999999999999" x14ac:dyDescent="0.25">
      <c r="A1696" s="16"/>
      <c r="B1696" s="17"/>
      <c r="C1696" s="2"/>
      <c r="D1696" s="2"/>
      <c r="E1696" s="2"/>
      <c r="F1696" s="2"/>
      <c r="G1696" s="2"/>
      <c r="H1696" s="2"/>
      <c r="I1696" s="5"/>
    </row>
    <row r="1697" spans="1:9" ht="17.399999999999999" x14ac:dyDescent="0.25">
      <c r="A1697" s="16"/>
      <c r="B1697" s="17"/>
      <c r="C1697" s="2"/>
      <c r="D1697" s="2"/>
      <c r="E1697" s="2"/>
      <c r="F1697" s="2"/>
      <c r="G1697" s="2"/>
      <c r="H1697" s="2"/>
      <c r="I1697" s="5"/>
    </row>
    <row r="1698" spans="1:9" ht="17.399999999999999" x14ac:dyDescent="0.25">
      <c r="A1698" s="16"/>
      <c r="B1698" s="17"/>
      <c r="C1698" s="2"/>
      <c r="D1698" s="2"/>
      <c r="E1698" s="2"/>
      <c r="F1698" s="2"/>
      <c r="G1698" s="2"/>
      <c r="H1698" s="2"/>
      <c r="I1698" s="5"/>
    </row>
    <row r="1699" spans="1:9" ht="17.399999999999999" x14ac:dyDescent="0.25">
      <c r="A1699" s="16"/>
      <c r="B1699" s="17"/>
      <c r="C1699" s="2"/>
      <c r="D1699" s="2"/>
      <c r="E1699" s="2"/>
      <c r="F1699" s="2"/>
      <c r="G1699" s="2"/>
      <c r="H1699" s="2"/>
      <c r="I1699" s="5"/>
    </row>
    <row r="1700" spans="1:9" ht="17.399999999999999" x14ac:dyDescent="0.25">
      <c r="A1700" s="16"/>
      <c r="B1700" s="17"/>
      <c r="C1700" s="2"/>
      <c r="D1700" s="2"/>
      <c r="E1700" s="2"/>
      <c r="F1700" s="2"/>
      <c r="G1700" s="2"/>
      <c r="H1700" s="2"/>
      <c r="I1700" s="5"/>
    </row>
    <row r="1701" spans="1:9" ht="17.399999999999999" x14ac:dyDescent="0.25">
      <c r="A1701" s="16"/>
      <c r="B1701" s="17"/>
      <c r="C1701" s="2"/>
      <c r="D1701" s="2"/>
      <c r="E1701" s="2"/>
      <c r="F1701" s="2"/>
      <c r="G1701" s="2"/>
      <c r="H1701" s="2"/>
      <c r="I1701" s="5"/>
    </row>
    <row r="1702" spans="1:9" ht="17.399999999999999" x14ac:dyDescent="0.25">
      <c r="A1702" s="16"/>
      <c r="B1702" s="17"/>
      <c r="C1702" s="2"/>
      <c r="D1702" s="2"/>
      <c r="E1702" s="2"/>
      <c r="F1702" s="2"/>
      <c r="G1702" s="2"/>
      <c r="H1702" s="2"/>
      <c r="I1702" s="5"/>
    </row>
    <row r="1703" spans="1:9" ht="17.399999999999999" x14ac:dyDescent="0.25">
      <c r="A1703" s="16"/>
      <c r="B1703" s="17"/>
      <c r="C1703" s="2"/>
      <c r="D1703" s="2"/>
      <c r="E1703" s="2"/>
      <c r="F1703" s="2"/>
      <c r="G1703" s="2"/>
      <c r="H1703" s="2"/>
      <c r="I1703" s="5"/>
    </row>
    <row r="1704" spans="1:9" ht="17.399999999999999" x14ac:dyDescent="0.25">
      <c r="A1704" s="16"/>
      <c r="B1704" s="17"/>
      <c r="C1704" s="2"/>
      <c r="D1704" s="2"/>
      <c r="E1704" s="2"/>
      <c r="F1704" s="2"/>
      <c r="G1704" s="2"/>
      <c r="H1704" s="2"/>
      <c r="I1704" s="5"/>
    </row>
    <row r="1705" spans="1:9" ht="17.399999999999999" x14ac:dyDescent="0.25">
      <c r="A1705" s="16"/>
      <c r="B1705" s="17"/>
      <c r="C1705" s="2"/>
      <c r="D1705" s="2"/>
      <c r="E1705" s="2"/>
      <c r="F1705" s="2"/>
      <c r="G1705" s="2"/>
      <c r="H1705" s="2"/>
      <c r="I1705" s="5"/>
    </row>
    <row r="1706" spans="1:9" ht="17.399999999999999" x14ac:dyDescent="0.25">
      <c r="A1706" s="16"/>
      <c r="B1706" s="17"/>
      <c r="C1706" s="2"/>
      <c r="D1706" s="2"/>
      <c r="E1706" s="2"/>
      <c r="F1706" s="2"/>
      <c r="G1706" s="2"/>
      <c r="H1706" s="2"/>
      <c r="I1706" s="5"/>
    </row>
    <row r="1707" spans="1:9" ht="17.399999999999999" x14ac:dyDescent="0.25">
      <c r="A1707" s="16"/>
      <c r="B1707" s="17"/>
      <c r="C1707" s="2"/>
      <c r="D1707" s="2"/>
      <c r="E1707" s="2"/>
      <c r="F1707" s="2"/>
      <c r="G1707" s="2"/>
      <c r="H1707" s="2"/>
      <c r="I1707" s="5"/>
    </row>
    <row r="1708" spans="1:9" ht="17.399999999999999" x14ac:dyDescent="0.25">
      <c r="A1708" s="16"/>
      <c r="B1708" s="17"/>
      <c r="C1708" s="2"/>
      <c r="D1708" s="2"/>
      <c r="E1708" s="2"/>
      <c r="F1708" s="2"/>
      <c r="G1708" s="2"/>
      <c r="H1708" s="2"/>
      <c r="I1708" s="5"/>
    </row>
    <row r="1709" spans="1:9" ht="17.399999999999999" x14ac:dyDescent="0.25">
      <c r="A1709" s="16"/>
      <c r="B1709" s="17"/>
      <c r="C1709" s="2"/>
      <c r="D1709" s="2"/>
      <c r="E1709" s="2"/>
      <c r="F1709" s="2"/>
      <c r="G1709" s="2"/>
      <c r="H1709" s="2"/>
      <c r="I1709" s="5"/>
    </row>
    <row r="1710" spans="1:9" ht="17.399999999999999" x14ac:dyDescent="0.25">
      <c r="A1710" s="16"/>
      <c r="B1710" s="17"/>
      <c r="C1710" s="2"/>
      <c r="D1710" s="2"/>
      <c r="E1710" s="2"/>
      <c r="F1710" s="2"/>
      <c r="G1710" s="2"/>
      <c r="H1710" s="2"/>
      <c r="I1710" s="5"/>
    </row>
    <row r="1711" spans="1:9" ht="17.399999999999999" x14ac:dyDescent="0.25">
      <c r="A1711" s="16"/>
      <c r="B1711" s="17"/>
      <c r="C1711" s="2"/>
      <c r="D1711" s="2"/>
      <c r="E1711" s="2"/>
      <c r="F1711" s="2"/>
      <c r="G1711" s="2"/>
      <c r="H1711" s="2"/>
      <c r="I1711" s="5"/>
    </row>
    <row r="1712" spans="1:9" ht="17.399999999999999" x14ac:dyDescent="0.25">
      <c r="A1712" s="16"/>
      <c r="B1712" s="17"/>
      <c r="C1712" s="2"/>
      <c r="D1712" s="2"/>
      <c r="E1712" s="2"/>
      <c r="F1712" s="2"/>
      <c r="G1712" s="2"/>
      <c r="H1712" s="2"/>
      <c r="I1712" s="5"/>
    </row>
    <row r="1713" spans="1:9" ht="17.399999999999999" x14ac:dyDescent="0.25">
      <c r="A1713" s="16"/>
      <c r="B1713" s="17"/>
      <c r="C1713" s="2"/>
      <c r="D1713" s="2"/>
      <c r="E1713" s="2"/>
      <c r="F1713" s="2"/>
      <c r="G1713" s="2"/>
      <c r="H1713" s="2"/>
      <c r="I1713" s="5"/>
    </row>
    <row r="1714" spans="1:9" ht="17.399999999999999" x14ac:dyDescent="0.25">
      <c r="A1714" s="16"/>
      <c r="B1714" s="17"/>
      <c r="C1714" s="2"/>
      <c r="D1714" s="2"/>
      <c r="E1714" s="2"/>
      <c r="F1714" s="2"/>
      <c r="G1714" s="2"/>
      <c r="H1714" s="2"/>
      <c r="I1714" s="5"/>
    </row>
    <row r="1715" spans="1:9" ht="17.399999999999999" x14ac:dyDescent="0.25">
      <c r="A1715" s="16"/>
      <c r="B1715" s="17"/>
      <c r="C1715" s="2"/>
      <c r="D1715" s="2"/>
      <c r="E1715" s="2"/>
      <c r="F1715" s="2"/>
      <c r="G1715" s="2"/>
      <c r="H1715" s="2"/>
      <c r="I1715" s="5"/>
    </row>
    <row r="1716" spans="1:9" ht="17.399999999999999" x14ac:dyDescent="0.25">
      <c r="A1716" s="16"/>
      <c r="B1716" s="17"/>
      <c r="C1716" s="2"/>
      <c r="D1716" s="2"/>
      <c r="E1716" s="2"/>
      <c r="F1716" s="2"/>
      <c r="G1716" s="2"/>
      <c r="H1716" s="2"/>
      <c r="I1716" s="5"/>
    </row>
    <row r="1717" spans="1:9" ht="17.399999999999999" x14ac:dyDescent="0.25">
      <c r="A1717" s="16"/>
      <c r="B1717" s="17"/>
      <c r="C1717" s="2"/>
      <c r="D1717" s="2"/>
      <c r="E1717" s="2"/>
      <c r="F1717" s="2"/>
      <c r="G1717" s="2"/>
      <c r="H1717" s="2"/>
      <c r="I1717" s="5"/>
    </row>
    <row r="1718" spans="1:9" ht="17.399999999999999" x14ac:dyDescent="0.25">
      <c r="A1718" s="16"/>
      <c r="B1718" s="17"/>
      <c r="C1718" s="2"/>
      <c r="D1718" s="2"/>
      <c r="E1718" s="2"/>
      <c r="F1718" s="2"/>
      <c r="G1718" s="2"/>
      <c r="H1718" s="2"/>
      <c r="I1718" s="5"/>
    </row>
    <row r="1719" spans="1:9" ht="17.399999999999999" x14ac:dyDescent="0.25">
      <c r="A1719" s="16"/>
      <c r="B1719" s="17"/>
      <c r="C1719" s="2"/>
      <c r="D1719" s="2"/>
      <c r="E1719" s="2"/>
      <c r="F1719" s="2"/>
      <c r="G1719" s="2"/>
      <c r="H1719" s="2"/>
      <c r="I1719" s="5"/>
    </row>
    <row r="1720" spans="1:9" ht="17.399999999999999" x14ac:dyDescent="0.25">
      <c r="A1720" s="16"/>
      <c r="B1720" s="17"/>
      <c r="C1720" s="2"/>
      <c r="D1720" s="2"/>
      <c r="E1720" s="2"/>
      <c r="F1720" s="2"/>
      <c r="G1720" s="2"/>
      <c r="H1720" s="2"/>
      <c r="I1720" s="5"/>
    </row>
    <row r="1721" spans="1:9" ht="17.399999999999999" x14ac:dyDescent="0.25">
      <c r="A1721" s="16"/>
      <c r="B1721" s="17"/>
      <c r="C1721" s="2"/>
      <c r="D1721" s="2"/>
      <c r="E1721" s="2"/>
      <c r="F1721" s="2"/>
      <c r="G1721" s="2"/>
      <c r="H1721" s="2"/>
      <c r="I1721" s="5"/>
    </row>
    <row r="1722" spans="1:9" ht="17.399999999999999" x14ac:dyDescent="0.25">
      <c r="A1722" s="16"/>
      <c r="B1722" s="17"/>
      <c r="C1722" s="2"/>
      <c r="D1722" s="2"/>
      <c r="E1722" s="2"/>
      <c r="F1722" s="2"/>
      <c r="G1722" s="2"/>
      <c r="H1722" s="2"/>
      <c r="I1722" s="5"/>
    </row>
    <row r="1723" spans="1:9" ht="17.399999999999999" x14ac:dyDescent="0.25">
      <c r="A1723" s="16"/>
      <c r="B1723" s="17"/>
      <c r="C1723" s="2"/>
      <c r="D1723" s="2"/>
      <c r="E1723" s="2"/>
      <c r="F1723" s="2"/>
      <c r="G1723" s="2"/>
      <c r="H1723" s="2"/>
      <c r="I1723" s="5"/>
    </row>
    <row r="1724" spans="1:9" ht="17.399999999999999" x14ac:dyDescent="0.25">
      <c r="A1724" s="16"/>
      <c r="B1724" s="17"/>
      <c r="C1724" s="2"/>
      <c r="D1724" s="2"/>
      <c r="E1724" s="2"/>
      <c r="F1724" s="2"/>
      <c r="G1724" s="2"/>
      <c r="H1724" s="2"/>
      <c r="I1724" s="5"/>
    </row>
    <row r="1725" spans="1:9" ht="17.399999999999999" x14ac:dyDescent="0.25">
      <c r="A1725" s="16"/>
      <c r="B1725" s="17"/>
      <c r="C1725" s="2"/>
      <c r="D1725" s="2"/>
      <c r="E1725" s="2"/>
      <c r="F1725" s="2"/>
      <c r="G1725" s="2"/>
      <c r="H1725" s="2"/>
      <c r="I1725" s="5"/>
    </row>
    <row r="1726" spans="1:9" ht="17.399999999999999" x14ac:dyDescent="0.25">
      <c r="A1726" s="16"/>
      <c r="B1726" s="17"/>
      <c r="C1726" s="2"/>
      <c r="D1726" s="2"/>
      <c r="E1726" s="2"/>
      <c r="F1726" s="2"/>
      <c r="G1726" s="2"/>
      <c r="H1726" s="2"/>
      <c r="I1726" s="5"/>
    </row>
    <row r="1727" spans="1:9" ht="17.399999999999999" x14ac:dyDescent="0.25">
      <c r="A1727" s="16"/>
      <c r="B1727" s="17"/>
      <c r="C1727" s="2"/>
      <c r="D1727" s="2"/>
      <c r="E1727" s="2"/>
      <c r="F1727" s="2"/>
      <c r="G1727" s="2"/>
      <c r="H1727" s="2"/>
      <c r="I1727" s="5"/>
    </row>
    <row r="1728" spans="1:9" ht="17.399999999999999" x14ac:dyDescent="0.25">
      <c r="A1728" s="16"/>
      <c r="B1728" s="17"/>
      <c r="C1728" s="2"/>
      <c r="D1728" s="2"/>
      <c r="E1728" s="2"/>
      <c r="F1728" s="2"/>
      <c r="G1728" s="2"/>
      <c r="H1728" s="2"/>
      <c r="I1728" s="5"/>
    </row>
    <row r="1729" spans="1:9" ht="17.399999999999999" x14ac:dyDescent="0.25">
      <c r="A1729" s="16"/>
      <c r="B1729" s="17"/>
      <c r="C1729" s="2"/>
      <c r="D1729" s="2"/>
      <c r="E1729" s="2"/>
      <c r="F1729" s="2"/>
      <c r="G1729" s="2"/>
      <c r="H1729" s="2"/>
      <c r="I1729" s="5"/>
    </row>
    <row r="1730" spans="1:9" ht="17.399999999999999" x14ac:dyDescent="0.25">
      <c r="A1730" s="16"/>
      <c r="B1730" s="17"/>
      <c r="C1730" s="2"/>
      <c r="D1730" s="2"/>
      <c r="E1730" s="2"/>
      <c r="F1730" s="2"/>
      <c r="G1730" s="2"/>
      <c r="H1730" s="2"/>
      <c r="I1730" s="5"/>
    </row>
    <row r="1731" spans="1:9" ht="17.399999999999999" x14ac:dyDescent="0.25">
      <c r="A1731" s="16"/>
      <c r="B1731" s="17"/>
      <c r="C1731" s="2"/>
      <c r="D1731" s="2"/>
      <c r="E1731" s="2"/>
      <c r="F1731" s="2"/>
      <c r="G1731" s="2"/>
      <c r="H1731" s="2"/>
      <c r="I1731" s="5"/>
    </row>
    <row r="1732" spans="1:9" ht="17.399999999999999" x14ac:dyDescent="0.25">
      <c r="A1732" s="16"/>
      <c r="B1732" s="17"/>
      <c r="C1732" s="2"/>
      <c r="D1732" s="2"/>
      <c r="E1732" s="2"/>
      <c r="F1732" s="2"/>
      <c r="G1732" s="2"/>
      <c r="H1732" s="2"/>
      <c r="I1732" s="5"/>
    </row>
    <row r="1733" spans="1:9" ht="17.399999999999999" x14ac:dyDescent="0.25">
      <c r="A1733" s="16"/>
      <c r="B1733" s="17"/>
      <c r="C1733" s="2"/>
      <c r="D1733" s="2"/>
      <c r="E1733" s="2"/>
      <c r="F1733" s="2"/>
      <c r="G1733" s="2"/>
      <c r="H1733" s="2"/>
      <c r="I1733" s="5"/>
    </row>
    <row r="1734" spans="1:9" ht="17.399999999999999" x14ac:dyDescent="0.25">
      <c r="A1734" s="16"/>
      <c r="B1734" s="17"/>
      <c r="C1734" s="2"/>
      <c r="D1734" s="2"/>
      <c r="E1734" s="2"/>
      <c r="F1734" s="2"/>
      <c r="G1734" s="2"/>
      <c r="H1734" s="2"/>
      <c r="I1734" s="5"/>
    </row>
    <row r="1735" spans="1:9" ht="17.399999999999999" x14ac:dyDescent="0.25">
      <c r="A1735" s="16"/>
      <c r="B1735" s="17"/>
      <c r="C1735" s="2"/>
      <c r="D1735" s="2"/>
      <c r="E1735" s="2"/>
      <c r="F1735" s="2"/>
      <c r="G1735" s="2"/>
      <c r="H1735" s="2"/>
      <c r="I1735" s="5"/>
    </row>
    <row r="1736" spans="1:9" ht="17.399999999999999" x14ac:dyDescent="0.25">
      <c r="A1736" s="16"/>
      <c r="B1736" s="17"/>
      <c r="C1736" s="2"/>
      <c r="D1736" s="2"/>
      <c r="E1736" s="2"/>
      <c r="F1736" s="2"/>
      <c r="G1736" s="2"/>
      <c r="H1736" s="2"/>
      <c r="I1736" s="5"/>
    </row>
    <row r="1737" spans="1:9" ht="17.399999999999999" x14ac:dyDescent="0.25">
      <c r="A1737" s="16"/>
      <c r="B1737" s="17"/>
      <c r="C1737" s="2"/>
      <c r="D1737" s="2"/>
      <c r="E1737" s="2"/>
      <c r="F1737" s="2"/>
      <c r="G1737" s="2"/>
      <c r="H1737" s="2"/>
      <c r="I1737" s="5"/>
    </row>
    <row r="1738" spans="1:9" ht="17.399999999999999" x14ac:dyDescent="0.25">
      <c r="A1738" s="16"/>
      <c r="B1738" s="17"/>
      <c r="C1738" s="2"/>
      <c r="D1738" s="2"/>
      <c r="E1738" s="2"/>
      <c r="F1738" s="2"/>
      <c r="G1738" s="2"/>
      <c r="H1738" s="2"/>
      <c r="I1738" s="5"/>
    </row>
    <row r="1739" spans="1:9" ht="17.399999999999999" x14ac:dyDescent="0.25">
      <c r="A1739" s="16"/>
      <c r="B1739" s="17"/>
      <c r="C1739" s="2"/>
      <c r="D1739" s="2"/>
      <c r="E1739" s="2"/>
      <c r="F1739" s="2"/>
      <c r="G1739" s="2"/>
      <c r="H1739" s="2"/>
      <c r="I1739" s="5"/>
    </row>
    <row r="1740" spans="1:9" ht="17.399999999999999" x14ac:dyDescent="0.25">
      <c r="A1740" s="16"/>
      <c r="B1740" s="17"/>
      <c r="C1740" s="2"/>
      <c r="D1740" s="2"/>
      <c r="E1740" s="2"/>
      <c r="F1740" s="2"/>
      <c r="G1740" s="2"/>
      <c r="H1740" s="2"/>
      <c r="I1740" s="5"/>
    </row>
    <row r="1741" spans="1:9" ht="17.399999999999999" x14ac:dyDescent="0.25">
      <c r="A1741" s="16"/>
      <c r="B1741" s="17"/>
      <c r="C1741" s="2"/>
      <c r="D1741" s="2"/>
      <c r="E1741" s="2"/>
      <c r="F1741" s="2"/>
      <c r="G1741" s="2"/>
      <c r="H1741" s="2"/>
      <c r="I1741" s="5"/>
    </row>
    <row r="1742" spans="1:9" ht="17.399999999999999" x14ac:dyDescent="0.25">
      <c r="A1742" s="16"/>
      <c r="B1742" s="17"/>
      <c r="C1742" s="2"/>
      <c r="D1742" s="2"/>
      <c r="E1742" s="2"/>
      <c r="F1742" s="2"/>
      <c r="G1742" s="2"/>
      <c r="H1742" s="2"/>
      <c r="I1742" s="5"/>
    </row>
    <row r="1743" spans="1:9" ht="17.399999999999999" x14ac:dyDescent="0.25">
      <c r="A1743" s="16"/>
      <c r="B1743" s="17"/>
      <c r="C1743" s="2"/>
      <c r="D1743" s="2"/>
      <c r="E1743" s="2"/>
      <c r="F1743" s="2"/>
      <c r="G1743" s="2"/>
      <c r="H1743" s="2"/>
      <c r="I1743" s="5"/>
    </row>
    <row r="1744" spans="1:9" ht="17.399999999999999" x14ac:dyDescent="0.25">
      <c r="A1744" s="16"/>
      <c r="B1744" s="17"/>
      <c r="C1744" s="2"/>
      <c r="D1744" s="2"/>
      <c r="E1744" s="2"/>
      <c r="F1744" s="2"/>
      <c r="G1744" s="2"/>
      <c r="H1744" s="2"/>
      <c r="I1744" s="5"/>
    </row>
    <row r="1745" spans="1:9" ht="17.399999999999999" x14ac:dyDescent="0.25">
      <c r="A1745" s="16"/>
      <c r="B1745" s="17"/>
      <c r="C1745" s="2"/>
      <c r="D1745" s="2"/>
      <c r="E1745" s="2"/>
      <c r="F1745" s="2"/>
      <c r="G1745" s="2"/>
      <c r="H1745" s="2"/>
      <c r="I1745" s="5"/>
    </row>
    <row r="1746" spans="1:9" ht="17.399999999999999" x14ac:dyDescent="0.25">
      <c r="A1746" s="16"/>
      <c r="B1746" s="17"/>
      <c r="C1746" s="2"/>
      <c r="D1746" s="2"/>
      <c r="E1746" s="2"/>
      <c r="F1746" s="2"/>
      <c r="G1746" s="2"/>
      <c r="H1746" s="2"/>
      <c r="I1746" s="5"/>
    </row>
    <row r="1747" spans="1:9" ht="17.399999999999999" x14ac:dyDescent="0.25">
      <c r="A1747" s="16"/>
      <c r="B1747" s="17"/>
      <c r="C1747" s="2"/>
      <c r="D1747" s="2"/>
      <c r="E1747" s="2"/>
      <c r="F1747" s="2"/>
      <c r="G1747" s="2"/>
      <c r="H1747" s="2"/>
      <c r="I1747" s="5"/>
    </row>
    <row r="1748" spans="1:9" ht="17.399999999999999" x14ac:dyDescent="0.25">
      <c r="A1748" s="16"/>
      <c r="B1748" s="17"/>
      <c r="C1748" s="2"/>
      <c r="D1748" s="2"/>
      <c r="E1748" s="2"/>
      <c r="F1748" s="2"/>
      <c r="G1748" s="2"/>
      <c r="H1748" s="2"/>
      <c r="I1748" s="5"/>
    </row>
    <row r="1749" spans="1:9" ht="17.399999999999999" x14ac:dyDescent="0.25">
      <c r="A1749" s="16"/>
      <c r="B1749" s="17"/>
      <c r="C1749" s="2"/>
      <c r="D1749" s="2"/>
      <c r="E1749" s="2"/>
      <c r="F1749" s="2"/>
      <c r="G1749" s="2"/>
      <c r="H1749" s="2"/>
      <c r="I1749" s="5"/>
    </row>
    <row r="1750" spans="1:9" ht="17.399999999999999" x14ac:dyDescent="0.25">
      <c r="A1750" s="16"/>
      <c r="B1750" s="17"/>
      <c r="C1750" s="2"/>
      <c r="D1750" s="2"/>
      <c r="E1750" s="2"/>
      <c r="F1750" s="2"/>
      <c r="G1750" s="2"/>
      <c r="H1750" s="2"/>
      <c r="I1750" s="5"/>
    </row>
    <row r="1751" spans="1:9" ht="17.399999999999999" x14ac:dyDescent="0.25">
      <c r="A1751" s="16"/>
      <c r="B1751" s="17"/>
      <c r="C1751" s="2"/>
      <c r="D1751" s="2"/>
      <c r="E1751" s="2"/>
      <c r="F1751" s="2"/>
      <c r="G1751" s="2"/>
      <c r="H1751" s="2"/>
      <c r="I1751" s="5"/>
    </row>
    <row r="1752" spans="1:9" ht="17.399999999999999" x14ac:dyDescent="0.25">
      <c r="A1752" s="16"/>
      <c r="B1752" s="17"/>
      <c r="C1752" s="2"/>
      <c r="D1752" s="2"/>
      <c r="E1752" s="2"/>
      <c r="F1752" s="2"/>
      <c r="G1752" s="2"/>
      <c r="H1752" s="2"/>
      <c r="I1752" s="5"/>
    </row>
    <row r="1753" spans="1:9" ht="17.399999999999999" x14ac:dyDescent="0.25">
      <c r="A1753" s="16"/>
      <c r="B1753" s="17"/>
      <c r="C1753" s="2"/>
      <c r="D1753" s="2"/>
      <c r="E1753" s="2"/>
      <c r="F1753" s="2"/>
      <c r="G1753" s="2"/>
      <c r="H1753" s="2"/>
      <c r="I1753" s="5"/>
    </row>
    <row r="1754" spans="1:9" ht="17.399999999999999" x14ac:dyDescent="0.25">
      <c r="A1754" s="16"/>
      <c r="B1754" s="17"/>
      <c r="C1754" s="2"/>
      <c r="D1754" s="2"/>
      <c r="E1754" s="2"/>
      <c r="F1754" s="2"/>
      <c r="G1754" s="2"/>
      <c r="H1754" s="2"/>
      <c r="I1754" s="5"/>
    </row>
    <row r="1755" spans="1:9" ht="17.399999999999999" x14ac:dyDescent="0.25">
      <c r="A1755" s="16"/>
      <c r="B1755" s="17"/>
      <c r="C1755" s="2"/>
      <c r="D1755" s="2"/>
      <c r="E1755" s="2"/>
      <c r="F1755" s="2"/>
      <c r="G1755" s="2"/>
      <c r="H1755" s="2"/>
      <c r="I1755" s="5"/>
    </row>
    <row r="1756" spans="1:9" ht="17.399999999999999" x14ac:dyDescent="0.25">
      <c r="A1756" s="16"/>
      <c r="B1756" s="17"/>
      <c r="C1756" s="2"/>
      <c r="D1756" s="2"/>
      <c r="E1756" s="2"/>
      <c r="F1756" s="2"/>
      <c r="G1756" s="2"/>
      <c r="H1756" s="2"/>
      <c r="I1756" s="5"/>
    </row>
    <row r="1757" spans="1:9" ht="17.399999999999999" x14ac:dyDescent="0.25">
      <c r="A1757" s="16"/>
      <c r="B1757" s="17"/>
      <c r="C1757" s="2"/>
      <c r="D1757" s="2"/>
      <c r="E1757" s="2"/>
      <c r="F1757" s="2"/>
      <c r="G1757" s="2"/>
      <c r="H1757" s="2"/>
      <c r="I1757" s="5"/>
    </row>
    <row r="1758" spans="1:9" ht="17.399999999999999" x14ac:dyDescent="0.25">
      <c r="A1758" s="16"/>
      <c r="B1758" s="17"/>
      <c r="C1758" s="2"/>
      <c r="D1758" s="2"/>
      <c r="E1758" s="2"/>
      <c r="F1758" s="2"/>
      <c r="G1758" s="2"/>
      <c r="H1758" s="2"/>
      <c r="I1758" s="5"/>
    </row>
    <row r="1759" spans="1:9" ht="17.399999999999999" x14ac:dyDescent="0.25">
      <c r="A1759" s="16"/>
      <c r="B1759" s="17"/>
      <c r="C1759" s="2"/>
      <c r="D1759" s="2"/>
      <c r="E1759" s="2"/>
      <c r="F1759" s="2"/>
      <c r="G1759" s="2"/>
      <c r="H1759" s="2"/>
      <c r="I1759" s="5"/>
    </row>
    <row r="1760" spans="1:9" ht="17.399999999999999" x14ac:dyDescent="0.25">
      <c r="A1760" s="16"/>
      <c r="B1760" s="17"/>
      <c r="C1760" s="2"/>
      <c r="D1760" s="2"/>
      <c r="E1760" s="2"/>
      <c r="F1760" s="2"/>
      <c r="G1760" s="2"/>
      <c r="H1760" s="2"/>
      <c r="I1760" s="5"/>
    </row>
    <row r="1761" spans="1:9" ht="17.399999999999999" x14ac:dyDescent="0.25">
      <c r="A1761" s="16"/>
      <c r="B1761" s="17"/>
      <c r="C1761" s="2"/>
      <c r="D1761" s="2"/>
      <c r="E1761" s="2"/>
      <c r="F1761" s="2"/>
      <c r="G1761" s="2"/>
      <c r="H1761" s="2"/>
      <c r="I1761" s="5"/>
    </row>
    <row r="1762" spans="1:9" ht="17.399999999999999" x14ac:dyDescent="0.25">
      <c r="A1762" s="16"/>
      <c r="B1762" s="17"/>
      <c r="C1762" s="2"/>
      <c r="D1762" s="2"/>
      <c r="E1762" s="2"/>
      <c r="F1762" s="2"/>
      <c r="G1762" s="2"/>
      <c r="H1762" s="2"/>
      <c r="I1762" s="5"/>
    </row>
    <row r="1763" spans="1:9" ht="17.399999999999999" x14ac:dyDescent="0.25">
      <c r="A1763" s="16"/>
      <c r="B1763" s="17"/>
      <c r="C1763" s="2"/>
      <c r="D1763" s="2"/>
      <c r="E1763" s="2"/>
      <c r="F1763" s="2"/>
      <c r="G1763" s="2"/>
      <c r="H1763" s="2"/>
      <c r="I1763" s="5"/>
    </row>
    <row r="1764" spans="1:9" ht="17.399999999999999" x14ac:dyDescent="0.25">
      <c r="A1764" s="16"/>
      <c r="B1764" s="17"/>
      <c r="C1764" s="2"/>
      <c r="D1764" s="2"/>
      <c r="E1764" s="2"/>
      <c r="F1764" s="2"/>
      <c r="G1764" s="2"/>
      <c r="H1764" s="2"/>
      <c r="I1764" s="5"/>
    </row>
    <row r="1765" spans="1:9" ht="17.399999999999999" x14ac:dyDescent="0.25">
      <c r="A1765" s="16"/>
      <c r="B1765" s="17"/>
      <c r="C1765" s="2"/>
      <c r="D1765" s="2"/>
      <c r="E1765" s="2"/>
      <c r="F1765" s="2"/>
      <c r="G1765" s="2"/>
      <c r="H1765" s="2"/>
      <c r="I1765" s="5"/>
    </row>
    <row r="1766" spans="1:9" ht="17.399999999999999" x14ac:dyDescent="0.25">
      <c r="A1766" s="16"/>
      <c r="B1766" s="17"/>
      <c r="C1766" s="2"/>
      <c r="D1766" s="2"/>
      <c r="E1766" s="2"/>
      <c r="F1766" s="2"/>
      <c r="G1766" s="2"/>
      <c r="H1766" s="2"/>
      <c r="I1766" s="5"/>
    </row>
    <row r="1767" spans="1:9" ht="17.399999999999999" x14ac:dyDescent="0.25">
      <c r="A1767" s="16"/>
      <c r="B1767" s="17"/>
      <c r="C1767" s="2"/>
      <c r="D1767" s="2"/>
      <c r="E1767" s="2"/>
      <c r="F1767" s="2"/>
      <c r="G1767" s="2"/>
      <c r="H1767" s="2"/>
      <c r="I1767" s="5"/>
    </row>
    <row r="1768" spans="1:9" ht="17.399999999999999" x14ac:dyDescent="0.25">
      <c r="A1768" s="16"/>
      <c r="B1768" s="17"/>
      <c r="C1768" s="2"/>
      <c r="D1768" s="2"/>
      <c r="E1768" s="2"/>
      <c r="F1768" s="2"/>
      <c r="G1768" s="2"/>
      <c r="H1768" s="2"/>
      <c r="I1768" s="5"/>
    </row>
    <row r="1769" spans="1:9" ht="17.399999999999999" x14ac:dyDescent="0.25">
      <c r="A1769" s="16"/>
      <c r="B1769" s="17"/>
      <c r="C1769" s="2"/>
      <c r="D1769" s="2"/>
      <c r="E1769" s="2"/>
      <c r="F1769" s="2"/>
      <c r="G1769" s="2"/>
      <c r="H1769" s="2"/>
      <c r="I1769" s="5"/>
    </row>
    <row r="1770" spans="1:9" ht="17.399999999999999" x14ac:dyDescent="0.25">
      <c r="A1770" s="16"/>
      <c r="B1770" s="17"/>
      <c r="C1770" s="2"/>
      <c r="D1770" s="2"/>
      <c r="E1770" s="2"/>
      <c r="F1770" s="2"/>
      <c r="G1770" s="2"/>
      <c r="H1770" s="2"/>
      <c r="I1770" s="5"/>
    </row>
    <row r="1771" spans="1:9" ht="17.399999999999999" x14ac:dyDescent="0.25">
      <c r="A1771" s="16"/>
      <c r="B1771" s="17"/>
      <c r="C1771" s="2"/>
      <c r="D1771" s="2"/>
      <c r="E1771" s="2"/>
      <c r="F1771" s="2"/>
      <c r="G1771" s="2"/>
      <c r="H1771" s="2"/>
      <c r="I1771" s="5"/>
    </row>
    <row r="1772" spans="1:9" ht="17.399999999999999" x14ac:dyDescent="0.25">
      <c r="A1772" s="16"/>
      <c r="B1772" s="17"/>
      <c r="C1772" s="2"/>
      <c r="D1772" s="2"/>
      <c r="E1772" s="2"/>
      <c r="F1772" s="2"/>
      <c r="G1772" s="2"/>
      <c r="H1772" s="2"/>
      <c r="I1772" s="5"/>
    </row>
    <row r="1773" spans="1:9" ht="17.399999999999999" x14ac:dyDescent="0.25">
      <c r="A1773" s="16"/>
      <c r="B1773" s="17"/>
      <c r="C1773" s="2"/>
      <c r="D1773" s="2"/>
      <c r="E1773" s="2"/>
      <c r="F1773" s="2"/>
      <c r="G1773" s="2"/>
      <c r="H1773" s="2"/>
      <c r="I1773" s="5"/>
    </row>
    <row r="1774" spans="1:9" ht="17.399999999999999" x14ac:dyDescent="0.25">
      <c r="A1774" s="16"/>
      <c r="B1774" s="17"/>
      <c r="C1774" s="2"/>
      <c r="D1774" s="2"/>
      <c r="E1774" s="2"/>
      <c r="F1774" s="2"/>
      <c r="G1774" s="2"/>
      <c r="H1774" s="2"/>
      <c r="I1774" s="5"/>
    </row>
    <row r="1775" spans="1:9" ht="17.399999999999999" x14ac:dyDescent="0.25">
      <c r="A1775" s="16"/>
      <c r="B1775" s="17"/>
      <c r="C1775" s="2"/>
      <c r="D1775" s="2"/>
      <c r="E1775" s="2"/>
      <c r="F1775" s="2"/>
      <c r="G1775" s="2"/>
      <c r="H1775" s="2"/>
      <c r="I1775" s="5"/>
    </row>
    <row r="1776" spans="1:9" ht="17.399999999999999" x14ac:dyDescent="0.25">
      <c r="A1776" s="16"/>
      <c r="B1776" s="17"/>
      <c r="C1776" s="2"/>
      <c r="D1776" s="2"/>
      <c r="E1776" s="2"/>
      <c r="F1776" s="2"/>
      <c r="G1776" s="2"/>
      <c r="H1776" s="2"/>
      <c r="I1776" s="5"/>
    </row>
    <row r="1777" spans="1:9" ht="17.399999999999999" x14ac:dyDescent="0.25">
      <c r="A1777" s="16"/>
      <c r="B1777" s="17"/>
      <c r="C1777" s="2"/>
      <c r="D1777" s="2"/>
      <c r="E1777" s="2"/>
      <c r="F1777" s="2"/>
      <c r="G1777" s="2"/>
      <c r="H1777" s="2"/>
      <c r="I1777" s="5"/>
    </row>
    <row r="1778" spans="1:9" ht="17.399999999999999" x14ac:dyDescent="0.25">
      <c r="A1778" s="16"/>
      <c r="B1778" s="17"/>
      <c r="C1778" s="2"/>
      <c r="D1778" s="2"/>
      <c r="E1778" s="2"/>
      <c r="F1778" s="2"/>
      <c r="G1778" s="2"/>
      <c r="H1778" s="2"/>
      <c r="I1778" s="5"/>
    </row>
    <row r="1779" spans="1:9" ht="17.399999999999999" x14ac:dyDescent="0.25">
      <c r="A1779" s="16"/>
      <c r="B1779" s="17"/>
      <c r="C1779" s="2"/>
      <c r="D1779" s="2"/>
      <c r="E1779" s="2"/>
      <c r="F1779" s="2"/>
      <c r="G1779" s="2"/>
      <c r="H1779" s="2"/>
      <c r="I1779" s="5"/>
    </row>
    <row r="1780" spans="1:9" ht="17.399999999999999" x14ac:dyDescent="0.25">
      <c r="A1780" s="16"/>
      <c r="B1780" s="17"/>
      <c r="C1780" s="2"/>
      <c r="D1780" s="2"/>
      <c r="E1780" s="2"/>
      <c r="F1780" s="2"/>
      <c r="G1780" s="2"/>
      <c r="H1780" s="2"/>
      <c r="I1780" s="5"/>
    </row>
    <row r="1781" spans="1:9" ht="17.399999999999999" x14ac:dyDescent="0.25">
      <c r="A1781" s="16"/>
      <c r="B1781" s="17"/>
      <c r="C1781" s="2"/>
      <c r="D1781" s="2"/>
      <c r="E1781" s="2"/>
      <c r="F1781" s="2"/>
      <c r="G1781" s="2"/>
      <c r="H1781" s="2"/>
      <c r="I1781" s="5"/>
    </row>
    <row r="1782" spans="1:9" ht="17.399999999999999" x14ac:dyDescent="0.25">
      <c r="A1782" s="16"/>
      <c r="B1782" s="17"/>
      <c r="C1782" s="2"/>
      <c r="D1782" s="2"/>
      <c r="E1782" s="2"/>
      <c r="F1782" s="2"/>
      <c r="G1782" s="2"/>
      <c r="H1782" s="2"/>
      <c r="I1782" s="5"/>
    </row>
    <row r="1783" spans="1:9" ht="17.399999999999999" x14ac:dyDescent="0.25">
      <c r="A1783" s="16"/>
      <c r="B1783" s="17"/>
      <c r="C1783" s="2"/>
      <c r="D1783" s="2"/>
      <c r="E1783" s="2"/>
      <c r="F1783" s="2"/>
      <c r="G1783" s="2"/>
      <c r="H1783" s="2"/>
      <c r="I1783" s="5"/>
    </row>
    <row r="1784" spans="1:9" ht="17.399999999999999" x14ac:dyDescent="0.25">
      <c r="A1784" s="16"/>
      <c r="B1784" s="17"/>
      <c r="C1784" s="2"/>
      <c r="D1784" s="2"/>
      <c r="E1784" s="2"/>
      <c r="F1784" s="2"/>
      <c r="G1784" s="2"/>
      <c r="H1784" s="2"/>
      <c r="I1784" s="5"/>
    </row>
    <row r="1785" spans="1:9" ht="17.399999999999999" x14ac:dyDescent="0.25">
      <c r="A1785" s="16"/>
      <c r="B1785" s="17"/>
      <c r="C1785" s="2"/>
      <c r="D1785" s="2"/>
      <c r="E1785" s="2"/>
      <c r="F1785" s="2"/>
      <c r="G1785" s="2"/>
      <c r="H1785" s="2"/>
      <c r="I1785" s="5"/>
    </row>
    <row r="1786" spans="1:9" ht="17.399999999999999" x14ac:dyDescent="0.25">
      <c r="A1786" s="16"/>
      <c r="B1786" s="17"/>
      <c r="C1786" s="2"/>
      <c r="D1786" s="2"/>
      <c r="E1786" s="2"/>
      <c r="F1786" s="2"/>
      <c r="G1786" s="2"/>
      <c r="H1786" s="2"/>
      <c r="I1786" s="5"/>
    </row>
    <row r="1787" spans="1:9" ht="17.399999999999999" x14ac:dyDescent="0.25">
      <c r="A1787" s="16"/>
      <c r="B1787" s="17"/>
      <c r="C1787" s="2"/>
      <c r="D1787" s="2"/>
      <c r="E1787" s="2"/>
      <c r="F1787" s="2"/>
      <c r="G1787" s="2"/>
      <c r="H1787" s="2"/>
      <c r="I1787" s="5"/>
    </row>
    <row r="1788" spans="1:9" ht="17.399999999999999" x14ac:dyDescent="0.25">
      <c r="A1788" s="16"/>
      <c r="B1788" s="17"/>
      <c r="C1788" s="2"/>
      <c r="D1788" s="2"/>
      <c r="E1788" s="2"/>
      <c r="F1788" s="2"/>
      <c r="G1788" s="2"/>
      <c r="H1788" s="2"/>
      <c r="I1788" s="5"/>
    </row>
    <row r="1789" spans="1:9" ht="17.399999999999999" x14ac:dyDescent="0.25">
      <c r="A1789" s="16"/>
      <c r="B1789" s="17"/>
      <c r="C1789" s="2"/>
      <c r="D1789" s="2"/>
      <c r="E1789" s="2"/>
      <c r="F1789" s="2"/>
      <c r="G1789" s="2"/>
      <c r="H1789" s="2"/>
      <c r="I1789" s="5"/>
    </row>
    <row r="1790" spans="1:9" ht="17.399999999999999" x14ac:dyDescent="0.25">
      <c r="A1790" s="16"/>
      <c r="B1790" s="17"/>
      <c r="C1790" s="2"/>
      <c r="D1790" s="2"/>
      <c r="E1790" s="2"/>
      <c r="F1790" s="2"/>
      <c r="G1790" s="2"/>
      <c r="H1790" s="2"/>
      <c r="I1790" s="5"/>
    </row>
    <row r="1791" spans="1:9" ht="17.399999999999999" x14ac:dyDescent="0.25">
      <c r="A1791" s="16"/>
      <c r="B1791" s="17"/>
      <c r="C1791" s="2"/>
      <c r="D1791" s="2"/>
      <c r="E1791" s="2"/>
      <c r="F1791" s="2"/>
      <c r="G1791" s="2"/>
      <c r="H1791" s="2"/>
      <c r="I1791" s="5"/>
    </row>
    <row r="1792" spans="1:9" ht="17.399999999999999" x14ac:dyDescent="0.25">
      <c r="A1792" s="16"/>
      <c r="B1792" s="17"/>
      <c r="C1792" s="2"/>
      <c r="D1792" s="2"/>
      <c r="E1792" s="2"/>
      <c r="F1792" s="2"/>
      <c r="G1792" s="2"/>
      <c r="H1792" s="2"/>
      <c r="I1792" s="5"/>
    </row>
    <row r="1793" spans="1:9" ht="17.399999999999999" x14ac:dyDescent="0.25">
      <c r="A1793" s="16"/>
      <c r="B1793" s="17"/>
      <c r="C1793" s="2"/>
      <c r="D1793" s="2"/>
      <c r="E1793" s="2"/>
      <c r="F1793" s="2"/>
      <c r="G1793" s="2"/>
      <c r="H1793" s="2"/>
      <c r="I1793" s="5"/>
    </row>
    <row r="1794" spans="1:9" ht="17.399999999999999" x14ac:dyDescent="0.25">
      <c r="A1794" s="16"/>
      <c r="B1794" s="17"/>
      <c r="C1794" s="2"/>
      <c r="D1794" s="2"/>
      <c r="E1794" s="2"/>
      <c r="F1794" s="2"/>
      <c r="G1794" s="2"/>
      <c r="H1794" s="2"/>
      <c r="I1794" s="5"/>
    </row>
    <row r="1795" spans="1:9" ht="17.399999999999999" x14ac:dyDescent="0.25">
      <c r="A1795" s="16"/>
      <c r="B1795" s="17"/>
      <c r="C1795" s="2"/>
      <c r="D1795" s="2"/>
      <c r="E1795" s="2"/>
      <c r="F1795" s="2"/>
      <c r="G1795" s="2"/>
      <c r="H1795" s="2"/>
      <c r="I1795" s="5"/>
    </row>
    <row r="1796" spans="1:9" ht="17.399999999999999" x14ac:dyDescent="0.25">
      <c r="A1796" s="16"/>
      <c r="B1796" s="17"/>
      <c r="C1796" s="2"/>
      <c r="D1796" s="2"/>
      <c r="E1796" s="2"/>
      <c r="F1796" s="2"/>
      <c r="G1796" s="2"/>
      <c r="H1796" s="2"/>
      <c r="I1796" s="5"/>
    </row>
    <row r="1797" spans="1:9" ht="17.399999999999999" x14ac:dyDescent="0.25">
      <c r="A1797" s="16"/>
      <c r="B1797" s="17"/>
      <c r="C1797" s="2"/>
      <c r="D1797" s="2"/>
      <c r="E1797" s="2"/>
      <c r="F1797" s="2"/>
      <c r="G1797" s="2"/>
      <c r="H1797" s="2"/>
      <c r="I1797" s="5"/>
    </row>
    <row r="1798" spans="1:9" ht="17.399999999999999" x14ac:dyDescent="0.25">
      <c r="A1798" s="16"/>
      <c r="B1798" s="17"/>
      <c r="C1798" s="2"/>
      <c r="D1798" s="2"/>
      <c r="E1798" s="2"/>
      <c r="F1798" s="2"/>
      <c r="G1798" s="2"/>
      <c r="H1798" s="2"/>
      <c r="I1798" s="5"/>
    </row>
    <row r="1799" spans="1:9" ht="17.399999999999999" x14ac:dyDescent="0.25">
      <c r="A1799" s="16"/>
      <c r="B1799" s="17"/>
      <c r="C1799" s="2"/>
      <c r="D1799" s="2"/>
      <c r="E1799" s="2"/>
      <c r="F1799" s="2"/>
      <c r="G1799" s="2"/>
      <c r="H1799" s="2"/>
      <c r="I1799" s="5"/>
    </row>
    <row r="1800" spans="1:9" ht="17.399999999999999" x14ac:dyDescent="0.25">
      <c r="A1800" s="16"/>
      <c r="B1800" s="17"/>
      <c r="C1800" s="2"/>
      <c r="D1800" s="2"/>
      <c r="E1800" s="2"/>
      <c r="F1800" s="2"/>
      <c r="G1800" s="2"/>
      <c r="H1800" s="2"/>
      <c r="I1800" s="5"/>
    </row>
    <row r="1801" spans="1:9" ht="17.399999999999999" x14ac:dyDescent="0.25">
      <c r="A1801" s="16"/>
      <c r="B1801" s="17"/>
      <c r="C1801" s="2"/>
      <c r="D1801" s="2"/>
      <c r="E1801" s="2"/>
      <c r="F1801" s="2"/>
      <c r="G1801" s="2"/>
      <c r="H1801" s="2"/>
      <c r="I1801" s="5"/>
    </row>
    <row r="1802" spans="1:9" ht="17.399999999999999" x14ac:dyDescent="0.25">
      <c r="A1802" s="16"/>
      <c r="B1802" s="17"/>
      <c r="C1802" s="2"/>
      <c r="D1802" s="2"/>
      <c r="E1802" s="2"/>
      <c r="F1802" s="2"/>
      <c r="G1802" s="2"/>
      <c r="H1802" s="2"/>
      <c r="I1802" s="5"/>
    </row>
    <row r="1803" spans="1:9" ht="17.399999999999999" x14ac:dyDescent="0.25">
      <c r="A1803" s="16"/>
      <c r="B1803" s="17"/>
      <c r="C1803" s="2"/>
      <c r="D1803" s="2"/>
      <c r="E1803" s="2"/>
      <c r="F1803" s="2"/>
      <c r="G1803" s="2"/>
      <c r="H1803" s="2"/>
      <c r="I1803" s="5"/>
    </row>
    <row r="1804" spans="1:9" ht="17.399999999999999" x14ac:dyDescent="0.25">
      <c r="A1804" s="16"/>
      <c r="B1804" s="17"/>
      <c r="C1804" s="2"/>
      <c r="D1804" s="2"/>
      <c r="E1804" s="2"/>
      <c r="F1804" s="2"/>
      <c r="G1804" s="2"/>
      <c r="H1804" s="2"/>
      <c r="I1804" s="5"/>
    </row>
    <row r="1805" spans="1:9" ht="17.399999999999999" x14ac:dyDescent="0.25">
      <c r="A1805" s="16"/>
      <c r="B1805" s="17"/>
      <c r="C1805" s="2"/>
      <c r="D1805" s="2"/>
      <c r="E1805" s="2"/>
      <c r="F1805" s="2"/>
      <c r="G1805" s="2"/>
      <c r="H1805" s="2"/>
      <c r="I1805" s="5"/>
    </row>
    <row r="1806" spans="1:9" ht="17.399999999999999" x14ac:dyDescent="0.25">
      <c r="A1806" s="16"/>
      <c r="B1806" s="17"/>
      <c r="C1806" s="2"/>
      <c r="D1806" s="2"/>
      <c r="E1806" s="2"/>
      <c r="F1806" s="2"/>
      <c r="G1806" s="2"/>
      <c r="H1806" s="2"/>
      <c r="I1806" s="5"/>
    </row>
    <row r="1807" spans="1:9" ht="17.399999999999999" x14ac:dyDescent="0.25">
      <c r="A1807" s="16"/>
      <c r="B1807" s="17"/>
      <c r="C1807" s="2"/>
      <c r="D1807" s="2"/>
      <c r="E1807" s="2"/>
      <c r="F1807" s="2"/>
      <c r="G1807" s="2"/>
      <c r="H1807" s="2"/>
      <c r="I1807" s="5"/>
    </row>
    <row r="1808" spans="1:9" ht="17.399999999999999" x14ac:dyDescent="0.25">
      <c r="A1808" s="16"/>
      <c r="B1808" s="17"/>
      <c r="C1808" s="2"/>
      <c r="D1808" s="2"/>
      <c r="E1808" s="2"/>
      <c r="F1808" s="2"/>
      <c r="G1808" s="2"/>
      <c r="H1808" s="2"/>
      <c r="I1808" s="5"/>
    </row>
    <row r="1809" spans="1:9" ht="17.399999999999999" x14ac:dyDescent="0.25">
      <c r="A1809" s="16"/>
      <c r="B1809" s="17"/>
      <c r="C1809" s="2"/>
      <c r="D1809" s="2"/>
      <c r="E1809" s="2"/>
      <c r="F1809" s="2"/>
      <c r="G1809" s="2"/>
      <c r="H1809" s="2"/>
      <c r="I1809" s="5"/>
    </row>
    <row r="1810" spans="1:9" ht="17.399999999999999" x14ac:dyDescent="0.25">
      <c r="A1810" s="16"/>
      <c r="B1810" s="17"/>
      <c r="C1810" s="2"/>
      <c r="D1810" s="2"/>
      <c r="E1810" s="2"/>
      <c r="F1810" s="2"/>
      <c r="G1810" s="2"/>
      <c r="H1810" s="2"/>
      <c r="I1810" s="5"/>
    </row>
    <row r="1811" spans="1:9" ht="17.399999999999999" x14ac:dyDescent="0.25">
      <c r="A1811" s="16"/>
      <c r="B1811" s="17"/>
      <c r="C1811" s="2"/>
      <c r="D1811" s="2"/>
      <c r="E1811" s="2"/>
      <c r="F1811" s="2"/>
      <c r="G1811" s="2"/>
      <c r="H1811" s="2"/>
      <c r="I1811" s="5"/>
    </row>
    <row r="1812" spans="1:9" ht="17.399999999999999" x14ac:dyDescent="0.25">
      <c r="A1812" s="16"/>
      <c r="B1812" s="17"/>
      <c r="C1812" s="2"/>
      <c r="D1812" s="2"/>
      <c r="E1812" s="2"/>
      <c r="F1812" s="2"/>
      <c r="G1812" s="2"/>
      <c r="H1812" s="2"/>
      <c r="I1812" s="5"/>
    </row>
    <row r="1813" spans="1:9" ht="17.399999999999999" x14ac:dyDescent="0.25">
      <c r="A1813" s="16"/>
      <c r="B1813" s="17"/>
      <c r="C1813" s="2"/>
      <c r="D1813" s="2"/>
      <c r="E1813" s="2"/>
      <c r="F1813" s="2"/>
      <c r="G1813" s="2"/>
      <c r="H1813" s="2"/>
      <c r="I1813" s="5"/>
    </row>
    <row r="1814" spans="1:9" ht="17.399999999999999" x14ac:dyDescent="0.25">
      <c r="A1814" s="16"/>
      <c r="B1814" s="17"/>
      <c r="C1814" s="2"/>
      <c r="D1814" s="2"/>
      <c r="E1814" s="2"/>
      <c r="F1814" s="2"/>
      <c r="G1814" s="2"/>
      <c r="H1814" s="2"/>
      <c r="I1814" s="5"/>
    </row>
    <row r="1815" spans="1:9" ht="17.399999999999999" x14ac:dyDescent="0.25">
      <c r="A1815" s="16"/>
      <c r="B1815" s="17"/>
      <c r="C1815" s="2"/>
      <c r="D1815" s="2"/>
      <c r="E1815" s="2"/>
      <c r="F1815" s="2"/>
      <c r="G1815" s="2"/>
      <c r="H1815" s="2"/>
      <c r="I1815" s="5"/>
    </row>
    <row r="1816" spans="1:9" ht="17.399999999999999" x14ac:dyDescent="0.25">
      <c r="A1816" s="16"/>
      <c r="B1816" s="17"/>
      <c r="C1816" s="2"/>
      <c r="D1816" s="2"/>
      <c r="E1816" s="2"/>
      <c r="F1816" s="2"/>
      <c r="G1816" s="2"/>
      <c r="H1816" s="2"/>
      <c r="I1816" s="5"/>
    </row>
    <row r="1817" spans="1:9" ht="17.399999999999999" x14ac:dyDescent="0.25">
      <c r="A1817" s="16"/>
      <c r="B1817" s="17"/>
      <c r="C1817" s="2"/>
      <c r="D1817" s="2"/>
      <c r="E1817" s="2"/>
      <c r="F1817" s="2"/>
      <c r="G1817" s="2"/>
      <c r="H1817" s="2"/>
      <c r="I1817" s="5"/>
    </row>
    <row r="1818" spans="1:9" ht="17.399999999999999" x14ac:dyDescent="0.25">
      <c r="A1818" s="16"/>
      <c r="B1818" s="17"/>
      <c r="C1818" s="2"/>
      <c r="D1818" s="2"/>
      <c r="E1818" s="2"/>
      <c r="F1818" s="2"/>
      <c r="G1818" s="2"/>
      <c r="H1818" s="2"/>
      <c r="I1818" s="5"/>
    </row>
    <row r="1819" spans="1:9" ht="17.399999999999999" x14ac:dyDescent="0.25">
      <c r="A1819" s="16"/>
      <c r="B1819" s="17"/>
      <c r="C1819" s="2"/>
      <c r="D1819" s="2"/>
      <c r="E1819" s="2"/>
      <c r="F1819" s="2"/>
      <c r="G1819" s="2"/>
      <c r="H1819" s="2"/>
      <c r="I1819" s="5"/>
    </row>
    <row r="1820" spans="1:9" ht="17.399999999999999" x14ac:dyDescent="0.25">
      <c r="A1820" s="16"/>
      <c r="B1820" s="17"/>
      <c r="C1820" s="2"/>
      <c r="D1820" s="2"/>
      <c r="E1820" s="2"/>
      <c r="F1820" s="2"/>
      <c r="G1820" s="2"/>
      <c r="H1820" s="2"/>
      <c r="I1820" s="5"/>
    </row>
    <row r="1821" spans="1:9" ht="17.399999999999999" x14ac:dyDescent="0.25">
      <c r="A1821" s="16"/>
      <c r="B1821" s="17"/>
      <c r="C1821" s="2"/>
      <c r="D1821" s="2"/>
      <c r="E1821" s="2"/>
      <c r="F1821" s="2"/>
      <c r="G1821" s="2"/>
      <c r="H1821" s="2"/>
      <c r="I1821" s="5"/>
    </row>
    <row r="1822" spans="1:9" ht="17.399999999999999" x14ac:dyDescent="0.25">
      <c r="A1822" s="16"/>
      <c r="B1822" s="17"/>
      <c r="C1822" s="2"/>
      <c r="D1822" s="2"/>
      <c r="E1822" s="2"/>
      <c r="F1822" s="2"/>
      <c r="G1822" s="2"/>
      <c r="H1822" s="2"/>
      <c r="I1822" s="5"/>
    </row>
    <row r="1823" spans="1:9" ht="17.399999999999999" x14ac:dyDescent="0.25">
      <c r="A1823" s="16"/>
      <c r="B1823" s="17"/>
      <c r="C1823" s="2"/>
      <c r="D1823" s="2"/>
      <c r="E1823" s="2"/>
      <c r="F1823" s="2"/>
      <c r="G1823" s="2"/>
      <c r="H1823" s="2"/>
      <c r="I1823" s="5"/>
    </row>
    <row r="1824" spans="1:9" ht="17.399999999999999" x14ac:dyDescent="0.25">
      <c r="A1824" s="16"/>
      <c r="B1824" s="17"/>
      <c r="C1824" s="2"/>
      <c r="D1824" s="2"/>
      <c r="E1824" s="2"/>
      <c r="F1824" s="2"/>
      <c r="G1824" s="2"/>
      <c r="H1824" s="2"/>
      <c r="I1824" s="5"/>
    </row>
    <row r="1825" spans="1:9" ht="17.399999999999999" x14ac:dyDescent="0.25">
      <c r="A1825" s="16"/>
      <c r="B1825" s="17"/>
      <c r="C1825" s="2"/>
      <c r="D1825" s="2"/>
      <c r="E1825" s="2"/>
      <c r="F1825" s="2"/>
      <c r="G1825" s="2"/>
      <c r="H1825" s="2"/>
      <c r="I1825" s="5"/>
    </row>
    <row r="1826" spans="1:9" ht="17.399999999999999" x14ac:dyDescent="0.25">
      <c r="A1826" s="16"/>
      <c r="B1826" s="17"/>
      <c r="C1826" s="2"/>
      <c r="D1826" s="2"/>
      <c r="E1826" s="2"/>
      <c r="F1826" s="2"/>
      <c r="G1826" s="2"/>
      <c r="H1826" s="2"/>
      <c r="I1826" s="5"/>
    </row>
    <row r="1827" spans="1:9" ht="17.399999999999999" x14ac:dyDescent="0.25">
      <c r="A1827" s="16"/>
      <c r="B1827" s="17"/>
      <c r="C1827" s="2"/>
      <c r="D1827" s="2"/>
      <c r="E1827" s="2"/>
      <c r="F1827" s="2"/>
      <c r="G1827" s="2"/>
      <c r="H1827" s="2"/>
      <c r="I1827" s="5"/>
    </row>
    <row r="1828" spans="1:9" ht="17.399999999999999" x14ac:dyDescent="0.25">
      <c r="A1828" s="16"/>
      <c r="B1828" s="17"/>
      <c r="C1828" s="2"/>
      <c r="D1828" s="2"/>
      <c r="E1828" s="2"/>
      <c r="F1828" s="2"/>
      <c r="G1828" s="2"/>
      <c r="H1828" s="2"/>
      <c r="I1828" s="5"/>
    </row>
    <row r="1829" spans="1:9" ht="17.399999999999999" x14ac:dyDescent="0.25">
      <c r="A1829" s="16"/>
      <c r="B1829" s="17"/>
      <c r="C1829" s="2"/>
      <c r="D1829" s="2"/>
      <c r="E1829" s="2"/>
      <c r="F1829" s="2"/>
      <c r="G1829" s="2"/>
      <c r="H1829" s="2"/>
      <c r="I1829" s="5"/>
    </row>
    <row r="1830" spans="1:9" ht="17.399999999999999" x14ac:dyDescent="0.25">
      <c r="A1830" s="16"/>
      <c r="B1830" s="17"/>
      <c r="C1830" s="2"/>
      <c r="D1830" s="2"/>
      <c r="E1830" s="2"/>
      <c r="F1830" s="2"/>
      <c r="G1830" s="2"/>
      <c r="H1830" s="2"/>
      <c r="I1830" s="5"/>
    </row>
    <row r="1831" spans="1:9" ht="17.399999999999999" x14ac:dyDescent="0.25">
      <c r="A1831" s="16"/>
      <c r="B1831" s="17"/>
      <c r="C1831" s="2"/>
      <c r="D1831" s="2"/>
      <c r="E1831" s="2"/>
      <c r="F1831" s="2"/>
      <c r="G1831" s="2"/>
      <c r="H1831" s="2"/>
      <c r="I1831" s="5"/>
    </row>
    <row r="1832" spans="1:9" ht="17.399999999999999" x14ac:dyDescent="0.25">
      <c r="A1832" s="16"/>
      <c r="B1832" s="17"/>
      <c r="C1832" s="2"/>
      <c r="D1832" s="2"/>
      <c r="E1832" s="2"/>
      <c r="F1832" s="2"/>
      <c r="G1832" s="2"/>
      <c r="H1832" s="2"/>
      <c r="I1832" s="5"/>
    </row>
    <row r="1833" spans="1:9" ht="17.399999999999999" x14ac:dyDescent="0.25">
      <c r="A1833" s="16"/>
      <c r="B1833" s="17"/>
      <c r="C1833" s="2"/>
      <c r="D1833" s="2"/>
      <c r="E1833" s="2"/>
      <c r="F1833" s="2"/>
      <c r="G1833" s="2"/>
      <c r="H1833" s="2"/>
      <c r="I1833" s="5"/>
    </row>
    <row r="1834" spans="1:9" ht="17.399999999999999" x14ac:dyDescent="0.25">
      <c r="A1834" s="16"/>
      <c r="B1834" s="17"/>
      <c r="C1834" s="2"/>
      <c r="D1834" s="2"/>
      <c r="E1834" s="2"/>
      <c r="F1834" s="2"/>
      <c r="G1834" s="2"/>
      <c r="H1834" s="2"/>
      <c r="I1834" s="5"/>
    </row>
    <row r="1835" spans="1:9" ht="17.399999999999999" x14ac:dyDescent="0.25">
      <c r="A1835" s="16"/>
      <c r="B1835" s="17"/>
      <c r="C1835" s="2"/>
      <c r="D1835" s="2"/>
      <c r="E1835" s="2"/>
      <c r="F1835" s="2"/>
      <c r="G1835" s="2"/>
      <c r="H1835" s="2"/>
      <c r="I1835" s="5"/>
    </row>
    <row r="1836" spans="1:9" ht="17.399999999999999" x14ac:dyDescent="0.25">
      <c r="A1836" s="16"/>
      <c r="B1836" s="17"/>
      <c r="C1836" s="2"/>
      <c r="D1836" s="2"/>
      <c r="E1836" s="2"/>
      <c r="F1836" s="2"/>
      <c r="G1836" s="2"/>
      <c r="H1836" s="2"/>
      <c r="I1836" s="5"/>
    </row>
    <row r="1837" spans="1:9" ht="17.399999999999999" x14ac:dyDescent="0.25">
      <c r="A1837" s="16"/>
      <c r="B1837" s="17"/>
      <c r="C1837" s="2"/>
      <c r="D1837" s="2"/>
      <c r="E1837" s="2"/>
      <c r="F1837" s="2"/>
      <c r="G1837" s="2"/>
      <c r="H1837" s="2"/>
      <c r="I1837" s="5"/>
    </row>
    <row r="1838" spans="1:9" ht="17.399999999999999" x14ac:dyDescent="0.25">
      <c r="A1838" s="16"/>
      <c r="B1838" s="17"/>
      <c r="C1838" s="2"/>
      <c r="D1838" s="2"/>
      <c r="E1838" s="2"/>
      <c r="F1838" s="2"/>
      <c r="G1838" s="2"/>
      <c r="H1838" s="2"/>
      <c r="I1838" s="5"/>
    </row>
    <row r="1839" spans="1:9" ht="17.399999999999999" x14ac:dyDescent="0.25">
      <c r="A1839" s="16"/>
      <c r="B1839" s="17"/>
      <c r="C1839" s="2"/>
      <c r="D1839" s="2"/>
      <c r="E1839" s="2"/>
      <c r="F1839" s="2"/>
      <c r="G1839" s="2"/>
      <c r="H1839" s="2"/>
      <c r="I1839" s="5"/>
    </row>
    <row r="1840" spans="1:9" ht="17.399999999999999" x14ac:dyDescent="0.25">
      <c r="A1840" s="16"/>
      <c r="B1840" s="17"/>
      <c r="C1840" s="2"/>
      <c r="D1840" s="2"/>
      <c r="E1840" s="2"/>
      <c r="F1840" s="2"/>
      <c r="G1840" s="2"/>
      <c r="H1840" s="2"/>
      <c r="I1840" s="5"/>
    </row>
    <row r="1841" spans="1:9" ht="17.399999999999999" x14ac:dyDescent="0.25">
      <c r="A1841" s="16"/>
      <c r="B1841" s="17"/>
      <c r="C1841" s="2"/>
      <c r="D1841" s="2"/>
      <c r="E1841" s="2"/>
      <c r="F1841" s="2"/>
      <c r="G1841" s="2"/>
      <c r="H1841" s="2"/>
      <c r="I1841" s="5"/>
    </row>
    <row r="1842" spans="1:9" ht="17.399999999999999" x14ac:dyDescent="0.25">
      <c r="A1842" s="16"/>
      <c r="B1842" s="17"/>
      <c r="C1842" s="2"/>
      <c r="D1842" s="2"/>
      <c r="E1842" s="2"/>
      <c r="F1842" s="2"/>
      <c r="G1842" s="2"/>
      <c r="H1842" s="2"/>
      <c r="I1842" s="5"/>
    </row>
    <row r="1843" spans="1:9" ht="17.399999999999999" x14ac:dyDescent="0.25">
      <c r="A1843" s="16"/>
      <c r="B1843" s="17"/>
      <c r="C1843" s="2"/>
      <c r="D1843" s="2"/>
      <c r="E1843" s="2"/>
      <c r="F1843" s="2"/>
      <c r="G1843" s="2"/>
      <c r="H1843" s="2"/>
      <c r="I1843" s="5"/>
    </row>
    <row r="1844" spans="1:9" ht="17.399999999999999" x14ac:dyDescent="0.25">
      <c r="A1844" s="16"/>
      <c r="B1844" s="17"/>
      <c r="C1844" s="2"/>
      <c r="D1844" s="2"/>
      <c r="E1844" s="2"/>
      <c r="F1844" s="2"/>
      <c r="G1844" s="2"/>
      <c r="H1844" s="2"/>
      <c r="I1844" s="5"/>
    </row>
    <row r="1845" spans="1:9" ht="17.399999999999999" x14ac:dyDescent="0.25">
      <c r="A1845" s="16"/>
      <c r="B1845" s="17"/>
      <c r="C1845" s="2"/>
      <c r="D1845" s="2"/>
      <c r="E1845" s="2"/>
      <c r="F1845" s="2"/>
      <c r="G1845" s="2"/>
      <c r="H1845" s="2"/>
      <c r="I1845" s="5"/>
    </row>
    <row r="1846" spans="1:9" ht="17.399999999999999" x14ac:dyDescent="0.25">
      <c r="A1846" s="16"/>
      <c r="B1846" s="17"/>
      <c r="C1846" s="2"/>
      <c r="D1846" s="2"/>
      <c r="E1846" s="2"/>
      <c r="F1846" s="2"/>
      <c r="G1846" s="2"/>
      <c r="H1846" s="2"/>
      <c r="I1846" s="5"/>
    </row>
    <row r="1847" spans="1:9" ht="17.399999999999999" x14ac:dyDescent="0.25">
      <c r="A1847" s="16"/>
      <c r="B1847" s="17"/>
      <c r="C1847" s="2"/>
      <c r="D1847" s="2"/>
      <c r="E1847" s="2"/>
      <c r="F1847" s="2"/>
      <c r="G1847" s="2"/>
      <c r="H1847" s="2"/>
      <c r="I1847" s="5"/>
    </row>
    <row r="1848" spans="1:9" ht="17.399999999999999" x14ac:dyDescent="0.25">
      <c r="A1848" s="16"/>
      <c r="B1848" s="17"/>
      <c r="C1848" s="2"/>
      <c r="D1848" s="2"/>
      <c r="E1848" s="2"/>
      <c r="F1848" s="2"/>
      <c r="G1848" s="2"/>
      <c r="H1848" s="2"/>
      <c r="I1848" s="5"/>
    </row>
    <row r="1849" spans="1:9" ht="17.399999999999999" x14ac:dyDescent="0.25">
      <c r="A1849" s="16"/>
      <c r="B1849" s="17"/>
      <c r="C1849" s="2"/>
      <c r="D1849" s="2"/>
      <c r="E1849" s="2"/>
      <c r="F1849" s="2"/>
      <c r="G1849" s="2"/>
      <c r="H1849" s="2"/>
      <c r="I1849" s="5"/>
    </row>
    <row r="1850" spans="1:9" ht="17.399999999999999" x14ac:dyDescent="0.25">
      <c r="A1850" s="16"/>
      <c r="B1850" s="17"/>
      <c r="C1850" s="2"/>
      <c r="D1850" s="2"/>
      <c r="E1850" s="2"/>
      <c r="F1850" s="2"/>
      <c r="G1850" s="2"/>
      <c r="H1850" s="2"/>
      <c r="I1850" s="5"/>
    </row>
    <row r="1851" spans="1:9" ht="17.399999999999999" x14ac:dyDescent="0.25">
      <c r="A1851" s="16"/>
      <c r="B1851" s="17"/>
      <c r="C1851" s="2"/>
      <c r="D1851" s="2"/>
      <c r="E1851" s="2"/>
      <c r="F1851" s="2"/>
      <c r="G1851" s="2"/>
      <c r="H1851" s="2"/>
      <c r="I1851" s="5"/>
    </row>
    <row r="1852" spans="1:9" ht="17.399999999999999" x14ac:dyDescent="0.25">
      <c r="A1852" s="16"/>
      <c r="B1852" s="17"/>
      <c r="C1852" s="2"/>
      <c r="D1852" s="2"/>
      <c r="E1852" s="2"/>
      <c r="F1852" s="2"/>
      <c r="G1852" s="2"/>
      <c r="H1852" s="2"/>
      <c r="I1852" s="5"/>
    </row>
    <row r="1853" spans="1:9" ht="17.399999999999999" x14ac:dyDescent="0.25">
      <c r="A1853" s="16"/>
      <c r="B1853" s="17"/>
      <c r="C1853" s="2"/>
      <c r="D1853" s="2"/>
      <c r="E1853" s="2"/>
      <c r="F1853" s="2"/>
      <c r="G1853" s="2"/>
      <c r="H1853" s="2"/>
      <c r="I1853" s="5"/>
    </row>
    <row r="1854" spans="1:9" ht="17.399999999999999" x14ac:dyDescent="0.25">
      <c r="A1854" s="16"/>
      <c r="B1854" s="17"/>
      <c r="C1854" s="2"/>
      <c r="D1854" s="2"/>
      <c r="E1854" s="2"/>
      <c r="F1854" s="2"/>
      <c r="G1854" s="2"/>
      <c r="H1854" s="2"/>
      <c r="I1854" s="5"/>
    </row>
    <row r="1855" spans="1:9" ht="17.399999999999999" x14ac:dyDescent="0.25">
      <c r="A1855" s="16"/>
      <c r="B1855" s="17"/>
      <c r="C1855" s="2"/>
      <c r="D1855" s="2"/>
      <c r="E1855" s="2"/>
      <c r="F1855" s="2"/>
      <c r="G1855" s="2"/>
      <c r="H1855" s="2"/>
      <c r="I1855" s="5"/>
    </row>
    <row r="1856" spans="1:9" ht="17.399999999999999" x14ac:dyDescent="0.25">
      <c r="A1856" s="16"/>
      <c r="B1856" s="17"/>
      <c r="C1856" s="2"/>
      <c r="D1856" s="2"/>
      <c r="E1856" s="2"/>
      <c r="F1856" s="2"/>
      <c r="G1856" s="2"/>
      <c r="H1856" s="2"/>
      <c r="I1856" s="5"/>
    </row>
    <row r="1857" spans="1:9" ht="17.399999999999999" x14ac:dyDescent="0.25">
      <c r="A1857" s="16"/>
      <c r="B1857" s="17"/>
      <c r="C1857" s="2"/>
      <c r="D1857" s="2"/>
      <c r="E1857" s="2"/>
      <c r="F1857" s="2"/>
      <c r="G1857" s="2"/>
      <c r="H1857" s="2"/>
      <c r="I1857" s="5"/>
    </row>
    <row r="1858" spans="1:9" ht="17.399999999999999" x14ac:dyDescent="0.25">
      <c r="A1858" s="16"/>
      <c r="B1858" s="17"/>
      <c r="C1858" s="2"/>
      <c r="D1858" s="2"/>
      <c r="E1858" s="2"/>
      <c r="F1858" s="2"/>
      <c r="G1858" s="2"/>
      <c r="H1858" s="2"/>
      <c r="I1858" s="5"/>
    </row>
    <row r="1859" spans="1:9" ht="17.399999999999999" x14ac:dyDescent="0.25">
      <c r="A1859" s="16"/>
      <c r="B1859" s="17"/>
      <c r="C1859" s="2"/>
      <c r="D1859" s="2"/>
      <c r="E1859" s="2"/>
      <c r="F1859" s="2"/>
      <c r="G1859" s="2"/>
      <c r="H1859" s="2"/>
      <c r="I1859" s="5"/>
    </row>
    <row r="1860" spans="1:9" ht="17.399999999999999" x14ac:dyDescent="0.25">
      <c r="A1860" s="16"/>
      <c r="B1860" s="17"/>
      <c r="C1860" s="2"/>
      <c r="D1860" s="2"/>
      <c r="E1860" s="2"/>
      <c r="F1860" s="2"/>
      <c r="G1860" s="2"/>
      <c r="H1860" s="2"/>
      <c r="I1860" s="5"/>
    </row>
    <row r="1861" spans="1:9" ht="17.399999999999999" x14ac:dyDescent="0.25">
      <c r="A1861" s="16"/>
      <c r="B1861" s="17"/>
      <c r="C1861" s="2"/>
      <c r="D1861" s="2"/>
      <c r="E1861" s="2"/>
      <c r="F1861" s="2"/>
      <c r="G1861" s="2"/>
      <c r="H1861" s="2"/>
      <c r="I1861" s="5"/>
    </row>
    <row r="1862" spans="1:9" ht="17.399999999999999" x14ac:dyDescent="0.25">
      <c r="A1862" s="16"/>
      <c r="B1862" s="17"/>
      <c r="C1862" s="2"/>
      <c r="D1862" s="2"/>
      <c r="E1862" s="2"/>
      <c r="F1862" s="2"/>
      <c r="G1862" s="2"/>
      <c r="H1862" s="2"/>
      <c r="I1862" s="5"/>
    </row>
    <row r="1863" spans="1:9" ht="17.399999999999999" x14ac:dyDescent="0.25">
      <c r="A1863" s="16"/>
      <c r="B1863" s="17"/>
      <c r="C1863" s="2"/>
      <c r="D1863" s="2"/>
      <c r="E1863" s="2"/>
      <c r="F1863" s="2"/>
      <c r="G1863" s="2"/>
      <c r="H1863" s="2"/>
      <c r="I1863" s="5"/>
    </row>
    <row r="1864" spans="1:9" ht="17.399999999999999" x14ac:dyDescent="0.25">
      <c r="A1864" s="16"/>
      <c r="B1864" s="17"/>
      <c r="C1864" s="2"/>
      <c r="D1864" s="2"/>
      <c r="E1864" s="2"/>
      <c r="F1864" s="2"/>
      <c r="G1864" s="2"/>
      <c r="H1864" s="2"/>
      <c r="I1864" s="5"/>
    </row>
    <row r="1865" spans="1:9" ht="17.399999999999999" x14ac:dyDescent="0.25">
      <c r="A1865" s="16"/>
      <c r="B1865" s="17"/>
      <c r="C1865" s="2"/>
      <c r="D1865" s="2"/>
      <c r="E1865" s="2"/>
      <c r="F1865" s="2"/>
      <c r="G1865" s="2"/>
      <c r="H1865" s="2"/>
      <c r="I1865" s="5"/>
    </row>
    <row r="1866" spans="1:9" ht="17.399999999999999" x14ac:dyDescent="0.25">
      <c r="A1866" s="16"/>
      <c r="B1866" s="17"/>
      <c r="C1866" s="2"/>
      <c r="D1866" s="2"/>
      <c r="E1866" s="2"/>
      <c r="F1866" s="2"/>
      <c r="G1866" s="2"/>
      <c r="H1866" s="2"/>
      <c r="I1866" s="5"/>
    </row>
    <row r="1867" spans="1:9" ht="17.399999999999999" x14ac:dyDescent="0.25">
      <c r="A1867" s="16"/>
      <c r="B1867" s="17"/>
      <c r="C1867" s="2"/>
      <c r="D1867" s="2"/>
      <c r="E1867" s="2"/>
      <c r="F1867" s="2"/>
      <c r="G1867" s="2"/>
      <c r="H1867" s="2"/>
      <c r="I1867" s="5"/>
    </row>
    <row r="1868" spans="1:9" ht="17.399999999999999" x14ac:dyDescent="0.25">
      <c r="A1868" s="16"/>
      <c r="B1868" s="17"/>
      <c r="C1868" s="2"/>
      <c r="D1868" s="2"/>
      <c r="E1868" s="2"/>
      <c r="F1868" s="2"/>
      <c r="G1868" s="2"/>
      <c r="H1868" s="2"/>
      <c r="I1868" s="5"/>
    </row>
    <row r="1869" spans="1:9" ht="17.399999999999999" x14ac:dyDescent="0.25">
      <c r="A1869" s="16"/>
      <c r="B1869" s="17"/>
      <c r="C1869" s="2"/>
      <c r="D1869" s="2"/>
      <c r="E1869" s="2"/>
      <c r="F1869" s="2"/>
      <c r="G1869" s="2"/>
      <c r="H1869" s="2"/>
      <c r="I1869" s="5"/>
    </row>
    <row r="1870" spans="1:9" ht="17.399999999999999" x14ac:dyDescent="0.25">
      <c r="A1870" s="16"/>
      <c r="B1870" s="17"/>
      <c r="C1870" s="2"/>
      <c r="D1870" s="2"/>
      <c r="E1870" s="2"/>
      <c r="F1870" s="2"/>
      <c r="G1870" s="2"/>
      <c r="H1870" s="2"/>
      <c r="I1870" s="5"/>
    </row>
    <row r="1871" spans="1:9" ht="17.399999999999999" x14ac:dyDescent="0.25">
      <c r="A1871" s="16"/>
      <c r="B1871" s="17"/>
      <c r="C1871" s="2"/>
      <c r="D1871" s="2"/>
      <c r="E1871" s="2"/>
      <c r="F1871" s="2"/>
      <c r="G1871" s="2"/>
      <c r="H1871" s="2"/>
      <c r="I1871" s="5"/>
    </row>
    <row r="1872" spans="1:9" ht="17.399999999999999" x14ac:dyDescent="0.25">
      <c r="A1872" s="16"/>
      <c r="B1872" s="17"/>
      <c r="C1872" s="2"/>
      <c r="D1872" s="2"/>
      <c r="E1872" s="2"/>
      <c r="F1872" s="2"/>
      <c r="G1872" s="2"/>
      <c r="H1872" s="2"/>
      <c r="I1872" s="5"/>
    </row>
    <row r="1873" spans="1:9" ht="17.399999999999999" x14ac:dyDescent="0.25">
      <c r="A1873" s="16"/>
      <c r="B1873" s="17"/>
      <c r="C1873" s="2"/>
      <c r="D1873" s="2"/>
      <c r="E1873" s="2"/>
      <c r="F1873" s="2"/>
      <c r="G1873" s="2"/>
      <c r="H1873" s="2"/>
      <c r="I1873" s="5"/>
    </row>
    <row r="1874" spans="1:9" ht="17.399999999999999" x14ac:dyDescent="0.25">
      <c r="A1874" s="16"/>
      <c r="B1874" s="17"/>
      <c r="C1874" s="2"/>
      <c r="D1874" s="2"/>
      <c r="E1874" s="2"/>
      <c r="F1874" s="2"/>
      <c r="G1874" s="2"/>
      <c r="H1874" s="2"/>
      <c r="I1874" s="5"/>
    </row>
    <row r="1875" spans="1:9" ht="17.399999999999999" x14ac:dyDescent="0.25">
      <c r="A1875" s="16"/>
      <c r="B1875" s="17"/>
      <c r="C1875" s="2"/>
      <c r="D1875" s="2"/>
      <c r="E1875" s="2"/>
      <c r="F1875" s="2"/>
      <c r="G1875" s="2"/>
      <c r="H1875" s="2"/>
      <c r="I1875" s="5"/>
    </row>
    <row r="1876" spans="1:9" ht="17.399999999999999" x14ac:dyDescent="0.25">
      <c r="A1876" s="16"/>
      <c r="B1876" s="17"/>
      <c r="C1876" s="2"/>
      <c r="D1876" s="2"/>
      <c r="E1876" s="2"/>
      <c r="F1876" s="2"/>
      <c r="G1876" s="2"/>
      <c r="H1876" s="2"/>
      <c r="I1876" s="5"/>
    </row>
    <row r="1877" spans="1:9" ht="17.399999999999999" x14ac:dyDescent="0.25">
      <c r="A1877" s="16"/>
      <c r="B1877" s="17"/>
      <c r="C1877" s="2"/>
      <c r="D1877" s="2"/>
      <c r="E1877" s="2"/>
      <c r="F1877" s="2"/>
      <c r="G1877" s="2"/>
      <c r="H1877" s="2"/>
      <c r="I1877" s="5"/>
    </row>
    <row r="1878" spans="1:9" ht="17.399999999999999" x14ac:dyDescent="0.25">
      <c r="A1878" s="16"/>
      <c r="B1878" s="17"/>
      <c r="C1878" s="2"/>
      <c r="D1878" s="2"/>
      <c r="E1878" s="2"/>
      <c r="F1878" s="2"/>
      <c r="G1878" s="2"/>
      <c r="H1878" s="2"/>
      <c r="I1878" s="5"/>
    </row>
    <row r="1879" spans="1:9" ht="17.399999999999999" x14ac:dyDescent="0.25">
      <c r="A1879" s="16"/>
      <c r="B1879" s="17"/>
      <c r="C1879" s="2"/>
      <c r="D1879" s="2"/>
      <c r="E1879" s="2"/>
      <c r="F1879" s="2"/>
      <c r="G1879" s="2"/>
      <c r="H1879" s="2"/>
      <c r="I1879" s="5"/>
    </row>
    <row r="1880" spans="1:9" ht="17.399999999999999" x14ac:dyDescent="0.25">
      <c r="A1880" s="16"/>
      <c r="B1880" s="17"/>
      <c r="C1880" s="2"/>
      <c r="D1880" s="2"/>
      <c r="E1880" s="2"/>
      <c r="F1880" s="2"/>
      <c r="G1880" s="2"/>
      <c r="H1880" s="2"/>
      <c r="I1880" s="5"/>
    </row>
    <row r="1881" spans="1:9" ht="17.399999999999999" x14ac:dyDescent="0.25">
      <c r="A1881" s="16"/>
      <c r="B1881" s="17"/>
      <c r="C1881" s="2"/>
      <c r="D1881" s="2"/>
      <c r="E1881" s="2"/>
      <c r="F1881" s="2"/>
      <c r="G1881" s="2"/>
      <c r="H1881" s="2"/>
      <c r="I1881" s="5"/>
    </row>
    <row r="1882" spans="1:9" ht="17.399999999999999" x14ac:dyDescent="0.25">
      <c r="A1882" s="16"/>
      <c r="B1882" s="17"/>
      <c r="C1882" s="2"/>
      <c r="D1882" s="2"/>
      <c r="E1882" s="2"/>
      <c r="F1882" s="2"/>
      <c r="G1882" s="2"/>
      <c r="H1882" s="2"/>
      <c r="I1882" s="5"/>
    </row>
    <row r="1883" spans="1:9" ht="17.399999999999999" x14ac:dyDescent="0.25">
      <c r="A1883" s="16"/>
      <c r="B1883" s="17"/>
      <c r="C1883" s="2"/>
      <c r="D1883" s="2"/>
      <c r="E1883" s="2"/>
      <c r="F1883" s="2"/>
      <c r="G1883" s="2"/>
      <c r="H1883" s="2"/>
      <c r="I1883" s="5"/>
    </row>
    <row r="1884" spans="1:9" ht="17.399999999999999" x14ac:dyDescent="0.25">
      <c r="A1884" s="16"/>
      <c r="B1884" s="17"/>
      <c r="C1884" s="2"/>
      <c r="D1884" s="2"/>
      <c r="E1884" s="2"/>
      <c r="F1884" s="2"/>
      <c r="G1884" s="2"/>
      <c r="H1884" s="2"/>
      <c r="I1884" s="5"/>
    </row>
    <row r="1885" spans="1:9" ht="17.399999999999999" x14ac:dyDescent="0.25">
      <c r="A1885" s="16"/>
      <c r="B1885" s="17"/>
      <c r="C1885" s="2"/>
      <c r="D1885" s="2"/>
      <c r="E1885" s="2"/>
      <c r="F1885" s="2"/>
      <c r="G1885" s="2"/>
      <c r="H1885" s="2"/>
      <c r="I1885" s="5"/>
    </row>
    <row r="1886" spans="1:9" ht="17.399999999999999" x14ac:dyDescent="0.25">
      <c r="A1886" s="16"/>
      <c r="B1886" s="17"/>
      <c r="C1886" s="2"/>
      <c r="D1886" s="2"/>
      <c r="E1886" s="2"/>
      <c r="F1886" s="2"/>
      <c r="G1886" s="2"/>
      <c r="H1886" s="2"/>
      <c r="I1886" s="5"/>
    </row>
    <row r="1887" spans="1:9" ht="17.399999999999999" x14ac:dyDescent="0.25">
      <c r="A1887" s="16"/>
      <c r="B1887" s="17"/>
      <c r="C1887" s="2"/>
      <c r="D1887" s="2"/>
      <c r="E1887" s="2"/>
      <c r="F1887" s="2"/>
      <c r="G1887" s="2"/>
      <c r="H1887" s="2"/>
      <c r="I1887" s="5"/>
    </row>
    <row r="1888" spans="1:9" ht="17.399999999999999" x14ac:dyDescent="0.25">
      <c r="A1888" s="16"/>
      <c r="B1888" s="17"/>
      <c r="C1888" s="2"/>
      <c r="D1888" s="2"/>
      <c r="E1888" s="2"/>
      <c r="F1888" s="2"/>
      <c r="G1888" s="2"/>
      <c r="H1888" s="2"/>
      <c r="I1888" s="5"/>
    </row>
    <row r="1889" spans="1:9" ht="17.399999999999999" x14ac:dyDescent="0.25">
      <c r="A1889" s="16"/>
      <c r="B1889" s="17"/>
      <c r="C1889" s="2"/>
      <c r="D1889" s="2"/>
      <c r="E1889" s="2"/>
      <c r="F1889" s="2"/>
      <c r="G1889" s="2"/>
      <c r="H1889" s="2"/>
      <c r="I1889" s="5"/>
    </row>
    <row r="1890" spans="1:9" ht="17.399999999999999" x14ac:dyDescent="0.25">
      <c r="A1890" s="16"/>
      <c r="B1890" s="17"/>
      <c r="C1890" s="2"/>
      <c r="D1890" s="2"/>
      <c r="E1890" s="2"/>
      <c r="F1890" s="2"/>
      <c r="G1890" s="2"/>
      <c r="H1890" s="2"/>
      <c r="I1890" s="5"/>
    </row>
    <row r="1891" spans="1:9" ht="17.399999999999999" x14ac:dyDescent="0.25">
      <c r="A1891" s="16"/>
      <c r="B1891" s="17"/>
      <c r="C1891" s="2"/>
      <c r="D1891" s="2"/>
      <c r="E1891" s="2"/>
      <c r="F1891" s="2"/>
      <c r="G1891" s="2"/>
      <c r="H1891" s="2"/>
      <c r="I1891" s="5"/>
    </row>
    <row r="1892" spans="1:9" ht="17.399999999999999" x14ac:dyDescent="0.25">
      <c r="A1892" s="16"/>
      <c r="B1892" s="17"/>
      <c r="C1892" s="2"/>
      <c r="D1892" s="2"/>
      <c r="E1892" s="2"/>
      <c r="F1892" s="2"/>
      <c r="G1892" s="2"/>
      <c r="H1892" s="2"/>
      <c r="I1892" s="5"/>
    </row>
    <row r="1893" spans="1:9" ht="17.399999999999999" x14ac:dyDescent="0.25">
      <c r="A1893" s="16"/>
      <c r="B1893" s="17"/>
      <c r="C1893" s="2"/>
      <c r="D1893" s="2"/>
      <c r="E1893" s="2"/>
      <c r="F1893" s="2"/>
      <c r="G1893" s="2"/>
      <c r="H1893" s="2"/>
      <c r="I1893" s="5"/>
    </row>
    <row r="1894" spans="1:9" ht="17.399999999999999" x14ac:dyDescent="0.25">
      <c r="A1894" s="16"/>
      <c r="B1894" s="17"/>
      <c r="C1894" s="2"/>
      <c r="D1894" s="2"/>
      <c r="E1894" s="2"/>
      <c r="F1894" s="2"/>
      <c r="G1894" s="2"/>
      <c r="H1894" s="2"/>
      <c r="I1894" s="5"/>
    </row>
    <row r="1895" spans="1:9" ht="17.399999999999999" x14ac:dyDescent="0.25">
      <c r="A1895" s="16"/>
      <c r="B1895" s="17"/>
      <c r="C1895" s="2"/>
      <c r="D1895" s="2"/>
      <c r="E1895" s="2"/>
      <c r="F1895" s="2"/>
      <c r="G1895" s="2"/>
      <c r="H1895" s="2"/>
      <c r="I1895" s="5"/>
    </row>
    <row r="1896" spans="1:9" ht="17.399999999999999" x14ac:dyDescent="0.25">
      <c r="A1896" s="16"/>
      <c r="B1896" s="17"/>
      <c r="C1896" s="2"/>
      <c r="D1896" s="2"/>
      <c r="E1896" s="2"/>
      <c r="F1896" s="2"/>
      <c r="G1896" s="2"/>
      <c r="H1896" s="2"/>
      <c r="I1896" s="5"/>
    </row>
    <row r="1897" spans="1:9" ht="17.399999999999999" x14ac:dyDescent="0.25">
      <c r="A1897" s="16"/>
      <c r="B1897" s="17"/>
      <c r="C1897" s="2"/>
      <c r="D1897" s="2"/>
      <c r="E1897" s="2"/>
      <c r="F1897" s="2"/>
      <c r="G1897" s="2"/>
      <c r="H1897" s="2"/>
      <c r="I1897" s="5"/>
    </row>
    <row r="1898" spans="1:9" ht="17.399999999999999" x14ac:dyDescent="0.25">
      <c r="A1898" s="16"/>
      <c r="B1898" s="17"/>
      <c r="C1898" s="2"/>
      <c r="D1898" s="2"/>
      <c r="E1898" s="2"/>
      <c r="F1898" s="2"/>
      <c r="G1898" s="2"/>
      <c r="H1898" s="2"/>
      <c r="I1898" s="5"/>
    </row>
    <row r="1899" spans="1:9" ht="17.399999999999999" x14ac:dyDescent="0.25">
      <c r="A1899" s="16"/>
      <c r="B1899" s="17"/>
      <c r="C1899" s="2"/>
      <c r="D1899" s="2"/>
      <c r="E1899" s="2"/>
      <c r="F1899" s="2"/>
      <c r="G1899" s="2"/>
      <c r="H1899" s="2"/>
      <c r="I1899" s="5"/>
    </row>
    <row r="1900" spans="1:9" ht="17.399999999999999" x14ac:dyDescent="0.25">
      <c r="A1900" s="16"/>
      <c r="B1900" s="17"/>
      <c r="C1900" s="2"/>
      <c r="D1900" s="2"/>
      <c r="E1900" s="2"/>
      <c r="F1900" s="2"/>
      <c r="G1900" s="2"/>
      <c r="H1900" s="2"/>
      <c r="I1900" s="5"/>
    </row>
    <row r="1901" spans="1:9" ht="17.399999999999999" x14ac:dyDescent="0.25">
      <c r="A1901" s="16"/>
      <c r="B1901" s="17"/>
      <c r="C1901" s="2"/>
      <c r="D1901" s="2"/>
      <c r="E1901" s="2"/>
      <c r="F1901" s="2"/>
      <c r="G1901" s="2"/>
      <c r="H1901" s="2"/>
      <c r="I1901" s="5"/>
    </row>
    <row r="1902" spans="1:9" ht="17.399999999999999" x14ac:dyDescent="0.25">
      <c r="A1902" s="16"/>
      <c r="B1902" s="17"/>
      <c r="C1902" s="2"/>
      <c r="D1902" s="2"/>
      <c r="E1902" s="2"/>
      <c r="F1902" s="2"/>
      <c r="G1902" s="2"/>
      <c r="H1902" s="2"/>
      <c r="I1902" s="5"/>
    </row>
    <row r="1903" spans="1:9" ht="17.399999999999999" x14ac:dyDescent="0.25">
      <c r="A1903" s="16"/>
      <c r="B1903" s="17"/>
      <c r="C1903" s="2"/>
      <c r="D1903" s="2"/>
      <c r="E1903" s="2"/>
      <c r="F1903" s="2"/>
      <c r="G1903" s="2"/>
      <c r="H1903" s="2"/>
      <c r="I1903" s="5"/>
    </row>
    <row r="1904" spans="1:9" ht="17.399999999999999" x14ac:dyDescent="0.25">
      <c r="A1904" s="16"/>
      <c r="B1904" s="17"/>
      <c r="C1904" s="2"/>
      <c r="D1904" s="2"/>
      <c r="E1904" s="2"/>
      <c r="F1904" s="2"/>
      <c r="G1904" s="2"/>
      <c r="H1904" s="2"/>
      <c r="I1904" s="5"/>
    </row>
    <row r="1905" spans="1:9" ht="17.399999999999999" x14ac:dyDescent="0.25">
      <c r="A1905" s="16"/>
      <c r="B1905" s="17"/>
      <c r="C1905" s="2"/>
      <c r="D1905" s="2"/>
      <c r="E1905" s="2"/>
      <c r="F1905" s="2"/>
      <c r="G1905" s="2"/>
      <c r="H1905" s="2"/>
      <c r="I1905" s="5"/>
    </row>
    <row r="1906" spans="1:9" ht="17.399999999999999" x14ac:dyDescent="0.25">
      <c r="A1906" s="16"/>
      <c r="B1906" s="17"/>
      <c r="C1906" s="2"/>
      <c r="D1906" s="2"/>
      <c r="E1906" s="2"/>
      <c r="F1906" s="2"/>
      <c r="G1906" s="2"/>
      <c r="H1906" s="2"/>
      <c r="I1906" s="5"/>
    </row>
    <row r="1907" spans="1:9" ht="17.399999999999999" x14ac:dyDescent="0.25">
      <c r="A1907" s="16"/>
      <c r="B1907" s="17"/>
      <c r="C1907" s="2"/>
      <c r="D1907" s="2"/>
      <c r="E1907" s="2"/>
      <c r="F1907" s="2"/>
      <c r="G1907" s="2"/>
      <c r="H1907" s="2"/>
      <c r="I1907" s="5"/>
    </row>
    <row r="1908" spans="1:9" ht="17.399999999999999" x14ac:dyDescent="0.25">
      <c r="A1908" s="16"/>
      <c r="B1908" s="17"/>
      <c r="C1908" s="2"/>
      <c r="D1908" s="2"/>
      <c r="E1908" s="2"/>
      <c r="F1908" s="2"/>
      <c r="G1908" s="2"/>
      <c r="H1908" s="2"/>
      <c r="I1908" s="5"/>
    </row>
    <row r="1909" spans="1:9" ht="17.399999999999999" x14ac:dyDescent="0.25">
      <c r="A1909" s="16"/>
      <c r="B1909" s="17"/>
      <c r="C1909" s="2"/>
      <c r="D1909" s="2"/>
      <c r="E1909" s="2"/>
      <c r="F1909" s="2"/>
      <c r="G1909" s="2"/>
      <c r="H1909" s="2"/>
      <c r="I1909" s="5"/>
    </row>
    <row r="1910" spans="1:9" ht="17.399999999999999" x14ac:dyDescent="0.25">
      <c r="A1910" s="16"/>
      <c r="B1910" s="17"/>
      <c r="C1910" s="2"/>
      <c r="D1910" s="2"/>
      <c r="E1910" s="2"/>
      <c r="F1910" s="2"/>
      <c r="G1910" s="2"/>
      <c r="H1910" s="2"/>
      <c r="I1910" s="5"/>
    </row>
    <row r="1911" spans="1:9" ht="17.399999999999999" x14ac:dyDescent="0.25">
      <c r="A1911" s="16"/>
      <c r="B1911" s="17"/>
      <c r="C1911" s="2"/>
      <c r="D1911" s="2"/>
      <c r="E1911" s="2"/>
      <c r="F1911" s="2"/>
      <c r="G1911" s="2"/>
      <c r="H1911" s="2"/>
      <c r="I1911" s="5"/>
    </row>
    <row r="1912" spans="1:9" ht="17.399999999999999" x14ac:dyDescent="0.25">
      <c r="A1912" s="16"/>
      <c r="B1912" s="17"/>
      <c r="C1912" s="2"/>
      <c r="D1912" s="2"/>
      <c r="E1912" s="2"/>
      <c r="F1912" s="2"/>
      <c r="G1912" s="2"/>
      <c r="H1912" s="2"/>
      <c r="I1912" s="5"/>
    </row>
    <row r="1913" spans="1:9" ht="17.399999999999999" x14ac:dyDescent="0.25">
      <c r="A1913" s="16"/>
      <c r="B1913" s="17"/>
      <c r="C1913" s="2"/>
      <c r="D1913" s="2"/>
      <c r="E1913" s="2"/>
      <c r="F1913" s="2"/>
      <c r="G1913" s="2"/>
      <c r="H1913" s="2"/>
      <c r="I1913" s="5"/>
    </row>
    <row r="1914" spans="1:9" ht="17.399999999999999" x14ac:dyDescent="0.25">
      <c r="A1914" s="16"/>
      <c r="B1914" s="17"/>
      <c r="C1914" s="2"/>
      <c r="D1914" s="2"/>
      <c r="E1914" s="2"/>
      <c r="F1914" s="2"/>
      <c r="G1914" s="2"/>
      <c r="H1914" s="2"/>
      <c r="I1914" s="5"/>
    </row>
    <row r="1915" spans="1:9" ht="17.399999999999999" x14ac:dyDescent="0.25">
      <c r="A1915" s="16"/>
      <c r="B1915" s="17"/>
      <c r="C1915" s="2"/>
      <c r="D1915" s="2"/>
      <c r="E1915" s="2"/>
      <c r="F1915" s="2"/>
      <c r="G1915" s="2"/>
      <c r="H1915" s="2"/>
      <c r="I1915" s="5"/>
    </row>
    <row r="1916" spans="1:9" ht="17.399999999999999" x14ac:dyDescent="0.25">
      <c r="A1916" s="16"/>
      <c r="B1916" s="17"/>
      <c r="C1916" s="2"/>
      <c r="D1916" s="2"/>
      <c r="E1916" s="2"/>
      <c r="F1916" s="2"/>
      <c r="G1916" s="2"/>
      <c r="H1916" s="2"/>
      <c r="I1916" s="5"/>
    </row>
    <row r="1917" spans="1:9" ht="17.399999999999999" x14ac:dyDescent="0.25">
      <c r="A1917" s="16"/>
      <c r="B1917" s="17"/>
      <c r="C1917" s="2"/>
      <c r="D1917" s="2"/>
      <c r="E1917" s="2"/>
      <c r="F1917" s="2"/>
      <c r="G1917" s="2"/>
      <c r="H1917" s="2"/>
      <c r="I1917" s="5"/>
    </row>
    <row r="1918" spans="1:9" ht="17.399999999999999" x14ac:dyDescent="0.25">
      <c r="A1918" s="16"/>
      <c r="B1918" s="17"/>
      <c r="C1918" s="2"/>
      <c r="D1918" s="2"/>
      <c r="E1918" s="2"/>
      <c r="F1918" s="2"/>
      <c r="G1918" s="2"/>
      <c r="H1918" s="2"/>
      <c r="I1918" s="5"/>
    </row>
    <row r="1919" spans="1:9" ht="17.399999999999999" x14ac:dyDescent="0.25">
      <c r="A1919" s="16"/>
      <c r="B1919" s="17"/>
      <c r="C1919" s="2"/>
      <c r="D1919" s="2"/>
      <c r="E1919" s="2"/>
      <c r="F1919" s="2"/>
      <c r="G1919" s="2"/>
      <c r="H1919" s="2"/>
      <c r="I1919" s="5"/>
    </row>
    <row r="1920" spans="1:9" ht="17.399999999999999" x14ac:dyDescent="0.25">
      <c r="A1920" s="16"/>
      <c r="B1920" s="17"/>
      <c r="C1920" s="2"/>
      <c r="D1920" s="2"/>
      <c r="E1920" s="2"/>
      <c r="F1920" s="2"/>
      <c r="G1920" s="2"/>
      <c r="H1920" s="2"/>
      <c r="I1920" s="5"/>
    </row>
    <row r="1921" spans="1:9" ht="17.399999999999999" x14ac:dyDescent="0.25">
      <c r="A1921" s="16"/>
      <c r="B1921" s="17"/>
      <c r="C1921" s="2"/>
      <c r="D1921" s="2"/>
      <c r="E1921" s="2"/>
      <c r="F1921" s="2"/>
      <c r="G1921" s="2"/>
      <c r="H1921" s="2"/>
      <c r="I1921" s="5"/>
    </row>
    <row r="1922" spans="1:9" ht="17.399999999999999" x14ac:dyDescent="0.25">
      <c r="A1922" s="16"/>
      <c r="B1922" s="17"/>
      <c r="C1922" s="2"/>
      <c r="D1922" s="2"/>
      <c r="E1922" s="2"/>
      <c r="F1922" s="2"/>
      <c r="G1922" s="2"/>
      <c r="H1922" s="2"/>
      <c r="I1922" s="5"/>
    </row>
    <row r="1923" spans="1:9" ht="17.399999999999999" x14ac:dyDescent="0.25">
      <c r="A1923" s="16"/>
      <c r="B1923" s="17"/>
      <c r="C1923" s="2"/>
      <c r="D1923" s="2"/>
      <c r="E1923" s="2"/>
      <c r="F1923" s="2"/>
      <c r="G1923" s="2"/>
      <c r="H1923" s="2"/>
      <c r="I1923" s="5"/>
    </row>
    <row r="1924" spans="1:9" ht="17.399999999999999" x14ac:dyDescent="0.25">
      <c r="A1924" s="16"/>
      <c r="B1924" s="17"/>
      <c r="C1924" s="2"/>
      <c r="D1924" s="2"/>
      <c r="E1924" s="2"/>
      <c r="F1924" s="2"/>
      <c r="G1924" s="2"/>
      <c r="H1924" s="2"/>
      <c r="I1924" s="5"/>
    </row>
    <row r="1925" spans="1:9" ht="17.399999999999999" x14ac:dyDescent="0.25">
      <c r="A1925" s="16"/>
      <c r="B1925" s="17"/>
      <c r="C1925" s="2"/>
      <c r="D1925" s="2"/>
      <c r="E1925" s="2"/>
      <c r="F1925" s="2"/>
      <c r="G1925" s="2"/>
      <c r="H1925" s="2"/>
      <c r="I1925" s="5"/>
    </row>
    <row r="1926" spans="1:9" ht="17.399999999999999" x14ac:dyDescent="0.25">
      <c r="A1926" s="16"/>
      <c r="B1926" s="17"/>
      <c r="C1926" s="2"/>
      <c r="D1926" s="2"/>
      <c r="E1926" s="2"/>
      <c r="F1926" s="2"/>
      <c r="G1926" s="2"/>
      <c r="H1926" s="2"/>
      <c r="I1926" s="5"/>
    </row>
    <row r="1927" spans="1:9" ht="17.399999999999999" x14ac:dyDescent="0.25">
      <c r="A1927" s="16"/>
      <c r="B1927" s="17"/>
      <c r="C1927" s="2"/>
      <c r="D1927" s="2"/>
      <c r="E1927" s="2"/>
      <c r="F1927" s="2"/>
      <c r="G1927" s="2"/>
      <c r="H1927" s="2"/>
      <c r="I1927" s="5"/>
    </row>
    <row r="1928" spans="1:9" ht="17.399999999999999" x14ac:dyDescent="0.25">
      <c r="A1928" s="16"/>
      <c r="B1928" s="17"/>
      <c r="C1928" s="2"/>
      <c r="D1928" s="2"/>
      <c r="E1928" s="2"/>
      <c r="F1928" s="2"/>
      <c r="G1928" s="2"/>
      <c r="H1928" s="2"/>
      <c r="I1928" s="5"/>
    </row>
    <row r="1929" spans="1:9" ht="17.399999999999999" x14ac:dyDescent="0.25">
      <c r="A1929" s="16"/>
      <c r="B1929" s="17"/>
      <c r="C1929" s="2"/>
      <c r="D1929" s="2"/>
      <c r="E1929" s="2"/>
      <c r="F1929" s="2"/>
      <c r="G1929" s="2"/>
      <c r="H1929" s="2"/>
      <c r="I1929" s="5"/>
    </row>
    <row r="1930" spans="1:9" ht="17.399999999999999" x14ac:dyDescent="0.25">
      <c r="A1930" s="16"/>
      <c r="B1930" s="17"/>
      <c r="C1930" s="2"/>
      <c r="D1930" s="2"/>
      <c r="E1930" s="2"/>
      <c r="F1930" s="2"/>
      <c r="G1930" s="2"/>
      <c r="H1930" s="2"/>
      <c r="I1930" s="5"/>
    </row>
    <row r="1931" spans="1:9" ht="17.399999999999999" x14ac:dyDescent="0.25">
      <c r="A1931" s="16"/>
      <c r="B1931" s="17"/>
      <c r="C1931" s="2"/>
      <c r="D1931" s="2"/>
      <c r="E1931" s="2"/>
      <c r="F1931" s="2"/>
      <c r="G1931" s="2"/>
      <c r="H1931" s="2"/>
      <c r="I1931" s="5"/>
    </row>
    <row r="1932" spans="1:9" ht="17.399999999999999" x14ac:dyDescent="0.25">
      <c r="A1932" s="16"/>
      <c r="B1932" s="17"/>
      <c r="C1932" s="2"/>
      <c r="D1932" s="2"/>
      <c r="E1932" s="2"/>
      <c r="F1932" s="2"/>
      <c r="G1932" s="2"/>
      <c r="H1932" s="2"/>
      <c r="I1932" s="5"/>
    </row>
    <row r="1933" spans="1:9" ht="17.399999999999999" x14ac:dyDescent="0.25">
      <c r="A1933" s="16"/>
      <c r="B1933" s="17"/>
      <c r="C1933" s="2"/>
      <c r="D1933" s="2"/>
      <c r="E1933" s="2"/>
      <c r="F1933" s="2"/>
      <c r="G1933" s="2"/>
      <c r="H1933" s="2"/>
      <c r="I1933" s="5"/>
    </row>
    <row r="1934" spans="1:9" ht="17.399999999999999" x14ac:dyDescent="0.25">
      <c r="A1934" s="16"/>
      <c r="B1934" s="17"/>
      <c r="C1934" s="2"/>
      <c r="D1934" s="2"/>
      <c r="E1934" s="2"/>
      <c r="F1934" s="2"/>
      <c r="G1934" s="2"/>
      <c r="H1934" s="2"/>
      <c r="I1934" s="5"/>
    </row>
    <row r="1935" spans="1:9" ht="17.399999999999999" x14ac:dyDescent="0.25">
      <c r="A1935" s="16"/>
      <c r="B1935" s="17"/>
      <c r="C1935" s="2"/>
      <c r="D1935" s="2"/>
      <c r="E1935" s="2"/>
      <c r="F1935" s="2"/>
      <c r="G1935" s="2"/>
      <c r="H1935" s="2"/>
      <c r="I1935" s="5"/>
    </row>
    <row r="1936" spans="1:9" ht="17.399999999999999" x14ac:dyDescent="0.25">
      <c r="A1936" s="16"/>
      <c r="B1936" s="17"/>
      <c r="C1936" s="2"/>
      <c r="D1936" s="2"/>
      <c r="E1936" s="2"/>
      <c r="F1936" s="2"/>
      <c r="G1936" s="2"/>
      <c r="H1936" s="2"/>
      <c r="I1936" s="5"/>
    </row>
    <row r="1937" spans="1:9" ht="17.399999999999999" x14ac:dyDescent="0.25">
      <c r="A1937" s="16"/>
      <c r="B1937" s="17"/>
      <c r="C1937" s="2"/>
      <c r="D1937" s="2"/>
      <c r="E1937" s="2"/>
      <c r="F1937" s="2"/>
      <c r="G1937" s="2"/>
      <c r="H1937" s="2"/>
      <c r="I1937" s="5"/>
    </row>
    <row r="1938" spans="1:9" ht="17.399999999999999" x14ac:dyDescent="0.25">
      <c r="A1938" s="16"/>
      <c r="B1938" s="17"/>
      <c r="C1938" s="2"/>
      <c r="D1938" s="2"/>
      <c r="E1938" s="2"/>
      <c r="F1938" s="2"/>
      <c r="G1938" s="2"/>
      <c r="H1938" s="2"/>
      <c r="I1938" s="5"/>
    </row>
    <row r="1939" spans="1:9" ht="17.399999999999999" x14ac:dyDescent="0.25">
      <c r="A1939" s="16"/>
      <c r="B1939" s="17"/>
      <c r="C1939" s="2"/>
      <c r="D1939" s="2"/>
      <c r="E1939" s="2"/>
      <c r="F1939" s="2"/>
      <c r="G1939" s="2"/>
      <c r="H1939" s="2"/>
      <c r="I1939" s="5"/>
    </row>
    <row r="1940" spans="1:9" ht="17.399999999999999" x14ac:dyDescent="0.25">
      <c r="A1940" s="16"/>
      <c r="B1940" s="17"/>
      <c r="C1940" s="2"/>
      <c r="D1940" s="2"/>
      <c r="E1940" s="2"/>
      <c r="F1940" s="2"/>
      <c r="G1940" s="2"/>
      <c r="H1940" s="2"/>
      <c r="I1940" s="5"/>
    </row>
    <row r="1941" spans="1:9" ht="17.399999999999999" x14ac:dyDescent="0.25">
      <c r="A1941" s="16"/>
      <c r="B1941" s="17"/>
      <c r="C1941" s="2" t="b">
        <v>0</v>
      </c>
      <c r="D1941" s="2"/>
      <c r="E1941" s="2"/>
      <c r="F1941" s="2"/>
      <c r="G1941" s="2"/>
      <c r="H1941" s="2"/>
      <c r="I1941" s="5"/>
    </row>
    <row r="1942" spans="1:9" ht="17.399999999999999" x14ac:dyDescent="0.25">
      <c r="A1942" s="16"/>
      <c r="B1942" s="17"/>
      <c r="C1942" s="2" t="b">
        <v>0</v>
      </c>
      <c r="D1942" s="2"/>
      <c r="E1942" s="2"/>
      <c r="F1942" s="2"/>
      <c r="G1942" s="2"/>
      <c r="H1942" s="2"/>
      <c r="I1942" s="5"/>
    </row>
    <row r="1943" spans="1:9" ht="17.399999999999999" x14ac:dyDescent="0.25">
      <c r="A1943" s="16"/>
      <c r="B1943" s="17"/>
      <c r="C1943" s="2" t="b">
        <v>0</v>
      </c>
      <c r="D1943" s="2"/>
      <c r="E1943" s="2"/>
      <c r="F1943" s="2"/>
      <c r="G1943" s="2"/>
      <c r="H1943" s="2"/>
      <c r="I1943" s="5"/>
    </row>
    <row r="1944" spans="1:9" ht="17.399999999999999" x14ac:dyDescent="0.25">
      <c r="A1944" s="16"/>
      <c r="B1944" s="17"/>
      <c r="C1944" s="2" t="b">
        <v>0</v>
      </c>
      <c r="D1944" s="2"/>
      <c r="E1944" s="2"/>
      <c r="F1944" s="2"/>
      <c r="G1944" s="2"/>
      <c r="H1944" s="2"/>
      <c r="I1944" s="5"/>
    </row>
    <row r="1945" spans="1:9" ht="17.399999999999999" x14ac:dyDescent="0.25">
      <c r="A1945" s="16"/>
      <c r="B1945" s="17"/>
      <c r="C1945" s="2" t="b">
        <v>0</v>
      </c>
      <c r="D1945" s="2"/>
      <c r="E1945" s="2"/>
      <c r="F1945" s="2"/>
      <c r="G1945" s="2"/>
      <c r="H1945" s="2"/>
      <c r="I1945" s="5"/>
    </row>
    <row r="1946" spans="1:9" ht="17.399999999999999" x14ac:dyDescent="0.25">
      <c r="A1946" s="16"/>
      <c r="B1946" s="17"/>
      <c r="C1946" s="2" t="b">
        <v>0</v>
      </c>
      <c r="D1946" s="2"/>
      <c r="E1946" s="2"/>
      <c r="F1946" s="2"/>
      <c r="G1946" s="2"/>
      <c r="H1946" s="2"/>
      <c r="I1946" s="5"/>
    </row>
    <row r="1947" spans="1:9" ht="17.399999999999999" x14ac:dyDescent="0.25">
      <c r="A1947" s="16"/>
      <c r="B1947" s="17"/>
      <c r="C1947" s="2" t="b">
        <v>0</v>
      </c>
      <c r="D1947" s="2"/>
      <c r="E1947" s="2"/>
      <c r="F1947" s="2"/>
      <c r="G1947" s="2"/>
      <c r="H1947" s="2"/>
      <c r="I1947" s="5"/>
    </row>
    <row r="1948" spans="1:9" ht="17.399999999999999" x14ac:dyDescent="0.25">
      <c r="A1948" s="16"/>
      <c r="B1948" s="17"/>
      <c r="C1948" s="2" t="b">
        <v>0</v>
      </c>
      <c r="D1948" s="2"/>
      <c r="E1948" s="2"/>
      <c r="F1948" s="2"/>
      <c r="G1948" s="2"/>
      <c r="H1948" s="2"/>
      <c r="I1948" s="5"/>
    </row>
    <row r="1949" spans="1:9" ht="17.399999999999999" x14ac:dyDescent="0.25">
      <c r="A1949" s="16"/>
      <c r="B1949" s="17"/>
      <c r="C1949" s="2" t="b">
        <v>0</v>
      </c>
      <c r="D1949" s="2"/>
      <c r="E1949" s="2"/>
      <c r="F1949" s="2"/>
      <c r="G1949" s="2"/>
      <c r="H1949" s="2"/>
      <c r="I1949" s="5"/>
    </row>
    <row r="1950" spans="1:9" ht="17.399999999999999" x14ac:dyDescent="0.25">
      <c r="A1950" s="16"/>
      <c r="B1950" s="17"/>
      <c r="C1950" s="2" t="b">
        <v>0</v>
      </c>
      <c r="D1950" s="2"/>
      <c r="E1950" s="2"/>
      <c r="F1950" s="2"/>
      <c r="G1950" s="2"/>
      <c r="H1950" s="2"/>
      <c r="I1950" s="5"/>
    </row>
    <row r="1951" spans="1:9" ht="17.399999999999999" x14ac:dyDescent="0.25">
      <c r="A1951" s="16"/>
      <c r="B1951" s="17"/>
      <c r="C1951" s="2" t="b">
        <v>0</v>
      </c>
      <c r="D1951" s="2"/>
      <c r="E1951" s="2"/>
      <c r="F1951" s="2"/>
      <c r="G1951" s="2"/>
      <c r="H1951" s="2"/>
      <c r="I1951" s="5"/>
    </row>
    <row r="1952" spans="1:9" ht="17.399999999999999" x14ac:dyDescent="0.25">
      <c r="A1952" s="16"/>
      <c r="B1952" s="17"/>
      <c r="C1952" s="2" t="b">
        <v>0</v>
      </c>
      <c r="D1952" s="2"/>
      <c r="E1952" s="2"/>
      <c r="F1952" s="2"/>
      <c r="G1952" s="2"/>
      <c r="H1952" s="2"/>
      <c r="I1952" s="5"/>
    </row>
    <row r="1953" spans="1:9" ht="17.399999999999999" x14ac:dyDescent="0.25">
      <c r="A1953" s="16"/>
      <c r="B1953" s="17"/>
      <c r="C1953" s="2" t="b">
        <v>0</v>
      </c>
      <c r="D1953" s="2"/>
      <c r="E1953" s="2"/>
      <c r="F1953" s="2"/>
      <c r="G1953" s="2"/>
      <c r="H1953" s="2"/>
      <c r="I1953" s="5"/>
    </row>
    <row r="1954" spans="1:9" ht="17.399999999999999" x14ac:dyDescent="0.25">
      <c r="A1954" s="16"/>
      <c r="B1954" s="17"/>
      <c r="C1954" s="2" t="b">
        <v>0</v>
      </c>
      <c r="D1954" s="2"/>
      <c r="E1954" s="2"/>
      <c r="F1954" s="2"/>
      <c r="G1954" s="2"/>
      <c r="H1954" s="2"/>
      <c r="I1954" s="5"/>
    </row>
    <row r="1955" spans="1:9" ht="17.399999999999999" x14ac:dyDescent="0.25">
      <c r="A1955" s="16"/>
      <c r="B1955" s="17"/>
      <c r="C1955" s="2" t="b">
        <v>0</v>
      </c>
      <c r="D1955" s="2"/>
      <c r="E1955" s="2"/>
      <c r="F1955" s="2"/>
      <c r="G1955" s="2"/>
      <c r="H1955" s="2"/>
      <c r="I1955" s="5"/>
    </row>
    <row r="1956" spans="1:9" ht="17.399999999999999" x14ac:dyDescent="0.25">
      <c r="A1956" s="16"/>
      <c r="B1956" s="17"/>
      <c r="C1956" s="2" t="b">
        <v>0</v>
      </c>
      <c r="D1956" s="2"/>
      <c r="E1956" s="2"/>
      <c r="F1956" s="2"/>
      <c r="G1956" s="2"/>
      <c r="H1956" s="2"/>
      <c r="I1956" s="5"/>
    </row>
    <row r="1957" spans="1:9" ht="17.399999999999999" x14ac:dyDescent="0.25">
      <c r="A1957" s="16"/>
      <c r="B1957" s="17"/>
      <c r="C1957" s="2" t="b">
        <v>0</v>
      </c>
      <c r="D1957" s="2"/>
      <c r="E1957" s="2"/>
      <c r="F1957" s="2"/>
      <c r="G1957" s="2"/>
      <c r="H1957" s="2"/>
      <c r="I1957" s="5"/>
    </row>
    <row r="1958" spans="1:9" ht="17.399999999999999" x14ac:dyDescent="0.25">
      <c r="A1958" s="16"/>
      <c r="B1958" s="17"/>
      <c r="C1958" s="2" t="b">
        <v>0</v>
      </c>
      <c r="D1958" s="2"/>
      <c r="E1958" s="2"/>
      <c r="F1958" s="2"/>
      <c r="G1958" s="2"/>
      <c r="H1958" s="2"/>
      <c r="I1958" s="5"/>
    </row>
    <row r="1959" spans="1:9" ht="17.399999999999999" x14ac:dyDescent="0.25">
      <c r="A1959" s="16"/>
      <c r="B1959" s="17"/>
      <c r="C1959" s="2" t="b">
        <v>0</v>
      </c>
      <c r="D1959" s="2"/>
      <c r="E1959" s="2"/>
      <c r="F1959" s="2"/>
      <c r="G1959" s="2"/>
      <c r="H1959" s="2"/>
      <c r="I1959" s="5"/>
    </row>
    <row r="1960" spans="1:9" ht="17.399999999999999" x14ac:dyDescent="0.25">
      <c r="A1960" s="16"/>
      <c r="B1960" s="17"/>
      <c r="C1960" s="2" t="b">
        <v>0</v>
      </c>
      <c r="D1960" s="2"/>
      <c r="E1960" s="2"/>
      <c r="F1960" s="2"/>
      <c r="G1960" s="2"/>
      <c r="H1960" s="2"/>
      <c r="I1960" s="5"/>
    </row>
    <row r="1961" spans="1:9" ht="17.399999999999999" x14ac:dyDescent="0.25">
      <c r="A1961" s="16"/>
      <c r="B1961" s="17"/>
      <c r="C1961" s="2" t="b">
        <v>0</v>
      </c>
      <c r="D1961" s="2"/>
      <c r="E1961" s="2"/>
      <c r="F1961" s="2"/>
      <c r="G1961" s="2"/>
      <c r="H1961" s="2"/>
      <c r="I1961" s="5"/>
    </row>
    <row r="1962" spans="1:9" ht="17.399999999999999" x14ac:dyDescent="0.25">
      <c r="A1962" s="16"/>
      <c r="B1962" s="17"/>
      <c r="C1962" s="2" t="b">
        <v>0</v>
      </c>
      <c r="D1962" s="2"/>
      <c r="E1962" s="2"/>
      <c r="F1962" s="2"/>
      <c r="G1962" s="2"/>
      <c r="H1962" s="2"/>
      <c r="I1962" s="5"/>
    </row>
    <row r="1963" spans="1:9" ht="17.399999999999999" x14ac:dyDescent="0.25">
      <c r="A1963" s="16"/>
      <c r="B1963" s="17"/>
      <c r="C1963" s="2" t="b">
        <v>0</v>
      </c>
      <c r="D1963" s="2"/>
      <c r="E1963" s="2"/>
      <c r="F1963" s="2"/>
      <c r="G1963" s="2"/>
      <c r="H1963" s="2"/>
      <c r="I1963" s="5"/>
    </row>
    <row r="1964" spans="1:9" ht="17.399999999999999" x14ac:dyDescent="0.25">
      <c r="A1964" s="16"/>
      <c r="B1964" s="17"/>
      <c r="C1964" s="2" t="b">
        <v>0</v>
      </c>
      <c r="D1964" s="2"/>
      <c r="E1964" s="2"/>
      <c r="F1964" s="2"/>
      <c r="G1964" s="2"/>
      <c r="H1964" s="2"/>
      <c r="I1964" s="5"/>
    </row>
    <row r="1965" spans="1:9" ht="17.399999999999999" x14ac:dyDescent="0.25">
      <c r="A1965" s="16"/>
      <c r="B1965" s="17"/>
      <c r="C1965" s="2" t="b">
        <v>0</v>
      </c>
      <c r="D1965" s="2"/>
      <c r="E1965" s="2"/>
      <c r="F1965" s="2"/>
      <c r="G1965" s="2"/>
      <c r="H1965" s="2"/>
      <c r="I1965" s="5"/>
    </row>
    <row r="1966" spans="1:9" ht="17.399999999999999" x14ac:dyDescent="0.25">
      <c r="A1966" s="16"/>
      <c r="B1966" s="17"/>
      <c r="C1966" s="2" t="b">
        <v>0</v>
      </c>
      <c r="D1966" s="2"/>
      <c r="E1966" s="2"/>
      <c r="F1966" s="2"/>
      <c r="G1966" s="2"/>
      <c r="H1966" s="2"/>
      <c r="I1966" s="5"/>
    </row>
    <row r="1967" spans="1:9" ht="17.399999999999999" x14ac:dyDescent="0.25">
      <c r="A1967" s="16"/>
      <c r="B1967" s="17"/>
      <c r="C1967" s="2" t="b">
        <v>0</v>
      </c>
      <c r="D1967" s="2"/>
      <c r="E1967" s="2"/>
      <c r="F1967" s="2"/>
      <c r="G1967" s="2"/>
      <c r="H1967" s="2"/>
      <c r="I1967" s="5"/>
    </row>
    <row r="1968" spans="1:9" ht="17.399999999999999" x14ac:dyDescent="0.25">
      <c r="A1968" s="16"/>
      <c r="B1968" s="17"/>
      <c r="C1968" s="2" t="b">
        <v>0</v>
      </c>
      <c r="D1968" s="2"/>
      <c r="E1968" s="2"/>
      <c r="F1968" s="2"/>
      <c r="G1968" s="2"/>
      <c r="H1968" s="2"/>
      <c r="I1968" s="5"/>
    </row>
    <row r="1969" spans="1:9" ht="17.399999999999999" x14ac:dyDescent="0.25">
      <c r="A1969" s="16"/>
      <c r="B1969" s="17"/>
      <c r="C1969" s="2" t="b">
        <v>0</v>
      </c>
      <c r="D1969" s="2"/>
      <c r="E1969" s="2"/>
      <c r="F1969" s="2"/>
      <c r="G1969" s="2"/>
      <c r="H1969" s="2"/>
      <c r="I1969" s="5"/>
    </row>
    <row r="1970" spans="1:9" ht="17.399999999999999" x14ac:dyDescent="0.25">
      <c r="A1970" s="16"/>
      <c r="B1970" s="17"/>
      <c r="C1970" s="2" t="b">
        <v>0</v>
      </c>
      <c r="D1970" s="2"/>
      <c r="E1970" s="2"/>
      <c r="F1970" s="2"/>
      <c r="G1970" s="2"/>
      <c r="H1970" s="2"/>
      <c r="I1970" s="5"/>
    </row>
    <row r="1971" spans="1:9" ht="17.399999999999999" x14ac:dyDescent="0.25">
      <c r="A1971" s="16"/>
      <c r="B1971" s="17"/>
      <c r="C1971" s="2" t="b">
        <v>0</v>
      </c>
      <c r="D1971" s="2"/>
      <c r="E1971" s="2"/>
      <c r="F1971" s="2"/>
      <c r="G1971" s="2"/>
      <c r="H1971" s="2"/>
      <c r="I1971" s="5"/>
    </row>
    <row r="1972" spans="1:9" ht="17.399999999999999" x14ac:dyDescent="0.25">
      <c r="A1972" s="16"/>
      <c r="B1972" s="17"/>
      <c r="C1972" s="2" t="b">
        <v>0</v>
      </c>
      <c r="D1972" s="2"/>
      <c r="E1972" s="2"/>
      <c r="F1972" s="2"/>
      <c r="G1972" s="2"/>
      <c r="H1972" s="2"/>
      <c r="I1972" s="5"/>
    </row>
    <row r="1973" spans="1:9" ht="17.399999999999999" x14ac:dyDescent="0.25">
      <c r="A1973" s="16"/>
      <c r="B1973" s="17"/>
      <c r="C1973" s="2" t="b">
        <v>0</v>
      </c>
      <c r="D1973" s="2"/>
      <c r="E1973" s="2"/>
      <c r="F1973" s="2"/>
      <c r="G1973" s="2"/>
      <c r="H1973" s="2"/>
      <c r="I1973" s="5"/>
    </row>
    <row r="1974" spans="1:9" ht="17.399999999999999" x14ac:dyDescent="0.25">
      <c r="A1974" s="16"/>
      <c r="B1974" s="17"/>
      <c r="C1974" s="2" t="b">
        <v>0</v>
      </c>
      <c r="D1974" s="2"/>
      <c r="E1974" s="2"/>
      <c r="F1974" s="2"/>
      <c r="G1974" s="2"/>
      <c r="H1974" s="2"/>
      <c r="I1974" s="5"/>
    </row>
    <row r="1975" spans="1:9" ht="17.399999999999999" x14ac:dyDescent="0.25">
      <c r="A1975" s="16"/>
      <c r="B1975" s="17"/>
      <c r="C1975" s="2" t="b">
        <v>0</v>
      </c>
      <c r="D1975" s="2"/>
      <c r="E1975" s="2"/>
      <c r="F1975" s="2"/>
      <c r="G1975" s="2"/>
      <c r="H1975" s="2"/>
      <c r="I1975" s="5"/>
    </row>
    <row r="1976" spans="1:9" ht="17.399999999999999" x14ac:dyDescent="0.25">
      <c r="A1976" s="16"/>
      <c r="B1976" s="17"/>
      <c r="C1976" s="2" t="b">
        <v>0</v>
      </c>
      <c r="D1976" s="2"/>
      <c r="E1976" s="2"/>
      <c r="F1976" s="2"/>
      <c r="G1976" s="2"/>
      <c r="H1976" s="2"/>
      <c r="I1976" s="5"/>
    </row>
    <row r="1977" spans="1:9" ht="17.399999999999999" x14ac:dyDescent="0.25">
      <c r="A1977" s="16"/>
      <c r="B1977" s="17"/>
      <c r="C1977" s="2" t="b">
        <v>0</v>
      </c>
      <c r="D1977" s="2"/>
      <c r="E1977" s="2"/>
      <c r="F1977" s="2"/>
      <c r="G1977" s="2"/>
      <c r="H1977" s="2"/>
      <c r="I1977" s="5"/>
    </row>
    <row r="1978" spans="1:9" ht="17.399999999999999" x14ac:dyDescent="0.25">
      <c r="A1978" s="16"/>
      <c r="B1978" s="17"/>
      <c r="C1978" s="2" t="b">
        <v>0</v>
      </c>
      <c r="D1978" s="2"/>
      <c r="E1978" s="2"/>
      <c r="F1978" s="2"/>
      <c r="G1978" s="2"/>
      <c r="H1978" s="2"/>
      <c r="I1978" s="5"/>
    </row>
    <row r="1979" spans="1:9" ht="17.399999999999999" x14ac:dyDescent="0.25">
      <c r="A1979" s="16"/>
      <c r="B1979" s="17"/>
      <c r="C1979" s="2" t="b">
        <v>0</v>
      </c>
      <c r="D1979" s="2"/>
      <c r="E1979" s="2"/>
      <c r="F1979" s="2"/>
      <c r="G1979" s="2"/>
      <c r="H1979" s="2"/>
      <c r="I1979" s="5"/>
    </row>
    <row r="1980" spans="1:9" ht="17.399999999999999" x14ac:dyDescent="0.25">
      <c r="A1980" s="16"/>
      <c r="B1980" s="17"/>
      <c r="C1980" s="2" t="b">
        <v>0</v>
      </c>
      <c r="D1980" s="2"/>
      <c r="E1980" s="2"/>
      <c r="F1980" s="2"/>
      <c r="G1980" s="2"/>
      <c r="H1980" s="2"/>
      <c r="I1980" s="5"/>
    </row>
    <row r="1981" spans="1:9" ht="17.399999999999999" x14ac:dyDescent="0.25">
      <c r="A1981" s="16"/>
      <c r="B1981" s="17"/>
      <c r="C1981" s="2" t="b">
        <v>0</v>
      </c>
      <c r="D1981" s="2"/>
      <c r="E1981" s="2"/>
      <c r="F1981" s="2"/>
      <c r="G1981" s="2"/>
      <c r="H1981" s="2"/>
      <c r="I1981" s="5"/>
    </row>
    <row r="1982" spans="1:9" ht="17.399999999999999" x14ac:dyDescent="0.25">
      <c r="A1982" s="16"/>
      <c r="B1982" s="17"/>
      <c r="C1982" s="2" t="b">
        <v>0</v>
      </c>
      <c r="D1982" s="2"/>
      <c r="E1982" s="2"/>
      <c r="F1982" s="2"/>
      <c r="G1982" s="2"/>
      <c r="H1982" s="2"/>
      <c r="I1982" s="5"/>
    </row>
    <row r="1983" spans="1:9" ht="17.399999999999999" x14ac:dyDescent="0.25">
      <c r="A1983" s="16"/>
      <c r="B1983" s="17"/>
      <c r="C1983" s="2" t="b">
        <v>0</v>
      </c>
      <c r="D1983" s="2"/>
      <c r="E1983" s="2"/>
      <c r="F1983" s="2"/>
      <c r="G1983" s="2"/>
      <c r="H1983" s="2"/>
      <c r="I1983" s="5"/>
    </row>
    <row r="1984" spans="1:9" ht="17.399999999999999" x14ac:dyDescent="0.25">
      <c r="A1984" s="16"/>
      <c r="B1984" s="17"/>
      <c r="C1984" s="2" t="b">
        <v>0</v>
      </c>
      <c r="D1984" s="2"/>
      <c r="E1984" s="2"/>
      <c r="F1984" s="2"/>
      <c r="G1984" s="2"/>
      <c r="H1984" s="2"/>
      <c r="I1984" s="5"/>
    </row>
    <row r="1985" spans="1:9" ht="17.399999999999999" x14ac:dyDescent="0.25">
      <c r="A1985" s="16"/>
      <c r="B1985" s="17"/>
      <c r="C1985" s="2" t="b">
        <v>0</v>
      </c>
      <c r="D1985" s="2"/>
      <c r="E1985" s="2"/>
      <c r="F1985" s="2"/>
      <c r="G1985" s="2"/>
      <c r="H1985" s="2"/>
      <c r="I1985" s="5"/>
    </row>
    <row r="1986" spans="1:9" ht="17.399999999999999" x14ac:dyDescent="0.25">
      <c r="A1986" s="16"/>
      <c r="B1986" s="17"/>
      <c r="C1986" s="2" t="b">
        <v>0</v>
      </c>
      <c r="D1986" s="2"/>
      <c r="E1986" s="2"/>
      <c r="F1986" s="2"/>
      <c r="G1986" s="2"/>
      <c r="H1986" s="2"/>
      <c r="I1986" s="5"/>
    </row>
    <row r="1987" spans="1:9" ht="17.399999999999999" x14ac:dyDescent="0.25">
      <c r="A1987" s="16"/>
      <c r="B1987" s="17"/>
      <c r="C1987" s="2" t="b">
        <v>0</v>
      </c>
      <c r="D1987" s="2"/>
      <c r="E1987" s="2"/>
      <c r="F1987" s="2"/>
      <c r="G1987" s="2"/>
      <c r="H1987" s="2"/>
      <c r="I1987" s="5"/>
    </row>
    <row r="1988" spans="1:9" ht="17.399999999999999" x14ac:dyDescent="0.25">
      <c r="A1988" s="16"/>
      <c r="B1988" s="17"/>
      <c r="C1988" s="2" t="b">
        <v>0</v>
      </c>
      <c r="D1988" s="2"/>
      <c r="E1988" s="2"/>
      <c r="F1988" s="2"/>
      <c r="G1988" s="2"/>
      <c r="H1988" s="2"/>
      <c r="I1988" s="5"/>
    </row>
    <row r="1989" spans="1:9" ht="17.399999999999999" x14ac:dyDescent="0.25">
      <c r="A1989" s="16"/>
      <c r="B1989" s="17"/>
      <c r="C1989" s="2" t="b">
        <v>0</v>
      </c>
      <c r="D1989" s="2"/>
      <c r="E1989" s="2"/>
      <c r="F1989" s="2"/>
      <c r="G1989" s="2"/>
      <c r="H1989" s="2"/>
      <c r="I1989" s="5"/>
    </row>
    <row r="1990" spans="1:9" ht="17.399999999999999" x14ac:dyDescent="0.25">
      <c r="A1990" s="16"/>
      <c r="B1990" s="17"/>
      <c r="C1990" s="2" t="b">
        <v>0</v>
      </c>
      <c r="D1990" s="2"/>
      <c r="E1990" s="2"/>
      <c r="F1990" s="2"/>
      <c r="G1990" s="2"/>
      <c r="H1990" s="2"/>
      <c r="I1990" s="5"/>
    </row>
    <row r="1991" spans="1:9" ht="17.399999999999999" x14ac:dyDescent="0.25">
      <c r="A1991" s="16"/>
      <c r="B1991" s="17"/>
      <c r="C1991" s="2" t="b">
        <v>0</v>
      </c>
      <c r="D1991" s="2"/>
      <c r="E1991" s="2"/>
      <c r="F1991" s="2"/>
      <c r="G1991" s="2"/>
      <c r="H1991" s="2"/>
      <c r="I1991" s="5"/>
    </row>
    <row r="1992" spans="1:9" ht="17.399999999999999" x14ac:dyDescent="0.25">
      <c r="A1992" s="16"/>
      <c r="B1992" s="17"/>
      <c r="C1992" s="2" t="b">
        <v>0</v>
      </c>
      <c r="D1992" s="2"/>
      <c r="E1992" s="2"/>
      <c r="F1992" s="2"/>
      <c r="G1992" s="2"/>
      <c r="H1992" s="2"/>
      <c r="I1992" s="5"/>
    </row>
    <row r="1993" spans="1:9" ht="17.399999999999999" x14ac:dyDescent="0.25">
      <c r="A1993" s="16"/>
      <c r="B1993" s="17"/>
      <c r="C1993" s="2" t="b">
        <v>0</v>
      </c>
      <c r="D1993" s="2"/>
      <c r="E1993" s="2"/>
      <c r="F1993" s="2"/>
      <c r="G1993" s="2"/>
      <c r="H1993" s="2"/>
      <c r="I1993" s="5"/>
    </row>
    <row r="1994" spans="1:9" ht="17.399999999999999" x14ac:dyDescent="0.25">
      <c r="A1994" s="16"/>
      <c r="B1994" s="17"/>
      <c r="C1994" s="2" t="b">
        <v>0</v>
      </c>
      <c r="D1994" s="2"/>
      <c r="E1994" s="2"/>
      <c r="F1994" s="2"/>
      <c r="G1994" s="2"/>
      <c r="H1994" s="2"/>
      <c r="I1994" s="5"/>
    </row>
    <row r="1995" spans="1:9" ht="17.399999999999999" x14ac:dyDescent="0.25">
      <c r="A1995" s="16"/>
      <c r="B1995" s="17"/>
      <c r="C1995" s="2" t="b">
        <v>0</v>
      </c>
      <c r="D1995" s="2"/>
      <c r="E1995" s="2"/>
      <c r="F1995" s="2"/>
      <c r="G1995" s="2"/>
      <c r="H1995" s="2"/>
      <c r="I1995" s="5"/>
    </row>
    <row r="1996" spans="1:9" ht="17.399999999999999" x14ac:dyDescent="0.25">
      <c r="A1996" s="16"/>
      <c r="B1996" s="17"/>
      <c r="C1996" s="2" t="b">
        <v>0</v>
      </c>
      <c r="D1996" s="2"/>
      <c r="E1996" s="2"/>
      <c r="F1996" s="2"/>
      <c r="G1996" s="2"/>
      <c r="H1996" s="2"/>
      <c r="I1996" s="5"/>
    </row>
    <row r="1997" spans="1:9" ht="17.399999999999999" x14ac:dyDescent="0.25">
      <c r="A1997" s="16"/>
      <c r="B1997" s="17"/>
      <c r="C1997" s="2" t="b">
        <v>0</v>
      </c>
      <c r="D1997" s="2"/>
      <c r="E1997" s="2"/>
      <c r="F1997" s="2"/>
      <c r="G1997" s="2"/>
      <c r="H1997" s="2"/>
      <c r="I1997" s="5"/>
    </row>
    <row r="1998" spans="1:9" ht="17.399999999999999" x14ac:dyDescent="0.25">
      <c r="A1998" s="16"/>
      <c r="B1998" s="17"/>
      <c r="C1998" s="2" t="b">
        <v>0</v>
      </c>
      <c r="D1998" s="2"/>
      <c r="E1998" s="2"/>
      <c r="F1998" s="2"/>
      <c r="G1998" s="2"/>
      <c r="H1998" s="2"/>
      <c r="I1998" s="5"/>
    </row>
    <row r="1999" spans="1:9" ht="17.399999999999999" x14ac:dyDescent="0.25">
      <c r="A1999" s="16"/>
      <c r="B1999" s="17"/>
      <c r="C1999" s="2" t="b">
        <v>0</v>
      </c>
      <c r="D1999" s="2"/>
      <c r="E1999" s="2"/>
      <c r="F1999" s="2"/>
      <c r="G1999" s="2"/>
      <c r="H1999" s="2"/>
      <c r="I1999" s="5"/>
    </row>
    <row r="2000" spans="1:9" ht="17.399999999999999" x14ac:dyDescent="0.25">
      <c r="A2000" s="16"/>
      <c r="B2000" s="17"/>
      <c r="C2000" s="2" t="b">
        <v>0</v>
      </c>
      <c r="D2000" s="2"/>
      <c r="E2000" s="2"/>
      <c r="F2000" s="2"/>
      <c r="G2000" s="2"/>
      <c r="H2000" s="2"/>
      <c r="I2000" s="5"/>
    </row>
    <row r="2001" spans="1:9" ht="17.399999999999999" x14ac:dyDescent="0.25">
      <c r="A2001" s="16"/>
      <c r="B2001" s="17"/>
      <c r="C2001" s="2" t="b">
        <v>0</v>
      </c>
      <c r="D2001" s="2"/>
      <c r="E2001" s="2"/>
      <c r="F2001" s="2"/>
      <c r="G2001" s="2"/>
      <c r="H2001" s="2"/>
      <c r="I2001" s="5"/>
    </row>
    <row r="2002" spans="1:9" ht="17.399999999999999" x14ac:dyDescent="0.25">
      <c r="A2002" s="16"/>
      <c r="B2002" s="17"/>
      <c r="C2002" s="2" t="b">
        <v>0</v>
      </c>
      <c r="D2002" s="2"/>
      <c r="E2002" s="2"/>
      <c r="F2002" s="2"/>
      <c r="G2002" s="2"/>
      <c r="H2002" s="2"/>
      <c r="I2002" s="5"/>
    </row>
    <row r="2003" spans="1:9" ht="17.399999999999999" x14ac:dyDescent="0.25">
      <c r="A2003" s="16"/>
      <c r="B2003" s="17"/>
      <c r="C2003" s="2" t="b">
        <v>0</v>
      </c>
      <c r="D2003" s="2"/>
      <c r="E2003" s="2"/>
      <c r="F2003" s="2"/>
      <c r="G2003" s="2"/>
      <c r="H2003" s="2"/>
      <c r="I2003" s="5"/>
    </row>
    <row r="2004" spans="1:9" ht="17.399999999999999" x14ac:dyDescent="0.25">
      <c r="A2004" s="16"/>
      <c r="B2004" s="17"/>
      <c r="C2004" s="2" t="b">
        <v>0</v>
      </c>
      <c r="D2004" s="2"/>
      <c r="E2004" s="2"/>
      <c r="F2004" s="2"/>
      <c r="G2004" s="2"/>
      <c r="H2004" s="2"/>
      <c r="I2004" s="5"/>
    </row>
    <row r="2005" spans="1:9" ht="17.399999999999999" x14ac:dyDescent="0.25">
      <c r="A2005" s="16"/>
      <c r="B2005" s="17"/>
      <c r="C2005" s="2" t="b">
        <v>0</v>
      </c>
      <c r="D2005" s="2"/>
      <c r="E2005" s="2"/>
      <c r="F2005" s="2"/>
      <c r="G2005" s="2"/>
      <c r="H2005" s="2"/>
      <c r="I2005" s="5"/>
    </row>
    <row r="2006" spans="1:9" ht="17.399999999999999" x14ac:dyDescent="0.25">
      <c r="A2006" s="16"/>
      <c r="B2006" s="17"/>
      <c r="C2006" s="2" t="b">
        <v>0</v>
      </c>
      <c r="D2006" s="2"/>
      <c r="E2006" s="2"/>
      <c r="F2006" s="2"/>
      <c r="G2006" s="2"/>
      <c r="H2006" s="2"/>
      <c r="I2006" s="5"/>
    </row>
    <row r="2007" spans="1:9" ht="17.399999999999999" x14ac:dyDescent="0.25">
      <c r="A2007" s="16"/>
      <c r="B2007" s="17"/>
      <c r="C2007" s="2" t="b">
        <v>0</v>
      </c>
      <c r="D2007" s="2"/>
      <c r="E2007" s="2"/>
      <c r="F2007" s="2"/>
      <c r="G2007" s="2"/>
      <c r="H2007" s="2"/>
      <c r="I2007" s="5"/>
    </row>
    <row r="2008" spans="1:9" ht="17.399999999999999" x14ac:dyDescent="0.25">
      <c r="A2008" s="16"/>
      <c r="B2008" s="17"/>
      <c r="C2008" s="2" t="b">
        <v>0</v>
      </c>
      <c r="D2008" s="2"/>
      <c r="E2008" s="2"/>
      <c r="F2008" s="2"/>
      <c r="G2008" s="2"/>
      <c r="H2008" s="2"/>
      <c r="I2008" s="5"/>
    </row>
    <row r="2009" spans="1:9" ht="17.399999999999999" x14ac:dyDescent="0.25">
      <c r="A2009" s="16"/>
      <c r="B2009" s="17"/>
      <c r="C2009" s="2" t="b">
        <v>0</v>
      </c>
      <c r="D2009" s="2"/>
      <c r="E2009" s="2"/>
      <c r="F2009" s="2"/>
      <c r="G2009" s="2"/>
      <c r="H2009" s="2"/>
      <c r="I2009" s="5"/>
    </row>
    <row r="2010" spans="1:9" ht="17.399999999999999" x14ac:dyDescent="0.25">
      <c r="A2010" s="16"/>
      <c r="B2010" s="17"/>
      <c r="C2010" s="2" t="b">
        <v>0</v>
      </c>
      <c r="D2010" s="2"/>
      <c r="E2010" s="2"/>
      <c r="F2010" s="2"/>
      <c r="G2010" s="2"/>
      <c r="H2010" s="2"/>
      <c r="I2010" s="5"/>
    </row>
    <row r="2011" spans="1:9" ht="17.399999999999999" x14ac:dyDescent="0.25">
      <c r="A2011" s="16"/>
      <c r="B2011" s="17"/>
      <c r="C2011" s="2" t="b">
        <v>0</v>
      </c>
      <c r="D2011" s="2"/>
      <c r="E2011" s="2"/>
      <c r="F2011" s="2"/>
      <c r="G2011" s="2"/>
      <c r="H2011" s="2"/>
      <c r="I2011" s="5"/>
    </row>
    <row r="2012" spans="1:9" ht="17.399999999999999" x14ac:dyDescent="0.25">
      <c r="A2012" s="16"/>
      <c r="B2012" s="17"/>
      <c r="C2012" s="2" t="b">
        <v>0</v>
      </c>
      <c r="D2012" s="2"/>
      <c r="E2012" s="2"/>
      <c r="F2012" s="2"/>
      <c r="G2012" s="2"/>
      <c r="H2012" s="2"/>
      <c r="I2012" s="5"/>
    </row>
    <row r="2013" spans="1:9" ht="17.399999999999999" x14ac:dyDescent="0.25">
      <c r="A2013" s="16"/>
      <c r="B2013" s="17"/>
      <c r="C2013" s="2" t="b">
        <v>0</v>
      </c>
      <c r="D2013" s="2"/>
      <c r="E2013" s="2"/>
      <c r="F2013" s="2"/>
      <c r="G2013" s="2"/>
      <c r="H2013" s="2"/>
      <c r="I2013" s="5"/>
    </row>
    <row r="2014" spans="1:9" ht="17.399999999999999" x14ac:dyDescent="0.25">
      <c r="A2014" s="16"/>
      <c r="B2014" s="17"/>
      <c r="C2014" s="2" t="b">
        <v>0</v>
      </c>
      <c r="D2014" s="2"/>
      <c r="E2014" s="2"/>
      <c r="F2014" s="2"/>
      <c r="G2014" s="2"/>
      <c r="H2014" s="2"/>
      <c r="I2014" s="5"/>
    </row>
    <row r="2015" spans="1:9" ht="17.399999999999999" x14ac:dyDescent="0.25">
      <c r="A2015" s="16"/>
      <c r="B2015" s="17"/>
      <c r="C2015" s="2" t="b">
        <v>0</v>
      </c>
      <c r="D2015" s="2"/>
      <c r="E2015" s="2"/>
      <c r="F2015" s="2"/>
      <c r="G2015" s="2"/>
      <c r="H2015" s="2"/>
      <c r="I2015" s="5"/>
    </row>
    <row r="2016" spans="1:9" ht="17.399999999999999" x14ac:dyDescent="0.25">
      <c r="A2016" s="16"/>
      <c r="B2016" s="17"/>
      <c r="C2016" s="2" t="b">
        <v>0</v>
      </c>
      <c r="D2016" s="2"/>
      <c r="E2016" s="2"/>
      <c r="F2016" s="2"/>
      <c r="G2016" s="2"/>
      <c r="H2016" s="2"/>
      <c r="I2016" s="5"/>
    </row>
    <row r="2017" spans="1:9" ht="17.399999999999999" x14ac:dyDescent="0.25">
      <c r="A2017" s="16"/>
      <c r="B2017" s="17"/>
      <c r="C2017" s="2" t="b">
        <v>0</v>
      </c>
      <c r="D2017" s="2"/>
      <c r="E2017" s="2"/>
      <c r="F2017" s="2"/>
      <c r="G2017" s="2"/>
      <c r="H2017" s="2"/>
      <c r="I2017" s="5"/>
    </row>
    <row r="2018" spans="1:9" ht="17.399999999999999" x14ac:dyDescent="0.25">
      <c r="A2018" s="16"/>
      <c r="B2018" s="17"/>
      <c r="C2018" s="2" t="b">
        <v>0</v>
      </c>
      <c r="D2018" s="2"/>
      <c r="E2018" s="2"/>
      <c r="F2018" s="2"/>
      <c r="G2018" s="2"/>
      <c r="H2018" s="2"/>
      <c r="I2018" s="5"/>
    </row>
    <row r="2019" spans="1:9" ht="17.399999999999999" x14ac:dyDescent="0.25">
      <c r="A2019" s="16"/>
      <c r="B2019" s="17"/>
      <c r="C2019" s="2" t="b">
        <v>0</v>
      </c>
      <c r="D2019" s="2"/>
      <c r="E2019" s="2"/>
      <c r="F2019" s="2"/>
      <c r="G2019" s="2"/>
      <c r="H2019" s="2"/>
      <c r="I2019" s="5"/>
    </row>
    <row r="2020" spans="1:9" ht="17.399999999999999" x14ac:dyDescent="0.25">
      <c r="A2020" s="16"/>
      <c r="B2020" s="17"/>
      <c r="C2020" s="2" t="b">
        <v>0</v>
      </c>
      <c r="D2020" s="2"/>
      <c r="E2020" s="2"/>
      <c r="F2020" s="2"/>
      <c r="G2020" s="2"/>
      <c r="H2020" s="2"/>
      <c r="I2020" s="5"/>
    </row>
    <row r="2021" spans="1:9" ht="17.399999999999999" x14ac:dyDescent="0.25">
      <c r="A2021" s="16"/>
      <c r="B2021" s="17"/>
      <c r="C2021" s="2" t="b">
        <v>0</v>
      </c>
      <c r="D2021" s="2"/>
      <c r="E2021" s="2"/>
      <c r="F2021" s="2"/>
      <c r="G2021" s="2"/>
      <c r="H2021" s="2"/>
      <c r="I2021" s="5"/>
    </row>
    <row r="2022" spans="1:9" ht="17.399999999999999" x14ac:dyDescent="0.25">
      <c r="A2022" s="16"/>
      <c r="B2022" s="17"/>
      <c r="C2022" s="2" t="b">
        <v>0</v>
      </c>
      <c r="D2022" s="2"/>
      <c r="E2022" s="2"/>
      <c r="F2022" s="2"/>
      <c r="G2022" s="2"/>
      <c r="H2022" s="2"/>
      <c r="I2022" s="5"/>
    </row>
    <row r="2023" spans="1:9" ht="17.399999999999999" x14ac:dyDescent="0.25">
      <c r="A2023" s="16"/>
      <c r="B2023" s="17"/>
      <c r="C2023" s="2" t="b">
        <v>0</v>
      </c>
      <c r="D2023" s="2"/>
      <c r="E2023" s="2"/>
      <c r="F2023" s="2"/>
      <c r="G2023" s="2"/>
      <c r="H2023" s="2"/>
      <c r="I2023" s="5"/>
    </row>
    <row r="2024" spans="1:9" ht="17.399999999999999" x14ac:dyDescent="0.25">
      <c r="A2024" s="16"/>
      <c r="B2024" s="17"/>
      <c r="C2024" s="2" t="b">
        <v>0</v>
      </c>
      <c r="D2024" s="2"/>
      <c r="E2024" s="2"/>
      <c r="F2024" s="2"/>
      <c r="G2024" s="2"/>
      <c r="H2024" s="2"/>
      <c r="I2024" s="5"/>
    </row>
    <row r="2025" spans="1:9" ht="17.399999999999999" x14ac:dyDescent="0.25">
      <c r="A2025" s="16"/>
      <c r="B2025" s="17"/>
      <c r="C2025" s="2" t="b">
        <v>0</v>
      </c>
      <c r="D2025" s="2"/>
      <c r="E2025" s="2"/>
      <c r="F2025" s="2"/>
      <c r="G2025" s="2"/>
      <c r="H2025" s="2"/>
      <c r="I2025" s="5"/>
    </row>
    <row r="2026" spans="1:9" ht="17.399999999999999" x14ac:dyDescent="0.25">
      <c r="A2026" s="16"/>
      <c r="B2026" s="17"/>
      <c r="C2026" s="2" t="b">
        <v>0</v>
      </c>
      <c r="D2026" s="2"/>
      <c r="E2026" s="2"/>
      <c r="F2026" s="2"/>
      <c r="G2026" s="2"/>
      <c r="H2026" s="2"/>
      <c r="I2026" s="5"/>
    </row>
    <row r="2027" spans="1:9" ht="17.399999999999999" x14ac:dyDescent="0.25">
      <c r="A2027" s="16"/>
      <c r="B2027" s="17"/>
      <c r="C2027" s="2" t="b">
        <v>0</v>
      </c>
      <c r="D2027" s="2"/>
      <c r="E2027" s="2"/>
      <c r="F2027" s="2"/>
      <c r="G2027" s="2"/>
      <c r="H2027" s="2"/>
      <c r="I2027" s="5"/>
    </row>
    <row r="2028" spans="1:9" ht="17.399999999999999" x14ac:dyDescent="0.25">
      <c r="A2028" s="16"/>
      <c r="B2028" s="17"/>
      <c r="C2028" s="2" t="b">
        <v>0</v>
      </c>
      <c r="D2028" s="2"/>
      <c r="E2028" s="2"/>
      <c r="F2028" s="2"/>
      <c r="G2028" s="2"/>
      <c r="H2028" s="2"/>
      <c r="I2028" s="5"/>
    </row>
    <row r="2029" spans="1:9" ht="17.399999999999999" x14ac:dyDescent="0.25">
      <c r="A2029" s="16"/>
      <c r="B2029" s="17"/>
      <c r="C2029" s="2" t="b">
        <v>0</v>
      </c>
      <c r="D2029" s="2"/>
      <c r="E2029" s="2"/>
      <c r="F2029" s="2"/>
      <c r="G2029" s="2"/>
      <c r="H2029" s="2"/>
      <c r="I2029" s="5"/>
    </row>
    <row r="2030" spans="1:9" ht="17.399999999999999" x14ac:dyDescent="0.25">
      <c r="A2030" s="16"/>
      <c r="B2030" s="17"/>
      <c r="C2030" s="2" t="b">
        <v>0</v>
      </c>
      <c r="D2030" s="2"/>
      <c r="E2030" s="2"/>
      <c r="F2030" s="2"/>
      <c r="G2030" s="2"/>
      <c r="H2030" s="2"/>
      <c r="I2030" s="5"/>
    </row>
    <row r="2031" spans="1:9" ht="17.399999999999999" x14ac:dyDescent="0.25">
      <c r="A2031" s="16"/>
      <c r="B2031" s="17"/>
      <c r="C2031" s="2" t="b">
        <v>0</v>
      </c>
      <c r="D2031" s="2"/>
      <c r="E2031" s="2"/>
      <c r="F2031" s="2"/>
      <c r="G2031" s="2"/>
      <c r="H2031" s="2"/>
      <c r="I2031" s="5"/>
    </row>
    <row r="2032" spans="1:9" ht="17.399999999999999" x14ac:dyDescent="0.25">
      <c r="A2032" s="16"/>
      <c r="B2032" s="17"/>
      <c r="C2032" s="2" t="b">
        <v>0</v>
      </c>
      <c r="D2032" s="2"/>
      <c r="E2032" s="2"/>
      <c r="F2032" s="2"/>
      <c r="G2032" s="2"/>
      <c r="H2032" s="2"/>
      <c r="I2032" s="5"/>
    </row>
    <row r="2033" spans="1:9" ht="17.399999999999999" x14ac:dyDescent="0.25">
      <c r="A2033" s="16"/>
      <c r="B2033" s="17"/>
      <c r="C2033" s="2" t="b">
        <v>0</v>
      </c>
      <c r="D2033" s="2"/>
      <c r="E2033" s="2"/>
      <c r="F2033" s="2"/>
      <c r="G2033" s="2"/>
      <c r="H2033" s="2"/>
      <c r="I2033" s="5"/>
    </row>
    <row r="2034" spans="1:9" ht="17.399999999999999" x14ac:dyDescent="0.25">
      <c r="A2034" s="16"/>
      <c r="B2034" s="17"/>
      <c r="C2034" s="2" t="b">
        <v>0</v>
      </c>
      <c r="D2034" s="2"/>
      <c r="E2034" s="2"/>
      <c r="F2034" s="2"/>
      <c r="G2034" s="2"/>
      <c r="H2034" s="2"/>
      <c r="I2034" s="5"/>
    </row>
    <row r="2035" spans="1:9" ht="17.399999999999999" x14ac:dyDescent="0.25">
      <c r="A2035" s="16"/>
      <c r="B2035" s="17"/>
      <c r="C2035" s="2" t="b">
        <v>0</v>
      </c>
      <c r="D2035" s="2"/>
      <c r="E2035" s="2"/>
      <c r="F2035" s="2"/>
      <c r="G2035" s="2"/>
      <c r="H2035" s="2"/>
      <c r="I2035" s="5"/>
    </row>
    <row r="2036" spans="1:9" ht="17.399999999999999" x14ac:dyDescent="0.25">
      <c r="A2036" s="16"/>
      <c r="B2036" s="17"/>
      <c r="C2036" s="2" t="b">
        <v>0</v>
      </c>
      <c r="D2036" s="2"/>
      <c r="E2036" s="2"/>
      <c r="F2036" s="2"/>
      <c r="G2036" s="2"/>
      <c r="H2036" s="2"/>
      <c r="I2036" s="5"/>
    </row>
    <row r="2037" spans="1:9" ht="17.399999999999999" x14ac:dyDescent="0.25">
      <c r="A2037" s="16"/>
      <c r="B2037" s="17"/>
      <c r="C2037" s="2" t="b">
        <v>0</v>
      </c>
      <c r="D2037" s="2"/>
      <c r="E2037" s="2"/>
      <c r="F2037" s="2"/>
      <c r="G2037" s="2"/>
      <c r="H2037" s="2"/>
      <c r="I2037" s="5"/>
    </row>
    <row r="2038" spans="1:9" ht="17.399999999999999" x14ac:dyDescent="0.25">
      <c r="A2038" s="16"/>
      <c r="B2038" s="17"/>
      <c r="C2038" s="2" t="b">
        <v>0</v>
      </c>
      <c r="D2038" s="2"/>
      <c r="E2038" s="2"/>
      <c r="F2038" s="2"/>
      <c r="G2038" s="2"/>
      <c r="H2038" s="2"/>
      <c r="I2038" s="5"/>
    </row>
    <row r="2039" spans="1:9" ht="17.399999999999999" x14ac:dyDescent="0.25">
      <c r="A2039" s="16"/>
      <c r="B2039" s="17"/>
      <c r="C2039" s="2" t="b">
        <v>0</v>
      </c>
      <c r="D2039" s="2"/>
      <c r="E2039" s="2"/>
      <c r="F2039" s="2"/>
      <c r="G2039" s="2"/>
      <c r="H2039" s="2"/>
      <c r="I2039" s="5"/>
    </row>
    <row r="2040" spans="1:9" ht="17.399999999999999" x14ac:dyDescent="0.25">
      <c r="A2040" s="16"/>
      <c r="B2040" s="17"/>
      <c r="C2040" s="2" t="b">
        <v>0</v>
      </c>
      <c r="D2040" s="2"/>
      <c r="E2040" s="2"/>
      <c r="F2040" s="2"/>
      <c r="G2040" s="2"/>
      <c r="H2040" s="2"/>
      <c r="I2040" s="5"/>
    </row>
    <row r="2041" spans="1:9" ht="17.399999999999999" x14ac:dyDescent="0.25">
      <c r="A2041" s="16"/>
      <c r="B2041" s="17"/>
      <c r="C2041" s="2" t="b">
        <v>0</v>
      </c>
      <c r="D2041" s="2"/>
      <c r="E2041" s="2"/>
      <c r="F2041" s="2"/>
      <c r="G2041" s="2"/>
      <c r="H2041" s="2"/>
      <c r="I2041" s="5"/>
    </row>
    <row r="2042" spans="1:9" ht="17.399999999999999" x14ac:dyDescent="0.25">
      <c r="A2042" s="16"/>
      <c r="B2042" s="17"/>
      <c r="C2042" s="2" t="b">
        <v>0</v>
      </c>
      <c r="D2042" s="2"/>
      <c r="E2042" s="2"/>
      <c r="F2042" s="2"/>
      <c r="G2042" s="2"/>
      <c r="H2042" s="2"/>
      <c r="I2042" s="5"/>
    </row>
    <row r="2043" spans="1:9" ht="17.399999999999999" x14ac:dyDescent="0.25">
      <c r="A2043" s="16"/>
      <c r="B2043" s="17"/>
      <c r="C2043" s="2" t="b">
        <v>0</v>
      </c>
      <c r="D2043" s="2"/>
      <c r="E2043" s="2"/>
      <c r="F2043" s="2"/>
      <c r="G2043" s="2"/>
      <c r="H2043" s="2"/>
      <c r="I2043" s="5"/>
    </row>
    <row r="2044" spans="1:9" ht="17.399999999999999" x14ac:dyDescent="0.25">
      <c r="A2044" s="16"/>
      <c r="B2044" s="17"/>
      <c r="C2044" s="2" t="b">
        <v>0</v>
      </c>
      <c r="D2044" s="2"/>
      <c r="E2044" s="2"/>
      <c r="F2044" s="2"/>
      <c r="G2044" s="2"/>
      <c r="H2044" s="2"/>
      <c r="I2044" s="5"/>
    </row>
    <row r="2045" spans="1:9" ht="17.399999999999999" x14ac:dyDescent="0.25">
      <c r="A2045" s="16"/>
      <c r="B2045" s="17"/>
      <c r="C2045" s="2" t="b">
        <v>0</v>
      </c>
      <c r="D2045" s="2"/>
      <c r="E2045" s="2"/>
      <c r="F2045" s="2"/>
      <c r="G2045" s="2"/>
      <c r="H2045" s="2"/>
      <c r="I2045" s="5"/>
    </row>
    <row r="2046" spans="1:9" ht="17.399999999999999" x14ac:dyDescent="0.25">
      <c r="A2046" s="16"/>
      <c r="B2046" s="17"/>
      <c r="C2046" s="2" t="b">
        <v>0</v>
      </c>
      <c r="D2046" s="2"/>
      <c r="E2046" s="2"/>
      <c r="F2046" s="2"/>
      <c r="G2046" s="2"/>
      <c r="H2046" s="2"/>
      <c r="I2046" s="5"/>
    </row>
    <row r="2047" spans="1:9" ht="17.399999999999999" x14ac:dyDescent="0.25">
      <c r="A2047" s="16"/>
      <c r="B2047" s="17"/>
      <c r="C2047" s="2" t="b">
        <v>0</v>
      </c>
      <c r="D2047" s="2"/>
      <c r="E2047" s="2"/>
      <c r="F2047" s="2"/>
      <c r="G2047" s="2"/>
      <c r="H2047" s="2"/>
      <c r="I2047" s="5"/>
    </row>
    <row r="2048" spans="1:9" ht="17.399999999999999" x14ac:dyDescent="0.25">
      <c r="A2048" s="16"/>
      <c r="B2048" s="17"/>
      <c r="C2048" s="2" t="b">
        <v>0</v>
      </c>
      <c r="D2048" s="2"/>
      <c r="E2048" s="2"/>
      <c r="F2048" s="2"/>
      <c r="G2048" s="2"/>
      <c r="H2048" s="2"/>
      <c r="I2048" s="5"/>
    </row>
    <row r="2049" spans="1:9" ht="17.399999999999999" x14ac:dyDescent="0.25">
      <c r="A2049" s="16"/>
      <c r="B2049" s="17"/>
      <c r="C2049" s="2" t="b">
        <v>0</v>
      </c>
      <c r="D2049" s="2"/>
      <c r="E2049" s="2"/>
      <c r="F2049" s="2"/>
      <c r="G2049" s="2"/>
      <c r="H2049" s="2"/>
      <c r="I2049" s="5"/>
    </row>
    <row r="2050" spans="1:9" ht="17.399999999999999" x14ac:dyDescent="0.25">
      <c r="A2050" s="16"/>
      <c r="B2050" s="17"/>
      <c r="C2050" s="2" t="b">
        <v>0</v>
      </c>
      <c r="D2050" s="2"/>
      <c r="E2050" s="2"/>
      <c r="F2050" s="2"/>
      <c r="G2050" s="2"/>
      <c r="H2050" s="2"/>
      <c r="I2050" s="5"/>
    </row>
    <row r="2051" spans="1:9" ht="17.399999999999999" x14ac:dyDescent="0.25">
      <c r="A2051" s="16"/>
      <c r="B2051" s="17"/>
      <c r="C2051" s="2" t="b">
        <v>0</v>
      </c>
      <c r="D2051" s="2"/>
      <c r="E2051" s="2"/>
      <c r="F2051" s="2"/>
      <c r="G2051" s="2"/>
      <c r="H2051" s="2"/>
      <c r="I2051" s="5"/>
    </row>
    <row r="2052" spans="1:9" ht="17.399999999999999" x14ac:dyDescent="0.25">
      <c r="A2052" s="16"/>
      <c r="B2052" s="17"/>
      <c r="C2052" s="2" t="b">
        <v>0</v>
      </c>
      <c r="D2052" s="2"/>
      <c r="E2052" s="2"/>
      <c r="F2052" s="2"/>
      <c r="G2052" s="2"/>
      <c r="H2052" s="2"/>
      <c r="I2052" s="5"/>
    </row>
    <row r="2053" spans="1:9" ht="17.399999999999999" x14ac:dyDescent="0.25">
      <c r="A2053" s="16"/>
      <c r="B2053" s="17"/>
      <c r="C2053" s="2" t="b">
        <v>0</v>
      </c>
      <c r="D2053" s="2"/>
      <c r="E2053" s="2"/>
      <c r="F2053" s="2"/>
      <c r="G2053" s="2"/>
      <c r="H2053" s="2"/>
      <c r="I2053" s="5"/>
    </row>
    <row r="2054" spans="1:9" ht="17.399999999999999" x14ac:dyDescent="0.25">
      <c r="A2054" s="16"/>
      <c r="B2054" s="17"/>
      <c r="C2054" s="2" t="b">
        <v>0</v>
      </c>
      <c r="D2054" s="2"/>
      <c r="E2054" s="2"/>
      <c r="F2054" s="2"/>
      <c r="G2054" s="2"/>
      <c r="H2054" s="2"/>
      <c r="I2054" s="5"/>
    </row>
    <row r="2055" spans="1:9" ht="17.399999999999999" x14ac:dyDescent="0.25">
      <c r="A2055" s="16"/>
      <c r="B2055" s="17"/>
      <c r="C2055" s="2" t="b">
        <v>0</v>
      </c>
      <c r="D2055" s="2"/>
      <c r="E2055" s="2"/>
      <c r="F2055" s="2"/>
      <c r="G2055" s="2"/>
      <c r="H2055" s="2"/>
      <c r="I2055" s="5"/>
    </row>
    <row r="2056" spans="1:9" ht="17.399999999999999" x14ac:dyDescent="0.25">
      <c r="A2056" s="16"/>
      <c r="B2056" s="17"/>
      <c r="C2056" s="2" t="b">
        <v>0</v>
      </c>
      <c r="D2056" s="2"/>
      <c r="E2056" s="2"/>
      <c r="F2056" s="2"/>
      <c r="G2056" s="2"/>
      <c r="H2056" s="2"/>
      <c r="I2056" s="5"/>
    </row>
    <row r="2057" spans="1:9" ht="17.399999999999999" x14ac:dyDescent="0.25">
      <c r="A2057" s="16"/>
      <c r="B2057" s="17"/>
      <c r="C2057" s="2" t="b">
        <v>0</v>
      </c>
      <c r="D2057" s="2"/>
      <c r="E2057" s="2"/>
      <c r="F2057" s="2"/>
      <c r="G2057" s="2"/>
      <c r="H2057" s="2"/>
      <c r="I2057" s="5"/>
    </row>
    <row r="2058" spans="1:9" ht="17.399999999999999" x14ac:dyDescent="0.25">
      <c r="A2058" s="16"/>
      <c r="B2058" s="17"/>
      <c r="C2058" s="2" t="b">
        <v>0</v>
      </c>
      <c r="D2058" s="2"/>
      <c r="E2058" s="2"/>
      <c r="F2058" s="2"/>
      <c r="G2058" s="2"/>
      <c r="H2058" s="2"/>
      <c r="I2058" s="5"/>
    </row>
    <row r="2059" spans="1:9" ht="17.399999999999999" x14ac:dyDescent="0.25">
      <c r="A2059" s="16"/>
      <c r="B2059" s="17"/>
      <c r="C2059" s="2" t="b">
        <v>0</v>
      </c>
      <c r="D2059" s="2"/>
      <c r="E2059" s="2"/>
      <c r="F2059" s="2"/>
      <c r="G2059" s="2"/>
      <c r="H2059" s="2"/>
      <c r="I2059" s="5"/>
    </row>
    <row r="2060" spans="1:9" ht="17.399999999999999" x14ac:dyDescent="0.25">
      <c r="A2060" s="16"/>
      <c r="B2060" s="17"/>
      <c r="C2060" s="2" t="b">
        <v>0</v>
      </c>
      <c r="D2060" s="2"/>
      <c r="E2060" s="2"/>
      <c r="F2060" s="2"/>
      <c r="G2060" s="2"/>
      <c r="H2060" s="2"/>
      <c r="I2060" s="5"/>
    </row>
    <row r="2061" spans="1:9" ht="17.399999999999999" x14ac:dyDescent="0.25">
      <c r="A2061" s="16"/>
      <c r="B2061" s="17"/>
      <c r="C2061" s="2" t="b">
        <v>0</v>
      </c>
      <c r="D2061" s="2"/>
      <c r="E2061" s="2"/>
      <c r="F2061" s="2"/>
      <c r="G2061" s="2"/>
      <c r="H2061" s="2"/>
      <c r="I2061" s="5"/>
    </row>
    <row r="2062" spans="1:9" ht="17.399999999999999" x14ac:dyDescent="0.25">
      <c r="A2062" s="16"/>
      <c r="B2062" s="17"/>
      <c r="C2062" s="2" t="b">
        <v>0</v>
      </c>
      <c r="D2062" s="2"/>
      <c r="E2062" s="2"/>
      <c r="F2062" s="2"/>
      <c r="G2062" s="2"/>
      <c r="H2062" s="2"/>
      <c r="I2062" s="5"/>
    </row>
    <row r="2063" spans="1:9" ht="17.399999999999999" x14ac:dyDescent="0.25">
      <c r="A2063" s="16"/>
      <c r="B2063" s="17"/>
      <c r="C2063" s="2" t="b">
        <v>0</v>
      </c>
      <c r="D2063" s="2"/>
      <c r="E2063" s="2"/>
      <c r="F2063" s="2"/>
      <c r="G2063" s="2"/>
      <c r="H2063" s="2"/>
      <c r="I2063" s="5"/>
    </row>
    <row r="2064" spans="1:9" ht="17.399999999999999" x14ac:dyDescent="0.25">
      <c r="A2064" s="16"/>
      <c r="B2064" s="17"/>
      <c r="C2064" s="2" t="b">
        <v>0</v>
      </c>
      <c r="D2064" s="2"/>
      <c r="E2064" s="2"/>
      <c r="F2064" s="2"/>
      <c r="G2064" s="2"/>
      <c r="H2064" s="2"/>
      <c r="I2064" s="5"/>
    </row>
    <row r="2065" spans="1:9" ht="17.399999999999999" x14ac:dyDescent="0.25">
      <c r="A2065" s="16"/>
      <c r="B2065" s="17"/>
      <c r="C2065" s="2" t="b">
        <v>0</v>
      </c>
      <c r="D2065" s="2"/>
      <c r="E2065" s="2"/>
      <c r="F2065" s="2"/>
      <c r="G2065" s="2"/>
      <c r="H2065" s="2"/>
      <c r="I2065" s="5"/>
    </row>
    <row r="2066" spans="1:9" ht="17.399999999999999" x14ac:dyDescent="0.25">
      <c r="A2066" s="16"/>
      <c r="B2066" s="17"/>
      <c r="C2066" s="2" t="b">
        <v>0</v>
      </c>
      <c r="D2066" s="2"/>
      <c r="E2066" s="2"/>
      <c r="F2066" s="2"/>
      <c r="G2066" s="2"/>
      <c r="H2066" s="2"/>
      <c r="I2066" s="5"/>
    </row>
    <row r="2067" spans="1:9" ht="17.399999999999999" x14ac:dyDescent="0.25">
      <c r="A2067" s="16"/>
      <c r="B2067" s="17"/>
      <c r="C2067" s="2" t="b">
        <v>0</v>
      </c>
      <c r="D2067" s="2"/>
      <c r="E2067" s="2"/>
      <c r="F2067" s="2"/>
      <c r="G2067" s="2"/>
      <c r="H2067" s="2"/>
      <c r="I2067" s="5"/>
    </row>
    <row r="2068" spans="1:9" ht="17.399999999999999" x14ac:dyDescent="0.25">
      <c r="A2068" s="16"/>
      <c r="B2068" s="17"/>
      <c r="C2068" s="2" t="b">
        <v>0</v>
      </c>
      <c r="D2068" s="2"/>
      <c r="E2068" s="2"/>
      <c r="F2068" s="2"/>
      <c r="G2068" s="2"/>
      <c r="H2068" s="2"/>
      <c r="I2068" s="5"/>
    </row>
    <row r="2069" spans="1:9" ht="17.399999999999999" x14ac:dyDescent="0.25">
      <c r="A2069" s="16"/>
      <c r="B2069" s="17"/>
      <c r="C2069" s="2" t="b">
        <v>0</v>
      </c>
      <c r="D2069" s="2"/>
      <c r="E2069" s="2"/>
      <c r="F2069" s="2"/>
      <c r="G2069" s="2"/>
      <c r="H2069" s="2"/>
      <c r="I2069" s="5"/>
    </row>
    <row r="2070" spans="1:9" ht="17.399999999999999" x14ac:dyDescent="0.25">
      <c r="A2070" s="16"/>
      <c r="B2070" s="17"/>
      <c r="C2070" s="2" t="b">
        <v>0</v>
      </c>
      <c r="D2070" s="2"/>
      <c r="E2070" s="2"/>
      <c r="F2070" s="2"/>
      <c r="G2070" s="2"/>
      <c r="H2070" s="2"/>
      <c r="I2070" s="5"/>
    </row>
    <row r="2071" spans="1:9" ht="17.399999999999999" x14ac:dyDescent="0.25">
      <c r="A2071" s="16"/>
      <c r="B2071" s="17"/>
      <c r="C2071" s="2" t="b">
        <v>0</v>
      </c>
      <c r="D2071" s="2"/>
      <c r="E2071" s="2"/>
      <c r="F2071" s="2"/>
      <c r="G2071" s="2"/>
      <c r="H2071" s="2"/>
      <c r="I2071" s="5"/>
    </row>
    <row r="2072" spans="1:9" ht="17.399999999999999" x14ac:dyDescent="0.25">
      <c r="A2072" s="16"/>
      <c r="B2072" s="17"/>
      <c r="C2072" s="2" t="b">
        <v>0</v>
      </c>
      <c r="D2072" s="2"/>
      <c r="E2072" s="2"/>
      <c r="F2072" s="2"/>
      <c r="G2072" s="2"/>
      <c r="H2072" s="2"/>
      <c r="I2072" s="5"/>
    </row>
    <row r="2073" spans="1:9" ht="17.399999999999999" x14ac:dyDescent="0.25">
      <c r="A2073" s="16"/>
      <c r="B2073" s="17"/>
      <c r="C2073" s="2" t="b">
        <v>0</v>
      </c>
      <c r="D2073" s="2"/>
      <c r="E2073" s="2"/>
      <c r="F2073" s="2"/>
      <c r="G2073" s="2"/>
      <c r="H2073" s="2"/>
      <c r="I2073" s="5"/>
    </row>
    <row r="2074" spans="1:9" ht="17.399999999999999" x14ac:dyDescent="0.25">
      <c r="A2074" s="16"/>
      <c r="B2074" s="17"/>
      <c r="C2074" s="2" t="b">
        <v>0</v>
      </c>
      <c r="D2074" s="2"/>
      <c r="E2074" s="2"/>
      <c r="F2074" s="2"/>
      <c r="G2074" s="2"/>
      <c r="H2074" s="2"/>
      <c r="I2074" s="5"/>
    </row>
    <row r="2075" spans="1:9" ht="17.399999999999999" x14ac:dyDescent="0.25">
      <c r="A2075" s="16"/>
      <c r="B2075" s="17"/>
      <c r="C2075" s="2" t="b">
        <v>0</v>
      </c>
      <c r="D2075" s="2"/>
      <c r="E2075" s="2"/>
      <c r="F2075" s="2"/>
      <c r="G2075" s="2"/>
      <c r="H2075" s="2"/>
      <c r="I2075" s="5"/>
    </row>
    <row r="2076" spans="1:9" ht="17.399999999999999" x14ac:dyDescent="0.25">
      <c r="A2076" s="16"/>
      <c r="B2076" s="17"/>
      <c r="C2076" s="2" t="b">
        <v>0</v>
      </c>
      <c r="D2076" s="2"/>
      <c r="E2076" s="2"/>
      <c r="F2076" s="2"/>
      <c r="G2076" s="2"/>
      <c r="H2076" s="2"/>
      <c r="I2076" s="5"/>
    </row>
    <row r="2077" spans="1:9" ht="17.399999999999999" x14ac:dyDescent="0.25">
      <c r="A2077" s="16"/>
      <c r="B2077" s="17"/>
      <c r="C2077" s="2" t="b">
        <v>0</v>
      </c>
      <c r="D2077" s="2"/>
      <c r="E2077" s="2"/>
      <c r="F2077" s="2"/>
      <c r="G2077" s="2"/>
      <c r="H2077" s="2"/>
      <c r="I2077" s="5"/>
    </row>
    <row r="2078" spans="1:9" ht="17.399999999999999" x14ac:dyDescent="0.25">
      <c r="A2078" s="16"/>
      <c r="B2078" s="17"/>
      <c r="C2078" s="2" t="b">
        <v>0</v>
      </c>
      <c r="D2078" s="2"/>
      <c r="E2078" s="2"/>
      <c r="F2078" s="2"/>
      <c r="G2078" s="2"/>
      <c r="H2078" s="2"/>
      <c r="I2078" s="5"/>
    </row>
    <row r="2079" spans="1:9" ht="17.399999999999999" x14ac:dyDescent="0.25">
      <c r="A2079" s="16"/>
      <c r="B2079" s="17"/>
      <c r="C2079" s="2" t="b">
        <v>0</v>
      </c>
      <c r="D2079" s="2"/>
      <c r="E2079" s="2"/>
      <c r="F2079" s="2"/>
      <c r="G2079" s="2"/>
      <c r="H2079" s="2"/>
      <c r="I2079" s="5"/>
    </row>
    <row r="2080" spans="1:9" ht="17.399999999999999" x14ac:dyDescent="0.25">
      <c r="A2080" s="16"/>
      <c r="B2080" s="17"/>
      <c r="C2080" s="2" t="b">
        <v>0</v>
      </c>
      <c r="D2080" s="2"/>
      <c r="E2080" s="2"/>
      <c r="F2080" s="2"/>
      <c r="G2080" s="2"/>
      <c r="H2080" s="2"/>
      <c r="I2080" s="5"/>
    </row>
    <row r="2081" spans="1:9" ht="17.399999999999999" x14ac:dyDescent="0.25">
      <c r="A2081" s="16"/>
      <c r="B2081" s="17"/>
      <c r="C2081" s="2" t="b">
        <v>0</v>
      </c>
      <c r="D2081" s="2"/>
      <c r="E2081" s="2"/>
      <c r="F2081" s="2"/>
      <c r="G2081" s="2"/>
      <c r="H2081" s="2"/>
      <c r="I2081" s="5"/>
    </row>
    <row r="2082" spans="1:9" ht="17.399999999999999" x14ac:dyDescent="0.25">
      <c r="A2082" s="16"/>
      <c r="B2082" s="17"/>
      <c r="C2082" s="2" t="b">
        <v>0</v>
      </c>
      <c r="D2082" s="2"/>
      <c r="E2082" s="2"/>
      <c r="F2082" s="2"/>
      <c r="G2082" s="2"/>
      <c r="H2082" s="2"/>
      <c r="I2082" s="5"/>
    </row>
    <row r="2083" spans="1:9" ht="17.399999999999999" x14ac:dyDescent="0.25">
      <c r="A2083" s="16"/>
      <c r="B2083" s="17"/>
      <c r="C2083" s="2" t="b">
        <v>0</v>
      </c>
      <c r="D2083" s="2"/>
      <c r="E2083" s="2"/>
      <c r="F2083" s="2"/>
      <c r="G2083" s="2"/>
      <c r="H2083" s="2"/>
      <c r="I2083" s="5"/>
    </row>
    <row r="2084" spans="1:9" ht="17.399999999999999" x14ac:dyDescent="0.25">
      <c r="A2084" s="16"/>
      <c r="B2084" s="17"/>
      <c r="C2084" s="2" t="b">
        <v>0</v>
      </c>
      <c r="D2084" s="2"/>
      <c r="E2084" s="2"/>
      <c r="F2084" s="2"/>
      <c r="G2084" s="2"/>
      <c r="H2084" s="2"/>
      <c r="I2084" s="5"/>
    </row>
    <row r="2085" spans="1:9" ht="17.399999999999999" x14ac:dyDescent="0.25">
      <c r="A2085" s="16"/>
      <c r="B2085" s="17"/>
      <c r="C2085" s="2" t="b">
        <v>0</v>
      </c>
      <c r="D2085" s="2"/>
      <c r="E2085" s="2"/>
      <c r="F2085" s="2"/>
      <c r="G2085" s="2"/>
      <c r="H2085" s="2"/>
      <c r="I2085" s="5"/>
    </row>
    <row r="2086" spans="1:9" ht="17.399999999999999" x14ac:dyDescent="0.25">
      <c r="A2086" s="16"/>
      <c r="B2086" s="17"/>
      <c r="C2086" s="2" t="b">
        <v>0</v>
      </c>
      <c r="D2086" s="2"/>
      <c r="E2086" s="2"/>
      <c r="F2086" s="2"/>
      <c r="G2086" s="2"/>
      <c r="H2086" s="2"/>
      <c r="I2086" s="5"/>
    </row>
    <row r="2087" spans="1:9" ht="17.399999999999999" x14ac:dyDescent="0.25">
      <c r="A2087" s="16"/>
      <c r="B2087" s="17"/>
      <c r="C2087" s="2" t="b">
        <v>0</v>
      </c>
      <c r="D2087" s="2"/>
      <c r="E2087" s="2"/>
      <c r="F2087" s="2"/>
      <c r="G2087" s="2"/>
      <c r="H2087" s="2"/>
      <c r="I2087" s="5"/>
    </row>
    <row r="2088" spans="1:9" ht="17.399999999999999" x14ac:dyDescent="0.25">
      <c r="A2088" s="16"/>
      <c r="B2088" s="17"/>
      <c r="C2088" s="2" t="b">
        <v>0</v>
      </c>
      <c r="D2088" s="2"/>
      <c r="E2088" s="2"/>
      <c r="F2088" s="2"/>
      <c r="G2088" s="2"/>
      <c r="H2088" s="2"/>
      <c r="I2088" s="5"/>
    </row>
    <row r="2089" spans="1:9" ht="17.399999999999999" x14ac:dyDescent="0.25">
      <c r="A2089" s="16"/>
      <c r="B2089" s="17"/>
      <c r="C2089" s="2" t="b">
        <v>0</v>
      </c>
      <c r="D2089" s="2"/>
      <c r="E2089" s="2"/>
      <c r="F2089" s="2"/>
      <c r="G2089" s="2"/>
      <c r="H2089" s="2"/>
      <c r="I2089" s="5"/>
    </row>
    <row r="2090" spans="1:9" ht="17.399999999999999" x14ac:dyDescent="0.25">
      <c r="A2090" s="16"/>
      <c r="B2090" s="17"/>
      <c r="C2090" s="2" t="b">
        <v>0</v>
      </c>
      <c r="D2090" s="2"/>
      <c r="E2090" s="2"/>
      <c r="F2090" s="2"/>
      <c r="G2090" s="2"/>
      <c r="H2090" s="2"/>
      <c r="I2090" s="5"/>
    </row>
    <row r="2091" spans="1:9" ht="17.399999999999999" x14ac:dyDescent="0.25">
      <c r="A2091" s="16"/>
      <c r="B2091" s="17"/>
      <c r="C2091" s="2" t="b">
        <v>0</v>
      </c>
      <c r="D2091" s="2"/>
      <c r="E2091" s="2"/>
      <c r="F2091" s="2"/>
      <c r="G2091" s="2"/>
      <c r="H2091" s="2"/>
      <c r="I2091" s="5"/>
    </row>
    <row r="2092" spans="1:9" ht="17.399999999999999" x14ac:dyDescent="0.25">
      <c r="A2092" s="16"/>
      <c r="B2092" s="17"/>
      <c r="C2092" s="2" t="b">
        <v>0</v>
      </c>
      <c r="D2092" s="2"/>
      <c r="E2092" s="2"/>
      <c r="F2092" s="2"/>
      <c r="G2092" s="2"/>
      <c r="H2092" s="2"/>
      <c r="I2092" s="5"/>
    </row>
    <row r="2093" spans="1:9" ht="17.399999999999999" x14ac:dyDescent="0.25">
      <c r="A2093" s="16"/>
      <c r="B2093" s="17"/>
      <c r="C2093" s="2" t="b">
        <v>0</v>
      </c>
      <c r="D2093" s="2"/>
      <c r="E2093" s="2"/>
      <c r="F2093" s="2"/>
      <c r="G2093" s="2"/>
      <c r="H2093" s="2"/>
      <c r="I2093" s="5"/>
    </row>
    <row r="2094" spans="1:9" ht="17.399999999999999" x14ac:dyDescent="0.25">
      <c r="A2094" s="16"/>
      <c r="B2094" s="17"/>
      <c r="C2094" s="2" t="b">
        <v>0</v>
      </c>
      <c r="D2094" s="2"/>
      <c r="E2094" s="2"/>
      <c r="F2094" s="2"/>
      <c r="G2094" s="2"/>
      <c r="H2094" s="2"/>
      <c r="I2094" s="5"/>
    </row>
    <row r="2095" spans="1:9" ht="17.399999999999999" x14ac:dyDescent="0.25">
      <c r="A2095" s="16"/>
      <c r="B2095" s="17"/>
      <c r="C2095" s="2" t="b">
        <v>0</v>
      </c>
      <c r="D2095" s="2"/>
      <c r="E2095" s="2"/>
      <c r="F2095" s="2"/>
      <c r="G2095" s="2"/>
      <c r="H2095" s="2"/>
      <c r="I2095" s="5"/>
    </row>
    <row r="2096" spans="1:9" ht="17.399999999999999" x14ac:dyDescent="0.25">
      <c r="A2096" s="16"/>
      <c r="B2096" s="17"/>
      <c r="C2096" s="2" t="b">
        <v>0</v>
      </c>
      <c r="D2096" s="2"/>
      <c r="E2096" s="2"/>
      <c r="F2096" s="2"/>
      <c r="G2096" s="2"/>
      <c r="H2096" s="2"/>
      <c r="I2096" s="5"/>
    </row>
    <row r="2097" spans="1:9" ht="17.399999999999999" x14ac:dyDescent="0.25">
      <c r="A2097" s="16"/>
      <c r="B2097" s="17"/>
      <c r="C2097" s="2" t="b">
        <v>0</v>
      </c>
      <c r="D2097" s="2"/>
      <c r="E2097" s="2"/>
      <c r="F2097" s="2"/>
      <c r="G2097" s="2"/>
      <c r="H2097" s="2"/>
      <c r="I2097" s="5"/>
    </row>
    <row r="2098" spans="1:9" ht="17.399999999999999" x14ac:dyDescent="0.25">
      <c r="A2098" s="16"/>
      <c r="B2098" s="17"/>
      <c r="C2098" s="2" t="b">
        <v>0</v>
      </c>
      <c r="D2098" s="2"/>
      <c r="E2098" s="2"/>
      <c r="F2098" s="2"/>
      <c r="G2098" s="2"/>
      <c r="H2098" s="2"/>
      <c r="I2098" s="5"/>
    </row>
    <row r="2099" spans="1:9" ht="17.399999999999999" x14ac:dyDescent="0.25">
      <c r="A2099" s="16"/>
      <c r="B2099" s="17"/>
      <c r="C2099" s="2" t="b">
        <v>0</v>
      </c>
      <c r="D2099" s="2"/>
      <c r="E2099" s="2"/>
      <c r="F2099" s="2"/>
      <c r="G2099" s="2"/>
      <c r="H2099" s="2"/>
      <c r="I2099" s="5"/>
    </row>
    <row r="2100" spans="1:9" ht="17.399999999999999" x14ac:dyDescent="0.25">
      <c r="A2100" s="16"/>
      <c r="B2100" s="17"/>
      <c r="C2100" s="2" t="b">
        <v>0</v>
      </c>
      <c r="D2100" s="2"/>
      <c r="E2100" s="2"/>
      <c r="F2100" s="2"/>
      <c r="G2100" s="2"/>
      <c r="H2100" s="2"/>
      <c r="I2100" s="5"/>
    </row>
    <row r="2101" spans="1:9" ht="17.399999999999999" x14ac:dyDescent="0.25">
      <c r="A2101" s="16"/>
      <c r="B2101" s="17"/>
      <c r="C2101" s="2" t="b">
        <v>0</v>
      </c>
      <c r="D2101" s="2"/>
      <c r="E2101" s="2"/>
      <c r="F2101" s="2"/>
      <c r="G2101" s="2"/>
      <c r="H2101" s="2"/>
      <c r="I2101" s="5"/>
    </row>
    <row r="2102" spans="1:9" ht="17.399999999999999" x14ac:dyDescent="0.25">
      <c r="A2102" s="16"/>
      <c r="B2102" s="17"/>
      <c r="C2102" s="2" t="b">
        <v>0</v>
      </c>
      <c r="D2102" s="2"/>
      <c r="E2102" s="2"/>
      <c r="F2102" s="2"/>
      <c r="G2102" s="2"/>
      <c r="H2102" s="2"/>
      <c r="I2102" s="5"/>
    </row>
    <row r="2103" spans="1:9" ht="17.399999999999999" x14ac:dyDescent="0.25">
      <c r="A2103" s="16"/>
      <c r="B2103" s="17"/>
      <c r="C2103" s="2" t="b">
        <v>0</v>
      </c>
      <c r="D2103" s="2"/>
      <c r="E2103" s="2"/>
      <c r="F2103" s="2"/>
      <c r="G2103" s="2"/>
      <c r="H2103" s="2"/>
      <c r="I2103" s="5"/>
    </row>
    <row r="2104" spans="1:9" ht="17.399999999999999" x14ac:dyDescent="0.25">
      <c r="A2104" s="16"/>
      <c r="B2104" s="17"/>
      <c r="C2104" s="2" t="b">
        <v>0</v>
      </c>
      <c r="D2104" s="2"/>
      <c r="E2104" s="2"/>
      <c r="F2104" s="2"/>
      <c r="G2104" s="2"/>
      <c r="H2104" s="2"/>
      <c r="I2104" s="5"/>
    </row>
    <row r="2105" spans="1:9" ht="17.399999999999999" x14ac:dyDescent="0.25">
      <c r="A2105" s="16"/>
      <c r="B2105" s="17"/>
      <c r="C2105" s="2" t="b">
        <v>0</v>
      </c>
      <c r="D2105" s="2"/>
      <c r="E2105" s="2"/>
      <c r="F2105" s="2"/>
      <c r="G2105" s="2"/>
      <c r="H2105" s="2"/>
      <c r="I2105" s="5"/>
    </row>
    <row r="2106" spans="1:9" ht="17.399999999999999" x14ac:dyDescent="0.25">
      <c r="A2106" s="16"/>
      <c r="B2106" s="17"/>
      <c r="C2106" s="2" t="b">
        <v>0</v>
      </c>
      <c r="D2106" s="2"/>
      <c r="E2106" s="2"/>
      <c r="F2106" s="2"/>
      <c r="G2106" s="2"/>
      <c r="H2106" s="2"/>
      <c r="I2106" s="5"/>
    </row>
    <row r="2107" spans="1:9" ht="17.399999999999999" x14ac:dyDescent="0.25">
      <c r="A2107" s="16"/>
      <c r="B2107" s="17"/>
      <c r="C2107" s="2" t="b">
        <v>0</v>
      </c>
      <c r="D2107" s="2"/>
      <c r="E2107" s="2"/>
      <c r="F2107" s="2"/>
      <c r="G2107" s="2"/>
      <c r="H2107" s="2"/>
      <c r="I2107" s="5"/>
    </row>
    <row r="2108" spans="1:9" ht="17.399999999999999" x14ac:dyDescent="0.25">
      <c r="A2108" s="16"/>
      <c r="B2108" s="17"/>
      <c r="C2108" s="2" t="b">
        <v>0</v>
      </c>
      <c r="D2108" s="2"/>
      <c r="E2108" s="2"/>
      <c r="F2108" s="2"/>
      <c r="G2108" s="2"/>
      <c r="H2108" s="2"/>
      <c r="I2108" s="5"/>
    </row>
    <row r="2109" spans="1:9" ht="17.399999999999999" x14ac:dyDescent="0.25">
      <c r="A2109" s="16"/>
      <c r="B2109" s="17"/>
      <c r="C2109" s="2" t="b">
        <v>0</v>
      </c>
      <c r="D2109" s="2"/>
      <c r="E2109" s="2"/>
      <c r="F2109" s="2"/>
      <c r="G2109" s="2"/>
      <c r="H2109" s="2"/>
      <c r="I2109" s="5"/>
    </row>
    <row r="2110" spans="1:9" ht="17.399999999999999" x14ac:dyDescent="0.25">
      <c r="A2110" s="16"/>
      <c r="B2110" s="17"/>
      <c r="C2110" s="2" t="b">
        <v>0</v>
      </c>
      <c r="D2110" s="2"/>
      <c r="E2110" s="2"/>
      <c r="F2110" s="2"/>
      <c r="G2110" s="2"/>
      <c r="H2110" s="2"/>
      <c r="I2110" s="5"/>
    </row>
    <row r="2111" spans="1:9" ht="17.399999999999999" x14ac:dyDescent="0.25">
      <c r="A2111" s="16"/>
      <c r="B2111" s="17"/>
      <c r="C2111" s="2" t="b">
        <v>0</v>
      </c>
      <c r="D2111" s="2"/>
      <c r="E2111" s="2"/>
      <c r="F2111" s="2"/>
      <c r="G2111" s="2"/>
      <c r="H2111" s="2"/>
      <c r="I2111" s="5"/>
    </row>
    <row r="2112" spans="1:9" ht="17.399999999999999" x14ac:dyDescent="0.25">
      <c r="A2112" s="16"/>
      <c r="B2112" s="17"/>
      <c r="C2112" s="2" t="b">
        <v>0</v>
      </c>
      <c r="D2112" s="2"/>
      <c r="E2112" s="2"/>
      <c r="F2112" s="2"/>
      <c r="G2112" s="2"/>
      <c r="H2112" s="2"/>
      <c r="I2112" s="5"/>
    </row>
    <row r="2113" spans="1:9" ht="17.399999999999999" x14ac:dyDescent="0.25">
      <c r="A2113" s="16"/>
      <c r="B2113" s="17"/>
      <c r="C2113" s="2" t="b">
        <v>0</v>
      </c>
      <c r="D2113" s="2"/>
      <c r="E2113" s="2"/>
      <c r="F2113" s="2"/>
      <c r="G2113" s="2"/>
      <c r="H2113" s="2"/>
      <c r="I2113" s="5"/>
    </row>
    <row r="2114" spans="1:9" ht="17.399999999999999" x14ac:dyDescent="0.25">
      <c r="A2114" s="16"/>
      <c r="B2114" s="17"/>
      <c r="C2114" s="2" t="b">
        <v>0</v>
      </c>
      <c r="D2114" s="2"/>
      <c r="E2114" s="2"/>
      <c r="F2114" s="2"/>
      <c r="G2114" s="2"/>
      <c r="H2114" s="2"/>
      <c r="I2114" s="5"/>
    </row>
    <row r="2115" spans="1:9" ht="17.399999999999999" x14ac:dyDescent="0.25">
      <c r="A2115" s="16"/>
      <c r="B2115" s="17"/>
      <c r="C2115" s="2" t="b">
        <v>0</v>
      </c>
      <c r="D2115" s="2"/>
      <c r="E2115" s="2"/>
      <c r="F2115" s="2"/>
      <c r="G2115" s="2"/>
      <c r="H2115" s="2"/>
      <c r="I2115" s="5"/>
    </row>
    <row r="2116" spans="1:9" ht="17.399999999999999" x14ac:dyDescent="0.25">
      <c r="A2116" s="16"/>
      <c r="B2116" s="17"/>
      <c r="C2116" s="2" t="b">
        <v>0</v>
      </c>
      <c r="D2116" s="2"/>
      <c r="E2116" s="2"/>
      <c r="F2116" s="2"/>
      <c r="G2116" s="2"/>
      <c r="H2116" s="2"/>
      <c r="I2116" s="5"/>
    </row>
    <row r="2117" spans="1:9" ht="17.399999999999999" x14ac:dyDescent="0.25">
      <c r="A2117" s="16"/>
      <c r="B2117" s="17"/>
      <c r="C2117" s="2" t="b">
        <v>0</v>
      </c>
      <c r="D2117" s="2"/>
      <c r="E2117" s="2"/>
      <c r="F2117" s="2"/>
      <c r="G2117" s="2"/>
      <c r="H2117" s="2"/>
      <c r="I2117" s="5"/>
    </row>
    <row r="2118" spans="1:9" ht="17.399999999999999" x14ac:dyDescent="0.25">
      <c r="A2118" s="16"/>
      <c r="B2118" s="17"/>
      <c r="C2118" s="2" t="b">
        <v>0</v>
      </c>
      <c r="D2118" s="2"/>
      <c r="E2118" s="2"/>
      <c r="F2118" s="2"/>
      <c r="G2118" s="2"/>
      <c r="H2118" s="2"/>
      <c r="I2118" s="5"/>
    </row>
    <row r="2119" spans="1:9" ht="17.399999999999999" x14ac:dyDescent="0.25">
      <c r="A2119" s="16"/>
      <c r="B2119" s="17"/>
      <c r="C2119" s="2" t="b">
        <v>0</v>
      </c>
      <c r="D2119" s="2"/>
      <c r="E2119" s="2"/>
      <c r="F2119" s="2"/>
      <c r="G2119" s="2"/>
      <c r="H2119" s="2"/>
      <c r="I2119" s="5"/>
    </row>
    <row r="2120" spans="1:9" ht="17.399999999999999" x14ac:dyDescent="0.25">
      <c r="A2120" s="16"/>
      <c r="B2120" s="17"/>
      <c r="C2120" s="2" t="b">
        <v>0</v>
      </c>
      <c r="D2120" s="2"/>
      <c r="E2120" s="2"/>
      <c r="F2120" s="2"/>
      <c r="G2120" s="2"/>
      <c r="H2120" s="2"/>
      <c r="I2120" s="5"/>
    </row>
    <row r="2121" spans="1:9" ht="17.399999999999999" x14ac:dyDescent="0.25">
      <c r="A2121" s="16"/>
      <c r="B2121" s="17"/>
      <c r="C2121" s="2" t="b">
        <v>0</v>
      </c>
      <c r="D2121" s="2"/>
      <c r="E2121" s="2"/>
      <c r="F2121" s="2"/>
      <c r="G2121" s="2"/>
      <c r="H2121" s="2"/>
      <c r="I2121" s="5"/>
    </row>
    <row r="2122" spans="1:9" ht="17.399999999999999" x14ac:dyDescent="0.25">
      <c r="A2122" s="16"/>
      <c r="B2122" s="17"/>
      <c r="C2122" s="2" t="b">
        <v>0</v>
      </c>
      <c r="D2122" s="2"/>
      <c r="E2122" s="2"/>
      <c r="F2122" s="2"/>
      <c r="G2122" s="2"/>
      <c r="H2122" s="2"/>
      <c r="I2122" s="5"/>
    </row>
    <row r="2123" spans="1:9" ht="17.399999999999999" x14ac:dyDescent="0.25">
      <c r="A2123" s="16"/>
      <c r="B2123" s="17"/>
      <c r="C2123" s="2" t="b">
        <v>0</v>
      </c>
      <c r="D2123" s="2"/>
      <c r="E2123" s="2"/>
      <c r="F2123" s="2"/>
      <c r="G2123" s="2"/>
      <c r="H2123" s="2"/>
      <c r="I2123" s="5"/>
    </row>
    <row r="2124" spans="1:9" ht="17.399999999999999" x14ac:dyDescent="0.25">
      <c r="A2124" s="16"/>
      <c r="B2124" s="17"/>
      <c r="C2124" s="2" t="b">
        <v>0</v>
      </c>
      <c r="D2124" s="2"/>
      <c r="E2124" s="2"/>
      <c r="F2124" s="2"/>
      <c r="G2124" s="2"/>
      <c r="H2124" s="2"/>
      <c r="I2124" s="5"/>
    </row>
    <row r="2125" spans="1:9" ht="17.399999999999999" x14ac:dyDescent="0.25">
      <c r="A2125" s="16"/>
      <c r="B2125" s="17"/>
      <c r="C2125" s="2" t="b">
        <v>0</v>
      </c>
      <c r="D2125" s="2"/>
      <c r="E2125" s="2"/>
      <c r="F2125" s="2"/>
      <c r="G2125" s="2"/>
      <c r="H2125" s="2"/>
      <c r="I2125" s="5"/>
    </row>
    <row r="2126" spans="1:9" ht="17.399999999999999" x14ac:dyDescent="0.25">
      <c r="A2126" s="16"/>
      <c r="B2126" s="17"/>
      <c r="C2126" s="2" t="b">
        <v>0</v>
      </c>
      <c r="D2126" s="2"/>
      <c r="E2126" s="2"/>
      <c r="F2126" s="2"/>
      <c r="G2126" s="2"/>
      <c r="H2126" s="2"/>
      <c r="I2126" s="5"/>
    </row>
    <row r="2127" spans="1:9" ht="17.399999999999999" x14ac:dyDescent="0.25">
      <c r="A2127" s="16"/>
      <c r="B2127" s="17"/>
      <c r="C2127" s="2" t="b">
        <v>0</v>
      </c>
      <c r="D2127" s="2"/>
      <c r="E2127" s="2"/>
      <c r="F2127" s="2"/>
      <c r="G2127" s="2"/>
      <c r="H2127" s="2"/>
      <c r="I2127" s="5"/>
    </row>
    <row r="2128" spans="1:9" ht="17.399999999999999" x14ac:dyDescent="0.25">
      <c r="A2128" s="16"/>
      <c r="B2128" s="17"/>
      <c r="C2128" s="2" t="b">
        <v>0</v>
      </c>
      <c r="D2128" s="2"/>
      <c r="E2128" s="2"/>
      <c r="F2128" s="2"/>
      <c r="G2128" s="2"/>
      <c r="H2128" s="2"/>
      <c r="I2128" s="5"/>
    </row>
    <row r="2129" spans="1:9" ht="17.399999999999999" x14ac:dyDescent="0.25">
      <c r="A2129" s="16"/>
      <c r="B2129" s="17"/>
      <c r="C2129" s="2" t="b">
        <v>0</v>
      </c>
      <c r="D2129" s="2"/>
      <c r="E2129" s="2"/>
      <c r="F2129" s="2"/>
      <c r="G2129" s="2"/>
      <c r="H2129" s="2"/>
      <c r="I2129" s="5"/>
    </row>
    <row r="2130" spans="1:9" ht="17.399999999999999" x14ac:dyDescent="0.25">
      <c r="A2130" s="16"/>
      <c r="B2130" s="17"/>
      <c r="C2130" s="2" t="b">
        <v>0</v>
      </c>
      <c r="D2130" s="2"/>
      <c r="E2130" s="2"/>
      <c r="F2130" s="2"/>
      <c r="G2130" s="2"/>
      <c r="H2130" s="2"/>
      <c r="I2130" s="5"/>
    </row>
    <row r="2131" spans="1:9" ht="17.399999999999999" x14ac:dyDescent="0.25">
      <c r="A2131" s="16"/>
      <c r="B2131" s="17"/>
      <c r="C2131" s="2" t="b">
        <v>0</v>
      </c>
      <c r="D2131" s="2"/>
      <c r="E2131" s="2"/>
      <c r="F2131" s="2"/>
      <c r="G2131" s="2"/>
      <c r="H2131" s="2"/>
      <c r="I2131" s="5"/>
    </row>
    <row r="2132" spans="1:9" ht="17.399999999999999" x14ac:dyDescent="0.25">
      <c r="A2132" s="16"/>
      <c r="B2132" s="17"/>
      <c r="C2132" s="2" t="b">
        <v>0</v>
      </c>
      <c r="D2132" s="2"/>
      <c r="E2132" s="2"/>
      <c r="F2132" s="2"/>
      <c r="G2132" s="2"/>
      <c r="H2132" s="2"/>
      <c r="I2132" s="5"/>
    </row>
    <row r="2133" spans="1:9" ht="17.399999999999999" x14ac:dyDescent="0.25">
      <c r="A2133" s="16"/>
      <c r="B2133" s="17"/>
      <c r="C2133" s="2" t="b">
        <v>0</v>
      </c>
      <c r="D2133" s="2"/>
      <c r="E2133" s="2"/>
      <c r="F2133" s="2"/>
      <c r="G2133" s="2"/>
      <c r="H2133" s="2"/>
      <c r="I2133" s="5"/>
    </row>
    <row r="2134" spans="1:9" ht="17.399999999999999" x14ac:dyDescent="0.25">
      <c r="A2134" s="16"/>
      <c r="B2134" s="17"/>
      <c r="C2134" s="2" t="b">
        <v>0</v>
      </c>
      <c r="D2134" s="2"/>
      <c r="E2134" s="2"/>
      <c r="F2134" s="2"/>
      <c r="G2134" s="2"/>
      <c r="H2134" s="2"/>
      <c r="I2134" s="5"/>
    </row>
    <row r="2135" spans="1:9" ht="17.399999999999999" x14ac:dyDescent="0.25">
      <c r="A2135" s="16"/>
      <c r="B2135" s="17"/>
      <c r="C2135" s="2" t="b">
        <v>0</v>
      </c>
      <c r="D2135" s="2"/>
      <c r="E2135" s="2"/>
      <c r="F2135" s="2"/>
      <c r="G2135" s="2"/>
      <c r="H2135" s="2"/>
      <c r="I2135" s="5"/>
    </row>
    <row r="2136" spans="1:9" ht="17.399999999999999" x14ac:dyDescent="0.25">
      <c r="A2136" s="16"/>
      <c r="B2136" s="17"/>
      <c r="C2136" s="2" t="b">
        <v>0</v>
      </c>
      <c r="D2136" s="2"/>
      <c r="E2136" s="2"/>
      <c r="F2136" s="2"/>
      <c r="G2136" s="2"/>
      <c r="H2136" s="2"/>
      <c r="I2136" s="5"/>
    </row>
    <row r="2137" spans="1:9" ht="17.399999999999999" x14ac:dyDescent="0.25">
      <c r="A2137" s="16"/>
      <c r="B2137" s="17"/>
      <c r="C2137" s="2" t="b">
        <v>0</v>
      </c>
      <c r="D2137" s="2"/>
      <c r="E2137" s="2"/>
      <c r="F2137" s="2"/>
      <c r="G2137" s="2"/>
      <c r="H2137" s="2"/>
      <c r="I2137" s="5"/>
    </row>
    <row r="2138" spans="1:9" ht="17.399999999999999" x14ac:dyDescent="0.25">
      <c r="A2138" s="16"/>
      <c r="B2138" s="17"/>
      <c r="C2138" s="2" t="b">
        <v>0</v>
      </c>
      <c r="D2138" s="2"/>
      <c r="E2138" s="2"/>
      <c r="F2138" s="2"/>
      <c r="G2138" s="2"/>
      <c r="H2138" s="2"/>
      <c r="I2138" s="5"/>
    </row>
    <row r="2139" spans="1:9" ht="17.399999999999999" x14ac:dyDescent="0.25">
      <c r="A2139" s="16"/>
      <c r="B2139" s="17"/>
      <c r="C2139" s="2" t="b">
        <v>0</v>
      </c>
      <c r="D2139" s="2"/>
      <c r="E2139" s="2"/>
      <c r="F2139" s="2"/>
      <c r="G2139" s="2"/>
      <c r="H2139" s="2"/>
      <c r="I2139" s="5"/>
    </row>
    <row r="2140" spans="1:9" ht="17.399999999999999" x14ac:dyDescent="0.25">
      <c r="A2140" s="16"/>
      <c r="B2140" s="17"/>
      <c r="C2140" s="2" t="b">
        <v>0</v>
      </c>
      <c r="D2140" s="2"/>
      <c r="E2140" s="2"/>
      <c r="F2140" s="2"/>
      <c r="G2140" s="2"/>
      <c r="H2140" s="2"/>
      <c r="I2140" s="5"/>
    </row>
    <row r="2141" spans="1:9" ht="17.399999999999999" x14ac:dyDescent="0.25">
      <c r="A2141" s="16"/>
      <c r="B2141" s="17"/>
      <c r="C2141" s="2" t="b">
        <v>0</v>
      </c>
      <c r="D2141" s="2"/>
      <c r="E2141" s="2"/>
      <c r="F2141" s="2"/>
      <c r="G2141" s="2"/>
      <c r="H2141" s="2"/>
      <c r="I2141" s="5"/>
    </row>
    <row r="2142" spans="1:9" ht="17.399999999999999" x14ac:dyDescent="0.25">
      <c r="A2142" s="16"/>
      <c r="B2142" s="17"/>
      <c r="C2142" s="2" t="b">
        <v>0</v>
      </c>
      <c r="D2142" s="2"/>
      <c r="E2142" s="2"/>
      <c r="F2142" s="2"/>
      <c r="G2142" s="2"/>
      <c r="H2142" s="2"/>
      <c r="I2142" s="5"/>
    </row>
    <row r="2143" spans="1:9" ht="17.399999999999999" x14ac:dyDescent="0.25">
      <c r="A2143" s="16"/>
      <c r="B2143" s="17"/>
      <c r="C2143" s="2" t="b">
        <v>0</v>
      </c>
      <c r="D2143" s="2"/>
      <c r="E2143" s="2"/>
      <c r="F2143" s="2"/>
      <c r="G2143" s="2"/>
      <c r="H2143" s="2"/>
      <c r="I2143" s="5"/>
    </row>
    <row r="2144" spans="1:9" ht="17.399999999999999" x14ac:dyDescent="0.25">
      <c r="A2144" s="16"/>
      <c r="B2144" s="17"/>
      <c r="C2144" s="2" t="b">
        <v>0</v>
      </c>
      <c r="D2144" s="2"/>
      <c r="E2144" s="2"/>
      <c r="F2144" s="2"/>
      <c r="G2144" s="2"/>
      <c r="H2144" s="2"/>
      <c r="I2144" s="5"/>
    </row>
    <row r="2145" spans="1:9" ht="17.399999999999999" x14ac:dyDescent="0.25">
      <c r="A2145" s="16"/>
      <c r="B2145" s="17"/>
      <c r="C2145" s="2" t="b">
        <v>0</v>
      </c>
      <c r="D2145" s="2"/>
      <c r="E2145" s="2"/>
      <c r="F2145" s="2"/>
      <c r="G2145" s="2"/>
      <c r="H2145" s="2"/>
      <c r="I2145" s="5"/>
    </row>
    <row r="2146" spans="1:9" ht="17.399999999999999" x14ac:dyDescent="0.25">
      <c r="A2146" s="16"/>
      <c r="B2146" s="17"/>
      <c r="C2146" s="2" t="b">
        <v>0</v>
      </c>
      <c r="D2146" s="2"/>
      <c r="E2146" s="2"/>
      <c r="F2146" s="2"/>
      <c r="G2146" s="2"/>
      <c r="H2146" s="2"/>
      <c r="I2146" s="5"/>
    </row>
    <row r="2147" spans="1:9" ht="17.399999999999999" x14ac:dyDescent="0.25">
      <c r="A2147" s="16"/>
      <c r="B2147" s="17"/>
      <c r="C2147" s="2" t="b">
        <v>0</v>
      </c>
      <c r="D2147" s="2"/>
      <c r="E2147" s="2"/>
      <c r="F2147" s="2"/>
      <c r="G2147" s="2"/>
      <c r="H2147" s="2"/>
      <c r="I2147" s="5"/>
    </row>
    <row r="2148" spans="1:9" ht="17.399999999999999" x14ac:dyDescent="0.25">
      <c r="A2148" s="16"/>
      <c r="B2148" s="17"/>
      <c r="C2148" s="2" t="b">
        <v>0</v>
      </c>
      <c r="D2148" s="2"/>
      <c r="E2148" s="2"/>
      <c r="F2148" s="2"/>
      <c r="G2148" s="2"/>
      <c r="H2148" s="2"/>
      <c r="I2148" s="5"/>
    </row>
    <row r="2149" spans="1:9" ht="17.399999999999999" x14ac:dyDescent="0.25">
      <c r="A2149" s="16"/>
      <c r="B2149" s="17"/>
      <c r="C2149" s="2" t="b">
        <v>0</v>
      </c>
      <c r="D2149" s="2"/>
      <c r="E2149" s="2"/>
      <c r="F2149" s="2"/>
      <c r="G2149" s="2"/>
      <c r="H2149" s="2"/>
      <c r="I2149" s="5"/>
    </row>
    <row r="2150" spans="1:9" ht="17.399999999999999" x14ac:dyDescent="0.25">
      <c r="A2150" s="16"/>
      <c r="B2150" s="17"/>
      <c r="C2150" s="2" t="b">
        <v>0</v>
      </c>
      <c r="D2150" s="2"/>
      <c r="E2150" s="2"/>
      <c r="F2150" s="2"/>
      <c r="G2150" s="2"/>
      <c r="H2150" s="2"/>
      <c r="I2150" s="5"/>
    </row>
    <row r="2151" spans="1:9" ht="17.399999999999999" x14ac:dyDescent="0.25">
      <c r="A2151" s="16"/>
      <c r="B2151" s="17"/>
      <c r="C2151" s="2" t="b">
        <v>0</v>
      </c>
      <c r="D2151" s="2"/>
      <c r="E2151" s="2"/>
      <c r="F2151" s="2"/>
      <c r="G2151" s="2"/>
      <c r="H2151" s="2"/>
      <c r="I2151" s="5"/>
    </row>
    <row r="2152" spans="1:9" ht="17.399999999999999" x14ac:dyDescent="0.25">
      <c r="A2152" s="16"/>
      <c r="B2152" s="17"/>
      <c r="C2152" s="2" t="b">
        <v>0</v>
      </c>
      <c r="D2152" s="2"/>
      <c r="E2152" s="2"/>
      <c r="F2152" s="2"/>
      <c r="G2152" s="2"/>
      <c r="H2152" s="2"/>
      <c r="I2152" s="5"/>
    </row>
    <row r="2153" spans="1:9" ht="17.399999999999999" x14ac:dyDescent="0.25">
      <c r="A2153" s="16"/>
      <c r="B2153" s="17"/>
      <c r="C2153" s="2" t="b">
        <v>0</v>
      </c>
      <c r="D2153" s="2"/>
      <c r="E2153" s="2"/>
      <c r="F2153" s="2"/>
      <c r="G2153" s="2"/>
      <c r="H2153" s="2"/>
      <c r="I2153" s="5"/>
    </row>
    <row r="2154" spans="1:9" ht="17.399999999999999" x14ac:dyDescent="0.25">
      <c r="A2154" s="16"/>
      <c r="B2154" s="17"/>
      <c r="C2154" s="2" t="b">
        <v>0</v>
      </c>
      <c r="D2154" s="2"/>
      <c r="E2154" s="2"/>
      <c r="F2154" s="2"/>
      <c r="G2154" s="2"/>
      <c r="H2154" s="2"/>
      <c r="I2154" s="5"/>
    </row>
    <row r="2155" spans="1:9" ht="17.399999999999999" x14ac:dyDescent="0.25">
      <c r="A2155" s="16"/>
      <c r="B2155" s="17"/>
      <c r="C2155" s="2" t="b">
        <v>0</v>
      </c>
      <c r="D2155" s="2"/>
      <c r="E2155" s="2"/>
      <c r="F2155" s="2"/>
      <c r="G2155" s="2"/>
      <c r="H2155" s="2"/>
      <c r="I2155" s="5"/>
    </row>
    <row r="2156" spans="1:9" ht="17.399999999999999" x14ac:dyDescent="0.25">
      <c r="A2156" s="16"/>
      <c r="B2156" s="17"/>
      <c r="C2156" s="2" t="b">
        <v>0</v>
      </c>
      <c r="D2156" s="2"/>
      <c r="E2156" s="2"/>
      <c r="F2156" s="2"/>
      <c r="G2156" s="2"/>
      <c r="H2156" s="2"/>
      <c r="I2156" s="5"/>
    </row>
    <row r="2157" spans="1:9" ht="17.399999999999999" x14ac:dyDescent="0.25">
      <c r="A2157" s="16"/>
      <c r="B2157" s="17"/>
      <c r="C2157" s="2" t="b">
        <v>0</v>
      </c>
      <c r="D2157" s="2"/>
      <c r="E2157" s="2"/>
      <c r="F2157" s="2"/>
      <c r="G2157" s="2"/>
      <c r="H2157" s="2"/>
      <c r="I2157" s="5"/>
    </row>
    <row r="2158" spans="1:9" ht="17.399999999999999" x14ac:dyDescent="0.25">
      <c r="A2158" s="16"/>
      <c r="B2158" s="17"/>
      <c r="C2158" s="2" t="b">
        <v>0</v>
      </c>
      <c r="D2158" s="2"/>
      <c r="E2158" s="2"/>
      <c r="F2158" s="2"/>
      <c r="G2158" s="2"/>
      <c r="H2158" s="2"/>
      <c r="I2158" s="5"/>
    </row>
    <row r="2159" spans="1:9" ht="17.399999999999999" x14ac:dyDescent="0.25">
      <c r="A2159" s="16"/>
      <c r="B2159" s="17"/>
      <c r="C2159" s="2" t="b">
        <v>0</v>
      </c>
      <c r="D2159" s="2"/>
      <c r="E2159" s="2"/>
      <c r="F2159" s="2"/>
      <c r="G2159" s="2"/>
      <c r="H2159" s="2"/>
      <c r="I2159" s="5"/>
    </row>
    <row r="2160" spans="1:9" ht="17.399999999999999" x14ac:dyDescent="0.25">
      <c r="A2160" s="16"/>
      <c r="B2160" s="17"/>
      <c r="C2160" s="2" t="b">
        <v>0</v>
      </c>
      <c r="D2160" s="2"/>
      <c r="E2160" s="2"/>
      <c r="F2160" s="2"/>
      <c r="G2160" s="2"/>
      <c r="H2160" s="2"/>
      <c r="I2160" s="5"/>
    </row>
    <row r="2161" spans="1:9" ht="17.399999999999999" x14ac:dyDescent="0.25">
      <c r="A2161" s="16"/>
      <c r="B2161" s="17"/>
      <c r="C2161" s="2" t="b">
        <v>0</v>
      </c>
      <c r="D2161" s="2"/>
      <c r="E2161" s="2"/>
      <c r="F2161" s="2"/>
      <c r="G2161" s="2"/>
      <c r="H2161" s="2"/>
      <c r="I2161" s="5"/>
    </row>
    <row r="2162" spans="1:9" ht="17.399999999999999" x14ac:dyDescent="0.25">
      <c r="A2162" s="16"/>
      <c r="B2162" s="17"/>
      <c r="C2162" s="2" t="b">
        <v>0</v>
      </c>
      <c r="D2162" s="2"/>
      <c r="E2162" s="2"/>
      <c r="F2162" s="2"/>
      <c r="G2162" s="2"/>
      <c r="H2162" s="2"/>
      <c r="I2162" s="5"/>
    </row>
    <row r="2163" spans="1:9" ht="17.399999999999999" x14ac:dyDescent="0.25">
      <c r="A2163" s="16"/>
      <c r="B2163" s="17"/>
      <c r="C2163" s="2" t="b">
        <v>0</v>
      </c>
      <c r="D2163" s="2"/>
      <c r="E2163" s="2"/>
      <c r="F2163" s="2"/>
      <c r="G2163" s="2"/>
      <c r="H2163" s="2"/>
      <c r="I2163" s="5"/>
    </row>
    <row r="2164" spans="1:9" ht="17.399999999999999" x14ac:dyDescent="0.25">
      <c r="A2164" s="16"/>
      <c r="B2164" s="17"/>
      <c r="C2164" s="2" t="b">
        <v>0</v>
      </c>
      <c r="D2164" s="2"/>
      <c r="E2164" s="2"/>
      <c r="F2164" s="2"/>
      <c r="G2164" s="2"/>
      <c r="H2164" s="2"/>
      <c r="I2164" s="5"/>
    </row>
    <row r="2165" spans="1:9" ht="17.399999999999999" x14ac:dyDescent="0.25">
      <c r="A2165" s="16"/>
      <c r="B2165" s="17"/>
      <c r="C2165" s="2" t="b">
        <v>0</v>
      </c>
      <c r="D2165" s="2"/>
      <c r="E2165" s="2"/>
      <c r="F2165" s="2"/>
      <c r="G2165" s="2"/>
      <c r="H2165" s="2"/>
      <c r="I2165" s="5"/>
    </row>
    <row r="2166" spans="1:9" ht="17.399999999999999" x14ac:dyDescent="0.25">
      <c r="A2166" s="16"/>
      <c r="B2166" s="17"/>
      <c r="C2166" s="2" t="b">
        <v>0</v>
      </c>
      <c r="D2166" s="2"/>
      <c r="E2166" s="2"/>
      <c r="F2166" s="2"/>
      <c r="G2166" s="2"/>
      <c r="H2166" s="2"/>
      <c r="I2166" s="5"/>
    </row>
    <row r="2167" spans="1:9" ht="17.399999999999999" x14ac:dyDescent="0.25">
      <c r="A2167" s="16"/>
      <c r="B2167" s="17"/>
      <c r="C2167" s="2" t="b">
        <v>0</v>
      </c>
      <c r="D2167" s="2"/>
      <c r="E2167" s="2"/>
      <c r="F2167" s="2"/>
      <c r="G2167" s="2"/>
      <c r="H2167" s="2"/>
      <c r="I2167" s="5"/>
    </row>
    <row r="2168" spans="1:9" ht="17.399999999999999" x14ac:dyDescent="0.25">
      <c r="A2168" s="16"/>
      <c r="B2168" s="17"/>
      <c r="C2168" s="2" t="b">
        <v>0</v>
      </c>
      <c r="D2168" s="2"/>
      <c r="E2168" s="2"/>
      <c r="F2168" s="2"/>
      <c r="G2168" s="2"/>
      <c r="H2168" s="2"/>
      <c r="I2168" s="5"/>
    </row>
    <row r="2169" spans="1:9" ht="17.399999999999999" x14ac:dyDescent="0.25">
      <c r="A2169" s="16"/>
      <c r="B2169" s="17"/>
      <c r="C2169" s="2" t="b">
        <v>0</v>
      </c>
      <c r="D2169" s="2"/>
      <c r="E2169" s="2"/>
      <c r="F2169" s="2"/>
      <c r="G2169" s="2"/>
      <c r="H2169" s="2"/>
      <c r="I2169" s="5"/>
    </row>
    <row r="2170" spans="1:9" ht="17.399999999999999" x14ac:dyDescent="0.25">
      <c r="A2170" s="16"/>
      <c r="B2170" s="17"/>
      <c r="C2170" s="2" t="b">
        <v>0</v>
      </c>
      <c r="D2170" s="2"/>
      <c r="E2170" s="2"/>
      <c r="F2170" s="2"/>
      <c r="G2170" s="2"/>
      <c r="H2170" s="2"/>
      <c r="I2170" s="5"/>
    </row>
    <row r="2171" spans="1:9" ht="17.399999999999999" x14ac:dyDescent="0.25">
      <c r="A2171" s="16"/>
      <c r="B2171" s="17"/>
      <c r="C2171" s="2" t="b">
        <v>0</v>
      </c>
      <c r="D2171" s="2"/>
      <c r="E2171" s="2"/>
      <c r="F2171" s="2"/>
      <c r="G2171" s="2"/>
      <c r="H2171" s="2"/>
      <c r="I2171" s="5"/>
    </row>
    <row r="2172" spans="1:9" ht="17.399999999999999" x14ac:dyDescent="0.25">
      <c r="A2172" s="16"/>
      <c r="B2172" s="17"/>
      <c r="C2172" s="2" t="b">
        <v>0</v>
      </c>
      <c r="D2172" s="2"/>
      <c r="E2172" s="2"/>
      <c r="F2172" s="2"/>
      <c r="G2172" s="2"/>
      <c r="H2172" s="2"/>
      <c r="I2172" s="5"/>
    </row>
    <row r="2173" spans="1:9" ht="17.399999999999999" x14ac:dyDescent="0.25">
      <c r="A2173" s="16"/>
      <c r="B2173" s="17"/>
      <c r="C2173" s="2" t="b">
        <v>0</v>
      </c>
      <c r="D2173" s="2"/>
      <c r="E2173" s="2"/>
      <c r="F2173" s="2"/>
      <c r="G2173" s="2"/>
      <c r="H2173" s="2"/>
      <c r="I2173" s="5"/>
    </row>
    <row r="2174" spans="1:9" ht="17.399999999999999" x14ac:dyDescent="0.25">
      <c r="A2174" s="16"/>
      <c r="B2174" s="17"/>
      <c r="C2174" s="2" t="b">
        <v>0</v>
      </c>
      <c r="D2174" s="2"/>
      <c r="E2174" s="2"/>
      <c r="F2174" s="2"/>
      <c r="G2174" s="2"/>
      <c r="H2174" s="2"/>
      <c r="I2174" s="5"/>
    </row>
    <row r="2175" spans="1:9" ht="17.399999999999999" x14ac:dyDescent="0.25">
      <c r="A2175" s="16"/>
      <c r="B2175" s="17"/>
      <c r="C2175" s="2" t="b">
        <v>0</v>
      </c>
      <c r="D2175" s="2"/>
      <c r="E2175" s="2"/>
      <c r="F2175" s="2"/>
      <c r="G2175" s="2"/>
      <c r="H2175" s="2"/>
      <c r="I2175" s="5"/>
    </row>
    <row r="2176" spans="1:9" ht="17.399999999999999" x14ac:dyDescent="0.25">
      <c r="A2176" s="16"/>
      <c r="B2176" s="17"/>
      <c r="C2176" s="2" t="b">
        <v>0</v>
      </c>
      <c r="D2176" s="2"/>
      <c r="E2176" s="2"/>
      <c r="F2176" s="2"/>
      <c r="G2176" s="2"/>
      <c r="H2176" s="2"/>
      <c r="I2176" s="5"/>
    </row>
    <row r="2177" spans="1:9" ht="17.399999999999999" x14ac:dyDescent="0.25">
      <c r="A2177" s="16"/>
      <c r="B2177" s="17"/>
      <c r="C2177" s="2" t="b">
        <v>0</v>
      </c>
      <c r="D2177" s="2"/>
      <c r="E2177" s="2"/>
      <c r="F2177" s="2"/>
      <c r="G2177" s="2"/>
      <c r="H2177" s="2"/>
      <c r="I2177" s="5"/>
    </row>
    <row r="2178" spans="1:9" ht="17.399999999999999" x14ac:dyDescent="0.25">
      <c r="A2178" s="16"/>
      <c r="B2178" s="17"/>
      <c r="C2178" s="2" t="b">
        <v>0</v>
      </c>
      <c r="D2178" s="2"/>
      <c r="E2178" s="2"/>
      <c r="F2178" s="2"/>
      <c r="G2178" s="2"/>
      <c r="H2178" s="2"/>
      <c r="I2178" s="5"/>
    </row>
    <row r="2179" spans="1:9" ht="17.399999999999999" x14ac:dyDescent="0.25">
      <c r="A2179" s="16"/>
      <c r="B2179" s="17"/>
      <c r="C2179" s="2" t="b">
        <v>0</v>
      </c>
      <c r="D2179" s="2"/>
      <c r="E2179" s="2"/>
      <c r="F2179" s="2"/>
      <c r="G2179" s="2"/>
      <c r="H2179" s="2"/>
      <c r="I2179" s="5"/>
    </row>
    <row r="2180" spans="1:9" ht="17.399999999999999" x14ac:dyDescent="0.25">
      <c r="A2180" s="16"/>
      <c r="B2180" s="17"/>
      <c r="C2180" s="2" t="b">
        <v>0</v>
      </c>
      <c r="D2180" s="2"/>
      <c r="E2180" s="2"/>
      <c r="F2180" s="2"/>
      <c r="G2180" s="2"/>
      <c r="H2180" s="2"/>
      <c r="I2180" s="5"/>
    </row>
    <row r="2181" spans="1:9" ht="17.399999999999999" x14ac:dyDescent="0.25">
      <c r="A2181" s="16"/>
      <c r="B2181" s="17"/>
      <c r="C2181" s="2" t="b">
        <v>0</v>
      </c>
      <c r="D2181" s="2"/>
      <c r="E2181" s="2"/>
      <c r="F2181" s="2"/>
      <c r="G2181" s="2"/>
      <c r="H2181" s="2"/>
      <c r="I2181" s="5"/>
    </row>
    <row r="2182" spans="1:9" ht="17.399999999999999" x14ac:dyDescent="0.25">
      <c r="A2182" s="16"/>
      <c r="B2182" s="17"/>
      <c r="C2182" s="2" t="b">
        <v>0</v>
      </c>
      <c r="D2182" s="2"/>
      <c r="E2182" s="2"/>
      <c r="F2182" s="2"/>
      <c r="G2182" s="2"/>
      <c r="H2182" s="2"/>
      <c r="I2182" s="5"/>
    </row>
    <row r="2183" spans="1:9" ht="17.399999999999999" x14ac:dyDescent="0.25">
      <c r="A2183" s="16"/>
      <c r="B2183" s="17"/>
      <c r="C2183" s="2" t="b">
        <v>0</v>
      </c>
      <c r="D2183" s="2"/>
      <c r="E2183" s="2"/>
      <c r="F2183" s="2"/>
      <c r="G2183" s="2"/>
      <c r="H2183" s="2"/>
      <c r="I2183" s="5"/>
    </row>
    <row r="2184" spans="1:9" ht="17.399999999999999" x14ac:dyDescent="0.25">
      <c r="A2184" s="16"/>
      <c r="B2184" s="17"/>
      <c r="C2184" s="2" t="b">
        <v>0</v>
      </c>
      <c r="D2184" s="2"/>
      <c r="E2184" s="2"/>
      <c r="F2184" s="2"/>
      <c r="G2184" s="2"/>
      <c r="H2184" s="2"/>
      <c r="I2184" s="5"/>
    </row>
    <row r="2185" spans="1:9" ht="17.399999999999999" x14ac:dyDescent="0.25">
      <c r="A2185" s="16"/>
      <c r="B2185" s="17"/>
      <c r="C2185" s="2" t="b">
        <v>0</v>
      </c>
      <c r="D2185" s="2"/>
      <c r="E2185" s="2"/>
      <c r="F2185" s="2"/>
      <c r="G2185" s="2"/>
      <c r="H2185" s="2"/>
      <c r="I2185" s="5"/>
    </row>
    <row r="2186" spans="1:9" ht="17.399999999999999" x14ac:dyDescent="0.25">
      <c r="A2186" s="16"/>
      <c r="B2186" s="17"/>
      <c r="C2186" s="2" t="b">
        <v>0</v>
      </c>
      <c r="D2186" s="2"/>
      <c r="E2186" s="2"/>
      <c r="F2186" s="2"/>
      <c r="G2186" s="2"/>
      <c r="H2186" s="2"/>
      <c r="I2186" s="5"/>
    </row>
    <row r="2187" spans="1:9" ht="17.399999999999999" x14ac:dyDescent="0.25">
      <c r="A2187" s="16"/>
      <c r="B2187" s="17"/>
      <c r="C2187" s="2" t="b">
        <v>0</v>
      </c>
      <c r="D2187" s="2"/>
      <c r="E2187" s="2"/>
      <c r="F2187" s="2"/>
      <c r="G2187" s="2"/>
      <c r="H2187" s="2"/>
      <c r="I2187" s="5"/>
    </row>
    <row r="2188" spans="1:9" ht="17.399999999999999" x14ac:dyDescent="0.25">
      <c r="A2188" s="16"/>
      <c r="B2188" s="17"/>
      <c r="C2188" s="2" t="b">
        <v>0</v>
      </c>
      <c r="D2188" s="2"/>
      <c r="E2188" s="2"/>
      <c r="F2188" s="2"/>
      <c r="G2188" s="2"/>
      <c r="H2188" s="2"/>
      <c r="I2188" s="5"/>
    </row>
    <row r="2189" spans="1:9" ht="17.399999999999999" x14ac:dyDescent="0.25">
      <c r="A2189" s="16"/>
      <c r="B2189" s="17"/>
      <c r="C2189" s="2" t="b">
        <v>0</v>
      </c>
      <c r="D2189" s="2"/>
      <c r="E2189" s="2"/>
      <c r="F2189" s="2"/>
      <c r="G2189" s="2"/>
      <c r="H2189" s="2"/>
      <c r="I2189" s="5"/>
    </row>
    <row r="2190" spans="1:9" ht="17.399999999999999" x14ac:dyDescent="0.25">
      <c r="A2190" s="16"/>
      <c r="B2190" s="17"/>
      <c r="C2190" s="2" t="b">
        <v>0</v>
      </c>
      <c r="D2190" s="2"/>
      <c r="E2190" s="2"/>
      <c r="F2190" s="2"/>
      <c r="G2190" s="2"/>
      <c r="H2190" s="2"/>
      <c r="I2190" s="5"/>
    </row>
    <row r="2191" spans="1:9" ht="17.399999999999999" x14ac:dyDescent="0.25">
      <c r="A2191" s="16"/>
      <c r="B2191" s="17"/>
      <c r="C2191" s="2" t="b">
        <v>0</v>
      </c>
      <c r="D2191" s="2"/>
      <c r="E2191" s="2"/>
      <c r="F2191" s="2"/>
      <c r="G2191" s="2"/>
      <c r="H2191" s="2"/>
      <c r="I2191" s="5"/>
    </row>
    <row r="2192" spans="1:9" ht="17.399999999999999" x14ac:dyDescent="0.25">
      <c r="A2192" s="16"/>
      <c r="B2192" s="17"/>
      <c r="C2192" s="2" t="b">
        <v>0</v>
      </c>
      <c r="D2192" s="2"/>
      <c r="E2192" s="2"/>
      <c r="F2192" s="2"/>
      <c r="G2192" s="2"/>
      <c r="H2192" s="2"/>
      <c r="I2192" s="5"/>
    </row>
    <row r="2193" spans="1:9" ht="17.399999999999999" x14ac:dyDescent="0.25">
      <c r="A2193" s="16"/>
      <c r="B2193" s="17"/>
      <c r="C2193" s="2" t="b">
        <v>0</v>
      </c>
      <c r="D2193" s="2"/>
      <c r="E2193" s="2"/>
      <c r="F2193" s="2"/>
      <c r="G2193" s="2"/>
      <c r="H2193" s="2"/>
      <c r="I2193" s="5"/>
    </row>
    <row r="2194" spans="1:9" ht="17.399999999999999" x14ac:dyDescent="0.25">
      <c r="A2194" s="16"/>
      <c r="B2194" s="17"/>
      <c r="C2194" s="2" t="b">
        <v>0</v>
      </c>
      <c r="D2194" s="2"/>
      <c r="E2194" s="2"/>
      <c r="F2194" s="2"/>
      <c r="G2194" s="2"/>
      <c r="H2194" s="2"/>
      <c r="I2194" s="5"/>
    </row>
    <row r="2195" spans="1:9" ht="17.399999999999999" x14ac:dyDescent="0.25">
      <c r="A2195" s="16"/>
      <c r="B2195" s="17"/>
      <c r="C2195" s="2" t="b">
        <v>0</v>
      </c>
      <c r="D2195" s="2"/>
      <c r="E2195" s="2"/>
      <c r="F2195" s="2"/>
      <c r="G2195" s="2"/>
      <c r="H2195" s="2"/>
      <c r="I2195" s="5"/>
    </row>
    <row r="2196" spans="1:9" ht="17.399999999999999" x14ac:dyDescent="0.25">
      <c r="A2196" s="16"/>
      <c r="B2196" s="17"/>
      <c r="C2196" s="2" t="b">
        <v>0</v>
      </c>
      <c r="D2196" s="2"/>
      <c r="E2196" s="2"/>
      <c r="F2196" s="2"/>
      <c r="G2196" s="2"/>
      <c r="H2196" s="2"/>
      <c r="I2196" s="5"/>
    </row>
    <row r="2197" spans="1:9" ht="17.399999999999999" x14ac:dyDescent="0.25">
      <c r="A2197" s="16"/>
      <c r="B2197" s="17"/>
      <c r="C2197" s="2" t="b">
        <v>0</v>
      </c>
      <c r="D2197" s="2"/>
      <c r="E2197" s="2"/>
      <c r="F2197" s="2"/>
      <c r="G2197" s="2"/>
      <c r="H2197" s="2"/>
      <c r="I2197" s="5"/>
    </row>
    <row r="2198" spans="1:9" ht="17.399999999999999" x14ac:dyDescent="0.25">
      <c r="A2198" s="16"/>
      <c r="B2198" s="17"/>
      <c r="C2198" s="2" t="b">
        <v>0</v>
      </c>
      <c r="D2198" s="2"/>
      <c r="E2198" s="2"/>
      <c r="F2198" s="2"/>
      <c r="G2198" s="2"/>
      <c r="H2198" s="2"/>
      <c r="I2198" s="5"/>
    </row>
    <row r="2199" spans="1:9" ht="17.399999999999999" x14ac:dyDescent="0.25">
      <c r="A2199" s="16"/>
      <c r="B2199" s="17"/>
      <c r="C2199" s="2" t="b">
        <v>0</v>
      </c>
      <c r="D2199" s="2"/>
      <c r="E2199" s="2"/>
      <c r="F2199" s="2"/>
      <c r="G2199" s="2"/>
      <c r="H2199" s="2"/>
      <c r="I2199" s="5"/>
    </row>
    <row r="2200" spans="1:9" ht="17.399999999999999" x14ac:dyDescent="0.25">
      <c r="A2200" s="16"/>
      <c r="B2200" s="17"/>
      <c r="C2200" s="2" t="b">
        <v>0</v>
      </c>
      <c r="D2200" s="2"/>
      <c r="E2200" s="2"/>
      <c r="F2200" s="2"/>
      <c r="G2200" s="2"/>
      <c r="H2200" s="2"/>
      <c r="I2200" s="5"/>
    </row>
    <row r="2201" spans="1:9" ht="17.399999999999999" x14ac:dyDescent="0.25">
      <c r="A2201" s="16"/>
      <c r="B2201" s="17"/>
      <c r="C2201" s="2" t="b">
        <v>0</v>
      </c>
      <c r="D2201" s="2"/>
      <c r="E2201" s="2"/>
      <c r="F2201" s="2"/>
      <c r="G2201" s="2"/>
      <c r="H2201" s="2"/>
      <c r="I2201" s="5"/>
    </row>
    <row r="2202" spans="1:9" ht="17.399999999999999" x14ac:dyDescent="0.25">
      <c r="A2202" s="16"/>
      <c r="B2202" s="17"/>
      <c r="C2202" s="2" t="b">
        <v>0</v>
      </c>
      <c r="D2202" s="2"/>
      <c r="E2202" s="2"/>
      <c r="F2202" s="2"/>
      <c r="G2202" s="2"/>
      <c r="H2202" s="2"/>
      <c r="I2202" s="5"/>
    </row>
    <row r="2203" spans="1:9" ht="17.399999999999999" x14ac:dyDescent="0.25">
      <c r="A2203" s="16"/>
      <c r="B2203" s="17"/>
      <c r="C2203" s="2" t="b">
        <v>0</v>
      </c>
      <c r="D2203" s="2"/>
      <c r="E2203" s="2"/>
      <c r="F2203" s="2"/>
      <c r="G2203" s="2"/>
      <c r="H2203" s="2"/>
      <c r="I2203" s="5"/>
    </row>
    <row r="2204" spans="1:9" ht="17.399999999999999" x14ac:dyDescent="0.25">
      <c r="A2204" s="16"/>
      <c r="B2204" s="17"/>
      <c r="C2204" s="2" t="b">
        <v>0</v>
      </c>
      <c r="D2204" s="2"/>
      <c r="E2204" s="2"/>
      <c r="F2204" s="2"/>
      <c r="G2204" s="2"/>
      <c r="H2204" s="2"/>
      <c r="I2204" s="5"/>
    </row>
    <row r="2205" spans="1:9" ht="17.399999999999999" x14ac:dyDescent="0.25">
      <c r="A2205" s="16"/>
      <c r="B2205" s="17"/>
      <c r="C2205" s="2" t="b">
        <v>0</v>
      </c>
      <c r="D2205" s="2"/>
      <c r="E2205" s="2"/>
      <c r="F2205" s="2"/>
      <c r="G2205" s="2"/>
      <c r="H2205" s="2"/>
      <c r="I2205" s="5"/>
    </row>
    <row r="2206" spans="1:9" ht="17.399999999999999" x14ac:dyDescent="0.25">
      <c r="A2206" s="16"/>
      <c r="B2206" s="17"/>
      <c r="C2206" s="2" t="b">
        <v>0</v>
      </c>
      <c r="D2206" s="2"/>
      <c r="E2206" s="2"/>
      <c r="F2206" s="2"/>
      <c r="G2206" s="2"/>
      <c r="H2206" s="2"/>
      <c r="I2206" s="5"/>
    </row>
    <row r="2207" spans="1:9" ht="17.399999999999999" x14ac:dyDescent="0.25">
      <c r="A2207" s="16"/>
      <c r="B2207" s="17"/>
      <c r="C2207" s="2" t="b">
        <v>0</v>
      </c>
      <c r="D2207" s="2"/>
      <c r="E2207" s="2"/>
      <c r="F2207" s="2"/>
      <c r="G2207" s="2"/>
      <c r="H2207" s="2"/>
      <c r="I2207" s="5"/>
    </row>
    <row r="2208" spans="1:9" ht="17.399999999999999" x14ac:dyDescent="0.25">
      <c r="A2208" s="16"/>
      <c r="B2208" s="17"/>
      <c r="C2208" s="2" t="b">
        <v>0</v>
      </c>
      <c r="D2208" s="2"/>
      <c r="E2208" s="2"/>
      <c r="F2208" s="2"/>
      <c r="G2208" s="2"/>
      <c r="H2208" s="2"/>
      <c r="I2208" s="5"/>
    </row>
    <row r="2209" spans="1:9" ht="17.399999999999999" x14ac:dyDescent="0.25">
      <c r="A2209" s="16"/>
      <c r="B2209" s="17"/>
      <c r="C2209" s="2" t="b">
        <v>0</v>
      </c>
      <c r="D2209" s="2"/>
      <c r="E2209" s="2"/>
      <c r="F2209" s="2"/>
      <c r="G2209" s="2"/>
      <c r="H2209" s="2"/>
      <c r="I2209" s="5"/>
    </row>
    <row r="2210" spans="1:9" ht="17.399999999999999" x14ac:dyDescent="0.25">
      <c r="A2210" s="16"/>
      <c r="B2210" s="17"/>
      <c r="C2210" s="2" t="b">
        <v>0</v>
      </c>
      <c r="D2210" s="2"/>
      <c r="E2210" s="2"/>
      <c r="F2210" s="2"/>
      <c r="G2210" s="2"/>
      <c r="H2210" s="2"/>
      <c r="I2210" s="5"/>
    </row>
    <row r="2211" spans="1:9" ht="17.399999999999999" x14ac:dyDescent="0.25">
      <c r="A2211" s="16"/>
      <c r="B2211" s="17"/>
      <c r="C2211" s="2" t="b">
        <v>0</v>
      </c>
      <c r="D2211" s="2"/>
      <c r="E2211" s="2"/>
      <c r="F2211" s="2"/>
      <c r="G2211" s="2"/>
      <c r="H2211" s="2"/>
      <c r="I2211" s="5"/>
    </row>
    <row r="2212" spans="1:9" ht="17.399999999999999" x14ac:dyDescent="0.25">
      <c r="A2212" s="16"/>
      <c r="B2212" s="17"/>
      <c r="C2212" s="2" t="b">
        <v>0</v>
      </c>
      <c r="D2212" s="2"/>
      <c r="E2212" s="2"/>
      <c r="F2212" s="2"/>
      <c r="G2212" s="2"/>
      <c r="H2212" s="2"/>
      <c r="I2212" s="5"/>
    </row>
    <row r="2213" spans="1:9" ht="17.399999999999999" x14ac:dyDescent="0.25">
      <c r="A2213" s="16"/>
      <c r="B2213" s="17"/>
      <c r="C2213" s="2" t="b">
        <v>0</v>
      </c>
      <c r="D2213" s="2"/>
      <c r="E2213" s="2"/>
      <c r="F2213" s="2"/>
      <c r="G2213" s="2"/>
      <c r="H2213" s="2"/>
      <c r="I2213" s="5"/>
    </row>
    <row r="2214" spans="1:9" ht="17.399999999999999" x14ac:dyDescent="0.25">
      <c r="A2214" s="16"/>
      <c r="B2214" s="17"/>
      <c r="C2214" s="2" t="b">
        <v>0</v>
      </c>
      <c r="D2214" s="2"/>
      <c r="E2214" s="2"/>
      <c r="F2214" s="2"/>
      <c r="G2214" s="2"/>
      <c r="H2214" s="2"/>
      <c r="I2214" s="5"/>
    </row>
    <row r="2215" spans="1:9" ht="17.399999999999999" x14ac:dyDescent="0.25">
      <c r="A2215" s="16"/>
      <c r="B2215" s="17"/>
      <c r="C2215" s="2" t="b">
        <v>0</v>
      </c>
      <c r="D2215" s="2"/>
      <c r="E2215" s="2"/>
      <c r="F2215" s="2"/>
      <c r="G2215" s="2"/>
      <c r="H2215" s="2"/>
      <c r="I2215" s="5"/>
    </row>
    <row r="2216" spans="1:9" ht="17.399999999999999" x14ac:dyDescent="0.25">
      <c r="A2216" s="16"/>
      <c r="B2216" s="17"/>
      <c r="C2216" s="2" t="b">
        <v>0</v>
      </c>
      <c r="D2216" s="2"/>
      <c r="E2216" s="2"/>
      <c r="F2216" s="2"/>
      <c r="G2216" s="2"/>
      <c r="H2216" s="2"/>
      <c r="I2216" s="5"/>
    </row>
    <row r="2217" spans="1:9" ht="17.399999999999999" x14ac:dyDescent="0.25">
      <c r="A2217" s="16"/>
      <c r="B2217" s="17"/>
      <c r="C2217" s="2" t="b">
        <v>0</v>
      </c>
      <c r="D2217" s="2"/>
      <c r="E2217" s="2"/>
      <c r="F2217" s="2"/>
      <c r="G2217" s="2"/>
      <c r="H2217" s="2"/>
      <c r="I2217" s="5"/>
    </row>
    <row r="2218" spans="1:9" ht="17.399999999999999" x14ac:dyDescent="0.25">
      <c r="A2218" s="16"/>
      <c r="B2218" s="17"/>
      <c r="C2218" s="2" t="b">
        <v>0</v>
      </c>
      <c r="D2218" s="2"/>
      <c r="E2218" s="2"/>
      <c r="F2218" s="2"/>
      <c r="G2218" s="2"/>
      <c r="H2218" s="2"/>
      <c r="I2218" s="5"/>
    </row>
    <row r="2219" spans="1:9" ht="17.399999999999999" x14ac:dyDescent="0.25">
      <c r="A2219" s="16"/>
      <c r="B2219" s="17"/>
      <c r="C2219" s="2" t="b">
        <v>0</v>
      </c>
      <c r="D2219" s="2"/>
      <c r="E2219" s="2"/>
      <c r="F2219" s="2"/>
      <c r="G2219" s="2"/>
      <c r="H2219" s="2"/>
      <c r="I2219" s="5"/>
    </row>
    <row r="2220" spans="1:9" ht="17.399999999999999" x14ac:dyDescent="0.25">
      <c r="A2220" s="16"/>
      <c r="B2220" s="17"/>
      <c r="C2220" s="2" t="b">
        <v>0</v>
      </c>
      <c r="D2220" s="2"/>
      <c r="E2220" s="2"/>
      <c r="F2220" s="2"/>
      <c r="G2220" s="2"/>
      <c r="H2220" s="2"/>
      <c r="I2220" s="5"/>
    </row>
    <row r="2221" spans="1:9" ht="17.399999999999999" x14ac:dyDescent="0.25">
      <c r="A2221" s="16"/>
      <c r="B2221" s="17"/>
      <c r="C2221" s="2" t="b">
        <v>0</v>
      </c>
      <c r="D2221" s="2"/>
      <c r="E2221" s="2"/>
      <c r="F2221" s="2"/>
      <c r="G2221" s="2"/>
      <c r="H2221" s="2"/>
      <c r="I2221" s="5"/>
    </row>
    <row r="2222" spans="1:9" ht="17.399999999999999" x14ac:dyDescent="0.25">
      <c r="A2222" s="16"/>
      <c r="B2222" s="17"/>
      <c r="C2222" s="2" t="b">
        <v>0</v>
      </c>
      <c r="D2222" s="2"/>
      <c r="E2222" s="2"/>
      <c r="F2222" s="2"/>
      <c r="G2222" s="2"/>
      <c r="H2222" s="2"/>
      <c r="I2222" s="5"/>
    </row>
    <row r="2223" spans="1:9" ht="17.399999999999999" x14ac:dyDescent="0.25">
      <c r="A2223" s="16"/>
      <c r="B2223" s="17"/>
      <c r="C2223" s="2" t="b">
        <v>0</v>
      </c>
      <c r="D2223" s="2"/>
      <c r="E2223" s="2"/>
      <c r="F2223" s="2"/>
      <c r="G2223" s="2"/>
      <c r="H2223" s="2"/>
      <c r="I2223" s="5"/>
    </row>
    <row r="2224" spans="1:9" ht="17.399999999999999" x14ac:dyDescent="0.25">
      <c r="A2224" s="16"/>
      <c r="B2224" s="17"/>
      <c r="C2224" s="2" t="b">
        <v>0</v>
      </c>
      <c r="D2224" s="2"/>
      <c r="E2224" s="2"/>
      <c r="F2224" s="2"/>
      <c r="G2224" s="2"/>
      <c r="H2224" s="2"/>
      <c r="I2224" s="5"/>
    </row>
    <row r="2225" spans="1:9" ht="17.399999999999999" x14ac:dyDescent="0.25">
      <c r="A2225" s="16"/>
      <c r="B2225" s="17"/>
      <c r="C2225" s="2" t="b">
        <v>0</v>
      </c>
      <c r="D2225" s="2"/>
      <c r="E2225" s="2"/>
      <c r="F2225" s="2"/>
      <c r="G2225" s="2"/>
      <c r="H2225" s="2"/>
      <c r="I2225" s="5"/>
    </row>
    <row r="2226" spans="1:9" ht="17.399999999999999" x14ac:dyDescent="0.25">
      <c r="A2226" s="16"/>
      <c r="B2226" s="17"/>
      <c r="C2226" s="2" t="b">
        <v>0</v>
      </c>
      <c r="D2226" s="2"/>
      <c r="E2226" s="2"/>
      <c r="F2226" s="2"/>
      <c r="G2226" s="2"/>
      <c r="H2226" s="2"/>
      <c r="I2226" s="5"/>
    </row>
    <row r="2227" spans="1:9" ht="17.399999999999999" x14ac:dyDescent="0.25">
      <c r="A2227" s="16"/>
      <c r="B2227" s="17"/>
      <c r="C2227" s="2" t="b">
        <v>0</v>
      </c>
      <c r="D2227" s="2"/>
      <c r="E2227" s="2"/>
      <c r="F2227" s="2"/>
      <c r="G2227" s="2"/>
      <c r="H2227" s="2"/>
      <c r="I2227" s="5"/>
    </row>
    <row r="2228" spans="1:9" ht="17.399999999999999" x14ac:dyDescent="0.25">
      <c r="A2228" s="16"/>
      <c r="B2228" s="17"/>
      <c r="C2228" s="2" t="b">
        <v>0</v>
      </c>
      <c r="D2228" s="2"/>
      <c r="E2228" s="2"/>
      <c r="F2228" s="2"/>
      <c r="G2228" s="2"/>
      <c r="H2228" s="2"/>
      <c r="I2228" s="5"/>
    </row>
    <row r="2229" spans="1:9" ht="17.399999999999999" x14ac:dyDescent="0.25">
      <c r="A2229" s="16"/>
      <c r="B2229" s="17"/>
      <c r="C2229" s="2" t="b">
        <v>0</v>
      </c>
      <c r="D2229" s="2"/>
      <c r="E2229" s="2"/>
      <c r="F2229" s="2"/>
      <c r="G2229" s="2"/>
      <c r="H2229" s="2"/>
      <c r="I2229" s="5"/>
    </row>
    <row r="2230" spans="1:9" ht="17.399999999999999" x14ac:dyDescent="0.25">
      <c r="A2230" s="16"/>
      <c r="B2230" s="17"/>
      <c r="C2230" s="2" t="b">
        <v>0</v>
      </c>
      <c r="D2230" s="2"/>
      <c r="E2230" s="2"/>
      <c r="F2230" s="2"/>
      <c r="G2230" s="2"/>
      <c r="H2230" s="2"/>
      <c r="I2230" s="5"/>
    </row>
    <row r="2231" spans="1:9" ht="17.399999999999999" x14ac:dyDescent="0.25">
      <c r="A2231" s="16"/>
      <c r="B2231" s="17"/>
      <c r="C2231" s="2" t="b">
        <v>0</v>
      </c>
      <c r="D2231" s="2"/>
      <c r="E2231" s="2"/>
      <c r="F2231" s="2"/>
      <c r="G2231" s="2"/>
      <c r="H2231" s="2"/>
      <c r="I2231" s="5"/>
    </row>
    <row r="2232" spans="1:9" ht="17.399999999999999" x14ac:dyDescent="0.25">
      <c r="A2232" s="16"/>
      <c r="B2232" s="17"/>
      <c r="C2232" s="2" t="b">
        <v>0</v>
      </c>
      <c r="D2232" s="2"/>
      <c r="E2232" s="2"/>
      <c r="F2232" s="2"/>
      <c r="G2232" s="2"/>
      <c r="H2232" s="2"/>
      <c r="I2232" s="5"/>
    </row>
    <row r="2233" spans="1:9" ht="17.399999999999999" x14ac:dyDescent="0.25">
      <c r="A2233" s="16"/>
      <c r="B2233" s="17"/>
      <c r="C2233" s="2" t="b">
        <v>0</v>
      </c>
      <c r="D2233" s="2"/>
      <c r="E2233" s="2"/>
      <c r="F2233" s="2"/>
      <c r="G2233" s="2"/>
      <c r="H2233" s="2"/>
      <c r="I2233" s="5"/>
    </row>
    <row r="2234" spans="1:9" ht="17.399999999999999" x14ac:dyDescent="0.25">
      <c r="A2234" s="16"/>
      <c r="B2234" s="17"/>
      <c r="C2234" s="2" t="b">
        <v>0</v>
      </c>
      <c r="D2234" s="2"/>
      <c r="E2234" s="2"/>
      <c r="F2234" s="2"/>
      <c r="G2234" s="2"/>
      <c r="H2234" s="2"/>
      <c r="I2234" s="5"/>
    </row>
    <row r="2235" spans="1:9" ht="17.399999999999999" x14ac:dyDescent="0.25">
      <c r="A2235" s="16"/>
      <c r="B2235" s="17"/>
      <c r="C2235" s="2" t="b">
        <v>0</v>
      </c>
      <c r="D2235" s="2"/>
      <c r="E2235" s="2"/>
      <c r="F2235" s="2"/>
      <c r="G2235" s="2"/>
      <c r="H2235" s="2"/>
      <c r="I2235" s="5"/>
    </row>
    <row r="2236" spans="1:9" ht="17.399999999999999" x14ac:dyDescent="0.25">
      <c r="A2236" s="16"/>
      <c r="B2236" s="17"/>
      <c r="C2236" s="2" t="b">
        <v>0</v>
      </c>
      <c r="D2236" s="2"/>
      <c r="E2236" s="2"/>
      <c r="F2236" s="2"/>
      <c r="G2236" s="2"/>
      <c r="H2236" s="2"/>
      <c r="I2236" s="5"/>
    </row>
    <row r="2237" spans="1:9" ht="17.399999999999999" x14ac:dyDescent="0.25">
      <c r="A2237" s="16"/>
      <c r="B2237" s="17"/>
      <c r="C2237" s="2" t="b">
        <v>0</v>
      </c>
      <c r="D2237" s="2"/>
      <c r="E2237" s="2"/>
      <c r="F2237" s="2"/>
      <c r="G2237" s="2"/>
      <c r="H2237" s="2"/>
      <c r="I2237" s="5"/>
    </row>
    <row r="2238" spans="1:9" ht="17.399999999999999" x14ac:dyDescent="0.25">
      <c r="A2238" s="16"/>
      <c r="B2238" s="17"/>
      <c r="C2238" s="2" t="b">
        <v>0</v>
      </c>
      <c r="D2238" s="2"/>
      <c r="E2238" s="2"/>
      <c r="F2238" s="2"/>
      <c r="G2238" s="2"/>
      <c r="H2238" s="2"/>
      <c r="I2238" s="5"/>
    </row>
    <row r="2239" spans="1:9" ht="17.399999999999999" x14ac:dyDescent="0.25">
      <c r="A2239" s="16"/>
      <c r="B2239" s="17"/>
      <c r="C2239" s="2" t="b">
        <v>0</v>
      </c>
      <c r="D2239" s="2"/>
      <c r="E2239" s="2"/>
      <c r="F2239" s="2"/>
      <c r="G2239" s="2"/>
      <c r="H2239" s="2"/>
      <c r="I2239" s="5"/>
    </row>
    <row r="2240" spans="1:9" ht="17.399999999999999" x14ac:dyDescent="0.25">
      <c r="A2240" s="16"/>
      <c r="B2240" s="17"/>
      <c r="C2240" s="2" t="b">
        <v>0</v>
      </c>
      <c r="D2240" s="2"/>
      <c r="E2240" s="2"/>
      <c r="F2240" s="2"/>
      <c r="G2240" s="2"/>
      <c r="H2240" s="2"/>
      <c r="I2240" s="5"/>
    </row>
    <row r="2241" spans="1:9" ht="17.399999999999999" x14ac:dyDescent="0.25">
      <c r="A2241" s="16"/>
      <c r="B2241" s="17"/>
      <c r="C2241" s="2" t="b">
        <v>0</v>
      </c>
      <c r="D2241" s="2"/>
      <c r="E2241" s="2"/>
      <c r="F2241" s="2"/>
      <c r="G2241" s="2"/>
      <c r="H2241" s="2"/>
      <c r="I2241" s="5"/>
    </row>
    <row r="2242" spans="1:9" ht="17.399999999999999" x14ac:dyDescent="0.25">
      <c r="A2242" s="16"/>
      <c r="B2242" s="17"/>
      <c r="C2242" s="2" t="b">
        <v>0</v>
      </c>
      <c r="D2242" s="2"/>
      <c r="E2242" s="2"/>
      <c r="F2242" s="2"/>
      <c r="G2242" s="2"/>
      <c r="H2242" s="2"/>
      <c r="I2242" s="5"/>
    </row>
    <row r="2243" spans="1:9" ht="17.399999999999999" x14ac:dyDescent="0.25">
      <c r="A2243" s="16"/>
      <c r="B2243" s="17"/>
      <c r="C2243" s="2" t="b">
        <v>0</v>
      </c>
      <c r="D2243" s="2"/>
      <c r="E2243" s="2"/>
      <c r="F2243" s="2"/>
      <c r="G2243" s="2"/>
      <c r="H2243" s="2"/>
      <c r="I2243" s="5"/>
    </row>
    <row r="2244" spans="1:9" ht="17.399999999999999" x14ac:dyDescent="0.25">
      <c r="A2244" s="16"/>
      <c r="B2244" s="17"/>
      <c r="C2244" s="2" t="b">
        <v>0</v>
      </c>
      <c r="D2244" s="2"/>
      <c r="E2244" s="2"/>
      <c r="F2244" s="2"/>
      <c r="G2244" s="2"/>
      <c r="H2244" s="2"/>
      <c r="I2244" s="5"/>
    </row>
    <row r="2245" spans="1:9" ht="17.399999999999999" x14ac:dyDescent="0.25">
      <c r="A2245" s="16"/>
      <c r="B2245" s="17"/>
      <c r="C2245" s="2" t="b">
        <v>0</v>
      </c>
      <c r="D2245" s="2"/>
      <c r="E2245" s="2"/>
      <c r="F2245" s="2"/>
      <c r="G2245" s="2"/>
      <c r="H2245" s="2"/>
      <c r="I2245" s="5"/>
    </row>
    <row r="2246" spans="1:9" ht="17.399999999999999" x14ac:dyDescent="0.25">
      <c r="A2246" s="16"/>
      <c r="B2246" s="17"/>
      <c r="C2246" s="2" t="b">
        <v>0</v>
      </c>
      <c r="D2246" s="2"/>
      <c r="E2246" s="2"/>
      <c r="F2246" s="2"/>
      <c r="G2246" s="2"/>
      <c r="H2246" s="2"/>
      <c r="I2246" s="5"/>
    </row>
    <row r="2247" spans="1:9" ht="17.399999999999999" x14ac:dyDescent="0.25">
      <c r="A2247" s="16"/>
      <c r="B2247" s="17"/>
      <c r="C2247" s="2" t="b">
        <v>0</v>
      </c>
      <c r="D2247" s="2"/>
      <c r="E2247" s="2"/>
      <c r="F2247" s="2"/>
      <c r="G2247" s="2"/>
      <c r="H2247" s="2"/>
      <c r="I2247" s="5"/>
    </row>
    <row r="2248" spans="1:9" ht="17.399999999999999" x14ac:dyDescent="0.25">
      <c r="A2248" s="16"/>
      <c r="B2248" s="17"/>
      <c r="C2248" s="2" t="b">
        <v>0</v>
      </c>
      <c r="D2248" s="2"/>
      <c r="E2248" s="2"/>
      <c r="F2248" s="2"/>
      <c r="G2248" s="2"/>
      <c r="H2248" s="2"/>
      <c r="I2248" s="5"/>
    </row>
    <row r="2249" spans="1:9" ht="17.399999999999999" x14ac:dyDescent="0.25">
      <c r="A2249" s="16"/>
      <c r="B2249" s="17"/>
      <c r="C2249" s="2" t="b">
        <v>0</v>
      </c>
      <c r="D2249" s="2"/>
      <c r="E2249" s="2"/>
      <c r="F2249" s="2"/>
      <c r="G2249" s="2"/>
      <c r="H2249" s="2"/>
      <c r="I2249" s="5"/>
    </row>
    <row r="2250" spans="1:9" ht="17.399999999999999" x14ac:dyDescent="0.25">
      <c r="A2250" s="16"/>
      <c r="B2250" s="17"/>
      <c r="C2250" s="2" t="b">
        <v>0</v>
      </c>
      <c r="D2250" s="2"/>
      <c r="E2250" s="2"/>
      <c r="F2250" s="2"/>
      <c r="G2250" s="2"/>
      <c r="H2250" s="2"/>
      <c r="I2250" s="5"/>
    </row>
    <row r="2251" spans="1:9" ht="17.399999999999999" x14ac:dyDescent="0.25">
      <c r="A2251" s="16"/>
      <c r="B2251" s="17"/>
      <c r="C2251" s="2" t="b">
        <v>0</v>
      </c>
      <c r="D2251" s="2"/>
      <c r="E2251" s="2"/>
      <c r="F2251" s="2"/>
      <c r="G2251" s="2"/>
      <c r="H2251" s="2"/>
      <c r="I2251" s="5"/>
    </row>
    <row r="2252" spans="1:9" ht="17.399999999999999" x14ac:dyDescent="0.25">
      <c r="A2252" s="16"/>
      <c r="B2252" s="17"/>
      <c r="C2252" s="2" t="b">
        <v>0</v>
      </c>
      <c r="D2252" s="2"/>
      <c r="E2252" s="2"/>
      <c r="F2252" s="2"/>
      <c r="G2252" s="2"/>
      <c r="H2252" s="2"/>
      <c r="I2252" s="5"/>
    </row>
    <row r="2253" spans="1:9" ht="17.399999999999999" x14ac:dyDescent="0.25">
      <c r="A2253" s="16"/>
      <c r="B2253" s="17"/>
      <c r="C2253" s="2" t="b">
        <v>0</v>
      </c>
      <c r="D2253" s="2"/>
      <c r="E2253" s="2"/>
      <c r="F2253" s="2"/>
      <c r="G2253" s="2"/>
      <c r="H2253" s="2"/>
      <c r="I2253" s="5"/>
    </row>
    <row r="2254" spans="1:9" ht="17.399999999999999" x14ac:dyDescent="0.25">
      <c r="A2254" s="16"/>
      <c r="B2254" s="17"/>
      <c r="C2254" s="2" t="b">
        <v>0</v>
      </c>
      <c r="D2254" s="2"/>
      <c r="E2254" s="2"/>
      <c r="F2254" s="2"/>
      <c r="G2254" s="2"/>
      <c r="H2254" s="2"/>
      <c r="I2254" s="5"/>
    </row>
    <row r="2255" spans="1:9" ht="17.399999999999999" x14ac:dyDescent="0.25">
      <c r="A2255" s="16"/>
      <c r="B2255" s="17"/>
      <c r="C2255" s="2" t="b">
        <v>0</v>
      </c>
      <c r="D2255" s="2"/>
      <c r="E2255" s="2"/>
      <c r="F2255" s="2"/>
      <c r="G2255" s="2"/>
      <c r="H2255" s="2"/>
      <c r="I2255" s="5"/>
    </row>
    <row r="2256" spans="1:9" ht="17.399999999999999" x14ac:dyDescent="0.25">
      <c r="A2256" s="16"/>
      <c r="B2256" s="17"/>
      <c r="C2256" s="2" t="b">
        <v>0</v>
      </c>
      <c r="D2256" s="2"/>
      <c r="E2256" s="2"/>
      <c r="F2256" s="2"/>
      <c r="G2256" s="2"/>
      <c r="H2256" s="2"/>
      <c r="I2256" s="5"/>
    </row>
    <row r="2257" spans="1:9" ht="17.399999999999999" x14ac:dyDescent="0.25">
      <c r="A2257" s="16"/>
      <c r="B2257" s="17"/>
      <c r="C2257" s="2" t="b">
        <v>0</v>
      </c>
      <c r="D2257" s="2"/>
      <c r="E2257" s="2"/>
      <c r="F2257" s="2"/>
      <c r="G2257" s="2"/>
      <c r="H2257" s="2"/>
      <c r="I2257" s="5"/>
    </row>
    <row r="2258" spans="1:9" ht="17.399999999999999" x14ac:dyDescent="0.25">
      <c r="A2258" s="16"/>
      <c r="B2258" s="17"/>
      <c r="C2258" s="2" t="b">
        <v>0</v>
      </c>
      <c r="D2258" s="2"/>
      <c r="E2258" s="2"/>
      <c r="F2258" s="2"/>
      <c r="G2258" s="2"/>
      <c r="H2258" s="2"/>
      <c r="I2258" s="5"/>
    </row>
    <row r="2259" spans="1:9" ht="17.399999999999999" x14ac:dyDescent="0.25">
      <c r="A2259" s="16"/>
      <c r="B2259" s="17"/>
      <c r="C2259" s="2" t="b">
        <v>0</v>
      </c>
      <c r="D2259" s="2"/>
      <c r="E2259" s="2"/>
      <c r="F2259" s="2"/>
      <c r="G2259" s="2"/>
      <c r="H2259" s="2"/>
      <c r="I2259" s="5"/>
    </row>
    <row r="2260" spans="1:9" ht="17.399999999999999" x14ac:dyDescent="0.25">
      <c r="A2260" s="16"/>
      <c r="B2260" s="17"/>
      <c r="C2260" s="2" t="b">
        <v>0</v>
      </c>
      <c r="D2260" s="2"/>
      <c r="E2260" s="2"/>
      <c r="F2260" s="2"/>
      <c r="G2260" s="2"/>
      <c r="H2260" s="2"/>
      <c r="I2260" s="5"/>
    </row>
    <row r="2261" spans="1:9" ht="17.399999999999999" x14ac:dyDescent="0.25">
      <c r="A2261" s="16"/>
      <c r="B2261" s="17"/>
      <c r="C2261" s="2" t="b">
        <v>0</v>
      </c>
      <c r="D2261" s="2"/>
      <c r="E2261" s="2"/>
      <c r="F2261" s="2"/>
      <c r="G2261" s="2"/>
      <c r="H2261" s="2"/>
      <c r="I2261" s="5"/>
    </row>
    <row r="2262" spans="1:9" ht="17.399999999999999" x14ac:dyDescent="0.25">
      <c r="A2262" s="16"/>
      <c r="B2262" s="17"/>
      <c r="C2262" s="2" t="b">
        <v>0</v>
      </c>
      <c r="D2262" s="2"/>
      <c r="E2262" s="2"/>
      <c r="F2262" s="2"/>
      <c r="G2262" s="2"/>
      <c r="H2262" s="2"/>
      <c r="I2262" s="5"/>
    </row>
    <row r="2263" spans="1:9" ht="17.399999999999999" x14ac:dyDescent="0.25">
      <c r="A2263" s="16"/>
      <c r="B2263" s="17"/>
      <c r="C2263" s="2" t="b">
        <v>0</v>
      </c>
      <c r="D2263" s="2"/>
      <c r="E2263" s="2"/>
      <c r="F2263" s="2"/>
      <c r="G2263" s="2"/>
      <c r="H2263" s="2"/>
      <c r="I2263" s="5"/>
    </row>
    <row r="2264" spans="1:9" ht="17.399999999999999" x14ac:dyDescent="0.25">
      <c r="A2264" s="16"/>
      <c r="B2264" s="17"/>
      <c r="C2264" s="2" t="b">
        <v>0</v>
      </c>
      <c r="D2264" s="2"/>
      <c r="E2264" s="2"/>
      <c r="F2264" s="2"/>
      <c r="G2264" s="2"/>
      <c r="H2264" s="2"/>
      <c r="I2264" s="5"/>
    </row>
    <row r="2265" spans="1:9" ht="17.399999999999999" x14ac:dyDescent="0.25">
      <c r="A2265" s="16"/>
      <c r="B2265" s="17"/>
      <c r="C2265" s="2" t="b">
        <v>0</v>
      </c>
      <c r="D2265" s="2"/>
      <c r="E2265" s="2"/>
      <c r="F2265" s="2"/>
      <c r="G2265" s="2"/>
      <c r="H2265" s="2"/>
      <c r="I2265" s="5"/>
    </row>
    <row r="2266" spans="1:9" ht="17.399999999999999" x14ac:dyDescent="0.25">
      <c r="A2266" s="16"/>
      <c r="B2266" s="17"/>
      <c r="C2266" s="2" t="b">
        <v>0</v>
      </c>
      <c r="D2266" s="2"/>
      <c r="E2266" s="2"/>
      <c r="F2266" s="2"/>
      <c r="G2266" s="2"/>
      <c r="H2266" s="2"/>
      <c r="I2266" s="5"/>
    </row>
    <row r="2267" spans="1:9" ht="17.399999999999999" x14ac:dyDescent="0.25">
      <c r="A2267" s="16"/>
      <c r="B2267" s="17"/>
      <c r="C2267" s="2" t="b">
        <v>0</v>
      </c>
      <c r="D2267" s="2"/>
      <c r="E2267" s="2"/>
      <c r="F2267" s="2"/>
      <c r="G2267" s="2"/>
      <c r="H2267" s="2"/>
      <c r="I2267" s="5"/>
    </row>
    <row r="2268" spans="1:9" ht="17.399999999999999" x14ac:dyDescent="0.25">
      <c r="A2268" s="16"/>
      <c r="B2268" s="17"/>
      <c r="C2268" s="2" t="b">
        <v>0</v>
      </c>
      <c r="D2268" s="2"/>
      <c r="E2268" s="2"/>
      <c r="F2268" s="2"/>
      <c r="G2268" s="2"/>
      <c r="H2268" s="2"/>
      <c r="I2268" s="5"/>
    </row>
    <row r="2269" spans="1:9" ht="17.399999999999999" x14ac:dyDescent="0.25">
      <c r="A2269" s="16"/>
      <c r="B2269" s="17"/>
      <c r="C2269" s="2" t="b">
        <v>0</v>
      </c>
      <c r="D2269" s="2"/>
      <c r="E2269" s="2"/>
      <c r="F2269" s="2"/>
      <c r="G2269" s="2"/>
      <c r="H2269" s="2"/>
      <c r="I2269" s="5"/>
    </row>
    <row r="2270" spans="1:9" ht="17.399999999999999" x14ac:dyDescent="0.25">
      <c r="A2270" s="16"/>
      <c r="B2270" s="17"/>
      <c r="C2270" s="2" t="b">
        <v>0</v>
      </c>
      <c r="D2270" s="2"/>
      <c r="E2270" s="2"/>
      <c r="F2270" s="2"/>
      <c r="G2270" s="2"/>
      <c r="H2270" s="2"/>
      <c r="I2270" s="5"/>
    </row>
    <row r="2271" spans="1:9" ht="17.399999999999999" x14ac:dyDescent="0.25">
      <c r="A2271" s="16"/>
      <c r="B2271" s="17"/>
      <c r="C2271" s="2" t="b">
        <v>0</v>
      </c>
      <c r="D2271" s="2"/>
      <c r="E2271" s="2"/>
      <c r="F2271" s="2"/>
      <c r="G2271" s="2"/>
      <c r="H2271" s="2"/>
      <c r="I2271" s="5"/>
    </row>
    <row r="2272" spans="1:9" ht="17.399999999999999" x14ac:dyDescent="0.25">
      <c r="A2272" s="16"/>
      <c r="B2272" s="17"/>
      <c r="C2272" s="2" t="b">
        <v>0</v>
      </c>
      <c r="D2272" s="2"/>
      <c r="E2272" s="2"/>
      <c r="F2272" s="2"/>
      <c r="G2272" s="2"/>
      <c r="H2272" s="2"/>
      <c r="I2272" s="5"/>
    </row>
    <row r="2273" spans="1:9" ht="17.399999999999999" x14ac:dyDescent="0.25">
      <c r="A2273" s="16"/>
      <c r="B2273" s="17"/>
      <c r="C2273" s="2" t="b">
        <v>0</v>
      </c>
      <c r="D2273" s="2"/>
      <c r="E2273" s="2"/>
      <c r="F2273" s="2"/>
      <c r="G2273" s="2"/>
      <c r="H2273" s="2"/>
      <c r="I2273" s="5"/>
    </row>
    <row r="2274" spans="1:9" ht="17.399999999999999" x14ac:dyDescent="0.25">
      <c r="A2274" s="16"/>
      <c r="B2274" s="17"/>
      <c r="C2274" s="2" t="b">
        <v>0</v>
      </c>
      <c r="D2274" s="2"/>
      <c r="E2274" s="2"/>
      <c r="F2274" s="2"/>
      <c r="G2274" s="2"/>
      <c r="H2274" s="2"/>
      <c r="I2274" s="5"/>
    </row>
    <row r="2275" spans="1:9" ht="17.399999999999999" x14ac:dyDescent="0.25">
      <c r="A2275" s="16"/>
      <c r="B2275" s="17"/>
      <c r="C2275" s="2" t="b">
        <v>0</v>
      </c>
      <c r="D2275" s="2"/>
      <c r="E2275" s="2"/>
      <c r="F2275" s="2"/>
      <c r="G2275" s="2"/>
      <c r="H2275" s="2"/>
      <c r="I2275" s="5"/>
    </row>
    <row r="2276" spans="1:9" ht="17.399999999999999" x14ac:dyDescent="0.25">
      <c r="A2276" s="16"/>
      <c r="B2276" s="17"/>
      <c r="C2276" s="2" t="b">
        <v>0</v>
      </c>
      <c r="D2276" s="2"/>
      <c r="E2276" s="2"/>
      <c r="F2276" s="2"/>
      <c r="G2276" s="2"/>
      <c r="H2276" s="2"/>
      <c r="I2276" s="5"/>
    </row>
    <row r="2277" spans="1:9" ht="17.399999999999999" x14ac:dyDescent="0.25">
      <c r="A2277" s="16"/>
      <c r="B2277" s="17"/>
      <c r="C2277" s="2" t="b">
        <v>0</v>
      </c>
      <c r="D2277" s="2"/>
      <c r="E2277" s="2"/>
      <c r="F2277" s="2"/>
      <c r="G2277" s="2"/>
      <c r="H2277" s="2"/>
      <c r="I2277" s="5"/>
    </row>
    <row r="2278" spans="1:9" ht="17.399999999999999" x14ac:dyDescent="0.25">
      <c r="A2278" s="16"/>
      <c r="B2278" s="17"/>
      <c r="C2278" s="2" t="b">
        <v>0</v>
      </c>
      <c r="D2278" s="2"/>
      <c r="E2278" s="2"/>
      <c r="F2278" s="2"/>
      <c r="G2278" s="2"/>
      <c r="H2278" s="2"/>
      <c r="I2278" s="5"/>
    </row>
    <row r="2279" spans="1:9" ht="17.399999999999999" x14ac:dyDescent="0.25">
      <c r="A2279" s="16"/>
      <c r="B2279" s="17"/>
      <c r="C2279" s="2" t="b">
        <v>0</v>
      </c>
      <c r="D2279" s="2"/>
      <c r="E2279" s="2"/>
      <c r="F2279" s="2"/>
      <c r="G2279" s="2"/>
      <c r="H2279" s="2"/>
      <c r="I2279" s="5"/>
    </row>
    <row r="2280" spans="1:9" ht="17.399999999999999" x14ac:dyDescent="0.25">
      <c r="A2280" s="16"/>
      <c r="B2280" s="17"/>
      <c r="C2280" s="2" t="b">
        <v>0</v>
      </c>
      <c r="D2280" s="2"/>
      <c r="E2280" s="2"/>
      <c r="F2280" s="2"/>
      <c r="G2280" s="2"/>
      <c r="H2280" s="2"/>
      <c r="I2280" s="5"/>
    </row>
    <row r="2281" spans="1:9" ht="17.399999999999999" x14ac:dyDescent="0.25">
      <c r="A2281" s="16"/>
      <c r="B2281" s="17"/>
      <c r="C2281" s="2" t="b">
        <v>0</v>
      </c>
      <c r="D2281" s="2"/>
      <c r="E2281" s="2"/>
      <c r="F2281" s="2"/>
      <c r="G2281" s="2"/>
      <c r="H2281" s="2"/>
      <c r="I2281" s="5"/>
    </row>
    <row r="2282" spans="1:9" ht="17.399999999999999" x14ac:dyDescent="0.25">
      <c r="A2282" s="16"/>
      <c r="B2282" s="17"/>
      <c r="C2282" s="2" t="b">
        <v>0</v>
      </c>
      <c r="D2282" s="2"/>
      <c r="E2282" s="2"/>
      <c r="F2282" s="2"/>
      <c r="G2282" s="2"/>
      <c r="H2282" s="2"/>
      <c r="I2282" s="5"/>
    </row>
    <row r="2283" spans="1:9" ht="17.399999999999999" x14ac:dyDescent="0.25">
      <c r="A2283" s="16"/>
      <c r="B2283" s="17"/>
      <c r="C2283" s="2" t="b">
        <v>0</v>
      </c>
      <c r="D2283" s="2"/>
      <c r="E2283" s="2"/>
      <c r="F2283" s="2"/>
      <c r="G2283" s="2"/>
      <c r="H2283" s="2"/>
      <c r="I2283" s="5"/>
    </row>
    <row r="2284" spans="1:9" ht="17.399999999999999" x14ac:dyDescent="0.25">
      <c r="A2284" s="16"/>
      <c r="B2284" s="17"/>
      <c r="C2284" s="2" t="b">
        <v>0</v>
      </c>
      <c r="D2284" s="2"/>
      <c r="E2284" s="2"/>
      <c r="F2284" s="2"/>
      <c r="G2284" s="2"/>
      <c r="H2284" s="2"/>
      <c r="I2284" s="5"/>
    </row>
    <row r="2285" spans="1:9" ht="17.399999999999999" x14ac:dyDescent="0.25">
      <c r="A2285" s="16"/>
      <c r="B2285" s="17"/>
      <c r="C2285" s="2" t="b">
        <v>0</v>
      </c>
      <c r="D2285" s="2"/>
      <c r="E2285" s="2"/>
      <c r="F2285" s="2"/>
      <c r="G2285" s="2"/>
      <c r="H2285" s="2"/>
      <c r="I2285" s="5"/>
    </row>
    <row r="2286" spans="1:9" ht="17.399999999999999" x14ac:dyDescent="0.25">
      <c r="A2286" s="16"/>
      <c r="B2286" s="17"/>
      <c r="C2286" s="2" t="b">
        <v>0</v>
      </c>
      <c r="D2286" s="2"/>
      <c r="E2286" s="2"/>
      <c r="F2286" s="2"/>
      <c r="G2286" s="2"/>
      <c r="H2286" s="2"/>
      <c r="I2286" s="5"/>
    </row>
    <row r="2287" spans="1:9" ht="17.399999999999999" x14ac:dyDescent="0.25">
      <c r="A2287" s="16"/>
      <c r="B2287" s="17"/>
      <c r="C2287" s="2" t="b">
        <v>0</v>
      </c>
      <c r="D2287" s="2"/>
      <c r="E2287" s="2"/>
      <c r="F2287" s="2"/>
      <c r="G2287" s="2"/>
      <c r="H2287" s="2"/>
      <c r="I2287" s="5"/>
    </row>
    <row r="2288" spans="1:9" ht="17.399999999999999" x14ac:dyDescent="0.25">
      <c r="A2288" s="16"/>
      <c r="B2288" s="17"/>
      <c r="C2288" s="2" t="b">
        <v>0</v>
      </c>
      <c r="D2288" s="2"/>
      <c r="E2288" s="2"/>
      <c r="F2288" s="2"/>
      <c r="G2288" s="2"/>
      <c r="H2288" s="2"/>
      <c r="I2288" s="5"/>
    </row>
    <row r="2289" spans="1:9" ht="17.399999999999999" x14ac:dyDescent="0.25">
      <c r="A2289" s="16"/>
      <c r="B2289" s="17"/>
      <c r="C2289" s="2" t="b">
        <v>0</v>
      </c>
      <c r="D2289" s="2"/>
      <c r="E2289" s="2"/>
      <c r="F2289" s="2"/>
      <c r="G2289" s="2"/>
      <c r="H2289" s="2"/>
      <c r="I2289" s="5"/>
    </row>
    <row r="2290" spans="1:9" ht="17.399999999999999" x14ac:dyDescent="0.25">
      <c r="A2290" s="16"/>
      <c r="B2290" s="17"/>
      <c r="C2290" s="2" t="b">
        <v>0</v>
      </c>
      <c r="D2290" s="2"/>
      <c r="E2290" s="2"/>
      <c r="F2290" s="2"/>
      <c r="G2290" s="2"/>
      <c r="H2290" s="2"/>
      <c r="I2290" s="5"/>
    </row>
    <row r="2291" spans="1:9" ht="17.399999999999999" x14ac:dyDescent="0.25">
      <c r="A2291" s="16"/>
      <c r="B2291" s="17"/>
      <c r="C2291" s="2" t="b">
        <v>0</v>
      </c>
      <c r="D2291" s="2"/>
      <c r="E2291" s="2"/>
      <c r="F2291" s="2"/>
      <c r="G2291" s="2"/>
      <c r="H2291" s="2"/>
      <c r="I2291" s="5"/>
    </row>
    <row r="2292" spans="1:9" ht="17.399999999999999" x14ac:dyDescent="0.25">
      <c r="A2292" s="16"/>
      <c r="B2292" s="17"/>
      <c r="C2292" s="2" t="b">
        <v>0</v>
      </c>
      <c r="D2292" s="2"/>
      <c r="E2292" s="2"/>
      <c r="F2292" s="2"/>
      <c r="G2292" s="2"/>
      <c r="H2292" s="2"/>
      <c r="I2292" s="5"/>
    </row>
    <row r="2293" spans="1:9" ht="17.399999999999999" x14ac:dyDescent="0.25">
      <c r="A2293" s="16"/>
      <c r="B2293" s="17"/>
      <c r="C2293" s="2" t="b">
        <v>0</v>
      </c>
      <c r="D2293" s="2"/>
      <c r="E2293" s="2"/>
      <c r="F2293" s="2"/>
      <c r="G2293" s="2"/>
      <c r="H2293" s="2"/>
      <c r="I2293" s="5"/>
    </row>
    <row r="2294" spans="1:9" ht="17.399999999999999" x14ac:dyDescent="0.25">
      <c r="A2294" s="16"/>
      <c r="B2294" s="17"/>
      <c r="C2294" s="2" t="b">
        <v>0</v>
      </c>
      <c r="D2294" s="2"/>
      <c r="E2294" s="2"/>
      <c r="F2294" s="2"/>
      <c r="G2294" s="2"/>
      <c r="H2294" s="2"/>
      <c r="I2294" s="5"/>
    </row>
    <row r="2295" spans="1:9" ht="17.399999999999999" x14ac:dyDescent="0.25">
      <c r="A2295" s="16"/>
      <c r="B2295" s="17"/>
      <c r="C2295" s="2" t="b">
        <v>0</v>
      </c>
      <c r="D2295" s="2"/>
      <c r="E2295" s="2"/>
      <c r="F2295" s="2"/>
      <c r="G2295" s="2"/>
      <c r="H2295" s="2"/>
      <c r="I2295" s="5"/>
    </row>
    <row r="2296" spans="1:9" ht="17.399999999999999" x14ac:dyDescent="0.25">
      <c r="A2296" s="16"/>
      <c r="B2296" s="17"/>
      <c r="C2296" s="2" t="b">
        <v>0</v>
      </c>
      <c r="D2296" s="2"/>
      <c r="E2296" s="2"/>
      <c r="F2296" s="2"/>
      <c r="G2296" s="2"/>
      <c r="H2296" s="2"/>
      <c r="I2296" s="5"/>
    </row>
    <row r="2297" spans="1:9" ht="17.399999999999999" x14ac:dyDescent="0.25">
      <c r="A2297" s="16"/>
      <c r="B2297" s="17"/>
      <c r="C2297" s="2" t="b">
        <v>0</v>
      </c>
      <c r="D2297" s="2"/>
      <c r="E2297" s="2"/>
      <c r="F2297" s="2"/>
      <c r="G2297" s="2"/>
      <c r="H2297" s="2"/>
      <c r="I2297" s="5"/>
    </row>
    <row r="2298" spans="1:9" ht="17.399999999999999" x14ac:dyDescent="0.25">
      <c r="A2298" s="16"/>
      <c r="B2298" s="17"/>
      <c r="C2298" s="2" t="b">
        <v>0</v>
      </c>
      <c r="D2298" s="2"/>
      <c r="E2298" s="2"/>
      <c r="F2298" s="2"/>
      <c r="G2298" s="2"/>
      <c r="H2298" s="2"/>
      <c r="I2298" s="5"/>
    </row>
    <row r="2299" spans="1:9" ht="17.399999999999999" x14ac:dyDescent="0.25">
      <c r="A2299" s="16"/>
      <c r="B2299" s="17"/>
      <c r="C2299" s="2" t="b">
        <v>0</v>
      </c>
      <c r="D2299" s="2"/>
      <c r="E2299" s="2"/>
      <c r="F2299" s="2"/>
      <c r="G2299" s="2"/>
      <c r="H2299" s="2"/>
      <c r="I2299" s="5"/>
    </row>
    <row r="2300" spans="1:9" ht="17.399999999999999" x14ac:dyDescent="0.25">
      <c r="A2300" s="16"/>
      <c r="B2300" s="17"/>
      <c r="C2300" s="2" t="b">
        <v>0</v>
      </c>
      <c r="D2300" s="2"/>
      <c r="E2300" s="2"/>
      <c r="F2300" s="2"/>
      <c r="G2300" s="2"/>
      <c r="H2300" s="2"/>
      <c r="I2300" s="5"/>
    </row>
    <row r="2301" spans="1:9" ht="17.399999999999999" x14ac:dyDescent="0.25">
      <c r="A2301" s="16"/>
      <c r="B2301" s="17"/>
      <c r="C2301" s="2" t="b">
        <v>0</v>
      </c>
      <c r="D2301" s="2"/>
      <c r="E2301" s="2"/>
      <c r="F2301" s="2"/>
      <c r="G2301" s="2"/>
      <c r="H2301" s="2"/>
      <c r="I2301" s="5"/>
    </row>
    <row r="2302" spans="1:9" ht="17.399999999999999" x14ac:dyDescent="0.25">
      <c r="A2302" s="16"/>
      <c r="B2302" s="17"/>
      <c r="C2302" s="2" t="b">
        <v>0</v>
      </c>
      <c r="D2302" s="2"/>
      <c r="E2302" s="2"/>
      <c r="F2302" s="2"/>
      <c r="G2302" s="2"/>
      <c r="H2302" s="2"/>
      <c r="I2302" s="5"/>
    </row>
    <row r="2303" spans="1:9" ht="17.399999999999999" x14ac:dyDescent="0.25">
      <c r="A2303" s="16"/>
      <c r="B2303" s="17"/>
      <c r="C2303" s="2" t="b">
        <v>0</v>
      </c>
      <c r="D2303" s="2"/>
      <c r="E2303" s="2"/>
      <c r="F2303" s="2"/>
      <c r="G2303" s="2"/>
      <c r="H2303" s="2"/>
      <c r="I2303" s="5"/>
    </row>
    <row r="2304" spans="1:9" ht="17.399999999999999" x14ac:dyDescent="0.25">
      <c r="A2304" s="16"/>
      <c r="B2304" s="17"/>
      <c r="C2304" s="2" t="b">
        <v>0</v>
      </c>
      <c r="D2304" s="2"/>
      <c r="E2304" s="2"/>
      <c r="F2304" s="2"/>
      <c r="G2304" s="2"/>
      <c r="H2304" s="2"/>
      <c r="I2304" s="5"/>
    </row>
    <row r="2305" spans="1:9" ht="17.399999999999999" x14ac:dyDescent="0.25">
      <c r="A2305" s="16"/>
      <c r="B2305" s="17"/>
      <c r="C2305" s="2" t="b">
        <v>0</v>
      </c>
      <c r="D2305" s="2"/>
      <c r="E2305" s="2"/>
      <c r="F2305" s="2"/>
      <c r="G2305" s="2"/>
      <c r="H2305" s="2"/>
      <c r="I2305" s="5"/>
    </row>
    <row r="2306" spans="1:9" ht="17.399999999999999" x14ac:dyDescent="0.25">
      <c r="A2306" s="16"/>
      <c r="B2306" s="17"/>
      <c r="C2306" s="2" t="b">
        <v>0</v>
      </c>
      <c r="D2306" s="2"/>
      <c r="E2306" s="2"/>
      <c r="F2306" s="2"/>
      <c r="G2306" s="2"/>
      <c r="H2306" s="2"/>
      <c r="I2306" s="5"/>
    </row>
    <row r="2307" spans="1:9" ht="17.399999999999999" x14ac:dyDescent="0.25">
      <c r="A2307" s="16"/>
      <c r="B2307" s="17"/>
      <c r="C2307" s="2" t="b">
        <v>0</v>
      </c>
      <c r="D2307" s="2"/>
      <c r="E2307" s="2"/>
      <c r="F2307" s="2"/>
      <c r="G2307" s="2"/>
      <c r="H2307" s="2"/>
      <c r="I2307" s="5"/>
    </row>
    <row r="2308" spans="1:9" ht="17.399999999999999" x14ac:dyDescent="0.25">
      <c r="A2308" s="16"/>
      <c r="B2308" s="17"/>
      <c r="C2308" s="2" t="b">
        <v>0</v>
      </c>
      <c r="D2308" s="2"/>
      <c r="E2308" s="2"/>
      <c r="F2308" s="2"/>
      <c r="G2308" s="2"/>
      <c r="H2308" s="2"/>
      <c r="I2308" s="5"/>
    </row>
    <row r="2309" spans="1:9" ht="17.399999999999999" x14ac:dyDescent="0.25">
      <c r="A2309" s="16"/>
      <c r="B2309" s="17"/>
      <c r="C2309" s="2" t="b">
        <v>0</v>
      </c>
      <c r="D2309" s="2"/>
      <c r="E2309" s="2"/>
      <c r="F2309" s="2"/>
      <c r="G2309" s="2"/>
      <c r="H2309" s="2"/>
      <c r="I2309" s="5"/>
    </row>
    <row r="2310" spans="1:9" ht="17.399999999999999" x14ac:dyDescent="0.25">
      <c r="A2310" s="16"/>
      <c r="B2310" s="17"/>
      <c r="C2310" s="2" t="b">
        <v>0</v>
      </c>
      <c r="D2310" s="2"/>
      <c r="E2310" s="2"/>
      <c r="F2310" s="2"/>
      <c r="G2310" s="2"/>
      <c r="H2310" s="2"/>
      <c r="I2310" s="5"/>
    </row>
    <row r="2311" spans="1:9" ht="17.399999999999999" x14ac:dyDescent="0.25">
      <c r="A2311" s="16"/>
      <c r="B2311" s="17"/>
      <c r="C2311" s="2" t="b">
        <v>0</v>
      </c>
      <c r="D2311" s="2"/>
      <c r="E2311" s="2"/>
      <c r="F2311" s="2"/>
      <c r="G2311" s="2"/>
      <c r="H2311" s="2"/>
      <c r="I2311" s="5"/>
    </row>
    <row r="2312" spans="1:9" ht="17.399999999999999" x14ac:dyDescent="0.25">
      <c r="A2312" s="16"/>
      <c r="B2312" s="17"/>
      <c r="C2312" s="2" t="b">
        <v>0</v>
      </c>
      <c r="D2312" s="2"/>
      <c r="E2312" s="2"/>
      <c r="F2312" s="2"/>
      <c r="G2312" s="2"/>
      <c r="H2312" s="2"/>
      <c r="I2312" s="5"/>
    </row>
    <row r="2313" spans="1:9" ht="17.399999999999999" x14ac:dyDescent="0.25">
      <c r="A2313" s="16"/>
      <c r="B2313" s="17"/>
      <c r="C2313" s="2" t="b">
        <v>0</v>
      </c>
      <c r="D2313" s="2"/>
      <c r="E2313" s="2"/>
      <c r="F2313" s="2"/>
      <c r="G2313" s="2"/>
      <c r="H2313" s="2"/>
      <c r="I2313" s="5"/>
    </row>
    <row r="2314" spans="1:9" ht="17.399999999999999" x14ac:dyDescent="0.25">
      <c r="A2314" s="16"/>
      <c r="B2314" s="17"/>
      <c r="C2314" s="2" t="b">
        <v>0</v>
      </c>
      <c r="D2314" s="2"/>
      <c r="E2314" s="2"/>
      <c r="F2314" s="2"/>
      <c r="G2314" s="2"/>
      <c r="H2314" s="2"/>
      <c r="I2314" s="5"/>
    </row>
    <row r="2315" spans="1:9" ht="17.399999999999999" x14ac:dyDescent="0.25">
      <c r="A2315" s="16"/>
      <c r="B2315" s="17"/>
      <c r="C2315" s="2" t="b">
        <v>0</v>
      </c>
      <c r="D2315" s="2"/>
      <c r="E2315" s="2"/>
      <c r="F2315" s="2"/>
      <c r="G2315" s="2"/>
      <c r="H2315" s="2"/>
      <c r="I2315" s="5"/>
    </row>
    <row r="2316" spans="1:9" ht="17.399999999999999" x14ac:dyDescent="0.25">
      <c r="A2316" s="16"/>
      <c r="B2316" s="17"/>
      <c r="C2316" s="2" t="b">
        <v>0</v>
      </c>
      <c r="D2316" s="2"/>
      <c r="E2316" s="2"/>
      <c r="F2316" s="2"/>
      <c r="G2316" s="2"/>
      <c r="H2316" s="2"/>
      <c r="I2316" s="5"/>
    </row>
    <row r="2317" spans="1:9" ht="17.399999999999999" x14ac:dyDescent="0.25">
      <c r="A2317" s="16"/>
      <c r="B2317" s="17"/>
      <c r="C2317" s="2" t="b">
        <v>0</v>
      </c>
      <c r="D2317" s="2"/>
      <c r="E2317" s="2"/>
      <c r="F2317" s="2"/>
      <c r="G2317" s="2"/>
      <c r="H2317" s="2"/>
      <c r="I2317" s="5"/>
    </row>
    <row r="2318" spans="1:9" ht="17.399999999999999" x14ac:dyDescent="0.25">
      <c r="A2318" s="16"/>
      <c r="B2318" s="17"/>
      <c r="C2318" s="2" t="b">
        <v>0</v>
      </c>
      <c r="D2318" s="2"/>
      <c r="E2318" s="2"/>
      <c r="F2318" s="2"/>
      <c r="G2318" s="2"/>
      <c r="H2318" s="2"/>
      <c r="I2318" s="5"/>
    </row>
    <row r="2319" spans="1:9" ht="17.399999999999999" x14ac:dyDescent="0.25">
      <c r="A2319" s="16"/>
      <c r="B2319" s="17"/>
      <c r="C2319" s="2" t="b">
        <v>0</v>
      </c>
      <c r="D2319" s="2"/>
      <c r="E2319" s="2"/>
      <c r="F2319" s="2"/>
      <c r="G2319" s="2"/>
      <c r="H2319" s="2"/>
      <c r="I2319" s="5"/>
    </row>
    <row r="2320" spans="1:9" ht="17.399999999999999" x14ac:dyDescent="0.25">
      <c r="A2320" s="16"/>
      <c r="B2320" s="17"/>
      <c r="C2320" s="2" t="b">
        <v>0</v>
      </c>
      <c r="D2320" s="2"/>
      <c r="E2320" s="2"/>
      <c r="F2320" s="2"/>
      <c r="G2320" s="2"/>
      <c r="H2320" s="2"/>
      <c r="I2320" s="5"/>
    </row>
    <row r="2321" spans="1:9" ht="17.399999999999999" x14ac:dyDescent="0.25">
      <c r="A2321" s="16"/>
      <c r="B2321" s="17"/>
      <c r="C2321" s="2" t="b">
        <v>0</v>
      </c>
      <c r="D2321" s="2"/>
      <c r="E2321" s="2"/>
      <c r="F2321" s="2"/>
      <c r="G2321" s="2"/>
      <c r="H2321" s="2"/>
      <c r="I2321" s="5"/>
    </row>
    <row r="2322" spans="1:9" ht="17.399999999999999" x14ac:dyDescent="0.25">
      <c r="A2322" s="16"/>
      <c r="B2322" s="17"/>
      <c r="C2322" s="2" t="b">
        <v>0</v>
      </c>
      <c r="D2322" s="2"/>
      <c r="E2322" s="2"/>
      <c r="F2322" s="2"/>
      <c r="G2322" s="2"/>
      <c r="H2322" s="2"/>
      <c r="I2322" s="5"/>
    </row>
    <row r="2323" spans="1:9" ht="17.399999999999999" x14ac:dyDescent="0.25">
      <c r="A2323" s="16"/>
      <c r="B2323" s="17"/>
      <c r="C2323" s="2" t="b">
        <v>0</v>
      </c>
      <c r="D2323" s="2"/>
      <c r="E2323" s="2"/>
      <c r="F2323" s="2"/>
      <c r="G2323" s="2"/>
      <c r="H2323" s="2"/>
      <c r="I2323" s="5"/>
    </row>
    <row r="2324" spans="1:9" ht="17.399999999999999" x14ac:dyDescent="0.25">
      <c r="A2324" s="16"/>
      <c r="B2324" s="17"/>
      <c r="C2324" s="2" t="b">
        <v>0</v>
      </c>
      <c r="D2324" s="2"/>
      <c r="E2324" s="2"/>
      <c r="F2324" s="2"/>
      <c r="G2324" s="2"/>
      <c r="H2324" s="2"/>
      <c r="I2324" s="5"/>
    </row>
    <row r="2325" spans="1:9" ht="17.399999999999999" x14ac:dyDescent="0.25">
      <c r="A2325" s="16"/>
      <c r="B2325" s="17"/>
      <c r="C2325" s="2" t="b">
        <v>0</v>
      </c>
      <c r="D2325" s="2"/>
      <c r="E2325" s="2"/>
      <c r="F2325" s="2"/>
      <c r="G2325" s="2"/>
      <c r="H2325" s="2"/>
      <c r="I2325" s="5"/>
    </row>
    <row r="2326" spans="1:9" ht="17.399999999999999" x14ac:dyDescent="0.25">
      <c r="A2326" s="16"/>
      <c r="B2326" s="17"/>
      <c r="C2326" s="2" t="b">
        <v>0</v>
      </c>
      <c r="D2326" s="2"/>
      <c r="E2326" s="2"/>
      <c r="F2326" s="2"/>
      <c r="G2326" s="2"/>
      <c r="H2326" s="2"/>
      <c r="I2326" s="5"/>
    </row>
    <row r="2327" spans="1:9" ht="17.399999999999999" x14ac:dyDescent="0.25">
      <c r="A2327" s="16"/>
      <c r="B2327" s="17"/>
      <c r="C2327" s="2" t="b">
        <v>0</v>
      </c>
      <c r="D2327" s="2"/>
      <c r="E2327" s="2"/>
      <c r="F2327" s="2"/>
      <c r="G2327" s="2"/>
      <c r="H2327" s="2"/>
      <c r="I2327" s="5"/>
    </row>
    <row r="2328" spans="1:9" ht="17.399999999999999" x14ac:dyDescent="0.25">
      <c r="A2328" s="16"/>
      <c r="B2328" s="17"/>
      <c r="C2328" s="2" t="b">
        <v>0</v>
      </c>
      <c r="D2328" s="2"/>
      <c r="E2328" s="2"/>
      <c r="F2328" s="2"/>
      <c r="G2328" s="2"/>
      <c r="H2328" s="2"/>
      <c r="I2328" s="5"/>
    </row>
    <row r="2329" spans="1:9" ht="17.399999999999999" x14ac:dyDescent="0.25">
      <c r="A2329" s="16"/>
      <c r="B2329" s="17"/>
      <c r="C2329" s="2" t="b">
        <v>0</v>
      </c>
      <c r="D2329" s="2"/>
      <c r="E2329" s="2"/>
      <c r="F2329" s="2"/>
      <c r="G2329" s="2"/>
      <c r="H2329" s="2"/>
      <c r="I2329" s="5"/>
    </row>
    <row r="2330" spans="1:9" ht="17.399999999999999" x14ac:dyDescent="0.25">
      <c r="A2330" s="16"/>
      <c r="B2330" s="17"/>
      <c r="C2330" s="2" t="b">
        <v>0</v>
      </c>
      <c r="D2330" s="2"/>
      <c r="E2330" s="2"/>
      <c r="F2330" s="2"/>
      <c r="G2330" s="2"/>
      <c r="H2330" s="2"/>
      <c r="I2330" s="5"/>
    </row>
    <row r="2331" spans="1:9" ht="17.399999999999999" x14ac:dyDescent="0.25">
      <c r="A2331" s="16"/>
      <c r="B2331" s="17"/>
      <c r="C2331" s="2" t="b">
        <v>0</v>
      </c>
      <c r="D2331" s="2"/>
      <c r="E2331" s="2"/>
      <c r="F2331" s="2"/>
      <c r="G2331" s="2"/>
      <c r="H2331" s="2"/>
      <c r="I2331" s="5"/>
    </row>
    <row r="2332" spans="1:9" ht="17.399999999999999" x14ac:dyDescent="0.25">
      <c r="A2332" s="16"/>
      <c r="B2332" s="17"/>
      <c r="C2332" s="2" t="b">
        <v>0</v>
      </c>
      <c r="D2332" s="2"/>
      <c r="E2332" s="2"/>
      <c r="F2332" s="2"/>
      <c r="G2332" s="2"/>
      <c r="H2332" s="2"/>
      <c r="I2332" s="5"/>
    </row>
    <row r="2333" spans="1:9" ht="17.399999999999999" x14ac:dyDescent="0.25">
      <c r="A2333" s="16"/>
      <c r="B2333" s="17"/>
      <c r="C2333" s="2" t="b">
        <v>0</v>
      </c>
      <c r="D2333" s="2"/>
      <c r="E2333" s="2"/>
      <c r="F2333" s="2"/>
      <c r="G2333" s="2"/>
      <c r="H2333" s="2"/>
      <c r="I2333" s="5"/>
    </row>
    <row r="2334" spans="1:9" ht="17.399999999999999" x14ac:dyDescent="0.25">
      <c r="A2334" s="16"/>
      <c r="B2334" s="17"/>
      <c r="C2334" s="2" t="b">
        <v>0</v>
      </c>
      <c r="D2334" s="2"/>
      <c r="E2334" s="2"/>
      <c r="F2334" s="2"/>
      <c r="G2334" s="2"/>
      <c r="H2334" s="2"/>
      <c r="I2334" s="5"/>
    </row>
    <row r="2335" spans="1:9" ht="17.399999999999999" x14ac:dyDescent="0.25">
      <c r="A2335" s="16"/>
      <c r="B2335" s="17"/>
      <c r="C2335" s="2" t="b">
        <v>0</v>
      </c>
      <c r="D2335" s="2"/>
      <c r="E2335" s="2"/>
      <c r="F2335" s="2"/>
      <c r="G2335" s="2"/>
      <c r="H2335" s="2"/>
      <c r="I2335" s="5"/>
    </row>
    <row r="2336" spans="1:9" ht="17.399999999999999" x14ac:dyDescent="0.25">
      <c r="A2336" s="16"/>
      <c r="B2336" s="17"/>
      <c r="C2336" s="2" t="b">
        <v>0</v>
      </c>
      <c r="D2336" s="2"/>
      <c r="E2336" s="2"/>
      <c r="F2336" s="2"/>
      <c r="G2336" s="2"/>
      <c r="H2336" s="2"/>
      <c r="I2336" s="5"/>
    </row>
    <row r="2337" spans="1:9" ht="17.399999999999999" x14ac:dyDescent="0.25">
      <c r="A2337" s="16"/>
      <c r="B2337" s="17"/>
      <c r="C2337" s="2" t="b">
        <v>0</v>
      </c>
      <c r="D2337" s="2"/>
      <c r="E2337" s="2"/>
      <c r="F2337" s="2"/>
      <c r="G2337" s="2"/>
      <c r="H2337" s="2"/>
      <c r="I2337" s="5"/>
    </row>
    <row r="2338" spans="1:9" ht="17.399999999999999" x14ac:dyDescent="0.25">
      <c r="A2338" s="16"/>
      <c r="B2338" s="17"/>
      <c r="C2338" s="2" t="b">
        <v>0</v>
      </c>
      <c r="D2338" s="2"/>
      <c r="E2338" s="2"/>
      <c r="F2338" s="2"/>
      <c r="G2338" s="2"/>
      <c r="H2338" s="2"/>
      <c r="I2338" s="5"/>
    </row>
    <row r="2339" spans="1:9" ht="17.399999999999999" x14ac:dyDescent="0.25">
      <c r="A2339" s="16"/>
      <c r="B2339" s="17"/>
      <c r="C2339" s="2" t="b">
        <v>0</v>
      </c>
      <c r="D2339" s="2"/>
      <c r="E2339" s="2"/>
      <c r="F2339" s="2"/>
      <c r="G2339" s="2"/>
      <c r="H2339" s="2"/>
      <c r="I2339" s="5"/>
    </row>
    <row r="2340" spans="1:9" ht="17.399999999999999" x14ac:dyDescent="0.25">
      <c r="A2340" s="16"/>
      <c r="B2340" s="17"/>
      <c r="C2340" s="2" t="b">
        <v>0</v>
      </c>
      <c r="D2340" s="2"/>
      <c r="E2340" s="2"/>
      <c r="F2340" s="2"/>
      <c r="G2340" s="2"/>
      <c r="H2340" s="2"/>
      <c r="I2340" s="5"/>
    </row>
    <row r="2341" spans="1:9" ht="17.399999999999999" x14ac:dyDescent="0.25">
      <c r="A2341" s="16"/>
      <c r="B2341" s="17"/>
      <c r="C2341" s="2" t="b">
        <v>0</v>
      </c>
      <c r="D2341" s="2"/>
      <c r="E2341" s="2"/>
      <c r="F2341" s="2"/>
      <c r="G2341" s="2"/>
      <c r="H2341" s="2"/>
      <c r="I2341" s="5"/>
    </row>
    <row r="2342" spans="1:9" ht="17.399999999999999" x14ac:dyDescent="0.25">
      <c r="A2342" s="16"/>
      <c r="B2342" s="17"/>
      <c r="C2342" s="2" t="b">
        <v>0</v>
      </c>
      <c r="D2342" s="2"/>
      <c r="E2342" s="2"/>
      <c r="F2342" s="2"/>
      <c r="G2342" s="2"/>
      <c r="H2342" s="2"/>
      <c r="I2342" s="5"/>
    </row>
    <row r="2343" spans="1:9" ht="17.399999999999999" x14ac:dyDescent="0.25">
      <c r="A2343" s="16"/>
      <c r="B2343" s="17"/>
      <c r="C2343" s="2" t="b">
        <v>0</v>
      </c>
      <c r="D2343" s="2"/>
      <c r="E2343" s="2"/>
      <c r="F2343" s="2"/>
      <c r="G2343" s="2"/>
      <c r="H2343" s="2"/>
      <c r="I2343" s="5"/>
    </row>
    <row r="2344" spans="1:9" ht="17.399999999999999" x14ac:dyDescent="0.25">
      <c r="A2344" s="16"/>
      <c r="B2344" s="17"/>
      <c r="C2344" s="2" t="b">
        <v>0</v>
      </c>
      <c r="D2344" s="2"/>
      <c r="E2344" s="2"/>
      <c r="F2344" s="2"/>
      <c r="G2344" s="2"/>
      <c r="H2344" s="2"/>
      <c r="I2344" s="5"/>
    </row>
    <row r="2345" spans="1:9" ht="17.399999999999999" x14ac:dyDescent="0.25">
      <c r="A2345" s="16"/>
      <c r="B2345" s="17"/>
      <c r="C2345" s="2" t="b">
        <v>0</v>
      </c>
      <c r="D2345" s="2"/>
      <c r="E2345" s="2"/>
      <c r="F2345" s="2"/>
      <c r="G2345" s="2"/>
      <c r="H2345" s="2"/>
      <c r="I2345" s="5"/>
    </row>
    <row r="2346" spans="1:9" ht="17.399999999999999" x14ac:dyDescent="0.25">
      <c r="A2346" s="16"/>
      <c r="B2346" s="17"/>
      <c r="C2346" s="2" t="b">
        <v>0</v>
      </c>
      <c r="D2346" s="2"/>
      <c r="E2346" s="2"/>
      <c r="F2346" s="2"/>
      <c r="G2346" s="2"/>
      <c r="H2346" s="2"/>
      <c r="I2346" s="5"/>
    </row>
    <row r="2347" spans="1:9" ht="17.399999999999999" x14ac:dyDescent="0.25">
      <c r="A2347" s="16"/>
      <c r="B2347" s="17"/>
      <c r="C2347" s="2" t="b">
        <v>0</v>
      </c>
      <c r="D2347" s="2"/>
      <c r="E2347" s="2"/>
      <c r="F2347" s="2"/>
      <c r="G2347" s="2"/>
      <c r="H2347" s="2"/>
      <c r="I2347" s="5"/>
    </row>
    <row r="2348" spans="1:9" ht="17.399999999999999" x14ac:dyDescent="0.25">
      <c r="A2348" s="16"/>
      <c r="B2348" s="17"/>
      <c r="C2348" s="2" t="b">
        <v>0</v>
      </c>
      <c r="D2348" s="2"/>
      <c r="E2348" s="2"/>
      <c r="F2348" s="2"/>
      <c r="G2348" s="2"/>
      <c r="H2348" s="2"/>
      <c r="I2348" s="5"/>
    </row>
    <row r="2349" spans="1:9" ht="17.399999999999999" x14ac:dyDescent="0.25">
      <c r="A2349" s="16"/>
      <c r="B2349" s="17"/>
      <c r="C2349" s="2" t="b">
        <v>0</v>
      </c>
      <c r="D2349" s="2"/>
      <c r="E2349" s="2"/>
      <c r="F2349" s="2"/>
      <c r="G2349" s="2"/>
      <c r="H2349" s="2"/>
      <c r="I2349" s="5"/>
    </row>
    <row r="2350" spans="1:9" ht="17.399999999999999" x14ac:dyDescent="0.25">
      <c r="A2350" s="16"/>
      <c r="B2350" s="17"/>
      <c r="C2350" s="2" t="b">
        <v>0</v>
      </c>
      <c r="D2350" s="2"/>
      <c r="E2350" s="2"/>
      <c r="F2350" s="2"/>
      <c r="G2350" s="2"/>
      <c r="H2350" s="2"/>
      <c r="I2350" s="5"/>
    </row>
    <row r="2351" spans="1:9" ht="17.399999999999999" x14ac:dyDescent="0.25">
      <c r="A2351" s="16"/>
      <c r="B2351" s="17"/>
      <c r="C2351" s="2" t="b">
        <v>0</v>
      </c>
      <c r="D2351" s="2"/>
      <c r="E2351" s="2"/>
      <c r="F2351" s="2"/>
      <c r="G2351" s="2"/>
      <c r="H2351" s="2"/>
      <c r="I2351" s="5"/>
    </row>
    <row r="2352" spans="1:9" ht="17.399999999999999" x14ac:dyDescent="0.25">
      <c r="A2352" s="16"/>
      <c r="B2352" s="17"/>
      <c r="C2352" s="2" t="b">
        <v>0</v>
      </c>
      <c r="D2352" s="2"/>
      <c r="E2352" s="2"/>
      <c r="F2352" s="2"/>
      <c r="G2352" s="2"/>
      <c r="H2352" s="2"/>
      <c r="I2352" s="5"/>
    </row>
    <row r="2353" spans="1:9" ht="17.399999999999999" x14ac:dyDescent="0.25">
      <c r="A2353" s="16"/>
      <c r="B2353" s="17"/>
      <c r="C2353" s="2" t="b">
        <v>0</v>
      </c>
      <c r="D2353" s="2"/>
      <c r="E2353" s="2"/>
      <c r="F2353" s="2"/>
      <c r="G2353" s="2"/>
      <c r="H2353" s="2"/>
      <c r="I2353" s="5"/>
    </row>
    <row r="2354" spans="1:9" ht="17.399999999999999" x14ac:dyDescent="0.25">
      <c r="A2354" s="16"/>
      <c r="B2354" s="17"/>
      <c r="C2354" s="2" t="b">
        <v>0</v>
      </c>
      <c r="D2354" s="2"/>
      <c r="E2354" s="2"/>
      <c r="F2354" s="2"/>
      <c r="G2354" s="2"/>
      <c r="H2354" s="2"/>
      <c r="I2354" s="5"/>
    </row>
    <row r="2355" spans="1:9" ht="17.399999999999999" x14ac:dyDescent="0.25">
      <c r="A2355" s="16"/>
      <c r="B2355" s="17"/>
      <c r="C2355" s="2" t="b">
        <v>0</v>
      </c>
      <c r="D2355" s="2"/>
      <c r="E2355" s="2"/>
      <c r="F2355" s="2"/>
      <c r="G2355" s="2"/>
      <c r="H2355" s="2"/>
      <c r="I2355" s="5"/>
    </row>
    <row r="2356" spans="1:9" ht="17.399999999999999" x14ac:dyDescent="0.25">
      <c r="A2356" s="16"/>
      <c r="B2356" s="17"/>
      <c r="C2356" s="2" t="b">
        <v>0</v>
      </c>
      <c r="D2356" s="2"/>
      <c r="E2356" s="2"/>
      <c r="F2356" s="2"/>
      <c r="G2356" s="2"/>
      <c r="H2356" s="2"/>
      <c r="I2356" s="5"/>
    </row>
    <row r="2357" spans="1:9" ht="17.399999999999999" x14ac:dyDescent="0.25">
      <c r="A2357" s="16"/>
      <c r="B2357" s="17"/>
      <c r="C2357" s="2" t="b">
        <v>0</v>
      </c>
      <c r="D2357" s="2"/>
      <c r="E2357" s="2"/>
      <c r="F2357" s="2"/>
      <c r="G2357" s="2"/>
      <c r="H2357" s="2"/>
      <c r="I2357" s="5"/>
    </row>
    <row r="2358" spans="1:9" ht="17.399999999999999" x14ac:dyDescent="0.25">
      <c r="A2358" s="16"/>
      <c r="B2358" s="17"/>
      <c r="C2358" s="2" t="b">
        <v>0</v>
      </c>
      <c r="D2358" s="2"/>
      <c r="E2358" s="2"/>
      <c r="F2358" s="2"/>
      <c r="G2358" s="2"/>
      <c r="H2358" s="2"/>
      <c r="I2358" s="5"/>
    </row>
    <row r="2359" spans="1:9" ht="17.399999999999999" x14ac:dyDescent="0.25">
      <c r="A2359" s="16"/>
      <c r="B2359" s="17"/>
      <c r="C2359" s="2" t="b">
        <v>0</v>
      </c>
      <c r="D2359" s="2"/>
      <c r="E2359" s="2"/>
      <c r="F2359" s="2"/>
      <c r="G2359" s="2"/>
      <c r="H2359" s="2"/>
      <c r="I2359" s="5"/>
    </row>
    <row r="2360" spans="1:9" ht="17.399999999999999" x14ac:dyDescent="0.25">
      <c r="A2360" s="16"/>
      <c r="B2360" s="17"/>
      <c r="C2360" s="2" t="b">
        <v>0</v>
      </c>
      <c r="D2360" s="2"/>
      <c r="E2360" s="2"/>
      <c r="F2360" s="2"/>
      <c r="G2360" s="2"/>
      <c r="H2360" s="2"/>
      <c r="I2360" s="5"/>
    </row>
    <row r="2361" spans="1:9" ht="17.399999999999999" x14ac:dyDescent="0.25">
      <c r="A2361" s="16"/>
      <c r="B2361" s="17"/>
      <c r="C2361" s="2" t="b">
        <v>0</v>
      </c>
      <c r="D2361" s="2"/>
      <c r="E2361" s="2"/>
      <c r="F2361" s="2"/>
      <c r="G2361" s="2"/>
      <c r="H2361" s="2"/>
      <c r="I2361" s="5"/>
    </row>
    <row r="2362" spans="1:9" ht="17.399999999999999" x14ac:dyDescent="0.25">
      <c r="A2362" s="16"/>
      <c r="B2362" s="17"/>
      <c r="C2362" s="2" t="b">
        <v>0</v>
      </c>
      <c r="D2362" s="2"/>
      <c r="E2362" s="2"/>
      <c r="F2362" s="2"/>
      <c r="G2362" s="2"/>
      <c r="H2362" s="2"/>
      <c r="I2362" s="5"/>
    </row>
    <row r="2363" spans="1:9" ht="17.399999999999999" x14ac:dyDescent="0.25">
      <c r="A2363" s="16"/>
      <c r="B2363" s="17"/>
      <c r="C2363" s="2" t="b">
        <v>0</v>
      </c>
      <c r="D2363" s="2"/>
      <c r="E2363" s="2"/>
      <c r="F2363" s="2"/>
      <c r="G2363" s="2"/>
      <c r="H2363" s="2"/>
      <c r="I2363" s="5"/>
    </row>
    <row r="2364" spans="1:9" ht="17.399999999999999" x14ac:dyDescent="0.25">
      <c r="A2364" s="16"/>
      <c r="B2364" s="17"/>
      <c r="C2364" s="2" t="b">
        <v>0</v>
      </c>
      <c r="D2364" s="2"/>
      <c r="E2364" s="2"/>
      <c r="F2364" s="2"/>
      <c r="G2364" s="2"/>
      <c r="H2364" s="2"/>
      <c r="I2364" s="5"/>
    </row>
    <row r="2365" spans="1:9" ht="17.399999999999999" x14ac:dyDescent="0.25">
      <c r="A2365" s="16"/>
      <c r="B2365" s="17"/>
      <c r="C2365" s="2" t="b">
        <v>0</v>
      </c>
      <c r="D2365" s="2"/>
      <c r="E2365" s="2"/>
      <c r="F2365" s="2"/>
      <c r="G2365" s="2"/>
      <c r="H2365" s="2"/>
      <c r="I2365" s="5"/>
    </row>
    <row r="2366" spans="1:9" ht="17.399999999999999" x14ac:dyDescent="0.25">
      <c r="A2366" s="16"/>
      <c r="B2366" s="17"/>
      <c r="C2366" s="2" t="b">
        <v>0</v>
      </c>
      <c r="D2366" s="2"/>
      <c r="E2366" s="2"/>
      <c r="F2366" s="2"/>
      <c r="G2366" s="2"/>
      <c r="H2366" s="2"/>
      <c r="I2366" s="5"/>
    </row>
    <row r="2367" spans="1:9" ht="17.399999999999999" x14ac:dyDescent="0.25">
      <c r="A2367" s="16"/>
      <c r="B2367" s="17"/>
      <c r="C2367" s="2" t="b">
        <v>0</v>
      </c>
      <c r="D2367" s="2"/>
      <c r="E2367" s="2"/>
      <c r="F2367" s="2"/>
      <c r="G2367" s="2"/>
      <c r="H2367" s="2"/>
      <c r="I2367" s="5"/>
    </row>
    <row r="2368" spans="1:9" ht="17.399999999999999" x14ac:dyDescent="0.25">
      <c r="A2368" s="16"/>
      <c r="B2368" s="17"/>
      <c r="C2368" s="2" t="b">
        <v>0</v>
      </c>
      <c r="D2368" s="2"/>
      <c r="E2368" s="2"/>
      <c r="F2368" s="2"/>
      <c r="G2368" s="2"/>
      <c r="H2368" s="2"/>
      <c r="I2368" s="5"/>
    </row>
    <row r="2369" spans="1:9" ht="17.399999999999999" x14ac:dyDescent="0.25">
      <c r="A2369" s="16"/>
      <c r="B2369" s="17"/>
      <c r="C2369" s="2" t="b">
        <v>0</v>
      </c>
      <c r="D2369" s="2"/>
      <c r="E2369" s="2"/>
      <c r="F2369" s="2"/>
      <c r="G2369" s="2"/>
      <c r="H2369" s="2"/>
      <c r="I2369" s="5"/>
    </row>
    <row r="2370" spans="1:9" ht="17.399999999999999" x14ac:dyDescent="0.25">
      <c r="A2370" s="16"/>
      <c r="B2370" s="17"/>
      <c r="C2370" s="2" t="b">
        <v>0</v>
      </c>
      <c r="D2370" s="2"/>
      <c r="E2370" s="2"/>
      <c r="F2370" s="2"/>
      <c r="G2370" s="2"/>
      <c r="H2370" s="2"/>
      <c r="I2370" s="5"/>
    </row>
    <row r="2371" spans="1:9" ht="17.399999999999999" x14ac:dyDescent="0.25">
      <c r="A2371" s="16"/>
      <c r="B2371" s="17"/>
      <c r="C2371" s="2" t="b">
        <v>0</v>
      </c>
      <c r="D2371" s="2"/>
      <c r="E2371" s="2"/>
      <c r="F2371" s="2"/>
      <c r="G2371" s="2"/>
      <c r="H2371" s="2"/>
      <c r="I2371" s="5"/>
    </row>
    <row r="2372" spans="1:9" ht="17.399999999999999" x14ac:dyDescent="0.25">
      <c r="A2372" s="16"/>
      <c r="B2372" s="17"/>
      <c r="C2372" s="2" t="b">
        <v>0</v>
      </c>
      <c r="D2372" s="2"/>
      <c r="E2372" s="2"/>
      <c r="F2372" s="2"/>
      <c r="G2372" s="2"/>
      <c r="H2372" s="2"/>
      <c r="I2372" s="5"/>
    </row>
    <row r="2373" spans="1:9" ht="17.399999999999999" x14ac:dyDescent="0.25">
      <c r="A2373" s="16"/>
      <c r="B2373" s="17"/>
      <c r="C2373" s="2" t="b">
        <v>0</v>
      </c>
      <c r="D2373" s="2"/>
      <c r="E2373" s="2"/>
      <c r="F2373" s="2"/>
      <c r="G2373" s="2"/>
      <c r="H2373" s="2"/>
      <c r="I2373" s="5"/>
    </row>
    <row r="2374" spans="1:9" ht="17.399999999999999" x14ac:dyDescent="0.25">
      <c r="A2374" s="16"/>
      <c r="B2374" s="17"/>
      <c r="C2374" s="2" t="b">
        <v>0</v>
      </c>
      <c r="D2374" s="2"/>
      <c r="E2374" s="2"/>
      <c r="F2374" s="2"/>
      <c r="G2374" s="2"/>
      <c r="H2374" s="2"/>
      <c r="I2374" s="5"/>
    </row>
    <row r="2375" spans="1:9" ht="17.399999999999999" x14ac:dyDescent="0.25">
      <c r="A2375" s="16"/>
      <c r="B2375" s="17"/>
      <c r="C2375" s="2" t="b">
        <v>0</v>
      </c>
      <c r="D2375" s="2"/>
      <c r="E2375" s="2"/>
      <c r="F2375" s="2"/>
      <c r="G2375" s="2"/>
      <c r="H2375" s="2"/>
      <c r="I2375" s="5"/>
    </row>
    <row r="2376" spans="1:9" ht="17.399999999999999" x14ac:dyDescent="0.25">
      <c r="A2376" s="16"/>
      <c r="B2376" s="17"/>
      <c r="C2376" s="2" t="b">
        <v>0</v>
      </c>
      <c r="D2376" s="2"/>
      <c r="E2376" s="2"/>
      <c r="F2376" s="2"/>
      <c r="G2376" s="2"/>
      <c r="H2376" s="2"/>
      <c r="I2376" s="5"/>
    </row>
    <row r="2377" spans="1:9" ht="17.399999999999999" x14ac:dyDescent="0.25">
      <c r="A2377" s="16"/>
      <c r="B2377" s="17"/>
      <c r="C2377" s="2" t="b">
        <v>0</v>
      </c>
      <c r="D2377" s="2"/>
      <c r="E2377" s="2"/>
      <c r="F2377" s="2"/>
      <c r="G2377" s="2"/>
      <c r="H2377" s="2"/>
      <c r="I2377" s="5"/>
    </row>
    <row r="2378" spans="1:9" ht="17.399999999999999" x14ac:dyDescent="0.25">
      <c r="A2378" s="16"/>
      <c r="B2378" s="17"/>
      <c r="C2378" s="2" t="b">
        <v>0</v>
      </c>
      <c r="D2378" s="2"/>
      <c r="E2378" s="2"/>
      <c r="F2378" s="2"/>
      <c r="G2378" s="2"/>
      <c r="H2378" s="2"/>
      <c r="I2378" s="5"/>
    </row>
    <row r="2379" spans="1:9" ht="17.399999999999999" x14ac:dyDescent="0.25">
      <c r="A2379" s="16"/>
      <c r="B2379" s="17"/>
      <c r="C2379" s="2" t="b">
        <v>0</v>
      </c>
      <c r="D2379" s="2"/>
      <c r="E2379" s="2"/>
      <c r="F2379" s="2"/>
      <c r="G2379" s="2"/>
      <c r="H2379" s="2"/>
      <c r="I2379" s="5"/>
    </row>
    <row r="2380" spans="1:9" ht="17.399999999999999" x14ac:dyDescent="0.25">
      <c r="A2380" s="16"/>
      <c r="B2380" s="17"/>
      <c r="C2380" s="2" t="b">
        <v>0</v>
      </c>
      <c r="D2380" s="2"/>
      <c r="E2380" s="2"/>
      <c r="F2380" s="2"/>
      <c r="G2380" s="2"/>
      <c r="H2380" s="2"/>
      <c r="I2380" s="5"/>
    </row>
    <row r="2381" spans="1:9" ht="17.399999999999999" x14ac:dyDescent="0.25">
      <c r="A2381" s="16"/>
      <c r="B2381" s="17"/>
      <c r="C2381" s="2" t="b">
        <v>0</v>
      </c>
      <c r="D2381" s="2"/>
      <c r="E2381" s="2"/>
      <c r="F2381" s="2"/>
      <c r="G2381" s="2"/>
      <c r="H2381" s="2"/>
      <c r="I2381" s="5"/>
    </row>
    <row r="2382" spans="1:9" ht="17.399999999999999" x14ac:dyDescent="0.25">
      <c r="A2382" s="16"/>
      <c r="B2382" s="17"/>
      <c r="C2382" s="2" t="b">
        <v>0</v>
      </c>
      <c r="D2382" s="2"/>
      <c r="E2382" s="2"/>
      <c r="F2382" s="2"/>
      <c r="G2382" s="2"/>
      <c r="H2382" s="2"/>
      <c r="I2382" s="5"/>
    </row>
    <row r="2383" spans="1:9" ht="17.399999999999999" x14ac:dyDescent="0.25">
      <c r="A2383" s="16"/>
      <c r="B2383" s="17"/>
      <c r="C2383" s="2" t="b">
        <v>0</v>
      </c>
      <c r="D2383" s="2"/>
      <c r="E2383" s="2"/>
      <c r="F2383" s="2"/>
      <c r="G2383" s="2"/>
      <c r="H2383" s="2"/>
      <c r="I2383" s="5"/>
    </row>
    <row r="2384" spans="1:9" ht="17.399999999999999" x14ac:dyDescent="0.25">
      <c r="A2384" s="16"/>
      <c r="B2384" s="17"/>
      <c r="C2384" s="2" t="b">
        <v>0</v>
      </c>
      <c r="D2384" s="2"/>
      <c r="E2384" s="2"/>
      <c r="F2384" s="2"/>
      <c r="G2384" s="2"/>
      <c r="H2384" s="2"/>
      <c r="I2384" s="5"/>
    </row>
    <row r="2385" spans="1:9" ht="17.399999999999999" x14ac:dyDescent="0.25">
      <c r="A2385" s="16"/>
      <c r="B2385" s="17"/>
      <c r="C2385" s="2" t="b">
        <v>0</v>
      </c>
      <c r="D2385" s="2"/>
      <c r="E2385" s="2"/>
      <c r="F2385" s="2"/>
      <c r="G2385" s="2"/>
      <c r="H2385" s="2"/>
      <c r="I2385" s="5"/>
    </row>
    <row r="2386" spans="1:9" ht="17.399999999999999" x14ac:dyDescent="0.25">
      <c r="A2386" s="16"/>
      <c r="B2386" s="17"/>
      <c r="C2386" s="2" t="b">
        <v>0</v>
      </c>
      <c r="D2386" s="2"/>
      <c r="E2386" s="2"/>
      <c r="F2386" s="2"/>
      <c r="G2386" s="2"/>
      <c r="H2386" s="2"/>
      <c r="I2386" s="5"/>
    </row>
    <row r="2387" spans="1:9" ht="17.399999999999999" x14ac:dyDescent="0.25">
      <c r="A2387" s="16"/>
      <c r="B2387" s="17"/>
      <c r="C2387" s="2" t="b">
        <v>0</v>
      </c>
      <c r="D2387" s="2"/>
      <c r="E2387" s="2"/>
      <c r="F2387" s="2"/>
      <c r="G2387" s="2"/>
      <c r="H2387" s="2"/>
      <c r="I2387" s="5"/>
    </row>
    <row r="2388" spans="1:9" ht="17.399999999999999" x14ac:dyDescent="0.25">
      <c r="A2388" s="16"/>
      <c r="B2388" s="17"/>
      <c r="C2388" s="2" t="b">
        <v>0</v>
      </c>
      <c r="D2388" s="2"/>
      <c r="E2388" s="2"/>
      <c r="F2388" s="2"/>
      <c r="G2388" s="2"/>
      <c r="H2388" s="2"/>
      <c r="I2388" s="5"/>
    </row>
    <row r="2389" spans="1:9" ht="17.399999999999999" x14ac:dyDescent="0.25">
      <c r="A2389" s="16"/>
      <c r="B2389" s="17"/>
      <c r="C2389" s="2" t="b">
        <v>0</v>
      </c>
      <c r="D2389" s="2"/>
      <c r="E2389" s="2"/>
      <c r="F2389" s="2"/>
      <c r="G2389" s="2"/>
      <c r="H2389" s="2"/>
      <c r="I2389" s="5"/>
    </row>
    <row r="2390" spans="1:9" ht="17.399999999999999" x14ac:dyDescent="0.25">
      <c r="A2390" s="16"/>
      <c r="B2390" s="17"/>
      <c r="C2390" s="2" t="b">
        <v>0</v>
      </c>
      <c r="D2390" s="2"/>
      <c r="E2390" s="2"/>
      <c r="F2390" s="2"/>
      <c r="G2390" s="2"/>
      <c r="H2390" s="2"/>
      <c r="I2390" s="5"/>
    </row>
    <row r="2391" spans="1:9" ht="17.399999999999999" x14ac:dyDescent="0.25">
      <c r="A2391" s="16"/>
      <c r="B2391" s="17"/>
      <c r="C2391" s="2" t="b">
        <v>0</v>
      </c>
      <c r="D2391" s="2"/>
      <c r="E2391" s="2"/>
      <c r="F2391" s="2"/>
      <c r="G2391" s="2"/>
      <c r="H2391" s="2"/>
      <c r="I2391" s="5"/>
    </row>
    <row r="2392" spans="1:9" ht="17.399999999999999" x14ac:dyDescent="0.25">
      <c r="A2392" s="16"/>
      <c r="B2392" s="17"/>
      <c r="C2392" s="2" t="b">
        <v>0</v>
      </c>
      <c r="D2392" s="2"/>
      <c r="E2392" s="2"/>
      <c r="F2392" s="2"/>
      <c r="G2392" s="2"/>
      <c r="H2392" s="2"/>
      <c r="I2392" s="5"/>
    </row>
    <row r="2393" spans="1:9" ht="17.399999999999999" x14ac:dyDescent="0.25">
      <c r="A2393" s="16"/>
      <c r="B2393" s="17"/>
      <c r="C2393" s="2" t="b">
        <v>0</v>
      </c>
      <c r="D2393" s="2"/>
      <c r="E2393" s="2"/>
      <c r="F2393" s="2"/>
      <c r="G2393" s="2"/>
      <c r="H2393" s="2"/>
      <c r="I2393" s="5"/>
    </row>
    <row r="2394" spans="1:9" ht="17.399999999999999" x14ac:dyDescent="0.25">
      <c r="A2394" s="16"/>
      <c r="B2394" s="17"/>
      <c r="C2394" s="2" t="b">
        <v>0</v>
      </c>
      <c r="D2394" s="2"/>
      <c r="E2394" s="2"/>
      <c r="F2394" s="2"/>
      <c r="G2394" s="2"/>
      <c r="H2394" s="2"/>
      <c r="I2394" s="5"/>
    </row>
    <row r="2395" spans="1:9" ht="17.399999999999999" x14ac:dyDescent="0.25">
      <c r="A2395" s="16"/>
      <c r="B2395" s="17"/>
      <c r="C2395" s="2" t="b">
        <v>0</v>
      </c>
      <c r="D2395" s="2"/>
      <c r="E2395" s="2"/>
      <c r="F2395" s="2"/>
      <c r="G2395" s="2"/>
      <c r="H2395" s="2"/>
      <c r="I2395" s="5"/>
    </row>
    <row r="2396" spans="1:9" ht="17.399999999999999" x14ac:dyDescent="0.25">
      <c r="A2396" s="16"/>
      <c r="B2396" s="17"/>
      <c r="C2396" s="2" t="b">
        <v>0</v>
      </c>
      <c r="D2396" s="2"/>
      <c r="E2396" s="2"/>
      <c r="F2396" s="2"/>
      <c r="G2396" s="2"/>
      <c r="H2396" s="2"/>
      <c r="I2396" s="5"/>
    </row>
    <row r="2397" spans="1:9" ht="17.399999999999999" x14ac:dyDescent="0.25">
      <c r="A2397" s="16"/>
      <c r="B2397" s="17"/>
      <c r="C2397" s="2" t="b">
        <v>0</v>
      </c>
      <c r="D2397" s="2"/>
      <c r="E2397" s="2"/>
      <c r="F2397" s="2"/>
      <c r="G2397" s="2"/>
      <c r="H2397" s="2"/>
      <c r="I2397" s="5"/>
    </row>
    <row r="2398" spans="1:9" ht="17.399999999999999" x14ac:dyDescent="0.25">
      <c r="A2398" s="16"/>
      <c r="B2398" s="17"/>
      <c r="C2398" s="2" t="b">
        <v>0</v>
      </c>
      <c r="D2398" s="2"/>
      <c r="E2398" s="2"/>
      <c r="F2398" s="2"/>
      <c r="G2398" s="2"/>
      <c r="H2398" s="2"/>
      <c r="I2398" s="5"/>
    </row>
    <row r="2399" spans="1:9" ht="17.399999999999999" x14ac:dyDescent="0.25">
      <c r="A2399" s="16"/>
      <c r="B2399" s="17"/>
      <c r="C2399" s="2" t="b">
        <v>0</v>
      </c>
      <c r="D2399" s="2"/>
      <c r="E2399" s="2"/>
      <c r="F2399" s="2"/>
      <c r="G2399" s="2"/>
      <c r="H2399" s="2"/>
      <c r="I2399" s="5"/>
    </row>
    <row r="2400" spans="1:9" ht="17.399999999999999" x14ac:dyDescent="0.25">
      <c r="A2400" s="16"/>
      <c r="B2400" s="17"/>
      <c r="C2400" s="2" t="b">
        <v>0</v>
      </c>
      <c r="D2400" s="2"/>
      <c r="E2400" s="2"/>
      <c r="F2400" s="2"/>
      <c r="G2400" s="2"/>
      <c r="H2400" s="2"/>
      <c r="I2400" s="5"/>
    </row>
    <row r="2401" spans="1:9" ht="17.399999999999999" x14ac:dyDescent="0.25">
      <c r="A2401" s="16"/>
      <c r="B2401" s="17"/>
      <c r="C2401" s="2" t="b">
        <v>0</v>
      </c>
      <c r="D2401" s="2"/>
      <c r="E2401" s="2"/>
      <c r="F2401" s="2"/>
      <c r="G2401" s="2"/>
      <c r="H2401" s="2"/>
      <c r="I2401" s="5"/>
    </row>
    <row r="2402" spans="1:9" ht="17.399999999999999" x14ac:dyDescent="0.25">
      <c r="A2402" s="16"/>
      <c r="B2402" s="17"/>
      <c r="C2402" s="2" t="b">
        <v>0</v>
      </c>
      <c r="D2402" s="2"/>
      <c r="E2402" s="2"/>
      <c r="F2402" s="2"/>
      <c r="G2402" s="2"/>
      <c r="H2402" s="2"/>
      <c r="I2402" s="5"/>
    </row>
    <row r="2403" spans="1:9" ht="17.399999999999999" x14ac:dyDescent="0.25">
      <c r="A2403" s="16"/>
      <c r="B2403" s="17"/>
      <c r="C2403" s="2" t="b">
        <v>0</v>
      </c>
      <c r="D2403" s="2"/>
      <c r="E2403" s="2"/>
      <c r="F2403" s="2"/>
      <c r="G2403" s="2"/>
      <c r="H2403" s="2"/>
      <c r="I2403" s="5"/>
    </row>
    <row r="2404" spans="1:9" ht="17.399999999999999" x14ac:dyDescent="0.25">
      <c r="A2404" s="16"/>
      <c r="B2404" s="17"/>
      <c r="C2404" s="2" t="b">
        <v>0</v>
      </c>
      <c r="D2404" s="2"/>
      <c r="E2404" s="2"/>
      <c r="F2404" s="2"/>
      <c r="G2404" s="2"/>
      <c r="H2404" s="2"/>
      <c r="I2404" s="5"/>
    </row>
    <row r="2405" spans="1:9" ht="17.399999999999999" x14ac:dyDescent="0.25">
      <c r="A2405" s="16"/>
      <c r="B2405" s="17"/>
      <c r="C2405" s="2" t="b">
        <v>0</v>
      </c>
      <c r="D2405" s="2"/>
      <c r="E2405" s="2"/>
      <c r="F2405" s="2"/>
      <c r="G2405" s="2"/>
      <c r="H2405" s="2"/>
      <c r="I2405" s="5"/>
    </row>
    <row r="2406" spans="1:9" ht="17.399999999999999" x14ac:dyDescent="0.25">
      <c r="A2406" s="16"/>
      <c r="B2406" s="17"/>
      <c r="C2406" s="2" t="b">
        <v>0</v>
      </c>
      <c r="D2406" s="2"/>
      <c r="E2406" s="2"/>
      <c r="F2406" s="2"/>
      <c r="G2406" s="2"/>
      <c r="H2406" s="2"/>
      <c r="I2406" s="5"/>
    </row>
    <row r="2407" spans="1:9" ht="17.399999999999999" x14ac:dyDescent="0.25">
      <c r="A2407" s="16"/>
      <c r="B2407" s="17"/>
      <c r="C2407" s="2" t="b">
        <v>0</v>
      </c>
      <c r="D2407" s="2"/>
      <c r="E2407" s="2"/>
      <c r="F2407" s="2"/>
      <c r="G2407" s="2"/>
      <c r="H2407" s="2"/>
      <c r="I2407" s="5"/>
    </row>
    <row r="2408" spans="1:9" ht="17.399999999999999" x14ac:dyDescent="0.25">
      <c r="A2408" s="16"/>
      <c r="B2408" s="17"/>
      <c r="C2408" s="2" t="b">
        <v>0</v>
      </c>
      <c r="D2408" s="2"/>
      <c r="E2408" s="2"/>
      <c r="F2408" s="2"/>
      <c r="G2408" s="2"/>
      <c r="H2408" s="2"/>
      <c r="I2408" s="5"/>
    </row>
    <row r="2409" spans="1:9" ht="17.399999999999999" x14ac:dyDescent="0.25">
      <c r="A2409" s="16"/>
      <c r="B2409" s="17"/>
      <c r="C2409" s="2" t="b">
        <v>0</v>
      </c>
      <c r="D2409" s="2"/>
      <c r="E2409" s="2"/>
      <c r="F2409" s="2"/>
      <c r="G2409" s="2"/>
      <c r="H2409" s="2"/>
      <c r="I2409" s="5"/>
    </row>
    <row r="2410" spans="1:9" ht="17.399999999999999" x14ac:dyDescent="0.25">
      <c r="A2410" s="16"/>
      <c r="B2410" s="17"/>
      <c r="C2410" s="2" t="b">
        <v>0</v>
      </c>
      <c r="D2410" s="2"/>
      <c r="E2410" s="2"/>
      <c r="F2410" s="2"/>
      <c r="G2410" s="2"/>
      <c r="H2410" s="2"/>
      <c r="I2410" s="5"/>
    </row>
    <row r="2411" spans="1:9" ht="17.399999999999999" x14ac:dyDescent="0.25">
      <c r="A2411" s="16"/>
      <c r="B2411" s="17"/>
      <c r="C2411" s="2" t="b">
        <v>0</v>
      </c>
      <c r="D2411" s="2"/>
      <c r="E2411" s="2"/>
      <c r="F2411" s="2"/>
      <c r="G2411" s="2"/>
      <c r="H2411" s="2"/>
      <c r="I2411" s="5"/>
    </row>
    <row r="2412" spans="1:9" ht="17.399999999999999" x14ac:dyDescent="0.25">
      <c r="A2412" s="16"/>
      <c r="B2412" s="17"/>
      <c r="C2412" s="2" t="b">
        <v>0</v>
      </c>
      <c r="D2412" s="2"/>
      <c r="E2412" s="2"/>
      <c r="F2412" s="2"/>
      <c r="G2412" s="2"/>
      <c r="H2412" s="2"/>
      <c r="I2412" s="5"/>
    </row>
    <row r="2413" spans="1:9" ht="17.399999999999999" x14ac:dyDescent="0.25">
      <c r="A2413" s="16"/>
      <c r="B2413" s="17"/>
      <c r="C2413" s="2" t="b">
        <v>0</v>
      </c>
      <c r="D2413" s="2"/>
      <c r="E2413" s="2"/>
      <c r="F2413" s="2"/>
      <c r="G2413" s="2"/>
      <c r="H2413" s="2"/>
      <c r="I2413" s="5"/>
    </row>
    <row r="2414" spans="1:9" ht="17.399999999999999" x14ac:dyDescent="0.25">
      <c r="A2414" s="16"/>
      <c r="B2414" s="17"/>
      <c r="C2414" s="2" t="b">
        <v>0</v>
      </c>
      <c r="D2414" s="2"/>
      <c r="E2414" s="2"/>
      <c r="F2414" s="2"/>
      <c r="G2414" s="2"/>
      <c r="H2414" s="2"/>
      <c r="I2414" s="5"/>
    </row>
    <row r="2415" spans="1:9" ht="17.399999999999999" x14ac:dyDescent="0.25">
      <c r="A2415" s="16"/>
      <c r="B2415" s="17"/>
      <c r="C2415" s="2" t="b">
        <v>0</v>
      </c>
      <c r="D2415" s="2"/>
      <c r="E2415" s="2"/>
      <c r="F2415" s="2"/>
      <c r="G2415" s="2"/>
      <c r="H2415" s="2"/>
      <c r="I2415" s="5"/>
    </row>
    <row r="2416" spans="1:9" ht="17.399999999999999" x14ac:dyDescent="0.25">
      <c r="A2416" s="16"/>
      <c r="B2416" s="17"/>
      <c r="C2416" s="2" t="b">
        <v>0</v>
      </c>
      <c r="D2416" s="2"/>
      <c r="E2416" s="2"/>
      <c r="F2416" s="2"/>
      <c r="G2416" s="2"/>
      <c r="H2416" s="2"/>
      <c r="I2416" s="5"/>
    </row>
    <row r="2417" spans="1:9" ht="17.399999999999999" x14ac:dyDescent="0.25">
      <c r="A2417" s="16"/>
      <c r="B2417" s="17"/>
      <c r="C2417" s="2" t="b">
        <v>0</v>
      </c>
      <c r="D2417" s="2"/>
      <c r="E2417" s="2"/>
      <c r="F2417" s="2"/>
      <c r="G2417" s="2"/>
      <c r="H2417" s="2"/>
      <c r="I2417" s="5"/>
    </row>
    <row r="2418" spans="1:9" ht="17.399999999999999" x14ac:dyDescent="0.25">
      <c r="A2418" s="16"/>
      <c r="B2418" s="17"/>
      <c r="C2418" s="2" t="b">
        <v>0</v>
      </c>
      <c r="D2418" s="2"/>
      <c r="E2418" s="2"/>
      <c r="F2418" s="2"/>
      <c r="G2418" s="2"/>
      <c r="H2418" s="2"/>
      <c r="I2418" s="5"/>
    </row>
    <row r="2419" spans="1:9" ht="17.399999999999999" x14ac:dyDescent="0.25">
      <c r="A2419" s="16"/>
      <c r="B2419" s="17"/>
      <c r="C2419" s="2" t="b">
        <v>0</v>
      </c>
      <c r="D2419" s="2"/>
      <c r="E2419" s="2"/>
      <c r="F2419" s="2"/>
      <c r="G2419" s="2"/>
      <c r="H2419" s="2"/>
      <c r="I2419" s="5"/>
    </row>
    <row r="2420" spans="1:9" ht="17.399999999999999" x14ac:dyDescent="0.25">
      <c r="A2420" s="16"/>
      <c r="B2420" s="17"/>
      <c r="C2420" s="2" t="b">
        <v>0</v>
      </c>
      <c r="D2420" s="2"/>
      <c r="E2420" s="2"/>
      <c r="F2420" s="2"/>
      <c r="G2420" s="2"/>
      <c r="H2420" s="2"/>
      <c r="I2420" s="5"/>
    </row>
    <row r="2421" spans="1:9" ht="17.399999999999999" x14ac:dyDescent="0.25">
      <c r="A2421" s="16"/>
      <c r="B2421" s="17"/>
      <c r="C2421" s="2" t="b">
        <v>0</v>
      </c>
      <c r="D2421" s="2"/>
      <c r="E2421" s="2"/>
      <c r="F2421" s="2"/>
      <c r="G2421" s="2"/>
      <c r="H2421" s="2"/>
      <c r="I2421" s="5"/>
    </row>
    <row r="2422" spans="1:9" ht="17.399999999999999" x14ac:dyDescent="0.25">
      <c r="A2422" s="16"/>
      <c r="B2422" s="17"/>
      <c r="C2422" s="2" t="b">
        <v>0</v>
      </c>
      <c r="D2422" s="2"/>
      <c r="E2422" s="2"/>
      <c r="F2422" s="2"/>
      <c r="G2422" s="2"/>
      <c r="H2422" s="2"/>
      <c r="I2422" s="5"/>
    </row>
    <row r="2423" spans="1:9" ht="17.399999999999999" x14ac:dyDescent="0.25">
      <c r="A2423" s="16"/>
      <c r="B2423" s="17"/>
      <c r="C2423" s="2" t="b">
        <v>0</v>
      </c>
      <c r="D2423" s="2"/>
      <c r="E2423" s="2"/>
      <c r="F2423" s="2"/>
      <c r="G2423" s="2"/>
      <c r="H2423" s="2"/>
      <c r="I2423" s="5"/>
    </row>
    <row r="2424" spans="1:9" ht="17.399999999999999" x14ac:dyDescent="0.25">
      <c r="A2424" s="16"/>
      <c r="B2424" s="17"/>
      <c r="C2424" s="2" t="b">
        <v>0</v>
      </c>
      <c r="D2424" s="2"/>
      <c r="E2424" s="2"/>
      <c r="F2424" s="2"/>
      <c r="G2424" s="2"/>
      <c r="H2424" s="2"/>
      <c r="I2424" s="5"/>
    </row>
    <row r="2425" spans="1:9" ht="17.399999999999999" x14ac:dyDescent="0.25">
      <c r="A2425" s="16"/>
      <c r="B2425" s="17"/>
      <c r="C2425" s="2" t="b">
        <v>0</v>
      </c>
      <c r="D2425" s="2"/>
      <c r="E2425" s="2"/>
      <c r="F2425" s="2"/>
      <c r="G2425" s="2"/>
      <c r="H2425" s="2"/>
      <c r="I2425" s="5"/>
    </row>
    <row r="2426" spans="1:9" ht="17.399999999999999" x14ac:dyDescent="0.25">
      <c r="A2426" s="16"/>
      <c r="B2426" s="17"/>
      <c r="C2426" s="2" t="b">
        <v>0</v>
      </c>
      <c r="D2426" s="2"/>
      <c r="E2426" s="2"/>
      <c r="F2426" s="2"/>
      <c r="G2426" s="2"/>
      <c r="H2426" s="2"/>
      <c r="I2426" s="5"/>
    </row>
    <row r="2427" spans="1:9" ht="17.399999999999999" x14ac:dyDescent="0.25">
      <c r="A2427" s="16"/>
      <c r="B2427" s="17"/>
      <c r="C2427" s="2" t="b">
        <v>0</v>
      </c>
      <c r="D2427" s="2"/>
      <c r="E2427" s="2"/>
      <c r="F2427" s="2"/>
      <c r="G2427" s="2"/>
      <c r="H2427" s="2"/>
      <c r="I2427" s="5"/>
    </row>
    <row r="2428" spans="1:9" ht="17.399999999999999" x14ac:dyDescent="0.25">
      <c r="A2428" s="16"/>
      <c r="B2428" s="17"/>
      <c r="C2428" s="2" t="b">
        <v>0</v>
      </c>
      <c r="D2428" s="2"/>
      <c r="E2428" s="2"/>
      <c r="F2428" s="2"/>
      <c r="G2428" s="2"/>
      <c r="H2428" s="2"/>
      <c r="I2428" s="5"/>
    </row>
    <row r="2429" spans="1:9" ht="17.399999999999999" x14ac:dyDescent="0.25">
      <c r="A2429" s="16"/>
      <c r="B2429" s="17"/>
      <c r="C2429" s="2" t="b">
        <v>0</v>
      </c>
      <c r="D2429" s="2"/>
      <c r="E2429" s="2"/>
      <c r="F2429" s="2"/>
      <c r="G2429" s="2"/>
      <c r="H2429" s="2"/>
      <c r="I2429" s="5"/>
    </row>
    <row r="2430" spans="1:9" ht="17.399999999999999" x14ac:dyDescent="0.25">
      <c r="A2430" s="16"/>
      <c r="B2430" s="17"/>
      <c r="C2430" s="2" t="b">
        <v>0</v>
      </c>
      <c r="D2430" s="2"/>
      <c r="E2430" s="2"/>
      <c r="F2430" s="2"/>
      <c r="G2430" s="2"/>
      <c r="H2430" s="2"/>
      <c r="I2430" s="5"/>
    </row>
    <row r="2431" spans="1:9" ht="17.399999999999999" x14ac:dyDescent="0.25">
      <c r="A2431" s="16"/>
      <c r="B2431" s="17"/>
      <c r="C2431" s="2" t="b">
        <v>0</v>
      </c>
      <c r="D2431" s="2"/>
      <c r="E2431" s="2"/>
      <c r="F2431" s="2"/>
      <c r="G2431" s="2"/>
      <c r="H2431" s="2"/>
      <c r="I2431" s="5"/>
    </row>
    <row r="2432" spans="1:9" ht="17.399999999999999" x14ac:dyDescent="0.25">
      <c r="A2432" s="16"/>
      <c r="B2432" s="17"/>
      <c r="C2432" s="2" t="b">
        <v>0</v>
      </c>
      <c r="D2432" s="2"/>
      <c r="E2432" s="2"/>
      <c r="F2432" s="2"/>
      <c r="G2432" s="2"/>
      <c r="H2432" s="2"/>
      <c r="I2432" s="5"/>
    </row>
    <row r="2433" spans="1:9" ht="17.399999999999999" x14ac:dyDescent="0.25">
      <c r="A2433" s="16"/>
      <c r="B2433" s="17"/>
      <c r="C2433" s="2" t="b">
        <v>0</v>
      </c>
      <c r="D2433" s="2"/>
      <c r="E2433" s="2"/>
      <c r="F2433" s="2"/>
      <c r="G2433" s="2"/>
      <c r="H2433" s="2"/>
      <c r="I2433" s="5"/>
    </row>
    <row r="2434" spans="1:9" ht="17.399999999999999" x14ac:dyDescent="0.25">
      <c r="A2434" s="16"/>
      <c r="B2434" s="17"/>
      <c r="C2434" s="2" t="b">
        <v>0</v>
      </c>
      <c r="D2434" s="2"/>
      <c r="E2434" s="2"/>
      <c r="F2434" s="2"/>
      <c r="G2434" s="2"/>
      <c r="H2434" s="2"/>
      <c r="I2434" s="5"/>
    </row>
    <row r="2435" spans="1:9" ht="17.399999999999999" x14ac:dyDescent="0.25">
      <c r="A2435" s="16"/>
      <c r="B2435" s="17"/>
      <c r="C2435" s="2" t="b">
        <v>0</v>
      </c>
      <c r="D2435" s="2"/>
      <c r="E2435" s="2"/>
      <c r="F2435" s="2"/>
      <c r="G2435" s="2"/>
      <c r="H2435" s="2"/>
      <c r="I2435" s="5"/>
    </row>
    <row r="2436" spans="1:9" ht="17.399999999999999" x14ac:dyDescent="0.25">
      <c r="A2436" s="16"/>
      <c r="B2436" s="17"/>
      <c r="C2436" s="2" t="b">
        <v>0</v>
      </c>
      <c r="D2436" s="2"/>
      <c r="E2436" s="2"/>
      <c r="F2436" s="2"/>
      <c r="G2436" s="2"/>
      <c r="H2436" s="2"/>
      <c r="I2436" s="5"/>
    </row>
    <row r="2437" spans="1:9" ht="17.399999999999999" x14ac:dyDescent="0.25">
      <c r="A2437" s="16"/>
      <c r="B2437" s="17"/>
      <c r="C2437" s="2" t="b">
        <v>0</v>
      </c>
      <c r="D2437" s="2"/>
      <c r="E2437" s="2"/>
      <c r="F2437" s="2"/>
      <c r="G2437" s="2"/>
      <c r="H2437" s="2"/>
      <c r="I2437" s="5"/>
    </row>
    <row r="2438" spans="1:9" ht="17.399999999999999" x14ac:dyDescent="0.25">
      <c r="A2438" s="16"/>
      <c r="B2438" s="17"/>
      <c r="C2438" s="2" t="b">
        <v>0</v>
      </c>
      <c r="D2438" s="2"/>
      <c r="E2438" s="2"/>
      <c r="F2438" s="2"/>
      <c r="G2438" s="2"/>
      <c r="H2438" s="2"/>
      <c r="I2438" s="5"/>
    </row>
    <row r="2439" spans="1:9" ht="17.399999999999999" x14ac:dyDescent="0.25">
      <c r="A2439" s="16"/>
      <c r="B2439" s="17"/>
      <c r="C2439" s="2" t="b">
        <v>0</v>
      </c>
      <c r="D2439" s="2"/>
      <c r="E2439" s="2"/>
      <c r="F2439" s="2"/>
      <c r="G2439" s="2"/>
      <c r="H2439" s="2"/>
      <c r="I2439" s="5"/>
    </row>
    <row r="2440" spans="1:9" ht="17.399999999999999" x14ac:dyDescent="0.25">
      <c r="A2440" s="16"/>
      <c r="B2440" s="17"/>
      <c r="C2440" s="2" t="b">
        <v>0</v>
      </c>
      <c r="D2440" s="2"/>
      <c r="E2440" s="2"/>
      <c r="F2440" s="2"/>
      <c r="G2440" s="2"/>
      <c r="H2440" s="2"/>
      <c r="I2440" s="5"/>
    </row>
  </sheetData>
  <mergeCells count="2">
    <mergeCell ref="B2:H2"/>
    <mergeCell ref="B3:H3"/>
  </mergeCells>
  <conditionalFormatting sqref="A1:H2440">
    <cfRule type="cellIs" dxfId="11" priority="1" operator="equal">
      <formula>"Purchased Perks"</formula>
    </cfRule>
    <cfRule type="expression" dxfId="10" priority="2">
      <formula>IF($E1="Purchased Perks",TRUE,FALSE)</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outlinePr summaryBelow="0" summaryRight="0"/>
  </sheetPr>
  <dimension ref="A1:XFD2440"/>
  <sheetViews>
    <sheetView workbookViewId="0">
      <pane ySplit="4" topLeftCell="A5" activePane="bottomLeft" state="frozen"/>
      <selection pane="bottomLeft" activeCell="B6" sqref="B6"/>
    </sheetView>
  </sheetViews>
  <sheetFormatPr defaultColWidth="12.6640625" defaultRowHeight="15.75" customHeight="1" x14ac:dyDescent="0.25"/>
  <cols>
    <col min="1" max="1" width="3.21875" customWidth="1"/>
    <col min="2" max="2" width="3.33203125" customWidth="1"/>
    <col min="3" max="3" width="10" customWidth="1"/>
    <col min="4" max="4" width="7.6640625" customWidth="1"/>
    <col min="5" max="5" width="20.88671875" customWidth="1"/>
    <col min="6" max="6" width="14.77734375" customWidth="1"/>
    <col min="7" max="7" width="19.44140625" customWidth="1"/>
    <col min="8" max="8" width="105.109375" customWidth="1"/>
    <col min="9" max="9" width="3.21875" customWidth="1"/>
    <col min="16384" max="16384" width="0" hidden="1" customWidth="1"/>
  </cols>
  <sheetData>
    <row r="1" spans="1:9 16384:16384" ht="18.75" hidden="1" customHeight="1" x14ac:dyDescent="0.25">
      <c r="A1" s="16"/>
      <c r="B1" s="16"/>
      <c r="C1" s="26"/>
      <c r="D1" s="26"/>
      <c r="E1" s="26"/>
      <c r="F1" s="26"/>
      <c r="G1" s="26"/>
      <c r="H1" s="26"/>
      <c r="I1" s="5"/>
      <c r="XFD1">
        <f ca="1">IF('Roll All'!$B$4="Roll!",RAND(),RAND())</f>
        <v>0.24827607459942458</v>
      </c>
    </row>
    <row r="2" spans="1:9 16384:16384" ht="43.5" customHeight="1" x14ac:dyDescent="0.25">
      <c r="A2" s="16"/>
      <c r="B2" s="54" t="s">
        <v>60</v>
      </c>
      <c r="C2" s="40"/>
      <c r="D2" s="40"/>
      <c r="E2" s="40"/>
      <c r="F2" s="40"/>
      <c r="G2" s="40"/>
      <c r="H2" s="40"/>
      <c r="I2" s="5"/>
    </row>
    <row r="3" spans="1:9 16384:16384" ht="30" customHeight="1" x14ac:dyDescent="0.25">
      <c r="A3" s="16"/>
      <c r="B3" s="42" t="s">
        <v>5657</v>
      </c>
      <c r="C3" s="40"/>
      <c r="D3" s="40"/>
      <c r="E3" s="40"/>
      <c r="F3" s="40"/>
      <c r="G3" s="40"/>
      <c r="H3" s="40"/>
      <c r="I3" s="5"/>
    </row>
    <row r="4" spans="1:9 16384:16384" ht="34.799999999999997" x14ac:dyDescent="0.25">
      <c r="A4" s="16"/>
      <c r="B4" s="17">
        <f t="array" ref="B4:B256">ROW(B4:B2440)-4</f>
        <v>0</v>
      </c>
      <c r="C4" s="10" t="s">
        <v>50</v>
      </c>
      <c r="D4" s="10" t="s">
        <v>20</v>
      </c>
      <c r="E4" s="10" t="s">
        <v>21</v>
      </c>
      <c r="F4" s="10" t="s">
        <v>22</v>
      </c>
      <c r="G4" s="10" t="s">
        <v>23</v>
      </c>
      <c r="H4" s="10" t="s">
        <v>24</v>
      </c>
      <c r="I4" s="5"/>
    </row>
    <row r="5" spans="1:9 16384:16384" ht="52.2" x14ac:dyDescent="0.25">
      <c r="A5" s="16"/>
      <c r="B5" s="17">
        <v>1</v>
      </c>
      <c r="C5" s="3" t="b">
        <f ca="1">IFERROR(__xludf.DUMMYFUNCTION("sort(filter('Full Perk List'!B3:G1935,'Full Perk List'!F3:F1935=B2),1,1,2,1,3,1)"),FALSE)</f>
        <v>0</v>
      </c>
      <c r="D5" s="3">
        <f ca="1">IFERROR(__xludf.DUMMYFUNCTION("""COMPUTED_VALUE"""),0)</f>
        <v>0</v>
      </c>
      <c r="E5" s="3" t="str">
        <f ca="1">IFERROR(__xludf.DUMMYFUNCTION("""COMPUTED_VALUE"""),"Tasty Sandwich")</f>
        <v>Tasty Sandwich</v>
      </c>
      <c r="F5" s="3" t="str">
        <f ca="1">IFERROR(__xludf.DUMMYFUNCTION("""COMPUTED_VALUE"""),"Feeder Fantasy")</f>
        <v>Feeder Fantasy</v>
      </c>
      <c r="G5" s="3" t="str">
        <f ca="1">IFERROR(__xludf.DUMMYFUNCTION("""COMPUTED_VALUE"""),"Powers")</f>
        <v>Powers</v>
      </c>
      <c r="H5" s="3" t="str">
        <f ca="1">IFERROR(__xludf.DUMMYFUNCTION("""COMPUTED_VALUE"""),"One could get hungry here, you know? Hoagies, subs, grilled cheese if you like. You can pull one out of your pocket every hour with the exact construction and fillings you like so long as the whole thing can comfortably fit your two hands.")</f>
        <v>One could get hungry here, you know? Hoagies, subs, grilled cheese if you like. You can pull one out of your pocket every hour with the exact construction and fillings you like so long as the whole thing can comfortably fit your two hands.</v>
      </c>
      <c r="I5" s="5"/>
    </row>
    <row r="6" spans="1:9 16384:16384" ht="104.4" x14ac:dyDescent="0.25">
      <c r="A6" s="16"/>
      <c r="B6" s="17">
        <v>2</v>
      </c>
      <c r="C6" s="4" t="b">
        <f ca="1">IFERROR(__xludf.DUMMYFUNCTION("""COMPUTED_VALUE"""),FALSE)</f>
        <v>0</v>
      </c>
      <c r="D6" s="4">
        <f ca="1">IFERROR(__xludf.DUMMYFUNCTION("""COMPUTED_VALUE"""),50)</f>
        <v>50</v>
      </c>
      <c r="E6" s="4" t="str">
        <f ca="1">IFERROR(__xludf.DUMMYFUNCTION("""COMPUTED_VALUE"""),"""Quincy Eyesight""")</f>
        <v>"Quincy Eyesight"</v>
      </c>
      <c r="F6" s="4" t="str">
        <f ca="1">IFERROR(__xludf.DUMMYFUNCTION("""COMPUTED_VALUE"""),"Aki-Akane")</f>
        <v>Aki-Akane</v>
      </c>
      <c r="G6" s="4" t="str">
        <f ca="1">IFERROR(__xludf.DUMMYFUNCTION("""COMPUTED_VALUE"""),"Powers")</f>
        <v>Powers</v>
      </c>
      <c r="H6" s="4" t="str">
        <f ca="1">IFERROR(__xludf.DUMMYFUNCTION("""COMPUTED_VALUE"""),"I won't say that Quincy are particularly famous for much of anything given how few of them are still alive, but the vast majority of them can take a bow and arrow and outdo a modern military sniper. One of the many talents that they might brag about is th"&amp;"eir eyesight, able to shoot the fly off a wing blah blah blah blah blah. What actually matters is that you have the amazing ability to always get the best view when something 'unfortunate' happens to a young woman and leaves her in an embarrassing positio"&amp;"n.")</f>
        <v>I won't say that Quincy are particularly famous for much of anything given how few of them are still alive, but the vast majority of them can take a bow and arrow and outdo a modern military sniper. One of the many talents that they might brag about is their eyesight, able to shoot the fly off a wing blah blah blah blah blah. What actually matters is that you have the amazing ability to always get the best view when something 'unfortunate' happens to a young woman and leaves her in an embarrassing position.</v>
      </c>
      <c r="I6" s="5"/>
    </row>
    <row r="7" spans="1:9 16384:16384" ht="121.8" x14ac:dyDescent="0.25">
      <c r="A7" s="16"/>
      <c r="B7" s="17">
        <v>3</v>
      </c>
      <c r="C7" s="2" t="b">
        <f ca="1">IFERROR(__xludf.DUMMYFUNCTION("""COMPUTED_VALUE"""),FALSE)</f>
        <v>0</v>
      </c>
      <c r="D7" s="2">
        <f ca="1">IFERROR(__xludf.DUMMYFUNCTION("""COMPUTED_VALUE"""),50)</f>
        <v>50</v>
      </c>
      <c r="E7" s="2" t="str">
        <f ca="1">IFERROR(__xludf.DUMMYFUNCTION("""COMPUTED_VALUE"""),"Handle with Care")</f>
        <v>Handle with Care</v>
      </c>
      <c r="F7" s="2" t="str">
        <f ca="1">IFERROR(__xludf.DUMMYFUNCTION("""COMPUTED_VALUE"""),"Burakku Gakkou Ni Tsutomete Shimatta Sensei")</f>
        <v>Burakku Gakkou Ni Tsutomete Shimatta Sensei</v>
      </c>
      <c r="G7" s="2" t="str">
        <f ca="1">IFERROR(__xludf.DUMMYFUNCTION("""COMPUTED_VALUE"""),"Powers")</f>
        <v>Powers</v>
      </c>
      <c r="H7" s="2" t="str">
        <f ca="1">IFERROR(__xludf.DUMMYFUNCTION("""COMPUTED_VALUE"""),"Having long nails can be a real hassle, you know? But not for you. No matter how long your nails are, you’ll never have problems typing, handling objects, or otherwise performing fine, delicate activities. Neither will the way you have to hold objects wit"&amp;"h such long nails prevent you from exerting your full force. Furthermore, unless you’re actively choosing to inflict harm, it is impossible for you to accidentally injure yourself or others with your nails. Finally, if you choose to use your nails as weap"&amp;"ons, they will always be hard enough to inflict injury, but will never suffer damage in return, protecting you from the force of your blows ripping off your nails.")</f>
        <v>Having long nails can be a real hassle, you know? But not for you. No matter how long your nails are, you’ll never have problems typing, handling objects, or otherwise performing fine, delicate activities. Neither will the way you have to hold objects with such long nails prevent you from exerting your full force. Furthermore, unless you’re actively choosing to inflict harm, it is impossible for you to accidentally injure yourself or others with your nails. Finally, if you choose to use your nails as weapons, they will always be hard enough to inflict injury, but will never suffer damage in return, protecting you from the force of your blows ripping off your nails.</v>
      </c>
      <c r="I7" s="5"/>
    </row>
    <row r="8" spans="1:9 16384:16384" ht="34.799999999999997" x14ac:dyDescent="0.25">
      <c r="A8" s="16"/>
      <c r="B8" s="17">
        <v>4</v>
      </c>
      <c r="C8" s="2" t="b">
        <f ca="1">IFERROR(__xludf.DUMMYFUNCTION("""COMPUTED_VALUE"""),FALSE)</f>
        <v>0</v>
      </c>
      <c r="D8" s="2">
        <f ca="1">IFERROR(__xludf.DUMMYFUNCTION("""COMPUTED_VALUE"""),50)</f>
        <v>50</v>
      </c>
      <c r="E8" s="2" t="str">
        <f ca="1">IFERROR(__xludf.DUMMYFUNCTION("""COMPUTED_VALUE"""),"Healing Kiss")</f>
        <v>Healing Kiss</v>
      </c>
      <c r="F8" s="2" t="str">
        <f ca="1">IFERROR(__xludf.DUMMYFUNCTION("""COMPUTED_VALUE"""),"Sekirei")</f>
        <v>Sekirei</v>
      </c>
      <c r="G8" s="2" t="str">
        <f ca="1">IFERROR(__xludf.DUMMYFUNCTION("""COMPUTED_VALUE"""),"Powers")</f>
        <v>Powers</v>
      </c>
      <c r="H8" s="2" t="str">
        <f ca="1">IFERROR(__xludf.DUMMYFUNCTION("""COMPUTED_VALUE"""),"Your kiss just brings out the best in those that experience it. They feel rejuvenated and more alive than ever. Your kiss can relieve both mental and physical stress.")</f>
        <v>Your kiss just brings out the best in those that experience it. They feel rejuvenated and more alive than ever. Your kiss can relieve both mental and physical stress.</v>
      </c>
      <c r="I8" s="5"/>
    </row>
    <row r="9" spans="1:9 16384:16384" ht="87" x14ac:dyDescent="0.25">
      <c r="A9" s="16"/>
      <c r="B9" s="17">
        <v>5</v>
      </c>
      <c r="C9" s="2" t="b">
        <f ca="1">IFERROR(__xludf.DUMMYFUNCTION("""COMPUTED_VALUE"""),FALSE)</f>
        <v>0</v>
      </c>
      <c r="D9" s="2">
        <f ca="1">IFERROR(__xludf.DUMMYFUNCTION("""COMPUTED_VALUE"""),50)</f>
        <v>50</v>
      </c>
      <c r="E9" s="2" t="str">
        <f ca="1">IFERROR(__xludf.DUMMYFUNCTION("""COMPUTED_VALUE"""),"Lewd Underwear")</f>
        <v>Lewd Underwear</v>
      </c>
      <c r="F9" s="2" t="str">
        <f ca="1">IFERROR(__xludf.DUMMYFUNCTION("""COMPUTED_VALUE"""),"Archangel of Love, Love Mary ~Malignant Conception~")</f>
        <v>Archangel of Love, Love Mary ~Malignant Conception~</v>
      </c>
      <c r="G9" s="2" t="str">
        <f ca="1">IFERROR(__xludf.DUMMYFUNCTION("""COMPUTED_VALUE"""),"Powers")</f>
        <v>Powers</v>
      </c>
      <c r="H9" s="2" t="str">
        <f ca="1">IFERROR(__xludf.DUMMYFUNCTION("""COMPUTED_VALUE"""),"A set of particularly naughty underwear, the kind that anyone would rather be caught dead than be seen wearing outside the bedroom. And yet, when you wear this clothing, you’ll find lewd occurrences to be more common, both for yourself and for other peopl"&amp;"e ; the wind might blow a girl’s skirt up, you might trip and land face - first on someone’s crotch, or you might accidentally spill your drink on your chest to make your shirt see - through .")</f>
        <v>A set of particularly naughty underwear, the kind that anyone would rather be caught dead than be seen wearing outside the bedroom. And yet, when you wear this clothing, you’ll find lewd occurrences to be more common, both for yourself and for other people ; the wind might blow a girl’s skirt up, you might trip and land face - first on someone’s crotch, or you might accidentally spill your drink on your chest to make your shirt see - through .</v>
      </c>
      <c r="I9" s="5"/>
    </row>
    <row r="10" spans="1:9 16384:16384" ht="409.6" x14ac:dyDescent="0.25">
      <c r="A10" s="16"/>
      <c r="B10" s="17">
        <v>6</v>
      </c>
      <c r="C10" s="2" t="b">
        <f ca="1">IFERROR(__xludf.DUMMYFUNCTION("""COMPUTED_VALUE"""),FALSE)</f>
        <v>0</v>
      </c>
      <c r="D10" s="2">
        <f ca="1">IFERROR(__xludf.DUMMYFUNCTION("""COMPUTED_VALUE"""),50)</f>
        <v>50</v>
      </c>
      <c r="E10" s="2" t="str">
        <f ca="1">IFERROR(__xludf.DUMMYFUNCTION("""COMPUTED_VALUE"""),"Pancakes")</f>
        <v>Pancakes</v>
      </c>
      <c r="F10" s="2" t="str">
        <f ca="1">IFERROR(__xludf.DUMMYFUNCTION("""COMPUTED_VALUE"""),"Bio-Weapon Quest")</f>
        <v>Bio-Weapon Quest</v>
      </c>
      <c r="G10" s="2" t="str">
        <f ca="1">IFERROR(__xludf.DUMMYFUNCTION("""COMPUTED_VALUE"""),"Powers")</f>
        <v>Powers</v>
      </c>
      <c r="H10" s="2" t="str">
        <f ca="1">IFERROR(__xludf.DUMMYFUNCTION("""COMPUTED_VALUE"""),"-In the hidden and dark parts of the world, there are still mysteries and magic forgotten to mankind. Under the mountains there lie minotaurs, amongst the peaks hunt yetis, and far in the forests of Kellerwald is an ancient spirit who hungers for souls. S"&amp;"he commands the forests, causing them to grow unnaturally and overtake most civilization, singing and hypnotizing unwary travelers. With a strange flickering lantern in one hand she steals away their soul and embeds their body in a tree, to slowly devour "&amp;"them over years and decades. As terrifying a spirit this siren may be, in truth it is the lantern that both grants her power and allows her to feed. A lantern that, by theft or by providence, you have come to possess for yourself.
-The Siren’s Lantern is "&amp;"a strange mystical artifact, with no records of how it was made remaining-but its power is quite real. With a simple wave it can snatch the soul of a person right out of their body, carrying said soul inside of it as a flickering flame. With another wave "&amp;"the soul can be deposited in a new host-whether a tree, an object, even a whole different body. It can also be used to devour souls-channeling the power of its stolen souls directly into the user to make them stronger, faster, better in every way. This is"&amp;" a slow process, often requiring decades to “digest” even a single soul, but in time can grant truly incredible mystical might that allows for supernatural command over the likes of an entire forest.
-But the Lantern holds more secrets than this. It is a "&amp;"potent mystical amplifier; through its usage nearly any spell you wish to cast is magnified many times over. A simple fireball could become a scorching conflagration, and a spell of confusion could render an entire island braindead. There is one caveat: t"&amp;"o empower one’s magic like this requires fuel, and the lantern’s fuel is of but a single source: souls. The more souls and the more potent those souls, the more powerful the amplification of the lantern-and with each spell cast, the souls are “burnt” to f"&amp;"uel those spells. Of course, that’s not much of a problem is it?
Humans may like to believe their souls are indescribably precious, but the truth is that souls are incredibly common. Everyone’s got one after all. Take heed-the power of this artifact is im"&amp;"mense, and in the right hands it can decide the fates of entire nations.")</f>
        <v>-In the hidden and dark parts of the world, there are still mysteries and magic forgotten to mankind. Under the mountains there lie minotaurs, amongst the peaks hunt yetis, and far in the forests of Kellerwald is an ancient spirit who hungers for souls. She commands the forests, causing them to grow unnaturally and overtake most civilization, singing and hypnotizing unwary travelers. With a strange flickering lantern in one hand she steals away their soul and embeds their body in a tree, to slowly devour them over years and decades. As terrifying a spirit this siren may be, in truth it is the lantern that both grants her power and allows her to feed. A lantern that, by theft or by providence, you have come to possess for yourself.
-The Siren’s Lantern is a strange mystical artifact, with no records of how it was made remaining-but its power is quite real. With a simple wave it can snatch the soul of a person right out of their body, carrying said soul inside of it as a flickering flame. With another wave the soul can be deposited in a new host-whether a tree, an object, even a whole different body. It can also be used to devour souls-channeling the power of its stolen souls directly into the user to make them stronger, faster, better in every way. This is a slow process, often requiring decades to “digest” even a single soul, but in time can grant truly incredible mystical might that allows for supernatural command over the likes of an entire forest.
-But the Lantern holds more secrets than this. It is a potent mystical amplifier; through its usage nearly any spell you wish to cast is magnified many times over. A simple fireball could become a scorching conflagration, and a spell of confusion could render an entire island braindead. There is one caveat: to empower one’s magic like this requires fuel, and the lantern’s fuel is of but a single source: souls. The more souls and the more potent those souls, the more powerful the amplification of the lantern-and with each spell cast, the souls are “burnt” to fuel those spells. Of course, that’s not much of a problem is it?
Humans may like to believe their souls are indescribably precious, but the truth is that souls are incredibly common. Everyone’s got one after all. Take heed-the power of this artifact is immense, and in the right hands it can decide the fates of entire nations.</v>
      </c>
      <c r="I10" s="5"/>
    </row>
    <row r="11" spans="1:9 16384:16384" ht="69.599999999999994" x14ac:dyDescent="0.25">
      <c r="A11" s="16"/>
      <c r="B11" s="17">
        <v>7</v>
      </c>
      <c r="C11" s="2" t="b">
        <f ca="1">IFERROR(__xludf.DUMMYFUNCTION("""COMPUTED_VALUE"""),FALSE)</f>
        <v>0</v>
      </c>
      <c r="D11" s="2">
        <f ca="1">IFERROR(__xludf.DUMMYFUNCTION("""COMPUTED_VALUE"""),50)</f>
        <v>50</v>
      </c>
      <c r="E11" s="2" t="str">
        <f ca="1">IFERROR(__xludf.DUMMYFUNCTION("""COMPUTED_VALUE"""),"Porn Physics")</f>
        <v>Porn Physics</v>
      </c>
      <c r="F11" s="2" t="str">
        <f ca="1">IFERROR(__xludf.DUMMYFUNCTION("""COMPUTED_VALUE"""),"eratohoK")</f>
        <v>eratohoK</v>
      </c>
      <c r="G11" s="2" t="str">
        <f ca="1">IFERROR(__xludf.DUMMYFUNCTION("""COMPUTED_VALUE"""),"Powers")</f>
        <v>Powers</v>
      </c>
      <c r="H11" s="2" t="str">
        <f ca="1">IFERROR(__xludf.DUMMYFUNCTION("""COMPUTED_VALUE"""),"Sexually improbable actions are perfectly possible here in this land of fantasy! Even stallion-on-inchling action causes no harm beyond pain despite the gross improbability of inserting rod A into slot B. Nor are there any sexually transmitted diseases he"&amp;"re [obligatory pregnancy joke], meaning there are of course no consequences to having wild orgies every night.")</f>
        <v>Sexually improbable actions are perfectly possible here in this land of fantasy! Even stallion-on-inchling action causes no harm beyond pain despite the gross improbability of inserting rod A into slot B. Nor are there any sexually transmitted diseases here [obligatory pregnancy joke], meaning there are of course no consequences to having wild orgies every night.</v>
      </c>
      <c r="I11" s="5"/>
    </row>
    <row r="12" spans="1:9 16384:16384" ht="87" x14ac:dyDescent="0.25">
      <c r="A12" s="16"/>
      <c r="B12" s="17">
        <v>8</v>
      </c>
      <c r="C12" s="2" t="b">
        <f ca="1">IFERROR(__xludf.DUMMYFUNCTION("""COMPUTED_VALUE"""),FALSE)</f>
        <v>0</v>
      </c>
      <c r="D12" s="2">
        <f ca="1">IFERROR(__xludf.DUMMYFUNCTION("""COMPUTED_VALUE"""),50)</f>
        <v>50</v>
      </c>
      <c r="E12" s="2" t="str">
        <f ca="1">IFERROR(__xludf.DUMMYFUNCTION("""COMPUTED_VALUE"""),"Sex Sense")</f>
        <v>Sex Sense</v>
      </c>
      <c r="F12" s="2" t="str">
        <f ca="1">IFERROR(__xludf.DUMMYFUNCTION("""COMPUTED_VALUE"""),"Taimanin")</f>
        <v>Taimanin</v>
      </c>
      <c r="G12" s="2" t="str">
        <f ca="1">IFERROR(__xludf.DUMMYFUNCTION("""COMPUTED_VALUE"""),"Powers")</f>
        <v>Powers</v>
      </c>
      <c r="H12" s="2" t="str">
        <f ca="1">IFERROR(__xludf.DUMMYFUNCTION("""COMPUTED_VALUE"""),"A slightly flushed face, a strange scent in the air, or almost barely audible noises all of these things can point to someone either currently having sex or just had sex. Unlike all the oblivious people around you you can tell when a girl is getting fucke"&amp;"d on the other side of that curtain or that she has vibrator in her panties. Also helps knowing when someone is cheating on you or just really wants to screw your brains out.")</f>
        <v>A slightly flushed face, a strange scent in the air, or almost barely audible noises all of these things can point to someone either currently having sex or just had sex. Unlike all the oblivious people around you you can tell when a girl is getting fucked on the other side of that curtain or that she has vibrator in her panties. Also helps knowing when someone is cheating on you or just really wants to screw your brains out.</v>
      </c>
      <c r="I12" s="5"/>
    </row>
    <row r="13" spans="1:9 16384:16384" ht="104.4" x14ac:dyDescent="0.25">
      <c r="A13" s="16"/>
      <c r="B13" s="17">
        <v>9</v>
      </c>
      <c r="C13" s="2" t="b">
        <f ca="1">IFERROR(__xludf.DUMMYFUNCTION("""COMPUTED_VALUE"""),FALSE)</f>
        <v>0</v>
      </c>
      <c r="D13" s="2">
        <f ca="1">IFERROR(__xludf.DUMMYFUNCTION("""COMPUTED_VALUE"""),100)</f>
        <v>100</v>
      </c>
      <c r="E13" s="2" t="str">
        <f ca="1">IFERROR(__xludf.DUMMYFUNCTION("""COMPUTED_VALUE"""),"""Health"" Bar")</f>
        <v>"Health" Bar</v>
      </c>
      <c r="F13" s="2" t="str">
        <f ca="1">IFERROR(__xludf.DUMMYFUNCTION("""COMPUTED_VALUE"""),"Monster Girl Quest V2")</f>
        <v>Monster Girl Quest V2</v>
      </c>
      <c r="G13" s="2" t="str">
        <f ca="1">IFERROR(__xludf.DUMMYFUNCTION("""COMPUTED_VALUE"""),"Powers")</f>
        <v>Powers</v>
      </c>
      <c r="H13" s="2" t="str">
        <f ca="1">IFERROR(__xludf.DUMMYFUNCTION("""COMPUTED_VALUE"""),"With this you now have the ability to mentally see a bar representing how close you are to orgasm with full being unstimulated and an empty health bar meaning you have cum. Also gives a ‘metaphysical’ and numerical representation of how much pleasure you "&amp;"can take and how much your partner does. If you want you can mentally adjust the health bar to play a damage noise on pleasure attack (Also, can choose to hear when attacked painfully as well), refill after you orgasm thus representing your next orgasm, t"&amp;"o remain empty until sex is over, or just ignore the health bar.")</f>
        <v>With this you now have the ability to mentally see a bar representing how close you are to orgasm with full being unstimulated and an empty health bar meaning you have cum. Also gives a ‘metaphysical’ and numerical representation of how much pleasure you can take and how much your partner does. If you want you can mentally adjust the health bar to play a damage noise on pleasure attack (Also, can choose to hear when attacked painfully as well), refill after you orgasm thus representing your next orgasm, to remain empty until sex is over, or just ignore the health bar.</v>
      </c>
      <c r="I13" s="5"/>
    </row>
    <row r="14" spans="1:9 16384:16384" ht="52.2" x14ac:dyDescent="0.25">
      <c r="A14" s="16"/>
      <c r="B14" s="17">
        <v>10</v>
      </c>
      <c r="C14" s="2" t="b">
        <f ca="1">IFERROR(__xludf.DUMMYFUNCTION("""COMPUTED_VALUE"""),FALSE)</f>
        <v>0</v>
      </c>
      <c r="D14" s="2">
        <f ca="1">IFERROR(__xludf.DUMMYFUNCTION("""COMPUTED_VALUE"""),100)</f>
        <v>100</v>
      </c>
      <c r="E14" s="2" t="str">
        <f ca="1">IFERROR(__xludf.DUMMYFUNCTION("""COMPUTED_VALUE"""),"“Should’ve let the Evil Sex King revive”")</f>
        <v>“Should’ve let the Evil Sex King revive”</v>
      </c>
      <c r="F14" s="2" t="str">
        <f ca="1">IFERROR(__xludf.DUMMYFUNCTION("""COMPUTED_VALUE"""),"Power Play")</f>
        <v>Power Play</v>
      </c>
      <c r="G14" s="2" t="str">
        <f ca="1">IFERROR(__xludf.DUMMYFUNCTION("""COMPUTED_VALUE"""),"Powers")</f>
        <v>Powers</v>
      </c>
      <c r="H14" s="2" t="str">
        <f ca="1">IFERROR(__xludf.DUMMYFUNCTION("""COMPUTED_VALUE"""),"When you are presented with the opportunity to make any type of choice, you are always aware of which option is most likely to end with fucking.")</f>
        <v>When you are presented with the opportunity to make any type of choice, you are always aware of which option is most likely to end with fucking.</v>
      </c>
      <c r="I14" s="5"/>
    </row>
    <row r="15" spans="1:9 16384:16384" ht="52.2" x14ac:dyDescent="0.25">
      <c r="A15" s="16"/>
      <c r="B15" s="17">
        <v>11</v>
      </c>
      <c r="C15" s="2" t="b">
        <f ca="1">IFERROR(__xludf.DUMMYFUNCTION("""COMPUTED_VALUE"""),FALSE)</f>
        <v>0</v>
      </c>
      <c r="D15" s="2">
        <f ca="1">IFERROR(__xludf.DUMMYFUNCTION("""COMPUTED_VALUE"""),100)</f>
        <v>100</v>
      </c>
      <c r="E15" s="2" t="str">
        <f ca="1">IFERROR(__xludf.DUMMYFUNCTION("""COMPUTED_VALUE"""),"Ara~ Ara~")</f>
        <v>Ara~ Ara~</v>
      </c>
      <c r="F15" s="2" t="str">
        <f ca="1">IFERROR(__xludf.DUMMYFUNCTION("""COMPUTED_VALUE"""),"Generic: Shotacon")</f>
        <v>Generic: Shotacon</v>
      </c>
      <c r="G15" s="2" t="str">
        <f ca="1">IFERROR(__xludf.DUMMYFUNCTION("""COMPUTED_VALUE"""),"Powers")</f>
        <v>Powers</v>
      </c>
      <c r="H15" s="2" t="str">
        <f ca="1">IFERROR(__xludf.DUMMYFUNCTION("""COMPUTED_VALUE"""),"When you are in a position of seniority, it is a LOT more likely that you'll end up ""randomly"" and ""accidentally"" stumbling across your charges masturbating or experimenting sexually. Your also very good at convincing them to let you ""lend a hand"" o"&amp;"r maybe more~.")</f>
        <v>When you are in a position of seniority, it is a LOT more likely that you'll end up "randomly" and "accidentally" stumbling across your charges masturbating or experimenting sexually. Your also very good at convincing them to let you "lend a hand" or maybe more~.</v>
      </c>
      <c r="I15" s="5"/>
    </row>
    <row r="16" spans="1:9 16384:16384" ht="121.8" x14ac:dyDescent="0.25">
      <c r="A16" s="16"/>
      <c r="B16" s="17">
        <v>12</v>
      </c>
      <c r="C16" s="2" t="b">
        <f ca="1">IFERROR(__xludf.DUMMYFUNCTION("""COMPUTED_VALUE"""),FALSE)</f>
        <v>0</v>
      </c>
      <c r="D16" s="2">
        <f ca="1">IFERROR(__xludf.DUMMYFUNCTION("""COMPUTED_VALUE"""),100)</f>
        <v>100</v>
      </c>
      <c r="E16" s="2" t="str">
        <f ca="1">IFERROR(__xludf.DUMMYFUNCTION("""COMPUTED_VALUE"""),"Bodice Ripper")</f>
        <v>Bodice Ripper</v>
      </c>
      <c r="F16" s="2" t="str">
        <f ca="1">IFERROR(__xludf.DUMMYFUNCTION("""COMPUTED_VALUE"""),"Generic: Hentai World")</f>
        <v>Generic: Hentai World</v>
      </c>
      <c r="G16" s="2" t="str">
        <f ca="1">IFERROR(__xludf.DUMMYFUNCTION("""COMPUTED_VALUE"""),"Powers")</f>
        <v>Powers</v>
      </c>
      <c r="H16" s="2" t="str">
        <f ca="1">IFERROR(__xludf.DUMMYFUNCTION("""COMPUTED_VALUE"""),"People lie to themselves about what they really want. They’ll insist that something is “wrong” or “deviant” or “improper” even as the idea sends a thrill down their spine that they’re too proud or embarrassed to admit to. But Scoundrels can easily see thr"&amp;"ough such facades whenever they encounter them. You have an accurate sense for the subtle tells a person gives when “no” actually means “yes” as well as vice versa. As long as you heed this unspoken consent your partners will never treat sex with you as r"&amp;"ape after the fact, regardless of whatever half-hearted protests they make as you ravish them.")</f>
        <v>People lie to themselves about what they really want. They’ll insist that something is “wrong” or “deviant” or “improper” even as the idea sends a thrill down their spine that they’re too proud or embarrassed to admit to. But Scoundrels can easily see through such facades whenever they encounter them. You have an accurate sense for the subtle tells a person gives when “no” actually means “yes” as well as vice versa. As long as you heed this unspoken consent your partners will never treat sex with you as rape after the fact, regardless of whatever half-hearted protests they make as you ravish them.</v>
      </c>
      <c r="I16" s="5"/>
    </row>
    <row r="17" spans="1:9" ht="69.599999999999994" x14ac:dyDescent="0.25">
      <c r="A17" s="16"/>
      <c r="B17" s="17">
        <v>13</v>
      </c>
      <c r="C17" s="2" t="b">
        <f ca="1">IFERROR(__xludf.DUMMYFUNCTION("""COMPUTED_VALUE"""),FALSE)</f>
        <v>0</v>
      </c>
      <c r="D17" s="2">
        <f ca="1">IFERROR(__xludf.DUMMYFUNCTION("""COMPUTED_VALUE"""),100)</f>
        <v>100</v>
      </c>
      <c r="E17" s="2" t="str">
        <f ca="1">IFERROR(__xludf.DUMMYFUNCTION("""COMPUTED_VALUE"""),"Cleaning up the Fun")</f>
        <v>Cleaning up the Fun</v>
      </c>
      <c r="F17" s="2" t="str">
        <f ca="1">IFERROR(__xludf.DUMMYFUNCTION("""COMPUTED_VALUE"""),"Pokemon Ecchi Version")</f>
        <v>Pokemon Ecchi Version</v>
      </c>
      <c r="G17" s="2" t="str">
        <f ca="1">IFERROR(__xludf.DUMMYFUNCTION("""COMPUTED_VALUE"""),"Powers")</f>
        <v>Powers</v>
      </c>
      <c r="H17" s="2" t="str">
        <f ca="1">IFERROR(__xludf.DUMMYFUNCTION("""COMPUTED_VALUE"""),"It can be fun to be dirty whether that’s playing in the mud, or being covered (or filled) with bodily fluids. But inevitably, you might want to get clean, which can be tough depending on where you are. Once you are no longer actively engaged in being “dir"&amp;"ty”, euphemism or not, you will gradually become cleaner over time. And yes, this does mean stains disappear from clothes.")</f>
        <v>It can be fun to be dirty whether that’s playing in the mud, or being covered (or filled) with bodily fluids. But inevitably, you might want to get clean, which can be tough depending on where you are. Once you are no longer actively engaged in being “dirty”, euphemism or not, you will gradually become cleaner over time. And yes, this does mean stains disappear from clothes.</v>
      </c>
      <c r="I17" s="5"/>
    </row>
    <row r="18" spans="1:9" ht="104.4" x14ac:dyDescent="0.25">
      <c r="A18" s="16"/>
      <c r="B18" s="17">
        <v>14</v>
      </c>
      <c r="C18" s="2" t="b">
        <f ca="1">IFERROR(__xludf.DUMMYFUNCTION("""COMPUTED_VALUE"""),FALSE)</f>
        <v>0</v>
      </c>
      <c r="D18" s="2">
        <f ca="1">IFERROR(__xludf.DUMMYFUNCTION("""COMPUTED_VALUE"""),100)</f>
        <v>100</v>
      </c>
      <c r="E18" s="2" t="str">
        <f ca="1">IFERROR(__xludf.DUMMYFUNCTION("""COMPUTED_VALUE"""),"Concealing Rags")</f>
        <v>Concealing Rags</v>
      </c>
      <c r="F18" s="2" t="str">
        <f ca="1">IFERROR(__xludf.DUMMYFUNCTION("""COMPUTED_VALUE"""),"Elrk")</f>
        <v>Elrk</v>
      </c>
      <c r="G18" s="2" t="str">
        <f ca="1">IFERROR(__xludf.DUMMYFUNCTION("""COMPUTED_VALUE"""),"Powers")</f>
        <v>Powers</v>
      </c>
      <c r="H18" s="2" t="str">
        <f ca="1">IFERROR(__xludf.DUMMYFUNCTION("""COMPUTED_VALUE"""),"Perhaps this is a hidden skill of the Elrk, or maybe it’s just that Dr. Bug didn’t want to draw dicks on every page of his journal. Either way, the known artwork of Elrk seems to display them as pure female when not actively engaging in sex. As a result o"&amp;"f this, you can now completely hide your breasts and/or cock regardless of size with a token effort towards decency. You could wrap a piece of string around your chest and those double D’s would turn into A cup angst until you took it off. The only requir"&amp;"ement is that it actually attempts to hide your privates.")</f>
        <v>Perhaps this is a hidden skill of the Elrk, or maybe it’s just that Dr. Bug didn’t want to draw dicks on every page of his journal. Either way, the known artwork of Elrk seems to display them as pure female when not actively engaging in sex. As a result of this, you can now completely hide your breasts and/or cock regardless of size with a token effort towards decency. You could wrap a piece of string around your chest and those double D’s would turn into A cup angst until you took it off. The only requirement is that it actually attempts to hide your privates.</v>
      </c>
      <c r="I18" s="5"/>
    </row>
    <row r="19" spans="1:9" ht="87" x14ac:dyDescent="0.25">
      <c r="A19" s="16"/>
      <c r="B19" s="17">
        <v>15</v>
      </c>
      <c r="C19" s="2" t="b">
        <f ca="1">IFERROR(__xludf.DUMMYFUNCTION("""COMPUTED_VALUE"""),FALSE)</f>
        <v>0</v>
      </c>
      <c r="D19" s="2">
        <f ca="1">IFERROR(__xludf.DUMMYFUNCTION("""COMPUTED_VALUE"""),100)</f>
        <v>100</v>
      </c>
      <c r="E19" s="2" t="str">
        <f ca="1">IFERROR(__xludf.DUMMYFUNCTION("""COMPUTED_VALUE"""),"Condensed Form")</f>
        <v>Condensed Form</v>
      </c>
      <c r="F19" s="2" t="str">
        <f ca="1">IFERROR(__xludf.DUMMYFUNCTION("""COMPUTED_VALUE"""),"Ane Naru Mono")</f>
        <v>Ane Naru Mono</v>
      </c>
      <c r="G19" s="2" t="str">
        <f ca="1">IFERROR(__xludf.DUMMYFUNCTION("""COMPUTED_VALUE"""),"Powers")</f>
        <v>Powers</v>
      </c>
      <c r="H19" s="2" t="str">
        <f ca="1">IFERROR(__xludf.DUMMYFUNCTION("""COMPUTED_VALUE"""),"Being a demon or whatever is all well and good, but sometimes you might find yourself needing to hide in plain sight or pass unnoticed. That’s why you’ve learned how to condense yourself into human form. Your more monstrous traits will simply decrease unt"&amp;"il they are a little odd, but not particularly strange. Canines are a bit sharper than the norm, maybe some ‘fake’ nails instead of claws, that sort of thing.")</f>
        <v>Being a demon or whatever is all well and good, but sometimes you might find yourself needing to hide in plain sight or pass unnoticed. That’s why you’ve learned how to condense yourself into human form. Your more monstrous traits will simply decrease until they are a little odd, but not particularly strange. Canines are a bit sharper than the norm, maybe some ‘fake’ nails instead of claws, that sort of thing.</v>
      </c>
      <c r="I19" s="5"/>
    </row>
    <row r="20" spans="1:9" ht="174" x14ac:dyDescent="0.25">
      <c r="A20" s="16"/>
      <c r="B20" s="17">
        <v>16</v>
      </c>
      <c r="C20" s="2" t="b">
        <f ca="1">IFERROR(__xludf.DUMMYFUNCTION("""COMPUTED_VALUE"""),FALSE)</f>
        <v>0</v>
      </c>
      <c r="D20" s="2">
        <f ca="1">IFERROR(__xludf.DUMMYFUNCTION("""COMPUTED_VALUE"""),100)</f>
        <v>100</v>
      </c>
      <c r="E20" s="2" t="str">
        <f ca="1">IFERROR(__xludf.DUMMYFUNCTION("""COMPUTED_VALUE"""),"Define 'Girl'")</f>
        <v>Define 'Girl'</v>
      </c>
      <c r="F20" s="2" t="str">
        <f ca="1">IFERROR(__xludf.DUMMYFUNCTION("""COMPUTED_VALUE"""),"Generic: Hentai Magical Girl")</f>
        <v>Generic: Hentai Magical Girl</v>
      </c>
      <c r="G20" s="2" t="str">
        <f ca="1">IFERROR(__xludf.DUMMYFUNCTION("""COMPUTED_VALUE"""),"Powers")</f>
        <v>Powers</v>
      </c>
      <c r="H20" s="2" t="str">
        <f ca="1">IFERROR(__xludf.DUMMYFUNCTION("""COMPUTED_VALUE"""),"What is a girl, anyways? Well, generally it’s female, and below the age of 18. But, you're a bit of a free thinker. You'd think that there would be a problem with adulthood and whatnot, but nope. A MILF is as good as a teenager, and a trap is fine too. If"&amp;" you tilt your head and squint, and it looks female, you're good.
Why does this matter? Well, it lets you apply all those perks and spells and powers with pesky female-only gender requirements to any 'girl' you come across, of course!
What? The male-onl"&amp;"y perks? Well, if you insist, then the inverse applies too. Anything sufficently 'boy' works for those.")</f>
        <v>What is a girl, anyways? Well, generally it’s female, and below the age of 18. But, you're a bit of a free thinker. You'd think that there would be a problem with adulthood and whatnot, but nope. A MILF is as good as a teenager, and a trap is fine too. If you tilt your head and squint, and it looks female, you're good.
Why does this matter? Well, it lets you apply all those perks and spells and powers with pesky female-only gender requirements to any 'girl' you come across, of course!
What? The male-only perks? Well, if you insist, then the inverse applies too. Anything sufficently 'boy' works for those.</v>
      </c>
      <c r="I20" s="5"/>
    </row>
    <row r="21" spans="1:9" ht="87" x14ac:dyDescent="0.25">
      <c r="A21" s="16"/>
      <c r="B21" s="17">
        <v>17</v>
      </c>
      <c r="C21" s="2" t="b">
        <f ca="1">IFERROR(__xludf.DUMMYFUNCTION("""COMPUTED_VALUE"""),FALSE)</f>
        <v>0</v>
      </c>
      <c r="D21" s="2">
        <f ca="1">IFERROR(__xludf.DUMMYFUNCTION("""COMPUTED_VALUE"""),100)</f>
        <v>100</v>
      </c>
      <c r="E21" s="2" t="str">
        <f ca="1">IFERROR(__xludf.DUMMYFUNCTION("""COMPUTED_VALUE"""),"Domineering")</f>
        <v>Domineering</v>
      </c>
      <c r="F21" s="2" t="str">
        <f ca="1">IFERROR(__xludf.DUMMYFUNCTION("""COMPUTED_VALUE"""),"Monster Girl Dreams 1.3 - The Pre-Capitol Update")</f>
        <v>Monster Girl Dreams 1.3 - The Pre-Capitol Update</v>
      </c>
      <c r="G21" s="2" t="str">
        <f ca="1">IFERROR(__xludf.DUMMYFUNCTION("""COMPUTED_VALUE"""),"Powers")</f>
        <v>Powers</v>
      </c>
      <c r="H21" s="2" t="str">
        <f ca="1">IFERROR(__xludf.DUMMYFUNCTION("""COMPUTED_VALUE"""),"There’s something in you that yearns to dominate, enhancing your efforts to restrain others and increasing the amount of pleasure you inflict on your opponent when you treat them roughly. Try not to get carried away.")</f>
        <v>There’s something in you that yearns to dominate, enhancing your efforts to restrain others and increasing the amount of pleasure you inflict on your opponent when you treat them roughly. Try not to get carried away.</v>
      </c>
      <c r="I21" s="5"/>
    </row>
    <row r="22" spans="1:9" ht="208.8" x14ac:dyDescent="0.25">
      <c r="A22" s="16"/>
      <c r="B22" s="17">
        <v>18</v>
      </c>
      <c r="C22" s="2" t="b">
        <f ca="1">IFERROR(__xludf.DUMMYFUNCTION("""COMPUTED_VALUE"""),FALSE)</f>
        <v>0</v>
      </c>
      <c r="D22" s="2">
        <f ca="1">IFERROR(__xludf.DUMMYFUNCTION("""COMPUTED_VALUE"""),100)</f>
        <v>100</v>
      </c>
      <c r="E22" s="2" t="str">
        <f ca="1">IFERROR(__xludf.DUMMYFUNCTION("""COMPUTED_VALUE"""),"Don't Try This At Home")</f>
        <v>Don't Try This At Home</v>
      </c>
      <c r="F22" s="2" t="str">
        <f ca="1">IFERROR(__xludf.DUMMYFUNCTION("""COMPUTED_VALUE"""),"Rope Master")</f>
        <v>Rope Master</v>
      </c>
      <c r="G22" s="2" t="str">
        <f ca="1">IFERROR(__xludf.DUMMYFUNCTION("""COMPUTED_VALUE"""),"Powers")</f>
        <v>Powers</v>
      </c>
      <c r="H22" s="2" t="str">
        <f ca="1">IFERROR(__xludf.DUMMYFUNCTION("""COMPUTED_VALUE"""),"BDSM can be a dangerous pastime. Ropes placed carelessly can cut off circulation, a whip wielded with too much force can leave bloody gashes, and much worse can happen the more extreme things become, and that’s without magic and superpowers getting involv"&amp;"ed. But such accidents never happen to you and your lovers because you’ve acquired the protection of porn logic, that magical force that helps everything run smoothly whenever the clothes come off. Once the fun begins only a truly exceptional occasion can"&amp;" make it go awry: accidents never happen with your gear, like ropes snapping mid-scene because the sub was way stronger than expected, and the only way you can seriously injure one of your lovers is if you do so very deliberately for some reason. This per"&amp;"k’s effects work just as well for your partners as they do for you if you’re not the one on top, and they can be made to work just as well on unwilling captives provided that they’ve been thoroughly subdued, so a damsel who’s been bested in battle then bo"&amp;"und and gagged will be completely helpless against whatever nefarious ends you have in mind for her.")</f>
        <v>BDSM can be a dangerous pastime. Ropes placed carelessly can cut off circulation, a whip wielded with too much force can leave bloody gashes, and much worse can happen the more extreme things become, and that’s without magic and superpowers getting involved. But such accidents never happen to you and your lovers because you’ve acquired the protection of porn logic, that magical force that helps everything run smoothly whenever the clothes come off. Once the fun begins only a truly exceptional occasion can make it go awry: accidents never happen with your gear, like ropes snapping mid-scene because the sub was way stronger than expected, and the only way you can seriously injure one of your lovers is if you do so very deliberately for some reason. This perk’s effects work just as well for your partners as they do for you if you’re not the one on top, and they can be made to work just as well on unwilling captives provided that they’ve been thoroughly subdued, so a damsel who’s been bested in battle then bound and gagged will be completely helpless against whatever nefarious ends you have in mind for her.</v>
      </c>
      <c r="I22" s="5"/>
    </row>
    <row r="23" spans="1:9" ht="69.599999999999994" x14ac:dyDescent="0.25">
      <c r="A23" s="16"/>
      <c r="B23" s="17">
        <v>19</v>
      </c>
      <c r="C23" s="2" t="b">
        <f ca="1">IFERROR(__xludf.DUMMYFUNCTION("""COMPUTED_VALUE"""),FALSE)</f>
        <v>0</v>
      </c>
      <c r="D23" s="2">
        <f ca="1">IFERROR(__xludf.DUMMYFUNCTION("""COMPUTED_VALUE"""),100)</f>
        <v>100</v>
      </c>
      <c r="E23" s="2" t="str">
        <f ca="1">IFERROR(__xludf.DUMMYFUNCTION("""COMPUTED_VALUE"""),"Dramatic Timing")</f>
        <v>Dramatic Timing</v>
      </c>
      <c r="F23" s="2" t="str">
        <f ca="1">IFERROR(__xludf.DUMMYFUNCTION("""COMPUTED_VALUE"""),"Lexx")</f>
        <v>Lexx</v>
      </c>
      <c r="G23" s="2" t="str">
        <f ca="1">IFERROR(__xludf.DUMMYFUNCTION("""COMPUTED_VALUE"""),"Powers")</f>
        <v>Powers</v>
      </c>
      <c r="H23" s="2" t="str">
        <f ca="1">IFERROR(__xludf.DUMMYFUNCTION("""COMPUTED_VALUE"""),"Your actions now follow a sense of dramatic timing. When defusing a bomb, it will be defused right at the last second. Or it will explode. You see, this doesn’t change whether you’ll be able to accomplish something in time or not. All it does is narrow th"&amp;"e margins you succeed by to make the timing more dramatic. Whether you succeed or fail at what you set out to accomplish is up to you.")</f>
        <v>Your actions now follow a sense of dramatic timing. When defusing a bomb, it will be defused right at the last second. Or it will explode. You see, this doesn’t change whether you’ll be able to accomplish something in time or not. All it does is narrow the margins you succeed by to make the timing more dramatic. Whether you succeed or fail at what you set out to accomplish is up to you.</v>
      </c>
      <c r="I23" s="5"/>
    </row>
    <row r="24" spans="1:9" ht="69.599999999999994" x14ac:dyDescent="0.25">
      <c r="A24" s="16"/>
      <c r="B24" s="17">
        <v>20</v>
      </c>
      <c r="C24" s="2" t="b">
        <f ca="1">IFERROR(__xludf.DUMMYFUNCTION("""COMPUTED_VALUE"""),FALSE)</f>
        <v>0</v>
      </c>
      <c r="D24" s="2">
        <f ca="1">IFERROR(__xludf.DUMMYFUNCTION("""COMPUTED_VALUE"""),100)</f>
        <v>100</v>
      </c>
      <c r="E24" s="2" t="str">
        <f ca="1">IFERROR(__xludf.DUMMYFUNCTION("""COMPUTED_VALUE"""),"Drinks on Me!")</f>
        <v>Drinks on Me!</v>
      </c>
      <c r="F24" s="2" t="str">
        <f ca="1">IFERROR(__xludf.DUMMYFUNCTION("""COMPUTED_VALUE"""),"High Tail Hall")</f>
        <v>High Tail Hall</v>
      </c>
      <c r="G24" s="2" t="str">
        <f ca="1">IFERROR(__xludf.DUMMYFUNCTION("""COMPUTED_VALUE"""),"Powers")</f>
        <v>Powers</v>
      </c>
      <c r="H24" s="2" t="str">
        <f ca="1">IFERROR(__xludf.DUMMYFUNCTION("""COMPUTED_VALUE"""),"What’s a paradise worth if you can’t get a good drink? Well, lucky for you with this you’ll always get free drinks! And don’t worry about whether or not the people you’re getting the drinks from are getting paid, they get the money that they would have be"&amp;"en paid. Oh, also free food, because what’s a party without something to munch on, right?")</f>
        <v>What’s a paradise worth if you can’t get a good drink? Well, lucky for you with this you’ll always get free drinks! And don’t worry about whether or not the people you’re getting the drinks from are getting paid, they get the money that they would have been paid. Oh, also free food, because what’s a party without something to munch on, right?</v>
      </c>
      <c r="I24" s="5"/>
    </row>
    <row r="25" spans="1:9" ht="156.6" x14ac:dyDescent="0.25">
      <c r="A25" s="16"/>
      <c r="B25" s="17">
        <v>21</v>
      </c>
      <c r="C25" s="2" t="b">
        <f ca="1">IFERROR(__xludf.DUMMYFUNCTION("""COMPUTED_VALUE"""),FALSE)</f>
        <v>0</v>
      </c>
      <c r="D25" s="2">
        <f ca="1">IFERROR(__xludf.DUMMYFUNCTION("""COMPUTED_VALUE"""),100)</f>
        <v>100</v>
      </c>
      <c r="E25" s="2" t="str">
        <f ca="1">IFERROR(__xludf.DUMMYFUNCTION("""COMPUTED_VALUE"""),"Edging")</f>
        <v>Edging</v>
      </c>
      <c r="F25" s="2" t="str">
        <f ca="1">IFERROR(__xludf.DUMMYFUNCTION("""COMPUTED_VALUE"""),"Monster Girl Quest V2")</f>
        <v>Monster Girl Quest V2</v>
      </c>
      <c r="G25" s="2" t="str">
        <f ca="1">IFERROR(__xludf.DUMMYFUNCTION("""COMPUTED_VALUE"""),"Powers")</f>
        <v>Powers</v>
      </c>
      <c r="H25" s="2" t="str">
        <f ca="1">IFERROR(__xludf.DUMMYFUNCTION("""COMPUTED_VALUE"""),"You possess the incredibly difficult to perform and arguably detrimental skill of edging. You can somehow whip out your dick (or equivalent) and stroke it until you are right on the edge of orgasm so that the tiniest sexual pleasure will set you off and n"&amp;"ot have air or natural occurrence make you cum. Furthermore while you are doing this the world seems to freeze around you while you perform this action, as the act accelerates your speed to incredibly high levels after you finish, but only for a brief spa"&amp;"n of time lasting but one second. Your enemy is aware that you have done this after you have finished and will likely think you are a pervert and either call the cops, try to kill your for the disrespect and indignity, or, more likely in this world, take "&amp;"advantage of your weakness and make you cum.")</f>
        <v>You possess the incredibly difficult to perform and arguably detrimental skill of edging. You can somehow whip out your dick (or equivalent) and stroke it until you are right on the edge of orgasm so that the tiniest sexual pleasure will set you off and not have air or natural occurrence make you cum. Furthermore while you are doing this the world seems to freeze around you while you perform this action, as the act accelerates your speed to incredibly high levels after you finish, but only for a brief span of time lasting but one second. Your enemy is aware that you have done this after you have finished and will likely think you are a pervert and either call the cops, try to kill your for the disrespect and indignity, or, more likely in this world, take advantage of your weakness and make you cum.</v>
      </c>
      <c r="I25" s="5"/>
    </row>
    <row r="26" spans="1:9" ht="139.19999999999999" x14ac:dyDescent="0.25">
      <c r="A26" s="16"/>
      <c r="B26" s="17">
        <v>22</v>
      </c>
      <c r="C26" s="2" t="b">
        <f ca="1">IFERROR(__xludf.DUMMYFUNCTION("""COMPUTED_VALUE"""),FALSE)</f>
        <v>0</v>
      </c>
      <c r="D26" s="2">
        <f ca="1">IFERROR(__xludf.DUMMYFUNCTION("""COMPUTED_VALUE"""),100)</f>
        <v>100</v>
      </c>
      <c r="E26" s="2" t="str">
        <f ca="1">IFERROR(__xludf.DUMMYFUNCTION("""COMPUTED_VALUE"""),"Finding your Mark")</f>
        <v>Finding your Mark</v>
      </c>
      <c r="F26" s="2" t="str">
        <f ca="1">IFERROR(__xludf.DUMMYFUNCTION("""COMPUTED_VALUE"""),"Dragon Ball: Troop of Beasts")</f>
        <v>Dragon Ball: Troop of Beasts</v>
      </c>
      <c r="G26" s="2" t="str">
        <f ca="1">IFERROR(__xludf.DUMMYFUNCTION("""COMPUTED_VALUE"""),"Powers")</f>
        <v>Powers</v>
      </c>
      <c r="H26" s="2" t="str">
        <f ca="1">IFERROR(__xludf.DUMMYFUNCTION("""COMPUTED_VALUE"""),"Sometimes the objects of our desire are just out of reach and we don’t know where to start looking for them, but fate and fortune are on your side and will help you find the people and objects that you most desire. If you want to gather a harem then you’l"&amp;"l have many chance encounters with beautiful women, but if you want to gather the Dragon Balls or find one particular woman then you might stumble across the dragon radar or find clues which will help you track them down. Treasures which are exceptionally"&amp;" well-hidden or very distant from you will require far more time and effort to locate, but the trail of clues leading to your objective will never go cold as long as you keep following it.")</f>
        <v>Sometimes the objects of our desire are just out of reach and we don’t know where to start looking for them, but fate and fortune are on your side and will help you find the people and objects that you most desire. If you want to gather a harem then you’ll have many chance encounters with beautiful women, but if you want to gather the Dragon Balls or find one particular woman then you might stumble across the dragon radar or find clues which will help you track them down. Treasures which are exceptionally well-hidden or very distant from you will require far more time and effort to locate, but the trail of clues leading to your objective will never go cold as long as you keep following it.</v>
      </c>
      <c r="I26" s="5"/>
    </row>
    <row r="27" spans="1:9" ht="52.2" x14ac:dyDescent="0.25">
      <c r="A27" s="16"/>
      <c r="B27" s="17">
        <v>23</v>
      </c>
      <c r="C27" s="2" t="b">
        <f ca="1">IFERROR(__xludf.DUMMYFUNCTION("""COMPUTED_VALUE"""),FALSE)</f>
        <v>0</v>
      </c>
      <c r="D27" s="2">
        <f ca="1">IFERROR(__xludf.DUMMYFUNCTION("""COMPUTED_VALUE"""),100)</f>
        <v>100</v>
      </c>
      <c r="E27" s="2" t="str">
        <f ca="1">IFERROR(__xludf.DUMMYFUNCTION("""COMPUTED_VALUE"""),"Floating Bell")</f>
        <v>Floating Bell</v>
      </c>
      <c r="F27" s="2" t="str">
        <f ca="1">IFERROR(__xludf.DUMMYFUNCTION("""COMPUTED_VALUE"""),"Miyuki-chan in Wonderland")</f>
        <v>Miyuki-chan in Wonderland</v>
      </c>
      <c r="G27" s="2" t="str">
        <f ca="1">IFERROR(__xludf.DUMMYFUNCTION("""COMPUTED_VALUE"""),"Powers")</f>
        <v>Powers</v>
      </c>
      <c r="H27" s="2" t="str">
        <f ca="1">IFERROR(__xludf.DUMMYFUNCTION("""COMPUTED_VALUE"""),"As long as you are wearing a dress or something else that can lift up to show your underside, you clothing will expand like a parasol to catch you when you are falling. Just try not to think of the view people will get looking up at you.")</f>
        <v>As long as you are wearing a dress or something else that can lift up to show your underside, you clothing will expand like a parasol to catch you when you are falling. Just try not to think of the view people will get looking up at you.</v>
      </c>
      <c r="I27" s="5"/>
    </row>
    <row r="28" spans="1:9" ht="87" x14ac:dyDescent="0.25">
      <c r="A28" s="16"/>
      <c r="B28" s="17">
        <v>24</v>
      </c>
      <c r="C28" s="2" t="b">
        <f ca="1">IFERROR(__xludf.DUMMYFUNCTION("""COMPUTED_VALUE"""),FALSE)</f>
        <v>0</v>
      </c>
      <c r="D28" s="2">
        <f ca="1">IFERROR(__xludf.DUMMYFUNCTION("""COMPUTED_VALUE"""),100)</f>
        <v>100</v>
      </c>
      <c r="E28" s="2" t="str">
        <f ca="1">IFERROR(__xludf.DUMMYFUNCTION("""COMPUTED_VALUE"""),"Heat of the Moment")</f>
        <v>Heat of the Moment</v>
      </c>
      <c r="F28" s="2" t="str">
        <f ca="1">IFERROR(__xludf.DUMMYFUNCTION("""COMPUTED_VALUE"""),"Monster Girl Quest V2")</f>
        <v>Monster Girl Quest V2</v>
      </c>
      <c r="G28" s="2" t="str">
        <f ca="1">IFERROR(__xludf.DUMMYFUNCTION("""COMPUTED_VALUE"""),"Powers")</f>
        <v>Powers</v>
      </c>
      <c r="H28" s="2" t="str">
        <f ca="1">IFERROR(__xludf.DUMMYFUNCTION("""COMPUTED_VALUE"""),"Clothes and armor are such a bother, getting between you and your opponent's weakest point. With this perk you can easily sexually attack someone by worming your way through their clothing... somehow. This only works for foreplay however, and the victim c"&amp;"an still dodge your sexual assault. To actually fuck them, genital to genital or genital to ass, you will need to hold them down and strip them manually.")</f>
        <v>Clothes and armor are such a bother, getting between you and your opponent's weakest point. With this perk you can easily sexually attack someone by worming your way through their clothing... somehow. This only works for foreplay however, and the victim can still dodge your sexual assault. To actually fuck them, genital to genital or genital to ass, you will need to hold them down and strip them manually.</v>
      </c>
      <c r="I28" s="5"/>
    </row>
    <row r="29" spans="1:9" ht="121.8" x14ac:dyDescent="0.25">
      <c r="A29" s="16"/>
      <c r="B29" s="17">
        <v>25</v>
      </c>
      <c r="C29" s="2" t="b">
        <f ca="1">IFERROR(__xludf.DUMMYFUNCTION("""COMPUTED_VALUE"""),FALSE)</f>
        <v>0</v>
      </c>
      <c r="D29" s="2">
        <f ca="1">IFERROR(__xludf.DUMMYFUNCTION("""COMPUTED_VALUE"""),100)</f>
        <v>100</v>
      </c>
      <c r="E29" s="2" t="str">
        <f ca="1">IFERROR(__xludf.DUMMYFUNCTION("""COMPUTED_VALUE"""),"Heavenly Hobbies")</f>
        <v>Heavenly Hobbies</v>
      </c>
      <c r="F29" s="2" t="str">
        <f ca="1">IFERROR(__xludf.DUMMYFUNCTION("""COMPUTED_VALUE"""),"Angel Academy ~ Hardcore Dorm Sex Life")</f>
        <v>Angel Academy ~ Hardcore Dorm Sex Life</v>
      </c>
      <c r="G29" s="2" t="str">
        <f ca="1">IFERROR(__xludf.DUMMYFUNCTION("""COMPUTED_VALUE"""),"Powers")</f>
        <v>Powers</v>
      </c>
      <c r="H29" s="2" t="str">
        <f ca="1">IFERROR(__xludf.DUMMYFUNCTION("""COMPUTED_VALUE"""),"Whether you’re a student, teacher, or a dorm manager, life at any school involves a lot of tedious work that will keep you away from things (or people) you’d rather be doing, and you’d better stay on top of it all if you don’t want to risk getting kicked "&amp;"out of paradise for not doing your job. Thankfully you’ve got some insurance to help with that: any menial tasks that you might have, such as homework, housekeeping, or grading papers, effectively do themselves for you with the same level of care that you"&amp;" would have given them had you done them properly yourself, leaving you with much more time to spend on your hobbies .")</f>
        <v>Whether you’re a student, teacher, or a dorm manager, life at any school involves a lot of tedious work that will keep you away from things (or people) you’d rather be doing, and you’d better stay on top of it all if you don’t want to risk getting kicked out of paradise for not doing your job. Thankfully you’ve got some insurance to help with that: any menial tasks that you might have, such as homework, housekeeping, or grading papers, effectively do themselves for you with the same level of care that you would have given them had you done them properly yourself, leaving you with much more time to spend on your hobbies .</v>
      </c>
      <c r="I29" s="5"/>
    </row>
    <row r="30" spans="1:9" ht="139.19999999999999" x14ac:dyDescent="0.25">
      <c r="A30" s="16"/>
      <c r="B30" s="17">
        <v>26</v>
      </c>
      <c r="C30" s="2" t="b">
        <f ca="1">IFERROR(__xludf.DUMMYFUNCTION("""COMPUTED_VALUE"""),FALSE)</f>
        <v>0</v>
      </c>
      <c r="D30" s="2">
        <f ca="1">IFERROR(__xludf.DUMMYFUNCTION("""COMPUTED_VALUE"""),100)</f>
        <v>100</v>
      </c>
      <c r="E30" s="2" t="str">
        <f ca="1">IFERROR(__xludf.DUMMYFUNCTION("""COMPUTED_VALUE"""),"Hyper Weapon")</f>
        <v>Hyper Weapon</v>
      </c>
      <c r="F30" s="2" t="str">
        <f ca="1">IFERROR(__xludf.DUMMYFUNCTION("""COMPUTED_VALUE"""),"Generic: Hentai World")</f>
        <v>Generic: Hentai World</v>
      </c>
      <c r="G30" s="2" t="str">
        <f ca="1">IFERROR(__xludf.DUMMYFUNCTION("""COMPUTED_VALUE"""),"Powers")</f>
        <v>Powers</v>
      </c>
      <c r="H30" s="2" t="str">
        <f ca="1">IFERROR(__xludf.DUMMYFUNCTION("""COMPUTED_VALUE"""),"What’s this? The little bitch is getting turned on? She must want your cock after all! Well not really, not unless you’ve got a lot of Scoundrel perks under your belt, but she doesn’t need to know that. This perk helps you wield sex as a weapon against yo"&amp;"ur enemies: unless they’ve been trained specifically to resist pleasure as well as pain, getting a person turned on significantly impedes their ability to fight back and bringing them to orgasm is almost as effective as knocking them unconscious. This wor"&amp;"ks best against enemies who are weaker than you and becomes much more difficult if they’re your equal or superior, requiring much more effort and multiple orgasms to completely subdue.")</f>
        <v>What’s this? The little bitch is getting turned on? She must want your cock after all! Well not really, not unless you’ve got a lot of Scoundrel perks under your belt, but she doesn’t need to know that. This perk helps you wield sex as a weapon against your enemies: unless they’ve been trained specifically to resist pleasure as well as pain, getting a person turned on significantly impedes their ability to fight back and bringing them to orgasm is almost as effective as knocking them unconscious. This works best against enemies who are weaker than you and becomes much more difficult if they’re your equal or superior, requiring much more effort and multiple orgasms to completely subdue.</v>
      </c>
      <c r="I30" s="5"/>
    </row>
    <row r="31" spans="1:9" ht="69.599999999999994" x14ac:dyDescent="0.25">
      <c r="A31" s="16"/>
      <c r="B31" s="17">
        <v>27</v>
      </c>
      <c r="C31" s="2" t="b">
        <f ca="1">IFERROR(__xludf.DUMMYFUNCTION("""COMPUTED_VALUE"""),FALSE)</f>
        <v>0</v>
      </c>
      <c r="D31" s="2">
        <f ca="1">IFERROR(__xludf.DUMMYFUNCTION("""COMPUTED_VALUE"""),100)</f>
        <v>100</v>
      </c>
      <c r="E31" s="2" t="str">
        <f ca="1">IFERROR(__xludf.DUMMYFUNCTION("""COMPUTED_VALUE"""),"Instant Recharge")</f>
        <v>Instant Recharge</v>
      </c>
      <c r="F31" s="2" t="str">
        <f ca="1">IFERROR(__xludf.DUMMYFUNCTION("""COMPUTED_VALUE"""),"World of Moral Reversal")</f>
        <v>World of Moral Reversal</v>
      </c>
      <c r="G31" s="2" t="str">
        <f ca="1">IFERROR(__xludf.DUMMYFUNCTION("""COMPUTED_VALUE"""),"Powers")</f>
        <v>Powers</v>
      </c>
      <c r="H31" s="2" t="str">
        <f ca="1">IFERROR(__xludf.DUMMYFUNCTION("""COMPUTED_VALUE"""),"Who would have thought that sex could be so exhausting. For times when your body just can’t keep up, just fix a bowl of this ramen. Despite being instant, it tastes just as good as the restaurant stuff. What makes this valuable is its ability to instantly"&amp;" refill your semen and stamina upon ingestion. As long as you take enough ramen breaks in between, you could probably keep going for a whole night.")</f>
        <v>Who would have thought that sex could be so exhausting. For times when your body just can’t keep up, just fix a bowl of this ramen. Despite being instant, it tastes just as good as the restaurant stuff. What makes this valuable is its ability to instantly refill your semen and stamina upon ingestion. As long as you take enough ramen breaks in between, you could probably keep going for a whole night.</v>
      </c>
      <c r="I31" s="5"/>
    </row>
    <row r="32" spans="1:9" ht="191.4" x14ac:dyDescent="0.25">
      <c r="A32" s="16"/>
      <c r="B32" s="17">
        <v>28</v>
      </c>
      <c r="C32" s="2" t="b">
        <f ca="1">IFERROR(__xludf.DUMMYFUNCTION("""COMPUTED_VALUE"""),FALSE)</f>
        <v>0</v>
      </c>
      <c r="D32" s="2">
        <f ca="1">IFERROR(__xludf.DUMMYFUNCTION("""COMPUTED_VALUE"""),100)</f>
        <v>100</v>
      </c>
      <c r="E32" s="2" t="str">
        <f ca="1">IFERROR(__xludf.DUMMYFUNCTION("""COMPUTED_VALUE"""),"Invincible Clothing")</f>
        <v>Invincible Clothing</v>
      </c>
      <c r="F32" s="2" t="str">
        <f ca="1">IFERROR(__xludf.DUMMYFUNCTION("""COMPUTED_VALUE"""),"Burakku Gakkou Ni Tsutomete Shimatta Sensei")</f>
        <v>Burakku Gakkou Ni Tsutomete Shimatta Sensei</v>
      </c>
      <c r="G32" s="2" t="str">
        <f ca="1">IFERROR(__xludf.DUMMYFUNCTION("""COMPUTED_VALUE"""),"Powers")</f>
        <v>Powers</v>
      </c>
      <c r="H32" s="2" t="str">
        <f ca="1">IFERROR(__xludf.DUMMYFUNCTION("""COMPUTED_VALUE"""),"Imada’s—or rather, Imacchi’s—erections have such incredible power that they can knock people into the air, but somehow his clothing never fails to keep it covered. It’s impossible for your clothing to be damaged by anything short of a deliberate attempt t"&amp;"o harm you (or your clothing). What’s more, your clothing will always stretch painlessly around any protrusions you may have—such allowing your erection to effortlessly rise to full mast despite being constrained by your pants and regardless of size. If y"&amp;"ou’d rather not proudly present yourself, however, you will be able to toggle this effect off.
This invincibility of your clothing grants them a feature that Imacchi would no doubt appreciate; your clothing cannot be stained or soiled. Any substances or"&amp;" fluids that touch them will harmlessly drip off, leaving you untouched.")</f>
        <v>Imada’s—or rather, Imacchi’s—erections have such incredible power that they can knock people into the air, but somehow his clothing never fails to keep it covered. It’s impossible for your clothing to be damaged by anything short of a deliberate attempt to harm you (or your clothing). What’s more, your clothing will always stretch painlessly around any protrusions you may have—such allowing your erection to effortlessly rise to full mast despite being constrained by your pants and regardless of size. If you’d rather not proudly present yourself, however, you will be able to toggle this effect off.
This invincibility of your clothing grants them a feature that Imacchi would no doubt appreciate; your clothing cannot be stained or soiled. Any substances or fluids that touch them will harmlessly drip off, leaving you untouched.</v>
      </c>
      <c r="I32" s="5"/>
    </row>
    <row r="33" spans="1:9" ht="139.19999999999999" x14ac:dyDescent="0.25">
      <c r="A33" s="16"/>
      <c r="B33" s="17">
        <v>29</v>
      </c>
      <c r="C33" s="2" t="b">
        <f ca="1">IFERROR(__xludf.DUMMYFUNCTION("""COMPUTED_VALUE"""),FALSE)</f>
        <v>0</v>
      </c>
      <c r="D33" s="2">
        <f ca="1">IFERROR(__xludf.DUMMYFUNCTION("""COMPUTED_VALUE"""),100)</f>
        <v>100</v>
      </c>
      <c r="E33" s="2" t="str">
        <f ca="1">IFERROR(__xludf.DUMMYFUNCTION("""COMPUTED_VALUE"""),"Mad Pipe")</f>
        <v>Mad Pipe</v>
      </c>
      <c r="F33" s="2" t="str">
        <f ca="1">IFERROR(__xludf.DUMMYFUNCTION("""COMPUTED_VALUE"""),"Miyuki-chan in Wonderland")</f>
        <v>Miyuki-chan in Wonderland</v>
      </c>
      <c r="G33" s="2" t="str">
        <f ca="1">IFERROR(__xludf.DUMMYFUNCTION("""COMPUTED_VALUE"""),"Powers")</f>
        <v>Powers</v>
      </c>
      <c r="H33" s="2" t="str">
        <f ca="1">IFERROR(__xludf.DUMMYFUNCTION("""COMPUTED_VALUE"""),"An elegant cigar pipe. By simply waving the pipe, you create a weave of smoke that wraps around your target and carries her right to you. Only works on human size (or smaller) targets. Extremely strong characters or those who can dispel the smoke may be a"&amp;"ble to break free. Like normal cigarettes, the pipe is dangerous and affects your body, but this Wonderland variant’s effects are more...sensual. The more you smoke the pipe or breathe in the smoke, the more you will be addicted to sexy thoughts, and the "&amp;"smoke also gradually “infects” your lungs such that it becomes highly difficult to say anything that isn’t sexual. Could feasibly be used in conjunction with the Mathmos Hookah.")</f>
        <v>An elegant cigar pipe. By simply waving the pipe, you create a weave of smoke that wraps around your target and carries her right to you. Only works on human size (or smaller) targets. Extremely strong characters or those who can dispel the smoke may be able to break free. Like normal cigarettes, the pipe is dangerous and affects your body, but this Wonderland variant’s effects are more...sensual. The more you smoke the pipe or breathe in the smoke, the more you will be addicted to sexy thoughts, and the smoke also gradually “infects” your lungs such that it becomes highly difficult to say anything that isn’t sexual. Could feasibly be used in conjunction with the Mathmos Hookah.</v>
      </c>
      <c r="I33" s="5"/>
    </row>
    <row r="34" spans="1:9" ht="87" x14ac:dyDescent="0.25">
      <c r="A34" s="16"/>
      <c r="B34" s="17">
        <v>30</v>
      </c>
      <c r="C34" s="2" t="b">
        <f ca="1">IFERROR(__xludf.DUMMYFUNCTION("""COMPUTED_VALUE"""),FALSE)</f>
        <v>0</v>
      </c>
      <c r="D34" s="2">
        <f ca="1">IFERROR(__xludf.DUMMYFUNCTION("""COMPUTED_VALUE"""),100)</f>
        <v>100</v>
      </c>
      <c r="E34" s="2" t="str">
        <f ca="1">IFERROR(__xludf.DUMMYFUNCTION("""COMPUTED_VALUE"""),"Microgate")</f>
        <v>Microgate</v>
      </c>
      <c r="F34" s="2" t="str">
        <f ca="1">IFERROR(__xludf.DUMMYFUNCTION("""COMPUTED_VALUE"""),"Generic: Virgin")</f>
        <v>Generic: Virgin</v>
      </c>
      <c r="G34" s="2" t="str">
        <f ca="1">IFERROR(__xludf.DUMMYFUNCTION("""COMPUTED_VALUE"""),"Powers")</f>
        <v>Powers</v>
      </c>
      <c r="H34" s="2" t="str">
        <f ca="1">IFERROR(__xludf.DUMMYFUNCTION("""COMPUTED_VALUE"""),"This device allows you to pass anything up to the size of a human arm through it. It will pass through to the other side, which can be anywhere within a thousand meters. Limbs (or other body parts) passed through the gate can easily be aimed and oriented,"&amp;" with the holder of the device being able to sense everything physically present within one meter of the targeted area as if seeing, hearing, smelling, or tasting it if they concentrate on doing so.")</f>
        <v>This device allows you to pass anything up to the size of a human arm through it. It will pass through to the other side, which can be anywhere within a thousand meters. Limbs (or other body parts) passed through the gate can easily be aimed and oriented, with the holder of the device being able to sense everything physically present within one meter of the targeted area as if seeing, hearing, smelling, or tasting it if they concentrate on doing so.</v>
      </c>
      <c r="I34" s="5"/>
    </row>
    <row r="35" spans="1:9" ht="69.599999999999994" x14ac:dyDescent="0.25">
      <c r="A35" s="16"/>
      <c r="B35" s="17">
        <v>31</v>
      </c>
      <c r="C35" s="2" t="b">
        <f ca="1">IFERROR(__xludf.DUMMYFUNCTION("""COMPUTED_VALUE"""),FALSE)</f>
        <v>0</v>
      </c>
      <c r="D35" s="2">
        <f ca="1">IFERROR(__xludf.DUMMYFUNCTION("""COMPUTED_VALUE"""),100)</f>
        <v>100</v>
      </c>
      <c r="E35" s="2" t="str">
        <f ca="1">IFERROR(__xludf.DUMMYFUNCTION("""COMPUTED_VALUE"""),"No Fainting")</f>
        <v>No Fainting</v>
      </c>
      <c r="F35" s="2" t="str">
        <f ca="1">IFERROR(__xludf.DUMMYFUNCTION("""COMPUTED_VALUE"""),"Generic: Hentai Fantasy")</f>
        <v>Generic: Hentai Fantasy</v>
      </c>
      <c r="G35" s="2" t="str">
        <f ca="1">IFERROR(__xludf.DUMMYFUNCTION("""COMPUTED_VALUE"""),"Powers")</f>
        <v>Powers</v>
      </c>
      <c r="H35" s="2" t="str">
        <f ca="1">IFERROR(__xludf.DUMMYFUNCTION("""COMPUTED_VALUE"""),"Now, I know what you’re thinking. Whenever the monster catches the pretty lady, it rapes her into unconsciousness via sheer sexual overload. However, when this happens to you, you can store this pleasure for enjoyment at a later date. It’s a tiny bit prec"&amp;"ognitive, as it will activate on its own right before something that actually would knock you out.")</f>
        <v>Now, I know what you’re thinking. Whenever the monster catches the pretty lady, it rapes her into unconsciousness via sheer sexual overload. However, when this happens to you, you can store this pleasure for enjoyment at a later date. It’s a tiny bit precognitive, as it will activate on its own right before something that actually would knock you out.</v>
      </c>
      <c r="I35" s="5"/>
    </row>
    <row r="36" spans="1:9" ht="156.6" x14ac:dyDescent="0.25">
      <c r="A36" s="16"/>
      <c r="B36" s="17">
        <v>32</v>
      </c>
      <c r="C36" s="2" t="b">
        <f ca="1">IFERROR(__xludf.DUMMYFUNCTION("""COMPUTED_VALUE"""),FALSE)</f>
        <v>0</v>
      </c>
      <c r="D36" s="2">
        <f ca="1">IFERROR(__xludf.DUMMYFUNCTION("""COMPUTED_VALUE"""),100)</f>
        <v>100</v>
      </c>
      <c r="E36" s="2" t="str">
        <f ca="1">IFERROR(__xludf.DUMMYFUNCTION("""COMPUTED_VALUE"""),"Not So Beloved Senpai")</f>
        <v>Not So Beloved Senpai</v>
      </c>
      <c r="F36" s="2" t="str">
        <f ca="1">IFERROR(__xludf.DUMMYFUNCTION("""COMPUTED_VALUE"""),"Fate / Blacked")</f>
        <v>Fate / Blacked</v>
      </c>
      <c r="G36" s="2" t="str">
        <f ca="1">IFERROR(__xludf.DUMMYFUNCTION("""COMPUTED_VALUE"""),"Powers")</f>
        <v>Powers</v>
      </c>
      <c r="H36" s="2" t="str">
        <f ca="1">IFERROR(__xludf.DUMMYFUNCTION("""COMPUTED_VALUE"""),"Women like to make claims. Things like true love existing, that they have a perfectly decent lover, and that they would never cheat. Most of these claims are false, and the rest are at bare minimum, inaccurate. True love might exist, but it would involve "&amp;"lots of fat dicks and not any weak men like they claim it would. Regardless, your bolder proclamations, egregious breaches of decorum, and claims of your own about how wrong they are have a tendency to stun the women who you focus them on. During this mom"&amp;"ent where their thoughts are overwhelmed by the sneaking suspicion that you might be right, if you were to whip out your dick then they wouldn’t be able to help themselves but to think about how much larger and clearly better you are. In other words, smac"&amp;"king a woman in the face with your dick makes them horny, if only a little bit and only the first few times.")</f>
        <v>Women like to make claims. Things like true love existing, that they have a perfectly decent lover, and that they would never cheat. Most of these claims are false, and the rest are at bare minimum, inaccurate. True love might exist, but it would involve lots of fat dicks and not any weak men like they claim it would. Regardless, your bolder proclamations, egregious breaches of decorum, and claims of your own about how wrong they are have a tendency to stun the women who you focus them on. During this moment where their thoughts are overwhelmed by the sneaking suspicion that you might be right, if you were to whip out your dick then they wouldn’t be able to help themselves but to think about how much larger and clearly better you are. In other words, smacking a woman in the face with your dick makes them horny, if only a little bit and only the first few times.</v>
      </c>
      <c r="I36" s="5"/>
    </row>
    <row r="37" spans="1:9" ht="69.599999999999994" x14ac:dyDescent="0.25">
      <c r="A37" s="16"/>
      <c r="B37" s="17">
        <v>33</v>
      </c>
      <c r="C37" s="2" t="b">
        <f ca="1">IFERROR(__xludf.DUMMYFUNCTION("""COMPUTED_VALUE"""),FALSE)</f>
        <v>0</v>
      </c>
      <c r="D37" s="2">
        <f ca="1">IFERROR(__xludf.DUMMYFUNCTION("""COMPUTED_VALUE"""),100)</f>
        <v>100</v>
      </c>
      <c r="E37" s="2" t="str">
        <f ca="1">IFERROR(__xludf.DUMMYFUNCTION("""COMPUTED_VALUE"""),"Perfect Rest")</f>
        <v>Perfect Rest</v>
      </c>
      <c r="F37" s="2" t="str">
        <f ca="1">IFERROR(__xludf.DUMMYFUNCTION("""COMPUTED_VALUE"""),"Rance 3 - The Fall of Leazas")</f>
        <v>Rance 3 - The Fall of Leazas</v>
      </c>
      <c r="G37" s="2" t="str">
        <f ca="1">IFERROR(__xludf.DUMMYFUNCTION("""COMPUTED_VALUE"""),"Powers")</f>
        <v>Powers</v>
      </c>
      <c r="H37" s="2" t="str">
        <f ca="1">IFERROR(__xludf.DUMMYFUNCTION("""COMPUTED_VALUE"""),"Well, is an issue when you are trying to rest in your camp and then some monsters decide to attack. Not a problem for you though, when you want to rest or ‘have some fun’ with your ‘friends’, you will find that there won’t be any kind of surprise attack o"&amp;"r dangerous interruptions to your time. No bad nights of rest anymore. Just don’t forget about your work.")</f>
        <v>Well, is an issue when you are trying to rest in your camp and then some monsters decide to attack. Not a problem for you though, when you want to rest or ‘have some fun’ with your ‘friends’, you will find that there won’t be any kind of surprise attack or dangerous interruptions to your time. No bad nights of rest anymore. Just don’t forget about your work.</v>
      </c>
      <c r="I37" s="5"/>
    </row>
    <row r="38" spans="1:9" ht="313.2" x14ac:dyDescent="0.25">
      <c r="A38" s="16"/>
      <c r="B38" s="17">
        <v>34</v>
      </c>
      <c r="C38" s="2" t="b">
        <f ca="1">IFERROR(__xludf.DUMMYFUNCTION("""COMPUTED_VALUE"""),FALSE)</f>
        <v>0</v>
      </c>
      <c r="D38" s="2">
        <f ca="1">IFERROR(__xludf.DUMMYFUNCTION("""COMPUTED_VALUE"""),100)</f>
        <v>100</v>
      </c>
      <c r="E38" s="2" t="str">
        <f ca="1">IFERROR(__xludf.DUMMYFUNCTION("""COMPUTED_VALUE"""),"Pink Lewd Hearts")</f>
        <v>Pink Lewd Hearts</v>
      </c>
      <c r="F38" s="2" t="str">
        <f ca="1">IFERROR(__xludf.DUMMYFUNCTION("""COMPUTED_VALUE"""),"Paccsu")</f>
        <v>Paccsu</v>
      </c>
      <c r="G38" s="2" t="str">
        <f ca="1">IFERROR(__xludf.DUMMYFUNCTION("""COMPUTED_VALUE"""),"Powers")</f>
        <v>Powers</v>
      </c>
      <c r="H38" s="2" t="str">
        <f ca="1">IFERROR(__xludf.DUMMYFUNCTION("""COMPUTED_VALUE"""),"While the world of Paccsu is very sexually charged in comparison to most “normal” places, the amount of lewd shenanigans that happen to Namu and her friends is excessive. Even out of combat they aren’t safe, with things like giving people unintended peep "&amp;"shows, being tricked into sucking on someone’s “cream filled éclair”, or getting knocked out by a puff of pink gas in an alleyway being common for them. While the submissive nature of these may not be for you, the sheer volume of them could be up your all"&amp;"ey, which is where this perk comes in.
It serves as a luck modifier, which increases the chances of you coming across situations that can lead to lewd shenanigans. For example, coming across an incredibly gullible idiot who you can trick into sucking you"&amp;" off, a house with its front door left ajar and someone in a cartoonish level of deep sleep on the living room couch, a hole full of tentacles you could “accidentally” trip and fall into, or just someone whose clothes are about to malfunction. The average"&amp;" amount of these situations, all of which will have their triggers be marked by floating pink hearts that only you can see, that you would run into as you go about your day can be modified along with broad elements of them. For example, choosing who speci"&amp;"fically they do or don’t pull in, what fetishes they include, and the “story” of the event such as whether the person who somehow falls ass first on your face is extremely apologetic and tries, but fails, to get up or is a cheeky brat who tries to push yo"&amp;"u deeper by grinding on your face.")</f>
        <v>While the world of Paccsu is very sexually charged in comparison to most “normal” places, the amount of lewd shenanigans that happen to Namu and her friends is excessive. Even out of combat they aren’t safe, with things like giving people unintended peep shows, being tricked into sucking on someone’s “cream filled éclair”, or getting knocked out by a puff of pink gas in an alleyway being common for them. While the submissive nature of these may not be for you, the sheer volume of them could be up your alley, which is where this perk comes in.
It serves as a luck modifier, which increases the chances of you coming across situations that can lead to lewd shenanigans. For example, coming across an incredibly gullible idiot who you can trick into sucking you off, a house with its front door left ajar and someone in a cartoonish level of deep sleep on the living room couch, a hole full of tentacles you could “accidentally” trip and fall into, or just someone whose clothes are about to malfunction. The average amount of these situations, all of which will have their triggers be marked by floating pink hearts that only you can see, that you would run into as you go about your day can be modified along with broad elements of them. For example, choosing who specifically they do or don’t pull in, what fetishes they include, and the “story” of the event such as whether the person who somehow falls ass first on your face is extremely apologetic and tries, but fails, to get up or is a cheeky brat who tries to push you deeper by grinding on your face.</v>
      </c>
      <c r="I38" s="5"/>
    </row>
    <row r="39" spans="1:9" ht="69.599999999999994" x14ac:dyDescent="0.25">
      <c r="A39" s="16"/>
      <c r="B39" s="17">
        <v>35</v>
      </c>
      <c r="C39" s="2" t="b">
        <f ca="1">IFERROR(__xludf.DUMMYFUNCTION("""COMPUTED_VALUE"""),FALSE)</f>
        <v>0</v>
      </c>
      <c r="D39" s="2">
        <f ca="1">IFERROR(__xludf.DUMMYFUNCTION("""COMPUTED_VALUE"""),100)</f>
        <v>100</v>
      </c>
      <c r="E39" s="2" t="str">
        <f ca="1">IFERROR(__xludf.DUMMYFUNCTION("""COMPUTED_VALUE"""),"Pleasure Before Penetration")</f>
        <v>Pleasure Before Penetration</v>
      </c>
      <c r="F39" s="2" t="str">
        <f ca="1">IFERROR(__xludf.DUMMYFUNCTION("""COMPUTED_VALUE"""),"Bokunchi No Mikage-san")</f>
        <v>Bokunchi No Mikage-san</v>
      </c>
      <c r="G39" s="2" t="str">
        <f ca="1">IFERROR(__xludf.DUMMYFUNCTION("""COMPUTED_VALUE"""),"Powers")</f>
        <v>Powers</v>
      </c>
      <c r="H39" s="2" t="str">
        <f ca="1">IFERROR(__xludf.DUMMYFUNCTION("""COMPUTED_VALUE"""),"People focus too much on entering holes. The time that builds up to that is just as important. This is especially true for you and those you couple with; when engaged in non-penetrative sexual acts, the pleasure experienced by both parties is heightened. "&amp;"Perks for increasing the pleasure of sex now also apply to actions like intercrural and mutual masturbation.")</f>
        <v>People focus too much on entering holes. The time that builds up to that is just as important. This is especially true for you and those you couple with; when engaged in non-penetrative sexual acts, the pleasure experienced by both parties is heightened. Perks for increasing the pleasure of sex now also apply to actions like intercrural and mutual masturbation.</v>
      </c>
      <c r="I39" s="5"/>
    </row>
    <row r="40" spans="1:9" ht="34.799999999999997" x14ac:dyDescent="0.25">
      <c r="A40" s="16"/>
      <c r="B40" s="17">
        <v>36</v>
      </c>
      <c r="C40" s="2" t="b">
        <f ca="1">IFERROR(__xludf.DUMMYFUNCTION("""COMPUTED_VALUE"""),FALSE)</f>
        <v>0</v>
      </c>
      <c r="D40" s="2">
        <f ca="1">IFERROR(__xludf.DUMMYFUNCTION("""COMPUTED_VALUE"""),100)</f>
        <v>100</v>
      </c>
      <c r="E40" s="2" t="str">
        <f ca="1">IFERROR(__xludf.DUMMYFUNCTION("""COMPUTED_VALUE"""),"Pleasure Meter")</f>
        <v>Pleasure Meter</v>
      </c>
      <c r="F40" s="2" t="str">
        <f ca="1">IFERROR(__xludf.DUMMYFUNCTION("""COMPUTED_VALUE"""),"High Tail Hall")</f>
        <v>High Tail Hall</v>
      </c>
      <c r="G40" s="2" t="str">
        <f ca="1">IFERROR(__xludf.DUMMYFUNCTION("""COMPUTED_VALUE"""),"Powers")</f>
        <v>Powers</v>
      </c>
      <c r="H40" s="2" t="str">
        <f ca="1">IFERROR(__xludf.DUMMYFUNCTION("""COMPUTED_VALUE"""),"Somewhere in the back of your subconscious is a meter, an incredibly accurate meter that tells you just how good you’re making someone feel, and how far away from orgasm they are.")</f>
        <v>Somewhere in the back of your subconscious is a meter, an incredibly accurate meter that tells you just how good you’re making someone feel, and how far away from orgasm they are.</v>
      </c>
      <c r="I40" s="5"/>
    </row>
    <row r="41" spans="1:9" ht="87" x14ac:dyDescent="0.25">
      <c r="A41" s="16"/>
      <c r="B41" s="17">
        <v>37</v>
      </c>
      <c r="C41" s="2" t="b">
        <f ca="1">IFERROR(__xludf.DUMMYFUNCTION("""COMPUTED_VALUE"""),FALSE)</f>
        <v>0</v>
      </c>
      <c r="D41" s="2">
        <f ca="1">IFERROR(__xludf.DUMMYFUNCTION("""COMPUTED_VALUE"""),100)</f>
        <v>100</v>
      </c>
      <c r="E41" s="2" t="str">
        <f ca="1">IFERROR(__xludf.DUMMYFUNCTION("""COMPUTED_VALUE"""),"Repay the Insult")</f>
        <v>Repay the Insult</v>
      </c>
      <c r="F41" s="2" t="str">
        <f ca="1">IFERROR(__xludf.DUMMYFUNCTION("""COMPUTED_VALUE"""),"Fate / Blacked")</f>
        <v>Fate / Blacked</v>
      </c>
      <c r="G41" s="2" t="str">
        <f ca="1">IFERROR(__xludf.DUMMYFUNCTION("""COMPUTED_VALUE"""),"Powers")</f>
        <v>Powers</v>
      </c>
      <c r="H41" s="2" t="str">
        <f ca="1">IFERROR(__xludf.DUMMYFUNCTION("""COMPUTED_VALUE"""),"You have the ability to mix a small amount of spite into your everyday life and actions, and have them turn out slightly better as a result. This applies to simple things, such as performing better on a test when some bitch calls you stupid, or becoming s"&amp;"auve and sophicsticated if a rich but tiny man insults your prospects in life. And of course, this makes you mildly better in bed when you're pounding a woman - or the wife of a man - who has insulted your skills in matters of love.")</f>
        <v>You have the ability to mix a small amount of spite into your everyday life and actions, and have them turn out slightly better as a result. This applies to simple things, such as performing better on a test when some bitch calls you stupid, or becoming sauve and sophicsticated if a rich but tiny man insults your prospects in life. And of course, this makes you mildly better in bed when you're pounding a woman - or the wife of a man - who has insulted your skills in matters of love.</v>
      </c>
      <c r="I41" s="5"/>
    </row>
    <row r="42" spans="1:9" ht="139.19999999999999" x14ac:dyDescent="0.25">
      <c r="A42" s="16"/>
      <c r="B42" s="17">
        <v>38</v>
      </c>
      <c r="C42" s="2" t="b">
        <f ca="1">IFERROR(__xludf.DUMMYFUNCTION("""COMPUTED_VALUE"""),FALSE)</f>
        <v>0</v>
      </c>
      <c r="D42" s="2">
        <f ca="1">IFERROR(__xludf.DUMMYFUNCTION("""COMPUTED_VALUE"""),100)</f>
        <v>100</v>
      </c>
      <c r="E42" s="2" t="str">
        <f ca="1">IFERROR(__xludf.DUMMYFUNCTION("""COMPUTED_VALUE"""),"Safeword")</f>
        <v>Safeword</v>
      </c>
      <c r="F42" s="2" t="str">
        <f ca="1">IFERROR(__xludf.DUMMYFUNCTION("""COMPUTED_VALUE"""),"Collar 6")</f>
        <v>Collar 6</v>
      </c>
      <c r="G42" s="2" t="str">
        <f ca="1">IFERROR(__xludf.DUMMYFUNCTION("""COMPUTED_VALUE"""),"Powers")</f>
        <v>Powers</v>
      </c>
      <c r="H42" s="2" t="str">
        <f ca="1">IFERROR(__xludf.DUMMYFUNCTION("""COMPUTED_VALUE"""),"One of the most important practices in kink related activities is the use of safewords that allow the submissive to call off things. Thanks to this perk, your safeword is a tiny bit special and not strictly limited to bedroom activities. It will be ineffe"&amp;"ctive against those with zero inclination to respect such things, but if you ever need to make an ally, friend or companion stop doing something for a second you can do this by invoking your safeword. There is a sort of cooldown to this perk, so you canno"&amp;"t use it to freeze someone in place by saying it a lot and nothing stops your companion from resuming their actions if they want to, but if you only need a second... this perk might be of some use.")</f>
        <v>One of the most important practices in kink related activities is the use of safewords that allow the submissive to call off things. Thanks to this perk, your safeword is a tiny bit special and not strictly limited to bedroom activities. It will be ineffective against those with zero inclination to respect such things, but if you ever need to make an ally, friend or companion stop doing something for a second you can do this by invoking your safeword. There is a sort of cooldown to this perk, so you cannot use it to freeze someone in place by saying it a lot and nothing stops your companion from resuming their actions if they want to, but if you only need a second... this perk might be of some use.</v>
      </c>
      <c r="I42" s="5"/>
    </row>
    <row r="43" spans="1:9" ht="52.2" x14ac:dyDescent="0.25">
      <c r="A43" s="16"/>
      <c r="B43" s="17">
        <v>39</v>
      </c>
      <c r="C43" s="2" t="b">
        <f ca="1">IFERROR(__xludf.DUMMYFUNCTION("""COMPUTED_VALUE"""),FALSE)</f>
        <v>0</v>
      </c>
      <c r="D43" s="2">
        <f ca="1">IFERROR(__xludf.DUMMYFUNCTION("""COMPUTED_VALUE"""),100)</f>
        <v>100</v>
      </c>
      <c r="E43" s="2" t="str">
        <f ca="1">IFERROR(__xludf.DUMMYFUNCTION("""COMPUTED_VALUE"""),"Self-Lubricating")</f>
        <v>Self-Lubricating</v>
      </c>
      <c r="F43" s="2" t="str">
        <f ca="1">IFERROR(__xludf.DUMMYFUNCTION("""COMPUTED_VALUE"""),"Generic: Lewd")</f>
        <v>Generic: Lewd</v>
      </c>
      <c r="G43" s="2" t="str">
        <f ca="1">IFERROR(__xludf.DUMMYFUNCTION("""COMPUTED_VALUE"""),"Powers")</f>
        <v>Powers</v>
      </c>
      <c r="H43" s="2" t="str">
        <f ca="1">IFERROR(__xludf.DUMMYFUNCTION("""COMPUTED_VALUE"""),"You can generate at will an odorless, tasteless coating that makes you incredibly slippery, allowing you to easily escape grapples and get into tight spaces. It evaporates quickly unless maintained, but reproducing this efficient lubricant artificially mi"&amp;"ght be possible.")</f>
        <v>You can generate at will an odorless, tasteless coating that makes you incredibly slippery, allowing you to easily escape grapples and get into tight spaces. It evaporates quickly unless maintained, but reproducing this efficient lubricant artificially might be possible.</v>
      </c>
      <c r="I43" s="5"/>
    </row>
    <row r="44" spans="1:9" ht="208.8" x14ac:dyDescent="0.25">
      <c r="A44" s="16"/>
      <c r="B44" s="17">
        <v>40</v>
      </c>
      <c r="C44" s="2" t="b">
        <f ca="1">IFERROR(__xludf.DUMMYFUNCTION("""COMPUTED_VALUE"""),FALSE)</f>
        <v>0</v>
      </c>
      <c r="D44" s="2">
        <f ca="1">IFERROR(__xludf.DUMMYFUNCTION("""COMPUTED_VALUE"""),100)</f>
        <v>100</v>
      </c>
      <c r="E44" s="2" t="str">
        <f ca="1">IFERROR(__xludf.DUMMYFUNCTION("""COMPUTED_VALUE"""),"SENS")</f>
        <v>SENS</v>
      </c>
      <c r="F44" s="2" t="str">
        <f ca="1">IFERROR(__xludf.DUMMYFUNCTION("""COMPUTED_VALUE"""),"eratohoK")</f>
        <v>eratohoK</v>
      </c>
      <c r="G44" s="2" t="str">
        <f ca="1">IFERROR(__xludf.DUMMYFUNCTION("""COMPUTED_VALUE"""),"Powers")</f>
        <v>Powers</v>
      </c>
      <c r="H44" s="2" t="str">
        <f ca="1">IFERROR(__xludf.DUMMYFUNCTION("""COMPUTED_VALUE"""),"Everyone here has four or five sensitive locations, the mouth, breasts/nipples, the clitoris/penis, the vagina (men generally lack this one), and the anus. There is no such thing as burnout or desensitisation here. In fact, the opposite is true, the more "&amp;"one of the erogenous zones are stimulated, the more sensitive they become. Indeed, you could “train” someone through habitual use to be so sensitive a slight caress, a quick kiss is enough to bring them to an intense climax. You do not need to be actively"&amp;" trying to raise their sensitivity, although this makes it faster. Finally, the better you are at sex, the faster their sensitivities are raised; should you have godlike sexual skills you could even turn someone’s body from relatively normal to reaching o"&amp;"rgasm at the slightest touch in a single night. Alternatively, with effort you could instead train down someone’s sensitivity until their erogenous zone(s) is near-completely insensitive. This can be toggled on and off for whatever reason such as not wish"&amp;"ing to train someone’s sensitivity further, or exempt specific people.")</f>
        <v>Everyone here has four or five sensitive locations, the mouth, breasts/nipples, the clitoris/penis, the vagina (men generally lack this one), and the anus. There is no such thing as burnout or desensitisation here. In fact, the opposite is true, the more one of the erogenous zones are stimulated, the more sensitive they become. Indeed, you could “train” someone through habitual use to be so sensitive a slight caress, a quick kiss is enough to bring them to an intense climax. You do not need to be actively trying to raise their sensitivity, although this makes it faster. Finally, the better you are at sex, the faster their sensitivities are raised; should you have godlike sexual skills you could even turn someone’s body from relatively normal to reaching orgasm at the slightest touch in a single night. Alternatively, with effort you could instead train down someone’s sensitivity until their erogenous zone(s) is near-completely insensitive. This can be toggled on and off for whatever reason such as not wishing to train someone’s sensitivity further, or exempt specific people.</v>
      </c>
      <c r="I44" s="5"/>
    </row>
    <row r="45" spans="1:9" ht="121.8" x14ac:dyDescent="0.25">
      <c r="A45" s="16"/>
      <c r="B45" s="17">
        <v>41</v>
      </c>
      <c r="C45" s="2" t="b">
        <f ca="1">IFERROR(__xludf.DUMMYFUNCTION("""COMPUTED_VALUE"""),FALSE)</f>
        <v>0</v>
      </c>
      <c r="D45" s="2">
        <f ca="1">IFERROR(__xludf.DUMMYFUNCTION("""COMPUTED_VALUE"""),100)</f>
        <v>100</v>
      </c>
      <c r="E45" s="2" t="str">
        <f ca="1">IFERROR(__xludf.DUMMYFUNCTION("""COMPUTED_VALUE"""),"Sexual Violence")</f>
        <v>Sexual Violence</v>
      </c>
      <c r="F45" s="2" t="str">
        <f ca="1">IFERROR(__xludf.DUMMYFUNCTION("""COMPUTED_VALUE"""),"Generic: Hentai World")</f>
        <v>Generic: Hentai World</v>
      </c>
      <c r="G45" s="2" t="str">
        <f ca="1">IFERROR(__xludf.DUMMYFUNCTION("""COMPUTED_VALUE"""),"Powers")</f>
        <v>Powers</v>
      </c>
      <c r="H45" s="2" t="str">
        <f ca="1">IFERROR(__xludf.DUMMYFUNCTION("""COMPUTED_VALUE"""),"Sex and violence are basically interchangeable these days and this perk makes that more literally true. In any situation where some amount of violence is expected and accepted, rape and sexual assault will now be treated the same. That is to say, groping "&amp;"or attacking someone on a bus will still get you arrested but do the same thing in a wrestling match or on a battlefield and nobody will so much as blink. In some situations, such as the aforementioned wrestling match, defeat by sex can be used as a subst"&amp;"itute for defeat by knockout or other win conditions. The same rule applies to you though, so don’t let your target turn the tables on you!")</f>
        <v>Sex and violence are basically interchangeable these days and this perk makes that more literally true. In any situation where some amount of violence is expected and accepted, rape and sexual assault will now be treated the same. That is to say, groping or attacking someone on a bus will still get you arrested but do the same thing in a wrestling match or on a battlefield and nobody will so much as blink. In some situations, such as the aforementioned wrestling match, defeat by sex can be used as a substitute for defeat by knockout or other win conditions. The same rule applies to you though, so don’t let your target turn the tables on you!</v>
      </c>
      <c r="I45" s="5"/>
    </row>
    <row r="46" spans="1:9" ht="87" x14ac:dyDescent="0.25">
      <c r="A46" s="16"/>
      <c r="B46" s="17">
        <v>42</v>
      </c>
      <c r="C46" s="2" t="b">
        <f ca="1">IFERROR(__xludf.DUMMYFUNCTION("""COMPUTED_VALUE"""),FALSE)</f>
        <v>0</v>
      </c>
      <c r="D46" s="2">
        <f ca="1">IFERROR(__xludf.DUMMYFUNCTION("""COMPUTED_VALUE"""),100)</f>
        <v>100</v>
      </c>
      <c r="E46" s="2" t="str">
        <f ca="1">IFERROR(__xludf.DUMMYFUNCTION("""COMPUTED_VALUE"""),"Sexy Time")</f>
        <v>Sexy Time</v>
      </c>
      <c r="F46" s="2" t="str">
        <f ca="1">IFERROR(__xludf.DUMMYFUNCTION("""COMPUTED_VALUE"""),"Generic: Hentai World")</f>
        <v>Generic: Hentai World</v>
      </c>
      <c r="G46" s="2" t="str">
        <f ca="1">IFERROR(__xludf.DUMMYFUNCTION("""COMPUTED_VALUE"""),"Powers")</f>
        <v>Powers</v>
      </c>
      <c r="H46" s="2" t="str">
        <f ca="1">IFERROR(__xludf.DUMMYFUNCTION("""COMPUTED_VALUE"""),"You can always find time for a quickie or a roll in the hay. This perk makes time move at the speed of convenience whenever you’re up to something sexy, be it taking your girlfriend(s) on a date or getting a quick blowjob between classes. As long as you’r"&amp;"e intending to be fast, time bends to make sure you finish on time. Longer time periods can accommodate longer sessions, so you can take your harem on a date, finish with an orgy, and still have them home by dinner.")</f>
        <v>You can always find time for a quickie or a roll in the hay. This perk makes time move at the speed of convenience whenever you’re up to something sexy, be it taking your girlfriend(s) on a date or getting a quick blowjob between classes. As long as you’re intending to be fast, time bends to make sure you finish on time. Longer time periods can accommodate longer sessions, so you can take your harem on a date, finish with an orgy, and still have them home by dinner.</v>
      </c>
      <c r="I46" s="5"/>
    </row>
    <row r="47" spans="1:9" ht="191.4" x14ac:dyDescent="0.25">
      <c r="A47" s="16"/>
      <c r="B47" s="17">
        <v>43</v>
      </c>
      <c r="C47" s="2" t="b">
        <f ca="1">IFERROR(__xludf.DUMMYFUNCTION("""COMPUTED_VALUE"""),FALSE)</f>
        <v>0</v>
      </c>
      <c r="D47" s="2">
        <f ca="1">IFERROR(__xludf.DUMMYFUNCTION("""COMPUTED_VALUE"""),100)</f>
        <v>100</v>
      </c>
      <c r="E47" s="2" t="str">
        <f ca="1">IFERROR(__xludf.DUMMYFUNCTION("""COMPUTED_VALUE"""),"Shibari Master")</f>
        <v>Shibari Master</v>
      </c>
      <c r="F47" s="2" t="str">
        <f ca="1">IFERROR(__xludf.DUMMYFUNCTION("""COMPUTED_VALUE"""),"Rope Master")</f>
        <v>Rope Master</v>
      </c>
      <c r="G47" s="2" t="str">
        <f ca="1">IFERROR(__xludf.DUMMYFUNCTION("""COMPUTED_VALUE"""),"Powers")</f>
        <v>Powers</v>
      </c>
      <c r="H47" s="2" t="str">
        <f ca="1">IFERROR(__xludf.DUMMYFUNCTION("""COMPUTED_VALUE"""),"BDSM normally needs a lot of careful work and prep time. It’s very easy for a careless dom to accidentally hurt his slaves because the ropes cut off circulation or made it harder to breathe, and the less said about amateur sadists the better. But you’re l"&amp;"ong past the point of needing to worry about things like that: you’re such a master of BDSM that your skills seem supernatural even before any real magic gets involved, and you can handle these mundane concerns effortlessly. Forget long setup times when y"&amp;"ou can deploy your bindings with the flick of a wrist, skipping the hard work even for complex setups like full-body harnesses. Likewise, you can easily measure the blow of a paddle or the strikes of a whip and cause exactly enough pain to be exciting for"&amp;" your lovers while never running the risk of giving them genuine injuries. Should you ever find yourself in combat you can also apply this self-control to hold yourself back just enough to avoid causing serious injuries even as you pummel your enemies int"&amp;"o submission.")</f>
        <v>BDSM normally needs a lot of careful work and prep time. It’s very easy for a careless dom to accidentally hurt his slaves because the ropes cut off circulation or made it harder to breathe, and the less said about amateur sadists the better. But you’re long past the point of needing to worry about things like that: you’re such a master of BDSM that your skills seem supernatural even before any real magic gets involved, and you can handle these mundane concerns effortlessly. Forget long setup times when you can deploy your bindings with the flick of a wrist, skipping the hard work even for complex setups like full-body harnesses. Likewise, you can easily measure the blow of a paddle or the strikes of a whip and cause exactly enough pain to be exciting for your lovers while never running the risk of giving them genuine injuries. Should you ever find yourself in combat you can also apply this self-control to hold yourself back just enough to avoid causing serious injuries even as you pummel your enemies into submission.</v>
      </c>
      <c r="I47" s="5"/>
    </row>
    <row r="48" spans="1:9" ht="104.4" x14ac:dyDescent="0.25">
      <c r="A48" s="16"/>
      <c r="B48" s="17">
        <v>44</v>
      </c>
      <c r="C48" s="2" t="b">
        <f ca="1">IFERROR(__xludf.DUMMYFUNCTION("""COMPUTED_VALUE"""),FALSE)</f>
        <v>0</v>
      </c>
      <c r="D48" s="2">
        <f ca="1">IFERROR(__xludf.DUMMYFUNCTION("""COMPUTED_VALUE"""),100)</f>
        <v>100</v>
      </c>
      <c r="E48" s="2" t="str">
        <f ca="1">IFERROR(__xludf.DUMMYFUNCTION("""COMPUTED_VALUE"""),"Shitty Sixpack")</f>
        <v>Shitty Sixpack</v>
      </c>
      <c r="F48" s="2" t="str">
        <f ca="1">IFERROR(__xludf.DUMMYFUNCTION("""COMPUTED_VALUE"""),"Bricola")</f>
        <v>Bricola</v>
      </c>
      <c r="G48" s="2" t="str">
        <f ca="1">IFERROR(__xludf.DUMMYFUNCTION("""COMPUTED_VALUE"""),"Powers")</f>
        <v>Powers</v>
      </c>
      <c r="H48" s="2" t="str">
        <f ca="1">IFERROR(__xludf.DUMMYFUNCTION("""COMPUTED_VALUE"""),"Now I know what you’re thinking. What makes this booze so special? Well, nothing really. It’s the same kind of shitty beer that you could find at a gas station or a corner market. Honestly it probably doesn’t even taste that good. What makes it special is"&amp;" that instead of just getting you drunk, it also lowers the inhibitions of anyone nearby. It’s a bit of an oversimplification, but you drink the beer and the person and or people sitting next to you also gets drunk. Here’s to hoping they’re a horny drunk "&amp;"and not a sad one.")</f>
        <v>Now I know what you’re thinking. What makes this booze so special? Well, nothing really. It’s the same kind of shitty beer that you could find at a gas station or a corner market. Honestly it probably doesn’t even taste that good. What makes it special is that instead of just getting you drunk, it also lowers the inhibitions of anyone nearby. It’s a bit of an oversimplification, but you drink the beer and the person and or people sitting next to you also gets drunk. Here’s to hoping they’re a horny drunk and not a sad one.</v>
      </c>
      <c r="I48" s="5"/>
    </row>
    <row r="49" spans="1:9" ht="69.599999999999994" x14ac:dyDescent="0.25">
      <c r="A49" s="16"/>
      <c r="B49" s="17">
        <v>45</v>
      </c>
      <c r="C49" s="2" t="b">
        <f ca="1">IFERROR(__xludf.DUMMYFUNCTION("""COMPUTED_VALUE"""),FALSE)</f>
        <v>0</v>
      </c>
      <c r="D49" s="2">
        <f ca="1">IFERROR(__xludf.DUMMYFUNCTION("""COMPUTED_VALUE"""),100)</f>
        <v>100</v>
      </c>
      <c r="E49" s="2" t="str">
        <f ca="1">IFERROR(__xludf.DUMMYFUNCTION("""COMPUTED_VALUE"""),"Shocking Spectacle")</f>
        <v>Shocking Spectacle</v>
      </c>
      <c r="F49" s="2" t="str">
        <f ca="1">IFERROR(__xludf.DUMMYFUNCTION("""COMPUTED_VALUE"""),"Generic: Lewd Pokemon")</f>
        <v>Generic: Lewd Pokemon</v>
      </c>
      <c r="G49" s="2" t="str">
        <f ca="1">IFERROR(__xludf.DUMMYFUNCTION("""COMPUTED_VALUE"""),"Powers")</f>
        <v>Powers</v>
      </c>
      <c r="H49" s="2" t="str">
        <f ca="1">IFERROR(__xludf.DUMMYFUNCTION("""COMPUTED_VALUE"""),"Many of the powers shown by Pokemon are awe-inspiring to behold, others less so. With this perk, you can give any abilities that you and your pokemon have a little bit more oomph, making them far more impressive then they would normally be. Note that this"&amp;" doesn’t actually increase their combat effectiveness.")</f>
        <v>Many of the powers shown by Pokemon are awe-inspiring to behold, others less so. With this perk, you can give any abilities that you and your pokemon have a little bit more oomph, making them far more impressive then they would normally be. Note that this doesn’t actually increase their combat effectiveness.</v>
      </c>
      <c r="I49" s="5"/>
    </row>
    <row r="50" spans="1:9" ht="104.4" x14ac:dyDescent="0.25">
      <c r="A50" s="16"/>
      <c r="B50" s="17">
        <v>46</v>
      </c>
      <c r="C50" s="2" t="b">
        <f ca="1">IFERROR(__xludf.DUMMYFUNCTION("""COMPUTED_VALUE"""),FALSE)</f>
        <v>0</v>
      </c>
      <c r="D50" s="2">
        <f ca="1">IFERROR(__xludf.DUMMYFUNCTION("""COMPUTED_VALUE"""),100)</f>
        <v>100</v>
      </c>
      <c r="E50" s="2" t="str">
        <f ca="1">IFERROR(__xludf.DUMMYFUNCTION("""COMPUTED_VALUE"""),"Smell them Out")</f>
        <v>Smell them Out</v>
      </c>
      <c r="F50" s="2" t="str">
        <f ca="1">IFERROR(__xludf.DUMMYFUNCTION("""COMPUTED_VALUE"""),"Lewd Virus")</f>
        <v>Lewd Virus</v>
      </c>
      <c r="G50" s="2" t="str">
        <f ca="1">IFERROR(__xludf.DUMMYFUNCTION("""COMPUTED_VALUE"""),"Powers")</f>
        <v>Powers</v>
      </c>
      <c r="H50" s="2" t="str">
        <f ca="1">IFERROR(__xludf.DUMMYFUNCTION("""COMPUTED_VALUE"""),"Infected females secrete a creamy white fluid from their pussy. This releases a scent that infected males are particularly sensitive to, but you've turned this ability up to 11. Not only can you detect individuals infected with the lewd virus, but you can"&amp;" also precisely determine someone’s physical health through their scent, including identifying what diseases they may have (if you’ve smelled it before, at least), whether they’re injured or not, their level of sexual skill, how recently they’ve last had "&amp;"sex, and whether or not they have any sexual abilities beyond the human norm.")</f>
        <v>Infected females secrete a creamy white fluid from their pussy. This releases a scent that infected males are particularly sensitive to, but you've turned this ability up to 11. Not only can you detect individuals infected with the lewd virus, but you can also precisely determine someone’s physical health through their scent, including identifying what diseases they may have (if you’ve smelled it before, at least), whether they’re injured or not, their level of sexual skill, how recently they’ve last had sex, and whether or not they have any sexual abilities beyond the human norm.</v>
      </c>
      <c r="I50" s="5"/>
    </row>
    <row r="51" spans="1:9" ht="69.599999999999994" x14ac:dyDescent="0.25">
      <c r="A51" s="16"/>
      <c r="B51" s="17">
        <v>47</v>
      </c>
      <c r="C51" s="2" t="b">
        <f ca="1">IFERROR(__xludf.DUMMYFUNCTION("""COMPUTED_VALUE"""),FALSE)</f>
        <v>0</v>
      </c>
      <c r="D51" s="2">
        <f ca="1">IFERROR(__xludf.DUMMYFUNCTION("""COMPUTED_VALUE"""),100)</f>
        <v>100</v>
      </c>
      <c r="E51" s="2" t="str">
        <f ca="1">IFERROR(__xludf.DUMMYFUNCTION("""COMPUTED_VALUE"""),"Sudden Game Interface")</f>
        <v>Sudden Game Interface</v>
      </c>
      <c r="F51" s="2" t="str">
        <f ca="1">IFERROR(__xludf.DUMMYFUNCTION("""COMPUTED_VALUE"""),"Generic: Hentai Fantasy")</f>
        <v>Generic: Hentai Fantasy</v>
      </c>
      <c r="G51" s="2" t="str">
        <f ca="1">IFERROR(__xludf.DUMMYFUNCTION("""COMPUTED_VALUE"""),"Powers")</f>
        <v>Powers</v>
      </c>
      <c r="H51" s="2" t="str">
        <f ca="1">IFERROR(__xludf.DUMMYFUNCTION("""COMPUTED_VALUE"""),"Whats this? You took a wrong turn and stumbled upon a sudden game interface? What does that even mean? Long story short, you have a series of invisible and intangible menus that you can peruse at your leisure. Bad news is, they're read only. On the other "&amp;"hand, they're ridiculously thorough, with a menu for damn near everything.")</f>
        <v>Whats this? You took a wrong turn and stumbled upon a sudden game interface? What does that even mean? Long story short, you have a series of invisible and intangible menus that you can peruse at your leisure. Bad news is, they're read only. On the other hand, they're ridiculously thorough, with a menu for damn near everything.</v>
      </c>
      <c r="I51" s="5"/>
    </row>
    <row r="52" spans="1:9" ht="69.599999999999994" x14ac:dyDescent="0.25">
      <c r="A52" s="16"/>
      <c r="B52" s="17">
        <v>48</v>
      </c>
      <c r="C52" s="2" t="b">
        <f ca="1">IFERROR(__xludf.DUMMYFUNCTION("""COMPUTED_VALUE"""),FALSE)</f>
        <v>0</v>
      </c>
      <c r="D52" s="2">
        <f ca="1">IFERROR(__xludf.DUMMYFUNCTION("""COMPUTED_VALUE"""),100)</f>
        <v>100</v>
      </c>
      <c r="E52" s="2" t="str">
        <f ca="1">IFERROR(__xludf.DUMMYFUNCTION("""COMPUTED_VALUE"""),"Supernatural Sight")</f>
        <v>Supernatural Sight</v>
      </c>
      <c r="F52" s="2" t="str">
        <f ca="1">IFERROR(__xludf.DUMMYFUNCTION("""COMPUTED_VALUE"""),"Seven Mortal Sins/Seven Heavenly Virtues")</f>
        <v>Seven Mortal Sins/Seven Heavenly Virtues</v>
      </c>
      <c r="G52" s="2" t="str">
        <f ca="1">IFERROR(__xludf.DUMMYFUNCTION("""COMPUTED_VALUE"""),"Powers")</f>
        <v>Powers</v>
      </c>
      <c r="H52" s="2" t="str">
        <f ca="1">IFERROR(__xludf.DUMMYFUNCTION("""COMPUTED_VALUE"""),"Angels and Demons in this world are completely invisible to Mortals unless they reveal themselves. Since it would be stupid for you to get blitzed without you being able to do anything about it, you can see through such ‘passive’ invisibility. Apart from "&amp;"Angels and Demons, this Perk would also cover such things as disembodied spirits, leprechans, etc. Can't seduce what you can't see!")</f>
        <v>Angels and Demons in this world are completely invisible to Mortals unless they reveal themselves. Since it would be stupid for you to get blitzed without you being able to do anything about it, you can see through such ‘passive’ invisibility. Apart from Angels and Demons, this Perk would also cover such things as disembodied spirits, leprechans, etc. Can't seduce what you can't see!</v>
      </c>
      <c r="I52" s="5"/>
    </row>
    <row r="53" spans="1:9" ht="121.8" x14ac:dyDescent="0.25">
      <c r="A53" s="16"/>
      <c r="B53" s="17">
        <v>49</v>
      </c>
      <c r="C53" s="2" t="b">
        <f ca="1">IFERROR(__xludf.DUMMYFUNCTION("""COMPUTED_VALUE"""),FALSE)</f>
        <v>0</v>
      </c>
      <c r="D53" s="2">
        <f ca="1">IFERROR(__xludf.DUMMYFUNCTION("""COMPUTED_VALUE"""),100)</f>
        <v>100</v>
      </c>
      <c r="E53" s="2" t="str">
        <f ca="1">IFERROR(__xludf.DUMMYFUNCTION("""COMPUTED_VALUE"""),"Sweet Nothings")</f>
        <v>Sweet Nothings</v>
      </c>
      <c r="F53" s="2" t="str">
        <f ca="1">IFERROR(__xludf.DUMMYFUNCTION("""COMPUTED_VALUE"""),"Although Young People Recoil from Entering the Black Magic Industry...")</f>
        <v>Although Young People Recoil from Entering the Black Magic Industry...</v>
      </c>
      <c r="G53" s="2" t="str">
        <f ca="1">IFERROR(__xludf.DUMMYFUNCTION("""COMPUTED_VALUE"""),"Powers")</f>
        <v>Powers</v>
      </c>
      <c r="H53" s="2" t="str">
        <f ca="1">IFERROR(__xludf.DUMMYFUNCTION("""COMPUTED_VALUE"""),"By giving signs of your affection to others — be it through gifts, kisses, compliments, or other sweetheart-type actions — you can give them the sort of power boost that a love confession gives to a succubus, letting the subject of your affection move fas"&amp;"ter, lift more, and use magic more powerfully. Also, your compliments take on a pseudo-physical form, triggering the subject’s mind as though you were caressing their body in your hands. Pick the right words, and you might bring someone to orgasm with you"&amp;"r voice alone.")</f>
        <v>By giving signs of your affection to others — be it through gifts, kisses, compliments, or other sweetheart-type actions — you can give them the sort of power boost that a love confession gives to a succubus, letting the subject of your affection move faster, lift more, and use magic more powerfully. Also, your compliments take on a pseudo-physical form, triggering the subject’s mind as though you were caressing their body in your hands. Pick the right words, and you might bring someone to orgasm with your voice alone.</v>
      </c>
      <c r="I53" s="5"/>
    </row>
    <row r="54" spans="1:9" ht="52.2" x14ac:dyDescent="0.25">
      <c r="A54" s="16"/>
      <c r="B54" s="17">
        <v>50</v>
      </c>
      <c r="C54" s="2" t="b">
        <f ca="1">IFERROR(__xludf.DUMMYFUNCTION("""COMPUTED_VALUE"""),FALSE)</f>
        <v>0</v>
      </c>
      <c r="D54" s="2">
        <f ca="1">IFERROR(__xludf.DUMMYFUNCTION("""COMPUTED_VALUE"""),100)</f>
        <v>100</v>
      </c>
      <c r="E54" s="2" t="str">
        <f ca="1">IFERROR(__xludf.DUMMYFUNCTION("""COMPUTED_VALUE"""),"Target Her Clothes")</f>
        <v>Target Her Clothes</v>
      </c>
      <c r="F54" s="2" t="str">
        <f ca="1">IFERROR(__xludf.DUMMYFUNCTION("""COMPUTED_VALUE"""),"eratohoK")</f>
        <v>eratohoK</v>
      </c>
      <c r="G54" s="2" t="str">
        <f ca="1">IFERROR(__xludf.DUMMYFUNCTION("""COMPUTED_VALUE"""),"Powers")</f>
        <v>Powers</v>
      </c>
      <c r="H54" s="2" t="str">
        <f ca="1">IFERROR(__xludf.DUMMYFUNCTION("""COMPUTED_VALUE"""),"You can customise your powers and other abilities to blast someone’s clothing completely off and leave them exhausted and pre-stripped upon defeating them in combat. I hardly need to explain what you can do with this ability, do I?")</f>
        <v>You can customise your powers and other abilities to blast someone’s clothing completely off and leave them exhausted and pre-stripped upon defeating them in combat. I hardly need to explain what you can do with this ability, do I?</v>
      </c>
      <c r="I54" s="5"/>
    </row>
    <row r="55" spans="1:9" ht="52.2" x14ac:dyDescent="0.25">
      <c r="A55" s="16"/>
      <c r="B55" s="17">
        <v>51</v>
      </c>
      <c r="C55" s="2" t="b">
        <f ca="1">IFERROR(__xludf.DUMMYFUNCTION("""COMPUTED_VALUE"""),FALSE)</f>
        <v>0</v>
      </c>
      <c r="D55" s="2">
        <f ca="1">IFERROR(__xludf.DUMMYFUNCTION("""COMPUTED_VALUE"""),100)</f>
        <v>100</v>
      </c>
      <c r="E55" s="2" t="str">
        <f ca="1">IFERROR(__xludf.DUMMYFUNCTION("""COMPUTED_VALUE"""),"Teacher's Pet")</f>
        <v>Teacher's Pet</v>
      </c>
      <c r="F55" s="2" t="str">
        <f ca="1">IFERROR(__xludf.DUMMYFUNCTION("""COMPUTED_VALUE"""),"Generic: Loli")</f>
        <v>Generic: Loli</v>
      </c>
      <c r="G55" s="2" t="str">
        <f ca="1">IFERROR(__xludf.DUMMYFUNCTION("""COMPUTED_VALUE"""),"Powers")</f>
        <v>Powers</v>
      </c>
      <c r="H55" s="2" t="str">
        <f ca="1">IFERROR(__xludf.DUMMYFUNCTION("""COMPUTED_VALUE"""),"Providing your teacher with sexual favors improves your ability to learn from them! Having sex with your teachers after class gives minor benefits, while servicing them under the desk during class will double your learning speed.")</f>
        <v>Providing your teacher with sexual favors improves your ability to learn from them! Having sex with your teachers after class gives minor benefits, while servicing them under the desk during class will double your learning speed.</v>
      </c>
      <c r="I55" s="5"/>
    </row>
    <row r="56" spans="1:9" ht="104.4" x14ac:dyDescent="0.25">
      <c r="A56" s="16"/>
      <c r="B56" s="17">
        <v>52</v>
      </c>
      <c r="C56" s="2" t="b">
        <f ca="1">IFERROR(__xludf.DUMMYFUNCTION("""COMPUTED_VALUE"""),FALSE)</f>
        <v>0</v>
      </c>
      <c r="D56" s="2">
        <f ca="1">IFERROR(__xludf.DUMMYFUNCTION("""COMPUTED_VALUE"""),100)</f>
        <v>100</v>
      </c>
      <c r="E56" s="2" t="str">
        <f ca="1">IFERROR(__xludf.DUMMYFUNCTION("""COMPUTED_VALUE"""),"Titty Time")</f>
        <v>Titty Time</v>
      </c>
      <c r="F56" s="2" t="str">
        <f ca="1">IFERROR(__xludf.DUMMYFUNCTION("""COMPUTED_VALUE"""),"Omega Labyrinth: Life")</f>
        <v>Omega Labyrinth: Life</v>
      </c>
      <c r="G56" s="2" t="str">
        <f ca="1">IFERROR(__xludf.DUMMYFUNCTION("""COMPUTED_VALUE"""),"Powers")</f>
        <v>Powers</v>
      </c>
      <c r="H56" s="2" t="str">
        <f ca="1">IFERROR(__xludf.DUMMYFUNCTION("""COMPUTED_VALUE"""),"Master/Madame, have you ever been so mesmerized by a woman’s chest that you think to yourself, ‘god I want to touch them right now...’ Well now you can, you have blanket license to grope away, for as long as you like, so long as you are focused on playing"&amp;" with the breasts you are focusing on. You’re even rewarded by the woman in question reacting as she normally would, minus any violent tendencies. And when you’re done, she’ll forget you ever did anything, unless you don’t want her to forget. Bystanders w"&amp;"ill notice and may comment, but they will not intervene.")</f>
        <v>Master/Madame, have you ever been so mesmerized by a woman’s chest that you think to yourself, ‘god I want to touch them right now...’ Well now you can, you have blanket license to grope away, for as long as you like, so long as you are focused on playing with the breasts you are focusing on. You’re even rewarded by the woman in question reacting as she normally would, minus any violent tendencies. And when you’re done, she’ll forget you ever did anything, unless you don’t want her to forget. Bystanders will notice and may comment, but they will not intervene.</v>
      </c>
      <c r="I56" s="5"/>
    </row>
    <row r="57" spans="1:9" ht="87" x14ac:dyDescent="0.25">
      <c r="A57" s="16"/>
      <c r="B57" s="17">
        <v>53</v>
      </c>
      <c r="C57" s="2" t="b">
        <f ca="1">IFERROR(__xludf.DUMMYFUNCTION("""COMPUTED_VALUE"""),FALSE)</f>
        <v>0</v>
      </c>
      <c r="D57" s="2">
        <f ca="1">IFERROR(__xludf.DUMMYFUNCTION("""COMPUTED_VALUE"""),100)</f>
        <v>100</v>
      </c>
      <c r="E57" s="2" t="str">
        <f ca="1">IFERROR(__xludf.DUMMYFUNCTION("""COMPUTED_VALUE"""),"Universal Compatability")</f>
        <v>Universal Compatability</v>
      </c>
      <c r="F57" s="2" t="str">
        <f ca="1">IFERROR(__xludf.DUMMYFUNCTION("""COMPUTED_VALUE"""),"The Otaku in 2200 AD")</f>
        <v>The Otaku in 2200 AD</v>
      </c>
      <c r="G57" s="2" t="str">
        <f ca="1">IFERROR(__xludf.DUMMYFUNCTION("""COMPUTED_VALUE"""),"Powers")</f>
        <v>Powers</v>
      </c>
      <c r="H57" s="2" t="str">
        <f ca="1">IFERROR(__xludf.DUMMYFUNCTION("""COMPUTED_VALUE"""),"By which is meant that your powers and technologies are universally compatible with sex. No matter the item or ability, you will find that it is possible to turn that feature to (harmless) erotic ends, even if that means temporarily altering how the abili"&amp;"ty works. An item harnessing the energies of the universe could be focused on the body to induce cosmically pleasurable vibrations, while a perk that inflicts instant death could instead be applied to cause instant orgasms.")</f>
        <v>By which is meant that your powers and technologies are universally compatible with sex. No matter the item or ability, you will find that it is possible to turn that feature to (harmless) erotic ends, even if that means temporarily altering how the ability works. An item harnessing the energies of the universe could be focused on the body to induce cosmically pleasurable vibrations, while a perk that inflicts instant death could instead be applied to cause instant orgasms.</v>
      </c>
      <c r="I57" s="5"/>
    </row>
    <row r="58" spans="1:9" ht="104.4" x14ac:dyDescent="0.25">
      <c r="A58" s="16"/>
      <c r="B58" s="17">
        <v>54</v>
      </c>
      <c r="C58" s="2" t="b">
        <f ca="1">IFERROR(__xludf.DUMMYFUNCTION("""COMPUTED_VALUE"""),FALSE)</f>
        <v>0</v>
      </c>
      <c r="D58" s="2">
        <f ca="1">IFERROR(__xludf.DUMMYFUNCTION("""COMPUTED_VALUE"""),100)</f>
        <v>100</v>
      </c>
      <c r="E58" s="2" t="str">
        <f ca="1">IFERROR(__xludf.DUMMYFUNCTION("""COMPUTED_VALUE"""),"Unlimited Ice Cream")</f>
        <v>Unlimited Ice Cream</v>
      </c>
      <c r="F58" s="2" t="str">
        <f ca="1">IFERROR(__xludf.DUMMYFUNCTION("""COMPUTED_VALUE"""),"Submission Sailor Moon")</f>
        <v>Submission Sailor Moon</v>
      </c>
      <c r="G58" s="2" t="str">
        <f ca="1">IFERROR(__xludf.DUMMYFUNCTION("""COMPUTED_VALUE"""),"Powers")</f>
        <v>Powers</v>
      </c>
      <c r="H58" s="2" t="str">
        <f ca="1">IFERROR(__xludf.DUMMYFUNCTION("""COMPUTED_VALUE"""),"The perfect thing for shaking off a bad day on the job, this carton of ice cream comes in any flavor you want and replenishes itself every time you stick it back in the fridge. Of course there would normally be some obvious downsides to having that much i"&amp;"ce cream around so it’s a good thing that you’ll never gain weight no matter how much of this item you indulge in. The one exception is if you’re looking to fill out your curves a little, in which case you’ll find that all those calories go straight to yo"&amp;"ur hips, butt, thighs, breasts, or whatever else you have that you think needs a little extra zing.")</f>
        <v>The perfect thing for shaking off a bad day on the job, this carton of ice cream comes in any flavor you want and replenishes itself every time you stick it back in the fridge. Of course there would normally be some obvious downsides to having that much ice cream around so it’s a good thing that you’ll never gain weight no matter how much of this item you indulge in. The one exception is if you’re looking to fill out your curves a little, in which case you’ll find that all those calories go straight to your hips, butt, thighs, breasts, or whatever else you have that you think needs a little extra zing.</v>
      </c>
      <c r="I58" s="5"/>
    </row>
    <row r="59" spans="1:9" ht="121.8" x14ac:dyDescent="0.25">
      <c r="A59" s="16"/>
      <c r="B59" s="17">
        <v>55</v>
      </c>
      <c r="C59" s="2" t="b">
        <f ca="1">IFERROR(__xludf.DUMMYFUNCTION("""COMPUTED_VALUE"""),FALSE)</f>
        <v>0</v>
      </c>
      <c r="D59" s="2">
        <f ca="1">IFERROR(__xludf.DUMMYFUNCTION("""COMPUTED_VALUE"""),100)</f>
        <v>100</v>
      </c>
      <c r="E59" s="2" t="str">
        <f ca="1">IFERROR(__xludf.DUMMYFUNCTION("""COMPUTED_VALUE"""),"Victory of the Flesh")</f>
        <v>Victory of the Flesh</v>
      </c>
      <c r="F59" s="2" t="str">
        <f ca="1">IFERROR(__xludf.DUMMYFUNCTION("""COMPUTED_VALUE"""),"Archangel of Love, Love Mary ~Malignant Conception~")</f>
        <v>Archangel of Love, Love Mary ~Malignant Conception~</v>
      </c>
      <c r="G59" s="2" t="str">
        <f ca="1">IFERROR(__xludf.DUMMYFUNCTION("""COMPUTED_VALUE"""),"Powers")</f>
        <v>Powers</v>
      </c>
      <c r="H59" s="2" t="str">
        <f ca="1">IFERROR(__xludf.DUMMYFUNCTION("""COMPUTED_VALUE"""),"It’s true, the Archangels are stronger than you. This doesn’t mean that winning is impossible, however… it just means you need to fight dirty. “Dirty”, in this case, meaning lewdly. The targets of your “affections” don’t need to already be aroused for you"&amp;"r touch to excite them; groping them, stroking them, thrusting into them — all of it causes just as much pleasure as if they were already deeply aroused, and you’ll find your enemies trembling at your touch. It’s hard to fight when your crotch throbs with"&amp;" desire, and hard to keep your mind focused on fighting when it’s been set aflame with pleasure.")</f>
        <v>It’s true, the Archangels are stronger than you. This doesn’t mean that winning is impossible, however… it just means you need to fight dirty. “Dirty”, in this case, meaning lewdly. The targets of your “affections” don’t need to already be aroused for your touch to excite them; groping them, stroking them, thrusting into them — all of it causes just as much pleasure as if they were already deeply aroused, and you’ll find your enemies trembling at your touch. It’s hard to fight when your crotch throbs with desire, and hard to keep your mind focused on fighting when it’s been set aflame with pleasure.</v>
      </c>
      <c r="I59" s="5"/>
    </row>
    <row r="60" spans="1:9" ht="87" x14ac:dyDescent="0.25">
      <c r="A60" s="16"/>
      <c r="B60" s="17">
        <v>56</v>
      </c>
      <c r="C60" s="2" t="b">
        <f ca="1">IFERROR(__xludf.DUMMYFUNCTION("""COMPUTED_VALUE"""),FALSE)</f>
        <v>0</v>
      </c>
      <c r="D60" s="2">
        <f ca="1">IFERROR(__xludf.DUMMYFUNCTION("""COMPUTED_VALUE"""),100)</f>
        <v>100</v>
      </c>
      <c r="E60" s="2" t="str">
        <f ca="1">IFERROR(__xludf.DUMMYFUNCTION("""COMPUTED_VALUE"""),"Warm and Fuzzy")</f>
        <v>Warm and Fuzzy</v>
      </c>
      <c r="F60" s="2" t="str">
        <f ca="1">IFERROR(__xludf.DUMMYFUNCTION("""COMPUTED_VALUE"""),"Milk Hunters")</f>
        <v>Milk Hunters</v>
      </c>
      <c r="G60" s="2" t="str">
        <f ca="1">IFERROR(__xludf.DUMMYFUNCTION("""COMPUTED_VALUE"""),"Powers")</f>
        <v>Powers</v>
      </c>
      <c r="H60" s="2" t="str">
        <f ca="1">IFERROR(__xludf.DUMMYFUNCTION("""COMPUTED_VALUE"""),"There’s just something about you that makes your presence comforting. Just being around you will make someone happier, more relaxed, and less bothered by any worries that they have. If you’re actively attempting to help someone, though? You’ll not only ha"&amp;"ve a good idea of what to do and say, but it will be incredibly effective. A fun weekend would be enough to help someone get over months of trauma.")</f>
        <v>There’s just something about you that makes your presence comforting. Just being around you will make someone happier, more relaxed, and less bothered by any worries that they have. If you’re actively attempting to help someone, though? You’ll not only have a good idea of what to do and say, but it will be incredibly effective. A fun weekend would be enough to help someone get over months of trauma.</v>
      </c>
      <c r="I60" s="5"/>
    </row>
    <row r="61" spans="1:9" ht="52.2" x14ac:dyDescent="0.25">
      <c r="A61" s="16"/>
      <c r="B61" s="17">
        <v>57</v>
      </c>
      <c r="C61" s="2" t="b">
        <f ca="1">IFERROR(__xludf.DUMMYFUNCTION("""COMPUTED_VALUE"""),FALSE)</f>
        <v>0</v>
      </c>
      <c r="D61" s="2">
        <f ca="1">IFERROR(__xludf.DUMMYFUNCTION("""COMPUTED_VALUE"""),100)</f>
        <v>100</v>
      </c>
      <c r="E61" s="2" t="str">
        <f ca="1">IFERROR(__xludf.DUMMYFUNCTION("""COMPUTED_VALUE"""),"WOOHOO!")</f>
        <v>WOOHOO!</v>
      </c>
      <c r="F61" s="2" t="str">
        <f ca="1">IFERROR(__xludf.DUMMYFUNCTION("""COMPUTED_VALUE"""),"Earth Girls")</f>
        <v>Earth Girls</v>
      </c>
      <c r="G61" s="2" t="str">
        <f ca="1">IFERROR(__xludf.DUMMYFUNCTION("""COMPUTED_VALUE"""),"Powers")</f>
        <v>Powers</v>
      </c>
      <c r="H61" s="2" t="str">
        <f ca="1">IFERROR(__xludf.DUMMYFUNCTION("""COMPUTED_VALUE"""),"Getting drunk always seems to go well for you. You can hold your alcohol and only get hangovers or sickness from staggering amounts. You’ve also learned the secret to producing early fermented drinks like mead, beer, cider and wine from honey, grains, fru"&amp;"its and berries in earthware jars.")</f>
        <v>Getting drunk always seems to go well for you. You can hold your alcohol and only get hangovers or sickness from staggering amounts. You’ve also learned the secret to producing early fermented drinks like mead, beer, cider and wine from honey, grains, fruits and berries in earthware jars.</v>
      </c>
      <c r="I61" s="5"/>
    </row>
    <row r="62" spans="1:9" ht="87" x14ac:dyDescent="0.25">
      <c r="A62" s="16"/>
      <c r="B62" s="17">
        <v>58</v>
      </c>
      <c r="C62" s="2" t="b">
        <f ca="1">IFERROR(__xludf.DUMMYFUNCTION("""COMPUTED_VALUE"""),FALSE)</f>
        <v>0</v>
      </c>
      <c r="D62" s="2">
        <f ca="1">IFERROR(__xludf.DUMMYFUNCTION("""COMPUTED_VALUE"""),200)</f>
        <v>200</v>
      </c>
      <c r="E62" s="2" t="str">
        <f ca="1">IFERROR(__xludf.DUMMYFUNCTION("""COMPUTED_VALUE"""),"A Kiss on the Cheek")</f>
        <v>A Kiss on the Cheek</v>
      </c>
      <c r="F62" s="2" t="str">
        <f ca="1">IFERROR(__xludf.DUMMYFUNCTION("""COMPUTED_VALUE"""),"Generic: Hentai Modern")</f>
        <v>Generic: Hentai Modern</v>
      </c>
      <c r="G62" s="2" t="str">
        <f ca="1">IFERROR(__xludf.DUMMYFUNCTION("""COMPUTED_VALUE"""),"Powers")</f>
        <v>Powers</v>
      </c>
      <c r="H62" s="2" t="str">
        <f ca="1">IFERROR(__xludf.DUMMYFUNCTION("""COMPUTED_VALUE"""),"When does a person fight harder, train longer, run farther? When there’s a reward waiting for them at the end. That’s why the results of your training are more effective when there’s sex afterwards. Mind you, the boost depends on a cross between how much "&amp;"studying there was and how much sex there was. A full day of studying followed by a blowjob won’t do much, nor will five minutes and a gangbang. It’s a balancing act for both of you.")</f>
        <v>When does a person fight harder, train longer, run farther? When there’s a reward waiting for them at the end. That’s why the results of your training are more effective when there’s sex afterwards. Mind you, the boost depends on a cross between how much studying there was and how much sex there was. A full day of studying followed by a blowjob won’t do much, nor will five minutes and a gangbang. It’s a balancing act for both of you.</v>
      </c>
      <c r="I62" s="5"/>
    </row>
    <row r="63" spans="1:9" ht="139.19999999999999" x14ac:dyDescent="0.25">
      <c r="A63" s="16"/>
      <c r="B63" s="17">
        <v>59</v>
      </c>
      <c r="C63" s="2" t="b">
        <f ca="1">IFERROR(__xludf.DUMMYFUNCTION("""COMPUTED_VALUE"""),FALSE)</f>
        <v>0</v>
      </c>
      <c r="D63" s="2">
        <f ca="1">IFERROR(__xludf.DUMMYFUNCTION("""COMPUTED_VALUE"""),200)</f>
        <v>200</v>
      </c>
      <c r="E63" s="2" t="str">
        <f ca="1">IFERROR(__xludf.DUMMYFUNCTION("""COMPUTED_VALUE"""),"Ahegaos for Everyone")</f>
        <v>Ahegaos for Everyone</v>
      </c>
      <c r="F63" s="2" t="str">
        <f ca="1">IFERROR(__xludf.DUMMYFUNCTION("""COMPUTED_VALUE"""),"Baalbuddy")</f>
        <v>Baalbuddy</v>
      </c>
      <c r="G63" s="2" t="str">
        <f ca="1">IFERROR(__xludf.DUMMYFUNCTION("""COMPUTED_VALUE"""),"Powers")</f>
        <v>Powers</v>
      </c>
      <c r="H63" s="2" t="str">
        <f ca="1">IFERROR(__xludf.DUMMYFUNCTION("""COMPUTED_VALUE"""),"Wouldn’t it be horrible to develop a superhuman constitution, and only later realize that 99%+ of the rest of the population will be exhausted after just a few rounds while you’re still far from satisfied? Or maybe you picked up a harem and realized no am"&amp;"ount of exercise will help you with the many, many demanding partners that crawl into your bed every night? Now you don’t have to worry about that. During sexytime, everyone’s stamina is balanced out so that the lightweights can keep going and the amazons"&amp;" won’t give you a heart attack trying to keep up. Outside of the bedroom, your fitter allies can shoulder the load and share some of their stamina with the less physically able members of the group to keep them from falling to exhaustion.")</f>
        <v>Wouldn’t it be horrible to develop a superhuman constitution, and only later realize that 99%+ of the rest of the population will be exhausted after just a few rounds while you’re still far from satisfied? Or maybe you picked up a harem and realized no amount of exercise will help you with the many, many demanding partners that crawl into your bed every night? Now you don’t have to worry about that. During sexytime, everyone’s stamina is balanced out so that the lightweights can keep going and the amazons won’t give you a heart attack trying to keep up. Outside of the bedroom, your fitter allies can shoulder the load and share some of their stamina with the less physically able members of the group to keep them from falling to exhaustion.</v>
      </c>
      <c r="I63" s="5"/>
    </row>
    <row r="64" spans="1:9" ht="174" x14ac:dyDescent="0.25">
      <c r="A64" s="16"/>
      <c r="B64" s="17">
        <v>60</v>
      </c>
      <c r="C64" s="2" t="b">
        <f ca="1">IFERROR(__xludf.DUMMYFUNCTION("""COMPUTED_VALUE"""),FALSE)</f>
        <v>0</v>
      </c>
      <c r="D64" s="2">
        <f ca="1">IFERROR(__xludf.DUMMYFUNCTION("""COMPUTED_VALUE"""),200)</f>
        <v>200</v>
      </c>
      <c r="E64" s="2" t="str">
        <f ca="1">IFERROR(__xludf.DUMMYFUNCTION("""COMPUTED_VALUE"""),"Ancient Harness")</f>
        <v>Ancient Harness</v>
      </c>
      <c r="F64" s="2" t="str">
        <f ca="1">IFERROR(__xludf.DUMMYFUNCTION("""COMPUTED_VALUE"""),"Breathless Wild")</f>
        <v>Breathless Wild</v>
      </c>
      <c r="G64" s="2" t="str">
        <f ca="1">IFERROR(__xludf.DUMMYFUNCTION("""COMPUTED_VALUE"""),"Powers")</f>
        <v>Powers</v>
      </c>
      <c r="H64" s="2" t="str">
        <f ca="1">IFERROR(__xludf.DUMMYFUNCTION("""COMPUTED_VALUE"""),"A tool the ancient Sheikah forged to aid the legendary hero, this bodysuit was created not for Link but for Princess Zelda to wear. A modern hylian might mistake it for some elaborate high-tech bondage suit and while it can certainly serve that purpose it"&amp;" primarily works as armor despite its skimpy design. When worn the harness projects a powerful defensive aura similar to a Guardian shield which can withstand even the most crushing blows, but every now and then its power supply must be recharged. This re"&amp;"quires a tantric prayer ritual of submission and supplication between the princess and hero, but this one will work just fine for you and anyone you wish to “pray” with. The suit comes equipped with accessories to aid the charging ritual like cuffs, plugs"&amp;", a gag, energy chains, and several retractable vibrators, and the suit can even sync up with a Sheikah slate, allowing the “master” to control these extra features remotely.")</f>
        <v>A tool the ancient Sheikah forged to aid the legendary hero, this bodysuit was created not for Link but for Princess Zelda to wear. A modern hylian might mistake it for some elaborate high-tech bondage suit and while it can certainly serve that purpose it primarily works as armor despite its skimpy design. When worn the harness projects a powerful defensive aura similar to a Guardian shield which can withstand even the most crushing blows, but every now and then its power supply must be recharged. This requires a tantric prayer ritual of submission and supplication between the princess and hero, but this one will work just fine for you and anyone you wish to “pray” with. The suit comes equipped with accessories to aid the charging ritual like cuffs, plugs, a gag, energy chains, and several retractable vibrators, and the suit can even sync up with a Sheikah slate, allowing the “master” to control these extra features remotely.</v>
      </c>
      <c r="I64" s="5"/>
    </row>
    <row r="65" spans="1:9" ht="52.2" x14ac:dyDescent="0.25">
      <c r="A65" s="16"/>
      <c r="B65" s="17">
        <v>61</v>
      </c>
      <c r="C65" s="2" t="b">
        <f ca="1">IFERROR(__xludf.DUMMYFUNCTION("""COMPUTED_VALUE"""),FALSE)</f>
        <v>0</v>
      </c>
      <c r="D65" s="2">
        <f ca="1">IFERROR(__xludf.DUMMYFUNCTION("""COMPUTED_VALUE"""),200)</f>
        <v>200</v>
      </c>
      <c r="E65" s="2" t="str">
        <f ca="1">IFERROR(__xludf.DUMMYFUNCTION("""COMPUTED_VALUE"""),"Anywhere Works")</f>
        <v>Anywhere Works</v>
      </c>
      <c r="F65" s="2" t="str">
        <f ca="1">IFERROR(__xludf.DUMMYFUNCTION("""COMPUTED_VALUE"""),"Waifu Fighter")</f>
        <v>Waifu Fighter</v>
      </c>
      <c r="G65" s="2" t="str">
        <f ca="1">IFERROR(__xludf.DUMMYFUNCTION("""COMPUTED_VALUE"""),"Powers")</f>
        <v>Powers</v>
      </c>
      <c r="H65" s="2" t="str">
        <f ca="1">IFERROR(__xludf.DUMMYFUNCTION("""COMPUTED_VALUE"""),"It doesn’t matter where you are, it’s always a good time to get it on. Your environment will never negatively affect your sexual activities; even if you were fucked on a toilet, it would be just as comfortable (and just as sanitary) as if you were doing i"&amp;"t on a bed.")</f>
        <v>It doesn’t matter where you are, it’s always a good time to get it on. Your environment will never negatively affect your sexual activities; even if you were fucked on a toilet, it would be just as comfortable (and just as sanitary) as if you were doing it on a bed.</v>
      </c>
      <c r="I65" s="5"/>
    </row>
    <row r="66" spans="1:9" ht="87" x14ac:dyDescent="0.25">
      <c r="A66" s="16"/>
      <c r="B66" s="17">
        <v>62</v>
      </c>
      <c r="C66" s="2" t="b">
        <f ca="1">IFERROR(__xludf.DUMMYFUNCTION("""COMPUTED_VALUE"""),FALSE)</f>
        <v>0</v>
      </c>
      <c r="D66" s="2">
        <f ca="1">IFERROR(__xludf.DUMMYFUNCTION("""COMPUTED_VALUE"""),200)</f>
        <v>200</v>
      </c>
      <c r="E66" s="2" t="str">
        <f ca="1">IFERROR(__xludf.DUMMYFUNCTION("""COMPUTED_VALUE"""),"Bad Luck Charm")</f>
        <v>Bad Luck Charm</v>
      </c>
      <c r="F66" s="2" t="str">
        <f ca="1">IFERROR(__xludf.DUMMYFUNCTION("""COMPUTED_VALUE"""),"LeWdBY")</f>
        <v>LeWdBY</v>
      </c>
      <c r="G66" s="2" t="str">
        <f ca="1">IFERROR(__xludf.DUMMYFUNCTION("""COMPUTED_VALUE"""),"Powers")</f>
        <v>Powers</v>
      </c>
      <c r="H66" s="2" t="str">
        <f ca="1">IFERROR(__xludf.DUMMYFUNCTION("""COMPUTED_VALUE"""),"People around you tend to have minor but lewd accidents. Wardrobe malfunctions, women running around a corner and smashing their tits into your face, or you walking in on others masturbating will be common. They’ll never blame you for these, as they’re ju"&amp;"st bad luck after all, but they may well be turned on by the humiliation from being exposed to you despite all logic as long as they find you attractive otherwise.")</f>
        <v>People around you tend to have minor but lewd accidents. Wardrobe malfunctions, women running around a corner and smashing their tits into your face, or you walking in on others masturbating will be common. They’ll never blame you for these, as they’re just bad luck after all, but they may well be turned on by the humiliation from being exposed to you despite all logic as long as they find you attractive otherwise.</v>
      </c>
      <c r="I66" s="5"/>
    </row>
    <row r="67" spans="1:9" ht="139.19999999999999" x14ac:dyDescent="0.25">
      <c r="A67" s="16"/>
      <c r="B67" s="17">
        <v>63</v>
      </c>
      <c r="C67" s="2" t="b">
        <f ca="1">IFERROR(__xludf.DUMMYFUNCTION("""COMPUTED_VALUE"""),FALSE)</f>
        <v>0</v>
      </c>
      <c r="D67" s="2">
        <f ca="1">IFERROR(__xludf.DUMMYFUNCTION("""COMPUTED_VALUE"""),200)</f>
        <v>200</v>
      </c>
      <c r="E67" s="2" t="str">
        <f ca="1">IFERROR(__xludf.DUMMYFUNCTION("""COMPUTED_VALUE"""),"Bait")</f>
        <v>Bait</v>
      </c>
      <c r="F67" s="2" t="str">
        <f ca="1">IFERROR(__xludf.DUMMYFUNCTION("""COMPUTED_VALUE"""),"LeWdBY")</f>
        <v>LeWdBY</v>
      </c>
      <c r="G67" s="2" t="str">
        <f ca="1">IFERROR(__xludf.DUMMYFUNCTION("""COMPUTED_VALUE"""),"Powers")</f>
        <v>Powers</v>
      </c>
      <c r="H67" s="2" t="str">
        <f ca="1">IFERROR(__xludf.DUMMYFUNCTION("""COMPUTED_VALUE"""),"Breaking one of the cute huntresses into your sex slave or prostitute can be a dangerous business, especially considering that they work in teams of four. People who investigate your nefarious sexual deeds tend to either deny what’s really going on or let"&amp;" their emotions get the better of them. Either way, they will look into what you’re doing to their friend/sister/daughter on their own, rather than rounding up a posse of Aura users or going to the authorities. This will give you a fair shot at getting th"&amp;"em alone so you can sink your claws into them too. You can even activate this intentionally by giving someone a clue that something’s not right with one of their loved ones, getting them to look into the situation and try to get you alone to force an expl"&amp;"anation out of you.")</f>
        <v>Breaking one of the cute huntresses into your sex slave or prostitute can be a dangerous business, especially considering that they work in teams of four. People who investigate your nefarious sexual deeds tend to either deny what’s really going on or let their emotions get the better of them. Either way, they will look into what you’re doing to their friend/sister/daughter on their own, rather than rounding up a posse of Aura users or going to the authorities. This will give you a fair shot at getting them alone so you can sink your claws into them too. You can even activate this intentionally by giving someone a clue that something’s not right with one of their loved ones, getting them to look into the situation and try to get you alone to force an explanation out of you.</v>
      </c>
      <c r="I67" s="5"/>
    </row>
    <row r="68" spans="1:9" ht="156.6" x14ac:dyDescent="0.25">
      <c r="A68" s="16"/>
      <c r="B68" s="17">
        <v>64</v>
      </c>
      <c r="C68" s="2" t="b">
        <f ca="1">IFERROR(__xludf.DUMMYFUNCTION("""COMPUTED_VALUE"""),FALSE)</f>
        <v>0</v>
      </c>
      <c r="D68" s="2">
        <f ca="1">IFERROR(__xludf.DUMMYFUNCTION("""COMPUTED_VALUE"""),200)</f>
        <v>200</v>
      </c>
      <c r="E68" s="2" t="str">
        <f ca="1">IFERROR(__xludf.DUMMYFUNCTION("""COMPUTED_VALUE"""),"Bestial Instinct")</f>
        <v>Bestial Instinct</v>
      </c>
      <c r="F68" s="2" t="str">
        <f ca="1">IFERROR(__xludf.DUMMYFUNCTION("""COMPUTED_VALUE"""),"Neon Dreams of Organic Toys")</f>
        <v>Neon Dreams of Organic Toys</v>
      </c>
      <c r="G68" s="2" t="str">
        <f ca="1">IFERROR(__xludf.DUMMYFUNCTION("""COMPUTED_VALUE"""),"Powers")</f>
        <v>Powers</v>
      </c>
      <c r="H68" s="2" t="str">
        <f ca="1">IFERROR(__xludf.DUMMYFUNCTION("""COMPUTED_VALUE"""),"Every animal has instincts, honed by extremely long periods of species-wide trial and error. What worked was passed down, while what didn’t often died with those who tried. You are blessed with animalistic instincts that kick in whenever shit hits the fan"&amp;", allowing you to intuitively take the best course of action when you might otherwise be overwhelmed, at least the best way forward you’d be able to come up with under more normal circumstances. Usfeul in both combat and when you've angered your partner(s"&amp;")!
Outside of high stress situations, your instincts provide you an intuitive sense for potentially dangerous situations, giving you plenty of warning before the other aspect might be needed.")</f>
        <v>Every animal has instincts, honed by extremely long periods of species-wide trial and error. What worked was passed down, while what didn’t often died with those who tried. You are blessed with animalistic instincts that kick in whenever shit hits the fan, allowing you to intuitively take the best course of action when you might otherwise be overwhelmed, at least the best way forward you’d be able to come up with under more normal circumstances. Usfeul in both combat and when you've angered your partner(s)!
Outside of high stress situations, your instincts provide you an intuitive sense for potentially dangerous situations, giving you plenty of warning before the other aspect might be needed.</v>
      </c>
      <c r="I68" s="5"/>
    </row>
    <row r="69" spans="1:9" ht="156.6" x14ac:dyDescent="0.25">
      <c r="A69" s="16"/>
      <c r="B69" s="17">
        <v>65</v>
      </c>
      <c r="C69" s="2" t="b">
        <f ca="1">IFERROR(__xludf.DUMMYFUNCTION("""COMPUTED_VALUE"""),FALSE)</f>
        <v>0</v>
      </c>
      <c r="D69" s="2">
        <f ca="1">IFERROR(__xludf.DUMMYFUNCTION("""COMPUTED_VALUE"""),200)</f>
        <v>200</v>
      </c>
      <c r="E69" s="2" t="str">
        <f ca="1">IFERROR(__xludf.DUMMYFUNCTION("""COMPUTED_VALUE"""),"C-String")</f>
        <v>C-String</v>
      </c>
      <c r="F69" s="2" t="str">
        <f ca="1">IFERROR(__xludf.DUMMYFUNCTION("""COMPUTED_VALUE"""),"Burakku Gakkou Ni Tsutomete Shimatta Sensei")</f>
        <v>Burakku Gakkou Ni Tsutomete Shimatta Sensei</v>
      </c>
      <c r="G69" s="2" t="str">
        <f ca="1">IFERROR(__xludf.DUMMYFUNCTION("""COMPUTED_VALUE"""),"Powers")</f>
        <v>Powers</v>
      </c>
      <c r="H69" s="2" t="str">
        <f ca="1">IFERROR(__xludf.DUMMYFUNCTION("""COMPUTED_VALUE"""),"I’ll be honest with you, fam, the c-string is basically half a piece of underwear. A little triangle goes over your privates, and the rest curves under and lies between your ass cheeks. The only way to keep it in place is to clench tight and hold it there"&amp;" physically. By using this c-string, you will build up your ass muscles. But that’s a secondary effect, if you’re paying primo CP for it, it has to be more than that, amirite? While wearing it, you get a guarantee that you won’t experience bad luck. Not t"&amp;"o say you’ll have more good luck! But at least it won’t be bad.
If you’re male, then it will be shaped a bit more like a cup in regards to how it covers you, but will still have the basic c-string shape.")</f>
        <v>I’ll be honest with you, fam, the c-string is basically half a piece of underwear. A little triangle goes over your privates, and the rest curves under and lies between your ass cheeks. The only way to keep it in place is to clench tight and hold it there physically. By using this c-string, you will build up your ass muscles. But that’s a secondary effect, if you’re paying primo CP for it, it has to be more than that, amirite? While wearing it, you get a guarantee that you won’t experience bad luck. Not to say you’ll have more good luck! But at least it won’t be bad.
If you’re male, then it will be shaped a bit more like a cup in regards to how it covers you, but will still have the basic c-string shape.</v>
      </c>
      <c r="I69" s="5"/>
    </row>
    <row r="70" spans="1:9" ht="69.599999999999994" x14ac:dyDescent="0.25">
      <c r="A70" s="16"/>
      <c r="B70" s="17">
        <v>66</v>
      </c>
      <c r="C70" s="2" t="b">
        <f ca="1">IFERROR(__xludf.DUMMYFUNCTION("""COMPUTED_VALUE"""),FALSE)</f>
        <v>0</v>
      </c>
      <c r="D70" s="2">
        <f ca="1">IFERROR(__xludf.DUMMYFUNCTION("""COMPUTED_VALUE"""),200)</f>
        <v>200</v>
      </c>
      <c r="E70" s="2" t="str">
        <f ca="1">IFERROR(__xludf.DUMMYFUNCTION("""COMPUTED_VALUE"""),"Changelog")</f>
        <v>Changelog</v>
      </c>
      <c r="F70" s="2" t="str">
        <f ca="1">IFERROR(__xludf.DUMMYFUNCTION("""COMPUTED_VALUE"""),"Generic: Hentai Occult")</f>
        <v>Generic: Hentai Occult</v>
      </c>
      <c r="G70" s="2" t="str">
        <f ca="1">IFERROR(__xludf.DUMMYFUNCTION("""COMPUTED_VALUE"""),"Powers")</f>
        <v>Powers</v>
      </c>
      <c r="H70" s="2" t="str">
        <f ca="1">IFERROR(__xludf.DUMMYFUNCTION("""COMPUTED_VALUE"""),"With the right techniques, it’s possible to resist the warping effect common to this world. This is not one of those ways. Instead, it merely tracks them. Any reality warping effect on the planet will be recorded, as well as fragmented information on who "&amp;"and where. You’ll fix the world, right? It’s not like you would ever have a use for it otherwise...")</f>
        <v>With the right techniques, it’s possible to resist the warping effect common to this world. This is not one of those ways. Instead, it merely tracks them. Any reality warping effect on the planet will be recorded, as well as fragmented information on who and where. You’ll fix the world, right? It’s not like you would ever have a use for it otherwise...</v>
      </c>
      <c r="I70" s="5"/>
    </row>
    <row r="71" spans="1:9" ht="69.599999999999994" x14ac:dyDescent="0.25">
      <c r="A71" s="16"/>
      <c r="B71" s="17">
        <v>67</v>
      </c>
      <c r="C71" s="2" t="b">
        <f ca="1">IFERROR(__xludf.DUMMYFUNCTION("""COMPUTED_VALUE"""),FALSE)</f>
        <v>0</v>
      </c>
      <c r="D71" s="2">
        <f ca="1">IFERROR(__xludf.DUMMYFUNCTION("""COMPUTED_VALUE"""),200)</f>
        <v>200</v>
      </c>
      <c r="E71" s="2" t="str">
        <f ca="1">IFERROR(__xludf.DUMMYFUNCTION("""COMPUTED_VALUE"""),"Crystal This, Crystal That")</f>
        <v>Crystal This, Crystal That</v>
      </c>
      <c r="F71" s="2" t="str">
        <f ca="1">IFERROR(__xludf.DUMMYFUNCTION("""COMPUTED_VALUE"""),"Generic: Hentai Magical Girl")</f>
        <v>Generic: Hentai Magical Girl</v>
      </c>
      <c r="G71" s="2" t="str">
        <f ca="1">IFERROR(__xludf.DUMMYFUNCTION("""COMPUTED_VALUE"""),"Powers")</f>
        <v>Powers</v>
      </c>
      <c r="H71" s="2" t="str">
        <f ca="1">IFERROR(__xludf.DUMMYFUNCTION("""COMPUTED_VALUE"""),"So, not really sure how you figured this one out, or why you thought it’d be useful, but you can now turn basically any car-sized or smaller piece of technology into a gemstone - or other shiny rocklike object - smaller than your fist. I don’t know how, b"&amp;"ut you did. Anything bigger than that will make a bigger crystal, with the rate growing much faster than you might expect.")</f>
        <v>So, not really sure how you figured this one out, or why you thought it’d be useful, but you can now turn basically any car-sized or smaller piece of technology into a gemstone - or other shiny rocklike object - smaller than your fist. I don’t know how, but you did. Anything bigger than that will make a bigger crystal, with the rate growing much faster than you might expect.</v>
      </c>
      <c r="I71" s="5"/>
    </row>
    <row r="72" spans="1:9" ht="243.6" x14ac:dyDescent="0.25">
      <c r="A72" s="16"/>
      <c r="B72" s="17">
        <v>68</v>
      </c>
      <c r="C72" s="2" t="b">
        <f ca="1">IFERROR(__xludf.DUMMYFUNCTION("""COMPUTED_VALUE"""),FALSE)</f>
        <v>0</v>
      </c>
      <c r="D72" s="2">
        <f ca="1">IFERROR(__xludf.DUMMYFUNCTION("""COMPUTED_VALUE"""),200)</f>
        <v>200</v>
      </c>
      <c r="E72" s="2" t="str">
        <f ca="1">IFERROR(__xludf.DUMMYFUNCTION("""COMPUTED_VALUE"""),"Cursed Tape")</f>
        <v>Cursed Tape</v>
      </c>
      <c r="F72" s="2" t="str">
        <f ca="1">IFERROR(__xludf.DUMMYFUNCTION("""COMPUTED_VALUE"""),"Generic: Monster Fucker/Horny Horror")</f>
        <v>Generic: Monster Fucker/Horny Horror</v>
      </c>
      <c r="G72" s="2" t="str">
        <f ca="1">IFERROR(__xludf.DUMMYFUNCTION("""COMPUTED_VALUE"""),"Powers")</f>
        <v>Powers</v>
      </c>
      <c r="H72" s="2" t="str">
        <f ca="1">IFERROR(__xludf.DUMMYFUNCTION("""COMPUTED_VALUE"""),"This is a cursed video tape bonded to you. It contains a great deal of disturbing imagery, although some is erotic, and some is of you. It’s not for you though, it’s for other people. 
When an individual watches this tape, they’re marked. You can sense t"&amp;"hat they watched the tape and know where they are. They, meanwhile, will receive some form of sign that you know that they watched the tape, like a mysterious phone call. 
You have the chance, once per person who has watched the tape, to teleport to thei"&amp;"r location using a similar medium; like a TV or computer screen. Copies of the tape maintain its full abilities for whatever that means to you. 
This item can transform to better fit your needs. Perhaps it’s a picture book, or a USB drive, or something e"&amp;"lse entirely. In such cases, your teleport changes to suit the medium, such as through paper or e-mail. It cannot take a form that allows for mass-media distribution.")</f>
        <v>This is a cursed video tape bonded to you. It contains a great deal of disturbing imagery, although some is erotic, and some is of you. It’s not for you though, it’s for other people. 
When an individual watches this tape, they’re marked. You can sense that they watched the tape and know where they are. They, meanwhile, will receive some form of sign that you know that they watched the tape, like a mysterious phone call. 
You have the chance, once per person who has watched the tape, to teleport to their location using a similar medium; like a TV or computer screen. Copies of the tape maintain its full abilities for whatever that means to you. 
This item can transform to better fit your needs. Perhaps it’s a picture book, or a USB drive, or something else entirely. In such cases, your teleport changes to suit the medium, such as through paper or e-mail. It cannot take a form that allows for mass-media distribution.</v>
      </c>
      <c r="I72" s="5"/>
    </row>
    <row r="73" spans="1:9" ht="121.8" x14ac:dyDescent="0.25">
      <c r="A73" s="16"/>
      <c r="B73" s="17">
        <v>69</v>
      </c>
      <c r="C73" s="2" t="b">
        <f ca="1">IFERROR(__xludf.DUMMYFUNCTION("""COMPUTED_VALUE"""),FALSE)</f>
        <v>0</v>
      </c>
      <c r="D73" s="2">
        <f ca="1">IFERROR(__xludf.DUMMYFUNCTION("""COMPUTED_VALUE"""),200)</f>
        <v>200</v>
      </c>
      <c r="E73" s="2" t="str">
        <f ca="1">IFERROR(__xludf.DUMMYFUNCTION("""COMPUTED_VALUE"""),"Dark Nimbus")</f>
        <v>Dark Nimbus</v>
      </c>
      <c r="F73" s="2" t="str">
        <f ca="1">IFERROR(__xludf.DUMMYFUNCTION("""COMPUTED_VALUE"""),"Dragon Ball: Troop of Beasts")</f>
        <v>Dragon Ball: Troop of Beasts</v>
      </c>
      <c r="G73" s="2" t="str">
        <f ca="1">IFERROR(__xludf.DUMMYFUNCTION("""COMPUTED_VALUE"""),"Powers")</f>
        <v>Powers</v>
      </c>
      <c r="H73" s="2" t="str">
        <f ca="1">IFERROR(__xludf.DUMMYFUNCTION("""COMPUTED_VALUE"""),"Well, you can already fly, but it never hurts to be able to rest. This is a solid cloud that can fly around and obey your mental commands without you even having to speak. It begins at the speed of a fighter jet, but will become faster to match your own f"&amp;"lying speed should you surpass that. Unlike the Flying Nimbi belonging to Mister Korin, this one is solid not to the pure of heart, but to anyone you allow to ride. Furthermore, it’s as comfortable as the finest bed, so it’s perfect for a rest or some sex"&amp;"y fun during your travels, and accidentally falling from it is impossible no matter how much it loops through the air.")</f>
        <v>Well, you can already fly, but it never hurts to be able to rest. This is a solid cloud that can fly around and obey your mental commands without you even having to speak. It begins at the speed of a fighter jet, but will become faster to match your own flying speed should you surpass that. Unlike the Flying Nimbi belonging to Mister Korin, this one is solid not to the pure of heart, but to anyone you allow to ride. Furthermore, it’s as comfortable as the finest bed, so it’s perfect for a rest or some sexy fun during your travels, and accidentally falling from it is impossible no matter how much it loops through the air.</v>
      </c>
      <c r="I73" s="5"/>
    </row>
    <row r="74" spans="1:9" ht="69.599999999999994" x14ac:dyDescent="0.25">
      <c r="A74" s="16"/>
      <c r="B74" s="17">
        <v>70</v>
      </c>
      <c r="C74" s="2" t="b">
        <f ca="1">IFERROR(__xludf.DUMMYFUNCTION("""COMPUTED_VALUE"""),FALSE)</f>
        <v>0</v>
      </c>
      <c r="D74" s="2">
        <f ca="1">IFERROR(__xludf.DUMMYFUNCTION("""COMPUTED_VALUE"""),200)</f>
        <v>200</v>
      </c>
      <c r="E74" s="2" t="str">
        <f ca="1">IFERROR(__xludf.DUMMYFUNCTION("""COMPUTED_VALUE"""),"Deviance Sensor")</f>
        <v>Deviance Sensor</v>
      </c>
      <c r="F74" s="2" t="str">
        <f ca="1">IFERROR(__xludf.DUMMYFUNCTION("""COMPUTED_VALUE"""),"Ashigei Shoujo Komura-san")</f>
        <v>Ashigei Shoujo Komura-san</v>
      </c>
      <c r="G74" s="2" t="str">
        <f ca="1">IFERROR(__xludf.DUMMYFUNCTION("""COMPUTED_VALUE"""),"Powers")</f>
        <v>Powers</v>
      </c>
      <c r="H74" s="2" t="str">
        <f ca="1">IFERROR(__xludf.DUMMYFUNCTION("""COMPUTED_VALUE"""),"Deviants never rest and nor shall you. You have a sixth sense for misconduct. If there’s potential indecency nearby, you’ll smell it. This can be misled by your own assumption, and won’t help with more serious crimes. Once you single someone out as a trou"&amp;"blemaker, you’ll have an easier time tracking them down in the future.")</f>
        <v>Deviants never rest and nor shall you. You have a sixth sense for misconduct. If there’s potential indecency nearby, you’ll smell it. This can be misled by your own assumption, and won’t help with more serious crimes. Once you single someone out as a troublemaker, you’ll have an easier time tracking them down in the future.</v>
      </c>
      <c r="I74" s="5"/>
    </row>
    <row r="75" spans="1:9" ht="121.8" x14ac:dyDescent="0.25">
      <c r="A75" s="16"/>
      <c r="B75" s="17">
        <v>71</v>
      </c>
      <c r="C75" s="2" t="b">
        <f ca="1">IFERROR(__xludf.DUMMYFUNCTION("""COMPUTED_VALUE"""),FALSE)</f>
        <v>0</v>
      </c>
      <c r="D75" s="2">
        <f ca="1">IFERROR(__xludf.DUMMYFUNCTION("""COMPUTED_VALUE"""),200)</f>
        <v>200</v>
      </c>
      <c r="E75" s="2" t="str">
        <f ca="1">IFERROR(__xludf.DUMMYFUNCTION("""COMPUTED_VALUE"""),"Elven Awareness")</f>
        <v>Elven Awareness</v>
      </c>
      <c r="F75" s="2" t="str">
        <f ca="1">IFERROR(__xludf.DUMMYFUNCTION("""COMPUTED_VALUE"""),"Baalbuddy")</f>
        <v>Baalbuddy</v>
      </c>
      <c r="G75" s="2" t="str">
        <f ca="1">IFERROR(__xludf.DUMMYFUNCTION("""COMPUTED_VALUE"""),"Powers")</f>
        <v>Powers</v>
      </c>
      <c r="H75" s="2" t="str">
        <f ca="1">IFERROR(__xludf.DUMMYFUNCTION("""COMPUTED_VALUE"""),"It’s trivially easy to get laid here. In other settings it’ll be far more difficult so to keep the good times coming you’ve developed a finely-tuned sense for lewdness. Is someone’s fashion choices secretly an advertisement of their fetishes? Are they int"&amp;"erested in something out of curiosity, or voyeurism? Do they hide a core of repressed desires behind a mask of dull propriety? You’re quick to recognize these and other such lewd aspects of a person. The sense extends to sexy places as well, so you’ll eas"&amp;"ily notice hidden brothels and convents filled with perverted nuns no matter how boring their exteriors.")</f>
        <v>It’s trivially easy to get laid here. In other settings it’ll be far more difficult so to keep the good times coming you’ve developed a finely-tuned sense for lewdness. Is someone’s fashion choices secretly an advertisement of their fetishes? Are they interested in something out of curiosity, or voyeurism? Do they hide a core of repressed desires behind a mask of dull propriety? You’re quick to recognize these and other such lewd aspects of a person. The sense extends to sexy places as well, so you’ll easily notice hidden brothels and convents filled with perverted nuns no matter how boring their exteriors.</v>
      </c>
      <c r="I75" s="5"/>
    </row>
    <row r="76" spans="1:9" ht="104.4" x14ac:dyDescent="0.25">
      <c r="A76" s="16"/>
      <c r="B76" s="17">
        <v>72</v>
      </c>
      <c r="C76" s="2" t="b">
        <f ca="1">IFERROR(__xludf.DUMMYFUNCTION("""COMPUTED_VALUE"""),FALSE)</f>
        <v>0</v>
      </c>
      <c r="D76" s="2">
        <f ca="1">IFERROR(__xludf.DUMMYFUNCTION("""COMPUTED_VALUE"""),200)</f>
        <v>200</v>
      </c>
      <c r="E76" s="2" t="str">
        <f ca="1">IFERROR(__xludf.DUMMYFUNCTION("""COMPUTED_VALUE"""),"Endless Summer")</f>
        <v>Endless Summer</v>
      </c>
      <c r="F76" s="2" t="str">
        <f ca="1">IFERROR(__xludf.DUMMYFUNCTION("""COMPUTED_VALUE"""),"Ane Naru Mono")</f>
        <v>Ane Naru Mono</v>
      </c>
      <c r="G76" s="2" t="str">
        <f ca="1">IFERROR(__xludf.DUMMYFUNCTION("""COMPUTED_VALUE"""),"Powers")</f>
        <v>Powers</v>
      </c>
      <c r="H76" s="2" t="str">
        <f ca="1">IFERROR(__xludf.DUMMYFUNCTION("""COMPUTED_VALUE"""),"Yuu found Chiyo in the first days of summer, and they have been living together ever since in peace. Bar one or two incidents, but even then they ended quickly. Pick your favorite season. That season will now bend ever so slightly to accommodate you. Noth"&amp;"ing major, simply more beautiful. The flowers bloom while you are there to watch, the leaves fall in a beautiful dance that somehow misses your yard, and the clouds get out of the way when you want to watch the moon. Idyllic, peaceful days.")</f>
        <v>Yuu found Chiyo in the first days of summer, and they have been living together ever since in peace. Bar one or two incidents, but even then they ended quickly. Pick your favorite season. That season will now bend ever so slightly to accommodate you. Nothing major, simply more beautiful. The flowers bloom while you are there to watch, the leaves fall in a beautiful dance that somehow misses your yard, and the clouds get out of the way when you want to watch the moon. Idyllic, peaceful days.</v>
      </c>
      <c r="I76" s="5"/>
    </row>
    <row r="77" spans="1:9" ht="139.19999999999999" x14ac:dyDescent="0.25">
      <c r="A77" s="16"/>
      <c r="B77" s="17">
        <v>73</v>
      </c>
      <c r="C77" s="2" t="b">
        <f ca="1">IFERROR(__xludf.DUMMYFUNCTION("""COMPUTED_VALUE"""),FALSE)</f>
        <v>0</v>
      </c>
      <c r="D77" s="2">
        <f ca="1">IFERROR(__xludf.DUMMYFUNCTION("""COMPUTED_VALUE"""),200)</f>
        <v>200</v>
      </c>
      <c r="E77" s="2" t="str">
        <f ca="1">IFERROR(__xludf.DUMMYFUNCTION("""COMPUTED_VALUE"""),"God's Body")</f>
        <v>God's Body</v>
      </c>
      <c r="F77" s="2" t="str">
        <f ca="1">IFERROR(__xludf.DUMMYFUNCTION("""COMPUTED_VALUE"""),"Archangel of Love, Love Mary ~Malignant Conception~")</f>
        <v>Archangel of Love, Love Mary ~Malignant Conception~</v>
      </c>
      <c r="G77" s="2" t="str">
        <f ca="1">IFERROR(__xludf.DUMMYFUNCTION("""COMPUTED_VALUE"""),"Powers")</f>
        <v>Powers</v>
      </c>
      <c r="H77" s="2" t="str">
        <f ca="1">IFERROR(__xludf.DUMMYFUNCTION("""COMPUTED_VALUE"""),"Elysium has seen fit to grant you permission to control a small portion of his mighty flesh; you are capable of summoning some small parts of his body, such as tentacles to bind an enemy, or one of his mighty tentacle-cocks to impale your enemy upon — the"&amp;" pleasure brought about by the demon god’s appendages are beyond this world. Even an experienced whore could be brought low by such ecstasy, so say nothing of a naïve schoolgirl acting the part of an Archangel. Should you be a God, you can instead gift ot"&amp;"hers people spells that allow them to summon, shape, and control a portion of your flesh, although it’s more like they tell you what they want you to do, and you either do it or ignore them.")</f>
        <v>Elysium has seen fit to grant you permission to control a small portion of his mighty flesh; you are capable of summoning some small parts of his body, such as tentacles to bind an enemy, or one of his mighty tentacle-cocks to impale your enemy upon — the pleasure brought about by the demon god’s appendages are beyond this world. Even an experienced whore could be brought low by such ecstasy, so say nothing of a naïve schoolgirl acting the part of an Archangel. Should you be a God, you can instead gift others people spells that allow them to summon, shape, and control a portion of your flesh, although it’s more like they tell you what they want you to do, and you either do it or ignore them.</v>
      </c>
      <c r="I77" s="5"/>
    </row>
    <row r="78" spans="1:9" ht="139.19999999999999" x14ac:dyDescent="0.25">
      <c r="A78" s="16"/>
      <c r="B78" s="17">
        <v>74</v>
      </c>
      <c r="C78" s="2" t="b">
        <f ca="1">IFERROR(__xludf.DUMMYFUNCTION("""COMPUTED_VALUE"""),FALSE)</f>
        <v>0</v>
      </c>
      <c r="D78" s="2">
        <f ca="1">IFERROR(__xludf.DUMMYFUNCTION("""COMPUTED_VALUE"""),200)</f>
        <v>200</v>
      </c>
      <c r="E78" s="2" t="str">
        <f ca="1">IFERROR(__xludf.DUMMYFUNCTION("""COMPUTED_VALUE"""),"Horny Teenagers")</f>
        <v>Horny Teenagers</v>
      </c>
      <c r="F78" s="2" t="str">
        <f ca="1">IFERROR(__xludf.DUMMYFUNCTION("""COMPUTED_VALUE"""),"Bible Black")</f>
        <v>Bible Black</v>
      </c>
      <c r="G78" s="2" t="str">
        <f ca="1">IFERROR(__xludf.DUMMYFUNCTION("""COMPUTED_VALUE"""),"Powers")</f>
        <v>Powers</v>
      </c>
      <c r="H78" s="2" t="str">
        <f ca="1">IFERROR(__xludf.DUMMYFUNCTION("""COMPUTED_VALUE"""),"When you put a bunch of hormone-driven teenagers together, sex is eventually going to happen. It doesn’t matter if they’re pure and innocent, they’ll think about partners and romance and stuff. This is especially true with strange girls in black robes sel"&amp;"ling love charms that actually work. What’s a person to do when they have a rather horny lover and nowhere private to go? You now have the ability to find any place with little to no people around, no matter the time of day. Even highly traversed areas ma"&amp;"y have a secret spot or two in them. All of this gives you an opportunity for some sweet loving or a quick fuck with your significant other. This also has the bonus of making you and your partner harder to spot when you’re in the heat of the moment.")</f>
        <v>When you put a bunch of hormone-driven teenagers together, sex is eventually going to happen. It doesn’t matter if they’re pure and innocent, they’ll think about partners and romance and stuff. This is especially true with strange girls in black robes selling love charms that actually work. What’s a person to do when they have a rather horny lover and nowhere private to go? You now have the ability to find any place with little to no people around, no matter the time of day. Even highly traversed areas may have a secret spot or two in them. All of this gives you an opportunity for some sweet loving or a quick fuck with your significant other. This also has the bonus of making you and your partner harder to spot when you’re in the heat of the moment.</v>
      </c>
      <c r="I78" s="5"/>
    </row>
    <row r="79" spans="1:9" ht="208.8" x14ac:dyDescent="0.25">
      <c r="A79" s="16"/>
      <c r="B79" s="17">
        <v>75</v>
      </c>
      <c r="C79" s="2" t="b">
        <f ca="1">IFERROR(__xludf.DUMMYFUNCTION("""COMPUTED_VALUE"""),FALSE)</f>
        <v>0</v>
      </c>
      <c r="D79" s="2">
        <f ca="1">IFERROR(__xludf.DUMMYFUNCTION("""COMPUTED_VALUE"""),200)</f>
        <v>200</v>
      </c>
      <c r="E79" s="2" t="str">
        <f ca="1">IFERROR(__xludf.DUMMYFUNCTION("""COMPUTED_VALUE"""),"Illustrious Fear Boner")</f>
        <v>Illustrious Fear Boner</v>
      </c>
      <c r="F79" s="2" t="str">
        <f ca="1">IFERROR(__xludf.DUMMYFUNCTION("""COMPUTED_VALUE"""),"Generic: Monster Fucker/Horny Horror")</f>
        <v>Generic: Monster Fucker/Horny Horror</v>
      </c>
      <c r="G79" s="2" t="str">
        <f ca="1">IFERROR(__xludf.DUMMYFUNCTION("""COMPUTED_VALUE"""),"Powers")</f>
        <v>Powers</v>
      </c>
      <c r="H79" s="2" t="str">
        <f ca="1">IFERROR(__xludf.DUMMYFUNCTION("""COMPUTED_VALUE"""),"“Well jeez dude, I know I keep saying you’re scary but I didn’t think about you being downright horrifying. You’d send shivers down anyone’s spine, and I don’t mean in the good way! Wait, do I?""
You’re granted incredible skill with inspiring fear and dr"&amp;"ead in others. You can even toggle a small aura of fear on if you want. By default this can help make those you’re pursuing slip up, but it also has a strange side effect. There’s a secondary toggle you can selectively switch on for anyone who currently f"&amp;"ears you. When switched on, you switch them on. That is to say, the more someone is intimidated by you, the more aroused they get. Maybe it’s adrenaline?
But wait, there’s actually one more toggle to play with! Rather than fear, or arousal from fear, you"&amp;" may also toggle a final ability that transforms fear based abilities, causing them to instead increase sexual appeal, at least for those into monsters in the first place.")</f>
        <v>“Well jeez dude, I know I keep saying you’re scary but I didn’t think about you being downright horrifying. You’d send shivers down anyone’s spine, and I don’t mean in the good way! Wait, do I?"
You’re granted incredible skill with inspiring fear and dread in others. You can even toggle a small aura of fear on if you want. By default this can help make those you’re pursuing slip up, but it also has a strange side effect. There’s a secondary toggle you can selectively switch on for anyone who currently fears you. When switched on, you switch them on. That is to say, the more someone is intimidated by you, the more aroused they get. Maybe it’s adrenaline?
But wait, there’s actually one more toggle to play with! Rather than fear, or arousal from fear, you may also toggle a final ability that transforms fear based abilities, causing them to instead increase sexual appeal, at least for those into monsters in the first place.</v>
      </c>
      <c r="I79" s="5"/>
    </row>
    <row r="80" spans="1:9" ht="104.4" x14ac:dyDescent="0.25">
      <c r="A80" s="16"/>
      <c r="B80" s="17">
        <v>76</v>
      </c>
      <c r="C80" s="2" t="b">
        <f ca="1">IFERROR(__xludf.DUMMYFUNCTION("""COMPUTED_VALUE"""),FALSE)</f>
        <v>0</v>
      </c>
      <c r="D80" s="2">
        <f ca="1">IFERROR(__xludf.DUMMYFUNCTION("""COMPUTED_VALUE"""),200)</f>
        <v>200</v>
      </c>
      <c r="E80" s="2" t="str">
        <f ca="1">IFERROR(__xludf.DUMMYFUNCTION("""COMPUTED_VALUE"""),"Interplay of Sex and Violence")</f>
        <v>Interplay of Sex and Violence</v>
      </c>
      <c r="F80" s="2" t="str">
        <f ca="1">IFERROR(__xludf.DUMMYFUNCTION("""COMPUTED_VALUE"""),"Carbon Pink")</f>
        <v>Carbon Pink</v>
      </c>
      <c r="G80" s="2" t="str">
        <f ca="1">IFERROR(__xludf.DUMMYFUNCTION("""COMPUTED_VALUE"""),"Powers")</f>
        <v>Powers</v>
      </c>
      <c r="H80" s="2" t="str">
        <f ca="1">IFERROR(__xludf.DUMMYFUNCTION("""COMPUTED_VALUE"""),"Now you may find that your time focusing on fighting causes you to fall behind a little when it comes to more...carnal delights. Thankfully, with this perk, you can now convert damage you may be able to deal with attacks, tech or anything else into stimul"&amp;"ation of the same type. It’ll take around the same amount of stimulation to bring someone to climax as it would to defeat them through dealing damage. Furthermore, your natural implements can benefit from anything that would benefit natural weapons, but o"&amp;"nly in the context of sexual advances.")</f>
        <v>Now you may find that your time focusing on fighting causes you to fall behind a little when it comes to more...carnal delights. Thankfully, with this perk, you can now convert damage you may be able to deal with attacks, tech or anything else into stimulation of the same type. It’ll take around the same amount of stimulation to bring someone to climax as it would to defeat them through dealing damage. Furthermore, your natural implements can benefit from anything that would benefit natural weapons, but only in the context of sexual advances.</v>
      </c>
      <c r="I80" s="5"/>
    </row>
    <row r="81" spans="1:9" ht="69.599999999999994" x14ac:dyDescent="0.25">
      <c r="A81" s="16"/>
      <c r="B81" s="17">
        <v>77</v>
      </c>
      <c r="C81" s="2" t="b">
        <f ca="1">IFERROR(__xludf.DUMMYFUNCTION("""COMPUTED_VALUE"""),FALSE)</f>
        <v>0</v>
      </c>
      <c r="D81" s="2">
        <f ca="1">IFERROR(__xludf.DUMMYFUNCTION("""COMPUTED_VALUE"""),200)</f>
        <v>200</v>
      </c>
      <c r="E81" s="2" t="str">
        <f ca="1">IFERROR(__xludf.DUMMYFUNCTION("""COMPUTED_VALUE"""),"Jar of Pollen")</f>
        <v>Jar of Pollen</v>
      </c>
      <c r="F81" s="2" t="str">
        <f ca="1">IFERROR(__xludf.DUMMYFUNCTION("""COMPUTED_VALUE"""),"Generic: Hentai Modern")</f>
        <v>Generic: Hentai Modern</v>
      </c>
      <c r="G81" s="2" t="str">
        <f ca="1">IFERROR(__xludf.DUMMYFUNCTION("""COMPUTED_VALUE"""),"Powers")</f>
        <v>Powers</v>
      </c>
      <c r="H81" s="2" t="str">
        <f ca="1">IFERROR(__xludf.DUMMYFUNCTION("""COMPUTED_VALUE"""),"A jar of pollen, guaranteed to set off allergies of anyone it gets near. Non-fatally, of course. Anyways, once spread, this takes the form off a decently sized horde of naked women who will proceed to molest absolutely everybody they see, and sleep with t"&amp;"hem if at all possible. They don’t register as anything other than pollen to anyone but you, so all of that sex will be unaware sex.")</f>
        <v>A jar of pollen, guaranteed to set off allergies of anyone it gets near. Non-fatally, of course. Anyways, once spread, this takes the form off a decently sized horde of naked women who will proceed to molest absolutely everybody they see, and sleep with them if at all possible. They don’t register as anything other than pollen to anyone but you, so all of that sex will be unaware sex.</v>
      </c>
      <c r="I81" s="5"/>
    </row>
    <row r="82" spans="1:9" ht="121.8" x14ac:dyDescent="0.25">
      <c r="A82" s="16"/>
      <c r="B82" s="17">
        <v>78</v>
      </c>
      <c r="C82" s="2" t="b">
        <f ca="1">IFERROR(__xludf.DUMMYFUNCTION("""COMPUTED_VALUE"""),FALSE)</f>
        <v>0</v>
      </c>
      <c r="D82" s="2">
        <f ca="1">IFERROR(__xludf.DUMMYFUNCTION("""COMPUTED_VALUE"""),200)</f>
        <v>200</v>
      </c>
      <c r="E82" s="2" t="str">
        <f ca="1">IFERROR(__xludf.DUMMYFUNCTION("""COMPUTED_VALUE"""),"Just Jiggle the Knobs")</f>
        <v>Just Jiggle the Knobs</v>
      </c>
      <c r="F82" s="2" t="str">
        <f ca="1">IFERROR(__xludf.DUMMYFUNCTION("""COMPUTED_VALUE"""),"Miyuki-chan in Wonderland")</f>
        <v>Miyuki-chan in Wonderland</v>
      </c>
      <c r="G82" s="2" t="str">
        <f ca="1">IFERROR(__xludf.DUMMYFUNCTION("""COMPUTED_VALUE"""),"Powers")</f>
        <v>Powers</v>
      </c>
      <c r="H82" s="2" t="str">
        <f ca="1">IFERROR(__xludf.DUMMYFUNCTION("""COMPUTED_VALUE"""),"You can act as a living door past any solid wall, even when there is no apparent door, as long as you stand with your back to the barrier. How so? Well, if someone wants to pass through the door, they just have to turn the knobs enough – your breasts. Aft"&amp;"er enough fiddling, the subject will be seemingly absorbed into you, only to end up on the other side of the wall, albeit flipped upside down. If you place yourself in front of an existing door, the only way through is through you; in the case you want to"&amp;" be especially secure, you can “lock” yourself, with the “keyhole” down below requiring sufficient attention before anyone can use your “knobs” to enter.")</f>
        <v>You can act as a living door past any solid wall, even when there is no apparent door, as long as you stand with your back to the barrier. How so? Well, if someone wants to pass through the door, they just have to turn the knobs enough – your breasts. After enough fiddling, the subject will be seemingly absorbed into you, only to end up on the other side of the wall, albeit flipped upside down. If you place yourself in front of an existing door, the only way through is through you; in the case you want to be especially secure, you can “lock” yourself, with the “keyhole” down below requiring sufficient attention before anyone can use your “knobs” to enter.</v>
      </c>
      <c r="I82" s="5"/>
    </row>
    <row r="83" spans="1:9" ht="52.2" x14ac:dyDescent="0.25">
      <c r="A83" s="16"/>
      <c r="B83" s="17">
        <v>79</v>
      </c>
      <c r="C83" s="2" t="b">
        <f ca="1">IFERROR(__xludf.DUMMYFUNCTION("""COMPUTED_VALUE"""),FALSE)</f>
        <v>0</v>
      </c>
      <c r="D83" s="2">
        <f ca="1">IFERROR(__xludf.DUMMYFUNCTION("""COMPUTED_VALUE"""),200)</f>
        <v>200</v>
      </c>
      <c r="E83" s="2" t="str">
        <f ca="1">IFERROR(__xludf.DUMMYFUNCTION("""COMPUTED_VALUE"""),"Lewd Armour")</f>
        <v>Lewd Armour</v>
      </c>
      <c r="F83" s="2" t="str">
        <f ca="1">IFERROR(__xludf.DUMMYFUNCTION("""COMPUTED_VALUE"""),"Queen's Blade")</f>
        <v>Queen's Blade</v>
      </c>
      <c r="G83" s="2" t="str">
        <f ca="1">IFERROR(__xludf.DUMMYFUNCTION("""COMPUTED_VALUE"""),"Powers")</f>
        <v>Powers</v>
      </c>
      <c r="H83" s="2" t="str">
        <f ca="1">IFERROR(__xludf.DUMMYFUNCTION("""COMPUTED_VALUE"""),"Instead of taking damage directly you may force it onto whatever you’re wearing, slowly causing your armour (or clothes) to come apart. If what you're wearing is indestructible, then this is only partially effective...assuming that the being attacking you"&amp;" isn't strong enough to destroy it anyway.")</f>
        <v>Instead of taking damage directly you may force it onto whatever you’re wearing, slowly causing your armour (or clothes) to come apart. If what you're wearing is indestructible, then this is only partially effective...assuming that the being attacking you isn't strong enough to destroy it anyway.</v>
      </c>
      <c r="I83" s="5"/>
    </row>
    <row r="84" spans="1:9" ht="104.4" x14ac:dyDescent="0.25">
      <c r="A84" s="16"/>
      <c r="B84" s="17">
        <v>80</v>
      </c>
      <c r="C84" s="2" t="b">
        <f ca="1">IFERROR(__xludf.DUMMYFUNCTION("""COMPUTED_VALUE"""),FALSE)</f>
        <v>0</v>
      </c>
      <c r="D84" s="2">
        <f ca="1">IFERROR(__xludf.DUMMYFUNCTION("""COMPUTED_VALUE"""),200)</f>
        <v>200</v>
      </c>
      <c r="E84" s="2" t="str">
        <f ca="1">IFERROR(__xludf.DUMMYFUNCTION("""COMPUTED_VALUE"""),"Lustful Resonance")</f>
        <v>Lustful Resonance</v>
      </c>
      <c r="F84" s="2" t="str">
        <f ca="1">IFERROR(__xludf.DUMMYFUNCTION("""COMPUTED_VALUE"""),"Prina the Dungeoneering Princess")</f>
        <v>Prina the Dungeoneering Princess</v>
      </c>
      <c r="G84" s="2" t="str">
        <f ca="1">IFERROR(__xludf.DUMMYFUNCTION("""COMPUTED_VALUE"""),"Powers")</f>
        <v>Powers</v>
      </c>
      <c r="H84" s="2" t="str">
        <f ca="1">IFERROR(__xludf.DUMMYFUNCTION("""COMPUTED_VALUE"""),"A wonderful power that the demons have cultivated for themselves. When their partner is on the verge of orgasm, they synchronize their pleasure with yours for a split second and force you to orgasm twice at once. As you might imagine, many many adventurer"&amp;"s have fallen to lust once exposed to this. However, it seems you’ve been practicing, because you can chain these orgasms together. The first orgasm is two at once. The second is three at once. The third is a mind blowing four orgasms at once. How high ca"&amp;"n you count, and how long can the two of you last?")</f>
        <v>A wonderful power that the demons have cultivated for themselves. When their partner is on the verge of orgasm, they synchronize their pleasure with yours for a split second and force you to orgasm twice at once. As you might imagine, many many adventurers have fallen to lust once exposed to this. However, it seems you’ve been practicing, because you can chain these orgasms together. The first orgasm is two at once. The second is three at once. The third is a mind blowing four orgasms at once. How high can you count, and how long can the two of you last?</v>
      </c>
      <c r="I84" s="5"/>
    </row>
    <row r="85" spans="1:9" ht="87" x14ac:dyDescent="0.25">
      <c r="A85" s="16"/>
      <c r="B85" s="17">
        <v>81</v>
      </c>
      <c r="C85" s="2" t="b">
        <f ca="1">IFERROR(__xludf.DUMMYFUNCTION("""COMPUTED_VALUE"""),FALSE)</f>
        <v>0</v>
      </c>
      <c r="D85" s="2">
        <f ca="1">IFERROR(__xludf.DUMMYFUNCTION("""COMPUTED_VALUE"""),200)</f>
        <v>200</v>
      </c>
      <c r="E85" s="2" t="str">
        <f ca="1">IFERROR(__xludf.DUMMYFUNCTION("""COMPUTED_VALUE"""),"Mad With Lust")</f>
        <v>Mad With Lust</v>
      </c>
      <c r="F85" s="2" t="str">
        <f ca="1">IFERROR(__xludf.DUMMYFUNCTION("""COMPUTED_VALUE"""),"Adam and Gaia")</f>
        <v>Adam and Gaia</v>
      </c>
      <c r="G85" s="2" t="str">
        <f ca="1">IFERROR(__xludf.DUMMYFUNCTION("""COMPUTED_VALUE"""),"Powers")</f>
        <v>Powers</v>
      </c>
      <c r="H85" s="2" t="str">
        <f ca="1">IFERROR(__xludf.DUMMYFUNCTION("""COMPUTED_VALUE"""),"To be quite frank there are a LOT of desperate women and monster girls in the world. Especially considering there may be at most two other living males on the planet it doesn’t exactly leave a lot of options for these girls. You are able to sense these fe"&amp;"elings of lust and easily locate someone who would be open to have sex with you no questions asked which around here is a lot more common than you would expect.")</f>
        <v>To be quite frank there are a LOT of desperate women and monster girls in the world. Especially considering there may be at most two other living males on the planet it doesn’t exactly leave a lot of options for these girls. You are able to sense these feelings of lust and easily locate someone who would be open to have sex with you no questions asked which around here is a lot more common than you would expect.</v>
      </c>
      <c r="I85" s="5"/>
    </row>
    <row r="86" spans="1:9" ht="139.19999999999999" x14ac:dyDescent="0.25">
      <c r="A86" s="16"/>
      <c r="B86" s="17">
        <v>82</v>
      </c>
      <c r="C86" s="2" t="b">
        <f ca="1">IFERROR(__xludf.DUMMYFUNCTION("""COMPUTED_VALUE"""),FALSE)</f>
        <v>0</v>
      </c>
      <c r="D86" s="2">
        <f ca="1">IFERROR(__xludf.DUMMYFUNCTION("""COMPUTED_VALUE"""),200)</f>
        <v>200</v>
      </c>
      <c r="E86" s="2" t="str">
        <f ca="1">IFERROR(__xludf.DUMMYFUNCTION("""COMPUTED_VALUE"""),"Master of Elves")</f>
        <v>Master of Elves</v>
      </c>
      <c r="F86" s="2" t="str">
        <f ca="1">IFERROR(__xludf.DUMMYFUNCTION("""COMPUTED_VALUE"""),"High Elf x High School")</f>
        <v>High Elf x High School</v>
      </c>
      <c r="G86" s="2" t="str">
        <f ca="1">IFERROR(__xludf.DUMMYFUNCTION("""COMPUTED_VALUE"""),"Powers")</f>
        <v>Powers</v>
      </c>
      <c r="H86" s="2" t="str">
        <f ca="1">IFERROR(__xludf.DUMMYFUNCTION("""COMPUTED_VALUE"""),"Select a single species at the start of each decade. Everything you do, including the usage of all your perks and abilities, is more effective in a positive manner when it comes to that race. Sex is more pleasurable, charisma perks are more effective, you"&amp;"r intellect can more readily dissect their behavior, and combat against that race is easier for you.
Furthermore, each perk or ability you may have that would normally only be effective against a single species, race, or type of being, can now be “re-ass"&amp;"igned” each decade to target a different race on an individual basis.")</f>
        <v>Select a single species at the start of each decade. Everything you do, including the usage of all your perks and abilities, is more effective in a positive manner when it comes to that race. Sex is more pleasurable, charisma perks are more effective, your intellect can more readily dissect their behavior, and combat against that race is easier for you.
Furthermore, each perk or ability you may have that would normally only be effective against a single species, race, or type of being, can now be “re-assigned” each decade to target a different race on an individual basis.</v>
      </c>
      <c r="I86" s="5"/>
    </row>
    <row r="87" spans="1:9" ht="87" x14ac:dyDescent="0.25">
      <c r="A87" s="16"/>
      <c r="B87" s="17">
        <v>83</v>
      </c>
      <c r="C87" s="2" t="b">
        <f ca="1">IFERROR(__xludf.DUMMYFUNCTION("""COMPUTED_VALUE"""),FALSE)</f>
        <v>0</v>
      </c>
      <c r="D87" s="2">
        <f ca="1">IFERROR(__xludf.DUMMYFUNCTION("""COMPUTED_VALUE"""),200)</f>
        <v>200</v>
      </c>
      <c r="E87" s="2" t="str">
        <f ca="1">IFERROR(__xludf.DUMMYFUNCTION("""COMPUTED_VALUE"""),"Motherly")</f>
        <v>Motherly</v>
      </c>
      <c r="F87" s="2" t="str">
        <f ca="1">IFERROR(__xludf.DUMMYFUNCTION("""COMPUTED_VALUE"""),"Ane Naru Mono")</f>
        <v>Ane Naru Mono</v>
      </c>
      <c r="G87" s="2" t="str">
        <f ca="1">IFERROR(__xludf.DUMMYFUNCTION("""COMPUTED_VALUE"""),"Powers")</f>
        <v>Powers</v>
      </c>
      <c r="H87" s="2" t="str">
        <f ca="1">IFERROR(__xludf.DUMMYFUNCTION("""COMPUTED_VALUE"""),"When you set yourself to a task, you gain an incredible amount of insight into what needs to be done. There are a thousand and one things in a house to clean, and you now know all of them! ...What you don’t know is how to clean though. At least, not witho"&amp;"ut breaking everything. Regardless, once you’ve decided what role to take, you know the do’s and don’ts of that role. Actually being good at it is another thing entirely.")</f>
        <v>When you set yourself to a task, you gain an incredible amount of insight into what needs to be done. There are a thousand and one things in a house to clean, and you now know all of them! ...What you don’t know is how to clean though. At least, not without breaking everything. Regardless, once you’ve decided what role to take, you know the do’s and don’ts of that role. Actually being good at it is another thing entirely.</v>
      </c>
      <c r="I87" s="5"/>
    </row>
    <row r="88" spans="1:9" ht="87" x14ac:dyDescent="0.25">
      <c r="A88" s="16"/>
      <c r="B88" s="17">
        <v>84</v>
      </c>
      <c r="C88" s="2" t="b">
        <f ca="1">IFERROR(__xludf.DUMMYFUNCTION("""COMPUTED_VALUE"""),FALSE)</f>
        <v>0</v>
      </c>
      <c r="D88" s="2">
        <f ca="1">IFERROR(__xludf.DUMMYFUNCTION("""COMPUTED_VALUE"""),200)</f>
        <v>200</v>
      </c>
      <c r="E88" s="2" t="str">
        <f ca="1">IFERROR(__xludf.DUMMYFUNCTION("""COMPUTED_VALUE"""),"Multitasking Telekinetic")</f>
        <v>Multitasking Telekinetic</v>
      </c>
      <c r="F88" s="2" t="str">
        <f ca="1">IFERROR(__xludf.DUMMYFUNCTION("""COMPUTED_VALUE"""),"Generic: Hentai Superheroes")</f>
        <v>Generic: Hentai Superheroes</v>
      </c>
      <c r="G88" s="2" t="str">
        <f ca="1">IFERROR(__xludf.DUMMYFUNCTION("""COMPUTED_VALUE"""),"Powers")</f>
        <v>Powers</v>
      </c>
      <c r="H88" s="2" t="str">
        <f ca="1">IFERROR(__xludf.DUMMYFUNCTION("""COMPUTED_VALUE"""),"​Some psychics find it difficult to deal with distractions or focus on multiple things at one time. You’re not one of them. You can focus your telekinesis on a dozen objects, causing them to go through a pre-programmed behavior, with alterations whenever "&amp;"you spare a thought to it. With lots of practice and training, this amount and control can improve further. Sit on air, read a book, and at the same time, use a bunch of toys to give your friends/captives screaming orgasm.")</f>
        <v>​Some psychics find it difficult to deal with distractions or focus on multiple things at one time. You’re not one of them. You can focus your telekinesis on a dozen objects, causing them to go through a pre-programmed behavior, with alterations whenever you spare a thought to it. With lots of practice and training, this amount and control can improve further. Sit on air, read a book, and at the same time, use a bunch of toys to give your friends/captives screaming orgasm.</v>
      </c>
      <c r="I88" s="5"/>
    </row>
    <row r="89" spans="1:9" ht="69.599999999999994" x14ac:dyDescent="0.25">
      <c r="A89" s="16"/>
      <c r="B89" s="17">
        <v>85</v>
      </c>
      <c r="C89" s="2" t="b">
        <f ca="1">IFERROR(__xludf.DUMMYFUNCTION("""COMPUTED_VALUE"""),FALSE)</f>
        <v>0</v>
      </c>
      <c r="D89" s="2">
        <f ca="1">IFERROR(__xludf.DUMMYFUNCTION("""COMPUTED_VALUE"""),200)</f>
        <v>200</v>
      </c>
      <c r="E89" s="2" t="str">
        <f ca="1">IFERROR(__xludf.DUMMYFUNCTION("""COMPUTED_VALUE"""),"Netorare")</f>
        <v>Netorare</v>
      </c>
      <c r="F89" s="2" t="str">
        <f ca="1">IFERROR(__xludf.DUMMYFUNCTION("""COMPUTED_VALUE"""),"Generic: Hentai Modern")</f>
        <v>Generic: Hentai Modern</v>
      </c>
      <c r="G89" s="2" t="str">
        <f ca="1">IFERROR(__xludf.DUMMYFUNCTION("""COMPUTED_VALUE"""),"Powers")</f>
        <v>Powers</v>
      </c>
      <c r="H89" s="2" t="str">
        <f ca="1">IFERROR(__xludf.DUMMYFUNCTION("""COMPUTED_VALUE"""),"Now obviously, sleeping with other people's spouses is really bad. However, you seem to be immune to that specific social taboo. And by that, you can flirt with, molest, or flat out fuck a woman while her boyfriend/husband watches and neither of them will"&amp;" think anything is wrong. Bonus points if she starts flirting back because you’re a better lay.")</f>
        <v>Now obviously, sleeping with other people's spouses is really bad. However, you seem to be immune to that specific social taboo. And by that, you can flirt with, molest, or flat out fuck a woman while her boyfriend/husband watches and neither of them will think anything is wrong. Bonus points if she starts flirting back because you’re a better lay.</v>
      </c>
      <c r="I89" s="5"/>
    </row>
    <row r="90" spans="1:9" ht="87" x14ac:dyDescent="0.25">
      <c r="A90" s="16"/>
      <c r="B90" s="17">
        <v>86</v>
      </c>
      <c r="C90" s="2" t="b">
        <f ca="1">IFERROR(__xludf.DUMMYFUNCTION("""COMPUTED_VALUE"""),FALSE)</f>
        <v>0</v>
      </c>
      <c r="D90" s="2">
        <f ca="1">IFERROR(__xludf.DUMMYFUNCTION("""COMPUTED_VALUE"""),200)</f>
        <v>200</v>
      </c>
      <c r="E90" s="2" t="str">
        <f ca="1">IFERROR(__xludf.DUMMYFUNCTION("""COMPUTED_VALUE"""),"Pain and Pleasure")</f>
        <v>Pain and Pleasure</v>
      </c>
      <c r="F90" s="2" t="str">
        <f ca="1">IFERROR(__xludf.DUMMYFUNCTION("""COMPUTED_VALUE"""),"Karryn’s Prison")</f>
        <v>Karryn’s Prison</v>
      </c>
      <c r="G90" s="2" t="str">
        <f ca="1">IFERROR(__xludf.DUMMYFUNCTION("""COMPUTED_VALUE"""),"Powers")</f>
        <v>Powers</v>
      </c>
      <c r="H90" s="2" t="str">
        <f ca="1">IFERROR(__xludf.DUMMYFUNCTION("""COMPUTED_VALUE"""),"Depending on your exact job, you might be doing a great deal of fighting so why don’t you enjoy it to the fullest~? Whether you’re more of a sadist, a masochist or both, channeling your desire to give or receive pain will grant you suitable bonuses in com"&amp;"bat, such as an increase in raw power or the ability to deal vicious blows from sadism or an increase in endurance and the ability to attract people’s attention in all sorts of fun ways for masochism.")</f>
        <v>Depending on your exact job, you might be doing a great deal of fighting so why don’t you enjoy it to the fullest~? Whether you’re more of a sadist, a masochist or both, channeling your desire to give or receive pain will grant you suitable bonuses in combat, such as an increase in raw power or the ability to deal vicious blows from sadism or an increase in endurance and the ability to attract people’s attention in all sorts of fun ways for masochism.</v>
      </c>
      <c r="I90" s="5"/>
    </row>
    <row r="91" spans="1:9" ht="69.599999999999994" x14ac:dyDescent="0.25">
      <c r="A91" s="16"/>
      <c r="B91" s="17">
        <v>87</v>
      </c>
      <c r="C91" s="2" t="b">
        <f ca="1">IFERROR(__xludf.DUMMYFUNCTION("""COMPUTED_VALUE"""),FALSE)</f>
        <v>0</v>
      </c>
      <c r="D91" s="2">
        <f ca="1">IFERROR(__xludf.DUMMYFUNCTION("""COMPUTED_VALUE"""),200)</f>
        <v>200</v>
      </c>
      <c r="E91" s="2" t="str">
        <f ca="1">IFERROR(__xludf.DUMMYFUNCTION("""COMPUTED_VALUE"""),"Pawn Slap")</f>
        <v>Pawn Slap</v>
      </c>
      <c r="F91" s="2" t="str">
        <f ca="1">IFERROR(__xludf.DUMMYFUNCTION("""COMPUTED_VALUE"""),"Miyuki-chan in Wonderland")</f>
        <v>Miyuki-chan in Wonderland</v>
      </c>
      <c r="G91" s="2" t="str">
        <f ca="1">IFERROR(__xludf.DUMMYFUNCTION("""COMPUTED_VALUE"""),"Powers")</f>
        <v>Powers</v>
      </c>
      <c r="H91" s="2" t="str">
        <f ca="1">IFERROR(__xludf.DUMMYFUNCTION("""COMPUTED_VALUE"""),"If you can give your opponent a strong slap on the face – whether with your hand or with a weapon you’re wielding – and make her or him fall backward, all of the target’s clothing will disappear, with the exception of headgear and footwear. Only works whe"&amp;"n you are on the offensive, and you cannot use this if the opponent defends herself or is attacking you.")</f>
        <v>If you can give your opponent a strong slap on the face – whether with your hand or with a weapon you’re wielding – and make her or him fall backward, all of the target’s clothing will disappear, with the exception of headgear and footwear. Only works when you are on the offensive, and you cannot use this if the opponent defends herself or is attacking you.</v>
      </c>
      <c r="I91" s="5"/>
    </row>
    <row r="92" spans="1:9" ht="104.4" x14ac:dyDescent="0.25">
      <c r="A92" s="16"/>
      <c r="B92" s="17">
        <v>88</v>
      </c>
      <c r="C92" s="2" t="b">
        <f ca="1">IFERROR(__xludf.DUMMYFUNCTION("""COMPUTED_VALUE"""),FALSE)</f>
        <v>0</v>
      </c>
      <c r="D92" s="2">
        <f ca="1">IFERROR(__xludf.DUMMYFUNCTION("""COMPUTED_VALUE"""),200)</f>
        <v>200</v>
      </c>
      <c r="E92" s="2" t="str">
        <f ca="1">IFERROR(__xludf.DUMMYFUNCTION("""COMPUTED_VALUE"""),"Powered by Pain")</f>
        <v>Powered by Pain</v>
      </c>
      <c r="F92" s="2" t="str">
        <f ca="1">IFERROR(__xludf.DUMMYFUNCTION("""COMPUTED_VALUE"""),"Princess Sacrifice")</f>
        <v>Princess Sacrifice</v>
      </c>
      <c r="G92" s="2" t="str">
        <f ca="1">IFERROR(__xludf.DUMMYFUNCTION("""COMPUTED_VALUE"""),"Powers")</f>
        <v>Powers</v>
      </c>
      <c r="H92" s="2" t="str">
        <f ca="1">IFERROR(__xludf.DUMMYFUNCTION("""COMPUTED_VALUE"""),"In any adventure, someone is going to get hurt. Normally, you would rather it be the person you are fighting than yourself. But as the fight drags on, you’ll weaken and soon you’ll be unable to execute even your simplest of abilities. Luckily, this perk i"&amp;"s the answer. When you cause damage to your opponent(s) or take damage from them, you will regenerate power (whether magical, spiritual, etc). The best part about it is that the stronger (or more depraved) you become, the greater and more reliable the eff"&amp;"ect.")</f>
        <v>In any adventure, someone is going to get hurt. Normally, you would rather it be the person you are fighting than yourself. But as the fight drags on, you’ll weaken and soon you’ll be unable to execute even your simplest of abilities. Luckily, this perk is the answer. When you cause damage to your opponent(s) or take damage from them, you will regenerate power (whether magical, spiritual, etc). The best part about it is that the stronger (or more depraved) you become, the greater and more reliable the effect.</v>
      </c>
      <c r="I92" s="5"/>
    </row>
    <row r="93" spans="1:9" ht="69.599999999999994" x14ac:dyDescent="0.25">
      <c r="A93" s="16"/>
      <c r="B93" s="17">
        <v>89</v>
      </c>
      <c r="C93" s="2" t="b">
        <f ca="1">IFERROR(__xludf.DUMMYFUNCTION("""COMPUTED_VALUE"""),FALSE)</f>
        <v>0</v>
      </c>
      <c r="D93" s="2">
        <f ca="1">IFERROR(__xludf.DUMMYFUNCTION("""COMPUTED_VALUE"""),200)</f>
        <v>200</v>
      </c>
      <c r="E93" s="2" t="str">
        <f ca="1">IFERROR(__xludf.DUMMYFUNCTION("""COMPUTED_VALUE"""),"Proper Restraint")</f>
        <v>Proper Restraint</v>
      </c>
      <c r="F93" s="2" t="str">
        <f ca="1">IFERROR(__xludf.DUMMYFUNCTION("""COMPUTED_VALUE"""),"Generic: Hentai World")</f>
        <v>Generic: Hentai World</v>
      </c>
      <c r="G93" s="2" t="str">
        <f ca="1">IFERROR(__xludf.DUMMYFUNCTION("""COMPUTED_VALUE"""),"Powers")</f>
        <v>Powers</v>
      </c>
      <c r="H93" s="2" t="str">
        <f ca="1">IFERROR(__xludf.DUMMYFUNCTION("""COMPUTED_VALUE"""),"You can keep easily keep a victim pinned or restrained, adjusting your grip or their bonds and position as necessary, as you have your way with them without this making it any easier for them to escape. Indeed the more, and more often, you have your way w"&amp;"ith them the harder they will find it to escape your clutches either literally or in the sense of a location which you have confined them in.")</f>
        <v>You can keep easily keep a victim pinned or restrained, adjusting your grip or their bonds and position as necessary, as you have your way with them without this making it any easier for them to escape. Indeed the more, and more often, you have your way with them the harder they will find it to escape your clutches either literally or in the sense of a location which you have confined them in.</v>
      </c>
      <c r="I93" s="5"/>
    </row>
    <row r="94" spans="1:9" ht="104.4" x14ac:dyDescent="0.25">
      <c r="A94" s="16"/>
      <c r="B94" s="17">
        <v>90</v>
      </c>
      <c r="C94" s="2" t="b">
        <f ca="1">IFERROR(__xludf.DUMMYFUNCTION("""COMPUTED_VALUE"""),FALSE)</f>
        <v>0</v>
      </c>
      <c r="D94" s="2">
        <f ca="1">IFERROR(__xludf.DUMMYFUNCTION("""COMPUTED_VALUE"""),200)</f>
        <v>200</v>
      </c>
      <c r="E94" s="2" t="str">
        <f ca="1">IFERROR(__xludf.DUMMYFUNCTION("""COMPUTED_VALUE"""),"Realer than Real")</f>
        <v>Realer than Real</v>
      </c>
      <c r="F94" s="2" t="str">
        <f ca="1">IFERROR(__xludf.DUMMYFUNCTION("""COMPUTED_VALUE"""),"How they Fap in Parallel Worlds")</f>
        <v>How they Fap in Parallel Worlds</v>
      </c>
      <c r="G94" s="2" t="str">
        <f ca="1">IFERROR(__xludf.DUMMYFUNCTION("""COMPUTED_VALUE"""),"Powers")</f>
        <v>Powers</v>
      </c>
      <c r="H94" s="2" t="str">
        <f ca="1">IFERROR(__xludf.DUMMYFUNCTION("""COMPUTED_VALUE"""),"It’s far too short-sighted to write off phone sex as a substitute for the real deal. As long as you’re on one end of the line, phone sex somehow feels just as good as actual in-person sex, even if the other person would normally be unable to experience th"&amp;"e pleasure of sex for one reason or another. Any sensual acts done to the phone itself will somehow be felt by the other person, as if it were a sexual organ. Lick the receiver, and it’d be like licking their ear. Ejaculate, and your fluids will somehow t"&amp;"ravel through the phone line.")</f>
        <v>It’s far too short-sighted to write off phone sex as a substitute for the real deal. As long as you’re on one end of the line, phone sex somehow feels just as good as actual in-person sex, even if the other person would normally be unable to experience the pleasure of sex for one reason or another. Any sensual acts done to the phone itself will somehow be felt by the other person, as if it were a sexual organ. Lick the receiver, and it’d be like licking their ear. Ejaculate, and your fluids will somehow travel through the phone line.</v>
      </c>
      <c r="I94" s="5"/>
    </row>
    <row r="95" spans="1:9" ht="139.19999999999999" x14ac:dyDescent="0.25">
      <c r="A95" s="16"/>
      <c r="B95" s="17">
        <v>91</v>
      </c>
      <c r="C95" s="2" t="b">
        <f ca="1">IFERROR(__xludf.DUMMYFUNCTION("""COMPUTED_VALUE"""),FALSE)</f>
        <v>0</v>
      </c>
      <c r="D95" s="2">
        <f ca="1">IFERROR(__xludf.DUMMYFUNCTION("""COMPUTED_VALUE"""),200)</f>
        <v>200</v>
      </c>
      <c r="E95" s="2" t="str">
        <f ca="1">IFERROR(__xludf.DUMMYFUNCTION("""COMPUTED_VALUE"""),"Release Mechanism")</f>
        <v>Release Mechanism</v>
      </c>
      <c r="F95" s="2" t="str">
        <f ca="1">IFERROR(__xludf.DUMMYFUNCTION("""COMPUTED_VALUE"""),"Generic: BDSM")</f>
        <v>Generic: BDSM</v>
      </c>
      <c r="G95" s="2" t="str">
        <f ca="1">IFERROR(__xludf.DUMMYFUNCTION("""COMPUTED_VALUE"""),"Powers")</f>
        <v>Powers</v>
      </c>
      <c r="H95" s="2" t="str">
        <f ca="1">IFERROR(__xludf.DUMMYFUNCTION("""COMPUTED_VALUE"""),"Sometimes you just want to be tied up, but you may not always have someone around to do the tying and more importantly, to release you once you've had your fun. It's a good thing for you then, that you now know how to include an emergency escape into anyt"&amp;"hing you set up yourself. This goes beyond understanding how to use ice to keep a key out of reach for an hour or two: if you build a machine, you will always be able to include some kind of shut-off switch in a discreet spot that you can still get to eas"&amp;"ily if things go wrong. If you find yourself in the middle of casting a magic spell and suddenly need to stop, you now know just how to stop without releasing unstable energies that could harm you or your surroundings.")</f>
        <v>Sometimes you just want to be tied up, but you may not always have someone around to do the tying and more importantly, to release you once you've had your fun. It's a good thing for you then, that you now know how to include an emergency escape into anything you set up yourself. This goes beyond understanding how to use ice to keep a key out of reach for an hour or two: if you build a machine, you will always be able to include some kind of shut-off switch in a discreet spot that you can still get to easily if things go wrong. If you find yourself in the middle of casting a magic spell and suddenly need to stop, you now know just how to stop without releasing unstable energies that could harm you or your surroundings.</v>
      </c>
      <c r="I95" s="5"/>
    </row>
    <row r="96" spans="1:9" ht="208.8" x14ac:dyDescent="0.25">
      <c r="A96" s="16"/>
      <c r="B96" s="17">
        <v>92</v>
      </c>
      <c r="C96" s="2" t="b">
        <f ca="1">IFERROR(__xludf.DUMMYFUNCTION("""COMPUTED_VALUE"""),FALSE)</f>
        <v>0</v>
      </c>
      <c r="D96" s="2">
        <f ca="1">IFERROR(__xludf.DUMMYFUNCTION("""COMPUTED_VALUE"""),200)</f>
        <v>200</v>
      </c>
      <c r="E96" s="2" t="str">
        <f ca="1">IFERROR(__xludf.DUMMYFUNCTION("""COMPUTED_VALUE"""),"Repair Buckets")</f>
        <v>Repair Buckets</v>
      </c>
      <c r="F96" s="2" t="str">
        <f ca="1">IFERROR(__xludf.DUMMYFUNCTION("""COMPUTED_VALUE"""),"Generic: Lewd Shipgirls")</f>
        <v>Generic: Lewd Shipgirls</v>
      </c>
      <c r="G96" s="2" t="str">
        <f ca="1">IFERROR(__xludf.DUMMYFUNCTION("""COMPUTED_VALUE"""),"Powers")</f>
        <v>Powers</v>
      </c>
      <c r="H96" s="2" t="str">
        <f ca="1">IFERROR(__xludf.DUMMYFUNCTION("""COMPUTED_VALUE"""),"The mysteries of what are in the instant repair buckets is not that brain-melting. It’s sex juices. “Sanctified” saliva, breast milk, and cum. No wonder the girls always shiver erotically when treated. 
You, on the other hand, can use your own fluids dir"&amp;"ectly as instant repair fluid. You’d need a few loads to heal someone crippled or maimed, but you can heal anyone through the power of sex. Internal applications are more effective than external, but bukkake is still a valid healing method. Seeing injurie"&amp;"s actually isn’t a turn-off for you, so you can still perform while seeing someone who’s been maimed.
You don’t have to provide your fluids directly to the person, but you should make sure to preserve the liquid if you want it to last a while. As an addi"&amp;"tional bonus, anyone who tastes them tastes them as something nice.")</f>
        <v>The mysteries of what are in the instant repair buckets is not that brain-melting. It’s sex juices. “Sanctified” saliva, breast milk, and cum. No wonder the girls always shiver erotically when treated. 
You, on the other hand, can use your own fluids directly as instant repair fluid. You’d need a few loads to heal someone crippled or maimed, but you can heal anyone through the power of sex. Internal applications are more effective than external, but bukkake is still a valid healing method. Seeing injuries actually isn’t a turn-off for you, so you can still perform while seeing someone who’s been maimed.
You don’t have to provide your fluids directly to the person, but you should make sure to preserve the liquid if you want it to last a while. As an additional bonus, anyone who tastes them tastes them as something nice.</v>
      </c>
      <c r="I96" s="5"/>
    </row>
    <row r="97" spans="1:9" ht="139.19999999999999" x14ac:dyDescent="0.25">
      <c r="A97" s="16"/>
      <c r="B97" s="17">
        <v>93</v>
      </c>
      <c r="C97" s="2" t="b">
        <f ca="1">IFERROR(__xludf.DUMMYFUNCTION("""COMPUTED_VALUE"""),FALSE)</f>
        <v>0</v>
      </c>
      <c r="D97" s="2">
        <f ca="1">IFERROR(__xludf.DUMMYFUNCTION("""COMPUTED_VALUE"""),200)</f>
        <v>200</v>
      </c>
      <c r="E97" s="2" t="str">
        <f ca="1">IFERROR(__xludf.DUMMYFUNCTION("""COMPUTED_VALUE"""),"Rumour Filter")</f>
        <v>Rumour Filter</v>
      </c>
      <c r="F97" s="2" t="str">
        <f ca="1">IFERROR(__xludf.DUMMYFUNCTION("""COMPUTED_VALUE"""),"Generic: Lewd Shipgirls")</f>
        <v>Generic: Lewd Shipgirls</v>
      </c>
      <c r="G97" s="2" t="str">
        <f ca="1">IFERROR(__xludf.DUMMYFUNCTION("""COMPUTED_VALUE"""),"Powers")</f>
        <v>Powers</v>
      </c>
      <c r="H97" s="2" t="str">
        <f ca="1">IFERROR(__xludf.DUMMYFUNCTION("""COMPUTED_VALUE"""),"Rumors can be horrible when getting to know someone. If you try to indicate you’re into their kinks, except you got the wrong kinks from the rumor mill? Kiss the chance of putting a ring on her goodbye. Except you don’t have to worry about that. Rumors, i"&amp;"ntelligence reports, and other indirect sources of knowledge now have their contents judged, and you will be informed about what is found wanting.
People can still lie directly to you, but if they want to lie to you through someone else, they might as we"&amp;"ll have just highlighted the falsehoods they wanted to put in.")</f>
        <v>Rumors can be horrible when getting to know someone. If you try to indicate you’re into their kinks, except you got the wrong kinks from the rumor mill? Kiss the chance of putting a ring on her goodbye. Except you don’t have to worry about that. Rumors, intelligence reports, and other indirect sources of knowledge now have their contents judged, and you will be informed about what is found wanting.
People can still lie directly to you, but if they want to lie to you through someone else, they might as well have just highlighted the falsehoods they wanted to put in.</v>
      </c>
      <c r="I97" s="5"/>
    </row>
    <row r="98" spans="1:9" ht="139.19999999999999" x14ac:dyDescent="0.25">
      <c r="A98" s="16"/>
      <c r="B98" s="17">
        <v>94</v>
      </c>
      <c r="C98" s="2" t="b">
        <f ca="1">IFERROR(__xludf.DUMMYFUNCTION("""COMPUTED_VALUE"""),FALSE)</f>
        <v>0</v>
      </c>
      <c r="D98" s="2">
        <f ca="1">IFERROR(__xludf.DUMMYFUNCTION("""COMPUTED_VALUE"""),200)</f>
        <v>200</v>
      </c>
      <c r="E98" s="2" t="str">
        <f ca="1">IFERROR(__xludf.DUMMYFUNCTION("""COMPUTED_VALUE"""),"Size Up")</f>
        <v>Size Up</v>
      </c>
      <c r="F98" s="2" t="str">
        <f ca="1">IFERROR(__xludf.DUMMYFUNCTION("""COMPUTED_VALUE"""),"Omega Labyrinth: Life")</f>
        <v>Omega Labyrinth: Life</v>
      </c>
      <c r="G98" s="2" t="str">
        <f ca="1">IFERROR(__xludf.DUMMYFUNCTION("""COMPUTED_VALUE"""),"Powers")</f>
        <v>Powers</v>
      </c>
      <c r="H98" s="2" t="str">
        <f ca="1">IFERROR(__xludf.DUMMYFUNCTION("""COMPUTED_VALUE"""),"Of all the things that can be found in the sprawling Holy Caves, you might find a goodly number of items that you can’t identify. These ‘ambiguity crystals’ must be “surrounded by Omega Power” to reveal their properties... Yeah, you need to essentially pa"&amp;"izuri the ambiguity crystal until it reveals its true form. 
Lewdness aside, this appraisal offers you, to the penny, the knowledge of what an item is worth and what supernatural properties it might have. So long as you have breasts, you can do this to a"&amp;"ny object, even if it's too big to fit between them. Just, you know, rub against it or something.")</f>
        <v>Of all the things that can be found in the sprawling Holy Caves, you might find a goodly number of items that you can’t identify. These ‘ambiguity crystals’ must be “surrounded by Omega Power” to reveal their properties... Yeah, you need to essentially paizuri the ambiguity crystal until it reveals its true form. 
Lewdness aside, this appraisal offers you, to the penny, the knowledge of what an item is worth and what supernatural properties it might have. So long as you have breasts, you can do this to any object, even if it's too big to fit between them. Just, you know, rub against it or something.</v>
      </c>
      <c r="I98" s="5"/>
    </row>
    <row r="99" spans="1:9" ht="87" x14ac:dyDescent="0.25">
      <c r="A99" s="16"/>
      <c r="B99" s="17">
        <v>95</v>
      </c>
      <c r="C99" s="2" t="b">
        <f ca="1">IFERROR(__xludf.DUMMYFUNCTION("""COMPUTED_VALUE"""),FALSE)</f>
        <v>0</v>
      </c>
      <c r="D99" s="2">
        <f ca="1">IFERROR(__xludf.DUMMYFUNCTION("""COMPUTED_VALUE"""),200)</f>
        <v>200</v>
      </c>
      <c r="E99" s="2" t="str">
        <f ca="1">IFERROR(__xludf.DUMMYFUNCTION("""COMPUTED_VALUE"""),"Smell Fear")</f>
        <v>Smell Fear</v>
      </c>
      <c r="F99" s="2" t="str">
        <f ca="1">IFERROR(__xludf.DUMMYFUNCTION("""COMPUTED_VALUE"""),"LeWdBY")</f>
        <v>LeWdBY</v>
      </c>
      <c r="G99" s="2" t="str">
        <f ca="1">IFERROR(__xludf.DUMMYFUNCTION("""COMPUTED_VALUE"""),"Powers")</f>
        <v>Powers</v>
      </c>
      <c r="H99" s="2" t="str">
        <f ca="1">IFERROR(__xludf.DUMMYFUNCTION("""COMPUTED_VALUE"""),"Grimm can detect negative emotions in a wide range. Whether you’re a Grimm yourself or not, you share this ability, able to hunt people down by their fear or determine if the person sitting across from you is feeling angry. And you have one very special e"&amp;"motion that you’re even better at sensing: lust. You can even feel what would inspire lust in a person you study, able to predict what would get them hot and bothered even if they’re not feeling anything yet.")</f>
        <v>Grimm can detect negative emotions in a wide range. Whether you’re a Grimm yourself or not, you share this ability, able to hunt people down by their fear or determine if the person sitting across from you is feeling angry. And you have one very special emotion that you’re even better at sensing: lust. You can even feel what would inspire lust in a person you study, able to predict what would get them hot and bothered even if they’re not feeling anything yet.</v>
      </c>
      <c r="I99" s="5"/>
    </row>
    <row r="100" spans="1:9" ht="104.4" x14ac:dyDescent="0.25">
      <c r="A100" s="16"/>
      <c r="B100" s="17">
        <v>96</v>
      </c>
      <c r="C100" s="2" t="b">
        <f ca="1">IFERROR(__xludf.DUMMYFUNCTION("""COMPUTED_VALUE"""),FALSE)</f>
        <v>0</v>
      </c>
      <c r="D100" s="2">
        <f ca="1">IFERROR(__xludf.DUMMYFUNCTION("""COMPUTED_VALUE"""),200)</f>
        <v>200</v>
      </c>
      <c r="E100" s="2" t="str">
        <f ca="1">IFERROR(__xludf.DUMMYFUNCTION("""COMPUTED_VALUE"""),"Smiley Booby Attack")</f>
        <v>Smiley Booby Attack</v>
      </c>
      <c r="F100" s="2" t="str">
        <f ca="1">IFERROR(__xludf.DUMMYFUNCTION("""COMPUTED_VALUE"""),"Smash Bros XXXtreme")</f>
        <v>Smash Bros XXXtreme</v>
      </c>
      <c r="G100" s="2" t="str">
        <f ca="1">IFERROR(__xludf.DUMMYFUNCTION("""COMPUTED_VALUE"""),"Powers")</f>
        <v>Powers</v>
      </c>
      <c r="H100" s="2" t="str">
        <f ca="1">IFERROR(__xludf.DUMMYFUNCTION("""COMPUTED_VALUE"""),"I. But. You. How?!? And more importantly, why? Ah, sorry, I should probably explain. You have gained the ability to summon giant boobs. I don’t really know how else to phrase things, because that is exactly what this does. Just hold your hands above your "&amp;"head and slowly pull them apart, and the space between your hands will be filled with a massive mammaries. I’m not actually sure if they make for a good weapon - if anything, how soft they are probably blunts the damage dealt, which is why anyone who gets"&amp;" hit by them instead becomes incredibly aroused.")</f>
        <v>I. But. You. How?!? And more importantly, why? Ah, sorry, I should probably explain. You have gained the ability to summon giant boobs. I don’t really know how else to phrase things, because that is exactly what this does. Just hold your hands above your head and slowly pull them apart, and the space between your hands will be filled with a massive mammaries. I’m not actually sure if they make for a good weapon - if anything, how soft they are probably blunts the damage dealt, which is why anyone who gets hit by them instead becomes incredibly aroused.</v>
      </c>
      <c r="I100" s="5"/>
    </row>
    <row r="101" spans="1:9" ht="104.4" x14ac:dyDescent="0.25">
      <c r="A101" s="16"/>
      <c r="B101" s="17">
        <v>97</v>
      </c>
      <c r="C101" s="2" t="b">
        <f ca="1">IFERROR(__xludf.DUMMYFUNCTION("""COMPUTED_VALUE"""),FALSE)</f>
        <v>0</v>
      </c>
      <c r="D101" s="2">
        <f ca="1">IFERROR(__xludf.DUMMYFUNCTION("""COMPUTED_VALUE"""),200)</f>
        <v>200</v>
      </c>
      <c r="E101" s="2" t="str">
        <f ca="1">IFERROR(__xludf.DUMMYFUNCTION("""COMPUTED_VALUE"""),"Subspace Savant")</f>
        <v>Subspace Savant</v>
      </c>
      <c r="F101" s="2" t="str">
        <f ca="1">IFERROR(__xludf.DUMMYFUNCTION("""COMPUTED_VALUE"""),"Collar 6")</f>
        <v>Collar 6</v>
      </c>
      <c r="G101" s="2" t="str">
        <f ca="1">IFERROR(__xludf.DUMMYFUNCTION("""COMPUTED_VALUE"""),"Powers")</f>
        <v>Powers</v>
      </c>
      <c r="H101" s="2" t="str">
        <f ca="1">IFERROR(__xludf.DUMMYFUNCTION("""COMPUTED_VALUE"""),"Subspace is a state, generally caused by sexual stimulation, that allows someone's conscious mind to briefly detach from their body and enter a featureless plane of pure thought. This is not entirely without its risks, since the body is left in a highly s"&amp;"uggestible state, but subspace can be used for various useful purposes, including the transference of spiritual power to individuals with whom some manner of spiritual connection exists. The perk grants the ability to enter and leave subspace with consumm"&amp;"ate ease and allows you to help others in close proximity do the same.")</f>
        <v>Subspace is a state, generally caused by sexual stimulation, that allows someone's conscious mind to briefly detach from their body and enter a featureless plane of pure thought. This is not entirely without its risks, since the body is left in a highly suggestible state, but subspace can be used for various useful purposes, including the transference of spiritual power to individuals with whom some manner of spiritual connection exists. The perk grants the ability to enter and leave subspace with consummate ease and allows you to help others in close proximity do the same.</v>
      </c>
      <c r="I101" s="5"/>
    </row>
    <row r="102" spans="1:9" ht="104.4" x14ac:dyDescent="0.25">
      <c r="A102" s="16"/>
      <c r="B102" s="17">
        <v>98</v>
      </c>
      <c r="C102" s="2" t="b">
        <f ca="1">IFERROR(__xludf.DUMMYFUNCTION("""COMPUTED_VALUE"""),FALSE)</f>
        <v>0</v>
      </c>
      <c r="D102" s="2">
        <f ca="1">IFERROR(__xludf.DUMMYFUNCTION("""COMPUTED_VALUE"""),200)</f>
        <v>200</v>
      </c>
      <c r="E102" s="2" t="str">
        <f ca="1">IFERROR(__xludf.DUMMYFUNCTION("""COMPUTED_VALUE"""),"Switch the Sickness")</f>
        <v>Switch the Sickness</v>
      </c>
      <c r="F102" s="2" t="str">
        <f ca="1">IFERROR(__xludf.DUMMYFUNCTION("""COMPUTED_VALUE"""),"Bokunchi No Mikage-san")</f>
        <v>Bokunchi No Mikage-san</v>
      </c>
      <c r="G102" s="2" t="str">
        <f ca="1">IFERROR(__xludf.DUMMYFUNCTION("""COMPUTED_VALUE"""),"Powers")</f>
        <v>Powers</v>
      </c>
      <c r="H102" s="2" t="str">
        <f ca="1">IFERROR(__xludf.DUMMYFUNCTION("""COMPUTED_VALUE"""),"I suppose that’s one way to take care of a fever. If you’re sick, you can transfer your illness to someone else by having sex with them, which cures you of the condition. On the other hand, if someone else is sick, you are able to “steal” the illness by f"&amp;"ucking them, which will get you sick (unless you have some method to prevent infection, in which case the original person is simply cured). For whatever reason, you and people you have sex with experience increased susceptibility to pleasure while ill.")</f>
        <v>I suppose that’s one way to take care of a fever. If you’re sick, you can transfer your illness to someone else by having sex with them, which cures you of the condition. On the other hand, if someone else is sick, you are able to “steal” the illness by fucking them, which will get you sick (unless you have some method to prevent infection, in which case the original person is simply cured). For whatever reason, you and people you have sex with experience increased susceptibility to pleasure while ill.</v>
      </c>
      <c r="I102" s="5"/>
    </row>
    <row r="103" spans="1:9" ht="156.6" x14ac:dyDescent="0.25">
      <c r="A103" s="16"/>
      <c r="B103" s="17">
        <v>99</v>
      </c>
      <c r="C103" s="2" t="b">
        <f ca="1">IFERROR(__xludf.DUMMYFUNCTION("""COMPUTED_VALUE"""),FALSE)</f>
        <v>0</v>
      </c>
      <c r="D103" s="2">
        <f ca="1">IFERROR(__xludf.DUMMYFUNCTION("""COMPUTED_VALUE"""),200)</f>
        <v>200</v>
      </c>
      <c r="E103" s="2" t="str">
        <f ca="1">IFERROR(__xludf.DUMMYFUNCTION("""COMPUTED_VALUE"""),"The More the Merrier")</f>
        <v>The More the Merrier</v>
      </c>
      <c r="F103" s="2" t="str">
        <f ca="1">IFERROR(__xludf.DUMMYFUNCTION("""COMPUTED_VALUE"""),"Generic: Hentai World")</f>
        <v>Generic: Hentai World</v>
      </c>
      <c r="G103" s="2" t="str">
        <f ca="1">IFERROR(__xludf.DUMMYFUNCTION("""COMPUTED_VALUE"""),"Powers")</f>
        <v>Powers</v>
      </c>
      <c r="H103" s="2" t="str">
        <f ca="1">IFERROR(__xludf.DUMMYFUNCTION("""COMPUTED_VALUE"""),"If sex with one person is fun then sex with two or three people must be that much better, right? You’d think so but it’s a lot harder to pleasure several girls simultaneously than the doujins make it look. Not for you though! This perk enhances your abili"&amp;"ty to multitask, allowing you to run multiple trains of thought or action simultaneously with no loss of performance.
Eating out one girl, fingering two others and fucking a fourth all while hitting four different sets of paces and erogenous zones is no "&amp;"more difficult than doing it for one girl. Add in extra limbs or superpowers and you can get really nuts with this. Ever wanted to fuck a dozen girls with a dozen dildos? Get yourself some telekinesis and try it out!")</f>
        <v>If sex with one person is fun then sex with two or three people must be that much better, right? You’d think so but it’s a lot harder to pleasure several girls simultaneously than the doujins make it look. Not for you though! This perk enhances your ability to multitask, allowing you to run multiple trains of thought or action simultaneously with no loss of performance.
Eating out one girl, fingering two others and fucking a fourth all while hitting four different sets of paces and erogenous zones is no more difficult than doing it for one girl. Add in extra limbs or superpowers and you can get really nuts with this. Ever wanted to fuck a dozen girls with a dozen dildos? Get yourself some telekinesis and try it out!</v>
      </c>
      <c r="I103" s="5"/>
    </row>
    <row r="104" spans="1:9" ht="52.2" x14ac:dyDescent="0.25">
      <c r="A104" s="16"/>
      <c r="B104" s="17">
        <v>100</v>
      </c>
      <c r="C104" s="2" t="b">
        <f ca="1">IFERROR(__xludf.DUMMYFUNCTION("""COMPUTED_VALUE"""),FALSE)</f>
        <v>0</v>
      </c>
      <c r="D104" s="2">
        <f ca="1">IFERROR(__xludf.DUMMYFUNCTION("""COMPUTED_VALUE"""),200)</f>
        <v>200</v>
      </c>
      <c r="E104" s="2" t="str">
        <f ca="1">IFERROR(__xludf.DUMMYFUNCTION("""COMPUTED_VALUE"""),"The Real You")</f>
        <v>The Real You</v>
      </c>
      <c r="F104" s="2" t="str">
        <f ca="1">IFERROR(__xludf.DUMMYFUNCTION("""COMPUTED_VALUE"""),"Earth Girls")</f>
        <v>Earth Girls</v>
      </c>
      <c r="G104" s="2" t="str">
        <f ca="1">IFERROR(__xludf.DUMMYFUNCTION("""COMPUTED_VALUE"""),"Powers")</f>
        <v>Powers</v>
      </c>
      <c r="H104" s="2" t="str">
        <f ca="1">IFERROR(__xludf.DUMMYFUNCTION("""COMPUTED_VALUE"""),"When others lie naked in your bed, they aren’t just baring their skin, they’re baring their heart and soul. There’s not a lot that anyone can hide from you after they’ve shared your bed, and you can tell a lot about their past.")</f>
        <v>When others lie naked in your bed, they aren’t just baring their skin, they’re baring their heart and soul. There’s not a lot that anyone can hide from you after they’ve shared your bed, and you can tell a lot about their past.</v>
      </c>
      <c r="I104" s="5"/>
    </row>
    <row r="105" spans="1:9" ht="121.8" x14ac:dyDescent="0.25">
      <c r="A105" s="16"/>
      <c r="B105" s="17">
        <v>101</v>
      </c>
      <c r="C105" s="2" t="b">
        <f ca="1">IFERROR(__xludf.DUMMYFUNCTION("""COMPUTED_VALUE"""),FALSE)</f>
        <v>0</v>
      </c>
      <c r="D105" s="2">
        <f ca="1">IFERROR(__xludf.DUMMYFUNCTION("""COMPUTED_VALUE"""),200)</f>
        <v>200</v>
      </c>
      <c r="E105" s="2" t="str">
        <f ca="1">IFERROR(__xludf.DUMMYFUNCTION("""COMPUTED_VALUE"""),"The Way Nature Intended")</f>
        <v>The Way Nature Intended</v>
      </c>
      <c r="F105" s="2" t="str">
        <f ca="1">IFERROR(__xludf.DUMMYFUNCTION("""COMPUTED_VALUE"""),"The Otaku in 10,000 BC")</f>
        <v>The Otaku in 10,000 BC</v>
      </c>
      <c r="G105" s="2" t="str">
        <f ca="1">IFERROR(__xludf.DUMMYFUNCTION("""COMPUTED_VALUE"""),"Powers")</f>
        <v>Powers</v>
      </c>
      <c r="H105" s="2" t="str">
        <f ca="1">IFERROR(__xludf.DUMMYFUNCTION("""COMPUTED_VALUE"""),"The people in this ancient time fuck like animals (that is, they have very simple sex in doggy-style position). The new techniques introduced by Ota cause something of a sexual revolution—but you don’t need those tricks to give your partner all the pleasu"&amp;"re they could need. The rougher, the more passionate, and the more animalistic your mating, the better it will feel for both yourself and your partner. Losing yourself in wild rutting will feel just as good as the fingers and techniques of the most skille"&amp;"d lovers in history; just grab hold of them and start thrusting wildly, and they’ll soon be overwhelmed by pleasure.")</f>
        <v>The people in this ancient time fuck like animals (that is, they have very simple sex in doggy-style position). The new techniques introduced by Ota cause something of a sexual revolution—but you don’t need those tricks to give your partner all the pleasure they could need. The rougher, the more passionate, and the more animalistic your mating, the better it will feel for both yourself and your partner. Losing yourself in wild rutting will feel just as good as the fingers and techniques of the most skilled lovers in history; just grab hold of them and start thrusting wildly, and they’ll soon be overwhelmed by pleasure.</v>
      </c>
      <c r="I105" s="5"/>
    </row>
    <row r="106" spans="1:9" ht="104.4" x14ac:dyDescent="0.25">
      <c r="A106" s="16"/>
      <c r="B106" s="17">
        <v>102</v>
      </c>
      <c r="C106" s="2" t="b">
        <f ca="1">IFERROR(__xludf.DUMMYFUNCTION("""COMPUTED_VALUE"""),FALSE)</f>
        <v>0</v>
      </c>
      <c r="D106" s="2">
        <f ca="1">IFERROR(__xludf.DUMMYFUNCTION("""COMPUTED_VALUE"""),200)</f>
        <v>200</v>
      </c>
      <c r="E106" s="2" t="str">
        <f ca="1">IFERROR(__xludf.DUMMYFUNCTION("""COMPUTED_VALUE"""),"Urban Sex Fantasy")</f>
        <v>Urban Sex Fantasy</v>
      </c>
      <c r="F106" s="2" t="str">
        <f ca="1">IFERROR(__xludf.DUMMYFUNCTION("""COMPUTED_VALUE"""),"Generic: Hentai Occult")</f>
        <v>Generic: Hentai Occult</v>
      </c>
      <c r="G106" s="2" t="str">
        <f ca="1">IFERROR(__xludf.DUMMYFUNCTION("""COMPUTED_VALUE"""),"Powers")</f>
        <v>Powers</v>
      </c>
      <c r="H106" s="2" t="str">
        <f ca="1">IFERROR(__xludf.DUMMYFUNCTION("""COMPUTED_VALUE"""),"There aren't much in the way of real monsters left in this modern age. Though, Succubi are apparently thriving since the invention of pornography and the internet. As a result, while monsters such as werewolves, vampires, and various kinds of ghosts still"&amp;" exist, they are few and far between and the succubi are at the top of the pile. As a result of them fucking literally everything, you've gained the ability to replace your bodily needs - food, air, sleep, poop, with sex. What's more, due to latent geneti"&amp;"cs that may or may not exist, you can 'awaken' this ability in others, if you so choose.")</f>
        <v>There aren't much in the way of real monsters left in this modern age. Though, Succubi are apparently thriving since the invention of pornography and the internet. As a result, while monsters such as werewolves, vampires, and various kinds of ghosts still exist, they are few and far between and the succubi are at the top of the pile. As a result of them fucking literally everything, you've gained the ability to replace your bodily needs - food, air, sleep, poop, with sex. What's more, due to latent genetics that may or may not exist, you can 'awaken' this ability in others, if you so choose.</v>
      </c>
      <c r="I106" s="5"/>
    </row>
    <row r="107" spans="1:9" ht="104.4" x14ac:dyDescent="0.25">
      <c r="A107" s="16"/>
      <c r="B107" s="17">
        <v>103</v>
      </c>
      <c r="C107" s="2" t="b">
        <f ca="1">IFERROR(__xludf.DUMMYFUNCTION("""COMPUTED_VALUE"""),FALSE)</f>
        <v>0</v>
      </c>
      <c r="D107" s="2">
        <f ca="1">IFERROR(__xludf.DUMMYFUNCTION("""COMPUTED_VALUE"""),200)</f>
        <v>200</v>
      </c>
      <c r="E107" s="2" t="str">
        <f ca="1">IFERROR(__xludf.DUMMYFUNCTION("""COMPUTED_VALUE"""),"Venus Thigh Trap")</f>
        <v>Venus Thigh Trap</v>
      </c>
      <c r="F107" s="2" t="str">
        <f ca="1">IFERROR(__xludf.DUMMYFUNCTION("""COMPUTED_VALUE"""),"World of Tentacles")</f>
        <v>World of Tentacles</v>
      </c>
      <c r="G107" s="2" t="str">
        <f ca="1">IFERROR(__xludf.DUMMYFUNCTION("""COMPUTED_VALUE"""),"Powers")</f>
        <v>Powers</v>
      </c>
      <c r="H107" s="2" t="str">
        <f ca="1">IFERROR(__xludf.DUMMYFUNCTION("""COMPUTED_VALUE"""),"Even when she’s tied down and stuffed full of cock a Monster Hunter isn’t out of the fight just yet. Many an overconfident predator has thought his prey subdued only to find themselves bested by their meal’s superhuman sexual stamina. So long as others, b"&amp;"e it an individual or a group, were initially dominant during sex with you then you can force them to maintain that role and keep fucking you. The more submission and sexual skill you display, the greater the boost to stamina you recieve and the harder th"&amp;"ey will find it to stop even in the face of danger.")</f>
        <v>Even when she’s tied down and stuffed full of cock a Monster Hunter isn’t out of the fight just yet. Many an overconfident predator has thought his prey subdued only to find themselves bested by their meal’s superhuman sexual stamina. So long as others, be it an individual or a group, were initially dominant during sex with you then you can force them to maintain that role and keep fucking you. The more submission and sexual skill you display, the greater the boost to stamina you recieve and the harder they will find it to stop even in the face of danger.</v>
      </c>
      <c r="I107" s="5"/>
    </row>
    <row r="108" spans="1:9" ht="104.4" x14ac:dyDescent="0.25">
      <c r="A108" s="16"/>
      <c r="B108" s="17">
        <v>104</v>
      </c>
      <c r="C108" s="2" t="b">
        <f ca="1">IFERROR(__xludf.DUMMYFUNCTION("""COMPUTED_VALUE"""),FALSE)</f>
        <v>0</v>
      </c>
      <c r="D108" s="2">
        <f ca="1">IFERROR(__xludf.DUMMYFUNCTION("""COMPUTED_VALUE"""),200)</f>
        <v>200</v>
      </c>
      <c r="E108" s="2" t="str">
        <f ca="1">IFERROR(__xludf.DUMMYFUNCTION("""COMPUTED_VALUE"""),"We are Connected")</f>
        <v>We are Connected</v>
      </c>
      <c r="F108" s="2" t="str">
        <f ca="1">IFERROR(__xludf.DUMMYFUNCTION("""COMPUTED_VALUE"""),"Dulce Report")</f>
        <v>Dulce Report</v>
      </c>
      <c r="G108" s="2" t="str">
        <f ca="1">IFERROR(__xludf.DUMMYFUNCTION("""COMPUTED_VALUE"""),"Powers")</f>
        <v>Powers</v>
      </c>
      <c r="H108" s="2" t="str">
        <f ca="1">IFERROR(__xludf.DUMMYFUNCTION("""COMPUTED_VALUE"""),"The Angels exist in a structure not dissimilar to Bees. Tightly bound as well. Regardless, you can now telepathically view anyone you have ever had sex with. The range starts at a few miles, and increases the more you sleep with them. On top of that, you "&amp;"can also view their memories via sleeping with them, ‘tasting’ the people they’ve slept with recently, or who they’ve masturbated to. If you were really clever - or maybe desperate - you could imprint an entire message into them, to be ‘eaten’ by the reci"&amp;"pient at a later date.")</f>
        <v>The Angels exist in a structure not dissimilar to Bees. Tightly bound as well. Regardless, you can now telepathically view anyone you have ever had sex with. The range starts at a few miles, and increases the more you sleep with them. On top of that, you can also view their memories via sleeping with them, ‘tasting’ the people they’ve slept with recently, or who they’ve masturbated to. If you were really clever - or maybe desperate - you could imprint an entire message into them, to be ‘eaten’ by the recipient at a later date.</v>
      </c>
      <c r="I108" s="5"/>
    </row>
    <row r="109" spans="1:9" ht="243.6" x14ac:dyDescent="0.25">
      <c r="A109" s="16"/>
      <c r="B109" s="17">
        <v>105</v>
      </c>
      <c r="C109" s="2" t="b">
        <f ca="1">IFERROR(__xludf.DUMMYFUNCTION("""COMPUTED_VALUE"""),FALSE)</f>
        <v>0</v>
      </c>
      <c r="D109" s="2">
        <f ca="1">IFERROR(__xludf.DUMMYFUNCTION("""COMPUTED_VALUE"""),200)</f>
        <v>200</v>
      </c>
      <c r="E109" s="2" t="str">
        <f ca="1">IFERROR(__xludf.DUMMYFUNCTION("""COMPUTED_VALUE"""),"Winger Energy")</f>
        <v>Winger Energy</v>
      </c>
      <c r="F109" s="2" t="str">
        <f ca="1">IFERROR(__xludf.DUMMYFUNCTION("""COMPUTED_VALUE"""),"Winger’s World")</f>
        <v>Winger’s World</v>
      </c>
      <c r="G109" s="2" t="str">
        <f ca="1">IFERROR(__xludf.DUMMYFUNCTION("""COMPUTED_VALUE"""),"Powers")</f>
        <v>Powers</v>
      </c>
      <c r="H109" s="2" t="str">
        <f ca="1">IFERROR(__xludf.DUMMYFUNCTION("""COMPUTED_VALUE"""),"Winger energy can be found in the milk, semen and vaginal fluids of the person generating it. Which, by the way, you now do. This gives several benefits, besides being a living battery. Most noticable is the growth. The more winger energy you have, the mo"&amp;"re your body will grow to accommodate. Usually in the breasts, testicles and cock. The more energy a person contains, the hornier they get. Note this growth isn’t permanent and shrinkage will occur as the energy is drained. Which can be done by draining t"&amp;"he fluids. More energy is generated over time.
By filling a person with a large amount of your fluids, you can jumpstart their own production of Winger energy. If you do the same to an animal, they will transform into a furry/anthro. Note that you can ch"&amp;"oose not to infect them with winger energy. You can also absorb energy from winger tainted fluids. Note that the energy transferred/absorbed is around 1 out of 10 used.
You (and anyone you spread it to) can use Winger energy in place of mana, ki, or any "&amp;"other kind of mystic fuel.")</f>
        <v>Winger energy can be found in the milk, semen and vaginal fluids of the person generating it. Which, by the way, you now do. This gives several benefits, besides being a living battery. Most noticable is the growth. The more winger energy you have, the more your body will grow to accommodate. Usually in the breasts, testicles and cock. The more energy a person contains, the hornier they get. Note this growth isn’t permanent and shrinkage will occur as the energy is drained. Which can be done by draining the fluids. More energy is generated over time.
By filling a person with a large amount of your fluids, you can jumpstart their own production of Winger energy. If you do the same to an animal, they will transform into a furry/anthro. Note that you can choose not to infect them with winger energy. You can also absorb energy from winger tainted fluids. Note that the energy transferred/absorbed is around 1 out of 10 used.
You (and anyone you spread it to) can use Winger energy in place of mana, ki, or any other kind of mystic fuel.</v>
      </c>
      <c r="I109" s="5"/>
    </row>
    <row r="110" spans="1:9" ht="69.599999999999994" x14ac:dyDescent="0.25">
      <c r="A110" s="16"/>
      <c r="B110" s="17">
        <v>106</v>
      </c>
      <c r="C110" s="2" t="b">
        <f ca="1">IFERROR(__xludf.DUMMYFUNCTION("""COMPUTED_VALUE"""),FALSE)</f>
        <v>0</v>
      </c>
      <c r="D110" s="2">
        <f ca="1">IFERROR(__xludf.DUMMYFUNCTION("""COMPUTED_VALUE"""),300)</f>
        <v>300</v>
      </c>
      <c r="E110" s="2" t="str">
        <f ca="1">IFERROR(__xludf.DUMMYFUNCTION("""COMPUTED_VALUE"""),"Allure")</f>
        <v>Allure</v>
      </c>
      <c r="F110" s="2" t="str">
        <f ca="1">IFERROR(__xludf.DUMMYFUNCTION("""COMPUTED_VALUE"""),"Flexible Survival")</f>
        <v>Flexible Survival</v>
      </c>
      <c r="G110" s="2" t="str">
        <f ca="1">IFERROR(__xludf.DUMMYFUNCTION("""COMPUTED_VALUE"""),"Powers")</f>
        <v>Powers</v>
      </c>
      <c r="H110" s="2" t="str">
        <f ca="1">IFERROR(__xludf.DUMMYFUNCTION("""COMPUTED_VALUE"""),"You have an allure that makes others more receptive to sexual acts with you. This allure can be toggled on and off, as well as be switched to target feral beings, sapient beings or both. With a lot of practise you might be able to refine it to target spec"&amp;"ific individuals, and adjust the potency of the allure.")</f>
        <v>You have an allure that makes others more receptive to sexual acts with you. This allure can be toggled on and off, as well as be switched to target feral beings, sapient beings or both. With a lot of practise you might be able to refine it to target specific individuals, and adjust the potency of the allure.</v>
      </c>
      <c r="I110" s="5"/>
    </row>
    <row r="111" spans="1:9" ht="104.4" x14ac:dyDescent="0.25">
      <c r="A111" s="16"/>
      <c r="B111" s="17">
        <v>107</v>
      </c>
      <c r="C111" s="2" t="b">
        <f ca="1">IFERROR(__xludf.DUMMYFUNCTION("""COMPUTED_VALUE"""),FALSE)</f>
        <v>0</v>
      </c>
      <c r="D111" s="2">
        <f ca="1">IFERROR(__xludf.DUMMYFUNCTION("""COMPUTED_VALUE"""),300)</f>
        <v>300</v>
      </c>
      <c r="E111" s="2" t="str">
        <f ca="1">IFERROR(__xludf.DUMMYFUNCTION("""COMPUTED_VALUE"""),"Anything for Cum")</f>
        <v>Anything for Cum</v>
      </c>
      <c r="F111" s="2" t="str">
        <f ca="1">IFERROR(__xludf.DUMMYFUNCTION("""COMPUTED_VALUE"""),"Slimy Sextet")</f>
        <v>Slimy Sextet</v>
      </c>
      <c r="G111" s="2" t="str">
        <f ca="1">IFERROR(__xludf.DUMMYFUNCTION("""COMPUTED_VALUE"""),"Powers")</f>
        <v>Powers</v>
      </c>
      <c r="H111" s="2" t="str">
        <f ca="1">IFERROR(__xludf.DUMMYFUNCTION("""COMPUTED_VALUE"""),"Those you have sex with instinctively know that the moment you orgasm, the pleasure you bring them will blow what they previously felt completely out of the water. And the longer you have sex with them and hold back from cumming, the more desperately they"&amp;" will start to desire to feel that superlative pleasure. Hold off for long enough, and you could get just about anyone to promise to do just about anything... and they have a bizarre tendency to stick to this sort of agreement once sex is over.")</f>
        <v>Those you have sex with instinctively know that the moment you orgasm, the pleasure you bring them will blow what they previously felt completely out of the water. And the longer you have sex with them and hold back from cumming, the more desperately they will start to desire to feel that superlative pleasure. Hold off for long enough, and you could get just about anyone to promise to do just about anything... and they have a bizarre tendency to stick to this sort of agreement once sex is over.</v>
      </c>
      <c r="I111" s="5"/>
    </row>
    <row r="112" spans="1:9" ht="208.8" x14ac:dyDescent="0.25">
      <c r="A112" s="16"/>
      <c r="B112" s="17">
        <v>108</v>
      </c>
      <c r="C112" s="2" t="b">
        <f ca="1">IFERROR(__xludf.DUMMYFUNCTION("""COMPUTED_VALUE"""),FALSE)</f>
        <v>0</v>
      </c>
      <c r="D112" s="2">
        <f ca="1">IFERROR(__xludf.DUMMYFUNCTION("""COMPUTED_VALUE"""),300)</f>
        <v>300</v>
      </c>
      <c r="E112" s="2" t="str">
        <f ca="1">IFERROR(__xludf.DUMMYFUNCTION("""COMPUTED_VALUE"""),"Archetypal")</f>
        <v>Archetypal</v>
      </c>
      <c r="F112" s="2" t="str">
        <f ca="1">IFERROR(__xludf.DUMMYFUNCTION("""COMPUTED_VALUE"""),"The World of Lolis")</f>
        <v>The World of Lolis</v>
      </c>
      <c r="G112" s="2" t="str">
        <f ca="1">IFERROR(__xludf.DUMMYFUNCTION("""COMPUTED_VALUE"""),"Powers")</f>
        <v>Powers</v>
      </c>
      <c r="H112" s="2" t="str">
        <f ca="1">IFERROR(__xludf.DUMMYFUNCTION("""COMPUTED_VALUE"""),"Pick an archetype of porn character. You gain a shell personality that makes you that archetype, giving you all the appropriate personality quirks one would expect, such as the hidden lusts of 'one of the quiet ones' or the athletic exuberance of a tomboy"&amp;". This perk ensures you can play your selected part easily, and can slip it on and off like a mask so that it guides you into playing your role better.
However, this perk also gives you a significant power boost in the form of a power dependant on the ar"&amp;"chetype you choose. A tomboy is unlikely to get a healing boost, for example, but would instead gain something that accentuates their inherent rough and tumble style, like superhuman strength, toughness, and/or athleticism. other archetypes will obviously"&amp;" have other powers, but whatever it is, the power will be a noticeable boost in power, but will only last for as long as you are playing into the archetype.")</f>
        <v>Pick an archetype of porn character. You gain a shell personality that makes you that archetype, giving you all the appropriate personality quirks one would expect, such as the hidden lusts of 'one of the quiet ones' or the athletic exuberance of a tomboy. This perk ensures you can play your selected part easily, and can slip it on and off like a mask so that it guides you into playing your role better.
However, this perk also gives you a significant power boost in the form of a power dependant on the archetype you choose. A tomboy is unlikely to get a healing boost, for example, but would instead gain something that accentuates their inherent rough and tumble style, like superhuman strength, toughness, and/or athleticism. other archetypes will obviously have other powers, but whatever it is, the power will be a noticeable boost in power, but will only last for as long as you are playing into the archetype.</v>
      </c>
      <c r="I112" s="5"/>
    </row>
    <row r="113" spans="1:9" ht="87" x14ac:dyDescent="0.25">
      <c r="A113" s="16"/>
      <c r="B113" s="17">
        <v>109</v>
      </c>
      <c r="C113" s="2" t="b">
        <f ca="1">IFERROR(__xludf.DUMMYFUNCTION("""COMPUTED_VALUE"""),FALSE)</f>
        <v>0</v>
      </c>
      <c r="D113" s="2">
        <f ca="1">IFERROR(__xludf.DUMMYFUNCTION("""COMPUTED_VALUE"""),300)</f>
        <v>300</v>
      </c>
      <c r="E113" s="2" t="str">
        <f ca="1">IFERROR(__xludf.DUMMYFUNCTION("""COMPUTED_VALUE"""),"Back to Master")</f>
        <v>Back to Master</v>
      </c>
      <c r="F113" s="2" t="str">
        <f ca="1">IFERROR(__xludf.DUMMYFUNCTION("""COMPUTED_VALUE"""),"Power Play")</f>
        <v>Power Play</v>
      </c>
      <c r="G113" s="2" t="str">
        <f ca="1">IFERROR(__xludf.DUMMYFUNCTION("""COMPUTED_VALUE"""),"Powers")</f>
        <v>Powers</v>
      </c>
      <c r="H113" s="2" t="str">
        <f ca="1">IFERROR(__xludf.DUMMYFUNCTION("""COMPUTED_VALUE"""),"You will always know what to do to find people you know, as long as a way exists. If your master were reincarnated in another dimension, you’d know where to find a spell to travel across the dimensional barrier. If you were lost in a strange new world, yo"&amp;"u would still know which direction to travel to find someone you know. The deeper your knowledge of a person and the closer they are to you, the more clarity you have in your understanding.")</f>
        <v>You will always know what to do to find people you know, as long as a way exists. If your master were reincarnated in another dimension, you’d know where to find a spell to travel across the dimensional barrier. If you were lost in a strange new world, you would still know which direction to travel to find someone you know. The deeper your knowledge of a person and the closer they are to you, the more clarity you have in your understanding.</v>
      </c>
      <c r="I113" s="5"/>
    </row>
    <row r="114" spans="1:9" ht="139.19999999999999" x14ac:dyDescent="0.25">
      <c r="A114" s="16"/>
      <c r="B114" s="17">
        <v>110</v>
      </c>
      <c r="C114" s="2" t="b">
        <f ca="1">IFERROR(__xludf.DUMMYFUNCTION("""COMPUTED_VALUE"""),FALSE)</f>
        <v>0</v>
      </c>
      <c r="D114" s="2">
        <f ca="1">IFERROR(__xludf.DUMMYFUNCTION("""COMPUTED_VALUE"""),300)</f>
        <v>300</v>
      </c>
      <c r="E114" s="2" t="str">
        <f ca="1">IFERROR(__xludf.DUMMYFUNCTION("""COMPUTED_VALUE"""),"Better than Death")</f>
        <v>Better than Death</v>
      </c>
      <c r="F114" s="2" t="str">
        <f ca="1">IFERROR(__xludf.DUMMYFUNCTION("""COMPUTED_VALUE"""),"Generic: Hentai World")</f>
        <v>Generic: Hentai World</v>
      </c>
      <c r="G114" s="2" t="str">
        <f ca="1">IFERROR(__xludf.DUMMYFUNCTION("""COMPUTED_VALUE"""),"Powers")</f>
        <v>Powers</v>
      </c>
      <c r="H114" s="2" t="str">
        <f ca="1">IFERROR(__xludf.DUMMYFUNCTION("""COMPUTED_VALUE"""),"Death is a very final thing so almost anything is better than that final separation from your beloved. If an enemy has a reasonable chance of capturing, and keeping captured despite their own efforts, either you or your love then there will be a significa"&amp;"nt chance of them doing so rather than immediately killing either of you. This specialised form of plot armor manifests as a combination of a mental inclination towards that end and recognisable opportunities cropping up which would make it advantageous f"&amp;"or them to do this. However the protection by this perk offers fails while you are in the presence of your love. In addition, if an enemy is truly intent on death then, at best, this perk can delay that for a time by making them more likely to 'play'.")</f>
        <v>Death is a very final thing so almost anything is better than that final separation from your beloved. If an enemy has a reasonable chance of capturing, and keeping captured despite their own efforts, either you or your love then there will be a significant chance of them doing so rather than immediately killing either of you. This specialised form of plot armor manifests as a combination of a mental inclination towards that end and recognisable opportunities cropping up which would make it advantageous for them to do this. However the protection by this perk offers fails while you are in the presence of your love. In addition, if an enemy is truly intent on death then, at best, this perk can delay that for a time by making them more likely to 'play'.</v>
      </c>
      <c r="I114" s="5"/>
    </row>
    <row r="115" spans="1:9" ht="121.8" x14ac:dyDescent="0.25">
      <c r="A115" s="16"/>
      <c r="B115" s="17">
        <v>111</v>
      </c>
      <c r="C115" s="2" t="b">
        <f ca="1">IFERROR(__xludf.DUMMYFUNCTION("""COMPUTED_VALUE"""),FALSE)</f>
        <v>0</v>
      </c>
      <c r="D115" s="2">
        <f ca="1">IFERROR(__xludf.DUMMYFUNCTION("""COMPUTED_VALUE"""),300)</f>
        <v>300</v>
      </c>
      <c r="E115" s="2" t="str">
        <f ca="1">IFERROR(__xludf.DUMMYFUNCTION("""COMPUTED_VALUE"""),"Everything is Better in Chrome and Neon")</f>
        <v>Everything is Better in Chrome and Neon</v>
      </c>
      <c r="F115" s="2" t="str">
        <f ca="1">IFERROR(__xludf.DUMMYFUNCTION("""COMPUTED_VALUE"""),"Generic: Virgin")</f>
        <v>Generic: Virgin</v>
      </c>
      <c r="G115" s="2" t="str">
        <f ca="1">IFERROR(__xludf.DUMMYFUNCTION("""COMPUTED_VALUE"""),"Powers")</f>
        <v>Powers</v>
      </c>
      <c r="H115" s="2" t="str">
        <f ca="1">IFERROR(__xludf.DUMMYFUNCTION("""COMPUTED_VALUE"""),"This is a simple fact of reality. Cars are faster, weapons do more damage, and even the sex is better. The reason for this is that Chrome reflects and Neon purifies. Totally not making that up. You’ve gained some of those qualities. You drive away dirt an"&amp;"d grime by your mere presence, damaged objects slowly repair themselves, and the people around you tend to look better and be healthier... though they might also tend to start dressing in black leather and decorating everything in glowing lights and shiny"&amp;" metal. Most importantly, you’re never dazzled by lights in your eyes, either real or metaphorical.")</f>
        <v>This is a simple fact of reality. Cars are faster, weapons do more damage, and even the sex is better. The reason for this is that Chrome reflects and Neon purifies. Totally not making that up. You’ve gained some of those qualities. You drive away dirt and grime by your mere presence, damaged objects slowly repair themselves, and the people around you tend to look better and be healthier... though they might also tend to start dressing in black leather and decorating everything in glowing lights and shiny metal. Most importantly, you’re never dazzled by lights in your eyes, either real or metaphorical.</v>
      </c>
      <c r="I115" s="5"/>
    </row>
    <row r="116" spans="1:9" ht="104.4" x14ac:dyDescent="0.25">
      <c r="A116" s="16"/>
      <c r="B116" s="17">
        <v>112</v>
      </c>
      <c r="C116" s="2" t="b">
        <f ca="1">IFERROR(__xludf.DUMMYFUNCTION("""COMPUTED_VALUE"""),FALSE)</f>
        <v>0</v>
      </c>
      <c r="D116" s="2">
        <f ca="1">IFERROR(__xludf.DUMMYFUNCTION("""COMPUTED_VALUE"""),300)</f>
        <v>300</v>
      </c>
      <c r="E116" s="2" t="str">
        <f ca="1">IFERROR(__xludf.DUMMYFUNCTION("""COMPUTED_VALUE"""),"Fairy Tail Ending")</f>
        <v>Fairy Tail Ending</v>
      </c>
      <c r="F116" s="2" t="str">
        <f ca="1">IFERROR(__xludf.DUMMYFUNCTION("""COMPUTED_VALUE"""),"Chichikko Bitch / Witch Bitch Collection")</f>
        <v>Chichikko Bitch / Witch Bitch Collection</v>
      </c>
      <c r="G116" s="2" t="str">
        <f ca="1">IFERROR(__xludf.DUMMYFUNCTION("""COMPUTED_VALUE"""),"Powers")</f>
        <v>Powers</v>
      </c>
      <c r="H116" s="2" t="str">
        <f ca="1">IFERROR(__xludf.DUMMYFUNCTION("""COMPUTED_VALUE"""),"While the story started with Lucy kidnapped and raped, it ended with her happily married and expecting her first child. Well, also very addicted to her new husbands cock, but believe it or not he didn’t drug her. Or brainwash her. This version of Lucy jus"&amp;"t really, really, REALLY, loved creampies. Anyways, even if by all accounts the situation looks like it or ought to be dark and nasty and ugly and maybe you waste away while high on drugs, and end up in a ditch somewhere... Those things just don’t happen.")</f>
        <v>While the story started with Lucy kidnapped and raped, it ended with her happily married and expecting her first child. Well, also very addicted to her new husbands cock, but believe it or not he didn’t drug her. Or brainwash her. This version of Lucy just really, really, REALLY, loved creampies. Anyways, even if by all accounts the situation looks like it or ought to be dark and nasty and ugly and maybe you waste away while high on drugs, and end up in a ditch somewhere... Those things just don’t happen.</v>
      </c>
      <c r="I116" s="5"/>
    </row>
    <row r="117" spans="1:9" ht="104.4" x14ac:dyDescent="0.25">
      <c r="A117" s="16"/>
      <c r="B117" s="17">
        <v>113</v>
      </c>
      <c r="C117" s="2" t="b">
        <f ca="1">IFERROR(__xludf.DUMMYFUNCTION("""COMPUTED_VALUE"""),FALSE)</f>
        <v>0</v>
      </c>
      <c r="D117" s="2">
        <f ca="1">IFERROR(__xludf.DUMMYFUNCTION("""COMPUTED_VALUE"""),300)</f>
        <v>300</v>
      </c>
      <c r="E117" s="2" t="str">
        <f ca="1">IFERROR(__xludf.DUMMYFUNCTION("""COMPUTED_VALUE"""),"Forgotten God's Blessings")</f>
        <v>Forgotten God's Blessings</v>
      </c>
      <c r="F117" s="2" t="str">
        <f ca="1">IFERROR(__xludf.DUMMYFUNCTION("""COMPUTED_VALUE"""),"Toshi Densetsu Bitch")</f>
        <v>Toshi Densetsu Bitch</v>
      </c>
      <c r="G117" s="2" t="str">
        <f ca="1">IFERROR(__xludf.DUMMYFUNCTION("""COMPUTED_VALUE"""),"Powers")</f>
        <v>Powers</v>
      </c>
      <c r="H117" s="2" t="str">
        <f ca="1">IFERROR(__xludf.DUMMYFUNCTION("""COMPUTED_VALUE"""),"It seems that sex with you is a very beneficial thing indeed, able to slowly make the body healthier, encourage growth and fertility/virility, heighten their sex drive, and even increase the size of of your partner’s sexual attributes. For some reason thi"&amp;"s is far more effective when used on a virgin, making the same amount of progress in one coupling as a dozen times with a non-virgin. Note that if you use this on the same person enough, you will start to run into diminishing returns, and you can toggle t"&amp;"his off if you wish.")</f>
        <v>It seems that sex with you is a very beneficial thing indeed, able to slowly make the body healthier, encourage growth and fertility/virility, heighten their sex drive, and even increase the size of of your partner’s sexual attributes. For some reason this is far more effective when used on a virgin, making the same amount of progress in one coupling as a dozen times with a non-virgin. Note that if you use this on the same person enough, you will start to run into diminishing returns, and you can toggle this off if you wish.</v>
      </c>
      <c r="I117" s="5"/>
    </row>
    <row r="118" spans="1:9" ht="121.8" x14ac:dyDescent="0.25">
      <c r="A118" s="16"/>
      <c r="B118" s="17">
        <v>114</v>
      </c>
      <c r="C118" s="2" t="b">
        <f ca="1">IFERROR(__xludf.DUMMYFUNCTION("""COMPUTED_VALUE"""),FALSE)</f>
        <v>0</v>
      </c>
      <c r="D118" s="2">
        <f ca="1">IFERROR(__xludf.DUMMYFUNCTION("""COMPUTED_VALUE"""),300)</f>
        <v>300</v>
      </c>
      <c r="E118" s="2" t="str">
        <f ca="1">IFERROR(__xludf.DUMMYFUNCTION("""COMPUTED_VALUE"""),"Fossil Reviver")</f>
        <v>Fossil Reviver</v>
      </c>
      <c r="F118" s="2" t="str">
        <f ca="1">IFERROR(__xludf.DUMMYFUNCTION("""COMPUTED_VALUE"""),"Pokemon Ecchi Version")</f>
        <v>Pokemon Ecchi Version</v>
      </c>
      <c r="G118" s="2" t="str">
        <f ca="1">IFERROR(__xludf.DUMMYFUNCTION("""COMPUTED_VALUE"""),"Powers")</f>
        <v>Powers</v>
      </c>
      <c r="H118" s="2" t="str">
        <f ca="1">IFERROR(__xludf.DUMMYFUNCTION("""COMPUTED_VALUE"""),"Fossils are the remains of creatures that died longer ago than most people can actually conceive. And yet, somehow scientists in this world perform one of the greatest acts of necromancy by somehow getting enough DNA to create a genetic copy of whatever t"&amp;"he source creature is. And now, you have your very own version of the machine they do that with. If you have a decent amount of a DNA source, whether that’s blood, hair, or a literal dinosaur fossil, you can create a living genetic copy of that DNA’s sour"&amp;"ce creature. To be clear, this isn’t “resurrection”, just an advanced type of cloning.")</f>
        <v>Fossils are the remains of creatures that died longer ago than most people can actually conceive. And yet, somehow scientists in this world perform one of the greatest acts of necromancy by somehow getting enough DNA to create a genetic copy of whatever the source creature is. And now, you have your very own version of the machine they do that with. If you have a decent amount of a DNA source, whether that’s blood, hair, or a literal dinosaur fossil, you can create a living genetic copy of that DNA’s source creature. To be clear, this isn’t “resurrection”, just an advanced type of cloning.</v>
      </c>
      <c r="I118" s="5"/>
    </row>
    <row r="119" spans="1:9" ht="69.599999999999994" x14ac:dyDescent="0.25">
      <c r="A119" s="16"/>
      <c r="B119" s="17">
        <v>115</v>
      </c>
      <c r="C119" s="2" t="b">
        <f ca="1">IFERROR(__xludf.DUMMYFUNCTION("""COMPUTED_VALUE"""),FALSE)</f>
        <v>0</v>
      </c>
      <c r="D119" s="2">
        <f ca="1">IFERROR(__xludf.DUMMYFUNCTION("""COMPUTED_VALUE"""),300)</f>
        <v>300</v>
      </c>
      <c r="E119" s="2" t="str">
        <f ca="1">IFERROR(__xludf.DUMMYFUNCTION("""COMPUTED_VALUE"""),"Frisky Frisking")</f>
        <v>Frisky Frisking</v>
      </c>
      <c r="F119" s="2" t="str">
        <f ca="1">IFERROR(__xludf.DUMMYFUNCTION("""COMPUTED_VALUE"""),"Generic: Hentai Occult")</f>
        <v>Generic: Hentai Occult</v>
      </c>
      <c r="G119" s="2" t="str">
        <f ca="1">IFERROR(__xludf.DUMMYFUNCTION("""COMPUTED_VALUE"""),"Powers")</f>
        <v>Powers</v>
      </c>
      <c r="H119" s="2" t="str">
        <f ca="1">IFERROR(__xludf.DUMMYFUNCTION("""COMPUTED_VALUE"""),"Sometimes, you gotta get a little handsy with the villain. A little grope here. Some inappropriate fondling here. One thing leads to another. Nobody will care. The people will cheer you for taking down the villain. And your fellow heroes will give you a p"&amp;"at on the back. And next time, the villain might just ‘go down’ a little easier.")</f>
        <v>Sometimes, you gotta get a little handsy with the villain. A little grope here. Some inappropriate fondling here. One thing leads to another. Nobody will care. The people will cheer you for taking down the villain. And your fellow heroes will give you a pat on the back. And next time, the villain might just ‘go down’ a little easier.</v>
      </c>
      <c r="I119" s="5"/>
    </row>
    <row r="120" spans="1:9" ht="104.4" x14ac:dyDescent="0.25">
      <c r="A120" s="16"/>
      <c r="B120" s="17">
        <v>116</v>
      </c>
      <c r="C120" s="2" t="b">
        <f ca="1">IFERROR(__xludf.DUMMYFUNCTION("""COMPUTED_VALUE"""),FALSE)</f>
        <v>0</v>
      </c>
      <c r="D120" s="2">
        <f ca="1">IFERROR(__xludf.DUMMYFUNCTION("""COMPUTED_VALUE"""),300)</f>
        <v>300</v>
      </c>
      <c r="E120" s="2" t="str">
        <f ca="1">IFERROR(__xludf.DUMMYFUNCTION("""COMPUTED_VALUE"""),"Generosity")</f>
        <v>Generosity</v>
      </c>
      <c r="F120" s="2" t="str">
        <f ca="1">IFERROR(__xludf.DUMMYFUNCTION("""COMPUTED_VALUE"""),"Generic: Lewd")</f>
        <v>Generic: Lewd</v>
      </c>
      <c r="G120" s="2" t="str">
        <f ca="1">IFERROR(__xludf.DUMMYFUNCTION("""COMPUTED_VALUE"""),"Powers")</f>
        <v>Powers</v>
      </c>
      <c r="H120" s="2" t="str">
        <f ca="1">IFERROR(__xludf.DUMMYFUNCTION("""COMPUTED_VALUE"""),"Loved ones provide for each other. This could be your own health, the benefit of a protective spell cast upon yourself or even the ammo for your lightning gun. Whatever you decide to share is distributed equally among any number of companions. You are wea"&amp;"kened while they recover, your shield weakens while they become protected, your gun loses some of its remaining energy while theirs is recharged, etc. This does not extend to perks, but can be used to share the results of that perk i.e. share your health "&amp;"as it regenerates from a regeneration perk.")</f>
        <v>Loved ones provide for each other. This could be your own health, the benefit of a protective spell cast upon yourself or even the ammo for your lightning gun. Whatever you decide to share is distributed equally among any number of companions. You are weakened while they recover, your shield weakens while they become protected, your gun loses some of its remaining energy while theirs is recharged, etc. This does not extend to perks, but can be used to share the results of that perk i.e. share your health as it regenerates from a regeneration perk.</v>
      </c>
      <c r="I120" s="5"/>
    </row>
    <row r="121" spans="1:9" ht="87" x14ac:dyDescent="0.25">
      <c r="A121" s="16"/>
      <c r="B121" s="17">
        <v>117</v>
      </c>
      <c r="C121" s="2" t="b">
        <f ca="1">IFERROR(__xludf.DUMMYFUNCTION("""COMPUTED_VALUE"""),FALSE)</f>
        <v>0</v>
      </c>
      <c r="D121" s="2">
        <f ca="1">IFERROR(__xludf.DUMMYFUNCTION("""COMPUTED_VALUE"""),300)</f>
        <v>300</v>
      </c>
      <c r="E121" s="2" t="str">
        <f ca="1">IFERROR(__xludf.DUMMYFUNCTION("""COMPUTED_VALUE"""),"Impotent Authority Figures")</f>
        <v>Impotent Authority Figures</v>
      </c>
      <c r="F121" s="2" t="str">
        <f ca="1">IFERROR(__xludf.DUMMYFUNCTION("""COMPUTED_VALUE"""),"Generic: Lewd School")</f>
        <v>Generic: Lewd School</v>
      </c>
      <c r="G121" s="2" t="str">
        <f ca="1">IFERROR(__xludf.DUMMYFUNCTION("""COMPUTED_VALUE"""),"Powers")</f>
        <v>Powers</v>
      </c>
      <c r="H121" s="2" t="str">
        <f ca="1">IFERROR(__xludf.DUMMYFUNCTION("""COMPUTED_VALUE"""),"Someone reported you. The student council president. The leader of the disciplinary committee. The teacher. Someone tried to take you down. And failed. Oh, this isn’t what the perk is about. No. It’s what comes next. It’s up to you to prevent them from su"&amp;"cceeding in proving their case against you. But once you do, they are all yours. Filled with shame for their action, you can make them do whatever you want. Make them your new victims as they regret ever challenging you.")</f>
        <v>Someone reported you. The student council president. The leader of the disciplinary committee. The teacher. Someone tried to take you down. And failed. Oh, this isn’t what the perk is about. No. It’s what comes next. It’s up to you to prevent them from succeeding in proving their case against you. But once you do, they are all yours. Filled with shame for their action, you can make them do whatever you want. Make them your new victims as they regret ever challenging you.</v>
      </c>
      <c r="I121" s="5"/>
    </row>
    <row r="122" spans="1:9" ht="139.19999999999999" x14ac:dyDescent="0.25">
      <c r="A122" s="16"/>
      <c r="B122" s="17">
        <v>118</v>
      </c>
      <c r="C122" s="2" t="b">
        <f ca="1">IFERROR(__xludf.DUMMYFUNCTION("""COMPUTED_VALUE"""),FALSE)</f>
        <v>0</v>
      </c>
      <c r="D122" s="2">
        <f ca="1">IFERROR(__xludf.DUMMYFUNCTION("""COMPUTED_VALUE"""),300)</f>
        <v>300</v>
      </c>
      <c r="E122" s="2" t="str">
        <f ca="1">IFERROR(__xludf.DUMMYFUNCTION("""COMPUTED_VALUE"""),"Incumming Memories")</f>
        <v>Incumming Memories</v>
      </c>
      <c r="F122" s="2" t="str">
        <f ca="1">IFERROR(__xludf.DUMMYFUNCTION("""COMPUTED_VALUE"""),"TSF World")</f>
        <v>TSF World</v>
      </c>
      <c r="G122" s="2" t="str">
        <f ca="1">IFERROR(__xludf.DUMMYFUNCTION("""COMPUTED_VALUE"""),"Powers")</f>
        <v>Powers</v>
      </c>
      <c r="H122" s="2" t="str">
        <f ca="1">IFERROR(__xludf.DUMMYFUNCTION("""COMPUTED_VALUE"""),"All that we are are thoughts and memories, desperately snatching life from the jaws of time. There are many ways to shapeshift, possess, or otherwise impersonate others, but many are useless without the ability to act as they would. Memories are what make"&amp;"s a person, so to truly take another person's place in the world you would need to obtain their memories too. Rather than fumbling around the place like an idiot, after assuming the form of another person you have the ability to gain all of their knowledg"&amp;"e and skills too. It just requires a bit more of an... 'intimate' touch, shall we say, to get the process started. The initial pleasure will bring with it bits and pieces; small flashes of their life. It is only at the climax that the memories will be rel"&amp;"eased and come flooding in.")</f>
        <v>All that we are are thoughts and memories, desperately snatching life from the jaws of time. There are many ways to shapeshift, possess, or otherwise impersonate others, but many are useless without the ability to act as they would. Memories are what makes a person, so to truly take another person's place in the world you would need to obtain their memories too. Rather than fumbling around the place like an idiot, after assuming the form of another person you have the ability to gain all of their knowledge and skills too. It just requires a bit more of an... 'intimate' touch, shall we say, to get the process started. The initial pleasure will bring with it bits and pieces; small flashes of their life. It is only at the climax that the memories will be released and come flooding in.</v>
      </c>
      <c r="I122" s="5"/>
    </row>
    <row r="123" spans="1:9" ht="139.19999999999999" x14ac:dyDescent="0.25">
      <c r="A123" s="16"/>
      <c r="B123" s="17">
        <v>119</v>
      </c>
      <c r="C123" s="2" t="b">
        <f ca="1">IFERROR(__xludf.DUMMYFUNCTION("""COMPUTED_VALUE"""),FALSE)</f>
        <v>0</v>
      </c>
      <c r="D123" s="2">
        <f ca="1">IFERROR(__xludf.DUMMYFUNCTION("""COMPUTED_VALUE"""),300)</f>
        <v>300</v>
      </c>
      <c r="E123" s="2" t="str">
        <f ca="1">IFERROR(__xludf.DUMMYFUNCTION("""COMPUTED_VALUE"""),"Internal View")</f>
        <v>Internal View</v>
      </c>
      <c r="F123" s="2" t="str">
        <f ca="1">IFERROR(__xludf.DUMMYFUNCTION("""COMPUTED_VALUE"""),"Vore CYOA")</f>
        <v>Vore CYOA</v>
      </c>
      <c r="G123" s="2" t="str">
        <f ca="1">IFERROR(__xludf.DUMMYFUNCTION("""COMPUTED_VALUE"""),"Powers")</f>
        <v>Powers</v>
      </c>
      <c r="H123" s="2" t="str">
        <f ca="1">IFERROR(__xludf.DUMMYFUNCTION("""COMPUTED_VALUE"""),"It might not be enough for you to see someone get devoured; you want to watch them struggle inside the stomach, and maybe even digest. Well, you’re in luck; you have a very versatile “X-Ray vision” that allows you to see through flesh, clothes, and even w"&amp;"alls. Nothing can block it directly, and it’s capable of incredible fine-tuning. Want to look into someone’s womb, but not the rest of their body? This can do that. Want to look through a few different people’s clothing, but not everyone’s? Also a possibi"&amp;"lity. Furthermore, this quality will transfer to any recording devices that you’re using, from cameras to phones and everything in-between, giving you the ability to save these perverted images to more than just your memory.")</f>
        <v>It might not be enough for you to see someone get devoured; you want to watch them struggle inside the stomach, and maybe even digest. Well, you’re in luck; you have a very versatile “X-Ray vision” that allows you to see through flesh, clothes, and even walls. Nothing can block it directly, and it’s capable of incredible fine-tuning. Want to look into someone’s womb, but not the rest of their body? This can do that. Want to look through a few different people’s clothing, but not everyone’s? Also a possibility. Furthermore, this quality will transfer to any recording devices that you’re using, from cameras to phones and everything in-between, giving you the ability to save these perverted images to more than just your memory.</v>
      </c>
      <c r="I123" s="5"/>
    </row>
    <row r="124" spans="1:9" ht="121.8" x14ac:dyDescent="0.25">
      <c r="A124" s="16"/>
      <c r="B124" s="17">
        <v>120</v>
      </c>
      <c r="C124" s="2" t="b">
        <f ca="1">IFERROR(__xludf.DUMMYFUNCTION("""COMPUTED_VALUE"""),FALSE)</f>
        <v>0</v>
      </c>
      <c r="D124" s="2">
        <f ca="1">IFERROR(__xludf.DUMMYFUNCTION("""COMPUTED_VALUE"""),300)</f>
        <v>300</v>
      </c>
      <c r="E124" s="2" t="str">
        <f ca="1">IFERROR(__xludf.DUMMYFUNCTION("""COMPUTED_VALUE"""),"It Ain't the Size that Matters...")</f>
        <v>It Ain't the Size that Matters...</v>
      </c>
      <c r="F124" s="2" t="str">
        <f ca="1">IFERROR(__xludf.DUMMYFUNCTION("""COMPUTED_VALUE"""),"Monster Hunter XXX")</f>
        <v>Monster Hunter XXX</v>
      </c>
      <c r="G124" s="2" t="str">
        <f ca="1">IFERROR(__xludf.DUMMYFUNCTION("""COMPUTED_VALUE"""),"Powers")</f>
        <v>Powers</v>
      </c>
      <c r="H124" s="2" t="str">
        <f ca="1">IFERROR(__xludf.DUMMYFUNCTION("""COMPUTED_VALUE"""),"Look at the Monster, then back to you, now back at the monster, now back to you. Sadly, it is very, very doubtful that any downstairs you have is suited to deal with that. If you’re a dude, no way in hell are you gonna fill that canyon. And if you’re a gi"&amp;"rl... well that’s just terrifying. But you’re a Hunter, dammit, and size has never stopped you before! By taking this Perk, you turn this otherwise “difficulty” on its head. The bigger and heavier than you your lover is, the MORE intense the pleasure for "&amp;"both of you, even if the ‘tool’ you’re using wouldn’t even penetrate normally. So, go ahead, go sex up Zorah Magdaros and see what happens.")</f>
        <v>Look at the Monster, then back to you, now back at the monster, now back to you. Sadly, it is very, very doubtful that any downstairs you have is suited to deal with that. If you’re a dude, no way in hell are you gonna fill that canyon. And if you’re a girl... well that’s just terrifying. But you’re a Hunter, dammit, and size has never stopped you before! By taking this Perk, you turn this otherwise “difficulty” on its head. The bigger and heavier than you your lover is, the MORE intense the pleasure for both of you, even if the ‘tool’ you’re using wouldn’t even penetrate normally. So, go ahead, go sex up Zorah Magdaros and see what happens.</v>
      </c>
      <c r="I124" s="5"/>
    </row>
    <row r="125" spans="1:9" ht="191.4" x14ac:dyDescent="0.25">
      <c r="A125" s="16"/>
      <c r="B125" s="17">
        <v>121</v>
      </c>
      <c r="C125" s="2" t="b">
        <f ca="1">IFERROR(__xludf.DUMMYFUNCTION("""COMPUTED_VALUE"""),FALSE)</f>
        <v>0</v>
      </c>
      <c r="D125" s="2">
        <f ca="1">IFERROR(__xludf.DUMMYFUNCTION("""COMPUTED_VALUE"""),300)</f>
        <v>300</v>
      </c>
      <c r="E125" s="2" t="str">
        <f ca="1">IFERROR(__xludf.DUMMYFUNCTION("""COMPUTED_VALUE"""),"Kryptonite Factor")</f>
        <v>Kryptonite Factor</v>
      </c>
      <c r="F125" s="2" t="str">
        <f ca="1">IFERROR(__xludf.DUMMYFUNCTION("""COMPUTED_VALUE"""),"World of Lewd Superheroes")</f>
        <v>World of Lewd Superheroes</v>
      </c>
      <c r="G125" s="2" t="str">
        <f ca="1">IFERROR(__xludf.DUMMYFUNCTION("""COMPUTED_VALUE"""),"Powers")</f>
        <v>Powers</v>
      </c>
      <c r="H125" s="2" t="str">
        <f ca="1">IFERROR(__xludf.DUMMYFUNCTION("""COMPUTED_VALUE"""),"Everyone knows that Superman loses his strength in the presence of kryptonite but that kind of weakness is far from the only way to take a superhero down a peg. For instance, did you know that Wonder Woman is weak against bondage? You’re a master of hitti"&amp;"ng your enemies where they’re most vulnerable, turning their fetishes into weaknesses as devastating as a kryptonite factor. When you exploit these weaknesses you inflict crippling pleasure strong enough to briefly strip your foes of most of their powers."&amp;" Superstrength fails when their bodies contort with pleasure, magic spells and psychic powers can’t be brought to bear if a heroine is cumming her brains out, and an exhibitionist who gets some public exposure will barely be able to function. In your hand"&amp;"s pleasure becomes a delightful poison that can strip the mightiest heroines of their power and reduce them to normal girls until they’ve had time to recover from your attentions, and if you don’t give them that time you can keep your victims helpless as "&amp;"long as you like, even indefinitely.")</f>
        <v>Everyone knows that Superman loses his strength in the presence of kryptonite but that kind of weakness is far from the only way to take a superhero down a peg. For instance, did you know that Wonder Woman is weak against bondage? You’re a master of hitting your enemies where they’re most vulnerable, turning their fetishes into weaknesses as devastating as a kryptonite factor. When you exploit these weaknesses you inflict crippling pleasure strong enough to briefly strip your foes of most of their powers. Superstrength fails when their bodies contort with pleasure, magic spells and psychic powers can’t be brought to bear if a heroine is cumming her brains out, and an exhibitionist who gets some public exposure will barely be able to function. In your hands pleasure becomes a delightful poison that can strip the mightiest heroines of their power and reduce them to normal girls until they’ve had time to recover from your attentions, and if you don’t give them that time you can keep your victims helpless as long as you like, even indefinitely.</v>
      </c>
      <c r="I125" s="5"/>
    </row>
    <row r="126" spans="1:9" ht="139.19999999999999" x14ac:dyDescent="0.25">
      <c r="A126" s="16"/>
      <c r="B126" s="17">
        <v>122</v>
      </c>
      <c r="C126" s="2" t="b">
        <f ca="1">IFERROR(__xludf.DUMMYFUNCTION("""COMPUTED_VALUE"""),FALSE)</f>
        <v>0</v>
      </c>
      <c r="D126" s="2">
        <f ca="1">IFERROR(__xludf.DUMMYFUNCTION("""COMPUTED_VALUE"""),300)</f>
        <v>300</v>
      </c>
      <c r="E126" s="2" t="str">
        <f ca="1">IFERROR(__xludf.DUMMYFUNCTION("""COMPUTED_VALUE"""),"Leg Trap")</f>
        <v>Leg Trap</v>
      </c>
      <c r="F126" s="2" t="str">
        <f ca="1">IFERROR(__xludf.DUMMYFUNCTION("""COMPUTED_VALUE"""),"Miyuki-chan in Wonderland")</f>
        <v>Miyuki-chan in Wonderland</v>
      </c>
      <c r="G126" s="2" t="str">
        <f ca="1">IFERROR(__xludf.DUMMYFUNCTION("""COMPUTED_VALUE"""),"Powers")</f>
        <v>Powers</v>
      </c>
      <c r="H126" s="2" t="str">
        <f ca="1">IFERROR(__xludf.DUMMYFUNCTION("""COMPUTED_VALUE"""),"You have sexy legs. Very Sexy. And mysterious. So mysterious, in fact, that you can tempt people with, shall we say, healthy libidos and willpower less than your overall sexiness to come closer and have a look, even in the middle of combat and even if com"&amp;"mon sense would normally make them cautious. This brings them into range for your special attack: you can catch a target between your two legs to pull them closer to you, and once caught the foe struggles not against your physical strength, but your sexin"&amp;"ess to escape. They are otherwise helpless to harm you until they break free, which requires willpower to resist the sexy. While they’re trapped, you may attack them freely, or simply allow them to struggle.")</f>
        <v>You have sexy legs. Very Sexy. And mysterious. So mysterious, in fact, that you can tempt people with, shall we say, healthy libidos and willpower less than your overall sexiness to come closer and have a look, even in the middle of combat and even if common sense would normally make them cautious. This brings them into range for your special attack: you can catch a target between your two legs to pull them closer to you, and once caught the foe struggles not against your physical strength, but your sexiness to escape. They are otherwise helpless to harm you until they break free, which requires willpower to resist the sexy. While they’re trapped, you may attack them freely, or simply allow them to struggle.</v>
      </c>
      <c r="I126" s="5"/>
    </row>
    <row r="127" spans="1:9" ht="69.599999999999994" x14ac:dyDescent="0.25">
      <c r="A127" s="16"/>
      <c r="B127" s="17">
        <v>123</v>
      </c>
      <c r="C127" s="2" t="b">
        <f ca="1">IFERROR(__xludf.DUMMYFUNCTION("""COMPUTED_VALUE"""),FALSE)</f>
        <v>0</v>
      </c>
      <c r="D127" s="2">
        <f ca="1">IFERROR(__xludf.DUMMYFUNCTION("""COMPUTED_VALUE"""),300)</f>
        <v>300</v>
      </c>
      <c r="E127" s="2" t="str">
        <f ca="1">IFERROR(__xludf.DUMMYFUNCTION("""COMPUTED_VALUE"""),"Make an Example of Them")</f>
        <v>Make an Example of Them</v>
      </c>
      <c r="F127" s="2" t="str">
        <f ca="1">IFERROR(__xludf.DUMMYFUNCTION("""COMPUTED_VALUE"""),"Slimy Sextet")</f>
        <v>Slimy Sextet</v>
      </c>
      <c r="G127" s="2" t="str">
        <f ca="1">IFERROR(__xludf.DUMMYFUNCTION("""COMPUTED_VALUE"""),"Powers")</f>
        <v>Powers</v>
      </c>
      <c r="H127" s="2" t="str">
        <f ca="1">IFERROR(__xludf.DUMMYFUNCTION("""COMPUTED_VALUE"""),"When someone does wrong by you and you punish them, other people will inherently know the consequences of wronging you in a similar fashion. Even if nobody ever hears about what you did, anyone considering hurting, betraying, or failing you in the same wa"&amp;"y will realize the consequences of doing so.")</f>
        <v>When someone does wrong by you and you punish them, other people will inherently know the consequences of wronging you in a similar fashion. Even if nobody ever hears about what you did, anyone considering hurting, betraying, or failing you in the same way will realize the consequences of doing so.</v>
      </c>
      <c r="I127" s="5"/>
    </row>
    <row r="128" spans="1:9" ht="156.6" x14ac:dyDescent="0.25">
      <c r="A128" s="16"/>
      <c r="B128" s="17">
        <v>124</v>
      </c>
      <c r="C128" s="2" t="b">
        <f ca="1">IFERROR(__xludf.DUMMYFUNCTION("""COMPUTED_VALUE"""),FALSE)</f>
        <v>0</v>
      </c>
      <c r="D128" s="2">
        <f ca="1">IFERROR(__xludf.DUMMYFUNCTION("""COMPUTED_VALUE"""),300)</f>
        <v>300</v>
      </c>
      <c r="E128" s="2" t="str">
        <f ca="1">IFERROR(__xludf.DUMMYFUNCTION("""COMPUTED_VALUE"""),"Modification Backfire")</f>
        <v>Modification Backfire</v>
      </c>
      <c r="F128" s="2" t="str">
        <f ca="1">IFERROR(__xludf.DUMMYFUNCTION("""COMPUTED_VALUE"""),"Merry Marry")</f>
        <v>Merry Marry</v>
      </c>
      <c r="G128" s="2" t="str">
        <f ca="1">IFERROR(__xludf.DUMMYFUNCTION("""COMPUTED_VALUE"""),"Powers")</f>
        <v>Powers</v>
      </c>
      <c r="H128" s="2" t="str">
        <f ca="1">IFERROR(__xludf.DUMMYFUNCTION("""COMPUTED_VALUE"""),"Strictly speaking, this was due to a prototype version of the genderswap drug, as its first usage resulted in the user ending up with a female’s body... yet still had a dick hanging between their legs. But at the same time, it supposedly wasn’t fixed befo"&amp;"re Sasuke stole it. Well, anyways, whenever someone tries to drug you or forcibly modify you, or even poison you, things tend to go a little haywire. A unique and unpredictable reaction between your biology and the offending chemical will occur. Sure you "&amp;"might go down to the poison, but for some reason it will also double your strength for while before it starts to take its toll. Or, as mentioned, ending up a futanari from a drug meant to swap your gender. This won’t do away with all of the bad effects, b"&amp;"ut you will end up with a decent silver lining.")</f>
        <v>Strictly speaking, this was due to a prototype version of the genderswap drug, as its first usage resulted in the user ending up with a female’s body... yet still had a dick hanging between their legs. But at the same time, it supposedly wasn’t fixed before Sasuke stole it. Well, anyways, whenever someone tries to drug you or forcibly modify you, or even poison you, things tend to go a little haywire. A unique and unpredictable reaction between your biology and the offending chemical will occur. Sure you might go down to the poison, but for some reason it will also double your strength for while before it starts to take its toll. Or, as mentioned, ending up a futanari from a drug meant to swap your gender. This won’t do away with all of the bad effects, but you will end up with a decent silver lining.</v>
      </c>
      <c r="I128" s="5"/>
    </row>
    <row r="129" spans="1:10" ht="226.2" x14ac:dyDescent="0.25">
      <c r="A129" s="16"/>
      <c r="B129" s="17">
        <v>125</v>
      </c>
      <c r="C129" s="2" t="b">
        <f ca="1">IFERROR(__xludf.DUMMYFUNCTION("""COMPUTED_VALUE"""),FALSE)</f>
        <v>0</v>
      </c>
      <c r="D129" s="2">
        <f ca="1">IFERROR(__xludf.DUMMYFUNCTION("""COMPUTED_VALUE"""),300)</f>
        <v>300</v>
      </c>
      <c r="E129" s="2" t="str">
        <f ca="1">IFERROR(__xludf.DUMMYFUNCTION("""COMPUTED_VALUE"""),"Origin Story")</f>
        <v>Origin Story</v>
      </c>
      <c r="F129" s="2" t="str">
        <f ca="1">IFERROR(__xludf.DUMMYFUNCTION("""COMPUTED_VALUE"""),"World of Lewd Superheroes")</f>
        <v>World of Lewd Superheroes</v>
      </c>
      <c r="G129" s="2" t="str">
        <f ca="1">IFERROR(__xludf.DUMMYFUNCTION("""COMPUTED_VALUE"""),"Powers")</f>
        <v>Powers</v>
      </c>
      <c r="H129" s="2" t="str">
        <f ca="1">IFERROR(__xludf.DUMMYFUNCTION("""COMPUTED_VALUE"""),"Every hero’s journey has to start somewhere, whether with a radioactive spider bite or cosmic radiation or a magic book opening at your touch. While you can’t make lightning strike twice, you do have some ways to encourage the development of superpowers i"&amp;"n young heroes, and this vault contains just a few of many possible starting points, such as a gene splicer that can grant a young woman your Alien DNA, or a super soldier serum that could turn her into a Badass. Whatever powers you might have, there’s a "&amp;"device in this container capable of bestowing them on another person, albeit much weaker and needing serious training before they can catch up to your level. The transformation also has side-effects like nymphomania for the duration of the process, so you"&amp;" had best be ready to help out your young protege until they get used to it. 
Each device can only be used once per decade and bestows one powerset per use. A powerset can mean multiple, synergistic perks, but a perk can only be considered part of one po"&amp;"werset at a time. You gain additional devices in future jumps as you gain additional powers.")</f>
        <v>Every hero’s journey has to start somewhere, whether with a radioactive spider bite or cosmic radiation or a magic book opening at your touch. While you can’t make lightning strike twice, you do have some ways to encourage the development of superpowers in young heroes, and this vault contains just a few of many possible starting points, such as a gene splicer that can grant a young woman your Alien DNA, or a super soldier serum that could turn her into a Badass. Whatever powers you might have, there’s a device in this container capable of bestowing them on another person, albeit much weaker and needing serious training before they can catch up to your level. The transformation also has side-effects like nymphomania for the duration of the process, so you had best be ready to help out your young protege until they get used to it. 
Each device can only be used once per decade and bestows one powerset per use. A powerset can mean multiple, synergistic perks, but a perk can only be considered part of one powerset at a time. You gain additional devices in future jumps as you gain additional powers.</v>
      </c>
      <c r="I129" s="5"/>
    </row>
    <row r="130" spans="1:10" ht="69.599999999999994" x14ac:dyDescent="0.25">
      <c r="A130" s="16"/>
      <c r="B130" s="17">
        <v>126</v>
      </c>
      <c r="C130" s="2" t="b">
        <f ca="1">IFERROR(__xludf.DUMMYFUNCTION("""COMPUTED_VALUE"""),FALSE)</f>
        <v>0</v>
      </c>
      <c r="D130" s="2">
        <f ca="1">IFERROR(__xludf.DUMMYFUNCTION("""COMPUTED_VALUE"""),300)</f>
        <v>300</v>
      </c>
      <c r="E130" s="2" t="str">
        <f ca="1">IFERROR(__xludf.DUMMYFUNCTION("""COMPUTED_VALUE"""),"Sex Battle")</f>
        <v>Sex Battle</v>
      </c>
      <c r="F130" s="2" t="str">
        <f ca="1">IFERROR(__xludf.DUMMYFUNCTION("""COMPUTED_VALUE"""),"Generic: Lewd Pokemon")</f>
        <v>Generic: Lewd Pokemon</v>
      </c>
      <c r="G130" s="2" t="str">
        <f ca="1">IFERROR(__xludf.DUMMYFUNCTION("""COMPUTED_VALUE"""),"Powers")</f>
        <v>Powers</v>
      </c>
      <c r="H130" s="2" t="str">
        <f ca="1">IFERROR(__xludf.DUMMYFUNCTION("""COMPUTED_VALUE"""),"Normally winning a battle would require you to beat the enemy team up until they faint. With this perk, fucking them until they pass out in a blissed out puddle becomes a perfectly viable method of winning, granting you all the benefits of winning the ‘no"&amp;"rmal’ way. No one will bat an eye about it, but they might get hot and bothered from watching if they’re into that sort of thing.")</f>
        <v>Normally winning a battle would require you to beat the enemy team up until they faint. With this perk, fucking them until they pass out in a blissed out puddle becomes a perfectly viable method of winning, granting you all the benefits of winning the ‘normal’ way. No one will bat an eye about it, but they might get hot and bothered from watching if they’re into that sort of thing.</v>
      </c>
      <c r="I130" s="5"/>
    </row>
    <row r="131" spans="1:10" ht="278.39999999999998" x14ac:dyDescent="0.25">
      <c r="A131" s="16"/>
      <c r="B131" s="17">
        <v>127</v>
      </c>
      <c r="C131" s="2" t="b">
        <f ca="1">IFERROR(__xludf.DUMMYFUNCTION("""COMPUTED_VALUE"""),FALSE)</f>
        <v>0</v>
      </c>
      <c r="D131" s="2">
        <f ca="1">IFERROR(__xludf.DUMMYFUNCTION("""COMPUTED_VALUE"""),300)</f>
        <v>300</v>
      </c>
      <c r="E131" s="2" t="str">
        <f ca="1">IFERROR(__xludf.DUMMYFUNCTION("""COMPUTED_VALUE"""),"Sexy Sportsmanship")</f>
        <v>Sexy Sportsmanship</v>
      </c>
      <c r="F131" s="2" t="str">
        <f ca="1">IFERROR(__xludf.DUMMYFUNCTION("""COMPUTED_VALUE"""),"It’s a Straight Line Once You Fall in Love!")</f>
        <v>It’s a Straight Line Once You Fall in Love!</v>
      </c>
      <c r="G131" s="2" t="str">
        <f ca="1">IFERROR(__xludf.DUMMYFUNCTION("""COMPUTED_VALUE"""),"Powers")</f>
        <v>Powers</v>
      </c>
      <c r="H131" s="2" t="str">
        <f ca="1">IFERROR(__xludf.DUMMYFUNCTION("""COMPUTED_VALUE"""),"So, you’ve gotten on the mat with your partner, the two of you insert, and... your partner immediately cums themself silly from all the super-sex perks you’ve collected from other lewd jumps, and they become useless for the rest of the bout. Or your super"&amp;"-endurance prevents you from cumming within the 20-minute timeframe. Or the sheer mess your gallons of semen produce is considered unartistic and causes you to lose points.
When it comes to sex where you’re supposed to work alongside someone, some of tho"&amp;"se lewd powers you may have acquired could be more of a hindrance than a help, while others would present an advantage that’s just not sportsmanlike to use in an official match. That’s where this perk comes into play; you have complete control over your p"&amp;"erks and powers. This allows you to turn your perks on and off at will, or even dial them to degrees so that a perk is only partially in effect.
Speaking of partial perk effects, you can also selectively turn off parts of your perks, while leaving the re"&amp;"st of it untouched; for instance, if you had a perk that gave you endless stamina and also let you see how close your partners are to coming, you could selectively turn off just the stamina and keep the orgasm- vision.")</f>
        <v>So, you’ve gotten on the mat with your partner, the two of you insert, and... your partner immediately cums themself silly from all the super-sex perks you’ve collected from other lewd jumps, and they become useless for the rest of the bout. Or your super-endurance prevents you from cumming within the 20-minute timeframe. Or the sheer mess your gallons of semen produce is considered unartistic and causes you to lose points.
When it comes to sex where you’re supposed to work alongside someone, some of those lewd powers you may have acquired could be more of a hindrance than a help, while others would present an advantage that’s just not sportsmanlike to use in an official match. That’s where this perk comes into play; you have complete control over your perks and powers. This allows you to turn your perks on and off at will, or even dial them to degrees so that a perk is only partially in effect.
Speaking of partial perk effects, you can also selectively turn off parts of your perks, while leaving the rest of it untouched; for instance, if you had a perk that gave you endless stamina and also let you see how close your partners are to coming, you could selectively turn off just the stamina and keep the orgasm- vision.</v>
      </c>
      <c r="I131" s="5"/>
    </row>
    <row r="132" spans="1:10" ht="191.4" x14ac:dyDescent="0.25">
      <c r="A132" s="16"/>
      <c r="B132" s="17">
        <v>128</v>
      </c>
      <c r="C132" s="2" t="b">
        <f ca="1">IFERROR(__xludf.DUMMYFUNCTION("""COMPUTED_VALUE"""),FALSE)</f>
        <v>0</v>
      </c>
      <c r="D132" s="2">
        <f ca="1">IFERROR(__xludf.DUMMYFUNCTION("""COMPUTED_VALUE"""),300)</f>
        <v>300</v>
      </c>
      <c r="E132" s="2" t="str">
        <f ca="1">IFERROR(__xludf.DUMMYFUNCTION("""COMPUTED_VALUE"""),"Soul-Sucking Heart Smash")</f>
        <v>Soul-Sucking Heart Smash</v>
      </c>
      <c r="F132" s="2" t="str">
        <f ca="1">IFERROR(__xludf.DUMMYFUNCTION("""COMPUTED_VALUE"""),"Waifu Fighter")</f>
        <v>Waifu Fighter</v>
      </c>
      <c r="G132" s="2" t="str">
        <f ca="1">IFERROR(__xludf.DUMMYFUNCTION("""COMPUTED_VALUE"""),"Powers")</f>
        <v>Powers</v>
      </c>
      <c r="H132" s="2" t="str">
        <f ca="1">IFERROR(__xludf.DUMMYFUNCTION("""COMPUTED_VALUE"""),"In a fight against a creature as powerful as a woman, there can be no holding back and no blow too low. You have a peculiarly keen understanding of what people want—this doesn’t help in other social situations, but it is very effective at finding out what"&amp;" will flatter someone the most, what you can say to get under their skin, and what will make them actually feel strong emotions in response to your words. The easiest form of this is to flirt with them. 
Once they are full of emotion, you can absorb thei"&amp;"r confused feelings, and transform it into fighting power, temporarily giving you a powerful boost that can allow even an ordinary man to land a powerful blow on a woman, and that scales proportionally with your own power. However, once someone has succum"&amp;"bed to this technique, they will be wise to the trick, so it is best used as a finishing blow, lest they endure the attack and you have nothing else to fall back on.")</f>
        <v>In a fight against a creature as powerful as a woman, there can be no holding back and no blow too low. You have a peculiarly keen understanding of what people want—this doesn’t help in other social situations, but it is very effective at finding out what will flatter someone the most, what you can say to get under their skin, and what will make them actually feel strong emotions in response to your words. The easiest form of this is to flirt with them. 
Once they are full of emotion, you can absorb their confused feelings, and transform it into fighting power, temporarily giving you a powerful boost that can allow even an ordinary man to land a powerful blow on a woman, and that scales proportionally with your own power. However, once someone has succumbed to this technique, they will be wise to the trick, so it is best used as a finishing blow, lest they endure the attack and you have nothing else to fall back on.</v>
      </c>
      <c r="I132" s="5"/>
    </row>
    <row r="133" spans="1:10" ht="104.4" x14ac:dyDescent="0.35">
      <c r="A133" s="16"/>
      <c r="B133" s="17">
        <v>129</v>
      </c>
      <c r="C133" s="2" t="b">
        <f ca="1">IFERROR(__xludf.DUMMYFUNCTION("""COMPUTED_VALUE"""),FALSE)</f>
        <v>0</v>
      </c>
      <c r="D133" s="2">
        <f ca="1">IFERROR(__xludf.DUMMYFUNCTION("""COMPUTED_VALUE"""),300)</f>
        <v>300</v>
      </c>
      <c r="E133" s="2" t="str">
        <f ca="1">IFERROR(__xludf.DUMMYFUNCTION("""COMPUTED_VALUE"""),"Stronger Tomorrow")</f>
        <v>Stronger Tomorrow</v>
      </c>
      <c r="F133" s="2" t="str">
        <f ca="1">IFERROR(__xludf.DUMMYFUNCTION("""COMPUTED_VALUE"""),"Generic: Hentai Magical Girl")</f>
        <v>Generic: Hentai Magical Girl</v>
      </c>
      <c r="G133" s="2" t="str">
        <f ca="1">IFERROR(__xludf.DUMMYFUNCTION("""COMPUTED_VALUE"""),"Powers")</f>
        <v>Powers</v>
      </c>
      <c r="H133" s="2" t="str">
        <f ca="1">IFERROR(__xludf.DUMMYFUNCTION("""COMPUTED_VALUE"""),"Power here is a bit odd, but as a general rule the more combat experience you get, the faster you get more power. I could lay out a whole system for you, but instead I'll just boil it down to this. Do something impressive, get a power boost. I don't mean "&amp;"'Impressive' like get a perfect score on a test, or win some sports competition. I mean go solo against a monster that it was supposed to take your whole team to fight for a few minutes, successfully, and get weeks if not months of growth out of those few"&amp;" minutes. Just... try not to die or get fucked, please?")</f>
        <v>Power here is a bit odd, but as a general rule the more combat experience you get, the faster you get more power. I could lay out a whole system for you, but instead I'll just boil it down to this. Do something impressive, get a power boost. I don't mean 'Impressive' like get a perfect score on a test, or win some sports competition. I mean go solo against a monster that it was supposed to take your whole team to fight for a few minutes, successfully, and get weeks if not months of growth out of those few minutes. Just... try not to die or get fucked, please?</v>
      </c>
      <c r="I133" s="5"/>
      <c r="J133" s="13"/>
    </row>
    <row r="134" spans="1:10" ht="208.8" x14ac:dyDescent="0.35">
      <c r="A134" s="16"/>
      <c r="B134" s="17">
        <v>130</v>
      </c>
      <c r="C134" s="2" t="b">
        <f ca="1">IFERROR(__xludf.DUMMYFUNCTION("""COMPUTED_VALUE"""),FALSE)</f>
        <v>0</v>
      </c>
      <c r="D134" s="2">
        <f ca="1">IFERROR(__xludf.DUMMYFUNCTION("""COMPUTED_VALUE"""),300)</f>
        <v>300</v>
      </c>
      <c r="E134" s="2" t="str">
        <f ca="1">IFERROR(__xludf.DUMMYFUNCTION("""COMPUTED_VALUE"""),"Sub Contract")</f>
        <v>Sub Contract</v>
      </c>
      <c r="F134" s="2" t="str">
        <f ca="1">IFERROR(__xludf.DUMMYFUNCTION("""COMPUTED_VALUE"""),"Generic: BDSM")</f>
        <v>Generic: BDSM</v>
      </c>
      <c r="G134" s="2" t="str">
        <f ca="1">IFERROR(__xludf.DUMMYFUNCTION("""COMPUTED_VALUE"""),"Powers")</f>
        <v>Powers</v>
      </c>
      <c r="H134" s="2" t="str">
        <f ca="1">IFERROR(__xludf.DUMMYFUNCTION("""COMPUTED_VALUE"""),"This innocent-looking binder contains a lengthy contract that, when signed, allows one person to sell themself to another person in all but name. You can freely alter the terms of the contract to allow or disallow any kind of fetish play, and so long as t"&amp;"here is even one part of the contract that establishes a sexual or fetishistic relationship between the two parties you can make all the other clauses and conditions about whatever you want. Wherever you are, any lawful authorities who inspect the contrac"&amp;"t will see it as legal and binding and will even help enforce the terms if needed. Once both parties have signed the contract it can only be nullified or changed if both parties agree to do so, so make sure that you sign the right dotted line.
This item"&amp;" comes with five copies of the contract to start and each time a contract is signed a fresh one will take its place. Any physically destroyed contracts will reappear in the binder good as new 24 hours later. You can have as many active contracts as you li"&amp;"ke at any one time.")</f>
        <v>This innocent-looking binder contains a lengthy contract that, when signed, allows one person to sell themself to another person in all but name. You can freely alter the terms of the contract to allow or disallow any kind of fetish play, and so long as there is even one part of the contract that establishes a sexual or fetishistic relationship between the two parties you can make all the other clauses and conditions about whatever you want. Wherever you are, any lawful authorities who inspect the contract will see it as legal and binding and will even help enforce the terms if needed. Once both parties have signed the contract it can only be nullified or changed if both parties agree to do so, so make sure that you sign the right dotted line.
This item comes with five copies of the contract to start and each time a contract is signed a fresh one will take its place. Any physically destroyed contracts will reappear in the binder good as new 24 hours later. You can have as many active contracts as you like at any one time.</v>
      </c>
      <c r="I134" s="5"/>
      <c r="J134" s="27"/>
    </row>
    <row r="135" spans="1:10" ht="278.39999999999998" x14ac:dyDescent="0.25">
      <c r="A135" s="16"/>
      <c r="B135" s="17">
        <v>131</v>
      </c>
      <c r="C135" s="2" t="b">
        <f ca="1">IFERROR(__xludf.DUMMYFUNCTION("""COMPUTED_VALUE"""),FALSE)</f>
        <v>0</v>
      </c>
      <c r="D135" s="2">
        <f ca="1">IFERROR(__xludf.DUMMYFUNCTION("""COMPUTED_VALUE"""),300)</f>
        <v>300</v>
      </c>
      <c r="E135" s="2" t="str">
        <f ca="1">IFERROR(__xludf.DUMMYFUNCTION("""COMPUTED_VALUE"""),"The Beast")</f>
        <v>The Beast</v>
      </c>
      <c r="F135" s="2" t="str">
        <f ca="1">IFERROR(__xludf.DUMMYFUNCTION("""COMPUTED_VALUE"""),"Burakku Gakkou Ni Tsutomete Shimatta Sensei")</f>
        <v>Burakku Gakkou Ni Tsutomete Shimatta Sensei</v>
      </c>
      <c r="G135" s="2" t="str">
        <f ca="1">IFERROR(__xludf.DUMMYFUNCTION("""COMPUTED_VALUE"""),"Powers")</f>
        <v>Powers</v>
      </c>
      <c r="H135" s="2" t="str">
        <f ca="1">IFERROR(__xludf.DUMMYFUNCTION("""COMPUTED_VALUE"""),"Your dick is a monster of incredible power, rivaled only by Imacchi’s own. The force of your erection standing on end is powerful enough to flip multiple teenagers through the air, launching them down a hallway with air pressure alone.
If you were lying "&amp;"on your stomach and got hard, you’d be standing on your feet again. Your dick is also completely invulnerable to damage, allowing you to safely wield the full force of your penile might. It’s pretty big, too.
Somehow, people are never actually injured by"&amp;" your dong. The impact of it against their bodies is instead somehow pleasurable, and were you to actually fuck someone, the force of its twitches against their sensitive internal tissues would only inspire deep wells of pleasure, rather than the pure ago"&amp;"ny that would surely occur without this perk. And somehow, your erection only gets larger and more powerful the more you orgasm.
Huh? What if you’re a girl? Well, I guess you could have the effects apply to your nipples getting hard... but if you want, y"&amp;"ou could just grow a mega-dong of your own.")</f>
        <v>Your dick is a monster of incredible power, rivaled only by Imacchi’s own. The force of your erection standing on end is powerful enough to flip multiple teenagers through the air, launching them down a hallway with air pressure alone.
If you were lying on your stomach and got hard, you’d be standing on your feet again. Your dick is also completely invulnerable to damage, allowing you to safely wield the full force of your penile might. It’s pretty big, too.
Somehow, people are never actually injured by your dong. The impact of it against their bodies is instead somehow pleasurable, and were you to actually fuck someone, the force of its twitches against their sensitive internal tissues would only inspire deep wells of pleasure, rather than the pure agony that would surely occur without this perk. And somehow, your erection only gets larger and more powerful the more you orgasm.
Huh? What if you’re a girl? Well, I guess you could have the effects apply to your nipples getting hard... but if you want, you could just grow a mega-dong of your own.</v>
      </c>
      <c r="I135" s="5"/>
    </row>
    <row r="136" spans="1:10" ht="156.6" x14ac:dyDescent="0.25">
      <c r="A136" s="16"/>
      <c r="B136" s="17">
        <v>132</v>
      </c>
      <c r="C136" s="2" t="b">
        <f ca="1">IFERROR(__xludf.DUMMYFUNCTION("""COMPUTED_VALUE"""),FALSE)</f>
        <v>0</v>
      </c>
      <c r="D136" s="2">
        <f ca="1">IFERROR(__xludf.DUMMYFUNCTION("""COMPUTED_VALUE"""),300)</f>
        <v>300</v>
      </c>
      <c r="E136" s="2" t="str">
        <f ca="1">IFERROR(__xludf.DUMMYFUNCTION("""COMPUTED_VALUE"""),"The Last One Still Dressed Wins")</f>
        <v>The Last One Still Dressed Wins</v>
      </c>
      <c r="F136" s="2" t="str">
        <f ca="1">IFERROR(__xludf.DUMMYFUNCTION("""COMPUTED_VALUE"""),"Miyuki-chan in Wonderland")</f>
        <v>Miyuki-chan in Wonderland</v>
      </c>
      <c r="G136" s="2" t="str">
        <f ca="1">IFERROR(__xludf.DUMMYFUNCTION("""COMPUTED_VALUE"""),"Powers")</f>
        <v>Powers</v>
      </c>
      <c r="H136" s="2" t="str">
        <f ca="1">IFERROR(__xludf.DUMMYFUNCTION("""COMPUTED_VALUE"""),"You have mastered the art of waitress combat – specifically in making your opponent gradually lose her (or his) clothing with every successful hit. Since it’s rather undignified to take off your clothes in front of people (even if it’s someone else who’s "&amp;"taking them off you), your de-clothed opponent will become more and more embarrassed as the humiliation progresses, and people who see the person lose her clothing will lose a bit of respect they had for the person and instead see her as scandalous or sil"&amp;"ly with each garment lost (interestingly, the respect lost toward the victim is somehow transferred toward their perception of you, as there’s something admirable in how you so elegantly take your opponent’s clothes off in the duel). In fact, you can take"&amp;" an opponent’s clothes off in any sanctioned duel without being disqualified for doing so.")</f>
        <v>You have mastered the art of waitress combat – specifically in making your opponent gradually lose her (or his) clothing with every successful hit. Since it’s rather undignified to take off your clothes in front of people (even if it’s someone else who’s taking them off you), your de-clothed opponent will become more and more embarrassed as the humiliation progresses, and people who see the person lose her clothing will lose a bit of respect they had for the person and instead see her as scandalous or silly with each garment lost (interestingly, the respect lost toward the victim is somehow transferred toward their perception of you, as there’s something admirable in how you so elegantly take your opponent’s clothes off in the duel). In fact, you can take an opponent’s clothes off in any sanctioned duel without being disqualified for doing so.</v>
      </c>
      <c r="I136" s="5"/>
    </row>
    <row r="137" spans="1:10" ht="104.4" x14ac:dyDescent="0.25">
      <c r="A137" s="16"/>
      <c r="B137" s="17">
        <v>133</v>
      </c>
      <c r="C137" s="2" t="b">
        <f ca="1">IFERROR(__xludf.DUMMYFUNCTION("""COMPUTED_VALUE"""),FALSE)</f>
        <v>0</v>
      </c>
      <c r="D137" s="2">
        <f ca="1">IFERROR(__xludf.DUMMYFUNCTION("""COMPUTED_VALUE"""),300)</f>
        <v>300</v>
      </c>
      <c r="E137" s="2" t="str">
        <f ca="1">IFERROR(__xludf.DUMMYFUNCTION("""COMPUTED_VALUE"""),"Watch of Unflowing Time")</f>
        <v>Watch of Unflowing Time</v>
      </c>
      <c r="F137" s="2" t="str">
        <f ca="1">IFERROR(__xludf.DUMMYFUNCTION("""COMPUTED_VALUE"""),"Generic: Hentai Occult")</f>
        <v>Generic: Hentai Occult</v>
      </c>
      <c r="G137" s="2" t="str">
        <f ca="1">IFERROR(__xludf.DUMMYFUNCTION("""COMPUTED_VALUE"""),"Powers")</f>
        <v>Powers</v>
      </c>
      <c r="H137" s="2" t="str">
        <f ca="1">IFERROR(__xludf.DUMMYFUNCTION("""COMPUTED_VALUE"""),"A pocket watch with an unmarked button on the side. Clicking it will freeze time until it’s clicked again. The watch will slowly recharge at half speed, two minutes real time for one minute frozen. If it reaches over 24 hours of use, it will be rendered i"&amp;"nert until fully recharged. People nearby you will be relatively poseable, like a giant action figure, whereas someone a mile away or more would be utterly inflexible. As a downside, the watch is fragile. Any form of time manipulation by an outside party "&amp;"will break its effect and render the watch temporarily inert for 24 hours.")</f>
        <v>A pocket watch with an unmarked button on the side. Clicking it will freeze time until it’s clicked again. The watch will slowly recharge at half speed, two minutes real time for one minute frozen. If it reaches over 24 hours of use, it will be rendered inert until fully recharged. People nearby you will be relatively poseable, like a giant action figure, whereas someone a mile away or more would be utterly inflexible. As a downside, the watch is fragile. Any form of time manipulation by an outside party will break its effect and render the watch temporarily inert for 24 hours.</v>
      </c>
      <c r="I137" s="5"/>
    </row>
    <row r="138" spans="1:10" ht="87" x14ac:dyDescent="0.25">
      <c r="A138" s="16"/>
      <c r="B138" s="17">
        <v>134</v>
      </c>
      <c r="C138" s="2" t="b">
        <f ca="1">IFERROR(__xludf.DUMMYFUNCTION("""COMPUTED_VALUE"""),FALSE)</f>
        <v>0</v>
      </c>
      <c r="D138" s="2">
        <f ca="1">IFERROR(__xludf.DUMMYFUNCTION("""COMPUTED_VALUE"""),300)</f>
        <v>300</v>
      </c>
      <c r="E138" s="2" t="str">
        <f ca="1">IFERROR(__xludf.DUMMYFUNCTION("""COMPUTED_VALUE"""),"Well Used Sex Toy")</f>
        <v>Well Used Sex Toy</v>
      </c>
      <c r="F138" s="2" t="str">
        <f ca="1">IFERROR(__xludf.DUMMYFUNCTION("""COMPUTED_VALUE"""),"Generic: Hentai Modern")</f>
        <v>Generic: Hentai Modern</v>
      </c>
      <c r="G138" s="2" t="str">
        <f ca="1">IFERROR(__xludf.DUMMYFUNCTION("""COMPUTED_VALUE"""),"Powers")</f>
        <v>Powers</v>
      </c>
      <c r="H138" s="2" t="str">
        <f ca="1">IFERROR(__xludf.DUMMYFUNCTION("""COMPUTED_VALUE"""),"A sex toy that one day decided to love you back! Onaho, the goddess of onaholes! Or perhaps Dick, the god of dildos? Anyways, this toy/person is more or less immune to societal standards. They can walk around naked and nobody will bat an eye, and you can "&amp;"fuck them utterly senseless on a subway and nobody will cry rape. They’re also utterly devoted to you, and have no physical needs other than sex.")</f>
        <v>A sex toy that one day decided to love you back! Onaho, the goddess of onaholes! Or perhaps Dick, the god of dildos? Anyways, this toy/person is more or less immune to societal standards. They can walk around naked and nobody will bat an eye, and you can fuck them utterly senseless on a subway and nobody will cry rape. They’re also utterly devoted to you, and have no physical needs other than sex.</v>
      </c>
      <c r="I138" s="5"/>
    </row>
    <row r="139" spans="1:10" ht="87" x14ac:dyDescent="0.25">
      <c r="A139" s="16"/>
      <c r="B139" s="17">
        <v>135</v>
      </c>
      <c r="C139" s="2" t="b">
        <f ca="1">IFERROR(__xludf.DUMMYFUNCTION("""COMPUTED_VALUE"""),FALSE)</f>
        <v>0</v>
      </c>
      <c r="D139" s="2">
        <f ca="1">IFERROR(__xludf.DUMMYFUNCTION("""COMPUTED_VALUE"""),300)</f>
        <v>300</v>
      </c>
      <c r="E139" s="2" t="str">
        <f ca="1">IFERROR(__xludf.DUMMYFUNCTION("""COMPUTED_VALUE"""),"What a Good Slave")</f>
        <v>What a Good Slave</v>
      </c>
      <c r="F139" s="2" t="str">
        <f ca="1">IFERROR(__xludf.DUMMYFUNCTION("""COMPUTED_VALUE"""),"Mind Control University")</f>
        <v>Mind Control University</v>
      </c>
      <c r="G139" s="2" t="str">
        <f ca="1">IFERROR(__xludf.DUMMYFUNCTION("""COMPUTED_VALUE"""),"Powers")</f>
        <v>Powers</v>
      </c>
      <c r="H139" s="2" t="str">
        <f ca="1">IFERROR(__xludf.DUMMYFUNCTION("""COMPUTED_VALUE"""),"Want to be useful and earn your Master or Mistress’s praise? Say no more. You are intuitively aware of your superior’s desires at any given moment. No, that’s not enough, is it? You are presciently aware of your superior’s desires; by the time they realiz"&amp;"e they want something, you’ve already provided it and have moved on to taking care of the next thing they’ll want. (This includes real-time guidance on how to please your superior sexually.)")</f>
        <v>Want to be useful and earn your Master or Mistress’s praise? Say no more. You are intuitively aware of your superior’s desires at any given moment. No, that’s not enough, is it? You are presciently aware of your superior’s desires; by the time they realize they want something, you’ve already provided it and have moved on to taking care of the next thing they’ll want. (This includes real-time guidance on how to please your superior sexually.)</v>
      </c>
      <c r="I139" s="5"/>
    </row>
    <row r="140" spans="1:10" ht="104.4" x14ac:dyDescent="0.25">
      <c r="A140" s="16"/>
      <c r="B140" s="17">
        <v>136</v>
      </c>
      <c r="C140" s="2" t="b">
        <f ca="1">IFERROR(__xludf.DUMMYFUNCTION("""COMPUTED_VALUE"""),FALSE)</f>
        <v>0</v>
      </c>
      <c r="D140" s="2">
        <f ca="1">IFERROR(__xludf.DUMMYFUNCTION("""COMPUTED_VALUE"""),300)</f>
        <v>300</v>
      </c>
      <c r="E140" s="2" t="str">
        <f ca="1">IFERROR(__xludf.DUMMYFUNCTION("""COMPUTED_VALUE"""),"Worldly Women")</f>
        <v>Worldly Women</v>
      </c>
      <c r="F140" s="2" t="str">
        <f ca="1">IFERROR(__xludf.DUMMYFUNCTION("""COMPUTED_VALUE"""),"Ashigei Shoujo Komura-san")</f>
        <v>Ashigei Shoujo Komura-san</v>
      </c>
      <c r="G140" s="2" t="str">
        <f ca="1">IFERROR(__xludf.DUMMYFUNCTION("""COMPUTED_VALUE"""),"Powers")</f>
        <v>Powers</v>
      </c>
      <c r="H140" s="2" t="str">
        <f ca="1">IFERROR(__xludf.DUMMYFUNCTION("""COMPUTED_VALUE"""),"As when Komurai practitioners retire, they tend to trade full-body movements for sensitivity and intuition. Your feet can gather a scary amount of information from vibrations and temperature, such as predicting the weather. Being in the same room as someo"&amp;"ne will let you sense their general mood, hunger, health issues, etc. Touching someone directly with your feet will let you sense every detail of their body from their heartbeat to muscle contractions, and from that their emotional state.")</f>
        <v>As when Komurai practitioners retire, they tend to trade full-body movements for sensitivity and intuition. Your feet can gather a scary amount of information from vibrations and temperature, such as predicting the weather. Being in the same room as someone will let you sense their general mood, hunger, health issues, etc. Touching someone directly with your feet will let you sense every detail of their body from their heartbeat to muscle contractions, and from that their emotional state.</v>
      </c>
      <c r="I140" s="5"/>
    </row>
    <row r="141" spans="1:10" ht="174" x14ac:dyDescent="0.25">
      <c r="A141" s="16"/>
      <c r="B141" s="17">
        <v>137</v>
      </c>
      <c r="C141" s="2" t="b">
        <f ca="1">IFERROR(__xludf.DUMMYFUNCTION("""COMPUTED_VALUE"""),FALSE)</f>
        <v>0</v>
      </c>
      <c r="D141" s="2">
        <f ca="1">IFERROR(__xludf.DUMMYFUNCTION("""COMPUTED_VALUE"""),400)</f>
        <v>400</v>
      </c>
      <c r="E141" s="2" t="str">
        <f ca="1">IFERROR(__xludf.DUMMYFUNCTION("""COMPUTED_VALUE"""),"A Fine Woman")</f>
        <v>A Fine Woman</v>
      </c>
      <c r="F141" s="2" t="str">
        <f ca="1">IFERROR(__xludf.DUMMYFUNCTION("""COMPUTED_VALUE"""),"Victim Girls (Veronica Edition)")</f>
        <v>Victim Girls (Veronica Edition)</v>
      </c>
      <c r="G141" s="2" t="str">
        <f ca="1">IFERROR(__xludf.DUMMYFUNCTION("""COMPUTED_VALUE"""),"Powers")</f>
        <v>Powers</v>
      </c>
      <c r="H141" s="2" t="str">
        <f ca="1">IFERROR(__xludf.DUMMYFUNCTION("""COMPUTED_VALUE"""),"The only joy for a woman is to be of use to a man. The day he loses interest is the day she ceases to have value. But in your eagerness to please, you find yourself ever so valuable. However incompetent you likely were before, being given an order by an a"&amp;"cknowledged master propels you to greater heights. You act with greater skill and power solely because you were told your task, instead of making any choices yourself. The more deeply you’ve submitted to your superior, the more effective this becomes. A s"&amp;"imple work superior makes little difference. Swearing yourself to a man, such that you start dripping when he pats your head, would let him turn you into a fearsome warrior from nothing with a command. And selling your body and soul to your master, being "&amp;"willing to die for their fleeting pleasure, would help you accomplish the absurd if he desired. All it took for you to find your worth was the firm hand of a man.")</f>
        <v>The only joy for a woman is to be of use to a man. The day he loses interest is the day she ceases to have value. But in your eagerness to please, you find yourself ever so valuable. However incompetent you likely were before, being given an order by an acknowledged master propels you to greater heights. You act with greater skill and power solely because you were told your task, instead of making any choices yourself. The more deeply you’ve submitted to your superior, the more effective this becomes. A simple work superior makes little difference. Swearing yourself to a man, such that you start dripping when he pats your head, would let him turn you into a fearsome warrior from nothing with a command. And selling your body and soul to your master, being willing to die for their fleeting pleasure, would help you accomplish the absurd if he desired. All it took for you to find your worth was the firm hand of a man.</v>
      </c>
      <c r="I141" s="5"/>
    </row>
    <row r="142" spans="1:10" ht="104.4" x14ac:dyDescent="0.25">
      <c r="A142" s="16"/>
      <c r="B142" s="17">
        <v>138</v>
      </c>
      <c r="C142" s="2" t="b">
        <f ca="1">IFERROR(__xludf.DUMMYFUNCTION("""COMPUTED_VALUE"""),FALSE)</f>
        <v>0</v>
      </c>
      <c r="D142" s="2">
        <f ca="1">IFERROR(__xludf.DUMMYFUNCTION("""COMPUTED_VALUE"""),400)</f>
        <v>400</v>
      </c>
      <c r="E142" s="2" t="str">
        <f ca="1">IFERROR(__xludf.DUMMYFUNCTION("""COMPUTED_VALUE"""),"A Hunger to Swallow the World")</f>
        <v>A Hunger to Swallow the World</v>
      </c>
      <c r="F142" s="2" t="str">
        <f ca="1">IFERROR(__xludf.DUMMYFUNCTION("""COMPUTED_VALUE"""),"Defiler Wings")</f>
        <v>Defiler Wings</v>
      </c>
      <c r="G142" s="2" t="str">
        <f ca="1">IFERROR(__xludf.DUMMYFUNCTION("""COMPUTED_VALUE"""),"Powers")</f>
        <v>Powers</v>
      </c>
      <c r="H142" s="2" t="str">
        <f ca="1">IFERROR(__xludf.DUMMYFUNCTION("""COMPUTED_VALUE"""),"Let’s face it, dragons eat things. Sheep, cows, virgins, all that and more. But now, you get a boost of some kind based on the last thing you ate. Eat a virgin, become more fertile. Eat a bull, your strength for increase. Each a griffin, your magical powe"&amp;"r increases. A princess, perhaps your overall beauty? Everything will give you something, but the boring stuff would probably be so small as to not notice it at all. In addition, you can eat something twice your size with ease, and maybe ten times to leav"&amp;"e you full to bursting.")</f>
        <v>Let’s face it, dragons eat things. Sheep, cows, virgins, all that and more. But now, you get a boost of some kind based on the last thing you ate. Eat a virgin, become more fertile. Eat a bull, your strength for increase. Each a griffin, your magical power increases. A princess, perhaps your overall beauty? Everything will give you something, but the boring stuff would probably be so small as to not notice it at all. In addition, you can eat something twice your size with ease, and maybe ten times to leave you full to bursting.</v>
      </c>
      <c r="I142" s="5"/>
    </row>
    <row r="143" spans="1:10" ht="121.8" x14ac:dyDescent="0.25">
      <c r="A143" s="16"/>
      <c r="B143" s="17">
        <v>139</v>
      </c>
      <c r="C143" s="2" t="b">
        <f ca="1">IFERROR(__xludf.DUMMYFUNCTION("""COMPUTED_VALUE"""),FALSE)</f>
        <v>0</v>
      </c>
      <c r="D143" s="2">
        <f ca="1">IFERROR(__xludf.DUMMYFUNCTION("""COMPUTED_VALUE"""),400)</f>
        <v>400</v>
      </c>
      <c r="E143" s="2" t="str">
        <f ca="1">IFERROR(__xludf.DUMMYFUNCTION("""COMPUTED_VALUE"""),"Arrows Like Raindrops")</f>
        <v>Arrows Like Raindrops</v>
      </c>
      <c r="F143" s="2" t="str">
        <f ca="1">IFERROR(__xludf.DUMMYFUNCTION("""COMPUTED_VALUE"""),"A Change of Tactics V2.2")</f>
        <v>A Change of Tactics V2.2</v>
      </c>
      <c r="G143" s="2" t="str">
        <f ca="1">IFERROR(__xludf.DUMMYFUNCTION("""COMPUTED_VALUE"""),"Powers")</f>
        <v>Powers</v>
      </c>
      <c r="H143" s="2" t="str">
        <f ca="1">IFERROR(__xludf.DUMMYFUNCTION("""COMPUTED_VALUE"""),"Even in the thick of the chaos of war the Shepherds tower over more common soldiers like myths among mortals, and the random perils of the battlefield that slay lesser men barely phase them. You are inured to common hazards of warfare and are able to shie"&amp;"ld yourself against injury from collateral damage or other forms of damage not specifically meant for you. Arrows may fall like rain and fireballs explode all around you, but mere happenstance will never claim your life. An enemy’s attack must be intended"&amp;" specifically for you for it to have a chance to find its mark. Likewise, any attacks from your allies that might inflict friendly fire will never find their mark against you.")</f>
        <v>Even in the thick of the chaos of war the Shepherds tower over more common soldiers like myths among mortals, and the random perils of the battlefield that slay lesser men barely phase them. You are inured to common hazards of warfare and are able to shield yourself against injury from collateral damage or other forms of damage not specifically meant for you. Arrows may fall like rain and fireballs explode all around you, but mere happenstance will never claim your life. An enemy’s attack must be intended specifically for you for it to have a chance to find its mark. Likewise, any attacks from your allies that might inflict friendly fire will never find their mark against you.</v>
      </c>
      <c r="I143" s="5"/>
    </row>
    <row r="144" spans="1:10" ht="121.8" x14ac:dyDescent="0.25">
      <c r="A144" s="16"/>
      <c r="B144" s="17">
        <v>140</v>
      </c>
      <c r="C144" s="2" t="b">
        <f ca="1">IFERROR(__xludf.DUMMYFUNCTION("""COMPUTED_VALUE"""),FALSE)</f>
        <v>0</v>
      </c>
      <c r="D144" s="2">
        <f ca="1">IFERROR(__xludf.DUMMYFUNCTION("""COMPUTED_VALUE"""),400)</f>
        <v>400</v>
      </c>
      <c r="E144" s="2" t="str">
        <f ca="1">IFERROR(__xludf.DUMMYFUNCTION("""COMPUTED_VALUE"""),"Bag of Splits Seeds")</f>
        <v>Bag of Splits Seeds</v>
      </c>
      <c r="F144" s="2" t="str">
        <f ca="1">IFERROR(__xludf.DUMMYFUNCTION("""COMPUTED_VALUE"""),"Kyonyuu Fantasy")</f>
        <v>Kyonyuu Fantasy</v>
      </c>
      <c r="G144" s="2" t="str">
        <f ca="1">IFERROR(__xludf.DUMMYFUNCTION("""COMPUTED_VALUE"""),"Powers")</f>
        <v>Powers</v>
      </c>
      <c r="H144" s="2" t="str">
        <f ca="1">IFERROR(__xludf.DUMMYFUNCTION("""COMPUTED_VALUE"""),"This seed possesses a rather potent power, by eating it one can split themselves into two separate copies. Although normally the clone is solely sex focused and lasts only a short while you seem to have gotten hold of a rather unique mutation. Your clone "&amp;"retains enough intelligence to be rather romantic and it can last an entire night. Perfect for satisfying incredibly large harems, or seducing both a Queen and a Princess simultaneously. You get a bag of ten seeds which replenishes weekly and you can use "&amp;"multiple seeds at once. However, the clones you create lose any supernatural powers not related to sex and are pretty bad at anything not relating to sex or relationship building.")</f>
        <v>This seed possesses a rather potent power, by eating it one can split themselves into two separate copies. Although normally the clone is solely sex focused and lasts only a short while you seem to have gotten hold of a rather unique mutation. Your clone retains enough intelligence to be rather romantic and it can last an entire night. Perfect for satisfying incredibly large harems, or seducing both a Queen and a Princess simultaneously. You get a bag of ten seeds which replenishes weekly and you can use multiple seeds at once. However, the clones you create lose any supernatural powers not related to sex and are pretty bad at anything not relating to sex or relationship building.</v>
      </c>
      <c r="I144" s="5"/>
    </row>
    <row r="145" spans="1:9" ht="69.599999999999994" x14ac:dyDescent="0.25">
      <c r="A145" s="16"/>
      <c r="B145" s="17">
        <v>141</v>
      </c>
      <c r="C145" s="2" t="b">
        <f ca="1">IFERROR(__xludf.DUMMYFUNCTION("""COMPUTED_VALUE"""),FALSE)</f>
        <v>0</v>
      </c>
      <c r="D145" s="2">
        <f ca="1">IFERROR(__xludf.DUMMYFUNCTION("""COMPUTED_VALUE"""),400)</f>
        <v>400</v>
      </c>
      <c r="E145" s="2" t="str">
        <f ca="1">IFERROR(__xludf.DUMMYFUNCTION("""COMPUTED_VALUE"""),"Biology Schmology")</f>
        <v>Biology Schmology</v>
      </c>
      <c r="F145" s="2" t="str">
        <f ca="1">IFERROR(__xludf.DUMMYFUNCTION("""COMPUTED_VALUE"""),"Generic: Fat-Fetish")</f>
        <v>Generic: Fat-Fetish</v>
      </c>
      <c r="G145" s="2" t="str">
        <f ca="1">IFERROR(__xludf.DUMMYFUNCTION("""COMPUTED_VALUE"""),"Powers")</f>
        <v>Powers</v>
      </c>
      <c r="H145" s="2" t="str">
        <f ca="1">IFERROR(__xludf.DUMMYFUNCTION("""COMPUTED_VALUE"""),"Oh no, did you meet a lovely alien lady, only to find out that she ‘subsists on dermally absorbed water’ or some anti-fetishistic thing like that? Well screw biology, you have desires to fulfill. Under your care, biology literally does not matter. Even if"&amp;" it makes no sense, such as your lover only consumes solar radiation for sustenance, and has no mouth. Lewd finds a way.")</f>
        <v>Oh no, did you meet a lovely alien lady, only to find out that she ‘subsists on dermally absorbed water’ or some anti-fetishistic thing like that? Well screw biology, you have desires to fulfill. Under your care, biology literally does not matter. Even if it makes no sense, such as your lover only consumes solar radiation for sustenance, and has no mouth. Lewd finds a way.</v>
      </c>
      <c r="I145" s="5"/>
    </row>
    <row r="146" spans="1:9" ht="174" x14ac:dyDescent="0.25">
      <c r="A146" s="16"/>
      <c r="B146" s="17">
        <v>142</v>
      </c>
      <c r="C146" s="2" t="b">
        <f ca="1">IFERROR(__xludf.DUMMYFUNCTION("""COMPUTED_VALUE"""),FALSE)</f>
        <v>0</v>
      </c>
      <c r="D146" s="2">
        <f ca="1">IFERROR(__xludf.DUMMYFUNCTION("""COMPUTED_VALUE"""),400)</f>
        <v>400</v>
      </c>
      <c r="E146" s="2" t="str">
        <f ca="1">IFERROR(__xludf.DUMMYFUNCTION("""COMPUTED_VALUE"""),"Blessing of Wisdom")</f>
        <v>Blessing of Wisdom</v>
      </c>
      <c r="F146" s="2" t="str">
        <f ca="1">IFERROR(__xludf.DUMMYFUNCTION("""COMPUTED_VALUE"""),"Breathless Wild")</f>
        <v>Breathless Wild</v>
      </c>
      <c r="G146" s="2" t="str">
        <f ca="1">IFERROR(__xludf.DUMMYFUNCTION("""COMPUTED_VALUE"""),"Powers")</f>
        <v>Powers</v>
      </c>
      <c r="H146" s="2" t="str">
        <f ca="1">IFERROR(__xludf.DUMMYFUNCTION("""COMPUTED_VALUE"""),"Wisdom is knowledge and knowledge is power in ways that mere brute force can never replicate. You’ve received the Goddess’s blessing of wisdom: whenever you stand at a crossroads of major choices you receive premonitions of the possibilities that each cho"&amp;"ice presents. If one choice would lead you to a treasure or to a monster’s lair then you might receive a vision of your rewards or the foes you’re about to face. These visions may sometimes lack context but they will always be accurate, and they will neve"&amp;"r fail to inform you of unique opportunities or especially dangerous enemies lying along the path ahead of you. Occasionally you may even be able to experience exceptionally vivid waking dreams of depraved things that could have happened to you along path"&amp;"s not taken, such as erotic “bad ends” that might have ended your chain, though you can easily suppress these particular visions if you wish.")</f>
        <v>Wisdom is knowledge and knowledge is power in ways that mere brute force can never replicate. You’ve received the Goddess’s blessing of wisdom: whenever you stand at a crossroads of major choices you receive premonitions of the possibilities that each choice presents. If one choice would lead you to a treasure or to a monster’s lair then you might receive a vision of your rewards or the foes you’re about to face. These visions may sometimes lack context but they will always be accurate, and they will never fail to inform you of unique opportunities or especially dangerous enemies lying along the path ahead of you. Occasionally you may even be able to experience exceptionally vivid waking dreams of depraved things that could have happened to you along paths not taken, such as erotic “bad ends” that might have ended your chain, though you can easily suppress these particular visions if you wish.</v>
      </c>
      <c r="I146" s="5"/>
    </row>
    <row r="147" spans="1:9" ht="278.39999999999998" x14ac:dyDescent="0.25">
      <c r="A147" s="16"/>
      <c r="B147" s="17">
        <v>143</v>
      </c>
      <c r="C147" s="2" t="b">
        <f ca="1">IFERROR(__xludf.DUMMYFUNCTION("""COMPUTED_VALUE"""),FALSE)</f>
        <v>0</v>
      </c>
      <c r="D147" s="2">
        <f ca="1">IFERROR(__xludf.DUMMYFUNCTION("""COMPUTED_VALUE"""),400)</f>
        <v>400</v>
      </c>
      <c r="E147" s="2" t="str">
        <f ca="1">IFERROR(__xludf.DUMMYFUNCTION("""COMPUTED_VALUE"""),"Boiling Hero Blood")</f>
        <v>Boiling Hero Blood</v>
      </c>
      <c r="F147" s="2" t="str">
        <f ca="1">IFERROR(__xludf.DUMMYFUNCTION("""COMPUTED_VALUE"""),"My Bride is the Demon Lord")</f>
        <v>My Bride is the Demon Lord</v>
      </c>
      <c r="G147" s="2" t="str">
        <f ca="1">IFERROR(__xludf.DUMMYFUNCTION("""COMPUTED_VALUE"""),"Powers")</f>
        <v>Powers</v>
      </c>
      <c r="H147" s="2" t="str">
        <f ca="1">IFERROR(__xludf.DUMMYFUNCTION("""COMPUTED_VALUE"""),"The heroic blood within you, when brought to its limit, can erupt in a burst of power, enhancing all of your physical stats for a short time. Often, this just means that you were teased a lot and now you fuck extra hard, but it also has combat application"&amp;"s to give you a second wind when you’ve been pushed to what should have been the limits of your stamina.
But this has another effect, a mingling that results when you are subject to any sort of mental domination. It doesn’t completely protect you, but i"&amp;"nstead perverts any orders you are given into something that works against the intentions of the person who attempted to control you. For instance, an order to obey them might be twisted into an order to “service” your master... even against their objecti"&amp;"ons. An order to slay some innocents might turn into you laying some innocents. Even if you are given an ironclad order with no room for misinterpretation, your mind will twist the order into something entirely new and opposed to the intentions of the one"&amp;" trying to command you.
If you already had an immunity to such controlling effects, then now your powers are enhanced to instead reflect attempts to control your mind, assaulting your attacker with the same mental influence they sought to use on you.")</f>
        <v>The heroic blood within you, when brought to its limit, can erupt in a burst of power, enhancing all of your physical stats for a short time. Often, this just means that you were teased a lot and now you fuck extra hard, but it also has combat applications to give you a second wind when you’ve been pushed to what should have been the limits of your stamina.
But this has another effect, a mingling that results when you are subject to any sort of mental domination. It doesn’t completely protect you, but instead perverts any orders you are given into something that works against the intentions of the person who attempted to control you. For instance, an order to obey them might be twisted into an order to “service” your master... even against their objections. An order to slay some innocents might turn into you laying some innocents. Even if you are given an ironclad order with no room for misinterpretation, your mind will twist the order into something entirely new and opposed to the intentions of the one trying to command you.
If you already had an immunity to such controlling effects, then now your powers are enhanced to instead reflect attempts to control your mind, assaulting your attacker with the same mental influence they sought to use on you.</v>
      </c>
      <c r="I147" s="5"/>
    </row>
    <row r="148" spans="1:9" ht="191.4" x14ac:dyDescent="0.25">
      <c r="A148" s="16"/>
      <c r="B148" s="17">
        <v>144</v>
      </c>
      <c r="C148" s="2" t="b">
        <f ca="1">IFERROR(__xludf.DUMMYFUNCTION("""COMPUTED_VALUE"""),FALSE)</f>
        <v>0</v>
      </c>
      <c r="D148" s="2">
        <f ca="1">IFERROR(__xludf.DUMMYFUNCTION("""COMPUTED_VALUE"""),400)</f>
        <v>400</v>
      </c>
      <c r="E148" s="2" t="str">
        <f ca="1">IFERROR(__xludf.DUMMYFUNCTION("""COMPUTED_VALUE"""),"Bordelloblight")</f>
        <v>Bordelloblight</v>
      </c>
      <c r="F148" s="2" t="str">
        <f ca="1">IFERROR(__xludf.DUMMYFUNCTION("""COMPUTED_VALUE"""),"Breathless Wild")</f>
        <v>Breathless Wild</v>
      </c>
      <c r="G148" s="2" t="str">
        <f ca="1">IFERROR(__xludf.DUMMYFUNCTION("""COMPUTED_VALUE"""),"Powers")</f>
        <v>Powers</v>
      </c>
      <c r="H148" s="2" t="str">
        <f ca="1">IFERROR(__xludf.DUMMYFUNCTION("""COMPUTED_VALUE"""),"Ganon’s malice is so overwhelming that a single body can barely contain all of his power at once, even a body as fearsome as the Calamity. Your power may not have reached the same heights as his, but you’ve learned how to split yourself apart into separat"&amp;"e bodies much like Ganon’s blights. These extra bodies are controlled remotely by you, having no minds or wills of their own unless you grant them one, and they can be as weak or as powerful as you desire whether you wish to make powerful behemoths or an "&amp;"army of the dead. The only limitation is that you must temporarily donate a portion of your power to your spawn for the duration of their existence, which you can end at any time to reclaim it. Alternatively, instead of using your own power you can impreg"&amp;"nate a strong slave with your spawn and use their strength instead. Any blights born from your slaves will inherit their powers rather than your own, but you still have control over whether they continue existing and any borrowed powers will be returned u"&amp;"pon their deaths.")</f>
        <v>Ganon’s malice is so overwhelming that a single body can barely contain all of his power at once, even a body as fearsome as the Calamity. Your power may not have reached the same heights as his, but you’ve learned how to split yourself apart into separate bodies much like Ganon’s blights. These extra bodies are controlled remotely by you, having no minds or wills of their own unless you grant them one, and they can be as weak or as powerful as you desire whether you wish to make powerful behemoths or an army of the dead. The only limitation is that you must temporarily donate a portion of your power to your spawn for the duration of their existence, which you can end at any time to reclaim it. Alternatively, instead of using your own power you can impregnate a strong slave with your spawn and use their strength instead. Any blights born from your slaves will inherit their powers rather than your own, but you still have control over whether they continue existing and any borrowed powers will be returned upon their deaths.</v>
      </c>
      <c r="I148" s="5"/>
    </row>
    <row r="149" spans="1:9" ht="208.8" x14ac:dyDescent="0.25">
      <c r="A149" s="16"/>
      <c r="B149" s="17">
        <v>145</v>
      </c>
      <c r="C149" s="2" t="b">
        <f ca="1">IFERROR(__xludf.DUMMYFUNCTION("""COMPUTED_VALUE"""),FALSE)</f>
        <v>0</v>
      </c>
      <c r="D149" s="2">
        <f ca="1">IFERROR(__xludf.DUMMYFUNCTION("""COMPUTED_VALUE"""),400)</f>
        <v>400</v>
      </c>
      <c r="E149" s="2" t="str">
        <f ca="1">IFERROR(__xludf.DUMMYFUNCTION("""COMPUTED_VALUE"""),"Cage of Flesh")</f>
        <v>Cage of Flesh</v>
      </c>
      <c r="F149" s="2" t="str">
        <f ca="1">IFERROR(__xludf.DUMMYFUNCTION("""COMPUTED_VALUE"""),"Majuu Purification Girl Utea")</f>
        <v>Majuu Purification Girl Utea</v>
      </c>
      <c r="G149" s="2" t="str">
        <f ca="1">IFERROR(__xludf.DUMMYFUNCTION("""COMPUTED_VALUE"""),"Powers")</f>
        <v>Powers</v>
      </c>
      <c r="H149" s="2" t="str">
        <f ca="1">IFERROR(__xludf.DUMMYFUNCTION("""COMPUTED_VALUE"""),"Some injuu devour their victims whole, not to eat but to imprison them inside their bodies and then ravish to their hearts’ content. Hidden inside your body is a special space for keeping prisoners and having your wicked way with them, an organic sex dung"&amp;"eon you have total control over. It’s much bigger on the inside than you are, large enough to accommodate over a dozen helpless prisoners in secure tentacle bondage no matter the size of your body, although “helpless” is the key word. You can do whatever "&amp;"you like to your captives but if they still have some fight left in them they can potentially blast their way out, and that hurts a lot if they succeed. Within this space it costs you nothing to use sex magic and any other lewd powers at your disposal, al"&amp;"lowing you to play with your prisoners as long as you like without even being distracted from your daily routine. Moreover, once you’ve subdued and dominated somebody so thoroughly that they have no desire to escape, your slaves are considered a part of y"&amp;"our body and you can freely make use of their powers as if you had assimilated them, though you can also cough them up unharmed if you prefer.")</f>
        <v>Some injuu devour their victims whole, not to eat but to imprison them inside their bodies and then ravish to their hearts’ content. Hidden inside your body is a special space for keeping prisoners and having your wicked way with them, an organic sex dungeon you have total control over. It’s much bigger on the inside than you are, large enough to accommodate over a dozen helpless prisoners in secure tentacle bondage no matter the size of your body, although “helpless” is the key word. You can do whatever you like to your captives but if they still have some fight left in them they can potentially blast their way out, and that hurts a lot if they succeed. Within this space it costs you nothing to use sex magic and any other lewd powers at your disposal, allowing you to play with your prisoners as long as you like without even being distracted from your daily routine. Moreover, once you’ve subdued and dominated somebody so thoroughly that they have no desire to escape, your slaves are considered a part of your body and you can freely make use of their powers as if you had assimilated them, though you can also cough them up unharmed if you prefer.</v>
      </c>
      <c r="I149" s="5"/>
    </row>
    <row r="150" spans="1:9" ht="104.4" x14ac:dyDescent="0.25">
      <c r="A150" s="16"/>
      <c r="B150" s="17">
        <v>146</v>
      </c>
      <c r="C150" s="2" t="b">
        <f ca="1">IFERROR(__xludf.DUMMYFUNCTION("""COMPUTED_VALUE"""),FALSE)</f>
        <v>0</v>
      </c>
      <c r="D150" s="2">
        <f ca="1">IFERROR(__xludf.DUMMYFUNCTION("""COMPUTED_VALUE"""),400)</f>
        <v>400</v>
      </c>
      <c r="E150" s="2" t="str">
        <f ca="1">IFERROR(__xludf.DUMMYFUNCTION("""COMPUTED_VALUE"""),"Capture King")</f>
        <v>Capture King</v>
      </c>
      <c r="F150" s="2" t="str">
        <f ca="1">IFERROR(__xludf.DUMMYFUNCTION("""COMPUTED_VALUE"""),"Monster Hunter XXX")</f>
        <v>Monster Hunter XXX</v>
      </c>
      <c r="G150" s="2" t="str">
        <f ca="1">IFERROR(__xludf.DUMMYFUNCTION("""COMPUTED_VALUE"""),"Powers")</f>
        <v>Powers</v>
      </c>
      <c r="H150" s="2" t="str">
        <f ca="1">IFERROR(__xludf.DUMMYFUNCTION("""COMPUTED_VALUE"""),"Remember when I mentioned being cute and Capturing one of these creatures? Think it’d be hard? Absolutely not for you, not with this Perk. You don’t even need something as sophisticated as a trap to get the job done. Just lead your mark into a bunch of vi"&amp;"nes when they’re at half-strength or lower. Once they’re in, just cherry tap them on the head and it’s lights out till you decide to wake them, one way or another. All of your efforts to capture, ensnare, or otherwise take a target alive receive this supe"&amp;"rnatural boost.")</f>
        <v>Remember when I mentioned being cute and Capturing one of these creatures? Think it’d be hard? Absolutely not for you, not with this Perk. You don’t even need something as sophisticated as a trap to get the job done. Just lead your mark into a bunch of vines when they’re at half-strength or lower. Once they’re in, just cherry tap them on the head and it’s lights out till you decide to wake them, one way or another. All of your efforts to capture, ensnare, or otherwise take a target alive receive this supernatural boost.</v>
      </c>
      <c r="I150" s="5"/>
    </row>
    <row r="151" spans="1:9" ht="121.8" x14ac:dyDescent="0.25">
      <c r="A151" s="16"/>
      <c r="B151" s="17">
        <v>147</v>
      </c>
      <c r="C151" s="2" t="b">
        <f ca="1">IFERROR(__xludf.DUMMYFUNCTION("""COMPUTED_VALUE"""),FALSE)</f>
        <v>0</v>
      </c>
      <c r="D151" s="2">
        <f ca="1">IFERROR(__xludf.DUMMYFUNCTION("""COMPUTED_VALUE"""),400)</f>
        <v>400</v>
      </c>
      <c r="E151" s="2" t="str">
        <f ca="1">IFERROR(__xludf.DUMMYFUNCTION("""COMPUTED_VALUE"""),"Care to Make a Deal?")</f>
        <v>Care to Make a Deal?</v>
      </c>
      <c r="F151" s="2" t="str">
        <f ca="1">IFERROR(__xludf.DUMMYFUNCTION("""COMPUTED_VALUE"""),"Mind Control University")</f>
        <v>Mind Control University</v>
      </c>
      <c r="G151" s="2" t="str">
        <f ca="1">IFERROR(__xludf.DUMMYFUNCTION("""COMPUTED_VALUE"""),"Powers")</f>
        <v>Powers</v>
      </c>
      <c r="H151" s="2" t="str">
        <f ca="1">IFERROR(__xludf.DUMMYFUNCTION("""COMPUTED_VALUE"""),"Eventually, blocks of power will form, and they’ll need to be able to negotiate with each other and trust that each party will act accordingly. When you make a deal with someone, arbitrate an agreement between two parties, or even are promised something, "&amp;"you can choose to make that covenant unbreakable, as in the parties cannot even attempt to go against it, can hardly think about going against it. You can annul any of these deals at any time, but that would release both parties from their obligations, an"&amp;"d if you do this to get out of an inconvenient deal you made too often, it’s only logical that it may damage your credibility.")</f>
        <v>Eventually, blocks of power will form, and they’ll need to be able to negotiate with each other and trust that each party will act accordingly. When you make a deal with someone, arbitrate an agreement between two parties, or even are promised something, you can choose to make that covenant unbreakable, as in the parties cannot even attempt to go against it, can hardly think about going against it. You can annul any of these deals at any time, but that would release both parties from their obligations, and if you do this to get out of an inconvenient deal you made too often, it’s only logical that it may damage your credibility.</v>
      </c>
      <c r="I151" s="5"/>
    </row>
    <row r="152" spans="1:9" ht="208.8" x14ac:dyDescent="0.25">
      <c r="A152" s="16"/>
      <c r="B152" s="17">
        <v>148</v>
      </c>
      <c r="C152" s="2" t="b">
        <f ca="1">IFERROR(__xludf.DUMMYFUNCTION("""COMPUTED_VALUE"""),FALSE)</f>
        <v>0</v>
      </c>
      <c r="D152" s="2">
        <f ca="1">IFERROR(__xludf.DUMMYFUNCTION("""COMPUTED_VALUE"""),400)</f>
        <v>400</v>
      </c>
      <c r="E152" s="2" t="str">
        <f ca="1">IFERROR(__xludf.DUMMYFUNCTION("""COMPUTED_VALUE"""),"Charisma of Celestine")</f>
        <v>Charisma of Celestine</v>
      </c>
      <c r="F152" s="2" t="str">
        <f ca="1">IFERROR(__xludf.DUMMYFUNCTION("""COMPUTED_VALUE"""),"Kuroinu")</f>
        <v>Kuroinu</v>
      </c>
      <c r="G152" s="2" t="str">
        <f ca="1">IFERROR(__xludf.DUMMYFUNCTION("""COMPUTED_VALUE"""),"Powers")</f>
        <v>Powers</v>
      </c>
      <c r="H152" s="2" t="str">
        <f ca="1">IFERROR(__xludf.DUMMYFUNCTION("""COMPUTED_VALUE"""),"Are you a Goddess? Well even if you are not the people that follow you could be mistaken for worshippers. You have a certain empowering and regal presence matched only by Celestine. Your kind smile would light up even the darkest night. As long as still d"&amp;"raw breath the people under you have incredibly high morale no matter the obstacle. You additionally are both an incredibly skilled orator and have a voice that could charm even the hardiest of thugs. In addition you also have Inherited one of Celestine’s"&amp;" abilities, namely that your breast milk (or semen if your a man) acts like a panacea and can even revive the recently dead.
Finally you have the posture of a true leader. Even on the hour of your defeat imprisoned in a filthy jail cell you still of the "&amp;"aura and dignity of a queen. Perhaps you could even rally the people of the Seven Shields Alliance together in rebellion when Kuroinu had conquered the fortresses and all hope seems lost.")</f>
        <v>Are you a Goddess? Well even if you are not the people that follow you could be mistaken for worshippers. You have a certain empowering and regal presence matched only by Celestine. Your kind smile would light up even the darkest night. As long as still draw breath the people under you have incredibly high morale no matter the obstacle. You additionally are both an incredibly skilled orator and have a voice that could charm even the hardiest of thugs. In addition you also have Inherited one of Celestine’s abilities, namely that your breast milk (or semen if your a man) acts like a panacea and can even revive the recently dead.
Finally you have the posture of a true leader. Even on the hour of your defeat imprisoned in a filthy jail cell you still of the aura and dignity of a queen. Perhaps you could even rally the people of the Seven Shields Alliance together in rebellion when Kuroinu had conquered the fortresses and all hope seems lost.</v>
      </c>
      <c r="I152" s="5"/>
    </row>
    <row r="153" spans="1:9" ht="139.19999999999999" x14ac:dyDescent="0.25">
      <c r="A153" s="16"/>
      <c r="B153" s="17">
        <v>149</v>
      </c>
      <c r="C153" s="2" t="b">
        <f ca="1">IFERROR(__xludf.DUMMYFUNCTION("""COMPUTED_VALUE"""),FALSE)</f>
        <v>0</v>
      </c>
      <c r="D153" s="2">
        <f ca="1">IFERROR(__xludf.DUMMYFUNCTION("""COMPUTED_VALUE"""),400)</f>
        <v>400</v>
      </c>
      <c r="E153" s="2" t="str">
        <f ca="1">IFERROR(__xludf.DUMMYFUNCTION("""COMPUTED_VALUE"""),"Common Sense")</f>
        <v>Common Sense</v>
      </c>
      <c r="F153" s="2" t="str">
        <f ca="1">IFERROR(__xludf.DUMMYFUNCTION("""COMPUTED_VALUE"""),"Generic: BDSM")</f>
        <v>Generic: BDSM</v>
      </c>
      <c r="G153" s="2" t="str">
        <f ca="1">IFERROR(__xludf.DUMMYFUNCTION("""COMPUTED_VALUE"""),"Powers")</f>
        <v>Powers</v>
      </c>
      <c r="H153" s="2" t="str">
        <f ca="1">IFERROR(__xludf.DUMMYFUNCTION("""COMPUTED_VALUE"""),"If you’re going to be placing yourself at someone else’s mercy it pays to have a good sense in advance of what’s safe and what’s not. This perk manifests as a sixth sense of sorts which provides a tugging sensation that draws your attention in the directi"&amp;"on of safe and fun experiences whenever you’re looking for them, though you can toggle it off if you choose. It also tugs very insistently away from dangerous experiences, like that nice-seeming dom who’s actually a serial killer, or the eager sub who’s a"&amp;"ctually a honey pot looking for an abuse lawsuit. The perk knows more than you do about these situations and provides accurate warnings regardless of whether you’re aware of the danger or not, though it won’t share specifics about why the situation is dan"&amp;"gerous.")</f>
        <v>If you’re going to be placing yourself at someone else’s mercy it pays to have a good sense in advance of what’s safe and what’s not. This perk manifests as a sixth sense of sorts which provides a tugging sensation that draws your attention in the direction of safe and fun experiences whenever you’re looking for them, though you can toggle it off if you choose. It also tugs very insistently away from dangerous experiences, like that nice-seeming dom who’s actually a serial killer, or the eager sub who’s actually a honey pot looking for an abuse lawsuit. The perk knows more than you do about these situations and provides accurate warnings regardless of whether you’re aware of the danger or not, though it won’t share specifics about why the situation is dangerous.</v>
      </c>
      <c r="I153" s="5"/>
    </row>
    <row r="154" spans="1:9" ht="87" x14ac:dyDescent="0.25">
      <c r="A154" s="16"/>
      <c r="B154" s="17">
        <v>150</v>
      </c>
      <c r="C154" s="2" t="b">
        <f ca="1">IFERROR(__xludf.DUMMYFUNCTION("""COMPUTED_VALUE"""),FALSE)</f>
        <v>0</v>
      </c>
      <c r="D154" s="2">
        <f ca="1">IFERROR(__xludf.DUMMYFUNCTION("""COMPUTED_VALUE"""),400)</f>
        <v>400</v>
      </c>
      <c r="E154" s="2" t="str">
        <f ca="1">IFERROR(__xludf.DUMMYFUNCTION("""COMPUTED_VALUE"""),"Contractual Immunity")</f>
        <v>Contractual Immunity</v>
      </c>
      <c r="F154" s="2" t="str">
        <f ca="1">IFERROR(__xludf.DUMMYFUNCTION("""COMPUTED_VALUE"""),"Generic: Hentai Magical Girl")</f>
        <v>Generic: Hentai Magical Girl</v>
      </c>
      <c r="G154" s="2" t="str">
        <f ca="1">IFERROR(__xludf.DUMMYFUNCTION("""COMPUTED_VALUE"""),"Powers")</f>
        <v>Powers</v>
      </c>
      <c r="H154" s="2" t="str">
        <f ca="1">IFERROR(__xludf.DUMMYFUNCTION("""COMPUTED_VALUE"""),"Now, since magical girls tend to tank lasers, monsters, and other forms of violence without a scratch, this must mean that they have some form of enhanced durability, right? Well, not you. Instead, you have a probability field that makes attacks drop in p"&amp;"ower, frequency, and accuracy depending on how much you wear. Wear something ludicrously skimpy, and very little would be able to hurt you. Wear a nice and concealing outfit... and watch this do nothing.")</f>
        <v>Now, since magical girls tend to tank lasers, monsters, and other forms of violence without a scratch, this must mean that they have some form of enhanced durability, right? Well, not you. Instead, you have a probability field that makes attacks drop in power, frequency, and accuracy depending on how much you wear. Wear something ludicrously skimpy, and very little would be able to hurt you. Wear a nice and concealing outfit... and watch this do nothing.</v>
      </c>
      <c r="I154" s="5"/>
    </row>
    <row r="155" spans="1:9" ht="121.8" x14ac:dyDescent="0.25">
      <c r="A155" s="16"/>
      <c r="B155" s="17">
        <v>151</v>
      </c>
      <c r="C155" s="2" t="b">
        <f ca="1">IFERROR(__xludf.DUMMYFUNCTION("""COMPUTED_VALUE"""),FALSE)</f>
        <v>0</v>
      </c>
      <c r="D155" s="2">
        <f ca="1">IFERROR(__xludf.DUMMYFUNCTION("""COMPUTED_VALUE"""),400)</f>
        <v>400</v>
      </c>
      <c r="E155" s="2" t="str">
        <f ca="1">IFERROR(__xludf.DUMMYFUNCTION("""COMPUTED_VALUE"""),"Crime and Punishment")</f>
        <v>Crime and Punishment</v>
      </c>
      <c r="F155" s="2" t="str">
        <f ca="1">IFERROR(__xludf.DUMMYFUNCTION("""COMPUTED_VALUE"""),"Bible Black")</f>
        <v>Bible Black</v>
      </c>
      <c r="G155" s="2" t="str">
        <f ca="1">IFERROR(__xludf.DUMMYFUNCTION("""COMPUTED_VALUE"""),"Powers")</f>
        <v>Powers</v>
      </c>
      <c r="H155" s="2" t="str">
        <f ca="1">IFERROR(__xludf.DUMMYFUNCTION("""COMPUTED_VALUE"""),"Catching cultists and criminals is what you do. You certainly have a knack for capturing them too. Anyone you bind, whether it be with cuffs or rope, will become relatively docile. They can still give you lip, but they won’t fight you. You know what else "&amp;"they’d be semi-willing to allow — sexy times. Anyone bound by you will also be willing (somewhat) to have you rail them thoroughly. It’s all consensual. It’s not like they’re bound and unable to escape. Just purely good old fashion fucking — until they ge"&amp;"t to jail that is. The best part about it is that no one will even stop you. So what if you’re pounding a perp in the back of a police car. That’s just standard business right there.")</f>
        <v>Catching cultists and criminals is what you do. You certainly have a knack for capturing them too. Anyone you bind, whether it be with cuffs or rope, will become relatively docile. They can still give you lip, but they won’t fight you. You know what else they’d be semi-willing to allow — sexy times. Anyone bound by you will also be willing (somewhat) to have you rail them thoroughly. It’s all consensual. It’s not like they’re bound and unable to escape. Just purely good old fashion fucking — until they get to jail that is. The best part about it is that no one will even stop you. So what if you’re pounding a perp in the back of a police car. That’s just standard business right there.</v>
      </c>
      <c r="I155" s="5"/>
    </row>
    <row r="156" spans="1:9" ht="156.6" x14ac:dyDescent="0.25">
      <c r="A156" s="16"/>
      <c r="B156" s="17">
        <v>152</v>
      </c>
      <c r="C156" s="2" t="b">
        <f ca="1">IFERROR(__xludf.DUMMYFUNCTION("""COMPUTED_VALUE"""),FALSE)</f>
        <v>0</v>
      </c>
      <c r="D156" s="2">
        <f ca="1">IFERROR(__xludf.DUMMYFUNCTION("""COMPUTED_VALUE"""),400)</f>
        <v>400</v>
      </c>
      <c r="E156" s="2" t="str">
        <f ca="1">IFERROR(__xludf.DUMMYFUNCTION("""COMPUTED_VALUE"""),"Divine Retribution")</f>
        <v>Divine Retribution</v>
      </c>
      <c r="F156" s="2" t="str">
        <f ca="1">IFERROR(__xludf.DUMMYFUNCTION("""COMPUTED_VALUE"""),"Rope Master")</f>
        <v>Rope Master</v>
      </c>
      <c r="G156" s="2" t="str">
        <f ca="1">IFERROR(__xludf.DUMMYFUNCTION("""COMPUTED_VALUE"""),"Powers")</f>
        <v>Powers</v>
      </c>
      <c r="H156" s="2" t="str">
        <f ca="1">IFERROR(__xludf.DUMMYFUNCTION("""COMPUTED_VALUE"""),"Despite your masochistic tendencies you are not some helpless damsel waiting for a villain to tie you up and make you his latest victim. You have turned your masochism into a source of strength: as you suffer injuries, pain, or even simple humiliation you"&amp;" can convert your misery directly into spiritual power, storing up all the punishments you suffer and then turning them back on your enemies with all the power and fury of a lightning bolt. This additional power is stacked on top of whatever your attack w"&amp;"ould normally inflict, and it needn’t be your enemies who inflict that pain on you either: a trusted friend or a consenting partner can help you build up a charge just as well as your foes. Once you've built up such a charge you can hold it for a maximum "&amp;"of 72 hours before it dissipates on its own.")</f>
        <v>Despite your masochistic tendencies you are not some helpless damsel waiting for a villain to tie you up and make you his latest victim. You have turned your masochism into a source of strength: as you suffer injuries, pain, or even simple humiliation you can convert your misery directly into spiritual power, storing up all the punishments you suffer and then turning them back on your enemies with all the power and fury of a lightning bolt. This additional power is stacked on top of whatever your attack would normally inflict, and it needn’t be your enemies who inflict that pain on you either: a trusted friend or a consenting partner can help you build up a charge just as well as your foes. Once you've built up such a charge you can hold it for a maximum of 72 hours before it dissipates on its own.</v>
      </c>
      <c r="I156" s="5"/>
    </row>
    <row r="157" spans="1:9" ht="121.8" x14ac:dyDescent="0.25">
      <c r="A157" s="16"/>
      <c r="B157" s="17">
        <v>153</v>
      </c>
      <c r="C157" s="2" t="b">
        <f ca="1">IFERROR(__xludf.DUMMYFUNCTION("""COMPUTED_VALUE"""),FALSE)</f>
        <v>0</v>
      </c>
      <c r="D157" s="2">
        <f ca="1">IFERROR(__xludf.DUMMYFUNCTION("""COMPUTED_VALUE"""),400)</f>
        <v>400</v>
      </c>
      <c r="E157" s="2" t="str">
        <f ca="1">IFERROR(__xludf.DUMMYFUNCTION("""COMPUTED_VALUE"""),"Dominant Spirit")</f>
        <v>Dominant Spirit</v>
      </c>
      <c r="F157" s="2" t="str">
        <f ca="1">IFERROR(__xludf.DUMMYFUNCTION("""COMPUTED_VALUE"""),"Collar 6")</f>
        <v>Collar 6</v>
      </c>
      <c r="G157" s="2" t="str">
        <f ca="1">IFERROR(__xludf.DUMMYFUNCTION("""COMPUTED_VALUE"""),"Powers")</f>
        <v>Powers</v>
      </c>
      <c r="H157" s="2" t="str">
        <f ca="1">IFERROR(__xludf.DUMMYFUNCTION("""COMPUTED_VALUE"""),"You gain spiritual power through dominance; the more you embrace it and your sexuality, the more you'll gain. You also gain the skills to use this power through spirit techniques that can boost your physical power, manifest moderate amounts of elemental e"&amp;"nergy and knock out weaker individuals just by focusing their spiritual presence, among other things. Regardless of what the rest of your choices may say about the provenance of your training, with this perk absolutely no one will doubt that you belong in"&amp;" the major leagues... Unless, you decide to hide this for some reason, since this also makes you skilled enough to disguise your actual power level from most potential observers.")</f>
        <v>You gain spiritual power through dominance; the more you embrace it and your sexuality, the more you'll gain. You also gain the skills to use this power through spirit techniques that can boost your physical power, manifest moderate amounts of elemental energy and knock out weaker individuals just by focusing their spiritual presence, among other things. Regardless of what the rest of your choices may say about the provenance of your training, with this perk absolutely no one will doubt that you belong in the major leagues... Unless, you decide to hide this for some reason, since this also makes you skilled enough to disguise your actual power level from most potential observers.</v>
      </c>
      <c r="I157" s="5"/>
    </row>
    <row r="158" spans="1:9" ht="87" x14ac:dyDescent="0.25">
      <c r="A158" s="16"/>
      <c r="B158" s="17">
        <v>154</v>
      </c>
      <c r="C158" s="2" t="b">
        <f ca="1">IFERROR(__xludf.DUMMYFUNCTION("""COMPUTED_VALUE"""),FALSE)</f>
        <v>0</v>
      </c>
      <c r="D158" s="2">
        <f ca="1">IFERROR(__xludf.DUMMYFUNCTION("""COMPUTED_VALUE"""),400)</f>
        <v>400</v>
      </c>
      <c r="E158" s="2" t="str">
        <f ca="1">IFERROR(__xludf.DUMMYFUNCTION("""COMPUTED_VALUE"""),"Drown in Pleasure")</f>
        <v>Drown in Pleasure</v>
      </c>
      <c r="F158" s="2" t="str">
        <f ca="1">IFERROR(__xludf.DUMMYFUNCTION("""COMPUTED_VALUE"""),"Aki-Akane")</f>
        <v>Aki-Akane</v>
      </c>
      <c r="G158" s="2" t="str">
        <f ca="1">IFERROR(__xludf.DUMMYFUNCTION("""COMPUTED_VALUE"""),"Powers")</f>
        <v>Powers</v>
      </c>
      <c r="H158" s="2" t="str">
        <f ca="1">IFERROR(__xludf.DUMMYFUNCTION("""COMPUTED_VALUE"""),"Tatsuki's relative uselessness in a fight left her in a scenario where she was utterly desperate to do something, anything, to help Orihime, including all manner of sexual acts. Building off that, when you take the submissive role in a sexual situation - "&amp;"or rather, submissive to their will/fetishes, which could still leave you on top - then afterwards you'll find your partner on the top of their game, just a tad faster, stronger, even luckier for a short time.")</f>
        <v>Tatsuki's relative uselessness in a fight left her in a scenario where she was utterly desperate to do something, anything, to help Orihime, including all manner of sexual acts. Building off that, when you take the submissive role in a sexual situation - or rather, submissive to their will/fetishes, which could still leave you on top - then afterwards you'll find your partner on the top of their game, just a tad faster, stronger, even luckier for a short time.</v>
      </c>
      <c r="I158" s="5"/>
    </row>
    <row r="159" spans="1:9" ht="156.6" x14ac:dyDescent="0.25">
      <c r="A159" s="16"/>
      <c r="B159" s="17">
        <v>155</v>
      </c>
      <c r="C159" s="2" t="b">
        <f ca="1">IFERROR(__xludf.DUMMYFUNCTION("""COMPUTED_VALUE"""),FALSE)</f>
        <v>0</v>
      </c>
      <c r="D159" s="2">
        <f ca="1">IFERROR(__xludf.DUMMYFUNCTION("""COMPUTED_VALUE"""),400)</f>
        <v>400</v>
      </c>
      <c r="E159" s="2" t="str">
        <f ca="1">IFERROR(__xludf.DUMMYFUNCTION("""COMPUTED_VALUE"""),"Empty Vessels")</f>
        <v>Empty Vessels</v>
      </c>
      <c r="F159" s="2" t="str">
        <f ca="1">IFERROR(__xludf.DUMMYFUNCTION("""COMPUTED_VALUE"""),"Rope Master")</f>
        <v>Rope Master</v>
      </c>
      <c r="G159" s="2" t="str">
        <f ca="1">IFERROR(__xludf.DUMMYFUNCTION("""COMPUTED_VALUE"""),"Powers")</f>
        <v>Powers</v>
      </c>
      <c r="H159" s="2" t="str">
        <f ca="1">IFERROR(__xludf.DUMMYFUNCTION("""COMPUTED_VALUE"""),"Especially powerful dominants have desires so strong that a single body is insufficient to contain them all. Like Hajime you're able to project your lusts outside of yourself and create multiple independent bodies to sate your desires. These shadow clones"&amp;" are empty vessels, mere puppets that you control remotely, and they have no minds of their own beyond whatever desires you put into them. They can manifest either as full bodies like your own or as floating body parts like hands, cocks, and other parts o"&amp;"f yourself (including your alt-forms, if you have them) needed to sate your desires. These extra bodies allow you to effectively become a one-man gangbang, but you can use them for other things as well, though it may take practice to use them for anything"&amp;" not related to satisfying your libido in one way or another.")</f>
        <v>Especially powerful dominants have desires so strong that a single body is insufficient to contain them all. Like Hajime you're able to project your lusts outside of yourself and create multiple independent bodies to sate your desires. These shadow clones are empty vessels, mere puppets that you control remotely, and they have no minds of their own beyond whatever desires you put into them. They can manifest either as full bodies like your own or as floating body parts like hands, cocks, and other parts of yourself (including your alt-forms, if you have them) needed to sate your desires. These extra bodies allow you to effectively become a one-man gangbang, but you can use them for other things as well, though it may take practice to use them for anything not related to satisfying your libido in one way or another.</v>
      </c>
      <c r="I159" s="5"/>
    </row>
    <row r="160" spans="1:9" ht="139.19999999999999" x14ac:dyDescent="0.25">
      <c r="A160" s="16"/>
      <c r="B160" s="17">
        <v>156</v>
      </c>
      <c r="C160" s="2" t="b">
        <f ca="1">IFERROR(__xludf.DUMMYFUNCTION("""COMPUTED_VALUE"""),FALSE)</f>
        <v>0</v>
      </c>
      <c r="D160" s="2">
        <f ca="1">IFERROR(__xludf.DUMMYFUNCTION("""COMPUTED_VALUE"""),400)</f>
        <v>400</v>
      </c>
      <c r="E160" s="2" t="str">
        <f ca="1">IFERROR(__xludf.DUMMYFUNCTION("""COMPUTED_VALUE"""),"Energy Manipulation")</f>
        <v>Energy Manipulation</v>
      </c>
      <c r="F160" s="2" t="str">
        <f ca="1">IFERROR(__xludf.DUMMYFUNCTION("""COMPUTED_VALUE"""),"Power Play")</f>
        <v>Power Play</v>
      </c>
      <c r="G160" s="2" t="str">
        <f ca="1">IFERROR(__xludf.DUMMYFUNCTION("""COMPUTED_VALUE"""),"Powers")</f>
        <v>Powers</v>
      </c>
      <c r="H160" s="2" t="str">
        <f ca="1">IFERROR(__xludf.DUMMYFUNCTION("""COMPUTED_VALUE"""),"You know how to shape and influence your inner energies, and can use this to transfer your strength into someone else via a kiss. This can take the form of directly empowering them, or you can outright temporarily transfer perks to them, which will last f"&amp;"or a short while before returning to you. You can use any form of energy to strengthen your allies, and can convert any of your energies into any type of power compatible with the person you’re empowering.
This can also be used to transfer life energy, "&amp;"but doing much of that will be bad for your health. But it can save a life in a pinch.")</f>
        <v>You know how to shape and influence your inner energies, and can use this to transfer your strength into someone else via a kiss. This can take the form of directly empowering them, or you can outright temporarily transfer perks to them, which will last for a short while before returning to you. You can use any form of energy to strengthen your allies, and can convert any of your energies into any type of power compatible with the person you’re empowering.
This can also be used to transfer life energy, but doing much of that will be bad for your health. But it can save a life in a pinch.</v>
      </c>
      <c r="I160" s="5"/>
    </row>
    <row r="161" spans="1:9" ht="87" x14ac:dyDescent="0.25">
      <c r="A161" s="16"/>
      <c r="B161" s="17">
        <v>157</v>
      </c>
      <c r="C161" s="2" t="b">
        <f ca="1">IFERROR(__xludf.DUMMYFUNCTION("""COMPUTED_VALUE"""),FALSE)</f>
        <v>0</v>
      </c>
      <c r="D161" s="2">
        <f ca="1">IFERROR(__xludf.DUMMYFUNCTION("""COMPUTED_VALUE"""),400)</f>
        <v>400</v>
      </c>
      <c r="E161" s="2" t="str">
        <f ca="1">IFERROR(__xludf.DUMMYFUNCTION("""COMPUTED_VALUE"""),"Flirt with Everything")</f>
        <v>Flirt with Everything</v>
      </c>
      <c r="F161" s="2" t="str">
        <f ca="1">IFERROR(__xludf.DUMMYFUNCTION("""COMPUTED_VALUE"""),"Generic: Hentai Modern")</f>
        <v>Generic: Hentai Modern</v>
      </c>
      <c r="G161" s="2" t="str">
        <f ca="1">IFERROR(__xludf.DUMMYFUNCTION("""COMPUTED_VALUE"""),"Powers")</f>
        <v>Powers</v>
      </c>
      <c r="H161" s="2" t="str">
        <f ca="1">IFERROR(__xludf.DUMMYFUNCTION("""COMPUTED_VALUE"""),"Are people not enough for you? Do you want to fuck more exotic things, just for the hell of it and to say you did? Well, I can help with that. Once a month, you can designate an object, animal, plant, location, basically anything, and have it generate a p"&amp;"hysical avatar that you can sleep with. The personality and body is based on what you choose, so your sword will probably be loyal to you, but a lake wouldn’t be.")</f>
        <v>Are people not enough for you? Do you want to fuck more exotic things, just for the hell of it and to say you did? Well, I can help with that. Once a month, you can designate an object, animal, plant, location, basically anything, and have it generate a physical avatar that you can sleep with. The personality and body is based on what you choose, so your sword will probably be loyal to you, but a lake wouldn’t be.</v>
      </c>
      <c r="I161" s="5"/>
    </row>
    <row r="162" spans="1:9" ht="104.4" x14ac:dyDescent="0.25">
      <c r="A162" s="16"/>
      <c r="B162" s="17">
        <v>158</v>
      </c>
      <c r="C162" s="2" t="b">
        <f ca="1">IFERROR(__xludf.DUMMYFUNCTION("""COMPUTED_VALUE"""),FALSE)</f>
        <v>0</v>
      </c>
      <c r="D162" s="2">
        <f ca="1">IFERROR(__xludf.DUMMYFUNCTION("""COMPUTED_VALUE"""),400)</f>
        <v>400</v>
      </c>
      <c r="E162" s="2" t="str">
        <f ca="1">IFERROR(__xludf.DUMMYFUNCTION("""COMPUTED_VALUE"""),"Gaki's Hunger")</f>
        <v>Gaki's Hunger</v>
      </c>
      <c r="F162" s="2" t="str">
        <f ca="1">IFERROR(__xludf.DUMMYFUNCTION("""COMPUTED_VALUE"""),"Toshi Densetsu Bitch")</f>
        <v>Toshi Densetsu Bitch</v>
      </c>
      <c r="G162" s="2" t="str">
        <f ca="1">IFERROR(__xludf.DUMMYFUNCTION("""COMPUTED_VALUE"""),"Powers")</f>
        <v>Powers</v>
      </c>
      <c r="H162" s="2" t="str">
        <f ca="1">IFERROR(__xludf.DUMMYFUNCTION("""COMPUTED_VALUE"""),"Some beings can gain very real power by devouring their prey, but thankfully you just need to consume their sexual fluids to strengthen yourself, either through your mouth or another method. This amplifies your supernatural abilities, your sexual attracti"&amp;"veness, and may increase/decrease your visible age towards a person at the prime of their life at your discretion. Unfortunately, the effect is only temporary, with the effect lasting for an amount of time based on the amount consumed and the ‘quality’ of"&amp;" the meal.")</f>
        <v>Some beings can gain very real power by devouring their prey, but thankfully you just need to consume their sexual fluids to strengthen yourself, either through your mouth or another method. This amplifies your supernatural abilities, your sexual attractiveness, and may increase/decrease your visible age towards a person at the prime of their life at your discretion. Unfortunately, the effect is only temporary, with the effect lasting for an amount of time based on the amount consumed and the ‘quality’ of the meal.</v>
      </c>
      <c r="I162" s="5"/>
    </row>
    <row r="163" spans="1:9" ht="121.8" x14ac:dyDescent="0.25">
      <c r="A163" s="16"/>
      <c r="B163" s="17">
        <v>159</v>
      </c>
      <c r="C163" s="2" t="b">
        <f ca="1">IFERROR(__xludf.DUMMYFUNCTION("""COMPUTED_VALUE"""),FALSE)</f>
        <v>0</v>
      </c>
      <c r="D163" s="2">
        <f ca="1">IFERROR(__xludf.DUMMYFUNCTION("""COMPUTED_VALUE"""),400)</f>
        <v>400</v>
      </c>
      <c r="E163" s="2" t="str">
        <f ca="1">IFERROR(__xludf.DUMMYFUNCTION("""COMPUTED_VALUE"""),"Get Out of Jail Free Card")</f>
        <v>Get Out of Jail Free Card</v>
      </c>
      <c r="F163" s="2" t="str">
        <f ca="1">IFERROR(__xludf.DUMMYFUNCTION("""COMPUTED_VALUE"""),"Generic: Casual Sex World")</f>
        <v>Generic: Casual Sex World</v>
      </c>
      <c r="G163" s="2" t="str">
        <f ca="1">IFERROR(__xludf.DUMMYFUNCTION("""COMPUTED_VALUE"""),"Powers")</f>
        <v>Powers</v>
      </c>
      <c r="H163" s="2" t="str">
        <f ca="1">IFERROR(__xludf.DUMMYFUNCTION("""COMPUTED_VALUE"""),"A card, a very special card. This card allows you to opt out of any shitty situation involving other people at your discretion when spent. Were you picked up as a slave by the Romans? Get out of there. Implicated in a witch trial? Spend your card to get o"&amp;"ut scot free. When spent, the card keeps the heat off of you for long enough to evade stumbling right back into the exact same problem while other people forget about the initial situation or push it to the back of their minds. In many ways, this is like "&amp;"a social or political 1-Up to use as desired. You’ll receive a replacement card every ten years.")</f>
        <v>A card, a very special card. This card allows you to opt out of any shitty situation involving other people at your discretion when spent. Were you picked up as a slave by the Romans? Get out of there. Implicated in a witch trial? Spend your card to get out scot free. When spent, the card keeps the heat off of you for long enough to evade stumbling right back into the exact same problem while other people forget about the initial situation or push it to the back of their minds. In many ways, this is like a social or political 1-Up to use as desired. You’ll receive a replacement card every ten years.</v>
      </c>
      <c r="I163" s="5"/>
    </row>
    <row r="164" spans="1:9" ht="87" x14ac:dyDescent="0.25">
      <c r="A164" s="16"/>
      <c r="B164" s="17">
        <v>160</v>
      </c>
      <c r="C164" s="2" t="b">
        <f ca="1">IFERROR(__xludf.DUMMYFUNCTION("""COMPUTED_VALUE"""),FALSE)</f>
        <v>0</v>
      </c>
      <c r="D164" s="2">
        <f ca="1">IFERROR(__xludf.DUMMYFUNCTION("""COMPUTED_VALUE"""),400)</f>
        <v>400</v>
      </c>
      <c r="E164" s="2" t="str">
        <f ca="1">IFERROR(__xludf.DUMMYFUNCTION("""COMPUTED_VALUE"""),"Haunted Technology")</f>
        <v>Haunted Technology</v>
      </c>
      <c r="F164" s="2" t="str">
        <f ca="1">IFERROR(__xludf.DUMMYFUNCTION("""COMPUTED_VALUE"""),"Toshi Densetsu Bitch")</f>
        <v>Toshi Densetsu Bitch</v>
      </c>
      <c r="G164" s="2" t="str">
        <f ca="1">IFERROR(__xludf.DUMMYFUNCTION("""COMPUTED_VALUE"""),"Powers")</f>
        <v>Powers</v>
      </c>
      <c r="H164" s="2" t="str">
        <f ca="1">IFERROR(__xludf.DUMMYFUNCTION("""COMPUTED_VALUE"""),"Like Sadoko you can manipulate technology, able to create the normal ghostly phenomenon like flickering lights, phone calls from no one, and other such spooky things, but also able to do much funner things like searching someone’s hard drive for porn and "&amp;"then turning into the kind of person they like. This also gives you knowledge on how to manipulate technology in less supernatural ways, like using recording equipment or hacking.")</f>
        <v>Like Sadoko you can manipulate technology, able to create the normal ghostly phenomenon like flickering lights, phone calls from no one, and other such spooky things, but also able to do much funner things like searching someone’s hard drive for porn and then turning into the kind of person they like. This also gives you knowledge on how to manipulate technology in less supernatural ways, like using recording equipment or hacking.</v>
      </c>
      <c r="I164" s="5"/>
    </row>
    <row r="165" spans="1:9" ht="87" x14ac:dyDescent="0.25">
      <c r="A165" s="16"/>
      <c r="B165" s="17">
        <v>161</v>
      </c>
      <c r="C165" s="2" t="b">
        <f ca="1">IFERROR(__xludf.DUMMYFUNCTION("""COMPUTED_VALUE"""),FALSE)</f>
        <v>0</v>
      </c>
      <c r="D165" s="2">
        <f ca="1">IFERROR(__xludf.DUMMYFUNCTION("""COMPUTED_VALUE"""),400)</f>
        <v>400</v>
      </c>
      <c r="E165" s="2" t="str">
        <f ca="1">IFERROR(__xludf.DUMMYFUNCTION("""COMPUTED_VALUE"""),"Heroic Cumback")</f>
        <v>Heroic Cumback</v>
      </c>
      <c r="F165" s="2" t="str">
        <f ca="1">IFERROR(__xludf.DUMMYFUNCTION("""COMPUTED_VALUE"""),"Monster Girl Dreams 1.3 - The Pre-Capitol Update")</f>
        <v>Monster Girl Dreams 1.3 - The Pre-Capitol Update</v>
      </c>
      <c r="G165" s="2" t="str">
        <f ca="1">IFERROR(__xludf.DUMMYFUNCTION("""COMPUTED_VALUE"""),"Powers")</f>
        <v>Powers</v>
      </c>
      <c r="H165" s="2" t="str">
        <f ca="1">IFERROR(__xludf.DUMMYFUNCTION("""COMPUTED_VALUE"""),"When at the very last dregs of your stamina and willpower, instead of succumbing, there is a chance for you to gain a second wind of sorts, filling your mind and body with vigor and allowing you to strike back. Oddly enough, this chance scales with your f"&amp;"ertility/virility, implying that it may be a gift from the Goddess.")</f>
        <v>When at the very last dregs of your stamina and willpower, instead of succumbing, there is a chance for you to gain a second wind of sorts, filling your mind and body with vigor and allowing you to strike back. Oddly enough, this chance scales with your fertility/virility, implying that it may be a gift from the Goddess.</v>
      </c>
      <c r="I165" s="5"/>
    </row>
    <row r="166" spans="1:9" ht="87" x14ac:dyDescent="0.25">
      <c r="A166" s="16"/>
      <c r="B166" s="17">
        <v>162</v>
      </c>
      <c r="C166" s="2" t="b">
        <f ca="1">IFERROR(__xludf.DUMMYFUNCTION("""COMPUTED_VALUE"""),FALSE)</f>
        <v>0</v>
      </c>
      <c r="D166" s="2">
        <f ca="1">IFERROR(__xludf.DUMMYFUNCTION("""COMPUTED_VALUE"""),400)</f>
        <v>400</v>
      </c>
      <c r="E166" s="2" t="str">
        <f ca="1">IFERROR(__xludf.DUMMYFUNCTION("""COMPUTED_VALUE"""),"Hibachi Hell")</f>
        <v>Hibachi Hell</v>
      </c>
      <c r="F166" s="2" t="str">
        <f ca="1">IFERROR(__xludf.DUMMYFUNCTION("""COMPUTED_VALUE"""),"Burakku Gakkou Ni Tsutomete Shimatta Sensei")</f>
        <v>Burakku Gakkou Ni Tsutomete Shimatta Sensei</v>
      </c>
      <c r="G166" s="2" t="str">
        <f ca="1">IFERROR(__xludf.DUMMYFUNCTION("""COMPUTED_VALUE"""),"Powers")</f>
        <v>Powers</v>
      </c>
      <c r="H166" s="2" t="str">
        <f ca="1">IFERROR(__xludf.DUMMYFUNCTION("""COMPUTED_VALUE"""),"It’s a rod with a tip that rapidly oscillates, and it—look, it’s a magic wand type vibrator. Every girl’s best battery-operated buddy. There’s not much else to say to describe it. However, this vibrator is special in that using it on someone will always b"&amp;"e considered a valid form of punishment for anything short of criminal wrongdoing.")</f>
        <v>It’s a rod with a tip that rapidly oscillates, and it—look, it’s a magic wand type vibrator. Every girl’s best battery-operated buddy. There’s not much else to say to describe it. However, this vibrator is special in that using it on someone will always be considered a valid form of punishment for anything short of criminal wrongdoing.</v>
      </c>
      <c r="I166" s="5"/>
    </row>
    <row r="167" spans="1:9" ht="87" x14ac:dyDescent="0.25">
      <c r="A167" s="16"/>
      <c r="B167" s="17">
        <v>163</v>
      </c>
      <c r="C167" s="2" t="b">
        <f ca="1">IFERROR(__xludf.DUMMYFUNCTION("""COMPUTED_VALUE"""),FALSE)</f>
        <v>0</v>
      </c>
      <c r="D167" s="2">
        <f ca="1">IFERROR(__xludf.DUMMYFUNCTION("""COMPUTED_VALUE"""),400)</f>
        <v>400</v>
      </c>
      <c r="E167" s="2" t="str">
        <f ca="1">IFERROR(__xludf.DUMMYFUNCTION("""COMPUTED_VALUE"""),"Hollow Flesh")</f>
        <v>Hollow Flesh</v>
      </c>
      <c r="F167" s="2" t="str">
        <f ca="1">IFERROR(__xludf.DUMMYFUNCTION("""COMPUTED_VALUE"""),"TSF World")</f>
        <v>TSF World</v>
      </c>
      <c r="G167" s="2" t="str">
        <f ca="1">IFERROR(__xludf.DUMMYFUNCTION("""COMPUTED_VALUE"""),"Powers")</f>
        <v>Powers</v>
      </c>
      <c r="H167" s="2" t="str">
        <f ca="1">IFERROR(__xludf.DUMMYFUNCTION("""COMPUTED_VALUE"""),"By simply drawing your finger down a 'seam' in someone's skin, you can turn them into a skin suit. While doing this, you can decide how aware they will remain, whether they are awake when they feel someone else wear them or are simply an inanimate empty s"&amp;"kin. Whenever someone puts the suit on, they will assume the victim's form entirely. You can also reverse this process by 'sealing' the seam back up. If the subject was aware, they will retain their memories.")</f>
        <v>By simply drawing your finger down a 'seam' in someone's skin, you can turn them into a skin suit. While doing this, you can decide how aware they will remain, whether they are awake when they feel someone else wear them or are simply an inanimate empty skin. Whenever someone puts the suit on, they will assume the victim's form entirely. You can also reverse this process by 'sealing' the seam back up. If the subject was aware, they will retain their memories.</v>
      </c>
      <c r="I167" s="5"/>
    </row>
    <row r="168" spans="1:9" ht="104.4" x14ac:dyDescent="0.25">
      <c r="A168" s="16"/>
      <c r="B168" s="17">
        <v>164</v>
      </c>
      <c r="C168" s="2" t="b">
        <f ca="1">IFERROR(__xludf.DUMMYFUNCTION("""COMPUTED_VALUE"""),FALSE)</f>
        <v>0</v>
      </c>
      <c r="D168" s="2">
        <f ca="1">IFERROR(__xludf.DUMMYFUNCTION("""COMPUTED_VALUE"""),400)</f>
        <v>400</v>
      </c>
      <c r="E168" s="2" t="str">
        <f ca="1">IFERROR(__xludf.DUMMYFUNCTION("""COMPUTED_VALUE"""),"Horny Engine")</f>
        <v>Horny Engine</v>
      </c>
      <c r="F168" s="2" t="str">
        <f ca="1">IFERROR(__xludf.DUMMYFUNCTION("""COMPUTED_VALUE"""),"Zakuro Shoukougun")</f>
        <v>Zakuro Shoukougun</v>
      </c>
      <c r="G168" s="2" t="str">
        <f ca="1">IFERROR(__xludf.DUMMYFUNCTION("""COMPUTED_VALUE"""),"Powers")</f>
        <v>Powers</v>
      </c>
      <c r="H168" s="2" t="str">
        <f ca="1">IFERROR(__xludf.DUMMYFUNCTION("""COMPUTED_VALUE"""),"You are an unstoppable engine fuelled by sheer lust. The hornier you are, the stronger your raw strength, speed, and stamina become, until you can rip doors off lockers and shatter wooden palettes blocking your way with a single kick like some kind of hor"&amp;"ror movie monster.
“She can’t be bargained with. She can’t be reasoned with. She doesn’t feel pity, remorse, or fear. She absolutely will not stop until you are fucked.”")</f>
        <v>You are an unstoppable engine fuelled by sheer lust. The hornier you are, the stronger your raw strength, speed, and stamina become, until you can rip doors off lockers and shatter wooden palettes blocking your way with a single kick like some kind of horror movie monster.
“She can’t be bargained with. She can’t be reasoned with. She doesn’t feel pity, remorse, or fear. She absolutely will not stop until you are fucked.”</v>
      </c>
      <c r="I168" s="5"/>
    </row>
    <row r="169" spans="1:9" ht="104.4" x14ac:dyDescent="0.25">
      <c r="A169" s="16"/>
      <c r="B169" s="17">
        <v>165</v>
      </c>
      <c r="C169" s="2" t="b">
        <f ca="1">IFERROR(__xludf.DUMMYFUNCTION("""COMPUTED_VALUE"""),FALSE)</f>
        <v>0</v>
      </c>
      <c r="D169" s="2">
        <f ca="1">IFERROR(__xludf.DUMMYFUNCTION("""COMPUTED_VALUE"""),400)</f>
        <v>400</v>
      </c>
      <c r="E169" s="2" t="str">
        <f ca="1">IFERROR(__xludf.DUMMYFUNCTION("""COMPUTED_VALUE"""),"Hydrated Hydra")</f>
        <v>Hydrated Hydra</v>
      </c>
      <c r="F169" s="2" t="str">
        <f ca="1">IFERROR(__xludf.DUMMYFUNCTION("""COMPUTED_VALUE"""),"How they Fap in Parallel Worlds")</f>
        <v>How they Fap in Parallel Worlds</v>
      </c>
      <c r="G169" s="2" t="str">
        <f ca="1">IFERROR(__xludf.DUMMYFUNCTION("""COMPUTED_VALUE"""),"Powers")</f>
        <v>Powers</v>
      </c>
      <c r="H169" s="2" t="str">
        <f ca="1">IFERROR(__xludf.DUMMYFUNCTION("""COMPUTED_VALUE"""),"In the multiverse, there are many creatures who take great pride in their vitality, but you are on another level. Your regenerative ability is absurd. You can regenerate limbs in a matter of seconds, but not complex organs. Injuries that you can regenerat"&amp;"e from are felt as pleasure instead of pain, and the regeneration itself is an orgasmic feeling in its own right. An oddity of this ability is that unless you explicitly desire otherwise, you don’t bleed from injuries, and your flesh is delicious and nutr"&amp;"itious, even when consumed raw.")</f>
        <v>In the multiverse, there are many creatures who take great pride in their vitality, but you are on another level. Your regenerative ability is absurd. You can regenerate limbs in a matter of seconds, but not complex organs. Injuries that you can regenerate from are felt as pleasure instead of pain, and the regeneration itself is an orgasmic feeling in its own right. An oddity of this ability is that unless you explicitly desire otherwise, you don’t bleed from injuries, and your flesh is delicious and nutritious, even when consumed raw.</v>
      </c>
      <c r="I169" s="5"/>
    </row>
    <row r="170" spans="1:9" ht="156.6" x14ac:dyDescent="0.25">
      <c r="A170" s="16"/>
      <c r="B170" s="17">
        <v>166</v>
      </c>
      <c r="C170" s="2" t="b">
        <f ca="1">IFERROR(__xludf.DUMMYFUNCTION("""COMPUTED_VALUE"""),FALSE)</f>
        <v>0</v>
      </c>
      <c r="D170" s="2">
        <f ca="1">IFERROR(__xludf.DUMMYFUNCTION("""COMPUTED_VALUE"""),400)</f>
        <v>400</v>
      </c>
      <c r="E170" s="2" t="str">
        <f ca="1">IFERROR(__xludf.DUMMYFUNCTION("""COMPUTED_VALUE"""),"I'm Reusable")</f>
        <v>I'm Reusable</v>
      </c>
      <c r="F170" s="2" t="str">
        <f ca="1">IFERROR(__xludf.DUMMYFUNCTION("""COMPUTED_VALUE"""),"Victim Girls (Rose Edition)")</f>
        <v>Victim Girls (Rose Edition)</v>
      </c>
      <c r="G170" s="2" t="str">
        <f ca="1">IFERROR(__xludf.DUMMYFUNCTION("""COMPUTED_VALUE"""),"Powers")</f>
        <v>Powers</v>
      </c>
      <c r="H170" s="2" t="str">
        <f ca="1">IFERROR(__xludf.DUMMYFUNCTION("""COMPUTED_VALUE"""),"Boys are so rough with their toys. They’ll throw them around, slam them up and down, chew them up and spit them out. Then they’ll forget all about the toys once they break and someone gives a new one. But you keep bringing the boys back to play with you, "&amp;"even after you’re completely broken. No matter how badly you’re beaten or bashed, you don’t seem to go down for good. Your mind, your heart, your spirit, those can all be dirtied and destroyed for good. But that tight, young flesh of yours always finds a "&amp;"way to come back from anything. It could be a magical spell that transfers you to a new body, amazing resilience and recuperation once you get to a hospital, or even just the luck to have a passing healer look you over. You’ll always find your way back to"&amp;" looking pretty and playful after a short while. Only once you’re really broken though.")</f>
        <v>Boys are so rough with their toys. They’ll throw them around, slam them up and down, chew them up and spit them out. Then they’ll forget all about the toys once they break and someone gives a new one. But you keep bringing the boys back to play with you, even after you’re completely broken. No matter how badly you’re beaten or bashed, you don’t seem to go down for good. Your mind, your heart, your spirit, those can all be dirtied and destroyed for good. But that tight, young flesh of yours always finds a way to come back from anything. It could be a magical spell that transfers you to a new body, amazing resilience and recuperation once you get to a hospital, or even just the luck to have a passing healer look you over. You’ll always find your way back to looking pretty and playful after a short while. Only once you’re really broken though.</v>
      </c>
      <c r="I170" s="5"/>
    </row>
    <row r="171" spans="1:9" ht="87" x14ac:dyDescent="0.25">
      <c r="A171" s="16"/>
      <c r="B171" s="17">
        <v>167</v>
      </c>
      <c r="C171" s="2" t="b">
        <f ca="1">IFERROR(__xludf.DUMMYFUNCTION("""COMPUTED_VALUE"""),FALSE)</f>
        <v>0</v>
      </c>
      <c r="D171" s="2">
        <f ca="1">IFERROR(__xludf.DUMMYFUNCTION("""COMPUTED_VALUE"""),400)</f>
        <v>400</v>
      </c>
      <c r="E171" s="2" t="str">
        <f ca="1">IFERROR(__xludf.DUMMYFUNCTION("""COMPUTED_VALUE"""),"It's Nothing Personal")</f>
        <v>It's Nothing Personal</v>
      </c>
      <c r="F171" s="2" t="str">
        <f ca="1">IFERROR(__xludf.DUMMYFUNCTION("""COMPUTED_VALUE"""),"Generic: Hentai Magical Girl")</f>
        <v>Generic: Hentai Magical Girl</v>
      </c>
      <c r="G171" s="2" t="str">
        <f ca="1">IFERROR(__xludf.DUMMYFUNCTION("""COMPUTED_VALUE"""),"Powers")</f>
        <v>Powers</v>
      </c>
      <c r="H171" s="2" t="str">
        <f ca="1">IFERROR(__xludf.DUMMYFUNCTION("""COMPUTED_VALUE"""),"Your business is twofold. Recording these staged fights, and selling the resulting show and related memorabilia, and eventually selling them as sex slaves. This is your job. In their eyes, this might make you worse than the mindless 'Monsters', but it rea"&amp;"lly isn't anything personal. That's why rage and desperation, the last dregs of hope and luck, will always fail against you. The resulting power boost, however momentary, never arrives.")</f>
        <v>Your business is twofold. Recording these staged fights, and selling the resulting show and related memorabilia, and eventually selling them as sex slaves. This is your job. In their eyes, this might make you worse than the mindless 'Monsters', but it really isn't anything personal. That's why rage and desperation, the last dregs of hope and luck, will always fail against you. The resulting power boost, however momentary, never arrives.</v>
      </c>
      <c r="I171" s="5"/>
    </row>
    <row r="172" spans="1:9" ht="174" x14ac:dyDescent="0.25">
      <c r="A172" s="16"/>
      <c r="B172" s="17">
        <v>168</v>
      </c>
      <c r="C172" s="2" t="b">
        <f ca="1">IFERROR(__xludf.DUMMYFUNCTION("""COMPUTED_VALUE"""),FALSE)</f>
        <v>0</v>
      </c>
      <c r="D172" s="2">
        <f ca="1">IFERROR(__xludf.DUMMYFUNCTION("""COMPUTED_VALUE"""),400)</f>
        <v>400</v>
      </c>
      <c r="E172" s="2" t="str">
        <f ca="1">IFERROR(__xludf.DUMMYFUNCTION("""COMPUTED_VALUE"""),"Kiss of Life")</f>
        <v>Kiss of Life</v>
      </c>
      <c r="F172" s="2" t="str">
        <f ca="1">IFERROR(__xludf.DUMMYFUNCTION("""COMPUTED_VALUE"""),"World of Lewd Superheroes")</f>
        <v>World of Lewd Superheroes</v>
      </c>
      <c r="G172" s="2" t="str">
        <f ca="1">IFERROR(__xludf.DUMMYFUNCTION("""COMPUTED_VALUE"""),"Powers")</f>
        <v>Powers</v>
      </c>
      <c r="H172" s="2" t="str">
        <f ca="1">IFERROR(__xludf.DUMMYFUNCTION("""COMPUTED_VALUE"""),"Everyone knows that few things heal a broken hero like love, but failing that lust is an excellent substitute. Genuine affection and pleasure both massively accelerate the healing of wounds and ailments of all sorts, whether by rubbing healing oils on sca"&amp;"rred bodies, holding them close when the terrors come at night, or simply helping them feel whole again. Even if you were to come home riddled with bullets or infected with an alien virus, a night spent in the arms of a lover will have you walking again b"&amp;"y morning, and if you can squeeze in some sexy time you'll be ready to give those crooks some quality payback by the afternoon. This benefits not only you but also any target of your affections, be they a young protégé who got in over their head, or your "&amp;"favorite cat burglar after she pushed her luck too far. No matter how dark the night may be, so long as you have each other all wounds will heal and you'll face the coming dawn together.")</f>
        <v>Everyone knows that few things heal a broken hero like love, but failing that lust is an excellent substitute. Genuine affection and pleasure both massively accelerate the healing of wounds and ailments of all sorts, whether by rubbing healing oils on scarred bodies, holding them close when the terrors come at night, or simply helping them feel whole again. Even if you were to come home riddled with bullets or infected with an alien virus, a night spent in the arms of a lover will have you walking again by morning, and if you can squeeze in some sexy time you'll be ready to give those crooks some quality payback by the afternoon. This benefits not only you but also any target of your affections, be they a young protégé who got in over their head, or your favorite cat burglar after she pushed her luck too far. No matter how dark the night may be, so long as you have each other all wounds will heal and you'll face the coming dawn together.</v>
      </c>
      <c r="I172" s="5"/>
    </row>
    <row r="173" spans="1:9" ht="139.19999999999999" x14ac:dyDescent="0.25">
      <c r="A173" s="16"/>
      <c r="B173" s="17">
        <v>169</v>
      </c>
      <c r="C173" s="2" t="b">
        <f ca="1">IFERROR(__xludf.DUMMYFUNCTION("""COMPUTED_VALUE"""),FALSE)</f>
        <v>0</v>
      </c>
      <c r="D173" s="2">
        <f ca="1">IFERROR(__xludf.DUMMYFUNCTION("""COMPUTED_VALUE"""),400)</f>
        <v>400</v>
      </c>
      <c r="E173" s="2" t="str">
        <f ca="1">IFERROR(__xludf.DUMMYFUNCTION("""COMPUTED_VALUE"""),"Kunoichi Scrolls")</f>
        <v>Kunoichi Scrolls</v>
      </c>
      <c r="F173" s="2" t="str">
        <f ca="1">IFERROR(__xludf.DUMMYFUNCTION("""COMPUTED_VALUE"""),"Monster Girl Dreams 1.3 - The Pre-Capitol Update")</f>
        <v>Monster Girl Dreams 1.3 - The Pre-Capitol Update</v>
      </c>
      <c r="G173" s="2" t="str">
        <f ca="1">IFERROR(__xludf.DUMMYFUNCTION("""COMPUTED_VALUE"""),"Powers")</f>
        <v>Powers</v>
      </c>
      <c r="H173" s="2" t="str">
        <f ca="1">IFERROR(__xludf.DUMMYFUNCTION("""COMPUTED_VALUE"""),"A chest containing a set of magically preserved scrolls. The techniques written on these scrolls have been passed down for generations in a certain secretive clan of succubi. They vary wildly, from mundane stealth and espionage, to the use and creation of"&amp;" ninja tools such as smoke and sleep bombs, to more supernatural abilities like flash-stepping and breathing out aphrodisiac mist. There’s even one technique that allows you to create a temporary clone of yourselves from the ambient shadows, although you’"&amp;"ll only be able to create one without intense training, if that. Going above your limit will cause certain clones to stop acting like you, as well as causing you to feel any orgasms they have as if they were your own.")</f>
        <v>A chest containing a set of magically preserved scrolls. The techniques written on these scrolls have been passed down for generations in a certain secretive clan of succubi. They vary wildly, from mundane stealth and espionage, to the use and creation of ninja tools such as smoke and sleep bombs, to more supernatural abilities like flash-stepping and breathing out aphrodisiac mist. There’s even one technique that allows you to create a temporary clone of yourselves from the ambient shadows, although you’ll only be able to create one without intense training, if that. Going above your limit will cause certain clones to stop acting like you, as well as causing you to feel any orgasms they have as if they were your own.</v>
      </c>
      <c r="I173" s="5"/>
    </row>
    <row r="174" spans="1:9" ht="87" x14ac:dyDescent="0.25">
      <c r="A174" s="16"/>
      <c r="B174" s="17">
        <v>170</v>
      </c>
      <c r="C174" s="2" t="b">
        <f ca="1">IFERROR(__xludf.DUMMYFUNCTION("""COMPUTED_VALUE"""),FALSE)</f>
        <v>0</v>
      </c>
      <c r="D174" s="2">
        <f ca="1">IFERROR(__xludf.DUMMYFUNCTION("""COMPUTED_VALUE"""),400)</f>
        <v>400</v>
      </c>
      <c r="E174" s="2" t="str">
        <f ca="1">IFERROR(__xludf.DUMMYFUNCTION("""COMPUTED_VALUE"""),"Liquid Dreamer")</f>
        <v>Liquid Dreamer</v>
      </c>
      <c r="F174" s="2" t="str">
        <f ca="1">IFERROR(__xludf.DUMMYFUNCTION("""COMPUTED_VALUE"""),"How they Fap in Parallel Worlds")</f>
        <v>How they Fap in Parallel Worlds</v>
      </c>
      <c r="G174" s="2" t="str">
        <f ca="1">IFERROR(__xludf.DUMMYFUNCTION("""COMPUTED_VALUE"""),"Powers")</f>
        <v>Powers</v>
      </c>
      <c r="H174" s="2" t="str">
        <f ca="1">IFERROR(__xludf.DUMMYFUNCTION("""COMPUTED_VALUE"""),"Not all forms of pleasure need be sexual. You’re a creature with the special ability to enter and eat the dreams of others. You gain nourishment from this, but most importantly, you get to explore the constructs of the unconscious mind as if they were you"&amp;"r own. Whether you just sit back and enjoy the ride or make an effort to twist the dream yourself to make the perfect Heaven or Hell for the dreamer, is up to you. Incidentally, you also experience sexual pleasure from eating wet dreams.")</f>
        <v>Not all forms of pleasure need be sexual. You’re a creature with the special ability to enter and eat the dreams of others. You gain nourishment from this, but most importantly, you get to explore the constructs of the unconscious mind as if they were your own. Whether you just sit back and enjoy the ride or make an effort to twist the dream yourself to make the perfect Heaven or Hell for the dreamer, is up to you. Incidentally, you also experience sexual pleasure from eating wet dreams.</v>
      </c>
      <c r="I174" s="5"/>
    </row>
    <row r="175" spans="1:9" ht="121.8" x14ac:dyDescent="0.25">
      <c r="A175" s="16"/>
      <c r="B175" s="17">
        <v>171</v>
      </c>
      <c r="C175" s="2" t="b">
        <f ca="1">IFERROR(__xludf.DUMMYFUNCTION("""COMPUTED_VALUE"""),FALSE)</f>
        <v>0</v>
      </c>
      <c r="D175" s="2">
        <f ca="1">IFERROR(__xludf.DUMMYFUNCTION("""COMPUTED_VALUE"""),400)</f>
        <v>400</v>
      </c>
      <c r="E175" s="2" t="str">
        <f ca="1">IFERROR(__xludf.DUMMYFUNCTION("""COMPUTED_VALUE"""),"Losing Conciousness")</f>
        <v>Losing Conciousness</v>
      </c>
      <c r="F175" s="2" t="str">
        <f ca="1">IFERROR(__xludf.DUMMYFUNCTION("""COMPUTED_VALUE"""),"The Works of Aomizuan")</f>
        <v>The Works of Aomizuan</v>
      </c>
      <c r="G175" s="2" t="str">
        <f ca="1">IFERROR(__xludf.DUMMYFUNCTION("""COMPUTED_VALUE"""),"Powers")</f>
        <v>Powers</v>
      </c>
      <c r="H175" s="2" t="str">
        <f ca="1">IFERROR(__xludf.DUMMYFUNCTION("""COMPUTED_VALUE"""),"The fact that you were just fucked so hard that you fell unconscious is no excuse for stopping sex. Falling unconscious no longer stops your body from acting. Although you can’t carry out complex actions while you lack consciousness, you can still carry o"&amp;"ut basic, instinctive actions, such as fucking, fighting, or running, as may be situationally appropriate. You’re guaranteed that your unconscious body won’t do anything that you would regret when you wake up. Additionally, suddenly losing consciousness ("&amp;"be it due to a sudden influx of pleasure or due to being hit in the head) will never cause you health problems.")</f>
        <v>The fact that you were just fucked so hard that you fell unconscious is no excuse for stopping sex. Falling unconscious no longer stops your body from acting. Although you can’t carry out complex actions while you lack consciousness, you can still carry out basic, instinctive actions, such as fucking, fighting, or running, as may be situationally appropriate. You’re guaranteed that your unconscious body won’t do anything that you would regret when you wake up. Additionally, suddenly losing consciousness (be it due to a sudden influx of pleasure or due to being hit in the head) will never cause you health problems.</v>
      </c>
      <c r="I175" s="5"/>
    </row>
    <row r="176" spans="1:9" ht="69.599999999999994" x14ac:dyDescent="0.25">
      <c r="A176" s="16"/>
      <c r="B176" s="17">
        <v>172</v>
      </c>
      <c r="C176" s="2" t="b">
        <f ca="1">IFERROR(__xludf.DUMMYFUNCTION("""COMPUTED_VALUE"""),FALSE)</f>
        <v>0</v>
      </c>
      <c r="D176" s="2">
        <f ca="1">IFERROR(__xludf.DUMMYFUNCTION("""COMPUTED_VALUE"""),400)</f>
        <v>400</v>
      </c>
      <c r="E176" s="2" t="str">
        <f ca="1">IFERROR(__xludf.DUMMYFUNCTION("""COMPUTED_VALUE"""),"Magic Penis")</f>
        <v>Magic Penis</v>
      </c>
      <c r="F176" s="2" t="str">
        <f ca="1">IFERROR(__xludf.DUMMYFUNCTION("""COMPUTED_VALUE"""),"Generic: Hentai Modern")</f>
        <v>Generic: Hentai Modern</v>
      </c>
      <c r="G176" s="2" t="str">
        <f ca="1">IFERROR(__xludf.DUMMYFUNCTION("""COMPUTED_VALUE"""),"Powers")</f>
        <v>Powers</v>
      </c>
      <c r="H176" s="2" t="str">
        <f ca="1">IFERROR(__xludf.DUMMYFUNCTION("""COMPUTED_VALUE"""),"Moving in the other direction, you can temporarily ‘steal’ body parts, either through copying or through outright theft. Want to have a horsecock for tonight? Find one, and give it a quick pat on the head. Or, be kinky and steal popular dude #39’s and rep"&amp;"lace it with his girlfriend's vagina. Just for kicks.")</f>
        <v>Moving in the other direction, you can temporarily ‘steal’ body parts, either through copying or through outright theft. Want to have a horsecock for tonight? Find one, and give it a quick pat on the head. Or, be kinky and steal popular dude #39’s and replace it with his girlfriend's vagina. Just for kicks.</v>
      </c>
      <c r="I176" s="5"/>
    </row>
    <row r="177" spans="1:9" ht="87" x14ac:dyDescent="0.25">
      <c r="A177" s="16"/>
      <c r="B177" s="17">
        <v>173</v>
      </c>
      <c r="C177" s="2" t="b">
        <f ca="1">IFERROR(__xludf.DUMMYFUNCTION("""COMPUTED_VALUE"""),FALSE)</f>
        <v>0</v>
      </c>
      <c r="D177" s="2">
        <f ca="1">IFERROR(__xludf.DUMMYFUNCTION("""COMPUTED_VALUE"""),400)</f>
        <v>400</v>
      </c>
      <c r="E177" s="2" t="str">
        <f ca="1">IFERROR(__xludf.DUMMYFUNCTION("""COMPUTED_VALUE"""),"Man of Mystery")</f>
        <v>Man of Mystery</v>
      </c>
      <c r="F177" s="2" t="str">
        <f ca="1">IFERROR(__xludf.DUMMYFUNCTION("""COMPUTED_VALUE"""),"Generic: Hentai Occult")</f>
        <v>Generic: Hentai Occult</v>
      </c>
      <c r="G177" s="2" t="str">
        <f ca="1">IFERROR(__xludf.DUMMYFUNCTION("""COMPUTED_VALUE"""),"Powers")</f>
        <v>Powers</v>
      </c>
      <c r="H177" s="2" t="str">
        <f ca="1">IFERROR(__xludf.DUMMYFUNCTION("""COMPUTED_VALUE"""),"Don’t you know that that women just love a man of mystery? Well, you certainly are one. Simply put, you can, at any time, erase, remove, or otherwise hide any recorded information about yourself that currently exists. Security camera? Freak accident in po"&amp;"wer fluctuation erased it right before it was accessed. Yes, ‘accident’... And, as I said, women love a man of mystery. Not good for lasting relationships, but the less they know about you, the sexier you seem to them.")</f>
        <v>Don’t you know that that women just love a man of mystery? Well, you certainly are one. Simply put, you can, at any time, erase, remove, or otherwise hide any recorded information about yourself that currently exists. Security camera? Freak accident in power fluctuation erased it right before it was accessed. Yes, ‘accident’... And, as I said, women love a man of mystery. Not good for lasting relationships, but the less they know about you, the sexier you seem to them.</v>
      </c>
      <c r="I177" s="5"/>
    </row>
    <row r="178" spans="1:9" ht="174" x14ac:dyDescent="0.25">
      <c r="A178" s="16"/>
      <c r="B178" s="17">
        <v>174</v>
      </c>
      <c r="C178" s="2" t="b">
        <f ca="1">IFERROR(__xludf.DUMMYFUNCTION("""COMPUTED_VALUE"""),FALSE)</f>
        <v>0</v>
      </c>
      <c r="D178" s="2">
        <f ca="1">IFERROR(__xludf.DUMMYFUNCTION("""COMPUTED_VALUE"""),400)</f>
        <v>400</v>
      </c>
      <c r="E178" s="2" t="str">
        <f ca="1">IFERROR(__xludf.DUMMYFUNCTION("""COMPUTED_VALUE"""),"Mazocian")</f>
        <v>Mazocian</v>
      </c>
      <c r="F178" s="2" t="str">
        <f ca="1">IFERROR(__xludf.DUMMYFUNCTION("""COMPUTED_VALUE"""),"Rope Master")</f>
        <v>Rope Master</v>
      </c>
      <c r="G178" s="2" t="str">
        <f ca="1">IFERROR(__xludf.DUMMYFUNCTION("""COMPUTED_VALUE"""),"Powers")</f>
        <v>Powers</v>
      </c>
      <c r="H178" s="2" t="str">
        <f ca="1">IFERROR(__xludf.DUMMYFUNCTION("""COMPUTED_VALUE"""),"It’s common knowledge that wearing a blindfold can make your other senses sharper, but why stop there? You have a rare gift that only BDSM enthusiasts can truly appreciate: much like the brain’s ability to adapt to losing one of your senses, when your bod"&amp;"y is tied up and helpless your mind becomes stronger, swifter, and more focused to compensate. Any skill or talent you can still use becomes that much sharper and the more you have to give up the more you gain in return. Ordinary sensory deprivation can m"&amp;"ake your sense of pleasure grow tenfold, and an ordinary schoolgirl could gain the acting skills of a world-class performer or the intelligence of a genius while she’s tied up. Magical powers benefit as well as long as those powers don’t require freedom o"&amp;"f movement: a submissive sorceress is at her most dangerous when stuffed full of vibrators and sealed into a gimp suit or something of the like.")</f>
        <v>It’s common knowledge that wearing a blindfold can make your other senses sharper, but why stop there? You have a rare gift that only BDSM enthusiasts can truly appreciate: much like the brain’s ability to adapt to losing one of your senses, when your body is tied up and helpless your mind becomes stronger, swifter, and more focused to compensate. Any skill or talent you can still use becomes that much sharper and the more you have to give up the more you gain in return. Ordinary sensory deprivation can make your sense of pleasure grow tenfold, and an ordinary schoolgirl could gain the acting skills of a world-class performer or the intelligence of a genius while she’s tied up. Magical powers benefit as well as long as those powers don’t require freedom of movement: a submissive sorceress is at her most dangerous when stuffed full of vibrators and sealed into a gimp suit or something of the like.</v>
      </c>
      <c r="I178" s="5"/>
    </row>
    <row r="179" spans="1:9" ht="208.8" x14ac:dyDescent="0.25">
      <c r="A179" s="16"/>
      <c r="B179" s="17">
        <v>175</v>
      </c>
      <c r="C179" s="2" t="b">
        <f ca="1">IFERROR(__xludf.DUMMYFUNCTION("""COMPUTED_VALUE"""),FALSE)</f>
        <v>0</v>
      </c>
      <c r="D179" s="2">
        <f ca="1">IFERROR(__xludf.DUMMYFUNCTION("""COMPUTED_VALUE"""),400)</f>
        <v>400</v>
      </c>
      <c r="E179" s="2" t="str">
        <f ca="1">IFERROR(__xludf.DUMMYFUNCTION("""COMPUTED_VALUE"""),"Moth")</f>
        <v>Moth</v>
      </c>
      <c r="F179" s="2" t="str">
        <f ca="1">IFERROR(__xludf.DUMMYFUNCTION("""COMPUTED_VALUE"""),"Lexx")</f>
        <v>Lexx</v>
      </c>
      <c r="G179" s="2" t="str">
        <f ca="1">IFERROR(__xludf.DUMMYFUNCTION("""COMPUTED_VALUE"""),"Powers")</f>
        <v>Powers</v>
      </c>
      <c r="H179" s="2" t="str">
        <f ca="1">IFERROR(__xludf.DUMMYFUNCTION("""COMPUTED_VALUE"""),"Since every one of the starting locations is scheduled to be destroyed not long after your arrival, it only seems fair to give you a way to get off the planet. This is a small organic spacecraft about the size of a large van. Resembling a large moth, the "&amp;"“eyes” act as both doors and widows to the small two seated cockpit. It has insect like wings for atmospheric flight, letting it maneuver like a helicopter, and a small thruster in the back to propel itself in a vacuum. Moths are easy to fly, with their p"&amp;"ilots needing only to point them in the direction they want to go, and the rudimentary instincts of the moth handle the details of maneuvering around obstacles and landing safely when appropriate. Moths are short range craft, capable of traveling interpla"&amp;"netary distances, but not interstellar ones.
Your moth has the added advantages of not requiring food or fuel, having an unlimited lifespan, and being replaced with a new one if it is ever damaged or destroyed.")</f>
        <v>Since every one of the starting locations is scheduled to be destroyed not long after your arrival, it only seems fair to give you a way to get off the planet. This is a small organic spacecraft about the size of a large van. Resembling a large moth, the “eyes” act as both doors and widows to the small two seated cockpit. It has insect like wings for atmospheric flight, letting it maneuver like a helicopter, and a small thruster in the back to propel itself in a vacuum. Moths are easy to fly, with their pilots needing only to point them in the direction they want to go, and the rudimentary instincts of the moth handle the details of maneuvering around obstacles and landing safely when appropriate. Moths are short range craft, capable of traveling interplanetary distances, but not interstellar ones.
Your moth has the added advantages of not requiring food or fuel, having an unlimited lifespan, and being replaced with a new one if it is ever damaged or destroyed.</v>
      </c>
      <c r="I179" s="5"/>
    </row>
    <row r="180" spans="1:9" ht="87" x14ac:dyDescent="0.25">
      <c r="A180" s="16"/>
      <c r="B180" s="17">
        <v>176</v>
      </c>
      <c r="C180" s="2" t="b">
        <f ca="1">IFERROR(__xludf.DUMMYFUNCTION("""COMPUTED_VALUE"""),FALSE)</f>
        <v>0</v>
      </c>
      <c r="D180" s="2">
        <f ca="1">IFERROR(__xludf.DUMMYFUNCTION("""COMPUTED_VALUE"""),400)</f>
        <v>400</v>
      </c>
      <c r="E180" s="2" t="str">
        <f ca="1">IFERROR(__xludf.DUMMYFUNCTION("""COMPUTED_VALUE"""),"Pleasure for Pleasure")</f>
        <v>Pleasure for Pleasure</v>
      </c>
      <c r="F180" s="2" t="str">
        <f ca="1">IFERROR(__xludf.DUMMYFUNCTION("""COMPUTED_VALUE"""),"Monster Girl Dreams 1.3 - The Pre-Capitol Update")</f>
        <v>Monster Girl Dreams 1.3 - The Pre-Capitol Update</v>
      </c>
      <c r="G180" s="2" t="str">
        <f ca="1">IFERROR(__xludf.DUMMYFUNCTION("""COMPUTED_VALUE"""),"Powers")</f>
        <v>Powers</v>
      </c>
      <c r="H180" s="2" t="str">
        <f ca="1">IFERROR(__xludf.DUMMYFUNCTION("""COMPUTED_VALUE"""),"Those who try to drown you in bliss will find themselves going under themselves. Whenever someone tries to cause you pleasure, you may choose to inflict a portion of that pleasure upon them. Note that this doesn’t actually reduce the amount of pleasure yo"&amp;"u’re feeling.")</f>
        <v>Those who try to drown you in bliss will find themselves going under themselves. Whenever someone tries to cause you pleasure, you may choose to inflict a portion of that pleasure upon them. Note that this doesn’t actually reduce the amount of pleasure you’re feeling.</v>
      </c>
      <c r="I180" s="5"/>
    </row>
    <row r="181" spans="1:9" ht="191.4" x14ac:dyDescent="0.25">
      <c r="A181" s="16"/>
      <c r="B181" s="17">
        <v>177</v>
      </c>
      <c r="C181" s="2" t="b">
        <f ca="1">IFERROR(__xludf.DUMMYFUNCTION("""COMPUTED_VALUE"""),FALSE)</f>
        <v>0</v>
      </c>
      <c r="D181" s="2">
        <f ca="1">IFERROR(__xludf.DUMMYFUNCTION("""COMPUTED_VALUE"""),400)</f>
        <v>400</v>
      </c>
      <c r="E181" s="2" t="str">
        <f ca="1">IFERROR(__xludf.DUMMYFUNCTION("""COMPUTED_VALUE"""),"Pomegranate Syndrome")</f>
        <v>Pomegranate Syndrome</v>
      </c>
      <c r="F181" s="2" t="str">
        <f ca="1">IFERROR(__xludf.DUMMYFUNCTION("""COMPUTED_VALUE"""),"Zakuro Shoukougun")</f>
        <v>Zakuro Shoukougun</v>
      </c>
      <c r="G181" s="2" t="str">
        <f ca="1">IFERROR(__xludf.DUMMYFUNCTION("""COMPUTED_VALUE"""),"Powers")</f>
        <v>Powers</v>
      </c>
      <c r="H181" s="2" t="str">
        <f ca="1">IFERROR(__xludf.DUMMYFUNCTION("""COMPUTED_VALUE"""),"You become incredibly talented at something - oration, cooking, medicine, acting - but with a very sexy terrible cost. On a semi-daily basis you will randomly be struck with a state of incredible arousal. While you can masturbate your way through this, th"&amp;"e process takes hours, where as having sex will generally deal with it in a few minutes. While in this state of arousal, however, you will seek to spread its effects, turning your talent to lewd ends and often gaining some measure of infecting power that "&amp;"has you driving others into an identical state. This power could be a mimetic threat via your voice or your gaze, can be as physical as making you inexhaustable as you are fast, or can take the form of something like a pheremone burst. Depending on their "&amp;"exposure, your victims might have to masturbate about it, or they might need a hard fucking like you. Luckily they can't spread it themselves. Of course, those affected (including yourself) lose nearly all sexual inhibitions and have no thoughts in their "&amp;"head besides satiating their desires.")</f>
        <v>You become incredibly talented at something - oration, cooking, medicine, acting - but with a very sexy terrible cost. On a semi-daily basis you will randomly be struck with a state of incredible arousal. While you can masturbate your way through this, the process takes hours, where as having sex will generally deal with it in a few minutes. While in this state of arousal, however, you will seek to spread its effects, turning your talent to lewd ends and often gaining some measure of infecting power that has you driving others into an identical state. This power could be a mimetic threat via your voice or your gaze, can be as physical as making you inexhaustable as you are fast, or can take the form of something like a pheremone burst. Depending on their exposure, your victims might have to masturbate about it, or they might need a hard fucking like you. Luckily they can't spread it themselves. Of course, those affected (including yourself) lose nearly all sexual inhibitions and have no thoughts in their head besides satiating their desires.</v>
      </c>
      <c r="I181" s="5"/>
    </row>
    <row r="182" spans="1:9" ht="174" x14ac:dyDescent="0.25">
      <c r="A182" s="16"/>
      <c r="B182" s="17">
        <v>178</v>
      </c>
      <c r="C182" s="2" t="b">
        <f ca="1">IFERROR(__xludf.DUMMYFUNCTION("""COMPUTED_VALUE"""),FALSE)</f>
        <v>0</v>
      </c>
      <c r="D182" s="2">
        <f ca="1">IFERROR(__xludf.DUMMYFUNCTION("""COMPUTED_VALUE"""),400)</f>
        <v>400</v>
      </c>
      <c r="E182" s="2" t="str">
        <f ca="1">IFERROR(__xludf.DUMMYFUNCTION("""COMPUTED_VALUE"""),"Reader Poll")</f>
        <v>Reader Poll</v>
      </c>
      <c r="F182" s="2" t="str">
        <f ca="1">IFERROR(__xludf.DUMMYFUNCTION("""COMPUTED_VALUE"""),"Bio-Weapon Quest")</f>
        <v>Bio-Weapon Quest</v>
      </c>
      <c r="G182" s="2" t="str">
        <f ca="1">IFERROR(__xludf.DUMMYFUNCTION("""COMPUTED_VALUE"""),"Powers")</f>
        <v>Powers</v>
      </c>
      <c r="H182" s="2" t="str">
        <f ca="1">IFERROR(__xludf.DUMMYFUNCTION("""COMPUTED_VALUE"""),"Torn by indecision? Why not poll the 'readers'? You may present a ""What now?"" question in your mind and some options to a hypothetical audience of 'readers' - like ""Should I act casual or roll to seduce?"", and quickly gain a tally vote, along with a f"&amp;"ew other ‘written in’ options. The 'readers' are aware of your situation, past actions and resources, and are quite intelligent and genre-savvy, so some of their suggestions might be things you hadn't considered. Despite their awareness, the 'readers' are"&amp;" not omniscient, and are only aware of things that you are, even if you didn't notice them at the time. Of course, what the 'readers' want is what's most entertaining, not necessarily the safest or most optimal course of action, though they can be counted"&amp;" on not to vote for options that are likely to give you a bad end to your 'quest'. You can always ignore their vote, but then why bother asking them?")</f>
        <v>Torn by indecision? Why not poll the 'readers'? You may present a "What now?" question in your mind and some options to a hypothetical audience of 'readers' - like "Should I act casual or roll to seduce?", and quickly gain a tally vote, along with a few other ‘written in’ options. The 'readers' are aware of your situation, past actions and resources, and are quite intelligent and genre-savvy, so some of their suggestions might be things you hadn't considered. Despite their awareness, the 'readers' are not omniscient, and are only aware of things that you are, even if you didn't notice them at the time. Of course, what the 'readers' want is what's most entertaining, not necessarily the safest or most optimal course of action, though they can be counted on not to vote for options that are likely to give you a bad end to your 'quest'. You can always ignore their vote, but then why bother asking them?</v>
      </c>
      <c r="I182" s="5"/>
    </row>
    <row r="183" spans="1:9" ht="208.8" x14ac:dyDescent="0.25">
      <c r="A183" s="16"/>
      <c r="B183" s="17">
        <v>179</v>
      </c>
      <c r="C183" s="2" t="b">
        <f ca="1">IFERROR(__xludf.DUMMYFUNCTION("""COMPUTED_VALUE"""),FALSE)</f>
        <v>0</v>
      </c>
      <c r="D183" s="2">
        <f ca="1">IFERROR(__xludf.DUMMYFUNCTION("""COMPUTED_VALUE"""),400)</f>
        <v>400</v>
      </c>
      <c r="E183" s="2" t="str">
        <f ca="1">IFERROR(__xludf.DUMMYFUNCTION("""COMPUTED_VALUE"""),"Rider Skill XXX")</f>
        <v>Rider Skill XXX</v>
      </c>
      <c r="F183" s="2" t="str">
        <f ca="1">IFERROR(__xludf.DUMMYFUNCTION("""COMPUTED_VALUE"""),"Fate/Horse Order")</f>
        <v>Fate/Horse Order</v>
      </c>
      <c r="G183" s="2" t="str">
        <f ca="1">IFERROR(__xludf.DUMMYFUNCTION("""COMPUTED_VALUE"""),"Powers")</f>
        <v>Powers</v>
      </c>
      <c r="H183" s="2" t="str">
        <f ca="1">IFERROR(__xludf.DUMMYFUNCTION("""COMPUTED_VALUE"""),"You know, most rider class Servants come with a mount of some kind, like Medusa and her Pegasus. Other servants are just summoned on horseback, like the Lion King Artoria. Given the nature of the world, it makes perfect sense that these women would be com"&amp;"pletely rotten, and well trained to satisfy the lusts of their mounts. 
You now have the ability to summon the animals that you've slept with to your side, in a rather perverse mockery of a Noble Phantasm. The definition of 'animal' is rather murky, but "&amp;"generally it excludes any 'civilised' specieis. Regardless, the deeper you took them, and the more of their cum you had poured inside of you (or vise versa, I suppose), the stronger your Phantasmal copy of them will be - though an ordinary dog will never "&amp;"be able to fight on par with Servants, no matter how much of it's cum you guzzle. It simply doesn't have that potential. Of course, maybe you aren’t riding them into battle?")</f>
        <v>You know, most rider class Servants come with a mount of some kind, like Medusa and her Pegasus. Other servants are just summoned on horseback, like the Lion King Artoria. Given the nature of the world, it makes perfect sense that these women would be completely rotten, and well trained to satisfy the lusts of their mounts. 
You now have the ability to summon the animals that you've slept with to your side, in a rather perverse mockery of a Noble Phantasm. The definition of 'animal' is rather murky, but generally it excludes any 'civilised' specieis. Regardless, the deeper you took them, and the more of their cum you had poured inside of you (or vise versa, I suppose), the stronger your Phantasmal copy of them will be - though an ordinary dog will never be able to fight on par with Servants, no matter how much of it's cum you guzzle. It simply doesn't have that potential. Of course, maybe you aren’t riding them into battle?</v>
      </c>
      <c r="I183" s="5"/>
    </row>
    <row r="184" spans="1:9" ht="156.6" x14ac:dyDescent="0.25">
      <c r="A184" s="16"/>
      <c r="B184" s="17">
        <v>180</v>
      </c>
      <c r="C184" s="2" t="b">
        <f ca="1">IFERROR(__xludf.DUMMYFUNCTION("""COMPUTED_VALUE"""),FALSE)</f>
        <v>0</v>
      </c>
      <c r="D184" s="2">
        <f ca="1">IFERROR(__xludf.DUMMYFUNCTION("""COMPUTED_VALUE"""),400)</f>
        <v>400</v>
      </c>
      <c r="E184" s="2" t="str">
        <f ca="1">IFERROR(__xludf.DUMMYFUNCTION("""COMPUTED_VALUE"""),"Salacious Scoundrel")</f>
        <v>Salacious Scoundrel</v>
      </c>
      <c r="F184" s="2" t="str">
        <f ca="1">IFERROR(__xludf.DUMMYFUNCTION("""COMPUTED_VALUE"""),"World of Lewd Fantasy")</f>
        <v>World of Lewd Fantasy</v>
      </c>
      <c r="G184" s="2" t="str">
        <f ca="1">IFERROR(__xludf.DUMMYFUNCTION("""COMPUTED_VALUE"""),"Powers")</f>
        <v>Powers</v>
      </c>
      <c r="H184" s="2" t="str">
        <f ca="1">IFERROR(__xludf.DUMMYFUNCTION("""COMPUTED_VALUE"""),"Hey, there's a perfectly reasonable explanation for your state of undress. For one they say that fortune favors the bold and the terminally foolish, right? Not to mention the simple fact that you've always done your best work when completely unhindered by"&amp;" things like heavy steel plates, uncomfortable leathers, or ah, you know, cloth.
Look, the long and short of it is that the less you happen to be wearing the faster, more agile, and inexplicably luckier you become. When fully au naturel you would make yo"&amp;"ur covered up self look like a fumbling drunken buffoon with a bad limp, who also just broke a mirror with a black cat while standing underneath a ladder.")</f>
        <v>Hey, there's a perfectly reasonable explanation for your state of undress. For one they say that fortune favors the bold and the terminally foolish, right? Not to mention the simple fact that you've always done your best work when completely unhindered by things like heavy steel plates, uncomfortable leathers, or ah, you know, cloth.
Look, the long and short of it is that the less you happen to be wearing the faster, more agile, and inexplicably luckier you become. When fully au naturel you would make your covered up self look like a fumbling drunken buffoon with a bad limp, who also just broke a mirror with a black cat while standing underneath a ladder.</v>
      </c>
      <c r="I184" s="5"/>
    </row>
    <row r="185" spans="1:9" ht="191.4" x14ac:dyDescent="0.25">
      <c r="A185" s="16"/>
      <c r="B185" s="17">
        <v>181</v>
      </c>
      <c r="C185" s="2" t="b">
        <f ca="1">IFERROR(__xludf.DUMMYFUNCTION("""COMPUTED_VALUE"""),FALSE)</f>
        <v>0</v>
      </c>
      <c r="D185" s="2">
        <f ca="1">IFERROR(__xludf.DUMMYFUNCTION("""COMPUTED_VALUE"""),400)</f>
        <v>400</v>
      </c>
      <c r="E185" s="2" t="str">
        <f ca="1">IFERROR(__xludf.DUMMYFUNCTION("""COMPUTED_VALUE"""),"Semen Demon")</f>
        <v>Semen Demon</v>
      </c>
      <c r="F185" s="2" t="str">
        <f ca="1">IFERROR(__xludf.DUMMYFUNCTION("""COMPUTED_VALUE"""),"Majuu Purification Girl Utea")</f>
        <v>Majuu Purification Girl Utea</v>
      </c>
      <c r="G185" s="2" t="str">
        <f ca="1">IFERROR(__xludf.DUMMYFUNCTION("""COMPUTED_VALUE"""),"Powers")</f>
        <v>Powers</v>
      </c>
      <c r="H185" s="2" t="str">
        <f ca="1">IFERROR(__xludf.DUMMYFUNCTION("""COMPUTED_VALUE"""),"Thanks to their spiritual bodies injuu can come in every imaginable shape and size and their fluids are just another extension of their ability to transform according to their depraved desires. Like a venomous snake your body can produce magical drugs and"&amp;" chemicals with a range of effects that you can freely customize according to your needs. One moment you might be spraying an acid mist which melts clothing but leaves flesh untouched, the next you could be producing super-strong web fluid for laying trap"&amp;"s and tying up your victims like some kind of demonic spider person, and the next you’ll be pumping your prey full of powerful aphrodisiacs to send them into heat or make their breasts grow ripe and full of milk. You need only desire an effect and your bo"&amp;"dy will produce a drug or chemical that meets your needs, and everything you create is free of harmful side-effects unless you specifically desire otherwise so you need never worry about your victims having some sort of unexpected reaction to being drugge"&amp;"d up to their eyeballs.")</f>
        <v>Thanks to their spiritual bodies injuu can come in every imaginable shape and size and their fluids are just another extension of their ability to transform according to their depraved desires. Like a venomous snake your body can produce magical drugs and chemicals with a range of effects that you can freely customize according to your needs. One moment you might be spraying an acid mist which melts clothing but leaves flesh untouched, the next you could be producing super-strong web fluid for laying traps and tying up your victims like some kind of demonic spider person, and the next you’ll be pumping your prey full of powerful aphrodisiacs to send them into heat or make their breasts grow ripe and full of milk. You need only desire an effect and your body will produce a drug or chemical that meets your needs, and everything you create is free of harmful side-effects unless you specifically desire otherwise so you need never worry about your victims having some sort of unexpected reaction to being drugged up to their eyeballs.</v>
      </c>
      <c r="I185" s="5"/>
    </row>
    <row r="186" spans="1:9" ht="226.2" x14ac:dyDescent="0.25">
      <c r="A186" s="16"/>
      <c r="B186" s="17">
        <v>182</v>
      </c>
      <c r="C186" s="2" t="b">
        <f ca="1">IFERROR(__xludf.DUMMYFUNCTION("""COMPUTED_VALUE"""),FALSE)</f>
        <v>0</v>
      </c>
      <c r="D186" s="2">
        <f ca="1">IFERROR(__xludf.DUMMYFUNCTION("""COMPUTED_VALUE"""),400)</f>
        <v>400</v>
      </c>
      <c r="E186" s="2" t="str">
        <f ca="1">IFERROR(__xludf.DUMMYFUNCTION("""COMPUTED_VALUE"""),"Semi-Canon Omake")</f>
        <v>Semi-Canon Omake</v>
      </c>
      <c r="F186" s="2" t="str">
        <f ca="1">IFERROR(__xludf.DUMMYFUNCTION("""COMPUTED_VALUE"""),"Generic: QQ")</f>
        <v>Generic: QQ</v>
      </c>
      <c r="G186" s="2" t="str">
        <f ca="1">IFERROR(__xludf.DUMMYFUNCTION("""COMPUTED_VALUE"""),"Powers")</f>
        <v>Powers</v>
      </c>
      <c r="H186" s="2" t="str">
        <f ca="1">IFERROR(__xludf.DUMMYFUNCTION("""COMPUTED_VALUE"""),"One of the ways in which questers attempt to influence quests and stories is through omakes, in which they write short stories of what they want to happen, what they think might happen, and just what they think is funny.
And now that’s how you can influe"&amp;"nce the world. Writing an omake will ever so-slightly adjust the course of the world towards a goal of yours related to the omake. The quality and length of this affect the scale of this - a short, poorly-edited paragraph does little, but 12,000 words of "&amp;"eloquent and well-constructed pose does much more. (Still an effect that takes careful observation to notice, though.)
This is far more effective when used in support of your other actions. Write an omake about your seduction target furiously masturbatin"&amp;"g about you after a meeting, and you’ll make notably more progress.")</f>
        <v>One of the ways in which questers attempt to influence quests and stories is through omakes, in which they write short stories of what they want to happen, what they think might happen, and just what they think is funny.
And now that’s how you can influence the world. Writing an omake will ever so-slightly adjust the course of the world towards a goal of yours related to the omake. The quality and length of this affect the scale of this - a short, poorly-edited paragraph does little, but 12,000 words of eloquent and well-constructed pose does much more. (Still an effect that takes careful observation to notice, though.)
This is far more effective when used in support of your other actions. Write an omake about your seduction target furiously masturbating about you after a meeting, and you’ll make notably more progress.</v>
      </c>
      <c r="I186" s="5"/>
    </row>
    <row r="187" spans="1:9" ht="191.4" x14ac:dyDescent="0.25">
      <c r="A187" s="16"/>
      <c r="B187" s="17">
        <v>183</v>
      </c>
      <c r="C187" s="2" t="b">
        <f ca="1">IFERROR(__xludf.DUMMYFUNCTION("""COMPUTED_VALUE"""),FALSE)</f>
        <v>0</v>
      </c>
      <c r="D187" s="2">
        <f ca="1">IFERROR(__xludf.DUMMYFUNCTION("""COMPUTED_VALUE"""),400)</f>
        <v>400</v>
      </c>
      <c r="E187" s="2" t="str">
        <f ca="1">IFERROR(__xludf.DUMMYFUNCTION("""COMPUTED_VALUE"""),"Sexual Evolution")</f>
        <v>Sexual Evolution</v>
      </c>
      <c r="F187" s="2" t="str">
        <f ca="1">IFERROR(__xludf.DUMMYFUNCTION("""COMPUTED_VALUE"""),"The Otaku in 10,000 BC")</f>
        <v>The Otaku in 10,000 BC</v>
      </c>
      <c r="G187" s="2" t="str">
        <f ca="1">IFERROR(__xludf.DUMMYFUNCTION("""COMPUTED_VALUE"""),"Powers")</f>
        <v>Powers</v>
      </c>
      <c r="H187" s="2" t="str">
        <f ca="1">IFERROR(__xludf.DUMMYFUNCTION("""COMPUTED_VALUE"""),"When the Koben Tribe adopted Ota’s stolen technique of the revolutionary “missionary position”, they rapidly started to improve over their previous selves. They became smarter from having sex face-to-face, their minds growing from seeing each other’s expr"&amp;"essions during sex.
Or something like that.
The point is, sex makes you better now. When you have sex with someone face-to-face, you will become a little bit smarter, representing your movement away from your animal self. When you have sex with someone"&amp;" but aren’t facing one another, you will become a little bit stronger, representing your movement towards your animal self. Well, I say that, but you don’t actually become more or less animalistic, just stronger or smarter with each time you fuck.")</f>
        <v>When the Koben Tribe adopted Ota’s stolen technique of the revolutionary “missionary position”, they rapidly started to improve over their previous selves. They became smarter from having sex face-to-face, their minds growing from seeing each other’s expressions during sex.
Or something like that.
The point is, sex makes you better now. When you have sex with someone face-to-face, you will become a little bit smarter, representing your movement away from your animal self. When you have sex with someone but aren’t facing one another, you will become a little bit stronger, representing your movement towards your animal self. Well, I say that, but you don’t actually become more or less animalistic, just stronger or smarter with each time you fuck.</v>
      </c>
      <c r="I187" s="5"/>
    </row>
    <row r="188" spans="1:9" ht="191.4" x14ac:dyDescent="0.25">
      <c r="A188" s="16"/>
      <c r="B188" s="17">
        <v>184</v>
      </c>
      <c r="C188" s="2" t="b">
        <f ca="1">IFERROR(__xludf.DUMMYFUNCTION("""COMPUTED_VALUE"""),FALSE)</f>
        <v>0</v>
      </c>
      <c r="D188" s="2">
        <f ca="1">IFERROR(__xludf.DUMMYFUNCTION("""COMPUTED_VALUE"""),400)</f>
        <v>400</v>
      </c>
      <c r="E188" s="2" t="str">
        <f ca="1">IFERROR(__xludf.DUMMYFUNCTION("""COMPUTED_VALUE"""),"Silver Eyed Warrior")</f>
        <v>Silver Eyed Warrior</v>
      </c>
      <c r="F188" s="2" t="str">
        <f ca="1">IFERROR(__xludf.DUMMYFUNCTION("""COMPUTED_VALUE"""),"LeWdBY")</f>
        <v>LeWdBY</v>
      </c>
      <c r="G188" s="2" t="str">
        <f ca="1">IFERROR(__xludf.DUMMYFUNCTION("""COMPUTED_VALUE"""),"Powers")</f>
        <v>Powers</v>
      </c>
      <c r="H188" s="2" t="str">
        <f ca="1">IFERROR(__xludf.DUMMYFUNCTION("""COMPUTED_VALUE"""),"You were born with silver eyes and with training you can use them to destroy hostile magic and creatures made from it, like the Grimm. You can choose to pass the eyes down to your children. Cosmetically, your eyes can be toggled between your normal colour"&amp;" and silver, though they will turn silver when you use them.
Even above the normal benefits of silver eyes, you are mostly immune to corruption, with corruptive effects only providing you with their benefits. Any drawbacks will be ignored or twisted into"&amp;" debauched but ultimately harmless sexual deviancy. Trying to turn you into a Grimm monstrosity designed to kill everyone would at most make you into a super powered futa who was obsessed with fucking others into happy and loving slaves and you may well t"&amp;"urn the tables on the witch who did it to you.")</f>
        <v>You were born with silver eyes and with training you can use them to destroy hostile magic and creatures made from it, like the Grimm. You can choose to pass the eyes down to your children. Cosmetically, your eyes can be toggled between your normal colour and silver, though they will turn silver when you use them.
Even above the normal benefits of silver eyes, you are mostly immune to corruption, with corruptive effects only providing you with their benefits. Any drawbacks will be ignored or twisted into debauched but ultimately harmless sexual deviancy. Trying to turn you into a Grimm monstrosity designed to kill everyone would at most make you into a super powered futa who was obsessed with fucking others into happy and loving slaves and you may well turn the tables on the witch who did it to you.</v>
      </c>
      <c r="I188" s="5"/>
    </row>
    <row r="189" spans="1:9" ht="69.599999999999994" x14ac:dyDescent="0.25">
      <c r="A189" s="16"/>
      <c r="B189" s="17">
        <v>185</v>
      </c>
      <c r="C189" s="2" t="b">
        <f ca="1">IFERROR(__xludf.DUMMYFUNCTION("""COMPUTED_VALUE"""),FALSE)</f>
        <v>0</v>
      </c>
      <c r="D189" s="2">
        <f ca="1">IFERROR(__xludf.DUMMYFUNCTION("""COMPUTED_VALUE"""),400)</f>
        <v>400</v>
      </c>
      <c r="E189" s="2" t="str">
        <f ca="1">IFERROR(__xludf.DUMMYFUNCTION("""COMPUTED_VALUE"""),"Submission is a Free Action")</f>
        <v>Submission is a Free Action</v>
      </c>
      <c r="F189" s="2" t="str">
        <f ca="1">IFERROR(__xludf.DUMMYFUNCTION("""COMPUTED_VALUE"""),"Legend Of Krystal")</f>
        <v>Legend Of Krystal</v>
      </c>
      <c r="G189" s="2" t="str">
        <f ca="1">IFERROR(__xludf.DUMMYFUNCTION("""COMPUTED_VALUE"""),"Powers")</f>
        <v>Powers</v>
      </c>
      <c r="H189" s="2" t="str">
        <f ca="1">IFERROR(__xludf.DUMMYFUNCTION("""COMPUTED_VALUE"""),"As long as you take an overall submissive role in sex, nothing bad will ever come of it. Everything important will be put on hold. Go ahead, get on your knees and suck all of your worries away, nothing bad can happen to you because you decided worshiping "&amp;"some Sharpclaw cock was more important than anything else on your plate.")</f>
        <v>As long as you take an overall submissive role in sex, nothing bad will ever come of it. Everything important will be put on hold. Go ahead, get on your knees and suck all of your worries away, nothing bad can happen to you because you decided worshiping some Sharpclaw cock was more important than anything else on your plate.</v>
      </c>
      <c r="I189" s="5"/>
    </row>
    <row r="190" spans="1:9" ht="139.19999999999999" x14ac:dyDescent="0.25">
      <c r="A190" s="16"/>
      <c r="B190" s="17">
        <v>186</v>
      </c>
      <c r="C190" s="2" t="b">
        <f ca="1">IFERROR(__xludf.DUMMYFUNCTION("""COMPUTED_VALUE"""),FALSE)</f>
        <v>0</v>
      </c>
      <c r="D190" s="2">
        <f ca="1">IFERROR(__xludf.DUMMYFUNCTION("""COMPUTED_VALUE"""),400)</f>
        <v>400</v>
      </c>
      <c r="E190" s="2" t="str">
        <f ca="1">IFERROR(__xludf.DUMMYFUNCTION("""COMPUTED_VALUE"""),"The Long Con")</f>
        <v>The Long Con</v>
      </c>
      <c r="F190" s="2" t="str">
        <f ca="1">IFERROR(__xludf.DUMMYFUNCTION("""COMPUTED_VALUE"""),"Angel Academy ~ Hardcore Dorm Sex Life")</f>
        <v>Angel Academy ~ Hardcore Dorm Sex Life</v>
      </c>
      <c r="G190" s="2" t="str">
        <f ca="1">IFERROR(__xludf.DUMMYFUNCTION("""COMPUTED_VALUE"""),"Powers")</f>
        <v>Powers</v>
      </c>
      <c r="H190" s="2" t="str">
        <f ca="1">IFERROR(__xludf.DUMMYFUNCTION("""COMPUTED_VALUE"""),"Every now and then you might find a girl who’s especially stubborn about her “purity”, like a devout nun or disciplined swordswoman who claims to want nothing to do with your lecherous ways. That’s perfectly fine though, it just means you need to crack th"&amp;"at hard shell before you can reach the naughty slut hidden within. By spending at least a few hours a day in another person’s company you can gradually zero in on all of their weaknesses, from character flaws to gaps in their fighting styles to erogenous "&amp;"zones that even they don’t know they have. A person who is very trusting will take less time to read than someone who is wary of you but it’ll never take more than a few weeks to learn all of your target’s weaknesses.")</f>
        <v>Every now and then you might find a girl who’s especially stubborn about her “purity”, like a devout nun or disciplined swordswoman who claims to want nothing to do with your lecherous ways. That’s perfectly fine though, it just means you need to crack that hard shell before you can reach the naughty slut hidden within. By spending at least a few hours a day in another person’s company you can gradually zero in on all of their weaknesses, from character flaws to gaps in their fighting styles to erogenous zones that even they don’t know they have. A person who is very trusting will take less time to read than someone who is wary of you but it’ll never take more than a few weeks to learn all of your target’s weaknesses.</v>
      </c>
      <c r="I190" s="5"/>
    </row>
    <row r="191" spans="1:9" ht="139.19999999999999" x14ac:dyDescent="0.25">
      <c r="A191" s="16"/>
      <c r="B191" s="17">
        <v>187</v>
      </c>
      <c r="C191" s="2" t="b">
        <f ca="1">IFERROR(__xludf.DUMMYFUNCTION("""COMPUTED_VALUE"""),FALSE)</f>
        <v>0</v>
      </c>
      <c r="D191" s="2">
        <f ca="1">IFERROR(__xludf.DUMMYFUNCTION("""COMPUTED_VALUE"""),400)</f>
        <v>400</v>
      </c>
      <c r="E191" s="2" t="str">
        <f ca="1">IFERROR(__xludf.DUMMYFUNCTION("""COMPUTED_VALUE"""),"The Penis Mightier")</f>
        <v>The Penis Mightier</v>
      </c>
      <c r="F191" s="2" t="str">
        <f ca="1">IFERROR(__xludf.DUMMYFUNCTION("""COMPUTED_VALUE"""),"Generic: Monster Fucker/Horny Horror")</f>
        <v>Generic: Monster Fucker/Horny Horror</v>
      </c>
      <c r="G191" s="2" t="str">
        <f ca="1">IFERROR(__xludf.DUMMYFUNCTION("""COMPUTED_VALUE"""),"Powers")</f>
        <v>Powers</v>
      </c>
      <c r="H191" s="2" t="str">
        <f ca="1">IFERROR(__xludf.DUMMYFUNCTION("""COMPUTED_VALUE"""),"Some seek strength in steel, while others say flesh is stronger, but you’ve found your own truth. Only by joining the forces of steel and flesh can one hope to endure the most dangerous (and alluring) of things. Your flesh benefits from whatever armor or "&amp;"weaponry you have in your possession. So long as you have a sword in hand, the one between your legs is just as formidable. So long as you have at least a bikini of armor, your flesh can endure. The effects are more notable for primary and secondary sexua"&amp;"l characteristics, operating to a lesser degree for other body parts. If you’ve bonded with specific equipment over a long time, you can call on their resilience even if separated. ")</f>
        <v xml:space="preserve">Some seek strength in steel, while others say flesh is stronger, but you’ve found your own truth. Only by joining the forces of steel and flesh can one hope to endure the most dangerous (and alluring) of things. Your flesh benefits from whatever armor or weaponry you have in your possession. So long as you have a sword in hand, the one between your legs is just as formidable. So long as you have at least a bikini of armor, your flesh can endure. The effects are more notable for primary and secondary sexual characteristics, operating to a lesser degree for other body parts. If you’ve bonded with specific equipment over a long time, you can call on their resilience even if separated. </v>
      </c>
      <c r="I191" s="5"/>
    </row>
    <row r="192" spans="1:9" ht="104.4" x14ac:dyDescent="0.25">
      <c r="A192" s="16"/>
      <c r="B192" s="17">
        <v>188</v>
      </c>
      <c r="C192" s="2" t="b">
        <f ca="1">IFERROR(__xludf.DUMMYFUNCTION("""COMPUTED_VALUE"""),FALSE)</f>
        <v>0</v>
      </c>
      <c r="D192" s="2">
        <f ca="1">IFERROR(__xludf.DUMMYFUNCTION("""COMPUTED_VALUE"""),400)</f>
        <v>400</v>
      </c>
      <c r="E192" s="2" t="str">
        <f ca="1">IFERROR(__xludf.DUMMYFUNCTION("""COMPUTED_VALUE"""),"The Pleasure only Elves can Know")</f>
        <v>The Pleasure only Elves can Know</v>
      </c>
      <c r="F192" s="2" t="str">
        <f ca="1">IFERROR(__xludf.DUMMYFUNCTION("""COMPUTED_VALUE"""),"High Elf x High School")</f>
        <v>High Elf x High School</v>
      </c>
      <c r="G192" s="2" t="str">
        <f ca="1">IFERROR(__xludf.DUMMYFUNCTION("""COMPUTED_VALUE"""),"Powers")</f>
        <v>Powers</v>
      </c>
      <c r="H192" s="2" t="str">
        <f ca="1">IFERROR(__xludf.DUMMYFUNCTION("""COMPUTED_VALUE"""),"As mentioned beforehand, elves are extra susceptible to pleasure. But you... you take it to a whole new level. The more erotic you behave, the more sensitive to pleasure you become. Giving someone a blowjob in a particularly filthy place might make you ov"&amp;"erwhelmingly aroused, perhaps even to the point that you cum on the spot; displaying your body before a camera as you fuck your nest-master would set all of your nerves aflame with ecstasy. No drug has ever been as potent as your own lewd behavior is to y"&amp;"ou.")</f>
        <v>As mentioned beforehand, elves are extra susceptible to pleasure. But you... you take it to a whole new level. The more erotic you behave, the more sensitive to pleasure you become. Giving someone a blowjob in a particularly filthy place might make you overwhelmingly aroused, perhaps even to the point that you cum on the spot; displaying your body before a camera as you fuck your nest-master would set all of your nerves aflame with ecstasy. No drug has ever been as potent as your own lewd behavior is to you.</v>
      </c>
      <c r="I192" s="5"/>
    </row>
    <row r="193" spans="1:9" ht="87" x14ac:dyDescent="0.25">
      <c r="A193" s="16"/>
      <c r="B193" s="17">
        <v>189</v>
      </c>
      <c r="C193" s="2" t="b">
        <f ca="1">IFERROR(__xludf.DUMMYFUNCTION("""COMPUTED_VALUE"""),FALSE)</f>
        <v>0</v>
      </c>
      <c r="D193" s="2">
        <f ca="1">IFERROR(__xludf.DUMMYFUNCTION("""COMPUTED_VALUE"""),400)</f>
        <v>400</v>
      </c>
      <c r="E193" s="2" t="str">
        <f ca="1">IFERROR(__xludf.DUMMYFUNCTION("""COMPUTED_VALUE"""),"Thoughtful Schemer")</f>
        <v>Thoughtful Schemer</v>
      </c>
      <c r="F193" s="2" t="str">
        <f ca="1">IFERROR(__xludf.DUMMYFUNCTION("""COMPUTED_VALUE"""),"Monster Girl Dreams 1.3 - The Pre-Capitol Update")</f>
        <v>Monster Girl Dreams 1.3 - The Pre-Capitol Update</v>
      </c>
      <c r="G193" s="2" t="str">
        <f ca="1">IFERROR(__xludf.DUMMYFUNCTION("""COMPUTED_VALUE"""),"Powers")</f>
        <v>Powers</v>
      </c>
      <c r="H193" s="2" t="str">
        <f ca="1">IFERROR(__xludf.DUMMYFUNCTION("""COMPUTED_VALUE"""),"Your well laid plans unfurl and your foes are left helpless! You have a knack for imparting what could be called ‘status effects’ on the enemy, whether you are dosing them with aphrodisiac mist, or trapping their mind in lewd fantasies, or even leaving th"&amp;"em stunned with a bit of electrostimulation, you will find that your efforts go much more smoothly than expected. This perk also gives you a good bit of tactical knowledge. Knowing is half the battle!")</f>
        <v>Your well laid plans unfurl and your foes are left helpless! You have a knack for imparting what could be called ‘status effects’ on the enemy, whether you are dosing them with aphrodisiac mist, or trapping their mind in lewd fantasies, or even leaving them stunned with a bit of electrostimulation, you will find that your efforts go much more smoothly than expected. This perk also gives you a good bit of tactical knowledge. Knowing is half the battle!</v>
      </c>
      <c r="I193" s="5"/>
    </row>
    <row r="194" spans="1:9" ht="156.6" x14ac:dyDescent="0.25">
      <c r="A194" s="16"/>
      <c r="B194" s="17">
        <v>190</v>
      </c>
      <c r="C194" s="2" t="b">
        <f ca="1">IFERROR(__xludf.DUMMYFUNCTION("""COMPUTED_VALUE"""),FALSE)</f>
        <v>0</v>
      </c>
      <c r="D194" s="2">
        <f ca="1">IFERROR(__xludf.DUMMYFUNCTION("""COMPUTED_VALUE"""),400)</f>
        <v>400</v>
      </c>
      <c r="E194" s="2" t="str">
        <f ca="1">IFERROR(__xludf.DUMMYFUNCTION("""COMPUTED_VALUE"""),"To the Victor Go the Spoils")</f>
        <v>To the Victor Go the Spoils</v>
      </c>
      <c r="F194" s="2" t="str">
        <f ca="1">IFERROR(__xludf.DUMMYFUNCTION("""COMPUTED_VALUE"""),"Although Young People Recoil from Entering the Black Magic Industry...")</f>
        <v>Although Young People Recoil from Entering the Black Magic Industry...</v>
      </c>
      <c r="G194" s="2" t="str">
        <f ca="1">IFERROR(__xludf.DUMMYFUNCTION("""COMPUTED_VALUE"""),"Powers")</f>
        <v>Powers</v>
      </c>
      <c r="H194" s="2" t="str">
        <f ca="1">IFERROR(__xludf.DUMMYFUNCTION("""COMPUTED_VALUE"""),"When you and at least one opposing party make a bet on something — be it the results of a duel, the results of a coin toss, or any other form of competition — then the losing party is compelled to give their bid to the victor. It doesn’t matter if the bid"&amp;" is money, a lifetime of slavery, a title of nobility, or even an abstract concept such as the years off of your lifespan; the winner of the bid gets what was gambled. Although you can trick someone into agreeing, cheating on your part invalidates this Pe"&amp;"rk and the loser is not required to pay, although they may optionally decide to do so anyways. Conversely, cheating on the other party’s part automatically makes them lose the bet. Regardless of the specifics of the bet, this will always be considered to "&amp;"be legally permissible by any authorities, even if gambling is otherwise forbidden.")</f>
        <v>When you and at least one opposing party make a bet on something — be it the results of a duel, the results of a coin toss, or any other form of competition — then the losing party is compelled to give their bid to the victor. It doesn’t matter if the bid is money, a lifetime of slavery, a title of nobility, or even an abstract concept such as the years off of your lifespan; the winner of the bid gets what was gambled. Although you can trick someone into agreeing, cheating on your part invalidates this Perk and the loser is not required to pay, although they may optionally decide to do so anyways. Conversely, cheating on the other party’s part automatically makes them lose the bet. Regardless of the specifics of the bet, this will always be considered to be legally permissible by any authorities, even if gambling is otherwise forbidden.</v>
      </c>
      <c r="I194" s="5"/>
    </row>
    <row r="195" spans="1:9" ht="139.19999999999999" x14ac:dyDescent="0.25">
      <c r="A195" s="16"/>
      <c r="B195" s="17">
        <v>191</v>
      </c>
      <c r="C195" s="2" t="b">
        <f ca="1">IFERROR(__xludf.DUMMYFUNCTION("""COMPUTED_VALUE"""),FALSE)</f>
        <v>0</v>
      </c>
      <c r="D195" s="2">
        <f ca="1">IFERROR(__xludf.DUMMYFUNCTION("""COMPUTED_VALUE"""),400)</f>
        <v>400</v>
      </c>
      <c r="E195" s="2" t="str">
        <f ca="1">IFERROR(__xludf.DUMMYFUNCTION("""COMPUTED_VALUE"""),"Victoria's Secrets")</f>
        <v>Victoria's Secrets</v>
      </c>
      <c r="F195" s="2" t="str">
        <f ca="1">IFERROR(__xludf.DUMMYFUNCTION("""COMPUTED_VALUE"""),"Angel Academy ~ Hardcore Dorm Sex Life")</f>
        <v>Angel Academy ~ Hardcore Dorm Sex Life</v>
      </c>
      <c r="G195" s="2" t="str">
        <f ca="1">IFERROR(__xludf.DUMMYFUNCTION("""COMPUTED_VALUE"""),"Powers")</f>
        <v>Powers</v>
      </c>
      <c r="H195" s="2" t="str">
        <f ca="1">IFERROR(__xludf.DUMMYFUNCTION("""COMPUTED_VALUE"""),"How do you do it? You’d think the one guy working in a school full of girls would be monitored like a suspected terrorist in an international airport, and yet you’re running a veritable parade of honeys in and out of your room every day and nobody ever se"&amp;"ems to notice. Your sheer luck at keeping your secrets is off the charts, almost like you’ve got someone covering for you, cleaning up your messes and erasing all of the evidence you might otherwise have left behind. Nobody will ever blurt out your secret"&amp;"s by accident, walk in on you and your partner at a bad time, or leave incriminating evidence lying around for someone to find. In short, so long as you’re not flaunting things in public then it’s basically guaranteed that your unmentionable behavior will"&amp;" remain unmentioned.")</f>
        <v>How do you do it? You’d think the one guy working in a school full of girls would be monitored like a suspected terrorist in an international airport, and yet you’re running a veritable parade of honeys in and out of your room every day and nobody ever seems to notice. Your sheer luck at keeping your secrets is off the charts, almost like you’ve got someone covering for you, cleaning up your messes and erasing all of the evidence you might otherwise have left behind. Nobody will ever blurt out your secrets by accident, walk in on you and your partner at a bad time, or leave incriminating evidence lying around for someone to find. In short, so long as you’re not flaunting things in public then it’s basically guaranteed that your unmentionable behavior will remain unmentioned.</v>
      </c>
      <c r="I195" s="5"/>
    </row>
    <row r="196" spans="1:9" ht="87" x14ac:dyDescent="0.25">
      <c r="A196" s="16"/>
      <c r="B196" s="17">
        <v>192</v>
      </c>
      <c r="C196" s="2" t="b">
        <f ca="1">IFERROR(__xludf.DUMMYFUNCTION("""COMPUTED_VALUE"""),FALSE)</f>
        <v>0</v>
      </c>
      <c r="D196" s="2">
        <f ca="1">IFERROR(__xludf.DUMMYFUNCTION("""COMPUTED_VALUE"""),400)</f>
        <v>400</v>
      </c>
      <c r="E196" s="2" t="str">
        <f ca="1">IFERROR(__xludf.DUMMYFUNCTION("""COMPUTED_VALUE"""),"Vore")</f>
        <v>Vore</v>
      </c>
      <c r="F196" s="2" t="str">
        <f ca="1">IFERROR(__xludf.DUMMYFUNCTION("""COMPUTED_VALUE"""),"SUPER FATTY RPG")</f>
        <v>SUPER FATTY RPG</v>
      </c>
      <c r="G196" s="2" t="str">
        <f ca="1">IFERROR(__xludf.DUMMYFUNCTION("""COMPUTED_VALUE"""),"Powers")</f>
        <v>Powers</v>
      </c>
      <c r="H196" s="2" t="str">
        <f ca="1">IFERROR(__xludf.DUMMYFUNCTION("""COMPUTED_VALUE"""),"Like practically everything here has, you have the ability to swallow other beings whole and digest them thanks to your plasmic body. While you will likely have to beat someone in combat first to successfully consume them, with increases in power you will"&amp;" be able to simply pick up and swallow weaker beings. You can choose if those you swallow reform after digestion, something which takes about a day.")</f>
        <v>Like practically everything here has, you have the ability to swallow other beings whole and digest them thanks to your plasmic body. While you will likely have to beat someone in combat first to successfully consume them, with increases in power you will be able to simply pick up and swallow weaker beings. You can choose if those you swallow reform after digestion, something which takes about a day.</v>
      </c>
      <c r="I196" s="5"/>
    </row>
    <row r="197" spans="1:9" ht="174" x14ac:dyDescent="0.25">
      <c r="A197" s="16"/>
      <c r="B197" s="17">
        <v>193</v>
      </c>
      <c r="C197" s="2" t="b">
        <f ca="1">IFERROR(__xludf.DUMMYFUNCTION("""COMPUTED_VALUE"""),FALSE)</f>
        <v>0</v>
      </c>
      <c r="D197" s="2">
        <f ca="1">IFERROR(__xludf.DUMMYFUNCTION("""COMPUTED_VALUE"""),400)</f>
        <v>400</v>
      </c>
      <c r="E197" s="2" t="str">
        <f ca="1">IFERROR(__xludf.DUMMYFUNCTION("""COMPUTED_VALUE"""),"Wanton Warrior")</f>
        <v>Wanton Warrior</v>
      </c>
      <c r="F197" s="2" t="str">
        <f ca="1">IFERROR(__xludf.DUMMYFUNCTION("""COMPUTED_VALUE"""),"World of Lewd Fantasy")</f>
        <v>World of Lewd Fantasy</v>
      </c>
      <c r="G197" s="2" t="str">
        <f ca="1">IFERROR(__xludf.DUMMYFUNCTION("""COMPUTED_VALUE"""),"Powers")</f>
        <v>Powers</v>
      </c>
      <c r="H197" s="2" t="str">
        <f ca="1">IFERROR(__xludf.DUMMYFUNCTION("""COMPUTED_VALUE"""),"Some weaklings try to put as much between themselves and the world as possible, hiding within their coats of iron like a coward, but you can spurn such craven displays. With the the feeling of air and blood on your exposed flesh exciting you for battle, a"&amp;"nd the adrenaline pumping in your veins granting you power, your skin alone can turn blades better than any puny metal.
As one who is able to truly walk the barbarian's path, the more you bare your all the stronger and tougher you become. When completely"&amp;" stripped down to nothing, your strength, vigor, and durability would be like that of a fully grown mighty warlord of renown, compared to the frail and sickly child of your fully clothed self. Let the weak wear their trappings of fear, you display your gr"&amp;"eatness for all to see.")</f>
        <v>Some weaklings try to put as much between themselves and the world as possible, hiding within their coats of iron like a coward, but you can spurn such craven displays. With the the feeling of air and blood on your exposed flesh exciting you for battle, and the adrenaline pumping in your veins granting you power, your skin alone can turn blades better than any puny metal.
As one who is able to truly walk the barbarian's path, the more you bare your all the stronger and tougher you become. When completely stripped down to nothing, your strength, vigor, and durability would be like that of a fully grown mighty warlord of renown, compared to the frail and sickly child of your fully clothed self. Let the weak wear their trappings of fear, you display your greatness for all to see.</v>
      </c>
      <c r="I197" s="5"/>
    </row>
    <row r="198" spans="1:9" ht="52.2" x14ac:dyDescent="0.25">
      <c r="A198" s="16"/>
      <c r="B198" s="17">
        <v>194</v>
      </c>
      <c r="C198" s="2" t="b">
        <f ca="1">IFERROR(__xludf.DUMMYFUNCTION("""COMPUTED_VALUE"""),FALSE)</f>
        <v>0</v>
      </c>
      <c r="D198" s="2">
        <f ca="1">IFERROR(__xludf.DUMMYFUNCTION("""COMPUTED_VALUE"""),400)</f>
        <v>400</v>
      </c>
      <c r="E198" s="2" t="str">
        <f ca="1">IFERROR(__xludf.DUMMYFUNCTION("""COMPUTED_VALUE"""),"Winging Ceremony")</f>
        <v>Winging Ceremony</v>
      </c>
      <c r="F198" s="2" t="str">
        <f ca="1">IFERROR(__xludf.DUMMYFUNCTION("""COMPUTED_VALUE"""),"Sekirei")</f>
        <v>Sekirei</v>
      </c>
      <c r="G198" s="2" t="str">
        <f ca="1">IFERROR(__xludf.DUMMYFUNCTION("""COMPUTED_VALUE"""),"Powers")</f>
        <v>Powers</v>
      </c>
      <c r="H198" s="2" t="str">
        <f ca="1">IFERROR(__xludf.DUMMYFUNCTION("""COMPUTED_VALUE"""),"A kiss from you can bring out the latent abilities in others and supercharge their normal abilities for a short period of time depending on where you kiss them.
I.E: A kiss on the hand will have less effect than a kiss on the lips.")</f>
        <v>A kiss from you can bring out the latent abilities in others and supercharge their normal abilities for a short period of time depending on where you kiss them.
I.E: A kiss on the hand will have less effect than a kiss on the lips.</v>
      </c>
      <c r="I198" s="5"/>
    </row>
    <row r="199" spans="1:9" ht="226.2" x14ac:dyDescent="0.25">
      <c r="A199" s="16"/>
      <c r="B199" s="17">
        <v>195</v>
      </c>
      <c r="C199" s="2" t="b">
        <f ca="1">IFERROR(__xludf.DUMMYFUNCTION("""COMPUTED_VALUE"""),FALSE)</f>
        <v>0</v>
      </c>
      <c r="D199" s="2">
        <f ca="1">IFERROR(__xludf.DUMMYFUNCTION("""COMPUTED_VALUE"""),400)</f>
        <v>400</v>
      </c>
      <c r="E199" s="2" t="str">
        <f ca="1">IFERROR(__xludf.DUMMYFUNCTION("""COMPUTED_VALUE"""),"Withdrawing Consent")</f>
        <v>Withdrawing Consent</v>
      </c>
      <c r="F199" s="2" t="str">
        <f ca="1">IFERROR(__xludf.DUMMYFUNCTION("""COMPUTED_VALUE"""),"Collar 6")</f>
        <v>Collar 6</v>
      </c>
      <c r="G199" s="2" t="str">
        <f ca="1">IFERROR(__xludf.DUMMYFUNCTION("""COMPUTED_VALUE"""),"Powers")</f>
        <v>Powers</v>
      </c>
      <c r="H199" s="2" t="str">
        <f ca="1">IFERROR(__xludf.DUMMYFUNCTION("""COMPUTED_VALUE"""),"Submissive does not mean slave. A fundamental truth, but one oft forgotten. What is the difference? A submissive chooses, a slave just obeys.
Purchase this perk and you shall receive the power to withdraw your consent under any circumstances. This does n"&amp;"ot retroactively remove the fact that you consented to something in the past, but it can often negate the effects in the present. Remove your consent to the sale of a property and you'll get it back, although you will have to pay back whatever you receive"&amp;"d from the sale. Sold your soul to the Dark One for magic powers? You can get your soul back by invoking this, although you lose the magic and it is likely that the Dark One will be hella pissed.
Even better, this kicks in automatically if you ever get t"&amp;"alked into something that will rob you of your ability to decide, unless for whatever reason you decide to toggle off the effect beforehand. However, the perk is entirely ineffective against effects that don't actually require your consent.")</f>
        <v>Submissive does not mean slave. A fundamental truth, but one oft forgotten. What is the difference? A submissive chooses, a slave just obeys.
Purchase this perk and you shall receive the power to withdraw your consent under any circumstances. This does not retroactively remove the fact that you consented to something in the past, but it can often negate the effects in the present. Remove your consent to the sale of a property and you'll get it back, although you will have to pay back whatever you received from the sale. Sold your soul to the Dark One for magic powers? You can get your soul back by invoking this, although you lose the magic and it is likely that the Dark One will be hella pissed.
Even better, this kicks in automatically if you ever get talked into something that will rob you of your ability to decide, unless for whatever reason you decide to toggle off the effect beforehand. However, the perk is entirely ineffective against effects that don't actually require your consent.</v>
      </c>
      <c r="I199" s="5"/>
    </row>
    <row r="200" spans="1:9" ht="156.6" x14ac:dyDescent="0.25">
      <c r="A200" s="16"/>
      <c r="B200" s="17">
        <v>196</v>
      </c>
      <c r="C200" s="2" t="b">
        <f ca="1">IFERROR(__xludf.DUMMYFUNCTION("""COMPUTED_VALUE"""),FALSE)</f>
        <v>0</v>
      </c>
      <c r="D200" s="2">
        <f ca="1">IFERROR(__xludf.DUMMYFUNCTION("""COMPUTED_VALUE"""),400)</f>
        <v>400</v>
      </c>
      <c r="E200" s="2" t="str">
        <f ca="1">IFERROR(__xludf.DUMMYFUNCTION("""COMPUTED_VALUE"""),"Zeus' Thunder")</f>
        <v>Zeus' Thunder</v>
      </c>
      <c r="F200" s="2" t="str">
        <f ca="1">IFERROR(__xludf.DUMMYFUNCTION("""COMPUTED_VALUE"""),"Fate/Whore Order")</f>
        <v>Fate/Whore Order</v>
      </c>
      <c r="G200" s="2" t="str">
        <f ca="1">IFERROR(__xludf.DUMMYFUNCTION("""COMPUTED_VALUE"""),"Powers")</f>
        <v>Powers</v>
      </c>
      <c r="H200" s="2" t="str">
        <f ca="1">IFERROR(__xludf.DUMMYFUNCTION("""COMPUTED_VALUE"""),"To have gained such power as this you must be a child of the king of the gods! The power and fury of the mighty Zeus has come to rest in your body, granting you the power to hurl thunderbolts like javelins and empower your body with lightning. A useful tr"&amp;"ick for battle but also for the bedchambers, where you can use this electric charge to drive your lovers wild, setting their senses alight with pleasure or rocking their world with a cock charged with lightning. You can even empower your entire body at on"&amp;"ce and ‘hulk out’ into a powered-up state, though it becomes impossible to hide your presence or how much of a threat you are while so empowered. You will need to provide your own magical power in order to fully harness your authority over lightning, but "&amp;"as the power you have grows the effects you can create will grow with them.")</f>
        <v>To have gained such power as this you must be a child of the king of the gods! The power and fury of the mighty Zeus has come to rest in your body, granting you the power to hurl thunderbolts like javelins and empower your body with lightning. A useful trick for battle but also for the bedchambers, where you can use this electric charge to drive your lovers wild, setting their senses alight with pleasure or rocking their world with a cock charged with lightning. You can even empower your entire body at once and ‘hulk out’ into a powered-up state, though it becomes impossible to hide your presence or how much of a threat you are while so empowered. You will need to provide your own magical power in order to fully harness your authority over lightning, but as the power you have grows the effects you can create will grow with them.</v>
      </c>
      <c r="I200" s="5"/>
    </row>
    <row r="201" spans="1:9" ht="121.8" x14ac:dyDescent="0.25">
      <c r="A201" s="16"/>
      <c r="B201" s="17">
        <v>197</v>
      </c>
      <c r="C201" s="2" t="b">
        <f ca="1">IFERROR(__xludf.DUMMYFUNCTION("""COMPUTED_VALUE"""),FALSE)</f>
        <v>0</v>
      </c>
      <c r="D201" s="2">
        <f ca="1">IFERROR(__xludf.DUMMYFUNCTION("""COMPUTED_VALUE"""),500)</f>
        <v>500</v>
      </c>
      <c r="E201" s="2" t="str">
        <f ca="1">IFERROR(__xludf.DUMMYFUNCTION("""COMPUTED_VALUE"""),"A Harem of One")</f>
        <v>A Harem of One</v>
      </c>
      <c r="F201" s="2" t="str">
        <f ca="1">IFERROR(__xludf.DUMMYFUNCTION("""COMPUTED_VALUE"""),"Power Play")</f>
        <v>Power Play</v>
      </c>
      <c r="G201" s="2" t="str">
        <f ca="1">IFERROR(__xludf.DUMMYFUNCTION("""COMPUTED_VALUE"""),"Powers")</f>
        <v>Powers</v>
      </c>
      <c r="H201" s="2" t="str">
        <f ca="1">IFERROR(__xludf.DUMMYFUNCTION("""COMPUTED_VALUE"""),"You can create clones of yourself; all of the clones of yourself that you make are all occupied by your own mind, and you gain enough parallel processing ability to manage all your bodies as easily as you once managed only one. All of your clones as well "&amp;"as your original body are the “real” you; if one dies for any reason other than you dispelling it, then all of you dies unless you have a 1-up effect. Note that pleasure felt across multiple bodies is multiplied, not added.
Yes, your different clones can"&amp;" utilise different alt-forms.")</f>
        <v>You can create clones of yourself; all of the clones of yourself that you make are all occupied by your own mind, and you gain enough parallel processing ability to manage all your bodies as easily as you once managed only one. All of your clones as well as your original body are the “real” you; if one dies for any reason other than you dispelling it, then all of you dies unless you have a 1-up effect. Note that pleasure felt across multiple bodies is multiplied, not added.
Yes, your different clones can utilise different alt-forms.</v>
      </c>
      <c r="I201" s="5"/>
    </row>
    <row r="202" spans="1:9" ht="87" x14ac:dyDescent="0.25">
      <c r="A202" s="16"/>
      <c r="B202" s="17">
        <v>198</v>
      </c>
      <c r="C202" s="2" t="b">
        <f ca="1">IFERROR(__xludf.DUMMYFUNCTION("""COMPUTED_VALUE"""),FALSE)</f>
        <v>0</v>
      </c>
      <c r="D202" s="2">
        <f ca="1">IFERROR(__xludf.DUMMYFUNCTION("""COMPUTED_VALUE"""),500)</f>
        <v>500</v>
      </c>
      <c r="E202" s="2" t="str">
        <f ca="1">IFERROR(__xludf.DUMMYFUNCTION("""COMPUTED_VALUE"""),"Absorption")</f>
        <v>Absorption</v>
      </c>
      <c r="F202" s="2" t="str">
        <f ca="1">IFERROR(__xludf.DUMMYFUNCTION("""COMPUTED_VALUE"""),"Vore CYOA")</f>
        <v>Vore CYOA</v>
      </c>
      <c r="G202" s="2" t="str">
        <f ca="1">IFERROR(__xludf.DUMMYFUNCTION("""COMPUTED_VALUE"""),"Powers")</f>
        <v>Powers</v>
      </c>
      <c r="H202" s="2" t="str">
        <f ca="1">IFERROR(__xludf.DUMMYFUNCTION("""COMPUTED_VALUE"""),"You have the power to consume others by absorbing them through skin contact. In just seconds, they will be sucked into you and slowly digested, giving you their memory, physical capabilites, and powers over time. You can choose what to keep and what to di"&amp;"scard, as well as spit them back out if you want, though they will still have lost whatever you've already taken from them. With some practice, you might be able to take something specific before leaving them.")</f>
        <v>You have the power to consume others by absorbing them through skin contact. In just seconds, they will be sucked into you and slowly digested, giving you their memory, physical capabilites, and powers over time. You can choose what to keep and what to discard, as well as spit them back out if you want, though they will still have lost whatever you've already taken from them. With some practice, you might be able to take something specific before leaving them.</v>
      </c>
      <c r="I202" s="5"/>
    </row>
    <row r="203" spans="1:9" ht="226.2" x14ac:dyDescent="0.25">
      <c r="A203" s="16"/>
      <c r="B203" s="17">
        <v>199</v>
      </c>
      <c r="C203" s="2" t="b">
        <f ca="1">IFERROR(__xludf.DUMMYFUNCTION("""COMPUTED_VALUE"""),FALSE)</f>
        <v>0</v>
      </c>
      <c r="D203" s="2">
        <f ca="1">IFERROR(__xludf.DUMMYFUNCTION("""COMPUTED_VALUE"""),500)</f>
        <v>500</v>
      </c>
      <c r="E203" s="2" t="str">
        <f ca="1">IFERROR(__xludf.DUMMYFUNCTION("""COMPUTED_VALUE"""),"COCK RAMPAGE")</f>
        <v>COCK RAMPAGE</v>
      </c>
      <c r="F203" s="2" t="str">
        <f ca="1">IFERROR(__xludf.DUMMYFUNCTION("""COMPUTED_VALUE"""),"World of Lewd Fantasy")</f>
        <v>World of Lewd Fantasy</v>
      </c>
      <c r="G203" s="2" t="str">
        <f ca="1">IFERROR(__xludf.DUMMYFUNCTION("""COMPUTED_VALUE"""),"Powers")</f>
        <v>Powers</v>
      </c>
      <c r="H203" s="2" t="str">
        <f ca="1">IFERROR(__xludf.DUMMYFUNCTION("""COMPUTED_VALUE"""),"Some warriors are known to channel their anger to greatly enhance their strength, giving themselves an edge in battle. Or when in dire straits, even to fly into an uncontrollable rage that enables them to become a whirlwind of death while ignoring pain an"&amp;"d injury. You on the other hand prefer to call on a different emotion to empower yourself.
Your libido is what really fuels you, becoming physically stronger as your lust increases. And by drawing on an inner wellspring of eroticism you can choose to ent"&amp;"er a “rage” that makes you much stronger and tougher, while ever increasing your lust for as long as it continues which in turn makes you grow even mightier from your rising ardor. However you can't control yourself when in this state, and can not think o"&amp;"f anything besides fucking the closest target of your desires, or of destroying anything that stands in the way of doing so. Also once so inflamed you can not end this lustful fury until you've found sexual release, so think carefully about where you are "&amp;"and who is nearby before abandoning yourself to your passions.")</f>
        <v>Some warriors are known to channel their anger to greatly enhance their strength, giving themselves an edge in battle. Or when in dire straits, even to fly into an uncontrollable rage that enables them to become a whirlwind of death while ignoring pain and injury. You on the other hand prefer to call on a different emotion to empower yourself.
Your libido is what really fuels you, becoming physically stronger as your lust increases. And by drawing on an inner wellspring of eroticism you can choose to enter a “rage” that makes you much stronger and tougher, while ever increasing your lust for as long as it continues which in turn makes you grow even mightier from your rising ardor. However you can't control yourself when in this state, and can not think of anything besides fucking the closest target of your desires, or of destroying anything that stands in the way of doing so. Also once so inflamed you can not end this lustful fury until you've found sexual release, so think carefully about where you are and who is nearby before abandoning yourself to your passions.</v>
      </c>
      <c r="I203" s="5"/>
    </row>
    <row r="204" spans="1:9" ht="191.4" x14ac:dyDescent="0.25">
      <c r="A204" s="16"/>
      <c r="B204" s="17">
        <v>200</v>
      </c>
      <c r="C204" s="2" t="b">
        <f ca="1">IFERROR(__xludf.DUMMYFUNCTION("""COMPUTED_VALUE"""),FALSE)</f>
        <v>0</v>
      </c>
      <c r="D204" s="2">
        <f ca="1">IFERROR(__xludf.DUMMYFUNCTION("""COMPUTED_VALUE"""),500)</f>
        <v>500</v>
      </c>
      <c r="E204" s="2" t="str">
        <f ca="1">IFERROR(__xludf.DUMMYFUNCTION("""COMPUTED_VALUE"""),"Cuck Issei to Save the World")</f>
        <v>Cuck Issei to Save the World</v>
      </c>
      <c r="F204" s="2" t="str">
        <f ca="1">IFERROR(__xludf.DUMMYFUNCTION("""COMPUTED_VALUE"""),"High School DxD Blacked")</f>
        <v>High School DxD Blacked</v>
      </c>
      <c r="G204" s="2" t="str">
        <f ca="1">IFERROR(__xludf.DUMMYFUNCTION("""COMPUTED_VALUE"""),"Powers")</f>
        <v>Powers</v>
      </c>
      <c r="H204" s="2" t="str">
        <f ca="1">IFERROR(__xludf.DUMMYFUNCTION("""COMPUTED_VALUE"""),"If you could look into the future, you’d find that a surprising number of apocalyptic events that will be arriving far too soon can all be laid at the feet of one man accidentally proving the existence of parallel worlds. For the sake of the world, that m"&amp;"an's spirit must be broken before it can begin.
From here on out, the luckier a guy is, the more powerful he is, the thicker his plot armor, hell, even the richer he is - all of these things will make his luck with women worse and worse. As long as you’r"&amp;"e nearby every good thing that happens to him will be counterbalanced by something that causes the women in his life to drift away, slowly at first and then enthusiastically spitting on everything they once had as they betray him for someone more worthy. "&amp;"Not necessarily for you, you’ll have to put forth at least some mildling amount of effort to attract them yourself, but surely that won’t be hard for you.")</f>
        <v>If you could look into the future, you’d find that a surprising number of apocalyptic events that will be arriving far too soon can all be laid at the feet of one man accidentally proving the existence of parallel worlds. For the sake of the world, that man's spirit must be broken before it can begin.
From here on out, the luckier a guy is, the more powerful he is, the thicker his plot armor, hell, even the richer he is - all of these things will make his luck with women worse and worse. As long as you’re nearby every good thing that happens to him will be counterbalanced by something that causes the women in his life to drift away, slowly at first and then enthusiastically spitting on everything they once had as they betray him for someone more worthy. Not necessarily for you, you’ll have to put forth at least some mildling amount of effort to attract them yourself, but surely that won’t be hard for you.</v>
      </c>
      <c r="I204" s="5"/>
    </row>
    <row r="205" spans="1:9" ht="69.599999999999994" x14ac:dyDescent="0.25">
      <c r="A205" s="16"/>
      <c r="B205" s="17">
        <v>201</v>
      </c>
      <c r="C205" s="2" t="b">
        <f ca="1">IFERROR(__xludf.DUMMYFUNCTION("""COMPUTED_VALUE"""),FALSE)</f>
        <v>0</v>
      </c>
      <c r="D205" s="2">
        <f ca="1">IFERROR(__xludf.DUMMYFUNCTION("""COMPUTED_VALUE"""),500)</f>
        <v>500</v>
      </c>
      <c r="E205" s="2" t="str">
        <f ca="1">IFERROR(__xludf.DUMMYFUNCTION("""COMPUTED_VALUE"""),"Dimensional Travel")</f>
        <v>Dimensional Travel</v>
      </c>
      <c r="F205" s="2" t="str">
        <f ca="1">IFERROR(__xludf.DUMMYFUNCTION("""COMPUTED_VALUE"""),"Power Play")</f>
        <v>Power Play</v>
      </c>
      <c r="G205" s="2" t="str">
        <f ca="1">IFERROR(__xludf.DUMMYFUNCTION("""COMPUTED_VALUE"""),"Powers")</f>
        <v>Powers</v>
      </c>
      <c r="H205" s="2" t="str">
        <f ca="1">IFERROR(__xludf.DUMMYFUNCTION("""COMPUTED_VALUE"""),"You are capable of traveling between different realities. It takes a bit of focus, time, and energy to do so, but you don’t need to know precisely where you’re going; just a general understanding of what type of place it is you’d like to go is enough to h"&amp;"ome in on a reality pretty close to what you wanted.")</f>
        <v>You are capable of traveling between different realities. It takes a bit of focus, time, and energy to do so, but you don’t need to know precisely where you’re going; just a general understanding of what type of place it is you’d like to go is enough to home in on a reality pretty close to what you wanted.</v>
      </c>
      <c r="I205" s="5"/>
    </row>
    <row r="206" spans="1:9" ht="243.6" x14ac:dyDescent="0.25">
      <c r="A206" s="16"/>
      <c r="B206" s="17">
        <v>202</v>
      </c>
      <c r="C206" s="2" t="b">
        <f ca="1">IFERROR(__xludf.DUMMYFUNCTION("""COMPUTED_VALUE"""),FALSE)</f>
        <v>0</v>
      </c>
      <c r="D206" s="2">
        <f ca="1">IFERROR(__xludf.DUMMYFUNCTION("""COMPUTED_VALUE"""),500)</f>
        <v>500</v>
      </c>
      <c r="E206" s="2" t="str">
        <f ca="1">IFERROR(__xludf.DUMMYFUNCTION("""COMPUTED_VALUE"""),"Evil Sex King")</f>
        <v>Evil Sex King</v>
      </c>
      <c r="F206" s="2" t="str">
        <f ca="1">IFERROR(__xludf.DUMMYFUNCTION("""COMPUTED_VALUE"""),"Power Play")</f>
        <v>Power Play</v>
      </c>
      <c r="G206" s="2" t="str">
        <f ca="1">IFERROR(__xludf.DUMMYFUNCTION("""COMPUTED_VALUE"""),"Powers")</f>
        <v>Powers</v>
      </c>
      <c r="H206" s="2" t="str">
        <f ca="1">IFERROR(__xludf.DUMMYFUNCTION("""COMPUTED_VALUE"""),"You are immortal. Well, not exactly. Although you certainly don’t age anymore after you purchase this, you are also completely immune to injury, with every attempt to harm you simply resulting in a magical circle that completely blocks the attack. However"&amp;", your invincibility isn’t limitless; instead, every attack on you consumes just the tiniest bit of semen within you. When you run out of semen, the next lethal attack (or orgasm) will kill you. If you are a lesbian, then the use of this protection will i"&amp;"nstead consume your blood.
If you have some variant of increased sexual stamina the semen that you would produce/use due to it counts towards your stored amount. If you have 'unlimited' sexual stamina, then that perk counts as though it made you capable "&amp;"of creating and storing enough semen to fuck your way through hundreds of girls before needing a short rest and recharge. If female, then your body becomes capable of storing a hundred gallons of cum within it in an extradimensional space, giving you acce"&amp;"ss to the semen-based invincibility. Futanari may only benefit from one of these two options. If a lesbian, then you find that your body seems to somehow hold ten times as much blood in it.")</f>
        <v>You are immortal. Well, not exactly. Although you certainly don’t age anymore after you purchase this, you are also completely immune to injury, with every attempt to harm you simply resulting in a magical circle that completely blocks the attack. However, your invincibility isn’t limitless; instead, every attack on you consumes just the tiniest bit of semen within you. When you run out of semen, the next lethal attack (or orgasm) will kill you. If you are a lesbian, then the use of this protection will instead consume your blood.
If you have some variant of increased sexual stamina the semen that you would produce/use due to it counts towards your stored amount. If you have 'unlimited' sexual stamina, then that perk counts as though it made you capable of creating and storing enough semen to fuck your way through hundreds of girls before needing a short rest and recharge. If female, then your body becomes capable of storing a hundred gallons of cum within it in an extradimensional space, giving you access to the semen-based invincibility. Futanari may only benefit from one of these two options. If a lesbian, then you find that your body seems to somehow hold ten times as much blood in it.</v>
      </c>
      <c r="I206" s="5"/>
    </row>
    <row r="207" spans="1:9" ht="278.39999999999998" x14ac:dyDescent="0.25">
      <c r="A207" s="16"/>
      <c r="B207" s="17">
        <v>203</v>
      </c>
      <c r="C207" s="2" t="b">
        <f ca="1">IFERROR(__xludf.DUMMYFUNCTION("""COMPUTED_VALUE"""),FALSE)</f>
        <v>0</v>
      </c>
      <c r="D207" s="2">
        <f ca="1">IFERROR(__xludf.DUMMYFUNCTION("""COMPUTED_VALUE"""),500)</f>
        <v>500</v>
      </c>
      <c r="E207" s="2" t="str">
        <f ca="1">IFERROR(__xludf.DUMMYFUNCTION("""COMPUTED_VALUE"""),"Fusion HA!")</f>
        <v>Fusion HA!</v>
      </c>
      <c r="F207" s="2" t="str">
        <f ca="1">IFERROR(__xludf.DUMMYFUNCTION("""COMPUTED_VALUE"""),"TSF World")</f>
        <v>TSF World</v>
      </c>
      <c r="G207" s="2" t="str">
        <f ca="1">IFERROR(__xludf.DUMMYFUNCTION("""COMPUTED_VALUE"""),"Powers")</f>
        <v>Powers</v>
      </c>
      <c r="H207" s="2" t="str">
        <f ca="1">IFERROR(__xludf.DUMMYFUNCTION("""COMPUTED_VALUE"""),"On the scale of the two extremes of changing others and changing yourself, this would be slap bang in the middle. You change both others as well as yourself, for you have the ability to fuse bodies with another person. Your bodies will melt together like "&amp;"liquid, recombining to form a body that is a combination of traits of both of you. The exact manner in which you fuse is liable to affect the prominent traits that emerge from the fusion, so it is entirely possible for the fusion of the same two people to"&amp;" have two entirely different results. You can choose how much control the fusion target has of this new singular body. 
And why stop at fusing only two people? Why not three, four, or five? You can sequentially fuse with more and more people as long as y"&amp;"ou want, each time adding their various traits and strengths to yourself.
Finally, once you have combined with other people, you can obviously also uncombine if you wish. Here, you have the ability to control who keeps which characteristics once you sepa"&amp;"rate again, such as deciding who keeps their bust size or hair colour. If taken to the absolute extreme, you could effectively choose to swap bodies with the victim.")</f>
        <v>On the scale of the two extremes of changing others and changing yourself, this would be slap bang in the middle. You change both others as well as yourself, for you have the ability to fuse bodies with another person. Your bodies will melt together like liquid, recombining to form a body that is a combination of traits of both of you. The exact manner in which you fuse is liable to affect the prominent traits that emerge from the fusion, so it is entirely possible for the fusion of the same two people to have two entirely different results. You can choose how much control the fusion target has of this new singular body. 
And why stop at fusing only two people? Why not three, four, or five? You can sequentially fuse with more and more people as long as you want, each time adding their various traits and strengths to yourself.
Finally, once you have combined with other people, you can obviously also uncombine if you wish. Here, you have the ability to control who keeps which characteristics once you separate again, such as deciding who keeps their bust size or hair colour. If taken to the absolute extreme, you could effectively choose to swap bodies with the victim.</v>
      </c>
      <c r="I207" s="5"/>
    </row>
    <row r="208" spans="1:9" ht="208.8" x14ac:dyDescent="0.25">
      <c r="A208" s="16"/>
      <c r="B208" s="17">
        <v>204</v>
      </c>
      <c r="C208" s="2" t="b">
        <f ca="1">IFERROR(__xludf.DUMMYFUNCTION("""COMPUTED_VALUE"""),FALSE)</f>
        <v>0</v>
      </c>
      <c r="D208" s="2">
        <f ca="1">IFERROR(__xludf.DUMMYFUNCTION("""COMPUTED_VALUE"""),500)</f>
        <v>500</v>
      </c>
      <c r="E208" s="2" t="str">
        <f ca="1">IFERROR(__xludf.DUMMYFUNCTION("""COMPUTED_VALUE"""),"Good Girl")</f>
        <v>Good Girl</v>
      </c>
      <c r="F208" s="2" t="str">
        <f ca="1">IFERROR(__xludf.DUMMYFUNCTION("""COMPUTED_VALUE"""),"Tifa Lockhart - Agent of Avalanche")</f>
        <v>Tifa Lockhart - Agent of Avalanche</v>
      </c>
      <c r="G208" s="2" t="str">
        <f ca="1">IFERROR(__xludf.DUMMYFUNCTION("""COMPUTED_VALUE"""),"Powers")</f>
        <v>Powers</v>
      </c>
      <c r="H208" s="2" t="str">
        <f ca="1">IFERROR(__xludf.DUMMYFUNCTION("""COMPUTED_VALUE"""),"This whole rebellion thing isn’t really for you, is it? Deep down in your heart you know you’re really meant to serve, and that submissive nature makes you the perfect slave for any master who’s able to collar you. By wholeheartedly submitting yourself to"&amp;" another person you gain almost limitless growth potential in any skills or attributes you or your master might care to train, from skills as mundane as cooking and cleaning to unique magical talents like those of the Cetra. 
On your own this potential i"&amp;"s difficult to tap into, but your master’s guidance unlocks it and allows you to soak up their training and develop your talents many times faster than any ordinary person. Moreover, your submission strengthens your body and soul just as much as any amoun"&amp;"t of experience or physical training ever could: spend a few weeks reveling in submission to your master and when it’s over you could acquire several months of progress with your chosen talents in a sudden breakthrough or flash of intuition, never mind th"&amp;"at you spent the whole time on your knees.")</f>
        <v>This whole rebellion thing isn’t really for you, is it? Deep down in your heart you know you’re really meant to serve, and that submissive nature makes you the perfect slave for any master who’s able to collar you. By wholeheartedly submitting yourself to another person you gain almost limitless growth potential in any skills or attributes you or your master might care to train, from skills as mundane as cooking and cleaning to unique magical talents like those of the Cetra. 
On your own this potential is difficult to tap into, but your master’s guidance unlocks it and allows you to soak up their training and develop your talents many times faster than any ordinary person. Moreover, your submission strengthens your body and soul just as much as any amount of experience or physical training ever could: spend a few weeks reveling in submission to your master and when it’s over you could acquire several months of progress with your chosen talents in a sudden breakthrough or flash of intuition, never mind that you spent the whole time on your knees.</v>
      </c>
      <c r="I208" s="5"/>
    </row>
    <row r="209" spans="1:9" ht="87" x14ac:dyDescent="0.25">
      <c r="A209" s="16"/>
      <c r="B209" s="17">
        <v>205</v>
      </c>
      <c r="C209" s="2" t="b">
        <f ca="1">IFERROR(__xludf.DUMMYFUNCTION("""COMPUTED_VALUE"""),FALSE)</f>
        <v>0</v>
      </c>
      <c r="D209" s="2">
        <f ca="1">IFERROR(__xludf.DUMMYFUNCTION("""COMPUTED_VALUE"""),500)</f>
        <v>500</v>
      </c>
      <c r="E209" s="2" t="str">
        <f ca="1">IFERROR(__xludf.DUMMYFUNCTION("""COMPUTED_VALUE"""),"Multi-thrust")</f>
        <v>Multi-thrust</v>
      </c>
      <c r="F209" s="2" t="str">
        <f ca="1">IFERROR(__xludf.DUMMYFUNCTION("""COMPUTED_VALUE"""),"Monster Girl Dreams 1.3 - The Pre-Capitol Update")</f>
        <v>Monster Girl Dreams 1.3 - The Pre-Capitol Update</v>
      </c>
      <c r="G209" s="2" t="str">
        <f ca="1">IFERROR(__xludf.DUMMYFUNCTION("""COMPUTED_VALUE"""),"Powers")</f>
        <v>Powers</v>
      </c>
      <c r="H209" s="2" t="str">
        <f ca="1">IFERROR(__xludf.DUMMYFUNCTION("""COMPUTED_VALUE"""),"You are so shockingly fast that you can make a number of moves in the same amount of time that your opponent makes one. This works better the faster you are compared to your opponent, but even if you’re about the same speed you should be able to act twice"&amp;" for every time your counterpart acts once. As usual, this perk works both on the battlefield and in the bedroom.")</f>
        <v>You are so shockingly fast that you can make a number of moves in the same amount of time that your opponent makes one. This works better the faster you are compared to your opponent, but even if you’re about the same speed you should be able to act twice for every time your counterpart acts once. As usual, this perk works both on the battlefield and in the bedroom.</v>
      </c>
      <c r="I209" s="5"/>
    </row>
    <row r="210" spans="1:9" ht="104.4" x14ac:dyDescent="0.25">
      <c r="A210" s="16"/>
      <c r="B210" s="17">
        <v>206</v>
      </c>
      <c r="C210" s="2" t="b">
        <f ca="1">IFERROR(__xludf.DUMMYFUNCTION("""COMPUTED_VALUE"""),FALSE)</f>
        <v>0</v>
      </c>
      <c r="D210" s="2">
        <f ca="1">IFERROR(__xludf.DUMMYFUNCTION("""COMPUTED_VALUE"""),500)</f>
        <v>500</v>
      </c>
      <c r="E210" s="2" t="str">
        <f ca="1">IFERROR(__xludf.DUMMYFUNCTION("""COMPUTED_VALUE"""),"Sexual Empowerment")</f>
        <v>Sexual Empowerment</v>
      </c>
      <c r="F210" s="2" t="str">
        <f ca="1">IFERROR(__xludf.DUMMYFUNCTION("""COMPUTED_VALUE"""),"The Legend Of Queen Opala")</f>
        <v>The Legend Of Queen Opala</v>
      </c>
      <c r="G210" s="2" t="str">
        <f ca="1">IFERROR(__xludf.DUMMYFUNCTION("""COMPUTED_VALUE"""),"Powers")</f>
        <v>Powers</v>
      </c>
      <c r="H210" s="2" t="str">
        <f ca="1">IFERROR(__xludf.DUMMYFUNCTION("""COMPUTED_VALUE"""),"Your darkest arts are also your most powerful: with this ability you can gain magical power by absorbing the cum of others. Ordinary humans barely carry any power; you'd need to effectively bathe in cum to get any noticeable results. However, the stronger"&amp;" and more monstrous your mate the greater the power you gain from it. Weaker monsters like Lizardmen will help a bit already, and guzzling down a dragon's full load will leave you crackling with unearthly power. This power is most effective when used for "&amp;"necromancy, mind control and similar 'dark' ambitions.")</f>
        <v>Your darkest arts are also your most powerful: with this ability you can gain magical power by absorbing the cum of others. Ordinary humans barely carry any power; you'd need to effectively bathe in cum to get any noticeable results. However, the stronger and more monstrous your mate the greater the power you gain from it. Weaker monsters like Lizardmen will help a bit already, and guzzling down a dragon's full load will leave you crackling with unearthly power. This power is most effective when used for necromancy, mind control and similar 'dark' ambitions.</v>
      </c>
      <c r="I210" s="5"/>
    </row>
    <row r="211" spans="1:9" ht="156.6" x14ac:dyDescent="0.25">
      <c r="A211" s="16"/>
      <c r="B211" s="17">
        <v>207</v>
      </c>
      <c r="C211" s="2" t="b">
        <f ca="1">IFERROR(__xludf.DUMMYFUNCTION("""COMPUTED_VALUE"""),FALSE)</f>
        <v>0</v>
      </c>
      <c r="D211" s="2">
        <f ca="1">IFERROR(__xludf.DUMMYFUNCTION("""COMPUTED_VALUE"""),500)</f>
        <v>500</v>
      </c>
      <c r="E211" s="2" t="str">
        <f ca="1">IFERROR(__xludf.DUMMYFUNCTION("""COMPUTED_VALUE"""),"The Thrill of Battle")</f>
        <v>The Thrill of Battle</v>
      </c>
      <c r="F211" s="2" t="str">
        <f ca="1">IFERROR(__xludf.DUMMYFUNCTION("""COMPUTED_VALUE"""),"The Otaku in 2200 AD")</f>
        <v>The Otaku in 2200 AD</v>
      </c>
      <c r="G211" s="2" t="str">
        <f ca="1">IFERROR(__xludf.DUMMYFUNCTION("""COMPUTED_VALUE"""),"Powers")</f>
        <v>Powers</v>
      </c>
      <c r="H211" s="2" t="str">
        <f ca="1">IFERROR(__xludf.DUMMYFUNCTION("""COMPUTED_VALUE"""),"You are quite passionate when it comes to combat—as in, you wouldn’t need stimulation devices to keep you horny during a fight, because battle itself turns you on. Every dodge or parry titillates you, every blow you land gives you a thrill, and even the i"&amp;"njuries others inflict on you pulse in pleasure rather than pain (for the duration of combat, at least). What’s more, the hornier you are in a fight, the faster and stronger you become; indeed, for a few seconds after orgasming, you’ll be borderline invin"&amp;"cible, deflecting bullets off your face and crossing long distances in an instant.
Fortunately, although you can enjoy this pleasure all you like, you’ll never be at risk of growing addicted to it.")</f>
        <v>You are quite passionate when it comes to combat—as in, you wouldn’t need stimulation devices to keep you horny during a fight, because battle itself turns you on. Every dodge or parry titillates you, every blow you land gives you a thrill, and even the injuries others inflict on you pulse in pleasure rather than pain (for the duration of combat, at least). What’s more, the hornier you are in a fight, the faster and stronger you become; indeed, for a few seconds after orgasming, you’ll be borderline invincible, deflecting bullets off your face and crossing long distances in an instant.
Fortunately, although you can enjoy this pleasure all you like, you’ll never be at risk of growing addicted to it.</v>
      </c>
      <c r="I211" s="5"/>
    </row>
    <row r="212" spans="1:9" ht="69.599999999999994" x14ac:dyDescent="0.25">
      <c r="A212" s="16"/>
      <c r="B212" s="17">
        <v>208</v>
      </c>
      <c r="C212" s="2" t="b">
        <f ca="1">IFERROR(__xludf.DUMMYFUNCTION("""COMPUTED_VALUE"""),FALSE)</f>
        <v>0</v>
      </c>
      <c r="D212" s="2">
        <f ca="1">IFERROR(__xludf.DUMMYFUNCTION("""COMPUTED_VALUE"""),500)</f>
        <v>500</v>
      </c>
      <c r="E212" s="2" t="str">
        <f ca="1">IFERROR(__xludf.DUMMYFUNCTION("""COMPUTED_VALUE"""),"This Never Happened")</f>
        <v>This Never Happened</v>
      </c>
      <c r="F212" s="2" t="str">
        <f ca="1">IFERROR(__xludf.DUMMYFUNCTION("""COMPUTED_VALUE"""),"Generic: Virgin")</f>
        <v>Generic: Virgin</v>
      </c>
      <c r="G212" s="2" t="str">
        <f ca="1">IFERROR(__xludf.DUMMYFUNCTION("""COMPUTED_VALUE"""),"Powers")</f>
        <v>Powers</v>
      </c>
      <c r="H212" s="2" t="str">
        <f ca="1">IFERROR(__xludf.DUMMYFUNCTION("""COMPUTED_VALUE"""),"Whenever you do anything bad to someone, be that rape, battery, or murder, if you say “This Never Happened” when it’s over, it will be (for them) as if it never happened. They won’t remember it happening, and no evidence will show that it happened, but an"&amp;"ything you got out of it will still remain, be that memories or photographs.")</f>
        <v>Whenever you do anything bad to someone, be that rape, battery, or murder, if you say “This Never Happened” when it’s over, it will be (for them) as if it never happened. They won’t remember it happening, and no evidence will show that it happened, but anything you got out of it will still remain, be that memories or photographs.</v>
      </c>
      <c r="I212" s="5"/>
    </row>
    <row r="213" spans="1:9" ht="87" x14ac:dyDescent="0.25">
      <c r="A213" s="16"/>
      <c r="B213" s="17">
        <v>209</v>
      </c>
      <c r="C213" s="2" t="b">
        <f ca="1">IFERROR(__xludf.DUMMYFUNCTION("""COMPUTED_VALUE"""),FALSE)</f>
        <v>0</v>
      </c>
      <c r="D213" s="2">
        <f ca="1">IFERROR(__xludf.DUMMYFUNCTION("""COMPUTED_VALUE"""),600)</f>
        <v>600</v>
      </c>
      <c r="E213" s="2" t="str">
        <f ca="1">IFERROR(__xludf.DUMMYFUNCTION("""COMPUTED_VALUE"""),"*A Bunch Of Moans Between Tatsuki And Orihime*")</f>
        <v>*A Bunch Of Moans Between Tatsuki And Orihime*</v>
      </c>
      <c r="F213" s="2" t="str">
        <f ca="1">IFERROR(__xludf.DUMMYFUNCTION("""COMPUTED_VALUE"""),"Aki-Akane")</f>
        <v>Aki-Akane</v>
      </c>
      <c r="G213" s="2" t="str">
        <f ca="1">IFERROR(__xludf.DUMMYFUNCTION("""COMPUTED_VALUE"""),"Powers")</f>
        <v>Powers</v>
      </c>
      <c r="H213" s="2" t="str">
        <f ca="1">IFERROR(__xludf.DUMMYFUNCTION("""COMPUTED_VALUE"""),"So, I’m not sure what you did or why it works, but your lovemaking now screws with sensory techniques. Someone trying to observe you through anything but the five basic senses attached to their bodies now gets… Interference. Specifically, the sounds of yo"&amp;"u and your lover rutting furiously screaming all sorts of dirty words at each other. You don’t actually have to actually be in the act either, though if you are that only makes it worse for them.")</f>
        <v>So, I’m not sure what you did or why it works, but your lovemaking now screws with sensory techniques. Someone trying to observe you through anything but the five basic senses attached to their bodies now gets… Interference. Specifically, the sounds of you and your lover rutting furiously screaming all sorts of dirty words at each other. You don’t actually have to actually be in the act either, though if you are that only makes it worse for them.</v>
      </c>
      <c r="I213" s="5"/>
    </row>
    <row r="214" spans="1:9" ht="208.8" x14ac:dyDescent="0.25">
      <c r="A214" s="16"/>
      <c r="B214" s="17">
        <v>210</v>
      </c>
      <c r="C214" s="2" t="b">
        <f ca="1">IFERROR(__xludf.DUMMYFUNCTION("""COMPUTED_VALUE"""),FALSE)</f>
        <v>0</v>
      </c>
      <c r="D214" s="2">
        <f ca="1">IFERROR(__xludf.DUMMYFUNCTION("""COMPUTED_VALUE"""),600)</f>
        <v>600</v>
      </c>
      <c r="E214" s="2" t="str">
        <f ca="1">IFERROR(__xludf.DUMMYFUNCTION("""COMPUTED_VALUE"""),"A Light Rekindled")</f>
        <v>A Light Rekindled</v>
      </c>
      <c r="F214" s="2" t="str">
        <f ca="1">IFERROR(__xludf.DUMMYFUNCTION("""COMPUTED_VALUE"""),"A Change of Tactics V2.2")</f>
        <v>A Change of Tactics V2.2</v>
      </c>
      <c r="G214" s="2" t="str">
        <f ca="1">IFERROR(__xludf.DUMMYFUNCTION("""COMPUTED_VALUE"""),"Powers")</f>
        <v>Powers</v>
      </c>
      <c r="H214" s="2" t="str">
        <f ca="1">IFERROR(__xludf.DUMMYFUNCTION("""COMPUTED_VALUE"""),"The Fel Dragon is far from the only of his kind to sire divine children. You are a child born of Naga herself and have inherited her power as a divine dragon. Where others pray to higher beings you need only have faith in yourself to wield divine magic; s"&amp;"earing rays of holy light, spells of protection or healing, and sacred blessings granting boons to worthy followers are all within your power, and much more becomes possible once you fully master your abilities. Your powers are innately divine and burn th"&amp;"rough most forms of dark magic with devastating effect, and you can add this holy attribute to any other powers you might possess. Your power also grants you an aura of divine authority which inspires devotion and submission in others. By performing grand"&amp;" deeds or granting aid to those who need it you can easily earn the faith and fealty of mortal worshippers, amassing a cult of followers who hang on your every word as though it were a divine decree. While mortals with strong wills are less susceptible to"&amp;" your influence, should you earn their fealty you’ll find them no less devout in their undying loyalty to you.")</f>
        <v>The Fel Dragon is far from the only of his kind to sire divine children. You are a child born of Naga herself and have inherited her power as a divine dragon. Where others pray to higher beings you need only have faith in yourself to wield divine magic; searing rays of holy light, spells of protection or healing, and sacred blessings granting boons to worthy followers are all within your power, and much more becomes possible once you fully master your abilities. Your powers are innately divine and burn through most forms of dark magic with devastating effect, and you can add this holy attribute to any other powers you might possess. Your power also grants you an aura of divine authority which inspires devotion and submission in others. By performing grand deeds or granting aid to those who need it you can easily earn the faith and fealty of mortal worshippers, amassing a cult of followers who hang on your every word as though it were a divine decree. While mortals with strong wills are less susceptible to your influence, should you earn their fealty you’ll find them no less devout in their undying loyalty to you.</v>
      </c>
      <c r="I214" s="5"/>
    </row>
    <row r="215" spans="1:9" ht="208.8" x14ac:dyDescent="0.25">
      <c r="A215" s="16"/>
      <c r="B215" s="17">
        <v>211</v>
      </c>
      <c r="C215" s="2" t="b">
        <f ca="1">IFERROR(__xludf.DUMMYFUNCTION("""COMPUTED_VALUE"""),FALSE)</f>
        <v>0</v>
      </c>
      <c r="D215" s="2">
        <f ca="1">IFERROR(__xludf.DUMMYFUNCTION("""COMPUTED_VALUE"""),600)</f>
        <v>600</v>
      </c>
      <c r="E215" s="2" t="str">
        <f ca="1">IFERROR(__xludf.DUMMYFUNCTION("""COMPUTED_VALUE"""),"A Plan for Everything")</f>
        <v>A Plan for Everything</v>
      </c>
      <c r="F215" s="2" t="str">
        <f ca="1">IFERROR(__xludf.DUMMYFUNCTION("""COMPUTED_VALUE"""),"World of Lewd Superheroes")</f>
        <v>World of Lewd Superheroes</v>
      </c>
      <c r="G215" s="2" t="str">
        <f ca="1">IFERROR(__xludf.DUMMYFUNCTION("""COMPUTED_VALUE"""),"Powers")</f>
        <v>Powers</v>
      </c>
      <c r="H215" s="2" t="str">
        <f ca="1">IFERROR(__xludf.DUMMYFUNCTION("""COMPUTED_VALUE"""),"Even when outgunned and outnumbered the best heroes can always find a way to pull through with good planning and intelligence, but that’s a step below what you have. Call it prep time or paranoia or whatever you want, but it’s incredibly hard to catch you"&amp;" off-guard when you seem to have a plan for every occasion. No matter where you are or what condition you’re in you always have preparation on your side, as if you’d spent several hours arming yourself and shaping the battlefield beforehand if it’s even s"&amp;"lightly possible for you to have done so, though these plans will always have some kind of erotic bent if it’s possible for them to have one. Attacked by villains with aphrodisiac musk? You packed a spare gas mask in your utility belt. Ambushed by assassi"&amp;"ns in your own home? The whole place is wired with lewd traps pulled right out of a sex dungeon. Sure, you never actually boobytrapped your mansion or packed that mask, but the moment you need them there they are. However you can still be caught off-guard"&amp;" by things you genuinely couldn’t have seen coming, like being betrayed by a love interest.")</f>
        <v>Even when outgunned and outnumbered the best heroes can always find a way to pull through with good planning and intelligence, but that’s a step below what you have. Call it prep time or paranoia or whatever you want, but it’s incredibly hard to catch you off-guard when you seem to have a plan for every occasion. No matter where you are or what condition you’re in you always have preparation on your side, as if you’d spent several hours arming yourself and shaping the battlefield beforehand if it’s even slightly possible for you to have done so, though these plans will always have some kind of erotic bent if it’s possible for them to have one. Attacked by villains with aphrodisiac musk? You packed a spare gas mask in your utility belt. Ambushed by assassins in your own home? The whole place is wired with lewd traps pulled right out of a sex dungeon. Sure, you never actually boobytrapped your mansion or packed that mask, but the moment you need them there they are. However you can still be caught off-guard by things you genuinely couldn’t have seen coming, like being betrayed by a love interest.</v>
      </c>
      <c r="I215" s="5"/>
    </row>
    <row r="216" spans="1:9" ht="174" x14ac:dyDescent="0.25">
      <c r="A216" s="16"/>
      <c r="B216" s="17">
        <v>212</v>
      </c>
      <c r="C216" s="2" t="b">
        <f ca="1">IFERROR(__xludf.DUMMYFUNCTION("""COMPUTED_VALUE"""),FALSE)</f>
        <v>0</v>
      </c>
      <c r="D216" s="2">
        <f ca="1">IFERROR(__xludf.DUMMYFUNCTION("""COMPUTED_VALUE"""),600)</f>
        <v>600</v>
      </c>
      <c r="E216" s="2" t="str">
        <f ca="1">IFERROR(__xludf.DUMMYFUNCTION("""COMPUTED_VALUE"""),"Catching up to Giants")</f>
        <v>Catching up to Giants</v>
      </c>
      <c r="F216" s="2" t="str">
        <f ca="1">IFERROR(__xludf.DUMMYFUNCTION("""COMPUTED_VALUE"""),"Dragon Ball: Troop of Beasts")</f>
        <v>Dragon Ball: Troop of Beasts</v>
      </c>
      <c r="G216" s="2" t="str">
        <f ca="1">IFERROR(__xludf.DUMMYFUNCTION("""COMPUTED_VALUE"""),"Powers")</f>
        <v>Powers</v>
      </c>
      <c r="H216" s="2" t="str">
        <f ca="1">IFERROR(__xludf.DUMMYFUNCTION("""COMPUTED_VALUE"""),"It would be pretty sad if your friends were to continue growing stronger while you were stuck at your early peak and could only watch from the sidelines, wouldn't it? This perk will ensure that as long as you work hard, your skills and power will develop "&amp;"to match those you consider your comrades. Even if you were a complete novice and they were a master of martial arts, you would quickly grow into their equals as long as you work hard for it. Even better, this works both ways. Should you be above your com"&amp;"rades, you can effortlessly develop ways for them to reach your level through arduous training methods of your creation. And rather oddly, their growth seems to be even quicker if your methods are lewd in nature, to the point that intense sex with you can"&amp;" easily become a way to strengthen a young novice. You won’t ever have to worry about having to shoulder the weight of the world alone.")</f>
        <v>It would be pretty sad if your friends were to continue growing stronger while you were stuck at your early peak and could only watch from the sidelines, wouldn't it? This perk will ensure that as long as you work hard, your skills and power will develop to match those you consider your comrades. Even if you were a complete novice and they were a master of martial arts, you would quickly grow into their equals as long as you work hard for it. Even better, this works both ways. Should you be above your comrades, you can effortlessly develop ways for them to reach your level through arduous training methods of your creation. And rather oddly, their growth seems to be even quicker if your methods are lewd in nature, to the point that intense sex with you can easily become a way to strengthen a young novice. You won’t ever have to worry about having to shoulder the weight of the world alone.</v>
      </c>
      <c r="I216" s="5"/>
    </row>
    <row r="217" spans="1:9" ht="261" x14ac:dyDescent="0.25">
      <c r="A217" s="16"/>
      <c r="B217" s="17">
        <v>213</v>
      </c>
      <c r="C217" s="2" t="b">
        <f ca="1">IFERROR(__xludf.DUMMYFUNCTION("""COMPUTED_VALUE"""),FALSE)</f>
        <v>0</v>
      </c>
      <c r="D217" s="2">
        <f ca="1">IFERROR(__xludf.DUMMYFUNCTION("""COMPUTED_VALUE"""),600)</f>
        <v>600</v>
      </c>
      <c r="E217" s="2" t="str">
        <f ca="1">IFERROR(__xludf.DUMMYFUNCTION("""COMPUTED_VALUE"""),"Chosen Heroine")</f>
        <v>Chosen Heroine</v>
      </c>
      <c r="F217" s="2" t="str">
        <f ca="1">IFERROR(__xludf.DUMMYFUNCTION("""COMPUTED_VALUE"""),"Hypno App Fantasia")</f>
        <v>Hypno App Fantasia</v>
      </c>
      <c r="G217" s="2" t="str">
        <f ca="1">IFERROR(__xludf.DUMMYFUNCTION("""COMPUTED_VALUE"""),"Powers")</f>
        <v>Powers</v>
      </c>
      <c r="H217" s="2" t="str">
        <f ca="1">IFERROR(__xludf.DUMMYFUNCTION("""COMPUTED_VALUE"""),"A chosen one, altered before your birth by one of the Goddesses themselves. Your potential is incredible, your strength and power growing faster than anyone elses without plateau. Able to take on a whole party of high level heroes, as long as you don’t ge"&amp;"t surprised by them and actually fight them, but even when they’re just beating on you it can take several minutes of assault before they start to wear you down. You find yourself endowed with enormous good fortune when it comes to encounter treasure, aid"&amp;" and allies in any quest you undertake, enough to quickly surround yourself with a worthy hero’s party. 
But most importantly of all, you’re able to give yourself a bad end whenever you want! The greater as heroine you’ve become, the further into your qu"&amp;"est you ventured, the worse and more deeply satisfying this bad end will become. It won’t ever kill you, it’ll always leave you alive to take a sickening joy in the misery and chaos that you are able to purposefully spread to achieve your own depraved ple"&amp;"asure. And if you really want, you can try to break out of that Bad End, become a hero again and do it all over again. It seems like people naturally want to see you as a chosen hero, no matter what you did in the past, so just do a few good things and yo"&amp;"u’ll find those willing to believe.")</f>
        <v>A chosen one, altered before your birth by one of the Goddesses themselves. Your potential is incredible, your strength and power growing faster than anyone elses without plateau. Able to take on a whole party of high level heroes, as long as you don’t get surprised by them and actually fight them, but even when they’re just beating on you it can take several minutes of assault before they start to wear you down. You find yourself endowed with enormous good fortune when it comes to encounter treasure, aid and allies in any quest you undertake, enough to quickly surround yourself with a worthy hero’s party. 
But most importantly of all, you’re able to give yourself a bad end whenever you want! The greater as heroine you’ve become, the further into your quest you ventured, the worse and more deeply satisfying this bad end will become. It won’t ever kill you, it’ll always leave you alive to take a sickening joy in the misery and chaos that you are able to purposefully spread to achieve your own depraved pleasure. And if you really want, you can try to break out of that Bad End, become a hero again and do it all over again. It seems like people naturally want to see you as a chosen hero, no matter what you did in the past, so just do a few good things and you’ll find those willing to believe.</v>
      </c>
      <c r="I217" s="5"/>
    </row>
    <row r="218" spans="1:9" ht="243.6" x14ac:dyDescent="0.25">
      <c r="A218" s="16"/>
      <c r="B218" s="17">
        <v>214</v>
      </c>
      <c r="C218" s="2" t="b">
        <f ca="1">IFERROR(__xludf.DUMMYFUNCTION("""COMPUTED_VALUE"""),FALSE)</f>
        <v>0</v>
      </c>
      <c r="D218" s="2">
        <f ca="1">IFERROR(__xludf.DUMMYFUNCTION("""COMPUTED_VALUE"""),600)</f>
        <v>600</v>
      </c>
      <c r="E218" s="2" t="str">
        <f ca="1">IFERROR(__xludf.DUMMYFUNCTION("""COMPUTED_VALUE"""),"Cloning Machine")</f>
        <v>Cloning Machine</v>
      </c>
      <c r="F218" s="2" t="str">
        <f ca="1">IFERROR(__xludf.DUMMYFUNCTION("""COMPUTED_VALUE"""),"The Otaku in 2200 AD")</f>
        <v>The Otaku in 2200 AD</v>
      </c>
      <c r="G218" s="2" t="str">
        <f ca="1">IFERROR(__xludf.DUMMYFUNCTION("""COMPUTED_VALUE"""),"Powers")</f>
        <v>Powers</v>
      </c>
      <c r="H218" s="2" t="str">
        <f ca="1">IFERROR(__xludf.DUMMYFUNCTION("""COMPUTED_VALUE"""),"This device is capable of creating perfect clones of you (unless you would prefer imperfect clones for some reason), and imbues them with as much of your knowledge and personality as you are willing to instill into them. What’s more, the machine will use "&amp;"genetic manipulation to synchronize your clone’s erogenous zones with yours (and with each other), meaning that when one of you experiences pleasure, all of you do. For each clone you possess that’s being pleasured at the same time, the total pleasure of "&amp;"all of your bodies is improved by 2 times. So, if you had three bodies fucking at once, that’s 6 times the ecstasy.
Being you, your clones are naturally driven to help you accomplish your goals, while having an inherent understanding that they are only "&amp;"duplicates and their purpose is to assist you. They will never seek to replace you or take over your life.
You have instructions to readjust your machine to create similar clones of other people once you have a biological sample of them. These clones wo"&amp;"n’t be under your control, however.")</f>
        <v>This device is capable of creating perfect clones of you (unless you would prefer imperfect clones for some reason), and imbues them with as much of your knowledge and personality as you are willing to instill into them. What’s more, the machine will use genetic manipulation to synchronize your clone’s erogenous zones with yours (and with each other), meaning that when one of you experiences pleasure, all of you do. For each clone you possess that’s being pleasured at the same time, the total pleasure of all of your bodies is improved by 2 times. So, if you had three bodies fucking at once, that’s 6 times the ecstasy.
Being you, your clones are naturally driven to help you accomplish your goals, while having an inherent understanding that they are only duplicates and their purpose is to assist you. They will never seek to replace you or take over your life.
You have instructions to readjust your machine to create similar clones of other people once you have a biological sample of them. These clones won’t be under your control, however.</v>
      </c>
      <c r="I218" s="5"/>
    </row>
    <row r="219" spans="1:9" ht="87" x14ac:dyDescent="0.25">
      <c r="A219" s="16"/>
      <c r="B219" s="17">
        <v>215</v>
      </c>
      <c r="C219" s="2" t="b">
        <f ca="1">IFERROR(__xludf.DUMMYFUNCTION("""COMPUTED_VALUE"""),FALSE)</f>
        <v>0</v>
      </c>
      <c r="D219" s="2">
        <f ca="1">IFERROR(__xludf.DUMMYFUNCTION("""COMPUTED_VALUE"""),600)</f>
        <v>600</v>
      </c>
      <c r="E219" s="2" t="str">
        <f ca="1">IFERROR(__xludf.DUMMYFUNCTION("""COMPUTED_VALUE"""),"Clothes Make The Ko-Gal")</f>
        <v>Clothes Make The Ko-Gal</v>
      </c>
      <c r="F219" s="2" t="str">
        <f ca="1">IFERROR(__xludf.DUMMYFUNCTION("""COMPUTED_VALUE"""),"Meltys Quest")</f>
        <v>Meltys Quest</v>
      </c>
      <c r="G219" s="2" t="str">
        <f ca="1">IFERROR(__xludf.DUMMYFUNCTION("""COMPUTED_VALUE"""),"Powers")</f>
        <v>Powers</v>
      </c>
      <c r="H219" s="2" t="str">
        <f ca="1">IFERROR(__xludf.DUMMYFUNCTION("""COMPUTED_VALUE"""),"You have the incredible ability to draw power from your clothing. Just putting on an outfit will grant you benefits based on its nature and quality, but if you truly get used to wearing it you’ll find yourself permanently gaining various abilities, even w"&amp;"hen not wearing them! Of course, the process is much faster if you do something strenuous, be it combat or wild sex. You should also be aware that particularly sexy outfits tend to give equally sexy benefits.")</f>
        <v>You have the incredible ability to draw power from your clothing. Just putting on an outfit will grant you benefits based on its nature and quality, but if you truly get used to wearing it you’ll find yourself permanently gaining various abilities, even when not wearing them! Of course, the process is much faster if you do something strenuous, be it combat or wild sex. You should also be aware that particularly sexy outfits tend to give equally sexy benefits.</v>
      </c>
      <c r="I219" s="5"/>
    </row>
    <row r="220" spans="1:9" ht="139.19999999999999" x14ac:dyDescent="0.25">
      <c r="A220" s="16"/>
      <c r="B220" s="17">
        <v>216</v>
      </c>
      <c r="C220" s="2" t="b">
        <f ca="1">IFERROR(__xludf.DUMMYFUNCTION("""COMPUTED_VALUE"""),FALSE)</f>
        <v>0</v>
      </c>
      <c r="D220" s="2">
        <f ca="1">IFERROR(__xludf.DUMMYFUNCTION("""COMPUTED_VALUE"""),600)</f>
        <v>600</v>
      </c>
      <c r="E220" s="2" t="str">
        <f ca="1">IFERROR(__xludf.DUMMYFUNCTION("""COMPUTED_VALUE"""),"Consume")</f>
        <v>Consume</v>
      </c>
      <c r="F220" s="2" t="str">
        <f ca="1">IFERROR(__xludf.DUMMYFUNCTION("""COMPUTED_VALUE"""),"Dragonaut: The Resonance")</f>
        <v>Dragonaut: The Resonance</v>
      </c>
      <c r="G220" s="2" t="str">
        <f ca="1">IFERROR(__xludf.DUMMYFUNCTION("""COMPUTED_VALUE"""),"Powers")</f>
        <v>Powers</v>
      </c>
      <c r="H220" s="2" t="str">
        <f ca="1">IFERROR(__xludf.DUMMYFUNCTION("""COMPUTED_VALUE"""),"... Alright, time to level with you. You see, Thanatos is not just a giant asteroid threatening all life on Earth. She (yes, Thanatos is female) is a giant Dragon, and the ultimate progenitor of all Dragons on Earth, using that asteroid as a glorified spa"&amp;"ce bus. And that asteroid’s innards are the compounded minds and bodies of the countless beings she has “merged” with in her eons of travel across the stars. You can now duplicate this feat of your “mother,” absorbing other life that you overpower or othe"&amp;"rwise dominate. This absorption grants you the knowledge and memories of the individual, along with a minute piece of their objective power (strength, intelligence, durability, etc...) limited only by how much you “eat.” How greedy are you?")</f>
        <v>... Alright, time to level with you. You see, Thanatos is not just a giant asteroid threatening all life on Earth. She (yes, Thanatos is female) is a giant Dragon, and the ultimate progenitor of all Dragons on Earth, using that asteroid as a glorified space bus. And that asteroid’s innards are the compounded minds and bodies of the countless beings she has “merged” with in her eons of travel across the stars. You can now duplicate this feat of your “mother,” absorbing other life that you overpower or otherwise dominate. This absorption grants you the knowledge and memories of the individual, along with a minute piece of their objective power (strength, intelligence, durability, etc...) limited only by how much you “eat.” How greedy are you?</v>
      </c>
      <c r="I220" s="5"/>
    </row>
    <row r="221" spans="1:9" ht="87" x14ac:dyDescent="0.25">
      <c r="A221" s="16"/>
      <c r="B221" s="17">
        <v>217</v>
      </c>
      <c r="C221" s="2" t="b">
        <f ca="1">IFERROR(__xludf.DUMMYFUNCTION("""COMPUTED_VALUE"""),FALSE)</f>
        <v>0</v>
      </c>
      <c r="D221" s="2">
        <f ca="1">IFERROR(__xludf.DUMMYFUNCTION("""COMPUTED_VALUE"""),600)</f>
        <v>600</v>
      </c>
      <c r="E221" s="2" t="str">
        <f ca="1">IFERROR(__xludf.DUMMYFUNCTION("""COMPUTED_VALUE"""),"Desecration")</f>
        <v>Desecration</v>
      </c>
      <c r="F221" s="2" t="str">
        <f ca="1">IFERROR(__xludf.DUMMYFUNCTION("""COMPUTED_VALUE"""),"Bio-Weapon Quest")</f>
        <v>Bio-Weapon Quest</v>
      </c>
      <c r="G221" s="2" t="str">
        <f ca="1">IFERROR(__xludf.DUMMYFUNCTION("""COMPUTED_VALUE"""),"Powers")</f>
        <v>Powers</v>
      </c>
      <c r="H221" s="2" t="str">
        <f ca="1">IFERROR(__xludf.DUMMYFUNCTION("""COMPUTED_VALUE"""),"As a Bio-Weapon, you were scientifically designed to disrupt the sapphic energy of the Heart Warriors by fucking them senseless. Yes, totally scientific. Having intercourse with someone will cut them off from their supernatural powers. Yes, you can litera"&amp;"lly rape the magic out of a magical girl. Unlike Alex, you have the choice as to whether this activates or not, and you may choose to restore a severed connection with another round of sex.")</f>
        <v>As a Bio-Weapon, you were scientifically designed to disrupt the sapphic energy of the Heart Warriors by fucking them senseless. Yes, totally scientific. Having intercourse with someone will cut them off from their supernatural powers. Yes, you can literally rape the magic out of a magical girl. Unlike Alex, you have the choice as to whether this activates or not, and you may choose to restore a severed connection with another round of sex.</v>
      </c>
      <c r="I221" s="5"/>
    </row>
    <row r="222" spans="1:9" ht="243.6" x14ac:dyDescent="0.25">
      <c r="A222" s="16"/>
      <c r="B222" s="17">
        <v>218</v>
      </c>
      <c r="C222" s="2" t="b">
        <f ca="1">IFERROR(__xludf.DUMMYFUNCTION("""COMPUTED_VALUE"""),FALSE)</f>
        <v>0</v>
      </c>
      <c r="D222" s="2">
        <f ca="1">IFERROR(__xludf.DUMMYFUNCTION("""COMPUTED_VALUE"""),600)</f>
        <v>600</v>
      </c>
      <c r="E222" s="2" t="str">
        <f ca="1">IFERROR(__xludf.DUMMYFUNCTION("""COMPUTED_VALUE"""),"Designer Drugs")</f>
        <v>Designer Drugs</v>
      </c>
      <c r="F222" s="2" t="str">
        <f ca="1">IFERROR(__xludf.DUMMYFUNCTION("""COMPUTED_VALUE"""),"Mind Control University")</f>
        <v>Mind Control University</v>
      </c>
      <c r="G222" s="2" t="str">
        <f ca="1">IFERROR(__xludf.DUMMYFUNCTION("""COMPUTED_VALUE"""),"Powers")</f>
        <v>Powers</v>
      </c>
      <c r="H222" s="2" t="str">
        <f ca="1">IFERROR(__xludf.DUMMYFUNCTION("""COMPUTED_VALUE"""),"You can choose whom the pheromones and gaseous chemicals you produce affect and don’t affect. Additionally, you can cause them to only change how an individual relates to you rather than a more general change; for example, if you naturally emit a pheromon"&amp;"e that heightens lust, causing an individual’s lust to only be heightened for you.
Even more useful, any pheromones or gaseous chemicals produced by your body tailor themselves to their targets, affecting them regardless of biology and becoming permanen"&amp;"tly more effective as they are exposed. (You can, naturally, turn this effect off.) This not only deepens your control over them over time but also ensures that, if they are somehow freed, all it will take is a whiff of you for them to fall back under you"&amp;"r sway.
With a great deal of exposure, your pheromones become capable of reproducing in the bodies of those who absorb them, not only securing your control over them but also enabling them, with your direction, to spread those pheromones to others.")</f>
        <v>You can choose whom the pheromones and gaseous chemicals you produce affect and don’t affect. Additionally, you can cause them to only change how an individual relates to you rather than a more general change; for example, if you naturally emit a pheromone that heightens lust, causing an individual’s lust to only be heightened for you.
Even more useful, any pheromones or gaseous chemicals produced by your body tailor themselves to their targets, affecting them regardless of biology and becoming permanently more effective as they are exposed. (You can, naturally, turn this effect off.) This not only deepens your control over them over time but also ensures that, if they are somehow freed, all it will take is a whiff of you for them to fall back under your sway.
With a great deal of exposure, your pheromones become capable of reproducing in the bodies of those who absorb them, not only securing your control over them but also enabling them, with your direction, to spread those pheromones to others.</v>
      </c>
      <c r="I222" s="5"/>
    </row>
    <row r="223" spans="1:9" ht="104.4" x14ac:dyDescent="0.25">
      <c r="A223" s="16"/>
      <c r="B223" s="17">
        <v>219</v>
      </c>
      <c r="C223" s="2" t="b">
        <f ca="1">IFERROR(__xludf.DUMMYFUNCTION("""COMPUTED_VALUE"""),FALSE)</f>
        <v>0</v>
      </c>
      <c r="D223" s="2">
        <f ca="1">IFERROR(__xludf.DUMMYFUNCTION("""COMPUTED_VALUE"""),600)</f>
        <v>600</v>
      </c>
      <c r="E223" s="2" t="str">
        <f ca="1">IFERROR(__xludf.DUMMYFUNCTION("""COMPUTED_VALUE"""),"Ding Dong the Danzo is Dead")</f>
        <v>Ding Dong the Danzo is Dead</v>
      </c>
      <c r="F223" s="2" t="str">
        <f ca="1">IFERROR(__xludf.DUMMYFUNCTION("""COMPUTED_VALUE"""),"Merry Marry")</f>
        <v>Merry Marry</v>
      </c>
      <c r="G223" s="2" t="str">
        <f ca="1">IFERROR(__xludf.DUMMYFUNCTION("""COMPUTED_VALUE"""),"Powers")</f>
        <v>Powers</v>
      </c>
      <c r="H223" s="2" t="str">
        <f ca="1">IFERROR(__xludf.DUMMYFUNCTION("""COMPUTED_VALUE"""),"The Uchiha Clan Massacre, Itachi’s self imposed exile, Sasuke going missing-nin - all of these events can be traced back to the machinations of one man. And all of these events seem to have not occurred. Given the nature of the world, I can only assume th"&amp;"e man got laid and chilled out. Anyways, you now have a switch or a dial of some sort. When amped up, life tends to be a little brighter, go a little easier, be a little kinder. Hard men making hard choices while hard will get off before making those choi"&amp;"ces, an act that seems to make them significanly less stupid.")</f>
        <v>The Uchiha Clan Massacre, Itachi’s self imposed exile, Sasuke going missing-nin - all of these events can be traced back to the machinations of one man. And all of these events seem to have not occurred. Given the nature of the world, I can only assume the man got laid and chilled out. Anyways, you now have a switch or a dial of some sort. When amped up, life tends to be a little brighter, go a little easier, be a little kinder. Hard men making hard choices while hard will get off before making those choices, an act that seems to make them significanly less stupid.</v>
      </c>
      <c r="I223" s="5"/>
    </row>
    <row r="224" spans="1:9" ht="174" x14ac:dyDescent="0.25">
      <c r="A224" s="16"/>
      <c r="B224" s="17">
        <v>220</v>
      </c>
      <c r="C224" s="2" t="b">
        <f ca="1">IFERROR(__xludf.DUMMYFUNCTION("""COMPUTED_VALUE"""),FALSE)</f>
        <v>0</v>
      </c>
      <c r="D224" s="2">
        <f ca="1">IFERROR(__xludf.DUMMYFUNCTION("""COMPUTED_VALUE"""),600)</f>
        <v>600</v>
      </c>
      <c r="E224" s="2" t="str">
        <f ca="1">IFERROR(__xludf.DUMMYFUNCTION("""COMPUTED_VALUE"""),"Game Over")</f>
        <v>Game Over</v>
      </c>
      <c r="F224" s="2" t="str">
        <f ca="1">IFERROR(__xludf.DUMMYFUNCTION("""COMPUTED_VALUE"""),"Fate/Loli Order")</f>
        <v>Fate/Loli Order</v>
      </c>
      <c r="G224" s="2" t="str">
        <f ca="1">IFERROR(__xludf.DUMMYFUNCTION("""COMPUTED_VALUE"""),"Powers")</f>
        <v>Powers</v>
      </c>
      <c r="H224" s="2" t="str">
        <f ca="1">IFERROR(__xludf.DUMMYFUNCTION("""COMPUTED_VALUE"""),"But even with control that doesn’t fade, and assuming you don’t lose the application, there is still one power that can ruin everything for you. The power of fist. Or gun in this case, because let’s face the facts. Kiritsugu was an international terrorist"&amp;" at the height of his power, and his counter guardian counterpart is even stronger. If you piss him off, you will die. Raping his daughters is a good way to do that. Well, you must be the luckiest son of a bitch alive because you don’t die when you are ki"&amp;"lled. Instead, you get shunted into an alternate dimension. You even have a level of control over what kind - maybe it’s one that will be easy to lay low until you can rebuild the application and start over. Or maybe it will have an even cuter version of "&amp;"your waifu to corrupt! Just be careful it doesn’t have an even more dangerous dad, because this only works once every ten years. Also, good luck getting back.")</f>
        <v>But even with control that doesn’t fade, and assuming you don’t lose the application, there is still one power that can ruin everything for you. The power of fist. Or gun in this case, because let’s face the facts. Kiritsugu was an international terrorist at the height of his power, and his counter guardian counterpart is even stronger. If you piss him off, you will die. Raping his daughters is a good way to do that. Well, you must be the luckiest son of a bitch alive because you don’t die when you are killed. Instead, you get shunted into an alternate dimension. You even have a level of control over what kind - maybe it’s one that will be easy to lay low until you can rebuild the application and start over. Or maybe it will have an even cuter version of your waifu to corrupt! Just be careful it doesn’t have an even more dangerous dad, because this only works once every ten years. Also, good luck getting back.</v>
      </c>
      <c r="I224" s="5"/>
    </row>
    <row r="225" spans="1:9" ht="191.4" x14ac:dyDescent="0.25">
      <c r="A225" s="16"/>
      <c r="B225" s="17">
        <v>221</v>
      </c>
      <c r="C225" s="2" t="b">
        <f ca="1">IFERROR(__xludf.DUMMYFUNCTION("""COMPUTED_VALUE"""),FALSE)</f>
        <v>0</v>
      </c>
      <c r="D225" s="2">
        <f ca="1">IFERROR(__xludf.DUMMYFUNCTION("""COMPUTED_VALUE"""),600)</f>
        <v>600</v>
      </c>
      <c r="E225" s="2" t="str">
        <f ca="1">IFERROR(__xludf.DUMMYFUNCTION("""COMPUTED_VALUE"""),"God of Rope")</f>
        <v>God of Rope</v>
      </c>
      <c r="F225" s="2" t="str">
        <f ca="1">IFERROR(__xludf.DUMMYFUNCTION("""COMPUTED_VALUE"""),"Rope Master")</f>
        <v>Rope Master</v>
      </c>
      <c r="G225" s="2" t="str">
        <f ca="1">IFERROR(__xludf.DUMMYFUNCTION("""COMPUTED_VALUE"""),"Powers")</f>
        <v>Powers</v>
      </c>
      <c r="H225" s="2" t="str">
        <f ca="1">IFERROR(__xludf.DUMMYFUNCTION("""COMPUTED_VALUE"""),"Even great rope masters are still mortals in the grand scheme of things but you're something else entirely. Much like the rope goddess Izuna, you're a newborn godling with all the powers a god would be expected to have, such as hearing prayers from your w"&amp;"orshippers and performing miracles of great magical power. While you're nowhere near as powerful as gods like Amaterasu, you'll grow much stronger as you amass followers and earn their devotion, and you can bless your most loyal servants with power and cr"&amp;"eate your own exorcists. The loyalty and submission of your followers greatly magnifies what they receive from you and you from them, especially when you impose divine laws for them to follow. Even when you have little power of your own to give, laying do"&amp;"wn a code of laws like ""thou shalt not kinkshame"" or ""shrine maidens must always remain chaste and pure"" allows you to grant the greatest rewards to those faithful enough to follow your creed, whatever its tenets might be.")</f>
        <v>Even great rope masters are still mortals in the grand scheme of things but you're something else entirely. Much like the rope goddess Izuna, you're a newborn godling with all the powers a god would be expected to have, such as hearing prayers from your worshippers and performing miracles of great magical power. While you're nowhere near as powerful as gods like Amaterasu, you'll grow much stronger as you amass followers and earn their devotion, and you can bless your most loyal servants with power and create your own exorcists. The loyalty and submission of your followers greatly magnifies what they receive from you and you from them, especially when you impose divine laws for them to follow. Even when you have little power of your own to give, laying down a code of laws like "thou shalt not kinkshame" or "shrine maidens must always remain chaste and pure" allows you to grant the greatest rewards to those faithful enough to follow your creed, whatever its tenets might be.</v>
      </c>
      <c r="I225" s="5"/>
    </row>
    <row r="226" spans="1:9" ht="121.8" x14ac:dyDescent="0.25">
      <c r="A226" s="16"/>
      <c r="B226" s="17">
        <v>222</v>
      </c>
      <c r="C226" s="2" t="b">
        <f ca="1">IFERROR(__xludf.DUMMYFUNCTION("""COMPUTED_VALUE"""),FALSE)</f>
        <v>0</v>
      </c>
      <c r="D226" s="2">
        <f ca="1">IFERROR(__xludf.DUMMYFUNCTION("""COMPUTED_VALUE"""),600)</f>
        <v>600</v>
      </c>
      <c r="E226" s="2" t="str">
        <f ca="1">IFERROR(__xludf.DUMMYFUNCTION("""COMPUTED_VALUE"""),"Grimm Corruption")</f>
        <v>Grimm Corruption</v>
      </c>
      <c r="F226" s="2" t="str">
        <f ca="1">IFERROR(__xludf.DUMMYFUNCTION("""COMPUTED_VALUE"""),"LeWdBY")</f>
        <v>LeWdBY</v>
      </c>
      <c r="G226" s="2" t="str">
        <f ca="1">IFERROR(__xludf.DUMMYFUNCTION("""COMPUTED_VALUE"""),"Powers")</f>
        <v>Powers</v>
      </c>
      <c r="H226" s="2" t="str">
        <f ca="1">IFERROR(__xludf.DUMMYFUNCTION("""COMPUTED_VALUE"""),"It seems you’ve taken a dip into the same pool Salem did. You now have the power to control and create your very own custom sex monsters, even ones that can live symbiotically inside humans. You could create a dick worm Grimm that will act as a penis for "&amp;"the woman it bonds with, allowing them to fuck the power out of a Maiden to steal it for themselves, for example. You could even transform a human into a super Grimm, probably as part of some plot to have them fuck all the huntresses in the world senseles"&amp;"s. Or you could be boring and grab some Nevermores for use as normal fighters. Comes with toggle-able pure white skin with black veins and black eyes.")</f>
        <v>It seems you’ve taken a dip into the same pool Salem did. You now have the power to control and create your very own custom sex monsters, even ones that can live symbiotically inside humans. You could create a dick worm Grimm that will act as a penis for the woman it bonds with, allowing them to fuck the power out of a Maiden to steal it for themselves, for example. You could even transform a human into a super Grimm, probably as part of some plot to have them fuck all the huntresses in the world senseless. Or you could be boring and grab some Nevermores for use as normal fighters. Comes with toggle-able pure white skin with black veins and black eyes.</v>
      </c>
      <c r="I226" s="5"/>
    </row>
    <row r="227" spans="1:9" ht="295.8" x14ac:dyDescent="0.25">
      <c r="A227" s="16"/>
      <c r="B227" s="17">
        <v>223</v>
      </c>
      <c r="C227" s="2" t="b">
        <f ca="1">IFERROR(__xludf.DUMMYFUNCTION("""COMPUTED_VALUE"""),FALSE)</f>
        <v>0</v>
      </c>
      <c r="D227" s="2">
        <f ca="1">IFERROR(__xludf.DUMMYFUNCTION("""COMPUTED_VALUE"""),600)</f>
        <v>600</v>
      </c>
      <c r="E227" s="2" t="str">
        <f ca="1">IFERROR(__xludf.DUMMYFUNCTION("""COMPUTED_VALUE"""),"Hand of the Devil")</f>
        <v>Hand of the Devil</v>
      </c>
      <c r="F227" s="2" t="str">
        <f ca="1">IFERROR(__xludf.DUMMYFUNCTION("""COMPUTED_VALUE"""),"Kyonyuu Fantasy")</f>
        <v>Kyonyuu Fantasy</v>
      </c>
      <c r="G227" s="2" t="str">
        <f ca="1">IFERROR(__xludf.DUMMYFUNCTION("""COMPUTED_VALUE"""),"Powers")</f>
        <v>Powers</v>
      </c>
      <c r="H227" s="2" t="str">
        <f ca="1">IFERROR(__xludf.DUMMYFUNCTION("""COMPUTED_VALUE"""),"It seems that Lute isn’t the only descendant of the incubi, the kings of demonkind, left. You too have been blessed with incubi blood that flows through your veins. While this gives you no intrinsic physical or magical powers it does grant you one specifi"&amp;"c ability. Quite simply you are impossibly good at sex and have a supernatural aura around you that incites those around you with lust as well as removing normal limits of pleasure. Playing with a composed and haughty queen's breasts is enough to cause he"&amp;"r to orgasm multiple times in a row, and in bed you can quickly prove yourself unmatched. This isn’t even sexual skill, a complete novice in bed with this perk would satisfy someone more then even someone who had mastered the art of sex, and if you’re gre"&amp;"at at sex in addition to this perk... You very likely could seduce even an assassin sent to kill you into joining you instead after a passionate night in bed. In addition your demonic heritage provides you with a near limitless stamina, so much so that sa"&amp;"tisfying 8 or more women in one night is well within the realm of probability.
Your incubus blood also grants other benefits. First you are seen akin to royalty among demonkind and can easily convince any demons to help you with whatever you need (withi"&amp;"n reason). You also possess a near limitless lifeforce that not only allows you to survive having sex with a succubus, or similar beings, but turn the tables and give them a night they won’t soon forget.")</f>
        <v>It seems that Lute isn’t the only descendant of the incubi, the kings of demonkind, left. You too have been blessed with incubi blood that flows through your veins. While this gives you no intrinsic physical or magical powers it does grant you one specific ability. Quite simply you are impossibly good at sex and have a supernatural aura around you that incites those around you with lust as well as removing normal limits of pleasure. Playing with a composed and haughty queen's breasts is enough to cause her to orgasm multiple times in a row, and in bed you can quickly prove yourself unmatched. This isn’t even sexual skill, a complete novice in bed with this perk would satisfy someone more then even someone who had mastered the art of sex, and if you’re great at sex in addition to this perk... You very likely could seduce even an assassin sent to kill you into joining you instead after a passionate night in bed. In addition your demonic heritage provides you with a near limitless stamina, so much so that satisfying 8 or more women in one night is well within the realm of probability.
Your incubus blood also grants other benefits. First you are seen akin to royalty among demonkind and can easily convince any demons to help you with whatever you need (within reason). You also possess a near limitless lifeforce that not only allows you to survive having sex with a succubus, or similar beings, but turn the tables and give them a night they won’t soon forget.</v>
      </c>
      <c r="I227" s="5"/>
    </row>
    <row r="228" spans="1:9" ht="104.4" x14ac:dyDescent="0.25">
      <c r="A228" s="16"/>
      <c r="B228" s="17">
        <v>224</v>
      </c>
      <c r="C228" s="2" t="b">
        <f ca="1">IFERROR(__xludf.DUMMYFUNCTION("""COMPUTED_VALUE"""),FALSE)</f>
        <v>0</v>
      </c>
      <c r="D228" s="2">
        <f ca="1">IFERROR(__xludf.DUMMYFUNCTION("""COMPUTED_VALUE"""),600)</f>
        <v>600</v>
      </c>
      <c r="E228" s="2" t="str">
        <f ca="1">IFERROR(__xludf.DUMMYFUNCTION("""COMPUTED_VALUE"""),"Heroic Skill: ""Lucky""")</f>
        <v>Heroic Skill: "Lucky"</v>
      </c>
      <c r="F228" s="2" t="str">
        <f ca="1">IFERROR(__xludf.DUMMYFUNCTION("""COMPUTED_VALUE"""),"My Bride is the Demon Lord")</f>
        <v>My Bride is the Demon Lord</v>
      </c>
      <c r="G228" s="2" t="str">
        <f ca="1">IFERROR(__xludf.DUMMYFUNCTION("""COMPUTED_VALUE"""),"Powers")</f>
        <v>Powers</v>
      </c>
      <c r="H228" s="2" t="str">
        <f ca="1">IFERROR(__xludf.DUMMYFUNCTION("""COMPUTED_VALUE"""),"It’s basically what it says in the title. If you were to fumble a spell, your mistake would wind up being exactly the spell you actually needed in your situation; if you were chased by a Demon Lord wielding a spell that might kill you, she’ll trip and hit"&amp;" herself with it; if a girl kicked you in the balls, her friends might just convince her that she needs to fuck you to make it up to you. Its effects are subtle, but pervasive throughout your life, working to make you more likely to survive and more likel"&amp;"y to have sexual encounters.")</f>
        <v>It’s basically what it says in the title. If you were to fumble a spell, your mistake would wind up being exactly the spell you actually needed in your situation; if you were chased by a Demon Lord wielding a spell that might kill you, she’ll trip and hit herself with it; if a girl kicked you in the balls, her friends might just convince her that she needs to fuck you to make it up to you. Its effects are subtle, but pervasive throughout your life, working to make you more likely to survive and more likely to have sexual encounters.</v>
      </c>
      <c r="I228" s="5"/>
    </row>
    <row r="229" spans="1:9" ht="191.4" x14ac:dyDescent="0.25">
      <c r="A229" s="16"/>
      <c r="B229" s="17">
        <v>225</v>
      </c>
      <c r="C229" s="2" t="b">
        <f ca="1">IFERROR(__xludf.DUMMYFUNCTION("""COMPUTED_VALUE"""),FALSE)</f>
        <v>0</v>
      </c>
      <c r="D229" s="2">
        <f ca="1">IFERROR(__xludf.DUMMYFUNCTION("""COMPUTED_VALUE"""),600)</f>
        <v>600</v>
      </c>
      <c r="E229" s="2" t="str">
        <f ca="1">IFERROR(__xludf.DUMMYFUNCTION("""COMPUTED_VALUE"""),"It's Not Rape if it's Treatment!")</f>
        <v>It's Not Rape if it's Treatment!</v>
      </c>
      <c r="F229" s="2" t="str">
        <f ca="1">IFERROR(__xludf.DUMMYFUNCTION("""COMPUTED_VALUE"""),"Lewd Virus")</f>
        <v>Lewd Virus</v>
      </c>
      <c r="G229" s="2" t="str">
        <f ca="1">IFERROR(__xludf.DUMMYFUNCTION("""COMPUTED_VALUE"""),"Powers")</f>
        <v>Powers</v>
      </c>
      <c r="H229" s="2" t="str">
        <f ca="1">IFERROR(__xludf.DUMMYFUNCTION("""COMPUTED_VALUE"""),"The main character gets away with some pretty outrageous behavior by excusing his behavior as being for “treatment”, even if he could have at least waited until they weren’t in public. But he didn’t wait, and now you don’t have to, either. As long as you "&amp;"have an excuse, you can get away scot- free with any sort of sexual misconduct. It doesn’t have to be a good excuse, or even a real or valid one—any excuse at all will work. But if the excuse is actually half-decent, you could even get them to help you ge"&amp;"t away with it. 
Rape someone in front of the class? They exhibited signs of the virus and needed to be treated right away. Cum in someone after promising not to? You forgot. Impregnate your girlfriend’s mother? It was an accident. Want to impregnate a c"&amp;"heerleader? Tell the rest of her squad it’s to keep her alive, and they’ll gang up to hold her down for you.")</f>
        <v>The main character gets away with some pretty outrageous behavior by excusing his behavior as being for “treatment”, even if he could have at least waited until they weren’t in public. But he didn’t wait, and now you don’t have to, either. As long as you have an excuse, you can get away scot- free with any sort of sexual misconduct. It doesn’t have to be a good excuse, or even a real or valid one—any excuse at all will work. But if the excuse is actually half-decent, you could even get them to help you get away with it. 
Rape someone in front of the class? They exhibited signs of the virus and needed to be treated right away. Cum in someone after promising not to? You forgot. Impregnate your girlfriend’s mother? It was an accident. Want to impregnate a cheerleader? Tell the rest of her squad it’s to keep her alive, and they’ll gang up to hold her down for you.</v>
      </c>
      <c r="I229" s="5"/>
    </row>
    <row r="230" spans="1:9" ht="121.8" x14ac:dyDescent="0.25">
      <c r="A230" s="16"/>
      <c r="B230" s="17">
        <v>226</v>
      </c>
      <c r="C230" s="2" t="b">
        <f ca="1">IFERROR(__xludf.DUMMYFUNCTION("""COMPUTED_VALUE"""),FALSE)</f>
        <v>0</v>
      </c>
      <c r="D230" s="2">
        <f ca="1">IFERROR(__xludf.DUMMYFUNCTION("""COMPUTED_VALUE"""),600)</f>
        <v>600</v>
      </c>
      <c r="E230" s="2" t="str">
        <f ca="1">IFERROR(__xludf.DUMMYFUNCTION("""COMPUTED_VALUE"""),"Just a Little Bit")</f>
        <v>Just a Little Bit</v>
      </c>
      <c r="F230" s="2" t="str">
        <f ca="1">IFERROR(__xludf.DUMMYFUNCTION("""COMPUTED_VALUE"""),"Aki-Akane")</f>
        <v>Aki-Akane</v>
      </c>
      <c r="G230" s="2" t="str">
        <f ca="1">IFERROR(__xludf.DUMMYFUNCTION("""COMPUTED_VALUE"""),"Powers")</f>
        <v>Powers</v>
      </c>
      <c r="H230" s="2" t="str">
        <f ca="1">IFERROR(__xludf.DUMMYFUNCTION("""COMPUTED_VALUE"""),"Before the revelation of fullbringers, it was though that Ichigo's immense spiritual power had leaked over into Chad and Orihime, granting them powers. In turn Orihime's close contact with Tatsuki cause her to develop a tiny amount of power. Enough streng"&amp;"th to lay low a full grown man with a half hearted blow, but barely anything to a hollow. When sleeping with those with power, you will very very slowly gain powers of your own. Not quickly, perhaps a week of sex for a single hour of training, but power n"&amp;"onetheless. Faster if they're vastly more powerful. Also, this goes two ways, allowing you to empower those weaker than you.")</f>
        <v>Before the revelation of fullbringers, it was though that Ichigo's immense spiritual power had leaked over into Chad and Orihime, granting them powers. In turn Orihime's close contact with Tatsuki cause her to develop a tiny amount of power. Enough strength to lay low a full grown man with a half hearted blow, but barely anything to a hollow. When sleeping with those with power, you will very very slowly gain powers of your own. Not quickly, perhaps a week of sex for a single hour of training, but power nonetheless. Faster if they're vastly more powerful. Also, this goes two ways, allowing you to empower those weaker than you.</v>
      </c>
      <c r="I230" s="5"/>
    </row>
    <row r="231" spans="1:9" ht="104.4" x14ac:dyDescent="0.25">
      <c r="A231" s="16"/>
      <c r="B231" s="17">
        <v>227</v>
      </c>
      <c r="C231" s="2" t="b">
        <f ca="1">IFERROR(__xludf.DUMMYFUNCTION("""COMPUTED_VALUE"""),FALSE)</f>
        <v>0</v>
      </c>
      <c r="D231" s="2">
        <f ca="1">IFERROR(__xludf.DUMMYFUNCTION("""COMPUTED_VALUE"""),600)</f>
        <v>600</v>
      </c>
      <c r="E231" s="2" t="str">
        <f ca="1">IFERROR(__xludf.DUMMYFUNCTION("""COMPUTED_VALUE"""),"Karmic Reward")</f>
        <v>Karmic Reward</v>
      </c>
      <c r="F231" s="2" t="str">
        <f ca="1">IFERROR(__xludf.DUMMYFUNCTION("""COMPUTED_VALUE"""),"Bokunchi No Mikage-san")</f>
        <v>Bokunchi No Mikage-san</v>
      </c>
      <c r="G231" s="2" t="str">
        <f ca="1">IFERROR(__xludf.DUMMYFUNCTION("""COMPUTED_VALUE"""),"Powers")</f>
        <v>Powers</v>
      </c>
      <c r="H231" s="2" t="str">
        <f ca="1">IFERROR(__xludf.DUMMYFUNCTION("""COMPUTED_VALUE"""),"The good deeds that you do will come back around to improve your life. Saving a ninja in need might result in them swearing an oath to serve you; helping a student find her dream job might result in her seeking to be your wife in the future; assisting a f"&amp;"riend in love could have them pay back the favor twofold at a later date. Helping other people will help you, even if it isn’t immediately obvious how it will do so; indeed, the benefits of this perk might be not evident until years later. But they will a"&amp;"lways happen.")</f>
        <v>The good deeds that you do will come back around to improve your life. Saving a ninja in need might result in them swearing an oath to serve you; helping a student find her dream job might result in her seeking to be your wife in the future; assisting a friend in love could have them pay back the favor twofold at a later date. Helping other people will help you, even if it isn’t immediately obvious how it will do so; indeed, the benefits of this perk might be not evident until years later. But they will always happen.</v>
      </c>
      <c r="I231" s="5"/>
    </row>
    <row r="232" spans="1:9" ht="121.8" x14ac:dyDescent="0.25">
      <c r="A232" s="16"/>
      <c r="B232" s="17">
        <v>228</v>
      </c>
      <c r="C232" s="2" t="b">
        <f ca="1">IFERROR(__xludf.DUMMYFUNCTION("""COMPUTED_VALUE"""),FALSE)</f>
        <v>0</v>
      </c>
      <c r="D232" s="2">
        <f ca="1">IFERROR(__xludf.DUMMYFUNCTION("""COMPUTED_VALUE"""),600)</f>
        <v>600</v>
      </c>
      <c r="E232" s="2" t="str">
        <f ca="1">IFERROR(__xludf.DUMMYFUNCTION("""COMPUTED_VALUE"""),"Loot Pinata")</f>
        <v>Loot Pinata</v>
      </c>
      <c r="F232" s="2" t="str">
        <f ca="1">IFERROR(__xludf.DUMMYFUNCTION("""COMPUTED_VALUE"""),"Monster Hunter XXX")</f>
        <v>Monster Hunter XXX</v>
      </c>
      <c r="G232" s="2" t="str">
        <f ca="1">IFERROR(__xludf.DUMMYFUNCTION("""COMPUTED_VALUE"""),"Powers")</f>
        <v>Powers</v>
      </c>
      <c r="H232" s="2" t="str">
        <f ca="1">IFERROR(__xludf.DUMMYFUNCTION("""COMPUTED_VALUE"""),"At the end of the day, isn’t that all we really are? Any wandering person is just a meal on legs to a Monster. Any Monster is just a big, angry pile of prizes to a Hunter. By taking this Perk, you obtain the mythical power to literally fuck the choicest o"&amp;"f prizes out of your partners, all without doing them any injury, unless they’re into that, I guess. Gems? All day every day. Critical organs, souls, literal crystalized memories? Sure thing, they’ll all be waiting for you in a neat little pile when you w"&amp;"ake up next to your lover as “shiny drops” in true Monster Hunter fashion. Once per day, per Monster/Lover.")</f>
        <v>At the end of the day, isn’t that all we really are? Any wandering person is just a meal on legs to a Monster. Any Monster is just a big, angry pile of prizes to a Hunter. By taking this Perk, you obtain the mythical power to literally fuck the choicest of prizes out of your partners, all without doing them any injury, unless they’re into that, I guess. Gems? All day every day. Critical organs, souls, literal crystalized memories? Sure thing, they’ll all be waiting for you in a neat little pile when you wake up next to your lover as “shiny drops” in true Monster Hunter fashion. Once per day, per Monster/Lover.</v>
      </c>
      <c r="I232" s="5"/>
    </row>
    <row r="233" spans="1:9" ht="139.19999999999999" x14ac:dyDescent="0.25">
      <c r="A233" s="16"/>
      <c r="B233" s="17">
        <v>229</v>
      </c>
      <c r="C233" s="2" t="b">
        <f ca="1">IFERROR(__xludf.DUMMYFUNCTION("""COMPUTED_VALUE"""),FALSE)</f>
        <v>0</v>
      </c>
      <c r="D233" s="2">
        <f ca="1">IFERROR(__xludf.DUMMYFUNCTION("""COMPUTED_VALUE"""),600)</f>
        <v>600</v>
      </c>
      <c r="E233" s="2" t="str">
        <f ca="1">IFERROR(__xludf.DUMMYFUNCTION("""COMPUTED_VALUE"""),"Lustful Combatant")</f>
        <v>Lustful Combatant</v>
      </c>
      <c r="F233" s="2" t="str">
        <f ca="1">IFERROR(__xludf.DUMMYFUNCTION("""COMPUTED_VALUE"""),"Prina the Dungeoneering Princess")</f>
        <v>Prina the Dungeoneering Princess</v>
      </c>
      <c r="G233" s="2" t="str">
        <f ca="1">IFERROR(__xludf.DUMMYFUNCTION("""COMPUTED_VALUE"""),"Powers")</f>
        <v>Powers</v>
      </c>
      <c r="H233" s="2" t="str">
        <f ca="1">IFERROR(__xludf.DUMMYFUNCTION("""COMPUTED_VALUE"""),"One should always play to their own strengths. If one possesses the power, crush all opposition. If you don’t, subvert their power until it collapses beneath their feet. If you can’t beat your half sister in combat, steal her kid and raise said child to h"&amp;"ate her mother and want to rape her senseless, aka what Mezel did. Regardless, you can now forcibly invoke lust, lewdness, and perversity into a situation. Simply act with sensual and sexual grace, and seriousness will fall away in place of perversity. Ho"&amp;"wever, the more you invoke this, the more useless raw combat power becomes in the moment, replaced by one's skill in bed. If you don't have that, you will lose regardless, but if you do? You can bypass any amount of plot armor and raw power via rape.")</f>
        <v>One should always play to their own strengths. If one possesses the power, crush all opposition. If you don’t, subvert their power until it collapses beneath their feet. If you can’t beat your half sister in combat, steal her kid and raise said child to hate her mother and want to rape her senseless, aka what Mezel did. Regardless, you can now forcibly invoke lust, lewdness, and perversity into a situation. Simply act with sensual and sexual grace, and seriousness will fall away in place of perversity. However, the more you invoke this, the more useless raw combat power becomes in the moment, replaced by one's skill in bed. If you don't have that, you will lose regardless, but if you do? You can bypass any amount of plot armor and raw power via rape.</v>
      </c>
      <c r="I233" s="5"/>
    </row>
    <row r="234" spans="1:9" ht="208.8" x14ac:dyDescent="0.25">
      <c r="A234" s="16"/>
      <c r="B234" s="17">
        <v>230</v>
      </c>
      <c r="C234" s="2" t="b">
        <f ca="1">IFERROR(__xludf.DUMMYFUNCTION("""COMPUTED_VALUE"""),FALSE)</f>
        <v>0</v>
      </c>
      <c r="D234" s="2">
        <f ca="1">IFERROR(__xludf.DUMMYFUNCTION("""COMPUTED_VALUE"""),600)</f>
        <v>600</v>
      </c>
      <c r="E234" s="2" t="str">
        <f ca="1">IFERROR(__xludf.DUMMYFUNCTION("""COMPUTED_VALUE"""),"Master Footwork")</f>
        <v>Master Footwork</v>
      </c>
      <c r="F234" s="2" t="str">
        <f ca="1">IFERROR(__xludf.DUMMYFUNCTION("""COMPUTED_VALUE"""),"Ashigei Shoujo Komura-san")</f>
        <v>Ashigei Shoujo Komura-san</v>
      </c>
      <c r="G234" s="2" t="str">
        <f ca="1">IFERROR(__xludf.DUMMYFUNCTION("""COMPUTED_VALUE"""),"Powers")</f>
        <v>Powers</v>
      </c>
      <c r="H234" s="2" t="str">
        <f ca="1">IFERROR(__xludf.DUMMYFUNCTION("""COMPUTED_VALUE"""),"For you, there’s hardly any difference between a smooth sidewalk, a tightrope, a nearly vertical cliff, or a forest canopy. Your experience has granted you profound trust in your feet, giving you an air of (albeit foot-centric) confidence and wisdom. You "&amp;"can almost instinctively devize an efficient path between two nearby points, and execute them without the slightest hesitation, even when it involves the use of external tools. For instance, you could descend a towering cliff by simply jumping and letting"&amp;" your feet use your own clothes as a lasso to break your fall. Short of outside interference of other talented individuals, you’ll never have to worry about stumbling or messing up your maneuvers. Your physical abilities are appropriately absurd. At your "&amp;"level, you can climb a building hands-free, hang by your toes for extended periods, or comfortably balance on a sword (not the bladed end) on one foot. Your movements are fast enough to seemingly vanish to most onlookers, but also seem weightless, like a "&amp;"shadow. You’re so flexible you might as well be an octopus, and your dexterity should go without saying.")</f>
        <v>For you, there’s hardly any difference between a smooth sidewalk, a tightrope, a nearly vertical cliff, or a forest canopy. Your experience has granted you profound trust in your feet, giving you an air of (albeit foot-centric) confidence and wisdom. You can almost instinctively devize an efficient path between two nearby points, and execute them without the slightest hesitation, even when it involves the use of external tools. For instance, you could descend a towering cliff by simply jumping and letting your feet use your own clothes as a lasso to break your fall. Short of outside interference of other talented individuals, you’ll never have to worry about stumbling or messing up your maneuvers. Your physical abilities are appropriately absurd. At your level, you can climb a building hands-free, hang by your toes for extended periods, or comfortably balance on a sword (not the bladed end) on one foot. Your movements are fast enough to seemingly vanish to most onlookers, but also seem weightless, like a shadow. You’re so flexible you might as well be an octopus, and your dexterity should go without saying.</v>
      </c>
      <c r="I234" s="5"/>
    </row>
    <row r="235" spans="1:9" ht="208.8" x14ac:dyDescent="0.25">
      <c r="A235" s="16"/>
      <c r="B235" s="17">
        <v>231</v>
      </c>
      <c r="C235" s="2" t="b">
        <f ca="1">IFERROR(__xludf.DUMMYFUNCTION("""COMPUTED_VALUE"""),FALSE)</f>
        <v>0</v>
      </c>
      <c r="D235" s="2">
        <f ca="1">IFERROR(__xludf.DUMMYFUNCTION("""COMPUTED_VALUE"""),600)</f>
        <v>600</v>
      </c>
      <c r="E235" s="2" t="str">
        <f ca="1">IFERROR(__xludf.DUMMYFUNCTION("""COMPUTED_VALUE"""),"Master Swordsman")</f>
        <v>Master Swordsman</v>
      </c>
      <c r="F235" s="2" t="str">
        <f ca="1">IFERROR(__xludf.DUMMYFUNCTION("""COMPUTED_VALUE"""),"Breathless Wild")</f>
        <v>Breathless Wild</v>
      </c>
      <c r="G235" s="2" t="str">
        <f ca="1">IFERROR(__xludf.DUMMYFUNCTION("""COMPUTED_VALUE"""),"Powers")</f>
        <v>Powers</v>
      </c>
      <c r="H235" s="2" t="str">
        <f ca="1">IFERROR(__xludf.DUMMYFUNCTION("""COMPUTED_VALUE"""),"Sexual prowess is no less important for Hyrule’s adventurers than skill in combat: when the sword in your hand breaks, the sword between your legs might be your only hope to avoid becoming a monster’s slave. You’re equally skilled at both traditional and "&amp;"sexual combat, a match for Link’s talents in the bedroom and on the battlefield. Your superhuman skill allows you to perform impossible feats like parrying lasers with a shield or striking a dozen blows in an instant, and in moments of intense focus time "&amp;"itself almost seems to stand still for you. If your weapon breaks you can simply brawl or fuck your way to victory instead, utilizing abilities like using a flurry rush to attack all your partner’s weakpoints simultaneously, or punching straight through a"&amp;"rmor because your dick is literally harder than steel, or holding back your orgasms to charge up a massive belly-swelling creampie which instantly defeats and/or impregnates weakened enemies. Both of your talents grow by training either of them, and you c"&amp;"an adapt new abilities you master, supernatural or otherwise, into alternative versions designed for the battlefield or the bedroom.")</f>
        <v>Sexual prowess is no less important for Hyrule’s adventurers than skill in combat: when the sword in your hand breaks, the sword between your legs might be your only hope to avoid becoming a monster’s slave. You’re equally skilled at both traditional and sexual combat, a match for Link’s talents in the bedroom and on the battlefield. Your superhuman skill allows you to perform impossible feats like parrying lasers with a shield or striking a dozen blows in an instant, and in moments of intense focus time itself almost seems to stand still for you. If your weapon breaks you can simply brawl or fuck your way to victory instead, utilizing abilities like using a flurry rush to attack all your partner’s weakpoints simultaneously, or punching straight through armor because your dick is literally harder than steel, or holding back your orgasms to charge up a massive belly-swelling creampie which instantly defeats and/or impregnates weakened enemies. Both of your talents grow by training either of them, and you can adapt new abilities you master, supernatural or otherwise, into alternative versions designed for the battlefield or the bedroom.</v>
      </c>
      <c r="I235" s="5"/>
    </row>
    <row r="236" spans="1:9" ht="243.6" x14ac:dyDescent="0.25">
      <c r="A236" s="16"/>
      <c r="B236" s="17">
        <v>232</v>
      </c>
      <c r="C236" s="2" t="b">
        <f ca="1">IFERROR(__xludf.DUMMYFUNCTION("""COMPUTED_VALUE"""),FALSE)</f>
        <v>0</v>
      </c>
      <c r="D236" s="2">
        <f ca="1">IFERROR(__xludf.DUMMYFUNCTION("""COMPUTED_VALUE"""),600)</f>
        <v>600</v>
      </c>
      <c r="E236" s="2" t="str">
        <f ca="1">IFERROR(__xludf.DUMMYFUNCTION("""COMPUTED_VALUE"""),"Mind-Blowing Pleasure")</f>
        <v>Mind-Blowing Pleasure</v>
      </c>
      <c r="F236" s="2" t="str">
        <f ca="1">IFERROR(__xludf.DUMMYFUNCTION("""COMPUTED_VALUE"""),"High Elf x High School")</f>
        <v>High Elf x High School</v>
      </c>
      <c r="G236" s="2" t="str">
        <f ca="1">IFERROR(__xludf.DUMMYFUNCTION("""COMPUTED_VALUE"""),"Powers")</f>
        <v>Powers</v>
      </c>
      <c r="H236" s="2" t="str">
        <f ca="1">IFERROR(__xludf.DUMMYFUNCTION("""COMPUTED_VALUE"""),"These elves might put on haughty airs or try to force themselves onto you, but the truth is that they’re simply unprepared for what you bring to the table. You are good at sex. No, seriously—you are REALLY good at sex. When you pleasure someone, that plea"&amp;"sure doesn’t reach a plateau, and repeating the same actions doesn’t eventually grow dull; the longer sex goes on, the more they feel as every scrap of pleasure builds on each other, even more so than one would normally expect from sex. After an orgasm, c"&amp;"ontinued pleasure would all feel as intense as the moment of climax, and if you made them cum again, that would only heighten the sensation to entirely new levels.
You could easily get someone addicted to you with this. As a safety measure, no amount of"&amp;" pleasure you inflict upon someone is capable of inflicting physical, mental, or spiritual harm to them. So you could just ramp that pleasure up infinitely, it will never reach a point where her nerves blow out from overstimulation or her mind shatters fr"&amp;"om experiencing heights of pleasure people were never meant to experience. You can toggle this off if you’d prefer to see someone’s mind break—you could even alter it so that it prevents the aforementioned addiction from occurring in the first place.")</f>
        <v>These elves might put on haughty airs or try to force themselves onto you, but the truth is that they’re simply unprepared for what you bring to the table. You are good at sex. No, seriously—you are REALLY good at sex. When you pleasure someone, that pleasure doesn’t reach a plateau, and repeating the same actions doesn’t eventually grow dull; the longer sex goes on, the more they feel as every scrap of pleasure builds on each other, even more so than one would normally expect from sex. After an orgasm, continued pleasure would all feel as intense as the moment of climax, and if you made them cum again, that would only heighten the sensation to entirely new levels.
You could easily get someone addicted to you with this. As a safety measure, no amount of pleasure you inflict upon someone is capable of inflicting physical, mental, or spiritual harm to them. So you could just ramp that pleasure up infinitely, it will never reach a point where her nerves blow out from overstimulation or her mind shatters from experiencing heights of pleasure people were never meant to experience. You can toggle this off if you’d prefer to see someone’s mind break—you could even alter it so that it prevents the aforementioned addiction from occurring in the first place.</v>
      </c>
      <c r="I236" s="5"/>
    </row>
    <row r="237" spans="1:9" ht="87" x14ac:dyDescent="0.25">
      <c r="A237" s="16"/>
      <c r="B237" s="17">
        <v>233</v>
      </c>
      <c r="C237" s="2" t="b">
        <f ca="1">IFERROR(__xludf.DUMMYFUNCTION("""COMPUTED_VALUE"""),FALSE)</f>
        <v>0</v>
      </c>
      <c r="D237" s="2">
        <f ca="1">IFERROR(__xludf.DUMMYFUNCTION("""COMPUTED_VALUE"""),600)</f>
        <v>600</v>
      </c>
      <c r="E237" s="2" t="str">
        <f ca="1">IFERROR(__xludf.DUMMYFUNCTION("""COMPUTED_VALUE"""),"One Month Later")</f>
        <v>One Month Later</v>
      </c>
      <c r="F237" s="2" t="str">
        <f ca="1">IFERROR(__xludf.DUMMYFUNCTION("""COMPUTED_VALUE"""),"Bloom Pirate Hooker")</f>
        <v>Bloom Pirate Hooker</v>
      </c>
      <c r="G237" s="2" t="str">
        <f ca="1">IFERROR(__xludf.DUMMYFUNCTION("""COMPUTED_VALUE"""),"Powers")</f>
        <v>Powers</v>
      </c>
      <c r="H237" s="2" t="str">
        <f ca="1">IFERROR(__xludf.DUMMYFUNCTION("""COMPUTED_VALUE"""),"The power of friendship is a dangerous thing. It inspires people to be more than themselves, to become better than they are. It gives them strength in times of need. But most importantly, it doesn’t work on you. Normally if you capture one person, their f"&amp;"riends go on a roaring rampage of revenge. With you however, those friends instead become shaken and lackluster, weaker instead of stronger. Give it a bit of time and you could pick them off like flies.")</f>
        <v>The power of friendship is a dangerous thing. It inspires people to be more than themselves, to become better than they are. It gives them strength in times of need. But most importantly, it doesn’t work on you. Normally if you capture one person, their friends go on a roaring rampage of revenge. With you however, those friends instead become shaken and lackluster, weaker instead of stronger. Give it a bit of time and you could pick them off like flies.</v>
      </c>
      <c r="I237" s="5"/>
    </row>
    <row r="238" spans="1:9" ht="208.8" x14ac:dyDescent="0.25">
      <c r="A238" s="16"/>
      <c r="B238" s="17">
        <v>234</v>
      </c>
      <c r="C238" s="2" t="b">
        <f ca="1">IFERROR(__xludf.DUMMYFUNCTION("""COMPUTED_VALUE"""),FALSE)</f>
        <v>0</v>
      </c>
      <c r="D238" s="2">
        <f ca="1">IFERROR(__xludf.DUMMYFUNCTION("""COMPUTED_VALUE"""),600)</f>
        <v>600</v>
      </c>
      <c r="E238" s="2" t="str">
        <f ca="1">IFERROR(__xludf.DUMMYFUNCTION("""COMPUTED_VALUE"""),"Orb of Restoration")</f>
        <v>Orb of Restoration</v>
      </c>
      <c r="F238" s="2" t="str">
        <f ca="1">IFERROR(__xludf.DUMMYFUNCTION("""COMPUTED_VALUE"""),"The Legend Of Queen Opala")</f>
        <v>The Legend Of Queen Opala</v>
      </c>
      <c r="G238" s="2" t="str">
        <f ca="1">IFERROR(__xludf.DUMMYFUNCTION("""COMPUTED_VALUE"""),"Powers")</f>
        <v>Powers</v>
      </c>
      <c r="H238" s="2" t="str">
        <f ca="1">IFERROR(__xludf.DUMMYFUNCTION("""COMPUTED_VALUE"""),"This beautiful, swirling crystal sphere is a one-of-a-kind artifact with a power surpassing even that of the gods. Within its depths lies the power to unmake all that you have accomplished, all that you’ve seen and done... and begin anew. However, while t"&amp;"he Orb that the Hero Of Egypt could acquire and use to start a ‘New Game Plus’ also eliminated his memories of the events that had come to pass in his first journey through Egypt, this artifact does not. Indeed, while activating this marvelous item effect"&amp;"ively resets time back to when you first recieved the Bordello, with anyone touching the orb retaining their memories. The Orb is, in some ways, the ultimate get-out-of-jail-free-card, the one way you can undo all your mistakes or choose that different ro"&amp;"ad you could have taken... but whatever other abilities or tricks you possess, you can’t force such a reset more than once. You get a second chance, and no more.
This item will not regenerate once used.")</f>
        <v>This beautiful, swirling crystal sphere is a one-of-a-kind artifact with a power surpassing even that of the gods. Within its depths lies the power to unmake all that you have accomplished, all that you’ve seen and done... and begin anew. However, while the Orb that the Hero Of Egypt could acquire and use to start a ‘New Game Plus’ also eliminated his memories of the events that had come to pass in his first journey through Egypt, this artifact does not. Indeed, while activating this marvelous item effectively resets time back to when you first recieved the Bordello, with anyone touching the orb retaining their memories. The Orb is, in some ways, the ultimate get-out-of-jail-free-card, the one way you can undo all your mistakes or choose that different road you could have taken... but whatever other abilities or tricks you possess, you can’t force such a reset more than once. You get a second chance, and no more.
This item will not regenerate once used.</v>
      </c>
      <c r="I238" s="5"/>
    </row>
    <row r="239" spans="1:9" ht="104.4" x14ac:dyDescent="0.25">
      <c r="A239" s="16"/>
      <c r="B239" s="17">
        <v>235</v>
      </c>
      <c r="C239" s="2" t="b">
        <f ca="1">IFERROR(__xludf.DUMMYFUNCTION("""COMPUTED_VALUE"""),FALSE)</f>
        <v>0</v>
      </c>
      <c r="D239" s="2">
        <f ca="1">IFERROR(__xludf.DUMMYFUNCTION("""COMPUTED_VALUE"""),600)</f>
        <v>600</v>
      </c>
      <c r="E239" s="2" t="str">
        <f ca="1">IFERROR(__xludf.DUMMYFUNCTION("""COMPUTED_VALUE"""),"Perfectly Accepting")</f>
        <v>Perfectly Accepting</v>
      </c>
      <c r="F239" s="2" t="str">
        <f ca="1">IFERROR(__xludf.DUMMYFUNCTION("""COMPUTED_VALUE"""),"Dragon Princess Is Hungry")</f>
        <v>Dragon Princess Is Hungry</v>
      </c>
      <c r="G239" s="2" t="str">
        <f ca="1">IFERROR(__xludf.DUMMYFUNCTION("""COMPUTED_VALUE"""),"Powers")</f>
        <v>Powers</v>
      </c>
      <c r="H239" s="2" t="str">
        <f ca="1">IFERROR(__xludf.DUMMYFUNCTION("""COMPUTED_VALUE"""),"Wow! It seems you have some really good genes. So good in fact, that you’re amazingly compatible with all manner of races. And not just in a sexual or childmaking sense either, although you’ll surely attract attention from all manner of monstrous ladies. "&amp;"Picking up some of a Salamander’s fire resistance from sleeping with her is just the tip of the iceberg here. With enough time, effort and absorbed energy you can even trigger a full-on race change to another species! Or, who knows, maybe if you work real"&amp;"ly hard to balance things, you might be able to become some kind of hybrid?")</f>
        <v>Wow! It seems you have some really good genes. So good in fact, that you’re amazingly compatible with all manner of races. And not just in a sexual or childmaking sense either, although you’ll surely attract attention from all manner of monstrous ladies. Picking up some of a Salamander’s fire resistance from sleeping with her is just the tip of the iceberg here. With enough time, effort and absorbed energy you can even trigger a full-on race change to another species! Or, who knows, maybe if you work really hard to balance things, you might be able to become some kind of hybrid?</v>
      </c>
      <c r="I239" s="5"/>
    </row>
    <row r="240" spans="1:9" ht="121.8" x14ac:dyDescent="0.25">
      <c r="A240" s="16"/>
      <c r="B240" s="17">
        <v>236</v>
      </c>
      <c r="C240" s="2" t="b">
        <f ca="1">IFERROR(__xludf.DUMMYFUNCTION("""COMPUTED_VALUE"""),FALSE)</f>
        <v>0</v>
      </c>
      <c r="D240" s="2">
        <f ca="1">IFERROR(__xludf.DUMMYFUNCTION("""COMPUTED_VALUE"""),600)</f>
        <v>600</v>
      </c>
      <c r="E240" s="2" t="str">
        <f ca="1">IFERROR(__xludf.DUMMYFUNCTION("""COMPUTED_VALUE"""),"Permanent Marker")</f>
        <v>Permanent Marker</v>
      </c>
      <c r="F240" s="2" t="str">
        <f ca="1">IFERROR(__xludf.DUMMYFUNCTION("""COMPUTED_VALUE"""),"The Works of Aomizuan")</f>
        <v>The Works of Aomizuan</v>
      </c>
      <c r="G240" s="2" t="str">
        <f ca="1">IFERROR(__xludf.DUMMYFUNCTION("""COMPUTED_VALUE"""),"Powers")</f>
        <v>Powers</v>
      </c>
      <c r="H240" s="2" t="str">
        <f ca="1">IFERROR(__xludf.DUMMYFUNCTION("""COMPUTED_VALUE"""),"This looks like any other simple black marker, but has a special quality. Anything written by this marker becomes true. It doesn’t alter reality or affect inanimate objects, rather having an affect on the mind and on common sense. For instance, you could "&amp;"write down that you are the personal fuckmeat of [insert name here], and everyone would consider this to be the truth, excluding those who you specifically exempt from the effect. It is only capable of making rules regarding sexual matters. The marker com"&amp;"es with an eraser, which is the only substance that can undo the statements made with this marker.")</f>
        <v>This looks like any other simple black marker, but has a special quality. Anything written by this marker becomes true. It doesn’t alter reality or affect inanimate objects, rather having an affect on the mind and on common sense. For instance, you could write down that you are the personal fuckmeat of [insert name here], and everyone would consider this to be the truth, excluding those who you specifically exempt from the effect. It is only capable of making rules regarding sexual matters. The marker comes with an eraser, which is the only substance that can undo the statements made with this marker.</v>
      </c>
      <c r="I240" s="5"/>
    </row>
    <row r="241" spans="1:9" ht="191.4" x14ac:dyDescent="0.25">
      <c r="A241" s="16"/>
      <c r="B241" s="17">
        <v>237</v>
      </c>
      <c r="C241" s="2" t="b">
        <f ca="1">IFERROR(__xludf.DUMMYFUNCTION("""COMPUTED_VALUE"""),FALSE)</f>
        <v>0</v>
      </c>
      <c r="D241" s="2">
        <f ca="1">IFERROR(__xludf.DUMMYFUNCTION("""COMPUTED_VALUE"""),600)</f>
        <v>600</v>
      </c>
      <c r="E241" s="2" t="str">
        <f ca="1">IFERROR(__xludf.DUMMYFUNCTION("""COMPUTED_VALUE"""),"Queen of Hearts")</f>
        <v>Queen of Hearts</v>
      </c>
      <c r="F241" s="2" t="str">
        <f ca="1">IFERROR(__xludf.DUMMYFUNCTION("""COMPUTED_VALUE"""),"Majuu Purification Girl Utea")</f>
        <v>Majuu Purification Girl Utea</v>
      </c>
      <c r="G241" s="2" t="str">
        <f ca="1">IFERROR(__xludf.DUMMYFUNCTION("""COMPUTED_VALUE"""),"Powers")</f>
        <v>Powers</v>
      </c>
      <c r="H241" s="2" t="str">
        <f ca="1">IFERROR(__xludf.DUMMYFUNCTION("""COMPUTED_VALUE"""),"Even the most powerful magical girls may falter if they stand alone against the darkness, but the Utea are at their strongest when they all stand together and their hearts beat as one, both figuratively and literally. Just as Charm and Grace combine their"&amp;" powers to become Queen Utea, you’re able to fuse together with your allies and become a single composite being of extraordinary power. On top of multiplying your power twice over for each participant in the fusion, this fused being has the powers and ski"&amp;"lls of every participant in the fusion manifested at their highest possible level, including perk-granted teamwork benefits. While you need especially close bonds with your partners to fuse with them, equivalent to lovers or the closest of friends, you ca"&amp;"n combine with as many others as you wish. Such an intimate connection does have side effects however, such as boosting the fused body’s sense of pleasure several times over, so take care that your enemies don’t find a way to turn the tables on you.")</f>
        <v>Even the most powerful magical girls may falter if they stand alone against the darkness, but the Utea are at their strongest when they all stand together and their hearts beat as one, both figuratively and literally. Just as Charm and Grace combine their powers to become Queen Utea, you’re able to fuse together with your allies and become a single composite being of extraordinary power. On top of multiplying your power twice over for each participant in the fusion, this fused being has the powers and skills of every participant in the fusion manifested at their highest possible level, including perk-granted teamwork benefits. While you need especially close bonds with your partners to fuse with them, equivalent to lovers or the closest of friends, you can combine with as many others as you wish. Such an intimate connection does have side effects however, such as boosting the fused body’s sense of pleasure several times over, so take care that your enemies don’t find a way to turn the tables on you.</v>
      </c>
      <c r="I241" s="5"/>
    </row>
    <row r="242" spans="1:9" ht="191.4" x14ac:dyDescent="0.25">
      <c r="A242" s="16"/>
      <c r="B242" s="17">
        <v>238</v>
      </c>
      <c r="C242" s="2" t="b">
        <f ca="1">IFERROR(__xludf.DUMMYFUNCTION("""COMPUTED_VALUE"""),FALSE)</f>
        <v>0</v>
      </c>
      <c r="D242" s="2">
        <f ca="1">IFERROR(__xludf.DUMMYFUNCTION("""COMPUTED_VALUE"""),600)</f>
        <v>600</v>
      </c>
      <c r="E242" s="2" t="str">
        <f ca="1">IFERROR(__xludf.DUMMYFUNCTION("""COMPUTED_VALUE"""),"Red and Black Ribbons")</f>
        <v>Red and Black Ribbons</v>
      </c>
      <c r="F242" s="2" t="str">
        <f ca="1">IFERROR(__xludf.DUMMYFUNCTION("""COMPUTED_VALUE"""),"Fate/Worm Night")</f>
        <v>Fate/Worm Night</v>
      </c>
      <c r="G242" s="2" t="str">
        <f ca="1">IFERROR(__xludf.DUMMYFUNCTION("""COMPUTED_VALUE"""),"Powers")</f>
        <v>Powers</v>
      </c>
      <c r="H242" s="2" t="str">
        <f ca="1">IFERROR(__xludf.DUMMYFUNCTION("""COMPUTED_VALUE"""),"A childhood that murderers would feel pity over. A shard of a forgotten wish. And a desperate need for senpai to NOT notice you, or the filth that is your life. All of these things came together in the form of the Shadow, a monster made of the nightmares "&amp;"of a child named Sakura. You have something similar to it, though outside of the thematics there’s very little in common. See, you can create shadowy copies of anyone you sleep with. More accurately, you can make copies of anyone who causes you pain, from"&amp;" rape to a simple beating. The more times this happens, the more painful they make it, the more insults and meaningless spite they heap onto you, the more complete this shadow becomes. And once you have enough misery, you can let the ribbons coat your bod"&amp;"y and let the shadows paint you in their blood. ...Now, that's not to say that you couldn’t power this from a simple kiss, or even from love and hope instead of misery, but quite frankly I don’t see that in your future.")</f>
        <v>A childhood that murderers would feel pity over. A shard of a forgotten wish. And a desperate need for senpai to NOT notice you, or the filth that is your life. All of these things came together in the form of the Shadow, a monster made of the nightmares of a child named Sakura. You have something similar to it, though outside of the thematics there’s very little in common. See, you can create shadowy copies of anyone you sleep with. More accurately, you can make copies of anyone who causes you pain, from rape to a simple beating. The more times this happens, the more painful they make it, the more insults and meaningless spite they heap onto you, the more complete this shadow becomes. And once you have enough misery, you can let the ribbons coat your body and let the shadows paint you in their blood. ...Now, that's not to say that you couldn’t power this from a simple kiss, or even from love and hope instead of misery, but quite frankly I don’t see that in your future.</v>
      </c>
      <c r="I242" s="5"/>
    </row>
    <row r="243" spans="1:9" ht="87" x14ac:dyDescent="0.25">
      <c r="A243" s="16"/>
      <c r="B243" s="17">
        <v>239</v>
      </c>
      <c r="C243" s="2" t="b">
        <f ca="1">IFERROR(__xludf.DUMMYFUNCTION("""COMPUTED_VALUE"""),FALSE)</f>
        <v>0</v>
      </c>
      <c r="D243" s="2">
        <f ca="1">IFERROR(__xludf.DUMMYFUNCTION("""COMPUTED_VALUE"""),600)</f>
        <v>600</v>
      </c>
      <c r="E243" s="2" t="str">
        <f ca="1">IFERROR(__xludf.DUMMYFUNCTION("""COMPUTED_VALUE"""),"Talent Substitute")</f>
        <v>Talent Substitute</v>
      </c>
      <c r="F243" s="2" t="str">
        <f ca="1">IFERROR(__xludf.DUMMYFUNCTION("""COMPUTED_VALUE"""),"Ashigei Shoujo Komura-san")</f>
        <v>Ashigei Shoujo Komura-san</v>
      </c>
      <c r="G243" s="2" t="str">
        <f ca="1">IFERROR(__xludf.DUMMYFUNCTION("""COMPUTED_VALUE"""),"Powers")</f>
        <v>Powers</v>
      </c>
      <c r="H243" s="2" t="str">
        <f ca="1">IFERROR(__xludf.DUMMYFUNCTION("""COMPUTED_VALUE"""),"If you lack talent, love can pick up the slack. When performing together with someone you share a close bond with, even with something you have no experience with, you’ll reflexively manage to keep up just enough to not embarrass yourself and even bring o"&amp;"ut 150% of their own abilities. When you feel the intense need to rapidly improve a particular skill for that person’s sake, you can push yourself to squeeze a few months worth of progress into just a few weeks.")</f>
        <v>If you lack talent, love can pick up the slack. When performing together with someone you share a close bond with, even with something you have no experience with, you’ll reflexively manage to keep up just enough to not embarrass yourself and even bring out 150% of their own abilities. When you feel the intense need to rapidly improve a particular skill for that person’s sake, you can push yourself to squeeze a few months worth of progress into just a few weeks.</v>
      </c>
      <c r="I243" s="5"/>
    </row>
    <row r="244" spans="1:9" ht="104.4" x14ac:dyDescent="0.25">
      <c r="A244" s="16"/>
      <c r="B244" s="17">
        <v>240</v>
      </c>
      <c r="C244" s="2" t="b">
        <f ca="1">IFERROR(__xludf.DUMMYFUNCTION("""COMPUTED_VALUE"""),FALSE)</f>
        <v>0</v>
      </c>
      <c r="D244" s="2">
        <f ca="1">IFERROR(__xludf.DUMMYFUNCTION("""COMPUTED_VALUE"""),600)</f>
        <v>600</v>
      </c>
      <c r="E244" s="2" t="str">
        <f ca="1">IFERROR(__xludf.DUMMYFUNCTION("""COMPUTED_VALUE"""),"The Collar")</f>
        <v>The Collar</v>
      </c>
      <c r="F244" s="2" t="str">
        <f ca="1">IFERROR(__xludf.DUMMYFUNCTION("""COMPUTED_VALUE"""),"Generic: BDSM")</f>
        <v>Generic: BDSM</v>
      </c>
      <c r="G244" s="2" t="str">
        <f ca="1">IFERROR(__xludf.DUMMYFUNCTION("""COMPUTED_VALUE"""),"Powers")</f>
        <v>Powers</v>
      </c>
      <c r="H244" s="2" t="str">
        <f ca="1">IFERROR(__xludf.DUMMYFUNCTION("""COMPUTED_VALUE"""),"With as much power as jumpers acquire in the course of their journeys it’s almost inevitable that you’re going to reach a point where you’re nigh-omnipotent, and that can pose something of a problem if all you really want is to be someone’s pet. This coll"&amp;"ar is the solution to that problem, as it was custom-made to short out all of your perks and special abilities while you wear it. Further, you cannot remove the collar without the assistance of your dominant, though the collar can be programmed to respond"&amp;" to multiple owners.")</f>
        <v>With as much power as jumpers acquire in the course of their journeys it’s almost inevitable that you’re going to reach a point where you’re nigh-omnipotent, and that can pose something of a problem if all you really want is to be someone’s pet. This collar is the solution to that problem, as it was custom-made to short out all of your perks and special abilities while you wear it. Further, you cannot remove the collar without the assistance of your dominant, though the collar can be programmed to respond to multiple owners.</v>
      </c>
      <c r="I244" s="5"/>
    </row>
    <row r="245" spans="1:9" ht="174" x14ac:dyDescent="0.25">
      <c r="A245" s="16"/>
      <c r="B245" s="17">
        <v>241</v>
      </c>
      <c r="C245" s="2" t="b">
        <f ca="1">IFERROR(__xludf.DUMMYFUNCTION("""COMPUTED_VALUE"""),FALSE)</f>
        <v>0</v>
      </c>
      <c r="D245" s="2">
        <f ca="1">IFERROR(__xludf.DUMMYFUNCTION("""COMPUTED_VALUE"""),600)</f>
        <v>600</v>
      </c>
      <c r="E245" s="2" t="str">
        <f ca="1">IFERROR(__xludf.DUMMYFUNCTION("""COMPUTED_VALUE"""),"Time Watch")</f>
        <v>Time Watch</v>
      </c>
      <c r="F245" s="2" t="str">
        <f ca="1">IFERROR(__xludf.DUMMYFUNCTION("""COMPUTED_VALUE"""),"Hypno App Fantasia")</f>
        <v>Hypno App Fantasia</v>
      </c>
      <c r="G245" s="2" t="str">
        <f ca="1">IFERROR(__xludf.DUMMYFUNCTION("""COMPUTED_VALUE"""),"Powers")</f>
        <v>Powers</v>
      </c>
      <c r="H245" s="2" t="str">
        <f ca="1">IFERROR(__xludf.DUMMYFUNCTION("""COMPUTED_VALUE"""),"An even more powerful relic! What were the ancients thinking with something like this, a gold pocketwatch with two buttons on it’s rim. The left just measures the time, as with any watch. But the right causes time to stop for everyone but the one to press"&amp;" the button. Pressing it again will end the effect. As with all relics, magic cannot defend against this, and the relic will allow the one who used it to freely interact with the world despite the frozen time. You needn’t worry about cutting yourself on s"&amp;"tatic objects frozen in time and can act as if it were running as normal. You can bring others into this with a touch and the desire to do it but they will otherwise remain frozen even as you re-position and play with their bodies, minds locked away in ti"&amp;"me. Apparently, the sensations you might give to someone all hit at once when you unfreeze time, sure to create quite the spectacle out of any victims.")</f>
        <v>An even more powerful relic! What were the ancients thinking with something like this, a gold pocketwatch with two buttons on it’s rim. The left just measures the time, as with any watch. But the right causes time to stop for everyone but the one to press the button. Pressing it again will end the effect. As with all relics, magic cannot defend against this, and the relic will allow the one who used it to freely interact with the world despite the frozen time. You needn’t worry about cutting yourself on static objects frozen in time and can act as if it were running as normal. You can bring others into this with a touch and the desire to do it but they will otherwise remain frozen even as you re-position and play with their bodies, minds locked away in time. Apparently, the sensations you might give to someone all hit at once when you unfreeze time, sure to create quite the spectacle out of any victims.</v>
      </c>
      <c r="I245" s="5"/>
    </row>
    <row r="246" spans="1:9" ht="156.6" x14ac:dyDescent="0.25">
      <c r="A246" s="16"/>
      <c r="B246" s="17">
        <v>242</v>
      </c>
      <c r="C246" s="2" t="b">
        <f ca="1">IFERROR(__xludf.DUMMYFUNCTION("""COMPUTED_VALUE"""),FALSE)</f>
        <v>0</v>
      </c>
      <c r="D246" s="2">
        <f ca="1">IFERROR(__xludf.DUMMYFUNCTION("""COMPUTED_VALUE"""),600)</f>
        <v>600</v>
      </c>
      <c r="E246" s="2" t="str">
        <f ca="1">IFERROR(__xludf.DUMMYFUNCTION("""COMPUTED_VALUE"""),"Unseen Assailant")</f>
        <v>Unseen Assailant</v>
      </c>
      <c r="F246" s="2" t="str">
        <f ca="1">IFERROR(__xludf.DUMMYFUNCTION("""COMPUTED_VALUE"""),"Sailor Uranus")</f>
        <v>Sailor Uranus</v>
      </c>
      <c r="G246" s="2" t="str">
        <f ca="1">IFERROR(__xludf.DUMMYFUNCTION("""COMPUTED_VALUE"""),"Powers")</f>
        <v>Powers</v>
      </c>
      <c r="H246" s="2" t="str">
        <f ca="1">IFERROR(__xludf.DUMMYFUNCTION("""COMPUTED_VALUE"""),"Most traits which distinguish one Daimon from another seem to manifest as simple, if unsubtle aspects of biology. Tentacles, strange musculature, and similar mutation-like extensions of the body. Then odder things, like drug-laced saliva, which is common "&amp;"but not ubiquitous. You have lucked into one of the most obscure, difficult-to-counter powers which is soon to appear in this world. You may, by concentrating for a minute or so, enter an indefinite state of invisibility. While so obscured, you cannot be "&amp;"detected by means of light or its siblings, but your cloak does not end there. Though only imperfectly, you are masked to senses which would detect presence. Even for one of the Sailor Guardians, it would be difficult to detect you by perceiving your magi"&amp;"cal, spiritual, or vital energies. This concealment is cancelled the same way it is invoked.")</f>
        <v>Most traits which distinguish one Daimon from another seem to manifest as simple, if unsubtle aspects of biology. Tentacles, strange musculature, and similar mutation-like extensions of the body. Then odder things, like drug-laced saliva, which is common but not ubiquitous. You have lucked into one of the most obscure, difficult-to-counter powers which is soon to appear in this world. You may, by concentrating for a minute or so, enter an indefinite state of invisibility. While so obscured, you cannot be detected by means of light or its siblings, but your cloak does not end there. Though only imperfectly, you are masked to senses which would detect presence. Even for one of the Sailor Guardians, it would be difficult to detect you by perceiving your magical, spiritual, or vital energies. This concealment is cancelled the same way it is invoked.</v>
      </c>
      <c r="I246" s="5"/>
    </row>
    <row r="247" spans="1:9" ht="139.19999999999999" x14ac:dyDescent="0.25">
      <c r="A247" s="16"/>
      <c r="B247" s="17">
        <v>243</v>
      </c>
      <c r="C247" s="2" t="b">
        <f ca="1">IFERROR(__xludf.DUMMYFUNCTION("""COMPUTED_VALUE"""),FALSE)</f>
        <v>0</v>
      </c>
      <c r="D247" s="2">
        <f ca="1">IFERROR(__xludf.DUMMYFUNCTION("""COMPUTED_VALUE"""),600)</f>
        <v>600</v>
      </c>
      <c r="E247" s="2" t="str">
        <f ca="1">IFERROR(__xludf.DUMMYFUNCTION("""COMPUTED_VALUE"""),"Yangbang")</f>
        <v>Yangbang</v>
      </c>
      <c r="F247" s="2" t="str">
        <f ca="1">IFERROR(__xludf.DUMMYFUNCTION("""COMPUTED_VALUE"""),"LeWdBY")</f>
        <v>LeWdBY</v>
      </c>
      <c r="G247" s="2" t="str">
        <f ca="1">IFERROR(__xludf.DUMMYFUNCTION("""COMPUTED_VALUE"""),"Powers")</f>
        <v>Powers</v>
      </c>
      <c r="H247" s="2" t="str">
        <f ca="1">IFERROR(__xludf.DUMMYFUNCTION("""COMPUTED_VALUE"""),"Yang’s Semblance lets her get stronger the more hits she’s taken. You have an ability that is much the same, only applied to sex rather than combat. Sex doesn’t tire you out. Instead, the longer you have sex and the more you push yourself, the greater you"&amp;"r stamina increases, the harder you can fuck, and the better your multitasking when it comes to pleasing multiple partners at once. Going a couple of rounds with someone would make the final time more intense, while letting everyone in a club gangbang you"&amp;" all night long would leave you feeling like you just had a good massage and a relaxing night of sleep while your hundreds of partners would all be totally wrecked. Note that this effect is temporary, also like Yang's semblance, lasting only for the 'sess"&amp;"ion' in question.")</f>
        <v>Yang’s Semblance lets her get stronger the more hits she’s taken. You have an ability that is much the same, only applied to sex rather than combat. Sex doesn’t tire you out. Instead, the longer you have sex and the more you push yourself, the greater your stamina increases, the harder you can fuck, and the better your multitasking when it comes to pleasing multiple partners at once. Going a couple of rounds with someone would make the final time more intense, while letting everyone in a club gangbang you all night long would leave you feeling like you just had a good massage and a relaxing night of sleep while your hundreds of partners would all be totally wrecked. Note that this effect is temporary, also like Yang's semblance, lasting only for the 'session' in question.</v>
      </c>
      <c r="I247" s="5"/>
    </row>
    <row r="248" spans="1:9" ht="139.19999999999999" x14ac:dyDescent="0.25">
      <c r="A248" s="16"/>
      <c r="B248" s="17">
        <v>244</v>
      </c>
      <c r="C248" s="2" t="b">
        <f ca="1">IFERROR(__xludf.DUMMYFUNCTION("""COMPUTED_VALUE"""),FALSE)</f>
        <v>0</v>
      </c>
      <c r="D248" s="2">
        <f ca="1">IFERROR(__xludf.DUMMYFUNCTION("""COMPUTED_VALUE"""),600)</f>
        <v>600</v>
      </c>
      <c r="E248" s="2" t="str">
        <f ca="1">IFERROR(__xludf.DUMMYFUNCTION("""COMPUTED_VALUE"""),"You Need More Than That")</f>
        <v>You Need More Than That</v>
      </c>
      <c r="F248" s="2" t="str">
        <f ca="1">IFERROR(__xludf.DUMMYFUNCTION("""COMPUTED_VALUE"""),"Power Play")</f>
        <v>Power Play</v>
      </c>
      <c r="G248" s="2" t="str">
        <f ca="1">IFERROR(__xludf.DUMMYFUNCTION("""COMPUTED_VALUE"""),"Powers")</f>
        <v>Powers</v>
      </c>
      <c r="H248" s="2" t="str">
        <f ca="1">IFERROR(__xludf.DUMMYFUNCTION("""COMPUTED_VALUE"""),"You have the power to duplicate other people. These duplicates are fully as real as the original, to the point that should any of the duplicates die (apart from being dispelled by you), the original you based the clone off of, as well as all the individua"&amp;"l clones, will also die. You can only duplicate people; objects aren’t copied (sapient machines qualify as people). These copies are all hooked together as a single mind, with the cloned individual’s consciousness improved upon and provided sufficient par"&amp;"allel processing ability to manage all of their bodies at once as naturally as they control a single body. Note that feeling pleasure across multiple bodies doesn’t add the pleasure together, but multiplies it. This cannot be used on yourself.")</f>
        <v>You have the power to duplicate other people. These duplicates are fully as real as the original, to the point that should any of the duplicates die (apart from being dispelled by you), the original you based the clone off of, as well as all the individual clones, will also die. You can only duplicate people; objects aren’t copied (sapient machines qualify as people). These copies are all hooked together as a single mind, with the cloned individual’s consciousness improved upon and provided sufficient parallel processing ability to manage all of their bodies at once as naturally as they control a single body. Note that feeling pleasure across multiple bodies doesn’t add the pleasure together, but multiplies it. This cannot be used on yourself.</v>
      </c>
      <c r="I248" s="5"/>
    </row>
    <row r="249" spans="1:9" ht="121.8" x14ac:dyDescent="0.25">
      <c r="A249" s="16"/>
      <c r="B249" s="17">
        <v>245</v>
      </c>
      <c r="C249" s="2" t="b">
        <f ca="1">IFERROR(__xludf.DUMMYFUNCTION("""COMPUTED_VALUE"""),FALSE)</f>
        <v>0</v>
      </c>
      <c r="D249" s="2">
        <f ca="1">IFERROR(__xludf.DUMMYFUNCTION("""COMPUTED_VALUE"""),700)</f>
        <v>700</v>
      </c>
      <c r="E249" s="2" t="str">
        <f ca="1">IFERROR(__xludf.DUMMYFUNCTION("""COMPUTED_VALUE"""),"Free Love for Everyone")</f>
        <v>Free Love for Everyone</v>
      </c>
      <c r="F249" s="2" t="str">
        <f ca="1">IFERROR(__xludf.DUMMYFUNCTION("""COMPUTED_VALUE"""),"Mizuryu Kei Land")</f>
        <v>Mizuryu Kei Land</v>
      </c>
      <c r="G249" s="2" t="str">
        <f ca="1">IFERROR(__xludf.DUMMYFUNCTION("""COMPUTED_VALUE"""),"Powers")</f>
        <v>Powers</v>
      </c>
      <c r="H249" s="2" t="str">
        <f ca="1">IFERROR(__xludf.DUMMYFUNCTION("""COMPUTED_VALUE"""),"This is the most basic form of the philosophy that Mizuryu Kei Land runs on. 'Enjoy sex like a well cooked meal'. They really like that phrase. Anyways, they treat it as something everyone has a right to, and should be unashamed to want and to have. With "&amp;"that in mind, it's time to share the love. Any sex based perk that you posses (which is pretty much any perk in the Bordello) can now be freely given out via the simple act of sleeping with someone. You really should have seen that coming. Good at sex, go"&amp;"od at convincing people to have sex, some crazy pregnancy shenanigans, the power to share your sex based powers via sex... You know, that kind of stuff.")</f>
        <v>This is the most basic form of the philosophy that Mizuryu Kei Land runs on. 'Enjoy sex like a well cooked meal'. They really like that phrase. Anyways, they treat it as something everyone has a right to, and should be unashamed to want and to have. With that in mind, it's time to share the love. Any sex based perk that you posses (which is pretty much any perk in the Bordello) can now be freely given out via the simple act of sleeping with someone. You really should have seen that coming. Good at sex, good at convincing people to have sex, some crazy pregnancy shenanigans, the power to share your sex based powers via sex... You know, that kind of stuff.</v>
      </c>
      <c r="I249" s="5"/>
    </row>
    <row r="250" spans="1:9" ht="87" x14ac:dyDescent="0.25">
      <c r="A250" s="16"/>
      <c r="B250" s="17">
        <v>246</v>
      </c>
      <c r="C250" s="2" t="b">
        <f ca="1">IFERROR(__xludf.DUMMYFUNCTION("""COMPUTED_VALUE"""),FALSE)</f>
        <v>0</v>
      </c>
      <c r="D250" s="2">
        <f ca="1">IFERROR(__xludf.DUMMYFUNCTION("""COMPUTED_VALUE"""),700)</f>
        <v>700</v>
      </c>
      <c r="E250" s="2" t="str">
        <f ca="1">IFERROR(__xludf.DUMMYFUNCTION("""COMPUTED_VALUE"""),"Liberté")</f>
        <v>Liberté</v>
      </c>
      <c r="F250" s="2" t="str">
        <f ca="1">IFERROR(__xludf.DUMMYFUNCTION("""COMPUTED_VALUE"""),"The 120 Days of Sodom")</f>
        <v>The 120 Days of Sodom</v>
      </c>
      <c r="G250" s="2" t="str">
        <f ca="1">IFERROR(__xludf.DUMMYFUNCTION("""COMPUTED_VALUE"""),"Powers")</f>
        <v>Powers</v>
      </c>
      <c r="H250" s="2" t="str">
        <f ca="1">IFERROR(__xludf.DUMMYFUNCTION("""COMPUTED_VALUE"""),"Above all, the libertines are free. Free from the bounds of law, morality, and piety, free to indulge. So long as you wholeheartedly devote yourself to your own gratification, whatever form that may take, you will find that fortune smiles upon you, sweepi"&amp;"ng away obstacles, forestalling punishments, and presenting golden opportunities. Even otherwise insurmountable forces like fate or divinity may be overcome, should it serve your hedonistic appetites.")</f>
        <v>Above all, the libertines are free. Free from the bounds of law, morality, and piety, free to indulge. So long as you wholeheartedly devote yourself to your own gratification, whatever form that may take, you will find that fortune smiles upon you, sweeping away obstacles, forestalling punishments, and presenting golden opportunities. Even otherwise insurmountable forces like fate or divinity may be overcome, should it serve your hedonistic appetites.</v>
      </c>
      <c r="I250" s="5"/>
    </row>
    <row r="251" spans="1:9" ht="139.19999999999999" x14ac:dyDescent="0.25">
      <c r="A251" s="16"/>
      <c r="B251" s="17">
        <v>247</v>
      </c>
      <c r="C251" s="2" t="b">
        <f ca="1">IFERROR(__xludf.DUMMYFUNCTION("""COMPUTED_VALUE"""),FALSE)</f>
        <v>0</v>
      </c>
      <c r="D251" s="2">
        <f ca="1">IFERROR(__xludf.DUMMYFUNCTION("""COMPUTED_VALUE"""),700)</f>
        <v>700</v>
      </c>
      <c r="E251" s="2" t="str">
        <f ca="1">IFERROR(__xludf.DUMMYFUNCTION("""COMPUTED_VALUE"""),"Spoils of War")</f>
        <v>Spoils of War</v>
      </c>
      <c r="F251" s="2" t="str">
        <f ca="1">IFERROR(__xludf.DUMMYFUNCTION("""COMPUTED_VALUE"""),"Generic: Hentai Occult")</f>
        <v>Generic: Hentai Occult</v>
      </c>
      <c r="G251" s="2" t="str">
        <f ca="1">IFERROR(__xludf.DUMMYFUNCTION("""COMPUTED_VALUE"""),"Powers")</f>
        <v>Powers</v>
      </c>
      <c r="H251" s="2" t="str">
        <f ca="1">IFERROR(__xludf.DUMMYFUNCTION("""COMPUTED_VALUE"""),"Maybe you work for a shadowy conspiracy, working to remove some of the more disruptive influence from society. Maybe you work for a different shadow conspiracy, working to remove anyone disruptive to their plans for society. Doesn’t really matter. 
Whene"&amp;"ver you do ‘deal’ with someone, you can take something of theirs for yourself. Just think of all those neat toys that are being removed from untrustworthy hands... and then try not to become untrustworthy yourself. Oh, and the more final the ‘dealing with"&amp;"’ the better. After all, if you claim his life, you might as well claim his life. After all, his - I mean, your - wife is quite the looker.")</f>
        <v>Maybe you work for a shadowy conspiracy, working to remove some of the more disruptive influence from society. Maybe you work for a different shadow conspiracy, working to remove anyone disruptive to their plans for society. Doesn’t really matter. 
Whenever you do ‘deal’ with someone, you can take something of theirs for yourself. Just think of all those neat toys that are being removed from untrustworthy hands... and then try not to become untrustworthy yourself. Oh, and the more final the ‘dealing with’ the better. After all, if you claim his life, you might as well claim his life. After all, his - I mean, your - wife is quite the looker.</v>
      </c>
      <c r="I251" s="5"/>
    </row>
    <row r="252" spans="1:9" ht="243.6" x14ac:dyDescent="0.25">
      <c r="A252" s="16"/>
      <c r="B252" s="17">
        <v>248</v>
      </c>
      <c r="C252" s="2" t="b">
        <f ca="1">IFERROR(__xludf.DUMMYFUNCTION("""COMPUTED_VALUE"""),FALSE)</f>
        <v>0</v>
      </c>
      <c r="D252" s="2">
        <f ca="1">IFERROR(__xludf.DUMMYFUNCTION("""COMPUTED_VALUE"""),800)</f>
        <v>800</v>
      </c>
      <c r="E252" s="2" t="str">
        <f ca="1">IFERROR(__xludf.DUMMYFUNCTION("""COMPUTED_VALUE"""),"Law of the Jungle")</f>
        <v>Law of the Jungle</v>
      </c>
      <c r="F252" s="2" t="str">
        <f ca="1">IFERROR(__xludf.DUMMYFUNCTION("""COMPUTED_VALUE"""),"Legend Of Krystal")</f>
        <v>Legend Of Krystal</v>
      </c>
      <c r="G252" s="2" t="str">
        <f ca="1">IFERROR(__xludf.DUMMYFUNCTION("""COMPUTED_VALUE"""),"Powers")</f>
        <v>Powers</v>
      </c>
      <c r="H252" s="2" t="str">
        <f ca="1">IFERROR(__xludf.DUMMYFUNCTION("""COMPUTED_VALUE"""),"A beastly creature of the land such as yourself shouldn’t have to bother with societal niceties such as clothes or etiquette, and it seems everyone agrees. Nature seems to bend over for you, wildlife would rather breed with you than kill you, and they all"&amp;" seem to understand what you say and express such. They also seem quite willing to do what you say, even doing things for you unprompted. 
It doesn’t just stop at nature however, as those who are more inclined towards the comfort of society seem to be dr"&amp;"awn by your barbaric nature. Nudity in public areas does not garner embarrassment or shame, but arousal and desire. Stroking your cock while confidently telling a woman you’re going to keep her bare pawed and pregnant right in front of her husband will ha"&amp;"ve her spreading her legs for you right then and there instead of running for help. You could claim a male by simply telling him where his cock belongs with your hand in his pants in front of his own mother. Completely ignoring societal norms, rules, and "&amp;"etiquette in the name of getting a good fuck makes you savagely irresistible.")</f>
        <v>A beastly creature of the land such as yourself shouldn’t have to bother with societal niceties such as clothes or etiquette, and it seems everyone agrees. Nature seems to bend over for you, wildlife would rather breed with you than kill you, and they all seem to understand what you say and express such. They also seem quite willing to do what you say, even doing things for you unprompted. 
It doesn’t just stop at nature however, as those who are more inclined towards the comfort of society seem to be drawn by your barbaric nature. Nudity in public areas does not garner embarrassment or shame, but arousal and desire. Stroking your cock while confidently telling a woman you’re going to keep her bare pawed and pregnant right in front of her husband will have her spreading her legs for you right then and there instead of running for help. You could claim a male by simply telling him where his cock belongs with your hand in his pants in front of his own mother. Completely ignoring societal norms, rules, and etiquette in the name of getting a good fuck makes you savagely irresistible.</v>
      </c>
      <c r="I252" s="5"/>
    </row>
    <row r="253" spans="1:9" ht="278.39999999999998" x14ac:dyDescent="0.25">
      <c r="A253" s="16"/>
      <c r="B253" s="17">
        <v>249</v>
      </c>
      <c r="C253" s="2" t="b">
        <f ca="1">IFERROR(__xludf.DUMMYFUNCTION("""COMPUTED_VALUE"""),FALSE)</f>
        <v>0</v>
      </c>
      <c r="D253" s="2">
        <f ca="1">IFERROR(__xludf.DUMMYFUNCTION("""COMPUTED_VALUE"""),800)</f>
        <v>800</v>
      </c>
      <c r="E253" s="2" t="str">
        <f ca="1">IFERROR(__xludf.DUMMYFUNCTION("""COMPUTED_VALUE"""),"Luck of the Draw")</f>
        <v>Luck of the Draw</v>
      </c>
      <c r="F253" s="2" t="str">
        <f ca="1">IFERROR(__xludf.DUMMYFUNCTION("""COMPUTED_VALUE"""),"Generic: Hentai Fantasy")</f>
        <v>Generic: Hentai Fantasy</v>
      </c>
      <c r="G253" s="2" t="str">
        <f ca="1">IFERROR(__xludf.DUMMYFUNCTION("""COMPUTED_VALUE"""),"Powers")</f>
        <v>Powers</v>
      </c>
      <c r="H253" s="2" t="str">
        <f ca="1">IFERROR(__xludf.DUMMYFUNCTION("""COMPUTED_VALUE"""),"This... Is the wrong kind of game. Like, really wrong. I was expecting a hack and slash, not a gatcha game. Anyways, you've got a illusionary gatcha connected to a low fantasy world, much like this one. Additionally, it will run collaborations occasionall"&amp;"y, allowing you to summon nerfed versions of people and things from other worlds. Common rolls are usually everyday items, Legendary rolls will be weak copies of major players. Pulling a person does instill a base level of loyalty in them, thankfully.
As"&amp;" for how often, you get one point/draw per day, though doing mass rolls has better odds of pulling something powerful. You can also get additional draws from taking certain actions during collaberations or events. For example, you might get a roll for gif"&amp;"ting 10 different people a present that they really wanted during Christmas, or bedding 10 women during a Valentine's day event.
Also, once you've maxed something out - levelled it up, upgraded its skills, fed it stat boosters etc. - it gets removed from"&amp;" the gatcha. Or, in other words, you can slowly force the gatcha to give you stronger and stronger people and items simply by removing the weak ones from it. You can voluntarily add them back in if you want multiple copies though. Twins are always nice af"&amp;"ter all.")</f>
        <v>This... Is the wrong kind of game. Like, really wrong. I was expecting a hack and slash, not a gatcha game. Anyways, you've got a illusionary gatcha connected to a low fantasy world, much like this one. Additionally, it will run collaborations occasionally, allowing you to summon nerfed versions of people and things from other worlds. Common rolls are usually everyday items, Legendary rolls will be weak copies of major players. Pulling a person does instill a base level of loyalty in them, thankfully.
As for how often, you get one point/draw per day, though doing mass rolls has better odds of pulling something powerful. You can also get additional draws from taking certain actions during collaberations or events. For example, you might get a roll for gifting 10 different people a present that they really wanted during Christmas, or bedding 10 women during a Valentine's day event.
Also, once you've maxed something out - levelled it up, upgraded its skills, fed it stat boosters etc. - it gets removed from the gatcha. Or, in other words, you can slowly force the gatcha to give you stronger and stronger people and items simply by removing the weak ones from it. You can voluntarily add them back in if you want multiple copies though. Twins are always nice after all.</v>
      </c>
      <c r="I253" s="5"/>
    </row>
    <row r="254" spans="1:9" ht="156.6" x14ac:dyDescent="0.25">
      <c r="A254" s="16"/>
      <c r="B254" s="17">
        <v>250</v>
      </c>
      <c r="C254" s="2" t="b">
        <f ca="1">IFERROR(__xludf.DUMMYFUNCTION("""COMPUTED_VALUE"""),FALSE)</f>
        <v>0</v>
      </c>
      <c r="D254" s="2">
        <f ca="1">IFERROR(__xludf.DUMMYFUNCTION("""COMPUTED_VALUE"""),800)</f>
        <v>800</v>
      </c>
      <c r="E254" s="2" t="str">
        <f ca="1">IFERROR(__xludf.DUMMYFUNCTION("""COMPUTED_VALUE"""),"Star Cruiser")</f>
        <v>Star Cruiser</v>
      </c>
      <c r="F254" s="2" t="str">
        <f ca="1">IFERROR(__xludf.DUMMYFUNCTION("""COMPUTED_VALUE"""),"Generic: Lewd Science Fiction")</f>
        <v>Generic: Lewd Science Fiction</v>
      </c>
      <c r="G254" s="2" t="str">
        <f ca="1">IFERROR(__xludf.DUMMYFUNCTION("""COMPUTED_VALUE"""),"Powers")</f>
        <v>Powers</v>
      </c>
      <c r="H254" s="2" t="str">
        <f ca="1">IFERROR(__xludf.DUMMYFUNCTION("""COMPUTED_VALUE"""),"Built for comfort, not for speed...or anything else besides comfort really. This is a spacious, luxuriously furnished starship designed for a large crew and guest complement, but not designed for long or dangerous trips. The Cruiser’s beds might have the "&amp;"finest Kylirian silk sheets, built-in spas, tasteful art and shag rugs in every cabin, but its mediocre shields, speed and weaponry usually force them to stick to well-patrolled space routes. Essentially, a small cruiseliner in space.
The ship does not c"&amp;"ome with crew, but does come with a full database of techical manuals dictating the means of use and repair of all machines on board. This database can be searched via terminals or by the basic VI installed by default.")</f>
        <v>Built for comfort, not for speed...or anything else besides comfort really. This is a spacious, luxuriously furnished starship designed for a large crew and guest complement, but not designed for long or dangerous trips. The Cruiser’s beds might have the finest Kylirian silk sheets, built-in spas, tasteful art and shag rugs in every cabin, but its mediocre shields, speed and weaponry usually force them to stick to well-patrolled space routes. Essentially, a small cruiseliner in space.
The ship does not come with crew, but does come with a full database of techical manuals dictating the means of use and repair of all machines on board. This database can be searched via terminals or by the basic VI installed by default.</v>
      </c>
      <c r="I254" s="5"/>
    </row>
    <row r="255" spans="1:9" ht="208.8" x14ac:dyDescent="0.25">
      <c r="A255" s="16"/>
      <c r="B255" s="17">
        <v>251</v>
      </c>
      <c r="C255" s="2" t="b">
        <f ca="1">IFERROR(__xludf.DUMMYFUNCTION("""COMPUTED_VALUE"""),FALSE)</f>
        <v>0</v>
      </c>
      <c r="D255" s="2">
        <f ca="1">IFERROR(__xludf.DUMMYFUNCTION("""COMPUTED_VALUE"""),800)</f>
        <v>800</v>
      </c>
      <c r="E255" s="2" t="str">
        <f ca="1">IFERROR(__xludf.DUMMYFUNCTION("""COMPUTED_VALUE"""),"Unlimited Slave Works")</f>
        <v>Unlimited Slave Works</v>
      </c>
      <c r="F255" s="2" t="str">
        <f ca="1">IFERROR(__xludf.DUMMYFUNCTION("""COMPUTED_VALUE"""),"Fate/Grand Master")</f>
        <v>Fate/Grand Master</v>
      </c>
      <c r="G255" s="2" t="str">
        <f ca="1">IFERROR(__xludf.DUMMYFUNCTION("""COMPUTED_VALUE"""),"Powers")</f>
        <v>Powers</v>
      </c>
      <c r="H255" s="2" t="str">
        <f ca="1">IFERROR(__xludf.DUMMYFUNCTION("""COMPUTED_VALUE"""),"It takes a uniquely twisted individual to take the greatest heroines in history and turn them into a harem of sex slaves. Is it any surprise to you that your soul is just as depraved as your personality? You possess a reality marble, a mental world housed"&amp;" within your soul which you can project over the real world, dragging others around you into it. This world is a magical sex dungeon, an endless prison which your adversaries can escape only by killing you, while defeated foes instead become your prisoner"&amp;"s and can only be freed if you are defeated some other way. 
Your reality marble contains all manner of fiendish devices designed to punish and enslave, including any appropriate items you might have gathered in your adventures, and you may conjure them "&amp;"into the real world to attack your enemies using a small expenditure of mana. Beyond these powers the aesthetic of your reality marble is up to you; it might be a luxurious palace lit by candlelight and incense or a dank cellar whose shadows stretch out i"&amp;"nto an endless abyss.")</f>
        <v>It takes a uniquely twisted individual to take the greatest heroines in history and turn them into a harem of sex slaves. Is it any surprise to you that your soul is just as depraved as your personality? You possess a reality marble, a mental world housed within your soul which you can project over the real world, dragging others around you into it. This world is a magical sex dungeon, an endless prison which your adversaries can escape only by killing you, while defeated foes instead become your prisoners and can only be freed if you are defeated some other way. 
Your reality marble contains all manner of fiendish devices designed to punish and enslave, including any appropriate items you might have gathered in your adventures, and you may conjure them into the real world to attack your enemies using a small expenditure of mana. Beyond these powers the aesthetic of your reality marble is up to you; it might be a luxurious palace lit by candlelight and incense or a dank cellar whose shadows stretch out into an endless abyss.</v>
      </c>
      <c r="I255" s="5"/>
    </row>
    <row r="256" spans="1:9" ht="104.4" x14ac:dyDescent="0.25">
      <c r="A256" s="16"/>
      <c r="B256" s="17">
        <v>252</v>
      </c>
      <c r="C256" s="2" t="b">
        <f ca="1">IFERROR(__xludf.DUMMYFUNCTION("""COMPUTED_VALUE"""),FALSE)</f>
        <v>0</v>
      </c>
      <c r="D256" s="2">
        <f ca="1">IFERROR(__xludf.DUMMYFUNCTION("""COMPUTED_VALUE"""),800)</f>
        <v>800</v>
      </c>
      <c r="E256" s="2" t="str">
        <f ca="1">IFERROR(__xludf.DUMMYFUNCTION("""COMPUTED_VALUE"""),"Zero Zero:Zero Zero")</f>
        <v>Zero Zero:Zero Zero</v>
      </c>
      <c r="F256" s="2" t="str">
        <f ca="1">IFERROR(__xludf.DUMMYFUNCTION("""COMPUTED_VALUE"""),"Stopman")</f>
        <v>Stopman</v>
      </c>
      <c r="G256" s="2" t="str">
        <f ca="1">IFERROR(__xludf.DUMMYFUNCTION("""COMPUTED_VALUE"""),"Powers")</f>
        <v>Powers</v>
      </c>
      <c r="H256" s="2" t="str">
        <f ca="1">IFERROR(__xludf.DUMMYFUNCTION("""COMPUTED_VALUE"""),"You possess the same power as Stopman, our iron fist of justice! Specifically, you can stop time. Additional benefits include - summoning versions of yourself from alternate timelines, traveling to other timelines to help alternate versions of yourself, p"&amp;"artially unfreezing people's minds slash body to better deliver justice, or freezing the time of your cum to prevent women from getting pregnant. Stopman himself uses these powers to rape evil women before they can murder their exboyfriends, but you can u"&amp;"se them as you please.")</f>
        <v>You possess the same power as Stopman, our iron fist of justice! Specifically, you can stop time. Additional benefits include - summoning versions of yourself from alternate timelines, traveling to other timelines to help alternate versions of yourself, partially unfreezing people's minds slash body to better deliver justice, or freezing the time of your cum to prevent women from getting pregnant. Stopman himself uses these powers to rape evil women before they can murder their exboyfriends, but you can use them as you please.</v>
      </c>
      <c r="I256" s="5"/>
    </row>
    <row r="257" spans="1:9" ht="17.399999999999999" x14ac:dyDescent="0.25">
      <c r="A257" s="16"/>
      <c r="B257" s="17"/>
      <c r="C257" s="2" t="b">
        <f ca="1">IFERROR(__xludf.DUMMYFUNCTION("""COMPUTED_VALUE"""),TRUE)</f>
        <v>1</v>
      </c>
      <c r="D257" s="2">
        <f ca="1">IFERROR(__xludf.DUMMYFUNCTION("""COMPUTED_VALUE"""),-100)</f>
        <v>-100</v>
      </c>
      <c r="E257" s="2" t="str">
        <f ca="1">IFERROR(__xludf.DUMMYFUNCTION("""COMPUTED_VALUE"""),"Purchased Perks")</f>
        <v>Purchased Perks</v>
      </c>
      <c r="F257" s="2">
        <f ca="1">IFERROR(__xludf.DUMMYFUNCTION("""COMPUTED_VALUE"""),9)</f>
        <v>9</v>
      </c>
      <c r="G257" s="2" t="str">
        <f ca="1">IFERROR(__xludf.DUMMYFUNCTION("""COMPUTED_VALUE"""),"Powers")</f>
        <v>Powers</v>
      </c>
      <c r="H257" s="2"/>
      <c r="I257" s="5"/>
    </row>
    <row r="258" spans="1:9" ht="17.399999999999999" x14ac:dyDescent="0.25">
      <c r="A258" s="16"/>
      <c r="B258" s="17"/>
      <c r="C258" s="2"/>
      <c r="D258" s="2"/>
      <c r="E258" s="2"/>
      <c r="F258" s="2"/>
      <c r="G258" s="2"/>
      <c r="H258" s="2"/>
      <c r="I258" s="5"/>
    </row>
    <row r="259" spans="1:9" ht="17.399999999999999" x14ac:dyDescent="0.25">
      <c r="A259" s="16"/>
      <c r="B259" s="17"/>
      <c r="C259" s="2"/>
      <c r="D259" s="2"/>
      <c r="E259" s="2"/>
      <c r="F259" s="2"/>
      <c r="G259" s="2"/>
      <c r="H259" s="2"/>
      <c r="I259" s="5"/>
    </row>
    <row r="260" spans="1:9" ht="17.399999999999999" x14ac:dyDescent="0.25">
      <c r="A260" s="16"/>
      <c r="B260" s="17"/>
      <c r="C260" s="2"/>
      <c r="D260" s="2"/>
      <c r="E260" s="2"/>
      <c r="F260" s="2"/>
      <c r="G260" s="2"/>
      <c r="H260" s="2"/>
      <c r="I260" s="5"/>
    </row>
    <row r="261" spans="1:9" ht="17.399999999999999" x14ac:dyDescent="0.25">
      <c r="A261" s="16"/>
      <c r="B261" s="17"/>
      <c r="C261" s="2"/>
      <c r="D261" s="2"/>
      <c r="E261" s="2"/>
      <c r="F261" s="2"/>
      <c r="G261" s="2"/>
      <c r="H261" s="2"/>
      <c r="I261" s="5"/>
    </row>
    <row r="262" spans="1:9" ht="17.399999999999999" x14ac:dyDescent="0.25">
      <c r="A262" s="16"/>
      <c r="B262" s="17"/>
      <c r="C262" s="2"/>
      <c r="D262" s="2"/>
      <c r="E262" s="2"/>
      <c r="F262" s="2"/>
      <c r="G262" s="2"/>
      <c r="H262" s="2"/>
      <c r="I262" s="5"/>
    </row>
    <row r="263" spans="1:9" ht="17.399999999999999" x14ac:dyDescent="0.25">
      <c r="A263" s="16"/>
      <c r="B263" s="17"/>
      <c r="C263" s="2"/>
      <c r="D263" s="2"/>
      <c r="E263" s="2"/>
      <c r="F263" s="2"/>
      <c r="G263" s="2"/>
      <c r="H263" s="2"/>
      <c r="I263" s="5"/>
    </row>
    <row r="264" spans="1:9" ht="17.399999999999999" x14ac:dyDescent="0.25">
      <c r="A264" s="16"/>
      <c r="B264" s="17"/>
      <c r="C264" s="2"/>
      <c r="D264" s="2"/>
      <c r="E264" s="2"/>
      <c r="F264" s="2"/>
      <c r="G264" s="2"/>
      <c r="H264" s="2"/>
      <c r="I264" s="5"/>
    </row>
    <row r="265" spans="1:9" ht="17.399999999999999" x14ac:dyDescent="0.25">
      <c r="A265" s="16"/>
      <c r="B265" s="17"/>
      <c r="C265" s="2"/>
      <c r="D265" s="2"/>
      <c r="E265" s="2"/>
      <c r="F265" s="2"/>
      <c r="G265" s="2"/>
      <c r="H265" s="2"/>
      <c r="I265" s="5"/>
    </row>
    <row r="266" spans="1:9" ht="17.399999999999999" x14ac:dyDescent="0.25">
      <c r="A266" s="16"/>
      <c r="B266" s="17"/>
      <c r="C266" s="2"/>
      <c r="D266" s="2"/>
      <c r="E266" s="2"/>
      <c r="F266" s="2"/>
      <c r="G266" s="2"/>
      <c r="H266" s="2"/>
      <c r="I266" s="5"/>
    </row>
    <row r="267" spans="1:9" ht="17.399999999999999" x14ac:dyDescent="0.25">
      <c r="A267" s="16"/>
      <c r="B267" s="17"/>
      <c r="C267" s="2"/>
      <c r="D267" s="2"/>
      <c r="E267" s="2"/>
      <c r="F267" s="2"/>
      <c r="G267" s="2"/>
      <c r="H267" s="2"/>
      <c r="I267" s="5"/>
    </row>
    <row r="268" spans="1:9" ht="17.399999999999999" x14ac:dyDescent="0.25">
      <c r="A268" s="16"/>
      <c r="B268" s="17"/>
      <c r="C268" s="2"/>
      <c r="D268" s="2"/>
      <c r="E268" s="2"/>
      <c r="F268" s="2"/>
      <c r="G268" s="2"/>
      <c r="H268" s="2"/>
      <c r="I268" s="5"/>
    </row>
    <row r="269" spans="1:9" ht="17.399999999999999" x14ac:dyDescent="0.25">
      <c r="A269" s="16"/>
      <c r="B269" s="17"/>
      <c r="C269" s="2"/>
      <c r="D269" s="2"/>
      <c r="E269" s="2"/>
      <c r="F269" s="2"/>
      <c r="G269" s="2"/>
      <c r="H269" s="2"/>
      <c r="I269" s="5"/>
    </row>
    <row r="270" spans="1:9" ht="17.399999999999999" x14ac:dyDescent="0.25">
      <c r="A270" s="16"/>
      <c r="B270" s="17"/>
      <c r="C270" s="2"/>
      <c r="D270" s="2"/>
      <c r="E270" s="2"/>
      <c r="F270" s="2"/>
      <c r="G270" s="2"/>
      <c r="H270" s="2"/>
      <c r="I270" s="5"/>
    </row>
    <row r="271" spans="1:9" ht="17.399999999999999" x14ac:dyDescent="0.25">
      <c r="A271" s="16"/>
      <c r="B271" s="17"/>
      <c r="C271" s="2"/>
      <c r="D271" s="2"/>
      <c r="E271" s="2"/>
      <c r="F271" s="2"/>
      <c r="G271" s="2"/>
      <c r="H271" s="2"/>
      <c r="I271" s="5"/>
    </row>
    <row r="272" spans="1:9" ht="17.399999999999999" x14ac:dyDescent="0.25">
      <c r="A272" s="16"/>
      <c r="B272" s="17"/>
      <c r="C272" s="2"/>
      <c r="D272" s="2"/>
      <c r="E272" s="2"/>
      <c r="F272" s="2"/>
      <c r="G272" s="2"/>
      <c r="H272" s="2"/>
      <c r="I272" s="5"/>
    </row>
    <row r="273" spans="1:9" ht="17.399999999999999" x14ac:dyDescent="0.25">
      <c r="A273" s="16"/>
      <c r="B273" s="17"/>
      <c r="C273" s="2"/>
      <c r="D273" s="2"/>
      <c r="E273" s="2"/>
      <c r="F273" s="2"/>
      <c r="G273" s="2"/>
      <c r="H273" s="2"/>
      <c r="I273" s="5"/>
    </row>
    <row r="274" spans="1:9" ht="17.399999999999999" x14ac:dyDescent="0.25">
      <c r="A274" s="16"/>
      <c r="B274" s="17"/>
      <c r="C274" s="2"/>
      <c r="D274" s="2"/>
      <c r="E274" s="2"/>
      <c r="F274" s="2"/>
      <c r="G274" s="2"/>
      <c r="H274" s="2"/>
      <c r="I274" s="5"/>
    </row>
    <row r="275" spans="1:9" ht="17.399999999999999" x14ac:dyDescent="0.25">
      <c r="A275" s="16"/>
      <c r="B275" s="17"/>
      <c r="C275" s="2"/>
      <c r="D275" s="2"/>
      <c r="E275" s="2"/>
      <c r="F275" s="2"/>
      <c r="G275" s="2"/>
      <c r="H275" s="2"/>
      <c r="I275" s="5"/>
    </row>
    <row r="276" spans="1:9" ht="17.399999999999999" x14ac:dyDescent="0.25">
      <c r="A276" s="16"/>
      <c r="B276" s="17"/>
      <c r="C276" s="2"/>
      <c r="D276" s="2"/>
      <c r="E276" s="2"/>
      <c r="F276" s="2"/>
      <c r="G276" s="2"/>
      <c r="H276" s="2"/>
      <c r="I276" s="5"/>
    </row>
    <row r="277" spans="1:9" ht="17.399999999999999" x14ac:dyDescent="0.25">
      <c r="A277" s="16"/>
      <c r="B277" s="17"/>
      <c r="C277" s="2"/>
      <c r="D277" s="2"/>
      <c r="E277" s="2"/>
      <c r="F277" s="2"/>
      <c r="G277" s="2"/>
      <c r="H277" s="2"/>
      <c r="I277" s="5"/>
    </row>
    <row r="278" spans="1:9" ht="17.399999999999999" x14ac:dyDescent="0.25">
      <c r="A278" s="16"/>
      <c r="B278" s="17"/>
      <c r="C278" s="2"/>
      <c r="D278" s="2"/>
      <c r="E278" s="2"/>
      <c r="F278" s="2"/>
      <c r="G278" s="2"/>
      <c r="H278" s="2"/>
      <c r="I278" s="5"/>
    </row>
    <row r="279" spans="1:9" ht="17.399999999999999" x14ac:dyDescent="0.25">
      <c r="A279" s="16"/>
      <c r="B279" s="17"/>
      <c r="C279" s="2"/>
      <c r="D279" s="2"/>
      <c r="E279" s="2"/>
      <c r="F279" s="2"/>
      <c r="G279" s="2"/>
      <c r="H279" s="2"/>
      <c r="I279" s="5"/>
    </row>
    <row r="280" spans="1:9" ht="17.399999999999999" x14ac:dyDescent="0.25">
      <c r="A280" s="16"/>
      <c r="B280" s="17"/>
      <c r="C280" s="2"/>
      <c r="D280" s="2"/>
      <c r="E280" s="2"/>
      <c r="F280" s="2"/>
      <c r="G280" s="2"/>
      <c r="H280" s="2"/>
      <c r="I280" s="5"/>
    </row>
    <row r="281" spans="1:9" ht="17.399999999999999" x14ac:dyDescent="0.25">
      <c r="A281" s="16"/>
      <c r="B281" s="17"/>
      <c r="C281" s="2"/>
      <c r="D281" s="2"/>
      <c r="E281" s="2"/>
      <c r="F281" s="2"/>
      <c r="G281" s="2"/>
      <c r="H281" s="2"/>
      <c r="I281" s="5"/>
    </row>
    <row r="282" spans="1:9" ht="17.399999999999999" x14ac:dyDescent="0.25">
      <c r="A282" s="16"/>
      <c r="B282" s="17"/>
      <c r="C282" s="2"/>
      <c r="D282" s="2"/>
      <c r="E282" s="2"/>
      <c r="F282" s="2"/>
      <c r="G282" s="2"/>
      <c r="H282" s="2"/>
      <c r="I282" s="5"/>
    </row>
    <row r="283" spans="1:9" ht="17.399999999999999" x14ac:dyDescent="0.25">
      <c r="A283" s="16"/>
      <c r="B283" s="17"/>
      <c r="C283" s="2"/>
      <c r="D283" s="2"/>
      <c r="E283" s="2"/>
      <c r="F283" s="2"/>
      <c r="G283" s="2"/>
      <c r="H283" s="2"/>
      <c r="I283" s="5"/>
    </row>
    <row r="284" spans="1:9" ht="17.399999999999999" x14ac:dyDescent="0.25">
      <c r="A284" s="16"/>
      <c r="B284" s="17"/>
      <c r="C284" s="2"/>
      <c r="D284" s="2"/>
      <c r="E284" s="2"/>
      <c r="F284" s="2"/>
      <c r="G284" s="2"/>
      <c r="H284" s="2"/>
      <c r="I284" s="5"/>
    </row>
    <row r="285" spans="1:9" ht="17.399999999999999" x14ac:dyDescent="0.25">
      <c r="A285" s="16"/>
      <c r="B285" s="17"/>
      <c r="C285" s="2"/>
      <c r="D285" s="2"/>
      <c r="E285" s="2"/>
      <c r="F285" s="2"/>
      <c r="G285" s="2"/>
      <c r="H285" s="2"/>
      <c r="I285" s="5"/>
    </row>
    <row r="286" spans="1:9" ht="17.399999999999999" x14ac:dyDescent="0.25">
      <c r="A286" s="16"/>
      <c r="B286" s="17"/>
      <c r="C286" s="2"/>
      <c r="D286" s="2"/>
      <c r="E286" s="2"/>
      <c r="F286" s="2"/>
      <c r="G286" s="2"/>
      <c r="H286" s="2"/>
      <c r="I286" s="5"/>
    </row>
    <row r="287" spans="1:9" ht="17.399999999999999" x14ac:dyDescent="0.25">
      <c r="A287" s="16"/>
      <c r="B287" s="17"/>
      <c r="C287" s="2"/>
      <c r="D287" s="2"/>
      <c r="E287" s="2"/>
      <c r="F287" s="2"/>
      <c r="G287" s="2"/>
      <c r="H287" s="2"/>
      <c r="I287" s="5"/>
    </row>
    <row r="288" spans="1:9" ht="17.399999999999999" x14ac:dyDescent="0.25">
      <c r="A288" s="16"/>
      <c r="B288" s="17"/>
      <c r="C288" s="2"/>
      <c r="D288" s="2"/>
      <c r="E288" s="2"/>
      <c r="F288" s="2"/>
      <c r="G288" s="2"/>
      <c r="H288" s="2"/>
      <c r="I288" s="5"/>
    </row>
    <row r="289" spans="1:9" ht="17.399999999999999" x14ac:dyDescent="0.25">
      <c r="A289" s="16"/>
      <c r="B289" s="17"/>
      <c r="C289" s="2"/>
      <c r="D289" s="2"/>
      <c r="E289" s="2"/>
      <c r="F289" s="2"/>
      <c r="G289" s="2"/>
      <c r="H289" s="2"/>
      <c r="I289" s="5"/>
    </row>
    <row r="290" spans="1:9" ht="17.399999999999999" x14ac:dyDescent="0.25">
      <c r="A290" s="16"/>
      <c r="B290" s="17"/>
      <c r="C290" s="2"/>
      <c r="D290" s="2"/>
      <c r="E290" s="2"/>
      <c r="F290" s="2"/>
      <c r="G290" s="2"/>
      <c r="H290" s="2"/>
      <c r="I290" s="5"/>
    </row>
    <row r="291" spans="1:9" ht="17.399999999999999" x14ac:dyDescent="0.25">
      <c r="A291" s="16"/>
      <c r="B291" s="17"/>
      <c r="C291" s="2"/>
      <c r="D291" s="2"/>
      <c r="E291" s="2"/>
      <c r="F291" s="2"/>
      <c r="G291" s="2"/>
      <c r="H291" s="2"/>
      <c r="I291" s="5"/>
    </row>
    <row r="292" spans="1:9" ht="17.399999999999999" x14ac:dyDescent="0.25">
      <c r="A292" s="16"/>
      <c r="B292" s="17"/>
      <c r="C292" s="2"/>
      <c r="D292" s="2"/>
      <c r="E292" s="2"/>
      <c r="F292" s="2"/>
      <c r="G292" s="2"/>
      <c r="H292" s="2"/>
      <c r="I292" s="5"/>
    </row>
    <row r="293" spans="1:9" ht="17.399999999999999" x14ac:dyDescent="0.25">
      <c r="A293" s="16"/>
      <c r="B293" s="17"/>
      <c r="C293" s="2"/>
      <c r="D293" s="2"/>
      <c r="E293" s="2"/>
      <c r="F293" s="2"/>
      <c r="G293" s="2"/>
      <c r="H293" s="2"/>
      <c r="I293" s="5"/>
    </row>
    <row r="294" spans="1:9" ht="17.399999999999999" x14ac:dyDescent="0.25">
      <c r="A294" s="16"/>
      <c r="B294" s="17"/>
      <c r="C294" s="2"/>
      <c r="D294" s="2"/>
      <c r="E294" s="2"/>
      <c r="F294" s="2"/>
      <c r="G294" s="2"/>
      <c r="H294" s="2"/>
      <c r="I294" s="5"/>
    </row>
    <row r="295" spans="1:9" ht="17.399999999999999" x14ac:dyDescent="0.25">
      <c r="A295" s="16"/>
      <c r="B295" s="17"/>
      <c r="C295" s="2"/>
      <c r="D295" s="2"/>
      <c r="E295" s="2"/>
      <c r="F295" s="2"/>
      <c r="G295" s="2"/>
      <c r="H295" s="2"/>
      <c r="I295" s="5"/>
    </row>
    <row r="296" spans="1:9" ht="17.399999999999999" x14ac:dyDescent="0.25">
      <c r="A296" s="16"/>
      <c r="B296" s="17"/>
      <c r="C296" s="2"/>
      <c r="D296" s="2"/>
      <c r="E296" s="2"/>
      <c r="F296" s="2"/>
      <c r="G296" s="2"/>
      <c r="H296" s="2"/>
      <c r="I296" s="5"/>
    </row>
    <row r="297" spans="1:9" ht="17.399999999999999" x14ac:dyDescent="0.25">
      <c r="A297" s="16"/>
      <c r="B297" s="17"/>
      <c r="C297" s="2"/>
      <c r="D297" s="2"/>
      <c r="E297" s="2"/>
      <c r="F297" s="2"/>
      <c r="G297" s="2"/>
      <c r="H297" s="2"/>
      <c r="I297" s="5"/>
    </row>
    <row r="298" spans="1:9" ht="17.399999999999999" x14ac:dyDescent="0.25">
      <c r="A298" s="16"/>
      <c r="B298" s="17"/>
      <c r="C298" s="2"/>
      <c r="D298" s="2"/>
      <c r="E298" s="2"/>
      <c r="F298" s="2"/>
      <c r="G298" s="2"/>
      <c r="H298" s="2"/>
      <c r="I298" s="5"/>
    </row>
    <row r="299" spans="1:9" ht="17.399999999999999" x14ac:dyDescent="0.25">
      <c r="A299" s="16"/>
      <c r="B299" s="17"/>
      <c r="C299" s="2"/>
      <c r="D299" s="2"/>
      <c r="E299" s="2"/>
      <c r="F299" s="2"/>
      <c r="G299" s="2"/>
      <c r="H299" s="2"/>
      <c r="I299" s="5"/>
    </row>
    <row r="300" spans="1:9" ht="17.399999999999999" x14ac:dyDescent="0.25">
      <c r="A300" s="16"/>
      <c r="B300" s="17"/>
      <c r="C300" s="2"/>
      <c r="D300" s="2"/>
      <c r="E300" s="2"/>
      <c r="F300" s="2"/>
      <c r="G300" s="2"/>
      <c r="H300" s="2"/>
      <c r="I300" s="5"/>
    </row>
    <row r="301" spans="1:9" ht="17.399999999999999" x14ac:dyDescent="0.25">
      <c r="A301" s="16"/>
      <c r="B301" s="17"/>
      <c r="C301" s="2"/>
      <c r="D301" s="2"/>
      <c r="E301" s="2"/>
      <c r="F301" s="2"/>
      <c r="G301" s="2"/>
      <c r="H301" s="2"/>
      <c r="I301" s="5"/>
    </row>
    <row r="302" spans="1:9" ht="17.399999999999999" x14ac:dyDescent="0.25">
      <c r="A302" s="16"/>
      <c r="B302" s="17"/>
      <c r="C302" s="2"/>
      <c r="D302" s="2"/>
      <c r="E302" s="2"/>
      <c r="F302" s="2"/>
      <c r="G302" s="2"/>
      <c r="H302" s="2"/>
      <c r="I302" s="5"/>
    </row>
    <row r="303" spans="1:9" ht="17.399999999999999" x14ac:dyDescent="0.25">
      <c r="A303" s="16"/>
      <c r="B303" s="17"/>
      <c r="C303" s="2"/>
      <c r="D303" s="2"/>
      <c r="E303" s="2"/>
      <c r="F303" s="2"/>
      <c r="G303" s="2"/>
      <c r="H303" s="2"/>
      <c r="I303" s="5"/>
    </row>
    <row r="304" spans="1:9" ht="17.399999999999999" x14ac:dyDescent="0.25">
      <c r="A304" s="16"/>
      <c r="B304" s="17"/>
      <c r="C304" s="2"/>
      <c r="D304" s="2"/>
      <c r="E304" s="2"/>
      <c r="F304" s="2"/>
      <c r="G304" s="2"/>
      <c r="H304" s="2"/>
      <c r="I304" s="5"/>
    </row>
    <row r="305" spans="1:9" ht="17.399999999999999" x14ac:dyDescent="0.25">
      <c r="A305" s="16"/>
      <c r="B305" s="17"/>
      <c r="C305" s="2"/>
      <c r="D305" s="2"/>
      <c r="E305" s="2"/>
      <c r="F305" s="2"/>
      <c r="G305" s="2"/>
      <c r="H305" s="2"/>
      <c r="I305" s="5"/>
    </row>
    <row r="306" spans="1:9" ht="17.399999999999999" x14ac:dyDescent="0.25">
      <c r="A306" s="16"/>
      <c r="B306" s="17"/>
      <c r="C306" s="2"/>
      <c r="D306" s="2"/>
      <c r="E306" s="2"/>
      <c r="F306" s="2"/>
      <c r="G306" s="2"/>
      <c r="H306" s="2"/>
      <c r="I306" s="5"/>
    </row>
    <row r="307" spans="1:9" ht="17.399999999999999" x14ac:dyDescent="0.25">
      <c r="A307" s="16"/>
      <c r="B307" s="17"/>
      <c r="C307" s="2"/>
      <c r="D307" s="2"/>
      <c r="E307" s="2"/>
      <c r="F307" s="2"/>
      <c r="G307" s="2"/>
      <c r="H307" s="2"/>
      <c r="I307" s="5"/>
    </row>
    <row r="308" spans="1:9" ht="17.399999999999999" x14ac:dyDescent="0.25">
      <c r="A308" s="16"/>
      <c r="B308" s="17"/>
      <c r="C308" s="2"/>
      <c r="D308" s="2"/>
      <c r="E308" s="2"/>
      <c r="F308" s="2"/>
      <c r="G308" s="2"/>
      <c r="H308" s="2"/>
      <c r="I308" s="5"/>
    </row>
    <row r="309" spans="1:9" ht="17.399999999999999" x14ac:dyDescent="0.25">
      <c r="A309" s="16"/>
      <c r="B309" s="17"/>
      <c r="C309" s="2"/>
      <c r="D309" s="2"/>
      <c r="E309" s="2"/>
      <c r="F309" s="2"/>
      <c r="G309" s="2"/>
      <c r="H309" s="2"/>
      <c r="I309" s="5"/>
    </row>
    <row r="310" spans="1:9" ht="17.399999999999999" x14ac:dyDescent="0.25">
      <c r="A310" s="16"/>
      <c r="B310" s="17"/>
      <c r="C310" s="2"/>
      <c r="D310" s="2"/>
      <c r="E310" s="2"/>
      <c r="F310" s="2"/>
      <c r="G310" s="2"/>
      <c r="H310" s="2"/>
      <c r="I310" s="5"/>
    </row>
    <row r="311" spans="1:9" ht="17.399999999999999" x14ac:dyDescent="0.25">
      <c r="A311" s="16"/>
      <c r="B311" s="17"/>
      <c r="C311" s="2"/>
      <c r="D311" s="2"/>
      <c r="E311" s="2"/>
      <c r="F311" s="2"/>
      <c r="G311" s="2"/>
      <c r="H311" s="2"/>
      <c r="I311" s="5"/>
    </row>
    <row r="312" spans="1:9" ht="17.399999999999999" x14ac:dyDescent="0.25">
      <c r="A312" s="16"/>
      <c r="B312" s="17"/>
      <c r="C312" s="2"/>
      <c r="D312" s="2"/>
      <c r="E312" s="2"/>
      <c r="F312" s="2"/>
      <c r="G312" s="2"/>
      <c r="H312" s="2"/>
      <c r="I312" s="5"/>
    </row>
    <row r="313" spans="1:9" ht="17.399999999999999" x14ac:dyDescent="0.25">
      <c r="A313" s="16"/>
      <c r="B313" s="17"/>
      <c r="C313" s="2"/>
      <c r="D313" s="2"/>
      <c r="E313" s="2"/>
      <c r="F313" s="2"/>
      <c r="G313" s="2"/>
      <c r="H313" s="2"/>
      <c r="I313" s="5"/>
    </row>
    <row r="314" spans="1:9" ht="17.399999999999999" x14ac:dyDescent="0.25">
      <c r="A314" s="16"/>
      <c r="B314" s="17"/>
      <c r="C314" s="2"/>
      <c r="D314" s="2"/>
      <c r="E314" s="2"/>
      <c r="F314" s="2"/>
      <c r="G314" s="2"/>
      <c r="H314" s="2"/>
      <c r="I314" s="5"/>
    </row>
    <row r="315" spans="1:9" ht="17.399999999999999" x14ac:dyDescent="0.25">
      <c r="A315" s="16"/>
      <c r="B315" s="17"/>
      <c r="C315" s="2"/>
      <c r="D315" s="2"/>
      <c r="E315" s="2"/>
      <c r="F315" s="2"/>
      <c r="G315" s="2"/>
      <c r="H315" s="2"/>
      <c r="I315" s="5"/>
    </row>
    <row r="316" spans="1:9" ht="17.399999999999999" x14ac:dyDescent="0.25">
      <c r="A316" s="16"/>
      <c r="B316" s="17"/>
      <c r="C316" s="2"/>
      <c r="D316" s="2"/>
      <c r="E316" s="2"/>
      <c r="F316" s="2"/>
      <c r="G316" s="2"/>
      <c r="H316" s="2"/>
      <c r="I316" s="5"/>
    </row>
    <row r="317" spans="1:9" ht="17.399999999999999" x14ac:dyDescent="0.25">
      <c r="A317" s="16"/>
      <c r="B317" s="17"/>
      <c r="C317" s="2"/>
      <c r="D317" s="2"/>
      <c r="E317" s="2"/>
      <c r="F317" s="2"/>
      <c r="G317" s="2"/>
      <c r="H317" s="2"/>
      <c r="I317" s="5"/>
    </row>
    <row r="318" spans="1:9" ht="17.399999999999999" x14ac:dyDescent="0.25">
      <c r="A318" s="16"/>
      <c r="B318" s="17"/>
      <c r="C318" s="2"/>
      <c r="D318" s="2"/>
      <c r="E318" s="2"/>
      <c r="F318" s="2"/>
      <c r="G318" s="2"/>
      <c r="H318" s="2"/>
      <c r="I318" s="5"/>
    </row>
    <row r="319" spans="1:9" ht="17.399999999999999" x14ac:dyDescent="0.25">
      <c r="A319" s="16"/>
      <c r="B319" s="17"/>
      <c r="C319" s="2"/>
      <c r="D319" s="2"/>
      <c r="E319" s="2"/>
      <c r="F319" s="2"/>
      <c r="G319" s="2"/>
      <c r="H319" s="2"/>
      <c r="I319" s="5"/>
    </row>
    <row r="320" spans="1:9" ht="17.399999999999999" x14ac:dyDescent="0.25">
      <c r="A320" s="16"/>
      <c r="B320" s="17"/>
      <c r="C320" s="2"/>
      <c r="D320" s="2"/>
      <c r="E320" s="2"/>
      <c r="F320" s="2"/>
      <c r="G320" s="2"/>
      <c r="H320" s="2"/>
      <c r="I320" s="5"/>
    </row>
    <row r="321" spans="1:9" ht="17.399999999999999" x14ac:dyDescent="0.25">
      <c r="A321" s="16"/>
      <c r="B321" s="17"/>
      <c r="C321" s="2"/>
      <c r="D321" s="2"/>
      <c r="E321" s="2"/>
      <c r="F321" s="2"/>
      <c r="G321" s="2"/>
      <c r="H321" s="2"/>
      <c r="I321" s="5"/>
    </row>
    <row r="322" spans="1:9" ht="17.399999999999999" x14ac:dyDescent="0.25">
      <c r="A322" s="16"/>
      <c r="B322" s="17"/>
      <c r="C322" s="2"/>
      <c r="D322" s="2"/>
      <c r="E322" s="2"/>
      <c r="F322" s="2"/>
      <c r="G322" s="2"/>
      <c r="H322" s="2"/>
      <c r="I322" s="5"/>
    </row>
    <row r="323" spans="1:9" ht="17.399999999999999" x14ac:dyDescent="0.25">
      <c r="A323" s="16"/>
      <c r="B323" s="17"/>
      <c r="C323" s="2"/>
      <c r="D323" s="2"/>
      <c r="E323" s="2"/>
      <c r="F323" s="2"/>
      <c r="G323" s="2"/>
      <c r="H323" s="2"/>
      <c r="I323" s="5"/>
    </row>
    <row r="324" spans="1:9" ht="17.399999999999999" x14ac:dyDescent="0.25">
      <c r="A324" s="16"/>
      <c r="B324" s="17"/>
      <c r="C324" s="2"/>
      <c r="D324" s="2"/>
      <c r="E324" s="2"/>
      <c r="F324" s="2"/>
      <c r="G324" s="2"/>
      <c r="H324" s="2"/>
      <c r="I324" s="5"/>
    </row>
    <row r="325" spans="1:9" ht="17.399999999999999" x14ac:dyDescent="0.25">
      <c r="A325" s="16"/>
      <c r="B325" s="17"/>
      <c r="C325" s="2"/>
      <c r="D325" s="2"/>
      <c r="E325" s="2"/>
      <c r="F325" s="2"/>
      <c r="G325" s="2"/>
      <c r="H325" s="2"/>
      <c r="I325" s="5"/>
    </row>
    <row r="326" spans="1:9" ht="17.399999999999999" x14ac:dyDescent="0.25">
      <c r="A326" s="16"/>
      <c r="B326" s="17"/>
      <c r="C326" s="2"/>
      <c r="D326" s="2"/>
      <c r="E326" s="2"/>
      <c r="F326" s="2"/>
      <c r="G326" s="2"/>
      <c r="H326" s="2"/>
      <c r="I326" s="5"/>
    </row>
    <row r="327" spans="1:9" ht="17.399999999999999" x14ac:dyDescent="0.25">
      <c r="A327" s="16"/>
      <c r="B327" s="17"/>
      <c r="C327" s="2"/>
      <c r="D327" s="2"/>
      <c r="E327" s="2"/>
      <c r="F327" s="2"/>
      <c r="G327" s="2"/>
      <c r="H327" s="2"/>
      <c r="I327" s="5"/>
    </row>
    <row r="328" spans="1:9" ht="17.399999999999999" x14ac:dyDescent="0.25">
      <c r="A328" s="16"/>
      <c r="B328" s="17"/>
      <c r="C328" s="2"/>
      <c r="D328" s="2"/>
      <c r="E328" s="2"/>
      <c r="F328" s="2"/>
      <c r="G328" s="2"/>
      <c r="H328" s="2"/>
      <c r="I328" s="5"/>
    </row>
    <row r="329" spans="1:9" ht="17.399999999999999" x14ac:dyDescent="0.25">
      <c r="A329" s="16"/>
      <c r="B329" s="17"/>
      <c r="C329" s="2"/>
      <c r="D329" s="2"/>
      <c r="E329" s="2"/>
      <c r="F329" s="2"/>
      <c r="G329" s="2"/>
      <c r="H329" s="2"/>
      <c r="I329" s="5"/>
    </row>
    <row r="330" spans="1:9" ht="17.399999999999999" x14ac:dyDescent="0.25">
      <c r="A330" s="16"/>
      <c r="B330" s="17"/>
      <c r="C330" s="2"/>
      <c r="D330" s="2"/>
      <c r="E330" s="2"/>
      <c r="F330" s="2"/>
      <c r="G330" s="2"/>
      <c r="H330" s="2"/>
      <c r="I330" s="5"/>
    </row>
    <row r="331" spans="1:9" ht="17.399999999999999" x14ac:dyDescent="0.25">
      <c r="A331" s="16"/>
      <c r="B331" s="17"/>
      <c r="C331" s="2"/>
      <c r="D331" s="2"/>
      <c r="E331" s="2"/>
      <c r="F331" s="2"/>
      <c r="G331" s="2"/>
      <c r="H331" s="2"/>
      <c r="I331" s="5"/>
    </row>
    <row r="332" spans="1:9" ht="17.399999999999999" x14ac:dyDescent="0.25">
      <c r="A332" s="16"/>
      <c r="B332" s="17"/>
      <c r="C332" s="2"/>
      <c r="D332" s="2"/>
      <c r="E332" s="2"/>
      <c r="F332" s="2"/>
      <c r="G332" s="2"/>
      <c r="H332" s="2"/>
      <c r="I332" s="5"/>
    </row>
    <row r="333" spans="1:9" ht="17.399999999999999" x14ac:dyDescent="0.25">
      <c r="A333" s="16"/>
      <c r="B333" s="17"/>
      <c r="C333" s="2"/>
      <c r="D333" s="2"/>
      <c r="E333" s="2"/>
      <c r="F333" s="2"/>
      <c r="G333" s="2"/>
      <c r="H333" s="2"/>
      <c r="I333" s="5"/>
    </row>
    <row r="334" spans="1:9" ht="17.399999999999999" x14ac:dyDescent="0.25">
      <c r="A334" s="16"/>
      <c r="B334" s="17"/>
      <c r="C334" s="2"/>
      <c r="D334" s="2"/>
      <c r="E334" s="2"/>
      <c r="F334" s="2"/>
      <c r="G334" s="2"/>
      <c r="H334" s="2"/>
      <c r="I334" s="5"/>
    </row>
    <row r="335" spans="1:9" ht="17.399999999999999" x14ac:dyDescent="0.25">
      <c r="A335" s="16"/>
      <c r="B335" s="17"/>
      <c r="C335" s="2"/>
      <c r="D335" s="2"/>
      <c r="E335" s="2"/>
      <c r="F335" s="2"/>
      <c r="G335" s="2"/>
      <c r="H335" s="2"/>
      <c r="I335" s="5"/>
    </row>
    <row r="336" spans="1:9" ht="17.399999999999999" x14ac:dyDescent="0.25">
      <c r="A336" s="16"/>
      <c r="B336" s="17"/>
      <c r="C336" s="2"/>
      <c r="D336" s="2"/>
      <c r="E336" s="2"/>
      <c r="F336" s="2"/>
      <c r="G336" s="2"/>
      <c r="H336" s="2"/>
      <c r="I336" s="5"/>
    </row>
    <row r="337" spans="1:9" ht="17.399999999999999" x14ac:dyDescent="0.25">
      <c r="A337" s="16"/>
      <c r="B337" s="17"/>
      <c r="C337" s="2"/>
      <c r="D337" s="2"/>
      <c r="E337" s="2"/>
      <c r="F337" s="2"/>
      <c r="G337" s="2"/>
      <c r="H337" s="2"/>
      <c r="I337" s="5"/>
    </row>
    <row r="338" spans="1:9" ht="17.399999999999999" x14ac:dyDescent="0.25">
      <c r="A338" s="16"/>
      <c r="B338" s="17"/>
      <c r="C338" s="2"/>
      <c r="D338" s="2"/>
      <c r="E338" s="2"/>
      <c r="F338" s="2"/>
      <c r="G338" s="2"/>
      <c r="H338" s="2"/>
      <c r="I338" s="5"/>
    </row>
    <row r="339" spans="1:9" ht="17.399999999999999" x14ac:dyDescent="0.25">
      <c r="A339" s="16"/>
      <c r="B339" s="17"/>
      <c r="C339" s="2"/>
      <c r="D339" s="2"/>
      <c r="E339" s="2"/>
      <c r="F339" s="2"/>
      <c r="G339" s="2"/>
      <c r="H339" s="2"/>
      <c r="I339" s="5"/>
    </row>
    <row r="340" spans="1:9" ht="17.399999999999999" x14ac:dyDescent="0.25">
      <c r="A340" s="16"/>
      <c r="B340" s="17"/>
      <c r="C340" s="2"/>
      <c r="D340" s="2"/>
      <c r="E340" s="2"/>
      <c r="F340" s="2"/>
      <c r="G340" s="2"/>
      <c r="H340" s="2"/>
      <c r="I340" s="5"/>
    </row>
    <row r="341" spans="1:9" ht="17.399999999999999" x14ac:dyDescent="0.25">
      <c r="A341" s="16"/>
      <c r="B341" s="17"/>
      <c r="C341" s="2"/>
      <c r="D341" s="2"/>
      <c r="E341" s="2"/>
      <c r="F341" s="2"/>
      <c r="G341" s="2"/>
      <c r="H341" s="2"/>
      <c r="I341" s="5"/>
    </row>
    <row r="342" spans="1:9" ht="17.399999999999999" x14ac:dyDescent="0.25">
      <c r="A342" s="16"/>
      <c r="B342" s="17"/>
      <c r="C342" s="2"/>
      <c r="D342" s="2"/>
      <c r="E342" s="2"/>
      <c r="F342" s="2"/>
      <c r="G342" s="2"/>
      <c r="H342" s="2"/>
      <c r="I342" s="5"/>
    </row>
    <row r="343" spans="1:9" ht="17.399999999999999" x14ac:dyDescent="0.25">
      <c r="A343" s="16"/>
      <c r="B343" s="17"/>
      <c r="C343" s="2"/>
      <c r="D343" s="2"/>
      <c r="E343" s="2"/>
      <c r="F343" s="2"/>
      <c r="G343" s="2"/>
      <c r="H343" s="2"/>
      <c r="I343" s="5"/>
    </row>
    <row r="344" spans="1:9" ht="17.399999999999999" x14ac:dyDescent="0.25">
      <c r="A344" s="16"/>
      <c r="B344" s="17"/>
      <c r="C344" s="2"/>
      <c r="D344" s="2"/>
      <c r="E344" s="2"/>
      <c r="F344" s="2"/>
      <c r="G344" s="2"/>
      <c r="H344" s="2"/>
      <c r="I344" s="5"/>
    </row>
    <row r="345" spans="1:9" ht="17.399999999999999" x14ac:dyDescent="0.25">
      <c r="A345" s="16"/>
      <c r="B345" s="17"/>
      <c r="C345" s="2"/>
      <c r="D345" s="2"/>
      <c r="E345" s="2"/>
      <c r="F345" s="2"/>
      <c r="G345" s="2"/>
      <c r="H345" s="2"/>
      <c r="I345" s="5"/>
    </row>
    <row r="346" spans="1:9" ht="17.399999999999999" x14ac:dyDescent="0.25">
      <c r="A346" s="16"/>
      <c r="B346" s="17"/>
      <c r="C346" s="2"/>
      <c r="D346" s="2"/>
      <c r="E346" s="2"/>
      <c r="F346" s="2"/>
      <c r="G346" s="2"/>
      <c r="H346" s="2"/>
      <c r="I346" s="5"/>
    </row>
    <row r="347" spans="1:9" ht="17.399999999999999" x14ac:dyDescent="0.25">
      <c r="A347" s="16"/>
      <c r="B347" s="17"/>
      <c r="C347" s="2"/>
      <c r="D347" s="2"/>
      <c r="E347" s="2"/>
      <c r="F347" s="2"/>
      <c r="G347" s="2"/>
      <c r="H347" s="2"/>
      <c r="I347" s="5"/>
    </row>
    <row r="348" spans="1:9" ht="17.399999999999999" x14ac:dyDescent="0.25">
      <c r="A348" s="16"/>
      <c r="B348" s="17"/>
      <c r="C348" s="2"/>
      <c r="D348" s="2"/>
      <c r="E348" s="2"/>
      <c r="F348" s="2"/>
      <c r="G348" s="2"/>
      <c r="H348" s="2"/>
      <c r="I348" s="5"/>
    </row>
    <row r="349" spans="1:9" ht="17.399999999999999" x14ac:dyDescent="0.25">
      <c r="A349" s="16"/>
      <c r="B349" s="17"/>
      <c r="C349" s="2"/>
      <c r="D349" s="2"/>
      <c r="E349" s="2"/>
      <c r="F349" s="2"/>
      <c r="G349" s="2"/>
      <c r="H349" s="2"/>
      <c r="I349" s="5"/>
    </row>
    <row r="350" spans="1:9" ht="17.399999999999999" x14ac:dyDescent="0.25">
      <c r="A350" s="16"/>
      <c r="B350" s="17"/>
      <c r="C350" s="2"/>
      <c r="D350" s="2"/>
      <c r="E350" s="2"/>
      <c r="F350" s="2"/>
      <c r="G350" s="2"/>
      <c r="H350" s="2"/>
      <c r="I350" s="5"/>
    </row>
    <row r="351" spans="1:9" ht="17.399999999999999" x14ac:dyDescent="0.25">
      <c r="A351" s="16"/>
      <c r="B351" s="17"/>
      <c r="C351" s="2"/>
      <c r="D351" s="2"/>
      <c r="E351" s="2"/>
      <c r="F351" s="2"/>
      <c r="G351" s="2"/>
      <c r="H351" s="2"/>
      <c r="I351" s="5"/>
    </row>
    <row r="352" spans="1:9" ht="17.399999999999999" x14ac:dyDescent="0.25">
      <c r="A352" s="16"/>
      <c r="B352" s="17"/>
      <c r="C352" s="2"/>
      <c r="D352" s="2"/>
      <c r="E352" s="2"/>
      <c r="F352" s="2"/>
      <c r="G352" s="2"/>
      <c r="H352" s="2"/>
      <c r="I352" s="5"/>
    </row>
    <row r="353" spans="1:9" ht="17.399999999999999" x14ac:dyDescent="0.25">
      <c r="A353" s="16"/>
      <c r="B353" s="17"/>
      <c r="C353" s="2"/>
      <c r="D353" s="2"/>
      <c r="E353" s="2"/>
      <c r="F353" s="2"/>
      <c r="G353" s="2"/>
      <c r="H353" s="2"/>
      <c r="I353" s="5"/>
    </row>
    <row r="354" spans="1:9" ht="17.399999999999999" x14ac:dyDescent="0.25">
      <c r="A354" s="16"/>
      <c r="B354" s="17"/>
      <c r="C354" s="2"/>
      <c r="D354" s="2"/>
      <c r="E354" s="2"/>
      <c r="F354" s="2"/>
      <c r="G354" s="2"/>
      <c r="H354" s="2"/>
      <c r="I354" s="5"/>
    </row>
    <row r="355" spans="1:9" ht="17.399999999999999" x14ac:dyDescent="0.25">
      <c r="A355" s="16"/>
      <c r="B355" s="17"/>
      <c r="C355" s="2"/>
      <c r="D355" s="2"/>
      <c r="E355" s="2"/>
      <c r="F355" s="2"/>
      <c r="G355" s="2"/>
      <c r="H355" s="2"/>
      <c r="I355" s="5"/>
    </row>
    <row r="356" spans="1:9" ht="17.399999999999999" x14ac:dyDescent="0.25">
      <c r="A356" s="16"/>
      <c r="B356" s="17"/>
      <c r="C356" s="2"/>
      <c r="D356" s="2"/>
      <c r="E356" s="2"/>
      <c r="F356" s="2"/>
      <c r="G356" s="2"/>
      <c r="H356" s="2"/>
      <c r="I356" s="5"/>
    </row>
    <row r="357" spans="1:9" ht="17.399999999999999" x14ac:dyDescent="0.25">
      <c r="A357" s="16"/>
      <c r="B357" s="17"/>
      <c r="C357" s="2"/>
      <c r="D357" s="2"/>
      <c r="E357" s="2"/>
      <c r="F357" s="2"/>
      <c r="G357" s="2"/>
      <c r="H357" s="2"/>
      <c r="I357" s="5"/>
    </row>
    <row r="358" spans="1:9" ht="17.399999999999999" x14ac:dyDescent="0.25">
      <c r="A358" s="16"/>
      <c r="B358" s="17"/>
      <c r="C358" s="2"/>
      <c r="D358" s="2"/>
      <c r="E358" s="2"/>
      <c r="F358" s="2"/>
      <c r="G358" s="2"/>
      <c r="H358" s="2"/>
      <c r="I358" s="5"/>
    </row>
    <row r="359" spans="1:9" ht="17.399999999999999" x14ac:dyDescent="0.25">
      <c r="A359" s="16"/>
      <c r="B359" s="17"/>
      <c r="C359" s="2"/>
      <c r="D359" s="2"/>
      <c r="E359" s="2"/>
      <c r="F359" s="2"/>
      <c r="G359" s="2"/>
      <c r="H359" s="2"/>
      <c r="I359" s="5"/>
    </row>
    <row r="360" spans="1:9" ht="17.399999999999999" x14ac:dyDescent="0.25">
      <c r="A360" s="16"/>
      <c r="B360" s="17"/>
      <c r="C360" s="2"/>
      <c r="D360" s="2"/>
      <c r="E360" s="2"/>
      <c r="F360" s="2"/>
      <c r="G360" s="2"/>
      <c r="H360" s="2"/>
      <c r="I360" s="5"/>
    </row>
    <row r="361" spans="1:9" ht="17.399999999999999" x14ac:dyDescent="0.25">
      <c r="A361" s="16"/>
      <c r="B361" s="17"/>
      <c r="C361" s="2"/>
      <c r="D361" s="2"/>
      <c r="E361" s="2"/>
      <c r="F361" s="2"/>
      <c r="G361" s="2"/>
      <c r="H361" s="2"/>
      <c r="I361" s="5"/>
    </row>
    <row r="362" spans="1:9" ht="17.399999999999999" x14ac:dyDescent="0.25">
      <c r="A362" s="16"/>
      <c r="B362" s="17"/>
      <c r="C362" s="2"/>
      <c r="D362" s="2"/>
      <c r="E362" s="2"/>
      <c r="F362" s="2"/>
      <c r="G362" s="2"/>
      <c r="H362" s="2"/>
      <c r="I362" s="5"/>
    </row>
    <row r="363" spans="1:9" ht="17.399999999999999" x14ac:dyDescent="0.25">
      <c r="A363" s="16"/>
      <c r="B363" s="17"/>
      <c r="C363" s="2"/>
      <c r="D363" s="2"/>
      <c r="E363" s="2"/>
      <c r="F363" s="2"/>
      <c r="G363" s="2"/>
      <c r="H363" s="2"/>
      <c r="I363" s="5"/>
    </row>
    <row r="364" spans="1:9" ht="17.399999999999999" x14ac:dyDescent="0.25">
      <c r="A364" s="16"/>
      <c r="B364" s="17"/>
      <c r="C364" s="2"/>
      <c r="D364" s="2"/>
      <c r="E364" s="2"/>
      <c r="F364" s="2"/>
      <c r="G364" s="2"/>
      <c r="H364" s="2"/>
      <c r="I364" s="5"/>
    </row>
    <row r="365" spans="1:9" ht="17.399999999999999" x14ac:dyDescent="0.25">
      <c r="A365" s="16"/>
      <c r="B365" s="17"/>
      <c r="C365" s="2"/>
      <c r="D365" s="2"/>
      <c r="E365" s="2"/>
      <c r="F365" s="2"/>
      <c r="G365" s="2"/>
      <c r="H365" s="2"/>
      <c r="I365" s="5"/>
    </row>
    <row r="366" spans="1:9" ht="17.399999999999999" x14ac:dyDescent="0.25">
      <c r="A366" s="16"/>
      <c r="B366" s="17"/>
      <c r="C366" s="2"/>
      <c r="D366" s="2"/>
      <c r="E366" s="2"/>
      <c r="F366" s="2"/>
      <c r="G366" s="2"/>
      <c r="H366" s="2"/>
      <c r="I366" s="5"/>
    </row>
    <row r="367" spans="1:9" ht="17.399999999999999" x14ac:dyDescent="0.25">
      <c r="A367" s="16"/>
      <c r="B367" s="17"/>
      <c r="C367" s="2"/>
      <c r="D367" s="2"/>
      <c r="E367" s="2"/>
      <c r="F367" s="2"/>
      <c r="G367" s="2"/>
      <c r="H367" s="2"/>
      <c r="I367" s="5"/>
    </row>
    <row r="368" spans="1:9" ht="17.399999999999999" x14ac:dyDescent="0.25">
      <c r="A368" s="16"/>
      <c r="B368" s="17"/>
      <c r="C368" s="2"/>
      <c r="D368" s="2"/>
      <c r="E368" s="2"/>
      <c r="F368" s="2"/>
      <c r="G368" s="2"/>
      <c r="H368" s="2"/>
      <c r="I368" s="5"/>
    </row>
    <row r="369" spans="1:9" ht="17.399999999999999" x14ac:dyDescent="0.25">
      <c r="A369" s="16"/>
      <c r="B369" s="17"/>
      <c r="C369" s="2"/>
      <c r="D369" s="2"/>
      <c r="E369" s="2"/>
      <c r="F369" s="2"/>
      <c r="G369" s="2"/>
      <c r="H369" s="2"/>
      <c r="I369" s="5"/>
    </row>
    <row r="370" spans="1:9" ht="17.399999999999999" x14ac:dyDescent="0.25">
      <c r="A370" s="16"/>
      <c r="B370" s="17"/>
      <c r="C370" s="2"/>
      <c r="D370" s="2"/>
      <c r="E370" s="2"/>
      <c r="F370" s="2"/>
      <c r="G370" s="2"/>
      <c r="H370" s="2"/>
      <c r="I370" s="5"/>
    </row>
    <row r="371" spans="1:9" ht="17.399999999999999" x14ac:dyDescent="0.25">
      <c r="A371" s="16"/>
      <c r="B371" s="17"/>
      <c r="C371" s="2"/>
      <c r="D371" s="2"/>
      <c r="E371" s="2"/>
      <c r="F371" s="2"/>
      <c r="G371" s="2"/>
      <c r="H371" s="2"/>
      <c r="I371" s="5"/>
    </row>
    <row r="372" spans="1:9" ht="17.399999999999999" x14ac:dyDescent="0.25">
      <c r="A372" s="16"/>
      <c r="B372" s="17"/>
      <c r="C372" s="2"/>
      <c r="D372" s="2"/>
      <c r="E372" s="2"/>
      <c r="F372" s="2"/>
      <c r="G372" s="2"/>
      <c r="H372" s="2"/>
      <c r="I372" s="5"/>
    </row>
    <row r="373" spans="1:9" ht="17.399999999999999" x14ac:dyDescent="0.25">
      <c r="A373" s="16"/>
      <c r="B373" s="17"/>
      <c r="C373" s="2"/>
      <c r="D373" s="2"/>
      <c r="E373" s="2"/>
      <c r="F373" s="2"/>
      <c r="G373" s="2"/>
      <c r="H373" s="2"/>
      <c r="I373" s="5"/>
    </row>
    <row r="374" spans="1:9" ht="17.399999999999999" x14ac:dyDescent="0.25">
      <c r="A374" s="16"/>
      <c r="B374" s="17"/>
      <c r="C374" s="2"/>
      <c r="D374" s="2"/>
      <c r="E374" s="2"/>
      <c r="F374" s="2"/>
      <c r="G374" s="2"/>
      <c r="H374" s="2"/>
      <c r="I374" s="5"/>
    </row>
    <row r="375" spans="1:9" ht="17.399999999999999" x14ac:dyDescent="0.25">
      <c r="A375" s="16"/>
      <c r="B375" s="17"/>
      <c r="C375" s="2"/>
      <c r="D375" s="2"/>
      <c r="E375" s="2"/>
      <c r="F375" s="2"/>
      <c r="G375" s="2"/>
      <c r="H375" s="2"/>
      <c r="I375" s="5"/>
    </row>
    <row r="376" spans="1:9" ht="17.399999999999999" x14ac:dyDescent="0.25">
      <c r="A376" s="16"/>
      <c r="B376" s="17"/>
      <c r="C376" s="2"/>
      <c r="D376" s="2"/>
      <c r="E376" s="2"/>
      <c r="F376" s="2"/>
      <c r="G376" s="2"/>
      <c r="H376" s="2"/>
      <c r="I376" s="5"/>
    </row>
    <row r="377" spans="1:9" ht="17.399999999999999" x14ac:dyDescent="0.25">
      <c r="A377" s="16"/>
      <c r="B377" s="17"/>
      <c r="C377" s="2"/>
      <c r="D377" s="2"/>
      <c r="E377" s="2"/>
      <c r="F377" s="2"/>
      <c r="G377" s="2"/>
      <c r="H377" s="2"/>
      <c r="I377" s="5"/>
    </row>
    <row r="378" spans="1:9" ht="17.399999999999999" x14ac:dyDescent="0.25">
      <c r="A378" s="16"/>
      <c r="B378" s="17"/>
      <c r="C378" s="2"/>
      <c r="D378" s="2"/>
      <c r="E378" s="2"/>
      <c r="F378" s="2"/>
      <c r="G378" s="2"/>
      <c r="H378" s="2"/>
      <c r="I378" s="5"/>
    </row>
    <row r="379" spans="1:9" ht="17.399999999999999" x14ac:dyDescent="0.25">
      <c r="A379" s="16"/>
      <c r="B379" s="17"/>
      <c r="C379" s="2"/>
      <c r="D379" s="2"/>
      <c r="E379" s="2"/>
      <c r="F379" s="2"/>
      <c r="G379" s="2"/>
      <c r="H379" s="2"/>
      <c r="I379" s="5"/>
    </row>
    <row r="380" spans="1:9" ht="17.399999999999999" x14ac:dyDescent="0.25">
      <c r="A380" s="16"/>
      <c r="B380" s="17"/>
      <c r="C380" s="2"/>
      <c r="D380" s="2"/>
      <c r="E380" s="2"/>
      <c r="F380" s="2"/>
      <c r="G380" s="2"/>
      <c r="H380" s="2"/>
      <c r="I380" s="5"/>
    </row>
    <row r="381" spans="1:9" ht="17.399999999999999" x14ac:dyDescent="0.25">
      <c r="A381" s="16"/>
      <c r="B381" s="17"/>
      <c r="C381" s="2"/>
      <c r="D381" s="2"/>
      <c r="E381" s="2"/>
      <c r="F381" s="2"/>
      <c r="G381" s="2"/>
      <c r="H381" s="2"/>
      <c r="I381" s="5"/>
    </row>
    <row r="382" spans="1:9" ht="17.399999999999999" x14ac:dyDescent="0.25">
      <c r="A382" s="16"/>
      <c r="B382" s="17"/>
      <c r="C382" s="2"/>
      <c r="D382" s="2"/>
      <c r="E382" s="2"/>
      <c r="F382" s="2"/>
      <c r="G382" s="2"/>
      <c r="H382" s="2"/>
      <c r="I382" s="5"/>
    </row>
    <row r="383" spans="1:9" ht="17.399999999999999" x14ac:dyDescent="0.25">
      <c r="A383" s="16"/>
      <c r="B383" s="17"/>
      <c r="C383" s="2"/>
      <c r="D383" s="2"/>
      <c r="E383" s="2"/>
      <c r="F383" s="2"/>
      <c r="G383" s="2"/>
      <c r="H383" s="2"/>
      <c r="I383" s="5"/>
    </row>
    <row r="384" spans="1:9" ht="17.399999999999999" x14ac:dyDescent="0.25">
      <c r="A384" s="16"/>
      <c r="B384" s="17"/>
      <c r="C384" s="2"/>
      <c r="D384" s="2"/>
      <c r="E384" s="2"/>
      <c r="F384" s="2"/>
      <c r="G384" s="2"/>
      <c r="H384" s="2"/>
      <c r="I384" s="5"/>
    </row>
    <row r="385" spans="1:9" ht="17.399999999999999" x14ac:dyDescent="0.25">
      <c r="A385" s="16"/>
      <c r="B385" s="17"/>
      <c r="C385" s="2"/>
      <c r="D385" s="2"/>
      <c r="E385" s="2"/>
      <c r="F385" s="2"/>
      <c r="G385" s="2"/>
      <c r="H385" s="2"/>
      <c r="I385" s="5"/>
    </row>
    <row r="386" spans="1:9" ht="17.399999999999999" x14ac:dyDescent="0.25">
      <c r="A386" s="16"/>
      <c r="B386" s="17"/>
      <c r="C386" s="2"/>
      <c r="D386" s="2"/>
      <c r="E386" s="2"/>
      <c r="F386" s="2"/>
      <c r="G386" s="2"/>
      <c r="H386" s="2"/>
      <c r="I386" s="5"/>
    </row>
    <row r="387" spans="1:9" ht="17.399999999999999" x14ac:dyDescent="0.25">
      <c r="A387" s="16"/>
      <c r="B387" s="17"/>
      <c r="C387" s="2"/>
      <c r="D387" s="2"/>
      <c r="E387" s="2"/>
      <c r="F387" s="2"/>
      <c r="G387" s="2"/>
      <c r="H387" s="2"/>
      <c r="I387" s="5"/>
    </row>
    <row r="388" spans="1:9" ht="17.399999999999999" x14ac:dyDescent="0.25">
      <c r="A388" s="16"/>
      <c r="B388" s="17"/>
      <c r="C388" s="2"/>
      <c r="D388" s="2"/>
      <c r="E388" s="2"/>
      <c r="F388" s="2"/>
      <c r="G388" s="2"/>
      <c r="H388" s="2"/>
      <c r="I388" s="5"/>
    </row>
    <row r="389" spans="1:9" ht="17.399999999999999" x14ac:dyDescent="0.25">
      <c r="A389" s="16"/>
      <c r="B389" s="17"/>
      <c r="C389" s="2"/>
      <c r="D389" s="2"/>
      <c r="E389" s="2"/>
      <c r="F389" s="2"/>
      <c r="G389" s="2"/>
      <c r="H389" s="2"/>
      <c r="I389" s="5"/>
    </row>
    <row r="390" spans="1:9" ht="17.399999999999999" x14ac:dyDescent="0.25">
      <c r="A390" s="16"/>
      <c r="B390" s="17"/>
      <c r="C390" s="2"/>
      <c r="D390" s="2"/>
      <c r="E390" s="2"/>
      <c r="F390" s="2"/>
      <c r="G390" s="2"/>
      <c r="H390" s="2"/>
      <c r="I390" s="5"/>
    </row>
    <row r="391" spans="1:9" ht="17.399999999999999" x14ac:dyDescent="0.25">
      <c r="A391" s="16"/>
      <c r="B391" s="17"/>
      <c r="C391" s="2"/>
      <c r="D391" s="2"/>
      <c r="E391" s="2"/>
      <c r="F391" s="2"/>
      <c r="G391" s="2"/>
      <c r="H391" s="2"/>
      <c r="I391" s="5"/>
    </row>
    <row r="392" spans="1:9" ht="17.399999999999999" x14ac:dyDescent="0.25">
      <c r="A392" s="16"/>
      <c r="B392" s="17"/>
      <c r="C392" s="2"/>
      <c r="D392" s="2"/>
      <c r="E392" s="2"/>
      <c r="F392" s="2"/>
      <c r="G392" s="2"/>
      <c r="H392" s="2"/>
      <c r="I392" s="5"/>
    </row>
    <row r="393" spans="1:9" ht="17.399999999999999" x14ac:dyDescent="0.25">
      <c r="A393" s="16"/>
      <c r="B393" s="17"/>
      <c r="C393" s="2"/>
      <c r="D393" s="2"/>
      <c r="E393" s="2"/>
      <c r="F393" s="2"/>
      <c r="G393" s="2"/>
      <c r="H393" s="2"/>
      <c r="I393" s="5"/>
    </row>
    <row r="394" spans="1:9" ht="17.399999999999999" x14ac:dyDescent="0.25">
      <c r="A394" s="16"/>
      <c r="B394" s="17"/>
      <c r="C394" s="2"/>
      <c r="D394" s="2"/>
      <c r="E394" s="2"/>
      <c r="F394" s="2"/>
      <c r="G394" s="2"/>
      <c r="H394" s="2"/>
      <c r="I394" s="5"/>
    </row>
    <row r="395" spans="1:9" ht="17.399999999999999" x14ac:dyDescent="0.25">
      <c r="A395" s="16"/>
      <c r="B395" s="17"/>
      <c r="C395" s="2"/>
      <c r="D395" s="2"/>
      <c r="E395" s="2"/>
      <c r="F395" s="2"/>
      <c r="G395" s="2"/>
      <c r="H395" s="2"/>
      <c r="I395" s="5"/>
    </row>
    <row r="396" spans="1:9" ht="17.399999999999999" x14ac:dyDescent="0.25">
      <c r="A396" s="16"/>
      <c r="B396" s="17"/>
      <c r="C396" s="2"/>
      <c r="D396" s="2"/>
      <c r="E396" s="2"/>
      <c r="F396" s="2"/>
      <c r="G396" s="2"/>
      <c r="H396" s="2"/>
      <c r="I396" s="5"/>
    </row>
    <row r="397" spans="1:9" ht="17.399999999999999" x14ac:dyDescent="0.25">
      <c r="A397" s="16"/>
      <c r="B397" s="17"/>
      <c r="C397" s="2"/>
      <c r="D397" s="2"/>
      <c r="E397" s="2"/>
      <c r="F397" s="2"/>
      <c r="G397" s="2"/>
      <c r="H397" s="2"/>
      <c r="I397" s="5"/>
    </row>
    <row r="398" spans="1:9" ht="17.399999999999999" x14ac:dyDescent="0.25">
      <c r="A398" s="16"/>
      <c r="B398" s="17"/>
      <c r="C398" s="2"/>
      <c r="D398" s="2"/>
      <c r="E398" s="2"/>
      <c r="F398" s="2"/>
      <c r="G398" s="2"/>
      <c r="H398" s="2"/>
      <c r="I398" s="5"/>
    </row>
    <row r="399" spans="1:9" ht="17.399999999999999" x14ac:dyDescent="0.25">
      <c r="A399" s="16"/>
      <c r="B399" s="17"/>
      <c r="C399" s="2"/>
      <c r="D399" s="2"/>
      <c r="E399" s="2"/>
      <c r="F399" s="2"/>
      <c r="G399" s="2"/>
      <c r="H399" s="2"/>
      <c r="I399" s="5"/>
    </row>
    <row r="400" spans="1:9" ht="17.399999999999999" x14ac:dyDescent="0.25">
      <c r="A400" s="16"/>
      <c r="B400" s="17"/>
      <c r="C400" s="2"/>
      <c r="D400" s="2"/>
      <c r="E400" s="2"/>
      <c r="F400" s="2"/>
      <c r="G400" s="2"/>
      <c r="H400" s="2"/>
      <c r="I400" s="5"/>
    </row>
    <row r="401" spans="1:9" ht="17.399999999999999" x14ac:dyDescent="0.25">
      <c r="A401" s="16"/>
      <c r="B401" s="17"/>
      <c r="C401" s="2"/>
      <c r="D401" s="2"/>
      <c r="E401" s="2"/>
      <c r="F401" s="2"/>
      <c r="G401" s="2"/>
      <c r="H401" s="2"/>
      <c r="I401" s="5"/>
    </row>
    <row r="402" spans="1:9" ht="17.399999999999999" x14ac:dyDescent="0.25">
      <c r="A402" s="16"/>
      <c r="B402" s="17"/>
      <c r="C402" s="2"/>
      <c r="D402" s="2"/>
      <c r="E402" s="2"/>
      <c r="F402" s="2"/>
      <c r="G402" s="2"/>
      <c r="H402" s="2"/>
      <c r="I402" s="5"/>
    </row>
    <row r="403" spans="1:9" ht="17.399999999999999" x14ac:dyDescent="0.25">
      <c r="A403" s="16"/>
      <c r="B403" s="17"/>
      <c r="C403" s="2"/>
      <c r="D403" s="2"/>
      <c r="E403" s="2"/>
      <c r="F403" s="2"/>
      <c r="G403" s="2"/>
      <c r="H403" s="2"/>
      <c r="I403" s="5"/>
    </row>
    <row r="404" spans="1:9" ht="17.399999999999999" x14ac:dyDescent="0.25">
      <c r="A404" s="16"/>
      <c r="B404" s="17"/>
      <c r="C404" s="2"/>
      <c r="D404" s="2"/>
      <c r="E404" s="2"/>
      <c r="F404" s="2"/>
      <c r="G404" s="2"/>
      <c r="H404" s="2"/>
      <c r="I404" s="5"/>
    </row>
    <row r="405" spans="1:9" ht="17.399999999999999" x14ac:dyDescent="0.25">
      <c r="A405" s="16"/>
      <c r="B405" s="17"/>
      <c r="C405" s="2"/>
      <c r="D405" s="2"/>
      <c r="E405" s="2"/>
      <c r="F405" s="2"/>
      <c r="G405" s="2"/>
      <c r="H405" s="2"/>
      <c r="I405" s="5"/>
    </row>
    <row r="406" spans="1:9" ht="17.399999999999999" x14ac:dyDescent="0.25">
      <c r="A406" s="16"/>
      <c r="B406" s="17"/>
      <c r="C406" s="2"/>
      <c r="D406" s="2"/>
      <c r="E406" s="2"/>
      <c r="F406" s="2"/>
      <c r="G406" s="2"/>
      <c r="H406" s="2"/>
      <c r="I406" s="5"/>
    </row>
    <row r="407" spans="1:9" ht="17.399999999999999" x14ac:dyDescent="0.25">
      <c r="A407" s="16"/>
      <c r="B407" s="17"/>
      <c r="C407" s="2"/>
      <c r="D407" s="2"/>
      <c r="E407" s="2"/>
      <c r="F407" s="2"/>
      <c r="G407" s="2"/>
      <c r="H407" s="2"/>
      <c r="I407" s="5"/>
    </row>
    <row r="408" spans="1:9" ht="17.399999999999999" x14ac:dyDescent="0.25">
      <c r="A408" s="16"/>
      <c r="B408" s="17"/>
      <c r="C408" s="2"/>
      <c r="D408" s="2"/>
      <c r="E408" s="2"/>
      <c r="F408" s="2"/>
      <c r="G408" s="2"/>
      <c r="H408" s="2"/>
      <c r="I408" s="5"/>
    </row>
    <row r="409" spans="1:9" ht="17.399999999999999" x14ac:dyDescent="0.25">
      <c r="A409" s="16"/>
      <c r="B409" s="17"/>
      <c r="C409" s="2"/>
      <c r="D409" s="2"/>
      <c r="E409" s="2"/>
      <c r="F409" s="2"/>
      <c r="G409" s="2"/>
      <c r="H409" s="2"/>
      <c r="I409" s="5"/>
    </row>
    <row r="410" spans="1:9" ht="17.399999999999999" x14ac:dyDescent="0.25">
      <c r="A410" s="16"/>
      <c r="B410" s="17"/>
      <c r="C410" s="2"/>
      <c r="D410" s="2"/>
      <c r="E410" s="2"/>
      <c r="F410" s="2"/>
      <c r="G410" s="2"/>
      <c r="H410" s="2"/>
      <c r="I410" s="5"/>
    </row>
    <row r="411" spans="1:9" ht="17.399999999999999" x14ac:dyDescent="0.25">
      <c r="A411" s="16"/>
      <c r="B411" s="17"/>
      <c r="C411" s="2"/>
      <c r="D411" s="2"/>
      <c r="E411" s="2"/>
      <c r="F411" s="2"/>
      <c r="G411" s="2"/>
      <c r="H411" s="2"/>
      <c r="I411" s="5"/>
    </row>
    <row r="412" spans="1:9" ht="17.399999999999999" x14ac:dyDescent="0.25">
      <c r="A412" s="16"/>
      <c r="B412" s="17"/>
      <c r="C412" s="2"/>
      <c r="D412" s="2"/>
      <c r="E412" s="2"/>
      <c r="F412" s="2"/>
      <c r="G412" s="2"/>
      <c r="H412" s="2"/>
      <c r="I412" s="5"/>
    </row>
    <row r="413" spans="1:9" ht="17.399999999999999" x14ac:dyDescent="0.25">
      <c r="A413" s="16"/>
      <c r="B413" s="17"/>
      <c r="C413" s="2"/>
      <c r="D413" s="2"/>
      <c r="E413" s="2"/>
      <c r="F413" s="2"/>
      <c r="G413" s="2"/>
      <c r="H413" s="2"/>
      <c r="I413" s="5"/>
    </row>
    <row r="414" spans="1:9" ht="17.399999999999999" x14ac:dyDescent="0.25">
      <c r="A414" s="16"/>
      <c r="B414" s="17"/>
      <c r="C414" s="2"/>
      <c r="D414" s="2"/>
      <c r="E414" s="2"/>
      <c r="F414" s="2"/>
      <c r="G414" s="2"/>
      <c r="H414" s="2"/>
      <c r="I414" s="5"/>
    </row>
    <row r="415" spans="1:9" ht="17.399999999999999" x14ac:dyDescent="0.25">
      <c r="A415" s="16"/>
      <c r="B415" s="17"/>
      <c r="C415" s="2"/>
      <c r="D415" s="2"/>
      <c r="E415" s="2"/>
      <c r="F415" s="2"/>
      <c r="G415" s="2"/>
      <c r="H415" s="2"/>
      <c r="I415" s="5"/>
    </row>
    <row r="416" spans="1:9" ht="17.399999999999999" x14ac:dyDescent="0.25">
      <c r="A416" s="16"/>
      <c r="B416" s="17"/>
      <c r="C416" s="2"/>
      <c r="D416" s="2"/>
      <c r="E416" s="2"/>
      <c r="F416" s="2"/>
      <c r="G416" s="2"/>
      <c r="H416" s="2"/>
      <c r="I416" s="5"/>
    </row>
    <row r="417" spans="1:9" ht="17.399999999999999" x14ac:dyDescent="0.25">
      <c r="A417" s="16"/>
      <c r="B417" s="17"/>
      <c r="C417" s="2"/>
      <c r="D417" s="2"/>
      <c r="E417" s="2"/>
      <c r="F417" s="2"/>
      <c r="G417" s="2"/>
      <c r="H417" s="2"/>
      <c r="I417" s="5"/>
    </row>
    <row r="418" spans="1:9" ht="17.399999999999999" x14ac:dyDescent="0.25">
      <c r="A418" s="16"/>
      <c r="B418" s="17"/>
      <c r="C418" s="2"/>
      <c r="D418" s="2"/>
      <c r="E418" s="2"/>
      <c r="F418" s="2"/>
      <c r="G418" s="2"/>
      <c r="H418" s="2"/>
      <c r="I418" s="5"/>
    </row>
    <row r="419" spans="1:9" ht="17.399999999999999" x14ac:dyDescent="0.25">
      <c r="A419" s="16"/>
      <c r="B419" s="17"/>
      <c r="C419" s="2"/>
      <c r="D419" s="2"/>
      <c r="E419" s="2"/>
      <c r="F419" s="2"/>
      <c r="G419" s="2"/>
      <c r="H419" s="2"/>
      <c r="I419" s="5"/>
    </row>
    <row r="420" spans="1:9" ht="17.399999999999999" x14ac:dyDescent="0.25">
      <c r="A420" s="16"/>
      <c r="B420" s="17"/>
      <c r="C420" s="2"/>
      <c r="D420" s="2"/>
      <c r="E420" s="2"/>
      <c r="F420" s="2"/>
      <c r="G420" s="2"/>
      <c r="H420" s="2"/>
      <c r="I420" s="5"/>
    </row>
    <row r="421" spans="1:9" ht="17.399999999999999" x14ac:dyDescent="0.25">
      <c r="A421" s="16"/>
      <c r="B421" s="17"/>
      <c r="C421" s="2"/>
      <c r="D421" s="2"/>
      <c r="E421" s="2"/>
      <c r="F421" s="2"/>
      <c r="G421" s="2"/>
      <c r="H421" s="2"/>
      <c r="I421" s="5"/>
    </row>
    <row r="422" spans="1:9" ht="17.399999999999999" x14ac:dyDescent="0.25">
      <c r="A422" s="16"/>
      <c r="B422" s="17"/>
      <c r="C422" s="2"/>
      <c r="D422" s="2"/>
      <c r="E422" s="2"/>
      <c r="F422" s="2"/>
      <c r="G422" s="2"/>
      <c r="H422" s="2"/>
      <c r="I422" s="5"/>
    </row>
    <row r="423" spans="1:9" ht="17.399999999999999" x14ac:dyDescent="0.25">
      <c r="A423" s="16"/>
      <c r="B423" s="17"/>
      <c r="C423" s="2"/>
      <c r="D423" s="2"/>
      <c r="E423" s="2"/>
      <c r="F423" s="2"/>
      <c r="G423" s="2"/>
      <c r="H423" s="2"/>
      <c r="I423" s="5"/>
    </row>
    <row r="424" spans="1:9" ht="17.399999999999999" x14ac:dyDescent="0.25">
      <c r="A424" s="16"/>
      <c r="B424" s="17"/>
      <c r="C424" s="2"/>
      <c r="D424" s="2"/>
      <c r="E424" s="2"/>
      <c r="F424" s="2"/>
      <c r="G424" s="2"/>
      <c r="H424" s="2"/>
      <c r="I424" s="5"/>
    </row>
    <row r="425" spans="1:9" ht="17.399999999999999" x14ac:dyDescent="0.25">
      <c r="A425" s="16"/>
      <c r="B425" s="17"/>
      <c r="C425" s="2"/>
      <c r="D425" s="2"/>
      <c r="E425" s="2"/>
      <c r="F425" s="2"/>
      <c r="G425" s="2"/>
      <c r="H425" s="2"/>
      <c r="I425" s="5"/>
    </row>
    <row r="426" spans="1:9" ht="17.399999999999999" x14ac:dyDescent="0.25">
      <c r="A426" s="16"/>
      <c r="B426" s="17"/>
      <c r="C426" s="2"/>
      <c r="D426" s="2"/>
      <c r="E426" s="2"/>
      <c r="F426" s="2"/>
      <c r="G426" s="2"/>
      <c r="H426" s="2"/>
      <c r="I426" s="5"/>
    </row>
    <row r="427" spans="1:9" ht="17.399999999999999" x14ac:dyDescent="0.25">
      <c r="A427" s="16"/>
      <c r="B427" s="17"/>
      <c r="C427" s="2"/>
      <c r="D427" s="2"/>
      <c r="E427" s="2"/>
      <c r="F427" s="2"/>
      <c r="G427" s="2"/>
      <c r="H427" s="2"/>
      <c r="I427" s="5"/>
    </row>
    <row r="428" spans="1:9" ht="17.399999999999999" x14ac:dyDescent="0.25">
      <c r="A428" s="16"/>
      <c r="B428" s="17"/>
      <c r="C428" s="2"/>
      <c r="D428" s="2"/>
      <c r="E428" s="2"/>
      <c r="F428" s="2"/>
      <c r="G428" s="2"/>
      <c r="H428" s="2"/>
      <c r="I428" s="5"/>
    </row>
    <row r="429" spans="1:9" ht="17.399999999999999" x14ac:dyDescent="0.25">
      <c r="A429" s="16"/>
      <c r="B429" s="17"/>
      <c r="C429" s="2"/>
      <c r="D429" s="2"/>
      <c r="E429" s="2"/>
      <c r="F429" s="2"/>
      <c r="G429" s="2"/>
      <c r="H429" s="2"/>
      <c r="I429" s="5"/>
    </row>
    <row r="430" spans="1:9" ht="17.399999999999999" x14ac:dyDescent="0.25">
      <c r="A430" s="16"/>
      <c r="B430" s="17"/>
      <c r="C430" s="2"/>
      <c r="D430" s="2"/>
      <c r="E430" s="2"/>
      <c r="F430" s="2"/>
      <c r="G430" s="2"/>
      <c r="H430" s="2"/>
      <c r="I430" s="5"/>
    </row>
    <row r="431" spans="1:9" ht="17.399999999999999" x14ac:dyDescent="0.25">
      <c r="A431" s="16"/>
      <c r="B431" s="17"/>
      <c r="C431" s="2"/>
      <c r="D431" s="2"/>
      <c r="E431" s="2"/>
      <c r="F431" s="2"/>
      <c r="G431" s="2"/>
      <c r="H431" s="2"/>
      <c r="I431" s="5"/>
    </row>
    <row r="432" spans="1:9" ht="17.399999999999999" x14ac:dyDescent="0.25">
      <c r="A432" s="16"/>
      <c r="B432" s="17"/>
      <c r="C432" s="2"/>
      <c r="D432" s="2"/>
      <c r="E432" s="2"/>
      <c r="F432" s="2"/>
      <c r="G432" s="2"/>
      <c r="H432" s="2"/>
      <c r="I432" s="5"/>
    </row>
    <row r="433" spans="1:9" ht="17.399999999999999" x14ac:dyDescent="0.25">
      <c r="A433" s="16"/>
      <c r="B433" s="17"/>
      <c r="C433" s="2"/>
      <c r="D433" s="2"/>
      <c r="E433" s="2"/>
      <c r="F433" s="2"/>
      <c r="G433" s="2"/>
      <c r="H433" s="2"/>
      <c r="I433" s="5"/>
    </row>
    <row r="434" spans="1:9" ht="17.399999999999999" x14ac:dyDescent="0.25">
      <c r="A434" s="16"/>
      <c r="B434" s="17"/>
      <c r="C434" s="2"/>
      <c r="D434" s="2"/>
      <c r="E434" s="2"/>
      <c r="F434" s="2"/>
      <c r="G434" s="2"/>
      <c r="H434" s="2"/>
      <c r="I434" s="5"/>
    </row>
    <row r="435" spans="1:9" ht="17.399999999999999" x14ac:dyDescent="0.25">
      <c r="A435" s="16"/>
      <c r="B435" s="17"/>
      <c r="C435" s="2"/>
      <c r="D435" s="2"/>
      <c r="E435" s="2"/>
      <c r="F435" s="2"/>
      <c r="G435" s="2"/>
      <c r="H435" s="2"/>
      <c r="I435" s="5"/>
    </row>
    <row r="436" spans="1:9" ht="17.399999999999999" x14ac:dyDescent="0.25">
      <c r="A436" s="16"/>
      <c r="B436" s="17"/>
      <c r="C436" s="2"/>
      <c r="D436" s="2"/>
      <c r="E436" s="2"/>
      <c r="F436" s="2"/>
      <c r="G436" s="2"/>
      <c r="H436" s="2"/>
      <c r="I436" s="5"/>
    </row>
    <row r="437" spans="1:9" ht="17.399999999999999" x14ac:dyDescent="0.25">
      <c r="A437" s="16"/>
      <c r="B437" s="17"/>
      <c r="C437" s="2"/>
      <c r="D437" s="2"/>
      <c r="E437" s="2"/>
      <c r="F437" s="2"/>
      <c r="G437" s="2"/>
      <c r="H437" s="2"/>
      <c r="I437" s="5"/>
    </row>
    <row r="438" spans="1:9" ht="17.399999999999999" x14ac:dyDescent="0.25">
      <c r="A438" s="16"/>
      <c r="B438" s="17"/>
      <c r="C438" s="2"/>
      <c r="D438" s="2"/>
      <c r="E438" s="2"/>
      <c r="F438" s="2"/>
      <c r="G438" s="2"/>
      <c r="H438" s="2"/>
      <c r="I438" s="5"/>
    </row>
    <row r="439" spans="1:9" ht="17.399999999999999" x14ac:dyDescent="0.25">
      <c r="A439" s="16"/>
      <c r="B439" s="17"/>
      <c r="C439" s="2"/>
      <c r="D439" s="2"/>
      <c r="E439" s="2"/>
      <c r="F439" s="2"/>
      <c r="G439" s="2"/>
      <c r="H439" s="2"/>
      <c r="I439" s="5"/>
    </row>
    <row r="440" spans="1:9" ht="17.399999999999999" x14ac:dyDescent="0.25">
      <c r="A440" s="16"/>
      <c r="B440" s="17"/>
      <c r="C440" s="2"/>
      <c r="D440" s="2"/>
      <c r="E440" s="2"/>
      <c r="F440" s="2"/>
      <c r="G440" s="2"/>
      <c r="H440" s="2"/>
      <c r="I440" s="5"/>
    </row>
    <row r="441" spans="1:9" ht="17.399999999999999" x14ac:dyDescent="0.25">
      <c r="A441" s="16"/>
      <c r="B441" s="17"/>
      <c r="C441" s="2"/>
      <c r="D441" s="2"/>
      <c r="E441" s="2"/>
      <c r="F441" s="2"/>
      <c r="G441" s="2"/>
      <c r="H441" s="2"/>
      <c r="I441" s="5"/>
    </row>
    <row r="442" spans="1:9" ht="17.399999999999999" x14ac:dyDescent="0.25">
      <c r="A442" s="16"/>
      <c r="B442" s="17"/>
      <c r="C442" s="2"/>
      <c r="D442" s="2"/>
      <c r="E442" s="2"/>
      <c r="F442" s="2"/>
      <c r="G442" s="2"/>
      <c r="H442" s="2"/>
      <c r="I442" s="5"/>
    </row>
    <row r="443" spans="1:9" ht="17.399999999999999" x14ac:dyDescent="0.25">
      <c r="A443" s="16"/>
      <c r="B443" s="17"/>
      <c r="C443" s="2"/>
      <c r="D443" s="2"/>
      <c r="E443" s="2"/>
      <c r="F443" s="2"/>
      <c r="G443" s="2"/>
      <c r="H443" s="2"/>
      <c r="I443" s="5"/>
    </row>
    <row r="444" spans="1:9" ht="17.399999999999999" x14ac:dyDescent="0.25">
      <c r="A444" s="16"/>
      <c r="B444" s="17"/>
      <c r="C444" s="2"/>
      <c r="D444" s="2"/>
      <c r="E444" s="2"/>
      <c r="F444" s="2"/>
      <c r="G444" s="2"/>
      <c r="H444" s="2"/>
      <c r="I444" s="5"/>
    </row>
    <row r="445" spans="1:9" ht="17.399999999999999" x14ac:dyDescent="0.25">
      <c r="A445" s="16"/>
      <c r="B445" s="17"/>
      <c r="C445" s="2"/>
      <c r="D445" s="2"/>
      <c r="E445" s="2"/>
      <c r="F445" s="2"/>
      <c r="G445" s="2"/>
      <c r="H445" s="2"/>
      <c r="I445" s="5"/>
    </row>
    <row r="446" spans="1:9" ht="17.399999999999999" x14ac:dyDescent="0.25">
      <c r="A446" s="16"/>
      <c r="B446" s="17"/>
      <c r="C446" s="2"/>
      <c r="D446" s="2"/>
      <c r="E446" s="2"/>
      <c r="F446" s="2"/>
      <c r="G446" s="2"/>
      <c r="H446" s="2"/>
      <c r="I446" s="5"/>
    </row>
    <row r="447" spans="1:9" ht="17.399999999999999" x14ac:dyDescent="0.25">
      <c r="A447" s="16"/>
      <c r="B447" s="17"/>
      <c r="C447" s="2"/>
      <c r="D447" s="2"/>
      <c r="E447" s="2"/>
      <c r="F447" s="2"/>
      <c r="G447" s="2"/>
      <c r="H447" s="2"/>
      <c r="I447" s="5"/>
    </row>
    <row r="448" spans="1:9" ht="17.399999999999999" x14ac:dyDescent="0.25">
      <c r="A448" s="16"/>
      <c r="B448" s="17"/>
      <c r="C448" s="2"/>
      <c r="D448" s="2"/>
      <c r="E448" s="2"/>
      <c r="F448" s="2"/>
      <c r="G448" s="2"/>
      <c r="H448" s="2"/>
      <c r="I448" s="5"/>
    </row>
    <row r="449" spans="1:9" ht="17.399999999999999" x14ac:dyDescent="0.25">
      <c r="A449" s="16"/>
      <c r="B449" s="17"/>
      <c r="C449" s="2"/>
      <c r="D449" s="2"/>
      <c r="E449" s="2"/>
      <c r="F449" s="2"/>
      <c r="G449" s="2"/>
      <c r="H449" s="2"/>
      <c r="I449" s="5"/>
    </row>
    <row r="450" spans="1:9" ht="17.399999999999999" x14ac:dyDescent="0.25">
      <c r="A450" s="16"/>
      <c r="B450" s="17"/>
      <c r="C450" s="2"/>
      <c r="D450" s="2"/>
      <c r="E450" s="2"/>
      <c r="F450" s="2"/>
      <c r="G450" s="2"/>
      <c r="H450" s="2"/>
      <c r="I450" s="5"/>
    </row>
    <row r="451" spans="1:9" ht="17.399999999999999" x14ac:dyDescent="0.25">
      <c r="A451" s="16"/>
      <c r="B451" s="17"/>
      <c r="C451" s="2"/>
      <c r="D451" s="2"/>
      <c r="E451" s="2"/>
      <c r="F451" s="2"/>
      <c r="G451" s="2"/>
      <c r="H451" s="2"/>
      <c r="I451" s="5"/>
    </row>
    <row r="452" spans="1:9" ht="17.399999999999999" x14ac:dyDescent="0.25">
      <c r="A452" s="16"/>
      <c r="B452" s="17"/>
      <c r="C452" s="2"/>
      <c r="D452" s="2"/>
      <c r="E452" s="2"/>
      <c r="F452" s="2"/>
      <c r="G452" s="2"/>
      <c r="H452" s="2"/>
      <c r="I452" s="5"/>
    </row>
    <row r="453" spans="1:9" ht="17.399999999999999" x14ac:dyDescent="0.25">
      <c r="A453" s="16"/>
      <c r="B453" s="17"/>
      <c r="C453" s="2"/>
      <c r="D453" s="2"/>
      <c r="E453" s="2"/>
      <c r="F453" s="2"/>
      <c r="G453" s="2"/>
      <c r="H453" s="2"/>
      <c r="I453" s="5"/>
    </row>
    <row r="454" spans="1:9" ht="17.399999999999999" x14ac:dyDescent="0.25">
      <c r="A454" s="16"/>
      <c r="B454" s="17"/>
      <c r="C454" s="2"/>
      <c r="D454" s="2"/>
      <c r="E454" s="2"/>
      <c r="F454" s="2"/>
      <c r="G454" s="2"/>
      <c r="H454" s="2"/>
      <c r="I454" s="5"/>
    </row>
    <row r="455" spans="1:9" ht="17.399999999999999" x14ac:dyDescent="0.25">
      <c r="A455" s="16"/>
      <c r="B455" s="17"/>
      <c r="C455" s="2"/>
      <c r="D455" s="2"/>
      <c r="E455" s="2"/>
      <c r="F455" s="2"/>
      <c r="G455" s="2"/>
      <c r="H455" s="2"/>
      <c r="I455" s="5"/>
    </row>
    <row r="456" spans="1:9" ht="17.399999999999999" x14ac:dyDescent="0.25">
      <c r="A456" s="16"/>
      <c r="B456" s="17"/>
      <c r="C456" s="2"/>
      <c r="D456" s="2"/>
      <c r="E456" s="2"/>
      <c r="F456" s="2"/>
      <c r="G456" s="2"/>
      <c r="H456" s="2"/>
      <c r="I456" s="5"/>
    </row>
    <row r="457" spans="1:9" ht="17.399999999999999" x14ac:dyDescent="0.25">
      <c r="A457" s="16"/>
      <c r="B457" s="17"/>
      <c r="C457" s="2"/>
      <c r="D457" s="2"/>
      <c r="E457" s="2"/>
      <c r="F457" s="2"/>
      <c r="G457" s="2"/>
      <c r="H457" s="2"/>
      <c r="I457" s="5"/>
    </row>
    <row r="458" spans="1:9" ht="17.399999999999999" x14ac:dyDescent="0.25">
      <c r="A458" s="16"/>
      <c r="B458" s="17"/>
      <c r="C458" s="2"/>
      <c r="D458" s="2"/>
      <c r="E458" s="2"/>
      <c r="F458" s="2"/>
      <c r="G458" s="2"/>
      <c r="H458" s="2"/>
      <c r="I458" s="5"/>
    </row>
    <row r="459" spans="1:9" ht="17.399999999999999" x14ac:dyDescent="0.25">
      <c r="A459" s="16"/>
      <c r="B459" s="17"/>
      <c r="C459" s="2"/>
      <c r="D459" s="2"/>
      <c r="E459" s="2"/>
      <c r="F459" s="2"/>
      <c r="G459" s="2"/>
      <c r="H459" s="2"/>
      <c r="I459" s="5"/>
    </row>
    <row r="460" spans="1:9" ht="17.399999999999999" x14ac:dyDescent="0.25">
      <c r="A460" s="16"/>
      <c r="B460" s="17"/>
      <c r="C460" s="2"/>
      <c r="D460" s="2"/>
      <c r="E460" s="2"/>
      <c r="F460" s="2"/>
      <c r="G460" s="2"/>
      <c r="H460" s="2"/>
      <c r="I460" s="5"/>
    </row>
    <row r="461" spans="1:9" ht="17.399999999999999" x14ac:dyDescent="0.25">
      <c r="A461" s="16"/>
      <c r="B461" s="17"/>
      <c r="C461" s="2"/>
      <c r="D461" s="2"/>
      <c r="E461" s="2"/>
      <c r="F461" s="2"/>
      <c r="G461" s="2"/>
      <c r="H461" s="2"/>
      <c r="I461" s="5"/>
    </row>
    <row r="462" spans="1:9" ht="17.399999999999999" x14ac:dyDescent="0.25">
      <c r="A462" s="16"/>
      <c r="B462" s="17"/>
      <c r="C462" s="2"/>
      <c r="D462" s="2"/>
      <c r="E462" s="2"/>
      <c r="F462" s="2"/>
      <c r="G462" s="2"/>
      <c r="H462" s="2"/>
      <c r="I462" s="5"/>
    </row>
    <row r="463" spans="1:9" ht="17.399999999999999" x14ac:dyDescent="0.25">
      <c r="A463" s="16"/>
      <c r="B463" s="17"/>
      <c r="C463" s="2"/>
      <c r="D463" s="2"/>
      <c r="E463" s="2"/>
      <c r="F463" s="2"/>
      <c r="G463" s="2"/>
      <c r="H463" s="2"/>
      <c r="I463" s="5"/>
    </row>
    <row r="464" spans="1:9" ht="17.399999999999999" x14ac:dyDescent="0.25">
      <c r="A464" s="16"/>
      <c r="B464" s="17"/>
      <c r="C464" s="2"/>
      <c r="D464" s="2"/>
      <c r="E464" s="2"/>
      <c r="F464" s="2"/>
      <c r="G464" s="2"/>
      <c r="H464" s="2"/>
      <c r="I464" s="5"/>
    </row>
    <row r="465" spans="1:9" ht="17.399999999999999" x14ac:dyDescent="0.25">
      <c r="A465" s="16"/>
      <c r="B465" s="17"/>
      <c r="C465" s="2"/>
      <c r="D465" s="2"/>
      <c r="E465" s="2"/>
      <c r="F465" s="2"/>
      <c r="G465" s="2"/>
      <c r="H465" s="2"/>
      <c r="I465" s="5"/>
    </row>
    <row r="466" spans="1:9" ht="17.399999999999999" x14ac:dyDescent="0.25">
      <c r="A466" s="16"/>
      <c r="B466" s="17"/>
      <c r="C466" s="2"/>
      <c r="D466" s="2"/>
      <c r="E466" s="2"/>
      <c r="F466" s="2"/>
      <c r="G466" s="2"/>
      <c r="H466" s="2"/>
      <c r="I466" s="5"/>
    </row>
    <row r="467" spans="1:9" ht="17.399999999999999" x14ac:dyDescent="0.25">
      <c r="A467" s="16"/>
      <c r="B467" s="17"/>
      <c r="C467" s="2"/>
      <c r="D467" s="2"/>
      <c r="E467" s="2"/>
      <c r="F467" s="2"/>
      <c r="G467" s="2"/>
      <c r="H467" s="2"/>
      <c r="I467" s="5"/>
    </row>
    <row r="468" spans="1:9" ht="17.399999999999999" x14ac:dyDescent="0.25">
      <c r="A468" s="16"/>
      <c r="B468" s="17"/>
      <c r="C468" s="2"/>
      <c r="D468" s="2"/>
      <c r="E468" s="2"/>
      <c r="F468" s="2"/>
      <c r="G468" s="2"/>
      <c r="H468" s="2"/>
      <c r="I468" s="5"/>
    </row>
    <row r="469" spans="1:9" ht="17.399999999999999" x14ac:dyDescent="0.25">
      <c r="A469" s="16"/>
      <c r="B469" s="17"/>
      <c r="C469" s="2"/>
      <c r="D469" s="2"/>
      <c r="E469" s="2"/>
      <c r="F469" s="2"/>
      <c r="G469" s="2"/>
      <c r="H469" s="2"/>
      <c r="I469" s="5"/>
    </row>
    <row r="470" spans="1:9" ht="17.399999999999999" x14ac:dyDescent="0.25">
      <c r="A470" s="16"/>
      <c r="B470" s="17"/>
      <c r="C470" s="2"/>
      <c r="D470" s="2"/>
      <c r="E470" s="2"/>
      <c r="F470" s="2"/>
      <c r="G470" s="2"/>
      <c r="H470" s="2"/>
      <c r="I470" s="5"/>
    </row>
    <row r="471" spans="1:9" ht="17.399999999999999" x14ac:dyDescent="0.25">
      <c r="A471" s="16"/>
      <c r="B471" s="17"/>
      <c r="C471" s="2"/>
      <c r="D471" s="2"/>
      <c r="E471" s="2"/>
      <c r="F471" s="2"/>
      <c r="G471" s="2"/>
      <c r="H471" s="2"/>
      <c r="I471" s="5"/>
    </row>
    <row r="472" spans="1:9" ht="17.399999999999999" x14ac:dyDescent="0.25">
      <c r="A472" s="16"/>
      <c r="B472" s="17"/>
      <c r="C472" s="2"/>
      <c r="D472" s="2"/>
      <c r="E472" s="2"/>
      <c r="F472" s="2"/>
      <c r="G472" s="2"/>
      <c r="H472" s="2"/>
      <c r="I472" s="5"/>
    </row>
    <row r="473" spans="1:9" ht="17.399999999999999" x14ac:dyDescent="0.25">
      <c r="A473" s="16"/>
      <c r="B473" s="17"/>
      <c r="C473" s="2"/>
      <c r="D473" s="2"/>
      <c r="E473" s="2"/>
      <c r="F473" s="2"/>
      <c r="G473" s="2"/>
      <c r="H473" s="2"/>
      <c r="I473" s="5"/>
    </row>
    <row r="474" spans="1:9" ht="17.399999999999999" x14ac:dyDescent="0.25">
      <c r="A474" s="16"/>
      <c r="B474" s="17"/>
      <c r="C474" s="2"/>
      <c r="D474" s="2"/>
      <c r="E474" s="2"/>
      <c r="F474" s="2"/>
      <c r="G474" s="2"/>
      <c r="H474" s="2"/>
      <c r="I474" s="5"/>
    </row>
    <row r="475" spans="1:9" ht="17.399999999999999" x14ac:dyDescent="0.25">
      <c r="A475" s="16"/>
      <c r="B475" s="17"/>
      <c r="C475" s="2"/>
      <c r="D475" s="2"/>
      <c r="E475" s="2"/>
      <c r="F475" s="2"/>
      <c r="G475" s="2"/>
      <c r="H475" s="2"/>
      <c r="I475" s="5"/>
    </row>
    <row r="476" spans="1:9" ht="17.399999999999999" x14ac:dyDescent="0.25">
      <c r="A476" s="16"/>
      <c r="B476" s="17"/>
      <c r="C476" s="2"/>
      <c r="D476" s="2"/>
      <c r="E476" s="2"/>
      <c r="F476" s="2"/>
      <c r="G476" s="2"/>
      <c r="H476" s="2"/>
      <c r="I476" s="5"/>
    </row>
    <row r="477" spans="1:9" ht="17.399999999999999" x14ac:dyDescent="0.25">
      <c r="A477" s="16"/>
      <c r="B477" s="17"/>
      <c r="C477" s="2"/>
      <c r="D477" s="2"/>
      <c r="E477" s="2"/>
      <c r="F477" s="2"/>
      <c r="G477" s="2"/>
      <c r="H477" s="2"/>
      <c r="I477" s="5"/>
    </row>
    <row r="478" spans="1:9" ht="17.399999999999999" x14ac:dyDescent="0.25">
      <c r="A478" s="16"/>
      <c r="B478" s="17"/>
      <c r="C478" s="2"/>
      <c r="D478" s="2"/>
      <c r="E478" s="2"/>
      <c r="F478" s="2"/>
      <c r="G478" s="2"/>
      <c r="H478" s="2"/>
      <c r="I478" s="5"/>
    </row>
    <row r="479" spans="1:9" ht="17.399999999999999" x14ac:dyDescent="0.25">
      <c r="A479" s="16"/>
      <c r="B479" s="17"/>
      <c r="C479" s="2"/>
      <c r="D479" s="2"/>
      <c r="E479" s="2"/>
      <c r="F479" s="2"/>
      <c r="G479" s="2"/>
      <c r="H479" s="2"/>
      <c r="I479" s="5"/>
    </row>
    <row r="480" spans="1:9" ht="17.399999999999999" x14ac:dyDescent="0.25">
      <c r="A480" s="16"/>
      <c r="B480" s="17"/>
      <c r="C480" s="2"/>
      <c r="D480" s="2"/>
      <c r="E480" s="2"/>
      <c r="F480" s="2"/>
      <c r="G480" s="2"/>
      <c r="H480" s="2"/>
      <c r="I480" s="5"/>
    </row>
    <row r="481" spans="1:9" ht="17.399999999999999" x14ac:dyDescent="0.25">
      <c r="A481" s="16"/>
      <c r="B481" s="17"/>
      <c r="C481" s="2"/>
      <c r="D481" s="2"/>
      <c r="E481" s="2"/>
      <c r="F481" s="2"/>
      <c r="G481" s="2"/>
      <c r="H481" s="2"/>
      <c r="I481" s="5"/>
    </row>
    <row r="482" spans="1:9" ht="17.399999999999999" x14ac:dyDescent="0.25">
      <c r="A482" s="16"/>
      <c r="B482" s="17"/>
      <c r="C482" s="2"/>
      <c r="D482" s="2"/>
      <c r="E482" s="2"/>
      <c r="F482" s="2"/>
      <c r="G482" s="2"/>
      <c r="H482" s="2"/>
      <c r="I482" s="5"/>
    </row>
    <row r="483" spans="1:9" ht="17.399999999999999" x14ac:dyDescent="0.25">
      <c r="A483" s="16"/>
      <c r="B483" s="17"/>
      <c r="C483" s="2"/>
      <c r="D483" s="2"/>
      <c r="E483" s="2"/>
      <c r="F483" s="2"/>
      <c r="G483" s="2"/>
      <c r="H483" s="2"/>
      <c r="I483" s="5"/>
    </row>
    <row r="484" spans="1:9" ht="17.399999999999999" x14ac:dyDescent="0.25">
      <c r="A484" s="16"/>
      <c r="B484" s="17"/>
      <c r="C484" s="2"/>
      <c r="D484" s="2"/>
      <c r="E484" s="2"/>
      <c r="F484" s="2"/>
      <c r="G484" s="2"/>
      <c r="H484" s="2"/>
      <c r="I484" s="5"/>
    </row>
    <row r="485" spans="1:9" ht="17.399999999999999" x14ac:dyDescent="0.25">
      <c r="A485" s="16"/>
      <c r="B485" s="17"/>
      <c r="C485" s="2"/>
      <c r="D485" s="2"/>
      <c r="E485" s="2"/>
      <c r="F485" s="2"/>
      <c r="G485" s="2"/>
      <c r="H485" s="2"/>
      <c r="I485" s="5"/>
    </row>
    <row r="486" spans="1:9" ht="17.399999999999999" x14ac:dyDescent="0.25">
      <c r="A486" s="16"/>
      <c r="B486" s="17"/>
      <c r="C486" s="2"/>
      <c r="D486" s="2"/>
      <c r="E486" s="2"/>
      <c r="F486" s="2"/>
      <c r="G486" s="2"/>
      <c r="H486" s="2"/>
      <c r="I486" s="5"/>
    </row>
    <row r="487" spans="1:9" ht="17.399999999999999" x14ac:dyDescent="0.25">
      <c r="A487" s="16"/>
      <c r="B487" s="17"/>
      <c r="C487" s="2"/>
      <c r="D487" s="2"/>
      <c r="E487" s="2"/>
      <c r="F487" s="2"/>
      <c r="G487" s="2"/>
      <c r="H487" s="2"/>
      <c r="I487" s="5"/>
    </row>
    <row r="488" spans="1:9" ht="17.399999999999999" x14ac:dyDescent="0.25">
      <c r="A488" s="16"/>
      <c r="B488" s="17"/>
      <c r="C488" s="2"/>
      <c r="D488" s="2"/>
      <c r="E488" s="2"/>
      <c r="F488" s="2"/>
      <c r="G488" s="2"/>
      <c r="H488" s="2"/>
      <c r="I488" s="5"/>
    </row>
    <row r="489" spans="1:9" ht="17.399999999999999" x14ac:dyDescent="0.25">
      <c r="A489" s="16"/>
      <c r="B489" s="17"/>
      <c r="C489" s="2"/>
      <c r="D489" s="2"/>
      <c r="E489" s="2"/>
      <c r="F489" s="2"/>
      <c r="G489" s="2"/>
      <c r="H489" s="2"/>
      <c r="I489" s="5"/>
    </row>
    <row r="490" spans="1:9" ht="17.399999999999999" x14ac:dyDescent="0.25">
      <c r="A490" s="16"/>
      <c r="B490" s="17"/>
      <c r="C490" s="2"/>
      <c r="D490" s="2"/>
      <c r="E490" s="2"/>
      <c r="F490" s="2"/>
      <c r="G490" s="2"/>
      <c r="H490" s="2"/>
      <c r="I490" s="5"/>
    </row>
    <row r="491" spans="1:9" ht="17.399999999999999" x14ac:dyDescent="0.25">
      <c r="A491" s="16"/>
      <c r="B491" s="17"/>
      <c r="C491" s="2"/>
      <c r="D491" s="2"/>
      <c r="E491" s="2"/>
      <c r="F491" s="2"/>
      <c r="G491" s="2"/>
      <c r="H491" s="2"/>
      <c r="I491" s="5"/>
    </row>
    <row r="492" spans="1:9" ht="17.399999999999999" x14ac:dyDescent="0.25">
      <c r="A492" s="16"/>
      <c r="B492" s="17"/>
      <c r="C492" s="2"/>
      <c r="D492" s="2"/>
      <c r="E492" s="2"/>
      <c r="F492" s="2"/>
      <c r="G492" s="2"/>
      <c r="H492" s="2"/>
      <c r="I492" s="5"/>
    </row>
    <row r="493" spans="1:9" ht="17.399999999999999" x14ac:dyDescent="0.25">
      <c r="A493" s="16"/>
      <c r="B493" s="17"/>
      <c r="C493" s="2"/>
      <c r="D493" s="2"/>
      <c r="E493" s="2"/>
      <c r="F493" s="2"/>
      <c r="G493" s="2"/>
      <c r="H493" s="2"/>
      <c r="I493" s="5"/>
    </row>
    <row r="494" spans="1:9" ht="17.399999999999999" x14ac:dyDescent="0.25">
      <c r="A494" s="16"/>
      <c r="B494" s="17"/>
      <c r="C494" s="2"/>
      <c r="D494" s="2"/>
      <c r="E494" s="2"/>
      <c r="F494" s="2"/>
      <c r="G494" s="2"/>
      <c r="H494" s="2"/>
      <c r="I494" s="5"/>
    </row>
    <row r="495" spans="1:9" ht="17.399999999999999" x14ac:dyDescent="0.25">
      <c r="A495" s="16"/>
      <c r="B495" s="17"/>
      <c r="C495" s="2"/>
      <c r="D495" s="2"/>
      <c r="E495" s="2"/>
      <c r="F495" s="2"/>
      <c r="G495" s="2"/>
      <c r="H495" s="2"/>
      <c r="I495" s="5"/>
    </row>
    <row r="496" spans="1:9" ht="17.399999999999999" x14ac:dyDescent="0.25">
      <c r="A496" s="16"/>
      <c r="B496" s="17"/>
      <c r="C496" s="2"/>
      <c r="D496" s="2"/>
      <c r="E496" s="2"/>
      <c r="F496" s="2"/>
      <c r="G496" s="2"/>
      <c r="H496" s="2"/>
      <c r="I496" s="5"/>
    </row>
    <row r="497" spans="1:9" ht="17.399999999999999" x14ac:dyDescent="0.25">
      <c r="A497" s="16"/>
      <c r="B497" s="17"/>
      <c r="C497" s="2"/>
      <c r="D497" s="2"/>
      <c r="E497" s="2"/>
      <c r="F497" s="2"/>
      <c r="G497" s="2"/>
      <c r="H497" s="2"/>
      <c r="I497" s="5"/>
    </row>
    <row r="498" spans="1:9" ht="17.399999999999999" x14ac:dyDescent="0.25">
      <c r="A498" s="16"/>
      <c r="B498" s="17"/>
      <c r="C498" s="2"/>
      <c r="D498" s="2"/>
      <c r="E498" s="2"/>
      <c r="F498" s="2"/>
      <c r="G498" s="2"/>
      <c r="H498" s="2"/>
      <c r="I498" s="5"/>
    </row>
    <row r="499" spans="1:9" ht="17.399999999999999" x14ac:dyDescent="0.25">
      <c r="A499" s="16"/>
      <c r="B499" s="17"/>
      <c r="C499" s="2"/>
      <c r="D499" s="2"/>
      <c r="E499" s="2"/>
      <c r="F499" s="2"/>
      <c r="G499" s="2"/>
      <c r="H499" s="2"/>
      <c r="I499" s="5"/>
    </row>
    <row r="500" spans="1:9" ht="17.399999999999999" x14ac:dyDescent="0.25">
      <c r="A500" s="16"/>
      <c r="B500" s="17"/>
      <c r="C500" s="2"/>
      <c r="D500" s="2"/>
      <c r="E500" s="2"/>
      <c r="F500" s="2"/>
      <c r="G500" s="2"/>
      <c r="H500" s="2"/>
      <c r="I500" s="5"/>
    </row>
    <row r="501" spans="1:9" ht="17.399999999999999" x14ac:dyDescent="0.25">
      <c r="A501" s="16"/>
      <c r="B501" s="17"/>
      <c r="C501" s="2"/>
      <c r="D501" s="2"/>
      <c r="E501" s="2"/>
      <c r="F501" s="2"/>
      <c r="G501" s="2"/>
      <c r="H501" s="2"/>
      <c r="I501" s="5"/>
    </row>
    <row r="502" spans="1:9" ht="17.399999999999999" x14ac:dyDescent="0.25">
      <c r="A502" s="16"/>
      <c r="B502" s="17"/>
      <c r="C502" s="2"/>
      <c r="D502" s="2"/>
      <c r="E502" s="2"/>
      <c r="F502" s="2"/>
      <c r="G502" s="2"/>
      <c r="H502" s="2"/>
      <c r="I502" s="5"/>
    </row>
    <row r="503" spans="1:9" ht="17.399999999999999" x14ac:dyDescent="0.25">
      <c r="A503" s="16"/>
      <c r="B503" s="17"/>
      <c r="C503" s="2"/>
      <c r="D503" s="2"/>
      <c r="E503" s="2"/>
      <c r="F503" s="2"/>
      <c r="G503" s="2"/>
      <c r="H503" s="2"/>
      <c r="I503" s="5"/>
    </row>
    <row r="504" spans="1:9" ht="17.399999999999999" x14ac:dyDescent="0.25">
      <c r="A504" s="16"/>
      <c r="B504" s="17"/>
      <c r="C504" s="2"/>
      <c r="D504" s="2"/>
      <c r="E504" s="2"/>
      <c r="F504" s="2"/>
      <c r="G504" s="2"/>
      <c r="H504" s="2"/>
      <c r="I504" s="5"/>
    </row>
    <row r="505" spans="1:9" ht="17.399999999999999" x14ac:dyDescent="0.25">
      <c r="A505" s="16"/>
      <c r="B505" s="17"/>
      <c r="C505" s="2"/>
      <c r="D505" s="2"/>
      <c r="E505" s="2"/>
      <c r="F505" s="2"/>
      <c r="G505" s="2"/>
      <c r="H505" s="2"/>
      <c r="I505" s="5"/>
    </row>
    <row r="506" spans="1:9" ht="17.399999999999999" x14ac:dyDescent="0.25">
      <c r="A506" s="16"/>
      <c r="B506" s="17"/>
      <c r="C506" s="2"/>
      <c r="D506" s="2"/>
      <c r="E506" s="2"/>
      <c r="F506" s="2"/>
      <c r="G506" s="2"/>
      <c r="H506" s="2"/>
      <c r="I506" s="5"/>
    </row>
    <row r="507" spans="1:9" ht="17.399999999999999" x14ac:dyDescent="0.25">
      <c r="A507" s="16"/>
      <c r="B507" s="17"/>
      <c r="C507" s="2"/>
      <c r="D507" s="2"/>
      <c r="E507" s="2"/>
      <c r="F507" s="2"/>
      <c r="G507" s="2"/>
      <c r="H507" s="2"/>
      <c r="I507" s="5"/>
    </row>
    <row r="508" spans="1:9" ht="17.399999999999999" x14ac:dyDescent="0.25">
      <c r="A508" s="16"/>
      <c r="B508" s="17"/>
      <c r="C508" s="2"/>
      <c r="D508" s="2"/>
      <c r="E508" s="2"/>
      <c r="F508" s="2"/>
      <c r="G508" s="2"/>
      <c r="H508" s="2"/>
      <c r="I508" s="5"/>
    </row>
    <row r="509" spans="1:9" ht="17.399999999999999" x14ac:dyDescent="0.25">
      <c r="A509" s="16"/>
      <c r="B509" s="17"/>
      <c r="C509" s="2"/>
      <c r="D509" s="2"/>
      <c r="E509" s="2"/>
      <c r="F509" s="2"/>
      <c r="G509" s="2"/>
      <c r="H509" s="2"/>
      <c r="I509" s="5"/>
    </row>
    <row r="510" spans="1:9" ht="17.399999999999999" x14ac:dyDescent="0.25">
      <c r="A510" s="16"/>
      <c r="B510" s="17"/>
      <c r="C510" s="2"/>
      <c r="D510" s="2"/>
      <c r="E510" s="2"/>
      <c r="F510" s="2"/>
      <c r="G510" s="2"/>
      <c r="H510" s="2"/>
      <c r="I510" s="5"/>
    </row>
    <row r="511" spans="1:9" ht="17.399999999999999" x14ac:dyDescent="0.25">
      <c r="A511" s="16"/>
      <c r="B511" s="17"/>
      <c r="C511" s="2"/>
      <c r="D511" s="2"/>
      <c r="E511" s="2"/>
      <c r="F511" s="2"/>
      <c r="G511" s="2"/>
      <c r="H511" s="2"/>
      <c r="I511" s="5"/>
    </row>
    <row r="512" spans="1:9" ht="17.399999999999999" x14ac:dyDescent="0.25">
      <c r="A512" s="16"/>
      <c r="B512" s="17"/>
      <c r="C512" s="2"/>
      <c r="D512" s="2"/>
      <c r="E512" s="2"/>
      <c r="F512" s="2"/>
      <c r="G512" s="2"/>
      <c r="H512" s="2"/>
      <c r="I512" s="5"/>
    </row>
    <row r="513" spans="1:9" ht="17.399999999999999" x14ac:dyDescent="0.25">
      <c r="A513" s="16"/>
      <c r="B513" s="17"/>
      <c r="C513" s="2"/>
      <c r="D513" s="2"/>
      <c r="E513" s="2"/>
      <c r="F513" s="2"/>
      <c r="G513" s="2"/>
      <c r="H513" s="2"/>
      <c r="I513" s="5"/>
    </row>
    <row r="514" spans="1:9" ht="17.399999999999999" x14ac:dyDescent="0.25">
      <c r="A514" s="16"/>
      <c r="B514" s="17"/>
      <c r="C514" s="2"/>
      <c r="D514" s="2"/>
      <c r="E514" s="2"/>
      <c r="F514" s="2"/>
      <c r="G514" s="2"/>
      <c r="H514" s="2"/>
      <c r="I514" s="5"/>
    </row>
    <row r="515" spans="1:9" ht="17.399999999999999" x14ac:dyDescent="0.25">
      <c r="A515" s="16"/>
      <c r="B515" s="17"/>
      <c r="C515" s="2"/>
      <c r="D515" s="2"/>
      <c r="E515" s="2"/>
      <c r="F515" s="2"/>
      <c r="G515" s="2"/>
      <c r="H515" s="2"/>
      <c r="I515" s="5"/>
    </row>
    <row r="516" spans="1:9" ht="17.399999999999999" x14ac:dyDescent="0.25">
      <c r="A516" s="16"/>
      <c r="B516" s="17"/>
      <c r="C516" s="2"/>
      <c r="D516" s="2"/>
      <c r="E516" s="2"/>
      <c r="F516" s="2"/>
      <c r="G516" s="2"/>
      <c r="H516" s="2"/>
      <c r="I516" s="5"/>
    </row>
    <row r="517" spans="1:9" ht="17.399999999999999" x14ac:dyDescent="0.25">
      <c r="A517" s="16"/>
      <c r="B517" s="17"/>
      <c r="C517" s="2"/>
      <c r="D517" s="2"/>
      <c r="E517" s="2"/>
      <c r="F517" s="2"/>
      <c r="G517" s="2"/>
      <c r="H517" s="2"/>
      <c r="I517" s="5"/>
    </row>
    <row r="518" spans="1:9" ht="17.399999999999999" x14ac:dyDescent="0.25">
      <c r="A518" s="16"/>
      <c r="B518" s="17"/>
      <c r="C518" s="2"/>
      <c r="D518" s="2"/>
      <c r="E518" s="2"/>
      <c r="F518" s="2"/>
      <c r="G518" s="2"/>
      <c r="H518" s="2"/>
      <c r="I518" s="5"/>
    </row>
    <row r="519" spans="1:9" ht="17.399999999999999" x14ac:dyDescent="0.25">
      <c r="A519" s="16"/>
      <c r="B519" s="17"/>
      <c r="C519" s="2"/>
      <c r="D519" s="2"/>
      <c r="E519" s="2"/>
      <c r="F519" s="2"/>
      <c r="G519" s="2"/>
      <c r="H519" s="2"/>
      <c r="I519" s="5"/>
    </row>
    <row r="520" spans="1:9" ht="17.399999999999999" x14ac:dyDescent="0.25">
      <c r="A520" s="16"/>
      <c r="B520" s="17"/>
      <c r="C520" s="2"/>
      <c r="D520" s="2"/>
      <c r="E520" s="2"/>
      <c r="F520" s="2"/>
      <c r="G520" s="2"/>
      <c r="H520" s="2"/>
      <c r="I520" s="5"/>
    </row>
    <row r="521" spans="1:9" ht="17.399999999999999" x14ac:dyDescent="0.25">
      <c r="A521" s="16"/>
      <c r="B521" s="17"/>
      <c r="C521" s="2"/>
      <c r="D521" s="2"/>
      <c r="E521" s="2"/>
      <c r="F521" s="2"/>
      <c r="G521" s="2"/>
      <c r="H521" s="2"/>
      <c r="I521" s="5"/>
    </row>
    <row r="522" spans="1:9" ht="17.399999999999999" x14ac:dyDescent="0.25">
      <c r="A522" s="16"/>
      <c r="B522" s="17"/>
      <c r="C522" s="2"/>
      <c r="D522" s="2"/>
      <c r="E522" s="2"/>
      <c r="F522" s="2"/>
      <c r="G522" s="2"/>
      <c r="H522" s="2"/>
      <c r="I522" s="5"/>
    </row>
    <row r="523" spans="1:9" ht="17.399999999999999" x14ac:dyDescent="0.25">
      <c r="A523" s="16"/>
      <c r="B523" s="17"/>
      <c r="C523" s="2"/>
      <c r="D523" s="2"/>
      <c r="E523" s="2"/>
      <c r="F523" s="2"/>
      <c r="G523" s="2"/>
      <c r="H523" s="2"/>
      <c r="I523" s="5"/>
    </row>
    <row r="524" spans="1:9" ht="17.399999999999999" x14ac:dyDescent="0.25">
      <c r="A524" s="16"/>
      <c r="B524" s="17"/>
      <c r="C524" s="2"/>
      <c r="D524" s="2"/>
      <c r="E524" s="2"/>
      <c r="F524" s="2"/>
      <c r="G524" s="2"/>
      <c r="H524" s="2"/>
      <c r="I524" s="5"/>
    </row>
    <row r="525" spans="1:9" ht="17.399999999999999" x14ac:dyDescent="0.25">
      <c r="A525" s="16"/>
      <c r="B525" s="17"/>
      <c r="C525" s="2"/>
      <c r="D525" s="2"/>
      <c r="E525" s="2"/>
      <c r="F525" s="2"/>
      <c r="G525" s="2"/>
      <c r="H525" s="2"/>
      <c r="I525" s="5"/>
    </row>
    <row r="526" spans="1:9" ht="17.399999999999999" x14ac:dyDescent="0.25">
      <c r="A526" s="16"/>
      <c r="B526" s="17"/>
      <c r="C526" s="2"/>
      <c r="D526" s="2"/>
      <c r="E526" s="2"/>
      <c r="F526" s="2"/>
      <c r="G526" s="2"/>
      <c r="H526" s="2"/>
      <c r="I526" s="5"/>
    </row>
    <row r="527" spans="1:9" ht="17.399999999999999" x14ac:dyDescent="0.25">
      <c r="A527" s="16"/>
      <c r="B527" s="17"/>
      <c r="C527" s="2"/>
      <c r="D527" s="2"/>
      <c r="E527" s="2"/>
      <c r="F527" s="2"/>
      <c r="G527" s="2"/>
      <c r="H527" s="2"/>
      <c r="I527" s="5"/>
    </row>
    <row r="528" spans="1:9" ht="17.399999999999999" x14ac:dyDescent="0.25">
      <c r="A528" s="16"/>
      <c r="B528" s="17"/>
      <c r="C528" s="2"/>
      <c r="D528" s="2"/>
      <c r="E528" s="2"/>
      <c r="F528" s="2"/>
      <c r="G528" s="2"/>
      <c r="H528" s="2"/>
      <c r="I528" s="5"/>
    </row>
    <row r="529" spans="1:9" ht="17.399999999999999" x14ac:dyDescent="0.25">
      <c r="A529" s="16"/>
      <c r="B529" s="17"/>
      <c r="C529" s="2"/>
      <c r="D529" s="2"/>
      <c r="E529" s="2"/>
      <c r="F529" s="2"/>
      <c r="G529" s="2"/>
      <c r="H529" s="2"/>
      <c r="I529" s="5"/>
    </row>
    <row r="530" spans="1:9" ht="17.399999999999999" x14ac:dyDescent="0.25">
      <c r="A530" s="16"/>
      <c r="B530" s="17"/>
      <c r="C530" s="2"/>
      <c r="D530" s="2"/>
      <c r="E530" s="2"/>
      <c r="F530" s="2"/>
      <c r="G530" s="2"/>
      <c r="H530" s="2"/>
      <c r="I530" s="5"/>
    </row>
    <row r="531" spans="1:9" ht="17.399999999999999" x14ac:dyDescent="0.25">
      <c r="A531" s="16"/>
      <c r="B531" s="17"/>
      <c r="C531" s="2"/>
      <c r="D531" s="2"/>
      <c r="E531" s="2"/>
      <c r="F531" s="2"/>
      <c r="G531" s="2"/>
      <c r="H531" s="2"/>
      <c r="I531" s="5"/>
    </row>
    <row r="532" spans="1:9" ht="17.399999999999999" x14ac:dyDescent="0.25">
      <c r="A532" s="16"/>
      <c r="B532" s="17"/>
      <c r="C532" s="2"/>
      <c r="D532" s="2"/>
      <c r="E532" s="2"/>
      <c r="F532" s="2"/>
      <c r="G532" s="2"/>
      <c r="H532" s="2"/>
      <c r="I532" s="5"/>
    </row>
    <row r="533" spans="1:9" ht="17.399999999999999" x14ac:dyDescent="0.25">
      <c r="A533" s="16"/>
      <c r="B533" s="17"/>
      <c r="C533" s="2"/>
      <c r="D533" s="2"/>
      <c r="E533" s="2"/>
      <c r="F533" s="2"/>
      <c r="G533" s="2"/>
      <c r="H533" s="2"/>
      <c r="I533" s="5"/>
    </row>
    <row r="534" spans="1:9" ht="17.399999999999999" x14ac:dyDescent="0.25">
      <c r="A534" s="16"/>
      <c r="B534" s="17"/>
      <c r="C534" s="2"/>
      <c r="D534" s="2"/>
      <c r="E534" s="2"/>
      <c r="F534" s="2"/>
      <c r="G534" s="2"/>
      <c r="H534" s="2"/>
      <c r="I534" s="5"/>
    </row>
    <row r="535" spans="1:9" ht="17.399999999999999" x14ac:dyDescent="0.25">
      <c r="A535" s="16"/>
      <c r="B535" s="17"/>
      <c r="C535" s="2"/>
      <c r="D535" s="2"/>
      <c r="E535" s="2"/>
      <c r="F535" s="2"/>
      <c r="G535" s="2"/>
      <c r="H535" s="2"/>
      <c r="I535" s="5"/>
    </row>
    <row r="536" spans="1:9" ht="17.399999999999999" x14ac:dyDescent="0.25">
      <c r="A536" s="16"/>
      <c r="B536" s="17"/>
      <c r="C536" s="2"/>
      <c r="D536" s="2"/>
      <c r="E536" s="2"/>
      <c r="F536" s="2"/>
      <c r="G536" s="2"/>
      <c r="H536" s="2"/>
      <c r="I536" s="5"/>
    </row>
    <row r="537" spans="1:9" ht="17.399999999999999" x14ac:dyDescent="0.25">
      <c r="A537" s="16"/>
      <c r="B537" s="17"/>
      <c r="C537" s="2"/>
      <c r="D537" s="2"/>
      <c r="E537" s="2"/>
      <c r="F537" s="2"/>
      <c r="G537" s="2"/>
      <c r="H537" s="2"/>
      <c r="I537" s="5"/>
    </row>
    <row r="538" spans="1:9" ht="17.399999999999999" x14ac:dyDescent="0.25">
      <c r="A538" s="16"/>
      <c r="B538" s="17"/>
      <c r="C538" s="2"/>
      <c r="D538" s="2"/>
      <c r="E538" s="2"/>
      <c r="F538" s="2"/>
      <c r="G538" s="2"/>
      <c r="H538" s="2"/>
      <c r="I538" s="5"/>
    </row>
    <row r="539" spans="1:9" ht="17.399999999999999" x14ac:dyDescent="0.25">
      <c r="A539" s="16"/>
      <c r="B539" s="17"/>
      <c r="C539" s="2"/>
      <c r="D539" s="2"/>
      <c r="E539" s="2"/>
      <c r="F539" s="2"/>
      <c r="G539" s="2"/>
      <c r="H539" s="2"/>
      <c r="I539" s="5"/>
    </row>
    <row r="540" spans="1:9" ht="17.399999999999999" x14ac:dyDescent="0.25">
      <c r="A540" s="16"/>
      <c r="B540" s="17"/>
      <c r="C540" s="2"/>
      <c r="D540" s="2"/>
      <c r="E540" s="2"/>
      <c r="F540" s="2"/>
      <c r="G540" s="2"/>
      <c r="H540" s="2"/>
      <c r="I540" s="5"/>
    </row>
    <row r="541" spans="1:9" ht="17.399999999999999" x14ac:dyDescent="0.25">
      <c r="A541" s="16"/>
      <c r="B541" s="17"/>
      <c r="C541" s="2"/>
      <c r="D541" s="2"/>
      <c r="E541" s="2"/>
      <c r="F541" s="2"/>
      <c r="G541" s="2"/>
      <c r="H541" s="2"/>
      <c r="I541" s="5"/>
    </row>
    <row r="542" spans="1:9" ht="17.399999999999999" x14ac:dyDescent="0.25">
      <c r="A542" s="16"/>
      <c r="B542" s="17"/>
      <c r="C542" s="2"/>
      <c r="D542" s="2"/>
      <c r="E542" s="2"/>
      <c r="F542" s="2"/>
      <c r="G542" s="2"/>
      <c r="H542" s="2"/>
      <c r="I542" s="5"/>
    </row>
    <row r="543" spans="1:9" ht="17.399999999999999" x14ac:dyDescent="0.25">
      <c r="A543" s="16"/>
      <c r="B543" s="17"/>
      <c r="C543" s="2"/>
      <c r="D543" s="2"/>
      <c r="E543" s="2"/>
      <c r="F543" s="2"/>
      <c r="G543" s="2"/>
      <c r="H543" s="2"/>
      <c r="I543" s="5"/>
    </row>
    <row r="544" spans="1:9" ht="17.399999999999999" x14ac:dyDescent="0.25">
      <c r="A544" s="16"/>
      <c r="B544" s="17"/>
      <c r="C544" s="2"/>
      <c r="D544" s="2"/>
      <c r="E544" s="2"/>
      <c r="F544" s="2"/>
      <c r="G544" s="2"/>
      <c r="H544" s="2"/>
      <c r="I544" s="5"/>
    </row>
    <row r="545" spans="1:9" ht="17.399999999999999" x14ac:dyDescent="0.25">
      <c r="A545" s="16"/>
      <c r="B545" s="17"/>
      <c r="C545" s="2"/>
      <c r="D545" s="2"/>
      <c r="E545" s="2"/>
      <c r="F545" s="2"/>
      <c r="G545" s="2"/>
      <c r="H545" s="2"/>
      <c r="I545" s="5"/>
    </row>
    <row r="546" spans="1:9" ht="17.399999999999999" x14ac:dyDescent="0.25">
      <c r="A546" s="16"/>
      <c r="B546" s="17"/>
      <c r="C546" s="2"/>
      <c r="D546" s="2"/>
      <c r="E546" s="2"/>
      <c r="F546" s="2"/>
      <c r="G546" s="2"/>
      <c r="H546" s="2"/>
      <c r="I546" s="5"/>
    </row>
    <row r="547" spans="1:9" ht="17.399999999999999" x14ac:dyDescent="0.25">
      <c r="A547" s="16"/>
      <c r="B547" s="17"/>
      <c r="C547" s="2"/>
      <c r="D547" s="2"/>
      <c r="E547" s="2"/>
      <c r="F547" s="2"/>
      <c r="G547" s="2"/>
      <c r="H547" s="2"/>
      <c r="I547" s="5"/>
    </row>
    <row r="548" spans="1:9" ht="17.399999999999999" x14ac:dyDescent="0.25">
      <c r="A548" s="16"/>
      <c r="B548" s="17"/>
      <c r="C548" s="2"/>
      <c r="D548" s="2"/>
      <c r="E548" s="2"/>
      <c r="F548" s="2"/>
      <c r="G548" s="2"/>
      <c r="H548" s="2"/>
      <c r="I548" s="5"/>
    </row>
    <row r="549" spans="1:9" ht="17.399999999999999" x14ac:dyDescent="0.25">
      <c r="A549" s="16"/>
      <c r="B549" s="17"/>
      <c r="C549" s="2"/>
      <c r="D549" s="2"/>
      <c r="E549" s="2"/>
      <c r="F549" s="2"/>
      <c r="G549" s="2"/>
      <c r="H549" s="2"/>
      <c r="I549" s="5"/>
    </row>
    <row r="550" spans="1:9" ht="17.399999999999999" x14ac:dyDescent="0.25">
      <c r="A550" s="16"/>
      <c r="B550" s="17"/>
      <c r="C550" s="2"/>
      <c r="D550" s="2"/>
      <c r="E550" s="2"/>
      <c r="F550" s="2"/>
      <c r="G550" s="2"/>
      <c r="H550" s="2"/>
      <c r="I550" s="5"/>
    </row>
    <row r="551" spans="1:9" ht="17.399999999999999" x14ac:dyDescent="0.25">
      <c r="A551" s="16"/>
      <c r="B551" s="17"/>
      <c r="C551" s="2"/>
      <c r="D551" s="2"/>
      <c r="E551" s="2"/>
      <c r="F551" s="2"/>
      <c r="G551" s="2"/>
      <c r="H551" s="2"/>
      <c r="I551" s="5"/>
    </row>
    <row r="552" spans="1:9" ht="17.399999999999999" x14ac:dyDescent="0.25">
      <c r="A552" s="16"/>
      <c r="B552" s="17"/>
      <c r="C552" s="2"/>
      <c r="D552" s="2"/>
      <c r="E552" s="2"/>
      <c r="F552" s="2"/>
      <c r="G552" s="2"/>
      <c r="H552" s="2"/>
      <c r="I552" s="5"/>
    </row>
    <row r="553" spans="1:9" ht="17.399999999999999" x14ac:dyDescent="0.25">
      <c r="A553" s="16"/>
      <c r="B553" s="17"/>
      <c r="C553" s="2"/>
      <c r="D553" s="2"/>
      <c r="E553" s="2"/>
      <c r="F553" s="2"/>
      <c r="G553" s="2"/>
      <c r="H553" s="2"/>
      <c r="I553" s="5"/>
    </row>
    <row r="554" spans="1:9" ht="17.399999999999999" x14ac:dyDescent="0.25">
      <c r="A554" s="16"/>
      <c r="B554" s="17"/>
      <c r="C554" s="2"/>
      <c r="D554" s="2"/>
      <c r="E554" s="2"/>
      <c r="F554" s="2"/>
      <c r="G554" s="2"/>
      <c r="H554" s="2"/>
      <c r="I554" s="5"/>
    </row>
    <row r="555" spans="1:9" ht="17.399999999999999" x14ac:dyDescent="0.25">
      <c r="A555" s="16"/>
      <c r="B555" s="17"/>
      <c r="C555" s="2"/>
      <c r="D555" s="2"/>
      <c r="E555" s="2"/>
      <c r="F555" s="2"/>
      <c r="G555" s="2"/>
      <c r="H555" s="2"/>
      <c r="I555" s="5"/>
    </row>
    <row r="556" spans="1:9" ht="17.399999999999999" x14ac:dyDescent="0.25">
      <c r="A556" s="16"/>
      <c r="B556" s="17"/>
      <c r="C556" s="2"/>
      <c r="D556" s="2"/>
      <c r="E556" s="2"/>
      <c r="F556" s="2"/>
      <c r="G556" s="2"/>
      <c r="H556" s="2"/>
      <c r="I556" s="5"/>
    </row>
    <row r="557" spans="1:9" ht="17.399999999999999" x14ac:dyDescent="0.25">
      <c r="A557" s="16"/>
      <c r="B557" s="17"/>
      <c r="C557" s="2"/>
      <c r="D557" s="2"/>
      <c r="E557" s="2"/>
      <c r="F557" s="2"/>
      <c r="G557" s="2"/>
      <c r="H557" s="2"/>
      <c r="I557" s="5"/>
    </row>
    <row r="558" spans="1:9" ht="17.399999999999999" x14ac:dyDescent="0.25">
      <c r="A558" s="16"/>
      <c r="B558" s="17"/>
      <c r="C558" s="2"/>
      <c r="D558" s="2"/>
      <c r="E558" s="2"/>
      <c r="F558" s="2"/>
      <c r="G558" s="2"/>
      <c r="H558" s="2"/>
      <c r="I558" s="5"/>
    </row>
    <row r="559" spans="1:9" ht="17.399999999999999" x14ac:dyDescent="0.25">
      <c r="A559" s="16"/>
      <c r="B559" s="17"/>
      <c r="C559" s="2"/>
      <c r="D559" s="2"/>
      <c r="E559" s="2"/>
      <c r="F559" s="2"/>
      <c r="G559" s="2"/>
      <c r="H559" s="2"/>
      <c r="I559" s="5"/>
    </row>
    <row r="560" spans="1:9" ht="17.399999999999999" x14ac:dyDescent="0.25">
      <c r="A560" s="16"/>
      <c r="B560" s="17"/>
      <c r="C560" s="2"/>
      <c r="D560" s="2"/>
      <c r="E560" s="2"/>
      <c r="F560" s="2"/>
      <c r="G560" s="2"/>
      <c r="H560" s="2"/>
      <c r="I560" s="5"/>
    </row>
    <row r="561" spans="1:9" ht="17.399999999999999" x14ac:dyDescent="0.25">
      <c r="A561" s="16"/>
      <c r="B561" s="17"/>
      <c r="C561" s="2"/>
      <c r="D561" s="2"/>
      <c r="E561" s="2"/>
      <c r="F561" s="2"/>
      <c r="G561" s="2"/>
      <c r="H561" s="2"/>
      <c r="I561" s="5"/>
    </row>
    <row r="562" spans="1:9" ht="17.399999999999999" x14ac:dyDescent="0.25">
      <c r="A562" s="16"/>
      <c r="B562" s="17"/>
      <c r="C562" s="2"/>
      <c r="D562" s="2"/>
      <c r="E562" s="2"/>
      <c r="F562" s="2"/>
      <c r="G562" s="2"/>
      <c r="H562" s="2"/>
      <c r="I562" s="5"/>
    </row>
    <row r="563" spans="1:9" ht="17.399999999999999" x14ac:dyDescent="0.25">
      <c r="A563" s="16"/>
      <c r="B563" s="17"/>
      <c r="C563" s="2"/>
      <c r="D563" s="2"/>
      <c r="E563" s="2"/>
      <c r="F563" s="2"/>
      <c r="G563" s="2"/>
      <c r="H563" s="2"/>
      <c r="I563" s="5"/>
    </row>
    <row r="564" spans="1:9" ht="17.399999999999999" x14ac:dyDescent="0.25">
      <c r="A564" s="16"/>
      <c r="B564" s="17"/>
      <c r="C564" s="2"/>
      <c r="D564" s="2"/>
      <c r="E564" s="2"/>
      <c r="F564" s="2"/>
      <c r="G564" s="2"/>
      <c r="H564" s="2"/>
      <c r="I564" s="5"/>
    </row>
    <row r="565" spans="1:9" ht="17.399999999999999" x14ac:dyDescent="0.25">
      <c r="A565" s="16"/>
      <c r="B565" s="17"/>
      <c r="C565" s="2"/>
      <c r="D565" s="2"/>
      <c r="E565" s="2"/>
      <c r="F565" s="2"/>
      <c r="G565" s="2"/>
      <c r="H565" s="2"/>
      <c r="I565" s="5"/>
    </row>
    <row r="566" spans="1:9" ht="17.399999999999999" x14ac:dyDescent="0.25">
      <c r="A566" s="16"/>
      <c r="B566" s="17"/>
      <c r="C566" s="2"/>
      <c r="D566" s="2"/>
      <c r="E566" s="2"/>
      <c r="F566" s="2"/>
      <c r="G566" s="2"/>
      <c r="H566" s="2"/>
      <c r="I566" s="5"/>
    </row>
    <row r="567" spans="1:9" ht="17.399999999999999" x14ac:dyDescent="0.25">
      <c r="A567" s="16"/>
      <c r="B567" s="17"/>
      <c r="C567" s="2"/>
      <c r="D567" s="2"/>
      <c r="E567" s="2"/>
      <c r="F567" s="2"/>
      <c r="G567" s="2"/>
      <c r="H567" s="2"/>
      <c r="I567" s="5"/>
    </row>
    <row r="568" spans="1:9" ht="17.399999999999999" x14ac:dyDescent="0.25">
      <c r="A568" s="16"/>
      <c r="B568" s="17"/>
      <c r="C568" s="2"/>
      <c r="D568" s="2"/>
      <c r="E568" s="2"/>
      <c r="F568" s="2"/>
      <c r="G568" s="2"/>
      <c r="H568" s="2"/>
      <c r="I568" s="5"/>
    </row>
    <row r="569" spans="1:9" ht="17.399999999999999" x14ac:dyDescent="0.25">
      <c r="A569" s="16"/>
      <c r="B569" s="17"/>
      <c r="C569" s="2"/>
      <c r="D569" s="2"/>
      <c r="E569" s="2"/>
      <c r="F569" s="2"/>
      <c r="G569" s="2"/>
      <c r="H569" s="2"/>
      <c r="I569" s="5"/>
    </row>
    <row r="570" spans="1:9" ht="17.399999999999999" x14ac:dyDescent="0.25">
      <c r="A570" s="16"/>
      <c r="B570" s="17"/>
      <c r="C570" s="2"/>
      <c r="D570" s="2"/>
      <c r="E570" s="2"/>
      <c r="F570" s="2"/>
      <c r="G570" s="2"/>
      <c r="H570" s="2"/>
      <c r="I570" s="5"/>
    </row>
    <row r="571" spans="1:9" ht="17.399999999999999" x14ac:dyDescent="0.25">
      <c r="A571" s="16"/>
      <c r="B571" s="17"/>
      <c r="C571" s="2"/>
      <c r="D571" s="2"/>
      <c r="E571" s="2"/>
      <c r="F571" s="2"/>
      <c r="G571" s="2"/>
      <c r="H571" s="2"/>
      <c r="I571" s="5"/>
    </row>
    <row r="572" spans="1:9" ht="17.399999999999999" x14ac:dyDescent="0.25">
      <c r="A572" s="16"/>
      <c r="B572" s="17"/>
      <c r="C572" s="2"/>
      <c r="D572" s="2"/>
      <c r="E572" s="2"/>
      <c r="F572" s="2"/>
      <c r="G572" s="2"/>
      <c r="H572" s="2"/>
      <c r="I572" s="5"/>
    </row>
    <row r="573" spans="1:9" ht="17.399999999999999" x14ac:dyDescent="0.25">
      <c r="A573" s="16"/>
      <c r="B573" s="17"/>
      <c r="C573" s="2"/>
      <c r="D573" s="2"/>
      <c r="E573" s="2"/>
      <c r="F573" s="2"/>
      <c r="G573" s="2"/>
      <c r="H573" s="2"/>
      <c r="I573" s="5"/>
    </row>
    <row r="574" spans="1:9" ht="17.399999999999999" x14ac:dyDescent="0.25">
      <c r="A574" s="16"/>
      <c r="B574" s="17"/>
      <c r="C574" s="2"/>
      <c r="D574" s="2"/>
      <c r="E574" s="2"/>
      <c r="F574" s="2"/>
      <c r="G574" s="2"/>
      <c r="H574" s="2"/>
      <c r="I574" s="5"/>
    </row>
    <row r="575" spans="1:9" ht="17.399999999999999" x14ac:dyDescent="0.25">
      <c r="A575" s="16"/>
      <c r="B575" s="17"/>
      <c r="C575" s="2"/>
      <c r="D575" s="2"/>
      <c r="E575" s="2"/>
      <c r="F575" s="2"/>
      <c r="G575" s="2"/>
      <c r="H575" s="2"/>
      <c r="I575" s="5"/>
    </row>
    <row r="576" spans="1:9" ht="17.399999999999999" x14ac:dyDescent="0.25">
      <c r="A576" s="16"/>
      <c r="B576" s="17"/>
      <c r="C576" s="2"/>
      <c r="D576" s="2"/>
      <c r="E576" s="2"/>
      <c r="F576" s="2"/>
      <c r="G576" s="2"/>
      <c r="H576" s="2"/>
      <c r="I576" s="5"/>
    </row>
    <row r="577" spans="1:9" ht="17.399999999999999" x14ac:dyDescent="0.25">
      <c r="A577" s="16"/>
      <c r="B577" s="17"/>
      <c r="C577" s="2"/>
      <c r="D577" s="2"/>
      <c r="E577" s="2"/>
      <c r="F577" s="2"/>
      <c r="G577" s="2"/>
      <c r="H577" s="2"/>
      <c r="I577" s="5"/>
    </row>
    <row r="578" spans="1:9" ht="17.399999999999999" x14ac:dyDescent="0.25">
      <c r="A578" s="16"/>
      <c r="B578" s="17"/>
      <c r="C578" s="2"/>
      <c r="D578" s="2"/>
      <c r="E578" s="2"/>
      <c r="F578" s="2"/>
      <c r="G578" s="2"/>
      <c r="H578" s="2"/>
      <c r="I578" s="5"/>
    </row>
    <row r="579" spans="1:9" ht="17.399999999999999" x14ac:dyDescent="0.25">
      <c r="A579" s="16"/>
      <c r="B579" s="17"/>
      <c r="C579" s="2"/>
      <c r="D579" s="2"/>
      <c r="E579" s="2"/>
      <c r="F579" s="2"/>
      <c r="G579" s="2"/>
      <c r="H579" s="2"/>
      <c r="I579" s="5"/>
    </row>
    <row r="580" spans="1:9" ht="17.399999999999999" x14ac:dyDescent="0.25">
      <c r="A580" s="16"/>
      <c r="B580" s="17"/>
      <c r="C580" s="2"/>
      <c r="D580" s="2"/>
      <c r="E580" s="2"/>
      <c r="F580" s="2"/>
      <c r="G580" s="2"/>
      <c r="H580" s="2"/>
      <c r="I580" s="5"/>
    </row>
    <row r="581" spans="1:9" ht="17.399999999999999" x14ac:dyDescent="0.25">
      <c r="A581" s="16"/>
      <c r="B581" s="17"/>
      <c r="C581" s="2"/>
      <c r="D581" s="2"/>
      <c r="E581" s="2"/>
      <c r="F581" s="2"/>
      <c r="G581" s="2"/>
      <c r="H581" s="2"/>
      <c r="I581" s="5"/>
    </row>
    <row r="582" spans="1:9" ht="17.399999999999999" x14ac:dyDescent="0.25">
      <c r="A582" s="16"/>
      <c r="B582" s="17"/>
      <c r="C582" s="2"/>
      <c r="D582" s="2"/>
      <c r="E582" s="2"/>
      <c r="F582" s="2"/>
      <c r="G582" s="2"/>
      <c r="H582" s="2"/>
      <c r="I582" s="5"/>
    </row>
    <row r="583" spans="1:9" ht="17.399999999999999" x14ac:dyDescent="0.25">
      <c r="A583" s="16"/>
      <c r="B583" s="17"/>
      <c r="C583" s="2"/>
      <c r="D583" s="2"/>
      <c r="E583" s="2"/>
      <c r="F583" s="2"/>
      <c r="G583" s="2"/>
      <c r="H583" s="2"/>
      <c r="I583" s="5"/>
    </row>
    <row r="584" spans="1:9" ht="17.399999999999999" x14ac:dyDescent="0.25">
      <c r="A584" s="16"/>
      <c r="B584" s="17"/>
      <c r="C584" s="2"/>
      <c r="D584" s="2"/>
      <c r="E584" s="2"/>
      <c r="F584" s="2"/>
      <c r="G584" s="2"/>
      <c r="H584" s="2"/>
      <c r="I584" s="5"/>
    </row>
    <row r="585" spans="1:9" ht="17.399999999999999" x14ac:dyDescent="0.25">
      <c r="A585" s="16"/>
      <c r="B585" s="17"/>
      <c r="C585" s="2"/>
      <c r="D585" s="2"/>
      <c r="E585" s="2"/>
      <c r="F585" s="2"/>
      <c r="G585" s="2"/>
      <c r="H585" s="2"/>
      <c r="I585" s="5"/>
    </row>
    <row r="586" spans="1:9" ht="17.399999999999999" x14ac:dyDescent="0.25">
      <c r="A586" s="16"/>
      <c r="B586" s="17"/>
      <c r="C586" s="2"/>
      <c r="D586" s="2"/>
      <c r="E586" s="2"/>
      <c r="F586" s="2"/>
      <c r="G586" s="2"/>
      <c r="H586" s="2"/>
      <c r="I586" s="5"/>
    </row>
    <row r="587" spans="1:9" ht="17.399999999999999" x14ac:dyDescent="0.25">
      <c r="A587" s="16"/>
      <c r="B587" s="17"/>
      <c r="C587" s="2"/>
      <c r="D587" s="2"/>
      <c r="E587" s="2"/>
      <c r="F587" s="2"/>
      <c r="G587" s="2"/>
      <c r="H587" s="2"/>
      <c r="I587" s="5"/>
    </row>
    <row r="588" spans="1:9" ht="17.399999999999999" x14ac:dyDescent="0.25">
      <c r="A588" s="16"/>
      <c r="B588" s="17"/>
      <c r="C588" s="2"/>
      <c r="D588" s="2"/>
      <c r="E588" s="2"/>
      <c r="F588" s="2"/>
      <c r="G588" s="2"/>
      <c r="H588" s="2"/>
      <c r="I588" s="5"/>
    </row>
    <row r="589" spans="1:9" ht="17.399999999999999" x14ac:dyDescent="0.25">
      <c r="A589" s="16"/>
      <c r="B589" s="17"/>
      <c r="C589" s="2"/>
      <c r="D589" s="2"/>
      <c r="E589" s="2"/>
      <c r="F589" s="2"/>
      <c r="G589" s="2"/>
      <c r="H589" s="2"/>
      <c r="I589" s="5"/>
    </row>
    <row r="590" spans="1:9" ht="17.399999999999999" x14ac:dyDescent="0.25">
      <c r="A590" s="16"/>
      <c r="B590" s="17"/>
      <c r="C590" s="2"/>
      <c r="D590" s="2"/>
      <c r="E590" s="2"/>
      <c r="F590" s="2"/>
      <c r="G590" s="2"/>
      <c r="H590" s="2"/>
      <c r="I590" s="5"/>
    </row>
    <row r="591" spans="1:9" ht="17.399999999999999" x14ac:dyDescent="0.25">
      <c r="A591" s="16"/>
      <c r="B591" s="17"/>
      <c r="C591" s="2"/>
      <c r="D591" s="2"/>
      <c r="E591" s="2"/>
      <c r="F591" s="2"/>
      <c r="G591" s="2"/>
      <c r="H591" s="2"/>
      <c r="I591" s="5"/>
    </row>
    <row r="592" spans="1:9" ht="17.399999999999999" x14ac:dyDescent="0.25">
      <c r="A592" s="16"/>
      <c r="B592" s="17"/>
      <c r="C592" s="2"/>
      <c r="D592" s="2"/>
      <c r="E592" s="2"/>
      <c r="F592" s="2"/>
      <c r="G592" s="2"/>
      <c r="H592" s="2"/>
      <c r="I592" s="5"/>
    </row>
    <row r="593" spans="1:9" ht="17.399999999999999" x14ac:dyDescent="0.25">
      <c r="A593" s="16"/>
      <c r="B593" s="17"/>
      <c r="C593" s="2"/>
      <c r="D593" s="2"/>
      <c r="E593" s="2"/>
      <c r="F593" s="2"/>
      <c r="G593" s="2"/>
      <c r="H593" s="2"/>
      <c r="I593" s="5"/>
    </row>
    <row r="594" spans="1:9" ht="17.399999999999999" x14ac:dyDescent="0.25">
      <c r="A594" s="16"/>
      <c r="B594" s="17"/>
      <c r="C594" s="2"/>
      <c r="D594" s="2"/>
      <c r="E594" s="2"/>
      <c r="F594" s="2"/>
      <c r="G594" s="2"/>
      <c r="H594" s="2"/>
      <c r="I594" s="5"/>
    </row>
    <row r="595" spans="1:9" ht="17.399999999999999" x14ac:dyDescent="0.25">
      <c r="A595" s="16"/>
      <c r="B595" s="17"/>
      <c r="C595" s="2"/>
      <c r="D595" s="2"/>
      <c r="E595" s="2"/>
      <c r="F595" s="2"/>
      <c r="G595" s="2"/>
      <c r="H595" s="2"/>
      <c r="I595" s="5"/>
    </row>
    <row r="596" spans="1:9" ht="17.399999999999999" x14ac:dyDescent="0.25">
      <c r="A596" s="16"/>
      <c r="B596" s="17"/>
      <c r="C596" s="2"/>
      <c r="D596" s="2"/>
      <c r="E596" s="2"/>
      <c r="F596" s="2"/>
      <c r="G596" s="2"/>
      <c r="H596" s="2"/>
      <c r="I596" s="5"/>
    </row>
    <row r="597" spans="1:9" ht="17.399999999999999" x14ac:dyDescent="0.25">
      <c r="A597" s="16"/>
      <c r="B597" s="17"/>
      <c r="C597" s="2"/>
      <c r="D597" s="2"/>
      <c r="E597" s="2"/>
      <c r="F597" s="2"/>
      <c r="G597" s="2"/>
      <c r="H597" s="2"/>
      <c r="I597" s="5"/>
    </row>
    <row r="598" spans="1:9" ht="17.399999999999999" x14ac:dyDescent="0.25">
      <c r="A598" s="16"/>
      <c r="B598" s="17"/>
      <c r="C598" s="2"/>
      <c r="D598" s="2"/>
      <c r="E598" s="2"/>
      <c r="F598" s="2"/>
      <c r="G598" s="2"/>
      <c r="H598" s="2"/>
      <c r="I598" s="5"/>
    </row>
    <row r="599" spans="1:9" ht="17.399999999999999" x14ac:dyDescent="0.25">
      <c r="A599" s="16"/>
      <c r="B599" s="17"/>
      <c r="C599" s="2"/>
      <c r="D599" s="2"/>
      <c r="E599" s="2"/>
      <c r="F599" s="2"/>
      <c r="G599" s="2"/>
      <c r="H599" s="2"/>
      <c r="I599" s="5"/>
    </row>
    <row r="600" spans="1:9" ht="17.399999999999999" x14ac:dyDescent="0.25">
      <c r="A600" s="16"/>
      <c r="B600" s="17"/>
      <c r="C600" s="2"/>
      <c r="D600" s="2"/>
      <c r="E600" s="2"/>
      <c r="F600" s="2"/>
      <c r="G600" s="2"/>
      <c r="H600" s="2"/>
      <c r="I600" s="5"/>
    </row>
    <row r="601" spans="1:9" ht="17.399999999999999" x14ac:dyDescent="0.25">
      <c r="A601" s="16"/>
      <c r="B601" s="17"/>
      <c r="C601" s="2"/>
      <c r="D601" s="2"/>
      <c r="E601" s="2"/>
      <c r="F601" s="2"/>
      <c r="G601" s="2"/>
      <c r="H601" s="2"/>
      <c r="I601" s="5"/>
    </row>
    <row r="602" spans="1:9" ht="17.399999999999999" x14ac:dyDescent="0.25">
      <c r="A602" s="16"/>
      <c r="B602" s="17"/>
      <c r="C602" s="2"/>
      <c r="D602" s="2"/>
      <c r="E602" s="2"/>
      <c r="F602" s="2"/>
      <c r="G602" s="2"/>
      <c r="H602" s="2"/>
      <c r="I602" s="5"/>
    </row>
    <row r="603" spans="1:9" ht="17.399999999999999" x14ac:dyDescent="0.25">
      <c r="A603" s="16"/>
      <c r="B603" s="17"/>
      <c r="C603" s="2"/>
      <c r="D603" s="2"/>
      <c r="E603" s="2"/>
      <c r="F603" s="2"/>
      <c r="G603" s="2"/>
      <c r="H603" s="2"/>
      <c r="I603" s="5"/>
    </row>
    <row r="604" spans="1:9" ht="17.399999999999999" x14ac:dyDescent="0.25">
      <c r="A604" s="16"/>
      <c r="B604" s="17"/>
      <c r="C604" s="2"/>
      <c r="D604" s="2"/>
      <c r="E604" s="2"/>
      <c r="F604" s="2"/>
      <c r="G604" s="2"/>
      <c r="H604" s="2"/>
      <c r="I604" s="5"/>
    </row>
    <row r="605" spans="1:9" ht="17.399999999999999" x14ac:dyDescent="0.25">
      <c r="A605" s="16"/>
      <c r="B605" s="17"/>
      <c r="C605" s="2"/>
      <c r="D605" s="2"/>
      <c r="E605" s="2"/>
      <c r="F605" s="2"/>
      <c r="G605" s="2"/>
      <c r="H605" s="2"/>
      <c r="I605" s="5"/>
    </row>
    <row r="606" spans="1:9" ht="17.399999999999999" x14ac:dyDescent="0.25">
      <c r="A606" s="16"/>
      <c r="B606" s="17"/>
      <c r="C606" s="2"/>
      <c r="D606" s="2"/>
      <c r="E606" s="2"/>
      <c r="F606" s="2"/>
      <c r="G606" s="2"/>
      <c r="H606" s="2"/>
      <c r="I606" s="5"/>
    </row>
    <row r="607" spans="1:9" ht="17.399999999999999" x14ac:dyDescent="0.25">
      <c r="A607" s="16"/>
      <c r="B607" s="17"/>
      <c r="C607" s="2"/>
      <c r="D607" s="2"/>
      <c r="E607" s="2"/>
      <c r="F607" s="2"/>
      <c r="G607" s="2"/>
      <c r="H607" s="2"/>
      <c r="I607" s="5"/>
    </row>
    <row r="608" spans="1:9" ht="17.399999999999999" x14ac:dyDescent="0.25">
      <c r="A608" s="16"/>
      <c r="B608" s="17"/>
      <c r="C608" s="2"/>
      <c r="D608" s="2"/>
      <c r="E608" s="2"/>
      <c r="F608" s="2"/>
      <c r="G608" s="2"/>
      <c r="H608" s="2"/>
      <c r="I608" s="5"/>
    </row>
    <row r="609" spans="1:9" ht="17.399999999999999" x14ac:dyDescent="0.25">
      <c r="A609" s="16"/>
      <c r="B609" s="17"/>
      <c r="C609" s="2"/>
      <c r="D609" s="2"/>
      <c r="E609" s="2"/>
      <c r="F609" s="2"/>
      <c r="G609" s="2"/>
      <c r="H609" s="2"/>
      <c r="I609" s="5"/>
    </row>
    <row r="610" spans="1:9" ht="17.399999999999999" x14ac:dyDescent="0.25">
      <c r="A610" s="16"/>
      <c r="B610" s="17"/>
      <c r="C610" s="2"/>
      <c r="D610" s="2"/>
      <c r="E610" s="2"/>
      <c r="F610" s="2"/>
      <c r="G610" s="2"/>
      <c r="H610" s="2"/>
      <c r="I610" s="5"/>
    </row>
    <row r="611" spans="1:9" ht="17.399999999999999" x14ac:dyDescent="0.25">
      <c r="A611" s="16"/>
      <c r="B611" s="17"/>
      <c r="C611" s="2"/>
      <c r="D611" s="2"/>
      <c r="E611" s="2"/>
      <c r="F611" s="2"/>
      <c r="G611" s="2"/>
      <c r="H611" s="2"/>
      <c r="I611" s="5"/>
    </row>
    <row r="612" spans="1:9" ht="17.399999999999999" x14ac:dyDescent="0.25">
      <c r="A612" s="16"/>
      <c r="B612" s="17"/>
      <c r="C612" s="2"/>
      <c r="D612" s="2"/>
      <c r="E612" s="2"/>
      <c r="F612" s="2"/>
      <c r="G612" s="2"/>
      <c r="H612" s="2"/>
      <c r="I612" s="5"/>
    </row>
    <row r="613" spans="1:9" ht="17.399999999999999" x14ac:dyDescent="0.25">
      <c r="A613" s="16"/>
      <c r="B613" s="17"/>
      <c r="C613" s="2"/>
      <c r="D613" s="2"/>
      <c r="E613" s="2"/>
      <c r="F613" s="2"/>
      <c r="G613" s="2"/>
      <c r="H613" s="2"/>
      <c r="I613" s="5"/>
    </row>
    <row r="614" spans="1:9" ht="17.399999999999999" x14ac:dyDescent="0.25">
      <c r="A614" s="16"/>
      <c r="B614" s="17"/>
      <c r="C614" s="2"/>
      <c r="D614" s="2"/>
      <c r="E614" s="2"/>
      <c r="F614" s="2"/>
      <c r="G614" s="2"/>
      <c r="H614" s="2"/>
      <c r="I614" s="5"/>
    </row>
    <row r="615" spans="1:9" ht="17.399999999999999" x14ac:dyDescent="0.25">
      <c r="A615" s="16"/>
      <c r="B615" s="17"/>
      <c r="C615" s="2"/>
      <c r="D615" s="2"/>
      <c r="E615" s="2"/>
      <c r="F615" s="2"/>
      <c r="G615" s="2"/>
      <c r="H615" s="2"/>
      <c r="I615" s="5"/>
    </row>
    <row r="616" spans="1:9" ht="17.399999999999999" x14ac:dyDescent="0.25">
      <c r="A616" s="16"/>
      <c r="B616" s="17"/>
      <c r="C616" s="2"/>
      <c r="D616" s="2"/>
      <c r="E616" s="2"/>
      <c r="F616" s="2"/>
      <c r="G616" s="2"/>
      <c r="H616" s="2"/>
      <c r="I616" s="5"/>
    </row>
    <row r="617" spans="1:9" ht="17.399999999999999" x14ac:dyDescent="0.25">
      <c r="A617" s="16"/>
      <c r="B617" s="17"/>
      <c r="C617" s="2"/>
      <c r="D617" s="2"/>
      <c r="E617" s="2"/>
      <c r="F617" s="2"/>
      <c r="G617" s="2"/>
      <c r="H617" s="2"/>
      <c r="I617" s="5"/>
    </row>
    <row r="618" spans="1:9" ht="17.399999999999999" x14ac:dyDescent="0.25">
      <c r="A618" s="16"/>
      <c r="B618" s="17"/>
      <c r="C618" s="2"/>
      <c r="D618" s="2"/>
      <c r="E618" s="2"/>
      <c r="F618" s="2"/>
      <c r="G618" s="2"/>
      <c r="H618" s="2"/>
      <c r="I618" s="5"/>
    </row>
    <row r="619" spans="1:9" ht="17.399999999999999" x14ac:dyDescent="0.25">
      <c r="A619" s="16"/>
      <c r="B619" s="17"/>
      <c r="C619" s="2"/>
      <c r="D619" s="2"/>
      <c r="E619" s="2"/>
      <c r="F619" s="2"/>
      <c r="G619" s="2"/>
      <c r="H619" s="2"/>
      <c r="I619" s="5"/>
    </row>
    <row r="620" spans="1:9" ht="17.399999999999999" x14ac:dyDescent="0.25">
      <c r="A620" s="16"/>
      <c r="B620" s="17"/>
      <c r="C620" s="2"/>
      <c r="D620" s="2"/>
      <c r="E620" s="2"/>
      <c r="F620" s="2"/>
      <c r="G620" s="2"/>
      <c r="H620" s="2"/>
      <c r="I620" s="5"/>
    </row>
    <row r="621" spans="1:9" ht="17.399999999999999" x14ac:dyDescent="0.25">
      <c r="A621" s="16"/>
      <c r="B621" s="17"/>
      <c r="C621" s="2"/>
      <c r="D621" s="2"/>
      <c r="E621" s="2"/>
      <c r="F621" s="2"/>
      <c r="G621" s="2"/>
      <c r="H621" s="2"/>
      <c r="I621" s="5"/>
    </row>
    <row r="622" spans="1:9" ht="17.399999999999999" x14ac:dyDescent="0.25">
      <c r="A622" s="16"/>
      <c r="B622" s="17"/>
      <c r="C622" s="2"/>
      <c r="D622" s="2"/>
      <c r="E622" s="2"/>
      <c r="F622" s="2"/>
      <c r="G622" s="2"/>
      <c r="H622" s="2"/>
      <c r="I622" s="5"/>
    </row>
    <row r="623" spans="1:9" ht="17.399999999999999" x14ac:dyDescent="0.25">
      <c r="A623" s="16"/>
      <c r="B623" s="17"/>
      <c r="C623" s="2"/>
      <c r="D623" s="2"/>
      <c r="E623" s="2"/>
      <c r="F623" s="2"/>
      <c r="G623" s="2"/>
      <c r="H623" s="2"/>
      <c r="I623" s="5"/>
    </row>
    <row r="624" spans="1:9" ht="17.399999999999999" x14ac:dyDescent="0.25">
      <c r="A624" s="16"/>
      <c r="B624" s="17"/>
      <c r="C624" s="2"/>
      <c r="D624" s="2"/>
      <c r="E624" s="2"/>
      <c r="F624" s="2"/>
      <c r="G624" s="2"/>
      <c r="H624" s="2"/>
      <c r="I624" s="5"/>
    </row>
    <row r="625" spans="1:9" ht="17.399999999999999" x14ac:dyDescent="0.25">
      <c r="A625" s="16"/>
      <c r="B625" s="17"/>
      <c r="C625" s="2"/>
      <c r="D625" s="2"/>
      <c r="E625" s="2"/>
      <c r="F625" s="2"/>
      <c r="G625" s="2"/>
      <c r="H625" s="2"/>
      <c r="I625" s="5"/>
    </row>
    <row r="626" spans="1:9" ht="17.399999999999999" x14ac:dyDescent="0.25">
      <c r="A626" s="16"/>
      <c r="B626" s="17"/>
      <c r="C626" s="2"/>
      <c r="D626" s="2"/>
      <c r="E626" s="2"/>
      <c r="F626" s="2"/>
      <c r="G626" s="2"/>
      <c r="H626" s="2"/>
      <c r="I626" s="5"/>
    </row>
    <row r="627" spans="1:9" ht="17.399999999999999" x14ac:dyDescent="0.25">
      <c r="A627" s="16"/>
      <c r="B627" s="17"/>
      <c r="C627" s="2"/>
      <c r="D627" s="2"/>
      <c r="E627" s="2"/>
      <c r="F627" s="2"/>
      <c r="G627" s="2"/>
      <c r="H627" s="2"/>
      <c r="I627" s="5"/>
    </row>
    <row r="628" spans="1:9" ht="17.399999999999999" x14ac:dyDescent="0.25">
      <c r="A628" s="16"/>
      <c r="B628" s="17"/>
      <c r="C628" s="2"/>
      <c r="D628" s="2"/>
      <c r="E628" s="2"/>
      <c r="F628" s="2"/>
      <c r="G628" s="2"/>
      <c r="H628" s="2"/>
      <c r="I628" s="5"/>
    </row>
    <row r="629" spans="1:9" ht="17.399999999999999" x14ac:dyDescent="0.25">
      <c r="A629" s="16"/>
      <c r="B629" s="17"/>
      <c r="C629" s="2"/>
      <c r="D629" s="2"/>
      <c r="E629" s="2"/>
      <c r="F629" s="2"/>
      <c r="G629" s="2"/>
      <c r="H629" s="2"/>
      <c r="I629" s="5"/>
    </row>
    <row r="630" spans="1:9" ht="17.399999999999999" x14ac:dyDescent="0.25">
      <c r="A630" s="16"/>
      <c r="B630" s="17"/>
      <c r="C630" s="2"/>
      <c r="D630" s="2"/>
      <c r="E630" s="2"/>
      <c r="F630" s="2"/>
      <c r="G630" s="2"/>
      <c r="H630" s="2"/>
      <c r="I630" s="5"/>
    </row>
    <row r="631" spans="1:9" ht="17.399999999999999" x14ac:dyDescent="0.25">
      <c r="A631" s="16"/>
      <c r="B631" s="17"/>
      <c r="C631" s="2"/>
      <c r="D631" s="2"/>
      <c r="E631" s="2"/>
      <c r="F631" s="2"/>
      <c r="G631" s="2"/>
      <c r="H631" s="2"/>
      <c r="I631" s="5"/>
    </row>
    <row r="632" spans="1:9" ht="17.399999999999999" x14ac:dyDescent="0.25">
      <c r="A632" s="16"/>
      <c r="B632" s="17"/>
      <c r="C632" s="2"/>
      <c r="D632" s="2"/>
      <c r="E632" s="2"/>
      <c r="F632" s="2"/>
      <c r="G632" s="2"/>
      <c r="H632" s="2"/>
      <c r="I632" s="5"/>
    </row>
    <row r="633" spans="1:9" ht="17.399999999999999" x14ac:dyDescent="0.25">
      <c r="A633" s="16"/>
      <c r="B633" s="17"/>
      <c r="C633" s="2"/>
      <c r="D633" s="2"/>
      <c r="E633" s="2"/>
      <c r="F633" s="2"/>
      <c r="G633" s="2"/>
      <c r="H633" s="2"/>
      <c r="I633" s="5"/>
    </row>
    <row r="634" spans="1:9" ht="17.399999999999999" x14ac:dyDescent="0.25">
      <c r="A634" s="16"/>
      <c r="B634" s="17"/>
      <c r="C634" s="2"/>
      <c r="D634" s="2"/>
      <c r="E634" s="2"/>
      <c r="F634" s="2"/>
      <c r="G634" s="2"/>
      <c r="H634" s="2"/>
      <c r="I634" s="5"/>
    </row>
    <row r="635" spans="1:9" ht="17.399999999999999" x14ac:dyDescent="0.25">
      <c r="A635" s="16"/>
      <c r="B635" s="17"/>
      <c r="C635" s="2"/>
      <c r="D635" s="2"/>
      <c r="E635" s="2"/>
      <c r="F635" s="2"/>
      <c r="G635" s="2"/>
      <c r="H635" s="2"/>
      <c r="I635" s="5"/>
    </row>
    <row r="636" spans="1:9" ht="17.399999999999999" x14ac:dyDescent="0.25">
      <c r="A636" s="16"/>
      <c r="B636" s="17"/>
      <c r="C636" s="2"/>
      <c r="D636" s="2"/>
      <c r="E636" s="2"/>
      <c r="F636" s="2"/>
      <c r="G636" s="2"/>
      <c r="H636" s="2"/>
      <c r="I636" s="5"/>
    </row>
    <row r="637" spans="1:9" ht="17.399999999999999" x14ac:dyDescent="0.25">
      <c r="A637" s="16"/>
      <c r="B637" s="17"/>
      <c r="C637" s="2"/>
      <c r="D637" s="2"/>
      <c r="E637" s="2"/>
      <c r="F637" s="2"/>
      <c r="G637" s="2"/>
      <c r="H637" s="2"/>
      <c r="I637" s="5"/>
    </row>
    <row r="638" spans="1:9" ht="17.399999999999999" x14ac:dyDescent="0.25">
      <c r="A638" s="16"/>
      <c r="B638" s="17"/>
      <c r="C638" s="2"/>
      <c r="D638" s="2"/>
      <c r="E638" s="2"/>
      <c r="F638" s="2"/>
      <c r="G638" s="2"/>
      <c r="H638" s="2"/>
      <c r="I638" s="5"/>
    </row>
    <row r="639" spans="1:9" ht="17.399999999999999" x14ac:dyDescent="0.25">
      <c r="A639" s="16"/>
      <c r="B639" s="17"/>
      <c r="C639" s="2"/>
      <c r="D639" s="2"/>
      <c r="E639" s="2"/>
      <c r="F639" s="2"/>
      <c r="G639" s="2"/>
      <c r="H639" s="2"/>
      <c r="I639" s="5"/>
    </row>
    <row r="640" spans="1:9" ht="17.399999999999999" x14ac:dyDescent="0.25">
      <c r="A640" s="16"/>
      <c r="B640" s="17"/>
      <c r="C640" s="2"/>
      <c r="D640" s="2"/>
      <c r="E640" s="2"/>
      <c r="F640" s="2"/>
      <c r="G640" s="2"/>
      <c r="H640" s="2"/>
      <c r="I640" s="5"/>
    </row>
    <row r="641" spans="1:9" ht="17.399999999999999" x14ac:dyDescent="0.25">
      <c r="A641" s="16"/>
      <c r="B641" s="17"/>
      <c r="C641" s="2"/>
      <c r="D641" s="2"/>
      <c r="E641" s="2"/>
      <c r="F641" s="2"/>
      <c r="G641" s="2"/>
      <c r="H641" s="2"/>
      <c r="I641" s="5"/>
    </row>
    <row r="642" spans="1:9" ht="17.399999999999999" x14ac:dyDescent="0.25">
      <c r="A642" s="16"/>
      <c r="B642" s="17"/>
      <c r="C642" s="2"/>
      <c r="D642" s="2"/>
      <c r="E642" s="2"/>
      <c r="F642" s="2"/>
      <c r="G642" s="2"/>
      <c r="H642" s="2"/>
      <c r="I642" s="5"/>
    </row>
    <row r="643" spans="1:9" ht="17.399999999999999" x14ac:dyDescent="0.25">
      <c r="A643" s="16"/>
      <c r="B643" s="17"/>
      <c r="C643" s="2"/>
      <c r="D643" s="2"/>
      <c r="E643" s="2"/>
      <c r="F643" s="2"/>
      <c r="G643" s="2"/>
      <c r="H643" s="2"/>
      <c r="I643" s="5"/>
    </row>
    <row r="644" spans="1:9" ht="17.399999999999999" x14ac:dyDescent="0.25">
      <c r="A644" s="16"/>
      <c r="B644" s="17"/>
      <c r="C644" s="2"/>
      <c r="D644" s="2"/>
      <c r="E644" s="2"/>
      <c r="F644" s="2"/>
      <c r="G644" s="2"/>
      <c r="H644" s="2"/>
      <c r="I644" s="5"/>
    </row>
    <row r="645" spans="1:9" ht="17.399999999999999" x14ac:dyDescent="0.25">
      <c r="A645" s="16"/>
      <c r="B645" s="17"/>
      <c r="C645" s="2"/>
      <c r="D645" s="2"/>
      <c r="E645" s="2"/>
      <c r="F645" s="2"/>
      <c r="G645" s="2"/>
      <c r="H645" s="2"/>
      <c r="I645" s="5"/>
    </row>
    <row r="646" spans="1:9" ht="17.399999999999999" x14ac:dyDescent="0.25">
      <c r="A646" s="16"/>
      <c r="B646" s="17"/>
      <c r="C646" s="2"/>
      <c r="D646" s="2"/>
      <c r="E646" s="2"/>
      <c r="F646" s="2"/>
      <c r="G646" s="2"/>
      <c r="H646" s="2"/>
      <c r="I646" s="5"/>
    </row>
    <row r="647" spans="1:9" ht="17.399999999999999" x14ac:dyDescent="0.25">
      <c r="A647" s="16"/>
      <c r="B647" s="17"/>
      <c r="C647" s="2"/>
      <c r="D647" s="2"/>
      <c r="E647" s="2"/>
      <c r="F647" s="2"/>
      <c r="G647" s="2"/>
      <c r="H647" s="2"/>
      <c r="I647" s="5"/>
    </row>
    <row r="648" spans="1:9" ht="17.399999999999999" x14ac:dyDescent="0.25">
      <c r="A648" s="16"/>
      <c r="B648" s="17"/>
      <c r="C648" s="2"/>
      <c r="D648" s="2"/>
      <c r="E648" s="2"/>
      <c r="F648" s="2"/>
      <c r="G648" s="2"/>
      <c r="H648" s="2"/>
      <c r="I648" s="5"/>
    </row>
    <row r="649" spans="1:9" ht="17.399999999999999" x14ac:dyDescent="0.25">
      <c r="A649" s="16"/>
      <c r="B649" s="17"/>
      <c r="C649" s="2"/>
      <c r="D649" s="2"/>
      <c r="E649" s="2"/>
      <c r="F649" s="2"/>
      <c r="G649" s="2"/>
      <c r="H649" s="2"/>
      <c r="I649" s="5"/>
    </row>
    <row r="650" spans="1:9" ht="17.399999999999999" x14ac:dyDescent="0.25">
      <c r="A650" s="16"/>
      <c r="B650" s="17"/>
      <c r="C650" s="2"/>
      <c r="D650" s="2"/>
      <c r="E650" s="2"/>
      <c r="F650" s="2"/>
      <c r="G650" s="2"/>
      <c r="H650" s="2"/>
      <c r="I650" s="5"/>
    </row>
    <row r="651" spans="1:9" ht="17.399999999999999" x14ac:dyDescent="0.25">
      <c r="A651" s="16"/>
      <c r="B651" s="17"/>
      <c r="C651" s="2"/>
      <c r="D651" s="2"/>
      <c r="E651" s="2"/>
      <c r="F651" s="2"/>
      <c r="G651" s="2"/>
      <c r="H651" s="2"/>
      <c r="I651" s="5"/>
    </row>
    <row r="652" spans="1:9" ht="17.399999999999999" x14ac:dyDescent="0.25">
      <c r="A652" s="16"/>
      <c r="B652" s="17"/>
      <c r="C652" s="2"/>
      <c r="D652" s="2"/>
      <c r="E652" s="2"/>
      <c r="F652" s="2"/>
      <c r="G652" s="2"/>
      <c r="H652" s="2"/>
      <c r="I652" s="5"/>
    </row>
    <row r="653" spans="1:9" ht="17.399999999999999" x14ac:dyDescent="0.25">
      <c r="A653" s="16"/>
      <c r="B653" s="17"/>
      <c r="C653" s="2"/>
      <c r="D653" s="2"/>
      <c r="E653" s="2"/>
      <c r="F653" s="2"/>
      <c r="G653" s="2"/>
      <c r="H653" s="2"/>
      <c r="I653" s="5"/>
    </row>
    <row r="654" spans="1:9" ht="17.399999999999999" x14ac:dyDescent="0.25">
      <c r="A654" s="16"/>
      <c r="B654" s="17"/>
      <c r="C654" s="2"/>
      <c r="D654" s="2"/>
      <c r="E654" s="2"/>
      <c r="F654" s="2"/>
      <c r="G654" s="2"/>
      <c r="H654" s="2"/>
      <c r="I654" s="5"/>
    </row>
    <row r="655" spans="1:9" ht="17.399999999999999" x14ac:dyDescent="0.25">
      <c r="A655" s="16"/>
      <c r="B655" s="17"/>
      <c r="C655" s="2"/>
      <c r="D655" s="2"/>
      <c r="E655" s="2"/>
      <c r="F655" s="2"/>
      <c r="G655" s="2"/>
      <c r="H655" s="2"/>
      <c r="I655" s="5"/>
    </row>
    <row r="656" spans="1:9" ht="17.399999999999999" x14ac:dyDescent="0.25">
      <c r="A656" s="16"/>
      <c r="B656" s="17"/>
      <c r="C656" s="2"/>
      <c r="D656" s="2"/>
      <c r="E656" s="2"/>
      <c r="F656" s="2"/>
      <c r="G656" s="2"/>
      <c r="H656" s="2"/>
      <c r="I656" s="5"/>
    </row>
    <row r="657" spans="1:9" ht="17.399999999999999" x14ac:dyDescent="0.25">
      <c r="A657" s="16"/>
      <c r="B657" s="17"/>
      <c r="C657" s="2"/>
      <c r="D657" s="2"/>
      <c r="E657" s="2"/>
      <c r="F657" s="2"/>
      <c r="G657" s="2"/>
      <c r="H657" s="2"/>
      <c r="I657" s="5"/>
    </row>
    <row r="658" spans="1:9" ht="17.399999999999999" x14ac:dyDescent="0.25">
      <c r="A658" s="16"/>
      <c r="B658" s="17"/>
      <c r="C658" s="2"/>
      <c r="D658" s="2"/>
      <c r="E658" s="2"/>
      <c r="F658" s="2"/>
      <c r="G658" s="2"/>
      <c r="H658" s="2"/>
      <c r="I658" s="5"/>
    </row>
    <row r="659" spans="1:9" ht="17.399999999999999" x14ac:dyDescent="0.25">
      <c r="A659" s="16"/>
      <c r="B659" s="17"/>
      <c r="C659" s="2"/>
      <c r="D659" s="2"/>
      <c r="E659" s="2"/>
      <c r="F659" s="2"/>
      <c r="G659" s="2"/>
      <c r="H659" s="2"/>
      <c r="I659" s="5"/>
    </row>
    <row r="660" spans="1:9" ht="17.399999999999999" x14ac:dyDescent="0.25">
      <c r="A660" s="16"/>
      <c r="B660" s="17"/>
      <c r="C660" s="2"/>
      <c r="D660" s="2"/>
      <c r="E660" s="2"/>
      <c r="F660" s="2"/>
      <c r="G660" s="2"/>
      <c r="H660" s="2"/>
      <c r="I660" s="5"/>
    </row>
    <row r="661" spans="1:9" ht="17.399999999999999" x14ac:dyDescent="0.25">
      <c r="A661" s="16"/>
      <c r="B661" s="17"/>
      <c r="C661" s="2"/>
      <c r="D661" s="2"/>
      <c r="E661" s="2"/>
      <c r="F661" s="2"/>
      <c r="G661" s="2"/>
      <c r="H661" s="2"/>
      <c r="I661" s="5"/>
    </row>
    <row r="662" spans="1:9" ht="17.399999999999999" x14ac:dyDescent="0.25">
      <c r="A662" s="16"/>
      <c r="B662" s="17"/>
      <c r="C662" s="2"/>
      <c r="D662" s="2"/>
      <c r="E662" s="2"/>
      <c r="F662" s="2"/>
      <c r="G662" s="2"/>
      <c r="H662" s="2"/>
      <c r="I662" s="5"/>
    </row>
    <row r="663" spans="1:9" ht="17.399999999999999" x14ac:dyDescent="0.25">
      <c r="A663" s="16"/>
      <c r="B663" s="17"/>
      <c r="C663" s="2"/>
      <c r="D663" s="2"/>
      <c r="E663" s="2"/>
      <c r="F663" s="2"/>
      <c r="G663" s="2"/>
      <c r="H663" s="2"/>
      <c r="I663" s="5"/>
    </row>
    <row r="664" spans="1:9" ht="17.399999999999999" x14ac:dyDescent="0.25">
      <c r="A664" s="16"/>
      <c r="B664" s="17"/>
      <c r="C664" s="2"/>
      <c r="D664" s="2"/>
      <c r="E664" s="2"/>
      <c r="F664" s="2"/>
      <c r="G664" s="2"/>
      <c r="H664" s="2"/>
      <c r="I664" s="5"/>
    </row>
    <row r="665" spans="1:9" ht="17.399999999999999" x14ac:dyDescent="0.25">
      <c r="A665" s="16"/>
      <c r="B665" s="17"/>
      <c r="C665" s="2"/>
      <c r="D665" s="2"/>
      <c r="E665" s="2"/>
      <c r="F665" s="2"/>
      <c r="G665" s="2"/>
      <c r="H665" s="2"/>
      <c r="I665" s="5"/>
    </row>
    <row r="666" spans="1:9" ht="17.399999999999999" x14ac:dyDescent="0.25">
      <c r="A666" s="16"/>
      <c r="B666" s="17"/>
      <c r="C666" s="2"/>
      <c r="D666" s="2"/>
      <c r="E666" s="2"/>
      <c r="F666" s="2"/>
      <c r="G666" s="2"/>
      <c r="H666" s="2"/>
      <c r="I666" s="5"/>
    </row>
    <row r="667" spans="1:9" ht="17.399999999999999" x14ac:dyDescent="0.25">
      <c r="A667" s="16"/>
      <c r="B667" s="17"/>
      <c r="C667" s="2"/>
      <c r="D667" s="2"/>
      <c r="E667" s="2"/>
      <c r="F667" s="2"/>
      <c r="G667" s="2"/>
      <c r="H667" s="2"/>
      <c r="I667" s="5"/>
    </row>
    <row r="668" spans="1:9" ht="17.399999999999999" x14ac:dyDescent="0.25">
      <c r="A668" s="16"/>
      <c r="B668" s="17"/>
      <c r="C668" s="2"/>
      <c r="D668" s="2"/>
      <c r="E668" s="2"/>
      <c r="F668" s="2"/>
      <c r="G668" s="2"/>
      <c r="H668" s="2"/>
      <c r="I668" s="5"/>
    </row>
    <row r="669" spans="1:9" ht="17.399999999999999" x14ac:dyDescent="0.25">
      <c r="A669" s="16"/>
      <c r="B669" s="17"/>
      <c r="C669" s="2"/>
      <c r="D669" s="2"/>
      <c r="E669" s="2"/>
      <c r="F669" s="2"/>
      <c r="G669" s="2"/>
      <c r="H669" s="2"/>
      <c r="I669" s="5"/>
    </row>
    <row r="670" spans="1:9" ht="17.399999999999999" x14ac:dyDescent="0.25">
      <c r="A670" s="16"/>
      <c r="B670" s="17"/>
      <c r="C670" s="2"/>
      <c r="D670" s="2"/>
      <c r="E670" s="2"/>
      <c r="F670" s="2"/>
      <c r="G670" s="2"/>
      <c r="H670" s="2"/>
      <c r="I670" s="5"/>
    </row>
    <row r="671" spans="1:9" ht="17.399999999999999" x14ac:dyDescent="0.25">
      <c r="A671" s="16"/>
      <c r="B671" s="17"/>
      <c r="C671" s="2"/>
      <c r="D671" s="2"/>
      <c r="E671" s="2"/>
      <c r="F671" s="2"/>
      <c r="G671" s="2"/>
      <c r="H671" s="2"/>
      <c r="I671" s="5"/>
    </row>
    <row r="672" spans="1:9" ht="17.399999999999999" x14ac:dyDescent="0.25">
      <c r="A672" s="16"/>
      <c r="B672" s="17"/>
      <c r="C672" s="2"/>
      <c r="D672" s="2"/>
      <c r="E672" s="2"/>
      <c r="F672" s="2"/>
      <c r="G672" s="2"/>
      <c r="H672" s="2"/>
      <c r="I672" s="5"/>
    </row>
    <row r="673" spans="1:9" ht="17.399999999999999" x14ac:dyDescent="0.25">
      <c r="A673" s="16"/>
      <c r="B673" s="17"/>
      <c r="C673" s="2"/>
      <c r="D673" s="2"/>
      <c r="E673" s="2"/>
      <c r="F673" s="2"/>
      <c r="G673" s="2"/>
      <c r="H673" s="2"/>
      <c r="I673" s="5"/>
    </row>
    <row r="674" spans="1:9" ht="17.399999999999999" x14ac:dyDescent="0.25">
      <c r="A674" s="16"/>
      <c r="B674" s="17"/>
      <c r="C674" s="2"/>
      <c r="D674" s="2"/>
      <c r="E674" s="2"/>
      <c r="F674" s="2"/>
      <c r="G674" s="2"/>
      <c r="H674" s="2"/>
      <c r="I674" s="5"/>
    </row>
    <row r="675" spans="1:9" ht="17.399999999999999" x14ac:dyDescent="0.25">
      <c r="A675" s="16"/>
      <c r="B675" s="17"/>
      <c r="C675" s="2"/>
      <c r="D675" s="2"/>
      <c r="E675" s="2"/>
      <c r="F675" s="2"/>
      <c r="G675" s="2"/>
      <c r="H675" s="2"/>
      <c r="I675" s="5"/>
    </row>
    <row r="676" spans="1:9" ht="17.399999999999999" x14ac:dyDescent="0.25">
      <c r="A676" s="16"/>
      <c r="B676" s="17"/>
      <c r="C676" s="2"/>
      <c r="D676" s="2"/>
      <c r="E676" s="2"/>
      <c r="F676" s="2"/>
      <c r="G676" s="2"/>
      <c r="H676" s="2"/>
      <c r="I676" s="5"/>
    </row>
    <row r="677" spans="1:9" ht="17.399999999999999" x14ac:dyDescent="0.25">
      <c r="A677" s="16"/>
      <c r="B677" s="17"/>
      <c r="C677" s="2"/>
      <c r="D677" s="2"/>
      <c r="E677" s="2"/>
      <c r="F677" s="2"/>
      <c r="G677" s="2"/>
      <c r="H677" s="2"/>
      <c r="I677" s="5"/>
    </row>
    <row r="678" spans="1:9" ht="17.399999999999999" x14ac:dyDescent="0.25">
      <c r="A678" s="16"/>
      <c r="B678" s="17"/>
      <c r="C678" s="2"/>
      <c r="D678" s="2"/>
      <c r="E678" s="2"/>
      <c r="F678" s="2"/>
      <c r="G678" s="2"/>
      <c r="H678" s="2"/>
      <c r="I678" s="5"/>
    </row>
    <row r="679" spans="1:9" ht="17.399999999999999" x14ac:dyDescent="0.25">
      <c r="A679" s="16"/>
      <c r="B679" s="17"/>
      <c r="C679" s="2"/>
      <c r="D679" s="2"/>
      <c r="E679" s="2"/>
      <c r="F679" s="2"/>
      <c r="G679" s="2"/>
      <c r="H679" s="2"/>
      <c r="I679" s="5"/>
    </row>
    <row r="680" spans="1:9" ht="17.399999999999999" x14ac:dyDescent="0.25">
      <c r="A680" s="16"/>
      <c r="B680" s="17"/>
      <c r="C680" s="2"/>
      <c r="D680" s="2"/>
      <c r="E680" s="2"/>
      <c r="F680" s="2"/>
      <c r="G680" s="2"/>
      <c r="H680" s="2"/>
      <c r="I680" s="5"/>
    </row>
    <row r="681" spans="1:9" ht="17.399999999999999" x14ac:dyDescent="0.25">
      <c r="A681" s="16"/>
      <c r="B681" s="17"/>
      <c r="C681" s="2"/>
      <c r="D681" s="2"/>
      <c r="E681" s="2"/>
      <c r="F681" s="2"/>
      <c r="G681" s="2"/>
      <c r="H681" s="2"/>
      <c r="I681" s="5"/>
    </row>
    <row r="682" spans="1:9" ht="17.399999999999999" x14ac:dyDescent="0.25">
      <c r="A682" s="16"/>
      <c r="B682" s="17"/>
      <c r="C682" s="2"/>
      <c r="D682" s="2"/>
      <c r="E682" s="2"/>
      <c r="F682" s="2"/>
      <c r="G682" s="2"/>
      <c r="H682" s="2"/>
      <c r="I682" s="5"/>
    </row>
    <row r="683" spans="1:9" ht="17.399999999999999" x14ac:dyDescent="0.25">
      <c r="A683" s="16"/>
      <c r="B683" s="17"/>
      <c r="C683" s="2"/>
      <c r="D683" s="2"/>
      <c r="E683" s="2"/>
      <c r="F683" s="2"/>
      <c r="G683" s="2"/>
      <c r="H683" s="2"/>
      <c r="I683" s="5"/>
    </row>
    <row r="684" spans="1:9" ht="17.399999999999999" x14ac:dyDescent="0.25">
      <c r="A684" s="16"/>
      <c r="B684" s="17"/>
      <c r="C684" s="2"/>
      <c r="D684" s="2"/>
      <c r="E684" s="2"/>
      <c r="F684" s="2"/>
      <c r="G684" s="2"/>
      <c r="H684" s="2"/>
      <c r="I684" s="5"/>
    </row>
    <row r="685" spans="1:9" ht="17.399999999999999" x14ac:dyDescent="0.25">
      <c r="A685" s="16"/>
      <c r="B685" s="17"/>
      <c r="C685" s="2"/>
      <c r="D685" s="2"/>
      <c r="E685" s="2"/>
      <c r="F685" s="2"/>
      <c r="G685" s="2"/>
      <c r="H685" s="2"/>
      <c r="I685" s="5"/>
    </row>
    <row r="686" spans="1:9" ht="17.399999999999999" x14ac:dyDescent="0.25">
      <c r="A686" s="16"/>
      <c r="B686" s="17"/>
      <c r="C686" s="2"/>
      <c r="D686" s="2"/>
      <c r="E686" s="2"/>
      <c r="F686" s="2"/>
      <c r="G686" s="2"/>
      <c r="H686" s="2"/>
      <c r="I686" s="5"/>
    </row>
    <row r="687" spans="1:9" ht="17.399999999999999" x14ac:dyDescent="0.25">
      <c r="A687" s="16"/>
      <c r="B687" s="17"/>
      <c r="C687" s="2"/>
      <c r="D687" s="2"/>
      <c r="E687" s="2"/>
      <c r="F687" s="2"/>
      <c r="G687" s="2"/>
      <c r="H687" s="2"/>
      <c r="I687" s="5"/>
    </row>
    <row r="688" spans="1:9" ht="17.399999999999999" x14ac:dyDescent="0.25">
      <c r="A688" s="16"/>
      <c r="B688" s="17"/>
      <c r="C688" s="2"/>
      <c r="D688" s="2"/>
      <c r="E688" s="2"/>
      <c r="F688" s="2"/>
      <c r="G688" s="2"/>
      <c r="H688" s="2"/>
      <c r="I688" s="5"/>
    </row>
    <row r="689" spans="1:9" ht="17.399999999999999" x14ac:dyDescent="0.25">
      <c r="A689" s="16"/>
      <c r="B689" s="17"/>
      <c r="C689" s="2"/>
      <c r="D689" s="2"/>
      <c r="E689" s="2"/>
      <c r="F689" s="2"/>
      <c r="G689" s="2"/>
      <c r="H689" s="2"/>
      <c r="I689" s="5"/>
    </row>
    <row r="690" spans="1:9" ht="17.399999999999999" x14ac:dyDescent="0.25">
      <c r="A690" s="16"/>
      <c r="B690" s="17"/>
      <c r="C690" s="2"/>
      <c r="D690" s="2"/>
      <c r="E690" s="2"/>
      <c r="F690" s="2"/>
      <c r="G690" s="2"/>
      <c r="H690" s="2"/>
      <c r="I690" s="5"/>
    </row>
    <row r="691" spans="1:9" ht="17.399999999999999" x14ac:dyDescent="0.25">
      <c r="A691" s="16"/>
      <c r="B691" s="17"/>
      <c r="C691" s="2"/>
      <c r="D691" s="2"/>
      <c r="E691" s="2"/>
      <c r="F691" s="2"/>
      <c r="G691" s="2"/>
      <c r="H691" s="2"/>
      <c r="I691" s="5"/>
    </row>
    <row r="692" spans="1:9" ht="17.399999999999999" x14ac:dyDescent="0.25">
      <c r="A692" s="16"/>
      <c r="B692" s="17"/>
      <c r="C692" s="2"/>
      <c r="D692" s="2"/>
      <c r="E692" s="2"/>
      <c r="F692" s="2"/>
      <c r="G692" s="2"/>
      <c r="H692" s="2"/>
      <c r="I692" s="5"/>
    </row>
    <row r="693" spans="1:9" ht="17.399999999999999" x14ac:dyDescent="0.25">
      <c r="A693" s="16"/>
      <c r="B693" s="17"/>
      <c r="C693" s="2"/>
      <c r="D693" s="2"/>
      <c r="E693" s="2"/>
      <c r="F693" s="2"/>
      <c r="G693" s="2"/>
      <c r="H693" s="2"/>
      <c r="I693" s="5"/>
    </row>
    <row r="694" spans="1:9" ht="17.399999999999999" x14ac:dyDescent="0.25">
      <c r="A694" s="16"/>
      <c r="B694" s="17"/>
      <c r="C694" s="2"/>
      <c r="D694" s="2"/>
      <c r="E694" s="2"/>
      <c r="F694" s="2"/>
      <c r="G694" s="2"/>
      <c r="H694" s="2"/>
      <c r="I694" s="5"/>
    </row>
    <row r="695" spans="1:9" ht="17.399999999999999" x14ac:dyDescent="0.25">
      <c r="A695" s="16"/>
      <c r="B695" s="17"/>
      <c r="C695" s="2"/>
      <c r="D695" s="2"/>
      <c r="E695" s="2"/>
      <c r="F695" s="2"/>
      <c r="G695" s="2"/>
      <c r="H695" s="2"/>
      <c r="I695" s="5"/>
    </row>
    <row r="696" spans="1:9" ht="17.399999999999999" x14ac:dyDescent="0.25">
      <c r="A696" s="16"/>
      <c r="B696" s="17"/>
      <c r="C696" s="2"/>
      <c r="D696" s="2"/>
      <c r="E696" s="2"/>
      <c r="F696" s="2"/>
      <c r="G696" s="2"/>
      <c r="H696" s="2"/>
      <c r="I696" s="5"/>
    </row>
    <row r="697" spans="1:9" ht="17.399999999999999" x14ac:dyDescent="0.25">
      <c r="A697" s="16"/>
      <c r="B697" s="17"/>
      <c r="C697" s="2"/>
      <c r="D697" s="2"/>
      <c r="E697" s="2"/>
      <c r="F697" s="2"/>
      <c r="G697" s="2"/>
      <c r="H697" s="2"/>
      <c r="I697" s="5"/>
    </row>
    <row r="698" spans="1:9" ht="17.399999999999999" x14ac:dyDescent="0.25">
      <c r="A698" s="16"/>
      <c r="B698" s="17"/>
      <c r="C698" s="2"/>
      <c r="D698" s="2"/>
      <c r="E698" s="2"/>
      <c r="F698" s="2"/>
      <c r="G698" s="2"/>
      <c r="H698" s="2"/>
      <c r="I698" s="5"/>
    </row>
    <row r="699" spans="1:9" ht="17.399999999999999" x14ac:dyDescent="0.25">
      <c r="A699" s="16"/>
      <c r="B699" s="17"/>
      <c r="C699" s="2"/>
      <c r="D699" s="2"/>
      <c r="E699" s="2"/>
      <c r="F699" s="2"/>
      <c r="G699" s="2"/>
      <c r="H699" s="2"/>
      <c r="I699" s="5"/>
    </row>
    <row r="700" spans="1:9" ht="17.399999999999999" x14ac:dyDescent="0.25">
      <c r="A700" s="16"/>
      <c r="B700" s="17"/>
      <c r="C700" s="2"/>
      <c r="D700" s="2"/>
      <c r="E700" s="2"/>
      <c r="F700" s="2"/>
      <c r="G700" s="2"/>
      <c r="H700" s="2"/>
      <c r="I700" s="5"/>
    </row>
    <row r="701" spans="1:9" ht="17.399999999999999" x14ac:dyDescent="0.25">
      <c r="A701" s="16"/>
      <c r="B701" s="17"/>
      <c r="C701" s="2"/>
      <c r="D701" s="2"/>
      <c r="E701" s="2"/>
      <c r="F701" s="2"/>
      <c r="G701" s="2"/>
      <c r="H701" s="2"/>
      <c r="I701" s="5"/>
    </row>
    <row r="702" spans="1:9" ht="17.399999999999999" x14ac:dyDescent="0.25">
      <c r="A702" s="16"/>
      <c r="B702" s="17"/>
      <c r="C702" s="2"/>
      <c r="D702" s="2"/>
      <c r="E702" s="2"/>
      <c r="F702" s="2"/>
      <c r="G702" s="2"/>
      <c r="H702" s="2"/>
      <c r="I702" s="5"/>
    </row>
    <row r="703" spans="1:9" ht="17.399999999999999" x14ac:dyDescent="0.25">
      <c r="A703" s="16"/>
      <c r="B703" s="17"/>
      <c r="C703" s="2"/>
      <c r="D703" s="2"/>
      <c r="E703" s="2"/>
      <c r="F703" s="2"/>
      <c r="G703" s="2"/>
      <c r="H703" s="2"/>
      <c r="I703" s="5"/>
    </row>
    <row r="704" spans="1:9" ht="17.399999999999999" x14ac:dyDescent="0.25">
      <c r="A704" s="16"/>
      <c r="B704" s="17"/>
      <c r="C704" s="2"/>
      <c r="D704" s="2"/>
      <c r="E704" s="2"/>
      <c r="F704" s="2"/>
      <c r="G704" s="2"/>
      <c r="H704" s="2"/>
      <c r="I704" s="5"/>
    </row>
    <row r="705" spans="1:9" ht="17.399999999999999" x14ac:dyDescent="0.25">
      <c r="A705" s="16"/>
      <c r="B705" s="17"/>
      <c r="C705" s="2"/>
      <c r="D705" s="2"/>
      <c r="E705" s="2"/>
      <c r="F705" s="2"/>
      <c r="G705" s="2"/>
      <c r="H705" s="2"/>
      <c r="I705" s="5"/>
    </row>
    <row r="706" spans="1:9" ht="17.399999999999999" x14ac:dyDescent="0.25">
      <c r="A706" s="16"/>
      <c r="B706" s="17"/>
      <c r="C706" s="2"/>
      <c r="D706" s="2"/>
      <c r="E706" s="2"/>
      <c r="F706" s="2"/>
      <c r="G706" s="2"/>
      <c r="H706" s="2"/>
      <c r="I706" s="5"/>
    </row>
    <row r="707" spans="1:9" ht="17.399999999999999" x14ac:dyDescent="0.25">
      <c r="A707" s="16"/>
      <c r="B707" s="17"/>
      <c r="C707" s="2"/>
      <c r="D707" s="2"/>
      <c r="E707" s="2"/>
      <c r="F707" s="2"/>
      <c r="G707" s="2"/>
      <c r="H707" s="2"/>
      <c r="I707" s="5"/>
    </row>
    <row r="708" spans="1:9" ht="17.399999999999999" x14ac:dyDescent="0.25">
      <c r="A708" s="16"/>
      <c r="B708" s="17"/>
      <c r="C708" s="2"/>
      <c r="D708" s="2"/>
      <c r="E708" s="2"/>
      <c r="F708" s="2"/>
      <c r="G708" s="2"/>
      <c r="H708" s="2"/>
      <c r="I708" s="5"/>
    </row>
    <row r="709" spans="1:9" ht="17.399999999999999" x14ac:dyDescent="0.25">
      <c r="A709" s="16"/>
      <c r="B709" s="17"/>
      <c r="C709" s="2"/>
      <c r="D709" s="2"/>
      <c r="E709" s="2"/>
      <c r="F709" s="2"/>
      <c r="G709" s="2"/>
      <c r="H709" s="2"/>
      <c r="I709" s="5"/>
    </row>
    <row r="710" spans="1:9" ht="17.399999999999999" x14ac:dyDescent="0.25">
      <c r="A710" s="16"/>
      <c r="B710" s="17"/>
      <c r="C710" s="2"/>
      <c r="D710" s="2"/>
      <c r="E710" s="2"/>
      <c r="F710" s="2"/>
      <c r="G710" s="2"/>
      <c r="H710" s="2"/>
      <c r="I710" s="5"/>
    </row>
    <row r="711" spans="1:9" ht="17.399999999999999" x14ac:dyDescent="0.25">
      <c r="A711" s="16"/>
      <c r="B711" s="17"/>
      <c r="C711" s="2"/>
      <c r="D711" s="2"/>
      <c r="E711" s="2"/>
      <c r="F711" s="2"/>
      <c r="G711" s="2"/>
      <c r="H711" s="2"/>
      <c r="I711" s="5"/>
    </row>
    <row r="712" spans="1:9" ht="17.399999999999999" x14ac:dyDescent="0.25">
      <c r="A712" s="16"/>
      <c r="B712" s="17"/>
      <c r="C712" s="2"/>
      <c r="D712" s="2"/>
      <c r="E712" s="2"/>
      <c r="F712" s="2"/>
      <c r="G712" s="2"/>
      <c r="H712" s="2"/>
      <c r="I712" s="5"/>
    </row>
    <row r="713" spans="1:9" ht="17.399999999999999" x14ac:dyDescent="0.25">
      <c r="A713" s="16"/>
      <c r="B713" s="17"/>
      <c r="C713" s="2"/>
      <c r="D713" s="2"/>
      <c r="E713" s="2"/>
      <c r="F713" s="2"/>
      <c r="G713" s="2"/>
      <c r="H713" s="2"/>
      <c r="I713" s="5"/>
    </row>
    <row r="714" spans="1:9" ht="17.399999999999999" x14ac:dyDescent="0.25">
      <c r="A714" s="16"/>
      <c r="B714" s="17"/>
      <c r="C714" s="2"/>
      <c r="D714" s="2"/>
      <c r="E714" s="2"/>
      <c r="F714" s="2"/>
      <c r="G714" s="2"/>
      <c r="H714" s="2"/>
      <c r="I714" s="5"/>
    </row>
    <row r="715" spans="1:9" ht="17.399999999999999" x14ac:dyDescent="0.25">
      <c r="A715" s="16"/>
      <c r="B715" s="17"/>
      <c r="C715" s="2"/>
      <c r="D715" s="2"/>
      <c r="E715" s="2"/>
      <c r="F715" s="2"/>
      <c r="G715" s="2"/>
      <c r="H715" s="2"/>
      <c r="I715" s="5"/>
    </row>
    <row r="716" spans="1:9" ht="17.399999999999999" x14ac:dyDescent="0.25">
      <c r="A716" s="16"/>
      <c r="B716" s="17"/>
      <c r="C716" s="2"/>
      <c r="D716" s="2"/>
      <c r="E716" s="2"/>
      <c r="F716" s="2"/>
      <c r="G716" s="2"/>
      <c r="H716" s="2"/>
      <c r="I716" s="5"/>
    </row>
    <row r="717" spans="1:9" ht="17.399999999999999" x14ac:dyDescent="0.25">
      <c r="A717" s="16"/>
      <c r="B717" s="17"/>
      <c r="C717" s="2"/>
      <c r="D717" s="2"/>
      <c r="E717" s="2"/>
      <c r="F717" s="2"/>
      <c r="G717" s="2"/>
      <c r="H717" s="2"/>
      <c r="I717" s="5"/>
    </row>
    <row r="718" spans="1:9" ht="17.399999999999999" x14ac:dyDescent="0.25">
      <c r="A718" s="16"/>
      <c r="B718" s="17"/>
      <c r="C718" s="2"/>
      <c r="D718" s="2"/>
      <c r="E718" s="2"/>
      <c r="F718" s="2"/>
      <c r="G718" s="2"/>
      <c r="H718" s="2"/>
      <c r="I718" s="5"/>
    </row>
    <row r="719" spans="1:9" ht="17.399999999999999" x14ac:dyDescent="0.25">
      <c r="A719" s="16"/>
      <c r="B719" s="17"/>
      <c r="C719" s="2"/>
      <c r="D719" s="2"/>
      <c r="E719" s="2"/>
      <c r="F719" s="2"/>
      <c r="G719" s="2"/>
      <c r="H719" s="2"/>
      <c r="I719" s="5"/>
    </row>
    <row r="720" spans="1:9" ht="17.399999999999999" x14ac:dyDescent="0.25">
      <c r="A720" s="16"/>
      <c r="B720" s="17"/>
      <c r="C720" s="2"/>
      <c r="D720" s="2"/>
      <c r="E720" s="2"/>
      <c r="F720" s="2"/>
      <c r="G720" s="2"/>
      <c r="H720" s="2"/>
      <c r="I720" s="5"/>
    </row>
    <row r="721" spans="1:9" ht="17.399999999999999" x14ac:dyDescent="0.25">
      <c r="A721" s="16"/>
      <c r="B721" s="17"/>
      <c r="C721" s="2"/>
      <c r="D721" s="2"/>
      <c r="E721" s="2"/>
      <c r="F721" s="2"/>
      <c r="G721" s="2"/>
      <c r="H721" s="2"/>
      <c r="I721" s="5"/>
    </row>
    <row r="722" spans="1:9" ht="17.399999999999999" x14ac:dyDescent="0.25">
      <c r="A722" s="16"/>
      <c r="B722" s="17"/>
      <c r="C722" s="2"/>
      <c r="D722" s="2"/>
      <c r="E722" s="2"/>
      <c r="F722" s="2"/>
      <c r="G722" s="2"/>
      <c r="H722" s="2"/>
      <c r="I722" s="5"/>
    </row>
    <row r="723" spans="1:9" ht="17.399999999999999" x14ac:dyDescent="0.25">
      <c r="A723" s="16"/>
      <c r="B723" s="17"/>
      <c r="C723" s="2"/>
      <c r="D723" s="2"/>
      <c r="E723" s="2"/>
      <c r="F723" s="2"/>
      <c r="G723" s="2"/>
      <c r="H723" s="2"/>
      <c r="I723" s="5"/>
    </row>
    <row r="724" spans="1:9" ht="17.399999999999999" x14ac:dyDescent="0.25">
      <c r="A724" s="16"/>
      <c r="B724" s="17"/>
      <c r="C724" s="2"/>
      <c r="D724" s="2"/>
      <c r="E724" s="2"/>
      <c r="F724" s="2"/>
      <c r="G724" s="2"/>
      <c r="H724" s="2"/>
      <c r="I724" s="5"/>
    </row>
    <row r="725" spans="1:9" ht="17.399999999999999" x14ac:dyDescent="0.25">
      <c r="A725" s="16"/>
      <c r="B725" s="17"/>
      <c r="C725" s="2"/>
      <c r="D725" s="2"/>
      <c r="E725" s="2"/>
      <c r="F725" s="2"/>
      <c r="G725" s="2"/>
      <c r="H725" s="2"/>
      <c r="I725" s="5"/>
    </row>
    <row r="726" spans="1:9" ht="17.399999999999999" x14ac:dyDescent="0.25">
      <c r="A726" s="16"/>
      <c r="B726" s="17"/>
      <c r="C726" s="2"/>
      <c r="D726" s="2"/>
      <c r="E726" s="2"/>
      <c r="F726" s="2"/>
      <c r="G726" s="2"/>
      <c r="H726" s="2"/>
      <c r="I726" s="5"/>
    </row>
    <row r="727" spans="1:9" ht="17.399999999999999" x14ac:dyDescent="0.25">
      <c r="A727" s="16"/>
      <c r="B727" s="17"/>
      <c r="C727" s="2"/>
      <c r="D727" s="2"/>
      <c r="E727" s="2"/>
      <c r="F727" s="2"/>
      <c r="G727" s="2"/>
      <c r="H727" s="2"/>
      <c r="I727" s="5"/>
    </row>
    <row r="728" spans="1:9" ht="17.399999999999999" x14ac:dyDescent="0.25">
      <c r="A728" s="16"/>
      <c r="B728" s="17"/>
      <c r="C728" s="2"/>
      <c r="D728" s="2"/>
      <c r="E728" s="2"/>
      <c r="F728" s="2"/>
      <c r="G728" s="2"/>
      <c r="H728" s="2"/>
      <c r="I728" s="5"/>
    </row>
    <row r="729" spans="1:9" ht="17.399999999999999" x14ac:dyDescent="0.25">
      <c r="A729" s="16"/>
      <c r="B729" s="17"/>
      <c r="C729" s="2"/>
      <c r="D729" s="2"/>
      <c r="E729" s="2"/>
      <c r="F729" s="2"/>
      <c r="G729" s="2"/>
      <c r="H729" s="2"/>
      <c r="I729" s="5"/>
    </row>
    <row r="730" spans="1:9" ht="17.399999999999999" x14ac:dyDescent="0.25">
      <c r="A730" s="16"/>
      <c r="B730" s="17"/>
      <c r="C730" s="2"/>
      <c r="D730" s="2"/>
      <c r="E730" s="2"/>
      <c r="F730" s="2"/>
      <c r="G730" s="2"/>
      <c r="H730" s="2"/>
      <c r="I730" s="5"/>
    </row>
    <row r="731" spans="1:9" ht="17.399999999999999" x14ac:dyDescent="0.25">
      <c r="A731" s="16"/>
      <c r="B731" s="17"/>
      <c r="C731" s="2"/>
      <c r="D731" s="2"/>
      <c r="E731" s="2"/>
      <c r="F731" s="2"/>
      <c r="G731" s="2"/>
      <c r="H731" s="2"/>
      <c r="I731" s="5"/>
    </row>
    <row r="732" spans="1:9" ht="17.399999999999999" x14ac:dyDescent="0.25">
      <c r="A732" s="16"/>
      <c r="B732" s="17"/>
      <c r="C732" s="2"/>
      <c r="D732" s="2"/>
      <c r="E732" s="2"/>
      <c r="F732" s="2"/>
      <c r="G732" s="2"/>
      <c r="H732" s="2"/>
      <c r="I732" s="5"/>
    </row>
    <row r="733" spans="1:9" ht="17.399999999999999" x14ac:dyDescent="0.25">
      <c r="A733" s="16"/>
      <c r="B733" s="17"/>
      <c r="C733" s="2"/>
      <c r="D733" s="2"/>
      <c r="E733" s="2"/>
      <c r="F733" s="2"/>
      <c r="G733" s="2"/>
      <c r="H733" s="2"/>
      <c r="I733" s="5"/>
    </row>
    <row r="734" spans="1:9" ht="17.399999999999999" x14ac:dyDescent="0.25">
      <c r="A734" s="16"/>
      <c r="B734" s="17"/>
      <c r="C734" s="2"/>
      <c r="D734" s="2"/>
      <c r="E734" s="2"/>
      <c r="F734" s="2"/>
      <c r="G734" s="2"/>
      <c r="H734" s="2"/>
      <c r="I734" s="5"/>
    </row>
    <row r="735" spans="1:9" ht="17.399999999999999" x14ac:dyDescent="0.25">
      <c r="A735" s="16"/>
      <c r="B735" s="17"/>
      <c r="C735" s="2"/>
      <c r="D735" s="2"/>
      <c r="E735" s="2"/>
      <c r="F735" s="2"/>
      <c r="G735" s="2"/>
      <c r="H735" s="2"/>
      <c r="I735" s="5"/>
    </row>
    <row r="736" spans="1:9" ht="17.399999999999999" x14ac:dyDescent="0.25">
      <c r="A736" s="16"/>
      <c r="B736" s="17"/>
      <c r="C736" s="2"/>
      <c r="D736" s="2"/>
      <c r="E736" s="2"/>
      <c r="F736" s="2"/>
      <c r="G736" s="2"/>
      <c r="H736" s="2"/>
      <c r="I736" s="5"/>
    </row>
    <row r="737" spans="1:9" ht="17.399999999999999" x14ac:dyDescent="0.25">
      <c r="A737" s="16"/>
      <c r="B737" s="17"/>
      <c r="C737" s="2"/>
      <c r="D737" s="2"/>
      <c r="E737" s="2"/>
      <c r="F737" s="2"/>
      <c r="G737" s="2"/>
      <c r="H737" s="2"/>
      <c r="I737" s="5"/>
    </row>
    <row r="738" spans="1:9" ht="17.399999999999999" x14ac:dyDescent="0.25">
      <c r="A738" s="16"/>
      <c r="B738" s="17"/>
      <c r="C738" s="2"/>
      <c r="D738" s="2"/>
      <c r="E738" s="2"/>
      <c r="F738" s="2"/>
      <c r="G738" s="2"/>
      <c r="H738" s="2"/>
      <c r="I738" s="5"/>
    </row>
    <row r="739" spans="1:9" ht="17.399999999999999" x14ac:dyDescent="0.25">
      <c r="A739" s="16"/>
      <c r="B739" s="17"/>
      <c r="C739" s="2"/>
      <c r="D739" s="2"/>
      <c r="E739" s="2"/>
      <c r="F739" s="2"/>
      <c r="G739" s="2"/>
      <c r="H739" s="2"/>
      <c r="I739" s="5"/>
    </row>
    <row r="740" spans="1:9" ht="17.399999999999999" x14ac:dyDescent="0.25">
      <c r="A740" s="16"/>
      <c r="B740" s="17"/>
      <c r="C740" s="2"/>
      <c r="D740" s="2"/>
      <c r="E740" s="2"/>
      <c r="F740" s="2"/>
      <c r="G740" s="2"/>
      <c r="H740" s="2"/>
      <c r="I740" s="5"/>
    </row>
    <row r="741" spans="1:9" ht="17.399999999999999" x14ac:dyDescent="0.25">
      <c r="A741" s="16"/>
      <c r="B741" s="17"/>
      <c r="C741" s="2"/>
      <c r="D741" s="2"/>
      <c r="E741" s="2"/>
      <c r="F741" s="2"/>
      <c r="G741" s="2"/>
      <c r="H741" s="2"/>
      <c r="I741" s="5"/>
    </row>
    <row r="742" spans="1:9" ht="17.399999999999999" x14ac:dyDescent="0.25">
      <c r="A742" s="16"/>
      <c r="B742" s="17"/>
      <c r="C742" s="2"/>
      <c r="D742" s="2"/>
      <c r="E742" s="2"/>
      <c r="F742" s="2"/>
      <c r="G742" s="2"/>
      <c r="H742" s="2"/>
      <c r="I742" s="5"/>
    </row>
    <row r="743" spans="1:9" ht="17.399999999999999" x14ac:dyDescent="0.25">
      <c r="A743" s="16"/>
      <c r="B743" s="17"/>
      <c r="C743" s="2"/>
      <c r="D743" s="2"/>
      <c r="E743" s="2"/>
      <c r="F743" s="2"/>
      <c r="G743" s="2"/>
      <c r="H743" s="2"/>
      <c r="I743" s="5"/>
    </row>
    <row r="744" spans="1:9" ht="17.399999999999999" x14ac:dyDescent="0.25">
      <c r="A744" s="16"/>
      <c r="B744" s="17"/>
      <c r="C744" s="2"/>
      <c r="D744" s="2"/>
      <c r="E744" s="2"/>
      <c r="F744" s="2"/>
      <c r="G744" s="2"/>
      <c r="H744" s="2"/>
      <c r="I744" s="5"/>
    </row>
    <row r="745" spans="1:9" ht="17.399999999999999" x14ac:dyDescent="0.25">
      <c r="A745" s="16"/>
      <c r="B745" s="17"/>
      <c r="C745" s="2"/>
      <c r="D745" s="2"/>
      <c r="E745" s="2"/>
      <c r="F745" s="2"/>
      <c r="G745" s="2"/>
      <c r="H745" s="2"/>
      <c r="I745" s="5"/>
    </row>
    <row r="746" spans="1:9" ht="17.399999999999999" x14ac:dyDescent="0.25">
      <c r="A746" s="16"/>
      <c r="B746" s="17"/>
      <c r="C746" s="2"/>
      <c r="D746" s="2"/>
      <c r="E746" s="2"/>
      <c r="F746" s="2"/>
      <c r="G746" s="2"/>
      <c r="H746" s="2"/>
      <c r="I746" s="5"/>
    </row>
    <row r="747" spans="1:9" ht="17.399999999999999" x14ac:dyDescent="0.25">
      <c r="A747" s="16"/>
      <c r="B747" s="17"/>
      <c r="C747" s="2"/>
      <c r="D747" s="2"/>
      <c r="E747" s="2"/>
      <c r="F747" s="2"/>
      <c r="G747" s="2"/>
      <c r="H747" s="2"/>
      <c r="I747" s="5"/>
    </row>
    <row r="748" spans="1:9" ht="17.399999999999999" x14ac:dyDescent="0.25">
      <c r="A748" s="16"/>
      <c r="B748" s="17"/>
      <c r="C748" s="2"/>
      <c r="D748" s="2"/>
      <c r="E748" s="2"/>
      <c r="F748" s="2"/>
      <c r="G748" s="2"/>
      <c r="H748" s="2"/>
      <c r="I748" s="5"/>
    </row>
    <row r="749" spans="1:9" ht="17.399999999999999" x14ac:dyDescent="0.25">
      <c r="A749" s="16"/>
      <c r="B749" s="17"/>
      <c r="C749" s="2"/>
      <c r="D749" s="2"/>
      <c r="E749" s="2"/>
      <c r="F749" s="2"/>
      <c r="G749" s="2"/>
      <c r="H749" s="2"/>
      <c r="I749" s="5"/>
    </row>
    <row r="750" spans="1:9" ht="17.399999999999999" x14ac:dyDescent="0.25">
      <c r="A750" s="16"/>
      <c r="B750" s="17"/>
      <c r="C750" s="2"/>
      <c r="D750" s="2"/>
      <c r="E750" s="2"/>
      <c r="F750" s="2"/>
      <c r="G750" s="2"/>
      <c r="H750" s="2"/>
      <c r="I750" s="5"/>
    </row>
    <row r="751" spans="1:9" ht="17.399999999999999" x14ac:dyDescent="0.25">
      <c r="A751" s="16"/>
      <c r="B751" s="17"/>
      <c r="C751" s="2"/>
      <c r="D751" s="2"/>
      <c r="E751" s="2"/>
      <c r="F751" s="2"/>
      <c r="G751" s="2"/>
      <c r="H751" s="2"/>
      <c r="I751" s="5"/>
    </row>
    <row r="752" spans="1:9" ht="17.399999999999999" x14ac:dyDescent="0.25">
      <c r="A752" s="16"/>
      <c r="B752" s="17"/>
      <c r="C752" s="2"/>
      <c r="D752" s="2"/>
      <c r="E752" s="2"/>
      <c r="F752" s="2"/>
      <c r="G752" s="2"/>
      <c r="H752" s="2"/>
      <c r="I752" s="5"/>
    </row>
    <row r="753" spans="1:9" ht="17.399999999999999" x14ac:dyDescent="0.25">
      <c r="A753" s="16"/>
      <c r="B753" s="17"/>
      <c r="C753" s="2"/>
      <c r="D753" s="2"/>
      <c r="E753" s="2"/>
      <c r="F753" s="2"/>
      <c r="G753" s="2"/>
      <c r="H753" s="2"/>
      <c r="I753" s="5"/>
    </row>
    <row r="754" spans="1:9" ht="17.399999999999999" x14ac:dyDescent="0.25">
      <c r="A754" s="16"/>
      <c r="B754" s="17"/>
      <c r="C754" s="2"/>
      <c r="D754" s="2"/>
      <c r="E754" s="2"/>
      <c r="F754" s="2"/>
      <c r="G754" s="2"/>
      <c r="H754" s="2"/>
      <c r="I754" s="5"/>
    </row>
    <row r="755" spans="1:9" ht="17.399999999999999" x14ac:dyDescent="0.25">
      <c r="A755" s="16"/>
      <c r="B755" s="17"/>
      <c r="C755" s="2"/>
      <c r="D755" s="2"/>
      <c r="E755" s="2"/>
      <c r="F755" s="2"/>
      <c r="G755" s="2"/>
      <c r="H755" s="2"/>
      <c r="I755" s="5"/>
    </row>
    <row r="756" spans="1:9" ht="17.399999999999999" x14ac:dyDescent="0.25">
      <c r="A756" s="16"/>
      <c r="B756" s="17"/>
      <c r="C756" s="2"/>
      <c r="D756" s="2"/>
      <c r="E756" s="2"/>
      <c r="F756" s="2"/>
      <c r="G756" s="2"/>
      <c r="H756" s="2"/>
      <c r="I756" s="5"/>
    </row>
    <row r="757" spans="1:9" ht="17.399999999999999" x14ac:dyDescent="0.25">
      <c r="A757" s="16"/>
      <c r="B757" s="17"/>
      <c r="C757" s="2"/>
      <c r="D757" s="2"/>
      <c r="E757" s="2"/>
      <c r="F757" s="2"/>
      <c r="G757" s="2"/>
      <c r="H757" s="2"/>
      <c r="I757" s="5"/>
    </row>
    <row r="758" spans="1:9" ht="17.399999999999999" x14ac:dyDescent="0.25">
      <c r="A758" s="16"/>
      <c r="B758" s="17"/>
      <c r="C758" s="2"/>
      <c r="D758" s="2"/>
      <c r="E758" s="2"/>
      <c r="F758" s="2"/>
      <c r="G758" s="2"/>
      <c r="H758" s="2"/>
      <c r="I758" s="5"/>
    </row>
    <row r="759" spans="1:9" ht="17.399999999999999" x14ac:dyDescent="0.25">
      <c r="A759" s="16"/>
      <c r="B759" s="17"/>
      <c r="C759" s="2"/>
      <c r="D759" s="2"/>
      <c r="E759" s="2"/>
      <c r="F759" s="2"/>
      <c r="G759" s="2"/>
      <c r="H759" s="2"/>
      <c r="I759" s="5"/>
    </row>
    <row r="760" spans="1:9" ht="17.399999999999999" x14ac:dyDescent="0.25">
      <c r="A760" s="16"/>
      <c r="B760" s="17"/>
      <c r="C760" s="2"/>
      <c r="D760" s="2"/>
      <c r="E760" s="2"/>
      <c r="F760" s="2"/>
      <c r="G760" s="2"/>
      <c r="H760" s="2"/>
      <c r="I760" s="5"/>
    </row>
    <row r="761" spans="1:9" ht="17.399999999999999" x14ac:dyDescent="0.25">
      <c r="A761" s="16"/>
      <c r="B761" s="17"/>
      <c r="C761" s="2"/>
      <c r="D761" s="2"/>
      <c r="E761" s="2"/>
      <c r="F761" s="2"/>
      <c r="G761" s="2"/>
      <c r="H761" s="2"/>
      <c r="I761" s="5"/>
    </row>
    <row r="762" spans="1:9" ht="17.399999999999999" x14ac:dyDescent="0.25">
      <c r="A762" s="16"/>
      <c r="B762" s="17"/>
      <c r="C762" s="2"/>
      <c r="D762" s="2"/>
      <c r="E762" s="2"/>
      <c r="F762" s="2"/>
      <c r="G762" s="2"/>
      <c r="H762" s="2"/>
      <c r="I762" s="5"/>
    </row>
    <row r="763" spans="1:9" ht="17.399999999999999" x14ac:dyDescent="0.25">
      <c r="A763" s="16"/>
      <c r="B763" s="17"/>
      <c r="C763" s="2"/>
      <c r="D763" s="2"/>
      <c r="E763" s="2"/>
      <c r="F763" s="2"/>
      <c r="G763" s="2"/>
      <c r="H763" s="2"/>
      <c r="I763" s="5"/>
    </row>
    <row r="764" spans="1:9" ht="17.399999999999999" x14ac:dyDescent="0.25">
      <c r="A764" s="16"/>
      <c r="B764" s="17"/>
      <c r="C764" s="2"/>
      <c r="D764" s="2"/>
      <c r="E764" s="2"/>
      <c r="F764" s="2"/>
      <c r="G764" s="2"/>
      <c r="H764" s="2"/>
      <c r="I764" s="5"/>
    </row>
    <row r="765" spans="1:9" ht="17.399999999999999" x14ac:dyDescent="0.25">
      <c r="A765" s="16"/>
      <c r="B765" s="17"/>
      <c r="C765" s="2"/>
      <c r="D765" s="2"/>
      <c r="E765" s="2"/>
      <c r="F765" s="2"/>
      <c r="G765" s="2"/>
      <c r="H765" s="2"/>
      <c r="I765" s="5"/>
    </row>
    <row r="766" spans="1:9" ht="17.399999999999999" x14ac:dyDescent="0.25">
      <c r="A766" s="16"/>
      <c r="B766" s="17"/>
      <c r="C766" s="2"/>
      <c r="D766" s="2"/>
      <c r="E766" s="2"/>
      <c r="F766" s="2"/>
      <c r="G766" s="2"/>
      <c r="H766" s="2"/>
      <c r="I766" s="5"/>
    </row>
    <row r="767" spans="1:9" ht="17.399999999999999" x14ac:dyDescent="0.25">
      <c r="A767" s="16"/>
      <c r="B767" s="17"/>
      <c r="C767" s="2"/>
      <c r="D767" s="2"/>
      <c r="E767" s="2"/>
      <c r="F767" s="2"/>
      <c r="G767" s="2"/>
      <c r="H767" s="2"/>
      <c r="I767" s="5"/>
    </row>
    <row r="768" spans="1:9" ht="17.399999999999999" x14ac:dyDescent="0.25">
      <c r="A768" s="16"/>
      <c r="B768" s="17"/>
      <c r="C768" s="2"/>
      <c r="D768" s="2"/>
      <c r="E768" s="2"/>
      <c r="F768" s="2"/>
      <c r="G768" s="2"/>
      <c r="H768" s="2"/>
      <c r="I768" s="5"/>
    </row>
    <row r="769" spans="1:9" ht="17.399999999999999" x14ac:dyDescent="0.25">
      <c r="A769" s="16"/>
      <c r="B769" s="17"/>
      <c r="C769" s="2"/>
      <c r="D769" s="2"/>
      <c r="E769" s="2"/>
      <c r="F769" s="2"/>
      <c r="G769" s="2"/>
      <c r="H769" s="2"/>
      <c r="I769" s="5"/>
    </row>
    <row r="770" spans="1:9" ht="17.399999999999999" x14ac:dyDescent="0.25">
      <c r="A770" s="16"/>
      <c r="B770" s="17"/>
      <c r="C770" s="2"/>
      <c r="D770" s="2"/>
      <c r="E770" s="2"/>
      <c r="F770" s="2"/>
      <c r="G770" s="2"/>
      <c r="H770" s="2"/>
      <c r="I770" s="5"/>
    </row>
    <row r="771" spans="1:9" ht="17.399999999999999" x14ac:dyDescent="0.25">
      <c r="A771" s="16"/>
      <c r="B771" s="17"/>
      <c r="C771" s="2"/>
      <c r="D771" s="2"/>
      <c r="E771" s="2"/>
      <c r="F771" s="2"/>
      <c r="G771" s="2"/>
      <c r="H771" s="2"/>
      <c r="I771" s="5"/>
    </row>
    <row r="772" spans="1:9" ht="17.399999999999999" x14ac:dyDescent="0.25">
      <c r="A772" s="16"/>
      <c r="B772" s="17"/>
      <c r="C772" s="2"/>
      <c r="D772" s="2"/>
      <c r="E772" s="2"/>
      <c r="F772" s="2"/>
      <c r="G772" s="2"/>
      <c r="H772" s="2"/>
      <c r="I772" s="5"/>
    </row>
    <row r="773" spans="1:9" ht="17.399999999999999" x14ac:dyDescent="0.25">
      <c r="A773" s="16"/>
      <c r="B773" s="17"/>
      <c r="C773" s="2"/>
      <c r="D773" s="2"/>
      <c r="E773" s="2"/>
      <c r="F773" s="2"/>
      <c r="G773" s="2"/>
      <c r="H773" s="2"/>
      <c r="I773" s="5"/>
    </row>
    <row r="774" spans="1:9" ht="17.399999999999999" x14ac:dyDescent="0.25">
      <c r="A774" s="16"/>
      <c r="B774" s="17"/>
      <c r="C774" s="2"/>
      <c r="D774" s="2"/>
      <c r="E774" s="2"/>
      <c r="F774" s="2"/>
      <c r="G774" s="2"/>
      <c r="H774" s="2"/>
      <c r="I774" s="5"/>
    </row>
    <row r="775" spans="1:9" ht="17.399999999999999" x14ac:dyDescent="0.25">
      <c r="A775" s="16"/>
      <c r="B775" s="17"/>
      <c r="C775" s="2"/>
      <c r="D775" s="2"/>
      <c r="E775" s="2"/>
      <c r="F775" s="2"/>
      <c r="G775" s="2"/>
      <c r="H775" s="2"/>
      <c r="I775" s="5"/>
    </row>
    <row r="776" spans="1:9" ht="17.399999999999999" x14ac:dyDescent="0.25">
      <c r="A776" s="16"/>
      <c r="B776" s="17"/>
      <c r="C776" s="2"/>
      <c r="D776" s="2"/>
      <c r="E776" s="2"/>
      <c r="F776" s="2"/>
      <c r="G776" s="2"/>
      <c r="H776" s="2"/>
      <c r="I776" s="5"/>
    </row>
    <row r="777" spans="1:9" ht="17.399999999999999" x14ac:dyDescent="0.25">
      <c r="A777" s="16"/>
      <c r="B777" s="17"/>
      <c r="C777" s="2"/>
      <c r="D777" s="2"/>
      <c r="E777" s="2"/>
      <c r="F777" s="2"/>
      <c r="G777" s="2"/>
      <c r="H777" s="2"/>
      <c r="I777" s="5"/>
    </row>
    <row r="778" spans="1:9" ht="17.399999999999999" x14ac:dyDescent="0.25">
      <c r="A778" s="16"/>
      <c r="B778" s="17"/>
      <c r="C778" s="2"/>
      <c r="D778" s="2"/>
      <c r="E778" s="2"/>
      <c r="F778" s="2"/>
      <c r="G778" s="2"/>
      <c r="H778" s="2"/>
      <c r="I778" s="5"/>
    </row>
    <row r="779" spans="1:9" ht="17.399999999999999" x14ac:dyDescent="0.25">
      <c r="A779" s="16"/>
      <c r="B779" s="17"/>
      <c r="C779" s="2"/>
      <c r="D779" s="2"/>
      <c r="E779" s="2"/>
      <c r="F779" s="2"/>
      <c r="G779" s="2"/>
      <c r="H779" s="2"/>
      <c r="I779" s="5"/>
    </row>
    <row r="780" spans="1:9" ht="17.399999999999999" x14ac:dyDescent="0.25">
      <c r="A780" s="16"/>
      <c r="B780" s="17"/>
      <c r="C780" s="2"/>
      <c r="D780" s="2"/>
      <c r="E780" s="2"/>
      <c r="F780" s="2"/>
      <c r="G780" s="2"/>
      <c r="H780" s="2"/>
      <c r="I780" s="5"/>
    </row>
    <row r="781" spans="1:9" ht="17.399999999999999" x14ac:dyDescent="0.25">
      <c r="A781" s="16"/>
      <c r="B781" s="17"/>
      <c r="C781" s="2"/>
      <c r="D781" s="2"/>
      <c r="E781" s="2"/>
      <c r="F781" s="2"/>
      <c r="G781" s="2"/>
      <c r="H781" s="2"/>
      <c r="I781" s="5"/>
    </row>
    <row r="782" spans="1:9" ht="17.399999999999999" x14ac:dyDescent="0.25">
      <c r="A782" s="16"/>
      <c r="B782" s="17"/>
      <c r="C782" s="2"/>
      <c r="D782" s="2"/>
      <c r="E782" s="2"/>
      <c r="F782" s="2"/>
      <c r="G782" s="2"/>
      <c r="H782" s="2"/>
      <c r="I782" s="5"/>
    </row>
    <row r="783" spans="1:9" ht="17.399999999999999" x14ac:dyDescent="0.25">
      <c r="A783" s="16"/>
      <c r="B783" s="17"/>
      <c r="C783" s="2"/>
      <c r="D783" s="2"/>
      <c r="E783" s="2"/>
      <c r="F783" s="2"/>
      <c r="G783" s="2"/>
      <c r="H783" s="2"/>
      <c r="I783" s="5"/>
    </row>
    <row r="784" spans="1:9" ht="17.399999999999999" x14ac:dyDescent="0.25">
      <c r="A784" s="16"/>
      <c r="B784" s="17"/>
      <c r="C784" s="2"/>
      <c r="D784" s="2"/>
      <c r="E784" s="2"/>
      <c r="F784" s="2"/>
      <c r="G784" s="2"/>
      <c r="H784" s="2"/>
      <c r="I784" s="5"/>
    </row>
    <row r="785" spans="1:9" ht="17.399999999999999" x14ac:dyDescent="0.25">
      <c r="A785" s="16"/>
      <c r="B785" s="17"/>
      <c r="C785" s="2"/>
      <c r="D785" s="2"/>
      <c r="E785" s="2"/>
      <c r="F785" s="2"/>
      <c r="G785" s="2"/>
      <c r="H785" s="2"/>
      <c r="I785" s="5"/>
    </row>
    <row r="786" spans="1:9" ht="17.399999999999999" x14ac:dyDescent="0.25">
      <c r="A786" s="16"/>
      <c r="B786" s="17"/>
      <c r="C786" s="2"/>
      <c r="D786" s="2"/>
      <c r="E786" s="2"/>
      <c r="F786" s="2"/>
      <c r="G786" s="2"/>
      <c r="H786" s="2"/>
      <c r="I786" s="5"/>
    </row>
    <row r="787" spans="1:9" ht="17.399999999999999" x14ac:dyDescent="0.25">
      <c r="A787" s="16"/>
      <c r="B787" s="17"/>
      <c r="C787" s="2"/>
      <c r="D787" s="2"/>
      <c r="E787" s="2"/>
      <c r="F787" s="2"/>
      <c r="G787" s="2"/>
      <c r="H787" s="2"/>
      <c r="I787" s="5"/>
    </row>
    <row r="788" spans="1:9" ht="17.399999999999999" x14ac:dyDescent="0.25">
      <c r="A788" s="16"/>
      <c r="B788" s="17"/>
      <c r="C788" s="2"/>
      <c r="D788" s="2"/>
      <c r="E788" s="2"/>
      <c r="F788" s="2"/>
      <c r="G788" s="2"/>
      <c r="H788" s="2"/>
      <c r="I788" s="5"/>
    </row>
    <row r="789" spans="1:9" ht="17.399999999999999" x14ac:dyDescent="0.25">
      <c r="A789" s="16"/>
      <c r="B789" s="17"/>
      <c r="C789" s="2"/>
      <c r="D789" s="2"/>
      <c r="E789" s="2"/>
      <c r="F789" s="2"/>
      <c r="G789" s="2"/>
      <c r="H789" s="2"/>
      <c r="I789" s="5"/>
    </row>
    <row r="790" spans="1:9" ht="17.399999999999999" x14ac:dyDescent="0.25">
      <c r="A790" s="16"/>
      <c r="B790" s="17"/>
      <c r="C790" s="2"/>
      <c r="D790" s="2"/>
      <c r="E790" s="2"/>
      <c r="F790" s="2"/>
      <c r="G790" s="2"/>
      <c r="H790" s="2"/>
      <c r="I790" s="5"/>
    </row>
    <row r="791" spans="1:9" ht="17.399999999999999" x14ac:dyDescent="0.25">
      <c r="A791" s="16"/>
      <c r="B791" s="17"/>
      <c r="C791" s="2"/>
      <c r="D791" s="2"/>
      <c r="E791" s="2"/>
      <c r="F791" s="2"/>
      <c r="G791" s="2"/>
      <c r="H791" s="2"/>
      <c r="I791" s="5"/>
    </row>
    <row r="792" spans="1:9" ht="17.399999999999999" x14ac:dyDescent="0.25">
      <c r="A792" s="16"/>
      <c r="B792" s="17"/>
      <c r="C792" s="2"/>
      <c r="D792" s="2"/>
      <c r="E792" s="2"/>
      <c r="F792" s="2"/>
      <c r="G792" s="2"/>
      <c r="H792" s="2"/>
      <c r="I792" s="5"/>
    </row>
    <row r="793" spans="1:9" ht="17.399999999999999" x14ac:dyDescent="0.25">
      <c r="A793" s="16"/>
      <c r="B793" s="17"/>
      <c r="C793" s="2"/>
      <c r="D793" s="2"/>
      <c r="E793" s="2"/>
      <c r="F793" s="2"/>
      <c r="G793" s="2"/>
      <c r="H793" s="2"/>
      <c r="I793" s="5"/>
    </row>
    <row r="794" spans="1:9" ht="17.399999999999999" x14ac:dyDescent="0.25">
      <c r="A794" s="16"/>
      <c r="B794" s="17"/>
      <c r="C794" s="2"/>
      <c r="D794" s="2"/>
      <c r="E794" s="2"/>
      <c r="F794" s="2"/>
      <c r="G794" s="2"/>
      <c r="H794" s="2"/>
      <c r="I794" s="5"/>
    </row>
    <row r="795" spans="1:9" ht="17.399999999999999" x14ac:dyDescent="0.25">
      <c r="A795" s="16"/>
      <c r="B795" s="17"/>
      <c r="C795" s="2"/>
      <c r="D795" s="2"/>
      <c r="E795" s="2"/>
      <c r="F795" s="2"/>
      <c r="G795" s="2"/>
      <c r="H795" s="2"/>
      <c r="I795" s="5"/>
    </row>
    <row r="796" spans="1:9" ht="17.399999999999999" x14ac:dyDescent="0.25">
      <c r="A796" s="16"/>
      <c r="B796" s="17"/>
      <c r="C796" s="2"/>
      <c r="D796" s="2"/>
      <c r="E796" s="2"/>
      <c r="F796" s="2"/>
      <c r="G796" s="2"/>
      <c r="H796" s="2"/>
      <c r="I796" s="5"/>
    </row>
    <row r="797" spans="1:9" ht="17.399999999999999" x14ac:dyDescent="0.25">
      <c r="A797" s="16"/>
      <c r="B797" s="17"/>
      <c r="C797" s="2"/>
      <c r="D797" s="2"/>
      <c r="E797" s="2"/>
      <c r="F797" s="2"/>
      <c r="G797" s="2"/>
      <c r="H797" s="2"/>
      <c r="I797" s="5"/>
    </row>
    <row r="798" spans="1:9" ht="17.399999999999999" x14ac:dyDescent="0.25">
      <c r="A798" s="16"/>
      <c r="B798" s="17"/>
      <c r="C798" s="2"/>
      <c r="D798" s="2"/>
      <c r="E798" s="2"/>
      <c r="F798" s="2"/>
      <c r="G798" s="2"/>
      <c r="H798" s="2"/>
      <c r="I798" s="5"/>
    </row>
    <row r="799" spans="1:9" ht="17.399999999999999" x14ac:dyDescent="0.25">
      <c r="A799" s="16"/>
      <c r="B799" s="17"/>
      <c r="C799" s="2"/>
      <c r="D799" s="2"/>
      <c r="E799" s="2"/>
      <c r="F799" s="2"/>
      <c r="G799" s="2"/>
      <c r="H799" s="2"/>
      <c r="I799" s="5"/>
    </row>
    <row r="800" spans="1:9" ht="17.399999999999999" x14ac:dyDescent="0.25">
      <c r="A800" s="16"/>
      <c r="B800" s="17"/>
      <c r="C800" s="2"/>
      <c r="D800" s="2"/>
      <c r="E800" s="2"/>
      <c r="F800" s="2"/>
      <c r="G800" s="2"/>
      <c r="H800" s="2"/>
      <c r="I800" s="5"/>
    </row>
    <row r="801" spans="1:9" ht="17.399999999999999" x14ac:dyDescent="0.25">
      <c r="A801" s="16"/>
      <c r="B801" s="17"/>
      <c r="C801" s="2"/>
      <c r="D801" s="2"/>
      <c r="E801" s="2"/>
      <c r="F801" s="2"/>
      <c r="G801" s="2"/>
      <c r="H801" s="2"/>
      <c r="I801" s="5"/>
    </row>
    <row r="802" spans="1:9" ht="17.399999999999999" x14ac:dyDescent="0.25">
      <c r="A802" s="16"/>
      <c r="B802" s="17"/>
      <c r="C802" s="2"/>
      <c r="D802" s="2"/>
      <c r="E802" s="2"/>
      <c r="F802" s="2"/>
      <c r="G802" s="2"/>
      <c r="H802" s="2"/>
      <c r="I802" s="5"/>
    </row>
    <row r="803" spans="1:9" ht="17.399999999999999" x14ac:dyDescent="0.25">
      <c r="A803" s="16"/>
      <c r="B803" s="17"/>
      <c r="C803" s="2"/>
      <c r="D803" s="2"/>
      <c r="E803" s="2"/>
      <c r="F803" s="2"/>
      <c r="G803" s="2"/>
      <c r="H803" s="2"/>
      <c r="I803" s="5"/>
    </row>
    <row r="804" spans="1:9" ht="17.399999999999999" x14ac:dyDescent="0.25">
      <c r="A804" s="16"/>
      <c r="B804" s="17"/>
      <c r="C804" s="2"/>
      <c r="D804" s="2"/>
      <c r="E804" s="2"/>
      <c r="F804" s="2"/>
      <c r="G804" s="2"/>
      <c r="H804" s="2"/>
      <c r="I804" s="5"/>
    </row>
    <row r="805" spans="1:9" ht="17.399999999999999" x14ac:dyDescent="0.25">
      <c r="A805" s="16"/>
      <c r="B805" s="17"/>
      <c r="C805" s="2"/>
      <c r="D805" s="2"/>
      <c r="E805" s="2"/>
      <c r="F805" s="2"/>
      <c r="G805" s="2"/>
      <c r="H805" s="2"/>
      <c r="I805" s="5"/>
    </row>
    <row r="806" spans="1:9" ht="17.399999999999999" x14ac:dyDescent="0.25">
      <c r="A806" s="16"/>
      <c r="B806" s="17"/>
      <c r="C806" s="2"/>
      <c r="D806" s="2"/>
      <c r="E806" s="2"/>
      <c r="F806" s="2"/>
      <c r="G806" s="2"/>
      <c r="H806" s="2"/>
      <c r="I806" s="5"/>
    </row>
    <row r="807" spans="1:9" ht="17.399999999999999" x14ac:dyDescent="0.25">
      <c r="A807" s="16"/>
      <c r="B807" s="17"/>
      <c r="C807" s="2"/>
      <c r="D807" s="2"/>
      <c r="E807" s="2"/>
      <c r="F807" s="2"/>
      <c r="G807" s="2"/>
      <c r="H807" s="2"/>
      <c r="I807" s="5"/>
    </row>
    <row r="808" spans="1:9" ht="17.399999999999999" x14ac:dyDescent="0.25">
      <c r="A808" s="16"/>
      <c r="B808" s="17"/>
      <c r="C808" s="2"/>
      <c r="D808" s="2"/>
      <c r="E808" s="2"/>
      <c r="F808" s="2"/>
      <c r="G808" s="2"/>
      <c r="H808" s="2"/>
      <c r="I808" s="5"/>
    </row>
    <row r="809" spans="1:9" ht="17.399999999999999" x14ac:dyDescent="0.25">
      <c r="A809" s="16"/>
      <c r="B809" s="17"/>
      <c r="C809" s="2"/>
      <c r="D809" s="2"/>
      <c r="E809" s="2"/>
      <c r="F809" s="2"/>
      <c r="G809" s="2"/>
      <c r="H809" s="2"/>
      <c r="I809" s="5"/>
    </row>
    <row r="810" spans="1:9" ht="17.399999999999999" x14ac:dyDescent="0.25">
      <c r="A810" s="16"/>
      <c r="B810" s="17"/>
      <c r="C810" s="2"/>
      <c r="D810" s="2"/>
      <c r="E810" s="2"/>
      <c r="F810" s="2"/>
      <c r="G810" s="2"/>
      <c r="H810" s="2"/>
      <c r="I810" s="5"/>
    </row>
    <row r="811" spans="1:9" ht="17.399999999999999" x14ac:dyDescent="0.25">
      <c r="A811" s="16"/>
      <c r="B811" s="17"/>
      <c r="C811" s="2"/>
      <c r="D811" s="2"/>
      <c r="E811" s="2"/>
      <c r="F811" s="2"/>
      <c r="G811" s="2"/>
      <c r="H811" s="2"/>
      <c r="I811" s="5"/>
    </row>
    <row r="812" spans="1:9" ht="17.399999999999999" x14ac:dyDescent="0.25">
      <c r="A812" s="16"/>
      <c r="B812" s="17"/>
      <c r="C812" s="2"/>
      <c r="D812" s="2"/>
      <c r="E812" s="2"/>
      <c r="F812" s="2"/>
      <c r="G812" s="2"/>
      <c r="H812" s="2"/>
      <c r="I812" s="5"/>
    </row>
    <row r="813" spans="1:9" ht="17.399999999999999" x14ac:dyDescent="0.25">
      <c r="A813" s="16"/>
      <c r="B813" s="17"/>
      <c r="C813" s="2"/>
      <c r="D813" s="2"/>
      <c r="E813" s="2"/>
      <c r="F813" s="2"/>
      <c r="G813" s="2"/>
      <c r="H813" s="2"/>
      <c r="I813" s="5"/>
    </row>
    <row r="814" spans="1:9" ht="17.399999999999999" x14ac:dyDescent="0.25">
      <c r="A814" s="16"/>
      <c r="B814" s="17"/>
      <c r="C814" s="2"/>
      <c r="D814" s="2"/>
      <c r="E814" s="2"/>
      <c r="F814" s="2"/>
      <c r="G814" s="2"/>
      <c r="H814" s="2"/>
      <c r="I814" s="5"/>
    </row>
    <row r="815" spans="1:9" ht="17.399999999999999" x14ac:dyDescent="0.25">
      <c r="A815" s="16"/>
      <c r="B815" s="17"/>
      <c r="C815" s="2"/>
      <c r="D815" s="2"/>
      <c r="E815" s="2"/>
      <c r="F815" s="2"/>
      <c r="G815" s="2"/>
      <c r="H815" s="2"/>
      <c r="I815" s="5"/>
    </row>
    <row r="816" spans="1:9" ht="17.399999999999999" x14ac:dyDescent="0.25">
      <c r="A816" s="16"/>
      <c r="B816" s="17"/>
      <c r="C816" s="2"/>
      <c r="D816" s="2"/>
      <c r="E816" s="2"/>
      <c r="F816" s="2"/>
      <c r="G816" s="2"/>
      <c r="H816" s="2"/>
      <c r="I816" s="5"/>
    </row>
    <row r="817" spans="1:9" ht="17.399999999999999" x14ac:dyDescent="0.25">
      <c r="A817" s="16"/>
      <c r="B817" s="17"/>
      <c r="C817" s="2"/>
      <c r="D817" s="2"/>
      <c r="E817" s="2"/>
      <c r="F817" s="2"/>
      <c r="G817" s="2"/>
      <c r="H817" s="2"/>
      <c r="I817" s="5"/>
    </row>
    <row r="818" spans="1:9" ht="17.399999999999999" x14ac:dyDescent="0.25">
      <c r="A818" s="16"/>
      <c r="B818" s="17"/>
      <c r="C818" s="2"/>
      <c r="D818" s="2"/>
      <c r="E818" s="2"/>
      <c r="F818" s="2"/>
      <c r="G818" s="2"/>
      <c r="H818" s="2"/>
      <c r="I818" s="5"/>
    </row>
    <row r="819" spans="1:9" ht="17.399999999999999" x14ac:dyDescent="0.25">
      <c r="A819" s="16"/>
      <c r="B819" s="17"/>
      <c r="C819" s="2"/>
      <c r="D819" s="2"/>
      <c r="E819" s="2"/>
      <c r="F819" s="2"/>
      <c r="G819" s="2"/>
      <c r="H819" s="2"/>
      <c r="I819" s="5"/>
    </row>
    <row r="820" spans="1:9" ht="17.399999999999999" x14ac:dyDescent="0.25">
      <c r="A820" s="16"/>
      <c r="B820" s="17"/>
      <c r="C820" s="2"/>
      <c r="D820" s="2"/>
      <c r="E820" s="2"/>
      <c r="F820" s="2"/>
      <c r="G820" s="2"/>
      <c r="H820" s="2"/>
      <c r="I820" s="5"/>
    </row>
    <row r="821" spans="1:9" ht="17.399999999999999" x14ac:dyDescent="0.25">
      <c r="A821" s="16"/>
      <c r="B821" s="17"/>
      <c r="C821" s="2"/>
      <c r="D821" s="2"/>
      <c r="E821" s="2"/>
      <c r="F821" s="2"/>
      <c r="G821" s="2"/>
      <c r="H821" s="2"/>
      <c r="I821" s="5"/>
    </row>
    <row r="822" spans="1:9" ht="17.399999999999999" x14ac:dyDescent="0.25">
      <c r="A822" s="16"/>
      <c r="B822" s="17"/>
      <c r="C822" s="2"/>
      <c r="D822" s="2"/>
      <c r="E822" s="2"/>
      <c r="F822" s="2"/>
      <c r="G822" s="2"/>
      <c r="H822" s="2"/>
      <c r="I822" s="5"/>
    </row>
    <row r="823" spans="1:9" ht="17.399999999999999" x14ac:dyDescent="0.25">
      <c r="A823" s="16"/>
      <c r="B823" s="17"/>
      <c r="C823" s="2"/>
      <c r="D823" s="2"/>
      <c r="E823" s="2"/>
      <c r="F823" s="2"/>
      <c r="G823" s="2"/>
      <c r="H823" s="2"/>
      <c r="I823" s="5"/>
    </row>
    <row r="824" spans="1:9" ht="17.399999999999999" x14ac:dyDescent="0.25">
      <c r="A824" s="16"/>
      <c r="B824" s="17"/>
      <c r="C824" s="2"/>
      <c r="D824" s="2"/>
      <c r="E824" s="2"/>
      <c r="F824" s="2"/>
      <c r="G824" s="2"/>
      <c r="H824" s="2"/>
      <c r="I824" s="5"/>
    </row>
    <row r="825" spans="1:9" ht="17.399999999999999" x14ac:dyDescent="0.25">
      <c r="A825" s="16"/>
      <c r="B825" s="17"/>
      <c r="C825" s="2"/>
      <c r="D825" s="2"/>
      <c r="E825" s="2"/>
      <c r="F825" s="2"/>
      <c r="G825" s="2"/>
      <c r="H825" s="2"/>
      <c r="I825" s="5"/>
    </row>
    <row r="826" spans="1:9" ht="17.399999999999999" x14ac:dyDescent="0.25">
      <c r="A826" s="16"/>
      <c r="B826" s="17"/>
      <c r="C826" s="2"/>
      <c r="D826" s="2"/>
      <c r="E826" s="2"/>
      <c r="F826" s="2"/>
      <c r="G826" s="2"/>
      <c r="H826" s="2"/>
      <c r="I826" s="5"/>
    </row>
    <row r="827" spans="1:9" ht="17.399999999999999" x14ac:dyDescent="0.25">
      <c r="A827" s="16"/>
      <c r="B827" s="17"/>
      <c r="C827" s="2"/>
      <c r="D827" s="2"/>
      <c r="E827" s="2"/>
      <c r="F827" s="2"/>
      <c r="G827" s="2"/>
      <c r="H827" s="2"/>
      <c r="I827" s="5"/>
    </row>
    <row r="828" spans="1:9" ht="17.399999999999999" x14ac:dyDescent="0.25">
      <c r="A828" s="16"/>
      <c r="B828" s="17"/>
      <c r="C828" s="2"/>
      <c r="D828" s="2"/>
      <c r="E828" s="2"/>
      <c r="F828" s="2"/>
      <c r="G828" s="2"/>
      <c r="H828" s="2"/>
      <c r="I828" s="5"/>
    </row>
    <row r="829" spans="1:9" ht="17.399999999999999" x14ac:dyDescent="0.25">
      <c r="A829" s="16"/>
      <c r="B829" s="17"/>
      <c r="C829" s="2"/>
      <c r="D829" s="2"/>
      <c r="E829" s="2"/>
      <c r="F829" s="2"/>
      <c r="G829" s="2"/>
      <c r="H829" s="2"/>
      <c r="I829" s="5"/>
    </row>
    <row r="830" spans="1:9" ht="17.399999999999999" x14ac:dyDescent="0.25">
      <c r="A830" s="16"/>
      <c r="B830" s="17"/>
      <c r="C830" s="2"/>
      <c r="D830" s="2"/>
      <c r="E830" s="2"/>
      <c r="F830" s="2"/>
      <c r="G830" s="2"/>
      <c r="H830" s="2"/>
      <c r="I830" s="5"/>
    </row>
    <row r="831" spans="1:9" ht="17.399999999999999" x14ac:dyDescent="0.25">
      <c r="A831" s="16"/>
      <c r="B831" s="17"/>
      <c r="C831" s="2"/>
      <c r="D831" s="2"/>
      <c r="E831" s="2"/>
      <c r="F831" s="2"/>
      <c r="G831" s="2"/>
      <c r="H831" s="2"/>
      <c r="I831" s="5"/>
    </row>
    <row r="832" spans="1:9" ht="17.399999999999999" x14ac:dyDescent="0.25">
      <c r="A832" s="16"/>
      <c r="B832" s="17"/>
      <c r="C832" s="2"/>
      <c r="D832" s="2"/>
      <c r="E832" s="2"/>
      <c r="F832" s="2"/>
      <c r="G832" s="2"/>
      <c r="H832" s="2"/>
      <c r="I832" s="5"/>
    </row>
    <row r="833" spans="1:9" ht="17.399999999999999" x14ac:dyDescent="0.25">
      <c r="A833" s="16"/>
      <c r="B833" s="17"/>
      <c r="C833" s="2"/>
      <c r="D833" s="2"/>
      <c r="E833" s="2"/>
      <c r="F833" s="2"/>
      <c r="G833" s="2"/>
      <c r="H833" s="2"/>
      <c r="I833" s="5"/>
    </row>
    <row r="834" spans="1:9" ht="17.399999999999999" x14ac:dyDescent="0.25">
      <c r="A834" s="16"/>
      <c r="B834" s="17"/>
      <c r="C834" s="2"/>
      <c r="D834" s="2"/>
      <c r="E834" s="2"/>
      <c r="F834" s="2"/>
      <c r="G834" s="2"/>
      <c r="H834" s="2"/>
      <c r="I834" s="5"/>
    </row>
    <row r="835" spans="1:9" ht="17.399999999999999" x14ac:dyDescent="0.25">
      <c r="A835" s="16"/>
      <c r="B835" s="17"/>
      <c r="C835" s="2"/>
      <c r="D835" s="2"/>
      <c r="E835" s="2"/>
      <c r="F835" s="2"/>
      <c r="G835" s="2"/>
      <c r="H835" s="2"/>
      <c r="I835" s="5"/>
    </row>
    <row r="836" spans="1:9" ht="17.399999999999999" x14ac:dyDescent="0.25">
      <c r="A836" s="16"/>
      <c r="B836" s="17"/>
      <c r="C836" s="2"/>
      <c r="D836" s="2"/>
      <c r="E836" s="2"/>
      <c r="F836" s="2"/>
      <c r="G836" s="2"/>
      <c r="H836" s="2"/>
      <c r="I836" s="5"/>
    </row>
    <row r="837" spans="1:9" ht="17.399999999999999" x14ac:dyDescent="0.25">
      <c r="A837" s="16"/>
      <c r="B837" s="17"/>
      <c r="C837" s="2"/>
      <c r="D837" s="2"/>
      <c r="E837" s="2"/>
      <c r="F837" s="2"/>
      <c r="G837" s="2"/>
      <c r="H837" s="2"/>
      <c r="I837" s="5"/>
    </row>
    <row r="838" spans="1:9" ht="17.399999999999999" x14ac:dyDescent="0.25">
      <c r="A838" s="16"/>
      <c r="B838" s="17"/>
      <c r="C838" s="2"/>
      <c r="D838" s="2"/>
      <c r="E838" s="2"/>
      <c r="F838" s="2"/>
      <c r="G838" s="2"/>
      <c r="H838" s="2"/>
      <c r="I838" s="5"/>
    </row>
    <row r="839" spans="1:9" ht="17.399999999999999" x14ac:dyDescent="0.25">
      <c r="A839" s="16"/>
      <c r="B839" s="17"/>
      <c r="C839" s="2"/>
      <c r="D839" s="2"/>
      <c r="E839" s="2"/>
      <c r="F839" s="2"/>
      <c r="G839" s="2"/>
      <c r="H839" s="2"/>
      <c r="I839" s="5"/>
    </row>
    <row r="840" spans="1:9" ht="17.399999999999999" x14ac:dyDescent="0.25">
      <c r="A840" s="16"/>
      <c r="B840" s="17"/>
      <c r="C840" s="2"/>
      <c r="D840" s="2"/>
      <c r="E840" s="2"/>
      <c r="F840" s="2"/>
      <c r="G840" s="2"/>
      <c r="H840" s="2"/>
      <c r="I840" s="5"/>
    </row>
    <row r="841" spans="1:9" ht="17.399999999999999" x14ac:dyDescent="0.25">
      <c r="A841" s="16"/>
      <c r="B841" s="17"/>
      <c r="C841" s="2"/>
      <c r="D841" s="2"/>
      <c r="E841" s="2"/>
      <c r="F841" s="2"/>
      <c r="G841" s="2"/>
      <c r="H841" s="2"/>
      <c r="I841" s="5"/>
    </row>
    <row r="842" spans="1:9" ht="17.399999999999999" x14ac:dyDescent="0.25">
      <c r="A842" s="16"/>
      <c r="B842" s="17"/>
      <c r="C842" s="2"/>
      <c r="D842" s="2"/>
      <c r="E842" s="2"/>
      <c r="F842" s="2"/>
      <c r="G842" s="2"/>
      <c r="H842" s="2"/>
      <c r="I842" s="5"/>
    </row>
    <row r="843" spans="1:9" ht="17.399999999999999" x14ac:dyDescent="0.25">
      <c r="A843" s="16"/>
      <c r="B843" s="17"/>
      <c r="C843" s="2"/>
      <c r="D843" s="2"/>
      <c r="E843" s="2"/>
      <c r="F843" s="2"/>
      <c r="G843" s="2"/>
      <c r="H843" s="2"/>
      <c r="I843" s="5"/>
    </row>
    <row r="844" spans="1:9" ht="17.399999999999999" x14ac:dyDescent="0.25">
      <c r="A844" s="16"/>
      <c r="B844" s="17"/>
      <c r="C844" s="2"/>
      <c r="D844" s="2"/>
      <c r="E844" s="2"/>
      <c r="F844" s="2"/>
      <c r="G844" s="2"/>
      <c r="H844" s="2"/>
      <c r="I844" s="5"/>
    </row>
    <row r="845" spans="1:9" ht="17.399999999999999" x14ac:dyDescent="0.25">
      <c r="A845" s="16"/>
      <c r="B845" s="17"/>
      <c r="C845" s="2"/>
      <c r="D845" s="2"/>
      <c r="E845" s="2"/>
      <c r="F845" s="2"/>
      <c r="G845" s="2"/>
      <c r="H845" s="2"/>
      <c r="I845" s="5"/>
    </row>
    <row r="846" spans="1:9" ht="17.399999999999999" x14ac:dyDescent="0.25">
      <c r="A846" s="16"/>
      <c r="B846" s="17"/>
      <c r="C846" s="2"/>
      <c r="D846" s="2"/>
      <c r="E846" s="2"/>
      <c r="F846" s="2"/>
      <c r="G846" s="2"/>
      <c r="H846" s="2"/>
      <c r="I846" s="5"/>
    </row>
    <row r="847" spans="1:9" ht="17.399999999999999" x14ac:dyDescent="0.25">
      <c r="A847" s="16"/>
      <c r="B847" s="17"/>
      <c r="C847" s="2"/>
      <c r="D847" s="2"/>
      <c r="E847" s="2"/>
      <c r="F847" s="2"/>
      <c r="G847" s="2"/>
      <c r="H847" s="2"/>
      <c r="I847" s="5"/>
    </row>
    <row r="848" spans="1:9" ht="17.399999999999999" x14ac:dyDescent="0.25">
      <c r="A848" s="16"/>
      <c r="B848" s="17"/>
      <c r="C848" s="2"/>
      <c r="D848" s="2"/>
      <c r="E848" s="2"/>
      <c r="F848" s="2"/>
      <c r="G848" s="2"/>
      <c r="H848" s="2"/>
      <c r="I848" s="5"/>
    </row>
    <row r="849" spans="1:9" ht="17.399999999999999" x14ac:dyDescent="0.25">
      <c r="A849" s="16"/>
      <c r="B849" s="17"/>
      <c r="C849" s="2"/>
      <c r="D849" s="2"/>
      <c r="E849" s="2"/>
      <c r="F849" s="2"/>
      <c r="G849" s="2"/>
      <c r="H849" s="2"/>
      <c r="I849" s="5"/>
    </row>
    <row r="850" spans="1:9" ht="17.399999999999999" x14ac:dyDescent="0.25">
      <c r="A850" s="16"/>
      <c r="B850" s="17"/>
      <c r="C850" s="2"/>
      <c r="D850" s="2"/>
      <c r="E850" s="2"/>
      <c r="F850" s="2"/>
      <c r="G850" s="2"/>
      <c r="H850" s="2"/>
      <c r="I850" s="5"/>
    </row>
    <row r="851" spans="1:9" ht="17.399999999999999" x14ac:dyDescent="0.25">
      <c r="A851" s="16"/>
      <c r="B851" s="17"/>
      <c r="C851" s="2"/>
      <c r="D851" s="2"/>
      <c r="E851" s="2"/>
      <c r="F851" s="2"/>
      <c r="G851" s="2"/>
      <c r="H851" s="2"/>
      <c r="I851" s="5"/>
    </row>
    <row r="852" spans="1:9" ht="17.399999999999999" x14ac:dyDescent="0.25">
      <c r="A852" s="16"/>
      <c r="B852" s="17"/>
      <c r="C852" s="2"/>
      <c r="D852" s="2"/>
      <c r="E852" s="2"/>
      <c r="F852" s="2"/>
      <c r="G852" s="2"/>
      <c r="H852" s="2"/>
      <c r="I852" s="5"/>
    </row>
    <row r="853" spans="1:9" ht="17.399999999999999" x14ac:dyDescent="0.25">
      <c r="A853" s="16"/>
      <c r="B853" s="17"/>
      <c r="C853" s="2"/>
      <c r="D853" s="2"/>
      <c r="E853" s="2"/>
      <c r="F853" s="2"/>
      <c r="G853" s="2"/>
      <c r="H853" s="2"/>
      <c r="I853" s="5"/>
    </row>
    <row r="854" spans="1:9" ht="17.399999999999999" x14ac:dyDescent="0.25">
      <c r="A854" s="16"/>
      <c r="B854" s="17"/>
      <c r="C854" s="2"/>
      <c r="D854" s="2"/>
      <c r="E854" s="2"/>
      <c r="F854" s="2"/>
      <c r="G854" s="2"/>
      <c r="H854" s="2"/>
      <c r="I854" s="5"/>
    </row>
    <row r="855" spans="1:9" ht="17.399999999999999" x14ac:dyDescent="0.25">
      <c r="A855" s="16"/>
      <c r="B855" s="17"/>
      <c r="C855" s="2"/>
      <c r="D855" s="2"/>
      <c r="E855" s="2"/>
      <c r="F855" s="2"/>
      <c r="G855" s="2"/>
      <c r="H855" s="2"/>
      <c r="I855" s="5"/>
    </row>
    <row r="856" spans="1:9" ht="17.399999999999999" x14ac:dyDescent="0.25">
      <c r="A856" s="16"/>
      <c r="B856" s="17"/>
      <c r="C856" s="2"/>
      <c r="D856" s="2"/>
      <c r="E856" s="2"/>
      <c r="F856" s="2"/>
      <c r="G856" s="2"/>
      <c r="H856" s="2"/>
      <c r="I856" s="5"/>
    </row>
    <row r="857" spans="1:9" ht="17.399999999999999" x14ac:dyDescent="0.25">
      <c r="A857" s="16"/>
      <c r="B857" s="17"/>
      <c r="C857" s="2"/>
      <c r="D857" s="2"/>
      <c r="E857" s="2"/>
      <c r="F857" s="2"/>
      <c r="G857" s="2"/>
      <c r="H857" s="2"/>
      <c r="I857" s="5"/>
    </row>
    <row r="858" spans="1:9" ht="17.399999999999999" x14ac:dyDescent="0.25">
      <c r="A858" s="16"/>
      <c r="B858" s="17"/>
      <c r="C858" s="2"/>
      <c r="D858" s="2"/>
      <c r="E858" s="2"/>
      <c r="F858" s="2"/>
      <c r="G858" s="2"/>
      <c r="H858" s="2"/>
      <c r="I858" s="5"/>
    </row>
    <row r="859" spans="1:9" ht="17.399999999999999" x14ac:dyDescent="0.25">
      <c r="A859" s="16"/>
      <c r="B859" s="17"/>
      <c r="C859" s="2"/>
      <c r="D859" s="2"/>
      <c r="E859" s="2"/>
      <c r="F859" s="2"/>
      <c r="G859" s="2"/>
      <c r="H859" s="2"/>
      <c r="I859" s="5"/>
    </row>
    <row r="860" spans="1:9" ht="17.399999999999999" x14ac:dyDescent="0.25">
      <c r="A860" s="16"/>
      <c r="B860" s="17"/>
      <c r="C860" s="2"/>
      <c r="D860" s="2"/>
      <c r="E860" s="2"/>
      <c r="F860" s="2"/>
      <c r="G860" s="2"/>
      <c r="H860" s="2"/>
      <c r="I860" s="5"/>
    </row>
    <row r="861" spans="1:9" ht="17.399999999999999" x14ac:dyDescent="0.25">
      <c r="A861" s="16"/>
      <c r="B861" s="17"/>
      <c r="C861" s="2"/>
      <c r="D861" s="2"/>
      <c r="E861" s="2"/>
      <c r="F861" s="2"/>
      <c r="G861" s="2"/>
      <c r="H861" s="2"/>
      <c r="I861" s="5"/>
    </row>
    <row r="862" spans="1:9" ht="17.399999999999999" x14ac:dyDescent="0.25">
      <c r="A862" s="16"/>
      <c r="B862" s="17"/>
      <c r="C862" s="2"/>
      <c r="D862" s="2"/>
      <c r="E862" s="2"/>
      <c r="F862" s="2"/>
      <c r="G862" s="2"/>
      <c r="H862" s="2"/>
      <c r="I862" s="5"/>
    </row>
    <row r="863" spans="1:9" ht="17.399999999999999" x14ac:dyDescent="0.25">
      <c r="A863" s="16"/>
      <c r="B863" s="17"/>
      <c r="C863" s="2"/>
      <c r="D863" s="2"/>
      <c r="E863" s="2"/>
      <c r="F863" s="2"/>
      <c r="G863" s="2"/>
      <c r="H863" s="2"/>
      <c r="I863" s="5"/>
    </row>
    <row r="864" spans="1:9" ht="17.399999999999999" x14ac:dyDescent="0.25">
      <c r="A864" s="16"/>
      <c r="B864" s="17"/>
      <c r="C864" s="2"/>
      <c r="D864" s="2"/>
      <c r="E864" s="2"/>
      <c r="F864" s="2"/>
      <c r="G864" s="2"/>
      <c r="H864" s="2"/>
      <c r="I864" s="5"/>
    </row>
    <row r="865" spans="1:9" ht="17.399999999999999" x14ac:dyDescent="0.25">
      <c r="A865" s="16"/>
      <c r="B865" s="17"/>
      <c r="C865" s="2"/>
      <c r="D865" s="2"/>
      <c r="E865" s="2"/>
      <c r="F865" s="2"/>
      <c r="G865" s="2"/>
      <c r="H865" s="2"/>
      <c r="I865" s="5"/>
    </row>
    <row r="866" spans="1:9" ht="17.399999999999999" x14ac:dyDescent="0.25">
      <c r="A866" s="16"/>
      <c r="B866" s="17"/>
      <c r="C866" s="2"/>
      <c r="D866" s="2"/>
      <c r="E866" s="2"/>
      <c r="F866" s="2"/>
      <c r="G866" s="2"/>
      <c r="H866" s="2"/>
      <c r="I866" s="5"/>
    </row>
    <row r="867" spans="1:9" ht="17.399999999999999" x14ac:dyDescent="0.25">
      <c r="A867" s="16"/>
      <c r="B867" s="17"/>
      <c r="C867" s="2"/>
      <c r="D867" s="2"/>
      <c r="E867" s="2"/>
      <c r="F867" s="2"/>
      <c r="G867" s="2"/>
      <c r="H867" s="2"/>
      <c r="I867" s="5"/>
    </row>
    <row r="868" spans="1:9" ht="17.399999999999999" x14ac:dyDescent="0.25">
      <c r="A868" s="16"/>
      <c r="B868" s="17"/>
      <c r="C868" s="2"/>
      <c r="D868" s="2"/>
      <c r="E868" s="2"/>
      <c r="F868" s="2"/>
      <c r="G868" s="2"/>
      <c r="H868" s="2"/>
      <c r="I868" s="5"/>
    </row>
    <row r="869" spans="1:9" ht="17.399999999999999" x14ac:dyDescent="0.25">
      <c r="A869" s="16"/>
      <c r="B869" s="17"/>
      <c r="C869" s="2"/>
      <c r="D869" s="2"/>
      <c r="E869" s="2"/>
      <c r="F869" s="2"/>
      <c r="G869" s="2"/>
      <c r="H869" s="2"/>
      <c r="I869" s="5"/>
    </row>
    <row r="870" spans="1:9" ht="17.399999999999999" x14ac:dyDescent="0.25">
      <c r="A870" s="16"/>
      <c r="B870" s="17"/>
      <c r="C870" s="2"/>
      <c r="D870" s="2"/>
      <c r="E870" s="2"/>
      <c r="F870" s="2"/>
      <c r="G870" s="2"/>
      <c r="H870" s="2"/>
      <c r="I870" s="5"/>
    </row>
    <row r="871" spans="1:9" ht="17.399999999999999" x14ac:dyDescent="0.25">
      <c r="A871" s="16"/>
      <c r="B871" s="17"/>
      <c r="C871" s="2"/>
      <c r="D871" s="2"/>
      <c r="E871" s="2"/>
      <c r="F871" s="2"/>
      <c r="G871" s="2"/>
      <c r="H871" s="2"/>
      <c r="I871" s="5"/>
    </row>
    <row r="872" spans="1:9" ht="17.399999999999999" x14ac:dyDescent="0.25">
      <c r="A872" s="16"/>
      <c r="B872" s="17"/>
      <c r="C872" s="2"/>
      <c r="D872" s="2"/>
      <c r="E872" s="2"/>
      <c r="F872" s="2"/>
      <c r="G872" s="2"/>
      <c r="H872" s="2"/>
      <c r="I872" s="5"/>
    </row>
    <row r="873" spans="1:9" ht="17.399999999999999" x14ac:dyDescent="0.25">
      <c r="A873" s="16"/>
      <c r="B873" s="17"/>
      <c r="C873" s="2"/>
      <c r="D873" s="2"/>
      <c r="E873" s="2"/>
      <c r="F873" s="2"/>
      <c r="G873" s="2"/>
      <c r="H873" s="2"/>
      <c r="I873" s="5"/>
    </row>
    <row r="874" spans="1:9" ht="17.399999999999999" x14ac:dyDescent="0.25">
      <c r="A874" s="16"/>
      <c r="B874" s="17"/>
      <c r="C874" s="2"/>
      <c r="D874" s="2"/>
      <c r="E874" s="2"/>
      <c r="F874" s="2"/>
      <c r="G874" s="2"/>
      <c r="H874" s="2"/>
      <c r="I874" s="5"/>
    </row>
    <row r="875" spans="1:9" ht="17.399999999999999" x14ac:dyDescent="0.25">
      <c r="A875" s="16"/>
      <c r="B875" s="17"/>
      <c r="C875" s="2"/>
      <c r="D875" s="2"/>
      <c r="E875" s="2"/>
      <c r="F875" s="2"/>
      <c r="G875" s="2"/>
      <c r="H875" s="2"/>
      <c r="I875" s="5"/>
    </row>
    <row r="876" spans="1:9" ht="17.399999999999999" x14ac:dyDescent="0.25">
      <c r="A876" s="16"/>
      <c r="B876" s="17"/>
      <c r="C876" s="2"/>
      <c r="D876" s="2"/>
      <c r="E876" s="2"/>
      <c r="F876" s="2"/>
      <c r="G876" s="2"/>
      <c r="H876" s="2"/>
      <c r="I876" s="5"/>
    </row>
    <row r="877" spans="1:9" ht="17.399999999999999" x14ac:dyDescent="0.25">
      <c r="A877" s="16"/>
      <c r="B877" s="17"/>
      <c r="C877" s="2"/>
      <c r="D877" s="2"/>
      <c r="E877" s="2"/>
      <c r="F877" s="2"/>
      <c r="G877" s="2"/>
      <c r="H877" s="2"/>
      <c r="I877" s="5"/>
    </row>
    <row r="878" spans="1:9" ht="17.399999999999999" x14ac:dyDescent="0.25">
      <c r="A878" s="16"/>
      <c r="B878" s="17"/>
      <c r="C878" s="2"/>
      <c r="D878" s="2"/>
      <c r="E878" s="2"/>
      <c r="F878" s="2"/>
      <c r="G878" s="2"/>
      <c r="H878" s="2"/>
      <c r="I878" s="5"/>
    </row>
    <row r="879" spans="1:9" ht="17.399999999999999" x14ac:dyDescent="0.25">
      <c r="A879" s="16"/>
      <c r="B879" s="17"/>
      <c r="C879" s="2"/>
      <c r="D879" s="2"/>
      <c r="E879" s="2"/>
      <c r="F879" s="2"/>
      <c r="G879" s="2"/>
      <c r="H879" s="2"/>
      <c r="I879" s="5"/>
    </row>
    <row r="880" spans="1:9" ht="17.399999999999999" x14ac:dyDescent="0.25">
      <c r="A880" s="16"/>
      <c r="B880" s="17"/>
      <c r="C880" s="2"/>
      <c r="D880" s="2"/>
      <c r="E880" s="2"/>
      <c r="F880" s="2"/>
      <c r="G880" s="2"/>
      <c r="H880" s="2"/>
      <c r="I880" s="5"/>
    </row>
    <row r="881" spans="1:9" ht="17.399999999999999" x14ac:dyDescent="0.25">
      <c r="A881" s="16"/>
      <c r="B881" s="17"/>
      <c r="C881" s="2"/>
      <c r="D881" s="2"/>
      <c r="E881" s="2"/>
      <c r="F881" s="2"/>
      <c r="G881" s="2"/>
      <c r="H881" s="2"/>
      <c r="I881" s="5"/>
    </row>
    <row r="882" spans="1:9" ht="17.399999999999999" x14ac:dyDescent="0.25">
      <c r="A882" s="16"/>
      <c r="B882" s="17"/>
      <c r="C882" s="2"/>
      <c r="D882" s="2"/>
      <c r="E882" s="2"/>
      <c r="F882" s="2"/>
      <c r="G882" s="2"/>
      <c r="H882" s="2"/>
      <c r="I882" s="5"/>
    </row>
    <row r="883" spans="1:9" ht="17.399999999999999" x14ac:dyDescent="0.25">
      <c r="A883" s="16"/>
      <c r="B883" s="17"/>
      <c r="C883" s="2"/>
      <c r="D883" s="2"/>
      <c r="E883" s="2"/>
      <c r="F883" s="2"/>
      <c r="G883" s="2"/>
      <c r="H883" s="2"/>
      <c r="I883" s="5"/>
    </row>
    <row r="884" spans="1:9" ht="17.399999999999999" x14ac:dyDescent="0.25">
      <c r="A884" s="16"/>
      <c r="B884" s="17"/>
      <c r="C884" s="2"/>
      <c r="D884" s="2"/>
      <c r="E884" s="2"/>
      <c r="F884" s="2"/>
      <c r="G884" s="2"/>
      <c r="H884" s="2"/>
      <c r="I884" s="5"/>
    </row>
    <row r="885" spans="1:9" ht="17.399999999999999" x14ac:dyDescent="0.25">
      <c r="A885" s="16"/>
      <c r="B885" s="17"/>
      <c r="C885" s="2"/>
      <c r="D885" s="2"/>
      <c r="E885" s="2"/>
      <c r="F885" s="2"/>
      <c r="G885" s="2"/>
      <c r="H885" s="2"/>
      <c r="I885" s="5"/>
    </row>
    <row r="886" spans="1:9" ht="17.399999999999999" x14ac:dyDescent="0.25">
      <c r="A886" s="16"/>
      <c r="B886" s="17"/>
      <c r="C886" s="2"/>
      <c r="D886" s="2"/>
      <c r="E886" s="2"/>
      <c r="F886" s="2"/>
      <c r="G886" s="2"/>
      <c r="H886" s="2"/>
      <c r="I886" s="5"/>
    </row>
    <row r="887" spans="1:9" ht="17.399999999999999" x14ac:dyDescent="0.25">
      <c r="A887" s="16"/>
      <c r="B887" s="17"/>
      <c r="C887" s="2"/>
      <c r="D887" s="2"/>
      <c r="E887" s="2"/>
      <c r="F887" s="2"/>
      <c r="G887" s="2"/>
      <c r="H887" s="2"/>
      <c r="I887" s="5"/>
    </row>
    <row r="888" spans="1:9" ht="17.399999999999999" x14ac:dyDescent="0.25">
      <c r="A888" s="16"/>
      <c r="B888" s="17"/>
      <c r="C888" s="2"/>
      <c r="D888" s="2"/>
      <c r="E888" s="2"/>
      <c r="F888" s="2"/>
      <c r="G888" s="2"/>
      <c r="H888" s="2"/>
      <c r="I888" s="5"/>
    </row>
    <row r="889" spans="1:9" ht="17.399999999999999" x14ac:dyDescent="0.25">
      <c r="A889" s="16"/>
      <c r="B889" s="17"/>
      <c r="C889" s="2"/>
      <c r="D889" s="2"/>
      <c r="E889" s="2"/>
      <c r="F889" s="2"/>
      <c r="G889" s="2"/>
      <c r="H889" s="2"/>
      <c r="I889" s="5"/>
    </row>
    <row r="890" spans="1:9" ht="17.399999999999999" x14ac:dyDescent="0.25">
      <c r="A890" s="16"/>
      <c r="B890" s="17"/>
      <c r="C890" s="2"/>
      <c r="D890" s="2"/>
      <c r="E890" s="2"/>
      <c r="F890" s="2"/>
      <c r="G890" s="2"/>
      <c r="H890" s="2"/>
      <c r="I890" s="5"/>
    </row>
    <row r="891" spans="1:9" ht="17.399999999999999" x14ac:dyDescent="0.25">
      <c r="A891" s="16"/>
      <c r="B891" s="17"/>
      <c r="C891" s="2"/>
      <c r="D891" s="2"/>
      <c r="E891" s="2"/>
      <c r="F891" s="2"/>
      <c r="G891" s="2"/>
      <c r="H891" s="2"/>
      <c r="I891" s="5"/>
    </row>
    <row r="892" spans="1:9" ht="17.399999999999999" x14ac:dyDescent="0.25">
      <c r="A892" s="16"/>
      <c r="B892" s="17"/>
      <c r="C892" s="2"/>
      <c r="D892" s="2"/>
      <c r="E892" s="2"/>
      <c r="F892" s="2"/>
      <c r="G892" s="2"/>
      <c r="H892" s="2"/>
      <c r="I892" s="5"/>
    </row>
    <row r="893" spans="1:9" ht="17.399999999999999" x14ac:dyDescent="0.25">
      <c r="A893" s="16"/>
      <c r="B893" s="17"/>
      <c r="C893" s="2"/>
      <c r="D893" s="2"/>
      <c r="E893" s="2"/>
      <c r="F893" s="2"/>
      <c r="G893" s="2"/>
      <c r="H893" s="2"/>
      <c r="I893" s="5"/>
    </row>
    <row r="894" spans="1:9" ht="17.399999999999999" x14ac:dyDescent="0.25">
      <c r="A894" s="16"/>
      <c r="B894" s="17"/>
      <c r="C894" s="2"/>
      <c r="D894" s="2"/>
      <c r="E894" s="2"/>
      <c r="F894" s="2"/>
      <c r="G894" s="2"/>
      <c r="H894" s="2"/>
      <c r="I894" s="5"/>
    </row>
    <row r="895" spans="1:9" ht="17.399999999999999" x14ac:dyDescent="0.25">
      <c r="A895" s="16"/>
      <c r="B895" s="17"/>
      <c r="C895" s="2"/>
      <c r="D895" s="2"/>
      <c r="E895" s="2"/>
      <c r="F895" s="2"/>
      <c r="G895" s="2"/>
      <c r="H895" s="2"/>
      <c r="I895" s="5"/>
    </row>
    <row r="896" spans="1:9" ht="17.399999999999999" x14ac:dyDescent="0.25">
      <c r="A896" s="16"/>
      <c r="B896" s="17"/>
      <c r="C896" s="2"/>
      <c r="D896" s="2"/>
      <c r="E896" s="2"/>
      <c r="F896" s="2"/>
      <c r="G896" s="2"/>
      <c r="H896" s="2"/>
      <c r="I896" s="5"/>
    </row>
    <row r="897" spans="1:9" ht="17.399999999999999" x14ac:dyDescent="0.25">
      <c r="A897" s="16"/>
      <c r="B897" s="17"/>
      <c r="C897" s="2"/>
      <c r="D897" s="2"/>
      <c r="E897" s="2"/>
      <c r="F897" s="2"/>
      <c r="G897" s="2"/>
      <c r="H897" s="2"/>
      <c r="I897" s="5"/>
    </row>
    <row r="898" spans="1:9" ht="17.399999999999999" x14ac:dyDescent="0.25">
      <c r="A898" s="16"/>
      <c r="B898" s="17"/>
      <c r="C898" s="2"/>
      <c r="D898" s="2"/>
      <c r="E898" s="2"/>
      <c r="F898" s="2"/>
      <c r="G898" s="2"/>
      <c r="H898" s="2"/>
      <c r="I898" s="5"/>
    </row>
    <row r="899" spans="1:9" ht="17.399999999999999" x14ac:dyDescent="0.25">
      <c r="A899" s="16"/>
      <c r="B899" s="17"/>
      <c r="C899" s="2"/>
      <c r="D899" s="2"/>
      <c r="E899" s="2"/>
      <c r="F899" s="2"/>
      <c r="G899" s="2"/>
      <c r="H899" s="2"/>
      <c r="I899" s="5"/>
    </row>
    <row r="900" spans="1:9" ht="17.399999999999999" x14ac:dyDescent="0.25">
      <c r="A900" s="16"/>
      <c r="B900" s="17"/>
      <c r="C900" s="2"/>
      <c r="D900" s="2"/>
      <c r="E900" s="2"/>
      <c r="F900" s="2"/>
      <c r="G900" s="2"/>
      <c r="H900" s="2"/>
      <c r="I900" s="5"/>
    </row>
    <row r="901" spans="1:9" ht="17.399999999999999" x14ac:dyDescent="0.25">
      <c r="A901" s="16"/>
      <c r="B901" s="17"/>
      <c r="C901" s="2"/>
      <c r="D901" s="2"/>
      <c r="E901" s="2"/>
      <c r="F901" s="2"/>
      <c r="G901" s="2"/>
      <c r="H901" s="2"/>
      <c r="I901" s="5"/>
    </row>
    <row r="902" spans="1:9" ht="17.399999999999999" x14ac:dyDescent="0.25">
      <c r="A902" s="16"/>
      <c r="B902" s="17"/>
      <c r="C902" s="2"/>
      <c r="D902" s="2"/>
      <c r="E902" s="2"/>
      <c r="F902" s="2"/>
      <c r="G902" s="2"/>
      <c r="H902" s="2"/>
      <c r="I902" s="5"/>
    </row>
    <row r="903" spans="1:9" ht="17.399999999999999" x14ac:dyDescent="0.25">
      <c r="A903" s="16"/>
      <c r="B903" s="17"/>
      <c r="C903" s="2"/>
      <c r="D903" s="2"/>
      <c r="E903" s="2"/>
      <c r="F903" s="2"/>
      <c r="G903" s="2"/>
      <c r="H903" s="2"/>
      <c r="I903" s="5"/>
    </row>
    <row r="904" spans="1:9" ht="17.399999999999999" x14ac:dyDescent="0.25">
      <c r="A904" s="16"/>
      <c r="B904" s="17"/>
      <c r="C904" s="2"/>
      <c r="D904" s="2"/>
      <c r="E904" s="2"/>
      <c r="F904" s="2"/>
      <c r="G904" s="2"/>
      <c r="H904" s="2"/>
      <c r="I904" s="5"/>
    </row>
    <row r="905" spans="1:9" ht="17.399999999999999" x14ac:dyDescent="0.25">
      <c r="A905" s="16"/>
      <c r="B905" s="17"/>
      <c r="C905" s="2"/>
      <c r="D905" s="2"/>
      <c r="E905" s="2"/>
      <c r="F905" s="2"/>
      <c r="G905" s="2"/>
      <c r="H905" s="2"/>
      <c r="I905" s="5"/>
    </row>
    <row r="906" spans="1:9" ht="17.399999999999999" x14ac:dyDescent="0.25">
      <c r="A906" s="16"/>
      <c r="B906" s="17"/>
      <c r="C906" s="2"/>
      <c r="D906" s="2"/>
      <c r="E906" s="2"/>
      <c r="F906" s="2"/>
      <c r="G906" s="2"/>
      <c r="H906" s="2"/>
      <c r="I906" s="5"/>
    </row>
    <row r="907" spans="1:9" ht="17.399999999999999" x14ac:dyDescent="0.25">
      <c r="A907" s="16"/>
      <c r="B907" s="17"/>
      <c r="C907" s="2"/>
      <c r="D907" s="2"/>
      <c r="E907" s="2"/>
      <c r="F907" s="2"/>
      <c r="G907" s="2"/>
      <c r="H907" s="2"/>
      <c r="I907" s="5"/>
    </row>
    <row r="908" spans="1:9" ht="17.399999999999999" x14ac:dyDescent="0.25">
      <c r="A908" s="16"/>
      <c r="B908" s="17"/>
      <c r="C908" s="2"/>
      <c r="D908" s="2"/>
      <c r="E908" s="2"/>
      <c r="F908" s="2"/>
      <c r="G908" s="2"/>
      <c r="H908" s="2"/>
      <c r="I908" s="5"/>
    </row>
    <row r="909" spans="1:9" ht="17.399999999999999" x14ac:dyDescent="0.25">
      <c r="A909" s="16"/>
      <c r="B909" s="17"/>
      <c r="C909" s="2"/>
      <c r="D909" s="2"/>
      <c r="E909" s="2"/>
      <c r="F909" s="2"/>
      <c r="G909" s="2"/>
      <c r="H909" s="2"/>
      <c r="I909" s="5"/>
    </row>
    <row r="910" spans="1:9" ht="17.399999999999999" x14ac:dyDescent="0.25">
      <c r="A910" s="16"/>
      <c r="B910" s="17"/>
      <c r="C910" s="2"/>
      <c r="D910" s="2"/>
      <c r="E910" s="2"/>
      <c r="F910" s="2"/>
      <c r="G910" s="2"/>
      <c r="H910" s="2"/>
      <c r="I910" s="5"/>
    </row>
    <row r="911" spans="1:9" ht="17.399999999999999" x14ac:dyDescent="0.25">
      <c r="A911" s="16"/>
      <c r="B911" s="17"/>
      <c r="C911" s="2"/>
      <c r="D911" s="2"/>
      <c r="E911" s="2"/>
      <c r="F911" s="2"/>
      <c r="G911" s="2"/>
      <c r="H911" s="2"/>
      <c r="I911" s="5"/>
    </row>
    <row r="912" spans="1:9" ht="17.399999999999999" x14ac:dyDescent="0.25">
      <c r="A912" s="16"/>
      <c r="B912" s="17"/>
      <c r="C912" s="2"/>
      <c r="D912" s="2"/>
      <c r="E912" s="2"/>
      <c r="F912" s="2"/>
      <c r="G912" s="2"/>
      <c r="H912" s="2"/>
      <c r="I912" s="5"/>
    </row>
    <row r="913" spans="1:9" ht="17.399999999999999" x14ac:dyDescent="0.25">
      <c r="A913" s="16"/>
      <c r="B913" s="17"/>
      <c r="C913" s="2"/>
      <c r="D913" s="2"/>
      <c r="E913" s="2"/>
      <c r="F913" s="2"/>
      <c r="G913" s="2"/>
      <c r="H913" s="2"/>
      <c r="I913" s="5"/>
    </row>
    <row r="914" spans="1:9" ht="17.399999999999999" x14ac:dyDescent="0.25">
      <c r="A914" s="16"/>
      <c r="B914" s="17"/>
      <c r="C914" s="2"/>
      <c r="D914" s="2"/>
      <c r="E914" s="2"/>
      <c r="F914" s="2"/>
      <c r="G914" s="2"/>
      <c r="H914" s="2"/>
      <c r="I914" s="5"/>
    </row>
    <row r="915" spans="1:9" ht="17.399999999999999" x14ac:dyDescent="0.25">
      <c r="A915" s="16"/>
      <c r="B915" s="17"/>
      <c r="C915" s="2"/>
      <c r="D915" s="2"/>
      <c r="E915" s="2"/>
      <c r="F915" s="2"/>
      <c r="G915" s="2"/>
      <c r="H915" s="2"/>
      <c r="I915" s="5"/>
    </row>
    <row r="916" spans="1:9" ht="17.399999999999999" x14ac:dyDescent="0.25">
      <c r="A916" s="16"/>
      <c r="B916" s="17"/>
      <c r="C916" s="2"/>
      <c r="D916" s="2"/>
      <c r="E916" s="2"/>
      <c r="F916" s="2"/>
      <c r="G916" s="2"/>
      <c r="H916" s="2"/>
      <c r="I916" s="5"/>
    </row>
    <row r="917" spans="1:9" ht="17.399999999999999" x14ac:dyDescent="0.25">
      <c r="A917" s="16"/>
      <c r="B917" s="17"/>
      <c r="C917" s="2"/>
      <c r="D917" s="2"/>
      <c r="E917" s="2"/>
      <c r="F917" s="2"/>
      <c r="G917" s="2"/>
      <c r="H917" s="2"/>
      <c r="I917" s="5"/>
    </row>
    <row r="918" spans="1:9" ht="17.399999999999999" x14ac:dyDescent="0.25">
      <c r="A918" s="16"/>
      <c r="B918" s="17"/>
      <c r="C918" s="2"/>
      <c r="D918" s="2"/>
      <c r="E918" s="2"/>
      <c r="F918" s="2"/>
      <c r="G918" s="2"/>
      <c r="H918" s="2"/>
      <c r="I918" s="5"/>
    </row>
    <row r="919" spans="1:9" ht="17.399999999999999" x14ac:dyDescent="0.25">
      <c r="A919" s="16"/>
      <c r="B919" s="17"/>
      <c r="C919" s="2"/>
      <c r="D919" s="2"/>
      <c r="E919" s="2"/>
      <c r="F919" s="2"/>
      <c r="G919" s="2"/>
      <c r="H919" s="2"/>
      <c r="I919" s="5"/>
    </row>
    <row r="920" spans="1:9" ht="17.399999999999999" x14ac:dyDescent="0.25">
      <c r="A920" s="16"/>
      <c r="B920" s="17"/>
      <c r="C920" s="2"/>
      <c r="D920" s="2"/>
      <c r="E920" s="2"/>
      <c r="F920" s="2"/>
      <c r="G920" s="2"/>
      <c r="H920" s="2"/>
      <c r="I920" s="5"/>
    </row>
    <row r="921" spans="1:9" ht="17.399999999999999" x14ac:dyDescent="0.25">
      <c r="A921" s="16"/>
      <c r="B921" s="17"/>
      <c r="C921" s="2"/>
      <c r="D921" s="2"/>
      <c r="E921" s="2"/>
      <c r="F921" s="2"/>
      <c r="G921" s="2"/>
      <c r="H921" s="2"/>
      <c r="I921" s="5"/>
    </row>
    <row r="922" spans="1:9" ht="17.399999999999999" x14ac:dyDescent="0.25">
      <c r="A922" s="16"/>
      <c r="B922" s="17"/>
      <c r="C922" s="2"/>
      <c r="D922" s="2"/>
      <c r="E922" s="2"/>
      <c r="F922" s="2"/>
      <c r="G922" s="2"/>
      <c r="H922" s="2"/>
      <c r="I922" s="5"/>
    </row>
    <row r="923" spans="1:9" ht="17.399999999999999" x14ac:dyDescent="0.25">
      <c r="A923" s="16"/>
      <c r="B923" s="17"/>
      <c r="C923" s="2"/>
      <c r="D923" s="2"/>
      <c r="E923" s="2"/>
      <c r="F923" s="2"/>
      <c r="G923" s="2"/>
      <c r="H923" s="2"/>
      <c r="I923" s="5"/>
    </row>
    <row r="924" spans="1:9" ht="17.399999999999999" x14ac:dyDescent="0.25">
      <c r="A924" s="16"/>
      <c r="B924" s="17"/>
      <c r="C924" s="2"/>
      <c r="D924" s="2"/>
      <c r="E924" s="2"/>
      <c r="F924" s="2"/>
      <c r="G924" s="2"/>
      <c r="H924" s="2"/>
      <c r="I924" s="5"/>
    </row>
    <row r="925" spans="1:9" ht="17.399999999999999" x14ac:dyDescent="0.25">
      <c r="A925" s="16"/>
      <c r="B925" s="17"/>
      <c r="C925" s="2"/>
      <c r="D925" s="2"/>
      <c r="E925" s="2"/>
      <c r="F925" s="2"/>
      <c r="G925" s="2"/>
      <c r="H925" s="2"/>
      <c r="I925" s="5"/>
    </row>
    <row r="926" spans="1:9" ht="17.399999999999999" x14ac:dyDescent="0.25">
      <c r="A926" s="16"/>
      <c r="B926" s="17"/>
      <c r="C926" s="2"/>
      <c r="D926" s="2"/>
      <c r="E926" s="2"/>
      <c r="F926" s="2"/>
      <c r="G926" s="2"/>
      <c r="H926" s="2"/>
      <c r="I926" s="5"/>
    </row>
    <row r="927" spans="1:9" ht="17.399999999999999" x14ac:dyDescent="0.25">
      <c r="A927" s="16"/>
      <c r="B927" s="17"/>
      <c r="C927" s="2"/>
      <c r="D927" s="2"/>
      <c r="E927" s="2"/>
      <c r="F927" s="2"/>
      <c r="G927" s="2"/>
      <c r="H927" s="2"/>
      <c r="I927" s="5"/>
    </row>
    <row r="928" spans="1:9" ht="17.399999999999999" x14ac:dyDescent="0.25">
      <c r="A928" s="16"/>
      <c r="B928" s="17"/>
      <c r="C928" s="2"/>
      <c r="D928" s="2"/>
      <c r="E928" s="2"/>
      <c r="F928" s="2"/>
      <c r="G928" s="2"/>
      <c r="H928" s="2"/>
      <c r="I928" s="5"/>
    </row>
    <row r="929" spans="1:9" ht="17.399999999999999" x14ac:dyDescent="0.25">
      <c r="A929" s="16"/>
      <c r="B929" s="17"/>
      <c r="C929" s="2"/>
      <c r="D929" s="2"/>
      <c r="E929" s="2"/>
      <c r="F929" s="2"/>
      <c r="G929" s="2"/>
      <c r="H929" s="2"/>
      <c r="I929" s="5"/>
    </row>
    <row r="930" spans="1:9" ht="17.399999999999999" x14ac:dyDescent="0.25">
      <c r="A930" s="16"/>
      <c r="B930" s="17"/>
      <c r="C930" s="2"/>
      <c r="D930" s="2"/>
      <c r="E930" s="2"/>
      <c r="F930" s="2"/>
      <c r="G930" s="2"/>
      <c r="H930" s="2"/>
      <c r="I930" s="5"/>
    </row>
    <row r="931" spans="1:9" ht="17.399999999999999" x14ac:dyDescent="0.25">
      <c r="A931" s="16"/>
      <c r="B931" s="17"/>
      <c r="C931" s="2"/>
      <c r="D931" s="2"/>
      <c r="E931" s="2"/>
      <c r="F931" s="2"/>
      <c r="G931" s="2"/>
      <c r="H931" s="2"/>
      <c r="I931" s="5"/>
    </row>
    <row r="932" spans="1:9" ht="17.399999999999999" x14ac:dyDescent="0.25">
      <c r="A932" s="16"/>
      <c r="B932" s="17"/>
      <c r="C932" s="2"/>
      <c r="D932" s="2"/>
      <c r="E932" s="2"/>
      <c r="F932" s="2"/>
      <c r="G932" s="2"/>
      <c r="H932" s="2"/>
      <c r="I932" s="5"/>
    </row>
    <row r="933" spans="1:9" ht="17.399999999999999" x14ac:dyDescent="0.25">
      <c r="A933" s="16"/>
      <c r="B933" s="17"/>
      <c r="C933" s="2"/>
      <c r="D933" s="2"/>
      <c r="E933" s="2"/>
      <c r="F933" s="2"/>
      <c r="G933" s="2"/>
      <c r="H933" s="2"/>
      <c r="I933" s="5"/>
    </row>
    <row r="934" spans="1:9" ht="17.399999999999999" x14ac:dyDescent="0.25">
      <c r="A934" s="16"/>
      <c r="B934" s="17"/>
      <c r="C934" s="2"/>
      <c r="D934" s="2"/>
      <c r="E934" s="2"/>
      <c r="F934" s="2"/>
      <c r="G934" s="2"/>
      <c r="H934" s="2"/>
      <c r="I934" s="5"/>
    </row>
    <row r="935" spans="1:9" ht="17.399999999999999" x14ac:dyDescent="0.25">
      <c r="A935" s="16"/>
      <c r="B935" s="17"/>
      <c r="C935" s="2"/>
      <c r="D935" s="2"/>
      <c r="E935" s="2"/>
      <c r="F935" s="2"/>
      <c r="G935" s="2"/>
      <c r="H935" s="2"/>
      <c r="I935" s="5"/>
    </row>
    <row r="936" spans="1:9" ht="17.399999999999999" x14ac:dyDescent="0.25">
      <c r="A936" s="16"/>
      <c r="B936" s="17"/>
      <c r="C936" s="2"/>
      <c r="D936" s="2"/>
      <c r="E936" s="2"/>
      <c r="F936" s="2"/>
      <c r="G936" s="2"/>
      <c r="H936" s="2"/>
      <c r="I936" s="5"/>
    </row>
    <row r="937" spans="1:9" ht="17.399999999999999" x14ac:dyDescent="0.25">
      <c r="A937" s="16"/>
      <c r="B937" s="17"/>
      <c r="C937" s="2"/>
      <c r="D937" s="2"/>
      <c r="E937" s="2"/>
      <c r="F937" s="2"/>
      <c r="G937" s="2"/>
      <c r="H937" s="2"/>
      <c r="I937" s="5"/>
    </row>
    <row r="938" spans="1:9" ht="17.399999999999999" x14ac:dyDescent="0.25">
      <c r="A938" s="16"/>
      <c r="B938" s="17"/>
      <c r="C938" s="2"/>
      <c r="D938" s="2"/>
      <c r="E938" s="2"/>
      <c r="F938" s="2"/>
      <c r="G938" s="2"/>
      <c r="H938" s="2"/>
      <c r="I938" s="5"/>
    </row>
    <row r="939" spans="1:9" ht="17.399999999999999" x14ac:dyDescent="0.25">
      <c r="A939" s="16"/>
      <c r="B939" s="17"/>
      <c r="C939" s="2"/>
      <c r="D939" s="2"/>
      <c r="E939" s="2"/>
      <c r="F939" s="2"/>
      <c r="G939" s="2"/>
      <c r="H939" s="2"/>
      <c r="I939" s="5"/>
    </row>
    <row r="940" spans="1:9" ht="17.399999999999999" x14ac:dyDescent="0.25">
      <c r="A940" s="16"/>
      <c r="B940" s="17"/>
      <c r="C940" s="2"/>
      <c r="D940" s="2"/>
      <c r="E940" s="2"/>
      <c r="F940" s="2"/>
      <c r="G940" s="2"/>
      <c r="H940" s="2"/>
      <c r="I940" s="5"/>
    </row>
    <row r="941" spans="1:9" ht="17.399999999999999" x14ac:dyDescent="0.25">
      <c r="A941" s="16"/>
      <c r="B941" s="17"/>
      <c r="C941" s="2"/>
      <c r="D941" s="2"/>
      <c r="E941" s="2"/>
      <c r="F941" s="2"/>
      <c r="G941" s="2"/>
      <c r="H941" s="2"/>
      <c r="I941" s="5"/>
    </row>
    <row r="942" spans="1:9" ht="17.399999999999999" x14ac:dyDescent="0.25">
      <c r="A942" s="16"/>
      <c r="B942" s="17"/>
      <c r="C942" s="2"/>
      <c r="D942" s="2"/>
      <c r="E942" s="2"/>
      <c r="F942" s="2"/>
      <c r="G942" s="2"/>
      <c r="H942" s="2"/>
      <c r="I942" s="5"/>
    </row>
    <row r="943" spans="1:9" ht="17.399999999999999" x14ac:dyDescent="0.25">
      <c r="A943" s="16"/>
      <c r="B943" s="17"/>
      <c r="C943" s="2"/>
      <c r="D943" s="2"/>
      <c r="E943" s="2"/>
      <c r="F943" s="2"/>
      <c r="G943" s="2"/>
      <c r="H943" s="2"/>
      <c r="I943" s="5"/>
    </row>
    <row r="944" spans="1:9" ht="17.399999999999999" x14ac:dyDescent="0.25">
      <c r="A944" s="16"/>
      <c r="B944" s="17"/>
      <c r="C944" s="2"/>
      <c r="D944" s="2"/>
      <c r="E944" s="2"/>
      <c r="F944" s="2"/>
      <c r="G944" s="2"/>
      <c r="H944" s="2"/>
      <c r="I944" s="5"/>
    </row>
    <row r="945" spans="1:9" ht="17.399999999999999" x14ac:dyDescent="0.25">
      <c r="A945" s="16"/>
      <c r="B945" s="17"/>
      <c r="C945" s="2"/>
      <c r="D945" s="2"/>
      <c r="E945" s="2"/>
      <c r="F945" s="2"/>
      <c r="G945" s="2"/>
      <c r="H945" s="2"/>
      <c r="I945" s="5"/>
    </row>
    <row r="946" spans="1:9" ht="17.399999999999999" x14ac:dyDescent="0.25">
      <c r="A946" s="16"/>
      <c r="B946" s="17"/>
      <c r="C946" s="2"/>
      <c r="D946" s="2"/>
      <c r="E946" s="2"/>
      <c r="F946" s="2"/>
      <c r="G946" s="2"/>
      <c r="H946" s="2"/>
      <c r="I946" s="5"/>
    </row>
    <row r="947" spans="1:9" ht="17.399999999999999" x14ac:dyDescent="0.25">
      <c r="A947" s="16"/>
      <c r="B947" s="17"/>
      <c r="C947" s="2"/>
      <c r="D947" s="2"/>
      <c r="E947" s="2"/>
      <c r="F947" s="2"/>
      <c r="G947" s="2"/>
      <c r="H947" s="2"/>
      <c r="I947" s="5"/>
    </row>
    <row r="948" spans="1:9" ht="17.399999999999999" x14ac:dyDescent="0.25">
      <c r="A948" s="16"/>
      <c r="B948" s="17"/>
      <c r="C948" s="2"/>
      <c r="D948" s="2"/>
      <c r="E948" s="2"/>
      <c r="F948" s="2"/>
      <c r="G948" s="2"/>
      <c r="H948" s="2"/>
      <c r="I948" s="5"/>
    </row>
    <row r="949" spans="1:9" ht="17.399999999999999" x14ac:dyDescent="0.25">
      <c r="A949" s="16"/>
      <c r="B949" s="17"/>
      <c r="C949" s="2"/>
      <c r="D949" s="2"/>
      <c r="E949" s="2"/>
      <c r="F949" s="2"/>
      <c r="G949" s="2"/>
      <c r="H949" s="2"/>
      <c r="I949" s="5"/>
    </row>
    <row r="950" spans="1:9" ht="17.399999999999999" x14ac:dyDescent="0.25">
      <c r="A950" s="16"/>
      <c r="B950" s="17"/>
      <c r="C950" s="2"/>
      <c r="D950" s="2"/>
      <c r="E950" s="2"/>
      <c r="F950" s="2"/>
      <c r="G950" s="2"/>
      <c r="H950" s="2"/>
      <c r="I950" s="5"/>
    </row>
    <row r="951" spans="1:9" ht="17.399999999999999" x14ac:dyDescent="0.25">
      <c r="A951" s="16"/>
      <c r="B951" s="17"/>
      <c r="C951" s="2"/>
      <c r="D951" s="2"/>
      <c r="E951" s="2"/>
      <c r="F951" s="2"/>
      <c r="G951" s="2"/>
      <c r="H951" s="2"/>
      <c r="I951" s="5"/>
    </row>
    <row r="952" spans="1:9" ht="17.399999999999999" x14ac:dyDescent="0.25">
      <c r="A952" s="16"/>
      <c r="B952" s="17"/>
      <c r="C952" s="2"/>
      <c r="D952" s="2"/>
      <c r="E952" s="2"/>
      <c r="F952" s="2"/>
      <c r="G952" s="2"/>
      <c r="H952" s="2"/>
      <c r="I952" s="5"/>
    </row>
    <row r="953" spans="1:9" ht="17.399999999999999" x14ac:dyDescent="0.25">
      <c r="A953" s="16"/>
      <c r="B953" s="17"/>
      <c r="C953" s="2"/>
      <c r="D953" s="2"/>
      <c r="E953" s="2"/>
      <c r="F953" s="2"/>
      <c r="G953" s="2"/>
      <c r="H953" s="2"/>
      <c r="I953" s="5"/>
    </row>
    <row r="954" spans="1:9" ht="17.399999999999999" x14ac:dyDescent="0.25">
      <c r="A954" s="16"/>
      <c r="B954" s="17"/>
      <c r="C954" s="2"/>
      <c r="D954" s="2"/>
      <c r="E954" s="2"/>
      <c r="F954" s="2"/>
      <c r="G954" s="2"/>
      <c r="H954" s="2"/>
      <c r="I954" s="5"/>
    </row>
    <row r="955" spans="1:9" ht="17.399999999999999" x14ac:dyDescent="0.25">
      <c r="A955" s="16"/>
      <c r="B955" s="17"/>
      <c r="C955" s="2"/>
      <c r="D955" s="2"/>
      <c r="E955" s="2"/>
      <c r="F955" s="2"/>
      <c r="G955" s="2"/>
      <c r="H955" s="2"/>
      <c r="I955" s="5"/>
    </row>
    <row r="956" spans="1:9" ht="17.399999999999999" x14ac:dyDescent="0.25">
      <c r="A956" s="16"/>
      <c r="B956" s="17"/>
      <c r="C956" s="2"/>
      <c r="D956" s="2"/>
      <c r="E956" s="2"/>
      <c r="F956" s="2"/>
      <c r="G956" s="2"/>
      <c r="H956" s="2"/>
      <c r="I956" s="5"/>
    </row>
    <row r="957" spans="1:9" ht="17.399999999999999" x14ac:dyDescent="0.25">
      <c r="A957" s="16"/>
      <c r="B957" s="17"/>
      <c r="C957" s="2"/>
      <c r="D957" s="2"/>
      <c r="E957" s="2"/>
      <c r="F957" s="2"/>
      <c r="G957" s="2"/>
      <c r="H957" s="2"/>
      <c r="I957" s="5"/>
    </row>
    <row r="958" spans="1:9" ht="17.399999999999999" x14ac:dyDescent="0.25">
      <c r="A958" s="16"/>
      <c r="B958" s="17"/>
      <c r="C958" s="2"/>
      <c r="D958" s="2"/>
      <c r="E958" s="2"/>
      <c r="F958" s="2"/>
      <c r="G958" s="2"/>
      <c r="H958" s="2"/>
      <c r="I958" s="5"/>
    </row>
    <row r="959" spans="1:9" ht="17.399999999999999" x14ac:dyDescent="0.25">
      <c r="A959" s="16"/>
      <c r="B959" s="17"/>
      <c r="C959" s="2"/>
      <c r="D959" s="2"/>
      <c r="E959" s="2"/>
      <c r="F959" s="2"/>
      <c r="G959" s="2"/>
      <c r="H959" s="2"/>
      <c r="I959" s="5"/>
    </row>
    <row r="960" spans="1:9" ht="17.399999999999999" x14ac:dyDescent="0.25">
      <c r="A960" s="16"/>
      <c r="B960" s="17"/>
      <c r="C960" s="2"/>
      <c r="D960" s="2"/>
      <c r="E960" s="2"/>
      <c r="F960" s="2"/>
      <c r="G960" s="2"/>
      <c r="H960" s="2"/>
      <c r="I960" s="5"/>
    </row>
    <row r="961" spans="1:9" ht="17.399999999999999" x14ac:dyDescent="0.25">
      <c r="A961" s="16"/>
      <c r="B961" s="17"/>
      <c r="C961" s="2"/>
      <c r="D961" s="2"/>
      <c r="E961" s="2"/>
      <c r="F961" s="2"/>
      <c r="G961" s="2"/>
      <c r="H961" s="2"/>
      <c r="I961" s="5"/>
    </row>
    <row r="962" spans="1:9" ht="17.399999999999999" x14ac:dyDescent="0.25">
      <c r="A962" s="16"/>
      <c r="B962" s="17"/>
      <c r="C962" s="2"/>
      <c r="D962" s="2"/>
      <c r="E962" s="2"/>
      <c r="F962" s="2"/>
      <c r="G962" s="2"/>
      <c r="H962" s="2"/>
      <c r="I962" s="5"/>
    </row>
    <row r="963" spans="1:9" ht="17.399999999999999" x14ac:dyDescent="0.25">
      <c r="A963" s="16"/>
      <c r="B963" s="17"/>
      <c r="C963" s="2"/>
      <c r="D963" s="2"/>
      <c r="E963" s="2"/>
      <c r="F963" s="2"/>
      <c r="G963" s="2"/>
      <c r="H963" s="2"/>
      <c r="I963" s="5"/>
    </row>
    <row r="964" spans="1:9" ht="17.399999999999999" x14ac:dyDescent="0.25">
      <c r="A964" s="16"/>
      <c r="B964" s="17"/>
      <c r="C964" s="2"/>
      <c r="D964" s="2"/>
      <c r="E964" s="2"/>
      <c r="F964" s="2"/>
      <c r="G964" s="2"/>
      <c r="H964" s="2"/>
      <c r="I964" s="5"/>
    </row>
    <row r="965" spans="1:9" ht="17.399999999999999" x14ac:dyDescent="0.25">
      <c r="A965" s="16"/>
      <c r="B965" s="17"/>
      <c r="C965" s="2"/>
      <c r="D965" s="2"/>
      <c r="E965" s="2"/>
      <c r="F965" s="2"/>
      <c r="G965" s="2"/>
      <c r="H965" s="2"/>
      <c r="I965" s="5"/>
    </row>
    <row r="966" spans="1:9" ht="17.399999999999999" x14ac:dyDescent="0.25">
      <c r="A966" s="16"/>
      <c r="B966" s="17"/>
      <c r="C966" s="2"/>
      <c r="D966" s="2"/>
      <c r="E966" s="2"/>
      <c r="F966" s="2"/>
      <c r="G966" s="2"/>
      <c r="H966" s="2"/>
      <c r="I966" s="5"/>
    </row>
    <row r="967" spans="1:9" ht="17.399999999999999" x14ac:dyDescent="0.25">
      <c r="A967" s="16"/>
      <c r="B967" s="17"/>
      <c r="C967" s="2"/>
      <c r="D967" s="2"/>
      <c r="E967" s="2"/>
      <c r="F967" s="2"/>
      <c r="G967" s="2"/>
      <c r="H967" s="2"/>
      <c r="I967" s="5"/>
    </row>
    <row r="968" spans="1:9" ht="17.399999999999999" x14ac:dyDescent="0.25">
      <c r="A968" s="16"/>
      <c r="B968" s="17"/>
      <c r="C968" s="2"/>
      <c r="D968" s="2"/>
      <c r="E968" s="2"/>
      <c r="F968" s="2"/>
      <c r="G968" s="2"/>
      <c r="H968" s="2"/>
      <c r="I968" s="5"/>
    </row>
    <row r="969" spans="1:9" ht="17.399999999999999" x14ac:dyDescent="0.25">
      <c r="A969" s="16"/>
      <c r="B969" s="17"/>
      <c r="C969" s="2"/>
      <c r="D969" s="2"/>
      <c r="E969" s="2"/>
      <c r="F969" s="2"/>
      <c r="G969" s="2"/>
      <c r="H969" s="2"/>
      <c r="I969" s="5"/>
    </row>
    <row r="970" spans="1:9" ht="17.399999999999999" x14ac:dyDescent="0.25">
      <c r="A970" s="16"/>
      <c r="B970" s="17"/>
      <c r="C970" s="2"/>
      <c r="D970" s="2"/>
      <c r="E970" s="2"/>
      <c r="F970" s="2"/>
      <c r="G970" s="2"/>
      <c r="H970" s="2"/>
      <c r="I970" s="5"/>
    </row>
    <row r="971" spans="1:9" ht="17.399999999999999" x14ac:dyDescent="0.25">
      <c r="A971" s="16"/>
      <c r="B971" s="17"/>
      <c r="C971" s="2"/>
      <c r="D971" s="2"/>
      <c r="E971" s="2"/>
      <c r="F971" s="2"/>
      <c r="G971" s="2"/>
      <c r="H971" s="2"/>
      <c r="I971" s="5"/>
    </row>
    <row r="972" spans="1:9" ht="17.399999999999999" x14ac:dyDescent="0.25">
      <c r="A972" s="16"/>
      <c r="B972" s="17"/>
      <c r="C972" s="2"/>
      <c r="D972" s="2"/>
      <c r="E972" s="2"/>
      <c r="F972" s="2"/>
      <c r="G972" s="2"/>
      <c r="H972" s="2"/>
      <c r="I972" s="5"/>
    </row>
    <row r="973" spans="1:9" ht="17.399999999999999" x14ac:dyDescent="0.25">
      <c r="A973" s="16"/>
      <c r="B973" s="17"/>
      <c r="C973" s="2"/>
      <c r="D973" s="2"/>
      <c r="E973" s="2"/>
      <c r="F973" s="2"/>
      <c r="G973" s="2"/>
      <c r="H973" s="2"/>
      <c r="I973" s="5"/>
    </row>
    <row r="974" spans="1:9" ht="17.399999999999999" x14ac:dyDescent="0.25">
      <c r="A974" s="16"/>
      <c r="B974" s="17"/>
      <c r="C974" s="2"/>
      <c r="D974" s="2"/>
      <c r="E974" s="2"/>
      <c r="F974" s="2"/>
      <c r="G974" s="2"/>
      <c r="H974" s="2"/>
      <c r="I974" s="5"/>
    </row>
    <row r="975" spans="1:9" ht="17.399999999999999" x14ac:dyDescent="0.25">
      <c r="A975" s="16"/>
      <c r="B975" s="17"/>
      <c r="C975" s="2"/>
      <c r="D975" s="2"/>
      <c r="E975" s="2"/>
      <c r="F975" s="2"/>
      <c r="G975" s="2"/>
      <c r="H975" s="2"/>
      <c r="I975" s="5"/>
    </row>
    <row r="976" spans="1:9" ht="17.399999999999999" x14ac:dyDescent="0.25">
      <c r="A976" s="16"/>
      <c r="B976" s="17"/>
      <c r="C976" s="2"/>
      <c r="D976" s="2"/>
      <c r="E976" s="2"/>
      <c r="F976" s="2"/>
      <c r="G976" s="2"/>
      <c r="H976" s="2"/>
      <c r="I976" s="5"/>
    </row>
    <row r="977" spans="1:9" ht="17.399999999999999" x14ac:dyDescent="0.25">
      <c r="A977" s="16"/>
      <c r="B977" s="17"/>
      <c r="C977" s="2"/>
      <c r="D977" s="2"/>
      <c r="E977" s="2"/>
      <c r="F977" s="2"/>
      <c r="G977" s="2"/>
      <c r="H977" s="2"/>
      <c r="I977" s="5"/>
    </row>
    <row r="978" spans="1:9" ht="17.399999999999999" x14ac:dyDescent="0.25">
      <c r="A978" s="16"/>
      <c r="B978" s="17"/>
      <c r="C978" s="2"/>
      <c r="D978" s="2"/>
      <c r="E978" s="2"/>
      <c r="F978" s="2"/>
      <c r="G978" s="2"/>
      <c r="H978" s="2"/>
      <c r="I978" s="5"/>
    </row>
    <row r="979" spans="1:9" ht="17.399999999999999" x14ac:dyDescent="0.25">
      <c r="A979" s="16"/>
      <c r="B979" s="17"/>
      <c r="C979" s="2"/>
      <c r="D979" s="2"/>
      <c r="E979" s="2"/>
      <c r="F979" s="2"/>
      <c r="G979" s="2"/>
      <c r="H979" s="2"/>
      <c r="I979" s="5"/>
    </row>
    <row r="980" spans="1:9" ht="17.399999999999999" x14ac:dyDescent="0.25">
      <c r="A980" s="16"/>
      <c r="B980" s="17"/>
      <c r="C980" s="2"/>
      <c r="D980" s="2"/>
      <c r="E980" s="2"/>
      <c r="F980" s="2"/>
      <c r="G980" s="2"/>
      <c r="H980" s="2"/>
      <c r="I980" s="5"/>
    </row>
    <row r="981" spans="1:9" ht="17.399999999999999" x14ac:dyDescent="0.25">
      <c r="A981" s="16"/>
      <c r="B981" s="17"/>
      <c r="C981" s="2"/>
      <c r="D981" s="2"/>
      <c r="E981" s="2"/>
      <c r="F981" s="2"/>
      <c r="G981" s="2"/>
      <c r="H981" s="2"/>
      <c r="I981" s="5"/>
    </row>
    <row r="982" spans="1:9" ht="17.399999999999999" x14ac:dyDescent="0.25">
      <c r="A982" s="16"/>
      <c r="B982" s="17"/>
      <c r="C982" s="2"/>
      <c r="D982" s="2"/>
      <c r="E982" s="2"/>
      <c r="F982" s="2"/>
      <c r="G982" s="2"/>
      <c r="H982" s="2"/>
      <c r="I982" s="5"/>
    </row>
    <row r="983" spans="1:9" ht="17.399999999999999" x14ac:dyDescent="0.25">
      <c r="A983" s="16"/>
      <c r="B983" s="17"/>
      <c r="C983" s="2"/>
      <c r="D983" s="2"/>
      <c r="E983" s="2"/>
      <c r="F983" s="2"/>
      <c r="G983" s="2"/>
      <c r="H983" s="2"/>
      <c r="I983" s="5"/>
    </row>
    <row r="984" spans="1:9" ht="17.399999999999999" x14ac:dyDescent="0.25">
      <c r="A984" s="16"/>
      <c r="B984" s="17"/>
      <c r="C984" s="2"/>
      <c r="D984" s="2"/>
      <c r="E984" s="2"/>
      <c r="F984" s="2"/>
      <c r="G984" s="2"/>
      <c r="H984" s="2"/>
      <c r="I984" s="5"/>
    </row>
    <row r="985" spans="1:9" ht="17.399999999999999" x14ac:dyDescent="0.25">
      <c r="A985" s="16"/>
      <c r="B985" s="17"/>
      <c r="C985" s="2"/>
      <c r="D985" s="2"/>
      <c r="E985" s="2"/>
      <c r="F985" s="2"/>
      <c r="G985" s="2"/>
      <c r="H985" s="2"/>
      <c r="I985" s="5"/>
    </row>
    <row r="986" spans="1:9" ht="17.399999999999999" x14ac:dyDescent="0.25">
      <c r="A986" s="16"/>
      <c r="B986" s="17"/>
      <c r="C986" s="2"/>
      <c r="D986" s="2"/>
      <c r="E986" s="2"/>
      <c r="F986" s="2"/>
      <c r="G986" s="2"/>
      <c r="H986" s="2"/>
      <c r="I986" s="5"/>
    </row>
    <row r="987" spans="1:9" ht="17.399999999999999" x14ac:dyDescent="0.25">
      <c r="A987" s="16"/>
      <c r="B987" s="17"/>
      <c r="C987" s="2"/>
      <c r="D987" s="2"/>
      <c r="E987" s="2"/>
      <c r="F987" s="2"/>
      <c r="G987" s="2"/>
      <c r="H987" s="2"/>
      <c r="I987" s="5"/>
    </row>
    <row r="988" spans="1:9" ht="17.399999999999999" x14ac:dyDescent="0.25">
      <c r="A988" s="16"/>
      <c r="B988" s="17"/>
      <c r="C988" s="2"/>
      <c r="D988" s="2"/>
      <c r="E988" s="2"/>
      <c r="F988" s="2"/>
      <c r="G988" s="2"/>
      <c r="H988" s="2"/>
      <c r="I988" s="5"/>
    </row>
    <row r="989" spans="1:9" ht="17.399999999999999" x14ac:dyDescent="0.25">
      <c r="A989" s="16"/>
      <c r="B989" s="17"/>
      <c r="C989" s="2"/>
      <c r="D989" s="2"/>
      <c r="E989" s="2"/>
      <c r="F989" s="2"/>
      <c r="G989" s="2"/>
      <c r="H989" s="2"/>
      <c r="I989" s="5"/>
    </row>
    <row r="990" spans="1:9" ht="17.399999999999999" x14ac:dyDescent="0.25">
      <c r="A990" s="16"/>
      <c r="B990" s="17"/>
      <c r="C990" s="2"/>
      <c r="D990" s="2"/>
      <c r="E990" s="2"/>
      <c r="F990" s="2"/>
      <c r="G990" s="2"/>
      <c r="H990" s="2"/>
      <c r="I990" s="5"/>
    </row>
    <row r="991" spans="1:9" ht="17.399999999999999" x14ac:dyDescent="0.25">
      <c r="A991" s="16"/>
      <c r="B991" s="17"/>
      <c r="C991" s="2"/>
      <c r="D991" s="2"/>
      <c r="E991" s="2"/>
      <c r="F991" s="2"/>
      <c r="G991" s="2"/>
      <c r="H991" s="2"/>
      <c r="I991" s="5"/>
    </row>
    <row r="992" spans="1:9" ht="17.399999999999999" x14ac:dyDescent="0.25">
      <c r="A992" s="16"/>
      <c r="B992" s="17"/>
      <c r="C992" s="2"/>
      <c r="D992" s="2"/>
      <c r="E992" s="2"/>
      <c r="F992" s="2"/>
      <c r="G992" s="2"/>
      <c r="H992" s="2"/>
      <c r="I992" s="5"/>
    </row>
    <row r="993" spans="1:9" ht="17.399999999999999" x14ac:dyDescent="0.25">
      <c r="A993" s="16"/>
      <c r="B993" s="17"/>
      <c r="C993" s="2"/>
      <c r="D993" s="2"/>
      <c r="E993" s="2"/>
      <c r="F993" s="2"/>
      <c r="G993" s="2"/>
      <c r="H993" s="2"/>
      <c r="I993" s="5"/>
    </row>
    <row r="994" spans="1:9" ht="17.399999999999999" x14ac:dyDescent="0.25">
      <c r="A994" s="16"/>
      <c r="B994" s="17"/>
      <c r="C994" s="2"/>
      <c r="D994" s="2"/>
      <c r="E994" s="2"/>
      <c r="F994" s="2"/>
      <c r="G994" s="2"/>
      <c r="H994" s="2"/>
      <c r="I994" s="5"/>
    </row>
    <row r="995" spans="1:9" ht="17.399999999999999" x14ac:dyDescent="0.25">
      <c r="A995" s="16"/>
      <c r="B995" s="17"/>
      <c r="C995" s="2"/>
      <c r="D995" s="2"/>
      <c r="E995" s="2"/>
      <c r="F995" s="2"/>
      <c r="G995" s="2"/>
      <c r="H995" s="2"/>
      <c r="I995" s="5"/>
    </row>
    <row r="996" spans="1:9" ht="17.399999999999999" x14ac:dyDescent="0.25">
      <c r="A996" s="16"/>
      <c r="B996" s="17"/>
      <c r="C996" s="2"/>
      <c r="D996" s="2"/>
      <c r="E996" s="2"/>
      <c r="F996" s="2"/>
      <c r="G996" s="2"/>
      <c r="H996" s="2"/>
      <c r="I996" s="5"/>
    </row>
    <row r="997" spans="1:9" ht="17.399999999999999" x14ac:dyDescent="0.25">
      <c r="A997" s="16"/>
      <c r="B997" s="17"/>
      <c r="C997" s="2"/>
      <c r="D997" s="2"/>
      <c r="E997" s="2"/>
      <c r="F997" s="2"/>
      <c r="G997" s="2"/>
      <c r="H997" s="2"/>
      <c r="I997" s="5"/>
    </row>
    <row r="998" spans="1:9" ht="17.399999999999999" x14ac:dyDescent="0.25">
      <c r="A998" s="16"/>
      <c r="B998" s="17"/>
      <c r="C998" s="2"/>
      <c r="D998" s="2"/>
      <c r="E998" s="2"/>
      <c r="F998" s="2"/>
      <c r="G998" s="2"/>
      <c r="H998" s="2"/>
      <c r="I998" s="5"/>
    </row>
    <row r="999" spans="1:9" ht="17.399999999999999" x14ac:dyDescent="0.25">
      <c r="A999" s="16"/>
      <c r="B999" s="17"/>
      <c r="C999" s="2"/>
      <c r="D999" s="2"/>
      <c r="E999" s="2"/>
      <c r="F999" s="2"/>
      <c r="G999" s="2"/>
      <c r="H999" s="2"/>
      <c r="I999" s="5"/>
    </row>
    <row r="1000" spans="1:9" ht="17.399999999999999" x14ac:dyDescent="0.25">
      <c r="A1000" s="16"/>
      <c r="B1000" s="17"/>
      <c r="C1000" s="2"/>
      <c r="D1000" s="2"/>
      <c r="E1000" s="2"/>
      <c r="F1000" s="2"/>
      <c r="G1000" s="2"/>
      <c r="H1000" s="2"/>
      <c r="I1000" s="5"/>
    </row>
    <row r="1001" spans="1:9" ht="17.399999999999999" x14ac:dyDescent="0.25">
      <c r="A1001" s="16"/>
      <c r="B1001" s="17"/>
      <c r="C1001" s="2"/>
      <c r="D1001" s="2"/>
      <c r="E1001" s="2"/>
      <c r="F1001" s="2"/>
      <c r="G1001" s="2"/>
      <c r="H1001" s="2"/>
      <c r="I1001" s="5"/>
    </row>
    <row r="1002" spans="1:9" ht="17.399999999999999" x14ac:dyDescent="0.25">
      <c r="A1002" s="16"/>
      <c r="B1002" s="17"/>
      <c r="C1002" s="2"/>
      <c r="D1002" s="2"/>
      <c r="E1002" s="2"/>
      <c r="F1002" s="2"/>
      <c r="G1002" s="2"/>
      <c r="H1002" s="2"/>
      <c r="I1002" s="5"/>
    </row>
    <row r="1003" spans="1:9" ht="17.399999999999999" x14ac:dyDescent="0.25">
      <c r="A1003" s="16"/>
      <c r="B1003" s="17"/>
      <c r="C1003" s="2"/>
      <c r="D1003" s="2"/>
      <c r="E1003" s="2"/>
      <c r="F1003" s="2"/>
      <c r="G1003" s="2"/>
      <c r="H1003" s="2"/>
      <c r="I1003" s="5"/>
    </row>
    <row r="1004" spans="1:9" ht="17.399999999999999" x14ac:dyDescent="0.25">
      <c r="A1004" s="16"/>
      <c r="B1004" s="17"/>
      <c r="C1004" s="2"/>
      <c r="D1004" s="2"/>
      <c r="E1004" s="2"/>
      <c r="F1004" s="2"/>
      <c r="G1004" s="2"/>
      <c r="H1004" s="2"/>
      <c r="I1004" s="5"/>
    </row>
    <row r="1005" spans="1:9" ht="17.399999999999999" x14ac:dyDescent="0.25">
      <c r="A1005" s="16"/>
      <c r="B1005" s="17"/>
      <c r="C1005" s="2"/>
      <c r="D1005" s="2"/>
      <c r="E1005" s="2"/>
      <c r="F1005" s="2"/>
      <c r="G1005" s="2"/>
      <c r="H1005" s="2"/>
      <c r="I1005" s="5"/>
    </row>
    <row r="1006" spans="1:9" ht="17.399999999999999" x14ac:dyDescent="0.25">
      <c r="A1006" s="16"/>
      <c r="B1006" s="17"/>
      <c r="C1006" s="2"/>
      <c r="D1006" s="2"/>
      <c r="E1006" s="2"/>
      <c r="F1006" s="2"/>
      <c r="G1006" s="2"/>
      <c r="H1006" s="2"/>
      <c r="I1006" s="5"/>
    </row>
    <row r="1007" spans="1:9" ht="17.399999999999999" x14ac:dyDescent="0.25">
      <c r="A1007" s="16"/>
      <c r="B1007" s="17"/>
      <c r="C1007" s="2"/>
      <c r="D1007" s="2"/>
      <c r="E1007" s="2"/>
      <c r="F1007" s="2"/>
      <c r="G1007" s="2"/>
      <c r="H1007" s="2"/>
      <c r="I1007" s="5"/>
    </row>
    <row r="1008" spans="1:9" ht="17.399999999999999" x14ac:dyDescent="0.25">
      <c r="A1008" s="16"/>
      <c r="B1008" s="17"/>
      <c r="C1008" s="2"/>
      <c r="D1008" s="2"/>
      <c r="E1008" s="2"/>
      <c r="F1008" s="2"/>
      <c r="G1008" s="2"/>
      <c r="H1008" s="2"/>
      <c r="I1008" s="5"/>
    </row>
    <row r="1009" spans="1:9" ht="17.399999999999999" x14ac:dyDescent="0.25">
      <c r="A1009" s="16"/>
      <c r="B1009" s="17"/>
      <c r="C1009" s="2"/>
      <c r="D1009" s="2"/>
      <c r="E1009" s="2"/>
      <c r="F1009" s="2"/>
      <c r="G1009" s="2"/>
      <c r="H1009" s="2"/>
      <c r="I1009" s="5"/>
    </row>
    <row r="1010" spans="1:9" ht="17.399999999999999" x14ac:dyDescent="0.25">
      <c r="A1010" s="16"/>
      <c r="B1010" s="17"/>
      <c r="C1010" s="2"/>
      <c r="D1010" s="2"/>
      <c r="E1010" s="2"/>
      <c r="F1010" s="2"/>
      <c r="G1010" s="2"/>
      <c r="H1010" s="2"/>
      <c r="I1010" s="5"/>
    </row>
    <row r="1011" spans="1:9" ht="17.399999999999999" x14ac:dyDescent="0.25">
      <c r="A1011" s="16"/>
      <c r="B1011" s="17"/>
      <c r="C1011" s="2"/>
      <c r="D1011" s="2"/>
      <c r="E1011" s="2"/>
      <c r="F1011" s="2"/>
      <c r="G1011" s="2"/>
      <c r="H1011" s="2"/>
      <c r="I1011" s="5"/>
    </row>
    <row r="1012" spans="1:9" ht="17.399999999999999" x14ac:dyDescent="0.25">
      <c r="A1012" s="16"/>
      <c r="B1012" s="17"/>
      <c r="C1012" s="2"/>
      <c r="D1012" s="2"/>
      <c r="E1012" s="2"/>
      <c r="F1012" s="2"/>
      <c r="G1012" s="2"/>
      <c r="H1012" s="2"/>
      <c r="I1012" s="5"/>
    </row>
    <row r="1013" spans="1:9" ht="17.399999999999999" x14ac:dyDescent="0.25">
      <c r="A1013" s="16"/>
      <c r="B1013" s="17"/>
      <c r="C1013" s="2"/>
      <c r="D1013" s="2"/>
      <c r="E1013" s="2"/>
      <c r="F1013" s="2"/>
      <c r="G1013" s="2"/>
      <c r="H1013" s="2"/>
      <c r="I1013" s="5"/>
    </row>
    <row r="1014" spans="1:9" ht="17.399999999999999" x14ac:dyDescent="0.25">
      <c r="A1014" s="16"/>
      <c r="B1014" s="17"/>
      <c r="C1014" s="2"/>
      <c r="D1014" s="2"/>
      <c r="E1014" s="2"/>
      <c r="F1014" s="2"/>
      <c r="G1014" s="2"/>
      <c r="H1014" s="2"/>
      <c r="I1014" s="5"/>
    </row>
    <row r="1015" spans="1:9" ht="17.399999999999999" x14ac:dyDescent="0.25">
      <c r="A1015" s="16"/>
      <c r="B1015" s="17"/>
      <c r="C1015" s="2"/>
      <c r="D1015" s="2"/>
      <c r="E1015" s="2"/>
      <c r="F1015" s="2"/>
      <c r="G1015" s="2"/>
      <c r="H1015" s="2"/>
      <c r="I1015" s="5"/>
    </row>
    <row r="1016" spans="1:9" ht="17.399999999999999" x14ac:dyDescent="0.25">
      <c r="A1016" s="16"/>
      <c r="B1016" s="17"/>
      <c r="C1016" s="2"/>
      <c r="D1016" s="2"/>
      <c r="E1016" s="2"/>
      <c r="F1016" s="2"/>
      <c r="G1016" s="2"/>
      <c r="H1016" s="2"/>
      <c r="I1016" s="5"/>
    </row>
    <row r="1017" spans="1:9" ht="17.399999999999999" x14ac:dyDescent="0.25">
      <c r="A1017" s="16"/>
      <c r="B1017" s="17"/>
      <c r="C1017" s="2"/>
      <c r="D1017" s="2"/>
      <c r="E1017" s="2"/>
      <c r="F1017" s="2"/>
      <c r="G1017" s="2"/>
      <c r="H1017" s="2"/>
      <c r="I1017" s="5"/>
    </row>
    <row r="1018" spans="1:9" ht="17.399999999999999" x14ac:dyDescent="0.25">
      <c r="A1018" s="16"/>
      <c r="B1018" s="17"/>
      <c r="C1018" s="2"/>
      <c r="D1018" s="2"/>
      <c r="E1018" s="2"/>
      <c r="F1018" s="2"/>
      <c r="G1018" s="2"/>
      <c r="H1018" s="2"/>
      <c r="I1018" s="5"/>
    </row>
    <row r="1019" spans="1:9" ht="17.399999999999999" x14ac:dyDescent="0.25">
      <c r="A1019" s="16"/>
      <c r="B1019" s="17"/>
      <c r="C1019" s="2"/>
      <c r="D1019" s="2"/>
      <c r="E1019" s="2"/>
      <c r="F1019" s="2"/>
      <c r="G1019" s="2"/>
      <c r="H1019" s="2"/>
      <c r="I1019" s="5"/>
    </row>
    <row r="1020" spans="1:9" ht="17.399999999999999" x14ac:dyDescent="0.25">
      <c r="A1020" s="16"/>
      <c r="B1020" s="17"/>
      <c r="C1020" s="2"/>
      <c r="D1020" s="2"/>
      <c r="E1020" s="2"/>
      <c r="F1020" s="2"/>
      <c r="G1020" s="2"/>
      <c r="H1020" s="2"/>
      <c r="I1020" s="5"/>
    </row>
    <row r="1021" spans="1:9" ht="17.399999999999999" x14ac:dyDescent="0.25">
      <c r="A1021" s="16"/>
      <c r="B1021" s="17"/>
      <c r="C1021" s="2"/>
      <c r="D1021" s="2"/>
      <c r="E1021" s="2"/>
      <c r="F1021" s="2"/>
      <c r="G1021" s="2"/>
      <c r="H1021" s="2"/>
      <c r="I1021" s="5"/>
    </row>
    <row r="1022" spans="1:9" ht="17.399999999999999" x14ac:dyDescent="0.25">
      <c r="A1022" s="16"/>
      <c r="B1022" s="17"/>
      <c r="C1022" s="2"/>
      <c r="D1022" s="2"/>
      <c r="E1022" s="2"/>
      <c r="F1022" s="2"/>
      <c r="G1022" s="2"/>
      <c r="H1022" s="2"/>
      <c r="I1022" s="5"/>
    </row>
    <row r="1023" spans="1:9" ht="17.399999999999999" x14ac:dyDescent="0.25">
      <c r="A1023" s="16"/>
      <c r="B1023" s="17"/>
      <c r="C1023" s="2"/>
      <c r="D1023" s="2"/>
      <c r="E1023" s="2"/>
      <c r="F1023" s="2"/>
      <c r="G1023" s="2"/>
      <c r="H1023" s="2"/>
      <c r="I1023" s="5"/>
    </row>
    <row r="1024" spans="1:9" ht="17.399999999999999" x14ac:dyDescent="0.25">
      <c r="A1024" s="16"/>
      <c r="B1024" s="17"/>
      <c r="C1024" s="2"/>
      <c r="D1024" s="2"/>
      <c r="E1024" s="2"/>
      <c r="F1024" s="2"/>
      <c r="G1024" s="2"/>
      <c r="H1024" s="2"/>
      <c r="I1024" s="5"/>
    </row>
    <row r="1025" spans="1:9" ht="17.399999999999999" x14ac:dyDescent="0.25">
      <c r="A1025" s="16"/>
      <c r="B1025" s="17"/>
      <c r="C1025" s="2"/>
      <c r="D1025" s="2"/>
      <c r="E1025" s="2"/>
      <c r="F1025" s="2"/>
      <c r="G1025" s="2"/>
      <c r="H1025" s="2"/>
      <c r="I1025" s="5"/>
    </row>
    <row r="1026" spans="1:9" ht="17.399999999999999" x14ac:dyDescent="0.25">
      <c r="A1026" s="16"/>
      <c r="B1026" s="17"/>
      <c r="C1026" s="2"/>
      <c r="D1026" s="2"/>
      <c r="E1026" s="2"/>
      <c r="F1026" s="2"/>
      <c r="G1026" s="2"/>
      <c r="H1026" s="2"/>
      <c r="I1026" s="5"/>
    </row>
    <row r="1027" spans="1:9" ht="17.399999999999999" x14ac:dyDescent="0.25">
      <c r="A1027" s="16"/>
      <c r="B1027" s="17"/>
      <c r="C1027" s="2"/>
      <c r="D1027" s="2"/>
      <c r="E1027" s="2"/>
      <c r="F1027" s="2"/>
      <c r="G1027" s="2"/>
      <c r="H1027" s="2"/>
      <c r="I1027" s="5"/>
    </row>
    <row r="1028" spans="1:9" ht="17.399999999999999" x14ac:dyDescent="0.25">
      <c r="A1028" s="16"/>
      <c r="B1028" s="17"/>
      <c r="C1028" s="2"/>
      <c r="D1028" s="2"/>
      <c r="E1028" s="2"/>
      <c r="F1028" s="2"/>
      <c r="G1028" s="2"/>
      <c r="H1028" s="2"/>
      <c r="I1028" s="5"/>
    </row>
    <row r="1029" spans="1:9" ht="17.399999999999999" x14ac:dyDescent="0.25">
      <c r="A1029" s="16"/>
      <c r="B1029" s="17"/>
      <c r="C1029" s="2"/>
      <c r="D1029" s="2"/>
      <c r="E1029" s="2"/>
      <c r="F1029" s="2"/>
      <c r="G1029" s="2"/>
      <c r="H1029" s="2"/>
      <c r="I1029" s="5"/>
    </row>
    <row r="1030" spans="1:9" ht="17.399999999999999" x14ac:dyDescent="0.25">
      <c r="A1030" s="16"/>
      <c r="B1030" s="17"/>
      <c r="C1030" s="2"/>
      <c r="D1030" s="2"/>
      <c r="E1030" s="2"/>
      <c r="F1030" s="2"/>
      <c r="G1030" s="2"/>
      <c r="H1030" s="2"/>
      <c r="I1030" s="5"/>
    </row>
    <row r="1031" spans="1:9" ht="17.399999999999999" x14ac:dyDescent="0.25">
      <c r="A1031" s="16"/>
      <c r="B1031" s="17"/>
      <c r="C1031" s="2"/>
      <c r="D1031" s="2"/>
      <c r="E1031" s="2"/>
      <c r="F1031" s="2"/>
      <c r="G1031" s="2"/>
      <c r="H1031" s="2"/>
      <c r="I1031" s="5"/>
    </row>
    <row r="1032" spans="1:9" ht="17.399999999999999" x14ac:dyDescent="0.25">
      <c r="A1032" s="16"/>
      <c r="B1032" s="17"/>
      <c r="C1032" s="2"/>
      <c r="D1032" s="2"/>
      <c r="E1032" s="2"/>
      <c r="F1032" s="2"/>
      <c r="G1032" s="2"/>
      <c r="H1032" s="2"/>
      <c r="I1032" s="5"/>
    </row>
    <row r="1033" spans="1:9" ht="17.399999999999999" x14ac:dyDescent="0.25">
      <c r="A1033" s="16"/>
      <c r="B1033" s="17"/>
      <c r="C1033" s="2"/>
      <c r="D1033" s="2"/>
      <c r="E1033" s="2"/>
      <c r="F1033" s="2"/>
      <c r="G1033" s="2"/>
      <c r="H1033" s="2"/>
      <c r="I1033" s="5"/>
    </row>
    <row r="1034" spans="1:9" ht="17.399999999999999" x14ac:dyDescent="0.25">
      <c r="A1034" s="16"/>
      <c r="B1034" s="17"/>
      <c r="C1034" s="2"/>
      <c r="D1034" s="2"/>
      <c r="E1034" s="2"/>
      <c r="F1034" s="2"/>
      <c r="G1034" s="2"/>
      <c r="H1034" s="2"/>
      <c r="I1034" s="5"/>
    </row>
    <row r="1035" spans="1:9" ht="17.399999999999999" x14ac:dyDescent="0.25">
      <c r="A1035" s="16"/>
      <c r="B1035" s="17"/>
      <c r="C1035" s="2"/>
      <c r="D1035" s="2"/>
      <c r="E1035" s="2"/>
      <c r="F1035" s="2"/>
      <c r="G1035" s="2"/>
      <c r="H1035" s="2"/>
      <c r="I1035" s="5"/>
    </row>
    <row r="1036" spans="1:9" ht="17.399999999999999" x14ac:dyDescent="0.25">
      <c r="A1036" s="16"/>
      <c r="B1036" s="17"/>
      <c r="C1036" s="2"/>
      <c r="D1036" s="2"/>
      <c r="E1036" s="2"/>
      <c r="F1036" s="2"/>
      <c r="G1036" s="2"/>
      <c r="H1036" s="2"/>
      <c r="I1036" s="5"/>
    </row>
    <row r="1037" spans="1:9" ht="17.399999999999999" x14ac:dyDescent="0.25">
      <c r="A1037" s="16"/>
      <c r="B1037" s="17"/>
      <c r="C1037" s="2"/>
      <c r="D1037" s="2"/>
      <c r="E1037" s="2"/>
      <c r="F1037" s="2"/>
      <c r="G1037" s="2"/>
      <c r="H1037" s="2"/>
      <c r="I1037" s="5"/>
    </row>
    <row r="1038" spans="1:9" ht="17.399999999999999" x14ac:dyDescent="0.25">
      <c r="A1038" s="16"/>
      <c r="B1038" s="17"/>
      <c r="C1038" s="2"/>
      <c r="D1038" s="2"/>
      <c r="E1038" s="2"/>
      <c r="F1038" s="2"/>
      <c r="G1038" s="2"/>
      <c r="H1038" s="2"/>
      <c r="I1038" s="5"/>
    </row>
    <row r="1039" spans="1:9" ht="17.399999999999999" x14ac:dyDescent="0.25">
      <c r="A1039" s="16"/>
      <c r="B1039" s="17"/>
      <c r="C1039" s="2"/>
      <c r="D1039" s="2"/>
      <c r="E1039" s="2"/>
      <c r="F1039" s="2"/>
      <c r="G1039" s="2"/>
      <c r="H1039" s="2"/>
      <c r="I1039" s="5"/>
    </row>
    <row r="1040" spans="1:9" ht="17.399999999999999" x14ac:dyDescent="0.25">
      <c r="A1040" s="16"/>
      <c r="B1040" s="17"/>
      <c r="C1040" s="2"/>
      <c r="D1040" s="2"/>
      <c r="E1040" s="2"/>
      <c r="F1040" s="2"/>
      <c r="G1040" s="2"/>
      <c r="H1040" s="2"/>
      <c r="I1040" s="5"/>
    </row>
    <row r="1041" spans="1:9" ht="17.399999999999999" x14ac:dyDescent="0.25">
      <c r="A1041" s="16"/>
      <c r="B1041" s="17"/>
      <c r="C1041" s="2"/>
      <c r="D1041" s="2"/>
      <c r="E1041" s="2"/>
      <c r="F1041" s="2"/>
      <c r="G1041" s="2"/>
      <c r="H1041" s="2"/>
      <c r="I1041" s="5"/>
    </row>
    <row r="1042" spans="1:9" ht="17.399999999999999" x14ac:dyDescent="0.25">
      <c r="A1042" s="16"/>
      <c r="B1042" s="17"/>
      <c r="C1042" s="2"/>
      <c r="D1042" s="2"/>
      <c r="E1042" s="2"/>
      <c r="F1042" s="2"/>
      <c r="G1042" s="2"/>
      <c r="H1042" s="2"/>
      <c r="I1042" s="5"/>
    </row>
    <row r="1043" spans="1:9" ht="17.399999999999999" x14ac:dyDescent="0.25">
      <c r="A1043" s="16"/>
      <c r="B1043" s="17"/>
      <c r="C1043" s="2"/>
      <c r="D1043" s="2"/>
      <c r="E1043" s="2"/>
      <c r="F1043" s="2"/>
      <c r="G1043" s="2"/>
      <c r="H1043" s="2"/>
      <c r="I1043" s="5"/>
    </row>
    <row r="1044" spans="1:9" ht="17.399999999999999" x14ac:dyDescent="0.25">
      <c r="A1044" s="16"/>
      <c r="B1044" s="17"/>
      <c r="C1044" s="2"/>
      <c r="D1044" s="2"/>
      <c r="E1044" s="2"/>
      <c r="F1044" s="2"/>
      <c r="G1044" s="2"/>
      <c r="H1044" s="2"/>
      <c r="I1044" s="5"/>
    </row>
    <row r="1045" spans="1:9" ht="17.399999999999999" x14ac:dyDescent="0.25">
      <c r="A1045" s="16"/>
      <c r="B1045" s="17"/>
      <c r="C1045" s="2"/>
      <c r="D1045" s="2"/>
      <c r="E1045" s="2"/>
      <c r="F1045" s="2"/>
      <c r="G1045" s="2"/>
      <c r="H1045" s="2"/>
      <c r="I1045" s="5"/>
    </row>
    <row r="1046" spans="1:9" ht="17.399999999999999" x14ac:dyDescent="0.25">
      <c r="A1046" s="16"/>
      <c r="B1046" s="17"/>
      <c r="C1046" s="2"/>
      <c r="D1046" s="2"/>
      <c r="E1046" s="2"/>
      <c r="F1046" s="2"/>
      <c r="G1046" s="2"/>
      <c r="H1046" s="2"/>
      <c r="I1046" s="5"/>
    </row>
    <row r="1047" spans="1:9" ht="17.399999999999999" x14ac:dyDescent="0.25">
      <c r="A1047" s="16"/>
      <c r="B1047" s="17"/>
      <c r="C1047" s="2"/>
      <c r="D1047" s="2"/>
      <c r="E1047" s="2"/>
      <c r="F1047" s="2"/>
      <c r="G1047" s="2"/>
      <c r="H1047" s="2"/>
      <c r="I1047" s="5"/>
    </row>
    <row r="1048" spans="1:9" ht="17.399999999999999" x14ac:dyDescent="0.25">
      <c r="A1048" s="16"/>
      <c r="B1048" s="17"/>
      <c r="C1048" s="2"/>
      <c r="D1048" s="2"/>
      <c r="E1048" s="2"/>
      <c r="F1048" s="2"/>
      <c r="G1048" s="2"/>
      <c r="H1048" s="2"/>
      <c r="I1048" s="5"/>
    </row>
    <row r="1049" spans="1:9" ht="17.399999999999999" x14ac:dyDescent="0.25">
      <c r="A1049" s="16"/>
      <c r="B1049" s="17"/>
      <c r="C1049" s="2"/>
      <c r="D1049" s="2"/>
      <c r="E1049" s="2"/>
      <c r="F1049" s="2"/>
      <c r="G1049" s="2"/>
      <c r="H1049" s="2"/>
      <c r="I1049" s="5"/>
    </row>
    <row r="1050" spans="1:9" ht="17.399999999999999" x14ac:dyDescent="0.25">
      <c r="A1050" s="16"/>
      <c r="B1050" s="17"/>
      <c r="C1050" s="2"/>
      <c r="D1050" s="2"/>
      <c r="E1050" s="2"/>
      <c r="F1050" s="2"/>
      <c r="G1050" s="2"/>
      <c r="H1050" s="2"/>
      <c r="I1050" s="5"/>
    </row>
    <row r="1051" spans="1:9" ht="17.399999999999999" x14ac:dyDescent="0.25">
      <c r="A1051" s="16"/>
      <c r="B1051" s="17"/>
      <c r="C1051" s="2"/>
      <c r="D1051" s="2"/>
      <c r="E1051" s="2"/>
      <c r="F1051" s="2"/>
      <c r="G1051" s="2"/>
      <c r="H1051" s="2"/>
      <c r="I1051" s="5"/>
    </row>
    <row r="1052" spans="1:9" ht="17.399999999999999" x14ac:dyDescent="0.25">
      <c r="A1052" s="16"/>
      <c r="B1052" s="17"/>
      <c r="C1052" s="2"/>
      <c r="D1052" s="2"/>
      <c r="E1052" s="2"/>
      <c r="F1052" s="2"/>
      <c r="G1052" s="2"/>
      <c r="H1052" s="2"/>
      <c r="I1052" s="5"/>
    </row>
    <row r="1053" spans="1:9" ht="17.399999999999999" x14ac:dyDescent="0.25">
      <c r="A1053" s="16"/>
      <c r="B1053" s="17"/>
      <c r="C1053" s="2"/>
      <c r="D1053" s="2"/>
      <c r="E1053" s="2"/>
      <c r="F1053" s="2"/>
      <c r="G1053" s="2"/>
      <c r="H1053" s="2"/>
      <c r="I1053" s="5"/>
    </row>
    <row r="1054" spans="1:9" ht="17.399999999999999" x14ac:dyDescent="0.25">
      <c r="A1054" s="16"/>
      <c r="B1054" s="17"/>
      <c r="C1054" s="2"/>
      <c r="D1054" s="2"/>
      <c r="E1054" s="2"/>
      <c r="F1054" s="2"/>
      <c r="G1054" s="2"/>
      <c r="H1054" s="2"/>
      <c r="I1054" s="5"/>
    </row>
    <row r="1055" spans="1:9" ht="17.399999999999999" x14ac:dyDescent="0.25">
      <c r="A1055" s="16"/>
      <c r="B1055" s="17"/>
      <c r="C1055" s="2"/>
      <c r="D1055" s="2"/>
      <c r="E1055" s="2"/>
      <c r="F1055" s="2"/>
      <c r="G1055" s="2"/>
      <c r="H1055" s="2"/>
      <c r="I1055" s="5"/>
    </row>
    <row r="1056" spans="1:9" ht="17.399999999999999" x14ac:dyDescent="0.25">
      <c r="A1056" s="16"/>
      <c r="B1056" s="17"/>
      <c r="C1056" s="2"/>
      <c r="D1056" s="2"/>
      <c r="E1056" s="2"/>
      <c r="F1056" s="2"/>
      <c r="G1056" s="2"/>
      <c r="H1056" s="2"/>
      <c r="I1056" s="5"/>
    </row>
    <row r="1057" spans="1:9" ht="17.399999999999999" x14ac:dyDescent="0.25">
      <c r="A1057" s="16"/>
      <c r="B1057" s="17"/>
      <c r="C1057" s="2"/>
      <c r="D1057" s="2"/>
      <c r="E1057" s="2"/>
      <c r="F1057" s="2"/>
      <c r="G1057" s="2"/>
      <c r="H1057" s="2"/>
      <c r="I1057" s="5"/>
    </row>
    <row r="1058" spans="1:9" ht="17.399999999999999" x14ac:dyDescent="0.25">
      <c r="A1058" s="16"/>
      <c r="B1058" s="17"/>
      <c r="C1058" s="2"/>
      <c r="D1058" s="2"/>
      <c r="E1058" s="2"/>
      <c r="F1058" s="2"/>
      <c r="G1058" s="2"/>
      <c r="H1058" s="2"/>
      <c r="I1058" s="5"/>
    </row>
    <row r="1059" spans="1:9" ht="17.399999999999999" x14ac:dyDescent="0.25">
      <c r="A1059" s="16"/>
      <c r="B1059" s="17"/>
      <c r="C1059" s="2"/>
      <c r="D1059" s="2"/>
      <c r="E1059" s="2"/>
      <c r="F1059" s="2"/>
      <c r="G1059" s="2"/>
      <c r="H1059" s="2"/>
      <c r="I1059" s="5"/>
    </row>
    <row r="1060" spans="1:9" ht="17.399999999999999" x14ac:dyDescent="0.25">
      <c r="A1060" s="16"/>
      <c r="B1060" s="17"/>
      <c r="C1060" s="2"/>
      <c r="D1060" s="2"/>
      <c r="E1060" s="2"/>
      <c r="F1060" s="2"/>
      <c r="G1060" s="2"/>
      <c r="H1060" s="2"/>
      <c r="I1060" s="5"/>
    </row>
    <row r="1061" spans="1:9" ht="17.399999999999999" x14ac:dyDescent="0.25">
      <c r="A1061" s="16"/>
      <c r="B1061" s="17"/>
      <c r="C1061" s="2"/>
      <c r="D1061" s="2"/>
      <c r="E1061" s="2"/>
      <c r="F1061" s="2"/>
      <c r="G1061" s="2"/>
      <c r="H1061" s="2"/>
      <c r="I1061" s="5"/>
    </row>
    <row r="1062" spans="1:9" ht="17.399999999999999" x14ac:dyDescent="0.25">
      <c r="A1062" s="16"/>
      <c r="B1062" s="17"/>
      <c r="C1062" s="2"/>
      <c r="D1062" s="2"/>
      <c r="E1062" s="2"/>
      <c r="F1062" s="2"/>
      <c r="G1062" s="2"/>
      <c r="H1062" s="2"/>
      <c r="I1062" s="5"/>
    </row>
    <row r="1063" spans="1:9" ht="17.399999999999999" x14ac:dyDescent="0.25">
      <c r="A1063" s="16"/>
      <c r="B1063" s="17"/>
      <c r="C1063" s="2"/>
      <c r="D1063" s="2"/>
      <c r="E1063" s="2"/>
      <c r="F1063" s="2"/>
      <c r="G1063" s="2"/>
      <c r="H1063" s="2"/>
      <c r="I1063" s="5"/>
    </row>
    <row r="1064" spans="1:9" ht="17.399999999999999" x14ac:dyDescent="0.25">
      <c r="A1064" s="16"/>
      <c r="B1064" s="17"/>
      <c r="C1064" s="2"/>
      <c r="D1064" s="2"/>
      <c r="E1064" s="2"/>
      <c r="F1064" s="2"/>
      <c r="G1064" s="2"/>
      <c r="H1064" s="2"/>
      <c r="I1064" s="5"/>
    </row>
    <row r="1065" spans="1:9" ht="17.399999999999999" x14ac:dyDescent="0.25">
      <c r="A1065" s="16"/>
      <c r="B1065" s="17"/>
      <c r="C1065" s="2"/>
      <c r="D1065" s="2"/>
      <c r="E1065" s="2"/>
      <c r="F1065" s="2"/>
      <c r="G1065" s="2"/>
      <c r="H1065" s="2"/>
      <c r="I1065" s="5"/>
    </row>
    <row r="1066" spans="1:9" ht="17.399999999999999" x14ac:dyDescent="0.25">
      <c r="A1066" s="16"/>
      <c r="B1066" s="17"/>
      <c r="C1066" s="2"/>
      <c r="D1066" s="2"/>
      <c r="E1066" s="2"/>
      <c r="F1066" s="2"/>
      <c r="G1066" s="2"/>
      <c r="H1066" s="2"/>
      <c r="I1066" s="5"/>
    </row>
    <row r="1067" spans="1:9" ht="17.399999999999999" x14ac:dyDescent="0.25">
      <c r="A1067" s="16"/>
      <c r="B1067" s="17"/>
      <c r="C1067" s="2"/>
      <c r="D1067" s="2"/>
      <c r="E1067" s="2"/>
      <c r="F1067" s="2"/>
      <c r="G1067" s="2"/>
      <c r="H1067" s="2"/>
      <c r="I1067" s="5"/>
    </row>
    <row r="1068" spans="1:9" ht="17.399999999999999" x14ac:dyDescent="0.25">
      <c r="A1068" s="16"/>
      <c r="B1068" s="17"/>
      <c r="C1068" s="2"/>
      <c r="D1068" s="2"/>
      <c r="E1068" s="2"/>
      <c r="F1068" s="2"/>
      <c r="G1068" s="2"/>
      <c r="H1068" s="2"/>
      <c r="I1068" s="5"/>
    </row>
    <row r="1069" spans="1:9" ht="17.399999999999999" x14ac:dyDescent="0.25">
      <c r="A1069" s="16"/>
      <c r="B1069" s="17"/>
      <c r="C1069" s="2"/>
      <c r="D1069" s="2"/>
      <c r="E1069" s="2"/>
      <c r="F1069" s="2"/>
      <c r="G1069" s="2"/>
      <c r="H1069" s="2"/>
      <c r="I1069" s="5"/>
    </row>
    <row r="1070" spans="1:9" ht="17.399999999999999" x14ac:dyDescent="0.25">
      <c r="A1070" s="16"/>
      <c r="B1070" s="17"/>
      <c r="C1070" s="2"/>
      <c r="D1070" s="2"/>
      <c r="E1070" s="2"/>
      <c r="F1070" s="2"/>
      <c r="G1070" s="2"/>
      <c r="H1070" s="2"/>
      <c r="I1070" s="5"/>
    </row>
    <row r="1071" spans="1:9" ht="17.399999999999999" x14ac:dyDescent="0.25">
      <c r="A1071" s="16"/>
      <c r="B1071" s="17"/>
      <c r="C1071" s="2"/>
      <c r="D1071" s="2"/>
      <c r="E1071" s="2"/>
      <c r="F1071" s="2"/>
      <c r="G1071" s="2"/>
      <c r="H1071" s="2"/>
      <c r="I1071" s="5"/>
    </row>
    <row r="1072" spans="1:9" ht="17.399999999999999" x14ac:dyDescent="0.25">
      <c r="A1072" s="16"/>
      <c r="B1072" s="17"/>
      <c r="C1072" s="2"/>
      <c r="D1072" s="2"/>
      <c r="E1072" s="2"/>
      <c r="F1072" s="2"/>
      <c r="G1072" s="2"/>
      <c r="H1072" s="2"/>
      <c r="I1072" s="5"/>
    </row>
    <row r="1073" spans="1:9" ht="17.399999999999999" x14ac:dyDescent="0.25">
      <c r="A1073" s="16"/>
      <c r="B1073" s="17"/>
      <c r="C1073" s="2"/>
      <c r="D1073" s="2"/>
      <c r="E1073" s="2"/>
      <c r="F1073" s="2"/>
      <c r="G1073" s="2"/>
      <c r="H1073" s="2"/>
      <c r="I1073" s="5"/>
    </row>
    <row r="1074" spans="1:9" ht="17.399999999999999" x14ac:dyDescent="0.25">
      <c r="A1074" s="16"/>
      <c r="B1074" s="17"/>
      <c r="C1074" s="2"/>
      <c r="D1074" s="2"/>
      <c r="E1074" s="2"/>
      <c r="F1074" s="2"/>
      <c r="G1074" s="2"/>
      <c r="H1074" s="2"/>
      <c r="I1074" s="5"/>
    </row>
    <row r="1075" spans="1:9" ht="17.399999999999999" x14ac:dyDescent="0.25">
      <c r="A1075" s="16"/>
      <c r="B1075" s="17"/>
      <c r="C1075" s="2"/>
      <c r="D1075" s="2"/>
      <c r="E1075" s="2"/>
      <c r="F1075" s="2"/>
      <c r="G1075" s="2"/>
      <c r="H1075" s="2"/>
      <c r="I1075" s="5"/>
    </row>
    <row r="1076" spans="1:9" ht="17.399999999999999" x14ac:dyDescent="0.25">
      <c r="A1076" s="16"/>
      <c r="B1076" s="17"/>
      <c r="C1076" s="2"/>
      <c r="D1076" s="2"/>
      <c r="E1076" s="2"/>
      <c r="F1076" s="2"/>
      <c r="G1076" s="2"/>
      <c r="H1076" s="2"/>
      <c r="I1076" s="5"/>
    </row>
    <row r="1077" spans="1:9" ht="17.399999999999999" x14ac:dyDescent="0.25">
      <c r="A1077" s="16"/>
      <c r="B1077" s="17"/>
      <c r="C1077" s="2"/>
      <c r="D1077" s="2"/>
      <c r="E1077" s="2"/>
      <c r="F1077" s="2"/>
      <c r="G1077" s="2"/>
      <c r="H1077" s="2"/>
      <c r="I1077" s="5"/>
    </row>
    <row r="1078" spans="1:9" ht="17.399999999999999" x14ac:dyDescent="0.25">
      <c r="A1078" s="16"/>
      <c r="B1078" s="17"/>
      <c r="C1078" s="2"/>
      <c r="D1078" s="2"/>
      <c r="E1078" s="2"/>
      <c r="F1078" s="2"/>
      <c r="G1078" s="2"/>
      <c r="H1078" s="2"/>
      <c r="I1078" s="5"/>
    </row>
    <row r="1079" spans="1:9" ht="17.399999999999999" x14ac:dyDescent="0.25">
      <c r="A1079" s="16"/>
      <c r="B1079" s="17"/>
      <c r="C1079" s="2"/>
      <c r="D1079" s="2"/>
      <c r="E1079" s="2"/>
      <c r="F1079" s="2"/>
      <c r="G1079" s="2"/>
      <c r="H1079" s="2"/>
      <c r="I1079" s="5"/>
    </row>
    <row r="1080" spans="1:9" ht="17.399999999999999" x14ac:dyDescent="0.25">
      <c r="A1080" s="16"/>
      <c r="B1080" s="17"/>
      <c r="C1080" s="2"/>
      <c r="D1080" s="2"/>
      <c r="E1080" s="2"/>
      <c r="F1080" s="2"/>
      <c r="G1080" s="2"/>
      <c r="H1080" s="2"/>
      <c r="I1080" s="5"/>
    </row>
    <row r="1081" spans="1:9" ht="17.399999999999999" x14ac:dyDescent="0.25">
      <c r="A1081" s="16"/>
      <c r="B1081" s="17"/>
      <c r="C1081" s="2"/>
      <c r="D1081" s="2"/>
      <c r="E1081" s="2"/>
      <c r="F1081" s="2"/>
      <c r="G1081" s="2"/>
      <c r="H1081" s="2"/>
      <c r="I1081" s="5"/>
    </row>
    <row r="1082" spans="1:9" ht="17.399999999999999" x14ac:dyDescent="0.25">
      <c r="A1082" s="16"/>
      <c r="B1082" s="17"/>
      <c r="C1082" s="2"/>
      <c r="D1082" s="2"/>
      <c r="E1082" s="2"/>
      <c r="F1082" s="2"/>
      <c r="G1082" s="2"/>
      <c r="H1082" s="2"/>
      <c r="I1082" s="5"/>
    </row>
    <row r="1083" spans="1:9" ht="17.399999999999999" x14ac:dyDescent="0.25">
      <c r="A1083" s="16"/>
      <c r="B1083" s="17"/>
      <c r="C1083" s="2"/>
      <c r="D1083" s="2"/>
      <c r="E1083" s="2"/>
      <c r="F1083" s="2"/>
      <c r="G1083" s="2"/>
      <c r="H1083" s="2"/>
      <c r="I1083" s="5"/>
    </row>
    <row r="1084" spans="1:9" ht="17.399999999999999" x14ac:dyDescent="0.25">
      <c r="A1084" s="16"/>
      <c r="B1084" s="17"/>
      <c r="C1084" s="2"/>
      <c r="D1084" s="2"/>
      <c r="E1084" s="2"/>
      <c r="F1084" s="2"/>
      <c r="G1084" s="2"/>
      <c r="H1084" s="2"/>
      <c r="I1084" s="5"/>
    </row>
    <row r="1085" spans="1:9" ht="17.399999999999999" x14ac:dyDescent="0.25">
      <c r="A1085" s="16"/>
      <c r="B1085" s="17"/>
      <c r="C1085" s="2"/>
      <c r="D1085" s="2"/>
      <c r="E1085" s="2"/>
      <c r="F1085" s="2"/>
      <c r="G1085" s="2"/>
      <c r="H1085" s="2"/>
      <c r="I1085" s="5"/>
    </row>
    <row r="1086" spans="1:9" ht="17.399999999999999" x14ac:dyDescent="0.25">
      <c r="A1086" s="16"/>
      <c r="B1086" s="17"/>
      <c r="C1086" s="2"/>
      <c r="D1086" s="2"/>
      <c r="E1086" s="2"/>
      <c r="F1086" s="2"/>
      <c r="G1086" s="2"/>
      <c r="H1086" s="2"/>
      <c r="I1086" s="5"/>
    </row>
    <row r="1087" spans="1:9" ht="17.399999999999999" x14ac:dyDescent="0.25">
      <c r="A1087" s="16"/>
      <c r="B1087" s="17"/>
      <c r="C1087" s="2"/>
      <c r="D1087" s="2"/>
      <c r="E1087" s="2"/>
      <c r="F1087" s="2"/>
      <c r="G1087" s="2"/>
      <c r="H1087" s="2"/>
      <c r="I1087" s="5"/>
    </row>
    <row r="1088" spans="1:9" ht="17.399999999999999" x14ac:dyDescent="0.25">
      <c r="A1088" s="16"/>
      <c r="B1088" s="17"/>
      <c r="C1088" s="2"/>
      <c r="D1088" s="2"/>
      <c r="E1088" s="2"/>
      <c r="F1088" s="2"/>
      <c r="G1088" s="2"/>
      <c r="H1088" s="2"/>
      <c r="I1088" s="5"/>
    </row>
    <row r="1089" spans="1:9" ht="17.399999999999999" x14ac:dyDescent="0.25">
      <c r="A1089" s="16"/>
      <c r="B1089" s="17"/>
      <c r="C1089" s="2"/>
      <c r="D1089" s="2"/>
      <c r="E1089" s="2"/>
      <c r="F1089" s="2"/>
      <c r="G1089" s="2"/>
      <c r="H1089" s="2"/>
      <c r="I1089" s="5"/>
    </row>
    <row r="1090" spans="1:9" ht="17.399999999999999" x14ac:dyDescent="0.25">
      <c r="A1090" s="16"/>
      <c r="B1090" s="17"/>
      <c r="C1090" s="2"/>
      <c r="D1090" s="2"/>
      <c r="E1090" s="2"/>
      <c r="F1090" s="2"/>
      <c r="G1090" s="2"/>
      <c r="H1090" s="2"/>
      <c r="I1090" s="5"/>
    </row>
    <row r="1091" spans="1:9" ht="17.399999999999999" x14ac:dyDescent="0.25">
      <c r="A1091" s="16"/>
      <c r="B1091" s="17"/>
      <c r="C1091" s="2"/>
      <c r="D1091" s="2"/>
      <c r="E1091" s="2"/>
      <c r="F1091" s="2"/>
      <c r="G1091" s="2"/>
      <c r="H1091" s="2"/>
      <c r="I1091" s="5"/>
    </row>
    <row r="1092" spans="1:9" ht="17.399999999999999" x14ac:dyDescent="0.25">
      <c r="A1092" s="16"/>
      <c r="B1092" s="17"/>
      <c r="C1092" s="2"/>
      <c r="D1092" s="2"/>
      <c r="E1092" s="2"/>
      <c r="F1092" s="2"/>
      <c r="G1092" s="2"/>
      <c r="H1092" s="2"/>
      <c r="I1092" s="5"/>
    </row>
    <row r="1093" spans="1:9" ht="17.399999999999999" x14ac:dyDescent="0.25">
      <c r="A1093" s="16"/>
      <c r="B1093" s="17"/>
      <c r="C1093" s="2"/>
      <c r="D1093" s="2"/>
      <c r="E1093" s="2"/>
      <c r="F1093" s="2"/>
      <c r="G1093" s="2"/>
      <c r="H1093" s="2"/>
      <c r="I1093" s="5"/>
    </row>
    <row r="1094" spans="1:9" ht="17.399999999999999" x14ac:dyDescent="0.25">
      <c r="A1094" s="16"/>
      <c r="B1094" s="17"/>
      <c r="C1094" s="2"/>
      <c r="D1094" s="2"/>
      <c r="E1094" s="2"/>
      <c r="F1094" s="2"/>
      <c r="G1094" s="2"/>
      <c r="H1094" s="2"/>
      <c r="I1094" s="5"/>
    </row>
    <row r="1095" spans="1:9" ht="17.399999999999999" x14ac:dyDescent="0.25">
      <c r="A1095" s="16"/>
      <c r="B1095" s="17"/>
      <c r="C1095" s="2"/>
      <c r="D1095" s="2"/>
      <c r="E1095" s="2"/>
      <c r="F1095" s="2"/>
      <c r="G1095" s="2"/>
      <c r="H1095" s="2"/>
      <c r="I1095" s="5"/>
    </row>
    <row r="1096" spans="1:9" ht="17.399999999999999" x14ac:dyDescent="0.25">
      <c r="A1096" s="16"/>
      <c r="B1096" s="17"/>
      <c r="C1096" s="2"/>
      <c r="D1096" s="2"/>
      <c r="E1096" s="2"/>
      <c r="F1096" s="2"/>
      <c r="G1096" s="2"/>
      <c r="H1096" s="2"/>
      <c r="I1096" s="5"/>
    </row>
    <row r="1097" spans="1:9" ht="17.399999999999999" x14ac:dyDescent="0.25">
      <c r="A1097" s="16"/>
      <c r="B1097" s="17"/>
      <c r="C1097" s="2"/>
      <c r="D1097" s="2"/>
      <c r="E1097" s="2"/>
      <c r="F1097" s="2"/>
      <c r="G1097" s="2"/>
      <c r="H1097" s="2"/>
      <c r="I1097" s="5"/>
    </row>
    <row r="1098" spans="1:9" ht="17.399999999999999" x14ac:dyDescent="0.25">
      <c r="A1098" s="16"/>
      <c r="B1098" s="17"/>
      <c r="C1098" s="2"/>
      <c r="D1098" s="2"/>
      <c r="E1098" s="2"/>
      <c r="F1098" s="2"/>
      <c r="G1098" s="2"/>
      <c r="H1098" s="2"/>
      <c r="I1098" s="5"/>
    </row>
    <row r="1099" spans="1:9" ht="17.399999999999999" x14ac:dyDescent="0.25">
      <c r="A1099" s="16"/>
      <c r="B1099" s="17"/>
      <c r="C1099" s="2"/>
      <c r="D1099" s="2"/>
      <c r="E1099" s="2"/>
      <c r="F1099" s="2"/>
      <c r="G1099" s="2"/>
      <c r="H1099" s="2"/>
      <c r="I1099" s="5"/>
    </row>
    <row r="1100" spans="1:9" ht="17.399999999999999" x14ac:dyDescent="0.25">
      <c r="A1100" s="16"/>
      <c r="B1100" s="17"/>
      <c r="C1100" s="2"/>
      <c r="D1100" s="2"/>
      <c r="E1100" s="2"/>
      <c r="F1100" s="2"/>
      <c r="G1100" s="2"/>
      <c r="H1100" s="2"/>
      <c r="I1100" s="5"/>
    </row>
    <row r="1101" spans="1:9" ht="17.399999999999999" x14ac:dyDescent="0.25">
      <c r="A1101" s="16"/>
      <c r="B1101" s="17"/>
      <c r="C1101" s="2"/>
      <c r="D1101" s="2"/>
      <c r="E1101" s="2"/>
      <c r="F1101" s="2"/>
      <c r="G1101" s="2"/>
      <c r="H1101" s="2"/>
      <c r="I1101" s="5"/>
    </row>
    <row r="1102" spans="1:9" ht="17.399999999999999" x14ac:dyDescent="0.25">
      <c r="A1102" s="16"/>
      <c r="B1102" s="17"/>
      <c r="C1102" s="2"/>
      <c r="D1102" s="2"/>
      <c r="E1102" s="2"/>
      <c r="F1102" s="2"/>
      <c r="G1102" s="2"/>
      <c r="H1102" s="2"/>
      <c r="I1102" s="5"/>
    </row>
    <row r="1103" spans="1:9" ht="17.399999999999999" x14ac:dyDescent="0.25">
      <c r="A1103" s="16"/>
      <c r="B1103" s="17"/>
      <c r="C1103" s="2"/>
      <c r="D1103" s="2"/>
      <c r="E1103" s="2"/>
      <c r="F1103" s="2"/>
      <c r="G1103" s="2"/>
      <c r="H1103" s="2"/>
      <c r="I1103" s="5"/>
    </row>
    <row r="1104" spans="1:9" ht="17.399999999999999" x14ac:dyDescent="0.25">
      <c r="A1104" s="16"/>
      <c r="B1104" s="17"/>
      <c r="C1104" s="2"/>
      <c r="D1104" s="2"/>
      <c r="E1104" s="2"/>
      <c r="F1104" s="2"/>
      <c r="G1104" s="2"/>
      <c r="H1104" s="2"/>
      <c r="I1104" s="5"/>
    </row>
    <row r="1105" spans="1:9" ht="17.399999999999999" x14ac:dyDescent="0.25">
      <c r="A1105" s="16"/>
      <c r="B1105" s="17"/>
      <c r="C1105" s="2"/>
      <c r="D1105" s="2"/>
      <c r="E1105" s="2"/>
      <c r="F1105" s="2"/>
      <c r="G1105" s="2"/>
      <c r="H1105" s="2"/>
      <c r="I1105" s="5"/>
    </row>
    <row r="1106" spans="1:9" ht="17.399999999999999" x14ac:dyDescent="0.25">
      <c r="A1106" s="16"/>
      <c r="B1106" s="17"/>
      <c r="C1106" s="2"/>
      <c r="D1106" s="2"/>
      <c r="E1106" s="2"/>
      <c r="F1106" s="2"/>
      <c r="G1106" s="2"/>
      <c r="H1106" s="2"/>
      <c r="I1106" s="5"/>
    </row>
    <row r="1107" spans="1:9" ht="17.399999999999999" x14ac:dyDescent="0.25">
      <c r="A1107" s="16"/>
      <c r="B1107" s="17"/>
      <c r="C1107" s="2"/>
      <c r="D1107" s="2"/>
      <c r="E1107" s="2"/>
      <c r="F1107" s="2"/>
      <c r="G1107" s="2"/>
      <c r="H1107" s="2"/>
      <c r="I1107" s="5"/>
    </row>
    <row r="1108" spans="1:9" ht="17.399999999999999" x14ac:dyDescent="0.25">
      <c r="A1108" s="16"/>
      <c r="B1108" s="17"/>
      <c r="C1108" s="2"/>
      <c r="D1108" s="2"/>
      <c r="E1108" s="2"/>
      <c r="F1108" s="2"/>
      <c r="G1108" s="2"/>
      <c r="H1108" s="2"/>
      <c r="I1108" s="5"/>
    </row>
    <row r="1109" spans="1:9" ht="17.399999999999999" x14ac:dyDescent="0.25">
      <c r="A1109" s="16"/>
      <c r="B1109" s="17"/>
      <c r="C1109" s="2"/>
      <c r="D1109" s="2"/>
      <c r="E1109" s="2"/>
      <c r="F1109" s="2"/>
      <c r="G1109" s="2"/>
      <c r="H1109" s="2"/>
      <c r="I1109" s="5"/>
    </row>
    <row r="1110" spans="1:9" ht="17.399999999999999" x14ac:dyDescent="0.25">
      <c r="A1110" s="16"/>
      <c r="B1110" s="17"/>
      <c r="C1110" s="2"/>
      <c r="D1110" s="2"/>
      <c r="E1110" s="2"/>
      <c r="F1110" s="2"/>
      <c r="G1110" s="2"/>
      <c r="H1110" s="2"/>
      <c r="I1110" s="5"/>
    </row>
    <row r="1111" spans="1:9" ht="17.399999999999999" x14ac:dyDescent="0.25">
      <c r="A1111" s="16"/>
      <c r="B1111" s="17"/>
      <c r="C1111" s="2"/>
      <c r="D1111" s="2"/>
      <c r="E1111" s="2"/>
      <c r="F1111" s="2"/>
      <c r="G1111" s="2"/>
      <c r="H1111" s="2"/>
      <c r="I1111" s="5"/>
    </row>
    <row r="1112" spans="1:9" ht="17.399999999999999" x14ac:dyDescent="0.25">
      <c r="A1112" s="16"/>
      <c r="B1112" s="17"/>
      <c r="C1112" s="2"/>
      <c r="D1112" s="2"/>
      <c r="E1112" s="2"/>
      <c r="F1112" s="2"/>
      <c r="G1112" s="2"/>
      <c r="H1112" s="2"/>
      <c r="I1112" s="5"/>
    </row>
    <row r="1113" spans="1:9" ht="17.399999999999999" x14ac:dyDescent="0.25">
      <c r="A1113" s="16"/>
      <c r="B1113" s="17"/>
      <c r="C1113" s="2"/>
      <c r="D1113" s="2"/>
      <c r="E1113" s="2"/>
      <c r="F1113" s="2"/>
      <c r="G1113" s="2"/>
      <c r="H1113" s="2"/>
      <c r="I1113" s="5"/>
    </row>
    <row r="1114" spans="1:9" ht="17.399999999999999" x14ac:dyDescent="0.25">
      <c r="A1114" s="16"/>
      <c r="B1114" s="17"/>
      <c r="C1114" s="2"/>
      <c r="D1114" s="2"/>
      <c r="E1114" s="2"/>
      <c r="F1114" s="2"/>
      <c r="G1114" s="2"/>
      <c r="H1114" s="2"/>
      <c r="I1114" s="5"/>
    </row>
    <row r="1115" spans="1:9" ht="17.399999999999999" x14ac:dyDescent="0.25">
      <c r="A1115" s="16"/>
      <c r="B1115" s="17"/>
      <c r="C1115" s="2"/>
      <c r="D1115" s="2"/>
      <c r="E1115" s="2"/>
      <c r="F1115" s="2"/>
      <c r="G1115" s="2"/>
      <c r="H1115" s="2"/>
      <c r="I1115" s="5"/>
    </row>
    <row r="1116" spans="1:9" ht="17.399999999999999" x14ac:dyDescent="0.25">
      <c r="A1116" s="16"/>
      <c r="B1116" s="17"/>
      <c r="C1116" s="2"/>
      <c r="D1116" s="2"/>
      <c r="E1116" s="2"/>
      <c r="F1116" s="2"/>
      <c r="G1116" s="2"/>
      <c r="H1116" s="2"/>
      <c r="I1116" s="5"/>
    </row>
    <row r="1117" spans="1:9" ht="17.399999999999999" x14ac:dyDescent="0.25">
      <c r="A1117" s="16"/>
      <c r="B1117" s="17"/>
      <c r="C1117" s="2"/>
      <c r="D1117" s="2"/>
      <c r="E1117" s="2"/>
      <c r="F1117" s="2"/>
      <c r="G1117" s="2"/>
      <c r="H1117" s="2"/>
      <c r="I1117" s="5"/>
    </row>
    <row r="1118" spans="1:9" ht="17.399999999999999" x14ac:dyDescent="0.25">
      <c r="A1118" s="16"/>
      <c r="B1118" s="17"/>
      <c r="C1118" s="2"/>
      <c r="D1118" s="2"/>
      <c r="E1118" s="2"/>
      <c r="F1118" s="2"/>
      <c r="G1118" s="2"/>
      <c r="H1118" s="2"/>
      <c r="I1118" s="5"/>
    </row>
    <row r="1119" spans="1:9" ht="17.399999999999999" x14ac:dyDescent="0.25">
      <c r="A1119" s="16"/>
      <c r="B1119" s="17"/>
      <c r="C1119" s="2"/>
      <c r="D1119" s="2"/>
      <c r="E1119" s="2"/>
      <c r="F1119" s="2"/>
      <c r="G1119" s="2"/>
      <c r="H1119" s="2"/>
      <c r="I1119" s="5"/>
    </row>
    <row r="1120" spans="1:9" ht="17.399999999999999" x14ac:dyDescent="0.25">
      <c r="A1120" s="16"/>
      <c r="B1120" s="17"/>
      <c r="C1120" s="2"/>
      <c r="D1120" s="2"/>
      <c r="E1120" s="2"/>
      <c r="F1120" s="2"/>
      <c r="G1120" s="2"/>
      <c r="H1120" s="2"/>
      <c r="I1120" s="5"/>
    </row>
    <row r="1121" spans="1:9" ht="17.399999999999999" x14ac:dyDescent="0.25">
      <c r="A1121" s="16"/>
      <c r="B1121" s="17"/>
      <c r="C1121" s="2"/>
      <c r="D1121" s="2"/>
      <c r="E1121" s="2"/>
      <c r="F1121" s="2"/>
      <c r="G1121" s="2"/>
      <c r="H1121" s="2"/>
      <c r="I1121" s="5"/>
    </row>
    <row r="1122" spans="1:9" ht="17.399999999999999" x14ac:dyDescent="0.25">
      <c r="A1122" s="16"/>
      <c r="B1122" s="17"/>
      <c r="C1122" s="2"/>
      <c r="D1122" s="2"/>
      <c r="E1122" s="2"/>
      <c r="F1122" s="2"/>
      <c r="G1122" s="2"/>
      <c r="H1122" s="2"/>
      <c r="I1122" s="5"/>
    </row>
    <row r="1123" spans="1:9" ht="17.399999999999999" x14ac:dyDescent="0.25">
      <c r="A1123" s="16"/>
      <c r="B1123" s="17"/>
      <c r="C1123" s="2"/>
      <c r="D1123" s="2"/>
      <c r="E1123" s="2"/>
      <c r="F1123" s="2"/>
      <c r="G1123" s="2"/>
      <c r="H1123" s="2"/>
      <c r="I1123" s="5"/>
    </row>
    <row r="1124" spans="1:9" ht="17.399999999999999" x14ac:dyDescent="0.25">
      <c r="A1124" s="16"/>
      <c r="B1124" s="17"/>
      <c r="C1124" s="2"/>
      <c r="D1124" s="2"/>
      <c r="E1124" s="2"/>
      <c r="F1124" s="2"/>
      <c r="G1124" s="2"/>
      <c r="H1124" s="2"/>
      <c r="I1124" s="5"/>
    </row>
    <row r="1125" spans="1:9" ht="17.399999999999999" x14ac:dyDescent="0.25">
      <c r="A1125" s="16"/>
      <c r="B1125" s="17"/>
      <c r="C1125" s="2"/>
      <c r="D1125" s="2"/>
      <c r="E1125" s="2"/>
      <c r="F1125" s="2"/>
      <c r="G1125" s="2"/>
      <c r="H1125" s="2"/>
      <c r="I1125" s="5"/>
    </row>
    <row r="1126" spans="1:9" ht="17.399999999999999" x14ac:dyDescent="0.25">
      <c r="A1126" s="16"/>
      <c r="B1126" s="17"/>
      <c r="C1126" s="2"/>
      <c r="D1126" s="2"/>
      <c r="E1126" s="2"/>
      <c r="F1126" s="2"/>
      <c r="G1126" s="2"/>
      <c r="H1126" s="2"/>
      <c r="I1126" s="5"/>
    </row>
    <row r="1127" spans="1:9" ht="17.399999999999999" x14ac:dyDescent="0.25">
      <c r="A1127" s="16"/>
      <c r="B1127" s="17"/>
      <c r="C1127" s="2"/>
      <c r="D1127" s="2"/>
      <c r="E1127" s="2"/>
      <c r="F1127" s="2"/>
      <c r="G1127" s="2"/>
      <c r="H1127" s="2"/>
      <c r="I1127" s="5"/>
    </row>
    <row r="1128" spans="1:9" ht="17.399999999999999" x14ac:dyDescent="0.25">
      <c r="A1128" s="16"/>
      <c r="B1128" s="17"/>
      <c r="C1128" s="2"/>
      <c r="D1128" s="2"/>
      <c r="E1128" s="2"/>
      <c r="F1128" s="2"/>
      <c r="G1128" s="2"/>
      <c r="H1128" s="2"/>
      <c r="I1128" s="5"/>
    </row>
    <row r="1129" spans="1:9" ht="17.399999999999999" x14ac:dyDescent="0.25">
      <c r="A1129" s="16"/>
      <c r="B1129" s="17"/>
      <c r="C1129" s="2"/>
      <c r="D1129" s="2"/>
      <c r="E1129" s="2"/>
      <c r="F1129" s="2"/>
      <c r="G1129" s="2"/>
      <c r="H1129" s="2"/>
      <c r="I1129" s="5"/>
    </row>
    <row r="1130" spans="1:9" ht="17.399999999999999" x14ac:dyDescent="0.25">
      <c r="A1130" s="16"/>
      <c r="B1130" s="17"/>
      <c r="C1130" s="2"/>
      <c r="D1130" s="2"/>
      <c r="E1130" s="2"/>
      <c r="F1130" s="2"/>
      <c r="G1130" s="2"/>
      <c r="H1130" s="2"/>
      <c r="I1130" s="5"/>
    </row>
    <row r="1131" spans="1:9" ht="17.399999999999999" x14ac:dyDescent="0.25">
      <c r="A1131" s="16"/>
      <c r="B1131" s="17"/>
      <c r="C1131" s="2"/>
      <c r="D1131" s="2"/>
      <c r="E1131" s="2"/>
      <c r="F1131" s="2"/>
      <c r="G1131" s="2"/>
      <c r="H1131" s="2"/>
      <c r="I1131" s="5"/>
    </row>
    <row r="1132" spans="1:9" ht="17.399999999999999" x14ac:dyDescent="0.25">
      <c r="A1132" s="16"/>
      <c r="B1132" s="17"/>
      <c r="C1132" s="2"/>
      <c r="D1132" s="2"/>
      <c r="E1132" s="2"/>
      <c r="F1132" s="2"/>
      <c r="G1132" s="2"/>
      <c r="H1132" s="2"/>
      <c r="I1132" s="5"/>
    </row>
    <row r="1133" spans="1:9" ht="17.399999999999999" x14ac:dyDescent="0.25">
      <c r="A1133" s="16"/>
      <c r="B1133" s="17"/>
      <c r="C1133" s="2"/>
      <c r="D1133" s="2"/>
      <c r="E1133" s="2"/>
      <c r="F1133" s="2"/>
      <c r="G1133" s="2"/>
      <c r="H1133" s="2"/>
      <c r="I1133" s="5"/>
    </row>
    <row r="1134" spans="1:9" ht="17.399999999999999" x14ac:dyDescent="0.25">
      <c r="A1134" s="16"/>
      <c r="B1134" s="17"/>
      <c r="C1134" s="2"/>
      <c r="D1134" s="2"/>
      <c r="E1134" s="2"/>
      <c r="F1134" s="2"/>
      <c r="G1134" s="2"/>
      <c r="H1134" s="2"/>
      <c r="I1134" s="5"/>
    </row>
    <row r="1135" spans="1:9" ht="17.399999999999999" x14ac:dyDescent="0.25">
      <c r="A1135" s="16"/>
      <c r="B1135" s="17"/>
      <c r="C1135" s="2"/>
      <c r="D1135" s="2"/>
      <c r="E1135" s="2"/>
      <c r="F1135" s="2"/>
      <c r="G1135" s="2"/>
      <c r="H1135" s="2"/>
      <c r="I1135" s="5"/>
    </row>
    <row r="1136" spans="1:9" ht="17.399999999999999" x14ac:dyDescent="0.25">
      <c r="A1136" s="16"/>
      <c r="B1136" s="17"/>
      <c r="C1136" s="2"/>
      <c r="D1136" s="2"/>
      <c r="E1136" s="2"/>
      <c r="F1136" s="2"/>
      <c r="G1136" s="2"/>
      <c r="H1136" s="2"/>
      <c r="I1136" s="5"/>
    </row>
    <row r="1137" spans="1:9" ht="17.399999999999999" x14ac:dyDescent="0.25">
      <c r="A1137" s="16"/>
      <c r="B1137" s="17"/>
      <c r="C1137" s="2"/>
      <c r="D1137" s="2"/>
      <c r="E1137" s="2"/>
      <c r="F1137" s="2"/>
      <c r="G1137" s="2"/>
      <c r="H1137" s="2"/>
      <c r="I1137" s="5"/>
    </row>
    <row r="1138" spans="1:9" ht="17.399999999999999" x14ac:dyDescent="0.25">
      <c r="A1138" s="16"/>
      <c r="B1138" s="17"/>
      <c r="C1138" s="2"/>
      <c r="D1138" s="2"/>
      <c r="E1138" s="2"/>
      <c r="F1138" s="2"/>
      <c r="G1138" s="2"/>
      <c r="H1138" s="2"/>
      <c r="I1138" s="5"/>
    </row>
    <row r="1139" spans="1:9" ht="17.399999999999999" x14ac:dyDescent="0.25">
      <c r="A1139" s="16"/>
      <c r="B1139" s="17"/>
      <c r="C1139" s="2"/>
      <c r="D1139" s="2"/>
      <c r="E1139" s="2"/>
      <c r="F1139" s="2"/>
      <c r="G1139" s="2"/>
      <c r="H1139" s="2"/>
      <c r="I1139" s="5"/>
    </row>
    <row r="1140" spans="1:9" ht="17.399999999999999" x14ac:dyDescent="0.25">
      <c r="A1140" s="16"/>
      <c r="B1140" s="17"/>
      <c r="C1140" s="2"/>
      <c r="D1140" s="2"/>
      <c r="E1140" s="2"/>
      <c r="F1140" s="2"/>
      <c r="G1140" s="2"/>
      <c r="H1140" s="2"/>
      <c r="I1140" s="5"/>
    </row>
    <row r="1141" spans="1:9" ht="17.399999999999999" x14ac:dyDescent="0.25">
      <c r="A1141" s="16"/>
      <c r="B1141" s="17"/>
      <c r="C1141" s="2"/>
      <c r="D1141" s="2"/>
      <c r="E1141" s="2"/>
      <c r="F1141" s="2"/>
      <c r="G1141" s="2"/>
      <c r="H1141" s="2"/>
      <c r="I1141" s="5"/>
    </row>
    <row r="1142" spans="1:9" ht="17.399999999999999" x14ac:dyDescent="0.25">
      <c r="A1142" s="16"/>
      <c r="B1142" s="17"/>
      <c r="C1142" s="2"/>
      <c r="D1142" s="2"/>
      <c r="E1142" s="2"/>
      <c r="F1142" s="2"/>
      <c r="G1142" s="2"/>
      <c r="H1142" s="2"/>
      <c r="I1142" s="5"/>
    </row>
    <row r="1143" spans="1:9" ht="17.399999999999999" x14ac:dyDescent="0.25">
      <c r="A1143" s="16"/>
      <c r="B1143" s="17"/>
      <c r="C1143" s="2"/>
      <c r="D1143" s="2"/>
      <c r="E1143" s="2"/>
      <c r="F1143" s="2"/>
      <c r="G1143" s="2"/>
      <c r="H1143" s="2"/>
      <c r="I1143" s="5"/>
    </row>
    <row r="1144" spans="1:9" ht="17.399999999999999" x14ac:dyDescent="0.25">
      <c r="A1144" s="16"/>
      <c r="B1144" s="17"/>
      <c r="C1144" s="2"/>
      <c r="D1144" s="2"/>
      <c r="E1144" s="2"/>
      <c r="F1144" s="2"/>
      <c r="G1144" s="2"/>
      <c r="H1144" s="2"/>
      <c r="I1144" s="5"/>
    </row>
    <row r="1145" spans="1:9" ht="17.399999999999999" x14ac:dyDescent="0.25">
      <c r="A1145" s="16"/>
      <c r="B1145" s="17"/>
      <c r="C1145" s="2"/>
      <c r="D1145" s="2"/>
      <c r="E1145" s="2"/>
      <c r="F1145" s="2"/>
      <c r="G1145" s="2"/>
      <c r="H1145" s="2"/>
      <c r="I1145" s="5"/>
    </row>
    <row r="1146" spans="1:9" ht="17.399999999999999" x14ac:dyDescent="0.25">
      <c r="A1146" s="16"/>
      <c r="B1146" s="17"/>
      <c r="C1146" s="2"/>
      <c r="D1146" s="2"/>
      <c r="E1146" s="2"/>
      <c r="F1146" s="2"/>
      <c r="G1146" s="2"/>
      <c r="H1146" s="2"/>
      <c r="I1146" s="5"/>
    </row>
    <row r="1147" spans="1:9" ht="17.399999999999999" x14ac:dyDescent="0.25">
      <c r="A1147" s="16"/>
      <c r="B1147" s="17"/>
      <c r="C1147" s="2"/>
      <c r="D1147" s="2"/>
      <c r="E1147" s="2"/>
      <c r="F1147" s="2"/>
      <c r="G1147" s="2"/>
      <c r="H1147" s="2"/>
      <c r="I1147" s="5"/>
    </row>
    <row r="1148" spans="1:9" ht="17.399999999999999" x14ac:dyDescent="0.25">
      <c r="A1148" s="16"/>
      <c r="B1148" s="17"/>
      <c r="C1148" s="2"/>
      <c r="D1148" s="2"/>
      <c r="E1148" s="2"/>
      <c r="F1148" s="2"/>
      <c r="G1148" s="2"/>
      <c r="H1148" s="2"/>
      <c r="I1148" s="5"/>
    </row>
    <row r="1149" spans="1:9" ht="17.399999999999999" x14ac:dyDescent="0.25">
      <c r="A1149" s="16"/>
      <c r="B1149" s="17"/>
      <c r="C1149" s="2"/>
      <c r="D1149" s="2"/>
      <c r="E1149" s="2"/>
      <c r="F1149" s="2"/>
      <c r="G1149" s="2"/>
      <c r="H1149" s="2"/>
      <c r="I1149" s="5"/>
    </row>
    <row r="1150" spans="1:9" ht="17.399999999999999" x14ac:dyDescent="0.25">
      <c r="A1150" s="16"/>
      <c r="B1150" s="17"/>
      <c r="C1150" s="2"/>
      <c r="D1150" s="2"/>
      <c r="E1150" s="2"/>
      <c r="F1150" s="2"/>
      <c r="G1150" s="2"/>
      <c r="H1150" s="2"/>
      <c r="I1150" s="5"/>
    </row>
    <row r="1151" spans="1:9" ht="17.399999999999999" x14ac:dyDescent="0.25">
      <c r="A1151" s="16"/>
      <c r="B1151" s="17"/>
      <c r="C1151" s="2"/>
      <c r="D1151" s="2"/>
      <c r="E1151" s="2"/>
      <c r="F1151" s="2"/>
      <c r="G1151" s="2"/>
      <c r="H1151" s="2"/>
      <c r="I1151" s="5"/>
    </row>
    <row r="1152" spans="1:9" ht="17.399999999999999" x14ac:dyDescent="0.25">
      <c r="A1152" s="16"/>
      <c r="B1152" s="17"/>
      <c r="C1152" s="2"/>
      <c r="D1152" s="2"/>
      <c r="E1152" s="2"/>
      <c r="F1152" s="2"/>
      <c r="G1152" s="2"/>
      <c r="H1152" s="2"/>
      <c r="I1152" s="5"/>
    </row>
    <row r="1153" spans="1:9" ht="17.399999999999999" x14ac:dyDescent="0.25">
      <c r="A1153" s="16"/>
      <c r="B1153" s="17"/>
      <c r="C1153" s="2"/>
      <c r="D1153" s="2"/>
      <c r="E1153" s="2"/>
      <c r="F1153" s="2"/>
      <c r="G1153" s="2"/>
      <c r="H1153" s="2"/>
      <c r="I1153" s="5"/>
    </row>
    <row r="1154" spans="1:9" ht="17.399999999999999" x14ac:dyDescent="0.25">
      <c r="A1154" s="16"/>
      <c r="B1154" s="17"/>
      <c r="C1154" s="2"/>
      <c r="D1154" s="2"/>
      <c r="E1154" s="2"/>
      <c r="F1154" s="2"/>
      <c r="G1154" s="2"/>
      <c r="H1154" s="2"/>
      <c r="I1154" s="5"/>
    </row>
    <row r="1155" spans="1:9" ht="17.399999999999999" x14ac:dyDescent="0.25">
      <c r="A1155" s="16"/>
      <c r="B1155" s="17"/>
      <c r="C1155" s="2"/>
      <c r="D1155" s="2"/>
      <c r="E1155" s="2"/>
      <c r="F1155" s="2"/>
      <c r="G1155" s="2"/>
      <c r="H1155" s="2"/>
      <c r="I1155" s="5"/>
    </row>
    <row r="1156" spans="1:9" ht="17.399999999999999" x14ac:dyDescent="0.25">
      <c r="A1156" s="16"/>
      <c r="B1156" s="17"/>
      <c r="C1156" s="2"/>
      <c r="D1156" s="2"/>
      <c r="E1156" s="2"/>
      <c r="F1156" s="2"/>
      <c r="G1156" s="2"/>
      <c r="H1156" s="2"/>
      <c r="I1156" s="5"/>
    </row>
    <row r="1157" spans="1:9" ht="17.399999999999999" x14ac:dyDescent="0.25">
      <c r="A1157" s="16"/>
      <c r="B1157" s="17"/>
      <c r="C1157" s="2"/>
      <c r="D1157" s="2"/>
      <c r="E1157" s="2"/>
      <c r="F1157" s="2"/>
      <c r="G1157" s="2"/>
      <c r="H1157" s="2"/>
      <c r="I1157" s="5"/>
    </row>
    <row r="1158" spans="1:9" ht="17.399999999999999" x14ac:dyDescent="0.25">
      <c r="A1158" s="16"/>
      <c r="B1158" s="17"/>
      <c r="C1158" s="2"/>
      <c r="D1158" s="2"/>
      <c r="E1158" s="2"/>
      <c r="F1158" s="2"/>
      <c r="G1158" s="2"/>
      <c r="H1158" s="2"/>
      <c r="I1158" s="5"/>
    </row>
    <row r="1159" spans="1:9" ht="17.399999999999999" x14ac:dyDescent="0.25">
      <c r="A1159" s="16"/>
      <c r="B1159" s="17"/>
      <c r="C1159" s="2"/>
      <c r="D1159" s="2"/>
      <c r="E1159" s="2"/>
      <c r="F1159" s="2"/>
      <c r="G1159" s="2"/>
      <c r="H1159" s="2"/>
      <c r="I1159" s="5"/>
    </row>
    <row r="1160" spans="1:9" ht="17.399999999999999" x14ac:dyDescent="0.25">
      <c r="A1160" s="16"/>
      <c r="B1160" s="17"/>
      <c r="C1160" s="2"/>
      <c r="D1160" s="2"/>
      <c r="E1160" s="2"/>
      <c r="F1160" s="2"/>
      <c r="G1160" s="2"/>
      <c r="H1160" s="2"/>
      <c r="I1160" s="5"/>
    </row>
    <row r="1161" spans="1:9" ht="17.399999999999999" x14ac:dyDescent="0.25">
      <c r="A1161" s="16"/>
      <c r="B1161" s="17"/>
      <c r="C1161" s="2"/>
      <c r="D1161" s="2"/>
      <c r="E1161" s="2"/>
      <c r="F1161" s="2"/>
      <c r="G1161" s="2"/>
      <c r="H1161" s="2"/>
      <c r="I1161" s="5"/>
    </row>
    <row r="1162" spans="1:9" ht="17.399999999999999" x14ac:dyDescent="0.25">
      <c r="A1162" s="16"/>
      <c r="B1162" s="17"/>
      <c r="C1162" s="2"/>
      <c r="D1162" s="2"/>
      <c r="E1162" s="2"/>
      <c r="F1162" s="2"/>
      <c r="G1162" s="2"/>
      <c r="H1162" s="2"/>
      <c r="I1162" s="5"/>
    </row>
    <row r="1163" spans="1:9" ht="17.399999999999999" x14ac:dyDescent="0.25">
      <c r="A1163" s="16"/>
      <c r="B1163" s="17"/>
      <c r="C1163" s="2"/>
      <c r="D1163" s="2"/>
      <c r="E1163" s="2"/>
      <c r="F1163" s="2"/>
      <c r="G1163" s="2"/>
      <c r="H1163" s="2"/>
      <c r="I1163" s="5"/>
    </row>
    <row r="1164" spans="1:9" ht="17.399999999999999" x14ac:dyDescent="0.25">
      <c r="A1164" s="16"/>
      <c r="B1164" s="17"/>
      <c r="C1164" s="2"/>
      <c r="D1164" s="2"/>
      <c r="E1164" s="2"/>
      <c r="F1164" s="2"/>
      <c r="G1164" s="2"/>
      <c r="H1164" s="2"/>
      <c r="I1164" s="5"/>
    </row>
    <row r="1165" spans="1:9" ht="17.399999999999999" x14ac:dyDescent="0.25">
      <c r="A1165" s="16"/>
      <c r="B1165" s="17"/>
      <c r="C1165" s="2"/>
      <c r="D1165" s="2"/>
      <c r="E1165" s="2"/>
      <c r="F1165" s="2"/>
      <c r="G1165" s="2"/>
      <c r="H1165" s="2"/>
      <c r="I1165" s="5"/>
    </row>
    <row r="1166" spans="1:9" ht="17.399999999999999" x14ac:dyDescent="0.25">
      <c r="A1166" s="16"/>
      <c r="B1166" s="17"/>
      <c r="C1166" s="2"/>
      <c r="D1166" s="2"/>
      <c r="E1166" s="2"/>
      <c r="F1166" s="2"/>
      <c r="G1166" s="2"/>
      <c r="H1166" s="2"/>
      <c r="I1166" s="5"/>
    </row>
    <row r="1167" spans="1:9" ht="17.399999999999999" x14ac:dyDescent="0.25">
      <c r="A1167" s="16"/>
      <c r="B1167" s="17"/>
      <c r="C1167" s="2"/>
      <c r="D1167" s="2"/>
      <c r="E1167" s="2"/>
      <c r="F1167" s="2"/>
      <c r="G1167" s="2"/>
      <c r="H1167" s="2"/>
      <c r="I1167" s="5"/>
    </row>
    <row r="1168" spans="1:9" ht="17.399999999999999" x14ac:dyDescent="0.25">
      <c r="A1168" s="16"/>
      <c r="B1168" s="17"/>
      <c r="C1168" s="2"/>
      <c r="D1168" s="2"/>
      <c r="E1168" s="2"/>
      <c r="F1168" s="2"/>
      <c r="G1168" s="2"/>
      <c r="H1168" s="2"/>
      <c r="I1168" s="5"/>
    </row>
    <row r="1169" spans="1:9" ht="17.399999999999999" x14ac:dyDescent="0.25">
      <c r="A1169" s="16"/>
      <c r="B1169" s="17"/>
      <c r="C1169" s="2"/>
      <c r="D1169" s="2"/>
      <c r="E1169" s="2"/>
      <c r="F1169" s="2"/>
      <c r="G1169" s="2"/>
      <c r="H1169" s="2"/>
      <c r="I1169" s="5"/>
    </row>
    <row r="1170" spans="1:9" ht="17.399999999999999" x14ac:dyDescent="0.25">
      <c r="A1170" s="16"/>
      <c r="B1170" s="17"/>
      <c r="C1170" s="2"/>
      <c r="D1170" s="2"/>
      <c r="E1170" s="2"/>
      <c r="F1170" s="2"/>
      <c r="G1170" s="2"/>
      <c r="H1170" s="2"/>
      <c r="I1170" s="5"/>
    </row>
    <row r="1171" spans="1:9" ht="17.399999999999999" x14ac:dyDescent="0.25">
      <c r="A1171" s="16"/>
      <c r="B1171" s="17"/>
      <c r="C1171" s="2"/>
      <c r="D1171" s="2"/>
      <c r="E1171" s="2"/>
      <c r="F1171" s="2"/>
      <c r="G1171" s="2"/>
      <c r="H1171" s="2"/>
      <c r="I1171" s="5"/>
    </row>
    <row r="1172" spans="1:9" ht="17.399999999999999" x14ac:dyDescent="0.25">
      <c r="A1172" s="16"/>
      <c r="B1172" s="17"/>
      <c r="C1172" s="2"/>
      <c r="D1172" s="2"/>
      <c r="E1172" s="2"/>
      <c r="F1172" s="2"/>
      <c r="G1172" s="2"/>
      <c r="H1172" s="2"/>
      <c r="I1172" s="5"/>
    </row>
    <row r="1173" spans="1:9" ht="17.399999999999999" x14ac:dyDescent="0.25">
      <c r="A1173" s="16"/>
      <c r="B1173" s="17"/>
      <c r="C1173" s="2"/>
      <c r="D1173" s="2"/>
      <c r="E1173" s="2"/>
      <c r="F1173" s="2"/>
      <c r="G1173" s="2"/>
      <c r="H1173" s="2"/>
      <c r="I1173" s="5"/>
    </row>
    <row r="1174" spans="1:9" ht="17.399999999999999" x14ac:dyDescent="0.25">
      <c r="A1174" s="16"/>
      <c r="B1174" s="17"/>
      <c r="C1174" s="2"/>
      <c r="D1174" s="2"/>
      <c r="E1174" s="2"/>
      <c r="F1174" s="2"/>
      <c r="G1174" s="2"/>
      <c r="H1174" s="2"/>
      <c r="I1174" s="5"/>
    </row>
    <row r="1175" spans="1:9" ht="17.399999999999999" x14ac:dyDescent="0.25">
      <c r="A1175" s="16"/>
      <c r="B1175" s="17"/>
      <c r="C1175" s="2"/>
      <c r="D1175" s="2"/>
      <c r="E1175" s="2"/>
      <c r="F1175" s="2"/>
      <c r="G1175" s="2"/>
      <c r="H1175" s="2"/>
      <c r="I1175" s="5"/>
    </row>
    <row r="1176" spans="1:9" ht="17.399999999999999" x14ac:dyDescent="0.25">
      <c r="A1176" s="16"/>
      <c r="B1176" s="17"/>
      <c r="C1176" s="2"/>
      <c r="D1176" s="2"/>
      <c r="E1176" s="2"/>
      <c r="F1176" s="2"/>
      <c r="G1176" s="2"/>
      <c r="H1176" s="2"/>
      <c r="I1176" s="5"/>
    </row>
    <row r="1177" spans="1:9" ht="17.399999999999999" x14ac:dyDescent="0.25">
      <c r="A1177" s="16"/>
      <c r="B1177" s="17"/>
      <c r="C1177" s="2"/>
      <c r="D1177" s="2"/>
      <c r="E1177" s="2"/>
      <c r="F1177" s="2"/>
      <c r="G1177" s="2"/>
      <c r="H1177" s="2"/>
      <c r="I1177" s="5"/>
    </row>
    <row r="1178" spans="1:9" ht="17.399999999999999" x14ac:dyDescent="0.25">
      <c r="A1178" s="16"/>
      <c r="B1178" s="17"/>
      <c r="C1178" s="2"/>
      <c r="D1178" s="2"/>
      <c r="E1178" s="2"/>
      <c r="F1178" s="2"/>
      <c r="G1178" s="2"/>
      <c r="H1178" s="2"/>
      <c r="I1178" s="5"/>
    </row>
    <row r="1179" spans="1:9" ht="17.399999999999999" x14ac:dyDescent="0.25">
      <c r="A1179" s="16"/>
      <c r="B1179" s="17"/>
      <c r="C1179" s="2"/>
      <c r="D1179" s="2"/>
      <c r="E1179" s="2"/>
      <c r="F1179" s="2"/>
      <c r="G1179" s="2"/>
      <c r="H1179" s="2"/>
      <c r="I1179" s="5"/>
    </row>
    <row r="1180" spans="1:9" ht="17.399999999999999" x14ac:dyDescent="0.25">
      <c r="A1180" s="16"/>
      <c r="B1180" s="17"/>
      <c r="C1180" s="2"/>
      <c r="D1180" s="2"/>
      <c r="E1180" s="2"/>
      <c r="F1180" s="2"/>
      <c r="G1180" s="2"/>
      <c r="H1180" s="2"/>
      <c r="I1180" s="5"/>
    </row>
    <row r="1181" spans="1:9" ht="17.399999999999999" x14ac:dyDescent="0.25">
      <c r="A1181" s="16"/>
      <c r="B1181" s="17"/>
      <c r="C1181" s="2"/>
      <c r="D1181" s="2"/>
      <c r="E1181" s="2"/>
      <c r="F1181" s="2"/>
      <c r="G1181" s="2"/>
      <c r="H1181" s="2"/>
      <c r="I1181" s="5"/>
    </row>
    <row r="1182" spans="1:9" ht="17.399999999999999" x14ac:dyDescent="0.25">
      <c r="A1182" s="16"/>
      <c r="B1182" s="17"/>
      <c r="C1182" s="2"/>
      <c r="D1182" s="2"/>
      <c r="E1182" s="2"/>
      <c r="F1182" s="2"/>
      <c r="G1182" s="2"/>
      <c r="H1182" s="2"/>
      <c r="I1182" s="5"/>
    </row>
    <row r="1183" spans="1:9" ht="17.399999999999999" x14ac:dyDescent="0.25">
      <c r="A1183" s="16"/>
      <c r="B1183" s="17"/>
      <c r="C1183" s="2"/>
      <c r="D1183" s="2"/>
      <c r="E1183" s="2"/>
      <c r="F1183" s="2"/>
      <c r="G1183" s="2"/>
      <c r="H1183" s="2"/>
      <c r="I1183" s="5"/>
    </row>
    <row r="1184" spans="1:9" ht="17.399999999999999" x14ac:dyDescent="0.25">
      <c r="A1184" s="16"/>
      <c r="B1184" s="17"/>
      <c r="C1184" s="2"/>
      <c r="D1184" s="2"/>
      <c r="E1184" s="2"/>
      <c r="F1184" s="2"/>
      <c r="G1184" s="2"/>
      <c r="H1184" s="2"/>
      <c r="I1184" s="5"/>
    </row>
    <row r="1185" spans="1:9" ht="17.399999999999999" x14ac:dyDescent="0.25">
      <c r="A1185" s="16"/>
      <c r="B1185" s="17"/>
      <c r="C1185" s="2"/>
      <c r="D1185" s="2"/>
      <c r="E1185" s="2"/>
      <c r="F1185" s="2"/>
      <c r="G1185" s="2"/>
      <c r="H1185" s="2"/>
      <c r="I1185" s="5"/>
    </row>
    <row r="1186" spans="1:9" ht="17.399999999999999" x14ac:dyDescent="0.25">
      <c r="A1186" s="16"/>
      <c r="B1186" s="17"/>
      <c r="C1186" s="2"/>
      <c r="D1186" s="2"/>
      <c r="E1186" s="2"/>
      <c r="F1186" s="2"/>
      <c r="G1186" s="2"/>
      <c r="H1186" s="2"/>
      <c r="I1186" s="5"/>
    </row>
    <row r="1187" spans="1:9" ht="17.399999999999999" x14ac:dyDescent="0.25">
      <c r="A1187" s="16"/>
      <c r="B1187" s="17"/>
      <c r="C1187" s="2"/>
      <c r="D1187" s="2"/>
      <c r="E1187" s="2"/>
      <c r="F1187" s="2"/>
      <c r="G1187" s="2"/>
      <c r="H1187" s="2"/>
      <c r="I1187" s="5"/>
    </row>
    <row r="1188" spans="1:9" ht="17.399999999999999" x14ac:dyDescent="0.25">
      <c r="A1188" s="16"/>
      <c r="B1188" s="17"/>
      <c r="C1188" s="2"/>
      <c r="D1188" s="2"/>
      <c r="E1188" s="2"/>
      <c r="F1188" s="2"/>
      <c r="G1188" s="2"/>
      <c r="H1188" s="2"/>
      <c r="I1188" s="5"/>
    </row>
    <row r="1189" spans="1:9" ht="17.399999999999999" x14ac:dyDescent="0.25">
      <c r="A1189" s="16"/>
      <c r="B1189" s="17"/>
      <c r="C1189" s="2"/>
      <c r="D1189" s="2"/>
      <c r="E1189" s="2"/>
      <c r="F1189" s="2"/>
      <c r="G1189" s="2"/>
      <c r="H1189" s="2"/>
      <c r="I1189" s="5"/>
    </row>
    <row r="1190" spans="1:9" ht="17.399999999999999" x14ac:dyDescent="0.25">
      <c r="A1190" s="16"/>
      <c r="B1190" s="17"/>
      <c r="C1190" s="2"/>
      <c r="D1190" s="2"/>
      <c r="E1190" s="2"/>
      <c r="F1190" s="2"/>
      <c r="G1190" s="2"/>
      <c r="H1190" s="2"/>
      <c r="I1190" s="5"/>
    </row>
    <row r="1191" spans="1:9" ht="17.399999999999999" x14ac:dyDescent="0.25">
      <c r="A1191" s="16"/>
      <c r="B1191" s="17"/>
      <c r="C1191" s="2"/>
      <c r="D1191" s="2"/>
      <c r="E1191" s="2"/>
      <c r="F1191" s="2"/>
      <c r="G1191" s="2"/>
      <c r="H1191" s="2"/>
      <c r="I1191" s="5"/>
    </row>
    <row r="1192" spans="1:9" ht="17.399999999999999" x14ac:dyDescent="0.25">
      <c r="A1192" s="16"/>
      <c r="B1192" s="17"/>
      <c r="C1192" s="2"/>
      <c r="D1192" s="2"/>
      <c r="E1192" s="2"/>
      <c r="F1192" s="2"/>
      <c r="G1192" s="2"/>
      <c r="H1192" s="2"/>
      <c r="I1192" s="5"/>
    </row>
    <row r="1193" spans="1:9" ht="17.399999999999999" x14ac:dyDescent="0.25">
      <c r="A1193" s="16"/>
      <c r="B1193" s="17"/>
      <c r="C1193" s="2"/>
      <c r="D1193" s="2"/>
      <c r="E1193" s="2"/>
      <c r="F1193" s="2"/>
      <c r="G1193" s="2"/>
      <c r="H1193" s="2"/>
      <c r="I1193" s="5"/>
    </row>
    <row r="1194" spans="1:9" ht="17.399999999999999" x14ac:dyDescent="0.25">
      <c r="A1194" s="16"/>
      <c r="B1194" s="17"/>
      <c r="C1194" s="2"/>
      <c r="D1194" s="2"/>
      <c r="E1194" s="2"/>
      <c r="F1194" s="2"/>
      <c r="G1194" s="2"/>
      <c r="H1194" s="2"/>
      <c r="I1194" s="5"/>
    </row>
    <row r="1195" spans="1:9" ht="17.399999999999999" x14ac:dyDescent="0.25">
      <c r="A1195" s="16"/>
      <c r="B1195" s="17"/>
      <c r="C1195" s="2"/>
      <c r="D1195" s="2"/>
      <c r="E1195" s="2"/>
      <c r="F1195" s="2"/>
      <c r="G1195" s="2"/>
      <c r="H1195" s="2"/>
      <c r="I1195" s="5"/>
    </row>
    <row r="1196" spans="1:9" ht="17.399999999999999" x14ac:dyDescent="0.25">
      <c r="A1196" s="16"/>
      <c r="B1196" s="17"/>
      <c r="C1196" s="2"/>
      <c r="D1196" s="2"/>
      <c r="E1196" s="2"/>
      <c r="F1196" s="2"/>
      <c r="G1196" s="2"/>
      <c r="H1196" s="2"/>
      <c r="I1196" s="5"/>
    </row>
    <row r="1197" spans="1:9" ht="17.399999999999999" x14ac:dyDescent="0.25">
      <c r="A1197" s="16"/>
      <c r="B1197" s="17"/>
      <c r="C1197" s="2"/>
      <c r="D1197" s="2"/>
      <c r="E1197" s="2"/>
      <c r="F1197" s="2"/>
      <c r="G1197" s="2"/>
      <c r="H1197" s="2"/>
      <c r="I1197" s="5"/>
    </row>
    <row r="1198" spans="1:9" ht="17.399999999999999" x14ac:dyDescent="0.25">
      <c r="A1198" s="16"/>
      <c r="B1198" s="17"/>
      <c r="C1198" s="2"/>
      <c r="D1198" s="2"/>
      <c r="E1198" s="2"/>
      <c r="F1198" s="2"/>
      <c r="G1198" s="2"/>
      <c r="H1198" s="2"/>
      <c r="I1198" s="5"/>
    </row>
    <row r="1199" spans="1:9" ht="17.399999999999999" x14ac:dyDescent="0.25">
      <c r="A1199" s="16"/>
      <c r="B1199" s="17"/>
      <c r="C1199" s="2"/>
      <c r="D1199" s="2"/>
      <c r="E1199" s="2"/>
      <c r="F1199" s="2"/>
      <c r="G1199" s="2"/>
      <c r="H1199" s="2"/>
      <c r="I1199" s="5"/>
    </row>
    <row r="1200" spans="1:9" ht="17.399999999999999" x14ac:dyDescent="0.25">
      <c r="A1200" s="16"/>
      <c r="B1200" s="17"/>
      <c r="C1200" s="2"/>
      <c r="D1200" s="2"/>
      <c r="E1200" s="2"/>
      <c r="F1200" s="2"/>
      <c r="G1200" s="2"/>
      <c r="H1200" s="2"/>
      <c r="I1200" s="5"/>
    </row>
    <row r="1201" spans="1:9" ht="17.399999999999999" x14ac:dyDescent="0.25">
      <c r="A1201" s="16"/>
      <c r="B1201" s="17"/>
      <c r="C1201" s="2"/>
      <c r="D1201" s="2"/>
      <c r="E1201" s="2"/>
      <c r="F1201" s="2"/>
      <c r="G1201" s="2"/>
      <c r="H1201" s="2"/>
      <c r="I1201" s="5"/>
    </row>
    <row r="1202" spans="1:9" ht="17.399999999999999" x14ac:dyDescent="0.25">
      <c r="A1202" s="16"/>
      <c r="B1202" s="17"/>
      <c r="C1202" s="2"/>
      <c r="D1202" s="2"/>
      <c r="E1202" s="2"/>
      <c r="F1202" s="2"/>
      <c r="G1202" s="2"/>
      <c r="H1202" s="2"/>
      <c r="I1202" s="5"/>
    </row>
    <row r="1203" spans="1:9" ht="17.399999999999999" x14ac:dyDescent="0.25">
      <c r="A1203" s="16"/>
      <c r="B1203" s="17"/>
      <c r="C1203" s="2"/>
      <c r="D1203" s="2"/>
      <c r="E1203" s="2"/>
      <c r="F1203" s="2"/>
      <c r="G1203" s="2"/>
      <c r="H1203" s="2"/>
      <c r="I1203" s="5"/>
    </row>
    <row r="1204" spans="1:9" ht="17.399999999999999" x14ac:dyDescent="0.25">
      <c r="A1204" s="16"/>
      <c r="B1204" s="17"/>
      <c r="C1204" s="2"/>
      <c r="D1204" s="2"/>
      <c r="E1204" s="2"/>
      <c r="F1204" s="2"/>
      <c r="G1204" s="2"/>
      <c r="H1204" s="2"/>
      <c r="I1204" s="5"/>
    </row>
    <row r="1205" spans="1:9" ht="17.399999999999999" x14ac:dyDescent="0.25">
      <c r="A1205" s="16"/>
      <c r="B1205" s="17"/>
      <c r="C1205" s="2"/>
      <c r="D1205" s="2"/>
      <c r="E1205" s="2"/>
      <c r="F1205" s="2"/>
      <c r="G1205" s="2"/>
      <c r="H1205" s="2"/>
      <c r="I1205" s="5"/>
    </row>
    <row r="1206" spans="1:9" ht="17.399999999999999" x14ac:dyDescent="0.25">
      <c r="A1206" s="16"/>
      <c r="B1206" s="17"/>
      <c r="C1206" s="2"/>
      <c r="D1206" s="2"/>
      <c r="E1206" s="2"/>
      <c r="F1206" s="2"/>
      <c r="G1206" s="2"/>
      <c r="H1206" s="2"/>
      <c r="I1206" s="5"/>
    </row>
    <row r="1207" spans="1:9" ht="17.399999999999999" x14ac:dyDescent="0.25">
      <c r="A1207" s="16"/>
      <c r="B1207" s="17"/>
      <c r="C1207" s="2"/>
      <c r="D1207" s="2"/>
      <c r="E1207" s="2"/>
      <c r="F1207" s="2"/>
      <c r="G1207" s="2"/>
      <c r="H1207" s="2"/>
      <c r="I1207" s="5"/>
    </row>
    <row r="1208" spans="1:9" ht="17.399999999999999" x14ac:dyDescent="0.25">
      <c r="A1208" s="16"/>
      <c r="B1208" s="17"/>
      <c r="C1208" s="2"/>
      <c r="D1208" s="2"/>
      <c r="E1208" s="2"/>
      <c r="F1208" s="2"/>
      <c r="G1208" s="2"/>
      <c r="H1208" s="2"/>
      <c r="I1208" s="5"/>
    </row>
    <row r="1209" spans="1:9" ht="17.399999999999999" x14ac:dyDescent="0.25">
      <c r="A1209" s="16"/>
      <c r="B1209" s="17"/>
      <c r="C1209" s="2"/>
      <c r="D1209" s="2"/>
      <c r="E1209" s="2"/>
      <c r="F1209" s="2"/>
      <c r="G1209" s="2"/>
      <c r="H1209" s="2"/>
      <c r="I1209" s="5"/>
    </row>
    <row r="1210" spans="1:9" ht="17.399999999999999" x14ac:dyDescent="0.25">
      <c r="A1210" s="16"/>
      <c r="B1210" s="17"/>
      <c r="C1210" s="2"/>
      <c r="D1210" s="2"/>
      <c r="E1210" s="2"/>
      <c r="F1210" s="2"/>
      <c r="G1210" s="2"/>
      <c r="H1210" s="2"/>
      <c r="I1210" s="5"/>
    </row>
    <row r="1211" spans="1:9" ht="17.399999999999999" x14ac:dyDescent="0.25">
      <c r="A1211" s="16"/>
      <c r="B1211" s="17"/>
      <c r="C1211" s="2"/>
      <c r="D1211" s="2"/>
      <c r="E1211" s="2"/>
      <c r="F1211" s="2"/>
      <c r="G1211" s="2"/>
      <c r="H1211" s="2"/>
      <c r="I1211" s="5"/>
    </row>
    <row r="1212" spans="1:9" ht="17.399999999999999" x14ac:dyDescent="0.25">
      <c r="A1212" s="16"/>
      <c r="B1212" s="17"/>
      <c r="C1212" s="2"/>
      <c r="D1212" s="2"/>
      <c r="E1212" s="2"/>
      <c r="F1212" s="2"/>
      <c r="G1212" s="2"/>
      <c r="H1212" s="2"/>
      <c r="I1212" s="5"/>
    </row>
    <row r="1213" spans="1:9" ht="17.399999999999999" x14ac:dyDescent="0.25">
      <c r="A1213" s="16"/>
      <c r="B1213" s="17"/>
      <c r="C1213" s="2"/>
      <c r="D1213" s="2"/>
      <c r="E1213" s="2"/>
      <c r="F1213" s="2"/>
      <c r="G1213" s="2"/>
      <c r="H1213" s="2"/>
      <c r="I1213" s="5"/>
    </row>
    <row r="1214" spans="1:9" ht="17.399999999999999" x14ac:dyDescent="0.25">
      <c r="A1214" s="16"/>
      <c r="B1214" s="17"/>
      <c r="C1214" s="2"/>
      <c r="D1214" s="2"/>
      <c r="E1214" s="2"/>
      <c r="F1214" s="2"/>
      <c r="G1214" s="2"/>
      <c r="H1214" s="2"/>
      <c r="I1214" s="5"/>
    </row>
    <row r="1215" spans="1:9" ht="17.399999999999999" x14ac:dyDescent="0.25">
      <c r="A1215" s="16"/>
      <c r="B1215" s="17"/>
      <c r="C1215" s="2"/>
      <c r="D1215" s="2"/>
      <c r="E1215" s="2"/>
      <c r="F1215" s="2"/>
      <c r="G1215" s="2"/>
      <c r="H1215" s="2"/>
      <c r="I1215" s="5"/>
    </row>
    <row r="1216" spans="1:9" ht="17.399999999999999" x14ac:dyDescent="0.25">
      <c r="A1216" s="16"/>
      <c r="B1216" s="17"/>
      <c r="C1216" s="2"/>
      <c r="D1216" s="2"/>
      <c r="E1216" s="2"/>
      <c r="F1216" s="2"/>
      <c r="G1216" s="2"/>
      <c r="H1216" s="2"/>
      <c r="I1216" s="5"/>
    </row>
    <row r="1217" spans="1:9" ht="17.399999999999999" x14ac:dyDescent="0.25">
      <c r="A1217" s="16"/>
      <c r="B1217" s="17"/>
      <c r="C1217" s="2"/>
      <c r="D1217" s="2"/>
      <c r="E1217" s="2"/>
      <c r="F1217" s="2"/>
      <c r="G1217" s="2"/>
      <c r="H1217" s="2"/>
      <c r="I1217" s="5"/>
    </row>
    <row r="1218" spans="1:9" ht="17.399999999999999" x14ac:dyDescent="0.25">
      <c r="A1218" s="16"/>
      <c r="B1218" s="17"/>
      <c r="C1218" s="2"/>
      <c r="D1218" s="2"/>
      <c r="E1218" s="2"/>
      <c r="F1218" s="2"/>
      <c r="G1218" s="2"/>
      <c r="H1218" s="2"/>
      <c r="I1218" s="5"/>
    </row>
    <row r="1219" spans="1:9" ht="17.399999999999999" x14ac:dyDescent="0.25">
      <c r="A1219" s="16"/>
      <c r="B1219" s="17"/>
      <c r="C1219" s="2"/>
      <c r="D1219" s="2"/>
      <c r="E1219" s="2"/>
      <c r="F1219" s="2"/>
      <c r="G1219" s="2"/>
      <c r="H1219" s="2"/>
      <c r="I1219" s="5"/>
    </row>
    <row r="1220" spans="1:9" ht="17.399999999999999" x14ac:dyDescent="0.25">
      <c r="A1220" s="16"/>
      <c r="B1220" s="17"/>
      <c r="C1220" s="2"/>
      <c r="D1220" s="2"/>
      <c r="E1220" s="2"/>
      <c r="F1220" s="2"/>
      <c r="G1220" s="2"/>
      <c r="H1220" s="2"/>
      <c r="I1220" s="5"/>
    </row>
    <row r="1221" spans="1:9" ht="17.399999999999999" x14ac:dyDescent="0.25">
      <c r="A1221" s="16"/>
      <c r="B1221" s="17"/>
      <c r="C1221" s="2"/>
      <c r="D1221" s="2"/>
      <c r="E1221" s="2"/>
      <c r="F1221" s="2"/>
      <c r="G1221" s="2"/>
      <c r="H1221" s="2"/>
      <c r="I1221" s="5"/>
    </row>
    <row r="1222" spans="1:9" ht="17.399999999999999" x14ac:dyDescent="0.25">
      <c r="A1222" s="16"/>
      <c r="B1222" s="17"/>
      <c r="C1222" s="2"/>
      <c r="D1222" s="2"/>
      <c r="E1222" s="2"/>
      <c r="F1222" s="2"/>
      <c r="G1222" s="2"/>
      <c r="H1222" s="2"/>
      <c r="I1222" s="5"/>
    </row>
    <row r="1223" spans="1:9" ht="17.399999999999999" x14ac:dyDescent="0.25">
      <c r="A1223" s="16"/>
      <c r="B1223" s="17"/>
      <c r="C1223" s="2"/>
      <c r="D1223" s="2"/>
      <c r="E1223" s="2"/>
      <c r="F1223" s="2"/>
      <c r="G1223" s="2"/>
      <c r="H1223" s="2"/>
      <c r="I1223" s="5"/>
    </row>
    <row r="1224" spans="1:9" ht="17.399999999999999" x14ac:dyDescent="0.25">
      <c r="A1224" s="16"/>
      <c r="B1224" s="17"/>
      <c r="C1224" s="2"/>
      <c r="D1224" s="2"/>
      <c r="E1224" s="2"/>
      <c r="F1224" s="2"/>
      <c r="G1224" s="2"/>
      <c r="H1224" s="2"/>
      <c r="I1224" s="5"/>
    </row>
    <row r="1225" spans="1:9" ht="17.399999999999999" x14ac:dyDescent="0.25">
      <c r="A1225" s="16"/>
      <c r="B1225" s="17"/>
      <c r="C1225" s="2"/>
      <c r="D1225" s="2"/>
      <c r="E1225" s="2"/>
      <c r="F1225" s="2"/>
      <c r="G1225" s="2"/>
      <c r="H1225" s="2"/>
      <c r="I1225" s="5"/>
    </row>
    <row r="1226" spans="1:9" ht="17.399999999999999" x14ac:dyDescent="0.25">
      <c r="A1226" s="16"/>
      <c r="B1226" s="17"/>
      <c r="C1226" s="2"/>
      <c r="D1226" s="2"/>
      <c r="E1226" s="2"/>
      <c r="F1226" s="2"/>
      <c r="G1226" s="2"/>
      <c r="H1226" s="2"/>
      <c r="I1226" s="5"/>
    </row>
    <row r="1227" spans="1:9" ht="17.399999999999999" x14ac:dyDescent="0.25">
      <c r="A1227" s="16"/>
      <c r="B1227" s="17"/>
      <c r="C1227" s="2"/>
      <c r="D1227" s="2"/>
      <c r="E1227" s="2"/>
      <c r="F1227" s="2"/>
      <c r="G1227" s="2"/>
      <c r="H1227" s="2"/>
      <c r="I1227" s="5"/>
    </row>
    <row r="1228" spans="1:9" ht="17.399999999999999" x14ac:dyDescent="0.25">
      <c r="A1228" s="16"/>
      <c r="B1228" s="17"/>
      <c r="C1228" s="2"/>
      <c r="D1228" s="2"/>
      <c r="E1228" s="2"/>
      <c r="F1228" s="2"/>
      <c r="G1228" s="2"/>
      <c r="H1228" s="2"/>
      <c r="I1228" s="5"/>
    </row>
    <row r="1229" spans="1:9" ht="17.399999999999999" x14ac:dyDescent="0.25">
      <c r="A1229" s="16"/>
      <c r="B1229" s="17"/>
      <c r="C1229" s="2"/>
      <c r="D1229" s="2"/>
      <c r="E1229" s="2"/>
      <c r="F1229" s="2"/>
      <c r="G1229" s="2"/>
      <c r="H1229" s="2"/>
      <c r="I1229" s="5"/>
    </row>
    <row r="1230" spans="1:9" ht="17.399999999999999" x14ac:dyDescent="0.25">
      <c r="A1230" s="16"/>
      <c r="B1230" s="17"/>
      <c r="C1230" s="2"/>
      <c r="D1230" s="2"/>
      <c r="E1230" s="2"/>
      <c r="F1230" s="2"/>
      <c r="G1230" s="2"/>
      <c r="H1230" s="2"/>
      <c r="I1230" s="5"/>
    </row>
    <row r="1231" spans="1:9" ht="17.399999999999999" x14ac:dyDescent="0.25">
      <c r="A1231" s="16"/>
      <c r="B1231" s="17"/>
      <c r="C1231" s="2"/>
      <c r="D1231" s="2"/>
      <c r="E1231" s="2"/>
      <c r="F1231" s="2"/>
      <c r="G1231" s="2"/>
      <c r="H1231" s="2"/>
      <c r="I1231" s="5"/>
    </row>
    <row r="1232" spans="1:9" ht="17.399999999999999" x14ac:dyDescent="0.25">
      <c r="A1232" s="16"/>
      <c r="B1232" s="17"/>
      <c r="C1232" s="2"/>
      <c r="D1232" s="2"/>
      <c r="E1232" s="2"/>
      <c r="F1232" s="2"/>
      <c r="G1232" s="2"/>
      <c r="H1232" s="2"/>
      <c r="I1232" s="5"/>
    </row>
    <row r="1233" spans="1:9" ht="17.399999999999999" x14ac:dyDescent="0.25">
      <c r="A1233" s="16"/>
      <c r="B1233" s="17"/>
      <c r="C1233" s="2"/>
      <c r="D1233" s="2"/>
      <c r="E1233" s="2"/>
      <c r="F1233" s="2"/>
      <c r="G1233" s="2"/>
      <c r="H1233" s="2"/>
      <c r="I1233" s="5"/>
    </row>
    <row r="1234" spans="1:9" ht="17.399999999999999" x14ac:dyDescent="0.25">
      <c r="A1234" s="16"/>
      <c r="B1234" s="17"/>
      <c r="C1234" s="2"/>
      <c r="D1234" s="2"/>
      <c r="E1234" s="2"/>
      <c r="F1234" s="2"/>
      <c r="G1234" s="2"/>
      <c r="H1234" s="2"/>
      <c r="I1234" s="5"/>
    </row>
    <row r="1235" spans="1:9" ht="17.399999999999999" x14ac:dyDescent="0.25">
      <c r="A1235" s="16"/>
      <c r="B1235" s="17"/>
      <c r="C1235" s="2"/>
      <c r="D1235" s="2"/>
      <c r="E1235" s="2"/>
      <c r="F1235" s="2"/>
      <c r="G1235" s="2"/>
      <c r="H1235" s="2"/>
      <c r="I1235" s="5"/>
    </row>
    <row r="1236" spans="1:9" ht="17.399999999999999" x14ac:dyDescent="0.25">
      <c r="A1236" s="16"/>
      <c r="B1236" s="17"/>
      <c r="C1236" s="2"/>
      <c r="D1236" s="2"/>
      <c r="E1236" s="2"/>
      <c r="F1236" s="2"/>
      <c r="G1236" s="2"/>
      <c r="H1236" s="2"/>
      <c r="I1236" s="5"/>
    </row>
    <row r="1237" spans="1:9" ht="17.399999999999999" x14ac:dyDescent="0.25">
      <c r="A1237" s="16"/>
      <c r="B1237" s="17"/>
      <c r="C1237" s="2"/>
      <c r="D1237" s="2"/>
      <c r="E1237" s="2"/>
      <c r="F1237" s="2"/>
      <c r="G1237" s="2"/>
      <c r="H1237" s="2"/>
      <c r="I1237" s="5"/>
    </row>
    <row r="1238" spans="1:9" ht="17.399999999999999" x14ac:dyDescent="0.25">
      <c r="A1238" s="16"/>
      <c r="B1238" s="17"/>
      <c r="C1238" s="2"/>
      <c r="D1238" s="2"/>
      <c r="E1238" s="2"/>
      <c r="F1238" s="2"/>
      <c r="G1238" s="2"/>
      <c r="H1238" s="2"/>
      <c r="I1238" s="5"/>
    </row>
    <row r="1239" spans="1:9" ht="17.399999999999999" x14ac:dyDescent="0.25">
      <c r="A1239" s="16"/>
      <c r="B1239" s="17"/>
      <c r="C1239" s="2"/>
      <c r="D1239" s="2"/>
      <c r="E1239" s="2"/>
      <c r="F1239" s="2"/>
      <c r="G1239" s="2"/>
      <c r="H1239" s="2"/>
      <c r="I1239" s="5"/>
    </row>
    <row r="1240" spans="1:9" ht="17.399999999999999" x14ac:dyDescent="0.25">
      <c r="A1240" s="16"/>
      <c r="B1240" s="17"/>
      <c r="C1240" s="2"/>
      <c r="D1240" s="2"/>
      <c r="E1240" s="2"/>
      <c r="F1240" s="2"/>
      <c r="G1240" s="2"/>
      <c r="H1240" s="2"/>
      <c r="I1240" s="5"/>
    </row>
    <row r="1241" spans="1:9" ht="17.399999999999999" x14ac:dyDescent="0.25">
      <c r="A1241" s="16"/>
      <c r="B1241" s="17"/>
      <c r="C1241" s="2"/>
      <c r="D1241" s="2"/>
      <c r="E1241" s="2"/>
      <c r="F1241" s="2"/>
      <c r="G1241" s="2"/>
      <c r="H1241" s="2"/>
      <c r="I1241" s="5"/>
    </row>
    <row r="1242" spans="1:9" ht="17.399999999999999" x14ac:dyDescent="0.25">
      <c r="A1242" s="16"/>
      <c r="B1242" s="17"/>
      <c r="C1242" s="2"/>
      <c r="D1242" s="2"/>
      <c r="E1242" s="2"/>
      <c r="F1242" s="2"/>
      <c r="G1242" s="2"/>
      <c r="H1242" s="2"/>
      <c r="I1242" s="5"/>
    </row>
    <row r="1243" spans="1:9" ht="17.399999999999999" x14ac:dyDescent="0.25">
      <c r="A1243" s="16"/>
      <c r="B1243" s="17"/>
      <c r="C1243" s="2"/>
      <c r="D1243" s="2"/>
      <c r="E1243" s="2"/>
      <c r="F1243" s="2"/>
      <c r="G1243" s="2"/>
      <c r="H1243" s="2"/>
      <c r="I1243" s="5"/>
    </row>
    <row r="1244" spans="1:9" ht="17.399999999999999" x14ac:dyDescent="0.25">
      <c r="A1244" s="16"/>
      <c r="B1244" s="17"/>
      <c r="C1244" s="2"/>
      <c r="D1244" s="2"/>
      <c r="E1244" s="2"/>
      <c r="F1244" s="2"/>
      <c r="G1244" s="2"/>
      <c r="H1244" s="2"/>
      <c r="I1244" s="5"/>
    </row>
    <row r="1245" spans="1:9" ht="17.399999999999999" x14ac:dyDescent="0.25">
      <c r="A1245" s="16"/>
      <c r="B1245" s="17"/>
      <c r="C1245" s="2"/>
      <c r="D1245" s="2"/>
      <c r="E1245" s="2"/>
      <c r="F1245" s="2"/>
      <c r="G1245" s="2"/>
      <c r="H1245" s="2"/>
      <c r="I1245" s="5"/>
    </row>
    <row r="1246" spans="1:9" ht="17.399999999999999" x14ac:dyDescent="0.25">
      <c r="A1246" s="16"/>
      <c r="B1246" s="17"/>
      <c r="C1246" s="2"/>
      <c r="D1246" s="2"/>
      <c r="E1246" s="2"/>
      <c r="F1246" s="2"/>
      <c r="G1246" s="2"/>
      <c r="H1246" s="2"/>
      <c r="I1246" s="5"/>
    </row>
    <row r="1247" spans="1:9" ht="17.399999999999999" x14ac:dyDescent="0.25">
      <c r="A1247" s="16"/>
      <c r="B1247" s="17"/>
      <c r="C1247" s="2"/>
      <c r="D1247" s="2"/>
      <c r="E1247" s="2"/>
      <c r="F1247" s="2"/>
      <c r="G1247" s="2"/>
      <c r="H1247" s="2"/>
      <c r="I1247" s="5"/>
    </row>
    <row r="1248" spans="1:9" ht="17.399999999999999" x14ac:dyDescent="0.25">
      <c r="A1248" s="16"/>
      <c r="B1248" s="17"/>
      <c r="C1248" s="2"/>
      <c r="D1248" s="2"/>
      <c r="E1248" s="2"/>
      <c r="F1248" s="2"/>
      <c r="G1248" s="2"/>
      <c r="H1248" s="2"/>
      <c r="I1248" s="5"/>
    </row>
    <row r="1249" spans="1:9" ht="17.399999999999999" x14ac:dyDescent="0.25">
      <c r="A1249" s="16"/>
      <c r="B1249" s="17"/>
      <c r="C1249" s="2"/>
      <c r="D1249" s="2"/>
      <c r="E1249" s="2"/>
      <c r="F1249" s="2"/>
      <c r="G1249" s="2"/>
      <c r="H1249" s="2"/>
      <c r="I1249" s="5"/>
    </row>
    <row r="1250" spans="1:9" ht="17.399999999999999" x14ac:dyDescent="0.25">
      <c r="A1250" s="16"/>
      <c r="B1250" s="17"/>
      <c r="C1250" s="2"/>
      <c r="D1250" s="2"/>
      <c r="E1250" s="2"/>
      <c r="F1250" s="2"/>
      <c r="G1250" s="2"/>
      <c r="H1250" s="2"/>
      <c r="I1250" s="5"/>
    </row>
    <row r="1251" spans="1:9" ht="17.399999999999999" x14ac:dyDescent="0.25">
      <c r="A1251" s="16"/>
      <c r="B1251" s="17"/>
      <c r="C1251" s="2"/>
      <c r="D1251" s="2"/>
      <c r="E1251" s="2"/>
      <c r="F1251" s="2"/>
      <c r="G1251" s="2"/>
      <c r="H1251" s="2"/>
      <c r="I1251" s="5"/>
    </row>
    <row r="1252" spans="1:9" ht="17.399999999999999" x14ac:dyDescent="0.25">
      <c r="A1252" s="16"/>
      <c r="B1252" s="17"/>
      <c r="C1252" s="2"/>
      <c r="D1252" s="2"/>
      <c r="E1252" s="2"/>
      <c r="F1252" s="2"/>
      <c r="G1252" s="2"/>
      <c r="H1252" s="2"/>
      <c r="I1252" s="5"/>
    </row>
    <row r="1253" spans="1:9" ht="17.399999999999999" x14ac:dyDescent="0.25">
      <c r="A1253" s="16"/>
      <c r="B1253" s="17"/>
      <c r="C1253" s="2"/>
      <c r="D1253" s="2"/>
      <c r="E1253" s="2"/>
      <c r="F1253" s="2"/>
      <c r="G1253" s="2"/>
      <c r="H1253" s="2"/>
      <c r="I1253" s="5"/>
    </row>
    <row r="1254" spans="1:9" ht="17.399999999999999" x14ac:dyDescent="0.25">
      <c r="A1254" s="16"/>
      <c r="B1254" s="17"/>
      <c r="C1254" s="2"/>
      <c r="D1254" s="2"/>
      <c r="E1254" s="2"/>
      <c r="F1254" s="2"/>
      <c r="G1254" s="2"/>
      <c r="H1254" s="2"/>
      <c r="I1254" s="5"/>
    </row>
    <row r="1255" spans="1:9" ht="17.399999999999999" x14ac:dyDescent="0.25">
      <c r="A1255" s="16"/>
      <c r="B1255" s="17"/>
      <c r="C1255" s="2"/>
      <c r="D1255" s="2"/>
      <c r="E1255" s="2"/>
      <c r="F1255" s="2"/>
      <c r="G1255" s="2"/>
      <c r="H1255" s="2"/>
      <c r="I1255" s="5"/>
    </row>
    <row r="1256" spans="1:9" ht="17.399999999999999" x14ac:dyDescent="0.25">
      <c r="A1256" s="16"/>
      <c r="B1256" s="17"/>
      <c r="C1256" s="2"/>
      <c r="D1256" s="2"/>
      <c r="E1256" s="2"/>
      <c r="F1256" s="2"/>
      <c r="G1256" s="2"/>
      <c r="H1256" s="2"/>
      <c r="I1256" s="5"/>
    </row>
    <row r="1257" spans="1:9" ht="17.399999999999999" x14ac:dyDescent="0.25">
      <c r="A1257" s="16"/>
      <c r="B1257" s="17"/>
      <c r="C1257" s="2"/>
      <c r="D1257" s="2"/>
      <c r="E1257" s="2"/>
      <c r="F1257" s="2"/>
      <c r="G1257" s="2"/>
      <c r="H1257" s="2"/>
      <c r="I1257" s="5"/>
    </row>
    <row r="1258" spans="1:9" ht="17.399999999999999" x14ac:dyDescent="0.25">
      <c r="A1258" s="16"/>
      <c r="B1258" s="17"/>
      <c r="C1258" s="2"/>
      <c r="D1258" s="2"/>
      <c r="E1258" s="2"/>
      <c r="F1258" s="2"/>
      <c r="G1258" s="2"/>
      <c r="H1258" s="2"/>
      <c r="I1258" s="5"/>
    </row>
    <row r="1259" spans="1:9" ht="17.399999999999999" x14ac:dyDescent="0.25">
      <c r="A1259" s="16"/>
      <c r="B1259" s="17"/>
      <c r="C1259" s="2"/>
      <c r="D1259" s="2"/>
      <c r="E1259" s="2"/>
      <c r="F1259" s="2"/>
      <c r="G1259" s="2"/>
      <c r="H1259" s="2"/>
      <c r="I1259" s="5"/>
    </row>
    <row r="1260" spans="1:9" ht="17.399999999999999" x14ac:dyDescent="0.25">
      <c r="A1260" s="16"/>
      <c r="B1260" s="17"/>
      <c r="C1260" s="2"/>
      <c r="D1260" s="2"/>
      <c r="E1260" s="2"/>
      <c r="F1260" s="2"/>
      <c r="G1260" s="2"/>
      <c r="H1260" s="2"/>
      <c r="I1260" s="5"/>
    </row>
    <row r="1261" spans="1:9" ht="17.399999999999999" x14ac:dyDescent="0.25">
      <c r="A1261" s="16"/>
      <c r="B1261" s="17"/>
      <c r="C1261" s="2"/>
      <c r="D1261" s="2"/>
      <c r="E1261" s="2"/>
      <c r="F1261" s="2"/>
      <c r="G1261" s="2"/>
      <c r="H1261" s="2"/>
      <c r="I1261" s="5"/>
    </row>
    <row r="1262" spans="1:9" ht="17.399999999999999" x14ac:dyDescent="0.25">
      <c r="A1262" s="16"/>
      <c r="B1262" s="17"/>
      <c r="C1262" s="2"/>
      <c r="D1262" s="2"/>
      <c r="E1262" s="2"/>
      <c r="F1262" s="2"/>
      <c r="G1262" s="2"/>
      <c r="H1262" s="2"/>
      <c r="I1262" s="5"/>
    </row>
    <row r="1263" spans="1:9" ht="17.399999999999999" x14ac:dyDescent="0.25">
      <c r="A1263" s="16"/>
      <c r="B1263" s="17"/>
      <c r="C1263" s="2"/>
      <c r="D1263" s="2"/>
      <c r="E1263" s="2"/>
      <c r="F1263" s="2"/>
      <c r="G1263" s="2"/>
      <c r="H1263" s="2"/>
      <c r="I1263" s="5"/>
    </row>
    <row r="1264" spans="1:9" ht="17.399999999999999" x14ac:dyDescent="0.25">
      <c r="A1264" s="16"/>
      <c r="B1264" s="17"/>
      <c r="C1264" s="2"/>
      <c r="D1264" s="2"/>
      <c r="E1264" s="2"/>
      <c r="F1264" s="2"/>
      <c r="G1264" s="2"/>
      <c r="H1264" s="2"/>
      <c r="I1264" s="5"/>
    </row>
    <row r="1265" spans="1:9" ht="17.399999999999999" x14ac:dyDescent="0.25">
      <c r="A1265" s="16"/>
      <c r="B1265" s="17"/>
      <c r="C1265" s="2"/>
      <c r="D1265" s="2"/>
      <c r="E1265" s="2"/>
      <c r="F1265" s="2"/>
      <c r="G1265" s="2"/>
      <c r="H1265" s="2"/>
      <c r="I1265" s="5"/>
    </row>
    <row r="1266" spans="1:9" ht="17.399999999999999" x14ac:dyDescent="0.25">
      <c r="A1266" s="16"/>
      <c r="B1266" s="17"/>
      <c r="C1266" s="2"/>
      <c r="D1266" s="2"/>
      <c r="E1266" s="2"/>
      <c r="F1266" s="2"/>
      <c r="G1266" s="2"/>
      <c r="H1266" s="2"/>
      <c r="I1266" s="5"/>
    </row>
    <row r="1267" spans="1:9" ht="17.399999999999999" x14ac:dyDescent="0.25">
      <c r="A1267" s="16"/>
      <c r="B1267" s="17"/>
      <c r="C1267" s="2"/>
      <c r="D1267" s="2"/>
      <c r="E1267" s="2"/>
      <c r="F1267" s="2"/>
      <c r="G1267" s="2"/>
      <c r="H1267" s="2"/>
      <c r="I1267" s="5"/>
    </row>
    <row r="1268" spans="1:9" ht="17.399999999999999" x14ac:dyDescent="0.25">
      <c r="A1268" s="16"/>
      <c r="B1268" s="17"/>
      <c r="C1268" s="2"/>
      <c r="D1268" s="2"/>
      <c r="E1268" s="2"/>
      <c r="F1268" s="2"/>
      <c r="G1268" s="2"/>
      <c r="H1268" s="2"/>
      <c r="I1268" s="5"/>
    </row>
    <row r="1269" spans="1:9" ht="17.399999999999999" x14ac:dyDescent="0.25">
      <c r="A1269" s="16"/>
      <c r="B1269" s="17"/>
      <c r="C1269" s="2"/>
      <c r="D1269" s="2"/>
      <c r="E1269" s="2"/>
      <c r="F1269" s="2"/>
      <c r="G1269" s="2"/>
      <c r="H1269" s="2"/>
      <c r="I1269" s="5"/>
    </row>
    <row r="1270" spans="1:9" ht="17.399999999999999" x14ac:dyDescent="0.25">
      <c r="A1270" s="16"/>
      <c r="B1270" s="17"/>
      <c r="C1270" s="2"/>
      <c r="D1270" s="2"/>
      <c r="E1270" s="2"/>
      <c r="F1270" s="2"/>
      <c r="G1270" s="2"/>
      <c r="H1270" s="2"/>
      <c r="I1270" s="5"/>
    </row>
    <row r="1271" spans="1:9" ht="17.399999999999999" x14ac:dyDescent="0.25">
      <c r="A1271" s="16"/>
      <c r="B1271" s="17"/>
      <c r="C1271" s="2"/>
      <c r="D1271" s="2"/>
      <c r="E1271" s="2"/>
      <c r="F1271" s="2"/>
      <c r="G1271" s="2"/>
      <c r="H1271" s="2"/>
      <c r="I1271" s="5"/>
    </row>
    <row r="1272" spans="1:9" ht="17.399999999999999" x14ac:dyDescent="0.25">
      <c r="A1272" s="16"/>
      <c r="B1272" s="17"/>
      <c r="C1272" s="2"/>
      <c r="D1272" s="2"/>
      <c r="E1272" s="2"/>
      <c r="F1272" s="2"/>
      <c r="G1272" s="2"/>
      <c r="H1272" s="2"/>
      <c r="I1272" s="5"/>
    </row>
    <row r="1273" spans="1:9" ht="17.399999999999999" x14ac:dyDescent="0.25">
      <c r="A1273" s="16"/>
      <c r="B1273" s="17"/>
      <c r="C1273" s="2"/>
      <c r="D1273" s="2"/>
      <c r="E1273" s="2"/>
      <c r="F1273" s="2"/>
      <c r="G1273" s="2"/>
      <c r="H1273" s="2"/>
      <c r="I1273" s="5"/>
    </row>
    <row r="1274" spans="1:9" ht="17.399999999999999" x14ac:dyDescent="0.25">
      <c r="A1274" s="16"/>
      <c r="B1274" s="17"/>
      <c r="C1274" s="2"/>
      <c r="D1274" s="2"/>
      <c r="E1274" s="2"/>
      <c r="F1274" s="2"/>
      <c r="G1274" s="2"/>
      <c r="H1274" s="2"/>
      <c r="I1274" s="5"/>
    </row>
    <row r="1275" spans="1:9" ht="17.399999999999999" x14ac:dyDescent="0.25">
      <c r="A1275" s="16"/>
      <c r="B1275" s="17"/>
      <c r="C1275" s="2"/>
      <c r="D1275" s="2"/>
      <c r="E1275" s="2"/>
      <c r="F1275" s="2"/>
      <c r="G1275" s="2"/>
      <c r="H1275" s="2"/>
      <c r="I1275" s="5"/>
    </row>
    <row r="1276" spans="1:9" ht="17.399999999999999" x14ac:dyDescent="0.25">
      <c r="A1276" s="16"/>
      <c r="B1276" s="17"/>
      <c r="C1276" s="2"/>
      <c r="D1276" s="2"/>
      <c r="E1276" s="2"/>
      <c r="F1276" s="2"/>
      <c r="G1276" s="2"/>
      <c r="H1276" s="2"/>
      <c r="I1276" s="5"/>
    </row>
    <row r="1277" spans="1:9" ht="17.399999999999999" x14ac:dyDescent="0.25">
      <c r="A1277" s="16"/>
      <c r="B1277" s="17"/>
      <c r="C1277" s="2"/>
      <c r="D1277" s="2"/>
      <c r="E1277" s="2"/>
      <c r="F1277" s="2"/>
      <c r="G1277" s="2"/>
      <c r="H1277" s="2"/>
      <c r="I1277" s="5"/>
    </row>
    <row r="1278" spans="1:9" ht="17.399999999999999" x14ac:dyDescent="0.25">
      <c r="A1278" s="16"/>
      <c r="B1278" s="17"/>
      <c r="C1278" s="2"/>
      <c r="D1278" s="2"/>
      <c r="E1278" s="2"/>
      <c r="F1278" s="2"/>
      <c r="G1278" s="2"/>
      <c r="H1278" s="2"/>
      <c r="I1278" s="5"/>
    </row>
    <row r="1279" spans="1:9" ht="17.399999999999999" x14ac:dyDescent="0.25">
      <c r="A1279" s="16"/>
      <c r="B1279" s="17"/>
      <c r="C1279" s="2"/>
      <c r="D1279" s="2"/>
      <c r="E1279" s="2"/>
      <c r="F1279" s="2"/>
      <c r="G1279" s="2"/>
      <c r="H1279" s="2"/>
      <c r="I1279" s="5"/>
    </row>
    <row r="1280" spans="1:9" ht="17.399999999999999" x14ac:dyDescent="0.25">
      <c r="A1280" s="16"/>
      <c r="B1280" s="17"/>
      <c r="C1280" s="2"/>
      <c r="D1280" s="2"/>
      <c r="E1280" s="2"/>
      <c r="F1280" s="2"/>
      <c r="G1280" s="2"/>
      <c r="H1280" s="2"/>
      <c r="I1280" s="5"/>
    </row>
    <row r="1281" spans="1:9" ht="17.399999999999999" x14ac:dyDescent="0.25">
      <c r="A1281" s="16"/>
      <c r="B1281" s="17"/>
      <c r="C1281" s="2"/>
      <c r="D1281" s="2"/>
      <c r="E1281" s="2"/>
      <c r="F1281" s="2"/>
      <c r="G1281" s="2"/>
      <c r="H1281" s="2"/>
      <c r="I1281" s="5"/>
    </row>
    <row r="1282" spans="1:9" ht="17.399999999999999" x14ac:dyDescent="0.25">
      <c r="A1282" s="16"/>
      <c r="B1282" s="17"/>
      <c r="C1282" s="2"/>
      <c r="D1282" s="2"/>
      <c r="E1282" s="2"/>
      <c r="F1282" s="2"/>
      <c r="G1282" s="2"/>
      <c r="H1282" s="2"/>
      <c r="I1282" s="5"/>
    </row>
    <row r="1283" spans="1:9" ht="17.399999999999999" x14ac:dyDescent="0.25">
      <c r="A1283" s="16"/>
      <c r="B1283" s="17"/>
      <c r="C1283" s="2"/>
      <c r="D1283" s="2"/>
      <c r="E1283" s="2"/>
      <c r="F1283" s="2"/>
      <c r="G1283" s="2"/>
      <c r="H1283" s="2"/>
      <c r="I1283" s="5"/>
    </row>
    <row r="1284" spans="1:9" ht="17.399999999999999" x14ac:dyDescent="0.25">
      <c r="A1284" s="16"/>
      <c r="B1284" s="17"/>
      <c r="C1284" s="2"/>
      <c r="D1284" s="2"/>
      <c r="E1284" s="2"/>
      <c r="F1284" s="2"/>
      <c r="G1284" s="2"/>
      <c r="H1284" s="2"/>
      <c r="I1284" s="5"/>
    </row>
    <row r="1285" spans="1:9" ht="17.399999999999999" x14ac:dyDescent="0.25">
      <c r="A1285" s="16"/>
      <c r="B1285" s="17"/>
      <c r="C1285" s="2"/>
      <c r="D1285" s="2"/>
      <c r="E1285" s="2"/>
      <c r="F1285" s="2"/>
      <c r="G1285" s="2"/>
      <c r="H1285" s="2"/>
      <c r="I1285" s="5"/>
    </row>
    <row r="1286" spans="1:9" ht="17.399999999999999" x14ac:dyDescent="0.25">
      <c r="A1286" s="16"/>
      <c r="B1286" s="17"/>
      <c r="C1286" s="2"/>
      <c r="D1286" s="2"/>
      <c r="E1286" s="2"/>
      <c r="F1286" s="2"/>
      <c r="G1286" s="2"/>
      <c r="H1286" s="2"/>
      <c r="I1286" s="5"/>
    </row>
    <row r="1287" spans="1:9" ht="17.399999999999999" x14ac:dyDescent="0.25">
      <c r="A1287" s="16"/>
      <c r="B1287" s="17"/>
      <c r="C1287" s="2"/>
      <c r="D1287" s="2"/>
      <c r="E1287" s="2"/>
      <c r="F1287" s="2"/>
      <c r="G1287" s="2"/>
      <c r="H1287" s="2"/>
      <c r="I1287" s="5"/>
    </row>
    <row r="1288" spans="1:9" ht="17.399999999999999" x14ac:dyDescent="0.25">
      <c r="A1288" s="16"/>
      <c r="B1288" s="17"/>
      <c r="C1288" s="2"/>
      <c r="D1288" s="2"/>
      <c r="E1288" s="2"/>
      <c r="F1288" s="2"/>
      <c r="G1288" s="2"/>
      <c r="H1288" s="2"/>
      <c r="I1288" s="5"/>
    </row>
    <row r="1289" spans="1:9" ht="17.399999999999999" x14ac:dyDescent="0.25">
      <c r="A1289" s="16"/>
      <c r="B1289" s="17"/>
      <c r="C1289" s="2"/>
      <c r="D1289" s="2"/>
      <c r="E1289" s="2"/>
      <c r="F1289" s="2"/>
      <c r="G1289" s="2"/>
      <c r="H1289" s="2"/>
      <c r="I1289" s="5"/>
    </row>
    <row r="1290" spans="1:9" ht="17.399999999999999" x14ac:dyDescent="0.25">
      <c r="A1290" s="16"/>
      <c r="B1290" s="17"/>
      <c r="C1290" s="2"/>
      <c r="D1290" s="2"/>
      <c r="E1290" s="2"/>
      <c r="F1290" s="2"/>
      <c r="G1290" s="2"/>
      <c r="H1290" s="2"/>
      <c r="I1290" s="5"/>
    </row>
    <row r="1291" spans="1:9" ht="17.399999999999999" x14ac:dyDescent="0.25">
      <c r="A1291" s="16"/>
      <c r="B1291" s="17"/>
      <c r="C1291" s="2"/>
      <c r="D1291" s="2"/>
      <c r="E1291" s="2"/>
      <c r="F1291" s="2"/>
      <c r="G1291" s="2"/>
      <c r="H1291" s="2"/>
      <c r="I1291" s="5"/>
    </row>
    <row r="1292" spans="1:9" ht="17.399999999999999" x14ac:dyDescent="0.25">
      <c r="A1292" s="16"/>
      <c r="B1292" s="17"/>
      <c r="C1292" s="2"/>
      <c r="D1292" s="2"/>
      <c r="E1292" s="2"/>
      <c r="F1292" s="2"/>
      <c r="G1292" s="2"/>
      <c r="H1292" s="2"/>
      <c r="I1292" s="5"/>
    </row>
    <row r="1293" spans="1:9" ht="17.399999999999999" x14ac:dyDescent="0.25">
      <c r="A1293" s="16"/>
      <c r="B1293" s="17"/>
      <c r="C1293" s="2"/>
      <c r="D1293" s="2"/>
      <c r="E1293" s="2"/>
      <c r="F1293" s="2"/>
      <c r="G1293" s="2"/>
      <c r="H1293" s="2"/>
      <c r="I1293" s="5"/>
    </row>
    <row r="1294" spans="1:9" ht="17.399999999999999" x14ac:dyDescent="0.25">
      <c r="A1294" s="16"/>
      <c r="B1294" s="17"/>
      <c r="C1294" s="2"/>
      <c r="D1294" s="2"/>
      <c r="E1294" s="2"/>
      <c r="F1294" s="2"/>
      <c r="G1294" s="2"/>
      <c r="H1294" s="2"/>
      <c r="I1294" s="5"/>
    </row>
    <row r="1295" spans="1:9" ht="17.399999999999999" x14ac:dyDescent="0.25">
      <c r="A1295" s="16"/>
      <c r="B1295" s="17"/>
      <c r="C1295" s="2"/>
      <c r="D1295" s="2"/>
      <c r="E1295" s="2"/>
      <c r="F1295" s="2"/>
      <c r="G1295" s="2"/>
      <c r="H1295" s="2"/>
      <c r="I1295" s="5"/>
    </row>
    <row r="1296" spans="1:9" ht="17.399999999999999" x14ac:dyDescent="0.25">
      <c r="A1296" s="16"/>
      <c r="B1296" s="17"/>
      <c r="C1296" s="2"/>
      <c r="D1296" s="2"/>
      <c r="E1296" s="2"/>
      <c r="F1296" s="2"/>
      <c r="G1296" s="2"/>
      <c r="H1296" s="2"/>
      <c r="I1296" s="5"/>
    </row>
    <row r="1297" spans="1:9" ht="17.399999999999999" x14ac:dyDescent="0.25">
      <c r="A1297" s="16"/>
      <c r="B1297" s="17"/>
      <c r="C1297" s="2"/>
      <c r="D1297" s="2"/>
      <c r="E1297" s="2"/>
      <c r="F1297" s="2"/>
      <c r="G1297" s="2"/>
      <c r="H1297" s="2"/>
      <c r="I1297" s="5"/>
    </row>
    <row r="1298" spans="1:9" ht="17.399999999999999" x14ac:dyDescent="0.25">
      <c r="A1298" s="16"/>
      <c r="B1298" s="17"/>
      <c r="C1298" s="2"/>
      <c r="D1298" s="2"/>
      <c r="E1298" s="2"/>
      <c r="F1298" s="2"/>
      <c r="G1298" s="2"/>
      <c r="H1298" s="2"/>
      <c r="I1298" s="5"/>
    </row>
    <row r="1299" spans="1:9" ht="17.399999999999999" x14ac:dyDescent="0.25">
      <c r="A1299" s="16"/>
      <c r="B1299" s="17"/>
      <c r="C1299" s="2"/>
      <c r="D1299" s="2"/>
      <c r="E1299" s="2"/>
      <c r="F1299" s="2"/>
      <c r="G1299" s="2"/>
      <c r="H1299" s="2"/>
      <c r="I1299" s="5"/>
    </row>
    <row r="1300" spans="1:9" ht="17.399999999999999" x14ac:dyDescent="0.25">
      <c r="A1300" s="16"/>
      <c r="B1300" s="17"/>
      <c r="C1300" s="2"/>
      <c r="D1300" s="2"/>
      <c r="E1300" s="2"/>
      <c r="F1300" s="2"/>
      <c r="G1300" s="2"/>
      <c r="H1300" s="2"/>
      <c r="I1300" s="5"/>
    </row>
    <row r="1301" spans="1:9" ht="17.399999999999999" x14ac:dyDescent="0.25">
      <c r="A1301" s="16"/>
      <c r="B1301" s="17"/>
      <c r="C1301" s="2"/>
      <c r="D1301" s="2"/>
      <c r="E1301" s="2"/>
      <c r="F1301" s="2"/>
      <c r="G1301" s="2"/>
      <c r="H1301" s="2"/>
      <c r="I1301" s="5"/>
    </row>
    <row r="1302" spans="1:9" ht="17.399999999999999" x14ac:dyDescent="0.25">
      <c r="A1302" s="16"/>
      <c r="B1302" s="17"/>
      <c r="C1302" s="2"/>
      <c r="D1302" s="2"/>
      <c r="E1302" s="2"/>
      <c r="F1302" s="2"/>
      <c r="G1302" s="2"/>
      <c r="H1302" s="2"/>
      <c r="I1302" s="5"/>
    </row>
    <row r="1303" spans="1:9" ht="17.399999999999999" x14ac:dyDescent="0.25">
      <c r="A1303" s="16"/>
      <c r="B1303" s="17"/>
      <c r="C1303" s="2"/>
      <c r="D1303" s="2"/>
      <c r="E1303" s="2"/>
      <c r="F1303" s="2"/>
      <c r="G1303" s="2"/>
      <c r="H1303" s="2"/>
      <c r="I1303" s="5"/>
    </row>
    <row r="1304" spans="1:9" ht="17.399999999999999" x14ac:dyDescent="0.25">
      <c r="A1304" s="16"/>
      <c r="B1304" s="17"/>
      <c r="C1304" s="2"/>
      <c r="D1304" s="2"/>
      <c r="E1304" s="2"/>
      <c r="F1304" s="2"/>
      <c r="G1304" s="2"/>
      <c r="H1304" s="2"/>
      <c r="I1304" s="5"/>
    </row>
    <row r="1305" spans="1:9" ht="17.399999999999999" x14ac:dyDescent="0.25">
      <c r="A1305" s="16"/>
      <c r="B1305" s="17"/>
      <c r="C1305" s="2"/>
      <c r="D1305" s="2"/>
      <c r="E1305" s="2"/>
      <c r="F1305" s="2"/>
      <c r="G1305" s="2"/>
      <c r="H1305" s="2"/>
      <c r="I1305" s="5"/>
    </row>
    <row r="1306" spans="1:9" ht="17.399999999999999" x14ac:dyDescent="0.25">
      <c r="A1306" s="16"/>
      <c r="B1306" s="17"/>
      <c r="C1306" s="2"/>
      <c r="D1306" s="2"/>
      <c r="E1306" s="2"/>
      <c r="F1306" s="2"/>
      <c r="G1306" s="2"/>
      <c r="H1306" s="2"/>
      <c r="I1306" s="5"/>
    </row>
    <row r="1307" spans="1:9" ht="17.399999999999999" x14ac:dyDescent="0.25">
      <c r="A1307" s="16"/>
      <c r="B1307" s="17"/>
      <c r="C1307" s="2"/>
      <c r="D1307" s="2"/>
      <c r="E1307" s="2"/>
      <c r="F1307" s="2"/>
      <c r="G1307" s="2"/>
      <c r="H1307" s="2"/>
      <c r="I1307" s="5"/>
    </row>
    <row r="1308" spans="1:9" ht="17.399999999999999" x14ac:dyDescent="0.25">
      <c r="A1308" s="16"/>
      <c r="B1308" s="17"/>
      <c r="C1308" s="2"/>
      <c r="D1308" s="2"/>
      <c r="E1308" s="2"/>
      <c r="F1308" s="2"/>
      <c r="G1308" s="2"/>
      <c r="H1308" s="2"/>
      <c r="I1308" s="5"/>
    </row>
    <row r="1309" spans="1:9" ht="17.399999999999999" x14ac:dyDescent="0.25">
      <c r="A1309" s="16"/>
      <c r="B1309" s="17"/>
      <c r="C1309" s="2"/>
      <c r="D1309" s="2"/>
      <c r="E1309" s="2"/>
      <c r="F1309" s="2"/>
      <c r="G1309" s="2"/>
      <c r="H1309" s="2"/>
      <c r="I1309" s="5"/>
    </row>
    <row r="1310" spans="1:9" ht="17.399999999999999" x14ac:dyDescent="0.25">
      <c r="A1310" s="16"/>
      <c r="B1310" s="17"/>
      <c r="C1310" s="2"/>
      <c r="D1310" s="2"/>
      <c r="E1310" s="2"/>
      <c r="F1310" s="2"/>
      <c r="G1310" s="2"/>
      <c r="H1310" s="2"/>
      <c r="I1310" s="5"/>
    </row>
    <row r="1311" spans="1:9" ht="17.399999999999999" x14ac:dyDescent="0.25">
      <c r="A1311" s="16"/>
      <c r="B1311" s="17"/>
      <c r="C1311" s="2"/>
      <c r="D1311" s="2"/>
      <c r="E1311" s="2"/>
      <c r="F1311" s="2"/>
      <c r="G1311" s="2"/>
      <c r="H1311" s="2"/>
      <c r="I1311" s="5"/>
    </row>
    <row r="1312" spans="1:9" ht="17.399999999999999" x14ac:dyDescent="0.25">
      <c r="A1312" s="16"/>
      <c r="B1312" s="17"/>
      <c r="C1312" s="2"/>
      <c r="D1312" s="2"/>
      <c r="E1312" s="2"/>
      <c r="F1312" s="2"/>
      <c r="G1312" s="2"/>
      <c r="H1312" s="2"/>
      <c r="I1312" s="5"/>
    </row>
    <row r="1313" spans="1:9" ht="17.399999999999999" x14ac:dyDescent="0.25">
      <c r="A1313" s="16"/>
      <c r="B1313" s="17"/>
      <c r="C1313" s="2"/>
      <c r="D1313" s="2"/>
      <c r="E1313" s="2"/>
      <c r="F1313" s="2"/>
      <c r="G1313" s="2"/>
      <c r="H1313" s="2"/>
      <c r="I1313" s="5"/>
    </row>
    <row r="1314" spans="1:9" ht="17.399999999999999" x14ac:dyDescent="0.25">
      <c r="A1314" s="16"/>
      <c r="B1314" s="17"/>
      <c r="C1314" s="2"/>
      <c r="D1314" s="2"/>
      <c r="E1314" s="2"/>
      <c r="F1314" s="2"/>
      <c r="G1314" s="2"/>
      <c r="H1314" s="2"/>
      <c r="I1314" s="5"/>
    </row>
    <row r="1315" spans="1:9" ht="17.399999999999999" x14ac:dyDescent="0.25">
      <c r="A1315" s="16"/>
      <c r="B1315" s="17"/>
      <c r="C1315" s="2"/>
      <c r="D1315" s="2"/>
      <c r="E1315" s="2"/>
      <c r="F1315" s="2"/>
      <c r="G1315" s="2"/>
      <c r="H1315" s="2"/>
      <c r="I1315" s="5"/>
    </row>
    <row r="1316" spans="1:9" ht="17.399999999999999" x14ac:dyDescent="0.25">
      <c r="A1316" s="16"/>
      <c r="B1316" s="17"/>
      <c r="C1316" s="2"/>
      <c r="D1316" s="2"/>
      <c r="E1316" s="2"/>
      <c r="F1316" s="2"/>
      <c r="G1316" s="2"/>
      <c r="H1316" s="2"/>
      <c r="I1316" s="5"/>
    </row>
    <row r="1317" spans="1:9" ht="17.399999999999999" x14ac:dyDescent="0.25">
      <c r="A1317" s="16"/>
      <c r="B1317" s="17"/>
      <c r="C1317" s="2"/>
      <c r="D1317" s="2"/>
      <c r="E1317" s="2"/>
      <c r="F1317" s="2"/>
      <c r="G1317" s="2"/>
      <c r="H1317" s="2"/>
      <c r="I1317" s="5"/>
    </row>
    <row r="1318" spans="1:9" ht="17.399999999999999" x14ac:dyDescent="0.25">
      <c r="A1318" s="16"/>
      <c r="B1318" s="17"/>
      <c r="C1318" s="2"/>
      <c r="D1318" s="2"/>
      <c r="E1318" s="2"/>
      <c r="F1318" s="2"/>
      <c r="G1318" s="2"/>
      <c r="H1318" s="2"/>
      <c r="I1318" s="5"/>
    </row>
    <row r="1319" spans="1:9" ht="17.399999999999999" x14ac:dyDescent="0.25">
      <c r="A1319" s="16"/>
      <c r="B1319" s="17"/>
      <c r="C1319" s="2"/>
      <c r="D1319" s="2"/>
      <c r="E1319" s="2"/>
      <c r="F1319" s="2"/>
      <c r="G1319" s="2"/>
      <c r="H1319" s="2"/>
      <c r="I1319" s="5"/>
    </row>
    <row r="1320" spans="1:9" ht="17.399999999999999" x14ac:dyDescent="0.25">
      <c r="A1320" s="16"/>
      <c r="B1320" s="17"/>
      <c r="C1320" s="2"/>
      <c r="D1320" s="2"/>
      <c r="E1320" s="2"/>
      <c r="F1320" s="2"/>
      <c r="G1320" s="2"/>
      <c r="H1320" s="2"/>
      <c r="I1320" s="5"/>
    </row>
    <row r="1321" spans="1:9" ht="17.399999999999999" x14ac:dyDescent="0.25">
      <c r="A1321" s="16"/>
      <c r="B1321" s="17"/>
      <c r="C1321" s="2"/>
      <c r="D1321" s="2"/>
      <c r="E1321" s="2"/>
      <c r="F1321" s="2"/>
      <c r="G1321" s="2"/>
      <c r="H1321" s="2"/>
      <c r="I1321" s="5"/>
    </row>
    <row r="1322" spans="1:9" ht="17.399999999999999" x14ac:dyDescent="0.25">
      <c r="A1322" s="16"/>
      <c r="B1322" s="17"/>
      <c r="C1322" s="2"/>
      <c r="D1322" s="2"/>
      <c r="E1322" s="2"/>
      <c r="F1322" s="2"/>
      <c r="G1322" s="2"/>
      <c r="H1322" s="2"/>
      <c r="I1322" s="5"/>
    </row>
    <row r="1323" spans="1:9" ht="17.399999999999999" x14ac:dyDescent="0.25">
      <c r="A1323" s="16"/>
      <c r="B1323" s="17"/>
      <c r="C1323" s="2"/>
      <c r="D1323" s="2"/>
      <c r="E1323" s="2"/>
      <c r="F1323" s="2"/>
      <c r="G1323" s="2"/>
      <c r="H1323" s="2"/>
      <c r="I1323" s="5"/>
    </row>
    <row r="1324" spans="1:9" ht="17.399999999999999" x14ac:dyDescent="0.25">
      <c r="A1324" s="16"/>
      <c r="B1324" s="17"/>
      <c r="C1324" s="2"/>
      <c r="D1324" s="2"/>
      <c r="E1324" s="2"/>
      <c r="F1324" s="2"/>
      <c r="G1324" s="2"/>
      <c r="H1324" s="2"/>
      <c r="I1324" s="5"/>
    </row>
    <row r="1325" spans="1:9" ht="17.399999999999999" x14ac:dyDescent="0.25">
      <c r="A1325" s="16"/>
      <c r="B1325" s="17"/>
      <c r="C1325" s="2"/>
      <c r="D1325" s="2"/>
      <c r="E1325" s="2"/>
      <c r="F1325" s="2"/>
      <c r="G1325" s="2"/>
      <c r="H1325" s="2"/>
      <c r="I1325" s="5"/>
    </row>
    <row r="1326" spans="1:9" ht="17.399999999999999" x14ac:dyDescent="0.25">
      <c r="A1326" s="16"/>
      <c r="B1326" s="17"/>
      <c r="C1326" s="2"/>
      <c r="D1326" s="2"/>
      <c r="E1326" s="2"/>
      <c r="F1326" s="2"/>
      <c r="G1326" s="2"/>
      <c r="H1326" s="2"/>
      <c r="I1326" s="5"/>
    </row>
    <row r="1327" spans="1:9" ht="17.399999999999999" x14ac:dyDescent="0.25">
      <c r="A1327" s="16"/>
      <c r="B1327" s="17"/>
      <c r="C1327" s="2"/>
      <c r="D1327" s="2"/>
      <c r="E1327" s="2"/>
      <c r="F1327" s="2"/>
      <c r="G1327" s="2"/>
      <c r="H1327" s="2"/>
      <c r="I1327" s="5"/>
    </row>
    <row r="1328" spans="1:9" ht="17.399999999999999" x14ac:dyDescent="0.25">
      <c r="A1328" s="16"/>
      <c r="B1328" s="17"/>
      <c r="C1328" s="2"/>
      <c r="D1328" s="2"/>
      <c r="E1328" s="2"/>
      <c r="F1328" s="2"/>
      <c r="G1328" s="2"/>
      <c r="H1328" s="2"/>
      <c r="I1328" s="5"/>
    </row>
    <row r="1329" spans="1:9" ht="17.399999999999999" x14ac:dyDescent="0.25">
      <c r="A1329" s="16"/>
      <c r="B1329" s="17"/>
      <c r="C1329" s="2"/>
      <c r="D1329" s="2"/>
      <c r="E1329" s="2"/>
      <c r="F1329" s="2"/>
      <c r="G1329" s="2"/>
      <c r="H1329" s="2"/>
      <c r="I1329" s="5"/>
    </row>
    <row r="1330" spans="1:9" ht="17.399999999999999" x14ac:dyDescent="0.25">
      <c r="A1330" s="16"/>
      <c r="B1330" s="17"/>
      <c r="C1330" s="2"/>
      <c r="D1330" s="2"/>
      <c r="E1330" s="2"/>
      <c r="F1330" s="2"/>
      <c r="G1330" s="2"/>
      <c r="H1330" s="2"/>
      <c r="I1330" s="5"/>
    </row>
    <row r="1331" spans="1:9" ht="17.399999999999999" x14ac:dyDescent="0.25">
      <c r="A1331" s="16"/>
      <c r="B1331" s="17"/>
      <c r="C1331" s="2"/>
      <c r="D1331" s="2"/>
      <c r="E1331" s="2"/>
      <c r="F1331" s="2"/>
      <c r="G1331" s="2"/>
      <c r="H1331" s="2"/>
      <c r="I1331" s="5"/>
    </row>
    <row r="1332" spans="1:9" ht="17.399999999999999" x14ac:dyDescent="0.25">
      <c r="A1332" s="16"/>
      <c r="B1332" s="17"/>
      <c r="C1332" s="2"/>
      <c r="D1332" s="2"/>
      <c r="E1332" s="2"/>
      <c r="F1332" s="2"/>
      <c r="G1332" s="2"/>
      <c r="H1332" s="2"/>
      <c r="I1332" s="5"/>
    </row>
    <row r="1333" spans="1:9" ht="17.399999999999999" x14ac:dyDescent="0.25">
      <c r="A1333" s="16"/>
      <c r="B1333" s="17"/>
      <c r="C1333" s="2"/>
      <c r="D1333" s="2"/>
      <c r="E1333" s="2"/>
      <c r="F1333" s="2"/>
      <c r="G1333" s="2"/>
      <c r="H1333" s="2"/>
      <c r="I1333" s="5"/>
    </row>
    <row r="1334" spans="1:9" ht="17.399999999999999" x14ac:dyDescent="0.25">
      <c r="A1334" s="16"/>
      <c r="B1334" s="17"/>
      <c r="C1334" s="2"/>
      <c r="D1334" s="2"/>
      <c r="E1334" s="2"/>
      <c r="F1334" s="2"/>
      <c r="G1334" s="2"/>
      <c r="H1334" s="2"/>
      <c r="I1334" s="5"/>
    </row>
    <row r="1335" spans="1:9" ht="17.399999999999999" x14ac:dyDescent="0.25">
      <c r="A1335" s="16"/>
      <c r="B1335" s="17"/>
      <c r="C1335" s="2"/>
      <c r="D1335" s="2"/>
      <c r="E1335" s="2"/>
      <c r="F1335" s="2"/>
      <c r="G1335" s="2"/>
      <c r="H1335" s="2"/>
      <c r="I1335" s="5"/>
    </row>
    <row r="1336" spans="1:9" ht="17.399999999999999" x14ac:dyDescent="0.25">
      <c r="A1336" s="16"/>
      <c r="B1336" s="17"/>
      <c r="C1336" s="2"/>
      <c r="D1336" s="2"/>
      <c r="E1336" s="2"/>
      <c r="F1336" s="2"/>
      <c r="G1336" s="2"/>
      <c r="H1336" s="2"/>
      <c r="I1336" s="5"/>
    </row>
    <row r="1337" spans="1:9" ht="17.399999999999999" x14ac:dyDescent="0.25">
      <c r="A1337" s="16"/>
      <c r="B1337" s="17"/>
      <c r="C1337" s="2"/>
      <c r="D1337" s="2"/>
      <c r="E1337" s="2"/>
      <c r="F1337" s="2"/>
      <c r="G1337" s="2"/>
      <c r="H1337" s="2"/>
      <c r="I1337" s="5"/>
    </row>
    <row r="1338" spans="1:9" ht="17.399999999999999" x14ac:dyDescent="0.25">
      <c r="A1338" s="16"/>
      <c r="B1338" s="17"/>
      <c r="C1338" s="2"/>
      <c r="D1338" s="2"/>
      <c r="E1338" s="2"/>
      <c r="F1338" s="2"/>
      <c r="G1338" s="2"/>
      <c r="H1338" s="2"/>
      <c r="I1338" s="5"/>
    </row>
    <row r="1339" spans="1:9" ht="17.399999999999999" x14ac:dyDescent="0.25">
      <c r="A1339" s="16"/>
      <c r="B1339" s="17"/>
      <c r="C1339" s="2"/>
      <c r="D1339" s="2"/>
      <c r="E1339" s="2"/>
      <c r="F1339" s="2"/>
      <c r="G1339" s="2"/>
      <c r="H1339" s="2"/>
      <c r="I1339" s="5"/>
    </row>
    <row r="1340" spans="1:9" ht="17.399999999999999" x14ac:dyDescent="0.25">
      <c r="A1340" s="16"/>
      <c r="B1340" s="17"/>
      <c r="C1340" s="2"/>
      <c r="D1340" s="2"/>
      <c r="E1340" s="2"/>
      <c r="F1340" s="2"/>
      <c r="G1340" s="2"/>
      <c r="H1340" s="2"/>
      <c r="I1340" s="5"/>
    </row>
    <row r="1341" spans="1:9" ht="17.399999999999999" x14ac:dyDescent="0.25">
      <c r="A1341" s="16"/>
      <c r="B1341" s="17"/>
      <c r="C1341" s="2"/>
      <c r="D1341" s="2"/>
      <c r="E1341" s="2"/>
      <c r="F1341" s="2"/>
      <c r="G1341" s="2"/>
      <c r="H1341" s="2"/>
      <c r="I1341" s="5"/>
    </row>
    <row r="1342" spans="1:9" ht="17.399999999999999" x14ac:dyDescent="0.25">
      <c r="A1342" s="16"/>
      <c r="B1342" s="17"/>
      <c r="C1342" s="2"/>
      <c r="D1342" s="2"/>
      <c r="E1342" s="2"/>
      <c r="F1342" s="2"/>
      <c r="G1342" s="2"/>
      <c r="H1342" s="2"/>
      <c r="I1342" s="5"/>
    </row>
    <row r="1343" spans="1:9" ht="17.399999999999999" x14ac:dyDescent="0.25">
      <c r="A1343" s="16"/>
      <c r="B1343" s="17"/>
      <c r="C1343" s="2"/>
      <c r="D1343" s="2"/>
      <c r="E1343" s="2"/>
      <c r="F1343" s="2"/>
      <c r="G1343" s="2"/>
      <c r="H1343" s="2"/>
      <c r="I1343" s="5"/>
    </row>
    <row r="1344" spans="1:9" ht="17.399999999999999" x14ac:dyDescent="0.25">
      <c r="A1344" s="16"/>
      <c r="B1344" s="17"/>
      <c r="C1344" s="2"/>
      <c r="D1344" s="2"/>
      <c r="E1344" s="2"/>
      <c r="F1344" s="2"/>
      <c r="G1344" s="2"/>
      <c r="H1344" s="2"/>
      <c r="I1344" s="5"/>
    </row>
    <row r="1345" spans="1:9" ht="17.399999999999999" x14ac:dyDescent="0.25">
      <c r="A1345" s="16"/>
      <c r="B1345" s="17"/>
      <c r="C1345" s="2"/>
      <c r="D1345" s="2"/>
      <c r="E1345" s="2"/>
      <c r="F1345" s="2"/>
      <c r="G1345" s="2"/>
      <c r="H1345" s="2"/>
      <c r="I1345" s="5"/>
    </row>
    <row r="1346" spans="1:9" ht="17.399999999999999" x14ac:dyDescent="0.25">
      <c r="A1346" s="16"/>
      <c r="B1346" s="17"/>
      <c r="C1346" s="2"/>
      <c r="D1346" s="2"/>
      <c r="E1346" s="2"/>
      <c r="F1346" s="2"/>
      <c r="G1346" s="2"/>
      <c r="H1346" s="2"/>
      <c r="I1346" s="5"/>
    </row>
    <row r="1347" spans="1:9" ht="17.399999999999999" x14ac:dyDescent="0.25">
      <c r="A1347" s="16"/>
      <c r="B1347" s="17"/>
      <c r="C1347" s="2"/>
      <c r="D1347" s="2"/>
      <c r="E1347" s="2"/>
      <c r="F1347" s="2"/>
      <c r="G1347" s="2"/>
      <c r="H1347" s="2"/>
      <c r="I1347" s="5"/>
    </row>
    <row r="1348" spans="1:9" ht="17.399999999999999" x14ac:dyDescent="0.25">
      <c r="A1348" s="16"/>
      <c r="B1348" s="17"/>
      <c r="C1348" s="2"/>
      <c r="D1348" s="2"/>
      <c r="E1348" s="2"/>
      <c r="F1348" s="2"/>
      <c r="G1348" s="2"/>
      <c r="H1348" s="2"/>
      <c r="I1348" s="5"/>
    </row>
    <row r="1349" spans="1:9" ht="17.399999999999999" x14ac:dyDescent="0.25">
      <c r="A1349" s="16"/>
      <c r="B1349" s="17"/>
      <c r="C1349" s="2"/>
      <c r="D1349" s="2"/>
      <c r="E1349" s="2"/>
      <c r="F1349" s="2"/>
      <c r="G1349" s="2"/>
      <c r="H1349" s="2"/>
      <c r="I1349" s="5"/>
    </row>
    <row r="1350" spans="1:9" ht="17.399999999999999" x14ac:dyDescent="0.25">
      <c r="A1350" s="16"/>
      <c r="B1350" s="17"/>
      <c r="C1350" s="2"/>
      <c r="D1350" s="2"/>
      <c r="E1350" s="2"/>
      <c r="F1350" s="2"/>
      <c r="G1350" s="2"/>
      <c r="H1350" s="2"/>
      <c r="I1350" s="5"/>
    </row>
    <row r="1351" spans="1:9" ht="17.399999999999999" x14ac:dyDescent="0.25">
      <c r="A1351" s="16"/>
      <c r="B1351" s="17"/>
      <c r="C1351" s="2"/>
      <c r="D1351" s="2"/>
      <c r="E1351" s="2"/>
      <c r="F1351" s="2"/>
      <c r="G1351" s="2"/>
      <c r="H1351" s="2"/>
      <c r="I1351" s="5"/>
    </row>
    <row r="1352" spans="1:9" ht="17.399999999999999" x14ac:dyDescent="0.25">
      <c r="A1352" s="16"/>
      <c r="B1352" s="17"/>
      <c r="C1352" s="2"/>
      <c r="D1352" s="2"/>
      <c r="E1352" s="2"/>
      <c r="F1352" s="2"/>
      <c r="G1352" s="2"/>
      <c r="H1352" s="2"/>
      <c r="I1352" s="5"/>
    </row>
    <row r="1353" spans="1:9" ht="17.399999999999999" x14ac:dyDescent="0.25">
      <c r="A1353" s="16"/>
      <c r="B1353" s="17"/>
      <c r="C1353" s="2"/>
      <c r="D1353" s="2"/>
      <c r="E1353" s="2"/>
      <c r="F1353" s="2"/>
      <c r="G1353" s="2"/>
      <c r="H1353" s="2"/>
      <c r="I1353" s="5"/>
    </row>
    <row r="1354" spans="1:9" ht="17.399999999999999" x14ac:dyDescent="0.25">
      <c r="A1354" s="16"/>
      <c r="B1354" s="17"/>
      <c r="C1354" s="2"/>
      <c r="D1354" s="2"/>
      <c r="E1354" s="2"/>
      <c r="F1354" s="2"/>
      <c r="G1354" s="2"/>
      <c r="H1354" s="2"/>
      <c r="I1354" s="5"/>
    </row>
    <row r="1355" spans="1:9" ht="17.399999999999999" x14ac:dyDescent="0.25">
      <c r="A1355" s="16"/>
      <c r="B1355" s="17"/>
      <c r="C1355" s="2"/>
      <c r="D1355" s="2"/>
      <c r="E1355" s="2"/>
      <c r="F1355" s="2"/>
      <c r="G1355" s="2"/>
      <c r="H1355" s="2"/>
      <c r="I1355" s="5"/>
    </row>
    <row r="1356" spans="1:9" ht="17.399999999999999" x14ac:dyDescent="0.25">
      <c r="A1356" s="16"/>
      <c r="B1356" s="17"/>
      <c r="C1356" s="2"/>
      <c r="D1356" s="2"/>
      <c r="E1356" s="2"/>
      <c r="F1356" s="2"/>
      <c r="G1356" s="2"/>
      <c r="H1356" s="2"/>
      <c r="I1356" s="5"/>
    </row>
    <row r="1357" spans="1:9" ht="17.399999999999999" x14ac:dyDescent="0.25">
      <c r="A1357" s="16"/>
      <c r="B1357" s="17"/>
      <c r="C1357" s="2"/>
      <c r="D1357" s="2"/>
      <c r="E1357" s="2"/>
      <c r="F1357" s="2"/>
      <c r="G1357" s="2"/>
      <c r="H1357" s="2"/>
      <c r="I1357" s="5"/>
    </row>
    <row r="1358" spans="1:9" ht="17.399999999999999" x14ac:dyDescent="0.25">
      <c r="A1358" s="16"/>
      <c r="B1358" s="17"/>
      <c r="C1358" s="2"/>
      <c r="D1358" s="2"/>
      <c r="E1358" s="2"/>
      <c r="F1358" s="2"/>
      <c r="G1358" s="2"/>
      <c r="H1358" s="2"/>
      <c r="I1358" s="5"/>
    </row>
    <row r="1359" spans="1:9" ht="17.399999999999999" x14ac:dyDescent="0.25">
      <c r="A1359" s="16"/>
      <c r="B1359" s="17"/>
      <c r="C1359" s="2"/>
      <c r="D1359" s="2"/>
      <c r="E1359" s="2"/>
      <c r="F1359" s="2"/>
      <c r="G1359" s="2"/>
      <c r="H1359" s="2"/>
      <c r="I1359" s="5"/>
    </row>
    <row r="1360" spans="1:9" ht="17.399999999999999" x14ac:dyDescent="0.25">
      <c r="A1360" s="16"/>
      <c r="B1360" s="17"/>
      <c r="C1360" s="2"/>
      <c r="D1360" s="2"/>
      <c r="E1360" s="2"/>
      <c r="F1360" s="2"/>
      <c r="G1360" s="2"/>
      <c r="H1360" s="2"/>
      <c r="I1360" s="5"/>
    </row>
    <row r="1361" spans="1:9" ht="17.399999999999999" x14ac:dyDescent="0.25">
      <c r="A1361" s="16"/>
      <c r="B1361" s="17"/>
      <c r="C1361" s="2"/>
      <c r="D1361" s="2"/>
      <c r="E1361" s="2"/>
      <c r="F1361" s="2"/>
      <c r="G1361" s="2"/>
      <c r="H1361" s="2"/>
      <c r="I1361" s="5"/>
    </row>
    <row r="1362" spans="1:9" ht="17.399999999999999" x14ac:dyDescent="0.25">
      <c r="A1362" s="16"/>
      <c r="B1362" s="17"/>
      <c r="C1362" s="2"/>
      <c r="D1362" s="2"/>
      <c r="E1362" s="2"/>
      <c r="F1362" s="2"/>
      <c r="G1362" s="2"/>
      <c r="H1362" s="2"/>
      <c r="I1362" s="5"/>
    </row>
    <row r="1363" spans="1:9" ht="17.399999999999999" x14ac:dyDescent="0.25">
      <c r="A1363" s="16"/>
      <c r="B1363" s="17"/>
      <c r="C1363" s="2"/>
      <c r="D1363" s="2"/>
      <c r="E1363" s="2"/>
      <c r="F1363" s="2"/>
      <c r="G1363" s="2"/>
      <c r="H1363" s="2"/>
      <c r="I1363" s="5"/>
    </row>
    <row r="1364" spans="1:9" ht="17.399999999999999" x14ac:dyDescent="0.25">
      <c r="A1364" s="16"/>
      <c r="B1364" s="17"/>
      <c r="C1364" s="2"/>
      <c r="D1364" s="2"/>
      <c r="E1364" s="2"/>
      <c r="F1364" s="2"/>
      <c r="G1364" s="2"/>
      <c r="H1364" s="2"/>
      <c r="I1364" s="5"/>
    </row>
    <row r="1365" spans="1:9" ht="17.399999999999999" x14ac:dyDescent="0.25">
      <c r="A1365" s="16"/>
      <c r="B1365" s="17"/>
      <c r="C1365" s="2"/>
      <c r="D1365" s="2"/>
      <c r="E1365" s="2"/>
      <c r="F1365" s="2"/>
      <c r="G1365" s="2"/>
      <c r="H1365" s="2"/>
      <c r="I1365" s="5"/>
    </row>
    <row r="1366" spans="1:9" ht="17.399999999999999" x14ac:dyDescent="0.25">
      <c r="A1366" s="16"/>
      <c r="B1366" s="17"/>
      <c r="C1366" s="2"/>
      <c r="D1366" s="2"/>
      <c r="E1366" s="2"/>
      <c r="F1366" s="2"/>
      <c r="G1366" s="2"/>
      <c r="H1366" s="2"/>
      <c r="I1366" s="5"/>
    </row>
    <row r="1367" spans="1:9" ht="17.399999999999999" x14ac:dyDescent="0.25">
      <c r="A1367" s="16"/>
      <c r="B1367" s="17"/>
      <c r="C1367" s="2"/>
      <c r="D1367" s="2"/>
      <c r="E1367" s="2"/>
      <c r="F1367" s="2"/>
      <c r="G1367" s="2"/>
      <c r="H1367" s="2"/>
      <c r="I1367" s="5"/>
    </row>
    <row r="1368" spans="1:9" ht="17.399999999999999" x14ac:dyDescent="0.25">
      <c r="A1368" s="16"/>
      <c r="B1368" s="17"/>
      <c r="C1368" s="2"/>
      <c r="D1368" s="2"/>
      <c r="E1368" s="2"/>
      <c r="F1368" s="2"/>
      <c r="G1368" s="2"/>
      <c r="H1368" s="2"/>
      <c r="I1368" s="5"/>
    </row>
    <row r="1369" spans="1:9" ht="17.399999999999999" x14ac:dyDescent="0.25">
      <c r="A1369" s="16"/>
      <c r="B1369" s="17"/>
      <c r="C1369" s="2"/>
      <c r="D1369" s="2"/>
      <c r="E1369" s="2"/>
      <c r="F1369" s="2"/>
      <c r="G1369" s="2"/>
      <c r="H1369" s="2"/>
      <c r="I1369" s="5"/>
    </row>
    <row r="1370" spans="1:9" ht="17.399999999999999" x14ac:dyDescent="0.25">
      <c r="A1370" s="16"/>
      <c r="B1370" s="17"/>
      <c r="C1370" s="2"/>
      <c r="D1370" s="2"/>
      <c r="E1370" s="2"/>
      <c r="F1370" s="2"/>
      <c r="G1370" s="2"/>
      <c r="H1370" s="2"/>
      <c r="I1370" s="5"/>
    </row>
    <row r="1371" spans="1:9" ht="17.399999999999999" x14ac:dyDescent="0.25">
      <c r="A1371" s="16"/>
      <c r="B1371" s="17"/>
      <c r="C1371" s="2"/>
      <c r="D1371" s="2"/>
      <c r="E1371" s="2"/>
      <c r="F1371" s="2"/>
      <c r="G1371" s="2"/>
      <c r="H1371" s="2"/>
      <c r="I1371" s="5"/>
    </row>
    <row r="1372" spans="1:9" ht="17.399999999999999" x14ac:dyDescent="0.25">
      <c r="A1372" s="16"/>
      <c r="B1372" s="17"/>
      <c r="C1372" s="2"/>
      <c r="D1372" s="2"/>
      <c r="E1372" s="2"/>
      <c r="F1372" s="2"/>
      <c r="G1372" s="2"/>
      <c r="H1372" s="2"/>
      <c r="I1372" s="5"/>
    </row>
    <row r="1373" spans="1:9" ht="17.399999999999999" x14ac:dyDescent="0.25">
      <c r="A1373" s="16"/>
      <c r="B1373" s="17"/>
      <c r="C1373" s="2"/>
      <c r="D1373" s="2"/>
      <c r="E1373" s="2"/>
      <c r="F1373" s="2"/>
      <c r="G1373" s="2"/>
      <c r="H1373" s="2"/>
      <c r="I1373" s="5"/>
    </row>
    <row r="1374" spans="1:9" ht="17.399999999999999" x14ac:dyDescent="0.25">
      <c r="A1374" s="16"/>
      <c r="B1374" s="17"/>
      <c r="C1374" s="2"/>
      <c r="D1374" s="2"/>
      <c r="E1374" s="2"/>
      <c r="F1374" s="2"/>
      <c r="G1374" s="2"/>
      <c r="H1374" s="2"/>
      <c r="I1374" s="5"/>
    </row>
    <row r="1375" spans="1:9" ht="17.399999999999999" x14ac:dyDescent="0.25">
      <c r="A1375" s="16"/>
      <c r="B1375" s="17"/>
      <c r="C1375" s="2"/>
      <c r="D1375" s="2"/>
      <c r="E1375" s="2"/>
      <c r="F1375" s="2"/>
      <c r="G1375" s="2"/>
      <c r="H1375" s="2"/>
      <c r="I1375" s="5"/>
    </row>
    <row r="1376" spans="1:9" ht="17.399999999999999" x14ac:dyDescent="0.25">
      <c r="A1376" s="16"/>
      <c r="B1376" s="17"/>
      <c r="C1376" s="2"/>
      <c r="D1376" s="2"/>
      <c r="E1376" s="2"/>
      <c r="F1376" s="2"/>
      <c r="G1376" s="2"/>
      <c r="H1376" s="2"/>
      <c r="I1376" s="5"/>
    </row>
    <row r="1377" spans="1:9" ht="17.399999999999999" x14ac:dyDescent="0.25">
      <c r="A1377" s="16"/>
      <c r="B1377" s="17"/>
      <c r="C1377" s="2"/>
      <c r="D1377" s="2"/>
      <c r="E1377" s="2"/>
      <c r="F1377" s="2"/>
      <c r="G1377" s="2"/>
      <c r="H1377" s="2"/>
      <c r="I1377" s="5"/>
    </row>
    <row r="1378" spans="1:9" ht="17.399999999999999" x14ac:dyDescent="0.25">
      <c r="A1378" s="16"/>
      <c r="B1378" s="17"/>
      <c r="C1378" s="2"/>
      <c r="D1378" s="2"/>
      <c r="E1378" s="2"/>
      <c r="F1378" s="2"/>
      <c r="G1378" s="2"/>
      <c r="H1378" s="2"/>
      <c r="I1378" s="5"/>
    </row>
    <row r="1379" spans="1:9" ht="17.399999999999999" x14ac:dyDescent="0.25">
      <c r="A1379" s="16"/>
      <c r="B1379" s="17"/>
      <c r="C1379" s="2"/>
      <c r="D1379" s="2"/>
      <c r="E1379" s="2"/>
      <c r="F1379" s="2"/>
      <c r="G1379" s="2"/>
      <c r="H1379" s="2"/>
      <c r="I1379" s="5"/>
    </row>
    <row r="1380" spans="1:9" ht="17.399999999999999" x14ac:dyDescent="0.25">
      <c r="A1380" s="16"/>
      <c r="B1380" s="17"/>
      <c r="C1380" s="2"/>
      <c r="D1380" s="2"/>
      <c r="E1380" s="2"/>
      <c r="F1380" s="2"/>
      <c r="G1380" s="2"/>
      <c r="H1380" s="2"/>
      <c r="I1380" s="5"/>
    </row>
    <row r="1381" spans="1:9" ht="17.399999999999999" x14ac:dyDescent="0.25">
      <c r="A1381" s="16"/>
      <c r="B1381" s="17"/>
      <c r="C1381" s="2"/>
      <c r="D1381" s="2"/>
      <c r="E1381" s="2"/>
      <c r="F1381" s="2"/>
      <c r="G1381" s="2"/>
      <c r="H1381" s="2"/>
      <c r="I1381" s="5"/>
    </row>
    <row r="1382" spans="1:9" ht="17.399999999999999" x14ac:dyDescent="0.25">
      <c r="A1382" s="16"/>
      <c r="B1382" s="17"/>
      <c r="C1382" s="2"/>
      <c r="D1382" s="2"/>
      <c r="E1382" s="2"/>
      <c r="F1382" s="2"/>
      <c r="G1382" s="2"/>
      <c r="H1382" s="2"/>
      <c r="I1382" s="5"/>
    </row>
    <row r="1383" spans="1:9" ht="17.399999999999999" x14ac:dyDescent="0.25">
      <c r="A1383" s="16"/>
      <c r="B1383" s="17"/>
      <c r="C1383" s="2"/>
      <c r="D1383" s="2"/>
      <c r="E1383" s="2"/>
      <c r="F1383" s="2"/>
      <c r="G1383" s="2"/>
      <c r="H1383" s="2"/>
      <c r="I1383" s="5"/>
    </row>
    <row r="1384" spans="1:9" ht="17.399999999999999" x14ac:dyDescent="0.25">
      <c r="A1384" s="16"/>
      <c r="B1384" s="17"/>
      <c r="C1384" s="2"/>
      <c r="D1384" s="2"/>
      <c r="E1384" s="2"/>
      <c r="F1384" s="2"/>
      <c r="G1384" s="2"/>
      <c r="H1384" s="2"/>
      <c r="I1384" s="5"/>
    </row>
    <row r="1385" spans="1:9" ht="17.399999999999999" x14ac:dyDescent="0.25">
      <c r="A1385" s="16"/>
      <c r="B1385" s="17"/>
      <c r="C1385" s="2"/>
      <c r="D1385" s="2"/>
      <c r="E1385" s="2"/>
      <c r="F1385" s="2"/>
      <c r="G1385" s="2"/>
      <c r="H1385" s="2"/>
      <c r="I1385" s="5"/>
    </row>
    <row r="1386" spans="1:9" ht="17.399999999999999" x14ac:dyDescent="0.25">
      <c r="A1386" s="16"/>
      <c r="B1386" s="17"/>
      <c r="C1386" s="2"/>
      <c r="D1386" s="2"/>
      <c r="E1386" s="2"/>
      <c r="F1386" s="2"/>
      <c r="G1386" s="2"/>
      <c r="H1386" s="2"/>
      <c r="I1386" s="5"/>
    </row>
    <row r="1387" spans="1:9" ht="17.399999999999999" x14ac:dyDescent="0.25">
      <c r="A1387" s="16"/>
      <c r="B1387" s="17"/>
      <c r="C1387" s="2"/>
      <c r="D1387" s="2"/>
      <c r="E1387" s="2"/>
      <c r="F1387" s="2"/>
      <c r="G1387" s="2"/>
      <c r="H1387" s="2"/>
      <c r="I1387" s="5"/>
    </row>
    <row r="1388" spans="1:9" ht="17.399999999999999" x14ac:dyDescent="0.25">
      <c r="A1388" s="16"/>
      <c r="B1388" s="17"/>
      <c r="C1388" s="2"/>
      <c r="D1388" s="2"/>
      <c r="E1388" s="2"/>
      <c r="F1388" s="2"/>
      <c r="G1388" s="2"/>
      <c r="H1388" s="2"/>
      <c r="I1388" s="5"/>
    </row>
    <row r="1389" spans="1:9" ht="17.399999999999999" x14ac:dyDescent="0.25">
      <c r="A1389" s="16"/>
      <c r="B1389" s="17"/>
      <c r="C1389" s="2"/>
      <c r="D1389" s="2"/>
      <c r="E1389" s="2"/>
      <c r="F1389" s="2"/>
      <c r="G1389" s="2"/>
      <c r="H1389" s="2"/>
      <c r="I1389" s="5"/>
    </row>
    <row r="1390" spans="1:9" ht="17.399999999999999" x14ac:dyDescent="0.25">
      <c r="A1390" s="16"/>
      <c r="B1390" s="17"/>
      <c r="C1390" s="2"/>
      <c r="D1390" s="2"/>
      <c r="E1390" s="2"/>
      <c r="F1390" s="2"/>
      <c r="G1390" s="2"/>
      <c r="H1390" s="2"/>
      <c r="I1390" s="5"/>
    </row>
    <row r="1391" spans="1:9" ht="17.399999999999999" x14ac:dyDescent="0.25">
      <c r="A1391" s="16"/>
      <c r="B1391" s="17"/>
      <c r="C1391" s="2"/>
      <c r="D1391" s="2"/>
      <c r="E1391" s="2"/>
      <c r="F1391" s="2"/>
      <c r="G1391" s="2"/>
      <c r="H1391" s="2"/>
      <c r="I1391" s="5"/>
    </row>
    <row r="1392" spans="1:9" ht="17.399999999999999" x14ac:dyDescent="0.25">
      <c r="A1392" s="16"/>
      <c r="B1392" s="17"/>
      <c r="C1392" s="2"/>
      <c r="D1392" s="2"/>
      <c r="E1392" s="2"/>
      <c r="F1392" s="2"/>
      <c r="G1392" s="2"/>
      <c r="H1392" s="2"/>
      <c r="I1392" s="5"/>
    </row>
    <row r="1393" spans="1:9" ht="17.399999999999999" x14ac:dyDescent="0.25">
      <c r="A1393" s="16"/>
      <c r="B1393" s="17"/>
      <c r="C1393" s="2"/>
      <c r="D1393" s="2"/>
      <c r="E1393" s="2"/>
      <c r="F1393" s="2"/>
      <c r="G1393" s="2"/>
      <c r="H1393" s="2"/>
      <c r="I1393" s="5"/>
    </row>
    <row r="1394" spans="1:9" ht="17.399999999999999" x14ac:dyDescent="0.25">
      <c r="A1394" s="16"/>
      <c r="B1394" s="17"/>
      <c r="C1394" s="2"/>
      <c r="D1394" s="2"/>
      <c r="E1394" s="2"/>
      <c r="F1394" s="2"/>
      <c r="G1394" s="2"/>
      <c r="H1394" s="2"/>
      <c r="I1394" s="5"/>
    </row>
    <row r="1395" spans="1:9" ht="17.399999999999999" x14ac:dyDescent="0.25">
      <c r="A1395" s="16"/>
      <c r="B1395" s="17"/>
      <c r="C1395" s="2"/>
      <c r="D1395" s="2"/>
      <c r="E1395" s="2"/>
      <c r="F1395" s="2"/>
      <c r="G1395" s="2"/>
      <c r="H1395" s="2"/>
      <c r="I1395" s="5"/>
    </row>
    <row r="1396" spans="1:9" ht="17.399999999999999" x14ac:dyDescent="0.25">
      <c r="A1396" s="16"/>
      <c r="B1396" s="17"/>
      <c r="C1396" s="2"/>
      <c r="D1396" s="2"/>
      <c r="E1396" s="2"/>
      <c r="F1396" s="2"/>
      <c r="G1396" s="2"/>
      <c r="H1396" s="2"/>
      <c r="I1396" s="5"/>
    </row>
    <row r="1397" spans="1:9" ht="17.399999999999999" x14ac:dyDescent="0.25">
      <c r="A1397" s="16"/>
      <c r="B1397" s="17"/>
      <c r="C1397" s="2"/>
      <c r="D1397" s="2"/>
      <c r="E1397" s="2"/>
      <c r="F1397" s="2"/>
      <c r="G1397" s="2"/>
      <c r="H1397" s="2"/>
      <c r="I1397" s="5"/>
    </row>
    <row r="1398" spans="1:9" ht="17.399999999999999" x14ac:dyDescent="0.25">
      <c r="A1398" s="16"/>
      <c r="B1398" s="17"/>
      <c r="C1398" s="2"/>
      <c r="D1398" s="2"/>
      <c r="E1398" s="2"/>
      <c r="F1398" s="2"/>
      <c r="G1398" s="2"/>
      <c r="H1398" s="2"/>
      <c r="I1398" s="5"/>
    </row>
    <row r="1399" spans="1:9" ht="17.399999999999999" x14ac:dyDescent="0.25">
      <c r="A1399" s="16"/>
      <c r="B1399" s="17"/>
      <c r="C1399" s="2"/>
      <c r="D1399" s="2"/>
      <c r="E1399" s="2"/>
      <c r="F1399" s="2"/>
      <c r="G1399" s="2"/>
      <c r="H1399" s="2"/>
      <c r="I1399" s="5"/>
    </row>
    <row r="1400" spans="1:9" ht="17.399999999999999" x14ac:dyDescent="0.25">
      <c r="A1400" s="16"/>
      <c r="B1400" s="17"/>
      <c r="C1400" s="2"/>
      <c r="D1400" s="2"/>
      <c r="E1400" s="2"/>
      <c r="F1400" s="2"/>
      <c r="G1400" s="2"/>
      <c r="H1400" s="2"/>
      <c r="I1400" s="5"/>
    </row>
    <row r="1401" spans="1:9" ht="17.399999999999999" x14ac:dyDescent="0.25">
      <c r="A1401" s="16"/>
      <c r="B1401" s="17"/>
      <c r="C1401" s="2"/>
      <c r="D1401" s="2"/>
      <c r="E1401" s="2"/>
      <c r="F1401" s="2"/>
      <c r="G1401" s="2"/>
      <c r="H1401" s="2"/>
      <c r="I1401" s="5"/>
    </row>
    <row r="1402" spans="1:9" ht="17.399999999999999" x14ac:dyDescent="0.25">
      <c r="A1402" s="16"/>
      <c r="B1402" s="17"/>
      <c r="C1402" s="2"/>
      <c r="D1402" s="2"/>
      <c r="E1402" s="2"/>
      <c r="F1402" s="2"/>
      <c r="G1402" s="2"/>
      <c r="H1402" s="2"/>
      <c r="I1402" s="5"/>
    </row>
    <row r="1403" spans="1:9" ht="17.399999999999999" x14ac:dyDescent="0.25">
      <c r="A1403" s="16"/>
      <c r="B1403" s="17"/>
      <c r="C1403" s="2"/>
      <c r="D1403" s="2"/>
      <c r="E1403" s="2"/>
      <c r="F1403" s="2"/>
      <c r="G1403" s="2"/>
      <c r="H1403" s="2"/>
      <c r="I1403" s="5"/>
    </row>
    <row r="1404" spans="1:9" ht="17.399999999999999" x14ac:dyDescent="0.25">
      <c r="A1404" s="16"/>
      <c r="B1404" s="17"/>
      <c r="C1404" s="2"/>
      <c r="D1404" s="2"/>
      <c r="E1404" s="2"/>
      <c r="F1404" s="2"/>
      <c r="G1404" s="2"/>
      <c r="H1404" s="2"/>
      <c r="I1404" s="5"/>
    </row>
    <row r="1405" spans="1:9" ht="17.399999999999999" x14ac:dyDescent="0.25">
      <c r="A1405" s="16"/>
      <c r="B1405" s="17"/>
      <c r="C1405" s="2"/>
      <c r="D1405" s="2"/>
      <c r="E1405" s="2"/>
      <c r="F1405" s="2"/>
      <c r="G1405" s="2"/>
      <c r="H1405" s="2"/>
      <c r="I1405" s="5"/>
    </row>
    <row r="1406" spans="1:9" ht="17.399999999999999" x14ac:dyDescent="0.25">
      <c r="A1406" s="16"/>
      <c r="B1406" s="17"/>
      <c r="C1406" s="2"/>
      <c r="D1406" s="2"/>
      <c r="E1406" s="2"/>
      <c r="F1406" s="2"/>
      <c r="G1406" s="2"/>
      <c r="H1406" s="2"/>
      <c r="I1406" s="5"/>
    </row>
    <row r="1407" spans="1:9" ht="17.399999999999999" x14ac:dyDescent="0.25">
      <c r="A1407" s="16"/>
      <c r="B1407" s="17"/>
      <c r="C1407" s="2"/>
      <c r="D1407" s="2"/>
      <c r="E1407" s="2"/>
      <c r="F1407" s="2"/>
      <c r="G1407" s="2"/>
      <c r="H1407" s="2"/>
      <c r="I1407" s="5"/>
    </row>
    <row r="1408" spans="1:9" ht="17.399999999999999" x14ac:dyDescent="0.25">
      <c r="A1408" s="16"/>
      <c r="B1408" s="17"/>
      <c r="C1408" s="2"/>
      <c r="D1408" s="2"/>
      <c r="E1408" s="2"/>
      <c r="F1408" s="2"/>
      <c r="G1408" s="2"/>
      <c r="H1408" s="2"/>
      <c r="I1408" s="5"/>
    </row>
    <row r="1409" spans="1:9" ht="17.399999999999999" x14ac:dyDescent="0.25">
      <c r="A1409" s="16"/>
      <c r="B1409" s="17"/>
      <c r="C1409" s="2"/>
      <c r="D1409" s="2"/>
      <c r="E1409" s="2"/>
      <c r="F1409" s="2"/>
      <c r="G1409" s="2"/>
      <c r="H1409" s="2"/>
      <c r="I1409" s="5"/>
    </row>
    <row r="1410" spans="1:9" ht="17.399999999999999" x14ac:dyDescent="0.25">
      <c r="A1410" s="16"/>
      <c r="B1410" s="17"/>
      <c r="C1410" s="2"/>
      <c r="D1410" s="2"/>
      <c r="E1410" s="2"/>
      <c r="F1410" s="2"/>
      <c r="G1410" s="2"/>
      <c r="H1410" s="2"/>
      <c r="I1410" s="5"/>
    </row>
    <row r="1411" spans="1:9" ht="17.399999999999999" x14ac:dyDescent="0.25">
      <c r="A1411" s="16"/>
      <c r="B1411" s="17"/>
      <c r="C1411" s="2"/>
      <c r="D1411" s="2"/>
      <c r="E1411" s="2"/>
      <c r="F1411" s="2"/>
      <c r="G1411" s="2"/>
      <c r="H1411" s="2"/>
      <c r="I1411" s="5"/>
    </row>
    <row r="1412" spans="1:9" ht="17.399999999999999" x14ac:dyDescent="0.25">
      <c r="A1412" s="16"/>
      <c r="B1412" s="17"/>
      <c r="C1412" s="2"/>
      <c r="D1412" s="2"/>
      <c r="E1412" s="2"/>
      <c r="F1412" s="2"/>
      <c r="G1412" s="2"/>
      <c r="H1412" s="2"/>
      <c r="I1412" s="5"/>
    </row>
    <row r="1413" spans="1:9" ht="17.399999999999999" x14ac:dyDescent="0.25">
      <c r="A1413" s="16"/>
      <c r="B1413" s="17"/>
      <c r="C1413" s="2"/>
      <c r="D1413" s="2"/>
      <c r="E1413" s="2"/>
      <c r="F1413" s="2"/>
      <c r="G1413" s="2"/>
      <c r="H1413" s="2"/>
      <c r="I1413" s="5"/>
    </row>
    <row r="1414" spans="1:9" ht="17.399999999999999" x14ac:dyDescent="0.25">
      <c r="A1414" s="16"/>
      <c r="B1414" s="17"/>
      <c r="C1414" s="2"/>
      <c r="D1414" s="2"/>
      <c r="E1414" s="2"/>
      <c r="F1414" s="2"/>
      <c r="G1414" s="2"/>
      <c r="H1414" s="2"/>
      <c r="I1414" s="5"/>
    </row>
    <row r="1415" spans="1:9" ht="17.399999999999999" x14ac:dyDescent="0.25">
      <c r="A1415" s="16"/>
      <c r="B1415" s="17"/>
      <c r="C1415" s="2"/>
      <c r="D1415" s="2"/>
      <c r="E1415" s="2"/>
      <c r="F1415" s="2"/>
      <c r="G1415" s="2"/>
      <c r="H1415" s="2"/>
      <c r="I1415" s="5"/>
    </row>
    <row r="1416" spans="1:9" ht="17.399999999999999" x14ac:dyDescent="0.25">
      <c r="A1416" s="16"/>
      <c r="B1416" s="17"/>
      <c r="C1416" s="2"/>
      <c r="D1416" s="2"/>
      <c r="E1416" s="2"/>
      <c r="F1416" s="2"/>
      <c r="G1416" s="2"/>
      <c r="H1416" s="2"/>
      <c r="I1416" s="5"/>
    </row>
    <row r="1417" spans="1:9" ht="17.399999999999999" x14ac:dyDescent="0.25">
      <c r="A1417" s="16"/>
      <c r="B1417" s="17"/>
      <c r="C1417" s="2"/>
      <c r="D1417" s="2"/>
      <c r="E1417" s="2"/>
      <c r="F1417" s="2"/>
      <c r="G1417" s="2"/>
      <c r="H1417" s="2"/>
      <c r="I1417" s="5"/>
    </row>
    <row r="1418" spans="1:9" ht="17.399999999999999" x14ac:dyDescent="0.25">
      <c r="A1418" s="16"/>
      <c r="B1418" s="17"/>
      <c r="C1418" s="2"/>
      <c r="D1418" s="2"/>
      <c r="E1418" s="2"/>
      <c r="F1418" s="2"/>
      <c r="G1418" s="2"/>
      <c r="H1418" s="2"/>
      <c r="I1418" s="5"/>
    </row>
    <row r="1419" spans="1:9" ht="17.399999999999999" x14ac:dyDescent="0.25">
      <c r="A1419" s="16"/>
      <c r="B1419" s="17"/>
      <c r="C1419" s="2"/>
      <c r="D1419" s="2"/>
      <c r="E1419" s="2"/>
      <c r="F1419" s="2"/>
      <c r="G1419" s="2"/>
      <c r="H1419" s="2"/>
      <c r="I1419" s="5"/>
    </row>
    <row r="1420" spans="1:9" ht="17.399999999999999" x14ac:dyDescent="0.25">
      <c r="A1420" s="16"/>
      <c r="B1420" s="17"/>
      <c r="C1420" s="2"/>
      <c r="D1420" s="2"/>
      <c r="E1420" s="2"/>
      <c r="F1420" s="2"/>
      <c r="G1420" s="2"/>
      <c r="H1420" s="2"/>
      <c r="I1420" s="5"/>
    </row>
    <row r="1421" spans="1:9" ht="17.399999999999999" x14ac:dyDescent="0.25">
      <c r="A1421" s="16"/>
      <c r="B1421" s="17"/>
      <c r="C1421" s="2"/>
      <c r="D1421" s="2"/>
      <c r="E1421" s="2"/>
      <c r="F1421" s="2"/>
      <c r="G1421" s="2"/>
      <c r="H1421" s="2"/>
      <c r="I1421" s="5"/>
    </row>
    <row r="1422" spans="1:9" ht="17.399999999999999" x14ac:dyDescent="0.25">
      <c r="A1422" s="16"/>
      <c r="B1422" s="17"/>
      <c r="C1422" s="2"/>
      <c r="D1422" s="2"/>
      <c r="E1422" s="2"/>
      <c r="F1422" s="2"/>
      <c r="G1422" s="2"/>
      <c r="H1422" s="2"/>
      <c r="I1422" s="5"/>
    </row>
    <row r="1423" spans="1:9" ht="17.399999999999999" x14ac:dyDescent="0.25">
      <c r="A1423" s="16"/>
      <c r="B1423" s="17"/>
      <c r="C1423" s="2"/>
      <c r="D1423" s="2"/>
      <c r="E1423" s="2"/>
      <c r="F1423" s="2"/>
      <c r="G1423" s="2"/>
      <c r="H1423" s="2"/>
      <c r="I1423" s="5"/>
    </row>
    <row r="1424" spans="1:9" ht="17.399999999999999" x14ac:dyDescent="0.25">
      <c r="A1424" s="16"/>
      <c r="B1424" s="17"/>
      <c r="C1424" s="2"/>
      <c r="D1424" s="2"/>
      <c r="E1424" s="2"/>
      <c r="F1424" s="2"/>
      <c r="G1424" s="2"/>
      <c r="H1424" s="2"/>
      <c r="I1424" s="5"/>
    </row>
    <row r="1425" spans="1:9" ht="17.399999999999999" x14ac:dyDescent="0.25">
      <c r="A1425" s="16"/>
      <c r="B1425" s="17"/>
      <c r="C1425" s="2"/>
      <c r="D1425" s="2"/>
      <c r="E1425" s="2"/>
      <c r="F1425" s="2"/>
      <c r="G1425" s="2"/>
      <c r="H1425" s="2"/>
      <c r="I1425" s="5"/>
    </row>
    <row r="1426" spans="1:9" ht="17.399999999999999" x14ac:dyDescent="0.25">
      <c r="A1426" s="16"/>
      <c r="B1426" s="17"/>
      <c r="C1426" s="2"/>
      <c r="D1426" s="2"/>
      <c r="E1426" s="2"/>
      <c r="F1426" s="2"/>
      <c r="G1426" s="2"/>
      <c r="H1426" s="2"/>
      <c r="I1426" s="5"/>
    </row>
    <row r="1427" spans="1:9" ht="17.399999999999999" x14ac:dyDescent="0.25">
      <c r="A1427" s="16"/>
      <c r="B1427" s="17"/>
      <c r="C1427" s="2"/>
      <c r="D1427" s="2"/>
      <c r="E1427" s="2"/>
      <c r="F1427" s="2"/>
      <c r="G1427" s="2"/>
      <c r="H1427" s="2"/>
      <c r="I1427" s="5"/>
    </row>
    <row r="1428" spans="1:9" ht="17.399999999999999" x14ac:dyDescent="0.25">
      <c r="A1428" s="16"/>
      <c r="B1428" s="17"/>
      <c r="C1428" s="2"/>
      <c r="D1428" s="2"/>
      <c r="E1428" s="2"/>
      <c r="F1428" s="2"/>
      <c r="G1428" s="2"/>
      <c r="H1428" s="2"/>
      <c r="I1428" s="5"/>
    </row>
    <row r="1429" spans="1:9" ht="17.399999999999999" x14ac:dyDescent="0.25">
      <c r="A1429" s="16"/>
      <c r="B1429" s="17"/>
      <c r="C1429" s="2"/>
      <c r="D1429" s="2"/>
      <c r="E1429" s="2"/>
      <c r="F1429" s="2"/>
      <c r="G1429" s="2"/>
      <c r="H1429" s="2"/>
      <c r="I1429" s="5"/>
    </row>
    <row r="1430" spans="1:9" ht="17.399999999999999" x14ac:dyDescent="0.25">
      <c r="A1430" s="16"/>
      <c r="B1430" s="17"/>
      <c r="C1430" s="2"/>
      <c r="D1430" s="2"/>
      <c r="E1430" s="2"/>
      <c r="F1430" s="2"/>
      <c r="G1430" s="2"/>
      <c r="H1430" s="2"/>
      <c r="I1430" s="5"/>
    </row>
    <row r="1431" spans="1:9" ht="17.399999999999999" x14ac:dyDescent="0.25">
      <c r="A1431" s="16"/>
      <c r="B1431" s="17"/>
      <c r="C1431" s="2"/>
      <c r="D1431" s="2"/>
      <c r="E1431" s="2"/>
      <c r="F1431" s="2"/>
      <c r="G1431" s="2"/>
      <c r="H1431" s="2"/>
      <c r="I1431" s="5"/>
    </row>
    <row r="1432" spans="1:9" ht="17.399999999999999" x14ac:dyDescent="0.25">
      <c r="A1432" s="16"/>
      <c r="B1432" s="17"/>
      <c r="C1432" s="2"/>
      <c r="D1432" s="2"/>
      <c r="E1432" s="2"/>
      <c r="F1432" s="2"/>
      <c r="G1432" s="2"/>
      <c r="H1432" s="2"/>
      <c r="I1432" s="5"/>
    </row>
    <row r="1433" spans="1:9" ht="17.399999999999999" x14ac:dyDescent="0.25">
      <c r="A1433" s="16"/>
      <c r="B1433" s="17"/>
      <c r="C1433" s="2"/>
      <c r="D1433" s="2"/>
      <c r="E1433" s="2"/>
      <c r="F1433" s="2"/>
      <c r="G1433" s="2"/>
      <c r="H1433" s="2"/>
      <c r="I1433" s="5"/>
    </row>
    <row r="1434" spans="1:9" ht="17.399999999999999" x14ac:dyDescent="0.25">
      <c r="A1434" s="16"/>
      <c r="B1434" s="17"/>
      <c r="C1434" s="2"/>
      <c r="D1434" s="2"/>
      <c r="E1434" s="2"/>
      <c r="F1434" s="2"/>
      <c r="G1434" s="2"/>
      <c r="H1434" s="2"/>
      <c r="I1434" s="5"/>
    </row>
    <row r="1435" spans="1:9" ht="17.399999999999999" x14ac:dyDescent="0.25">
      <c r="A1435" s="16"/>
      <c r="B1435" s="17"/>
      <c r="C1435" s="2"/>
      <c r="D1435" s="2"/>
      <c r="E1435" s="2"/>
      <c r="F1435" s="2"/>
      <c r="G1435" s="2"/>
      <c r="H1435" s="2"/>
      <c r="I1435" s="5"/>
    </row>
    <row r="1436" spans="1:9" ht="17.399999999999999" x14ac:dyDescent="0.25">
      <c r="A1436" s="16"/>
      <c r="B1436" s="17"/>
      <c r="C1436" s="2"/>
      <c r="D1436" s="2"/>
      <c r="E1436" s="2"/>
      <c r="F1436" s="2"/>
      <c r="G1436" s="2"/>
      <c r="H1436" s="2"/>
      <c r="I1436" s="5"/>
    </row>
    <row r="1437" spans="1:9" ht="17.399999999999999" x14ac:dyDescent="0.25">
      <c r="A1437" s="16"/>
      <c r="B1437" s="17"/>
      <c r="C1437" s="2"/>
      <c r="D1437" s="2"/>
      <c r="E1437" s="2"/>
      <c r="F1437" s="2"/>
      <c r="G1437" s="2"/>
      <c r="H1437" s="2"/>
      <c r="I1437" s="5"/>
    </row>
    <row r="1438" spans="1:9" ht="17.399999999999999" x14ac:dyDescent="0.25">
      <c r="A1438" s="16"/>
      <c r="B1438" s="17"/>
      <c r="C1438" s="2"/>
      <c r="D1438" s="2"/>
      <c r="E1438" s="2"/>
      <c r="F1438" s="2"/>
      <c r="G1438" s="2"/>
      <c r="H1438" s="2"/>
      <c r="I1438" s="5"/>
    </row>
    <row r="1439" spans="1:9" ht="17.399999999999999" x14ac:dyDescent="0.25">
      <c r="A1439" s="16"/>
      <c r="B1439" s="17"/>
      <c r="C1439" s="2"/>
      <c r="D1439" s="2"/>
      <c r="E1439" s="2"/>
      <c r="F1439" s="2"/>
      <c r="G1439" s="2"/>
      <c r="H1439" s="2"/>
      <c r="I1439" s="5"/>
    </row>
    <row r="1440" spans="1:9" ht="17.399999999999999" x14ac:dyDescent="0.25">
      <c r="A1440" s="16"/>
      <c r="B1440" s="17"/>
      <c r="C1440" s="2"/>
      <c r="D1440" s="2"/>
      <c r="E1440" s="2"/>
      <c r="F1440" s="2"/>
      <c r="G1440" s="2"/>
      <c r="H1440" s="2"/>
      <c r="I1440" s="5"/>
    </row>
    <row r="1441" spans="1:9" ht="17.399999999999999" x14ac:dyDescent="0.25">
      <c r="A1441" s="16"/>
      <c r="B1441" s="17"/>
      <c r="C1441" s="2"/>
      <c r="D1441" s="2"/>
      <c r="E1441" s="2"/>
      <c r="F1441" s="2"/>
      <c r="G1441" s="2"/>
      <c r="H1441" s="2"/>
      <c r="I1441" s="5"/>
    </row>
    <row r="1442" spans="1:9" ht="17.399999999999999" x14ac:dyDescent="0.25">
      <c r="A1442" s="16"/>
      <c r="B1442" s="17"/>
      <c r="C1442" s="2"/>
      <c r="D1442" s="2"/>
      <c r="E1442" s="2"/>
      <c r="F1442" s="2"/>
      <c r="G1442" s="2"/>
      <c r="H1442" s="2"/>
      <c r="I1442" s="5"/>
    </row>
    <row r="1443" spans="1:9" ht="17.399999999999999" x14ac:dyDescent="0.25">
      <c r="A1443" s="16"/>
      <c r="B1443" s="17"/>
      <c r="C1443" s="2"/>
      <c r="D1443" s="2"/>
      <c r="E1443" s="2"/>
      <c r="F1443" s="2"/>
      <c r="G1443" s="2"/>
      <c r="H1443" s="2"/>
      <c r="I1443" s="5"/>
    </row>
    <row r="1444" spans="1:9" ht="17.399999999999999" x14ac:dyDescent="0.25">
      <c r="A1444" s="16"/>
      <c r="B1444" s="17"/>
      <c r="C1444" s="2"/>
      <c r="D1444" s="2"/>
      <c r="E1444" s="2"/>
      <c r="F1444" s="2"/>
      <c r="G1444" s="2"/>
      <c r="H1444" s="2"/>
      <c r="I1444" s="5"/>
    </row>
    <row r="1445" spans="1:9" ht="17.399999999999999" x14ac:dyDescent="0.25">
      <c r="A1445" s="16"/>
      <c r="B1445" s="17"/>
      <c r="C1445" s="2"/>
      <c r="D1445" s="2"/>
      <c r="E1445" s="2"/>
      <c r="F1445" s="2"/>
      <c r="G1445" s="2"/>
      <c r="H1445" s="2"/>
      <c r="I1445" s="5"/>
    </row>
    <row r="1446" spans="1:9" ht="17.399999999999999" x14ac:dyDescent="0.25">
      <c r="A1446" s="16"/>
      <c r="B1446" s="17"/>
      <c r="C1446" s="2"/>
      <c r="D1446" s="2"/>
      <c r="E1446" s="2"/>
      <c r="F1446" s="2"/>
      <c r="G1446" s="2"/>
      <c r="H1446" s="2"/>
      <c r="I1446" s="5"/>
    </row>
    <row r="1447" spans="1:9" ht="17.399999999999999" x14ac:dyDescent="0.25">
      <c r="A1447" s="16"/>
      <c r="B1447" s="17"/>
      <c r="C1447" s="2"/>
      <c r="D1447" s="2"/>
      <c r="E1447" s="2"/>
      <c r="F1447" s="2"/>
      <c r="G1447" s="2"/>
      <c r="H1447" s="2"/>
      <c r="I1447" s="5"/>
    </row>
    <row r="1448" spans="1:9" ht="17.399999999999999" x14ac:dyDescent="0.25">
      <c r="A1448" s="16"/>
      <c r="B1448" s="17"/>
      <c r="C1448" s="2"/>
      <c r="D1448" s="2"/>
      <c r="E1448" s="2"/>
      <c r="F1448" s="2"/>
      <c r="G1448" s="2"/>
      <c r="H1448" s="2"/>
      <c r="I1448" s="5"/>
    </row>
    <row r="1449" spans="1:9" ht="17.399999999999999" x14ac:dyDescent="0.25">
      <c r="A1449" s="16"/>
      <c r="B1449" s="17"/>
      <c r="C1449" s="2"/>
      <c r="D1449" s="2"/>
      <c r="E1449" s="2"/>
      <c r="F1449" s="2"/>
      <c r="G1449" s="2"/>
      <c r="H1449" s="2"/>
      <c r="I1449" s="5"/>
    </row>
    <row r="1450" spans="1:9" ht="17.399999999999999" x14ac:dyDescent="0.25">
      <c r="A1450" s="16"/>
      <c r="B1450" s="17"/>
      <c r="C1450" s="2"/>
      <c r="D1450" s="2"/>
      <c r="E1450" s="2"/>
      <c r="F1450" s="2"/>
      <c r="G1450" s="2"/>
      <c r="H1450" s="2"/>
      <c r="I1450" s="5"/>
    </row>
    <row r="1451" spans="1:9" ht="17.399999999999999" x14ac:dyDescent="0.25">
      <c r="A1451" s="16"/>
      <c r="B1451" s="17"/>
      <c r="C1451" s="2"/>
      <c r="D1451" s="2"/>
      <c r="E1451" s="2"/>
      <c r="F1451" s="2"/>
      <c r="G1451" s="2"/>
      <c r="H1451" s="2"/>
      <c r="I1451" s="5"/>
    </row>
    <row r="1452" spans="1:9" ht="17.399999999999999" x14ac:dyDescent="0.25">
      <c r="A1452" s="16"/>
      <c r="B1452" s="17"/>
      <c r="C1452" s="2"/>
      <c r="D1452" s="2"/>
      <c r="E1452" s="2"/>
      <c r="F1452" s="2"/>
      <c r="G1452" s="2"/>
      <c r="H1452" s="2"/>
      <c r="I1452" s="5"/>
    </row>
    <row r="1453" spans="1:9" ht="17.399999999999999" x14ac:dyDescent="0.25">
      <c r="A1453" s="16"/>
      <c r="B1453" s="17"/>
      <c r="C1453" s="2"/>
      <c r="D1453" s="2"/>
      <c r="E1453" s="2"/>
      <c r="F1453" s="2"/>
      <c r="G1453" s="2"/>
      <c r="H1453" s="2"/>
      <c r="I1453" s="5"/>
    </row>
    <row r="1454" spans="1:9" ht="17.399999999999999" x14ac:dyDescent="0.25">
      <c r="A1454" s="16"/>
      <c r="B1454" s="17"/>
      <c r="C1454" s="2"/>
      <c r="D1454" s="2"/>
      <c r="E1454" s="2"/>
      <c r="F1454" s="2"/>
      <c r="G1454" s="2"/>
      <c r="H1454" s="2"/>
      <c r="I1454" s="5"/>
    </row>
    <row r="1455" spans="1:9" ht="17.399999999999999" x14ac:dyDescent="0.25">
      <c r="A1455" s="16"/>
      <c r="B1455" s="17"/>
      <c r="C1455" s="2"/>
      <c r="D1455" s="2"/>
      <c r="E1455" s="2"/>
      <c r="F1455" s="2"/>
      <c r="G1455" s="2"/>
      <c r="H1455" s="2"/>
      <c r="I1455" s="5"/>
    </row>
    <row r="1456" spans="1:9" ht="17.399999999999999" x14ac:dyDescent="0.25">
      <c r="A1456" s="16"/>
      <c r="B1456" s="17"/>
      <c r="C1456" s="2"/>
      <c r="D1456" s="2"/>
      <c r="E1456" s="2"/>
      <c r="F1456" s="2"/>
      <c r="G1456" s="2"/>
      <c r="H1456" s="2"/>
      <c r="I1456" s="5"/>
    </row>
    <row r="1457" spans="1:9" ht="17.399999999999999" x14ac:dyDescent="0.25">
      <c r="A1457" s="16"/>
      <c r="B1457" s="17"/>
      <c r="C1457" s="2"/>
      <c r="D1457" s="2"/>
      <c r="E1457" s="2"/>
      <c r="F1457" s="2"/>
      <c r="G1457" s="2"/>
      <c r="H1457" s="2"/>
      <c r="I1457" s="5"/>
    </row>
    <row r="1458" spans="1:9" ht="17.399999999999999" x14ac:dyDescent="0.25">
      <c r="A1458" s="16"/>
      <c r="B1458" s="17"/>
      <c r="C1458" s="2"/>
      <c r="D1458" s="2"/>
      <c r="E1458" s="2"/>
      <c r="F1458" s="2"/>
      <c r="G1458" s="2"/>
      <c r="H1458" s="2"/>
      <c r="I1458" s="5"/>
    </row>
    <row r="1459" spans="1:9" ht="17.399999999999999" x14ac:dyDescent="0.25">
      <c r="A1459" s="16"/>
      <c r="B1459" s="17"/>
      <c r="C1459" s="2"/>
      <c r="D1459" s="2"/>
      <c r="E1459" s="2"/>
      <c r="F1459" s="2"/>
      <c r="G1459" s="2"/>
      <c r="H1459" s="2"/>
      <c r="I1459" s="5"/>
    </row>
    <row r="1460" spans="1:9" ht="17.399999999999999" x14ac:dyDescent="0.25">
      <c r="A1460" s="16"/>
      <c r="B1460" s="17"/>
      <c r="C1460" s="2"/>
      <c r="D1460" s="2"/>
      <c r="E1460" s="2"/>
      <c r="F1460" s="2"/>
      <c r="G1460" s="2"/>
      <c r="H1460" s="2"/>
      <c r="I1460" s="5"/>
    </row>
    <row r="1461" spans="1:9" ht="17.399999999999999" x14ac:dyDescent="0.25">
      <c r="A1461" s="16"/>
      <c r="B1461" s="17"/>
      <c r="C1461" s="2"/>
      <c r="D1461" s="2"/>
      <c r="E1461" s="2"/>
      <c r="F1461" s="2"/>
      <c r="G1461" s="2"/>
      <c r="H1461" s="2"/>
      <c r="I1461" s="5"/>
    </row>
    <row r="1462" spans="1:9" ht="17.399999999999999" x14ac:dyDescent="0.25">
      <c r="A1462" s="16"/>
      <c r="B1462" s="17"/>
      <c r="C1462" s="2"/>
      <c r="D1462" s="2"/>
      <c r="E1462" s="2"/>
      <c r="F1462" s="2"/>
      <c r="G1462" s="2"/>
      <c r="H1462" s="2"/>
      <c r="I1462" s="5"/>
    </row>
    <row r="1463" spans="1:9" ht="17.399999999999999" x14ac:dyDescent="0.25">
      <c r="A1463" s="16"/>
      <c r="B1463" s="17"/>
      <c r="C1463" s="2"/>
      <c r="D1463" s="2"/>
      <c r="E1463" s="2"/>
      <c r="F1463" s="2"/>
      <c r="G1463" s="2"/>
      <c r="H1463" s="2"/>
      <c r="I1463" s="5"/>
    </row>
    <row r="1464" spans="1:9" ht="17.399999999999999" x14ac:dyDescent="0.25">
      <c r="A1464" s="16"/>
      <c r="B1464" s="17"/>
      <c r="C1464" s="2"/>
      <c r="D1464" s="2"/>
      <c r="E1464" s="2"/>
      <c r="F1464" s="2"/>
      <c r="G1464" s="2"/>
      <c r="H1464" s="2"/>
      <c r="I1464" s="5"/>
    </row>
    <row r="1465" spans="1:9" ht="17.399999999999999" x14ac:dyDescent="0.25">
      <c r="A1465" s="16"/>
      <c r="B1465" s="17"/>
      <c r="C1465" s="2"/>
      <c r="D1465" s="2"/>
      <c r="E1465" s="2"/>
      <c r="F1465" s="2"/>
      <c r="G1465" s="2"/>
      <c r="H1465" s="2"/>
      <c r="I1465" s="5"/>
    </row>
    <row r="1466" spans="1:9" ht="17.399999999999999" x14ac:dyDescent="0.25">
      <c r="A1466" s="16"/>
      <c r="B1466" s="17"/>
      <c r="C1466" s="2"/>
      <c r="D1466" s="2"/>
      <c r="E1466" s="2"/>
      <c r="F1466" s="2"/>
      <c r="G1466" s="2"/>
      <c r="H1466" s="2"/>
      <c r="I1466" s="5"/>
    </row>
    <row r="1467" spans="1:9" ht="17.399999999999999" x14ac:dyDescent="0.25">
      <c r="A1467" s="16"/>
      <c r="B1467" s="17"/>
      <c r="C1467" s="2"/>
      <c r="D1467" s="2"/>
      <c r="E1467" s="2"/>
      <c r="F1467" s="2"/>
      <c r="G1467" s="2"/>
      <c r="H1467" s="2"/>
      <c r="I1467" s="5"/>
    </row>
    <row r="1468" spans="1:9" ht="17.399999999999999" x14ac:dyDescent="0.25">
      <c r="A1468" s="16"/>
      <c r="B1468" s="17"/>
      <c r="C1468" s="2"/>
      <c r="D1468" s="2"/>
      <c r="E1468" s="2"/>
      <c r="F1468" s="2"/>
      <c r="G1468" s="2"/>
      <c r="H1468" s="2"/>
      <c r="I1468" s="5"/>
    </row>
    <row r="1469" spans="1:9" ht="17.399999999999999" x14ac:dyDescent="0.25">
      <c r="A1469" s="16"/>
      <c r="B1469" s="17"/>
      <c r="C1469" s="2"/>
      <c r="D1469" s="2"/>
      <c r="E1469" s="2"/>
      <c r="F1469" s="2"/>
      <c r="G1469" s="2"/>
      <c r="H1469" s="2"/>
      <c r="I1469" s="5"/>
    </row>
    <row r="1470" spans="1:9" ht="17.399999999999999" x14ac:dyDescent="0.25">
      <c r="A1470" s="16"/>
      <c r="B1470" s="17"/>
      <c r="C1470" s="2"/>
      <c r="D1470" s="2"/>
      <c r="E1470" s="2"/>
      <c r="F1470" s="2"/>
      <c r="G1470" s="2"/>
      <c r="H1470" s="2"/>
      <c r="I1470" s="5"/>
    </row>
    <row r="1471" spans="1:9" ht="17.399999999999999" x14ac:dyDescent="0.25">
      <c r="A1471" s="16"/>
      <c r="B1471" s="17"/>
      <c r="C1471" s="2"/>
      <c r="D1471" s="2"/>
      <c r="E1471" s="2"/>
      <c r="F1471" s="2"/>
      <c r="G1471" s="2"/>
      <c r="H1471" s="2"/>
      <c r="I1471" s="5"/>
    </row>
    <row r="1472" spans="1:9" ht="17.399999999999999" x14ac:dyDescent="0.25">
      <c r="A1472" s="16"/>
      <c r="B1472" s="17"/>
      <c r="C1472" s="2"/>
      <c r="D1472" s="2"/>
      <c r="E1472" s="2"/>
      <c r="F1472" s="2"/>
      <c r="G1472" s="2"/>
      <c r="H1472" s="2"/>
      <c r="I1472" s="5"/>
    </row>
    <row r="1473" spans="1:9" ht="17.399999999999999" x14ac:dyDescent="0.25">
      <c r="A1473" s="16"/>
      <c r="B1473" s="17"/>
      <c r="C1473" s="2"/>
      <c r="D1473" s="2"/>
      <c r="E1473" s="2"/>
      <c r="F1473" s="2"/>
      <c r="G1473" s="2"/>
      <c r="H1473" s="2"/>
      <c r="I1473" s="5"/>
    </row>
    <row r="1474" spans="1:9" ht="17.399999999999999" x14ac:dyDescent="0.25">
      <c r="A1474" s="16"/>
      <c r="B1474" s="17"/>
      <c r="C1474" s="2"/>
      <c r="D1474" s="2"/>
      <c r="E1474" s="2"/>
      <c r="F1474" s="2"/>
      <c r="G1474" s="2"/>
      <c r="H1474" s="2"/>
      <c r="I1474" s="5"/>
    </row>
    <row r="1475" spans="1:9" ht="17.399999999999999" x14ac:dyDescent="0.25">
      <c r="A1475" s="16"/>
      <c r="B1475" s="17"/>
      <c r="C1475" s="2"/>
      <c r="D1475" s="2"/>
      <c r="E1475" s="2"/>
      <c r="F1475" s="2"/>
      <c r="G1475" s="2"/>
      <c r="H1475" s="2"/>
      <c r="I1475" s="5"/>
    </row>
    <row r="1476" spans="1:9" ht="17.399999999999999" x14ac:dyDescent="0.25">
      <c r="A1476" s="16"/>
      <c r="B1476" s="17"/>
      <c r="C1476" s="2"/>
      <c r="D1476" s="2"/>
      <c r="E1476" s="2"/>
      <c r="F1476" s="2"/>
      <c r="G1476" s="2"/>
      <c r="H1476" s="2"/>
      <c r="I1476" s="5"/>
    </row>
    <row r="1477" spans="1:9" ht="17.399999999999999" x14ac:dyDescent="0.25">
      <c r="A1477" s="16"/>
      <c r="B1477" s="17"/>
      <c r="C1477" s="2"/>
      <c r="D1477" s="2"/>
      <c r="E1477" s="2"/>
      <c r="F1477" s="2"/>
      <c r="G1477" s="2"/>
      <c r="H1477" s="2"/>
      <c r="I1477" s="5"/>
    </row>
    <row r="1478" spans="1:9" ht="17.399999999999999" x14ac:dyDescent="0.25">
      <c r="A1478" s="16"/>
      <c r="B1478" s="17"/>
      <c r="C1478" s="2"/>
      <c r="D1478" s="2"/>
      <c r="E1478" s="2"/>
      <c r="F1478" s="2"/>
      <c r="G1478" s="2"/>
      <c r="H1478" s="2"/>
      <c r="I1478" s="5"/>
    </row>
    <row r="1479" spans="1:9" ht="17.399999999999999" x14ac:dyDescent="0.25">
      <c r="A1479" s="16"/>
      <c r="B1479" s="17"/>
      <c r="C1479" s="2"/>
      <c r="D1479" s="2"/>
      <c r="E1479" s="2"/>
      <c r="F1479" s="2"/>
      <c r="G1479" s="2"/>
      <c r="H1479" s="2"/>
      <c r="I1479" s="5"/>
    </row>
    <row r="1480" spans="1:9" ht="17.399999999999999" x14ac:dyDescent="0.25">
      <c r="A1480" s="16"/>
      <c r="B1480" s="17"/>
      <c r="C1480" s="2"/>
      <c r="D1480" s="2"/>
      <c r="E1480" s="2"/>
      <c r="F1480" s="2"/>
      <c r="G1480" s="2"/>
      <c r="H1480" s="2"/>
      <c r="I1480" s="5"/>
    </row>
    <row r="1481" spans="1:9" ht="17.399999999999999" x14ac:dyDescent="0.25">
      <c r="A1481" s="16"/>
      <c r="B1481" s="17"/>
      <c r="C1481" s="2"/>
      <c r="D1481" s="2"/>
      <c r="E1481" s="2"/>
      <c r="F1481" s="2"/>
      <c r="G1481" s="2"/>
      <c r="H1481" s="2"/>
      <c r="I1481" s="5"/>
    </row>
    <row r="1482" spans="1:9" ht="17.399999999999999" x14ac:dyDescent="0.25">
      <c r="A1482" s="16"/>
      <c r="B1482" s="17"/>
      <c r="C1482" s="2"/>
      <c r="D1482" s="2"/>
      <c r="E1482" s="2"/>
      <c r="F1482" s="2"/>
      <c r="G1482" s="2"/>
      <c r="H1482" s="2"/>
      <c r="I1482" s="5"/>
    </row>
    <row r="1483" spans="1:9" ht="17.399999999999999" x14ac:dyDescent="0.25">
      <c r="A1483" s="16"/>
      <c r="B1483" s="17"/>
      <c r="C1483" s="2"/>
      <c r="D1483" s="2"/>
      <c r="E1483" s="2"/>
      <c r="F1483" s="2"/>
      <c r="G1483" s="2"/>
      <c r="H1483" s="2"/>
      <c r="I1483" s="5"/>
    </row>
    <row r="1484" spans="1:9" ht="17.399999999999999" x14ac:dyDescent="0.25">
      <c r="A1484" s="16"/>
      <c r="B1484" s="17"/>
      <c r="C1484" s="2"/>
      <c r="D1484" s="2"/>
      <c r="E1484" s="2"/>
      <c r="F1484" s="2"/>
      <c r="G1484" s="2"/>
      <c r="H1484" s="2"/>
      <c r="I1484" s="5"/>
    </row>
    <row r="1485" spans="1:9" ht="17.399999999999999" x14ac:dyDescent="0.25">
      <c r="A1485" s="16"/>
      <c r="B1485" s="17"/>
      <c r="C1485" s="2"/>
      <c r="D1485" s="2"/>
      <c r="E1485" s="2"/>
      <c r="F1485" s="2"/>
      <c r="G1485" s="2"/>
      <c r="H1485" s="2"/>
      <c r="I1485" s="5"/>
    </row>
    <row r="1486" spans="1:9" ht="17.399999999999999" x14ac:dyDescent="0.25">
      <c r="A1486" s="16"/>
      <c r="B1486" s="17"/>
      <c r="C1486" s="2"/>
      <c r="D1486" s="2"/>
      <c r="E1486" s="2"/>
      <c r="F1486" s="2"/>
      <c r="G1486" s="2"/>
      <c r="H1486" s="2"/>
      <c r="I1486" s="5"/>
    </row>
    <row r="1487" spans="1:9" ht="17.399999999999999" x14ac:dyDescent="0.25">
      <c r="A1487" s="16"/>
      <c r="B1487" s="17"/>
      <c r="C1487" s="2"/>
      <c r="D1487" s="2"/>
      <c r="E1487" s="2"/>
      <c r="F1487" s="2"/>
      <c r="G1487" s="2"/>
      <c r="H1487" s="2"/>
      <c r="I1487" s="5"/>
    </row>
    <row r="1488" spans="1:9" ht="17.399999999999999" x14ac:dyDescent="0.25">
      <c r="A1488" s="16"/>
      <c r="B1488" s="17"/>
      <c r="C1488" s="2"/>
      <c r="D1488" s="2"/>
      <c r="E1488" s="2"/>
      <c r="F1488" s="2"/>
      <c r="G1488" s="2"/>
      <c r="H1488" s="2"/>
      <c r="I1488" s="5"/>
    </row>
    <row r="1489" spans="1:9" ht="17.399999999999999" x14ac:dyDescent="0.25">
      <c r="A1489" s="16"/>
      <c r="B1489" s="17"/>
      <c r="C1489" s="2"/>
      <c r="D1489" s="2"/>
      <c r="E1489" s="2"/>
      <c r="F1489" s="2"/>
      <c r="G1489" s="2"/>
      <c r="H1489" s="2"/>
      <c r="I1489" s="5"/>
    </row>
    <row r="1490" spans="1:9" ht="17.399999999999999" x14ac:dyDescent="0.25">
      <c r="A1490" s="16"/>
      <c r="B1490" s="17"/>
      <c r="C1490" s="2"/>
      <c r="D1490" s="2"/>
      <c r="E1490" s="2"/>
      <c r="F1490" s="2"/>
      <c r="G1490" s="2"/>
      <c r="H1490" s="2"/>
      <c r="I1490" s="5"/>
    </row>
    <row r="1491" spans="1:9" ht="17.399999999999999" x14ac:dyDescent="0.25">
      <c r="A1491" s="16"/>
      <c r="B1491" s="17"/>
      <c r="C1491" s="2"/>
      <c r="D1491" s="2"/>
      <c r="E1491" s="2"/>
      <c r="F1491" s="2"/>
      <c r="G1491" s="2"/>
      <c r="H1491" s="2"/>
      <c r="I1491" s="5"/>
    </row>
    <row r="1492" spans="1:9" ht="17.399999999999999" x14ac:dyDescent="0.25">
      <c r="A1492" s="16"/>
      <c r="B1492" s="17"/>
      <c r="C1492" s="2"/>
      <c r="D1492" s="2"/>
      <c r="E1492" s="2"/>
      <c r="F1492" s="2"/>
      <c r="G1492" s="2"/>
      <c r="H1492" s="2"/>
      <c r="I1492" s="5"/>
    </row>
    <row r="1493" spans="1:9" ht="17.399999999999999" x14ac:dyDescent="0.25">
      <c r="A1493" s="16"/>
      <c r="B1493" s="17"/>
      <c r="C1493" s="2"/>
      <c r="D1493" s="2"/>
      <c r="E1493" s="2"/>
      <c r="F1493" s="2"/>
      <c r="G1493" s="2"/>
      <c r="H1493" s="2"/>
      <c r="I1493" s="5"/>
    </row>
    <row r="1494" spans="1:9" ht="17.399999999999999" x14ac:dyDescent="0.25">
      <c r="A1494" s="16"/>
      <c r="B1494" s="17"/>
      <c r="C1494" s="2"/>
      <c r="D1494" s="2"/>
      <c r="E1494" s="2"/>
      <c r="F1494" s="2"/>
      <c r="G1494" s="2"/>
      <c r="H1494" s="2"/>
      <c r="I1494" s="5"/>
    </row>
    <row r="1495" spans="1:9" ht="17.399999999999999" x14ac:dyDescent="0.25">
      <c r="A1495" s="16"/>
      <c r="B1495" s="17"/>
      <c r="C1495" s="2"/>
      <c r="D1495" s="2"/>
      <c r="E1495" s="2"/>
      <c r="F1495" s="2"/>
      <c r="G1495" s="2"/>
      <c r="H1495" s="2"/>
      <c r="I1495" s="5"/>
    </row>
    <row r="1496" spans="1:9" ht="17.399999999999999" x14ac:dyDescent="0.25">
      <c r="A1496" s="16"/>
      <c r="B1496" s="17"/>
      <c r="C1496" s="2"/>
      <c r="D1496" s="2"/>
      <c r="E1496" s="2"/>
      <c r="F1496" s="2"/>
      <c r="G1496" s="2"/>
      <c r="H1496" s="2"/>
      <c r="I1496" s="5"/>
    </row>
    <row r="1497" spans="1:9" ht="17.399999999999999" x14ac:dyDescent="0.25">
      <c r="A1497" s="16"/>
      <c r="B1497" s="17"/>
      <c r="C1497" s="2"/>
      <c r="D1497" s="2"/>
      <c r="E1497" s="2"/>
      <c r="F1497" s="2"/>
      <c r="G1497" s="2"/>
      <c r="H1497" s="2"/>
      <c r="I1497" s="5"/>
    </row>
    <row r="1498" spans="1:9" ht="17.399999999999999" x14ac:dyDescent="0.25">
      <c r="A1498" s="16"/>
      <c r="B1498" s="17"/>
      <c r="C1498" s="2"/>
      <c r="D1498" s="2"/>
      <c r="E1498" s="2"/>
      <c r="F1498" s="2"/>
      <c r="G1498" s="2"/>
      <c r="H1498" s="2"/>
      <c r="I1498" s="5"/>
    </row>
    <row r="1499" spans="1:9" ht="17.399999999999999" x14ac:dyDescent="0.25">
      <c r="A1499" s="16"/>
      <c r="B1499" s="17"/>
      <c r="C1499" s="2"/>
      <c r="D1499" s="2"/>
      <c r="E1499" s="2"/>
      <c r="F1499" s="2"/>
      <c r="G1499" s="2"/>
      <c r="H1499" s="2"/>
      <c r="I1499" s="5"/>
    </row>
    <row r="1500" spans="1:9" ht="17.399999999999999" x14ac:dyDescent="0.25">
      <c r="A1500" s="16"/>
      <c r="B1500" s="17"/>
      <c r="C1500" s="2"/>
      <c r="D1500" s="2"/>
      <c r="E1500" s="2"/>
      <c r="F1500" s="2"/>
      <c r="G1500" s="2"/>
      <c r="H1500" s="2"/>
      <c r="I1500" s="5"/>
    </row>
    <row r="1501" spans="1:9" ht="17.399999999999999" x14ac:dyDescent="0.25">
      <c r="A1501" s="16"/>
      <c r="B1501" s="17"/>
      <c r="C1501" s="2"/>
      <c r="D1501" s="2"/>
      <c r="E1501" s="2"/>
      <c r="F1501" s="2"/>
      <c r="G1501" s="2"/>
      <c r="H1501" s="2"/>
      <c r="I1501" s="5"/>
    </row>
    <row r="1502" spans="1:9" ht="17.399999999999999" x14ac:dyDescent="0.25">
      <c r="A1502" s="16"/>
      <c r="B1502" s="17"/>
      <c r="C1502" s="2"/>
      <c r="D1502" s="2"/>
      <c r="E1502" s="2"/>
      <c r="F1502" s="2"/>
      <c r="G1502" s="2"/>
      <c r="H1502" s="2"/>
      <c r="I1502" s="5"/>
    </row>
    <row r="1503" spans="1:9" ht="17.399999999999999" x14ac:dyDescent="0.25">
      <c r="A1503" s="16"/>
      <c r="B1503" s="17"/>
      <c r="C1503" s="2"/>
      <c r="D1503" s="2"/>
      <c r="E1503" s="2"/>
      <c r="F1503" s="2"/>
      <c r="G1503" s="2"/>
      <c r="H1503" s="2"/>
      <c r="I1503" s="5"/>
    </row>
    <row r="1504" spans="1:9" ht="17.399999999999999" x14ac:dyDescent="0.25">
      <c r="A1504" s="16"/>
      <c r="B1504" s="17"/>
      <c r="C1504" s="2"/>
      <c r="D1504" s="2"/>
      <c r="E1504" s="2"/>
      <c r="F1504" s="2"/>
      <c r="G1504" s="2"/>
      <c r="H1504" s="2"/>
      <c r="I1504" s="5"/>
    </row>
    <row r="1505" spans="1:9" ht="17.399999999999999" x14ac:dyDescent="0.25">
      <c r="A1505" s="16"/>
      <c r="B1505" s="17"/>
      <c r="C1505" s="2"/>
      <c r="D1505" s="2"/>
      <c r="E1505" s="2"/>
      <c r="F1505" s="2"/>
      <c r="G1505" s="2"/>
      <c r="H1505" s="2"/>
      <c r="I1505" s="5"/>
    </row>
    <row r="1506" spans="1:9" ht="17.399999999999999" x14ac:dyDescent="0.25">
      <c r="A1506" s="16"/>
      <c r="B1506" s="17"/>
      <c r="C1506" s="2"/>
      <c r="D1506" s="2"/>
      <c r="E1506" s="2"/>
      <c r="F1506" s="2"/>
      <c r="G1506" s="2"/>
      <c r="H1506" s="2"/>
      <c r="I1506" s="5"/>
    </row>
    <row r="1507" spans="1:9" ht="17.399999999999999" x14ac:dyDescent="0.25">
      <c r="A1507" s="16"/>
      <c r="B1507" s="17"/>
      <c r="C1507" s="2"/>
      <c r="D1507" s="2"/>
      <c r="E1507" s="2"/>
      <c r="F1507" s="2"/>
      <c r="G1507" s="2"/>
      <c r="H1507" s="2"/>
      <c r="I1507" s="5"/>
    </row>
    <row r="1508" spans="1:9" ht="17.399999999999999" x14ac:dyDescent="0.25">
      <c r="A1508" s="16"/>
      <c r="B1508" s="17"/>
      <c r="C1508" s="2"/>
      <c r="D1508" s="2"/>
      <c r="E1508" s="2"/>
      <c r="F1508" s="2"/>
      <c r="G1508" s="2"/>
      <c r="H1508" s="2"/>
      <c r="I1508" s="5"/>
    </row>
    <row r="1509" spans="1:9" ht="17.399999999999999" x14ac:dyDescent="0.25">
      <c r="A1509" s="16"/>
      <c r="B1509" s="17"/>
      <c r="C1509" s="2"/>
      <c r="D1509" s="2"/>
      <c r="E1509" s="2"/>
      <c r="F1509" s="2"/>
      <c r="G1509" s="2"/>
      <c r="H1509" s="2"/>
      <c r="I1509" s="5"/>
    </row>
    <row r="1510" spans="1:9" ht="17.399999999999999" x14ac:dyDescent="0.25">
      <c r="A1510" s="16"/>
      <c r="B1510" s="17"/>
      <c r="C1510" s="2"/>
      <c r="D1510" s="2"/>
      <c r="E1510" s="2"/>
      <c r="F1510" s="2"/>
      <c r="G1510" s="2"/>
      <c r="H1510" s="2"/>
      <c r="I1510" s="5"/>
    </row>
    <row r="1511" spans="1:9" ht="17.399999999999999" x14ac:dyDescent="0.25">
      <c r="A1511" s="16"/>
      <c r="B1511" s="17"/>
      <c r="C1511" s="2"/>
      <c r="D1511" s="2"/>
      <c r="E1511" s="2"/>
      <c r="F1511" s="2"/>
      <c r="G1511" s="2"/>
      <c r="H1511" s="2"/>
      <c r="I1511" s="5"/>
    </row>
    <row r="1512" spans="1:9" ht="17.399999999999999" x14ac:dyDescent="0.25">
      <c r="A1512" s="16"/>
      <c r="B1512" s="17"/>
      <c r="C1512" s="2"/>
      <c r="D1512" s="2"/>
      <c r="E1512" s="2"/>
      <c r="F1512" s="2"/>
      <c r="G1512" s="2"/>
      <c r="H1512" s="2"/>
      <c r="I1512" s="5"/>
    </row>
    <row r="1513" spans="1:9" ht="17.399999999999999" x14ac:dyDescent="0.25">
      <c r="A1513" s="16"/>
      <c r="B1513" s="17"/>
      <c r="C1513" s="2"/>
      <c r="D1513" s="2"/>
      <c r="E1513" s="2"/>
      <c r="F1513" s="2"/>
      <c r="G1513" s="2"/>
      <c r="H1513" s="2"/>
      <c r="I1513" s="5"/>
    </row>
    <row r="1514" spans="1:9" ht="17.399999999999999" x14ac:dyDescent="0.25">
      <c r="A1514" s="16"/>
      <c r="B1514" s="17"/>
      <c r="C1514" s="2"/>
      <c r="D1514" s="2"/>
      <c r="E1514" s="2"/>
      <c r="F1514" s="2"/>
      <c r="G1514" s="2"/>
      <c r="H1514" s="2"/>
      <c r="I1514" s="5"/>
    </row>
    <row r="1515" spans="1:9" ht="17.399999999999999" x14ac:dyDescent="0.25">
      <c r="A1515" s="16"/>
      <c r="B1515" s="17"/>
      <c r="C1515" s="2"/>
      <c r="D1515" s="2"/>
      <c r="E1515" s="2"/>
      <c r="F1515" s="2"/>
      <c r="G1515" s="2"/>
      <c r="H1515" s="2"/>
      <c r="I1515" s="5"/>
    </row>
    <row r="1516" spans="1:9" ht="17.399999999999999" x14ac:dyDescent="0.25">
      <c r="A1516" s="16"/>
      <c r="B1516" s="17"/>
      <c r="C1516" s="2"/>
      <c r="D1516" s="2"/>
      <c r="E1516" s="2"/>
      <c r="F1516" s="2"/>
      <c r="G1516" s="2"/>
      <c r="H1516" s="2"/>
      <c r="I1516" s="5"/>
    </row>
    <row r="1517" spans="1:9" ht="17.399999999999999" x14ac:dyDescent="0.25">
      <c r="A1517" s="16"/>
      <c r="B1517" s="17"/>
      <c r="C1517" s="2"/>
      <c r="D1517" s="2"/>
      <c r="E1517" s="2"/>
      <c r="F1517" s="2"/>
      <c r="G1517" s="2"/>
      <c r="H1517" s="2"/>
      <c r="I1517" s="5"/>
    </row>
    <row r="1518" spans="1:9" ht="17.399999999999999" x14ac:dyDescent="0.25">
      <c r="A1518" s="16"/>
      <c r="B1518" s="17"/>
      <c r="C1518" s="2"/>
      <c r="D1518" s="2"/>
      <c r="E1518" s="2"/>
      <c r="F1518" s="2"/>
      <c r="G1518" s="2"/>
      <c r="H1518" s="2"/>
      <c r="I1518" s="5"/>
    </row>
    <row r="1519" spans="1:9" ht="17.399999999999999" x14ac:dyDescent="0.25">
      <c r="A1519" s="16"/>
      <c r="B1519" s="17"/>
      <c r="C1519" s="2"/>
      <c r="D1519" s="2"/>
      <c r="E1519" s="2"/>
      <c r="F1519" s="2"/>
      <c r="G1519" s="2"/>
      <c r="H1519" s="2"/>
      <c r="I1519" s="5"/>
    </row>
    <row r="1520" spans="1:9" ht="17.399999999999999" x14ac:dyDescent="0.25">
      <c r="A1520" s="16"/>
      <c r="B1520" s="17"/>
      <c r="C1520" s="2"/>
      <c r="D1520" s="2"/>
      <c r="E1520" s="2"/>
      <c r="F1520" s="2"/>
      <c r="G1520" s="2"/>
      <c r="H1520" s="2"/>
      <c r="I1520" s="5"/>
    </row>
    <row r="1521" spans="1:9" ht="17.399999999999999" x14ac:dyDescent="0.25">
      <c r="A1521" s="16"/>
      <c r="B1521" s="17"/>
      <c r="C1521" s="2"/>
      <c r="D1521" s="2"/>
      <c r="E1521" s="2"/>
      <c r="F1521" s="2"/>
      <c r="G1521" s="2"/>
      <c r="H1521" s="2"/>
      <c r="I1521" s="5"/>
    </row>
    <row r="1522" spans="1:9" ht="17.399999999999999" x14ac:dyDescent="0.25">
      <c r="A1522" s="16"/>
      <c r="B1522" s="17"/>
      <c r="C1522" s="2"/>
      <c r="D1522" s="2"/>
      <c r="E1522" s="2"/>
      <c r="F1522" s="2"/>
      <c r="G1522" s="2"/>
      <c r="H1522" s="2"/>
      <c r="I1522" s="5"/>
    </row>
    <row r="1523" spans="1:9" ht="17.399999999999999" x14ac:dyDescent="0.25">
      <c r="A1523" s="16"/>
      <c r="B1523" s="17"/>
      <c r="C1523" s="2"/>
      <c r="D1523" s="2"/>
      <c r="E1523" s="2"/>
      <c r="F1523" s="2"/>
      <c r="G1523" s="2"/>
      <c r="H1523" s="2"/>
      <c r="I1523" s="5"/>
    </row>
    <row r="1524" spans="1:9" ht="17.399999999999999" x14ac:dyDescent="0.25">
      <c r="A1524" s="16"/>
      <c r="B1524" s="17"/>
      <c r="C1524" s="2"/>
      <c r="D1524" s="2"/>
      <c r="E1524" s="2"/>
      <c r="F1524" s="2"/>
      <c r="G1524" s="2"/>
      <c r="H1524" s="2"/>
      <c r="I1524" s="5"/>
    </row>
    <row r="1525" spans="1:9" ht="17.399999999999999" x14ac:dyDescent="0.25">
      <c r="A1525" s="16"/>
      <c r="B1525" s="17"/>
      <c r="C1525" s="2"/>
      <c r="D1525" s="2"/>
      <c r="E1525" s="2"/>
      <c r="F1525" s="2"/>
      <c r="G1525" s="2"/>
      <c r="H1525" s="2"/>
      <c r="I1525" s="5"/>
    </row>
    <row r="1526" spans="1:9" ht="17.399999999999999" x14ac:dyDescent="0.25">
      <c r="A1526" s="16"/>
      <c r="B1526" s="17"/>
      <c r="C1526" s="2"/>
      <c r="D1526" s="2"/>
      <c r="E1526" s="2"/>
      <c r="F1526" s="2"/>
      <c r="G1526" s="2"/>
      <c r="H1526" s="2"/>
      <c r="I1526" s="5"/>
    </row>
    <row r="1527" spans="1:9" ht="17.399999999999999" x14ac:dyDescent="0.25">
      <c r="A1527" s="16"/>
      <c r="B1527" s="17"/>
      <c r="C1527" s="2"/>
      <c r="D1527" s="2"/>
      <c r="E1527" s="2"/>
      <c r="F1527" s="2"/>
      <c r="G1527" s="2"/>
      <c r="H1527" s="2"/>
      <c r="I1527" s="5"/>
    </row>
    <row r="1528" spans="1:9" ht="17.399999999999999" x14ac:dyDescent="0.25">
      <c r="A1528" s="16"/>
      <c r="B1528" s="17"/>
      <c r="C1528" s="2"/>
      <c r="D1528" s="2"/>
      <c r="E1528" s="2"/>
      <c r="F1528" s="2"/>
      <c r="G1528" s="2"/>
      <c r="H1528" s="2"/>
      <c r="I1528" s="5"/>
    </row>
    <row r="1529" spans="1:9" ht="17.399999999999999" x14ac:dyDescent="0.25">
      <c r="A1529" s="16"/>
      <c r="B1529" s="17"/>
      <c r="C1529" s="2"/>
      <c r="D1529" s="2"/>
      <c r="E1529" s="2"/>
      <c r="F1529" s="2"/>
      <c r="G1529" s="2"/>
      <c r="H1529" s="2"/>
      <c r="I1529" s="5"/>
    </row>
    <row r="1530" spans="1:9" ht="17.399999999999999" x14ac:dyDescent="0.25">
      <c r="A1530" s="16"/>
      <c r="B1530" s="17"/>
      <c r="C1530" s="2"/>
      <c r="D1530" s="2"/>
      <c r="E1530" s="2"/>
      <c r="F1530" s="2"/>
      <c r="G1530" s="2"/>
      <c r="H1530" s="2"/>
      <c r="I1530" s="5"/>
    </row>
    <row r="1531" spans="1:9" ht="17.399999999999999" x14ac:dyDescent="0.25">
      <c r="A1531" s="16"/>
      <c r="B1531" s="17"/>
      <c r="C1531" s="2"/>
      <c r="D1531" s="2"/>
      <c r="E1531" s="2"/>
      <c r="F1531" s="2"/>
      <c r="G1531" s="2"/>
      <c r="H1531" s="2"/>
      <c r="I1531" s="5"/>
    </row>
    <row r="1532" spans="1:9" ht="17.399999999999999" x14ac:dyDescent="0.25">
      <c r="A1532" s="16"/>
      <c r="B1532" s="17"/>
      <c r="C1532" s="2"/>
      <c r="D1532" s="2"/>
      <c r="E1532" s="2"/>
      <c r="F1532" s="2"/>
      <c r="G1532" s="2"/>
      <c r="H1532" s="2"/>
      <c r="I1532" s="5"/>
    </row>
    <row r="1533" spans="1:9" ht="17.399999999999999" x14ac:dyDescent="0.25">
      <c r="A1533" s="16"/>
      <c r="B1533" s="17"/>
      <c r="C1533" s="2"/>
      <c r="D1533" s="2"/>
      <c r="E1533" s="2"/>
      <c r="F1533" s="2"/>
      <c r="G1533" s="2"/>
      <c r="H1533" s="2"/>
      <c r="I1533" s="5"/>
    </row>
    <row r="1534" spans="1:9" ht="17.399999999999999" x14ac:dyDescent="0.25">
      <c r="A1534" s="16"/>
      <c r="B1534" s="17"/>
      <c r="C1534" s="2"/>
      <c r="D1534" s="2"/>
      <c r="E1534" s="2"/>
      <c r="F1534" s="2"/>
      <c r="G1534" s="2"/>
      <c r="H1534" s="2"/>
      <c r="I1534" s="5"/>
    </row>
    <row r="1535" spans="1:9" ht="17.399999999999999" x14ac:dyDescent="0.25">
      <c r="A1535" s="16"/>
      <c r="B1535" s="17"/>
      <c r="C1535" s="2"/>
      <c r="D1535" s="2"/>
      <c r="E1535" s="2"/>
      <c r="F1535" s="2"/>
      <c r="G1535" s="2"/>
      <c r="H1535" s="2"/>
      <c r="I1535" s="5"/>
    </row>
    <row r="1536" spans="1:9" ht="17.399999999999999" x14ac:dyDescent="0.25">
      <c r="A1536" s="16"/>
      <c r="B1536" s="17"/>
      <c r="C1536" s="2"/>
      <c r="D1536" s="2"/>
      <c r="E1536" s="2"/>
      <c r="F1536" s="2"/>
      <c r="G1536" s="2"/>
      <c r="H1536" s="2"/>
      <c r="I1536" s="5"/>
    </row>
    <row r="1537" spans="1:9" ht="17.399999999999999" x14ac:dyDescent="0.25">
      <c r="A1537" s="16"/>
      <c r="B1537" s="17"/>
      <c r="C1537" s="2"/>
      <c r="D1537" s="2"/>
      <c r="E1537" s="2"/>
      <c r="F1537" s="2"/>
      <c r="G1537" s="2"/>
      <c r="H1537" s="2"/>
      <c r="I1537" s="5"/>
    </row>
    <row r="1538" spans="1:9" ht="17.399999999999999" x14ac:dyDescent="0.25">
      <c r="A1538" s="16"/>
      <c r="B1538" s="17"/>
      <c r="C1538" s="2"/>
      <c r="D1538" s="2"/>
      <c r="E1538" s="2"/>
      <c r="F1538" s="2"/>
      <c r="G1538" s="2"/>
      <c r="H1538" s="2"/>
      <c r="I1538" s="5"/>
    </row>
    <row r="1539" spans="1:9" ht="17.399999999999999" x14ac:dyDescent="0.25">
      <c r="A1539" s="16"/>
      <c r="B1539" s="17"/>
      <c r="C1539" s="2"/>
      <c r="D1539" s="2"/>
      <c r="E1539" s="2"/>
      <c r="F1539" s="2"/>
      <c r="G1539" s="2"/>
      <c r="H1539" s="2"/>
      <c r="I1539" s="5"/>
    </row>
    <row r="1540" spans="1:9" ht="17.399999999999999" x14ac:dyDescent="0.25">
      <c r="A1540" s="16"/>
      <c r="B1540" s="17"/>
      <c r="C1540" s="2"/>
      <c r="D1540" s="2"/>
      <c r="E1540" s="2"/>
      <c r="F1540" s="2"/>
      <c r="G1540" s="2"/>
      <c r="H1540" s="2"/>
      <c r="I1540" s="5"/>
    </row>
    <row r="1541" spans="1:9" ht="17.399999999999999" x14ac:dyDescent="0.25">
      <c r="A1541" s="16"/>
      <c r="B1541" s="17"/>
      <c r="C1541" s="2"/>
      <c r="D1541" s="2"/>
      <c r="E1541" s="2"/>
      <c r="F1541" s="2"/>
      <c r="G1541" s="2"/>
      <c r="H1541" s="2"/>
      <c r="I1541" s="5"/>
    </row>
    <row r="1542" spans="1:9" ht="17.399999999999999" x14ac:dyDescent="0.25">
      <c r="A1542" s="16"/>
      <c r="B1542" s="17"/>
      <c r="C1542" s="2"/>
      <c r="D1542" s="2"/>
      <c r="E1542" s="2"/>
      <c r="F1542" s="2"/>
      <c r="G1542" s="2"/>
      <c r="H1542" s="2"/>
      <c r="I1542" s="5"/>
    </row>
    <row r="1543" spans="1:9" ht="17.399999999999999" x14ac:dyDescent="0.25">
      <c r="A1543" s="16"/>
      <c r="B1543" s="17"/>
      <c r="C1543" s="2"/>
      <c r="D1543" s="2"/>
      <c r="E1543" s="2"/>
      <c r="F1543" s="2"/>
      <c r="G1543" s="2"/>
      <c r="H1543" s="2"/>
      <c r="I1543" s="5"/>
    </row>
    <row r="1544" spans="1:9" ht="17.399999999999999" x14ac:dyDescent="0.25">
      <c r="A1544" s="16"/>
      <c r="B1544" s="17"/>
      <c r="C1544" s="2"/>
      <c r="D1544" s="2"/>
      <c r="E1544" s="2"/>
      <c r="F1544" s="2"/>
      <c r="G1544" s="2"/>
      <c r="H1544" s="2"/>
      <c r="I1544" s="5"/>
    </row>
    <row r="1545" spans="1:9" ht="17.399999999999999" x14ac:dyDescent="0.25">
      <c r="A1545" s="16"/>
      <c r="B1545" s="17"/>
      <c r="C1545" s="2"/>
      <c r="D1545" s="2"/>
      <c r="E1545" s="2"/>
      <c r="F1545" s="2"/>
      <c r="G1545" s="2"/>
      <c r="H1545" s="2"/>
      <c r="I1545" s="5"/>
    </row>
    <row r="1546" spans="1:9" ht="17.399999999999999" x14ac:dyDescent="0.25">
      <c r="A1546" s="16"/>
      <c r="B1546" s="17"/>
      <c r="C1546" s="2"/>
      <c r="D1546" s="2"/>
      <c r="E1546" s="2"/>
      <c r="F1546" s="2"/>
      <c r="G1546" s="2"/>
      <c r="H1546" s="2"/>
      <c r="I1546" s="5"/>
    </row>
    <row r="1547" spans="1:9" ht="17.399999999999999" x14ac:dyDescent="0.25">
      <c r="A1547" s="16"/>
      <c r="B1547" s="17"/>
      <c r="C1547" s="2"/>
      <c r="D1547" s="2"/>
      <c r="E1547" s="2"/>
      <c r="F1547" s="2"/>
      <c r="G1547" s="2"/>
      <c r="H1547" s="2"/>
      <c r="I1547" s="5"/>
    </row>
    <row r="1548" spans="1:9" ht="17.399999999999999" x14ac:dyDescent="0.25">
      <c r="A1548" s="16"/>
      <c r="B1548" s="17"/>
      <c r="C1548" s="2"/>
      <c r="D1548" s="2"/>
      <c r="E1548" s="2"/>
      <c r="F1548" s="2"/>
      <c r="G1548" s="2"/>
      <c r="H1548" s="2"/>
      <c r="I1548" s="5"/>
    </row>
    <row r="1549" spans="1:9" ht="17.399999999999999" x14ac:dyDescent="0.25">
      <c r="A1549" s="16"/>
      <c r="B1549" s="17"/>
      <c r="C1549" s="2"/>
      <c r="D1549" s="2"/>
      <c r="E1549" s="2"/>
      <c r="F1549" s="2"/>
      <c r="G1549" s="2"/>
      <c r="H1549" s="2"/>
      <c r="I1549" s="5"/>
    </row>
    <row r="1550" spans="1:9" ht="17.399999999999999" x14ac:dyDescent="0.25">
      <c r="A1550" s="16"/>
      <c r="B1550" s="17"/>
      <c r="C1550" s="2"/>
      <c r="D1550" s="2"/>
      <c r="E1550" s="2"/>
      <c r="F1550" s="2"/>
      <c r="G1550" s="2"/>
      <c r="H1550" s="2"/>
      <c r="I1550" s="5"/>
    </row>
    <row r="1551" spans="1:9" ht="17.399999999999999" x14ac:dyDescent="0.25">
      <c r="A1551" s="16"/>
      <c r="B1551" s="17"/>
      <c r="C1551" s="2"/>
      <c r="D1551" s="2"/>
      <c r="E1551" s="2"/>
      <c r="F1551" s="2"/>
      <c r="G1551" s="2"/>
      <c r="H1551" s="2"/>
      <c r="I1551" s="5"/>
    </row>
    <row r="1552" spans="1:9" ht="17.399999999999999" x14ac:dyDescent="0.25">
      <c r="A1552" s="16"/>
      <c r="B1552" s="17"/>
      <c r="C1552" s="2"/>
      <c r="D1552" s="2"/>
      <c r="E1552" s="2"/>
      <c r="F1552" s="2"/>
      <c r="G1552" s="2"/>
      <c r="H1552" s="2"/>
      <c r="I1552" s="5"/>
    </row>
    <row r="1553" spans="1:9" ht="17.399999999999999" x14ac:dyDescent="0.25">
      <c r="A1553" s="16"/>
      <c r="B1553" s="17"/>
      <c r="C1553" s="2"/>
      <c r="D1553" s="2"/>
      <c r="E1553" s="2"/>
      <c r="F1553" s="2"/>
      <c r="G1553" s="2"/>
      <c r="H1553" s="2"/>
      <c r="I1553" s="5"/>
    </row>
    <row r="1554" spans="1:9" ht="17.399999999999999" x14ac:dyDescent="0.25">
      <c r="A1554" s="16"/>
      <c r="B1554" s="17"/>
      <c r="C1554" s="2"/>
      <c r="D1554" s="2"/>
      <c r="E1554" s="2"/>
      <c r="F1554" s="2"/>
      <c r="G1554" s="2"/>
      <c r="H1554" s="2"/>
      <c r="I1554" s="5"/>
    </row>
    <row r="1555" spans="1:9" ht="17.399999999999999" x14ac:dyDescent="0.25">
      <c r="A1555" s="16"/>
      <c r="B1555" s="17"/>
      <c r="C1555" s="2"/>
      <c r="D1555" s="2"/>
      <c r="E1555" s="2"/>
      <c r="F1555" s="2"/>
      <c r="G1555" s="2"/>
      <c r="H1555" s="2"/>
      <c r="I1555" s="5"/>
    </row>
    <row r="1556" spans="1:9" ht="17.399999999999999" x14ac:dyDescent="0.25">
      <c r="A1556" s="16"/>
      <c r="B1556" s="17"/>
      <c r="C1556" s="2"/>
      <c r="D1556" s="2"/>
      <c r="E1556" s="2"/>
      <c r="F1556" s="2"/>
      <c r="G1556" s="2"/>
      <c r="H1556" s="2"/>
      <c r="I1556" s="5"/>
    </row>
    <row r="1557" spans="1:9" ht="17.399999999999999" x14ac:dyDescent="0.25">
      <c r="A1557" s="16"/>
      <c r="B1557" s="17"/>
      <c r="C1557" s="2"/>
      <c r="D1557" s="2"/>
      <c r="E1557" s="2"/>
      <c r="F1557" s="2"/>
      <c r="G1557" s="2"/>
      <c r="H1557" s="2"/>
      <c r="I1557" s="5"/>
    </row>
    <row r="1558" spans="1:9" ht="17.399999999999999" x14ac:dyDescent="0.25">
      <c r="A1558" s="16"/>
      <c r="B1558" s="17"/>
      <c r="C1558" s="2"/>
      <c r="D1558" s="2"/>
      <c r="E1558" s="2"/>
      <c r="F1558" s="2"/>
      <c r="G1558" s="2"/>
      <c r="H1558" s="2"/>
      <c r="I1558" s="5"/>
    </row>
    <row r="1559" spans="1:9" ht="17.399999999999999" x14ac:dyDescent="0.25">
      <c r="A1559" s="16"/>
      <c r="B1559" s="17"/>
      <c r="C1559" s="2"/>
      <c r="D1559" s="2"/>
      <c r="E1559" s="2"/>
      <c r="F1559" s="2"/>
      <c r="G1559" s="2"/>
      <c r="H1559" s="2"/>
      <c r="I1559" s="5"/>
    </row>
    <row r="1560" spans="1:9" ht="17.399999999999999" x14ac:dyDescent="0.25">
      <c r="A1560" s="16"/>
      <c r="B1560" s="17"/>
      <c r="C1560" s="2"/>
      <c r="D1560" s="2"/>
      <c r="E1560" s="2"/>
      <c r="F1560" s="2"/>
      <c r="G1560" s="2"/>
      <c r="H1560" s="2"/>
      <c r="I1560" s="5"/>
    </row>
    <row r="1561" spans="1:9" ht="17.399999999999999" x14ac:dyDescent="0.25">
      <c r="A1561" s="16"/>
      <c r="B1561" s="17"/>
      <c r="C1561" s="2"/>
      <c r="D1561" s="2"/>
      <c r="E1561" s="2"/>
      <c r="F1561" s="2"/>
      <c r="G1561" s="2"/>
      <c r="H1561" s="2"/>
      <c r="I1561" s="5"/>
    </row>
    <row r="1562" spans="1:9" ht="17.399999999999999" x14ac:dyDescent="0.25">
      <c r="A1562" s="16"/>
      <c r="B1562" s="17"/>
      <c r="C1562" s="2"/>
      <c r="D1562" s="2"/>
      <c r="E1562" s="2"/>
      <c r="F1562" s="2"/>
      <c r="G1562" s="2"/>
      <c r="H1562" s="2"/>
      <c r="I1562" s="5"/>
    </row>
    <row r="1563" spans="1:9" ht="17.399999999999999" x14ac:dyDescent="0.25">
      <c r="A1563" s="16"/>
      <c r="B1563" s="17"/>
      <c r="C1563" s="2"/>
      <c r="D1563" s="2"/>
      <c r="E1563" s="2"/>
      <c r="F1563" s="2"/>
      <c r="G1563" s="2"/>
      <c r="H1563" s="2"/>
      <c r="I1563" s="5"/>
    </row>
    <row r="1564" spans="1:9" ht="17.399999999999999" x14ac:dyDescent="0.25">
      <c r="A1564" s="16"/>
      <c r="B1564" s="17"/>
      <c r="C1564" s="2"/>
      <c r="D1564" s="2"/>
      <c r="E1564" s="2"/>
      <c r="F1564" s="2"/>
      <c r="G1564" s="2"/>
      <c r="H1564" s="2"/>
      <c r="I1564" s="5"/>
    </row>
    <row r="1565" spans="1:9" ht="17.399999999999999" x14ac:dyDescent="0.25">
      <c r="A1565" s="16"/>
      <c r="B1565" s="17"/>
      <c r="C1565" s="2"/>
      <c r="D1565" s="2"/>
      <c r="E1565" s="2"/>
      <c r="F1565" s="2"/>
      <c r="G1565" s="2"/>
      <c r="H1565" s="2"/>
      <c r="I1565" s="5"/>
    </row>
    <row r="1566" spans="1:9" ht="17.399999999999999" x14ac:dyDescent="0.25">
      <c r="A1566" s="16"/>
      <c r="B1566" s="17"/>
      <c r="C1566" s="2"/>
      <c r="D1566" s="2"/>
      <c r="E1566" s="2"/>
      <c r="F1566" s="2"/>
      <c r="G1566" s="2"/>
      <c r="H1566" s="2"/>
      <c r="I1566" s="5"/>
    </row>
    <row r="1567" spans="1:9" ht="17.399999999999999" x14ac:dyDescent="0.25">
      <c r="A1567" s="16"/>
      <c r="B1567" s="17"/>
      <c r="C1567" s="2"/>
      <c r="D1567" s="2"/>
      <c r="E1567" s="2"/>
      <c r="F1567" s="2"/>
      <c r="G1567" s="2"/>
      <c r="H1567" s="2"/>
      <c r="I1567" s="5"/>
    </row>
    <row r="1568" spans="1:9" ht="17.399999999999999" x14ac:dyDescent="0.25">
      <c r="A1568" s="16"/>
      <c r="B1568" s="17"/>
      <c r="C1568" s="2"/>
      <c r="D1568" s="2"/>
      <c r="E1568" s="2"/>
      <c r="F1568" s="2"/>
      <c r="G1568" s="2"/>
      <c r="H1568" s="2"/>
      <c r="I1568" s="5"/>
    </row>
    <row r="1569" spans="1:9" ht="17.399999999999999" x14ac:dyDescent="0.25">
      <c r="A1569" s="16"/>
      <c r="B1569" s="17"/>
      <c r="C1569" s="2"/>
      <c r="D1569" s="2"/>
      <c r="E1569" s="2"/>
      <c r="F1569" s="2"/>
      <c r="G1569" s="2"/>
      <c r="H1569" s="2"/>
      <c r="I1569" s="5"/>
    </row>
    <row r="1570" spans="1:9" ht="17.399999999999999" x14ac:dyDescent="0.25">
      <c r="A1570" s="16"/>
      <c r="B1570" s="17"/>
      <c r="C1570" s="2"/>
      <c r="D1570" s="2"/>
      <c r="E1570" s="2"/>
      <c r="F1570" s="2"/>
      <c r="G1570" s="2"/>
      <c r="H1570" s="2"/>
      <c r="I1570" s="5"/>
    </row>
    <row r="1571" spans="1:9" ht="17.399999999999999" x14ac:dyDescent="0.25">
      <c r="A1571" s="16"/>
      <c r="B1571" s="17"/>
      <c r="C1571" s="2"/>
      <c r="D1571" s="2"/>
      <c r="E1571" s="2"/>
      <c r="F1571" s="2"/>
      <c r="G1571" s="2"/>
      <c r="H1571" s="2"/>
      <c r="I1571" s="5"/>
    </row>
    <row r="1572" spans="1:9" ht="17.399999999999999" x14ac:dyDescent="0.25">
      <c r="A1572" s="16"/>
      <c r="B1572" s="17"/>
      <c r="C1572" s="2"/>
      <c r="D1572" s="2"/>
      <c r="E1572" s="2"/>
      <c r="F1572" s="2"/>
      <c r="G1572" s="2"/>
      <c r="H1572" s="2"/>
      <c r="I1572" s="5"/>
    </row>
    <row r="1573" spans="1:9" ht="17.399999999999999" x14ac:dyDescent="0.25">
      <c r="A1573" s="16"/>
      <c r="B1573" s="17"/>
      <c r="C1573" s="2"/>
      <c r="D1573" s="2"/>
      <c r="E1573" s="2"/>
      <c r="F1573" s="2"/>
      <c r="G1573" s="2"/>
      <c r="H1573" s="2"/>
      <c r="I1573" s="5"/>
    </row>
    <row r="1574" spans="1:9" ht="17.399999999999999" x14ac:dyDescent="0.25">
      <c r="A1574" s="16"/>
      <c r="B1574" s="17"/>
      <c r="C1574" s="2"/>
      <c r="D1574" s="2"/>
      <c r="E1574" s="2"/>
      <c r="F1574" s="2"/>
      <c r="G1574" s="2"/>
      <c r="H1574" s="2"/>
      <c r="I1574" s="5"/>
    </row>
    <row r="1575" spans="1:9" ht="17.399999999999999" x14ac:dyDescent="0.25">
      <c r="A1575" s="16"/>
      <c r="B1575" s="17"/>
      <c r="C1575" s="2"/>
      <c r="D1575" s="2"/>
      <c r="E1575" s="2"/>
      <c r="F1575" s="2"/>
      <c r="G1575" s="2"/>
      <c r="H1575" s="2"/>
      <c r="I1575" s="5"/>
    </row>
    <row r="1576" spans="1:9" ht="17.399999999999999" x14ac:dyDescent="0.25">
      <c r="A1576" s="16"/>
      <c r="B1576" s="17"/>
      <c r="C1576" s="2"/>
      <c r="D1576" s="2"/>
      <c r="E1576" s="2"/>
      <c r="F1576" s="2"/>
      <c r="G1576" s="2"/>
      <c r="H1576" s="2"/>
      <c r="I1576" s="5"/>
    </row>
    <row r="1577" spans="1:9" ht="17.399999999999999" x14ac:dyDescent="0.25">
      <c r="A1577" s="16"/>
      <c r="B1577" s="17"/>
      <c r="C1577" s="2"/>
      <c r="D1577" s="2"/>
      <c r="E1577" s="2"/>
      <c r="F1577" s="2"/>
      <c r="G1577" s="2"/>
      <c r="H1577" s="2"/>
      <c r="I1577" s="5"/>
    </row>
    <row r="1578" spans="1:9" ht="17.399999999999999" x14ac:dyDescent="0.25">
      <c r="A1578" s="16"/>
      <c r="B1578" s="17"/>
      <c r="C1578" s="2"/>
      <c r="D1578" s="2"/>
      <c r="E1578" s="2"/>
      <c r="F1578" s="2"/>
      <c r="G1578" s="2"/>
      <c r="H1578" s="2"/>
      <c r="I1578" s="5"/>
    </row>
    <row r="1579" spans="1:9" ht="17.399999999999999" x14ac:dyDescent="0.25">
      <c r="A1579" s="16"/>
      <c r="B1579" s="17"/>
      <c r="C1579" s="2"/>
      <c r="D1579" s="2"/>
      <c r="E1579" s="2"/>
      <c r="F1579" s="2"/>
      <c r="G1579" s="2"/>
      <c r="H1579" s="2"/>
      <c r="I1579" s="5"/>
    </row>
    <row r="1580" spans="1:9" ht="17.399999999999999" x14ac:dyDescent="0.25">
      <c r="A1580" s="16"/>
      <c r="B1580" s="17"/>
      <c r="C1580" s="2"/>
      <c r="D1580" s="2"/>
      <c r="E1580" s="2"/>
      <c r="F1580" s="2"/>
      <c r="G1580" s="2"/>
      <c r="H1580" s="2"/>
      <c r="I1580" s="5"/>
    </row>
    <row r="1581" spans="1:9" ht="17.399999999999999" x14ac:dyDescent="0.25">
      <c r="A1581" s="16"/>
      <c r="B1581" s="17"/>
      <c r="C1581" s="2"/>
      <c r="D1581" s="2"/>
      <c r="E1581" s="2"/>
      <c r="F1581" s="2"/>
      <c r="G1581" s="2"/>
      <c r="H1581" s="2"/>
      <c r="I1581" s="5"/>
    </row>
    <row r="1582" spans="1:9" ht="17.399999999999999" x14ac:dyDescent="0.25">
      <c r="A1582" s="16"/>
      <c r="B1582" s="17"/>
      <c r="C1582" s="2"/>
      <c r="D1582" s="2"/>
      <c r="E1582" s="2"/>
      <c r="F1582" s="2"/>
      <c r="G1582" s="2"/>
      <c r="H1582" s="2"/>
      <c r="I1582" s="5"/>
    </row>
    <row r="1583" spans="1:9" ht="17.399999999999999" x14ac:dyDescent="0.25">
      <c r="A1583" s="16"/>
      <c r="B1583" s="17"/>
      <c r="C1583" s="2"/>
      <c r="D1583" s="2"/>
      <c r="E1583" s="2"/>
      <c r="F1583" s="2"/>
      <c r="G1583" s="2"/>
      <c r="H1583" s="2"/>
      <c r="I1583" s="5"/>
    </row>
    <row r="1584" spans="1:9" ht="17.399999999999999" x14ac:dyDescent="0.25">
      <c r="A1584" s="16"/>
      <c r="B1584" s="17"/>
      <c r="C1584" s="2"/>
      <c r="D1584" s="2"/>
      <c r="E1584" s="2"/>
      <c r="F1584" s="2"/>
      <c r="G1584" s="2"/>
      <c r="H1584" s="2"/>
      <c r="I1584" s="5"/>
    </row>
    <row r="1585" spans="1:9" ht="17.399999999999999" x14ac:dyDescent="0.25">
      <c r="A1585" s="16"/>
      <c r="B1585" s="17"/>
      <c r="C1585" s="2"/>
      <c r="D1585" s="2"/>
      <c r="E1585" s="2"/>
      <c r="F1585" s="2"/>
      <c r="G1585" s="2"/>
      <c r="H1585" s="2"/>
      <c r="I1585" s="5"/>
    </row>
    <row r="1586" spans="1:9" ht="17.399999999999999" x14ac:dyDescent="0.25">
      <c r="A1586" s="16"/>
      <c r="B1586" s="17"/>
      <c r="C1586" s="2"/>
      <c r="D1586" s="2"/>
      <c r="E1586" s="2"/>
      <c r="F1586" s="2"/>
      <c r="G1586" s="2"/>
      <c r="H1586" s="2"/>
      <c r="I1586" s="5"/>
    </row>
    <row r="1587" spans="1:9" ht="17.399999999999999" x14ac:dyDescent="0.25">
      <c r="A1587" s="16"/>
      <c r="B1587" s="17"/>
      <c r="C1587" s="2"/>
      <c r="D1587" s="2"/>
      <c r="E1587" s="2"/>
      <c r="F1587" s="2"/>
      <c r="G1587" s="2"/>
      <c r="H1587" s="2"/>
      <c r="I1587" s="5"/>
    </row>
    <row r="1588" spans="1:9" ht="17.399999999999999" x14ac:dyDescent="0.25">
      <c r="A1588" s="16"/>
      <c r="B1588" s="17"/>
      <c r="C1588" s="2"/>
      <c r="D1588" s="2"/>
      <c r="E1588" s="2"/>
      <c r="F1588" s="2"/>
      <c r="G1588" s="2"/>
      <c r="H1588" s="2"/>
      <c r="I1588" s="5"/>
    </row>
    <row r="1589" spans="1:9" ht="17.399999999999999" x14ac:dyDescent="0.25">
      <c r="A1589" s="16"/>
      <c r="B1589" s="17"/>
      <c r="C1589" s="2"/>
      <c r="D1589" s="2"/>
      <c r="E1589" s="2"/>
      <c r="F1589" s="2"/>
      <c r="G1589" s="2"/>
      <c r="H1589" s="2"/>
      <c r="I1589" s="5"/>
    </row>
    <row r="1590" spans="1:9" ht="17.399999999999999" x14ac:dyDescent="0.25">
      <c r="A1590" s="16"/>
      <c r="B1590" s="17"/>
      <c r="C1590" s="2"/>
      <c r="D1590" s="2"/>
      <c r="E1590" s="2"/>
      <c r="F1590" s="2"/>
      <c r="G1590" s="2"/>
      <c r="H1590" s="2"/>
      <c r="I1590" s="5"/>
    </row>
    <row r="1591" spans="1:9" ht="17.399999999999999" x14ac:dyDescent="0.25">
      <c r="A1591" s="16"/>
      <c r="B1591" s="17"/>
      <c r="C1591" s="2"/>
      <c r="D1591" s="2"/>
      <c r="E1591" s="2"/>
      <c r="F1591" s="2"/>
      <c r="G1591" s="2"/>
      <c r="H1591" s="2"/>
      <c r="I1591" s="5"/>
    </row>
    <row r="1592" spans="1:9" ht="17.399999999999999" x14ac:dyDescent="0.25">
      <c r="A1592" s="16"/>
      <c r="B1592" s="17"/>
      <c r="C1592" s="2"/>
      <c r="D1592" s="2"/>
      <c r="E1592" s="2"/>
      <c r="F1592" s="2"/>
      <c r="G1592" s="2"/>
      <c r="H1592" s="2"/>
      <c r="I1592" s="5"/>
    </row>
    <row r="1593" spans="1:9" ht="17.399999999999999" x14ac:dyDescent="0.25">
      <c r="A1593" s="16"/>
      <c r="B1593" s="17"/>
      <c r="C1593" s="2"/>
      <c r="D1593" s="2"/>
      <c r="E1593" s="2"/>
      <c r="F1593" s="2"/>
      <c r="G1593" s="2"/>
      <c r="H1593" s="2"/>
      <c r="I1593" s="5"/>
    </row>
    <row r="1594" spans="1:9" ht="17.399999999999999" x14ac:dyDescent="0.25">
      <c r="A1594" s="16"/>
      <c r="B1594" s="17"/>
      <c r="C1594" s="2"/>
      <c r="D1594" s="2"/>
      <c r="E1594" s="2"/>
      <c r="F1594" s="2"/>
      <c r="G1594" s="2"/>
      <c r="H1594" s="2"/>
      <c r="I1594" s="5"/>
    </row>
    <row r="1595" spans="1:9" ht="17.399999999999999" x14ac:dyDescent="0.25">
      <c r="A1595" s="16"/>
      <c r="B1595" s="17"/>
      <c r="C1595" s="2"/>
      <c r="D1595" s="2"/>
      <c r="E1595" s="2"/>
      <c r="F1595" s="2"/>
      <c r="G1595" s="2"/>
      <c r="H1595" s="2"/>
      <c r="I1595" s="5"/>
    </row>
    <row r="1596" spans="1:9" ht="17.399999999999999" x14ac:dyDescent="0.25">
      <c r="A1596" s="16"/>
      <c r="B1596" s="17"/>
      <c r="C1596" s="2"/>
      <c r="D1596" s="2"/>
      <c r="E1596" s="2"/>
      <c r="F1596" s="2"/>
      <c r="G1596" s="2"/>
      <c r="H1596" s="2"/>
      <c r="I1596" s="5"/>
    </row>
    <row r="1597" spans="1:9" ht="17.399999999999999" x14ac:dyDescent="0.25">
      <c r="A1597" s="16"/>
      <c r="B1597" s="17"/>
      <c r="C1597" s="2"/>
      <c r="D1597" s="2"/>
      <c r="E1597" s="2"/>
      <c r="F1597" s="2"/>
      <c r="G1597" s="2"/>
      <c r="H1597" s="2"/>
      <c r="I1597" s="5"/>
    </row>
    <row r="1598" spans="1:9" ht="17.399999999999999" x14ac:dyDescent="0.25">
      <c r="A1598" s="16"/>
      <c r="B1598" s="17"/>
      <c r="C1598" s="2"/>
      <c r="D1598" s="2"/>
      <c r="E1598" s="2"/>
      <c r="F1598" s="2"/>
      <c r="G1598" s="2"/>
      <c r="H1598" s="2"/>
      <c r="I1598" s="5"/>
    </row>
    <row r="1599" spans="1:9" ht="17.399999999999999" x14ac:dyDescent="0.25">
      <c r="A1599" s="16"/>
      <c r="B1599" s="17"/>
      <c r="C1599" s="2"/>
      <c r="D1599" s="2"/>
      <c r="E1599" s="2"/>
      <c r="F1599" s="2"/>
      <c r="G1599" s="2"/>
      <c r="H1599" s="2"/>
      <c r="I1599" s="5"/>
    </row>
    <row r="1600" spans="1:9" ht="17.399999999999999" x14ac:dyDescent="0.25">
      <c r="A1600" s="16"/>
      <c r="B1600" s="17"/>
      <c r="C1600" s="2"/>
      <c r="D1600" s="2"/>
      <c r="E1600" s="2"/>
      <c r="F1600" s="2"/>
      <c r="G1600" s="2"/>
      <c r="H1600" s="2"/>
      <c r="I1600" s="5"/>
    </row>
    <row r="1601" spans="1:9" ht="17.399999999999999" x14ac:dyDescent="0.25">
      <c r="A1601" s="16"/>
      <c r="B1601" s="17"/>
      <c r="C1601" s="2"/>
      <c r="D1601" s="2"/>
      <c r="E1601" s="2"/>
      <c r="F1601" s="2"/>
      <c r="G1601" s="2"/>
      <c r="H1601" s="2"/>
      <c r="I1601" s="5"/>
    </row>
    <row r="1602" spans="1:9" ht="17.399999999999999" x14ac:dyDescent="0.25">
      <c r="A1602" s="16"/>
      <c r="B1602" s="17"/>
      <c r="C1602" s="2"/>
      <c r="D1602" s="2"/>
      <c r="E1602" s="2"/>
      <c r="F1602" s="2"/>
      <c r="G1602" s="2"/>
      <c r="H1602" s="2"/>
      <c r="I1602" s="5"/>
    </row>
    <row r="1603" spans="1:9" ht="17.399999999999999" x14ac:dyDescent="0.25">
      <c r="A1603" s="16"/>
      <c r="B1603" s="17"/>
      <c r="C1603" s="2"/>
      <c r="D1603" s="2"/>
      <c r="E1603" s="2"/>
      <c r="F1603" s="2"/>
      <c r="G1603" s="2"/>
      <c r="H1603" s="2"/>
      <c r="I1603" s="5"/>
    </row>
    <row r="1604" spans="1:9" ht="17.399999999999999" x14ac:dyDescent="0.25">
      <c r="A1604" s="16"/>
      <c r="B1604" s="17"/>
      <c r="C1604" s="2"/>
      <c r="D1604" s="2"/>
      <c r="E1604" s="2"/>
      <c r="F1604" s="2"/>
      <c r="G1604" s="2"/>
      <c r="H1604" s="2"/>
      <c r="I1604" s="5"/>
    </row>
    <row r="1605" spans="1:9" ht="17.399999999999999" x14ac:dyDescent="0.25">
      <c r="A1605" s="16"/>
      <c r="B1605" s="17"/>
      <c r="C1605" s="2"/>
      <c r="D1605" s="2"/>
      <c r="E1605" s="2"/>
      <c r="F1605" s="2"/>
      <c r="G1605" s="2"/>
      <c r="H1605" s="2"/>
      <c r="I1605" s="5"/>
    </row>
    <row r="1606" spans="1:9" ht="17.399999999999999" x14ac:dyDescent="0.25">
      <c r="A1606" s="16"/>
      <c r="B1606" s="17"/>
      <c r="C1606" s="2"/>
      <c r="D1606" s="2"/>
      <c r="E1606" s="2"/>
      <c r="F1606" s="2"/>
      <c r="G1606" s="2"/>
      <c r="H1606" s="2"/>
      <c r="I1606" s="5"/>
    </row>
    <row r="1607" spans="1:9" ht="17.399999999999999" x14ac:dyDescent="0.25">
      <c r="A1607" s="16"/>
      <c r="B1607" s="17"/>
      <c r="C1607" s="2"/>
      <c r="D1607" s="2"/>
      <c r="E1607" s="2"/>
      <c r="F1607" s="2"/>
      <c r="G1607" s="2"/>
      <c r="H1607" s="2"/>
      <c r="I1607" s="5"/>
    </row>
    <row r="1608" spans="1:9" ht="17.399999999999999" x14ac:dyDescent="0.25">
      <c r="A1608" s="16"/>
      <c r="B1608" s="17"/>
      <c r="C1608" s="2"/>
      <c r="D1608" s="2"/>
      <c r="E1608" s="2"/>
      <c r="F1608" s="2"/>
      <c r="G1608" s="2"/>
      <c r="H1608" s="2"/>
      <c r="I1608" s="5"/>
    </row>
    <row r="1609" spans="1:9" ht="17.399999999999999" x14ac:dyDescent="0.25">
      <c r="A1609" s="16"/>
      <c r="B1609" s="17"/>
      <c r="C1609" s="2"/>
      <c r="D1609" s="2"/>
      <c r="E1609" s="2"/>
      <c r="F1609" s="2"/>
      <c r="G1609" s="2"/>
      <c r="H1609" s="2"/>
      <c r="I1609" s="5"/>
    </row>
    <row r="1610" spans="1:9" ht="17.399999999999999" x14ac:dyDescent="0.25">
      <c r="A1610" s="16"/>
      <c r="B1610" s="17"/>
      <c r="C1610" s="2"/>
      <c r="D1610" s="2"/>
      <c r="E1610" s="2"/>
      <c r="F1610" s="2"/>
      <c r="G1610" s="2"/>
      <c r="H1610" s="2"/>
      <c r="I1610" s="5"/>
    </row>
    <row r="1611" spans="1:9" ht="17.399999999999999" x14ac:dyDescent="0.25">
      <c r="A1611" s="16"/>
      <c r="B1611" s="17"/>
      <c r="C1611" s="2"/>
      <c r="D1611" s="2"/>
      <c r="E1611" s="2"/>
      <c r="F1611" s="2"/>
      <c r="G1611" s="2"/>
      <c r="H1611" s="2"/>
      <c r="I1611" s="5"/>
    </row>
    <row r="1612" spans="1:9" ht="17.399999999999999" x14ac:dyDescent="0.25">
      <c r="A1612" s="16"/>
      <c r="B1612" s="17"/>
      <c r="C1612" s="2"/>
      <c r="D1612" s="2"/>
      <c r="E1612" s="2"/>
      <c r="F1612" s="2"/>
      <c r="G1612" s="2"/>
      <c r="H1612" s="2"/>
      <c r="I1612" s="5"/>
    </row>
    <row r="1613" spans="1:9" ht="17.399999999999999" x14ac:dyDescent="0.25">
      <c r="A1613" s="16"/>
      <c r="B1613" s="17"/>
      <c r="C1613" s="2"/>
      <c r="D1613" s="2"/>
      <c r="E1613" s="2"/>
      <c r="F1613" s="2"/>
      <c r="G1613" s="2"/>
      <c r="H1613" s="2"/>
      <c r="I1613" s="5"/>
    </row>
    <row r="1614" spans="1:9" ht="17.399999999999999" x14ac:dyDescent="0.25">
      <c r="A1614" s="16"/>
      <c r="B1614" s="17"/>
      <c r="C1614" s="2"/>
      <c r="D1614" s="2"/>
      <c r="E1614" s="2"/>
      <c r="F1614" s="2"/>
      <c r="G1614" s="2"/>
      <c r="H1614" s="2"/>
      <c r="I1614" s="5"/>
    </row>
    <row r="1615" spans="1:9" ht="17.399999999999999" x14ac:dyDescent="0.25">
      <c r="A1615" s="16"/>
      <c r="B1615" s="17"/>
      <c r="C1615" s="2"/>
      <c r="D1615" s="2"/>
      <c r="E1615" s="2"/>
      <c r="F1615" s="2"/>
      <c r="G1615" s="2"/>
      <c r="H1615" s="2"/>
      <c r="I1615" s="5"/>
    </row>
    <row r="1616" spans="1:9" ht="17.399999999999999" x14ac:dyDescent="0.25">
      <c r="A1616" s="16"/>
      <c r="B1616" s="17"/>
      <c r="C1616" s="2"/>
      <c r="D1616" s="2"/>
      <c r="E1616" s="2"/>
      <c r="F1616" s="2"/>
      <c r="G1616" s="2"/>
      <c r="H1616" s="2"/>
      <c r="I1616" s="5"/>
    </row>
    <row r="1617" spans="1:9" ht="17.399999999999999" x14ac:dyDescent="0.25">
      <c r="A1617" s="16"/>
      <c r="B1617" s="17"/>
      <c r="C1617" s="2"/>
      <c r="D1617" s="2"/>
      <c r="E1617" s="2"/>
      <c r="F1617" s="2"/>
      <c r="G1617" s="2"/>
      <c r="H1617" s="2"/>
      <c r="I1617" s="5"/>
    </row>
    <row r="1618" spans="1:9" ht="17.399999999999999" x14ac:dyDescent="0.25">
      <c r="A1618" s="16"/>
      <c r="B1618" s="17"/>
      <c r="C1618" s="2"/>
      <c r="D1618" s="2"/>
      <c r="E1618" s="2"/>
      <c r="F1618" s="2"/>
      <c r="G1618" s="2"/>
      <c r="H1618" s="2"/>
      <c r="I1618" s="5"/>
    </row>
    <row r="1619" spans="1:9" ht="17.399999999999999" x14ac:dyDescent="0.25">
      <c r="A1619" s="16"/>
      <c r="B1619" s="17"/>
      <c r="C1619" s="2"/>
      <c r="D1619" s="2"/>
      <c r="E1619" s="2"/>
      <c r="F1619" s="2"/>
      <c r="G1619" s="2"/>
      <c r="H1619" s="2"/>
      <c r="I1619" s="5"/>
    </row>
    <row r="1620" spans="1:9" ht="17.399999999999999" x14ac:dyDescent="0.25">
      <c r="A1620" s="16"/>
      <c r="B1620" s="17"/>
      <c r="C1620" s="2"/>
      <c r="D1620" s="2"/>
      <c r="E1620" s="2"/>
      <c r="F1620" s="2"/>
      <c r="G1620" s="2"/>
      <c r="H1620" s="2"/>
      <c r="I1620" s="5"/>
    </row>
    <row r="1621" spans="1:9" ht="17.399999999999999" x14ac:dyDescent="0.25">
      <c r="A1621" s="16"/>
      <c r="B1621" s="17"/>
      <c r="C1621" s="2"/>
      <c r="D1621" s="2"/>
      <c r="E1621" s="2"/>
      <c r="F1621" s="2"/>
      <c r="G1621" s="2"/>
      <c r="H1621" s="2"/>
      <c r="I1621" s="5"/>
    </row>
    <row r="1622" spans="1:9" ht="17.399999999999999" x14ac:dyDescent="0.25">
      <c r="A1622" s="16"/>
      <c r="B1622" s="17"/>
      <c r="C1622" s="2"/>
      <c r="D1622" s="2"/>
      <c r="E1622" s="2"/>
      <c r="F1622" s="2"/>
      <c r="G1622" s="2"/>
      <c r="H1622" s="2"/>
      <c r="I1622" s="5"/>
    </row>
    <row r="1623" spans="1:9" ht="17.399999999999999" x14ac:dyDescent="0.25">
      <c r="A1623" s="16"/>
      <c r="B1623" s="17"/>
      <c r="C1623" s="2"/>
      <c r="D1623" s="2"/>
      <c r="E1623" s="2"/>
      <c r="F1623" s="2"/>
      <c r="G1623" s="2"/>
      <c r="H1623" s="2"/>
      <c r="I1623" s="5"/>
    </row>
    <row r="1624" spans="1:9" ht="17.399999999999999" x14ac:dyDescent="0.25">
      <c r="A1624" s="16"/>
      <c r="B1624" s="17"/>
      <c r="C1624" s="2"/>
      <c r="D1624" s="2"/>
      <c r="E1624" s="2"/>
      <c r="F1624" s="2"/>
      <c r="G1624" s="2"/>
      <c r="H1624" s="2"/>
      <c r="I1624" s="5"/>
    </row>
    <row r="1625" spans="1:9" ht="17.399999999999999" x14ac:dyDescent="0.25">
      <c r="A1625" s="16"/>
      <c r="B1625" s="17"/>
      <c r="C1625" s="2"/>
      <c r="D1625" s="2"/>
      <c r="E1625" s="2"/>
      <c r="F1625" s="2"/>
      <c r="G1625" s="2"/>
      <c r="H1625" s="2"/>
      <c r="I1625" s="5"/>
    </row>
    <row r="1626" spans="1:9" ht="17.399999999999999" x14ac:dyDescent="0.25">
      <c r="A1626" s="16"/>
      <c r="B1626" s="17"/>
      <c r="C1626" s="2"/>
      <c r="D1626" s="2"/>
      <c r="E1626" s="2"/>
      <c r="F1626" s="2"/>
      <c r="G1626" s="2"/>
      <c r="H1626" s="2"/>
      <c r="I1626" s="5"/>
    </row>
    <row r="1627" spans="1:9" ht="17.399999999999999" x14ac:dyDescent="0.25">
      <c r="A1627" s="16"/>
      <c r="B1627" s="17"/>
      <c r="C1627" s="2"/>
      <c r="D1627" s="2"/>
      <c r="E1627" s="2"/>
      <c r="F1627" s="2"/>
      <c r="G1627" s="2"/>
      <c r="H1627" s="2"/>
      <c r="I1627" s="5"/>
    </row>
    <row r="1628" spans="1:9" ht="17.399999999999999" x14ac:dyDescent="0.25">
      <c r="A1628" s="16"/>
      <c r="B1628" s="17"/>
      <c r="C1628" s="2"/>
      <c r="D1628" s="2"/>
      <c r="E1628" s="2"/>
      <c r="F1628" s="2"/>
      <c r="G1628" s="2"/>
      <c r="H1628" s="2"/>
      <c r="I1628" s="5"/>
    </row>
    <row r="1629" spans="1:9" ht="17.399999999999999" x14ac:dyDescent="0.25">
      <c r="A1629" s="16"/>
      <c r="B1629" s="17"/>
      <c r="C1629" s="2"/>
      <c r="D1629" s="2"/>
      <c r="E1629" s="2"/>
      <c r="F1629" s="2"/>
      <c r="G1629" s="2"/>
      <c r="H1629" s="2"/>
      <c r="I1629" s="5"/>
    </row>
    <row r="1630" spans="1:9" ht="17.399999999999999" x14ac:dyDescent="0.25">
      <c r="A1630" s="16"/>
      <c r="B1630" s="17"/>
      <c r="C1630" s="2"/>
      <c r="D1630" s="2"/>
      <c r="E1630" s="2"/>
      <c r="F1630" s="2"/>
      <c r="G1630" s="2"/>
      <c r="H1630" s="2"/>
      <c r="I1630" s="5"/>
    </row>
    <row r="1631" spans="1:9" ht="17.399999999999999" x14ac:dyDescent="0.25">
      <c r="A1631" s="16"/>
      <c r="B1631" s="17"/>
      <c r="C1631" s="2"/>
      <c r="D1631" s="2"/>
      <c r="E1631" s="2"/>
      <c r="F1631" s="2"/>
      <c r="G1631" s="2"/>
      <c r="H1631" s="2"/>
      <c r="I1631" s="5"/>
    </row>
    <row r="1632" spans="1:9" ht="17.399999999999999" x14ac:dyDescent="0.25">
      <c r="A1632" s="16"/>
      <c r="B1632" s="17"/>
      <c r="C1632" s="2"/>
      <c r="D1632" s="2"/>
      <c r="E1632" s="2"/>
      <c r="F1632" s="2"/>
      <c r="G1632" s="2"/>
      <c r="H1632" s="2"/>
      <c r="I1632" s="5"/>
    </row>
    <row r="1633" spans="1:9" ht="17.399999999999999" x14ac:dyDescent="0.25">
      <c r="A1633" s="16"/>
      <c r="B1633" s="17"/>
      <c r="C1633" s="2"/>
      <c r="D1633" s="2"/>
      <c r="E1633" s="2"/>
      <c r="F1633" s="2"/>
      <c r="G1633" s="2"/>
      <c r="H1633" s="2"/>
      <c r="I1633" s="5"/>
    </row>
    <row r="1634" spans="1:9" ht="17.399999999999999" x14ac:dyDescent="0.25">
      <c r="A1634" s="16"/>
      <c r="B1634" s="17"/>
      <c r="C1634" s="2"/>
      <c r="D1634" s="2"/>
      <c r="E1634" s="2"/>
      <c r="F1634" s="2"/>
      <c r="G1634" s="2"/>
      <c r="H1634" s="2"/>
      <c r="I1634" s="5"/>
    </row>
    <row r="1635" spans="1:9" ht="17.399999999999999" x14ac:dyDescent="0.25">
      <c r="A1635" s="16"/>
      <c r="B1635" s="17"/>
      <c r="C1635" s="2"/>
      <c r="D1635" s="2"/>
      <c r="E1635" s="2"/>
      <c r="F1635" s="2"/>
      <c r="G1635" s="2"/>
      <c r="H1635" s="2"/>
      <c r="I1635" s="5"/>
    </row>
    <row r="1636" spans="1:9" ht="17.399999999999999" x14ac:dyDescent="0.25">
      <c r="A1636" s="16"/>
      <c r="B1636" s="17"/>
      <c r="C1636" s="2"/>
      <c r="D1636" s="2"/>
      <c r="E1636" s="2"/>
      <c r="F1636" s="2"/>
      <c r="G1636" s="2"/>
      <c r="H1636" s="2"/>
      <c r="I1636" s="5"/>
    </row>
    <row r="1637" spans="1:9" ht="17.399999999999999" x14ac:dyDescent="0.25">
      <c r="A1637" s="16"/>
      <c r="B1637" s="17"/>
      <c r="C1637" s="2"/>
      <c r="D1637" s="2"/>
      <c r="E1637" s="2"/>
      <c r="F1637" s="2"/>
      <c r="G1637" s="2"/>
      <c r="H1637" s="2"/>
      <c r="I1637" s="5"/>
    </row>
    <row r="1638" spans="1:9" ht="17.399999999999999" x14ac:dyDescent="0.25">
      <c r="A1638" s="16"/>
      <c r="B1638" s="17"/>
      <c r="C1638" s="2"/>
      <c r="D1638" s="2"/>
      <c r="E1638" s="2"/>
      <c r="F1638" s="2"/>
      <c r="G1638" s="2"/>
      <c r="H1638" s="2"/>
      <c r="I1638" s="5"/>
    </row>
    <row r="1639" spans="1:9" ht="17.399999999999999" x14ac:dyDescent="0.25">
      <c r="A1639" s="16"/>
      <c r="B1639" s="17"/>
      <c r="C1639" s="2"/>
      <c r="D1639" s="2"/>
      <c r="E1639" s="2"/>
      <c r="F1639" s="2"/>
      <c r="G1639" s="2"/>
      <c r="H1639" s="2"/>
      <c r="I1639" s="5"/>
    </row>
    <row r="1640" spans="1:9" ht="17.399999999999999" x14ac:dyDescent="0.25">
      <c r="A1640" s="16"/>
      <c r="B1640" s="17"/>
      <c r="C1640" s="2"/>
      <c r="D1640" s="2"/>
      <c r="E1640" s="2"/>
      <c r="F1640" s="2"/>
      <c r="G1640" s="2"/>
      <c r="H1640" s="2"/>
      <c r="I1640" s="5"/>
    </row>
    <row r="1641" spans="1:9" ht="17.399999999999999" x14ac:dyDescent="0.25">
      <c r="A1641" s="16"/>
      <c r="B1641" s="17"/>
      <c r="C1641" s="2"/>
      <c r="D1641" s="2"/>
      <c r="E1641" s="2"/>
      <c r="F1641" s="2"/>
      <c r="G1641" s="2"/>
      <c r="H1641" s="2"/>
      <c r="I1641" s="5"/>
    </row>
    <row r="1642" spans="1:9" ht="17.399999999999999" x14ac:dyDescent="0.25">
      <c r="A1642" s="16"/>
      <c r="B1642" s="17"/>
      <c r="C1642" s="2"/>
      <c r="D1642" s="2"/>
      <c r="E1642" s="2"/>
      <c r="F1642" s="2"/>
      <c r="G1642" s="2"/>
      <c r="H1642" s="2"/>
      <c r="I1642" s="5"/>
    </row>
    <row r="1643" spans="1:9" ht="17.399999999999999" x14ac:dyDescent="0.25">
      <c r="A1643" s="16"/>
      <c r="B1643" s="17"/>
      <c r="C1643" s="2"/>
      <c r="D1643" s="2"/>
      <c r="E1643" s="2"/>
      <c r="F1643" s="2"/>
      <c r="G1643" s="2"/>
      <c r="H1643" s="2"/>
      <c r="I1643" s="5"/>
    </row>
    <row r="1644" spans="1:9" ht="17.399999999999999" x14ac:dyDescent="0.25">
      <c r="A1644" s="16"/>
      <c r="B1644" s="17"/>
      <c r="C1644" s="2"/>
      <c r="D1644" s="2"/>
      <c r="E1644" s="2"/>
      <c r="F1644" s="2"/>
      <c r="G1644" s="2"/>
      <c r="H1644" s="2"/>
      <c r="I1644" s="5"/>
    </row>
    <row r="1645" spans="1:9" ht="17.399999999999999" x14ac:dyDescent="0.25">
      <c r="A1645" s="16"/>
      <c r="B1645" s="17"/>
      <c r="C1645" s="2"/>
      <c r="D1645" s="2"/>
      <c r="E1645" s="2"/>
      <c r="F1645" s="2"/>
      <c r="G1645" s="2"/>
      <c r="H1645" s="2"/>
      <c r="I1645" s="5"/>
    </row>
    <row r="1646" spans="1:9" ht="17.399999999999999" x14ac:dyDescent="0.25">
      <c r="A1646" s="16"/>
      <c r="B1646" s="17"/>
      <c r="C1646" s="2"/>
      <c r="D1646" s="2"/>
      <c r="E1646" s="2"/>
      <c r="F1646" s="2"/>
      <c r="G1646" s="2"/>
      <c r="H1646" s="2"/>
      <c r="I1646" s="5"/>
    </row>
    <row r="1647" spans="1:9" ht="17.399999999999999" x14ac:dyDescent="0.25">
      <c r="A1647" s="16"/>
      <c r="B1647" s="17"/>
      <c r="C1647" s="2"/>
      <c r="D1647" s="2"/>
      <c r="E1647" s="2"/>
      <c r="F1647" s="2"/>
      <c r="G1647" s="2"/>
      <c r="H1647" s="2"/>
      <c r="I1647" s="5"/>
    </row>
    <row r="1648" spans="1:9" ht="17.399999999999999" x14ac:dyDescent="0.25">
      <c r="A1648" s="16"/>
      <c r="B1648" s="17"/>
      <c r="C1648" s="2"/>
      <c r="D1648" s="2"/>
      <c r="E1648" s="2"/>
      <c r="F1648" s="2"/>
      <c r="G1648" s="2"/>
      <c r="H1648" s="2"/>
      <c r="I1648" s="5"/>
    </row>
    <row r="1649" spans="1:9" ht="17.399999999999999" x14ac:dyDescent="0.25">
      <c r="A1649" s="16"/>
      <c r="B1649" s="17"/>
      <c r="C1649" s="2"/>
      <c r="D1649" s="2"/>
      <c r="E1649" s="2"/>
      <c r="F1649" s="2"/>
      <c r="G1649" s="2"/>
      <c r="H1649" s="2"/>
      <c r="I1649" s="5"/>
    </row>
    <row r="1650" spans="1:9" ht="17.399999999999999" x14ac:dyDescent="0.25">
      <c r="A1650" s="16"/>
      <c r="B1650" s="17"/>
      <c r="C1650" s="2"/>
      <c r="D1650" s="2"/>
      <c r="E1650" s="2"/>
      <c r="F1650" s="2"/>
      <c r="G1650" s="2"/>
      <c r="H1650" s="2"/>
      <c r="I1650" s="5"/>
    </row>
    <row r="1651" spans="1:9" ht="17.399999999999999" x14ac:dyDescent="0.25">
      <c r="A1651" s="16"/>
      <c r="B1651" s="17"/>
      <c r="C1651" s="2"/>
      <c r="D1651" s="2"/>
      <c r="E1651" s="2"/>
      <c r="F1651" s="2"/>
      <c r="G1651" s="2"/>
      <c r="H1651" s="2"/>
      <c r="I1651" s="5"/>
    </row>
    <row r="1652" spans="1:9" ht="17.399999999999999" x14ac:dyDescent="0.25">
      <c r="A1652" s="16"/>
      <c r="B1652" s="17"/>
      <c r="C1652" s="2"/>
      <c r="D1652" s="2"/>
      <c r="E1652" s="2"/>
      <c r="F1652" s="2"/>
      <c r="G1652" s="2"/>
      <c r="H1652" s="2"/>
      <c r="I1652" s="5"/>
    </row>
    <row r="1653" spans="1:9" ht="17.399999999999999" x14ac:dyDescent="0.25">
      <c r="A1653" s="16"/>
      <c r="B1653" s="17"/>
      <c r="C1653" s="2"/>
      <c r="D1653" s="2"/>
      <c r="E1653" s="2"/>
      <c r="F1653" s="2"/>
      <c r="G1653" s="2"/>
      <c r="H1653" s="2"/>
      <c r="I1653" s="5"/>
    </row>
    <row r="1654" spans="1:9" ht="17.399999999999999" x14ac:dyDescent="0.25">
      <c r="A1654" s="16"/>
      <c r="B1654" s="17"/>
      <c r="C1654" s="2"/>
      <c r="D1654" s="2"/>
      <c r="E1654" s="2"/>
      <c r="F1654" s="2"/>
      <c r="G1654" s="2"/>
      <c r="H1654" s="2"/>
      <c r="I1654" s="5"/>
    </row>
    <row r="1655" spans="1:9" ht="17.399999999999999" x14ac:dyDescent="0.25">
      <c r="A1655" s="16"/>
      <c r="B1655" s="17"/>
      <c r="C1655" s="2"/>
      <c r="D1655" s="2"/>
      <c r="E1655" s="2"/>
      <c r="F1655" s="2"/>
      <c r="G1655" s="2"/>
      <c r="H1655" s="2"/>
      <c r="I1655" s="5"/>
    </row>
    <row r="1656" spans="1:9" ht="17.399999999999999" x14ac:dyDescent="0.25">
      <c r="A1656" s="16"/>
      <c r="B1656" s="17"/>
      <c r="C1656" s="2"/>
      <c r="D1656" s="2"/>
      <c r="E1656" s="2"/>
      <c r="F1656" s="2"/>
      <c r="G1656" s="2"/>
      <c r="H1656" s="2"/>
      <c r="I1656" s="5"/>
    </row>
    <row r="1657" spans="1:9" ht="17.399999999999999" x14ac:dyDescent="0.25">
      <c r="A1657" s="16"/>
      <c r="B1657" s="17"/>
      <c r="C1657" s="2"/>
      <c r="D1657" s="2"/>
      <c r="E1657" s="2"/>
      <c r="F1657" s="2"/>
      <c r="G1657" s="2"/>
      <c r="H1657" s="2"/>
      <c r="I1657" s="5"/>
    </row>
    <row r="1658" spans="1:9" ht="17.399999999999999" x14ac:dyDescent="0.25">
      <c r="A1658" s="16"/>
      <c r="B1658" s="17"/>
      <c r="C1658" s="2"/>
      <c r="D1658" s="2"/>
      <c r="E1658" s="2"/>
      <c r="F1658" s="2"/>
      <c r="G1658" s="2"/>
      <c r="H1658" s="2"/>
      <c r="I1658" s="5"/>
    </row>
    <row r="1659" spans="1:9" ht="17.399999999999999" x14ac:dyDescent="0.25">
      <c r="A1659" s="16"/>
      <c r="B1659" s="17"/>
      <c r="C1659" s="2"/>
      <c r="D1659" s="2"/>
      <c r="E1659" s="2"/>
      <c r="F1659" s="2"/>
      <c r="G1659" s="2"/>
      <c r="H1659" s="2"/>
      <c r="I1659" s="5"/>
    </row>
    <row r="1660" spans="1:9" ht="17.399999999999999" x14ac:dyDescent="0.25">
      <c r="A1660" s="16"/>
      <c r="B1660" s="17"/>
      <c r="C1660" s="2"/>
      <c r="D1660" s="2"/>
      <c r="E1660" s="2"/>
      <c r="F1660" s="2"/>
      <c r="G1660" s="2"/>
      <c r="H1660" s="2"/>
      <c r="I1660" s="5"/>
    </row>
    <row r="1661" spans="1:9" ht="17.399999999999999" x14ac:dyDescent="0.25">
      <c r="A1661" s="16"/>
      <c r="B1661" s="17"/>
      <c r="C1661" s="2"/>
      <c r="D1661" s="2"/>
      <c r="E1661" s="2"/>
      <c r="F1661" s="2"/>
      <c r="G1661" s="2"/>
      <c r="H1661" s="2"/>
      <c r="I1661" s="5"/>
    </row>
    <row r="1662" spans="1:9" ht="17.399999999999999" x14ac:dyDescent="0.25">
      <c r="A1662" s="16"/>
      <c r="B1662" s="17"/>
      <c r="C1662" s="2"/>
      <c r="D1662" s="2"/>
      <c r="E1662" s="2"/>
      <c r="F1662" s="2"/>
      <c r="G1662" s="2"/>
      <c r="H1662" s="2"/>
      <c r="I1662" s="5"/>
    </row>
    <row r="1663" spans="1:9" ht="17.399999999999999" x14ac:dyDescent="0.25">
      <c r="A1663" s="16"/>
      <c r="B1663" s="17"/>
      <c r="C1663" s="2"/>
      <c r="D1663" s="2"/>
      <c r="E1663" s="2"/>
      <c r="F1663" s="2"/>
      <c r="G1663" s="2"/>
      <c r="H1663" s="2"/>
      <c r="I1663" s="5"/>
    </row>
    <row r="1664" spans="1:9" ht="17.399999999999999" x14ac:dyDescent="0.25">
      <c r="A1664" s="16"/>
      <c r="B1664" s="17"/>
      <c r="C1664" s="2"/>
      <c r="D1664" s="2"/>
      <c r="E1664" s="2"/>
      <c r="F1664" s="2"/>
      <c r="G1664" s="2"/>
      <c r="H1664" s="2"/>
      <c r="I1664" s="5"/>
    </row>
    <row r="1665" spans="1:9" ht="17.399999999999999" x14ac:dyDescent="0.25">
      <c r="A1665" s="16"/>
      <c r="B1665" s="17"/>
      <c r="C1665" s="2"/>
      <c r="D1665" s="2"/>
      <c r="E1665" s="2"/>
      <c r="F1665" s="2"/>
      <c r="G1665" s="2"/>
      <c r="H1665" s="2"/>
      <c r="I1665" s="5"/>
    </row>
    <row r="1666" spans="1:9" ht="17.399999999999999" x14ac:dyDescent="0.25">
      <c r="A1666" s="16"/>
      <c r="B1666" s="17"/>
      <c r="C1666" s="2"/>
      <c r="D1666" s="2"/>
      <c r="E1666" s="2"/>
      <c r="F1666" s="2"/>
      <c r="G1666" s="2"/>
      <c r="H1666" s="2"/>
      <c r="I1666" s="5"/>
    </row>
    <row r="1667" spans="1:9" ht="17.399999999999999" x14ac:dyDescent="0.25">
      <c r="A1667" s="16"/>
      <c r="B1667" s="17"/>
      <c r="C1667" s="2"/>
      <c r="D1667" s="2"/>
      <c r="E1667" s="2"/>
      <c r="F1667" s="2"/>
      <c r="G1667" s="2"/>
      <c r="H1667" s="2"/>
      <c r="I1667" s="5"/>
    </row>
    <row r="1668" spans="1:9" ht="17.399999999999999" x14ac:dyDescent="0.25">
      <c r="A1668" s="16"/>
      <c r="B1668" s="17"/>
      <c r="C1668" s="2"/>
      <c r="D1668" s="2"/>
      <c r="E1668" s="2"/>
      <c r="F1668" s="2"/>
      <c r="G1668" s="2"/>
      <c r="H1668" s="2"/>
      <c r="I1668" s="5"/>
    </row>
    <row r="1669" spans="1:9" ht="17.399999999999999" x14ac:dyDescent="0.25">
      <c r="A1669" s="16"/>
      <c r="B1669" s="17"/>
      <c r="C1669" s="2"/>
      <c r="D1669" s="2"/>
      <c r="E1669" s="2"/>
      <c r="F1669" s="2"/>
      <c r="G1669" s="2"/>
      <c r="H1669" s="2"/>
      <c r="I1669" s="5"/>
    </row>
    <row r="1670" spans="1:9" ht="17.399999999999999" x14ac:dyDescent="0.25">
      <c r="A1670" s="16"/>
      <c r="B1670" s="17"/>
      <c r="C1670" s="2"/>
      <c r="D1670" s="2"/>
      <c r="E1670" s="2"/>
      <c r="F1670" s="2"/>
      <c r="G1670" s="2"/>
      <c r="H1670" s="2"/>
      <c r="I1670" s="5"/>
    </row>
    <row r="1671" spans="1:9" ht="17.399999999999999" x14ac:dyDescent="0.25">
      <c r="A1671" s="16"/>
      <c r="B1671" s="17"/>
      <c r="C1671" s="2"/>
      <c r="D1671" s="2"/>
      <c r="E1671" s="2"/>
      <c r="F1671" s="2"/>
      <c r="G1671" s="2"/>
      <c r="H1671" s="2"/>
      <c r="I1671" s="5"/>
    </row>
    <row r="1672" spans="1:9" ht="17.399999999999999" x14ac:dyDescent="0.25">
      <c r="A1672" s="16"/>
      <c r="B1672" s="17"/>
      <c r="C1672" s="2"/>
      <c r="D1672" s="2"/>
      <c r="E1672" s="2"/>
      <c r="F1672" s="2"/>
      <c r="G1672" s="2"/>
      <c r="H1672" s="2"/>
      <c r="I1672" s="5"/>
    </row>
    <row r="1673" spans="1:9" ht="17.399999999999999" x14ac:dyDescent="0.25">
      <c r="A1673" s="16"/>
      <c r="B1673" s="17"/>
      <c r="C1673" s="2"/>
      <c r="D1673" s="2"/>
      <c r="E1673" s="2"/>
      <c r="F1673" s="2"/>
      <c r="G1673" s="2"/>
      <c r="H1673" s="2"/>
      <c r="I1673" s="5"/>
    </row>
    <row r="1674" spans="1:9" ht="17.399999999999999" x14ac:dyDescent="0.25">
      <c r="A1674" s="16"/>
      <c r="B1674" s="17"/>
      <c r="C1674" s="2"/>
      <c r="D1674" s="2"/>
      <c r="E1674" s="2"/>
      <c r="F1674" s="2"/>
      <c r="G1674" s="2"/>
      <c r="H1674" s="2"/>
      <c r="I1674" s="5"/>
    </row>
    <row r="1675" spans="1:9" ht="17.399999999999999" x14ac:dyDescent="0.25">
      <c r="A1675" s="16"/>
      <c r="B1675" s="17"/>
      <c r="C1675" s="2"/>
      <c r="D1675" s="2"/>
      <c r="E1675" s="2"/>
      <c r="F1675" s="2"/>
      <c r="G1675" s="2"/>
      <c r="H1675" s="2"/>
      <c r="I1675" s="5"/>
    </row>
    <row r="1676" spans="1:9" ht="17.399999999999999" x14ac:dyDescent="0.25">
      <c r="A1676" s="16"/>
      <c r="B1676" s="17"/>
      <c r="C1676" s="2"/>
      <c r="D1676" s="2"/>
      <c r="E1676" s="2"/>
      <c r="F1676" s="2"/>
      <c r="G1676" s="2"/>
      <c r="H1676" s="2"/>
      <c r="I1676" s="5"/>
    </row>
    <row r="1677" spans="1:9" ht="17.399999999999999" x14ac:dyDescent="0.25">
      <c r="A1677" s="16"/>
      <c r="B1677" s="17"/>
      <c r="C1677" s="2"/>
      <c r="D1677" s="2"/>
      <c r="E1677" s="2"/>
      <c r="F1677" s="2"/>
      <c r="G1677" s="2"/>
      <c r="H1677" s="2"/>
      <c r="I1677" s="5"/>
    </row>
    <row r="1678" spans="1:9" ht="17.399999999999999" x14ac:dyDescent="0.25">
      <c r="A1678" s="16"/>
      <c r="B1678" s="17"/>
      <c r="C1678" s="2"/>
      <c r="D1678" s="2"/>
      <c r="E1678" s="2"/>
      <c r="F1678" s="2"/>
      <c r="G1678" s="2"/>
      <c r="H1678" s="2"/>
      <c r="I1678" s="5"/>
    </row>
    <row r="1679" spans="1:9" ht="17.399999999999999" x14ac:dyDescent="0.25">
      <c r="A1679" s="16"/>
      <c r="B1679" s="17"/>
      <c r="C1679" s="2"/>
      <c r="D1679" s="2"/>
      <c r="E1679" s="2"/>
      <c r="F1679" s="2"/>
      <c r="G1679" s="2"/>
      <c r="H1679" s="2"/>
      <c r="I1679" s="5"/>
    </row>
    <row r="1680" spans="1:9" ht="17.399999999999999" x14ac:dyDescent="0.25">
      <c r="A1680" s="16"/>
      <c r="B1680" s="17"/>
      <c r="C1680" s="2"/>
      <c r="D1680" s="2"/>
      <c r="E1680" s="2"/>
      <c r="F1680" s="2"/>
      <c r="G1680" s="2"/>
      <c r="H1680" s="2"/>
      <c r="I1680" s="5"/>
    </row>
    <row r="1681" spans="1:9" ht="17.399999999999999" x14ac:dyDescent="0.25">
      <c r="A1681" s="16"/>
      <c r="B1681" s="17"/>
      <c r="C1681" s="2"/>
      <c r="D1681" s="2"/>
      <c r="E1681" s="2"/>
      <c r="F1681" s="2"/>
      <c r="G1681" s="2"/>
      <c r="H1681" s="2"/>
      <c r="I1681" s="5"/>
    </row>
    <row r="1682" spans="1:9" ht="17.399999999999999" x14ac:dyDescent="0.25">
      <c r="A1682" s="16"/>
      <c r="B1682" s="17"/>
      <c r="C1682" s="2"/>
      <c r="D1682" s="2"/>
      <c r="E1682" s="2"/>
      <c r="F1682" s="2"/>
      <c r="G1682" s="2"/>
      <c r="H1682" s="2"/>
      <c r="I1682" s="5"/>
    </row>
    <row r="1683" spans="1:9" ht="17.399999999999999" x14ac:dyDescent="0.25">
      <c r="A1683" s="16"/>
      <c r="B1683" s="17"/>
      <c r="C1683" s="2"/>
      <c r="D1683" s="2"/>
      <c r="E1683" s="2"/>
      <c r="F1683" s="2"/>
      <c r="G1683" s="2"/>
      <c r="H1683" s="2"/>
      <c r="I1683" s="5"/>
    </row>
    <row r="1684" spans="1:9" ht="17.399999999999999" x14ac:dyDescent="0.25">
      <c r="A1684" s="16"/>
      <c r="B1684" s="17"/>
      <c r="C1684" s="2"/>
      <c r="D1684" s="2"/>
      <c r="E1684" s="2"/>
      <c r="F1684" s="2"/>
      <c r="G1684" s="2"/>
      <c r="H1684" s="2"/>
      <c r="I1684" s="5"/>
    </row>
    <row r="1685" spans="1:9" ht="17.399999999999999" x14ac:dyDescent="0.25">
      <c r="A1685" s="16"/>
      <c r="B1685" s="17"/>
      <c r="C1685" s="2"/>
      <c r="D1685" s="2"/>
      <c r="E1685" s="2"/>
      <c r="F1685" s="2"/>
      <c r="G1685" s="2"/>
      <c r="H1685" s="2"/>
      <c r="I1685" s="5"/>
    </row>
    <row r="1686" spans="1:9" ht="17.399999999999999" x14ac:dyDescent="0.25">
      <c r="A1686" s="16"/>
      <c r="B1686" s="17"/>
      <c r="C1686" s="2"/>
      <c r="D1686" s="2"/>
      <c r="E1686" s="2"/>
      <c r="F1686" s="2"/>
      <c r="G1686" s="2"/>
      <c r="H1686" s="2"/>
      <c r="I1686" s="5"/>
    </row>
    <row r="1687" spans="1:9" ht="17.399999999999999" x14ac:dyDescent="0.25">
      <c r="A1687" s="16"/>
      <c r="B1687" s="17"/>
      <c r="C1687" s="2"/>
      <c r="D1687" s="2"/>
      <c r="E1687" s="2"/>
      <c r="F1687" s="2"/>
      <c r="G1687" s="2"/>
      <c r="H1687" s="2"/>
      <c r="I1687" s="5"/>
    </row>
    <row r="1688" spans="1:9" ht="17.399999999999999" x14ac:dyDescent="0.25">
      <c r="A1688" s="16"/>
      <c r="B1688" s="17"/>
      <c r="C1688" s="2"/>
      <c r="D1688" s="2"/>
      <c r="E1688" s="2"/>
      <c r="F1688" s="2"/>
      <c r="G1688" s="2"/>
      <c r="H1688" s="2"/>
      <c r="I1688" s="5"/>
    </row>
    <row r="1689" spans="1:9" ht="17.399999999999999" x14ac:dyDescent="0.25">
      <c r="A1689" s="16"/>
      <c r="B1689" s="17"/>
      <c r="C1689" s="2"/>
      <c r="D1689" s="2"/>
      <c r="E1689" s="2"/>
      <c r="F1689" s="2"/>
      <c r="G1689" s="2"/>
      <c r="H1689" s="2"/>
      <c r="I1689" s="5"/>
    </row>
    <row r="1690" spans="1:9" ht="17.399999999999999" x14ac:dyDescent="0.25">
      <c r="A1690" s="16"/>
      <c r="B1690" s="17"/>
      <c r="C1690" s="2"/>
      <c r="D1690" s="2"/>
      <c r="E1690" s="2"/>
      <c r="F1690" s="2"/>
      <c r="G1690" s="2"/>
      <c r="H1690" s="2"/>
      <c r="I1690" s="5"/>
    </row>
    <row r="1691" spans="1:9" ht="17.399999999999999" x14ac:dyDescent="0.25">
      <c r="A1691" s="16"/>
      <c r="B1691" s="17"/>
      <c r="C1691" s="2"/>
      <c r="D1691" s="2"/>
      <c r="E1691" s="2"/>
      <c r="F1691" s="2"/>
      <c r="G1691" s="2"/>
      <c r="H1691" s="2"/>
      <c r="I1691" s="5"/>
    </row>
    <row r="1692" spans="1:9" ht="17.399999999999999" x14ac:dyDescent="0.25">
      <c r="A1692" s="16"/>
      <c r="B1692" s="17"/>
      <c r="C1692" s="2"/>
      <c r="D1692" s="2"/>
      <c r="E1692" s="2"/>
      <c r="F1692" s="2"/>
      <c r="G1692" s="2"/>
      <c r="H1692" s="2"/>
      <c r="I1692" s="5"/>
    </row>
    <row r="1693" spans="1:9" ht="17.399999999999999" x14ac:dyDescent="0.25">
      <c r="A1693" s="16"/>
      <c r="B1693" s="17"/>
      <c r="C1693" s="2"/>
      <c r="D1693" s="2"/>
      <c r="E1693" s="2"/>
      <c r="F1693" s="2"/>
      <c r="G1693" s="2"/>
      <c r="H1693" s="2"/>
      <c r="I1693" s="5"/>
    </row>
    <row r="1694" spans="1:9" ht="17.399999999999999" x14ac:dyDescent="0.25">
      <c r="A1694" s="16"/>
      <c r="B1694" s="17"/>
      <c r="C1694" s="2"/>
      <c r="D1694" s="2"/>
      <c r="E1694" s="2"/>
      <c r="F1694" s="2"/>
      <c r="G1694" s="2"/>
      <c r="H1694" s="2"/>
      <c r="I1694" s="5"/>
    </row>
    <row r="1695" spans="1:9" ht="17.399999999999999" x14ac:dyDescent="0.25">
      <c r="A1695" s="16"/>
      <c r="B1695" s="17"/>
      <c r="C1695" s="2"/>
      <c r="D1695" s="2"/>
      <c r="E1695" s="2"/>
      <c r="F1695" s="2"/>
      <c r="G1695" s="2"/>
      <c r="H1695" s="2"/>
      <c r="I1695" s="5"/>
    </row>
    <row r="1696" spans="1:9" ht="17.399999999999999" x14ac:dyDescent="0.25">
      <c r="A1696" s="16"/>
      <c r="B1696" s="17"/>
      <c r="C1696" s="2"/>
      <c r="D1696" s="2"/>
      <c r="E1696" s="2"/>
      <c r="F1696" s="2"/>
      <c r="G1696" s="2"/>
      <c r="H1696" s="2"/>
      <c r="I1696" s="5"/>
    </row>
    <row r="1697" spans="1:9" ht="17.399999999999999" x14ac:dyDescent="0.25">
      <c r="A1697" s="16"/>
      <c r="B1697" s="17"/>
      <c r="C1697" s="2"/>
      <c r="D1697" s="2"/>
      <c r="E1697" s="2"/>
      <c r="F1697" s="2"/>
      <c r="G1697" s="2"/>
      <c r="H1697" s="2"/>
      <c r="I1697" s="5"/>
    </row>
    <row r="1698" spans="1:9" ht="17.399999999999999" x14ac:dyDescent="0.25">
      <c r="A1698" s="16"/>
      <c r="B1698" s="17"/>
      <c r="C1698" s="2"/>
      <c r="D1698" s="2"/>
      <c r="E1698" s="2"/>
      <c r="F1698" s="2"/>
      <c r="G1698" s="2"/>
      <c r="H1698" s="2"/>
      <c r="I1698" s="5"/>
    </row>
    <row r="1699" spans="1:9" ht="17.399999999999999" x14ac:dyDescent="0.25">
      <c r="A1699" s="16"/>
      <c r="B1699" s="17"/>
      <c r="C1699" s="2"/>
      <c r="D1699" s="2"/>
      <c r="E1699" s="2"/>
      <c r="F1699" s="2"/>
      <c r="G1699" s="2"/>
      <c r="H1699" s="2"/>
      <c r="I1699" s="5"/>
    </row>
    <row r="1700" spans="1:9" ht="17.399999999999999" x14ac:dyDescent="0.25">
      <c r="A1700" s="16"/>
      <c r="B1700" s="17"/>
      <c r="C1700" s="2"/>
      <c r="D1700" s="2"/>
      <c r="E1700" s="2"/>
      <c r="F1700" s="2"/>
      <c r="G1700" s="2"/>
      <c r="H1700" s="2"/>
      <c r="I1700" s="5"/>
    </row>
    <row r="1701" spans="1:9" ht="17.399999999999999" x14ac:dyDescent="0.25">
      <c r="A1701" s="16"/>
      <c r="B1701" s="17"/>
      <c r="C1701" s="2"/>
      <c r="D1701" s="2"/>
      <c r="E1701" s="2"/>
      <c r="F1701" s="2"/>
      <c r="G1701" s="2"/>
      <c r="H1701" s="2"/>
      <c r="I1701" s="5"/>
    </row>
    <row r="1702" spans="1:9" ht="17.399999999999999" x14ac:dyDescent="0.25">
      <c r="A1702" s="16"/>
      <c r="B1702" s="17"/>
      <c r="C1702" s="2"/>
      <c r="D1702" s="2"/>
      <c r="E1702" s="2"/>
      <c r="F1702" s="2"/>
      <c r="G1702" s="2"/>
      <c r="H1702" s="2"/>
      <c r="I1702" s="5"/>
    </row>
    <row r="1703" spans="1:9" ht="17.399999999999999" x14ac:dyDescent="0.25">
      <c r="A1703" s="16"/>
      <c r="B1703" s="17"/>
      <c r="C1703" s="2"/>
      <c r="D1703" s="2"/>
      <c r="E1703" s="2"/>
      <c r="F1703" s="2"/>
      <c r="G1703" s="2"/>
      <c r="H1703" s="2"/>
      <c r="I1703" s="5"/>
    </row>
    <row r="1704" spans="1:9" ht="17.399999999999999" x14ac:dyDescent="0.25">
      <c r="A1704" s="16"/>
      <c r="B1704" s="17"/>
      <c r="C1704" s="2"/>
      <c r="D1704" s="2"/>
      <c r="E1704" s="2"/>
      <c r="F1704" s="2"/>
      <c r="G1704" s="2"/>
      <c r="H1704" s="2"/>
      <c r="I1704" s="5"/>
    </row>
    <row r="1705" spans="1:9" ht="17.399999999999999" x14ac:dyDescent="0.25">
      <c r="A1705" s="16"/>
      <c r="B1705" s="17"/>
      <c r="C1705" s="2"/>
      <c r="D1705" s="2"/>
      <c r="E1705" s="2"/>
      <c r="F1705" s="2"/>
      <c r="G1705" s="2"/>
      <c r="H1705" s="2"/>
      <c r="I1705" s="5"/>
    </row>
    <row r="1706" spans="1:9" ht="17.399999999999999" x14ac:dyDescent="0.25">
      <c r="A1706" s="16"/>
      <c r="B1706" s="17"/>
      <c r="C1706" s="2"/>
      <c r="D1706" s="2"/>
      <c r="E1706" s="2"/>
      <c r="F1706" s="2"/>
      <c r="G1706" s="2"/>
      <c r="H1706" s="2"/>
      <c r="I1706" s="5"/>
    </row>
    <row r="1707" spans="1:9" ht="17.399999999999999" x14ac:dyDescent="0.25">
      <c r="A1707" s="16"/>
      <c r="B1707" s="17"/>
      <c r="C1707" s="2"/>
      <c r="D1707" s="2"/>
      <c r="E1707" s="2"/>
      <c r="F1707" s="2"/>
      <c r="G1707" s="2"/>
      <c r="H1707" s="2"/>
      <c r="I1707" s="5"/>
    </row>
    <row r="1708" spans="1:9" ht="17.399999999999999" x14ac:dyDescent="0.25">
      <c r="A1708" s="16"/>
      <c r="B1708" s="17"/>
      <c r="C1708" s="2"/>
      <c r="D1708" s="2"/>
      <c r="E1708" s="2"/>
      <c r="F1708" s="2"/>
      <c r="G1708" s="2"/>
      <c r="H1708" s="2"/>
      <c r="I1708" s="5"/>
    </row>
    <row r="1709" spans="1:9" ht="17.399999999999999" x14ac:dyDescent="0.25">
      <c r="A1709" s="16"/>
      <c r="B1709" s="17"/>
      <c r="C1709" s="2"/>
      <c r="D1709" s="2"/>
      <c r="E1709" s="2"/>
      <c r="F1709" s="2"/>
      <c r="G1709" s="2"/>
      <c r="H1709" s="2"/>
      <c r="I1709" s="5"/>
    </row>
    <row r="1710" spans="1:9" ht="17.399999999999999" x14ac:dyDescent="0.25">
      <c r="A1710" s="16"/>
      <c r="B1710" s="17"/>
      <c r="C1710" s="2"/>
      <c r="D1710" s="2"/>
      <c r="E1710" s="2"/>
      <c r="F1710" s="2"/>
      <c r="G1710" s="2"/>
      <c r="H1710" s="2"/>
      <c r="I1710" s="5"/>
    </row>
    <row r="1711" spans="1:9" ht="17.399999999999999" x14ac:dyDescent="0.25">
      <c r="A1711" s="16"/>
      <c r="B1711" s="17"/>
      <c r="C1711" s="2"/>
      <c r="D1711" s="2"/>
      <c r="E1711" s="2"/>
      <c r="F1711" s="2"/>
      <c r="G1711" s="2"/>
      <c r="H1711" s="2"/>
      <c r="I1711" s="5"/>
    </row>
    <row r="1712" spans="1:9" ht="17.399999999999999" x14ac:dyDescent="0.25">
      <c r="A1712" s="16"/>
      <c r="B1712" s="17"/>
      <c r="C1712" s="2"/>
      <c r="D1712" s="2"/>
      <c r="E1712" s="2"/>
      <c r="F1712" s="2"/>
      <c r="G1712" s="2"/>
      <c r="H1712" s="2"/>
      <c r="I1712" s="5"/>
    </row>
    <row r="1713" spans="1:9" ht="17.399999999999999" x14ac:dyDescent="0.25">
      <c r="A1713" s="16"/>
      <c r="B1713" s="17"/>
      <c r="C1713" s="2"/>
      <c r="D1713" s="2"/>
      <c r="E1713" s="2"/>
      <c r="F1713" s="2"/>
      <c r="G1713" s="2"/>
      <c r="H1713" s="2"/>
      <c r="I1713" s="5"/>
    </row>
    <row r="1714" spans="1:9" ht="17.399999999999999" x14ac:dyDescent="0.25">
      <c r="A1714" s="16"/>
      <c r="B1714" s="17"/>
      <c r="C1714" s="2"/>
      <c r="D1714" s="2"/>
      <c r="E1714" s="2"/>
      <c r="F1714" s="2"/>
      <c r="G1714" s="2"/>
      <c r="H1714" s="2"/>
      <c r="I1714" s="5"/>
    </row>
    <row r="1715" spans="1:9" ht="17.399999999999999" x14ac:dyDescent="0.25">
      <c r="A1715" s="16"/>
      <c r="B1715" s="17"/>
      <c r="C1715" s="2"/>
      <c r="D1715" s="2"/>
      <c r="E1715" s="2"/>
      <c r="F1715" s="2"/>
      <c r="G1715" s="2"/>
      <c r="H1715" s="2"/>
      <c r="I1715" s="5"/>
    </row>
    <row r="1716" spans="1:9" ht="17.399999999999999" x14ac:dyDescent="0.25">
      <c r="A1716" s="16"/>
      <c r="B1716" s="17"/>
      <c r="C1716" s="2"/>
      <c r="D1716" s="2"/>
      <c r="E1716" s="2"/>
      <c r="F1716" s="2"/>
      <c r="G1716" s="2"/>
      <c r="H1716" s="2"/>
      <c r="I1716" s="5"/>
    </row>
    <row r="1717" spans="1:9" ht="17.399999999999999" x14ac:dyDescent="0.25">
      <c r="A1717" s="16"/>
      <c r="B1717" s="17"/>
      <c r="C1717" s="2"/>
      <c r="D1717" s="2"/>
      <c r="E1717" s="2"/>
      <c r="F1717" s="2"/>
      <c r="G1717" s="2"/>
      <c r="H1717" s="2"/>
      <c r="I1717" s="5"/>
    </row>
    <row r="1718" spans="1:9" ht="17.399999999999999" x14ac:dyDescent="0.25">
      <c r="A1718" s="16"/>
      <c r="B1718" s="17"/>
      <c r="C1718" s="2"/>
      <c r="D1718" s="2"/>
      <c r="E1718" s="2"/>
      <c r="F1718" s="2"/>
      <c r="G1718" s="2"/>
      <c r="H1718" s="2"/>
      <c r="I1718" s="5"/>
    </row>
    <row r="1719" spans="1:9" ht="17.399999999999999" x14ac:dyDescent="0.25">
      <c r="A1719" s="16"/>
      <c r="B1719" s="17"/>
      <c r="C1719" s="2"/>
      <c r="D1719" s="2"/>
      <c r="E1719" s="2"/>
      <c r="F1719" s="2"/>
      <c r="G1719" s="2"/>
      <c r="H1719" s="2"/>
      <c r="I1719" s="5"/>
    </row>
    <row r="1720" spans="1:9" ht="17.399999999999999" x14ac:dyDescent="0.25">
      <c r="A1720" s="16"/>
      <c r="B1720" s="17"/>
      <c r="C1720" s="2"/>
      <c r="D1720" s="2"/>
      <c r="E1720" s="2"/>
      <c r="F1720" s="2"/>
      <c r="G1720" s="2"/>
      <c r="H1720" s="2"/>
      <c r="I1720" s="5"/>
    </row>
    <row r="1721" spans="1:9" ht="17.399999999999999" x14ac:dyDescent="0.25">
      <c r="A1721" s="16"/>
      <c r="B1721" s="17"/>
      <c r="C1721" s="2"/>
      <c r="D1721" s="2"/>
      <c r="E1721" s="2"/>
      <c r="F1721" s="2"/>
      <c r="G1721" s="2"/>
      <c r="H1721" s="2"/>
      <c r="I1721" s="5"/>
    </row>
    <row r="1722" spans="1:9" ht="17.399999999999999" x14ac:dyDescent="0.25">
      <c r="A1722" s="16"/>
      <c r="B1722" s="17"/>
      <c r="C1722" s="2"/>
      <c r="D1722" s="2"/>
      <c r="E1722" s="2"/>
      <c r="F1722" s="2"/>
      <c r="G1722" s="2"/>
      <c r="H1722" s="2"/>
      <c r="I1722" s="5"/>
    </row>
    <row r="1723" spans="1:9" ht="17.399999999999999" x14ac:dyDescent="0.25">
      <c r="A1723" s="16"/>
      <c r="B1723" s="17"/>
      <c r="C1723" s="2"/>
      <c r="D1723" s="2"/>
      <c r="E1723" s="2"/>
      <c r="F1723" s="2"/>
      <c r="G1723" s="2"/>
      <c r="H1723" s="2"/>
      <c r="I1723" s="5"/>
    </row>
    <row r="1724" spans="1:9" ht="17.399999999999999" x14ac:dyDescent="0.25">
      <c r="A1724" s="16"/>
      <c r="B1724" s="17"/>
      <c r="C1724" s="2"/>
      <c r="D1724" s="2"/>
      <c r="E1724" s="2"/>
      <c r="F1724" s="2"/>
      <c r="G1724" s="2"/>
      <c r="H1724" s="2"/>
      <c r="I1724" s="5"/>
    </row>
    <row r="1725" spans="1:9" ht="17.399999999999999" x14ac:dyDescent="0.25">
      <c r="A1725" s="16"/>
      <c r="B1725" s="17"/>
      <c r="C1725" s="2"/>
      <c r="D1725" s="2"/>
      <c r="E1725" s="2"/>
      <c r="F1725" s="2"/>
      <c r="G1725" s="2"/>
      <c r="H1725" s="2"/>
      <c r="I1725" s="5"/>
    </row>
    <row r="1726" spans="1:9" ht="17.399999999999999" x14ac:dyDescent="0.25">
      <c r="A1726" s="16"/>
      <c r="B1726" s="17"/>
      <c r="C1726" s="2"/>
      <c r="D1726" s="2"/>
      <c r="E1726" s="2"/>
      <c r="F1726" s="2"/>
      <c r="G1726" s="2"/>
      <c r="H1726" s="2"/>
      <c r="I1726" s="5"/>
    </row>
    <row r="1727" spans="1:9" ht="17.399999999999999" x14ac:dyDescent="0.25">
      <c r="A1727" s="16"/>
      <c r="B1727" s="17"/>
      <c r="C1727" s="2"/>
      <c r="D1727" s="2"/>
      <c r="E1727" s="2"/>
      <c r="F1727" s="2"/>
      <c r="G1727" s="2"/>
      <c r="H1727" s="2"/>
      <c r="I1727" s="5"/>
    </row>
    <row r="1728" spans="1:9" ht="17.399999999999999" x14ac:dyDescent="0.25">
      <c r="A1728" s="16"/>
      <c r="B1728" s="17"/>
      <c r="C1728" s="2"/>
      <c r="D1728" s="2"/>
      <c r="E1728" s="2"/>
      <c r="F1728" s="2"/>
      <c r="G1728" s="2"/>
      <c r="H1728" s="2"/>
      <c r="I1728" s="5"/>
    </row>
    <row r="1729" spans="1:9" ht="17.399999999999999" x14ac:dyDescent="0.25">
      <c r="A1729" s="16"/>
      <c r="B1729" s="17"/>
      <c r="C1729" s="2"/>
      <c r="D1729" s="2"/>
      <c r="E1729" s="2"/>
      <c r="F1729" s="2"/>
      <c r="G1729" s="2"/>
      <c r="H1729" s="2"/>
      <c r="I1729" s="5"/>
    </row>
    <row r="1730" spans="1:9" ht="17.399999999999999" x14ac:dyDescent="0.25">
      <c r="A1730" s="16"/>
      <c r="B1730" s="17"/>
      <c r="C1730" s="2"/>
      <c r="D1730" s="2"/>
      <c r="E1730" s="2"/>
      <c r="F1730" s="2"/>
      <c r="G1730" s="2"/>
      <c r="H1730" s="2"/>
      <c r="I1730" s="5"/>
    </row>
    <row r="1731" spans="1:9" ht="17.399999999999999" x14ac:dyDescent="0.25">
      <c r="A1731" s="16"/>
      <c r="B1731" s="17"/>
      <c r="C1731" s="2"/>
      <c r="D1731" s="2"/>
      <c r="E1731" s="2"/>
      <c r="F1731" s="2"/>
      <c r="G1731" s="2"/>
      <c r="H1731" s="2"/>
      <c r="I1731" s="5"/>
    </row>
    <row r="1732" spans="1:9" ht="17.399999999999999" x14ac:dyDescent="0.25">
      <c r="A1732" s="16"/>
      <c r="B1732" s="17"/>
      <c r="C1732" s="2"/>
      <c r="D1732" s="2"/>
      <c r="E1732" s="2"/>
      <c r="F1732" s="2"/>
      <c r="G1732" s="2"/>
      <c r="H1732" s="2"/>
      <c r="I1732" s="5"/>
    </row>
    <row r="1733" spans="1:9" ht="17.399999999999999" x14ac:dyDescent="0.25">
      <c r="A1733" s="16"/>
      <c r="B1733" s="17"/>
      <c r="C1733" s="2"/>
      <c r="D1733" s="2"/>
      <c r="E1733" s="2"/>
      <c r="F1733" s="2"/>
      <c r="G1733" s="2"/>
      <c r="H1733" s="2"/>
      <c r="I1733" s="5"/>
    </row>
    <row r="1734" spans="1:9" ht="17.399999999999999" x14ac:dyDescent="0.25">
      <c r="A1734" s="16"/>
      <c r="B1734" s="17"/>
      <c r="C1734" s="2"/>
      <c r="D1734" s="2"/>
      <c r="E1734" s="2"/>
      <c r="F1734" s="2"/>
      <c r="G1734" s="2"/>
      <c r="H1734" s="2"/>
      <c r="I1734" s="5"/>
    </row>
    <row r="1735" spans="1:9" ht="17.399999999999999" x14ac:dyDescent="0.25">
      <c r="A1735" s="16"/>
      <c r="B1735" s="17"/>
      <c r="C1735" s="2"/>
      <c r="D1735" s="2"/>
      <c r="E1735" s="2"/>
      <c r="F1735" s="2"/>
      <c r="G1735" s="2"/>
      <c r="H1735" s="2"/>
      <c r="I1735" s="5"/>
    </row>
    <row r="1736" spans="1:9" ht="17.399999999999999" x14ac:dyDescent="0.25">
      <c r="A1736" s="16"/>
      <c r="B1736" s="17"/>
      <c r="C1736" s="2"/>
      <c r="D1736" s="2"/>
      <c r="E1736" s="2"/>
      <c r="F1736" s="2"/>
      <c r="G1736" s="2"/>
      <c r="H1736" s="2"/>
      <c r="I1736" s="5"/>
    </row>
    <row r="1737" spans="1:9" ht="17.399999999999999" x14ac:dyDescent="0.25">
      <c r="A1737" s="16"/>
      <c r="B1737" s="17"/>
      <c r="C1737" s="2"/>
      <c r="D1737" s="2"/>
      <c r="E1737" s="2"/>
      <c r="F1737" s="2"/>
      <c r="G1737" s="2"/>
      <c r="H1737" s="2"/>
      <c r="I1737" s="5"/>
    </row>
    <row r="1738" spans="1:9" ht="17.399999999999999" x14ac:dyDescent="0.25">
      <c r="A1738" s="16"/>
      <c r="B1738" s="17"/>
      <c r="C1738" s="2"/>
      <c r="D1738" s="2"/>
      <c r="E1738" s="2"/>
      <c r="F1738" s="2"/>
      <c r="G1738" s="2"/>
      <c r="H1738" s="2"/>
      <c r="I1738" s="5"/>
    </row>
    <row r="1739" spans="1:9" ht="17.399999999999999" x14ac:dyDescent="0.25">
      <c r="A1739" s="16"/>
      <c r="B1739" s="17"/>
      <c r="C1739" s="2"/>
      <c r="D1739" s="2"/>
      <c r="E1739" s="2"/>
      <c r="F1739" s="2"/>
      <c r="G1739" s="2"/>
      <c r="H1739" s="2"/>
      <c r="I1739" s="5"/>
    </row>
    <row r="1740" spans="1:9" ht="17.399999999999999" x14ac:dyDescent="0.25">
      <c r="A1740" s="16"/>
      <c r="B1740" s="17"/>
      <c r="C1740" s="2"/>
      <c r="D1740" s="2"/>
      <c r="E1740" s="2"/>
      <c r="F1740" s="2"/>
      <c r="G1740" s="2"/>
      <c r="H1740" s="2"/>
      <c r="I1740" s="5"/>
    </row>
    <row r="1741" spans="1:9" ht="17.399999999999999" x14ac:dyDescent="0.25">
      <c r="A1741" s="16"/>
      <c r="B1741" s="17"/>
      <c r="C1741" s="2"/>
      <c r="D1741" s="2"/>
      <c r="E1741" s="2"/>
      <c r="F1741" s="2"/>
      <c r="G1741" s="2"/>
      <c r="H1741" s="2"/>
      <c r="I1741" s="5"/>
    </row>
    <row r="1742" spans="1:9" ht="17.399999999999999" x14ac:dyDescent="0.25">
      <c r="A1742" s="16"/>
      <c r="B1742" s="17"/>
      <c r="C1742" s="2"/>
      <c r="D1742" s="2"/>
      <c r="E1742" s="2"/>
      <c r="F1742" s="2"/>
      <c r="G1742" s="2"/>
      <c r="H1742" s="2"/>
      <c r="I1742" s="5"/>
    </row>
    <row r="1743" spans="1:9" ht="17.399999999999999" x14ac:dyDescent="0.25">
      <c r="A1743" s="16"/>
      <c r="B1743" s="17"/>
      <c r="C1743" s="2"/>
      <c r="D1743" s="2"/>
      <c r="E1743" s="2"/>
      <c r="F1743" s="2"/>
      <c r="G1743" s="2"/>
      <c r="H1743" s="2"/>
      <c r="I1743" s="5"/>
    </row>
    <row r="1744" spans="1:9" ht="17.399999999999999" x14ac:dyDescent="0.25">
      <c r="A1744" s="16"/>
      <c r="B1744" s="17"/>
      <c r="C1744" s="2"/>
      <c r="D1744" s="2"/>
      <c r="E1744" s="2"/>
      <c r="F1744" s="2"/>
      <c r="G1744" s="2"/>
      <c r="H1744" s="2"/>
      <c r="I1744" s="5"/>
    </row>
    <row r="1745" spans="1:9" ht="17.399999999999999" x14ac:dyDescent="0.25">
      <c r="A1745" s="16"/>
      <c r="B1745" s="17"/>
      <c r="C1745" s="2"/>
      <c r="D1745" s="2"/>
      <c r="E1745" s="2"/>
      <c r="F1745" s="2"/>
      <c r="G1745" s="2"/>
      <c r="H1745" s="2"/>
      <c r="I1745" s="5"/>
    </row>
    <row r="1746" spans="1:9" ht="17.399999999999999" x14ac:dyDescent="0.25">
      <c r="A1746" s="16"/>
      <c r="B1746" s="17"/>
      <c r="C1746" s="2"/>
      <c r="D1746" s="2"/>
      <c r="E1746" s="2"/>
      <c r="F1746" s="2"/>
      <c r="G1746" s="2"/>
      <c r="H1746" s="2"/>
      <c r="I1746" s="5"/>
    </row>
    <row r="1747" spans="1:9" ht="17.399999999999999" x14ac:dyDescent="0.25">
      <c r="A1747" s="16"/>
      <c r="B1747" s="17"/>
      <c r="C1747" s="2"/>
      <c r="D1747" s="2"/>
      <c r="E1747" s="2"/>
      <c r="F1747" s="2"/>
      <c r="G1747" s="2"/>
      <c r="H1747" s="2"/>
      <c r="I1747" s="5"/>
    </row>
    <row r="1748" spans="1:9" ht="17.399999999999999" x14ac:dyDescent="0.25">
      <c r="A1748" s="16"/>
      <c r="B1748" s="17"/>
      <c r="C1748" s="2"/>
      <c r="D1748" s="2"/>
      <c r="E1748" s="2"/>
      <c r="F1748" s="2"/>
      <c r="G1748" s="2"/>
      <c r="H1748" s="2"/>
      <c r="I1748" s="5"/>
    </row>
    <row r="1749" spans="1:9" ht="17.399999999999999" x14ac:dyDescent="0.25">
      <c r="A1749" s="16"/>
      <c r="B1749" s="17"/>
      <c r="C1749" s="2"/>
      <c r="D1749" s="2"/>
      <c r="E1749" s="2"/>
      <c r="F1749" s="2"/>
      <c r="G1749" s="2"/>
      <c r="H1749" s="2"/>
      <c r="I1749" s="5"/>
    </row>
    <row r="1750" spans="1:9" ht="17.399999999999999" x14ac:dyDescent="0.25">
      <c r="A1750" s="16"/>
      <c r="B1750" s="17"/>
      <c r="C1750" s="2"/>
      <c r="D1750" s="2"/>
      <c r="E1750" s="2"/>
      <c r="F1750" s="2"/>
      <c r="G1750" s="2"/>
      <c r="H1750" s="2"/>
      <c r="I1750" s="5"/>
    </row>
    <row r="1751" spans="1:9" ht="17.399999999999999" x14ac:dyDescent="0.25">
      <c r="A1751" s="16"/>
      <c r="B1751" s="17"/>
      <c r="C1751" s="2"/>
      <c r="D1751" s="2"/>
      <c r="E1751" s="2"/>
      <c r="F1751" s="2"/>
      <c r="G1751" s="2"/>
      <c r="H1751" s="2"/>
      <c r="I1751" s="5"/>
    </row>
    <row r="1752" spans="1:9" ht="17.399999999999999" x14ac:dyDescent="0.25">
      <c r="A1752" s="16"/>
      <c r="B1752" s="17"/>
      <c r="C1752" s="2"/>
      <c r="D1752" s="2"/>
      <c r="E1752" s="2"/>
      <c r="F1752" s="2"/>
      <c r="G1752" s="2"/>
      <c r="H1752" s="2"/>
      <c r="I1752" s="5"/>
    </row>
    <row r="1753" spans="1:9" ht="17.399999999999999" x14ac:dyDescent="0.25">
      <c r="A1753" s="16"/>
      <c r="B1753" s="17"/>
      <c r="C1753" s="2"/>
      <c r="D1753" s="2"/>
      <c r="E1753" s="2"/>
      <c r="F1753" s="2"/>
      <c r="G1753" s="2"/>
      <c r="H1753" s="2"/>
      <c r="I1753" s="5"/>
    </row>
    <row r="1754" spans="1:9" ht="17.399999999999999" x14ac:dyDescent="0.25">
      <c r="A1754" s="16"/>
      <c r="B1754" s="17"/>
      <c r="C1754" s="2"/>
      <c r="D1754" s="2"/>
      <c r="E1754" s="2"/>
      <c r="F1754" s="2"/>
      <c r="G1754" s="2"/>
      <c r="H1754" s="2"/>
      <c r="I1754" s="5"/>
    </row>
    <row r="1755" spans="1:9" ht="17.399999999999999" x14ac:dyDescent="0.25">
      <c r="A1755" s="16"/>
      <c r="B1755" s="17"/>
      <c r="C1755" s="2"/>
      <c r="D1755" s="2"/>
      <c r="E1755" s="2"/>
      <c r="F1755" s="2"/>
      <c r="G1755" s="2"/>
      <c r="H1755" s="2"/>
      <c r="I1755" s="5"/>
    </row>
    <row r="1756" spans="1:9" ht="17.399999999999999" x14ac:dyDescent="0.25">
      <c r="A1756" s="16"/>
      <c r="B1756" s="17"/>
      <c r="C1756" s="2"/>
      <c r="D1756" s="2"/>
      <c r="E1756" s="2"/>
      <c r="F1756" s="2"/>
      <c r="G1756" s="2"/>
      <c r="H1756" s="2"/>
      <c r="I1756" s="5"/>
    </row>
    <row r="1757" spans="1:9" ht="17.399999999999999" x14ac:dyDescent="0.25">
      <c r="A1757" s="16"/>
      <c r="B1757" s="17"/>
      <c r="C1757" s="2"/>
      <c r="D1757" s="2"/>
      <c r="E1757" s="2"/>
      <c r="F1757" s="2"/>
      <c r="G1757" s="2"/>
      <c r="H1757" s="2"/>
      <c r="I1757" s="5"/>
    </row>
    <row r="1758" spans="1:9" ht="17.399999999999999" x14ac:dyDescent="0.25">
      <c r="A1758" s="16"/>
      <c r="B1758" s="17"/>
      <c r="C1758" s="2"/>
      <c r="D1758" s="2"/>
      <c r="E1758" s="2"/>
      <c r="F1758" s="2"/>
      <c r="G1758" s="2"/>
      <c r="H1758" s="2"/>
      <c r="I1758" s="5"/>
    </row>
    <row r="1759" spans="1:9" ht="17.399999999999999" x14ac:dyDescent="0.25">
      <c r="A1759" s="16"/>
      <c r="B1759" s="17"/>
      <c r="C1759" s="2"/>
      <c r="D1759" s="2"/>
      <c r="E1759" s="2"/>
      <c r="F1759" s="2"/>
      <c r="G1759" s="2"/>
      <c r="H1759" s="2"/>
      <c r="I1759" s="5"/>
    </row>
    <row r="1760" spans="1:9" ht="17.399999999999999" x14ac:dyDescent="0.25">
      <c r="A1760" s="16"/>
      <c r="B1760" s="17"/>
      <c r="C1760" s="2"/>
      <c r="D1760" s="2"/>
      <c r="E1760" s="2"/>
      <c r="F1760" s="2"/>
      <c r="G1760" s="2"/>
      <c r="H1760" s="2"/>
      <c r="I1760" s="5"/>
    </row>
    <row r="1761" spans="1:9" ht="17.399999999999999" x14ac:dyDescent="0.25">
      <c r="A1761" s="16"/>
      <c r="B1761" s="17"/>
      <c r="C1761" s="2"/>
      <c r="D1761" s="2"/>
      <c r="E1761" s="2"/>
      <c r="F1761" s="2"/>
      <c r="G1761" s="2"/>
      <c r="H1761" s="2"/>
      <c r="I1761" s="5"/>
    </row>
    <row r="1762" spans="1:9" ht="17.399999999999999" x14ac:dyDescent="0.25">
      <c r="A1762" s="16"/>
      <c r="B1762" s="17"/>
      <c r="C1762" s="2"/>
      <c r="D1762" s="2"/>
      <c r="E1762" s="2"/>
      <c r="F1762" s="2"/>
      <c r="G1762" s="2"/>
      <c r="H1762" s="2"/>
      <c r="I1762" s="5"/>
    </row>
    <row r="1763" spans="1:9" ht="17.399999999999999" x14ac:dyDescent="0.25">
      <c r="A1763" s="16"/>
      <c r="B1763" s="17"/>
      <c r="C1763" s="2"/>
      <c r="D1763" s="2"/>
      <c r="E1763" s="2"/>
      <c r="F1763" s="2"/>
      <c r="G1763" s="2"/>
      <c r="H1763" s="2"/>
      <c r="I1763" s="5"/>
    </row>
    <row r="1764" spans="1:9" ht="17.399999999999999" x14ac:dyDescent="0.25">
      <c r="A1764" s="16"/>
      <c r="B1764" s="17"/>
      <c r="C1764" s="2"/>
      <c r="D1764" s="2"/>
      <c r="E1764" s="2"/>
      <c r="F1764" s="2"/>
      <c r="G1764" s="2"/>
      <c r="H1764" s="2"/>
      <c r="I1764" s="5"/>
    </row>
    <row r="1765" spans="1:9" ht="17.399999999999999" x14ac:dyDescent="0.25">
      <c r="A1765" s="16"/>
      <c r="B1765" s="17"/>
      <c r="C1765" s="2"/>
      <c r="D1765" s="2"/>
      <c r="E1765" s="2"/>
      <c r="F1765" s="2"/>
      <c r="G1765" s="2"/>
      <c r="H1765" s="2"/>
      <c r="I1765" s="5"/>
    </row>
    <row r="1766" spans="1:9" ht="17.399999999999999" x14ac:dyDescent="0.25">
      <c r="A1766" s="16"/>
      <c r="B1766" s="17"/>
      <c r="C1766" s="2"/>
      <c r="D1766" s="2"/>
      <c r="E1766" s="2"/>
      <c r="F1766" s="2"/>
      <c r="G1766" s="2"/>
      <c r="H1766" s="2"/>
      <c r="I1766" s="5"/>
    </row>
    <row r="1767" spans="1:9" ht="17.399999999999999" x14ac:dyDescent="0.25">
      <c r="A1767" s="16"/>
      <c r="B1767" s="17"/>
      <c r="C1767" s="2"/>
      <c r="D1767" s="2"/>
      <c r="E1767" s="2"/>
      <c r="F1767" s="2"/>
      <c r="G1767" s="2"/>
      <c r="H1767" s="2"/>
      <c r="I1767" s="5"/>
    </row>
    <row r="1768" spans="1:9" ht="17.399999999999999" x14ac:dyDescent="0.25">
      <c r="A1768" s="16"/>
      <c r="B1768" s="17"/>
      <c r="C1768" s="2"/>
      <c r="D1768" s="2"/>
      <c r="E1768" s="2"/>
      <c r="F1768" s="2"/>
      <c r="G1768" s="2"/>
      <c r="H1768" s="2"/>
      <c r="I1768" s="5"/>
    </row>
    <row r="1769" spans="1:9" ht="17.399999999999999" x14ac:dyDescent="0.25">
      <c r="A1769" s="16"/>
      <c r="B1769" s="17"/>
      <c r="C1769" s="2"/>
      <c r="D1769" s="2"/>
      <c r="E1769" s="2"/>
      <c r="F1769" s="2"/>
      <c r="G1769" s="2"/>
      <c r="H1769" s="2"/>
      <c r="I1769" s="5"/>
    </row>
    <row r="1770" spans="1:9" ht="17.399999999999999" x14ac:dyDescent="0.25">
      <c r="A1770" s="16"/>
      <c r="B1770" s="17"/>
      <c r="C1770" s="2"/>
      <c r="D1770" s="2"/>
      <c r="E1770" s="2"/>
      <c r="F1770" s="2"/>
      <c r="G1770" s="2"/>
      <c r="H1770" s="2"/>
      <c r="I1770" s="5"/>
    </row>
    <row r="1771" spans="1:9" ht="17.399999999999999" x14ac:dyDescent="0.25">
      <c r="A1771" s="16"/>
      <c r="B1771" s="17"/>
      <c r="C1771" s="2"/>
      <c r="D1771" s="2"/>
      <c r="E1771" s="2"/>
      <c r="F1771" s="2"/>
      <c r="G1771" s="2"/>
      <c r="H1771" s="2"/>
      <c r="I1771" s="5"/>
    </row>
    <row r="1772" spans="1:9" ht="17.399999999999999" x14ac:dyDescent="0.25">
      <c r="A1772" s="16"/>
      <c r="B1772" s="17"/>
      <c r="C1772" s="2"/>
      <c r="D1772" s="2"/>
      <c r="E1772" s="2"/>
      <c r="F1772" s="2"/>
      <c r="G1772" s="2"/>
      <c r="H1772" s="2"/>
      <c r="I1772" s="5"/>
    </row>
    <row r="1773" spans="1:9" ht="17.399999999999999" x14ac:dyDescent="0.25">
      <c r="A1773" s="16"/>
      <c r="B1773" s="17"/>
      <c r="C1773" s="2"/>
      <c r="D1773" s="2"/>
      <c r="E1773" s="2"/>
      <c r="F1773" s="2"/>
      <c r="G1773" s="2"/>
      <c r="H1773" s="2"/>
      <c r="I1773" s="5"/>
    </row>
    <row r="1774" spans="1:9" ht="17.399999999999999" x14ac:dyDescent="0.25">
      <c r="A1774" s="16"/>
      <c r="B1774" s="17"/>
      <c r="C1774" s="2"/>
      <c r="D1774" s="2"/>
      <c r="E1774" s="2"/>
      <c r="F1774" s="2"/>
      <c r="G1774" s="2"/>
      <c r="H1774" s="2"/>
      <c r="I1774" s="5"/>
    </row>
    <row r="1775" spans="1:9" ht="17.399999999999999" x14ac:dyDescent="0.25">
      <c r="A1775" s="16"/>
      <c r="B1775" s="17"/>
      <c r="C1775" s="2"/>
      <c r="D1775" s="2"/>
      <c r="E1775" s="2"/>
      <c r="F1775" s="2"/>
      <c r="G1775" s="2"/>
      <c r="H1775" s="2"/>
      <c r="I1775" s="5"/>
    </row>
    <row r="1776" spans="1:9" ht="17.399999999999999" x14ac:dyDescent="0.25">
      <c r="A1776" s="16"/>
      <c r="B1776" s="17"/>
      <c r="C1776" s="2"/>
      <c r="D1776" s="2"/>
      <c r="E1776" s="2"/>
      <c r="F1776" s="2"/>
      <c r="G1776" s="2"/>
      <c r="H1776" s="2"/>
      <c r="I1776" s="5"/>
    </row>
    <row r="1777" spans="1:9" ht="17.399999999999999" x14ac:dyDescent="0.25">
      <c r="A1777" s="16"/>
      <c r="B1777" s="17"/>
      <c r="C1777" s="2"/>
      <c r="D1777" s="2"/>
      <c r="E1777" s="2"/>
      <c r="F1777" s="2"/>
      <c r="G1777" s="2"/>
      <c r="H1777" s="2"/>
      <c r="I1777" s="5"/>
    </row>
    <row r="1778" spans="1:9" ht="17.399999999999999" x14ac:dyDescent="0.25">
      <c r="A1778" s="16"/>
      <c r="B1778" s="17"/>
      <c r="C1778" s="2"/>
      <c r="D1778" s="2"/>
      <c r="E1778" s="2"/>
      <c r="F1778" s="2"/>
      <c r="G1778" s="2"/>
      <c r="H1778" s="2"/>
      <c r="I1778" s="5"/>
    </row>
    <row r="1779" spans="1:9" ht="17.399999999999999" x14ac:dyDescent="0.25">
      <c r="A1779" s="16"/>
      <c r="B1779" s="17"/>
      <c r="C1779" s="2"/>
      <c r="D1779" s="2"/>
      <c r="E1779" s="2"/>
      <c r="F1779" s="2"/>
      <c r="G1779" s="2"/>
      <c r="H1779" s="2"/>
      <c r="I1779" s="5"/>
    </row>
    <row r="1780" spans="1:9" ht="17.399999999999999" x14ac:dyDescent="0.25">
      <c r="A1780" s="16"/>
      <c r="B1780" s="17"/>
      <c r="C1780" s="2"/>
      <c r="D1780" s="2"/>
      <c r="E1780" s="2"/>
      <c r="F1780" s="2"/>
      <c r="G1780" s="2"/>
      <c r="H1780" s="2"/>
      <c r="I1780" s="5"/>
    </row>
    <row r="1781" spans="1:9" ht="17.399999999999999" x14ac:dyDescent="0.25">
      <c r="A1781" s="16"/>
      <c r="B1781" s="17"/>
      <c r="C1781" s="2"/>
      <c r="D1781" s="2"/>
      <c r="E1781" s="2"/>
      <c r="F1781" s="2"/>
      <c r="G1781" s="2"/>
      <c r="H1781" s="2"/>
      <c r="I1781" s="5"/>
    </row>
    <row r="1782" spans="1:9" ht="17.399999999999999" x14ac:dyDescent="0.25">
      <c r="A1782" s="16"/>
      <c r="B1782" s="17"/>
      <c r="C1782" s="2"/>
      <c r="D1782" s="2"/>
      <c r="E1782" s="2"/>
      <c r="F1782" s="2"/>
      <c r="G1782" s="2"/>
      <c r="H1782" s="2"/>
      <c r="I1782" s="5"/>
    </row>
    <row r="1783" spans="1:9" ht="17.399999999999999" x14ac:dyDescent="0.25">
      <c r="A1783" s="16"/>
      <c r="B1783" s="17"/>
      <c r="C1783" s="2"/>
      <c r="D1783" s="2"/>
      <c r="E1783" s="2"/>
      <c r="F1783" s="2"/>
      <c r="G1783" s="2"/>
      <c r="H1783" s="2"/>
      <c r="I1783" s="5"/>
    </row>
    <row r="1784" spans="1:9" ht="17.399999999999999" x14ac:dyDescent="0.25">
      <c r="A1784" s="16"/>
      <c r="B1784" s="17"/>
      <c r="C1784" s="2"/>
      <c r="D1784" s="2"/>
      <c r="E1784" s="2"/>
      <c r="F1784" s="2"/>
      <c r="G1784" s="2"/>
      <c r="H1784" s="2"/>
      <c r="I1784" s="5"/>
    </row>
    <row r="1785" spans="1:9" ht="17.399999999999999" x14ac:dyDescent="0.25">
      <c r="A1785" s="16"/>
      <c r="B1785" s="17"/>
      <c r="C1785" s="2"/>
      <c r="D1785" s="2"/>
      <c r="E1785" s="2"/>
      <c r="F1785" s="2"/>
      <c r="G1785" s="2"/>
      <c r="H1785" s="2"/>
      <c r="I1785" s="5"/>
    </row>
    <row r="1786" spans="1:9" ht="17.399999999999999" x14ac:dyDescent="0.25">
      <c r="A1786" s="16"/>
      <c r="B1786" s="17"/>
      <c r="C1786" s="2"/>
      <c r="D1786" s="2"/>
      <c r="E1786" s="2"/>
      <c r="F1786" s="2"/>
      <c r="G1786" s="2"/>
      <c r="H1786" s="2"/>
      <c r="I1786" s="5"/>
    </row>
    <row r="1787" spans="1:9" ht="17.399999999999999" x14ac:dyDescent="0.25">
      <c r="A1787" s="16"/>
      <c r="B1787" s="17"/>
      <c r="C1787" s="2"/>
      <c r="D1787" s="2"/>
      <c r="E1787" s="2"/>
      <c r="F1787" s="2"/>
      <c r="G1787" s="2"/>
      <c r="H1787" s="2"/>
      <c r="I1787" s="5"/>
    </row>
    <row r="1788" spans="1:9" ht="17.399999999999999" x14ac:dyDescent="0.25">
      <c r="A1788" s="16"/>
      <c r="B1788" s="17"/>
      <c r="C1788" s="2"/>
      <c r="D1788" s="2"/>
      <c r="E1788" s="2"/>
      <c r="F1788" s="2"/>
      <c r="G1788" s="2"/>
      <c r="H1788" s="2"/>
      <c r="I1788" s="5"/>
    </row>
    <row r="1789" spans="1:9" ht="17.399999999999999" x14ac:dyDescent="0.25">
      <c r="A1789" s="16"/>
      <c r="B1789" s="17"/>
      <c r="C1789" s="2"/>
      <c r="D1789" s="2"/>
      <c r="E1789" s="2"/>
      <c r="F1789" s="2"/>
      <c r="G1789" s="2"/>
      <c r="H1789" s="2"/>
      <c r="I1789" s="5"/>
    </row>
    <row r="1790" spans="1:9" ht="17.399999999999999" x14ac:dyDescent="0.25">
      <c r="A1790" s="16"/>
      <c r="B1790" s="17"/>
      <c r="C1790" s="2"/>
      <c r="D1790" s="2"/>
      <c r="E1790" s="2"/>
      <c r="F1790" s="2"/>
      <c r="G1790" s="2"/>
      <c r="H1790" s="2"/>
      <c r="I1790" s="5"/>
    </row>
    <row r="1791" spans="1:9" ht="17.399999999999999" x14ac:dyDescent="0.25">
      <c r="A1791" s="16"/>
      <c r="B1791" s="17"/>
      <c r="C1791" s="2"/>
      <c r="D1791" s="2"/>
      <c r="E1791" s="2"/>
      <c r="F1791" s="2"/>
      <c r="G1791" s="2"/>
      <c r="H1791" s="2"/>
      <c r="I1791" s="5"/>
    </row>
    <row r="1792" spans="1:9" ht="17.399999999999999" x14ac:dyDescent="0.25">
      <c r="A1792" s="16"/>
      <c r="B1792" s="17"/>
      <c r="C1792" s="2"/>
      <c r="D1792" s="2"/>
      <c r="E1792" s="2"/>
      <c r="F1792" s="2"/>
      <c r="G1792" s="2"/>
      <c r="H1792" s="2"/>
      <c r="I1792" s="5"/>
    </row>
    <row r="1793" spans="1:9" ht="17.399999999999999" x14ac:dyDescent="0.25">
      <c r="A1793" s="16"/>
      <c r="B1793" s="17"/>
      <c r="C1793" s="2"/>
      <c r="D1793" s="2"/>
      <c r="E1793" s="2"/>
      <c r="F1793" s="2"/>
      <c r="G1793" s="2"/>
      <c r="H1793" s="2"/>
      <c r="I1793" s="5"/>
    </row>
    <row r="1794" spans="1:9" ht="17.399999999999999" x14ac:dyDescent="0.25">
      <c r="A1794" s="16"/>
      <c r="B1794" s="17"/>
      <c r="C1794" s="2"/>
      <c r="D1794" s="2"/>
      <c r="E1794" s="2"/>
      <c r="F1794" s="2"/>
      <c r="G1794" s="2"/>
      <c r="H1794" s="2"/>
      <c r="I1794" s="5"/>
    </row>
    <row r="1795" spans="1:9" ht="17.399999999999999" x14ac:dyDescent="0.25">
      <c r="A1795" s="16"/>
      <c r="B1795" s="17"/>
      <c r="C1795" s="2"/>
      <c r="D1795" s="2"/>
      <c r="E1795" s="2"/>
      <c r="F1795" s="2"/>
      <c r="G1795" s="2"/>
      <c r="H1795" s="2"/>
      <c r="I1795" s="5"/>
    </row>
    <row r="1796" spans="1:9" ht="17.399999999999999" x14ac:dyDescent="0.25">
      <c r="A1796" s="16"/>
      <c r="B1796" s="17"/>
      <c r="C1796" s="2"/>
      <c r="D1796" s="2"/>
      <c r="E1796" s="2"/>
      <c r="F1796" s="2"/>
      <c r="G1796" s="2"/>
      <c r="H1796" s="2"/>
      <c r="I1796" s="5"/>
    </row>
    <row r="1797" spans="1:9" ht="17.399999999999999" x14ac:dyDescent="0.25">
      <c r="A1797" s="16"/>
      <c r="B1797" s="17"/>
      <c r="C1797" s="2"/>
      <c r="D1797" s="2"/>
      <c r="E1797" s="2"/>
      <c r="F1797" s="2"/>
      <c r="G1797" s="2"/>
      <c r="H1797" s="2"/>
      <c r="I1797" s="5"/>
    </row>
    <row r="1798" spans="1:9" ht="17.399999999999999" x14ac:dyDescent="0.25">
      <c r="A1798" s="16"/>
      <c r="B1798" s="17"/>
      <c r="C1798" s="2"/>
      <c r="D1798" s="2"/>
      <c r="E1798" s="2"/>
      <c r="F1798" s="2"/>
      <c r="G1798" s="2"/>
      <c r="H1798" s="2"/>
      <c r="I1798" s="5"/>
    </row>
    <row r="1799" spans="1:9" ht="17.399999999999999" x14ac:dyDescent="0.25">
      <c r="A1799" s="16"/>
      <c r="B1799" s="17"/>
      <c r="C1799" s="2"/>
      <c r="D1799" s="2"/>
      <c r="E1799" s="2"/>
      <c r="F1799" s="2"/>
      <c r="G1799" s="2"/>
      <c r="H1799" s="2"/>
      <c r="I1799" s="5"/>
    </row>
    <row r="1800" spans="1:9" ht="17.399999999999999" x14ac:dyDescent="0.25">
      <c r="A1800" s="16"/>
      <c r="B1800" s="17"/>
      <c r="C1800" s="2"/>
      <c r="D1800" s="2"/>
      <c r="E1800" s="2"/>
      <c r="F1800" s="2"/>
      <c r="G1800" s="2"/>
      <c r="H1800" s="2"/>
      <c r="I1800" s="5"/>
    </row>
    <row r="1801" spans="1:9" ht="17.399999999999999" x14ac:dyDescent="0.25">
      <c r="A1801" s="16"/>
      <c r="B1801" s="17"/>
      <c r="C1801" s="2"/>
      <c r="D1801" s="2"/>
      <c r="E1801" s="2"/>
      <c r="F1801" s="2"/>
      <c r="G1801" s="2"/>
      <c r="H1801" s="2"/>
      <c r="I1801" s="5"/>
    </row>
    <row r="1802" spans="1:9" ht="17.399999999999999" x14ac:dyDescent="0.25">
      <c r="A1802" s="16"/>
      <c r="B1802" s="17"/>
      <c r="C1802" s="2"/>
      <c r="D1802" s="2"/>
      <c r="E1802" s="2"/>
      <c r="F1802" s="2"/>
      <c r="G1802" s="2"/>
      <c r="H1802" s="2"/>
      <c r="I1802" s="5"/>
    </row>
    <row r="1803" spans="1:9" ht="17.399999999999999" x14ac:dyDescent="0.25">
      <c r="A1803" s="16"/>
      <c r="B1803" s="17"/>
      <c r="C1803" s="2"/>
      <c r="D1803" s="2"/>
      <c r="E1803" s="2"/>
      <c r="F1803" s="2"/>
      <c r="G1803" s="2"/>
      <c r="H1803" s="2"/>
      <c r="I1803" s="5"/>
    </row>
    <row r="1804" spans="1:9" ht="17.399999999999999" x14ac:dyDescent="0.25">
      <c r="A1804" s="16"/>
      <c r="B1804" s="17"/>
      <c r="C1804" s="2"/>
      <c r="D1804" s="2"/>
      <c r="E1804" s="2"/>
      <c r="F1804" s="2"/>
      <c r="G1804" s="2"/>
      <c r="H1804" s="2"/>
      <c r="I1804" s="5"/>
    </row>
    <row r="1805" spans="1:9" ht="17.399999999999999" x14ac:dyDescent="0.25">
      <c r="A1805" s="16"/>
      <c r="B1805" s="17"/>
      <c r="C1805" s="2"/>
      <c r="D1805" s="2"/>
      <c r="E1805" s="2"/>
      <c r="F1805" s="2"/>
      <c r="G1805" s="2"/>
      <c r="H1805" s="2"/>
      <c r="I1805" s="5"/>
    </row>
    <row r="1806" spans="1:9" ht="17.399999999999999" x14ac:dyDescent="0.25">
      <c r="A1806" s="16"/>
      <c r="B1806" s="17"/>
      <c r="C1806" s="2"/>
      <c r="D1806" s="2"/>
      <c r="E1806" s="2"/>
      <c r="F1806" s="2"/>
      <c r="G1806" s="2"/>
      <c r="H1806" s="2"/>
      <c r="I1806" s="5"/>
    </row>
    <row r="1807" spans="1:9" ht="17.399999999999999" x14ac:dyDescent="0.25">
      <c r="A1807" s="16"/>
      <c r="B1807" s="17"/>
      <c r="C1807" s="2"/>
      <c r="D1807" s="2"/>
      <c r="E1807" s="2"/>
      <c r="F1807" s="2"/>
      <c r="G1807" s="2"/>
      <c r="H1807" s="2"/>
      <c r="I1807" s="5"/>
    </row>
    <row r="1808" spans="1:9" ht="17.399999999999999" x14ac:dyDescent="0.25">
      <c r="A1808" s="16"/>
      <c r="B1808" s="17"/>
      <c r="C1808" s="2"/>
      <c r="D1808" s="2"/>
      <c r="E1808" s="2"/>
      <c r="F1808" s="2"/>
      <c r="G1808" s="2"/>
      <c r="H1808" s="2"/>
      <c r="I1808" s="5"/>
    </row>
    <row r="1809" spans="1:9" ht="17.399999999999999" x14ac:dyDescent="0.25">
      <c r="A1809" s="16"/>
      <c r="B1809" s="17"/>
      <c r="C1809" s="2"/>
      <c r="D1809" s="2"/>
      <c r="E1809" s="2"/>
      <c r="F1809" s="2"/>
      <c r="G1809" s="2"/>
      <c r="H1809" s="2"/>
      <c r="I1809" s="5"/>
    </row>
    <row r="1810" spans="1:9" ht="17.399999999999999" x14ac:dyDescent="0.25">
      <c r="A1810" s="16"/>
      <c r="B1810" s="17"/>
      <c r="C1810" s="2"/>
      <c r="D1810" s="2"/>
      <c r="E1810" s="2"/>
      <c r="F1810" s="2"/>
      <c r="G1810" s="2"/>
      <c r="H1810" s="2"/>
      <c r="I1810" s="5"/>
    </row>
    <row r="1811" spans="1:9" ht="17.399999999999999" x14ac:dyDescent="0.25">
      <c r="A1811" s="16"/>
      <c r="B1811" s="17"/>
      <c r="C1811" s="2"/>
      <c r="D1811" s="2"/>
      <c r="E1811" s="2"/>
      <c r="F1811" s="2"/>
      <c r="G1811" s="2"/>
      <c r="H1811" s="2"/>
      <c r="I1811" s="5"/>
    </row>
    <row r="1812" spans="1:9" ht="17.399999999999999" x14ac:dyDescent="0.25">
      <c r="A1812" s="16"/>
      <c r="B1812" s="17"/>
      <c r="C1812" s="2"/>
      <c r="D1812" s="2"/>
      <c r="E1812" s="2"/>
      <c r="F1812" s="2"/>
      <c r="G1812" s="2"/>
      <c r="H1812" s="2"/>
      <c r="I1812" s="5"/>
    </row>
    <row r="1813" spans="1:9" ht="17.399999999999999" x14ac:dyDescent="0.25">
      <c r="A1813" s="16"/>
      <c r="B1813" s="17"/>
      <c r="C1813" s="2"/>
      <c r="D1813" s="2"/>
      <c r="E1813" s="2"/>
      <c r="F1813" s="2"/>
      <c r="G1813" s="2"/>
      <c r="H1813" s="2"/>
      <c r="I1813" s="5"/>
    </row>
    <row r="1814" spans="1:9" ht="17.399999999999999" x14ac:dyDescent="0.25">
      <c r="A1814" s="16"/>
      <c r="B1814" s="17"/>
      <c r="C1814" s="2"/>
      <c r="D1814" s="2"/>
      <c r="E1814" s="2"/>
      <c r="F1814" s="2"/>
      <c r="G1814" s="2"/>
      <c r="H1814" s="2"/>
      <c r="I1814" s="5"/>
    </row>
    <row r="1815" spans="1:9" ht="17.399999999999999" x14ac:dyDescent="0.25">
      <c r="A1815" s="16"/>
      <c r="B1815" s="17"/>
      <c r="C1815" s="2"/>
      <c r="D1815" s="2"/>
      <c r="E1815" s="2"/>
      <c r="F1815" s="2"/>
      <c r="G1815" s="2"/>
      <c r="H1815" s="2"/>
      <c r="I1815" s="5"/>
    </row>
    <row r="1816" spans="1:9" ht="17.399999999999999" x14ac:dyDescent="0.25">
      <c r="A1816" s="16"/>
      <c r="B1816" s="17"/>
      <c r="C1816" s="2"/>
      <c r="D1816" s="2"/>
      <c r="E1816" s="2"/>
      <c r="F1816" s="2"/>
      <c r="G1816" s="2"/>
      <c r="H1816" s="2"/>
      <c r="I1816" s="5"/>
    </row>
    <row r="1817" spans="1:9" ht="17.399999999999999" x14ac:dyDescent="0.25">
      <c r="A1817" s="16"/>
      <c r="B1817" s="17"/>
      <c r="C1817" s="2"/>
      <c r="D1817" s="2"/>
      <c r="E1817" s="2"/>
      <c r="F1817" s="2"/>
      <c r="G1817" s="2"/>
      <c r="H1817" s="2"/>
      <c r="I1817" s="5"/>
    </row>
    <row r="1818" spans="1:9" ht="17.399999999999999" x14ac:dyDescent="0.25">
      <c r="A1818" s="16"/>
      <c r="B1818" s="17"/>
      <c r="C1818" s="2"/>
      <c r="D1818" s="2"/>
      <c r="E1818" s="2"/>
      <c r="F1818" s="2"/>
      <c r="G1818" s="2"/>
      <c r="H1818" s="2"/>
      <c r="I1818" s="5"/>
    </row>
    <row r="1819" spans="1:9" ht="17.399999999999999" x14ac:dyDescent="0.25">
      <c r="A1819" s="16"/>
      <c r="B1819" s="17"/>
      <c r="C1819" s="2"/>
      <c r="D1819" s="2"/>
      <c r="E1819" s="2"/>
      <c r="F1819" s="2"/>
      <c r="G1819" s="2"/>
      <c r="H1819" s="2"/>
      <c r="I1819" s="5"/>
    </row>
    <row r="1820" spans="1:9" ht="17.399999999999999" x14ac:dyDescent="0.25">
      <c r="A1820" s="16"/>
      <c r="B1820" s="17"/>
      <c r="C1820" s="2"/>
      <c r="D1820" s="2"/>
      <c r="E1820" s="2"/>
      <c r="F1820" s="2"/>
      <c r="G1820" s="2"/>
      <c r="H1820" s="2"/>
      <c r="I1820" s="5"/>
    </row>
    <row r="1821" spans="1:9" ht="17.399999999999999" x14ac:dyDescent="0.25">
      <c r="A1821" s="16"/>
      <c r="B1821" s="17"/>
      <c r="C1821" s="2"/>
      <c r="D1821" s="2"/>
      <c r="E1821" s="2"/>
      <c r="F1821" s="2"/>
      <c r="G1821" s="2"/>
      <c r="H1821" s="2"/>
      <c r="I1821" s="5"/>
    </row>
    <row r="1822" spans="1:9" ht="17.399999999999999" x14ac:dyDescent="0.25">
      <c r="A1822" s="16"/>
      <c r="B1822" s="17"/>
      <c r="C1822" s="2"/>
      <c r="D1822" s="2"/>
      <c r="E1822" s="2"/>
      <c r="F1822" s="2"/>
      <c r="G1822" s="2"/>
      <c r="H1822" s="2"/>
      <c r="I1822" s="5"/>
    </row>
    <row r="1823" spans="1:9" ht="17.399999999999999" x14ac:dyDescent="0.25">
      <c r="A1823" s="16"/>
      <c r="B1823" s="17"/>
      <c r="C1823" s="2"/>
      <c r="D1823" s="2"/>
      <c r="E1823" s="2"/>
      <c r="F1823" s="2"/>
      <c r="G1823" s="2"/>
      <c r="H1823" s="2"/>
      <c r="I1823" s="5"/>
    </row>
    <row r="1824" spans="1:9" ht="17.399999999999999" x14ac:dyDescent="0.25">
      <c r="A1824" s="16"/>
      <c r="B1824" s="17"/>
      <c r="C1824" s="2"/>
      <c r="D1824" s="2"/>
      <c r="E1824" s="2"/>
      <c r="F1824" s="2"/>
      <c r="G1824" s="2"/>
      <c r="H1824" s="2"/>
      <c r="I1824" s="5"/>
    </row>
    <row r="1825" spans="1:9" ht="17.399999999999999" x14ac:dyDescent="0.25">
      <c r="A1825" s="16"/>
      <c r="B1825" s="17"/>
      <c r="C1825" s="2"/>
      <c r="D1825" s="2"/>
      <c r="E1825" s="2"/>
      <c r="F1825" s="2"/>
      <c r="G1825" s="2"/>
      <c r="H1825" s="2"/>
      <c r="I1825" s="5"/>
    </row>
    <row r="1826" spans="1:9" ht="17.399999999999999" x14ac:dyDescent="0.25">
      <c r="A1826" s="16"/>
      <c r="B1826" s="17"/>
      <c r="C1826" s="2"/>
      <c r="D1826" s="2"/>
      <c r="E1826" s="2"/>
      <c r="F1826" s="2"/>
      <c r="G1826" s="2"/>
      <c r="H1826" s="2"/>
      <c r="I1826" s="5"/>
    </row>
    <row r="1827" spans="1:9" ht="17.399999999999999" x14ac:dyDescent="0.25">
      <c r="A1827" s="16"/>
      <c r="B1827" s="17"/>
      <c r="C1827" s="2"/>
      <c r="D1827" s="2"/>
      <c r="E1827" s="2"/>
      <c r="F1827" s="2"/>
      <c r="G1827" s="2"/>
      <c r="H1827" s="2"/>
      <c r="I1827" s="5"/>
    </row>
    <row r="1828" spans="1:9" ht="17.399999999999999" x14ac:dyDescent="0.25">
      <c r="A1828" s="16"/>
      <c r="B1828" s="17"/>
      <c r="C1828" s="2"/>
      <c r="D1828" s="2"/>
      <c r="E1828" s="2"/>
      <c r="F1828" s="2"/>
      <c r="G1828" s="2"/>
      <c r="H1828" s="2"/>
      <c r="I1828" s="5"/>
    </row>
    <row r="1829" spans="1:9" ht="17.399999999999999" x14ac:dyDescent="0.25">
      <c r="A1829" s="16"/>
      <c r="B1829" s="17"/>
      <c r="C1829" s="2"/>
      <c r="D1829" s="2"/>
      <c r="E1829" s="2"/>
      <c r="F1829" s="2"/>
      <c r="G1829" s="2"/>
      <c r="H1829" s="2"/>
      <c r="I1829" s="5"/>
    </row>
    <row r="1830" spans="1:9" ht="17.399999999999999" x14ac:dyDescent="0.25">
      <c r="A1830" s="16"/>
      <c r="B1830" s="17"/>
      <c r="C1830" s="2"/>
      <c r="D1830" s="2"/>
      <c r="E1830" s="2"/>
      <c r="F1830" s="2"/>
      <c r="G1830" s="2"/>
      <c r="H1830" s="2"/>
      <c r="I1830" s="5"/>
    </row>
    <row r="1831" spans="1:9" ht="17.399999999999999" x14ac:dyDescent="0.25">
      <c r="A1831" s="16"/>
      <c r="B1831" s="17"/>
      <c r="C1831" s="2"/>
      <c r="D1831" s="2"/>
      <c r="E1831" s="2"/>
      <c r="F1831" s="2"/>
      <c r="G1831" s="2"/>
      <c r="H1831" s="2"/>
      <c r="I1831" s="5"/>
    </row>
    <row r="1832" spans="1:9" ht="17.399999999999999" x14ac:dyDescent="0.25">
      <c r="A1832" s="16"/>
      <c r="B1832" s="17"/>
      <c r="C1832" s="2"/>
      <c r="D1832" s="2"/>
      <c r="E1832" s="2"/>
      <c r="F1832" s="2"/>
      <c r="G1832" s="2"/>
      <c r="H1832" s="2"/>
      <c r="I1832" s="5"/>
    </row>
    <row r="1833" spans="1:9" ht="17.399999999999999" x14ac:dyDescent="0.25">
      <c r="A1833" s="16"/>
      <c r="B1833" s="17"/>
      <c r="C1833" s="2"/>
      <c r="D1833" s="2"/>
      <c r="E1833" s="2"/>
      <c r="F1833" s="2"/>
      <c r="G1833" s="2"/>
      <c r="H1833" s="2"/>
      <c r="I1833" s="5"/>
    </row>
    <row r="1834" spans="1:9" ht="17.399999999999999" x14ac:dyDescent="0.25">
      <c r="A1834" s="16"/>
      <c r="B1834" s="17"/>
      <c r="C1834" s="2"/>
      <c r="D1834" s="2"/>
      <c r="E1834" s="2"/>
      <c r="F1834" s="2"/>
      <c r="G1834" s="2"/>
      <c r="H1834" s="2"/>
      <c r="I1834" s="5"/>
    </row>
    <row r="1835" spans="1:9" ht="17.399999999999999" x14ac:dyDescent="0.25">
      <c r="A1835" s="16"/>
      <c r="B1835" s="17"/>
      <c r="C1835" s="2"/>
      <c r="D1835" s="2"/>
      <c r="E1835" s="2"/>
      <c r="F1835" s="2"/>
      <c r="G1835" s="2"/>
      <c r="H1835" s="2"/>
      <c r="I1835" s="5"/>
    </row>
    <row r="1836" spans="1:9" ht="17.399999999999999" x14ac:dyDescent="0.25">
      <c r="A1836" s="16"/>
      <c r="B1836" s="17"/>
      <c r="C1836" s="2"/>
      <c r="D1836" s="2"/>
      <c r="E1836" s="2"/>
      <c r="F1836" s="2"/>
      <c r="G1836" s="2"/>
      <c r="H1836" s="2"/>
      <c r="I1836" s="5"/>
    </row>
    <row r="1837" spans="1:9" ht="17.399999999999999" x14ac:dyDescent="0.25">
      <c r="A1837" s="16"/>
      <c r="B1837" s="17"/>
      <c r="C1837" s="2"/>
      <c r="D1837" s="2"/>
      <c r="E1837" s="2"/>
      <c r="F1837" s="2"/>
      <c r="G1837" s="2"/>
      <c r="H1837" s="2"/>
      <c r="I1837" s="5"/>
    </row>
    <row r="1838" spans="1:9" ht="17.399999999999999" x14ac:dyDescent="0.25">
      <c r="A1838" s="16"/>
      <c r="B1838" s="17"/>
      <c r="C1838" s="2"/>
      <c r="D1838" s="2"/>
      <c r="E1838" s="2"/>
      <c r="F1838" s="2"/>
      <c r="G1838" s="2"/>
      <c r="H1838" s="2"/>
      <c r="I1838" s="5"/>
    </row>
    <row r="1839" spans="1:9" ht="17.399999999999999" x14ac:dyDescent="0.25">
      <c r="A1839" s="16"/>
      <c r="B1839" s="17"/>
      <c r="C1839" s="2"/>
      <c r="D1839" s="2"/>
      <c r="E1839" s="2"/>
      <c r="F1839" s="2"/>
      <c r="G1839" s="2"/>
      <c r="H1839" s="2"/>
      <c r="I1839" s="5"/>
    </row>
    <row r="1840" spans="1:9" ht="17.399999999999999" x14ac:dyDescent="0.25">
      <c r="A1840" s="16"/>
      <c r="B1840" s="17"/>
      <c r="C1840" s="2"/>
      <c r="D1840" s="2"/>
      <c r="E1840" s="2"/>
      <c r="F1840" s="2"/>
      <c r="G1840" s="2"/>
      <c r="H1840" s="2"/>
      <c r="I1840" s="5"/>
    </row>
    <row r="1841" spans="1:9" ht="17.399999999999999" x14ac:dyDescent="0.25">
      <c r="A1841" s="16"/>
      <c r="B1841" s="17"/>
      <c r="C1841" s="2"/>
      <c r="D1841" s="2"/>
      <c r="E1841" s="2"/>
      <c r="F1841" s="2"/>
      <c r="G1841" s="2"/>
      <c r="H1841" s="2"/>
      <c r="I1841" s="5"/>
    </row>
    <row r="1842" spans="1:9" ht="17.399999999999999" x14ac:dyDescent="0.25">
      <c r="A1842" s="16"/>
      <c r="B1842" s="17"/>
      <c r="C1842" s="2"/>
      <c r="D1842" s="2"/>
      <c r="E1842" s="2"/>
      <c r="F1842" s="2"/>
      <c r="G1842" s="2"/>
      <c r="H1842" s="2"/>
      <c r="I1842" s="5"/>
    </row>
    <row r="1843" spans="1:9" ht="17.399999999999999" x14ac:dyDescent="0.25">
      <c r="A1843" s="16"/>
      <c r="B1843" s="17"/>
      <c r="C1843" s="2"/>
      <c r="D1843" s="2"/>
      <c r="E1843" s="2"/>
      <c r="F1843" s="2"/>
      <c r="G1843" s="2"/>
      <c r="H1843" s="2"/>
      <c r="I1843" s="5"/>
    </row>
    <row r="1844" spans="1:9" ht="17.399999999999999" x14ac:dyDescent="0.25">
      <c r="A1844" s="16"/>
      <c r="B1844" s="17"/>
      <c r="C1844" s="2"/>
      <c r="D1844" s="2"/>
      <c r="E1844" s="2"/>
      <c r="F1844" s="2"/>
      <c r="G1844" s="2"/>
      <c r="H1844" s="2"/>
      <c r="I1844" s="5"/>
    </row>
    <row r="1845" spans="1:9" ht="17.399999999999999" x14ac:dyDescent="0.25">
      <c r="A1845" s="16"/>
      <c r="B1845" s="17"/>
      <c r="C1845" s="2"/>
      <c r="D1845" s="2"/>
      <c r="E1845" s="2"/>
      <c r="F1845" s="2"/>
      <c r="G1845" s="2"/>
      <c r="H1845" s="2"/>
      <c r="I1845" s="5"/>
    </row>
    <row r="1846" spans="1:9" ht="17.399999999999999" x14ac:dyDescent="0.25">
      <c r="A1846" s="16"/>
      <c r="B1846" s="17"/>
      <c r="C1846" s="2"/>
      <c r="D1846" s="2"/>
      <c r="E1846" s="2"/>
      <c r="F1846" s="2"/>
      <c r="G1846" s="2"/>
      <c r="H1846" s="2"/>
      <c r="I1846" s="5"/>
    </row>
    <row r="1847" spans="1:9" ht="17.399999999999999" x14ac:dyDescent="0.25">
      <c r="A1847" s="16"/>
      <c r="B1847" s="17"/>
      <c r="C1847" s="2"/>
      <c r="D1847" s="2"/>
      <c r="E1847" s="2"/>
      <c r="F1847" s="2"/>
      <c r="G1847" s="2"/>
      <c r="H1847" s="2"/>
      <c r="I1847" s="5"/>
    </row>
    <row r="1848" spans="1:9" ht="17.399999999999999" x14ac:dyDescent="0.25">
      <c r="A1848" s="16"/>
      <c r="B1848" s="17"/>
      <c r="C1848" s="2"/>
      <c r="D1848" s="2"/>
      <c r="E1848" s="2"/>
      <c r="F1848" s="2"/>
      <c r="G1848" s="2"/>
      <c r="H1848" s="2"/>
      <c r="I1848" s="5"/>
    </row>
    <row r="1849" spans="1:9" ht="17.399999999999999" x14ac:dyDescent="0.25">
      <c r="A1849" s="16"/>
      <c r="B1849" s="17"/>
      <c r="C1849" s="2"/>
      <c r="D1849" s="2"/>
      <c r="E1849" s="2"/>
      <c r="F1849" s="2"/>
      <c r="G1849" s="2"/>
      <c r="H1849" s="2"/>
      <c r="I1849" s="5"/>
    </row>
    <row r="1850" spans="1:9" ht="17.399999999999999" x14ac:dyDescent="0.25">
      <c r="A1850" s="16"/>
      <c r="B1850" s="17"/>
      <c r="C1850" s="2"/>
      <c r="D1850" s="2"/>
      <c r="E1850" s="2"/>
      <c r="F1850" s="2"/>
      <c r="G1850" s="2"/>
      <c r="H1850" s="2"/>
      <c r="I1850" s="5"/>
    </row>
    <row r="1851" spans="1:9" ht="17.399999999999999" x14ac:dyDescent="0.25">
      <c r="A1851" s="16"/>
      <c r="B1851" s="17"/>
      <c r="C1851" s="2"/>
      <c r="D1851" s="2"/>
      <c r="E1851" s="2"/>
      <c r="F1851" s="2"/>
      <c r="G1851" s="2"/>
      <c r="H1851" s="2"/>
      <c r="I1851" s="5"/>
    </row>
    <row r="1852" spans="1:9" ht="17.399999999999999" x14ac:dyDescent="0.25">
      <c r="A1852" s="16"/>
      <c r="B1852" s="17"/>
      <c r="C1852" s="2"/>
      <c r="D1852" s="2"/>
      <c r="E1852" s="2"/>
      <c r="F1852" s="2"/>
      <c r="G1852" s="2"/>
      <c r="H1852" s="2"/>
      <c r="I1852" s="5"/>
    </row>
    <row r="1853" spans="1:9" ht="17.399999999999999" x14ac:dyDescent="0.25">
      <c r="A1853" s="16"/>
      <c r="B1853" s="17"/>
      <c r="C1853" s="2"/>
      <c r="D1853" s="2"/>
      <c r="E1853" s="2"/>
      <c r="F1853" s="2"/>
      <c r="G1853" s="2"/>
      <c r="H1853" s="2"/>
      <c r="I1853" s="5"/>
    </row>
    <row r="1854" spans="1:9" ht="17.399999999999999" x14ac:dyDescent="0.25">
      <c r="A1854" s="16"/>
      <c r="B1854" s="17"/>
      <c r="C1854" s="2"/>
      <c r="D1854" s="2"/>
      <c r="E1854" s="2"/>
      <c r="F1854" s="2"/>
      <c r="G1854" s="2"/>
      <c r="H1854" s="2"/>
      <c r="I1854" s="5"/>
    </row>
    <row r="1855" spans="1:9" ht="17.399999999999999" x14ac:dyDescent="0.25">
      <c r="A1855" s="16"/>
      <c r="B1855" s="17"/>
      <c r="C1855" s="2"/>
      <c r="D1855" s="2"/>
      <c r="E1855" s="2"/>
      <c r="F1855" s="2"/>
      <c r="G1855" s="2"/>
      <c r="H1855" s="2"/>
      <c r="I1855" s="5"/>
    </row>
    <row r="1856" spans="1:9" ht="17.399999999999999" x14ac:dyDescent="0.25">
      <c r="A1856" s="16"/>
      <c r="B1856" s="17"/>
      <c r="C1856" s="2"/>
      <c r="D1856" s="2"/>
      <c r="E1856" s="2"/>
      <c r="F1856" s="2"/>
      <c r="G1856" s="2"/>
      <c r="H1856" s="2"/>
      <c r="I1856" s="5"/>
    </row>
    <row r="1857" spans="1:9" ht="17.399999999999999" x14ac:dyDescent="0.25">
      <c r="A1857" s="16"/>
      <c r="B1857" s="17"/>
      <c r="C1857" s="2"/>
      <c r="D1857" s="2"/>
      <c r="E1857" s="2"/>
      <c r="F1857" s="2"/>
      <c r="G1857" s="2"/>
      <c r="H1857" s="2"/>
      <c r="I1857" s="5"/>
    </row>
    <row r="1858" spans="1:9" ht="17.399999999999999" x14ac:dyDescent="0.25">
      <c r="A1858" s="16"/>
      <c r="B1858" s="17"/>
      <c r="C1858" s="2"/>
      <c r="D1858" s="2"/>
      <c r="E1858" s="2"/>
      <c r="F1858" s="2"/>
      <c r="G1858" s="2"/>
      <c r="H1858" s="2"/>
      <c r="I1858" s="5"/>
    </row>
    <row r="1859" spans="1:9" ht="17.399999999999999" x14ac:dyDescent="0.25">
      <c r="A1859" s="16"/>
      <c r="B1859" s="17"/>
      <c r="C1859" s="2"/>
      <c r="D1859" s="2"/>
      <c r="E1859" s="2"/>
      <c r="F1859" s="2"/>
      <c r="G1859" s="2"/>
      <c r="H1859" s="2"/>
      <c r="I1859" s="5"/>
    </row>
    <row r="1860" spans="1:9" ht="17.399999999999999" x14ac:dyDescent="0.25">
      <c r="A1860" s="16"/>
      <c r="B1860" s="17"/>
      <c r="C1860" s="2"/>
      <c r="D1860" s="2"/>
      <c r="E1860" s="2"/>
      <c r="F1860" s="2"/>
      <c r="G1860" s="2"/>
      <c r="H1860" s="2"/>
      <c r="I1860" s="5"/>
    </row>
    <row r="1861" spans="1:9" ht="17.399999999999999" x14ac:dyDescent="0.25">
      <c r="A1861" s="16"/>
      <c r="B1861" s="17"/>
      <c r="C1861" s="2"/>
      <c r="D1861" s="2"/>
      <c r="E1861" s="2"/>
      <c r="F1861" s="2"/>
      <c r="G1861" s="2"/>
      <c r="H1861" s="2"/>
      <c r="I1861" s="5"/>
    </row>
    <row r="1862" spans="1:9" ht="17.399999999999999" x14ac:dyDescent="0.25">
      <c r="A1862" s="16"/>
      <c r="B1862" s="17"/>
      <c r="C1862" s="2"/>
      <c r="D1862" s="2"/>
      <c r="E1862" s="2"/>
      <c r="F1862" s="2"/>
      <c r="G1862" s="2"/>
      <c r="H1862" s="2"/>
      <c r="I1862" s="5"/>
    </row>
    <row r="1863" spans="1:9" ht="17.399999999999999" x14ac:dyDescent="0.25">
      <c r="A1863" s="16"/>
      <c r="B1863" s="17"/>
      <c r="C1863" s="2"/>
      <c r="D1863" s="2"/>
      <c r="E1863" s="2"/>
      <c r="F1863" s="2"/>
      <c r="G1863" s="2"/>
      <c r="H1863" s="2"/>
      <c r="I1863" s="5"/>
    </row>
    <row r="1864" spans="1:9" ht="17.399999999999999" x14ac:dyDescent="0.25">
      <c r="A1864" s="16"/>
      <c r="B1864" s="17"/>
      <c r="C1864" s="2"/>
      <c r="D1864" s="2"/>
      <c r="E1864" s="2"/>
      <c r="F1864" s="2"/>
      <c r="G1864" s="2"/>
      <c r="H1864" s="2"/>
      <c r="I1864" s="5"/>
    </row>
    <row r="1865" spans="1:9" ht="17.399999999999999" x14ac:dyDescent="0.25">
      <c r="A1865" s="16"/>
      <c r="B1865" s="17"/>
      <c r="C1865" s="2"/>
      <c r="D1865" s="2"/>
      <c r="E1865" s="2"/>
      <c r="F1865" s="2"/>
      <c r="G1865" s="2"/>
      <c r="H1865" s="2"/>
      <c r="I1865" s="5"/>
    </row>
    <row r="1866" spans="1:9" ht="17.399999999999999" x14ac:dyDescent="0.25">
      <c r="A1866" s="16"/>
      <c r="B1866" s="17"/>
      <c r="C1866" s="2"/>
      <c r="D1866" s="2"/>
      <c r="E1866" s="2"/>
      <c r="F1866" s="2"/>
      <c r="G1866" s="2"/>
      <c r="H1866" s="2"/>
      <c r="I1866" s="5"/>
    </row>
    <row r="1867" spans="1:9" ht="17.399999999999999" x14ac:dyDescent="0.25">
      <c r="A1867" s="16"/>
      <c r="B1867" s="17"/>
      <c r="C1867" s="2"/>
      <c r="D1867" s="2"/>
      <c r="E1867" s="2"/>
      <c r="F1867" s="2"/>
      <c r="G1867" s="2"/>
      <c r="H1867" s="2"/>
      <c r="I1867" s="5"/>
    </row>
    <row r="1868" spans="1:9" ht="17.399999999999999" x14ac:dyDescent="0.25">
      <c r="A1868" s="16"/>
      <c r="B1868" s="17"/>
      <c r="C1868" s="2"/>
      <c r="D1868" s="2"/>
      <c r="E1868" s="2"/>
      <c r="F1868" s="2"/>
      <c r="G1868" s="2"/>
      <c r="H1868" s="2"/>
      <c r="I1868" s="5"/>
    </row>
    <row r="1869" spans="1:9" ht="17.399999999999999" x14ac:dyDescent="0.25">
      <c r="A1869" s="16"/>
      <c r="B1869" s="17"/>
      <c r="C1869" s="2"/>
      <c r="D1869" s="2"/>
      <c r="E1869" s="2"/>
      <c r="F1869" s="2"/>
      <c r="G1869" s="2"/>
      <c r="H1869" s="2"/>
      <c r="I1869" s="5"/>
    </row>
    <row r="1870" spans="1:9" ht="17.399999999999999" x14ac:dyDescent="0.25">
      <c r="A1870" s="16"/>
      <c r="B1870" s="17"/>
      <c r="C1870" s="2"/>
      <c r="D1870" s="2"/>
      <c r="E1870" s="2"/>
      <c r="F1870" s="2"/>
      <c r="G1870" s="2"/>
      <c r="H1870" s="2"/>
      <c r="I1870" s="5"/>
    </row>
    <row r="1871" spans="1:9" ht="17.399999999999999" x14ac:dyDescent="0.25">
      <c r="A1871" s="16"/>
      <c r="B1871" s="17"/>
      <c r="C1871" s="2"/>
      <c r="D1871" s="2"/>
      <c r="E1871" s="2"/>
      <c r="F1871" s="2"/>
      <c r="G1871" s="2"/>
      <c r="H1871" s="2"/>
      <c r="I1871" s="5"/>
    </row>
    <row r="1872" spans="1:9" ht="17.399999999999999" x14ac:dyDescent="0.25">
      <c r="A1872" s="16"/>
      <c r="B1872" s="17"/>
      <c r="C1872" s="2"/>
      <c r="D1872" s="2"/>
      <c r="E1872" s="2"/>
      <c r="F1872" s="2"/>
      <c r="G1872" s="2"/>
      <c r="H1872" s="2"/>
      <c r="I1872" s="5"/>
    </row>
    <row r="1873" spans="1:9" ht="17.399999999999999" x14ac:dyDescent="0.25">
      <c r="A1873" s="16"/>
      <c r="B1873" s="17"/>
      <c r="C1873" s="2"/>
      <c r="D1873" s="2"/>
      <c r="E1873" s="2"/>
      <c r="F1873" s="2"/>
      <c r="G1873" s="2"/>
      <c r="H1873" s="2"/>
      <c r="I1873" s="5"/>
    </row>
    <row r="1874" spans="1:9" ht="17.399999999999999" x14ac:dyDescent="0.25">
      <c r="A1874" s="16"/>
      <c r="B1874" s="17"/>
      <c r="C1874" s="2"/>
      <c r="D1874" s="2"/>
      <c r="E1874" s="2"/>
      <c r="F1874" s="2"/>
      <c r="G1874" s="2"/>
      <c r="H1874" s="2"/>
      <c r="I1874" s="5"/>
    </row>
    <row r="1875" spans="1:9" ht="17.399999999999999" x14ac:dyDescent="0.25">
      <c r="A1875" s="16"/>
      <c r="B1875" s="17"/>
      <c r="C1875" s="2"/>
      <c r="D1875" s="2"/>
      <c r="E1875" s="2"/>
      <c r="F1875" s="2"/>
      <c r="G1875" s="2"/>
      <c r="H1875" s="2"/>
      <c r="I1875" s="5"/>
    </row>
    <row r="1876" spans="1:9" ht="17.399999999999999" x14ac:dyDescent="0.25">
      <c r="A1876" s="16"/>
      <c r="B1876" s="17"/>
      <c r="C1876" s="2"/>
      <c r="D1876" s="2"/>
      <c r="E1876" s="2"/>
      <c r="F1876" s="2"/>
      <c r="G1876" s="2"/>
      <c r="H1876" s="2"/>
      <c r="I1876" s="5"/>
    </row>
    <row r="1877" spans="1:9" ht="17.399999999999999" x14ac:dyDescent="0.25">
      <c r="A1877" s="16"/>
      <c r="B1877" s="17"/>
      <c r="C1877" s="2"/>
      <c r="D1877" s="2"/>
      <c r="E1877" s="2"/>
      <c r="F1877" s="2"/>
      <c r="G1877" s="2"/>
      <c r="H1877" s="2"/>
      <c r="I1877" s="5"/>
    </row>
    <row r="1878" spans="1:9" ht="17.399999999999999" x14ac:dyDescent="0.25">
      <c r="A1878" s="16"/>
      <c r="B1878" s="17"/>
      <c r="C1878" s="2"/>
      <c r="D1878" s="2"/>
      <c r="E1878" s="2"/>
      <c r="F1878" s="2"/>
      <c r="G1878" s="2"/>
      <c r="H1878" s="2"/>
      <c r="I1878" s="5"/>
    </row>
    <row r="1879" spans="1:9" ht="17.399999999999999" x14ac:dyDescent="0.25">
      <c r="A1879" s="16"/>
      <c r="B1879" s="17"/>
      <c r="C1879" s="2"/>
      <c r="D1879" s="2"/>
      <c r="E1879" s="2"/>
      <c r="F1879" s="2"/>
      <c r="G1879" s="2"/>
      <c r="H1879" s="2"/>
      <c r="I1879" s="5"/>
    </row>
    <row r="1880" spans="1:9" ht="17.399999999999999" x14ac:dyDescent="0.25">
      <c r="A1880" s="16"/>
      <c r="B1880" s="17"/>
      <c r="C1880" s="2"/>
      <c r="D1880" s="2"/>
      <c r="E1880" s="2"/>
      <c r="F1880" s="2"/>
      <c r="G1880" s="2"/>
      <c r="H1880" s="2"/>
      <c r="I1880" s="5"/>
    </row>
    <row r="1881" spans="1:9" ht="17.399999999999999" x14ac:dyDescent="0.25">
      <c r="A1881" s="16"/>
      <c r="B1881" s="17"/>
      <c r="C1881" s="2"/>
      <c r="D1881" s="2"/>
      <c r="E1881" s="2"/>
      <c r="F1881" s="2"/>
      <c r="G1881" s="2"/>
      <c r="H1881" s="2"/>
      <c r="I1881" s="5"/>
    </row>
    <row r="1882" spans="1:9" ht="17.399999999999999" x14ac:dyDescent="0.25">
      <c r="A1882" s="16"/>
      <c r="B1882" s="17"/>
      <c r="C1882" s="2"/>
      <c r="D1882" s="2"/>
      <c r="E1882" s="2"/>
      <c r="F1882" s="2"/>
      <c r="G1882" s="2"/>
      <c r="H1882" s="2"/>
      <c r="I1882" s="5"/>
    </row>
    <row r="1883" spans="1:9" ht="17.399999999999999" x14ac:dyDescent="0.25">
      <c r="A1883" s="16"/>
      <c r="B1883" s="17"/>
      <c r="C1883" s="2"/>
      <c r="D1883" s="2"/>
      <c r="E1883" s="2"/>
      <c r="F1883" s="2"/>
      <c r="G1883" s="2"/>
      <c r="H1883" s="2"/>
      <c r="I1883" s="5"/>
    </row>
    <row r="1884" spans="1:9" ht="17.399999999999999" x14ac:dyDescent="0.25">
      <c r="A1884" s="16"/>
      <c r="B1884" s="17"/>
      <c r="C1884" s="2"/>
      <c r="D1884" s="2"/>
      <c r="E1884" s="2"/>
      <c r="F1884" s="2"/>
      <c r="G1884" s="2"/>
      <c r="H1884" s="2"/>
      <c r="I1884" s="5"/>
    </row>
    <row r="1885" spans="1:9" ht="17.399999999999999" x14ac:dyDescent="0.25">
      <c r="A1885" s="16"/>
      <c r="B1885" s="17"/>
      <c r="C1885" s="2"/>
      <c r="D1885" s="2"/>
      <c r="E1885" s="2"/>
      <c r="F1885" s="2"/>
      <c r="G1885" s="2"/>
      <c r="H1885" s="2"/>
      <c r="I1885" s="5"/>
    </row>
    <row r="1886" spans="1:9" ht="17.399999999999999" x14ac:dyDescent="0.25">
      <c r="A1886" s="16"/>
      <c r="B1886" s="17"/>
      <c r="C1886" s="2"/>
      <c r="D1886" s="2"/>
      <c r="E1886" s="2"/>
      <c r="F1886" s="2"/>
      <c r="G1886" s="2"/>
      <c r="H1886" s="2"/>
      <c r="I1886" s="5"/>
    </row>
    <row r="1887" spans="1:9" ht="17.399999999999999" x14ac:dyDescent="0.25">
      <c r="A1887" s="16"/>
      <c r="B1887" s="17"/>
      <c r="C1887" s="2"/>
      <c r="D1887" s="2"/>
      <c r="E1887" s="2"/>
      <c r="F1887" s="2"/>
      <c r="G1887" s="2"/>
      <c r="H1887" s="2"/>
      <c r="I1887" s="5"/>
    </row>
    <row r="1888" spans="1:9" ht="17.399999999999999" x14ac:dyDescent="0.25">
      <c r="A1888" s="16"/>
      <c r="B1888" s="17"/>
      <c r="C1888" s="2"/>
      <c r="D1888" s="2"/>
      <c r="E1888" s="2"/>
      <c r="F1888" s="2"/>
      <c r="G1888" s="2"/>
      <c r="H1888" s="2"/>
      <c r="I1888" s="5"/>
    </row>
    <row r="1889" spans="1:9" ht="17.399999999999999" x14ac:dyDescent="0.25">
      <c r="A1889" s="16"/>
      <c r="B1889" s="17"/>
      <c r="C1889" s="2"/>
      <c r="D1889" s="2"/>
      <c r="E1889" s="2"/>
      <c r="F1889" s="2"/>
      <c r="G1889" s="2"/>
      <c r="H1889" s="2"/>
      <c r="I1889" s="5"/>
    </row>
    <row r="1890" spans="1:9" ht="17.399999999999999" x14ac:dyDescent="0.25">
      <c r="A1890" s="16"/>
      <c r="B1890" s="17"/>
      <c r="C1890" s="2"/>
      <c r="D1890" s="2"/>
      <c r="E1890" s="2"/>
      <c r="F1890" s="2"/>
      <c r="G1890" s="2"/>
      <c r="H1890" s="2"/>
      <c r="I1890" s="5"/>
    </row>
    <row r="1891" spans="1:9" ht="17.399999999999999" x14ac:dyDescent="0.25">
      <c r="A1891" s="16"/>
      <c r="B1891" s="17"/>
      <c r="C1891" s="2"/>
      <c r="D1891" s="2"/>
      <c r="E1891" s="2"/>
      <c r="F1891" s="2"/>
      <c r="G1891" s="2"/>
      <c r="H1891" s="2"/>
      <c r="I1891" s="5"/>
    </row>
    <row r="1892" spans="1:9" ht="17.399999999999999" x14ac:dyDescent="0.25">
      <c r="A1892" s="16"/>
      <c r="B1892" s="17"/>
      <c r="C1892" s="2"/>
      <c r="D1892" s="2"/>
      <c r="E1892" s="2"/>
      <c r="F1892" s="2"/>
      <c r="G1892" s="2"/>
      <c r="H1892" s="2"/>
      <c r="I1892" s="5"/>
    </row>
    <row r="1893" spans="1:9" ht="17.399999999999999" x14ac:dyDescent="0.25">
      <c r="A1893" s="16"/>
      <c r="B1893" s="17"/>
      <c r="C1893" s="2"/>
      <c r="D1893" s="2"/>
      <c r="E1893" s="2"/>
      <c r="F1893" s="2"/>
      <c r="G1893" s="2"/>
      <c r="H1893" s="2"/>
      <c r="I1893" s="5"/>
    </row>
    <row r="1894" spans="1:9" ht="17.399999999999999" x14ac:dyDescent="0.25">
      <c r="A1894" s="16"/>
      <c r="B1894" s="17"/>
      <c r="C1894" s="2"/>
      <c r="D1894" s="2"/>
      <c r="E1894" s="2"/>
      <c r="F1894" s="2"/>
      <c r="G1894" s="2"/>
      <c r="H1894" s="2"/>
      <c r="I1894" s="5"/>
    </row>
    <row r="1895" spans="1:9" ht="17.399999999999999" x14ac:dyDescent="0.25">
      <c r="A1895" s="16"/>
      <c r="B1895" s="17"/>
      <c r="C1895" s="2"/>
      <c r="D1895" s="2"/>
      <c r="E1895" s="2"/>
      <c r="F1895" s="2"/>
      <c r="G1895" s="2"/>
      <c r="H1895" s="2"/>
      <c r="I1895" s="5"/>
    </row>
    <row r="1896" spans="1:9" ht="17.399999999999999" x14ac:dyDescent="0.25">
      <c r="A1896" s="16"/>
      <c r="B1896" s="17"/>
      <c r="C1896" s="2"/>
      <c r="D1896" s="2"/>
      <c r="E1896" s="2"/>
      <c r="F1896" s="2"/>
      <c r="G1896" s="2"/>
      <c r="H1896" s="2"/>
      <c r="I1896" s="5"/>
    </row>
    <row r="1897" spans="1:9" ht="17.399999999999999" x14ac:dyDescent="0.25">
      <c r="A1897" s="16"/>
      <c r="B1897" s="17"/>
      <c r="C1897" s="2"/>
      <c r="D1897" s="2"/>
      <c r="E1897" s="2"/>
      <c r="F1897" s="2"/>
      <c r="G1897" s="2"/>
      <c r="H1897" s="2"/>
      <c r="I1897" s="5"/>
    </row>
    <row r="1898" spans="1:9" ht="17.399999999999999" x14ac:dyDescent="0.25">
      <c r="A1898" s="16"/>
      <c r="B1898" s="17"/>
      <c r="C1898" s="2"/>
      <c r="D1898" s="2"/>
      <c r="E1898" s="2"/>
      <c r="F1898" s="2"/>
      <c r="G1898" s="2"/>
      <c r="H1898" s="2"/>
      <c r="I1898" s="5"/>
    </row>
    <row r="1899" spans="1:9" ht="17.399999999999999" x14ac:dyDescent="0.25">
      <c r="A1899" s="16"/>
      <c r="B1899" s="17"/>
      <c r="C1899" s="2"/>
      <c r="D1899" s="2"/>
      <c r="E1899" s="2"/>
      <c r="F1899" s="2"/>
      <c r="G1899" s="2"/>
      <c r="H1899" s="2"/>
      <c r="I1899" s="5"/>
    </row>
    <row r="1900" spans="1:9" ht="17.399999999999999" x14ac:dyDescent="0.25">
      <c r="A1900" s="16"/>
      <c r="B1900" s="17"/>
      <c r="C1900" s="2"/>
      <c r="D1900" s="2"/>
      <c r="E1900" s="2"/>
      <c r="F1900" s="2"/>
      <c r="G1900" s="2"/>
      <c r="H1900" s="2"/>
      <c r="I1900" s="5"/>
    </row>
    <row r="1901" spans="1:9" ht="17.399999999999999" x14ac:dyDescent="0.25">
      <c r="A1901" s="16"/>
      <c r="B1901" s="17"/>
      <c r="C1901" s="2"/>
      <c r="D1901" s="2"/>
      <c r="E1901" s="2"/>
      <c r="F1901" s="2"/>
      <c r="G1901" s="2"/>
      <c r="H1901" s="2"/>
      <c r="I1901" s="5"/>
    </row>
    <row r="1902" spans="1:9" ht="17.399999999999999" x14ac:dyDescent="0.25">
      <c r="A1902" s="16"/>
      <c r="B1902" s="17"/>
      <c r="C1902" s="2"/>
      <c r="D1902" s="2"/>
      <c r="E1902" s="2"/>
      <c r="F1902" s="2"/>
      <c r="G1902" s="2"/>
      <c r="H1902" s="2"/>
      <c r="I1902" s="5"/>
    </row>
    <row r="1903" spans="1:9" ht="17.399999999999999" x14ac:dyDescent="0.25">
      <c r="A1903" s="16"/>
      <c r="B1903" s="17"/>
      <c r="C1903" s="2"/>
      <c r="D1903" s="2"/>
      <c r="E1903" s="2"/>
      <c r="F1903" s="2"/>
      <c r="G1903" s="2"/>
      <c r="H1903" s="2"/>
      <c r="I1903" s="5"/>
    </row>
    <row r="1904" spans="1:9" ht="17.399999999999999" x14ac:dyDescent="0.25">
      <c r="A1904" s="16"/>
      <c r="B1904" s="17"/>
      <c r="C1904" s="2"/>
      <c r="D1904" s="2"/>
      <c r="E1904" s="2"/>
      <c r="F1904" s="2"/>
      <c r="G1904" s="2"/>
      <c r="H1904" s="2"/>
      <c r="I1904" s="5"/>
    </row>
    <row r="1905" spans="1:9" ht="17.399999999999999" x14ac:dyDescent="0.25">
      <c r="A1905" s="16"/>
      <c r="B1905" s="17"/>
      <c r="C1905" s="2"/>
      <c r="D1905" s="2"/>
      <c r="E1905" s="2"/>
      <c r="F1905" s="2"/>
      <c r="G1905" s="2"/>
      <c r="H1905" s="2"/>
      <c r="I1905" s="5"/>
    </row>
    <row r="1906" spans="1:9" ht="17.399999999999999" x14ac:dyDescent="0.25">
      <c r="A1906" s="16"/>
      <c r="B1906" s="17"/>
      <c r="C1906" s="2"/>
      <c r="D1906" s="2"/>
      <c r="E1906" s="2"/>
      <c r="F1906" s="2"/>
      <c r="G1906" s="2"/>
      <c r="H1906" s="2"/>
      <c r="I1906" s="5"/>
    </row>
    <row r="1907" spans="1:9" ht="17.399999999999999" x14ac:dyDescent="0.25">
      <c r="A1907" s="16"/>
      <c r="B1907" s="17"/>
      <c r="C1907" s="2"/>
      <c r="D1907" s="2"/>
      <c r="E1907" s="2"/>
      <c r="F1907" s="2"/>
      <c r="G1907" s="2"/>
      <c r="H1907" s="2"/>
      <c r="I1907" s="5"/>
    </row>
    <row r="1908" spans="1:9" ht="17.399999999999999" x14ac:dyDescent="0.25">
      <c r="A1908" s="16"/>
      <c r="B1908" s="17"/>
      <c r="C1908" s="2"/>
      <c r="D1908" s="2"/>
      <c r="E1908" s="2"/>
      <c r="F1908" s="2"/>
      <c r="G1908" s="2"/>
      <c r="H1908" s="2"/>
      <c r="I1908" s="5"/>
    </row>
    <row r="1909" spans="1:9" ht="17.399999999999999" x14ac:dyDescent="0.25">
      <c r="A1909" s="16"/>
      <c r="B1909" s="17"/>
      <c r="C1909" s="2"/>
      <c r="D1909" s="2"/>
      <c r="E1909" s="2"/>
      <c r="F1909" s="2"/>
      <c r="G1909" s="2"/>
      <c r="H1909" s="2"/>
      <c r="I1909" s="5"/>
    </row>
    <row r="1910" spans="1:9" ht="17.399999999999999" x14ac:dyDescent="0.25">
      <c r="A1910" s="16"/>
      <c r="B1910" s="17"/>
      <c r="C1910" s="2"/>
      <c r="D1910" s="2"/>
      <c r="E1910" s="2"/>
      <c r="F1910" s="2"/>
      <c r="G1910" s="2"/>
      <c r="H1910" s="2"/>
      <c r="I1910" s="5"/>
    </row>
    <row r="1911" spans="1:9" ht="17.399999999999999" x14ac:dyDescent="0.25">
      <c r="A1911" s="16"/>
      <c r="B1911" s="17"/>
      <c r="C1911" s="2"/>
      <c r="D1911" s="2"/>
      <c r="E1911" s="2"/>
      <c r="F1911" s="2"/>
      <c r="G1911" s="2"/>
      <c r="H1911" s="2"/>
      <c r="I1911" s="5"/>
    </row>
    <row r="1912" spans="1:9" ht="17.399999999999999" x14ac:dyDescent="0.25">
      <c r="A1912" s="16"/>
      <c r="B1912" s="17"/>
      <c r="C1912" s="2"/>
      <c r="D1912" s="2"/>
      <c r="E1912" s="2"/>
      <c r="F1912" s="2"/>
      <c r="G1912" s="2"/>
      <c r="H1912" s="2"/>
      <c r="I1912" s="5"/>
    </row>
    <row r="1913" spans="1:9" ht="17.399999999999999" x14ac:dyDescent="0.25">
      <c r="A1913" s="16"/>
      <c r="B1913" s="17"/>
      <c r="C1913" s="2"/>
      <c r="D1913" s="2"/>
      <c r="E1913" s="2"/>
      <c r="F1913" s="2"/>
      <c r="G1913" s="2"/>
      <c r="H1913" s="2"/>
      <c r="I1913" s="5"/>
    </row>
    <row r="1914" spans="1:9" ht="17.399999999999999" x14ac:dyDescent="0.25">
      <c r="A1914" s="16"/>
      <c r="B1914" s="17"/>
      <c r="C1914" s="2"/>
      <c r="D1914" s="2"/>
      <c r="E1914" s="2"/>
      <c r="F1914" s="2"/>
      <c r="G1914" s="2"/>
      <c r="H1914" s="2"/>
      <c r="I1914" s="5"/>
    </row>
    <row r="1915" spans="1:9" ht="17.399999999999999" x14ac:dyDescent="0.25">
      <c r="A1915" s="16"/>
      <c r="B1915" s="17"/>
      <c r="C1915" s="2"/>
      <c r="D1915" s="2"/>
      <c r="E1915" s="2"/>
      <c r="F1915" s="2"/>
      <c r="G1915" s="2"/>
      <c r="H1915" s="2"/>
      <c r="I1915" s="5"/>
    </row>
    <row r="1916" spans="1:9" ht="17.399999999999999" x14ac:dyDescent="0.25">
      <c r="A1916" s="16"/>
      <c r="B1916" s="17"/>
      <c r="C1916" s="2"/>
      <c r="D1916" s="2"/>
      <c r="E1916" s="2"/>
      <c r="F1916" s="2"/>
      <c r="G1916" s="2"/>
      <c r="H1916" s="2"/>
      <c r="I1916" s="5"/>
    </row>
    <row r="1917" spans="1:9" ht="17.399999999999999" x14ac:dyDescent="0.25">
      <c r="A1917" s="16"/>
      <c r="B1917" s="17"/>
      <c r="C1917" s="2"/>
      <c r="D1917" s="2"/>
      <c r="E1917" s="2"/>
      <c r="F1917" s="2"/>
      <c r="G1917" s="2"/>
      <c r="H1917" s="2"/>
      <c r="I1917" s="5"/>
    </row>
    <row r="1918" spans="1:9" ht="17.399999999999999" x14ac:dyDescent="0.25">
      <c r="A1918" s="16"/>
      <c r="B1918" s="17"/>
      <c r="C1918" s="2"/>
      <c r="D1918" s="2"/>
      <c r="E1918" s="2"/>
      <c r="F1918" s="2"/>
      <c r="G1918" s="2"/>
      <c r="H1918" s="2"/>
      <c r="I1918" s="5"/>
    </row>
    <row r="1919" spans="1:9" ht="17.399999999999999" x14ac:dyDescent="0.25">
      <c r="A1919" s="16"/>
      <c r="B1919" s="17"/>
      <c r="C1919" s="2"/>
      <c r="D1919" s="2"/>
      <c r="E1919" s="2"/>
      <c r="F1919" s="2"/>
      <c r="G1919" s="2"/>
      <c r="H1919" s="2"/>
      <c r="I1919" s="5"/>
    </row>
    <row r="1920" spans="1:9" ht="17.399999999999999" x14ac:dyDescent="0.25">
      <c r="A1920" s="16"/>
      <c r="B1920" s="17"/>
      <c r="C1920" s="2"/>
      <c r="D1920" s="2"/>
      <c r="E1920" s="2"/>
      <c r="F1920" s="2"/>
      <c r="G1920" s="2"/>
      <c r="H1920" s="2"/>
      <c r="I1920" s="5"/>
    </row>
    <row r="1921" spans="1:9" ht="17.399999999999999" x14ac:dyDescent="0.25">
      <c r="A1921" s="16"/>
      <c r="B1921" s="17"/>
      <c r="C1921" s="2"/>
      <c r="D1921" s="2"/>
      <c r="E1921" s="2"/>
      <c r="F1921" s="2"/>
      <c r="G1921" s="2"/>
      <c r="H1921" s="2"/>
      <c r="I1921" s="5"/>
    </row>
    <row r="1922" spans="1:9" ht="17.399999999999999" x14ac:dyDescent="0.25">
      <c r="A1922" s="16"/>
      <c r="B1922" s="17"/>
      <c r="C1922" s="2"/>
      <c r="D1922" s="2"/>
      <c r="E1922" s="2"/>
      <c r="F1922" s="2"/>
      <c r="G1922" s="2"/>
      <c r="H1922" s="2"/>
      <c r="I1922" s="5"/>
    </row>
    <row r="1923" spans="1:9" ht="17.399999999999999" x14ac:dyDescent="0.25">
      <c r="A1923" s="16"/>
      <c r="B1923" s="17"/>
      <c r="C1923" s="2"/>
      <c r="D1923" s="2"/>
      <c r="E1923" s="2"/>
      <c r="F1923" s="2"/>
      <c r="G1923" s="2"/>
      <c r="H1923" s="2"/>
      <c r="I1923" s="5"/>
    </row>
    <row r="1924" spans="1:9" ht="17.399999999999999" x14ac:dyDescent="0.25">
      <c r="A1924" s="16"/>
      <c r="B1924" s="17"/>
      <c r="C1924" s="2"/>
      <c r="D1924" s="2"/>
      <c r="E1924" s="2"/>
      <c r="F1924" s="2"/>
      <c r="G1924" s="2"/>
      <c r="H1924" s="2"/>
      <c r="I1924" s="5"/>
    </row>
    <row r="1925" spans="1:9" ht="17.399999999999999" x14ac:dyDescent="0.25">
      <c r="A1925" s="16"/>
      <c r="B1925" s="17"/>
      <c r="C1925" s="2"/>
      <c r="D1925" s="2"/>
      <c r="E1925" s="2"/>
      <c r="F1925" s="2"/>
      <c r="G1925" s="2"/>
      <c r="H1925" s="2"/>
      <c r="I1925" s="5"/>
    </row>
    <row r="1926" spans="1:9" ht="17.399999999999999" x14ac:dyDescent="0.25">
      <c r="A1926" s="16"/>
      <c r="B1926" s="17"/>
      <c r="C1926" s="2"/>
      <c r="D1926" s="2"/>
      <c r="E1926" s="2"/>
      <c r="F1926" s="2"/>
      <c r="G1926" s="2"/>
      <c r="H1926" s="2"/>
      <c r="I1926" s="5"/>
    </row>
    <row r="1927" spans="1:9" ht="17.399999999999999" x14ac:dyDescent="0.25">
      <c r="A1927" s="16"/>
      <c r="B1927" s="17"/>
      <c r="C1927" s="2"/>
      <c r="D1927" s="2"/>
      <c r="E1927" s="2"/>
      <c r="F1927" s="2"/>
      <c r="G1927" s="2"/>
      <c r="H1927" s="2"/>
      <c r="I1927" s="5"/>
    </row>
    <row r="1928" spans="1:9" ht="17.399999999999999" x14ac:dyDescent="0.25">
      <c r="A1928" s="16"/>
      <c r="B1928" s="17"/>
      <c r="C1928" s="2"/>
      <c r="D1928" s="2"/>
      <c r="E1928" s="2"/>
      <c r="F1928" s="2"/>
      <c r="G1928" s="2"/>
      <c r="H1928" s="2"/>
      <c r="I1928" s="5"/>
    </row>
    <row r="1929" spans="1:9" ht="17.399999999999999" x14ac:dyDescent="0.25">
      <c r="A1929" s="16"/>
      <c r="B1929" s="17"/>
      <c r="C1929" s="2"/>
      <c r="D1929" s="2"/>
      <c r="E1929" s="2"/>
      <c r="F1929" s="2"/>
      <c r="G1929" s="2"/>
      <c r="H1929" s="2"/>
      <c r="I1929" s="5"/>
    </row>
    <row r="1930" spans="1:9" ht="17.399999999999999" x14ac:dyDescent="0.25">
      <c r="A1930" s="16"/>
      <c r="B1930" s="17"/>
      <c r="C1930" s="2"/>
      <c r="D1930" s="2"/>
      <c r="E1930" s="2"/>
      <c r="F1930" s="2"/>
      <c r="G1930" s="2"/>
      <c r="H1930" s="2"/>
      <c r="I1930" s="5"/>
    </row>
    <row r="1931" spans="1:9" ht="17.399999999999999" x14ac:dyDescent="0.25">
      <c r="A1931" s="16"/>
      <c r="B1931" s="17"/>
      <c r="C1931" s="2"/>
      <c r="D1931" s="2"/>
      <c r="E1931" s="2"/>
      <c r="F1931" s="2"/>
      <c r="G1931" s="2"/>
      <c r="H1931" s="2"/>
      <c r="I1931" s="5"/>
    </row>
    <row r="1932" spans="1:9" ht="17.399999999999999" x14ac:dyDescent="0.25">
      <c r="A1932" s="16"/>
      <c r="B1932" s="17"/>
      <c r="C1932" s="2"/>
      <c r="D1932" s="2"/>
      <c r="E1932" s="2"/>
      <c r="F1932" s="2"/>
      <c r="G1932" s="2"/>
      <c r="H1932" s="2"/>
      <c r="I1932" s="5"/>
    </row>
    <row r="1933" spans="1:9" ht="17.399999999999999" x14ac:dyDescent="0.25">
      <c r="A1933" s="16"/>
      <c r="B1933" s="17"/>
      <c r="C1933" s="2"/>
      <c r="D1933" s="2"/>
      <c r="E1933" s="2"/>
      <c r="F1933" s="2"/>
      <c r="G1933" s="2"/>
      <c r="H1933" s="2"/>
      <c r="I1933" s="5"/>
    </row>
    <row r="1934" spans="1:9" ht="17.399999999999999" x14ac:dyDescent="0.25">
      <c r="A1934" s="16"/>
      <c r="B1934" s="17"/>
      <c r="C1934" s="2"/>
      <c r="D1934" s="2"/>
      <c r="E1934" s="2"/>
      <c r="F1934" s="2"/>
      <c r="G1934" s="2"/>
      <c r="H1934" s="2"/>
      <c r="I1934" s="5"/>
    </row>
    <row r="1935" spans="1:9" ht="17.399999999999999" x14ac:dyDescent="0.25">
      <c r="A1935" s="16"/>
      <c r="B1935" s="17"/>
      <c r="C1935" s="2"/>
      <c r="D1935" s="2"/>
      <c r="E1935" s="2"/>
      <c r="F1935" s="2"/>
      <c r="G1935" s="2"/>
      <c r="H1935" s="2"/>
      <c r="I1935" s="5"/>
    </row>
    <row r="1936" spans="1:9" ht="17.399999999999999" x14ac:dyDescent="0.25">
      <c r="A1936" s="16"/>
      <c r="B1936" s="17"/>
      <c r="C1936" s="2"/>
      <c r="D1936" s="2"/>
      <c r="E1936" s="2"/>
      <c r="F1936" s="2"/>
      <c r="G1936" s="2"/>
      <c r="H1936" s="2"/>
      <c r="I1936" s="5"/>
    </row>
    <row r="1937" spans="1:9" ht="17.399999999999999" x14ac:dyDescent="0.25">
      <c r="A1937" s="16"/>
      <c r="B1937" s="17"/>
      <c r="C1937" s="2"/>
      <c r="D1937" s="2"/>
      <c r="E1937" s="2"/>
      <c r="F1937" s="2"/>
      <c r="G1937" s="2"/>
      <c r="H1937" s="2"/>
      <c r="I1937" s="5"/>
    </row>
    <row r="1938" spans="1:9" ht="17.399999999999999" x14ac:dyDescent="0.25">
      <c r="A1938" s="16"/>
      <c r="B1938" s="17"/>
      <c r="C1938" s="2"/>
      <c r="D1938" s="2"/>
      <c r="E1938" s="2"/>
      <c r="F1938" s="2"/>
      <c r="G1938" s="2"/>
      <c r="H1938" s="2"/>
      <c r="I1938" s="5"/>
    </row>
    <row r="1939" spans="1:9" ht="17.399999999999999" x14ac:dyDescent="0.25">
      <c r="A1939" s="16"/>
      <c r="B1939" s="17"/>
      <c r="C1939" s="2"/>
      <c r="D1939" s="2"/>
      <c r="E1939" s="2"/>
      <c r="F1939" s="2"/>
      <c r="G1939" s="2"/>
      <c r="H1939" s="2"/>
      <c r="I1939" s="5"/>
    </row>
    <row r="1940" spans="1:9" ht="17.399999999999999" x14ac:dyDescent="0.25">
      <c r="A1940" s="16"/>
      <c r="B1940" s="17"/>
      <c r="C1940" s="2"/>
      <c r="D1940" s="2"/>
      <c r="E1940" s="2"/>
      <c r="F1940" s="2"/>
      <c r="G1940" s="2"/>
      <c r="H1940" s="2"/>
      <c r="I1940" s="5"/>
    </row>
    <row r="1941" spans="1:9" ht="17.399999999999999" x14ac:dyDescent="0.25">
      <c r="A1941" s="16"/>
      <c r="B1941" s="17"/>
      <c r="C1941" s="2" t="b">
        <v>0</v>
      </c>
      <c r="D1941" s="2"/>
      <c r="E1941" s="2"/>
      <c r="F1941" s="2"/>
      <c r="G1941" s="2"/>
      <c r="H1941" s="2"/>
      <c r="I1941" s="5"/>
    </row>
    <row r="1942" spans="1:9" ht="17.399999999999999" x14ac:dyDescent="0.25">
      <c r="A1942" s="16"/>
      <c r="B1942" s="17"/>
      <c r="C1942" s="2" t="b">
        <v>0</v>
      </c>
      <c r="D1942" s="2"/>
      <c r="E1942" s="2"/>
      <c r="F1942" s="2"/>
      <c r="G1942" s="2"/>
      <c r="H1942" s="2"/>
      <c r="I1942" s="5"/>
    </row>
    <row r="1943" spans="1:9" ht="17.399999999999999" x14ac:dyDescent="0.25">
      <c r="A1943" s="16"/>
      <c r="B1943" s="17"/>
      <c r="C1943" s="2" t="b">
        <v>0</v>
      </c>
      <c r="D1943" s="2"/>
      <c r="E1943" s="2"/>
      <c r="F1943" s="2"/>
      <c r="G1943" s="2"/>
      <c r="H1943" s="2"/>
      <c r="I1943" s="5"/>
    </row>
    <row r="1944" spans="1:9" ht="17.399999999999999" x14ac:dyDescent="0.25">
      <c r="A1944" s="16"/>
      <c r="B1944" s="17"/>
      <c r="C1944" s="2" t="b">
        <v>0</v>
      </c>
      <c r="D1944" s="2"/>
      <c r="E1944" s="2"/>
      <c r="F1944" s="2"/>
      <c r="G1944" s="2"/>
      <c r="H1944" s="2"/>
      <c r="I1944" s="5"/>
    </row>
    <row r="1945" spans="1:9" ht="17.399999999999999" x14ac:dyDescent="0.25">
      <c r="A1945" s="16"/>
      <c r="B1945" s="17"/>
      <c r="C1945" s="2" t="b">
        <v>0</v>
      </c>
      <c r="D1945" s="2"/>
      <c r="E1945" s="2"/>
      <c r="F1945" s="2"/>
      <c r="G1945" s="2"/>
      <c r="H1945" s="2"/>
      <c r="I1945" s="5"/>
    </row>
    <row r="1946" spans="1:9" ht="17.399999999999999" x14ac:dyDescent="0.25">
      <c r="A1946" s="16"/>
      <c r="B1946" s="17"/>
      <c r="C1946" s="2" t="b">
        <v>0</v>
      </c>
      <c r="D1946" s="2"/>
      <c r="E1946" s="2"/>
      <c r="F1946" s="2"/>
      <c r="G1946" s="2"/>
      <c r="H1946" s="2"/>
      <c r="I1946" s="5"/>
    </row>
    <row r="1947" spans="1:9" ht="17.399999999999999" x14ac:dyDescent="0.25">
      <c r="A1947" s="16"/>
      <c r="B1947" s="17"/>
      <c r="C1947" s="2" t="b">
        <v>0</v>
      </c>
      <c r="D1947" s="2"/>
      <c r="E1947" s="2"/>
      <c r="F1947" s="2"/>
      <c r="G1947" s="2"/>
      <c r="H1947" s="2"/>
      <c r="I1947" s="5"/>
    </row>
    <row r="1948" spans="1:9" ht="17.399999999999999" x14ac:dyDescent="0.25">
      <c r="A1948" s="16"/>
      <c r="B1948" s="17"/>
      <c r="C1948" s="2" t="b">
        <v>0</v>
      </c>
      <c r="D1948" s="2"/>
      <c r="E1948" s="2"/>
      <c r="F1948" s="2"/>
      <c r="G1948" s="2"/>
      <c r="H1948" s="2"/>
      <c r="I1948" s="5"/>
    </row>
    <row r="1949" spans="1:9" ht="17.399999999999999" x14ac:dyDescent="0.25">
      <c r="A1949" s="16"/>
      <c r="B1949" s="17"/>
      <c r="C1949" s="2" t="b">
        <v>0</v>
      </c>
      <c r="D1949" s="2"/>
      <c r="E1949" s="2"/>
      <c r="F1949" s="2"/>
      <c r="G1949" s="2"/>
      <c r="H1949" s="2"/>
      <c r="I1949" s="5"/>
    </row>
    <row r="1950" spans="1:9" ht="17.399999999999999" x14ac:dyDescent="0.25">
      <c r="A1950" s="16"/>
      <c r="B1950" s="17"/>
      <c r="C1950" s="2" t="b">
        <v>0</v>
      </c>
      <c r="D1950" s="2"/>
      <c r="E1950" s="2"/>
      <c r="F1950" s="2"/>
      <c r="G1950" s="2"/>
      <c r="H1950" s="2"/>
      <c r="I1950" s="5"/>
    </row>
    <row r="1951" spans="1:9" ht="17.399999999999999" x14ac:dyDescent="0.25">
      <c r="A1951" s="16"/>
      <c r="B1951" s="17"/>
      <c r="C1951" s="2" t="b">
        <v>0</v>
      </c>
      <c r="D1951" s="2"/>
      <c r="E1951" s="2"/>
      <c r="F1951" s="2"/>
      <c r="G1951" s="2"/>
      <c r="H1951" s="2"/>
      <c r="I1951" s="5"/>
    </row>
    <row r="1952" spans="1:9" ht="17.399999999999999" x14ac:dyDescent="0.25">
      <c r="A1952" s="16"/>
      <c r="B1952" s="17"/>
      <c r="C1952" s="2" t="b">
        <v>0</v>
      </c>
      <c r="D1952" s="2"/>
      <c r="E1952" s="2"/>
      <c r="F1952" s="2"/>
      <c r="G1952" s="2"/>
      <c r="H1952" s="2"/>
      <c r="I1952" s="5"/>
    </row>
    <row r="1953" spans="1:9" ht="17.399999999999999" x14ac:dyDescent="0.25">
      <c r="A1953" s="16"/>
      <c r="B1953" s="17"/>
      <c r="C1953" s="2" t="b">
        <v>0</v>
      </c>
      <c r="D1953" s="2"/>
      <c r="E1953" s="2"/>
      <c r="F1953" s="2"/>
      <c r="G1953" s="2"/>
      <c r="H1953" s="2"/>
      <c r="I1953" s="5"/>
    </row>
    <row r="1954" spans="1:9" ht="17.399999999999999" x14ac:dyDescent="0.25">
      <c r="A1954" s="16"/>
      <c r="B1954" s="17"/>
      <c r="C1954" s="2" t="b">
        <v>0</v>
      </c>
      <c r="D1954" s="2"/>
      <c r="E1954" s="2"/>
      <c r="F1954" s="2"/>
      <c r="G1954" s="2"/>
      <c r="H1954" s="2"/>
      <c r="I1954" s="5"/>
    </row>
    <row r="1955" spans="1:9" ht="17.399999999999999" x14ac:dyDescent="0.25">
      <c r="A1955" s="16"/>
      <c r="B1955" s="17"/>
      <c r="C1955" s="2" t="b">
        <v>0</v>
      </c>
      <c r="D1955" s="2"/>
      <c r="E1955" s="2"/>
      <c r="F1955" s="2"/>
      <c r="G1955" s="2"/>
      <c r="H1955" s="2"/>
      <c r="I1955" s="5"/>
    </row>
    <row r="1956" spans="1:9" ht="17.399999999999999" x14ac:dyDescent="0.25">
      <c r="A1956" s="16"/>
      <c r="B1956" s="17"/>
      <c r="C1956" s="2" t="b">
        <v>0</v>
      </c>
      <c r="D1956" s="2"/>
      <c r="E1956" s="2"/>
      <c r="F1956" s="2"/>
      <c r="G1956" s="2"/>
      <c r="H1956" s="2"/>
      <c r="I1956" s="5"/>
    </row>
    <row r="1957" spans="1:9" ht="17.399999999999999" x14ac:dyDescent="0.25">
      <c r="A1957" s="16"/>
      <c r="B1957" s="17"/>
      <c r="C1957" s="2" t="b">
        <v>0</v>
      </c>
      <c r="D1957" s="2"/>
      <c r="E1957" s="2"/>
      <c r="F1957" s="2"/>
      <c r="G1957" s="2"/>
      <c r="H1957" s="2"/>
      <c r="I1957" s="5"/>
    </row>
    <row r="1958" spans="1:9" ht="17.399999999999999" x14ac:dyDescent="0.25">
      <c r="A1958" s="16"/>
      <c r="B1958" s="17"/>
      <c r="C1958" s="2" t="b">
        <v>0</v>
      </c>
      <c r="D1958" s="2"/>
      <c r="E1958" s="2"/>
      <c r="F1958" s="2"/>
      <c r="G1958" s="2"/>
      <c r="H1958" s="2"/>
      <c r="I1958" s="5"/>
    </row>
    <row r="1959" spans="1:9" ht="17.399999999999999" x14ac:dyDescent="0.25">
      <c r="A1959" s="16"/>
      <c r="B1959" s="17"/>
      <c r="C1959" s="2" t="b">
        <v>0</v>
      </c>
      <c r="D1959" s="2"/>
      <c r="E1959" s="2"/>
      <c r="F1959" s="2"/>
      <c r="G1959" s="2"/>
      <c r="H1959" s="2"/>
      <c r="I1959" s="5"/>
    </row>
    <row r="1960" spans="1:9" ht="17.399999999999999" x14ac:dyDescent="0.25">
      <c r="A1960" s="16"/>
      <c r="B1960" s="17"/>
      <c r="C1960" s="2" t="b">
        <v>0</v>
      </c>
      <c r="D1960" s="2"/>
      <c r="E1960" s="2"/>
      <c r="F1960" s="2"/>
      <c r="G1960" s="2"/>
      <c r="H1960" s="2"/>
      <c r="I1960" s="5"/>
    </row>
    <row r="1961" spans="1:9" ht="17.399999999999999" x14ac:dyDescent="0.25">
      <c r="A1961" s="16"/>
      <c r="B1961" s="17"/>
      <c r="C1961" s="2" t="b">
        <v>0</v>
      </c>
      <c r="D1961" s="2"/>
      <c r="E1961" s="2"/>
      <c r="F1961" s="2"/>
      <c r="G1961" s="2"/>
      <c r="H1961" s="2"/>
      <c r="I1961" s="5"/>
    </row>
    <row r="1962" spans="1:9" ht="17.399999999999999" x14ac:dyDescent="0.25">
      <c r="A1962" s="16"/>
      <c r="B1962" s="17"/>
      <c r="C1962" s="2" t="b">
        <v>0</v>
      </c>
      <c r="D1962" s="2"/>
      <c r="E1962" s="2"/>
      <c r="F1962" s="2"/>
      <c r="G1962" s="2"/>
      <c r="H1962" s="2"/>
      <c r="I1962" s="5"/>
    </row>
    <row r="1963" spans="1:9" ht="17.399999999999999" x14ac:dyDescent="0.25">
      <c r="A1963" s="16"/>
      <c r="B1963" s="17"/>
      <c r="C1963" s="2" t="b">
        <v>0</v>
      </c>
      <c r="D1963" s="2"/>
      <c r="E1963" s="2"/>
      <c r="F1963" s="2"/>
      <c r="G1963" s="2"/>
      <c r="H1963" s="2"/>
      <c r="I1963" s="5"/>
    </row>
    <row r="1964" spans="1:9" ht="17.399999999999999" x14ac:dyDescent="0.25">
      <c r="A1964" s="16"/>
      <c r="B1964" s="17"/>
      <c r="C1964" s="2" t="b">
        <v>0</v>
      </c>
      <c r="D1964" s="2"/>
      <c r="E1964" s="2"/>
      <c r="F1964" s="2"/>
      <c r="G1964" s="2"/>
      <c r="H1964" s="2"/>
      <c r="I1964" s="5"/>
    </row>
    <row r="1965" spans="1:9" ht="17.399999999999999" x14ac:dyDescent="0.25">
      <c r="A1965" s="16"/>
      <c r="B1965" s="17"/>
      <c r="C1965" s="2" t="b">
        <v>0</v>
      </c>
      <c r="D1965" s="2"/>
      <c r="E1965" s="2"/>
      <c r="F1965" s="2"/>
      <c r="G1965" s="2"/>
      <c r="H1965" s="2"/>
      <c r="I1965" s="5"/>
    </row>
    <row r="1966" spans="1:9" ht="17.399999999999999" x14ac:dyDescent="0.25">
      <c r="A1966" s="16"/>
      <c r="B1966" s="17"/>
      <c r="C1966" s="2" t="b">
        <v>0</v>
      </c>
      <c r="D1966" s="2"/>
      <c r="E1966" s="2"/>
      <c r="F1966" s="2"/>
      <c r="G1966" s="2"/>
      <c r="H1966" s="2"/>
      <c r="I1966" s="5"/>
    </row>
    <row r="1967" spans="1:9" ht="17.399999999999999" x14ac:dyDescent="0.25">
      <c r="A1967" s="16"/>
      <c r="B1967" s="17"/>
      <c r="C1967" s="2" t="b">
        <v>0</v>
      </c>
      <c r="D1967" s="2"/>
      <c r="E1967" s="2"/>
      <c r="F1967" s="2"/>
      <c r="G1967" s="2"/>
      <c r="H1967" s="2"/>
      <c r="I1967" s="5"/>
    </row>
    <row r="1968" spans="1:9" ht="17.399999999999999" x14ac:dyDescent="0.25">
      <c r="A1968" s="16"/>
      <c r="B1968" s="17"/>
      <c r="C1968" s="2" t="b">
        <v>0</v>
      </c>
      <c r="D1968" s="2"/>
      <c r="E1968" s="2"/>
      <c r="F1968" s="2"/>
      <c r="G1968" s="2"/>
      <c r="H1968" s="2"/>
      <c r="I1968" s="5"/>
    </row>
    <row r="1969" spans="1:9" ht="17.399999999999999" x14ac:dyDescent="0.25">
      <c r="A1969" s="16"/>
      <c r="B1969" s="17"/>
      <c r="C1969" s="2" t="b">
        <v>0</v>
      </c>
      <c r="D1969" s="2"/>
      <c r="E1969" s="2"/>
      <c r="F1969" s="2"/>
      <c r="G1969" s="2"/>
      <c r="H1969" s="2"/>
      <c r="I1969" s="5"/>
    </row>
    <row r="1970" spans="1:9" ht="17.399999999999999" x14ac:dyDescent="0.25">
      <c r="A1970" s="16"/>
      <c r="B1970" s="17"/>
      <c r="C1970" s="2" t="b">
        <v>0</v>
      </c>
      <c r="D1970" s="2"/>
      <c r="E1970" s="2"/>
      <c r="F1970" s="2"/>
      <c r="G1970" s="2"/>
      <c r="H1970" s="2"/>
      <c r="I1970" s="5"/>
    </row>
    <row r="1971" spans="1:9" ht="17.399999999999999" x14ac:dyDescent="0.25">
      <c r="A1971" s="16"/>
      <c r="B1971" s="17"/>
      <c r="C1971" s="2" t="b">
        <v>0</v>
      </c>
      <c r="D1971" s="2"/>
      <c r="E1971" s="2"/>
      <c r="F1971" s="2"/>
      <c r="G1971" s="2"/>
      <c r="H1971" s="2"/>
      <c r="I1971" s="5"/>
    </row>
    <row r="1972" spans="1:9" ht="17.399999999999999" x14ac:dyDescent="0.25">
      <c r="A1972" s="16"/>
      <c r="B1972" s="17"/>
      <c r="C1972" s="2" t="b">
        <v>0</v>
      </c>
      <c r="D1972" s="2"/>
      <c r="E1972" s="2"/>
      <c r="F1972" s="2"/>
      <c r="G1972" s="2"/>
      <c r="H1972" s="2"/>
      <c r="I1972" s="5"/>
    </row>
    <row r="1973" spans="1:9" ht="17.399999999999999" x14ac:dyDescent="0.25">
      <c r="A1973" s="16"/>
      <c r="B1973" s="17"/>
      <c r="C1973" s="2" t="b">
        <v>0</v>
      </c>
      <c r="D1973" s="2"/>
      <c r="E1973" s="2"/>
      <c r="F1973" s="2"/>
      <c r="G1973" s="2"/>
      <c r="H1973" s="2"/>
      <c r="I1973" s="5"/>
    </row>
    <row r="1974" spans="1:9" ht="17.399999999999999" x14ac:dyDescent="0.25">
      <c r="A1974" s="16"/>
      <c r="B1974" s="17"/>
      <c r="C1974" s="2" t="b">
        <v>0</v>
      </c>
      <c r="D1974" s="2"/>
      <c r="E1974" s="2"/>
      <c r="F1974" s="2"/>
      <c r="G1974" s="2"/>
      <c r="H1974" s="2"/>
      <c r="I1974" s="5"/>
    </row>
    <row r="1975" spans="1:9" ht="17.399999999999999" x14ac:dyDescent="0.25">
      <c r="A1975" s="16"/>
      <c r="B1975" s="17"/>
      <c r="C1975" s="2" t="b">
        <v>0</v>
      </c>
      <c r="D1975" s="2"/>
      <c r="E1975" s="2"/>
      <c r="F1975" s="2"/>
      <c r="G1975" s="2"/>
      <c r="H1975" s="2"/>
      <c r="I1975" s="5"/>
    </row>
    <row r="1976" spans="1:9" ht="17.399999999999999" x14ac:dyDescent="0.25">
      <c r="A1976" s="16"/>
      <c r="B1976" s="17"/>
      <c r="C1976" s="2" t="b">
        <v>0</v>
      </c>
      <c r="D1976" s="2"/>
      <c r="E1976" s="2"/>
      <c r="F1976" s="2"/>
      <c r="G1976" s="2"/>
      <c r="H1976" s="2"/>
      <c r="I1976" s="5"/>
    </row>
    <row r="1977" spans="1:9" ht="17.399999999999999" x14ac:dyDescent="0.25">
      <c r="A1977" s="16"/>
      <c r="B1977" s="17"/>
      <c r="C1977" s="2" t="b">
        <v>0</v>
      </c>
      <c r="D1977" s="2"/>
      <c r="E1977" s="2"/>
      <c r="F1977" s="2"/>
      <c r="G1977" s="2"/>
      <c r="H1977" s="2"/>
      <c r="I1977" s="5"/>
    </row>
    <row r="1978" spans="1:9" ht="17.399999999999999" x14ac:dyDescent="0.25">
      <c r="A1978" s="16"/>
      <c r="B1978" s="17"/>
      <c r="C1978" s="2" t="b">
        <v>0</v>
      </c>
      <c r="D1978" s="2"/>
      <c r="E1978" s="2"/>
      <c r="F1978" s="2"/>
      <c r="G1978" s="2"/>
      <c r="H1978" s="2"/>
      <c r="I1978" s="5"/>
    </row>
    <row r="1979" spans="1:9" ht="17.399999999999999" x14ac:dyDescent="0.25">
      <c r="A1979" s="16"/>
      <c r="B1979" s="17"/>
      <c r="C1979" s="2" t="b">
        <v>0</v>
      </c>
      <c r="D1979" s="2"/>
      <c r="E1979" s="2"/>
      <c r="F1979" s="2"/>
      <c r="G1979" s="2"/>
      <c r="H1979" s="2"/>
      <c r="I1979" s="5"/>
    </row>
    <row r="1980" spans="1:9" ht="17.399999999999999" x14ac:dyDescent="0.25">
      <c r="A1980" s="16"/>
      <c r="B1980" s="17"/>
      <c r="C1980" s="2" t="b">
        <v>0</v>
      </c>
      <c r="D1980" s="2"/>
      <c r="E1980" s="2"/>
      <c r="F1980" s="2"/>
      <c r="G1980" s="2"/>
      <c r="H1980" s="2"/>
      <c r="I1980" s="5"/>
    </row>
    <row r="1981" spans="1:9" ht="17.399999999999999" x14ac:dyDescent="0.25">
      <c r="A1981" s="16"/>
      <c r="B1981" s="17"/>
      <c r="C1981" s="2" t="b">
        <v>0</v>
      </c>
      <c r="D1981" s="2"/>
      <c r="E1981" s="2"/>
      <c r="F1981" s="2"/>
      <c r="G1981" s="2"/>
      <c r="H1981" s="2"/>
      <c r="I1981" s="5"/>
    </row>
    <row r="1982" spans="1:9" ht="17.399999999999999" x14ac:dyDescent="0.25">
      <c r="A1982" s="16"/>
      <c r="B1982" s="17"/>
      <c r="C1982" s="2" t="b">
        <v>0</v>
      </c>
      <c r="D1982" s="2"/>
      <c r="E1982" s="2"/>
      <c r="F1982" s="2"/>
      <c r="G1982" s="2"/>
      <c r="H1982" s="2"/>
      <c r="I1982" s="5"/>
    </row>
    <row r="1983" spans="1:9" ht="17.399999999999999" x14ac:dyDescent="0.25">
      <c r="A1983" s="16"/>
      <c r="B1983" s="17"/>
      <c r="C1983" s="2" t="b">
        <v>0</v>
      </c>
      <c r="D1983" s="2"/>
      <c r="E1983" s="2"/>
      <c r="F1983" s="2"/>
      <c r="G1983" s="2"/>
      <c r="H1983" s="2"/>
      <c r="I1983" s="5"/>
    </row>
    <row r="1984" spans="1:9" ht="17.399999999999999" x14ac:dyDescent="0.25">
      <c r="A1984" s="16"/>
      <c r="B1984" s="17"/>
      <c r="C1984" s="2" t="b">
        <v>0</v>
      </c>
      <c r="D1984" s="2"/>
      <c r="E1984" s="2"/>
      <c r="F1984" s="2"/>
      <c r="G1984" s="2"/>
      <c r="H1984" s="2"/>
      <c r="I1984" s="5"/>
    </row>
    <row r="1985" spans="1:9" ht="17.399999999999999" x14ac:dyDescent="0.25">
      <c r="A1985" s="16"/>
      <c r="B1985" s="17"/>
      <c r="C1985" s="2" t="b">
        <v>0</v>
      </c>
      <c r="D1985" s="2"/>
      <c r="E1985" s="2"/>
      <c r="F1985" s="2"/>
      <c r="G1985" s="2"/>
      <c r="H1985" s="2"/>
      <c r="I1985" s="5"/>
    </row>
    <row r="1986" spans="1:9" ht="17.399999999999999" x14ac:dyDescent="0.25">
      <c r="A1986" s="16"/>
      <c r="B1986" s="17"/>
      <c r="C1986" s="2" t="b">
        <v>0</v>
      </c>
      <c r="D1986" s="2"/>
      <c r="E1986" s="2"/>
      <c r="F1986" s="2"/>
      <c r="G1986" s="2"/>
      <c r="H1986" s="2"/>
      <c r="I1986" s="5"/>
    </row>
    <row r="1987" spans="1:9" ht="17.399999999999999" x14ac:dyDescent="0.25">
      <c r="A1987" s="16"/>
      <c r="B1987" s="17"/>
      <c r="C1987" s="2" t="b">
        <v>0</v>
      </c>
      <c r="D1987" s="2"/>
      <c r="E1987" s="2"/>
      <c r="F1987" s="2"/>
      <c r="G1987" s="2"/>
      <c r="H1987" s="2"/>
      <c r="I1987" s="5"/>
    </row>
    <row r="1988" spans="1:9" ht="17.399999999999999" x14ac:dyDescent="0.25">
      <c r="A1988" s="16"/>
      <c r="B1988" s="17"/>
      <c r="C1988" s="2" t="b">
        <v>0</v>
      </c>
      <c r="D1988" s="2"/>
      <c r="E1988" s="2"/>
      <c r="F1988" s="2"/>
      <c r="G1988" s="2"/>
      <c r="H1988" s="2"/>
      <c r="I1988" s="5"/>
    </row>
    <row r="1989" spans="1:9" ht="17.399999999999999" x14ac:dyDescent="0.25">
      <c r="A1989" s="16"/>
      <c r="B1989" s="17"/>
      <c r="C1989" s="2" t="b">
        <v>0</v>
      </c>
      <c r="D1989" s="2"/>
      <c r="E1989" s="2"/>
      <c r="F1989" s="2"/>
      <c r="G1989" s="2"/>
      <c r="H1989" s="2"/>
      <c r="I1989" s="5"/>
    </row>
    <row r="1990" spans="1:9" ht="17.399999999999999" x14ac:dyDescent="0.25">
      <c r="A1990" s="16"/>
      <c r="B1990" s="17"/>
      <c r="C1990" s="2" t="b">
        <v>0</v>
      </c>
      <c r="D1990" s="2"/>
      <c r="E1990" s="2"/>
      <c r="F1990" s="2"/>
      <c r="G1990" s="2"/>
      <c r="H1990" s="2"/>
      <c r="I1990" s="5"/>
    </row>
    <row r="1991" spans="1:9" ht="17.399999999999999" x14ac:dyDescent="0.25">
      <c r="A1991" s="16"/>
      <c r="B1991" s="17"/>
      <c r="C1991" s="2" t="b">
        <v>0</v>
      </c>
      <c r="D1991" s="2"/>
      <c r="E1991" s="2"/>
      <c r="F1991" s="2"/>
      <c r="G1991" s="2"/>
      <c r="H1991" s="2"/>
      <c r="I1991" s="5"/>
    </row>
    <row r="1992" spans="1:9" ht="17.399999999999999" x14ac:dyDescent="0.25">
      <c r="A1992" s="16"/>
      <c r="B1992" s="17"/>
      <c r="C1992" s="2" t="b">
        <v>0</v>
      </c>
      <c r="D1992" s="2"/>
      <c r="E1992" s="2"/>
      <c r="F1992" s="2"/>
      <c r="G1992" s="2"/>
      <c r="H1992" s="2"/>
      <c r="I1992" s="5"/>
    </row>
    <row r="1993" spans="1:9" ht="17.399999999999999" x14ac:dyDescent="0.25">
      <c r="A1993" s="16"/>
      <c r="B1993" s="17"/>
      <c r="C1993" s="2" t="b">
        <v>0</v>
      </c>
      <c r="D1993" s="2"/>
      <c r="E1993" s="2"/>
      <c r="F1993" s="2"/>
      <c r="G1993" s="2"/>
      <c r="H1993" s="2"/>
      <c r="I1993" s="5"/>
    </row>
    <row r="1994" spans="1:9" ht="17.399999999999999" x14ac:dyDescent="0.25">
      <c r="A1994" s="16"/>
      <c r="B1994" s="17"/>
      <c r="C1994" s="2" t="b">
        <v>0</v>
      </c>
      <c r="D1994" s="2"/>
      <c r="E1994" s="2"/>
      <c r="F1994" s="2"/>
      <c r="G1994" s="2"/>
      <c r="H1994" s="2"/>
      <c r="I1994" s="5"/>
    </row>
    <row r="1995" spans="1:9" ht="17.399999999999999" x14ac:dyDescent="0.25">
      <c r="A1995" s="16"/>
      <c r="B1995" s="17"/>
      <c r="C1995" s="2" t="b">
        <v>0</v>
      </c>
      <c r="D1995" s="2"/>
      <c r="E1995" s="2"/>
      <c r="F1995" s="2"/>
      <c r="G1995" s="2"/>
      <c r="H1995" s="2"/>
      <c r="I1995" s="5"/>
    </row>
    <row r="1996" spans="1:9" ht="17.399999999999999" x14ac:dyDescent="0.25">
      <c r="A1996" s="16"/>
      <c r="B1996" s="17"/>
      <c r="C1996" s="2" t="b">
        <v>0</v>
      </c>
      <c r="D1996" s="2"/>
      <c r="E1996" s="2"/>
      <c r="F1996" s="2"/>
      <c r="G1996" s="2"/>
      <c r="H1996" s="2"/>
      <c r="I1996" s="5"/>
    </row>
    <row r="1997" spans="1:9" ht="17.399999999999999" x14ac:dyDescent="0.25">
      <c r="A1997" s="16"/>
      <c r="B1997" s="17"/>
      <c r="C1997" s="2" t="b">
        <v>0</v>
      </c>
      <c r="D1997" s="2"/>
      <c r="E1997" s="2"/>
      <c r="F1997" s="2"/>
      <c r="G1997" s="2"/>
      <c r="H1997" s="2"/>
      <c r="I1997" s="5"/>
    </row>
    <row r="1998" spans="1:9" ht="17.399999999999999" x14ac:dyDescent="0.25">
      <c r="A1998" s="16"/>
      <c r="B1998" s="17"/>
      <c r="C1998" s="2" t="b">
        <v>0</v>
      </c>
      <c r="D1998" s="2"/>
      <c r="E1998" s="2"/>
      <c r="F1998" s="2"/>
      <c r="G1998" s="2"/>
      <c r="H1998" s="2"/>
      <c r="I1998" s="5"/>
    </row>
    <row r="1999" spans="1:9" ht="17.399999999999999" x14ac:dyDescent="0.25">
      <c r="A1999" s="16"/>
      <c r="B1999" s="17"/>
      <c r="C1999" s="2" t="b">
        <v>0</v>
      </c>
      <c r="D1999" s="2"/>
      <c r="E1999" s="2"/>
      <c r="F1999" s="2"/>
      <c r="G1999" s="2"/>
      <c r="H1999" s="2"/>
      <c r="I1999" s="5"/>
    </row>
    <row r="2000" spans="1:9" ht="17.399999999999999" x14ac:dyDescent="0.25">
      <c r="A2000" s="16"/>
      <c r="B2000" s="17"/>
      <c r="C2000" s="2" t="b">
        <v>0</v>
      </c>
      <c r="D2000" s="2"/>
      <c r="E2000" s="2"/>
      <c r="F2000" s="2"/>
      <c r="G2000" s="2"/>
      <c r="H2000" s="2"/>
      <c r="I2000" s="5"/>
    </row>
    <row r="2001" spans="1:9" ht="17.399999999999999" x14ac:dyDescent="0.25">
      <c r="A2001" s="16"/>
      <c r="B2001" s="17"/>
      <c r="C2001" s="2" t="b">
        <v>0</v>
      </c>
      <c r="D2001" s="2"/>
      <c r="E2001" s="2"/>
      <c r="F2001" s="2"/>
      <c r="G2001" s="2"/>
      <c r="H2001" s="2"/>
      <c r="I2001" s="5"/>
    </row>
    <row r="2002" spans="1:9" ht="17.399999999999999" x14ac:dyDescent="0.25">
      <c r="A2002" s="16"/>
      <c r="B2002" s="17"/>
      <c r="C2002" s="2" t="b">
        <v>0</v>
      </c>
      <c r="D2002" s="2"/>
      <c r="E2002" s="2"/>
      <c r="F2002" s="2"/>
      <c r="G2002" s="2"/>
      <c r="H2002" s="2"/>
      <c r="I2002" s="5"/>
    </row>
    <row r="2003" spans="1:9" ht="17.399999999999999" x14ac:dyDescent="0.25">
      <c r="A2003" s="16"/>
      <c r="B2003" s="17"/>
      <c r="C2003" s="2" t="b">
        <v>0</v>
      </c>
      <c r="D2003" s="2"/>
      <c r="E2003" s="2"/>
      <c r="F2003" s="2"/>
      <c r="G2003" s="2"/>
      <c r="H2003" s="2"/>
      <c r="I2003" s="5"/>
    </row>
    <row r="2004" spans="1:9" ht="17.399999999999999" x14ac:dyDescent="0.25">
      <c r="A2004" s="16"/>
      <c r="B2004" s="17"/>
      <c r="C2004" s="2" t="b">
        <v>0</v>
      </c>
      <c r="D2004" s="2"/>
      <c r="E2004" s="2"/>
      <c r="F2004" s="2"/>
      <c r="G2004" s="2"/>
      <c r="H2004" s="2"/>
      <c r="I2004" s="5"/>
    </row>
    <row r="2005" spans="1:9" ht="17.399999999999999" x14ac:dyDescent="0.25">
      <c r="A2005" s="16"/>
      <c r="B2005" s="17"/>
      <c r="C2005" s="2" t="b">
        <v>0</v>
      </c>
      <c r="D2005" s="2"/>
      <c r="E2005" s="2"/>
      <c r="F2005" s="2"/>
      <c r="G2005" s="2"/>
      <c r="H2005" s="2"/>
      <c r="I2005" s="5"/>
    </row>
    <row r="2006" spans="1:9" ht="17.399999999999999" x14ac:dyDescent="0.25">
      <c r="A2006" s="16"/>
      <c r="B2006" s="17"/>
      <c r="C2006" s="2" t="b">
        <v>0</v>
      </c>
      <c r="D2006" s="2"/>
      <c r="E2006" s="2"/>
      <c r="F2006" s="2"/>
      <c r="G2006" s="2"/>
      <c r="H2006" s="2"/>
      <c r="I2006" s="5"/>
    </row>
    <row r="2007" spans="1:9" ht="17.399999999999999" x14ac:dyDescent="0.25">
      <c r="A2007" s="16"/>
      <c r="B2007" s="17"/>
      <c r="C2007" s="2" t="b">
        <v>0</v>
      </c>
      <c r="D2007" s="2"/>
      <c r="E2007" s="2"/>
      <c r="F2007" s="2"/>
      <c r="G2007" s="2"/>
      <c r="H2007" s="2"/>
      <c r="I2007" s="5"/>
    </row>
    <row r="2008" spans="1:9" ht="17.399999999999999" x14ac:dyDescent="0.25">
      <c r="A2008" s="16"/>
      <c r="B2008" s="17"/>
      <c r="C2008" s="2" t="b">
        <v>0</v>
      </c>
      <c r="D2008" s="2"/>
      <c r="E2008" s="2"/>
      <c r="F2008" s="2"/>
      <c r="G2008" s="2"/>
      <c r="H2008" s="2"/>
      <c r="I2008" s="5"/>
    </row>
    <row r="2009" spans="1:9" ht="17.399999999999999" x14ac:dyDescent="0.25">
      <c r="A2009" s="16"/>
      <c r="B2009" s="17"/>
      <c r="C2009" s="2" t="b">
        <v>0</v>
      </c>
      <c r="D2009" s="2"/>
      <c r="E2009" s="2"/>
      <c r="F2009" s="2"/>
      <c r="G2009" s="2"/>
      <c r="H2009" s="2"/>
      <c r="I2009" s="5"/>
    </row>
    <row r="2010" spans="1:9" ht="17.399999999999999" x14ac:dyDescent="0.25">
      <c r="A2010" s="16"/>
      <c r="B2010" s="17"/>
      <c r="C2010" s="2" t="b">
        <v>0</v>
      </c>
      <c r="D2010" s="2"/>
      <c r="E2010" s="2"/>
      <c r="F2010" s="2"/>
      <c r="G2010" s="2"/>
      <c r="H2010" s="2"/>
      <c r="I2010" s="5"/>
    </row>
    <row r="2011" spans="1:9" ht="17.399999999999999" x14ac:dyDescent="0.25">
      <c r="A2011" s="16"/>
      <c r="B2011" s="17"/>
      <c r="C2011" s="2" t="b">
        <v>0</v>
      </c>
      <c r="D2011" s="2"/>
      <c r="E2011" s="2"/>
      <c r="F2011" s="2"/>
      <c r="G2011" s="2"/>
      <c r="H2011" s="2"/>
      <c r="I2011" s="5"/>
    </row>
    <row r="2012" spans="1:9" ht="17.399999999999999" x14ac:dyDescent="0.25">
      <c r="A2012" s="16"/>
      <c r="B2012" s="17"/>
      <c r="C2012" s="2" t="b">
        <v>0</v>
      </c>
      <c r="D2012" s="2"/>
      <c r="E2012" s="2"/>
      <c r="F2012" s="2"/>
      <c r="G2012" s="2"/>
      <c r="H2012" s="2"/>
      <c r="I2012" s="5"/>
    </row>
    <row r="2013" spans="1:9" ht="17.399999999999999" x14ac:dyDescent="0.25">
      <c r="A2013" s="16"/>
      <c r="B2013" s="17"/>
      <c r="C2013" s="2" t="b">
        <v>0</v>
      </c>
      <c r="D2013" s="2"/>
      <c r="E2013" s="2"/>
      <c r="F2013" s="2"/>
      <c r="G2013" s="2"/>
      <c r="H2013" s="2"/>
      <c r="I2013" s="5"/>
    </row>
    <row r="2014" spans="1:9" ht="17.399999999999999" x14ac:dyDescent="0.25">
      <c r="A2014" s="16"/>
      <c r="B2014" s="17"/>
      <c r="C2014" s="2" t="b">
        <v>0</v>
      </c>
      <c r="D2014" s="2"/>
      <c r="E2014" s="2"/>
      <c r="F2014" s="2"/>
      <c r="G2014" s="2"/>
      <c r="H2014" s="2"/>
      <c r="I2014" s="5"/>
    </row>
    <row r="2015" spans="1:9" ht="17.399999999999999" x14ac:dyDescent="0.25">
      <c r="A2015" s="16"/>
      <c r="B2015" s="17"/>
      <c r="C2015" s="2" t="b">
        <v>0</v>
      </c>
      <c r="D2015" s="2"/>
      <c r="E2015" s="2"/>
      <c r="F2015" s="2"/>
      <c r="G2015" s="2"/>
      <c r="H2015" s="2"/>
      <c r="I2015" s="5"/>
    </row>
    <row r="2016" spans="1:9" ht="17.399999999999999" x14ac:dyDescent="0.25">
      <c r="A2016" s="16"/>
      <c r="B2016" s="17"/>
      <c r="C2016" s="2" t="b">
        <v>0</v>
      </c>
      <c r="D2016" s="2"/>
      <c r="E2016" s="2"/>
      <c r="F2016" s="2"/>
      <c r="G2016" s="2"/>
      <c r="H2016" s="2"/>
      <c r="I2016" s="5"/>
    </row>
    <row r="2017" spans="1:9" ht="17.399999999999999" x14ac:dyDescent="0.25">
      <c r="A2017" s="16"/>
      <c r="B2017" s="17"/>
      <c r="C2017" s="2" t="b">
        <v>0</v>
      </c>
      <c r="D2017" s="2"/>
      <c r="E2017" s="2"/>
      <c r="F2017" s="2"/>
      <c r="G2017" s="2"/>
      <c r="H2017" s="2"/>
      <c r="I2017" s="5"/>
    </row>
    <row r="2018" spans="1:9" ht="17.399999999999999" x14ac:dyDescent="0.25">
      <c r="A2018" s="16"/>
      <c r="B2018" s="17"/>
      <c r="C2018" s="2" t="b">
        <v>0</v>
      </c>
      <c r="D2018" s="2"/>
      <c r="E2018" s="2"/>
      <c r="F2018" s="2"/>
      <c r="G2018" s="2"/>
      <c r="H2018" s="2"/>
      <c r="I2018" s="5"/>
    </row>
    <row r="2019" spans="1:9" ht="17.399999999999999" x14ac:dyDescent="0.25">
      <c r="A2019" s="16"/>
      <c r="B2019" s="17"/>
      <c r="C2019" s="2" t="b">
        <v>0</v>
      </c>
      <c r="D2019" s="2"/>
      <c r="E2019" s="2"/>
      <c r="F2019" s="2"/>
      <c r="G2019" s="2"/>
      <c r="H2019" s="2"/>
      <c r="I2019" s="5"/>
    </row>
    <row r="2020" spans="1:9" ht="17.399999999999999" x14ac:dyDescent="0.25">
      <c r="A2020" s="16"/>
      <c r="B2020" s="17"/>
      <c r="C2020" s="2" t="b">
        <v>0</v>
      </c>
      <c r="D2020" s="2"/>
      <c r="E2020" s="2"/>
      <c r="F2020" s="2"/>
      <c r="G2020" s="2"/>
      <c r="H2020" s="2"/>
      <c r="I2020" s="5"/>
    </row>
    <row r="2021" spans="1:9" ht="17.399999999999999" x14ac:dyDescent="0.25">
      <c r="A2021" s="16"/>
      <c r="B2021" s="17"/>
      <c r="C2021" s="2" t="b">
        <v>0</v>
      </c>
      <c r="D2021" s="2"/>
      <c r="E2021" s="2"/>
      <c r="F2021" s="2"/>
      <c r="G2021" s="2"/>
      <c r="H2021" s="2"/>
      <c r="I2021" s="5"/>
    </row>
    <row r="2022" spans="1:9" ht="17.399999999999999" x14ac:dyDescent="0.25">
      <c r="A2022" s="16"/>
      <c r="B2022" s="17"/>
      <c r="C2022" s="2" t="b">
        <v>0</v>
      </c>
      <c r="D2022" s="2"/>
      <c r="E2022" s="2"/>
      <c r="F2022" s="2"/>
      <c r="G2022" s="2"/>
      <c r="H2022" s="2"/>
      <c r="I2022" s="5"/>
    </row>
    <row r="2023" spans="1:9" ht="17.399999999999999" x14ac:dyDescent="0.25">
      <c r="A2023" s="16"/>
      <c r="B2023" s="17"/>
      <c r="C2023" s="2" t="b">
        <v>0</v>
      </c>
      <c r="D2023" s="2"/>
      <c r="E2023" s="2"/>
      <c r="F2023" s="2"/>
      <c r="G2023" s="2"/>
      <c r="H2023" s="2"/>
      <c r="I2023" s="5"/>
    </row>
    <row r="2024" spans="1:9" ht="17.399999999999999" x14ac:dyDescent="0.25">
      <c r="A2024" s="16"/>
      <c r="B2024" s="17"/>
      <c r="C2024" s="2" t="b">
        <v>0</v>
      </c>
      <c r="D2024" s="2"/>
      <c r="E2024" s="2"/>
      <c r="F2024" s="2"/>
      <c r="G2024" s="2"/>
      <c r="H2024" s="2"/>
      <c r="I2024" s="5"/>
    </row>
    <row r="2025" spans="1:9" ht="17.399999999999999" x14ac:dyDescent="0.25">
      <c r="A2025" s="16"/>
      <c r="B2025" s="17"/>
      <c r="C2025" s="2" t="b">
        <v>0</v>
      </c>
      <c r="D2025" s="2"/>
      <c r="E2025" s="2"/>
      <c r="F2025" s="2"/>
      <c r="G2025" s="2"/>
      <c r="H2025" s="2"/>
      <c r="I2025" s="5"/>
    </row>
    <row r="2026" spans="1:9" ht="17.399999999999999" x14ac:dyDescent="0.25">
      <c r="A2026" s="16"/>
      <c r="B2026" s="17"/>
      <c r="C2026" s="2" t="b">
        <v>0</v>
      </c>
      <c r="D2026" s="2"/>
      <c r="E2026" s="2"/>
      <c r="F2026" s="2"/>
      <c r="G2026" s="2"/>
      <c r="H2026" s="2"/>
      <c r="I2026" s="5"/>
    </row>
    <row r="2027" spans="1:9" ht="17.399999999999999" x14ac:dyDescent="0.25">
      <c r="A2027" s="16"/>
      <c r="B2027" s="17"/>
      <c r="C2027" s="2" t="b">
        <v>0</v>
      </c>
      <c r="D2027" s="2"/>
      <c r="E2027" s="2"/>
      <c r="F2027" s="2"/>
      <c r="G2027" s="2"/>
      <c r="H2027" s="2"/>
      <c r="I2027" s="5"/>
    </row>
    <row r="2028" spans="1:9" ht="17.399999999999999" x14ac:dyDescent="0.25">
      <c r="A2028" s="16"/>
      <c r="B2028" s="17"/>
      <c r="C2028" s="2" t="b">
        <v>0</v>
      </c>
      <c r="D2028" s="2"/>
      <c r="E2028" s="2"/>
      <c r="F2028" s="2"/>
      <c r="G2028" s="2"/>
      <c r="H2028" s="2"/>
      <c r="I2028" s="5"/>
    </row>
    <row r="2029" spans="1:9" ht="17.399999999999999" x14ac:dyDescent="0.25">
      <c r="A2029" s="16"/>
      <c r="B2029" s="17"/>
      <c r="C2029" s="2" t="b">
        <v>0</v>
      </c>
      <c r="D2029" s="2"/>
      <c r="E2029" s="2"/>
      <c r="F2029" s="2"/>
      <c r="G2029" s="2"/>
      <c r="H2029" s="2"/>
      <c r="I2029" s="5"/>
    </row>
    <row r="2030" spans="1:9" ht="17.399999999999999" x14ac:dyDescent="0.25">
      <c r="A2030" s="16"/>
      <c r="B2030" s="17"/>
      <c r="C2030" s="2" t="b">
        <v>0</v>
      </c>
      <c r="D2030" s="2"/>
      <c r="E2030" s="2"/>
      <c r="F2030" s="2"/>
      <c r="G2030" s="2"/>
      <c r="H2030" s="2"/>
      <c r="I2030" s="5"/>
    </row>
    <row r="2031" spans="1:9" ht="17.399999999999999" x14ac:dyDescent="0.25">
      <c r="A2031" s="16"/>
      <c r="B2031" s="17"/>
      <c r="C2031" s="2" t="b">
        <v>0</v>
      </c>
      <c r="D2031" s="2"/>
      <c r="E2031" s="2"/>
      <c r="F2031" s="2"/>
      <c r="G2031" s="2"/>
      <c r="H2031" s="2"/>
      <c r="I2031" s="5"/>
    </row>
    <row r="2032" spans="1:9" ht="17.399999999999999" x14ac:dyDescent="0.25">
      <c r="A2032" s="16"/>
      <c r="B2032" s="17"/>
      <c r="C2032" s="2" t="b">
        <v>0</v>
      </c>
      <c r="D2032" s="2"/>
      <c r="E2032" s="2"/>
      <c r="F2032" s="2"/>
      <c r="G2032" s="2"/>
      <c r="H2032" s="2"/>
      <c r="I2032" s="5"/>
    </row>
    <row r="2033" spans="1:9" ht="17.399999999999999" x14ac:dyDescent="0.25">
      <c r="A2033" s="16"/>
      <c r="B2033" s="17"/>
      <c r="C2033" s="2" t="b">
        <v>0</v>
      </c>
      <c r="D2033" s="2"/>
      <c r="E2033" s="2"/>
      <c r="F2033" s="2"/>
      <c r="G2033" s="2"/>
      <c r="H2033" s="2"/>
      <c r="I2033" s="5"/>
    </row>
    <row r="2034" spans="1:9" ht="17.399999999999999" x14ac:dyDescent="0.25">
      <c r="A2034" s="16"/>
      <c r="B2034" s="17"/>
      <c r="C2034" s="2" t="b">
        <v>0</v>
      </c>
      <c r="D2034" s="2"/>
      <c r="E2034" s="2"/>
      <c r="F2034" s="2"/>
      <c r="G2034" s="2"/>
      <c r="H2034" s="2"/>
      <c r="I2034" s="5"/>
    </row>
    <row r="2035" spans="1:9" ht="17.399999999999999" x14ac:dyDescent="0.25">
      <c r="A2035" s="16"/>
      <c r="B2035" s="17"/>
      <c r="C2035" s="2" t="b">
        <v>0</v>
      </c>
      <c r="D2035" s="2"/>
      <c r="E2035" s="2"/>
      <c r="F2035" s="2"/>
      <c r="G2035" s="2"/>
      <c r="H2035" s="2"/>
      <c r="I2035" s="5"/>
    </row>
    <row r="2036" spans="1:9" ht="17.399999999999999" x14ac:dyDescent="0.25">
      <c r="A2036" s="16"/>
      <c r="B2036" s="17"/>
      <c r="C2036" s="2" t="b">
        <v>0</v>
      </c>
      <c r="D2036" s="2"/>
      <c r="E2036" s="2"/>
      <c r="F2036" s="2"/>
      <c r="G2036" s="2"/>
      <c r="H2036" s="2"/>
      <c r="I2036" s="5"/>
    </row>
    <row r="2037" spans="1:9" ht="17.399999999999999" x14ac:dyDescent="0.25">
      <c r="A2037" s="16"/>
      <c r="B2037" s="17"/>
      <c r="C2037" s="2" t="b">
        <v>0</v>
      </c>
      <c r="D2037" s="2"/>
      <c r="E2037" s="2"/>
      <c r="F2037" s="2"/>
      <c r="G2037" s="2"/>
      <c r="H2037" s="2"/>
      <c r="I2037" s="5"/>
    </row>
    <row r="2038" spans="1:9" ht="17.399999999999999" x14ac:dyDescent="0.25">
      <c r="A2038" s="16"/>
      <c r="B2038" s="17"/>
      <c r="C2038" s="2" t="b">
        <v>0</v>
      </c>
      <c r="D2038" s="2"/>
      <c r="E2038" s="2"/>
      <c r="F2038" s="2"/>
      <c r="G2038" s="2"/>
      <c r="H2038" s="2"/>
      <c r="I2038" s="5"/>
    </row>
    <row r="2039" spans="1:9" ht="17.399999999999999" x14ac:dyDescent="0.25">
      <c r="A2039" s="16"/>
      <c r="B2039" s="17"/>
      <c r="C2039" s="2" t="b">
        <v>0</v>
      </c>
      <c r="D2039" s="2"/>
      <c r="E2039" s="2"/>
      <c r="F2039" s="2"/>
      <c r="G2039" s="2"/>
      <c r="H2039" s="2"/>
      <c r="I2039" s="5"/>
    </row>
    <row r="2040" spans="1:9" ht="17.399999999999999" x14ac:dyDescent="0.25">
      <c r="A2040" s="16"/>
      <c r="B2040" s="17"/>
      <c r="C2040" s="2" t="b">
        <v>0</v>
      </c>
      <c r="D2040" s="2"/>
      <c r="E2040" s="2"/>
      <c r="F2040" s="2"/>
      <c r="G2040" s="2"/>
      <c r="H2040" s="2"/>
      <c r="I2040" s="5"/>
    </row>
    <row r="2041" spans="1:9" ht="17.399999999999999" x14ac:dyDescent="0.25">
      <c r="A2041" s="16"/>
      <c r="B2041" s="17"/>
      <c r="C2041" s="2" t="b">
        <v>0</v>
      </c>
      <c r="D2041" s="2"/>
      <c r="E2041" s="2"/>
      <c r="F2041" s="2"/>
      <c r="G2041" s="2"/>
      <c r="H2041" s="2"/>
      <c r="I2041" s="5"/>
    </row>
    <row r="2042" spans="1:9" ht="17.399999999999999" x14ac:dyDescent="0.25">
      <c r="A2042" s="16"/>
      <c r="B2042" s="17"/>
      <c r="C2042" s="2" t="b">
        <v>0</v>
      </c>
      <c r="D2042" s="2"/>
      <c r="E2042" s="2"/>
      <c r="F2042" s="2"/>
      <c r="G2042" s="2"/>
      <c r="H2042" s="2"/>
      <c r="I2042" s="5"/>
    </row>
    <row r="2043" spans="1:9" ht="17.399999999999999" x14ac:dyDescent="0.25">
      <c r="A2043" s="16"/>
      <c r="B2043" s="17"/>
      <c r="C2043" s="2" t="b">
        <v>0</v>
      </c>
      <c r="D2043" s="2"/>
      <c r="E2043" s="2"/>
      <c r="F2043" s="2"/>
      <c r="G2043" s="2"/>
      <c r="H2043" s="2"/>
      <c r="I2043" s="5"/>
    </row>
    <row r="2044" spans="1:9" ht="17.399999999999999" x14ac:dyDescent="0.25">
      <c r="A2044" s="16"/>
      <c r="B2044" s="17"/>
      <c r="C2044" s="2" t="b">
        <v>0</v>
      </c>
      <c r="D2044" s="2"/>
      <c r="E2044" s="2"/>
      <c r="F2044" s="2"/>
      <c r="G2044" s="2"/>
      <c r="H2044" s="2"/>
      <c r="I2044" s="5"/>
    </row>
    <row r="2045" spans="1:9" ht="17.399999999999999" x14ac:dyDescent="0.25">
      <c r="A2045" s="16"/>
      <c r="B2045" s="17"/>
      <c r="C2045" s="2" t="b">
        <v>0</v>
      </c>
      <c r="D2045" s="2"/>
      <c r="E2045" s="2"/>
      <c r="F2045" s="2"/>
      <c r="G2045" s="2"/>
      <c r="H2045" s="2"/>
      <c r="I2045" s="5"/>
    </row>
    <row r="2046" spans="1:9" ht="17.399999999999999" x14ac:dyDescent="0.25">
      <c r="A2046" s="16"/>
      <c r="B2046" s="17"/>
      <c r="C2046" s="2" t="b">
        <v>0</v>
      </c>
      <c r="D2046" s="2"/>
      <c r="E2046" s="2"/>
      <c r="F2046" s="2"/>
      <c r="G2046" s="2"/>
      <c r="H2046" s="2"/>
      <c r="I2046" s="5"/>
    </row>
    <row r="2047" spans="1:9" ht="17.399999999999999" x14ac:dyDescent="0.25">
      <c r="A2047" s="16"/>
      <c r="B2047" s="17"/>
      <c r="C2047" s="2" t="b">
        <v>0</v>
      </c>
      <c r="D2047" s="2"/>
      <c r="E2047" s="2"/>
      <c r="F2047" s="2"/>
      <c r="G2047" s="2"/>
      <c r="H2047" s="2"/>
      <c r="I2047" s="5"/>
    </row>
    <row r="2048" spans="1:9" ht="17.399999999999999" x14ac:dyDescent="0.25">
      <c r="A2048" s="16"/>
      <c r="B2048" s="17"/>
      <c r="C2048" s="2" t="b">
        <v>0</v>
      </c>
      <c r="D2048" s="2"/>
      <c r="E2048" s="2"/>
      <c r="F2048" s="2"/>
      <c r="G2048" s="2"/>
      <c r="H2048" s="2"/>
      <c r="I2048" s="5"/>
    </row>
    <row r="2049" spans="1:9" ht="17.399999999999999" x14ac:dyDescent="0.25">
      <c r="A2049" s="16"/>
      <c r="B2049" s="17"/>
      <c r="C2049" s="2" t="b">
        <v>0</v>
      </c>
      <c r="D2049" s="2"/>
      <c r="E2049" s="2"/>
      <c r="F2049" s="2"/>
      <c r="G2049" s="2"/>
      <c r="H2049" s="2"/>
      <c r="I2049" s="5"/>
    </row>
    <row r="2050" spans="1:9" ht="17.399999999999999" x14ac:dyDescent="0.25">
      <c r="A2050" s="16"/>
      <c r="B2050" s="17"/>
      <c r="C2050" s="2" t="b">
        <v>0</v>
      </c>
      <c r="D2050" s="2"/>
      <c r="E2050" s="2"/>
      <c r="F2050" s="2"/>
      <c r="G2050" s="2"/>
      <c r="H2050" s="2"/>
      <c r="I2050" s="5"/>
    </row>
    <row r="2051" spans="1:9" ht="17.399999999999999" x14ac:dyDescent="0.25">
      <c r="A2051" s="16"/>
      <c r="B2051" s="17"/>
      <c r="C2051" s="2" t="b">
        <v>0</v>
      </c>
      <c r="D2051" s="2"/>
      <c r="E2051" s="2"/>
      <c r="F2051" s="2"/>
      <c r="G2051" s="2"/>
      <c r="H2051" s="2"/>
      <c r="I2051" s="5"/>
    </row>
    <row r="2052" spans="1:9" ht="17.399999999999999" x14ac:dyDescent="0.25">
      <c r="A2052" s="16"/>
      <c r="B2052" s="17"/>
      <c r="C2052" s="2" t="b">
        <v>0</v>
      </c>
      <c r="D2052" s="2"/>
      <c r="E2052" s="2"/>
      <c r="F2052" s="2"/>
      <c r="G2052" s="2"/>
      <c r="H2052" s="2"/>
      <c r="I2052" s="5"/>
    </row>
    <row r="2053" spans="1:9" ht="17.399999999999999" x14ac:dyDescent="0.25">
      <c r="A2053" s="16"/>
      <c r="B2053" s="17"/>
      <c r="C2053" s="2" t="b">
        <v>0</v>
      </c>
      <c r="D2053" s="2"/>
      <c r="E2053" s="2"/>
      <c r="F2053" s="2"/>
      <c r="G2053" s="2"/>
      <c r="H2053" s="2"/>
      <c r="I2053" s="5"/>
    </row>
    <row r="2054" spans="1:9" ht="17.399999999999999" x14ac:dyDescent="0.25">
      <c r="A2054" s="16"/>
      <c r="B2054" s="17"/>
      <c r="C2054" s="2" t="b">
        <v>0</v>
      </c>
      <c r="D2054" s="2"/>
      <c r="E2054" s="2"/>
      <c r="F2054" s="2"/>
      <c r="G2054" s="2"/>
      <c r="H2054" s="2"/>
      <c r="I2054" s="5"/>
    </row>
    <row r="2055" spans="1:9" ht="17.399999999999999" x14ac:dyDescent="0.25">
      <c r="A2055" s="16"/>
      <c r="B2055" s="17"/>
      <c r="C2055" s="2" t="b">
        <v>0</v>
      </c>
      <c r="D2055" s="2"/>
      <c r="E2055" s="2"/>
      <c r="F2055" s="2"/>
      <c r="G2055" s="2"/>
      <c r="H2055" s="2"/>
      <c r="I2055" s="5"/>
    </row>
    <row r="2056" spans="1:9" ht="17.399999999999999" x14ac:dyDescent="0.25">
      <c r="A2056" s="16"/>
      <c r="B2056" s="17"/>
      <c r="C2056" s="2" t="b">
        <v>0</v>
      </c>
      <c r="D2056" s="2"/>
      <c r="E2056" s="2"/>
      <c r="F2056" s="2"/>
      <c r="G2056" s="2"/>
      <c r="H2056" s="2"/>
      <c r="I2056" s="5"/>
    </row>
    <row r="2057" spans="1:9" ht="17.399999999999999" x14ac:dyDescent="0.25">
      <c r="A2057" s="16"/>
      <c r="B2057" s="17"/>
      <c r="C2057" s="2" t="b">
        <v>0</v>
      </c>
      <c r="D2057" s="2"/>
      <c r="E2057" s="2"/>
      <c r="F2057" s="2"/>
      <c r="G2057" s="2"/>
      <c r="H2057" s="2"/>
      <c r="I2057" s="5"/>
    </row>
    <row r="2058" spans="1:9" ht="17.399999999999999" x14ac:dyDescent="0.25">
      <c r="A2058" s="16"/>
      <c r="B2058" s="17"/>
      <c r="C2058" s="2" t="b">
        <v>0</v>
      </c>
      <c r="D2058" s="2"/>
      <c r="E2058" s="2"/>
      <c r="F2058" s="2"/>
      <c r="G2058" s="2"/>
      <c r="H2058" s="2"/>
      <c r="I2058" s="5"/>
    </row>
    <row r="2059" spans="1:9" ht="17.399999999999999" x14ac:dyDescent="0.25">
      <c r="A2059" s="16"/>
      <c r="B2059" s="17"/>
      <c r="C2059" s="2" t="b">
        <v>0</v>
      </c>
      <c r="D2059" s="2"/>
      <c r="E2059" s="2"/>
      <c r="F2059" s="2"/>
      <c r="G2059" s="2"/>
      <c r="H2059" s="2"/>
      <c r="I2059" s="5"/>
    </row>
    <row r="2060" spans="1:9" ht="17.399999999999999" x14ac:dyDescent="0.25">
      <c r="A2060" s="16"/>
      <c r="B2060" s="17"/>
      <c r="C2060" s="2" t="b">
        <v>0</v>
      </c>
      <c r="D2060" s="2"/>
      <c r="E2060" s="2"/>
      <c r="F2060" s="2"/>
      <c r="G2060" s="2"/>
      <c r="H2060" s="2"/>
      <c r="I2060" s="5"/>
    </row>
    <row r="2061" spans="1:9" ht="17.399999999999999" x14ac:dyDescent="0.25">
      <c r="A2061" s="16"/>
      <c r="B2061" s="17"/>
      <c r="C2061" s="2" t="b">
        <v>0</v>
      </c>
      <c r="D2061" s="2"/>
      <c r="E2061" s="2"/>
      <c r="F2061" s="2"/>
      <c r="G2061" s="2"/>
      <c r="H2061" s="2"/>
      <c r="I2061" s="5"/>
    </row>
    <row r="2062" spans="1:9" ht="17.399999999999999" x14ac:dyDescent="0.25">
      <c r="A2062" s="16"/>
      <c r="B2062" s="17"/>
      <c r="C2062" s="2" t="b">
        <v>0</v>
      </c>
      <c r="D2062" s="2"/>
      <c r="E2062" s="2"/>
      <c r="F2062" s="2"/>
      <c r="G2062" s="2"/>
      <c r="H2062" s="2"/>
      <c r="I2062" s="5"/>
    </row>
    <row r="2063" spans="1:9" ht="17.399999999999999" x14ac:dyDescent="0.25">
      <c r="A2063" s="16"/>
      <c r="B2063" s="17"/>
      <c r="C2063" s="2" t="b">
        <v>0</v>
      </c>
      <c r="D2063" s="2"/>
      <c r="E2063" s="2"/>
      <c r="F2063" s="2"/>
      <c r="G2063" s="2"/>
      <c r="H2063" s="2"/>
      <c r="I2063" s="5"/>
    </row>
    <row r="2064" spans="1:9" ht="17.399999999999999" x14ac:dyDescent="0.25">
      <c r="A2064" s="16"/>
      <c r="B2064" s="17"/>
      <c r="C2064" s="2" t="b">
        <v>0</v>
      </c>
      <c r="D2064" s="2"/>
      <c r="E2064" s="2"/>
      <c r="F2064" s="2"/>
      <c r="G2064" s="2"/>
      <c r="H2064" s="2"/>
      <c r="I2064" s="5"/>
    </row>
    <row r="2065" spans="1:9" ht="17.399999999999999" x14ac:dyDescent="0.25">
      <c r="A2065" s="16"/>
      <c r="B2065" s="17"/>
      <c r="C2065" s="2" t="b">
        <v>0</v>
      </c>
      <c r="D2065" s="2"/>
      <c r="E2065" s="2"/>
      <c r="F2065" s="2"/>
      <c r="G2065" s="2"/>
      <c r="H2065" s="2"/>
      <c r="I2065" s="5"/>
    </row>
    <row r="2066" spans="1:9" ht="17.399999999999999" x14ac:dyDescent="0.25">
      <c r="A2066" s="16"/>
      <c r="B2066" s="17"/>
      <c r="C2066" s="2" t="b">
        <v>0</v>
      </c>
      <c r="D2066" s="2"/>
      <c r="E2066" s="2"/>
      <c r="F2066" s="2"/>
      <c r="G2066" s="2"/>
      <c r="H2066" s="2"/>
      <c r="I2066" s="5"/>
    </row>
    <row r="2067" spans="1:9" ht="17.399999999999999" x14ac:dyDescent="0.25">
      <c r="A2067" s="16"/>
      <c r="B2067" s="17"/>
      <c r="C2067" s="2" t="b">
        <v>0</v>
      </c>
      <c r="D2067" s="2"/>
      <c r="E2067" s="2"/>
      <c r="F2067" s="2"/>
      <c r="G2067" s="2"/>
      <c r="H2067" s="2"/>
      <c r="I2067" s="5"/>
    </row>
    <row r="2068" spans="1:9" ht="17.399999999999999" x14ac:dyDescent="0.25">
      <c r="A2068" s="16"/>
      <c r="B2068" s="17"/>
      <c r="C2068" s="2" t="b">
        <v>0</v>
      </c>
      <c r="D2068" s="2"/>
      <c r="E2068" s="2"/>
      <c r="F2068" s="2"/>
      <c r="G2068" s="2"/>
      <c r="H2068" s="2"/>
      <c r="I2068" s="5"/>
    </row>
    <row r="2069" spans="1:9" ht="17.399999999999999" x14ac:dyDescent="0.25">
      <c r="A2069" s="16"/>
      <c r="B2069" s="17"/>
      <c r="C2069" s="2" t="b">
        <v>0</v>
      </c>
      <c r="D2069" s="2"/>
      <c r="E2069" s="2"/>
      <c r="F2069" s="2"/>
      <c r="G2069" s="2"/>
      <c r="H2069" s="2"/>
      <c r="I2069" s="5"/>
    </row>
    <row r="2070" spans="1:9" ht="17.399999999999999" x14ac:dyDescent="0.25">
      <c r="A2070" s="16"/>
      <c r="B2070" s="17"/>
      <c r="C2070" s="2" t="b">
        <v>0</v>
      </c>
      <c r="D2070" s="2"/>
      <c r="E2070" s="2"/>
      <c r="F2070" s="2"/>
      <c r="G2070" s="2"/>
      <c r="H2070" s="2"/>
      <c r="I2070" s="5"/>
    </row>
    <row r="2071" spans="1:9" ht="17.399999999999999" x14ac:dyDescent="0.25">
      <c r="A2071" s="16"/>
      <c r="B2071" s="17"/>
      <c r="C2071" s="2" t="b">
        <v>0</v>
      </c>
      <c r="D2071" s="2"/>
      <c r="E2071" s="2"/>
      <c r="F2071" s="2"/>
      <c r="G2071" s="2"/>
      <c r="H2071" s="2"/>
      <c r="I2071" s="5"/>
    </row>
    <row r="2072" spans="1:9" ht="17.399999999999999" x14ac:dyDescent="0.25">
      <c r="A2072" s="16"/>
      <c r="B2072" s="17"/>
      <c r="C2072" s="2" t="b">
        <v>0</v>
      </c>
      <c r="D2072" s="2"/>
      <c r="E2072" s="2"/>
      <c r="F2072" s="2"/>
      <c r="G2072" s="2"/>
      <c r="H2072" s="2"/>
      <c r="I2072" s="5"/>
    </row>
    <row r="2073" spans="1:9" ht="17.399999999999999" x14ac:dyDescent="0.25">
      <c r="A2073" s="16"/>
      <c r="B2073" s="17"/>
      <c r="C2073" s="2" t="b">
        <v>0</v>
      </c>
      <c r="D2073" s="2"/>
      <c r="E2073" s="2"/>
      <c r="F2073" s="2"/>
      <c r="G2073" s="2"/>
      <c r="H2073" s="2"/>
      <c r="I2073" s="5"/>
    </row>
    <row r="2074" spans="1:9" ht="17.399999999999999" x14ac:dyDescent="0.25">
      <c r="A2074" s="16"/>
      <c r="B2074" s="17"/>
      <c r="C2074" s="2" t="b">
        <v>0</v>
      </c>
      <c r="D2074" s="2"/>
      <c r="E2074" s="2"/>
      <c r="F2074" s="2"/>
      <c r="G2074" s="2"/>
      <c r="H2074" s="2"/>
      <c r="I2074" s="5"/>
    </row>
    <row r="2075" spans="1:9" ht="17.399999999999999" x14ac:dyDescent="0.25">
      <c r="A2075" s="16"/>
      <c r="B2075" s="17"/>
      <c r="C2075" s="2" t="b">
        <v>0</v>
      </c>
      <c r="D2075" s="2"/>
      <c r="E2075" s="2"/>
      <c r="F2075" s="2"/>
      <c r="G2075" s="2"/>
      <c r="H2075" s="2"/>
      <c r="I2075" s="5"/>
    </row>
    <row r="2076" spans="1:9" ht="17.399999999999999" x14ac:dyDescent="0.25">
      <c r="A2076" s="16"/>
      <c r="B2076" s="17"/>
      <c r="C2076" s="2" t="b">
        <v>0</v>
      </c>
      <c r="D2076" s="2"/>
      <c r="E2076" s="2"/>
      <c r="F2076" s="2"/>
      <c r="G2076" s="2"/>
      <c r="H2076" s="2"/>
      <c r="I2076" s="5"/>
    </row>
    <row r="2077" spans="1:9" ht="17.399999999999999" x14ac:dyDescent="0.25">
      <c r="A2077" s="16"/>
      <c r="B2077" s="17"/>
      <c r="C2077" s="2" t="b">
        <v>0</v>
      </c>
      <c r="D2077" s="2"/>
      <c r="E2077" s="2"/>
      <c r="F2077" s="2"/>
      <c r="G2077" s="2"/>
      <c r="H2077" s="2"/>
      <c r="I2077" s="5"/>
    </row>
    <row r="2078" spans="1:9" ht="17.399999999999999" x14ac:dyDescent="0.25">
      <c r="A2078" s="16"/>
      <c r="B2078" s="17"/>
      <c r="C2078" s="2" t="b">
        <v>0</v>
      </c>
      <c r="D2078" s="2"/>
      <c r="E2078" s="2"/>
      <c r="F2078" s="2"/>
      <c r="G2078" s="2"/>
      <c r="H2078" s="2"/>
      <c r="I2078" s="5"/>
    </row>
    <row r="2079" spans="1:9" ht="17.399999999999999" x14ac:dyDescent="0.25">
      <c r="A2079" s="16"/>
      <c r="B2079" s="17"/>
      <c r="C2079" s="2" t="b">
        <v>0</v>
      </c>
      <c r="D2079" s="2"/>
      <c r="E2079" s="2"/>
      <c r="F2079" s="2"/>
      <c r="G2079" s="2"/>
      <c r="H2079" s="2"/>
      <c r="I2079" s="5"/>
    </row>
    <row r="2080" spans="1:9" ht="17.399999999999999" x14ac:dyDescent="0.25">
      <c r="A2080" s="16"/>
      <c r="B2080" s="17"/>
      <c r="C2080" s="2" t="b">
        <v>0</v>
      </c>
      <c r="D2080" s="2"/>
      <c r="E2080" s="2"/>
      <c r="F2080" s="2"/>
      <c r="G2080" s="2"/>
      <c r="H2080" s="2"/>
      <c r="I2080" s="5"/>
    </row>
    <row r="2081" spans="1:9" ht="17.399999999999999" x14ac:dyDescent="0.25">
      <c r="A2081" s="16"/>
      <c r="B2081" s="17"/>
      <c r="C2081" s="2" t="b">
        <v>0</v>
      </c>
      <c r="D2081" s="2"/>
      <c r="E2081" s="2"/>
      <c r="F2081" s="2"/>
      <c r="G2081" s="2"/>
      <c r="H2081" s="2"/>
      <c r="I2081" s="5"/>
    </row>
    <row r="2082" spans="1:9" ht="17.399999999999999" x14ac:dyDescent="0.25">
      <c r="A2082" s="16"/>
      <c r="B2082" s="17"/>
      <c r="C2082" s="2" t="b">
        <v>0</v>
      </c>
      <c r="D2082" s="2"/>
      <c r="E2082" s="2"/>
      <c r="F2082" s="2"/>
      <c r="G2082" s="2"/>
      <c r="H2082" s="2"/>
      <c r="I2082" s="5"/>
    </row>
    <row r="2083" spans="1:9" ht="17.399999999999999" x14ac:dyDescent="0.25">
      <c r="A2083" s="16"/>
      <c r="B2083" s="17"/>
      <c r="C2083" s="2" t="b">
        <v>0</v>
      </c>
      <c r="D2083" s="2"/>
      <c r="E2083" s="2"/>
      <c r="F2083" s="2"/>
      <c r="G2083" s="2"/>
      <c r="H2083" s="2"/>
      <c r="I2083" s="5"/>
    </row>
    <row r="2084" spans="1:9" ht="17.399999999999999" x14ac:dyDescent="0.25">
      <c r="A2084" s="16"/>
      <c r="B2084" s="17"/>
      <c r="C2084" s="2" t="b">
        <v>0</v>
      </c>
      <c r="D2084" s="2"/>
      <c r="E2084" s="2"/>
      <c r="F2084" s="2"/>
      <c r="G2084" s="2"/>
      <c r="H2084" s="2"/>
      <c r="I2084" s="5"/>
    </row>
    <row r="2085" spans="1:9" ht="17.399999999999999" x14ac:dyDescent="0.25">
      <c r="A2085" s="16"/>
      <c r="B2085" s="17"/>
      <c r="C2085" s="2" t="b">
        <v>0</v>
      </c>
      <c r="D2085" s="2"/>
      <c r="E2085" s="2"/>
      <c r="F2085" s="2"/>
      <c r="G2085" s="2"/>
      <c r="H2085" s="2"/>
      <c r="I2085" s="5"/>
    </row>
    <row r="2086" spans="1:9" ht="17.399999999999999" x14ac:dyDescent="0.25">
      <c r="A2086" s="16"/>
      <c r="B2086" s="17"/>
      <c r="C2086" s="2" t="b">
        <v>0</v>
      </c>
      <c r="D2086" s="2"/>
      <c r="E2086" s="2"/>
      <c r="F2086" s="2"/>
      <c r="G2086" s="2"/>
      <c r="H2086" s="2"/>
      <c r="I2086" s="5"/>
    </row>
    <row r="2087" spans="1:9" ht="17.399999999999999" x14ac:dyDescent="0.25">
      <c r="A2087" s="16"/>
      <c r="B2087" s="17"/>
      <c r="C2087" s="2" t="b">
        <v>0</v>
      </c>
      <c r="D2087" s="2"/>
      <c r="E2087" s="2"/>
      <c r="F2087" s="2"/>
      <c r="G2087" s="2"/>
      <c r="H2087" s="2"/>
      <c r="I2087" s="5"/>
    </row>
    <row r="2088" spans="1:9" ht="17.399999999999999" x14ac:dyDescent="0.25">
      <c r="A2088" s="16"/>
      <c r="B2088" s="17"/>
      <c r="C2088" s="2" t="b">
        <v>0</v>
      </c>
      <c r="D2088" s="2"/>
      <c r="E2088" s="2"/>
      <c r="F2088" s="2"/>
      <c r="G2088" s="2"/>
      <c r="H2088" s="2"/>
      <c r="I2088" s="5"/>
    </row>
    <row r="2089" spans="1:9" ht="17.399999999999999" x14ac:dyDescent="0.25">
      <c r="A2089" s="16"/>
      <c r="B2089" s="17"/>
      <c r="C2089" s="2" t="b">
        <v>0</v>
      </c>
      <c r="D2089" s="2"/>
      <c r="E2089" s="2"/>
      <c r="F2089" s="2"/>
      <c r="G2089" s="2"/>
      <c r="H2089" s="2"/>
      <c r="I2089" s="5"/>
    </row>
    <row r="2090" spans="1:9" ht="17.399999999999999" x14ac:dyDescent="0.25">
      <c r="A2090" s="16"/>
      <c r="B2090" s="17"/>
      <c r="C2090" s="2" t="b">
        <v>0</v>
      </c>
      <c r="D2090" s="2"/>
      <c r="E2090" s="2"/>
      <c r="F2090" s="2"/>
      <c r="G2090" s="2"/>
      <c r="H2090" s="2"/>
      <c r="I2090" s="5"/>
    </row>
    <row r="2091" spans="1:9" ht="17.399999999999999" x14ac:dyDescent="0.25">
      <c r="A2091" s="16"/>
      <c r="B2091" s="17"/>
      <c r="C2091" s="2" t="b">
        <v>0</v>
      </c>
      <c r="D2091" s="2"/>
      <c r="E2091" s="2"/>
      <c r="F2091" s="2"/>
      <c r="G2091" s="2"/>
      <c r="H2091" s="2"/>
      <c r="I2091" s="5"/>
    </row>
    <row r="2092" spans="1:9" ht="17.399999999999999" x14ac:dyDescent="0.25">
      <c r="A2092" s="16"/>
      <c r="B2092" s="17"/>
      <c r="C2092" s="2" t="b">
        <v>0</v>
      </c>
      <c r="D2092" s="2"/>
      <c r="E2092" s="2"/>
      <c r="F2092" s="2"/>
      <c r="G2092" s="2"/>
      <c r="H2092" s="2"/>
      <c r="I2092" s="5"/>
    </row>
    <row r="2093" spans="1:9" ht="17.399999999999999" x14ac:dyDescent="0.25">
      <c r="A2093" s="16"/>
      <c r="B2093" s="17"/>
      <c r="C2093" s="2" t="b">
        <v>0</v>
      </c>
      <c r="D2093" s="2"/>
      <c r="E2093" s="2"/>
      <c r="F2093" s="2"/>
      <c r="G2093" s="2"/>
      <c r="H2093" s="2"/>
      <c r="I2093" s="5"/>
    </row>
    <row r="2094" spans="1:9" ht="17.399999999999999" x14ac:dyDescent="0.25">
      <c r="A2094" s="16"/>
      <c r="B2094" s="17"/>
      <c r="C2094" s="2" t="b">
        <v>0</v>
      </c>
      <c r="D2094" s="2"/>
      <c r="E2094" s="2"/>
      <c r="F2094" s="2"/>
      <c r="G2094" s="2"/>
      <c r="H2094" s="2"/>
      <c r="I2094" s="5"/>
    </row>
    <row r="2095" spans="1:9" ht="17.399999999999999" x14ac:dyDescent="0.25">
      <c r="A2095" s="16"/>
      <c r="B2095" s="17"/>
      <c r="C2095" s="2" t="b">
        <v>0</v>
      </c>
      <c r="D2095" s="2"/>
      <c r="E2095" s="2"/>
      <c r="F2095" s="2"/>
      <c r="G2095" s="2"/>
      <c r="H2095" s="2"/>
      <c r="I2095" s="5"/>
    </row>
    <row r="2096" spans="1:9" ht="17.399999999999999" x14ac:dyDescent="0.25">
      <c r="A2096" s="16"/>
      <c r="B2096" s="17"/>
      <c r="C2096" s="2" t="b">
        <v>0</v>
      </c>
      <c r="D2096" s="2"/>
      <c r="E2096" s="2"/>
      <c r="F2096" s="2"/>
      <c r="G2096" s="2"/>
      <c r="H2096" s="2"/>
      <c r="I2096" s="5"/>
    </row>
    <row r="2097" spans="1:9" ht="17.399999999999999" x14ac:dyDescent="0.25">
      <c r="A2097" s="16"/>
      <c r="B2097" s="17"/>
      <c r="C2097" s="2" t="b">
        <v>0</v>
      </c>
      <c r="D2097" s="2"/>
      <c r="E2097" s="2"/>
      <c r="F2097" s="2"/>
      <c r="G2097" s="2"/>
      <c r="H2097" s="2"/>
      <c r="I2097" s="5"/>
    </row>
    <row r="2098" spans="1:9" ht="17.399999999999999" x14ac:dyDescent="0.25">
      <c r="A2098" s="16"/>
      <c r="B2098" s="17"/>
      <c r="C2098" s="2" t="b">
        <v>0</v>
      </c>
      <c r="D2098" s="2"/>
      <c r="E2098" s="2"/>
      <c r="F2098" s="2"/>
      <c r="G2098" s="2"/>
      <c r="H2098" s="2"/>
      <c r="I2098" s="5"/>
    </row>
    <row r="2099" spans="1:9" ht="17.399999999999999" x14ac:dyDescent="0.25">
      <c r="A2099" s="16"/>
      <c r="B2099" s="17"/>
      <c r="C2099" s="2" t="b">
        <v>0</v>
      </c>
      <c r="D2099" s="2"/>
      <c r="E2099" s="2"/>
      <c r="F2099" s="2"/>
      <c r="G2099" s="2"/>
      <c r="H2099" s="2"/>
      <c r="I2099" s="5"/>
    </row>
    <row r="2100" spans="1:9" ht="17.399999999999999" x14ac:dyDescent="0.25">
      <c r="A2100" s="16"/>
      <c r="B2100" s="17"/>
      <c r="C2100" s="2" t="b">
        <v>0</v>
      </c>
      <c r="D2100" s="2"/>
      <c r="E2100" s="2"/>
      <c r="F2100" s="2"/>
      <c r="G2100" s="2"/>
      <c r="H2100" s="2"/>
      <c r="I2100" s="5"/>
    </row>
    <row r="2101" spans="1:9" ht="17.399999999999999" x14ac:dyDescent="0.25">
      <c r="A2101" s="16"/>
      <c r="B2101" s="17"/>
      <c r="C2101" s="2" t="b">
        <v>0</v>
      </c>
      <c r="D2101" s="2"/>
      <c r="E2101" s="2"/>
      <c r="F2101" s="2"/>
      <c r="G2101" s="2"/>
      <c r="H2101" s="2"/>
      <c r="I2101" s="5"/>
    </row>
    <row r="2102" spans="1:9" ht="17.399999999999999" x14ac:dyDescent="0.25">
      <c r="A2102" s="16"/>
      <c r="B2102" s="17"/>
      <c r="C2102" s="2" t="b">
        <v>0</v>
      </c>
      <c r="D2102" s="2"/>
      <c r="E2102" s="2"/>
      <c r="F2102" s="2"/>
      <c r="G2102" s="2"/>
      <c r="H2102" s="2"/>
      <c r="I2102" s="5"/>
    </row>
    <row r="2103" spans="1:9" ht="17.399999999999999" x14ac:dyDescent="0.25">
      <c r="A2103" s="16"/>
      <c r="B2103" s="17"/>
      <c r="C2103" s="2" t="b">
        <v>0</v>
      </c>
      <c r="D2103" s="2"/>
      <c r="E2103" s="2"/>
      <c r="F2103" s="2"/>
      <c r="G2103" s="2"/>
      <c r="H2103" s="2"/>
      <c r="I2103" s="5"/>
    </row>
    <row r="2104" spans="1:9" ht="17.399999999999999" x14ac:dyDescent="0.25">
      <c r="A2104" s="16"/>
      <c r="B2104" s="17"/>
      <c r="C2104" s="2" t="b">
        <v>0</v>
      </c>
      <c r="D2104" s="2"/>
      <c r="E2104" s="2"/>
      <c r="F2104" s="2"/>
      <c r="G2104" s="2"/>
      <c r="H2104" s="2"/>
      <c r="I2104" s="5"/>
    </row>
    <row r="2105" spans="1:9" ht="17.399999999999999" x14ac:dyDescent="0.25">
      <c r="A2105" s="16"/>
      <c r="B2105" s="17"/>
      <c r="C2105" s="2" t="b">
        <v>0</v>
      </c>
      <c r="D2105" s="2"/>
      <c r="E2105" s="2"/>
      <c r="F2105" s="2"/>
      <c r="G2105" s="2"/>
      <c r="H2105" s="2"/>
      <c r="I2105" s="5"/>
    </row>
    <row r="2106" spans="1:9" ht="17.399999999999999" x14ac:dyDescent="0.25">
      <c r="A2106" s="16"/>
      <c r="B2106" s="17"/>
      <c r="C2106" s="2" t="b">
        <v>0</v>
      </c>
      <c r="D2106" s="2"/>
      <c r="E2106" s="2"/>
      <c r="F2106" s="2"/>
      <c r="G2106" s="2"/>
      <c r="H2106" s="2"/>
      <c r="I2106" s="5"/>
    </row>
    <row r="2107" spans="1:9" ht="17.399999999999999" x14ac:dyDescent="0.25">
      <c r="A2107" s="16"/>
      <c r="B2107" s="17"/>
      <c r="C2107" s="2" t="b">
        <v>0</v>
      </c>
      <c r="D2107" s="2"/>
      <c r="E2107" s="2"/>
      <c r="F2107" s="2"/>
      <c r="G2107" s="2"/>
      <c r="H2107" s="2"/>
      <c r="I2107" s="5"/>
    </row>
    <row r="2108" spans="1:9" ht="17.399999999999999" x14ac:dyDescent="0.25">
      <c r="A2108" s="16"/>
      <c r="B2108" s="17"/>
      <c r="C2108" s="2" t="b">
        <v>0</v>
      </c>
      <c r="D2108" s="2"/>
      <c r="E2108" s="2"/>
      <c r="F2108" s="2"/>
      <c r="G2108" s="2"/>
      <c r="H2108" s="2"/>
      <c r="I2108" s="5"/>
    </row>
    <row r="2109" spans="1:9" ht="17.399999999999999" x14ac:dyDescent="0.25">
      <c r="A2109" s="16"/>
      <c r="B2109" s="17"/>
      <c r="C2109" s="2" t="b">
        <v>0</v>
      </c>
      <c r="D2109" s="2"/>
      <c r="E2109" s="2"/>
      <c r="F2109" s="2"/>
      <c r="G2109" s="2"/>
      <c r="H2109" s="2"/>
      <c r="I2109" s="5"/>
    </row>
    <row r="2110" spans="1:9" ht="17.399999999999999" x14ac:dyDescent="0.25">
      <c r="A2110" s="16"/>
      <c r="B2110" s="17"/>
      <c r="C2110" s="2" t="b">
        <v>0</v>
      </c>
      <c r="D2110" s="2"/>
      <c r="E2110" s="2"/>
      <c r="F2110" s="2"/>
      <c r="G2110" s="2"/>
      <c r="H2110" s="2"/>
      <c r="I2110" s="5"/>
    </row>
    <row r="2111" spans="1:9" ht="17.399999999999999" x14ac:dyDescent="0.25">
      <c r="A2111" s="16"/>
      <c r="B2111" s="17"/>
      <c r="C2111" s="2" t="b">
        <v>0</v>
      </c>
      <c r="D2111" s="2"/>
      <c r="E2111" s="2"/>
      <c r="F2111" s="2"/>
      <c r="G2111" s="2"/>
      <c r="H2111" s="2"/>
      <c r="I2111" s="5"/>
    </row>
    <row r="2112" spans="1:9" ht="17.399999999999999" x14ac:dyDescent="0.25">
      <c r="A2112" s="16"/>
      <c r="B2112" s="17"/>
      <c r="C2112" s="2" t="b">
        <v>0</v>
      </c>
      <c r="D2112" s="2"/>
      <c r="E2112" s="2"/>
      <c r="F2112" s="2"/>
      <c r="G2112" s="2"/>
      <c r="H2112" s="2"/>
      <c r="I2112" s="5"/>
    </row>
    <row r="2113" spans="1:9" ht="17.399999999999999" x14ac:dyDescent="0.25">
      <c r="A2113" s="16"/>
      <c r="B2113" s="17"/>
      <c r="C2113" s="2" t="b">
        <v>0</v>
      </c>
      <c r="D2113" s="2"/>
      <c r="E2113" s="2"/>
      <c r="F2113" s="2"/>
      <c r="G2113" s="2"/>
      <c r="H2113" s="2"/>
      <c r="I2113" s="5"/>
    </row>
    <row r="2114" spans="1:9" ht="17.399999999999999" x14ac:dyDescent="0.25">
      <c r="A2114" s="16"/>
      <c r="B2114" s="17"/>
      <c r="C2114" s="2" t="b">
        <v>0</v>
      </c>
      <c r="D2114" s="2"/>
      <c r="E2114" s="2"/>
      <c r="F2114" s="2"/>
      <c r="G2114" s="2"/>
      <c r="H2114" s="2"/>
      <c r="I2114" s="5"/>
    </row>
    <row r="2115" spans="1:9" ht="17.399999999999999" x14ac:dyDescent="0.25">
      <c r="A2115" s="16"/>
      <c r="B2115" s="17"/>
      <c r="C2115" s="2" t="b">
        <v>0</v>
      </c>
      <c r="D2115" s="2"/>
      <c r="E2115" s="2"/>
      <c r="F2115" s="2"/>
      <c r="G2115" s="2"/>
      <c r="H2115" s="2"/>
      <c r="I2115" s="5"/>
    </row>
    <row r="2116" spans="1:9" ht="17.399999999999999" x14ac:dyDescent="0.25">
      <c r="A2116" s="16"/>
      <c r="B2116" s="17"/>
      <c r="C2116" s="2" t="b">
        <v>0</v>
      </c>
      <c r="D2116" s="2"/>
      <c r="E2116" s="2"/>
      <c r="F2116" s="2"/>
      <c r="G2116" s="2"/>
      <c r="H2116" s="2"/>
      <c r="I2116" s="5"/>
    </row>
    <row r="2117" spans="1:9" ht="17.399999999999999" x14ac:dyDescent="0.25">
      <c r="A2117" s="16"/>
      <c r="B2117" s="17"/>
      <c r="C2117" s="2" t="b">
        <v>0</v>
      </c>
      <c r="D2117" s="2"/>
      <c r="E2117" s="2"/>
      <c r="F2117" s="2"/>
      <c r="G2117" s="2"/>
      <c r="H2117" s="2"/>
      <c r="I2117" s="5"/>
    </row>
    <row r="2118" spans="1:9" ht="17.399999999999999" x14ac:dyDescent="0.25">
      <c r="A2118" s="16"/>
      <c r="B2118" s="17"/>
      <c r="C2118" s="2" t="b">
        <v>0</v>
      </c>
      <c r="D2118" s="2"/>
      <c r="E2118" s="2"/>
      <c r="F2118" s="2"/>
      <c r="G2118" s="2"/>
      <c r="H2118" s="2"/>
      <c r="I2118" s="5"/>
    </row>
    <row r="2119" spans="1:9" ht="17.399999999999999" x14ac:dyDescent="0.25">
      <c r="A2119" s="16"/>
      <c r="B2119" s="17"/>
      <c r="C2119" s="2" t="b">
        <v>0</v>
      </c>
      <c r="D2119" s="2"/>
      <c r="E2119" s="2"/>
      <c r="F2119" s="2"/>
      <c r="G2119" s="2"/>
      <c r="H2119" s="2"/>
      <c r="I2119" s="5"/>
    </row>
    <row r="2120" spans="1:9" ht="17.399999999999999" x14ac:dyDescent="0.25">
      <c r="A2120" s="16"/>
      <c r="B2120" s="17"/>
      <c r="C2120" s="2" t="b">
        <v>0</v>
      </c>
      <c r="D2120" s="2"/>
      <c r="E2120" s="2"/>
      <c r="F2120" s="2"/>
      <c r="G2120" s="2"/>
      <c r="H2120" s="2"/>
      <c r="I2120" s="5"/>
    </row>
    <row r="2121" spans="1:9" ht="17.399999999999999" x14ac:dyDescent="0.25">
      <c r="A2121" s="16"/>
      <c r="B2121" s="17"/>
      <c r="C2121" s="2" t="b">
        <v>0</v>
      </c>
      <c r="D2121" s="2"/>
      <c r="E2121" s="2"/>
      <c r="F2121" s="2"/>
      <c r="G2121" s="2"/>
      <c r="H2121" s="2"/>
      <c r="I2121" s="5"/>
    </row>
    <row r="2122" spans="1:9" ht="17.399999999999999" x14ac:dyDescent="0.25">
      <c r="A2122" s="16"/>
      <c r="B2122" s="17"/>
      <c r="C2122" s="2" t="b">
        <v>0</v>
      </c>
      <c r="D2122" s="2"/>
      <c r="E2122" s="2"/>
      <c r="F2122" s="2"/>
      <c r="G2122" s="2"/>
      <c r="H2122" s="2"/>
      <c r="I2122" s="5"/>
    </row>
    <row r="2123" spans="1:9" ht="17.399999999999999" x14ac:dyDescent="0.25">
      <c r="A2123" s="16"/>
      <c r="B2123" s="17"/>
      <c r="C2123" s="2" t="b">
        <v>0</v>
      </c>
      <c r="D2123" s="2"/>
      <c r="E2123" s="2"/>
      <c r="F2123" s="2"/>
      <c r="G2123" s="2"/>
      <c r="H2123" s="2"/>
      <c r="I2123" s="5"/>
    </row>
    <row r="2124" spans="1:9" ht="17.399999999999999" x14ac:dyDescent="0.25">
      <c r="A2124" s="16"/>
      <c r="B2124" s="17"/>
      <c r="C2124" s="2" t="b">
        <v>0</v>
      </c>
      <c r="D2124" s="2"/>
      <c r="E2124" s="2"/>
      <c r="F2124" s="2"/>
      <c r="G2124" s="2"/>
      <c r="H2124" s="2"/>
      <c r="I2124" s="5"/>
    </row>
    <row r="2125" spans="1:9" ht="17.399999999999999" x14ac:dyDescent="0.25">
      <c r="A2125" s="16"/>
      <c r="B2125" s="17"/>
      <c r="C2125" s="2" t="b">
        <v>0</v>
      </c>
      <c r="D2125" s="2"/>
      <c r="E2125" s="2"/>
      <c r="F2125" s="2"/>
      <c r="G2125" s="2"/>
      <c r="H2125" s="2"/>
      <c r="I2125" s="5"/>
    </row>
    <row r="2126" spans="1:9" ht="17.399999999999999" x14ac:dyDescent="0.25">
      <c r="A2126" s="16"/>
      <c r="B2126" s="17"/>
      <c r="C2126" s="2" t="b">
        <v>0</v>
      </c>
      <c r="D2126" s="2"/>
      <c r="E2126" s="2"/>
      <c r="F2126" s="2"/>
      <c r="G2126" s="2"/>
      <c r="H2126" s="2"/>
      <c r="I2126" s="5"/>
    </row>
    <row r="2127" spans="1:9" ht="17.399999999999999" x14ac:dyDescent="0.25">
      <c r="A2127" s="16"/>
      <c r="B2127" s="17"/>
      <c r="C2127" s="2" t="b">
        <v>0</v>
      </c>
      <c r="D2127" s="2"/>
      <c r="E2127" s="2"/>
      <c r="F2127" s="2"/>
      <c r="G2127" s="2"/>
      <c r="H2127" s="2"/>
      <c r="I2127" s="5"/>
    </row>
    <row r="2128" spans="1:9" ht="17.399999999999999" x14ac:dyDescent="0.25">
      <c r="A2128" s="16"/>
      <c r="B2128" s="17"/>
      <c r="C2128" s="2" t="b">
        <v>0</v>
      </c>
      <c r="D2128" s="2"/>
      <c r="E2128" s="2"/>
      <c r="F2128" s="2"/>
      <c r="G2128" s="2"/>
      <c r="H2128" s="2"/>
      <c r="I2128" s="5"/>
    </row>
    <row r="2129" spans="1:9" ht="17.399999999999999" x14ac:dyDescent="0.25">
      <c r="A2129" s="16"/>
      <c r="B2129" s="17"/>
      <c r="C2129" s="2" t="b">
        <v>0</v>
      </c>
      <c r="D2129" s="2"/>
      <c r="E2129" s="2"/>
      <c r="F2129" s="2"/>
      <c r="G2129" s="2"/>
      <c r="H2129" s="2"/>
      <c r="I2129" s="5"/>
    </row>
    <row r="2130" spans="1:9" ht="17.399999999999999" x14ac:dyDescent="0.25">
      <c r="A2130" s="16"/>
      <c r="B2130" s="17"/>
      <c r="C2130" s="2" t="b">
        <v>0</v>
      </c>
      <c r="D2130" s="2"/>
      <c r="E2130" s="2"/>
      <c r="F2130" s="2"/>
      <c r="G2130" s="2"/>
      <c r="H2130" s="2"/>
      <c r="I2130" s="5"/>
    </row>
    <row r="2131" spans="1:9" ht="17.399999999999999" x14ac:dyDescent="0.25">
      <c r="A2131" s="16"/>
      <c r="B2131" s="17"/>
      <c r="C2131" s="2" t="b">
        <v>0</v>
      </c>
      <c r="D2131" s="2"/>
      <c r="E2131" s="2"/>
      <c r="F2131" s="2"/>
      <c r="G2131" s="2"/>
      <c r="H2131" s="2"/>
      <c r="I2131" s="5"/>
    </row>
    <row r="2132" spans="1:9" ht="17.399999999999999" x14ac:dyDescent="0.25">
      <c r="A2132" s="16"/>
      <c r="B2132" s="17"/>
      <c r="C2132" s="2" t="b">
        <v>0</v>
      </c>
      <c r="D2132" s="2"/>
      <c r="E2132" s="2"/>
      <c r="F2132" s="2"/>
      <c r="G2132" s="2"/>
      <c r="H2132" s="2"/>
      <c r="I2132" s="5"/>
    </row>
    <row r="2133" spans="1:9" ht="17.399999999999999" x14ac:dyDescent="0.25">
      <c r="A2133" s="16"/>
      <c r="B2133" s="17"/>
      <c r="C2133" s="2" t="b">
        <v>0</v>
      </c>
      <c r="D2133" s="2"/>
      <c r="E2133" s="2"/>
      <c r="F2133" s="2"/>
      <c r="G2133" s="2"/>
      <c r="H2133" s="2"/>
      <c r="I2133" s="5"/>
    </row>
    <row r="2134" spans="1:9" ht="17.399999999999999" x14ac:dyDescent="0.25">
      <c r="A2134" s="16"/>
      <c r="B2134" s="17"/>
      <c r="C2134" s="2" t="b">
        <v>0</v>
      </c>
      <c r="D2134" s="2"/>
      <c r="E2134" s="2"/>
      <c r="F2134" s="2"/>
      <c r="G2134" s="2"/>
      <c r="H2134" s="2"/>
      <c r="I2134" s="5"/>
    </row>
    <row r="2135" spans="1:9" ht="17.399999999999999" x14ac:dyDescent="0.25">
      <c r="A2135" s="16"/>
      <c r="B2135" s="17"/>
      <c r="C2135" s="2" t="b">
        <v>0</v>
      </c>
      <c r="D2135" s="2"/>
      <c r="E2135" s="2"/>
      <c r="F2135" s="2"/>
      <c r="G2135" s="2"/>
      <c r="H2135" s="2"/>
      <c r="I2135" s="5"/>
    </row>
    <row r="2136" spans="1:9" ht="17.399999999999999" x14ac:dyDescent="0.25">
      <c r="A2136" s="16"/>
      <c r="B2136" s="17"/>
      <c r="C2136" s="2" t="b">
        <v>0</v>
      </c>
      <c r="D2136" s="2"/>
      <c r="E2136" s="2"/>
      <c r="F2136" s="2"/>
      <c r="G2136" s="2"/>
      <c r="H2136" s="2"/>
      <c r="I2136" s="5"/>
    </row>
    <row r="2137" spans="1:9" ht="17.399999999999999" x14ac:dyDescent="0.25">
      <c r="A2137" s="16"/>
      <c r="B2137" s="17"/>
      <c r="C2137" s="2" t="b">
        <v>0</v>
      </c>
      <c r="D2137" s="2"/>
      <c r="E2137" s="2"/>
      <c r="F2137" s="2"/>
      <c r="G2137" s="2"/>
      <c r="H2137" s="2"/>
      <c r="I2137" s="5"/>
    </row>
    <row r="2138" spans="1:9" ht="17.399999999999999" x14ac:dyDescent="0.25">
      <c r="A2138" s="16"/>
      <c r="B2138" s="17"/>
      <c r="C2138" s="2" t="b">
        <v>0</v>
      </c>
      <c r="D2138" s="2"/>
      <c r="E2138" s="2"/>
      <c r="F2138" s="2"/>
      <c r="G2138" s="2"/>
      <c r="H2138" s="2"/>
      <c r="I2138" s="5"/>
    </row>
    <row r="2139" spans="1:9" ht="17.399999999999999" x14ac:dyDescent="0.25">
      <c r="A2139" s="16"/>
      <c r="B2139" s="17"/>
      <c r="C2139" s="2" t="b">
        <v>0</v>
      </c>
      <c r="D2139" s="2"/>
      <c r="E2139" s="2"/>
      <c r="F2139" s="2"/>
      <c r="G2139" s="2"/>
      <c r="H2139" s="2"/>
      <c r="I2139" s="5"/>
    </row>
    <row r="2140" spans="1:9" ht="17.399999999999999" x14ac:dyDescent="0.25">
      <c r="A2140" s="16"/>
      <c r="B2140" s="17"/>
      <c r="C2140" s="2" t="b">
        <v>0</v>
      </c>
      <c r="D2140" s="2"/>
      <c r="E2140" s="2"/>
      <c r="F2140" s="2"/>
      <c r="G2140" s="2"/>
      <c r="H2140" s="2"/>
      <c r="I2140" s="5"/>
    </row>
    <row r="2141" spans="1:9" ht="17.399999999999999" x14ac:dyDescent="0.25">
      <c r="A2141" s="16"/>
      <c r="B2141" s="17"/>
      <c r="C2141" s="2" t="b">
        <v>0</v>
      </c>
      <c r="D2141" s="2"/>
      <c r="E2141" s="2"/>
      <c r="F2141" s="2"/>
      <c r="G2141" s="2"/>
      <c r="H2141" s="2"/>
      <c r="I2141" s="5"/>
    </row>
    <row r="2142" spans="1:9" ht="17.399999999999999" x14ac:dyDescent="0.25">
      <c r="A2142" s="16"/>
      <c r="B2142" s="17"/>
      <c r="C2142" s="2" t="b">
        <v>0</v>
      </c>
      <c r="D2142" s="2"/>
      <c r="E2142" s="2"/>
      <c r="F2142" s="2"/>
      <c r="G2142" s="2"/>
      <c r="H2142" s="2"/>
      <c r="I2142" s="5"/>
    </row>
    <row r="2143" spans="1:9" ht="17.399999999999999" x14ac:dyDescent="0.25">
      <c r="A2143" s="16"/>
      <c r="B2143" s="17"/>
      <c r="C2143" s="2" t="b">
        <v>0</v>
      </c>
      <c r="D2143" s="2"/>
      <c r="E2143" s="2"/>
      <c r="F2143" s="2"/>
      <c r="G2143" s="2"/>
      <c r="H2143" s="2"/>
      <c r="I2143" s="5"/>
    </row>
    <row r="2144" spans="1:9" ht="17.399999999999999" x14ac:dyDescent="0.25">
      <c r="A2144" s="16"/>
      <c r="B2144" s="17"/>
      <c r="C2144" s="2" t="b">
        <v>0</v>
      </c>
      <c r="D2144" s="2"/>
      <c r="E2144" s="2"/>
      <c r="F2144" s="2"/>
      <c r="G2144" s="2"/>
      <c r="H2144" s="2"/>
      <c r="I2144" s="5"/>
    </row>
    <row r="2145" spans="1:9" ht="17.399999999999999" x14ac:dyDescent="0.25">
      <c r="A2145" s="16"/>
      <c r="B2145" s="17"/>
      <c r="C2145" s="2" t="b">
        <v>0</v>
      </c>
      <c r="D2145" s="2"/>
      <c r="E2145" s="2"/>
      <c r="F2145" s="2"/>
      <c r="G2145" s="2"/>
      <c r="H2145" s="2"/>
      <c r="I2145" s="5"/>
    </row>
    <row r="2146" spans="1:9" ht="17.399999999999999" x14ac:dyDescent="0.25">
      <c r="A2146" s="16"/>
      <c r="B2146" s="17"/>
      <c r="C2146" s="2" t="b">
        <v>0</v>
      </c>
      <c r="D2146" s="2"/>
      <c r="E2146" s="2"/>
      <c r="F2146" s="2"/>
      <c r="G2146" s="2"/>
      <c r="H2146" s="2"/>
      <c r="I2146" s="5"/>
    </row>
    <row r="2147" spans="1:9" ht="17.399999999999999" x14ac:dyDescent="0.25">
      <c r="A2147" s="16"/>
      <c r="B2147" s="17"/>
      <c r="C2147" s="2" t="b">
        <v>0</v>
      </c>
      <c r="D2147" s="2"/>
      <c r="E2147" s="2"/>
      <c r="F2147" s="2"/>
      <c r="G2147" s="2"/>
      <c r="H2147" s="2"/>
      <c r="I2147" s="5"/>
    </row>
    <row r="2148" spans="1:9" ht="17.399999999999999" x14ac:dyDescent="0.25">
      <c r="A2148" s="16"/>
      <c r="B2148" s="17"/>
      <c r="C2148" s="2" t="b">
        <v>0</v>
      </c>
      <c r="D2148" s="2"/>
      <c r="E2148" s="2"/>
      <c r="F2148" s="2"/>
      <c r="G2148" s="2"/>
      <c r="H2148" s="2"/>
      <c r="I2148" s="5"/>
    </row>
    <row r="2149" spans="1:9" ht="17.399999999999999" x14ac:dyDescent="0.25">
      <c r="A2149" s="16"/>
      <c r="B2149" s="17"/>
      <c r="C2149" s="2" t="b">
        <v>0</v>
      </c>
      <c r="D2149" s="2"/>
      <c r="E2149" s="2"/>
      <c r="F2149" s="2"/>
      <c r="G2149" s="2"/>
      <c r="H2149" s="2"/>
      <c r="I2149" s="5"/>
    </row>
    <row r="2150" spans="1:9" ht="17.399999999999999" x14ac:dyDescent="0.25">
      <c r="A2150" s="16"/>
      <c r="B2150" s="17"/>
      <c r="C2150" s="2" t="b">
        <v>0</v>
      </c>
      <c r="D2150" s="2"/>
      <c r="E2150" s="2"/>
      <c r="F2150" s="2"/>
      <c r="G2150" s="2"/>
      <c r="H2150" s="2"/>
      <c r="I2150" s="5"/>
    </row>
    <row r="2151" spans="1:9" ht="17.399999999999999" x14ac:dyDescent="0.25">
      <c r="A2151" s="16"/>
      <c r="B2151" s="17"/>
      <c r="C2151" s="2" t="b">
        <v>0</v>
      </c>
      <c r="D2151" s="2"/>
      <c r="E2151" s="2"/>
      <c r="F2151" s="2"/>
      <c r="G2151" s="2"/>
      <c r="H2151" s="2"/>
      <c r="I2151" s="5"/>
    </row>
    <row r="2152" spans="1:9" ht="17.399999999999999" x14ac:dyDescent="0.25">
      <c r="A2152" s="16"/>
      <c r="B2152" s="17"/>
      <c r="C2152" s="2" t="b">
        <v>0</v>
      </c>
      <c r="D2152" s="2"/>
      <c r="E2152" s="2"/>
      <c r="F2152" s="2"/>
      <c r="G2152" s="2"/>
      <c r="H2152" s="2"/>
      <c r="I2152" s="5"/>
    </row>
    <row r="2153" spans="1:9" ht="17.399999999999999" x14ac:dyDescent="0.25">
      <c r="A2153" s="16"/>
      <c r="B2153" s="17"/>
      <c r="C2153" s="2" t="b">
        <v>0</v>
      </c>
      <c r="D2153" s="2"/>
      <c r="E2153" s="2"/>
      <c r="F2153" s="2"/>
      <c r="G2153" s="2"/>
      <c r="H2153" s="2"/>
      <c r="I2153" s="5"/>
    </row>
    <row r="2154" spans="1:9" ht="17.399999999999999" x14ac:dyDescent="0.25">
      <c r="A2154" s="16"/>
      <c r="B2154" s="17"/>
      <c r="C2154" s="2" t="b">
        <v>0</v>
      </c>
      <c r="D2154" s="2"/>
      <c r="E2154" s="2"/>
      <c r="F2154" s="2"/>
      <c r="G2154" s="2"/>
      <c r="H2154" s="2"/>
      <c r="I2154" s="5"/>
    </row>
    <row r="2155" spans="1:9" ht="17.399999999999999" x14ac:dyDescent="0.25">
      <c r="A2155" s="16"/>
      <c r="B2155" s="17"/>
      <c r="C2155" s="2" t="b">
        <v>0</v>
      </c>
      <c r="D2155" s="2"/>
      <c r="E2155" s="2"/>
      <c r="F2155" s="2"/>
      <c r="G2155" s="2"/>
      <c r="H2155" s="2"/>
      <c r="I2155" s="5"/>
    </row>
    <row r="2156" spans="1:9" ht="17.399999999999999" x14ac:dyDescent="0.25">
      <c r="A2156" s="16"/>
      <c r="B2156" s="17"/>
      <c r="C2156" s="2" t="b">
        <v>0</v>
      </c>
      <c r="D2156" s="2"/>
      <c r="E2156" s="2"/>
      <c r="F2156" s="2"/>
      <c r="G2156" s="2"/>
      <c r="H2156" s="2"/>
      <c r="I2156" s="5"/>
    </row>
    <row r="2157" spans="1:9" ht="17.399999999999999" x14ac:dyDescent="0.25">
      <c r="A2157" s="16"/>
      <c r="B2157" s="17"/>
      <c r="C2157" s="2" t="b">
        <v>0</v>
      </c>
      <c r="D2157" s="2"/>
      <c r="E2157" s="2"/>
      <c r="F2157" s="2"/>
      <c r="G2157" s="2"/>
      <c r="H2157" s="2"/>
      <c r="I2157" s="5"/>
    </row>
    <row r="2158" spans="1:9" ht="17.399999999999999" x14ac:dyDescent="0.25">
      <c r="A2158" s="16"/>
      <c r="B2158" s="17"/>
      <c r="C2158" s="2" t="b">
        <v>0</v>
      </c>
      <c r="D2158" s="2"/>
      <c r="E2158" s="2"/>
      <c r="F2158" s="2"/>
      <c r="G2158" s="2"/>
      <c r="H2158" s="2"/>
      <c r="I2158" s="5"/>
    </row>
    <row r="2159" spans="1:9" ht="17.399999999999999" x14ac:dyDescent="0.25">
      <c r="A2159" s="16"/>
      <c r="B2159" s="17"/>
      <c r="C2159" s="2" t="b">
        <v>0</v>
      </c>
      <c r="D2159" s="2"/>
      <c r="E2159" s="2"/>
      <c r="F2159" s="2"/>
      <c r="G2159" s="2"/>
      <c r="H2159" s="2"/>
      <c r="I2159" s="5"/>
    </row>
    <row r="2160" spans="1:9" ht="17.399999999999999" x14ac:dyDescent="0.25">
      <c r="A2160" s="16"/>
      <c r="B2160" s="17"/>
      <c r="C2160" s="2" t="b">
        <v>0</v>
      </c>
      <c r="D2160" s="2"/>
      <c r="E2160" s="2"/>
      <c r="F2160" s="2"/>
      <c r="G2160" s="2"/>
      <c r="H2160" s="2"/>
      <c r="I2160" s="5"/>
    </row>
    <row r="2161" spans="1:9" ht="17.399999999999999" x14ac:dyDescent="0.25">
      <c r="A2161" s="16"/>
      <c r="B2161" s="17"/>
      <c r="C2161" s="2" t="b">
        <v>0</v>
      </c>
      <c r="D2161" s="2"/>
      <c r="E2161" s="2"/>
      <c r="F2161" s="2"/>
      <c r="G2161" s="2"/>
      <c r="H2161" s="2"/>
      <c r="I2161" s="5"/>
    </row>
    <row r="2162" spans="1:9" ht="17.399999999999999" x14ac:dyDescent="0.25">
      <c r="A2162" s="16"/>
      <c r="B2162" s="17"/>
      <c r="C2162" s="2" t="b">
        <v>0</v>
      </c>
      <c r="D2162" s="2"/>
      <c r="E2162" s="2"/>
      <c r="F2162" s="2"/>
      <c r="G2162" s="2"/>
      <c r="H2162" s="2"/>
      <c r="I2162" s="5"/>
    </row>
    <row r="2163" spans="1:9" ht="17.399999999999999" x14ac:dyDescent="0.25">
      <c r="A2163" s="16"/>
      <c r="B2163" s="17"/>
      <c r="C2163" s="2" t="b">
        <v>0</v>
      </c>
      <c r="D2163" s="2"/>
      <c r="E2163" s="2"/>
      <c r="F2163" s="2"/>
      <c r="G2163" s="2"/>
      <c r="H2163" s="2"/>
      <c r="I2163" s="5"/>
    </row>
    <row r="2164" spans="1:9" ht="17.399999999999999" x14ac:dyDescent="0.25">
      <c r="A2164" s="16"/>
      <c r="B2164" s="17"/>
      <c r="C2164" s="2" t="b">
        <v>0</v>
      </c>
      <c r="D2164" s="2"/>
      <c r="E2164" s="2"/>
      <c r="F2164" s="2"/>
      <c r="G2164" s="2"/>
      <c r="H2164" s="2"/>
      <c r="I2164" s="5"/>
    </row>
    <row r="2165" spans="1:9" ht="17.399999999999999" x14ac:dyDescent="0.25">
      <c r="A2165" s="16"/>
      <c r="B2165" s="17"/>
      <c r="C2165" s="2" t="b">
        <v>0</v>
      </c>
      <c r="D2165" s="2"/>
      <c r="E2165" s="2"/>
      <c r="F2165" s="2"/>
      <c r="G2165" s="2"/>
      <c r="H2165" s="2"/>
      <c r="I2165" s="5"/>
    </row>
    <row r="2166" spans="1:9" ht="17.399999999999999" x14ac:dyDescent="0.25">
      <c r="A2166" s="16"/>
      <c r="B2166" s="17"/>
      <c r="C2166" s="2" t="b">
        <v>0</v>
      </c>
      <c r="D2166" s="2"/>
      <c r="E2166" s="2"/>
      <c r="F2166" s="2"/>
      <c r="G2166" s="2"/>
      <c r="H2166" s="2"/>
      <c r="I2166" s="5"/>
    </row>
    <row r="2167" spans="1:9" ht="17.399999999999999" x14ac:dyDescent="0.25">
      <c r="A2167" s="16"/>
      <c r="B2167" s="17"/>
      <c r="C2167" s="2" t="b">
        <v>0</v>
      </c>
      <c r="D2167" s="2"/>
      <c r="E2167" s="2"/>
      <c r="F2167" s="2"/>
      <c r="G2167" s="2"/>
      <c r="H2167" s="2"/>
      <c r="I2167" s="5"/>
    </row>
    <row r="2168" spans="1:9" ht="17.399999999999999" x14ac:dyDescent="0.25">
      <c r="A2168" s="16"/>
      <c r="B2168" s="17"/>
      <c r="C2168" s="2" t="b">
        <v>0</v>
      </c>
      <c r="D2168" s="2"/>
      <c r="E2168" s="2"/>
      <c r="F2168" s="2"/>
      <c r="G2168" s="2"/>
      <c r="H2168" s="2"/>
      <c r="I2168" s="5"/>
    </row>
    <row r="2169" spans="1:9" ht="17.399999999999999" x14ac:dyDescent="0.25">
      <c r="A2169" s="16"/>
      <c r="B2169" s="17"/>
      <c r="C2169" s="2" t="b">
        <v>0</v>
      </c>
      <c r="D2169" s="2"/>
      <c r="E2169" s="2"/>
      <c r="F2169" s="2"/>
      <c r="G2169" s="2"/>
      <c r="H2169" s="2"/>
      <c r="I2169" s="5"/>
    </row>
    <row r="2170" spans="1:9" ht="17.399999999999999" x14ac:dyDescent="0.25">
      <c r="A2170" s="16"/>
      <c r="B2170" s="17"/>
      <c r="C2170" s="2" t="b">
        <v>0</v>
      </c>
      <c r="D2170" s="2"/>
      <c r="E2170" s="2"/>
      <c r="F2170" s="2"/>
      <c r="G2170" s="2"/>
      <c r="H2170" s="2"/>
      <c r="I2170" s="5"/>
    </row>
    <row r="2171" spans="1:9" ht="17.399999999999999" x14ac:dyDescent="0.25">
      <c r="A2171" s="16"/>
      <c r="B2171" s="17"/>
      <c r="C2171" s="2" t="b">
        <v>0</v>
      </c>
      <c r="D2171" s="2"/>
      <c r="E2171" s="2"/>
      <c r="F2171" s="2"/>
      <c r="G2171" s="2"/>
      <c r="H2171" s="2"/>
      <c r="I2171" s="5"/>
    </row>
    <row r="2172" spans="1:9" ht="17.399999999999999" x14ac:dyDescent="0.25">
      <c r="A2172" s="16"/>
      <c r="B2172" s="17"/>
      <c r="C2172" s="2" t="b">
        <v>0</v>
      </c>
      <c r="D2172" s="2"/>
      <c r="E2172" s="2"/>
      <c r="F2172" s="2"/>
      <c r="G2172" s="2"/>
      <c r="H2172" s="2"/>
      <c r="I2172" s="5"/>
    </row>
    <row r="2173" spans="1:9" ht="17.399999999999999" x14ac:dyDescent="0.25">
      <c r="A2173" s="16"/>
      <c r="B2173" s="17"/>
      <c r="C2173" s="2" t="b">
        <v>0</v>
      </c>
      <c r="D2173" s="2"/>
      <c r="E2173" s="2"/>
      <c r="F2173" s="2"/>
      <c r="G2173" s="2"/>
      <c r="H2173" s="2"/>
      <c r="I2173" s="5"/>
    </row>
    <row r="2174" spans="1:9" ht="17.399999999999999" x14ac:dyDescent="0.25">
      <c r="A2174" s="16"/>
      <c r="B2174" s="17"/>
      <c r="C2174" s="2" t="b">
        <v>0</v>
      </c>
      <c r="D2174" s="2"/>
      <c r="E2174" s="2"/>
      <c r="F2174" s="2"/>
      <c r="G2174" s="2"/>
      <c r="H2174" s="2"/>
      <c r="I2174" s="5"/>
    </row>
    <row r="2175" spans="1:9" ht="17.399999999999999" x14ac:dyDescent="0.25">
      <c r="A2175" s="16"/>
      <c r="B2175" s="17"/>
      <c r="C2175" s="2" t="b">
        <v>0</v>
      </c>
      <c r="D2175" s="2"/>
      <c r="E2175" s="2"/>
      <c r="F2175" s="2"/>
      <c r="G2175" s="2"/>
      <c r="H2175" s="2"/>
      <c r="I2175" s="5"/>
    </row>
    <row r="2176" spans="1:9" ht="17.399999999999999" x14ac:dyDescent="0.25">
      <c r="A2176" s="16"/>
      <c r="B2176" s="17"/>
      <c r="C2176" s="2" t="b">
        <v>0</v>
      </c>
      <c r="D2176" s="2"/>
      <c r="E2176" s="2"/>
      <c r="F2176" s="2"/>
      <c r="G2176" s="2"/>
      <c r="H2176" s="2"/>
      <c r="I2176" s="5"/>
    </row>
    <row r="2177" spans="1:9" ht="17.399999999999999" x14ac:dyDescent="0.25">
      <c r="A2177" s="16"/>
      <c r="B2177" s="17"/>
      <c r="C2177" s="2" t="b">
        <v>0</v>
      </c>
      <c r="D2177" s="2"/>
      <c r="E2177" s="2"/>
      <c r="F2177" s="2"/>
      <c r="G2177" s="2"/>
      <c r="H2177" s="2"/>
      <c r="I2177" s="5"/>
    </row>
    <row r="2178" spans="1:9" ht="17.399999999999999" x14ac:dyDescent="0.25">
      <c r="A2178" s="16"/>
      <c r="B2178" s="17"/>
      <c r="C2178" s="2" t="b">
        <v>0</v>
      </c>
      <c r="D2178" s="2"/>
      <c r="E2178" s="2"/>
      <c r="F2178" s="2"/>
      <c r="G2178" s="2"/>
      <c r="H2178" s="2"/>
      <c r="I2178" s="5"/>
    </row>
    <row r="2179" spans="1:9" ht="17.399999999999999" x14ac:dyDescent="0.25">
      <c r="A2179" s="16"/>
      <c r="B2179" s="17"/>
      <c r="C2179" s="2" t="b">
        <v>0</v>
      </c>
      <c r="D2179" s="2"/>
      <c r="E2179" s="2"/>
      <c r="F2179" s="2"/>
      <c r="G2179" s="2"/>
      <c r="H2179" s="2"/>
      <c r="I2179" s="5"/>
    </row>
    <row r="2180" spans="1:9" ht="17.399999999999999" x14ac:dyDescent="0.25">
      <c r="A2180" s="16"/>
      <c r="B2180" s="17"/>
      <c r="C2180" s="2" t="b">
        <v>0</v>
      </c>
      <c r="D2180" s="2"/>
      <c r="E2180" s="2"/>
      <c r="F2180" s="2"/>
      <c r="G2180" s="2"/>
      <c r="H2180" s="2"/>
      <c r="I2180" s="5"/>
    </row>
    <row r="2181" spans="1:9" ht="17.399999999999999" x14ac:dyDescent="0.25">
      <c r="A2181" s="16"/>
      <c r="B2181" s="17"/>
      <c r="C2181" s="2" t="b">
        <v>0</v>
      </c>
      <c r="D2181" s="2"/>
      <c r="E2181" s="2"/>
      <c r="F2181" s="2"/>
      <c r="G2181" s="2"/>
      <c r="H2181" s="2"/>
      <c r="I2181" s="5"/>
    </row>
    <row r="2182" spans="1:9" ht="17.399999999999999" x14ac:dyDescent="0.25">
      <c r="A2182" s="16"/>
      <c r="B2182" s="17"/>
      <c r="C2182" s="2" t="b">
        <v>0</v>
      </c>
      <c r="D2182" s="2"/>
      <c r="E2182" s="2"/>
      <c r="F2182" s="2"/>
      <c r="G2182" s="2"/>
      <c r="H2182" s="2"/>
      <c r="I2182" s="5"/>
    </row>
    <row r="2183" spans="1:9" ht="17.399999999999999" x14ac:dyDescent="0.25">
      <c r="A2183" s="16"/>
      <c r="B2183" s="17"/>
      <c r="C2183" s="2" t="b">
        <v>0</v>
      </c>
      <c r="D2183" s="2"/>
      <c r="E2183" s="2"/>
      <c r="F2183" s="2"/>
      <c r="G2183" s="2"/>
      <c r="H2183" s="2"/>
      <c r="I2183" s="5"/>
    </row>
    <row r="2184" spans="1:9" ht="17.399999999999999" x14ac:dyDescent="0.25">
      <c r="A2184" s="16"/>
      <c r="B2184" s="17"/>
      <c r="C2184" s="2" t="b">
        <v>0</v>
      </c>
      <c r="D2184" s="2"/>
      <c r="E2184" s="2"/>
      <c r="F2184" s="2"/>
      <c r="G2184" s="2"/>
      <c r="H2184" s="2"/>
      <c r="I2184" s="5"/>
    </row>
    <row r="2185" spans="1:9" ht="17.399999999999999" x14ac:dyDescent="0.25">
      <c r="A2185" s="16"/>
      <c r="B2185" s="17"/>
      <c r="C2185" s="2" t="b">
        <v>0</v>
      </c>
      <c r="D2185" s="2"/>
      <c r="E2185" s="2"/>
      <c r="F2185" s="2"/>
      <c r="G2185" s="2"/>
      <c r="H2185" s="2"/>
      <c r="I2185" s="5"/>
    </row>
    <row r="2186" spans="1:9" ht="17.399999999999999" x14ac:dyDescent="0.25">
      <c r="A2186" s="16"/>
      <c r="B2186" s="17"/>
      <c r="C2186" s="2" t="b">
        <v>0</v>
      </c>
      <c r="D2186" s="2"/>
      <c r="E2186" s="2"/>
      <c r="F2186" s="2"/>
      <c r="G2186" s="2"/>
      <c r="H2186" s="2"/>
      <c r="I2186" s="5"/>
    </row>
    <row r="2187" spans="1:9" ht="17.399999999999999" x14ac:dyDescent="0.25">
      <c r="A2187" s="16"/>
      <c r="B2187" s="17"/>
      <c r="C2187" s="2" t="b">
        <v>0</v>
      </c>
      <c r="D2187" s="2"/>
      <c r="E2187" s="2"/>
      <c r="F2187" s="2"/>
      <c r="G2187" s="2"/>
      <c r="H2187" s="2"/>
      <c r="I2187" s="5"/>
    </row>
    <row r="2188" spans="1:9" ht="17.399999999999999" x14ac:dyDescent="0.25">
      <c r="A2188" s="16"/>
      <c r="B2188" s="17"/>
      <c r="C2188" s="2" t="b">
        <v>0</v>
      </c>
      <c r="D2188" s="2"/>
      <c r="E2188" s="2"/>
      <c r="F2188" s="2"/>
      <c r="G2188" s="2"/>
      <c r="H2188" s="2"/>
      <c r="I2188" s="5"/>
    </row>
    <row r="2189" spans="1:9" ht="17.399999999999999" x14ac:dyDescent="0.25">
      <c r="A2189" s="16"/>
      <c r="B2189" s="17"/>
      <c r="C2189" s="2" t="b">
        <v>0</v>
      </c>
      <c r="D2189" s="2"/>
      <c r="E2189" s="2"/>
      <c r="F2189" s="2"/>
      <c r="G2189" s="2"/>
      <c r="H2189" s="2"/>
      <c r="I2189" s="5"/>
    </row>
    <row r="2190" spans="1:9" ht="17.399999999999999" x14ac:dyDescent="0.25">
      <c r="A2190" s="16"/>
      <c r="B2190" s="17"/>
      <c r="C2190" s="2" t="b">
        <v>0</v>
      </c>
      <c r="D2190" s="2"/>
      <c r="E2190" s="2"/>
      <c r="F2190" s="2"/>
      <c r="G2190" s="2"/>
      <c r="H2190" s="2"/>
      <c r="I2190" s="5"/>
    </row>
    <row r="2191" spans="1:9" ht="17.399999999999999" x14ac:dyDescent="0.25">
      <c r="A2191" s="16"/>
      <c r="B2191" s="17"/>
      <c r="C2191" s="2" t="b">
        <v>0</v>
      </c>
      <c r="D2191" s="2"/>
      <c r="E2191" s="2"/>
      <c r="F2191" s="2"/>
      <c r="G2191" s="2"/>
      <c r="H2191" s="2"/>
      <c r="I2191" s="5"/>
    </row>
    <row r="2192" spans="1:9" ht="17.399999999999999" x14ac:dyDescent="0.25">
      <c r="A2192" s="16"/>
      <c r="B2192" s="17"/>
      <c r="C2192" s="2" t="b">
        <v>0</v>
      </c>
      <c r="D2192" s="2"/>
      <c r="E2192" s="2"/>
      <c r="F2192" s="2"/>
      <c r="G2192" s="2"/>
      <c r="H2192" s="2"/>
      <c r="I2192" s="5"/>
    </row>
    <row r="2193" spans="1:9" ht="17.399999999999999" x14ac:dyDescent="0.25">
      <c r="A2193" s="16"/>
      <c r="B2193" s="17"/>
      <c r="C2193" s="2" t="b">
        <v>0</v>
      </c>
      <c r="D2193" s="2"/>
      <c r="E2193" s="2"/>
      <c r="F2193" s="2"/>
      <c r="G2193" s="2"/>
      <c r="H2193" s="2"/>
      <c r="I2193" s="5"/>
    </row>
    <row r="2194" spans="1:9" ht="17.399999999999999" x14ac:dyDescent="0.25">
      <c r="A2194" s="16"/>
      <c r="B2194" s="17"/>
      <c r="C2194" s="2" t="b">
        <v>0</v>
      </c>
      <c r="D2194" s="2"/>
      <c r="E2194" s="2"/>
      <c r="F2194" s="2"/>
      <c r="G2194" s="2"/>
      <c r="H2194" s="2"/>
      <c r="I2194" s="5"/>
    </row>
    <row r="2195" spans="1:9" ht="17.399999999999999" x14ac:dyDescent="0.25">
      <c r="A2195" s="16"/>
      <c r="B2195" s="17"/>
      <c r="C2195" s="2" t="b">
        <v>0</v>
      </c>
      <c r="D2195" s="2"/>
      <c r="E2195" s="2"/>
      <c r="F2195" s="2"/>
      <c r="G2195" s="2"/>
      <c r="H2195" s="2"/>
      <c r="I2195" s="5"/>
    </row>
    <row r="2196" spans="1:9" ht="17.399999999999999" x14ac:dyDescent="0.25">
      <c r="A2196" s="16"/>
      <c r="B2196" s="17"/>
      <c r="C2196" s="2" t="b">
        <v>0</v>
      </c>
      <c r="D2196" s="2"/>
      <c r="E2196" s="2"/>
      <c r="F2196" s="2"/>
      <c r="G2196" s="2"/>
      <c r="H2196" s="2"/>
      <c r="I2196" s="5"/>
    </row>
    <row r="2197" spans="1:9" ht="17.399999999999999" x14ac:dyDescent="0.25">
      <c r="A2197" s="16"/>
      <c r="B2197" s="17"/>
      <c r="C2197" s="2" t="b">
        <v>0</v>
      </c>
      <c r="D2197" s="2"/>
      <c r="E2197" s="2"/>
      <c r="F2197" s="2"/>
      <c r="G2197" s="2"/>
      <c r="H2197" s="2"/>
      <c r="I2197" s="5"/>
    </row>
    <row r="2198" spans="1:9" ht="17.399999999999999" x14ac:dyDescent="0.25">
      <c r="A2198" s="16"/>
      <c r="B2198" s="17"/>
      <c r="C2198" s="2" t="b">
        <v>0</v>
      </c>
      <c r="D2198" s="2"/>
      <c r="E2198" s="2"/>
      <c r="F2198" s="2"/>
      <c r="G2198" s="2"/>
      <c r="H2198" s="2"/>
      <c r="I2198" s="5"/>
    </row>
    <row r="2199" spans="1:9" ht="17.399999999999999" x14ac:dyDescent="0.25">
      <c r="A2199" s="16"/>
      <c r="B2199" s="17"/>
      <c r="C2199" s="2" t="b">
        <v>0</v>
      </c>
      <c r="D2199" s="2"/>
      <c r="E2199" s="2"/>
      <c r="F2199" s="2"/>
      <c r="G2199" s="2"/>
      <c r="H2199" s="2"/>
      <c r="I2199" s="5"/>
    </row>
    <row r="2200" spans="1:9" ht="17.399999999999999" x14ac:dyDescent="0.25">
      <c r="A2200" s="16"/>
      <c r="B2200" s="17"/>
      <c r="C2200" s="2" t="b">
        <v>0</v>
      </c>
      <c r="D2200" s="2"/>
      <c r="E2200" s="2"/>
      <c r="F2200" s="2"/>
      <c r="G2200" s="2"/>
      <c r="H2200" s="2"/>
      <c r="I2200" s="5"/>
    </row>
    <row r="2201" spans="1:9" ht="17.399999999999999" x14ac:dyDescent="0.25">
      <c r="A2201" s="16"/>
      <c r="B2201" s="17"/>
      <c r="C2201" s="2" t="b">
        <v>0</v>
      </c>
      <c r="D2201" s="2"/>
      <c r="E2201" s="2"/>
      <c r="F2201" s="2"/>
      <c r="G2201" s="2"/>
      <c r="H2201" s="2"/>
      <c r="I2201" s="5"/>
    </row>
    <row r="2202" spans="1:9" ht="17.399999999999999" x14ac:dyDescent="0.25">
      <c r="A2202" s="16"/>
      <c r="B2202" s="17"/>
      <c r="C2202" s="2" t="b">
        <v>0</v>
      </c>
      <c r="D2202" s="2"/>
      <c r="E2202" s="2"/>
      <c r="F2202" s="2"/>
      <c r="G2202" s="2"/>
      <c r="H2202" s="2"/>
      <c r="I2202" s="5"/>
    </row>
    <row r="2203" spans="1:9" ht="17.399999999999999" x14ac:dyDescent="0.25">
      <c r="A2203" s="16"/>
      <c r="B2203" s="17"/>
      <c r="C2203" s="2" t="b">
        <v>0</v>
      </c>
      <c r="D2203" s="2"/>
      <c r="E2203" s="2"/>
      <c r="F2203" s="2"/>
      <c r="G2203" s="2"/>
      <c r="H2203" s="2"/>
      <c r="I2203" s="5"/>
    </row>
    <row r="2204" spans="1:9" ht="17.399999999999999" x14ac:dyDescent="0.25">
      <c r="A2204" s="16"/>
      <c r="B2204" s="17"/>
      <c r="C2204" s="2" t="b">
        <v>0</v>
      </c>
      <c r="D2204" s="2"/>
      <c r="E2204" s="2"/>
      <c r="F2204" s="2"/>
      <c r="G2204" s="2"/>
      <c r="H2204" s="2"/>
      <c r="I2204" s="5"/>
    </row>
    <row r="2205" spans="1:9" ht="17.399999999999999" x14ac:dyDescent="0.25">
      <c r="A2205" s="16"/>
      <c r="B2205" s="17"/>
      <c r="C2205" s="2" t="b">
        <v>0</v>
      </c>
      <c r="D2205" s="2"/>
      <c r="E2205" s="2"/>
      <c r="F2205" s="2"/>
      <c r="G2205" s="2"/>
      <c r="H2205" s="2"/>
      <c r="I2205" s="5"/>
    </row>
    <row r="2206" spans="1:9" ht="17.399999999999999" x14ac:dyDescent="0.25">
      <c r="A2206" s="16"/>
      <c r="B2206" s="17"/>
      <c r="C2206" s="2" t="b">
        <v>0</v>
      </c>
      <c r="D2206" s="2"/>
      <c r="E2206" s="2"/>
      <c r="F2206" s="2"/>
      <c r="G2206" s="2"/>
      <c r="H2206" s="2"/>
      <c r="I2206" s="5"/>
    </row>
    <row r="2207" spans="1:9" ht="17.399999999999999" x14ac:dyDescent="0.25">
      <c r="A2207" s="16"/>
      <c r="B2207" s="17"/>
      <c r="C2207" s="2" t="b">
        <v>0</v>
      </c>
      <c r="D2207" s="2"/>
      <c r="E2207" s="2"/>
      <c r="F2207" s="2"/>
      <c r="G2207" s="2"/>
      <c r="H2207" s="2"/>
      <c r="I2207" s="5"/>
    </row>
    <row r="2208" spans="1:9" ht="17.399999999999999" x14ac:dyDescent="0.25">
      <c r="A2208" s="16"/>
      <c r="B2208" s="17"/>
      <c r="C2208" s="2" t="b">
        <v>0</v>
      </c>
      <c r="D2208" s="2"/>
      <c r="E2208" s="2"/>
      <c r="F2208" s="2"/>
      <c r="G2208" s="2"/>
      <c r="H2208" s="2"/>
      <c r="I2208" s="5"/>
    </row>
    <row r="2209" spans="1:9" ht="17.399999999999999" x14ac:dyDescent="0.25">
      <c r="A2209" s="16"/>
      <c r="B2209" s="17"/>
      <c r="C2209" s="2" t="b">
        <v>0</v>
      </c>
      <c r="D2209" s="2"/>
      <c r="E2209" s="2"/>
      <c r="F2209" s="2"/>
      <c r="G2209" s="2"/>
      <c r="H2209" s="2"/>
      <c r="I2209" s="5"/>
    </row>
    <row r="2210" spans="1:9" ht="17.399999999999999" x14ac:dyDescent="0.25">
      <c r="A2210" s="16"/>
      <c r="B2210" s="17"/>
      <c r="C2210" s="2" t="b">
        <v>0</v>
      </c>
      <c r="D2210" s="2"/>
      <c r="E2210" s="2"/>
      <c r="F2210" s="2"/>
      <c r="G2210" s="2"/>
      <c r="H2210" s="2"/>
      <c r="I2210" s="5"/>
    </row>
    <row r="2211" spans="1:9" ht="17.399999999999999" x14ac:dyDescent="0.25">
      <c r="A2211" s="16"/>
      <c r="B2211" s="17"/>
      <c r="C2211" s="2" t="b">
        <v>0</v>
      </c>
      <c r="D2211" s="2"/>
      <c r="E2211" s="2"/>
      <c r="F2211" s="2"/>
      <c r="G2211" s="2"/>
      <c r="H2211" s="2"/>
      <c r="I2211" s="5"/>
    </row>
    <row r="2212" spans="1:9" ht="17.399999999999999" x14ac:dyDescent="0.25">
      <c r="A2212" s="16"/>
      <c r="B2212" s="17"/>
      <c r="C2212" s="2" t="b">
        <v>0</v>
      </c>
      <c r="D2212" s="2"/>
      <c r="E2212" s="2"/>
      <c r="F2212" s="2"/>
      <c r="G2212" s="2"/>
      <c r="H2212" s="2"/>
      <c r="I2212" s="5"/>
    </row>
    <row r="2213" spans="1:9" ht="17.399999999999999" x14ac:dyDescent="0.25">
      <c r="A2213" s="16"/>
      <c r="B2213" s="17"/>
      <c r="C2213" s="2" t="b">
        <v>0</v>
      </c>
      <c r="D2213" s="2"/>
      <c r="E2213" s="2"/>
      <c r="F2213" s="2"/>
      <c r="G2213" s="2"/>
      <c r="H2213" s="2"/>
      <c r="I2213" s="5"/>
    </row>
    <row r="2214" spans="1:9" ht="17.399999999999999" x14ac:dyDescent="0.25">
      <c r="A2214" s="16"/>
      <c r="B2214" s="17"/>
      <c r="C2214" s="2" t="b">
        <v>0</v>
      </c>
      <c r="D2214" s="2"/>
      <c r="E2214" s="2"/>
      <c r="F2214" s="2"/>
      <c r="G2214" s="2"/>
      <c r="H2214" s="2"/>
      <c r="I2214" s="5"/>
    </row>
    <row r="2215" spans="1:9" ht="17.399999999999999" x14ac:dyDescent="0.25">
      <c r="A2215" s="16"/>
      <c r="B2215" s="17"/>
      <c r="C2215" s="2" t="b">
        <v>0</v>
      </c>
      <c r="D2215" s="2"/>
      <c r="E2215" s="2"/>
      <c r="F2215" s="2"/>
      <c r="G2215" s="2"/>
      <c r="H2215" s="2"/>
      <c r="I2215" s="5"/>
    </row>
    <row r="2216" spans="1:9" ht="17.399999999999999" x14ac:dyDescent="0.25">
      <c r="A2216" s="16"/>
      <c r="B2216" s="17"/>
      <c r="C2216" s="2" t="b">
        <v>0</v>
      </c>
      <c r="D2216" s="2"/>
      <c r="E2216" s="2"/>
      <c r="F2216" s="2"/>
      <c r="G2216" s="2"/>
      <c r="H2216" s="2"/>
      <c r="I2216" s="5"/>
    </row>
    <row r="2217" spans="1:9" ht="17.399999999999999" x14ac:dyDescent="0.25">
      <c r="A2217" s="16"/>
      <c r="B2217" s="17"/>
      <c r="C2217" s="2" t="b">
        <v>0</v>
      </c>
      <c r="D2217" s="2"/>
      <c r="E2217" s="2"/>
      <c r="F2217" s="2"/>
      <c r="G2217" s="2"/>
      <c r="H2217" s="2"/>
      <c r="I2217" s="5"/>
    </row>
    <row r="2218" spans="1:9" ht="17.399999999999999" x14ac:dyDescent="0.25">
      <c r="A2218" s="16"/>
      <c r="B2218" s="17"/>
      <c r="C2218" s="2" t="b">
        <v>0</v>
      </c>
      <c r="D2218" s="2"/>
      <c r="E2218" s="2"/>
      <c r="F2218" s="2"/>
      <c r="G2218" s="2"/>
      <c r="H2218" s="2"/>
      <c r="I2218" s="5"/>
    </row>
    <row r="2219" spans="1:9" ht="17.399999999999999" x14ac:dyDescent="0.25">
      <c r="A2219" s="16"/>
      <c r="B2219" s="17"/>
      <c r="C2219" s="2" t="b">
        <v>0</v>
      </c>
      <c r="D2219" s="2"/>
      <c r="E2219" s="2"/>
      <c r="F2219" s="2"/>
      <c r="G2219" s="2"/>
      <c r="H2219" s="2"/>
      <c r="I2219" s="5"/>
    </row>
    <row r="2220" spans="1:9" ht="17.399999999999999" x14ac:dyDescent="0.25">
      <c r="A2220" s="16"/>
      <c r="B2220" s="17"/>
      <c r="C2220" s="2" t="b">
        <v>0</v>
      </c>
      <c r="D2220" s="2"/>
      <c r="E2220" s="2"/>
      <c r="F2220" s="2"/>
      <c r="G2220" s="2"/>
      <c r="H2220" s="2"/>
      <c r="I2220" s="5"/>
    </row>
    <row r="2221" spans="1:9" ht="17.399999999999999" x14ac:dyDescent="0.25">
      <c r="A2221" s="16"/>
      <c r="B2221" s="17"/>
      <c r="C2221" s="2" t="b">
        <v>0</v>
      </c>
      <c r="D2221" s="2"/>
      <c r="E2221" s="2"/>
      <c r="F2221" s="2"/>
      <c r="G2221" s="2"/>
      <c r="H2221" s="2"/>
      <c r="I2221" s="5"/>
    </row>
    <row r="2222" spans="1:9" ht="17.399999999999999" x14ac:dyDescent="0.25">
      <c r="A2222" s="16"/>
      <c r="B2222" s="17"/>
      <c r="C2222" s="2" t="b">
        <v>0</v>
      </c>
      <c r="D2222" s="2"/>
      <c r="E2222" s="2"/>
      <c r="F2222" s="2"/>
      <c r="G2222" s="2"/>
      <c r="H2222" s="2"/>
      <c r="I2222" s="5"/>
    </row>
    <row r="2223" spans="1:9" ht="17.399999999999999" x14ac:dyDescent="0.25">
      <c r="A2223" s="16"/>
      <c r="B2223" s="17"/>
      <c r="C2223" s="2" t="b">
        <v>0</v>
      </c>
      <c r="D2223" s="2"/>
      <c r="E2223" s="2"/>
      <c r="F2223" s="2"/>
      <c r="G2223" s="2"/>
      <c r="H2223" s="2"/>
      <c r="I2223" s="5"/>
    </row>
    <row r="2224" spans="1:9" ht="17.399999999999999" x14ac:dyDescent="0.25">
      <c r="A2224" s="16"/>
      <c r="B2224" s="17"/>
      <c r="C2224" s="2" t="b">
        <v>0</v>
      </c>
      <c r="D2224" s="2"/>
      <c r="E2224" s="2"/>
      <c r="F2224" s="2"/>
      <c r="G2224" s="2"/>
      <c r="H2224" s="2"/>
      <c r="I2224" s="5"/>
    </row>
    <row r="2225" spans="1:9" ht="17.399999999999999" x14ac:dyDescent="0.25">
      <c r="A2225" s="16"/>
      <c r="B2225" s="17"/>
      <c r="C2225" s="2" t="b">
        <v>0</v>
      </c>
      <c r="D2225" s="2"/>
      <c r="E2225" s="2"/>
      <c r="F2225" s="2"/>
      <c r="G2225" s="2"/>
      <c r="H2225" s="2"/>
      <c r="I2225" s="5"/>
    </row>
    <row r="2226" spans="1:9" ht="17.399999999999999" x14ac:dyDescent="0.25">
      <c r="A2226" s="16"/>
      <c r="B2226" s="17"/>
      <c r="C2226" s="2" t="b">
        <v>0</v>
      </c>
      <c r="D2226" s="2"/>
      <c r="E2226" s="2"/>
      <c r="F2226" s="2"/>
      <c r="G2226" s="2"/>
      <c r="H2226" s="2"/>
      <c r="I2226" s="5"/>
    </row>
    <row r="2227" spans="1:9" ht="17.399999999999999" x14ac:dyDescent="0.25">
      <c r="A2227" s="16"/>
      <c r="B2227" s="17"/>
      <c r="C2227" s="2" t="b">
        <v>0</v>
      </c>
      <c r="D2227" s="2"/>
      <c r="E2227" s="2"/>
      <c r="F2227" s="2"/>
      <c r="G2227" s="2"/>
      <c r="H2227" s="2"/>
      <c r="I2227" s="5"/>
    </row>
    <row r="2228" spans="1:9" ht="17.399999999999999" x14ac:dyDescent="0.25">
      <c r="A2228" s="16"/>
      <c r="B2228" s="17"/>
      <c r="C2228" s="2" t="b">
        <v>0</v>
      </c>
      <c r="D2228" s="2"/>
      <c r="E2228" s="2"/>
      <c r="F2228" s="2"/>
      <c r="G2228" s="2"/>
      <c r="H2228" s="2"/>
      <c r="I2228" s="5"/>
    </row>
    <row r="2229" spans="1:9" ht="17.399999999999999" x14ac:dyDescent="0.25">
      <c r="A2229" s="16"/>
      <c r="B2229" s="17"/>
      <c r="C2229" s="2" t="b">
        <v>0</v>
      </c>
      <c r="D2229" s="2"/>
      <c r="E2229" s="2"/>
      <c r="F2229" s="2"/>
      <c r="G2229" s="2"/>
      <c r="H2229" s="2"/>
      <c r="I2229" s="5"/>
    </row>
    <row r="2230" spans="1:9" ht="17.399999999999999" x14ac:dyDescent="0.25">
      <c r="A2230" s="16"/>
      <c r="B2230" s="17"/>
      <c r="C2230" s="2" t="b">
        <v>0</v>
      </c>
      <c r="D2230" s="2"/>
      <c r="E2230" s="2"/>
      <c r="F2230" s="2"/>
      <c r="G2230" s="2"/>
      <c r="H2230" s="2"/>
      <c r="I2230" s="5"/>
    </row>
    <row r="2231" spans="1:9" ht="17.399999999999999" x14ac:dyDescent="0.25">
      <c r="A2231" s="16"/>
      <c r="B2231" s="17"/>
      <c r="C2231" s="2" t="b">
        <v>0</v>
      </c>
      <c r="D2231" s="2"/>
      <c r="E2231" s="2"/>
      <c r="F2231" s="2"/>
      <c r="G2231" s="2"/>
      <c r="H2231" s="2"/>
      <c r="I2231" s="5"/>
    </row>
    <row r="2232" spans="1:9" ht="17.399999999999999" x14ac:dyDescent="0.25">
      <c r="A2232" s="16"/>
      <c r="B2232" s="17"/>
      <c r="C2232" s="2" t="b">
        <v>0</v>
      </c>
      <c r="D2232" s="2"/>
      <c r="E2232" s="2"/>
      <c r="F2232" s="2"/>
      <c r="G2232" s="2"/>
      <c r="H2232" s="2"/>
      <c r="I2232" s="5"/>
    </row>
    <row r="2233" spans="1:9" ht="17.399999999999999" x14ac:dyDescent="0.25">
      <c r="A2233" s="16"/>
      <c r="B2233" s="17"/>
      <c r="C2233" s="2" t="b">
        <v>0</v>
      </c>
      <c r="D2233" s="2"/>
      <c r="E2233" s="2"/>
      <c r="F2233" s="2"/>
      <c r="G2233" s="2"/>
      <c r="H2233" s="2"/>
      <c r="I2233" s="5"/>
    </row>
    <row r="2234" spans="1:9" ht="17.399999999999999" x14ac:dyDescent="0.25">
      <c r="A2234" s="16"/>
      <c r="B2234" s="17"/>
      <c r="C2234" s="2" t="b">
        <v>0</v>
      </c>
      <c r="D2234" s="2"/>
      <c r="E2234" s="2"/>
      <c r="F2234" s="2"/>
      <c r="G2234" s="2"/>
      <c r="H2234" s="2"/>
      <c r="I2234" s="5"/>
    </row>
    <row r="2235" spans="1:9" ht="17.399999999999999" x14ac:dyDescent="0.25">
      <c r="A2235" s="16"/>
      <c r="B2235" s="17"/>
      <c r="C2235" s="2" t="b">
        <v>0</v>
      </c>
      <c r="D2235" s="2"/>
      <c r="E2235" s="2"/>
      <c r="F2235" s="2"/>
      <c r="G2235" s="2"/>
      <c r="H2235" s="2"/>
      <c r="I2235" s="5"/>
    </row>
    <row r="2236" spans="1:9" ht="17.399999999999999" x14ac:dyDescent="0.25">
      <c r="A2236" s="16"/>
      <c r="B2236" s="17"/>
      <c r="C2236" s="2" t="b">
        <v>0</v>
      </c>
      <c r="D2236" s="2"/>
      <c r="E2236" s="2"/>
      <c r="F2236" s="2"/>
      <c r="G2236" s="2"/>
      <c r="H2236" s="2"/>
      <c r="I2236" s="5"/>
    </row>
    <row r="2237" spans="1:9" ht="17.399999999999999" x14ac:dyDescent="0.25">
      <c r="A2237" s="16"/>
      <c r="B2237" s="17"/>
      <c r="C2237" s="2" t="b">
        <v>0</v>
      </c>
      <c r="D2237" s="2"/>
      <c r="E2237" s="2"/>
      <c r="F2237" s="2"/>
      <c r="G2237" s="2"/>
      <c r="H2237" s="2"/>
      <c r="I2237" s="5"/>
    </row>
    <row r="2238" spans="1:9" ht="17.399999999999999" x14ac:dyDescent="0.25">
      <c r="A2238" s="16"/>
      <c r="B2238" s="17"/>
      <c r="C2238" s="2" t="b">
        <v>0</v>
      </c>
      <c r="D2238" s="2"/>
      <c r="E2238" s="2"/>
      <c r="F2238" s="2"/>
      <c r="G2238" s="2"/>
      <c r="H2238" s="2"/>
      <c r="I2238" s="5"/>
    </row>
    <row r="2239" spans="1:9" ht="17.399999999999999" x14ac:dyDescent="0.25">
      <c r="A2239" s="16"/>
      <c r="B2239" s="17"/>
      <c r="C2239" s="2" t="b">
        <v>0</v>
      </c>
      <c r="D2239" s="2"/>
      <c r="E2239" s="2"/>
      <c r="F2239" s="2"/>
      <c r="G2239" s="2"/>
      <c r="H2239" s="2"/>
      <c r="I2239" s="5"/>
    </row>
    <row r="2240" spans="1:9" ht="17.399999999999999" x14ac:dyDescent="0.25">
      <c r="A2240" s="16"/>
      <c r="B2240" s="17"/>
      <c r="C2240" s="2" t="b">
        <v>0</v>
      </c>
      <c r="D2240" s="2"/>
      <c r="E2240" s="2"/>
      <c r="F2240" s="2"/>
      <c r="G2240" s="2"/>
      <c r="H2240" s="2"/>
      <c r="I2240" s="5"/>
    </row>
    <row r="2241" spans="1:9" ht="17.399999999999999" x14ac:dyDescent="0.25">
      <c r="A2241" s="16"/>
      <c r="B2241" s="17"/>
      <c r="C2241" s="2" t="b">
        <v>0</v>
      </c>
      <c r="D2241" s="2"/>
      <c r="E2241" s="2"/>
      <c r="F2241" s="2"/>
      <c r="G2241" s="2"/>
      <c r="H2241" s="2"/>
      <c r="I2241" s="5"/>
    </row>
    <row r="2242" spans="1:9" ht="17.399999999999999" x14ac:dyDescent="0.25">
      <c r="A2242" s="16"/>
      <c r="B2242" s="17"/>
      <c r="C2242" s="2" t="b">
        <v>0</v>
      </c>
      <c r="D2242" s="2"/>
      <c r="E2242" s="2"/>
      <c r="F2242" s="2"/>
      <c r="G2242" s="2"/>
      <c r="H2242" s="2"/>
      <c r="I2242" s="5"/>
    </row>
    <row r="2243" spans="1:9" ht="17.399999999999999" x14ac:dyDescent="0.25">
      <c r="A2243" s="16"/>
      <c r="B2243" s="17"/>
      <c r="C2243" s="2" t="b">
        <v>0</v>
      </c>
      <c r="D2243" s="2"/>
      <c r="E2243" s="2"/>
      <c r="F2243" s="2"/>
      <c r="G2243" s="2"/>
      <c r="H2243" s="2"/>
      <c r="I2243" s="5"/>
    </row>
    <row r="2244" spans="1:9" ht="17.399999999999999" x14ac:dyDescent="0.25">
      <c r="A2244" s="16"/>
      <c r="B2244" s="17"/>
      <c r="C2244" s="2" t="b">
        <v>0</v>
      </c>
      <c r="D2244" s="2"/>
      <c r="E2244" s="2"/>
      <c r="F2244" s="2"/>
      <c r="G2244" s="2"/>
      <c r="H2244" s="2"/>
      <c r="I2244" s="5"/>
    </row>
    <row r="2245" spans="1:9" ht="17.399999999999999" x14ac:dyDescent="0.25">
      <c r="A2245" s="16"/>
      <c r="B2245" s="17"/>
      <c r="C2245" s="2" t="b">
        <v>0</v>
      </c>
      <c r="D2245" s="2"/>
      <c r="E2245" s="2"/>
      <c r="F2245" s="2"/>
      <c r="G2245" s="2"/>
      <c r="H2245" s="2"/>
      <c r="I2245" s="5"/>
    </row>
    <row r="2246" spans="1:9" ht="17.399999999999999" x14ac:dyDescent="0.25">
      <c r="A2246" s="16"/>
      <c r="B2246" s="17"/>
      <c r="C2246" s="2" t="b">
        <v>0</v>
      </c>
      <c r="D2246" s="2"/>
      <c r="E2246" s="2"/>
      <c r="F2246" s="2"/>
      <c r="G2246" s="2"/>
      <c r="H2246" s="2"/>
      <c r="I2246" s="5"/>
    </row>
    <row r="2247" spans="1:9" ht="17.399999999999999" x14ac:dyDescent="0.25">
      <c r="A2247" s="16"/>
      <c r="B2247" s="17"/>
      <c r="C2247" s="2" t="b">
        <v>0</v>
      </c>
      <c r="D2247" s="2"/>
      <c r="E2247" s="2"/>
      <c r="F2247" s="2"/>
      <c r="G2247" s="2"/>
      <c r="H2247" s="2"/>
      <c r="I2247" s="5"/>
    </row>
    <row r="2248" spans="1:9" ht="17.399999999999999" x14ac:dyDescent="0.25">
      <c r="A2248" s="16"/>
      <c r="B2248" s="17"/>
      <c r="C2248" s="2" t="b">
        <v>0</v>
      </c>
      <c r="D2248" s="2"/>
      <c r="E2248" s="2"/>
      <c r="F2248" s="2"/>
      <c r="G2248" s="2"/>
      <c r="H2248" s="2"/>
      <c r="I2248" s="5"/>
    </row>
    <row r="2249" spans="1:9" ht="17.399999999999999" x14ac:dyDescent="0.25">
      <c r="A2249" s="16"/>
      <c r="B2249" s="17"/>
      <c r="C2249" s="2" t="b">
        <v>0</v>
      </c>
      <c r="D2249" s="2"/>
      <c r="E2249" s="2"/>
      <c r="F2249" s="2"/>
      <c r="G2249" s="2"/>
      <c r="H2249" s="2"/>
      <c r="I2249" s="5"/>
    </row>
    <row r="2250" spans="1:9" ht="17.399999999999999" x14ac:dyDescent="0.25">
      <c r="A2250" s="16"/>
      <c r="B2250" s="17"/>
      <c r="C2250" s="2" t="b">
        <v>0</v>
      </c>
      <c r="D2250" s="2"/>
      <c r="E2250" s="2"/>
      <c r="F2250" s="2"/>
      <c r="G2250" s="2"/>
      <c r="H2250" s="2"/>
      <c r="I2250" s="5"/>
    </row>
    <row r="2251" spans="1:9" ht="17.399999999999999" x14ac:dyDescent="0.25">
      <c r="A2251" s="16"/>
      <c r="B2251" s="17"/>
      <c r="C2251" s="2" t="b">
        <v>0</v>
      </c>
      <c r="D2251" s="2"/>
      <c r="E2251" s="2"/>
      <c r="F2251" s="2"/>
      <c r="G2251" s="2"/>
      <c r="H2251" s="2"/>
      <c r="I2251" s="5"/>
    </row>
    <row r="2252" spans="1:9" ht="17.399999999999999" x14ac:dyDescent="0.25">
      <c r="A2252" s="16"/>
      <c r="B2252" s="17"/>
      <c r="C2252" s="2" t="b">
        <v>0</v>
      </c>
      <c r="D2252" s="2"/>
      <c r="E2252" s="2"/>
      <c r="F2252" s="2"/>
      <c r="G2252" s="2"/>
      <c r="H2252" s="2"/>
      <c r="I2252" s="5"/>
    </row>
    <row r="2253" spans="1:9" ht="17.399999999999999" x14ac:dyDescent="0.25">
      <c r="A2253" s="16"/>
      <c r="B2253" s="17"/>
      <c r="C2253" s="2" t="b">
        <v>0</v>
      </c>
      <c r="D2253" s="2"/>
      <c r="E2253" s="2"/>
      <c r="F2253" s="2"/>
      <c r="G2253" s="2"/>
      <c r="H2253" s="2"/>
      <c r="I2253" s="5"/>
    </row>
    <row r="2254" spans="1:9" ht="17.399999999999999" x14ac:dyDescent="0.25">
      <c r="A2254" s="16"/>
      <c r="B2254" s="17"/>
      <c r="C2254" s="2" t="b">
        <v>0</v>
      </c>
      <c r="D2254" s="2"/>
      <c r="E2254" s="2"/>
      <c r="F2254" s="2"/>
      <c r="G2254" s="2"/>
      <c r="H2254" s="2"/>
      <c r="I2254" s="5"/>
    </row>
    <row r="2255" spans="1:9" ht="17.399999999999999" x14ac:dyDescent="0.25">
      <c r="A2255" s="16"/>
      <c r="B2255" s="17"/>
      <c r="C2255" s="2" t="b">
        <v>0</v>
      </c>
      <c r="D2255" s="2"/>
      <c r="E2255" s="2"/>
      <c r="F2255" s="2"/>
      <c r="G2255" s="2"/>
      <c r="H2255" s="2"/>
      <c r="I2255" s="5"/>
    </row>
    <row r="2256" spans="1:9" ht="17.399999999999999" x14ac:dyDescent="0.25">
      <c r="A2256" s="16"/>
      <c r="B2256" s="17"/>
      <c r="C2256" s="2" t="b">
        <v>0</v>
      </c>
      <c r="D2256" s="2"/>
      <c r="E2256" s="2"/>
      <c r="F2256" s="2"/>
      <c r="G2256" s="2"/>
      <c r="H2256" s="2"/>
      <c r="I2256" s="5"/>
    </row>
    <row r="2257" spans="1:9" ht="17.399999999999999" x14ac:dyDescent="0.25">
      <c r="A2257" s="16"/>
      <c r="B2257" s="17"/>
      <c r="C2257" s="2" t="b">
        <v>0</v>
      </c>
      <c r="D2257" s="2"/>
      <c r="E2257" s="2"/>
      <c r="F2257" s="2"/>
      <c r="G2257" s="2"/>
      <c r="H2257" s="2"/>
      <c r="I2257" s="5"/>
    </row>
    <row r="2258" spans="1:9" ht="17.399999999999999" x14ac:dyDescent="0.25">
      <c r="A2258" s="16"/>
      <c r="B2258" s="17"/>
      <c r="C2258" s="2" t="b">
        <v>0</v>
      </c>
      <c r="D2258" s="2"/>
      <c r="E2258" s="2"/>
      <c r="F2258" s="2"/>
      <c r="G2258" s="2"/>
      <c r="H2258" s="2"/>
      <c r="I2258" s="5"/>
    </row>
    <row r="2259" spans="1:9" ht="17.399999999999999" x14ac:dyDescent="0.25">
      <c r="A2259" s="16"/>
      <c r="B2259" s="17"/>
      <c r="C2259" s="2" t="b">
        <v>0</v>
      </c>
      <c r="D2259" s="2"/>
      <c r="E2259" s="2"/>
      <c r="F2259" s="2"/>
      <c r="G2259" s="2"/>
      <c r="H2259" s="2"/>
      <c r="I2259" s="5"/>
    </row>
    <row r="2260" spans="1:9" ht="17.399999999999999" x14ac:dyDescent="0.25">
      <c r="A2260" s="16"/>
      <c r="B2260" s="17"/>
      <c r="C2260" s="2" t="b">
        <v>0</v>
      </c>
      <c r="D2260" s="2"/>
      <c r="E2260" s="2"/>
      <c r="F2260" s="2"/>
      <c r="G2260" s="2"/>
      <c r="H2260" s="2"/>
      <c r="I2260" s="5"/>
    </row>
    <row r="2261" spans="1:9" ht="17.399999999999999" x14ac:dyDescent="0.25">
      <c r="A2261" s="16"/>
      <c r="B2261" s="17"/>
      <c r="C2261" s="2" t="b">
        <v>0</v>
      </c>
      <c r="D2261" s="2"/>
      <c r="E2261" s="2"/>
      <c r="F2261" s="2"/>
      <c r="G2261" s="2"/>
      <c r="H2261" s="2"/>
      <c r="I2261" s="5"/>
    </row>
    <row r="2262" spans="1:9" ht="17.399999999999999" x14ac:dyDescent="0.25">
      <c r="A2262" s="16"/>
      <c r="B2262" s="17"/>
      <c r="C2262" s="2" t="b">
        <v>0</v>
      </c>
      <c r="D2262" s="2"/>
      <c r="E2262" s="2"/>
      <c r="F2262" s="2"/>
      <c r="G2262" s="2"/>
      <c r="H2262" s="2"/>
      <c r="I2262" s="5"/>
    </row>
    <row r="2263" spans="1:9" ht="17.399999999999999" x14ac:dyDescent="0.25">
      <c r="A2263" s="16"/>
      <c r="B2263" s="17"/>
      <c r="C2263" s="2" t="b">
        <v>0</v>
      </c>
      <c r="D2263" s="2"/>
      <c r="E2263" s="2"/>
      <c r="F2263" s="2"/>
      <c r="G2263" s="2"/>
      <c r="H2263" s="2"/>
      <c r="I2263" s="5"/>
    </row>
    <row r="2264" spans="1:9" ht="17.399999999999999" x14ac:dyDescent="0.25">
      <c r="A2264" s="16"/>
      <c r="B2264" s="17"/>
      <c r="C2264" s="2" t="b">
        <v>0</v>
      </c>
      <c r="D2264" s="2"/>
      <c r="E2264" s="2"/>
      <c r="F2264" s="2"/>
      <c r="G2264" s="2"/>
      <c r="H2264" s="2"/>
      <c r="I2264" s="5"/>
    </row>
    <row r="2265" spans="1:9" ht="17.399999999999999" x14ac:dyDescent="0.25">
      <c r="A2265" s="16"/>
      <c r="B2265" s="17"/>
      <c r="C2265" s="2" t="b">
        <v>0</v>
      </c>
      <c r="D2265" s="2"/>
      <c r="E2265" s="2"/>
      <c r="F2265" s="2"/>
      <c r="G2265" s="2"/>
      <c r="H2265" s="2"/>
      <c r="I2265" s="5"/>
    </row>
    <row r="2266" spans="1:9" ht="17.399999999999999" x14ac:dyDescent="0.25">
      <c r="A2266" s="16"/>
      <c r="B2266" s="17"/>
      <c r="C2266" s="2" t="b">
        <v>0</v>
      </c>
      <c r="D2266" s="2"/>
      <c r="E2266" s="2"/>
      <c r="F2266" s="2"/>
      <c r="G2266" s="2"/>
      <c r="H2266" s="2"/>
      <c r="I2266" s="5"/>
    </row>
    <row r="2267" spans="1:9" ht="17.399999999999999" x14ac:dyDescent="0.25">
      <c r="A2267" s="16"/>
      <c r="B2267" s="17"/>
      <c r="C2267" s="2" t="b">
        <v>0</v>
      </c>
      <c r="D2267" s="2"/>
      <c r="E2267" s="2"/>
      <c r="F2267" s="2"/>
      <c r="G2267" s="2"/>
      <c r="H2267" s="2"/>
      <c r="I2267" s="5"/>
    </row>
    <row r="2268" spans="1:9" ht="17.399999999999999" x14ac:dyDescent="0.25">
      <c r="A2268" s="16"/>
      <c r="B2268" s="17"/>
      <c r="C2268" s="2" t="b">
        <v>0</v>
      </c>
      <c r="D2268" s="2"/>
      <c r="E2268" s="2"/>
      <c r="F2268" s="2"/>
      <c r="G2268" s="2"/>
      <c r="H2268" s="2"/>
      <c r="I2268" s="5"/>
    </row>
    <row r="2269" spans="1:9" ht="17.399999999999999" x14ac:dyDescent="0.25">
      <c r="A2269" s="16"/>
      <c r="B2269" s="17"/>
      <c r="C2269" s="2" t="b">
        <v>0</v>
      </c>
      <c r="D2269" s="2"/>
      <c r="E2269" s="2"/>
      <c r="F2269" s="2"/>
      <c r="G2269" s="2"/>
      <c r="H2269" s="2"/>
      <c r="I2269" s="5"/>
    </row>
    <row r="2270" spans="1:9" ht="17.399999999999999" x14ac:dyDescent="0.25">
      <c r="A2270" s="16"/>
      <c r="B2270" s="17"/>
      <c r="C2270" s="2" t="b">
        <v>0</v>
      </c>
      <c r="D2270" s="2"/>
      <c r="E2270" s="2"/>
      <c r="F2270" s="2"/>
      <c r="G2270" s="2"/>
      <c r="H2270" s="2"/>
      <c r="I2270" s="5"/>
    </row>
    <row r="2271" spans="1:9" ht="17.399999999999999" x14ac:dyDescent="0.25">
      <c r="A2271" s="16"/>
      <c r="B2271" s="17"/>
      <c r="C2271" s="2" t="b">
        <v>0</v>
      </c>
      <c r="D2271" s="2"/>
      <c r="E2271" s="2"/>
      <c r="F2271" s="2"/>
      <c r="G2271" s="2"/>
      <c r="H2271" s="2"/>
      <c r="I2271" s="5"/>
    </row>
    <row r="2272" spans="1:9" ht="17.399999999999999" x14ac:dyDescent="0.25">
      <c r="A2272" s="16"/>
      <c r="B2272" s="17"/>
      <c r="C2272" s="2" t="b">
        <v>0</v>
      </c>
      <c r="D2272" s="2"/>
      <c r="E2272" s="2"/>
      <c r="F2272" s="2"/>
      <c r="G2272" s="2"/>
      <c r="H2272" s="2"/>
      <c r="I2272" s="5"/>
    </row>
    <row r="2273" spans="1:9" ht="17.399999999999999" x14ac:dyDescent="0.25">
      <c r="A2273" s="16"/>
      <c r="B2273" s="17"/>
      <c r="C2273" s="2" t="b">
        <v>0</v>
      </c>
      <c r="D2273" s="2"/>
      <c r="E2273" s="2"/>
      <c r="F2273" s="2"/>
      <c r="G2273" s="2"/>
      <c r="H2273" s="2"/>
      <c r="I2273" s="5"/>
    </row>
    <row r="2274" spans="1:9" ht="17.399999999999999" x14ac:dyDescent="0.25">
      <c r="A2274" s="16"/>
      <c r="B2274" s="17"/>
      <c r="C2274" s="2" t="b">
        <v>0</v>
      </c>
      <c r="D2274" s="2"/>
      <c r="E2274" s="2"/>
      <c r="F2274" s="2"/>
      <c r="G2274" s="2"/>
      <c r="H2274" s="2"/>
      <c r="I2274" s="5"/>
    </row>
    <row r="2275" spans="1:9" ht="17.399999999999999" x14ac:dyDescent="0.25">
      <c r="A2275" s="16"/>
      <c r="B2275" s="17"/>
      <c r="C2275" s="2" t="b">
        <v>0</v>
      </c>
      <c r="D2275" s="2"/>
      <c r="E2275" s="2"/>
      <c r="F2275" s="2"/>
      <c r="G2275" s="2"/>
      <c r="H2275" s="2"/>
      <c r="I2275" s="5"/>
    </row>
    <row r="2276" spans="1:9" ht="17.399999999999999" x14ac:dyDescent="0.25">
      <c r="A2276" s="16"/>
      <c r="B2276" s="17"/>
      <c r="C2276" s="2" t="b">
        <v>0</v>
      </c>
      <c r="D2276" s="2"/>
      <c r="E2276" s="2"/>
      <c r="F2276" s="2"/>
      <c r="G2276" s="2"/>
      <c r="H2276" s="2"/>
      <c r="I2276" s="5"/>
    </row>
    <row r="2277" spans="1:9" ht="17.399999999999999" x14ac:dyDescent="0.25">
      <c r="A2277" s="16"/>
      <c r="B2277" s="17"/>
      <c r="C2277" s="2" t="b">
        <v>0</v>
      </c>
      <c r="D2277" s="2"/>
      <c r="E2277" s="2"/>
      <c r="F2277" s="2"/>
      <c r="G2277" s="2"/>
      <c r="H2277" s="2"/>
      <c r="I2277" s="5"/>
    </row>
    <row r="2278" spans="1:9" ht="17.399999999999999" x14ac:dyDescent="0.25">
      <c r="A2278" s="16"/>
      <c r="B2278" s="17"/>
      <c r="C2278" s="2" t="b">
        <v>0</v>
      </c>
      <c r="D2278" s="2"/>
      <c r="E2278" s="2"/>
      <c r="F2278" s="2"/>
      <c r="G2278" s="2"/>
      <c r="H2278" s="2"/>
      <c r="I2278" s="5"/>
    </row>
    <row r="2279" spans="1:9" ht="17.399999999999999" x14ac:dyDescent="0.25">
      <c r="A2279" s="16"/>
      <c r="B2279" s="17"/>
      <c r="C2279" s="2" t="b">
        <v>0</v>
      </c>
      <c r="D2279" s="2"/>
      <c r="E2279" s="2"/>
      <c r="F2279" s="2"/>
      <c r="G2279" s="2"/>
      <c r="H2279" s="2"/>
      <c r="I2279" s="5"/>
    </row>
    <row r="2280" spans="1:9" ht="17.399999999999999" x14ac:dyDescent="0.25">
      <c r="A2280" s="16"/>
      <c r="B2280" s="17"/>
      <c r="C2280" s="2" t="b">
        <v>0</v>
      </c>
      <c r="D2280" s="2"/>
      <c r="E2280" s="2"/>
      <c r="F2280" s="2"/>
      <c r="G2280" s="2"/>
      <c r="H2280" s="2"/>
      <c r="I2280" s="5"/>
    </row>
    <row r="2281" spans="1:9" ht="17.399999999999999" x14ac:dyDescent="0.25">
      <c r="A2281" s="16"/>
      <c r="B2281" s="17"/>
      <c r="C2281" s="2" t="b">
        <v>0</v>
      </c>
      <c r="D2281" s="2"/>
      <c r="E2281" s="2"/>
      <c r="F2281" s="2"/>
      <c r="G2281" s="2"/>
      <c r="H2281" s="2"/>
      <c r="I2281" s="5"/>
    </row>
    <row r="2282" spans="1:9" ht="17.399999999999999" x14ac:dyDescent="0.25">
      <c r="A2282" s="16"/>
      <c r="B2282" s="17"/>
      <c r="C2282" s="2" t="b">
        <v>0</v>
      </c>
      <c r="D2282" s="2"/>
      <c r="E2282" s="2"/>
      <c r="F2282" s="2"/>
      <c r="G2282" s="2"/>
      <c r="H2282" s="2"/>
      <c r="I2282" s="5"/>
    </row>
    <row r="2283" spans="1:9" ht="17.399999999999999" x14ac:dyDescent="0.25">
      <c r="A2283" s="16"/>
      <c r="B2283" s="17"/>
      <c r="C2283" s="2" t="b">
        <v>0</v>
      </c>
      <c r="D2283" s="2"/>
      <c r="E2283" s="2"/>
      <c r="F2283" s="2"/>
      <c r="G2283" s="2"/>
      <c r="H2283" s="2"/>
      <c r="I2283" s="5"/>
    </row>
    <row r="2284" spans="1:9" ht="17.399999999999999" x14ac:dyDescent="0.25">
      <c r="A2284" s="16"/>
      <c r="B2284" s="17"/>
      <c r="C2284" s="2" t="b">
        <v>0</v>
      </c>
      <c r="D2284" s="2"/>
      <c r="E2284" s="2"/>
      <c r="F2284" s="2"/>
      <c r="G2284" s="2"/>
      <c r="H2284" s="2"/>
      <c r="I2284" s="5"/>
    </row>
    <row r="2285" spans="1:9" ht="17.399999999999999" x14ac:dyDescent="0.25">
      <c r="A2285" s="16"/>
      <c r="B2285" s="17"/>
      <c r="C2285" s="2" t="b">
        <v>0</v>
      </c>
      <c r="D2285" s="2"/>
      <c r="E2285" s="2"/>
      <c r="F2285" s="2"/>
      <c r="G2285" s="2"/>
      <c r="H2285" s="2"/>
      <c r="I2285" s="5"/>
    </row>
    <row r="2286" spans="1:9" ht="17.399999999999999" x14ac:dyDescent="0.25">
      <c r="A2286" s="16"/>
      <c r="B2286" s="17"/>
      <c r="C2286" s="2" t="b">
        <v>0</v>
      </c>
      <c r="D2286" s="2"/>
      <c r="E2286" s="2"/>
      <c r="F2286" s="2"/>
      <c r="G2286" s="2"/>
      <c r="H2286" s="2"/>
      <c r="I2286" s="5"/>
    </row>
    <row r="2287" spans="1:9" ht="17.399999999999999" x14ac:dyDescent="0.25">
      <c r="A2287" s="16"/>
      <c r="B2287" s="17"/>
      <c r="C2287" s="2" t="b">
        <v>0</v>
      </c>
      <c r="D2287" s="2"/>
      <c r="E2287" s="2"/>
      <c r="F2287" s="2"/>
      <c r="G2287" s="2"/>
      <c r="H2287" s="2"/>
      <c r="I2287" s="5"/>
    </row>
    <row r="2288" spans="1:9" ht="17.399999999999999" x14ac:dyDescent="0.25">
      <c r="A2288" s="16"/>
      <c r="B2288" s="17"/>
      <c r="C2288" s="2" t="b">
        <v>0</v>
      </c>
      <c r="D2288" s="2"/>
      <c r="E2288" s="2"/>
      <c r="F2288" s="2"/>
      <c r="G2288" s="2"/>
      <c r="H2288" s="2"/>
      <c r="I2288" s="5"/>
    </row>
    <row r="2289" spans="1:9" ht="17.399999999999999" x14ac:dyDescent="0.25">
      <c r="A2289" s="16"/>
      <c r="B2289" s="17"/>
      <c r="C2289" s="2" t="b">
        <v>0</v>
      </c>
      <c r="D2289" s="2"/>
      <c r="E2289" s="2"/>
      <c r="F2289" s="2"/>
      <c r="G2289" s="2"/>
      <c r="H2289" s="2"/>
      <c r="I2289" s="5"/>
    </row>
    <row r="2290" spans="1:9" ht="17.399999999999999" x14ac:dyDescent="0.25">
      <c r="A2290" s="16"/>
      <c r="B2290" s="17"/>
      <c r="C2290" s="2" t="b">
        <v>0</v>
      </c>
      <c r="D2290" s="2"/>
      <c r="E2290" s="2"/>
      <c r="F2290" s="2"/>
      <c r="G2290" s="2"/>
      <c r="H2290" s="2"/>
      <c r="I2290" s="5"/>
    </row>
    <row r="2291" spans="1:9" ht="17.399999999999999" x14ac:dyDescent="0.25">
      <c r="A2291" s="16"/>
      <c r="B2291" s="17"/>
      <c r="C2291" s="2" t="b">
        <v>0</v>
      </c>
      <c r="D2291" s="2"/>
      <c r="E2291" s="2"/>
      <c r="F2291" s="2"/>
      <c r="G2291" s="2"/>
      <c r="H2291" s="2"/>
      <c r="I2291" s="5"/>
    </row>
    <row r="2292" spans="1:9" ht="17.399999999999999" x14ac:dyDescent="0.25">
      <c r="A2292" s="16"/>
      <c r="B2292" s="17"/>
      <c r="C2292" s="2" t="b">
        <v>0</v>
      </c>
      <c r="D2292" s="2"/>
      <c r="E2292" s="2"/>
      <c r="F2292" s="2"/>
      <c r="G2292" s="2"/>
      <c r="H2292" s="2"/>
      <c r="I2292" s="5"/>
    </row>
    <row r="2293" spans="1:9" ht="17.399999999999999" x14ac:dyDescent="0.25">
      <c r="A2293" s="16"/>
      <c r="B2293" s="17"/>
      <c r="C2293" s="2" t="b">
        <v>0</v>
      </c>
      <c r="D2293" s="2"/>
      <c r="E2293" s="2"/>
      <c r="F2293" s="2"/>
      <c r="G2293" s="2"/>
      <c r="H2293" s="2"/>
      <c r="I2293" s="5"/>
    </row>
    <row r="2294" spans="1:9" ht="17.399999999999999" x14ac:dyDescent="0.25">
      <c r="A2294" s="16"/>
      <c r="B2294" s="17"/>
      <c r="C2294" s="2" t="b">
        <v>0</v>
      </c>
      <c r="D2294" s="2"/>
      <c r="E2294" s="2"/>
      <c r="F2294" s="2"/>
      <c r="G2294" s="2"/>
      <c r="H2294" s="2"/>
      <c r="I2294" s="5"/>
    </row>
    <row r="2295" spans="1:9" ht="17.399999999999999" x14ac:dyDescent="0.25">
      <c r="A2295" s="16"/>
      <c r="B2295" s="17"/>
      <c r="C2295" s="2" t="b">
        <v>0</v>
      </c>
      <c r="D2295" s="2"/>
      <c r="E2295" s="2"/>
      <c r="F2295" s="2"/>
      <c r="G2295" s="2"/>
      <c r="H2295" s="2"/>
      <c r="I2295" s="5"/>
    </row>
    <row r="2296" spans="1:9" ht="17.399999999999999" x14ac:dyDescent="0.25">
      <c r="A2296" s="16"/>
      <c r="B2296" s="17"/>
      <c r="C2296" s="2" t="b">
        <v>0</v>
      </c>
      <c r="D2296" s="2"/>
      <c r="E2296" s="2"/>
      <c r="F2296" s="2"/>
      <c r="G2296" s="2"/>
      <c r="H2296" s="2"/>
      <c r="I2296" s="5"/>
    </row>
    <row r="2297" spans="1:9" ht="17.399999999999999" x14ac:dyDescent="0.25">
      <c r="A2297" s="16"/>
      <c r="B2297" s="17"/>
      <c r="C2297" s="2" t="b">
        <v>0</v>
      </c>
      <c r="D2297" s="2"/>
      <c r="E2297" s="2"/>
      <c r="F2297" s="2"/>
      <c r="G2297" s="2"/>
      <c r="H2297" s="2"/>
      <c r="I2297" s="5"/>
    </row>
    <row r="2298" spans="1:9" ht="17.399999999999999" x14ac:dyDescent="0.25">
      <c r="A2298" s="16"/>
      <c r="B2298" s="17"/>
      <c r="C2298" s="2" t="b">
        <v>0</v>
      </c>
      <c r="D2298" s="2"/>
      <c r="E2298" s="2"/>
      <c r="F2298" s="2"/>
      <c r="G2298" s="2"/>
      <c r="H2298" s="2"/>
      <c r="I2298" s="5"/>
    </row>
    <row r="2299" spans="1:9" ht="17.399999999999999" x14ac:dyDescent="0.25">
      <c r="A2299" s="16"/>
      <c r="B2299" s="17"/>
      <c r="C2299" s="2" t="b">
        <v>0</v>
      </c>
      <c r="D2299" s="2"/>
      <c r="E2299" s="2"/>
      <c r="F2299" s="2"/>
      <c r="G2299" s="2"/>
      <c r="H2299" s="2"/>
      <c r="I2299" s="5"/>
    </row>
    <row r="2300" spans="1:9" ht="17.399999999999999" x14ac:dyDescent="0.25">
      <c r="A2300" s="16"/>
      <c r="B2300" s="17"/>
      <c r="C2300" s="2" t="b">
        <v>0</v>
      </c>
      <c r="D2300" s="2"/>
      <c r="E2300" s="2"/>
      <c r="F2300" s="2"/>
      <c r="G2300" s="2"/>
      <c r="H2300" s="2"/>
      <c r="I2300" s="5"/>
    </row>
    <row r="2301" spans="1:9" ht="17.399999999999999" x14ac:dyDescent="0.25">
      <c r="A2301" s="16"/>
      <c r="B2301" s="17"/>
      <c r="C2301" s="2" t="b">
        <v>0</v>
      </c>
      <c r="D2301" s="2"/>
      <c r="E2301" s="2"/>
      <c r="F2301" s="2"/>
      <c r="G2301" s="2"/>
      <c r="H2301" s="2"/>
      <c r="I2301" s="5"/>
    </row>
    <row r="2302" spans="1:9" ht="17.399999999999999" x14ac:dyDescent="0.25">
      <c r="A2302" s="16"/>
      <c r="B2302" s="17"/>
      <c r="C2302" s="2" t="b">
        <v>0</v>
      </c>
      <c r="D2302" s="2"/>
      <c r="E2302" s="2"/>
      <c r="F2302" s="2"/>
      <c r="G2302" s="2"/>
      <c r="H2302" s="2"/>
      <c r="I2302" s="5"/>
    </row>
    <row r="2303" spans="1:9" ht="17.399999999999999" x14ac:dyDescent="0.25">
      <c r="A2303" s="16"/>
      <c r="B2303" s="17"/>
      <c r="C2303" s="2" t="b">
        <v>0</v>
      </c>
      <c r="D2303" s="2"/>
      <c r="E2303" s="2"/>
      <c r="F2303" s="2"/>
      <c r="G2303" s="2"/>
      <c r="H2303" s="2"/>
      <c r="I2303" s="5"/>
    </row>
    <row r="2304" spans="1:9" ht="17.399999999999999" x14ac:dyDescent="0.25">
      <c r="A2304" s="16"/>
      <c r="B2304" s="17"/>
      <c r="C2304" s="2" t="b">
        <v>0</v>
      </c>
      <c r="D2304" s="2"/>
      <c r="E2304" s="2"/>
      <c r="F2304" s="2"/>
      <c r="G2304" s="2"/>
      <c r="H2304" s="2"/>
      <c r="I2304" s="5"/>
    </row>
    <row r="2305" spans="1:9" ht="17.399999999999999" x14ac:dyDescent="0.25">
      <c r="A2305" s="16"/>
      <c r="B2305" s="17"/>
      <c r="C2305" s="2" t="b">
        <v>0</v>
      </c>
      <c r="D2305" s="2"/>
      <c r="E2305" s="2"/>
      <c r="F2305" s="2"/>
      <c r="G2305" s="2"/>
      <c r="H2305" s="2"/>
      <c r="I2305" s="5"/>
    </row>
    <row r="2306" spans="1:9" ht="17.399999999999999" x14ac:dyDescent="0.25">
      <c r="A2306" s="16"/>
      <c r="B2306" s="17"/>
      <c r="C2306" s="2" t="b">
        <v>0</v>
      </c>
      <c r="D2306" s="2"/>
      <c r="E2306" s="2"/>
      <c r="F2306" s="2"/>
      <c r="G2306" s="2"/>
      <c r="H2306" s="2"/>
      <c r="I2306" s="5"/>
    </row>
    <row r="2307" spans="1:9" ht="17.399999999999999" x14ac:dyDescent="0.25">
      <c r="A2307" s="16"/>
      <c r="B2307" s="17"/>
      <c r="C2307" s="2" t="b">
        <v>0</v>
      </c>
      <c r="D2307" s="2"/>
      <c r="E2307" s="2"/>
      <c r="F2307" s="2"/>
      <c r="G2307" s="2"/>
      <c r="H2307" s="2"/>
      <c r="I2307" s="5"/>
    </row>
    <row r="2308" spans="1:9" ht="17.399999999999999" x14ac:dyDescent="0.25">
      <c r="A2308" s="16"/>
      <c r="B2308" s="17"/>
      <c r="C2308" s="2" t="b">
        <v>0</v>
      </c>
      <c r="D2308" s="2"/>
      <c r="E2308" s="2"/>
      <c r="F2308" s="2"/>
      <c r="G2308" s="2"/>
      <c r="H2308" s="2"/>
      <c r="I2308" s="5"/>
    </row>
    <row r="2309" spans="1:9" ht="17.399999999999999" x14ac:dyDescent="0.25">
      <c r="A2309" s="16"/>
      <c r="B2309" s="17"/>
      <c r="C2309" s="2" t="b">
        <v>0</v>
      </c>
      <c r="D2309" s="2"/>
      <c r="E2309" s="2"/>
      <c r="F2309" s="2"/>
      <c r="G2309" s="2"/>
      <c r="H2309" s="2"/>
      <c r="I2309" s="5"/>
    </row>
    <row r="2310" spans="1:9" ht="17.399999999999999" x14ac:dyDescent="0.25">
      <c r="A2310" s="16"/>
      <c r="B2310" s="17"/>
      <c r="C2310" s="2" t="b">
        <v>0</v>
      </c>
      <c r="D2310" s="2"/>
      <c r="E2310" s="2"/>
      <c r="F2310" s="2"/>
      <c r="G2310" s="2"/>
      <c r="H2310" s="2"/>
      <c r="I2310" s="5"/>
    </row>
    <row r="2311" spans="1:9" ht="17.399999999999999" x14ac:dyDescent="0.25">
      <c r="A2311" s="16"/>
      <c r="B2311" s="17"/>
      <c r="C2311" s="2" t="b">
        <v>0</v>
      </c>
      <c r="D2311" s="2"/>
      <c r="E2311" s="2"/>
      <c r="F2311" s="2"/>
      <c r="G2311" s="2"/>
      <c r="H2311" s="2"/>
      <c r="I2311" s="5"/>
    </row>
    <row r="2312" spans="1:9" ht="17.399999999999999" x14ac:dyDescent="0.25">
      <c r="A2312" s="16"/>
      <c r="B2312" s="17"/>
      <c r="C2312" s="2" t="b">
        <v>0</v>
      </c>
      <c r="D2312" s="2"/>
      <c r="E2312" s="2"/>
      <c r="F2312" s="2"/>
      <c r="G2312" s="2"/>
      <c r="H2312" s="2"/>
      <c r="I2312" s="5"/>
    </row>
    <row r="2313" spans="1:9" ht="17.399999999999999" x14ac:dyDescent="0.25">
      <c r="A2313" s="16"/>
      <c r="B2313" s="17"/>
      <c r="C2313" s="2" t="b">
        <v>0</v>
      </c>
      <c r="D2313" s="2"/>
      <c r="E2313" s="2"/>
      <c r="F2313" s="2"/>
      <c r="G2313" s="2"/>
      <c r="H2313" s="2"/>
      <c r="I2313" s="5"/>
    </row>
    <row r="2314" spans="1:9" ht="17.399999999999999" x14ac:dyDescent="0.25">
      <c r="A2314" s="16"/>
      <c r="B2314" s="17"/>
      <c r="C2314" s="2" t="b">
        <v>0</v>
      </c>
      <c r="D2314" s="2"/>
      <c r="E2314" s="2"/>
      <c r="F2314" s="2"/>
      <c r="G2314" s="2"/>
      <c r="H2314" s="2"/>
      <c r="I2314" s="5"/>
    </row>
    <row r="2315" spans="1:9" ht="17.399999999999999" x14ac:dyDescent="0.25">
      <c r="A2315" s="16"/>
      <c r="B2315" s="17"/>
      <c r="C2315" s="2" t="b">
        <v>0</v>
      </c>
      <c r="D2315" s="2"/>
      <c r="E2315" s="2"/>
      <c r="F2315" s="2"/>
      <c r="G2315" s="2"/>
      <c r="H2315" s="2"/>
      <c r="I2315" s="5"/>
    </row>
    <row r="2316" spans="1:9" ht="17.399999999999999" x14ac:dyDescent="0.25">
      <c r="A2316" s="16"/>
      <c r="B2316" s="17"/>
      <c r="C2316" s="2" t="b">
        <v>0</v>
      </c>
      <c r="D2316" s="2"/>
      <c r="E2316" s="2"/>
      <c r="F2316" s="2"/>
      <c r="G2316" s="2"/>
      <c r="H2316" s="2"/>
      <c r="I2316" s="5"/>
    </row>
    <row r="2317" spans="1:9" ht="17.399999999999999" x14ac:dyDescent="0.25">
      <c r="A2317" s="16"/>
      <c r="B2317" s="17"/>
      <c r="C2317" s="2" t="b">
        <v>0</v>
      </c>
      <c r="D2317" s="2"/>
      <c r="E2317" s="2"/>
      <c r="F2317" s="2"/>
      <c r="G2317" s="2"/>
      <c r="H2317" s="2"/>
      <c r="I2317" s="5"/>
    </row>
    <row r="2318" spans="1:9" ht="17.399999999999999" x14ac:dyDescent="0.25">
      <c r="A2318" s="16"/>
      <c r="B2318" s="17"/>
      <c r="C2318" s="2" t="b">
        <v>0</v>
      </c>
      <c r="D2318" s="2"/>
      <c r="E2318" s="2"/>
      <c r="F2318" s="2"/>
      <c r="G2318" s="2"/>
      <c r="H2318" s="2"/>
      <c r="I2318" s="5"/>
    </row>
    <row r="2319" spans="1:9" ht="17.399999999999999" x14ac:dyDescent="0.25">
      <c r="A2319" s="16"/>
      <c r="B2319" s="17"/>
      <c r="C2319" s="2" t="b">
        <v>0</v>
      </c>
      <c r="D2319" s="2"/>
      <c r="E2319" s="2"/>
      <c r="F2319" s="2"/>
      <c r="G2319" s="2"/>
      <c r="H2319" s="2"/>
      <c r="I2319" s="5"/>
    </row>
    <row r="2320" spans="1:9" ht="17.399999999999999" x14ac:dyDescent="0.25">
      <c r="A2320" s="16"/>
      <c r="B2320" s="17"/>
      <c r="C2320" s="2" t="b">
        <v>0</v>
      </c>
      <c r="D2320" s="2"/>
      <c r="E2320" s="2"/>
      <c r="F2320" s="2"/>
      <c r="G2320" s="2"/>
      <c r="H2320" s="2"/>
      <c r="I2320" s="5"/>
    </row>
    <row r="2321" spans="1:9" ht="17.399999999999999" x14ac:dyDescent="0.25">
      <c r="A2321" s="16"/>
      <c r="B2321" s="17"/>
      <c r="C2321" s="2" t="b">
        <v>0</v>
      </c>
      <c r="D2321" s="2"/>
      <c r="E2321" s="2"/>
      <c r="F2321" s="2"/>
      <c r="G2321" s="2"/>
      <c r="H2321" s="2"/>
      <c r="I2321" s="5"/>
    </row>
    <row r="2322" spans="1:9" ht="17.399999999999999" x14ac:dyDescent="0.25">
      <c r="A2322" s="16"/>
      <c r="B2322" s="17"/>
      <c r="C2322" s="2" t="b">
        <v>0</v>
      </c>
      <c r="D2322" s="2"/>
      <c r="E2322" s="2"/>
      <c r="F2322" s="2"/>
      <c r="G2322" s="2"/>
      <c r="H2322" s="2"/>
      <c r="I2322" s="5"/>
    </row>
    <row r="2323" spans="1:9" ht="17.399999999999999" x14ac:dyDescent="0.25">
      <c r="A2323" s="16"/>
      <c r="B2323" s="17"/>
      <c r="C2323" s="2" t="b">
        <v>0</v>
      </c>
      <c r="D2323" s="2"/>
      <c r="E2323" s="2"/>
      <c r="F2323" s="2"/>
      <c r="G2323" s="2"/>
      <c r="H2323" s="2"/>
      <c r="I2323" s="5"/>
    </row>
    <row r="2324" spans="1:9" ht="17.399999999999999" x14ac:dyDescent="0.25">
      <c r="A2324" s="16"/>
      <c r="B2324" s="17"/>
      <c r="C2324" s="2" t="b">
        <v>0</v>
      </c>
      <c r="D2324" s="2"/>
      <c r="E2324" s="2"/>
      <c r="F2324" s="2"/>
      <c r="G2324" s="2"/>
      <c r="H2324" s="2"/>
      <c r="I2324" s="5"/>
    </row>
    <row r="2325" spans="1:9" ht="17.399999999999999" x14ac:dyDescent="0.25">
      <c r="A2325" s="16"/>
      <c r="B2325" s="17"/>
      <c r="C2325" s="2" t="b">
        <v>0</v>
      </c>
      <c r="D2325" s="2"/>
      <c r="E2325" s="2"/>
      <c r="F2325" s="2"/>
      <c r="G2325" s="2"/>
      <c r="H2325" s="2"/>
      <c r="I2325" s="5"/>
    </row>
    <row r="2326" spans="1:9" ht="17.399999999999999" x14ac:dyDescent="0.25">
      <c r="A2326" s="16"/>
      <c r="B2326" s="17"/>
      <c r="C2326" s="2" t="b">
        <v>0</v>
      </c>
      <c r="D2326" s="2"/>
      <c r="E2326" s="2"/>
      <c r="F2326" s="2"/>
      <c r="G2326" s="2"/>
      <c r="H2326" s="2"/>
      <c r="I2326" s="5"/>
    </row>
    <row r="2327" spans="1:9" ht="17.399999999999999" x14ac:dyDescent="0.25">
      <c r="A2327" s="16"/>
      <c r="B2327" s="17"/>
      <c r="C2327" s="2" t="b">
        <v>0</v>
      </c>
      <c r="D2327" s="2"/>
      <c r="E2327" s="2"/>
      <c r="F2327" s="2"/>
      <c r="G2327" s="2"/>
      <c r="H2327" s="2"/>
      <c r="I2327" s="5"/>
    </row>
    <row r="2328" spans="1:9" ht="17.399999999999999" x14ac:dyDescent="0.25">
      <c r="A2328" s="16"/>
      <c r="B2328" s="17"/>
      <c r="C2328" s="2" t="b">
        <v>0</v>
      </c>
      <c r="D2328" s="2"/>
      <c r="E2328" s="2"/>
      <c r="F2328" s="2"/>
      <c r="G2328" s="2"/>
      <c r="H2328" s="2"/>
      <c r="I2328" s="5"/>
    </row>
    <row r="2329" spans="1:9" ht="17.399999999999999" x14ac:dyDescent="0.25">
      <c r="A2329" s="16"/>
      <c r="B2329" s="17"/>
      <c r="C2329" s="2" t="b">
        <v>0</v>
      </c>
      <c r="D2329" s="2"/>
      <c r="E2329" s="2"/>
      <c r="F2329" s="2"/>
      <c r="G2329" s="2"/>
      <c r="H2329" s="2"/>
      <c r="I2329" s="5"/>
    </row>
    <row r="2330" spans="1:9" ht="17.399999999999999" x14ac:dyDescent="0.25">
      <c r="A2330" s="16"/>
      <c r="B2330" s="17"/>
      <c r="C2330" s="2" t="b">
        <v>0</v>
      </c>
      <c r="D2330" s="2"/>
      <c r="E2330" s="2"/>
      <c r="F2330" s="2"/>
      <c r="G2330" s="2"/>
      <c r="H2330" s="2"/>
      <c r="I2330" s="5"/>
    </row>
    <row r="2331" spans="1:9" ht="17.399999999999999" x14ac:dyDescent="0.25">
      <c r="A2331" s="16"/>
      <c r="B2331" s="17"/>
      <c r="C2331" s="2" t="b">
        <v>0</v>
      </c>
      <c r="D2331" s="2"/>
      <c r="E2331" s="2"/>
      <c r="F2331" s="2"/>
      <c r="G2331" s="2"/>
      <c r="H2331" s="2"/>
      <c r="I2331" s="5"/>
    </row>
    <row r="2332" spans="1:9" ht="17.399999999999999" x14ac:dyDescent="0.25">
      <c r="A2332" s="16"/>
      <c r="B2332" s="17"/>
      <c r="C2332" s="2" t="b">
        <v>0</v>
      </c>
      <c r="D2332" s="2"/>
      <c r="E2332" s="2"/>
      <c r="F2332" s="2"/>
      <c r="G2332" s="2"/>
      <c r="H2332" s="2"/>
      <c r="I2332" s="5"/>
    </row>
    <row r="2333" spans="1:9" ht="17.399999999999999" x14ac:dyDescent="0.25">
      <c r="A2333" s="16"/>
      <c r="B2333" s="17"/>
      <c r="C2333" s="2" t="b">
        <v>0</v>
      </c>
      <c r="D2333" s="2"/>
      <c r="E2333" s="2"/>
      <c r="F2333" s="2"/>
      <c r="G2333" s="2"/>
      <c r="H2333" s="2"/>
      <c r="I2333" s="5"/>
    </row>
    <row r="2334" spans="1:9" ht="17.399999999999999" x14ac:dyDescent="0.25">
      <c r="A2334" s="16"/>
      <c r="B2334" s="17"/>
      <c r="C2334" s="2" t="b">
        <v>0</v>
      </c>
      <c r="D2334" s="2"/>
      <c r="E2334" s="2"/>
      <c r="F2334" s="2"/>
      <c r="G2334" s="2"/>
      <c r="H2334" s="2"/>
      <c r="I2334" s="5"/>
    </row>
    <row r="2335" spans="1:9" ht="17.399999999999999" x14ac:dyDescent="0.25">
      <c r="A2335" s="16"/>
      <c r="B2335" s="17"/>
      <c r="C2335" s="2" t="b">
        <v>0</v>
      </c>
      <c r="D2335" s="2"/>
      <c r="E2335" s="2"/>
      <c r="F2335" s="2"/>
      <c r="G2335" s="2"/>
      <c r="H2335" s="2"/>
      <c r="I2335" s="5"/>
    </row>
    <row r="2336" spans="1:9" ht="17.399999999999999" x14ac:dyDescent="0.25">
      <c r="A2336" s="16"/>
      <c r="B2336" s="17"/>
      <c r="C2336" s="2" t="b">
        <v>0</v>
      </c>
      <c r="D2336" s="2"/>
      <c r="E2336" s="2"/>
      <c r="F2336" s="2"/>
      <c r="G2336" s="2"/>
      <c r="H2336" s="2"/>
      <c r="I2336" s="5"/>
    </row>
    <row r="2337" spans="1:9" ht="17.399999999999999" x14ac:dyDescent="0.25">
      <c r="A2337" s="16"/>
      <c r="B2337" s="17"/>
      <c r="C2337" s="2" t="b">
        <v>0</v>
      </c>
      <c r="D2337" s="2"/>
      <c r="E2337" s="2"/>
      <c r="F2337" s="2"/>
      <c r="G2337" s="2"/>
      <c r="H2337" s="2"/>
      <c r="I2337" s="5"/>
    </row>
    <row r="2338" spans="1:9" ht="17.399999999999999" x14ac:dyDescent="0.25">
      <c r="A2338" s="16"/>
      <c r="B2338" s="17"/>
      <c r="C2338" s="2" t="b">
        <v>0</v>
      </c>
      <c r="D2338" s="2"/>
      <c r="E2338" s="2"/>
      <c r="F2338" s="2"/>
      <c r="G2338" s="2"/>
      <c r="H2338" s="2"/>
      <c r="I2338" s="5"/>
    </row>
    <row r="2339" spans="1:9" ht="17.399999999999999" x14ac:dyDescent="0.25">
      <c r="A2339" s="16"/>
      <c r="B2339" s="17"/>
      <c r="C2339" s="2" t="b">
        <v>0</v>
      </c>
      <c r="D2339" s="2"/>
      <c r="E2339" s="2"/>
      <c r="F2339" s="2"/>
      <c r="G2339" s="2"/>
      <c r="H2339" s="2"/>
      <c r="I2339" s="5"/>
    </row>
    <row r="2340" spans="1:9" ht="17.399999999999999" x14ac:dyDescent="0.25">
      <c r="A2340" s="16"/>
      <c r="B2340" s="17"/>
      <c r="C2340" s="2" t="b">
        <v>0</v>
      </c>
      <c r="D2340" s="2"/>
      <c r="E2340" s="2"/>
      <c r="F2340" s="2"/>
      <c r="G2340" s="2"/>
      <c r="H2340" s="2"/>
      <c r="I2340" s="5"/>
    </row>
    <row r="2341" spans="1:9" ht="17.399999999999999" x14ac:dyDescent="0.25">
      <c r="A2341" s="16"/>
      <c r="B2341" s="17"/>
      <c r="C2341" s="2" t="b">
        <v>0</v>
      </c>
      <c r="D2341" s="2"/>
      <c r="E2341" s="2"/>
      <c r="F2341" s="2"/>
      <c r="G2341" s="2"/>
      <c r="H2341" s="2"/>
      <c r="I2341" s="5"/>
    </row>
    <row r="2342" spans="1:9" ht="17.399999999999999" x14ac:dyDescent="0.25">
      <c r="A2342" s="16"/>
      <c r="B2342" s="17"/>
      <c r="C2342" s="2" t="b">
        <v>0</v>
      </c>
      <c r="D2342" s="2"/>
      <c r="E2342" s="2"/>
      <c r="F2342" s="2"/>
      <c r="G2342" s="2"/>
      <c r="H2342" s="2"/>
      <c r="I2342" s="5"/>
    </row>
    <row r="2343" spans="1:9" ht="17.399999999999999" x14ac:dyDescent="0.25">
      <c r="A2343" s="16"/>
      <c r="B2343" s="17"/>
      <c r="C2343" s="2" t="b">
        <v>0</v>
      </c>
      <c r="D2343" s="2"/>
      <c r="E2343" s="2"/>
      <c r="F2343" s="2"/>
      <c r="G2343" s="2"/>
      <c r="H2343" s="2"/>
      <c r="I2343" s="5"/>
    </row>
    <row r="2344" spans="1:9" ht="17.399999999999999" x14ac:dyDescent="0.25">
      <c r="A2344" s="16"/>
      <c r="B2344" s="17"/>
      <c r="C2344" s="2" t="b">
        <v>0</v>
      </c>
      <c r="D2344" s="2"/>
      <c r="E2344" s="2"/>
      <c r="F2344" s="2"/>
      <c r="G2344" s="2"/>
      <c r="H2344" s="2"/>
      <c r="I2344" s="5"/>
    </row>
    <row r="2345" spans="1:9" ht="17.399999999999999" x14ac:dyDescent="0.25">
      <c r="A2345" s="16"/>
      <c r="B2345" s="17"/>
      <c r="C2345" s="2" t="b">
        <v>0</v>
      </c>
      <c r="D2345" s="2"/>
      <c r="E2345" s="2"/>
      <c r="F2345" s="2"/>
      <c r="G2345" s="2"/>
      <c r="H2345" s="2"/>
      <c r="I2345" s="5"/>
    </row>
    <row r="2346" spans="1:9" ht="17.399999999999999" x14ac:dyDescent="0.25">
      <c r="A2346" s="16"/>
      <c r="B2346" s="17"/>
      <c r="C2346" s="2" t="b">
        <v>0</v>
      </c>
      <c r="D2346" s="2"/>
      <c r="E2346" s="2"/>
      <c r="F2346" s="2"/>
      <c r="G2346" s="2"/>
      <c r="H2346" s="2"/>
      <c r="I2346" s="5"/>
    </row>
    <row r="2347" spans="1:9" ht="17.399999999999999" x14ac:dyDescent="0.25">
      <c r="A2347" s="16"/>
      <c r="B2347" s="17"/>
      <c r="C2347" s="2" t="b">
        <v>0</v>
      </c>
      <c r="D2347" s="2"/>
      <c r="E2347" s="2"/>
      <c r="F2347" s="2"/>
      <c r="G2347" s="2"/>
      <c r="H2347" s="2"/>
      <c r="I2347" s="5"/>
    </row>
    <row r="2348" spans="1:9" ht="17.399999999999999" x14ac:dyDescent="0.25">
      <c r="A2348" s="16"/>
      <c r="B2348" s="17"/>
      <c r="C2348" s="2" t="b">
        <v>0</v>
      </c>
      <c r="D2348" s="2"/>
      <c r="E2348" s="2"/>
      <c r="F2348" s="2"/>
      <c r="G2348" s="2"/>
      <c r="H2348" s="2"/>
      <c r="I2348" s="5"/>
    </row>
    <row r="2349" spans="1:9" ht="17.399999999999999" x14ac:dyDescent="0.25">
      <c r="A2349" s="16"/>
      <c r="B2349" s="17"/>
      <c r="C2349" s="2" t="b">
        <v>0</v>
      </c>
      <c r="D2349" s="2"/>
      <c r="E2349" s="2"/>
      <c r="F2349" s="2"/>
      <c r="G2349" s="2"/>
      <c r="H2349" s="2"/>
      <c r="I2349" s="5"/>
    </row>
    <row r="2350" spans="1:9" ht="17.399999999999999" x14ac:dyDescent="0.25">
      <c r="A2350" s="16"/>
      <c r="B2350" s="17"/>
      <c r="C2350" s="2" t="b">
        <v>0</v>
      </c>
      <c r="D2350" s="2"/>
      <c r="E2350" s="2"/>
      <c r="F2350" s="2"/>
      <c r="G2350" s="2"/>
      <c r="H2350" s="2"/>
      <c r="I2350" s="5"/>
    </row>
    <row r="2351" spans="1:9" ht="17.399999999999999" x14ac:dyDescent="0.25">
      <c r="A2351" s="16"/>
      <c r="B2351" s="17"/>
      <c r="C2351" s="2" t="b">
        <v>0</v>
      </c>
      <c r="D2351" s="2"/>
      <c r="E2351" s="2"/>
      <c r="F2351" s="2"/>
      <c r="G2351" s="2"/>
      <c r="H2351" s="2"/>
      <c r="I2351" s="5"/>
    </row>
    <row r="2352" spans="1:9" ht="17.399999999999999" x14ac:dyDescent="0.25">
      <c r="A2352" s="16"/>
      <c r="B2352" s="17"/>
      <c r="C2352" s="2" t="b">
        <v>0</v>
      </c>
      <c r="D2352" s="2"/>
      <c r="E2352" s="2"/>
      <c r="F2352" s="2"/>
      <c r="G2352" s="2"/>
      <c r="H2352" s="2"/>
      <c r="I2352" s="5"/>
    </row>
    <row r="2353" spans="1:9" ht="17.399999999999999" x14ac:dyDescent="0.25">
      <c r="A2353" s="16"/>
      <c r="B2353" s="17"/>
      <c r="C2353" s="2" t="b">
        <v>0</v>
      </c>
      <c r="D2353" s="2"/>
      <c r="E2353" s="2"/>
      <c r="F2353" s="2"/>
      <c r="G2353" s="2"/>
      <c r="H2353" s="2"/>
      <c r="I2353" s="5"/>
    </row>
    <row r="2354" spans="1:9" ht="17.399999999999999" x14ac:dyDescent="0.25">
      <c r="A2354" s="16"/>
      <c r="B2354" s="17"/>
      <c r="C2354" s="2" t="b">
        <v>0</v>
      </c>
      <c r="D2354" s="2"/>
      <c r="E2354" s="2"/>
      <c r="F2354" s="2"/>
      <c r="G2354" s="2"/>
      <c r="H2354" s="2"/>
      <c r="I2354" s="5"/>
    </row>
    <row r="2355" spans="1:9" ht="17.399999999999999" x14ac:dyDescent="0.25">
      <c r="A2355" s="16"/>
      <c r="B2355" s="17"/>
      <c r="C2355" s="2" t="b">
        <v>0</v>
      </c>
      <c r="D2355" s="2"/>
      <c r="E2355" s="2"/>
      <c r="F2355" s="2"/>
      <c r="G2355" s="2"/>
      <c r="H2355" s="2"/>
      <c r="I2355" s="5"/>
    </row>
    <row r="2356" spans="1:9" ht="17.399999999999999" x14ac:dyDescent="0.25">
      <c r="A2356" s="16"/>
      <c r="B2356" s="17"/>
      <c r="C2356" s="2" t="b">
        <v>0</v>
      </c>
      <c r="D2356" s="2"/>
      <c r="E2356" s="2"/>
      <c r="F2356" s="2"/>
      <c r="G2356" s="2"/>
      <c r="H2356" s="2"/>
      <c r="I2356" s="5"/>
    </row>
    <row r="2357" spans="1:9" ht="17.399999999999999" x14ac:dyDescent="0.25">
      <c r="A2357" s="16"/>
      <c r="B2357" s="17"/>
      <c r="C2357" s="2" t="b">
        <v>0</v>
      </c>
      <c r="D2357" s="2"/>
      <c r="E2357" s="2"/>
      <c r="F2357" s="2"/>
      <c r="G2357" s="2"/>
      <c r="H2357" s="2"/>
      <c r="I2357" s="5"/>
    </row>
    <row r="2358" spans="1:9" ht="17.399999999999999" x14ac:dyDescent="0.25">
      <c r="A2358" s="16"/>
      <c r="B2358" s="17"/>
      <c r="C2358" s="2" t="b">
        <v>0</v>
      </c>
      <c r="D2358" s="2"/>
      <c r="E2358" s="2"/>
      <c r="F2358" s="2"/>
      <c r="G2358" s="2"/>
      <c r="H2358" s="2"/>
      <c r="I2358" s="5"/>
    </row>
    <row r="2359" spans="1:9" ht="17.399999999999999" x14ac:dyDescent="0.25">
      <c r="A2359" s="16"/>
      <c r="B2359" s="17"/>
      <c r="C2359" s="2" t="b">
        <v>0</v>
      </c>
      <c r="D2359" s="2"/>
      <c r="E2359" s="2"/>
      <c r="F2359" s="2"/>
      <c r="G2359" s="2"/>
      <c r="H2359" s="2"/>
      <c r="I2359" s="5"/>
    </row>
    <row r="2360" spans="1:9" ht="17.399999999999999" x14ac:dyDescent="0.25">
      <c r="A2360" s="16"/>
      <c r="B2360" s="17"/>
      <c r="C2360" s="2" t="b">
        <v>0</v>
      </c>
      <c r="D2360" s="2"/>
      <c r="E2360" s="2"/>
      <c r="F2360" s="2"/>
      <c r="G2360" s="2"/>
      <c r="H2360" s="2"/>
      <c r="I2360" s="5"/>
    </row>
    <row r="2361" spans="1:9" ht="17.399999999999999" x14ac:dyDescent="0.25">
      <c r="A2361" s="16"/>
      <c r="B2361" s="17"/>
      <c r="C2361" s="2" t="b">
        <v>0</v>
      </c>
      <c r="D2361" s="2"/>
      <c r="E2361" s="2"/>
      <c r="F2361" s="2"/>
      <c r="G2361" s="2"/>
      <c r="H2361" s="2"/>
      <c r="I2361" s="5"/>
    </row>
    <row r="2362" spans="1:9" ht="17.399999999999999" x14ac:dyDescent="0.25">
      <c r="A2362" s="16"/>
      <c r="B2362" s="17"/>
      <c r="C2362" s="2" t="b">
        <v>0</v>
      </c>
      <c r="D2362" s="2"/>
      <c r="E2362" s="2"/>
      <c r="F2362" s="2"/>
      <c r="G2362" s="2"/>
      <c r="H2362" s="2"/>
      <c r="I2362" s="5"/>
    </row>
    <row r="2363" spans="1:9" ht="17.399999999999999" x14ac:dyDescent="0.25">
      <c r="A2363" s="16"/>
      <c r="B2363" s="17"/>
      <c r="C2363" s="2" t="b">
        <v>0</v>
      </c>
      <c r="D2363" s="2"/>
      <c r="E2363" s="2"/>
      <c r="F2363" s="2"/>
      <c r="G2363" s="2"/>
      <c r="H2363" s="2"/>
      <c r="I2363" s="5"/>
    </row>
    <row r="2364" spans="1:9" ht="17.399999999999999" x14ac:dyDescent="0.25">
      <c r="A2364" s="16"/>
      <c r="B2364" s="17"/>
      <c r="C2364" s="2" t="b">
        <v>0</v>
      </c>
      <c r="D2364" s="2"/>
      <c r="E2364" s="2"/>
      <c r="F2364" s="2"/>
      <c r="G2364" s="2"/>
      <c r="H2364" s="2"/>
      <c r="I2364" s="5"/>
    </row>
    <row r="2365" spans="1:9" ht="17.399999999999999" x14ac:dyDescent="0.25">
      <c r="A2365" s="16"/>
      <c r="B2365" s="17"/>
      <c r="C2365" s="2" t="b">
        <v>0</v>
      </c>
      <c r="D2365" s="2"/>
      <c r="E2365" s="2"/>
      <c r="F2365" s="2"/>
      <c r="G2365" s="2"/>
      <c r="H2365" s="2"/>
      <c r="I2365" s="5"/>
    </row>
    <row r="2366" spans="1:9" ht="17.399999999999999" x14ac:dyDescent="0.25">
      <c r="A2366" s="16"/>
      <c r="B2366" s="17"/>
      <c r="C2366" s="2" t="b">
        <v>0</v>
      </c>
      <c r="D2366" s="2"/>
      <c r="E2366" s="2"/>
      <c r="F2366" s="2"/>
      <c r="G2366" s="2"/>
      <c r="H2366" s="2"/>
      <c r="I2366" s="5"/>
    </row>
    <row r="2367" spans="1:9" ht="17.399999999999999" x14ac:dyDescent="0.25">
      <c r="A2367" s="16"/>
      <c r="B2367" s="17"/>
      <c r="C2367" s="2" t="b">
        <v>0</v>
      </c>
      <c r="D2367" s="2"/>
      <c r="E2367" s="2"/>
      <c r="F2367" s="2"/>
      <c r="G2367" s="2"/>
      <c r="H2367" s="2"/>
      <c r="I2367" s="5"/>
    </row>
    <row r="2368" spans="1:9" ht="17.399999999999999" x14ac:dyDescent="0.25">
      <c r="A2368" s="16"/>
      <c r="B2368" s="17"/>
      <c r="C2368" s="2" t="b">
        <v>0</v>
      </c>
      <c r="D2368" s="2"/>
      <c r="E2368" s="2"/>
      <c r="F2368" s="2"/>
      <c r="G2368" s="2"/>
      <c r="H2368" s="2"/>
      <c r="I2368" s="5"/>
    </row>
    <row r="2369" spans="1:9" ht="17.399999999999999" x14ac:dyDescent="0.25">
      <c r="A2369" s="16"/>
      <c r="B2369" s="17"/>
      <c r="C2369" s="2" t="b">
        <v>0</v>
      </c>
      <c r="D2369" s="2"/>
      <c r="E2369" s="2"/>
      <c r="F2369" s="2"/>
      <c r="G2369" s="2"/>
      <c r="H2369" s="2"/>
      <c r="I2369" s="5"/>
    </row>
    <row r="2370" spans="1:9" ht="17.399999999999999" x14ac:dyDescent="0.25">
      <c r="A2370" s="16"/>
      <c r="B2370" s="17"/>
      <c r="C2370" s="2" t="b">
        <v>0</v>
      </c>
      <c r="D2370" s="2"/>
      <c r="E2370" s="2"/>
      <c r="F2370" s="2"/>
      <c r="G2370" s="2"/>
      <c r="H2370" s="2"/>
      <c r="I2370" s="5"/>
    </row>
    <row r="2371" spans="1:9" ht="17.399999999999999" x14ac:dyDescent="0.25">
      <c r="A2371" s="16"/>
      <c r="B2371" s="17"/>
      <c r="C2371" s="2" t="b">
        <v>0</v>
      </c>
      <c r="D2371" s="2"/>
      <c r="E2371" s="2"/>
      <c r="F2371" s="2"/>
      <c r="G2371" s="2"/>
      <c r="H2371" s="2"/>
      <c r="I2371" s="5"/>
    </row>
    <row r="2372" spans="1:9" ht="17.399999999999999" x14ac:dyDescent="0.25">
      <c r="A2372" s="16"/>
      <c r="B2372" s="17"/>
      <c r="C2372" s="2" t="b">
        <v>0</v>
      </c>
      <c r="D2372" s="2"/>
      <c r="E2372" s="2"/>
      <c r="F2372" s="2"/>
      <c r="G2372" s="2"/>
      <c r="H2372" s="2"/>
      <c r="I2372" s="5"/>
    </row>
    <row r="2373" spans="1:9" ht="17.399999999999999" x14ac:dyDescent="0.25">
      <c r="A2373" s="16"/>
      <c r="B2373" s="17"/>
      <c r="C2373" s="2" t="b">
        <v>0</v>
      </c>
      <c r="D2373" s="2"/>
      <c r="E2373" s="2"/>
      <c r="F2373" s="2"/>
      <c r="G2373" s="2"/>
      <c r="H2373" s="2"/>
      <c r="I2373" s="5"/>
    </row>
    <row r="2374" spans="1:9" ht="17.399999999999999" x14ac:dyDescent="0.25">
      <c r="A2374" s="16"/>
      <c r="B2374" s="17"/>
      <c r="C2374" s="2" t="b">
        <v>0</v>
      </c>
      <c r="D2374" s="2"/>
      <c r="E2374" s="2"/>
      <c r="F2374" s="2"/>
      <c r="G2374" s="2"/>
      <c r="H2374" s="2"/>
      <c r="I2374" s="5"/>
    </row>
    <row r="2375" spans="1:9" ht="17.399999999999999" x14ac:dyDescent="0.25">
      <c r="A2375" s="16"/>
      <c r="B2375" s="17"/>
      <c r="C2375" s="2" t="b">
        <v>0</v>
      </c>
      <c r="D2375" s="2"/>
      <c r="E2375" s="2"/>
      <c r="F2375" s="2"/>
      <c r="G2375" s="2"/>
      <c r="H2375" s="2"/>
      <c r="I2375" s="5"/>
    </row>
    <row r="2376" spans="1:9" ht="17.399999999999999" x14ac:dyDescent="0.25">
      <c r="A2376" s="16"/>
      <c r="B2376" s="17"/>
      <c r="C2376" s="2" t="b">
        <v>0</v>
      </c>
      <c r="D2376" s="2"/>
      <c r="E2376" s="2"/>
      <c r="F2376" s="2"/>
      <c r="G2376" s="2"/>
      <c r="H2376" s="2"/>
      <c r="I2376" s="5"/>
    </row>
    <row r="2377" spans="1:9" ht="17.399999999999999" x14ac:dyDescent="0.25">
      <c r="A2377" s="16"/>
      <c r="B2377" s="17"/>
      <c r="C2377" s="2" t="b">
        <v>0</v>
      </c>
      <c r="D2377" s="2"/>
      <c r="E2377" s="2"/>
      <c r="F2377" s="2"/>
      <c r="G2377" s="2"/>
      <c r="H2377" s="2"/>
      <c r="I2377" s="5"/>
    </row>
    <row r="2378" spans="1:9" ht="17.399999999999999" x14ac:dyDescent="0.25">
      <c r="A2378" s="16"/>
      <c r="B2378" s="17"/>
      <c r="C2378" s="2" t="b">
        <v>0</v>
      </c>
      <c r="D2378" s="2"/>
      <c r="E2378" s="2"/>
      <c r="F2378" s="2"/>
      <c r="G2378" s="2"/>
      <c r="H2378" s="2"/>
      <c r="I2378" s="5"/>
    </row>
    <row r="2379" spans="1:9" ht="17.399999999999999" x14ac:dyDescent="0.25">
      <c r="A2379" s="16"/>
      <c r="B2379" s="17"/>
      <c r="C2379" s="2" t="b">
        <v>0</v>
      </c>
      <c r="D2379" s="2"/>
      <c r="E2379" s="2"/>
      <c r="F2379" s="2"/>
      <c r="G2379" s="2"/>
      <c r="H2379" s="2"/>
      <c r="I2379" s="5"/>
    </row>
    <row r="2380" spans="1:9" ht="17.399999999999999" x14ac:dyDescent="0.25">
      <c r="A2380" s="16"/>
      <c r="B2380" s="17"/>
      <c r="C2380" s="2" t="b">
        <v>0</v>
      </c>
      <c r="D2380" s="2"/>
      <c r="E2380" s="2"/>
      <c r="F2380" s="2"/>
      <c r="G2380" s="2"/>
      <c r="H2380" s="2"/>
      <c r="I2380" s="5"/>
    </row>
    <row r="2381" spans="1:9" ht="17.399999999999999" x14ac:dyDescent="0.25">
      <c r="A2381" s="16"/>
      <c r="B2381" s="17"/>
      <c r="C2381" s="2" t="b">
        <v>0</v>
      </c>
      <c r="D2381" s="2"/>
      <c r="E2381" s="2"/>
      <c r="F2381" s="2"/>
      <c r="G2381" s="2"/>
      <c r="H2381" s="2"/>
      <c r="I2381" s="5"/>
    </row>
    <row r="2382" spans="1:9" ht="17.399999999999999" x14ac:dyDescent="0.25">
      <c r="A2382" s="16"/>
      <c r="B2382" s="17"/>
      <c r="C2382" s="2" t="b">
        <v>0</v>
      </c>
      <c r="D2382" s="2"/>
      <c r="E2382" s="2"/>
      <c r="F2382" s="2"/>
      <c r="G2382" s="2"/>
      <c r="H2382" s="2"/>
      <c r="I2382" s="5"/>
    </row>
    <row r="2383" spans="1:9" ht="17.399999999999999" x14ac:dyDescent="0.25">
      <c r="A2383" s="16"/>
      <c r="B2383" s="17"/>
      <c r="C2383" s="2" t="b">
        <v>0</v>
      </c>
      <c r="D2383" s="2"/>
      <c r="E2383" s="2"/>
      <c r="F2383" s="2"/>
      <c r="G2383" s="2"/>
      <c r="H2383" s="2"/>
      <c r="I2383" s="5"/>
    </row>
    <row r="2384" spans="1:9" ht="17.399999999999999" x14ac:dyDescent="0.25">
      <c r="A2384" s="16"/>
      <c r="B2384" s="17"/>
      <c r="C2384" s="2" t="b">
        <v>0</v>
      </c>
      <c r="D2384" s="2"/>
      <c r="E2384" s="2"/>
      <c r="F2384" s="2"/>
      <c r="G2384" s="2"/>
      <c r="H2384" s="2"/>
      <c r="I2384" s="5"/>
    </row>
    <row r="2385" spans="1:9" ht="17.399999999999999" x14ac:dyDescent="0.25">
      <c r="A2385" s="16"/>
      <c r="B2385" s="17"/>
      <c r="C2385" s="2" t="b">
        <v>0</v>
      </c>
      <c r="D2385" s="2"/>
      <c r="E2385" s="2"/>
      <c r="F2385" s="2"/>
      <c r="G2385" s="2"/>
      <c r="H2385" s="2"/>
      <c r="I2385" s="5"/>
    </row>
    <row r="2386" spans="1:9" ht="17.399999999999999" x14ac:dyDescent="0.25">
      <c r="A2386" s="16"/>
      <c r="B2386" s="17"/>
      <c r="C2386" s="2" t="b">
        <v>0</v>
      </c>
      <c r="D2386" s="2"/>
      <c r="E2386" s="2"/>
      <c r="F2386" s="2"/>
      <c r="G2386" s="2"/>
      <c r="H2386" s="2"/>
      <c r="I2386" s="5"/>
    </row>
    <row r="2387" spans="1:9" ht="17.399999999999999" x14ac:dyDescent="0.25">
      <c r="A2387" s="16"/>
      <c r="B2387" s="17"/>
      <c r="C2387" s="2" t="b">
        <v>0</v>
      </c>
      <c r="D2387" s="2"/>
      <c r="E2387" s="2"/>
      <c r="F2387" s="2"/>
      <c r="G2387" s="2"/>
      <c r="H2387" s="2"/>
      <c r="I2387" s="5"/>
    </row>
    <row r="2388" spans="1:9" ht="17.399999999999999" x14ac:dyDescent="0.25">
      <c r="A2388" s="16"/>
      <c r="B2388" s="17"/>
      <c r="C2388" s="2" t="b">
        <v>0</v>
      </c>
      <c r="D2388" s="2"/>
      <c r="E2388" s="2"/>
      <c r="F2388" s="2"/>
      <c r="G2388" s="2"/>
      <c r="H2388" s="2"/>
      <c r="I2388" s="5"/>
    </row>
    <row r="2389" spans="1:9" ht="17.399999999999999" x14ac:dyDescent="0.25">
      <c r="A2389" s="16"/>
      <c r="B2389" s="17"/>
      <c r="C2389" s="2" t="b">
        <v>0</v>
      </c>
      <c r="D2389" s="2"/>
      <c r="E2389" s="2"/>
      <c r="F2389" s="2"/>
      <c r="G2389" s="2"/>
      <c r="H2389" s="2"/>
      <c r="I2389" s="5"/>
    </row>
    <row r="2390" spans="1:9" ht="17.399999999999999" x14ac:dyDescent="0.25">
      <c r="A2390" s="16"/>
      <c r="B2390" s="17"/>
      <c r="C2390" s="2" t="b">
        <v>0</v>
      </c>
      <c r="D2390" s="2"/>
      <c r="E2390" s="2"/>
      <c r="F2390" s="2"/>
      <c r="G2390" s="2"/>
      <c r="H2390" s="2"/>
      <c r="I2390" s="5"/>
    </row>
    <row r="2391" spans="1:9" ht="17.399999999999999" x14ac:dyDescent="0.25">
      <c r="A2391" s="16"/>
      <c r="B2391" s="17"/>
      <c r="C2391" s="2" t="b">
        <v>0</v>
      </c>
      <c r="D2391" s="2"/>
      <c r="E2391" s="2"/>
      <c r="F2391" s="2"/>
      <c r="G2391" s="2"/>
      <c r="H2391" s="2"/>
      <c r="I2391" s="5"/>
    </row>
    <row r="2392" spans="1:9" ht="17.399999999999999" x14ac:dyDescent="0.25">
      <c r="A2392" s="16"/>
      <c r="B2392" s="17"/>
      <c r="C2392" s="2" t="b">
        <v>0</v>
      </c>
      <c r="D2392" s="2"/>
      <c r="E2392" s="2"/>
      <c r="F2392" s="2"/>
      <c r="G2392" s="2"/>
      <c r="H2392" s="2"/>
      <c r="I2392" s="5"/>
    </row>
    <row r="2393" spans="1:9" ht="17.399999999999999" x14ac:dyDescent="0.25">
      <c r="A2393" s="16"/>
      <c r="B2393" s="17"/>
      <c r="C2393" s="2" t="b">
        <v>0</v>
      </c>
      <c r="D2393" s="2"/>
      <c r="E2393" s="2"/>
      <c r="F2393" s="2"/>
      <c r="G2393" s="2"/>
      <c r="H2393" s="2"/>
      <c r="I2393" s="5"/>
    </row>
    <row r="2394" spans="1:9" ht="17.399999999999999" x14ac:dyDescent="0.25">
      <c r="A2394" s="16"/>
      <c r="B2394" s="17"/>
      <c r="C2394" s="2" t="b">
        <v>0</v>
      </c>
      <c r="D2394" s="2"/>
      <c r="E2394" s="2"/>
      <c r="F2394" s="2"/>
      <c r="G2394" s="2"/>
      <c r="H2394" s="2"/>
      <c r="I2394" s="5"/>
    </row>
    <row r="2395" spans="1:9" ht="17.399999999999999" x14ac:dyDescent="0.25">
      <c r="A2395" s="16"/>
      <c r="B2395" s="17"/>
      <c r="C2395" s="2" t="b">
        <v>0</v>
      </c>
      <c r="D2395" s="2"/>
      <c r="E2395" s="2"/>
      <c r="F2395" s="2"/>
      <c r="G2395" s="2"/>
      <c r="H2395" s="2"/>
      <c r="I2395" s="5"/>
    </row>
    <row r="2396" spans="1:9" ht="17.399999999999999" x14ac:dyDescent="0.25">
      <c r="A2396" s="16"/>
      <c r="B2396" s="17"/>
      <c r="C2396" s="2" t="b">
        <v>0</v>
      </c>
      <c r="D2396" s="2"/>
      <c r="E2396" s="2"/>
      <c r="F2396" s="2"/>
      <c r="G2396" s="2"/>
      <c r="H2396" s="2"/>
      <c r="I2396" s="5"/>
    </row>
    <row r="2397" spans="1:9" ht="17.399999999999999" x14ac:dyDescent="0.25">
      <c r="A2397" s="16"/>
      <c r="B2397" s="17"/>
      <c r="C2397" s="2" t="b">
        <v>0</v>
      </c>
      <c r="D2397" s="2"/>
      <c r="E2397" s="2"/>
      <c r="F2397" s="2"/>
      <c r="G2397" s="2"/>
      <c r="H2397" s="2"/>
      <c r="I2397" s="5"/>
    </row>
    <row r="2398" spans="1:9" ht="17.399999999999999" x14ac:dyDescent="0.25">
      <c r="A2398" s="16"/>
      <c r="B2398" s="17"/>
      <c r="C2398" s="2" t="b">
        <v>0</v>
      </c>
      <c r="D2398" s="2"/>
      <c r="E2398" s="2"/>
      <c r="F2398" s="2"/>
      <c r="G2398" s="2"/>
      <c r="H2398" s="2"/>
      <c r="I2398" s="5"/>
    </row>
    <row r="2399" spans="1:9" ht="17.399999999999999" x14ac:dyDescent="0.25">
      <c r="A2399" s="16"/>
      <c r="B2399" s="17"/>
      <c r="C2399" s="2" t="b">
        <v>0</v>
      </c>
      <c r="D2399" s="2"/>
      <c r="E2399" s="2"/>
      <c r="F2399" s="2"/>
      <c r="G2399" s="2"/>
      <c r="H2399" s="2"/>
      <c r="I2399" s="5"/>
    </row>
    <row r="2400" spans="1:9" ht="17.399999999999999" x14ac:dyDescent="0.25">
      <c r="A2400" s="16"/>
      <c r="B2400" s="17"/>
      <c r="C2400" s="2" t="b">
        <v>0</v>
      </c>
      <c r="D2400" s="2"/>
      <c r="E2400" s="2"/>
      <c r="F2400" s="2"/>
      <c r="G2400" s="2"/>
      <c r="H2400" s="2"/>
      <c r="I2400" s="5"/>
    </row>
    <row r="2401" spans="1:9" ht="17.399999999999999" x14ac:dyDescent="0.25">
      <c r="A2401" s="16"/>
      <c r="B2401" s="17"/>
      <c r="C2401" s="2" t="b">
        <v>0</v>
      </c>
      <c r="D2401" s="2"/>
      <c r="E2401" s="2"/>
      <c r="F2401" s="2"/>
      <c r="G2401" s="2"/>
      <c r="H2401" s="2"/>
      <c r="I2401" s="5"/>
    </row>
    <row r="2402" spans="1:9" ht="17.399999999999999" x14ac:dyDescent="0.25">
      <c r="A2402" s="16"/>
      <c r="B2402" s="17"/>
      <c r="C2402" s="2" t="b">
        <v>0</v>
      </c>
      <c r="D2402" s="2"/>
      <c r="E2402" s="2"/>
      <c r="F2402" s="2"/>
      <c r="G2402" s="2"/>
      <c r="H2402" s="2"/>
      <c r="I2402" s="5"/>
    </row>
    <row r="2403" spans="1:9" ht="17.399999999999999" x14ac:dyDescent="0.25">
      <c r="A2403" s="16"/>
      <c r="B2403" s="17"/>
      <c r="C2403" s="2" t="b">
        <v>0</v>
      </c>
      <c r="D2403" s="2"/>
      <c r="E2403" s="2"/>
      <c r="F2403" s="2"/>
      <c r="G2403" s="2"/>
      <c r="H2403" s="2"/>
      <c r="I2403" s="5"/>
    </row>
    <row r="2404" spans="1:9" ht="17.399999999999999" x14ac:dyDescent="0.25">
      <c r="A2404" s="16"/>
      <c r="B2404" s="17"/>
      <c r="C2404" s="2" t="b">
        <v>0</v>
      </c>
      <c r="D2404" s="2"/>
      <c r="E2404" s="2"/>
      <c r="F2404" s="2"/>
      <c r="G2404" s="2"/>
      <c r="H2404" s="2"/>
      <c r="I2404" s="5"/>
    </row>
    <row r="2405" spans="1:9" ht="17.399999999999999" x14ac:dyDescent="0.25">
      <c r="A2405" s="16"/>
      <c r="B2405" s="17"/>
      <c r="C2405" s="2" t="b">
        <v>0</v>
      </c>
      <c r="D2405" s="2"/>
      <c r="E2405" s="2"/>
      <c r="F2405" s="2"/>
      <c r="G2405" s="2"/>
      <c r="H2405" s="2"/>
      <c r="I2405" s="5"/>
    </row>
    <row r="2406" spans="1:9" ht="17.399999999999999" x14ac:dyDescent="0.25">
      <c r="A2406" s="16"/>
      <c r="B2406" s="17"/>
      <c r="C2406" s="2" t="b">
        <v>0</v>
      </c>
      <c r="D2406" s="2"/>
      <c r="E2406" s="2"/>
      <c r="F2406" s="2"/>
      <c r="G2406" s="2"/>
      <c r="H2406" s="2"/>
      <c r="I2406" s="5"/>
    </row>
    <row r="2407" spans="1:9" ht="17.399999999999999" x14ac:dyDescent="0.25">
      <c r="A2407" s="16"/>
      <c r="B2407" s="17"/>
      <c r="C2407" s="2" t="b">
        <v>0</v>
      </c>
      <c r="D2407" s="2"/>
      <c r="E2407" s="2"/>
      <c r="F2407" s="2"/>
      <c r="G2407" s="2"/>
      <c r="H2407" s="2"/>
      <c r="I2407" s="5"/>
    </row>
    <row r="2408" spans="1:9" ht="17.399999999999999" x14ac:dyDescent="0.25">
      <c r="A2408" s="16"/>
      <c r="B2408" s="17"/>
      <c r="C2408" s="2" t="b">
        <v>0</v>
      </c>
      <c r="D2408" s="2"/>
      <c r="E2408" s="2"/>
      <c r="F2408" s="2"/>
      <c r="G2408" s="2"/>
      <c r="H2408" s="2"/>
      <c r="I2408" s="5"/>
    </row>
    <row r="2409" spans="1:9" ht="17.399999999999999" x14ac:dyDescent="0.25">
      <c r="A2409" s="16"/>
      <c r="B2409" s="17"/>
      <c r="C2409" s="2" t="b">
        <v>0</v>
      </c>
      <c r="D2409" s="2"/>
      <c r="E2409" s="2"/>
      <c r="F2409" s="2"/>
      <c r="G2409" s="2"/>
      <c r="H2409" s="2"/>
      <c r="I2409" s="5"/>
    </row>
    <row r="2410" spans="1:9" ht="17.399999999999999" x14ac:dyDescent="0.25">
      <c r="A2410" s="16"/>
      <c r="B2410" s="17"/>
      <c r="C2410" s="2" t="b">
        <v>0</v>
      </c>
      <c r="D2410" s="2"/>
      <c r="E2410" s="2"/>
      <c r="F2410" s="2"/>
      <c r="G2410" s="2"/>
      <c r="H2410" s="2"/>
      <c r="I2410" s="5"/>
    </row>
    <row r="2411" spans="1:9" ht="17.399999999999999" x14ac:dyDescent="0.25">
      <c r="A2411" s="16"/>
      <c r="B2411" s="17"/>
      <c r="C2411" s="2" t="b">
        <v>0</v>
      </c>
      <c r="D2411" s="2"/>
      <c r="E2411" s="2"/>
      <c r="F2411" s="2"/>
      <c r="G2411" s="2"/>
      <c r="H2411" s="2"/>
      <c r="I2411" s="5"/>
    </row>
    <row r="2412" spans="1:9" ht="17.399999999999999" x14ac:dyDescent="0.25">
      <c r="A2412" s="16"/>
      <c r="B2412" s="17"/>
      <c r="C2412" s="2" t="b">
        <v>0</v>
      </c>
      <c r="D2412" s="2"/>
      <c r="E2412" s="2"/>
      <c r="F2412" s="2"/>
      <c r="G2412" s="2"/>
      <c r="H2412" s="2"/>
      <c r="I2412" s="5"/>
    </row>
    <row r="2413" spans="1:9" ht="17.399999999999999" x14ac:dyDescent="0.25">
      <c r="A2413" s="16"/>
      <c r="B2413" s="17"/>
      <c r="C2413" s="2" t="b">
        <v>0</v>
      </c>
      <c r="D2413" s="2"/>
      <c r="E2413" s="2"/>
      <c r="F2413" s="2"/>
      <c r="G2413" s="2"/>
      <c r="H2413" s="2"/>
      <c r="I2413" s="5"/>
    </row>
    <row r="2414" spans="1:9" ht="17.399999999999999" x14ac:dyDescent="0.25">
      <c r="A2414" s="16"/>
      <c r="B2414" s="17"/>
      <c r="C2414" s="2" t="b">
        <v>0</v>
      </c>
      <c r="D2414" s="2"/>
      <c r="E2414" s="2"/>
      <c r="F2414" s="2"/>
      <c r="G2414" s="2"/>
      <c r="H2414" s="2"/>
      <c r="I2414" s="5"/>
    </row>
    <row r="2415" spans="1:9" ht="17.399999999999999" x14ac:dyDescent="0.25">
      <c r="A2415" s="16"/>
      <c r="B2415" s="17"/>
      <c r="C2415" s="2" t="b">
        <v>0</v>
      </c>
      <c r="D2415" s="2"/>
      <c r="E2415" s="2"/>
      <c r="F2415" s="2"/>
      <c r="G2415" s="2"/>
      <c r="H2415" s="2"/>
      <c r="I2415" s="5"/>
    </row>
    <row r="2416" spans="1:9" ht="17.399999999999999" x14ac:dyDescent="0.25">
      <c r="A2416" s="16"/>
      <c r="B2416" s="17"/>
      <c r="C2416" s="2" t="b">
        <v>0</v>
      </c>
      <c r="D2416" s="2"/>
      <c r="E2416" s="2"/>
      <c r="F2416" s="2"/>
      <c r="G2416" s="2"/>
      <c r="H2416" s="2"/>
      <c r="I2416" s="5"/>
    </row>
    <row r="2417" spans="1:9" ht="17.399999999999999" x14ac:dyDescent="0.25">
      <c r="A2417" s="16"/>
      <c r="B2417" s="17"/>
      <c r="C2417" s="2" t="b">
        <v>0</v>
      </c>
      <c r="D2417" s="2"/>
      <c r="E2417" s="2"/>
      <c r="F2417" s="2"/>
      <c r="G2417" s="2"/>
      <c r="H2417" s="2"/>
      <c r="I2417" s="5"/>
    </row>
    <row r="2418" spans="1:9" ht="17.399999999999999" x14ac:dyDescent="0.25">
      <c r="A2418" s="16"/>
      <c r="B2418" s="17"/>
      <c r="C2418" s="2" t="b">
        <v>0</v>
      </c>
      <c r="D2418" s="2"/>
      <c r="E2418" s="2"/>
      <c r="F2418" s="2"/>
      <c r="G2418" s="2"/>
      <c r="H2418" s="2"/>
      <c r="I2418" s="5"/>
    </row>
    <row r="2419" spans="1:9" ht="17.399999999999999" x14ac:dyDescent="0.25">
      <c r="A2419" s="16"/>
      <c r="B2419" s="17"/>
      <c r="C2419" s="2" t="b">
        <v>0</v>
      </c>
      <c r="D2419" s="2"/>
      <c r="E2419" s="2"/>
      <c r="F2419" s="2"/>
      <c r="G2419" s="2"/>
      <c r="H2419" s="2"/>
      <c r="I2419" s="5"/>
    </row>
    <row r="2420" spans="1:9" ht="17.399999999999999" x14ac:dyDescent="0.25">
      <c r="A2420" s="16"/>
      <c r="B2420" s="17"/>
      <c r="C2420" s="2" t="b">
        <v>0</v>
      </c>
      <c r="D2420" s="2"/>
      <c r="E2420" s="2"/>
      <c r="F2420" s="2"/>
      <c r="G2420" s="2"/>
      <c r="H2420" s="2"/>
      <c r="I2420" s="5"/>
    </row>
    <row r="2421" spans="1:9" ht="17.399999999999999" x14ac:dyDescent="0.25">
      <c r="A2421" s="16"/>
      <c r="B2421" s="17"/>
      <c r="C2421" s="2" t="b">
        <v>0</v>
      </c>
      <c r="D2421" s="2"/>
      <c r="E2421" s="2"/>
      <c r="F2421" s="2"/>
      <c r="G2421" s="2"/>
      <c r="H2421" s="2"/>
      <c r="I2421" s="5"/>
    </row>
    <row r="2422" spans="1:9" ht="17.399999999999999" x14ac:dyDescent="0.25">
      <c r="A2422" s="16"/>
      <c r="B2422" s="17"/>
      <c r="C2422" s="2" t="b">
        <v>0</v>
      </c>
      <c r="D2422" s="2"/>
      <c r="E2422" s="2"/>
      <c r="F2422" s="2"/>
      <c r="G2422" s="2"/>
      <c r="H2422" s="2"/>
      <c r="I2422" s="5"/>
    </row>
    <row r="2423" spans="1:9" ht="17.399999999999999" x14ac:dyDescent="0.25">
      <c r="A2423" s="16"/>
      <c r="B2423" s="17"/>
      <c r="C2423" s="2" t="b">
        <v>0</v>
      </c>
      <c r="D2423" s="2"/>
      <c r="E2423" s="2"/>
      <c r="F2423" s="2"/>
      <c r="G2423" s="2"/>
      <c r="H2423" s="2"/>
      <c r="I2423" s="5"/>
    </row>
    <row r="2424" spans="1:9" ht="17.399999999999999" x14ac:dyDescent="0.25">
      <c r="A2424" s="16"/>
      <c r="B2424" s="17"/>
      <c r="C2424" s="2" t="b">
        <v>0</v>
      </c>
      <c r="D2424" s="2"/>
      <c r="E2424" s="2"/>
      <c r="F2424" s="2"/>
      <c r="G2424" s="2"/>
      <c r="H2424" s="2"/>
      <c r="I2424" s="5"/>
    </row>
    <row r="2425" spans="1:9" ht="17.399999999999999" x14ac:dyDescent="0.25">
      <c r="A2425" s="16"/>
      <c r="B2425" s="17"/>
      <c r="C2425" s="2" t="b">
        <v>0</v>
      </c>
      <c r="D2425" s="2"/>
      <c r="E2425" s="2"/>
      <c r="F2425" s="2"/>
      <c r="G2425" s="2"/>
      <c r="H2425" s="2"/>
      <c r="I2425" s="5"/>
    </row>
    <row r="2426" spans="1:9" ht="17.399999999999999" x14ac:dyDescent="0.25">
      <c r="A2426" s="16"/>
      <c r="B2426" s="17"/>
      <c r="C2426" s="2" t="b">
        <v>0</v>
      </c>
      <c r="D2426" s="2"/>
      <c r="E2426" s="2"/>
      <c r="F2426" s="2"/>
      <c r="G2426" s="2"/>
      <c r="H2426" s="2"/>
      <c r="I2426" s="5"/>
    </row>
    <row r="2427" spans="1:9" ht="17.399999999999999" x14ac:dyDescent="0.25">
      <c r="A2427" s="16"/>
      <c r="B2427" s="17"/>
      <c r="C2427" s="2" t="b">
        <v>0</v>
      </c>
      <c r="D2427" s="2"/>
      <c r="E2427" s="2"/>
      <c r="F2427" s="2"/>
      <c r="G2427" s="2"/>
      <c r="H2427" s="2"/>
      <c r="I2427" s="5"/>
    </row>
    <row r="2428" spans="1:9" ht="17.399999999999999" x14ac:dyDescent="0.25">
      <c r="A2428" s="16"/>
      <c r="B2428" s="17"/>
      <c r="C2428" s="2" t="b">
        <v>0</v>
      </c>
      <c r="D2428" s="2"/>
      <c r="E2428" s="2"/>
      <c r="F2428" s="2"/>
      <c r="G2428" s="2"/>
      <c r="H2428" s="2"/>
      <c r="I2428" s="5"/>
    </row>
    <row r="2429" spans="1:9" ht="17.399999999999999" x14ac:dyDescent="0.25">
      <c r="A2429" s="16"/>
      <c r="B2429" s="17"/>
      <c r="C2429" s="2" t="b">
        <v>0</v>
      </c>
      <c r="D2429" s="2"/>
      <c r="E2429" s="2"/>
      <c r="F2429" s="2"/>
      <c r="G2429" s="2"/>
      <c r="H2429" s="2"/>
      <c r="I2429" s="5"/>
    </row>
    <row r="2430" spans="1:9" ht="17.399999999999999" x14ac:dyDescent="0.25">
      <c r="A2430" s="16"/>
      <c r="B2430" s="17"/>
      <c r="C2430" s="2" t="b">
        <v>0</v>
      </c>
      <c r="D2430" s="2"/>
      <c r="E2430" s="2"/>
      <c r="F2430" s="2"/>
      <c r="G2430" s="2"/>
      <c r="H2430" s="2"/>
      <c r="I2430" s="5"/>
    </row>
    <row r="2431" spans="1:9" ht="17.399999999999999" x14ac:dyDescent="0.25">
      <c r="A2431" s="16"/>
      <c r="B2431" s="17"/>
      <c r="C2431" s="2" t="b">
        <v>0</v>
      </c>
      <c r="D2431" s="2"/>
      <c r="E2431" s="2"/>
      <c r="F2431" s="2"/>
      <c r="G2431" s="2"/>
      <c r="H2431" s="2"/>
      <c r="I2431" s="5"/>
    </row>
    <row r="2432" spans="1:9" ht="17.399999999999999" x14ac:dyDescent="0.25">
      <c r="A2432" s="16"/>
      <c r="B2432" s="17"/>
      <c r="C2432" s="2" t="b">
        <v>0</v>
      </c>
      <c r="D2432" s="2"/>
      <c r="E2432" s="2"/>
      <c r="F2432" s="2"/>
      <c r="G2432" s="2"/>
      <c r="H2432" s="2"/>
      <c r="I2432" s="5"/>
    </row>
    <row r="2433" spans="1:9" ht="17.399999999999999" x14ac:dyDescent="0.25">
      <c r="A2433" s="16"/>
      <c r="B2433" s="17"/>
      <c r="C2433" s="2" t="b">
        <v>0</v>
      </c>
      <c r="D2433" s="2"/>
      <c r="E2433" s="2"/>
      <c r="F2433" s="2"/>
      <c r="G2433" s="2"/>
      <c r="H2433" s="2"/>
      <c r="I2433" s="5"/>
    </row>
    <row r="2434" spans="1:9" ht="17.399999999999999" x14ac:dyDescent="0.25">
      <c r="A2434" s="16"/>
      <c r="B2434" s="17"/>
      <c r="C2434" s="2" t="b">
        <v>0</v>
      </c>
      <c r="D2434" s="2"/>
      <c r="E2434" s="2"/>
      <c r="F2434" s="2"/>
      <c r="G2434" s="2"/>
      <c r="H2434" s="2"/>
      <c r="I2434" s="5"/>
    </row>
    <row r="2435" spans="1:9" ht="17.399999999999999" x14ac:dyDescent="0.25">
      <c r="A2435" s="16"/>
      <c r="B2435" s="17"/>
      <c r="C2435" s="2" t="b">
        <v>0</v>
      </c>
      <c r="D2435" s="2"/>
      <c r="E2435" s="2"/>
      <c r="F2435" s="2"/>
      <c r="G2435" s="2"/>
      <c r="H2435" s="2"/>
      <c r="I2435" s="5"/>
    </row>
    <row r="2436" spans="1:9" ht="17.399999999999999" x14ac:dyDescent="0.25">
      <c r="A2436" s="16"/>
      <c r="B2436" s="17"/>
      <c r="C2436" s="2" t="b">
        <v>0</v>
      </c>
      <c r="D2436" s="2"/>
      <c r="E2436" s="2"/>
      <c r="F2436" s="2"/>
      <c r="G2436" s="2"/>
      <c r="H2436" s="2"/>
      <c r="I2436" s="5"/>
    </row>
    <row r="2437" spans="1:9" ht="17.399999999999999" x14ac:dyDescent="0.25">
      <c r="A2437" s="16"/>
      <c r="B2437" s="17"/>
      <c r="C2437" s="2" t="b">
        <v>0</v>
      </c>
      <c r="D2437" s="2"/>
      <c r="E2437" s="2"/>
      <c r="F2437" s="2"/>
      <c r="G2437" s="2"/>
      <c r="H2437" s="2"/>
      <c r="I2437" s="5"/>
    </row>
    <row r="2438" spans="1:9" ht="17.399999999999999" x14ac:dyDescent="0.25">
      <c r="A2438" s="16"/>
      <c r="B2438" s="17"/>
      <c r="C2438" s="2" t="b">
        <v>0</v>
      </c>
      <c r="D2438" s="2"/>
      <c r="E2438" s="2"/>
      <c r="F2438" s="2"/>
      <c r="G2438" s="2"/>
      <c r="H2438" s="2"/>
      <c r="I2438" s="5"/>
    </row>
    <row r="2439" spans="1:9" ht="17.399999999999999" x14ac:dyDescent="0.25">
      <c r="A2439" s="16"/>
      <c r="B2439" s="17"/>
      <c r="C2439" s="2" t="b">
        <v>0</v>
      </c>
      <c r="D2439" s="2"/>
      <c r="E2439" s="2"/>
      <c r="F2439" s="2"/>
      <c r="G2439" s="2"/>
      <c r="H2439" s="2"/>
      <c r="I2439" s="5"/>
    </row>
    <row r="2440" spans="1:9" ht="17.399999999999999" x14ac:dyDescent="0.25">
      <c r="A2440" s="16"/>
      <c r="B2440" s="17"/>
      <c r="C2440" s="2" t="b">
        <v>0</v>
      </c>
      <c r="D2440" s="2"/>
      <c r="E2440" s="2"/>
      <c r="F2440" s="2"/>
      <c r="G2440" s="2"/>
      <c r="H2440" s="2"/>
      <c r="I2440" s="5"/>
    </row>
  </sheetData>
  <mergeCells count="2">
    <mergeCell ref="B2:H2"/>
    <mergeCell ref="B3:H3"/>
  </mergeCells>
  <conditionalFormatting sqref="A1:H2440">
    <cfRule type="cellIs" dxfId="9" priority="1" operator="equal">
      <formula>"Purchased Perks"</formula>
    </cfRule>
    <cfRule type="expression" dxfId="8" priority="2">
      <formula>IF($E1="Purchased Perks",TRUE,FALSE)</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outlinePr summaryBelow="0" summaryRight="0"/>
  </sheetPr>
  <dimension ref="A1:XFD2440"/>
  <sheetViews>
    <sheetView workbookViewId="0">
      <pane ySplit="4" topLeftCell="A5" activePane="bottomLeft" state="frozen"/>
      <selection pane="bottomLeft" activeCell="B6" sqref="B6"/>
    </sheetView>
  </sheetViews>
  <sheetFormatPr defaultColWidth="12.6640625" defaultRowHeight="15.75" customHeight="1" x14ac:dyDescent="0.25"/>
  <cols>
    <col min="1" max="1" width="3.21875" customWidth="1"/>
    <col min="2" max="2" width="3.33203125" customWidth="1"/>
    <col min="3" max="3" width="10" customWidth="1"/>
    <col min="4" max="4" width="7.6640625" customWidth="1"/>
    <col min="5" max="5" width="20.88671875" customWidth="1"/>
    <col min="6" max="6" width="14.77734375" customWidth="1"/>
    <col min="7" max="7" width="19.44140625" customWidth="1"/>
    <col min="8" max="8" width="105.109375" customWidth="1"/>
    <col min="9" max="9" width="3.21875" customWidth="1"/>
    <col min="16384" max="16384" width="0" hidden="1" customWidth="1"/>
  </cols>
  <sheetData>
    <row r="1" spans="1:9 16384:16384" ht="18.75" hidden="1" customHeight="1" x14ac:dyDescent="0.25">
      <c r="A1" s="26"/>
      <c r="B1" s="26"/>
      <c r="C1" s="26"/>
      <c r="D1" s="26"/>
      <c r="E1" s="26"/>
      <c r="F1" s="26"/>
      <c r="G1" s="26"/>
      <c r="H1" s="26"/>
      <c r="I1" s="5"/>
      <c r="XFD1">
        <f ca="1">IF('Roll All'!$B$4="Roll!",RAND(),RAND())</f>
        <v>0.23010259204457051</v>
      </c>
    </row>
    <row r="2" spans="1:9 16384:16384" ht="43.5" customHeight="1" x14ac:dyDescent="0.25">
      <c r="A2" s="26"/>
      <c r="B2" s="54" t="s">
        <v>61</v>
      </c>
      <c r="C2" s="40"/>
      <c r="D2" s="40"/>
      <c r="E2" s="40"/>
      <c r="F2" s="40"/>
      <c r="G2" s="40"/>
      <c r="H2" s="40"/>
      <c r="I2" s="5"/>
    </row>
    <row r="3" spans="1:9 16384:16384" ht="52.5" customHeight="1" x14ac:dyDescent="0.25">
      <c r="A3" s="1"/>
      <c r="B3" s="42" t="s">
        <v>5658</v>
      </c>
      <c r="C3" s="40"/>
      <c r="D3" s="40"/>
      <c r="E3" s="40"/>
      <c r="F3" s="40"/>
      <c r="G3" s="40"/>
      <c r="H3" s="40"/>
      <c r="I3" s="5"/>
    </row>
    <row r="4" spans="1:9 16384:16384" ht="34.799999999999997" x14ac:dyDescent="0.25">
      <c r="A4" s="16"/>
      <c r="B4" s="17">
        <f t="array" ref="B4:B118">ROW(B4:B2440)-4</f>
        <v>0</v>
      </c>
      <c r="C4" s="10" t="s">
        <v>50</v>
      </c>
      <c r="D4" s="10" t="s">
        <v>20</v>
      </c>
      <c r="E4" s="10" t="s">
        <v>21</v>
      </c>
      <c r="F4" s="10" t="s">
        <v>22</v>
      </c>
      <c r="G4" s="10" t="s">
        <v>23</v>
      </c>
      <c r="H4" s="10" t="s">
        <v>24</v>
      </c>
      <c r="I4" s="5"/>
    </row>
    <row r="5" spans="1:9 16384:16384" ht="121.8" x14ac:dyDescent="0.25">
      <c r="A5" s="16"/>
      <c r="B5" s="17">
        <v>1</v>
      </c>
      <c r="C5" s="3" t="b">
        <f ca="1">IFERROR(__xludf.DUMMYFUNCTION("sort(filter('Full Perk List'!B3:G1935,'Full Perk List'!F3:F1935=B2),1,1,2,1,3,1)"),FALSE)</f>
        <v>0</v>
      </c>
      <c r="D5" s="3">
        <f ca="1">IFERROR(__xludf.DUMMYFUNCTION("""COMPUTED_VALUE"""),100)</f>
        <v>100</v>
      </c>
      <c r="E5" s="3" t="str">
        <f ca="1">IFERROR(__xludf.DUMMYFUNCTION("""COMPUTED_VALUE"""),"""Time-honoured Tradition""")</f>
        <v>"Time-honoured Tradition"</v>
      </c>
      <c r="F5" s="3" t="str">
        <f ca="1">IFERROR(__xludf.DUMMYFUNCTION("""COMPUTED_VALUE"""),"My Bride is the Demon Lord")</f>
        <v>My Bride is the Demon Lord</v>
      </c>
      <c r="G5" s="3" t="str">
        <f ca="1">IFERROR(__xludf.DUMMYFUNCTION("""COMPUTED_VALUE"""),"Relationships")</f>
        <v>Relationships</v>
      </c>
      <c r="H5" s="3" t="str">
        <f ca="1">IFERROR(__xludf.DUMMYFUNCTION("""COMPUTED_VALUE"""),"It is traditional for a Hero to have a harem. When you take on multiple lovers (or are in a relationship with someone with multiple lovers), everyone involved just sort of gets along better than they otherwise would. Instead of being jealous of one anothe"&amp;"r as they fight over someone’s attention, they will feel stronger feelings of compersion—that is, being happy over the happiness of others. Although they’ll still want to be with you (or your lover), they’ll still enjoy someone else having that special ti"&amp;"me instead of them. You may include yourself in this effect as well, if you so desire.")</f>
        <v>It is traditional for a Hero to have a harem. When you take on multiple lovers (or are in a relationship with someone with multiple lovers), everyone involved just sort of gets along better than they otherwise would. Instead of being jealous of one another as they fight over someone’s attention, they will feel stronger feelings of compersion—that is, being happy over the happiness of others. Although they’ll still want to be with you (or your lover), they’ll still enjoy someone else having that special time instead of them. You may include yourself in this effect as well, if you so desire.</v>
      </c>
      <c r="I5" s="5"/>
    </row>
    <row r="6" spans="1:9 16384:16384" ht="69.599999999999994" x14ac:dyDescent="0.25">
      <c r="A6" s="16"/>
      <c r="B6" s="17">
        <v>2</v>
      </c>
      <c r="C6" s="4" t="b">
        <f ca="1">IFERROR(__xludf.DUMMYFUNCTION("""COMPUTED_VALUE"""),FALSE)</f>
        <v>0</v>
      </c>
      <c r="D6" s="4">
        <f ca="1">IFERROR(__xludf.DUMMYFUNCTION("""COMPUTED_VALUE"""),100)</f>
        <v>100</v>
      </c>
      <c r="E6" s="4" t="str">
        <f ca="1">IFERROR(__xludf.DUMMYFUNCTION("""COMPUTED_VALUE"""),"A Keeper's Empathy")</f>
        <v>A Keeper's Empathy</v>
      </c>
      <c r="F6" s="4" t="str">
        <f ca="1">IFERROR(__xludf.DUMMYFUNCTION("""COMPUTED_VALUE"""),"Kemokko Zoo")</f>
        <v>Kemokko Zoo</v>
      </c>
      <c r="G6" s="4" t="str">
        <f ca="1">IFERROR(__xludf.DUMMYFUNCTION("""COMPUTED_VALUE"""),"Relationships")</f>
        <v>Relationships</v>
      </c>
      <c r="H6" s="4" t="str">
        <f ca="1">IFERROR(__xludf.DUMMYFUNCTION("""COMPUTED_VALUE"""),"A good zookeeper needs to understand what an animal needs and wants. You can now easily gain insights into an individual’s personal and social needs and desires, helping you empathize with them and figure out how to help them. You gain similar insights on"&amp;" animals, helping you better take care of them.")</f>
        <v>A good zookeeper needs to understand what an animal needs and wants. You can now easily gain insights into an individual’s personal and social needs and desires, helping you empathize with them and figure out how to help them. You gain similar insights on animals, helping you better take care of them.</v>
      </c>
      <c r="I6" s="5"/>
    </row>
    <row r="7" spans="1:9 16384:16384" ht="69.599999999999994" x14ac:dyDescent="0.25">
      <c r="A7" s="16"/>
      <c r="B7" s="17">
        <v>3</v>
      </c>
      <c r="C7" s="2" t="b">
        <f ca="1">IFERROR(__xludf.DUMMYFUNCTION("""COMPUTED_VALUE"""),FALSE)</f>
        <v>0</v>
      </c>
      <c r="D7" s="2">
        <f ca="1">IFERROR(__xludf.DUMMYFUNCTION("""COMPUTED_VALUE"""),100)</f>
        <v>100</v>
      </c>
      <c r="E7" s="2" t="str">
        <f ca="1">IFERROR(__xludf.DUMMYFUNCTION("""COMPUTED_VALUE"""),"Book of Stats")</f>
        <v>Book of Stats</v>
      </c>
      <c r="F7" s="2" t="str">
        <f ca="1">IFERROR(__xludf.DUMMYFUNCTION("""COMPUTED_VALUE"""),"Generic: Fat-Fetish")</f>
        <v>Generic: Fat-Fetish</v>
      </c>
      <c r="G7" s="2" t="str">
        <f ca="1">IFERROR(__xludf.DUMMYFUNCTION("""COMPUTED_VALUE"""),"Relationships")</f>
        <v>Relationships</v>
      </c>
      <c r="H7" s="2" t="str">
        <f ca="1">IFERROR(__xludf.DUMMYFUNCTION("""COMPUTED_VALUE"""),"This handy, dandy little notebook with infinite pages (yes you can still lift it) automatically keeps track of every detail of any of your lovers/companions. Weight, measurements, etc. In either Standard or Metric at your discretion. And when you open it,"&amp;" you automatically open to the page you wanted, even if you have thousands of entries.")</f>
        <v>This handy, dandy little notebook with infinite pages (yes you can still lift it) automatically keeps track of every detail of any of your lovers/companions. Weight, measurements, etc. In either Standard or Metric at your discretion. And when you open it, you automatically open to the page you wanted, even if you have thousands of entries.</v>
      </c>
      <c r="I7" s="5"/>
    </row>
    <row r="8" spans="1:9 16384:16384" ht="121.8" x14ac:dyDescent="0.25">
      <c r="A8" s="16"/>
      <c r="B8" s="17">
        <v>4</v>
      </c>
      <c r="C8" s="2" t="b">
        <f ca="1">IFERROR(__xludf.DUMMYFUNCTION("""COMPUTED_VALUE"""),FALSE)</f>
        <v>0</v>
      </c>
      <c r="D8" s="2">
        <f ca="1">IFERROR(__xludf.DUMMYFUNCTION("""COMPUTED_VALUE"""),100)</f>
        <v>100</v>
      </c>
      <c r="E8" s="2" t="str">
        <f ca="1">IFERROR(__xludf.DUMMYFUNCTION("""COMPUTED_VALUE"""),"Champion of the Small")</f>
        <v>Champion of the Small</v>
      </c>
      <c r="F8" s="2" t="str">
        <f ca="1">IFERROR(__xludf.DUMMYFUNCTION("""COMPUTED_VALUE"""),"Fate/Loli Order")</f>
        <v>Fate/Loli Order</v>
      </c>
      <c r="G8" s="2" t="str">
        <f ca="1">IFERROR(__xludf.DUMMYFUNCTION("""COMPUTED_VALUE"""),"Relationships")</f>
        <v>Relationships</v>
      </c>
      <c r="H8" s="2" t="str">
        <f ca="1">IFERROR(__xludf.DUMMYFUNCTION("""COMPUTED_VALUE"""),"Hey, there's no shame in someone your age still liking magical girls. In fact, it's hard not to love these brave little heroines, or to want to support them when they're doing their best and standing up for what's right. But something special happens when"&amp;" you're the one supporting them: maybe it's all the long practice you have from directing your servants, but having you there to cheer them on or back them up in a tough spot gives magical girls and other young heroines a swell of courage and determinatio"&amp;"n to overcome all challenges, and maybe a little dash of a warm fuzzy feeling for you too. Don't be too surprised if many of them start wanting to call you big brother.")</f>
        <v>Hey, there's no shame in someone your age still liking magical girls. In fact, it's hard not to love these brave little heroines, or to want to support them when they're doing their best and standing up for what's right. But something special happens when you're the one supporting them: maybe it's all the long practice you have from directing your servants, but having you there to cheer them on or back them up in a tough spot gives magical girls and other young heroines a swell of courage and determination to overcome all challenges, and maybe a little dash of a warm fuzzy feeling for you too. Don't be too surprised if many of them start wanting to call you big brother.</v>
      </c>
      <c r="I8" s="5"/>
    </row>
    <row r="9" spans="1:9 16384:16384" ht="69.599999999999994" x14ac:dyDescent="0.25">
      <c r="A9" s="16"/>
      <c r="B9" s="17">
        <v>5</v>
      </c>
      <c r="C9" s="2" t="b">
        <f ca="1">IFERROR(__xludf.DUMMYFUNCTION("""COMPUTED_VALUE"""),FALSE)</f>
        <v>0</v>
      </c>
      <c r="D9" s="2">
        <f ca="1">IFERROR(__xludf.DUMMYFUNCTION("""COMPUTED_VALUE"""),100)</f>
        <v>100</v>
      </c>
      <c r="E9" s="2" t="str">
        <f ca="1">IFERROR(__xludf.DUMMYFUNCTION("""COMPUTED_VALUE"""),"Confession Tape")</f>
        <v>Confession Tape</v>
      </c>
      <c r="F9" s="2" t="str">
        <f ca="1">IFERROR(__xludf.DUMMYFUNCTION("""COMPUTED_VALUE"""),"Generic: Incest")</f>
        <v>Generic: Incest</v>
      </c>
      <c r="G9" s="2" t="str">
        <f ca="1">IFERROR(__xludf.DUMMYFUNCTION("""COMPUTED_VALUE"""),"Relationships")</f>
        <v>Relationships</v>
      </c>
      <c r="H9" s="2" t="str">
        <f ca="1">IFERROR(__xludf.DUMMYFUNCTION("""COMPUTED_VALUE"""),"This cassette tape contains a video-recorded confession of everyone who falls in love with you. They needn’t actually confess to you, but the moment they realize they’ve fallen in love with you the cassette will update with a recording of them admitting t"&amp;"heir feelings for you. Comes with a free, universally compatible cassette player.")</f>
        <v>This cassette tape contains a video-recorded confession of everyone who falls in love with you. They needn’t actually confess to you, but the moment they realize they’ve fallen in love with you the cassette will update with a recording of them admitting their feelings for you. Comes with a free, universally compatible cassette player.</v>
      </c>
      <c r="I9" s="5"/>
    </row>
    <row r="10" spans="1:9 16384:16384" ht="139.19999999999999" x14ac:dyDescent="0.25">
      <c r="A10" s="16"/>
      <c r="B10" s="17">
        <v>6</v>
      </c>
      <c r="C10" s="2" t="b">
        <f ca="1">IFERROR(__xludf.DUMMYFUNCTION("""COMPUTED_VALUE"""),FALSE)</f>
        <v>0</v>
      </c>
      <c r="D10" s="2">
        <f ca="1">IFERROR(__xludf.DUMMYFUNCTION("""COMPUTED_VALUE"""),100)</f>
        <v>100</v>
      </c>
      <c r="E10" s="2" t="str">
        <f ca="1">IFERROR(__xludf.DUMMYFUNCTION("""COMPUTED_VALUE"""),"Dear Naruto Letter")</f>
        <v>Dear Naruto Letter</v>
      </c>
      <c r="F10" s="2" t="str">
        <f ca="1">IFERROR(__xludf.DUMMYFUNCTION("""COMPUTED_VALUE"""),"Naruto Blacked")</f>
        <v>Naruto Blacked</v>
      </c>
      <c r="G10" s="2" t="str">
        <f ca="1">IFERROR(__xludf.DUMMYFUNCTION("""COMPUTED_VALUE"""),"Relationships")</f>
        <v>Relationships</v>
      </c>
      <c r="H10" s="2" t="str">
        <f ca="1">IFERROR(__xludf.DUMMYFUNCTION("""COMPUTED_VALUE"""),"Being beautiful inevitably earns you the attention of people you’d rather not have around. Maybe you have a persistent ex who can’t take a hint that you don’t want to see them again or maybe you found someone much better and want to let them down easy. Ei"&amp;"ther way you’re able to dissuade any unwanted suitors from pursuing you or break off any existing relationships simply by writing your ex a letter detailing your feelings on the matter. Anything you put into these letters will be interpreted exactly as yo"&amp;"u intended it, and you can be as kind or as cruel as you like depending on the impact you’d like your words to have, letting you part ways on good terms or drive the knife in as hard as possible.")</f>
        <v>Being beautiful inevitably earns you the attention of people you’d rather not have around. Maybe you have a persistent ex who can’t take a hint that you don’t want to see them again or maybe you found someone much better and want to let them down easy. Either way you’re able to dissuade any unwanted suitors from pursuing you or break off any existing relationships simply by writing your ex a letter detailing your feelings on the matter. Anything you put into these letters will be interpreted exactly as you intended it, and you can be as kind or as cruel as you like depending on the impact you’d like your words to have, letting you part ways on good terms or drive the knife in as hard as possible.</v>
      </c>
      <c r="I10" s="5"/>
    </row>
    <row r="11" spans="1:9 16384:16384" ht="87" x14ac:dyDescent="0.25">
      <c r="A11" s="16"/>
      <c r="B11" s="17">
        <v>7</v>
      </c>
      <c r="C11" s="2" t="b">
        <f ca="1">IFERROR(__xludf.DUMMYFUNCTION("""COMPUTED_VALUE"""),FALSE)</f>
        <v>0</v>
      </c>
      <c r="D11" s="2">
        <f ca="1">IFERROR(__xludf.DUMMYFUNCTION("""COMPUTED_VALUE"""),100)</f>
        <v>100</v>
      </c>
      <c r="E11" s="2" t="str">
        <f ca="1">IFERROR(__xludf.DUMMYFUNCTION("""COMPUTED_VALUE"""),"Fidelity? LOL")</f>
        <v>Fidelity? LOL</v>
      </c>
      <c r="F11" s="2" t="str">
        <f ca="1">IFERROR(__xludf.DUMMYFUNCTION("""COMPUTED_VALUE"""),"Burakku Gakkou Ni Tsutomete Shimatta Sensei")</f>
        <v>Burakku Gakkou Ni Tsutomete Shimatta Sensei</v>
      </c>
      <c r="G11" s="2" t="str">
        <f ca="1">IFERROR(__xludf.DUMMYFUNCTION("""COMPUTED_VALUE"""),"Relationships")</f>
        <v>Relationships</v>
      </c>
      <c r="H11" s="2" t="str">
        <f ca="1">IFERROR(__xludf.DUMMYFUNCTION("""COMPUTED_VALUE"""),"People just... don’t seem to particularly care if you’re disloyal in a relationship. They might object a little, but it’s the sort of objection you’d expect to see over someone getting a toy in a Happy Meal that they’d already gotten, not something they’r"&amp;"e seriously upset over. Furthermore, for some reason or another it just never occurs to them to expect or demand the same freedoms that they give you; they won’t be any more or less disloyal themselves than they would have been otherwise.")</f>
        <v>People just... don’t seem to particularly care if you’re disloyal in a relationship. They might object a little, but it’s the sort of objection you’d expect to see over someone getting a toy in a Happy Meal that they’d already gotten, not something they’re seriously upset over. Furthermore, for some reason or another it just never occurs to them to expect or demand the same freedoms that they give you; they won’t be any more or less disloyal themselves than they would have been otherwise.</v>
      </c>
      <c r="I11" s="5"/>
    </row>
    <row r="12" spans="1:9 16384:16384" ht="104.4" x14ac:dyDescent="0.25">
      <c r="A12" s="16"/>
      <c r="B12" s="17">
        <v>8</v>
      </c>
      <c r="C12" s="2" t="b">
        <f ca="1">IFERROR(__xludf.DUMMYFUNCTION("""COMPUTED_VALUE"""),FALSE)</f>
        <v>0</v>
      </c>
      <c r="D12" s="2">
        <f ca="1">IFERROR(__xludf.DUMMYFUNCTION("""COMPUTED_VALUE"""),100)</f>
        <v>100</v>
      </c>
      <c r="E12" s="2" t="str">
        <f ca="1">IFERROR(__xludf.DUMMYFUNCTION("""COMPUTED_VALUE"""),"Forehead Poke")</f>
        <v>Forehead Poke</v>
      </c>
      <c r="F12" s="2" t="str">
        <f ca="1">IFERROR(__xludf.DUMMYFUNCTION("""COMPUTED_VALUE"""),"Merry Marry")</f>
        <v>Merry Marry</v>
      </c>
      <c r="G12" s="2" t="str">
        <f ca="1">IFERROR(__xludf.DUMMYFUNCTION("""COMPUTED_VALUE"""),"Relationships")</f>
        <v>Relationships</v>
      </c>
      <c r="H12" s="2" t="str">
        <f ca="1">IFERROR(__xludf.DUMMYFUNCTION("""COMPUTED_VALUE"""),"Everyone has little habits. Things they do almost subconsciously. This probably isn’t one of them, though it may be a meaningless motion that was granted meaning through repetition and basic pattern recognition. Pick something simple. A poke to the forehe"&amp;"ad, a pat on the head, maybe rubbing the chin like a cat. When you do this people will automatically pick up on it’s ‘true’ meaning. That’s also something you get to pick, just so you know. It doesn’t have to be Itachi’s ‘you aren’t strong enough to stop "&amp;"me from poking you’. Or whatever it actually means.")</f>
        <v>Everyone has little habits. Things they do almost subconsciously. This probably isn’t one of them, though it may be a meaningless motion that was granted meaning through repetition and basic pattern recognition. Pick something simple. A poke to the forehead, a pat on the head, maybe rubbing the chin like a cat. When you do this people will automatically pick up on it’s ‘true’ meaning. That’s also something you get to pick, just so you know. It doesn’t have to be Itachi’s ‘you aren’t strong enough to stop me from poking you’. Or whatever it actually means.</v>
      </c>
      <c r="I12" s="5"/>
    </row>
    <row r="13" spans="1:9 16384:16384" ht="104.4" x14ac:dyDescent="0.25">
      <c r="A13" s="16"/>
      <c r="B13" s="17">
        <v>9</v>
      </c>
      <c r="C13" s="2" t="b">
        <f ca="1">IFERROR(__xludf.DUMMYFUNCTION("""COMPUTED_VALUE"""),FALSE)</f>
        <v>0</v>
      </c>
      <c r="D13" s="2">
        <f ca="1">IFERROR(__xludf.DUMMYFUNCTION("""COMPUTED_VALUE"""),100)</f>
        <v>100</v>
      </c>
      <c r="E13" s="2" t="str">
        <f ca="1">IFERROR(__xludf.DUMMYFUNCTION("""COMPUTED_VALUE"""),"Friends Forever")</f>
        <v>Friends Forever</v>
      </c>
      <c r="F13" s="2" t="str">
        <f ca="1">IFERROR(__xludf.DUMMYFUNCTION("""COMPUTED_VALUE"""),"Archangel of Love, Love Mary ~Malignant Conception~")</f>
        <v>Archangel of Love, Love Mary ~Malignant Conception~</v>
      </c>
      <c r="G13" s="2" t="str">
        <f ca="1">IFERROR(__xludf.DUMMYFUNCTION("""COMPUTED_VALUE"""),"Relationships")</f>
        <v>Relationships</v>
      </c>
      <c r="H13" s="2" t="str">
        <f ca="1">IFERROR(__xludf.DUMMYFUNCTION("""COMPUTED_VALUE"""),"The friendships that you make are deep and lasting, and will endure at full strength even if you’ve gone ages without seeing one another. This is the sort of friendship that drives people to overcome seemingly - impossible hardship for the sake of their c"&amp;"ompanions, and which can endure even the most sinister attempts to sabotage it. Indeed, even if your friends are mind - controlled or are lost to corruption, they’ll still hold your safety in high esteem, even if they’re more interested in converting you "&amp;"than helping you.")</f>
        <v>The friendships that you make are deep and lasting, and will endure at full strength even if you’ve gone ages without seeing one another. This is the sort of friendship that drives people to overcome seemingly - impossible hardship for the sake of their companions, and which can endure even the most sinister attempts to sabotage it. Indeed, even if your friends are mind - controlled or are lost to corruption, they’ll still hold your safety in high esteem, even if they’re more interested in converting you than helping you.</v>
      </c>
      <c r="I13" s="5"/>
    </row>
    <row r="14" spans="1:9 16384:16384" ht="139.19999999999999" x14ac:dyDescent="0.25">
      <c r="A14" s="16"/>
      <c r="B14" s="17">
        <v>10</v>
      </c>
      <c r="C14" s="2" t="b">
        <f ca="1">IFERROR(__xludf.DUMMYFUNCTION("""COMPUTED_VALUE"""),FALSE)</f>
        <v>0</v>
      </c>
      <c r="D14" s="2">
        <f ca="1">IFERROR(__xludf.DUMMYFUNCTION("""COMPUTED_VALUE"""),100)</f>
        <v>100</v>
      </c>
      <c r="E14" s="2" t="str">
        <f ca="1">IFERROR(__xludf.DUMMYFUNCTION("""COMPUTED_VALUE"""),"Gold Collar")</f>
        <v>Gold Collar</v>
      </c>
      <c r="F14" s="2" t="str">
        <f ca="1">IFERROR(__xludf.DUMMYFUNCTION("""COMPUTED_VALUE"""),"Collar 6")</f>
        <v>Collar 6</v>
      </c>
      <c r="G14" s="2" t="str">
        <f ca="1">IFERROR(__xludf.DUMMYFUNCTION("""COMPUTED_VALUE"""),"Relationships")</f>
        <v>Relationships</v>
      </c>
      <c r="H14" s="2" t="str">
        <f ca="1">IFERROR(__xludf.DUMMYFUNCTION("""COMPUTED_VALUE"""),"First and more obviously, this is an object of considerable monetary worth, but no one will ever try to take it from you to melt it down or anything like that. At least, not out of materialistic greed.
Beyond the gold, however, this is a symbol of commi"&amp;"tment to a relationship in which another will hold the ostensible power. Putting it around a neck will not seal away their power or make them unable to disobey someone, but for as long as they are willing to bear the dynamics of such a relationship this c"&amp;"ollar ensures that things will go reasonably smoothly and that all but the gravest disagreements will be solved in mutually satisfactory fashion.")</f>
        <v>First and more obviously, this is an object of considerable monetary worth, but no one will ever try to take it from you to melt it down or anything like that. At least, not out of materialistic greed.
Beyond the gold, however, this is a symbol of commitment to a relationship in which another will hold the ostensible power. Putting it around a neck will not seal away their power or make them unable to disobey someone, but for as long as they are willing to bear the dynamics of such a relationship this collar ensures that things will go reasonably smoothly and that all but the gravest disagreements will be solved in mutually satisfactory fashion.</v>
      </c>
      <c r="I14" s="5"/>
    </row>
    <row r="15" spans="1:9 16384:16384" ht="69.599999999999994" x14ac:dyDescent="0.25">
      <c r="A15" s="16"/>
      <c r="B15" s="17">
        <v>11</v>
      </c>
      <c r="C15" s="2" t="b">
        <f ca="1">IFERROR(__xludf.DUMMYFUNCTION("""COMPUTED_VALUE"""),FALSE)</f>
        <v>0</v>
      </c>
      <c r="D15" s="2">
        <f ca="1">IFERROR(__xludf.DUMMYFUNCTION("""COMPUTED_VALUE"""),100)</f>
        <v>100</v>
      </c>
      <c r="E15" s="2" t="str">
        <f ca="1">IFERROR(__xludf.DUMMYFUNCTION("""COMPUTED_VALUE"""),"Heart and Sole")</f>
        <v>Heart and Sole</v>
      </c>
      <c r="F15" s="2" t="str">
        <f ca="1">IFERROR(__xludf.DUMMYFUNCTION("""COMPUTED_VALUE"""),"Ashigei Shoujo Komura-san")</f>
        <v>Ashigei Shoujo Komura-san</v>
      </c>
      <c r="G15" s="2" t="str">
        <f ca="1">IFERROR(__xludf.DUMMYFUNCTION("""COMPUTED_VALUE"""),"Relationships")</f>
        <v>Relationships</v>
      </c>
      <c r="H15" s="2" t="str">
        <f ca="1">IFERROR(__xludf.DUMMYFUNCTION("""COMPUTED_VALUE"""),"You have astounding luck when being paired with someone by outside forces. You won’t be arranged to marry someone you can’t stand, or forced to work with someone incompetent. In hardly any time, you’ll come to understand one another, and learn to synergiz"&amp;"e so well that people will think you’ve been together for years, practically able to read each other’s thoughts.")</f>
        <v>You have astounding luck when being paired with someone by outside forces. You won’t be arranged to marry someone you can’t stand, or forced to work with someone incompetent. In hardly any time, you’ll come to understand one another, and learn to synergize so well that people will think you’ve been together for years, practically able to read each other’s thoughts.</v>
      </c>
      <c r="I15" s="5"/>
    </row>
    <row r="16" spans="1:9 16384:16384" ht="52.2" x14ac:dyDescent="0.25">
      <c r="A16" s="16"/>
      <c r="B16" s="17">
        <v>12</v>
      </c>
      <c r="C16" s="2" t="b">
        <f ca="1">IFERROR(__xludf.DUMMYFUNCTION("""COMPUTED_VALUE"""),FALSE)</f>
        <v>0</v>
      </c>
      <c r="D16" s="2">
        <f ca="1">IFERROR(__xludf.DUMMYFUNCTION("""COMPUTED_VALUE"""),100)</f>
        <v>100</v>
      </c>
      <c r="E16" s="2" t="str">
        <f ca="1">IFERROR(__xludf.DUMMYFUNCTION("""COMPUTED_VALUE"""),"Hidden Relations")</f>
        <v>Hidden Relations</v>
      </c>
      <c r="F16" s="2" t="str">
        <f ca="1">IFERROR(__xludf.DUMMYFUNCTION("""COMPUTED_VALUE"""),"Generic: Hentai Modern")</f>
        <v>Generic: Hentai Modern</v>
      </c>
      <c r="G16" s="2" t="str">
        <f ca="1">IFERROR(__xludf.DUMMYFUNCTION("""COMPUTED_VALUE"""),"Relationships")</f>
        <v>Relationships</v>
      </c>
      <c r="H16" s="2" t="str">
        <f ca="1">IFERROR(__xludf.DUMMYFUNCTION("""COMPUTED_VALUE"""),"It's easier to conceal your relationships from others you don't want to know about them. If you don't want it known you or the other person would have to make a major mistake for it to be found out.")</f>
        <v>It's easier to conceal your relationships from others you don't want to know about them. If you don't want it known you or the other person would have to make a major mistake for it to be found out.</v>
      </c>
      <c r="I16" s="5"/>
    </row>
    <row r="17" spans="1:9" ht="52.2" x14ac:dyDescent="0.25">
      <c r="A17" s="16"/>
      <c r="B17" s="17">
        <v>13</v>
      </c>
      <c r="C17" s="2" t="b">
        <f ca="1">IFERROR(__xludf.DUMMYFUNCTION("""COMPUTED_VALUE"""),FALSE)</f>
        <v>0</v>
      </c>
      <c r="D17" s="2">
        <f ca="1">IFERROR(__xludf.DUMMYFUNCTION("""COMPUTED_VALUE"""),100)</f>
        <v>100</v>
      </c>
      <c r="E17" s="2" t="str">
        <f ca="1">IFERROR(__xludf.DUMMYFUNCTION("""COMPUTED_VALUE"""),"I Guess it's not a Big Deal")</f>
        <v>I Guess it's not a Big Deal</v>
      </c>
      <c r="F17" s="2" t="str">
        <f ca="1">IFERROR(__xludf.DUMMYFUNCTION("""COMPUTED_VALUE"""),"World of Moral Reversal")</f>
        <v>World of Moral Reversal</v>
      </c>
      <c r="G17" s="2" t="str">
        <f ca="1">IFERROR(__xludf.DUMMYFUNCTION("""COMPUTED_VALUE"""),"Relationships")</f>
        <v>Relationships</v>
      </c>
      <c r="H17" s="2" t="str">
        <f ca="1">IFERROR(__xludf.DUMMYFUNCTION("""COMPUTED_VALUE"""),"Even if you have obvious shortcomings in a mutually pleasurable activity, partners never feel the need to shame you for them. So long as they weren’t hidden for malicious reasons, any partners will still give it their all to make sure you can both enjoy.")</f>
        <v>Even if you have obvious shortcomings in a mutually pleasurable activity, partners never feel the need to shame you for them. So long as they weren’t hidden for malicious reasons, any partners will still give it their all to make sure you can both enjoy.</v>
      </c>
      <c r="I17" s="5"/>
    </row>
    <row r="18" spans="1:9" ht="52.2" x14ac:dyDescent="0.25">
      <c r="A18" s="16"/>
      <c r="B18" s="17">
        <v>14</v>
      </c>
      <c r="C18" s="2" t="b">
        <f ca="1">IFERROR(__xludf.DUMMYFUNCTION("""COMPUTED_VALUE"""),FALSE)</f>
        <v>0</v>
      </c>
      <c r="D18" s="2">
        <f ca="1">IFERROR(__xludf.DUMMYFUNCTION("""COMPUTED_VALUE"""),100)</f>
        <v>100</v>
      </c>
      <c r="E18" s="2" t="str">
        <f ca="1">IFERROR(__xludf.DUMMYFUNCTION("""COMPUTED_VALUE"""),"It's Fine for Wives to Get Along")</f>
        <v>It's Fine for Wives to Get Along</v>
      </c>
      <c r="F18" s="2" t="str">
        <f ca="1">IFERROR(__xludf.DUMMYFUNCTION("""COMPUTED_VALUE"""),"Earth Girls")</f>
        <v>Earth Girls</v>
      </c>
      <c r="G18" s="2" t="str">
        <f ca="1">IFERROR(__xludf.DUMMYFUNCTION("""COMPUTED_VALUE"""),"Relationships")</f>
        <v>Relationships</v>
      </c>
      <c r="H18" s="2" t="str">
        <f ca="1">IFERROR(__xludf.DUMMYFUNCTION("""COMPUTED_VALUE"""),"Just like it’s acceptable for “husbands” to have more than one wife, it’s acceptable for “wives” to be very friendly with each other. So long as the other person isn’t seen as a replacement for your existing partners, a bit of an open relationship is perf"&amp;"ectly accepted.")</f>
        <v>Just like it’s acceptable for “husbands” to have more than one wife, it’s acceptable for “wives” to be very friendly with each other. So long as the other person isn’t seen as a replacement for your existing partners, a bit of an open relationship is perfectly accepted.</v>
      </c>
      <c r="I18" s="5"/>
    </row>
    <row r="19" spans="1:9" ht="87" x14ac:dyDescent="0.25">
      <c r="A19" s="16"/>
      <c r="B19" s="17">
        <v>15</v>
      </c>
      <c r="C19" s="2" t="b">
        <f ca="1">IFERROR(__xludf.DUMMYFUNCTION("""COMPUTED_VALUE"""),FALSE)</f>
        <v>0</v>
      </c>
      <c r="D19" s="2">
        <f ca="1">IFERROR(__xludf.DUMMYFUNCTION("""COMPUTED_VALUE"""),100)</f>
        <v>100</v>
      </c>
      <c r="E19" s="2" t="str">
        <f ca="1">IFERROR(__xludf.DUMMYFUNCTION("""COMPUTED_VALUE"""),"Jump Across the Room")</f>
        <v>Jump Across the Room</v>
      </c>
      <c r="F19" s="2" t="str">
        <f ca="1">IFERROR(__xludf.DUMMYFUNCTION("""COMPUTED_VALUE"""),"Generic: Hentai Modern")</f>
        <v>Generic: Hentai Modern</v>
      </c>
      <c r="G19" s="2" t="str">
        <f ca="1">IFERROR(__xludf.DUMMYFUNCTION("""COMPUTED_VALUE"""),"Relationships")</f>
        <v>Relationships</v>
      </c>
      <c r="H19" s="2" t="str">
        <f ca="1">IFERROR(__xludf.DUMMYFUNCTION("""COMPUTED_VALUE"""),"You know right when you're about to get it on with your significant other, and you hear the door start to open? And three seconds later you're clear across the room, whistling innocently? Well, don't bother. As long as it’s either fairly common knowledge "&amp;"that you’re dating, or your actual spouse, the intruder won’t see anything wrong with it. Doesn’t matter if they knew beforehand, just that your lover is actually your lover.")</f>
        <v>You know right when you're about to get it on with your significant other, and you hear the door start to open? And three seconds later you're clear across the room, whistling innocently? Well, don't bother. As long as it’s either fairly common knowledge that you’re dating, or your actual spouse, the intruder won’t see anything wrong with it. Doesn’t matter if they knew beforehand, just that your lover is actually your lover.</v>
      </c>
      <c r="I19" s="5"/>
    </row>
    <row r="20" spans="1:9" ht="87" x14ac:dyDescent="0.25">
      <c r="A20" s="16"/>
      <c r="B20" s="17">
        <v>16</v>
      </c>
      <c r="C20" s="2" t="b">
        <f ca="1">IFERROR(__xludf.DUMMYFUNCTION("""COMPUTED_VALUE"""),FALSE)</f>
        <v>0</v>
      </c>
      <c r="D20" s="2">
        <f ca="1">IFERROR(__xludf.DUMMYFUNCTION("""COMPUTED_VALUE"""),100)</f>
        <v>100</v>
      </c>
      <c r="E20" s="2" t="str">
        <f ca="1">IFERROR(__xludf.DUMMYFUNCTION("""COMPUTED_VALUE"""),"Love Feels Lovely")</f>
        <v>Love Feels Lovely</v>
      </c>
      <c r="F20" s="2" t="str">
        <f ca="1">IFERROR(__xludf.DUMMYFUNCTION("""COMPUTED_VALUE"""),"Prina the Dungeoneering Princess")</f>
        <v>Prina the Dungeoneering Princess</v>
      </c>
      <c r="G20" s="2" t="str">
        <f ca="1">IFERROR(__xludf.DUMMYFUNCTION("""COMPUTED_VALUE"""),"Relationships")</f>
        <v>Relationships</v>
      </c>
      <c r="H20" s="2" t="str">
        <f ca="1">IFERROR(__xludf.DUMMYFUNCTION("""COMPUTED_VALUE"""),"While the dungeon and its inhabitants are intent on training Prina into a proper slut, she herself is constantly bending to those whims due to their threats about her best friend. That said, oh so many of their tricks and traps fail to snag them properly "&amp;"due to one simple fact. They really do love each other. With that in mind, you’ll find that sleeping with those you care for, and who care for you, is just inherently better than even a goddess of lust, beauty, and sex.")</f>
        <v>While the dungeon and its inhabitants are intent on training Prina into a proper slut, she herself is constantly bending to those whims due to their threats about her best friend. That said, oh so many of their tricks and traps fail to snag them properly due to one simple fact. They really do love each other. With that in mind, you’ll find that sleeping with those you care for, and who care for you, is just inherently better than even a goddess of lust, beauty, and sex.</v>
      </c>
      <c r="I20" s="5"/>
    </row>
    <row r="21" spans="1:9" ht="139.19999999999999" x14ac:dyDescent="0.25">
      <c r="A21" s="16"/>
      <c r="B21" s="17">
        <v>17</v>
      </c>
      <c r="C21" s="2" t="b">
        <f ca="1">IFERROR(__xludf.DUMMYFUNCTION("""COMPUTED_VALUE"""),FALSE)</f>
        <v>0</v>
      </c>
      <c r="D21" s="2">
        <f ca="1">IFERROR(__xludf.DUMMYFUNCTION("""COMPUTED_VALUE"""),100)</f>
        <v>100</v>
      </c>
      <c r="E21" s="2" t="str">
        <f ca="1">IFERROR(__xludf.DUMMYFUNCTION("""COMPUTED_VALUE"""),"Lover's Scarf")</f>
        <v>Lover's Scarf</v>
      </c>
      <c r="F21" s="2" t="str">
        <f ca="1">IFERROR(__xludf.DUMMYFUNCTION("""COMPUTED_VALUE"""),"Naruto Blacked")</f>
        <v>Naruto Blacked</v>
      </c>
      <c r="G21" s="2" t="str">
        <f ca="1">IFERROR(__xludf.DUMMYFUNCTION("""COMPUTED_VALUE"""),"Relationships")</f>
        <v>Relationships</v>
      </c>
      <c r="H21" s="2" t="str">
        <f ca="1">IFERROR(__xludf.DUMMYFUNCTION("""COMPUTED_VALUE"""),"It’s not really a custom in the elemental nations for a lady to give her fair knight an article of cloth showing her favor before he heads off to battle but the idea behind this custom-made raiment is much the same. It might be a scarf or a ribbon or some"&amp;" other article of clothing, but whatever it is it’s home-made by you for your beloved, and there’s a strange power in it. So long as your loved one is wearing this cloth or at least keeps it on their person you can always sense their general location and "&amp;"overall wellbeing relative to your own. Even if one of you were whisked as far away as the moon, so long as your beau keeps this item with them you’re never truly parted from each other.")</f>
        <v>It’s not really a custom in the elemental nations for a lady to give her fair knight an article of cloth showing her favor before he heads off to battle but the idea behind this custom-made raiment is much the same. It might be a scarf or a ribbon or some other article of clothing, but whatever it is it’s home-made by you for your beloved, and there’s a strange power in it. So long as your loved one is wearing this cloth or at least keeps it on their person you can always sense their general location and overall wellbeing relative to your own. Even if one of you were whisked as far away as the moon, so long as your beau keeps this item with them you’re never truly parted from each other.</v>
      </c>
      <c r="I21" s="5"/>
    </row>
    <row r="22" spans="1:9" ht="104.4" x14ac:dyDescent="0.25">
      <c r="A22" s="16"/>
      <c r="B22" s="17">
        <v>18</v>
      </c>
      <c r="C22" s="2" t="b">
        <f ca="1">IFERROR(__xludf.DUMMYFUNCTION("""COMPUTED_VALUE"""),FALSE)</f>
        <v>0</v>
      </c>
      <c r="D22" s="2">
        <f ca="1">IFERROR(__xludf.DUMMYFUNCTION("""COMPUTED_VALUE"""),100)</f>
        <v>100</v>
      </c>
      <c r="E22" s="2" t="str">
        <f ca="1">IFERROR(__xludf.DUMMYFUNCTION("""COMPUTED_VALUE"""),"Promise Ring")</f>
        <v>Promise Ring</v>
      </c>
      <c r="F22" s="2" t="str">
        <f ca="1">IFERROR(__xludf.DUMMYFUNCTION("""COMPUTED_VALUE"""),"Azur Lane")</f>
        <v>Azur Lane</v>
      </c>
      <c r="G22" s="2" t="str">
        <f ca="1">IFERROR(__xludf.DUMMYFUNCTION("""COMPUTED_VALUE"""),"Relationships")</f>
        <v>Relationships</v>
      </c>
      <c r="H22" s="2" t="str">
        <f ca="1">IFERROR(__xludf.DUMMYFUNCTION("""COMPUTED_VALUE"""),"Do you love that Ship-girl? Do you want to show her  that you care? Of course you do. This absolutely beautiful diamond wedding band is the crystallization of your love… not really. But she’ll adore you even more once you give it to her. Once you gift thi"&amp;"s ring to your Ship-girl she will receive a stunning wedding dress from Command as an item she can summon that she will happily wear everywhere you’ll let her get away with it, and a certificate that formalizes your marriage (it works and is offical). You"&amp;" receive another Ring every month. I imagine any non-Ship-girl would adore it to.")</f>
        <v>Do you love that Ship-girl? Do you want to show her  that you care? Of course you do. This absolutely beautiful diamond wedding band is the crystallization of your love… not really. But she’ll adore you even more once you give it to her. Once you gift this ring to your Ship-girl she will receive a stunning wedding dress from Command as an item she can summon that she will happily wear everywhere you’ll let her get away with it, and a certificate that formalizes your marriage (it works and is offical). You receive another Ring every month. I imagine any non-Ship-girl would adore it to.</v>
      </c>
      <c r="I22" s="5"/>
    </row>
    <row r="23" spans="1:9" ht="87" x14ac:dyDescent="0.25">
      <c r="A23" s="16"/>
      <c r="B23" s="17">
        <v>19</v>
      </c>
      <c r="C23" s="2" t="b">
        <f ca="1">IFERROR(__xludf.DUMMYFUNCTION("""COMPUTED_VALUE"""),FALSE)</f>
        <v>0</v>
      </c>
      <c r="D23" s="2">
        <f ca="1">IFERROR(__xludf.DUMMYFUNCTION("""COMPUTED_VALUE"""),100)</f>
        <v>100</v>
      </c>
      <c r="E23" s="2" t="str">
        <f ca="1">IFERROR(__xludf.DUMMYFUNCTION("""COMPUTED_VALUE"""),"Sigil")</f>
        <v>Sigil</v>
      </c>
      <c r="F23" s="2" t="str">
        <f ca="1">IFERROR(__xludf.DUMMYFUNCTION("""COMPUTED_VALUE"""),"Collar 6")</f>
        <v>Collar 6</v>
      </c>
      <c r="G23" s="2" t="str">
        <f ca="1">IFERROR(__xludf.DUMMYFUNCTION("""COMPUTED_VALUE"""),"Relationships")</f>
        <v>Relationships</v>
      </c>
      <c r="H23" s="2" t="str">
        <f ca="1">IFERROR(__xludf.DUMMYFUNCTION("""COMPUTED_VALUE"""),"A symbol that represents you and your authority as a dominant within a relationship. It can take any number of shapes, from a jewel to a tattoo, but it can only be used on someone to whom it is freely given and who freely accepts to carry it with the full"&amp;" understanding of what it represents. As long as these conditions are met, you will always be able to tell the rough location and emotional state of anyone who carries your mark.")</f>
        <v>A symbol that represents you and your authority as a dominant within a relationship. It can take any number of shapes, from a jewel to a tattoo, but it can only be used on someone to whom it is freely given and who freely accepts to carry it with the full understanding of what it represents. As long as these conditions are met, you will always be able to tell the rough location and emotional state of anyone who carries your mark.</v>
      </c>
      <c r="I23" s="5"/>
    </row>
    <row r="24" spans="1:9" ht="69.599999999999994" x14ac:dyDescent="0.25">
      <c r="A24" s="16"/>
      <c r="B24" s="17">
        <v>20</v>
      </c>
      <c r="C24" s="2" t="b">
        <f ca="1">IFERROR(__xludf.DUMMYFUNCTION("""COMPUTED_VALUE"""),FALSE)</f>
        <v>0</v>
      </c>
      <c r="D24" s="2">
        <f ca="1">IFERROR(__xludf.DUMMYFUNCTION("""COMPUTED_VALUE"""),100)</f>
        <v>100</v>
      </c>
      <c r="E24" s="2" t="str">
        <f ca="1">IFERROR(__xludf.DUMMYFUNCTION("""COMPUTED_VALUE"""),"Statistics")</f>
        <v>Statistics</v>
      </c>
      <c r="F24" s="2" t="str">
        <f ca="1">IFERROR(__xludf.DUMMYFUNCTION("""COMPUTED_VALUE"""),"Modded Skyrim")</f>
        <v>Modded Skyrim</v>
      </c>
      <c r="G24" s="2" t="str">
        <f ca="1">IFERROR(__xludf.DUMMYFUNCTION("""COMPUTED_VALUE"""),"Relationships")</f>
        <v>Relationships</v>
      </c>
      <c r="H24" s="2" t="str">
        <f ca="1">IFERROR(__xludf.DUMMYFUNCTION("""COMPUTED_VALUE"""),"Most people here think sex is fire and forget, or that it's okay to never see them again. You on the other hand, like to keep track. From small details to how many partners you've had, to how many they've had, to how many virgins you've s-lain, you now ha"&amp;"ve a menu screen listing out everything you can think of. The exact contents? Wank responsibly.")</f>
        <v>Most people here think sex is fire and forget, or that it's okay to never see them again. You on the other hand, like to keep track. From small details to how many partners you've had, to how many they've had, to how many virgins you've s-lain, you now have a menu screen listing out everything you can think of. The exact contents? Wank responsibly.</v>
      </c>
      <c r="I24" s="5"/>
    </row>
    <row r="25" spans="1:9" ht="191.4" x14ac:dyDescent="0.25">
      <c r="A25" s="16"/>
      <c r="B25" s="17">
        <v>21</v>
      </c>
      <c r="C25" s="2" t="b">
        <f ca="1">IFERROR(__xludf.DUMMYFUNCTION("""COMPUTED_VALUE"""),FALSE)</f>
        <v>0</v>
      </c>
      <c r="D25" s="2">
        <f ca="1">IFERROR(__xludf.DUMMYFUNCTION("""COMPUTED_VALUE"""),100)</f>
        <v>100</v>
      </c>
      <c r="E25" s="2" t="str">
        <f ca="1">IFERROR(__xludf.DUMMYFUNCTION("""COMPUTED_VALUE"""),"Supply and Demand")</f>
        <v>Supply and Demand</v>
      </c>
      <c r="F25" s="2" t="str">
        <f ca="1">IFERROR(__xludf.DUMMYFUNCTION("""COMPUTED_VALUE"""),"Angel Academy ~ Hardcore Dorm Sex Life")</f>
        <v>Angel Academy ~ Hardcore Dorm Sex Life</v>
      </c>
      <c r="G25" s="2" t="str">
        <f ca="1">IFERROR(__xludf.DUMMYFUNCTION("""COMPUTED_VALUE"""),"Relationships")</f>
        <v>Relationships</v>
      </c>
      <c r="H25" s="2" t="str">
        <f ca="1">IFERROR(__xludf.DUMMYFUNCTION("""COMPUTED_VALUE"""),"With only one guy in a school of hundreds of girls certain compromises simply have to be made. Forcing him to choose between dozens if not hundreds of girls means almost everyone loses after all, so why not simply share him instead? From now on in any soc"&amp;"ial group in which your gender is outnumbered by your preferred gender, polygamy and polyamory becomes the default expectation rather than monogamy. Further, the dominant gender will become more interested in you and more competitive for your attention as"&amp;" the gender ratio becomes more one-sided. While this will never escalate into violence or jealousy, it does mean that you can expect to be showered with gifts and favors from the opposite sex as they try to bribe you for the chance to spend time with you."&amp;" This perk works just as well if you’re the only boy in a school of hundreds of girls or the only girl on a sports team of ten boys, though it will only affect people in that social group based on the group’s individual gender ratio.")</f>
        <v>With only one guy in a school of hundreds of girls certain compromises simply have to be made. Forcing him to choose between dozens if not hundreds of girls means almost everyone loses after all, so why not simply share him instead? From now on in any social group in which your gender is outnumbered by your preferred gender, polygamy and polyamory becomes the default expectation rather than monogamy. Further, the dominant gender will become more interested in you and more competitive for your attention as the gender ratio becomes more one-sided. While this will never escalate into violence or jealousy, it does mean that you can expect to be showered with gifts and favors from the opposite sex as they try to bribe you for the chance to spend time with you. This perk works just as well if you’re the only boy in a school of hundreds of girls or the only girl on a sports team of ten boys, though it will only affect people in that social group based on the group’s individual gender ratio.</v>
      </c>
      <c r="I25" s="5"/>
    </row>
    <row r="26" spans="1:9" ht="139.19999999999999" x14ac:dyDescent="0.25">
      <c r="A26" s="16"/>
      <c r="B26" s="17">
        <v>22</v>
      </c>
      <c r="C26" s="2" t="b">
        <f ca="1">IFERROR(__xludf.DUMMYFUNCTION("""COMPUTED_VALUE"""),FALSE)</f>
        <v>0</v>
      </c>
      <c r="D26" s="2">
        <f ca="1">IFERROR(__xludf.DUMMYFUNCTION("""COMPUTED_VALUE"""),100)</f>
        <v>100</v>
      </c>
      <c r="E26" s="2" t="str">
        <f ca="1">IFERROR(__xludf.DUMMYFUNCTION("""COMPUTED_VALUE"""),"Taking Care of Business")</f>
        <v>Taking Care of Business</v>
      </c>
      <c r="F26" s="2" t="str">
        <f ca="1">IFERROR(__xludf.DUMMYFUNCTION("""COMPUTED_VALUE"""),"Fate/Loli Order")</f>
        <v>Fate/Loli Order</v>
      </c>
      <c r="G26" s="2" t="str">
        <f ca="1">IFERROR(__xludf.DUMMYFUNCTION("""COMPUTED_VALUE"""),"Relationships")</f>
        <v>Relationships</v>
      </c>
      <c r="H26" s="2" t="str">
        <f ca="1">IFERROR(__xludf.DUMMYFUNCTION("""COMPUTED_VALUE"""),"Being one of Chaldea's masters is a big job. You've got singularities to close, servants to train, materials to farm, stalkers to avoid... one could be forgiven if they thought you'd lose track of some of your friends or servants with so much on your plat"&amp;"e, or that you wouldn't notice if something was wrong with them. Not so: no matter how busy you get you can always squeeze in a few minutes in between other tasks to spend time with people you care about, even if it's just long enough to ask how their day"&amp;" is going or to have a quickie in a storage closet or something. You're also perceptive enough to tell when something is bothering them, or when they're not acting entirely like themselves...")</f>
        <v>Being one of Chaldea's masters is a big job. You've got singularities to close, servants to train, materials to farm, stalkers to avoid... one could be forgiven if they thought you'd lose track of some of your friends or servants with so much on your plate, or that you wouldn't notice if something was wrong with them. Not so: no matter how busy you get you can always squeeze in a few minutes in between other tasks to spend time with people you care about, even if it's just long enough to ask how their day is going or to have a quickie in a storage closet or something. You're also perceptive enough to tell when something is bothering them, or when they're not acting entirely like themselves...</v>
      </c>
      <c r="I26" s="5"/>
    </row>
    <row r="27" spans="1:9" ht="52.2" x14ac:dyDescent="0.25">
      <c r="A27" s="16"/>
      <c r="B27" s="17">
        <v>23</v>
      </c>
      <c r="C27" s="2" t="b">
        <f ca="1">IFERROR(__xludf.DUMMYFUNCTION("""COMPUTED_VALUE"""),FALSE)</f>
        <v>0</v>
      </c>
      <c r="D27" s="2">
        <f ca="1">IFERROR(__xludf.DUMMYFUNCTION("""COMPUTED_VALUE"""),100)</f>
        <v>100</v>
      </c>
      <c r="E27" s="2" t="str">
        <f ca="1">IFERROR(__xludf.DUMMYFUNCTION("""COMPUTED_VALUE"""),"They Gave up a Long Time Ago")</f>
        <v>They Gave up a Long Time Ago</v>
      </c>
      <c r="F27" s="2" t="str">
        <f ca="1">IFERROR(__xludf.DUMMYFUNCTION("""COMPUTED_VALUE"""),"World of Moral Reversal")</f>
        <v>World of Moral Reversal</v>
      </c>
      <c r="G27" s="2" t="str">
        <f ca="1">IFERROR(__xludf.DUMMYFUNCTION("""COMPUTED_VALUE"""),"Relationships")</f>
        <v>Relationships</v>
      </c>
      <c r="H27" s="2" t="str">
        <f ca="1">IFERROR(__xludf.DUMMYFUNCTION("""COMPUTED_VALUE"""),"Your friends and family never feel the need to ostracize you for your perversion. In fact, by treating perversion as something normal, you can become a source of assurance for those secretly harboring similar urges. Letting fellow perverts know that they "&amp;"aren’t alone.")</f>
        <v>Your friends and family never feel the need to ostracize you for your perversion. In fact, by treating perversion as something normal, you can become a source of assurance for those secretly harboring similar urges. Letting fellow perverts know that they aren’t alone.</v>
      </c>
      <c r="I27" s="5"/>
    </row>
    <row r="28" spans="1:9" ht="139.19999999999999" x14ac:dyDescent="0.25">
      <c r="A28" s="16"/>
      <c r="B28" s="17">
        <v>24</v>
      </c>
      <c r="C28" s="2" t="b">
        <f ca="1">IFERROR(__xludf.DUMMYFUNCTION("""COMPUTED_VALUE"""),FALSE)</f>
        <v>0</v>
      </c>
      <c r="D28" s="2">
        <f ca="1">IFERROR(__xludf.DUMMYFUNCTION("""COMPUTED_VALUE"""),100)</f>
        <v>100</v>
      </c>
      <c r="E28" s="2" t="str">
        <f ca="1">IFERROR(__xludf.DUMMYFUNCTION("""COMPUTED_VALUE"""),"Treasure Trove")</f>
        <v>Treasure Trove</v>
      </c>
      <c r="F28" s="2" t="str">
        <f ca="1">IFERROR(__xludf.DUMMYFUNCTION("""COMPUTED_VALUE"""),"A Change of Tactics V2.2")</f>
        <v>A Change of Tactics V2.2</v>
      </c>
      <c r="G28" s="2" t="str">
        <f ca="1">IFERROR(__xludf.DUMMYFUNCTION("""COMPUTED_VALUE"""),"Relationships")</f>
        <v>Relationships</v>
      </c>
      <c r="H28" s="2" t="str">
        <f ca="1">IFERROR(__xludf.DUMMYFUNCTION("""COMPUTED_VALUE"""),"Legends say that dragons once kept massive hoards of gold and jewels hidden away in their lairs, but the treasures that you collect are softer and sweeter and far more valuable than any jewel, and you’re not shy about showing them off to the world. This t"&amp;"reasure trove is a collection of valuable jewelry which you have collected or created, ranging from jeweled rings to sets of matching collars. In much the same way that a wife’s wedding ring declares her unavailable to other men, these artifacts subtly ma"&amp;"rk the bearers as your property, warding off attention from potential rivals as if you were looming menacingly over their shoulder. Naturally, the more powerful you grow the more effective this protection becomes.")</f>
        <v>Legends say that dragons once kept massive hoards of gold and jewels hidden away in their lairs, but the treasures that you collect are softer and sweeter and far more valuable than any jewel, and you’re not shy about showing them off to the world. This treasure trove is a collection of valuable jewelry which you have collected or created, ranging from jeweled rings to sets of matching collars. In much the same way that a wife’s wedding ring declares her unavailable to other men, these artifacts subtly mark the bearers as your property, warding off attention from potential rivals as if you were looming menacingly over their shoulder. Naturally, the more powerful you grow the more effective this protection becomes.</v>
      </c>
      <c r="I28" s="5"/>
    </row>
    <row r="29" spans="1:9" ht="87" x14ac:dyDescent="0.25">
      <c r="A29" s="16"/>
      <c r="B29" s="17">
        <v>25</v>
      </c>
      <c r="C29" s="2" t="b">
        <f ca="1">IFERROR(__xludf.DUMMYFUNCTION("""COMPUTED_VALUE"""),FALSE)</f>
        <v>0</v>
      </c>
      <c r="D29" s="2">
        <f ca="1">IFERROR(__xludf.DUMMYFUNCTION("""COMPUTED_VALUE"""),100)</f>
        <v>100</v>
      </c>
      <c r="E29" s="2" t="str">
        <f ca="1">IFERROR(__xludf.DUMMYFUNCTION("""COMPUTED_VALUE"""),"Unbridled Lust")</f>
        <v>Unbridled Lust</v>
      </c>
      <c r="F29" s="2" t="str">
        <f ca="1">IFERROR(__xludf.DUMMYFUNCTION("""COMPUTED_VALUE"""),"Fate/Horse Order")</f>
        <v>Fate/Horse Order</v>
      </c>
      <c r="G29" s="2" t="str">
        <f ca="1">IFERROR(__xludf.DUMMYFUNCTION("""COMPUTED_VALUE"""),"Relationships")</f>
        <v>Relationships</v>
      </c>
      <c r="H29" s="2" t="str">
        <f ca="1">IFERROR(__xludf.DUMMYFUNCTION("""COMPUTED_VALUE"""),"As a mere beast, it’s unlikely that humanity would allow you to remain your own master for long. Dogs may not be beasts of burden the way a horse is, but a pig might be in danger of becoming dinner. And it would be a real shame if you were to go out in su"&amp;"ch a simple manner - a bit of insurance is needed. Any time a person could be said to be your owner, your master, or another similar title, they will rapidly develop lusts that involve you in some shape or form.")</f>
        <v>As a mere beast, it’s unlikely that humanity would allow you to remain your own master for long. Dogs may not be beasts of burden the way a horse is, but a pig might be in danger of becoming dinner. And it would be a real shame if you were to go out in such a simple manner - a bit of insurance is needed. Any time a person could be said to be your owner, your master, or another similar title, they will rapidly develop lusts that involve you in some shape or form.</v>
      </c>
      <c r="I29" s="5"/>
    </row>
    <row r="30" spans="1:9" ht="121.8" x14ac:dyDescent="0.25">
      <c r="A30" s="16"/>
      <c r="B30" s="17">
        <v>26</v>
      </c>
      <c r="C30" s="2" t="b">
        <f ca="1">IFERROR(__xludf.DUMMYFUNCTION("""COMPUTED_VALUE"""),FALSE)</f>
        <v>0</v>
      </c>
      <c r="D30" s="2">
        <f ca="1">IFERROR(__xludf.DUMMYFUNCTION("""COMPUTED_VALUE"""),200)</f>
        <v>200</v>
      </c>
      <c r="E30" s="2" t="str">
        <f ca="1">IFERROR(__xludf.DUMMYFUNCTION("""COMPUTED_VALUE"""),"“As a succubus, this is fine!” ")</f>
        <v xml:space="preserve">“As a succubus, this is fine!” </v>
      </c>
      <c r="F30" s="2" t="str">
        <f ca="1">IFERROR(__xludf.DUMMYFUNCTION("""COMPUTED_VALUE"""),"Although Young People Recoil from Entering the Black Magic Industry...")</f>
        <v>Although Young People Recoil from Entering the Black Magic Industry...</v>
      </c>
      <c r="G30" s="2" t="str">
        <f ca="1">IFERROR(__xludf.DUMMYFUNCTION("""COMPUTED_VALUE"""),"Relationships")</f>
        <v>Relationships</v>
      </c>
      <c r="H30" s="2" t="str">
        <f ca="1">IFERROR(__xludf.DUMMYFUNCTION("""COMPUTED_VALUE"""),"You having a prolific sex life, even if it’s outside of an existing relationship or extra-marital, is seen by others as a positive thing, although they might have different opinions as to why. A girlfriend might see her boyfriend fucking a stream of diffe"&amp;"rent women as raising his value as a man, a succubus familiar might be proud to show off her master’s “goods”, and an overprotective brother might view his sister’s dozens of paramours as finally giving her as much attention as she deserves. Conversely, h"&amp;"aving sex with only a single person, or not having sex at all, does not diminish your social status.")</f>
        <v>You having a prolific sex life, even if it’s outside of an existing relationship or extra-marital, is seen by others as a positive thing, although they might have different opinions as to why. A girlfriend might see her boyfriend fucking a stream of different women as raising his value as a man, a succubus familiar might be proud to show off her master’s “goods”, and an overprotective brother might view his sister’s dozens of paramours as finally giving her as much attention as she deserves. Conversely, having sex with only a single person, or not having sex at all, does not diminish your social status.</v>
      </c>
      <c r="I30" s="5"/>
    </row>
    <row r="31" spans="1:9" ht="87" x14ac:dyDescent="0.25">
      <c r="A31" s="16"/>
      <c r="B31" s="17">
        <v>27</v>
      </c>
      <c r="C31" s="2" t="b">
        <f ca="1">IFERROR(__xludf.DUMMYFUNCTION("""COMPUTED_VALUE"""),FALSE)</f>
        <v>0</v>
      </c>
      <c r="D31" s="2">
        <f ca="1">IFERROR(__xludf.DUMMYFUNCTION("""COMPUTED_VALUE"""),200)</f>
        <v>200</v>
      </c>
      <c r="E31" s="2" t="str">
        <f ca="1">IFERROR(__xludf.DUMMYFUNCTION("""COMPUTED_VALUE"""),"“So like, why not just have an orgy?”")</f>
        <v>“So like, why not just have an orgy?”</v>
      </c>
      <c r="F31" s="2" t="str">
        <f ca="1">IFERROR(__xludf.DUMMYFUNCTION("""COMPUTED_VALUE"""),"Burakku Gakkou Ni Tsutomete Shimatta Sensei")</f>
        <v>Burakku Gakkou Ni Tsutomete Shimatta Sensei</v>
      </c>
      <c r="G31" s="2" t="str">
        <f ca="1">IFERROR(__xludf.DUMMYFUNCTION("""COMPUTED_VALUE"""),"Relationships")</f>
        <v>Relationships</v>
      </c>
      <c r="H31" s="2" t="str">
        <f ca="1">IFERROR(__xludf.DUMMYFUNCTION("""COMPUTED_VALUE"""),"Polyamory is all too often dismissed as an option in stories, but you know that it’s a perfectly acceptable solution to love polygons. People are just more willing to accept a polyamorous or polygamous relationship with you (and honestly, relationships ar"&amp;"e optional—if someone would be open to having sex with you in the first place, they’d be fine with group sex).")</f>
        <v>Polyamory is all too often dismissed as an option in stories, but you know that it’s a perfectly acceptable solution to love polygons. People are just more willing to accept a polyamorous or polygamous relationship with you (and honestly, relationships are optional—if someone would be open to having sex with you in the first place, they’d be fine with group sex).</v>
      </c>
      <c r="I31" s="5"/>
    </row>
    <row r="32" spans="1:9" ht="69.599999999999994" x14ac:dyDescent="0.25">
      <c r="A32" s="16"/>
      <c r="B32" s="17">
        <v>28</v>
      </c>
      <c r="C32" s="2" t="b">
        <f ca="1">IFERROR(__xludf.DUMMYFUNCTION("""COMPUTED_VALUE"""),FALSE)</f>
        <v>0</v>
      </c>
      <c r="D32" s="2">
        <f ca="1">IFERROR(__xludf.DUMMYFUNCTION("""COMPUTED_VALUE"""),200)</f>
        <v>200</v>
      </c>
      <c r="E32" s="2" t="str">
        <f ca="1">IFERROR(__xludf.DUMMYFUNCTION("""COMPUTED_VALUE"""),"A Fine Man you can Protect")</f>
        <v>A Fine Man you can Protect</v>
      </c>
      <c r="F32" s="2" t="str">
        <f ca="1">IFERROR(__xludf.DUMMYFUNCTION("""COMPUTED_VALUE"""),"Sei So Tsui Dan Sha")</f>
        <v>Sei So Tsui Dan Sha</v>
      </c>
      <c r="G32" s="2" t="str">
        <f ca="1">IFERROR(__xludf.DUMMYFUNCTION("""COMPUTED_VALUE"""),"Relationships")</f>
        <v>Relationships</v>
      </c>
      <c r="H32" s="2" t="str">
        <f ca="1">IFERROR(__xludf.DUMMYFUNCTION("""COMPUTED_VALUE"""),"Protecting those you care about it an incomparable treasure, but protecting those you don’t is just a thankless chore. As you protect others, they gradually find themselves naturally maturing, both internally and externally, into a person that you can res"&amp;"pect, or even love. They may still rely on you, even then, but it will at least be a more pleasant task.")</f>
        <v>Protecting those you care about it an incomparable treasure, but protecting those you don’t is just a thankless chore. As you protect others, they gradually find themselves naturally maturing, both internally and externally, into a person that you can respect, or even love. They may still rely on you, even then, but it will at least be a more pleasant task.</v>
      </c>
      <c r="I32" s="5"/>
    </row>
    <row r="33" spans="1:9" ht="87" x14ac:dyDescent="0.25">
      <c r="A33" s="16"/>
      <c r="B33" s="17">
        <v>29</v>
      </c>
      <c r="C33" s="2" t="b">
        <f ca="1">IFERROR(__xludf.DUMMYFUNCTION("""COMPUTED_VALUE"""),FALSE)</f>
        <v>0</v>
      </c>
      <c r="D33" s="2">
        <f ca="1">IFERROR(__xludf.DUMMYFUNCTION("""COMPUTED_VALUE"""),200)</f>
        <v>200</v>
      </c>
      <c r="E33" s="2" t="str">
        <f ca="1">IFERROR(__xludf.DUMMYFUNCTION("""COMPUTED_VALUE"""),"A Warm Lap")</f>
        <v>A Warm Lap</v>
      </c>
      <c r="F33" s="2" t="str">
        <f ca="1">IFERROR(__xludf.DUMMYFUNCTION("""COMPUTED_VALUE"""),"Generic: Incest")</f>
        <v>Generic: Incest</v>
      </c>
      <c r="G33" s="2" t="str">
        <f ca="1">IFERROR(__xludf.DUMMYFUNCTION("""COMPUTED_VALUE"""),"Relationships")</f>
        <v>Relationships</v>
      </c>
      <c r="H33" s="2" t="str">
        <f ca="1">IFERROR(__xludf.DUMMYFUNCTION("""COMPUTED_VALUE"""),"You always know just the right thing to say. When someone is struggling, or scared, or upset, calling you “a good shoulder to cry on” doesn’t even begin to cover it. You can turn a bad day into a happy memory. You know just when someone needs a hug, when "&amp;"they need space, when they need a distraction or advice or reassurance. All this may not seem like much, but around you, no one has rough patches. Over time, this can have a massive effect on people’s quality of life.")</f>
        <v>You always know just the right thing to say. When someone is struggling, or scared, or upset, calling you “a good shoulder to cry on” doesn’t even begin to cover it. You can turn a bad day into a happy memory. You know just when someone needs a hug, when they need space, when they need a distraction or advice or reassurance. All this may not seem like much, but around you, no one has rough patches. Over time, this can have a massive effect on people’s quality of life.</v>
      </c>
      <c r="I33" s="5"/>
    </row>
    <row r="34" spans="1:9" ht="104.4" x14ac:dyDescent="0.25">
      <c r="A34" s="16"/>
      <c r="B34" s="17">
        <v>30</v>
      </c>
      <c r="C34" s="2" t="b">
        <f ca="1">IFERROR(__xludf.DUMMYFUNCTION("""COMPUTED_VALUE"""),FALSE)</f>
        <v>0</v>
      </c>
      <c r="D34" s="2">
        <f ca="1">IFERROR(__xludf.DUMMYFUNCTION("""COMPUTED_VALUE"""),200)</f>
        <v>200</v>
      </c>
      <c r="E34" s="2" t="str">
        <f ca="1">IFERROR(__xludf.DUMMYFUNCTION("""COMPUTED_VALUE"""),"All the Time in the Fucking World")</f>
        <v>All the Time in the Fucking World</v>
      </c>
      <c r="F34" s="2" t="str">
        <f ca="1">IFERROR(__xludf.DUMMYFUNCTION("""COMPUTED_VALUE"""),"Generic: Hentai Modern")</f>
        <v>Generic: Hentai Modern</v>
      </c>
      <c r="G34" s="2" t="str">
        <f ca="1">IFERROR(__xludf.DUMMYFUNCTION("""COMPUTED_VALUE"""),"Relationships")</f>
        <v>Relationships</v>
      </c>
      <c r="H34" s="2" t="str">
        <f ca="1">IFERROR(__xludf.DUMMYFUNCTION("""COMPUTED_VALUE"""),"You know the problem with a harem? There’s never enough time in the day to both raise flags with the girls you want to sleep with, and to actually sleep with them. Seriously, if you want to get over that last hump, you have to take them out on some fancy,"&amp;" expensive, date. And that’s time you could have spent with the other girls. That’s why the two are now interchangeable. Some sex in the shower or an evening under the stars with a bottle of wine, both will make them fall further in love with you. Or you "&amp;"could go the other way and make handholding incredibly lewd.")</f>
        <v>You know the problem with a harem? There’s never enough time in the day to both raise flags with the girls you want to sleep with, and to actually sleep with them. Seriously, if you want to get over that last hump, you have to take them out on some fancy, expensive, date. And that’s time you could have spent with the other girls. That’s why the two are now interchangeable. Some sex in the shower or an evening under the stars with a bottle of wine, both will make them fall further in love with you. Or you could go the other way and make handholding incredibly lewd.</v>
      </c>
      <c r="I34" s="5"/>
    </row>
    <row r="35" spans="1:9" ht="139.19999999999999" x14ac:dyDescent="0.25">
      <c r="A35" s="16"/>
      <c r="B35" s="17">
        <v>31</v>
      </c>
      <c r="C35" s="2" t="b">
        <f ca="1">IFERROR(__xludf.DUMMYFUNCTION("""COMPUTED_VALUE"""),FALSE)</f>
        <v>0</v>
      </c>
      <c r="D35" s="2">
        <f ca="1">IFERROR(__xludf.DUMMYFUNCTION("""COMPUTED_VALUE"""),200)</f>
        <v>200</v>
      </c>
      <c r="E35" s="2" t="str">
        <f ca="1">IFERROR(__xludf.DUMMYFUNCTION("""COMPUTED_VALUE"""),"Begone Thots!")</f>
        <v>Begone Thots!</v>
      </c>
      <c r="F35" s="2" t="str">
        <f ca="1">IFERROR(__xludf.DUMMYFUNCTION("""COMPUTED_VALUE"""),"Fate/Grand Master")</f>
        <v>Fate/Grand Master</v>
      </c>
      <c r="G35" s="2" t="str">
        <f ca="1">IFERROR(__xludf.DUMMYFUNCTION("""COMPUTED_VALUE"""),"Relationships")</f>
        <v>Relationships</v>
      </c>
      <c r="H35" s="2" t="str">
        <f ca="1">IFERROR(__xludf.DUMMYFUNCTION("""COMPUTED_VALUE"""),"Chaldea has only one Master but many Servants, and therefore many rivals who might want to steal your Master’s attention away from you. But they’ll have to get up really early in the morning if they want to pull one over on you: simply having a romantic i"&amp;"nterest in someone is enough to hinder anyone else’s efforts to intrude on that relationship, barring any who had an interest before you. A shifty snake trying to sneak into your lover’s room at night finds her path coincidentally barred and her plans foi"&amp;"led without you even needing to raise a finger, and it only becomes harder and harder for your rivals to make any impact at all as your relationship develops and you grow ever closer to your beloved.")</f>
        <v>Chaldea has only one Master but many Servants, and therefore many rivals who might want to steal your Master’s attention away from you. But they’ll have to get up really early in the morning if they want to pull one over on you: simply having a romantic interest in someone is enough to hinder anyone else’s efforts to intrude on that relationship, barring any who had an interest before you. A shifty snake trying to sneak into your lover’s room at night finds her path coincidentally barred and her plans foiled without you even needing to raise a finger, and it only becomes harder and harder for your rivals to make any impact at all as your relationship develops and you grow ever closer to your beloved.</v>
      </c>
      <c r="I35" s="5"/>
    </row>
    <row r="36" spans="1:9" ht="121.8" x14ac:dyDescent="0.25">
      <c r="A36" s="16"/>
      <c r="B36" s="17">
        <v>32</v>
      </c>
      <c r="C36" s="2" t="b">
        <f ca="1">IFERROR(__xludf.DUMMYFUNCTION("""COMPUTED_VALUE"""),FALSE)</f>
        <v>0</v>
      </c>
      <c r="D36" s="2">
        <f ca="1">IFERROR(__xludf.DUMMYFUNCTION("""COMPUTED_VALUE"""),200)</f>
        <v>200</v>
      </c>
      <c r="E36" s="2" t="str">
        <f ca="1">IFERROR(__xludf.DUMMYFUNCTION("""COMPUTED_VALUE"""),"Cuck-Proofing")</f>
        <v>Cuck-Proofing</v>
      </c>
      <c r="F36" s="2" t="str">
        <f ca="1">IFERROR(__xludf.DUMMYFUNCTION("""COMPUTED_VALUE"""),"Although Young People Recoil from Entering the Black Magic Industry...")</f>
        <v>Although Young People Recoil from Entering the Black Magic Industry...</v>
      </c>
      <c r="G36" s="2" t="str">
        <f ca="1">IFERROR(__xludf.DUMMYFUNCTION("""COMPUTED_VALUE"""),"Relationships")</f>
        <v>Relationships</v>
      </c>
      <c r="H36" s="2" t="str">
        <f ca="1">IFERROR(__xludf.DUMMYFUNCTION("""COMPUTED_VALUE"""),"Franz got lucky, but you won’t need luck to keep your lover when the incubi and succubi come to play. At your discretion, people you’ve had sex with will simply never possess any desire to cheat on you, and cannot be coerced by mundane or supernatural mea"&amp;"ns to do so.")</f>
        <v>Franz got lucky, but you won’t need luck to keep your lover when the incubi and succubi come to play. At your discretion, people you’ve had sex with will simply never possess any desire to cheat on you, and cannot be coerced by mundane or supernatural means to do so.</v>
      </c>
      <c r="I36" s="5"/>
    </row>
    <row r="37" spans="1:9" ht="139.19999999999999" x14ac:dyDescent="0.25">
      <c r="A37" s="16"/>
      <c r="B37" s="17">
        <v>33</v>
      </c>
      <c r="C37" s="2" t="b">
        <f ca="1">IFERROR(__xludf.DUMMYFUNCTION("""COMPUTED_VALUE"""),FALSE)</f>
        <v>0</v>
      </c>
      <c r="D37" s="2">
        <f ca="1">IFERROR(__xludf.DUMMYFUNCTION("""COMPUTED_VALUE"""),200)</f>
        <v>200</v>
      </c>
      <c r="E37" s="2" t="str">
        <f ca="1">IFERROR(__xludf.DUMMYFUNCTION("""COMPUTED_VALUE"""),"Fool Me Once")</f>
        <v>Fool Me Once</v>
      </c>
      <c r="F37" s="2" t="str">
        <f ca="1">IFERROR(__xludf.DUMMYFUNCTION("""COMPUTED_VALUE"""),"Fate/Loli Order")</f>
        <v>Fate/Loli Order</v>
      </c>
      <c r="G37" s="2" t="str">
        <f ca="1">IFERROR(__xludf.DUMMYFUNCTION("""COMPUTED_VALUE"""),"Relationships")</f>
        <v>Relationships</v>
      </c>
      <c r="H37" s="2" t="str">
        <f ca="1">IFERROR(__xludf.DUMMYFUNCTION("""COMPUTED_VALUE"""),"Lev and Moriarty's betrayals may have taken all of Chaldea by surprise but you learned the right lessons from those incidents. You have become an excellent judge of character, and in much the same way that dogs are said to be able to smell ill intentions "&amp;"you get an instinctive bad feeling around those who mean harm towards you or those you care about. This manifests as something like the hairs on the back of your neck springing up or the taste of blood filling your mouth, not unlike how some mages can tas"&amp;"te or smell high concentrations of magical power. This sixth sense is both sharp and accurate, and you could pick out a single villainous Engineer in a crowd of unremarkable innocents if you needed to do so.")</f>
        <v>Lev and Moriarty's betrayals may have taken all of Chaldea by surprise but you learned the right lessons from those incidents. You have become an excellent judge of character, and in much the same way that dogs are said to be able to smell ill intentions you get an instinctive bad feeling around those who mean harm towards you or those you care about. This manifests as something like the hairs on the back of your neck springing up or the taste of blood filling your mouth, not unlike how some mages can taste or smell high concentrations of magical power. This sixth sense is both sharp and accurate, and you could pick out a single villainous Engineer in a crowd of unremarkable innocents if you needed to do so.</v>
      </c>
      <c r="I37" s="5"/>
    </row>
    <row r="38" spans="1:9" ht="156.6" x14ac:dyDescent="0.25">
      <c r="A38" s="16"/>
      <c r="B38" s="17">
        <v>34</v>
      </c>
      <c r="C38" s="2" t="b">
        <f ca="1">IFERROR(__xludf.DUMMYFUNCTION("""COMPUTED_VALUE"""),FALSE)</f>
        <v>0</v>
      </c>
      <c r="D38" s="2">
        <f ca="1">IFERROR(__xludf.DUMMYFUNCTION("""COMPUTED_VALUE"""),200)</f>
        <v>200</v>
      </c>
      <c r="E38" s="2" t="str">
        <f ca="1">IFERROR(__xludf.DUMMYFUNCTION("""COMPUTED_VALUE"""),"For Her Sake")</f>
        <v>For Her Sake</v>
      </c>
      <c r="F38" s="2" t="str">
        <f ca="1">IFERROR(__xludf.DUMMYFUNCTION("""COMPUTED_VALUE"""),"Shinmai Maou no Testament")</f>
        <v>Shinmai Maou no Testament</v>
      </c>
      <c r="G38" s="2" t="str">
        <f ca="1">IFERROR(__xludf.DUMMYFUNCTION("""COMPUTED_VALUE"""),"Relationships")</f>
        <v>Relationships</v>
      </c>
      <c r="H38" s="2" t="str">
        <f ca="1">IFERROR(__xludf.DUMMYFUNCTION("""COMPUTED_VALUE"""),"How can you call yourself a hero if you can’t even protect the people you love? You’re a stalwart guardian of your friends and loved ones with a finely-honed sixth sense tuned to their safety, a mix of empathy and intuition which will help you guard them "&amp;"more effectively. As long as you’re in line of sight of a person you want to protect you can immediately interpose yourself between them and anything that threatens them, all but teleporting across the distance between you to do so. If you’re further away"&amp;" a sense of impending doom will alert you to their peril and guide you to their side in time to help them. This heightened empathy also helps you determine how to help them even when they’re not in danger, whether they’re in need of a shoulder to cry on, "&amp;"a gentle slap upside the head, or just some time to themselves.")</f>
        <v>How can you call yourself a hero if you can’t even protect the people you love? You’re a stalwart guardian of your friends and loved ones with a finely-honed sixth sense tuned to their safety, a mix of empathy and intuition which will help you guard them more effectively. As long as you’re in line of sight of a person you want to protect you can immediately interpose yourself between them and anything that threatens them, all but teleporting across the distance between you to do so. If you’re further away a sense of impending doom will alert you to their peril and guide you to their side in time to help them. This heightened empathy also helps you determine how to help them even when they’re not in danger, whether they’re in need of a shoulder to cry on, a gentle slap upside the head, or just some time to themselves.</v>
      </c>
      <c r="I38" s="5"/>
    </row>
    <row r="39" spans="1:9" ht="104.4" x14ac:dyDescent="0.25">
      <c r="A39" s="16"/>
      <c r="B39" s="17">
        <v>35</v>
      </c>
      <c r="C39" s="2" t="b">
        <f ca="1">IFERROR(__xludf.DUMMYFUNCTION("""COMPUTED_VALUE"""),FALSE)</f>
        <v>0</v>
      </c>
      <c r="D39" s="2">
        <f ca="1">IFERROR(__xludf.DUMMYFUNCTION("""COMPUTED_VALUE"""),200)</f>
        <v>200</v>
      </c>
      <c r="E39" s="2" t="str">
        <f ca="1">IFERROR(__xludf.DUMMYFUNCTION("""COMPUTED_VALUE"""),"Friends with Benefits")</f>
        <v>Friends with Benefits</v>
      </c>
      <c r="F39" s="2" t="str">
        <f ca="1">IFERROR(__xludf.DUMMYFUNCTION("""COMPUTED_VALUE"""),"Generic: Hentai World")</f>
        <v>Generic: Hentai World</v>
      </c>
      <c r="G39" s="2" t="str">
        <f ca="1">IFERROR(__xludf.DUMMYFUNCTION("""COMPUTED_VALUE"""),"Relationships")</f>
        <v>Relationships</v>
      </c>
      <c r="H39" s="2" t="str">
        <f ca="1">IFERROR(__xludf.DUMMYFUNCTION("""COMPUTED_VALUE"""),"Any sex or intimacy you have with someone who is already friendly towards you (or at least is faking it) never has a negative effect on emotional and social relationships so long as there is no desire on your part to change the relationship. Conversely, t"&amp;"he closer you are emotionally and socially to someone, the less bothered they will be by the idea of 'helping' in sexual matters. This can include things like your married friend letting you blow off a little steam by practicing blowjobs on him or, if you"&amp;"'re a guy, getting a chance to test out that fucking machine on your lesbian BFF.")</f>
        <v>Any sex or intimacy you have with someone who is already friendly towards you (or at least is faking it) never has a negative effect on emotional and social relationships so long as there is no desire on your part to change the relationship. Conversely, the closer you are emotionally and socially to someone, the less bothered they will be by the idea of 'helping' in sexual matters. This can include things like your married friend letting you blow off a little steam by practicing blowjobs on him or, if you're a guy, getting a chance to test out that fucking machine on your lesbian BFF.</v>
      </c>
      <c r="I39" s="5"/>
    </row>
    <row r="40" spans="1:9" ht="174" x14ac:dyDescent="0.25">
      <c r="A40" s="16"/>
      <c r="B40" s="17">
        <v>36</v>
      </c>
      <c r="C40" s="2" t="b">
        <f ca="1">IFERROR(__xludf.DUMMYFUNCTION("""COMPUTED_VALUE"""),FALSE)</f>
        <v>0</v>
      </c>
      <c r="D40" s="2">
        <f ca="1">IFERROR(__xludf.DUMMYFUNCTION("""COMPUTED_VALUE"""),200)</f>
        <v>200</v>
      </c>
      <c r="E40" s="2" t="str">
        <f ca="1">IFERROR(__xludf.DUMMYFUNCTION("""COMPUTED_VALUE"""),"Harem [Zookeeper] Protagonist")</f>
        <v>Harem [Zookeeper] Protagonist</v>
      </c>
      <c r="F40" s="2" t="str">
        <f ca="1">IFERROR(__xludf.DUMMYFUNCTION("""COMPUTED_VALUE"""),"Kemokko Zoo")</f>
        <v>Kemokko Zoo</v>
      </c>
      <c r="G40" s="2" t="str">
        <f ca="1">IFERROR(__xludf.DUMMYFUNCTION("""COMPUTED_VALUE"""),"Relationships")</f>
        <v>Relationships</v>
      </c>
      <c r="H40" s="2" t="str">
        <f ca="1">IFERROR(__xludf.DUMMYFUNCTION("""COMPUTED_VALUE"""),"You have a special way with animals, becoming their dearest friend...maybe more than friends. You have increased charisma towards animals, as well as nonhumans that have enough animal-like features. The perk draws upon your own personality and character t"&amp;"o work, rather than physical appearance, such that other charisma and animal-handling powers will strengthen its effectiveness.
More than that, you can leave lasting, impactful impressions with them that will shape their life, like an otherwise forgetfu"&amp;"l ostrich still remembering how you named her and inspired her to fly, or a crow remembering and yearning for you years after you saved her life and last interacted with her. Animals and the like affected by the perk may also become attracted to you roman"&amp;"tically and sexually even if that wouldn’t normally fit with their species’ biology or social behavior.")</f>
        <v>You have a special way with animals, becoming their dearest friend...maybe more than friends. You have increased charisma towards animals, as well as nonhumans that have enough animal-like features. The perk draws upon your own personality and character to work, rather than physical appearance, such that other charisma and animal-handling powers will strengthen its effectiveness.
More than that, you can leave lasting, impactful impressions with them that will shape their life, like an otherwise forgetful ostrich still remembering how you named her and inspired her to fly, or a crow remembering and yearning for you years after you saved her life and last interacted with her. Animals and the like affected by the perk may also become attracted to you romantically and sexually even if that wouldn’t normally fit with their species’ biology or social behavior.</v>
      </c>
      <c r="I40" s="5"/>
    </row>
    <row r="41" spans="1:9" ht="139.19999999999999" x14ac:dyDescent="0.25">
      <c r="A41" s="16"/>
      <c r="B41" s="17">
        <v>37</v>
      </c>
      <c r="C41" s="2" t="b">
        <f ca="1">IFERROR(__xludf.DUMMYFUNCTION("""COMPUTED_VALUE"""),FALSE)</f>
        <v>0</v>
      </c>
      <c r="D41" s="2">
        <f ca="1">IFERROR(__xludf.DUMMYFUNCTION("""COMPUTED_VALUE"""),200)</f>
        <v>200</v>
      </c>
      <c r="E41" s="2" t="str">
        <f ca="1">IFERROR(__xludf.DUMMYFUNCTION("""COMPUTED_VALUE"""),"Left you Love Notes on their Headstones")</f>
        <v>Left you Love Notes on their Headstones</v>
      </c>
      <c r="F41" s="2" t="str">
        <f ca="1">IFERROR(__xludf.DUMMYFUNCTION("""COMPUTED_VALUE"""),"World of Lewd Horror")</f>
        <v>World of Lewd Horror</v>
      </c>
      <c r="G41" s="2" t="str">
        <f ca="1">IFERROR(__xludf.DUMMYFUNCTION("""COMPUTED_VALUE"""),"Relationships")</f>
        <v>Relationships</v>
      </c>
      <c r="H41" s="2" t="str">
        <f ca="1">IFERROR(__xludf.DUMMYFUNCTION("""COMPUTED_VALUE"""),"Whether you’ve found the woman you believe to be your reincarnated love, constantly dream of how you want to punish the girl who dared to move into the house you haunt, or simply prefer to focus on a single victim at a time, sometimes you want to really g"&amp;"et in someone’s head. The more you obsess over a specific person, the more you begin to understand everything about them. Even if you have no way of knowing, you instinctively grasp exactly how to frighten, arouse, stalk, help, work alongside, kill, fuck,"&amp;" or manipulate the object of your mania. This spreads to a much less extent to your romantic rivals or others who would get in the way of your relationship with your target, though for them you only get better at opposing and harming them.")</f>
        <v>Whether you’ve found the woman you believe to be your reincarnated love, constantly dream of how you want to punish the girl who dared to move into the house you haunt, or simply prefer to focus on a single victim at a time, sometimes you want to really get in someone’s head. The more you obsess over a specific person, the more you begin to understand everything about them. Even if you have no way of knowing, you instinctively grasp exactly how to frighten, arouse, stalk, help, work alongside, kill, fuck, or manipulate the object of your mania. This spreads to a much less extent to your romantic rivals or others who would get in the way of your relationship with your target, though for them you only get better at opposing and harming them.</v>
      </c>
      <c r="I41" s="5"/>
    </row>
    <row r="42" spans="1:9" ht="87" x14ac:dyDescent="0.25">
      <c r="A42" s="16"/>
      <c r="B42" s="17">
        <v>38</v>
      </c>
      <c r="C42" s="2" t="b">
        <f ca="1">IFERROR(__xludf.DUMMYFUNCTION("""COMPUTED_VALUE"""),FALSE)</f>
        <v>0</v>
      </c>
      <c r="D42" s="2">
        <f ca="1">IFERROR(__xludf.DUMMYFUNCTION("""COMPUTED_VALUE"""),200)</f>
        <v>200</v>
      </c>
      <c r="E42" s="2" t="str">
        <f ca="1">IFERROR(__xludf.DUMMYFUNCTION("""COMPUTED_VALUE"""),"Looking for Concubines")</f>
        <v>Looking for Concubines</v>
      </c>
      <c r="F42" s="2" t="str">
        <f ca="1">IFERROR(__xludf.DUMMYFUNCTION("""COMPUTED_VALUE"""),"My Bride is the Demon Lord")</f>
        <v>My Bride is the Demon Lord</v>
      </c>
      <c r="G42" s="2" t="str">
        <f ca="1">IFERROR(__xludf.DUMMYFUNCTION("""COMPUTED_VALUE"""),"Relationships")</f>
        <v>Relationships</v>
      </c>
      <c r="H42" s="2" t="str">
        <f ca="1">IFERROR(__xludf.DUMMYFUNCTION("""COMPUTED_VALUE"""),"A Hero’s lusts run deep, and get deeper with time. As a Demon Lord, it’s your responsibility to keep your Hero satisfied, but you also have all those duties as leader of demonkind. The answer? Build the Hero a harem. As it turns out, this will be quite ea"&amp;"sy for you. As long as someone would be fine with a monoamorous relationship with your lover (or with you), they won’t have a problem with being part of a polyamorous relationship instead.")</f>
        <v>A Hero’s lusts run deep, and get deeper with time. As a Demon Lord, it’s your responsibility to keep your Hero satisfied, but you also have all those duties as leader of demonkind. The answer? Build the Hero a harem. As it turns out, this will be quite easy for you. As long as someone would be fine with a monoamorous relationship with your lover (or with you), they won’t have a problem with being part of a polyamorous relationship instead.</v>
      </c>
      <c r="I42" s="5"/>
    </row>
    <row r="43" spans="1:9" ht="121.8" x14ac:dyDescent="0.25">
      <c r="A43" s="16"/>
      <c r="B43" s="17">
        <v>39</v>
      </c>
      <c r="C43" s="2" t="b">
        <f ca="1">IFERROR(__xludf.DUMMYFUNCTION("""COMPUTED_VALUE"""),FALSE)</f>
        <v>0</v>
      </c>
      <c r="D43" s="2">
        <f ca="1">IFERROR(__xludf.DUMMYFUNCTION("""COMPUTED_VALUE"""),200)</f>
        <v>200</v>
      </c>
      <c r="E43" s="2" t="str">
        <f ca="1">IFERROR(__xludf.DUMMYFUNCTION("""COMPUTED_VALUE"""),"Love 'em and Leave 'em")</f>
        <v>Love 'em and Leave 'em</v>
      </c>
      <c r="F43" s="2" t="str">
        <f ca="1">IFERROR(__xludf.DUMMYFUNCTION("""COMPUTED_VALUE"""),"Pokemon Harem Master")</f>
        <v>Pokemon Harem Master</v>
      </c>
      <c r="G43" s="2" t="str">
        <f ca="1">IFERROR(__xludf.DUMMYFUNCTION("""COMPUTED_VALUE"""),"Relationships")</f>
        <v>Relationships</v>
      </c>
      <c r="H43" s="2" t="str">
        <f ca="1">IFERROR(__xludf.DUMMYFUNCTION("""COMPUTED_VALUE"""),"Omni’s new hypnosis abilities are great and all, but if he wants to catch them all, he’s going to have to actually go out and leave his lovely neighbor alone in her home. And while the H Ball experiment showed no signs of wearing off, that doesn’t mean it"&amp;" won’t. Luckily for you, time has no effect on your... alterations. Sure, they can be unbrainwashed by force, maybe even brainwashed again, whatever manner of ‘cure’ you want to imagine. But, simply fading away? Sorry, not gonna happen. That lovely mother"&amp;" will be more than willing to welcome you into her home in a decade as she was last night. Assuming of course no one meddles in your affairs.")</f>
        <v>Omni’s new hypnosis abilities are great and all, but if he wants to catch them all, he’s going to have to actually go out and leave his lovely neighbor alone in her home. And while the H Ball experiment showed no signs of wearing off, that doesn’t mean it won’t. Luckily for you, time has no effect on your... alterations. Sure, they can be unbrainwashed by force, maybe even brainwashed again, whatever manner of ‘cure’ you want to imagine. But, simply fading away? Sorry, not gonna happen. That lovely mother will be more than willing to welcome you into her home in a decade as she was last night. Assuming of course no one meddles in your affairs.</v>
      </c>
      <c r="I43" s="5"/>
    </row>
    <row r="44" spans="1:9" ht="156.6" x14ac:dyDescent="0.25">
      <c r="A44" s="16"/>
      <c r="B44" s="17">
        <v>40</v>
      </c>
      <c r="C44" s="2" t="b">
        <f ca="1">IFERROR(__xludf.DUMMYFUNCTION("""COMPUTED_VALUE"""),FALSE)</f>
        <v>0</v>
      </c>
      <c r="D44" s="2">
        <f ca="1">IFERROR(__xludf.DUMMYFUNCTION("""COMPUTED_VALUE"""),200)</f>
        <v>200</v>
      </c>
      <c r="E44" s="2" t="str">
        <f ca="1">IFERROR(__xludf.DUMMYFUNCTION("""COMPUTED_VALUE"""),"Marriage Certificate")</f>
        <v>Marriage Certificate</v>
      </c>
      <c r="F44" s="2" t="str">
        <f ca="1">IFERROR(__xludf.DUMMYFUNCTION("""COMPUTED_VALUE"""),"Fate/Horse Order")</f>
        <v>Fate/Horse Order</v>
      </c>
      <c r="G44" s="2" t="str">
        <f ca="1">IFERROR(__xludf.DUMMYFUNCTION("""COMPUTED_VALUE"""),"Relationships")</f>
        <v>Relationships</v>
      </c>
      <c r="H44" s="2" t="str">
        <f ca="1">IFERROR(__xludf.DUMMYFUNCTION("""COMPUTED_VALUE"""),"Now, I’m not saying that you’re such a whore that you bullied, bribed, blackmailed, or otherwise cheated your way into convincing the local government that this very clearly fake piece of paper declaring your marriage to your horse was a legally binding d"&amp;"ocument. What I am saying is that you have a very clearly fake marriage certificate with a few blank spaces on it where one could write your and your lovers names, and that while it wouldn’t be legally binding, it would be treated as perfectly normal for "&amp;"the two of you to be married by all your friends and family and any other random witnesses. Both of you need to sign it more or less of your own free will however - no command seals or other mind control, though being stoned out of your mind on sex would "&amp;"be perfectly valid, prefered even.")</f>
        <v>Now, I’m not saying that you’re such a whore that you bullied, bribed, blackmailed, or otherwise cheated your way into convincing the local government that this very clearly fake piece of paper declaring your marriage to your horse was a legally binding document. What I am saying is that you have a very clearly fake marriage certificate with a few blank spaces on it where one could write your and your lovers names, and that while it wouldn’t be legally binding, it would be treated as perfectly normal for the two of you to be married by all your friends and family and any other random witnesses. Both of you need to sign it more or less of your own free will however - no command seals or other mind control, though being stoned out of your mind on sex would be perfectly valid, prefered even.</v>
      </c>
      <c r="I44" s="5"/>
    </row>
    <row r="45" spans="1:9" ht="208.8" x14ac:dyDescent="0.25">
      <c r="A45" s="16"/>
      <c r="B45" s="17">
        <v>41</v>
      </c>
      <c r="C45" s="2" t="b">
        <f ca="1">IFERROR(__xludf.DUMMYFUNCTION("""COMPUTED_VALUE"""),FALSE)</f>
        <v>0</v>
      </c>
      <c r="D45" s="2">
        <f ca="1">IFERROR(__xludf.DUMMYFUNCTION("""COMPUTED_VALUE"""),200)</f>
        <v>200</v>
      </c>
      <c r="E45" s="2" t="str">
        <f ca="1">IFERROR(__xludf.DUMMYFUNCTION("""COMPUTED_VALUE"""),"Must Help Senpai!")</f>
        <v>Must Help Senpai!</v>
      </c>
      <c r="F45" s="2" t="str">
        <f ca="1">IFERROR(__xludf.DUMMYFUNCTION("""COMPUTED_VALUE"""),"Creature Reaction Inside the Ship!")</f>
        <v>Creature Reaction Inside the Ship!</v>
      </c>
      <c r="G45" s="2" t="str">
        <f ca="1">IFERROR(__xludf.DUMMYFUNCTION("""COMPUTED_VALUE"""),"Relationships")</f>
        <v>Relationships</v>
      </c>
      <c r="H45" s="2" t="str">
        <f ca="1">IFERROR(__xludf.DUMMYFUNCTION("""COMPUTED_VALUE"""),"You’ve got a bond with your partner that’s more sisterly than it really is professional! You have a sixth sense for when your closest comrade in arms is in need of rescue and where they are. This only works for up to two people, so while you may know two "&amp;"closest to you need your help, everyone else remains a mystery to you until you confirm their condition yourself.
Also, something inside you stirs anytime you get fucked alongside other girls, and you feel more sensitive and cum harder! (If you're a guy,"&amp;" this instead applies to any girls you fuck with your guy friends.) It isn't gonna be an unusual sight at all to see you holding hands with another victim of big dicked monsters as you both get railed, your pussy soaking wet from the idea of getting taken"&amp;" together! With your closest friends affected by this perk, this is stronger to the point where having loads pumped deep in your pussy next to senpai is one of the greatest pleasures you’ve ever known! Lastly, you even seem capable of syncing your orgasms"&amp;" with them...")</f>
        <v>You’ve got a bond with your partner that’s more sisterly than it really is professional! You have a sixth sense for when your closest comrade in arms is in need of rescue and where they are. This only works for up to two people, so while you may know two closest to you need your help, everyone else remains a mystery to you until you confirm their condition yourself.
Also, something inside you stirs anytime you get fucked alongside other girls, and you feel more sensitive and cum harder! (If you're a guy, this instead applies to any girls you fuck with your guy friends.) It isn't gonna be an unusual sight at all to see you holding hands with another victim of big dicked monsters as you both get railed, your pussy soaking wet from the idea of getting taken together! With your closest friends affected by this perk, this is stronger to the point where having loads pumped deep in your pussy next to senpai is one of the greatest pleasures you’ve ever known! Lastly, you even seem capable of syncing your orgasms with them...</v>
      </c>
      <c r="I45" s="5"/>
    </row>
    <row r="46" spans="1:9" ht="104.4" x14ac:dyDescent="0.25">
      <c r="A46" s="16"/>
      <c r="B46" s="17">
        <v>42</v>
      </c>
      <c r="C46" s="2" t="b">
        <f ca="1">IFERROR(__xludf.DUMMYFUNCTION("""COMPUTED_VALUE"""),FALSE)</f>
        <v>0</v>
      </c>
      <c r="D46" s="2">
        <f ca="1">IFERROR(__xludf.DUMMYFUNCTION("""COMPUTED_VALUE"""),200)</f>
        <v>200</v>
      </c>
      <c r="E46" s="2" t="str">
        <f ca="1">IFERROR(__xludf.DUMMYFUNCTION("""COMPUTED_VALUE"""),"Never Truly Parted")</f>
        <v>Never Truly Parted</v>
      </c>
      <c r="F46" s="2" t="str">
        <f ca="1">IFERROR(__xludf.DUMMYFUNCTION("""COMPUTED_VALUE"""),"Generic: Hentai World")</f>
        <v>Generic: Hentai World</v>
      </c>
      <c r="G46" s="2" t="str">
        <f ca="1">IFERROR(__xludf.DUMMYFUNCTION("""COMPUTED_VALUE"""),"Relationships")</f>
        <v>Relationships</v>
      </c>
      <c r="H46" s="2" t="str">
        <f ca="1">IFERROR(__xludf.DUMMYFUNCTION("""COMPUTED_VALUE"""),"Even when you and your beloved are apart from each other you remain together in your hearts, always there to support each other no matter the circumstances. You are immune to any ill-effects of separation from your spouse, and isolation in general, while "&amp;"benefiting from a general knowledge of them as though they were present and occasionally giving you advice whenever needed. If either you or they have some ability to communicate over long distances, such as telepathy, then you can do so effortlessly, ign"&amp;"oring any factors that might hinder or jam your communications.")</f>
        <v>Even when you and your beloved are apart from each other you remain together in your hearts, always there to support each other no matter the circumstances. You are immune to any ill-effects of separation from your spouse, and isolation in general, while benefiting from a general knowledge of them as though they were present and occasionally giving you advice whenever needed. If either you or they have some ability to communicate over long distances, such as telepathy, then you can do so effortlessly, ignoring any factors that might hinder or jam your communications.</v>
      </c>
      <c r="I46" s="5"/>
    </row>
    <row r="47" spans="1:9" ht="69.599999999999994" x14ac:dyDescent="0.25">
      <c r="A47" s="16"/>
      <c r="B47" s="17">
        <v>43</v>
      </c>
      <c r="C47" s="2" t="b">
        <f ca="1">IFERROR(__xludf.DUMMYFUNCTION("""COMPUTED_VALUE"""),FALSE)</f>
        <v>0</v>
      </c>
      <c r="D47" s="2">
        <f ca="1">IFERROR(__xludf.DUMMYFUNCTION("""COMPUTED_VALUE"""),200)</f>
        <v>200</v>
      </c>
      <c r="E47" s="2" t="str">
        <f ca="1">IFERROR(__xludf.DUMMYFUNCTION("""COMPUTED_VALUE"""),"On the Lan")</f>
        <v>On the Lan</v>
      </c>
      <c r="F47" s="2" t="str">
        <f ca="1">IFERROR(__xludf.DUMMYFUNCTION("""COMPUTED_VALUE"""),"Ashigei Shoujo Komura-san")</f>
        <v>Ashigei Shoujo Komura-san</v>
      </c>
      <c r="G47" s="2" t="str">
        <f ca="1">IFERROR(__xludf.DUMMYFUNCTION("""COMPUTED_VALUE"""),"Relationships")</f>
        <v>Relationships</v>
      </c>
      <c r="H47" s="2" t="str">
        <f ca="1">IFERROR(__xludf.DUMMYFUNCTION("""COMPUTED_VALUE"""),"Fame leaves its mark. As long as you aren’t caught doing something you’re known for, and don’t run into any hyper-fans, people will struggle to connect the dots of who exactly you are. When discovered, attempts to photograph you will often be obstructed, "&amp;"and word will rarely spread outside of the witness' immediate friend group.")</f>
        <v>Fame leaves its mark. As long as you aren’t caught doing something you’re known for, and don’t run into any hyper-fans, people will struggle to connect the dots of who exactly you are. When discovered, attempts to photograph you will often be obstructed, and word will rarely spread outside of the witness' immediate friend group.</v>
      </c>
      <c r="I47" s="5"/>
    </row>
    <row r="48" spans="1:9" ht="52.2" x14ac:dyDescent="0.25">
      <c r="A48" s="16"/>
      <c r="B48" s="17">
        <v>44</v>
      </c>
      <c r="C48" s="2" t="b">
        <f ca="1">IFERROR(__xludf.DUMMYFUNCTION("""COMPUTED_VALUE"""),FALSE)</f>
        <v>0</v>
      </c>
      <c r="D48" s="2">
        <f ca="1">IFERROR(__xludf.DUMMYFUNCTION("""COMPUTED_VALUE"""),200)</f>
        <v>200</v>
      </c>
      <c r="E48" s="2" t="str">
        <f ca="1">IFERROR(__xludf.DUMMYFUNCTION("""COMPUTED_VALUE"""),"Pillow Princess")</f>
        <v>Pillow Princess</v>
      </c>
      <c r="F48" s="2" t="str">
        <f ca="1">IFERROR(__xludf.DUMMYFUNCTION("""COMPUTED_VALUE"""),"Generic: Incest")</f>
        <v>Generic: Incest</v>
      </c>
      <c r="G48" s="2" t="str">
        <f ca="1">IFERROR(__xludf.DUMMYFUNCTION("""COMPUTED_VALUE"""),"Relationships")</f>
        <v>Relationships</v>
      </c>
      <c r="H48" s="2" t="str">
        <f ca="1">IFERROR(__xludf.DUMMYFUNCTION("""COMPUTED_VALUE"""),"In any sexual encounters you have, people tend to, for whatever reason, seem focused on maximizing your own pleasure rather than their own. This is entirely subconscious, but definitely noticeable. You can toggle this if you'd like.")</f>
        <v>In any sexual encounters you have, people tend to, for whatever reason, seem focused on maximizing your own pleasure rather than their own. This is entirely subconscious, but definitely noticeable. You can toggle this if you'd like.</v>
      </c>
      <c r="I48" s="5"/>
    </row>
    <row r="49" spans="1:9" ht="174" x14ac:dyDescent="0.25">
      <c r="A49" s="16"/>
      <c r="B49" s="17">
        <v>45</v>
      </c>
      <c r="C49" s="2" t="b">
        <f ca="1">IFERROR(__xludf.DUMMYFUNCTION("""COMPUTED_VALUE"""),FALSE)</f>
        <v>0</v>
      </c>
      <c r="D49" s="2">
        <f ca="1">IFERROR(__xludf.DUMMYFUNCTION("""COMPUTED_VALUE"""),200)</f>
        <v>200</v>
      </c>
      <c r="E49" s="2" t="str">
        <f ca="1">IFERROR(__xludf.DUMMYFUNCTION("""COMPUTED_VALUE"""),"Princess Power")</f>
        <v>Princess Power</v>
      </c>
      <c r="F49" s="2" t="str">
        <f ca="1">IFERROR(__xludf.DUMMYFUNCTION("""COMPUTED_VALUE"""),"Breathless Wild")</f>
        <v>Breathless Wild</v>
      </c>
      <c r="G49" s="2" t="str">
        <f ca="1">IFERROR(__xludf.DUMMYFUNCTION("""COMPUTED_VALUE"""),"Relationships")</f>
        <v>Relationships</v>
      </c>
      <c r="H49" s="2" t="str">
        <f ca="1">IFERROR(__xludf.DUMMYFUNCTION("""COMPUTED_VALUE"""),"It takes a lot more than one person to rebuild a kingdom from the ground up, even if that person is a great hero. A kingdom needs governors and nobles, or a princess whose charisma can unite the people around a single cause. You have great skill at leader"&amp;"ship, from delegation to resolving conflicts between clashing personalities. While you lack a king’s charisma you could easily lead a small group of heroes or a team of researchers on a group project. Moreover, having stronger bonds between members of you"&amp;"r group makes the team as a whole function far more effectively than it otherwise could, turning you into the mortar which makes a team of heroes into Hyrule’s greatest champions. Such bonds are easily forged by having sexual or romantic relations with yo"&amp;"ur teammates, which don't clash with each other if you take even the slightest effort to manage your relationships with your erstwhile harem.")</f>
        <v>It takes a lot more than one person to rebuild a kingdom from the ground up, even if that person is a great hero. A kingdom needs governors and nobles, or a princess whose charisma can unite the people around a single cause. You have great skill at leadership, from delegation to resolving conflicts between clashing personalities. While you lack a king’s charisma you could easily lead a small group of heroes or a team of researchers on a group project. Moreover, having stronger bonds between members of your group makes the team as a whole function far more effectively than it otherwise could, turning you into the mortar which makes a team of heroes into Hyrule’s greatest champions. Such bonds are easily forged by having sexual or romantic relations with your teammates, which don't clash with each other if you take even the slightest effort to manage your relationships with your erstwhile harem.</v>
      </c>
      <c r="I49" s="5"/>
    </row>
    <row r="50" spans="1:9" ht="87" x14ac:dyDescent="0.25">
      <c r="A50" s="16"/>
      <c r="B50" s="17">
        <v>46</v>
      </c>
      <c r="C50" s="2" t="b">
        <f ca="1">IFERROR(__xludf.DUMMYFUNCTION("""COMPUTED_VALUE"""),FALSE)</f>
        <v>0</v>
      </c>
      <c r="D50" s="2">
        <f ca="1">IFERROR(__xludf.DUMMYFUNCTION("""COMPUTED_VALUE"""),200)</f>
        <v>200</v>
      </c>
      <c r="E50" s="2" t="str">
        <f ca="1">IFERROR(__xludf.DUMMYFUNCTION("""COMPUTED_VALUE"""),"Redeeming Qualities")</f>
        <v>Redeeming Qualities</v>
      </c>
      <c r="F50" s="2" t="str">
        <f ca="1">IFERROR(__xludf.DUMMYFUNCTION("""COMPUTED_VALUE"""),"Generic: Hentai Occult")</f>
        <v>Generic: Hentai Occult</v>
      </c>
      <c r="G50" s="2" t="str">
        <f ca="1">IFERROR(__xludf.DUMMYFUNCTION("""COMPUTED_VALUE"""),"Relationships")</f>
        <v>Relationships</v>
      </c>
      <c r="H50" s="2" t="str">
        <f ca="1">IFERROR(__xludf.DUMMYFUNCTION("""COMPUTED_VALUE"""),"The fat and ugly guy with a beautiful woman on each arm’? How is that possible? Blackmail? Rape, drugs, threats? It’s gotta be something like that, right? Well, people are going to ignore that for you. Even if they absolutely know that the woman flirting "&amp;"with you hated your guts yesterday, they won't assume the worst of you. Then again, most people wouldn’t think ‘mind control’, they’d either go for ‘he must be a decent person underneath’ or ‘blackmail’.")</f>
        <v>The fat and ugly guy with a beautiful woman on each arm’? How is that possible? Blackmail? Rape, drugs, threats? It’s gotta be something like that, right? Well, people are going to ignore that for you. Even if they absolutely know that the woman flirting with you hated your guts yesterday, they won't assume the worst of you. Then again, most people wouldn’t think ‘mind control’, they’d either go for ‘he must be a decent person underneath’ or ‘blackmail’.</v>
      </c>
      <c r="I50" s="5"/>
    </row>
    <row r="51" spans="1:9" ht="104.4" x14ac:dyDescent="0.25">
      <c r="A51" s="16"/>
      <c r="B51" s="17">
        <v>47</v>
      </c>
      <c r="C51" s="2" t="b">
        <f ca="1">IFERROR(__xludf.DUMMYFUNCTION("""COMPUTED_VALUE"""),FALSE)</f>
        <v>0</v>
      </c>
      <c r="D51" s="2">
        <f ca="1">IFERROR(__xludf.DUMMYFUNCTION("""COMPUTED_VALUE"""),200)</f>
        <v>200</v>
      </c>
      <c r="E51" s="2" t="str">
        <f ca="1">IFERROR(__xludf.DUMMYFUNCTION("""COMPUTED_VALUE"""),"Romantic Reservation")</f>
        <v>Romantic Reservation</v>
      </c>
      <c r="F51" s="2" t="str">
        <f ca="1">IFERROR(__xludf.DUMMYFUNCTION("""COMPUTED_VALUE"""),"Generic: Hentai World")</f>
        <v>Generic: Hentai World</v>
      </c>
      <c r="G51" s="2" t="str">
        <f ca="1">IFERROR(__xludf.DUMMYFUNCTION("""COMPUTED_VALUE"""),"Relationships")</f>
        <v>Relationships</v>
      </c>
      <c r="H51" s="2" t="str">
        <f ca="1">IFERROR(__xludf.DUMMYFUNCTION("""COMPUTED_VALUE"""),"As a romantic you'll certainly want to wine and dine your beloved(s), but sometimes where you want to take them needs advance booking. By presenting this card you can bypass normal reservations process for restaurants, cafes, hotels, etc so long as you ar"&amp;"e bringing at least one person you have romantic or sexual interest in along. They will bump out other reservations if need be without others complaining, assuming that the people in question aren't already there, but there still needs to a potential spac"&amp;"e and time for you and you'll still have to pay.")</f>
        <v>As a romantic you'll certainly want to wine and dine your beloved(s), but sometimes where you want to take them needs advance booking. By presenting this card you can bypass normal reservations process for restaurants, cafes, hotels, etc so long as you are bringing at least one person you have romantic or sexual interest in along. They will bump out other reservations if need be without others complaining, assuming that the people in question aren't already there, but there still needs to a potential space and time for you and you'll still have to pay.</v>
      </c>
      <c r="I51" s="5"/>
    </row>
    <row r="52" spans="1:9" ht="104.4" x14ac:dyDescent="0.25">
      <c r="A52" s="16"/>
      <c r="B52" s="17">
        <v>48</v>
      </c>
      <c r="C52" s="2" t="b">
        <f ca="1">IFERROR(__xludf.DUMMYFUNCTION("""COMPUTED_VALUE"""),FALSE)</f>
        <v>0</v>
      </c>
      <c r="D52" s="2">
        <f ca="1">IFERROR(__xludf.DUMMYFUNCTION("""COMPUTED_VALUE"""),200)</f>
        <v>200</v>
      </c>
      <c r="E52" s="2" t="str">
        <f ca="1">IFERROR(__xludf.DUMMYFUNCTION("""COMPUTED_VALUE"""),"The Harem Ending")</f>
        <v>The Harem Ending</v>
      </c>
      <c r="F52" s="2" t="str">
        <f ca="1">IFERROR(__xludf.DUMMYFUNCTION("""COMPUTED_VALUE"""),"Power Play")</f>
        <v>Power Play</v>
      </c>
      <c r="G52" s="2" t="str">
        <f ca="1">IFERROR(__xludf.DUMMYFUNCTION("""COMPUTED_VALUE"""),"Relationships")</f>
        <v>Relationships</v>
      </c>
      <c r="H52" s="2" t="str">
        <f ca="1">IFERROR(__xludf.DUMMYFUNCTION("""COMPUTED_VALUE"""),"Miina was pretty upset over how monogamous the ending was. If she had this perk, it might have ended entirely differently... you excel at convincing other people to engage in a polyamorous relationship. If it’s possible to convince someone in the first pl"&amp;"ace, you’ll know exactly what to say to get them to agree, whether it’s getting people to join a harem, accept having a harem in the first place, or even joining a proper polycule. You’re also a deft hand at other polyamory negotiations, like figuring out"&amp;" schedules.")</f>
        <v>Miina was pretty upset over how monogamous the ending was. If she had this perk, it might have ended entirely differently... you excel at convincing other people to engage in a polyamorous relationship. If it’s possible to convince someone in the first place, you’ll know exactly what to say to get them to agree, whether it’s getting people to join a harem, accept having a harem in the first place, or even joining a proper polycule. You’re also a deft hand at other polyamory negotiations, like figuring out schedules.</v>
      </c>
      <c r="I52" s="5"/>
    </row>
    <row r="53" spans="1:9" ht="121.8" x14ac:dyDescent="0.25">
      <c r="A53" s="16"/>
      <c r="B53" s="17">
        <v>49</v>
      </c>
      <c r="C53" s="2" t="b">
        <f ca="1">IFERROR(__xludf.DUMMYFUNCTION("""COMPUTED_VALUE"""),FALSE)</f>
        <v>0</v>
      </c>
      <c r="D53" s="2">
        <f ca="1">IFERROR(__xludf.DUMMYFUNCTION("""COMPUTED_VALUE"""),200)</f>
        <v>200</v>
      </c>
      <c r="E53" s="2" t="str">
        <f ca="1">IFERROR(__xludf.DUMMYFUNCTION("""COMPUTED_VALUE"""),"They Would Never")</f>
        <v>They Would Never</v>
      </c>
      <c r="F53" s="2" t="str">
        <f ca="1">IFERROR(__xludf.DUMMYFUNCTION("""COMPUTED_VALUE"""),"Mizuryu Kei Land")</f>
        <v>Mizuryu Kei Land</v>
      </c>
      <c r="G53" s="2" t="str">
        <f ca="1">IFERROR(__xludf.DUMMYFUNCTION("""COMPUTED_VALUE"""),"Relationships")</f>
        <v>Relationships</v>
      </c>
      <c r="H53" s="2" t="str">
        <f ca="1">IFERROR(__xludf.DUMMYFUNCTION("""COMPUTED_VALUE"""),"Of course, even with sex being far more common and acceptable than before, that doesn’t mean that there aren’t people who disapprove. Like you parents. Well, probably. They might be sleeping with you after all. But, anyways, you now have a sort of anti-re"&amp;"putation. Unless you go out of your way to inform people of your proliffic slutiness/manwhoring - or better yet, display it to them - they’ll assume that you just sort of don’t do that sort of thing. Kind of like the stereotypical serious student will sco"&amp;"ld you for breaking the rules, only for them to do it themselves. You would NEVER do that. Right?")</f>
        <v>Of course, even with sex being far more common and acceptable than before, that doesn’t mean that there aren’t people who disapprove. Like you parents. Well, probably. They might be sleeping with you after all. But, anyways, you now have a sort of anti-reputation. Unless you go out of your way to inform people of your proliffic slutiness/manwhoring - or better yet, display it to them - they’ll assume that you just sort of don’t do that sort of thing. Kind of like the stereotypical serious student will scold you for breaking the rules, only for them to do it themselves. You would NEVER do that. Right?</v>
      </c>
      <c r="I53" s="5"/>
    </row>
    <row r="54" spans="1:9" ht="139.19999999999999" x14ac:dyDescent="0.25">
      <c r="A54" s="16"/>
      <c r="B54" s="17">
        <v>50</v>
      </c>
      <c r="C54" s="2" t="b">
        <f ca="1">IFERROR(__xludf.DUMMYFUNCTION("""COMPUTED_VALUE"""),FALSE)</f>
        <v>0</v>
      </c>
      <c r="D54" s="2">
        <f ca="1">IFERROR(__xludf.DUMMYFUNCTION("""COMPUTED_VALUE"""),300)</f>
        <v>300</v>
      </c>
      <c r="E54" s="2" t="str">
        <f ca="1">IFERROR(__xludf.DUMMYFUNCTION("""COMPUTED_VALUE"""),"A Bottomless Heart")</f>
        <v>A Bottomless Heart</v>
      </c>
      <c r="F54" s="2" t="str">
        <f ca="1">IFERROR(__xludf.DUMMYFUNCTION("""COMPUTED_VALUE"""),"Generic: Hentai World")</f>
        <v>Generic: Hentai World</v>
      </c>
      <c r="G54" s="2" t="str">
        <f ca="1">IFERROR(__xludf.DUMMYFUNCTION("""COMPUTED_VALUE"""),"Relationships")</f>
        <v>Relationships</v>
      </c>
      <c r="H54" s="2" t="str">
        <f ca="1">IFERROR(__xludf.DUMMYFUNCTION("""COMPUTED_VALUE"""),"For an ordinary person it may be enough to only have one other person to spend your life with, but there’s nothing ordinary about you, is there? Love and emotional attachment comes to you easily and you find it more difficult than most to let go of those "&amp;"you care about, to the point that choosing one woman over another when you love them both is unthinkable to you. Luckily, this is not without its benefits. You have a perfect photographic memory for information about people you care about, no matter how m"&amp;"any of those people you might have. You’ll never forget their birthdays, favorite meals, erogenous zones, etc. and can easily keep track of their needs and desires without even thinking very hard about it.")</f>
        <v>For an ordinary person it may be enough to only have one other person to spend your life with, but there’s nothing ordinary about you, is there? Love and emotional attachment comes to you easily and you find it more difficult than most to let go of those you care about, to the point that choosing one woman over another when you love them both is unthinkable to you. Luckily, this is not without its benefits. You have a perfect photographic memory for information about people you care about, no matter how many of those people you might have. You’ll never forget their birthdays, favorite meals, erogenous zones, etc. and can easily keep track of their needs and desires without even thinking very hard about it.</v>
      </c>
      <c r="I54" s="5"/>
    </row>
    <row r="55" spans="1:9" ht="156.6" x14ac:dyDescent="0.25">
      <c r="A55" s="16"/>
      <c r="B55" s="17">
        <v>51</v>
      </c>
      <c r="C55" s="2" t="b">
        <f ca="1">IFERROR(__xludf.DUMMYFUNCTION("""COMPUTED_VALUE"""),FALSE)</f>
        <v>0</v>
      </c>
      <c r="D55" s="2">
        <f ca="1">IFERROR(__xludf.DUMMYFUNCTION("""COMPUTED_VALUE"""),300)</f>
        <v>300</v>
      </c>
      <c r="E55" s="2" t="str">
        <f ca="1">IFERROR(__xludf.DUMMYFUNCTION("""COMPUTED_VALUE"""),"All You Need Is Love")</f>
        <v>All You Need Is Love</v>
      </c>
      <c r="F55" s="2" t="str">
        <f ca="1">IFERROR(__xludf.DUMMYFUNCTION("""COMPUTED_VALUE"""),"Slimy Sextet")</f>
        <v>Slimy Sextet</v>
      </c>
      <c r="G55" s="2" t="str">
        <f ca="1">IFERROR(__xludf.DUMMYFUNCTION("""COMPUTED_VALUE"""),"Relationships")</f>
        <v>Relationships</v>
      </c>
      <c r="H55" s="2" t="str">
        <f ca="1">IFERROR(__xludf.DUMMYFUNCTION("""COMPUTED_VALUE"""),"It can be hard, abandoning the wealthy life you knew to live out in the boonies with the person who so lovingly(?) raped you. A life without luxuries is a difficult one... but not for you. The more you are loved by the people who live with you, the more l"&amp;"uxurious your life becomes. A bed of hard stones will start to feel as plush as the royal bedchambers, rough linens will treat your skin as delicately as the finest silk, deer meat roasted over an open flame will taste as delicious as though it were delic"&amp;"ately braised by the best chefs that money could buy, and in general every mundane aspect of life will be as wonderful as if vast amounts of money were being spent to provide for you. And this benefit is hardly restricted to yourself. No, those who receiv"&amp;"e love from you will find their own lives becoming more luxurious as well, as if all the rough difficulties in life were lubricated by love.")</f>
        <v>It can be hard, abandoning the wealthy life you knew to live out in the boonies with the person who so lovingly(?) raped you. A life without luxuries is a difficult one... but not for you. The more you are loved by the people who live with you, the more luxurious your life becomes. A bed of hard stones will start to feel as plush as the royal bedchambers, rough linens will treat your skin as delicately as the finest silk, deer meat roasted over an open flame will taste as delicious as though it were delicately braised by the best chefs that money could buy, and in general every mundane aspect of life will be as wonderful as if vast amounts of money were being spent to provide for you. And this benefit is hardly restricted to yourself. No, those who receive love from you will find their own lives becoming more luxurious as well, as if all the rough difficulties in life were lubricated by love.</v>
      </c>
      <c r="I55" s="5"/>
    </row>
    <row r="56" spans="1:9" ht="104.4" x14ac:dyDescent="0.25">
      <c r="A56" s="16"/>
      <c r="B56" s="17">
        <v>52</v>
      </c>
      <c r="C56" s="2" t="b">
        <f ca="1">IFERROR(__xludf.DUMMYFUNCTION("""COMPUTED_VALUE"""),FALSE)</f>
        <v>0</v>
      </c>
      <c r="D56" s="2">
        <f ca="1">IFERROR(__xludf.DUMMYFUNCTION("""COMPUTED_VALUE"""),300)</f>
        <v>300</v>
      </c>
      <c r="E56" s="2" t="str">
        <f ca="1">IFERROR(__xludf.DUMMYFUNCTION("""COMPUTED_VALUE"""),"Earring Case")</f>
        <v>Earring Case</v>
      </c>
      <c r="F56" s="2" t="str">
        <f ca="1">IFERROR(__xludf.DUMMYFUNCTION("""COMPUTED_VALUE"""),"High Elf x High School")</f>
        <v>High Elf x High School</v>
      </c>
      <c r="G56" s="2" t="str">
        <f ca="1">IFERROR(__xludf.DUMMYFUNCTION("""COMPUTED_VALUE"""),"Relationships")</f>
        <v>Relationships</v>
      </c>
      <c r="H56" s="2" t="str">
        <f ca="1">IFERROR(__xludf.DUMMYFUNCTION("""COMPUTED_VALUE"""),"This is a box with one earring for you, and one for your partner...s. These magical earrings are connected, allow any two people wearing them to magically communicate with one another, so long as they are in a romantic or sexual relationship. Also, so lon"&amp;"g as you remove the one meant for your partner with the intent to give it to them, there will always be another in the box. Selling one or giving it to someone else will disable this, however, until you get it back and give it to one of your partners.")</f>
        <v>This is a box with one earring for you, and one for your partner...s. These magical earrings are connected, allow any two people wearing them to magically communicate with one another, so long as they are in a romantic or sexual relationship. Also, so long as you remove the one meant for your partner with the intent to give it to them, there will always be another in the box. Selling one or giving it to someone else will disable this, however, until you get it back and give it to one of your partners.</v>
      </c>
      <c r="I56" s="5"/>
    </row>
    <row r="57" spans="1:9" ht="174" x14ac:dyDescent="0.25">
      <c r="A57" s="16"/>
      <c r="B57" s="17">
        <v>53</v>
      </c>
      <c r="C57" s="2" t="b">
        <f ca="1">IFERROR(__xludf.DUMMYFUNCTION("""COMPUTED_VALUE"""),FALSE)</f>
        <v>0</v>
      </c>
      <c r="D57" s="2">
        <f ca="1">IFERROR(__xludf.DUMMYFUNCTION("""COMPUTED_VALUE"""),300)</f>
        <v>300</v>
      </c>
      <c r="E57" s="2" t="str">
        <f ca="1">IFERROR(__xludf.DUMMYFUNCTION("""COMPUTED_VALUE"""),"Find You Again")</f>
        <v>Find You Again</v>
      </c>
      <c r="F57" s="2" t="str">
        <f ca="1">IFERROR(__xludf.DUMMYFUNCTION("""COMPUTED_VALUE"""),"Fate/Loli Order")</f>
        <v>Fate/Loli Order</v>
      </c>
      <c r="G57" s="2" t="str">
        <f ca="1">IFERROR(__xludf.DUMMYFUNCTION("""COMPUTED_VALUE"""),"Relationships")</f>
        <v>Relationships</v>
      </c>
      <c r="H57" s="2" t="str">
        <f ca="1">IFERROR(__xludf.DUMMYFUNCTION("""COMPUTED_VALUE"""),"As sad as it may be, very few members of the Emiya family have anything close to a happy ending. And yet, here they are. Illya of Fate Stay Night clinging to life as Sitonai, Shirou having become one with Muramasa, even Rin and Sakura have joined with a p"&amp;"air of goddesses. Kiritsugu the counter guardian, lovingly haunted by a woman he’s never met because the Irisviel of Fate Zero loved him so much. When it comes to reuniting with your loved ones, very little is capable of standing between you. Such is the "&amp;"strength of your love for them that so long as you keep hope some means will appear to reunite you, and give you a chance to save them; even when all sense says they should be beyond your reach. It may take some time, a deal with a deity, and a pinch of l"&amp;"uck, but eventually you will be reunited. Perhaps... even cheating death to be together again like the Emiya clan. And then, just maybe, you can get a happy ending?")</f>
        <v>As sad as it may be, very few members of the Emiya family have anything close to a happy ending. And yet, here they are. Illya of Fate Stay Night clinging to life as Sitonai, Shirou having become one with Muramasa, even Rin and Sakura have joined with a pair of goddesses. Kiritsugu the counter guardian, lovingly haunted by a woman he’s never met because the Irisviel of Fate Zero loved him so much. When it comes to reuniting with your loved ones, very little is capable of standing between you. Such is the strength of your love for them that so long as you keep hope some means will appear to reunite you, and give you a chance to save them; even when all sense says they should be beyond your reach. It may take some time, a deal with a deity, and a pinch of luck, but eventually you will be reunited. Perhaps... even cheating death to be together again like the Emiya clan. And then, just maybe, you can get a happy ending?</v>
      </c>
      <c r="I57" s="5"/>
    </row>
    <row r="58" spans="1:9" ht="104.4" x14ac:dyDescent="0.25">
      <c r="A58" s="16"/>
      <c r="B58" s="17">
        <v>54</v>
      </c>
      <c r="C58" s="2" t="b">
        <f ca="1">IFERROR(__xludf.DUMMYFUNCTION("""COMPUTED_VALUE"""),FALSE)</f>
        <v>0</v>
      </c>
      <c r="D58" s="2">
        <f ca="1">IFERROR(__xludf.DUMMYFUNCTION("""COMPUTED_VALUE"""),300)</f>
        <v>300</v>
      </c>
      <c r="E58" s="2" t="str">
        <f ca="1">IFERROR(__xludf.DUMMYFUNCTION("""COMPUTED_VALUE"""),"In Sickness and in Health")</f>
        <v>In Sickness and in Health</v>
      </c>
      <c r="F58" s="2" t="str">
        <f ca="1">IFERROR(__xludf.DUMMYFUNCTION("""COMPUTED_VALUE"""),"Generic: Hentai World")</f>
        <v>Generic: Hentai World</v>
      </c>
      <c r="G58" s="2" t="str">
        <f ca="1">IFERROR(__xludf.DUMMYFUNCTION("""COMPUTED_VALUE"""),"Relationships")</f>
        <v>Relationships</v>
      </c>
      <c r="H58" s="2" t="str">
        <f ca="1">IFERROR(__xludf.DUMMYFUNCTION("""COMPUTED_VALUE"""),"The end goal of all Romantics is to wed their beloved and spend the rest of their lives together. That means something very different for a holder of the Celestial Bordello than for most other people though. Does your love for your partner, and theirs for"&amp;" you, have what it takes to last for all eternity? What kind of stupid question is that, of course it does! You and your spouse will never grow tired of each others’ presence, and the passing of years will only make you grow more fond of each other.")</f>
        <v>The end goal of all Romantics is to wed their beloved and spend the rest of their lives together. That means something very different for a holder of the Celestial Bordello than for most other people though. Does your love for your partner, and theirs for you, have what it takes to last for all eternity? What kind of stupid question is that, of course it does! You and your spouse will never grow tired of each others’ presence, and the passing of years will only make you grow more fond of each other.</v>
      </c>
      <c r="I58" s="5"/>
    </row>
    <row r="59" spans="1:9" ht="34.799999999999997" x14ac:dyDescent="0.25">
      <c r="A59" s="16"/>
      <c r="B59" s="17">
        <v>55</v>
      </c>
      <c r="C59" s="2" t="b">
        <f ca="1">IFERROR(__xludf.DUMMYFUNCTION("""COMPUTED_VALUE"""),FALSE)</f>
        <v>0</v>
      </c>
      <c r="D59" s="2">
        <f ca="1">IFERROR(__xludf.DUMMYFUNCTION("""COMPUTED_VALUE"""),300)</f>
        <v>300</v>
      </c>
      <c r="E59" s="2" t="str">
        <f ca="1">IFERROR(__xludf.DUMMYFUNCTION("""COMPUTED_VALUE"""),"Legally Blind")</f>
        <v>Legally Blind</v>
      </c>
      <c r="F59" s="2" t="str">
        <f ca="1">IFERROR(__xludf.DUMMYFUNCTION("""COMPUTED_VALUE"""),"Katawa Shoujo")</f>
        <v>Katawa Shoujo</v>
      </c>
      <c r="G59" s="2" t="str">
        <f ca="1">IFERROR(__xludf.DUMMYFUNCTION("""COMPUTED_VALUE"""),"Relationships")</f>
        <v>Relationships</v>
      </c>
      <c r="H59" s="2" t="str">
        <f ca="1">IFERROR(__xludf.DUMMYFUNCTION("""COMPUTED_VALUE"""),"Cops and the like just seem to leave you be for anything short of committing a major crime right out in the open. Should you be accused of something grievous they will still likely look into it.")</f>
        <v>Cops and the like just seem to leave you be for anything short of committing a major crime right out in the open. Should you be accused of something grievous they will still likely look into it.</v>
      </c>
      <c r="I59" s="5"/>
    </row>
    <row r="60" spans="1:9" ht="69.599999999999994" x14ac:dyDescent="0.25">
      <c r="A60" s="16"/>
      <c r="B60" s="17">
        <v>56</v>
      </c>
      <c r="C60" s="2" t="b">
        <f ca="1">IFERROR(__xludf.DUMMYFUNCTION("""COMPUTED_VALUE"""),FALSE)</f>
        <v>0</v>
      </c>
      <c r="D60" s="2">
        <f ca="1">IFERROR(__xludf.DUMMYFUNCTION("""COMPUTED_VALUE"""),300)</f>
        <v>300</v>
      </c>
      <c r="E60" s="2" t="str">
        <f ca="1">IFERROR(__xludf.DUMMYFUNCTION("""COMPUTED_VALUE"""),"Lord of the Hoard")</f>
        <v>Lord of the Hoard</v>
      </c>
      <c r="F60" s="2" t="str">
        <f ca="1">IFERROR(__xludf.DUMMYFUNCTION("""COMPUTED_VALUE"""),"Erotic Equestria")</f>
        <v>Erotic Equestria</v>
      </c>
      <c r="G60" s="2" t="str">
        <f ca="1">IFERROR(__xludf.DUMMYFUNCTION("""COMPUTED_VALUE"""),"Relationships")</f>
        <v>Relationships</v>
      </c>
      <c r="H60" s="2" t="str">
        <f ca="1">IFERROR(__xludf.DUMMYFUNCTION("""COMPUTED_VALUE"""),"Dragons are creatures of vice, their greed being the strongest means they have of gaining strength and respect among their people. Your hoard is a bit more... ephemeral than simple gems and gold. Mates. The more mates you have, the more you take, the stro"&amp;"nger you become, like a gravitational singularity of lust.")</f>
        <v>Dragons are creatures of vice, their greed being the strongest means they have of gaining strength and respect among their people. Your hoard is a bit more... ephemeral than simple gems and gold. Mates. The more mates you have, the more you take, the stronger you become, like a gravitational singularity of lust.</v>
      </c>
      <c r="I60" s="5"/>
    </row>
    <row r="61" spans="1:9" ht="191.4" x14ac:dyDescent="0.25">
      <c r="A61" s="16"/>
      <c r="B61" s="17">
        <v>57</v>
      </c>
      <c r="C61" s="2" t="b">
        <f ca="1">IFERROR(__xludf.DUMMYFUNCTION("""COMPUTED_VALUE"""),FALSE)</f>
        <v>0</v>
      </c>
      <c r="D61" s="2">
        <f ca="1">IFERROR(__xludf.DUMMYFUNCTION("""COMPUTED_VALUE"""),300)</f>
        <v>300</v>
      </c>
      <c r="E61" s="2" t="str">
        <f ca="1">IFERROR(__xludf.DUMMYFUNCTION("""COMPUTED_VALUE"""),"Purer than Actual Saints")</f>
        <v>Purer than Actual Saints</v>
      </c>
      <c r="F61" s="2" t="str">
        <f ca="1">IFERROR(__xludf.DUMMYFUNCTION("""COMPUTED_VALUE"""),"Fate/Whore Order")</f>
        <v>Fate/Whore Order</v>
      </c>
      <c r="G61" s="2" t="str">
        <f ca="1">IFERROR(__xludf.DUMMYFUNCTION("""COMPUTED_VALUE"""),"Relationships")</f>
        <v>Relationships</v>
      </c>
      <c r="H61" s="2" t="str">
        <f ca="1">IFERROR(__xludf.DUMMYFUNCTION("""COMPUTED_VALUE"""),"Or, and hear me out here, you could not cheat on your boyfriend. Now, getting dragged in by Scathach isn’t really something you can control, and I do wish you luck in getting out of such a thing, but if you take this then she probably wouldn’t even bother"&amp;" with you. See, you’re just too adorable. The senpai/kouhai dynamics, your innocent smile, the awkward but honest flirting between the two of you...
Others seeing you and your partners being adorably domestic makes them less attracted to you for fear of "&amp;"ruining such an adorable couple. It might even work to calm their own rampaging lusts for a brief period of time as they try to set you up with each other to help you ‘gain bond levels’ faster. This effect does spread to cover any additional partners that"&amp;" are at least at 'boyfriend/girlfriend' level, and can be toggled if you please.")</f>
        <v>Or, and hear me out here, you could not cheat on your boyfriend. Now, getting dragged in by Scathach isn’t really something you can control, and I do wish you luck in getting out of such a thing, but if you take this then she probably wouldn’t even bother with you. See, you’re just too adorable. The senpai/kouhai dynamics, your innocent smile, the awkward but honest flirting between the two of you...
Others seeing you and your partners being adorably domestic makes them less attracted to you for fear of ruining such an adorable couple. It might even work to calm their own rampaging lusts for a brief period of time as they try to set you up with each other to help you ‘gain bond levels’ faster. This effect does spread to cover any additional partners that are at least at 'boyfriend/girlfriend' level, and can be toggled if you please.</v>
      </c>
      <c r="I61" s="5"/>
    </row>
    <row r="62" spans="1:9" ht="52.2" x14ac:dyDescent="0.25">
      <c r="A62" s="16"/>
      <c r="B62" s="17">
        <v>58</v>
      </c>
      <c r="C62" s="2" t="b">
        <f ca="1">IFERROR(__xludf.DUMMYFUNCTION("""COMPUTED_VALUE"""),FALSE)</f>
        <v>0</v>
      </c>
      <c r="D62" s="2">
        <f ca="1">IFERROR(__xludf.DUMMYFUNCTION("""COMPUTED_VALUE"""),300)</f>
        <v>300</v>
      </c>
      <c r="E62" s="2" t="str">
        <f ca="1">IFERROR(__xludf.DUMMYFUNCTION("""COMPUTED_VALUE"""),"Starter")</f>
        <v>Starter</v>
      </c>
      <c r="F62" s="2" t="str">
        <f ca="1">IFERROR(__xludf.DUMMYFUNCTION("""COMPUTED_VALUE"""),"Pokemon Ecchi Version")</f>
        <v>Pokemon Ecchi Version</v>
      </c>
      <c r="G62" s="2" t="str">
        <f ca="1">IFERROR(__xludf.DUMMYFUNCTION("""COMPUTED_VALUE"""),"Relationships")</f>
        <v>Relationships</v>
      </c>
      <c r="H62" s="2" t="str">
        <f ca="1">IFERROR(__xludf.DUMMYFUNCTION("""COMPUTED_VALUE"""),"You get a starter pokemon! They must be a starter from a pokemon game. They come with a pokeball that automatically heals them, and is able to take them from the brink of death to perfect health over the course of 24 hours.")</f>
        <v>You get a starter pokemon! They must be a starter from a pokemon game. They come with a pokeball that automatically heals them, and is able to take them from the brink of death to perfect health over the course of 24 hours.</v>
      </c>
      <c r="I62" s="5"/>
    </row>
    <row r="63" spans="1:9" ht="121.8" x14ac:dyDescent="0.25">
      <c r="A63" s="16"/>
      <c r="B63" s="17">
        <v>59</v>
      </c>
      <c r="C63" s="2" t="b">
        <f ca="1">IFERROR(__xludf.DUMMYFUNCTION("""COMPUTED_VALUE"""),FALSE)</f>
        <v>0</v>
      </c>
      <c r="D63" s="2">
        <f ca="1">IFERROR(__xludf.DUMMYFUNCTION("""COMPUTED_VALUE"""),300)</f>
        <v>300</v>
      </c>
      <c r="E63" s="2" t="str">
        <f ca="1">IFERROR(__xludf.DUMMYFUNCTION("""COMPUTED_VALUE"""),"Take a Break")</f>
        <v>Take a Break</v>
      </c>
      <c r="F63" s="2" t="str">
        <f ca="1">IFERROR(__xludf.DUMMYFUNCTION("""COMPUTED_VALUE"""),"Merry Marry")</f>
        <v>Merry Marry</v>
      </c>
      <c r="G63" s="2" t="str">
        <f ca="1">IFERROR(__xludf.DUMMYFUNCTION("""COMPUTED_VALUE"""),"Relationships")</f>
        <v>Relationships</v>
      </c>
      <c r="H63" s="2" t="str">
        <f ca="1">IFERROR(__xludf.DUMMYFUNCTION("""COMPUTED_VALUE"""),"In a different timeline where Itachi was always female, Sasuke would apparently take to the habit of using the breaks in the training sessions he shared with his sister to fuck her. Given how much stronger she should have been, I can only assume that the "&amp;"reason she didn’t fight back is because she enjoyed it. Well, that’s slightly off topic. You can now use events like these, shared training sessions and the like, and treat them as a mildly romantic date. Or maybe just a fling, with the activity you just "&amp;"went through getting the both of you all hot and bothered? Well, you get the idea. Sex seems to be the perfect way to end a hard day’s worth of training.")</f>
        <v>In a different timeline where Itachi was always female, Sasuke would apparently take to the habit of using the breaks in the training sessions he shared with his sister to fuck her. Given how much stronger she should have been, I can only assume that the reason she didn’t fight back is because she enjoyed it. Well, that’s slightly off topic. You can now use events like these, shared training sessions and the like, and treat them as a mildly romantic date. Or maybe just a fling, with the activity you just went through getting the both of you all hot and bothered? Well, you get the idea. Sex seems to be the perfect way to end a hard day’s worth of training.</v>
      </c>
      <c r="I63" s="5"/>
    </row>
    <row r="64" spans="1:9" ht="156.6" x14ac:dyDescent="0.25">
      <c r="A64" s="16"/>
      <c r="B64" s="17">
        <v>60</v>
      </c>
      <c r="C64" s="2" t="b">
        <f ca="1">IFERROR(__xludf.DUMMYFUNCTION("""COMPUTED_VALUE"""),FALSE)</f>
        <v>0</v>
      </c>
      <c r="D64" s="2">
        <f ca="1">IFERROR(__xludf.DUMMYFUNCTION("""COMPUTED_VALUE"""),300)</f>
        <v>300</v>
      </c>
      <c r="E64" s="2" t="str">
        <f ca="1">IFERROR(__xludf.DUMMYFUNCTION("""COMPUTED_VALUE"""),"Trustworthy?")</f>
        <v>Trustworthy?</v>
      </c>
      <c r="F64" s="2" t="str">
        <f ca="1">IFERROR(__xludf.DUMMYFUNCTION("""COMPUTED_VALUE"""),"Milk Hunters")</f>
        <v>Milk Hunters</v>
      </c>
      <c r="G64" s="2" t="str">
        <f ca="1">IFERROR(__xludf.DUMMYFUNCTION("""COMPUTED_VALUE"""),"Relationships")</f>
        <v>Relationships</v>
      </c>
      <c r="H64" s="2" t="str">
        <f ca="1">IFERROR(__xludf.DUMMYFUNCTION("""COMPUTED_VALUE"""),"You might be disgusting, but you can be trusted. At least, that's what the people around you seem to think, even when they should know better. Tell a girl’s mother that you’re a friend of hers who came over to visit when you heard she was sick, and she’ll"&amp;" be more than happy to let you spend several hours alone in her daughter’s room with her, ignoring any strange sounds she hears. Even if you’ve spent the past several months sexually abusing her, said girl will believe that you’re visiting out of genuine "&amp;"concern for her, until you prove otherwise. Nobody will be suspicious about you spending a good amount of time around several beautiful young women, even though you look like something that got scraped out of a dumpster. If you prove yourself unworthy of "&amp;"trust, it may take a few weeks to regain it.")</f>
        <v>You might be disgusting, but you can be trusted. At least, that's what the people around you seem to think, even when they should know better. Tell a girl’s mother that you’re a friend of hers who came over to visit when you heard she was sick, and she’ll be more than happy to let you spend several hours alone in her daughter’s room with her, ignoring any strange sounds she hears. Even if you’ve spent the past several months sexually abusing her, said girl will believe that you’re visiting out of genuine concern for her, until you prove otherwise. Nobody will be suspicious about you spending a good amount of time around several beautiful young women, even though you look like something that got scraped out of a dumpster. If you prove yourself unworthy of trust, it may take a few weeks to regain it.</v>
      </c>
      <c r="I64" s="5"/>
    </row>
    <row r="65" spans="1:9" ht="104.4" x14ac:dyDescent="0.25">
      <c r="A65" s="16"/>
      <c r="B65" s="17">
        <v>61</v>
      </c>
      <c r="C65" s="2" t="b">
        <f ca="1">IFERROR(__xludf.DUMMYFUNCTION("""COMPUTED_VALUE"""),FALSE)</f>
        <v>0</v>
      </c>
      <c r="D65" s="2">
        <f ca="1">IFERROR(__xludf.DUMMYFUNCTION("""COMPUTED_VALUE"""),400)</f>
        <v>400</v>
      </c>
      <c r="E65" s="2" t="str">
        <f ca="1">IFERROR(__xludf.DUMMYFUNCTION("""COMPUTED_VALUE"""),"A Friend in Need")</f>
        <v>A Friend in Need</v>
      </c>
      <c r="F65" s="2" t="str">
        <f ca="1">IFERROR(__xludf.DUMMYFUNCTION("""COMPUTED_VALUE"""),"Rance 3 - The Fall of Leazas")</f>
        <v>Rance 3 - The Fall of Leazas</v>
      </c>
      <c r="G65" s="2" t="str">
        <f ca="1">IFERROR(__xludf.DUMMYFUNCTION("""COMPUTED_VALUE"""),"Relationships")</f>
        <v>Relationships</v>
      </c>
      <c r="H65" s="2" t="str">
        <f ca="1">IFERROR(__xludf.DUMMYFUNCTION("""COMPUTED_VALUE"""),"Despite the strength you may possess, Master/Madame, there is a time where it would be too much for you to handle alone. However, with this perk being alone when trouble comes is a rare occurrence. Not only do your allies and companions gain a sixth sense"&amp;" for when you are in trouble but they also get quite a boost in speed to get to you quick and strength to help you fight your foes. Of course friendship is a two-way street and if they were to find themselves in similar danger you get a similar boost so t"&amp;"hat you can help them.")</f>
        <v>Despite the strength you may possess, Master/Madame, there is a time where it would be too much for you to handle alone. However, with this perk being alone when trouble comes is a rare occurrence. Not only do your allies and companions gain a sixth sense for when you are in trouble but they also get quite a boost in speed to get to you quick and strength to help you fight your foes. Of course friendship is a two-way street and if they were to find themselves in similar danger you get a similar boost so that you can help them.</v>
      </c>
      <c r="I65" s="5"/>
    </row>
    <row r="66" spans="1:9" ht="104.4" x14ac:dyDescent="0.25">
      <c r="A66" s="16"/>
      <c r="B66" s="17">
        <v>62</v>
      </c>
      <c r="C66" s="2" t="b">
        <f ca="1">IFERROR(__xludf.DUMMYFUNCTION("""COMPUTED_VALUE"""),FALSE)</f>
        <v>0</v>
      </c>
      <c r="D66" s="2">
        <f ca="1">IFERROR(__xludf.DUMMYFUNCTION("""COMPUTED_VALUE"""),400)</f>
        <v>400</v>
      </c>
      <c r="E66" s="2" t="str">
        <f ca="1">IFERROR(__xludf.DUMMYFUNCTION("""COMPUTED_VALUE"""),"A Hero of Justice")</f>
        <v>A Hero of Justice</v>
      </c>
      <c r="F66" s="2" t="str">
        <f ca="1">IFERROR(__xludf.DUMMYFUNCTION("""COMPUTED_VALUE"""),"Rance 3 - The Fall of Leazas")</f>
        <v>Rance 3 - The Fall of Leazas</v>
      </c>
      <c r="G66" s="2" t="str">
        <f ca="1">IFERROR(__xludf.DUMMYFUNCTION("""COMPUTED_VALUE"""),"Relationships")</f>
        <v>Relationships</v>
      </c>
      <c r="H66" s="2" t="str">
        <f ca="1">IFERROR(__xludf.DUMMYFUNCTION("""COMPUTED_VALUE"""),"Well, isn’t this weird? People tend to see your actions in the most positive possible light at any moment. As a commander that sends the other guys far away because you want only the girls around? Everyone interprets it as a complex tactic and think bette"&amp;"r of you. Killed or raped captured enemies? It was something inevitable in times of war. Of course, it won’t help much if you do something unmistakably bad in their faces or if they know your actual reasons well enough. But for most it would be as if you "&amp;"were a paragon of justice.")</f>
        <v>Well, isn’t this weird? People tend to see your actions in the most positive possible light at any moment. As a commander that sends the other guys far away because you want only the girls around? Everyone interprets it as a complex tactic and think better of you. Killed or raped captured enemies? It was something inevitable in times of war. Of course, it won’t help much if you do something unmistakably bad in their faces or if they know your actual reasons well enough. But for most it would be as if you were a paragon of justice.</v>
      </c>
      <c r="I66" s="5"/>
    </row>
    <row r="67" spans="1:9" ht="191.4" x14ac:dyDescent="0.25">
      <c r="A67" s="16"/>
      <c r="B67" s="17">
        <v>63</v>
      </c>
      <c r="C67" s="2" t="b">
        <f ca="1">IFERROR(__xludf.DUMMYFUNCTION("""COMPUTED_VALUE"""),FALSE)</f>
        <v>0</v>
      </c>
      <c r="D67" s="2">
        <f ca="1">IFERROR(__xludf.DUMMYFUNCTION("""COMPUTED_VALUE"""),400)</f>
        <v>400</v>
      </c>
      <c r="E67" s="2" t="str">
        <f ca="1">IFERROR(__xludf.DUMMYFUNCTION("""COMPUTED_VALUE"""),"An Abundance of Lilies")</f>
        <v>An Abundance of Lilies</v>
      </c>
      <c r="F67" s="2" t="str">
        <f ca="1">IFERROR(__xludf.DUMMYFUNCTION("""COMPUTED_VALUE"""),"Majuu Purification Girl Utea")</f>
        <v>Majuu Purification Girl Utea</v>
      </c>
      <c r="G67" s="2" t="str">
        <f ca="1">IFERROR(__xludf.DUMMYFUNCTION("""COMPUTED_VALUE"""),"Relationships")</f>
        <v>Relationships</v>
      </c>
      <c r="H67" s="2" t="str">
        <f ca="1">IFERROR(__xludf.DUMMYFUNCTION("""COMPUTED_VALUE"""),"It’s something of an open secret that magical girls are rarely 100% heterosexual, and even with all the sex monsters running around the Utea are no exception. Maybe the seeds have a selection bias or maybe it’s just something about the power of love and f"&amp;"riendship but you’re what some would call yuri bait, a magnet for affection from the female gender. You conquer personality conflicts and easily forge lasting friendships with girls of all types, and it wouldn’t take much for you to become the center of a"&amp;" very affectionate harem. These bonds also work to your advantage in battle, and having a close relationship with your teammates allows you to multiply your powers when you work together. With you leading them a team of new friends can easily pull off com"&amp;"bo attacks requiring extremely precise timing and perfect coordination, but a team of lovers can do all that and more, even fusing their spells together into awesomely powerful combination attacks many times stronger than the sum of their parts.")</f>
        <v>It’s something of an open secret that magical girls are rarely 100% heterosexual, and even with all the sex monsters running around the Utea are no exception. Maybe the seeds have a selection bias or maybe it’s just something about the power of love and friendship but you’re what some would call yuri bait, a magnet for affection from the female gender. You conquer personality conflicts and easily forge lasting friendships with girls of all types, and it wouldn’t take much for you to become the center of a very affectionate harem. These bonds also work to your advantage in battle, and having a close relationship with your teammates allows you to multiply your powers when you work together. With you leading them a team of new friends can easily pull off combo attacks requiring extremely precise timing and perfect coordination, but a team of lovers can do all that and more, even fusing their spells together into awesomely powerful combination attacks many times stronger than the sum of their parts.</v>
      </c>
      <c r="I67" s="5"/>
    </row>
    <row r="68" spans="1:9" ht="243.6" x14ac:dyDescent="0.25">
      <c r="A68" s="16"/>
      <c r="B68" s="17">
        <v>64</v>
      </c>
      <c r="C68" s="2" t="b">
        <f ca="1">IFERROR(__xludf.DUMMYFUNCTION("""COMPUTED_VALUE"""),FALSE)</f>
        <v>0</v>
      </c>
      <c r="D68" s="2">
        <f ca="1">IFERROR(__xludf.DUMMYFUNCTION("""COMPUTED_VALUE"""),400)</f>
        <v>400</v>
      </c>
      <c r="E68" s="2" t="str">
        <f ca="1">IFERROR(__xludf.DUMMYFUNCTION("""COMPUTED_VALUE"""),"Beneath Notice")</f>
        <v>Beneath Notice</v>
      </c>
      <c r="F68" s="2" t="str">
        <f ca="1">IFERROR(__xludf.DUMMYFUNCTION("""COMPUTED_VALUE"""),"Milk Hunters")</f>
        <v>Milk Hunters</v>
      </c>
      <c r="G68" s="2" t="str">
        <f ca="1">IFERROR(__xludf.DUMMYFUNCTION("""COMPUTED_VALUE"""),"Relationships")</f>
        <v>Relationships</v>
      </c>
      <c r="H68" s="2" t="str">
        <f ca="1">IFERROR(__xludf.DUMMYFUNCTION("""COMPUTED_VALUE"""),"As I’ve previously mentioned, Senpai has been going around and raping anyone who catches his eye, when they’re rendered unconscious by the energy that appears during monster attacks. With that in mind, in addition to said monster attacks, something to hel"&amp;"p keep your loved ones safe seems like a good idea. 
This perk will give your friends and lovers a form of plot armor. It won’t be as powerful as Bystander Effect, but it should still be more than enough. Someone, or something, that’s out looking for vic"&amp;"tims will overlook those that you care about, in favor of others. If they’re still targeted, for some reason --if the one targeting them was specifically after them, or there was nobody else around for them to target, for example--, they will have superna"&amp;"tural luck in escaping relatively unharmed; their attacker will trip, people who can help will stumble across them, they’ll instinctually choose the best escape routes, and so on. On top of all of this, you will also be able to feel when those that you ca"&amp;"re about are in danger, and how badly they need your help. Of course, you can turn this sense off, if you want, but why would you?")</f>
        <v>As I’ve previously mentioned, Senpai has been going around and raping anyone who catches his eye, when they’re rendered unconscious by the energy that appears during monster attacks. With that in mind, in addition to said monster attacks, something to help keep your loved ones safe seems like a good idea. 
This perk will give your friends and lovers a form of plot armor. It won’t be as powerful as Bystander Effect, but it should still be more than enough. Someone, or something, that’s out looking for victims will overlook those that you care about, in favor of others. If they’re still targeted, for some reason --if the one targeting them was specifically after them, or there was nobody else around for them to target, for example--, they will have supernatural luck in escaping relatively unharmed; their attacker will trip, people who can help will stumble across them, they’ll instinctually choose the best escape routes, and so on. On top of all of this, you will also be able to feel when those that you care about are in danger, and how badly they need your help. Of course, you can turn this sense off, if you want, but why would you?</v>
      </c>
      <c r="I68" s="5"/>
    </row>
    <row r="69" spans="1:9" ht="156.6" x14ac:dyDescent="0.25">
      <c r="A69" s="16"/>
      <c r="B69" s="17">
        <v>65</v>
      </c>
      <c r="C69" s="2" t="b">
        <f ca="1">IFERROR(__xludf.DUMMYFUNCTION("""COMPUTED_VALUE"""),FALSE)</f>
        <v>0</v>
      </c>
      <c r="D69" s="2">
        <f ca="1">IFERROR(__xludf.DUMMYFUNCTION("""COMPUTED_VALUE"""),400)</f>
        <v>400</v>
      </c>
      <c r="E69" s="2" t="str">
        <f ca="1">IFERROR(__xludf.DUMMYFUNCTION("""COMPUTED_VALUE"""),"Bonds of Sisterhood")</f>
        <v>Bonds of Sisterhood</v>
      </c>
      <c r="F69" s="2" t="str">
        <f ca="1">IFERROR(__xludf.DUMMYFUNCTION("""COMPUTED_VALUE"""),"Generic: Hentai World")</f>
        <v>Generic: Hentai World</v>
      </c>
      <c r="G69" s="2" t="str">
        <f ca="1">IFERROR(__xludf.DUMMYFUNCTION("""COMPUTED_VALUE"""),"Relationships")</f>
        <v>Relationships</v>
      </c>
      <c r="H69" s="2" t="str">
        <f ca="1">IFERROR(__xludf.DUMMYFUNCTION("""COMPUTED_VALUE"""),"A true harem is more than just a collection of people you have sex with: it’s a family, and family hangs together through thick and thin even if they don’t like each other. Your harem is empowered by the strength of that bond, and the tighter the bond the"&amp;" tighter the harem will be in turn. This perk helps your haremettes cooperate with each other more effectively: given two girls whose only relationship is with you, they’ll find it much easier to make their individual efforts click together and support ea"&amp;"ch other instead of tripping their partner up. Take the same two girls and make their relationship as strong with each other as it is with you, whether as friends or lovers or romantic rivals, and they'll laugh off mind-control or even the most insidious "&amp;"attempts to turn them against each other. This works for all group activities, from singing a duet to cooking a meal to group sex.")</f>
        <v>A true harem is more than just a collection of people you have sex with: it’s a family, and family hangs together through thick and thin even if they don’t like each other. Your harem is empowered by the strength of that bond, and the tighter the bond the tighter the harem will be in turn. This perk helps your haremettes cooperate with each other more effectively: given two girls whose only relationship is with you, they’ll find it much easier to make their individual efforts click together and support each other instead of tripping their partner up. Take the same two girls and make their relationship as strong with each other as it is with you, whether as friends or lovers or romantic rivals, and they'll laugh off mind-control or even the most insidious attempts to turn them against each other. This works for all group activities, from singing a duet to cooking a meal to group sex.</v>
      </c>
      <c r="I69" s="5"/>
    </row>
    <row r="70" spans="1:9" ht="174" x14ac:dyDescent="0.25">
      <c r="A70" s="16"/>
      <c r="B70" s="17">
        <v>66</v>
      </c>
      <c r="C70" s="2" t="b">
        <f ca="1">IFERROR(__xludf.DUMMYFUNCTION("""COMPUTED_VALUE"""),FALSE)</f>
        <v>0</v>
      </c>
      <c r="D70" s="2">
        <f ca="1">IFERROR(__xludf.DUMMYFUNCTION("""COMPUTED_VALUE"""),400)</f>
        <v>400</v>
      </c>
      <c r="E70" s="2" t="str">
        <f ca="1">IFERROR(__xludf.DUMMYFUNCTION("""COMPUTED_VALUE"""),"Fine Print")</f>
        <v>Fine Print</v>
      </c>
      <c r="F70" s="2" t="str">
        <f ca="1">IFERROR(__xludf.DUMMYFUNCTION("""COMPUTED_VALUE"""),"Naruto Blacked")</f>
        <v>Naruto Blacked</v>
      </c>
      <c r="G70" s="2" t="str">
        <f ca="1">IFERROR(__xludf.DUMMYFUNCTION("""COMPUTED_VALUE"""),"Relationships")</f>
        <v>Relationships</v>
      </c>
      <c r="H70" s="2" t="str">
        <f ca="1">IFERROR(__xludf.DUMMYFUNCTION("""COMPUTED_VALUE"""),"Whether in the business world or in politics, one rule should never be forgotten: always read the fine print. Fortunately for you, this rule is often ignored or forgotten, allowing you to take advantage of naive leaders who put too much trust in you. This"&amp;" item is an addendum or clause which you can add to any treaties and other agreements that you are a part of, such as diplomatic documents or legal dealings. This addition will usually involve you being able to fuck someone’s wife and get a child out of i"&amp;"t or a similar clause along the same lines. Whatever the case, as long as you can slip this clause into a contract and trick the other party into signing off on it, it will be treated as legally binding by all involved parties; no matter how outraged the "&amp;"husband might be when he realizes he has to sit and watch you impregnate his wife, he’ll have no choice but to abide by the contract he signed.")</f>
        <v>Whether in the business world or in politics, one rule should never be forgotten: always read the fine print. Fortunately for you, this rule is often ignored or forgotten, allowing you to take advantage of naive leaders who put too much trust in you. This item is an addendum or clause which you can add to any treaties and other agreements that you are a part of, such as diplomatic documents or legal dealings. This addition will usually involve you being able to fuck someone’s wife and get a child out of it or a similar clause along the same lines. Whatever the case, as long as you can slip this clause into a contract and trick the other party into signing off on it, it will be treated as legally binding by all involved parties; no matter how outraged the husband might be when he realizes he has to sit and watch you impregnate his wife, he’ll have no choice but to abide by the contract he signed.</v>
      </c>
      <c r="I70" s="5"/>
    </row>
    <row r="71" spans="1:9" ht="139.19999999999999" x14ac:dyDescent="0.25">
      <c r="A71" s="16"/>
      <c r="B71" s="17">
        <v>67</v>
      </c>
      <c r="C71" s="2" t="b">
        <f ca="1">IFERROR(__xludf.DUMMYFUNCTION("""COMPUTED_VALUE"""),FALSE)</f>
        <v>0</v>
      </c>
      <c r="D71" s="2">
        <f ca="1">IFERROR(__xludf.DUMMYFUNCTION("""COMPUTED_VALUE"""),400)</f>
        <v>400</v>
      </c>
      <c r="E71" s="2" t="str">
        <f ca="1">IFERROR(__xludf.DUMMYFUNCTION("""COMPUTED_VALUE"""),"Girls Love")</f>
        <v>Girls Love</v>
      </c>
      <c r="F71" s="2" t="str">
        <f ca="1">IFERROR(__xludf.DUMMYFUNCTION("""COMPUTED_VALUE"""),"Submission Sailor Moon")</f>
        <v>Submission Sailor Moon</v>
      </c>
      <c r="G71" s="2" t="str">
        <f ca="1">IFERROR(__xludf.DUMMYFUNCTION("""COMPUTED_VALUE"""),"Relationships")</f>
        <v>Relationships</v>
      </c>
      <c r="H71" s="2" t="str">
        <f ca="1">IFERROR(__xludf.DUMMYFUNCTION("""COMPUTED_VALUE"""),"The power of love isn’t just for Usagi and Mamoru to enjoy: the other Senshi all love their moon princess too, whether romantically or otherwise. There’s just something about her that makes Usagi easy to love, and whatever that something is you’ve got it "&amp;"too. Making new friends is so easy you can almost do it by accident just being nice and supportive of those around you, and putting real effort in will make the kinds of friendships that last a lifetime. If you choose you can have your efforts forge equal"&amp;"ly-powerful bonds of love instead, either of the platonic or romantic variety, and those who love you do so unconditionally, even if you surround yourself with a vast harem of lovers or choose only one of them as your “real” partner.")</f>
        <v>The power of love isn’t just for Usagi and Mamoru to enjoy: the other Senshi all love their moon princess too, whether romantically or otherwise. There’s just something about her that makes Usagi easy to love, and whatever that something is you’ve got it too. Making new friends is so easy you can almost do it by accident just being nice and supportive of those around you, and putting real effort in will make the kinds of friendships that last a lifetime. If you choose you can have your efforts forge equally-powerful bonds of love instead, either of the platonic or romantic variety, and those who love you do so unconditionally, even if you surround yourself with a vast harem of lovers or choose only one of them as your “real” partner.</v>
      </c>
      <c r="I71" s="5"/>
    </row>
    <row r="72" spans="1:9" ht="174" x14ac:dyDescent="0.25">
      <c r="A72" s="16"/>
      <c r="B72" s="17">
        <v>68</v>
      </c>
      <c r="C72" s="2" t="b">
        <f ca="1">IFERROR(__xludf.DUMMYFUNCTION("""COMPUTED_VALUE"""),FALSE)</f>
        <v>0</v>
      </c>
      <c r="D72" s="2">
        <f ca="1">IFERROR(__xludf.DUMMYFUNCTION("""COMPUTED_VALUE"""),400)</f>
        <v>400</v>
      </c>
      <c r="E72" s="2" t="str">
        <f ca="1">IFERROR(__xludf.DUMMYFUNCTION("""COMPUTED_VALUE"""),"It's Dangerous to Go Alone")</f>
        <v>It's Dangerous to Go Alone</v>
      </c>
      <c r="F72" s="2" t="str">
        <f ca="1">IFERROR(__xludf.DUMMYFUNCTION("""COMPUTED_VALUE"""),"Breathless Wild")</f>
        <v>Breathless Wild</v>
      </c>
      <c r="G72" s="2" t="str">
        <f ca="1">IFERROR(__xludf.DUMMYFUNCTION("""COMPUTED_VALUE"""),"Relationships")</f>
        <v>Relationships</v>
      </c>
      <c r="H72" s="2" t="str">
        <f ca="1">IFERROR(__xludf.DUMMYFUNCTION("""COMPUTED_VALUE"""),"Adventuring by yourself is a lonely and dangerous affair, and wise heroes know to travel with at least one companion at all times. You’re a natural leader whose commanding presence and leadership skills foster harmony and teamwork between you and your all"&amp;"ies, creating a well-oiled machine whose strength is far greater than the sum of its parts. Your mere presence radiates courage and strength and empowers your allies with a portion of your strength and skill, enough so that even a sheltered princess can h"&amp;"old her own in a fight. With your guidance your allies will work together seamlessly, their attacks and defenses flowing together into effortless and powerful combos. This camaraderie sticks around even after the battle is won, forging fast friendships an"&amp;"d turning rivals for your affection into sisters-in-arms. Try not to be too surprised when your adventuring party inevitably turns into a battle harem.")</f>
        <v>Adventuring by yourself is a lonely and dangerous affair, and wise heroes know to travel with at least one companion at all times. You’re a natural leader whose commanding presence and leadership skills foster harmony and teamwork between you and your allies, creating a well-oiled machine whose strength is far greater than the sum of its parts. Your mere presence radiates courage and strength and empowers your allies with a portion of your strength and skill, enough so that even a sheltered princess can hold her own in a fight. With your guidance your allies will work together seamlessly, their attacks and defenses flowing together into effortless and powerful combos. This camaraderie sticks around even after the battle is won, forging fast friendships and turning rivals for your affection into sisters-in-arms. Try not to be too surprised when your adventuring party inevitably turns into a battle harem.</v>
      </c>
      <c r="I72" s="5"/>
    </row>
    <row r="73" spans="1:9" ht="156.6" x14ac:dyDescent="0.25">
      <c r="A73" s="16"/>
      <c r="B73" s="17">
        <v>69</v>
      </c>
      <c r="C73" s="2" t="b">
        <f ca="1">IFERROR(__xludf.DUMMYFUNCTION("""COMPUTED_VALUE"""),FALSE)</f>
        <v>0</v>
      </c>
      <c r="D73" s="2">
        <f ca="1">IFERROR(__xludf.DUMMYFUNCTION("""COMPUTED_VALUE"""),400)</f>
        <v>400</v>
      </c>
      <c r="E73" s="2" t="str">
        <f ca="1">IFERROR(__xludf.DUMMYFUNCTION("""COMPUTED_VALUE"""),"Just Run Away")</f>
        <v>Just Run Away</v>
      </c>
      <c r="F73" s="2" t="str">
        <f ca="1">IFERROR(__xludf.DUMMYFUNCTION("""COMPUTED_VALUE"""),"Merry Marry")</f>
        <v>Merry Marry</v>
      </c>
      <c r="G73" s="2" t="str">
        <f ca="1">IFERROR(__xludf.DUMMYFUNCTION("""COMPUTED_VALUE"""),"Relationships")</f>
        <v>Relationships</v>
      </c>
      <c r="H73" s="2" t="str">
        <f ca="1">IFERROR(__xludf.DUMMYFUNCTION("""COMPUTED_VALUE"""),"Two timelines are described in the introduction. Allow me to tell you about a third. At some point, unknown if it’s following one of the others, Sasuke and Itachi run away from Konoha. Itachi’s illness slows them down, but the two live in relative peace, "&amp;"albeit on the run for quite some time. I’ve no doubt that Naruto would have chased him, and yet... abandoning Konoha for love, instead of revenge? Perhaps he wouldn’t chase Sasuke after all. So, this. If you really want to, you can run away from your resp"&amp;"onsibilities. Clan heir, policeman, someone with a valuable bloodline, none of that matters. Just drop everything and run away with your love, and the powers that be will let you. I don’t promise that your enemies won’t find out and come looking, or even "&amp;"that you’ll get the happily ever after you seek. Only a chance to find it without interference.")</f>
        <v>Two timelines are described in the introduction. Allow me to tell you about a third. At some point, unknown if it’s following one of the others, Sasuke and Itachi run away from Konoha. Itachi’s illness slows them down, but the two live in relative peace, albeit on the run for quite some time. I’ve no doubt that Naruto would have chased him, and yet... abandoning Konoha for love, instead of revenge? Perhaps he wouldn’t chase Sasuke after all. So, this. If you really want to, you can run away from your responsibilities. Clan heir, policeman, someone with a valuable bloodline, none of that matters. Just drop everything and run away with your love, and the powers that be will let you. I don’t promise that your enemies won’t find out and come looking, or even that you’ll get the happily ever after you seek. Only a chance to find it without interference.</v>
      </c>
      <c r="I73" s="5"/>
    </row>
    <row r="74" spans="1:9" ht="69.599999999999994" x14ac:dyDescent="0.25">
      <c r="A74" s="16"/>
      <c r="B74" s="17">
        <v>70</v>
      </c>
      <c r="C74" s="2" t="b">
        <f ca="1">IFERROR(__xludf.DUMMYFUNCTION("""COMPUTED_VALUE"""),FALSE)</f>
        <v>0</v>
      </c>
      <c r="D74" s="2">
        <f ca="1">IFERROR(__xludf.DUMMYFUNCTION("""COMPUTED_VALUE"""),400)</f>
        <v>400</v>
      </c>
      <c r="E74" s="2" t="str">
        <f ca="1">IFERROR(__xludf.DUMMYFUNCTION("""COMPUTED_VALUE"""),"King of Beasts")</f>
        <v>King of Beasts</v>
      </c>
      <c r="F74" s="2" t="str">
        <f ca="1">IFERROR(__xludf.DUMMYFUNCTION("""COMPUTED_VALUE"""),"Niplheim’s Hunter")</f>
        <v>Niplheim’s Hunter</v>
      </c>
      <c r="G74" s="2" t="str">
        <f ca="1">IFERROR(__xludf.DUMMYFUNCTION("""COMPUTED_VALUE"""),"Relationships")</f>
        <v>Relationships</v>
      </c>
      <c r="H74" s="2" t="str">
        <f ca="1">IFERROR(__xludf.DUMMYFUNCTION("""COMPUTED_VALUE"""),"Like the Black Demon Beast of old, you can command the respect of other monsters and lead them as a king or general would. With your superior intelligence even dumb beasts lacking sentience can be gathered into a horde and directed like an army. Their ins"&amp;"tincts know that to disobey you is death, and so obey you they shall.")</f>
        <v>Like the Black Demon Beast of old, you can command the respect of other monsters and lead them as a king or general would. With your superior intelligence even dumb beasts lacking sentience can be gathered into a horde and directed like an army. Their instincts know that to disobey you is death, and so obey you they shall.</v>
      </c>
      <c r="I74" s="5"/>
    </row>
    <row r="75" spans="1:9" ht="121.8" x14ac:dyDescent="0.25">
      <c r="A75" s="16"/>
      <c r="B75" s="17">
        <v>71</v>
      </c>
      <c r="C75" s="2" t="b">
        <f ca="1">IFERROR(__xludf.DUMMYFUNCTION("""COMPUTED_VALUE"""),FALSE)</f>
        <v>0</v>
      </c>
      <c r="D75" s="2">
        <f ca="1">IFERROR(__xludf.DUMMYFUNCTION("""COMPUTED_VALUE"""),400)</f>
        <v>400</v>
      </c>
      <c r="E75" s="2" t="str">
        <f ca="1">IFERROR(__xludf.DUMMYFUNCTION("""COMPUTED_VALUE"""),"Love Wins The Day")</f>
        <v>Love Wins The Day</v>
      </c>
      <c r="F75" s="2" t="str">
        <f ca="1">IFERROR(__xludf.DUMMYFUNCTION("""COMPUTED_VALUE"""),"Generic: Shotacon")</f>
        <v>Generic: Shotacon</v>
      </c>
      <c r="G75" s="2" t="str">
        <f ca="1">IFERROR(__xludf.DUMMYFUNCTION("""COMPUTED_VALUE"""),"Relationships")</f>
        <v>Relationships</v>
      </c>
      <c r="H75" s="2" t="str">
        <f ca="1">IFERROR(__xludf.DUMMYFUNCTION("""COMPUTED_VALUE"""),"Let's say some asshole is trying to mug you or that there is someone that will just not take no for a answer, what will you do? You’re a lover, not a fighter, you can't defend yourself! Well this is where the perk comes in. When your lovers are fighting t"&amp;"o protect you, they get a boost in their abilities; how big of a boost they get depends on how much they love you. If they only like you a bit, they will only fight a little bit better than normal. If they are head over heels in love with you then they co"&amp;"uld break their own limits and do things they never thought was possible! Keep your ""special friends"" close Master/Madame!")</f>
        <v>Let's say some asshole is trying to mug you or that there is someone that will just not take no for a answer, what will you do? You’re a lover, not a fighter, you can't defend yourself! Well this is where the perk comes in. When your lovers are fighting to protect you, they get a boost in their abilities; how big of a boost they get depends on how much they love you. If they only like you a bit, they will only fight a little bit better than normal. If they are head over heels in love with you then they could break their own limits and do things they never thought was possible! Keep your "special friends" close Master/Madame!</v>
      </c>
      <c r="I75" s="5"/>
    </row>
    <row r="76" spans="1:9" ht="69.599999999999994" x14ac:dyDescent="0.25">
      <c r="A76" s="16"/>
      <c r="B76" s="17">
        <v>72</v>
      </c>
      <c r="C76" s="2" t="b">
        <f ca="1">IFERROR(__xludf.DUMMYFUNCTION("""COMPUTED_VALUE"""),FALSE)</f>
        <v>0</v>
      </c>
      <c r="D76" s="2">
        <f ca="1">IFERROR(__xludf.DUMMYFUNCTION("""COMPUTED_VALUE"""),400)</f>
        <v>400</v>
      </c>
      <c r="E76" s="2" t="str">
        <f ca="1">IFERROR(__xludf.DUMMYFUNCTION("""COMPUTED_VALUE"""),"Mother Knows Best")</f>
        <v>Mother Knows Best</v>
      </c>
      <c r="F76" s="2" t="str">
        <f ca="1">IFERROR(__xludf.DUMMYFUNCTION("""COMPUTED_VALUE"""),"Generic: Incest")</f>
        <v>Generic: Incest</v>
      </c>
      <c r="G76" s="2" t="str">
        <f ca="1">IFERROR(__xludf.DUMMYFUNCTION("""COMPUTED_VALUE"""),"Relationships")</f>
        <v>Relationships</v>
      </c>
      <c r="H76" s="2" t="str">
        <f ca="1">IFERROR(__xludf.DUMMYFUNCTION("""COMPUTED_VALUE"""),"People tend to defer to your wisdom. When in doubt, they know that you know just what to do, and you’ll be the person they trust in the most. However, this goes above and beyond traditional affection. You’ll find people are far more willing to confess the"&amp;"ir innermost desires to you, even if those desires are for you. Interestingly, this even applies to those who are actively hostile to you.")</f>
        <v>People tend to defer to your wisdom. When in doubt, they know that you know just what to do, and you’ll be the person they trust in the most. However, this goes above and beyond traditional affection. You’ll find people are far more willing to confess their innermost desires to you, even if those desires are for you. Interestingly, this even applies to those who are actively hostile to you.</v>
      </c>
      <c r="I76" s="5"/>
    </row>
    <row r="77" spans="1:9" ht="121.8" x14ac:dyDescent="0.25">
      <c r="A77" s="16"/>
      <c r="B77" s="17">
        <v>73</v>
      </c>
      <c r="C77" s="2" t="b">
        <f ca="1">IFERROR(__xludf.DUMMYFUNCTION("""COMPUTED_VALUE"""),FALSE)</f>
        <v>0</v>
      </c>
      <c r="D77" s="2">
        <f ca="1">IFERROR(__xludf.DUMMYFUNCTION("""COMPUTED_VALUE"""),400)</f>
        <v>400</v>
      </c>
      <c r="E77" s="2" t="str">
        <f ca="1">IFERROR(__xludf.DUMMYFUNCTION("""COMPUTED_VALUE"""),"My Friends are Heart Warriors Too!")</f>
        <v>My Friends are Heart Warriors Too!</v>
      </c>
      <c r="F77" s="2" t="str">
        <f ca="1">IFERROR(__xludf.DUMMYFUNCTION("""COMPUTED_VALUE"""),"Bio-Weapon Quest")</f>
        <v>Bio-Weapon Quest</v>
      </c>
      <c r="G77" s="2" t="str">
        <f ca="1">IFERROR(__xludf.DUMMYFUNCTION("""COMPUTED_VALUE"""),"Relationships")</f>
        <v>Relationships</v>
      </c>
      <c r="H77" s="2" t="str">
        <f ca="1">IFERROR(__xludf.DUMMYFUNCTION("""COMPUTED_VALUE"""),"Your close friends are highly likely to earn, stumble across, or be given similar supernatural powers as you have gained from the local world. If you have unlocked your Heart Power, chances are your girlfriends will unlock it too! If you're a Bio-Weapon, "&amp;"maybe Clandestine Evil Organization Virus will select one of your friends as the next batch of test subjects as well? You could make a real team together.
This only applies to powers that are normally available locally.")</f>
        <v>Your close friends are highly likely to earn, stumble across, or be given similar supernatural powers as you have gained from the local world. If you have unlocked your Heart Power, chances are your girlfriends will unlock it too! If you're a Bio-Weapon, maybe Clandestine Evil Organization Virus will select one of your friends as the next batch of test subjects as well? You could make a real team together.
This only applies to powers that are normally available locally.</v>
      </c>
      <c r="I77" s="5"/>
    </row>
    <row r="78" spans="1:9" ht="104.4" x14ac:dyDescent="0.25">
      <c r="A78" s="16"/>
      <c r="B78" s="17">
        <v>74</v>
      </c>
      <c r="C78" s="2" t="b">
        <f ca="1">IFERROR(__xludf.DUMMYFUNCTION("""COMPUTED_VALUE"""),FALSE)</f>
        <v>0</v>
      </c>
      <c r="D78" s="2">
        <f ca="1">IFERROR(__xludf.DUMMYFUNCTION("""COMPUTED_VALUE"""),400)</f>
        <v>400</v>
      </c>
      <c r="E78" s="2" t="str">
        <f ca="1">IFERROR(__xludf.DUMMYFUNCTION("""COMPUTED_VALUE"""),"None of Your Business")</f>
        <v>None of Your Business</v>
      </c>
      <c r="F78" s="2" t="str">
        <f ca="1">IFERROR(__xludf.DUMMYFUNCTION("""COMPUTED_VALUE"""),"Milk Hunters")</f>
        <v>Milk Hunters</v>
      </c>
      <c r="G78" s="2" t="str">
        <f ca="1">IFERROR(__xludf.DUMMYFUNCTION("""COMPUTED_VALUE"""),"Relationships")</f>
        <v>Relationships</v>
      </c>
      <c r="H78" s="2" t="str">
        <f ca="1">IFERROR(__xludf.DUMMYFUNCTION("""COMPUTED_VALUE"""),"Assuming that you decide to steal/”rescue” the Pretty Cures from Senpai, having a harem of several girls might raise a few eyebrows. Especially if there's an odd age gap. Fortunately, you won’t have to worry about that. From now on, nobody outside of your"&amp;" relationship will judge you or your lover(/s) for anything related to said relationship; the number of people involved, the ages of those involved, the genders of those involved, and so on. This will also work on overprotective family members and jealous"&amp;" exes.")</f>
        <v>Assuming that you decide to steal/”rescue” the Pretty Cures from Senpai, having a harem of several girls might raise a few eyebrows. Especially if there's an odd age gap. Fortunately, you won’t have to worry about that. From now on, nobody outside of your relationship will judge you or your lover(/s) for anything related to said relationship; the number of people involved, the ages of those involved, the genders of those involved, and so on. This will also work on overprotective family members and jealous exes.</v>
      </c>
      <c r="I78" s="5"/>
    </row>
    <row r="79" spans="1:9" ht="139.19999999999999" x14ac:dyDescent="0.25">
      <c r="A79" s="16"/>
      <c r="B79" s="17">
        <v>75</v>
      </c>
      <c r="C79" s="2" t="b">
        <f ca="1">IFERROR(__xludf.DUMMYFUNCTION("""COMPUTED_VALUE"""),FALSE)</f>
        <v>0</v>
      </c>
      <c r="D79" s="2">
        <f ca="1">IFERROR(__xludf.DUMMYFUNCTION("""COMPUTED_VALUE"""),400)</f>
        <v>400</v>
      </c>
      <c r="E79" s="2" t="str">
        <f ca="1">IFERROR(__xludf.DUMMYFUNCTION("""COMPUTED_VALUE"""),"Resonance")</f>
        <v>Resonance</v>
      </c>
      <c r="F79" s="2" t="str">
        <f ca="1">IFERROR(__xludf.DUMMYFUNCTION("""COMPUTED_VALUE"""),"Dragonaut: The Resonance")</f>
        <v>Dragonaut: The Resonance</v>
      </c>
      <c r="G79" s="2" t="str">
        <f ca="1">IFERROR(__xludf.DUMMYFUNCTION("""COMPUTED_VALUE"""),"Relationships")</f>
        <v>Relationships</v>
      </c>
      <c r="H79" s="2" t="str">
        <f ca="1">IFERROR(__xludf.DUMMYFUNCTION("""COMPUTED_VALUE"""),"This is a very potent thing. The ability to bind others so deeply to you. Taking this Perk allows you to freely Resonate with as many individuals as you like so long as you can touch them and they are willing. This deep bond amplifies the potency of anyth"&amp;"ing ‘team’ related that you do with your Resonated partners by several orders of magnitude, sped by a communication between you that is practically telepathy. As this is a Perk, Resonances you form with it will be made without the potentially devastating "&amp;"feedback effects if you or your partner dies, and any negative mental attributes or conditions cannot flow across either. Additionally, having this Perk makes you very interesting to cosmic-level entities, take that how you will.")</f>
        <v>This is a very potent thing. The ability to bind others so deeply to you. Taking this Perk allows you to freely Resonate with as many individuals as you like so long as you can touch them and they are willing. This deep bond amplifies the potency of anything ‘team’ related that you do with your Resonated partners by several orders of magnitude, sped by a communication between you that is practically telepathy. As this is a Perk, Resonances you form with it will be made without the potentially devastating feedback effects if you or your partner dies, and any negative mental attributes or conditions cannot flow across either. Additionally, having this Perk makes you very interesting to cosmic-level entities, take that how you will.</v>
      </c>
      <c r="I79" s="5"/>
    </row>
    <row r="80" spans="1:9" ht="139.19999999999999" x14ac:dyDescent="0.25">
      <c r="A80" s="16"/>
      <c r="B80" s="17">
        <v>76</v>
      </c>
      <c r="C80" s="2" t="b">
        <f ca="1">IFERROR(__xludf.DUMMYFUNCTION("""COMPUTED_VALUE"""),FALSE)</f>
        <v>0</v>
      </c>
      <c r="D80" s="2">
        <f ca="1">IFERROR(__xludf.DUMMYFUNCTION("""COMPUTED_VALUE"""),400)</f>
        <v>400</v>
      </c>
      <c r="E80" s="2" t="str">
        <f ca="1">IFERROR(__xludf.DUMMYFUNCTION("""COMPUTED_VALUE"""),"Shield of Rousing Resolution")</f>
        <v>Shield of Rousing Resolution</v>
      </c>
      <c r="F80" s="2" t="str">
        <f ca="1">IFERROR(__xludf.DUMMYFUNCTION("""COMPUTED_VALUE"""),"Fate/Grand Master")</f>
        <v>Fate/Grand Master</v>
      </c>
      <c r="G80" s="2" t="str">
        <f ca="1">IFERROR(__xludf.DUMMYFUNCTION("""COMPUTED_VALUE"""),"Relationships")</f>
        <v>Relationships</v>
      </c>
      <c r="H80" s="2" t="str">
        <f ca="1">IFERROR(__xludf.DUMMYFUNCTION("""COMPUTED_VALUE"""),"A servant’s most important duty is protecting their master from anything that might threaten them. Much like Mash, you're able to project your defensive abilities across any mystic bond between you and another in order to cover for them, allowing you to p"&amp;"assively intercept many effects like spells, poisons, or curses by redirecting their effects onto yourself and your own defensive capabilities. Curiously, effects which impact your partner often affect you in far more perverse ways than was intended. A de"&amp;"adly spell rebounds off of its intended target and strikes you as a genderswap curse, while a dose of poison might transform into an aphrodisiac once it’s in your veins. Take care however, as anything you can’t endure can’t be redirected.")</f>
        <v>A servant’s most important duty is protecting their master from anything that might threaten them. Much like Mash, you're able to project your defensive abilities across any mystic bond between you and another in order to cover for them, allowing you to passively intercept many effects like spells, poisons, or curses by redirecting their effects onto yourself and your own defensive capabilities. Curiously, effects which impact your partner often affect you in far more perverse ways than was intended. A deadly spell rebounds off of its intended target and strikes you as a genderswap curse, while a dose of poison might transform into an aphrodisiac once it’s in your veins. Take care however, as anything you can’t endure can’t be redirected.</v>
      </c>
      <c r="I80" s="5"/>
    </row>
    <row r="81" spans="1:9" ht="87" x14ac:dyDescent="0.25">
      <c r="A81" s="16"/>
      <c r="B81" s="17">
        <v>77</v>
      </c>
      <c r="C81" s="2" t="b">
        <f ca="1">IFERROR(__xludf.DUMMYFUNCTION("""COMPUTED_VALUE"""),FALSE)</f>
        <v>0</v>
      </c>
      <c r="D81" s="2">
        <f ca="1">IFERROR(__xludf.DUMMYFUNCTION("""COMPUTED_VALUE"""),400)</f>
        <v>400</v>
      </c>
      <c r="E81" s="2" t="str">
        <f ca="1">IFERROR(__xludf.DUMMYFUNCTION("""COMPUTED_VALUE"""),"Staying on Their Good Side")</f>
        <v>Staying on Their Good Side</v>
      </c>
      <c r="F81" s="2" t="str">
        <f ca="1">IFERROR(__xludf.DUMMYFUNCTION("""COMPUTED_VALUE"""),"Mind Control University")</f>
        <v>Mind Control University</v>
      </c>
      <c r="G81" s="2" t="str">
        <f ca="1">IFERROR(__xludf.DUMMYFUNCTION("""COMPUTED_VALUE"""),"Relationships")</f>
        <v>Relationships</v>
      </c>
      <c r="H81" s="2" t="str">
        <f ca="1">IFERROR(__xludf.DUMMYFUNCTION("""COMPUTED_VALUE"""),"Just because you know what to do to keep one person happy doesn’t necessarily mean you’ll be their favorite or that everyone will be happy. But you are preternaturally aware of how to stay on a person’s good side, what things to avoid doing or saying, as "&amp;"well as general ways to ingratiate yourself. You can, to a lesser extent, use this to help other people stay on others’ good sides by exploiting your knowledge of what works.")</f>
        <v>Just because you know what to do to keep one person happy doesn’t necessarily mean you’ll be their favorite or that everyone will be happy. But you are preternaturally aware of how to stay on a person’s good side, what things to avoid doing or saying, as well as general ways to ingratiate yourself. You can, to a lesser extent, use this to help other people stay on others’ good sides by exploiting your knowledge of what works.</v>
      </c>
      <c r="I81" s="5"/>
    </row>
    <row r="82" spans="1:9" ht="156.6" x14ac:dyDescent="0.25">
      <c r="A82" s="16"/>
      <c r="B82" s="17">
        <v>78</v>
      </c>
      <c r="C82" s="2" t="b">
        <f ca="1">IFERROR(__xludf.DUMMYFUNCTION("""COMPUTED_VALUE"""),FALSE)</f>
        <v>0</v>
      </c>
      <c r="D82" s="2">
        <f ca="1">IFERROR(__xludf.DUMMYFUNCTION("""COMPUTED_VALUE"""),400)</f>
        <v>400</v>
      </c>
      <c r="E82" s="2" t="str">
        <f ca="1">IFERROR(__xludf.DUMMYFUNCTION("""COMPUTED_VALUE"""),"Sweet Romance")</f>
        <v>Sweet Romance</v>
      </c>
      <c r="F82" s="2" t="str">
        <f ca="1">IFERROR(__xludf.DUMMYFUNCTION("""COMPUTED_VALUE"""),"Naruto Blacked")</f>
        <v>Naruto Blacked</v>
      </c>
      <c r="G82" s="2" t="str">
        <f ca="1">IFERROR(__xludf.DUMMYFUNCTION("""COMPUTED_VALUE"""),"Relationships")</f>
        <v>Relationships</v>
      </c>
      <c r="H82" s="2" t="str">
        <f ca="1">IFERROR(__xludf.DUMMYFUNCTION("""COMPUTED_VALUE"""),"These Cloud Nin brutes talk a big game but they don’t know the first thing about romance or the power of love, something you and yours are intimately familiar with. When you have an intimate loving relationship with another person everything you do togeth"&amp;"er is magnified by the strength of your love. When you’re on the battlefield you can weave your attacks together as if you were a single person, while in the bedroom you both benefit from each others’ skill and stamina. Even if one of you is completely in"&amp;"experienced, by working together the more accomplished lover can cover the shortcomings of his or her partner and share whatever skills they might have. Even a virgin princess can learn how to fight like a kage and suck cock like a champion in no time at "&amp;"all as long as her lover has the knowledge and the patience to teach her.")</f>
        <v>These Cloud Nin brutes talk a big game but they don’t know the first thing about romance or the power of love, something you and yours are intimately familiar with. When you have an intimate loving relationship with another person everything you do together is magnified by the strength of your love. When you’re on the battlefield you can weave your attacks together as if you were a single person, while in the bedroom you both benefit from each others’ skill and stamina. Even if one of you is completely inexperienced, by working together the more accomplished lover can cover the shortcomings of his or her partner and share whatever skills they might have. Even a virgin princess can learn how to fight like a kage and suck cock like a champion in no time at all as long as her lover has the knowledge and the patience to teach her.</v>
      </c>
      <c r="I82" s="5"/>
    </row>
    <row r="83" spans="1:9" ht="226.2" x14ac:dyDescent="0.25">
      <c r="A83" s="16"/>
      <c r="B83" s="17">
        <v>79</v>
      </c>
      <c r="C83" s="2" t="b">
        <f ca="1">IFERROR(__xludf.DUMMYFUNCTION("""COMPUTED_VALUE"""),FALSE)</f>
        <v>0</v>
      </c>
      <c r="D83" s="2">
        <f ca="1">IFERROR(__xludf.DUMMYFUNCTION("""COMPUTED_VALUE"""),400)</f>
        <v>400</v>
      </c>
      <c r="E83" s="2" t="str">
        <f ca="1">IFERROR(__xludf.DUMMYFUNCTION("""COMPUTED_VALUE"""),"Waifu")</f>
        <v>Waifu</v>
      </c>
      <c r="F83" s="2" t="str">
        <f ca="1">IFERROR(__xludf.DUMMYFUNCTION("""COMPUTED_VALUE"""),"Milk Hunters")</f>
        <v>Milk Hunters</v>
      </c>
      <c r="G83" s="2" t="str">
        <f ca="1">IFERROR(__xludf.DUMMYFUNCTION("""COMPUTED_VALUE"""),"Relationships")</f>
        <v>Relationships</v>
      </c>
      <c r="H83" s="2" t="str">
        <f ca="1">IFERROR(__xludf.DUMMYFUNCTION("""COMPUTED_VALUE"""),"People who hold power over you tend to develop soft spots for you. Not necessarily enough for a slave owner to set you free, for example, but said slave owner would give you the easier jobs, and be a bit more lenient with their punishments. Or, to use an "&amp;"example a bit closer to home, Senpai would have fairly vanilla sex with you, rather than making you give him rimjobs, drink his piss, and “punishing” you for your friends saying that he’s gross by fucking you as hard as he can. He would also be a lot more"&amp;" likely to take you talking about how disgusting he is as “being tsundere,” rather than thinking that you’re genuine.
Obviously, this can only be pushed so far. If you try to murder the one who has power over you, or if you make repeated attempts to esc"&amp;"ape their grasp in a short amount of time, their good will towards you will quickly run out, though acting subservient for a while will help to restore it. Likewise, if the one with power over you is literally incapable of developing a soft spot for you, "&amp;"such as a complete sociopath, or if they can’t go easy on you for some reason, this perk won’t help much.")</f>
        <v>People who hold power over you tend to develop soft spots for you. Not necessarily enough for a slave owner to set you free, for example, but said slave owner would give you the easier jobs, and be a bit more lenient with their punishments. Or, to use an example a bit closer to home, Senpai would have fairly vanilla sex with you, rather than making you give him rimjobs, drink his piss, and “punishing” you for your friends saying that he’s gross by fucking you as hard as he can. He would also be a lot more likely to take you talking about how disgusting he is as “being tsundere,” rather than thinking that you’re genuine.
Obviously, this can only be pushed so far. If you try to murder the one who has power over you, or if you make repeated attempts to escape their grasp in a short amount of time, their good will towards you will quickly run out, though acting subservient for a while will help to restore it. Likewise, if the one with power over you is literally incapable of developing a soft spot for you, such as a complete sociopath, or if they can’t go easy on you for some reason, this perk won’t help much.</v>
      </c>
      <c r="I83" s="5"/>
    </row>
    <row r="84" spans="1:9" ht="174" x14ac:dyDescent="0.25">
      <c r="A84" s="16"/>
      <c r="B84" s="17">
        <v>80</v>
      </c>
      <c r="C84" s="2" t="b">
        <f ca="1">IFERROR(__xludf.DUMMYFUNCTION("""COMPUTED_VALUE"""),FALSE)</f>
        <v>0</v>
      </c>
      <c r="D84" s="2">
        <f ca="1">IFERROR(__xludf.DUMMYFUNCTION("""COMPUTED_VALUE"""),400)</f>
        <v>400</v>
      </c>
      <c r="E84" s="2" t="str">
        <f ca="1">IFERROR(__xludf.DUMMYFUNCTION("""COMPUTED_VALUE"""),"Wedding Rings")</f>
        <v>Wedding Rings</v>
      </c>
      <c r="F84" s="2" t="str">
        <f ca="1">IFERROR(__xludf.DUMMYFUNCTION("""COMPUTED_VALUE"""),"Naruto Blacked")</f>
        <v>Naruto Blacked</v>
      </c>
      <c r="G84" s="2" t="str">
        <f ca="1">IFERROR(__xludf.DUMMYFUNCTION("""COMPUTED_VALUE"""),"Relationships")</f>
        <v>Relationships</v>
      </c>
      <c r="H84" s="2" t="str">
        <f ca="1">IFERROR(__xludf.DUMMYFUNCTION("""COMPUTED_VALUE"""),"These beautiful little relics are much more than they first appear. At first glance you might be tempted to assume that these two wedding rings are merely a pair of especially well-made pieces of jewelry but they are actually ancient relics of the Ninshu "&amp;"religion, hand-made by Hagoromo himself and designed to allow a husband and wife to join together on a spiritual level and share in each others’ power. So long as you and a loved one wear these rings your spiritual energies are permanently linked, allowin"&amp;"g for things such as wordless communication over any distance, sharing energy and merging techniques into combination attacks, and helping each other to train your spiritual powers and rise up to the same level if one of you is much stronger than the othe"&amp;"r. You can even transmit thoughts and memories, or enter each others’ minds to fight off hostile influences, like genjutsu or an inner demon raging out of control.")</f>
        <v>These beautiful little relics are much more than they first appear. At first glance you might be tempted to assume that these two wedding rings are merely a pair of especially well-made pieces of jewelry but they are actually ancient relics of the Ninshu religion, hand-made by Hagoromo himself and designed to allow a husband and wife to join together on a spiritual level and share in each others’ power. So long as you and a loved one wear these rings your spiritual energies are permanently linked, allowing for things such as wordless communication over any distance, sharing energy and merging techniques into combination attacks, and helping each other to train your spiritual powers and rise up to the same level if one of you is much stronger than the other. You can even transmit thoughts and memories, or enter each others’ minds to fight off hostile influences, like genjutsu or an inner demon raging out of control.</v>
      </c>
      <c r="I84" s="5"/>
    </row>
    <row r="85" spans="1:9" ht="52.2" x14ac:dyDescent="0.25">
      <c r="A85" s="16"/>
      <c r="B85" s="17">
        <v>81</v>
      </c>
      <c r="C85" s="2" t="b">
        <f ca="1">IFERROR(__xludf.DUMMYFUNCTION("""COMPUTED_VALUE"""),FALSE)</f>
        <v>0</v>
      </c>
      <c r="D85" s="2">
        <f ca="1">IFERROR(__xludf.DUMMYFUNCTION("""COMPUTED_VALUE"""),400)</f>
        <v>400</v>
      </c>
      <c r="E85" s="2" t="str">
        <f ca="1">IFERROR(__xludf.DUMMYFUNCTION("""COMPUTED_VALUE"""),"What Happens at School")</f>
        <v>What Happens at School</v>
      </c>
      <c r="F85" s="2" t="str">
        <f ca="1">IFERROR(__xludf.DUMMYFUNCTION("""COMPUTED_VALUE"""),"Generic: Lewd School")</f>
        <v>Generic: Lewd School</v>
      </c>
      <c r="G85" s="2" t="str">
        <f ca="1">IFERROR(__xludf.DUMMYFUNCTION("""COMPUTED_VALUE"""),"Relationships")</f>
        <v>Relationships</v>
      </c>
      <c r="H85" s="2" t="str">
        <f ca="1">IFERROR(__xludf.DUMMYFUNCTION("""COMPUTED_VALUE"""),"Stays at school; or rather, at any property you are in charge of. Certain rumors could damage your reputation, like your private ‘discussions’ or the sex club in the basement of the school. With this, there's no need for people to know about those. What h"&amp;"appens at school, stays at school.")</f>
        <v>Stays at school; or rather, at any property you are in charge of. Certain rumors could damage your reputation, like your private ‘discussions’ or the sex club in the basement of the school. With this, there's no need for people to know about those. What happens at school, stays at school.</v>
      </c>
      <c r="I85" s="5"/>
    </row>
    <row r="86" spans="1:9" ht="69.599999999999994" x14ac:dyDescent="0.25">
      <c r="A86" s="16"/>
      <c r="B86" s="17">
        <v>82</v>
      </c>
      <c r="C86" s="2" t="b">
        <f ca="1">IFERROR(__xludf.DUMMYFUNCTION("""COMPUTED_VALUE"""),FALSE)</f>
        <v>0</v>
      </c>
      <c r="D86" s="2">
        <f ca="1">IFERROR(__xludf.DUMMYFUNCTION("""COMPUTED_VALUE"""),400)</f>
        <v>400</v>
      </c>
      <c r="E86" s="2" t="str">
        <f ca="1">IFERROR(__xludf.DUMMYFUNCTION("""COMPUTED_VALUE"""),"Wooing the Demoness")</f>
        <v>Wooing the Demoness</v>
      </c>
      <c r="F86" s="2" t="str">
        <f ca="1">IFERROR(__xludf.DUMMYFUNCTION("""COMPUTED_VALUE"""),"Power Play")</f>
        <v>Power Play</v>
      </c>
      <c r="G86" s="2" t="str">
        <f ca="1">IFERROR(__xludf.DUMMYFUNCTION("""COMPUTED_VALUE"""),"Relationships")</f>
        <v>Relationships</v>
      </c>
      <c r="H86" s="2" t="str">
        <f ca="1">IFERROR(__xludf.DUMMYFUNCTION("""COMPUTED_VALUE"""),"When entering a relationship with someone of an opposing moral or ethical leaning than you, you will always know what to do to slowly wear away at their point of view and bring it more in line with your own; you could convince a rape-happy demon girl to t"&amp;"ry out loving sex, and could eventually persuade her to abandon her quest to revive her king in exchange for a loving life with you.")</f>
        <v>When entering a relationship with someone of an opposing moral or ethical leaning than you, you will always know what to do to slowly wear away at their point of view and bring it more in line with your own; you could convince a rape-happy demon girl to try out loving sex, and could eventually persuade her to abandon her quest to revive her king in exchange for a loving life with you.</v>
      </c>
      <c r="I86" s="5"/>
    </row>
    <row r="87" spans="1:9" ht="174" x14ac:dyDescent="0.25">
      <c r="A87" s="16"/>
      <c r="B87" s="17">
        <v>83</v>
      </c>
      <c r="C87" s="2" t="b">
        <f ca="1">IFERROR(__xludf.DUMMYFUNCTION("""COMPUTED_VALUE"""),FALSE)</f>
        <v>0</v>
      </c>
      <c r="D87" s="2">
        <f ca="1">IFERROR(__xludf.DUMMYFUNCTION("""COMPUTED_VALUE"""),500)</f>
        <v>500</v>
      </c>
      <c r="E87" s="2" t="str">
        <f ca="1">IFERROR(__xludf.DUMMYFUNCTION("""COMPUTED_VALUE"""),"Faithful Wife")</f>
        <v>Faithful Wife</v>
      </c>
      <c r="F87" s="2" t="str">
        <f ca="1">IFERROR(__xludf.DUMMYFUNCTION("""COMPUTED_VALUE"""),"Naruto Blacked")</f>
        <v>Naruto Blacked</v>
      </c>
      <c r="G87" s="2" t="str">
        <f ca="1">IFERROR(__xludf.DUMMYFUNCTION("""COMPUTED_VALUE"""),"Relationships")</f>
        <v>Relationships</v>
      </c>
      <c r="H87" s="2" t="str">
        <f ca="1">IFERROR(__xludf.DUMMYFUNCTION("""COMPUTED_VALUE"""),"What better hope is there for a ninja princess than to have an idyllic marriage to the one she loves most? A sacred union has power of its own even in a world full of demons, spirits, and ninja magic. Regardless of how faithful you’ve been to your partner"&amp;", once you choose to marry another person it becomes almost impossible for the two of you to be unhappy together or be torn apart by external influences. If you were to go through with a forced political marriage to a man you disliked you would find your "&amp;"partner changing himself and becoming more to your liking over time, seemingly by coincidence, while an adversary who seeks to kidnap and use you for his own purposes will find his plans thwarted and derailed at every step, as if destiny itself stood agai"&amp;"nst him. Should you wish to pull the plug on the relationship however you’re free to do so at any time without consequences beyond losing this perk’s benefits until you marry again.")</f>
        <v>What better hope is there for a ninja princess than to have an idyllic marriage to the one she loves most? A sacred union has power of its own even in a world full of demons, spirits, and ninja magic. Regardless of how faithful you’ve been to your partner, once you choose to marry another person it becomes almost impossible for the two of you to be unhappy together or be torn apart by external influences. If you were to go through with a forced political marriage to a man you disliked you would find your partner changing himself and becoming more to your liking over time, seemingly by coincidence, while an adversary who seeks to kidnap and use you for his own purposes will find his plans thwarted and derailed at every step, as if destiny itself stood against him. Should you wish to pull the plug on the relationship however you’re free to do so at any time without consequences beyond losing this perk’s benefits until you marry again.</v>
      </c>
      <c r="I87" s="5"/>
    </row>
    <row r="88" spans="1:9" ht="34.799999999999997" x14ac:dyDescent="0.25">
      <c r="A88" s="16"/>
      <c r="B88" s="17">
        <v>84</v>
      </c>
      <c r="C88" s="2" t="b">
        <f ca="1">IFERROR(__xludf.DUMMYFUNCTION("""COMPUTED_VALUE"""),FALSE)</f>
        <v>0</v>
      </c>
      <c r="D88" s="2">
        <f ca="1">IFERROR(__xludf.DUMMYFUNCTION("""COMPUTED_VALUE"""),500)</f>
        <v>500</v>
      </c>
      <c r="E88" s="2" t="str">
        <f ca="1">IFERROR(__xludf.DUMMYFUNCTION("""COMPUTED_VALUE"""),"Harem Protagonist")</f>
        <v>Harem Protagonist</v>
      </c>
      <c r="F88" s="2" t="str">
        <f ca="1">IFERROR(__xludf.DUMMYFUNCTION("""COMPUTED_VALUE"""),"Sekirei")</f>
        <v>Sekirei</v>
      </c>
      <c r="G88" s="2" t="str">
        <f ca="1">IFERROR(__xludf.DUMMYFUNCTION("""COMPUTED_VALUE"""),"Relationships")</f>
        <v>Relationships</v>
      </c>
      <c r="H88" s="2" t="str">
        <f ca="1">IFERROR(__xludf.DUMMYFUNCTION("""COMPUTED_VALUE"""),"It's in your DNA. Literally. Whether it be Sekirei or any other supernatural being of your preferred gender. If you reach out to them, they will find some reason - mundane or otherwise - to love you.")</f>
        <v>It's in your DNA. Literally. Whether it be Sekirei or any other supernatural being of your preferred gender. If you reach out to them, they will find some reason - mundane or otherwise - to love you.</v>
      </c>
      <c r="I88" s="5"/>
    </row>
    <row r="89" spans="1:9" ht="156.6" x14ac:dyDescent="0.25">
      <c r="A89" s="16"/>
      <c r="B89" s="17">
        <v>85</v>
      </c>
      <c r="C89" s="2" t="b">
        <f ca="1">IFERROR(__xludf.DUMMYFUNCTION("""COMPUTED_VALUE"""),FALSE)</f>
        <v>0</v>
      </c>
      <c r="D89" s="2">
        <f ca="1">IFERROR(__xludf.DUMMYFUNCTION("""COMPUTED_VALUE"""),500)</f>
        <v>500</v>
      </c>
      <c r="E89" s="2" t="str">
        <f ca="1">IFERROR(__xludf.DUMMYFUNCTION("""COMPUTED_VALUE"""),"Kneel before the Master/Madame")</f>
        <v>Kneel before the Master/Madame</v>
      </c>
      <c r="F89" s="2" t="str">
        <f ca="1">IFERROR(__xludf.DUMMYFUNCTION("""COMPUTED_VALUE"""),"World of Lewd Superheroes")</f>
        <v>World of Lewd Superheroes</v>
      </c>
      <c r="G89" s="2" t="str">
        <f ca="1">IFERROR(__xludf.DUMMYFUNCTION("""COMPUTED_VALUE"""),"Relationships")</f>
        <v>Relationships</v>
      </c>
      <c r="H89" s="2" t="str">
        <f ca="1">IFERROR(__xludf.DUMMYFUNCTION("""COMPUTED_VALUE"""),"Heroes insist on making themselves servants of the ignorant masses but no true mastermind would ever allow himself to be shackled, not when his nature demands submission and obedience from his inferiors. You hold yourself above others like a god among men"&amp;", and just like a god your powers grow stronger the more that others submit to you. Ordinary humans grant little power except in large numbers, but powerful heroes and heroines grant much greater strength, bolstering your powers and sharpening your skills"&amp;" until only the greatest foes can challenge you. At the same time, the more that your enemies submit to you the harder it becomes for them to defy you at all, their powers weakening against you the more that you have your way with them. In time even your "&amp;"greatest enemies will kneel before you, broken and submissive.")</f>
        <v>Heroes insist on making themselves servants of the ignorant masses but no true mastermind would ever allow himself to be shackled, not when his nature demands submission and obedience from his inferiors. You hold yourself above others like a god among men, and just like a god your powers grow stronger the more that others submit to you. Ordinary humans grant little power except in large numbers, but powerful heroes and heroines grant much greater strength, bolstering your powers and sharpening your skills until only the greatest foes can challenge you. At the same time, the more that your enemies submit to you the harder it becomes for them to defy you at all, their powers weakening against you the more that you have your way with them. In time even your greatest enemies will kneel before you, broken and submissive.</v>
      </c>
      <c r="I89" s="5"/>
    </row>
    <row r="90" spans="1:9" ht="208.8" x14ac:dyDescent="0.25">
      <c r="A90" s="16"/>
      <c r="B90" s="17">
        <v>86</v>
      </c>
      <c r="C90" s="2" t="b">
        <f ca="1">IFERROR(__xludf.DUMMYFUNCTION("""COMPUTED_VALUE"""),FALSE)</f>
        <v>0</v>
      </c>
      <c r="D90" s="2">
        <f ca="1">IFERROR(__xludf.DUMMYFUNCTION("""COMPUTED_VALUE"""),500)</f>
        <v>500</v>
      </c>
      <c r="E90" s="2" t="str">
        <f ca="1">IFERROR(__xludf.DUMMYFUNCTION("""COMPUTED_VALUE"""),"She is for [You]")</f>
        <v>She is for [You]</v>
      </c>
      <c r="F90" s="2" t="str">
        <f ca="1">IFERROR(__xludf.DUMMYFUNCTION("""COMPUTED_VALUE"""),"Fate / Blacked")</f>
        <v>Fate / Blacked</v>
      </c>
      <c r="G90" s="2" t="str">
        <f ca="1">IFERROR(__xludf.DUMMYFUNCTION("""COMPUTED_VALUE"""),"Relationships")</f>
        <v>Relationships</v>
      </c>
      <c r="H90" s="2" t="str">
        <f ca="1">IFERROR(__xludf.DUMMYFUNCTION("""COMPUTED_VALUE"""),"For all that this world exists for you to be stolen from, you have truly absurd luck in finding and acquiring that even a man with the fattest cock might envy. When you set your sights on an individual, be it becoming friends or lovers, your efforts are v"&amp;"astly magnified. Focusing like this is trivial, as simple as proclaiming that someone is your favorite, out loud or in the privacy of your head. Once the proclamation is made, time spent with them is... richer. Fuller. It is as though the mere moments you"&amp;" spent together were an hour, while the hours become days, and the days make you feel as though you had known her for years. Better still, just as your own focus benefits you, it blunts others attempts at the same. Other men, those who might seek to steal"&amp;" her from you, have their eyes simply pass over her, or are quickly forgotten as hours become minutes and minutes become seconds. More than time as well - drugs pumped into her system fade out far quicker, brainwashing and mind control snaps in half the s"&amp;"econd she lays eyes on you again, and other attempts at physically forcing the issue with her simply go horrendously, possibly hilariously, badly.")</f>
        <v>For all that this world exists for you to be stolen from, you have truly absurd luck in finding and acquiring that even a man with the fattest cock might envy. When you set your sights on an individual, be it becoming friends or lovers, your efforts are vastly magnified. Focusing like this is trivial, as simple as proclaiming that someone is your favorite, out loud or in the privacy of your head. Once the proclamation is made, time spent with them is... richer. Fuller. It is as though the mere moments you spent together were an hour, while the hours become days, and the days make you feel as though you had known her for years. Better still, just as your own focus benefits you, it blunts others attempts at the same. Other men, those who might seek to steal her from you, have their eyes simply pass over her, or are quickly forgotten as hours become minutes and minutes become seconds. More than time as well - drugs pumped into her system fade out far quicker, brainwashing and mind control snaps in half the second she lays eyes on you again, and other attempts at physically forcing the issue with her simply go horrendously, possibly hilariously, badly.</v>
      </c>
      <c r="I90" s="5"/>
    </row>
    <row r="91" spans="1:9" ht="104.4" x14ac:dyDescent="0.25">
      <c r="A91" s="16"/>
      <c r="B91" s="17">
        <v>87</v>
      </c>
      <c r="C91" s="2" t="b">
        <f ca="1">IFERROR(__xludf.DUMMYFUNCTION("""COMPUTED_VALUE"""),FALSE)</f>
        <v>0</v>
      </c>
      <c r="D91" s="2">
        <f ca="1">IFERROR(__xludf.DUMMYFUNCTION("""COMPUTED_VALUE"""),500)</f>
        <v>500</v>
      </c>
      <c r="E91" s="2" t="str">
        <f ca="1">IFERROR(__xludf.DUMMYFUNCTION("""COMPUTED_VALUE"""),"Synchonicity")</f>
        <v>Synchonicity</v>
      </c>
      <c r="F91" s="2" t="str">
        <f ca="1">IFERROR(__xludf.DUMMYFUNCTION("""COMPUTED_VALUE"""),"Valkyrie Drive: Mermaid")</f>
        <v>Valkyrie Drive: Mermaid</v>
      </c>
      <c r="G91" s="2" t="str">
        <f ca="1">IFERROR(__xludf.DUMMYFUNCTION("""COMPUTED_VALUE"""),"Relationships")</f>
        <v>Relationships</v>
      </c>
      <c r="H91" s="2" t="str">
        <f ca="1">IFERROR(__xludf.DUMMYFUNCTION("""COMPUTED_VALUE"""),"It’s such a pain, being able to use/be used by literally everyone on the island, every carrier in the world. How in blazes are you supposed to stick with any one long enough to build a decent rapport? Well, that’s not an issue for you anymore. When you pa"&amp;"ir up with someone, no matter how little you know each other, you’ll find yourself able to work together as if you’d spent years, side-by-side. This is naturally a short-lived boost, as you’ll probably move on after only a little while. But, think of how "&amp;"far you could go if you did decide to stick around...")</f>
        <v>It’s such a pain, being able to use/be used by literally everyone on the island, every carrier in the world. How in blazes are you supposed to stick with any one long enough to build a decent rapport? Well, that’s not an issue for you anymore. When you pair up with someone, no matter how little you know each other, you’ll find yourself able to work together as if you’d spent years, side-by-side. This is naturally a short-lived boost, as you’ll probably move on after only a little while. But, think of how far you could go if you did decide to stick around...</v>
      </c>
      <c r="I91" s="5"/>
    </row>
    <row r="92" spans="1:9" ht="121.8" x14ac:dyDescent="0.25">
      <c r="A92" s="16"/>
      <c r="B92" s="17">
        <v>88</v>
      </c>
      <c r="C92" s="2" t="b">
        <f ca="1">IFERROR(__xludf.DUMMYFUNCTION("""COMPUTED_VALUE"""),FALSE)</f>
        <v>0</v>
      </c>
      <c r="D92" s="2">
        <f ca="1">IFERROR(__xludf.DUMMYFUNCTION("""COMPUTED_VALUE"""),500)</f>
        <v>500</v>
      </c>
      <c r="E92" s="2" t="str">
        <f ca="1">IFERROR(__xludf.DUMMYFUNCTION("""COMPUTED_VALUE"""),"The Power of Love")</f>
        <v>The Power of Love</v>
      </c>
      <c r="F92" s="2" t="str">
        <f ca="1">IFERROR(__xludf.DUMMYFUNCTION("""COMPUTED_VALUE"""),"Milk Hunters")</f>
        <v>Milk Hunters</v>
      </c>
      <c r="G92" s="2" t="str">
        <f ca="1">IFERROR(__xludf.DUMMYFUNCTION("""COMPUTED_VALUE"""),"Relationships")</f>
        <v>Relationships</v>
      </c>
      <c r="H92" s="2" t="str">
        <f ca="1">IFERROR(__xludf.DUMMYFUNCTION("""COMPUTED_VALUE"""),"Much like Senpai, you’re capable of recharging supernatural powers. Unlike him, however, you use Love, instead of cum. The more potent the emotions between yourself and the one that you’re recharging, the more energy you can recover, though this also scal"&amp;"es with the act that you’re performing. A pair of virtual strangers having sex would generate as much power as a happily married husband and wife sharing a kiss, which would be enough to completely refill a Pretty Cure’s “tanks.” In addition, if you “over"&amp;"fill,” the extra energy can be used for a one-time power-up. Something to keep in mind, if you think that they might need the boost in a coming fight.")</f>
        <v>Much like Senpai, you’re capable of recharging supernatural powers. Unlike him, however, you use Love, instead of cum. The more potent the emotions between yourself and the one that you’re recharging, the more energy you can recover, though this also scales with the act that you’re performing. A pair of virtual strangers having sex would generate as much power as a happily married husband and wife sharing a kiss, which would be enough to completely refill a Pretty Cure’s “tanks.” In addition, if you “overfill,” the extra energy can be used for a one-time power-up. Something to keep in mind, if you think that they might need the boost in a coming fight.</v>
      </c>
      <c r="I92" s="5"/>
    </row>
    <row r="93" spans="1:9" ht="191.4" x14ac:dyDescent="0.25">
      <c r="A93" s="16"/>
      <c r="B93" s="17">
        <v>89</v>
      </c>
      <c r="C93" s="2" t="b">
        <f ca="1">IFERROR(__xludf.DUMMYFUNCTION("""COMPUTED_VALUE"""),FALSE)</f>
        <v>0</v>
      </c>
      <c r="D93" s="2">
        <f ca="1">IFERROR(__xludf.DUMMYFUNCTION("""COMPUTED_VALUE"""),600)</f>
        <v>600</v>
      </c>
      <c r="E93" s="2" t="str">
        <f ca="1">IFERROR(__xludf.DUMMYFUNCTION("""COMPUTED_VALUE"""),"(Australian) Kiss for Good Luck")</f>
        <v>(Australian) Kiss for Good Luck</v>
      </c>
      <c r="F93" s="2" t="str">
        <f ca="1">IFERROR(__xludf.DUMMYFUNCTION("""COMPUTED_VALUE"""),"Generic: Lewd Shipgirls")</f>
        <v>Generic: Lewd Shipgirls</v>
      </c>
      <c r="G93" s="2" t="str">
        <f ca="1">IFERROR(__xludf.DUMMYFUNCTION("""COMPUTED_VALUE"""),"Relationships")</f>
        <v>Relationships</v>
      </c>
      <c r="H93" s="2" t="str">
        <f ca="1">IFERROR(__xludf.DUMMYFUNCTION("""COMPUTED_VALUE"""),"People say that getting laid is “getting lucky.” That’s literally true for you and your lovers. Sexual and emotional intimacy gives all of you boosts to luck. The longer the “session,” the slower the boost fades. The more intimate the act, the more powerf"&amp;"ul the boost. 
The level of luck starts with “requires statistics to notice” (at a peck on the cheek) and goes to “your opponents get limited to the bottom five percent of possible results whenever they try to do something to you” (requiring an extensive"&amp;" set of sexual acts along with satisfying each other’s emotional well-being.)
Duration for a boost from a peck on the cheek lasts for a few hours, while spending eight hours in bed can give a boost that lasts for weeks.")</f>
        <v>People say that getting laid is “getting lucky.” That’s literally true for you and your lovers. Sexual and emotional intimacy gives all of you boosts to luck. The longer the “session,” the slower the boost fades. The more intimate the act, the more powerful the boost. 
The level of luck starts with “requires statistics to notice” (at a peck on the cheek) and goes to “your opponents get limited to the bottom five percent of possible results whenever they try to do something to you” (requiring an extensive set of sexual acts along with satisfying each other’s emotional well-being.)
Duration for a boost from a peck on the cheek lasts for a few hours, while spending eight hours in bed can give a boost that lasts for weeks.</v>
      </c>
      <c r="I93" s="5"/>
    </row>
    <row r="94" spans="1:9" ht="104.4" x14ac:dyDescent="0.25">
      <c r="A94" s="16"/>
      <c r="B94" s="17">
        <v>90</v>
      </c>
      <c r="C94" s="2" t="b">
        <f ca="1">IFERROR(__xludf.DUMMYFUNCTION("""COMPUTED_VALUE"""),FALSE)</f>
        <v>0</v>
      </c>
      <c r="D94" s="2">
        <f ca="1">IFERROR(__xludf.DUMMYFUNCTION("""COMPUTED_VALUE"""),600)</f>
        <v>600</v>
      </c>
      <c r="E94" s="2" t="str">
        <f ca="1">IFERROR(__xludf.DUMMYFUNCTION("""COMPUTED_VALUE"""),"A Place to Come Back to")</f>
        <v>A Place to Come Back to</v>
      </c>
      <c r="F94" s="2" t="str">
        <f ca="1">IFERROR(__xludf.DUMMYFUNCTION("""COMPUTED_VALUE"""),"Aki-Akane")</f>
        <v>Aki-Akane</v>
      </c>
      <c r="G94" s="2" t="str">
        <f ca="1">IFERROR(__xludf.DUMMYFUNCTION("""COMPUTED_VALUE"""),"Relationships")</f>
        <v>Relationships</v>
      </c>
      <c r="H94" s="2" t="str">
        <f ca="1">IFERROR(__xludf.DUMMYFUNCTION("""COMPUTED_VALUE"""),"More than anything, Tatsuki didn't want Orihime to fall into the world of ghosts in such a manner that she could never return - in other words, die. As such, you strive to create the one thing that will keep your lover alive more than anything else, a rea"&amp;"son to fight and a place to come back to. With that in mind, you're apparently the perfect housewife, cooking and cleaning better than basically anyone. Beyond that? The more someone loves you, the harder they can fight. The more they want to come home to"&amp;" you, the more wounds they'll simply shrug off. All because they love you.")</f>
        <v>More than anything, Tatsuki didn't want Orihime to fall into the world of ghosts in such a manner that she could never return - in other words, die. As such, you strive to create the one thing that will keep your lover alive more than anything else, a reason to fight and a place to come back to. With that in mind, you're apparently the perfect housewife, cooking and cleaning better than basically anyone. Beyond that? The more someone loves you, the harder they can fight. The more they want to come home to you, the more wounds they'll simply shrug off. All because they love you.</v>
      </c>
      <c r="I94" s="5"/>
    </row>
    <row r="95" spans="1:9" ht="156.6" x14ac:dyDescent="0.25">
      <c r="A95" s="16"/>
      <c r="B95" s="17">
        <v>91</v>
      </c>
      <c r="C95" s="2" t="b">
        <f ca="1">IFERROR(__xludf.DUMMYFUNCTION("""COMPUTED_VALUE"""),FALSE)</f>
        <v>0</v>
      </c>
      <c r="D95" s="2">
        <f ca="1">IFERROR(__xludf.DUMMYFUNCTION("""COMPUTED_VALUE"""),600)</f>
        <v>600</v>
      </c>
      <c r="E95" s="2" t="str">
        <f ca="1">IFERROR(__xludf.DUMMYFUNCTION("""COMPUTED_VALUE"""),"Battle Harem")</f>
        <v>Battle Harem</v>
      </c>
      <c r="F95" s="2" t="str">
        <f ca="1">IFERROR(__xludf.DUMMYFUNCTION("""COMPUTED_VALUE"""),"Generic: Hentai World")</f>
        <v>Generic: Hentai World</v>
      </c>
      <c r="G95" s="2" t="str">
        <f ca="1">IFERROR(__xludf.DUMMYFUNCTION("""COMPUTED_VALUE"""),"Relationships")</f>
        <v>Relationships</v>
      </c>
      <c r="H95" s="2" t="str">
        <f ca="1">IFERROR(__xludf.DUMMYFUNCTION("""COMPUTED_VALUE"""),"You will inevitably face many challenges during the course of your journey, and anyone who hopes to join you on your journey needs to be able to keep up and contribute something to both you and their harem sisters. By pooling their efforts with either eac"&amp;"h other or with you, the members of your harem can achieve results much greater than the sum of their separate abilities. Two warriors creating a combo attack will strike with significantly more power than either could alone, a hacker and thief working to"&amp;"gether could crack hardened security systems with ease, and a scientist and wizard could create revolutionary magitech together. The effects of this perk scale with the number of teammates contributing to a single effort but is capped by the teamwork of a"&amp;"ll involved participants. Woe to the enemy stupid enough to draw the ire of your entire harem at once.")</f>
        <v>You will inevitably face many challenges during the course of your journey, and anyone who hopes to join you on your journey needs to be able to keep up and contribute something to both you and their harem sisters. By pooling their efforts with either each other or with you, the members of your harem can achieve results much greater than the sum of their separate abilities. Two warriors creating a combo attack will strike with significantly more power than either could alone, a hacker and thief working together could crack hardened security systems with ease, and a scientist and wizard could create revolutionary magitech together. The effects of this perk scale with the number of teammates contributing to a single effort but is capped by the teamwork of all involved participants. Woe to the enemy stupid enough to draw the ire of your entire harem at once.</v>
      </c>
      <c r="I95" s="5"/>
    </row>
    <row r="96" spans="1:9" ht="156.6" x14ac:dyDescent="0.25">
      <c r="A96" s="16"/>
      <c r="B96" s="17">
        <v>92</v>
      </c>
      <c r="C96" s="2" t="b">
        <f ca="1">IFERROR(__xludf.DUMMYFUNCTION("""COMPUTED_VALUE"""),FALSE)</f>
        <v>0</v>
      </c>
      <c r="D96" s="2">
        <f ca="1">IFERROR(__xludf.DUMMYFUNCTION("""COMPUTED_VALUE"""),600)</f>
        <v>600</v>
      </c>
      <c r="E96" s="2" t="str">
        <f ca="1">IFERROR(__xludf.DUMMYFUNCTION("""COMPUTED_VALUE"""),"Comfy Puppet")</f>
        <v>Comfy Puppet</v>
      </c>
      <c r="F96" s="2" t="str">
        <f ca="1">IFERROR(__xludf.DUMMYFUNCTION("""COMPUTED_VALUE"""),"Boku To Nottori Nakademia")</f>
        <v>Boku To Nottori Nakademia</v>
      </c>
      <c r="G96" s="2" t="str">
        <f ca="1">IFERROR(__xludf.DUMMYFUNCTION("""COMPUTED_VALUE"""),"Relationships")</f>
        <v>Relationships</v>
      </c>
      <c r="H96" s="2" t="str">
        <f ca="1">IFERROR(__xludf.DUMMYFUNCTION("""COMPUTED_VALUE"""),"Within your chest beats the heart of a heroine, capable of fighting off all manner of villainous control...but why would you do that when you’re being ‘forced’ to do all the things you’ve always wanted to but were too scared to try? You’ll find that when "&amp;"others take control of you your desires bleed through the connection. The longer they control you, the more they’ll find themselves using your body to act out your fantasies without even realizing it. And even from the start, no matter the method of contr"&amp;"ol you’ll find that you’re fully conscious and lucid of what your body’s doing, even as the controller thinks otherwise. Even better, when you finally decide that you’ve had your fun, you’ll find that your efforts to break free from your metaphorical stri"&amp;"ngs to be greatly enhanced even when you really shouldn’t be able to.")</f>
        <v>Within your chest beats the heart of a heroine, capable of fighting off all manner of villainous control...but why would you do that when you’re being ‘forced’ to do all the things you’ve always wanted to but were too scared to try? You’ll find that when others take control of you your desires bleed through the connection. The longer they control you, the more they’ll find themselves using your body to act out your fantasies without even realizing it. And even from the start, no matter the method of control you’ll find that you’re fully conscious and lucid of what your body’s doing, even as the controller thinks otherwise. Even better, when you finally decide that you’ve had your fun, you’ll find that your efforts to break free from your metaphorical strings to be greatly enhanced even when you really shouldn’t be able to.</v>
      </c>
      <c r="I96" s="5"/>
    </row>
    <row r="97" spans="1:9" ht="191.4" x14ac:dyDescent="0.25">
      <c r="A97" s="16"/>
      <c r="B97" s="17">
        <v>93</v>
      </c>
      <c r="C97" s="2" t="b">
        <f ca="1">IFERROR(__xludf.DUMMYFUNCTION("""COMPUTED_VALUE"""),FALSE)</f>
        <v>0</v>
      </c>
      <c r="D97" s="2">
        <f ca="1">IFERROR(__xludf.DUMMYFUNCTION("""COMPUTED_VALUE"""),600)</f>
        <v>600</v>
      </c>
      <c r="E97" s="2" t="str">
        <f ca="1">IFERROR(__xludf.DUMMYFUNCTION("""COMPUTED_VALUE"""),"Dragon Cult")</f>
        <v>Dragon Cult</v>
      </c>
      <c r="F97" s="2" t="str">
        <f ca="1">IFERROR(__xludf.DUMMYFUNCTION("""COMPUTED_VALUE"""),"A Change of Tactics V2.2")</f>
        <v>A Change of Tactics V2.2</v>
      </c>
      <c r="G97" s="2" t="str">
        <f ca="1">IFERROR(__xludf.DUMMYFUNCTION("""COMPUTED_VALUE"""),"Relationships")</f>
        <v>Relationships</v>
      </c>
      <c r="H97" s="2" t="str">
        <f ca="1">IFERROR(__xludf.DUMMYFUNCTION("""COMPUTED_VALUE"""),"My, aren’t you the precocious one? Your actions are guaranteed to gain the attention of a cult of mortals who will be willing to devote their lives to you, akin to the Grimleal or a splinter sect of the Naganites. Your cultists will be ordinary mortals, i"&amp;"nitially numbering no more than 100 or so, but they'll be able to swell their numbers by seducing others into joining the faith. The specifics of the cult’s dogma, practices, and recruitment policies are yours to decide but you are its central figure of w"&amp;"orship no matter what. Your cultists will eagerly serve you any way you desire, sexually or otherwise, but if you wish them to be soldiers or assassins like those of the Grimleal then you’ll have to train them for those roles. Without such training the cu"&amp;"lt’s best use is as a network of spies and informants: they'll have an uncanny knack for infiltrating every corner of society and recruiting in places where their reach is lacking. In future worlds, the cult will reestablish itself as tales of you spread.")</f>
        <v>My, aren’t you the precocious one? Your actions are guaranteed to gain the attention of a cult of mortals who will be willing to devote their lives to you, akin to the Grimleal or a splinter sect of the Naganites. Your cultists will be ordinary mortals, initially numbering no more than 100 or so, but they'll be able to swell their numbers by seducing others into joining the faith. The specifics of the cult’s dogma, practices, and recruitment policies are yours to decide but you are its central figure of worship no matter what. Your cultists will eagerly serve you any way you desire, sexually or otherwise, but if you wish them to be soldiers or assassins like those of the Grimleal then you’ll have to train them for those roles. Without such training the cult’s best use is as a network of spies and informants: they'll have an uncanny knack for infiltrating every corner of society and recruiting in places where their reach is lacking. In future worlds, the cult will reestablish itself as tales of you spread.</v>
      </c>
      <c r="I97" s="5"/>
    </row>
    <row r="98" spans="1:9" ht="104.4" x14ac:dyDescent="0.25">
      <c r="A98" s="16"/>
      <c r="B98" s="17">
        <v>94</v>
      </c>
      <c r="C98" s="2" t="b">
        <f ca="1">IFERROR(__xludf.DUMMYFUNCTION("""COMPUTED_VALUE"""),FALSE)</f>
        <v>0</v>
      </c>
      <c r="D98" s="2">
        <f ca="1">IFERROR(__xludf.DUMMYFUNCTION("""COMPUTED_VALUE"""),600)</f>
        <v>600</v>
      </c>
      <c r="E98" s="2" t="str">
        <f ca="1">IFERROR(__xludf.DUMMYFUNCTION("""COMPUTED_VALUE"""),"Endowment of the Hero")</f>
        <v>Endowment of the Hero</v>
      </c>
      <c r="F98" s="2" t="str">
        <f ca="1">IFERROR(__xludf.DUMMYFUNCTION("""COMPUTED_VALUE"""),"My Bride is the Demon Lord")</f>
        <v>My Bride is the Demon Lord</v>
      </c>
      <c r="G98" s="2" t="str">
        <f ca="1">IFERROR(__xludf.DUMMYFUNCTION("""COMPUTED_VALUE"""),"Relationships")</f>
        <v>Relationships</v>
      </c>
      <c r="H98" s="2" t="str">
        <f ca="1">IFERROR(__xludf.DUMMYFUNCTION("""COMPUTED_VALUE"""),"No, this isn’t about how endowed the Hero is, but rather the gift they can bestow upon others. By having sexual relationships with other people, you can increase their power. For people without magic, this can increase their intellect or physical abilitie"&amp;"s; for people with magic (or some other sort of esoteric ability, such as psychic energy or youki), this will instead strengthen their supernatural powers. There is no limit on how much others can grow, and becoming more powerful will never make it more d"&amp;"ifficult for anyone to control their abilities.")</f>
        <v>No, this isn’t about how endowed the Hero is, but rather the gift they can bestow upon others. By having sexual relationships with other people, you can increase their power. For people without magic, this can increase their intellect or physical abilities; for people with magic (or some other sort of esoteric ability, such as psychic energy or youki), this will instead strengthen their supernatural powers. There is no limit on how much others can grow, and becoming more powerful will never make it more difficult for anyone to control their abilities.</v>
      </c>
      <c r="I98" s="5"/>
    </row>
    <row r="99" spans="1:9" ht="139.19999999999999" x14ac:dyDescent="0.25">
      <c r="A99" s="16"/>
      <c r="B99" s="17">
        <v>95</v>
      </c>
      <c r="C99" s="2" t="b">
        <f ca="1">IFERROR(__xludf.DUMMYFUNCTION("""COMPUTED_VALUE"""),FALSE)</f>
        <v>0</v>
      </c>
      <c r="D99" s="2">
        <f ca="1">IFERROR(__xludf.DUMMYFUNCTION("""COMPUTED_VALUE"""),600)</f>
        <v>600</v>
      </c>
      <c r="E99" s="2" t="str">
        <f ca="1">IFERROR(__xludf.DUMMYFUNCTION("""COMPUTED_VALUE"""),"Eyes of the Moon")</f>
        <v>Eyes of the Moon</v>
      </c>
      <c r="F99" s="2" t="str">
        <f ca="1">IFERROR(__xludf.DUMMYFUNCTION("""COMPUTED_VALUE"""),"Naruto Blacked")</f>
        <v>Naruto Blacked</v>
      </c>
      <c r="G99" s="2" t="str">
        <f ca="1">IFERROR(__xludf.DUMMYFUNCTION("""COMPUTED_VALUE"""),"Relationships")</f>
        <v>Relationships</v>
      </c>
      <c r="H99" s="2" t="str">
        <f ca="1">IFERROR(__xludf.DUMMYFUNCTION("""COMPUTED_VALUE"""),"Are you certain you’re from this world at all? Power like yours has only ever been seen in rare bloodlines like those of the Ōtsutsuki clan, heirs of the Tenseigan and other powers nearly unknown to the elemental nations. Some of this alien blood courses "&amp;"through your veins, granting you a major non-dōjutsu bloodline of your choice. But this is not your only power: just as the moon orbits the earth, you can gain great strength from someone you love. If he wants you to stand beside him in battle, you’ll fin"&amp;"d it easy to train and grow in power to match him - or, if your relationship is based on sex, end up as the best whore the elemental nations have ever seen. This effect grows even stronger with a stronger and deeper relationship to tie you to your beloved"&amp;".")</f>
        <v>Are you certain you’re from this world at all? Power like yours has only ever been seen in rare bloodlines like those of the Ōtsutsuki clan, heirs of the Tenseigan and other powers nearly unknown to the elemental nations. Some of this alien blood courses through your veins, granting you a major non-dōjutsu bloodline of your choice. But this is not your only power: just as the moon orbits the earth, you can gain great strength from someone you love. If he wants you to stand beside him in battle, you’ll find it easy to train and grow in power to match him - or, if your relationship is based on sex, end up as the best whore the elemental nations have ever seen. This effect grows even stronger with a stronger and deeper relationship to tie you to your beloved.</v>
      </c>
      <c r="I99" s="5"/>
    </row>
    <row r="100" spans="1:9" ht="278.39999999999998" x14ac:dyDescent="0.25">
      <c r="A100" s="16"/>
      <c r="B100" s="17">
        <v>96</v>
      </c>
      <c r="C100" s="2" t="b">
        <f ca="1">IFERROR(__xludf.DUMMYFUNCTION("""COMPUTED_VALUE"""),FALSE)</f>
        <v>0</v>
      </c>
      <c r="D100" s="2">
        <f ca="1">IFERROR(__xludf.DUMMYFUNCTION("""COMPUTED_VALUE"""),600)</f>
        <v>600</v>
      </c>
      <c r="E100" s="2" t="str">
        <f ca="1">IFERROR(__xludf.DUMMYFUNCTION("""COMPUTED_VALUE"""),"Field of Red")</f>
        <v>Field of Red</v>
      </c>
      <c r="F100" s="2" t="str">
        <f ca="1">IFERROR(__xludf.DUMMYFUNCTION("""COMPUTED_VALUE"""),"Haramase Simulator")</f>
        <v>Haramase Simulator</v>
      </c>
      <c r="G100" s="2" t="str">
        <f ca="1">IFERROR(__xludf.DUMMYFUNCTION("""COMPUTED_VALUE"""),"Relationships")</f>
        <v>Relationships</v>
      </c>
      <c r="H100" s="2" t="str">
        <f ca="1">IFERROR(__xludf.DUMMYFUNCTION("""COMPUTED_VALUE"""),"We are all born with an infinitely thin, elastic red string tied around our little finger. If you follow it, you will find the other end tied to the corresponding finger of your soul mate. Those sensitive to the spirit world can be trained to find them..."&amp;" But for you, it’s more like a field of red, as if you are the nexus of a massive ball of string, radiating in all directions.
Such a thing is unheard of, at least before the war, but it means that you can find true love with pretty much anyone you meet."&amp;" Depending on the specific woman, it may take work and patience to develop a relationship and commit them fully to your heart, but each and every one of them has the potential to be (one of) your soulmate(s). Each might see something different to love in "&amp;"you, but they will all feel the attraction and quickly come to enjoy your presence. In turn, you may grow to savor every moment with them.
Fate itself will work to make sure circumstances align for you and them to find happiness together, despite not bei"&amp;"ng your sole lover. Even the random girls you pluck from the streets to fuck as a momentary diversion will feel like it was meant to be and carry the memory of you with them forever. Even if you don’t return the sentiment.")</f>
        <v>We are all born with an infinitely thin, elastic red string tied around our little finger. If you follow it, you will find the other end tied to the corresponding finger of your soul mate. Those sensitive to the spirit world can be trained to find them... But for you, it’s more like a field of red, as if you are the nexus of a massive ball of string, radiating in all directions.
Such a thing is unheard of, at least before the war, but it means that you can find true love with pretty much anyone you meet. Depending on the specific woman, it may take work and patience to develop a relationship and commit them fully to your heart, but each and every one of them has the potential to be (one of) your soulmate(s). Each might see something different to love in you, but they will all feel the attraction and quickly come to enjoy your presence. In turn, you may grow to savor every moment with them.
Fate itself will work to make sure circumstances align for you and them to find happiness together, despite not being your sole lover. Even the random girls you pluck from the streets to fuck as a momentary diversion will feel like it was meant to be and carry the memory of you with them forever. Even if you don’t return the sentiment.</v>
      </c>
      <c r="I100" s="5"/>
    </row>
    <row r="101" spans="1:9" ht="191.4" x14ac:dyDescent="0.25">
      <c r="A101" s="16"/>
      <c r="B101" s="17">
        <v>97</v>
      </c>
      <c r="C101" s="2" t="b">
        <f ca="1">IFERROR(__xludf.DUMMYFUNCTION("""COMPUTED_VALUE"""),FALSE)</f>
        <v>0</v>
      </c>
      <c r="D101" s="2">
        <f ca="1">IFERROR(__xludf.DUMMYFUNCTION("""COMPUTED_VALUE"""),600)</f>
        <v>600</v>
      </c>
      <c r="E101" s="2" t="str">
        <f ca="1">IFERROR(__xludf.DUMMYFUNCTION("""COMPUTED_VALUE"""),"Fleet Idol")</f>
        <v>Fleet Idol</v>
      </c>
      <c r="F101" s="2" t="str">
        <f ca="1">IFERROR(__xludf.DUMMYFUNCTION("""COMPUTED_VALUE"""),"Generic: Lewd Shipgirls")</f>
        <v>Generic: Lewd Shipgirls</v>
      </c>
      <c r="G101" s="2" t="str">
        <f ca="1">IFERROR(__xludf.DUMMYFUNCTION("""COMPUTED_VALUE"""),"Relationships")</f>
        <v>Relationships</v>
      </c>
      <c r="H101" s="2" t="str">
        <f ca="1">IFERROR(__xludf.DUMMYFUNCTION("""COMPUTED_VALUE"""),"Fame - what is it good for? Well, boosting you, for starters. You are empowered by fame, with your strength and skills growing with your fame and reputation.
For every person who knows about you, you get stronger and tougher. It’s a straight boost to you"&amp;"r power. Your reputation is a bit more complex. Your skills increase based on what people think you’re good at. If people think you’re a whore, your abilities in bed become much more thorough and refined. (Or crude. Maybe “evidently practiced” would be th"&amp;"e best way to put it.) Have a reputation for not dying, and your damage control skills will shoot up.
Of course, the boost does depend on people knowing you, and the skills fade if not reinforced by your reputation. If you burn your identity or your repu"&amp;"tation fades, this can’t help you.")</f>
        <v>Fame - what is it good for? Well, boosting you, for starters. You are empowered by fame, with your strength and skills growing with your fame and reputation.
For every person who knows about you, you get stronger and tougher. It’s a straight boost to your power. Your reputation is a bit more complex. Your skills increase based on what people think you’re good at. If people think you’re a whore, your abilities in bed become much more thorough and refined. (Or crude. Maybe “evidently practiced” would be the best way to put it.) Have a reputation for not dying, and your damage control skills will shoot up.
Of course, the boost does depend on people knowing you, and the skills fade if not reinforced by your reputation. If you burn your identity or your reputation fades, this can’t help you.</v>
      </c>
      <c r="I101" s="5"/>
    </row>
    <row r="102" spans="1:9" ht="139.19999999999999" x14ac:dyDescent="0.25">
      <c r="A102" s="16"/>
      <c r="B102" s="17">
        <v>98</v>
      </c>
      <c r="C102" s="2" t="b">
        <f ca="1">IFERROR(__xludf.DUMMYFUNCTION("""COMPUTED_VALUE"""),FALSE)</f>
        <v>0</v>
      </c>
      <c r="D102" s="2">
        <f ca="1">IFERROR(__xludf.DUMMYFUNCTION("""COMPUTED_VALUE"""),600)</f>
        <v>600</v>
      </c>
      <c r="E102" s="2" t="str">
        <f ca="1">IFERROR(__xludf.DUMMYFUNCTION("""COMPUTED_VALUE"""),"Flipping the Script")</f>
        <v>Flipping the Script</v>
      </c>
      <c r="F102" s="2" t="str">
        <f ca="1">IFERROR(__xludf.DUMMYFUNCTION("""COMPUTED_VALUE"""),"Bricola")</f>
        <v>Bricola</v>
      </c>
      <c r="G102" s="2" t="str">
        <f ca="1">IFERROR(__xludf.DUMMYFUNCTION("""COMPUTED_VALUE"""),"Relationships")</f>
        <v>Relationships</v>
      </c>
      <c r="H102" s="2" t="str">
        <f ca="1">IFERROR(__xludf.DUMMYFUNCTION("""COMPUTED_VALUE"""),"And now we reach the crown jewel of ridiculousness for this place. You can now replicate Ichigo’s feat of somehow getting a massive shonen powerup from getting laid. The more sex you have, the better your relationship, and the kinkier it is, the larger th"&amp;"e boost you’ll find yourself receiving. Even a short session will see your power increasing by a percentage of your partners, but a day-long marathon fuckfest where you run her to exhaustion might give you everything she has several times over. Sadly, thi"&amp;"s is only a temporary boost lasting a week at most, but that’s still plenty of time to run rampant over those who would stand in your way. And before you ask, no - you’re not draining any power from your partner, so I have no idea how this works.")</f>
        <v>And now we reach the crown jewel of ridiculousness for this place. You can now replicate Ichigo’s feat of somehow getting a massive shonen powerup from getting laid. The more sex you have, the better your relationship, and the kinkier it is, the larger the boost you’ll find yourself receiving. Even a short session will see your power increasing by a percentage of your partners, but a day-long marathon fuckfest where you run her to exhaustion might give you everything she has several times over. Sadly, this is only a temporary boost lasting a week at most, but that’s still plenty of time to run rampant over those who would stand in your way. And before you ask, no - you’re not draining any power from your partner, so I have no idea how this works.</v>
      </c>
      <c r="I102" s="5"/>
    </row>
    <row r="103" spans="1:9" ht="156.6" x14ac:dyDescent="0.25">
      <c r="A103" s="16"/>
      <c r="B103" s="17">
        <v>99</v>
      </c>
      <c r="C103" s="2" t="b">
        <f ca="1">IFERROR(__xludf.DUMMYFUNCTION("""COMPUTED_VALUE"""),FALSE)</f>
        <v>0</v>
      </c>
      <c r="D103" s="2">
        <f ca="1">IFERROR(__xludf.DUMMYFUNCTION("""COMPUTED_VALUE"""),600)</f>
        <v>600</v>
      </c>
      <c r="E103" s="2" t="str">
        <f ca="1">IFERROR(__xludf.DUMMYFUNCTION("""COMPUTED_VALUE"""),"For Their Sake")</f>
        <v>For Their Sake</v>
      </c>
      <c r="F103" s="2" t="str">
        <f ca="1">IFERROR(__xludf.DUMMYFUNCTION("""COMPUTED_VALUE"""),"Generic: Hentai World")</f>
        <v>Generic: Hentai World</v>
      </c>
      <c r="G103" s="2" t="str">
        <f ca="1">IFERROR(__xludf.DUMMYFUNCTION("""COMPUTED_VALUE"""),"Relationships")</f>
        <v>Relationships</v>
      </c>
      <c r="H103" s="2" t="str">
        <f ca="1">IFERROR(__xludf.DUMMYFUNCTION("""COMPUTED_VALUE"""),"Sometimes, despite your best efforts, something stands between you and the one who is the other half of your heart that it seems that you can't overcome. Sometimes it is as though love isn't enough... but you reject that notion. So long as you are activel"&amp;"y striving to rescue, reunite with, or avenge your singular true love there will be a way and you will find it if you keep trying hard enough. Training and preparation for your rescue attempt proceeds at ten times it's normal pace (stacking multiplicative"&amp;"ly with other effects). In addition, once per decade you can find a way to achieve a single impossible feat if that would be necessary as part of your task. An immortal can die at your hand, time can bend, indestructible walls will break, or you will find"&amp;" a path between the living and the dead. Anything to be together.")</f>
        <v>Sometimes, despite your best efforts, something stands between you and the one who is the other half of your heart that it seems that you can't overcome. Sometimes it is as though love isn't enough... but you reject that notion. So long as you are actively striving to rescue, reunite with, or avenge your singular true love there will be a way and you will find it if you keep trying hard enough. Training and preparation for your rescue attempt proceeds at ten times it's normal pace (stacking multiplicatively with other effects). In addition, once per decade you can find a way to achieve a single impossible feat if that would be necessary as part of your task. An immortal can die at your hand, time can bend, indestructible walls will break, or you will find a path between the living and the dead. Anything to be together.</v>
      </c>
      <c r="I103" s="5"/>
    </row>
    <row r="104" spans="1:9" ht="191.4" x14ac:dyDescent="0.25">
      <c r="A104" s="16"/>
      <c r="B104" s="17">
        <v>100</v>
      </c>
      <c r="C104" s="2" t="b">
        <f ca="1">IFERROR(__xludf.DUMMYFUNCTION("""COMPUTED_VALUE"""),FALSE)</f>
        <v>0</v>
      </c>
      <c r="D104" s="2">
        <f ca="1">IFERROR(__xludf.DUMMYFUNCTION("""COMPUTED_VALUE"""),600)</f>
        <v>600</v>
      </c>
      <c r="E104" s="2" t="str">
        <f ca="1">IFERROR(__xludf.DUMMYFUNCTION("""COMPUTED_VALUE"""),"Invisible Ties")</f>
        <v>Invisible Ties</v>
      </c>
      <c r="F104" s="2" t="str">
        <f ca="1">IFERROR(__xludf.DUMMYFUNCTION("""COMPUTED_VALUE"""),"A Change of Tactics V2.2")</f>
        <v>A Change of Tactics V2.2</v>
      </c>
      <c r="G104" s="2" t="str">
        <f ca="1">IFERROR(__xludf.DUMMYFUNCTION("""COMPUTED_VALUE"""),"Relationships")</f>
        <v>Relationships</v>
      </c>
      <c r="H104" s="2" t="str">
        <f ca="1">IFERROR(__xludf.DUMMYFUNCTION("""COMPUTED_VALUE"""),"The Shepherds are much more than a simple army; they are friends, rivals, lovers, husbands wives and children. A cynic might scoff at Chrom’s talk of invisible ties and the power of bonds but when two friends fighting shoulder to shoulder can single-hande"&amp;"dly break a cavalry charge against their shields it’s hard to argue with the results. You draw great strength from the presence of friends, family, or loved ones while in battle, growing stronger, faster, and tougher when you fight together with them. Fac"&amp;"ed with two such allies your enemies will find that each of you fights with the strength of both of you, though there are limits given a vast enough difference in personal power. This bond also grants insight into your partner’s fighting style, allowing y"&amp;"ou to effortlessly supplement them with combo attacks or defenses. While there are diminishing returns, if you can find a way to unite many such allies you will reach even greater heights together. This is the power that conquered a god: use it well.")</f>
        <v>The Shepherds are much more than a simple army; they are friends, rivals, lovers, husbands wives and children. A cynic might scoff at Chrom’s talk of invisible ties and the power of bonds but when two friends fighting shoulder to shoulder can single-handedly break a cavalry charge against their shields it’s hard to argue with the results. You draw great strength from the presence of friends, family, or loved ones while in battle, growing stronger, faster, and tougher when you fight together with them. Faced with two such allies your enemies will find that each of you fights with the strength of both of you, though there are limits given a vast enough difference in personal power. This bond also grants insight into your partner’s fighting style, allowing you to effortlessly supplement them with combo attacks or defenses. While there are diminishing returns, if you can find a way to unite many such allies you will reach even greater heights together. This is the power that conquered a god: use it well.</v>
      </c>
      <c r="I104" s="5"/>
    </row>
    <row r="105" spans="1:9" ht="243.6" x14ac:dyDescent="0.25">
      <c r="A105" s="16"/>
      <c r="B105" s="17">
        <v>101</v>
      </c>
      <c r="C105" s="2" t="b">
        <f ca="1">IFERROR(__xludf.DUMMYFUNCTION("""COMPUTED_VALUE"""),FALSE)</f>
        <v>0</v>
      </c>
      <c r="D105" s="2">
        <f ca="1">IFERROR(__xludf.DUMMYFUNCTION("""COMPUTED_VALUE"""),600)</f>
        <v>600</v>
      </c>
      <c r="E105" s="2" t="str">
        <f ca="1">IFERROR(__xludf.DUMMYFUNCTION("""COMPUTED_VALUE"""),"Jewel of Friendship")</f>
        <v>Jewel of Friendship</v>
      </c>
      <c r="F105" s="2" t="str">
        <f ca="1">IFERROR(__xludf.DUMMYFUNCTION("""COMPUTED_VALUE"""),"Monster Girl Quest V2")</f>
        <v>Monster Girl Quest V2</v>
      </c>
      <c r="G105" s="2" t="str">
        <f ca="1">IFERROR(__xludf.DUMMYFUNCTION("""COMPUTED_VALUE"""),"Relationships")</f>
        <v>Relationships</v>
      </c>
      <c r="H105" s="2" t="str">
        <f ca="1">IFERROR(__xludf.DUMMYFUNCTION("""COMPUTED_VALUE"""),"A jewel once part of a set of three, the other two having lost their power. It is a blue gemstone that seems to emit a comforting warmth. By concentrating on a memory of a friend from the past and holding the jewel close to your heart you can speak to the"&amp;"m. You can talk to them across universes, and they will be will be aware of how much time has past for you since you last talked to them. You can discuss your troubles, your worries and doubts. 
Once a year, you can summon them to you for a single day, c"&amp;"reating experiences, discuss your troubles, and developing your relationship. They may even fully interact with the world letting you engage in a battle together, play games or have sex. When your time together is over, or you choose to end it, they will "&amp;"be returned to where they were when you summoned them. If they die while summoned by this, instead your time together will end immediately and they will return, though the Jewel will be unable to contact them for a decade. The communication connection (an"&amp;"d the summoning) can be refused by the recipient, and can cross into the afterlife, letting you hear their voice from the great beyond.")</f>
        <v>A jewel once part of a set of three, the other two having lost their power. It is a blue gemstone that seems to emit a comforting warmth. By concentrating on a memory of a friend from the past and holding the jewel close to your heart you can speak to them. You can talk to them across universes, and they will be will be aware of how much time has past for you since you last talked to them. You can discuss your troubles, your worries and doubts. 
Once a year, you can summon them to you for a single day, creating experiences, discuss your troubles, and developing your relationship. They may even fully interact with the world letting you engage in a battle together, play games or have sex. When your time together is over, or you choose to end it, they will be returned to where they were when you summoned them. If they die while summoned by this, instead your time together will end immediately and they will return, though the Jewel will be unable to contact them for a decade. The communication connection (and the summoning) can be refused by the recipient, and can cross into the afterlife, letting you hear their voice from the great beyond.</v>
      </c>
      <c r="I105" s="5"/>
    </row>
    <row r="106" spans="1:9" ht="139.19999999999999" x14ac:dyDescent="0.25">
      <c r="A106" s="16"/>
      <c r="B106" s="17">
        <v>102</v>
      </c>
      <c r="C106" s="2" t="b">
        <f ca="1">IFERROR(__xludf.DUMMYFUNCTION("""COMPUTED_VALUE"""),FALSE)</f>
        <v>0</v>
      </c>
      <c r="D106" s="2">
        <f ca="1">IFERROR(__xludf.DUMMYFUNCTION("""COMPUTED_VALUE"""),600)</f>
        <v>600</v>
      </c>
      <c r="E106" s="2" t="str">
        <f ca="1">IFERROR(__xludf.DUMMYFUNCTION("""COMPUTED_VALUE"""),"Last Days of Summer")</f>
        <v>Last Days of Summer</v>
      </c>
      <c r="F106" s="2" t="str">
        <f ca="1">IFERROR(__xludf.DUMMYFUNCTION("""COMPUTED_VALUE"""),"Ane Naru Mono")</f>
        <v>Ane Naru Mono</v>
      </c>
      <c r="G106" s="2" t="str">
        <f ca="1">IFERROR(__xludf.DUMMYFUNCTION("""COMPUTED_VALUE"""),"Relationships")</f>
        <v>Relationships</v>
      </c>
      <c r="H106" s="2" t="str">
        <f ca="1">IFERROR(__xludf.DUMMYFUNCTION("""COMPUTED_VALUE"""),"While my knowledge of the timeline is a bit fuzzy, by my reckoning Yuu and Chiyo only lived together for a single month before they became lovers. And when they did, it wasn’t too long before Chiyo fell head over heels for his taste, his feel, his… girth."&amp;" Don’t you think that’s a little fast? Much like their relationship, you’ll find your own relationships advancing at a truly astounding rate, months of flirting and wooing passing by in weeks if not days. Of course, that’s what we’ll refer to as passive. "&amp;"You know, just hanging out and getting to know each other. If you’re actively attempting to use this power to enhance your relationship you might be able to condense years into that week. It might be a bit quick, but nothing stands in the way of true love"&amp;" for very long.")</f>
        <v>While my knowledge of the timeline is a bit fuzzy, by my reckoning Yuu and Chiyo only lived together for a single month before they became lovers. And when they did, it wasn’t too long before Chiyo fell head over heels for his taste, his feel, his… girth. Don’t you think that’s a little fast? Much like their relationship, you’ll find your own relationships advancing at a truly astounding rate, months of flirting and wooing passing by in weeks if not days. Of course, that’s what we’ll refer to as passive. You know, just hanging out and getting to know each other. If you’re actively attempting to use this power to enhance your relationship you might be able to condense years into that week. It might be a bit quick, but nothing stands in the way of true love for very long.</v>
      </c>
      <c r="I106" s="5"/>
    </row>
    <row r="107" spans="1:9" ht="139.19999999999999" x14ac:dyDescent="0.25">
      <c r="A107" s="16"/>
      <c r="B107" s="17">
        <v>103</v>
      </c>
      <c r="C107" s="2" t="b">
        <f ca="1">IFERROR(__xludf.DUMMYFUNCTION("""COMPUTED_VALUE"""),FALSE)</f>
        <v>0</v>
      </c>
      <c r="D107" s="2">
        <f ca="1">IFERROR(__xludf.DUMMYFUNCTION("""COMPUTED_VALUE"""),600)</f>
        <v>600</v>
      </c>
      <c r="E107" s="2" t="str">
        <f ca="1">IFERROR(__xludf.DUMMYFUNCTION("""COMPUTED_VALUE"""),"Motherly Love")</f>
        <v>Motherly Love</v>
      </c>
      <c r="F107" s="2" t="str">
        <f ca="1">IFERROR(__xludf.DUMMYFUNCTION("""COMPUTED_VALUE"""),"Generic: Incest")</f>
        <v>Generic: Incest</v>
      </c>
      <c r="G107" s="2" t="str">
        <f ca="1">IFERROR(__xludf.DUMMYFUNCTION("""COMPUTED_VALUE"""),"Relationships")</f>
        <v>Relationships</v>
      </c>
      <c r="H107" s="2" t="str">
        <f ca="1">IFERROR(__xludf.DUMMYFUNCTION("""COMPUTED_VALUE"""),"Any children you have or people you care for will find themselves deeply enamoured with you. While not necessarily sexual or romantic in nature, you will always be deeply respected and cared for by those you’ve taken care of for extended periods. However,"&amp;" this can nudge someone from casually finding you attractive to harbouring a secret, desperate longing for you.
However, beyond this, those affected will also treat you with deep respect and will instinctively do what they can to make you life just the l"&amp;"ittlest bit easier, never treating you as incompetent and always doing what they can to care of you in kind.")</f>
        <v>Any children you have or people you care for will find themselves deeply enamoured with you. While not necessarily sexual or romantic in nature, you will always be deeply respected and cared for by those you’ve taken care of for extended periods. However, this can nudge someone from casually finding you attractive to harbouring a secret, desperate longing for you.
However, beyond this, those affected will also treat you with deep respect and will instinctively do what they can to make you life just the littlest bit easier, never treating you as incompetent and always doing what they can to care of you in kind.</v>
      </c>
      <c r="I107" s="5"/>
    </row>
    <row r="108" spans="1:9" ht="139.19999999999999" x14ac:dyDescent="0.25">
      <c r="A108" s="16"/>
      <c r="B108" s="17">
        <v>104</v>
      </c>
      <c r="C108" s="2" t="b">
        <f ca="1">IFERROR(__xludf.DUMMYFUNCTION("""COMPUTED_VALUE"""),FALSE)</f>
        <v>0</v>
      </c>
      <c r="D108" s="2">
        <f ca="1">IFERROR(__xludf.DUMMYFUNCTION("""COMPUTED_VALUE"""),600)</f>
        <v>600</v>
      </c>
      <c r="E108" s="2" t="str">
        <f ca="1">IFERROR(__xludf.DUMMYFUNCTION("""COMPUTED_VALUE"""),"Not Your Zelda")</f>
        <v>Not Your Zelda</v>
      </c>
      <c r="F108" s="2" t="str">
        <f ca="1">IFERROR(__xludf.DUMMYFUNCTION("""COMPUTED_VALUE"""),"Smash Bros XXXtreme")</f>
        <v>Smash Bros XXXtreme</v>
      </c>
      <c r="G108" s="2" t="str">
        <f ca="1">IFERROR(__xludf.DUMMYFUNCTION("""COMPUTED_VALUE"""),"Relationships")</f>
        <v>Relationships</v>
      </c>
      <c r="H108" s="2" t="str">
        <f ca="1">IFERROR(__xludf.DUMMYFUNCTION("""COMPUTED_VALUE"""),"That’s the problem with being in the center of a dimensional nexus. You get universes that are old as time and have many a story to tell... and you get ten nigh identical ones with only minor differences. Cue you trying to make out with your girlfriend, o"&amp;"nly to get slapped because it was a version of her from an alternate dimension. And yet, this turns out to not be much of an issue for you. See, alternate dimension versions of your friends, allies, and lovers will treat you the same as ‘your’ version of "&amp;"them would. Or maybe they’re treating you the way they would their version of you? Either way, you get along just fine, and your girlfriend’s counterpart is happy to jump into bed with you - though an alternate you might protest.")</f>
        <v>That’s the problem with being in the center of a dimensional nexus. You get universes that are old as time and have many a story to tell... and you get ten nigh identical ones with only minor differences. Cue you trying to make out with your girlfriend, only to get slapped because it was a version of her from an alternate dimension. And yet, this turns out to not be much of an issue for you. See, alternate dimension versions of your friends, allies, and lovers will treat you the same as ‘your’ version of them would. Or maybe they’re treating you the way they would their version of you? Either way, you get along just fine, and your girlfriend’s counterpart is happy to jump into bed with you - though an alternate you might protest.</v>
      </c>
      <c r="I108" s="5"/>
    </row>
    <row r="109" spans="1:9" ht="191.4" x14ac:dyDescent="0.25">
      <c r="A109" s="16"/>
      <c r="B109" s="17">
        <v>105</v>
      </c>
      <c r="C109" s="2" t="b">
        <f ca="1">IFERROR(__xludf.DUMMYFUNCTION("""COMPUTED_VALUE"""),FALSE)</f>
        <v>0</v>
      </c>
      <c r="D109" s="2">
        <f ca="1">IFERROR(__xludf.DUMMYFUNCTION("""COMPUTED_VALUE"""),600)</f>
        <v>600</v>
      </c>
      <c r="E109" s="2" t="str">
        <f ca="1">IFERROR(__xludf.DUMMYFUNCTION("""COMPUTED_VALUE"""),"Sacred Threads Intertwined")</f>
        <v>Sacred Threads Intertwined</v>
      </c>
      <c r="F109" s="2" t="str">
        <f ca="1">IFERROR(__xludf.DUMMYFUNCTION("""COMPUTED_VALUE"""),"Rope Master")</f>
        <v>Rope Master</v>
      </c>
      <c r="G109" s="2" t="str">
        <f ca="1">IFERROR(__xludf.DUMMYFUNCTION("""COMPUTED_VALUE"""),"Relationships")</f>
        <v>Relationships</v>
      </c>
      <c r="H109" s="2" t="str">
        <f ca="1">IFERROR(__xludf.DUMMYFUNCTION("""COMPUTED_VALUE"""),"A slave and her master are two halves of a whole, and when they work together there’s very little that can hope to stand in their way. You and your master are the perfect team and combine your powers flawlessly whenever you work together toward a shared g"&amp;"oal. Whether you’re on a dance floor or a battlefield you’re always in tune with each other and can effortlessly pull off combo attacks and other displays of teamwork that require absolutely flawless coordination. In particular you can defend your master "&amp;"against any danger so long as he’s in your line of sight by seemingly  teleporting to his side at will, while obeying your master’s orders allows you to draw out the deepest depths of your power. Your master’s approval can even replace the activation cond"&amp;"itions of any other powers or items you possess. A sword that can only be wielded by a pure maiden will come to life in the hands of a sex slave with her master’s aid, while a werewolf would be able to transform at her master’s command even without the fu"&amp;"ll moon to empower her.")</f>
        <v>A slave and her master are two halves of a whole, and when they work together there’s very little that can hope to stand in their way. You and your master are the perfect team and combine your powers flawlessly whenever you work together toward a shared goal. Whether you’re on a dance floor or a battlefield you’re always in tune with each other and can effortlessly pull off combo attacks and other displays of teamwork that require absolutely flawless coordination. In particular you can defend your master against any danger so long as he’s in your line of sight by seemingly  teleporting to his side at will, while obeying your master’s orders allows you to draw out the deepest depths of your power. Your master’s approval can even replace the activation conditions of any other powers or items you possess. A sword that can only be wielded by a pure maiden will come to life in the hands of a sex slave with her master’s aid, while a werewolf would be able to transform at her master’s command even without the full moon to empower her.</v>
      </c>
      <c r="I109" s="5"/>
    </row>
    <row r="110" spans="1:9" ht="104.4" x14ac:dyDescent="0.25">
      <c r="A110" s="16"/>
      <c r="B110" s="17">
        <v>106</v>
      </c>
      <c r="C110" s="2" t="b">
        <f ca="1">IFERROR(__xludf.DUMMYFUNCTION("""COMPUTED_VALUE"""),FALSE)</f>
        <v>0</v>
      </c>
      <c r="D110" s="2">
        <f ca="1">IFERROR(__xludf.DUMMYFUNCTION("""COMPUTED_VALUE"""),600)</f>
        <v>600</v>
      </c>
      <c r="E110" s="2" t="str">
        <f ca="1">IFERROR(__xludf.DUMMYFUNCTION("""COMPUTED_VALUE"""),"Slave Collars")</f>
        <v>Slave Collars</v>
      </c>
      <c r="F110" s="2" t="str">
        <f ca="1">IFERROR(__xludf.DUMMYFUNCTION("""COMPUTED_VALUE"""),"Angel Academy ~ Hardcore Dorm Sex Life")</f>
        <v>Angel Academy ~ Hardcore Dorm Sex Life</v>
      </c>
      <c r="G110" s="2" t="str">
        <f ca="1">IFERROR(__xludf.DUMMYFUNCTION("""COMPUTED_VALUE"""),"Relationships")</f>
        <v>Relationships</v>
      </c>
      <c r="H110" s="2" t="str">
        <f ca="1">IFERROR(__xludf.DUMMYFUNCTION("""COMPUTED_VALUE"""),"You know what they say about marriage, if you like it then put a ring on it. It’s just a shame for all the rich bachelors out there that you’re already putting rings of your own on these well-trained angels. A slave collar is the perfect mark of ownership"&amp;", coming in a variety of styles from tasteful silk chokers to spiked leather dog collars. Anyone who willingly dons one of these collars while knowing what wearing them implies subtly broadcasts their status as your property in much the same way that a we"&amp;"dding ring drives most interested bachelors away from married women.")</f>
        <v>You know what they say about marriage, if you like it then put a ring on it. It’s just a shame for all the rich bachelors out there that you’re already putting rings of your own on these well-trained angels. A slave collar is the perfect mark of ownership, coming in a variety of styles from tasteful silk chokers to spiked leather dog collars. Anyone who willingly dons one of these collars while knowing what wearing them implies subtly broadcasts their status as your property in much the same way that a wedding ring drives most interested bachelors away from married women.</v>
      </c>
      <c r="I110" s="5"/>
    </row>
    <row r="111" spans="1:9" ht="156.6" x14ac:dyDescent="0.25">
      <c r="A111" s="16"/>
      <c r="B111" s="17">
        <v>107</v>
      </c>
      <c r="C111" s="2" t="b">
        <f ca="1">IFERROR(__xludf.DUMMYFUNCTION("""COMPUTED_VALUE"""),FALSE)</f>
        <v>0</v>
      </c>
      <c r="D111" s="2">
        <f ca="1">IFERROR(__xludf.DUMMYFUNCTION("""COMPUTED_VALUE"""),600)</f>
        <v>600</v>
      </c>
      <c r="E111" s="2" t="str">
        <f ca="1">IFERROR(__xludf.DUMMYFUNCTION("""COMPUTED_VALUE"""),"The Golden Power")</f>
        <v>The Golden Power</v>
      </c>
      <c r="F111" s="2" t="str">
        <f ca="1">IFERROR(__xludf.DUMMYFUNCTION("""COMPUTED_VALUE"""),"Breathless Wild")</f>
        <v>Breathless Wild</v>
      </c>
      <c r="G111" s="2" t="str">
        <f ca="1">IFERROR(__xludf.DUMMYFUNCTION("""COMPUTED_VALUE"""),"Relationships")</f>
        <v>Relationships</v>
      </c>
      <c r="H111" s="2" t="str">
        <f ca="1">IFERROR(__xludf.DUMMYFUNCTION("""COMPUTED_VALUE"""),"The most powerful force in Hyrule isn’t sheikah technology, Calamity Ganon, or even the Triforce: it’s the power of love. When two hearts join as one there’s no enemy that can stand against them and no amount of corruption that can tear them apart, and yo"&amp;"u have so much love to give. Like Mipha and Princess Zelda your soul is a wellspring of purity and light which can gush forth to heal your lovers, cleansing their bodies and soothing their spirits. No power can taint this wellspring: even if monsters ravi"&amp;"sh your body and make it their plaything they can never conquer your heart or corrupt your soul no matter what foul concoctions or dark magic they turn against you. Moreover you have the power to share your light and your strength of will through your bod"&amp;"y, healing wounds with a touch and cleansing corruption through pleasure and love.")</f>
        <v>The most powerful force in Hyrule isn’t sheikah technology, Calamity Ganon, or even the Triforce: it’s the power of love. When two hearts join as one there’s no enemy that can stand against them and no amount of corruption that can tear them apart, and you have so much love to give. Like Mipha and Princess Zelda your soul is a wellspring of purity and light which can gush forth to heal your lovers, cleansing their bodies and soothing their spirits. No power can taint this wellspring: even if monsters ravish your body and make it their plaything they can never conquer your heart or corrupt your soul no matter what foul concoctions or dark magic they turn against you. Moreover you have the power to share your light and your strength of will through your body, healing wounds with a touch and cleansing corruption through pleasure and love.</v>
      </c>
      <c r="I111" s="5"/>
    </row>
    <row r="112" spans="1:9" ht="208.8" x14ac:dyDescent="0.25">
      <c r="A112" s="16"/>
      <c r="B112" s="17">
        <v>108</v>
      </c>
      <c r="C112" s="2" t="b">
        <f ca="1">IFERROR(__xludf.DUMMYFUNCTION("""COMPUTED_VALUE"""),FALSE)</f>
        <v>0</v>
      </c>
      <c r="D112" s="2">
        <f ca="1">IFERROR(__xludf.DUMMYFUNCTION("""COMPUTED_VALUE"""),600)</f>
        <v>600</v>
      </c>
      <c r="E112" s="2" t="str">
        <f ca="1">IFERROR(__xludf.DUMMYFUNCTION("""COMPUTED_VALUE"""),"The Secret Power of Love")</f>
        <v>The Secret Power of Love</v>
      </c>
      <c r="F112" s="2" t="str">
        <f ca="1">IFERROR(__xludf.DUMMYFUNCTION("""COMPUTED_VALUE"""),"Breathless Wild")</f>
        <v>Breathless Wild</v>
      </c>
      <c r="G112" s="2" t="str">
        <f ca="1">IFERROR(__xludf.DUMMYFUNCTION("""COMPUTED_VALUE"""),"Relationships")</f>
        <v>Relationships</v>
      </c>
      <c r="H112" s="2" t="str">
        <f ca="1">IFERROR(__xludf.DUMMYFUNCTION("""COMPUTED_VALUE"""),"Hyrule itself may be tainted by Ganon’s Nightmare but nothing can corrupt the sacred bond between hero and princess, nor between the hero and all his other lovers for that matter. Once you conquer their hearts your lovers are bound to you as strongly as Z"&amp;"elda is to Link, and their love grants them incredible strength worthy of a legendary hero’s companions. Those who already had great potential, like Zelda’s holy magic, find it incredibly easy to unlock and wield, but even a common village girl can discov"&amp;"er hidden talents like a gift for swordplay and archery worthy of any heroine. You can help them master these talents simply by exploring their passions with them, substituting more traditional training with that of the sexual variety to help them grow by"&amp;" leaps and bounds even if you have no special knowledge of their unique gifts. Their love for you also bolters your partners resistance to mind control and any dark magic that might permanently harm them or turn them against you. A curse of bimbofication "&amp;"that might normally be permanent might only last a few hours before they shake it off, and only if they’re not really resisting it.")</f>
        <v>Hyrule itself may be tainted by Ganon’s Nightmare but nothing can corrupt the sacred bond between hero and princess, nor between the hero and all his other lovers for that matter. Once you conquer their hearts your lovers are bound to you as strongly as Zelda is to Link, and their love grants them incredible strength worthy of a legendary hero’s companions. Those who already had great potential, like Zelda’s holy magic, find it incredibly easy to unlock and wield, but even a common village girl can discover hidden talents like a gift for swordplay and archery worthy of any heroine. You can help them master these talents simply by exploring their passions with them, substituting more traditional training with that of the sexual variety to help them grow by leaps and bounds even if you have no special knowledge of their unique gifts. Their love for you also bolters your partners resistance to mind control and any dark magic that might permanently harm them or turn them against you. A curse of bimbofication that might normally be permanent might only last a few hours before they shake it off, and only if they’re not really resisting it.</v>
      </c>
      <c r="I112" s="5"/>
    </row>
    <row r="113" spans="1:9" ht="261" x14ac:dyDescent="0.25">
      <c r="A113" s="16"/>
      <c r="B113" s="17">
        <v>109</v>
      </c>
      <c r="C113" s="2" t="b">
        <f ca="1">IFERROR(__xludf.DUMMYFUNCTION("""COMPUTED_VALUE"""),FALSE)</f>
        <v>0</v>
      </c>
      <c r="D113" s="2">
        <f ca="1">IFERROR(__xludf.DUMMYFUNCTION("""COMPUTED_VALUE"""),600)</f>
        <v>600</v>
      </c>
      <c r="E113" s="2" t="str">
        <f ca="1">IFERROR(__xludf.DUMMYFUNCTION("""COMPUTED_VALUE"""),"Ultra-Competant Ninja Harem")</f>
        <v>Ultra-Competant Ninja Harem</v>
      </c>
      <c r="F113" s="2" t="str">
        <f ca="1">IFERROR(__xludf.DUMMYFUNCTION("""COMPUTED_VALUE"""),"Breathless Wild")</f>
        <v>Breathless Wild</v>
      </c>
      <c r="G113" s="2" t="str">
        <f ca="1">IFERROR(__xludf.DUMMYFUNCTION("""COMPUTED_VALUE"""),"Relationships")</f>
        <v>Relationships</v>
      </c>
      <c r="H113" s="2" t="str">
        <f ca="1">IFERROR(__xludf.DUMMYFUNCTION("""COMPUTED_VALUE"""),"The Sheikah are some of the best allies a hero can have, whether they’re helping to hone his skills in their ancient shrines or battling evil alongside him, and their Yiga Clan rivals are also not to be underestimated. Somehow you’ve gained the undying lo"&amp;"yalty of a small clan of extremely competent, attractive, and thirsty ninja. Each has superhuman speed and strength, as well as all the appropriate ninja skills and 'magics' (look, they seem to teleport in a puff of smoke and be able to summon identical c"&amp;"lones, but maybe they're just really good at being ninjas?) while also wearing armour that magically silences their movements and the effects of their actions in a small area around themselves. Whatever they lack in numbers they make up by making your lif"&amp;"e much easier through their information gathering and other support work. Stagger into town naked and broke? They’ve rented a room at the local inn and gathered some rupees to help get you back on your feet. Get a quest to save a princess from a demon kin"&amp;"g? They already have an idea of where she’s being held and what obstacles you’ll have to overcome to get to her. Of course they’ll also help you in a fight if you need: they’re far more dangerous in stealth than in open battle, but any who are “killed” si"&amp;"mply vanish in a puff of smoke, ninja log and all, and return to your side a day or two later. They are at their best when unseen and unknown.")</f>
        <v>The Sheikah are some of the best allies a hero can have, whether they’re helping to hone his skills in their ancient shrines or battling evil alongside him, and their Yiga Clan rivals are also not to be underestimated. Somehow you’ve gained the undying loyalty of a small clan of extremely competent, attractive, and thirsty ninja. Each has superhuman speed and strength, as well as all the appropriate ninja skills and 'magics' (look, they seem to teleport in a puff of smoke and be able to summon identical clones, but maybe they're just really good at being ninjas?) while also wearing armour that magically silences their movements and the effects of their actions in a small area around themselves. Whatever they lack in numbers they make up by making your life much easier through their information gathering and other support work. Stagger into town naked and broke? They’ve rented a room at the local inn and gathered some rupees to help get you back on your feet. Get a quest to save a princess from a demon king? They already have an idea of where she’s being held and what obstacles you’ll have to overcome to get to her. Of course they’ll also help you in a fight if you need: they’re far more dangerous in stealth than in open battle, but any who are “killed” simply vanish in a puff of smoke, ninja log and all, and return to your side a day or two later. They are at their best when unseen and unknown.</v>
      </c>
      <c r="I113" s="5"/>
    </row>
    <row r="114" spans="1:9" ht="139.19999999999999" x14ac:dyDescent="0.25">
      <c r="A114" s="16"/>
      <c r="B114" s="17">
        <v>110</v>
      </c>
      <c r="C114" s="2" t="b">
        <f ca="1">IFERROR(__xludf.DUMMYFUNCTION("""COMPUTED_VALUE"""),FALSE)</f>
        <v>0</v>
      </c>
      <c r="D114" s="2">
        <f ca="1">IFERROR(__xludf.DUMMYFUNCTION("""COMPUTED_VALUE"""),600)</f>
        <v>600</v>
      </c>
      <c r="E114" s="2" t="str">
        <f ca="1">IFERROR(__xludf.DUMMYFUNCTION("""COMPUTED_VALUE"""),"Waiting for the Right Person")</f>
        <v>Waiting for the Right Person</v>
      </c>
      <c r="F114" s="2" t="str">
        <f ca="1">IFERROR(__xludf.DUMMYFUNCTION("""COMPUTED_VALUE"""),"Mind Control University")</f>
        <v>Mind Control University</v>
      </c>
      <c r="G114" s="2" t="str">
        <f ca="1">IFERROR(__xludf.DUMMYFUNCTION("""COMPUTED_VALUE"""),"Relationships")</f>
        <v>Relationships</v>
      </c>
      <c r="H114" s="2" t="str">
        <f ca="1">IFERROR(__xludf.DUMMYFUNCTION("""COMPUTED_VALUE"""),"So you’ve found the person you want to control you. But just because you only want to be controlled by them doesn’t mean there isn’t anyone else who wants to control you. You may, at any time, select a single other person. That person will be the only per"&amp;"son able to mind control you. Don't go thinking you can just pick one of your friends and never have to worry about it, though; the person you select has to a) honestly want and intend to enslave you, and b) be at least theoretically capable of it. You al"&amp;"so can't change this or select a new person any time you please; you'll have to wait for the current selected person to be rendered ineligible to do that, ie. dying, no longer wanting to, no longer being capable of it.")</f>
        <v>So you’ve found the person you want to control you. But just because you only want to be controlled by them doesn’t mean there isn’t anyone else who wants to control you. You may, at any time, select a single other person. That person will be the only person able to mind control you. Don't go thinking you can just pick one of your friends and never have to worry about it, though; the person you select has to a) honestly want and intend to enslave you, and b) be at least theoretically capable of it. You also can't change this or select a new person any time you please; you'll have to wait for the current selected person to be rendered ineligible to do that, ie. dying, no longer wanting to, no longer being capable of it.</v>
      </c>
      <c r="I114" s="5"/>
    </row>
    <row r="115" spans="1:9" ht="243.6" x14ac:dyDescent="0.25">
      <c r="A115" s="16"/>
      <c r="B115" s="17">
        <v>111</v>
      </c>
      <c r="C115" s="2" t="b">
        <f ca="1">IFERROR(__xludf.DUMMYFUNCTION("""COMPUTED_VALUE"""),FALSE)</f>
        <v>0</v>
      </c>
      <c r="D115" s="2">
        <f ca="1">IFERROR(__xludf.DUMMYFUNCTION("""COMPUTED_VALUE"""),600)</f>
        <v>600</v>
      </c>
      <c r="E115" s="2" t="str">
        <f ca="1">IFERROR(__xludf.DUMMYFUNCTION("""COMPUTED_VALUE"""),"What's an Einzbern?")</f>
        <v>What's an Einzbern?</v>
      </c>
      <c r="F115" s="2" t="str">
        <f ca="1">IFERROR(__xludf.DUMMYFUNCTION("""COMPUTED_VALUE"""),"Fate/Loli Order")</f>
        <v>Fate/Loli Order</v>
      </c>
      <c r="G115" s="2" t="str">
        <f ca="1">IFERROR(__xludf.DUMMYFUNCTION("""COMPUTED_VALUE"""),"Relationships")</f>
        <v>Relationships</v>
      </c>
      <c r="H115" s="2" t="str">
        <f ca="1">IFERROR(__xludf.DUMMYFUNCTION("""COMPUTED_VALUE"""),"Well, according to the Prisma timeline, it’s this clan of homunculi that tried to hold Kiritsugu’s daughter hostage so that he and his wife would fight harder in the grail war. Instead, he sicced the wizard marshall Zelretch on the war and then murdered t"&amp;"he entire Einzbern family bar his wife, daughter, and a pair of maids. Shirou himself has similar feats, though not quite the same - he starts out weaker, if not one step from normal - more often than not. On the other hand, Prisma is home to a Shirou who"&amp;" soloed a grail war in one night for the sake of his little sister’s smile. 
Much like them, you’ll find that an absolute defeat is less certain when doing so would leave your loved ones undefended. For them, and now you, giving 110% to eek out a win aga"&amp;"inst a vastly superior foe isn’t even something that needs to be thought about in order to do. This won’t guarantee anything, but in the face of such determination and refusal to die, the lengths you’ll go to for something so simple as a smile, cracks wil"&amp;"l open up. It’s up to you to capitalize on them, or even to see them, but they are there. Exploit them, ruthlessly, and happily ever after might not be a dream after all.")</f>
        <v>Well, according to the Prisma timeline, it’s this clan of homunculi that tried to hold Kiritsugu’s daughter hostage so that he and his wife would fight harder in the grail war. Instead, he sicced the wizard marshall Zelretch on the war and then murdered the entire Einzbern family bar his wife, daughter, and a pair of maids. Shirou himself has similar feats, though not quite the same - he starts out weaker, if not one step from normal - more often than not. On the other hand, Prisma is home to a Shirou who soloed a grail war in one night for the sake of his little sister’s smile. 
Much like them, you’ll find that an absolute defeat is less certain when doing so would leave your loved ones undefended. For them, and now you, giving 110% to eek out a win against a vastly superior foe isn’t even something that needs to be thought about in order to do. This won’t guarantee anything, but in the face of such determination and refusal to die, the lengths you’ll go to for something so simple as a smile, cracks will open up. It’s up to you to capitalize on them, or even to see them, but they are there. Exploit them, ruthlessly, and happily ever after might not be a dream after all.</v>
      </c>
      <c r="I115" s="5"/>
    </row>
    <row r="116" spans="1:9" ht="139.19999999999999" x14ac:dyDescent="0.25">
      <c r="A116" s="16"/>
      <c r="B116" s="17">
        <v>112</v>
      </c>
      <c r="C116" s="2" t="b">
        <f ca="1">IFERROR(__xludf.DUMMYFUNCTION("""COMPUTED_VALUE"""),FALSE)</f>
        <v>0</v>
      </c>
      <c r="D116" s="2">
        <f ca="1">IFERROR(__xludf.DUMMYFUNCTION("""COMPUTED_VALUE"""),700)</f>
        <v>700</v>
      </c>
      <c r="E116" s="2" t="str">
        <f ca="1">IFERROR(__xludf.DUMMYFUNCTION("""COMPUTED_VALUE"""),"Happily Ever After")</f>
        <v>Happily Ever After</v>
      </c>
      <c r="F116" s="2" t="str">
        <f ca="1">IFERROR(__xludf.DUMMYFUNCTION("""COMPUTED_VALUE"""),"A Change of Tactics V2.2")</f>
        <v>A Change of Tactics V2.2</v>
      </c>
      <c r="G116" s="2" t="str">
        <f ca="1">IFERROR(__xludf.DUMMYFUNCTION("""COMPUTED_VALUE"""),"Relationships")</f>
        <v>Relationships</v>
      </c>
      <c r="H116" s="2" t="str">
        <f ca="1">IFERROR(__xludf.DUMMYFUNCTION("""COMPUTED_VALUE"""),"The Shepherds are heroes straight out of legend, and their adventures are the kind of tales which are beloved by children and immortalized by bards and artists. Such stories rarely end in heartbreak and tragedy, or with the married life being dull and unf"&amp;"ulfilling, and yours won’t either. So long as you hold genuine love for your partner(s) the earth will move to bring you together and keep you together no matter what kind of adversity you might face, be it separation in wartime or more domestic relations"&amp;"hip issues. While this won’t do anything to prevent conflicts from occurring, what conflicts do occur will always be able to be resolved, and as long as you don’t give up on the relationship it will always be salvageable no matter how bad the situation be"&amp;"comes.")</f>
        <v>The Shepherds are heroes straight out of legend, and their adventures are the kind of tales which are beloved by children and immortalized by bards and artists. Such stories rarely end in heartbreak and tragedy, or with the married life being dull and unfulfilling, and yours won’t either. So long as you hold genuine love for your partner(s) the earth will move to bring you together and keep you together no matter what kind of adversity you might face, be it separation in wartime or more domestic relationship issues. While this won’t do anything to prevent conflicts from occurring, what conflicts do occur will always be able to be resolved, and as long as you don’t give up on the relationship it will always be salvageable no matter how bad the situation becomes.</v>
      </c>
      <c r="I116" s="5"/>
    </row>
    <row r="117" spans="1:9" ht="156.6" x14ac:dyDescent="0.25">
      <c r="A117" s="16"/>
      <c r="B117" s="17">
        <v>113</v>
      </c>
      <c r="C117" s="2" t="b">
        <f ca="1">IFERROR(__xludf.DUMMYFUNCTION("""COMPUTED_VALUE"""),FALSE)</f>
        <v>0</v>
      </c>
      <c r="D117" s="2">
        <f ca="1">IFERROR(__xludf.DUMMYFUNCTION("""COMPUTED_VALUE"""),700)</f>
        <v>700</v>
      </c>
      <c r="E117" s="2" t="str">
        <f ca="1">IFERROR(__xludf.DUMMYFUNCTION("""COMPUTED_VALUE"""),"Snake in the Bush")</f>
        <v>Snake in the Bush</v>
      </c>
      <c r="F117" s="2" t="str">
        <f ca="1">IFERROR(__xludf.DUMMYFUNCTION("""COMPUTED_VALUE"""),"Victim Girls (Rose Edition)")</f>
        <v>Victim Girls (Rose Edition)</v>
      </c>
      <c r="G117" s="2" t="str">
        <f ca="1">IFERROR(__xludf.DUMMYFUNCTION("""COMPUTED_VALUE"""),"Relationships")</f>
        <v>Relationships</v>
      </c>
      <c r="H117" s="2" t="str">
        <f ca="1">IFERROR(__xludf.DUMMYFUNCTION("""COMPUTED_VALUE"""),"If it really does take ten of your kind to equal one of theirs, why not bring along a thousand? Those of the same gender as you find themselves seeing you as the Great Leader they never knew they wished they had. You possess vast charisma and powers of in"&amp;"tuition when interacting with those of the same gender as you, allowing you to effortlessly convince them of your beliefs being true, even when they are quite extremist or would normally be considered serious criminal acts. Your rhetoric will spread rapid"&amp;"ly should you get some sort of platform to reach many at once, perhaps even letting you infect entire countries with your bigotry, fetishes, beliefs or some other twisted opinion you have. It’ll take quite a bit of work to get that far and not visibly fol"&amp;"lowing what you preach yourself makes you a lot less effective.")</f>
        <v>If it really does take ten of your kind to equal one of theirs, why not bring along a thousand? Those of the same gender as you find themselves seeing you as the Great Leader they never knew they wished they had. You possess vast charisma and powers of intuition when interacting with those of the same gender as you, allowing you to effortlessly convince them of your beliefs being true, even when they are quite extremist or would normally be considered serious criminal acts. Your rhetoric will spread rapidly should you get some sort of platform to reach many at once, perhaps even letting you infect entire countries with your bigotry, fetishes, beliefs or some other twisted opinion you have. It’ll take quite a bit of work to get that far and not visibly following what you preach yourself makes you a lot less effective.</v>
      </c>
      <c r="I117" s="5"/>
    </row>
    <row r="118" spans="1:9" ht="156.6" x14ac:dyDescent="0.25">
      <c r="A118" s="16"/>
      <c r="B118" s="17">
        <v>114</v>
      </c>
      <c r="C118" s="2" t="b">
        <f ca="1">IFERROR(__xludf.DUMMYFUNCTION("""COMPUTED_VALUE"""),FALSE)</f>
        <v>0</v>
      </c>
      <c r="D118" s="2">
        <f ca="1">IFERROR(__xludf.DUMMYFUNCTION("""COMPUTED_VALUE"""),700)</f>
        <v>700</v>
      </c>
      <c r="E118" s="2" t="str">
        <f ca="1">IFERROR(__xludf.DUMMYFUNCTION("""COMPUTED_VALUE"""),"The Golden Ending")</f>
        <v>The Golden Ending</v>
      </c>
      <c r="F118" s="2" t="str">
        <f ca="1">IFERROR(__xludf.DUMMYFUNCTION("""COMPUTED_VALUE"""),"Generic: Hentai World")</f>
        <v>Generic: Hentai World</v>
      </c>
      <c r="G118" s="2" t="str">
        <f ca="1">IFERROR(__xludf.DUMMYFUNCTION("""COMPUTED_VALUE"""),"Relationships")</f>
        <v>Relationships</v>
      </c>
      <c r="H118" s="2" t="str">
        <f ca="1">IFERROR(__xludf.DUMMYFUNCTION("""COMPUTED_VALUE"""),"This is it Master/Madame, the happily ever after that every Harem Protagonist dreams of achieving. You’ve reached the “marry them all” stage in your journey where your entire harem is in love with you (and possibly each other) and everyone is happy to sha"&amp;"re, or if you haven’t yet then you will eventually. Once you’ve reached this ideal state nothing short of deliberate abuse or neglect on your part can make the members of your harem break up or fall out of love with you or with each other. New girls will "&amp;"be welcomed into the fold by their elder sisters rather than shunned or rejected, though this doesn’t guarantee a lack of personality conflicts. Even if you vanish for a hundred years or do a stint as an evil overlord they’ll all continue to love and supp"&amp;"ort you, if perhaps from a distance, until you return to them.")</f>
        <v>This is it Master/Madame, the happily ever after that every Harem Protagonist dreams of achieving. You’ve reached the “marry them all” stage in your journey where your entire harem is in love with you (and possibly each other) and everyone is happy to share, or if you haven’t yet then you will eventually. Once you’ve reached this ideal state nothing short of deliberate abuse or neglect on your part can make the members of your harem break up or fall out of love with you or with each other. New girls will be welcomed into the fold by their elder sisters rather than shunned or rejected, though this doesn’t guarantee a lack of personality conflicts. Even if you vanish for a hundred years or do a stint as an evil overlord they’ll all continue to love and support you, if perhaps from a distance, until you return to them.</v>
      </c>
      <c r="I118" s="5"/>
    </row>
    <row r="119" spans="1:9" ht="17.399999999999999" x14ac:dyDescent="0.25">
      <c r="A119" s="16"/>
      <c r="B119" s="17"/>
      <c r="C119" s="2" t="b">
        <f ca="1">IFERROR(__xludf.DUMMYFUNCTION("""COMPUTED_VALUE"""),TRUE)</f>
        <v>1</v>
      </c>
      <c r="D119" s="2">
        <f ca="1">IFERROR(__xludf.DUMMYFUNCTION("""COMPUTED_VALUE"""),-100)</f>
        <v>-100</v>
      </c>
      <c r="E119" s="2" t="str">
        <f ca="1">IFERROR(__xludf.DUMMYFUNCTION("""COMPUTED_VALUE"""),"Purchased Perks")</f>
        <v>Purchased Perks</v>
      </c>
      <c r="F119" s="2">
        <f ca="1">IFERROR(__xludf.DUMMYFUNCTION("""COMPUTED_VALUE"""),10)</f>
        <v>10</v>
      </c>
      <c r="G119" s="2" t="str">
        <f ca="1">IFERROR(__xludf.DUMMYFUNCTION("""COMPUTED_VALUE"""),"Relationships")</f>
        <v>Relationships</v>
      </c>
      <c r="H119" s="2"/>
      <c r="I119" s="5"/>
    </row>
    <row r="120" spans="1:9" ht="121.8" x14ac:dyDescent="0.25">
      <c r="A120" s="16"/>
      <c r="B120" s="17"/>
      <c r="C120" s="2" t="b">
        <f ca="1">IFERROR(__xludf.DUMMYFUNCTION("""COMPUTED_VALUE"""),TRUE)</f>
        <v>1</v>
      </c>
      <c r="D120" s="2">
        <f ca="1">IFERROR(__xludf.DUMMYFUNCTION("""COMPUTED_VALUE"""),200)</f>
        <v>200</v>
      </c>
      <c r="E120" s="2" t="str">
        <f ca="1">IFERROR(__xludf.DUMMYFUNCTION("""COMPUTED_VALUE"""),"Loyalty for Dummies")</f>
        <v>Loyalty for Dummies</v>
      </c>
      <c r="F120" s="2" t="str">
        <f ca="1">IFERROR(__xludf.DUMMYFUNCTION("""COMPUTED_VALUE"""),"Sphilia’s Familiar")</f>
        <v>Sphilia’s Familiar</v>
      </c>
      <c r="G120" s="2" t="str">
        <f ca="1">IFERROR(__xludf.DUMMYFUNCTION("""COMPUTED_VALUE"""),"Relationships")</f>
        <v>Relationships</v>
      </c>
      <c r="H120" s="2" t="str">
        <f ca="1">IFERROR(__xludf.DUMMYFUNCTION("""COMPUTED_VALUE"""),"With someone like Godel in town, it's a bit difficult to keep your playthings only yours without extraordinary skills. This won't give you those, but it will help you prevent your lovers cheating on your lame ass. Every time someone you're 'involved with'"&amp;" starts to waver in their devotion to you, a woman will appear nearby and tell you what's happening as well as grant some tips to stop it. Even if you were to ignore the advice and they cheat, she will keep appearing to tell you how to stop it and win you"&amp;"r partner back. Ignoring it will have the woman keep appearing until she finally confirms that your lover isn't yours anymore.")</f>
        <v>With someone like Godel in town, it's a bit difficult to keep your playthings only yours without extraordinary skills. This won't give you those, but it will help you prevent your lovers cheating on your lame ass. Every time someone you're 'involved with' starts to waver in their devotion to you, a woman will appear nearby and tell you what's happening as well as grant some tips to stop it. Even if you were to ignore the advice and they cheat, she will keep appearing to tell you how to stop it and win your partner back. Ignoring it will have the woman keep appearing until she finally confirms that your lover isn't yours anymore.</v>
      </c>
      <c r="I120" s="5"/>
    </row>
    <row r="121" spans="1:9" ht="17.399999999999999" x14ac:dyDescent="0.25">
      <c r="A121" s="16"/>
      <c r="B121" s="17"/>
      <c r="C121" s="2"/>
      <c r="D121" s="2"/>
      <c r="E121" s="2"/>
      <c r="F121" s="2"/>
      <c r="G121" s="2"/>
      <c r="H121" s="2"/>
      <c r="I121" s="5"/>
    </row>
    <row r="122" spans="1:9" ht="17.399999999999999" x14ac:dyDescent="0.25">
      <c r="A122" s="16"/>
      <c r="B122" s="17"/>
      <c r="C122" s="2"/>
      <c r="D122" s="2"/>
      <c r="E122" s="2"/>
      <c r="F122" s="2"/>
      <c r="G122" s="2"/>
      <c r="H122" s="2"/>
      <c r="I122" s="5"/>
    </row>
    <row r="123" spans="1:9" ht="17.399999999999999" x14ac:dyDescent="0.25">
      <c r="A123" s="16"/>
      <c r="B123" s="17"/>
      <c r="C123" s="2"/>
      <c r="D123" s="2"/>
      <c r="E123" s="2"/>
      <c r="F123" s="2"/>
      <c r="G123" s="2"/>
      <c r="H123" s="2"/>
      <c r="I123" s="5"/>
    </row>
    <row r="124" spans="1:9" ht="17.399999999999999" x14ac:dyDescent="0.25">
      <c r="A124" s="16"/>
      <c r="B124" s="17"/>
      <c r="C124" s="2"/>
      <c r="D124" s="2"/>
      <c r="E124" s="2"/>
      <c r="F124" s="2"/>
      <c r="G124" s="2"/>
      <c r="H124" s="2"/>
      <c r="I124" s="5"/>
    </row>
    <row r="125" spans="1:9" ht="17.399999999999999" x14ac:dyDescent="0.25">
      <c r="A125" s="16"/>
      <c r="B125" s="17"/>
      <c r="C125" s="2"/>
      <c r="D125" s="2"/>
      <c r="E125" s="2"/>
      <c r="F125" s="2"/>
      <c r="G125" s="2"/>
      <c r="H125" s="2"/>
      <c r="I125" s="5"/>
    </row>
    <row r="126" spans="1:9" ht="17.399999999999999" x14ac:dyDescent="0.25">
      <c r="A126" s="16"/>
      <c r="B126" s="17"/>
      <c r="C126" s="2"/>
      <c r="D126" s="2"/>
      <c r="E126" s="2"/>
      <c r="F126" s="2"/>
      <c r="G126" s="2"/>
      <c r="H126" s="2"/>
      <c r="I126" s="5"/>
    </row>
    <row r="127" spans="1:9" ht="17.399999999999999" x14ac:dyDescent="0.25">
      <c r="A127" s="16"/>
      <c r="B127" s="17"/>
      <c r="C127" s="2"/>
      <c r="D127" s="2"/>
      <c r="E127" s="2"/>
      <c r="F127" s="2"/>
      <c r="G127" s="2"/>
      <c r="H127" s="2"/>
      <c r="I127" s="5"/>
    </row>
    <row r="128" spans="1:9" ht="17.399999999999999" x14ac:dyDescent="0.25">
      <c r="A128" s="16"/>
      <c r="B128" s="17"/>
      <c r="C128" s="2"/>
      <c r="D128" s="2"/>
      <c r="E128" s="2"/>
      <c r="F128" s="2"/>
      <c r="G128" s="2"/>
      <c r="H128" s="2"/>
      <c r="I128" s="5"/>
    </row>
    <row r="129" spans="1:10" ht="17.399999999999999" x14ac:dyDescent="0.25">
      <c r="A129" s="16"/>
      <c r="B129" s="17"/>
      <c r="C129" s="2"/>
      <c r="D129" s="2"/>
      <c r="E129" s="2"/>
      <c r="F129" s="2"/>
      <c r="G129" s="2"/>
      <c r="H129" s="2"/>
      <c r="I129" s="5"/>
    </row>
    <row r="130" spans="1:10" ht="17.399999999999999" x14ac:dyDescent="0.25">
      <c r="A130" s="16"/>
      <c r="B130" s="17"/>
      <c r="C130" s="2"/>
      <c r="D130" s="2"/>
      <c r="E130" s="2"/>
      <c r="F130" s="2"/>
      <c r="G130" s="2"/>
      <c r="H130" s="2"/>
      <c r="I130" s="5"/>
    </row>
    <row r="131" spans="1:10" ht="17.399999999999999" x14ac:dyDescent="0.25">
      <c r="A131" s="16"/>
      <c r="B131" s="17"/>
      <c r="C131" s="2"/>
      <c r="D131" s="2"/>
      <c r="E131" s="2"/>
      <c r="F131" s="2"/>
      <c r="G131" s="2"/>
      <c r="H131" s="2"/>
      <c r="I131" s="5"/>
    </row>
    <row r="132" spans="1:10" ht="17.399999999999999" x14ac:dyDescent="0.25">
      <c r="A132" s="16"/>
      <c r="B132" s="17"/>
      <c r="C132" s="2"/>
      <c r="D132" s="2"/>
      <c r="E132" s="2"/>
      <c r="F132" s="2"/>
      <c r="G132" s="2"/>
      <c r="H132" s="2"/>
      <c r="I132" s="5"/>
    </row>
    <row r="133" spans="1:10" ht="17.399999999999999" x14ac:dyDescent="0.35">
      <c r="A133" s="16"/>
      <c r="B133" s="17"/>
      <c r="C133" s="2"/>
      <c r="D133" s="2"/>
      <c r="E133" s="2"/>
      <c r="F133" s="2"/>
      <c r="G133" s="2"/>
      <c r="H133" s="2"/>
      <c r="I133" s="5"/>
      <c r="J133" s="13"/>
    </row>
    <row r="134" spans="1:10" ht="17.399999999999999" x14ac:dyDescent="0.35">
      <c r="A134" s="16"/>
      <c r="B134" s="17"/>
      <c r="C134" s="2"/>
      <c r="D134" s="2"/>
      <c r="E134" s="2"/>
      <c r="F134" s="2"/>
      <c r="G134" s="2"/>
      <c r="H134" s="2"/>
      <c r="I134" s="5"/>
      <c r="J134" s="27"/>
    </row>
    <row r="135" spans="1:10" ht="17.399999999999999" x14ac:dyDescent="0.25">
      <c r="A135" s="16"/>
      <c r="B135" s="17"/>
      <c r="C135" s="2"/>
      <c r="D135" s="2"/>
      <c r="E135" s="2"/>
      <c r="F135" s="2"/>
      <c r="G135" s="2"/>
      <c r="H135" s="2"/>
      <c r="I135" s="5"/>
    </row>
    <row r="136" spans="1:10" ht="17.399999999999999" x14ac:dyDescent="0.25">
      <c r="A136" s="16"/>
      <c r="B136" s="17"/>
      <c r="C136" s="2"/>
      <c r="D136" s="2"/>
      <c r="E136" s="2"/>
      <c r="F136" s="2"/>
      <c r="G136" s="2"/>
      <c r="H136" s="2"/>
      <c r="I136" s="5"/>
    </row>
    <row r="137" spans="1:10" ht="17.399999999999999" x14ac:dyDescent="0.25">
      <c r="A137" s="16"/>
      <c r="B137" s="17"/>
      <c r="C137" s="2"/>
      <c r="D137" s="2"/>
      <c r="E137" s="2"/>
      <c r="F137" s="2"/>
      <c r="G137" s="2"/>
      <c r="H137" s="2"/>
      <c r="I137" s="5"/>
    </row>
    <row r="138" spans="1:10" ht="17.399999999999999" x14ac:dyDescent="0.25">
      <c r="A138" s="16"/>
      <c r="B138" s="17"/>
      <c r="C138" s="2"/>
      <c r="D138" s="2"/>
      <c r="E138" s="2"/>
      <c r="F138" s="2"/>
      <c r="G138" s="2"/>
      <c r="H138" s="2"/>
      <c r="I138" s="5"/>
    </row>
    <row r="139" spans="1:10" ht="17.399999999999999" x14ac:dyDescent="0.25">
      <c r="A139" s="16"/>
      <c r="B139" s="17"/>
      <c r="C139" s="2"/>
      <c r="D139" s="2"/>
      <c r="E139" s="2"/>
      <c r="F139" s="2"/>
      <c r="G139" s="2"/>
      <c r="H139" s="2"/>
      <c r="I139" s="5"/>
    </row>
    <row r="140" spans="1:10" ht="17.399999999999999" x14ac:dyDescent="0.25">
      <c r="A140" s="16"/>
      <c r="B140" s="17"/>
      <c r="C140" s="2"/>
      <c r="D140" s="2"/>
      <c r="E140" s="2"/>
      <c r="F140" s="2"/>
      <c r="G140" s="2"/>
      <c r="H140" s="2"/>
      <c r="I140" s="5"/>
    </row>
    <row r="141" spans="1:10" ht="17.399999999999999" x14ac:dyDescent="0.25">
      <c r="A141" s="16"/>
      <c r="B141" s="17"/>
      <c r="C141" s="2"/>
      <c r="D141" s="2"/>
      <c r="E141" s="2"/>
      <c r="F141" s="2"/>
      <c r="G141" s="2"/>
      <c r="H141" s="2"/>
      <c r="I141" s="5"/>
    </row>
    <row r="142" spans="1:10" ht="17.399999999999999" x14ac:dyDescent="0.25">
      <c r="A142" s="16"/>
      <c r="B142" s="17"/>
      <c r="C142" s="2"/>
      <c r="D142" s="2"/>
      <c r="E142" s="2"/>
      <c r="F142" s="2"/>
      <c r="G142" s="2"/>
      <c r="H142" s="2"/>
      <c r="I142" s="5"/>
    </row>
    <row r="143" spans="1:10" ht="17.399999999999999" x14ac:dyDescent="0.25">
      <c r="A143" s="16"/>
      <c r="B143" s="17"/>
      <c r="C143" s="2"/>
      <c r="D143" s="2"/>
      <c r="E143" s="2"/>
      <c r="F143" s="2"/>
      <c r="G143" s="2"/>
      <c r="H143" s="2"/>
      <c r="I143" s="5"/>
    </row>
    <row r="144" spans="1:10" ht="17.399999999999999" x14ac:dyDescent="0.25">
      <c r="A144" s="16"/>
      <c r="B144" s="17"/>
      <c r="C144" s="2"/>
      <c r="D144" s="2"/>
      <c r="E144" s="2"/>
      <c r="F144" s="2"/>
      <c r="G144" s="2"/>
      <c r="H144" s="2"/>
      <c r="I144" s="5"/>
    </row>
    <row r="145" spans="1:9" ht="17.399999999999999" x14ac:dyDescent="0.25">
      <c r="A145" s="16"/>
      <c r="B145" s="17"/>
      <c r="C145" s="2"/>
      <c r="D145" s="2"/>
      <c r="E145" s="2"/>
      <c r="F145" s="2"/>
      <c r="G145" s="2"/>
      <c r="H145" s="2"/>
      <c r="I145" s="5"/>
    </row>
    <row r="146" spans="1:9" ht="17.399999999999999" x14ac:dyDescent="0.25">
      <c r="A146" s="16"/>
      <c r="B146" s="17"/>
      <c r="C146" s="2"/>
      <c r="D146" s="2"/>
      <c r="E146" s="2"/>
      <c r="F146" s="2"/>
      <c r="G146" s="2"/>
      <c r="H146" s="2"/>
      <c r="I146" s="5"/>
    </row>
    <row r="147" spans="1:9" ht="17.399999999999999" x14ac:dyDescent="0.25">
      <c r="A147" s="16"/>
      <c r="B147" s="17"/>
      <c r="C147" s="2"/>
      <c r="D147" s="2"/>
      <c r="E147" s="2"/>
      <c r="F147" s="2"/>
      <c r="G147" s="2"/>
      <c r="H147" s="2"/>
      <c r="I147" s="5"/>
    </row>
    <row r="148" spans="1:9" ht="17.399999999999999" x14ac:dyDescent="0.25">
      <c r="A148" s="16"/>
      <c r="B148" s="17"/>
      <c r="C148" s="2"/>
      <c r="D148" s="2"/>
      <c r="E148" s="2"/>
      <c r="F148" s="2"/>
      <c r="G148" s="2"/>
      <c r="H148" s="2"/>
      <c r="I148" s="5"/>
    </row>
    <row r="149" spans="1:9" ht="17.399999999999999" x14ac:dyDescent="0.25">
      <c r="A149" s="16"/>
      <c r="B149" s="17"/>
      <c r="C149" s="2"/>
      <c r="D149" s="2"/>
      <c r="E149" s="2"/>
      <c r="F149" s="2"/>
      <c r="G149" s="2"/>
      <c r="H149" s="2"/>
      <c r="I149" s="5"/>
    </row>
    <row r="150" spans="1:9" ht="17.399999999999999" x14ac:dyDescent="0.25">
      <c r="A150" s="16"/>
      <c r="B150" s="17"/>
      <c r="C150" s="2"/>
      <c r="D150" s="2"/>
      <c r="E150" s="2"/>
      <c r="F150" s="2"/>
      <c r="G150" s="2"/>
      <c r="H150" s="2"/>
      <c r="I150" s="5"/>
    </row>
    <row r="151" spans="1:9" ht="17.399999999999999" x14ac:dyDescent="0.25">
      <c r="A151" s="16"/>
      <c r="B151" s="17"/>
      <c r="C151" s="2"/>
      <c r="D151" s="2"/>
      <c r="E151" s="2"/>
      <c r="F151" s="2"/>
      <c r="G151" s="2"/>
      <c r="H151" s="2"/>
      <c r="I151" s="5"/>
    </row>
    <row r="152" spans="1:9" ht="17.399999999999999" x14ac:dyDescent="0.25">
      <c r="A152" s="16"/>
      <c r="B152" s="17"/>
      <c r="C152" s="2"/>
      <c r="D152" s="2"/>
      <c r="E152" s="2"/>
      <c r="F152" s="2"/>
      <c r="G152" s="2"/>
      <c r="H152" s="2"/>
      <c r="I152" s="5"/>
    </row>
    <row r="153" spans="1:9" ht="17.399999999999999" x14ac:dyDescent="0.25">
      <c r="A153" s="16"/>
      <c r="B153" s="17"/>
      <c r="C153" s="2"/>
      <c r="D153" s="2"/>
      <c r="E153" s="2"/>
      <c r="F153" s="2"/>
      <c r="G153" s="2"/>
      <c r="H153" s="2"/>
      <c r="I153" s="5"/>
    </row>
    <row r="154" spans="1:9" ht="17.399999999999999" x14ac:dyDescent="0.25">
      <c r="A154" s="16"/>
      <c r="B154" s="17"/>
      <c r="C154" s="2"/>
      <c r="D154" s="2"/>
      <c r="E154" s="2"/>
      <c r="F154" s="2"/>
      <c r="G154" s="2"/>
      <c r="H154" s="2"/>
      <c r="I154" s="5"/>
    </row>
    <row r="155" spans="1:9" ht="17.399999999999999" x14ac:dyDescent="0.25">
      <c r="A155" s="16"/>
      <c r="B155" s="17"/>
      <c r="C155" s="2"/>
      <c r="D155" s="2"/>
      <c r="E155" s="2"/>
      <c r="F155" s="2"/>
      <c r="G155" s="2"/>
      <c r="H155" s="2"/>
      <c r="I155" s="5"/>
    </row>
    <row r="156" spans="1:9" ht="17.399999999999999" x14ac:dyDescent="0.25">
      <c r="A156" s="16"/>
      <c r="B156" s="17"/>
      <c r="C156" s="2"/>
      <c r="D156" s="2"/>
      <c r="E156" s="2"/>
      <c r="F156" s="2"/>
      <c r="G156" s="2"/>
      <c r="H156" s="2"/>
      <c r="I156" s="5"/>
    </row>
    <row r="157" spans="1:9" ht="17.399999999999999" x14ac:dyDescent="0.25">
      <c r="A157" s="16"/>
      <c r="B157" s="17"/>
      <c r="C157" s="2"/>
      <c r="D157" s="2"/>
      <c r="E157" s="2"/>
      <c r="F157" s="2"/>
      <c r="G157" s="2"/>
      <c r="H157" s="2"/>
      <c r="I157" s="5"/>
    </row>
    <row r="158" spans="1:9" ht="17.399999999999999" x14ac:dyDescent="0.25">
      <c r="A158" s="16"/>
      <c r="B158" s="17"/>
      <c r="C158" s="2"/>
      <c r="D158" s="2"/>
      <c r="E158" s="2"/>
      <c r="F158" s="2"/>
      <c r="G158" s="2"/>
      <c r="H158" s="2"/>
      <c r="I158" s="5"/>
    </row>
    <row r="159" spans="1:9" ht="17.399999999999999" x14ac:dyDescent="0.25">
      <c r="A159" s="16"/>
      <c r="B159" s="17"/>
      <c r="C159" s="2"/>
      <c r="D159" s="2"/>
      <c r="E159" s="2"/>
      <c r="F159" s="2"/>
      <c r="G159" s="2"/>
      <c r="H159" s="2"/>
      <c r="I159" s="5"/>
    </row>
    <row r="160" spans="1:9" ht="17.399999999999999" x14ac:dyDescent="0.25">
      <c r="A160" s="16"/>
      <c r="B160" s="17"/>
      <c r="C160" s="2"/>
      <c r="D160" s="2"/>
      <c r="E160" s="2"/>
      <c r="F160" s="2"/>
      <c r="G160" s="2"/>
      <c r="H160" s="2"/>
      <c r="I160" s="5"/>
    </row>
    <row r="161" spans="1:9" ht="17.399999999999999" x14ac:dyDescent="0.25">
      <c r="A161" s="16"/>
      <c r="B161" s="17"/>
      <c r="C161" s="2"/>
      <c r="D161" s="2"/>
      <c r="E161" s="2"/>
      <c r="F161" s="2"/>
      <c r="G161" s="2"/>
      <c r="H161" s="2"/>
      <c r="I161" s="5"/>
    </row>
    <row r="162" spans="1:9" ht="17.399999999999999" x14ac:dyDescent="0.25">
      <c r="A162" s="16"/>
      <c r="B162" s="17"/>
      <c r="C162" s="2"/>
      <c r="D162" s="2"/>
      <c r="E162" s="2"/>
      <c r="F162" s="2"/>
      <c r="G162" s="2"/>
      <c r="H162" s="2"/>
      <c r="I162" s="5"/>
    </row>
    <row r="163" spans="1:9" ht="17.399999999999999" x14ac:dyDescent="0.25">
      <c r="A163" s="16"/>
      <c r="B163" s="17"/>
      <c r="C163" s="2"/>
      <c r="D163" s="2"/>
      <c r="E163" s="2"/>
      <c r="F163" s="2"/>
      <c r="G163" s="2"/>
      <c r="H163" s="2"/>
      <c r="I163" s="5"/>
    </row>
    <row r="164" spans="1:9" ht="17.399999999999999" x14ac:dyDescent="0.25">
      <c r="A164" s="16"/>
      <c r="B164" s="17"/>
      <c r="C164" s="2"/>
      <c r="D164" s="2"/>
      <c r="E164" s="2"/>
      <c r="F164" s="2"/>
      <c r="G164" s="2"/>
      <c r="H164" s="2"/>
      <c r="I164" s="5"/>
    </row>
    <row r="165" spans="1:9" ht="17.399999999999999" x14ac:dyDescent="0.25">
      <c r="A165" s="16"/>
      <c r="B165" s="17"/>
      <c r="C165" s="2"/>
      <c r="D165" s="2"/>
      <c r="E165" s="2"/>
      <c r="F165" s="2"/>
      <c r="G165" s="2"/>
      <c r="H165" s="2"/>
      <c r="I165" s="5"/>
    </row>
    <row r="166" spans="1:9" ht="17.399999999999999" x14ac:dyDescent="0.25">
      <c r="A166" s="16"/>
      <c r="B166" s="17"/>
      <c r="C166" s="2"/>
      <c r="D166" s="2"/>
      <c r="E166" s="2"/>
      <c r="F166" s="2"/>
      <c r="G166" s="2"/>
      <c r="H166" s="2"/>
      <c r="I166" s="5"/>
    </row>
    <row r="167" spans="1:9" ht="17.399999999999999" x14ac:dyDescent="0.25">
      <c r="A167" s="16"/>
      <c r="B167" s="17"/>
      <c r="C167" s="2"/>
      <c r="D167" s="2"/>
      <c r="E167" s="2"/>
      <c r="F167" s="2"/>
      <c r="G167" s="2"/>
      <c r="H167" s="2"/>
      <c r="I167" s="5"/>
    </row>
    <row r="168" spans="1:9" ht="17.399999999999999" x14ac:dyDescent="0.25">
      <c r="A168" s="16"/>
      <c r="B168" s="17"/>
      <c r="C168" s="2"/>
      <c r="D168" s="2"/>
      <c r="E168" s="2"/>
      <c r="F168" s="2"/>
      <c r="G168" s="2"/>
      <c r="H168" s="2"/>
      <c r="I168" s="5"/>
    </row>
    <row r="169" spans="1:9" ht="17.399999999999999" x14ac:dyDescent="0.25">
      <c r="A169" s="16"/>
      <c r="B169" s="17"/>
      <c r="C169" s="2"/>
      <c r="D169" s="2"/>
      <c r="E169" s="2"/>
      <c r="F169" s="2"/>
      <c r="G169" s="2"/>
      <c r="H169" s="2"/>
      <c r="I169" s="5"/>
    </row>
    <row r="170" spans="1:9" ht="17.399999999999999" x14ac:dyDescent="0.25">
      <c r="A170" s="16"/>
      <c r="B170" s="17"/>
      <c r="C170" s="2"/>
      <c r="D170" s="2"/>
      <c r="E170" s="2"/>
      <c r="F170" s="2"/>
      <c r="G170" s="2"/>
      <c r="H170" s="2"/>
      <c r="I170" s="5"/>
    </row>
    <row r="171" spans="1:9" ht="17.399999999999999" x14ac:dyDescent="0.25">
      <c r="A171" s="16"/>
      <c r="B171" s="17"/>
      <c r="C171" s="2"/>
      <c r="D171" s="2"/>
      <c r="E171" s="2"/>
      <c r="F171" s="2"/>
      <c r="G171" s="2"/>
      <c r="H171" s="2"/>
      <c r="I171" s="5"/>
    </row>
    <row r="172" spans="1:9" ht="17.399999999999999" x14ac:dyDescent="0.25">
      <c r="A172" s="16"/>
      <c r="B172" s="17"/>
      <c r="C172" s="2"/>
      <c r="D172" s="2"/>
      <c r="E172" s="2"/>
      <c r="F172" s="2"/>
      <c r="G172" s="2"/>
      <c r="H172" s="2"/>
      <c r="I172" s="5"/>
    </row>
    <row r="173" spans="1:9" ht="17.399999999999999" x14ac:dyDescent="0.25">
      <c r="A173" s="16"/>
      <c r="B173" s="17"/>
      <c r="C173" s="2"/>
      <c r="D173" s="2"/>
      <c r="E173" s="2"/>
      <c r="F173" s="2"/>
      <c r="G173" s="2"/>
      <c r="H173" s="2"/>
      <c r="I173" s="5"/>
    </row>
    <row r="174" spans="1:9" ht="17.399999999999999" x14ac:dyDescent="0.25">
      <c r="A174" s="16"/>
      <c r="B174" s="17"/>
      <c r="C174" s="2"/>
      <c r="D174" s="2"/>
      <c r="E174" s="2"/>
      <c r="F174" s="2"/>
      <c r="G174" s="2"/>
      <c r="H174" s="2"/>
      <c r="I174" s="5"/>
    </row>
    <row r="175" spans="1:9" ht="17.399999999999999" x14ac:dyDescent="0.25">
      <c r="A175" s="16"/>
      <c r="B175" s="17"/>
      <c r="C175" s="2"/>
      <c r="D175" s="2"/>
      <c r="E175" s="2"/>
      <c r="F175" s="2"/>
      <c r="G175" s="2"/>
      <c r="H175" s="2"/>
      <c r="I175" s="5"/>
    </row>
    <row r="176" spans="1:9" ht="17.399999999999999" x14ac:dyDescent="0.25">
      <c r="A176" s="16"/>
      <c r="B176" s="17"/>
      <c r="C176" s="2"/>
      <c r="D176" s="2"/>
      <c r="E176" s="2"/>
      <c r="F176" s="2"/>
      <c r="G176" s="2"/>
      <c r="H176" s="2"/>
      <c r="I176" s="5"/>
    </row>
    <row r="177" spans="1:9" ht="17.399999999999999" x14ac:dyDescent="0.25">
      <c r="A177" s="16"/>
      <c r="B177" s="17"/>
      <c r="C177" s="2"/>
      <c r="D177" s="2"/>
      <c r="E177" s="2"/>
      <c r="F177" s="2"/>
      <c r="G177" s="2"/>
      <c r="H177" s="2"/>
      <c r="I177" s="5"/>
    </row>
    <row r="178" spans="1:9" ht="17.399999999999999" x14ac:dyDescent="0.25">
      <c r="A178" s="16"/>
      <c r="B178" s="17"/>
      <c r="C178" s="2"/>
      <c r="D178" s="2"/>
      <c r="E178" s="2"/>
      <c r="F178" s="2"/>
      <c r="G178" s="2"/>
      <c r="H178" s="2"/>
      <c r="I178" s="5"/>
    </row>
    <row r="179" spans="1:9" ht="17.399999999999999" x14ac:dyDescent="0.25">
      <c r="A179" s="16"/>
      <c r="B179" s="17"/>
      <c r="C179" s="2"/>
      <c r="D179" s="2"/>
      <c r="E179" s="2"/>
      <c r="F179" s="2"/>
      <c r="G179" s="2"/>
      <c r="H179" s="2"/>
      <c r="I179" s="5"/>
    </row>
    <row r="180" spans="1:9" ht="17.399999999999999" x14ac:dyDescent="0.25">
      <c r="A180" s="16"/>
      <c r="B180" s="17"/>
      <c r="C180" s="2"/>
      <c r="D180" s="2"/>
      <c r="E180" s="2"/>
      <c r="F180" s="2"/>
      <c r="G180" s="2"/>
      <c r="H180" s="2"/>
      <c r="I180" s="5"/>
    </row>
    <row r="181" spans="1:9" ht="17.399999999999999" x14ac:dyDescent="0.25">
      <c r="A181" s="16"/>
      <c r="B181" s="17"/>
      <c r="C181" s="2"/>
      <c r="D181" s="2"/>
      <c r="E181" s="2"/>
      <c r="F181" s="2"/>
      <c r="G181" s="2"/>
      <c r="H181" s="2"/>
      <c r="I181" s="5"/>
    </row>
    <row r="182" spans="1:9" ht="17.399999999999999" x14ac:dyDescent="0.25">
      <c r="A182" s="16"/>
      <c r="B182" s="17"/>
      <c r="C182" s="2"/>
      <c r="D182" s="2"/>
      <c r="E182" s="2"/>
      <c r="F182" s="2"/>
      <c r="G182" s="2"/>
      <c r="H182" s="2"/>
      <c r="I182" s="5"/>
    </row>
    <row r="183" spans="1:9" ht="17.399999999999999" x14ac:dyDescent="0.25">
      <c r="A183" s="16"/>
      <c r="B183" s="17"/>
      <c r="C183" s="2"/>
      <c r="D183" s="2"/>
      <c r="E183" s="2"/>
      <c r="F183" s="2"/>
      <c r="G183" s="2"/>
      <c r="H183" s="2"/>
      <c r="I183" s="5"/>
    </row>
    <row r="184" spans="1:9" ht="17.399999999999999" x14ac:dyDescent="0.25">
      <c r="A184" s="16"/>
      <c r="B184" s="17"/>
      <c r="C184" s="2"/>
      <c r="D184" s="2"/>
      <c r="E184" s="2"/>
      <c r="F184" s="2"/>
      <c r="G184" s="2"/>
      <c r="H184" s="2"/>
      <c r="I184" s="5"/>
    </row>
    <row r="185" spans="1:9" ht="17.399999999999999" x14ac:dyDescent="0.25">
      <c r="A185" s="16"/>
      <c r="B185" s="17"/>
      <c r="C185" s="2"/>
      <c r="D185" s="2"/>
      <c r="E185" s="2"/>
      <c r="F185" s="2"/>
      <c r="G185" s="2"/>
      <c r="H185" s="2"/>
      <c r="I185" s="5"/>
    </row>
    <row r="186" spans="1:9" ht="17.399999999999999" x14ac:dyDescent="0.25">
      <c r="A186" s="16"/>
      <c r="B186" s="17"/>
      <c r="C186" s="2"/>
      <c r="D186" s="2"/>
      <c r="E186" s="2"/>
      <c r="F186" s="2"/>
      <c r="G186" s="2"/>
      <c r="H186" s="2"/>
      <c r="I186" s="5"/>
    </row>
    <row r="187" spans="1:9" ht="17.399999999999999" x14ac:dyDescent="0.25">
      <c r="A187" s="16"/>
      <c r="B187" s="17"/>
      <c r="C187" s="2"/>
      <c r="D187" s="2"/>
      <c r="E187" s="2"/>
      <c r="F187" s="2"/>
      <c r="G187" s="2"/>
      <c r="H187" s="2"/>
      <c r="I187" s="5"/>
    </row>
    <row r="188" spans="1:9" ht="17.399999999999999" x14ac:dyDescent="0.25">
      <c r="A188" s="16"/>
      <c r="B188" s="17"/>
      <c r="C188" s="2"/>
      <c r="D188" s="2"/>
      <c r="E188" s="2"/>
      <c r="F188" s="2"/>
      <c r="G188" s="2"/>
      <c r="H188" s="2"/>
      <c r="I188" s="5"/>
    </row>
    <row r="189" spans="1:9" ht="17.399999999999999" x14ac:dyDescent="0.25">
      <c r="A189" s="16"/>
      <c r="B189" s="17"/>
      <c r="C189" s="2"/>
      <c r="D189" s="2"/>
      <c r="E189" s="2"/>
      <c r="F189" s="2"/>
      <c r="G189" s="2"/>
      <c r="H189" s="2"/>
      <c r="I189" s="5"/>
    </row>
    <row r="190" spans="1:9" ht="17.399999999999999" x14ac:dyDescent="0.25">
      <c r="A190" s="16"/>
      <c r="B190" s="17"/>
      <c r="C190" s="2"/>
      <c r="D190" s="2"/>
      <c r="E190" s="2"/>
      <c r="F190" s="2"/>
      <c r="G190" s="2"/>
      <c r="H190" s="2"/>
      <c r="I190" s="5"/>
    </row>
    <row r="191" spans="1:9" ht="17.399999999999999" x14ac:dyDescent="0.25">
      <c r="A191" s="16"/>
      <c r="B191" s="17"/>
      <c r="C191" s="2"/>
      <c r="D191" s="2"/>
      <c r="E191" s="2"/>
      <c r="F191" s="2"/>
      <c r="G191" s="2"/>
      <c r="H191" s="2"/>
      <c r="I191" s="5"/>
    </row>
    <row r="192" spans="1:9" ht="17.399999999999999" x14ac:dyDescent="0.25">
      <c r="A192" s="16"/>
      <c r="B192" s="17"/>
      <c r="C192" s="2"/>
      <c r="D192" s="2"/>
      <c r="E192" s="2"/>
      <c r="F192" s="2"/>
      <c r="G192" s="2"/>
      <c r="H192" s="2"/>
      <c r="I192" s="5"/>
    </row>
    <row r="193" spans="1:9" ht="17.399999999999999" x14ac:dyDescent="0.25">
      <c r="A193" s="16"/>
      <c r="B193" s="17"/>
      <c r="C193" s="2"/>
      <c r="D193" s="2"/>
      <c r="E193" s="2"/>
      <c r="F193" s="2"/>
      <c r="G193" s="2"/>
      <c r="H193" s="2"/>
      <c r="I193" s="5"/>
    </row>
    <row r="194" spans="1:9" ht="17.399999999999999" x14ac:dyDescent="0.25">
      <c r="A194" s="16"/>
      <c r="B194" s="17"/>
      <c r="C194" s="2"/>
      <c r="D194" s="2"/>
      <c r="E194" s="2"/>
      <c r="F194" s="2"/>
      <c r="G194" s="2"/>
      <c r="H194" s="2"/>
      <c r="I194" s="5"/>
    </row>
    <row r="195" spans="1:9" ht="17.399999999999999" x14ac:dyDescent="0.25">
      <c r="A195" s="16"/>
      <c r="B195" s="17"/>
      <c r="C195" s="2"/>
      <c r="D195" s="2"/>
      <c r="E195" s="2"/>
      <c r="F195" s="2"/>
      <c r="G195" s="2"/>
      <c r="H195" s="2"/>
      <c r="I195" s="5"/>
    </row>
    <row r="196" spans="1:9" ht="17.399999999999999" x14ac:dyDescent="0.25">
      <c r="A196" s="16"/>
      <c r="B196" s="17"/>
      <c r="C196" s="2"/>
      <c r="D196" s="2"/>
      <c r="E196" s="2"/>
      <c r="F196" s="2"/>
      <c r="G196" s="2"/>
      <c r="H196" s="2"/>
      <c r="I196" s="5"/>
    </row>
    <row r="197" spans="1:9" ht="17.399999999999999" x14ac:dyDescent="0.25">
      <c r="A197" s="16"/>
      <c r="B197" s="17"/>
      <c r="C197" s="2"/>
      <c r="D197" s="2"/>
      <c r="E197" s="2"/>
      <c r="F197" s="2"/>
      <c r="G197" s="2"/>
      <c r="H197" s="2"/>
      <c r="I197" s="5"/>
    </row>
    <row r="198" spans="1:9" ht="17.399999999999999" x14ac:dyDescent="0.25">
      <c r="A198" s="16"/>
      <c r="B198" s="17"/>
      <c r="C198" s="2"/>
      <c r="D198" s="2"/>
      <c r="E198" s="2"/>
      <c r="F198" s="2"/>
      <c r="G198" s="2"/>
      <c r="H198" s="2"/>
      <c r="I198" s="5"/>
    </row>
    <row r="199" spans="1:9" ht="17.399999999999999" x14ac:dyDescent="0.25">
      <c r="A199" s="16"/>
      <c r="B199" s="17"/>
      <c r="C199" s="2"/>
      <c r="D199" s="2"/>
      <c r="E199" s="2"/>
      <c r="F199" s="2"/>
      <c r="G199" s="2"/>
      <c r="H199" s="2"/>
      <c r="I199" s="5"/>
    </row>
    <row r="200" spans="1:9" ht="17.399999999999999" x14ac:dyDescent="0.25">
      <c r="A200" s="16"/>
      <c r="B200" s="17"/>
      <c r="C200" s="2"/>
      <c r="D200" s="2"/>
      <c r="E200" s="2"/>
      <c r="F200" s="2"/>
      <c r="G200" s="2"/>
      <c r="H200" s="2"/>
      <c r="I200" s="5"/>
    </row>
    <row r="201" spans="1:9" ht="17.399999999999999" x14ac:dyDescent="0.25">
      <c r="A201" s="16"/>
      <c r="B201" s="17"/>
      <c r="C201" s="2"/>
      <c r="D201" s="2"/>
      <c r="E201" s="2"/>
      <c r="F201" s="2"/>
      <c r="G201" s="2"/>
      <c r="H201" s="2"/>
      <c r="I201" s="5"/>
    </row>
    <row r="202" spans="1:9" ht="17.399999999999999" x14ac:dyDescent="0.25">
      <c r="A202" s="16"/>
      <c r="B202" s="17"/>
      <c r="C202" s="2"/>
      <c r="D202" s="2"/>
      <c r="E202" s="2"/>
      <c r="F202" s="2"/>
      <c r="G202" s="2"/>
      <c r="H202" s="2"/>
      <c r="I202" s="5"/>
    </row>
    <row r="203" spans="1:9" ht="17.399999999999999" x14ac:dyDescent="0.25">
      <c r="A203" s="16"/>
      <c r="B203" s="17"/>
      <c r="C203" s="2"/>
      <c r="D203" s="2"/>
      <c r="E203" s="2"/>
      <c r="F203" s="2"/>
      <c r="G203" s="2"/>
      <c r="H203" s="2"/>
      <c r="I203" s="5"/>
    </row>
    <row r="204" spans="1:9" ht="17.399999999999999" x14ac:dyDescent="0.25">
      <c r="A204" s="16"/>
      <c r="B204" s="17"/>
      <c r="C204" s="2"/>
      <c r="D204" s="2"/>
      <c r="E204" s="2"/>
      <c r="F204" s="2"/>
      <c r="G204" s="2"/>
      <c r="H204" s="2"/>
      <c r="I204" s="5"/>
    </row>
    <row r="205" spans="1:9" ht="17.399999999999999" x14ac:dyDescent="0.25">
      <c r="A205" s="16"/>
      <c r="B205" s="17"/>
      <c r="C205" s="2"/>
      <c r="D205" s="2"/>
      <c r="E205" s="2"/>
      <c r="F205" s="2"/>
      <c r="G205" s="2"/>
      <c r="H205" s="2"/>
      <c r="I205" s="5"/>
    </row>
    <row r="206" spans="1:9" ht="17.399999999999999" x14ac:dyDescent="0.25">
      <c r="A206" s="16"/>
      <c r="B206" s="17"/>
      <c r="C206" s="2"/>
      <c r="D206" s="2"/>
      <c r="E206" s="2"/>
      <c r="F206" s="2"/>
      <c r="G206" s="2"/>
      <c r="H206" s="2"/>
      <c r="I206" s="5"/>
    </row>
    <row r="207" spans="1:9" ht="17.399999999999999" x14ac:dyDescent="0.25">
      <c r="A207" s="16"/>
      <c r="B207" s="17"/>
      <c r="C207" s="2"/>
      <c r="D207" s="2"/>
      <c r="E207" s="2"/>
      <c r="F207" s="2"/>
      <c r="G207" s="2"/>
      <c r="H207" s="2"/>
      <c r="I207" s="5"/>
    </row>
    <row r="208" spans="1:9" ht="17.399999999999999" x14ac:dyDescent="0.25">
      <c r="A208" s="16"/>
      <c r="B208" s="17"/>
      <c r="C208" s="2"/>
      <c r="D208" s="2"/>
      <c r="E208" s="2"/>
      <c r="F208" s="2"/>
      <c r="G208" s="2"/>
      <c r="H208" s="2"/>
      <c r="I208" s="5"/>
    </row>
    <row r="209" spans="1:9" ht="17.399999999999999" x14ac:dyDescent="0.25">
      <c r="A209" s="16"/>
      <c r="B209" s="17"/>
      <c r="C209" s="2"/>
      <c r="D209" s="2"/>
      <c r="E209" s="2"/>
      <c r="F209" s="2"/>
      <c r="G209" s="2"/>
      <c r="H209" s="2"/>
      <c r="I209" s="5"/>
    </row>
    <row r="210" spans="1:9" ht="17.399999999999999" x14ac:dyDescent="0.25">
      <c r="A210" s="16"/>
      <c r="B210" s="17"/>
      <c r="C210" s="2"/>
      <c r="D210" s="2"/>
      <c r="E210" s="2"/>
      <c r="F210" s="2"/>
      <c r="G210" s="2"/>
      <c r="H210" s="2"/>
      <c r="I210" s="5"/>
    </row>
    <row r="211" spans="1:9" ht="17.399999999999999" x14ac:dyDescent="0.25">
      <c r="A211" s="16"/>
      <c r="B211" s="17"/>
      <c r="C211" s="2"/>
      <c r="D211" s="2"/>
      <c r="E211" s="2"/>
      <c r="F211" s="2"/>
      <c r="G211" s="2"/>
      <c r="H211" s="2"/>
      <c r="I211" s="5"/>
    </row>
    <row r="212" spans="1:9" ht="17.399999999999999" x14ac:dyDescent="0.25">
      <c r="A212" s="16"/>
      <c r="B212" s="17"/>
      <c r="C212" s="2"/>
      <c r="D212" s="2"/>
      <c r="E212" s="2"/>
      <c r="F212" s="2"/>
      <c r="G212" s="2"/>
      <c r="H212" s="2"/>
      <c r="I212" s="5"/>
    </row>
    <row r="213" spans="1:9" ht="17.399999999999999" x14ac:dyDescent="0.25">
      <c r="A213" s="16"/>
      <c r="B213" s="17"/>
      <c r="C213" s="2"/>
      <c r="D213" s="2"/>
      <c r="E213" s="2"/>
      <c r="F213" s="2"/>
      <c r="G213" s="2"/>
      <c r="H213" s="2"/>
      <c r="I213" s="5"/>
    </row>
    <row r="214" spans="1:9" ht="17.399999999999999" x14ac:dyDescent="0.25">
      <c r="A214" s="16"/>
      <c r="B214" s="17"/>
      <c r="C214" s="2"/>
      <c r="D214" s="2"/>
      <c r="E214" s="2"/>
      <c r="F214" s="2"/>
      <c r="G214" s="2"/>
      <c r="H214" s="2"/>
      <c r="I214" s="5"/>
    </row>
    <row r="215" spans="1:9" ht="17.399999999999999" x14ac:dyDescent="0.25">
      <c r="A215" s="16"/>
      <c r="B215" s="17"/>
      <c r="C215" s="2"/>
      <c r="D215" s="2"/>
      <c r="E215" s="2"/>
      <c r="F215" s="2"/>
      <c r="G215" s="2"/>
      <c r="H215" s="2"/>
      <c r="I215" s="5"/>
    </row>
    <row r="216" spans="1:9" ht="17.399999999999999" x14ac:dyDescent="0.25">
      <c r="A216" s="16"/>
      <c r="B216" s="17"/>
      <c r="C216" s="2"/>
      <c r="D216" s="2"/>
      <c r="E216" s="2"/>
      <c r="F216" s="2"/>
      <c r="G216" s="2"/>
      <c r="H216" s="2"/>
      <c r="I216" s="5"/>
    </row>
    <row r="217" spans="1:9" ht="17.399999999999999" x14ac:dyDescent="0.25">
      <c r="A217" s="16"/>
      <c r="B217" s="17"/>
      <c r="C217" s="2"/>
      <c r="D217" s="2"/>
      <c r="E217" s="2"/>
      <c r="F217" s="2"/>
      <c r="G217" s="2"/>
      <c r="H217" s="2"/>
      <c r="I217" s="5"/>
    </row>
    <row r="218" spans="1:9" ht="17.399999999999999" x14ac:dyDescent="0.25">
      <c r="A218" s="16"/>
      <c r="B218" s="17"/>
      <c r="C218" s="2"/>
      <c r="D218" s="2"/>
      <c r="E218" s="2"/>
      <c r="F218" s="2"/>
      <c r="G218" s="2"/>
      <c r="H218" s="2"/>
      <c r="I218" s="5"/>
    </row>
    <row r="219" spans="1:9" ht="17.399999999999999" x14ac:dyDescent="0.25">
      <c r="A219" s="16"/>
      <c r="B219" s="17"/>
      <c r="C219" s="2"/>
      <c r="D219" s="2"/>
      <c r="E219" s="2"/>
      <c r="F219" s="2"/>
      <c r="G219" s="2"/>
      <c r="H219" s="2"/>
      <c r="I219" s="5"/>
    </row>
    <row r="220" spans="1:9" ht="17.399999999999999" x14ac:dyDescent="0.25">
      <c r="A220" s="16"/>
      <c r="B220" s="17"/>
      <c r="C220" s="2"/>
      <c r="D220" s="2"/>
      <c r="E220" s="2"/>
      <c r="F220" s="2"/>
      <c r="G220" s="2"/>
      <c r="H220" s="2"/>
      <c r="I220" s="5"/>
    </row>
    <row r="221" spans="1:9" ht="17.399999999999999" x14ac:dyDescent="0.25">
      <c r="A221" s="16"/>
      <c r="B221" s="17"/>
      <c r="C221" s="2"/>
      <c r="D221" s="2"/>
      <c r="E221" s="2"/>
      <c r="F221" s="2"/>
      <c r="G221" s="2"/>
      <c r="H221" s="2"/>
      <c r="I221" s="5"/>
    </row>
    <row r="222" spans="1:9" ht="17.399999999999999" x14ac:dyDescent="0.25">
      <c r="A222" s="16"/>
      <c r="B222" s="17"/>
      <c r="C222" s="2"/>
      <c r="D222" s="2"/>
      <c r="E222" s="2"/>
      <c r="F222" s="2"/>
      <c r="G222" s="2"/>
      <c r="H222" s="2"/>
      <c r="I222" s="5"/>
    </row>
    <row r="223" spans="1:9" ht="17.399999999999999" x14ac:dyDescent="0.25">
      <c r="A223" s="16"/>
      <c r="B223" s="17"/>
      <c r="C223" s="2"/>
      <c r="D223" s="2"/>
      <c r="E223" s="2"/>
      <c r="F223" s="2"/>
      <c r="G223" s="2"/>
      <c r="H223" s="2"/>
      <c r="I223" s="5"/>
    </row>
    <row r="224" spans="1:9" ht="17.399999999999999" x14ac:dyDescent="0.25">
      <c r="A224" s="16"/>
      <c r="B224" s="17"/>
      <c r="C224" s="2"/>
      <c r="D224" s="2"/>
      <c r="E224" s="2"/>
      <c r="F224" s="2"/>
      <c r="G224" s="2"/>
      <c r="H224" s="2"/>
      <c r="I224" s="5"/>
    </row>
    <row r="225" spans="1:9" ht="17.399999999999999" x14ac:dyDescent="0.25">
      <c r="A225" s="16"/>
      <c r="B225" s="17"/>
      <c r="C225" s="2"/>
      <c r="D225" s="2"/>
      <c r="E225" s="2"/>
      <c r="F225" s="2"/>
      <c r="G225" s="2"/>
      <c r="H225" s="2"/>
      <c r="I225" s="5"/>
    </row>
    <row r="226" spans="1:9" ht="17.399999999999999" x14ac:dyDescent="0.25">
      <c r="A226" s="16"/>
      <c r="B226" s="17"/>
      <c r="C226" s="2"/>
      <c r="D226" s="2"/>
      <c r="E226" s="2"/>
      <c r="F226" s="2"/>
      <c r="G226" s="2"/>
      <c r="H226" s="2"/>
      <c r="I226" s="5"/>
    </row>
    <row r="227" spans="1:9" ht="17.399999999999999" x14ac:dyDescent="0.25">
      <c r="A227" s="16"/>
      <c r="B227" s="17"/>
      <c r="C227" s="2"/>
      <c r="D227" s="2"/>
      <c r="E227" s="2"/>
      <c r="F227" s="2"/>
      <c r="G227" s="2"/>
      <c r="H227" s="2"/>
      <c r="I227" s="5"/>
    </row>
    <row r="228" spans="1:9" ht="17.399999999999999" x14ac:dyDescent="0.25">
      <c r="A228" s="16"/>
      <c r="B228" s="17"/>
      <c r="C228" s="2"/>
      <c r="D228" s="2"/>
      <c r="E228" s="2"/>
      <c r="F228" s="2"/>
      <c r="G228" s="2"/>
      <c r="H228" s="2"/>
      <c r="I228" s="5"/>
    </row>
    <row r="229" spans="1:9" ht="17.399999999999999" x14ac:dyDescent="0.25">
      <c r="A229" s="16"/>
      <c r="B229" s="17"/>
      <c r="C229" s="2"/>
      <c r="D229" s="2"/>
      <c r="E229" s="2"/>
      <c r="F229" s="2"/>
      <c r="G229" s="2"/>
      <c r="H229" s="2"/>
      <c r="I229" s="5"/>
    </row>
    <row r="230" spans="1:9" ht="17.399999999999999" x14ac:dyDescent="0.25">
      <c r="A230" s="16"/>
      <c r="B230" s="17"/>
      <c r="C230" s="2"/>
      <c r="D230" s="2"/>
      <c r="E230" s="2"/>
      <c r="F230" s="2"/>
      <c r="G230" s="2"/>
      <c r="H230" s="2"/>
      <c r="I230" s="5"/>
    </row>
    <row r="231" spans="1:9" ht="17.399999999999999" x14ac:dyDescent="0.25">
      <c r="A231" s="16"/>
      <c r="B231" s="17"/>
      <c r="C231" s="2"/>
      <c r="D231" s="2"/>
      <c r="E231" s="2"/>
      <c r="F231" s="2"/>
      <c r="G231" s="2"/>
      <c r="H231" s="2"/>
      <c r="I231" s="5"/>
    </row>
    <row r="232" spans="1:9" ht="17.399999999999999" x14ac:dyDescent="0.25">
      <c r="A232" s="16"/>
      <c r="B232" s="17"/>
      <c r="C232" s="2"/>
      <c r="D232" s="2"/>
      <c r="E232" s="2"/>
      <c r="F232" s="2"/>
      <c r="G232" s="2"/>
      <c r="H232" s="2"/>
      <c r="I232" s="5"/>
    </row>
    <row r="233" spans="1:9" ht="17.399999999999999" x14ac:dyDescent="0.25">
      <c r="A233" s="16"/>
      <c r="B233" s="17"/>
      <c r="C233" s="2"/>
      <c r="D233" s="2"/>
      <c r="E233" s="2"/>
      <c r="F233" s="2"/>
      <c r="G233" s="2"/>
      <c r="H233" s="2"/>
      <c r="I233" s="5"/>
    </row>
    <row r="234" spans="1:9" ht="17.399999999999999" x14ac:dyDescent="0.25">
      <c r="A234" s="16"/>
      <c r="B234" s="17"/>
      <c r="C234" s="2"/>
      <c r="D234" s="2"/>
      <c r="E234" s="2"/>
      <c r="F234" s="2"/>
      <c r="G234" s="2"/>
      <c r="H234" s="2"/>
      <c r="I234" s="5"/>
    </row>
    <row r="235" spans="1:9" ht="17.399999999999999" x14ac:dyDescent="0.25">
      <c r="A235" s="16"/>
      <c r="B235" s="17"/>
      <c r="C235" s="2"/>
      <c r="D235" s="2"/>
      <c r="E235" s="2"/>
      <c r="F235" s="2"/>
      <c r="G235" s="2"/>
      <c r="H235" s="2"/>
      <c r="I235" s="5"/>
    </row>
    <row r="236" spans="1:9" ht="17.399999999999999" x14ac:dyDescent="0.25">
      <c r="A236" s="16"/>
      <c r="B236" s="17"/>
      <c r="C236" s="2"/>
      <c r="D236" s="2"/>
      <c r="E236" s="2"/>
      <c r="F236" s="2"/>
      <c r="G236" s="2"/>
      <c r="H236" s="2"/>
      <c r="I236" s="5"/>
    </row>
    <row r="237" spans="1:9" ht="17.399999999999999" x14ac:dyDescent="0.25">
      <c r="A237" s="16"/>
      <c r="B237" s="17"/>
      <c r="C237" s="2"/>
      <c r="D237" s="2"/>
      <c r="E237" s="2"/>
      <c r="F237" s="2"/>
      <c r="G237" s="2"/>
      <c r="H237" s="2"/>
      <c r="I237" s="5"/>
    </row>
    <row r="238" spans="1:9" ht="17.399999999999999" x14ac:dyDescent="0.25">
      <c r="A238" s="16"/>
      <c r="B238" s="17"/>
      <c r="C238" s="2"/>
      <c r="D238" s="2"/>
      <c r="E238" s="2"/>
      <c r="F238" s="2"/>
      <c r="G238" s="2"/>
      <c r="H238" s="2"/>
      <c r="I238" s="5"/>
    </row>
    <row r="239" spans="1:9" ht="17.399999999999999" x14ac:dyDescent="0.25">
      <c r="A239" s="16"/>
      <c r="B239" s="17"/>
      <c r="C239" s="2"/>
      <c r="D239" s="2"/>
      <c r="E239" s="2"/>
      <c r="F239" s="2"/>
      <c r="G239" s="2"/>
      <c r="H239" s="2"/>
      <c r="I239" s="5"/>
    </row>
    <row r="240" spans="1:9" ht="17.399999999999999" x14ac:dyDescent="0.25">
      <c r="A240" s="16"/>
      <c r="B240" s="17"/>
      <c r="C240" s="2"/>
      <c r="D240" s="2"/>
      <c r="E240" s="2"/>
      <c r="F240" s="2"/>
      <c r="G240" s="2"/>
      <c r="H240" s="2"/>
      <c r="I240" s="5"/>
    </row>
    <row r="241" spans="1:9" ht="17.399999999999999" x14ac:dyDescent="0.25">
      <c r="A241" s="16"/>
      <c r="B241" s="17"/>
      <c r="C241" s="2"/>
      <c r="D241" s="2"/>
      <c r="E241" s="2"/>
      <c r="F241" s="2"/>
      <c r="G241" s="2"/>
      <c r="H241" s="2"/>
      <c r="I241" s="5"/>
    </row>
    <row r="242" spans="1:9" ht="17.399999999999999" x14ac:dyDescent="0.25">
      <c r="A242" s="16"/>
      <c r="B242" s="17"/>
      <c r="C242" s="2"/>
      <c r="D242" s="2"/>
      <c r="E242" s="2"/>
      <c r="F242" s="2"/>
      <c r="G242" s="2"/>
      <c r="H242" s="2"/>
      <c r="I242" s="5"/>
    </row>
    <row r="243" spans="1:9" ht="17.399999999999999" x14ac:dyDescent="0.25">
      <c r="A243" s="16"/>
      <c r="B243" s="17"/>
      <c r="C243" s="2"/>
      <c r="D243" s="2"/>
      <c r="E243" s="2"/>
      <c r="F243" s="2"/>
      <c r="G243" s="2"/>
      <c r="H243" s="2"/>
      <c r="I243" s="5"/>
    </row>
    <row r="244" spans="1:9" ht="17.399999999999999" x14ac:dyDescent="0.25">
      <c r="A244" s="16"/>
      <c r="B244" s="17"/>
      <c r="C244" s="2"/>
      <c r="D244" s="2"/>
      <c r="E244" s="2"/>
      <c r="F244" s="2"/>
      <c r="G244" s="2"/>
      <c r="H244" s="2"/>
      <c r="I244" s="5"/>
    </row>
    <row r="245" spans="1:9" ht="17.399999999999999" x14ac:dyDescent="0.25">
      <c r="A245" s="16"/>
      <c r="B245" s="17"/>
      <c r="C245" s="2"/>
      <c r="D245" s="2"/>
      <c r="E245" s="2"/>
      <c r="F245" s="2"/>
      <c r="G245" s="2"/>
      <c r="H245" s="2"/>
      <c r="I245" s="5"/>
    </row>
    <row r="246" spans="1:9" ht="17.399999999999999" x14ac:dyDescent="0.25">
      <c r="A246" s="16"/>
      <c r="B246" s="17"/>
      <c r="C246" s="2"/>
      <c r="D246" s="2"/>
      <c r="E246" s="2"/>
      <c r="F246" s="2"/>
      <c r="G246" s="2"/>
      <c r="H246" s="2"/>
      <c r="I246" s="5"/>
    </row>
    <row r="247" spans="1:9" ht="17.399999999999999" x14ac:dyDescent="0.25">
      <c r="A247" s="16"/>
      <c r="B247" s="17"/>
      <c r="C247" s="2"/>
      <c r="D247" s="2"/>
      <c r="E247" s="2"/>
      <c r="F247" s="2"/>
      <c r="G247" s="2"/>
      <c r="H247" s="2"/>
      <c r="I247" s="5"/>
    </row>
    <row r="248" spans="1:9" ht="17.399999999999999" x14ac:dyDescent="0.25">
      <c r="A248" s="16"/>
      <c r="B248" s="17"/>
      <c r="C248" s="2"/>
      <c r="D248" s="2"/>
      <c r="E248" s="2"/>
      <c r="F248" s="2"/>
      <c r="G248" s="2"/>
      <c r="H248" s="2"/>
      <c r="I248" s="5"/>
    </row>
    <row r="249" spans="1:9" ht="17.399999999999999" x14ac:dyDescent="0.25">
      <c r="A249" s="16"/>
      <c r="B249" s="17"/>
      <c r="C249" s="2"/>
      <c r="D249" s="2"/>
      <c r="E249" s="2"/>
      <c r="F249" s="2"/>
      <c r="G249" s="2"/>
      <c r="H249" s="2"/>
      <c r="I249" s="5"/>
    </row>
    <row r="250" spans="1:9" ht="17.399999999999999" x14ac:dyDescent="0.25">
      <c r="A250" s="16"/>
      <c r="B250" s="17"/>
      <c r="C250" s="2"/>
      <c r="D250" s="2"/>
      <c r="E250" s="2"/>
      <c r="F250" s="2"/>
      <c r="G250" s="2"/>
      <c r="H250" s="2"/>
      <c r="I250" s="5"/>
    </row>
    <row r="251" spans="1:9" ht="17.399999999999999" x14ac:dyDescent="0.25">
      <c r="A251" s="16"/>
      <c r="B251" s="17"/>
      <c r="C251" s="2"/>
      <c r="D251" s="2"/>
      <c r="E251" s="2"/>
      <c r="F251" s="2"/>
      <c r="G251" s="2"/>
      <c r="H251" s="2"/>
      <c r="I251" s="5"/>
    </row>
    <row r="252" spans="1:9" ht="17.399999999999999" x14ac:dyDescent="0.25">
      <c r="A252" s="16"/>
      <c r="B252" s="17"/>
      <c r="C252" s="2"/>
      <c r="D252" s="2"/>
      <c r="E252" s="2"/>
      <c r="F252" s="2"/>
      <c r="G252" s="2"/>
      <c r="H252" s="2"/>
      <c r="I252" s="5"/>
    </row>
    <row r="253" spans="1:9" ht="17.399999999999999" x14ac:dyDescent="0.25">
      <c r="A253" s="16"/>
      <c r="B253" s="17"/>
      <c r="C253" s="2"/>
      <c r="D253" s="2"/>
      <c r="E253" s="2"/>
      <c r="F253" s="2"/>
      <c r="G253" s="2"/>
      <c r="H253" s="2"/>
      <c r="I253" s="5"/>
    </row>
    <row r="254" spans="1:9" ht="17.399999999999999" x14ac:dyDescent="0.25">
      <c r="A254" s="16"/>
      <c r="B254" s="17"/>
      <c r="C254" s="2"/>
      <c r="D254" s="2"/>
      <c r="E254" s="2"/>
      <c r="F254" s="2"/>
      <c r="G254" s="2"/>
      <c r="H254" s="2"/>
      <c r="I254" s="5"/>
    </row>
    <row r="255" spans="1:9" ht="17.399999999999999" x14ac:dyDescent="0.25">
      <c r="A255" s="16"/>
      <c r="B255" s="17"/>
      <c r="C255" s="2"/>
      <c r="D255" s="2"/>
      <c r="E255" s="2"/>
      <c r="F255" s="2"/>
      <c r="G255" s="2"/>
      <c r="H255" s="2"/>
      <c r="I255" s="5"/>
    </row>
    <row r="256" spans="1:9" ht="17.399999999999999" x14ac:dyDescent="0.25">
      <c r="A256" s="16"/>
      <c r="B256" s="17"/>
      <c r="C256" s="2"/>
      <c r="D256" s="2"/>
      <c r="E256" s="2"/>
      <c r="F256" s="2"/>
      <c r="G256" s="2"/>
      <c r="H256" s="2"/>
      <c r="I256" s="5"/>
    </row>
    <row r="257" spans="1:9" ht="17.399999999999999" x14ac:dyDescent="0.25">
      <c r="A257" s="16"/>
      <c r="B257" s="17"/>
      <c r="C257" s="2"/>
      <c r="D257" s="2"/>
      <c r="E257" s="2"/>
      <c r="F257" s="2"/>
      <c r="G257" s="2"/>
      <c r="H257" s="2"/>
      <c r="I257" s="5"/>
    </row>
    <row r="258" spans="1:9" ht="17.399999999999999" x14ac:dyDescent="0.25">
      <c r="A258" s="16"/>
      <c r="B258" s="17"/>
      <c r="C258" s="2"/>
      <c r="D258" s="2"/>
      <c r="E258" s="2"/>
      <c r="F258" s="2"/>
      <c r="G258" s="2"/>
      <c r="H258" s="2"/>
      <c r="I258" s="5"/>
    </row>
    <row r="259" spans="1:9" ht="17.399999999999999" x14ac:dyDescent="0.25">
      <c r="A259" s="16"/>
      <c r="B259" s="17"/>
      <c r="C259" s="2"/>
      <c r="D259" s="2"/>
      <c r="E259" s="2"/>
      <c r="F259" s="2"/>
      <c r="G259" s="2"/>
      <c r="H259" s="2"/>
      <c r="I259" s="5"/>
    </row>
    <row r="260" spans="1:9" ht="17.399999999999999" x14ac:dyDescent="0.25">
      <c r="A260" s="16"/>
      <c r="B260" s="17"/>
      <c r="C260" s="2"/>
      <c r="D260" s="2"/>
      <c r="E260" s="2"/>
      <c r="F260" s="2"/>
      <c r="G260" s="2"/>
      <c r="H260" s="2"/>
      <c r="I260" s="5"/>
    </row>
    <row r="261" spans="1:9" ht="17.399999999999999" x14ac:dyDescent="0.25">
      <c r="A261" s="16"/>
      <c r="B261" s="17"/>
      <c r="C261" s="2"/>
      <c r="D261" s="2"/>
      <c r="E261" s="2"/>
      <c r="F261" s="2"/>
      <c r="G261" s="2"/>
      <c r="H261" s="2"/>
      <c r="I261" s="5"/>
    </row>
    <row r="262" spans="1:9" ht="17.399999999999999" x14ac:dyDescent="0.25">
      <c r="A262" s="16"/>
      <c r="B262" s="17"/>
      <c r="C262" s="2"/>
      <c r="D262" s="2"/>
      <c r="E262" s="2"/>
      <c r="F262" s="2"/>
      <c r="G262" s="2"/>
      <c r="H262" s="2"/>
      <c r="I262" s="5"/>
    </row>
    <row r="263" spans="1:9" ht="17.399999999999999" x14ac:dyDescent="0.25">
      <c r="A263" s="16"/>
      <c r="B263" s="17"/>
      <c r="C263" s="2"/>
      <c r="D263" s="2"/>
      <c r="E263" s="2"/>
      <c r="F263" s="2"/>
      <c r="G263" s="2"/>
      <c r="H263" s="2"/>
      <c r="I263" s="5"/>
    </row>
    <row r="264" spans="1:9" ht="17.399999999999999" x14ac:dyDescent="0.25">
      <c r="A264" s="16"/>
      <c r="B264" s="17"/>
      <c r="C264" s="2"/>
      <c r="D264" s="2"/>
      <c r="E264" s="2"/>
      <c r="F264" s="2"/>
      <c r="G264" s="2"/>
      <c r="H264" s="2"/>
      <c r="I264" s="5"/>
    </row>
    <row r="265" spans="1:9" ht="17.399999999999999" x14ac:dyDescent="0.25">
      <c r="A265" s="16"/>
      <c r="B265" s="17"/>
      <c r="C265" s="2"/>
      <c r="D265" s="2"/>
      <c r="E265" s="2"/>
      <c r="F265" s="2"/>
      <c r="G265" s="2"/>
      <c r="H265" s="2"/>
      <c r="I265" s="5"/>
    </row>
    <row r="266" spans="1:9" ht="17.399999999999999" x14ac:dyDescent="0.25">
      <c r="A266" s="16"/>
      <c r="B266" s="17"/>
      <c r="C266" s="2"/>
      <c r="D266" s="2"/>
      <c r="E266" s="2"/>
      <c r="F266" s="2"/>
      <c r="G266" s="2"/>
      <c r="H266" s="2"/>
      <c r="I266" s="5"/>
    </row>
    <row r="267" spans="1:9" ht="17.399999999999999" x14ac:dyDescent="0.25">
      <c r="A267" s="16"/>
      <c r="B267" s="17"/>
      <c r="C267" s="2"/>
      <c r="D267" s="2"/>
      <c r="E267" s="2"/>
      <c r="F267" s="2"/>
      <c r="G267" s="2"/>
      <c r="H267" s="2"/>
      <c r="I267" s="5"/>
    </row>
    <row r="268" spans="1:9" ht="17.399999999999999" x14ac:dyDescent="0.25">
      <c r="A268" s="16"/>
      <c r="B268" s="17"/>
      <c r="C268" s="2"/>
      <c r="D268" s="2"/>
      <c r="E268" s="2"/>
      <c r="F268" s="2"/>
      <c r="G268" s="2"/>
      <c r="H268" s="2"/>
      <c r="I268" s="5"/>
    </row>
    <row r="269" spans="1:9" ht="17.399999999999999" x14ac:dyDescent="0.25">
      <c r="A269" s="16"/>
      <c r="B269" s="17"/>
      <c r="C269" s="2"/>
      <c r="D269" s="2"/>
      <c r="E269" s="2"/>
      <c r="F269" s="2"/>
      <c r="G269" s="2"/>
      <c r="H269" s="2"/>
      <c r="I269" s="5"/>
    </row>
    <row r="270" spans="1:9" ht="17.399999999999999" x14ac:dyDescent="0.25">
      <c r="A270" s="16"/>
      <c r="B270" s="17"/>
      <c r="C270" s="2"/>
      <c r="D270" s="2"/>
      <c r="E270" s="2"/>
      <c r="F270" s="2"/>
      <c r="G270" s="2"/>
      <c r="H270" s="2"/>
      <c r="I270" s="5"/>
    </row>
    <row r="271" spans="1:9" ht="17.399999999999999" x14ac:dyDescent="0.25">
      <c r="A271" s="16"/>
      <c r="B271" s="17"/>
      <c r="C271" s="2"/>
      <c r="D271" s="2"/>
      <c r="E271" s="2"/>
      <c r="F271" s="2"/>
      <c r="G271" s="2"/>
      <c r="H271" s="2"/>
      <c r="I271" s="5"/>
    </row>
    <row r="272" spans="1:9" ht="17.399999999999999" x14ac:dyDescent="0.25">
      <c r="A272" s="16"/>
      <c r="B272" s="17"/>
      <c r="C272" s="2"/>
      <c r="D272" s="2"/>
      <c r="E272" s="2"/>
      <c r="F272" s="2"/>
      <c r="G272" s="2"/>
      <c r="H272" s="2"/>
      <c r="I272" s="5"/>
    </row>
    <row r="273" spans="1:9" ht="17.399999999999999" x14ac:dyDescent="0.25">
      <c r="A273" s="16"/>
      <c r="B273" s="17"/>
      <c r="C273" s="2"/>
      <c r="D273" s="2"/>
      <c r="E273" s="2"/>
      <c r="F273" s="2"/>
      <c r="G273" s="2"/>
      <c r="H273" s="2"/>
      <c r="I273" s="5"/>
    </row>
    <row r="274" spans="1:9" ht="17.399999999999999" x14ac:dyDescent="0.25">
      <c r="A274" s="16"/>
      <c r="B274" s="17"/>
      <c r="C274" s="2"/>
      <c r="D274" s="2"/>
      <c r="E274" s="2"/>
      <c r="F274" s="2"/>
      <c r="G274" s="2"/>
      <c r="H274" s="2"/>
      <c r="I274" s="5"/>
    </row>
    <row r="275" spans="1:9" ht="17.399999999999999" x14ac:dyDescent="0.25">
      <c r="A275" s="16"/>
      <c r="B275" s="17"/>
      <c r="C275" s="2"/>
      <c r="D275" s="2"/>
      <c r="E275" s="2"/>
      <c r="F275" s="2"/>
      <c r="G275" s="2"/>
      <c r="H275" s="2"/>
      <c r="I275" s="5"/>
    </row>
    <row r="276" spans="1:9" ht="17.399999999999999" x14ac:dyDescent="0.25">
      <c r="A276" s="16"/>
      <c r="B276" s="17"/>
      <c r="C276" s="2"/>
      <c r="D276" s="2"/>
      <c r="E276" s="2"/>
      <c r="F276" s="2"/>
      <c r="G276" s="2"/>
      <c r="H276" s="2"/>
      <c r="I276" s="5"/>
    </row>
    <row r="277" spans="1:9" ht="17.399999999999999" x14ac:dyDescent="0.25">
      <c r="A277" s="16"/>
      <c r="B277" s="17"/>
      <c r="C277" s="2"/>
      <c r="D277" s="2"/>
      <c r="E277" s="2"/>
      <c r="F277" s="2"/>
      <c r="G277" s="2"/>
      <c r="H277" s="2"/>
      <c r="I277" s="5"/>
    </row>
    <row r="278" spans="1:9" ht="17.399999999999999" x14ac:dyDescent="0.25">
      <c r="A278" s="16"/>
      <c r="B278" s="17"/>
      <c r="C278" s="2"/>
      <c r="D278" s="2"/>
      <c r="E278" s="2"/>
      <c r="F278" s="2"/>
      <c r="G278" s="2"/>
      <c r="H278" s="2"/>
      <c r="I278" s="5"/>
    </row>
    <row r="279" spans="1:9" ht="17.399999999999999" x14ac:dyDescent="0.25">
      <c r="A279" s="16"/>
      <c r="B279" s="17"/>
      <c r="C279" s="2"/>
      <c r="D279" s="2"/>
      <c r="E279" s="2"/>
      <c r="F279" s="2"/>
      <c r="G279" s="2"/>
      <c r="H279" s="2"/>
      <c r="I279" s="5"/>
    </row>
    <row r="280" spans="1:9" ht="17.399999999999999" x14ac:dyDescent="0.25">
      <c r="A280" s="16"/>
      <c r="B280" s="17"/>
      <c r="C280" s="2"/>
      <c r="D280" s="2"/>
      <c r="E280" s="2"/>
      <c r="F280" s="2"/>
      <c r="G280" s="2"/>
      <c r="H280" s="2"/>
      <c r="I280" s="5"/>
    </row>
    <row r="281" spans="1:9" ht="17.399999999999999" x14ac:dyDescent="0.25">
      <c r="A281" s="16"/>
      <c r="B281" s="17"/>
      <c r="C281" s="2"/>
      <c r="D281" s="2"/>
      <c r="E281" s="2"/>
      <c r="F281" s="2"/>
      <c r="G281" s="2"/>
      <c r="H281" s="2"/>
      <c r="I281" s="5"/>
    </row>
    <row r="282" spans="1:9" ht="17.399999999999999" x14ac:dyDescent="0.25">
      <c r="A282" s="16"/>
      <c r="B282" s="17"/>
      <c r="C282" s="2"/>
      <c r="D282" s="2"/>
      <c r="E282" s="2"/>
      <c r="F282" s="2"/>
      <c r="G282" s="2"/>
      <c r="H282" s="2"/>
      <c r="I282" s="5"/>
    </row>
    <row r="283" spans="1:9" ht="17.399999999999999" x14ac:dyDescent="0.25">
      <c r="A283" s="16"/>
      <c r="B283" s="17"/>
      <c r="C283" s="2"/>
      <c r="D283" s="2"/>
      <c r="E283" s="2"/>
      <c r="F283" s="2"/>
      <c r="G283" s="2"/>
      <c r="H283" s="2"/>
      <c r="I283" s="5"/>
    </row>
    <row r="284" spans="1:9" ht="17.399999999999999" x14ac:dyDescent="0.25">
      <c r="A284" s="16"/>
      <c r="B284" s="17"/>
      <c r="C284" s="2"/>
      <c r="D284" s="2"/>
      <c r="E284" s="2"/>
      <c r="F284" s="2"/>
      <c r="G284" s="2"/>
      <c r="H284" s="2"/>
      <c r="I284" s="5"/>
    </row>
    <row r="285" spans="1:9" ht="17.399999999999999" x14ac:dyDescent="0.25">
      <c r="A285" s="16"/>
      <c r="B285" s="17"/>
      <c r="C285" s="2"/>
      <c r="D285" s="2"/>
      <c r="E285" s="2"/>
      <c r="F285" s="2"/>
      <c r="G285" s="2"/>
      <c r="H285" s="2"/>
      <c r="I285" s="5"/>
    </row>
    <row r="286" spans="1:9" ht="17.399999999999999" x14ac:dyDescent="0.25">
      <c r="A286" s="16"/>
      <c r="B286" s="17"/>
      <c r="C286" s="2"/>
      <c r="D286" s="2"/>
      <c r="E286" s="2"/>
      <c r="F286" s="2"/>
      <c r="G286" s="2"/>
      <c r="H286" s="2"/>
      <c r="I286" s="5"/>
    </row>
    <row r="287" spans="1:9" ht="17.399999999999999" x14ac:dyDescent="0.25">
      <c r="A287" s="16"/>
      <c r="B287" s="17"/>
      <c r="C287" s="2"/>
      <c r="D287" s="2"/>
      <c r="E287" s="2"/>
      <c r="F287" s="2"/>
      <c r="G287" s="2"/>
      <c r="H287" s="2"/>
      <c r="I287" s="5"/>
    </row>
    <row r="288" spans="1:9" ht="17.399999999999999" x14ac:dyDescent="0.25">
      <c r="A288" s="16"/>
      <c r="B288" s="17"/>
      <c r="C288" s="2"/>
      <c r="D288" s="2"/>
      <c r="E288" s="2"/>
      <c r="F288" s="2"/>
      <c r="G288" s="2"/>
      <c r="H288" s="2"/>
      <c r="I288" s="5"/>
    </row>
    <row r="289" spans="1:9" ht="17.399999999999999" x14ac:dyDescent="0.25">
      <c r="A289" s="16"/>
      <c r="B289" s="17"/>
      <c r="C289" s="2"/>
      <c r="D289" s="2"/>
      <c r="E289" s="2"/>
      <c r="F289" s="2"/>
      <c r="G289" s="2"/>
      <c r="H289" s="2"/>
      <c r="I289" s="5"/>
    </row>
    <row r="290" spans="1:9" ht="17.399999999999999" x14ac:dyDescent="0.25">
      <c r="A290" s="16"/>
      <c r="B290" s="17"/>
      <c r="C290" s="2"/>
      <c r="D290" s="2"/>
      <c r="E290" s="2"/>
      <c r="F290" s="2"/>
      <c r="G290" s="2"/>
      <c r="H290" s="2"/>
      <c r="I290" s="5"/>
    </row>
    <row r="291" spans="1:9" ht="17.399999999999999" x14ac:dyDescent="0.25">
      <c r="A291" s="16"/>
      <c r="B291" s="17"/>
      <c r="C291" s="2"/>
      <c r="D291" s="2"/>
      <c r="E291" s="2"/>
      <c r="F291" s="2"/>
      <c r="G291" s="2"/>
      <c r="H291" s="2"/>
      <c r="I291" s="5"/>
    </row>
    <row r="292" spans="1:9" ht="17.399999999999999" x14ac:dyDescent="0.25">
      <c r="A292" s="16"/>
      <c r="B292" s="17"/>
      <c r="C292" s="2"/>
      <c r="D292" s="2"/>
      <c r="E292" s="2"/>
      <c r="F292" s="2"/>
      <c r="G292" s="2"/>
      <c r="H292" s="2"/>
      <c r="I292" s="5"/>
    </row>
    <row r="293" spans="1:9" ht="17.399999999999999" x14ac:dyDescent="0.25">
      <c r="A293" s="16"/>
      <c r="B293" s="17"/>
      <c r="C293" s="2"/>
      <c r="D293" s="2"/>
      <c r="E293" s="2"/>
      <c r="F293" s="2"/>
      <c r="G293" s="2"/>
      <c r="H293" s="2"/>
      <c r="I293" s="5"/>
    </row>
    <row r="294" spans="1:9" ht="17.399999999999999" x14ac:dyDescent="0.25">
      <c r="A294" s="16"/>
      <c r="B294" s="17"/>
      <c r="C294" s="2"/>
      <c r="D294" s="2"/>
      <c r="E294" s="2"/>
      <c r="F294" s="2"/>
      <c r="G294" s="2"/>
      <c r="H294" s="2"/>
      <c r="I294" s="5"/>
    </row>
    <row r="295" spans="1:9" ht="17.399999999999999" x14ac:dyDescent="0.25">
      <c r="A295" s="16"/>
      <c r="B295" s="17"/>
      <c r="C295" s="2"/>
      <c r="D295" s="2"/>
      <c r="E295" s="2"/>
      <c r="F295" s="2"/>
      <c r="G295" s="2"/>
      <c r="H295" s="2"/>
      <c r="I295" s="5"/>
    </row>
    <row r="296" spans="1:9" ht="17.399999999999999" x14ac:dyDescent="0.25">
      <c r="A296" s="16"/>
      <c r="B296" s="17"/>
      <c r="C296" s="2"/>
      <c r="D296" s="2"/>
      <c r="E296" s="2"/>
      <c r="F296" s="2"/>
      <c r="G296" s="2"/>
      <c r="H296" s="2"/>
      <c r="I296" s="5"/>
    </row>
    <row r="297" spans="1:9" ht="17.399999999999999" x14ac:dyDescent="0.25">
      <c r="A297" s="16"/>
      <c r="B297" s="17"/>
      <c r="C297" s="2"/>
      <c r="D297" s="2"/>
      <c r="E297" s="2"/>
      <c r="F297" s="2"/>
      <c r="G297" s="2"/>
      <c r="H297" s="2"/>
      <c r="I297" s="5"/>
    </row>
    <row r="298" spans="1:9" ht="17.399999999999999" x14ac:dyDescent="0.25">
      <c r="A298" s="16"/>
      <c r="B298" s="17"/>
      <c r="C298" s="2"/>
      <c r="D298" s="2"/>
      <c r="E298" s="2"/>
      <c r="F298" s="2"/>
      <c r="G298" s="2"/>
      <c r="H298" s="2"/>
      <c r="I298" s="5"/>
    </row>
    <row r="299" spans="1:9" ht="17.399999999999999" x14ac:dyDescent="0.25">
      <c r="A299" s="16"/>
      <c r="B299" s="17"/>
      <c r="C299" s="2"/>
      <c r="D299" s="2"/>
      <c r="E299" s="2"/>
      <c r="F299" s="2"/>
      <c r="G299" s="2"/>
      <c r="H299" s="2"/>
      <c r="I299" s="5"/>
    </row>
    <row r="300" spans="1:9" ht="17.399999999999999" x14ac:dyDescent="0.25">
      <c r="A300" s="16"/>
      <c r="B300" s="17"/>
      <c r="C300" s="2"/>
      <c r="D300" s="2"/>
      <c r="E300" s="2"/>
      <c r="F300" s="2"/>
      <c r="G300" s="2"/>
      <c r="H300" s="2"/>
      <c r="I300" s="5"/>
    </row>
    <row r="301" spans="1:9" ht="17.399999999999999" x14ac:dyDescent="0.25">
      <c r="A301" s="16"/>
      <c r="B301" s="17"/>
      <c r="C301" s="2"/>
      <c r="D301" s="2"/>
      <c r="E301" s="2"/>
      <c r="F301" s="2"/>
      <c r="G301" s="2"/>
      <c r="H301" s="2"/>
      <c r="I301" s="5"/>
    </row>
    <row r="302" spans="1:9" ht="17.399999999999999" x14ac:dyDescent="0.25">
      <c r="A302" s="16"/>
      <c r="B302" s="17"/>
      <c r="C302" s="2"/>
      <c r="D302" s="2"/>
      <c r="E302" s="2"/>
      <c r="F302" s="2"/>
      <c r="G302" s="2"/>
      <c r="H302" s="2"/>
      <c r="I302" s="5"/>
    </row>
    <row r="303" spans="1:9" ht="17.399999999999999" x14ac:dyDescent="0.25">
      <c r="A303" s="16"/>
      <c r="B303" s="17"/>
      <c r="C303" s="2"/>
      <c r="D303" s="2"/>
      <c r="E303" s="2"/>
      <c r="F303" s="2"/>
      <c r="G303" s="2"/>
      <c r="H303" s="2"/>
      <c r="I303" s="5"/>
    </row>
    <row r="304" spans="1:9" ht="17.399999999999999" x14ac:dyDescent="0.25">
      <c r="A304" s="16"/>
      <c r="B304" s="17"/>
      <c r="C304" s="2"/>
      <c r="D304" s="2"/>
      <c r="E304" s="2"/>
      <c r="F304" s="2"/>
      <c r="G304" s="2"/>
      <c r="H304" s="2"/>
      <c r="I304" s="5"/>
    </row>
    <row r="305" spans="1:9" ht="17.399999999999999" x14ac:dyDescent="0.25">
      <c r="A305" s="16"/>
      <c r="B305" s="17"/>
      <c r="C305" s="2"/>
      <c r="D305" s="2"/>
      <c r="E305" s="2"/>
      <c r="F305" s="2"/>
      <c r="G305" s="2"/>
      <c r="H305" s="2"/>
      <c r="I305" s="5"/>
    </row>
    <row r="306" spans="1:9" ht="17.399999999999999" x14ac:dyDescent="0.25">
      <c r="A306" s="16"/>
      <c r="B306" s="17"/>
      <c r="C306" s="2"/>
      <c r="D306" s="2"/>
      <c r="E306" s="2"/>
      <c r="F306" s="2"/>
      <c r="G306" s="2"/>
      <c r="H306" s="2"/>
      <c r="I306" s="5"/>
    </row>
    <row r="307" spans="1:9" ht="17.399999999999999" x14ac:dyDescent="0.25">
      <c r="A307" s="16"/>
      <c r="B307" s="17"/>
      <c r="C307" s="2"/>
      <c r="D307" s="2"/>
      <c r="E307" s="2"/>
      <c r="F307" s="2"/>
      <c r="G307" s="2"/>
      <c r="H307" s="2"/>
      <c r="I307" s="5"/>
    </row>
    <row r="308" spans="1:9" ht="17.399999999999999" x14ac:dyDescent="0.25">
      <c r="A308" s="16"/>
      <c r="B308" s="17"/>
      <c r="C308" s="2"/>
      <c r="D308" s="2"/>
      <c r="E308" s="2"/>
      <c r="F308" s="2"/>
      <c r="G308" s="2"/>
      <c r="H308" s="2"/>
      <c r="I308" s="5"/>
    </row>
    <row r="309" spans="1:9" ht="17.399999999999999" x14ac:dyDescent="0.25">
      <c r="A309" s="16"/>
      <c r="B309" s="17"/>
      <c r="C309" s="2"/>
      <c r="D309" s="2"/>
      <c r="E309" s="2"/>
      <c r="F309" s="2"/>
      <c r="G309" s="2"/>
      <c r="H309" s="2"/>
      <c r="I309" s="5"/>
    </row>
    <row r="310" spans="1:9" ht="17.399999999999999" x14ac:dyDescent="0.25">
      <c r="A310" s="16"/>
      <c r="B310" s="17"/>
      <c r="C310" s="2"/>
      <c r="D310" s="2"/>
      <c r="E310" s="2"/>
      <c r="F310" s="2"/>
      <c r="G310" s="2"/>
      <c r="H310" s="2"/>
      <c r="I310" s="5"/>
    </row>
    <row r="311" spans="1:9" ht="17.399999999999999" x14ac:dyDescent="0.25">
      <c r="A311" s="16"/>
      <c r="B311" s="17"/>
      <c r="C311" s="2"/>
      <c r="D311" s="2"/>
      <c r="E311" s="2"/>
      <c r="F311" s="2"/>
      <c r="G311" s="2"/>
      <c r="H311" s="2"/>
      <c r="I311" s="5"/>
    </row>
    <row r="312" spans="1:9" ht="17.399999999999999" x14ac:dyDescent="0.25">
      <c r="A312" s="16"/>
      <c r="B312" s="17"/>
      <c r="C312" s="2"/>
      <c r="D312" s="2"/>
      <c r="E312" s="2"/>
      <c r="F312" s="2"/>
      <c r="G312" s="2"/>
      <c r="H312" s="2"/>
      <c r="I312" s="5"/>
    </row>
    <row r="313" spans="1:9" ht="17.399999999999999" x14ac:dyDescent="0.25">
      <c r="A313" s="16"/>
      <c r="B313" s="17"/>
      <c r="C313" s="2"/>
      <c r="D313" s="2"/>
      <c r="E313" s="2"/>
      <c r="F313" s="2"/>
      <c r="G313" s="2"/>
      <c r="H313" s="2"/>
      <c r="I313" s="5"/>
    </row>
    <row r="314" spans="1:9" ht="17.399999999999999" x14ac:dyDescent="0.25">
      <c r="A314" s="16"/>
      <c r="B314" s="17"/>
      <c r="C314" s="2"/>
      <c r="D314" s="2"/>
      <c r="E314" s="2"/>
      <c r="F314" s="2"/>
      <c r="G314" s="2"/>
      <c r="H314" s="2"/>
      <c r="I314" s="5"/>
    </row>
    <row r="315" spans="1:9" ht="17.399999999999999" x14ac:dyDescent="0.25">
      <c r="A315" s="16"/>
      <c r="B315" s="17"/>
      <c r="C315" s="2"/>
      <c r="D315" s="2"/>
      <c r="E315" s="2"/>
      <c r="F315" s="2"/>
      <c r="G315" s="2"/>
      <c r="H315" s="2"/>
      <c r="I315" s="5"/>
    </row>
    <row r="316" spans="1:9" ht="17.399999999999999" x14ac:dyDescent="0.25">
      <c r="A316" s="16"/>
      <c r="B316" s="17"/>
      <c r="C316" s="2"/>
      <c r="D316" s="2"/>
      <c r="E316" s="2"/>
      <c r="F316" s="2"/>
      <c r="G316" s="2"/>
      <c r="H316" s="2"/>
      <c r="I316" s="5"/>
    </row>
    <row r="317" spans="1:9" ht="17.399999999999999" x14ac:dyDescent="0.25">
      <c r="A317" s="16"/>
      <c r="B317" s="17"/>
      <c r="C317" s="2"/>
      <c r="D317" s="2"/>
      <c r="E317" s="2"/>
      <c r="F317" s="2"/>
      <c r="G317" s="2"/>
      <c r="H317" s="2"/>
      <c r="I317" s="5"/>
    </row>
    <row r="318" spans="1:9" ht="17.399999999999999" x14ac:dyDescent="0.25">
      <c r="A318" s="16"/>
      <c r="B318" s="17"/>
      <c r="C318" s="2"/>
      <c r="D318" s="2"/>
      <c r="E318" s="2"/>
      <c r="F318" s="2"/>
      <c r="G318" s="2"/>
      <c r="H318" s="2"/>
      <c r="I318" s="5"/>
    </row>
    <row r="319" spans="1:9" ht="17.399999999999999" x14ac:dyDescent="0.25">
      <c r="A319" s="16"/>
      <c r="B319" s="17"/>
      <c r="C319" s="2"/>
      <c r="D319" s="2"/>
      <c r="E319" s="2"/>
      <c r="F319" s="2"/>
      <c r="G319" s="2"/>
      <c r="H319" s="2"/>
      <c r="I319" s="5"/>
    </row>
    <row r="320" spans="1:9" ht="17.399999999999999" x14ac:dyDescent="0.25">
      <c r="A320" s="16"/>
      <c r="B320" s="17"/>
      <c r="C320" s="2"/>
      <c r="D320" s="2"/>
      <c r="E320" s="2"/>
      <c r="F320" s="2"/>
      <c r="G320" s="2"/>
      <c r="H320" s="2"/>
      <c r="I320" s="5"/>
    </row>
    <row r="321" spans="1:9" ht="17.399999999999999" x14ac:dyDescent="0.25">
      <c r="A321" s="16"/>
      <c r="B321" s="17"/>
      <c r="C321" s="2"/>
      <c r="D321" s="2"/>
      <c r="E321" s="2"/>
      <c r="F321" s="2"/>
      <c r="G321" s="2"/>
      <c r="H321" s="2"/>
      <c r="I321" s="5"/>
    </row>
    <row r="322" spans="1:9" ht="17.399999999999999" x14ac:dyDescent="0.25">
      <c r="A322" s="16"/>
      <c r="B322" s="17"/>
      <c r="C322" s="2"/>
      <c r="D322" s="2"/>
      <c r="E322" s="2"/>
      <c r="F322" s="2"/>
      <c r="G322" s="2"/>
      <c r="H322" s="2"/>
      <c r="I322" s="5"/>
    </row>
    <row r="323" spans="1:9" ht="17.399999999999999" x14ac:dyDescent="0.25">
      <c r="A323" s="16"/>
      <c r="B323" s="17"/>
      <c r="C323" s="2"/>
      <c r="D323" s="2"/>
      <c r="E323" s="2"/>
      <c r="F323" s="2"/>
      <c r="G323" s="2"/>
      <c r="H323" s="2"/>
      <c r="I323" s="5"/>
    </row>
    <row r="324" spans="1:9" ht="17.399999999999999" x14ac:dyDescent="0.25">
      <c r="A324" s="16"/>
      <c r="B324" s="17"/>
      <c r="C324" s="2"/>
      <c r="D324" s="2"/>
      <c r="E324" s="2"/>
      <c r="F324" s="2"/>
      <c r="G324" s="2"/>
      <c r="H324" s="2"/>
      <c r="I324" s="5"/>
    </row>
    <row r="325" spans="1:9" ht="17.399999999999999" x14ac:dyDescent="0.25">
      <c r="A325" s="16"/>
      <c r="B325" s="17"/>
      <c r="C325" s="2"/>
      <c r="D325" s="2"/>
      <c r="E325" s="2"/>
      <c r="F325" s="2"/>
      <c r="G325" s="2"/>
      <c r="H325" s="2"/>
      <c r="I325" s="5"/>
    </row>
    <row r="326" spans="1:9" ht="17.399999999999999" x14ac:dyDescent="0.25">
      <c r="A326" s="16"/>
      <c r="B326" s="17"/>
      <c r="C326" s="2"/>
      <c r="D326" s="2"/>
      <c r="E326" s="2"/>
      <c r="F326" s="2"/>
      <c r="G326" s="2"/>
      <c r="H326" s="2"/>
      <c r="I326" s="5"/>
    </row>
    <row r="327" spans="1:9" ht="17.399999999999999" x14ac:dyDescent="0.25">
      <c r="A327" s="16"/>
      <c r="B327" s="17"/>
      <c r="C327" s="2"/>
      <c r="D327" s="2"/>
      <c r="E327" s="2"/>
      <c r="F327" s="2"/>
      <c r="G327" s="2"/>
      <c r="H327" s="2"/>
      <c r="I327" s="5"/>
    </row>
    <row r="328" spans="1:9" ht="17.399999999999999" x14ac:dyDescent="0.25">
      <c r="A328" s="16"/>
      <c r="B328" s="17"/>
      <c r="C328" s="2"/>
      <c r="D328" s="2"/>
      <c r="E328" s="2"/>
      <c r="F328" s="2"/>
      <c r="G328" s="2"/>
      <c r="H328" s="2"/>
      <c r="I328" s="5"/>
    </row>
    <row r="329" spans="1:9" ht="17.399999999999999" x14ac:dyDescent="0.25">
      <c r="A329" s="16"/>
      <c r="B329" s="17"/>
      <c r="C329" s="2"/>
      <c r="D329" s="2"/>
      <c r="E329" s="2"/>
      <c r="F329" s="2"/>
      <c r="G329" s="2"/>
      <c r="H329" s="2"/>
      <c r="I329" s="5"/>
    </row>
    <row r="330" spans="1:9" ht="17.399999999999999" x14ac:dyDescent="0.25">
      <c r="A330" s="16"/>
      <c r="B330" s="17"/>
      <c r="C330" s="2"/>
      <c r="D330" s="2"/>
      <c r="E330" s="2"/>
      <c r="F330" s="2"/>
      <c r="G330" s="2"/>
      <c r="H330" s="2"/>
      <c r="I330" s="5"/>
    </row>
    <row r="331" spans="1:9" ht="17.399999999999999" x14ac:dyDescent="0.25">
      <c r="A331" s="16"/>
      <c r="B331" s="17"/>
      <c r="C331" s="2"/>
      <c r="D331" s="2"/>
      <c r="E331" s="2"/>
      <c r="F331" s="2"/>
      <c r="G331" s="2"/>
      <c r="H331" s="2"/>
      <c r="I331" s="5"/>
    </row>
    <row r="332" spans="1:9" ht="17.399999999999999" x14ac:dyDescent="0.25">
      <c r="A332" s="16"/>
      <c r="B332" s="17"/>
      <c r="C332" s="2"/>
      <c r="D332" s="2"/>
      <c r="E332" s="2"/>
      <c r="F332" s="2"/>
      <c r="G332" s="2"/>
      <c r="H332" s="2"/>
      <c r="I332" s="5"/>
    </row>
    <row r="333" spans="1:9" ht="17.399999999999999" x14ac:dyDescent="0.25">
      <c r="A333" s="16"/>
      <c r="B333" s="17"/>
      <c r="C333" s="2"/>
      <c r="D333" s="2"/>
      <c r="E333" s="2"/>
      <c r="F333" s="2"/>
      <c r="G333" s="2"/>
      <c r="H333" s="2"/>
      <c r="I333" s="5"/>
    </row>
    <row r="334" spans="1:9" ht="17.399999999999999" x14ac:dyDescent="0.25">
      <c r="A334" s="16"/>
      <c r="B334" s="17"/>
      <c r="C334" s="2"/>
      <c r="D334" s="2"/>
      <c r="E334" s="2"/>
      <c r="F334" s="2"/>
      <c r="G334" s="2"/>
      <c r="H334" s="2"/>
      <c r="I334" s="5"/>
    </row>
    <row r="335" spans="1:9" ht="17.399999999999999" x14ac:dyDescent="0.25">
      <c r="A335" s="16"/>
      <c r="B335" s="17"/>
      <c r="C335" s="2"/>
      <c r="D335" s="2"/>
      <c r="E335" s="2"/>
      <c r="F335" s="2"/>
      <c r="G335" s="2"/>
      <c r="H335" s="2"/>
      <c r="I335" s="5"/>
    </row>
    <row r="336" spans="1:9" ht="17.399999999999999" x14ac:dyDescent="0.25">
      <c r="A336" s="16"/>
      <c r="B336" s="17"/>
      <c r="C336" s="2"/>
      <c r="D336" s="2"/>
      <c r="E336" s="2"/>
      <c r="F336" s="2"/>
      <c r="G336" s="2"/>
      <c r="H336" s="2"/>
      <c r="I336" s="5"/>
    </row>
    <row r="337" spans="1:9" ht="17.399999999999999" x14ac:dyDescent="0.25">
      <c r="A337" s="16"/>
      <c r="B337" s="17"/>
      <c r="C337" s="2"/>
      <c r="D337" s="2"/>
      <c r="E337" s="2"/>
      <c r="F337" s="2"/>
      <c r="G337" s="2"/>
      <c r="H337" s="2"/>
      <c r="I337" s="5"/>
    </row>
    <row r="338" spans="1:9" ht="17.399999999999999" x14ac:dyDescent="0.25">
      <c r="A338" s="16"/>
      <c r="B338" s="17"/>
      <c r="C338" s="2"/>
      <c r="D338" s="2"/>
      <c r="E338" s="2"/>
      <c r="F338" s="2"/>
      <c r="G338" s="2"/>
      <c r="H338" s="2"/>
      <c r="I338" s="5"/>
    </row>
    <row r="339" spans="1:9" ht="17.399999999999999" x14ac:dyDescent="0.25">
      <c r="A339" s="16"/>
      <c r="B339" s="17"/>
      <c r="C339" s="2"/>
      <c r="D339" s="2"/>
      <c r="E339" s="2"/>
      <c r="F339" s="2"/>
      <c r="G339" s="2"/>
      <c r="H339" s="2"/>
      <c r="I339" s="5"/>
    </row>
    <row r="340" spans="1:9" ht="17.399999999999999" x14ac:dyDescent="0.25">
      <c r="A340" s="16"/>
      <c r="B340" s="17"/>
      <c r="C340" s="2"/>
      <c r="D340" s="2"/>
      <c r="E340" s="2"/>
      <c r="F340" s="2"/>
      <c r="G340" s="2"/>
      <c r="H340" s="2"/>
      <c r="I340" s="5"/>
    </row>
    <row r="341" spans="1:9" ht="17.399999999999999" x14ac:dyDescent="0.25">
      <c r="A341" s="16"/>
      <c r="B341" s="17"/>
      <c r="C341" s="2"/>
      <c r="D341" s="2"/>
      <c r="E341" s="2"/>
      <c r="F341" s="2"/>
      <c r="G341" s="2"/>
      <c r="H341" s="2"/>
      <c r="I341" s="5"/>
    </row>
    <row r="342" spans="1:9" ht="17.399999999999999" x14ac:dyDescent="0.25">
      <c r="A342" s="16"/>
      <c r="B342" s="17"/>
      <c r="C342" s="2"/>
      <c r="D342" s="2"/>
      <c r="E342" s="2"/>
      <c r="F342" s="2"/>
      <c r="G342" s="2"/>
      <c r="H342" s="2"/>
      <c r="I342" s="5"/>
    </row>
    <row r="343" spans="1:9" ht="17.399999999999999" x14ac:dyDescent="0.25">
      <c r="A343" s="16"/>
      <c r="B343" s="17"/>
      <c r="C343" s="2"/>
      <c r="D343" s="2"/>
      <c r="E343" s="2"/>
      <c r="F343" s="2"/>
      <c r="G343" s="2"/>
      <c r="H343" s="2"/>
      <c r="I343" s="5"/>
    </row>
    <row r="344" spans="1:9" ht="17.399999999999999" x14ac:dyDescent="0.25">
      <c r="A344" s="16"/>
      <c r="B344" s="17"/>
      <c r="C344" s="2"/>
      <c r="D344" s="2"/>
      <c r="E344" s="2"/>
      <c r="F344" s="2"/>
      <c r="G344" s="2"/>
      <c r="H344" s="2"/>
      <c r="I344" s="5"/>
    </row>
    <row r="345" spans="1:9" ht="17.399999999999999" x14ac:dyDescent="0.25">
      <c r="A345" s="16"/>
      <c r="B345" s="17"/>
      <c r="C345" s="2"/>
      <c r="D345" s="2"/>
      <c r="E345" s="2"/>
      <c r="F345" s="2"/>
      <c r="G345" s="2"/>
      <c r="H345" s="2"/>
      <c r="I345" s="5"/>
    </row>
    <row r="346" spans="1:9" ht="17.399999999999999" x14ac:dyDescent="0.25">
      <c r="A346" s="16"/>
      <c r="B346" s="17"/>
      <c r="C346" s="2"/>
      <c r="D346" s="2"/>
      <c r="E346" s="2"/>
      <c r="F346" s="2"/>
      <c r="G346" s="2"/>
      <c r="H346" s="2"/>
      <c r="I346" s="5"/>
    </row>
    <row r="347" spans="1:9" ht="17.399999999999999" x14ac:dyDescent="0.25">
      <c r="A347" s="16"/>
      <c r="B347" s="17"/>
      <c r="C347" s="2"/>
      <c r="D347" s="2"/>
      <c r="E347" s="2"/>
      <c r="F347" s="2"/>
      <c r="G347" s="2"/>
      <c r="H347" s="2"/>
      <c r="I347" s="5"/>
    </row>
    <row r="348" spans="1:9" ht="17.399999999999999" x14ac:dyDescent="0.25">
      <c r="A348" s="16"/>
      <c r="B348" s="17"/>
      <c r="C348" s="2"/>
      <c r="D348" s="2"/>
      <c r="E348" s="2"/>
      <c r="F348" s="2"/>
      <c r="G348" s="2"/>
      <c r="H348" s="2"/>
      <c r="I348" s="5"/>
    </row>
    <row r="349" spans="1:9" ht="17.399999999999999" x14ac:dyDescent="0.25">
      <c r="A349" s="16"/>
      <c r="B349" s="17"/>
      <c r="C349" s="2"/>
      <c r="D349" s="2"/>
      <c r="E349" s="2"/>
      <c r="F349" s="2"/>
      <c r="G349" s="2"/>
      <c r="H349" s="2"/>
      <c r="I349" s="5"/>
    </row>
    <row r="350" spans="1:9" ht="17.399999999999999" x14ac:dyDescent="0.25">
      <c r="A350" s="16"/>
      <c r="B350" s="17"/>
      <c r="C350" s="2"/>
      <c r="D350" s="2"/>
      <c r="E350" s="2"/>
      <c r="F350" s="2"/>
      <c r="G350" s="2"/>
      <c r="H350" s="2"/>
      <c r="I350" s="5"/>
    </row>
    <row r="351" spans="1:9" ht="17.399999999999999" x14ac:dyDescent="0.25">
      <c r="A351" s="16"/>
      <c r="B351" s="17"/>
      <c r="C351" s="2"/>
      <c r="D351" s="2"/>
      <c r="E351" s="2"/>
      <c r="F351" s="2"/>
      <c r="G351" s="2"/>
      <c r="H351" s="2"/>
      <c r="I351" s="5"/>
    </row>
    <row r="352" spans="1:9" ht="17.399999999999999" x14ac:dyDescent="0.25">
      <c r="A352" s="16"/>
      <c r="B352" s="17"/>
      <c r="C352" s="2"/>
      <c r="D352" s="2"/>
      <c r="E352" s="2"/>
      <c r="F352" s="2"/>
      <c r="G352" s="2"/>
      <c r="H352" s="2"/>
      <c r="I352" s="5"/>
    </row>
    <row r="353" spans="1:9" ht="17.399999999999999" x14ac:dyDescent="0.25">
      <c r="A353" s="16"/>
      <c r="B353" s="17"/>
      <c r="C353" s="2"/>
      <c r="D353" s="2"/>
      <c r="E353" s="2"/>
      <c r="F353" s="2"/>
      <c r="G353" s="2"/>
      <c r="H353" s="2"/>
      <c r="I353" s="5"/>
    </row>
    <row r="354" spans="1:9" ht="17.399999999999999" x14ac:dyDescent="0.25">
      <c r="A354" s="16"/>
      <c r="B354" s="17"/>
      <c r="C354" s="2"/>
      <c r="D354" s="2"/>
      <c r="E354" s="2"/>
      <c r="F354" s="2"/>
      <c r="G354" s="2"/>
      <c r="H354" s="2"/>
      <c r="I354" s="5"/>
    </row>
    <row r="355" spans="1:9" ht="17.399999999999999" x14ac:dyDescent="0.25">
      <c r="A355" s="16"/>
      <c r="B355" s="17"/>
      <c r="C355" s="2"/>
      <c r="D355" s="2"/>
      <c r="E355" s="2"/>
      <c r="F355" s="2"/>
      <c r="G355" s="2"/>
      <c r="H355" s="2"/>
      <c r="I355" s="5"/>
    </row>
    <row r="356" spans="1:9" ht="17.399999999999999" x14ac:dyDescent="0.25">
      <c r="A356" s="16"/>
      <c r="B356" s="17"/>
      <c r="C356" s="2"/>
      <c r="D356" s="2"/>
      <c r="E356" s="2"/>
      <c r="F356" s="2"/>
      <c r="G356" s="2"/>
      <c r="H356" s="2"/>
      <c r="I356" s="5"/>
    </row>
    <row r="357" spans="1:9" ht="17.399999999999999" x14ac:dyDescent="0.25">
      <c r="A357" s="16"/>
      <c r="B357" s="17"/>
      <c r="C357" s="2"/>
      <c r="D357" s="2"/>
      <c r="E357" s="2"/>
      <c r="F357" s="2"/>
      <c r="G357" s="2"/>
      <c r="H357" s="2"/>
      <c r="I357" s="5"/>
    </row>
    <row r="358" spans="1:9" ht="17.399999999999999" x14ac:dyDescent="0.25">
      <c r="A358" s="16"/>
      <c r="B358" s="17"/>
      <c r="C358" s="2"/>
      <c r="D358" s="2"/>
      <c r="E358" s="2"/>
      <c r="F358" s="2"/>
      <c r="G358" s="2"/>
      <c r="H358" s="2"/>
      <c r="I358" s="5"/>
    </row>
    <row r="359" spans="1:9" ht="17.399999999999999" x14ac:dyDescent="0.25">
      <c r="A359" s="16"/>
      <c r="B359" s="17"/>
      <c r="C359" s="2"/>
      <c r="D359" s="2"/>
      <c r="E359" s="2"/>
      <c r="F359" s="2"/>
      <c r="G359" s="2"/>
      <c r="H359" s="2"/>
      <c r="I359" s="5"/>
    </row>
    <row r="360" spans="1:9" ht="17.399999999999999" x14ac:dyDescent="0.25">
      <c r="A360" s="16"/>
      <c r="B360" s="17"/>
      <c r="C360" s="2"/>
      <c r="D360" s="2"/>
      <c r="E360" s="2"/>
      <c r="F360" s="2"/>
      <c r="G360" s="2"/>
      <c r="H360" s="2"/>
      <c r="I360" s="5"/>
    </row>
    <row r="361" spans="1:9" ht="17.399999999999999" x14ac:dyDescent="0.25">
      <c r="A361" s="16"/>
      <c r="B361" s="17"/>
      <c r="C361" s="2"/>
      <c r="D361" s="2"/>
      <c r="E361" s="2"/>
      <c r="F361" s="2"/>
      <c r="G361" s="2"/>
      <c r="H361" s="2"/>
      <c r="I361" s="5"/>
    </row>
    <row r="362" spans="1:9" ht="17.399999999999999" x14ac:dyDescent="0.25">
      <c r="A362" s="16"/>
      <c r="B362" s="17"/>
      <c r="C362" s="2"/>
      <c r="D362" s="2"/>
      <c r="E362" s="2"/>
      <c r="F362" s="2"/>
      <c r="G362" s="2"/>
      <c r="H362" s="2"/>
      <c r="I362" s="5"/>
    </row>
    <row r="363" spans="1:9" ht="17.399999999999999" x14ac:dyDescent="0.25">
      <c r="A363" s="16"/>
      <c r="B363" s="17"/>
      <c r="C363" s="2"/>
      <c r="D363" s="2"/>
      <c r="E363" s="2"/>
      <c r="F363" s="2"/>
      <c r="G363" s="2"/>
      <c r="H363" s="2"/>
      <c r="I363" s="5"/>
    </row>
    <row r="364" spans="1:9" ht="17.399999999999999" x14ac:dyDescent="0.25">
      <c r="A364" s="16"/>
      <c r="B364" s="17"/>
      <c r="C364" s="2"/>
      <c r="D364" s="2"/>
      <c r="E364" s="2"/>
      <c r="F364" s="2"/>
      <c r="G364" s="2"/>
      <c r="H364" s="2"/>
      <c r="I364" s="5"/>
    </row>
    <row r="365" spans="1:9" ht="17.399999999999999" x14ac:dyDescent="0.25">
      <c r="A365" s="16"/>
      <c r="B365" s="17"/>
      <c r="C365" s="2"/>
      <c r="D365" s="2"/>
      <c r="E365" s="2"/>
      <c r="F365" s="2"/>
      <c r="G365" s="2"/>
      <c r="H365" s="2"/>
      <c r="I365" s="5"/>
    </row>
    <row r="366" spans="1:9" ht="17.399999999999999" x14ac:dyDescent="0.25">
      <c r="A366" s="16"/>
      <c r="B366" s="17"/>
      <c r="C366" s="2"/>
      <c r="D366" s="2"/>
      <c r="E366" s="2"/>
      <c r="F366" s="2"/>
      <c r="G366" s="2"/>
      <c r="H366" s="2"/>
      <c r="I366" s="5"/>
    </row>
    <row r="367" spans="1:9" ht="17.399999999999999" x14ac:dyDescent="0.25">
      <c r="A367" s="16"/>
      <c r="B367" s="17"/>
      <c r="C367" s="2"/>
      <c r="D367" s="2"/>
      <c r="E367" s="2"/>
      <c r="F367" s="2"/>
      <c r="G367" s="2"/>
      <c r="H367" s="2"/>
      <c r="I367" s="5"/>
    </row>
    <row r="368" spans="1:9" ht="17.399999999999999" x14ac:dyDescent="0.25">
      <c r="A368" s="16"/>
      <c r="B368" s="17"/>
      <c r="C368" s="2"/>
      <c r="D368" s="2"/>
      <c r="E368" s="2"/>
      <c r="F368" s="2"/>
      <c r="G368" s="2"/>
      <c r="H368" s="2"/>
      <c r="I368" s="5"/>
    </row>
    <row r="369" spans="1:9" ht="17.399999999999999" x14ac:dyDescent="0.25">
      <c r="A369" s="16"/>
      <c r="B369" s="17"/>
      <c r="C369" s="2"/>
      <c r="D369" s="2"/>
      <c r="E369" s="2"/>
      <c r="F369" s="2"/>
      <c r="G369" s="2"/>
      <c r="H369" s="2"/>
      <c r="I369" s="5"/>
    </row>
    <row r="370" spans="1:9" ht="17.399999999999999" x14ac:dyDescent="0.25">
      <c r="A370" s="16"/>
      <c r="B370" s="17"/>
      <c r="C370" s="2"/>
      <c r="D370" s="2"/>
      <c r="E370" s="2"/>
      <c r="F370" s="2"/>
      <c r="G370" s="2"/>
      <c r="H370" s="2"/>
      <c r="I370" s="5"/>
    </row>
    <row r="371" spans="1:9" ht="17.399999999999999" x14ac:dyDescent="0.25">
      <c r="A371" s="16"/>
      <c r="B371" s="17"/>
      <c r="C371" s="2"/>
      <c r="D371" s="2"/>
      <c r="E371" s="2"/>
      <c r="F371" s="2"/>
      <c r="G371" s="2"/>
      <c r="H371" s="2"/>
      <c r="I371" s="5"/>
    </row>
    <row r="372" spans="1:9" ht="17.399999999999999" x14ac:dyDescent="0.25">
      <c r="A372" s="16"/>
      <c r="B372" s="17"/>
      <c r="C372" s="2"/>
      <c r="D372" s="2"/>
      <c r="E372" s="2"/>
      <c r="F372" s="2"/>
      <c r="G372" s="2"/>
      <c r="H372" s="2"/>
      <c r="I372" s="5"/>
    </row>
    <row r="373" spans="1:9" ht="17.399999999999999" x14ac:dyDescent="0.25">
      <c r="A373" s="16"/>
      <c r="B373" s="17"/>
      <c r="C373" s="2"/>
      <c r="D373" s="2"/>
      <c r="E373" s="2"/>
      <c r="F373" s="2"/>
      <c r="G373" s="2"/>
      <c r="H373" s="2"/>
      <c r="I373" s="5"/>
    </row>
    <row r="374" spans="1:9" ht="17.399999999999999" x14ac:dyDescent="0.25">
      <c r="A374" s="16"/>
      <c r="B374" s="17"/>
      <c r="C374" s="2"/>
      <c r="D374" s="2"/>
      <c r="E374" s="2"/>
      <c r="F374" s="2"/>
      <c r="G374" s="2"/>
      <c r="H374" s="2"/>
      <c r="I374" s="5"/>
    </row>
    <row r="375" spans="1:9" ht="17.399999999999999" x14ac:dyDescent="0.25">
      <c r="A375" s="16"/>
      <c r="B375" s="17"/>
      <c r="C375" s="2"/>
      <c r="D375" s="2"/>
      <c r="E375" s="2"/>
      <c r="F375" s="2"/>
      <c r="G375" s="2"/>
      <c r="H375" s="2"/>
      <c r="I375" s="5"/>
    </row>
    <row r="376" spans="1:9" ht="17.399999999999999" x14ac:dyDescent="0.25">
      <c r="A376" s="16"/>
      <c r="B376" s="17"/>
      <c r="C376" s="2"/>
      <c r="D376" s="2"/>
      <c r="E376" s="2"/>
      <c r="F376" s="2"/>
      <c r="G376" s="2"/>
      <c r="H376" s="2"/>
      <c r="I376" s="5"/>
    </row>
    <row r="377" spans="1:9" ht="17.399999999999999" x14ac:dyDescent="0.25">
      <c r="A377" s="16"/>
      <c r="B377" s="17"/>
      <c r="C377" s="2"/>
      <c r="D377" s="2"/>
      <c r="E377" s="2"/>
      <c r="F377" s="2"/>
      <c r="G377" s="2"/>
      <c r="H377" s="2"/>
      <c r="I377" s="5"/>
    </row>
    <row r="378" spans="1:9" ht="17.399999999999999" x14ac:dyDescent="0.25">
      <c r="A378" s="16"/>
      <c r="B378" s="17"/>
      <c r="C378" s="2"/>
      <c r="D378" s="2"/>
      <c r="E378" s="2"/>
      <c r="F378" s="2"/>
      <c r="G378" s="2"/>
      <c r="H378" s="2"/>
      <c r="I378" s="5"/>
    </row>
    <row r="379" spans="1:9" ht="17.399999999999999" x14ac:dyDescent="0.25">
      <c r="A379" s="16"/>
      <c r="B379" s="17"/>
      <c r="C379" s="2"/>
      <c r="D379" s="2"/>
      <c r="E379" s="2"/>
      <c r="F379" s="2"/>
      <c r="G379" s="2"/>
      <c r="H379" s="2"/>
      <c r="I379" s="5"/>
    </row>
    <row r="380" spans="1:9" ht="17.399999999999999" x14ac:dyDescent="0.25">
      <c r="A380" s="16"/>
      <c r="B380" s="17"/>
      <c r="C380" s="2"/>
      <c r="D380" s="2"/>
      <c r="E380" s="2"/>
      <c r="F380" s="2"/>
      <c r="G380" s="2"/>
      <c r="H380" s="2"/>
      <c r="I380" s="5"/>
    </row>
    <row r="381" spans="1:9" ht="17.399999999999999" x14ac:dyDescent="0.25">
      <c r="A381" s="16"/>
      <c r="B381" s="17"/>
      <c r="C381" s="2"/>
      <c r="D381" s="2"/>
      <c r="E381" s="2"/>
      <c r="F381" s="2"/>
      <c r="G381" s="2"/>
      <c r="H381" s="2"/>
      <c r="I381" s="5"/>
    </row>
    <row r="382" spans="1:9" ht="17.399999999999999" x14ac:dyDescent="0.25">
      <c r="A382" s="16"/>
      <c r="B382" s="17"/>
      <c r="C382" s="2"/>
      <c r="D382" s="2"/>
      <c r="E382" s="2"/>
      <c r="F382" s="2"/>
      <c r="G382" s="2"/>
      <c r="H382" s="2"/>
      <c r="I382" s="5"/>
    </row>
    <row r="383" spans="1:9" ht="17.399999999999999" x14ac:dyDescent="0.25">
      <c r="A383" s="16"/>
      <c r="B383" s="17"/>
      <c r="C383" s="2"/>
      <c r="D383" s="2"/>
      <c r="E383" s="2"/>
      <c r="F383" s="2"/>
      <c r="G383" s="2"/>
      <c r="H383" s="2"/>
      <c r="I383" s="5"/>
    </row>
    <row r="384" spans="1:9" ht="17.399999999999999" x14ac:dyDescent="0.25">
      <c r="A384" s="16"/>
      <c r="B384" s="17"/>
      <c r="C384" s="2"/>
      <c r="D384" s="2"/>
      <c r="E384" s="2"/>
      <c r="F384" s="2"/>
      <c r="G384" s="2"/>
      <c r="H384" s="2"/>
      <c r="I384" s="5"/>
    </row>
    <row r="385" spans="1:9" ht="17.399999999999999" x14ac:dyDescent="0.25">
      <c r="A385" s="16"/>
      <c r="B385" s="17"/>
      <c r="C385" s="2"/>
      <c r="D385" s="2"/>
      <c r="E385" s="2"/>
      <c r="F385" s="2"/>
      <c r="G385" s="2"/>
      <c r="H385" s="2"/>
      <c r="I385" s="5"/>
    </row>
    <row r="386" spans="1:9" ht="17.399999999999999" x14ac:dyDescent="0.25">
      <c r="A386" s="16"/>
      <c r="B386" s="17"/>
      <c r="C386" s="2"/>
      <c r="D386" s="2"/>
      <c r="E386" s="2"/>
      <c r="F386" s="2"/>
      <c r="G386" s="2"/>
      <c r="H386" s="2"/>
      <c r="I386" s="5"/>
    </row>
    <row r="387" spans="1:9" ht="17.399999999999999" x14ac:dyDescent="0.25">
      <c r="A387" s="16"/>
      <c r="B387" s="17"/>
      <c r="C387" s="2"/>
      <c r="D387" s="2"/>
      <c r="E387" s="2"/>
      <c r="F387" s="2"/>
      <c r="G387" s="2"/>
      <c r="H387" s="2"/>
      <c r="I387" s="5"/>
    </row>
    <row r="388" spans="1:9" ht="17.399999999999999" x14ac:dyDescent="0.25">
      <c r="A388" s="16"/>
      <c r="B388" s="17"/>
      <c r="C388" s="2"/>
      <c r="D388" s="2"/>
      <c r="E388" s="2"/>
      <c r="F388" s="2"/>
      <c r="G388" s="2"/>
      <c r="H388" s="2"/>
      <c r="I388" s="5"/>
    </row>
    <row r="389" spans="1:9" ht="17.399999999999999" x14ac:dyDescent="0.25">
      <c r="A389" s="16"/>
      <c r="B389" s="17"/>
      <c r="C389" s="2"/>
      <c r="D389" s="2"/>
      <c r="E389" s="2"/>
      <c r="F389" s="2"/>
      <c r="G389" s="2"/>
      <c r="H389" s="2"/>
      <c r="I389" s="5"/>
    </row>
    <row r="390" spans="1:9" ht="17.399999999999999" x14ac:dyDescent="0.25">
      <c r="A390" s="16"/>
      <c r="B390" s="17"/>
      <c r="C390" s="2"/>
      <c r="D390" s="2"/>
      <c r="E390" s="2"/>
      <c r="F390" s="2"/>
      <c r="G390" s="2"/>
      <c r="H390" s="2"/>
      <c r="I390" s="5"/>
    </row>
    <row r="391" spans="1:9" ht="17.399999999999999" x14ac:dyDescent="0.25">
      <c r="A391" s="16"/>
      <c r="B391" s="17"/>
      <c r="C391" s="2"/>
      <c r="D391" s="2"/>
      <c r="E391" s="2"/>
      <c r="F391" s="2"/>
      <c r="G391" s="2"/>
      <c r="H391" s="2"/>
      <c r="I391" s="5"/>
    </row>
    <row r="392" spans="1:9" ht="17.399999999999999" x14ac:dyDescent="0.25">
      <c r="A392" s="16"/>
      <c r="B392" s="17"/>
      <c r="C392" s="2"/>
      <c r="D392" s="2"/>
      <c r="E392" s="2"/>
      <c r="F392" s="2"/>
      <c r="G392" s="2"/>
      <c r="H392" s="2"/>
      <c r="I392" s="5"/>
    </row>
    <row r="393" spans="1:9" ht="17.399999999999999" x14ac:dyDescent="0.25">
      <c r="A393" s="16"/>
      <c r="B393" s="17"/>
      <c r="C393" s="2"/>
      <c r="D393" s="2"/>
      <c r="E393" s="2"/>
      <c r="F393" s="2"/>
      <c r="G393" s="2"/>
      <c r="H393" s="2"/>
      <c r="I393" s="5"/>
    </row>
    <row r="394" spans="1:9" ht="17.399999999999999" x14ac:dyDescent="0.25">
      <c r="A394" s="16"/>
      <c r="B394" s="17"/>
      <c r="C394" s="2"/>
      <c r="D394" s="2"/>
      <c r="E394" s="2"/>
      <c r="F394" s="2"/>
      <c r="G394" s="2"/>
      <c r="H394" s="2"/>
      <c r="I394" s="5"/>
    </row>
    <row r="395" spans="1:9" ht="17.399999999999999" x14ac:dyDescent="0.25">
      <c r="A395" s="16"/>
      <c r="B395" s="17"/>
      <c r="C395" s="2"/>
      <c r="D395" s="2"/>
      <c r="E395" s="2"/>
      <c r="F395" s="2"/>
      <c r="G395" s="2"/>
      <c r="H395" s="2"/>
      <c r="I395" s="5"/>
    </row>
    <row r="396" spans="1:9" ht="17.399999999999999" x14ac:dyDescent="0.25">
      <c r="A396" s="16"/>
      <c r="B396" s="17"/>
      <c r="C396" s="2"/>
      <c r="D396" s="2"/>
      <c r="E396" s="2"/>
      <c r="F396" s="2"/>
      <c r="G396" s="2"/>
      <c r="H396" s="2"/>
      <c r="I396" s="5"/>
    </row>
    <row r="397" spans="1:9" ht="17.399999999999999" x14ac:dyDescent="0.25">
      <c r="A397" s="16"/>
      <c r="B397" s="17"/>
      <c r="C397" s="2"/>
      <c r="D397" s="2"/>
      <c r="E397" s="2"/>
      <c r="F397" s="2"/>
      <c r="G397" s="2"/>
      <c r="H397" s="2"/>
      <c r="I397" s="5"/>
    </row>
    <row r="398" spans="1:9" ht="17.399999999999999" x14ac:dyDescent="0.25">
      <c r="A398" s="16"/>
      <c r="B398" s="17"/>
      <c r="C398" s="2"/>
      <c r="D398" s="2"/>
      <c r="E398" s="2"/>
      <c r="F398" s="2"/>
      <c r="G398" s="2"/>
      <c r="H398" s="2"/>
      <c r="I398" s="5"/>
    </row>
    <row r="399" spans="1:9" ht="17.399999999999999" x14ac:dyDescent="0.25">
      <c r="A399" s="16"/>
      <c r="B399" s="17"/>
      <c r="C399" s="2"/>
      <c r="D399" s="2"/>
      <c r="E399" s="2"/>
      <c r="F399" s="2"/>
      <c r="G399" s="2"/>
      <c r="H399" s="2"/>
      <c r="I399" s="5"/>
    </row>
    <row r="400" spans="1:9" ht="17.399999999999999" x14ac:dyDescent="0.25">
      <c r="A400" s="16"/>
      <c r="B400" s="17"/>
      <c r="C400" s="2"/>
      <c r="D400" s="2"/>
      <c r="E400" s="2"/>
      <c r="F400" s="2"/>
      <c r="G400" s="2"/>
      <c r="H400" s="2"/>
      <c r="I400" s="5"/>
    </row>
    <row r="401" spans="1:9" ht="17.399999999999999" x14ac:dyDescent="0.25">
      <c r="A401" s="16"/>
      <c r="B401" s="17"/>
      <c r="C401" s="2"/>
      <c r="D401" s="2"/>
      <c r="E401" s="2"/>
      <c r="F401" s="2"/>
      <c r="G401" s="2"/>
      <c r="H401" s="2"/>
      <c r="I401" s="5"/>
    </row>
    <row r="402" spans="1:9" ht="17.399999999999999" x14ac:dyDescent="0.25">
      <c r="A402" s="16"/>
      <c r="B402" s="17"/>
      <c r="C402" s="2"/>
      <c r="D402" s="2"/>
      <c r="E402" s="2"/>
      <c r="F402" s="2"/>
      <c r="G402" s="2"/>
      <c r="H402" s="2"/>
      <c r="I402" s="5"/>
    </row>
    <row r="403" spans="1:9" ht="17.399999999999999" x14ac:dyDescent="0.25">
      <c r="A403" s="16"/>
      <c r="B403" s="17"/>
      <c r="C403" s="2"/>
      <c r="D403" s="2"/>
      <c r="E403" s="2"/>
      <c r="F403" s="2"/>
      <c r="G403" s="2"/>
      <c r="H403" s="2"/>
      <c r="I403" s="5"/>
    </row>
    <row r="404" spans="1:9" ht="17.399999999999999" x14ac:dyDescent="0.25">
      <c r="A404" s="16"/>
      <c r="B404" s="17"/>
      <c r="C404" s="2"/>
      <c r="D404" s="2"/>
      <c r="E404" s="2"/>
      <c r="F404" s="2"/>
      <c r="G404" s="2"/>
      <c r="H404" s="2"/>
      <c r="I404" s="5"/>
    </row>
    <row r="405" spans="1:9" ht="17.399999999999999" x14ac:dyDescent="0.25">
      <c r="A405" s="16"/>
      <c r="B405" s="17"/>
      <c r="C405" s="2"/>
      <c r="D405" s="2"/>
      <c r="E405" s="2"/>
      <c r="F405" s="2"/>
      <c r="G405" s="2"/>
      <c r="H405" s="2"/>
      <c r="I405" s="5"/>
    </row>
    <row r="406" spans="1:9" ht="17.399999999999999" x14ac:dyDescent="0.25">
      <c r="A406" s="16"/>
      <c r="B406" s="17"/>
      <c r="C406" s="2"/>
      <c r="D406" s="2"/>
      <c r="E406" s="2"/>
      <c r="F406" s="2"/>
      <c r="G406" s="2"/>
      <c r="H406" s="2"/>
      <c r="I406" s="5"/>
    </row>
    <row r="407" spans="1:9" ht="17.399999999999999" x14ac:dyDescent="0.25">
      <c r="A407" s="16"/>
      <c r="B407" s="17"/>
      <c r="C407" s="2"/>
      <c r="D407" s="2"/>
      <c r="E407" s="2"/>
      <c r="F407" s="2"/>
      <c r="G407" s="2"/>
      <c r="H407" s="2"/>
      <c r="I407" s="5"/>
    </row>
    <row r="408" spans="1:9" ht="17.399999999999999" x14ac:dyDescent="0.25">
      <c r="A408" s="16"/>
      <c r="B408" s="17"/>
      <c r="C408" s="2"/>
      <c r="D408" s="2"/>
      <c r="E408" s="2"/>
      <c r="F408" s="2"/>
      <c r="G408" s="2"/>
      <c r="H408" s="2"/>
      <c r="I408" s="5"/>
    </row>
    <row r="409" spans="1:9" ht="17.399999999999999" x14ac:dyDescent="0.25">
      <c r="A409" s="16"/>
      <c r="B409" s="17"/>
      <c r="C409" s="2"/>
      <c r="D409" s="2"/>
      <c r="E409" s="2"/>
      <c r="F409" s="2"/>
      <c r="G409" s="2"/>
      <c r="H409" s="2"/>
      <c r="I409" s="5"/>
    </row>
    <row r="410" spans="1:9" ht="17.399999999999999" x14ac:dyDescent="0.25">
      <c r="A410" s="16"/>
      <c r="B410" s="17"/>
      <c r="C410" s="2"/>
      <c r="D410" s="2"/>
      <c r="E410" s="2"/>
      <c r="F410" s="2"/>
      <c r="G410" s="2"/>
      <c r="H410" s="2"/>
      <c r="I410" s="5"/>
    </row>
    <row r="411" spans="1:9" ht="17.399999999999999" x14ac:dyDescent="0.25">
      <c r="A411" s="16"/>
      <c r="B411" s="17"/>
      <c r="C411" s="2"/>
      <c r="D411" s="2"/>
      <c r="E411" s="2"/>
      <c r="F411" s="2"/>
      <c r="G411" s="2"/>
      <c r="H411" s="2"/>
      <c r="I411" s="5"/>
    </row>
    <row r="412" spans="1:9" ht="17.399999999999999" x14ac:dyDescent="0.25">
      <c r="A412" s="16"/>
      <c r="B412" s="17"/>
      <c r="C412" s="2"/>
      <c r="D412" s="2"/>
      <c r="E412" s="2"/>
      <c r="F412" s="2"/>
      <c r="G412" s="2"/>
      <c r="H412" s="2"/>
      <c r="I412" s="5"/>
    </row>
    <row r="413" spans="1:9" ht="17.399999999999999" x14ac:dyDescent="0.25">
      <c r="A413" s="16"/>
      <c r="B413" s="17"/>
      <c r="C413" s="2"/>
      <c r="D413" s="2"/>
      <c r="E413" s="2"/>
      <c r="F413" s="2"/>
      <c r="G413" s="2"/>
      <c r="H413" s="2"/>
      <c r="I413" s="5"/>
    </row>
    <row r="414" spans="1:9" ht="17.399999999999999" x14ac:dyDescent="0.25">
      <c r="A414" s="16"/>
      <c r="B414" s="17"/>
      <c r="C414" s="2"/>
      <c r="D414" s="2"/>
      <c r="E414" s="2"/>
      <c r="F414" s="2"/>
      <c r="G414" s="2"/>
      <c r="H414" s="2"/>
      <c r="I414" s="5"/>
    </row>
    <row r="415" spans="1:9" ht="17.399999999999999" x14ac:dyDescent="0.25">
      <c r="A415" s="16"/>
      <c r="B415" s="17"/>
      <c r="C415" s="2"/>
      <c r="D415" s="2"/>
      <c r="E415" s="2"/>
      <c r="F415" s="2"/>
      <c r="G415" s="2"/>
      <c r="H415" s="2"/>
      <c r="I415" s="5"/>
    </row>
    <row r="416" spans="1:9" ht="17.399999999999999" x14ac:dyDescent="0.25">
      <c r="A416" s="16"/>
      <c r="B416" s="17"/>
      <c r="C416" s="2"/>
      <c r="D416" s="2"/>
      <c r="E416" s="2"/>
      <c r="F416" s="2"/>
      <c r="G416" s="2"/>
      <c r="H416" s="2"/>
      <c r="I416" s="5"/>
    </row>
    <row r="417" spans="1:9" ht="17.399999999999999" x14ac:dyDescent="0.25">
      <c r="A417" s="16"/>
      <c r="B417" s="17"/>
      <c r="C417" s="2"/>
      <c r="D417" s="2"/>
      <c r="E417" s="2"/>
      <c r="F417" s="2"/>
      <c r="G417" s="2"/>
      <c r="H417" s="2"/>
      <c r="I417" s="5"/>
    </row>
    <row r="418" spans="1:9" ht="17.399999999999999" x14ac:dyDescent="0.25">
      <c r="A418" s="16"/>
      <c r="B418" s="17"/>
      <c r="C418" s="2"/>
      <c r="D418" s="2"/>
      <c r="E418" s="2"/>
      <c r="F418" s="2"/>
      <c r="G418" s="2"/>
      <c r="H418" s="2"/>
      <c r="I418" s="5"/>
    </row>
    <row r="419" spans="1:9" ht="17.399999999999999" x14ac:dyDescent="0.25">
      <c r="A419" s="16"/>
      <c r="B419" s="17"/>
      <c r="C419" s="2"/>
      <c r="D419" s="2"/>
      <c r="E419" s="2"/>
      <c r="F419" s="2"/>
      <c r="G419" s="2"/>
      <c r="H419" s="2"/>
      <c r="I419" s="5"/>
    </row>
    <row r="420" spans="1:9" ht="17.399999999999999" x14ac:dyDescent="0.25">
      <c r="A420" s="16"/>
      <c r="B420" s="17"/>
      <c r="C420" s="2"/>
      <c r="D420" s="2"/>
      <c r="E420" s="2"/>
      <c r="F420" s="2"/>
      <c r="G420" s="2"/>
      <c r="H420" s="2"/>
      <c r="I420" s="5"/>
    </row>
    <row r="421" spans="1:9" ht="17.399999999999999" x14ac:dyDescent="0.25">
      <c r="A421" s="16"/>
      <c r="B421" s="17"/>
      <c r="C421" s="2"/>
      <c r="D421" s="2"/>
      <c r="E421" s="2"/>
      <c r="F421" s="2"/>
      <c r="G421" s="2"/>
      <c r="H421" s="2"/>
      <c r="I421" s="5"/>
    </row>
    <row r="422" spans="1:9" ht="17.399999999999999" x14ac:dyDescent="0.25">
      <c r="A422" s="16"/>
      <c r="B422" s="17"/>
      <c r="C422" s="2"/>
      <c r="D422" s="2"/>
      <c r="E422" s="2"/>
      <c r="F422" s="2"/>
      <c r="G422" s="2"/>
      <c r="H422" s="2"/>
      <c r="I422" s="5"/>
    </row>
    <row r="423" spans="1:9" ht="17.399999999999999" x14ac:dyDescent="0.25">
      <c r="A423" s="16"/>
      <c r="B423" s="17"/>
      <c r="C423" s="2"/>
      <c r="D423" s="2"/>
      <c r="E423" s="2"/>
      <c r="F423" s="2"/>
      <c r="G423" s="2"/>
      <c r="H423" s="2"/>
      <c r="I423" s="5"/>
    </row>
    <row r="424" spans="1:9" ht="17.399999999999999" x14ac:dyDescent="0.25">
      <c r="A424" s="16"/>
      <c r="B424" s="17"/>
      <c r="C424" s="2"/>
      <c r="D424" s="2"/>
      <c r="E424" s="2"/>
      <c r="F424" s="2"/>
      <c r="G424" s="2"/>
      <c r="H424" s="2"/>
      <c r="I424" s="5"/>
    </row>
    <row r="425" spans="1:9" ht="17.399999999999999" x14ac:dyDescent="0.25">
      <c r="A425" s="16"/>
      <c r="B425" s="17"/>
      <c r="C425" s="2"/>
      <c r="D425" s="2"/>
      <c r="E425" s="2"/>
      <c r="F425" s="2"/>
      <c r="G425" s="2"/>
      <c r="H425" s="2"/>
      <c r="I425" s="5"/>
    </row>
    <row r="426" spans="1:9" ht="17.399999999999999" x14ac:dyDescent="0.25">
      <c r="A426" s="16"/>
      <c r="B426" s="17"/>
      <c r="C426" s="2"/>
      <c r="D426" s="2"/>
      <c r="E426" s="2"/>
      <c r="F426" s="2"/>
      <c r="G426" s="2"/>
      <c r="H426" s="2"/>
      <c r="I426" s="5"/>
    </row>
    <row r="427" spans="1:9" ht="17.399999999999999" x14ac:dyDescent="0.25">
      <c r="A427" s="16"/>
      <c r="B427" s="17"/>
      <c r="C427" s="2"/>
      <c r="D427" s="2"/>
      <c r="E427" s="2"/>
      <c r="F427" s="2"/>
      <c r="G427" s="2"/>
      <c r="H427" s="2"/>
      <c r="I427" s="5"/>
    </row>
    <row r="428" spans="1:9" ht="17.399999999999999" x14ac:dyDescent="0.25">
      <c r="A428" s="16"/>
      <c r="B428" s="17"/>
      <c r="C428" s="2"/>
      <c r="D428" s="2"/>
      <c r="E428" s="2"/>
      <c r="F428" s="2"/>
      <c r="G428" s="2"/>
      <c r="H428" s="2"/>
      <c r="I428" s="5"/>
    </row>
    <row r="429" spans="1:9" ht="17.399999999999999" x14ac:dyDescent="0.25">
      <c r="A429" s="16"/>
      <c r="B429" s="17"/>
      <c r="C429" s="2"/>
      <c r="D429" s="2"/>
      <c r="E429" s="2"/>
      <c r="F429" s="2"/>
      <c r="G429" s="2"/>
      <c r="H429" s="2"/>
      <c r="I429" s="5"/>
    </row>
    <row r="430" spans="1:9" ht="17.399999999999999" x14ac:dyDescent="0.25">
      <c r="A430" s="16"/>
      <c r="B430" s="17"/>
      <c r="C430" s="2"/>
      <c r="D430" s="2"/>
      <c r="E430" s="2"/>
      <c r="F430" s="2"/>
      <c r="G430" s="2"/>
      <c r="H430" s="2"/>
      <c r="I430" s="5"/>
    </row>
    <row r="431" spans="1:9" ht="17.399999999999999" x14ac:dyDescent="0.25">
      <c r="A431" s="16"/>
      <c r="B431" s="17"/>
      <c r="C431" s="2"/>
      <c r="D431" s="2"/>
      <c r="E431" s="2"/>
      <c r="F431" s="2"/>
      <c r="G431" s="2"/>
      <c r="H431" s="2"/>
      <c r="I431" s="5"/>
    </row>
    <row r="432" spans="1:9" ht="17.399999999999999" x14ac:dyDescent="0.25">
      <c r="A432" s="16"/>
      <c r="B432" s="17"/>
      <c r="C432" s="2"/>
      <c r="D432" s="2"/>
      <c r="E432" s="2"/>
      <c r="F432" s="2"/>
      <c r="G432" s="2"/>
      <c r="H432" s="2"/>
      <c r="I432" s="5"/>
    </row>
    <row r="433" spans="1:9" ht="17.399999999999999" x14ac:dyDescent="0.25">
      <c r="A433" s="16"/>
      <c r="B433" s="17"/>
      <c r="C433" s="2"/>
      <c r="D433" s="2"/>
      <c r="E433" s="2"/>
      <c r="F433" s="2"/>
      <c r="G433" s="2"/>
      <c r="H433" s="2"/>
      <c r="I433" s="5"/>
    </row>
    <row r="434" spans="1:9" ht="17.399999999999999" x14ac:dyDescent="0.25">
      <c r="A434" s="16"/>
      <c r="B434" s="17"/>
      <c r="C434" s="2"/>
      <c r="D434" s="2"/>
      <c r="E434" s="2"/>
      <c r="F434" s="2"/>
      <c r="G434" s="2"/>
      <c r="H434" s="2"/>
      <c r="I434" s="5"/>
    </row>
    <row r="435" spans="1:9" ht="17.399999999999999" x14ac:dyDescent="0.25">
      <c r="A435" s="16"/>
      <c r="B435" s="17"/>
      <c r="C435" s="2"/>
      <c r="D435" s="2"/>
      <c r="E435" s="2"/>
      <c r="F435" s="2"/>
      <c r="G435" s="2"/>
      <c r="H435" s="2"/>
      <c r="I435" s="5"/>
    </row>
    <row r="436" spans="1:9" ht="17.399999999999999" x14ac:dyDescent="0.25">
      <c r="A436" s="16"/>
      <c r="B436" s="17"/>
      <c r="C436" s="2"/>
      <c r="D436" s="2"/>
      <c r="E436" s="2"/>
      <c r="F436" s="2"/>
      <c r="G436" s="2"/>
      <c r="H436" s="2"/>
      <c r="I436" s="5"/>
    </row>
    <row r="437" spans="1:9" ht="17.399999999999999" x14ac:dyDescent="0.25">
      <c r="A437" s="16"/>
      <c r="B437" s="17"/>
      <c r="C437" s="2"/>
      <c r="D437" s="2"/>
      <c r="E437" s="2"/>
      <c r="F437" s="2"/>
      <c r="G437" s="2"/>
      <c r="H437" s="2"/>
      <c r="I437" s="5"/>
    </row>
    <row r="438" spans="1:9" ht="17.399999999999999" x14ac:dyDescent="0.25">
      <c r="A438" s="16"/>
      <c r="B438" s="17"/>
      <c r="C438" s="2"/>
      <c r="D438" s="2"/>
      <c r="E438" s="2"/>
      <c r="F438" s="2"/>
      <c r="G438" s="2"/>
      <c r="H438" s="2"/>
      <c r="I438" s="5"/>
    </row>
    <row r="439" spans="1:9" ht="17.399999999999999" x14ac:dyDescent="0.25">
      <c r="A439" s="16"/>
      <c r="B439" s="17"/>
      <c r="C439" s="2"/>
      <c r="D439" s="2"/>
      <c r="E439" s="2"/>
      <c r="F439" s="2"/>
      <c r="G439" s="2"/>
      <c r="H439" s="2"/>
      <c r="I439" s="5"/>
    </row>
    <row r="440" spans="1:9" ht="17.399999999999999" x14ac:dyDescent="0.25">
      <c r="A440" s="16"/>
      <c r="B440" s="17"/>
      <c r="C440" s="2"/>
      <c r="D440" s="2"/>
      <c r="E440" s="2"/>
      <c r="F440" s="2"/>
      <c r="G440" s="2"/>
      <c r="H440" s="2"/>
      <c r="I440" s="5"/>
    </row>
    <row r="441" spans="1:9" ht="17.399999999999999" x14ac:dyDescent="0.25">
      <c r="A441" s="16"/>
      <c r="B441" s="17"/>
      <c r="C441" s="2"/>
      <c r="D441" s="2"/>
      <c r="E441" s="2"/>
      <c r="F441" s="2"/>
      <c r="G441" s="2"/>
      <c r="H441" s="2"/>
      <c r="I441" s="5"/>
    </row>
    <row r="442" spans="1:9" ht="17.399999999999999" x14ac:dyDescent="0.25">
      <c r="A442" s="16"/>
      <c r="B442" s="17"/>
      <c r="C442" s="2"/>
      <c r="D442" s="2"/>
      <c r="E442" s="2"/>
      <c r="F442" s="2"/>
      <c r="G442" s="2"/>
      <c r="H442" s="2"/>
      <c r="I442" s="5"/>
    </row>
    <row r="443" spans="1:9" ht="17.399999999999999" x14ac:dyDescent="0.25">
      <c r="A443" s="16"/>
      <c r="B443" s="17"/>
      <c r="C443" s="2"/>
      <c r="D443" s="2"/>
      <c r="E443" s="2"/>
      <c r="F443" s="2"/>
      <c r="G443" s="2"/>
      <c r="H443" s="2"/>
      <c r="I443" s="5"/>
    </row>
    <row r="444" spans="1:9" ht="17.399999999999999" x14ac:dyDescent="0.25">
      <c r="A444" s="16"/>
      <c r="B444" s="17"/>
      <c r="C444" s="2"/>
      <c r="D444" s="2"/>
      <c r="E444" s="2"/>
      <c r="F444" s="2"/>
      <c r="G444" s="2"/>
      <c r="H444" s="2"/>
      <c r="I444" s="5"/>
    </row>
    <row r="445" spans="1:9" ht="17.399999999999999" x14ac:dyDescent="0.25">
      <c r="A445" s="16"/>
      <c r="B445" s="17"/>
      <c r="C445" s="2"/>
      <c r="D445" s="2"/>
      <c r="E445" s="2"/>
      <c r="F445" s="2"/>
      <c r="G445" s="2"/>
      <c r="H445" s="2"/>
      <c r="I445" s="5"/>
    </row>
    <row r="446" spans="1:9" ht="17.399999999999999" x14ac:dyDescent="0.25">
      <c r="A446" s="16"/>
      <c r="B446" s="17"/>
      <c r="C446" s="2"/>
      <c r="D446" s="2"/>
      <c r="E446" s="2"/>
      <c r="F446" s="2"/>
      <c r="G446" s="2"/>
      <c r="H446" s="2"/>
      <c r="I446" s="5"/>
    </row>
    <row r="447" spans="1:9" ht="17.399999999999999" x14ac:dyDescent="0.25">
      <c r="A447" s="16"/>
      <c r="B447" s="17"/>
      <c r="C447" s="2"/>
      <c r="D447" s="2"/>
      <c r="E447" s="2"/>
      <c r="F447" s="2"/>
      <c r="G447" s="2"/>
      <c r="H447" s="2"/>
      <c r="I447" s="5"/>
    </row>
    <row r="448" spans="1:9" ht="17.399999999999999" x14ac:dyDescent="0.25">
      <c r="A448" s="16"/>
      <c r="B448" s="17"/>
      <c r="C448" s="2"/>
      <c r="D448" s="2"/>
      <c r="E448" s="2"/>
      <c r="F448" s="2"/>
      <c r="G448" s="2"/>
      <c r="H448" s="2"/>
      <c r="I448" s="5"/>
    </row>
    <row r="449" spans="1:9" ht="17.399999999999999" x14ac:dyDescent="0.25">
      <c r="A449" s="16"/>
      <c r="B449" s="17"/>
      <c r="C449" s="2"/>
      <c r="D449" s="2"/>
      <c r="E449" s="2"/>
      <c r="F449" s="2"/>
      <c r="G449" s="2"/>
      <c r="H449" s="2"/>
      <c r="I449" s="5"/>
    </row>
    <row r="450" spans="1:9" ht="17.399999999999999" x14ac:dyDescent="0.25">
      <c r="A450" s="16"/>
      <c r="B450" s="17"/>
      <c r="C450" s="2"/>
      <c r="D450" s="2"/>
      <c r="E450" s="2"/>
      <c r="F450" s="2"/>
      <c r="G450" s="2"/>
      <c r="H450" s="2"/>
      <c r="I450" s="5"/>
    </row>
    <row r="451" spans="1:9" ht="17.399999999999999" x14ac:dyDescent="0.25">
      <c r="A451" s="16"/>
      <c r="B451" s="17"/>
      <c r="C451" s="2"/>
      <c r="D451" s="2"/>
      <c r="E451" s="2"/>
      <c r="F451" s="2"/>
      <c r="G451" s="2"/>
      <c r="H451" s="2"/>
      <c r="I451" s="5"/>
    </row>
    <row r="452" spans="1:9" ht="17.399999999999999" x14ac:dyDescent="0.25">
      <c r="A452" s="16"/>
      <c r="B452" s="17"/>
      <c r="C452" s="2"/>
      <c r="D452" s="2"/>
      <c r="E452" s="2"/>
      <c r="F452" s="2"/>
      <c r="G452" s="2"/>
      <c r="H452" s="2"/>
      <c r="I452" s="5"/>
    </row>
    <row r="453" spans="1:9" ht="17.399999999999999" x14ac:dyDescent="0.25">
      <c r="A453" s="16"/>
      <c r="B453" s="17"/>
      <c r="C453" s="2"/>
      <c r="D453" s="2"/>
      <c r="E453" s="2"/>
      <c r="F453" s="2"/>
      <c r="G453" s="2"/>
      <c r="H453" s="2"/>
      <c r="I453" s="5"/>
    </row>
    <row r="454" spans="1:9" ht="17.399999999999999" x14ac:dyDescent="0.25">
      <c r="A454" s="16"/>
      <c r="B454" s="17"/>
      <c r="C454" s="2"/>
      <c r="D454" s="2"/>
      <c r="E454" s="2"/>
      <c r="F454" s="2"/>
      <c r="G454" s="2"/>
      <c r="H454" s="2"/>
      <c r="I454" s="5"/>
    </row>
    <row r="455" spans="1:9" ht="17.399999999999999" x14ac:dyDescent="0.25">
      <c r="A455" s="16"/>
      <c r="B455" s="17"/>
      <c r="C455" s="2"/>
      <c r="D455" s="2"/>
      <c r="E455" s="2"/>
      <c r="F455" s="2"/>
      <c r="G455" s="2"/>
      <c r="H455" s="2"/>
      <c r="I455" s="5"/>
    </row>
    <row r="456" spans="1:9" ht="17.399999999999999" x14ac:dyDescent="0.25">
      <c r="A456" s="16"/>
      <c r="B456" s="17"/>
      <c r="C456" s="2"/>
      <c r="D456" s="2"/>
      <c r="E456" s="2"/>
      <c r="F456" s="2"/>
      <c r="G456" s="2"/>
      <c r="H456" s="2"/>
      <c r="I456" s="5"/>
    </row>
    <row r="457" spans="1:9" ht="17.399999999999999" x14ac:dyDescent="0.25">
      <c r="A457" s="16"/>
      <c r="B457" s="17"/>
      <c r="C457" s="2"/>
      <c r="D457" s="2"/>
      <c r="E457" s="2"/>
      <c r="F457" s="2"/>
      <c r="G457" s="2"/>
      <c r="H457" s="2"/>
      <c r="I457" s="5"/>
    </row>
    <row r="458" spans="1:9" ht="17.399999999999999" x14ac:dyDescent="0.25">
      <c r="A458" s="16"/>
      <c r="B458" s="17"/>
      <c r="C458" s="2"/>
      <c r="D458" s="2"/>
      <c r="E458" s="2"/>
      <c r="F458" s="2"/>
      <c r="G458" s="2"/>
      <c r="H458" s="2"/>
      <c r="I458" s="5"/>
    </row>
    <row r="459" spans="1:9" ht="17.399999999999999" x14ac:dyDescent="0.25">
      <c r="A459" s="16"/>
      <c r="B459" s="17"/>
      <c r="C459" s="2"/>
      <c r="D459" s="2"/>
      <c r="E459" s="2"/>
      <c r="F459" s="2"/>
      <c r="G459" s="2"/>
      <c r="H459" s="2"/>
      <c r="I459" s="5"/>
    </row>
    <row r="460" spans="1:9" ht="17.399999999999999" x14ac:dyDescent="0.25">
      <c r="A460" s="16"/>
      <c r="B460" s="17"/>
      <c r="C460" s="2"/>
      <c r="D460" s="2"/>
      <c r="E460" s="2"/>
      <c r="F460" s="2"/>
      <c r="G460" s="2"/>
      <c r="H460" s="2"/>
      <c r="I460" s="5"/>
    </row>
    <row r="461" spans="1:9" ht="17.399999999999999" x14ac:dyDescent="0.25">
      <c r="A461" s="16"/>
      <c r="B461" s="17"/>
      <c r="C461" s="2"/>
      <c r="D461" s="2"/>
      <c r="E461" s="2"/>
      <c r="F461" s="2"/>
      <c r="G461" s="2"/>
      <c r="H461" s="2"/>
      <c r="I461" s="5"/>
    </row>
    <row r="462" spans="1:9" ht="17.399999999999999" x14ac:dyDescent="0.25">
      <c r="A462" s="16"/>
      <c r="B462" s="17"/>
      <c r="C462" s="2"/>
      <c r="D462" s="2"/>
      <c r="E462" s="2"/>
      <c r="F462" s="2"/>
      <c r="G462" s="2"/>
      <c r="H462" s="2"/>
      <c r="I462" s="5"/>
    </row>
    <row r="463" spans="1:9" ht="17.399999999999999" x14ac:dyDescent="0.25">
      <c r="A463" s="16"/>
      <c r="B463" s="17"/>
      <c r="C463" s="2"/>
      <c r="D463" s="2"/>
      <c r="E463" s="2"/>
      <c r="F463" s="2"/>
      <c r="G463" s="2"/>
      <c r="H463" s="2"/>
      <c r="I463" s="5"/>
    </row>
    <row r="464" spans="1:9" ht="17.399999999999999" x14ac:dyDescent="0.25">
      <c r="A464" s="16"/>
      <c r="B464" s="17"/>
      <c r="C464" s="2"/>
      <c r="D464" s="2"/>
      <c r="E464" s="2"/>
      <c r="F464" s="2"/>
      <c r="G464" s="2"/>
      <c r="H464" s="2"/>
      <c r="I464" s="5"/>
    </row>
    <row r="465" spans="1:9" ht="17.399999999999999" x14ac:dyDescent="0.25">
      <c r="A465" s="16"/>
      <c r="B465" s="17"/>
      <c r="C465" s="2"/>
      <c r="D465" s="2"/>
      <c r="E465" s="2"/>
      <c r="F465" s="2"/>
      <c r="G465" s="2"/>
      <c r="H465" s="2"/>
      <c r="I465" s="5"/>
    </row>
    <row r="466" spans="1:9" ht="17.399999999999999" x14ac:dyDescent="0.25">
      <c r="A466" s="16"/>
      <c r="B466" s="17"/>
      <c r="C466" s="2"/>
      <c r="D466" s="2"/>
      <c r="E466" s="2"/>
      <c r="F466" s="2"/>
      <c r="G466" s="2"/>
      <c r="H466" s="2"/>
      <c r="I466" s="5"/>
    </row>
    <row r="467" spans="1:9" ht="17.399999999999999" x14ac:dyDescent="0.25">
      <c r="A467" s="16"/>
      <c r="B467" s="17"/>
      <c r="C467" s="2"/>
      <c r="D467" s="2"/>
      <c r="E467" s="2"/>
      <c r="F467" s="2"/>
      <c r="G467" s="2"/>
      <c r="H467" s="2"/>
      <c r="I467" s="5"/>
    </row>
    <row r="468" spans="1:9" ht="17.399999999999999" x14ac:dyDescent="0.25">
      <c r="A468" s="16"/>
      <c r="B468" s="17"/>
      <c r="C468" s="2"/>
      <c r="D468" s="2"/>
      <c r="E468" s="2"/>
      <c r="F468" s="2"/>
      <c r="G468" s="2"/>
      <c r="H468" s="2"/>
      <c r="I468" s="5"/>
    </row>
    <row r="469" spans="1:9" ht="17.399999999999999" x14ac:dyDescent="0.25">
      <c r="A469" s="16"/>
      <c r="B469" s="17"/>
      <c r="C469" s="2"/>
      <c r="D469" s="2"/>
      <c r="E469" s="2"/>
      <c r="F469" s="2"/>
      <c r="G469" s="2"/>
      <c r="H469" s="2"/>
      <c r="I469" s="5"/>
    </row>
    <row r="470" spans="1:9" ht="17.399999999999999" x14ac:dyDescent="0.25">
      <c r="A470" s="16"/>
      <c r="B470" s="17"/>
      <c r="C470" s="2"/>
      <c r="D470" s="2"/>
      <c r="E470" s="2"/>
      <c r="F470" s="2"/>
      <c r="G470" s="2"/>
      <c r="H470" s="2"/>
      <c r="I470" s="5"/>
    </row>
    <row r="471" spans="1:9" ht="17.399999999999999" x14ac:dyDescent="0.25">
      <c r="A471" s="16"/>
      <c r="B471" s="17"/>
      <c r="C471" s="2"/>
      <c r="D471" s="2"/>
      <c r="E471" s="2"/>
      <c r="F471" s="2"/>
      <c r="G471" s="2"/>
      <c r="H471" s="2"/>
      <c r="I471" s="5"/>
    </row>
    <row r="472" spans="1:9" ht="17.399999999999999" x14ac:dyDescent="0.25">
      <c r="A472" s="16"/>
      <c r="B472" s="17"/>
      <c r="C472" s="2"/>
      <c r="D472" s="2"/>
      <c r="E472" s="2"/>
      <c r="F472" s="2"/>
      <c r="G472" s="2"/>
      <c r="H472" s="2"/>
      <c r="I472" s="5"/>
    </row>
    <row r="473" spans="1:9" ht="17.399999999999999" x14ac:dyDescent="0.25">
      <c r="A473" s="16"/>
      <c r="B473" s="17"/>
      <c r="C473" s="2"/>
      <c r="D473" s="2"/>
      <c r="E473" s="2"/>
      <c r="F473" s="2"/>
      <c r="G473" s="2"/>
      <c r="H473" s="2"/>
      <c r="I473" s="5"/>
    </row>
    <row r="474" spans="1:9" ht="17.399999999999999" x14ac:dyDescent="0.25">
      <c r="A474" s="16"/>
      <c r="B474" s="17"/>
      <c r="C474" s="2"/>
      <c r="D474" s="2"/>
      <c r="E474" s="2"/>
      <c r="F474" s="2"/>
      <c r="G474" s="2"/>
      <c r="H474" s="2"/>
      <c r="I474" s="5"/>
    </row>
    <row r="475" spans="1:9" ht="17.399999999999999" x14ac:dyDescent="0.25">
      <c r="A475" s="16"/>
      <c r="B475" s="17"/>
      <c r="C475" s="2"/>
      <c r="D475" s="2"/>
      <c r="E475" s="2"/>
      <c r="F475" s="2"/>
      <c r="G475" s="2"/>
      <c r="H475" s="2"/>
      <c r="I475" s="5"/>
    </row>
    <row r="476" spans="1:9" ht="17.399999999999999" x14ac:dyDescent="0.25">
      <c r="A476" s="16"/>
      <c r="B476" s="17"/>
      <c r="C476" s="2"/>
      <c r="D476" s="2"/>
      <c r="E476" s="2"/>
      <c r="F476" s="2"/>
      <c r="G476" s="2"/>
      <c r="H476" s="2"/>
      <c r="I476" s="5"/>
    </row>
    <row r="477" spans="1:9" ht="17.399999999999999" x14ac:dyDescent="0.25">
      <c r="A477" s="16"/>
      <c r="B477" s="17"/>
      <c r="C477" s="2"/>
      <c r="D477" s="2"/>
      <c r="E477" s="2"/>
      <c r="F477" s="2"/>
      <c r="G477" s="2"/>
      <c r="H477" s="2"/>
      <c r="I477" s="5"/>
    </row>
    <row r="478" spans="1:9" ht="17.399999999999999" x14ac:dyDescent="0.25">
      <c r="A478" s="16"/>
      <c r="B478" s="17"/>
      <c r="C478" s="2"/>
      <c r="D478" s="2"/>
      <c r="E478" s="2"/>
      <c r="F478" s="2"/>
      <c r="G478" s="2"/>
      <c r="H478" s="2"/>
      <c r="I478" s="5"/>
    </row>
    <row r="479" spans="1:9" ht="17.399999999999999" x14ac:dyDescent="0.25">
      <c r="A479" s="16"/>
      <c r="B479" s="17"/>
      <c r="C479" s="2"/>
      <c r="D479" s="2"/>
      <c r="E479" s="2"/>
      <c r="F479" s="2"/>
      <c r="G479" s="2"/>
      <c r="H479" s="2"/>
      <c r="I479" s="5"/>
    </row>
    <row r="480" spans="1:9" ht="17.399999999999999" x14ac:dyDescent="0.25">
      <c r="A480" s="16"/>
      <c r="B480" s="17"/>
      <c r="C480" s="2"/>
      <c r="D480" s="2"/>
      <c r="E480" s="2"/>
      <c r="F480" s="2"/>
      <c r="G480" s="2"/>
      <c r="H480" s="2"/>
      <c r="I480" s="5"/>
    </row>
    <row r="481" spans="1:9" ht="17.399999999999999" x14ac:dyDescent="0.25">
      <c r="A481" s="16"/>
      <c r="B481" s="17"/>
      <c r="C481" s="2"/>
      <c r="D481" s="2"/>
      <c r="E481" s="2"/>
      <c r="F481" s="2"/>
      <c r="G481" s="2"/>
      <c r="H481" s="2"/>
      <c r="I481" s="5"/>
    </row>
    <row r="482" spans="1:9" ht="17.399999999999999" x14ac:dyDescent="0.25">
      <c r="A482" s="16"/>
      <c r="B482" s="17"/>
      <c r="C482" s="2"/>
      <c r="D482" s="2"/>
      <c r="E482" s="2"/>
      <c r="F482" s="2"/>
      <c r="G482" s="2"/>
      <c r="H482" s="2"/>
      <c r="I482" s="5"/>
    </row>
    <row r="483" spans="1:9" ht="17.399999999999999" x14ac:dyDescent="0.25">
      <c r="A483" s="16"/>
      <c r="B483" s="17"/>
      <c r="C483" s="2"/>
      <c r="D483" s="2"/>
      <c r="E483" s="2"/>
      <c r="F483" s="2"/>
      <c r="G483" s="2"/>
      <c r="H483" s="2"/>
      <c r="I483" s="5"/>
    </row>
    <row r="484" spans="1:9" ht="17.399999999999999" x14ac:dyDescent="0.25">
      <c r="A484" s="16"/>
      <c r="B484" s="17"/>
      <c r="C484" s="2"/>
      <c r="D484" s="2"/>
      <c r="E484" s="2"/>
      <c r="F484" s="2"/>
      <c r="G484" s="2"/>
      <c r="H484" s="2"/>
      <c r="I484" s="5"/>
    </row>
    <row r="485" spans="1:9" ht="17.399999999999999" x14ac:dyDescent="0.25">
      <c r="A485" s="16"/>
      <c r="B485" s="17"/>
      <c r="C485" s="2"/>
      <c r="D485" s="2"/>
      <c r="E485" s="2"/>
      <c r="F485" s="2"/>
      <c r="G485" s="2"/>
      <c r="H485" s="2"/>
      <c r="I485" s="5"/>
    </row>
    <row r="486" spans="1:9" ht="17.399999999999999" x14ac:dyDescent="0.25">
      <c r="A486" s="16"/>
      <c r="B486" s="17"/>
      <c r="C486" s="2"/>
      <c r="D486" s="2"/>
      <c r="E486" s="2"/>
      <c r="F486" s="2"/>
      <c r="G486" s="2"/>
      <c r="H486" s="2"/>
      <c r="I486" s="5"/>
    </row>
    <row r="487" spans="1:9" ht="17.399999999999999" x14ac:dyDescent="0.25">
      <c r="A487" s="16"/>
      <c r="B487" s="17"/>
      <c r="C487" s="2"/>
      <c r="D487" s="2"/>
      <c r="E487" s="2"/>
      <c r="F487" s="2"/>
      <c r="G487" s="2"/>
      <c r="H487" s="2"/>
      <c r="I487" s="5"/>
    </row>
    <row r="488" spans="1:9" ht="17.399999999999999" x14ac:dyDescent="0.25">
      <c r="A488" s="16"/>
      <c r="B488" s="17"/>
      <c r="C488" s="2"/>
      <c r="D488" s="2"/>
      <c r="E488" s="2"/>
      <c r="F488" s="2"/>
      <c r="G488" s="2"/>
      <c r="H488" s="2"/>
      <c r="I488" s="5"/>
    </row>
    <row r="489" spans="1:9" ht="17.399999999999999" x14ac:dyDescent="0.25">
      <c r="A489" s="16"/>
      <c r="B489" s="17"/>
      <c r="C489" s="2"/>
      <c r="D489" s="2"/>
      <c r="E489" s="2"/>
      <c r="F489" s="2"/>
      <c r="G489" s="2"/>
      <c r="H489" s="2"/>
      <c r="I489" s="5"/>
    </row>
    <row r="490" spans="1:9" ht="17.399999999999999" x14ac:dyDescent="0.25">
      <c r="A490" s="16"/>
      <c r="B490" s="17"/>
      <c r="C490" s="2"/>
      <c r="D490" s="2"/>
      <c r="E490" s="2"/>
      <c r="F490" s="2"/>
      <c r="G490" s="2"/>
      <c r="H490" s="2"/>
      <c r="I490" s="5"/>
    </row>
    <row r="491" spans="1:9" ht="17.399999999999999" x14ac:dyDescent="0.25">
      <c r="A491" s="16"/>
      <c r="B491" s="17"/>
      <c r="C491" s="2"/>
      <c r="D491" s="2"/>
      <c r="E491" s="2"/>
      <c r="F491" s="2"/>
      <c r="G491" s="2"/>
      <c r="H491" s="2"/>
      <c r="I491" s="5"/>
    </row>
    <row r="492" spans="1:9" ht="17.399999999999999" x14ac:dyDescent="0.25">
      <c r="A492" s="16"/>
      <c r="B492" s="17"/>
      <c r="C492" s="2"/>
      <c r="D492" s="2"/>
      <c r="E492" s="2"/>
      <c r="F492" s="2"/>
      <c r="G492" s="2"/>
      <c r="H492" s="2"/>
      <c r="I492" s="5"/>
    </row>
    <row r="493" spans="1:9" ht="17.399999999999999" x14ac:dyDescent="0.25">
      <c r="A493" s="16"/>
      <c r="B493" s="17"/>
      <c r="C493" s="2"/>
      <c r="D493" s="2"/>
      <c r="E493" s="2"/>
      <c r="F493" s="2"/>
      <c r="G493" s="2"/>
      <c r="H493" s="2"/>
      <c r="I493" s="5"/>
    </row>
    <row r="494" spans="1:9" ht="17.399999999999999" x14ac:dyDescent="0.25">
      <c r="A494" s="16"/>
      <c r="B494" s="17"/>
      <c r="C494" s="2"/>
      <c r="D494" s="2"/>
      <c r="E494" s="2"/>
      <c r="F494" s="2"/>
      <c r="G494" s="2"/>
      <c r="H494" s="2"/>
      <c r="I494" s="5"/>
    </row>
    <row r="495" spans="1:9" ht="17.399999999999999" x14ac:dyDescent="0.25">
      <c r="A495" s="16"/>
      <c r="B495" s="17"/>
      <c r="C495" s="2"/>
      <c r="D495" s="2"/>
      <c r="E495" s="2"/>
      <c r="F495" s="2"/>
      <c r="G495" s="2"/>
      <c r="H495" s="2"/>
      <c r="I495" s="5"/>
    </row>
    <row r="496" spans="1:9" ht="17.399999999999999" x14ac:dyDescent="0.25">
      <c r="A496" s="16"/>
      <c r="B496" s="17"/>
      <c r="C496" s="2"/>
      <c r="D496" s="2"/>
      <c r="E496" s="2"/>
      <c r="F496" s="2"/>
      <c r="G496" s="2"/>
      <c r="H496" s="2"/>
      <c r="I496" s="5"/>
    </row>
    <row r="497" spans="1:9" ht="17.399999999999999" x14ac:dyDescent="0.25">
      <c r="A497" s="16"/>
      <c r="B497" s="17"/>
      <c r="C497" s="2"/>
      <c r="D497" s="2"/>
      <c r="E497" s="2"/>
      <c r="F497" s="2"/>
      <c r="G497" s="2"/>
      <c r="H497" s="2"/>
      <c r="I497" s="5"/>
    </row>
    <row r="498" spans="1:9" ht="17.399999999999999" x14ac:dyDescent="0.25">
      <c r="A498" s="16"/>
      <c r="B498" s="17"/>
      <c r="C498" s="2"/>
      <c r="D498" s="2"/>
      <c r="E498" s="2"/>
      <c r="F498" s="2"/>
      <c r="G498" s="2"/>
      <c r="H498" s="2"/>
      <c r="I498" s="5"/>
    </row>
    <row r="499" spans="1:9" ht="17.399999999999999" x14ac:dyDescent="0.25">
      <c r="A499" s="16"/>
      <c r="B499" s="17"/>
      <c r="C499" s="2"/>
      <c r="D499" s="2"/>
      <c r="E499" s="2"/>
      <c r="F499" s="2"/>
      <c r="G499" s="2"/>
      <c r="H499" s="2"/>
      <c r="I499" s="5"/>
    </row>
    <row r="500" spans="1:9" ht="17.399999999999999" x14ac:dyDescent="0.25">
      <c r="A500" s="16"/>
      <c r="B500" s="17"/>
      <c r="C500" s="2"/>
      <c r="D500" s="2"/>
      <c r="E500" s="2"/>
      <c r="F500" s="2"/>
      <c r="G500" s="2"/>
      <c r="H500" s="2"/>
      <c r="I500" s="5"/>
    </row>
    <row r="501" spans="1:9" ht="17.399999999999999" x14ac:dyDescent="0.25">
      <c r="A501" s="16"/>
      <c r="B501" s="17"/>
      <c r="C501" s="2"/>
      <c r="D501" s="2"/>
      <c r="E501" s="2"/>
      <c r="F501" s="2"/>
      <c r="G501" s="2"/>
      <c r="H501" s="2"/>
      <c r="I501" s="5"/>
    </row>
    <row r="502" spans="1:9" ht="17.399999999999999" x14ac:dyDescent="0.25">
      <c r="A502" s="16"/>
      <c r="B502" s="17"/>
      <c r="C502" s="2"/>
      <c r="D502" s="2"/>
      <c r="E502" s="2"/>
      <c r="F502" s="2"/>
      <c r="G502" s="2"/>
      <c r="H502" s="2"/>
      <c r="I502" s="5"/>
    </row>
    <row r="503" spans="1:9" ht="17.399999999999999" x14ac:dyDescent="0.25">
      <c r="A503" s="16"/>
      <c r="B503" s="17"/>
      <c r="C503" s="2"/>
      <c r="D503" s="2"/>
      <c r="E503" s="2"/>
      <c r="F503" s="2"/>
      <c r="G503" s="2"/>
      <c r="H503" s="2"/>
      <c r="I503" s="5"/>
    </row>
    <row r="504" spans="1:9" ht="17.399999999999999" x14ac:dyDescent="0.25">
      <c r="A504" s="16"/>
      <c r="B504" s="17"/>
      <c r="C504" s="2"/>
      <c r="D504" s="2"/>
      <c r="E504" s="2"/>
      <c r="F504" s="2"/>
      <c r="G504" s="2"/>
      <c r="H504" s="2"/>
      <c r="I504" s="5"/>
    </row>
    <row r="505" spans="1:9" ht="17.399999999999999" x14ac:dyDescent="0.25">
      <c r="A505" s="16"/>
      <c r="B505" s="17"/>
      <c r="C505" s="2"/>
      <c r="D505" s="2"/>
      <c r="E505" s="2"/>
      <c r="F505" s="2"/>
      <c r="G505" s="2"/>
      <c r="H505" s="2"/>
      <c r="I505" s="5"/>
    </row>
    <row r="506" spans="1:9" ht="17.399999999999999" x14ac:dyDescent="0.25">
      <c r="A506" s="16"/>
      <c r="B506" s="17"/>
      <c r="C506" s="2"/>
      <c r="D506" s="2"/>
      <c r="E506" s="2"/>
      <c r="F506" s="2"/>
      <c r="G506" s="2"/>
      <c r="H506" s="2"/>
      <c r="I506" s="5"/>
    </row>
    <row r="507" spans="1:9" ht="17.399999999999999" x14ac:dyDescent="0.25">
      <c r="A507" s="16"/>
      <c r="B507" s="17"/>
      <c r="C507" s="2"/>
      <c r="D507" s="2"/>
      <c r="E507" s="2"/>
      <c r="F507" s="2"/>
      <c r="G507" s="2"/>
      <c r="H507" s="2"/>
      <c r="I507" s="5"/>
    </row>
    <row r="508" spans="1:9" ht="17.399999999999999" x14ac:dyDescent="0.25">
      <c r="A508" s="16"/>
      <c r="B508" s="17"/>
      <c r="C508" s="2"/>
      <c r="D508" s="2"/>
      <c r="E508" s="2"/>
      <c r="F508" s="2"/>
      <c r="G508" s="2"/>
      <c r="H508" s="2"/>
      <c r="I508" s="5"/>
    </row>
    <row r="509" spans="1:9" ht="17.399999999999999" x14ac:dyDescent="0.25">
      <c r="A509" s="16"/>
      <c r="B509" s="17"/>
      <c r="C509" s="2"/>
      <c r="D509" s="2"/>
      <c r="E509" s="2"/>
      <c r="F509" s="2"/>
      <c r="G509" s="2"/>
      <c r="H509" s="2"/>
      <c r="I509" s="5"/>
    </row>
    <row r="510" spans="1:9" ht="17.399999999999999" x14ac:dyDescent="0.25">
      <c r="A510" s="16"/>
      <c r="B510" s="17"/>
      <c r="C510" s="2"/>
      <c r="D510" s="2"/>
      <c r="E510" s="2"/>
      <c r="F510" s="2"/>
      <c r="G510" s="2"/>
      <c r="H510" s="2"/>
      <c r="I510" s="5"/>
    </row>
    <row r="511" spans="1:9" ht="17.399999999999999" x14ac:dyDescent="0.25">
      <c r="A511" s="16"/>
      <c r="B511" s="17"/>
      <c r="C511" s="2"/>
      <c r="D511" s="2"/>
      <c r="E511" s="2"/>
      <c r="F511" s="2"/>
      <c r="G511" s="2"/>
      <c r="H511" s="2"/>
      <c r="I511" s="5"/>
    </row>
    <row r="512" spans="1:9" ht="17.399999999999999" x14ac:dyDescent="0.25">
      <c r="A512" s="16"/>
      <c r="B512" s="17"/>
      <c r="C512" s="2"/>
      <c r="D512" s="2"/>
      <c r="E512" s="2"/>
      <c r="F512" s="2"/>
      <c r="G512" s="2"/>
      <c r="H512" s="2"/>
      <c r="I512" s="5"/>
    </row>
    <row r="513" spans="1:9" ht="17.399999999999999" x14ac:dyDescent="0.25">
      <c r="A513" s="16"/>
      <c r="B513" s="17"/>
      <c r="C513" s="2"/>
      <c r="D513" s="2"/>
      <c r="E513" s="2"/>
      <c r="F513" s="2"/>
      <c r="G513" s="2"/>
      <c r="H513" s="2"/>
      <c r="I513" s="5"/>
    </row>
    <row r="514" spans="1:9" ht="17.399999999999999" x14ac:dyDescent="0.25">
      <c r="A514" s="16"/>
      <c r="B514" s="17"/>
      <c r="C514" s="2"/>
      <c r="D514" s="2"/>
      <c r="E514" s="2"/>
      <c r="F514" s="2"/>
      <c r="G514" s="2"/>
      <c r="H514" s="2"/>
      <c r="I514" s="5"/>
    </row>
    <row r="515" spans="1:9" ht="17.399999999999999" x14ac:dyDescent="0.25">
      <c r="A515" s="16"/>
      <c r="B515" s="17"/>
      <c r="C515" s="2"/>
      <c r="D515" s="2"/>
      <c r="E515" s="2"/>
      <c r="F515" s="2"/>
      <c r="G515" s="2"/>
      <c r="H515" s="2"/>
      <c r="I515" s="5"/>
    </row>
    <row r="516" spans="1:9" ht="17.399999999999999" x14ac:dyDescent="0.25">
      <c r="A516" s="16"/>
      <c r="B516" s="17"/>
      <c r="C516" s="2"/>
      <c r="D516" s="2"/>
      <c r="E516" s="2"/>
      <c r="F516" s="2"/>
      <c r="G516" s="2"/>
      <c r="H516" s="2"/>
      <c r="I516" s="5"/>
    </row>
    <row r="517" spans="1:9" ht="17.399999999999999" x14ac:dyDescent="0.25">
      <c r="A517" s="16"/>
      <c r="B517" s="17"/>
      <c r="C517" s="2"/>
      <c r="D517" s="2"/>
      <c r="E517" s="2"/>
      <c r="F517" s="2"/>
      <c r="G517" s="2"/>
      <c r="H517" s="2"/>
      <c r="I517" s="5"/>
    </row>
    <row r="518" spans="1:9" ht="17.399999999999999" x14ac:dyDescent="0.25">
      <c r="A518" s="16"/>
      <c r="B518" s="17"/>
      <c r="C518" s="2"/>
      <c r="D518" s="2"/>
      <c r="E518" s="2"/>
      <c r="F518" s="2"/>
      <c r="G518" s="2"/>
      <c r="H518" s="2"/>
      <c r="I518" s="5"/>
    </row>
    <row r="519" spans="1:9" ht="17.399999999999999" x14ac:dyDescent="0.25">
      <c r="A519" s="16"/>
      <c r="B519" s="17"/>
      <c r="C519" s="2"/>
      <c r="D519" s="2"/>
      <c r="E519" s="2"/>
      <c r="F519" s="2"/>
      <c r="G519" s="2"/>
      <c r="H519" s="2"/>
      <c r="I519" s="5"/>
    </row>
    <row r="520" spans="1:9" ht="17.399999999999999" x14ac:dyDescent="0.25">
      <c r="A520" s="16"/>
      <c r="B520" s="17"/>
      <c r="C520" s="2"/>
      <c r="D520" s="2"/>
      <c r="E520" s="2"/>
      <c r="F520" s="2"/>
      <c r="G520" s="2"/>
      <c r="H520" s="2"/>
      <c r="I520" s="5"/>
    </row>
    <row r="521" spans="1:9" ht="17.399999999999999" x14ac:dyDescent="0.25">
      <c r="A521" s="16"/>
      <c r="B521" s="17"/>
      <c r="C521" s="2"/>
      <c r="D521" s="2"/>
      <c r="E521" s="2"/>
      <c r="F521" s="2"/>
      <c r="G521" s="2"/>
      <c r="H521" s="2"/>
      <c r="I521" s="5"/>
    </row>
    <row r="522" spans="1:9" ht="17.399999999999999" x14ac:dyDescent="0.25">
      <c r="A522" s="16"/>
      <c r="B522" s="17"/>
      <c r="C522" s="2"/>
      <c r="D522" s="2"/>
      <c r="E522" s="2"/>
      <c r="F522" s="2"/>
      <c r="G522" s="2"/>
      <c r="H522" s="2"/>
      <c r="I522" s="5"/>
    </row>
    <row r="523" spans="1:9" ht="17.399999999999999" x14ac:dyDescent="0.25">
      <c r="A523" s="16"/>
      <c r="B523" s="17"/>
      <c r="C523" s="2"/>
      <c r="D523" s="2"/>
      <c r="E523" s="2"/>
      <c r="F523" s="2"/>
      <c r="G523" s="2"/>
      <c r="H523" s="2"/>
      <c r="I523" s="5"/>
    </row>
    <row r="524" spans="1:9" ht="17.399999999999999" x14ac:dyDescent="0.25">
      <c r="A524" s="16"/>
      <c r="B524" s="17"/>
      <c r="C524" s="2"/>
      <c r="D524" s="2"/>
      <c r="E524" s="2"/>
      <c r="F524" s="2"/>
      <c r="G524" s="2"/>
      <c r="H524" s="2"/>
      <c r="I524" s="5"/>
    </row>
    <row r="525" spans="1:9" ht="17.399999999999999" x14ac:dyDescent="0.25">
      <c r="A525" s="16"/>
      <c r="B525" s="17"/>
      <c r="C525" s="2"/>
      <c r="D525" s="2"/>
      <c r="E525" s="2"/>
      <c r="F525" s="2"/>
      <c r="G525" s="2"/>
      <c r="H525" s="2"/>
      <c r="I525" s="5"/>
    </row>
    <row r="526" spans="1:9" ht="17.399999999999999" x14ac:dyDescent="0.25">
      <c r="A526" s="16"/>
      <c r="B526" s="17"/>
      <c r="C526" s="2"/>
      <c r="D526" s="2"/>
      <c r="E526" s="2"/>
      <c r="F526" s="2"/>
      <c r="G526" s="2"/>
      <c r="H526" s="2"/>
      <c r="I526" s="5"/>
    </row>
    <row r="527" spans="1:9" ht="17.399999999999999" x14ac:dyDescent="0.25">
      <c r="A527" s="16"/>
      <c r="B527" s="17"/>
      <c r="C527" s="2"/>
      <c r="D527" s="2"/>
      <c r="E527" s="2"/>
      <c r="F527" s="2"/>
      <c r="G527" s="2"/>
      <c r="H527" s="2"/>
      <c r="I527" s="5"/>
    </row>
    <row r="528" spans="1:9" ht="17.399999999999999" x14ac:dyDescent="0.25">
      <c r="A528" s="16"/>
      <c r="B528" s="17"/>
      <c r="C528" s="2"/>
      <c r="D528" s="2"/>
      <c r="E528" s="2"/>
      <c r="F528" s="2"/>
      <c r="G528" s="2"/>
      <c r="H528" s="2"/>
      <c r="I528" s="5"/>
    </row>
    <row r="529" spans="1:9" ht="17.399999999999999" x14ac:dyDescent="0.25">
      <c r="A529" s="16"/>
      <c r="B529" s="17"/>
      <c r="C529" s="2"/>
      <c r="D529" s="2"/>
      <c r="E529" s="2"/>
      <c r="F529" s="2"/>
      <c r="G529" s="2"/>
      <c r="H529" s="2"/>
      <c r="I529" s="5"/>
    </row>
    <row r="530" spans="1:9" ht="17.399999999999999" x14ac:dyDescent="0.25">
      <c r="A530" s="16"/>
      <c r="B530" s="17"/>
      <c r="C530" s="2"/>
      <c r="D530" s="2"/>
      <c r="E530" s="2"/>
      <c r="F530" s="2"/>
      <c r="G530" s="2"/>
      <c r="H530" s="2"/>
      <c r="I530" s="5"/>
    </row>
    <row r="531" spans="1:9" ht="17.399999999999999" x14ac:dyDescent="0.25">
      <c r="A531" s="16"/>
      <c r="B531" s="17"/>
      <c r="C531" s="2"/>
      <c r="D531" s="2"/>
      <c r="E531" s="2"/>
      <c r="F531" s="2"/>
      <c r="G531" s="2"/>
      <c r="H531" s="2"/>
      <c r="I531" s="5"/>
    </row>
    <row r="532" spans="1:9" ht="17.399999999999999" x14ac:dyDescent="0.25">
      <c r="A532" s="16"/>
      <c r="B532" s="17"/>
      <c r="C532" s="2"/>
      <c r="D532" s="2"/>
      <c r="E532" s="2"/>
      <c r="F532" s="2"/>
      <c r="G532" s="2"/>
      <c r="H532" s="2"/>
      <c r="I532" s="5"/>
    </row>
    <row r="533" spans="1:9" ht="17.399999999999999" x14ac:dyDescent="0.25">
      <c r="A533" s="16"/>
      <c r="B533" s="17"/>
      <c r="C533" s="2"/>
      <c r="D533" s="2"/>
      <c r="E533" s="2"/>
      <c r="F533" s="2"/>
      <c r="G533" s="2"/>
      <c r="H533" s="2"/>
      <c r="I533" s="5"/>
    </row>
    <row r="534" spans="1:9" ht="17.399999999999999" x14ac:dyDescent="0.25">
      <c r="A534" s="16"/>
      <c r="B534" s="17"/>
      <c r="C534" s="2"/>
      <c r="D534" s="2"/>
      <c r="E534" s="2"/>
      <c r="F534" s="2"/>
      <c r="G534" s="2"/>
      <c r="H534" s="2"/>
      <c r="I534" s="5"/>
    </row>
    <row r="535" spans="1:9" ht="17.399999999999999" x14ac:dyDescent="0.25">
      <c r="A535" s="16"/>
      <c r="B535" s="17"/>
      <c r="C535" s="2"/>
      <c r="D535" s="2"/>
      <c r="E535" s="2"/>
      <c r="F535" s="2"/>
      <c r="G535" s="2"/>
      <c r="H535" s="2"/>
      <c r="I535" s="5"/>
    </row>
    <row r="536" spans="1:9" ht="17.399999999999999" x14ac:dyDescent="0.25">
      <c r="A536" s="16"/>
      <c r="B536" s="17"/>
      <c r="C536" s="2"/>
      <c r="D536" s="2"/>
      <c r="E536" s="2"/>
      <c r="F536" s="2"/>
      <c r="G536" s="2"/>
      <c r="H536" s="2"/>
      <c r="I536" s="5"/>
    </row>
    <row r="537" spans="1:9" ht="17.399999999999999" x14ac:dyDescent="0.25">
      <c r="A537" s="16"/>
      <c r="B537" s="17"/>
      <c r="C537" s="2"/>
      <c r="D537" s="2"/>
      <c r="E537" s="2"/>
      <c r="F537" s="2"/>
      <c r="G537" s="2"/>
      <c r="H537" s="2"/>
      <c r="I537" s="5"/>
    </row>
    <row r="538" spans="1:9" ht="17.399999999999999" x14ac:dyDescent="0.25">
      <c r="A538" s="16"/>
      <c r="B538" s="17"/>
      <c r="C538" s="2"/>
      <c r="D538" s="2"/>
      <c r="E538" s="2"/>
      <c r="F538" s="2"/>
      <c r="G538" s="2"/>
      <c r="H538" s="2"/>
      <c r="I538" s="5"/>
    </row>
    <row r="539" spans="1:9" ht="17.399999999999999" x14ac:dyDescent="0.25">
      <c r="A539" s="16"/>
      <c r="B539" s="17"/>
      <c r="C539" s="2"/>
      <c r="D539" s="2"/>
      <c r="E539" s="2"/>
      <c r="F539" s="2"/>
      <c r="G539" s="2"/>
      <c r="H539" s="2"/>
      <c r="I539" s="5"/>
    </row>
    <row r="540" spans="1:9" ht="17.399999999999999" x14ac:dyDescent="0.25">
      <c r="A540" s="16"/>
      <c r="B540" s="17"/>
      <c r="C540" s="2"/>
      <c r="D540" s="2"/>
      <c r="E540" s="2"/>
      <c r="F540" s="2"/>
      <c r="G540" s="2"/>
      <c r="H540" s="2"/>
      <c r="I540" s="5"/>
    </row>
    <row r="541" spans="1:9" ht="17.399999999999999" x14ac:dyDescent="0.25">
      <c r="A541" s="16"/>
      <c r="B541" s="17"/>
      <c r="C541" s="2"/>
      <c r="D541" s="2"/>
      <c r="E541" s="2"/>
      <c r="F541" s="2"/>
      <c r="G541" s="2"/>
      <c r="H541" s="2"/>
      <c r="I541" s="5"/>
    </row>
    <row r="542" spans="1:9" ht="17.399999999999999" x14ac:dyDescent="0.25">
      <c r="A542" s="16"/>
      <c r="B542" s="17"/>
      <c r="C542" s="2"/>
      <c r="D542" s="2"/>
      <c r="E542" s="2"/>
      <c r="F542" s="2"/>
      <c r="G542" s="2"/>
      <c r="H542" s="2"/>
      <c r="I542" s="5"/>
    </row>
    <row r="543" spans="1:9" ht="17.399999999999999" x14ac:dyDescent="0.25">
      <c r="A543" s="16"/>
      <c r="B543" s="17"/>
      <c r="C543" s="2"/>
      <c r="D543" s="2"/>
      <c r="E543" s="2"/>
      <c r="F543" s="2"/>
      <c r="G543" s="2"/>
      <c r="H543" s="2"/>
      <c r="I543" s="5"/>
    </row>
    <row r="544" spans="1:9" ht="17.399999999999999" x14ac:dyDescent="0.25">
      <c r="A544" s="16"/>
      <c r="B544" s="17"/>
      <c r="C544" s="2"/>
      <c r="D544" s="2"/>
      <c r="E544" s="2"/>
      <c r="F544" s="2"/>
      <c r="G544" s="2"/>
      <c r="H544" s="2"/>
      <c r="I544" s="5"/>
    </row>
    <row r="545" spans="1:9" ht="17.399999999999999" x14ac:dyDescent="0.25">
      <c r="A545" s="16"/>
      <c r="B545" s="17"/>
      <c r="C545" s="2"/>
      <c r="D545" s="2"/>
      <c r="E545" s="2"/>
      <c r="F545" s="2"/>
      <c r="G545" s="2"/>
      <c r="H545" s="2"/>
      <c r="I545" s="5"/>
    </row>
    <row r="546" spans="1:9" ht="17.399999999999999" x14ac:dyDescent="0.25">
      <c r="A546" s="16"/>
      <c r="B546" s="17"/>
      <c r="C546" s="2"/>
      <c r="D546" s="2"/>
      <c r="E546" s="2"/>
      <c r="F546" s="2"/>
      <c r="G546" s="2"/>
      <c r="H546" s="2"/>
      <c r="I546" s="5"/>
    </row>
    <row r="547" spans="1:9" ht="17.399999999999999" x14ac:dyDescent="0.25">
      <c r="A547" s="16"/>
      <c r="B547" s="17"/>
      <c r="C547" s="2"/>
      <c r="D547" s="2"/>
      <c r="E547" s="2"/>
      <c r="F547" s="2"/>
      <c r="G547" s="2"/>
      <c r="H547" s="2"/>
      <c r="I547" s="5"/>
    </row>
    <row r="548" spans="1:9" ht="17.399999999999999" x14ac:dyDescent="0.25">
      <c r="A548" s="16"/>
      <c r="B548" s="17"/>
      <c r="C548" s="2"/>
      <c r="D548" s="2"/>
      <c r="E548" s="2"/>
      <c r="F548" s="2"/>
      <c r="G548" s="2"/>
      <c r="H548" s="2"/>
      <c r="I548" s="5"/>
    </row>
    <row r="549" spans="1:9" ht="17.399999999999999" x14ac:dyDescent="0.25">
      <c r="A549" s="16"/>
      <c r="B549" s="17"/>
      <c r="C549" s="2"/>
      <c r="D549" s="2"/>
      <c r="E549" s="2"/>
      <c r="F549" s="2"/>
      <c r="G549" s="2"/>
      <c r="H549" s="2"/>
      <c r="I549" s="5"/>
    </row>
    <row r="550" spans="1:9" ht="17.399999999999999" x14ac:dyDescent="0.25">
      <c r="A550" s="16"/>
      <c r="B550" s="17"/>
      <c r="C550" s="2"/>
      <c r="D550" s="2"/>
      <c r="E550" s="2"/>
      <c r="F550" s="2"/>
      <c r="G550" s="2"/>
      <c r="H550" s="2"/>
      <c r="I550" s="5"/>
    </row>
    <row r="551" spans="1:9" ht="17.399999999999999" x14ac:dyDescent="0.25">
      <c r="A551" s="16"/>
      <c r="B551" s="17"/>
      <c r="C551" s="2"/>
      <c r="D551" s="2"/>
      <c r="E551" s="2"/>
      <c r="F551" s="2"/>
      <c r="G551" s="2"/>
      <c r="H551" s="2"/>
      <c r="I551" s="5"/>
    </row>
    <row r="552" spans="1:9" ht="17.399999999999999" x14ac:dyDescent="0.25">
      <c r="A552" s="16"/>
      <c r="B552" s="17"/>
      <c r="C552" s="2"/>
      <c r="D552" s="2"/>
      <c r="E552" s="2"/>
      <c r="F552" s="2"/>
      <c r="G552" s="2"/>
      <c r="H552" s="2"/>
      <c r="I552" s="5"/>
    </row>
    <row r="553" spans="1:9" ht="17.399999999999999" x14ac:dyDescent="0.25">
      <c r="A553" s="16"/>
      <c r="B553" s="17"/>
      <c r="C553" s="2"/>
      <c r="D553" s="2"/>
      <c r="E553" s="2"/>
      <c r="F553" s="2"/>
      <c r="G553" s="2"/>
      <c r="H553" s="2"/>
      <c r="I553" s="5"/>
    </row>
    <row r="554" spans="1:9" ht="17.399999999999999" x14ac:dyDescent="0.25">
      <c r="A554" s="16"/>
      <c r="B554" s="17"/>
      <c r="C554" s="2"/>
      <c r="D554" s="2"/>
      <c r="E554" s="2"/>
      <c r="F554" s="2"/>
      <c r="G554" s="2"/>
      <c r="H554" s="2"/>
      <c r="I554" s="5"/>
    </row>
    <row r="555" spans="1:9" ht="17.399999999999999" x14ac:dyDescent="0.25">
      <c r="A555" s="16"/>
      <c r="B555" s="17"/>
      <c r="C555" s="2"/>
      <c r="D555" s="2"/>
      <c r="E555" s="2"/>
      <c r="F555" s="2"/>
      <c r="G555" s="2"/>
      <c r="H555" s="2"/>
      <c r="I555" s="5"/>
    </row>
    <row r="556" spans="1:9" ht="17.399999999999999" x14ac:dyDescent="0.25">
      <c r="A556" s="16"/>
      <c r="B556" s="17"/>
      <c r="C556" s="2"/>
      <c r="D556" s="2"/>
      <c r="E556" s="2"/>
      <c r="F556" s="2"/>
      <c r="G556" s="2"/>
      <c r="H556" s="2"/>
      <c r="I556" s="5"/>
    </row>
    <row r="557" spans="1:9" ht="17.399999999999999" x14ac:dyDescent="0.25">
      <c r="A557" s="16"/>
      <c r="B557" s="17"/>
      <c r="C557" s="2"/>
      <c r="D557" s="2"/>
      <c r="E557" s="2"/>
      <c r="F557" s="2"/>
      <c r="G557" s="2"/>
      <c r="H557" s="2"/>
      <c r="I557" s="5"/>
    </row>
    <row r="558" spans="1:9" ht="17.399999999999999" x14ac:dyDescent="0.25">
      <c r="A558" s="16"/>
      <c r="B558" s="17"/>
      <c r="C558" s="2"/>
      <c r="D558" s="2"/>
      <c r="E558" s="2"/>
      <c r="F558" s="2"/>
      <c r="G558" s="2"/>
      <c r="H558" s="2"/>
      <c r="I558" s="5"/>
    </row>
    <row r="559" spans="1:9" ht="17.399999999999999" x14ac:dyDescent="0.25">
      <c r="A559" s="16"/>
      <c r="B559" s="17"/>
      <c r="C559" s="2"/>
      <c r="D559" s="2"/>
      <c r="E559" s="2"/>
      <c r="F559" s="2"/>
      <c r="G559" s="2"/>
      <c r="H559" s="2"/>
      <c r="I559" s="5"/>
    </row>
    <row r="560" spans="1:9" ht="17.399999999999999" x14ac:dyDescent="0.25">
      <c r="A560" s="16"/>
      <c r="B560" s="17"/>
      <c r="C560" s="2"/>
      <c r="D560" s="2"/>
      <c r="E560" s="2"/>
      <c r="F560" s="2"/>
      <c r="G560" s="2"/>
      <c r="H560" s="2"/>
      <c r="I560" s="5"/>
    </row>
    <row r="561" spans="1:9" ht="17.399999999999999" x14ac:dyDescent="0.25">
      <c r="A561" s="16"/>
      <c r="B561" s="17"/>
      <c r="C561" s="2"/>
      <c r="D561" s="2"/>
      <c r="E561" s="2"/>
      <c r="F561" s="2"/>
      <c r="G561" s="2"/>
      <c r="H561" s="2"/>
      <c r="I561" s="5"/>
    </row>
    <row r="562" spans="1:9" ht="17.399999999999999" x14ac:dyDescent="0.25">
      <c r="A562" s="16"/>
      <c r="B562" s="17"/>
      <c r="C562" s="2"/>
      <c r="D562" s="2"/>
      <c r="E562" s="2"/>
      <c r="F562" s="2"/>
      <c r="G562" s="2"/>
      <c r="H562" s="2"/>
      <c r="I562" s="5"/>
    </row>
    <row r="563" spans="1:9" ht="17.399999999999999" x14ac:dyDescent="0.25">
      <c r="A563" s="16"/>
      <c r="B563" s="17"/>
      <c r="C563" s="2"/>
      <c r="D563" s="2"/>
      <c r="E563" s="2"/>
      <c r="F563" s="2"/>
      <c r="G563" s="2"/>
      <c r="H563" s="2"/>
      <c r="I563" s="5"/>
    </row>
    <row r="564" spans="1:9" ht="17.399999999999999" x14ac:dyDescent="0.25">
      <c r="A564" s="16"/>
      <c r="B564" s="17"/>
      <c r="C564" s="2"/>
      <c r="D564" s="2"/>
      <c r="E564" s="2"/>
      <c r="F564" s="2"/>
      <c r="G564" s="2"/>
      <c r="H564" s="2"/>
      <c r="I564" s="5"/>
    </row>
    <row r="565" spans="1:9" ht="17.399999999999999" x14ac:dyDescent="0.25">
      <c r="A565" s="16"/>
      <c r="B565" s="17"/>
      <c r="C565" s="2"/>
      <c r="D565" s="2"/>
      <c r="E565" s="2"/>
      <c r="F565" s="2"/>
      <c r="G565" s="2"/>
      <c r="H565" s="2"/>
      <c r="I565" s="5"/>
    </row>
    <row r="566" spans="1:9" ht="17.399999999999999" x14ac:dyDescent="0.25">
      <c r="A566" s="16"/>
      <c r="B566" s="17"/>
      <c r="C566" s="2"/>
      <c r="D566" s="2"/>
      <c r="E566" s="2"/>
      <c r="F566" s="2"/>
      <c r="G566" s="2"/>
      <c r="H566" s="2"/>
      <c r="I566" s="5"/>
    </row>
    <row r="567" spans="1:9" ht="17.399999999999999" x14ac:dyDescent="0.25">
      <c r="A567" s="16"/>
      <c r="B567" s="17"/>
      <c r="C567" s="2"/>
      <c r="D567" s="2"/>
      <c r="E567" s="2"/>
      <c r="F567" s="2"/>
      <c r="G567" s="2"/>
      <c r="H567" s="2"/>
      <c r="I567" s="5"/>
    </row>
    <row r="568" spans="1:9" ht="17.399999999999999" x14ac:dyDescent="0.25">
      <c r="A568" s="16"/>
      <c r="B568" s="17"/>
      <c r="C568" s="2"/>
      <c r="D568" s="2"/>
      <c r="E568" s="2"/>
      <c r="F568" s="2"/>
      <c r="G568" s="2"/>
      <c r="H568" s="2"/>
      <c r="I568" s="5"/>
    </row>
    <row r="569" spans="1:9" ht="17.399999999999999" x14ac:dyDescent="0.25">
      <c r="A569" s="16"/>
      <c r="B569" s="17"/>
      <c r="C569" s="2"/>
      <c r="D569" s="2"/>
      <c r="E569" s="2"/>
      <c r="F569" s="2"/>
      <c r="G569" s="2"/>
      <c r="H569" s="2"/>
      <c r="I569" s="5"/>
    </row>
    <row r="570" spans="1:9" ht="17.399999999999999" x14ac:dyDescent="0.25">
      <c r="A570" s="16"/>
      <c r="B570" s="17"/>
      <c r="C570" s="2"/>
      <c r="D570" s="2"/>
      <c r="E570" s="2"/>
      <c r="F570" s="2"/>
      <c r="G570" s="2"/>
      <c r="H570" s="2"/>
      <c r="I570" s="5"/>
    </row>
    <row r="571" spans="1:9" ht="17.399999999999999" x14ac:dyDescent="0.25">
      <c r="A571" s="16"/>
      <c r="B571" s="17"/>
      <c r="C571" s="2"/>
      <c r="D571" s="2"/>
      <c r="E571" s="2"/>
      <c r="F571" s="2"/>
      <c r="G571" s="2"/>
      <c r="H571" s="2"/>
      <c r="I571" s="5"/>
    </row>
    <row r="572" spans="1:9" ht="17.399999999999999" x14ac:dyDescent="0.25">
      <c r="A572" s="16"/>
      <c r="B572" s="17"/>
      <c r="C572" s="2"/>
      <c r="D572" s="2"/>
      <c r="E572" s="2"/>
      <c r="F572" s="2"/>
      <c r="G572" s="2"/>
      <c r="H572" s="2"/>
      <c r="I572" s="5"/>
    </row>
    <row r="573" spans="1:9" ht="17.399999999999999" x14ac:dyDescent="0.25">
      <c r="A573" s="16"/>
      <c r="B573" s="17"/>
      <c r="C573" s="2"/>
      <c r="D573" s="2"/>
      <c r="E573" s="2"/>
      <c r="F573" s="2"/>
      <c r="G573" s="2"/>
      <c r="H573" s="2"/>
      <c r="I573" s="5"/>
    </row>
    <row r="574" spans="1:9" ht="17.399999999999999" x14ac:dyDescent="0.25">
      <c r="A574" s="16"/>
      <c r="B574" s="17"/>
      <c r="C574" s="2"/>
      <c r="D574" s="2"/>
      <c r="E574" s="2"/>
      <c r="F574" s="2"/>
      <c r="G574" s="2"/>
      <c r="H574" s="2"/>
      <c r="I574" s="5"/>
    </row>
    <row r="575" spans="1:9" ht="17.399999999999999" x14ac:dyDescent="0.25">
      <c r="A575" s="16"/>
      <c r="B575" s="17"/>
      <c r="C575" s="2"/>
      <c r="D575" s="2"/>
      <c r="E575" s="2"/>
      <c r="F575" s="2"/>
      <c r="G575" s="2"/>
      <c r="H575" s="2"/>
      <c r="I575" s="5"/>
    </row>
    <row r="576" spans="1:9" ht="17.399999999999999" x14ac:dyDescent="0.25">
      <c r="A576" s="16"/>
      <c r="B576" s="17"/>
      <c r="C576" s="2"/>
      <c r="D576" s="2"/>
      <c r="E576" s="2"/>
      <c r="F576" s="2"/>
      <c r="G576" s="2"/>
      <c r="H576" s="2"/>
      <c r="I576" s="5"/>
    </row>
    <row r="577" spans="1:9" ht="17.399999999999999" x14ac:dyDescent="0.25">
      <c r="A577" s="16"/>
      <c r="B577" s="17"/>
      <c r="C577" s="2"/>
      <c r="D577" s="2"/>
      <c r="E577" s="2"/>
      <c r="F577" s="2"/>
      <c r="G577" s="2"/>
      <c r="H577" s="2"/>
      <c r="I577" s="5"/>
    </row>
    <row r="578" spans="1:9" ht="17.399999999999999" x14ac:dyDescent="0.25">
      <c r="A578" s="16"/>
      <c r="B578" s="17"/>
      <c r="C578" s="2"/>
      <c r="D578" s="2"/>
      <c r="E578" s="2"/>
      <c r="F578" s="2"/>
      <c r="G578" s="2"/>
      <c r="H578" s="2"/>
      <c r="I578" s="5"/>
    </row>
    <row r="579" spans="1:9" ht="17.399999999999999" x14ac:dyDescent="0.25">
      <c r="A579" s="16"/>
      <c r="B579" s="17"/>
      <c r="C579" s="2"/>
      <c r="D579" s="2"/>
      <c r="E579" s="2"/>
      <c r="F579" s="2"/>
      <c r="G579" s="2"/>
      <c r="H579" s="2"/>
      <c r="I579" s="5"/>
    </row>
    <row r="580" spans="1:9" ht="17.399999999999999" x14ac:dyDescent="0.25">
      <c r="A580" s="16"/>
      <c r="B580" s="17"/>
      <c r="C580" s="2"/>
      <c r="D580" s="2"/>
      <c r="E580" s="2"/>
      <c r="F580" s="2"/>
      <c r="G580" s="2"/>
      <c r="H580" s="2"/>
      <c r="I580" s="5"/>
    </row>
    <row r="581" spans="1:9" ht="17.399999999999999" x14ac:dyDescent="0.25">
      <c r="A581" s="16"/>
      <c r="B581" s="17"/>
      <c r="C581" s="2"/>
      <c r="D581" s="2"/>
      <c r="E581" s="2"/>
      <c r="F581" s="2"/>
      <c r="G581" s="2"/>
      <c r="H581" s="2"/>
      <c r="I581" s="5"/>
    </row>
    <row r="582" spans="1:9" ht="17.399999999999999" x14ac:dyDescent="0.25">
      <c r="A582" s="16"/>
      <c r="B582" s="17"/>
      <c r="C582" s="2"/>
      <c r="D582" s="2"/>
      <c r="E582" s="2"/>
      <c r="F582" s="2"/>
      <c r="G582" s="2"/>
      <c r="H582" s="2"/>
      <c r="I582" s="5"/>
    </row>
    <row r="583" spans="1:9" ht="17.399999999999999" x14ac:dyDescent="0.25">
      <c r="A583" s="16"/>
      <c r="B583" s="17"/>
      <c r="C583" s="2"/>
      <c r="D583" s="2"/>
      <c r="E583" s="2"/>
      <c r="F583" s="2"/>
      <c r="G583" s="2"/>
      <c r="H583" s="2"/>
      <c r="I583" s="5"/>
    </row>
    <row r="584" spans="1:9" ht="17.399999999999999" x14ac:dyDescent="0.25">
      <c r="A584" s="16"/>
      <c r="B584" s="17"/>
      <c r="C584" s="2"/>
      <c r="D584" s="2"/>
      <c r="E584" s="2"/>
      <c r="F584" s="2"/>
      <c r="G584" s="2"/>
      <c r="H584" s="2"/>
      <c r="I584" s="5"/>
    </row>
    <row r="585" spans="1:9" ht="17.399999999999999" x14ac:dyDescent="0.25">
      <c r="A585" s="16"/>
      <c r="B585" s="17"/>
      <c r="C585" s="2"/>
      <c r="D585" s="2"/>
      <c r="E585" s="2"/>
      <c r="F585" s="2"/>
      <c r="G585" s="2"/>
      <c r="H585" s="2"/>
      <c r="I585" s="5"/>
    </row>
    <row r="586" spans="1:9" ht="17.399999999999999" x14ac:dyDescent="0.25">
      <c r="A586" s="16"/>
      <c r="B586" s="17"/>
      <c r="C586" s="2"/>
      <c r="D586" s="2"/>
      <c r="E586" s="2"/>
      <c r="F586" s="2"/>
      <c r="G586" s="2"/>
      <c r="H586" s="2"/>
      <c r="I586" s="5"/>
    </row>
    <row r="587" spans="1:9" ht="17.399999999999999" x14ac:dyDescent="0.25">
      <c r="A587" s="16"/>
      <c r="B587" s="17"/>
      <c r="C587" s="2"/>
      <c r="D587" s="2"/>
      <c r="E587" s="2"/>
      <c r="F587" s="2"/>
      <c r="G587" s="2"/>
      <c r="H587" s="2"/>
      <c r="I587" s="5"/>
    </row>
    <row r="588" spans="1:9" ht="17.399999999999999" x14ac:dyDescent="0.25">
      <c r="A588" s="16"/>
      <c r="B588" s="17"/>
      <c r="C588" s="2"/>
      <c r="D588" s="2"/>
      <c r="E588" s="2"/>
      <c r="F588" s="2"/>
      <c r="G588" s="2"/>
      <c r="H588" s="2"/>
      <c r="I588" s="5"/>
    </row>
    <row r="589" spans="1:9" ht="17.399999999999999" x14ac:dyDescent="0.25">
      <c r="A589" s="16"/>
      <c r="B589" s="17"/>
      <c r="C589" s="2"/>
      <c r="D589" s="2"/>
      <c r="E589" s="2"/>
      <c r="F589" s="2"/>
      <c r="G589" s="2"/>
      <c r="H589" s="2"/>
      <c r="I589" s="5"/>
    </row>
    <row r="590" spans="1:9" ht="17.399999999999999" x14ac:dyDescent="0.25">
      <c r="A590" s="16"/>
      <c r="B590" s="17"/>
      <c r="C590" s="2"/>
      <c r="D590" s="2"/>
      <c r="E590" s="2"/>
      <c r="F590" s="2"/>
      <c r="G590" s="2"/>
      <c r="H590" s="2"/>
      <c r="I590" s="5"/>
    </row>
    <row r="591" spans="1:9" ht="17.399999999999999" x14ac:dyDescent="0.25">
      <c r="A591" s="16"/>
      <c r="B591" s="17"/>
      <c r="C591" s="2"/>
      <c r="D591" s="2"/>
      <c r="E591" s="2"/>
      <c r="F591" s="2"/>
      <c r="G591" s="2"/>
      <c r="H591" s="2"/>
      <c r="I591" s="5"/>
    </row>
    <row r="592" spans="1:9" ht="17.399999999999999" x14ac:dyDescent="0.25">
      <c r="A592" s="16"/>
      <c r="B592" s="17"/>
      <c r="C592" s="2"/>
      <c r="D592" s="2"/>
      <c r="E592" s="2"/>
      <c r="F592" s="2"/>
      <c r="G592" s="2"/>
      <c r="H592" s="2"/>
      <c r="I592" s="5"/>
    </row>
    <row r="593" spans="1:9" ht="17.399999999999999" x14ac:dyDescent="0.25">
      <c r="A593" s="16"/>
      <c r="B593" s="17"/>
      <c r="C593" s="2"/>
      <c r="D593" s="2"/>
      <c r="E593" s="2"/>
      <c r="F593" s="2"/>
      <c r="G593" s="2"/>
      <c r="H593" s="2"/>
      <c r="I593" s="5"/>
    </row>
    <row r="594" spans="1:9" ht="17.399999999999999" x14ac:dyDescent="0.25">
      <c r="A594" s="16"/>
      <c r="B594" s="17"/>
      <c r="C594" s="2"/>
      <c r="D594" s="2"/>
      <c r="E594" s="2"/>
      <c r="F594" s="2"/>
      <c r="G594" s="2"/>
      <c r="H594" s="2"/>
      <c r="I594" s="5"/>
    </row>
    <row r="595" spans="1:9" ht="17.399999999999999" x14ac:dyDescent="0.25">
      <c r="A595" s="16"/>
      <c r="B595" s="17"/>
      <c r="C595" s="2"/>
      <c r="D595" s="2"/>
      <c r="E595" s="2"/>
      <c r="F595" s="2"/>
      <c r="G595" s="2"/>
      <c r="H595" s="2"/>
      <c r="I595" s="5"/>
    </row>
    <row r="596" spans="1:9" ht="17.399999999999999" x14ac:dyDescent="0.25">
      <c r="A596" s="16"/>
      <c r="B596" s="17"/>
      <c r="C596" s="2"/>
      <c r="D596" s="2"/>
      <c r="E596" s="2"/>
      <c r="F596" s="2"/>
      <c r="G596" s="2"/>
      <c r="H596" s="2"/>
      <c r="I596" s="5"/>
    </row>
    <row r="597" spans="1:9" ht="17.399999999999999" x14ac:dyDescent="0.25">
      <c r="A597" s="16"/>
      <c r="B597" s="17"/>
      <c r="C597" s="2"/>
      <c r="D597" s="2"/>
      <c r="E597" s="2"/>
      <c r="F597" s="2"/>
      <c r="G597" s="2"/>
      <c r="H597" s="2"/>
      <c r="I597" s="5"/>
    </row>
    <row r="598" spans="1:9" ht="17.399999999999999" x14ac:dyDescent="0.25">
      <c r="A598" s="16"/>
      <c r="B598" s="17"/>
      <c r="C598" s="2"/>
      <c r="D598" s="2"/>
      <c r="E598" s="2"/>
      <c r="F598" s="2"/>
      <c r="G598" s="2"/>
      <c r="H598" s="2"/>
      <c r="I598" s="5"/>
    </row>
    <row r="599" spans="1:9" ht="17.399999999999999" x14ac:dyDescent="0.25">
      <c r="A599" s="16"/>
      <c r="B599" s="17"/>
      <c r="C599" s="2"/>
      <c r="D599" s="2"/>
      <c r="E599" s="2"/>
      <c r="F599" s="2"/>
      <c r="G599" s="2"/>
      <c r="H599" s="2"/>
      <c r="I599" s="5"/>
    </row>
    <row r="600" spans="1:9" ht="17.399999999999999" x14ac:dyDescent="0.25">
      <c r="A600" s="16"/>
      <c r="B600" s="17"/>
      <c r="C600" s="2"/>
      <c r="D600" s="2"/>
      <c r="E600" s="2"/>
      <c r="F600" s="2"/>
      <c r="G600" s="2"/>
      <c r="H600" s="2"/>
      <c r="I600" s="5"/>
    </row>
    <row r="601" spans="1:9" ht="17.399999999999999" x14ac:dyDescent="0.25">
      <c r="A601" s="16"/>
      <c r="B601" s="17"/>
      <c r="C601" s="2"/>
      <c r="D601" s="2"/>
      <c r="E601" s="2"/>
      <c r="F601" s="2"/>
      <c r="G601" s="2"/>
      <c r="H601" s="2"/>
      <c r="I601" s="5"/>
    </row>
    <row r="602" spans="1:9" ht="17.399999999999999" x14ac:dyDescent="0.25">
      <c r="A602" s="16"/>
      <c r="B602" s="17"/>
      <c r="C602" s="2"/>
      <c r="D602" s="2"/>
      <c r="E602" s="2"/>
      <c r="F602" s="2"/>
      <c r="G602" s="2"/>
      <c r="H602" s="2"/>
      <c r="I602" s="5"/>
    </row>
    <row r="603" spans="1:9" ht="17.399999999999999" x14ac:dyDescent="0.25">
      <c r="A603" s="16"/>
      <c r="B603" s="17"/>
      <c r="C603" s="2"/>
      <c r="D603" s="2"/>
      <c r="E603" s="2"/>
      <c r="F603" s="2"/>
      <c r="G603" s="2"/>
      <c r="H603" s="2"/>
      <c r="I603" s="5"/>
    </row>
    <row r="604" spans="1:9" ht="17.399999999999999" x14ac:dyDescent="0.25">
      <c r="A604" s="16"/>
      <c r="B604" s="17"/>
      <c r="C604" s="2"/>
      <c r="D604" s="2"/>
      <c r="E604" s="2"/>
      <c r="F604" s="2"/>
      <c r="G604" s="2"/>
      <c r="H604" s="2"/>
      <c r="I604" s="5"/>
    </row>
    <row r="605" spans="1:9" ht="17.399999999999999" x14ac:dyDescent="0.25">
      <c r="A605" s="16"/>
      <c r="B605" s="17"/>
      <c r="C605" s="2"/>
      <c r="D605" s="2"/>
      <c r="E605" s="2"/>
      <c r="F605" s="2"/>
      <c r="G605" s="2"/>
      <c r="H605" s="2"/>
      <c r="I605" s="5"/>
    </row>
    <row r="606" spans="1:9" ht="17.399999999999999" x14ac:dyDescent="0.25">
      <c r="A606" s="16"/>
      <c r="B606" s="17"/>
      <c r="C606" s="2"/>
      <c r="D606" s="2"/>
      <c r="E606" s="2"/>
      <c r="F606" s="2"/>
      <c r="G606" s="2"/>
      <c r="H606" s="2"/>
      <c r="I606" s="5"/>
    </row>
    <row r="607" spans="1:9" ht="17.399999999999999" x14ac:dyDescent="0.25">
      <c r="A607" s="16"/>
      <c r="B607" s="17"/>
      <c r="C607" s="2"/>
      <c r="D607" s="2"/>
      <c r="E607" s="2"/>
      <c r="F607" s="2"/>
      <c r="G607" s="2"/>
      <c r="H607" s="2"/>
      <c r="I607" s="5"/>
    </row>
    <row r="608" spans="1:9" ht="17.399999999999999" x14ac:dyDescent="0.25">
      <c r="A608" s="16"/>
      <c r="B608" s="17"/>
      <c r="C608" s="2"/>
      <c r="D608" s="2"/>
      <c r="E608" s="2"/>
      <c r="F608" s="2"/>
      <c r="G608" s="2"/>
      <c r="H608" s="2"/>
      <c r="I608" s="5"/>
    </row>
    <row r="609" spans="1:9" ht="17.399999999999999" x14ac:dyDescent="0.25">
      <c r="A609" s="16"/>
      <c r="B609" s="17"/>
      <c r="C609" s="2"/>
      <c r="D609" s="2"/>
      <c r="E609" s="2"/>
      <c r="F609" s="2"/>
      <c r="G609" s="2"/>
      <c r="H609" s="2"/>
      <c r="I609" s="5"/>
    </row>
    <row r="610" spans="1:9" ht="17.399999999999999" x14ac:dyDescent="0.25">
      <c r="A610" s="16"/>
      <c r="B610" s="17"/>
      <c r="C610" s="2"/>
      <c r="D610" s="2"/>
      <c r="E610" s="2"/>
      <c r="F610" s="2"/>
      <c r="G610" s="2"/>
      <c r="H610" s="2"/>
      <c r="I610" s="5"/>
    </row>
    <row r="611" spans="1:9" ht="17.399999999999999" x14ac:dyDescent="0.25">
      <c r="A611" s="16"/>
      <c r="B611" s="17"/>
      <c r="C611" s="2"/>
      <c r="D611" s="2"/>
      <c r="E611" s="2"/>
      <c r="F611" s="2"/>
      <c r="G611" s="2"/>
      <c r="H611" s="2"/>
      <c r="I611" s="5"/>
    </row>
    <row r="612" spans="1:9" ht="17.399999999999999" x14ac:dyDescent="0.25">
      <c r="A612" s="16"/>
      <c r="B612" s="17"/>
      <c r="C612" s="2"/>
      <c r="D612" s="2"/>
      <c r="E612" s="2"/>
      <c r="F612" s="2"/>
      <c r="G612" s="2"/>
      <c r="H612" s="2"/>
      <c r="I612" s="5"/>
    </row>
    <row r="613" spans="1:9" ht="17.399999999999999" x14ac:dyDescent="0.25">
      <c r="A613" s="16"/>
      <c r="B613" s="17"/>
      <c r="C613" s="2"/>
      <c r="D613" s="2"/>
      <c r="E613" s="2"/>
      <c r="F613" s="2"/>
      <c r="G613" s="2"/>
      <c r="H613" s="2"/>
      <c r="I613" s="5"/>
    </row>
    <row r="614" spans="1:9" ht="17.399999999999999" x14ac:dyDescent="0.25">
      <c r="A614" s="16"/>
      <c r="B614" s="17"/>
      <c r="C614" s="2"/>
      <c r="D614" s="2"/>
      <c r="E614" s="2"/>
      <c r="F614" s="2"/>
      <c r="G614" s="2"/>
      <c r="H614" s="2"/>
      <c r="I614" s="5"/>
    </row>
    <row r="615" spans="1:9" ht="17.399999999999999" x14ac:dyDescent="0.25">
      <c r="A615" s="16"/>
      <c r="B615" s="17"/>
      <c r="C615" s="2"/>
      <c r="D615" s="2"/>
      <c r="E615" s="2"/>
      <c r="F615" s="2"/>
      <c r="G615" s="2"/>
      <c r="H615" s="2"/>
      <c r="I615" s="5"/>
    </row>
    <row r="616" spans="1:9" ht="17.399999999999999" x14ac:dyDescent="0.25">
      <c r="A616" s="16"/>
      <c r="B616" s="17"/>
      <c r="C616" s="2"/>
      <c r="D616" s="2"/>
      <c r="E616" s="2"/>
      <c r="F616" s="2"/>
      <c r="G616" s="2"/>
      <c r="H616" s="2"/>
      <c r="I616" s="5"/>
    </row>
    <row r="617" spans="1:9" ht="17.399999999999999" x14ac:dyDescent="0.25">
      <c r="A617" s="16"/>
      <c r="B617" s="17"/>
      <c r="C617" s="2"/>
      <c r="D617" s="2"/>
      <c r="E617" s="2"/>
      <c r="F617" s="2"/>
      <c r="G617" s="2"/>
      <c r="H617" s="2"/>
      <c r="I617" s="5"/>
    </row>
    <row r="618" spans="1:9" ht="17.399999999999999" x14ac:dyDescent="0.25">
      <c r="A618" s="16"/>
      <c r="B618" s="17"/>
      <c r="C618" s="2"/>
      <c r="D618" s="2"/>
      <c r="E618" s="2"/>
      <c r="F618" s="2"/>
      <c r="G618" s="2"/>
      <c r="H618" s="2"/>
      <c r="I618" s="5"/>
    </row>
    <row r="619" spans="1:9" ht="17.399999999999999" x14ac:dyDescent="0.25">
      <c r="A619" s="16"/>
      <c r="B619" s="17"/>
      <c r="C619" s="2"/>
      <c r="D619" s="2"/>
      <c r="E619" s="2"/>
      <c r="F619" s="2"/>
      <c r="G619" s="2"/>
      <c r="H619" s="2"/>
      <c r="I619" s="5"/>
    </row>
    <row r="620" spans="1:9" ht="17.399999999999999" x14ac:dyDescent="0.25">
      <c r="A620" s="16"/>
      <c r="B620" s="17"/>
      <c r="C620" s="2"/>
      <c r="D620" s="2"/>
      <c r="E620" s="2"/>
      <c r="F620" s="2"/>
      <c r="G620" s="2"/>
      <c r="H620" s="2"/>
      <c r="I620" s="5"/>
    </row>
    <row r="621" spans="1:9" ht="17.399999999999999" x14ac:dyDescent="0.25">
      <c r="A621" s="16"/>
      <c r="B621" s="17"/>
      <c r="C621" s="2"/>
      <c r="D621" s="2"/>
      <c r="E621" s="2"/>
      <c r="F621" s="2"/>
      <c r="G621" s="2"/>
      <c r="H621" s="2"/>
      <c r="I621" s="5"/>
    </row>
    <row r="622" spans="1:9" ht="17.399999999999999" x14ac:dyDescent="0.25">
      <c r="A622" s="16"/>
      <c r="B622" s="17"/>
      <c r="C622" s="2"/>
      <c r="D622" s="2"/>
      <c r="E622" s="2"/>
      <c r="F622" s="2"/>
      <c r="G622" s="2"/>
      <c r="H622" s="2"/>
      <c r="I622" s="5"/>
    </row>
    <row r="623" spans="1:9" ht="17.399999999999999" x14ac:dyDescent="0.25">
      <c r="A623" s="16"/>
      <c r="B623" s="17"/>
      <c r="C623" s="2"/>
      <c r="D623" s="2"/>
      <c r="E623" s="2"/>
      <c r="F623" s="2"/>
      <c r="G623" s="2"/>
      <c r="H623" s="2"/>
      <c r="I623" s="5"/>
    </row>
    <row r="624" spans="1:9" ht="17.399999999999999" x14ac:dyDescent="0.25">
      <c r="A624" s="16"/>
      <c r="B624" s="17"/>
      <c r="C624" s="2"/>
      <c r="D624" s="2"/>
      <c r="E624" s="2"/>
      <c r="F624" s="2"/>
      <c r="G624" s="2"/>
      <c r="H624" s="2"/>
      <c r="I624" s="5"/>
    </row>
    <row r="625" spans="1:9" ht="17.399999999999999" x14ac:dyDescent="0.25">
      <c r="A625" s="16"/>
      <c r="B625" s="17"/>
      <c r="C625" s="2"/>
      <c r="D625" s="2"/>
      <c r="E625" s="2"/>
      <c r="F625" s="2"/>
      <c r="G625" s="2"/>
      <c r="H625" s="2"/>
      <c r="I625" s="5"/>
    </row>
    <row r="626" spans="1:9" ht="17.399999999999999" x14ac:dyDescent="0.25">
      <c r="A626" s="16"/>
      <c r="B626" s="17"/>
      <c r="C626" s="2"/>
      <c r="D626" s="2"/>
      <c r="E626" s="2"/>
      <c r="F626" s="2"/>
      <c r="G626" s="2"/>
      <c r="H626" s="2"/>
      <c r="I626" s="5"/>
    </row>
    <row r="627" spans="1:9" ht="17.399999999999999" x14ac:dyDescent="0.25">
      <c r="A627" s="16"/>
      <c r="B627" s="17"/>
      <c r="C627" s="2"/>
      <c r="D627" s="2"/>
      <c r="E627" s="2"/>
      <c r="F627" s="2"/>
      <c r="G627" s="2"/>
      <c r="H627" s="2"/>
      <c r="I627" s="5"/>
    </row>
    <row r="628" spans="1:9" ht="17.399999999999999" x14ac:dyDescent="0.25">
      <c r="A628" s="16"/>
      <c r="B628" s="17"/>
      <c r="C628" s="2"/>
      <c r="D628" s="2"/>
      <c r="E628" s="2"/>
      <c r="F628" s="2"/>
      <c r="G628" s="2"/>
      <c r="H628" s="2"/>
      <c r="I628" s="5"/>
    </row>
    <row r="629" spans="1:9" ht="17.399999999999999" x14ac:dyDescent="0.25">
      <c r="A629" s="16"/>
      <c r="B629" s="17"/>
      <c r="C629" s="2"/>
      <c r="D629" s="2"/>
      <c r="E629" s="2"/>
      <c r="F629" s="2"/>
      <c r="G629" s="2"/>
      <c r="H629" s="2"/>
      <c r="I629" s="5"/>
    </row>
    <row r="630" spans="1:9" ht="17.399999999999999" x14ac:dyDescent="0.25">
      <c r="A630" s="16"/>
      <c r="B630" s="17"/>
      <c r="C630" s="2"/>
      <c r="D630" s="2"/>
      <c r="E630" s="2"/>
      <c r="F630" s="2"/>
      <c r="G630" s="2"/>
      <c r="H630" s="2"/>
      <c r="I630" s="5"/>
    </row>
    <row r="631" spans="1:9" ht="17.399999999999999" x14ac:dyDescent="0.25">
      <c r="A631" s="16"/>
      <c r="B631" s="17"/>
      <c r="C631" s="2"/>
      <c r="D631" s="2"/>
      <c r="E631" s="2"/>
      <c r="F631" s="2"/>
      <c r="G631" s="2"/>
      <c r="H631" s="2"/>
      <c r="I631" s="5"/>
    </row>
    <row r="632" spans="1:9" ht="17.399999999999999" x14ac:dyDescent="0.25">
      <c r="A632" s="16"/>
      <c r="B632" s="17"/>
      <c r="C632" s="2"/>
      <c r="D632" s="2"/>
      <c r="E632" s="2"/>
      <c r="F632" s="2"/>
      <c r="G632" s="2"/>
      <c r="H632" s="2"/>
      <c r="I632" s="5"/>
    </row>
    <row r="633" spans="1:9" ht="17.399999999999999" x14ac:dyDescent="0.25">
      <c r="A633" s="16"/>
      <c r="B633" s="17"/>
      <c r="C633" s="2"/>
      <c r="D633" s="2"/>
      <c r="E633" s="2"/>
      <c r="F633" s="2"/>
      <c r="G633" s="2"/>
      <c r="H633" s="2"/>
      <c r="I633" s="5"/>
    </row>
    <row r="634" spans="1:9" ht="17.399999999999999" x14ac:dyDescent="0.25">
      <c r="A634" s="16"/>
      <c r="B634" s="17"/>
      <c r="C634" s="2"/>
      <c r="D634" s="2"/>
      <c r="E634" s="2"/>
      <c r="F634" s="2"/>
      <c r="G634" s="2"/>
      <c r="H634" s="2"/>
      <c r="I634" s="5"/>
    </row>
    <row r="635" spans="1:9" ht="17.399999999999999" x14ac:dyDescent="0.25">
      <c r="A635" s="16"/>
      <c r="B635" s="17"/>
      <c r="C635" s="2"/>
      <c r="D635" s="2"/>
      <c r="E635" s="2"/>
      <c r="F635" s="2"/>
      <c r="G635" s="2"/>
      <c r="H635" s="2"/>
      <c r="I635" s="5"/>
    </row>
    <row r="636" spans="1:9" ht="17.399999999999999" x14ac:dyDescent="0.25">
      <c r="A636" s="16"/>
      <c r="B636" s="17"/>
      <c r="C636" s="2"/>
      <c r="D636" s="2"/>
      <c r="E636" s="2"/>
      <c r="F636" s="2"/>
      <c r="G636" s="2"/>
      <c r="H636" s="2"/>
      <c r="I636" s="5"/>
    </row>
    <row r="637" spans="1:9" ht="17.399999999999999" x14ac:dyDescent="0.25">
      <c r="A637" s="16"/>
      <c r="B637" s="17"/>
      <c r="C637" s="2"/>
      <c r="D637" s="2"/>
      <c r="E637" s="2"/>
      <c r="F637" s="2"/>
      <c r="G637" s="2"/>
      <c r="H637" s="2"/>
      <c r="I637" s="5"/>
    </row>
    <row r="638" spans="1:9" ht="17.399999999999999" x14ac:dyDescent="0.25">
      <c r="A638" s="16"/>
      <c r="B638" s="17"/>
      <c r="C638" s="2"/>
      <c r="D638" s="2"/>
      <c r="E638" s="2"/>
      <c r="F638" s="2"/>
      <c r="G638" s="2"/>
      <c r="H638" s="2"/>
      <c r="I638" s="5"/>
    </row>
    <row r="639" spans="1:9" ht="17.399999999999999" x14ac:dyDescent="0.25">
      <c r="A639" s="16"/>
      <c r="B639" s="17"/>
      <c r="C639" s="2"/>
      <c r="D639" s="2"/>
      <c r="E639" s="2"/>
      <c r="F639" s="2"/>
      <c r="G639" s="2"/>
      <c r="H639" s="2"/>
      <c r="I639" s="5"/>
    </row>
    <row r="640" spans="1:9" ht="17.399999999999999" x14ac:dyDescent="0.25">
      <c r="A640" s="16"/>
      <c r="B640" s="17"/>
      <c r="C640" s="2"/>
      <c r="D640" s="2"/>
      <c r="E640" s="2"/>
      <c r="F640" s="2"/>
      <c r="G640" s="2"/>
      <c r="H640" s="2"/>
      <c r="I640" s="5"/>
    </row>
    <row r="641" spans="1:9" ht="17.399999999999999" x14ac:dyDescent="0.25">
      <c r="A641" s="16"/>
      <c r="B641" s="17"/>
      <c r="C641" s="2"/>
      <c r="D641" s="2"/>
      <c r="E641" s="2"/>
      <c r="F641" s="2"/>
      <c r="G641" s="2"/>
      <c r="H641" s="2"/>
      <c r="I641" s="5"/>
    </row>
    <row r="642" spans="1:9" ht="17.399999999999999" x14ac:dyDescent="0.25">
      <c r="A642" s="16"/>
      <c r="B642" s="17"/>
      <c r="C642" s="2"/>
      <c r="D642" s="2"/>
      <c r="E642" s="2"/>
      <c r="F642" s="2"/>
      <c r="G642" s="2"/>
      <c r="H642" s="2"/>
      <c r="I642" s="5"/>
    </row>
    <row r="643" spans="1:9" ht="17.399999999999999" x14ac:dyDescent="0.25">
      <c r="A643" s="16"/>
      <c r="B643" s="17"/>
      <c r="C643" s="2"/>
      <c r="D643" s="2"/>
      <c r="E643" s="2"/>
      <c r="F643" s="2"/>
      <c r="G643" s="2"/>
      <c r="H643" s="2"/>
      <c r="I643" s="5"/>
    </row>
    <row r="644" spans="1:9" ht="17.399999999999999" x14ac:dyDescent="0.25">
      <c r="A644" s="16"/>
      <c r="B644" s="17"/>
      <c r="C644" s="2"/>
      <c r="D644" s="2"/>
      <c r="E644" s="2"/>
      <c r="F644" s="2"/>
      <c r="G644" s="2"/>
      <c r="H644" s="2"/>
      <c r="I644" s="5"/>
    </row>
    <row r="645" spans="1:9" ht="17.399999999999999" x14ac:dyDescent="0.25">
      <c r="A645" s="16"/>
      <c r="B645" s="17"/>
      <c r="C645" s="2"/>
      <c r="D645" s="2"/>
      <c r="E645" s="2"/>
      <c r="F645" s="2"/>
      <c r="G645" s="2"/>
      <c r="H645" s="2"/>
      <c r="I645" s="5"/>
    </row>
    <row r="646" spans="1:9" ht="17.399999999999999" x14ac:dyDescent="0.25">
      <c r="A646" s="16"/>
      <c r="B646" s="17"/>
      <c r="C646" s="2"/>
      <c r="D646" s="2"/>
      <c r="E646" s="2"/>
      <c r="F646" s="2"/>
      <c r="G646" s="2"/>
      <c r="H646" s="2"/>
      <c r="I646" s="5"/>
    </row>
    <row r="647" spans="1:9" ht="17.399999999999999" x14ac:dyDescent="0.25">
      <c r="A647" s="16"/>
      <c r="B647" s="17"/>
      <c r="C647" s="2"/>
      <c r="D647" s="2"/>
      <c r="E647" s="2"/>
      <c r="F647" s="2"/>
      <c r="G647" s="2"/>
      <c r="H647" s="2"/>
      <c r="I647" s="5"/>
    </row>
    <row r="648" spans="1:9" ht="17.399999999999999" x14ac:dyDescent="0.25">
      <c r="A648" s="16"/>
      <c r="B648" s="17"/>
      <c r="C648" s="2"/>
      <c r="D648" s="2"/>
      <c r="E648" s="2"/>
      <c r="F648" s="2"/>
      <c r="G648" s="2"/>
      <c r="H648" s="2"/>
      <c r="I648" s="5"/>
    </row>
    <row r="649" spans="1:9" ht="17.399999999999999" x14ac:dyDescent="0.25">
      <c r="A649" s="16"/>
      <c r="B649" s="17"/>
      <c r="C649" s="2"/>
      <c r="D649" s="2"/>
      <c r="E649" s="2"/>
      <c r="F649" s="2"/>
      <c r="G649" s="2"/>
      <c r="H649" s="2"/>
      <c r="I649" s="5"/>
    </row>
    <row r="650" spans="1:9" ht="17.399999999999999" x14ac:dyDescent="0.25">
      <c r="A650" s="16"/>
      <c r="B650" s="17"/>
      <c r="C650" s="2"/>
      <c r="D650" s="2"/>
      <c r="E650" s="2"/>
      <c r="F650" s="2"/>
      <c r="G650" s="2"/>
      <c r="H650" s="2"/>
      <c r="I650" s="5"/>
    </row>
    <row r="651" spans="1:9" ht="17.399999999999999" x14ac:dyDescent="0.25">
      <c r="A651" s="16"/>
      <c r="B651" s="17"/>
      <c r="C651" s="2"/>
      <c r="D651" s="2"/>
      <c r="E651" s="2"/>
      <c r="F651" s="2"/>
      <c r="G651" s="2"/>
      <c r="H651" s="2"/>
      <c r="I651" s="5"/>
    </row>
    <row r="652" spans="1:9" ht="17.399999999999999" x14ac:dyDescent="0.25">
      <c r="A652" s="16"/>
      <c r="B652" s="17"/>
      <c r="C652" s="2"/>
      <c r="D652" s="2"/>
      <c r="E652" s="2"/>
      <c r="F652" s="2"/>
      <c r="G652" s="2"/>
      <c r="H652" s="2"/>
      <c r="I652" s="5"/>
    </row>
    <row r="653" spans="1:9" ht="17.399999999999999" x14ac:dyDescent="0.25">
      <c r="A653" s="16"/>
      <c r="B653" s="17"/>
      <c r="C653" s="2"/>
      <c r="D653" s="2"/>
      <c r="E653" s="2"/>
      <c r="F653" s="2"/>
      <c r="G653" s="2"/>
      <c r="H653" s="2"/>
      <c r="I653" s="5"/>
    </row>
    <row r="654" spans="1:9" ht="17.399999999999999" x14ac:dyDescent="0.25">
      <c r="A654" s="16"/>
      <c r="B654" s="17"/>
      <c r="C654" s="2"/>
      <c r="D654" s="2"/>
      <c r="E654" s="2"/>
      <c r="F654" s="2"/>
      <c r="G654" s="2"/>
      <c r="H654" s="2"/>
      <c r="I654" s="5"/>
    </row>
    <row r="655" spans="1:9" ht="17.399999999999999" x14ac:dyDescent="0.25">
      <c r="A655" s="16"/>
      <c r="B655" s="17"/>
      <c r="C655" s="2"/>
      <c r="D655" s="2"/>
      <c r="E655" s="2"/>
      <c r="F655" s="2"/>
      <c r="G655" s="2"/>
      <c r="H655" s="2"/>
      <c r="I655" s="5"/>
    </row>
    <row r="656" spans="1:9" ht="17.399999999999999" x14ac:dyDescent="0.25">
      <c r="A656" s="16"/>
      <c r="B656" s="17"/>
      <c r="C656" s="2"/>
      <c r="D656" s="2"/>
      <c r="E656" s="2"/>
      <c r="F656" s="2"/>
      <c r="G656" s="2"/>
      <c r="H656" s="2"/>
      <c r="I656" s="5"/>
    </row>
    <row r="657" spans="1:9" ht="17.399999999999999" x14ac:dyDescent="0.25">
      <c r="A657" s="16"/>
      <c r="B657" s="17"/>
      <c r="C657" s="2"/>
      <c r="D657" s="2"/>
      <c r="E657" s="2"/>
      <c r="F657" s="2"/>
      <c r="G657" s="2"/>
      <c r="H657" s="2"/>
      <c r="I657" s="5"/>
    </row>
    <row r="658" spans="1:9" ht="17.399999999999999" x14ac:dyDescent="0.25">
      <c r="A658" s="16"/>
      <c r="B658" s="17"/>
      <c r="C658" s="2"/>
      <c r="D658" s="2"/>
      <c r="E658" s="2"/>
      <c r="F658" s="2"/>
      <c r="G658" s="2"/>
      <c r="H658" s="2"/>
      <c r="I658" s="5"/>
    </row>
    <row r="659" spans="1:9" ht="17.399999999999999" x14ac:dyDescent="0.25">
      <c r="A659" s="16"/>
      <c r="B659" s="17"/>
      <c r="C659" s="2"/>
      <c r="D659" s="2"/>
      <c r="E659" s="2"/>
      <c r="F659" s="2"/>
      <c r="G659" s="2"/>
      <c r="H659" s="2"/>
      <c r="I659" s="5"/>
    </row>
    <row r="660" spans="1:9" ht="17.399999999999999" x14ac:dyDescent="0.25">
      <c r="A660" s="16"/>
      <c r="B660" s="17"/>
      <c r="C660" s="2"/>
      <c r="D660" s="2"/>
      <c r="E660" s="2"/>
      <c r="F660" s="2"/>
      <c r="G660" s="2"/>
      <c r="H660" s="2"/>
      <c r="I660" s="5"/>
    </row>
    <row r="661" spans="1:9" ht="17.399999999999999" x14ac:dyDescent="0.25">
      <c r="A661" s="16"/>
      <c r="B661" s="17"/>
      <c r="C661" s="2"/>
      <c r="D661" s="2"/>
      <c r="E661" s="2"/>
      <c r="F661" s="2"/>
      <c r="G661" s="2"/>
      <c r="H661" s="2"/>
      <c r="I661" s="5"/>
    </row>
    <row r="662" spans="1:9" ht="17.399999999999999" x14ac:dyDescent="0.25">
      <c r="A662" s="16"/>
      <c r="B662" s="17"/>
      <c r="C662" s="2"/>
      <c r="D662" s="2"/>
      <c r="E662" s="2"/>
      <c r="F662" s="2"/>
      <c r="G662" s="2"/>
      <c r="H662" s="2"/>
      <c r="I662" s="5"/>
    </row>
    <row r="663" spans="1:9" ht="17.399999999999999" x14ac:dyDescent="0.25">
      <c r="A663" s="16"/>
      <c r="B663" s="17"/>
      <c r="C663" s="2"/>
      <c r="D663" s="2"/>
      <c r="E663" s="2"/>
      <c r="F663" s="2"/>
      <c r="G663" s="2"/>
      <c r="H663" s="2"/>
      <c r="I663" s="5"/>
    </row>
    <row r="664" spans="1:9" ht="17.399999999999999" x14ac:dyDescent="0.25">
      <c r="A664" s="16"/>
      <c r="B664" s="17"/>
      <c r="C664" s="2"/>
      <c r="D664" s="2"/>
      <c r="E664" s="2"/>
      <c r="F664" s="2"/>
      <c r="G664" s="2"/>
      <c r="H664" s="2"/>
      <c r="I664" s="5"/>
    </row>
    <row r="665" spans="1:9" ht="17.399999999999999" x14ac:dyDescent="0.25">
      <c r="A665" s="16"/>
      <c r="B665" s="17"/>
      <c r="C665" s="2"/>
      <c r="D665" s="2"/>
      <c r="E665" s="2"/>
      <c r="F665" s="2"/>
      <c r="G665" s="2"/>
      <c r="H665" s="2"/>
      <c r="I665" s="5"/>
    </row>
    <row r="666" spans="1:9" ht="17.399999999999999" x14ac:dyDescent="0.25">
      <c r="A666" s="16"/>
      <c r="B666" s="17"/>
      <c r="C666" s="2"/>
      <c r="D666" s="2"/>
      <c r="E666" s="2"/>
      <c r="F666" s="2"/>
      <c r="G666" s="2"/>
      <c r="H666" s="2"/>
      <c r="I666" s="5"/>
    </row>
    <row r="667" spans="1:9" ht="17.399999999999999" x14ac:dyDescent="0.25">
      <c r="A667" s="16"/>
      <c r="B667" s="17"/>
      <c r="C667" s="2"/>
      <c r="D667" s="2"/>
      <c r="E667" s="2"/>
      <c r="F667" s="2"/>
      <c r="G667" s="2"/>
      <c r="H667" s="2"/>
      <c r="I667" s="5"/>
    </row>
    <row r="668" spans="1:9" ht="17.399999999999999" x14ac:dyDescent="0.25">
      <c r="A668" s="16"/>
      <c r="B668" s="17"/>
      <c r="C668" s="2"/>
      <c r="D668" s="2"/>
      <c r="E668" s="2"/>
      <c r="F668" s="2"/>
      <c r="G668" s="2"/>
      <c r="H668" s="2"/>
      <c r="I668" s="5"/>
    </row>
    <row r="669" spans="1:9" ht="17.399999999999999" x14ac:dyDescent="0.25">
      <c r="A669" s="16"/>
      <c r="B669" s="17"/>
      <c r="C669" s="2"/>
      <c r="D669" s="2"/>
      <c r="E669" s="2"/>
      <c r="F669" s="2"/>
      <c r="G669" s="2"/>
      <c r="H669" s="2"/>
      <c r="I669" s="5"/>
    </row>
    <row r="670" spans="1:9" ht="17.399999999999999" x14ac:dyDescent="0.25">
      <c r="A670" s="16"/>
      <c r="B670" s="17"/>
      <c r="C670" s="2"/>
      <c r="D670" s="2"/>
      <c r="E670" s="2"/>
      <c r="F670" s="2"/>
      <c r="G670" s="2"/>
      <c r="H670" s="2"/>
      <c r="I670" s="5"/>
    </row>
    <row r="671" spans="1:9" ht="17.399999999999999" x14ac:dyDescent="0.25">
      <c r="A671" s="16"/>
      <c r="B671" s="17"/>
      <c r="C671" s="2"/>
      <c r="D671" s="2"/>
      <c r="E671" s="2"/>
      <c r="F671" s="2"/>
      <c r="G671" s="2"/>
      <c r="H671" s="2"/>
      <c r="I671" s="5"/>
    </row>
    <row r="672" spans="1:9" ht="17.399999999999999" x14ac:dyDescent="0.25">
      <c r="A672" s="16"/>
      <c r="B672" s="17"/>
      <c r="C672" s="2"/>
      <c r="D672" s="2"/>
      <c r="E672" s="2"/>
      <c r="F672" s="2"/>
      <c r="G672" s="2"/>
      <c r="H672" s="2"/>
      <c r="I672" s="5"/>
    </row>
    <row r="673" spans="1:9" ht="17.399999999999999" x14ac:dyDescent="0.25">
      <c r="A673" s="16"/>
      <c r="B673" s="17"/>
      <c r="C673" s="2"/>
      <c r="D673" s="2"/>
      <c r="E673" s="2"/>
      <c r="F673" s="2"/>
      <c r="G673" s="2"/>
      <c r="H673" s="2"/>
      <c r="I673" s="5"/>
    </row>
    <row r="674" spans="1:9" ht="17.399999999999999" x14ac:dyDescent="0.25">
      <c r="A674" s="16"/>
      <c r="B674" s="17"/>
      <c r="C674" s="2"/>
      <c r="D674" s="2"/>
      <c r="E674" s="2"/>
      <c r="F674" s="2"/>
      <c r="G674" s="2"/>
      <c r="H674" s="2"/>
      <c r="I674" s="5"/>
    </row>
    <row r="675" spans="1:9" ht="17.399999999999999" x14ac:dyDescent="0.25">
      <c r="A675" s="16"/>
      <c r="B675" s="17"/>
      <c r="C675" s="2"/>
      <c r="D675" s="2"/>
      <c r="E675" s="2"/>
      <c r="F675" s="2"/>
      <c r="G675" s="2"/>
      <c r="H675" s="2"/>
      <c r="I675" s="5"/>
    </row>
    <row r="676" spans="1:9" ht="17.399999999999999" x14ac:dyDescent="0.25">
      <c r="A676" s="16"/>
      <c r="B676" s="17"/>
      <c r="C676" s="2"/>
      <c r="D676" s="2"/>
      <c r="E676" s="2"/>
      <c r="F676" s="2"/>
      <c r="G676" s="2"/>
      <c r="H676" s="2"/>
      <c r="I676" s="5"/>
    </row>
    <row r="677" spans="1:9" ht="17.399999999999999" x14ac:dyDescent="0.25">
      <c r="A677" s="16"/>
      <c r="B677" s="17"/>
      <c r="C677" s="2"/>
      <c r="D677" s="2"/>
      <c r="E677" s="2"/>
      <c r="F677" s="2"/>
      <c r="G677" s="2"/>
      <c r="H677" s="2"/>
      <c r="I677" s="5"/>
    </row>
    <row r="678" spans="1:9" ht="17.399999999999999" x14ac:dyDescent="0.25">
      <c r="A678" s="16"/>
      <c r="B678" s="17"/>
      <c r="C678" s="2"/>
      <c r="D678" s="2"/>
      <c r="E678" s="2"/>
      <c r="F678" s="2"/>
      <c r="G678" s="2"/>
      <c r="H678" s="2"/>
      <c r="I678" s="5"/>
    </row>
    <row r="679" spans="1:9" ht="17.399999999999999" x14ac:dyDescent="0.25">
      <c r="A679" s="16"/>
      <c r="B679" s="17"/>
      <c r="C679" s="2"/>
      <c r="D679" s="2"/>
      <c r="E679" s="2"/>
      <c r="F679" s="2"/>
      <c r="G679" s="2"/>
      <c r="H679" s="2"/>
      <c r="I679" s="5"/>
    </row>
    <row r="680" spans="1:9" ht="17.399999999999999" x14ac:dyDescent="0.25">
      <c r="A680" s="16"/>
      <c r="B680" s="17"/>
      <c r="C680" s="2"/>
      <c r="D680" s="2"/>
      <c r="E680" s="2"/>
      <c r="F680" s="2"/>
      <c r="G680" s="2"/>
      <c r="H680" s="2"/>
      <c r="I680" s="5"/>
    </row>
    <row r="681" spans="1:9" ht="17.399999999999999" x14ac:dyDescent="0.25">
      <c r="A681" s="16"/>
      <c r="B681" s="17"/>
      <c r="C681" s="2"/>
      <c r="D681" s="2"/>
      <c r="E681" s="2"/>
      <c r="F681" s="2"/>
      <c r="G681" s="2"/>
      <c r="H681" s="2"/>
      <c r="I681" s="5"/>
    </row>
    <row r="682" spans="1:9" ht="17.399999999999999" x14ac:dyDescent="0.25">
      <c r="A682" s="16"/>
      <c r="B682" s="17"/>
      <c r="C682" s="2"/>
      <c r="D682" s="2"/>
      <c r="E682" s="2"/>
      <c r="F682" s="2"/>
      <c r="G682" s="2"/>
      <c r="H682" s="2"/>
      <c r="I682" s="5"/>
    </row>
    <row r="683" spans="1:9" ht="17.399999999999999" x14ac:dyDescent="0.25">
      <c r="A683" s="16"/>
      <c r="B683" s="17"/>
      <c r="C683" s="2"/>
      <c r="D683" s="2"/>
      <c r="E683" s="2"/>
      <c r="F683" s="2"/>
      <c r="G683" s="2"/>
      <c r="H683" s="2"/>
      <c r="I683" s="5"/>
    </row>
    <row r="684" spans="1:9" ht="17.399999999999999" x14ac:dyDescent="0.25">
      <c r="A684" s="16"/>
      <c r="B684" s="17"/>
      <c r="C684" s="2"/>
      <c r="D684" s="2"/>
      <c r="E684" s="2"/>
      <c r="F684" s="2"/>
      <c r="G684" s="2"/>
      <c r="H684" s="2"/>
      <c r="I684" s="5"/>
    </row>
    <row r="685" spans="1:9" ht="17.399999999999999" x14ac:dyDescent="0.25">
      <c r="A685" s="16"/>
      <c r="B685" s="17"/>
      <c r="C685" s="2"/>
      <c r="D685" s="2"/>
      <c r="E685" s="2"/>
      <c r="F685" s="2"/>
      <c r="G685" s="2"/>
      <c r="H685" s="2"/>
      <c r="I685" s="5"/>
    </row>
    <row r="686" spans="1:9" ht="17.399999999999999" x14ac:dyDescent="0.25">
      <c r="A686" s="16"/>
      <c r="B686" s="17"/>
      <c r="C686" s="2"/>
      <c r="D686" s="2"/>
      <c r="E686" s="2"/>
      <c r="F686" s="2"/>
      <c r="G686" s="2"/>
      <c r="H686" s="2"/>
      <c r="I686" s="5"/>
    </row>
    <row r="687" spans="1:9" ht="17.399999999999999" x14ac:dyDescent="0.25">
      <c r="A687" s="16"/>
      <c r="B687" s="17"/>
      <c r="C687" s="2"/>
      <c r="D687" s="2"/>
      <c r="E687" s="2"/>
      <c r="F687" s="2"/>
      <c r="G687" s="2"/>
      <c r="H687" s="2"/>
      <c r="I687" s="5"/>
    </row>
    <row r="688" spans="1:9" ht="17.399999999999999" x14ac:dyDescent="0.25">
      <c r="A688" s="16"/>
      <c r="B688" s="17"/>
      <c r="C688" s="2"/>
      <c r="D688" s="2"/>
      <c r="E688" s="2"/>
      <c r="F688" s="2"/>
      <c r="G688" s="2"/>
      <c r="H688" s="2"/>
      <c r="I688" s="5"/>
    </row>
    <row r="689" spans="1:9" ht="17.399999999999999" x14ac:dyDescent="0.25">
      <c r="A689" s="16"/>
      <c r="B689" s="17"/>
      <c r="C689" s="2"/>
      <c r="D689" s="2"/>
      <c r="E689" s="2"/>
      <c r="F689" s="2"/>
      <c r="G689" s="2"/>
      <c r="H689" s="2"/>
      <c r="I689" s="5"/>
    </row>
    <row r="690" spans="1:9" ht="17.399999999999999" x14ac:dyDescent="0.25">
      <c r="A690" s="16"/>
      <c r="B690" s="17"/>
      <c r="C690" s="2"/>
      <c r="D690" s="2"/>
      <c r="E690" s="2"/>
      <c r="F690" s="2"/>
      <c r="G690" s="2"/>
      <c r="H690" s="2"/>
      <c r="I690" s="5"/>
    </row>
    <row r="691" spans="1:9" ht="17.399999999999999" x14ac:dyDescent="0.25">
      <c r="A691" s="16"/>
      <c r="B691" s="17"/>
      <c r="C691" s="2"/>
      <c r="D691" s="2"/>
      <c r="E691" s="2"/>
      <c r="F691" s="2"/>
      <c r="G691" s="2"/>
      <c r="H691" s="2"/>
      <c r="I691" s="5"/>
    </row>
    <row r="692" spans="1:9" ht="17.399999999999999" x14ac:dyDescent="0.25">
      <c r="A692" s="16"/>
      <c r="B692" s="17"/>
      <c r="C692" s="2"/>
      <c r="D692" s="2"/>
      <c r="E692" s="2"/>
      <c r="F692" s="2"/>
      <c r="G692" s="2"/>
      <c r="H692" s="2"/>
      <c r="I692" s="5"/>
    </row>
    <row r="693" spans="1:9" ht="17.399999999999999" x14ac:dyDescent="0.25">
      <c r="A693" s="16"/>
      <c r="B693" s="17"/>
      <c r="C693" s="2"/>
      <c r="D693" s="2"/>
      <c r="E693" s="2"/>
      <c r="F693" s="2"/>
      <c r="G693" s="2"/>
      <c r="H693" s="2"/>
      <c r="I693" s="5"/>
    </row>
    <row r="694" spans="1:9" ht="17.399999999999999" x14ac:dyDescent="0.25">
      <c r="A694" s="16"/>
      <c r="B694" s="17"/>
      <c r="C694" s="2"/>
      <c r="D694" s="2"/>
      <c r="E694" s="2"/>
      <c r="F694" s="2"/>
      <c r="G694" s="2"/>
      <c r="H694" s="2"/>
      <c r="I694" s="5"/>
    </row>
    <row r="695" spans="1:9" ht="17.399999999999999" x14ac:dyDescent="0.25">
      <c r="A695" s="16"/>
      <c r="B695" s="17"/>
      <c r="C695" s="2"/>
      <c r="D695" s="2"/>
      <c r="E695" s="2"/>
      <c r="F695" s="2"/>
      <c r="G695" s="2"/>
      <c r="H695" s="2"/>
      <c r="I695" s="5"/>
    </row>
    <row r="696" spans="1:9" ht="17.399999999999999" x14ac:dyDescent="0.25">
      <c r="A696" s="16"/>
      <c r="B696" s="17"/>
      <c r="C696" s="2"/>
      <c r="D696" s="2"/>
      <c r="E696" s="2"/>
      <c r="F696" s="2"/>
      <c r="G696" s="2"/>
      <c r="H696" s="2"/>
      <c r="I696" s="5"/>
    </row>
    <row r="697" spans="1:9" ht="17.399999999999999" x14ac:dyDescent="0.25">
      <c r="A697" s="16"/>
      <c r="B697" s="17"/>
      <c r="C697" s="2"/>
      <c r="D697" s="2"/>
      <c r="E697" s="2"/>
      <c r="F697" s="2"/>
      <c r="G697" s="2"/>
      <c r="H697" s="2"/>
      <c r="I697" s="5"/>
    </row>
    <row r="698" spans="1:9" ht="17.399999999999999" x14ac:dyDescent="0.25">
      <c r="A698" s="16"/>
      <c r="B698" s="17"/>
      <c r="C698" s="2"/>
      <c r="D698" s="2"/>
      <c r="E698" s="2"/>
      <c r="F698" s="2"/>
      <c r="G698" s="2"/>
      <c r="H698" s="2"/>
      <c r="I698" s="5"/>
    </row>
    <row r="699" spans="1:9" ht="17.399999999999999" x14ac:dyDescent="0.25">
      <c r="A699" s="16"/>
      <c r="B699" s="17"/>
      <c r="C699" s="2"/>
      <c r="D699" s="2"/>
      <c r="E699" s="2"/>
      <c r="F699" s="2"/>
      <c r="G699" s="2"/>
      <c r="H699" s="2"/>
      <c r="I699" s="5"/>
    </row>
    <row r="700" spans="1:9" ht="17.399999999999999" x14ac:dyDescent="0.25">
      <c r="A700" s="16"/>
      <c r="B700" s="17"/>
      <c r="C700" s="2"/>
      <c r="D700" s="2"/>
      <c r="E700" s="2"/>
      <c r="F700" s="2"/>
      <c r="G700" s="2"/>
      <c r="H700" s="2"/>
      <c r="I700" s="5"/>
    </row>
    <row r="701" spans="1:9" ht="17.399999999999999" x14ac:dyDescent="0.25">
      <c r="A701" s="16"/>
      <c r="B701" s="17"/>
      <c r="C701" s="2"/>
      <c r="D701" s="2"/>
      <c r="E701" s="2"/>
      <c r="F701" s="2"/>
      <c r="G701" s="2"/>
      <c r="H701" s="2"/>
      <c r="I701" s="5"/>
    </row>
    <row r="702" spans="1:9" ht="17.399999999999999" x14ac:dyDescent="0.25">
      <c r="A702" s="16"/>
      <c r="B702" s="17"/>
      <c r="C702" s="2"/>
      <c r="D702" s="2"/>
      <c r="E702" s="2"/>
      <c r="F702" s="2"/>
      <c r="G702" s="2"/>
      <c r="H702" s="2"/>
      <c r="I702" s="5"/>
    </row>
    <row r="703" spans="1:9" ht="17.399999999999999" x14ac:dyDescent="0.25">
      <c r="A703" s="16"/>
      <c r="B703" s="17"/>
      <c r="C703" s="2"/>
      <c r="D703" s="2"/>
      <c r="E703" s="2"/>
      <c r="F703" s="2"/>
      <c r="G703" s="2"/>
      <c r="H703" s="2"/>
      <c r="I703" s="5"/>
    </row>
    <row r="704" spans="1:9" ht="17.399999999999999" x14ac:dyDescent="0.25">
      <c r="A704" s="16"/>
      <c r="B704" s="17"/>
      <c r="C704" s="2"/>
      <c r="D704" s="2"/>
      <c r="E704" s="2"/>
      <c r="F704" s="2"/>
      <c r="G704" s="2"/>
      <c r="H704" s="2"/>
      <c r="I704" s="5"/>
    </row>
    <row r="705" spans="1:9" ht="17.399999999999999" x14ac:dyDescent="0.25">
      <c r="A705" s="16"/>
      <c r="B705" s="17"/>
      <c r="C705" s="2"/>
      <c r="D705" s="2"/>
      <c r="E705" s="2"/>
      <c r="F705" s="2"/>
      <c r="G705" s="2"/>
      <c r="H705" s="2"/>
      <c r="I705" s="5"/>
    </row>
    <row r="706" spans="1:9" ht="17.399999999999999" x14ac:dyDescent="0.25">
      <c r="A706" s="16"/>
      <c r="B706" s="17"/>
      <c r="C706" s="2"/>
      <c r="D706" s="2"/>
      <c r="E706" s="2"/>
      <c r="F706" s="2"/>
      <c r="G706" s="2"/>
      <c r="H706" s="2"/>
      <c r="I706" s="5"/>
    </row>
    <row r="707" spans="1:9" ht="17.399999999999999" x14ac:dyDescent="0.25">
      <c r="A707" s="16"/>
      <c r="B707" s="17"/>
      <c r="C707" s="2"/>
      <c r="D707" s="2"/>
      <c r="E707" s="2"/>
      <c r="F707" s="2"/>
      <c r="G707" s="2"/>
      <c r="H707" s="2"/>
      <c r="I707" s="5"/>
    </row>
    <row r="708" spans="1:9" ht="17.399999999999999" x14ac:dyDescent="0.25">
      <c r="A708" s="16"/>
      <c r="B708" s="17"/>
      <c r="C708" s="2"/>
      <c r="D708" s="2"/>
      <c r="E708" s="2"/>
      <c r="F708" s="2"/>
      <c r="G708" s="2"/>
      <c r="H708" s="2"/>
      <c r="I708" s="5"/>
    </row>
    <row r="709" spans="1:9" ht="17.399999999999999" x14ac:dyDescent="0.25">
      <c r="A709" s="16"/>
      <c r="B709" s="17"/>
      <c r="C709" s="2"/>
      <c r="D709" s="2"/>
      <c r="E709" s="2"/>
      <c r="F709" s="2"/>
      <c r="G709" s="2"/>
      <c r="H709" s="2"/>
      <c r="I709" s="5"/>
    </row>
    <row r="710" spans="1:9" ht="17.399999999999999" x14ac:dyDescent="0.25">
      <c r="A710" s="16"/>
      <c r="B710" s="17"/>
      <c r="C710" s="2"/>
      <c r="D710" s="2"/>
      <c r="E710" s="2"/>
      <c r="F710" s="2"/>
      <c r="G710" s="2"/>
      <c r="H710" s="2"/>
      <c r="I710" s="5"/>
    </row>
    <row r="711" spans="1:9" ht="17.399999999999999" x14ac:dyDescent="0.25">
      <c r="A711" s="16"/>
      <c r="B711" s="17"/>
      <c r="C711" s="2"/>
      <c r="D711" s="2"/>
      <c r="E711" s="2"/>
      <c r="F711" s="2"/>
      <c r="G711" s="2"/>
      <c r="H711" s="2"/>
      <c r="I711" s="5"/>
    </row>
    <row r="712" spans="1:9" ht="17.399999999999999" x14ac:dyDescent="0.25">
      <c r="A712" s="16"/>
      <c r="B712" s="17"/>
      <c r="C712" s="2"/>
      <c r="D712" s="2"/>
      <c r="E712" s="2"/>
      <c r="F712" s="2"/>
      <c r="G712" s="2"/>
      <c r="H712" s="2"/>
      <c r="I712" s="5"/>
    </row>
    <row r="713" spans="1:9" ht="17.399999999999999" x14ac:dyDescent="0.25">
      <c r="A713" s="16"/>
      <c r="B713" s="17"/>
      <c r="C713" s="2"/>
      <c r="D713" s="2"/>
      <c r="E713" s="2"/>
      <c r="F713" s="2"/>
      <c r="G713" s="2"/>
      <c r="H713" s="2"/>
      <c r="I713" s="5"/>
    </row>
    <row r="714" spans="1:9" ht="17.399999999999999" x14ac:dyDescent="0.25">
      <c r="A714" s="16"/>
      <c r="B714" s="17"/>
      <c r="C714" s="2"/>
      <c r="D714" s="2"/>
      <c r="E714" s="2"/>
      <c r="F714" s="2"/>
      <c r="G714" s="2"/>
      <c r="H714" s="2"/>
      <c r="I714" s="5"/>
    </row>
    <row r="715" spans="1:9" ht="17.399999999999999" x14ac:dyDescent="0.25">
      <c r="A715" s="16"/>
      <c r="B715" s="17"/>
      <c r="C715" s="2"/>
      <c r="D715" s="2"/>
      <c r="E715" s="2"/>
      <c r="F715" s="2"/>
      <c r="G715" s="2"/>
      <c r="H715" s="2"/>
      <c r="I715" s="5"/>
    </row>
    <row r="716" spans="1:9" ht="17.399999999999999" x14ac:dyDescent="0.25">
      <c r="A716" s="16"/>
      <c r="B716" s="17"/>
      <c r="C716" s="2"/>
      <c r="D716" s="2"/>
      <c r="E716" s="2"/>
      <c r="F716" s="2"/>
      <c r="G716" s="2"/>
      <c r="H716" s="2"/>
      <c r="I716" s="5"/>
    </row>
    <row r="717" spans="1:9" ht="17.399999999999999" x14ac:dyDescent="0.25">
      <c r="A717" s="16"/>
      <c r="B717" s="17"/>
      <c r="C717" s="2"/>
      <c r="D717" s="2"/>
      <c r="E717" s="2"/>
      <c r="F717" s="2"/>
      <c r="G717" s="2"/>
      <c r="H717" s="2"/>
      <c r="I717" s="5"/>
    </row>
    <row r="718" spans="1:9" ht="17.399999999999999" x14ac:dyDescent="0.25">
      <c r="A718" s="16"/>
      <c r="B718" s="17"/>
      <c r="C718" s="2"/>
      <c r="D718" s="2"/>
      <c r="E718" s="2"/>
      <c r="F718" s="2"/>
      <c r="G718" s="2"/>
      <c r="H718" s="2"/>
      <c r="I718" s="5"/>
    </row>
    <row r="719" spans="1:9" ht="17.399999999999999" x14ac:dyDescent="0.25">
      <c r="A719" s="16"/>
      <c r="B719" s="17"/>
      <c r="C719" s="2"/>
      <c r="D719" s="2"/>
      <c r="E719" s="2"/>
      <c r="F719" s="2"/>
      <c r="G719" s="2"/>
      <c r="H719" s="2"/>
      <c r="I719" s="5"/>
    </row>
    <row r="720" spans="1:9" ht="17.399999999999999" x14ac:dyDescent="0.25">
      <c r="A720" s="16"/>
      <c r="B720" s="17"/>
      <c r="C720" s="2"/>
      <c r="D720" s="2"/>
      <c r="E720" s="2"/>
      <c r="F720" s="2"/>
      <c r="G720" s="2"/>
      <c r="H720" s="2"/>
      <c r="I720" s="5"/>
    </row>
    <row r="721" spans="1:9" ht="17.399999999999999" x14ac:dyDescent="0.25">
      <c r="A721" s="16"/>
      <c r="B721" s="17"/>
      <c r="C721" s="2"/>
      <c r="D721" s="2"/>
      <c r="E721" s="2"/>
      <c r="F721" s="2"/>
      <c r="G721" s="2"/>
      <c r="H721" s="2"/>
      <c r="I721" s="5"/>
    </row>
    <row r="722" spans="1:9" ht="17.399999999999999" x14ac:dyDescent="0.25">
      <c r="A722" s="16"/>
      <c r="B722" s="17"/>
      <c r="C722" s="2"/>
      <c r="D722" s="2"/>
      <c r="E722" s="2"/>
      <c r="F722" s="2"/>
      <c r="G722" s="2"/>
      <c r="H722" s="2"/>
      <c r="I722" s="5"/>
    </row>
    <row r="723" spans="1:9" ht="17.399999999999999" x14ac:dyDescent="0.25">
      <c r="A723" s="16"/>
      <c r="B723" s="17"/>
      <c r="C723" s="2"/>
      <c r="D723" s="2"/>
      <c r="E723" s="2"/>
      <c r="F723" s="2"/>
      <c r="G723" s="2"/>
      <c r="H723" s="2"/>
      <c r="I723" s="5"/>
    </row>
    <row r="724" spans="1:9" ht="17.399999999999999" x14ac:dyDescent="0.25">
      <c r="A724" s="16"/>
      <c r="B724" s="17"/>
      <c r="C724" s="2"/>
      <c r="D724" s="2"/>
      <c r="E724" s="2"/>
      <c r="F724" s="2"/>
      <c r="G724" s="2"/>
      <c r="H724" s="2"/>
      <c r="I724" s="5"/>
    </row>
    <row r="725" spans="1:9" ht="17.399999999999999" x14ac:dyDescent="0.25">
      <c r="A725" s="16"/>
      <c r="B725" s="17"/>
      <c r="C725" s="2"/>
      <c r="D725" s="2"/>
      <c r="E725" s="2"/>
      <c r="F725" s="2"/>
      <c r="G725" s="2"/>
      <c r="H725" s="2"/>
      <c r="I725" s="5"/>
    </row>
    <row r="726" spans="1:9" ht="17.399999999999999" x14ac:dyDescent="0.25">
      <c r="A726" s="16"/>
      <c r="B726" s="17"/>
      <c r="C726" s="2"/>
      <c r="D726" s="2"/>
      <c r="E726" s="2"/>
      <c r="F726" s="2"/>
      <c r="G726" s="2"/>
      <c r="H726" s="2"/>
      <c r="I726" s="5"/>
    </row>
    <row r="727" spans="1:9" ht="17.399999999999999" x14ac:dyDescent="0.25">
      <c r="A727" s="16"/>
      <c r="B727" s="17"/>
      <c r="C727" s="2"/>
      <c r="D727" s="2"/>
      <c r="E727" s="2"/>
      <c r="F727" s="2"/>
      <c r="G727" s="2"/>
      <c r="H727" s="2"/>
      <c r="I727" s="5"/>
    </row>
    <row r="728" spans="1:9" ht="17.399999999999999" x14ac:dyDescent="0.25">
      <c r="A728" s="16"/>
      <c r="B728" s="17"/>
      <c r="C728" s="2"/>
      <c r="D728" s="2"/>
      <c r="E728" s="2"/>
      <c r="F728" s="2"/>
      <c r="G728" s="2"/>
      <c r="H728" s="2"/>
      <c r="I728" s="5"/>
    </row>
    <row r="729" spans="1:9" ht="17.399999999999999" x14ac:dyDescent="0.25">
      <c r="A729" s="16"/>
      <c r="B729" s="17"/>
      <c r="C729" s="2"/>
      <c r="D729" s="2"/>
      <c r="E729" s="2"/>
      <c r="F729" s="2"/>
      <c r="G729" s="2"/>
      <c r="H729" s="2"/>
      <c r="I729" s="5"/>
    </row>
    <row r="730" spans="1:9" ht="17.399999999999999" x14ac:dyDescent="0.25">
      <c r="A730" s="16"/>
      <c r="B730" s="17"/>
      <c r="C730" s="2"/>
      <c r="D730" s="2"/>
      <c r="E730" s="2"/>
      <c r="F730" s="2"/>
      <c r="G730" s="2"/>
      <c r="H730" s="2"/>
      <c r="I730" s="5"/>
    </row>
    <row r="731" spans="1:9" ht="17.399999999999999" x14ac:dyDescent="0.25">
      <c r="A731" s="16"/>
      <c r="B731" s="17"/>
      <c r="C731" s="2"/>
      <c r="D731" s="2"/>
      <c r="E731" s="2"/>
      <c r="F731" s="2"/>
      <c r="G731" s="2"/>
      <c r="H731" s="2"/>
      <c r="I731" s="5"/>
    </row>
    <row r="732" spans="1:9" ht="17.399999999999999" x14ac:dyDescent="0.25">
      <c r="A732" s="16"/>
      <c r="B732" s="17"/>
      <c r="C732" s="2"/>
      <c r="D732" s="2"/>
      <c r="E732" s="2"/>
      <c r="F732" s="2"/>
      <c r="G732" s="2"/>
      <c r="H732" s="2"/>
      <c r="I732" s="5"/>
    </row>
    <row r="733" spans="1:9" ht="17.399999999999999" x14ac:dyDescent="0.25">
      <c r="A733" s="16"/>
      <c r="B733" s="17"/>
      <c r="C733" s="2"/>
      <c r="D733" s="2"/>
      <c r="E733" s="2"/>
      <c r="F733" s="2"/>
      <c r="G733" s="2"/>
      <c r="H733" s="2"/>
      <c r="I733" s="5"/>
    </row>
    <row r="734" spans="1:9" ht="17.399999999999999" x14ac:dyDescent="0.25">
      <c r="A734" s="16"/>
      <c r="B734" s="17"/>
      <c r="C734" s="2"/>
      <c r="D734" s="2"/>
      <c r="E734" s="2"/>
      <c r="F734" s="2"/>
      <c r="G734" s="2"/>
      <c r="H734" s="2"/>
      <c r="I734" s="5"/>
    </row>
    <row r="735" spans="1:9" ht="17.399999999999999" x14ac:dyDescent="0.25">
      <c r="A735" s="16"/>
      <c r="B735" s="17"/>
      <c r="C735" s="2"/>
      <c r="D735" s="2"/>
      <c r="E735" s="2"/>
      <c r="F735" s="2"/>
      <c r="G735" s="2"/>
      <c r="H735" s="2"/>
      <c r="I735" s="5"/>
    </row>
    <row r="736" spans="1:9" ht="17.399999999999999" x14ac:dyDescent="0.25">
      <c r="A736" s="16"/>
      <c r="B736" s="17"/>
      <c r="C736" s="2"/>
      <c r="D736" s="2"/>
      <c r="E736" s="2"/>
      <c r="F736" s="2"/>
      <c r="G736" s="2"/>
      <c r="H736" s="2"/>
      <c r="I736" s="5"/>
    </row>
    <row r="737" spans="1:9" ht="17.399999999999999" x14ac:dyDescent="0.25">
      <c r="A737" s="16"/>
      <c r="B737" s="17"/>
      <c r="C737" s="2"/>
      <c r="D737" s="2"/>
      <c r="E737" s="2"/>
      <c r="F737" s="2"/>
      <c r="G737" s="2"/>
      <c r="H737" s="2"/>
      <c r="I737" s="5"/>
    </row>
    <row r="738" spans="1:9" ht="17.399999999999999" x14ac:dyDescent="0.25">
      <c r="A738" s="16"/>
      <c r="B738" s="17"/>
      <c r="C738" s="2"/>
      <c r="D738" s="2"/>
      <c r="E738" s="2"/>
      <c r="F738" s="2"/>
      <c r="G738" s="2"/>
      <c r="H738" s="2"/>
      <c r="I738" s="5"/>
    </row>
    <row r="739" spans="1:9" ht="17.399999999999999" x14ac:dyDescent="0.25">
      <c r="A739" s="16"/>
      <c r="B739" s="17"/>
      <c r="C739" s="2"/>
      <c r="D739" s="2"/>
      <c r="E739" s="2"/>
      <c r="F739" s="2"/>
      <c r="G739" s="2"/>
      <c r="H739" s="2"/>
      <c r="I739" s="5"/>
    </row>
    <row r="740" spans="1:9" ht="17.399999999999999" x14ac:dyDescent="0.25">
      <c r="A740" s="16"/>
      <c r="B740" s="17"/>
      <c r="C740" s="2"/>
      <c r="D740" s="2"/>
      <c r="E740" s="2"/>
      <c r="F740" s="2"/>
      <c r="G740" s="2"/>
      <c r="H740" s="2"/>
      <c r="I740" s="5"/>
    </row>
    <row r="741" spans="1:9" ht="17.399999999999999" x14ac:dyDescent="0.25">
      <c r="A741" s="16"/>
      <c r="B741" s="17"/>
      <c r="C741" s="2"/>
      <c r="D741" s="2"/>
      <c r="E741" s="2"/>
      <c r="F741" s="2"/>
      <c r="G741" s="2"/>
      <c r="H741" s="2"/>
      <c r="I741" s="5"/>
    </row>
    <row r="742" spans="1:9" ht="17.399999999999999" x14ac:dyDescent="0.25">
      <c r="A742" s="16"/>
      <c r="B742" s="17"/>
      <c r="C742" s="2"/>
      <c r="D742" s="2"/>
      <c r="E742" s="2"/>
      <c r="F742" s="2"/>
      <c r="G742" s="2"/>
      <c r="H742" s="2"/>
      <c r="I742" s="5"/>
    </row>
    <row r="743" spans="1:9" ht="17.399999999999999" x14ac:dyDescent="0.25">
      <c r="A743" s="16"/>
      <c r="B743" s="17"/>
      <c r="C743" s="2"/>
      <c r="D743" s="2"/>
      <c r="E743" s="2"/>
      <c r="F743" s="2"/>
      <c r="G743" s="2"/>
      <c r="H743" s="2"/>
      <c r="I743" s="5"/>
    </row>
    <row r="744" spans="1:9" ht="17.399999999999999" x14ac:dyDescent="0.25">
      <c r="A744" s="16"/>
      <c r="B744" s="17"/>
      <c r="C744" s="2"/>
      <c r="D744" s="2"/>
      <c r="E744" s="2"/>
      <c r="F744" s="2"/>
      <c r="G744" s="2"/>
      <c r="H744" s="2"/>
      <c r="I744" s="5"/>
    </row>
    <row r="745" spans="1:9" ht="17.399999999999999" x14ac:dyDescent="0.25">
      <c r="A745" s="16"/>
      <c r="B745" s="17"/>
      <c r="C745" s="2"/>
      <c r="D745" s="2"/>
      <c r="E745" s="2"/>
      <c r="F745" s="2"/>
      <c r="G745" s="2"/>
      <c r="H745" s="2"/>
      <c r="I745" s="5"/>
    </row>
    <row r="746" spans="1:9" ht="17.399999999999999" x14ac:dyDescent="0.25">
      <c r="A746" s="16"/>
      <c r="B746" s="17"/>
      <c r="C746" s="2"/>
      <c r="D746" s="2"/>
      <c r="E746" s="2"/>
      <c r="F746" s="2"/>
      <c r="G746" s="2"/>
      <c r="H746" s="2"/>
      <c r="I746" s="5"/>
    </row>
    <row r="747" spans="1:9" ht="17.399999999999999" x14ac:dyDescent="0.25">
      <c r="A747" s="16"/>
      <c r="B747" s="17"/>
      <c r="C747" s="2"/>
      <c r="D747" s="2"/>
      <c r="E747" s="2"/>
      <c r="F747" s="2"/>
      <c r="G747" s="2"/>
      <c r="H747" s="2"/>
      <c r="I747" s="5"/>
    </row>
    <row r="748" spans="1:9" ht="17.399999999999999" x14ac:dyDescent="0.25">
      <c r="A748" s="16"/>
      <c r="B748" s="17"/>
      <c r="C748" s="2"/>
      <c r="D748" s="2"/>
      <c r="E748" s="2"/>
      <c r="F748" s="2"/>
      <c r="G748" s="2"/>
      <c r="H748" s="2"/>
      <c r="I748" s="5"/>
    </row>
    <row r="749" spans="1:9" ht="17.399999999999999" x14ac:dyDescent="0.25">
      <c r="A749" s="16"/>
      <c r="B749" s="17"/>
      <c r="C749" s="2"/>
      <c r="D749" s="2"/>
      <c r="E749" s="2"/>
      <c r="F749" s="2"/>
      <c r="G749" s="2"/>
      <c r="H749" s="2"/>
      <c r="I749" s="5"/>
    </row>
    <row r="750" spans="1:9" ht="17.399999999999999" x14ac:dyDescent="0.25">
      <c r="A750" s="16"/>
      <c r="B750" s="17"/>
      <c r="C750" s="2"/>
      <c r="D750" s="2"/>
      <c r="E750" s="2"/>
      <c r="F750" s="2"/>
      <c r="G750" s="2"/>
      <c r="H750" s="2"/>
      <c r="I750" s="5"/>
    </row>
    <row r="751" spans="1:9" ht="17.399999999999999" x14ac:dyDescent="0.25">
      <c r="A751" s="16"/>
      <c r="B751" s="17"/>
      <c r="C751" s="2"/>
      <c r="D751" s="2"/>
      <c r="E751" s="2"/>
      <c r="F751" s="2"/>
      <c r="G751" s="2"/>
      <c r="H751" s="2"/>
      <c r="I751" s="5"/>
    </row>
    <row r="752" spans="1:9" ht="17.399999999999999" x14ac:dyDescent="0.25">
      <c r="A752" s="16"/>
      <c r="B752" s="17"/>
      <c r="C752" s="2"/>
      <c r="D752" s="2"/>
      <c r="E752" s="2"/>
      <c r="F752" s="2"/>
      <c r="G752" s="2"/>
      <c r="H752" s="2"/>
      <c r="I752" s="5"/>
    </row>
    <row r="753" spans="1:9" ht="17.399999999999999" x14ac:dyDescent="0.25">
      <c r="A753" s="16"/>
      <c r="B753" s="17"/>
      <c r="C753" s="2"/>
      <c r="D753" s="2"/>
      <c r="E753" s="2"/>
      <c r="F753" s="2"/>
      <c r="G753" s="2"/>
      <c r="H753" s="2"/>
      <c r="I753" s="5"/>
    </row>
    <row r="754" spans="1:9" ht="17.399999999999999" x14ac:dyDescent="0.25">
      <c r="A754" s="16"/>
      <c r="B754" s="17"/>
      <c r="C754" s="2"/>
      <c r="D754" s="2"/>
      <c r="E754" s="2"/>
      <c r="F754" s="2"/>
      <c r="G754" s="2"/>
      <c r="H754" s="2"/>
      <c r="I754" s="5"/>
    </row>
    <row r="755" spans="1:9" ht="17.399999999999999" x14ac:dyDescent="0.25">
      <c r="A755" s="16"/>
      <c r="B755" s="17"/>
      <c r="C755" s="2"/>
      <c r="D755" s="2"/>
      <c r="E755" s="2"/>
      <c r="F755" s="2"/>
      <c r="G755" s="2"/>
      <c r="H755" s="2"/>
      <c r="I755" s="5"/>
    </row>
    <row r="756" spans="1:9" ht="17.399999999999999" x14ac:dyDescent="0.25">
      <c r="A756" s="16"/>
      <c r="B756" s="17"/>
      <c r="C756" s="2"/>
      <c r="D756" s="2"/>
      <c r="E756" s="2"/>
      <c r="F756" s="2"/>
      <c r="G756" s="2"/>
      <c r="H756" s="2"/>
      <c r="I756" s="5"/>
    </row>
    <row r="757" spans="1:9" ht="17.399999999999999" x14ac:dyDescent="0.25">
      <c r="A757" s="16"/>
      <c r="B757" s="17"/>
      <c r="C757" s="2"/>
      <c r="D757" s="2"/>
      <c r="E757" s="2"/>
      <c r="F757" s="2"/>
      <c r="G757" s="2"/>
      <c r="H757" s="2"/>
      <c r="I757" s="5"/>
    </row>
    <row r="758" spans="1:9" ht="17.399999999999999" x14ac:dyDescent="0.25">
      <c r="A758" s="16"/>
      <c r="B758" s="17"/>
      <c r="C758" s="2"/>
      <c r="D758" s="2"/>
      <c r="E758" s="2"/>
      <c r="F758" s="2"/>
      <c r="G758" s="2"/>
      <c r="H758" s="2"/>
      <c r="I758" s="5"/>
    </row>
    <row r="759" spans="1:9" ht="17.399999999999999" x14ac:dyDescent="0.25">
      <c r="A759" s="16"/>
      <c r="B759" s="17"/>
      <c r="C759" s="2"/>
      <c r="D759" s="2"/>
      <c r="E759" s="2"/>
      <c r="F759" s="2"/>
      <c r="G759" s="2"/>
      <c r="H759" s="2"/>
      <c r="I759" s="5"/>
    </row>
    <row r="760" spans="1:9" ht="17.399999999999999" x14ac:dyDescent="0.25">
      <c r="A760" s="16"/>
      <c r="B760" s="17"/>
      <c r="C760" s="2"/>
      <c r="D760" s="2"/>
      <c r="E760" s="2"/>
      <c r="F760" s="2"/>
      <c r="G760" s="2"/>
      <c r="H760" s="2"/>
      <c r="I760" s="5"/>
    </row>
    <row r="761" spans="1:9" ht="17.399999999999999" x14ac:dyDescent="0.25">
      <c r="A761" s="16"/>
      <c r="B761" s="17"/>
      <c r="C761" s="2"/>
      <c r="D761" s="2"/>
      <c r="E761" s="2"/>
      <c r="F761" s="2"/>
      <c r="G761" s="2"/>
      <c r="H761" s="2"/>
      <c r="I761" s="5"/>
    </row>
    <row r="762" spans="1:9" ht="17.399999999999999" x14ac:dyDescent="0.25">
      <c r="A762" s="16"/>
      <c r="B762" s="17"/>
      <c r="C762" s="2"/>
      <c r="D762" s="2"/>
      <c r="E762" s="2"/>
      <c r="F762" s="2"/>
      <c r="G762" s="2"/>
      <c r="H762" s="2"/>
      <c r="I762" s="5"/>
    </row>
    <row r="763" spans="1:9" ht="17.399999999999999" x14ac:dyDescent="0.25">
      <c r="A763" s="16"/>
      <c r="B763" s="17"/>
      <c r="C763" s="2"/>
      <c r="D763" s="2"/>
      <c r="E763" s="2"/>
      <c r="F763" s="2"/>
      <c r="G763" s="2"/>
      <c r="H763" s="2"/>
      <c r="I763" s="5"/>
    </row>
    <row r="764" spans="1:9" ht="17.399999999999999" x14ac:dyDescent="0.25">
      <c r="A764" s="16"/>
      <c r="B764" s="17"/>
      <c r="C764" s="2"/>
      <c r="D764" s="2"/>
      <c r="E764" s="2"/>
      <c r="F764" s="2"/>
      <c r="G764" s="2"/>
      <c r="H764" s="2"/>
      <c r="I764" s="5"/>
    </row>
    <row r="765" spans="1:9" ht="17.399999999999999" x14ac:dyDescent="0.25">
      <c r="A765" s="16"/>
      <c r="B765" s="17"/>
      <c r="C765" s="2"/>
      <c r="D765" s="2"/>
      <c r="E765" s="2"/>
      <c r="F765" s="2"/>
      <c r="G765" s="2"/>
      <c r="H765" s="2"/>
      <c r="I765" s="5"/>
    </row>
    <row r="766" spans="1:9" ht="17.399999999999999" x14ac:dyDescent="0.25">
      <c r="A766" s="16"/>
      <c r="B766" s="17"/>
      <c r="C766" s="2"/>
      <c r="D766" s="2"/>
      <c r="E766" s="2"/>
      <c r="F766" s="2"/>
      <c r="G766" s="2"/>
      <c r="H766" s="2"/>
      <c r="I766" s="5"/>
    </row>
    <row r="767" spans="1:9" ht="17.399999999999999" x14ac:dyDescent="0.25">
      <c r="A767" s="16"/>
      <c r="B767" s="17"/>
      <c r="C767" s="2"/>
      <c r="D767" s="2"/>
      <c r="E767" s="2"/>
      <c r="F767" s="2"/>
      <c r="G767" s="2"/>
      <c r="H767" s="2"/>
      <c r="I767" s="5"/>
    </row>
    <row r="768" spans="1:9" ht="17.399999999999999" x14ac:dyDescent="0.25">
      <c r="A768" s="16"/>
      <c r="B768" s="17"/>
      <c r="C768" s="2"/>
      <c r="D768" s="2"/>
      <c r="E768" s="2"/>
      <c r="F768" s="2"/>
      <c r="G768" s="2"/>
      <c r="H768" s="2"/>
      <c r="I768" s="5"/>
    </row>
    <row r="769" spans="1:9" ht="17.399999999999999" x14ac:dyDescent="0.25">
      <c r="A769" s="16"/>
      <c r="B769" s="17"/>
      <c r="C769" s="2"/>
      <c r="D769" s="2"/>
      <c r="E769" s="2"/>
      <c r="F769" s="2"/>
      <c r="G769" s="2"/>
      <c r="H769" s="2"/>
      <c r="I769" s="5"/>
    </row>
    <row r="770" spans="1:9" ht="17.399999999999999" x14ac:dyDescent="0.25">
      <c r="A770" s="16"/>
      <c r="B770" s="17"/>
      <c r="C770" s="2"/>
      <c r="D770" s="2"/>
      <c r="E770" s="2"/>
      <c r="F770" s="2"/>
      <c r="G770" s="2"/>
      <c r="H770" s="2"/>
      <c r="I770" s="5"/>
    </row>
    <row r="771" spans="1:9" ht="17.399999999999999" x14ac:dyDescent="0.25">
      <c r="A771" s="16"/>
      <c r="B771" s="17"/>
      <c r="C771" s="2"/>
      <c r="D771" s="2"/>
      <c r="E771" s="2"/>
      <c r="F771" s="2"/>
      <c r="G771" s="2"/>
      <c r="H771" s="2"/>
      <c r="I771" s="5"/>
    </row>
    <row r="772" spans="1:9" ht="17.399999999999999" x14ac:dyDescent="0.25">
      <c r="A772" s="16"/>
      <c r="B772" s="17"/>
      <c r="C772" s="2"/>
      <c r="D772" s="2"/>
      <c r="E772" s="2"/>
      <c r="F772" s="2"/>
      <c r="G772" s="2"/>
      <c r="H772" s="2"/>
      <c r="I772" s="5"/>
    </row>
    <row r="773" spans="1:9" ht="17.399999999999999" x14ac:dyDescent="0.25">
      <c r="A773" s="16"/>
      <c r="B773" s="17"/>
      <c r="C773" s="2"/>
      <c r="D773" s="2"/>
      <c r="E773" s="2"/>
      <c r="F773" s="2"/>
      <c r="G773" s="2"/>
      <c r="H773" s="2"/>
      <c r="I773" s="5"/>
    </row>
    <row r="774" spans="1:9" ht="17.399999999999999" x14ac:dyDescent="0.25">
      <c r="A774" s="16"/>
      <c r="B774" s="17"/>
      <c r="C774" s="2"/>
      <c r="D774" s="2"/>
      <c r="E774" s="2"/>
      <c r="F774" s="2"/>
      <c r="G774" s="2"/>
      <c r="H774" s="2"/>
      <c r="I774" s="5"/>
    </row>
    <row r="775" spans="1:9" ht="17.399999999999999" x14ac:dyDescent="0.25">
      <c r="A775" s="16"/>
      <c r="B775" s="17"/>
      <c r="C775" s="2"/>
      <c r="D775" s="2"/>
      <c r="E775" s="2"/>
      <c r="F775" s="2"/>
      <c r="G775" s="2"/>
      <c r="H775" s="2"/>
      <c r="I775" s="5"/>
    </row>
    <row r="776" spans="1:9" ht="17.399999999999999" x14ac:dyDescent="0.25">
      <c r="A776" s="16"/>
      <c r="B776" s="17"/>
      <c r="C776" s="2"/>
      <c r="D776" s="2"/>
      <c r="E776" s="2"/>
      <c r="F776" s="2"/>
      <c r="G776" s="2"/>
      <c r="H776" s="2"/>
      <c r="I776" s="5"/>
    </row>
    <row r="777" spans="1:9" ht="17.399999999999999" x14ac:dyDescent="0.25">
      <c r="A777" s="16"/>
      <c r="B777" s="17"/>
      <c r="C777" s="2"/>
      <c r="D777" s="2"/>
      <c r="E777" s="2"/>
      <c r="F777" s="2"/>
      <c r="G777" s="2"/>
      <c r="H777" s="2"/>
      <c r="I777" s="5"/>
    </row>
    <row r="778" spans="1:9" ht="17.399999999999999" x14ac:dyDescent="0.25">
      <c r="A778" s="16"/>
      <c r="B778" s="17"/>
      <c r="C778" s="2"/>
      <c r="D778" s="2"/>
      <c r="E778" s="2"/>
      <c r="F778" s="2"/>
      <c r="G778" s="2"/>
      <c r="H778" s="2"/>
      <c r="I778" s="5"/>
    </row>
    <row r="779" spans="1:9" ht="17.399999999999999" x14ac:dyDescent="0.25">
      <c r="A779" s="16"/>
      <c r="B779" s="17"/>
      <c r="C779" s="2"/>
      <c r="D779" s="2"/>
      <c r="E779" s="2"/>
      <c r="F779" s="2"/>
      <c r="G779" s="2"/>
      <c r="H779" s="2"/>
      <c r="I779" s="5"/>
    </row>
    <row r="780" spans="1:9" ht="17.399999999999999" x14ac:dyDescent="0.25">
      <c r="A780" s="16"/>
      <c r="B780" s="17"/>
      <c r="C780" s="2"/>
      <c r="D780" s="2"/>
      <c r="E780" s="2"/>
      <c r="F780" s="2"/>
      <c r="G780" s="2"/>
      <c r="H780" s="2"/>
      <c r="I780" s="5"/>
    </row>
    <row r="781" spans="1:9" ht="17.399999999999999" x14ac:dyDescent="0.25">
      <c r="A781" s="16"/>
      <c r="B781" s="17"/>
      <c r="C781" s="2"/>
      <c r="D781" s="2"/>
      <c r="E781" s="2"/>
      <c r="F781" s="2"/>
      <c r="G781" s="2"/>
      <c r="H781" s="2"/>
      <c r="I781" s="5"/>
    </row>
    <row r="782" spans="1:9" ht="17.399999999999999" x14ac:dyDescent="0.25">
      <c r="A782" s="16"/>
      <c r="B782" s="17"/>
      <c r="C782" s="2"/>
      <c r="D782" s="2"/>
      <c r="E782" s="2"/>
      <c r="F782" s="2"/>
      <c r="G782" s="2"/>
      <c r="H782" s="2"/>
      <c r="I782" s="5"/>
    </row>
    <row r="783" spans="1:9" ht="17.399999999999999" x14ac:dyDescent="0.25">
      <c r="A783" s="16"/>
      <c r="B783" s="17"/>
      <c r="C783" s="2"/>
      <c r="D783" s="2"/>
      <c r="E783" s="2"/>
      <c r="F783" s="2"/>
      <c r="G783" s="2"/>
      <c r="H783" s="2"/>
      <c r="I783" s="5"/>
    </row>
    <row r="784" spans="1:9" ht="17.399999999999999" x14ac:dyDescent="0.25">
      <c r="A784" s="16"/>
      <c r="B784" s="17"/>
      <c r="C784" s="2"/>
      <c r="D784" s="2"/>
      <c r="E784" s="2"/>
      <c r="F784" s="2"/>
      <c r="G784" s="2"/>
      <c r="H784" s="2"/>
      <c r="I784" s="5"/>
    </row>
    <row r="785" spans="1:9" ht="17.399999999999999" x14ac:dyDescent="0.25">
      <c r="A785" s="16"/>
      <c r="B785" s="17"/>
      <c r="C785" s="2"/>
      <c r="D785" s="2"/>
      <c r="E785" s="2"/>
      <c r="F785" s="2"/>
      <c r="G785" s="2"/>
      <c r="H785" s="2"/>
      <c r="I785" s="5"/>
    </row>
    <row r="786" spans="1:9" ht="17.399999999999999" x14ac:dyDescent="0.25">
      <c r="A786" s="16"/>
      <c r="B786" s="17"/>
      <c r="C786" s="2"/>
      <c r="D786" s="2"/>
      <c r="E786" s="2"/>
      <c r="F786" s="2"/>
      <c r="G786" s="2"/>
      <c r="H786" s="2"/>
      <c r="I786" s="5"/>
    </row>
    <row r="787" spans="1:9" ht="17.399999999999999" x14ac:dyDescent="0.25">
      <c r="A787" s="16"/>
      <c r="B787" s="17"/>
      <c r="C787" s="2"/>
      <c r="D787" s="2"/>
      <c r="E787" s="2"/>
      <c r="F787" s="2"/>
      <c r="G787" s="2"/>
      <c r="H787" s="2"/>
      <c r="I787" s="5"/>
    </row>
    <row r="788" spans="1:9" ht="17.399999999999999" x14ac:dyDescent="0.25">
      <c r="A788" s="16"/>
      <c r="B788" s="17"/>
      <c r="C788" s="2"/>
      <c r="D788" s="2"/>
      <c r="E788" s="2"/>
      <c r="F788" s="2"/>
      <c r="G788" s="2"/>
      <c r="H788" s="2"/>
      <c r="I788" s="5"/>
    </row>
    <row r="789" spans="1:9" ht="17.399999999999999" x14ac:dyDescent="0.25">
      <c r="A789" s="16"/>
      <c r="B789" s="17"/>
      <c r="C789" s="2"/>
      <c r="D789" s="2"/>
      <c r="E789" s="2"/>
      <c r="F789" s="2"/>
      <c r="G789" s="2"/>
      <c r="H789" s="2"/>
      <c r="I789" s="5"/>
    </row>
    <row r="790" spans="1:9" ht="17.399999999999999" x14ac:dyDescent="0.25">
      <c r="A790" s="16"/>
      <c r="B790" s="17"/>
      <c r="C790" s="2"/>
      <c r="D790" s="2"/>
      <c r="E790" s="2"/>
      <c r="F790" s="2"/>
      <c r="G790" s="2"/>
      <c r="H790" s="2"/>
      <c r="I790" s="5"/>
    </row>
    <row r="791" spans="1:9" ht="17.399999999999999" x14ac:dyDescent="0.25">
      <c r="A791" s="16"/>
      <c r="B791" s="17"/>
      <c r="C791" s="2"/>
      <c r="D791" s="2"/>
      <c r="E791" s="2"/>
      <c r="F791" s="2"/>
      <c r="G791" s="2"/>
      <c r="H791" s="2"/>
      <c r="I791" s="5"/>
    </row>
    <row r="792" spans="1:9" ht="17.399999999999999" x14ac:dyDescent="0.25">
      <c r="A792" s="16"/>
      <c r="B792" s="17"/>
      <c r="C792" s="2"/>
      <c r="D792" s="2"/>
      <c r="E792" s="2"/>
      <c r="F792" s="2"/>
      <c r="G792" s="2"/>
      <c r="H792" s="2"/>
      <c r="I792" s="5"/>
    </row>
    <row r="793" spans="1:9" ht="17.399999999999999" x14ac:dyDescent="0.25">
      <c r="A793" s="16"/>
      <c r="B793" s="17"/>
      <c r="C793" s="2"/>
      <c r="D793" s="2"/>
      <c r="E793" s="2"/>
      <c r="F793" s="2"/>
      <c r="G793" s="2"/>
      <c r="H793" s="2"/>
      <c r="I793" s="5"/>
    </row>
    <row r="794" spans="1:9" ht="17.399999999999999" x14ac:dyDescent="0.25">
      <c r="A794" s="16"/>
      <c r="B794" s="17"/>
      <c r="C794" s="2"/>
      <c r="D794" s="2"/>
      <c r="E794" s="2"/>
      <c r="F794" s="2"/>
      <c r="G794" s="2"/>
      <c r="H794" s="2"/>
      <c r="I794" s="5"/>
    </row>
    <row r="795" spans="1:9" ht="17.399999999999999" x14ac:dyDescent="0.25">
      <c r="A795" s="16"/>
      <c r="B795" s="17"/>
      <c r="C795" s="2"/>
      <c r="D795" s="2"/>
      <c r="E795" s="2"/>
      <c r="F795" s="2"/>
      <c r="G795" s="2"/>
      <c r="H795" s="2"/>
      <c r="I795" s="5"/>
    </row>
    <row r="796" spans="1:9" ht="17.399999999999999" x14ac:dyDescent="0.25">
      <c r="A796" s="16"/>
      <c r="B796" s="17"/>
      <c r="C796" s="2"/>
      <c r="D796" s="2"/>
      <c r="E796" s="2"/>
      <c r="F796" s="2"/>
      <c r="G796" s="2"/>
      <c r="H796" s="2"/>
      <c r="I796" s="5"/>
    </row>
    <row r="797" spans="1:9" ht="17.399999999999999" x14ac:dyDescent="0.25">
      <c r="A797" s="16"/>
      <c r="B797" s="17"/>
      <c r="C797" s="2"/>
      <c r="D797" s="2"/>
      <c r="E797" s="2"/>
      <c r="F797" s="2"/>
      <c r="G797" s="2"/>
      <c r="H797" s="2"/>
      <c r="I797" s="5"/>
    </row>
    <row r="798" spans="1:9" ht="17.399999999999999" x14ac:dyDescent="0.25">
      <c r="A798" s="16"/>
      <c r="B798" s="17"/>
      <c r="C798" s="2"/>
      <c r="D798" s="2"/>
      <c r="E798" s="2"/>
      <c r="F798" s="2"/>
      <c r="G798" s="2"/>
      <c r="H798" s="2"/>
      <c r="I798" s="5"/>
    </row>
    <row r="799" spans="1:9" ht="17.399999999999999" x14ac:dyDescent="0.25">
      <c r="A799" s="16"/>
      <c r="B799" s="17"/>
      <c r="C799" s="2"/>
      <c r="D799" s="2"/>
      <c r="E799" s="2"/>
      <c r="F799" s="2"/>
      <c r="G799" s="2"/>
      <c r="H799" s="2"/>
      <c r="I799" s="5"/>
    </row>
    <row r="800" spans="1:9" ht="17.399999999999999" x14ac:dyDescent="0.25">
      <c r="A800" s="16"/>
      <c r="B800" s="17"/>
      <c r="C800" s="2"/>
      <c r="D800" s="2"/>
      <c r="E800" s="2"/>
      <c r="F800" s="2"/>
      <c r="G800" s="2"/>
      <c r="H800" s="2"/>
      <c r="I800" s="5"/>
    </row>
    <row r="801" spans="1:9" ht="17.399999999999999" x14ac:dyDescent="0.25">
      <c r="A801" s="16"/>
      <c r="B801" s="17"/>
      <c r="C801" s="2"/>
      <c r="D801" s="2"/>
      <c r="E801" s="2"/>
      <c r="F801" s="2"/>
      <c r="G801" s="2"/>
      <c r="H801" s="2"/>
      <c r="I801" s="5"/>
    </row>
    <row r="802" spans="1:9" ht="17.399999999999999" x14ac:dyDescent="0.25">
      <c r="A802" s="16"/>
      <c r="B802" s="17"/>
      <c r="C802" s="2"/>
      <c r="D802" s="2"/>
      <c r="E802" s="2"/>
      <c r="F802" s="2"/>
      <c r="G802" s="2"/>
      <c r="H802" s="2"/>
      <c r="I802" s="5"/>
    </row>
    <row r="803" spans="1:9" ht="17.399999999999999" x14ac:dyDescent="0.25">
      <c r="A803" s="16"/>
      <c r="B803" s="17"/>
      <c r="C803" s="2"/>
      <c r="D803" s="2"/>
      <c r="E803" s="2"/>
      <c r="F803" s="2"/>
      <c r="G803" s="2"/>
      <c r="H803" s="2"/>
      <c r="I803" s="5"/>
    </row>
    <row r="804" spans="1:9" ht="17.399999999999999" x14ac:dyDescent="0.25">
      <c r="A804" s="16"/>
      <c r="B804" s="17"/>
      <c r="C804" s="2"/>
      <c r="D804" s="2"/>
      <c r="E804" s="2"/>
      <c r="F804" s="2"/>
      <c r="G804" s="2"/>
      <c r="H804" s="2"/>
      <c r="I804" s="5"/>
    </row>
    <row r="805" spans="1:9" ht="17.399999999999999" x14ac:dyDescent="0.25">
      <c r="A805" s="16"/>
      <c r="B805" s="17"/>
      <c r="C805" s="2"/>
      <c r="D805" s="2"/>
      <c r="E805" s="2"/>
      <c r="F805" s="2"/>
      <c r="G805" s="2"/>
      <c r="H805" s="2"/>
      <c r="I805" s="5"/>
    </row>
    <row r="806" spans="1:9" ht="17.399999999999999" x14ac:dyDescent="0.25">
      <c r="A806" s="16"/>
      <c r="B806" s="17"/>
      <c r="C806" s="2"/>
      <c r="D806" s="2"/>
      <c r="E806" s="2"/>
      <c r="F806" s="2"/>
      <c r="G806" s="2"/>
      <c r="H806" s="2"/>
      <c r="I806" s="5"/>
    </row>
    <row r="807" spans="1:9" ht="17.399999999999999" x14ac:dyDescent="0.25">
      <c r="A807" s="16"/>
      <c r="B807" s="17"/>
      <c r="C807" s="2"/>
      <c r="D807" s="2"/>
      <c r="E807" s="2"/>
      <c r="F807" s="2"/>
      <c r="G807" s="2"/>
      <c r="H807" s="2"/>
      <c r="I807" s="5"/>
    </row>
    <row r="808" spans="1:9" ht="17.399999999999999" x14ac:dyDescent="0.25">
      <c r="A808" s="16"/>
      <c r="B808" s="17"/>
      <c r="C808" s="2"/>
      <c r="D808" s="2"/>
      <c r="E808" s="2"/>
      <c r="F808" s="2"/>
      <c r="G808" s="2"/>
      <c r="H808" s="2"/>
      <c r="I808" s="5"/>
    </row>
    <row r="809" spans="1:9" ht="17.399999999999999" x14ac:dyDescent="0.25">
      <c r="A809" s="16"/>
      <c r="B809" s="17"/>
      <c r="C809" s="2"/>
      <c r="D809" s="2"/>
      <c r="E809" s="2"/>
      <c r="F809" s="2"/>
      <c r="G809" s="2"/>
      <c r="H809" s="2"/>
      <c r="I809" s="5"/>
    </row>
    <row r="810" spans="1:9" ht="17.399999999999999" x14ac:dyDescent="0.25">
      <c r="A810" s="16"/>
      <c r="B810" s="17"/>
      <c r="C810" s="2"/>
      <c r="D810" s="2"/>
      <c r="E810" s="2"/>
      <c r="F810" s="2"/>
      <c r="G810" s="2"/>
      <c r="H810" s="2"/>
      <c r="I810" s="5"/>
    </row>
    <row r="811" spans="1:9" ht="17.399999999999999" x14ac:dyDescent="0.25">
      <c r="A811" s="16"/>
      <c r="B811" s="17"/>
      <c r="C811" s="2"/>
      <c r="D811" s="2"/>
      <c r="E811" s="2"/>
      <c r="F811" s="2"/>
      <c r="G811" s="2"/>
      <c r="H811" s="2"/>
      <c r="I811" s="5"/>
    </row>
    <row r="812" spans="1:9" ht="17.399999999999999" x14ac:dyDescent="0.25">
      <c r="A812" s="16"/>
      <c r="B812" s="17"/>
      <c r="C812" s="2"/>
      <c r="D812" s="2"/>
      <c r="E812" s="2"/>
      <c r="F812" s="2"/>
      <c r="G812" s="2"/>
      <c r="H812" s="2"/>
      <c r="I812" s="5"/>
    </row>
    <row r="813" spans="1:9" ht="17.399999999999999" x14ac:dyDescent="0.25">
      <c r="A813" s="16"/>
      <c r="B813" s="17"/>
      <c r="C813" s="2"/>
      <c r="D813" s="2"/>
      <c r="E813" s="2"/>
      <c r="F813" s="2"/>
      <c r="G813" s="2"/>
      <c r="H813" s="2"/>
      <c r="I813" s="5"/>
    </row>
    <row r="814" spans="1:9" ht="17.399999999999999" x14ac:dyDescent="0.25">
      <c r="A814" s="16"/>
      <c r="B814" s="17"/>
      <c r="C814" s="2"/>
      <c r="D814" s="2"/>
      <c r="E814" s="2"/>
      <c r="F814" s="2"/>
      <c r="G814" s="2"/>
      <c r="H814" s="2"/>
      <c r="I814" s="5"/>
    </row>
    <row r="815" spans="1:9" ht="17.399999999999999" x14ac:dyDescent="0.25">
      <c r="A815" s="16"/>
      <c r="B815" s="17"/>
      <c r="C815" s="2"/>
      <c r="D815" s="2"/>
      <c r="E815" s="2"/>
      <c r="F815" s="2"/>
      <c r="G815" s="2"/>
      <c r="H815" s="2"/>
      <c r="I815" s="5"/>
    </row>
    <row r="816" spans="1:9" ht="17.399999999999999" x14ac:dyDescent="0.25">
      <c r="A816" s="16"/>
      <c r="B816" s="17"/>
      <c r="C816" s="2"/>
      <c r="D816" s="2"/>
      <c r="E816" s="2"/>
      <c r="F816" s="2"/>
      <c r="G816" s="2"/>
      <c r="H816" s="2"/>
      <c r="I816" s="5"/>
    </row>
    <row r="817" spans="1:9" ht="17.399999999999999" x14ac:dyDescent="0.25">
      <c r="A817" s="16"/>
      <c r="B817" s="17"/>
      <c r="C817" s="2"/>
      <c r="D817" s="2"/>
      <c r="E817" s="2"/>
      <c r="F817" s="2"/>
      <c r="G817" s="2"/>
      <c r="H817" s="2"/>
      <c r="I817" s="5"/>
    </row>
    <row r="818" spans="1:9" ht="17.399999999999999" x14ac:dyDescent="0.25">
      <c r="A818" s="16"/>
      <c r="B818" s="17"/>
      <c r="C818" s="2"/>
      <c r="D818" s="2"/>
      <c r="E818" s="2"/>
      <c r="F818" s="2"/>
      <c r="G818" s="2"/>
      <c r="H818" s="2"/>
      <c r="I818" s="5"/>
    </row>
    <row r="819" spans="1:9" ht="17.399999999999999" x14ac:dyDescent="0.25">
      <c r="A819" s="16"/>
      <c r="B819" s="17"/>
      <c r="C819" s="2"/>
      <c r="D819" s="2"/>
      <c r="E819" s="2"/>
      <c r="F819" s="2"/>
      <c r="G819" s="2"/>
      <c r="H819" s="2"/>
      <c r="I819" s="5"/>
    </row>
    <row r="820" spans="1:9" ht="17.399999999999999" x14ac:dyDescent="0.25">
      <c r="A820" s="16"/>
      <c r="B820" s="17"/>
      <c r="C820" s="2"/>
      <c r="D820" s="2"/>
      <c r="E820" s="2"/>
      <c r="F820" s="2"/>
      <c r="G820" s="2"/>
      <c r="H820" s="2"/>
      <c r="I820" s="5"/>
    </row>
    <row r="821" spans="1:9" ht="17.399999999999999" x14ac:dyDescent="0.25">
      <c r="A821" s="16"/>
      <c r="B821" s="17"/>
      <c r="C821" s="2"/>
      <c r="D821" s="2"/>
      <c r="E821" s="2"/>
      <c r="F821" s="2"/>
      <c r="G821" s="2"/>
      <c r="H821" s="2"/>
      <c r="I821" s="5"/>
    </row>
    <row r="822" spans="1:9" ht="17.399999999999999" x14ac:dyDescent="0.25">
      <c r="A822" s="16"/>
      <c r="B822" s="17"/>
      <c r="C822" s="2"/>
      <c r="D822" s="2"/>
      <c r="E822" s="2"/>
      <c r="F822" s="2"/>
      <c r="G822" s="2"/>
      <c r="H822" s="2"/>
      <c r="I822" s="5"/>
    </row>
    <row r="823" spans="1:9" ht="17.399999999999999" x14ac:dyDescent="0.25">
      <c r="A823" s="16"/>
      <c r="B823" s="17"/>
      <c r="C823" s="2"/>
      <c r="D823" s="2"/>
      <c r="E823" s="2"/>
      <c r="F823" s="2"/>
      <c r="G823" s="2"/>
      <c r="H823" s="2"/>
      <c r="I823" s="5"/>
    </row>
    <row r="824" spans="1:9" ht="17.399999999999999" x14ac:dyDescent="0.25">
      <c r="A824" s="16"/>
      <c r="B824" s="17"/>
      <c r="C824" s="2"/>
      <c r="D824" s="2"/>
      <c r="E824" s="2"/>
      <c r="F824" s="2"/>
      <c r="G824" s="2"/>
      <c r="H824" s="2"/>
      <c r="I824" s="5"/>
    </row>
    <row r="825" spans="1:9" ht="17.399999999999999" x14ac:dyDescent="0.25">
      <c r="A825" s="16"/>
      <c r="B825" s="17"/>
      <c r="C825" s="2"/>
      <c r="D825" s="2"/>
      <c r="E825" s="2"/>
      <c r="F825" s="2"/>
      <c r="G825" s="2"/>
      <c r="H825" s="2"/>
      <c r="I825" s="5"/>
    </row>
    <row r="826" spans="1:9" ht="17.399999999999999" x14ac:dyDescent="0.25">
      <c r="A826" s="16"/>
      <c r="B826" s="17"/>
      <c r="C826" s="2"/>
      <c r="D826" s="2"/>
      <c r="E826" s="2"/>
      <c r="F826" s="2"/>
      <c r="G826" s="2"/>
      <c r="H826" s="2"/>
      <c r="I826" s="5"/>
    </row>
    <row r="827" spans="1:9" ht="17.399999999999999" x14ac:dyDescent="0.25">
      <c r="A827" s="16"/>
      <c r="B827" s="17"/>
      <c r="C827" s="2"/>
      <c r="D827" s="2"/>
      <c r="E827" s="2"/>
      <c r="F827" s="2"/>
      <c r="G827" s="2"/>
      <c r="H827" s="2"/>
      <c r="I827" s="5"/>
    </row>
    <row r="828" spans="1:9" ht="17.399999999999999" x14ac:dyDescent="0.25">
      <c r="A828" s="16"/>
      <c r="B828" s="17"/>
      <c r="C828" s="2"/>
      <c r="D828" s="2"/>
      <c r="E828" s="2"/>
      <c r="F828" s="2"/>
      <c r="G828" s="2"/>
      <c r="H828" s="2"/>
      <c r="I828" s="5"/>
    </row>
    <row r="829" spans="1:9" ht="17.399999999999999" x14ac:dyDescent="0.25">
      <c r="A829" s="16"/>
      <c r="B829" s="17"/>
      <c r="C829" s="2"/>
      <c r="D829" s="2"/>
      <c r="E829" s="2"/>
      <c r="F829" s="2"/>
      <c r="G829" s="2"/>
      <c r="H829" s="2"/>
      <c r="I829" s="5"/>
    </row>
    <row r="830" spans="1:9" ht="17.399999999999999" x14ac:dyDescent="0.25">
      <c r="A830" s="16"/>
      <c r="B830" s="17"/>
      <c r="C830" s="2"/>
      <c r="D830" s="2"/>
      <c r="E830" s="2"/>
      <c r="F830" s="2"/>
      <c r="G830" s="2"/>
      <c r="H830" s="2"/>
      <c r="I830" s="5"/>
    </row>
    <row r="831" spans="1:9" ht="17.399999999999999" x14ac:dyDescent="0.25">
      <c r="A831" s="16"/>
      <c r="B831" s="17"/>
      <c r="C831" s="2"/>
      <c r="D831" s="2"/>
      <c r="E831" s="2"/>
      <c r="F831" s="2"/>
      <c r="G831" s="2"/>
      <c r="H831" s="2"/>
      <c r="I831" s="5"/>
    </row>
    <row r="832" spans="1:9" ht="17.399999999999999" x14ac:dyDescent="0.25">
      <c r="A832" s="16"/>
      <c r="B832" s="17"/>
      <c r="C832" s="2"/>
      <c r="D832" s="2"/>
      <c r="E832" s="2"/>
      <c r="F832" s="2"/>
      <c r="G832" s="2"/>
      <c r="H832" s="2"/>
      <c r="I832" s="5"/>
    </row>
    <row r="833" spans="1:9" ht="17.399999999999999" x14ac:dyDescent="0.25">
      <c r="A833" s="16"/>
      <c r="B833" s="17"/>
      <c r="C833" s="2"/>
      <c r="D833" s="2"/>
      <c r="E833" s="2"/>
      <c r="F833" s="2"/>
      <c r="G833" s="2"/>
      <c r="H833" s="2"/>
      <c r="I833" s="5"/>
    </row>
    <row r="834" spans="1:9" ht="17.399999999999999" x14ac:dyDescent="0.25">
      <c r="A834" s="16"/>
      <c r="B834" s="17"/>
      <c r="C834" s="2"/>
      <c r="D834" s="2"/>
      <c r="E834" s="2"/>
      <c r="F834" s="2"/>
      <c r="G834" s="2"/>
      <c r="H834" s="2"/>
      <c r="I834" s="5"/>
    </row>
    <row r="835" spans="1:9" ht="17.399999999999999" x14ac:dyDescent="0.25">
      <c r="A835" s="16"/>
      <c r="B835" s="17"/>
      <c r="C835" s="2"/>
      <c r="D835" s="2"/>
      <c r="E835" s="2"/>
      <c r="F835" s="2"/>
      <c r="G835" s="2"/>
      <c r="H835" s="2"/>
      <c r="I835" s="5"/>
    </row>
    <row r="836" spans="1:9" ht="17.399999999999999" x14ac:dyDescent="0.25">
      <c r="A836" s="16"/>
      <c r="B836" s="17"/>
      <c r="C836" s="2"/>
      <c r="D836" s="2"/>
      <c r="E836" s="2"/>
      <c r="F836" s="2"/>
      <c r="G836" s="2"/>
      <c r="H836" s="2"/>
      <c r="I836" s="5"/>
    </row>
    <row r="837" spans="1:9" ht="17.399999999999999" x14ac:dyDescent="0.25">
      <c r="A837" s="16"/>
      <c r="B837" s="17"/>
      <c r="C837" s="2"/>
      <c r="D837" s="2"/>
      <c r="E837" s="2"/>
      <c r="F837" s="2"/>
      <c r="G837" s="2"/>
      <c r="H837" s="2"/>
      <c r="I837" s="5"/>
    </row>
    <row r="838" spans="1:9" ht="17.399999999999999" x14ac:dyDescent="0.25">
      <c r="A838" s="16"/>
      <c r="B838" s="17"/>
      <c r="C838" s="2"/>
      <c r="D838" s="2"/>
      <c r="E838" s="2"/>
      <c r="F838" s="2"/>
      <c r="G838" s="2"/>
      <c r="H838" s="2"/>
      <c r="I838" s="5"/>
    </row>
    <row r="839" spans="1:9" ht="17.399999999999999" x14ac:dyDescent="0.25">
      <c r="A839" s="16"/>
      <c r="B839" s="17"/>
      <c r="C839" s="2"/>
      <c r="D839" s="2"/>
      <c r="E839" s="2"/>
      <c r="F839" s="2"/>
      <c r="G839" s="2"/>
      <c r="H839" s="2"/>
      <c r="I839" s="5"/>
    </row>
    <row r="840" spans="1:9" ht="17.399999999999999" x14ac:dyDescent="0.25">
      <c r="A840" s="16"/>
      <c r="B840" s="17"/>
      <c r="C840" s="2"/>
      <c r="D840" s="2"/>
      <c r="E840" s="2"/>
      <c r="F840" s="2"/>
      <c r="G840" s="2"/>
      <c r="H840" s="2"/>
      <c r="I840" s="5"/>
    </row>
    <row r="841" spans="1:9" ht="17.399999999999999" x14ac:dyDescent="0.25">
      <c r="A841" s="16"/>
      <c r="B841" s="17"/>
      <c r="C841" s="2"/>
      <c r="D841" s="2"/>
      <c r="E841" s="2"/>
      <c r="F841" s="2"/>
      <c r="G841" s="2"/>
      <c r="H841" s="2"/>
      <c r="I841" s="5"/>
    </row>
    <row r="842" spans="1:9" ht="17.399999999999999" x14ac:dyDescent="0.25">
      <c r="A842" s="16"/>
      <c r="B842" s="17"/>
      <c r="C842" s="2"/>
      <c r="D842" s="2"/>
      <c r="E842" s="2"/>
      <c r="F842" s="2"/>
      <c r="G842" s="2"/>
      <c r="H842" s="2"/>
      <c r="I842" s="5"/>
    </row>
    <row r="843" spans="1:9" ht="17.399999999999999" x14ac:dyDescent="0.25">
      <c r="A843" s="16"/>
      <c r="B843" s="17"/>
      <c r="C843" s="2"/>
      <c r="D843" s="2"/>
      <c r="E843" s="2"/>
      <c r="F843" s="2"/>
      <c r="G843" s="2"/>
      <c r="H843" s="2"/>
      <c r="I843" s="5"/>
    </row>
    <row r="844" spans="1:9" ht="17.399999999999999" x14ac:dyDescent="0.25">
      <c r="A844" s="16"/>
      <c r="B844" s="17"/>
      <c r="C844" s="2"/>
      <c r="D844" s="2"/>
      <c r="E844" s="2"/>
      <c r="F844" s="2"/>
      <c r="G844" s="2"/>
      <c r="H844" s="2"/>
      <c r="I844" s="5"/>
    </row>
    <row r="845" spans="1:9" ht="17.399999999999999" x14ac:dyDescent="0.25">
      <c r="A845" s="16"/>
      <c r="B845" s="17"/>
      <c r="C845" s="2"/>
      <c r="D845" s="2"/>
      <c r="E845" s="2"/>
      <c r="F845" s="2"/>
      <c r="G845" s="2"/>
      <c r="H845" s="2"/>
      <c r="I845" s="5"/>
    </row>
    <row r="846" spans="1:9" ht="17.399999999999999" x14ac:dyDescent="0.25">
      <c r="A846" s="16"/>
      <c r="B846" s="17"/>
      <c r="C846" s="2"/>
      <c r="D846" s="2"/>
      <c r="E846" s="2"/>
      <c r="F846" s="2"/>
      <c r="G846" s="2"/>
      <c r="H846" s="2"/>
      <c r="I846" s="5"/>
    </row>
    <row r="847" spans="1:9" ht="17.399999999999999" x14ac:dyDescent="0.25">
      <c r="A847" s="16"/>
      <c r="B847" s="17"/>
      <c r="C847" s="2"/>
      <c r="D847" s="2"/>
      <c r="E847" s="2"/>
      <c r="F847" s="2"/>
      <c r="G847" s="2"/>
      <c r="H847" s="2"/>
      <c r="I847" s="5"/>
    </row>
    <row r="848" spans="1:9" ht="17.399999999999999" x14ac:dyDescent="0.25">
      <c r="A848" s="16"/>
      <c r="B848" s="17"/>
      <c r="C848" s="2"/>
      <c r="D848" s="2"/>
      <c r="E848" s="2"/>
      <c r="F848" s="2"/>
      <c r="G848" s="2"/>
      <c r="H848" s="2"/>
      <c r="I848" s="5"/>
    </row>
    <row r="849" spans="1:9" ht="17.399999999999999" x14ac:dyDescent="0.25">
      <c r="A849" s="16"/>
      <c r="B849" s="17"/>
      <c r="C849" s="2"/>
      <c r="D849" s="2"/>
      <c r="E849" s="2"/>
      <c r="F849" s="2"/>
      <c r="G849" s="2"/>
      <c r="H849" s="2"/>
      <c r="I849" s="5"/>
    </row>
    <row r="850" spans="1:9" ht="17.399999999999999" x14ac:dyDescent="0.25">
      <c r="A850" s="16"/>
      <c r="B850" s="17"/>
      <c r="C850" s="2"/>
      <c r="D850" s="2"/>
      <c r="E850" s="2"/>
      <c r="F850" s="2"/>
      <c r="G850" s="2"/>
      <c r="H850" s="2"/>
      <c r="I850" s="5"/>
    </row>
    <row r="851" spans="1:9" ht="17.399999999999999" x14ac:dyDescent="0.25">
      <c r="A851" s="16"/>
      <c r="B851" s="17"/>
      <c r="C851" s="2"/>
      <c r="D851" s="2"/>
      <c r="E851" s="2"/>
      <c r="F851" s="2"/>
      <c r="G851" s="2"/>
      <c r="H851" s="2"/>
      <c r="I851" s="5"/>
    </row>
    <row r="852" spans="1:9" ht="17.399999999999999" x14ac:dyDescent="0.25">
      <c r="A852" s="16"/>
      <c r="B852" s="17"/>
      <c r="C852" s="2"/>
      <c r="D852" s="2"/>
      <c r="E852" s="2"/>
      <c r="F852" s="2"/>
      <c r="G852" s="2"/>
      <c r="H852" s="2"/>
      <c r="I852" s="5"/>
    </row>
    <row r="853" spans="1:9" ht="17.399999999999999" x14ac:dyDescent="0.25">
      <c r="A853" s="16"/>
      <c r="B853" s="17"/>
      <c r="C853" s="2"/>
      <c r="D853" s="2"/>
      <c r="E853" s="2"/>
      <c r="F853" s="2"/>
      <c r="G853" s="2"/>
      <c r="H853" s="2"/>
      <c r="I853" s="5"/>
    </row>
    <row r="854" spans="1:9" ht="17.399999999999999" x14ac:dyDescent="0.25">
      <c r="A854" s="16"/>
      <c r="B854" s="17"/>
      <c r="C854" s="2"/>
      <c r="D854" s="2"/>
      <c r="E854" s="2"/>
      <c r="F854" s="2"/>
      <c r="G854" s="2"/>
      <c r="H854" s="2"/>
      <c r="I854" s="5"/>
    </row>
    <row r="855" spans="1:9" ht="17.399999999999999" x14ac:dyDescent="0.25">
      <c r="A855" s="16"/>
      <c r="B855" s="17"/>
      <c r="C855" s="2"/>
      <c r="D855" s="2"/>
      <c r="E855" s="2"/>
      <c r="F855" s="2"/>
      <c r="G855" s="2"/>
      <c r="H855" s="2"/>
      <c r="I855" s="5"/>
    </row>
    <row r="856" spans="1:9" ht="17.399999999999999" x14ac:dyDescent="0.25">
      <c r="A856" s="16"/>
      <c r="B856" s="17"/>
      <c r="C856" s="2"/>
      <c r="D856" s="2"/>
      <c r="E856" s="2"/>
      <c r="F856" s="2"/>
      <c r="G856" s="2"/>
      <c r="H856" s="2"/>
      <c r="I856" s="5"/>
    </row>
    <row r="857" spans="1:9" ht="17.399999999999999" x14ac:dyDescent="0.25">
      <c r="A857" s="16"/>
      <c r="B857" s="17"/>
      <c r="C857" s="2"/>
      <c r="D857" s="2"/>
      <c r="E857" s="2"/>
      <c r="F857" s="2"/>
      <c r="G857" s="2"/>
      <c r="H857" s="2"/>
      <c r="I857" s="5"/>
    </row>
    <row r="858" spans="1:9" ht="17.399999999999999" x14ac:dyDescent="0.25">
      <c r="A858" s="16"/>
      <c r="B858" s="17"/>
      <c r="C858" s="2"/>
      <c r="D858" s="2"/>
      <c r="E858" s="2"/>
      <c r="F858" s="2"/>
      <c r="G858" s="2"/>
      <c r="H858" s="2"/>
      <c r="I858" s="5"/>
    </row>
    <row r="859" spans="1:9" ht="17.399999999999999" x14ac:dyDescent="0.25">
      <c r="A859" s="16"/>
      <c r="B859" s="17"/>
      <c r="C859" s="2"/>
      <c r="D859" s="2"/>
      <c r="E859" s="2"/>
      <c r="F859" s="2"/>
      <c r="G859" s="2"/>
      <c r="H859" s="2"/>
      <c r="I859" s="5"/>
    </row>
    <row r="860" spans="1:9" ht="17.399999999999999" x14ac:dyDescent="0.25">
      <c r="A860" s="16"/>
      <c r="B860" s="17"/>
      <c r="C860" s="2"/>
      <c r="D860" s="2"/>
      <c r="E860" s="2"/>
      <c r="F860" s="2"/>
      <c r="G860" s="2"/>
      <c r="H860" s="2"/>
      <c r="I860" s="5"/>
    </row>
    <row r="861" spans="1:9" ht="17.399999999999999" x14ac:dyDescent="0.25">
      <c r="A861" s="16"/>
      <c r="B861" s="17"/>
      <c r="C861" s="2"/>
      <c r="D861" s="2"/>
      <c r="E861" s="2"/>
      <c r="F861" s="2"/>
      <c r="G861" s="2"/>
      <c r="H861" s="2"/>
      <c r="I861" s="5"/>
    </row>
    <row r="862" spans="1:9" ht="17.399999999999999" x14ac:dyDescent="0.25">
      <c r="A862" s="16"/>
      <c r="B862" s="17"/>
      <c r="C862" s="2"/>
      <c r="D862" s="2"/>
      <c r="E862" s="2"/>
      <c r="F862" s="2"/>
      <c r="G862" s="2"/>
      <c r="H862" s="2"/>
      <c r="I862" s="5"/>
    </row>
    <row r="863" spans="1:9" ht="17.399999999999999" x14ac:dyDescent="0.25">
      <c r="A863" s="16"/>
      <c r="B863" s="17"/>
      <c r="C863" s="2"/>
      <c r="D863" s="2"/>
      <c r="E863" s="2"/>
      <c r="F863" s="2"/>
      <c r="G863" s="2"/>
      <c r="H863" s="2"/>
      <c r="I863" s="5"/>
    </row>
    <row r="864" spans="1:9" ht="17.399999999999999" x14ac:dyDescent="0.25">
      <c r="A864" s="16"/>
      <c r="B864" s="17"/>
      <c r="C864" s="2"/>
      <c r="D864" s="2"/>
      <c r="E864" s="2"/>
      <c r="F864" s="2"/>
      <c r="G864" s="2"/>
      <c r="H864" s="2"/>
      <c r="I864" s="5"/>
    </row>
    <row r="865" spans="1:9" ht="17.399999999999999" x14ac:dyDescent="0.25">
      <c r="A865" s="16"/>
      <c r="B865" s="17"/>
      <c r="C865" s="2"/>
      <c r="D865" s="2"/>
      <c r="E865" s="2"/>
      <c r="F865" s="2"/>
      <c r="G865" s="2"/>
      <c r="H865" s="2"/>
      <c r="I865" s="5"/>
    </row>
    <row r="866" spans="1:9" ht="17.399999999999999" x14ac:dyDescent="0.25">
      <c r="A866" s="16"/>
      <c r="B866" s="17"/>
      <c r="C866" s="2"/>
      <c r="D866" s="2"/>
      <c r="E866" s="2"/>
      <c r="F866" s="2"/>
      <c r="G866" s="2"/>
      <c r="H866" s="2"/>
      <c r="I866" s="5"/>
    </row>
    <row r="867" spans="1:9" ht="17.399999999999999" x14ac:dyDescent="0.25">
      <c r="A867" s="16"/>
      <c r="B867" s="17"/>
      <c r="C867" s="2"/>
      <c r="D867" s="2"/>
      <c r="E867" s="2"/>
      <c r="F867" s="2"/>
      <c r="G867" s="2"/>
      <c r="H867" s="2"/>
      <c r="I867" s="5"/>
    </row>
    <row r="868" spans="1:9" ht="17.399999999999999" x14ac:dyDescent="0.25">
      <c r="A868" s="16"/>
      <c r="B868" s="17"/>
      <c r="C868" s="2"/>
      <c r="D868" s="2"/>
      <c r="E868" s="2"/>
      <c r="F868" s="2"/>
      <c r="G868" s="2"/>
      <c r="H868" s="2"/>
      <c r="I868" s="5"/>
    </row>
    <row r="869" spans="1:9" ht="17.399999999999999" x14ac:dyDescent="0.25">
      <c r="A869" s="16"/>
      <c r="B869" s="17"/>
      <c r="C869" s="2"/>
      <c r="D869" s="2"/>
      <c r="E869" s="2"/>
      <c r="F869" s="2"/>
      <c r="G869" s="2"/>
      <c r="H869" s="2"/>
      <c r="I869" s="5"/>
    </row>
    <row r="870" spans="1:9" ht="17.399999999999999" x14ac:dyDescent="0.25">
      <c r="A870" s="16"/>
      <c r="B870" s="17"/>
      <c r="C870" s="2"/>
      <c r="D870" s="2"/>
      <c r="E870" s="2"/>
      <c r="F870" s="2"/>
      <c r="G870" s="2"/>
      <c r="H870" s="2"/>
      <c r="I870" s="5"/>
    </row>
    <row r="871" spans="1:9" ht="17.399999999999999" x14ac:dyDescent="0.25">
      <c r="A871" s="16"/>
      <c r="B871" s="17"/>
      <c r="C871" s="2"/>
      <c r="D871" s="2"/>
      <c r="E871" s="2"/>
      <c r="F871" s="2"/>
      <c r="G871" s="2"/>
      <c r="H871" s="2"/>
      <c r="I871" s="5"/>
    </row>
    <row r="872" spans="1:9" ht="17.399999999999999" x14ac:dyDescent="0.25">
      <c r="A872" s="16"/>
      <c r="B872" s="17"/>
      <c r="C872" s="2"/>
      <c r="D872" s="2"/>
      <c r="E872" s="2"/>
      <c r="F872" s="2"/>
      <c r="G872" s="2"/>
      <c r="H872" s="2"/>
      <c r="I872" s="5"/>
    </row>
    <row r="873" spans="1:9" ht="17.399999999999999" x14ac:dyDescent="0.25">
      <c r="A873" s="16"/>
      <c r="B873" s="17"/>
      <c r="C873" s="2"/>
      <c r="D873" s="2"/>
      <c r="E873" s="2"/>
      <c r="F873" s="2"/>
      <c r="G873" s="2"/>
      <c r="H873" s="2"/>
      <c r="I873" s="5"/>
    </row>
    <row r="874" spans="1:9" ht="17.399999999999999" x14ac:dyDescent="0.25">
      <c r="A874" s="16"/>
      <c r="B874" s="17"/>
      <c r="C874" s="2"/>
      <c r="D874" s="2"/>
      <c r="E874" s="2"/>
      <c r="F874" s="2"/>
      <c r="G874" s="2"/>
      <c r="H874" s="2"/>
      <c r="I874" s="5"/>
    </row>
    <row r="875" spans="1:9" ht="17.399999999999999" x14ac:dyDescent="0.25">
      <c r="A875" s="16"/>
      <c r="B875" s="17"/>
      <c r="C875" s="2"/>
      <c r="D875" s="2"/>
      <c r="E875" s="2"/>
      <c r="F875" s="2"/>
      <c r="G875" s="2"/>
      <c r="H875" s="2"/>
      <c r="I875" s="5"/>
    </row>
    <row r="876" spans="1:9" ht="17.399999999999999" x14ac:dyDescent="0.25">
      <c r="A876" s="16"/>
      <c r="B876" s="17"/>
      <c r="C876" s="2"/>
      <c r="D876" s="2"/>
      <c r="E876" s="2"/>
      <c r="F876" s="2"/>
      <c r="G876" s="2"/>
      <c r="H876" s="2"/>
      <c r="I876" s="5"/>
    </row>
    <row r="877" spans="1:9" ht="17.399999999999999" x14ac:dyDescent="0.25">
      <c r="A877" s="16"/>
      <c r="B877" s="17"/>
      <c r="C877" s="2"/>
      <c r="D877" s="2"/>
      <c r="E877" s="2"/>
      <c r="F877" s="2"/>
      <c r="G877" s="2"/>
      <c r="H877" s="2"/>
      <c r="I877" s="5"/>
    </row>
    <row r="878" spans="1:9" ht="17.399999999999999" x14ac:dyDescent="0.25">
      <c r="A878" s="16"/>
      <c r="B878" s="17"/>
      <c r="C878" s="2"/>
      <c r="D878" s="2"/>
      <c r="E878" s="2"/>
      <c r="F878" s="2"/>
      <c r="G878" s="2"/>
      <c r="H878" s="2"/>
      <c r="I878" s="5"/>
    </row>
    <row r="879" spans="1:9" ht="17.399999999999999" x14ac:dyDescent="0.25">
      <c r="A879" s="16"/>
      <c r="B879" s="17"/>
      <c r="C879" s="2"/>
      <c r="D879" s="2"/>
      <c r="E879" s="2"/>
      <c r="F879" s="2"/>
      <c r="G879" s="2"/>
      <c r="H879" s="2"/>
      <c r="I879" s="5"/>
    </row>
    <row r="880" spans="1:9" ht="17.399999999999999" x14ac:dyDescent="0.25">
      <c r="A880" s="16"/>
      <c r="B880" s="17"/>
      <c r="C880" s="2"/>
      <c r="D880" s="2"/>
      <c r="E880" s="2"/>
      <c r="F880" s="2"/>
      <c r="G880" s="2"/>
      <c r="H880" s="2"/>
      <c r="I880" s="5"/>
    </row>
    <row r="881" spans="1:9" ht="17.399999999999999" x14ac:dyDescent="0.25">
      <c r="A881" s="16"/>
      <c r="B881" s="17"/>
      <c r="C881" s="2"/>
      <c r="D881" s="2"/>
      <c r="E881" s="2"/>
      <c r="F881" s="2"/>
      <c r="G881" s="2"/>
      <c r="H881" s="2"/>
      <c r="I881" s="5"/>
    </row>
    <row r="882" spans="1:9" ht="17.399999999999999" x14ac:dyDescent="0.25">
      <c r="A882" s="16"/>
      <c r="B882" s="17"/>
      <c r="C882" s="2"/>
      <c r="D882" s="2"/>
      <c r="E882" s="2"/>
      <c r="F882" s="2"/>
      <c r="G882" s="2"/>
      <c r="H882" s="2"/>
      <c r="I882" s="5"/>
    </row>
    <row r="883" spans="1:9" ht="17.399999999999999" x14ac:dyDescent="0.25">
      <c r="A883" s="16"/>
      <c r="B883" s="17"/>
      <c r="C883" s="2"/>
      <c r="D883" s="2"/>
      <c r="E883" s="2"/>
      <c r="F883" s="2"/>
      <c r="G883" s="2"/>
      <c r="H883" s="2"/>
      <c r="I883" s="5"/>
    </row>
    <row r="884" spans="1:9" ht="17.399999999999999" x14ac:dyDescent="0.25">
      <c r="A884" s="16"/>
      <c r="B884" s="17"/>
      <c r="C884" s="2"/>
      <c r="D884" s="2"/>
      <c r="E884" s="2"/>
      <c r="F884" s="2"/>
      <c r="G884" s="2"/>
      <c r="H884" s="2"/>
      <c r="I884" s="5"/>
    </row>
    <row r="885" spans="1:9" ht="17.399999999999999" x14ac:dyDescent="0.25">
      <c r="A885" s="16"/>
      <c r="B885" s="17"/>
      <c r="C885" s="2"/>
      <c r="D885" s="2"/>
      <c r="E885" s="2"/>
      <c r="F885" s="2"/>
      <c r="G885" s="2"/>
      <c r="H885" s="2"/>
      <c r="I885" s="5"/>
    </row>
    <row r="886" spans="1:9" ht="17.399999999999999" x14ac:dyDescent="0.25">
      <c r="A886" s="16"/>
      <c r="B886" s="17"/>
      <c r="C886" s="2"/>
      <c r="D886" s="2"/>
      <c r="E886" s="2"/>
      <c r="F886" s="2"/>
      <c r="G886" s="2"/>
      <c r="H886" s="2"/>
      <c r="I886" s="5"/>
    </row>
    <row r="887" spans="1:9" ht="17.399999999999999" x14ac:dyDescent="0.25">
      <c r="A887" s="16"/>
      <c r="B887" s="17"/>
      <c r="C887" s="2"/>
      <c r="D887" s="2"/>
      <c r="E887" s="2"/>
      <c r="F887" s="2"/>
      <c r="G887" s="2"/>
      <c r="H887" s="2"/>
      <c r="I887" s="5"/>
    </row>
    <row r="888" spans="1:9" ht="17.399999999999999" x14ac:dyDescent="0.25">
      <c r="A888" s="16"/>
      <c r="B888" s="17"/>
      <c r="C888" s="2"/>
      <c r="D888" s="2"/>
      <c r="E888" s="2"/>
      <c r="F888" s="2"/>
      <c r="G888" s="2"/>
      <c r="H888" s="2"/>
      <c r="I888" s="5"/>
    </row>
    <row r="889" spans="1:9" ht="17.399999999999999" x14ac:dyDescent="0.25">
      <c r="A889" s="16"/>
      <c r="B889" s="17"/>
      <c r="C889" s="2"/>
      <c r="D889" s="2"/>
      <c r="E889" s="2"/>
      <c r="F889" s="2"/>
      <c r="G889" s="2"/>
      <c r="H889" s="2"/>
      <c r="I889" s="5"/>
    </row>
    <row r="890" spans="1:9" ht="17.399999999999999" x14ac:dyDescent="0.25">
      <c r="A890" s="16"/>
      <c r="B890" s="17"/>
      <c r="C890" s="2"/>
      <c r="D890" s="2"/>
      <c r="E890" s="2"/>
      <c r="F890" s="2"/>
      <c r="G890" s="2"/>
      <c r="H890" s="2"/>
      <c r="I890" s="5"/>
    </row>
    <row r="891" spans="1:9" ht="17.399999999999999" x14ac:dyDescent="0.25">
      <c r="A891" s="16"/>
      <c r="B891" s="17"/>
      <c r="C891" s="2"/>
      <c r="D891" s="2"/>
      <c r="E891" s="2"/>
      <c r="F891" s="2"/>
      <c r="G891" s="2"/>
      <c r="H891" s="2"/>
      <c r="I891" s="5"/>
    </row>
    <row r="892" spans="1:9" ht="17.399999999999999" x14ac:dyDescent="0.25">
      <c r="A892" s="16"/>
      <c r="B892" s="17"/>
      <c r="C892" s="2"/>
      <c r="D892" s="2"/>
      <c r="E892" s="2"/>
      <c r="F892" s="2"/>
      <c r="G892" s="2"/>
      <c r="H892" s="2"/>
      <c r="I892" s="5"/>
    </row>
    <row r="893" spans="1:9" ht="17.399999999999999" x14ac:dyDescent="0.25">
      <c r="A893" s="16"/>
      <c r="B893" s="17"/>
      <c r="C893" s="2"/>
      <c r="D893" s="2"/>
      <c r="E893" s="2"/>
      <c r="F893" s="2"/>
      <c r="G893" s="2"/>
      <c r="H893" s="2"/>
      <c r="I893" s="5"/>
    </row>
    <row r="894" spans="1:9" ht="17.399999999999999" x14ac:dyDescent="0.25">
      <c r="A894" s="16"/>
      <c r="B894" s="17"/>
      <c r="C894" s="2"/>
      <c r="D894" s="2"/>
      <c r="E894" s="2"/>
      <c r="F894" s="2"/>
      <c r="G894" s="2"/>
      <c r="H894" s="2"/>
      <c r="I894" s="5"/>
    </row>
    <row r="895" spans="1:9" ht="17.399999999999999" x14ac:dyDescent="0.25">
      <c r="A895" s="16"/>
      <c r="B895" s="17"/>
      <c r="C895" s="2"/>
      <c r="D895" s="2"/>
      <c r="E895" s="2"/>
      <c r="F895" s="2"/>
      <c r="G895" s="2"/>
      <c r="H895" s="2"/>
      <c r="I895" s="5"/>
    </row>
    <row r="896" spans="1:9" ht="17.399999999999999" x14ac:dyDescent="0.25">
      <c r="A896" s="16"/>
      <c r="B896" s="17"/>
      <c r="C896" s="2"/>
      <c r="D896" s="2"/>
      <c r="E896" s="2"/>
      <c r="F896" s="2"/>
      <c r="G896" s="2"/>
      <c r="H896" s="2"/>
      <c r="I896" s="5"/>
    </row>
    <row r="897" spans="1:9" ht="17.399999999999999" x14ac:dyDescent="0.25">
      <c r="A897" s="16"/>
      <c r="B897" s="17"/>
      <c r="C897" s="2"/>
      <c r="D897" s="2"/>
      <c r="E897" s="2"/>
      <c r="F897" s="2"/>
      <c r="G897" s="2"/>
      <c r="H897" s="2"/>
      <c r="I897" s="5"/>
    </row>
    <row r="898" spans="1:9" ht="17.399999999999999" x14ac:dyDescent="0.25">
      <c r="A898" s="16"/>
      <c r="B898" s="17"/>
      <c r="C898" s="2"/>
      <c r="D898" s="2"/>
      <c r="E898" s="2"/>
      <c r="F898" s="2"/>
      <c r="G898" s="2"/>
      <c r="H898" s="2"/>
      <c r="I898" s="5"/>
    </row>
    <row r="899" spans="1:9" ht="17.399999999999999" x14ac:dyDescent="0.25">
      <c r="A899" s="16"/>
      <c r="B899" s="17"/>
      <c r="C899" s="2"/>
      <c r="D899" s="2"/>
      <c r="E899" s="2"/>
      <c r="F899" s="2"/>
      <c r="G899" s="2"/>
      <c r="H899" s="2"/>
      <c r="I899" s="5"/>
    </row>
    <row r="900" spans="1:9" ht="17.399999999999999" x14ac:dyDescent="0.25">
      <c r="A900" s="16"/>
      <c r="B900" s="17"/>
      <c r="C900" s="2"/>
      <c r="D900" s="2"/>
      <c r="E900" s="2"/>
      <c r="F900" s="2"/>
      <c r="G900" s="2"/>
      <c r="H900" s="2"/>
      <c r="I900" s="5"/>
    </row>
    <row r="901" spans="1:9" ht="17.399999999999999" x14ac:dyDescent="0.25">
      <c r="A901" s="16"/>
      <c r="B901" s="17"/>
      <c r="C901" s="2"/>
      <c r="D901" s="2"/>
      <c r="E901" s="2"/>
      <c r="F901" s="2"/>
      <c r="G901" s="2"/>
      <c r="H901" s="2"/>
      <c r="I901" s="5"/>
    </row>
    <row r="902" spans="1:9" ht="17.399999999999999" x14ac:dyDescent="0.25">
      <c r="A902" s="16"/>
      <c r="B902" s="17"/>
      <c r="C902" s="2"/>
      <c r="D902" s="2"/>
      <c r="E902" s="2"/>
      <c r="F902" s="2"/>
      <c r="G902" s="2"/>
      <c r="H902" s="2"/>
      <c r="I902" s="5"/>
    </row>
    <row r="903" spans="1:9" ht="17.399999999999999" x14ac:dyDescent="0.25">
      <c r="A903" s="16"/>
      <c r="B903" s="17"/>
      <c r="C903" s="2"/>
      <c r="D903" s="2"/>
      <c r="E903" s="2"/>
      <c r="F903" s="2"/>
      <c r="G903" s="2"/>
      <c r="H903" s="2"/>
      <c r="I903" s="5"/>
    </row>
    <row r="904" spans="1:9" ht="17.399999999999999" x14ac:dyDescent="0.25">
      <c r="A904" s="16"/>
      <c r="B904" s="17"/>
      <c r="C904" s="2"/>
      <c r="D904" s="2"/>
      <c r="E904" s="2"/>
      <c r="F904" s="2"/>
      <c r="G904" s="2"/>
      <c r="H904" s="2"/>
      <c r="I904" s="5"/>
    </row>
    <row r="905" spans="1:9" ht="17.399999999999999" x14ac:dyDescent="0.25">
      <c r="A905" s="16"/>
      <c r="B905" s="17"/>
      <c r="C905" s="2"/>
      <c r="D905" s="2"/>
      <c r="E905" s="2"/>
      <c r="F905" s="2"/>
      <c r="G905" s="2"/>
      <c r="H905" s="2"/>
      <c r="I905" s="5"/>
    </row>
    <row r="906" spans="1:9" ht="17.399999999999999" x14ac:dyDescent="0.25">
      <c r="A906" s="16"/>
      <c r="B906" s="17"/>
      <c r="C906" s="2"/>
      <c r="D906" s="2"/>
      <c r="E906" s="2"/>
      <c r="F906" s="2"/>
      <c r="G906" s="2"/>
      <c r="H906" s="2"/>
      <c r="I906" s="5"/>
    </row>
    <row r="907" spans="1:9" ht="17.399999999999999" x14ac:dyDescent="0.25">
      <c r="A907" s="16"/>
      <c r="B907" s="17"/>
      <c r="C907" s="2"/>
      <c r="D907" s="2"/>
      <c r="E907" s="2"/>
      <c r="F907" s="2"/>
      <c r="G907" s="2"/>
      <c r="H907" s="2"/>
      <c r="I907" s="5"/>
    </row>
    <row r="908" spans="1:9" ht="17.399999999999999" x14ac:dyDescent="0.25">
      <c r="A908" s="16"/>
      <c r="B908" s="17"/>
      <c r="C908" s="2"/>
      <c r="D908" s="2"/>
      <c r="E908" s="2"/>
      <c r="F908" s="2"/>
      <c r="G908" s="2"/>
      <c r="H908" s="2"/>
      <c r="I908" s="5"/>
    </row>
    <row r="909" spans="1:9" ht="17.399999999999999" x14ac:dyDescent="0.25">
      <c r="A909" s="16"/>
      <c r="B909" s="17"/>
      <c r="C909" s="2"/>
      <c r="D909" s="2"/>
      <c r="E909" s="2"/>
      <c r="F909" s="2"/>
      <c r="G909" s="2"/>
      <c r="H909" s="2"/>
      <c r="I909" s="5"/>
    </row>
    <row r="910" spans="1:9" ht="17.399999999999999" x14ac:dyDescent="0.25">
      <c r="A910" s="16"/>
      <c r="B910" s="17"/>
      <c r="C910" s="2"/>
      <c r="D910" s="2"/>
      <c r="E910" s="2"/>
      <c r="F910" s="2"/>
      <c r="G910" s="2"/>
      <c r="H910" s="2"/>
      <c r="I910" s="5"/>
    </row>
    <row r="911" spans="1:9" ht="17.399999999999999" x14ac:dyDescent="0.25">
      <c r="A911" s="16"/>
      <c r="B911" s="17"/>
      <c r="C911" s="2"/>
      <c r="D911" s="2"/>
      <c r="E911" s="2"/>
      <c r="F911" s="2"/>
      <c r="G911" s="2"/>
      <c r="H911" s="2"/>
      <c r="I911" s="5"/>
    </row>
    <row r="912" spans="1:9" ht="17.399999999999999" x14ac:dyDescent="0.25">
      <c r="A912" s="16"/>
      <c r="B912" s="17"/>
      <c r="C912" s="2"/>
      <c r="D912" s="2"/>
      <c r="E912" s="2"/>
      <c r="F912" s="2"/>
      <c r="G912" s="2"/>
      <c r="H912" s="2"/>
      <c r="I912" s="5"/>
    </row>
    <row r="913" spans="1:9" ht="17.399999999999999" x14ac:dyDescent="0.25">
      <c r="A913" s="16"/>
      <c r="B913" s="17"/>
      <c r="C913" s="2"/>
      <c r="D913" s="2"/>
      <c r="E913" s="2"/>
      <c r="F913" s="2"/>
      <c r="G913" s="2"/>
      <c r="H913" s="2"/>
      <c r="I913" s="5"/>
    </row>
    <row r="914" spans="1:9" ht="17.399999999999999" x14ac:dyDescent="0.25">
      <c r="A914" s="16"/>
      <c r="B914" s="17"/>
      <c r="C914" s="2"/>
      <c r="D914" s="2"/>
      <c r="E914" s="2"/>
      <c r="F914" s="2"/>
      <c r="G914" s="2"/>
      <c r="H914" s="2"/>
      <c r="I914" s="5"/>
    </row>
    <row r="915" spans="1:9" ht="17.399999999999999" x14ac:dyDescent="0.25">
      <c r="A915" s="16"/>
      <c r="B915" s="17"/>
      <c r="C915" s="2"/>
      <c r="D915" s="2"/>
      <c r="E915" s="2"/>
      <c r="F915" s="2"/>
      <c r="G915" s="2"/>
      <c r="H915" s="2"/>
      <c r="I915" s="5"/>
    </row>
    <row r="916" spans="1:9" ht="17.399999999999999" x14ac:dyDescent="0.25">
      <c r="A916" s="16"/>
      <c r="B916" s="17"/>
      <c r="C916" s="2"/>
      <c r="D916" s="2"/>
      <c r="E916" s="2"/>
      <c r="F916" s="2"/>
      <c r="G916" s="2"/>
      <c r="H916" s="2"/>
      <c r="I916" s="5"/>
    </row>
    <row r="917" spans="1:9" ht="17.399999999999999" x14ac:dyDescent="0.25">
      <c r="A917" s="16"/>
      <c r="B917" s="17"/>
      <c r="C917" s="2"/>
      <c r="D917" s="2"/>
      <c r="E917" s="2"/>
      <c r="F917" s="2"/>
      <c r="G917" s="2"/>
      <c r="H917" s="2"/>
      <c r="I917" s="5"/>
    </row>
    <row r="918" spans="1:9" ht="17.399999999999999" x14ac:dyDescent="0.25">
      <c r="A918" s="16"/>
      <c r="B918" s="17"/>
      <c r="C918" s="2"/>
      <c r="D918" s="2"/>
      <c r="E918" s="2"/>
      <c r="F918" s="2"/>
      <c r="G918" s="2"/>
      <c r="H918" s="2"/>
      <c r="I918" s="5"/>
    </row>
    <row r="919" spans="1:9" ht="17.399999999999999" x14ac:dyDescent="0.25">
      <c r="A919" s="16"/>
      <c r="B919" s="17"/>
      <c r="C919" s="2"/>
      <c r="D919" s="2"/>
      <c r="E919" s="2"/>
      <c r="F919" s="2"/>
      <c r="G919" s="2"/>
      <c r="H919" s="2"/>
      <c r="I919" s="5"/>
    </row>
    <row r="920" spans="1:9" ht="17.399999999999999" x14ac:dyDescent="0.25">
      <c r="A920" s="16"/>
      <c r="B920" s="17"/>
      <c r="C920" s="2"/>
      <c r="D920" s="2"/>
      <c r="E920" s="2"/>
      <c r="F920" s="2"/>
      <c r="G920" s="2"/>
      <c r="H920" s="2"/>
      <c r="I920" s="5"/>
    </row>
    <row r="921" spans="1:9" ht="17.399999999999999" x14ac:dyDescent="0.25">
      <c r="A921" s="16"/>
      <c r="B921" s="17"/>
      <c r="C921" s="2"/>
      <c r="D921" s="2"/>
      <c r="E921" s="2"/>
      <c r="F921" s="2"/>
      <c r="G921" s="2"/>
      <c r="H921" s="2"/>
      <c r="I921" s="5"/>
    </row>
    <row r="922" spans="1:9" ht="17.399999999999999" x14ac:dyDescent="0.25">
      <c r="A922" s="16"/>
      <c r="B922" s="17"/>
      <c r="C922" s="2"/>
      <c r="D922" s="2"/>
      <c r="E922" s="2"/>
      <c r="F922" s="2"/>
      <c r="G922" s="2"/>
      <c r="H922" s="2"/>
      <c r="I922" s="5"/>
    </row>
    <row r="923" spans="1:9" ht="17.399999999999999" x14ac:dyDescent="0.25">
      <c r="A923" s="16"/>
      <c r="B923" s="17"/>
      <c r="C923" s="2"/>
      <c r="D923" s="2"/>
      <c r="E923" s="2"/>
      <c r="F923" s="2"/>
      <c r="G923" s="2"/>
      <c r="H923" s="2"/>
      <c r="I923" s="5"/>
    </row>
    <row r="924" spans="1:9" ht="17.399999999999999" x14ac:dyDescent="0.25">
      <c r="A924" s="16"/>
      <c r="B924" s="17"/>
      <c r="C924" s="2"/>
      <c r="D924" s="2"/>
      <c r="E924" s="2"/>
      <c r="F924" s="2"/>
      <c r="G924" s="2"/>
      <c r="H924" s="2"/>
      <c r="I924" s="5"/>
    </row>
    <row r="925" spans="1:9" ht="17.399999999999999" x14ac:dyDescent="0.25">
      <c r="A925" s="16"/>
      <c r="B925" s="17"/>
      <c r="C925" s="2"/>
      <c r="D925" s="2"/>
      <c r="E925" s="2"/>
      <c r="F925" s="2"/>
      <c r="G925" s="2"/>
      <c r="H925" s="2"/>
      <c r="I925" s="5"/>
    </row>
    <row r="926" spans="1:9" ht="17.399999999999999" x14ac:dyDescent="0.25">
      <c r="A926" s="16"/>
      <c r="B926" s="17"/>
      <c r="C926" s="2"/>
      <c r="D926" s="2"/>
      <c r="E926" s="2"/>
      <c r="F926" s="2"/>
      <c r="G926" s="2"/>
      <c r="H926" s="2"/>
      <c r="I926" s="5"/>
    </row>
    <row r="927" spans="1:9" ht="17.399999999999999" x14ac:dyDescent="0.25">
      <c r="A927" s="16"/>
      <c r="B927" s="17"/>
      <c r="C927" s="2"/>
      <c r="D927" s="2"/>
      <c r="E927" s="2"/>
      <c r="F927" s="2"/>
      <c r="G927" s="2"/>
      <c r="H927" s="2"/>
      <c r="I927" s="5"/>
    </row>
    <row r="928" spans="1:9" ht="17.399999999999999" x14ac:dyDescent="0.25">
      <c r="A928" s="16"/>
      <c r="B928" s="17"/>
      <c r="C928" s="2"/>
      <c r="D928" s="2"/>
      <c r="E928" s="2"/>
      <c r="F928" s="2"/>
      <c r="G928" s="2"/>
      <c r="H928" s="2"/>
      <c r="I928" s="5"/>
    </row>
    <row r="929" spans="1:9" ht="17.399999999999999" x14ac:dyDescent="0.25">
      <c r="A929" s="16"/>
      <c r="B929" s="17"/>
      <c r="C929" s="2"/>
      <c r="D929" s="2"/>
      <c r="E929" s="2"/>
      <c r="F929" s="2"/>
      <c r="G929" s="2"/>
      <c r="H929" s="2"/>
      <c r="I929" s="5"/>
    </row>
    <row r="930" spans="1:9" ht="17.399999999999999" x14ac:dyDescent="0.25">
      <c r="A930" s="16"/>
      <c r="B930" s="17"/>
      <c r="C930" s="2"/>
      <c r="D930" s="2"/>
      <c r="E930" s="2"/>
      <c r="F930" s="2"/>
      <c r="G930" s="2"/>
      <c r="H930" s="2"/>
      <c r="I930" s="5"/>
    </row>
    <row r="931" spans="1:9" ht="17.399999999999999" x14ac:dyDescent="0.25">
      <c r="A931" s="16"/>
      <c r="B931" s="17"/>
      <c r="C931" s="2"/>
      <c r="D931" s="2"/>
      <c r="E931" s="2"/>
      <c r="F931" s="2"/>
      <c r="G931" s="2"/>
      <c r="H931" s="2"/>
      <c r="I931" s="5"/>
    </row>
    <row r="932" spans="1:9" ht="17.399999999999999" x14ac:dyDescent="0.25">
      <c r="A932" s="16"/>
      <c r="B932" s="17"/>
      <c r="C932" s="2"/>
      <c r="D932" s="2"/>
      <c r="E932" s="2"/>
      <c r="F932" s="2"/>
      <c r="G932" s="2"/>
      <c r="H932" s="2"/>
      <c r="I932" s="5"/>
    </row>
    <row r="933" spans="1:9" ht="17.399999999999999" x14ac:dyDescent="0.25">
      <c r="A933" s="16"/>
      <c r="B933" s="17"/>
      <c r="C933" s="2"/>
      <c r="D933" s="2"/>
      <c r="E933" s="2"/>
      <c r="F933" s="2"/>
      <c r="G933" s="2"/>
      <c r="H933" s="2"/>
      <c r="I933" s="5"/>
    </row>
    <row r="934" spans="1:9" ht="17.399999999999999" x14ac:dyDescent="0.25">
      <c r="A934" s="16"/>
      <c r="B934" s="17"/>
      <c r="C934" s="2"/>
      <c r="D934" s="2"/>
      <c r="E934" s="2"/>
      <c r="F934" s="2"/>
      <c r="G934" s="2"/>
      <c r="H934" s="2"/>
      <c r="I934" s="5"/>
    </row>
    <row r="935" spans="1:9" ht="17.399999999999999" x14ac:dyDescent="0.25">
      <c r="A935" s="16"/>
      <c r="B935" s="17"/>
      <c r="C935" s="2"/>
      <c r="D935" s="2"/>
      <c r="E935" s="2"/>
      <c r="F935" s="2"/>
      <c r="G935" s="2"/>
      <c r="H935" s="2"/>
      <c r="I935" s="5"/>
    </row>
    <row r="936" spans="1:9" ht="17.399999999999999" x14ac:dyDescent="0.25">
      <c r="A936" s="16"/>
      <c r="B936" s="17"/>
      <c r="C936" s="2"/>
      <c r="D936" s="2"/>
      <c r="E936" s="2"/>
      <c r="F936" s="2"/>
      <c r="G936" s="2"/>
      <c r="H936" s="2"/>
      <c r="I936" s="5"/>
    </row>
    <row r="937" spans="1:9" ht="17.399999999999999" x14ac:dyDescent="0.25">
      <c r="A937" s="16"/>
      <c r="B937" s="17"/>
      <c r="C937" s="2"/>
      <c r="D937" s="2"/>
      <c r="E937" s="2"/>
      <c r="F937" s="2"/>
      <c r="G937" s="2"/>
      <c r="H937" s="2"/>
      <c r="I937" s="5"/>
    </row>
    <row r="938" spans="1:9" ht="17.399999999999999" x14ac:dyDescent="0.25">
      <c r="A938" s="16"/>
      <c r="B938" s="17"/>
      <c r="C938" s="2"/>
      <c r="D938" s="2"/>
      <c r="E938" s="2"/>
      <c r="F938" s="2"/>
      <c r="G938" s="2"/>
      <c r="H938" s="2"/>
      <c r="I938" s="5"/>
    </row>
    <row r="939" spans="1:9" ht="17.399999999999999" x14ac:dyDescent="0.25">
      <c r="A939" s="16"/>
      <c r="B939" s="17"/>
      <c r="C939" s="2"/>
      <c r="D939" s="2"/>
      <c r="E939" s="2"/>
      <c r="F939" s="2"/>
      <c r="G939" s="2"/>
      <c r="H939" s="2"/>
      <c r="I939" s="5"/>
    </row>
    <row r="940" spans="1:9" ht="17.399999999999999" x14ac:dyDescent="0.25">
      <c r="A940" s="16"/>
      <c r="B940" s="17"/>
      <c r="C940" s="2"/>
      <c r="D940" s="2"/>
      <c r="E940" s="2"/>
      <c r="F940" s="2"/>
      <c r="G940" s="2"/>
      <c r="H940" s="2"/>
      <c r="I940" s="5"/>
    </row>
    <row r="941" spans="1:9" ht="17.399999999999999" x14ac:dyDescent="0.25">
      <c r="A941" s="16"/>
      <c r="B941" s="17"/>
      <c r="C941" s="2"/>
      <c r="D941" s="2"/>
      <c r="E941" s="2"/>
      <c r="F941" s="2"/>
      <c r="G941" s="2"/>
      <c r="H941" s="2"/>
      <c r="I941" s="5"/>
    </row>
    <row r="942" spans="1:9" ht="17.399999999999999" x14ac:dyDescent="0.25">
      <c r="A942" s="16"/>
      <c r="B942" s="17"/>
      <c r="C942" s="2"/>
      <c r="D942" s="2"/>
      <c r="E942" s="2"/>
      <c r="F942" s="2"/>
      <c r="G942" s="2"/>
      <c r="H942" s="2"/>
      <c r="I942" s="5"/>
    </row>
    <row r="943" spans="1:9" ht="17.399999999999999" x14ac:dyDescent="0.25">
      <c r="A943" s="16"/>
      <c r="B943" s="17"/>
      <c r="C943" s="2"/>
      <c r="D943" s="2"/>
      <c r="E943" s="2"/>
      <c r="F943" s="2"/>
      <c r="G943" s="2"/>
      <c r="H943" s="2"/>
      <c r="I943" s="5"/>
    </row>
    <row r="944" spans="1:9" ht="17.399999999999999" x14ac:dyDescent="0.25">
      <c r="A944" s="16"/>
      <c r="B944" s="17"/>
      <c r="C944" s="2"/>
      <c r="D944" s="2"/>
      <c r="E944" s="2"/>
      <c r="F944" s="2"/>
      <c r="G944" s="2"/>
      <c r="H944" s="2"/>
      <c r="I944" s="5"/>
    </row>
    <row r="945" spans="1:9" ht="17.399999999999999" x14ac:dyDescent="0.25">
      <c r="A945" s="16"/>
      <c r="B945" s="17"/>
      <c r="C945" s="2"/>
      <c r="D945" s="2"/>
      <c r="E945" s="2"/>
      <c r="F945" s="2"/>
      <c r="G945" s="2"/>
      <c r="H945" s="2"/>
      <c r="I945" s="5"/>
    </row>
    <row r="946" spans="1:9" ht="17.399999999999999" x14ac:dyDescent="0.25">
      <c r="A946" s="16"/>
      <c r="B946" s="17"/>
      <c r="C946" s="2"/>
      <c r="D946" s="2"/>
      <c r="E946" s="2"/>
      <c r="F946" s="2"/>
      <c r="G946" s="2"/>
      <c r="H946" s="2"/>
      <c r="I946" s="5"/>
    </row>
    <row r="947" spans="1:9" ht="17.399999999999999" x14ac:dyDescent="0.25">
      <c r="A947" s="16"/>
      <c r="B947" s="17"/>
      <c r="C947" s="2"/>
      <c r="D947" s="2"/>
      <c r="E947" s="2"/>
      <c r="F947" s="2"/>
      <c r="G947" s="2"/>
      <c r="H947" s="2"/>
      <c r="I947" s="5"/>
    </row>
    <row r="948" spans="1:9" ht="17.399999999999999" x14ac:dyDescent="0.25">
      <c r="A948" s="16"/>
      <c r="B948" s="17"/>
      <c r="C948" s="2"/>
      <c r="D948" s="2"/>
      <c r="E948" s="2"/>
      <c r="F948" s="2"/>
      <c r="G948" s="2"/>
      <c r="H948" s="2"/>
      <c r="I948" s="5"/>
    </row>
    <row r="949" spans="1:9" ht="17.399999999999999" x14ac:dyDescent="0.25">
      <c r="A949" s="16"/>
      <c r="B949" s="17"/>
      <c r="C949" s="2"/>
      <c r="D949" s="2"/>
      <c r="E949" s="2"/>
      <c r="F949" s="2"/>
      <c r="G949" s="2"/>
      <c r="H949" s="2"/>
      <c r="I949" s="5"/>
    </row>
    <row r="950" spans="1:9" ht="17.399999999999999" x14ac:dyDescent="0.25">
      <c r="A950" s="16"/>
      <c r="B950" s="17"/>
      <c r="C950" s="2"/>
      <c r="D950" s="2"/>
      <c r="E950" s="2"/>
      <c r="F950" s="2"/>
      <c r="G950" s="2"/>
      <c r="H950" s="2"/>
      <c r="I950" s="5"/>
    </row>
    <row r="951" spans="1:9" ht="17.399999999999999" x14ac:dyDescent="0.25">
      <c r="A951" s="16"/>
      <c r="B951" s="17"/>
      <c r="C951" s="2"/>
      <c r="D951" s="2"/>
      <c r="E951" s="2"/>
      <c r="F951" s="2"/>
      <c r="G951" s="2"/>
      <c r="H951" s="2"/>
      <c r="I951" s="5"/>
    </row>
    <row r="952" spans="1:9" ht="17.399999999999999" x14ac:dyDescent="0.25">
      <c r="A952" s="16"/>
      <c r="B952" s="17"/>
      <c r="C952" s="2"/>
      <c r="D952" s="2"/>
      <c r="E952" s="2"/>
      <c r="F952" s="2"/>
      <c r="G952" s="2"/>
      <c r="H952" s="2"/>
      <c r="I952" s="5"/>
    </row>
    <row r="953" spans="1:9" ht="17.399999999999999" x14ac:dyDescent="0.25">
      <c r="A953" s="16"/>
      <c r="B953" s="17"/>
      <c r="C953" s="2"/>
      <c r="D953" s="2"/>
      <c r="E953" s="2"/>
      <c r="F953" s="2"/>
      <c r="G953" s="2"/>
      <c r="H953" s="2"/>
      <c r="I953" s="5"/>
    </row>
    <row r="954" spans="1:9" ht="17.399999999999999" x14ac:dyDescent="0.25">
      <c r="A954" s="16"/>
      <c r="B954" s="17"/>
      <c r="C954" s="2"/>
      <c r="D954" s="2"/>
      <c r="E954" s="2"/>
      <c r="F954" s="2"/>
      <c r="G954" s="2"/>
      <c r="H954" s="2"/>
      <c r="I954" s="5"/>
    </row>
    <row r="955" spans="1:9" ht="17.399999999999999" x14ac:dyDescent="0.25">
      <c r="A955" s="16"/>
      <c r="B955" s="17"/>
      <c r="C955" s="2"/>
      <c r="D955" s="2"/>
      <c r="E955" s="2"/>
      <c r="F955" s="2"/>
      <c r="G955" s="2"/>
      <c r="H955" s="2"/>
      <c r="I955" s="5"/>
    </row>
    <row r="956" spans="1:9" ht="17.399999999999999" x14ac:dyDescent="0.25">
      <c r="A956" s="16"/>
      <c r="B956" s="17"/>
      <c r="C956" s="2"/>
      <c r="D956" s="2"/>
      <c r="E956" s="2"/>
      <c r="F956" s="2"/>
      <c r="G956" s="2"/>
      <c r="H956" s="2"/>
      <c r="I956" s="5"/>
    </row>
    <row r="957" spans="1:9" ht="17.399999999999999" x14ac:dyDescent="0.25">
      <c r="A957" s="16"/>
      <c r="B957" s="17"/>
      <c r="C957" s="2"/>
      <c r="D957" s="2"/>
      <c r="E957" s="2"/>
      <c r="F957" s="2"/>
      <c r="G957" s="2"/>
      <c r="H957" s="2"/>
      <c r="I957" s="5"/>
    </row>
    <row r="958" spans="1:9" ht="17.399999999999999" x14ac:dyDescent="0.25">
      <c r="A958" s="16"/>
      <c r="B958" s="17"/>
      <c r="C958" s="2"/>
      <c r="D958" s="2"/>
      <c r="E958" s="2"/>
      <c r="F958" s="2"/>
      <c r="G958" s="2"/>
      <c r="H958" s="2"/>
      <c r="I958" s="5"/>
    </row>
    <row r="959" spans="1:9" ht="17.399999999999999" x14ac:dyDescent="0.25">
      <c r="A959" s="16"/>
      <c r="B959" s="17"/>
      <c r="C959" s="2"/>
      <c r="D959" s="2"/>
      <c r="E959" s="2"/>
      <c r="F959" s="2"/>
      <c r="G959" s="2"/>
      <c r="H959" s="2"/>
      <c r="I959" s="5"/>
    </row>
    <row r="960" spans="1:9" ht="17.399999999999999" x14ac:dyDescent="0.25">
      <c r="A960" s="16"/>
      <c r="B960" s="17"/>
      <c r="C960" s="2"/>
      <c r="D960" s="2"/>
      <c r="E960" s="2"/>
      <c r="F960" s="2"/>
      <c r="G960" s="2"/>
      <c r="H960" s="2"/>
      <c r="I960" s="5"/>
    </row>
    <row r="961" spans="1:9" ht="17.399999999999999" x14ac:dyDescent="0.25">
      <c r="A961" s="16"/>
      <c r="B961" s="17"/>
      <c r="C961" s="2"/>
      <c r="D961" s="2"/>
      <c r="E961" s="2"/>
      <c r="F961" s="2"/>
      <c r="G961" s="2"/>
      <c r="H961" s="2"/>
      <c r="I961" s="5"/>
    </row>
    <row r="962" spans="1:9" ht="17.399999999999999" x14ac:dyDescent="0.25">
      <c r="A962" s="16"/>
      <c r="B962" s="17"/>
      <c r="C962" s="2"/>
      <c r="D962" s="2"/>
      <c r="E962" s="2"/>
      <c r="F962" s="2"/>
      <c r="G962" s="2"/>
      <c r="H962" s="2"/>
      <c r="I962" s="5"/>
    </row>
    <row r="963" spans="1:9" ht="17.399999999999999" x14ac:dyDescent="0.25">
      <c r="A963" s="16"/>
      <c r="B963" s="17"/>
      <c r="C963" s="2"/>
      <c r="D963" s="2"/>
      <c r="E963" s="2"/>
      <c r="F963" s="2"/>
      <c r="G963" s="2"/>
      <c r="H963" s="2"/>
      <c r="I963" s="5"/>
    </row>
    <row r="964" spans="1:9" ht="17.399999999999999" x14ac:dyDescent="0.25">
      <c r="A964" s="16"/>
      <c r="B964" s="17"/>
      <c r="C964" s="2"/>
      <c r="D964" s="2"/>
      <c r="E964" s="2"/>
      <c r="F964" s="2"/>
      <c r="G964" s="2"/>
      <c r="H964" s="2"/>
      <c r="I964" s="5"/>
    </row>
    <row r="965" spans="1:9" ht="17.399999999999999" x14ac:dyDescent="0.25">
      <c r="A965" s="16"/>
      <c r="B965" s="17"/>
      <c r="C965" s="2"/>
      <c r="D965" s="2"/>
      <c r="E965" s="2"/>
      <c r="F965" s="2"/>
      <c r="G965" s="2"/>
      <c r="H965" s="2"/>
      <c r="I965" s="5"/>
    </row>
    <row r="966" spans="1:9" ht="17.399999999999999" x14ac:dyDescent="0.25">
      <c r="A966" s="16"/>
      <c r="B966" s="17"/>
      <c r="C966" s="2"/>
      <c r="D966" s="2"/>
      <c r="E966" s="2"/>
      <c r="F966" s="2"/>
      <c r="G966" s="2"/>
      <c r="H966" s="2"/>
      <c r="I966" s="5"/>
    </row>
    <row r="967" spans="1:9" ht="17.399999999999999" x14ac:dyDescent="0.25">
      <c r="A967" s="16"/>
      <c r="B967" s="17"/>
      <c r="C967" s="2"/>
      <c r="D967" s="2"/>
      <c r="E967" s="2"/>
      <c r="F967" s="2"/>
      <c r="G967" s="2"/>
      <c r="H967" s="2"/>
      <c r="I967" s="5"/>
    </row>
    <row r="968" spans="1:9" ht="17.399999999999999" x14ac:dyDescent="0.25">
      <c r="A968" s="16"/>
      <c r="B968" s="17"/>
      <c r="C968" s="2"/>
      <c r="D968" s="2"/>
      <c r="E968" s="2"/>
      <c r="F968" s="2"/>
      <c r="G968" s="2"/>
      <c r="H968" s="2"/>
      <c r="I968" s="5"/>
    </row>
    <row r="969" spans="1:9" ht="17.399999999999999" x14ac:dyDescent="0.25">
      <c r="A969" s="16"/>
      <c r="B969" s="17"/>
      <c r="C969" s="2"/>
      <c r="D969" s="2"/>
      <c r="E969" s="2"/>
      <c r="F969" s="2"/>
      <c r="G969" s="2"/>
      <c r="H969" s="2"/>
      <c r="I969" s="5"/>
    </row>
    <row r="970" spans="1:9" ht="17.399999999999999" x14ac:dyDescent="0.25">
      <c r="A970" s="16"/>
      <c r="B970" s="17"/>
      <c r="C970" s="2"/>
      <c r="D970" s="2"/>
      <c r="E970" s="2"/>
      <c r="F970" s="2"/>
      <c r="G970" s="2"/>
      <c r="H970" s="2"/>
      <c r="I970" s="5"/>
    </row>
    <row r="971" spans="1:9" ht="17.399999999999999" x14ac:dyDescent="0.25">
      <c r="A971" s="16"/>
      <c r="B971" s="17"/>
      <c r="C971" s="2"/>
      <c r="D971" s="2"/>
      <c r="E971" s="2"/>
      <c r="F971" s="2"/>
      <c r="G971" s="2"/>
      <c r="H971" s="2"/>
      <c r="I971" s="5"/>
    </row>
    <row r="972" spans="1:9" ht="17.399999999999999" x14ac:dyDescent="0.25">
      <c r="A972" s="16"/>
      <c r="B972" s="17"/>
      <c r="C972" s="2"/>
      <c r="D972" s="2"/>
      <c r="E972" s="2"/>
      <c r="F972" s="2"/>
      <c r="G972" s="2"/>
      <c r="H972" s="2"/>
      <c r="I972" s="5"/>
    </row>
    <row r="973" spans="1:9" ht="17.399999999999999" x14ac:dyDescent="0.25">
      <c r="A973" s="16"/>
      <c r="B973" s="17"/>
      <c r="C973" s="2"/>
      <c r="D973" s="2"/>
      <c r="E973" s="2"/>
      <c r="F973" s="2"/>
      <c r="G973" s="2"/>
      <c r="H973" s="2"/>
      <c r="I973" s="5"/>
    </row>
    <row r="974" spans="1:9" ht="17.399999999999999" x14ac:dyDescent="0.25">
      <c r="A974" s="16"/>
      <c r="B974" s="17"/>
      <c r="C974" s="2"/>
      <c r="D974" s="2"/>
      <c r="E974" s="2"/>
      <c r="F974" s="2"/>
      <c r="G974" s="2"/>
      <c r="H974" s="2"/>
      <c r="I974" s="5"/>
    </row>
    <row r="975" spans="1:9" ht="17.399999999999999" x14ac:dyDescent="0.25">
      <c r="A975" s="16"/>
      <c r="B975" s="17"/>
      <c r="C975" s="2"/>
      <c r="D975" s="2"/>
      <c r="E975" s="2"/>
      <c r="F975" s="2"/>
      <c r="G975" s="2"/>
      <c r="H975" s="2"/>
      <c r="I975" s="5"/>
    </row>
    <row r="976" spans="1:9" ht="17.399999999999999" x14ac:dyDescent="0.25">
      <c r="A976" s="16"/>
      <c r="B976" s="17"/>
      <c r="C976" s="2"/>
      <c r="D976" s="2"/>
      <c r="E976" s="2"/>
      <c r="F976" s="2"/>
      <c r="G976" s="2"/>
      <c r="H976" s="2"/>
      <c r="I976" s="5"/>
    </row>
    <row r="977" spans="1:9" ht="17.399999999999999" x14ac:dyDescent="0.25">
      <c r="A977" s="16"/>
      <c r="B977" s="17"/>
      <c r="C977" s="2"/>
      <c r="D977" s="2"/>
      <c r="E977" s="2"/>
      <c r="F977" s="2"/>
      <c r="G977" s="2"/>
      <c r="H977" s="2"/>
      <c r="I977" s="5"/>
    </row>
    <row r="978" spans="1:9" ht="17.399999999999999" x14ac:dyDescent="0.25">
      <c r="A978" s="16"/>
      <c r="B978" s="17"/>
      <c r="C978" s="2"/>
      <c r="D978" s="2"/>
      <c r="E978" s="2"/>
      <c r="F978" s="2"/>
      <c r="G978" s="2"/>
      <c r="H978" s="2"/>
      <c r="I978" s="5"/>
    </row>
    <row r="979" spans="1:9" ht="17.399999999999999" x14ac:dyDescent="0.25">
      <c r="A979" s="16"/>
      <c r="B979" s="17"/>
      <c r="C979" s="2"/>
      <c r="D979" s="2"/>
      <c r="E979" s="2"/>
      <c r="F979" s="2"/>
      <c r="G979" s="2"/>
      <c r="H979" s="2"/>
      <c r="I979" s="5"/>
    </row>
    <row r="980" spans="1:9" ht="17.399999999999999" x14ac:dyDescent="0.25">
      <c r="A980" s="16"/>
      <c r="B980" s="17"/>
      <c r="C980" s="2"/>
      <c r="D980" s="2"/>
      <c r="E980" s="2"/>
      <c r="F980" s="2"/>
      <c r="G980" s="2"/>
      <c r="H980" s="2"/>
      <c r="I980" s="5"/>
    </row>
    <row r="981" spans="1:9" ht="17.399999999999999" x14ac:dyDescent="0.25">
      <c r="A981" s="16"/>
      <c r="B981" s="17"/>
      <c r="C981" s="2"/>
      <c r="D981" s="2"/>
      <c r="E981" s="2"/>
      <c r="F981" s="2"/>
      <c r="G981" s="2"/>
      <c r="H981" s="2"/>
      <c r="I981" s="5"/>
    </row>
    <row r="982" spans="1:9" ht="17.399999999999999" x14ac:dyDescent="0.25">
      <c r="A982" s="16"/>
      <c r="B982" s="17"/>
      <c r="C982" s="2"/>
      <c r="D982" s="2"/>
      <c r="E982" s="2"/>
      <c r="F982" s="2"/>
      <c r="G982" s="2"/>
      <c r="H982" s="2"/>
      <c r="I982" s="5"/>
    </row>
    <row r="983" spans="1:9" ht="17.399999999999999" x14ac:dyDescent="0.25">
      <c r="A983" s="16"/>
      <c r="B983" s="17"/>
      <c r="C983" s="2"/>
      <c r="D983" s="2"/>
      <c r="E983" s="2"/>
      <c r="F983" s="2"/>
      <c r="G983" s="2"/>
      <c r="H983" s="2"/>
      <c r="I983" s="5"/>
    </row>
    <row r="984" spans="1:9" ht="17.399999999999999" x14ac:dyDescent="0.25">
      <c r="A984" s="16"/>
      <c r="B984" s="17"/>
      <c r="C984" s="2"/>
      <c r="D984" s="2"/>
      <c r="E984" s="2"/>
      <c r="F984" s="2"/>
      <c r="G984" s="2"/>
      <c r="H984" s="2"/>
      <c r="I984" s="5"/>
    </row>
    <row r="985" spans="1:9" ht="17.399999999999999" x14ac:dyDescent="0.25">
      <c r="A985" s="16"/>
      <c r="B985" s="17"/>
      <c r="C985" s="2"/>
      <c r="D985" s="2"/>
      <c r="E985" s="2"/>
      <c r="F985" s="2"/>
      <c r="G985" s="2"/>
      <c r="H985" s="2"/>
      <c r="I985" s="5"/>
    </row>
    <row r="986" spans="1:9" ht="17.399999999999999" x14ac:dyDescent="0.25">
      <c r="A986" s="16"/>
      <c r="B986" s="17"/>
      <c r="C986" s="2"/>
      <c r="D986" s="2"/>
      <c r="E986" s="2"/>
      <c r="F986" s="2"/>
      <c r="G986" s="2"/>
      <c r="H986" s="2"/>
      <c r="I986" s="5"/>
    </row>
    <row r="987" spans="1:9" ht="17.399999999999999" x14ac:dyDescent="0.25">
      <c r="A987" s="16"/>
      <c r="B987" s="17"/>
      <c r="C987" s="2"/>
      <c r="D987" s="2"/>
      <c r="E987" s="2"/>
      <c r="F987" s="2"/>
      <c r="G987" s="2"/>
      <c r="H987" s="2"/>
      <c r="I987" s="5"/>
    </row>
    <row r="988" spans="1:9" ht="17.399999999999999" x14ac:dyDescent="0.25">
      <c r="A988" s="16"/>
      <c r="B988" s="17"/>
      <c r="C988" s="2"/>
      <c r="D988" s="2"/>
      <c r="E988" s="2"/>
      <c r="F988" s="2"/>
      <c r="G988" s="2"/>
      <c r="H988" s="2"/>
      <c r="I988" s="5"/>
    </row>
    <row r="989" spans="1:9" ht="17.399999999999999" x14ac:dyDescent="0.25">
      <c r="A989" s="16"/>
      <c r="B989" s="17"/>
      <c r="C989" s="2"/>
      <c r="D989" s="2"/>
      <c r="E989" s="2"/>
      <c r="F989" s="2"/>
      <c r="G989" s="2"/>
      <c r="H989" s="2"/>
      <c r="I989" s="5"/>
    </row>
    <row r="990" spans="1:9" ht="17.399999999999999" x14ac:dyDescent="0.25">
      <c r="A990" s="16"/>
      <c r="B990" s="17"/>
      <c r="C990" s="2"/>
      <c r="D990" s="2"/>
      <c r="E990" s="2"/>
      <c r="F990" s="2"/>
      <c r="G990" s="2"/>
      <c r="H990" s="2"/>
      <c r="I990" s="5"/>
    </row>
    <row r="991" spans="1:9" ht="17.399999999999999" x14ac:dyDescent="0.25">
      <c r="A991" s="16"/>
      <c r="B991" s="17"/>
      <c r="C991" s="2"/>
      <c r="D991" s="2"/>
      <c r="E991" s="2"/>
      <c r="F991" s="2"/>
      <c r="G991" s="2"/>
      <c r="H991" s="2"/>
      <c r="I991" s="5"/>
    </row>
    <row r="992" spans="1:9" ht="17.399999999999999" x14ac:dyDescent="0.25">
      <c r="A992" s="16"/>
      <c r="B992" s="17"/>
      <c r="C992" s="2"/>
      <c r="D992" s="2"/>
      <c r="E992" s="2"/>
      <c r="F992" s="2"/>
      <c r="G992" s="2"/>
      <c r="H992" s="2"/>
      <c r="I992" s="5"/>
    </row>
    <row r="993" spans="1:9" ht="17.399999999999999" x14ac:dyDescent="0.25">
      <c r="A993" s="16"/>
      <c r="B993" s="17"/>
      <c r="C993" s="2"/>
      <c r="D993" s="2"/>
      <c r="E993" s="2"/>
      <c r="F993" s="2"/>
      <c r="G993" s="2"/>
      <c r="H993" s="2"/>
      <c r="I993" s="5"/>
    </row>
    <row r="994" spans="1:9" ht="17.399999999999999" x14ac:dyDescent="0.25">
      <c r="A994" s="16"/>
      <c r="B994" s="17"/>
      <c r="C994" s="2"/>
      <c r="D994" s="2"/>
      <c r="E994" s="2"/>
      <c r="F994" s="2"/>
      <c r="G994" s="2"/>
      <c r="H994" s="2"/>
      <c r="I994" s="5"/>
    </row>
    <row r="995" spans="1:9" ht="17.399999999999999" x14ac:dyDescent="0.25">
      <c r="A995" s="16"/>
      <c r="B995" s="17"/>
      <c r="C995" s="2"/>
      <c r="D995" s="2"/>
      <c r="E995" s="2"/>
      <c r="F995" s="2"/>
      <c r="G995" s="2"/>
      <c r="H995" s="2"/>
      <c r="I995" s="5"/>
    </row>
    <row r="996" spans="1:9" ht="17.399999999999999" x14ac:dyDescent="0.25">
      <c r="A996" s="16"/>
      <c r="B996" s="17"/>
      <c r="C996" s="2"/>
      <c r="D996" s="2"/>
      <c r="E996" s="2"/>
      <c r="F996" s="2"/>
      <c r="G996" s="2"/>
      <c r="H996" s="2"/>
      <c r="I996" s="5"/>
    </row>
    <row r="997" spans="1:9" ht="17.399999999999999" x14ac:dyDescent="0.25">
      <c r="A997" s="16"/>
      <c r="B997" s="17"/>
      <c r="C997" s="2"/>
      <c r="D997" s="2"/>
      <c r="E997" s="2"/>
      <c r="F997" s="2"/>
      <c r="G997" s="2"/>
      <c r="H997" s="2"/>
      <c r="I997" s="5"/>
    </row>
    <row r="998" spans="1:9" ht="17.399999999999999" x14ac:dyDescent="0.25">
      <c r="A998" s="16"/>
      <c r="B998" s="17"/>
      <c r="C998" s="2"/>
      <c r="D998" s="2"/>
      <c r="E998" s="2"/>
      <c r="F998" s="2"/>
      <c r="G998" s="2"/>
      <c r="H998" s="2"/>
      <c r="I998" s="5"/>
    </row>
    <row r="999" spans="1:9" ht="17.399999999999999" x14ac:dyDescent="0.25">
      <c r="A999" s="16"/>
      <c r="B999" s="17"/>
      <c r="C999" s="2"/>
      <c r="D999" s="2"/>
      <c r="E999" s="2"/>
      <c r="F999" s="2"/>
      <c r="G999" s="2"/>
      <c r="H999" s="2"/>
      <c r="I999" s="5"/>
    </row>
    <row r="1000" spans="1:9" ht="17.399999999999999" x14ac:dyDescent="0.25">
      <c r="A1000" s="16"/>
      <c r="B1000" s="17"/>
      <c r="C1000" s="2"/>
      <c r="D1000" s="2"/>
      <c r="E1000" s="2"/>
      <c r="F1000" s="2"/>
      <c r="G1000" s="2"/>
      <c r="H1000" s="2"/>
      <c r="I1000" s="5"/>
    </row>
    <row r="1001" spans="1:9" ht="17.399999999999999" x14ac:dyDescent="0.25">
      <c r="A1001" s="16"/>
      <c r="B1001" s="17"/>
      <c r="C1001" s="2"/>
      <c r="D1001" s="2"/>
      <c r="E1001" s="2"/>
      <c r="F1001" s="2"/>
      <c r="G1001" s="2"/>
      <c r="H1001" s="2"/>
      <c r="I1001" s="5"/>
    </row>
    <row r="1002" spans="1:9" ht="17.399999999999999" x14ac:dyDescent="0.25">
      <c r="A1002" s="16"/>
      <c r="B1002" s="17"/>
      <c r="C1002" s="2"/>
      <c r="D1002" s="2"/>
      <c r="E1002" s="2"/>
      <c r="F1002" s="2"/>
      <c r="G1002" s="2"/>
      <c r="H1002" s="2"/>
      <c r="I1002" s="5"/>
    </row>
    <row r="1003" spans="1:9" ht="17.399999999999999" x14ac:dyDescent="0.25">
      <c r="A1003" s="16"/>
      <c r="B1003" s="17"/>
      <c r="C1003" s="2"/>
      <c r="D1003" s="2"/>
      <c r="E1003" s="2"/>
      <c r="F1003" s="2"/>
      <c r="G1003" s="2"/>
      <c r="H1003" s="2"/>
      <c r="I1003" s="5"/>
    </row>
    <row r="1004" spans="1:9" ht="17.399999999999999" x14ac:dyDescent="0.25">
      <c r="A1004" s="16"/>
      <c r="B1004" s="17"/>
      <c r="C1004" s="2"/>
      <c r="D1004" s="2"/>
      <c r="E1004" s="2"/>
      <c r="F1004" s="2"/>
      <c r="G1004" s="2"/>
      <c r="H1004" s="2"/>
      <c r="I1004" s="5"/>
    </row>
    <row r="1005" spans="1:9" ht="17.399999999999999" x14ac:dyDescent="0.25">
      <c r="A1005" s="16"/>
      <c r="B1005" s="17"/>
      <c r="C1005" s="2"/>
      <c r="D1005" s="2"/>
      <c r="E1005" s="2"/>
      <c r="F1005" s="2"/>
      <c r="G1005" s="2"/>
      <c r="H1005" s="2"/>
      <c r="I1005" s="5"/>
    </row>
    <row r="1006" spans="1:9" ht="17.399999999999999" x14ac:dyDescent="0.25">
      <c r="A1006" s="16"/>
      <c r="B1006" s="17"/>
      <c r="C1006" s="2"/>
      <c r="D1006" s="2"/>
      <c r="E1006" s="2"/>
      <c r="F1006" s="2"/>
      <c r="G1006" s="2"/>
      <c r="H1006" s="2"/>
      <c r="I1006" s="5"/>
    </row>
    <row r="1007" spans="1:9" ht="17.399999999999999" x14ac:dyDescent="0.25">
      <c r="A1007" s="16"/>
      <c r="B1007" s="17"/>
      <c r="C1007" s="2"/>
      <c r="D1007" s="2"/>
      <c r="E1007" s="2"/>
      <c r="F1007" s="2"/>
      <c r="G1007" s="2"/>
      <c r="H1007" s="2"/>
      <c r="I1007" s="5"/>
    </row>
    <row r="1008" spans="1:9" ht="17.399999999999999" x14ac:dyDescent="0.25">
      <c r="A1008" s="16"/>
      <c r="B1008" s="17"/>
      <c r="C1008" s="2"/>
      <c r="D1008" s="2"/>
      <c r="E1008" s="2"/>
      <c r="F1008" s="2"/>
      <c r="G1008" s="2"/>
      <c r="H1008" s="2"/>
      <c r="I1008" s="5"/>
    </row>
    <row r="1009" spans="1:9" ht="17.399999999999999" x14ac:dyDescent="0.25">
      <c r="A1009" s="16"/>
      <c r="B1009" s="17"/>
      <c r="C1009" s="2"/>
      <c r="D1009" s="2"/>
      <c r="E1009" s="2"/>
      <c r="F1009" s="2"/>
      <c r="G1009" s="2"/>
      <c r="H1009" s="2"/>
      <c r="I1009" s="5"/>
    </row>
    <row r="1010" spans="1:9" ht="17.399999999999999" x14ac:dyDescent="0.25">
      <c r="A1010" s="16"/>
      <c r="B1010" s="17"/>
      <c r="C1010" s="2"/>
      <c r="D1010" s="2"/>
      <c r="E1010" s="2"/>
      <c r="F1010" s="2"/>
      <c r="G1010" s="2"/>
      <c r="H1010" s="2"/>
      <c r="I1010" s="5"/>
    </row>
    <row r="1011" spans="1:9" ht="17.399999999999999" x14ac:dyDescent="0.25">
      <c r="A1011" s="16"/>
      <c r="B1011" s="17"/>
      <c r="C1011" s="2"/>
      <c r="D1011" s="2"/>
      <c r="E1011" s="2"/>
      <c r="F1011" s="2"/>
      <c r="G1011" s="2"/>
      <c r="H1011" s="2"/>
      <c r="I1011" s="5"/>
    </row>
    <row r="1012" spans="1:9" ht="17.399999999999999" x14ac:dyDescent="0.25">
      <c r="A1012" s="16"/>
      <c r="B1012" s="17"/>
      <c r="C1012" s="2"/>
      <c r="D1012" s="2"/>
      <c r="E1012" s="2"/>
      <c r="F1012" s="2"/>
      <c r="G1012" s="2"/>
      <c r="H1012" s="2"/>
      <c r="I1012" s="5"/>
    </row>
    <row r="1013" spans="1:9" ht="17.399999999999999" x14ac:dyDescent="0.25">
      <c r="A1013" s="16"/>
      <c r="B1013" s="17"/>
      <c r="C1013" s="2"/>
      <c r="D1013" s="2"/>
      <c r="E1013" s="2"/>
      <c r="F1013" s="2"/>
      <c r="G1013" s="2"/>
      <c r="H1013" s="2"/>
      <c r="I1013" s="5"/>
    </row>
    <row r="1014" spans="1:9" ht="17.399999999999999" x14ac:dyDescent="0.25">
      <c r="A1014" s="16"/>
      <c r="B1014" s="17"/>
      <c r="C1014" s="2"/>
      <c r="D1014" s="2"/>
      <c r="E1014" s="2"/>
      <c r="F1014" s="2"/>
      <c r="G1014" s="2"/>
      <c r="H1014" s="2"/>
      <c r="I1014" s="5"/>
    </row>
    <row r="1015" spans="1:9" ht="17.399999999999999" x14ac:dyDescent="0.25">
      <c r="A1015" s="16"/>
      <c r="B1015" s="17"/>
      <c r="C1015" s="2"/>
      <c r="D1015" s="2"/>
      <c r="E1015" s="2"/>
      <c r="F1015" s="2"/>
      <c r="G1015" s="2"/>
      <c r="H1015" s="2"/>
      <c r="I1015" s="5"/>
    </row>
    <row r="1016" spans="1:9" ht="17.399999999999999" x14ac:dyDescent="0.25">
      <c r="A1016" s="16"/>
      <c r="B1016" s="17"/>
      <c r="C1016" s="2"/>
      <c r="D1016" s="2"/>
      <c r="E1016" s="2"/>
      <c r="F1016" s="2"/>
      <c r="G1016" s="2"/>
      <c r="H1016" s="2"/>
      <c r="I1016" s="5"/>
    </row>
    <row r="1017" spans="1:9" ht="17.399999999999999" x14ac:dyDescent="0.25">
      <c r="A1017" s="16"/>
      <c r="B1017" s="17"/>
      <c r="C1017" s="2"/>
      <c r="D1017" s="2"/>
      <c r="E1017" s="2"/>
      <c r="F1017" s="2"/>
      <c r="G1017" s="2"/>
      <c r="H1017" s="2"/>
      <c r="I1017" s="5"/>
    </row>
    <row r="1018" spans="1:9" ht="17.399999999999999" x14ac:dyDescent="0.25">
      <c r="A1018" s="16"/>
      <c r="B1018" s="17"/>
      <c r="C1018" s="2"/>
      <c r="D1018" s="2"/>
      <c r="E1018" s="2"/>
      <c r="F1018" s="2"/>
      <c r="G1018" s="2"/>
      <c r="H1018" s="2"/>
      <c r="I1018" s="5"/>
    </row>
    <row r="1019" spans="1:9" ht="17.399999999999999" x14ac:dyDescent="0.25">
      <c r="A1019" s="16"/>
      <c r="B1019" s="17"/>
      <c r="C1019" s="2"/>
      <c r="D1019" s="2"/>
      <c r="E1019" s="2"/>
      <c r="F1019" s="2"/>
      <c r="G1019" s="2"/>
      <c r="H1019" s="2"/>
      <c r="I1019" s="5"/>
    </row>
    <row r="1020" spans="1:9" ht="17.399999999999999" x14ac:dyDescent="0.25">
      <c r="A1020" s="16"/>
      <c r="B1020" s="17"/>
      <c r="C1020" s="2"/>
      <c r="D1020" s="2"/>
      <c r="E1020" s="2"/>
      <c r="F1020" s="2"/>
      <c r="G1020" s="2"/>
      <c r="H1020" s="2"/>
      <c r="I1020" s="5"/>
    </row>
    <row r="1021" spans="1:9" ht="17.399999999999999" x14ac:dyDescent="0.25">
      <c r="A1021" s="16"/>
      <c r="B1021" s="17"/>
      <c r="C1021" s="2"/>
      <c r="D1021" s="2"/>
      <c r="E1021" s="2"/>
      <c r="F1021" s="2"/>
      <c r="G1021" s="2"/>
      <c r="H1021" s="2"/>
      <c r="I1021" s="5"/>
    </row>
    <row r="1022" spans="1:9" ht="17.399999999999999" x14ac:dyDescent="0.25">
      <c r="A1022" s="16"/>
      <c r="B1022" s="17"/>
      <c r="C1022" s="2"/>
      <c r="D1022" s="2"/>
      <c r="E1022" s="2"/>
      <c r="F1022" s="2"/>
      <c r="G1022" s="2"/>
      <c r="H1022" s="2"/>
      <c r="I1022" s="5"/>
    </row>
    <row r="1023" spans="1:9" ht="17.399999999999999" x14ac:dyDescent="0.25">
      <c r="A1023" s="16"/>
      <c r="B1023" s="17"/>
      <c r="C1023" s="2"/>
      <c r="D1023" s="2"/>
      <c r="E1023" s="2"/>
      <c r="F1023" s="2"/>
      <c r="G1023" s="2"/>
      <c r="H1023" s="2"/>
      <c r="I1023" s="5"/>
    </row>
    <row r="1024" spans="1:9" ht="17.399999999999999" x14ac:dyDescent="0.25">
      <c r="A1024" s="16"/>
      <c r="B1024" s="17"/>
      <c r="C1024" s="2"/>
      <c r="D1024" s="2"/>
      <c r="E1024" s="2"/>
      <c r="F1024" s="2"/>
      <c r="G1024" s="2"/>
      <c r="H1024" s="2"/>
      <c r="I1024" s="5"/>
    </row>
    <row r="1025" spans="1:9" ht="17.399999999999999" x14ac:dyDescent="0.25">
      <c r="A1025" s="16"/>
      <c r="B1025" s="17"/>
      <c r="C1025" s="2"/>
      <c r="D1025" s="2"/>
      <c r="E1025" s="2"/>
      <c r="F1025" s="2"/>
      <c r="G1025" s="2"/>
      <c r="H1025" s="2"/>
      <c r="I1025" s="5"/>
    </row>
    <row r="1026" spans="1:9" ht="17.399999999999999" x14ac:dyDescent="0.25">
      <c r="A1026" s="16"/>
      <c r="B1026" s="17"/>
      <c r="C1026" s="2"/>
      <c r="D1026" s="2"/>
      <c r="E1026" s="2"/>
      <c r="F1026" s="2"/>
      <c r="G1026" s="2"/>
      <c r="H1026" s="2"/>
      <c r="I1026" s="5"/>
    </row>
    <row r="1027" spans="1:9" ht="17.399999999999999" x14ac:dyDescent="0.25">
      <c r="A1027" s="16"/>
      <c r="B1027" s="17"/>
      <c r="C1027" s="2"/>
      <c r="D1027" s="2"/>
      <c r="E1027" s="2"/>
      <c r="F1027" s="2"/>
      <c r="G1027" s="2"/>
      <c r="H1027" s="2"/>
      <c r="I1027" s="5"/>
    </row>
    <row r="1028" spans="1:9" ht="17.399999999999999" x14ac:dyDescent="0.25">
      <c r="A1028" s="16"/>
      <c r="B1028" s="17"/>
      <c r="C1028" s="2"/>
      <c r="D1028" s="2"/>
      <c r="E1028" s="2"/>
      <c r="F1028" s="2"/>
      <c r="G1028" s="2"/>
      <c r="H1028" s="2"/>
      <c r="I1028" s="5"/>
    </row>
    <row r="1029" spans="1:9" ht="17.399999999999999" x14ac:dyDescent="0.25">
      <c r="A1029" s="16"/>
      <c r="B1029" s="17"/>
      <c r="C1029" s="2"/>
      <c r="D1029" s="2"/>
      <c r="E1029" s="2"/>
      <c r="F1029" s="2"/>
      <c r="G1029" s="2"/>
      <c r="H1029" s="2"/>
      <c r="I1029" s="5"/>
    </row>
    <row r="1030" spans="1:9" ht="17.399999999999999" x14ac:dyDescent="0.25">
      <c r="A1030" s="16"/>
      <c r="B1030" s="17"/>
      <c r="C1030" s="2"/>
      <c r="D1030" s="2"/>
      <c r="E1030" s="2"/>
      <c r="F1030" s="2"/>
      <c r="G1030" s="2"/>
      <c r="H1030" s="2"/>
      <c r="I1030" s="5"/>
    </row>
    <row r="1031" spans="1:9" ht="17.399999999999999" x14ac:dyDescent="0.25">
      <c r="A1031" s="16"/>
      <c r="B1031" s="17"/>
      <c r="C1031" s="2"/>
      <c r="D1031" s="2"/>
      <c r="E1031" s="2"/>
      <c r="F1031" s="2"/>
      <c r="G1031" s="2"/>
      <c r="H1031" s="2"/>
      <c r="I1031" s="5"/>
    </row>
    <row r="1032" spans="1:9" ht="17.399999999999999" x14ac:dyDescent="0.25">
      <c r="A1032" s="16"/>
      <c r="B1032" s="17"/>
      <c r="C1032" s="2"/>
      <c r="D1032" s="2"/>
      <c r="E1032" s="2"/>
      <c r="F1032" s="2"/>
      <c r="G1032" s="2"/>
      <c r="H1032" s="2"/>
      <c r="I1032" s="5"/>
    </row>
    <row r="1033" spans="1:9" ht="17.399999999999999" x14ac:dyDescent="0.25">
      <c r="A1033" s="16"/>
      <c r="B1033" s="17"/>
      <c r="C1033" s="2"/>
      <c r="D1033" s="2"/>
      <c r="E1033" s="2"/>
      <c r="F1033" s="2"/>
      <c r="G1033" s="2"/>
      <c r="H1033" s="2"/>
      <c r="I1033" s="5"/>
    </row>
    <row r="1034" spans="1:9" ht="17.399999999999999" x14ac:dyDescent="0.25">
      <c r="A1034" s="16"/>
      <c r="B1034" s="17"/>
      <c r="C1034" s="2"/>
      <c r="D1034" s="2"/>
      <c r="E1034" s="2"/>
      <c r="F1034" s="2"/>
      <c r="G1034" s="2"/>
      <c r="H1034" s="2"/>
      <c r="I1034" s="5"/>
    </row>
    <row r="1035" spans="1:9" ht="17.399999999999999" x14ac:dyDescent="0.25">
      <c r="A1035" s="16"/>
      <c r="B1035" s="17"/>
      <c r="C1035" s="2"/>
      <c r="D1035" s="2"/>
      <c r="E1035" s="2"/>
      <c r="F1035" s="2"/>
      <c r="G1035" s="2"/>
      <c r="H1035" s="2"/>
      <c r="I1035" s="5"/>
    </row>
    <row r="1036" spans="1:9" ht="17.399999999999999" x14ac:dyDescent="0.25">
      <c r="A1036" s="16"/>
      <c r="B1036" s="17"/>
      <c r="C1036" s="2"/>
      <c r="D1036" s="2"/>
      <c r="E1036" s="2"/>
      <c r="F1036" s="2"/>
      <c r="G1036" s="2"/>
      <c r="H1036" s="2"/>
      <c r="I1036" s="5"/>
    </row>
    <row r="1037" spans="1:9" ht="17.399999999999999" x14ac:dyDescent="0.25">
      <c r="A1037" s="16"/>
      <c r="B1037" s="17"/>
      <c r="C1037" s="2"/>
      <c r="D1037" s="2"/>
      <c r="E1037" s="2"/>
      <c r="F1037" s="2"/>
      <c r="G1037" s="2"/>
      <c r="H1037" s="2"/>
      <c r="I1037" s="5"/>
    </row>
    <row r="1038" spans="1:9" ht="17.399999999999999" x14ac:dyDescent="0.25">
      <c r="A1038" s="16"/>
      <c r="B1038" s="17"/>
      <c r="C1038" s="2"/>
      <c r="D1038" s="2"/>
      <c r="E1038" s="2"/>
      <c r="F1038" s="2"/>
      <c r="G1038" s="2"/>
      <c r="H1038" s="2"/>
      <c r="I1038" s="5"/>
    </row>
    <row r="1039" spans="1:9" ht="17.399999999999999" x14ac:dyDescent="0.25">
      <c r="A1039" s="16"/>
      <c r="B1039" s="17"/>
      <c r="C1039" s="2"/>
      <c r="D1039" s="2"/>
      <c r="E1039" s="2"/>
      <c r="F1039" s="2"/>
      <c r="G1039" s="2"/>
      <c r="H1039" s="2"/>
      <c r="I1039" s="5"/>
    </row>
    <row r="1040" spans="1:9" ht="17.399999999999999" x14ac:dyDescent="0.25">
      <c r="A1040" s="16"/>
      <c r="B1040" s="17"/>
      <c r="C1040" s="2"/>
      <c r="D1040" s="2"/>
      <c r="E1040" s="2"/>
      <c r="F1040" s="2"/>
      <c r="G1040" s="2"/>
      <c r="H1040" s="2"/>
      <c r="I1040" s="5"/>
    </row>
    <row r="1041" spans="1:9" ht="17.399999999999999" x14ac:dyDescent="0.25">
      <c r="A1041" s="16"/>
      <c r="B1041" s="17"/>
      <c r="C1041" s="2"/>
      <c r="D1041" s="2"/>
      <c r="E1041" s="2"/>
      <c r="F1041" s="2"/>
      <c r="G1041" s="2"/>
      <c r="H1041" s="2"/>
      <c r="I1041" s="5"/>
    </row>
    <row r="1042" spans="1:9" ht="17.399999999999999" x14ac:dyDescent="0.25">
      <c r="A1042" s="16"/>
      <c r="B1042" s="17"/>
      <c r="C1042" s="2"/>
      <c r="D1042" s="2"/>
      <c r="E1042" s="2"/>
      <c r="F1042" s="2"/>
      <c r="G1042" s="2"/>
      <c r="H1042" s="2"/>
      <c r="I1042" s="5"/>
    </row>
    <row r="1043" spans="1:9" ht="17.399999999999999" x14ac:dyDescent="0.25">
      <c r="A1043" s="16"/>
      <c r="B1043" s="17"/>
      <c r="C1043" s="2"/>
      <c r="D1043" s="2"/>
      <c r="E1043" s="2"/>
      <c r="F1043" s="2"/>
      <c r="G1043" s="2"/>
      <c r="H1043" s="2"/>
      <c r="I1043" s="5"/>
    </row>
    <row r="1044" spans="1:9" ht="17.399999999999999" x14ac:dyDescent="0.25">
      <c r="A1044" s="16"/>
      <c r="B1044" s="17"/>
      <c r="C1044" s="2"/>
      <c r="D1044" s="2"/>
      <c r="E1044" s="2"/>
      <c r="F1044" s="2"/>
      <c r="G1044" s="2"/>
      <c r="H1044" s="2"/>
      <c r="I1044" s="5"/>
    </row>
    <row r="1045" spans="1:9" ht="17.399999999999999" x14ac:dyDescent="0.25">
      <c r="A1045" s="16"/>
      <c r="B1045" s="17"/>
      <c r="C1045" s="2"/>
      <c r="D1045" s="2"/>
      <c r="E1045" s="2"/>
      <c r="F1045" s="2"/>
      <c r="G1045" s="2"/>
      <c r="H1045" s="2"/>
      <c r="I1045" s="5"/>
    </row>
    <row r="1046" spans="1:9" ht="17.399999999999999" x14ac:dyDescent="0.25">
      <c r="A1046" s="16"/>
      <c r="B1046" s="17"/>
      <c r="C1046" s="2"/>
      <c r="D1046" s="2"/>
      <c r="E1046" s="2"/>
      <c r="F1046" s="2"/>
      <c r="G1046" s="2"/>
      <c r="H1046" s="2"/>
      <c r="I1046" s="5"/>
    </row>
    <row r="1047" spans="1:9" ht="17.399999999999999" x14ac:dyDescent="0.25">
      <c r="A1047" s="16"/>
      <c r="B1047" s="17"/>
      <c r="C1047" s="2"/>
      <c r="D1047" s="2"/>
      <c r="E1047" s="2"/>
      <c r="F1047" s="2"/>
      <c r="G1047" s="2"/>
      <c r="H1047" s="2"/>
      <c r="I1047" s="5"/>
    </row>
    <row r="1048" spans="1:9" ht="17.399999999999999" x14ac:dyDescent="0.25">
      <c r="A1048" s="16"/>
      <c r="B1048" s="17"/>
      <c r="C1048" s="2"/>
      <c r="D1048" s="2"/>
      <c r="E1048" s="2"/>
      <c r="F1048" s="2"/>
      <c r="G1048" s="2"/>
      <c r="H1048" s="2"/>
      <c r="I1048" s="5"/>
    </row>
    <row r="1049" spans="1:9" ht="17.399999999999999" x14ac:dyDescent="0.25">
      <c r="A1049" s="16"/>
      <c r="B1049" s="17"/>
      <c r="C1049" s="2"/>
      <c r="D1049" s="2"/>
      <c r="E1049" s="2"/>
      <c r="F1049" s="2"/>
      <c r="G1049" s="2"/>
      <c r="H1049" s="2"/>
      <c r="I1049" s="5"/>
    </row>
    <row r="1050" spans="1:9" ht="17.399999999999999" x14ac:dyDescent="0.25">
      <c r="A1050" s="16"/>
      <c r="B1050" s="17"/>
      <c r="C1050" s="2"/>
      <c r="D1050" s="2"/>
      <c r="E1050" s="2"/>
      <c r="F1050" s="2"/>
      <c r="G1050" s="2"/>
      <c r="H1050" s="2"/>
      <c r="I1050" s="5"/>
    </row>
    <row r="1051" spans="1:9" ht="17.399999999999999" x14ac:dyDescent="0.25">
      <c r="A1051" s="16"/>
      <c r="B1051" s="17"/>
      <c r="C1051" s="2"/>
      <c r="D1051" s="2"/>
      <c r="E1051" s="2"/>
      <c r="F1051" s="2"/>
      <c r="G1051" s="2"/>
      <c r="H1051" s="2"/>
      <c r="I1051" s="5"/>
    </row>
    <row r="1052" spans="1:9" ht="17.399999999999999" x14ac:dyDescent="0.25">
      <c r="A1052" s="16"/>
      <c r="B1052" s="17"/>
      <c r="C1052" s="2"/>
      <c r="D1052" s="2"/>
      <c r="E1052" s="2"/>
      <c r="F1052" s="2"/>
      <c r="G1052" s="2"/>
      <c r="H1052" s="2"/>
      <c r="I1052" s="5"/>
    </row>
    <row r="1053" spans="1:9" ht="17.399999999999999" x14ac:dyDescent="0.25">
      <c r="A1053" s="16"/>
      <c r="B1053" s="17"/>
      <c r="C1053" s="2"/>
      <c r="D1053" s="2"/>
      <c r="E1053" s="2"/>
      <c r="F1053" s="2"/>
      <c r="G1053" s="2"/>
      <c r="H1053" s="2"/>
      <c r="I1053" s="5"/>
    </row>
    <row r="1054" spans="1:9" ht="17.399999999999999" x14ac:dyDescent="0.25">
      <c r="A1054" s="16"/>
      <c r="B1054" s="17"/>
      <c r="C1054" s="2"/>
      <c r="D1054" s="2"/>
      <c r="E1054" s="2"/>
      <c r="F1054" s="2"/>
      <c r="G1054" s="2"/>
      <c r="H1054" s="2"/>
      <c r="I1054" s="5"/>
    </row>
    <row r="1055" spans="1:9" ht="17.399999999999999" x14ac:dyDescent="0.25">
      <c r="A1055" s="16"/>
      <c r="B1055" s="17"/>
      <c r="C1055" s="2"/>
      <c r="D1055" s="2"/>
      <c r="E1055" s="2"/>
      <c r="F1055" s="2"/>
      <c r="G1055" s="2"/>
      <c r="H1055" s="2"/>
      <c r="I1055" s="5"/>
    </row>
    <row r="1056" spans="1:9" ht="17.399999999999999" x14ac:dyDescent="0.25">
      <c r="A1056" s="16"/>
      <c r="B1056" s="17"/>
      <c r="C1056" s="2"/>
      <c r="D1056" s="2"/>
      <c r="E1056" s="2"/>
      <c r="F1056" s="2"/>
      <c r="G1056" s="2"/>
      <c r="H1056" s="2"/>
      <c r="I1056" s="5"/>
    </row>
    <row r="1057" spans="1:9" ht="17.399999999999999" x14ac:dyDescent="0.25">
      <c r="A1057" s="16"/>
      <c r="B1057" s="17"/>
      <c r="C1057" s="2"/>
      <c r="D1057" s="2"/>
      <c r="E1057" s="2"/>
      <c r="F1057" s="2"/>
      <c r="G1057" s="2"/>
      <c r="H1057" s="2"/>
      <c r="I1057" s="5"/>
    </row>
    <row r="1058" spans="1:9" ht="17.399999999999999" x14ac:dyDescent="0.25">
      <c r="A1058" s="16"/>
      <c r="B1058" s="17"/>
      <c r="C1058" s="2"/>
      <c r="D1058" s="2"/>
      <c r="E1058" s="2"/>
      <c r="F1058" s="2"/>
      <c r="G1058" s="2"/>
      <c r="H1058" s="2"/>
      <c r="I1058" s="5"/>
    </row>
    <row r="1059" spans="1:9" ht="17.399999999999999" x14ac:dyDescent="0.25">
      <c r="A1059" s="16"/>
      <c r="B1059" s="17"/>
      <c r="C1059" s="2"/>
      <c r="D1059" s="2"/>
      <c r="E1059" s="2"/>
      <c r="F1059" s="2"/>
      <c r="G1059" s="2"/>
      <c r="H1059" s="2"/>
      <c r="I1059" s="5"/>
    </row>
    <row r="1060" spans="1:9" ht="17.399999999999999" x14ac:dyDescent="0.25">
      <c r="A1060" s="16"/>
      <c r="B1060" s="17"/>
      <c r="C1060" s="2"/>
      <c r="D1060" s="2"/>
      <c r="E1060" s="2"/>
      <c r="F1060" s="2"/>
      <c r="G1060" s="2"/>
      <c r="H1060" s="2"/>
      <c r="I1060" s="5"/>
    </row>
    <row r="1061" spans="1:9" ht="17.399999999999999" x14ac:dyDescent="0.25">
      <c r="A1061" s="16"/>
      <c r="B1061" s="17"/>
      <c r="C1061" s="2"/>
      <c r="D1061" s="2"/>
      <c r="E1061" s="2"/>
      <c r="F1061" s="2"/>
      <c r="G1061" s="2"/>
      <c r="H1061" s="2"/>
      <c r="I1061" s="5"/>
    </row>
    <row r="1062" spans="1:9" ht="17.399999999999999" x14ac:dyDescent="0.25">
      <c r="A1062" s="16"/>
      <c r="B1062" s="17"/>
      <c r="C1062" s="2"/>
      <c r="D1062" s="2"/>
      <c r="E1062" s="2"/>
      <c r="F1062" s="2"/>
      <c r="G1062" s="2"/>
      <c r="H1062" s="2"/>
      <c r="I1062" s="5"/>
    </row>
    <row r="1063" spans="1:9" ht="17.399999999999999" x14ac:dyDescent="0.25">
      <c r="A1063" s="16"/>
      <c r="B1063" s="17"/>
      <c r="C1063" s="2"/>
      <c r="D1063" s="2"/>
      <c r="E1063" s="2"/>
      <c r="F1063" s="2"/>
      <c r="G1063" s="2"/>
      <c r="H1063" s="2"/>
      <c r="I1063" s="5"/>
    </row>
    <row r="1064" spans="1:9" ht="17.399999999999999" x14ac:dyDescent="0.25">
      <c r="A1064" s="16"/>
      <c r="B1064" s="17"/>
      <c r="C1064" s="2"/>
      <c r="D1064" s="2"/>
      <c r="E1064" s="2"/>
      <c r="F1064" s="2"/>
      <c r="G1064" s="2"/>
      <c r="H1064" s="2"/>
      <c r="I1064" s="5"/>
    </row>
    <row r="1065" spans="1:9" ht="17.399999999999999" x14ac:dyDescent="0.25">
      <c r="A1065" s="16"/>
      <c r="B1065" s="17"/>
      <c r="C1065" s="2"/>
      <c r="D1065" s="2"/>
      <c r="E1065" s="2"/>
      <c r="F1065" s="2"/>
      <c r="G1065" s="2"/>
      <c r="H1065" s="2"/>
      <c r="I1065" s="5"/>
    </row>
    <row r="1066" spans="1:9" ht="17.399999999999999" x14ac:dyDescent="0.25">
      <c r="A1066" s="16"/>
      <c r="B1066" s="17"/>
      <c r="C1066" s="2"/>
      <c r="D1066" s="2"/>
      <c r="E1066" s="2"/>
      <c r="F1066" s="2"/>
      <c r="G1066" s="2"/>
      <c r="H1066" s="2"/>
      <c r="I1066" s="5"/>
    </row>
    <row r="1067" spans="1:9" ht="17.399999999999999" x14ac:dyDescent="0.25">
      <c r="A1067" s="16"/>
      <c r="B1067" s="17"/>
      <c r="C1067" s="2"/>
      <c r="D1067" s="2"/>
      <c r="E1067" s="2"/>
      <c r="F1067" s="2"/>
      <c r="G1067" s="2"/>
      <c r="H1067" s="2"/>
      <c r="I1067" s="5"/>
    </row>
    <row r="1068" spans="1:9" ht="17.399999999999999" x14ac:dyDescent="0.25">
      <c r="A1068" s="16"/>
      <c r="B1068" s="17"/>
      <c r="C1068" s="2"/>
      <c r="D1068" s="2"/>
      <c r="E1068" s="2"/>
      <c r="F1068" s="2"/>
      <c r="G1068" s="2"/>
      <c r="H1068" s="2"/>
      <c r="I1068" s="5"/>
    </row>
    <row r="1069" spans="1:9" ht="17.399999999999999" x14ac:dyDescent="0.25">
      <c r="A1069" s="16"/>
      <c r="B1069" s="17"/>
      <c r="C1069" s="2"/>
      <c r="D1069" s="2"/>
      <c r="E1069" s="2"/>
      <c r="F1069" s="2"/>
      <c r="G1069" s="2"/>
      <c r="H1069" s="2"/>
      <c r="I1069" s="5"/>
    </row>
    <row r="1070" spans="1:9" ht="17.399999999999999" x14ac:dyDescent="0.25">
      <c r="A1070" s="16"/>
      <c r="B1070" s="17"/>
      <c r="C1070" s="2"/>
      <c r="D1070" s="2"/>
      <c r="E1070" s="2"/>
      <c r="F1070" s="2"/>
      <c r="G1070" s="2"/>
      <c r="H1070" s="2"/>
      <c r="I1070" s="5"/>
    </row>
    <row r="1071" spans="1:9" ht="17.399999999999999" x14ac:dyDescent="0.25">
      <c r="A1071" s="16"/>
      <c r="B1071" s="17"/>
      <c r="C1071" s="2"/>
      <c r="D1071" s="2"/>
      <c r="E1071" s="2"/>
      <c r="F1071" s="2"/>
      <c r="G1071" s="2"/>
      <c r="H1071" s="2"/>
      <c r="I1071" s="5"/>
    </row>
    <row r="1072" spans="1:9" ht="17.399999999999999" x14ac:dyDescent="0.25">
      <c r="A1072" s="16"/>
      <c r="B1072" s="17"/>
      <c r="C1072" s="2"/>
      <c r="D1072" s="2"/>
      <c r="E1072" s="2"/>
      <c r="F1072" s="2"/>
      <c r="G1072" s="2"/>
      <c r="H1072" s="2"/>
      <c r="I1072" s="5"/>
    </row>
    <row r="1073" spans="1:9" ht="17.399999999999999" x14ac:dyDescent="0.25">
      <c r="A1073" s="16"/>
      <c r="B1073" s="17"/>
      <c r="C1073" s="2"/>
      <c r="D1073" s="2"/>
      <c r="E1073" s="2"/>
      <c r="F1073" s="2"/>
      <c r="G1073" s="2"/>
      <c r="H1073" s="2"/>
      <c r="I1073" s="5"/>
    </row>
    <row r="1074" spans="1:9" ht="17.399999999999999" x14ac:dyDescent="0.25">
      <c r="A1074" s="16"/>
      <c r="B1074" s="17"/>
      <c r="C1074" s="2"/>
      <c r="D1074" s="2"/>
      <c r="E1074" s="2"/>
      <c r="F1074" s="2"/>
      <c r="G1074" s="2"/>
      <c r="H1074" s="2"/>
      <c r="I1074" s="5"/>
    </row>
    <row r="1075" spans="1:9" ht="17.399999999999999" x14ac:dyDescent="0.25">
      <c r="A1075" s="16"/>
      <c r="B1075" s="17"/>
      <c r="C1075" s="2"/>
      <c r="D1075" s="2"/>
      <c r="E1075" s="2"/>
      <c r="F1075" s="2"/>
      <c r="G1075" s="2"/>
      <c r="H1075" s="2"/>
      <c r="I1075" s="5"/>
    </row>
    <row r="1076" spans="1:9" ht="17.399999999999999" x14ac:dyDescent="0.25">
      <c r="A1076" s="16"/>
      <c r="B1076" s="17"/>
      <c r="C1076" s="2"/>
      <c r="D1076" s="2"/>
      <c r="E1076" s="2"/>
      <c r="F1076" s="2"/>
      <c r="G1076" s="2"/>
      <c r="H1076" s="2"/>
      <c r="I1076" s="5"/>
    </row>
    <row r="1077" spans="1:9" ht="17.399999999999999" x14ac:dyDescent="0.25">
      <c r="A1077" s="16"/>
      <c r="B1077" s="17"/>
      <c r="C1077" s="2"/>
      <c r="D1077" s="2"/>
      <c r="E1077" s="2"/>
      <c r="F1077" s="2"/>
      <c r="G1077" s="2"/>
      <c r="H1077" s="2"/>
      <c r="I1077" s="5"/>
    </row>
    <row r="1078" spans="1:9" ht="17.399999999999999" x14ac:dyDescent="0.25">
      <c r="A1078" s="16"/>
      <c r="B1078" s="17"/>
      <c r="C1078" s="2"/>
      <c r="D1078" s="2"/>
      <c r="E1078" s="2"/>
      <c r="F1078" s="2"/>
      <c r="G1078" s="2"/>
      <c r="H1078" s="2"/>
      <c r="I1078" s="5"/>
    </row>
    <row r="1079" spans="1:9" ht="17.399999999999999" x14ac:dyDescent="0.25">
      <c r="A1079" s="16"/>
      <c r="B1079" s="17"/>
      <c r="C1079" s="2"/>
      <c r="D1079" s="2"/>
      <c r="E1079" s="2"/>
      <c r="F1079" s="2"/>
      <c r="G1079" s="2"/>
      <c r="H1079" s="2"/>
      <c r="I1079" s="5"/>
    </row>
    <row r="1080" spans="1:9" ht="17.399999999999999" x14ac:dyDescent="0.25">
      <c r="A1080" s="16"/>
      <c r="B1080" s="17"/>
      <c r="C1080" s="2"/>
      <c r="D1080" s="2"/>
      <c r="E1080" s="2"/>
      <c r="F1080" s="2"/>
      <c r="G1080" s="2"/>
      <c r="H1080" s="2"/>
      <c r="I1080" s="5"/>
    </row>
    <row r="1081" spans="1:9" ht="17.399999999999999" x14ac:dyDescent="0.25">
      <c r="A1081" s="16"/>
      <c r="B1081" s="17"/>
      <c r="C1081" s="2"/>
      <c r="D1081" s="2"/>
      <c r="E1081" s="2"/>
      <c r="F1081" s="2"/>
      <c r="G1081" s="2"/>
      <c r="H1081" s="2"/>
      <c r="I1081" s="5"/>
    </row>
    <row r="1082" spans="1:9" ht="17.399999999999999" x14ac:dyDescent="0.25">
      <c r="A1082" s="16"/>
      <c r="B1082" s="17"/>
      <c r="C1082" s="2"/>
      <c r="D1082" s="2"/>
      <c r="E1082" s="2"/>
      <c r="F1082" s="2"/>
      <c r="G1082" s="2"/>
      <c r="H1082" s="2"/>
      <c r="I1082" s="5"/>
    </row>
    <row r="1083" spans="1:9" ht="17.399999999999999" x14ac:dyDescent="0.25">
      <c r="A1083" s="16"/>
      <c r="B1083" s="17"/>
      <c r="C1083" s="2"/>
      <c r="D1083" s="2"/>
      <c r="E1083" s="2"/>
      <c r="F1083" s="2"/>
      <c r="G1083" s="2"/>
      <c r="H1083" s="2"/>
      <c r="I1083" s="5"/>
    </row>
    <row r="1084" spans="1:9" ht="17.399999999999999" x14ac:dyDescent="0.25">
      <c r="A1084" s="16"/>
      <c r="B1084" s="17"/>
      <c r="C1084" s="2"/>
      <c r="D1084" s="2"/>
      <c r="E1084" s="2"/>
      <c r="F1084" s="2"/>
      <c r="G1084" s="2"/>
      <c r="H1084" s="2"/>
      <c r="I1084" s="5"/>
    </row>
    <row r="1085" spans="1:9" ht="17.399999999999999" x14ac:dyDescent="0.25">
      <c r="A1085" s="16"/>
      <c r="B1085" s="17"/>
      <c r="C1085" s="2"/>
      <c r="D1085" s="2"/>
      <c r="E1085" s="2"/>
      <c r="F1085" s="2"/>
      <c r="G1085" s="2"/>
      <c r="H1085" s="2"/>
      <c r="I1085" s="5"/>
    </row>
    <row r="1086" spans="1:9" ht="17.399999999999999" x14ac:dyDescent="0.25">
      <c r="A1086" s="16"/>
      <c r="B1086" s="17"/>
      <c r="C1086" s="2"/>
      <c r="D1086" s="2"/>
      <c r="E1086" s="2"/>
      <c r="F1086" s="2"/>
      <c r="G1086" s="2"/>
      <c r="H1086" s="2"/>
      <c r="I1086" s="5"/>
    </row>
    <row r="1087" spans="1:9" ht="17.399999999999999" x14ac:dyDescent="0.25">
      <c r="A1087" s="16"/>
      <c r="B1087" s="17"/>
      <c r="C1087" s="2"/>
      <c r="D1087" s="2"/>
      <c r="E1087" s="2"/>
      <c r="F1087" s="2"/>
      <c r="G1087" s="2"/>
      <c r="H1087" s="2"/>
      <c r="I1087" s="5"/>
    </row>
    <row r="1088" spans="1:9" ht="17.399999999999999" x14ac:dyDescent="0.25">
      <c r="A1088" s="16"/>
      <c r="B1088" s="17"/>
      <c r="C1088" s="2"/>
      <c r="D1088" s="2"/>
      <c r="E1088" s="2"/>
      <c r="F1088" s="2"/>
      <c r="G1088" s="2"/>
      <c r="H1088" s="2"/>
      <c r="I1088" s="5"/>
    </row>
    <row r="1089" spans="1:9" ht="17.399999999999999" x14ac:dyDescent="0.25">
      <c r="A1089" s="16"/>
      <c r="B1089" s="17"/>
      <c r="C1089" s="2"/>
      <c r="D1089" s="2"/>
      <c r="E1089" s="2"/>
      <c r="F1089" s="2"/>
      <c r="G1089" s="2"/>
      <c r="H1089" s="2"/>
      <c r="I1089" s="5"/>
    </row>
    <row r="1090" spans="1:9" ht="17.399999999999999" x14ac:dyDescent="0.25">
      <c r="A1090" s="16"/>
      <c r="B1090" s="17"/>
      <c r="C1090" s="2"/>
      <c r="D1090" s="2"/>
      <c r="E1090" s="2"/>
      <c r="F1090" s="2"/>
      <c r="G1090" s="2"/>
      <c r="H1090" s="2"/>
      <c r="I1090" s="5"/>
    </row>
    <row r="1091" spans="1:9" ht="17.399999999999999" x14ac:dyDescent="0.25">
      <c r="A1091" s="16"/>
      <c r="B1091" s="17"/>
      <c r="C1091" s="2"/>
      <c r="D1091" s="2"/>
      <c r="E1091" s="2"/>
      <c r="F1091" s="2"/>
      <c r="G1091" s="2"/>
      <c r="H1091" s="2"/>
      <c r="I1091" s="5"/>
    </row>
    <row r="1092" spans="1:9" ht="17.399999999999999" x14ac:dyDescent="0.25">
      <c r="A1092" s="16"/>
      <c r="B1092" s="17"/>
      <c r="C1092" s="2"/>
      <c r="D1092" s="2"/>
      <c r="E1092" s="2"/>
      <c r="F1092" s="2"/>
      <c r="G1092" s="2"/>
      <c r="H1092" s="2"/>
      <c r="I1092" s="5"/>
    </row>
    <row r="1093" spans="1:9" ht="17.399999999999999" x14ac:dyDescent="0.25">
      <c r="A1093" s="16"/>
      <c r="B1093" s="17"/>
      <c r="C1093" s="2"/>
      <c r="D1093" s="2"/>
      <c r="E1093" s="2"/>
      <c r="F1093" s="2"/>
      <c r="G1093" s="2"/>
      <c r="H1093" s="2"/>
      <c r="I1093" s="5"/>
    </row>
    <row r="1094" spans="1:9" ht="17.399999999999999" x14ac:dyDescent="0.25">
      <c r="A1094" s="16"/>
      <c r="B1094" s="17"/>
      <c r="C1094" s="2"/>
      <c r="D1094" s="2"/>
      <c r="E1094" s="2"/>
      <c r="F1094" s="2"/>
      <c r="G1094" s="2"/>
      <c r="H1094" s="2"/>
      <c r="I1094" s="5"/>
    </row>
    <row r="1095" spans="1:9" ht="17.399999999999999" x14ac:dyDescent="0.25">
      <c r="A1095" s="16"/>
      <c r="B1095" s="17"/>
      <c r="C1095" s="2"/>
      <c r="D1095" s="2"/>
      <c r="E1095" s="2"/>
      <c r="F1095" s="2"/>
      <c r="G1095" s="2"/>
      <c r="H1095" s="2"/>
      <c r="I1095" s="5"/>
    </row>
    <row r="1096" spans="1:9" ht="17.399999999999999" x14ac:dyDescent="0.25">
      <c r="A1096" s="16"/>
      <c r="B1096" s="17"/>
      <c r="C1096" s="2"/>
      <c r="D1096" s="2"/>
      <c r="E1096" s="2"/>
      <c r="F1096" s="2"/>
      <c r="G1096" s="2"/>
      <c r="H1096" s="2"/>
      <c r="I1096" s="5"/>
    </row>
    <row r="1097" spans="1:9" ht="17.399999999999999" x14ac:dyDescent="0.25">
      <c r="A1097" s="16"/>
      <c r="B1097" s="17"/>
      <c r="C1097" s="2"/>
      <c r="D1097" s="2"/>
      <c r="E1097" s="2"/>
      <c r="F1097" s="2"/>
      <c r="G1097" s="2"/>
      <c r="H1097" s="2"/>
      <c r="I1097" s="5"/>
    </row>
    <row r="1098" spans="1:9" ht="17.399999999999999" x14ac:dyDescent="0.25">
      <c r="A1098" s="16"/>
      <c r="B1098" s="17"/>
      <c r="C1098" s="2"/>
      <c r="D1098" s="2"/>
      <c r="E1098" s="2"/>
      <c r="F1098" s="2"/>
      <c r="G1098" s="2"/>
      <c r="H1098" s="2"/>
      <c r="I1098" s="5"/>
    </row>
    <row r="1099" spans="1:9" ht="17.399999999999999" x14ac:dyDescent="0.25">
      <c r="A1099" s="16"/>
      <c r="B1099" s="17"/>
      <c r="C1099" s="2"/>
      <c r="D1099" s="2"/>
      <c r="E1099" s="2"/>
      <c r="F1099" s="2"/>
      <c r="G1099" s="2"/>
      <c r="H1099" s="2"/>
      <c r="I1099" s="5"/>
    </row>
    <row r="1100" spans="1:9" ht="17.399999999999999" x14ac:dyDescent="0.25">
      <c r="A1100" s="16"/>
      <c r="B1100" s="17"/>
      <c r="C1100" s="2"/>
      <c r="D1100" s="2"/>
      <c r="E1100" s="2"/>
      <c r="F1100" s="2"/>
      <c r="G1100" s="2"/>
      <c r="H1100" s="2"/>
      <c r="I1100" s="5"/>
    </row>
    <row r="1101" spans="1:9" ht="17.399999999999999" x14ac:dyDescent="0.25">
      <c r="A1101" s="16"/>
      <c r="B1101" s="17"/>
      <c r="C1101" s="2"/>
      <c r="D1101" s="2"/>
      <c r="E1101" s="2"/>
      <c r="F1101" s="2"/>
      <c r="G1101" s="2"/>
      <c r="H1101" s="2"/>
      <c r="I1101" s="5"/>
    </row>
    <row r="1102" spans="1:9" ht="17.399999999999999" x14ac:dyDescent="0.25">
      <c r="A1102" s="16"/>
      <c r="B1102" s="17"/>
      <c r="C1102" s="2"/>
      <c r="D1102" s="2"/>
      <c r="E1102" s="2"/>
      <c r="F1102" s="2"/>
      <c r="G1102" s="2"/>
      <c r="H1102" s="2"/>
      <c r="I1102" s="5"/>
    </row>
    <row r="1103" spans="1:9" ht="17.399999999999999" x14ac:dyDescent="0.25">
      <c r="A1103" s="16"/>
      <c r="B1103" s="17"/>
      <c r="C1103" s="2"/>
      <c r="D1103" s="2"/>
      <c r="E1103" s="2"/>
      <c r="F1103" s="2"/>
      <c r="G1103" s="2"/>
      <c r="H1103" s="2"/>
      <c r="I1103" s="5"/>
    </row>
    <row r="1104" spans="1:9" ht="17.399999999999999" x14ac:dyDescent="0.25">
      <c r="A1104" s="16"/>
      <c r="B1104" s="17"/>
      <c r="C1104" s="2"/>
      <c r="D1104" s="2"/>
      <c r="E1104" s="2"/>
      <c r="F1104" s="2"/>
      <c r="G1104" s="2"/>
      <c r="H1104" s="2"/>
      <c r="I1104" s="5"/>
    </row>
    <row r="1105" spans="1:9" ht="17.399999999999999" x14ac:dyDescent="0.25">
      <c r="A1105" s="16"/>
      <c r="B1105" s="17"/>
      <c r="C1105" s="2"/>
      <c r="D1105" s="2"/>
      <c r="E1105" s="2"/>
      <c r="F1105" s="2"/>
      <c r="G1105" s="2"/>
      <c r="H1105" s="2"/>
      <c r="I1105" s="5"/>
    </row>
    <row r="1106" spans="1:9" ht="17.399999999999999" x14ac:dyDescent="0.25">
      <c r="A1106" s="16"/>
      <c r="B1106" s="17"/>
      <c r="C1106" s="2"/>
      <c r="D1106" s="2"/>
      <c r="E1106" s="2"/>
      <c r="F1106" s="2"/>
      <c r="G1106" s="2"/>
      <c r="H1106" s="2"/>
      <c r="I1106" s="5"/>
    </row>
    <row r="1107" spans="1:9" ht="17.399999999999999" x14ac:dyDescent="0.25">
      <c r="A1107" s="16"/>
      <c r="B1107" s="17"/>
      <c r="C1107" s="2"/>
      <c r="D1107" s="2"/>
      <c r="E1107" s="2"/>
      <c r="F1107" s="2"/>
      <c r="G1107" s="2"/>
      <c r="H1107" s="2"/>
      <c r="I1107" s="5"/>
    </row>
    <row r="1108" spans="1:9" ht="17.399999999999999" x14ac:dyDescent="0.25">
      <c r="A1108" s="16"/>
      <c r="B1108" s="17"/>
      <c r="C1108" s="2"/>
      <c r="D1108" s="2"/>
      <c r="E1108" s="2"/>
      <c r="F1108" s="2"/>
      <c r="G1108" s="2"/>
      <c r="H1108" s="2"/>
      <c r="I1108" s="5"/>
    </row>
    <row r="1109" spans="1:9" ht="17.399999999999999" x14ac:dyDescent="0.25">
      <c r="A1109" s="16"/>
      <c r="B1109" s="17"/>
      <c r="C1109" s="2"/>
      <c r="D1109" s="2"/>
      <c r="E1109" s="2"/>
      <c r="F1109" s="2"/>
      <c r="G1109" s="2"/>
      <c r="H1109" s="2"/>
      <c r="I1109" s="5"/>
    </row>
    <row r="1110" spans="1:9" ht="17.399999999999999" x14ac:dyDescent="0.25">
      <c r="A1110" s="16"/>
      <c r="B1110" s="17"/>
      <c r="C1110" s="2"/>
      <c r="D1110" s="2"/>
      <c r="E1110" s="2"/>
      <c r="F1110" s="2"/>
      <c r="G1110" s="2"/>
      <c r="H1110" s="2"/>
      <c r="I1110" s="5"/>
    </row>
    <row r="1111" spans="1:9" ht="17.399999999999999" x14ac:dyDescent="0.25">
      <c r="A1111" s="16"/>
      <c r="B1111" s="17"/>
      <c r="C1111" s="2"/>
      <c r="D1111" s="2"/>
      <c r="E1111" s="2"/>
      <c r="F1111" s="2"/>
      <c r="G1111" s="2"/>
      <c r="H1111" s="2"/>
      <c r="I1111" s="5"/>
    </row>
    <row r="1112" spans="1:9" ht="17.399999999999999" x14ac:dyDescent="0.25">
      <c r="A1112" s="16"/>
      <c r="B1112" s="17"/>
      <c r="C1112" s="2"/>
      <c r="D1112" s="2"/>
      <c r="E1112" s="2"/>
      <c r="F1112" s="2"/>
      <c r="G1112" s="2"/>
      <c r="H1112" s="2"/>
      <c r="I1112" s="5"/>
    </row>
    <row r="1113" spans="1:9" ht="17.399999999999999" x14ac:dyDescent="0.25">
      <c r="A1113" s="16"/>
      <c r="B1113" s="17"/>
      <c r="C1113" s="2"/>
      <c r="D1113" s="2"/>
      <c r="E1113" s="2"/>
      <c r="F1113" s="2"/>
      <c r="G1113" s="2"/>
      <c r="H1113" s="2"/>
      <c r="I1113" s="5"/>
    </row>
    <row r="1114" spans="1:9" ht="17.399999999999999" x14ac:dyDescent="0.25">
      <c r="A1114" s="16"/>
      <c r="B1114" s="17"/>
      <c r="C1114" s="2"/>
      <c r="D1114" s="2"/>
      <c r="E1114" s="2"/>
      <c r="F1114" s="2"/>
      <c r="G1114" s="2"/>
      <c r="H1114" s="2"/>
      <c r="I1114" s="5"/>
    </row>
    <row r="1115" spans="1:9" ht="17.399999999999999" x14ac:dyDescent="0.25">
      <c r="A1115" s="16"/>
      <c r="B1115" s="17"/>
      <c r="C1115" s="2"/>
      <c r="D1115" s="2"/>
      <c r="E1115" s="2"/>
      <c r="F1115" s="2"/>
      <c r="G1115" s="2"/>
      <c r="H1115" s="2"/>
      <c r="I1115" s="5"/>
    </row>
    <row r="1116" spans="1:9" ht="17.399999999999999" x14ac:dyDescent="0.25">
      <c r="A1116" s="16"/>
      <c r="B1116" s="17"/>
      <c r="C1116" s="2"/>
      <c r="D1116" s="2"/>
      <c r="E1116" s="2"/>
      <c r="F1116" s="2"/>
      <c r="G1116" s="2"/>
      <c r="H1116" s="2"/>
      <c r="I1116" s="5"/>
    </row>
    <row r="1117" spans="1:9" ht="17.399999999999999" x14ac:dyDescent="0.25">
      <c r="A1117" s="16"/>
      <c r="B1117" s="17"/>
      <c r="C1117" s="2"/>
      <c r="D1117" s="2"/>
      <c r="E1117" s="2"/>
      <c r="F1117" s="2"/>
      <c r="G1117" s="2"/>
      <c r="H1117" s="2"/>
      <c r="I1117" s="5"/>
    </row>
    <row r="1118" spans="1:9" ht="17.399999999999999" x14ac:dyDescent="0.25">
      <c r="A1118" s="16"/>
      <c r="B1118" s="17"/>
      <c r="C1118" s="2"/>
      <c r="D1118" s="2"/>
      <c r="E1118" s="2"/>
      <c r="F1118" s="2"/>
      <c r="G1118" s="2"/>
      <c r="H1118" s="2"/>
      <c r="I1118" s="5"/>
    </row>
    <row r="1119" spans="1:9" ht="17.399999999999999" x14ac:dyDescent="0.25">
      <c r="A1119" s="16"/>
      <c r="B1119" s="17"/>
      <c r="C1119" s="2"/>
      <c r="D1119" s="2"/>
      <c r="E1119" s="2"/>
      <c r="F1119" s="2"/>
      <c r="G1119" s="2"/>
      <c r="H1119" s="2"/>
      <c r="I1119" s="5"/>
    </row>
    <row r="1120" spans="1:9" ht="17.399999999999999" x14ac:dyDescent="0.25">
      <c r="A1120" s="16"/>
      <c r="B1120" s="17"/>
      <c r="C1120" s="2"/>
      <c r="D1120" s="2"/>
      <c r="E1120" s="2"/>
      <c r="F1120" s="2"/>
      <c r="G1120" s="2"/>
      <c r="H1120" s="2"/>
      <c r="I1120" s="5"/>
    </row>
    <row r="1121" spans="1:9" ht="17.399999999999999" x14ac:dyDescent="0.25">
      <c r="A1121" s="16"/>
      <c r="B1121" s="17"/>
      <c r="C1121" s="2"/>
      <c r="D1121" s="2"/>
      <c r="E1121" s="2"/>
      <c r="F1121" s="2"/>
      <c r="G1121" s="2"/>
      <c r="H1121" s="2"/>
      <c r="I1121" s="5"/>
    </row>
    <row r="1122" spans="1:9" ht="17.399999999999999" x14ac:dyDescent="0.25">
      <c r="A1122" s="16"/>
      <c r="B1122" s="17"/>
      <c r="C1122" s="2"/>
      <c r="D1122" s="2"/>
      <c r="E1122" s="2"/>
      <c r="F1122" s="2"/>
      <c r="G1122" s="2"/>
      <c r="H1122" s="2"/>
      <c r="I1122" s="5"/>
    </row>
    <row r="1123" spans="1:9" ht="17.399999999999999" x14ac:dyDescent="0.25">
      <c r="A1123" s="16"/>
      <c r="B1123" s="17"/>
      <c r="C1123" s="2"/>
      <c r="D1123" s="2"/>
      <c r="E1123" s="2"/>
      <c r="F1123" s="2"/>
      <c r="G1123" s="2"/>
      <c r="H1123" s="2"/>
      <c r="I1123" s="5"/>
    </row>
    <row r="1124" spans="1:9" ht="17.399999999999999" x14ac:dyDescent="0.25">
      <c r="A1124" s="16"/>
      <c r="B1124" s="17"/>
      <c r="C1124" s="2"/>
      <c r="D1124" s="2"/>
      <c r="E1124" s="2"/>
      <c r="F1124" s="2"/>
      <c r="G1124" s="2"/>
      <c r="H1124" s="2"/>
      <c r="I1124" s="5"/>
    </row>
    <row r="1125" spans="1:9" ht="17.399999999999999" x14ac:dyDescent="0.25">
      <c r="A1125" s="16"/>
      <c r="B1125" s="17"/>
      <c r="C1125" s="2"/>
      <c r="D1125" s="2"/>
      <c r="E1125" s="2"/>
      <c r="F1125" s="2"/>
      <c r="G1125" s="2"/>
      <c r="H1125" s="2"/>
      <c r="I1125" s="5"/>
    </row>
    <row r="1126" spans="1:9" ht="17.399999999999999" x14ac:dyDescent="0.25">
      <c r="A1126" s="16"/>
      <c r="B1126" s="17"/>
      <c r="C1126" s="2"/>
      <c r="D1126" s="2"/>
      <c r="E1126" s="2"/>
      <c r="F1126" s="2"/>
      <c r="G1126" s="2"/>
      <c r="H1126" s="2"/>
      <c r="I1126" s="5"/>
    </row>
    <row r="1127" spans="1:9" ht="17.399999999999999" x14ac:dyDescent="0.25">
      <c r="A1127" s="16"/>
      <c r="B1127" s="17"/>
      <c r="C1127" s="2"/>
      <c r="D1127" s="2"/>
      <c r="E1127" s="2"/>
      <c r="F1127" s="2"/>
      <c r="G1127" s="2"/>
      <c r="H1127" s="2"/>
      <c r="I1127" s="5"/>
    </row>
    <row r="1128" spans="1:9" ht="17.399999999999999" x14ac:dyDescent="0.25">
      <c r="A1128" s="16"/>
      <c r="B1128" s="17"/>
      <c r="C1128" s="2"/>
      <c r="D1128" s="2"/>
      <c r="E1128" s="2"/>
      <c r="F1128" s="2"/>
      <c r="G1128" s="2"/>
      <c r="H1128" s="2"/>
      <c r="I1128" s="5"/>
    </row>
    <row r="1129" spans="1:9" ht="17.399999999999999" x14ac:dyDescent="0.25">
      <c r="A1129" s="16"/>
      <c r="B1129" s="17"/>
      <c r="C1129" s="2"/>
      <c r="D1129" s="2"/>
      <c r="E1129" s="2"/>
      <c r="F1129" s="2"/>
      <c r="G1129" s="2"/>
      <c r="H1129" s="2"/>
      <c r="I1129" s="5"/>
    </row>
    <row r="1130" spans="1:9" ht="17.399999999999999" x14ac:dyDescent="0.25">
      <c r="A1130" s="16"/>
      <c r="B1130" s="17"/>
      <c r="C1130" s="2"/>
      <c r="D1130" s="2"/>
      <c r="E1130" s="2"/>
      <c r="F1130" s="2"/>
      <c r="G1130" s="2"/>
      <c r="H1130" s="2"/>
      <c r="I1130" s="5"/>
    </row>
    <row r="1131" spans="1:9" ht="17.399999999999999" x14ac:dyDescent="0.25">
      <c r="A1131" s="16"/>
      <c r="B1131" s="17"/>
      <c r="C1131" s="2"/>
      <c r="D1131" s="2"/>
      <c r="E1131" s="2"/>
      <c r="F1131" s="2"/>
      <c r="G1131" s="2"/>
      <c r="H1131" s="2"/>
      <c r="I1131" s="5"/>
    </row>
    <row r="1132" spans="1:9" ht="17.399999999999999" x14ac:dyDescent="0.25">
      <c r="A1132" s="16"/>
      <c r="B1132" s="17"/>
      <c r="C1132" s="2"/>
      <c r="D1132" s="2"/>
      <c r="E1132" s="2"/>
      <c r="F1132" s="2"/>
      <c r="G1132" s="2"/>
      <c r="H1132" s="2"/>
      <c r="I1132" s="5"/>
    </row>
    <row r="1133" spans="1:9" ht="17.399999999999999" x14ac:dyDescent="0.25">
      <c r="A1133" s="16"/>
      <c r="B1133" s="17"/>
      <c r="C1133" s="2"/>
      <c r="D1133" s="2"/>
      <c r="E1133" s="2"/>
      <c r="F1133" s="2"/>
      <c r="G1133" s="2"/>
      <c r="H1133" s="2"/>
      <c r="I1133" s="5"/>
    </row>
    <row r="1134" spans="1:9" ht="17.399999999999999" x14ac:dyDescent="0.25">
      <c r="A1134" s="16"/>
      <c r="B1134" s="17"/>
      <c r="C1134" s="2"/>
      <c r="D1134" s="2"/>
      <c r="E1134" s="2"/>
      <c r="F1134" s="2"/>
      <c r="G1134" s="2"/>
      <c r="H1134" s="2"/>
      <c r="I1134" s="5"/>
    </row>
    <row r="1135" spans="1:9" ht="17.399999999999999" x14ac:dyDescent="0.25">
      <c r="A1135" s="16"/>
      <c r="B1135" s="17"/>
      <c r="C1135" s="2"/>
      <c r="D1135" s="2"/>
      <c r="E1135" s="2"/>
      <c r="F1135" s="2"/>
      <c r="G1135" s="2"/>
      <c r="H1135" s="2"/>
      <c r="I1135" s="5"/>
    </row>
    <row r="1136" spans="1:9" ht="17.399999999999999" x14ac:dyDescent="0.25">
      <c r="A1136" s="16"/>
      <c r="B1136" s="17"/>
      <c r="C1136" s="2"/>
      <c r="D1136" s="2"/>
      <c r="E1136" s="2"/>
      <c r="F1136" s="2"/>
      <c r="G1136" s="2"/>
      <c r="H1136" s="2"/>
      <c r="I1136" s="5"/>
    </row>
    <row r="1137" spans="1:9" ht="17.399999999999999" x14ac:dyDescent="0.25">
      <c r="A1137" s="16"/>
      <c r="B1137" s="17"/>
      <c r="C1137" s="2"/>
      <c r="D1137" s="2"/>
      <c r="E1137" s="2"/>
      <c r="F1137" s="2"/>
      <c r="G1137" s="2"/>
      <c r="H1137" s="2"/>
      <c r="I1137" s="5"/>
    </row>
    <row r="1138" spans="1:9" ht="17.399999999999999" x14ac:dyDescent="0.25">
      <c r="A1138" s="16"/>
      <c r="B1138" s="17"/>
      <c r="C1138" s="2"/>
      <c r="D1138" s="2"/>
      <c r="E1138" s="2"/>
      <c r="F1138" s="2"/>
      <c r="G1138" s="2"/>
      <c r="H1138" s="2"/>
      <c r="I1138" s="5"/>
    </row>
    <row r="1139" spans="1:9" ht="17.399999999999999" x14ac:dyDescent="0.25">
      <c r="A1139" s="16"/>
      <c r="B1139" s="17"/>
      <c r="C1139" s="2"/>
      <c r="D1139" s="2"/>
      <c r="E1139" s="2"/>
      <c r="F1139" s="2"/>
      <c r="G1139" s="2"/>
      <c r="H1139" s="2"/>
      <c r="I1139" s="5"/>
    </row>
    <row r="1140" spans="1:9" ht="17.399999999999999" x14ac:dyDescent="0.25">
      <c r="A1140" s="16"/>
      <c r="B1140" s="17"/>
      <c r="C1140" s="2"/>
      <c r="D1140" s="2"/>
      <c r="E1140" s="2"/>
      <c r="F1140" s="2"/>
      <c r="G1140" s="2"/>
      <c r="H1140" s="2"/>
      <c r="I1140" s="5"/>
    </row>
    <row r="1141" spans="1:9" ht="17.399999999999999" x14ac:dyDescent="0.25">
      <c r="A1141" s="16"/>
      <c r="B1141" s="17"/>
      <c r="C1141" s="2"/>
      <c r="D1141" s="2"/>
      <c r="E1141" s="2"/>
      <c r="F1141" s="2"/>
      <c r="G1141" s="2"/>
      <c r="H1141" s="2"/>
      <c r="I1141" s="5"/>
    </row>
    <row r="1142" spans="1:9" ht="17.399999999999999" x14ac:dyDescent="0.25">
      <c r="A1142" s="16"/>
      <c r="B1142" s="17"/>
      <c r="C1142" s="2"/>
      <c r="D1142" s="2"/>
      <c r="E1142" s="2"/>
      <c r="F1142" s="2"/>
      <c r="G1142" s="2"/>
      <c r="H1142" s="2"/>
      <c r="I1142" s="5"/>
    </row>
    <row r="1143" spans="1:9" ht="17.399999999999999" x14ac:dyDescent="0.25">
      <c r="A1143" s="16"/>
      <c r="B1143" s="17"/>
      <c r="C1143" s="2"/>
      <c r="D1143" s="2"/>
      <c r="E1143" s="2"/>
      <c r="F1143" s="2"/>
      <c r="G1143" s="2"/>
      <c r="H1143" s="2"/>
      <c r="I1143" s="5"/>
    </row>
    <row r="1144" spans="1:9" ht="17.399999999999999" x14ac:dyDescent="0.25">
      <c r="A1144" s="16"/>
      <c r="B1144" s="17"/>
      <c r="C1144" s="2"/>
      <c r="D1144" s="2"/>
      <c r="E1144" s="2"/>
      <c r="F1144" s="2"/>
      <c r="G1144" s="2"/>
      <c r="H1144" s="2"/>
      <c r="I1144" s="5"/>
    </row>
    <row r="1145" spans="1:9" ht="17.399999999999999" x14ac:dyDescent="0.25">
      <c r="A1145" s="16"/>
      <c r="B1145" s="17"/>
      <c r="C1145" s="2"/>
      <c r="D1145" s="2"/>
      <c r="E1145" s="2"/>
      <c r="F1145" s="2"/>
      <c r="G1145" s="2"/>
      <c r="H1145" s="2"/>
      <c r="I1145" s="5"/>
    </row>
    <row r="1146" spans="1:9" ht="17.399999999999999" x14ac:dyDescent="0.25">
      <c r="A1146" s="16"/>
      <c r="B1146" s="17"/>
      <c r="C1146" s="2"/>
      <c r="D1146" s="2"/>
      <c r="E1146" s="2"/>
      <c r="F1146" s="2"/>
      <c r="G1146" s="2"/>
      <c r="H1146" s="2"/>
      <c r="I1146" s="5"/>
    </row>
    <row r="1147" spans="1:9" ht="17.399999999999999" x14ac:dyDescent="0.25">
      <c r="A1147" s="16"/>
      <c r="B1147" s="17"/>
      <c r="C1147" s="2"/>
      <c r="D1147" s="2"/>
      <c r="E1147" s="2"/>
      <c r="F1147" s="2"/>
      <c r="G1147" s="2"/>
      <c r="H1147" s="2"/>
      <c r="I1147" s="5"/>
    </row>
    <row r="1148" spans="1:9" ht="17.399999999999999" x14ac:dyDescent="0.25">
      <c r="A1148" s="16"/>
      <c r="B1148" s="17"/>
      <c r="C1148" s="2"/>
      <c r="D1148" s="2"/>
      <c r="E1148" s="2"/>
      <c r="F1148" s="2"/>
      <c r="G1148" s="2"/>
      <c r="H1148" s="2"/>
      <c r="I1148" s="5"/>
    </row>
    <row r="1149" spans="1:9" ht="17.399999999999999" x14ac:dyDescent="0.25">
      <c r="A1149" s="16"/>
      <c r="B1149" s="17"/>
      <c r="C1149" s="2"/>
      <c r="D1149" s="2"/>
      <c r="E1149" s="2"/>
      <c r="F1149" s="2"/>
      <c r="G1149" s="2"/>
      <c r="H1149" s="2"/>
      <c r="I1149" s="5"/>
    </row>
    <row r="1150" spans="1:9" ht="17.399999999999999" x14ac:dyDescent="0.25">
      <c r="A1150" s="16"/>
      <c r="B1150" s="17"/>
      <c r="C1150" s="2"/>
      <c r="D1150" s="2"/>
      <c r="E1150" s="2"/>
      <c r="F1150" s="2"/>
      <c r="G1150" s="2"/>
      <c r="H1150" s="2"/>
      <c r="I1150" s="5"/>
    </row>
    <row r="1151" spans="1:9" ht="17.399999999999999" x14ac:dyDescent="0.25">
      <c r="A1151" s="16"/>
      <c r="B1151" s="17"/>
      <c r="C1151" s="2"/>
      <c r="D1151" s="2"/>
      <c r="E1151" s="2"/>
      <c r="F1151" s="2"/>
      <c r="G1151" s="2"/>
      <c r="H1151" s="2"/>
      <c r="I1151" s="5"/>
    </row>
    <row r="1152" spans="1:9" ht="17.399999999999999" x14ac:dyDescent="0.25">
      <c r="A1152" s="16"/>
      <c r="B1152" s="17"/>
      <c r="C1152" s="2"/>
      <c r="D1152" s="2"/>
      <c r="E1152" s="2"/>
      <c r="F1152" s="2"/>
      <c r="G1152" s="2"/>
      <c r="H1152" s="2"/>
      <c r="I1152" s="5"/>
    </row>
    <row r="1153" spans="1:9" ht="17.399999999999999" x14ac:dyDescent="0.25">
      <c r="A1153" s="16"/>
      <c r="B1153" s="17"/>
      <c r="C1153" s="2"/>
      <c r="D1153" s="2"/>
      <c r="E1153" s="2"/>
      <c r="F1153" s="2"/>
      <c r="G1153" s="2"/>
      <c r="H1153" s="2"/>
      <c r="I1153" s="5"/>
    </row>
    <row r="1154" spans="1:9" ht="17.399999999999999" x14ac:dyDescent="0.25">
      <c r="A1154" s="16"/>
      <c r="B1154" s="17"/>
      <c r="C1154" s="2"/>
      <c r="D1154" s="2"/>
      <c r="E1154" s="2"/>
      <c r="F1154" s="2"/>
      <c r="G1154" s="2"/>
      <c r="H1154" s="2"/>
      <c r="I1154" s="5"/>
    </row>
    <row r="1155" spans="1:9" ht="17.399999999999999" x14ac:dyDescent="0.25">
      <c r="A1155" s="16"/>
      <c r="B1155" s="17"/>
      <c r="C1155" s="2"/>
      <c r="D1155" s="2"/>
      <c r="E1155" s="2"/>
      <c r="F1155" s="2"/>
      <c r="G1155" s="2"/>
      <c r="H1155" s="2"/>
      <c r="I1155" s="5"/>
    </row>
    <row r="1156" spans="1:9" ht="17.399999999999999" x14ac:dyDescent="0.25">
      <c r="A1156" s="16"/>
      <c r="B1156" s="17"/>
      <c r="C1156" s="2"/>
      <c r="D1156" s="2"/>
      <c r="E1156" s="2"/>
      <c r="F1156" s="2"/>
      <c r="G1156" s="2"/>
      <c r="H1156" s="2"/>
      <c r="I1156" s="5"/>
    </row>
    <row r="1157" spans="1:9" ht="17.399999999999999" x14ac:dyDescent="0.25">
      <c r="A1157" s="16"/>
      <c r="B1157" s="17"/>
      <c r="C1157" s="2"/>
      <c r="D1157" s="2"/>
      <c r="E1157" s="2"/>
      <c r="F1157" s="2"/>
      <c r="G1157" s="2"/>
      <c r="H1157" s="2"/>
      <c r="I1157" s="5"/>
    </row>
    <row r="1158" spans="1:9" ht="17.399999999999999" x14ac:dyDescent="0.25">
      <c r="A1158" s="16"/>
      <c r="B1158" s="17"/>
      <c r="C1158" s="2"/>
      <c r="D1158" s="2"/>
      <c r="E1158" s="2"/>
      <c r="F1158" s="2"/>
      <c r="G1158" s="2"/>
      <c r="H1158" s="2"/>
      <c r="I1158" s="5"/>
    </row>
    <row r="1159" spans="1:9" ht="17.399999999999999" x14ac:dyDescent="0.25">
      <c r="A1159" s="16"/>
      <c r="B1159" s="17"/>
      <c r="C1159" s="2"/>
      <c r="D1159" s="2"/>
      <c r="E1159" s="2"/>
      <c r="F1159" s="2"/>
      <c r="G1159" s="2"/>
      <c r="H1159" s="2"/>
      <c r="I1159" s="5"/>
    </row>
    <row r="1160" spans="1:9" ht="17.399999999999999" x14ac:dyDescent="0.25">
      <c r="A1160" s="16"/>
      <c r="B1160" s="17"/>
      <c r="C1160" s="2"/>
      <c r="D1160" s="2"/>
      <c r="E1160" s="2"/>
      <c r="F1160" s="2"/>
      <c r="G1160" s="2"/>
      <c r="H1160" s="2"/>
      <c r="I1160" s="5"/>
    </row>
    <row r="1161" spans="1:9" ht="17.399999999999999" x14ac:dyDescent="0.25">
      <c r="A1161" s="16"/>
      <c r="B1161" s="17"/>
      <c r="C1161" s="2"/>
      <c r="D1161" s="2"/>
      <c r="E1161" s="2"/>
      <c r="F1161" s="2"/>
      <c r="G1161" s="2"/>
      <c r="H1161" s="2"/>
      <c r="I1161" s="5"/>
    </row>
    <row r="1162" spans="1:9" ht="17.399999999999999" x14ac:dyDescent="0.25">
      <c r="A1162" s="16"/>
      <c r="B1162" s="17"/>
      <c r="C1162" s="2"/>
      <c r="D1162" s="2"/>
      <c r="E1162" s="2"/>
      <c r="F1162" s="2"/>
      <c r="G1162" s="2"/>
      <c r="H1162" s="2"/>
      <c r="I1162" s="5"/>
    </row>
    <row r="1163" spans="1:9" ht="17.399999999999999" x14ac:dyDescent="0.25">
      <c r="A1163" s="16"/>
      <c r="B1163" s="17"/>
      <c r="C1163" s="2"/>
      <c r="D1163" s="2"/>
      <c r="E1163" s="2"/>
      <c r="F1163" s="2"/>
      <c r="G1163" s="2"/>
      <c r="H1163" s="2"/>
      <c r="I1163" s="5"/>
    </row>
    <row r="1164" spans="1:9" ht="17.399999999999999" x14ac:dyDescent="0.25">
      <c r="A1164" s="16"/>
      <c r="B1164" s="17"/>
      <c r="C1164" s="2"/>
      <c r="D1164" s="2"/>
      <c r="E1164" s="2"/>
      <c r="F1164" s="2"/>
      <c r="G1164" s="2"/>
      <c r="H1164" s="2"/>
      <c r="I1164" s="5"/>
    </row>
    <row r="1165" spans="1:9" ht="17.399999999999999" x14ac:dyDescent="0.25">
      <c r="A1165" s="16"/>
      <c r="B1165" s="17"/>
      <c r="C1165" s="2"/>
      <c r="D1165" s="2"/>
      <c r="E1165" s="2"/>
      <c r="F1165" s="2"/>
      <c r="G1165" s="2"/>
      <c r="H1165" s="2"/>
      <c r="I1165" s="5"/>
    </row>
    <row r="1166" spans="1:9" ht="17.399999999999999" x14ac:dyDescent="0.25">
      <c r="A1166" s="16"/>
      <c r="B1166" s="17"/>
      <c r="C1166" s="2"/>
      <c r="D1166" s="2"/>
      <c r="E1166" s="2"/>
      <c r="F1166" s="2"/>
      <c r="G1166" s="2"/>
      <c r="H1166" s="2"/>
      <c r="I1166" s="5"/>
    </row>
    <row r="1167" spans="1:9" ht="17.399999999999999" x14ac:dyDescent="0.25">
      <c r="A1167" s="16"/>
      <c r="B1167" s="17"/>
      <c r="C1167" s="2"/>
      <c r="D1167" s="2"/>
      <c r="E1167" s="2"/>
      <c r="F1167" s="2"/>
      <c r="G1167" s="2"/>
      <c r="H1167" s="2"/>
      <c r="I1167" s="5"/>
    </row>
    <row r="1168" spans="1:9" ht="17.399999999999999" x14ac:dyDescent="0.25">
      <c r="A1168" s="16"/>
      <c r="B1168" s="17"/>
      <c r="C1168" s="2"/>
      <c r="D1168" s="2"/>
      <c r="E1168" s="2"/>
      <c r="F1168" s="2"/>
      <c r="G1168" s="2"/>
      <c r="H1168" s="2"/>
      <c r="I1168" s="5"/>
    </row>
    <row r="1169" spans="1:9" ht="17.399999999999999" x14ac:dyDescent="0.25">
      <c r="A1169" s="16"/>
      <c r="B1169" s="17"/>
      <c r="C1169" s="2"/>
      <c r="D1169" s="2"/>
      <c r="E1169" s="2"/>
      <c r="F1169" s="2"/>
      <c r="G1169" s="2"/>
      <c r="H1169" s="2"/>
      <c r="I1169" s="5"/>
    </row>
    <row r="1170" spans="1:9" ht="17.399999999999999" x14ac:dyDescent="0.25">
      <c r="A1170" s="16"/>
      <c r="B1170" s="17"/>
      <c r="C1170" s="2"/>
      <c r="D1170" s="2"/>
      <c r="E1170" s="2"/>
      <c r="F1170" s="2"/>
      <c r="G1170" s="2"/>
      <c r="H1170" s="2"/>
      <c r="I1170" s="5"/>
    </row>
    <row r="1171" spans="1:9" ht="17.399999999999999" x14ac:dyDescent="0.25">
      <c r="A1171" s="16"/>
      <c r="B1171" s="17"/>
      <c r="C1171" s="2"/>
      <c r="D1171" s="2"/>
      <c r="E1171" s="2"/>
      <c r="F1171" s="2"/>
      <c r="G1171" s="2"/>
      <c r="H1171" s="2"/>
      <c r="I1171" s="5"/>
    </row>
    <row r="1172" spans="1:9" ht="17.399999999999999" x14ac:dyDescent="0.25">
      <c r="A1172" s="16"/>
      <c r="B1172" s="17"/>
      <c r="C1172" s="2"/>
      <c r="D1172" s="2"/>
      <c r="E1172" s="2"/>
      <c r="F1172" s="2"/>
      <c r="G1172" s="2"/>
      <c r="H1172" s="2"/>
      <c r="I1172" s="5"/>
    </row>
    <row r="1173" spans="1:9" ht="17.399999999999999" x14ac:dyDescent="0.25">
      <c r="A1173" s="16"/>
      <c r="B1173" s="17"/>
      <c r="C1173" s="2"/>
      <c r="D1173" s="2"/>
      <c r="E1173" s="2"/>
      <c r="F1173" s="2"/>
      <c r="G1173" s="2"/>
      <c r="H1173" s="2"/>
      <c r="I1173" s="5"/>
    </row>
    <row r="1174" spans="1:9" ht="17.399999999999999" x14ac:dyDescent="0.25">
      <c r="A1174" s="16"/>
      <c r="B1174" s="17"/>
      <c r="C1174" s="2"/>
      <c r="D1174" s="2"/>
      <c r="E1174" s="2"/>
      <c r="F1174" s="2"/>
      <c r="G1174" s="2"/>
      <c r="H1174" s="2"/>
      <c r="I1174" s="5"/>
    </row>
    <row r="1175" spans="1:9" ht="17.399999999999999" x14ac:dyDescent="0.25">
      <c r="A1175" s="16"/>
      <c r="B1175" s="17"/>
      <c r="C1175" s="2"/>
      <c r="D1175" s="2"/>
      <c r="E1175" s="2"/>
      <c r="F1175" s="2"/>
      <c r="G1175" s="2"/>
      <c r="H1175" s="2"/>
      <c r="I1175" s="5"/>
    </row>
    <row r="1176" spans="1:9" ht="17.399999999999999" x14ac:dyDescent="0.25">
      <c r="A1176" s="16"/>
      <c r="B1176" s="17"/>
      <c r="C1176" s="2"/>
      <c r="D1176" s="2"/>
      <c r="E1176" s="2"/>
      <c r="F1176" s="2"/>
      <c r="G1176" s="2"/>
      <c r="H1176" s="2"/>
      <c r="I1176" s="5"/>
    </row>
    <row r="1177" spans="1:9" ht="17.399999999999999" x14ac:dyDescent="0.25">
      <c r="A1177" s="16"/>
      <c r="B1177" s="17"/>
      <c r="C1177" s="2"/>
      <c r="D1177" s="2"/>
      <c r="E1177" s="2"/>
      <c r="F1177" s="2"/>
      <c r="G1177" s="2"/>
      <c r="H1177" s="2"/>
      <c r="I1177" s="5"/>
    </row>
    <row r="1178" spans="1:9" ht="17.399999999999999" x14ac:dyDescent="0.25">
      <c r="A1178" s="16"/>
      <c r="B1178" s="17"/>
      <c r="C1178" s="2"/>
      <c r="D1178" s="2"/>
      <c r="E1178" s="2"/>
      <c r="F1178" s="2"/>
      <c r="G1178" s="2"/>
      <c r="H1178" s="2"/>
      <c r="I1178" s="5"/>
    </row>
    <row r="1179" spans="1:9" ht="17.399999999999999" x14ac:dyDescent="0.25">
      <c r="A1179" s="16"/>
      <c r="B1179" s="17"/>
      <c r="C1179" s="2"/>
      <c r="D1179" s="2"/>
      <c r="E1179" s="2"/>
      <c r="F1179" s="2"/>
      <c r="G1179" s="2"/>
      <c r="H1179" s="2"/>
      <c r="I1179" s="5"/>
    </row>
    <row r="1180" spans="1:9" ht="17.399999999999999" x14ac:dyDescent="0.25">
      <c r="A1180" s="16"/>
      <c r="B1180" s="17"/>
      <c r="C1180" s="2"/>
      <c r="D1180" s="2"/>
      <c r="E1180" s="2"/>
      <c r="F1180" s="2"/>
      <c r="G1180" s="2"/>
      <c r="H1180" s="2"/>
      <c r="I1180" s="5"/>
    </row>
    <row r="1181" spans="1:9" ht="17.399999999999999" x14ac:dyDescent="0.25">
      <c r="A1181" s="16"/>
      <c r="B1181" s="17"/>
      <c r="C1181" s="2"/>
      <c r="D1181" s="2"/>
      <c r="E1181" s="2"/>
      <c r="F1181" s="2"/>
      <c r="G1181" s="2"/>
      <c r="H1181" s="2"/>
      <c r="I1181" s="5"/>
    </row>
    <row r="1182" spans="1:9" ht="17.399999999999999" x14ac:dyDescent="0.25">
      <c r="A1182" s="16"/>
      <c r="B1182" s="17"/>
      <c r="C1182" s="2"/>
      <c r="D1182" s="2"/>
      <c r="E1182" s="2"/>
      <c r="F1182" s="2"/>
      <c r="G1182" s="2"/>
      <c r="H1182" s="2"/>
      <c r="I1182" s="5"/>
    </row>
    <row r="1183" spans="1:9" ht="17.399999999999999" x14ac:dyDescent="0.25">
      <c r="A1183" s="16"/>
      <c r="B1183" s="17"/>
      <c r="C1183" s="2"/>
      <c r="D1183" s="2"/>
      <c r="E1183" s="2"/>
      <c r="F1183" s="2"/>
      <c r="G1183" s="2"/>
      <c r="H1183" s="2"/>
      <c r="I1183" s="5"/>
    </row>
    <row r="1184" spans="1:9" ht="17.399999999999999" x14ac:dyDescent="0.25">
      <c r="A1184" s="16"/>
      <c r="B1184" s="17"/>
      <c r="C1184" s="2"/>
      <c r="D1184" s="2"/>
      <c r="E1184" s="2"/>
      <c r="F1184" s="2"/>
      <c r="G1184" s="2"/>
      <c r="H1184" s="2"/>
      <c r="I1184" s="5"/>
    </row>
    <row r="1185" spans="1:9" ht="17.399999999999999" x14ac:dyDescent="0.25">
      <c r="A1185" s="16"/>
      <c r="B1185" s="17"/>
      <c r="C1185" s="2"/>
      <c r="D1185" s="2"/>
      <c r="E1185" s="2"/>
      <c r="F1185" s="2"/>
      <c r="G1185" s="2"/>
      <c r="H1185" s="2"/>
      <c r="I1185" s="5"/>
    </row>
    <row r="1186" spans="1:9" ht="17.399999999999999" x14ac:dyDescent="0.25">
      <c r="A1186" s="16"/>
      <c r="B1186" s="17"/>
      <c r="C1186" s="2"/>
      <c r="D1186" s="2"/>
      <c r="E1186" s="2"/>
      <c r="F1186" s="2"/>
      <c r="G1186" s="2"/>
      <c r="H1186" s="2"/>
      <c r="I1186" s="5"/>
    </row>
    <row r="1187" spans="1:9" ht="17.399999999999999" x14ac:dyDescent="0.25">
      <c r="A1187" s="16"/>
      <c r="B1187" s="17"/>
      <c r="C1187" s="2"/>
      <c r="D1187" s="2"/>
      <c r="E1187" s="2"/>
      <c r="F1187" s="2"/>
      <c r="G1187" s="2"/>
      <c r="H1187" s="2"/>
      <c r="I1187" s="5"/>
    </row>
    <row r="1188" spans="1:9" ht="17.399999999999999" x14ac:dyDescent="0.25">
      <c r="A1188" s="16"/>
      <c r="B1188" s="17"/>
      <c r="C1188" s="2"/>
      <c r="D1188" s="2"/>
      <c r="E1188" s="2"/>
      <c r="F1188" s="2"/>
      <c r="G1188" s="2"/>
      <c r="H1188" s="2"/>
      <c r="I1188" s="5"/>
    </row>
    <row r="1189" spans="1:9" ht="17.399999999999999" x14ac:dyDescent="0.25">
      <c r="A1189" s="16"/>
      <c r="B1189" s="17"/>
      <c r="C1189" s="2"/>
      <c r="D1189" s="2"/>
      <c r="E1189" s="2"/>
      <c r="F1189" s="2"/>
      <c r="G1189" s="2"/>
      <c r="H1189" s="2"/>
      <c r="I1189" s="5"/>
    </row>
    <row r="1190" spans="1:9" ht="17.399999999999999" x14ac:dyDescent="0.25">
      <c r="A1190" s="16"/>
      <c r="B1190" s="17"/>
      <c r="C1190" s="2"/>
      <c r="D1190" s="2"/>
      <c r="E1190" s="2"/>
      <c r="F1190" s="2"/>
      <c r="G1190" s="2"/>
      <c r="H1190" s="2"/>
      <c r="I1190" s="5"/>
    </row>
    <row r="1191" spans="1:9" ht="17.399999999999999" x14ac:dyDescent="0.25">
      <c r="A1191" s="16"/>
      <c r="B1191" s="17"/>
      <c r="C1191" s="2"/>
      <c r="D1191" s="2"/>
      <c r="E1191" s="2"/>
      <c r="F1191" s="2"/>
      <c r="G1191" s="2"/>
      <c r="H1191" s="2"/>
      <c r="I1191" s="5"/>
    </row>
    <row r="1192" spans="1:9" ht="17.399999999999999" x14ac:dyDescent="0.25">
      <c r="A1192" s="16"/>
      <c r="B1192" s="17"/>
      <c r="C1192" s="2"/>
      <c r="D1192" s="2"/>
      <c r="E1192" s="2"/>
      <c r="F1192" s="2"/>
      <c r="G1192" s="2"/>
      <c r="H1192" s="2"/>
      <c r="I1192" s="5"/>
    </row>
    <row r="1193" spans="1:9" ht="17.399999999999999" x14ac:dyDescent="0.25">
      <c r="A1193" s="16"/>
      <c r="B1193" s="17"/>
      <c r="C1193" s="2"/>
      <c r="D1193" s="2"/>
      <c r="E1193" s="2"/>
      <c r="F1193" s="2"/>
      <c r="G1193" s="2"/>
      <c r="H1193" s="2"/>
      <c r="I1193" s="5"/>
    </row>
    <row r="1194" spans="1:9" ht="17.399999999999999" x14ac:dyDescent="0.25">
      <c r="A1194" s="16"/>
      <c r="B1194" s="17"/>
      <c r="C1194" s="2"/>
      <c r="D1194" s="2"/>
      <c r="E1194" s="2"/>
      <c r="F1194" s="2"/>
      <c r="G1194" s="2"/>
      <c r="H1194" s="2"/>
      <c r="I1194" s="5"/>
    </row>
    <row r="1195" spans="1:9" ht="17.399999999999999" x14ac:dyDescent="0.25">
      <c r="A1195" s="16"/>
      <c r="B1195" s="17"/>
      <c r="C1195" s="2"/>
      <c r="D1195" s="2"/>
      <c r="E1195" s="2"/>
      <c r="F1195" s="2"/>
      <c r="G1195" s="2"/>
      <c r="H1195" s="2"/>
      <c r="I1195" s="5"/>
    </row>
    <row r="1196" spans="1:9" ht="17.399999999999999" x14ac:dyDescent="0.25">
      <c r="A1196" s="16"/>
      <c r="B1196" s="17"/>
      <c r="C1196" s="2"/>
      <c r="D1196" s="2"/>
      <c r="E1196" s="2"/>
      <c r="F1196" s="2"/>
      <c r="G1196" s="2"/>
      <c r="H1196" s="2"/>
      <c r="I1196" s="5"/>
    </row>
    <row r="1197" spans="1:9" ht="17.399999999999999" x14ac:dyDescent="0.25">
      <c r="A1197" s="16"/>
      <c r="B1197" s="17"/>
      <c r="C1197" s="2"/>
      <c r="D1197" s="2"/>
      <c r="E1197" s="2"/>
      <c r="F1197" s="2"/>
      <c r="G1197" s="2"/>
      <c r="H1197" s="2"/>
      <c r="I1197" s="5"/>
    </row>
    <row r="1198" spans="1:9" ht="17.399999999999999" x14ac:dyDescent="0.25">
      <c r="A1198" s="16"/>
      <c r="B1198" s="17"/>
      <c r="C1198" s="2"/>
      <c r="D1198" s="2"/>
      <c r="E1198" s="2"/>
      <c r="F1198" s="2"/>
      <c r="G1198" s="2"/>
      <c r="H1198" s="2"/>
      <c r="I1198" s="5"/>
    </row>
    <row r="1199" spans="1:9" ht="17.399999999999999" x14ac:dyDescent="0.25">
      <c r="A1199" s="16"/>
      <c r="B1199" s="17"/>
      <c r="C1199" s="2"/>
      <c r="D1199" s="2"/>
      <c r="E1199" s="2"/>
      <c r="F1199" s="2"/>
      <c r="G1199" s="2"/>
      <c r="H1199" s="2"/>
      <c r="I1199" s="5"/>
    </row>
    <row r="1200" spans="1:9" ht="17.399999999999999" x14ac:dyDescent="0.25">
      <c r="A1200" s="16"/>
      <c r="B1200" s="17"/>
      <c r="C1200" s="2"/>
      <c r="D1200" s="2"/>
      <c r="E1200" s="2"/>
      <c r="F1200" s="2"/>
      <c r="G1200" s="2"/>
      <c r="H1200" s="2"/>
      <c r="I1200" s="5"/>
    </row>
    <row r="1201" spans="1:9" ht="17.399999999999999" x14ac:dyDescent="0.25">
      <c r="A1201" s="16"/>
      <c r="B1201" s="17"/>
      <c r="C1201" s="2"/>
      <c r="D1201" s="2"/>
      <c r="E1201" s="2"/>
      <c r="F1201" s="2"/>
      <c r="G1201" s="2"/>
      <c r="H1201" s="2"/>
      <c r="I1201" s="5"/>
    </row>
    <row r="1202" spans="1:9" ht="17.399999999999999" x14ac:dyDescent="0.25">
      <c r="A1202" s="16"/>
      <c r="B1202" s="17"/>
      <c r="C1202" s="2"/>
      <c r="D1202" s="2"/>
      <c r="E1202" s="2"/>
      <c r="F1202" s="2"/>
      <c r="G1202" s="2"/>
      <c r="H1202" s="2"/>
      <c r="I1202" s="5"/>
    </row>
    <row r="1203" spans="1:9" ht="17.399999999999999" x14ac:dyDescent="0.25">
      <c r="A1203" s="16"/>
      <c r="B1203" s="17"/>
      <c r="C1203" s="2"/>
      <c r="D1203" s="2"/>
      <c r="E1203" s="2"/>
      <c r="F1203" s="2"/>
      <c r="G1203" s="2"/>
      <c r="H1203" s="2"/>
      <c r="I1203" s="5"/>
    </row>
    <row r="1204" spans="1:9" ht="17.399999999999999" x14ac:dyDescent="0.25">
      <c r="A1204" s="16"/>
      <c r="B1204" s="17"/>
      <c r="C1204" s="2"/>
      <c r="D1204" s="2"/>
      <c r="E1204" s="2"/>
      <c r="F1204" s="2"/>
      <c r="G1204" s="2"/>
      <c r="H1204" s="2"/>
      <c r="I1204" s="5"/>
    </row>
    <row r="1205" spans="1:9" ht="17.399999999999999" x14ac:dyDescent="0.25">
      <c r="A1205" s="16"/>
      <c r="B1205" s="17"/>
      <c r="C1205" s="2"/>
      <c r="D1205" s="2"/>
      <c r="E1205" s="2"/>
      <c r="F1205" s="2"/>
      <c r="G1205" s="2"/>
      <c r="H1205" s="2"/>
      <c r="I1205" s="5"/>
    </row>
    <row r="1206" spans="1:9" ht="17.399999999999999" x14ac:dyDescent="0.25">
      <c r="A1206" s="16"/>
      <c r="B1206" s="17"/>
      <c r="C1206" s="2"/>
      <c r="D1206" s="2"/>
      <c r="E1206" s="2"/>
      <c r="F1206" s="2"/>
      <c r="G1206" s="2"/>
      <c r="H1206" s="2"/>
      <c r="I1206" s="5"/>
    </row>
    <row r="1207" spans="1:9" ht="17.399999999999999" x14ac:dyDescent="0.25">
      <c r="A1207" s="16"/>
      <c r="B1207" s="17"/>
      <c r="C1207" s="2"/>
      <c r="D1207" s="2"/>
      <c r="E1207" s="2"/>
      <c r="F1207" s="2"/>
      <c r="G1207" s="2"/>
      <c r="H1207" s="2"/>
      <c r="I1207" s="5"/>
    </row>
    <row r="1208" spans="1:9" ht="17.399999999999999" x14ac:dyDescent="0.25">
      <c r="A1208" s="16"/>
      <c r="B1208" s="17"/>
      <c r="C1208" s="2"/>
      <c r="D1208" s="2"/>
      <c r="E1208" s="2"/>
      <c r="F1208" s="2"/>
      <c r="G1208" s="2"/>
      <c r="H1208" s="2"/>
      <c r="I1208" s="5"/>
    </row>
    <row r="1209" spans="1:9" ht="17.399999999999999" x14ac:dyDescent="0.25">
      <c r="A1209" s="16"/>
      <c r="B1209" s="17"/>
      <c r="C1209" s="2"/>
      <c r="D1209" s="2"/>
      <c r="E1209" s="2"/>
      <c r="F1209" s="2"/>
      <c r="G1209" s="2"/>
      <c r="H1209" s="2"/>
      <c r="I1209" s="5"/>
    </row>
    <row r="1210" spans="1:9" ht="17.399999999999999" x14ac:dyDescent="0.25">
      <c r="A1210" s="16"/>
      <c r="B1210" s="17"/>
      <c r="C1210" s="2"/>
      <c r="D1210" s="2"/>
      <c r="E1210" s="2"/>
      <c r="F1210" s="2"/>
      <c r="G1210" s="2"/>
      <c r="H1210" s="2"/>
      <c r="I1210" s="5"/>
    </row>
    <row r="1211" spans="1:9" ht="17.399999999999999" x14ac:dyDescent="0.25">
      <c r="A1211" s="16"/>
      <c r="B1211" s="17"/>
      <c r="C1211" s="2"/>
      <c r="D1211" s="2"/>
      <c r="E1211" s="2"/>
      <c r="F1211" s="2"/>
      <c r="G1211" s="2"/>
      <c r="H1211" s="2"/>
      <c r="I1211" s="5"/>
    </row>
    <row r="1212" spans="1:9" ht="17.399999999999999" x14ac:dyDescent="0.25">
      <c r="A1212" s="16"/>
      <c r="B1212" s="17"/>
      <c r="C1212" s="2"/>
      <c r="D1212" s="2"/>
      <c r="E1212" s="2"/>
      <c r="F1212" s="2"/>
      <c r="G1212" s="2"/>
      <c r="H1212" s="2"/>
      <c r="I1212" s="5"/>
    </row>
    <row r="1213" spans="1:9" ht="17.399999999999999" x14ac:dyDescent="0.25">
      <c r="A1213" s="16"/>
      <c r="B1213" s="17"/>
      <c r="C1213" s="2"/>
      <c r="D1213" s="2"/>
      <c r="E1213" s="2"/>
      <c r="F1213" s="2"/>
      <c r="G1213" s="2"/>
      <c r="H1213" s="2"/>
      <c r="I1213" s="5"/>
    </row>
    <row r="1214" spans="1:9" ht="17.399999999999999" x14ac:dyDescent="0.25">
      <c r="A1214" s="16"/>
      <c r="B1214" s="17"/>
      <c r="C1214" s="2"/>
      <c r="D1214" s="2"/>
      <c r="E1214" s="2"/>
      <c r="F1214" s="2"/>
      <c r="G1214" s="2"/>
      <c r="H1214" s="2"/>
      <c r="I1214" s="5"/>
    </row>
    <row r="1215" spans="1:9" ht="17.399999999999999" x14ac:dyDescent="0.25">
      <c r="A1215" s="16"/>
      <c r="B1215" s="17"/>
      <c r="C1215" s="2"/>
      <c r="D1215" s="2"/>
      <c r="E1215" s="2"/>
      <c r="F1215" s="2"/>
      <c r="G1215" s="2"/>
      <c r="H1215" s="2"/>
      <c r="I1215" s="5"/>
    </row>
    <row r="1216" spans="1:9" ht="17.399999999999999" x14ac:dyDescent="0.25">
      <c r="A1216" s="16"/>
      <c r="B1216" s="17"/>
      <c r="C1216" s="2"/>
      <c r="D1216" s="2"/>
      <c r="E1216" s="2"/>
      <c r="F1216" s="2"/>
      <c r="G1216" s="2"/>
      <c r="H1216" s="2"/>
      <c r="I1216" s="5"/>
    </row>
    <row r="1217" spans="1:9" ht="17.399999999999999" x14ac:dyDescent="0.25">
      <c r="A1217" s="16"/>
      <c r="B1217" s="17"/>
      <c r="C1217" s="2"/>
      <c r="D1217" s="2"/>
      <c r="E1217" s="2"/>
      <c r="F1217" s="2"/>
      <c r="G1217" s="2"/>
      <c r="H1217" s="2"/>
      <c r="I1217" s="5"/>
    </row>
    <row r="1218" spans="1:9" ht="17.399999999999999" x14ac:dyDescent="0.25">
      <c r="A1218" s="16"/>
      <c r="B1218" s="17"/>
      <c r="C1218" s="2"/>
      <c r="D1218" s="2"/>
      <c r="E1218" s="2"/>
      <c r="F1218" s="2"/>
      <c r="G1218" s="2"/>
      <c r="H1218" s="2"/>
      <c r="I1218" s="5"/>
    </row>
    <row r="1219" spans="1:9" ht="17.399999999999999" x14ac:dyDescent="0.25">
      <c r="A1219" s="16"/>
      <c r="B1219" s="17"/>
      <c r="C1219" s="2"/>
      <c r="D1219" s="2"/>
      <c r="E1219" s="2"/>
      <c r="F1219" s="2"/>
      <c r="G1219" s="2"/>
      <c r="H1219" s="2"/>
      <c r="I1219" s="5"/>
    </row>
    <row r="1220" spans="1:9" ht="17.399999999999999" x14ac:dyDescent="0.25">
      <c r="A1220" s="16"/>
      <c r="B1220" s="17"/>
      <c r="C1220" s="2"/>
      <c r="D1220" s="2"/>
      <c r="E1220" s="2"/>
      <c r="F1220" s="2"/>
      <c r="G1220" s="2"/>
      <c r="H1220" s="2"/>
      <c r="I1220" s="5"/>
    </row>
    <row r="1221" spans="1:9" ht="17.399999999999999" x14ac:dyDescent="0.25">
      <c r="A1221" s="16"/>
      <c r="B1221" s="17"/>
      <c r="C1221" s="2"/>
      <c r="D1221" s="2"/>
      <c r="E1221" s="2"/>
      <c r="F1221" s="2"/>
      <c r="G1221" s="2"/>
      <c r="H1221" s="2"/>
      <c r="I1221" s="5"/>
    </row>
    <row r="1222" spans="1:9" ht="17.399999999999999" x14ac:dyDescent="0.25">
      <c r="A1222" s="16"/>
      <c r="B1222" s="17"/>
      <c r="C1222" s="2"/>
      <c r="D1222" s="2"/>
      <c r="E1222" s="2"/>
      <c r="F1222" s="2"/>
      <c r="G1222" s="2"/>
      <c r="H1222" s="2"/>
      <c r="I1222" s="5"/>
    </row>
    <row r="1223" spans="1:9" ht="17.399999999999999" x14ac:dyDescent="0.25">
      <c r="A1223" s="16"/>
      <c r="B1223" s="17"/>
      <c r="C1223" s="2"/>
      <c r="D1223" s="2"/>
      <c r="E1223" s="2"/>
      <c r="F1223" s="2"/>
      <c r="G1223" s="2"/>
      <c r="H1223" s="2"/>
      <c r="I1223" s="5"/>
    </row>
    <row r="1224" spans="1:9" ht="17.399999999999999" x14ac:dyDescent="0.25">
      <c r="A1224" s="16"/>
      <c r="B1224" s="17"/>
      <c r="C1224" s="2"/>
      <c r="D1224" s="2"/>
      <c r="E1224" s="2"/>
      <c r="F1224" s="2"/>
      <c r="G1224" s="2"/>
      <c r="H1224" s="2"/>
      <c r="I1224" s="5"/>
    </row>
    <row r="1225" spans="1:9" ht="17.399999999999999" x14ac:dyDescent="0.25">
      <c r="A1225" s="16"/>
      <c r="B1225" s="17"/>
      <c r="C1225" s="2"/>
      <c r="D1225" s="2"/>
      <c r="E1225" s="2"/>
      <c r="F1225" s="2"/>
      <c r="G1225" s="2"/>
      <c r="H1225" s="2"/>
      <c r="I1225" s="5"/>
    </row>
    <row r="1226" spans="1:9" ht="17.399999999999999" x14ac:dyDescent="0.25">
      <c r="A1226" s="16"/>
      <c r="B1226" s="17"/>
      <c r="C1226" s="2"/>
      <c r="D1226" s="2"/>
      <c r="E1226" s="2"/>
      <c r="F1226" s="2"/>
      <c r="G1226" s="2"/>
      <c r="H1226" s="2"/>
      <c r="I1226" s="5"/>
    </row>
    <row r="1227" spans="1:9" ht="17.399999999999999" x14ac:dyDescent="0.25">
      <c r="A1227" s="16"/>
      <c r="B1227" s="17"/>
      <c r="C1227" s="2"/>
      <c r="D1227" s="2"/>
      <c r="E1227" s="2"/>
      <c r="F1227" s="2"/>
      <c r="G1227" s="2"/>
      <c r="H1227" s="2"/>
      <c r="I1227" s="5"/>
    </row>
    <row r="1228" spans="1:9" ht="17.399999999999999" x14ac:dyDescent="0.25">
      <c r="A1228" s="16"/>
      <c r="B1228" s="17"/>
      <c r="C1228" s="2"/>
      <c r="D1228" s="2"/>
      <c r="E1228" s="2"/>
      <c r="F1228" s="2"/>
      <c r="G1228" s="2"/>
      <c r="H1228" s="2"/>
      <c r="I1228" s="5"/>
    </row>
    <row r="1229" spans="1:9" ht="17.399999999999999" x14ac:dyDescent="0.25">
      <c r="A1229" s="16"/>
      <c r="B1229" s="17"/>
      <c r="C1229" s="2"/>
      <c r="D1229" s="2"/>
      <c r="E1229" s="2"/>
      <c r="F1229" s="2"/>
      <c r="G1229" s="2"/>
      <c r="H1229" s="2"/>
      <c r="I1229" s="5"/>
    </row>
    <row r="1230" spans="1:9" ht="17.399999999999999" x14ac:dyDescent="0.25">
      <c r="A1230" s="16"/>
      <c r="B1230" s="17"/>
      <c r="C1230" s="2"/>
      <c r="D1230" s="2"/>
      <c r="E1230" s="2"/>
      <c r="F1230" s="2"/>
      <c r="G1230" s="2"/>
      <c r="H1230" s="2"/>
      <c r="I1230" s="5"/>
    </row>
    <row r="1231" spans="1:9" ht="17.399999999999999" x14ac:dyDescent="0.25">
      <c r="A1231" s="16"/>
      <c r="B1231" s="17"/>
      <c r="C1231" s="2"/>
      <c r="D1231" s="2"/>
      <c r="E1231" s="2"/>
      <c r="F1231" s="2"/>
      <c r="G1231" s="2"/>
      <c r="H1231" s="2"/>
      <c r="I1231" s="5"/>
    </row>
    <row r="1232" spans="1:9" ht="17.399999999999999" x14ac:dyDescent="0.25">
      <c r="A1232" s="16"/>
      <c r="B1232" s="17"/>
      <c r="C1232" s="2"/>
      <c r="D1232" s="2"/>
      <c r="E1232" s="2"/>
      <c r="F1232" s="2"/>
      <c r="G1232" s="2"/>
      <c r="H1232" s="2"/>
      <c r="I1232" s="5"/>
    </row>
    <row r="1233" spans="1:9" ht="17.399999999999999" x14ac:dyDescent="0.25">
      <c r="A1233" s="16"/>
      <c r="B1233" s="17"/>
      <c r="C1233" s="2"/>
      <c r="D1233" s="2"/>
      <c r="E1233" s="2"/>
      <c r="F1233" s="2"/>
      <c r="G1233" s="2"/>
      <c r="H1233" s="2"/>
      <c r="I1233" s="5"/>
    </row>
    <row r="1234" spans="1:9" ht="17.399999999999999" x14ac:dyDescent="0.25">
      <c r="A1234" s="16"/>
      <c r="B1234" s="17"/>
      <c r="C1234" s="2"/>
      <c r="D1234" s="2"/>
      <c r="E1234" s="2"/>
      <c r="F1234" s="2"/>
      <c r="G1234" s="2"/>
      <c r="H1234" s="2"/>
      <c r="I1234" s="5"/>
    </row>
    <row r="1235" spans="1:9" ht="17.399999999999999" x14ac:dyDescent="0.25">
      <c r="A1235" s="16"/>
      <c r="B1235" s="17"/>
      <c r="C1235" s="2"/>
      <c r="D1235" s="2"/>
      <c r="E1235" s="2"/>
      <c r="F1235" s="2"/>
      <c r="G1235" s="2"/>
      <c r="H1235" s="2"/>
      <c r="I1235" s="5"/>
    </row>
    <row r="1236" spans="1:9" ht="17.399999999999999" x14ac:dyDescent="0.25">
      <c r="A1236" s="16"/>
      <c r="B1236" s="17"/>
      <c r="C1236" s="2"/>
      <c r="D1236" s="2"/>
      <c r="E1236" s="2"/>
      <c r="F1236" s="2"/>
      <c r="G1236" s="2"/>
      <c r="H1236" s="2"/>
      <c r="I1236" s="5"/>
    </row>
    <row r="1237" spans="1:9" ht="17.399999999999999" x14ac:dyDescent="0.25">
      <c r="A1237" s="16"/>
      <c r="B1237" s="17"/>
      <c r="C1237" s="2"/>
      <c r="D1237" s="2"/>
      <c r="E1237" s="2"/>
      <c r="F1237" s="2"/>
      <c r="G1237" s="2"/>
      <c r="H1237" s="2"/>
      <c r="I1237" s="5"/>
    </row>
    <row r="1238" spans="1:9" ht="17.399999999999999" x14ac:dyDescent="0.25">
      <c r="A1238" s="16"/>
      <c r="B1238" s="17"/>
      <c r="C1238" s="2"/>
      <c r="D1238" s="2"/>
      <c r="E1238" s="2"/>
      <c r="F1238" s="2"/>
      <c r="G1238" s="2"/>
      <c r="H1238" s="2"/>
      <c r="I1238" s="5"/>
    </row>
    <row r="1239" spans="1:9" ht="17.399999999999999" x14ac:dyDescent="0.25">
      <c r="A1239" s="16"/>
      <c r="B1239" s="17"/>
      <c r="C1239" s="2"/>
      <c r="D1239" s="2"/>
      <c r="E1239" s="2"/>
      <c r="F1239" s="2"/>
      <c r="G1239" s="2"/>
      <c r="H1239" s="2"/>
      <c r="I1239" s="5"/>
    </row>
    <row r="1240" spans="1:9" ht="17.399999999999999" x14ac:dyDescent="0.25">
      <c r="A1240" s="16"/>
      <c r="B1240" s="17"/>
      <c r="C1240" s="2"/>
      <c r="D1240" s="2"/>
      <c r="E1240" s="2"/>
      <c r="F1240" s="2"/>
      <c r="G1240" s="2"/>
      <c r="H1240" s="2"/>
      <c r="I1240" s="5"/>
    </row>
    <row r="1241" spans="1:9" ht="17.399999999999999" x14ac:dyDescent="0.25">
      <c r="A1241" s="16"/>
      <c r="B1241" s="17"/>
      <c r="C1241" s="2"/>
      <c r="D1241" s="2"/>
      <c r="E1241" s="2"/>
      <c r="F1241" s="2"/>
      <c r="G1241" s="2"/>
      <c r="H1241" s="2"/>
      <c r="I1241" s="5"/>
    </row>
    <row r="1242" spans="1:9" ht="17.399999999999999" x14ac:dyDescent="0.25">
      <c r="A1242" s="16"/>
      <c r="B1242" s="17"/>
      <c r="C1242" s="2"/>
      <c r="D1242" s="2"/>
      <c r="E1242" s="2"/>
      <c r="F1242" s="2"/>
      <c r="G1242" s="2"/>
      <c r="H1242" s="2"/>
      <c r="I1242" s="5"/>
    </row>
    <row r="1243" spans="1:9" ht="17.399999999999999" x14ac:dyDescent="0.25">
      <c r="A1243" s="16"/>
      <c r="B1243" s="17"/>
      <c r="C1243" s="2"/>
      <c r="D1243" s="2"/>
      <c r="E1243" s="2"/>
      <c r="F1243" s="2"/>
      <c r="G1243" s="2"/>
      <c r="H1243" s="2"/>
      <c r="I1243" s="5"/>
    </row>
    <row r="1244" spans="1:9" ht="17.399999999999999" x14ac:dyDescent="0.25">
      <c r="A1244" s="16"/>
      <c r="B1244" s="17"/>
      <c r="C1244" s="2"/>
      <c r="D1244" s="2"/>
      <c r="E1244" s="2"/>
      <c r="F1244" s="2"/>
      <c r="G1244" s="2"/>
      <c r="H1244" s="2"/>
      <c r="I1244" s="5"/>
    </row>
    <row r="1245" spans="1:9" ht="17.399999999999999" x14ac:dyDescent="0.25">
      <c r="A1245" s="16"/>
      <c r="B1245" s="17"/>
      <c r="C1245" s="2"/>
      <c r="D1245" s="2"/>
      <c r="E1245" s="2"/>
      <c r="F1245" s="2"/>
      <c r="G1245" s="2"/>
      <c r="H1245" s="2"/>
      <c r="I1245" s="5"/>
    </row>
    <row r="1246" spans="1:9" ht="17.399999999999999" x14ac:dyDescent="0.25">
      <c r="A1246" s="16"/>
      <c r="B1246" s="17"/>
      <c r="C1246" s="2"/>
      <c r="D1246" s="2"/>
      <c r="E1246" s="2"/>
      <c r="F1246" s="2"/>
      <c r="G1246" s="2"/>
      <c r="H1246" s="2"/>
      <c r="I1246" s="5"/>
    </row>
    <row r="1247" spans="1:9" ht="17.399999999999999" x14ac:dyDescent="0.25">
      <c r="A1247" s="16"/>
      <c r="B1247" s="17"/>
      <c r="C1247" s="2"/>
      <c r="D1247" s="2"/>
      <c r="E1247" s="2"/>
      <c r="F1247" s="2"/>
      <c r="G1247" s="2"/>
      <c r="H1247" s="2"/>
      <c r="I1247" s="5"/>
    </row>
    <row r="1248" spans="1:9" ht="17.399999999999999" x14ac:dyDescent="0.25">
      <c r="A1248" s="16"/>
      <c r="B1248" s="17"/>
      <c r="C1248" s="2"/>
      <c r="D1248" s="2"/>
      <c r="E1248" s="2"/>
      <c r="F1248" s="2"/>
      <c r="G1248" s="2"/>
      <c r="H1248" s="2"/>
      <c r="I1248" s="5"/>
    </row>
    <row r="1249" spans="1:9" ht="17.399999999999999" x14ac:dyDescent="0.25">
      <c r="A1249" s="16"/>
      <c r="B1249" s="17"/>
      <c r="C1249" s="2"/>
      <c r="D1249" s="2"/>
      <c r="E1249" s="2"/>
      <c r="F1249" s="2"/>
      <c r="G1249" s="2"/>
      <c r="H1249" s="2"/>
      <c r="I1249" s="5"/>
    </row>
    <row r="1250" spans="1:9" ht="17.399999999999999" x14ac:dyDescent="0.25">
      <c r="A1250" s="16"/>
      <c r="B1250" s="17"/>
      <c r="C1250" s="2"/>
      <c r="D1250" s="2"/>
      <c r="E1250" s="2"/>
      <c r="F1250" s="2"/>
      <c r="G1250" s="2"/>
      <c r="H1250" s="2"/>
      <c r="I1250" s="5"/>
    </row>
    <row r="1251" spans="1:9" ht="17.399999999999999" x14ac:dyDescent="0.25">
      <c r="A1251" s="16"/>
      <c r="B1251" s="17"/>
      <c r="C1251" s="2"/>
      <c r="D1251" s="2"/>
      <c r="E1251" s="2"/>
      <c r="F1251" s="2"/>
      <c r="G1251" s="2"/>
      <c r="H1251" s="2"/>
      <c r="I1251" s="5"/>
    </row>
    <row r="1252" spans="1:9" ht="17.399999999999999" x14ac:dyDescent="0.25">
      <c r="A1252" s="16"/>
      <c r="B1252" s="17"/>
      <c r="C1252" s="2"/>
      <c r="D1252" s="2"/>
      <c r="E1252" s="2"/>
      <c r="F1252" s="2"/>
      <c r="G1252" s="2"/>
      <c r="H1252" s="2"/>
      <c r="I1252" s="5"/>
    </row>
    <row r="1253" spans="1:9" ht="17.399999999999999" x14ac:dyDescent="0.25">
      <c r="A1253" s="16"/>
      <c r="B1253" s="17"/>
      <c r="C1253" s="2"/>
      <c r="D1253" s="2"/>
      <c r="E1253" s="2"/>
      <c r="F1253" s="2"/>
      <c r="G1253" s="2"/>
      <c r="H1253" s="2"/>
      <c r="I1253" s="5"/>
    </row>
    <row r="1254" spans="1:9" ht="17.399999999999999" x14ac:dyDescent="0.25">
      <c r="A1254" s="16"/>
      <c r="B1254" s="17"/>
      <c r="C1254" s="2"/>
      <c r="D1254" s="2"/>
      <c r="E1254" s="2"/>
      <c r="F1254" s="2"/>
      <c r="G1254" s="2"/>
      <c r="H1254" s="2"/>
      <c r="I1254" s="5"/>
    </row>
    <row r="1255" spans="1:9" ht="17.399999999999999" x14ac:dyDescent="0.25">
      <c r="A1255" s="16"/>
      <c r="B1255" s="17"/>
      <c r="C1255" s="2"/>
      <c r="D1255" s="2"/>
      <c r="E1255" s="2"/>
      <c r="F1255" s="2"/>
      <c r="G1255" s="2"/>
      <c r="H1255" s="2"/>
      <c r="I1255" s="5"/>
    </row>
    <row r="1256" spans="1:9" ht="17.399999999999999" x14ac:dyDescent="0.25">
      <c r="A1256" s="16"/>
      <c r="B1256" s="17"/>
      <c r="C1256" s="2"/>
      <c r="D1256" s="2"/>
      <c r="E1256" s="2"/>
      <c r="F1256" s="2"/>
      <c r="G1256" s="2"/>
      <c r="H1256" s="2"/>
      <c r="I1256" s="5"/>
    </row>
    <row r="1257" spans="1:9" ht="17.399999999999999" x14ac:dyDescent="0.25">
      <c r="A1257" s="16"/>
      <c r="B1257" s="17"/>
      <c r="C1257" s="2"/>
      <c r="D1257" s="2"/>
      <c r="E1257" s="2"/>
      <c r="F1257" s="2"/>
      <c r="G1257" s="2"/>
      <c r="H1257" s="2"/>
      <c r="I1257" s="5"/>
    </row>
    <row r="1258" spans="1:9" ht="17.399999999999999" x14ac:dyDescent="0.25">
      <c r="A1258" s="16"/>
      <c r="B1258" s="17"/>
      <c r="C1258" s="2"/>
      <c r="D1258" s="2"/>
      <c r="E1258" s="2"/>
      <c r="F1258" s="2"/>
      <c r="G1258" s="2"/>
      <c r="H1258" s="2"/>
      <c r="I1258" s="5"/>
    </row>
    <row r="1259" spans="1:9" ht="17.399999999999999" x14ac:dyDescent="0.25">
      <c r="A1259" s="16"/>
      <c r="B1259" s="17"/>
      <c r="C1259" s="2"/>
      <c r="D1259" s="2"/>
      <c r="E1259" s="2"/>
      <c r="F1259" s="2"/>
      <c r="G1259" s="2"/>
      <c r="H1259" s="2"/>
      <c r="I1259" s="5"/>
    </row>
    <row r="1260" spans="1:9" ht="17.399999999999999" x14ac:dyDescent="0.25">
      <c r="A1260" s="16"/>
      <c r="B1260" s="17"/>
      <c r="C1260" s="2"/>
      <c r="D1260" s="2"/>
      <c r="E1260" s="2"/>
      <c r="F1260" s="2"/>
      <c r="G1260" s="2"/>
      <c r="H1260" s="2"/>
      <c r="I1260" s="5"/>
    </row>
    <row r="1261" spans="1:9" ht="17.399999999999999" x14ac:dyDescent="0.25">
      <c r="A1261" s="16"/>
      <c r="B1261" s="17"/>
      <c r="C1261" s="2"/>
      <c r="D1261" s="2"/>
      <c r="E1261" s="2"/>
      <c r="F1261" s="2"/>
      <c r="G1261" s="2"/>
      <c r="H1261" s="2"/>
      <c r="I1261" s="5"/>
    </row>
    <row r="1262" spans="1:9" ht="17.399999999999999" x14ac:dyDescent="0.25">
      <c r="A1262" s="16"/>
      <c r="B1262" s="17"/>
      <c r="C1262" s="2"/>
      <c r="D1262" s="2"/>
      <c r="E1262" s="2"/>
      <c r="F1262" s="2"/>
      <c r="G1262" s="2"/>
      <c r="H1262" s="2"/>
      <c r="I1262" s="5"/>
    </row>
    <row r="1263" spans="1:9" ht="17.399999999999999" x14ac:dyDescent="0.25">
      <c r="A1263" s="16"/>
      <c r="B1263" s="17"/>
      <c r="C1263" s="2"/>
      <c r="D1263" s="2"/>
      <c r="E1263" s="2"/>
      <c r="F1263" s="2"/>
      <c r="G1263" s="2"/>
      <c r="H1263" s="2"/>
      <c r="I1263" s="5"/>
    </row>
    <row r="1264" spans="1:9" ht="17.399999999999999" x14ac:dyDescent="0.25">
      <c r="A1264" s="16"/>
      <c r="B1264" s="17"/>
      <c r="C1264" s="2"/>
      <c r="D1264" s="2"/>
      <c r="E1264" s="2"/>
      <c r="F1264" s="2"/>
      <c r="G1264" s="2"/>
      <c r="H1264" s="2"/>
      <c r="I1264" s="5"/>
    </row>
    <row r="1265" spans="1:9" ht="17.399999999999999" x14ac:dyDescent="0.25">
      <c r="A1265" s="16"/>
      <c r="B1265" s="17"/>
      <c r="C1265" s="2"/>
      <c r="D1265" s="2"/>
      <c r="E1265" s="2"/>
      <c r="F1265" s="2"/>
      <c r="G1265" s="2"/>
      <c r="H1265" s="2"/>
      <c r="I1265" s="5"/>
    </row>
    <row r="1266" spans="1:9" ht="17.399999999999999" x14ac:dyDescent="0.25">
      <c r="A1266" s="16"/>
      <c r="B1266" s="17"/>
      <c r="C1266" s="2"/>
      <c r="D1266" s="2"/>
      <c r="E1266" s="2"/>
      <c r="F1266" s="2"/>
      <c r="G1266" s="2"/>
      <c r="H1266" s="2"/>
      <c r="I1266" s="5"/>
    </row>
    <row r="1267" spans="1:9" ht="17.399999999999999" x14ac:dyDescent="0.25">
      <c r="A1267" s="16"/>
      <c r="B1267" s="17"/>
      <c r="C1267" s="2"/>
      <c r="D1267" s="2"/>
      <c r="E1267" s="2"/>
      <c r="F1267" s="2"/>
      <c r="G1267" s="2"/>
      <c r="H1267" s="2"/>
      <c r="I1267" s="5"/>
    </row>
    <row r="1268" spans="1:9" ht="17.399999999999999" x14ac:dyDescent="0.25">
      <c r="A1268" s="16"/>
      <c r="B1268" s="17"/>
      <c r="C1268" s="2"/>
      <c r="D1268" s="2"/>
      <c r="E1268" s="2"/>
      <c r="F1268" s="2"/>
      <c r="G1268" s="2"/>
      <c r="H1268" s="2"/>
      <c r="I1268" s="5"/>
    </row>
    <row r="1269" spans="1:9" ht="17.399999999999999" x14ac:dyDescent="0.25">
      <c r="A1269" s="16"/>
      <c r="B1269" s="17"/>
      <c r="C1269" s="2"/>
      <c r="D1269" s="2"/>
      <c r="E1269" s="2"/>
      <c r="F1269" s="2"/>
      <c r="G1269" s="2"/>
      <c r="H1269" s="2"/>
      <c r="I1269" s="5"/>
    </row>
    <row r="1270" spans="1:9" ht="17.399999999999999" x14ac:dyDescent="0.25">
      <c r="A1270" s="16"/>
      <c r="B1270" s="17"/>
      <c r="C1270" s="2"/>
      <c r="D1270" s="2"/>
      <c r="E1270" s="2"/>
      <c r="F1270" s="2"/>
      <c r="G1270" s="2"/>
      <c r="H1270" s="2"/>
      <c r="I1270" s="5"/>
    </row>
    <row r="1271" spans="1:9" ht="17.399999999999999" x14ac:dyDescent="0.25">
      <c r="A1271" s="16"/>
      <c r="B1271" s="17"/>
      <c r="C1271" s="2"/>
      <c r="D1271" s="2"/>
      <c r="E1271" s="2"/>
      <c r="F1271" s="2"/>
      <c r="G1271" s="2"/>
      <c r="H1271" s="2"/>
      <c r="I1271" s="5"/>
    </row>
    <row r="1272" spans="1:9" ht="17.399999999999999" x14ac:dyDescent="0.25">
      <c r="A1272" s="16"/>
      <c r="B1272" s="17"/>
      <c r="C1272" s="2"/>
      <c r="D1272" s="2"/>
      <c r="E1272" s="2"/>
      <c r="F1272" s="2"/>
      <c r="G1272" s="2"/>
      <c r="H1272" s="2"/>
      <c r="I1272" s="5"/>
    </row>
    <row r="1273" spans="1:9" ht="17.399999999999999" x14ac:dyDescent="0.25">
      <c r="A1273" s="16"/>
      <c r="B1273" s="17"/>
      <c r="C1273" s="2"/>
      <c r="D1273" s="2"/>
      <c r="E1273" s="2"/>
      <c r="F1273" s="2"/>
      <c r="G1273" s="2"/>
      <c r="H1273" s="2"/>
      <c r="I1273" s="5"/>
    </row>
    <row r="1274" spans="1:9" ht="17.399999999999999" x14ac:dyDescent="0.25">
      <c r="A1274" s="16"/>
      <c r="B1274" s="17"/>
      <c r="C1274" s="2"/>
      <c r="D1274" s="2"/>
      <c r="E1274" s="2"/>
      <c r="F1274" s="2"/>
      <c r="G1274" s="2"/>
      <c r="H1274" s="2"/>
      <c r="I1274" s="5"/>
    </row>
    <row r="1275" spans="1:9" ht="17.399999999999999" x14ac:dyDescent="0.25">
      <c r="A1275" s="16"/>
      <c r="B1275" s="17"/>
      <c r="C1275" s="2"/>
      <c r="D1275" s="2"/>
      <c r="E1275" s="2"/>
      <c r="F1275" s="2"/>
      <c r="G1275" s="2"/>
      <c r="H1275" s="2"/>
      <c r="I1275" s="5"/>
    </row>
    <row r="1276" spans="1:9" ht="17.399999999999999" x14ac:dyDescent="0.25">
      <c r="A1276" s="16"/>
      <c r="B1276" s="17"/>
      <c r="C1276" s="2"/>
      <c r="D1276" s="2"/>
      <c r="E1276" s="2"/>
      <c r="F1276" s="2"/>
      <c r="G1276" s="2"/>
      <c r="H1276" s="2"/>
      <c r="I1276" s="5"/>
    </row>
    <row r="1277" spans="1:9" ht="17.399999999999999" x14ac:dyDescent="0.25">
      <c r="A1277" s="16"/>
      <c r="B1277" s="17"/>
      <c r="C1277" s="2"/>
      <c r="D1277" s="2"/>
      <c r="E1277" s="2"/>
      <c r="F1277" s="2"/>
      <c r="G1277" s="2"/>
      <c r="H1277" s="2"/>
      <c r="I1277" s="5"/>
    </row>
    <row r="1278" spans="1:9" ht="17.399999999999999" x14ac:dyDescent="0.25">
      <c r="A1278" s="16"/>
      <c r="B1278" s="17"/>
      <c r="C1278" s="2"/>
      <c r="D1278" s="2"/>
      <c r="E1278" s="2"/>
      <c r="F1278" s="2"/>
      <c r="G1278" s="2"/>
      <c r="H1278" s="2"/>
      <c r="I1278" s="5"/>
    </row>
    <row r="1279" spans="1:9" ht="17.399999999999999" x14ac:dyDescent="0.25">
      <c r="A1279" s="16"/>
      <c r="B1279" s="17"/>
      <c r="C1279" s="2"/>
      <c r="D1279" s="2"/>
      <c r="E1279" s="2"/>
      <c r="F1279" s="2"/>
      <c r="G1279" s="2"/>
      <c r="H1279" s="2"/>
      <c r="I1279" s="5"/>
    </row>
    <row r="1280" spans="1:9" ht="17.399999999999999" x14ac:dyDescent="0.25">
      <c r="A1280" s="16"/>
      <c r="B1280" s="17"/>
      <c r="C1280" s="2"/>
      <c r="D1280" s="2"/>
      <c r="E1280" s="2"/>
      <c r="F1280" s="2"/>
      <c r="G1280" s="2"/>
      <c r="H1280" s="2"/>
      <c r="I1280" s="5"/>
    </row>
    <row r="1281" spans="1:9" ht="17.399999999999999" x14ac:dyDescent="0.25">
      <c r="A1281" s="16"/>
      <c r="B1281" s="17"/>
      <c r="C1281" s="2"/>
      <c r="D1281" s="2"/>
      <c r="E1281" s="2"/>
      <c r="F1281" s="2"/>
      <c r="G1281" s="2"/>
      <c r="H1281" s="2"/>
      <c r="I1281" s="5"/>
    </row>
    <row r="1282" spans="1:9" ht="17.399999999999999" x14ac:dyDescent="0.25">
      <c r="A1282" s="16"/>
      <c r="B1282" s="17"/>
      <c r="C1282" s="2"/>
      <c r="D1282" s="2"/>
      <c r="E1282" s="2"/>
      <c r="F1282" s="2"/>
      <c r="G1282" s="2"/>
      <c r="H1282" s="2"/>
      <c r="I1282" s="5"/>
    </row>
    <row r="1283" spans="1:9" ht="17.399999999999999" x14ac:dyDescent="0.25">
      <c r="A1283" s="16"/>
      <c r="B1283" s="17"/>
      <c r="C1283" s="2"/>
      <c r="D1283" s="2"/>
      <c r="E1283" s="2"/>
      <c r="F1283" s="2"/>
      <c r="G1283" s="2"/>
      <c r="H1283" s="2"/>
      <c r="I1283" s="5"/>
    </row>
    <row r="1284" spans="1:9" ht="17.399999999999999" x14ac:dyDescent="0.25">
      <c r="A1284" s="16"/>
      <c r="B1284" s="17"/>
      <c r="C1284" s="2"/>
      <c r="D1284" s="2"/>
      <c r="E1284" s="2"/>
      <c r="F1284" s="2"/>
      <c r="G1284" s="2"/>
      <c r="H1284" s="2"/>
      <c r="I1284" s="5"/>
    </row>
    <row r="1285" spans="1:9" ht="17.399999999999999" x14ac:dyDescent="0.25">
      <c r="A1285" s="16"/>
      <c r="B1285" s="17"/>
      <c r="C1285" s="2"/>
      <c r="D1285" s="2"/>
      <c r="E1285" s="2"/>
      <c r="F1285" s="2"/>
      <c r="G1285" s="2"/>
      <c r="H1285" s="2"/>
      <c r="I1285" s="5"/>
    </row>
    <row r="1286" spans="1:9" ht="17.399999999999999" x14ac:dyDescent="0.25">
      <c r="A1286" s="16"/>
      <c r="B1286" s="17"/>
      <c r="C1286" s="2"/>
      <c r="D1286" s="2"/>
      <c r="E1286" s="2"/>
      <c r="F1286" s="2"/>
      <c r="G1286" s="2"/>
      <c r="H1286" s="2"/>
      <c r="I1286" s="5"/>
    </row>
    <row r="1287" spans="1:9" ht="17.399999999999999" x14ac:dyDescent="0.25">
      <c r="A1287" s="16"/>
      <c r="B1287" s="17"/>
      <c r="C1287" s="2"/>
      <c r="D1287" s="2"/>
      <c r="E1287" s="2"/>
      <c r="F1287" s="2"/>
      <c r="G1287" s="2"/>
      <c r="H1287" s="2"/>
      <c r="I1287" s="5"/>
    </row>
    <row r="1288" spans="1:9" ht="17.399999999999999" x14ac:dyDescent="0.25">
      <c r="A1288" s="16"/>
      <c r="B1288" s="17"/>
      <c r="C1288" s="2"/>
      <c r="D1288" s="2"/>
      <c r="E1288" s="2"/>
      <c r="F1288" s="2"/>
      <c r="G1288" s="2"/>
      <c r="H1288" s="2"/>
      <c r="I1288" s="5"/>
    </row>
    <row r="1289" spans="1:9" ht="17.399999999999999" x14ac:dyDescent="0.25">
      <c r="A1289" s="16"/>
      <c r="B1289" s="17"/>
      <c r="C1289" s="2"/>
      <c r="D1289" s="2"/>
      <c r="E1289" s="2"/>
      <c r="F1289" s="2"/>
      <c r="G1289" s="2"/>
      <c r="H1289" s="2"/>
      <c r="I1289" s="5"/>
    </row>
    <row r="1290" spans="1:9" ht="17.399999999999999" x14ac:dyDescent="0.25">
      <c r="A1290" s="16"/>
      <c r="B1290" s="17"/>
      <c r="C1290" s="2"/>
      <c r="D1290" s="2"/>
      <c r="E1290" s="2"/>
      <c r="F1290" s="2"/>
      <c r="G1290" s="2"/>
      <c r="H1290" s="2"/>
      <c r="I1290" s="5"/>
    </row>
    <row r="1291" spans="1:9" ht="17.399999999999999" x14ac:dyDescent="0.25">
      <c r="A1291" s="16"/>
      <c r="B1291" s="17"/>
      <c r="C1291" s="2"/>
      <c r="D1291" s="2"/>
      <c r="E1291" s="2"/>
      <c r="F1291" s="2"/>
      <c r="G1291" s="2"/>
      <c r="H1291" s="2"/>
      <c r="I1291" s="5"/>
    </row>
    <row r="1292" spans="1:9" ht="17.399999999999999" x14ac:dyDescent="0.25">
      <c r="A1292" s="16"/>
      <c r="B1292" s="17"/>
      <c r="C1292" s="2"/>
      <c r="D1292" s="2"/>
      <c r="E1292" s="2"/>
      <c r="F1292" s="2"/>
      <c r="G1292" s="2"/>
      <c r="H1292" s="2"/>
      <c r="I1292" s="5"/>
    </row>
    <row r="1293" spans="1:9" ht="17.399999999999999" x14ac:dyDescent="0.25">
      <c r="A1293" s="16"/>
      <c r="B1293" s="17"/>
      <c r="C1293" s="2"/>
      <c r="D1293" s="2"/>
      <c r="E1293" s="2"/>
      <c r="F1293" s="2"/>
      <c r="G1293" s="2"/>
      <c r="H1293" s="2"/>
      <c r="I1293" s="5"/>
    </row>
    <row r="1294" spans="1:9" ht="17.399999999999999" x14ac:dyDescent="0.25">
      <c r="A1294" s="16"/>
      <c r="B1294" s="17"/>
      <c r="C1294" s="2"/>
      <c r="D1294" s="2"/>
      <c r="E1294" s="2"/>
      <c r="F1294" s="2"/>
      <c r="G1294" s="2"/>
      <c r="H1294" s="2"/>
      <c r="I1294" s="5"/>
    </row>
    <row r="1295" spans="1:9" ht="17.399999999999999" x14ac:dyDescent="0.25">
      <c r="A1295" s="16"/>
      <c r="B1295" s="17"/>
      <c r="C1295" s="2"/>
      <c r="D1295" s="2"/>
      <c r="E1295" s="2"/>
      <c r="F1295" s="2"/>
      <c r="G1295" s="2"/>
      <c r="H1295" s="2"/>
      <c r="I1295" s="5"/>
    </row>
    <row r="1296" spans="1:9" ht="17.399999999999999" x14ac:dyDescent="0.25">
      <c r="A1296" s="16"/>
      <c r="B1296" s="17"/>
      <c r="C1296" s="2"/>
      <c r="D1296" s="2"/>
      <c r="E1296" s="2"/>
      <c r="F1296" s="2"/>
      <c r="G1296" s="2"/>
      <c r="H1296" s="2"/>
      <c r="I1296" s="5"/>
    </row>
    <row r="1297" spans="1:9" ht="17.399999999999999" x14ac:dyDescent="0.25">
      <c r="A1297" s="16"/>
      <c r="B1297" s="17"/>
      <c r="C1297" s="2"/>
      <c r="D1297" s="2"/>
      <c r="E1297" s="2"/>
      <c r="F1297" s="2"/>
      <c r="G1297" s="2"/>
      <c r="H1297" s="2"/>
      <c r="I1297" s="5"/>
    </row>
    <row r="1298" spans="1:9" ht="17.399999999999999" x14ac:dyDescent="0.25">
      <c r="A1298" s="16"/>
      <c r="B1298" s="17"/>
      <c r="C1298" s="2"/>
      <c r="D1298" s="2"/>
      <c r="E1298" s="2"/>
      <c r="F1298" s="2"/>
      <c r="G1298" s="2"/>
      <c r="H1298" s="2"/>
      <c r="I1298" s="5"/>
    </row>
    <row r="1299" spans="1:9" ht="17.399999999999999" x14ac:dyDescent="0.25">
      <c r="A1299" s="16"/>
      <c r="B1299" s="17"/>
      <c r="C1299" s="2"/>
      <c r="D1299" s="2"/>
      <c r="E1299" s="2"/>
      <c r="F1299" s="2"/>
      <c r="G1299" s="2"/>
      <c r="H1299" s="2"/>
      <c r="I1299" s="5"/>
    </row>
    <row r="1300" spans="1:9" ht="17.399999999999999" x14ac:dyDescent="0.25">
      <c r="A1300" s="16"/>
      <c r="B1300" s="17"/>
      <c r="C1300" s="2"/>
      <c r="D1300" s="2"/>
      <c r="E1300" s="2"/>
      <c r="F1300" s="2"/>
      <c r="G1300" s="2"/>
      <c r="H1300" s="2"/>
      <c r="I1300" s="5"/>
    </row>
    <row r="1301" spans="1:9" ht="17.399999999999999" x14ac:dyDescent="0.25">
      <c r="A1301" s="16"/>
      <c r="B1301" s="17"/>
      <c r="C1301" s="2"/>
      <c r="D1301" s="2"/>
      <c r="E1301" s="2"/>
      <c r="F1301" s="2"/>
      <c r="G1301" s="2"/>
      <c r="H1301" s="2"/>
      <c r="I1301" s="5"/>
    </row>
    <row r="1302" spans="1:9" ht="17.399999999999999" x14ac:dyDescent="0.25">
      <c r="A1302" s="16"/>
      <c r="B1302" s="17"/>
      <c r="C1302" s="2"/>
      <c r="D1302" s="2"/>
      <c r="E1302" s="2"/>
      <c r="F1302" s="2"/>
      <c r="G1302" s="2"/>
      <c r="H1302" s="2"/>
      <c r="I1302" s="5"/>
    </row>
    <row r="1303" spans="1:9" ht="17.399999999999999" x14ac:dyDescent="0.25">
      <c r="A1303" s="16"/>
      <c r="B1303" s="17"/>
      <c r="C1303" s="2"/>
      <c r="D1303" s="2"/>
      <c r="E1303" s="2"/>
      <c r="F1303" s="2"/>
      <c r="G1303" s="2"/>
      <c r="H1303" s="2"/>
      <c r="I1303" s="5"/>
    </row>
    <row r="1304" spans="1:9" ht="17.399999999999999" x14ac:dyDescent="0.25">
      <c r="A1304" s="16"/>
      <c r="B1304" s="17"/>
      <c r="C1304" s="2"/>
      <c r="D1304" s="2"/>
      <c r="E1304" s="2"/>
      <c r="F1304" s="2"/>
      <c r="G1304" s="2"/>
      <c r="H1304" s="2"/>
      <c r="I1304" s="5"/>
    </row>
    <row r="1305" spans="1:9" ht="17.399999999999999" x14ac:dyDescent="0.25">
      <c r="A1305" s="16"/>
      <c r="B1305" s="17"/>
      <c r="C1305" s="2"/>
      <c r="D1305" s="2"/>
      <c r="E1305" s="2"/>
      <c r="F1305" s="2"/>
      <c r="G1305" s="2"/>
      <c r="H1305" s="2"/>
      <c r="I1305" s="5"/>
    </row>
    <row r="1306" spans="1:9" ht="17.399999999999999" x14ac:dyDescent="0.25">
      <c r="A1306" s="16"/>
      <c r="B1306" s="17"/>
      <c r="C1306" s="2"/>
      <c r="D1306" s="2"/>
      <c r="E1306" s="2"/>
      <c r="F1306" s="2"/>
      <c r="G1306" s="2"/>
      <c r="H1306" s="2"/>
      <c r="I1306" s="5"/>
    </row>
    <row r="1307" spans="1:9" ht="17.399999999999999" x14ac:dyDescent="0.25">
      <c r="A1307" s="16"/>
      <c r="B1307" s="17"/>
      <c r="C1307" s="2"/>
      <c r="D1307" s="2"/>
      <c r="E1307" s="2"/>
      <c r="F1307" s="2"/>
      <c r="G1307" s="2"/>
      <c r="H1307" s="2"/>
      <c r="I1307" s="5"/>
    </row>
    <row r="1308" spans="1:9" ht="17.399999999999999" x14ac:dyDescent="0.25">
      <c r="A1308" s="16"/>
      <c r="B1308" s="17"/>
      <c r="C1308" s="2"/>
      <c r="D1308" s="2"/>
      <c r="E1308" s="2"/>
      <c r="F1308" s="2"/>
      <c r="G1308" s="2"/>
      <c r="H1308" s="2"/>
      <c r="I1308" s="5"/>
    </row>
    <row r="1309" spans="1:9" ht="17.399999999999999" x14ac:dyDescent="0.25">
      <c r="A1309" s="16"/>
      <c r="B1309" s="17"/>
      <c r="C1309" s="2"/>
      <c r="D1309" s="2"/>
      <c r="E1309" s="2"/>
      <c r="F1309" s="2"/>
      <c r="G1309" s="2"/>
      <c r="H1309" s="2"/>
      <c r="I1309" s="5"/>
    </row>
    <row r="1310" spans="1:9" ht="17.399999999999999" x14ac:dyDescent="0.25">
      <c r="A1310" s="16"/>
      <c r="B1310" s="17"/>
      <c r="C1310" s="2"/>
      <c r="D1310" s="2"/>
      <c r="E1310" s="2"/>
      <c r="F1310" s="2"/>
      <c r="G1310" s="2"/>
      <c r="H1310" s="2"/>
      <c r="I1310" s="5"/>
    </row>
    <row r="1311" spans="1:9" ht="17.399999999999999" x14ac:dyDescent="0.25">
      <c r="A1311" s="16"/>
      <c r="B1311" s="17"/>
      <c r="C1311" s="2"/>
      <c r="D1311" s="2"/>
      <c r="E1311" s="2"/>
      <c r="F1311" s="2"/>
      <c r="G1311" s="2"/>
      <c r="H1311" s="2"/>
      <c r="I1311" s="5"/>
    </row>
    <row r="1312" spans="1:9" ht="17.399999999999999" x14ac:dyDescent="0.25">
      <c r="A1312" s="16"/>
      <c r="B1312" s="17"/>
      <c r="C1312" s="2"/>
      <c r="D1312" s="2"/>
      <c r="E1312" s="2"/>
      <c r="F1312" s="2"/>
      <c r="G1312" s="2"/>
      <c r="H1312" s="2"/>
      <c r="I1312" s="5"/>
    </row>
    <row r="1313" spans="1:9" ht="17.399999999999999" x14ac:dyDescent="0.25">
      <c r="A1313" s="16"/>
      <c r="B1313" s="17"/>
      <c r="C1313" s="2"/>
      <c r="D1313" s="2"/>
      <c r="E1313" s="2"/>
      <c r="F1313" s="2"/>
      <c r="G1313" s="2"/>
      <c r="H1313" s="2"/>
      <c r="I1313" s="5"/>
    </row>
    <row r="1314" spans="1:9" ht="17.399999999999999" x14ac:dyDescent="0.25">
      <c r="A1314" s="16"/>
      <c r="B1314" s="17"/>
      <c r="C1314" s="2"/>
      <c r="D1314" s="2"/>
      <c r="E1314" s="2"/>
      <c r="F1314" s="2"/>
      <c r="G1314" s="2"/>
      <c r="H1314" s="2"/>
      <c r="I1314" s="5"/>
    </row>
    <row r="1315" spans="1:9" ht="17.399999999999999" x14ac:dyDescent="0.25">
      <c r="A1315" s="16"/>
      <c r="B1315" s="17"/>
      <c r="C1315" s="2"/>
      <c r="D1315" s="2"/>
      <c r="E1315" s="2"/>
      <c r="F1315" s="2"/>
      <c r="G1315" s="2"/>
      <c r="H1315" s="2"/>
      <c r="I1315" s="5"/>
    </row>
    <row r="1316" spans="1:9" ht="17.399999999999999" x14ac:dyDescent="0.25">
      <c r="A1316" s="16"/>
      <c r="B1316" s="17"/>
      <c r="C1316" s="2"/>
      <c r="D1316" s="2"/>
      <c r="E1316" s="2"/>
      <c r="F1316" s="2"/>
      <c r="G1316" s="2"/>
      <c r="H1316" s="2"/>
      <c r="I1316" s="5"/>
    </row>
    <row r="1317" spans="1:9" ht="17.399999999999999" x14ac:dyDescent="0.25">
      <c r="A1317" s="16"/>
      <c r="B1317" s="17"/>
      <c r="C1317" s="2"/>
      <c r="D1317" s="2"/>
      <c r="E1317" s="2"/>
      <c r="F1317" s="2"/>
      <c r="G1317" s="2"/>
      <c r="H1317" s="2"/>
      <c r="I1317" s="5"/>
    </row>
    <row r="1318" spans="1:9" ht="17.399999999999999" x14ac:dyDescent="0.25">
      <c r="A1318" s="16"/>
      <c r="B1318" s="17"/>
      <c r="C1318" s="2"/>
      <c r="D1318" s="2"/>
      <c r="E1318" s="2"/>
      <c r="F1318" s="2"/>
      <c r="G1318" s="2"/>
      <c r="H1318" s="2"/>
      <c r="I1318" s="5"/>
    </row>
    <row r="1319" spans="1:9" ht="17.399999999999999" x14ac:dyDescent="0.25">
      <c r="A1319" s="16"/>
      <c r="B1319" s="17"/>
      <c r="C1319" s="2"/>
      <c r="D1319" s="2"/>
      <c r="E1319" s="2"/>
      <c r="F1319" s="2"/>
      <c r="G1319" s="2"/>
      <c r="H1319" s="2"/>
      <c r="I1319" s="5"/>
    </row>
    <row r="1320" spans="1:9" ht="17.399999999999999" x14ac:dyDescent="0.25">
      <c r="A1320" s="16"/>
      <c r="B1320" s="17"/>
      <c r="C1320" s="2"/>
      <c r="D1320" s="2"/>
      <c r="E1320" s="2"/>
      <c r="F1320" s="2"/>
      <c r="G1320" s="2"/>
      <c r="H1320" s="2"/>
      <c r="I1320" s="5"/>
    </row>
    <row r="1321" spans="1:9" ht="17.399999999999999" x14ac:dyDescent="0.25">
      <c r="A1321" s="16"/>
      <c r="B1321" s="17"/>
      <c r="C1321" s="2"/>
      <c r="D1321" s="2"/>
      <c r="E1321" s="2"/>
      <c r="F1321" s="2"/>
      <c r="G1321" s="2"/>
      <c r="H1321" s="2"/>
      <c r="I1321" s="5"/>
    </row>
    <row r="1322" spans="1:9" ht="17.399999999999999" x14ac:dyDescent="0.25">
      <c r="A1322" s="16"/>
      <c r="B1322" s="17"/>
      <c r="C1322" s="2"/>
      <c r="D1322" s="2"/>
      <c r="E1322" s="2"/>
      <c r="F1322" s="2"/>
      <c r="G1322" s="2"/>
      <c r="H1322" s="2"/>
      <c r="I1322" s="5"/>
    </row>
    <row r="1323" spans="1:9" ht="17.399999999999999" x14ac:dyDescent="0.25">
      <c r="A1323" s="16"/>
      <c r="B1323" s="17"/>
      <c r="C1323" s="2"/>
      <c r="D1323" s="2"/>
      <c r="E1323" s="2"/>
      <c r="F1323" s="2"/>
      <c r="G1323" s="2"/>
      <c r="H1323" s="2"/>
      <c r="I1323" s="5"/>
    </row>
    <row r="1324" spans="1:9" ht="17.399999999999999" x14ac:dyDescent="0.25">
      <c r="A1324" s="16"/>
      <c r="B1324" s="17"/>
      <c r="C1324" s="2"/>
      <c r="D1324" s="2"/>
      <c r="E1324" s="2"/>
      <c r="F1324" s="2"/>
      <c r="G1324" s="2"/>
      <c r="H1324" s="2"/>
      <c r="I1324" s="5"/>
    </row>
    <row r="1325" spans="1:9" ht="17.399999999999999" x14ac:dyDescent="0.25">
      <c r="A1325" s="16"/>
      <c r="B1325" s="17"/>
      <c r="C1325" s="2"/>
      <c r="D1325" s="2"/>
      <c r="E1325" s="2"/>
      <c r="F1325" s="2"/>
      <c r="G1325" s="2"/>
      <c r="H1325" s="2"/>
      <c r="I1325" s="5"/>
    </row>
    <row r="1326" spans="1:9" ht="17.399999999999999" x14ac:dyDescent="0.25">
      <c r="A1326" s="16"/>
      <c r="B1326" s="17"/>
      <c r="C1326" s="2"/>
      <c r="D1326" s="2"/>
      <c r="E1326" s="2"/>
      <c r="F1326" s="2"/>
      <c r="G1326" s="2"/>
      <c r="H1326" s="2"/>
      <c r="I1326" s="5"/>
    </row>
    <row r="1327" spans="1:9" ht="17.399999999999999" x14ac:dyDescent="0.25">
      <c r="A1327" s="16"/>
      <c r="B1327" s="17"/>
      <c r="C1327" s="2"/>
      <c r="D1327" s="2"/>
      <c r="E1327" s="2"/>
      <c r="F1327" s="2"/>
      <c r="G1327" s="2"/>
      <c r="H1327" s="2"/>
      <c r="I1327" s="5"/>
    </row>
    <row r="1328" spans="1:9" ht="17.399999999999999" x14ac:dyDescent="0.25">
      <c r="A1328" s="16"/>
      <c r="B1328" s="17"/>
      <c r="C1328" s="2"/>
      <c r="D1328" s="2"/>
      <c r="E1328" s="2"/>
      <c r="F1328" s="2"/>
      <c r="G1328" s="2"/>
      <c r="H1328" s="2"/>
      <c r="I1328" s="5"/>
    </row>
    <row r="1329" spans="1:9" ht="17.399999999999999" x14ac:dyDescent="0.25">
      <c r="A1329" s="16"/>
      <c r="B1329" s="17"/>
      <c r="C1329" s="2"/>
      <c r="D1329" s="2"/>
      <c r="E1329" s="2"/>
      <c r="F1329" s="2"/>
      <c r="G1329" s="2"/>
      <c r="H1329" s="2"/>
      <c r="I1329" s="5"/>
    </row>
    <row r="1330" spans="1:9" ht="17.399999999999999" x14ac:dyDescent="0.25">
      <c r="A1330" s="16"/>
      <c r="B1330" s="17"/>
      <c r="C1330" s="2"/>
      <c r="D1330" s="2"/>
      <c r="E1330" s="2"/>
      <c r="F1330" s="2"/>
      <c r="G1330" s="2"/>
      <c r="H1330" s="2"/>
      <c r="I1330" s="5"/>
    </row>
    <row r="1331" spans="1:9" ht="17.399999999999999" x14ac:dyDescent="0.25">
      <c r="A1331" s="16"/>
      <c r="B1331" s="17"/>
      <c r="C1331" s="2"/>
      <c r="D1331" s="2"/>
      <c r="E1331" s="2"/>
      <c r="F1331" s="2"/>
      <c r="G1331" s="2"/>
      <c r="H1331" s="2"/>
      <c r="I1331" s="5"/>
    </row>
    <row r="1332" spans="1:9" ht="17.399999999999999" x14ac:dyDescent="0.25">
      <c r="A1332" s="16"/>
      <c r="B1332" s="17"/>
      <c r="C1332" s="2"/>
      <c r="D1332" s="2"/>
      <c r="E1332" s="2"/>
      <c r="F1332" s="2"/>
      <c r="G1332" s="2"/>
      <c r="H1332" s="2"/>
      <c r="I1332" s="5"/>
    </row>
    <row r="1333" spans="1:9" ht="17.399999999999999" x14ac:dyDescent="0.25">
      <c r="A1333" s="16"/>
      <c r="B1333" s="17"/>
      <c r="C1333" s="2"/>
      <c r="D1333" s="2"/>
      <c r="E1333" s="2"/>
      <c r="F1333" s="2"/>
      <c r="G1333" s="2"/>
      <c r="H1333" s="2"/>
      <c r="I1333" s="5"/>
    </row>
    <row r="1334" spans="1:9" ht="17.399999999999999" x14ac:dyDescent="0.25">
      <c r="A1334" s="16"/>
      <c r="B1334" s="17"/>
      <c r="C1334" s="2"/>
      <c r="D1334" s="2"/>
      <c r="E1334" s="2"/>
      <c r="F1334" s="2"/>
      <c r="G1334" s="2"/>
      <c r="H1334" s="2"/>
      <c r="I1334" s="5"/>
    </row>
    <row r="1335" spans="1:9" ht="17.399999999999999" x14ac:dyDescent="0.25">
      <c r="A1335" s="16"/>
      <c r="B1335" s="17"/>
      <c r="C1335" s="2"/>
      <c r="D1335" s="2"/>
      <c r="E1335" s="2"/>
      <c r="F1335" s="2"/>
      <c r="G1335" s="2"/>
      <c r="H1335" s="2"/>
      <c r="I1335" s="5"/>
    </row>
    <row r="1336" spans="1:9" ht="17.399999999999999" x14ac:dyDescent="0.25">
      <c r="A1336" s="16"/>
      <c r="B1336" s="17"/>
      <c r="C1336" s="2"/>
      <c r="D1336" s="2"/>
      <c r="E1336" s="2"/>
      <c r="F1336" s="2"/>
      <c r="G1336" s="2"/>
      <c r="H1336" s="2"/>
      <c r="I1336" s="5"/>
    </row>
    <row r="1337" spans="1:9" ht="17.399999999999999" x14ac:dyDescent="0.25">
      <c r="A1337" s="16"/>
      <c r="B1337" s="17"/>
      <c r="C1337" s="2"/>
      <c r="D1337" s="2"/>
      <c r="E1337" s="2"/>
      <c r="F1337" s="2"/>
      <c r="G1337" s="2"/>
      <c r="H1337" s="2"/>
      <c r="I1337" s="5"/>
    </row>
    <row r="1338" spans="1:9" ht="17.399999999999999" x14ac:dyDescent="0.25">
      <c r="A1338" s="16"/>
      <c r="B1338" s="17"/>
      <c r="C1338" s="2"/>
      <c r="D1338" s="2"/>
      <c r="E1338" s="2"/>
      <c r="F1338" s="2"/>
      <c r="G1338" s="2"/>
      <c r="H1338" s="2"/>
      <c r="I1338" s="5"/>
    </row>
    <row r="1339" spans="1:9" ht="17.399999999999999" x14ac:dyDescent="0.25">
      <c r="A1339" s="16"/>
      <c r="B1339" s="17"/>
      <c r="C1339" s="2"/>
      <c r="D1339" s="2"/>
      <c r="E1339" s="2"/>
      <c r="F1339" s="2"/>
      <c r="G1339" s="2"/>
      <c r="H1339" s="2"/>
      <c r="I1339" s="5"/>
    </row>
    <row r="1340" spans="1:9" ht="17.399999999999999" x14ac:dyDescent="0.25">
      <c r="A1340" s="16"/>
      <c r="B1340" s="17"/>
      <c r="C1340" s="2"/>
      <c r="D1340" s="2"/>
      <c r="E1340" s="2"/>
      <c r="F1340" s="2"/>
      <c r="G1340" s="2"/>
      <c r="H1340" s="2"/>
      <c r="I1340" s="5"/>
    </row>
    <row r="1341" spans="1:9" ht="17.399999999999999" x14ac:dyDescent="0.25">
      <c r="A1341" s="16"/>
      <c r="B1341" s="17"/>
      <c r="C1341" s="2"/>
      <c r="D1341" s="2"/>
      <c r="E1341" s="2"/>
      <c r="F1341" s="2"/>
      <c r="G1341" s="2"/>
      <c r="H1341" s="2"/>
      <c r="I1341" s="5"/>
    </row>
    <row r="1342" spans="1:9" ht="17.399999999999999" x14ac:dyDescent="0.25">
      <c r="A1342" s="16"/>
      <c r="B1342" s="17"/>
      <c r="C1342" s="2"/>
      <c r="D1342" s="2"/>
      <c r="E1342" s="2"/>
      <c r="F1342" s="2"/>
      <c r="G1342" s="2"/>
      <c r="H1342" s="2"/>
      <c r="I1342" s="5"/>
    </row>
    <row r="1343" spans="1:9" ht="17.399999999999999" x14ac:dyDescent="0.25">
      <c r="A1343" s="16"/>
      <c r="B1343" s="17"/>
      <c r="C1343" s="2"/>
      <c r="D1343" s="2"/>
      <c r="E1343" s="2"/>
      <c r="F1343" s="2"/>
      <c r="G1343" s="2"/>
      <c r="H1343" s="2"/>
      <c r="I1343" s="5"/>
    </row>
    <row r="1344" spans="1:9" ht="17.399999999999999" x14ac:dyDescent="0.25">
      <c r="A1344" s="16"/>
      <c r="B1344" s="17"/>
      <c r="C1344" s="2"/>
      <c r="D1344" s="2"/>
      <c r="E1344" s="2"/>
      <c r="F1344" s="2"/>
      <c r="G1344" s="2"/>
      <c r="H1344" s="2"/>
      <c r="I1344" s="5"/>
    </row>
    <row r="1345" spans="1:9" ht="17.399999999999999" x14ac:dyDescent="0.25">
      <c r="A1345" s="16"/>
      <c r="B1345" s="17"/>
      <c r="C1345" s="2"/>
      <c r="D1345" s="2"/>
      <c r="E1345" s="2"/>
      <c r="F1345" s="2"/>
      <c r="G1345" s="2"/>
      <c r="H1345" s="2"/>
      <c r="I1345" s="5"/>
    </row>
    <row r="1346" spans="1:9" ht="17.399999999999999" x14ac:dyDescent="0.25">
      <c r="A1346" s="16"/>
      <c r="B1346" s="17"/>
      <c r="C1346" s="2"/>
      <c r="D1346" s="2"/>
      <c r="E1346" s="2"/>
      <c r="F1346" s="2"/>
      <c r="G1346" s="2"/>
      <c r="H1346" s="2"/>
      <c r="I1346" s="5"/>
    </row>
    <row r="1347" spans="1:9" ht="17.399999999999999" x14ac:dyDescent="0.25">
      <c r="A1347" s="16"/>
      <c r="B1347" s="17"/>
      <c r="C1347" s="2"/>
      <c r="D1347" s="2"/>
      <c r="E1347" s="2"/>
      <c r="F1347" s="2"/>
      <c r="G1347" s="2"/>
      <c r="H1347" s="2"/>
      <c r="I1347" s="5"/>
    </row>
    <row r="1348" spans="1:9" ht="17.399999999999999" x14ac:dyDescent="0.25">
      <c r="A1348" s="16"/>
      <c r="B1348" s="17"/>
      <c r="C1348" s="2"/>
      <c r="D1348" s="2"/>
      <c r="E1348" s="2"/>
      <c r="F1348" s="2"/>
      <c r="G1348" s="2"/>
      <c r="H1348" s="2"/>
      <c r="I1348" s="5"/>
    </row>
    <row r="1349" spans="1:9" ht="17.399999999999999" x14ac:dyDescent="0.25">
      <c r="A1349" s="16"/>
      <c r="B1349" s="17"/>
      <c r="C1349" s="2"/>
      <c r="D1349" s="2"/>
      <c r="E1349" s="2"/>
      <c r="F1349" s="2"/>
      <c r="G1349" s="2"/>
      <c r="H1349" s="2"/>
      <c r="I1349" s="5"/>
    </row>
    <row r="1350" spans="1:9" ht="17.399999999999999" x14ac:dyDescent="0.25">
      <c r="A1350" s="16"/>
      <c r="B1350" s="17"/>
      <c r="C1350" s="2"/>
      <c r="D1350" s="2"/>
      <c r="E1350" s="2"/>
      <c r="F1350" s="2"/>
      <c r="G1350" s="2"/>
      <c r="H1350" s="2"/>
      <c r="I1350" s="5"/>
    </row>
    <row r="1351" spans="1:9" ht="17.399999999999999" x14ac:dyDescent="0.25">
      <c r="A1351" s="16"/>
      <c r="B1351" s="17"/>
      <c r="C1351" s="2"/>
      <c r="D1351" s="2"/>
      <c r="E1351" s="2"/>
      <c r="F1351" s="2"/>
      <c r="G1351" s="2"/>
      <c r="H1351" s="2"/>
      <c r="I1351" s="5"/>
    </row>
    <row r="1352" spans="1:9" ht="17.399999999999999" x14ac:dyDescent="0.25">
      <c r="A1352" s="16"/>
      <c r="B1352" s="17"/>
      <c r="C1352" s="2"/>
      <c r="D1352" s="2"/>
      <c r="E1352" s="2"/>
      <c r="F1352" s="2"/>
      <c r="G1352" s="2"/>
      <c r="H1352" s="2"/>
      <c r="I1352" s="5"/>
    </row>
    <row r="1353" spans="1:9" ht="17.399999999999999" x14ac:dyDescent="0.25">
      <c r="A1353" s="16"/>
      <c r="B1353" s="17"/>
      <c r="C1353" s="2"/>
      <c r="D1353" s="2"/>
      <c r="E1353" s="2"/>
      <c r="F1353" s="2"/>
      <c r="G1353" s="2"/>
      <c r="H1353" s="2"/>
      <c r="I1353" s="5"/>
    </row>
    <row r="1354" spans="1:9" ht="17.399999999999999" x14ac:dyDescent="0.25">
      <c r="A1354" s="16"/>
      <c r="B1354" s="17"/>
      <c r="C1354" s="2"/>
      <c r="D1354" s="2"/>
      <c r="E1354" s="2"/>
      <c r="F1354" s="2"/>
      <c r="G1354" s="2"/>
      <c r="H1354" s="2"/>
      <c r="I1354" s="5"/>
    </row>
    <row r="1355" spans="1:9" ht="17.399999999999999" x14ac:dyDescent="0.25">
      <c r="A1355" s="16"/>
      <c r="B1355" s="17"/>
      <c r="C1355" s="2"/>
      <c r="D1355" s="2"/>
      <c r="E1355" s="2"/>
      <c r="F1355" s="2"/>
      <c r="G1355" s="2"/>
      <c r="H1355" s="2"/>
      <c r="I1355" s="5"/>
    </row>
    <row r="1356" spans="1:9" ht="17.399999999999999" x14ac:dyDescent="0.25">
      <c r="A1356" s="16"/>
      <c r="B1356" s="17"/>
      <c r="C1356" s="2"/>
      <c r="D1356" s="2"/>
      <c r="E1356" s="2"/>
      <c r="F1356" s="2"/>
      <c r="G1356" s="2"/>
      <c r="H1356" s="2"/>
      <c r="I1356" s="5"/>
    </row>
    <row r="1357" spans="1:9" ht="17.399999999999999" x14ac:dyDescent="0.25">
      <c r="A1357" s="16"/>
      <c r="B1357" s="17"/>
      <c r="C1357" s="2"/>
      <c r="D1357" s="2"/>
      <c r="E1357" s="2"/>
      <c r="F1357" s="2"/>
      <c r="G1357" s="2"/>
      <c r="H1357" s="2"/>
      <c r="I1357" s="5"/>
    </row>
    <row r="1358" spans="1:9" ht="17.399999999999999" x14ac:dyDescent="0.25">
      <c r="A1358" s="16"/>
      <c r="B1358" s="17"/>
      <c r="C1358" s="2"/>
      <c r="D1358" s="2"/>
      <c r="E1358" s="2"/>
      <c r="F1358" s="2"/>
      <c r="G1358" s="2"/>
      <c r="H1358" s="2"/>
      <c r="I1358" s="5"/>
    </row>
    <row r="1359" spans="1:9" ht="17.399999999999999" x14ac:dyDescent="0.25">
      <c r="A1359" s="16"/>
      <c r="B1359" s="17"/>
      <c r="C1359" s="2"/>
      <c r="D1359" s="2"/>
      <c r="E1359" s="2"/>
      <c r="F1359" s="2"/>
      <c r="G1359" s="2"/>
      <c r="H1359" s="2"/>
      <c r="I1359" s="5"/>
    </row>
    <row r="1360" spans="1:9" ht="17.399999999999999" x14ac:dyDescent="0.25">
      <c r="A1360" s="16"/>
      <c r="B1360" s="17"/>
      <c r="C1360" s="2"/>
      <c r="D1360" s="2"/>
      <c r="E1360" s="2"/>
      <c r="F1360" s="2"/>
      <c r="G1360" s="2"/>
      <c r="H1360" s="2"/>
      <c r="I1360" s="5"/>
    </row>
    <row r="1361" spans="1:9" ht="17.399999999999999" x14ac:dyDescent="0.25">
      <c r="A1361" s="16"/>
      <c r="B1361" s="17"/>
      <c r="C1361" s="2"/>
      <c r="D1361" s="2"/>
      <c r="E1361" s="2"/>
      <c r="F1361" s="2"/>
      <c r="G1361" s="2"/>
      <c r="H1361" s="2"/>
      <c r="I1361" s="5"/>
    </row>
    <row r="1362" spans="1:9" ht="17.399999999999999" x14ac:dyDescent="0.25">
      <c r="A1362" s="16"/>
      <c r="B1362" s="17"/>
      <c r="C1362" s="2"/>
      <c r="D1362" s="2"/>
      <c r="E1362" s="2"/>
      <c r="F1362" s="2"/>
      <c r="G1362" s="2"/>
      <c r="H1362" s="2"/>
      <c r="I1362" s="5"/>
    </row>
    <row r="1363" spans="1:9" ht="17.399999999999999" x14ac:dyDescent="0.25">
      <c r="A1363" s="16"/>
      <c r="B1363" s="17"/>
      <c r="C1363" s="2"/>
      <c r="D1363" s="2"/>
      <c r="E1363" s="2"/>
      <c r="F1363" s="2"/>
      <c r="G1363" s="2"/>
      <c r="H1363" s="2"/>
      <c r="I1363" s="5"/>
    </row>
    <row r="1364" spans="1:9" ht="17.399999999999999" x14ac:dyDescent="0.25">
      <c r="A1364" s="16"/>
      <c r="B1364" s="17"/>
      <c r="C1364" s="2"/>
      <c r="D1364" s="2"/>
      <c r="E1364" s="2"/>
      <c r="F1364" s="2"/>
      <c r="G1364" s="2"/>
      <c r="H1364" s="2"/>
      <c r="I1364" s="5"/>
    </row>
    <row r="1365" spans="1:9" ht="17.399999999999999" x14ac:dyDescent="0.25">
      <c r="A1365" s="16"/>
      <c r="B1365" s="17"/>
      <c r="C1365" s="2"/>
      <c r="D1365" s="2"/>
      <c r="E1365" s="2"/>
      <c r="F1365" s="2"/>
      <c r="G1365" s="2"/>
      <c r="H1365" s="2"/>
      <c r="I1365" s="5"/>
    </row>
    <row r="1366" spans="1:9" ht="17.399999999999999" x14ac:dyDescent="0.25">
      <c r="A1366" s="16"/>
      <c r="B1366" s="17"/>
      <c r="C1366" s="2"/>
      <c r="D1366" s="2"/>
      <c r="E1366" s="2"/>
      <c r="F1366" s="2"/>
      <c r="G1366" s="2"/>
      <c r="H1366" s="2"/>
      <c r="I1366" s="5"/>
    </row>
    <row r="1367" spans="1:9" ht="17.399999999999999" x14ac:dyDescent="0.25">
      <c r="A1367" s="16"/>
      <c r="B1367" s="17"/>
      <c r="C1367" s="2"/>
      <c r="D1367" s="2"/>
      <c r="E1367" s="2"/>
      <c r="F1367" s="2"/>
      <c r="G1367" s="2"/>
      <c r="H1367" s="2"/>
      <c r="I1367" s="5"/>
    </row>
    <row r="1368" spans="1:9" ht="17.399999999999999" x14ac:dyDescent="0.25">
      <c r="A1368" s="16"/>
      <c r="B1368" s="17"/>
      <c r="C1368" s="2"/>
      <c r="D1368" s="2"/>
      <c r="E1368" s="2"/>
      <c r="F1368" s="2"/>
      <c r="G1368" s="2"/>
      <c r="H1368" s="2"/>
      <c r="I1368" s="5"/>
    </row>
    <row r="1369" spans="1:9" ht="17.399999999999999" x14ac:dyDescent="0.25">
      <c r="A1369" s="16"/>
      <c r="B1369" s="17"/>
      <c r="C1369" s="2"/>
      <c r="D1369" s="2"/>
      <c r="E1369" s="2"/>
      <c r="F1369" s="2"/>
      <c r="G1369" s="2"/>
      <c r="H1369" s="2"/>
      <c r="I1369" s="5"/>
    </row>
    <row r="1370" spans="1:9" ht="17.399999999999999" x14ac:dyDescent="0.25">
      <c r="A1370" s="16"/>
      <c r="B1370" s="17"/>
      <c r="C1370" s="2"/>
      <c r="D1370" s="2"/>
      <c r="E1370" s="2"/>
      <c r="F1370" s="2"/>
      <c r="G1370" s="2"/>
      <c r="H1370" s="2"/>
      <c r="I1370" s="5"/>
    </row>
    <row r="1371" spans="1:9" ht="17.399999999999999" x14ac:dyDescent="0.25">
      <c r="A1371" s="16"/>
      <c r="B1371" s="17"/>
      <c r="C1371" s="2"/>
      <c r="D1371" s="2"/>
      <c r="E1371" s="2"/>
      <c r="F1371" s="2"/>
      <c r="G1371" s="2"/>
      <c r="H1371" s="2"/>
      <c r="I1371" s="5"/>
    </row>
    <row r="1372" spans="1:9" ht="17.399999999999999" x14ac:dyDescent="0.25">
      <c r="A1372" s="16"/>
      <c r="B1372" s="17"/>
      <c r="C1372" s="2"/>
      <c r="D1372" s="2"/>
      <c r="E1372" s="2"/>
      <c r="F1372" s="2"/>
      <c r="G1372" s="2"/>
      <c r="H1372" s="2"/>
      <c r="I1372" s="5"/>
    </row>
    <row r="1373" spans="1:9" ht="17.399999999999999" x14ac:dyDescent="0.25">
      <c r="A1373" s="16"/>
      <c r="B1373" s="17"/>
      <c r="C1373" s="2"/>
      <c r="D1373" s="2"/>
      <c r="E1373" s="2"/>
      <c r="F1373" s="2"/>
      <c r="G1373" s="2"/>
      <c r="H1373" s="2"/>
      <c r="I1373" s="5"/>
    </row>
    <row r="1374" spans="1:9" ht="17.399999999999999" x14ac:dyDescent="0.25">
      <c r="A1374" s="16"/>
      <c r="B1374" s="17"/>
      <c r="C1374" s="2"/>
      <c r="D1374" s="2"/>
      <c r="E1374" s="2"/>
      <c r="F1374" s="2"/>
      <c r="G1374" s="2"/>
      <c r="H1374" s="2"/>
      <c r="I1374" s="5"/>
    </row>
    <row r="1375" spans="1:9" ht="17.399999999999999" x14ac:dyDescent="0.25">
      <c r="A1375" s="16"/>
      <c r="B1375" s="17"/>
      <c r="C1375" s="2"/>
      <c r="D1375" s="2"/>
      <c r="E1375" s="2"/>
      <c r="F1375" s="2"/>
      <c r="G1375" s="2"/>
      <c r="H1375" s="2"/>
      <c r="I1375" s="5"/>
    </row>
    <row r="1376" spans="1:9" ht="17.399999999999999" x14ac:dyDescent="0.25">
      <c r="A1376" s="16"/>
      <c r="B1376" s="17"/>
      <c r="C1376" s="2"/>
      <c r="D1376" s="2"/>
      <c r="E1376" s="2"/>
      <c r="F1376" s="2"/>
      <c r="G1376" s="2"/>
      <c r="H1376" s="2"/>
      <c r="I1376" s="5"/>
    </row>
    <row r="1377" spans="1:9" ht="17.399999999999999" x14ac:dyDescent="0.25">
      <c r="A1377" s="16"/>
      <c r="B1377" s="17"/>
      <c r="C1377" s="2"/>
      <c r="D1377" s="2"/>
      <c r="E1377" s="2"/>
      <c r="F1377" s="2"/>
      <c r="G1377" s="2"/>
      <c r="H1377" s="2"/>
      <c r="I1377" s="5"/>
    </row>
    <row r="1378" spans="1:9" ht="17.399999999999999" x14ac:dyDescent="0.25">
      <c r="A1378" s="16"/>
      <c r="B1378" s="17"/>
      <c r="C1378" s="2"/>
      <c r="D1378" s="2"/>
      <c r="E1378" s="2"/>
      <c r="F1378" s="2"/>
      <c r="G1378" s="2"/>
      <c r="H1378" s="2"/>
      <c r="I1378" s="5"/>
    </row>
    <row r="1379" spans="1:9" ht="17.399999999999999" x14ac:dyDescent="0.25">
      <c r="A1379" s="16"/>
      <c r="B1379" s="17"/>
      <c r="C1379" s="2"/>
      <c r="D1379" s="2"/>
      <c r="E1379" s="2"/>
      <c r="F1379" s="2"/>
      <c r="G1379" s="2"/>
      <c r="H1379" s="2"/>
      <c r="I1379" s="5"/>
    </row>
    <row r="1380" spans="1:9" ht="17.399999999999999" x14ac:dyDescent="0.25">
      <c r="A1380" s="16"/>
      <c r="B1380" s="17"/>
      <c r="C1380" s="2"/>
      <c r="D1380" s="2"/>
      <c r="E1380" s="2"/>
      <c r="F1380" s="2"/>
      <c r="G1380" s="2"/>
      <c r="H1380" s="2"/>
      <c r="I1380" s="5"/>
    </row>
    <row r="1381" spans="1:9" ht="17.399999999999999" x14ac:dyDescent="0.25">
      <c r="A1381" s="16"/>
      <c r="B1381" s="17"/>
      <c r="C1381" s="2"/>
      <c r="D1381" s="2"/>
      <c r="E1381" s="2"/>
      <c r="F1381" s="2"/>
      <c r="G1381" s="2"/>
      <c r="H1381" s="2"/>
      <c r="I1381" s="5"/>
    </row>
    <row r="1382" spans="1:9" ht="17.399999999999999" x14ac:dyDescent="0.25">
      <c r="A1382" s="16"/>
      <c r="B1382" s="17"/>
      <c r="C1382" s="2"/>
      <c r="D1382" s="2"/>
      <c r="E1382" s="2"/>
      <c r="F1382" s="2"/>
      <c r="G1382" s="2"/>
      <c r="H1382" s="2"/>
      <c r="I1382" s="5"/>
    </row>
    <row r="1383" spans="1:9" ht="17.399999999999999" x14ac:dyDescent="0.25">
      <c r="A1383" s="16"/>
      <c r="B1383" s="17"/>
      <c r="C1383" s="2"/>
      <c r="D1383" s="2"/>
      <c r="E1383" s="2"/>
      <c r="F1383" s="2"/>
      <c r="G1383" s="2"/>
      <c r="H1383" s="2"/>
      <c r="I1383" s="5"/>
    </row>
    <row r="1384" spans="1:9" ht="17.399999999999999" x14ac:dyDescent="0.25">
      <c r="A1384" s="16"/>
      <c r="B1384" s="17"/>
      <c r="C1384" s="2"/>
      <c r="D1384" s="2"/>
      <c r="E1384" s="2"/>
      <c r="F1384" s="2"/>
      <c r="G1384" s="2"/>
      <c r="H1384" s="2"/>
      <c r="I1384" s="5"/>
    </row>
    <row r="1385" spans="1:9" ht="17.399999999999999" x14ac:dyDescent="0.25">
      <c r="A1385" s="16"/>
      <c r="B1385" s="17"/>
      <c r="C1385" s="2"/>
      <c r="D1385" s="2"/>
      <c r="E1385" s="2"/>
      <c r="F1385" s="2"/>
      <c r="G1385" s="2"/>
      <c r="H1385" s="2"/>
      <c r="I1385" s="5"/>
    </row>
    <row r="1386" spans="1:9" ht="17.399999999999999" x14ac:dyDescent="0.25">
      <c r="A1386" s="16"/>
      <c r="B1386" s="17"/>
      <c r="C1386" s="2"/>
      <c r="D1386" s="2"/>
      <c r="E1386" s="2"/>
      <c r="F1386" s="2"/>
      <c r="G1386" s="2"/>
      <c r="H1386" s="2"/>
      <c r="I1386" s="5"/>
    </row>
    <row r="1387" spans="1:9" ht="17.399999999999999" x14ac:dyDescent="0.25">
      <c r="A1387" s="16"/>
      <c r="B1387" s="17"/>
      <c r="C1387" s="2"/>
      <c r="D1387" s="2"/>
      <c r="E1387" s="2"/>
      <c r="F1387" s="2"/>
      <c r="G1387" s="2"/>
      <c r="H1387" s="2"/>
      <c r="I1387" s="5"/>
    </row>
    <row r="1388" spans="1:9" ht="17.399999999999999" x14ac:dyDescent="0.25">
      <c r="A1388" s="16"/>
      <c r="B1388" s="17"/>
      <c r="C1388" s="2"/>
      <c r="D1388" s="2"/>
      <c r="E1388" s="2"/>
      <c r="F1388" s="2"/>
      <c r="G1388" s="2"/>
      <c r="H1388" s="2"/>
      <c r="I1388" s="5"/>
    </row>
    <row r="1389" spans="1:9" ht="17.399999999999999" x14ac:dyDescent="0.25">
      <c r="A1389" s="16"/>
      <c r="B1389" s="17"/>
      <c r="C1389" s="2"/>
      <c r="D1389" s="2"/>
      <c r="E1389" s="2"/>
      <c r="F1389" s="2"/>
      <c r="G1389" s="2"/>
      <c r="H1389" s="2"/>
      <c r="I1389" s="5"/>
    </row>
    <row r="1390" spans="1:9" ht="17.399999999999999" x14ac:dyDescent="0.25">
      <c r="A1390" s="16"/>
      <c r="B1390" s="17"/>
      <c r="C1390" s="2"/>
      <c r="D1390" s="2"/>
      <c r="E1390" s="2"/>
      <c r="F1390" s="2"/>
      <c r="G1390" s="2"/>
      <c r="H1390" s="2"/>
      <c r="I1390" s="5"/>
    </row>
    <row r="1391" spans="1:9" ht="17.399999999999999" x14ac:dyDescent="0.25">
      <c r="A1391" s="16"/>
      <c r="B1391" s="17"/>
      <c r="C1391" s="2"/>
      <c r="D1391" s="2"/>
      <c r="E1391" s="2"/>
      <c r="F1391" s="2"/>
      <c r="G1391" s="2"/>
      <c r="H1391" s="2"/>
      <c r="I1391" s="5"/>
    </row>
    <row r="1392" spans="1:9" ht="17.399999999999999" x14ac:dyDescent="0.25">
      <c r="A1392" s="16"/>
      <c r="B1392" s="17"/>
      <c r="C1392" s="2"/>
      <c r="D1392" s="2"/>
      <c r="E1392" s="2"/>
      <c r="F1392" s="2"/>
      <c r="G1392" s="2"/>
      <c r="H1392" s="2"/>
      <c r="I1392" s="5"/>
    </row>
    <row r="1393" spans="1:9" ht="17.399999999999999" x14ac:dyDescent="0.25">
      <c r="A1393" s="16"/>
      <c r="B1393" s="17"/>
      <c r="C1393" s="2"/>
      <c r="D1393" s="2"/>
      <c r="E1393" s="2"/>
      <c r="F1393" s="2"/>
      <c r="G1393" s="2"/>
      <c r="H1393" s="2"/>
      <c r="I1393" s="5"/>
    </row>
    <row r="1394" spans="1:9" ht="17.399999999999999" x14ac:dyDescent="0.25">
      <c r="A1394" s="16"/>
      <c r="B1394" s="17"/>
      <c r="C1394" s="2"/>
      <c r="D1394" s="2"/>
      <c r="E1394" s="2"/>
      <c r="F1394" s="2"/>
      <c r="G1394" s="2"/>
      <c r="H1394" s="2"/>
      <c r="I1394" s="5"/>
    </row>
    <row r="1395" spans="1:9" ht="17.399999999999999" x14ac:dyDescent="0.25">
      <c r="A1395" s="16"/>
      <c r="B1395" s="17"/>
      <c r="C1395" s="2"/>
      <c r="D1395" s="2"/>
      <c r="E1395" s="2"/>
      <c r="F1395" s="2"/>
      <c r="G1395" s="2"/>
      <c r="H1395" s="2"/>
      <c r="I1395" s="5"/>
    </row>
    <row r="1396" spans="1:9" ht="17.399999999999999" x14ac:dyDescent="0.25">
      <c r="A1396" s="16"/>
      <c r="B1396" s="17"/>
      <c r="C1396" s="2"/>
      <c r="D1396" s="2"/>
      <c r="E1396" s="2"/>
      <c r="F1396" s="2"/>
      <c r="G1396" s="2"/>
      <c r="H1396" s="2"/>
      <c r="I1396" s="5"/>
    </row>
    <row r="1397" spans="1:9" ht="17.399999999999999" x14ac:dyDescent="0.25">
      <c r="A1397" s="16"/>
      <c r="B1397" s="17"/>
      <c r="C1397" s="2"/>
      <c r="D1397" s="2"/>
      <c r="E1397" s="2"/>
      <c r="F1397" s="2"/>
      <c r="G1397" s="2"/>
      <c r="H1397" s="2"/>
      <c r="I1397" s="5"/>
    </row>
    <row r="1398" spans="1:9" ht="17.399999999999999" x14ac:dyDescent="0.25">
      <c r="A1398" s="16"/>
      <c r="B1398" s="17"/>
      <c r="C1398" s="2"/>
      <c r="D1398" s="2"/>
      <c r="E1398" s="2"/>
      <c r="F1398" s="2"/>
      <c r="G1398" s="2"/>
      <c r="H1398" s="2"/>
      <c r="I1398" s="5"/>
    </row>
    <row r="1399" spans="1:9" ht="17.399999999999999" x14ac:dyDescent="0.25">
      <c r="A1399" s="16"/>
      <c r="B1399" s="17"/>
      <c r="C1399" s="2"/>
      <c r="D1399" s="2"/>
      <c r="E1399" s="2"/>
      <c r="F1399" s="2"/>
      <c r="G1399" s="2"/>
      <c r="H1399" s="2"/>
      <c r="I1399" s="5"/>
    </row>
    <row r="1400" spans="1:9" ht="17.399999999999999" x14ac:dyDescent="0.25">
      <c r="A1400" s="16"/>
      <c r="B1400" s="17"/>
      <c r="C1400" s="2"/>
      <c r="D1400" s="2"/>
      <c r="E1400" s="2"/>
      <c r="F1400" s="2"/>
      <c r="G1400" s="2"/>
      <c r="H1400" s="2"/>
      <c r="I1400" s="5"/>
    </row>
    <row r="1401" spans="1:9" ht="17.399999999999999" x14ac:dyDescent="0.25">
      <c r="A1401" s="16"/>
      <c r="B1401" s="17"/>
      <c r="C1401" s="2"/>
      <c r="D1401" s="2"/>
      <c r="E1401" s="2"/>
      <c r="F1401" s="2"/>
      <c r="G1401" s="2"/>
      <c r="H1401" s="2"/>
      <c r="I1401" s="5"/>
    </row>
    <row r="1402" spans="1:9" ht="17.399999999999999" x14ac:dyDescent="0.25">
      <c r="A1402" s="16"/>
      <c r="B1402" s="17"/>
      <c r="C1402" s="2"/>
      <c r="D1402" s="2"/>
      <c r="E1402" s="2"/>
      <c r="F1402" s="2"/>
      <c r="G1402" s="2"/>
      <c r="H1402" s="2"/>
      <c r="I1402" s="5"/>
    </row>
    <row r="1403" spans="1:9" ht="17.399999999999999" x14ac:dyDescent="0.25">
      <c r="A1403" s="16"/>
      <c r="B1403" s="17"/>
      <c r="C1403" s="2"/>
      <c r="D1403" s="2"/>
      <c r="E1403" s="2"/>
      <c r="F1403" s="2"/>
      <c r="G1403" s="2"/>
      <c r="H1403" s="2"/>
      <c r="I1403" s="5"/>
    </row>
    <row r="1404" spans="1:9" ht="17.399999999999999" x14ac:dyDescent="0.25">
      <c r="A1404" s="16"/>
      <c r="B1404" s="17"/>
      <c r="C1404" s="2"/>
      <c r="D1404" s="2"/>
      <c r="E1404" s="2"/>
      <c r="F1404" s="2"/>
      <c r="G1404" s="2"/>
      <c r="H1404" s="2"/>
      <c r="I1404" s="5"/>
    </row>
    <row r="1405" spans="1:9" ht="17.399999999999999" x14ac:dyDescent="0.25">
      <c r="A1405" s="16"/>
      <c r="B1405" s="17"/>
      <c r="C1405" s="2"/>
      <c r="D1405" s="2"/>
      <c r="E1405" s="2"/>
      <c r="F1405" s="2"/>
      <c r="G1405" s="2"/>
      <c r="H1405" s="2"/>
      <c r="I1405" s="5"/>
    </row>
    <row r="1406" spans="1:9" ht="17.399999999999999" x14ac:dyDescent="0.25">
      <c r="A1406" s="16"/>
      <c r="B1406" s="17"/>
      <c r="C1406" s="2"/>
      <c r="D1406" s="2"/>
      <c r="E1406" s="2"/>
      <c r="F1406" s="2"/>
      <c r="G1406" s="2"/>
      <c r="H1406" s="2"/>
      <c r="I1406" s="5"/>
    </row>
    <row r="1407" spans="1:9" ht="17.399999999999999" x14ac:dyDescent="0.25">
      <c r="A1407" s="16"/>
      <c r="B1407" s="17"/>
      <c r="C1407" s="2"/>
      <c r="D1407" s="2"/>
      <c r="E1407" s="2"/>
      <c r="F1407" s="2"/>
      <c r="G1407" s="2"/>
      <c r="H1407" s="2"/>
      <c r="I1407" s="5"/>
    </row>
    <row r="1408" spans="1:9" ht="17.399999999999999" x14ac:dyDescent="0.25">
      <c r="A1408" s="16"/>
      <c r="B1408" s="17"/>
      <c r="C1408" s="2"/>
      <c r="D1408" s="2"/>
      <c r="E1408" s="2"/>
      <c r="F1408" s="2"/>
      <c r="G1408" s="2"/>
      <c r="H1408" s="2"/>
      <c r="I1408" s="5"/>
    </row>
    <row r="1409" spans="1:9" ht="17.399999999999999" x14ac:dyDescent="0.25">
      <c r="A1409" s="16"/>
      <c r="B1409" s="17"/>
      <c r="C1409" s="2"/>
      <c r="D1409" s="2"/>
      <c r="E1409" s="2"/>
      <c r="F1409" s="2"/>
      <c r="G1409" s="2"/>
      <c r="H1409" s="2"/>
      <c r="I1409" s="5"/>
    </row>
    <row r="1410" spans="1:9" ht="17.399999999999999" x14ac:dyDescent="0.25">
      <c r="A1410" s="16"/>
      <c r="B1410" s="17"/>
      <c r="C1410" s="2"/>
      <c r="D1410" s="2"/>
      <c r="E1410" s="2"/>
      <c r="F1410" s="2"/>
      <c r="G1410" s="2"/>
      <c r="H1410" s="2"/>
      <c r="I1410" s="5"/>
    </row>
    <row r="1411" spans="1:9" ht="17.399999999999999" x14ac:dyDescent="0.25">
      <c r="A1411" s="16"/>
      <c r="B1411" s="17"/>
      <c r="C1411" s="2"/>
      <c r="D1411" s="2"/>
      <c r="E1411" s="2"/>
      <c r="F1411" s="2"/>
      <c r="G1411" s="2"/>
      <c r="H1411" s="2"/>
      <c r="I1411" s="5"/>
    </row>
    <row r="1412" spans="1:9" ht="17.399999999999999" x14ac:dyDescent="0.25">
      <c r="A1412" s="16"/>
      <c r="B1412" s="17"/>
      <c r="C1412" s="2"/>
      <c r="D1412" s="2"/>
      <c r="E1412" s="2"/>
      <c r="F1412" s="2"/>
      <c r="G1412" s="2"/>
      <c r="H1412" s="2"/>
      <c r="I1412" s="5"/>
    </row>
    <row r="1413" spans="1:9" ht="17.399999999999999" x14ac:dyDescent="0.25">
      <c r="A1413" s="16"/>
      <c r="B1413" s="17"/>
      <c r="C1413" s="2"/>
      <c r="D1413" s="2"/>
      <c r="E1413" s="2"/>
      <c r="F1413" s="2"/>
      <c r="G1413" s="2"/>
      <c r="H1413" s="2"/>
      <c r="I1413" s="5"/>
    </row>
    <row r="1414" spans="1:9" ht="17.399999999999999" x14ac:dyDescent="0.25">
      <c r="A1414" s="16"/>
      <c r="B1414" s="17"/>
      <c r="C1414" s="2"/>
      <c r="D1414" s="2"/>
      <c r="E1414" s="2"/>
      <c r="F1414" s="2"/>
      <c r="G1414" s="2"/>
      <c r="H1414" s="2"/>
      <c r="I1414" s="5"/>
    </row>
    <row r="1415" spans="1:9" ht="17.399999999999999" x14ac:dyDescent="0.25">
      <c r="A1415" s="16"/>
      <c r="B1415" s="17"/>
      <c r="C1415" s="2"/>
      <c r="D1415" s="2"/>
      <c r="E1415" s="2"/>
      <c r="F1415" s="2"/>
      <c r="G1415" s="2"/>
      <c r="H1415" s="2"/>
      <c r="I1415" s="5"/>
    </row>
    <row r="1416" spans="1:9" ht="17.399999999999999" x14ac:dyDescent="0.25">
      <c r="A1416" s="16"/>
      <c r="B1416" s="17"/>
      <c r="C1416" s="2"/>
      <c r="D1416" s="2"/>
      <c r="E1416" s="2"/>
      <c r="F1416" s="2"/>
      <c r="G1416" s="2"/>
      <c r="H1416" s="2"/>
      <c r="I1416" s="5"/>
    </row>
    <row r="1417" spans="1:9" ht="17.399999999999999" x14ac:dyDescent="0.25">
      <c r="A1417" s="16"/>
      <c r="B1417" s="17"/>
      <c r="C1417" s="2"/>
      <c r="D1417" s="2"/>
      <c r="E1417" s="2"/>
      <c r="F1417" s="2"/>
      <c r="G1417" s="2"/>
      <c r="H1417" s="2"/>
      <c r="I1417" s="5"/>
    </row>
    <row r="1418" spans="1:9" ht="17.399999999999999" x14ac:dyDescent="0.25">
      <c r="A1418" s="16"/>
      <c r="B1418" s="17"/>
      <c r="C1418" s="2"/>
      <c r="D1418" s="2"/>
      <c r="E1418" s="2"/>
      <c r="F1418" s="2"/>
      <c r="G1418" s="2"/>
      <c r="H1418" s="2"/>
      <c r="I1418" s="5"/>
    </row>
    <row r="1419" spans="1:9" ht="17.399999999999999" x14ac:dyDescent="0.25">
      <c r="A1419" s="16"/>
      <c r="B1419" s="17"/>
      <c r="C1419" s="2"/>
      <c r="D1419" s="2"/>
      <c r="E1419" s="2"/>
      <c r="F1419" s="2"/>
      <c r="G1419" s="2"/>
      <c r="H1419" s="2"/>
      <c r="I1419" s="5"/>
    </row>
    <row r="1420" spans="1:9" ht="17.399999999999999" x14ac:dyDescent="0.25">
      <c r="A1420" s="16"/>
      <c r="B1420" s="17"/>
      <c r="C1420" s="2"/>
      <c r="D1420" s="2"/>
      <c r="E1420" s="2"/>
      <c r="F1420" s="2"/>
      <c r="G1420" s="2"/>
      <c r="H1420" s="2"/>
      <c r="I1420" s="5"/>
    </row>
    <row r="1421" spans="1:9" ht="17.399999999999999" x14ac:dyDescent="0.25">
      <c r="A1421" s="16"/>
      <c r="B1421" s="17"/>
      <c r="C1421" s="2"/>
      <c r="D1421" s="2"/>
      <c r="E1421" s="2"/>
      <c r="F1421" s="2"/>
      <c r="G1421" s="2"/>
      <c r="H1421" s="2"/>
      <c r="I1421" s="5"/>
    </row>
    <row r="1422" spans="1:9" ht="17.399999999999999" x14ac:dyDescent="0.25">
      <c r="A1422" s="16"/>
      <c r="B1422" s="17"/>
      <c r="C1422" s="2"/>
      <c r="D1422" s="2"/>
      <c r="E1422" s="2"/>
      <c r="F1422" s="2"/>
      <c r="G1422" s="2"/>
      <c r="H1422" s="2"/>
      <c r="I1422" s="5"/>
    </row>
    <row r="1423" spans="1:9" ht="17.399999999999999" x14ac:dyDescent="0.25">
      <c r="A1423" s="16"/>
      <c r="B1423" s="17"/>
      <c r="C1423" s="2"/>
      <c r="D1423" s="2"/>
      <c r="E1423" s="2"/>
      <c r="F1423" s="2"/>
      <c r="G1423" s="2"/>
      <c r="H1423" s="2"/>
      <c r="I1423" s="5"/>
    </row>
    <row r="1424" spans="1:9" ht="17.399999999999999" x14ac:dyDescent="0.25">
      <c r="A1424" s="16"/>
      <c r="B1424" s="17"/>
      <c r="C1424" s="2"/>
      <c r="D1424" s="2"/>
      <c r="E1424" s="2"/>
      <c r="F1424" s="2"/>
      <c r="G1424" s="2"/>
      <c r="H1424" s="2"/>
      <c r="I1424" s="5"/>
    </row>
    <row r="1425" spans="1:9" ht="17.399999999999999" x14ac:dyDescent="0.25">
      <c r="A1425" s="16"/>
      <c r="B1425" s="17"/>
      <c r="C1425" s="2"/>
      <c r="D1425" s="2"/>
      <c r="E1425" s="2"/>
      <c r="F1425" s="2"/>
      <c r="G1425" s="2"/>
      <c r="H1425" s="2"/>
      <c r="I1425" s="5"/>
    </row>
    <row r="1426" spans="1:9" ht="17.399999999999999" x14ac:dyDescent="0.25">
      <c r="A1426" s="16"/>
      <c r="B1426" s="17"/>
      <c r="C1426" s="2"/>
      <c r="D1426" s="2"/>
      <c r="E1426" s="2"/>
      <c r="F1426" s="2"/>
      <c r="G1426" s="2"/>
      <c r="H1426" s="2"/>
      <c r="I1426" s="5"/>
    </row>
    <row r="1427" spans="1:9" ht="17.399999999999999" x14ac:dyDescent="0.25">
      <c r="A1427" s="16"/>
      <c r="B1427" s="17"/>
      <c r="C1427" s="2"/>
      <c r="D1427" s="2"/>
      <c r="E1427" s="2"/>
      <c r="F1427" s="2"/>
      <c r="G1427" s="2"/>
      <c r="H1427" s="2"/>
      <c r="I1427" s="5"/>
    </row>
    <row r="1428" spans="1:9" ht="17.399999999999999" x14ac:dyDescent="0.25">
      <c r="A1428" s="16"/>
      <c r="B1428" s="17"/>
      <c r="C1428" s="2"/>
      <c r="D1428" s="2"/>
      <c r="E1428" s="2"/>
      <c r="F1428" s="2"/>
      <c r="G1428" s="2"/>
      <c r="H1428" s="2"/>
      <c r="I1428" s="5"/>
    </row>
    <row r="1429" spans="1:9" ht="17.399999999999999" x14ac:dyDescent="0.25">
      <c r="A1429" s="16"/>
      <c r="B1429" s="17"/>
      <c r="C1429" s="2"/>
      <c r="D1429" s="2"/>
      <c r="E1429" s="2"/>
      <c r="F1429" s="2"/>
      <c r="G1429" s="2"/>
      <c r="H1429" s="2"/>
      <c r="I1429" s="5"/>
    </row>
    <row r="1430" spans="1:9" ht="17.399999999999999" x14ac:dyDescent="0.25">
      <c r="A1430" s="16"/>
      <c r="B1430" s="17"/>
      <c r="C1430" s="2"/>
      <c r="D1430" s="2"/>
      <c r="E1430" s="2"/>
      <c r="F1430" s="2"/>
      <c r="G1430" s="2"/>
      <c r="H1430" s="2"/>
      <c r="I1430" s="5"/>
    </row>
    <row r="1431" spans="1:9" ht="17.399999999999999" x14ac:dyDescent="0.25">
      <c r="A1431" s="16"/>
      <c r="B1431" s="17"/>
      <c r="C1431" s="2"/>
      <c r="D1431" s="2"/>
      <c r="E1431" s="2"/>
      <c r="F1431" s="2"/>
      <c r="G1431" s="2"/>
      <c r="H1431" s="2"/>
      <c r="I1431" s="5"/>
    </row>
    <row r="1432" spans="1:9" ht="17.399999999999999" x14ac:dyDescent="0.25">
      <c r="A1432" s="16"/>
      <c r="B1432" s="17"/>
      <c r="C1432" s="2"/>
      <c r="D1432" s="2"/>
      <c r="E1432" s="2"/>
      <c r="F1432" s="2"/>
      <c r="G1432" s="2"/>
      <c r="H1432" s="2"/>
      <c r="I1432" s="5"/>
    </row>
    <row r="1433" spans="1:9" ht="17.399999999999999" x14ac:dyDescent="0.25">
      <c r="A1433" s="16"/>
      <c r="B1433" s="17"/>
      <c r="C1433" s="2"/>
      <c r="D1433" s="2"/>
      <c r="E1433" s="2"/>
      <c r="F1433" s="2"/>
      <c r="G1433" s="2"/>
      <c r="H1433" s="2"/>
      <c r="I1433" s="5"/>
    </row>
    <row r="1434" spans="1:9" ht="17.399999999999999" x14ac:dyDescent="0.25">
      <c r="A1434" s="16"/>
      <c r="B1434" s="17"/>
      <c r="C1434" s="2"/>
      <c r="D1434" s="2"/>
      <c r="E1434" s="2"/>
      <c r="F1434" s="2"/>
      <c r="G1434" s="2"/>
      <c r="H1434" s="2"/>
      <c r="I1434" s="5"/>
    </row>
    <row r="1435" spans="1:9" ht="17.399999999999999" x14ac:dyDescent="0.25">
      <c r="A1435" s="16"/>
      <c r="B1435" s="17"/>
      <c r="C1435" s="2"/>
      <c r="D1435" s="2"/>
      <c r="E1435" s="2"/>
      <c r="F1435" s="2"/>
      <c r="G1435" s="2"/>
      <c r="H1435" s="2"/>
      <c r="I1435" s="5"/>
    </row>
    <row r="1436" spans="1:9" ht="17.399999999999999" x14ac:dyDescent="0.25">
      <c r="A1436" s="16"/>
      <c r="B1436" s="17"/>
      <c r="C1436" s="2"/>
      <c r="D1436" s="2"/>
      <c r="E1436" s="2"/>
      <c r="F1436" s="2"/>
      <c r="G1436" s="2"/>
      <c r="H1436" s="2"/>
      <c r="I1436" s="5"/>
    </row>
    <row r="1437" spans="1:9" ht="17.399999999999999" x14ac:dyDescent="0.25">
      <c r="A1437" s="16"/>
      <c r="B1437" s="17"/>
      <c r="C1437" s="2"/>
      <c r="D1437" s="2"/>
      <c r="E1437" s="2"/>
      <c r="F1437" s="2"/>
      <c r="G1437" s="2"/>
      <c r="H1437" s="2"/>
      <c r="I1437" s="5"/>
    </row>
    <row r="1438" spans="1:9" ht="17.399999999999999" x14ac:dyDescent="0.25">
      <c r="A1438" s="16"/>
      <c r="B1438" s="17"/>
      <c r="C1438" s="2"/>
      <c r="D1438" s="2"/>
      <c r="E1438" s="2"/>
      <c r="F1438" s="2"/>
      <c r="G1438" s="2"/>
      <c r="H1438" s="2"/>
      <c r="I1438" s="5"/>
    </row>
    <row r="1439" spans="1:9" ht="17.399999999999999" x14ac:dyDescent="0.25">
      <c r="A1439" s="16"/>
      <c r="B1439" s="17"/>
      <c r="C1439" s="2"/>
      <c r="D1439" s="2"/>
      <c r="E1439" s="2"/>
      <c r="F1439" s="2"/>
      <c r="G1439" s="2"/>
      <c r="H1439" s="2"/>
      <c r="I1439" s="5"/>
    </row>
    <row r="1440" spans="1:9" ht="17.399999999999999" x14ac:dyDescent="0.25">
      <c r="A1440" s="16"/>
      <c r="B1440" s="17"/>
      <c r="C1440" s="2"/>
      <c r="D1440" s="2"/>
      <c r="E1440" s="2"/>
      <c r="F1440" s="2"/>
      <c r="G1440" s="2"/>
      <c r="H1440" s="2"/>
      <c r="I1440" s="5"/>
    </row>
    <row r="1441" spans="1:9" ht="17.399999999999999" x14ac:dyDescent="0.25">
      <c r="A1441" s="16"/>
      <c r="B1441" s="17"/>
      <c r="C1441" s="2"/>
      <c r="D1441" s="2"/>
      <c r="E1441" s="2"/>
      <c r="F1441" s="2"/>
      <c r="G1441" s="2"/>
      <c r="H1441" s="2"/>
      <c r="I1441" s="5"/>
    </row>
    <row r="1442" spans="1:9" ht="17.399999999999999" x14ac:dyDescent="0.25">
      <c r="A1442" s="16"/>
      <c r="B1442" s="17"/>
      <c r="C1442" s="2"/>
      <c r="D1442" s="2"/>
      <c r="E1442" s="2"/>
      <c r="F1442" s="2"/>
      <c r="G1442" s="2"/>
      <c r="H1442" s="2"/>
      <c r="I1442" s="5"/>
    </row>
    <row r="1443" spans="1:9" ht="17.399999999999999" x14ac:dyDescent="0.25">
      <c r="A1443" s="16"/>
      <c r="B1443" s="17"/>
      <c r="C1443" s="2"/>
      <c r="D1443" s="2"/>
      <c r="E1443" s="2"/>
      <c r="F1443" s="2"/>
      <c r="G1443" s="2"/>
      <c r="H1443" s="2"/>
      <c r="I1443" s="5"/>
    </row>
    <row r="1444" spans="1:9" ht="17.399999999999999" x14ac:dyDescent="0.25">
      <c r="A1444" s="16"/>
      <c r="B1444" s="17"/>
      <c r="C1444" s="2"/>
      <c r="D1444" s="2"/>
      <c r="E1444" s="2"/>
      <c r="F1444" s="2"/>
      <c r="G1444" s="2"/>
      <c r="H1444" s="2"/>
      <c r="I1444" s="5"/>
    </row>
    <row r="1445" spans="1:9" ht="17.399999999999999" x14ac:dyDescent="0.25">
      <c r="A1445" s="16"/>
      <c r="B1445" s="17"/>
      <c r="C1445" s="2"/>
      <c r="D1445" s="2"/>
      <c r="E1445" s="2"/>
      <c r="F1445" s="2"/>
      <c r="G1445" s="2"/>
      <c r="H1445" s="2"/>
      <c r="I1445" s="5"/>
    </row>
    <row r="1446" spans="1:9" ht="17.399999999999999" x14ac:dyDescent="0.25">
      <c r="A1446" s="16"/>
      <c r="B1446" s="17"/>
      <c r="C1446" s="2"/>
      <c r="D1446" s="2"/>
      <c r="E1446" s="2"/>
      <c r="F1446" s="2"/>
      <c r="G1446" s="2"/>
      <c r="H1446" s="2"/>
      <c r="I1446" s="5"/>
    </row>
    <row r="1447" spans="1:9" ht="17.399999999999999" x14ac:dyDescent="0.25">
      <c r="A1447" s="16"/>
      <c r="B1447" s="17"/>
      <c r="C1447" s="2"/>
      <c r="D1447" s="2"/>
      <c r="E1447" s="2"/>
      <c r="F1447" s="2"/>
      <c r="G1447" s="2"/>
      <c r="H1447" s="2"/>
      <c r="I1447" s="5"/>
    </row>
    <row r="1448" spans="1:9" ht="17.399999999999999" x14ac:dyDescent="0.25">
      <c r="A1448" s="16"/>
      <c r="B1448" s="17"/>
      <c r="C1448" s="2"/>
      <c r="D1448" s="2"/>
      <c r="E1448" s="2"/>
      <c r="F1448" s="2"/>
      <c r="G1448" s="2"/>
      <c r="H1448" s="2"/>
      <c r="I1448" s="5"/>
    </row>
    <row r="1449" spans="1:9" ht="17.399999999999999" x14ac:dyDescent="0.25">
      <c r="A1449" s="16"/>
      <c r="B1449" s="17"/>
      <c r="C1449" s="2"/>
      <c r="D1449" s="2"/>
      <c r="E1449" s="2"/>
      <c r="F1449" s="2"/>
      <c r="G1449" s="2"/>
      <c r="H1449" s="2"/>
      <c r="I1449" s="5"/>
    </row>
    <row r="1450" spans="1:9" ht="17.399999999999999" x14ac:dyDescent="0.25">
      <c r="A1450" s="16"/>
      <c r="B1450" s="17"/>
      <c r="C1450" s="2"/>
      <c r="D1450" s="2"/>
      <c r="E1450" s="2"/>
      <c r="F1450" s="2"/>
      <c r="G1450" s="2"/>
      <c r="H1450" s="2"/>
      <c r="I1450" s="5"/>
    </row>
    <row r="1451" spans="1:9" ht="17.399999999999999" x14ac:dyDescent="0.25">
      <c r="A1451" s="16"/>
      <c r="B1451" s="17"/>
      <c r="C1451" s="2"/>
      <c r="D1451" s="2"/>
      <c r="E1451" s="2"/>
      <c r="F1451" s="2"/>
      <c r="G1451" s="2"/>
      <c r="H1451" s="2"/>
      <c r="I1451" s="5"/>
    </row>
    <row r="1452" spans="1:9" ht="17.399999999999999" x14ac:dyDescent="0.25">
      <c r="A1452" s="16"/>
      <c r="B1452" s="17"/>
      <c r="C1452" s="2"/>
      <c r="D1452" s="2"/>
      <c r="E1452" s="2"/>
      <c r="F1452" s="2"/>
      <c r="G1452" s="2"/>
      <c r="H1452" s="2"/>
      <c r="I1452" s="5"/>
    </row>
    <row r="1453" spans="1:9" ht="17.399999999999999" x14ac:dyDescent="0.25">
      <c r="A1453" s="16"/>
      <c r="B1453" s="17"/>
      <c r="C1453" s="2"/>
      <c r="D1453" s="2"/>
      <c r="E1453" s="2"/>
      <c r="F1453" s="2"/>
      <c r="G1453" s="2"/>
      <c r="H1453" s="2"/>
      <c r="I1453" s="5"/>
    </row>
    <row r="1454" spans="1:9" ht="17.399999999999999" x14ac:dyDescent="0.25">
      <c r="A1454" s="16"/>
      <c r="B1454" s="17"/>
      <c r="C1454" s="2"/>
      <c r="D1454" s="2"/>
      <c r="E1454" s="2"/>
      <c r="F1454" s="2"/>
      <c r="G1454" s="2"/>
      <c r="H1454" s="2"/>
      <c r="I1454" s="5"/>
    </row>
    <row r="1455" spans="1:9" ht="17.399999999999999" x14ac:dyDescent="0.25">
      <c r="A1455" s="16"/>
      <c r="B1455" s="17"/>
      <c r="C1455" s="2"/>
      <c r="D1455" s="2"/>
      <c r="E1455" s="2"/>
      <c r="F1455" s="2"/>
      <c r="G1455" s="2"/>
      <c r="H1455" s="2"/>
      <c r="I1455" s="5"/>
    </row>
    <row r="1456" spans="1:9" ht="17.399999999999999" x14ac:dyDescent="0.25">
      <c r="A1456" s="16"/>
      <c r="B1456" s="17"/>
      <c r="C1456" s="2"/>
      <c r="D1456" s="2"/>
      <c r="E1456" s="2"/>
      <c r="F1456" s="2"/>
      <c r="G1456" s="2"/>
      <c r="H1456" s="2"/>
      <c r="I1456" s="5"/>
    </row>
    <row r="1457" spans="1:9" ht="17.399999999999999" x14ac:dyDescent="0.25">
      <c r="A1457" s="16"/>
      <c r="B1457" s="17"/>
      <c r="C1457" s="2"/>
      <c r="D1457" s="2"/>
      <c r="E1457" s="2"/>
      <c r="F1457" s="2"/>
      <c r="G1457" s="2"/>
      <c r="H1457" s="2"/>
      <c r="I1457" s="5"/>
    </row>
    <row r="1458" spans="1:9" ht="17.399999999999999" x14ac:dyDescent="0.25">
      <c r="A1458" s="16"/>
      <c r="B1458" s="17"/>
      <c r="C1458" s="2"/>
      <c r="D1458" s="2"/>
      <c r="E1458" s="2"/>
      <c r="F1458" s="2"/>
      <c r="G1458" s="2"/>
      <c r="H1458" s="2"/>
      <c r="I1458" s="5"/>
    </row>
    <row r="1459" spans="1:9" ht="17.399999999999999" x14ac:dyDescent="0.25">
      <c r="A1459" s="16"/>
      <c r="B1459" s="17"/>
      <c r="C1459" s="2"/>
      <c r="D1459" s="2"/>
      <c r="E1459" s="2"/>
      <c r="F1459" s="2"/>
      <c r="G1459" s="2"/>
      <c r="H1459" s="2"/>
      <c r="I1459" s="5"/>
    </row>
    <row r="1460" spans="1:9" ht="17.399999999999999" x14ac:dyDescent="0.25">
      <c r="A1460" s="16"/>
      <c r="B1460" s="17"/>
      <c r="C1460" s="2"/>
      <c r="D1460" s="2"/>
      <c r="E1460" s="2"/>
      <c r="F1460" s="2"/>
      <c r="G1460" s="2"/>
      <c r="H1460" s="2"/>
      <c r="I1460" s="5"/>
    </row>
    <row r="1461" spans="1:9" ht="17.399999999999999" x14ac:dyDescent="0.25">
      <c r="A1461" s="16"/>
      <c r="B1461" s="17"/>
      <c r="C1461" s="2"/>
      <c r="D1461" s="2"/>
      <c r="E1461" s="2"/>
      <c r="F1461" s="2"/>
      <c r="G1461" s="2"/>
      <c r="H1461" s="2"/>
      <c r="I1461" s="5"/>
    </row>
    <row r="1462" spans="1:9" ht="17.399999999999999" x14ac:dyDescent="0.25">
      <c r="A1462" s="16"/>
      <c r="B1462" s="17"/>
      <c r="C1462" s="2"/>
      <c r="D1462" s="2"/>
      <c r="E1462" s="2"/>
      <c r="F1462" s="2"/>
      <c r="G1462" s="2"/>
      <c r="H1462" s="2"/>
      <c r="I1462" s="5"/>
    </row>
    <row r="1463" spans="1:9" ht="17.399999999999999" x14ac:dyDescent="0.25">
      <c r="A1463" s="16"/>
      <c r="B1463" s="17"/>
      <c r="C1463" s="2"/>
      <c r="D1463" s="2"/>
      <c r="E1463" s="2"/>
      <c r="F1463" s="2"/>
      <c r="G1463" s="2"/>
      <c r="H1463" s="2"/>
      <c r="I1463" s="5"/>
    </row>
    <row r="1464" spans="1:9" ht="17.399999999999999" x14ac:dyDescent="0.25">
      <c r="A1464" s="16"/>
      <c r="B1464" s="17"/>
      <c r="C1464" s="2"/>
      <c r="D1464" s="2"/>
      <c r="E1464" s="2"/>
      <c r="F1464" s="2"/>
      <c r="G1464" s="2"/>
      <c r="H1464" s="2"/>
      <c r="I1464" s="5"/>
    </row>
    <row r="1465" spans="1:9" ht="17.399999999999999" x14ac:dyDescent="0.25">
      <c r="A1465" s="16"/>
      <c r="B1465" s="17"/>
      <c r="C1465" s="2"/>
      <c r="D1465" s="2"/>
      <c r="E1465" s="2"/>
      <c r="F1465" s="2"/>
      <c r="G1465" s="2"/>
      <c r="H1465" s="2"/>
      <c r="I1465" s="5"/>
    </row>
    <row r="1466" spans="1:9" ht="17.399999999999999" x14ac:dyDescent="0.25">
      <c r="A1466" s="16"/>
      <c r="B1466" s="17"/>
      <c r="C1466" s="2"/>
      <c r="D1466" s="2"/>
      <c r="E1466" s="2"/>
      <c r="F1466" s="2"/>
      <c r="G1466" s="2"/>
      <c r="H1466" s="2"/>
      <c r="I1466" s="5"/>
    </row>
    <row r="1467" spans="1:9" ht="17.399999999999999" x14ac:dyDescent="0.25">
      <c r="A1467" s="16"/>
      <c r="B1467" s="17"/>
      <c r="C1467" s="2"/>
      <c r="D1467" s="2"/>
      <c r="E1467" s="2"/>
      <c r="F1467" s="2"/>
      <c r="G1467" s="2"/>
      <c r="H1467" s="2"/>
      <c r="I1467" s="5"/>
    </row>
    <row r="1468" spans="1:9" ht="17.399999999999999" x14ac:dyDescent="0.25">
      <c r="A1468" s="16"/>
      <c r="B1468" s="17"/>
      <c r="C1468" s="2"/>
      <c r="D1468" s="2"/>
      <c r="E1468" s="2"/>
      <c r="F1468" s="2"/>
      <c r="G1468" s="2"/>
      <c r="H1468" s="2"/>
      <c r="I1468" s="5"/>
    </row>
    <row r="1469" spans="1:9" ht="17.399999999999999" x14ac:dyDescent="0.25">
      <c r="A1469" s="16"/>
      <c r="B1469" s="17"/>
      <c r="C1469" s="2"/>
      <c r="D1469" s="2"/>
      <c r="E1469" s="2"/>
      <c r="F1469" s="2"/>
      <c r="G1469" s="2"/>
      <c r="H1469" s="2"/>
      <c r="I1469" s="5"/>
    </row>
    <row r="1470" spans="1:9" ht="17.399999999999999" x14ac:dyDescent="0.25">
      <c r="A1470" s="16"/>
      <c r="B1470" s="17"/>
      <c r="C1470" s="2"/>
      <c r="D1470" s="2"/>
      <c r="E1470" s="2"/>
      <c r="F1470" s="2"/>
      <c r="G1470" s="2"/>
      <c r="H1470" s="2"/>
      <c r="I1470" s="5"/>
    </row>
    <row r="1471" spans="1:9" ht="17.399999999999999" x14ac:dyDescent="0.25">
      <c r="A1471" s="16"/>
      <c r="B1471" s="17"/>
      <c r="C1471" s="2"/>
      <c r="D1471" s="2"/>
      <c r="E1471" s="2"/>
      <c r="F1471" s="2"/>
      <c r="G1471" s="2"/>
      <c r="H1471" s="2"/>
      <c r="I1471" s="5"/>
    </row>
    <row r="1472" spans="1:9" ht="17.399999999999999" x14ac:dyDescent="0.25">
      <c r="A1472" s="16"/>
      <c r="B1472" s="17"/>
      <c r="C1472" s="2"/>
      <c r="D1472" s="2"/>
      <c r="E1472" s="2"/>
      <c r="F1472" s="2"/>
      <c r="G1472" s="2"/>
      <c r="H1472" s="2"/>
      <c r="I1472" s="5"/>
    </row>
    <row r="1473" spans="1:9" ht="17.399999999999999" x14ac:dyDescent="0.25">
      <c r="A1473" s="16"/>
      <c r="B1473" s="17"/>
      <c r="C1473" s="2"/>
      <c r="D1473" s="2"/>
      <c r="E1473" s="2"/>
      <c r="F1473" s="2"/>
      <c r="G1473" s="2"/>
      <c r="H1473" s="2"/>
      <c r="I1473" s="5"/>
    </row>
    <row r="1474" spans="1:9" ht="17.399999999999999" x14ac:dyDescent="0.25">
      <c r="A1474" s="16"/>
      <c r="B1474" s="17"/>
      <c r="C1474" s="2"/>
      <c r="D1474" s="2"/>
      <c r="E1474" s="2"/>
      <c r="F1474" s="2"/>
      <c r="G1474" s="2"/>
      <c r="H1474" s="2"/>
      <c r="I1474" s="5"/>
    </row>
    <row r="1475" spans="1:9" ht="17.399999999999999" x14ac:dyDescent="0.25">
      <c r="A1475" s="16"/>
      <c r="B1475" s="17"/>
      <c r="C1475" s="2"/>
      <c r="D1475" s="2"/>
      <c r="E1475" s="2"/>
      <c r="F1475" s="2"/>
      <c r="G1475" s="2"/>
      <c r="H1475" s="2"/>
      <c r="I1475" s="5"/>
    </row>
    <row r="1476" spans="1:9" ht="17.399999999999999" x14ac:dyDescent="0.25">
      <c r="A1476" s="16"/>
      <c r="B1476" s="17"/>
      <c r="C1476" s="2"/>
      <c r="D1476" s="2"/>
      <c r="E1476" s="2"/>
      <c r="F1476" s="2"/>
      <c r="G1476" s="2"/>
      <c r="H1476" s="2"/>
      <c r="I1476" s="5"/>
    </row>
    <row r="1477" spans="1:9" ht="17.399999999999999" x14ac:dyDescent="0.25">
      <c r="A1477" s="16"/>
      <c r="B1477" s="17"/>
      <c r="C1477" s="2"/>
      <c r="D1477" s="2"/>
      <c r="E1477" s="2"/>
      <c r="F1477" s="2"/>
      <c r="G1477" s="2"/>
      <c r="H1477" s="2"/>
      <c r="I1477" s="5"/>
    </row>
    <row r="1478" spans="1:9" ht="17.399999999999999" x14ac:dyDescent="0.25">
      <c r="A1478" s="16"/>
      <c r="B1478" s="17"/>
      <c r="C1478" s="2"/>
      <c r="D1478" s="2"/>
      <c r="E1478" s="2"/>
      <c r="F1478" s="2"/>
      <c r="G1478" s="2"/>
      <c r="H1478" s="2"/>
      <c r="I1478" s="5"/>
    </row>
    <row r="1479" spans="1:9" ht="17.399999999999999" x14ac:dyDescent="0.25">
      <c r="A1479" s="16"/>
      <c r="B1479" s="17"/>
      <c r="C1479" s="2"/>
      <c r="D1479" s="2"/>
      <c r="E1479" s="2"/>
      <c r="F1479" s="2"/>
      <c r="G1479" s="2"/>
      <c r="H1479" s="2"/>
      <c r="I1479" s="5"/>
    </row>
    <row r="1480" spans="1:9" ht="17.399999999999999" x14ac:dyDescent="0.25">
      <c r="A1480" s="16"/>
      <c r="B1480" s="17"/>
      <c r="C1480" s="2"/>
      <c r="D1480" s="2"/>
      <c r="E1480" s="2"/>
      <c r="F1480" s="2"/>
      <c r="G1480" s="2"/>
      <c r="H1480" s="2"/>
      <c r="I1480" s="5"/>
    </row>
    <row r="1481" spans="1:9" ht="17.399999999999999" x14ac:dyDescent="0.25">
      <c r="A1481" s="16"/>
      <c r="B1481" s="17"/>
      <c r="C1481" s="2"/>
      <c r="D1481" s="2"/>
      <c r="E1481" s="2"/>
      <c r="F1481" s="2"/>
      <c r="G1481" s="2"/>
      <c r="H1481" s="2"/>
      <c r="I1481" s="5"/>
    </row>
    <row r="1482" spans="1:9" ht="17.399999999999999" x14ac:dyDescent="0.25">
      <c r="A1482" s="16"/>
      <c r="B1482" s="17"/>
      <c r="C1482" s="2"/>
      <c r="D1482" s="2"/>
      <c r="E1482" s="2"/>
      <c r="F1482" s="2"/>
      <c r="G1482" s="2"/>
      <c r="H1482" s="2"/>
      <c r="I1482" s="5"/>
    </row>
    <row r="1483" spans="1:9" ht="17.399999999999999" x14ac:dyDescent="0.25">
      <c r="A1483" s="16"/>
      <c r="B1483" s="17"/>
      <c r="C1483" s="2"/>
      <c r="D1483" s="2"/>
      <c r="E1483" s="2"/>
      <c r="F1483" s="2"/>
      <c r="G1483" s="2"/>
      <c r="H1483" s="2"/>
      <c r="I1483" s="5"/>
    </row>
    <row r="1484" spans="1:9" ht="17.399999999999999" x14ac:dyDescent="0.25">
      <c r="A1484" s="16"/>
      <c r="B1484" s="17"/>
      <c r="C1484" s="2"/>
      <c r="D1484" s="2"/>
      <c r="E1484" s="2"/>
      <c r="F1484" s="2"/>
      <c r="G1484" s="2"/>
      <c r="H1484" s="2"/>
      <c r="I1484" s="5"/>
    </row>
    <row r="1485" spans="1:9" ht="17.399999999999999" x14ac:dyDescent="0.25">
      <c r="A1485" s="16"/>
      <c r="B1485" s="17"/>
      <c r="C1485" s="2"/>
      <c r="D1485" s="2"/>
      <c r="E1485" s="2"/>
      <c r="F1485" s="2"/>
      <c r="G1485" s="2"/>
      <c r="H1485" s="2"/>
      <c r="I1485" s="5"/>
    </row>
    <row r="1486" spans="1:9" ht="17.399999999999999" x14ac:dyDescent="0.25">
      <c r="A1486" s="16"/>
      <c r="B1486" s="17"/>
      <c r="C1486" s="2"/>
      <c r="D1486" s="2"/>
      <c r="E1486" s="2"/>
      <c r="F1486" s="2"/>
      <c r="G1486" s="2"/>
      <c r="H1486" s="2"/>
      <c r="I1486" s="5"/>
    </row>
    <row r="1487" spans="1:9" ht="17.399999999999999" x14ac:dyDescent="0.25">
      <c r="A1487" s="16"/>
      <c r="B1487" s="17"/>
      <c r="C1487" s="2"/>
      <c r="D1487" s="2"/>
      <c r="E1487" s="2"/>
      <c r="F1487" s="2"/>
      <c r="G1487" s="2"/>
      <c r="H1487" s="2"/>
      <c r="I1487" s="5"/>
    </row>
    <row r="1488" spans="1:9" ht="17.399999999999999" x14ac:dyDescent="0.25">
      <c r="A1488" s="16"/>
      <c r="B1488" s="17"/>
      <c r="C1488" s="2"/>
      <c r="D1488" s="2"/>
      <c r="E1488" s="2"/>
      <c r="F1488" s="2"/>
      <c r="G1488" s="2"/>
      <c r="H1488" s="2"/>
      <c r="I1488" s="5"/>
    </row>
    <row r="1489" spans="1:9" ht="17.399999999999999" x14ac:dyDescent="0.25">
      <c r="A1489" s="16"/>
      <c r="B1489" s="17"/>
      <c r="C1489" s="2"/>
      <c r="D1489" s="2"/>
      <c r="E1489" s="2"/>
      <c r="F1489" s="2"/>
      <c r="G1489" s="2"/>
      <c r="H1489" s="2"/>
      <c r="I1489" s="5"/>
    </row>
    <row r="1490" spans="1:9" ht="17.399999999999999" x14ac:dyDescent="0.25">
      <c r="A1490" s="16"/>
      <c r="B1490" s="17"/>
      <c r="C1490" s="2"/>
      <c r="D1490" s="2"/>
      <c r="E1490" s="2"/>
      <c r="F1490" s="2"/>
      <c r="G1490" s="2"/>
      <c r="H1490" s="2"/>
      <c r="I1490" s="5"/>
    </row>
    <row r="1491" spans="1:9" ht="17.399999999999999" x14ac:dyDescent="0.25">
      <c r="A1491" s="16"/>
      <c r="B1491" s="17"/>
      <c r="C1491" s="2"/>
      <c r="D1491" s="2"/>
      <c r="E1491" s="2"/>
      <c r="F1491" s="2"/>
      <c r="G1491" s="2"/>
      <c r="H1491" s="2"/>
      <c r="I1491" s="5"/>
    </row>
    <row r="1492" spans="1:9" ht="17.399999999999999" x14ac:dyDescent="0.25">
      <c r="A1492" s="16"/>
      <c r="B1492" s="17"/>
      <c r="C1492" s="2"/>
      <c r="D1492" s="2"/>
      <c r="E1492" s="2"/>
      <c r="F1492" s="2"/>
      <c r="G1492" s="2"/>
      <c r="H1492" s="2"/>
      <c r="I1492" s="5"/>
    </row>
    <row r="1493" spans="1:9" ht="17.399999999999999" x14ac:dyDescent="0.25">
      <c r="A1493" s="16"/>
      <c r="B1493" s="17"/>
      <c r="C1493" s="2"/>
      <c r="D1493" s="2"/>
      <c r="E1493" s="2"/>
      <c r="F1493" s="2"/>
      <c r="G1493" s="2"/>
      <c r="H1493" s="2"/>
      <c r="I1493" s="5"/>
    </row>
    <row r="1494" spans="1:9" ht="17.399999999999999" x14ac:dyDescent="0.25">
      <c r="A1494" s="16"/>
      <c r="B1494" s="17"/>
      <c r="C1494" s="2"/>
      <c r="D1494" s="2"/>
      <c r="E1494" s="2"/>
      <c r="F1494" s="2"/>
      <c r="G1494" s="2"/>
      <c r="H1494" s="2"/>
      <c r="I1494" s="5"/>
    </row>
    <row r="1495" spans="1:9" ht="17.399999999999999" x14ac:dyDescent="0.25">
      <c r="A1495" s="16"/>
      <c r="B1495" s="17"/>
      <c r="C1495" s="2"/>
      <c r="D1495" s="2"/>
      <c r="E1495" s="2"/>
      <c r="F1495" s="2"/>
      <c r="G1495" s="2"/>
      <c r="H1495" s="2"/>
      <c r="I1495" s="5"/>
    </row>
    <row r="1496" spans="1:9" ht="17.399999999999999" x14ac:dyDescent="0.25">
      <c r="A1496" s="16"/>
      <c r="B1496" s="17"/>
      <c r="C1496" s="2"/>
      <c r="D1496" s="2"/>
      <c r="E1496" s="2"/>
      <c r="F1496" s="2"/>
      <c r="G1496" s="2"/>
      <c r="H1496" s="2"/>
      <c r="I1496" s="5"/>
    </row>
    <row r="1497" spans="1:9" ht="17.399999999999999" x14ac:dyDescent="0.25">
      <c r="A1497" s="16"/>
      <c r="B1497" s="17"/>
      <c r="C1497" s="2"/>
      <c r="D1497" s="2"/>
      <c r="E1497" s="2"/>
      <c r="F1497" s="2"/>
      <c r="G1497" s="2"/>
      <c r="H1497" s="2"/>
      <c r="I1497" s="5"/>
    </row>
    <row r="1498" spans="1:9" ht="17.399999999999999" x14ac:dyDescent="0.25">
      <c r="A1498" s="16"/>
      <c r="B1498" s="17"/>
      <c r="C1498" s="2"/>
      <c r="D1498" s="2"/>
      <c r="E1498" s="2"/>
      <c r="F1498" s="2"/>
      <c r="G1498" s="2"/>
      <c r="H1498" s="2"/>
      <c r="I1498" s="5"/>
    </row>
    <row r="1499" spans="1:9" ht="17.399999999999999" x14ac:dyDescent="0.25">
      <c r="A1499" s="16"/>
      <c r="B1499" s="17"/>
      <c r="C1499" s="2"/>
      <c r="D1499" s="2"/>
      <c r="E1499" s="2"/>
      <c r="F1499" s="2"/>
      <c r="G1499" s="2"/>
      <c r="H1499" s="2"/>
      <c r="I1499" s="5"/>
    </row>
    <row r="1500" spans="1:9" ht="17.399999999999999" x14ac:dyDescent="0.25">
      <c r="A1500" s="16"/>
      <c r="B1500" s="17"/>
      <c r="C1500" s="2"/>
      <c r="D1500" s="2"/>
      <c r="E1500" s="2"/>
      <c r="F1500" s="2"/>
      <c r="G1500" s="2"/>
      <c r="H1500" s="2"/>
      <c r="I1500" s="5"/>
    </row>
    <row r="1501" spans="1:9" ht="17.399999999999999" x14ac:dyDescent="0.25">
      <c r="A1501" s="16"/>
      <c r="B1501" s="17"/>
      <c r="C1501" s="2"/>
      <c r="D1501" s="2"/>
      <c r="E1501" s="2"/>
      <c r="F1501" s="2"/>
      <c r="G1501" s="2"/>
      <c r="H1501" s="2"/>
      <c r="I1501" s="5"/>
    </row>
    <row r="1502" spans="1:9" ht="17.399999999999999" x14ac:dyDescent="0.25">
      <c r="A1502" s="16"/>
      <c r="B1502" s="17"/>
      <c r="C1502" s="2"/>
      <c r="D1502" s="2"/>
      <c r="E1502" s="2"/>
      <c r="F1502" s="2"/>
      <c r="G1502" s="2"/>
      <c r="H1502" s="2"/>
      <c r="I1502" s="5"/>
    </row>
    <row r="1503" spans="1:9" ht="17.399999999999999" x14ac:dyDescent="0.25">
      <c r="A1503" s="16"/>
      <c r="B1503" s="17"/>
      <c r="C1503" s="2"/>
      <c r="D1503" s="2"/>
      <c r="E1503" s="2"/>
      <c r="F1503" s="2"/>
      <c r="G1503" s="2"/>
      <c r="H1503" s="2"/>
      <c r="I1503" s="5"/>
    </row>
    <row r="1504" spans="1:9" ht="17.399999999999999" x14ac:dyDescent="0.25">
      <c r="A1504" s="16"/>
      <c r="B1504" s="17"/>
      <c r="C1504" s="2"/>
      <c r="D1504" s="2"/>
      <c r="E1504" s="2"/>
      <c r="F1504" s="2"/>
      <c r="G1504" s="2"/>
      <c r="H1504" s="2"/>
      <c r="I1504" s="5"/>
    </row>
    <row r="1505" spans="1:9" ht="17.399999999999999" x14ac:dyDescent="0.25">
      <c r="A1505" s="16"/>
      <c r="B1505" s="17"/>
      <c r="C1505" s="2"/>
      <c r="D1505" s="2"/>
      <c r="E1505" s="2"/>
      <c r="F1505" s="2"/>
      <c r="G1505" s="2"/>
      <c r="H1505" s="2"/>
      <c r="I1505" s="5"/>
    </row>
    <row r="1506" spans="1:9" ht="17.399999999999999" x14ac:dyDescent="0.25">
      <c r="A1506" s="16"/>
      <c r="B1506" s="17"/>
      <c r="C1506" s="2"/>
      <c r="D1506" s="2"/>
      <c r="E1506" s="2"/>
      <c r="F1506" s="2"/>
      <c r="G1506" s="2"/>
      <c r="H1506" s="2"/>
      <c r="I1506" s="5"/>
    </row>
    <row r="1507" spans="1:9" ht="17.399999999999999" x14ac:dyDescent="0.25">
      <c r="A1507" s="16"/>
      <c r="B1507" s="17"/>
      <c r="C1507" s="2"/>
      <c r="D1507" s="2"/>
      <c r="E1507" s="2"/>
      <c r="F1507" s="2"/>
      <c r="G1507" s="2"/>
      <c r="H1507" s="2"/>
      <c r="I1507" s="5"/>
    </row>
    <row r="1508" spans="1:9" ht="17.399999999999999" x14ac:dyDescent="0.25">
      <c r="A1508" s="16"/>
      <c r="B1508" s="17"/>
      <c r="C1508" s="2"/>
      <c r="D1508" s="2"/>
      <c r="E1508" s="2"/>
      <c r="F1508" s="2"/>
      <c r="G1508" s="2"/>
      <c r="H1508" s="2"/>
      <c r="I1508" s="5"/>
    </row>
    <row r="1509" spans="1:9" ht="17.399999999999999" x14ac:dyDescent="0.25">
      <c r="A1509" s="16"/>
      <c r="B1509" s="17"/>
      <c r="C1509" s="2"/>
      <c r="D1509" s="2"/>
      <c r="E1509" s="2"/>
      <c r="F1509" s="2"/>
      <c r="G1509" s="2"/>
      <c r="H1509" s="2"/>
      <c r="I1509" s="5"/>
    </row>
    <row r="1510" spans="1:9" ht="17.399999999999999" x14ac:dyDescent="0.25">
      <c r="A1510" s="16"/>
      <c r="B1510" s="17"/>
      <c r="C1510" s="2"/>
      <c r="D1510" s="2"/>
      <c r="E1510" s="2"/>
      <c r="F1510" s="2"/>
      <c r="G1510" s="2"/>
      <c r="H1510" s="2"/>
      <c r="I1510" s="5"/>
    </row>
    <row r="1511" spans="1:9" ht="17.399999999999999" x14ac:dyDescent="0.25">
      <c r="A1511" s="16"/>
      <c r="B1511" s="17"/>
      <c r="C1511" s="2"/>
      <c r="D1511" s="2"/>
      <c r="E1511" s="2"/>
      <c r="F1511" s="2"/>
      <c r="G1511" s="2"/>
      <c r="H1511" s="2"/>
      <c r="I1511" s="5"/>
    </row>
    <row r="1512" spans="1:9" ht="17.399999999999999" x14ac:dyDescent="0.25">
      <c r="A1512" s="16"/>
      <c r="B1512" s="17"/>
      <c r="C1512" s="2"/>
      <c r="D1512" s="2"/>
      <c r="E1512" s="2"/>
      <c r="F1512" s="2"/>
      <c r="G1512" s="2"/>
      <c r="H1512" s="2"/>
      <c r="I1512" s="5"/>
    </row>
    <row r="1513" spans="1:9" ht="17.399999999999999" x14ac:dyDescent="0.25">
      <c r="A1513" s="16"/>
      <c r="B1513" s="17"/>
      <c r="C1513" s="2"/>
      <c r="D1513" s="2"/>
      <c r="E1513" s="2"/>
      <c r="F1513" s="2"/>
      <c r="G1513" s="2"/>
      <c r="H1513" s="2"/>
      <c r="I1513" s="5"/>
    </row>
    <row r="1514" spans="1:9" ht="17.399999999999999" x14ac:dyDescent="0.25">
      <c r="A1514" s="16"/>
      <c r="B1514" s="17"/>
      <c r="C1514" s="2"/>
      <c r="D1514" s="2"/>
      <c r="E1514" s="2"/>
      <c r="F1514" s="2"/>
      <c r="G1514" s="2"/>
      <c r="H1514" s="2"/>
      <c r="I1514" s="5"/>
    </row>
    <row r="1515" spans="1:9" ht="17.399999999999999" x14ac:dyDescent="0.25">
      <c r="A1515" s="16"/>
      <c r="B1515" s="17"/>
      <c r="C1515" s="2"/>
      <c r="D1515" s="2"/>
      <c r="E1515" s="2"/>
      <c r="F1515" s="2"/>
      <c r="G1515" s="2"/>
      <c r="H1515" s="2"/>
      <c r="I1515" s="5"/>
    </row>
    <row r="1516" spans="1:9" ht="17.399999999999999" x14ac:dyDescent="0.25">
      <c r="A1516" s="16"/>
      <c r="B1516" s="17"/>
      <c r="C1516" s="2"/>
      <c r="D1516" s="2"/>
      <c r="E1516" s="2"/>
      <c r="F1516" s="2"/>
      <c r="G1516" s="2"/>
      <c r="H1516" s="2"/>
      <c r="I1516" s="5"/>
    </row>
    <row r="1517" spans="1:9" ht="17.399999999999999" x14ac:dyDescent="0.25">
      <c r="A1517" s="16"/>
      <c r="B1517" s="17"/>
      <c r="C1517" s="2"/>
      <c r="D1517" s="2"/>
      <c r="E1517" s="2"/>
      <c r="F1517" s="2"/>
      <c r="G1517" s="2"/>
      <c r="H1517" s="2"/>
      <c r="I1517" s="5"/>
    </row>
    <row r="1518" spans="1:9" ht="17.399999999999999" x14ac:dyDescent="0.25">
      <c r="A1518" s="16"/>
      <c r="B1518" s="17"/>
      <c r="C1518" s="2"/>
      <c r="D1518" s="2"/>
      <c r="E1518" s="2"/>
      <c r="F1518" s="2"/>
      <c r="G1518" s="2"/>
      <c r="H1518" s="2"/>
      <c r="I1518" s="5"/>
    </row>
    <row r="1519" spans="1:9" ht="17.399999999999999" x14ac:dyDescent="0.25">
      <c r="A1519" s="16"/>
      <c r="B1519" s="17"/>
      <c r="C1519" s="2"/>
      <c r="D1519" s="2"/>
      <c r="E1519" s="2"/>
      <c r="F1519" s="2"/>
      <c r="G1519" s="2"/>
      <c r="H1519" s="2"/>
      <c r="I1519" s="5"/>
    </row>
    <row r="1520" spans="1:9" ht="17.399999999999999" x14ac:dyDescent="0.25">
      <c r="A1520" s="16"/>
      <c r="B1520" s="17"/>
      <c r="C1520" s="2"/>
      <c r="D1520" s="2"/>
      <c r="E1520" s="2"/>
      <c r="F1520" s="2"/>
      <c r="G1520" s="2"/>
      <c r="H1520" s="2"/>
      <c r="I1520" s="5"/>
    </row>
    <row r="1521" spans="1:9" ht="17.399999999999999" x14ac:dyDescent="0.25">
      <c r="A1521" s="16"/>
      <c r="B1521" s="17"/>
      <c r="C1521" s="2"/>
      <c r="D1521" s="2"/>
      <c r="E1521" s="2"/>
      <c r="F1521" s="2"/>
      <c r="G1521" s="2"/>
      <c r="H1521" s="2"/>
      <c r="I1521" s="5"/>
    </row>
    <row r="1522" spans="1:9" ht="17.399999999999999" x14ac:dyDescent="0.25">
      <c r="A1522" s="16"/>
      <c r="B1522" s="17"/>
      <c r="C1522" s="2"/>
      <c r="D1522" s="2"/>
      <c r="E1522" s="2"/>
      <c r="F1522" s="2"/>
      <c r="G1522" s="2"/>
      <c r="H1522" s="2"/>
      <c r="I1522" s="5"/>
    </row>
    <row r="1523" spans="1:9" ht="17.399999999999999" x14ac:dyDescent="0.25">
      <c r="A1523" s="16"/>
      <c r="B1523" s="17"/>
      <c r="C1523" s="2"/>
      <c r="D1523" s="2"/>
      <c r="E1523" s="2"/>
      <c r="F1523" s="2"/>
      <c r="G1523" s="2"/>
      <c r="H1523" s="2"/>
      <c r="I1523" s="5"/>
    </row>
    <row r="1524" spans="1:9" ht="17.399999999999999" x14ac:dyDescent="0.25">
      <c r="A1524" s="16"/>
      <c r="B1524" s="17"/>
      <c r="C1524" s="2"/>
      <c r="D1524" s="2"/>
      <c r="E1524" s="2"/>
      <c r="F1524" s="2"/>
      <c r="G1524" s="2"/>
      <c r="H1524" s="2"/>
      <c r="I1524" s="5"/>
    </row>
    <row r="1525" spans="1:9" ht="17.399999999999999" x14ac:dyDescent="0.25">
      <c r="A1525" s="16"/>
      <c r="B1525" s="17"/>
      <c r="C1525" s="2"/>
      <c r="D1525" s="2"/>
      <c r="E1525" s="2"/>
      <c r="F1525" s="2"/>
      <c r="G1525" s="2"/>
      <c r="H1525" s="2"/>
      <c r="I1525" s="5"/>
    </row>
    <row r="1526" spans="1:9" ht="17.399999999999999" x14ac:dyDescent="0.25">
      <c r="A1526" s="16"/>
      <c r="B1526" s="17"/>
      <c r="C1526" s="2"/>
      <c r="D1526" s="2"/>
      <c r="E1526" s="2"/>
      <c r="F1526" s="2"/>
      <c r="G1526" s="2"/>
      <c r="H1526" s="2"/>
      <c r="I1526" s="5"/>
    </row>
    <row r="1527" spans="1:9" ht="17.399999999999999" x14ac:dyDescent="0.25">
      <c r="A1527" s="16"/>
      <c r="B1527" s="17"/>
      <c r="C1527" s="2"/>
      <c r="D1527" s="2"/>
      <c r="E1527" s="2"/>
      <c r="F1527" s="2"/>
      <c r="G1527" s="2"/>
      <c r="H1527" s="2"/>
      <c r="I1527" s="5"/>
    </row>
    <row r="1528" spans="1:9" ht="17.399999999999999" x14ac:dyDescent="0.25">
      <c r="A1528" s="16"/>
      <c r="B1528" s="17"/>
      <c r="C1528" s="2"/>
      <c r="D1528" s="2"/>
      <c r="E1528" s="2"/>
      <c r="F1528" s="2"/>
      <c r="G1528" s="2"/>
      <c r="H1528" s="2"/>
      <c r="I1528" s="5"/>
    </row>
    <row r="1529" spans="1:9" ht="17.399999999999999" x14ac:dyDescent="0.25">
      <c r="A1529" s="16"/>
      <c r="B1529" s="17"/>
      <c r="C1529" s="2"/>
      <c r="D1529" s="2"/>
      <c r="E1529" s="2"/>
      <c r="F1529" s="2"/>
      <c r="G1529" s="2"/>
      <c r="H1529" s="2"/>
      <c r="I1529" s="5"/>
    </row>
    <row r="1530" spans="1:9" ht="17.399999999999999" x14ac:dyDescent="0.25">
      <c r="A1530" s="16"/>
      <c r="B1530" s="17"/>
      <c r="C1530" s="2"/>
      <c r="D1530" s="2"/>
      <c r="E1530" s="2"/>
      <c r="F1530" s="2"/>
      <c r="G1530" s="2"/>
      <c r="H1530" s="2"/>
      <c r="I1530" s="5"/>
    </row>
    <row r="1531" spans="1:9" ht="17.399999999999999" x14ac:dyDescent="0.25">
      <c r="A1531" s="16"/>
      <c r="B1531" s="17"/>
      <c r="C1531" s="2"/>
      <c r="D1531" s="2"/>
      <c r="E1531" s="2"/>
      <c r="F1531" s="2"/>
      <c r="G1531" s="2"/>
      <c r="H1531" s="2"/>
      <c r="I1531" s="5"/>
    </row>
    <row r="1532" spans="1:9" ht="17.399999999999999" x14ac:dyDescent="0.25">
      <c r="A1532" s="16"/>
      <c r="B1532" s="17"/>
      <c r="C1532" s="2"/>
      <c r="D1532" s="2"/>
      <c r="E1532" s="2"/>
      <c r="F1532" s="2"/>
      <c r="G1532" s="2"/>
      <c r="H1532" s="2"/>
      <c r="I1532" s="5"/>
    </row>
    <row r="1533" spans="1:9" ht="17.399999999999999" x14ac:dyDescent="0.25">
      <c r="A1533" s="16"/>
      <c r="B1533" s="17"/>
      <c r="C1533" s="2"/>
      <c r="D1533" s="2"/>
      <c r="E1533" s="2"/>
      <c r="F1533" s="2"/>
      <c r="G1533" s="2"/>
      <c r="H1533" s="2"/>
      <c r="I1533" s="5"/>
    </row>
    <row r="1534" spans="1:9" ht="17.399999999999999" x14ac:dyDescent="0.25">
      <c r="A1534" s="16"/>
      <c r="B1534" s="17"/>
      <c r="C1534" s="2"/>
      <c r="D1534" s="2"/>
      <c r="E1534" s="2"/>
      <c r="F1534" s="2"/>
      <c r="G1534" s="2"/>
      <c r="H1534" s="2"/>
      <c r="I1534" s="5"/>
    </row>
    <row r="1535" spans="1:9" ht="17.399999999999999" x14ac:dyDescent="0.25">
      <c r="A1535" s="16"/>
      <c r="B1535" s="17"/>
      <c r="C1535" s="2"/>
      <c r="D1535" s="2"/>
      <c r="E1535" s="2"/>
      <c r="F1535" s="2"/>
      <c r="G1535" s="2"/>
      <c r="H1535" s="2"/>
      <c r="I1535" s="5"/>
    </row>
    <row r="1536" spans="1:9" ht="17.399999999999999" x14ac:dyDescent="0.25">
      <c r="A1536" s="16"/>
      <c r="B1536" s="17"/>
      <c r="C1536" s="2"/>
      <c r="D1536" s="2"/>
      <c r="E1536" s="2"/>
      <c r="F1536" s="2"/>
      <c r="G1536" s="2"/>
      <c r="H1536" s="2"/>
      <c r="I1536" s="5"/>
    </row>
    <row r="1537" spans="1:9" ht="17.399999999999999" x14ac:dyDescent="0.25">
      <c r="A1537" s="16"/>
      <c r="B1537" s="17"/>
      <c r="C1537" s="2"/>
      <c r="D1537" s="2"/>
      <c r="E1537" s="2"/>
      <c r="F1537" s="2"/>
      <c r="G1537" s="2"/>
      <c r="H1537" s="2"/>
      <c r="I1537" s="5"/>
    </row>
    <row r="1538" spans="1:9" ht="17.399999999999999" x14ac:dyDescent="0.25">
      <c r="A1538" s="16"/>
      <c r="B1538" s="17"/>
      <c r="C1538" s="2"/>
      <c r="D1538" s="2"/>
      <c r="E1538" s="2"/>
      <c r="F1538" s="2"/>
      <c r="G1538" s="2"/>
      <c r="H1538" s="2"/>
      <c r="I1538" s="5"/>
    </row>
    <row r="1539" spans="1:9" ht="17.399999999999999" x14ac:dyDescent="0.25">
      <c r="A1539" s="16"/>
      <c r="B1539" s="17"/>
      <c r="C1539" s="2"/>
      <c r="D1539" s="2"/>
      <c r="E1539" s="2"/>
      <c r="F1539" s="2"/>
      <c r="G1539" s="2"/>
      <c r="H1539" s="2"/>
      <c r="I1539" s="5"/>
    </row>
    <row r="1540" spans="1:9" ht="17.399999999999999" x14ac:dyDescent="0.25">
      <c r="A1540" s="16"/>
      <c r="B1540" s="17"/>
      <c r="C1540" s="2"/>
      <c r="D1540" s="2"/>
      <c r="E1540" s="2"/>
      <c r="F1540" s="2"/>
      <c r="G1540" s="2"/>
      <c r="H1540" s="2"/>
      <c r="I1540" s="5"/>
    </row>
    <row r="1541" spans="1:9" ht="17.399999999999999" x14ac:dyDescent="0.25">
      <c r="A1541" s="16"/>
      <c r="B1541" s="17"/>
      <c r="C1541" s="2"/>
      <c r="D1541" s="2"/>
      <c r="E1541" s="2"/>
      <c r="F1541" s="2"/>
      <c r="G1541" s="2"/>
      <c r="H1541" s="2"/>
      <c r="I1541" s="5"/>
    </row>
    <row r="1542" spans="1:9" ht="17.399999999999999" x14ac:dyDescent="0.25">
      <c r="A1542" s="16"/>
      <c r="B1542" s="17"/>
      <c r="C1542" s="2"/>
      <c r="D1542" s="2"/>
      <c r="E1542" s="2"/>
      <c r="F1542" s="2"/>
      <c r="G1542" s="2"/>
      <c r="H1542" s="2"/>
      <c r="I1542" s="5"/>
    </row>
    <row r="1543" spans="1:9" ht="17.399999999999999" x14ac:dyDescent="0.25">
      <c r="A1543" s="16"/>
      <c r="B1543" s="17"/>
      <c r="C1543" s="2"/>
      <c r="D1543" s="2"/>
      <c r="E1543" s="2"/>
      <c r="F1543" s="2"/>
      <c r="G1543" s="2"/>
      <c r="H1543" s="2"/>
      <c r="I1543" s="5"/>
    </row>
    <row r="1544" spans="1:9" ht="17.399999999999999" x14ac:dyDescent="0.25">
      <c r="A1544" s="16"/>
      <c r="B1544" s="17"/>
      <c r="C1544" s="2"/>
      <c r="D1544" s="2"/>
      <c r="E1544" s="2"/>
      <c r="F1544" s="2"/>
      <c r="G1544" s="2"/>
      <c r="H1544" s="2"/>
      <c r="I1544" s="5"/>
    </row>
    <row r="1545" spans="1:9" ht="17.399999999999999" x14ac:dyDescent="0.25">
      <c r="A1545" s="16"/>
      <c r="B1545" s="17"/>
      <c r="C1545" s="2"/>
      <c r="D1545" s="2"/>
      <c r="E1545" s="2"/>
      <c r="F1545" s="2"/>
      <c r="G1545" s="2"/>
      <c r="H1545" s="2"/>
      <c r="I1545" s="5"/>
    </row>
    <row r="1546" spans="1:9" ht="17.399999999999999" x14ac:dyDescent="0.25">
      <c r="A1546" s="16"/>
      <c r="B1546" s="17"/>
      <c r="C1546" s="2"/>
      <c r="D1546" s="2"/>
      <c r="E1546" s="2"/>
      <c r="F1546" s="2"/>
      <c r="G1546" s="2"/>
      <c r="H1546" s="2"/>
      <c r="I1546" s="5"/>
    </row>
    <row r="1547" spans="1:9" ht="17.399999999999999" x14ac:dyDescent="0.25">
      <c r="A1547" s="16"/>
      <c r="B1547" s="17"/>
      <c r="C1547" s="2"/>
      <c r="D1547" s="2"/>
      <c r="E1547" s="2"/>
      <c r="F1547" s="2"/>
      <c r="G1547" s="2"/>
      <c r="H1547" s="2"/>
      <c r="I1547" s="5"/>
    </row>
    <row r="1548" spans="1:9" ht="17.399999999999999" x14ac:dyDescent="0.25">
      <c r="A1548" s="16"/>
      <c r="B1548" s="17"/>
      <c r="C1548" s="2"/>
      <c r="D1548" s="2"/>
      <c r="E1548" s="2"/>
      <c r="F1548" s="2"/>
      <c r="G1548" s="2"/>
      <c r="H1548" s="2"/>
      <c r="I1548" s="5"/>
    </row>
    <row r="1549" spans="1:9" ht="17.399999999999999" x14ac:dyDescent="0.25">
      <c r="A1549" s="16"/>
      <c r="B1549" s="17"/>
      <c r="C1549" s="2"/>
      <c r="D1549" s="2"/>
      <c r="E1549" s="2"/>
      <c r="F1549" s="2"/>
      <c r="G1549" s="2"/>
      <c r="H1549" s="2"/>
      <c r="I1549" s="5"/>
    </row>
    <row r="1550" spans="1:9" ht="17.399999999999999" x14ac:dyDescent="0.25">
      <c r="A1550" s="16"/>
      <c r="B1550" s="17"/>
      <c r="C1550" s="2"/>
      <c r="D1550" s="2"/>
      <c r="E1550" s="2"/>
      <c r="F1550" s="2"/>
      <c r="G1550" s="2"/>
      <c r="H1550" s="2"/>
      <c r="I1550" s="5"/>
    </row>
    <row r="1551" spans="1:9" ht="17.399999999999999" x14ac:dyDescent="0.25">
      <c r="A1551" s="16"/>
      <c r="B1551" s="17"/>
      <c r="C1551" s="2"/>
      <c r="D1551" s="2"/>
      <c r="E1551" s="2"/>
      <c r="F1551" s="2"/>
      <c r="G1551" s="2"/>
      <c r="H1551" s="2"/>
      <c r="I1551" s="5"/>
    </row>
    <row r="1552" spans="1:9" ht="17.399999999999999" x14ac:dyDescent="0.25">
      <c r="A1552" s="16"/>
      <c r="B1552" s="17"/>
      <c r="C1552" s="2"/>
      <c r="D1552" s="2"/>
      <c r="E1552" s="2"/>
      <c r="F1552" s="2"/>
      <c r="G1552" s="2"/>
      <c r="H1552" s="2"/>
      <c r="I1552" s="5"/>
    </row>
    <row r="1553" spans="1:9" ht="17.399999999999999" x14ac:dyDescent="0.25">
      <c r="A1553" s="16"/>
      <c r="B1553" s="17"/>
      <c r="C1553" s="2"/>
      <c r="D1553" s="2"/>
      <c r="E1553" s="2"/>
      <c r="F1553" s="2"/>
      <c r="G1553" s="2"/>
      <c r="H1553" s="2"/>
      <c r="I1553" s="5"/>
    </row>
    <row r="1554" spans="1:9" ht="17.399999999999999" x14ac:dyDescent="0.25">
      <c r="A1554" s="16"/>
      <c r="B1554" s="17"/>
      <c r="C1554" s="2"/>
      <c r="D1554" s="2"/>
      <c r="E1554" s="2"/>
      <c r="F1554" s="2"/>
      <c r="G1554" s="2"/>
      <c r="H1554" s="2"/>
      <c r="I1554" s="5"/>
    </row>
    <row r="1555" spans="1:9" ht="17.399999999999999" x14ac:dyDescent="0.25">
      <c r="A1555" s="16"/>
      <c r="B1555" s="17"/>
      <c r="C1555" s="2"/>
      <c r="D1555" s="2"/>
      <c r="E1555" s="2"/>
      <c r="F1555" s="2"/>
      <c r="G1555" s="2"/>
      <c r="H1555" s="2"/>
      <c r="I1555" s="5"/>
    </row>
    <row r="1556" spans="1:9" ht="17.399999999999999" x14ac:dyDescent="0.25">
      <c r="A1556" s="16"/>
      <c r="B1556" s="17"/>
      <c r="C1556" s="2"/>
      <c r="D1556" s="2"/>
      <c r="E1556" s="2"/>
      <c r="F1556" s="2"/>
      <c r="G1556" s="2"/>
      <c r="H1556" s="2"/>
      <c r="I1556" s="5"/>
    </row>
    <row r="1557" spans="1:9" ht="17.399999999999999" x14ac:dyDescent="0.25">
      <c r="A1557" s="16"/>
      <c r="B1557" s="17"/>
      <c r="C1557" s="2"/>
      <c r="D1557" s="2"/>
      <c r="E1557" s="2"/>
      <c r="F1557" s="2"/>
      <c r="G1557" s="2"/>
      <c r="H1557" s="2"/>
      <c r="I1557" s="5"/>
    </row>
    <row r="1558" spans="1:9" ht="17.399999999999999" x14ac:dyDescent="0.25">
      <c r="A1558" s="16"/>
      <c r="B1558" s="17"/>
      <c r="C1558" s="2"/>
      <c r="D1558" s="2"/>
      <c r="E1558" s="2"/>
      <c r="F1558" s="2"/>
      <c r="G1558" s="2"/>
      <c r="H1558" s="2"/>
      <c r="I1558" s="5"/>
    </row>
    <row r="1559" spans="1:9" ht="17.399999999999999" x14ac:dyDescent="0.25">
      <c r="A1559" s="16"/>
      <c r="B1559" s="17"/>
      <c r="C1559" s="2"/>
      <c r="D1559" s="2"/>
      <c r="E1559" s="2"/>
      <c r="F1559" s="2"/>
      <c r="G1559" s="2"/>
      <c r="H1559" s="2"/>
      <c r="I1559" s="5"/>
    </row>
    <row r="1560" spans="1:9" ht="17.399999999999999" x14ac:dyDescent="0.25">
      <c r="A1560" s="16"/>
      <c r="B1560" s="17"/>
      <c r="C1560" s="2"/>
      <c r="D1560" s="2"/>
      <c r="E1560" s="2"/>
      <c r="F1560" s="2"/>
      <c r="G1560" s="2"/>
      <c r="H1560" s="2"/>
      <c r="I1560" s="5"/>
    </row>
    <row r="1561" spans="1:9" ht="17.399999999999999" x14ac:dyDescent="0.25">
      <c r="A1561" s="16"/>
      <c r="B1561" s="17"/>
      <c r="C1561" s="2"/>
      <c r="D1561" s="2"/>
      <c r="E1561" s="2"/>
      <c r="F1561" s="2"/>
      <c r="G1561" s="2"/>
      <c r="H1561" s="2"/>
      <c r="I1561" s="5"/>
    </row>
    <row r="1562" spans="1:9" ht="17.399999999999999" x14ac:dyDescent="0.25">
      <c r="A1562" s="16"/>
      <c r="B1562" s="17"/>
      <c r="C1562" s="2"/>
      <c r="D1562" s="2"/>
      <c r="E1562" s="2"/>
      <c r="F1562" s="2"/>
      <c r="G1562" s="2"/>
      <c r="H1562" s="2"/>
      <c r="I1562" s="5"/>
    </row>
    <row r="1563" spans="1:9" ht="17.399999999999999" x14ac:dyDescent="0.25">
      <c r="A1563" s="16"/>
      <c r="B1563" s="17"/>
      <c r="C1563" s="2"/>
      <c r="D1563" s="2"/>
      <c r="E1563" s="2"/>
      <c r="F1563" s="2"/>
      <c r="G1563" s="2"/>
      <c r="H1563" s="2"/>
      <c r="I1563" s="5"/>
    </row>
    <row r="1564" spans="1:9" ht="17.399999999999999" x14ac:dyDescent="0.25">
      <c r="A1564" s="16"/>
      <c r="B1564" s="17"/>
      <c r="C1564" s="2"/>
      <c r="D1564" s="2"/>
      <c r="E1564" s="2"/>
      <c r="F1564" s="2"/>
      <c r="G1564" s="2"/>
      <c r="H1564" s="2"/>
      <c r="I1564" s="5"/>
    </row>
    <row r="1565" spans="1:9" ht="17.399999999999999" x14ac:dyDescent="0.25">
      <c r="A1565" s="16"/>
      <c r="B1565" s="17"/>
      <c r="C1565" s="2"/>
      <c r="D1565" s="2"/>
      <c r="E1565" s="2"/>
      <c r="F1565" s="2"/>
      <c r="G1565" s="2"/>
      <c r="H1565" s="2"/>
      <c r="I1565" s="5"/>
    </row>
    <row r="1566" spans="1:9" ht="17.399999999999999" x14ac:dyDescent="0.25">
      <c r="A1566" s="16"/>
      <c r="B1566" s="17"/>
      <c r="C1566" s="2"/>
      <c r="D1566" s="2"/>
      <c r="E1566" s="2"/>
      <c r="F1566" s="2"/>
      <c r="G1566" s="2"/>
      <c r="H1566" s="2"/>
      <c r="I1566" s="5"/>
    </row>
    <row r="1567" spans="1:9" ht="17.399999999999999" x14ac:dyDescent="0.25">
      <c r="A1567" s="16"/>
      <c r="B1567" s="17"/>
      <c r="C1567" s="2"/>
      <c r="D1567" s="2"/>
      <c r="E1567" s="2"/>
      <c r="F1567" s="2"/>
      <c r="G1567" s="2"/>
      <c r="H1567" s="2"/>
      <c r="I1567" s="5"/>
    </row>
    <row r="1568" spans="1:9" ht="17.399999999999999" x14ac:dyDescent="0.25">
      <c r="A1568" s="16"/>
      <c r="B1568" s="17"/>
      <c r="C1568" s="2"/>
      <c r="D1568" s="2"/>
      <c r="E1568" s="2"/>
      <c r="F1568" s="2"/>
      <c r="G1568" s="2"/>
      <c r="H1568" s="2"/>
      <c r="I1568" s="5"/>
    </row>
    <row r="1569" spans="1:9" ht="17.399999999999999" x14ac:dyDescent="0.25">
      <c r="A1569" s="16"/>
      <c r="B1569" s="17"/>
      <c r="C1569" s="2"/>
      <c r="D1569" s="2"/>
      <c r="E1569" s="2"/>
      <c r="F1569" s="2"/>
      <c r="G1569" s="2"/>
      <c r="H1569" s="2"/>
      <c r="I1569" s="5"/>
    </row>
    <row r="1570" spans="1:9" ht="17.399999999999999" x14ac:dyDescent="0.25">
      <c r="A1570" s="16"/>
      <c r="B1570" s="17"/>
      <c r="C1570" s="2"/>
      <c r="D1570" s="2"/>
      <c r="E1570" s="2"/>
      <c r="F1570" s="2"/>
      <c r="G1570" s="2"/>
      <c r="H1570" s="2"/>
      <c r="I1570" s="5"/>
    </row>
    <row r="1571" spans="1:9" ht="17.399999999999999" x14ac:dyDescent="0.25">
      <c r="A1571" s="16"/>
      <c r="B1571" s="17"/>
      <c r="C1571" s="2"/>
      <c r="D1571" s="2"/>
      <c r="E1571" s="2"/>
      <c r="F1571" s="2"/>
      <c r="G1571" s="2"/>
      <c r="H1571" s="2"/>
      <c r="I1571" s="5"/>
    </row>
    <row r="1572" spans="1:9" ht="17.399999999999999" x14ac:dyDescent="0.25">
      <c r="A1572" s="16"/>
      <c r="B1572" s="17"/>
      <c r="C1572" s="2"/>
      <c r="D1572" s="2"/>
      <c r="E1572" s="2"/>
      <c r="F1572" s="2"/>
      <c r="G1572" s="2"/>
      <c r="H1572" s="2"/>
      <c r="I1572" s="5"/>
    </row>
    <row r="1573" spans="1:9" ht="17.399999999999999" x14ac:dyDescent="0.25">
      <c r="A1573" s="16"/>
      <c r="B1573" s="17"/>
      <c r="C1573" s="2"/>
      <c r="D1573" s="2"/>
      <c r="E1573" s="2"/>
      <c r="F1573" s="2"/>
      <c r="G1573" s="2"/>
      <c r="H1573" s="2"/>
      <c r="I1573" s="5"/>
    </row>
    <row r="1574" spans="1:9" ht="17.399999999999999" x14ac:dyDescent="0.25">
      <c r="A1574" s="16"/>
      <c r="B1574" s="17"/>
      <c r="C1574" s="2"/>
      <c r="D1574" s="2"/>
      <c r="E1574" s="2"/>
      <c r="F1574" s="2"/>
      <c r="G1574" s="2"/>
      <c r="H1574" s="2"/>
      <c r="I1574" s="5"/>
    </row>
    <row r="1575" spans="1:9" ht="17.399999999999999" x14ac:dyDescent="0.25">
      <c r="A1575" s="16"/>
      <c r="B1575" s="17"/>
      <c r="C1575" s="2"/>
      <c r="D1575" s="2"/>
      <c r="E1575" s="2"/>
      <c r="F1575" s="2"/>
      <c r="G1575" s="2"/>
      <c r="H1575" s="2"/>
      <c r="I1575" s="5"/>
    </row>
    <row r="1576" spans="1:9" ht="17.399999999999999" x14ac:dyDescent="0.25">
      <c r="A1576" s="16"/>
      <c r="B1576" s="17"/>
      <c r="C1576" s="2"/>
      <c r="D1576" s="2"/>
      <c r="E1576" s="2"/>
      <c r="F1576" s="2"/>
      <c r="G1576" s="2"/>
      <c r="H1576" s="2"/>
      <c r="I1576" s="5"/>
    </row>
    <row r="1577" spans="1:9" ht="17.399999999999999" x14ac:dyDescent="0.25">
      <c r="A1577" s="16"/>
      <c r="B1577" s="17"/>
      <c r="C1577" s="2"/>
      <c r="D1577" s="2"/>
      <c r="E1577" s="2"/>
      <c r="F1577" s="2"/>
      <c r="G1577" s="2"/>
      <c r="H1577" s="2"/>
      <c r="I1577" s="5"/>
    </row>
    <row r="1578" spans="1:9" ht="17.399999999999999" x14ac:dyDescent="0.25">
      <c r="A1578" s="16"/>
      <c r="B1578" s="17"/>
      <c r="C1578" s="2"/>
      <c r="D1578" s="2"/>
      <c r="E1578" s="2"/>
      <c r="F1578" s="2"/>
      <c r="G1578" s="2"/>
      <c r="H1578" s="2"/>
      <c r="I1578" s="5"/>
    </row>
    <row r="1579" spans="1:9" ht="17.399999999999999" x14ac:dyDescent="0.25">
      <c r="A1579" s="16"/>
      <c r="B1579" s="17"/>
      <c r="C1579" s="2"/>
      <c r="D1579" s="2"/>
      <c r="E1579" s="2"/>
      <c r="F1579" s="2"/>
      <c r="G1579" s="2"/>
      <c r="H1579" s="2"/>
      <c r="I1579" s="5"/>
    </row>
    <row r="1580" spans="1:9" ht="17.399999999999999" x14ac:dyDescent="0.25">
      <c r="A1580" s="16"/>
      <c r="B1580" s="17"/>
      <c r="C1580" s="2"/>
      <c r="D1580" s="2"/>
      <c r="E1580" s="2"/>
      <c r="F1580" s="2"/>
      <c r="G1580" s="2"/>
      <c r="H1580" s="2"/>
      <c r="I1580" s="5"/>
    </row>
    <row r="1581" spans="1:9" ht="17.399999999999999" x14ac:dyDescent="0.25">
      <c r="A1581" s="16"/>
      <c r="B1581" s="17"/>
      <c r="C1581" s="2"/>
      <c r="D1581" s="2"/>
      <c r="E1581" s="2"/>
      <c r="F1581" s="2"/>
      <c r="G1581" s="2"/>
      <c r="H1581" s="2"/>
      <c r="I1581" s="5"/>
    </row>
    <row r="1582" spans="1:9" ht="17.399999999999999" x14ac:dyDescent="0.25">
      <c r="A1582" s="16"/>
      <c r="B1582" s="17"/>
      <c r="C1582" s="2"/>
      <c r="D1582" s="2"/>
      <c r="E1582" s="2"/>
      <c r="F1582" s="2"/>
      <c r="G1582" s="2"/>
      <c r="H1582" s="2"/>
      <c r="I1582" s="5"/>
    </row>
    <row r="1583" spans="1:9" ht="17.399999999999999" x14ac:dyDescent="0.25">
      <c r="A1583" s="16"/>
      <c r="B1583" s="17"/>
      <c r="C1583" s="2"/>
      <c r="D1583" s="2"/>
      <c r="E1583" s="2"/>
      <c r="F1583" s="2"/>
      <c r="G1583" s="2"/>
      <c r="H1583" s="2"/>
      <c r="I1583" s="5"/>
    </row>
    <row r="1584" spans="1:9" ht="17.399999999999999" x14ac:dyDescent="0.25">
      <c r="A1584" s="16"/>
      <c r="B1584" s="17"/>
      <c r="C1584" s="2"/>
      <c r="D1584" s="2"/>
      <c r="E1584" s="2"/>
      <c r="F1584" s="2"/>
      <c r="G1584" s="2"/>
      <c r="H1584" s="2"/>
      <c r="I1584" s="5"/>
    </row>
    <row r="1585" spans="1:9" ht="17.399999999999999" x14ac:dyDescent="0.25">
      <c r="A1585" s="16"/>
      <c r="B1585" s="17"/>
      <c r="C1585" s="2"/>
      <c r="D1585" s="2"/>
      <c r="E1585" s="2"/>
      <c r="F1585" s="2"/>
      <c r="G1585" s="2"/>
      <c r="H1585" s="2"/>
      <c r="I1585" s="5"/>
    </row>
    <row r="1586" spans="1:9" ht="17.399999999999999" x14ac:dyDescent="0.25">
      <c r="A1586" s="16"/>
      <c r="B1586" s="17"/>
      <c r="C1586" s="2"/>
      <c r="D1586" s="2"/>
      <c r="E1586" s="2"/>
      <c r="F1586" s="2"/>
      <c r="G1586" s="2"/>
      <c r="H1586" s="2"/>
      <c r="I1586" s="5"/>
    </row>
    <row r="1587" spans="1:9" ht="17.399999999999999" x14ac:dyDescent="0.25">
      <c r="A1587" s="16"/>
      <c r="B1587" s="17"/>
      <c r="C1587" s="2"/>
      <c r="D1587" s="2"/>
      <c r="E1587" s="2"/>
      <c r="F1587" s="2"/>
      <c r="G1587" s="2"/>
      <c r="H1587" s="2"/>
      <c r="I1587" s="5"/>
    </row>
    <row r="1588" spans="1:9" ht="17.399999999999999" x14ac:dyDescent="0.25">
      <c r="A1588" s="16"/>
      <c r="B1588" s="17"/>
      <c r="C1588" s="2"/>
      <c r="D1588" s="2"/>
      <c r="E1588" s="2"/>
      <c r="F1588" s="2"/>
      <c r="G1588" s="2"/>
      <c r="H1588" s="2"/>
      <c r="I1588" s="5"/>
    </row>
    <row r="1589" spans="1:9" ht="17.399999999999999" x14ac:dyDescent="0.25">
      <c r="A1589" s="16"/>
      <c r="B1589" s="17"/>
      <c r="C1589" s="2"/>
      <c r="D1589" s="2"/>
      <c r="E1589" s="2"/>
      <c r="F1589" s="2"/>
      <c r="G1589" s="2"/>
      <c r="H1589" s="2"/>
      <c r="I1589" s="5"/>
    </row>
    <row r="1590" spans="1:9" ht="17.399999999999999" x14ac:dyDescent="0.25">
      <c r="A1590" s="16"/>
      <c r="B1590" s="17"/>
      <c r="C1590" s="2"/>
      <c r="D1590" s="2"/>
      <c r="E1590" s="2"/>
      <c r="F1590" s="2"/>
      <c r="G1590" s="2"/>
      <c r="H1590" s="2"/>
      <c r="I1590" s="5"/>
    </row>
    <row r="1591" spans="1:9" ht="17.399999999999999" x14ac:dyDescent="0.25">
      <c r="A1591" s="16"/>
      <c r="B1591" s="17"/>
      <c r="C1591" s="2"/>
      <c r="D1591" s="2"/>
      <c r="E1591" s="2"/>
      <c r="F1591" s="2"/>
      <c r="G1591" s="2"/>
      <c r="H1591" s="2"/>
      <c r="I1591" s="5"/>
    </row>
    <row r="1592" spans="1:9" ht="17.399999999999999" x14ac:dyDescent="0.25">
      <c r="A1592" s="16"/>
      <c r="B1592" s="17"/>
      <c r="C1592" s="2"/>
      <c r="D1592" s="2"/>
      <c r="E1592" s="2"/>
      <c r="F1592" s="2"/>
      <c r="G1592" s="2"/>
      <c r="H1592" s="2"/>
      <c r="I1592" s="5"/>
    </row>
    <row r="1593" spans="1:9" ht="17.399999999999999" x14ac:dyDescent="0.25">
      <c r="A1593" s="16"/>
      <c r="B1593" s="17"/>
      <c r="C1593" s="2"/>
      <c r="D1593" s="2"/>
      <c r="E1593" s="2"/>
      <c r="F1593" s="2"/>
      <c r="G1593" s="2"/>
      <c r="H1593" s="2"/>
      <c r="I1593" s="5"/>
    </row>
    <row r="1594" spans="1:9" ht="17.399999999999999" x14ac:dyDescent="0.25">
      <c r="A1594" s="16"/>
      <c r="B1594" s="17"/>
      <c r="C1594" s="2"/>
      <c r="D1594" s="2"/>
      <c r="E1594" s="2"/>
      <c r="F1594" s="2"/>
      <c r="G1594" s="2"/>
      <c r="H1594" s="2"/>
      <c r="I1594" s="5"/>
    </row>
    <row r="1595" spans="1:9" ht="17.399999999999999" x14ac:dyDescent="0.25">
      <c r="A1595" s="16"/>
      <c r="B1595" s="17"/>
      <c r="C1595" s="2"/>
      <c r="D1595" s="2"/>
      <c r="E1595" s="2"/>
      <c r="F1595" s="2"/>
      <c r="G1595" s="2"/>
      <c r="H1595" s="2"/>
      <c r="I1595" s="5"/>
    </row>
    <row r="1596" spans="1:9" ht="17.399999999999999" x14ac:dyDescent="0.25">
      <c r="A1596" s="16"/>
      <c r="B1596" s="17"/>
      <c r="C1596" s="2"/>
      <c r="D1596" s="2"/>
      <c r="E1596" s="2"/>
      <c r="F1596" s="2"/>
      <c r="G1596" s="2"/>
      <c r="H1596" s="2"/>
      <c r="I1596" s="5"/>
    </row>
    <row r="1597" spans="1:9" ht="17.399999999999999" x14ac:dyDescent="0.25">
      <c r="A1597" s="16"/>
      <c r="B1597" s="17"/>
      <c r="C1597" s="2"/>
      <c r="D1597" s="2"/>
      <c r="E1597" s="2"/>
      <c r="F1597" s="2"/>
      <c r="G1597" s="2"/>
      <c r="H1597" s="2"/>
      <c r="I1597" s="5"/>
    </row>
    <row r="1598" spans="1:9" ht="17.399999999999999" x14ac:dyDescent="0.25">
      <c r="A1598" s="16"/>
      <c r="B1598" s="17"/>
      <c r="C1598" s="2"/>
      <c r="D1598" s="2"/>
      <c r="E1598" s="2"/>
      <c r="F1598" s="2"/>
      <c r="G1598" s="2"/>
      <c r="H1598" s="2"/>
      <c r="I1598" s="5"/>
    </row>
    <row r="1599" spans="1:9" ht="17.399999999999999" x14ac:dyDescent="0.25">
      <c r="A1599" s="16"/>
      <c r="B1599" s="17"/>
      <c r="C1599" s="2"/>
      <c r="D1599" s="2"/>
      <c r="E1599" s="2"/>
      <c r="F1599" s="2"/>
      <c r="G1599" s="2"/>
      <c r="H1599" s="2"/>
      <c r="I1599" s="5"/>
    </row>
    <row r="1600" spans="1:9" ht="17.399999999999999" x14ac:dyDescent="0.25">
      <c r="A1600" s="16"/>
      <c r="B1600" s="17"/>
      <c r="C1600" s="2"/>
      <c r="D1600" s="2"/>
      <c r="E1600" s="2"/>
      <c r="F1600" s="2"/>
      <c r="G1600" s="2"/>
      <c r="H1600" s="2"/>
      <c r="I1600" s="5"/>
    </row>
    <row r="1601" spans="1:9" ht="17.399999999999999" x14ac:dyDescent="0.25">
      <c r="A1601" s="16"/>
      <c r="B1601" s="17"/>
      <c r="C1601" s="2"/>
      <c r="D1601" s="2"/>
      <c r="E1601" s="2"/>
      <c r="F1601" s="2"/>
      <c r="G1601" s="2"/>
      <c r="H1601" s="2"/>
      <c r="I1601" s="5"/>
    </row>
    <row r="1602" spans="1:9" ht="17.399999999999999" x14ac:dyDescent="0.25">
      <c r="A1602" s="16"/>
      <c r="B1602" s="17"/>
      <c r="C1602" s="2"/>
      <c r="D1602" s="2"/>
      <c r="E1602" s="2"/>
      <c r="F1602" s="2"/>
      <c r="G1602" s="2"/>
      <c r="H1602" s="2"/>
      <c r="I1602" s="5"/>
    </row>
    <row r="1603" spans="1:9" ht="17.399999999999999" x14ac:dyDescent="0.25">
      <c r="A1603" s="16"/>
      <c r="B1603" s="17"/>
      <c r="C1603" s="2"/>
      <c r="D1603" s="2"/>
      <c r="E1603" s="2"/>
      <c r="F1603" s="2"/>
      <c r="G1603" s="2"/>
      <c r="H1603" s="2"/>
      <c r="I1603" s="5"/>
    </row>
    <row r="1604" spans="1:9" ht="17.399999999999999" x14ac:dyDescent="0.25">
      <c r="A1604" s="16"/>
      <c r="B1604" s="17"/>
      <c r="C1604" s="2"/>
      <c r="D1604" s="2"/>
      <c r="E1604" s="2"/>
      <c r="F1604" s="2"/>
      <c r="G1604" s="2"/>
      <c r="H1604" s="2"/>
      <c r="I1604" s="5"/>
    </row>
    <row r="1605" spans="1:9" ht="17.399999999999999" x14ac:dyDescent="0.25">
      <c r="A1605" s="16"/>
      <c r="B1605" s="17"/>
      <c r="C1605" s="2"/>
      <c r="D1605" s="2"/>
      <c r="E1605" s="2"/>
      <c r="F1605" s="2"/>
      <c r="G1605" s="2"/>
      <c r="H1605" s="2"/>
      <c r="I1605" s="5"/>
    </row>
    <row r="1606" spans="1:9" ht="17.399999999999999" x14ac:dyDescent="0.25">
      <c r="A1606" s="16"/>
      <c r="B1606" s="17"/>
      <c r="C1606" s="2"/>
      <c r="D1606" s="2"/>
      <c r="E1606" s="2"/>
      <c r="F1606" s="2"/>
      <c r="G1606" s="2"/>
      <c r="H1606" s="2"/>
      <c r="I1606" s="5"/>
    </row>
    <row r="1607" spans="1:9" ht="17.399999999999999" x14ac:dyDescent="0.25">
      <c r="A1607" s="16"/>
      <c r="B1607" s="17"/>
      <c r="C1607" s="2"/>
      <c r="D1607" s="2"/>
      <c r="E1607" s="2"/>
      <c r="F1607" s="2"/>
      <c r="G1607" s="2"/>
      <c r="H1607" s="2"/>
      <c r="I1607" s="5"/>
    </row>
    <row r="1608" spans="1:9" ht="17.399999999999999" x14ac:dyDescent="0.25">
      <c r="A1608" s="16"/>
      <c r="B1608" s="17"/>
      <c r="C1608" s="2"/>
      <c r="D1608" s="2"/>
      <c r="E1608" s="2"/>
      <c r="F1608" s="2"/>
      <c r="G1608" s="2"/>
      <c r="H1608" s="2"/>
      <c r="I1608" s="5"/>
    </row>
    <row r="1609" spans="1:9" ht="17.399999999999999" x14ac:dyDescent="0.25">
      <c r="A1609" s="16"/>
      <c r="B1609" s="17"/>
      <c r="C1609" s="2"/>
      <c r="D1609" s="2"/>
      <c r="E1609" s="2"/>
      <c r="F1609" s="2"/>
      <c r="G1609" s="2"/>
      <c r="H1609" s="2"/>
      <c r="I1609" s="5"/>
    </row>
    <row r="1610" spans="1:9" ht="17.399999999999999" x14ac:dyDescent="0.25">
      <c r="A1610" s="16"/>
      <c r="B1610" s="17"/>
      <c r="C1610" s="2"/>
      <c r="D1610" s="2"/>
      <c r="E1610" s="2"/>
      <c r="F1610" s="2"/>
      <c r="G1610" s="2"/>
      <c r="H1610" s="2"/>
      <c r="I1610" s="5"/>
    </row>
    <row r="1611" spans="1:9" ht="17.399999999999999" x14ac:dyDescent="0.25">
      <c r="A1611" s="16"/>
      <c r="B1611" s="17"/>
      <c r="C1611" s="2"/>
      <c r="D1611" s="2"/>
      <c r="E1611" s="2"/>
      <c r="F1611" s="2"/>
      <c r="G1611" s="2"/>
      <c r="H1611" s="2"/>
      <c r="I1611" s="5"/>
    </row>
    <row r="1612" spans="1:9" ht="17.399999999999999" x14ac:dyDescent="0.25">
      <c r="A1612" s="16"/>
      <c r="B1612" s="17"/>
      <c r="C1612" s="2"/>
      <c r="D1612" s="2"/>
      <c r="E1612" s="2"/>
      <c r="F1612" s="2"/>
      <c r="G1612" s="2"/>
      <c r="H1612" s="2"/>
      <c r="I1612" s="5"/>
    </row>
    <row r="1613" spans="1:9" ht="17.399999999999999" x14ac:dyDescent="0.25">
      <c r="A1613" s="16"/>
      <c r="B1613" s="17"/>
      <c r="C1613" s="2"/>
      <c r="D1613" s="2"/>
      <c r="E1613" s="2"/>
      <c r="F1613" s="2"/>
      <c r="G1613" s="2"/>
      <c r="H1613" s="2"/>
      <c r="I1613" s="5"/>
    </row>
    <row r="1614" spans="1:9" ht="17.399999999999999" x14ac:dyDescent="0.25">
      <c r="A1614" s="16"/>
      <c r="B1614" s="17"/>
      <c r="C1614" s="2"/>
      <c r="D1614" s="2"/>
      <c r="E1614" s="2"/>
      <c r="F1614" s="2"/>
      <c r="G1614" s="2"/>
      <c r="H1614" s="2"/>
      <c r="I1614" s="5"/>
    </row>
    <row r="1615" spans="1:9" ht="17.399999999999999" x14ac:dyDescent="0.25">
      <c r="A1615" s="16"/>
      <c r="B1615" s="17"/>
      <c r="C1615" s="2"/>
      <c r="D1615" s="2"/>
      <c r="E1615" s="2"/>
      <c r="F1615" s="2"/>
      <c r="G1615" s="2"/>
      <c r="H1615" s="2"/>
      <c r="I1615" s="5"/>
    </row>
    <row r="1616" spans="1:9" ht="17.399999999999999" x14ac:dyDescent="0.25">
      <c r="A1616" s="16"/>
      <c r="B1616" s="17"/>
      <c r="C1616" s="2"/>
      <c r="D1616" s="2"/>
      <c r="E1616" s="2"/>
      <c r="F1616" s="2"/>
      <c r="G1616" s="2"/>
      <c r="H1616" s="2"/>
      <c r="I1616" s="5"/>
    </row>
    <row r="1617" spans="1:9" ht="17.399999999999999" x14ac:dyDescent="0.25">
      <c r="A1617" s="16"/>
      <c r="B1617" s="17"/>
      <c r="C1617" s="2"/>
      <c r="D1617" s="2"/>
      <c r="E1617" s="2"/>
      <c r="F1617" s="2"/>
      <c r="G1617" s="2"/>
      <c r="H1617" s="2"/>
      <c r="I1617" s="5"/>
    </row>
    <row r="1618" spans="1:9" ht="17.399999999999999" x14ac:dyDescent="0.25">
      <c r="A1618" s="16"/>
      <c r="B1618" s="17"/>
      <c r="C1618" s="2"/>
      <c r="D1618" s="2"/>
      <c r="E1618" s="2"/>
      <c r="F1618" s="2"/>
      <c r="G1618" s="2"/>
      <c r="H1618" s="2"/>
      <c r="I1618" s="5"/>
    </row>
    <row r="1619" spans="1:9" ht="17.399999999999999" x14ac:dyDescent="0.25">
      <c r="A1619" s="16"/>
      <c r="B1619" s="17"/>
      <c r="C1619" s="2"/>
      <c r="D1619" s="2"/>
      <c r="E1619" s="2"/>
      <c r="F1619" s="2"/>
      <c r="G1619" s="2"/>
      <c r="H1619" s="2"/>
      <c r="I1619" s="5"/>
    </row>
    <row r="1620" spans="1:9" ht="17.399999999999999" x14ac:dyDescent="0.25">
      <c r="A1620" s="16"/>
      <c r="B1620" s="17"/>
      <c r="C1620" s="2"/>
      <c r="D1620" s="2"/>
      <c r="E1620" s="2"/>
      <c r="F1620" s="2"/>
      <c r="G1620" s="2"/>
      <c r="H1620" s="2"/>
      <c r="I1620" s="5"/>
    </row>
    <row r="1621" spans="1:9" ht="17.399999999999999" x14ac:dyDescent="0.25">
      <c r="A1621" s="16"/>
      <c r="B1621" s="17"/>
      <c r="C1621" s="2"/>
      <c r="D1621" s="2"/>
      <c r="E1621" s="2"/>
      <c r="F1621" s="2"/>
      <c r="G1621" s="2"/>
      <c r="H1621" s="2"/>
      <c r="I1621" s="5"/>
    </row>
    <row r="1622" spans="1:9" ht="17.399999999999999" x14ac:dyDescent="0.25">
      <c r="A1622" s="16"/>
      <c r="B1622" s="17"/>
      <c r="C1622" s="2"/>
      <c r="D1622" s="2"/>
      <c r="E1622" s="2"/>
      <c r="F1622" s="2"/>
      <c r="G1622" s="2"/>
      <c r="H1622" s="2"/>
      <c r="I1622" s="5"/>
    </row>
    <row r="1623" spans="1:9" ht="17.399999999999999" x14ac:dyDescent="0.25">
      <c r="A1623" s="16"/>
      <c r="B1623" s="17"/>
      <c r="C1623" s="2"/>
      <c r="D1623" s="2"/>
      <c r="E1623" s="2"/>
      <c r="F1623" s="2"/>
      <c r="G1623" s="2"/>
      <c r="H1623" s="2"/>
      <c r="I1623" s="5"/>
    </row>
    <row r="1624" spans="1:9" ht="17.399999999999999" x14ac:dyDescent="0.25">
      <c r="A1624" s="16"/>
      <c r="B1624" s="17"/>
      <c r="C1624" s="2"/>
      <c r="D1624" s="2"/>
      <c r="E1624" s="2"/>
      <c r="F1624" s="2"/>
      <c r="G1624" s="2"/>
      <c r="H1624" s="2"/>
      <c r="I1624" s="5"/>
    </row>
    <row r="1625" spans="1:9" ht="17.399999999999999" x14ac:dyDescent="0.25">
      <c r="A1625" s="16"/>
      <c r="B1625" s="17"/>
      <c r="C1625" s="2"/>
      <c r="D1625" s="2"/>
      <c r="E1625" s="2"/>
      <c r="F1625" s="2"/>
      <c r="G1625" s="2"/>
      <c r="H1625" s="2"/>
      <c r="I1625" s="5"/>
    </row>
    <row r="1626" spans="1:9" ht="17.399999999999999" x14ac:dyDescent="0.25">
      <c r="A1626" s="16"/>
      <c r="B1626" s="17"/>
      <c r="C1626" s="2"/>
      <c r="D1626" s="2"/>
      <c r="E1626" s="2"/>
      <c r="F1626" s="2"/>
      <c r="G1626" s="2"/>
      <c r="H1626" s="2"/>
      <c r="I1626" s="5"/>
    </row>
    <row r="1627" spans="1:9" ht="17.399999999999999" x14ac:dyDescent="0.25">
      <c r="A1627" s="16"/>
      <c r="B1627" s="17"/>
      <c r="C1627" s="2"/>
      <c r="D1627" s="2"/>
      <c r="E1627" s="2"/>
      <c r="F1627" s="2"/>
      <c r="G1627" s="2"/>
      <c r="H1627" s="2"/>
      <c r="I1627" s="5"/>
    </row>
    <row r="1628" spans="1:9" ht="17.399999999999999" x14ac:dyDescent="0.25">
      <c r="A1628" s="16"/>
      <c r="B1628" s="17"/>
      <c r="C1628" s="2"/>
      <c r="D1628" s="2"/>
      <c r="E1628" s="2"/>
      <c r="F1628" s="2"/>
      <c r="G1628" s="2"/>
      <c r="H1628" s="2"/>
      <c r="I1628" s="5"/>
    </row>
    <row r="1629" spans="1:9" ht="17.399999999999999" x14ac:dyDescent="0.25">
      <c r="A1629" s="16"/>
      <c r="B1629" s="17"/>
      <c r="C1629" s="2"/>
      <c r="D1629" s="2"/>
      <c r="E1629" s="2"/>
      <c r="F1629" s="2"/>
      <c r="G1629" s="2"/>
      <c r="H1629" s="2"/>
      <c r="I1629" s="5"/>
    </row>
    <row r="1630" spans="1:9" ht="17.399999999999999" x14ac:dyDescent="0.25">
      <c r="A1630" s="16"/>
      <c r="B1630" s="17"/>
      <c r="C1630" s="2"/>
      <c r="D1630" s="2"/>
      <c r="E1630" s="2"/>
      <c r="F1630" s="2"/>
      <c r="G1630" s="2"/>
      <c r="H1630" s="2"/>
      <c r="I1630" s="5"/>
    </row>
    <row r="1631" spans="1:9" ht="17.399999999999999" x14ac:dyDescent="0.25">
      <c r="A1631" s="16"/>
      <c r="B1631" s="17"/>
      <c r="C1631" s="2"/>
      <c r="D1631" s="2"/>
      <c r="E1631" s="2"/>
      <c r="F1631" s="2"/>
      <c r="G1631" s="2"/>
      <c r="H1631" s="2"/>
      <c r="I1631" s="5"/>
    </row>
    <row r="1632" spans="1:9" ht="17.399999999999999" x14ac:dyDescent="0.25">
      <c r="A1632" s="16"/>
      <c r="B1632" s="17"/>
      <c r="C1632" s="2"/>
      <c r="D1632" s="2"/>
      <c r="E1632" s="2"/>
      <c r="F1632" s="2"/>
      <c r="G1632" s="2"/>
      <c r="H1632" s="2"/>
      <c r="I1632" s="5"/>
    </row>
    <row r="1633" spans="1:9" ht="17.399999999999999" x14ac:dyDescent="0.25">
      <c r="A1633" s="16"/>
      <c r="B1633" s="17"/>
      <c r="C1633" s="2"/>
      <c r="D1633" s="2"/>
      <c r="E1633" s="2"/>
      <c r="F1633" s="2"/>
      <c r="G1633" s="2"/>
      <c r="H1633" s="2"/>
      <c r="I1633" s="5"/>
    </row>
    <row r="1634" spans="1:9" ht="17.399999999999999" x14ac:dyDescent="0.25">
      <c r="A1634" s="16"/>
      <c r="B1634" s="17"/>
      <c r="C1634" s="2"/>
      <c r="D1634" s="2"/>
      <c r="E1634" s="2"/>
      <c r="F1634" s="2"/>
      <c r="G1634" s="2"/>
      <c r="H1634" s="2"/>
      <c r="I1634" s="5"/>
    </row>
    <row r="1635" spans="1:9" ht="17.399999999999999" x14ac:dyDescent="0.25">
      <c r="A1635" s="16"/>
      <c r="B1635" s="17"/>
      <c r="C1635" s="2"/>
      <c r="D1635" s="2"/>
      <c r="E1635" s="2"/>
      <c r="F1635" s="2"/>
      <c r="G1635" s="2"/>
      <c r="H1635" s="2"/>
      <c r="I1635" s="5"/>
    </row>
    <row r="1636" spans="1:9" ht="17.399999999999999" x14ac:dyDescent="0.25">
      <c r="A1636" s="16"/>
      <c r="B1636" s="17"/>
      <c r="C1636" s="2"/>
      <c r="D1636" s="2"/>
      <c r="E1636" s="2"/>
      <c r="F1636" s="2"/>
      <c r="G1636" s="2"/>
      <c r="H1636" s="2"/>
      <c r="I1636" s="5"/>
    </row>
    <row r="1637" spans="1:9" ht="17.399999999999999" x14ac:dyDescent="0.25">
      <c r="A1637" s="16"/>
      <c r="B1637" s="17"/>
      <c r="C1637" s="2"/>
      <c r="D1637" s="2"/>
      <c r="E1637" s="2"/>
      <c r="F1637" s="2"/>
      <c r="G1637" s="2"/>
      <c r="H1637" s="2"/>
      <c r="I1637" s="5"/>
    </row>
    <row r="1638" spans="1:9" ht="17.399999999999999" x14ac:dyDescent="0.25">
      <c r="A1638" s="16"/>
      <c r="B1638" s="17"/>
      <c r="C1638" s="2"/>
      <c r="D1638" s="2"/>
      <c r="E1638" s="2"/>
      <c r="F1638" s="2"/>
      <c r="G1638" s="2"/>
      <c r="H1638" s="2"/>
      <c r="I1638" s="5"/>
    </row>
    <row r="1639" spans="1:9" ht="17.399999999999999" x14ac:dyDescent="0.25">
      <c r="A1639" s="16"/>
      <c r="B1639" s="17"/>
      <c r="C1639" s="2"/>
      <c r="D1639" s="2"/>
      <c r="E1639" s="2"/>
      <c r="F1639" s="2"/>
      <c r="G1639" s="2"/>
      <c r="H1639" s="2"/>
      <c r="I1639" s="5"/>
    </row>
    <row r="1640" spans="1:9" ht="17.399999999999999" x14ac:dyDescent="0.25">
      <c r="A1640" s="16"/>
      <c r="B1640" s="17"/>
      <c r="C1640" s="2"/>
      <c r="D1640" s="2"/>
      <c r="E1640" s="2"/>
      <c r="F1640" s="2"/>
      <c r="G1640" s="2"/>
      <c r="H1640" s="2"/>
      <c r="I1640" s="5"/>
    </row>
    <row r="1641" spans="1:9" ht="17.399999999999999" x14ac:dyDescent="0.25">
      <c r="A1641" s="16"/>
      <c r="B1641" s="17"/>
      <c r="C1641" s="2"/>
      <c r="D1641" s="2"/>
      <c r="E1641" s="2"/>
      <c r="F1641" s="2"/>
      <c r="G1641" s="2"/>
      <c r="H1641" s="2"/>
      <c r="I1641" s="5"/>
    </row>
    <row r="1642" spans="1:9" ht="17.399999999999999" x14ac:dyDescent="0.25">
      <c r="A1642" s="16"/>
      <c r="B1642" s="17"/>
      <c r="C1642" s="2"/>
      <c r="D1642" s="2"/>
      <c r="E1642" s="2"/>
      <c r="F1642" s="2"/>
      <c r="G1642" s="2"/>
      <c r="H1642" s="2"/>
      <c r="I1642" s="5"/>
    </row>
    <row r="1643" spans="1:9" ht="17.399999999999999" x14ac:dyDescent="0.25">
      <c r="A1643" s="16"/>
      <c r="B1643" s="17"/>
      <c r="C1643" s="2"/>
      <c r="D1643" s="2"/>
      <c r="E1643" s="2"/>
      <c r="F1643" s="2"/>
      <c r="G1643" s="2"/>
      <c r="H1643" s="2"/>
      <c r="I1643" s="5"/>
    </row>
    <row r="1644" spans="1:9" ht="17.399999999999999" x14ac:dyDescent="0.25">
      <c r="A1644" s="16"/>
      <c r="B1644" s="17"/>
      <c r="C1644" s="2"/>
      <c r="D1644" s="2"/>
      <c r="E1644" s="2"/>
      <c r="F1644" s="2"/>
      <c r="G1644" s="2"/>
      <c r="H1644" s="2"/>
      <c r="I1644" s="5"/>
    </row>
    <row r="1645" spans="1:9" ht="17.399999999999999" x14ac:dyDescent="0.25">
      <c r="A1645" s="16"/>
      <c r="B1645" s="17"/>
      <c r="C1645" s="2"/>
      <c r="D1645" s="2"/>
      <c r="E1645" s="2"/>
      <c r="F1645" s="2"/>
      <c r="G1645" s="2"/>
      <c r="H1645" s="2"/>
      <c r="I1645" s="5"/>
    </row>
    <row r="1646" spans="1:9" ht="17.399999999999999" x14ac:dyDescent="0.25">
      <c r="A1646" s="16"/>
      <c r="B1646" s="17"/>
      <c r="C1646" s="2"/>
      <c r="D1646" s="2"/>
      <c r="E1646" s="2"/>
      <c r="F1646" s="2"/>
      <c r="G1646" s="2"/>
      <c r="H1646" s="2"/>
      <c r="I1646" s="5"/>
    </row>
    <row r="1647" spans="1:9" ht="17.399999999999999" x14ac:dyDescent="0.25">
      <c r="A1647" s="16"/>
      <c r="B1647" s="17"/>
      <c r="C1647" s="2"/>
      <c r="D1647" s="2"/>
      <c r="E1647" s="2"/>
      <c r="F1647" s="2"/>
      <c r="G1647" s="2"/>
      <c r="H1647" s="2"/>
      <c r="I1647" s="5"/>
    </row>
    <row r="1648" spans="1:9" ht="17.399999999999999" x14ac:dyDescent="0.25">
      <c r="A1648" s="16"/>
      <c r="B1648" s="17"/>
      <c r="C1648" s="2"/>
      <c r="D1648" s="2"/>
      <c r="E1648" s="2"/>
      <c r="F1648" s="2"/>
      <c r="G1648" s="2"/>
      <c r="H1648" s="2"/>
      <c r="I1648" s="5"/>
    </row>
    <row r="1649" spans="1:9" ht="17.399999999999999" x14ac:dyDescent="0.25">
      <c r="A1649" s="16"/>
      <c r="B1649" s="17"/>
      <c r="C1649" s="2"/>
      <c r="D1649" s="2"/>
      <c r="E1649" s="2"/>
      <c r="F1649" s="2"/>
      <c r="G1649" s="2"/>
      <c r="H1649" s="2"/>
      <c r="I1649" s="5"/>
    </row>
    <row r="1650" spans="1:9" ht="17.399999999999999" x14ac:dyDescent="0.25">
      <c r="A1650" s="16"/>
      <c r="B1650" s="17"/>
      <c r="C1650" s="2"/>
      <c r="D1650" s="2"/>
      <c r="E1650" s="2"/>
      <c r="F1650" s="2"/>
      <c r="G1650" s="2"/>
      <c r="H1650" s="2"/>
      <c r="I1650" s="5"/>
    </row>
    <row r="1651" spans="1:9" ht="17.399999999999999" x14ac:dyDescent="0.25">
      <c r="A1651" s="16"/>
      <c r="B1651" s="17"/>
      <c r="C1651" s="2"/>
      <c r="D1651" s="2"/>
      <c r="E1651" s="2"/>
      <c r="F1651" s="2"/>
      <c r="G1651" s="2"/>
      <c r="H1651" s="2"/>
      <c r="I1651" s="5"/>
    </row>
    <row r="1652" spans="1:9" ht="17.399999999999999" x14ac:dyDescent="0.25">
      <c r="A1652" s="16"/>
      <c r="B1652" s="17"/>
      <c r="C1652" s="2"/>
      <c r="D1652" s="2"/>
      <c r="E1652" s="2"/>
      <c r="F1652" s="2"/>
      <c r="G1652" s="2"/>
      <c r="H1652" s="2"/>
      <c r="I1652" s="5"/>
    </row>
    <row r="1653" spans="1:9" ht="17.399999999999999" x14ac:dyDescent="0.25">
      <c r="A1653" s="16"/>
      <c r="B1653" s="17"/>
      <c r="C1653" s="2"/>
      <c r="D1653" s="2"/>
      <c r="E1653" s="2"/>
      <c r="F1653" s="2"/>
      <c r="G1653" s="2"/>
      <c r="H1653" s="2"/>
      <c r="I1653" s="5"/>
    </row>
    <row r="1654" spans="1:9" ht="17.399999999999999" x14ac:dyDescent="0.25">
      <c r="A1654" s="16"/>
      <c r="B1654" s="17"/>
      <c r="C1654" s="2"/>
      <c r="D1654" s="2"/>
      <c r="E1654" s="2"/>
      <c r="F1654" s="2"/>
      <c r="G1654" s="2"/>
      <c r="H1654" s="2"/>
      <c r="I1654" s="5"/>
    </row>
    <row r="1655" spans="1:9" ht="17.399999999999999" x14ac:dyDescent="0.25">
      <c r="A1655" s="16"/>
      <c r="B1655" s="17"/>
      <c r="C1655" s="2"/>
      <c r="D1655" s="2"/>
      <c r="E1655" s="2"/>
      <c r="F1655" s="2"/>
      <c r="G1655" s="2"/>
      <c r="H1655" s="2"/>
      <c r="I1655" s="5"/>
    </row>
    <row r="1656" spans="1:9" ht="17.399999999999999" x14ac:dyDescent="0.25">
      <c r="A1656" s="16"/>
      <c r="B1656" s="17"/>
      <c r="C1656" s="2"/>
      <c r="D1656" s="2"/>
      <c r="E1656" s="2"/>
      <c r="F1656" s="2"/>
      <c r="G1656" s="2"/>
      <c r="H1656" s="2"/>
      <c r="I1656" s="5"/>
    </row>
    <row r="1657" spans="1:9" ht="17.399999999999999" x14ac:dyDescent="0.25">
      <c r="A1657" s="16"/>
      <c r="B1657" s="17"/>
      <c r="C1657" s="2"/>
      <c r="D1657" s="2"/>
      <c r="E1657" s="2"/>
      <c r="F1657" s="2"/>
      <c r="G1657" s="2"/>
      <c r="H1657" s="2"/>
      <c r="I1657" s="5"/>
    </row>
    <row r="1658" spans="1:9" ht="17.399999999999999" x14ac:dyDescent="0.25">
      <c r="A1658" s="16"/>
      <c r="B1658" s="17"/>
      <c r="C1658" s="2"/>
      <c r="D1658" s="2"/>
      <c r="E1658" s="2"/>
      <c r="F1658" s="2"/>
      <c r="G1658" s="2"/>
      <c r="H1658" s="2"/>
      <c r="I1658" s="5"/>
    </row>
    <row r="1659" spans="1:9" ht="17.399999999999999" x14ac:dyDescent="0.25">
      <c r="A1659" s="16"/>
      <c r="B1659" s="17"/>
      <c r="C1659" s="2"/>
      <c r="D1659" s="2"/>
      <c r="E1659" s="2"/>
      <c r="F1659" s="2"/>
      <c r="G1659" s="2"/>
      <c r="H1659" s="2"/>
      <c r="I1659" s="5"/>
    </row>
    <row r="1660" spans="1:9" ht="17.399999999999999" x14ac:dyDescent="0.25">
      <c r="A1660" s="16"/>
      <c r="B1660" s="17"/>
      <c r="C1660" s="2"/>
      <c r="D1660" s="2"/>
      <c r="E1660" s="2"/>
      <c r="F1660" s="2"/>
      <c r="G1660" s="2"/>
      <c r="H1660" s="2"/>
      <c r="I1660" s="5"/>
    </row>
    <row r="1661" spans="1:9" ht="17.399999999999999" x14ac:dyDescent="0.25">
      <c r="A1661" s="16"/>
      <c r="B1661" s="17"/>
      <c r="C1661" s="2"/>
      <c r="D1661" s="2"/>
      <c r="E1661" s="2"/>
      <c r="F1661" s="2"/>
      <c r="G1661" s="2"/>
      <c r="H1661" s="2"/>
      <c r="I1661" s="5"/>
    </row>
    <row r="1662" spans="1:9" ht="17.399999999999999" x14ac:dyDescent="0.25">
      <c r="A1662" s="16"/>
      <c r="B1662" s="17"/>
      <c r="C1662" s="2"/>
      <c r="D1662" s="2"/>
      <c r="E1662" s="2"/>
      <c r="F1662" s="2"/>
      <c r="G1662" s="2"/>
      <c r="H1662" s="2"/>
      <c r="I1662" s="5"/>
    </row>
    <row r="1663" spans="1:9" ht="17.399999999999999" x14ac:dyDescent="0.25">
      <c r="A1663" s="16"/>
      <c r="B1663" s="17"/>
      <c r="C1663" s="2"/>
      <c r="D1663" s="2"/>
      <c r="E1663" s="2"/>
      <c r="F1663" s="2"/>
      <c r="G1663" s="2"/>
      <c r="H1663" s="2"/>
      <c r="I1663" s="5"/>
    </row>
    <row r="1664" spans="1:9" ht="17.399999999999999" x14ac:dyDescent="0.25">
      <c r="A1664" s="16"/>
      <c r="B1664" s="17"/>
      <c r="C1664" s="2"/>
      <c r="D1664" s="2"/>
      <c r="E1664" s="2"/>
      <c r="F1664" s="2"/>
      <c r="G1664" s="2"/>
      <c r="H1664" s="2"/>
      <c r="I1664" s="5"/>
    </row>
    <row r="1665" spans="1:9" ht="17.399999999999999" x14ac:dyDescent="0.25">
      <c r="A1665" s="16"/>
      <c r="B1665" s="17"/>
      <c r="C1665" s="2"/>
      <c r="D1665" s="2"/>
      <c r="E1665" s="2"/>
      <c r="F1665" s="2"/>
      <c r="G1665" s="2"/>
      <c r="H1665" s="2"/>
      <c r="I1665" s="5"/>
    </row>
    <row r="1666" spans="1:9" ht="17.399999999999999" x14ac:dyDescent="0.25">
      <c r="A1666" s="16"/>
      <c r="B1666" s="17"/>
      <c r="C1666" s="2"/>
      <c r="D1666" s="2"/>
      <c r="E1666" s="2"/>
      <c r="F1666" s="2"/>
      <c r="G1666" s="2"/>
      <c r="H1666" s="2"/>
      <c r="I1666" s="5"/>
    </row>
    <row r="1667" spans="1:9" ht="17.399999999999999" x14ac:dyDescent="0.25">
      <c r="A1667" s="16"/>
      <c r="B1667" s="17"/>
      <c r="C1667" s="2"/>
      <c r="D1667" s="2"/>
      <c r="E1667" s="2"/>
      <c r="F1667" s="2"/>
      <c r="G1667" s="2"/>
      <c r="H1667" s="2"/>
      <c r="I1667" s="5"/>
    </row>
    <row r="1668" spans="1:9" ht="17.399999999999999" x14ac:dyDescent="0.25">
      <c r="A1668" s="16"/>
      <c r="B1668" s="17"/>
      <c r="C1668" s="2"/>
      <c r="D1668" s="2"/>
      <c r="E1668" s="2"/>
      <c r="F1668" s="2"/>
      <c r="G1668" s="2"/>
      <c r="H1668" s="2"/>
      <c r="I1668" s="5"/>
    </row>
    <row r="1669" spans="1:9" ht="17.399999999999999" x14ac:dyDescent="0.25">
      <c r="A1669" s="16"/>
      <c r="B1669" s="17"/>
      <c r="C1669" s="2"/>
      <c r="D1669" s="2"/>
      <c r="E1669" s="2"/>
      <c r="F1669" s="2"/>
      <c r="G1669" s="2"/>
      <c r="H1669" s="2"/>
      <c r="I1669" s="5"/>
    </row>
    <row r="1670" spans="1:9" ht="17.399999999999999" x14ac:dyDescent="0.25">
      <c r="A1670" s="16"/>
      <c r="B1670" s="17"/>
      <c r="C1670" s="2"/>
      <c r="D1670" s="2"/>
      <c r="E1670" s="2"/>
      <c r="F1670" s="2"/>
      <c r="G1670" s="2"/>
      <c r="H1670" s="2"/>
      <c r="I1670" s="5"/>
    </row>
    <row r="1671" spans="1:9" ht="17.399999999999999" x14ac:dyDescent="0.25">
      <c r="A1671" s="16"/>
      <c r="B1671" s="17"/>
      <c r="C1671" s="2"/>
      <c r="D1671" s="2"/>
      <c r="E1671" s="2"/>
      <c r="F1671" s="2"/>
      <c r="G1671" s="2"/>
      <c r="H1671" s="2"/>
      <c r="I1671" s="5"/>
    </row>
    <row r="1672" spans="1:9" ht="17.399999999999999" x14ac:dyDescent="0.25">
      <c r="A1672" s="16"/>
      <c r="B1672" s="17"/>
      <c r="C1672" s="2"/>
      <c r="D1672" s="2"/>
      <c r="E1672" s="2"/>
      <c r="F1672" s="2"/>
      <c r="G1672" s="2"/>
      <c r="H1672" s="2"/>
      <c r="I1672" s="5"/>
    </row>
    <row r="1673" spans="1:9" ht="17.399999999999999" x14ac:dyDescent="0.25">
      <c r="A1673" s="16"/>
      <c r="B1673" s="17"/>
      <c r="C1673" s="2"/>
      <c r="D1673" s="2"/>
      <c r="E1673" s="2"/>
      <c r="F1673" s="2"/>
      <c r="G1673" s="2"/>
      <c r="H1673" s="2"/>
      <c r="I1673" s="5"/>
    </row>
    <row r="1674" spans="1:9" ht="17.399999999999999" x14ac:dyDescent="0.25">
      <c r="A1674" s="16"/>
      <c r="B1674" s="17"/>
      <c r="C1674" s="2"/>
      <c r="D1674" s="2"/>
      <c r="E1674" s="2"/>
      <c r="F1674" s="2"/>
      <c r="G1674" s="2"/>
      <c r="H1674" s="2"/>
      <c r="I1674" s="5"/>
    </row>
    <row r="1675" spans="1:9" ht="17.399999999999999" x14ac:dyDescent="0.25">
      <c r="A1675" s="16"/>
      <c r="B1675" s="17"/>
      <c r="C1675" s="2"/>
      <c r="D1675" s="2"/>
      <c r="E1675" s="2"/>
      <c r="F1675" s="2"/>
      <c r="G1675" s="2"/>
      <c r="H1675" s="2"/>
      <c r="I1675" s="5"/>
    </row>
    <row r="1676" spans="1:9" ht="17.399999999999999" x14ac:dyDescent="0.25">
      <c r="A1676" s="16"/>
      <c r="B1676" s="17"/>
      <c r="C1676" s="2"/>
      <c r="D1676" s="2"/>
      <c r="E1676" s="2"/>
      <c r="F1676" s="2"/>
      <c r="G1676" s="2"/>
      <c r="H1676" s="2"/>
      <c r="I1676" s="5"/>
    </row>
    <row r="1677" spans="1:9" ht="17.399999999999999" x14ac:dyDescent="0.25">
      <c r="A1677" s="16"/>
      <c r="B1677" s="17"/>
      <c r="C1677" s="2"/>
      <c r="D1677" s="2"/>
      <c r="E1677" s="2"/>
      <c r="F1677" s="2"/>
      <c r="G1677" s="2"/>
      <c r="H1677" s="2"/>
      <c r="I1677" s="5"/>
    </row>
    <row r="1678" spans="1:9" ht="17.399999999999999" x14ac:dyDescent="0.25">
      <c r="A1678" s="16"/>
      <c r="B1678" s="17"/>
      <c r="C1678" s="2"/>
      <c r="D1678" s="2"/>
      <c r="E1678" s="2"/>
      <c r="F1678" s="2"/>
      <c r="G1678" s="2"/>
      <c r="H1678" s="2"/>
      <c r="I1678" s="5"/>
    </row>
    <row r="1679" spans="1:9" ht="17.399999999999999" x14ac:dyDescent="0.25">
      <c r="A1679" s="16"/>
      <c r="B1679" s="17"/>
      <c r="C1679" s="2"/>
      <c r="D1679" s="2"/>
      <c r="E1679" s="2"/>
      <c r="F1679" s="2"/>
      <c r="G1679" s="2"/>
      <c r="H1679" s="2"/>
      <c r="I1679" s="5"/>
    </row>
    <row r="1680" spans="1:9" ht="17.399999999999999" x14ac:dyDescent="0.25">
      <c r="A1680" s="16"/>
      <c r="B1680" s="17"/>
      <c r="C1680" s="2"/>
      <c r="D1680" s="2"/>
      <c r="E1680" s="2"/>
      <c r="F1680" s="2"/>
      <c r="G1680" s="2"/>
      <c r="H1680" s="2"/>
      <c r="I1680" s="5"/>
    </row>
    <row r="1681" spans="1:9" ht="17.399999999999999" x14ac:dyDescent="0.25">
      <c r="A1681" s="16"/>
      <c r="B1681" s="17"/>
      <c r="C1681" s="2"/>
      <c r="D1681" s="2"/>
      <c r="E1681" s="2"/>
      <c r="F1681" s="2"/>
      <c r="G1681" s="2"/>
      <c r="H1681" s="2"/>
      <c r="I1681" s="5"/>
    </row>
    <row r="1682" spans="1:9" ht="17.399999999999999" x14ac:dyDescent="0.25">
      <c r="A1682" s="16"/>
      <c r="B1682" s="17"/>
      <c r="C1682" s="2"/>
      <c r="D1682" s="2"/>
      <c r="E1682" s="2"/>
      <c r="F1682" s="2"/>
      <c r="G1682" s="2"/>
      <c r="H1682" s="2"/>
      <c r="I1682" s="5"/>
    </row>
    <row r="1683" spans="1:9" ht="17.399999999999999" x14ac:dyDescent="0.25">
      <c r="A1683" s="16"/>
      <c r="B1683" s="17"/>
      <c r="C1683" s="2"/>
      <c r="D1683" s="2"/>
      <c r="E1683" s="2"/>
      <c r="F1683" s="2"/>
      <c r="G1683" s="2"/>
      <c r="H1683" s="2"/>
      <c r="I1683" s="5"/>
    </row>
    <row r="1684" spans="1:9" ht="17.399999999999999" x14ac:dyDescent="0.25">
      <c r="A1684" s="16"/>
      <c r="B1684" s="17"/>
      <c r="C1684" s="2"/>
      <c r="D1684" s="2"/>
      <c r="E1684" s="2"/>
      <c r="F1684" s="2"/>
      <c r="G1684" s="2"/>
      <c r="H1684" s="2"/>
      <c r="I1684" s="5"/>
    </row>
    <row r="1685" spans="1:9" ht="17.399999999999999" x14ac:dyDescent="0.25">
      <c r="A1685" s="16"/>
      <c r="B1685" s="17"/>
      <c r="C1685" s="2"/>
      <c r="D1685" s="2"/>
      <c r="E1685" s="2"/>
      <c r="F1685" s="2"/>
      <c r="G1685" s="2"/>
      <c r="H1685" s="2"/>
      <c r="I1685" s="5"/>
    </row>
    <row r="1686" spans="1:9" ht="17.399999999999999" x14ac:dyDescent="0.25">
      <c r="A1686" s="16"/>
      <c r="B1686" s="17"/>
      <c r="C1686" s="2"/>
      <c r="D1686" s="2"/>
      <c r="E1686" s="2"/>
      <c r="F1686" s="2"/>
      <c r="G1686" s="2"/>
      <c r="H1686" s="2"/>
      <c r="I1686" s="5"/>
    </row>
    <row r="1687" spans="1:9" ht="17.399999999999999" x14ac:dyDescent="0.25">
      <c r="A1687" s="16"/>
      <c r="B1687" s="17"/>
      <c r="C1687" s="2"/>
      <c r="D1687" s="2"/>
      <c r="E1687" s="2"/>
      <c r="F1687" s="2"/>
      <c r="G1687" s="2"/>
      <c r="H1687" s="2"/>
      <c r="I1687" s="5"/>
    </row>
    <row r="1688" spans="1:9" ht="17.399999999999999" x14ac:dyDescent="0.25">
      <c r="A1688" s="16"/>
      <c r="B1688" s="17"/>
      <c r="C1688" s="2"/>
      <c r="D1688" s="2"/>
      <c r="E1688" s="2"/>
      <c r="F1688" s="2"/>
      <c r="G1688" s="2"/>
      <c r="H1688" s="2"/>
      <c r="I1688" s="5"/>
    </row>
    <row r="1689" spans="1:9" ht="17.399999999999999" x14ac:dyDescent="0.25">
      <c r="A1689" s="16"/>
      <c r="B1689" s="17"/>
      <c r="C1689" s="2"/>
      <c r="D1689" s="2"/>
      <c r="E1689" s="2"/>
      <c r="F1689" s="2"/>
      <c r="G1689" s="2"/>
      <c r="H1689" s="2"/>
      <c r="I1689" s="5"/>
    </row>
    <row r="1690" spans="1:9" ht="17.399999999999999" x14ac:dyDescent="0.25">
      <c r="A1690" s="16"/>
      <c r="B1690" s="17"/>
      <c r="C1690" s="2"/>
      <c r="D1690" s="2"/>
      <c r="E1690" s="2"/>
      <c r="F1690" s="2"/>
      <c r="G1690" s="2"/>
      <c r="H1690" s="2"/>
      <c r="I1690" s="5"/>
    </row>
    <row r="1691" spans="1:9" ht="17.399999999999999" x14ac:dyDescent="0.25">
      <c r="A1691" s="16"/>
      <c r="B1691" s="17"/>
      <c r="C1691" s="2"/>
      <c r="D1691" s="2"/>
      <c r="E1691" s="2"/>
      <c r="F1691" s="2"/>
      <c r="G1691" s="2"/>
      <c r="H1691" s="2"/>
      <c r="I1691" s="5"/>
    </row>
    <row r="1692" spans="1:9" ht="17.399999999999999" x14ac:dyDescent="0.25">
      <c r="A1692" s="16"/>
      <c r="B1692" s="17"/>
      <c r="C1692" s="2"/>
      <c r="D1692" s="2"/>
      <c r="E1692" s="2"/>
      <c r="F1692" s="2"/>
      <c r="G1692" s="2"/>
      <c r="H1692" s="2"/>
      <c r="I1692" s="5"/>
    </row>
    <row r="1693" spans="1:9" ht="17.399999999999999" x14ac:dyDescent="0.25">
      <c r="A1693" s="16"/>
      <c r="B1693" s="17"/>
      <c r="C1693" s="2"/>
      <c r="D1693" s="2"/>
      <c r="E1693" s="2"/>
      <c r="F1693" s="2"/>
      <c r="G1693" s="2"/>
      <c r="H1693" s="2"/>
      <c r="I1693" s="5"/>
    </row>
    <row r="1694" spans="1:9" ht="17.399999999999999" x14ac:dyDescent="0.25">
      <c r="A1694" s="16"/>
      <c r="B1694" s="17"/>
      <c r="C1694" s="2"/>
      <c r="D1694" s="2"/>
      <c r="E1694" s="2"/>
      <c r="F1694" s="2"/>
      <c r="G1694" s="2"/>
      <c r="H1694" s="2"/>
      <c r="I1694" s="5"/>
    </row>
    <row r="1695" spans="1:9" ht="17.399999999999999" x14ac:dyDescent="0.25">
      <c r="A1695" s="16"/>
      <c r="B1695" s="17"/>
      <c r="C1695" s="2"/>
      <c r="D1695" s="2"/>
      <c r="E1695" s="2"/>
      <c r="F1695" s="2"/>
      <c r="G1695" s="2"/>
      <c r="H1695" s="2"/>
      <c r="I1695" s="5"/>
    </row>
    <row r="1696" spans="1:9" ht="17.399999999999999" x14ac:dyDescent="0.25">
      <c r="A1696" s="16"/>
      <c r="B1696" s="17"/>
      <c r="C1696" s="2"/>
      <c r="D1696" s="2"/>
      <c r="E1696" s="2"/>
      <c r="F1696" s="2"/>
      <c r="G1696" s="2"/>
      <c r="H1696" s="2"/>
      <c r="I1696" s="5"/>
    </row>
    <row r="1697" spans="1:9" ht="17.399999999999999" x14ac:dyDescent="0.25">
      <c r="A1697" s="16"/>
      <c r="B1697" s="17"/>
      <c r="C1697" s="2"/>
      <c r="D1697" s="2"/>
      <c r="E1697" s="2"/>
      <c r="F1697" s="2"/>
      <c r="G1697" s="2"/>
      <c r="H1697" s="2"/>
      <c r="I1697" s="5"/>
    </row>
    <row r="1698" spans="1:9" ht="17.399999999999999" x14ac:dyDescent="0.25">
      <c r="A1698" s="16"/>
      <c r="B1698" s="17"/>
      <c r="C1698" s="2"/>
      <c r="D1698" s="2"/>
      <c r="E1698" s="2"/>
      <c r="F1698" s="2"/>
      <c r="G1698" s="2"/>
      <c r="H1698" s="2"/>
      <c r="I1698" s="5"/>
    </row>
    <row r="1699" spans="1:9" ht="17.399999999999999" x14ac:dyDescent="0.25">
      <c r="A1699" s="16"/>
      <c r="B1699" s="17"/>
      <c r="C1699" s="2"/>
      <c r="D1699" s="2"/>
      <c r="E1699" s="2"/>
      <c r="F1699" s="2"/>
      <c r="G1699" s="2"/>
      <c r="H1699" s="2"/>
      <c r="I1699" s="5"/>
    </row>
    <row r="1700" spans="1:9" ht="17.399999999999999" x14ac:dyDescent="0.25">
      <c r="A1700" s="16"/>
      <c r="B1700" s="17"/>
      <c r="C1700" s="2"/>
      <c r="D1700" s="2"/>
      <c r="E1700" s="2"/>
      <c r="F1700" s="2"/>
      <c r="G1700" s="2"/>
      <c r="H1700" s="2"/>
      <c r="I1700" s="5"/>
    </row>
    <row r="1701" spans="1:9" ht="17.399999999999999" x14ac:dyDescent="0.25">
      <c r="A1701" s="16"/>
      <c r="B1701" s="17"/>
      <c r="C1701" s="2"/>
      <c r="D1701" s="2"/>
      <c r="E1701" s="2"/>
      <c r="F1701" s="2"/>
      <c r="G1701" s="2"/>
      <c r="H1701" s="2"/>
      <c r="I1701" s="5"/>
    </row>
    <row r="1702" spans="1:9" ht="17.399999999999999" x14ac:dyDescent="0.25">
      <c r="A1702" s="16"/>
      <c r="B1702" s="17"/>
      <c r="C1702" s="2"/>
      <c r="D1702" s="2"/>
      <c r="E1702" s="2"/>
      <c r="F1702" s="2"/>
      <c r="G1702" s="2"/>
      <c r="H1702" s="2"/>
      <c r="I1702" s="5"/>
    </row>
    <row r="1703" spans="1:9" ht="17.399999999999999" x14ac:dyDescent="0.25">
      <c r="A1703" s="16"/>
      <c r="B1703" s="17"/>
      <c r="C1703" s="2"/>
      <c r="D1703" s="2"/>
      <c r="E1703" s="2"/>
      <c r="F1703" s="2"/>
      <c r="G1703" s="2"/>
      <c r="H1703" s="2"/>
      <c r="I1703" s="5"/>
    </row>
    <row r="1704" spans="1:9" ht="17.399999999999999" x14ac:dyDescent="0.25">
      <c r="A1704" s="16"/>
      <c r="B1704" s="17"/>
      <c r="C1704" s="2"/>
      <c r="D1704" s="2"/>
      <c r="E1704" s="2"/>
      <c r="F1704" s="2"/>
      <c r="G1704" s="2"/>
      <c r="H1704" s="2"/>
      <c r="I1704" s="5"/>
    </row>
    <row r="1705" spans="1:9" ht="17.399999999999999" x14ac:dyDescent="0.25">
      <c r="A1705" s="16"/>
      <c r="B1705" s="17"/>
      <c r="C1705" s="2"/>
      <c r="D1705" s="2"/>
      <c r="E1705" s="2"/>
      <c r="F1705" s="2"/>
      <c r="G1705" s="2"/>
      <c r="H1705" s="2"/>
      <c r="I1705" s="5"/>
    </row>
    <row r="1706" spans="1:9" ht="17.399999999999999" x14ac:dyDescent="0.25">
      <c r="A1706" s="16"/>
      <c r="B1706" s="17"/>
      <c r="C1706" s="2"/>
      <c r="D1706" s="2"/>
      <c r="E1706" s="2"/>
      <c r="F1706" s="2"/>
      <c r="G1706" s="2"/>
      <c r="H1706" s="2"/>
      <c r="I1706" s="5"/>
    </row>
    <row r="1707" spans="1:9" ht="17.399999999999999" x14ac:dyDescent="0.25">
      <c r="A1707" s="16"/>
      <c r="B1707" s="17"/>
      <c r="C1707" s="2"/>
      <c r="D1707" s="2"/>
      <c r="E1707" s="2"/>
      <c r="F1707" s="2"/>
      <c r="G1707" s="2"/>
      <c r="H1707" s="2"/>
      <c r="I1707" s="5"/>
    </row>
    <row r="1708" spans="1:9" ht="17.399999999999999" x14ac:dyDescent="0.25">
      <c r="A1708" s="16"/>
      <c r="B1708" s="17"/>
      <c r="C1708" s="2"/>
      <c r="D1708" s="2"/>
      <c r="E1708" s="2"/>
      <c r="F1708" s="2"/>
      <c r="G1708" s="2"/>
      <c r="H1708" s="2"/>
      <c r="I1708" s="5"/>
    </row>
    <row r="1709" spans="1:9" ht="17.399999999999999" x14ac:dyDescent="0.25">
      <c r="A1709" s="16"/>
      <c r="B1709" s="17"/>
      <c r="C1709" s="2"/>
      <c r="D1709" s="2"/>
      <c r="E1709" s="2"/>
      <c r="F1709" s="2"/>
      <c r="G1709" s="2"/>
      <c r="H1709" s="2"/>
      <c r="I1709" s="5"/>
    </row>
    <row r="1710" spans="1:9" ht="17.399999999999999" x14ac:dyDescent="0.25">
      <c r="A1710" s="16"/>
      <c r="B1710" s="17"/>
      <c r="C1710" s="2"/>
      <c r="D1710" s="2"/>
      <c r="E1710" s="2"/>
      <c r="F1710" s="2"/>
      <c r="G1710" s="2"/>
      <c r="H1710" s="2"/>
      <c r="I1710" s="5"/>
    </row>
    <row r="1711" spans="1:9" ht="17.399999999999999" x14ac:dyDescent="0.25">
      <c r="A1711" s="16"/>
      <c r="B1711" s="17"/>
      <c r="C1711" s="2"/>
      <c r="D1711" s="2"/>
      <c r="E1711" s="2"/>
      <c r="F1711" s="2"/>
      <c r="G1711" s="2"/>
      <c r="H1711" s="2"/>
      <c r="I1711" s="5"/>
    </row>
    <row r="1712" spans="1:9" ht="17.399999999999999" x14ac:dyDescent="0.25">
      <c r="A1712" s="16"/>
      <c r="B1712" s="17"/>
      <c r="C1712" s="2"/>
      <c r="D1712" s="2"/>
      <c r="E1712" s="2"/>
      <c r="F1712" s="2"/>
      <c r="G1712" s="2"/>
      <c r="H1712" s="2"/>
      <c r="I1712" s="5"/>
    </row>
    <row r="1713" spans="1:9" ht="17.399999999999999" x14ac:dyDescent="0.25">
      <c r="A1713" s="16"/>
      <c r="B1713" s="17"/>
      <c r="C1713" s="2"/>
      <c r="D1713" s="2"/>
      <c r="E1713" s="2"/>
      <c r="F1713" s="2"/>
      <c r="G1713" s="2"/>
      <c r="H1713" s="2"/>
      <c r="I1713" s="5"/>
    </row>
    <row r="1714" spans="1:9" ht="17.399999999999999" x14ac:dyDescent="0.25">
      <c r="A1714" s="16"/>
      <c r="B1714" s="17"/>
      <c r="C1714" s="2"/>
      <c r="D1714" s="2"/>
      <c r="E1714" s="2"/>
      <c r="F1714" s="2"/>
      <c r="G1714" s="2"/>
      <c r="H1714" s="2"/>
      <c r="I1714" s="5"/>
    </row>
    <row r="1715" spans="1:9" ht="17.399999999999999" x14ac:dyDescent="0.25">
      <c r="A1715" s="16"/>
      <c r="B1715" s="17"/>
      <c r="C1715" s="2"/>
      <c r="D1715" s="2"/>
      <c r="E1715" s="2"/>
      <c r="F1715" s="2"/>
      <c r="G1715" s="2"/>
      <c r="H1715" s="2"/>
      <c r="I1715" s="5"/>
    </row>
    <row r="1716" spans="1:9" ht="17.399999999999999" x14ac:dyDescent="0.25">
      <c r="A1716" s="16"/>
      <c r="B1716" s="17"/>
      <c r="C1716" s="2"/>
      <c r="D1716" s="2"/>
      <c r="E1716" s="2"/>
      <c r="F1716" s="2"/>
      <c r="G1716" s="2"/>
      <c r="H1716" s="2"/>
      <c r="I1716" s="5"/>
    </row>
    <row r="1717" spans="1:9" ht="17.399999999999999" x14ac:dyDescent="0.25">
      <c r="A1717" s="16"/>
      <c r="B1717" s="17"/>
      <c r="C1717" s="2"/>
      <c r="D1717" s="2"/>
      <c r="E1717" s="2"/>
      <c r="F1717" s="2"/>
      <c r="G1717" s="2"/>
      <c r="H1717" s="2"/>
      <c r="I1717" s="5"/>
    </row>
    <row r="1718" spans="1:9" ht="17.399999999999999" x14ac:dyDescent="0.25">
      <c r="A1718" s="16"/>
      <c r="B1718" s="17"/>
      <c r="C1718" s="2"/>
      <c r="D1718" s="2"/>
      <c r="E1718" s="2"/>
      <c r="F1718" s="2"/>
      <c r="G1718" s="2"/>
      <c r="H1718" s="2"/>
      <c r="I1718" s="5"/>
    </row>
    <row r="1719" spans="1:9" ht="17.399999999999999" x14ac:dyDescent="0.25">
      <c r="A1719" s="16"/>
      <c r="B1719" s="17"/>
      <c r="C1719" s="2"/>
      <c r="D1719" s="2"/>
      <c r="E1719" s="2"/>
      <c r="F1719" s="2"/>
      <c r="G1719" s="2"/>
      <c r="H1719" s="2"/>
      <c r="I1719" s="5"/>
    </row>
    <row r="1720" spans="1:9" ht="17.399999999999999" x14ac:dyDescent="0.25">
      <c r="A1720" s="16"/>
      <c r="B1720" s="17"/>
      <c r="C1720" s="2"/>
      <c r="D1720" s="2"/>
      <c r="E1720" s="2"/>
      <c r="F1720" s="2"/>
      <c r="G1720" s="2"/>
      <c r="H1720" s="2"/>
      <c r="I1720" s="5"/>
    </row>
    <row r="1721" spans="1:9" ht="17.399999999999999" x14ac:dyDescent="0.25">
      <c r="A1721" s="16"/>
      <c r="B1721" s="17"/>
      <c r="C1721" s="2"/>
      <c r="D1721" s="2"/>
      <c r="E1721" s="2"/>
      <c r="F1721" s="2"/>
      <c r="G1721" s="2"/>
      <c r="H1721" s="2"/>
      <c r="I1721" s="5"/>
    </row>
    <row r="1722" spans="1:9" ht="17.399999999999999" x14ac:dyDescent="0.25">
      <c r="A1722" s="16"/>
      <c r="B1722" s="17"/>
      <c r="C1722" s="2"/>
      <c r="D1722" s="2"/>
      <c r="E1722" s="2"/>
      <c r="F1722" s="2"/>
      <c r="G1722" s="2"/>
      <c r="H1722" s="2"/>
      <c r="I1722" s="5"/>
    </row>
    <row r="1723" spans="1:9" ht="17.399999999999999" x14ac:dyDescent="0.25">
      <c r="A1723" s="16"/>
      <c r="B1723" s="17"/>
      <c r="C1723" s="2"/>
      <c r="D1723" s="2"/>
      <c r="E1723" s="2"/>
      <c r="F1723" s="2"/>
      <c r="G1723" s="2"/>
      <c r="H1723" s="2"/>
      <c r="I1723" s="5"/>
    </row>
    <row r="1724" spans="1:9" ht="17.399999999999999" x14ac:dyDescent="0.25">
      <c r="A1724" s="16"/>
      <c r="B1724" s="17"/>
      <c r="C1724" s="2"/>
      <c r="D1724" s="2"/>
      <c r="E1724" s="2"/>
      <c r="F1724" s="2"/>
      <c r="G1724" s="2"/>
      <c r="H1724" s="2"/>
      <c r="I1724" s="5"/>
    </row>
    <row r="1725" spans="1:9" ht="17.399999999999999" x14ac:dyDescent="0.25">
      <c r="A1725" s="16"/>
      <c r="B1725" s="17"/>
      <c r="C1725" s="2"/>
      <c r="D1725" s="2"/>
      <c r="E1725" s="2"/>
      <c r="F1725" s="2"/>
      <c r="G1725" s="2"/>
      <c r="H1725" s="2"/>
      <c r="I1725" s="5"/>
    </row>
    <row r="1726" spans="1:9" ht="17.399999999999999" x14ac:dyDescent="0.25">
      <c r="A1726" s="16"/>
      <c r="B1726" s="17"/>
      <c r="C1726" s="2"/>
      <c r="D1726" s="2"/>
      <c r="E1726" s="2"/>
      <c r="F1726" s="2"/>
      <c r="G1726" s="2"/>
      <c r="H1726" s="2"/>
      <c r="I1726" s="5"/>
    </row>
    <row r="1727" spans="1:9" ht="17.399999999999999" x14ac:dyDescent="0.25">
      <c r="A1727" s="16"/>
      <c r="B1727" s="17"/>
      <c r="C1727" s="2"/>
      <c r="D1727" s="2"/>
      <c r="E1727" s="2"/>
      <c r="F1727" s="2"/>
      <c r="G1727" s="2"/>
      <c r="H1727" s="2"/>
      <c r="I1727" s="5"/>
    </row>
    <row r="1728" spans="1:9" ht="17.399999999999999" x14ac:dyDescent="0.25">
      <c r="A1728" s="16"/>
      <c r="B1728" s="17"/>
      <c r="C1728" s="2"/>
      <c r="D1728" s="2"/>
      <c r="E1728" s="2"/>
      <c r="F1728" s="2"/>
      <c r="G1728" s="2"/>
      <c r="H1728" s="2"/>
      <c r="I1728" s="5"/>
    </row>
    <row r="1729" spans="1:9" ht="17.399999999999999" x14ac:dyDescent="0.25">
      <c r="A1729" s="16"/>
      <c r="B1729" s="17"/>
      <c r="C1729" s="2"/>
      <c r="D1729" s="2"/>
      <c r="E1729" s="2"/>
      <c r="F1729" s="2"/>
      <c r="G1729" s="2"/>
      <c r="H1729" s="2"/>
      <c r="I1729" s="5"/>
    </row>
    <row r="1730" spans="1:9" ht="17.399999999999999" x14ac:dyDescent="0.25">
      <c r="A1730" s="16"/>
      <c r="B1730" s="17"/>
      <c r="C1730" s="2"/>
      <c r="D1730" s="2"/>
      <c r="E1730" s="2"/>
      <c r="F1730" s="2"/>
      <c r="G1730" s="2"/>
      <c r="H1730" s="2"/>
      <c r="I1730" s="5"/>
    </row>
    <row r="1731" spans="1:9" ht="17.399999999999999" x14ac:dyDescent="0.25">
      <c r="A1731" s="16"/>
      <c r="B1731" s="17"/>
      <c r="C1731" s="2"/>
      <c r="D1731" s="2"/>
      <c r="E1731" s="2"/>
      <c r="F1731" s="2"/>
      <c r="G1731" s="2"/>
      <c r="H1731" s="2"/>
      <c r="I1731" s="5"/>
    </row>
    <row r="1732" spans="1:9" ht="17.399999999999999" x14ac:dyDescent="0.25">
      <c r="A1732" s="16"/>
      <c r="B1732" s="17"/>
      <c r="C1732" s="2"/>
      <c r="D1732" s="2"/>
      <c r="E1732" s="2"/>
      <c r="F1732" s="2"/>
      <c r="G1732" s="2"/>
      <c r="H1732" s="2"/>
      <c r="I1732" s="5"/>
    </row>
    <row r="1733" spans="1:9" ht="17.399999999999999" x14ac:dyDescent="0.25">
      <c r="A1733" s="16"/>
      <c r="B1733" s="17"/>
      <c r="C1733" s="2"/>
      <c r="D1733" s="2"/>
      <c r="E1733" s="2"/>
      <c r="F1733" s="2"/>
      <c r="G1733" s="2"/>
      <c r="H1733" s="2"/>
      <c r="I1733" s="5"/>
    </row>
    <row r="1734" spans="1:9" ht="17.399999999999999" x14ac:dyDescent="0.25">
      <c r="A1734" s="16"/>
      <c r="B1734" s="17"/>
      <c r="C1734" s="2"/>
      <c r="D1734" s="2"/>
      <c r="E1734" s="2"/>
      <c r="F1734" s="2"/>
      <c r="G1734" s="2"/>
      <c r="H1734" s="2"/>
      <c r="I1734" s="5"/>
    </row>
    <row r="1735" spans="1:9" ht="17.399999999999999" x14ac:dyDescent="0.25">
      <c r="A1735" s="16"/>
      <c r="B1735" s="17"/>
      <c r="C1735" s="2"/>
      <c r="D1735" s="2"/>
      <c r="E1735" s="2"/>
      <c r="F1735" s="2"/>
      <c r="G1735" s="2"/>
      <c r="H1735" s="2"/>
      <c r="I1735" s="5"/>
    </row>
    <row r="1736" spans="1:9" ht="17.399999999999999" x14ac:dyDescent="0.25">
      <c r="A1736" s="16"/>
      <c r="B1736" s="17"/>
      <c r="C1736" s="2"/>
      <c r="D1736" s="2"/>
      <c r="E1736" s="2"/>
      <c r="F1736" s="2"/>
      <c r="G1736" s="2"/>
      <c r="H1736" s="2"/>
      <c r="I1736" s="5"/>
    </row>
    <row r="1737" spans="1:9" ht="17.399999999999999" x14ac:dyDescent="0.25">
      <c r="A1737" s="16"/>
      <c r="B1737" s="17"/>
      <c r="C1737" s="2"/>
      <c r="D1737" s="2"/>
      <c r="E1737" s="2"/>
      <c r="F1737" s="2"/>
      <c r="G1737" s="2"/>
      <c r="H1737" s="2"/>
      <c r="I1737" s="5"/>
    </row>
    <row r="1738" spans="1:9" ht="17.399999999999999" x14ac:dyDescent="0.25">
      <c r="A1738" s="16"/>
      <c r="B1738" s="17"/>
      <c r="C1738" s="2"/>
      <c r="D1738" s="2"/>
      <c r="E1738" s="2"/>
      <c r="F1738" s="2"/>
      <c r="G1738" s="2"/>
      <c r="H1738" s="2"/>
      <c r="I1738" s="5"/>
    </row>
    <row r="1739" spans="1:9" ht="17.399999999999999" x14ac:dyDescent="0.25">
      <c r="A1739" s="16"/>
      <c r="B1739" s="17"/>
      <c r="C1739" s="2"/>
      <c r="D1739" s="2"/>
      <c r="E1739" s="2"/>
      <c r="F1739" s="2"/>
      <c r="G1739" s="2"/>
      <c r="H1739" s="2"/>
      <c r="I1739" s="5"/>
    </row>
    <row r="1740" spans="1:9" ht="17.399999999999999" x14ac:dyDescent="0.25">
      <c r="A1740" s="16"/>
      <c r="B1740" s="17"/>
      <c r="C1740" s="2"/>
      <c r="D1740" s="2"/>
      <c r="E1740" s="2"/>
      <c r="F1740" s="2"/>
      <c r="G1740" s="2"/>
      <c r="H1740" s="2"/>
      <c r="I1740" s="5"/>
    </row>
    <row r="1741" spans="1:9" ht="17.399999999999999" x14ac:dyDescent="0.25">
      <c r="A1741" s="16"/>
      <c r="B1741" s="17"/>
      <c r="C1741" s="2"/>
      <c r="D1741" s="2"/>
      <c r="E1741" s="2"/>
      <c r="F1741" s="2"/>
      <c r="G1741" s="2"/>
      <c r="H1741" s="2"/>
      <c r="I1741" s="5"/>
    </row>
    <row r="1742" spans="1:9" ht="17.399999999999999" x14ac:dyDescent="0.25">
      <c r="A1742" s="16"/>
      <c r="B1742" s="17"/>
      <c r="C1742" s="2"/>
      <c r="D1742" s="2"/>
      <c r="E1742" s="2"/>
      <c r="F1742" s="2"/>
      <c r="G1742" s="2"/>
      <c r="H1742" s="2"/>
      <c r="I1742" s="5"/>
    </row>
    <row r="1743" spans="1:9" ht="17.399999999999999" x14ac:dyDescent="0.25">
      <c r="A1743" s="16"/>
      <c r="B1743" s="17"/>
      <c r="C1743" s="2"/>
      <c r="D1743" s="2"/>
      <c r="E1743" s="2"/>
      <c r="F1743" s="2"/>
      <c r="G1743" s="2"/>
      <c r="H1743" s="2"/>
      <c r="I1743" s="5"/>
    </row>
    <row r="1744" spans="1:9" ht="17.399999999999999" x14ac:dyDescent="0.25">
      <c r="A1744" s="16"/>
      <c r="B1744" s="17"/>
      <c r="C1744" s="2"/>
      <c r="D1744" s="2"/>
      <c r="E1744" s="2"/>
      <c r="F1744" s="2"/>
      <c r="G1744" s="2"/>
      <c r="H1744" s="2"/>
      <c r="I1744" s="5"/>
    </row>
    <row r="1745" spans="1:9" ht="17.399999999999999" x14ac:dyDescent="0.25">
      <c r="A1745" s="16"/>
      <c r="B1745" s="17"/>
      <c r="C1745" s="2"/>
      <c r="D1745" s="2"/>
      <c r="E1745" s="2"/>
      <c r="F1745" s="2"/>
      <c r="G1745" s="2"/>
      <c r="H1745" s="2"/>
      <c r="I1745" s="5"/>
    </row>
    <row r="1746" spans="1:9" ht="17.399999999999999" x14ac:dyDescent="0.25">
      <c r="A1746" s="16"/>
      <c r="B1746" s="17"/>
      <c r="C1746" s="2"/>
      <c r="D1746" s="2"/>
      <c r="E1746" s="2"/>
      <c r="F1746" s="2"/>
      <c r="G1746" s="2"/>
      <c r="H1746" s="2"/>
      <c r="I1746" s="5"/>
    </row>
    <row r="1747" spans="1:9" ht="17.399999999999999" x14ac:dyDescent="0.25">
      <c r="A1747" s="16"/>
      <c r="B1747" s="17"/>
      <c r="C1747" s="2"/>
      <c r="D1747" s="2"/>
      <c r="E1747" s="2"/>
      <c r="F1747" s="2"/>
      <c r="G1747" s="2"/>
      <c r="H1747" s="2"/>
      <c r="I1747" s="5"/>
    </row>
    <row r="1748" spans="1:9" ht="17.399999999999999" x14ac:dyDescent="0.25">
      <c r="A1748" s="16"/>
      <c r="B1748" s="17"/>
      <c r="C1748" s="2"/>
      <c r="D1748" s="2"/>
      <c r="E1748" s="2"/>
      <c r="F1748" s="2"/>
      <c r="G1748" s="2"/>
      <c r="H1748" s="2"/>
      <c r="I1748" s="5"/>
    </row>
    <row r="1749" spans="1:9" ht="17.399999999999999" x14ac:dyDescent="0.25">
      <c r="A1749" s="16"/>
      <c r="B1749" s="17"/>
      <c r="C1749" s="2"/>
      <c r="D1749" s="2"/>
      <c r="E1749" s="2"/>
      <c r="F1749" s="2"/>
      <c r="G1749" s="2"/>
      <c r="H1749" s="2"/>
      <c r="I1749" s="5"/>
    </row>
    <row r="1750" spans="1:9" ht="17.399999999999999" x14ac:dyDescent="0.25">
      <c r="A1750" s="16"/>
      <c r="B1750" s="17"/>
      <c r="C1750" s="2"/>
      <c r="D1750" s="2"/>
      <c r="E1750" s="2"/>
      <c r="F1750" s="2"/>
      <c r="G1750" s="2"/>
      <c r="H1750" s="2"/>
      <c r="I1750" s="5"/>
    </row>
    <row r="1751" spans="1:9" ht="17.399999999999999" x14ac:dyDescent="0.25">
      <c r="A1751" s="16"/>
      <c r="B1751" s="17"/>
      <c r="C1751" s="2"/>
      <c r="D1751" s="2"/>
      <c r="E1751" s="2"/>
      <c r="F1751" s="2"/>
      <c r="G1751" s="2"/>
      <c r="H1751" s="2"/>
      <c r="I1751" s="5"/>
    </row>
    <row r="1752" spans="1:9" ht="17.399999999999999" x14ac:dyDescent="0.25">
      <c r="A1752" s="16"/>
      <c r="B1752" s="17"/>
      <c r="C1752" s="2"/>
      <c r="D1752" s="2"/>
      <c r="E1752" s="2"/>
      <c r="F1752" s="2"/>
      <c r="G1752" s="2"/>
      <c r="H1752" s="2"/>
      <c r="I1752" s="5"/>
    </row>
    <row r="1753" spans="1:9" ht="17.399999999999999" x14ac:dyDescent="0.25">
      <c r="A1753" s="16"/>
      <c r="B1753" s="17"/>
      <c r="C1753" s="2"/>
      <c r="D1753" s="2"/>
      <c r="E1753" s="2"/>
      <c r="F1753" s="2"/>
      <c r="G1753" s="2"/>
      <c r="H1753" s="2"/>
      <c r="I1753" s="5"/>
    </row>
    <row r="1754" spans="1:9" ht="17.399999999999999" x14ac:dyDescent="0.25">
      <c r="A1754" s="16"/>
      <c r="B1754" s="17"/>
      <c r="C1754" s="2"/>
      <c r="D1754" s="2"/>
      <c r="E1754" s="2"/>
      <c r="F1754" s="2"/>
      <c r="G1754" s="2"/>
      <c r="H1754" s="2"/>
      <c r="I1754" s="5"/>
    </row>
    <row r="1755" spans="1:9" ht="17.399999999999999" x14ac:dyDescent="0.25">
      <c r="A1755" s="16"/>
      <c r="B1755" s="17"/>
      <c r="C1755" s="2"/>
      <c r="D1755" s="2"/>
      <c r="E1755" s="2"/>
      <c r="F1755" s="2"/>
      <c r="G1755" s="2"/>
      <c r="H1755" s="2"/>
      <c r="I1755" s="5"/>
    </row>
    <row r="1756" spans="1:9" ht="17.399999999999999" x14ac:dyDescent="0.25">
      <c r="A1756" s="16"/>
      <c r="B1756" s="17"/>
      <c r="C1756" s="2"/>
      <c r="D1756" s="2"/>
      <c r="E1756" s="2"/>
      <c r="F1756" s="2"/>
      <c r="G1756" s="2"/>
      <c r="H1756" s="2"/>
      <c r="I1756" s="5"/>
    </row>
    <row r="1757" spans="1:9" ht="17.399999999999999" x14ac:dyDescent="0.25">
      <c r="A1757" s="16"/>
      <c r="B1757" s="17"/>
      <c r="C1757" s="2"/>
      <c r="D1757" s="2"/>
      <c r="E1757" s="2"/>
      <c r="F1757" s="2"/>
      <c r="G1757" s="2"/>
      <c r="H1757" s="2"/>
      <c r="I1757" s="5"/>
    </row>
    <row r="1758" spans="1:9" ht="17.399999999999999" x14ac:dyDescent="0.25">
      <c r="A1758" s="16"/>
      <c r="B1758" s="17"/>
      <c r="C1758" s="2"/>
      <c r="D1758" s="2"/>
      <c r="E1758" s="2"/>
      <c r="F1758" s="2"/>
      <c r="G1758" s="2"/>
      <c r="H1758" s="2"/>
      <c r="I1758" s="5"/>
    </row>
    <row r="1759" spans="1:9" ht="17.399999999999999" x14ac:dyDescent="0.25">
      <c r="A1759" s="16"/>
      <c r="B1759" s="17"/>
      <c r="C1759" s="2"/>
      <c r="D1759" s="2"/>
      <c r="E1759" s="2"/>
      <c r="F1759" s="2"/>
      <c r="G1759" s="2"/>
      <c r="H1759" s="2"/>
      <c r="I1759" s="5"/>
    </row>
    <row r="1760" spans="1:9" ht="17.399999999999999" x14ac:dyDescent="0.25">
      <c r="A1760" s="16"/>
      <c r="B1760" s="17"/>
      <c r="C1760" s="2"/>
      <c r="D1760" s="2"/>
      <c r="E1760" s="2"/>
      <c r="F1760" s="2"/>
      <c r="G1760" s="2"/>
      <c r="H1760" s="2"/>
      <c r="I1760" s="5"/>
    </row>
    <row r="1761" spans="1:9" ht="17.399999999999999" x14ac:dyDescent="0.25">
      <c r="A1761" s="16"/>
      <c r="B1761" s="17"/>
      <c r="C1761" s="2"/>
      <c r="D1761" s="2"/>
      <c r="E1761" s="2"/>
      <c r="F1761" s="2"/>
      <c r="G1761" s="2"/>
      <c r="H1761" s="2"/>
      <c r="I1761" s="5"/>
    </row>
    <row r="1762" spans="1:9" ht="17.399999999999999" x14ac:dyDescent="0.25">
      <c r="A1762" s="16"/>
      <c r="B1762" s="17"/>
      <c r="C1762" s="2"/>
      <c r="D1762" s="2"/>
      <c r="E1762" s="2"/>
      <c r="F1762" s="2"/>
      <c r="G1762" s="2"/>
      <c r="H1762" s="2"/>
      <c r="I1762" s="5"/>
    </row>
    <row r="1763" spans="1:9" ht="17.399999999999999" x14ac:dyDescent="0.25">
      <c r="A1763" s="16"/>
      <c r="B1763" s="17"/>
      <c r="C1763" s="2"/>
      <c r="D1763" s="2"/>
      <c r="E1763" s="2"/>
      <c r="F1763" s="2"/>
      <c r="G1763" s="2"/>
      <c r="H1763" s="2"/>
      <c r="I1763" s="5"/>
    </row>
    <row r="1764" spans="1:9" ht="17.399999999999999" x14ac:dyDescent="0.25">
      <c r="A1764" s="16"/>
      <c r="B1764" s="17"/>
      <c r="C1764" s="2"/>
      <c r="D1764" s="2"/>
      <c r="E1764" s="2"/>
      <c r="F1764" s="2"/>
      <c r="G1764" s="2"/>
      <c r="H1764" s="2"/>
      <c r="I1764" s="5"/>
    </row>
    <row r="1765" spans="1:9" ht="17.399999999999999" x14ac:dyDescent="0.25">
      <c r="A1765" s="16"/>
      <c r="B1765" s="17"/>
      <c r="C1765" s="2"/>
      <c r="D1765" s="2"/>
      <c r="E1765" s="2"/>
      <c r="F1765" s="2"/>
      <c r="G1765" s="2"/>
      <c r="H1765" s="2"/>
      <c r="I1765" s="5"/>
    </row>
    <row r="1766" spans="1:9" ht="17.399999999999999" x14ac:dyDescent="0.25">
      <c r="A1766" s="16"/>
      <c r="B1766" s="17"/>
      <c r="C1766" s="2"/>
      <c r="D1766" s="2"/>
      <c r="E1766" s="2"/>
      <c r="F1766" s="2"/>
      <c r="G1766" s="2"/>
      <c r="H1766" s="2"/>
      <c r="I1766" s="5"/>
    </row>
    <row r="1767" spans="1:9" ht="17.399999999999999" x14ac:dyDescent="0.25">
      <c r="A1767" s="16"/>
      <c r="B1767" s="17"/>
      <c r="C1767" s="2"/>
      <c r="D1767" s="2"/>
      <c r="E1767" s="2"/>
      <c r="F1767" s="2"/>
      <c r="G1767" s="2"/>
      <c r="H1767" s="2"/>
      <c r="I1767" s="5"/>
    </row>
    <row r="1768" spans="1:9" ht="17.399999999999999" x14ac:dyDescent="0.25">
      <c r="A1768" s="16"/>
      <c r="B1768" s="17"/>
      <c r="C1768" s="2"/>
      <c r="D1768" s="2"/>
      <c r="E1768" s="2"/>
      <c r="F1768" s="2"/>
      <c r="G1768" s="2"/>
      <c r="H1768" s="2"/>
      <c r="I1768" s="5"/>
    </row>
    <row r="1769" spans="1:9" ht="17.399999999999999" x14ac:dyDescent="0.25">
      <c r="A1769" s="16"/>
      <c r="B1769" s="17"/>
      <c r="C1769" s="2"/>
      <c r="D1769" s="2"/>
      <c r="E1769" s="2"/>
      <c r="F1769" s="2"/>
      <c r="G1769" s="2"/>
      <c r="H1769" s="2"/>
      <c r="I1769" s="5"/>
    </row>
    <row r="1770" spans="1:9" ht="17.399999999999999" x14ac:dyDescent="0.25">
      <c r="A1770" s="16"/>
      <c r="B1770" s="17"/>
      <c r="C1770" s="2"/>
      <c r="D1770" s="2"/>
      <c r="E1770" s="2"/>
      <c r="F1770" s="2"/>
      <c r="G1770" s="2"/>
      <c r="H1770" s="2"/>
      <c r="I1770" s="5"/>
    </row>
    <row r="1771" spans="1:9" ht="17.399999999999999" x14ac:dyDescent="0.25">
      <c r="A1771" s="16"/>
      <c r="B1771" s="17"/>
      <c r="C1771" s="2"/>
      <c r="D1771" s="2"/>
      <c r="E1771" s="2"/>
      <c r="F1771" s="2"/>
      <c r="G1771" s="2"/>
      <c r="H1771" s="2"/>
      <c r="I1771" s="5"/>
    </row>
    <row r="1772" spans="1:9" ht="17.399999999999999" x14ac:dyDescent="0.25">
      <c r="A1772" s="16"/>
      <c r="B1772" s="17"/>
      <c r="C1772" s="2"/>
      <c r="D1772" s="2"/>
      <c r="E1772" s="2"/>
      <c r="F1772" s="2"/>
      <c r="G1772" s="2"/>
      <c r="H1772" s="2"/>
      <c r="I1772" s="5"/>
    </row>
    <row r="1773" spans="1:9" ht="17.399999999999999" x14ac:dyDescent="0.25">
      <c r="A1773" s="16"/>
      <c r="B1773" s="17"/>
      <c r="C1773" s="2"/>
      <c r="D1773" s="2"/>
      <c r="E1773" s="2"/>
      <c r="F1773" s="2"/>
      <c r="G1773" s="2"/>
      <c r="H1773" s="2"/>
      <c r="I1773" s="5"/>
    </row>
    <row r="1774" spans="1:9" ht="17.399999999999999" x14ac:dyDescent="0.25">
      <c r="A1774" s="16"/>
      <c r="B1774" s="17"/>
      <c r="C1774" s="2"/>
      <c r="D1774" s="2"/>
      <c r="E1774" s="2"/>
      <c r="F1774" s="2"/>
      <c r="G1774" s="2"/>
      <c r="H1774" s="2"/>
      <c r="I1774" s="5"/>
    </row>
    <row r="1775" spans="1:9" ht="17.399999999999999" x14ac:dyDescent="0.25">
      <c r="A1775" s="16"/>
      <c r="B1775" s="17"/>
      <c r="C1775" s="2"/>
      <c r="D1775" s="2"/>
      <c r="E1775" s="2"/>
      <c r="F1775" s="2"/>
      <c r="G1775" s="2"/>
      <c r="H1775" s="2"/>
      <c r="I1775" s="5"/>
    </row>
    <row r="1776" spans="1:9" ht="17.399999999999999" x14ac:dyDescent="0.25">
      <c r="A1776" s="16"/>
      <c r="B1776" s="17"/>
      <c r="C1776" s="2"/>
      <c r="D1776" s="2"/>
      <c r="E1776" s="2"/>
      <c r="F1776" s="2"/>
      <c r="G1776" s="2"/>
      <c r="H1776" s="2"/>
      <c r="I1776" s="5"/>
    </row>
    <row r="1777" spans="1:9" ht="17.399999999999999" x14ac:dyDescent="0.25">
      <c r="A1777" s="16"/>
      <c r="B1777" s="17"/>
      <c r="C1777" s="2"/>
      <c r="D1777" s="2"/>
      <c r="E1777" s="2"/>
      <c r="F1777" s="2"/>
      <c r="G1777" s="2"/>
      <c r="H1777" s="2"/>
      <c r="I1777" s="5"/>
    </row>
    <row r="1778" spans="1:9" ht="17.399999999999999" x14ac:dyDescent="0.25">
      <c r="A1778" s="16"/>
      <c r="B1778" s="17"/>
      <c r="C1778" s="2"/>
      <c r="D1778" s="2"/>
      <c r="E1778" s="2"/>
      <c r="F1778" s="2"/>
      <c r="G1778" s="2"/>
      <c r="H1778" s="2"/>
      <c r="I1778" s="5"/>
    </row>
    <row r="1779" spans="1:9" ht="17.399999999999999" x14ac:dyDescent="0.25">
      <c r="A1779" s="16"/>
      <c r="B1779" s="17"/>
      <c r="C1779" s="2"/>
      <c r="D1779" s="2"/>
      <c r="E1779" s="2"/>
      <c r="F1779" s="2"/>
      <c r="G1779" s="2"/>
      <c r="H1779" s="2"/>
      <c r="I1779" s="5"/>
    </row>
    <row r="1780" spans="1:9" ht="17.399999999999999" x14ac:dyDescent="0.25">
      <c r="A1780" s="16"/>
      <c r="B1780" s="17"/>
      <c r="C1780" s="2"/>
      <c r="D1780" s="2"/>
      <c r="E1780" s="2"/>
      <c r="F1780" s="2"/>
      <c r="G1780" s="2"/>
      <c r="H1780" s="2"/>
      <c r="I1780" s="5"/>
    </row>
    <row r="1781" spans="1:9" ht="17.399999999999999" x14ac:dyDescent="0.25">
      <c r="A1781" s="16"/>
      <c r="B1781" s="17"/>
      <c r="C1781" s="2"/>
      <c r="D1781" s="2"/>
      <c r="E1781" s="2"/>
      <c r="F1781" s="2"/>
      <c r="G1781" s="2"/>
      <c r="H1781" s="2"/>
      <c r="I1781" s="5"/>
    </row>
    <row r="1782" spans="1:9" ht="17.399999999999999" x14ac:dyDescent="0.25">
      <c r="A1782" s="16"/>
      <c r="B1782" s="17"/>
      <c r="C1782" s="2"/>
      <c r="D1782" s="2"/>
      <c r="E1782" s="2"/>
      <c r="F1782" s="2"/>
      <c r="G1782" s="2"/>
      <c r="H1782" s="2"/>
      <c r="I1782" s="5"/>
    </row>
    <row r="1783" spans="1:9" ht="17.399999999999999" x14ac:dyDescent="0.25">
      <c r="A1783" s="16"/>
      <c r="B1783" s="17"/>
      <c r="C1783" s="2"/>
      <c r="D1783" s="2"/>
      <c r="E1783" s="2"/>
      <c r="F1783" s="2"/>
      <c r="G1783" s="2"/>
      <c r="H1783" s="2"/>
      <c r="I1783" s="5"/>
    </row>
    <row r="1784" spans="1:9" ht="17.399999999999999" x14ac:dyDescent="0.25">
      <c r="A1784" s="16"/>
      <c r="B1784" s="17"/>
      <c r="C1784" s="2"/>
      <c r="D1784" s="2"/>
      <c r="E1784" s="2"/>
      <c r="F1784" s="2"/>
      <c r="G1784" s="2"/>
      <c r="H1784" s="2"/>
      <c r="I1784" s="5"/>
    </row>
    <row r="1785" spans="1:9" ht="17.399999999999999" x14ac:dyDescent="0.25">
      <c r="A1785" s="16"/>
      <c r="B1785" s="17"/>
      <c r="C1785" s="2"/>
      <c r="D1785" s="2"/>
      <c r="E1785" s="2"/>
      <c r="F1785" s="2"/>
      <c r="G1785" s="2"/>
      <c r="H1785" s="2"/>
      <c r="I1785" s="5"/>
    </row>
    <row r="1786" spans="1:9" ht="17.399999999999999" x14ac:dyDescent="0.25">
      <c r="A1786" s="16"/>
      <c r="B1786" s="17"/>
      <c r="C1786" s="2"/>
      <c r="D1786" s="2"/>
      <c r="E1786" s="2"/>
      <c r="F1786" s="2"/>
      <c r="G1786" s="2"/>
      <c r="H1786" s="2"/>
      <c r="I1786" s="5"/>
    </row>
    <row r="1787" spans="1:9" ht="17.399999999999999" x14ac:dyDescent="0.25">
      <c r="A1787" s="16"/>
      <c r="B1787" s="17"/>
      <c r="C1787" s="2"/>
      <c r="D1787" s="2"/>
      <c r="E1787" s="2"/>
      <c r="F1787" s="2"/>
      <c r="G1787" s="2"/>
      <c r="H1787" s="2"/>
      <c r="I1787" s="5"/>
    </row>
    <row r="1788" spans="1:9" ht="17.399999999999999" x14ac:dyDescent="0.25">
      <c r="A1788" s="16"/>
      <c r="B1788" s="17"/>
      <c r="C1788" s="2"/>
      <c r="D1788" s="2"/>
      <c r="E1788" s="2"/>
      <c r="F1788" s="2"/>
      <c r="G1788" s="2"/>
      <c r="H1788" s="2"/>
      <c r="I1788" s="5"/>
    </row>
    <row r="1789" spans="1:9" ht="17.399999999999999" x14ac:dyDescent="0.25">
      <c r="A1789" s="16"/>
      <c r="B1789" s="17"/>
      <c r="C1789" s="2"/>
      <c r="D1789" s="2"/>
      <c r="E1789" s="2"/>
      <c r="F1789" s="2"/>
      <c r="G1789" s="2"/>
      <c r="H1789" s="2"/>
      <c r="I1789" s="5"/>
    </row>
    <row r="1790" spans="1:9" ht="17.399999999999999" x14ac:dyDescent="0.25">
      <c r="A1790" s="16"/>
      <c r="B1790" s="17"/>
      <c r="C1790" s="2"/>
      <c r="D1790" s="2"/>
      <c r="E1790" s="2"/>
      <c r="F1790" s="2"/>
      <c r="G1790" s="2"/>
      <c r="H1790" s="2"/>
      <c r="I1790" s="5"/>
    </row>
    <row r="1791" spans="1:9" ht="17.399999999999999" x14ac:dyDescent="0.25">
      <c r="A1791" s="16"/>
      <c r="B1791" s="17"/>
      <c r="C1791" s="2"/>
      <c r="D1791" s="2"/>
      <c r="E1791" s="2"/>
      <c r="F1791" s="2"/>
      <c r="G1791" s="2"/>
      <c r="H1791" s="2"/>
      <c r="I1791" s="5"/>
    </row>
    <row r="1792" spans="1:9" ht="17.399999999999999" x14ac:dyDescent="0.25">
      <c r="A1792" s="16"/>
      <c r="B1792" s="17"/>
      <c r="C1792" s="2"/>
      <c r="D1792" s="2"/>
      <c r="E1792" s="2"/>
      <c r="F1792" s="2"/>
      <c r="G1792" s="2"/>
      <c r="H1792" s="2"/>
      <c r="I1792" s="5"/>
    </row>
    <row r="1793" spans="1:9" ht="17.399999999999999" x14ac:dyDescent="0.25">
      <c r="A1793" s="16"/>
      <c r="B1793" s="17"/>
      <c r="C1793" s="2"/>
      <c r="D1793" s="2"/>
      <c r="E1793" s="2"/>
      <c r="F1793" s="2"/>
      <c r="G1793" s="2"/>
      <c r="H1793" s="2"/>
      <c r="I1793" s="5"/>
    </row>
    <row r="1794" spans="1:9" ht="17.399999999999999" x14ac:dyDescent="0.25">
      <c r="A1794" s="16"/>
      <c r="B1794" s="17"/>
      <c r="C1794" s="2"/>
      <c r="D1794" s="2"/>
      <c r="E1794" s="2"/>
      <c r="F1794" s="2"/>
      <c r="G1794" s="2"/>
      <c r="H1794" s="2"/>
      <c r="I1794" s="5"/>
    </row>
    <row r="1795" spans="1:9" ht="17.399999999999999" x14ac:dyDescent="0.25">
      <c r="A1795" s="16"/>
      <c r="B1795" s="17"/>
      <c r="C1795" s="2"/>
      <c r="D1795" s="2"/>
      <c r="E1795" s="2"/>
      <c r="F1795" s="2"/>
      <c r="G1795" s="2"/>
      <c r="H1795" s="2"/>
      <c r="I1795" s="5"/>
    </row>
    <row r="1796" spans="1:9" ht="17.399999999999999" x14ac:dyDescent="0.25">
      <c r="A1796" s="16"/>
      <c r="B1796" s="17"/>
      <c r="C1796" s="2"/>
      <c r="D1796" s="2"/>
      <c r="E1796" s="2"/>
      <c r="F1796" s="2"/>
      <c r="G1796" s="2"/>
      <c r="H1796" s="2"/>
      <c r="I1796" s="5"/>
    </row>
    <row r="1797" spans="1:9" ht="17.399999999999999" x14ac:dyDescent="0.25">
      <c r="A1797" s="16"/>
      <c r="B1797" s="17"/>
      <c r="C1797" s="2"/>
      <c r="D1797" s="2"/>
      <c r="E1797" s="2"/>
      <c r="F1797" s="2"/>
      <c r="G1797" s="2"/>
      <c r="H1797" s="2"/>
      <c r="I1797" s="5"/>
    </row>
    <row r="1798" spans="1:9" ht="17.399999999999999" x14ac:dyDescent="0.25">
      <c r="A1798" s="16"/>
      <c r="B1798" s="17"/>
      <c r="C1798" s="2"/>
      <c r="D1798" s="2"/>
      <c r="E1798" s="2"/>
      <c r="F1798" s="2"/>
      <c r="G1798" s="2"/>
      <c r="H1798" s="2"/>
      <c r="I1798" s="5"/>
    </row>
    <row r="1799" spans="1:9" ht="17.399999999999999" x14ac:dyDescent="0.25">
      <c r="A1799" s="16"/>
      <c r="B1799" s="17"/>
      <c r="C1799" s="2"/>
      <c r="D1799" s="2"/>
      <c r="E1799" s="2"/>
      <c r="F1799" s="2"/>
      <c r="G1799" s="2"/>
      <c r="H1799" s="2"/>
      <c r="I1799" s="5"/>
    </row>
    <row r="1800" spans="1:9" ht="17.399999999999999" x14ac:dyDescent="0.25">
      <c r="A1800" s="16"/>
      <c r="B1800" s="17"/>
      <c r="C1800" s="2"/>
      <c r="D1800" s="2"/>
      <c r="E1800" s="2"/>
      <c r="F1800" s="2"/>
      <c r="G1800" s="2"/>
      <c r="H1800" s="2"/>
      <c r="I1800" s="5"/>
    </row>
    <row r="1801" spans="1:9" ht="17.399999999999999" x14ac:dyDescent="0.25">
      <c r="A1801" s="16"/>
      <c r="B1801" s="17"/>
      <c r="C1801" s="2"/>
      <c r="D1801" s="2"/>
      <c r="E1801" s="2"/>
      <c r="F1801" s="2"/>
      <c r="G1801" s="2"/>
      <c r="H1801" s="2"/>
      <c r="I1801" s="5"/>
    </row>
    <row r="1802" spans="1:9" ht="17.399999999999999" x14ac:dyDescent="0.25">
      <c r="A1802" s="16"/>
      <c r="B1802" s="17"/>
      <c r="C1802" s="2"/>
      <c r="D1802" s="2"/>
      <c r="E1802" s="2"/>
      <c r="F1802" s="2"/>
      <c r="G1802" s="2"/>
      <c r="H1802" s="2"/>
      <c r="I1802" s="5"/>
    </row>
    <row r="1803" spans="1:9" ht="17.399999999999999" x14ac:dyDescent="0.25">
      <c r="A1803" s="16"/>
      <c r="B1803" s="17"/>
      <c r="C1803" s="2"/>
      <c r="D1803" s="2"/>
      <c r="E1803" s="2"/>
      <c r="F1803" s="2"/>
      <c r="G1803" s="2"/>
      <c r="H1803" s="2"/>
      <c r="I1803" s="5"/>
    </row>
    <row r="1804" spans="1:9" ht="17.399999999999999" x14ac:dyDescent="0.25">
      <c r="A1804" s="16"/>
      <c r="B1804" s="17"/>
      <c r="C1804" s="2"/>
      <c r="D1804" s="2"/>
      <c r="E1804" s="2"/>
      <c r="F1804" s="2"/>
      <c r="G1804" s="2"/>
      <c r="H1804" s="2"/>
      <c r="I1804" s="5"/>
    </row>
    <row r="1805" spans="1:9" ht="17.399999999999999" x14ac:dyDescent="0.25">
      <c r="A1805" s="16"/>
      <c r="B1805" s="17"/>
      <c r="C1805" s="2"/>
      <c r="D1805" s="2"/>
      <c r="E1805" s="2"/>
      <c r="F1805" s="2"/>
      <c r="G1805" s="2"/>
      <c r="H1805" s="2"/>
      <c r="I1805" s="5"/>
    </row>
    <row r="1806" spans="1:9" ht="17.399999999999999" x14ac:dyDescent="0.25">
      <c r="A1806" s="16"/>
      <c r="B1806" s="17"/>
      <c r="C1806" s="2"/>
      <c r="D1806" s="2"/>
      <c r="E1806" s="2"/>
      <c r="F1806" s="2"/>
      <c r="G1806" s="2"/>
      <c r="H1806" s="2"/>
      <c r="I1806" s="5"/>
    </row>
    <row r="1807" spans="1:9" ht="17.399999999999999" x14ac:dyDescent="0.25">
      <c r="A1807" s="16"/>
      <c r="B1807" s="17"/>
      <c r="C1807" s="2"/>
      <c r="D1807" s="2"/>
      <c r="E1807" s="2"/>
      <c r="F1807" s="2"/>
      <c r="G1807" s="2"/>
      <c r="H1807" s="2"/>
      <c r="I1807" s="5"/>
    </row>
    <row r="1808" spans="1:9" ht="17.399999999999999" x14ac:dyDescent="0.25">
      <c r="A1808" s="16"/>
      <c r="B1808" s="17"/>
      <c r="C1808" s="2"/>
      <c r="D1808" s="2"/>
      <c r="E1808" s="2"/>
      <c r="F1808" s="2"/>
      <c r="G1808" s="2"/>
      <c r="H1808" s="2"/>
      <c r="I1808" s="5"/>
    </row>
    <row r="1809" spans="1:9" ht="17.399999999999999" x14ac:dyDescent="0.25">
      <c r="A1809" s="16"/>
      <c r="B1809" s="17"/>
      <c r="C1809" s="2"/>
      <c r="D1809" s="2"/>
      <c r="E1809" s="2"/>
      <c r="F1809" s="2"/>
      <c r="G1809" s="2"/>
      <c r="H1809" s="2"/>
      <c r="I1809" s="5"/>
    </row>
    <row r="1810" spans="1:9" ht="17.399999999999999" x14ac:dyDescent="0.25">
      <c r="A1810" s="16"/>
      <c r="B1810" s="17"/>
      <c r="C1810" s="2"/>
      <c r="D1810" s="2"/>
      <c r="E1810" s="2"/>
      <c r="F1810" s="2"/>
      <c r="G1810" s="2"/>
      <c r="H1810" s="2"/>
      <c r="I1810" s="5"/>
    </row>
    <row r="1811" spans="1:9" ht="17.399999999999999" x14ac:dyDescent="0.25">
      <c r="A1811" s="16"/>
      <c r="B1811" s="17"/>
      <c r="C1811" s="2"/>
      <c r="D1811" s="2"/>
      <c r="E1811" s="2"/>
      <c r="F1811" s="2"/>
      <c r="G1811" s="2"/>
      <c r="H1811" s="2"/>
      <c r="I1811" s="5"/>
    </row>
    <row r="1812" spans="1:9" ht="17.399999999999999" x14ac:dyDescent="0.25">
      <c r="A1812" s="16"/>
      <c r="B1812" s="17"/>
      <c r="C1812" s="2"/>
      <c r="D1812" s="2"/>
      <c r="E1812" s="2"/>
      <c r="F1812" s="2"/>
      <c r="G1812" s="2"/>
      <c r="H1812" s="2"/>
      <c r="I1812" s="5"/>
    </row>
    <row r="1813" spans="1:9" ht="17.399999999999999" x14ac:dyDescent="0.25">
      <c r="A1813" s="16"/>
      <c r="B1813" s="17"/>
      <c r="C1813" s="2"/>
      <c r="D1813" s="2"/>
      <c r="E1813" s="2"/>
      <c r="F1813" s="2"/>
      <c r="G1813" s="2"/>
      <c r="H1813" s="2"/>
      <c r="I1813" s="5"/>
    </row>
    <row r="1814" spans="1:9" ht="17.399999999999999" x14ac:dyDescent="0.25">
      <c r="A1814" s="16"/>
      <c r="B1814" s="17"/>
      <c r="C1814" s="2"/>
      <c r="D1814" s="2"/>
      <c r="E1814" s="2"/>
      <c r="F1814" s="2"/>
      <c r="G1814" s="2"/>
      <c r="H1814" s="2"/>
      <c r="I1814" s="5"/>
    </row>
    <row r="1815" spans="1:9" ht="17.399999999999999" x14ac:dyDescent="0.25">
      <c r="A1815" s="16"/>
      <c r="B1815" s="17"/>
      <c r="C1815" s="2"/>
      <c r="D1815" s="2"/>
      <c r="E1815" s="2"/>
      <c r="F1815" s="2"/>
      <c r="G1815" s="2"/>
      <c r="H1815" s="2"/>
      <c r="I1815" s="5"/>
    </row>
    <row r="1816" spans="1:9" ht="17.399999999999999" x14ac:dyDescent="0.25">
      <c r="A1816" s="16"/>
      <c r="B1816" s="17"/>
      <c r="C1816" s="2"/>
      <c r="D1816" s="2"/>
      <c r="E1816" s="2"/>
      <c r="F1816" s="2"/>
      <c r="G1816" s="2"/>
      <c r="H1816" s="2"/>
      <c r="I1816" s="5"/>
    </row>
    <row r="1817" spans="1:9" ht="17.399999999999999" x14ac:dyDescent="0.25">
      <c r="A1817" s="16"/>
      <c r="B1817" s="17"/>
      <c r="C1817" s="2"/>
      <c r="D1817" s="2"/>
      <c r="E1817" s="2"/>
      <c r="F1817" s="2"/>
      <c r="G1817" s="2"/>
      <c r="H1817" s="2"/>
      <c r="I1817" s="5"/>
    </row>
    <row r="1818" spans="1:9" ht="17.399999999999999" x14ac:dyDescent="0.25">
      <c r="A1818" s="16"/>
      <c r="B1818" s="17"/>
      <c r="C1818" s="2"/>
      <c r="D1818" s="2"/>
      <c r="E1818" s="2"/>
      <c r="F1818" s="2"/>
      <c r="G1818" s="2"/>
      <c r="H1818" s="2"/>
      <c r="I1818" s="5"/>
    </row>
    <row r="1819" spans="1:9" ht="17.399999999999999" x14ac:dyDescent="0.25">
      <c r="A1819" s="16"/>
      <c r="B1819" s="17"/>
      <c r="C1819" s="2"/>
      <c r="D1819" s="2"/>
      <c r="E1819" s="2"/>
      <c r="F1819" s="2"/>
      <c r="G1819" s="2"/>
      <c r="H1819" s="2"/>
      <c r="I1819" s="5"/>
    </row>
    <row r="1820" spans="1:9" ht="17.399999999999999" x14ac:dyDescent="0.25">
      <c r="A1820" s="16"/>
      <c r="B1820" s="17"/>
      <c r="C1820" s="2"/>
      <c r="D1820" s="2"/>
      <c r="E1820" s="2"/>
      <c r="F1820" s="2"/>
      <c r="G1820" s="2"/>
      <c r="H1820" s="2"/>
      <c r="I1820" s="5"/>
    </row>
    <row r="1821" spans="1:9" ht="17.399999999999999" x14ac:dyDescent="0.25">
      <c r="A1821" s="16"/>
      <c r="B1821" s="17"/>
      <c r="C1821" s="2"/>
      <c r="D1821" s="2"/>
      <c r="E1821" s="2"/>
      <c r="F1821" s="2"/>
      <c r="G1821" s="2"/>
      <c r="H1821" s="2"/>
      <c r="I1821" s="5"/>
    </row>
    <row r="1822" spans="1:9" ht="17.399999999999999" x14ac:dyDescent="0.25">
      <c r="A1822" s="16"/>
      <c r="B1822" s="17"/>
      <c r="C1822" s="2"/>
      <c r="D1822" s="2"/>
      <c r="E1822" s="2"/>
      <c r="F1822" s="2"/>
      <c r="G1822" s="2"/>
      <c r="H1822" s="2"/>
      <c r="I1822" s="5"/>
    </row>
    <row r="1823" spans="1:9" ht="17.399999999999999" x14ac:dyDescent="0.25">
      <c r="A1823" s="16"/>
      <c r="B1823" s="17"/>
      <c r="C1823" s="2"/>
      <c r="D1823" s="2"/>
      <c r="E1823" s="2"/>
      <c r="F1823" s="2"/>
      <c r="G1823" s="2"/>
      <c r="H1823" s="2"/>
      <c r="I1823" s="5"/>
    </row>
    <row r="1824" spans="1:9" ht="17.399999999999999" x14ac:dyDescent="0.25">
      <c r="A1824" s="16"/>
      <c r="B1824" s="17"/>
      <c r="C1824" s="2"/>
      <c r="D1824" s="2"/>
      <c r="E1824" s="2"/>
      <c r="F1824" s="2"/>
      <c r="G1824" s="2"/>
      <c r="H1824" s="2"/>
      <c r="I1824" s="5"/>
    </row>
    <row r="1825" spans="1:9" ht="17.399999999999999" x14ac:dyDescent="0.25">
      <c r="A1825" s="16"/>
      <c r="B1825" s="17"/>
      <c r="C1825" s="2"/>
      <c r="D1825" s="2"/>
      <c r="E1825" s="2"/>
      <c r="F1825" s="2"/>
      <c r="G1825" s="2"/>
      <c r="H1825" s="2"/>
      <c r="I1825" s="5"/>
    </row>
    <row r="1826" spans="1:9" ht="17.399999999999999" x14ac:dyDescent="0.25">
      <c r="A1826" s="16"/>
      <c r="B1826" s="17"/>
      <c r="C1826" s="2"/>
      <c r="D1826" s="2"/>
      <c r="E1826" s="2"/>
      <c r="F1826" s="2"/>
      <c r="G1826" s="2"/>
      <c r="H1826" s="2"/>
      <c r="I1826" s="5"/>
    </row>
    <row r="1827" spans="1:9" ht="17.399999999999999" x14ac:dyDescent="0.25">
      <c r="A1827" s="16"/>
      <c r="B1827" s="17"/>
      <c r="C1827" s="2"/>
      <c r="D1827" s="2"/>
      <c r="E1827" s="2"/>
      <c r="F1827" s="2"/>
      <c r="G1827" s="2"/>
      <c r="H1827" s="2"/>
      <c r="I1827" s="5"/>
    </row>
    <row r="1828" spans="1:9" ht="17.399999999999999" x14ac:dyDescent="0.25">
      <c r="A1828" s="16"/>
      <c r="B1828" s="17"/>
      <c r="C1828" s="2"/>
      <c r="D1828" s="2"/>
      <c r="E1828" s="2"/>
      <c r="F1828" s="2"/>
      <c r="G1828" s="2"/>
      <c r="H1828" s="2"/>
      <c r="I1828" s="5"/>
    </row>
    <row r="1829" spans="1:9" ht="17.399999999999999" x14ac:dyDescent="0.25">
      <c r="A1829" s="16"/>
      <c r="B1829" s="17"/>
      <c r="C1829" s="2"/>
      <c r="D1829" s="2"/>
      <c r="E1829" s="2"/>
      <c r="F1829" s="2"/>
      <c r="G1829" s="2"/>
      <c r="H1829" s="2"/>
      <c r="I1829" s="5"/>
    </row>
    <row r="1830" spans="1:9" ht="17.399999999999999" x14ac:dyDescent="0.25">
      <c r="A1830" s="16"/>
      <c r="B1830" s="17"/>
      <c r="C1830" s="2"/>
      <c r="D1830" s="2"/>
      <c r="E1830" s="2"/>
      <c r="F1830" s="2"/>
      <c r="G1830" s="2"/>
      <c r="H1830" s="2"/>
      <c r="I1830" s="5"/>
    </row>
    <row r="1831" spans="1:9" ht="17.399999999999999" x14ac:dyDescent="0.25">
      <c r="A1831" s="16"/>
      <c r="B1831" s="17"/>
      <c r="C1831" s="2"/>
      <c r="D1831" s="2"/>
      <c r="E1831" s="2"/>
      <c r="F1831" s="2"/>
      <c r="G1831" s="2"/>
      <c r="H1831" s="2"/>
      <c r="I1831" s="5"/>
    </row>
    <row r="1832" spans="1:9" ht="17.399999999999999" x14ac:dyDescent="0.25">
      <c r="A1832" s="16"/>
      <c r="B1832" s="17"/>
      <c r="C1832" s="2"/>
      <c r="D1832" s="2"/>
      <c r="E1832" s="2"/>
      <c r="F1832" s="2"/>
      <c r="G1832" s="2"/>
      <c r="H1832" s="2"/>
      <c r="I1832" s="5"/>
    </row>
    <row r="1833" spans="1:9" ht="17.399999999999999" x14ac:dyDescent="0.25">
      <c r="A1833" s="16"/>
      <c r="B1833" s="17"/>
      <c r="C1833" s="2"/>
      <c r="D1833" s="2"/>
      <c r="E1833" s="2"/>
      <c r="F1833" s="2"/>
      <c r="G1833" s="2"/>
      <c r="H1833" s="2"/>
      <c r="I1833" s="5"/>
    </row>
    <row r="1834" spans="1:9" ht="17.399999999999999" x14ac:dyDescent="0.25">
      <c r="A1834" s="16"/>
      <c r="B1834" s="17"/>
      <c r="C1834" s="2"/>
      <c r="D1834" s="2"/>
      <c r="E1834" s="2"/>
      <c r="F1834" s="2"/>
      <c r="G1834" s="2"/>
      <c r="H1834" s="2"/>
      <c r="I1834" s="5"/>
    </row>
    <row r="1835" spans="1:9" ht="17.399999999999999" x14ac:dyDescent="0.25">
      <c r="A1835" s="16"/>
      <c r="B1835" s="17"/>
      <c r="C1835" s="2"/>
      <c r="D1835" s="2"/>
      <c r="E1835" s="2"/>
      <c r="F1835" s="2"/>
      <c r="G1835" s="2"/>
      <c r="H1835" s="2"/>
      <c r="I1835" s="5"/>
    </row>
    <row r="1836" spans="1:9" ht="17.399999999999999" x14ac:dyDescent="0.25">
      <c r="A1836" s="16"/>
      <c r="B1836" s="17"/>
      <c r="C1836" s="2"/>
      <c r="D1836" s="2"/>
      <c r="E1836" s="2"/>
      <c r="F1836" s="2"/>
      <c r="G1836" s="2"/>
      <c r="H1836" s="2"/>
      <c r="I1836" s="5"/>
    </row>
    <row r="1837" spans="1:9" ht="17.399999999999999" x14ac:dyDescent="0.25">
      <c r="A1837" s="16"/>
      <c r="B1837" s="17"/>
      <c r="C1837" s="2"/>
      <c r="D1837" s="2"/>
      <c r="E1837" s="2"/>
      <c r="F1837" s="2"/>
      <c r="G1837" s="2"/>
      <c r="H1837" s="2"/>
      <c r="I1837" s="5"/>
    </row>
    <row r="1838" spans="1:9" ht="17.399999999999999" x14ac:dyDescent="0.25">
      <c r="A1838" s="16"/>
      <c r="B1838" s="17"/>
      <c r="C1838" s="2"/>
      <c r="D1838" s="2"/>
      <c r="E1838" s="2"/>
      <c r="F1838" s="2"/>
      <c r="G1838" s="2"/>
      <c r="H1838" s="2"/>
      <c r="I1838" s="5"/>
    </row>
    <row r="1839" spans="1:9" ht="17.399999999999999" x14ac:dyDescent="0.25">
      <c r="A1839" s="16"/>
      <c r="B1839" s="17"/>
      <c r="C1839" s="2"/>
      <c r="D1839" s="2"/>
      <c r="E1839" s="2"/>
      <c r="F1839" s="2"/>
      <c r="G1839" s="2"/>
      <c r="H1839" s="2"/>
      <c r="I1839" s="5"/>
    </row>
    <row r="1840" spans="1:9" ht="17.399999999999999" x14ac:dyDescent="0.25">
      <c r="A1840" s="16"/>
      <c r="B1840" s="17"/>
      <c r="C1840" s="2"/>
      <c r="D1840" s="2"/>
      <c r="E1840" s="2"/>
      <c r="F1840" s="2"/>
      <c r="G1840" s="2"/>
      <c r="H1840" s="2"/>
      <c r="I1840" s="5"/>
    </row>
    <row r="1841" spans="1:9" ht="17.399999999999999" x14ac:dyDescent="0.25">
      <c r="A1841" s="16"/>
      <c r="B1841" s="17"/>
      <c r="C1841" s="2"/>
      <c r="D1841" s="2"/>
      <c r="E1841" s="2"/>
      <c r="F1841" s="2"/>
      <c r="G1841" s="2"/>
      <c r="H1841" s="2"/>
      <c r="I1841" s="5"/>
    </row>
    <row r="1842" spans="1:9" ht="17.399999999999999" x14ac:dyDescent="0.25">
      <c r="A1842" s="16"/>
      <c r="B1842" s="17"/>
      <c r="C1842" s="2"/>
      <c r="D1842" s="2"/>
      <c r="E1842" s="2"/>
      <c r="F1842" s="2"/>
      <c r="G1842" s="2"/>
      <c r="H1842" s="2"/>
      <c r="I1842" s="5"/>
    </row>
    <row r="1843" spans="1:9" ht="17.399999999999999" x14ac:dyDescent="0.25">
      <c r="A1843" s="16"/>
      <c r="B1843" s="17"/>
      <c r="C1843" s="2"/>
      <c r="D1843" s="2"/>
      <c r="E1843" s="2"/>
      <c r="F1843" s="2"/>
      <c r="G1843" s="2"/>
      <c r="H1843" s="2"/>
      <c r="I1843" s="5"/>
    </row>
    <row r="1844" spans="1:9" ht="17.399999999999999" x14ac:dyDescent="0.25">
      <c r="A1844" s="16"/>
      <c r="B1844" s="17"/>
      <c r="C1844" s="2"/>
      <c r="D1844" s="2"/>
      <c r="E1844" s="2"/>
      <c r="F1844" s="2"/>
      <c r="G1844" s="2"/>
      <c r="H1844" s="2"/>
      <c r="I1844" s="5"/>
    </row>
    <row r="1845" spans="1:9" ht="17.399999999999999" x14ac:dyDescent="0.25">
      <c r="A1845" s="16"/>
      <c r="B1845" s="17"/>
      <c r="C1845" s="2"/>
      <c r="D1845" s="2"/>
      <c r="E1845" s="2"/>
      <c r="F1845" s="2"/>
      <c r="G1845" s="2"/>
      <c r="H1845" s="2"/>
      <c r="I1845" s="5"/>
    </row>
    <row r="1846" spans="1:9" ht="17.399999999999999" x14ac:dyDescent="0.25">
      <c r="A1846" s="16"/>
      <c r="B1846" s="17"/>
      <c r="C1846" s="2"/>
      <c r="D1846" s="2"/>
      <c r="E1846" s="2"/>
      <c r="F1846" s="2"/>
      <c r="G1846" s="2"/>
      <c r="H1846" s="2"/>
      <c r="I1846" s="5"/>
    </row>
    <row r="1847" spans="1:9" ht="17.399999999999999" x14ac:dyDescent="0.25">
      <c r="A1847" s="16"/>
      <c r="B1847" s="17"/>
      <c r="C1847" s="2"/>
      <c r="D1847" s="2"/>
      <c r="E1847" s="2"/>
      <c r="F1847" s="2"/>
      <c r="G1847" s="2"/>
      <c r="H1847" s="2"/>
      <c r="I1847" s="5"/>
    </row>
    <row r="1848" spans="1:9" ht="17.399999999999999" x14ac:dyDescent="0.25">
      <c r="A1848" s="16"/>
      <c r="B1848" s="17"/>
      <c r="C1848" s="2"/>
      <c r="D1848" s="2"/>
      <c r="E1848" s="2"/>
      <c r="F1848" s="2"/>
      <c r="G1848" s="2"/>
      <c r="H1848" s="2"/>
      <c r="I1848" s="5"/>
    </row>
    <row r="1849" spans="1:9" ht="17.399999999999999" x14ac:dyDescent="0.25">
      <c r="A1849" s="16"/>
      <c r="B1849" s="17"/>
      <c r="C1849" s="2"/>
      <c r="D1849" s="2"/>
      <c r="E1849" s="2"/>
      <c r="F1849" s="2"/>
      <c r="G1849" s="2"/>
      <c r="H1849" s="2"/>
      <c r="I1849" s="5"/>
    </row>
    <row r="1850" spans="1:9" ht="17.399999999999999" x14ac:dyDescent="0.25">
      <c r="A1850" s="16"/>
      <c r="B1850" s="17"/>
      <c r="C1850" s="2"/>
      <c r="D1850" s="2"/>
      <c r="E1850" s="2"/>
      <c r="F1850" s="2"/>
      <c r="G1850" s="2"/>
      <c r="H1850" s="2"/>
      <c r="I1850" s="5"/>
    </row>
    <row r="1851" spans="1:9" ht="17.399999999999999" x14ac:dyDescent="0.25">
      <c r="A1851" s="16"/>
      <c r="B1851" s="17"/>
      <c r="C1851" s="2"/>
      <c r="D1851" s="2"/>
      <c r="E1851" s="2"/>
      <c r="F1851" s="2"/>
      <c r="G1851" s="2"/>
      <c r="H1851" s="2"/>
      <c r="I1851" s="5"/>
    </row>
    <row r="1852" spans="1:9" ht="17.399999999999999" x14ac:dyDescent="0.25">
      <c r="A1852" s="16"/>
      <c r="B1852" s="17"/>
      <c r="C1852" s="2"/>
      <c r="D1852" s="2"/>
      <c r="E1852" s="2"/>
      <c r="F1852" s="2"/>
      <c r="G1852" s="2"/>
      <c r="H1852" s="2"/>
      <c r="I1852" s="5"/>
    </row>
    <row r="1853" spans="1:9" ht="17.399999999999999" x14ac:dyDescent="0.25">
      <c r="A1853" s="16"/>
      <c r="B1853" s="17"/>
      <c r="C1853" s="2"/>
      <c r="D1853" s="2"/>
      <c r="E1853" s="2"/>
      <c r="F1853" s="2"/>
      <c r="G1853" s="2"/>
      <c r="H1853" s="2"/>
      <c r="I1853" s="5"/>
    </row>
    <row r="1854" spans="1:9" ht="17.399999999999999" x14ac:dyDescent="0.25">
      <c r="A1854" s="16"/>
      <c r="B1854" s="17"/>
      <c r="C1854" s="2"/>
      <c r="D1854" s="2"/>
      <c r="E1854" s="2"/>
      <c r="F1854" s="2"/>
      <c r="G1854" s="2"/>
      <c r="H1854" s="2"/>
      <c r="I1854" s="5"/>
    </row>
    <row r="1855" spans="1:9" ht="17.399999999999999" x14ac:dyDescent="0.25">
      <c r="A1855" s="16"/>
      <c r="B1855" s="17"/>
      <c r="C1855" s="2"/>
      <c r="D1855" s="2"/>
      <c r="E1855" s="2"/>
      <c r="F1855" s="2"/>
      <c r="G1855" s="2"/>
      <c r="H1855" s="2"/>
      <c r="I1855" s="5"/>
    </row>
    <row r="1856" spans="1:9" ht="17.399999999999999" x14ac:dyDescent="0.25">
      <c r="A1856" s="16"/>
      <c r="B1856" s="17"/>
      <c r="C1856" s="2"/>
      <c r="D1856" s="2"/>
      <c r="E1856" s="2"/>
      <c r="F1856" s="2"/>
      <c r="G1856" s="2"/>
      <c r="H1856" s="2"/>
      <c r="I1856" s="5"/>
    </row>
    <row r="1857" spans="1:9" ht="17.399999999999999" x14ac:dyDescent="0.25">
      <c r="A1857" s="16"/>
      <c r="B1857" s="17"/>
      <c r="C1857" s="2"/>
      <c r="D1857" s="2"/>
      <c r="E1857" s="2"/>
      <c r="F1857" s="2"/>
      <c r="G1857" s="2"/>
      <c r="H1857" s="2"/>
      <c r="I1857" s="5"/>
    </row>
    <row r="1858" spans="1:9" ht="17.399999999999999" x14ac:dyDescent="0.25">
      <c r="A1858" s="16"/>
      <c r="B1858" s="17"/>
      <c r="C1858" s="2"/>
      <c r="D1858" s="2"/>
      <c r="E1858" s="2"/>
      <c r="F1858" s="2"/>
      <c r="G1858" s="2"/>
      <c r="H1858" s="2"/>
      <c r="I1858" s="5"/>
    </row>
    <row r="1859" spans="1:9" ht="17.399999999999999" x14ac:dyDescent="0.25">
      <c r="A1859" s="16"/>
      <c r="B1859" s="17"/>
      <c r="C1859" s="2"/>
      <c r="D1859" s="2"/>
      <c r="E1859" s="2"/>
      <c r="F1859" s="2"/>
      <c r="G1859" s="2"/>
      <c r="H1859" s="2"/>
      <c r="I1859" s="5"/>
    </row>
    <row r="1860" spans="1:9" ht="17.399999999999999" x14ac:dyDescent="0.25">
      <c r="A1860" s="16"/>
      <c r="B1860" s="17"/>
      <c r="C1860" s="2"/>
      <c r="D1860" s="2"/>
      <c r="E1860" s="2"/>
      <c r="F1860" s="2"/>
      <c r="G1860" s="2"/>
      <c r="H1860" s="2"/>
      <c r="I1860" s="5"/>
    </row>
    <row r="1861" spans="1:9" ht="17.399999999999999" x14ac:dyDescent="0.25">
      <c r="A1861" s="16"/>
      <c r="B1861" s="17"/>
      <c r="C1861" s="2"/>
      <c r="D1861" s="2"/>
      <c r="E1861" s="2"/>
      <c r="F1861" s="2"/>
      <c r="G1861" s="2"/>
      <c r="H1861" s="2"/>
      <c r="I1861" s="5"/>
    </row>
    <row r="1862" spans="1:9" ht="17.399999999999999" x14ac:dyDescent="0.25">
      <c r="A1862" s="16"/>
      <c r="B1862" s="17"/>
      <c r="C1862" s="2"/>
      <c r="D1862" s="2"/>
      <c r="E1862" s="2"/>
      <c r="F1862" s="2"/>
      <c r="G1862" s="2"/>
      <c r="H1862" s="2"/>
      <c r="I1862" s="5"/>
    </row>
    <row r="1863" spans="1:9" ht="17.399999999999999" x14ac:dyDescent="0.25">
      <c r="A1863" s="16"/>
      <c r="B1863" s="17"/>
      <c r="C1863" s="2"/>
      <c r="D1863" s="2"/>
      <c r="E1863" s="2"/>
      <c r="F1863" s="2"/>
      <c r="G1863" s="2"/>
      <c r="H1863" s="2"/>
      <c r="I1863" s="5"/>
    </row>
    <row r="1864" spans="1:9" ht="17.399999999999999" x14ac:dyDescent="0.25">
      <c r="A1864" s="16"/>
      <c r="B1864" s="17"/>
      <c r="C1864" s="2"/>
      <c r="D1864" s="2"/>
      <c r="E1864" s="2"/>
      <c r="F1864" s="2"/>
      <c r="G1864" s="2"/>
      <c r="H1864" s="2"/>
      <c r="I1864" s="5"/>
    </row>
    <row r="1865" spans="1:9" ht="17.399999999999999" x14ac:dyDescent="0.25">
      <c r="A1865" s="16"/>
      <c r="B1865" s="17"/>
      <c r="C1865" s="2"/>
      <c r="D1865" s="2"/>
      <c r="E1865" s="2"/>
      <c r="F1865" s="2"/>
      <c r="G1865" s="2"/>
      <c r="H1865" s="2"/>
      <c r="I1865" s="5"/>
    </row>
    <row r="1866" spans="1:9" ht="17.399999999999999" x14ac:dyDescent="0.25">
      <c r="A1866" s="16"/>
      <c r="B1866" s="17"/>
      <c r="C1866" s="2"/>
      <c r="D1866" s="2"/>
      <c r="E1866" s="2"/>
      <c r="F1866" s="2"/>
      <c r="G1866" s="2"/>
      <c r="H1866" s="2"/>
      <c r="I1866" s="5"/>
    </row>
    <row r="1867" spans="1:9" ht="17.399999999999999" x14ac:dyDescent="0.25">
      <c r="A1867" s="16"/>
      <c r="B1867" s="17"/>
      <c r="C1867" s="2"/>
      <c r="D1867" s="2"/>
      <c r="E1867" s="2"/>
      <c r="F1867" s="2"/>
      <c r="G1867" s="2"/>
      <c r="H1867" s="2"/>
      <c r="I1867" s="5"/>
    </row>
    <row r="1868" spans="1:9" ht="17.399999999999999" x14ac:dyDescent="0.25">
      <c r="A1868" s="16"/>
      <c r="B1868" s="17"/>
      <c r="C1868" s="2"/>
      <c r="D1868" s="2"/>
      <c r="E1868" s="2"/>
      <c r="F1868" s="2"/>
      <c r="G1868" s="2"/>
      <c r="H1868" s="2"/>
      <c r="I1868" s="5"/>
    </row>
    <row r="1869" spans="1:9" ht="17.399999999999999" x14ac:dyDescent="0.25">
      <c r="A1869" s="16"/>
      <c r="B1869" s="17"/>
      <c r="C1869" s="2"/>
      <c r="D1869" s="2"/>
      <c r="E1869" s="2"/>
      <c r="F1869" s="2"/>
      <c r="G1869" s="2"/>
      <c r="H1869" s="2"/>
      <c r="I1869" s="5"/>
    </row>
    <row r="1870" spans="1:9" ht="17.399999999999999" x14ac:dyDescent="0.25">
      <c r="A1870" s="16"/>
      <c r="B1870" s="17"/>
      <c r="C1870" s="2"/>
      <c r="D1870" s="2"/>
      <c r="E1870" s="2"/>
      <c r="F1870" s="2"/>
      <c r="G1870" s="2"/>
      <c r="H1870" s="2"/>
      <c r="I1870" s="5"/>
    </row>
    <row r="1871" spans="1:9" ht="17.399999999999999" x14ac:dyDescent="0.25">
      <c r="A1871" s="16"/>
      <c r="B1871" s="17"/>
      <c r="C1871" s="2"/>
      <c r="D1871" s="2"/>
      <c r="E1871" s="2"/>
      <c r="F1871" s="2"/>
      <c r="G1871" s="2"/>
      <c r="H1871" s="2"/>
      <c r="I1871" s="5"/>
    </row>
    <row r="1872" spans="1:9" ht="17.399999999999999" x14ac:dyDescent="0.25">
      <c r="A1872" s="16"/>
      <c r="B1872" s="17"/>
      <c r="C1872" s="2"/>
      <c r="D1872" s="2"/>
      <c r="E1872" s="2"/>
      <c r="F1872" s="2"/>
      <c r="G1872" s="2"/>
      <c r="H1872" s="2"/>
      <c r="I1872" s="5"/>
    </row>
    <row r="1873" spans="1:9" ht="17.399999999999999" x14ac:dyDescent="0.25">
      <c r="A1873" s="16"/>
      <c r="B1873" s="17"/>
      <c r="C1873" s="2"/>
      <c r="D1873" s="2"/>
      <c r="E1873" s="2"/>
      <c r="F1873" s="2"/>
      <c r="G1873" s="2"/>
      <c r="H1873" s="2"/>
      <c r="I1873" s="5"/>
    </row>
    <row r="1874" spans="1:9" ht="17.399999999999999" x14ac:dyDescent="0.25">
      <c r="A1874" s="16"/>
      <c r="B1874" s="17"/>
      <c r="C1874" s="2"/>
      <c r="D1874" s="2"/>
      <c r="E1874" s="2"/>
      <c r="F1874" s="2"/>
      <c r="G1874" s="2"/>
      <c r="H1874" s="2"/>
      <c r="I1874" s="5"/>
    </row>
    <row r="1875" spans="1:9" ht="17.399999999999999" x14ac:dyDescent="0.25">
      <c r="A1875" s="16"/>
      <c r="B1875" s="17"/>
      <c r="C1875" s="2"/>
      <c r="D1875" s="2"/>
      <c r="E1875" s="2"/>
      <c r="F1875" s="2"/>
      <c r="G1875" s="2"/>
      <c r="H1875" s="2"/>
      <c r="I1875" s="5"/>
    </row>
    <row r="1876" spans="1:9" ht="17.399999999999999" x14ac:dyDescent="0.25">
      <c r="A1876" s="16"/>
      <c r="B1876" s="17"/>
      <c r="C1876" s="2"/>
      <c r="D1876" s="2"/>
      <c r="E1876" s="2"/>
      <c r="F1876" s="2"/>
      <c r="G1876" s="2"/>
      <c r="H1876" s="2"/>
      <c r="I1876" s="5"/>
    </row>
    <row r="1877" spans="1:9" ht="17.399999999999999" x14ac:dyDescent="0.25">
      <c r="A1877" s="16"/>
      <c r="B1877" s="17"/>
      <c r="C1877" s="2"/>
      <c r="D1877" s="2"/>
      <c r="E1877" s="2"/>
      <c r="F1877" s="2"/>
      <c r="G1877" s="2"/>
      <c r="H1877" s="2"/>
      <c r="I1877" s="5"/>
    </row>
    <row r="1878" spans="1:9" ht="17.399999999999999" x14ac:dyDescent="0.25">
      <c r="A1878" s="16"/>
      <c r="B1878" s="17"/>
      <c r="C1878" s="2"/>
      <c r="D1878" s="2"/>
      <c r="E1878" s="2"/>
      <c r="F1878" s="2"/>
      <c r="G1878" s="2"/>
      <c r="H1878" s="2"/>
      <c r="I1878" s="5"/>
    </row>
    <row r="1879" spans="1:9" ht="17.399999999999999" x14ac:dyDescent="0.25">
      <c r="A1879" s="16"/>
      <c r="B1879" s="17"/>
      <c r="C1879" s="2"/>
      <c r="D1879" s="2"/>
      <c r="E1879" s="2"/>
      <c r="F1879" s="2"/>
      <c r="G1879" s="2"/>
      <c r="H1879" s="2"/>
      <c r="I1879" s="5"/>
    </row>
    <row r="1880" spans="1:9" ht="17.399999999999999" x14ac:dyDescent="0.25">
      <c r="A1880" s="16"/>
      <c r="B1880" s="17"/>
      <c r="C1880" s="2"/>
      <c r="D1880" s="2"/>
      <c r="E1880" s="2"/>
      <c r="F1880" s="2"/>
      <c r="G1880" s="2"/>
      <c r="H1880" s="2"/>
      <c r="I1880" s="5"/>
    </row>
    <row r="1881" spans="1:9" ht="17.399999999999999" x14ac:dyDescent="0.25">
      <c r="A1881" s="16"/>
      <c r="B1881" s="17"/>
      <c r="C1881" s="2"/>
      <c r="D1881" s="2"/>
      <c r="E1881" s="2"/>
      <c r="F1881" s="2"/>
      <c r="G1881" s="2"/>
      <c r="H1881" s="2"/>
      <c r="I1881" s="5"/>
    </row>
    <row r="1882" spans="1:9" ht="17.399999999999999" x14ac:dyDescent="0.25">
      <c r="A1882" s="16"/>
      <c r="B1882" s="17"/>
      <c r="C1882" s="2"/>
      <c r="D1882" s="2"/>
      <c r="E1882" s="2"/>
      <c r="F1882" s="2"/>
      <c r="G1882" s="2"/>
      <c r="H1882" s="2"/>
      <c r="I1882" s="5"/>
    </row>
    <row r="1883" spans="1:9" ht="17.399999999999999" x14ac:dyDescent="0.25">
      <c r="A1883" s="16"/>
      <c r="B1883" s="17"/>
      <c r="C1883" s="2"/>
      <c r="D1883" s="2"/>
      <c r="E1883" s="2"/>
      <c r="F1883" s="2"/>
      <c r="G1883" s="2"/>
      <c r="H1883" s="2"/>
      <c r="I1883" s="5"/>
    </row>
    <row r="1884" spans="1:9" ht="17.399999999999999" x14ac:dyDescent="0.25">
      <c r="A1884" s="16"/>
      <c r="B1884" s="17"/>
      <c r="C1884" s="2"/>
      <c r="D1884" s="2"/>
      <c r="E1884" s="2"/>
      <c r="F1884" s="2"/>
      <c r="G1884" s="2"/>
      <c r="H1884" s="2"/>
      <c r="I1884" s="5"/>
    </row>
    <row r="1885" spans="1:9" ht="17.399999999999999" x14ac:dyDescent="0.25">
      <c r="A1885" s="16"/>
      <c r="B1885" s="17"/>
      <c r="C1885" s="2"/>
      <c r="D1885" s="2"/>
      <c r="E1885" s="2"/>
      <c r="F1885" s="2"/>
      <c r="G1885" s="2"/>
      <c r="H1885" s="2"/>
      <c r="I1885" s="5"/>
    </row>
    <row r="1886" spans="1:9" ht="17.399999999999999" x14ac:dyDescent="0.25">
      <c r="A1886" s="16"/>
      <c r="B1886" s="17"/>
      <c r="C1886" s="2"/>
      <c r="D1886" s="2"/>
      <c r="E1886" s="2"/>
      <c r="F1886" s="2"/>
      <c r="G1886" s="2"/>
      <c r="H1886" s="2"/>
      <c r="I1886" s="5"/>
    </row>
    <row r="1887" spans="1:9" ht="17.399999999999999" x14ac:dyDescent="0.25">
      <c r="A1887" s="16"/>
      <c r="B1887" s="17"/>
      <c r="C1887" s="2"/>
      <c r="D1887" s="2"/>
      <c r="E1887" s="2"/>
      <c r="F1887" s="2"/>
      <c r="G1887" s="2"/>
      <c r="H1887" s="2"/>
      <c r="I1887" s="5"/>
    </row>
    <row r="1888" spans="1:9" ht="17.399999999999999" x14ac:dyDescent="0.25">
      <c r="A1888" s="16"/>
      <c r="B1888" s="17"/>
      <c r="C1888" s="2"/>
      <c r="D1888" s="2"/>
      <c r="E1888" s="2"/>
      <c r="F1888" s="2"/>
      <c r="G1888" s="2"/>
      <c r="H1888" s="2"/>
      <c r="I1888" s="5"/>
    </row>
    <row r="1889" spans="1:9" ht="17.399999999999999" x14ac:dyDescent="0.25">
      <c r="A1889" s="16"/>
      <c r="B1889" s="17"/>
      <c r="C1889" s="2"/>
      <c r="D1889" s="2"/>
      <c r="E1889" s="2"/>
      <c r="F1889" s="2"/>
      <c r="G1889" s="2"/>
      <c r="H1889" s="2"/>
      <c r="I1889" s="5"/>
    </row>
    <row r="1890" spans="1:9" ht="17.399999999999999" x14ac:dyDescent="0.25">
      <c r="A1890" s="16"/>
      <c r="B1890" s="17"/>
      <c r="C1890" s="2"/>
      <c r="D1890" s="2"/>
      <c r="E1890" s="2"/>
      <c r="F1890" s="2"/>
      <c r="G1890" s="2"/>
      <c r="H1890" s="2"/>
      <c r="I1890" s="5"/>
    </row>
    <row r="1891" spans="1:9" ht="17.399999999999999" x14ac:dyDescent="0.25">
      <c r="A1891" s="16"/>
      <c r="B1891" s="17"/>
      <c r="C1891" s="2"/>
      <c r="D1891" s="2"/>
      <c r="E1891" s="2"/>
      <c r="F1891" s="2"/>
      <c r="G1891" s="2"/>
      <c r="H1891" s="2"/>
      <c r="I1891" s="5"/>
    </row>
    <row r="1892" spans="1:9" ht="17.399999999999999" x14ac:dyDescent="0.25">
      <c r="A1892" s="16"/>
      <c r="B1892" s="17"/>
      <c r="C1892" s="2"/>
      <c r="D1892" s="2"/>
      <c r="E1892" s="2"/>
      <c r="F1892" s="2"/>
      <c r="G1892" s="2"/>
      <c r="H1892" s="2"/>
      <c r="I1892" s="5"/>
    </row>
    <row r="1893" spans="1:9" ht="17.399999999999999" x14ac:dyDescent="0.25">
      <c r="A1893" s="16"/>
      <c r="B1893" s="17"/>
      <c r="C1893" s="2"/>
      <c r="D1893" s="2"/>
      <c r="E1893" s="2"/>
      <c r="F1893" s="2"/>
      <c r="G1893" s="2"/>
      <c r="H1893" s="2"/>
      <c r="I1893" s="5"/>
    </row>
    <row r="1894" spans="1:9" ht="17.399999999999999" x14ac:dyDescent="0.25">
      <c r="A1894" s="16"/>
      <c r="B1894" s="17"/>
      <c r="C1894" s="2"/>
      <c r="D1894" s="2"/>
      <c r="E1894" s="2"/>
      <c r="F1894" s="2"/>
      <c r="G1894" s="2"/>
      <c r="H1894" s="2"/>
      <c r="I1894" s="5"/>
    </row>
    <row r="1895" spans="1:9" ht="17.399999999999999" x14ac:dyDescent="0.25">
      <c r="A1895" s="16"/>
      <c r="B1895" s="17"/>
      <c r="C1895" s="2"/>
      <c r="D1895" s="2"/>
      <c r="E1895" s="2"/>
      <c r="F1895" s="2"/>
      <c r="G1895" s="2"/>
      <c r="H1895" s="2"/>
      <c r="I1895" s="5"/>
    </row>
    <row r="1896" spans="1:9" ht="17.399999999999999" x14ac:dyDescent="0.25">
      <c r="A1896" s="16"/>
      <c r="B1896" s="17"/>
      <c r="C1896" s="2"/>
      <c r="D1896" s="2"/>
      <c r="E1896" s="2"/>
      <c r="F1896" s="2"/>
      <c r="G1896" s="2"/>
      <c r="H1896" s="2"/>
      <c r="I1896" s="5"/>
    </row>
    <row r="1897" spans="1:9" ht="17.399999999999999" x14ac:dyDescent="0.25">
      <c r="A1897" s="16"/>
      <c r="B1897" s="17"/>
      <c r="C1897" s="2"/>
      <c r="D1897" s="2"/>
      <c r="E1897" s="2"/>
      <c r="F1897" s="2"/>
      <c r="G1897" s="2"/>
      <c r="H1897" s="2"/>
      <c r="I1897" s="5"/>
    </row>
    <row r="1898" spans="1:9" ht="17.399999999999999" x14ac:dyDescent="0.25">
      <c r="A1898" s="16"/>
      <c r="B1898" s="17"/>
      <c r="C1898" s="2"/>
      <c r="D1898" s="2"/>
      <c r="E1898" s="2"/>
      <c r="F1898" s="2"/>
      <c r="G1898" s="2"/>
      <c r="H1898" s="2"/>
      <c r="I1898" s="5"/>
    </row>
    <row r="1899" spans="1:9" ht="17.399999999999999" x14ac:dyDescent="0.25">
      <c r="A1899" s="16"/>
      <c r="B1899" s="17"/>
      <c r="C1899" s="2"/>
      <c r="D1899" s="2"/>
      <c r="E1899" s="2"/>
      <c r="F1899" s="2"/>
      <c r="G1899" s="2"/>
      <c r="H1899" s="2"/>
      <c r="I1899" s="5"/>
    </row>
    <row r="1900" spans="1:9" ht="17.399999999999999" x14ac:dyDescent="0.25">
      <c r="A1900" s="16"/>
      <c r="B1900" s="17"/>
      <c r="C1900" s="2"/>
      <c r="D1900" s="2"/>
      <c r="E1900" s="2"/>
      <c r="F1900" s="2"/>
      <c r="G1900" s="2"/>
      <c r="H1900" s="2"/>
      <c r="I1900" s="5"/>
    </row>
    <row r="1901" spans="1:9" ht="17.399999999999999" x14ac:dyDescent="0.25">
      <c r="A1901" s="16"/>
      <c r="B1901" s="17"/>
      <c r="C1901" s="2"/>
      <c r="D1901" s="2"/>
      <c r="E1901" s="2"/>
      <c r="F1901" s="2"/>
      <c r="G1901" s="2"/>
      <c r="H1901" s="2"/>
      <c r="I1901" s="5"/>
    </row>
    <row r="1902" spans="1:9" ht="17.399999999999999" x14ac:dyDescent="0.25">
      <c r="A1902" s="16"/>
      <c r="B1902" s="17"/>
      <c r="C1902" s="2"/>
      <c r="D1902" s="2"/>
      <c r="E1902" s="2"/>
      <c r="F1902" s="2"/>
      <c r="G1902" s="2"/>
      <c r="H1902" s="2"/>
      <c r="I1902" s="5"/>
    </row>
    <row r="1903" spans="1:9" ht="17.399999999999999" x14ac:dyDescent="0.25">
      <c r="A1903" s="16"/>
      <c r="B1903" s="17"/>
      <c r="C1903" s="2"/>
      <c r="D1903" s="2"/>
      <c r="E1903" s="2"/>
      <c r="F1903" s="2"/>
      <c r="G1903" s="2"/>
      <c r="H1903" s="2"/>
      <c r="I1903" s="5"/>
    </row>
    <row r="1904" spans="1:9" ht="17.399999999999999" x14ac:dyDescent="0.25">
      <c r="A1904" s="16"/>
      <c r="B1904" s="17"/>
      <c r="C1904" s="2"/>
      <c r="D1904" s="2"/>
      <c r="E1904" s="2"/>
      <c r="F1904" s="2"/>
      <c r="G1904" s="2"/>
      <c r="H1904" s="2"/>
      <c r="I1904" s="5"/>
    </row>
    <row r="1905" spans="1:9" ht="17.399999999999999" x14ac:dyDescent="0.25">
      <c r="A1905" s="16"/>
      <c r="B1905" s="17"/>
      <c r="C1905" s="2"/>
      <c r="D1905" s="2"/>
      <c r="E1905" s="2"/>
      <c r="F1905" s="2"/>
      <c r="G1905" s="2"/>
      <c r="H1905" s="2"/>
      <c r="I1905" s="5"/>
    </row>
    <row r="1906" spans="1:9" ht="17.399999999999999" x14ac:dyDescent="0.25">
      <c r="A1906" s="16"/>
      <c r="B1906" s="17"/>
      <c r="C1906" s="2"/>
      <c r="D1906" s="2"/>
      <c r="E1906" s="2"/>
      <c r="F1906" s="2"/>
      <c r="G1906" s="2"/>
      <c r="H1906" s="2"/>
      <c r="I1906" s="5"/>
    </row>
    <row r="1907" spans="1:9" ht="17.399999999999999" x14ac:dyDescent="0.25">
      <c r="A1907" s="16"/>
      <c r="B1907" s="17"/>
      <c r="C1907" s="2"/>
      <c r="D1907" s="2"/>
      <c r="E1907" s="2"/>
      <c r="F1907" s="2"/>
      <c r="G1907" s="2"/>
      <c r="H1907" s="2"/>
      <c r="I1907" s="5"/>
    </row>
    <row r="1908" spans="1:9" ht="17.399999999999999" x14ac:dyDescent="0.25">
      <c r="A1908" s="16"/>
      <c r="B1908" s="17"/>
      <c r="C1908" s="2"/>
      <c r="D1908" s="2"/>
      <c r="E1908" s="2"/>
      <c r="F1908" s="2"/>
      <c r="G1908" s="2"/>
      <c r="H1908" s="2"/>
      <c r="I1908" s="5"/>
    </row>
    <row r="1909" spans="1:9" ht="17.399999999999999" x14ac:dyDescent="0.25">
      <c r="A1909" s="16"/>
      <c r="B1909" s="17"/>
      <c r="C1909" s="2"/>
      <c r="D1909" s="2"/>
      <c r="E1909" s="2"/>
      <c r="F1909" s="2"/>
      <c r="G1909" s="2"/>
      <c r="H1909" s="2"/>
      <c r="I1909" s="5"/>
    </row>
    <row r="1910" spans="1:9" ht="17.399999999999999" x14ac:dyDescent="0.25">
      <c r="A1910" s="16"/>
      <c r="B1910" s="17"/>
      <c r="C1910" s="2"/>
      <c r="D1910" s="2"/>
      <c r="E1910" s="2"/>
      <c r="F1910" s="2"/>
      <c r="G1910" s="2"/>
      <c r="H1910" s="2"/>
      <c r="I1910" s="5"/>
    </row>
    <row r="1911" spans="1:9" ht="17.399999999999999" x14ac:dyDescent="0.25">
      <c r="A1911" s="16"/>
      <c r="B1911" s="17"/>
      <c r="C1911" s="2"/>
      <c r="D1911" s="2"/>
      <c r="E1911" s="2"/>
      <c r="F1911" s="2"/>
      <c r="G1911" s="2"/>
      <c r="H1911" s="2"/>
      <c r="I1911" s="5"/>
    </row>
    <row r="1912" spans="1:9" ht="17.399999999999999" x14ac:dyDescent="0.25">
      <c r="A1912" s="16"/>
      <c r="B1912" s="17"/>
      <c r="C1912" s="2"/>
      <c r="D1912" s="2"/>
      <c r="E1912" s="2"/>
      <c r="F1912" s="2"/>
      <c r="G1912" s="2"/>
      <c r="H1912" s="2"/>
      <c r="I1912" s="5"/>
    </row>
    <row r="1913" spans="1:9" ht="17.399999999999999" x14ac:dyDescent="0.25">
      <c r="A1913" s="16"/>
      <c r="B1913" s="17"/>
      <c r="C1913" s="2"/>
      <c r="D1913" s="2"/>
      <c r="E1913" s="2"/>
      <c r="F1913" s="2"/>
      <c r="G1913" s="2"/>
      <c r="H1913" s="2"/>
      <c r="I1913" s="5"/>
    </row>
    <row r="1914" spans="1:9" ht="17.399999999999999" x14ac:dyDescent="0.25">
      <c r="A1914" s="16"/>
      <c r="B1914" s="17"/>
      <c r="C1914" s="2"/>
      <c r="D1914" s="2"/>
      <c r="E1914" s="2"/>
      <c r="F1914" s="2"/>
      <c r="G1914" s="2"/>
      <c r="H1914" s="2"/>
      <c r="I1914" s="5"/>
    </row>
    <row r="1915" spans="1:9" ht="17.399999999999999" x14ac:dyDescent="0.25">
      <c r="A1915" s="16"/>
      <c r="B1915" s="17"/>
      <c r="C1915" s="2"/>
      <c r="D1915" s="2"/>
      <c r="E1915" s="2"/>
      <c r="F1915" s="2"/>
      <c r="G1915" s="2"/>
      <c r="H1915" s="2"/>
      <c r="I1915" s="5"/>
    </row>
    <row r="1916" spans="1:9" ht="17.399999999999999" x14ac:dyDescent="0.25">
      <c r="A1916" s="16"/>
      <c r="B1916" s="17"/>
      <c r="C1916" s="2"/>
      <c r="D1916" s="2"/>
      <c r="E1916" s="2"/>
      <c r="F1916" s="2"/>
      <c r="G1916" s="2"/>
      <c r="H1916" s="2"/>
      <c r="I1916" s="5"/>
    </row>
    <row r="1917" spans="1:9" ht="17.399999999999999" x14ac:dyDescent="0.25">
      <c r="A1917" s="16"/>
      <c r="B1917" s="17"/>
      <c r="C1917" s="2"/>
      <c r="D1917" s="2"/>
      <c r="E1917" s="2"/>
      <c r="F1917" s="2"/>
      <c r="G1917" s="2"/>
      <c r="H1917" s="2"/>
      <c r="I1917" s="5"/>
    </row>
    <row r="1918" spans="1:9" ht="17.399999999999999" x14ac:dyDescent="0.25">
      <c r="A1918" s="16"/>
      <c r="B1918" s="17"/>
      <c r="C1918" s="2"/>
      <c r="D1918" s="2"/>
      <c r="E1918" s="2"/>
      <c r="F1918" s="2"/>
      <c r="G1918" s="2"/>
      <c r="H1918" s="2"/>
      <c r="I1918" s="5"/>
    </row>
    <row r="1919" spans="1:9" ht="17.399999999999999" x14ac:dyDescent="0.25">
      <c r="A1919" s="16"/>
      <c r="B1919" s="17"/>
      <c r="C1919" s="2"/>
      <c r="D1919" s="2"/>
      <c r="E1919" s="2"/>
      <c r="F1919" s="2"/>
      <c r="G1919" s="2"/>
      <c r="H1919" s="2"/>
      <c r="I1919" s="5"/>
    </row>
    <row r="1920" spans="1:9" ht="17.399999999999999" x14ac:dyDescent="0.25">
      <c r="A1920" s="16"/>
      <c r="B1920" s="17"/>
      <c r="C1920" s="2"/>
      <c r="D1920" s="2"/>
      <c r="E1920" s="2"/>
      <c r="F1920" s="2"/>
      <c r="G1920" s="2"/>
      <c r="H1920" s="2"/>
      <c r="I1920" s="5"/>
    </row>
    <row r="1921" spans="1:9" ht="17.399999999999999" x14ac:dyDescent="0.25">
      <c r="A1921" s="16"/>
      <c r="B1921" s="17"/>
      <c r="C1921" s="2"/>
      <c r="D1921" s="2"/>
      <c r="E1921" s="2"/>
      <c r="F1921" s="2"/>
      <c r="G1921" s="2"/>
      <c r="H1921" s="2"/>
      <c r="I1921" s="5"/>
    </row>
    <row r="1922" spans="1:9" ht="17.399999999999999" x14ac:dyDescent="0.25">
      <c r="A1922" s="16"/>
      <c r="B1922" s="17"/>
      <c r="C1922" s="2"/>
      <c r="D1922" s="2"/>
      <c r="E1922" s="2"/>
      <c r="F1922" s="2"/>
      <c r="G1922" s="2"/>
      <c r="H1922" s="2"/>
      <c r="I1922" s="5"/>
    </row>
    <row r="1923" spans="1:9" ht="17.399999999999999" x14ac:dyDescent="0.25">
      <c r="A1923" s="16"/>
      <c r="B1923" s="17"/>
      <c r="C1923" s="2"/>
      <c r="D1923" s="2"/>
      <c r="E1923" s="2"/>
      <c r="F1923" s="2"/>
      <c r="G1923" s="2"/>
      <c r="H1923" s="2"/>
      <c r="I1923" s="5"/>
    </row>
    <row r="1924" spans="1:9" ht="17.399999999999999" x14ac:dyDescent="0.25">
      <c r="A1924" s="16"/>
      <c r="B1924" s="17"/>
      <c r="C1924" s="2"/>
      <c r="D1924" s="2"/>
      <c r="E1924" s="2"/>
      <c r="F1924" s="2"/>
      <c r="G1924" s="2"/>
      <c r="H1924" s="2"/>
      <c r="I1924" s="5"/>
    </row>
    <row r="1925" spans="1:9" ht="17.399999999999999" x14ac:dyDescent="0.25">
      <c r="A1925" s="16"/>
      <c r="B1925" s="17"/>
      <c r="C1925" s="2"/>
      <c r="D1925" s="2"/>
      <c r="E1925" s="2"/>
      <c r="F1925" s="2"/>
      <c r="G1925" s="2"/>
      <c r="H1925" s="2"/>
      <c r="I1925" s="5"/>
    </row>
    <row r="1926" spans="1:9" ht="17.399999999999999" x14ac:dyDescent="0.25">
      <c r="A1926" s="16"/>
      <c r="B1926" s="17"/>
      <c r="C1926" s="2"/>
      <c r="D1926" s="2"/>
      <c r="E1926" s="2"/>
      <c r="F1926" s="2"/>
      <c r="G1926" s="2"/>
      <c r="H1926" s="2"/>
      <c r="I1926" s="5"/>
    </row>
    <row r="1927" spans="1:9" ht="17.399999999999999" x14ac:dyDescent="0.25">
      <c r="A1927" s="16"/>
      <c r="B1927" s="17"/>
      <c r="C1927" s="2"/>
      <c r="D1927" s="2"/>
      <c r="E1927" s="2"/>
      <c r="F1927" s="2"/>
      <c r="G1927" s="2"/>
      <c r="H1927" s="2"/>
      <c r="I1927" s="5"/>
    </row>
    <row r="1928" spans="1:9" ht="17.399999999999999" x14ac:dyDescent="0.25">
      <c r="A1928" s="16"/>
      <c r="B1928" s="17"/>
      <c r="C1928" s="2"/>
      <c r="D1928" s="2"/>
      <c r="E1928" s="2"/>
      <c r="F1928" s="2"/>
      <c r="G1928" s="2"/>
      <c r="H1928" s="2"/>
      <c r="I1928" s="5"/>
    </row>
    <row r="1929" spans="1:9" ht="17.399999999999999" x14ac:dyDescent="0.25">
      <c r="A1929" s="16"/>
      <c r="B1929" s="17"/>
      <c r="C1929" s="2"/>
      <c r="D1929" s="2"/>
      <c r="E1929" s="2"/>
      <c r="F1929" s="2"/>
      <c r="G1929" s="2"/>
      <c r="H1929" s="2"/>
      <c r="I1929" s="5"/>
    </row>
    <row r="1930" spans="1:9" ht="17.399999999999999" x14ac:dyDescent="0.25">
      <c r="A1930" s="16"/>
      <c r="B1930" s="17"/>
      <c r="C1930" s="2"/>
      <c r="D1930" s="2"/>
      <c r="E1930" s="2"/>
      <c r="F1930" s="2"/>
      <c r="G1930" s="2"/>
      <c r="H1930" s="2"/>
      <c r="I1930" s="5"/>
    </row>
    <row r="1931" spans="1:9" ht="17.399999999999999" x14ac:dyDescent="0.25">
      <c r="A1931" s="16"/>
      <c r="B1931" s="17"/>
      <c r="C1931" s="2"/>
      <c r="D1931" s="2"/>
      <c r="E1931" s="2"/>
      <c r="F1931" s="2"/>
      <c r="G1931" s="2"/>
      <c r="H1931" s="2"/>
      <c r="I1931" s="5"/>
    </row>
    <row r="1932" spans="1:9" ht="17.399999999999999" x14ac:dyDescent="0.25">
      <c r="A1932" s="16"/>
      <c r="B1932" s="17"/>
      <c r="C1932" s="2"/>
      <c r="D1932" s="2"/>
      <c r="E1932" s="2"/>
      <c r="F1932" s="2"/>
      <c r="G1932" s="2"/>
      <c r="H1932" s="2"/>
      <c r="I1932" s="5"/>
    </row>
    <row r="1933" spans="1:9" ht="17.399999999999999" x14ac:dyDescent="0.25">
      <c r="A1933" s="16"/>
      <c r="B1933" s="17"/>
      <c r="C1933" s="2"/>
      <c r="D1933" s="2"/>
      <c r="E1933" s="2"/>
      <c r="F1933" s="2"/>
      <c r="G1933" s="2"/>
      <c r="H1933" s="2"/>
      <c r="I1933" s="5"/>
    </row>
    <row r="1934" spans="1:9" ht="17.399999999999999" x14ac:dyDescent="0.25">
      <c r="A1934" s="16"/>
      <c r="B1934" s="17"/>
      <c r="C1934" s="2"/>
      <c r="D1934" s="2"/>
      <c r="E1934" s="2"/>
      <c r="F1934" s="2"/>
      <c r="G1934" s="2"/>
      <c r="H1934" s="2"/>
      <c r="I1934" s="5"/>
    </row>
    <row r="1935" spans="1:9" ht="17.399999999999999" x14ac:dyDescent="0.25">
      <c r="A1935" s="16"/>
      <c r="B1935" s="17"/>
      <c r="C1935" s="2"/>
      <c r="D1935" s="2"/>
      <c r="E1935" s="2"/>
      <c r="F1935" s="2"/>
      <c r="G1935" s="2"/>
      <c r="H1935" s="2"/>
      <c r="I1935" s="5"/>
    </row>
    <row r="1936" spans="1:9" ht="17.399999999999999" x14ac:dyDescent="0.25">
      <c r="A1936" s="16"/>
      <c r="B1936" s="17"/>
      <c r="C1936" s="2"/>
      <c r="D1936" s="2"/>
      <c r="E1936" s="2"/>
      <c r="F1936" s="2"/>
      <c r="G1936" s="2"/>
      <c r="H1936" s="2"/>
      <c r="I1936" s="5"/>
    </row>
    <row r="1937" spans="1:9" ht="17.399999999999999" x14ac:dyDescent="0.25">
      <c r="A1937" s="16"/>
      <c r="B1937" s="17"/>
      <c r="C1937" s="2"/>
      <c r="D1937" s="2"/>
      <c r="E1937" s="2"/>
      <c r="F1937" s="2"/>
      <c r="G1937" s="2"/>
      <c r="H1937" s="2"/>
      <c r="I1937" s="5"/>
    </row>
    <row r="1938" spans="1:9" ht="17.399999999999999" x14ac:dyDescent="0.25">
      <c r="A1938" s="16"/>
      <c r="B1938" s="17"/>
      <c r="C1938" s="2"/>
      <c r="D1938" s="2"/>
      <c r="E1938" s="2"/>
      <c r="F1938" s="2"/>
      <c r="G1938" s="2"/>
      <c r="H1938" s="2"/>
      <c r="I1938" s="5"/>
    </row>
    <row r="1939" spans="1:9" ht="17.399999999999999" x14ac:dyDescent="0.25">
      <c r="A1939" s="16"/>
      <c r="B1939" s="17"/>
      <c r="C1939" s="2"/>
      <c r="D1939" s="2"/>
      <c r="E1939" s="2"/>
      <c r="F1939" s="2"/>
      <c r="G1939" s="2"/>
      <c r="H1939" s="2"/>
      <c r="I1939" s="5"/>
    </row>
    <row r="1940" spans="1:9" ht="17.399999999999999" x14ac:dyDescent="0.25">
      <c r="A1940" s="16"/>
      <c r="B1940" s="17"/>
      <c r="C1940" s="2"/>
      <c r="D1940" s="2"/>
      <c r="E1940" s="2"/>
      <c r="F1940" s="2"/>
      <c r="G1940" s="2"/>
      <c r="H1940" s="2"/>
      <c r="I1940" s="5"/>
    </row>
    <row r="1941" spans="1:9" ht="17.399999999999999" x14ac:dyDescent="0.25">
      <c r="A1941" s="16"/>
      <c r="B1941" s="17"/>
      <c r="C1941" s="2" t="b">
        <v>0</v>
      </c>
      <c r="D1941" s="2"/>
      <c r="E1941" s="2"/>
      <c r="F1941" s="2"/>
      <c r="G1941" s="2"/>
      <c r="H1941" s="2"/>
      <c r="I1941" s="5"/>
    </row>
    <row r="1942" spans="1:9" ht="17.399999999999999" x14ac:dyDescent="0.25">
      <c r="A1942" s="16"/>
      <c r="B1942" s="17"/>
      <c r="C1942" s="2" t="b">
        <v>0</v>
      </c>
      <c r="D1942" s="2"/>
      <c r="E1942" s="2"/>
      <c r="F1942" s="2"/>
      <c r="G1942" s="2"/>
      <c r="H1942" s="2"/>
      <c r="I1942" s="5"/>
    </row>
    <row r="1943" spans="1:9" ht="17.399999999999999" x14ac:dyDescent="0.25">
      <c r="A1943" s="16"/>
      <c r="B1943" s="17"/>
      <c r="C1943" s="2" t="b">
        <v>0</v>
      </c>
      <c r="D1943" s="2"/>
      <c r="E1943" s="2"/>
      <c r="F1943" s="2"/>
      <c r="G1943" s="2"/>
      <c r="H1943" s="2"/>
      <c r="I1943" s="5"/>
    </row>
    <row r="1944" spans="1:9" ht="17.399999999999999" x14ac:dyDescent="0.25">
      <c r="A1944" s="16"/>
      <c r="B1944" s="17"/>
      <c r="C1944" s="2" t="b">
        <v>0</v>
      </c>
      <c r="D1944" s="2"/>
      <c r="E1944" s="2"/>
      <c r="F1944" s="2"/>
      <c r="G1944" s="2"/>
      <c r="H1944" s="2"/>
      <c r="I1944" s="5"/>
    </row>
    <row r="1945" spans="1:9" ht="17.399999999999999" x14ac:dyDescent="0.25">
      <c r="A1945" s="16"/>
      <c r="B1945" s="17"/>
      <c r="C1945" s="2" t="b">
        <v>0</v>
      </c>
      <c r="D1945" s="2"/>
      <c r="E1945" s="2"/>
      <c r="F1945" s="2"/>
      <c r="G1945" s="2"/>
      <c r="H1945" s="2"/>
      <c r="I1945" s="5"/>
    </row>
    <row r="1946" spans="1:9" ht="17.399999999999999" x14ac:dyDescent="0.25">
      <c r="A1946" s="16"/>
      <c r="B1946" s="17"/>
      <c r="C1946" s="2" t="b">
        <v>0</v>
      </c>
      <c r="D1946" s="2"/>
      <c r="E1946" s="2"/>
      <c r="F1946" s="2"/>
      <c r="G1946" s="2"/>
      <c r="H1946" s="2"/>
      <c r="I1946" s="5"/>
    </row>
    <row r="1947" spans="1:9" ht="17.399999999999999" x14ac:dyDescent="0.25">
      <c r="A1947" s="16"/>
      <c r="B1947" s="17"/>
      <c r="C1947" s="2" t="b">
        <v>0</v>
      </c>
      <c r="D1947" s="2"/>
      <c r="E1947" s="2"/>
      <c r="F1947" s="2"/>
      <c r="G1947" s="2"/>
      <c r="H1947" s="2"/>
      <c r="I1947" s="5"/>
    </row>
    <row r="1948" spans="1:9" ht="17.399999999999999" x14ac:dyDescent="0.25">
      <c r="A1948" s="16"/>
      <c r="B1948" s="17"/>
      <c r="C1948" s="2" t="b">
        <v>0</v>
      </c>
      <c r="D1948" s="2"/>
      <c r="E1948" s="2"/>
      <c r="F1948" s="2"/>
      <c r="G1948" s="2"/>
      <c r="H1948" s="2"/>
      <c r="I1948" s="5"/>
    </row>
    <row r="1949" spans="1:9" ht="17.399999999999999" x14ac:dyDescent="0.25">
      <c r="A1949" s="16"/>
      <c r="B1949" s="17"/>
      <c r="C1949" s="2" t="b">
        <v>0</v>
      </c>
      <c r="D1949" s="2"/>
      <c r="E1949" s="2"/>
      <c r="F1949" s="2"/>
      <c r="G1949" s="2"/>
      <c r="H1949" s="2"/>
      <c r="I1949" s="5"/>
    </row>
    <row r="1950" spans="1:9" ht="17.399999999999999" x14ac:dyDescent="0.25">
      <c r="A1950" s="16"/>
      <c r="B1950" s="17"/>
      <c r="C1950" s="2" t="b">
        <v>0</v>
      </c>
      <c r="D1950" s="2"/>
      <c r="E1950" s="2"/>
      <c r="F1950" s="2"/>
      <c r="G1950" s="2"/>
      <c r="H1950" s="2"/>
      <c r="I1950" s="5"/>
    </row>
    <row r="1951" spans="1:9" ht="17.399999999999999" x14ac:dyDescent="0.25">
      <c r="A1951" s="16"/>
      <c r="B1951" s="17"/>
      <c r="C1951" s="2" t="b">
        <v>0</v>
      </c>
      <c r="D1951" s="2"/>
      <c r="E1951" s="2"/>
      <c r="F1951" s="2"/>
      <c r="G1951" s="2"/>
      <c r="H1951" s="2"/>
      <c r="I1951" s="5"/>
    </row>
    <row r="1952" spans="1:9" ht="17.399999999999999" x14ac:dyDescent="0.25">
      <c r="A1952" s="16"/>
      <c r="B1952" s="17"/>
      <c r="C1952" s="2" t="b">
        <v>0</v>
      </c>
      <c r="D1952" s="2"/>
      <c r="E1952" s="2"/>
      <c r="F1952" s="2"/>
      <c r="G1952" s="2"/>
      <c r="H1952" s="2"/>
      <c r="I1952" s="5"/>
    </row>
    <row r="1953" spans="1:9" ht="17.399999999999999" x14ac:dyDescent="0.25">
      <c r="A1953" s="16"/>
      <c r="B1953" s="17"/>
      <c r="C1953" s="2" t="b">
        <v>0</v>
      </c>
      <c r="D1953" s="2"/>
      <c r="E1953" s="2"/>
      <c r="F1953" s="2"/>
      <c r="G1953" s="2"/>
      <c r="H1953" s="2"/>
      <c r="I1953" s="5"/>
    </row>
    <row r="1954" spans="1:9" ht="17.399999999999999" x14ac:dyDescent="0.25">
      <c r="A1954" s="16"/>
      <c r="B1954" s="17"/>
      <c r="C1954" s="2" t="b">
        <v>0</v>
      </c>
      <c r="D1954" s="2"/>
      <c r="E1954" s="2"/>
      <c r="F1954" s="2"/>
      <c r="G1954" s="2"/>
      <c r="H1954" s="2"/>
      <c r="I1954" s="5"/>
    </row>
    <row r="1955" spans="1:9" ht="17.399999999999999" x14ac:dyDescent="0.25">
      <c r="A1955" s="16"/>
      <c r="B1955" s="17"/>
      <c r="C1955" s="2" t="b">
        <v>0</v>
      </c>
      <c r="D1955" s="2"/>
      <c r="E1955" s="2"/>
      <c r="F1955" s="2"/>
      <c r="G1955" s="2"/>
      <c r="H1955" s="2"/>
      <c r="I1955" s="5"/>
    </row>
    <row r="1956" spans="1:9" ht="17.399999999999999" x14ac:dyDescent="0.25">
      <c r="A1956" s="16"/>
      <c r="B1956" s="17"/>
      <c r="C1956" s="2" t="b">
        <v>0</v>
      </c>
      <c r="D1956" s="2"/>
      <c r="E1956" s="2"/>
      <c r="F1956" s="2"/>
      <c r="G1956" s="2"/>
      <c r="H1956" s="2"/>
      <c r="I1956" s="5"/>
    </row>
    <row r="1957" spans="1:9" ht="17.399999999999999" x14ac:dyDescent="0.25">
      <c r="A1957" s="16"/>
      <c r="B1957" s="17"/>
      <c r="C1957" s="2" t="b">
        <v>0</v>
      </c>
      <c r="D1957" s="2"/>
      <c r="E1957" s="2"/>
      <c r="F1957" s="2"/>
      <c r="G1957" s="2"/>
      <c r="H1957" s="2"/>
      <c r="I1957" s="5"/>
    </row>
    <row r="1958" spans="1:9" ht="17.399999999999999" x14ac:dyDescent="0.25">
      <c r="A1958" s="16"/>
      <c r="B1958" s="17"/>
      <c r="C1958" s="2" t="b">
        <v>0</v>
      </c>
      <c r="D1958" s="2"/>
      <c r="E1958" s="2"/>
      <c r="F1958" s="2"/>
      <c r="G1958" s="2"/>
      <c r="H1958" s="2"/>
      <c r="I1958" s="5"/>
    </row>
    <row r="1959" spans="1:9" ht="17.399999999999999" x14ac:dyDescent="0.25">
      <c r="A1959" s="16"/>
      <c r="B1959" s="17"/>
      <c r="C1959" s="2" t="b">
        <v>0</v>
      </c>
      <c r="D1959" s="2"/>
      <c r="E1959" s="2"/>
      <c r="F1959" s="2"/>
      <c r="G1959" s="2"/>
      <c r="H1959" s="2"/>
      <c r="I1959" s="5"/>
    </row>
    <row r="1960" spans="1:9" ht="17.399999999999999" x14ac:dyDescent="0.25">
      <c r="A1960" s="16"/>
      <c r="B1960" s="17"/>
      <c r="C1960" s="2" t="b">
        <v>0</v>
      </c>
      <c r="D1960" s="2"/>
      <c r="E1960" s="2"/>
      <c r="F1960" s="2"/>
      <c r="G1960" s="2"/>
      <c r="H1960" s="2"/>
      <c r="I1960" s="5"/>
    </row>
    <row r="1961" spans="1:9" ht="17.399999999999999" x14ac:dyDescent="0.25">
      <c r="A1961" s="16"/>
      <c r="B1961" s="17"/>
      <c r="C1961" s="2" t="b">
        <v>0</v>
      </c>
      <c r="D1961" s="2"/>
      <c r="E1961" s="2"/>
      <c r="F1961" s="2"/>
      <c r="G1961" s="2"/>
      <c r="H1961" s="2"/>
      <c r="I1961" s="5"/>
    </row>
    <row r="1962" spans="1:9" ht="17.399999999999999" x14ac:dyDescent="0.25">
      <c r="A1962" s="16"/>
      <c r="B1962" s="17"/>
      <c r="C1962" s="2" t="b">
        <v>0</v>
      </c>
      <c r="D1962" s="2"/>
      <c r="E1962" s="2"/>
      <c r="F1962" s="2"/>
      <c r="G1962" s="2"/>
      <c r="H1962" s="2"/>
      <c r="I1962" s="5"/>
    </row>
    <row r="1963" spans="1:9" ht="17.399999999999999" x14ac:dyDescent="0.25">
      <c r="A1963" s="16"/>
      <c r="B1963" s="17"/>
      <c r="C1963" s="2" t="b">
        <v>0</v>
      </c>
      <c r="D1963" s="2"/>
      <c r="E1963" s="2"/>
      <c r="F1963" s="2"/>
      <c r="G1963" s="2"/>
      <c r="H1963" s="2"/>
      <c r="I1963" s="5"/>
    </row>
    <row r="1964" spans="1:9" ht="17.399999999999999" x14ac:dyDescent="0.25">
      <c r="A1964" s="16"/>
      <c r="B1964" s="17"/>
      <c r="C1964" s="2" t="b">
        <v>0</v>
      </c>
      <c r="D1964" s="2"/>
      <c r="E1964" s="2"/>
      <c r="F1964" s="2"/>
      <c r="G1964" s="2"/>
      <c r="H1964" s="2"/>
      <c r="I1964" s="5"/>
    </row>
    <row r="1965" spans="1:9" ht="17.399999999999999" x14ac:dyDescent="0.25">
      <c r="A1965" s="16"/>
      <c r="B1965" s="17"/>
      <c r="C1965" s="2" t="b">
        <v>0</v>
      </c>
      <c r="D1965" s="2"/>
      <c r="E1965" s="2"/>
      <c r="F1965" s="2"/>
      <c r="G1965" s="2"/>
      <c r="H1965" s="2"/>
      <c r="I1965" s="5"/>
    </row>
    <row r="1966" spans="1:9" ht="17.399999999999999" x14ac:dyDescent="0.25">
      <c r="A1966" s="16"/>
      <c r="B1966" s="17"/>
      <c r="C1966" s="2" t="b">
        <v>0</v>
      </c>
      <c r="D1966" s="2"/>
      <c r="E1966" s="2"/>
      <c r="F1966" s="2"/>
      <c r="G1966" s="2"/>
      <c r="H1966" s="2"/>
      <c r="I1966" s="5"/>
    </row>
    <row r="1967" spans="1:9" ht="17.399999999999999" x14ac:dyDescent="0.25">
      <c r="A1967" s="16"/>
      <c r="B1967" s="17"/>
      <c r="C1967" s="2" t="b">
        <v>0</v>
      </c>
      <c r="D1967" s="2"/>
      <c r="E1967" s="2"/>
      <c r="F1967" s="2"/>
      <c r="G1967" s="2"/>
      <c r="H1967" s="2"/>
      <c r="I1967" s="5"/>
    </row>
    <row r="1968" spans="1:9" ht="17.399999999999999" x14ac:dyDescent="0.25">
      <c r="A1968" s="16"/>
      <c r="B1968" s="17"/>
      <c r="C1968" s="2" t="b">
        <v>0</v>
      </c>
      <c r="D1968" s="2"/>
      <c r="E1968" s="2"/>
      <c r="F1968" s="2"/>
      <c r="G1968" s="2"/>
      <c r="H1968" s="2"/>
      <c r="I1968" s="5"/>
    </row>
    <row r="1969" spans="1:9" ht="17.399999999999999" x14ac:dyDescent="0.25">
      <c r="A1969" s="16"/>
      <c r="B1969" s="17"/>
      <c r="C1969" s="2" t="b">
        <v>0</v>
      </c>
      <c r="D1969" s="2"/>
      <c r="E1969" s="2"/>
      <c r="F1969" s="2"/>
      <c r="G1969" s="2"/>
      <c r="H1969" s="2"/>
      <c r="I1969" s="5"/>
    </row>
    <row r="1970" spans="1:9" ht="17.399999999999999" x14ac:dyDescent="0.25">
      <c r="A1970" s="16"/>
      <c r="B1970" s="17"/>
      <c r="C1970" s="2" t="b">
        <v>0</v>
      </c>
      <c r="D1970" s="2"/>
      <c r="E1970" s="2"/>
      <c r="F1970" s="2"/>
      <c r="G1970" s="2"/>
      <c r="H1970" s="2"/>
      <c r="I1970" s="5"/>
    </row>
    <row r="1971" spans="1:9" ht="17.399999999999999" x14ac:dyDescent="0.25">
      <c r="A1971" s="16"/>
      <c r="B1971" s="17"/>
      <c r="C1971" s="2" t="b">
        <v>0</v>
      </c>
      <c r="D1971" s="2"/>
      <c r="E1971" s="2"/>
      <c r="F1971" s="2"/>
      <c r="G1971" s="2"/>
      <c r="H1971" s="2"/>
      <c r="I1971" s="5"/>
    </row>
    <row r="1972" spans="1:9" ht="17.399999999999999" x14ac:dyDescent="0.25">
      <c r="A1972" s="16"/>
      <c r="B1972" s="17"/>
      <c r="C1972" s="2" t="b">
        <v>0</v>
      </c>
      <c r="D1972" s="2"/>
      <c r="E1972" s="2"/>
      <c r="F1972" s="2"/>
      <c r="G1972" s="2"/>
      <c r="H1972" s="2"/>
      <c r="I1972" s="5"/>
    </row>
    <row r="1973" spans="1:9" ht="17.399999999999999" x14ac:dyDescent="0.25">
      <c r="A1973" s="16"/>
      <c r="B1973" s="17"/>
      <c r="C1973" s="2" t="b">
        <v>0</v>
      </c>
      <c r="D1973" s="2"/>
      <c r="E1973" s="2"/>
      <c r="F1973" s="2"/>
      <c r="G1973" s="2"/>
      <c r="H1973" s="2"/>
      <c r="I1973" s="5"/>
    </row>
    <row r="1974" spans="1:9" ht="17.399999999999999" x14ac:dyDescent="0.25">
      <c r="A1974" s="16"/>
      <c r="B1974" s="17"/>
      <c r="C1974" s="2" t="b">
        <v>0</v>
      </c>
      <c r="D1974" s="2"/>
      <c r="E1974" s="2"/>
      <c r="F1974" s="2"/>
      <c r="G1974" s="2"/>
      <c r="H1974" s="2"/>
      <c r="I1974" s="5"/>
    </row>
    <row r="1975" spans="1:9" ht="17.399999999999999" x14ac:dyDescent="0.25">
      <c r="A1975" s="16"/>
      <c r="B1975" s="17"/>
      <c r="C1975" s="2" t="b">
        <v>0</v>
      </c>
      <c r="D1975" s="2"/>
      <c r="E1975" s="2"/>
      <c r="F1975" s="2"/>
      <c r="G1975" s="2"/>
      <c r="H1975" s="2"/>
      <c r="I1975" s="5"/>
    </row>
    <row r="1976" spans="1:9" ht="17.399999999999999" x14ac:dyDescent="0.25">
      <c r="A1976" s="16"/>
      <c r="B1976" s="17"/>
      <c r="C1976" s="2" t="b">
        <v>0</v>
      </c>
      <c r="D1976" s="2"/>
      <c r="E1976" s="2"/>
      <c r="F1976" s="2"/>
      <c r="G1976" s="2"/>
      <c r="H1976" s="2"/>
      <c r="I1976" s="5"/>
    </row>
    <row r="1977" spans="1:9" ht="17.399999999999999" x14ac:dyDescent="0.25">
      <c r="A1977" s="16"/>
      <c r="B1977" s="17"/>
      <c r="C1977" s="2" t="b">
        <v>0</v>
      </c>
      <c r="D1977" s="2"/>
      <c r="E1977" s="2"/>
      <c r="F1977" s="2"/>
      <c r="G1977" s="2"/>
      <c r="H1977" s="2"/>
      <c r="I1977" s="5"/>
    </row>
    <row r="1978" spans="1:9" ht="17.399999999999999" x14ac:dyDescent="0.25">
      <c r="A1978" s="16"/>
      <c r="B1978" s="17"/>
      <c r="C1978" s="2" t="b">
        <v>0</v>
      </c>
      <c r="D1978" s="2"/>
      <c r="E1978" s="2"/>
      <c r="F1978" s="2"/>
      <c r="G1978" s="2"/>
      <c r="H1978" s="2"/>
      <c r="I1978" s="5"/>
    </row>
    <row r="1979" spans="1:9" ht="17.399999999999999" x14ac:dyDescent="0.25">
      <c r="A1979" s="16"/>
      <c r="B1979" s="17"/>
      <c r="C1979" s="2" t="b">
        <v>0</v>
      </c>
      <c r="D1979" s="2"/>
      <c r="E1979" s="2"/>
      <c r="F1979" s="2"/>
      <c r="G1979" s="2"/>
      <c r="H1979" s="2"/>
      <c r="I1979" s="5"/>
    </row>
    <row r="1980" spans="1:9" ht="17.399999999999999" x14ac:dyDescent="0.25">
      <c r="A1980" s="16"/>
      <c r="B1980" s="17"/>
      <c r="C1980" s="2" t="b">
        <v>0</v>
      </c>
      <c r="D1980" s="2"/>
      <c r="E1980" s="2"/>
      <c r="F1980" s="2"/>
      <c r="G1980" s="2"/>
      <c r="H1980" s="2"/>
      <c r="I1980" s="5"/>
    </row>
    <row r="1981" spans="1:9" ht="17.399999999999999" x14ac:dyDescent="0.25">
      <c r="A1981" s="16"/>
      <c r="B1981" s="17"/>
      <c r="C1981" s="2" t="b">
        <v>0</v>
      </c>
      <c r="D1981" s="2"/>
      <c r="E1981" s="2"/>
      <c r="F1981" s="2"/>
      <c r="G1981" s="2"/>
      <c r="H1981" s="2"/>
      <c r="I1981" s="5"/>
    </row>
    <row r="1982" spans="1:9" ht="17.399999999999999" x14ac:dyDescent="0.25">
      <c r="A1982" s="16"/>
      <c r="B1982" s="17"/>
      <c r="C1982" s="2" t="b">
        <v>0</v>
      </c>
      <c r="D1982" s="2"/>
      <c r="E1982" s="2"/>
      <c r="F1982" s="2"/>
      <c r="G1982" s="2"/>
      <c r="H1982" s="2"/>
      <c r="I1982" s="5"/>
    </row>
    <row r="1983" spans="1:9" ht="17.399999999999999" x14ac:dyDescent="0.25">
      <c r="A1983" s="16"/>
      <c r="B1983" s="17"/>
      <c r="C1983" s="2" t="b">
        <v>0</v>
      </c>
      <c r="D1983" s="2"/>
      <c r="E1983" s="2"/>
      <c r="F1983" s="2"/>
      <c r="G1983" s="2"/>
      <c r="H1983" s="2"/>
      <c r="I1983" s="5"/>
    </row>
    <row r="1984" spans="1:9" ht="17.399999999999999" x14ac:dyDescent="0.25">
      <c r="A1984" s="16"/>
      <c r="B1984" s="17"/>
      <c r="C1984" s="2" t="b">
        <v>0</v>
      </c>
      <c r="D1984" s="2"/>
      <c r="E1984" s="2"/>
      <c r="F1984" s="2"/>
      <c r="G1984" s="2"/>
      <c r="H1984" s="2"/>
      <c r="I1984" s="5"/>
    </row>
    <row r="1985" spans="1:9" ht="17.399999999999999" x14ac:dyDescent="0.25">
      <c r="A1985" s="16"/>
      <c r="B1985" s="17"/>
      <c r="C1985" s="2" t="b">
        <v>0</v>
      </c>
      <c r="D1985" s="2"/>
      <c r="E1985" s="2"/>
      <c r="F1985" s="2"/>
      <c r="G1985" s="2"/>
      <c r="H1985" s="2"/>
      <c r="I1985" s="5"/>
    </row>
    <row r="1986" spans="1:9" ht="17.399999999999999" x14ac:dyDescent="0.25">
      <c r="A1986" s="16"/>
      <c r="B1986" s="17"/>
      <c r="C1986" s="2" t="b">
        <v>0</v>
      </c>
      <c r="D1986" s="2"/>
      <c r="E1986" s="2"/>
      <c r="F1986" s="2"/>
      <c r="G1986" s="2"/>
      <c r="H1986" s="2"/>
      <c r="I1986" s="5"/>
    </row>
    <row r="1987" spans="1:9" ht="17.399999999999999" x14ac:dyDescent="0.25">
      <c r="A1987" s="16"/>
      <c r="B1987" s="17"/>
      <c r="C1987" s="2" t="b">
        <v>0</v>
      </c>
      <c r="D1987" s="2"/>
      <c r="E1987" s="2"/>
      <c r="F1987" s="2"/>
      <c r="G1987" s="2"/>
      <c r="H1987" s="2"/>
      <c r="I1987" s="5"/>
    </row>
    <row r="1988" spans="1:9" ht="17.399999999999999" x14ac:dyDescent="0.25">
      <c r="A1988" s="16"/>
      <c r="B1988" s="17"/>
      <c r="C1988" s="2" t="b">
        <v>0</v>
      </c>
      <c r="D1988" s="2"/>
      <c r="E1988" s="2"/>
      <c r="F1988" s="2"/>
      <c r="G1988" s="2"/>
      <c r="H1988" s="2"/>
      <c r="I1988" s="5"/>
    </row>
    <row r="1989" spans="1:9" ht="17.399999999999999" x14ac:dyDescent="0.25">
      <c r="A1989" s="16"/>
      <c r="B1989" s="17"/>
      <c r="C1989" s="2" t="b">
        <v>0</v>
      </c>
      <c r="D1989" s="2"/>
      <c r="E1989" s="2"/>
      <c r="F1989" s="2"/>
      <c r="G1989" s="2"/>
      <c r="H1989" s="2"/>
      <c r="I1989" s="5"/>
    </row>
    <row r="1990" spans="1:9" ht="17.399999999999999" x14ac:dyDescent="0.25">
      <c r="A1990" s="16"/>
      <c r="B1990" s="17"/>
      <c r="C1990" s="2" t="b">
        <v>0</v>
      </c>
      <c r="D1990" s="2"/>
      <c r="E1990" s="2"/>
      <c r="F1990" s="2"/>
      <c r="G1990" s="2"/>
      <c r="H1990" s="2"/>
      <c r="I1990" s="5"/>
    </row>
    <row r="1991" spans="1:9" ht="17.399999999999999" x14ac:dyDescent="0.25">
      <c r="A1991" s="16"/>
      <c r="B1991" s="17"/>
      <c r="C1991" s="2" t="b">
        <v>0</v>
      </c>
      <c r="D1991" s="2"/>
      <c r="E1991" s="2"/>
      <c r="F1991" s="2"/>
      <c r="G1991" s="2"/>
      <c r="H1991" s="2"/>
      <c r="I1991" s="5"/>
    </row>
    <row r="1992" spans="1:9" ht="17.399999999999999" x14ac:dyDescent="0.25">
      <c r="A1992" s="16"/>
      <c r="B1992" s="17"/>
      <c r="C1992" s="2" t="b">
        <v>0</v>
      </c>
      <c r="D1992" s="2"/>
      <c r="E1992" s="2"/>
      <c r="F1992" s="2"/>
      <c r="G1992" s="2"/>
      <c r="H1992" s="2"/>
      <c r="I1992" s="5"/>
    </row>
    <row r="1993" spans="1:9" ht="17.399999999999999" x14ac:dyDescent="0.25">
      <c r="A1993" s="16"/>
      <c r="B1993" s="17"/>
      <c r="C1993" s="2" t="b">
        <v>0</v>
      </c>
      <c r="D1993" s="2"/>
      <c r="E1993" s="2"/>
      <c r="F1993" s="2"/>
      <c r="G1993" s="2"/>
      <c r="H1993" s="2"/>
      <c r="I1993" s="5"/>
    </row>
    <row r="1994" spans="1:9" ht="17.399999999999999" x14ac:dyDescent="0.25">
      <c r="A1994" s="16"/>
      <c r="B1994" s="17"/>
      <c r="C1994" s="2" t="b">
        <v>0</v>
      </c>
      <c r="D1994" s="2"/>
      <c r="E1994" s="2"/>
      <c r="F1994" s="2"/>
      <c r="G1994" s="2"/>
      <c r="H1994" s="2"/>
      <c r="I1994" s="5"/>
    </row>
    <row r="1995" spans="1:9" ht="17.399999999999999" x14ac:dyDescent="0.25">
      <c r="A1995" s="16"/>
      <c r="B1995" s="17"/>
      <c r="C1995" s="2" t="b">
        <v>0</v>
      </c>
      <c r="D1995" s="2"/>
      <c r="E1995" s="2"/>
      <c r="F1995" s="2"/>
      <c r="G1995" s="2"/>
      <c r="H1995" s="2"/>
      <c r="I1995" s="5"/>
    </row>
    <row r="1996" spans="1:9" ht="17.399999999999999" x14ac:dyDescent="0.25">
      <c r="A1996" s="16"/>
      <c r="B1996" s="17"/>
      <c r="C1996" s="2" t="b">
        <v>0</v>
      </c>
      <c r="D1996" s="2"/>
      <c r="E1996" s="2"/>
      <c r="F1996" s="2"/>
      <c r="G1996" s="2"/>
      <c r="H1996" s="2"/>
      <c r="I1996" s="5"/>
    </row>
    <row r="1997" spans="1:9" ht="17.399999999999999" x14ac:dyDescent="0.25">
      <c r="A1997" s="16"/>
      <c r="B1997" s="17"/>
      <c r="C1997" s="2" t="b">
        <v>0</v>
      </c>
      <c r="D1997" s="2"/>
      <c r="E1997" s="2"/>
      <c r="F1997" s="2"/>
      <c r="G1997" s="2"/>
      <c r="H1997" s="2"/>
      <c r="I1997" s="5"/>
    </row>
    <row r="1998" spans="1:9" ht="17.399999999999999" x14ac:dyDescent="0.25">
      <c r="A1998" s="16"/>
      <c r="B1998" s="17"/>
      <c r="C1998" s="2" t="b">
        <v>0</v>
      </c>
      <c r="D1998" s="2"/>
      <c r="E1998" s="2"/>
      <c r="F1998" s="2"/>
      <c r="G1998" s="2"/>
      <c r="H1998" s="2"/>
      <c r="I1998" s="5"/>
    </row>
    <row r="1999" spans="1:9" ht="17.399999999999999" x14ac:dyDescent="0.25">
      <c r="A1999" s="16"/>
      <c r="B1999" s="17"/>
      <c r="C1999" s="2" t="b">
        <v>0</v>
      </c>
      <c r="D1999" s="2"/>
      <c r="E1999" s="2"/>
      <c r="F1999" s="2"/>
      <c r="G1999" s="2"/>
      <c r="H1999" s="2"/>
      <c r="I1999" s="5"/>
    </row>
    <row r="2000" spans="1:9" ht="17.399999999999999" x14ac:dyDescent="0.25">
      <c r="A2000" s="16"/>
      <c r="B2000" s="17"/>
      <c r="C2000" s="2" t="b">
        <v>0</v>
      </c>
      <c r="D2000" s="2"/>
      <c r="E2000" s="2"/>
      <c r="F2000" s="2"/>
      <c r="G2000" s="2"/>
      <c r="H2000" s="2"/>
      <c r="I2000" s="5"/>
    </row>
    <row r="2001" spans="1:9" ht="17.399999999999999" x14ac:dyDescent="0.25">
      <c r="A2001" s="16"/>
      <c r="B2001" s="17"/>
      <c r="C2001" s="2" t="b">
        <v>0</v>
      </c>
      <c r="D2001" s="2"/>
      <c r="E2001" s="2"/>
      <c r="F2001" s="2"/>
      <c r="G2001" s="2"/>
      <c r="H2001" s="2"/>
      <c r="I2001" s="5"/>
    </row>
    <row r="2002" spans="1:9" ht="17.399999999999999" x14ac:dyDescent="0.25">
      <c r="A2002" s="16"/>
      <c r="B2002" s="17"/>
      <c r="C2002" s="2" t="b">
        <v>0</v>
      </c>
      <c r="D2002" s="2"/>
      <c r="E2002" s="2"/>
      <c r="F2002" s="2"/>
      <c r="G2002" s="2"/>
      <c r="H2002" s="2"/>
      <c r="I2002" s="5"/>
    </row>
    <row r="2003" spans="1:9" ht="17.399999999999999" x14ac:dyDescent="0.25">
      <c r="A2003" s="16"/>
      <c r="B2003" s="17"/>
      <c r="C2003" s="2" t="b">
        <v>0</v>
      </c>
      <c r="D2003" s="2"/>
      <c r="E2003" s="2"/>
      <c r="F2003" s="2"/>
      <c r="G2003" s="2"/>
      <c r="H2003" s="2"/>
      <c r="I2003" s="5"/>
    </row>
    <row r="2004" spans="1:9" ht="17.399999999999999" x14ac:dyDescent="0.25">
      <c r="A2004" s="16"/>
      <c r="B2004" s="17"/>
      <c r="C2004" s="2" t="b">
        <v>0</v>
      </c>
      <c r="D2004" s="2"/>
      <c r="E2004" s="2"/>
      <c r="F2004" s="2"/>
      <c r="G2004" s="2"/>
      <c r="H2004" s="2"/>
      <c r="I2004" s="5"/>
    </row>
    <row r="2005" spans="1:9" ht="17.399999999999999" x14ac:dyDescent="0.25">
      <c r="A2005" s="16"/>
      <c r="B2005" s="17"/>
      <c r="C2005" s="2" t="b">
        <v>0</v>
      </c>
      <c r="D2005" s="2"/>
      <c r="E2005" s="2"/>
      <c r="F2005" s="2"/>
      <c r="G2005" s="2"/>
      <c r="H2005" s="2"/>
      <c r="I2005" s="5"/>
    </row>
    <row r="2006" spans="1:9" ht="17.399999999999999" x14ac:dyDescent="0.25">
      <c r="A2006" s="16"/>
      <c r="B2006" s="17"/>
      <c r="C2006" s="2" t="b">
        <v>0</v>
      </c>
      <c r="D2006" s="2"/>
      <c r="E2006" s="2"/>
      <c r="F2006" s="2"/>
      <c r="G2006" s="2"/>
      <c r="H2006" s="2"/>
      <c r="I2006" s="5"/>
    </row>
    <row r="2007" spans="1:9" ht="17.399999999999999" x14ac:dyDescent="0.25">
      <c r="A2007" s="16"/>
      <c r="B2007" s="17"/>
      <c r="C2007" s="2" t="b">
        <v>0</v>
      </c>
      <c r="D2007" s="2"/>
      <c r="E2007" s="2"/>
      <c r="F2007" s="2"/>
      <c r="G2007" s="2"/>
      <c r="H2007" s="2"/>
      <c r="I2007" s="5"/>
    </row>
    <row r="2008" spans="1:9" ht="17.399999999999999" x14ac:dyDescent="0.25">
      <c r="A2008" s="16"/>
      <c r="B2008" s="17"/>
      <c r="C2008" s="2" t="b">
        <v>0</v>
      </c>
      <c r="D2008" s="2"/>
      <c r="E2008" s="2"/>
      <c r="F2008" s="2"/>
      <c r="G2008" s="2"/>
      <c r="H2008" s="2"/>
      <c r="I2008" s="5"/>
    </row>
    <row r="2009" spans="1:9" ht="17.399999999999999" x14ac:dyDescent="0.25">
      <c r="A2009" s="16"/>
      <c r="B2009" s="17"/>
      <c r="C2009" s="2" t="b">
        <v>0</v>
      </c>
      <c r="D2009" s="2"/>
      <c r="E2009" s="2"/>
      <c r="F2009" s="2"/>
      <c r="G2009" s="2"/>
      <c r="H2009" s="2"/>
      <c r="I2009" s="5"/>
    </row>
    <row r="2010" spans="1:9" ht="17.399999999999999" x14ac:dyDescent="0.25">
      <c r="A2010" s="16"/>
      <c r="B2010" s="17"/>
      <c r="C2010" s="2" t="b">
        <v>0</v>
      </c>
      <c r="D2010" s="2"/>
      <c r="E2010" s="2"/>
      <c r="F2010" s="2"/>
      <c r="G2010" s="2"/>
      <c r="H2010" s="2"/>
      <c r="I2010" s="5"/>
    </row>
    <row r="2011" spans="1:9" ht="17.399999999999999" x14ac:dyDescent="0.25">
      <c r="A2011" s="16"/>
      <c r="B2011" s="17"/>
      <c r="C2011" s="2" t="b">
        <v>0</v>
      </c>
      <c r="D2011" s="2"/>
      <c r="E2011" s="2"/>
      <c r="F2011" s="2"/>
      <c r="G2011" s="2"/>
      <c r="H2011" s="2"/>
      <c r="I2011" s="5"/>
    </row>
    <row r="2012" spans="1:9" ht="17.399999999999999" x14ac:dyDescent="0.25">
      <c r="A2012" s="16"/>
      <c r="B2012" s="17"/>
      <c r="C2012" s="2" t="b">
        <v>0</v>
      </c>
      <c r="D2012" s="2"/>
      <c r="E2012" s="2"/>
      <c r="F2012" s="2"/>
      <c r="G2012" s="2"/>
      <c r="H2012" s="2"/>
      <c r="I2012" s="5"/>
    </row>
    <row r="2013" spans="1:9" ht="17.399999999999999" x14ac:dyDescent="0.25">
      <c r="A2013" s="16"/>
      <c r="B2013" s="17"/>
      <c r="C2013" s="2" t="b">
        <v>0</v>
      </c>
      <c r="D2013" s="2"/>
      <c r="E2013" s="2"/>
      <c r="F2013" s="2"/>
      <c r="G2013" s="2"/>
      <c r="H2013" s="2"/>
      <c r="I2013" s="5"/>
    </row>
    <row r="2014" spans="1:9" ht="17.399999999999999" x14ac:dyDescent="0.25">
      <c r="A2014" s="16"/>
      <c r="B2014" s="17"/>
      <c r="C2014" s="2" t="b">
        <v>0</v>
      </c>
      <c r="D2014" s="2"/>
      <c r="E2014" s="2"/>
      <c r="F2014" s="2"/>
      <c r="G2014" s="2"/>
      <c r="H2014" s="2"/>
      <c r="I2014" s="5"/>
    </row>
    <row r="2015" spans="1:9" ht="17.399999999999999" x14ac:dyDescent="0.25">
      <c r="A2015" s="16"/>
      <c r="B2015" s="17"/>
      <c r="C2015" s="2" t="b">
        <v>0</v>
      </c>
      <c r="D2015" s="2"/>
      <c r="E2015" s="2"/>
      <c r="F2015" s="2"/>
      <c r="G2015" s="2"/>
      <c r="H2015" s="2"/>
      <c r="I2015" s="5"/>
    </row>
    <row r="2016" spans="1:9" ht="17.399999999999999" x14ac:dyDescent="0.25">
      <c r="A2016" s="16"/>
      <c r="B2016" s="17"/>
      <c r="C2016" s="2" t="b">
        <v>0</v>
      </c>
      <c r="D2016" s="2"/>
      <c r="E2016" s="2"/>
      <c r="F2016" s="2"/>
      <c r="G2016" s="2"/>
      <c r="H2016" s="2"/>
      <c r="I2016" s="5"/>
    </row>
    <row r="2017" spans="1:9" ht="17.399999999999999" x14ac:dyDescent="0.25">
      <c r="A2017" s="16"/>
      <c r="B2017" s="17"/>
      <c r="C2017" s="2" t="b">
        <v>0</v>
      </c>
      <c r="D2017" s="2"/>
      <c r="E2017" s="2"/>
      <c r="F2017" s="2"/>
      <c r="G2017" s="2"/>
      <c r="H2017" s="2"/>
      <c r="I2017" s="5"/>
    </row>
    <row r="2018" spans="1:9" ht="17.399999999999999" x14ac:dyDescent="0.25">
      <c r="A2018" s="16"/>
      <c r="B2018" s="17"/>
      <c r="C2018" s="2" t="b">
        <v>0</v>
      </c>
      <c r="D2018" s="2"/>
      <c r="E2018" s="2"/>
      <c r="F2018" s="2"/>
      <c r="G2018" s="2"/>
      <c r="H2018" s="2"/>
      <c r="I2018" s="5"/>
    </row>
    <row r="2019" spans="1:9" ht="17.399999999999999" x14ac:dyDescent="0.25">
      <c r="A2019" s="16"/>
      <c r="B2019" s="17"/>
      <c r="C2019" s="2" t="b">
        <v>0</v>
      </c>
      <c r="D2019" s="2"/>
      <c r="E2019" s="2"/>
      <c r="F2019" s="2"/>
      <c r="G2019" s="2"/>
      <c r="H2019" s="2"/>
      <c r="I2019" s="5"/>
    </row>
    <row r="2020" spans="1:9" ht="17.399999999999999" x14ac:dyDescent="0.25">
      <c r="A2020" s="16"/>
      <c r="B2020" s="17"/>
      <c r="C2020" s="2" t="b">
        <v>0</v>
      </c>
      <c r="D2020" s="2"/>
      <c r="E2020" s="2"/>
      <c r="F2020" s="2"/>
      <c r="G2020" s="2"/>
      <c r="H2020" s="2"/>
      <c r="I2020" s="5"/>
    </row>
    <row r="2021" spans="1:9" ht="17.399999999999999" x14ac:dyDescent="0.25">
      <c r="A2021" s="16"/>
      <c r="B2021" s="17"/>
      <c r="C2021" s="2" t="b">
        <v>0</v>
      </c>
      <c r="D2021" s="2"/>
      <c r="E2021" s="2"/>
      <c r="F2021" s="2"/>
      <c r="G2021" s="2"/>
      <c r="H2021" s="2"/>
      <c r="I2021" s="5"/>
    </row>
    <row r="2022" spans="1:9" ht="17.399999999999999" x14ac:dyDescent="0.25">
      <c r="A2022" s="16"/>
      <c r="B2022" s="17"/>
      <c r="C2022" s="2" t="b">
        <v>0</v>
      </c>
      <c r="D2022" s="2"/>
      <c r="E2022" s="2"/>
      <c r="F2022" s="2"/>
      <c r="G2022" s="2"/>
      <c r="H2022" s="2"/>
      <c r="I2022" s="5"/>
    </row>
    <row r="2023" spans="1:9" ht="17.399999999999999" x14ac:dyDescent="0.25">
      <c r="A2023" s="16"/>
      <c r="B2023" s="17"/>
      <c r="C2023" s="2" t="b">
        <v>0</v>
      </c>
      <c r="D2023" s="2"/>
      <c r="E2023" s="2"/>
      <c r="F2023" s="2"/>
      <c r="G2023" s="2"/>
      <c r="H2023" s="2"/>
      <c r="I2023" s="5"/>
    </row>
    <row r="2024" spans="1:9" ht="17.399999999999999" x14ac:dyDescent="0.25">
      <c r="A2024" s="16"/>
      <c r="B2024" s="17"/>
      <c r="C2024" s="2" t="b">
        <v>0</v>
      </c>
      <c r="D2024" s="2"/>
      <c r="E2024" s="2"/>
      <c r="F2024" s="2"/>
      <c r="G2024" s="2"/>
      <c r="H2024" s="2"/>
      <c r="I2024" s="5"/>
    </row>
    <row r="2025" spans="1:9" ht="17.399999999999999" x14ac:dyDescent="0.25">
      <c r="A2025" s="16"/>
      <c r="B2025" s="17"/>
      <c r="C2025" s="2" t="b">
        <v>0</v>
      </c>
      <c r="D2025" s="2"/>
      <c r="E2025" s="2"/>
      <c r="F2025" s="2"/>
      <c r="G2025" s="2"/>
      <c r="H2025" s="2"/>
      <c r="I2025" s="5"/>
    </row>
    <row r="2026" spans="1:9" ht="17.399999999999999" x14ac:dyDescent="0.25">
      <c r="A2026" s="16"/>
      <c r="B2026" s="17"/>
      <c r="C2026" s="2" t="b">
        <v>0</v>
      </c>
      <c r="D2026" s="2"/>
      <c r="E2026" s="2"/>
      <c r="F2026" s="2"/>
      <c r="G2026" s="2"/>
      <c r="H2026" s="2"/>
      <c r="I2026" s="5"/>
    </row>
    <row r="2027" spans="1:9" ht="17.399999999999999" x14ac:dyDescent="0.25">
      <c r="A2027" s="16"/>
      <c r="B2027" s="17"/>
      <c r="C2027" s="2" t="b">
        <v>0</v>
      </c>
      <c r="D2027" s="2"/>
      <c r="E2027" s="2"/>
      <c r="F2027" s="2"/>
      <c r="G2027" s="2"/>
      <c r="H2027" s="2"/>
      <c r="I2027" s="5"/>
    </row>
    <row r="2028" spans="1:9" ht="17.399999999999999" x14ac:dyDescent="0.25">
      <c r="A2028" s="16"/>
      <c r="B2028" s="17"/>
      <c r="C2028" s="2" t="b">
        <v>0</v>
      </c>
      <c r="D2028" s="2"/>
      <c r="E2028" s="2"/>
      <c r="F2028" s="2"/>
      <c r="G2028" s="2"/>
      <c r="H2028" s="2"/>
      <c r="I2028" s="5"/>
    </row>
    <row r="2029" spans="1:9" ht="17.399999999999999" x14ac:dyDescent="0.25">
      <c r="A2029" s="16"/>
      <c r="B2029" s="17"/>
      <c r="C2029" s="2" t="b">
        <v>0</v>
      </c>
      <c r="D2029" s="2"/>
      <c r="E2029" s="2"/>
      <c r="F2029" s="2"/>
      <c r="G2029" s="2"/>
      <c r="H2029" s="2"/>
      <c r="I2029" s="5"/>
    </row>
    <row r="2030" spans="1:9" ht="17.399999999999999" x14ac:dyDescent="0.25">
      <c r="A2030" s="16"/>
      <c r="B2030" s="17"/>
      <c r="C2030" s="2" t="b">
        <v>0</v>
      </c>
      <c r="D2030" s="2"/>
      <c r="E2030" s="2"/>
      <c r="F2030" s="2"/>
      <c r="G2030" s="2"/>
      <c r="H2030" s="2"/>
      <c r="I2030" s="5"/>
    </row>
    <row r="2031" spans="1:9" ht="17.399999999999999" x14ac:dyDescent="0.25">
      <c r="A2031" s="16"/>
      <c r="B2031" s="17"/>
      <c r="C2031" s="2" t="b">
        <v>0</v>
      </c>
      <c r="D2031" s="2"/>
      <c r="E2031" s="2"/>
      <c r="F2031" s="2"/>
      <c r="G2031" s="2"/>
      <c r="H2031" s="2"/>
      <c r="I2031" s="5"/>
    </row>
    <row r="2032" spans="1:9" ht="17.399999999999999" x14ac:dyDescent="0.25">
      <c r="A2032" s="16"/>
      <c r="B2032" s="17"/>
      <c r="C2032" s="2" t="b">
        <v>0</v>
      </c>
      <c r="D2032" s="2"/>
      <c r="E2032" s="2"/>
      <c r="F2032" s="2"/>
      <c r="G2032" s="2"/>
      <c r="H2032" s="2"/>
      <c r="I2032" s="5"/>
    </row>
    <row r="2033" spans="1:9" ht="17.399999999999999" x14ac:dyDescent="0.25">
      <c r="A2033" s="16"/>
      <c r="B2033" s="17"/>
      <c r="C2033" s="2" t="b">
        <v>0</v>
      </c>
      <c r="D2033" s="2"/>
      <c r="E2033" s="2"/>
      <c r="F2033" s="2"/>
      <c r="G2033" s="2"/>
      <c r="H2033" s="2"/>
      <c r="I2033" s="5"/>
    </row>
    <row r="2034" spans="1:9" ht="17.399999999999999" x14ac:dyDescent="0.25">
      <c r="A2034" s="16"/>
      <c r="B2034" s="17"/>
      <c r="C2034" s="2" t="b">
        <v>0</v>
      </c>
      <c r="D2034" s="2"/>
      <c r="E2034" s="2"/>
      <c r="F2034" s="2"/>
      <c r="G2034" s="2"/>
      <c r="H2034" s="2"/>
      <c r="I2034" s="5"/>
    </row>
    <row r="2035" spans="1:9" ht="17.399999999999999" x14ac:dyDescent="0.25">
      <c r="A2035" s="16"/>
      <c r="B2035" s="17"/>
      <c r="C2035" s="2" t="b">
        <v>0</v>
      </c>
      <c r="D2035" s="2"/>
      <c r="E2035" s="2"/>
      <c r="F2035" s="2"/>
      <c r="G2035" s="2"/>
      <c r="H2035" s="2"/>
      <c r="I2035" s="5"/>
    </row>
    <row r="2036" spans="1:9" ht="17.399999999999999" x14ac:dyDescent="0.25">
      <c r="A2036" s="16"/>
      <c r="B2036" s="17"/>
      <c r="C2036" s="2" t="b">
        <v>0</v>
      </c>
      <c r="D2036" s="2"/>
      <c r="E2036" s="2"/>
      <c r="F2036" s="2"/>
      <c r="G2036" s="2"/>
      <c r="H2036" s="2"/>
      <c r="I2036" s="5"/>
    </row>
    <row r="2037" spans="1:9" ht="17.399999999999999" x14ac:dyDescent="0.25">
      <c r="A2037" s="16"/>
      <c r="B2037" s="17"/>
      <c r="C2037" s="2" t="b">
        <v>0</v>
      </c>
      <c r="D2037" s="2"/>
      <c r="E2037" s="2"/>
      <c r="F2037" s="2"/>
      <c r="G2037" s="2"/>
      <c r="H2037" s="2"/>
      <c r="I2037" s="5"/>
    </row>
    <row r="2038" spans="1:9" ht="17.399999999999999" x14ac:dyDescent="0.25">
      <c r="A2038" s="16"/>
      <c r="B2038" s="17"/>
      <c r="C2038" s="2" t="b">
        <v>0</v>
      </c>
      <c r="D2038" s="2"/>
      <c r="E2038" s="2"/>
      <c r="F2038" s="2"/>
      <c r="G2038" s="2"/>
      <c r="H2038" s="2"/>
      <c r="I2038" s="5"/>
    </row>
    <row r="2039" spans="1:9" ht="17.399999999999999" x14ac:dyDescent="0.25">
      <c r="A2039" s="16"/>
      <c r="B2039" s="17"/>
      <c r="C2039" s="2" t="b">
        <v>0</v>
      </c>
      <c r="D2039" s="2"/>
      <c r="E2039" s="2"/>
      <c r="F2039" s="2"/>
      <c r="G2039" s="2"/>
      <c r="H2039" s="2"/>
      <c r="I2039" s="5"/>
    </row>
    <row r="2040" spans="1:9" ht="17.399999999999999" x14ac:dyDescent="0.25">
      <c r="A2040" s="16"/>
      <c r="B2040" s="17"/>
      <c r="C2040" s="2" t="b">
        <v>0</v>
      </c>
      <c r="D2040" s="2"/>
      <c r="E2040" s="2"/>
      <c r="F2040" s="2"/>
      <c r="G2040" s="2"/>
      <c r="H2040" s="2"/>
      <c r="I2040" s="5"/>
    </row>
    <row r="2041" spans="1:9" ht="17.399999999999999" x14ac:dyDescent="0.25">
      <c r="A2041" s="16"/>
      <c r="B2041" s="17"/>
      <c r="C2041" s="2" t="b">
        <v>0</v>
      </c>
      <c r="D2041" s="2"/>
      <c r="E2041" s="2"/>
      <c r="F2041" s="2"/>
      <c r="G2041" s="2"/>
      <c r="H2041" s="2"/>
      <c r="I2041" s="5"/>
    </row>
    <row r="2042" spans="1:9" ht="17.399999999999999" x14ac:dyDescent="0.25">
      <c r="A2042" s="16"/>
      <c r="B2042" s="17"/>
      <c r="C2042" s="2" t="b">
        <v>0</v>
      </c>
      <c r="D2042" s="2"/>
      <c r="E2042" s="2"/>
      <c r="F2042" s="2"/>
      <c r="G2042" s="2"/>
      <c r="H2042" s="2"/>
      <c r="I2042" s="5"/>
    </row>
    <row r="2043" spans="1:9" ht="17.399999999999999" x14ac:dyDescent="0.25">
      <c r="A2043" s="16"/>
      <c r="B2043" s="17"/>
      <c r="C2043" s="2" t="b">
        <v>0</v>
      </c>
      <c r="D2043" s="2"/>
      <c r="E2043" s="2"/>
      <c r="F2043" s="2"/>
      <c r="G2043" s="2"/>
      <c r="H2043" s="2"/>
      <c r="I2043" s="5"/>
    </row>
    <row r="2044" spans="1:9" ht="17.399999999999999" x14ac:dyDescent="0.25">
      <c r="A2044" s="16"/>
      <c r="B2044" s="17"/>
      <c r="C2044" s="2" t="b">
        <v>0</v>
      </c>
      <c r="D2044" s="2"/>
      <c r="E2044" s="2"/>
      <c r="F2044" s="2"/>
      <c r="G2044" s="2"/>
      <c r="H2044" s="2"/>
      <c r="I2044" s="5"/>
    </row>
    <row r="2045" spans="1:9" ht="17.399999999999999" x14ac:dyDescent="0.25">
      <c r="A2045" s="16"/>
      <c r="B2045" s="17"/>
      <c r="C2045" s="2" t="b">
        <v>0</v>
      </c>
      <c r="D2045" s="2"/>
      <c r="E2045" s="2"/>
      <c r="F2045" s="2"/>
      <c r="G2045" s="2"/>
      <c r="H2045" s="2"/>
      <c r="I2045" s="5"/>
    </row>
    <row r="2046" spans="1:9" ht="17.399999999999999" x14ac:dyDescent="0.25">
      <c r="A2046" s="16"/>
      <c r="B2046" s="17"/>
      <c r="C2046" s="2" t="b">
        <v>0</v>
      </c>
      <c r="D2046" s="2"/>
      <c r="E2046" s="2"/>
      <c r="F2046" s="2"/>
      <c r="G2046" s="2"/>
      <c r="H2046" s="2"/>
      <c r="I2046" s="5"/>
    </row>
    <row r="2047" spans="1:9" ht="17.399999999999999" x14ac:dyDescent="0.25">
      <c r="A2047" s="16"/>
      <c r="B2047" s="17"/>
      <c r="C2047" s="2" t="b">
        <v>0</v>
      </c>
      <c r="D2047" s="2"/>
      <c r="E2047" s="2"/>
      <c r="F2047" s="2"/>
      <c r="G2047" s="2"/>
      <c r="H2047" s="2"/>
      <c r="I2047" s="5"/>
    </row>
    <row r="2048" spans="1:9" ht="17.399999999999999" x14ac:dyDescent="0.25">
      <c r="A2048" s="16"/>
      <c r="B2048" s="17"/>
      <c r="C2048" s="2" t="b">
        <v>0</v>
      </c>
      <c r="D2048" s="2"/>
      <c r="E2048" s="2"/>
      <c r="F2048" s="2"/>
      <c r="G2048" s="2"/>
      <c r="H2048" s="2"/>
      <c r="I2048" s="5"/>
    </row>
    <row r="2049" spans="1:9" ht="17.399999999999999" x14ac:dyDescent="0.25">
      <c r="A2049" s="16"/>
      <c r="B2049" s="17"/>
      <c r="C2049" s="2" t="b">
        <v>0</v>
      </c>
      <c r="D2049" s="2"/>
      <c r="E2049" s="2"/>
      <c r="F2049" s="2"/>
      <c r="G2049" s="2"/>
      <c r="H2049" s="2"/>
      <c r="I2049" s="5"/>
    </row>
    <row r="2050" spans="1:9" ht="17.399999999999999" x14ac:dyDescent="0.25">
      <c r="A2050" s="16"/>
      <c r="B2050" s="17"/>
      <c r="C2050" s="2" t="b">
        <v>0</v>
      </c>
      <c r="D2050" s="2"/>
      <c r="E2050" s="2"/>
      <c r="F2050" s="2"/>
      <c r="G2050" s="2"/>
      <c r="H2050" s="2"/>
      <c r="I2050" s="5"/>
    </row>
    <row r="2051" spans="1:9" ht="17.399999999999999" x14ac:dyDescent="0.25">
      <c r="A2051" s="16"/>
      <c r="B2051" s="17"/>
      <c r="C2051" s="2" t="b">
        <v>0</v>
      </c>
      <c r="D2051" s="2"/>
      <c r="E2051" s="2"/>
      <c r="F2051" s="2"/>
      <c r="G2051" s="2"/>
      <c r="H2051" s="2"/>
      <c r="I2051" s="5"/>
    </row>
    <row r="2052" spans="1:9" ht="17.399999999999999" x14ac:dyDescent="0.25">
      <c r="A2052" s="16"/>
      <c r="B2052" s="17"/>
      <c r="C2052" s="2" t="b">
        <v>0</v>
      </c>
      <c r="D2052" s="2"/>
      <c r="E2052" s="2"/>
      <c r="F2052" s="2"/>
      <c r="G2052" s="2"/>
      <c r="H2052" s="2"/>
      <c r="I2052" s="5"/>
    </row>
    <row r="2053" spans="1:9" ht="17.399999999999999" x14ac:dyDescent="0.25">
      <c r="A2053" s="16"/>
      <c r="B2053" s="17"/>
      <c r="C2053" s="2" t="b">
        <v>0</v>
      </c>
      <c r="D2053" s="2"/>
      <c r="E2053" s="2"/>
      <c r="F2053" s="2"/>
      <c r="G2053" s="2"/>
      <c r="H2053" s="2"/>
      <c r="I2053" s="5"/>
    </row>
    <row r="2054" spans="1:9" ht="17.399999999999999" x14ac:dyDescent="0.25">
      <c r="A2054" s="16"/>
      <c r="B2054" s="17"/>
      <c r="C2054" s="2" t="b">
        <v>0</v>
      </c>
      <c r="D2054" s="2"/>
      <c r="E2054" s="2"/>
      <c r="F2054" s="2"/>
      <c r="G2054" s="2"/>
      <c r="H2054" s="2"/>
      <c r="I2054" s="5"/>
    </row>
    <row r="2055" spans="1:9" ht="17.399999999999999" x14ac:dyDescent="0.25">
      <c r="A2055" s="16"/>
      <c r="B2055" s="17"/>
      <c r="C2055" s="2" t="b">
        <v>0</v>
      </c>
      <c r="D2055" s="2"/>
      <c r="E2055" s="2"/>
      <c r="F2055" s="2"/>
      <c r="G2055" s="2"/>
      <c r="H2055" s="2"/>
      <c r="I2055" s="5"/>
    </row>
    <row r="2056" spans="1:9" ht="17.399999999999999" x14ac:dyDescent="0.25">
      <c r="A2056" s="16"/>
      <c r="B2056" s="17"/>
      <c r="C2056" s="2" t="b">
        <v>0</v>
      </c>
      <c r="D2056" s="2"/>
      <c r="E2056" s="2"/>
      <c r="F2056" s="2"/>
      <c r="G2056" s="2"/>
      <c r="H2056" s="2"/>
      <c r="I2056" s="5"/>
    </row>
    <row r="2057" spans="1:9" ht="17.399999999999999" x14ac:dyDescent="0.25">
      <c r="A2057" s="16"/>
      <c r="B2057" s="17"/>
      <c r="C2057" s="2" t="b">
        <v>0</v>
      </c>
      <c r="D2057" s="2"/>
      <c r="E2057" s="2"/>
      <c r="F2057" s="2"/>
      <c r="G2057" s="2"/>
      <c r="H2057" s="2"/>
      <c r="I2057" s="5"/>
    </row>
    <row r="2058" spans="1:9" ht="17.399999999999999" x14ac:dyDescent="0.25">
      <c r="A2058" s="16"/>
      <c r="B2058" s="17"/>
      <c r="C2058" s="2" t="b">
        <v>0</v>
      </c>
      <c r="D2058" s="2"/>
      <c r="E2058" s="2"/>
      <c r="F2058" s="2"/>
      <c r="G2058" s="2"/>
      <c r="H2058" s="2"/>
      <c r="I2058" s="5"/>
    </row>
    <row r="2059" spans="1:9" ht="17.399999999999999" x14ac:dyDescent="0.25">
      <c r="A2059" s="16"/>
      <c r="B2059" s="17"/>
      <c r="C2059" s="2" t="b">
        <v>0</v>
      </c>
      <c r="D2059" s="2"/>
      <c r="E2059" s="2"/>
      <c r="F2059" s="2"/>
      <c r="G2059" s="2"/>
      <c r="H2059" s="2"/>
      <c r="I2059" s="5"/>
    </row>
    <row r="2060" spans="1:9" ht="17.399999999999999" x14ac:dyDescent="0.25">
      <c r="A2060" s="16"/>
      <c r="B2060" s="17"/>
      <c r="C2060" s="2" t="b">
        <v>0</v>
      </c>
      <c r="D2060" s="2"/>
      <c r="E2060" s="2"/>
      <c r="F2060" s="2"/>
      <c r="G2060" s="2"/>
      <c r="H2060" s="2"/>
      <c r="I2060" s="5"/>
    </row>
    <row r="2061" spans="1:9" ht="17.399999999999999" x14ac:dyDescent="0.25">
      <c r="A2061" s="16"/>
      <c r="B2061" s="17"/>
      <c r="C2061" s="2" t="b">
        <v>0</v>
      </c>
      <c r="D2061" s="2"/>
      <c r="E2061" s="2"/>
      <c r="F2061" s="2"/>
      <c r="G2061" s="2"/>
      <c r="H2061" s="2"/>
      <c r="I2061" s="5"/>
    </row>
    <row r="2062" spans="1:9" ht="17.399999999999999" x14ac:dyDescent="0.25">
      <c r="A2062" s="16"/>
      <c r="B2062" s="17"/>
      <c r="C2062" s="2" t="b">
        <v>0</v>
      </c>
      <c r="D2062" s="2"/>
      <c r="E2062" s="2"/>
      <c r="F2062" s="2"/>
      <c r="G2062" s="2"/>
      <c r="H2062" s="2"/>
      <c r="I2062" s="5"/>
    </row>
    <row r="2063" spans="1:9" ht="17.399999999999999" x14ac:dyDescent="0.25">
      <c r="A2063" s="16"/>
      <c r="B2063" s="17"/>
      <c r="C2063" s="2" t="b">
        <v>0</v>
      </c>
      <c r="D2063" s="2"/>
      <c r="E2063" s="2"/>
      <c r="F2063" s="2"/>
      <c r="G2063" s="2"/>
      <c r="H2063" s="2"/>
      <c r="I2063" s="5"/>
    </row>
    <row r="2064" spans="1:9" ht="17.399999999999999" x14ac:dyDescent="0.25">
      <c r="A2064" s="16"/>
      <c r="B2064" s="17"/>
      <c r="C2064" s="2" t="b">
        <v>0</v>
      </c>
      <c r="D2064" s="2"/>
      <c r="E2064" s="2"/>
      <c r="F2064" s="2"/>
      <c r="G2064" s="2"/>
      <c r="H2064" s="2"/>
      <c r="I2064" s="5"/>
    </row>
    <row r="2065" spans="1:9" ht="17.399999999999999" x14ac:dyDescent="0.25">
      <c r="A2065" s="16"/>
      <c r="B2065" s="17"/>
      <c r="C2065" s="2" t="b">
        <v>0</v>
      </c>
      <c r="D2065" s="2"/>
      <c r="E2065" s="2"/>
      <c r="F2065" s="2"/>
      <c r="G2065" s="2"/>
      <c r="H2065" s="2"/>
      <c r="I2065" s="5"/>
    </row>
    <row r="2066" spans="1:9" ht="17.399999999999999" x14ac:dyDescent="0.25">
      <c r="A2066" s="16"/>
      <c r="B2066" s="17"/>
      <c r="C2066" s="2" t="b">
        <v>0</v>
      </c>
      <c r="D2066" s="2"/>
      <c r="E2066" s="2"/>
      <c r="F2066" s="2"/>
      <c r="G2066" s="2"/>
      <c r="H2066" s="2"/>
      <c r="I2066" s="5"/>
    </row>
    <row r="2067" spans="1:9" ht="17.399999999999999" x14ac:dyDescent="0.25">
      <c r="A2067" s="16"/>
      <c r="B2067" s="17"/>
      <c r="C2067" s="2" t="b">
        <v>0</v>
      </c>
      <c r="D2067" s="2"/>
      <c r="E2067" s="2"/>
      <c r="F2067" s="2"/>
      <c r="G2067" s="2"/>
      <c r="H2067" s="2"/>
      <c r="I2067" s="5"/>
    </row>
    <row r="2068" spans="1:9" ht="17.399999999999999" x14ac:dyDescent="0.25">
      <c r="A2068" s="16"/>
      <c r="B2068" s="17"/>
      <c r="C2068" s="2" t="b">
        <v>0</v>
      </c>
      <c r="D2068" s="2"/>
      <c r="E2068" s="2"/>
      <c r="F2068" s="2"/>
      <c r="G2068" s="2"/>
      <c r="H2068" s="2"/>
      <c r="I2068" s="5"/>
    </row>
    <row r="2069" spans="1:9" ht="17.399999999999999" x14ac:dyDescent="0.25">
      <c r="A2069" s="16"/>
      <c r="B2069" s="17"/>
      <c r="C2069" s="2" t="b">
        <v>0</v>
      </c>
      <c r="D2069" s="2"/>
      <c r="E2069" s="2"/>
      <c r="F2069" s="2"/>
      <c r="G2069" s="2"/>
      <c r="H2069" s="2"/>
      <c r="I2069" s="5"/>
    </row>
    <row r="2070" spans="1:9" ht="17.399999999999999" x14ac:dyDescent="0.25">
      <c r="A2070" s="16"/>
      <c r="B2070" s="17"/>
      <c r="C2070" s="2" t="b">
        <v>0</v>
      </c>
      <c r="D2070" s="2"/>
      <c r="E2070" s="2"/>
      <c r="F2070" s="2"/>
      <c r="G2070" s="2"/>
      <c r="H2070" s="2"/>
      <c r="I2070" s="5"/>
    </row>
    <row r="2071" spans="1:9" ht="17.399999999999999" x14ac:dyDescent="0.25">
      <c r="A2071" s="16"/>
      <c r="B2071" s="17"/>
      <c r="C2071" s="2" t="b">
        <v>0</v>
      </c>
      <c r="D2071" s="2"/>
      <c r="E2071" s="2"/>
      <c r="F2071" s="2"/>
      <c r="G2071" s="2"/>
      <c r="H2071" s="2"/>
      <c r="I2071" s="5"/>
    </row>
    <row r="2072" spans="1:9" ht="17.399999999999999" x14ac:dyDescent="0.25">
      <c r="A2072" s="16"/>
      <c r="B2072" s="17"/>
      <c r="C2072" s="2" t="b">
        <v>0</v>
      </c>
      <c r="D2072" s="2"/>
      <c r="E2072" s="2"/>
      <c r="F2072" s="2"/>
      <c r="G2072" s="2"/>
      <c r="H2072" s="2"/>
      <c r="I2072" s="5"/>
    </row>
    <row r="2073" spans="1:9" ht="17.399999999999999" x14ac:dyDescent="0.25">
      <c r="A2073" s="16"/>
      <c r="B2073" s="17"/>
      <c r="C2073" s="2" t="b">
        <v>0</v>
      </c>
      <c r="D2073" s="2"/>
      <c r="E2073" s="2"/>
      <c r="F2073" s="2"/>
      <c r="G2073" s="2"/>
      <c r="H2073" s="2"/>
      <c r="I2073" s="5"/>
    </row>
    <row r="2074" spans="1:9" ht="17.399999999999999" x14ac:dyDescent="0.25">
      <c r="A2074" s="16"/>
      <c r="B2074" s="17"/>
      <c r="C2074" s="2" t="b">
        <v>0</v>
      </c>
      <c r="D2074" s="2"/>
      <c r="E2074" s="2"/>
      <c r="F2074" s="2"/>
      <c r="G2074" s="2"/>
      <c r="H2074" s="2"/>
      <c r="I2074" s="5"/>
    </row>
    <row r="2075" spans="1:9" ht="17.399999999999999" x14ac:dyDescent="0.25">
      <c r="A2075" s="16"/>
      <c r="B2075" s="17"/>
      <c r="C2075" s="2" t="b">
        <v>0</v>
      </c>
      <c r="D2075" s="2"/>
      <c r="E2075" s="2"/>
      <c r="F2075" s="2"/>
      <c r="G2075" s="2"/>
      <c r="H2075" s="2"/>
      <c r="I2075" s="5"/>
    </row>
    <row r="2076" spans="1:9" ht="17.399999999999999" x14ac:dyDescent="0.25">
      <c r="A2076" s="16"/>
      <c r="B2076" s="17"/>
      <c r="C2076" s="2" t="b">
        <v>0</v>
      </c>
      <c r="D2076" s="2"/>
      <c r="E2076" s="2"/>
      <c r="F2076" s="2"/>
      <c r="G2076" s="2"/>
      <c r="H2076" s="2"/>
      <c r="I2076" s="5"/>
    </row>
    <row r="2077" spans="1:9" ht="17.399999999999999" x14ac:dyDescent="0.25">
      <c r="A2077" s="16"/>
      <c r="B2077" s="17"/>
      <c r="C2077" s="2" t="b">
        <v>0</v>
      </c>
      <c r="D2077" s="2"/>
      <c r="E2077" s="2"/>
      <c r="F2077" s="2"/>
      <c r="G2077" s="2"/>
      <c r="H2077" s="2"/>
      <c r="I2077" s="5"/>
    </row>
    <row r="2078" spans="1:9" ht="17.399999999999999" x14ac:dyDescent="0.25">
      <c r="A2078" s="16"/>
      <c r="B2078" s="17"/>
      <c r="C2078" s="2" t="b">
        <v>0</v>
      </c>
      <c r="D2078" s="2"/>
      <c r="E2078" s="2"/>
      <c r="F2078" s="2"/>
      <c r="G2078" s="2"/>
      <c r="H2078" s="2"/>
      <c r="I2078" s="5"/>
    </row>
    <row r="2079" spans="1:9" ht="17.399999999999999" x14ac:dyDescent="0.25">
      <c r="A2079" s="16"/>
      <c r="B2079" s="17"/>
      <c r="C2079" s="2" t="b">
        <v>0</v>
      </c>
      <c r="D2079" s="2"/>
      <c r="E2079" s="2"/>
      <c r="F2079" s="2"/>
      <c r="G2079" s="2"/>
      <c r="H2079" s="2"/>
      <c r="I2079" s="5"/>
    </row>
    <row r="2080" spans="1:9" ht="17.399999999999999" x14ac:dyDescent="0.25">
      <c r="A2080" s="16"/>
      <c r="B2080" s="17"/>
      <c r="C2080" s="2" t="b">
        <v>0</v>
      </c>
      <c r="D2080" s="2"/>
      <c r="E2080" s="2"/>
      <c r="F2080" s="2"/>
      <c r="G2080" s="2"/>
      <c r="H2080" s="2"/>
      <c r="I2080" s="5"/>
    </row>
    <row r="2081" spans="1:9" ht="17.399999999999999" x14ac:dyDescent="0.25">
      <c r="A2081" s="16"/>
      <c r="B2081" s="17"/>
      <c r="C2081" s="2" t="b">
        <v>0</v>
      </c>
      <c r="D2081" s="2"/>
      <c r="E2081" s="2"/>
      <c r="F2081" s="2"/>
      <c r="G2081" s="2"/>
      <c r="H2081" s="2"/>
      <c r="I2081" s="5"/>
    </row>
    <row r="2082" spans="1:9" ht="17.399999999999999" x14ac:dyDescent="0.25">
      <c r="A2082" s="16"/>
      <c r="B2082" s="17"/>
      <c r="C2082" s="2" t="b">
        <v>0</v>
      </c>
      <c r="D2082" s="2"/>
      <c r="E2082" s="2"/>
      <c r="F2082" s="2"/>
      <c r="G2082" s="2"/>
      <c r="H2082" s="2"/>
      <c r="I2082" s="5"/>
    </row>
    <row r="2083" spans="1:9" ht="17.399999999999999" x14ac:dyDescent="0.25">
      <c r="A2083" s="16"/>
      <c r="B2083" s="17"/>
      <c r="C2083" s="2" t="b">
        <v>0</v>
      </c>
      <c r="D2083" s="2"/>
      <c r="E2083" s="2"/>
      <c r="F2083" s="2"/>
      <c r="G2083" s="2"/>
      <c r="H2083" s="2"/>
      <c r="I2083" s="5"/>
    </row>
    <row r="2084" spans="1:9" ht="17.399999999999999" x14ac:dyDescent="0.25">
      <c r="A2084" s="16"/>
      <c r="B2084" s="17"/>
      <c r="C2084" s="2" t="b">
        <v>0</v>
      </c>
      <c r="D2084" s="2"/>
      <c r="E2084" s="2"/>
      <c r="F2084" s="2"/>
      <c r="G2084" s="2"/>
      <c r="H2084" s="2"/>
      <c r="I2084" s="5"/>
    </row>
    <row r="2085" spans="1:9" ht="17.399999999999999" x14ac:dyDescent="0.25">
      <c r="A2085" s="16"/>
      <c r="B2085" s="17"/>
      <c r="C2085" s="2" t="b">
        <v>0</v>
      </c>
      <c r="D2085" s="2"/>
      <c r="E2085" s="2"/>
      <c r="F2085" s="2"/>
      <c r="G2085" s="2"/>
      <c r="H2085" s="2"/>
      <c r="I2085" s="5"/>
    </row>
    <row r="2086" spans="1:9" ht="17.399999999999999" x14ac:dyDescent="0.25">
      <c r="A2086" s="16"/>
      <c r="B2086" s="17"/>
      <c r="C2086" s="2" t="b">
        <v>0</v>
      </c>
      <c r="D2086" s="2"/>
      <c r="E2086" s="2"/>
      <c r="F2086" s="2"/>
      <c r="G2086" s="2"/>
      <c r="H2086" s="2"/>
      <c r="I2086" s="5"/>
    </row>
    <row r="2087" spans="1:9" ht="17.399999999999999" x14ac:dyDescent="0.25">
      <c r="A2087" s="16"/>
      <c r="B2087" s="17"/>
      <c r="C2087" s="2" t="b">
        <v>0</v>
      </c>
      <c r="D2087" s="2"/>
      <c r="E2087" s="2"/>
      <c r="F2087" s="2"/>
      <c r="G2087" s="2"/>
      <c r="H2087" s="2"/>
      <c r="I2087" s="5"/>
    </row>
    <row r="2088" spans="1:9" ht="17.399999999999999" x14ac:dyDescent="0.25">
      <c r="A2088" s="16"/>
      <c r="B2088" s="17"/>
      <c r="C2088" s="2" t="b">
        <v>0</v>
      </c>
      <c r="D2088" s="2"/>
      <c r="E2088" s="2"/>
      <c r="F2088" s="2"/>
      <c r="G2088" s="2"/>
      <c r="H2088" s="2"/>
      <c r="I2088" s="5"/>
    </row>
    <row r="2089" spans="1:9" ht="17.399999999999999" x14ac:dyDescent="0.25">
      <c r="A2089" s="16"/>
      <c r="B2089" s="17"/>
      <c r="C2089" s="2" t="b">
        <v>0</v>
      </c>
      <c r="D2089" s="2"/>
      <c r="E2089" s="2"/>
      <c r="F2089" s="2"/>
      <c r="G2089" s="2"/>
      <c r="H2089" s="2"/>
      <c r="I2089" s="5"/>
    </row>
    <row r="2090" spans="1:9" ht="17.399999999999999" x14ac:dyDescent="0.25">
      <c r="A2090" s="16"/>
      <c r="B2090" s="17"/>
      <c r="C2090" s="2" t="b">
        <v>0</v>
      </c>
      <c r="D2090" s="2"/>
      <c r="E2090" s="2"/>
      <c r="F2090" s="2"/>
      <c r="G2090" s="2"/>
      <c r="H2090" s="2"/>
      <c r="I2090" s="5"/>
    </row>
    <row r="2091" spans="1:9" ht="17.399999999999999" x14ac:dyDescent="0.25">
      <c r="A2091" s="16"/>
      <c r="B2091" s="17"/>
      <c r="C2091" s="2" t="b">
        <v>0</v>
      </c>
      <c r="D2091" s="2"/>
      <c r="E2091" s="2"/>
      <c r="F2091" s="2"/>
      <c r="G2091" s="2"/>
      <c r="H2091" s="2"/>
      <c r="I2091" s="5"/>
    </row>
    <row r="2092" spans="1:9" ht="17.399999999999999" x14ac:dyDescent="0.25">
      <c r="A2092" s="16"/>
      <c r="B2092" s="17"/>
      <c r="C2092" s="2" t="b">
        <v>0</v>
      </c>
      <c r="D2092" s="2"/>
      <c r="E2092" s="2"/>
      <c r="F2092" s="2"/>
      <c r="G2092" s="2"/>
      <c r="H2092" s="2"/>
      <c r="I2092" s="5"/>
    </row>
    <row r="2093" spans="1:9" ht="17.399999999999999" x14ac:dyDescent="0.25">
      <c r="A2093" s="16"/>
      <c r="B2093" s="17"/>
      <c r="C2093" s="2" t="b">
        <v>0</v>
      </c>
      <c r="D2093" s="2"/>
      <c r="E2093" s="2"/>
      <c r="F2093" s="2"/>
      <c r="G2093" s="2"/>
      <c r="H2093" s="2"/>
      <c r="I2093" s="5"/>
    </row>
    <row r="2094" spans="1:9" ht="17.399999999999999" x14ac:dyDescent="0.25">
      <c r="A2094" s="16"/>
      <c r="B2094" s="17"/>
      <c r="C2094" s="2" t="b">
        <v>0</v>
      </c>
      <c r="D2094" s="2"/>
      <c r="E2094" s="2"/>
      <c r="F2094" s="2"/>
      <c r="G2094" s="2"/>
      <c r="H2094" s="2"/>
      <c r="I2094" s="5"/>
    </row>
    <row r="2095" spans="1:9" ht="17.399999999999999" x14ac:dyDescent="0.25">
      <c r="A2095" s="16"/>
      <c r="B2095" s="17"/>
      <c r="C2095" s="2" t="b">
        <v>0</v>
      </c>
      <c r="D2095" s="2"/>
      <c r="E2095" s="2"/>
      <c r="F2095" s="2"/>
      <c r="G2095" s="2"/>
      <c r="H2095" s="2"/>
      <c r="I2095" s="5"/>
    </row>
    <row r="2096" spans="1:9" ht="17.399999999999999" x14ac:dyDescent="0.25">
      <c r="A2096" s="16"/>
      <c r="B2096" s="17"/>
      <c r="C2096" s="2" t="b">
        <v>0</v>
      </c>
      <c r="D2096" s="2"/>
      <c r="E2096" s="2"/>
      <c r="F2096" s="2"/>
      <c r="G2096" s="2"/>
      <c r="H2096" s="2"/>
      <c r="I2096" s="5"/>
    </row>
    <row r="2097" spans="1:9" ht="17.399999999999999" x14ac:dyDescent="0.25">
      <c r="A2097" s="16"/>
      <c r="B2097" s="17"/>
      <c r="C2097" s="2" t="b">
        <v>0</v>
      </c>
      <c r="D2097" s="2"/>
      <c r="E2097" s="2"/>
      <c r="F2097" s="2"/>
      <c r="G2097" s="2"/>
      <c r="H2097" s="2"/>
      <c r="I2097" s="5"/>
    </row>
    <row r="2098" spans="1:9" ht="17.399999999999999" x14ac:dyDescent="0.25">
      <c r="A2098" s="16"/>
      <c r="B2098" s="17"/>
      <c r="C2098" s="2" t="b">
        <v>0</v>
      </c>
      <c r="D2098" s="2"/>
      <c r="E2098" s="2"/>
      <c r="F2098" s="2"/>
      <c r="G2098" s="2"/>
      <c r="H2098" s="2"/>
      <c r="I2098" s="5"/>
    </row>
    <row r="2099" spans="1:9" ht="17.399999999999999" x14ac:dyDescent="0.25">
      <c r="A2099" s="16"/>
      <c r="B2099" s="17"/>
      <c r="C2099" s="2" t="b">
        <v>0</v>
      </c>
      <c r="D2099" s="2"/>
      <c r="E2099" s="2"/>
      <c r="F2099" s="2"/>
      <c r="G2099" s="2"/>
      <c r="H2099" s="2"/>
      <c r="I2099" s="5"/>
    </row>
    <row r="2100" spans="1:9" ht="17.399999999999999" x14ac:dyDescent="0.25">
      <c r="A2100" s="16"/>
      <c r="B2100" s="17"/>
      <c r="C2100" s="2" t="b">
        <v>0</v>
      </c>
      <c r="D2100" s="2"/>
      <c r="E2100" s="2"/>
      <c r="F2100" s="2"/>
      <c r="G2100" s="2"/>
      <c r="H2100" s="2"/>
      <c r="I2100" s="5"/>
    </row>
    <row r="2101" spans="1:9" ht="17.399999999999999" x14ac:dyDescent="0.25">
      <c r="A2101" s="16"/>
      <c r="B2101" s="17"/>
      <c r="C2101" s="2" t="b">
        <v>0</v>
      </c>
      <c r="D2101" s="2"/>
      <c r="E2101" s="2"/>
      <c r="F2101" s="2"/>
      <c r="G2101" s="2"/>
      <c r="H2101" s="2"/>
      <c r="I2101" s="5"/>
    </row>
    <row r="2102" spans="1:9" ht="17.399999999999999" x14ac:dyDescent="0.25">
      <c r="A2102" s="16"/>
      <c r="B2102" s="17"/>
      <c r="C2102" s="2" t="b">
        <v>0</v>
      </c>
      <c r="D2102" s="2"/>
      <c r="E2102" s="2"/>
      <c r="F2102" s="2"/>
      <c r="G2102" s="2"/>
      <c r="H2102" s="2"/>
      <c r="I2102" s="5"/>
    </row>
    <row r="2103" spans="1:9" ht="17.399999999999999" x14ac:dyDescent="0.25">
      <c r="A2103" s="16"/>
      <c r="B2103" s="17"/>
      <c r="C2103" s="2" t="b">
        <v>0</v>
      </c>
      <c r="D2103" s="2"/>
      <c r="E2103" s="2"/>
      <c r="F2103" s="2"/>
      <c r="G2103" s="2"/>
      <c r="H2103" s="2"/>
      <c r="I2103" s="5"/>
    </row>
    <row r="2104" spans="1:9" ht="17.399999999999999" x14ac:dyDescent="0.25">
      <c r="A2104" s="16"/>
      <c r="B2104" s="17"/>
      <c r="C2104" s="2" t="b">
        <v>0</v>
      </c>
      <c r="D2104" s="2"/>
      <c r="E2104" s="2"/>
      <c r="F2104" s="2"/>
      <c r="G2104" s="2"/>
      <c r="H2104" s="2"/>
      <c r="I2104" s="5"/>
    </row>
    <row r="2105" spans="1:9" ht="17.399999999999999" x14ac:dyDescent="0.25">
      <c r="A2105" s="16"/>
      <c r="B2105" s="17"/>
      <c r="C2105" s="2" t="b">
        <v>0</v>
      </c>
      <c r="D2105" s="2"/>
      <c r="E2105" s="2"/>
      <c r="F2105" s="2"/>
      <c r="G2105" s="2"/>
      <c r="H2105" s="2"/>
      <c r="I2105" s="5"/>
    </row>
    <row r="2106" spans="1:9" ht="17.399999999999999" x14ac:dyDescent="0.25">
      <c r="A2106" s="16"/>
      <c r="B2106" s="17"/>
      <c r="C2106" s="2" t="b">
        <v>0</v>
      </c>
      <c r="D2106" s="2"/>
      <c r="E2106" s="2"/>
      <c r="F2106" s="2"/>
      <c r="G2106" s="2"/>
      <c r="H2106" s="2"/>
      <c r="I2106" s="5"/>
    </row>
    <row r="2107" spans="1:9" ht="17.399999999999999" x14ac:dyDescent="0.25">
      <c r="A2107" s="16"/>
      <c r="B2107" s="17"/>
      <c r="C2107" s="2" t="b">
        <v>0</v>
      </c>
      <c r="D2107" s="2"/>
      <c r="E2107" s="2"/>
      <c r="F2107" s="2"/>
      <c r="G2107" s="2"/>
      <c r="H2107" s="2"/>
      <c r="I2107" s="5"/>
    </row>
    <row r="2108" spans="1:9" ht="17.399999999999999" x14ac:dyDescent="0.25">
      <c r="A2108" s="16"/>
      <c r="B2108" s="17"/>
      <c r="C2108" s="2" t="b">
        <v>0</v>
      </c>
      <c r="D2108" s="2"/>
      <c r="E2108" s="2"/>
      <c r="F2108" s="2"/>
      <c r="G2108" s="2"/>
      <c r="H2108" s="2"/>
      <c r="I2108" s="5"/>
    </row>
    <row r="2109" spans="1:9" ht="17.399999999999999" x14ac:dyDescent="0.25">
      <c r="A2109" s="16"/>
      <c r="B2109" s="17"/>
      <c r="C2109" s="2" t="b">
        <v>0</v>
      </c>
      <c r="D2109" s="2"/>
      <c r="E2109" s="2"/>
      <c r="F2109" s="2"/>
      <c r="G2109" s="2"/>
      <c r="H2109" s="2"/>
      <c r="I2109" s="5"/>
    </row>
    <row r="2110" spans="1:9" ht="17.399999999999999" x14ac:dyDescent="0.25">
      <c r="A2110" s="16"/>
      <c r="B2110" s="17"/>
      <c r="C2110" s="2" t="b">
        <v>0</v>
      </c>
      <c r="D2110" s="2"/>
      <c r="E2110" s="2"/>
      <c r="F2110" s="2"/>
      <c r="G2110" s="2"/>
      <c r="H2110" s="2"/>
      <c r="I2110" s="5"/>
    </row>
    <row r="2111" spans="1:9" ht="17.399999999999999" x14ac:dyDescent="0.25">
      <c r="A2111" s="16"/>
      <c r="B2111" s="17"/>
      <c r="C2111" s="2" t="b">
        <v>0</v>
      </c>
      <c r="D2111" s="2"/>
      <c r="E2111" s="2"/>
      <c r="F2111" s="2"/>
      <c r="G2111" s="2"/>
      <c r="H2111" s="2"/>
      <c r="I2111" s="5"/>
    </row>
    <row r="2112" spans="1:9" ht="17.399999999999999" x14ac:dyDescent="0.25">
      <c r="A2112" s="16"/>
      <c r="B2112" s="17"/>
      <c r="C2112" s="2" t="b">
        <v>0</v>
      </c>
      <c r="D2112" s="2"/>
      <c r="E2112" s="2"/>
      <c r="F2112" s="2"/>
      <c r="G2112" s="2"/>
      <c r="H2112" s="2"/>
      <c r="I2112" s="5"/>
    </row>
    <row r="2113" spans="1:9" ht="17.399999999999999" x14ac:dyDescent="0.25">
      <c r="A2113" s="16"/>
      <c r="B2113" s="17"/>
      <c r="C2113" s="2" t="b">
        <v>0</v>
      </c>
      <c r="D2113" s="2"/>
      <c r="E2113" s="2"/>
      <c r="F2113" s="2"/>
      <c r="G2113" s="2"/>
      <c r="H2113" s="2"/>
      <c r="I2113" s="5"/>
    </row>
    <row r="2114" spans="1:9" ht="17.399999999999999" x14ac:dyDescent="0.25">
      <c r="A2114" s="16"/>
      <c r="B2114" s="17"/>
      <c r="C2114" s="2" t="b">
        <v>0</v>
      </c>
      <c r="D2114" s="2"/>
      <c r="E2114" s="2"/>
      <c r="F2114" s="2"/>
      <c r="G2114" s="2"/>
      <c r="H2114" s="2"/>
      <c r="I2114" s="5"/>
    </row>
    <row r="2115" spans="1:9" ht="17.399999999999999" x14ac:dyDescent="0.25">
      <c r="A2115" s="16"/>
      <c r="B2115" s="17"/>
      <c r="C2115" s="2" t="b">
        <v>0</v>
      </c>
      <c r="D2115" s="2"/>
      <c r="E2115" s="2"/>
      <c r="F2115" s="2"/>
      <c r="G2115" s="2"/>
      <c r="H2115" s="2"/>
      <c r="I2115" s="5"/>
    </row>
    <row r="2116" spans="1:9" ht="17.399999999999999" x14ac:dyDescent="0.25">
      <c r="A2116" s="16"/>
      <c r="B2116" s="17"/>
      <c r="C2116" s="2" t="b">
        <v>0</v>
      </c>
      <c r="D2116" s="2"/>
      <c r="E2116" s="2"/>
      <c r="F2116" s="2"/>
      <c r="G2116" s="2"/>
      <c r="H2116" s="2"/>
      <c r="I2116" s="5"/>
    </row>
    <row r="2117" spans="1:9" ht="17.399999999999999" x14ac:dyDescent="0.25">
      <c r="A2117" s="16"/>
      <c r="B2117" s="17"/>
      <c r="C2117" s="2" t="b">
        <v>0</v>
      </c>
      <c r="D2117" s="2"/>
      <c r="E2117" s="2"/>
      <c r="F2117" s="2"/>
      <c r="G2117" s="2"/>
      <c r="H2117" s="2"/>
      <c r="I2117" s="5"/>
    </row>
    <row r="2118" spans="1:9" ht="17.399999999999999" x14ac:dyDescent="0.25">
      <c r="A2118" s="16"/>
      <c r="B2118" s="17"/>
      <c r="C2118" s="2" t="b">
        <v>0</v>
      </c>
      <c r="D2118" s="2"/>
      <c r="E2118" s="2"/>
      <c r="F2118" s="2"/>
      <c r="G2118" s="2"/>
      <c r="H2118" s="2"/>
      <c r="I2118" s="5"/>
    </row>
    <row r="2119" spans="1:9" ht="17.399999999999999" x14ac:dyDescent="0.25">
      <c r="A2119" s="16"/>
      <c r="B2119" s="17"/>
      <c r="C2119" s="2" t="b">
        <v>0</v>
      </c>
      <c r="D2119" s="2"/>
      <c r="E2119" s="2"/>
      <c r="F2119" s="2"/>
      <c r="G2119" s="2"/>
      <c r="H2119" s="2"/>
      <c r="I2119" s="5"/>
    </row>
    <row r="2120" spans="1:9" ht="17.399999999999999" x14ac:dyDescent="0.25">
      <c r="A2120" s="16"/>
      <c r="B2120" s="17"/>
      <c r="C2120" s="2" t="b">
        <v>0</v>
      </c>
      <c r="D2120" s="2"/>
      <c r="E2120" s="2"/>
      <c r="F2120" s="2"/>
      <c r="G2120" s="2"/>
      <c r="H2120" s="2"/>
      <c r="I2120" s="5"/>
    </row>
    <row r="2121" spans="1:9" ht="17.399999999999999" x14ac:dyDescent="0.25">
      <c r="A2121" s="16"/>
      <c r="B2121" s="17"/>
      <c r="C2121" s="2" t="b">
        <v>0</v>
      </c>
      <c r="D2121" s="2"/>
      <c r="E2121" s="2"/>
      <c r="F2121" s="2"/>
      <c r="G2121" s="2"/>
      <c r="H2121" s="2"/>
      <c r="I2121" s="5"/>
    </row>
    <row r="2122" spans="1:9" ht="17.399999999999999" x14ac:dyDescent="0.25">
      <c r="A2122" s="16"/>
      <c r="B2122" s="17"/>
      <c r="C2122" s="2" t="b">
        <v>0</v>
      </c>
      <c r="D2122" s="2"/>
      <c r="E2122" s="2"/>
      <c r="F2122" s="2"/>
      <c r="G2122" s="2"/>
      <c r="H2122" s="2"/>
      <c r="I2122" s="5"/>
    </row>
    <row r="2123" spans="1:9" ht="17.399999999999999" x14ac:dyDescent="0.25">
      <c r="A2123" s="16"/>
      <c r="B2123" s="17"/>
      <c r="C2123" s="2" t="b">
        <v>0</v>
      </c>
      <c r="D2123" s="2"/>
      <c r="E2123" s="2"/>
      <c r="F2123" s="2"/>
      <c r="G2123" s="2"/>
      <c r="H2123" s="2"/>
      <c r="I2123" s="5"/>
    </row>
    <row r="2124" spans="1:9" ht="17.399999999999999" x14ac:dyDescent="0.25">
      <c r="A2124" s="16"/>
      <c r="B2124" s="17"/>
      <c r="C2124" s="2" t="b">
        <v>0</v>
      </c>
      <c r="D2124" s="2"/>
      <c r="E2124" s="2"/>
      <c r="F2124" s="2"/>
      <c r="G2124" s="2"/>
      <c r="H2124" s="2"/>
      <c r="I2124" s="5"/>
    </row>
    <row r="2125" spans="1:9" ht="17.399999999999999" x14ac:dyDescent="0.25">
      <c r="A2125" s="16"/>
      <c r="B2125" s="17"/>
      <c r="C2125" s="2" t="b">
        <v>0</v>
      </c>
      <c r="D2125" s="2"/>
      <c r="E2125" s="2"/>
      <c r="F2125" s="2"/>
      <c r="G2125" s="2"/>
      <c r="H2125" s="2"/>
      <c r="I2125" s="5"/>
    </row>
    <row r="2126" spans="1:9" ht="17.399999999999999" x14ac:dyDescent="0.25">
      <c r="A2126" s="16"/>
      <c r="B2126" s="17"/>
      <c r="C2126" s="2" t="b">
        <v>0</v>
      </c>
      <c r="D2126" s="2"/>
      <c r="E2126" s="2"/>
      <c r="F2126" s="2"/>
      <c r="G2126" s="2"/>
      <c r="H2126" s="2"/>
      <c r="I2126" s="5"/>
    </row>
    <row r="2127" spans="1:9" ht="17.399999999999999" x14ac:dyDescent="0.25">
      <c r="A2127" s="16"/>
      <c r="B2127" s="17"/>
      <c r="C2127" s="2" t="b">
        <v>0</v>
      </c>
      <c r="D2127" s="2"/>
      <c r="E2127" s="2"/>
      <c r="F2127" s="2"/>
      <c r="G2127" s="2"/>
      <c r="H2127" s="2"/>
      <c r="I2127" s="5"/>
    </row>
    <row r="2128" spans="1:9" ht="17.399999999999999" x14ac:dyDescent="0.25">
      <c r="A2128" s="16"/>
      <c r="B2128" s="17"/>
      <c r="C2128" s="2" t="b">
        <v>0</v>
      </c>
      <c r="D2128" s="2"/>
      <c r="E2128" s="2"/>
      <c r="F2128" s="2"/>
      <c r="G2128" s="2"/>
      <c r="H2128" s="2"/>
      <c r="I2128" s="5"/>
    </row>
    <row r="2129" spans="1:9" ht="17.399999999999999" x14ac:dyDescent="0.25">
      <c r="A2129" s="16"/>
      <c r="B2129" s="17"/>
      <c r="C2129" s="2" t="b">
        <v>0</v>
      </c>
      <c r="D2129" s="2"/>
      <c r="E2129" s="2"/>
      <c r="F2129" s="2"/>
      <c r="G2129" s="2"/>
      <c r="H2129" s="2"/>
      <c r="I2129" s="5"/>
    </row>
    <row r="2130" spans="1:9" ht="17.399999999999999" x14ac:dyDescent="0.25">
      <c r="A2130" s="16"/>
      <c r="B2130" s="17"/>
      <c r="C2130" s="2" t="b">
        <v>0</v>
      </c>
      <c r="D2130" s="2"/>
      <c r="E2130" s="2"/>
      <c r="F2130" s="2"/>
      <c r="G2130" s="2"/>
      <c r="H2130" s="2"/>
      <c r="I2130" s="5"/>
    </row>
    <row r="2131" spans="1:9" ht="17.399999999999999" x14ac:dyDescent="0.25">
      <c r="A2131" s="16"/>
      <c r="B2131" s="17"/>
      <c r="C2131" s="2" t="b">
        <v>0</v>
      </c>
      <c r="D2131" s="2"/>
      <c r="E2131" s="2"/>
      <c r="F2131" s="2"/>
      <c r="G2131" s="2"/>
      <c r="H2131" s="2"/>
      <c r="I2131" s="5"/>
    </row>
    <row r="2132" spans="1:9" ht="17.399999999999999" x14ac:dyDescent="0.25">
      <c r="A2132" s="16"/>
      <c r="B2132" s="17"/>
      <c r="C2132" s="2" t="b">
        <v>0</v>
      </c>
      <c r="D2132" s="2"/>
      <c r="E2132" s="2"/>
      <c r="F2132" s="2"/>
      <c r="G2132" s="2"/>
      <c r="H2132" s="2"/>
      <c r="I2132" s="5"/>
    </row>
    <row r="2133" spans="1:9" ht="17.399999999999999" x14ac:dyDescent="0.25">
      <c r="A2133" s="16"/>
      <c r="B2133" s="17"/>
      <c r="C2133" s="2" t="b">
        <v>0</v>
      </c>
      <c r="D2133" s="2"/>
      <c r="E2133" s="2"/>
      <c r="F2133" s="2"/>
      <c r="G2133" s="2"/>
      <c r="H2133" s="2"/>
      <c r="I2133" s="5"/>
    </row>
    <row r="2134" spans="1:9" ht="17.399999999999999" x14ac:dyDescent="0.25">
      <c r="A2134" s="16"/>
      <c r="B2134" s="17"/>
      <c r="C2134" s="2" t="b">
        <v>0</v>
      </c>
      <c r="D2134" s="2"/>
      <c r="E2134" s="2"/>
      <c r="F2134" s="2"/>
      <c r="G2134" s="2"/>
      <c r="H2134" s="2"/>
      <c r="I2134" s="5"/>
    </row>
    <row r="2135" spans="1:9" ht="17.399999999999999" x14ac:dyDescent="0.25">
      <c r="A2135" s="16"/>
      <c r="B2135" s="17"/>
      <c r="C2135" s="2" t="b">
        <v>0</v>
      </c>
      <c r="D2135" s="2"/>
      <c r="E2135" s="2"/>
      <c r="F2135" s="2"/>
      <c r="G2135" s="2"/>
      <c r="H2135" s="2"/>
      <c r="I2135" s="5"/>
    </row>
    <row r="2136" spans="1:9" ht="17.399999999999999" x14ac:dyDescent="0.25">
      <c r="A2136" s="16"/>
      <c r="B2136" s="17"/>
      <c r="C2136" s="2" t="b">
        <v>0</v>
      </c>
      <c r="D2136" s="2"/>
      <c r="E2136" s="2"/>
      <c r="F2136" s="2"/>
      <c r="G2136" s="2"/>
      <c r="H2136" s="2"/>
      <c r="I2136" s="5"/>
    </row>
    <row r="2137" spans="1:9" ht="17.399999999999999" x14ac:dyDescent="0.25">
      <c r="A2137" s="16"/>
      <c r="B2137" s="17"/>
      <c r="C2137" s="2" t="b">
        <v>0</v>
      </c>
      <c r="D2137" s="2"/>
      <c r="E2137" s="2"/>
      <c r="F2137" s="2"/>
      <c r="G2137" s="2"/>
      <c r="H2137" s="2"/>
      <c r="I2137" s="5"/>
    </row>
    <row r="2138" spans="1:9" ht="17.399999999999999" x14ac:dyDescent="0.25">
      <c r="A2138" s="16"/>
      <c r="B2138" s="17"/>
      <c r="C2138" s="2" t="b">
        <v>0</v>
      </c>
      <c r="D2138" s="2"/>
      <c r="E2138" s="2"/>
      <c r="F2138" s="2"/>
      <c r="G2138" s="2"/>
      <c r="H2138" s="2"/>
      <c r="I2138" s="5"/>
    </row>
    <row r="2139" spans="1:9" ht="17.399999999999999" x14ac:dyDescent="0.25">
      <c r="A2139" s="16"/>
      <c r="B2139" s="17"/>
      <c r="C2139" s="2" t="b">
        <v>0</v>
      </c>
      <c r="D2139" s="2"/>
      <c r="E2139" s="2"/>
      <c r="F2139" s="2"/>
      <c r="G2139" s="2"/>
      <c r="H2139" s="2"/>
      <c r="I2139" s="5"/>
    </row>
    <row r="2140" spans="1:9" ht="17.399999999999999" x14ac:dyDescent="0.25">
      <c r="A2140" s="16"/>
      <c r="B2140" s="17"/>
      <c r="C2140" s="2" t="b">
        <v>0</v>
      </c>
      <c r="D2140" s="2"/>
      <c r="E2140" s="2"/>
      <c r="F2140" s="2"/>
      <c r="G2140" s="2"/>
      <c r="H2140" s="2"/>
      <c r="I2140" s="5"/>
    </row>
    <row r="2141" spans="1:9" ht="17.399999999999999" x14ac:dyDescent="0.25">
      <c r="A2141" s="16"/>
      <c r="B2141" s="17"/>
      <c r="C2141" s="2" t="b">
        <v>0</v>
      </c>
      <c r="D2141" s="2"/>
      <c r="E2141" s="2"/>
      <c r="F2141" s="2"/>
      <c r="G2141" s="2"/>
      <c r="H2141" s="2"/>
      <c r="I2141" s="5"/>
    </row>
    <row r="2142" spans="1:9" ht="17.399999999999999" x14ac:dyDescent="0.25">
      <c r="A2142" s="16"/>
      <c r="B2142" s="17"/>
      <c r="C2142" s="2" t="b">
        <v>0</v>
      </c>
      <c r="D2142" s="2"/>
      <c r="E2142" s="2"/>
      <c r="F2142" s="2"/>
      <c r="G2142" s="2"/>
      <c r="H2142" s="2"/>
      <c r="I2142" s="5"/>
    </row>
    <row r="2143" spans="1:9" ht="17.399999999999999" x14ac:dyDescent="0.25">
      <c r="A2143" s="16"/>
      <c r="B2143" s="17"/>
      <c r="C2143" s="2" t="b">
        <v>0</v>
      </c>
      <c r="D2143" s="2"/>
      <c r="E2143" s="2"/>
      <c r="F2143" s="2"/>
      <c r="G2143" s="2"/>
      <c r="H2143" s="2"/>
      <c r="I2143" s="5"/>
    </row>
    <row r="2144" spans="1:9" ht="17.399999999999999" x14ac:dyDescent="0.25">
      <c r="A2144" s="16"/>
      <c r="B2144" s="17"/>
      <c r="C2144" s="2" t="b">
        <v>0</v>
      </c>
      <c r="D2144" s="2"/>
      <c r="E2144" s="2"/>
      <c r="F2144" s="2"/>
      <c r="G2144" s="2"/>
      <c r="H2144" s="2"/>
      <c r="I2144" s="5"/>
    </row>
    <row r="2145" spans="1:9" ht="17.399999999999999" x14ac:dyDescent="0.25">
      <c r="A2145" s="16"/>
      <c r="B2145" s="17"/>
      <c r="C2145" s="2" t="b">
        <v>0</v>
      </c>
      <c r="D2145" s="2"/>
      <c r="E2145" s="2"/>
      <c r="F2145" s="2"/>
      <c r="G2145" s="2"/>
      <c r="H2145" s="2"/>
      <c r="I2145" s="5"/>
    </row>
    <row r="2146" spans="1:9" ht="17.399999999999999" x14ac:dyDescent="0.25">
      <c r="A2146" s="16"/>
      <c r="B2146" s="17"/>
      <c r="C2146" s="2" t="b">
        <v>0</v>
      </c>
      <c r="D2146" s="2"/>
      <c r="E2146" s="2"/>
      <c r="F2146" s="2"/>
      <c r="G2146" s="2"/>
      <c r="H2146" s="2"/>
      <c r="I2146" s="5"/>
    </row>
    <row r="2147" spans="1:9" ht="17.399999999999999" x14ac:dyDescent="0.25">
      <c r="A2147" s="16"/>
      <c r="B2147" s="17"/>
      <c r="C2147" s="2" t="b">
        <v>0</v>
      </c>
      <c r="D2147" s="2"/>
      <c r="E2147" s="2"/>
      <c r="F2147" s="2"/>
      <c r="G2147" s="2"/>
      <c r="H2147" s="2"/>
      <c r="I2147" s="5"/>
    </row>
    <row r="2148" spans="1:9" ht="17.399999999999999" x14ac:dyDescent="0.25">
      <c r="A2148" s="16"/>
      <c r="B2148" s="17"/>
      <c r="C2148" s="2" t="b">
        <v>0</v>
      </c>
      <c r="D2148" s="2"/>
      <c r="E2148" s="2"/>
      <c r="F2148" s="2"/>
      <c r="G2148" s="2"/>
      <c r="H2148" s="2"/>
      <c r="I2148" s="5"/>
    </row>
    <row r="2149" spans="1:9" ht="17.399999999999999" x14ac:dyDescent="0.25">
      <c r="A2149" s="16"/>
      <c r="B2149" s="17"/>
      <c r="C2149" s="2" t="b">
        <v>0</v>
      </c>
      <c r="D2149" s="2"/>
      <c r="E2149" s="2"/>
      <c r="F2149" s="2"/>
      <c r="G2149" s="2"/>
      <c r="H2149" s="2"/>
      <c r="I2149" s="5"/>
    </row>
    <row r="2150" spans="1:9" ht="17.399999999999999" x14ac:dyDescent="0.25">
      <c r="A2150" s="16"/>
      <c r="B2150" s="17"/>
      <c r="C2150" s="2" t="b">
        <v>0</v>
      </c>
      <c r="D2150" s="2"/>
      <c r="E2150" s="2"/>
      <c r="F2150" s="2"/>
      <c r="G2150" s="2"/>
      <c r="H2150" s="2"/>
      <c r="I2150" s="5"/>
    </row>
    <row r="2151" spans="1:9" ht="17.399999999999999" x14ac:dyDescent="0.25">
      <c r="A2151" s="16"/>
      <c r="B2151" s="17"/>
      <c r="C2151" s="2" t="b">
        <v>0</v>
      </c>
      <c r="D2151" s="2"/>
      <c r="E2151" s="2"/>
      <c r="F2151" s="2"/>
      <c r="G2151" s="2"/>
      <c r="H2151" s="2"/>
      <c r="I2151" s="5"/>
    </row>
    <row r="2152" spans="1:9" ht="17.399999999999999" x14ac:dyDescent="0.25">
      <c r="A2152" s="16"/>
      <c r="B2152" s="17"/>
      <c r="C2152" s="2" t="b">
        <v>0</v>
      </c>
      <c r="D2152" s="2"/>
      <c r="E2152" s="2"/>
      <c r="F2152" s="2"/>
      <c r="G2152" s="2"/>
      <c r="H2152" s="2"/>
      <c r="I2152" s="5"/>
    </row>
    <row r="2153" spans="1:9" ht="17.399999999999999" x14ac:dyDescent="0.25">
      <c r="A2153" s="16"/>
      <c r="B2153" s="17"/>
      <c r="C2153" s="2" t="b">
        <v>0</v>
      </c>
      <c r="D2153" s="2"/>
      <c r="E2153" s="2"/>
      <c r="F2153" s="2"/>
      <c r="G2153" s="2"/>
      <c r="H2153" s="2"/>
      <c r="I2153" s="5"/>
    </row>
    <row r="2154" spans="1:9" ht="17.399999999999999" x14ac:dyDescent="0.25">
      <c r="A2154" s="16"/>
      <c r="B2154" s="17"/>
      <c r="C2154" s="2" t="b">
        <v>0</v>
      </c>
      <c r="D2154" s="2"/>
      <c r="E2154" s="2"/>
      <c r="F2154" s="2"/>
      <c r="G2154" s="2"/>
      <c r="H2154" s="2"/>
      <c r="I2154" s="5"/>
    </row>
    <row r="2155" spans="1:9" ht="17.399999999999999" x14ac:dyDescent="0.25">
      <c r="A2155" s="16"/>
      <c r="B2155" s="17"/>
      <c r="C2155" s="2" t="b">
        <v>0</v>
      </c>
      <c r="D2155" s="2"/>
      <c r="E2155" s="2"/>
      <c r="F2155" s="2"/>
      <c r="G2155" s="2"/>
      <c r="H2155" s="2"/>
      <c r="I2155" s="5"/>
    </row>
    <row r="2156" spans="1:9" ht="17.399999999999999" x14ac:dyDescent="0.25">
      <c r="A2156" s="16"/>
      <c r="B2156" s="17"/>
      <c r="C2156" s="2" t="b">
        <v>0</v>
      </c>
      <c r="D2156" s="2"/>
      <c r="E2156" s="2"/>
      <c r="F2156" s="2"/>
      <c r="G2156" s="2"/>
      <c r="H2156" s="2"/>
      <c r="I2156" s="5"/>
    </row>
    <row r="2157" spans="1:9" ht="17.399999999999999" x14ac:dyDescent="0.25">
      <c r="A2157" s="16"/>
      <c r="B2157" s="17"/>
      <c r="C2157" s="2" t="b">
        <v>0</v>
      </c>
      <c r="D2157" s="2"/>
      <c r="E2157" s="2"/>
      <c r="F2157" s="2"/>
      <c r="G2157" s="2"/>
      <c r="H2157" s="2"/>
      <c r="I2157" s="5"/>
    </row>
    <row r="2158" spans="1:9" ht="17.399999999999999" x14ac:dyDescent="0.25">
      <c r="A2158" s="16"/>
      <c r="B2158" s="17"/>
      <c r="C2158" s="2" t="b">
        <v>0</v>
      </c>
      <c r="D2158" s="2"/>
      <c r="E2158" s="2"/>
      <c r="F2158" s="2"/>
      <c r="G2158" s="2"/>
      <c r="H2158" s="2"/>
      <c r="I2158" s="5"/>
    </row>
    <row r="2159" spans="1:9" ht="17.399999999999999" x14ac:dyDescent="0.25">
      <c r="A2159" s="16"/>
      <c r="B2159" s="17"/>
      <c r="C2159" s="2" t="b">
        <v>0</v>
      </c>
      <c r="D2159" s="2"/>
      <c r="E2159" s="2"/>
      <c r="F2159" s="2"/>
      <c r="G2159" s="2"/>
      <c r="H2159" s="2"/>
      <c r="I2159" s="5"/>
    </row>
    <row r="2160" spans="1:9" ht="17.399999999999999" x14ac:dyDescent="0.25">
      <c r="A2160" s="16"/>
      <c r="B2160" s="17"/>
      <c r="C2160" s="2" t="b">
        <v>0</v>
      </c>
      <c r="D2160" s="2"/>
      <c r="E2160" s="2"/>
      <c r="F2160" s="2"/>
      <c r="G2160" s="2"/>
      <c r="H2160" s="2"/>
      <c r="I2160" s="5"/>
    </row>
    <row r="2161" spans="1:9" ht="17.399999999999999" x14ac:dyDescent="0.25">
      <c r="A2161" s="16"/>
      <c r="B2161" s="17"/>
      <c r="C2161" s="2" t="b">
        <v>0</v>
      </c>
      <c r="D2161" s="2"/>
      <c r="E2161" s="2"/>
      <c r="F2161" s="2"/>
      <c r="G2161" s="2"/>
      <c r="H2161" s="2"/>
      <c r="I2161" s="5"/>
    </row>
    <row r="2162" spans="1:9" ht="17.399999999999999" x14ac:dyDescent="0.25">
      <c r="A2162" s="16"/>
      <c r="B2162" s="17"/>
      <c r="C2162" s="2" t="b">
        <v>0</v>
      </c>
      <c r="D2162" s="2"/>
      <c r="E2162" s="2"/>
      <c r="F2162" s="2"/>
      <c r="G2162" s="2"/>
      <c r="H2162" s="2"/>
      <c r="I2162" s="5"/>
    </row>
    <row r="2163" spans="1:9" ht="17.399999999999999" x14ac:dyDescent="0.25">
      <c r="A2163" s="16"/>
      <c r="B2163" s="17"/>
      <c r="C2163" s="2" t="b">
        <v>0</v>
      </c>
      <c r="D2163" s="2"/>
      <c r="E2163" s="2"/>
      <c r="F2163" s="2"/>
      <c r="G2163" s="2"/>
      <c r="H2163" s="2"/>
      <c r="I2163" s="5"/>
    </row>
    <row r="2164" spans="1:9" ht="17.399999999999999" x14ac:dyDescent="0.25">
      <c r="A2164" s="16"/>
      <c r="B2164" s="17"/>
      <c r="C2164" s="2" t="b">
        <v>0</v>
      </c>
      <c r="D2164" s="2"/>
      <c r="E2164" s="2"/>
      <c r="F2164" s="2"/>
      <c r="G2164" s="2"/>
      <c r="H2164" s="2"/>
      <c r="I2164" s="5"/>
    </row>
    <row r="2165" spans="1:9" ht="17.399999999999999" x14ac:dyDescent="0.25">
      <c r="A2165" s="16"/>
      <c r="B2165" s="17"/>
      <c r="C2165" s="2" t="b">
        <v>0</v>
      </c>
      <c r="D2165" s="2"/>
      <c r="E2165" s="2"/>
      <c r="F2165" s="2"/>
      <c r="G2165" s="2"/>
      <c r="H2165" s="2"/>
      <c r="I2165" s="5"/>
    </row>
    <row r="2166" spans="1:9" ht="17.399999999999999" x14ac:dyDescent="0.25">
      <c r="A2166" s="16"/>
      <c r="B2166" s="17"/>
      <c r="C2166" s="2" t="b">
        <v>0</v>
      </c>
      <c r="D2166" s="2"/>
      <c r="E2166" s="2"/>
      <c r="F2166" s="2"/>
      <c r="G2166" s="2"/>
      <c r="H2166" s="2"/>
      <c r="I2166" s="5"/>
    </row>
    <row r="2167" spans="1:9" ht="17.399999999999999" x14ac:dyDescent="0.25">
      <c r="A2167" s="16"/>
      <c r="B2167" s="17"/>
      <c r="C2167" s="2" t="b">
        <v>0</v>
      </c>
      <c r="D2167" s="2"/>
      <c r="E2167" s="2"/>
      <c r="F2167" s="2"/>
      <c r="G2167" s="2"/>
      <c r="H2167" s="2"/>
      <c r="I2167" s="5"/>
    </row>
    <row r="2168" spans="1:9" ht="17.399999999999999" x14ac:dyDescent="0.25">
      <c r="A2168" s="16"/>
      <c r="B2168" s="17"/>
      <c r="C2168" s="2" t="b">
        <v>0</v>
      </c>
      <c r="D2168" s="2"/>
      <c r="E2168" s="2"/>
      <c r="F2168" s="2"/>
      <c r="G2168" s="2"/>
      <c r="H2168" s="2"/>
      <c r="I2168" s="5"/>
    </row>
    <row r="2169" spans="1:9" ht="17.399999999999999" x14ac:dyDescent="0.25">
      <c r="A2169" s="16"/>
      <c r="B2169" s="17"/>
      <c r="C2169" s="2" t="b">
        <v>0</v>
      </c>
      <c r="D2169" s="2"/>
      <c r="E2169" s="2"/>
      <c r="F2169" s="2"/>
      <c r="G2169" s="2"/>
      <c r="H2169" s="2"/>
      <c r="I2169" s="5"/>
    </row>
    <row r="2170" spans="1:9" ht="17.399999999999999" x14ac:dyDescent="0.25">
      <c r="A2170" s="16"/>
      <c r="B2170" s="17"/>
      <c r="C2170" s="2" t="b">
        <v>0</v>
      </c>
      <c r="D2170" s="2"/>
      <c r="E2170" s="2"/>
      <c r="F2170" s="2"/>
      <c r="G2170" s="2"/>
      <c r="H2170" s="2"/>
      <c r="I2170" s="5"/>
    </row>
    <row r="2171" spans="1:9" ht="17.399999999999999" x14ac:dyDescent="0.25">
      <c r="A2171" s="16"/>
      <c r="B2171" s="17"/>
      <c r="C2171" s="2" t="b">
        <v>0</v>
      </c>
      <c r="D2171" s="2"/>
      <c r="E2171" s="2"/>
      <c r="F2171" s="2"/>
      <c r="G2171" s="2"/>
      <c r="H2171" s="2"/>
      <c r="I2171" s="5"/>
    </row>
    <row r="2172" spans="1:9" ht="17.399999999999999" x14ac:dyDescent="0.25">
      <c r="A2172" s="16"/>
      <c r="B2172" s="17"/>
      <c r="C2172" s="2" t="b">
        <v>0</v>
      </c>
      <c r="D2172" s="2"/>
      <c r="E2172" s="2"/>
      <c r="F2172" s="2"/>
      <c r="G2172" s="2"/>
      <c r="H2172" s="2"/>
      <c r="I2172" s="5"/>
    </row>
    <row r="2173" spans="1:9" ht="17.399999999999999" x14ac:dyDescent="0.25">
      <c r="A2173" s="16"/>
      <c r="B2173" s="17"/>
      <c r="C2173" s="2" t="b">
        <v>0</v>
      </c>
      <c r="D2173" s="2"/>
      <c r="E2173" s="2"/>
      <c r="F2173" s="2"/>
      <c r="G2173" s="2"/>
      <c r="H2173" s="2"/>
      <c r="I2173" s="5"/>
    </row>
    <row r="2174" spans="1:9" ht="17.399999999999999" x14ac:dyDescent="0.25">
      <c r="A2174" s="16"/>
      <c r="B2174" s="17"/>
      <c r="C2174" s="2" t="b">
        <v>0</v>
      </c>
      <c r="D2174" s="2"/>
      <c r="E2174" s="2"/>
      <c r="F2174" s="2"/>
      <c r="G2174" s="2"/>
      <c r="H2174" s="2"/>
      <c r="I2174" s="5"/>
    </row>
    <row r="2175" spans="1:9" ht="17.399999999999999" x14ac:dyDescent="0.25">
      <c r="A2175" s="16"/>
      <c r="B2175" s="17"/>
      <c r="C2175" s="2" t="b">
        <v>0</v>
      </c>
      <c r="D2175" s="2"/>
      <c r="E2175" s="2"/>
      <c r="F2175" s="2"/>
      <c r="G2175" s="2"/>
      <c r="H2175" s="2"/>
      <c r="I2175" s="5"/>
    </row>
    <row r="2176" spans="1:9" ht="17.399999999999999" x14ac:dyDescent="0.25">
      <c r="A2176" s="16"/>
      <c r="B2176" s="17"/>
      <c r="C2176" s="2" t="b">
        <v>0</v>
      </c>
      <c r="D2176" s="2"/>
      <c r="E2176" s="2"/>
      <c r="F2176" s="2"/>
      <c r="G2176" s="2"/>
      <c r="H2176" s="2"/>
      <c r="I2176" s="5"/>
    </row>
    <row r="2177" spans="1:9" ht="17.399999999999999" x14ac:dyDescent="0.25">
      <c r="A2177" s="16"/>
      <c r="B2177" s="17"/>
      <c r="C2177" s="2" t="b">
        <v>0</v>
      </c>
      <c r="D2177" s="2"/>
      <c r="E2177" s="2"/>
      <c r="F2177" s="2"/>
      <c r="G2177" s="2"/>
      <c r="H2177" s="2"/>
      <c r="I2177" s="5"/>
    </row>
    <row r="2178" spans="1:9" ht="17.399999999999999" x14ac:dyDescent="0.25">
      <c r="A2178" s="16"/>
      <c r="B2178" s="17"/>
      <c r="C2178" s="2" t="b">
        <v>0</v>
      </c>
      <c r="D2178" s="2"/>
      <c r="E2178" s="2"/>
      <c r="F2178" s="2"/>
      <c r="G2178" s="2"/>
      <c r="H2178" s="2"/>
      <c r="I2178" s="5"/>
    </row>
    <row r="2179" spans="1:9" ht="17.399999999999999" x14ac:dyDescent="0.25">
      <c r="A2179" s="16"/>
      <c r="B2179" s="17"/>
      <c r="C2179" s="2" t="b">
        <v>0</v>
      </c>
      <c r="D2179" s="2"/>
      <c r="E2179" s="2"/>
      <c r="F2179" s="2"/>
      <c r="G2179" s="2"/>
      <c r="H2179" s="2"/>
      <c r="I2179" s="5"/>
    </row>
    <row r="2180" spans="1:9" ht="17.399999999999999" x14ac:dyDescent="0.25">
      <c r="A2180" s="16"/>
      <c r="B2180" s="17"/>
      <c r="C2180" s="2" t="b">
        <v>0</v>
      </c>
      <c r="D2180" s="2"/>
      <c r="E2180" s="2"/>
      <c r="F2180" s="2"/>
      <c r="G2180" s="2"/>
      <c r="H2180" s="2"/>
      <c r="I2180" s="5"/>
    </row>
    <row r="2181" spans="1:9" ht="17.399999999999999" x14ac:dyDescent="0.25">
      <c r="A2181" s="16"/>
      <c r="B2181" s="17"/>
      <c r="C2181" s="2" t="b">
        <v>0</v>
      </c>
      <c r="D2181" s="2"/>
      <c r="E2181" s="2"/>
      <c r="F2181" s="2"/>
      <c r="G2181" s="2"/>
      <c r="H2181" s="2"/>
      <c r="I2181" s="5"/>
    </row>
    <row r="2182" spans="1:9" ht="17.399999999999999" x14ac:dyDescent="0.25">
      <c r="A2182" s="16"/>
      <c r="B2182" s="17"/>
      <c r="C2182" s="2" t="b">
        <v>0</v>
      </c>
      <c r="D2182" s="2"/>
      <c r="E2182" s="2"/>
      <c r="F2182" s="2"/>
      <c r="G2182" s="2"/>
      <c r="H2182" s="2"/>
      <c r="I2182" s="5"/>
    </row>
    <row r="2183" spans="1:9" ht="17.399999999999999" x14ac:dyDescent="0.25">
      <c r="A2183" s="16"/>
      <c r="B2183" s="17"/>
      <c r="C2183" s="2" t="b">
        <v>0</v>
      </c>
      <c r="D2183" s="2"/>
      <c r="E2183" s="2"/>
      <c r="F2183" s="2"/>
      <c r="G2183" s="2"/>
      <c r="H2183" s="2"/>
      <c r="I2183" s="5"/>
    </row>
    <row r="2184" spans="1:9" ht="17.399999999999999" x14ac:dyDescent="0.25">
      <c r="A2184" s="16"/>
      <c r="B2184" s="17"/>
      <c r="C2184" s="2" t="b">
        <v>0</v>
      </c>
      <c r="D2184" s="2"/>
      <c r="E2184" s="2"/>
      <c r="F2184" s="2"/>
      <c r="G2184" s="2"/>
      <c r="H2184" s="2"/>
      <c r="I2184" s="5"/>
    </row>
    <row r="2185" spans="1:9" ht="17.399999999999999" x14ac:dyDescent="0.25">
      <c r="A2185" s="16"/>
      <c r="B2185" s="17"/>
      <c r="C2185" s="2" t="b">
        <v>0</v>
      </c>
      <c r="D2185" s="2"/>
      <c r="E2185" s="2"/>
      <c r="F2185" s="2"/>
      <c r="G2185" s="2"/>
      <c r="H2185" s="2"/>
      <c r="I2185" s="5"/>
    </row>
    <row r="2186" spans="1:9" ht="17.399999999999999" x14ac:dyDescent="0.25">
      <c r="A2186" s="16"/>
      <c r="B2186" s="17"/>
      <c r="C2186" s="2" t="b">
        <v>0</v>
      </c>
      <c r="D2186" s="2"/>
      <c r="E2186" s="2"/>
      <c r="F2186" s="2"/>
      <c r="G2186" s="2"/>
      <c r="H2186" s="2"/>
      <c r="I2186" s="5"/>
    </row>
    <row r="2187" spans="1:9" ht="17.399999999999999" x14ac:dyDescent="0.25">
      <c r="A2187" s="16"/>
      <c r="B2187" s="17"/>
      <c r="C2187" s="2" t="b">
        <v>0</v>
      </c>
      <c r="D2187" s="2"/>
      <c r="E2187" s="2"/>
      <c r="F2187" s="2"/>
      <c r="G2187" s="2"/>
      <c r="H2187" s="2"/>
      <c r="I2187" s="5"/>
    </row>
    <row r="2188" spans="1:9" ht="17.399999999999999" x14ac:dyDescent="0.25">
      <c r="A2188" s="16"/>
      <c r="B2188" s="17"/>
      <c r="C2188" s="2" t="b">
        <v>0</v>
      </c>
      <c r="D2188" s="2"/>
      <c r="E2188" s="2"/>
      <c r="F2188" s="2"/>
      <c r="G2188" s="2"/>
      <c r="H2188" s="2"/>
      <c r="I2188" s="5"/>
    </row>
    <row r="2189" spans="1:9" ht="17.399999999999999" x14ac:dyDescent="0.25">
      <c r="A2189" s="16"/>
      <c r="B2189" s="17"/>
      <c r="C2189" s="2" t="b">
        <v>0</v>
      </c>
      <c r="D2189" s="2"/>
      <c r="E2189" s="2"/>
      <c r="F2189" s="2"/>
      <c r="G2189" s="2"/>
      <c r="H2189" s="2"/>
      <c r="I2189" s="5"/>
    </row>
    <row r="2190" spans="1:9" ht="17.399999999999999" x14ac:dyDescent="0.25">
      <c r="A2190" s="16"/>
      <c r="B2190" s="17"/>
      <c r="C2190" s="2" t="b">
        <v>0</v>
      </c>
      <c r="D2190" s="2"/>
      <c r="E2190" s="2"/>
      <c r="F2190" s="2"/>
      <c r="G2190" s="2"/>
      <c r="H2190" s="2"/>
      <c r="I2190" s="5"/>
    </row>
    <row r="2191" spans="1:9" ht="17.399999999999999" x14ac:dyDescent="0.25">
      <c r="A2191" s="16"/>
      <c r="B2191" s="17"/>
      <c r="C2191" s="2" t="b">
        <v>0</v>
      </c>
      <c r="D2191" s="2"/>
      <c r="E2191" s="2"/>
      <c r="F2191" s="2"/>
      <c r="G2191" s="2"/>
      <c r="H2191" s="2"/>
      <c r="I2191" s="5"/>
    </row>
    <row r="2192" spans="1:9" ht="17.399999999999999" x14ac:dyDescent="0.25">
      <c r="A2192" s="16"/>
      <c r="B2192" s="17"/>
      <c r="C2192" s="2" t="b">
        <v>0</v>
      </c>
      <c r="D2192" s="2"/>
      <c r="E2192" s="2"/>
      <c r="F2192" s="2"/>
      <c r="G2192" s="2"/>
      <c r="H2192" s="2"/>
      <c r="I2192" s="5"/>
    </row>
    <row r="2193" spans="1:9" ht="17.399999999999999" x14ac:dyDescent="0.25">
      <c r="A2193" s="16"/>
      <c r="B2193" s="17"/>
      <c r="C2193" s="2" t="b">
        <v>0</v>
      </c>
      <c r="D2193" s="2"/>
      <c r="E2193" s="2"/>
      <c r="F2193" s="2"/>
      <c r="G2193" s="2"/>
      <c r="H2193" s="2"/>
      <c r="I2193" s="5"/>
    </row>
    <row r="2194" spans="1:9" ht="17.399999999999999" x14ac:dyDescent="0.25">
      <c r="A2194" s="16"/>
      <c r="B2194" s="17"/>
      <c r="C2194" s="2" t="b">
        <v>0</v>
      </c>
      <c r="D2194" s="2"/>
      <c r="E2194" s="2"/>
      <c r="F2194" s="2"/>
      <c r="G2194" s="2"/>
      <c r="H2194" s="2"/>
      <c r="I2194" s="5"/>
    </row>
    <row r="2195" spans="1:9" ht="17.399999999999999" x14ac:dyDescent="0.25">
      <c r="A2195" s="16"/>
      <c r="B2195" s="17"/>
      <c r="C2195" s="2" t="b">
        <v>0</v>
      </c>
      <c r="D2195" s="2"/>
      <c r="E2195" s="2"/>
      <c r="F2195" s="2"/>
      <c r="G2195" s="2"/>
      <c r="H2195" s="2"/>
      <c r="I2195" s="5"/>
    </row>
    <row r="2196" spans="1:9" ht="17.399999999999999" x14ac:dyDescent="0.25">
      <c r="A2196" s="16"/>
      <c r="B2196" s="17"/>
      <c r="C2196" s="2" t="b">
        <v>0</v>
      </c>
      <c r="D2196" s="2"/>
      <c r="E2196" s="2"/>
      <c r="F2196" s="2"/>
      <c r="G2196" s="2"/>
      <c r="H2196" s="2"/>
      <c r="I2196" s="5"/>
    </row>
    <row r="2197" spans="1:9" ht="17.399999999999999" x14ac:dyDescent="0.25">
      <c r="A2197" s="16"/>
      <c r="B2197" s="17"/>
      <c r="C2197" s="2" t="b">
        <v>0</v>
      </c>
      <c r="D2197" s="2"/>
      <c r="E2197" s="2"/>
      <c r="F2197" s="2"/>
      <c r="G2197" s="2"/>
      <c r="H2197" s="2"/>
      <c r="I2197" s="5"/>
    </row>
    <row r="2198" spans="1:9" ht="17.399999999999999" x14ac:dyDescent="0.25">
      <c r="A2198" s="16"/>
      <c r="B2198" s="17"/>
      <c r="C2198" s="2" t="b">
        <v>0</v>
      </c>
      <c r="D2198" s="2"/>
      <c r="E2198" s="2"/>
      <c r="F2198" s="2"/>
      <c r="G2198" s="2"/>
      <c r="H2198" s="2"/>
      <c r="I2198" s="5"/>
    </row>
    <row r="2199" spans="1:9" ht="17.399999999999999" x14ac:dyDescent="0.25">
      <c r="A2199" s="16"/>
      <c r="B2199" s="17"/>
      <c r="C2199" s="2" t="b">
        <v>0</v>
      </c>
      <c r="D2199" s="2"/>
      <c r="E2199" s="2"/>
      <c r="F2199" s="2"/>
      <c r="G2199" s="2"/>
      <c r="H2199" s="2"/>
      <c r="I2199" s="5"/>
    </row>
    <row r="2200" spans="1:9" ht="17.399999999999999" x14ac:dyDescent="0.25">
      <c r="A2200" s="16"/>
      <c r="B2200" s="17"/>
      <c r="C2200" s="2" t="b">
        <v>0</v>
      </c>
      <c r="D2200" s="2"/>
      <c r="E2200" s="2"/>
      <c r="F2200" s="2"/>
      <c r="G2200" s="2"/>
      <c r="H2200" s="2"/>
      <c r="I2200" s="5"/>
    </row>
    <row r="2201" spans="1:9" ht="17.399999999999999" x14ac:dyDescent="0.25">
      <c r="A2201" s="16"/>
      <c r="B2201" s="17"/>
      <c r="C2201" s="2" t="b">
        <v>0</v>
      </c>
      <c r="D2201" s="2"/>
      <c r="E2201" s="2"/>
      <c r="F2201" s="2"/>
      <c r="G2201" s="2"/>
      <c r="H2201" s="2"/>
      <c r="I2201" s="5"/>
    </row>
    <row r="2202" spans="1:9" ht="17.399999999999999" x14ac:dyDescent="0.25">
      <c r="A2202" s="16"/>
      <c r="B2202" s="17"/>
      <c r="C2202" s="2" t="b">
        <v>0</v>
      </c>
      <c r="D2202" s="2"/>
      <c r="E2202" s="2"/>
      <c r="F2202" s="2"/>
      <c r="G2202" s="2"/>
      <c r="H2202" s="2"/>
      <c r="I2202" s="5"/>
    </row>
    <row r="2203" spans="1:9" ht="17.399999999999999" x14ac:dyDescent="0.25">
      <c r="A2203" s="16"/>
      <c r="B2203" s="17"/>
      <c r="C2203" s="2" t="b">
        <v>0</v>
      </c>
      <c r="D2203" s="2"/>
      <c r="E2203" s="2"/>
      <c r="F2203" s="2"/>
      <c r="G2203" s="2"/>
      <c r="H2203" s="2"/>
      <c r="I2203" s="5"/>
    </row>
    <row r="2204" spans="1:9" ht="17.399999999999999" x14ac:dyDescent="0.25">
      <c r="A2204" s="16"/>
      <c r="B2204" s="17"/>
      <c r="C2204" s="2" t="b">
        <v>0</v>
      </c>
      <c r="D2204" s="2"/>
      <c r="E2204" s="2"/>
      <c r="F2204" s="2"/>
      <c r="G2204" s="2"/>
      <c r="H2204" s="2"/>
      <c r="I2204" s="5"/>
    </row>
    <row r="2205" spans="1:9" ht="17.399999999999999" x14ac:dyDescent="0.25">
      <c r="A2205" s="16"/>
      <c r="B2205" s="17"/>
      <c r="C2205" s="2" t="b">
        <v>0</v>
      </c>
      <c r="D2205" s="2"/>
      <c r="E2205" s="2"/>
      <c r="F2205" s="2"/>
      <c r="G2205" s="2"/>
      <c r="H2205" s="2"/>
      <c r="I2205" s="5"/>
    </row>
    <row r="2206" spans="1:9" ht="17.399999999999999" x14ac:dyDescent="0.25">
      <c r="A2206" s="16"/>
      <c r="B2206" s="17"/>
      <c r="C2206" s="2" t="b">
        <v>0</v>
      </c>
      <c r="D2206" s="2"/>
      <c r="E2206" s="2"/>
      <c r="F2206" s="2"/>
      <c r="G2206" s="2"/>
      <c r="H2206" s="2"/>
      <c r="I2206" s="5"/>
    </row>
    <row r="2207" spans="1:9" ht="17.399999999999999" x14ac:dyDescent="0.25">
      <c r="A2207" s="16"/>
      <c r="B2207" s="17"/>
      <c r="C2207" s="2" t="b">
        <v>0</v>
      </c>
      <c r="D2207" s="2"/>
      <c r="E2207" s="2"/>
      <c r="F2207" s="2"/>
      <c r="G2207" s="2"/>
      <c r="H2207" s="2"/>
      <c r="I2207" s="5"/>
    </row>
    <row r="2208" spans="1:9" ht="17.399999999999999" x14ac:dyDescent="0.25">
      <c r="A2208" s="16"/>
      <c r="B2208" s="17"/>
      <c r="C2208" s="2" t="b">
        <v>0</v>
      </c>
      <c r="D2208" s="2"/>
      <c r="E2208" s="2"/>
      <c r="F2208" s="2"/>
      <c r="G2208" s="2"/>
      <c r="H2208" s="2"/>
      <c r="I2208" s="5"/>
    </row>
    <row r="2209" spans="1:9" ht="17.399999999999999" x14ac:dyDescent="0.25">
      <c r="A2209" s="16"/>
      <c r="B2209" s="17"/>
      <c r="C2209" s="2" t="b">
        <v>0</v>
      </c>
      <c r="D2209" s="2"/>
      <c r="E2209" s="2"/>
      <c r="F2209" s="2"/>
      <c r="G2209" s="2"/>
      <c r="H2209" s="2"/>
      <c r="I2209" s="5"/>
    </row>
    <row r="2210" spans="1:9" ht="17.399999999999999" x14ac:dyDescent="0.25">
      <c r="A2210" s="16"/>
      <c r="B2210" s="17"/>
      <c r="C2210" s="2" t="b">
        <v>0</v>
      </c>
      <c r="D2210" s="2"/>
      <c r="E2210" s="2"/>
      <c r="F2210" s="2"/>
      <c r="G2210" s="2"/>
      <c r="H2210" s="2"/>
      <c r="I2210" s="5"/>
    </row>
    <row r="2211" spans="1:9" ht="17.399999999999999" x14ac:dyDescent="0.25">
      <c r="A2211" s="16"/>
      <c r="B2211" s="17"/>
      <c r="C2211" s="2" t="b">
        <v>0</v>
      </c>
      <c r="D2211" s="2"/>
      <c r="E2211" s="2"/>
      <c r="F2211" s="2"/>
      <c r="G2211" s="2"/>
      <c r="H2211" s="2"/>
      <c r="I2211" s="5"/>
    </row>
    <row r="2212" spans="1:9" ht="17.399999999999999" x14ac:dyDescent="0.25">
      <c r="A2212" s="16"/>
      <c r="B2212" s="17"/>
      <c r="C2212" s="2" t="b">
        <v>0</v>
      </c>
      <c r="D2212" s="2"/>
      <c r="E2212" s="2"/>
      <c r="F2212" s="2"/>
      <c r="G2212" s="2"/>
      <c r="H2212" s="2"/>
      <c r="I2212" s="5"/>
    </row>
    <row r="2213" spans="1:9" ht="17.399999999999999" x14ac:dyDescent="0.25">
      <c r="A2213" s="16"/>
      <c r="B2213" s="17"/>
      <c r="C2213" s="2" t="b">
        <v>0</v>
      </c>
      <c r="D2213" s="2"/>
      <c r="E2213" s="2"/>
      <c r="F2213" s="2"/>
      <c r="G2213" s="2"/>
      <c r="H2213" s="2"/>
      <c r="I2213" s="5"/>
    </row>
    <row r="2214" spans="1:9" ht="17.399999999999999" x14ac:dyDescent="0.25">
      <c r="A2214" s="16"/>
      <c r="B2214" s="17"/>
      <c r="C2214" s="2" t="b">
        <v>0</v>
      </c>
      <c r="D2214" s="2"/>
      <c r="E2214" s="2"/>
      <c r="F2214" s="2"/>
      <c r="G2214" s="2"/>
      <c r="H2214" s="2"/>
      <c r="I2214" s="5"/>
    </row>
    <row r="2215" spans="1:9" ht="17.399999999999999" x14ac:dyDescent="0.25">
      <c r="A2215" s="16"/>
      <c r="B2215" s="17"/>
      <c r="C2215" s="2" t="b">
        <v>0</v>
      </c>
      <c r="D2215" s="2"/>
      <c r="E2215" s="2"/>
      <c r="F2215" s="2"/>
      <c r="G2215" s="2"/>
      <c r="H2215" s="2"/>
      <c r="I2215" s="5"/>
    </row>
    <row r="2216" spans="1:9" ht="17.399999999999999" x14ac:dyDescent="0.25">
      <c r="A2216" s="16"/>
      <c r="B2216" s="17"/>
      <c r="C2216" s="2" t="b">
        <v>0</v>
      </c>
      <c r="D2216" s="2"/>
      <c r="E2216" s="2"/>
      <c r="F2216" s="2"/>
      <c r="G2216" s="2"/>
      <c r="H2216" s="2"/>
      <c r="I2216" s="5"/>
    </row>
    <row r="2217" spans="1:9" ht="17.399999999999999" x14ac:dyDescent="0.25">
      <c r="A2217" s="16"/>
      <c r="B2217" s="17"/>
      <c r="C2217" s="2" t="b">
        <v>0</v>
      </c>
      <c r="D2217" s="2"/>
      <c r="E2217" s="2"/>
      <c r="F2217" s="2"/>
      <c r="G2217" s="2"/>
      <c r="H2217" s="2"/>
      <c r="I2217" s="5"/>
    </row>
    <row r="2218" spans="1:9" ht="17.399999999999999" x14ac:dyDescent="0.25">
      <c r="A2218" s="16"/>
      <c r="B2218" s="17"/>
      <c r="C2218" s="2" t="b">
        <v>0</v>
      </c>
      <c r="D2218" s="2"/>
      <c r="E2218" s="2"/>
      <c r="F2218" s="2"/>
      <c r="G2218" s="2"/>
      <c r="H2218" s="2"/>
      <c r="I2218" s="5"/>
    </row>
    <row r="2219" spans="1:9" ht="17.399999999999999" x14ac:dyDescent="0.25">
      <c r="A2219" s="16"/>
      <c r="B2219" s="17"/>
      <c r="C2219" s="2" t="b">
        <v>0</v>
      </c>
      <c r="D2219" s="2"/>
      <c r="E2219" s="2"/>
      <c r="F2219" s="2"/>
      <c r="G2219" s="2"/>
      <c r="H2219" s="2"/>
      <c r="I2219" s="5"/>
    </row>
    <row r="2220" spans="1:9" ht="17.399999999999999" x14ac:dyDescent="0.25">
      <c r="A2220" s="16"/>
      <c r="B2220" s="17"/>
      <c r="C2220" s="2" t="b">
        <v>0</v>
      </c>
      <c r="D2220" s="2"/>
      <c r="E2220" s="2"/>
      <c r="F2220" s="2"/>
      <c r="G2220" s="2"/>
      <c r="H2220" s="2"/>
      <c r="I2220" s="5"/>
    </row>
    <row r="2221" spans="1:9" ht="17.399999999999999" x14ac:dyDescent="0.25">
      <c r="A2221" s="16"/>
      <c r="B2221" s="17"/>
      <c r="C2221" s="2" t="b">
        <v>0</v>
      </c>
      <c r="D2221" s="2"/>
      <c r="E2221" s="2"/>
      <c r="F2221" s="2"/>
      <c r="G2221" s="2"/>
      <c r="H2221" s="2"/>
      <c r="I2221" s="5"/>
    </row>
    <row r="2222" spans="1:9" ht="17.399999999999999" x14ac:dyDescent="0.25">
      <c r="A2222" s="16"/>
      <c r="B2222" s="17"/>
      <c r="C2222" s="2" t="b">
        <v>0</v>
      </c>
      <c r="D2222" s="2"/>
      <c r="E2222" s="2"/>
      <c r="F2222" s="2"/>
      <c r="G2222" s="2"/>
      <c r="H2222" s="2"/>
      <c r="I2222" s="5"/>
    </row>
    <row r="2223" spans="1:9" ht="17.399999999999999" x14ac:dyDescent="0.25">
      <c r="A2223" s="16"/>
      <c r="B2223" s="17"/>
      <c r="C2223" s="2" t="b">
        <v>0</v>
      </c>
      <c r="D2223" s="2"/>
      <c r="E2223" s="2"/>
      <c r="F2223" s="2"/>
      <c r="G2223" s="2"/>
      <c r="H2223" s="2"/>
      <c r="I2223" s="5"/>
    </row>
    <row r="2224" spans="1:9" ht="17.399999999999999" x14ac:dyDescent="0.25">
      <c r="A2224" s="16"/>
      <c r="B2224" s="17"/>
      <c r="C2224" s="2" t="b">
        <v>0</v>
      </c>
      <c r="D2224" s="2"/>
      <c r="E2224" s="2"/>
      <c r="F2224" s="2"/>
      <c r="G2224" s="2"/>
      <c r="H2224" s="2"/>
      <c r="I2224" s="5"/>
    </row>
    <row r="2225" spans="1:9" ht="17.399999999999999" x14ac:dyDescent="0.25">
      <c r="A2225" s="16"/>
      <c r="B2225" s="17"/>
      <c r="C2225" s="2" t="b">
        <v>0</v>
      </c>
      <c r="D2225" s="2"/>
      <c r="E2225" s="2"/>
      <c r="F2225" s="2"/>
      <c r="G2225" s="2"/>
      <c r="H2225" s="2"/>
      <c r="I2225" s="5"/>
    </row>
    <row r="2226" spans="1:9" ht="17.399999999999999" x14ac:dyDescent="0.25">
      <c r="A2226" s="16"/>
      <c r="B2226" s="17"/>
      <c r="C2226" s="2" t="b">
        <v>0</v>
      </c>
      <c r="D2226" s="2"/>
      <c r="E2226" s="2"/>
      <c r="F2226" s="2"/>
      <c r="G2226" s="2"/>
      <c r="H2226" s="2"/>
      <c r="I2226" s="5"/>
    </row>
    <row r="2227" spans="1:9" ht="17.399999999999999" x14ac:dyDescent="0.25">
      <c r="A2227" s="16"/>
      <c r="B2227" s="17"/>
      <c r="C2227" s="2" t="b">
        <v>0</v>
      </c>
      <c r="D2227" s="2"/>
      <c r="E2227" s="2"/>
      <c r="F2227" s="2"/>
      <c r="G2227" s="2"/>
      <c r="H2227" s="2"/>
      <c r="I2227" s="5"/>
    </row>
    <row r="2228" spans="1:9" ht="17.399999999999999" x14ac:dyDescent="0.25">
      <c r="A2228" s="16"/>
      <c r="B2228" s="17"/>
      <c r="C2228" s="2" t="b">
        <v>0</v>
      </c>
      <c r="D2228" s="2"/>
      <c r="E2228" s="2"/>
      <c r="F2228" s="2"/>
      <c r="G2228" s="2"/>
      <c r="H2228" s="2"/>
      <c r="I2228" s="5"/>
    </row>
    <row r="2229" spans="1:9" ht="17.399999999999999" x14ac:dyDescent="0.25">
      <c r="A2229" s="16"/>
      <c r="B2229" s="17"/>
      <c r="C2229" s="2" t="b">
        <v>0</v>
      </c>
      <c r="D2229" s="2"/>
      <c r="E2229" s="2"/>
      <c r="F2229" s="2"/>
      <c r="G2229" s="2"/>
      <c r="H2229" s="2"/>
      <c r="I2229" s="5"/>
    </row>
    <row r="2230" spans="1:9" ht="17.399999999999999" x14ac:dyDescent="0.25">
      <c r="A2230" s="16"/>
      <c r="B2230" s="17"/>
      <c r="C2230" s="2" t="b">
        <v>0</v>
      </c>
      <c r="D2230" s="2"/>
      <c r="E2230" s="2"/>
      <c r="F2230" s="2"/>
      <c r="G2230" s="2"/>
      <c r="H2230" s="2"/>
      <c r="I2230" s="5"/>
    </row>
    <row r="2231" spans="1:9" ht="17.399999999999999" x14ac:dyDescent="0.25">
      <c r="A2231" s="16"/>
      <c r="B2231" s="17"/>
      <c r="C2231" s="2" t="b">
        <v>0</v>
      </c>
      <c r="D2231" s="2"/>
      <c r="E2231" s="2"/>
      <c r="F2231" s="2"/>
      <c r="G2231" s="2"/>
      <c r="H2231" s="2"/>
      <c r="I2231" s="5"/>
    </row>
    <row r="2232" spans="1:9" ht="17.399999999999999" x14ac:dyDescent="0.25">
      <c r="A2232" s="16"/>
      <c r="B2232" s="17"/>
      <c r="C2232" s="2" t="b">
        <v>0</v>
      </c>
      <c r="D2232" s="2"/>
      <c r="E2232" s="2"/>
      <c r="F2232" s="2"/>
      <c r="G2232" s="2"/>
      <c r="H2232" s="2"/>
      <c r="I2232" s="5"/>
    </row>
    <row r="2233" spans="1:9" ht="17.399999999999999" x14ac:dyDescent="0.25">
      <c r="A2233" s="16"/>
      <c r="B2233" s="17"/>
      <c r="C2233" s="2" t="b">
        <v>0</v>
      </c>
      <c r="D2233" s="2"/>
      <c r="E2233" s="2"/>
      <c r="F2233" s="2"/>
      <c r="G2233" s="2"/>
      <c r="H2233" s="2"/>
      <c r="I2233" s="5"/>
    </row>
    <row r="2234" spans="1:9" ht="17.399999999999999" x14ac:dyDescent="0.25">
      <c r="A2234" s="16"/>
      <c r="B2234" s="17"/>
      <c r="C2234" s="2" t="b">
        <v>0</v>
      </c>
      <c r="D2234" s="2"/>
      <c r="E2234" s="2"/>
      <c r="F2234" s="2"/>
      <c r="G2234" s="2"/>
      <c r="H2234" s="2"/>
      <c r="I2234" s="5"/>
    </row>
    <row r="2235" spans="1:9" ht="17.399999999999999" x14ac:dyDescent="0.25">
      <c r="A2235" s="16"/>
      <c r="B2235" s="17"/>
      <c r="C2235" s="2" t="b">
        <v>0</v>
      </c>
      <c r="D2235" s="2"/>
      <c r="E2235" s="2"/>
      <c r="F2235" s="2"/>
      <c r="G2235" s="2"/>
      <c r="H2235" s="2"/>
      <c r="I2235" s="5"/>
    </row>
    <row r="2236" spans="1:9" ht="17.399999999999999" x14ac:dyDescent="0.25">
      <c r="A2236" s="16"/>
      <c r="B2236" s="17"/>
      <c r="C2236" s="2" t="b">
        <v>0</v>
      </c>
      <c r="D2236" s="2"/>
      <c r="E2236" s="2"/>
      <c r="F2236" s="2"/>
      <c r="G2236" s="2"/>
      <c r="H2236" s="2"/>
      <c r="I2236" s="5"/>
    </row>
    <row r="2237" spans="1:9" ht="17.399999999999999" x14ac:dyDescent="0.25">
      <c r="A2237" s="16"/>
      <c r="B2237" s="17"/>
      <c r="C2237" s="2" t="b">
        <v>0</v>
      </c>
      <c r="D2237" s="2"/>
      <c r="E2237" s="2"/>
      <c r="F2237" s="2"/>
      <c r="G2237" s="2"/>
      <c r="H2237" s="2"/>
      <c r="I2237" s="5"/>
    </row>
    <row r="2238" spans="1:9" ht="17.399999999999999" x14ac:dyDescent="0.25">
      <c r="A2238" s="16"/>
      <c r="B2238" s="17"/>
      <c r="C2238" s="2" t="b">
        <v>0</v>
      </c>
      <c r="D2238" s="2"/>
      <c r="E2238" s="2"/>
      <c r="F2238" s="2"/>
      <c r="G2238" s="2"/>
      <c r="H2238" s="2"/>
      <c r="I2238" s="5"/>
    </row>
    <row r="2239" spans="1:9" ht="17.399999999999999" x14ac:dyDescent="0.25">
      <c r="A2239" s="16"/>
      <c r="B2239" s="17"/>
      <c r="C2239" s="2" t="b">
        <v>0</v>
      </c>
      <c r="D2239" s="2"/>
      <c r="E2239" s="2"/>
      <c r="F2239" s="2"/>
      <c r="G2239" s="2"/>
      <c r="H2239" s="2"/>
      <c r="I2239" s="5"/>
    </row>
    <row r="2240" spans="1:9" ht="17.399999999999999" x14ac:dyDescent="0.25">
      <c r="A2240" s="16"/>
      <c r="B2240" s="17"/>
      <c r="C2240" s="2" t="b">
        <v>0</v>
      </c>
      <c r="D2240" s="2"/>
      <c r="E2240" s="2"/>
      <c r="F2240" s="2"/>
      <c r="G2240" s="2"/>
      <c r="H2240" s="2"/>
      <c r="I2240" s="5"/>
    </row>
    <row r="2241" spans="1:9" ht="17.399999999999999" x14ac:dyDescent="0.25">
      <c r="A2241" s="16"/>
      <c r="B2241" s="17"/>
      <c r="C2241" s="2" t="b">
        <v>0</v>
      </c>
      <c r="D2241" s="2"/>
      <c r="E2241" s="2"/>
      <c r="F2241" s="2"/>
      <c r="G2241" s="2"/>
      <c r="H2241" s="2"/>
      <c r="I2241" s="5"/>
    </row>
    <row r="2242" spans="1:9" ht="17.399999999999999" x14ac:dyDescent="0.25">
      <c r="A2242" s="16"/>
      <c r="B2242" s="17"/>
      <c r="C2242" s="2" t="b">
        <v>0</v>
      </c>
      <c r="D2242" s="2"/>
      <c r="E2242" s="2"/>
      <c r="F2242" s="2"/>
      <c r="G2242" s="2"/>
      <c r="H2242" s="2"/>
      <c r="I2242" s="5"/>
    </row>
    <row r="2243" spans="1:9" ht="17.399999999999999" x14ac:dyDescent="0.25">
      <c r="A2243" s="16"/>
      <c r="B2243" s="17"/>
      <c r="C2243" s="2" t="b">
        <v>0</v>
      </c>
      <c r="D2243" s="2"/>
      <c r="E2243" s="2"/>
      <c r="F2243" s="2"/>
      <c r="G2243" s="2"/>
      <c r="H2243" s="2"/>
      <c r="I2243" s="5"/>
    </row>
    <row r="2244" spans="1:9" ht="17.399999999999999" x14ac:dyDescent="0.25">
      <c r="A2244" s="16"/>
      <c r="B2244" s="17"/>
      <c r="C2244" s="2" t="b">
        <v>0</v>
      </c>
      <c r="D2244" s="2"/>
      <c r="E2244" s="2"/>
      <c r="F2244" s="2"/>
      <c r="G2244" s="2"/>
      <c r="H2244" s="2"/>
      <c r="I2244" s="5"/>
    </row>
    <row r="2245" spans="1:9" ht="17.399999999999999" x14ac:dyDescent="0.25">
      <c r="A2245" s="16"/>
      <c r="B2245" s="17"/>
      <c r="C2245" s="2" t="b">
        <v>0</v>
      </c>
      <c r="D2245" s="2"/>
      <c r="E2245" s="2"/>
      <c r="F2245" s="2"/>
      <c r="G2245" s="2"/>
      <c r="H2245" s="2"/>
      <c r="I2245" s="5"/>
    </row>
    <row r="2246" spans="1:9" ht="17.399999999999999" x14ac:dyDescent="0.25">
      <c r="A2246" s="16"/>
      <c r="B2246" s="17"/>
      <c r="C2246" s="2" t="b">
        <v>0</v>
      </c>
      <c r="D2246" s="2"/>
      <c r="E2246" s="2"/>
      <c r="F2246" s="2"/>
      <c r="G2246" s="2"/>
      <c r="H2246" s="2"/>
      <c r="I2246" s="5"/>
    </row>
    <row r="2247" spans="1:9" ht="17.399999999999999" x14ac:dyDescent="0.25">
      <c r="A2247" s="16"/>
      <c r="B2247" s="17"/>
      <c r="C2247" s="2" t="b">
        <v>0</v>
      </c>
      <c r="D2247" s="2"/>
      <c r="E2247" s="2"/>
      <c r="F2247" s="2"/>
      <c r="G2247" s="2"/>
      <c r="H2247" s="2"/>
      <c r="I2247" s="5"/>
    </row>
    <row r="2248" spans="1:9" ht="17.399999999999999" x14ac:dyDescent="0.25">
      <c r="A2248" s="16"/>
      <c r="B2248" s="17"/>
      <c r="C2248" s="2" t="b">
        <v>0</v>
      </c>
      <c r="D2248" s="2"/>
      <c r="E2248" s="2"/>
      <c r="F2248" s="2"/>
      <c r="G2248" s="2"/>
      <c r="H2248" s="2"/>
      <c r="I2248" s="5"/>
    </row>
    <row r="2249" spans="1:9" ht="17.399999999999999" x14ac:dyDescent="0.25">
      <c r="A2249" s="16"/>
      <c r="B2249" s="17"/>
      <c r="C2249" s="2" t="b">
        <v>0</v>
      </c>
      <c r="D2249" s="2"/>
      <c r="E2249" s="2"/>
      <c r="F2249" s="2"/>
      <c r="G2249" s="2"/>
      <c r="H2249" s="2"/>
      <c r="I2249" s="5"/>
    </row>
    <row r="2250" spans="1:9" ht="17.399999999999999" x14ac:dyDescent="0.25">
      <c r="A2250" s="16"/>
      <c r="B2250" s="17"/>
      <c r="C2250" s="2" t="b">
        <v>0</v>
      </c>
      <c r="D2250" s="2"/>
      <c r="E2250" s="2"/>
      <c r="F2250" s="2"/>
      <c r="G2250" s="2"/>
      <c r="H2250" s="2"/>
      <c r="I2250" s="5"/>
    </row>
    <row r="2251" spans="1:9" ht="17.399999999999999" x14ac:dyDescent="0.25">
      <c r="A2251" s="16"/>
      <c r="B2251" s="17"/>
      <c r="C2251" s="2" t="b">
        <v>0</v>
      </c>
      <c r="D2251" s="2"/>
      <c r="E2251" s="2"/>
      <c r="F2251" s="2"/>
      <c r="G2251" s="2"/>
      <c r="H2251" s="2"/>
      <c r="I2251" s="5"/>
    </row>
    <row r="2252" spans="1:9" ht="17.399999999999999" x14ac:dyDescent="0.25">
      <c r="A2252" s="16"/>
      <c r="B2252" s="17"/>
      <c r="C2252" s="2" t="b">
        <v>0</v>
      </c>
      <c r="D2252" s="2"/>
      <c r="E2252" s="2"/>
      <c r="F2252" s="2"/>
      <c r="G2252" s="2"/>
      <c r="H2252" s="2"/>
      <c r="I2252" s="5"/>
    </row>
    <row r="2253" spans="1:9" ht="17.399999999999999" x14ac:dyDescent="0.25">
      <c r="A2253" s="16"/>
      <c r="B2253" s="17"/>
      <c r="C2253" s="2" t="b">
        <v>0</v>
      </c>
      <c r="D2253" s="2"/>
      <c r="E2253" s="2"/>
      <c r="F2253" s="2"/>
      <c r="G2253" s="2"/>
      <c r="H2253" s="2"/>
      <c r="I2253" s="5"/>
    </row>
    <row r="2254" spans="1:9" ht="17.399999999999999" x14ac:dyDescent="0.25">
      <c r="A2254" s="16"/>
      <c r="B2254" s="17"/>
      <c r="C2254" s="2" t="b">
        <v>0</v>
      </c>
      <c r="D2254" s="2"/>
      <c r="E2254" s="2"/>
      <c r="F2254" s="2"/>
      <c r="G2254" s="2"/>
      <c r="H2254" s="2"/>
      <c r="I2254" s="5"/>
    </row>
    <row r="2255" spans="1:9" ht="17.399999999999999" x14ac:dyDescent="0.25">
      <c r="A2255" s="16"/>
      <c r="B2255" s="17"/>
      <c r="C2255" s="2" t="b">
        <v>0</v>
      </c>
      <c r="D2255" s="2"/>
      <c r="E2255" s="2"/>
      <c r="F2255" s="2"/>
      <c r="G2255" s="2"/>
      <c r="H2255" s="2"/>
      <c r="I2255" s="5"/>
    </row>
    <row r="2256" spans="1:9" ht="17.399999999999999" x14ac:dyDescent="0.25">
      <c r="A2256" s="16"/>
      <c r="B2256" s="17"/>
      <c r="C2256" s="2" t="b">
        <v>0</v>
      </c>
      <c r="D2256" s="2"/>
      <c r="E2256" s="2"/>
      <c r="F2256" s="2"/>
      <c r="G2256" s="2"/>
      <c r="H2256" s="2"/>
      <c r="I2256" s="5"/>
    </row>
    <row r="2257" spans="1:9" ht="17.399999999999999" x14ac:dyDescent="0.25">
      <c r="A2257" s="16"/>
      <c r="B2257" s="17"/>
      <c r="C2257" s="2" t="b">
        <v>0</v>
      </c>
      <c r="D2257" s="2"/>
      <c r="E2257" s="2"/>
      <c r="F2257" s="2"/>
      <c r="G2257" s="2"/>
      <c r="H2257" s="2"/>
      <c r="I2257" s="5"/>
    </row>
    <row r="2258" spans="1:9" ht="17.399999999999999" x14ac:dyDescent="0.25">
      <c r="A2258" s="16"/>
      <c r="B2258" s="17"/>
      <c r="C2258" s="2" t="b">
        <v>0</v>
      </c>
      <c r="D2258" s="2"/>
      <c r="E2258" s="2"/>
      <c r="F2258" s="2"/>
      <c r="G2258" s="2"/>
      <c r="H2258" s="2"/>
      <c r="I2258" s="5"/>
    </row>
    <row r="2259" spans="1:9" ht="17.399999999999999" x14ac:dyDescent="0.25">
      <c r="A2259" s="16"/>
      <c r="B2259" s="17"/>
      <c r="C2259" s="2" t="b">
        <v>0</v>
      </c>
      <c r="D2259" s="2"/>
      <c r="E2259" s="2"/>
      <c r="F2259" s="2"/>
      <c r="G2259" s="2"/>
      <c r="H2259" s="2"/>
      <c r="I2259" s="5"/>
    </row>
    <row r="2260" spans="1:9" ht="17.399999999999999" x14ac:dyDescent="0.25">
      <c r="A2260" s="16"/>
      <c r="B2260" s="17"/>
      <c r="C2260" s="2" t="b">
        <v>0</v>
      </c>
      <c r="D2260" s="2"/>
      <c r="E2260" s="2"/>
      <c r="F2260" s="2"/>
      <c r="G2260" s="2"/>
      <c r="H2260" s="2"/>
      <c r="I2260" s="5"/>
    </row>
    <row r="2261" spans="1:9" ht="17.399999999999999" x14ac:dyDescent="0.25">
      <c r="A2261" s="16"/>
      <c r="B2261" s="17"/>
      <c r="C2261" s="2" t="b">
        <v>0</v>
      </c>
      <c r="D2261" s="2"/>
      <c r="E2261" s="2"/>
      <c r="F2261" s="2"/>
      <c r="G2261" s="2"/>
      <c r="H2261" s="2"/>
      <c r="I2261" s="5"/>
    </row>
    <row r="2262" spans="1:9" ht="17.399999999999999" x14ac:dyDescent="0.25">
      <c r="A2262" s="16"/>
      <c r="B2262" s="17"/>
      <c r="C2262" s="2" t="b">
        <v>0</v>
      </c>
      <c r="D2262" s="2"/>
      <c r="E2262" s="2"/>
      <c r="F2262" s="2"/>
      <c r="G2262" s="2"/>
      <c r="H2262" s="2"/>
      <c r="I2262" s="5"/>
    </row>
    <row r="2263" spans="1:9" ht="17.399999999999999" x14ac:dyDescent="0.25">
      <c r="A2263" s="16"/>
      <c r="B2263" s="17"/>
      <c r="C2263" s="2" t="b">
        <v>0</v>
      </c>
      <c r="D2263" s="2"/>
      <c r="E2263" s="2"/>
      <c r="F2263" s="2"/>
      <c r="G2263" s="2"/>
      <c r="H2263" s="2"/>
      <c r="I2263" s="5"/>
    </row>
    <row r="2264" spans="1:9" ht="17.399999999999999" x14ac:dyDescent="0.25">
      <c r="A2264" s="16"/>
      <c r="B2264" s="17"/>
      <c r="C2264" s="2" t="b">
        <v>0</v>
      </c>
      <c r="D2264" s="2"/>
      <c r="E2264" s="2"/>
      <c r="F2264" s="2"/>
      <c r="G2264" s="2"/>
      <c r="H2264" s="2"/>
      <c r="I2264" s="5"/>
    </row>
    <row r="2265" spans="1:9" ht="17.399999999999999" x14ac:dyDescent="0.25">
      <c r="A2265" s="16"/>
      <c r="B2265" s="17"/>
      <c r="C2265" s="2" t="b">
        <v>0</v>
      </c>
      <c r="D2265" s="2"/>
      <c r="E2265" s="2"/>
      <c r="F2265" s="2"/>
      <c r="G2265" s="2"/>
      <c r="H2265" s="2"/>
      <c r="I2265" s="5"/>
    </row>
    <row r="2266" spans="1:9" ht="17.399999999999999" x14ac:dyDescent="0.25">
      <c r="A2266" s="16"/>
      <c r="B2266" s="17"/>
      <c r="C2266" s="2" t="b">
        <v>0</v>
      </c>
      <c r="D2266" s="2"/>
      <c r="E2266" s="2"/>
      <c r="F2266" s="2"/>
      <c r="G2266" s="2"/>
      <c r="H2266" s="2"/>
      <c r="I2266" s="5"/>
    </row>
    <row r="2267" spans="1:9" ht="17.399999999999999" x14ac:dyDescent="0.25">
      <c r="A2267" s="16"/>
      <c r="B2267" s="17"/>
      <c r="C2267" s="2" t="b">
        <v>0</v>
      </c>
      <c r="D2267" s="2"/>
      <c r="E2267" s="2"/>
      <c r="F2267" s="2"/>
      <c r="G2267" s="2"/>
      <c r="H2267" s="2"/>
      <c r="I2267" s="5"/>
    </row>
    <row r="2268" spans="1:9" ht="17.399999999999999" x14ac:dyDescent="0.25">
      <c r="A2268" s="16"/>
      <c r="B2268" s="17"/>
      <c r="C2268" s="2" t="b">
        <v>0</v>
      </c>
      <c r="D2268" s="2"/>
      <c r="E2268" s="2"/>
      <c r="F2268" s="2"/>
      <c r="G2268" s="2"/>
      <c r="H2268" s="2"/>
      <c r="I2268" s="5"/>
    </row>
    <row r="2269" spans="1:9" ht="17.399999999999999" x14ac:dyDescent="0.25">
      <c r="A2269" s="16"/>
      <c r="B2269" s="17"/>
      <c r="C2269" s="2" t="b">
        <v>0</v>
      </c>
      <c r="D2269" s="2"/>
      <c r="E2269" s="2"/>
      <c r="F2269" s="2"/>
      <c r="G2269" s="2"/>
      <c r="H2269" s="2"/>
      <c r="I2269" s="5"/>
    </row>
    <row r="2270" spans="1:9" ht="17.399999999999999" x14ac:dyDescent="0.25">
      <c r="A2270" s="16"/>
      <c r="B2270" s="17"/>
      <c r="C2270" s="2" t="b">
        <v>0</v>
      </c>
      <c r="D2270" s="2"/>
      <c r="E2270" s="2"/>
      <c r="F2270" s="2"/>
      <c r="G2270" s="2"/>
      <c r="H2270" s="2"/>
      <c r="I2270" s="5"/>
    </row>
    <row r="2271" spans="1:9" ht="17.399999999999999" x14ac:dyDescent="0.25">
      <c r="A2271" s="16"/>
      <c r="B2271" s="17"/>
      <c r="C2271" s="2" t="b">
        <v>0</v>
      </c>
      <c r="D2271" s="2"/>
      <c r="E2271" s="2"/>
      <c r="F2271" s="2"/>
      <c r="G2271" s="2"/>
      <c r="H2271" s="2"/>
      <c r="I2271" s="5"/>
    </row>
    <row r="2272" spans="1:9" ht="17.399999999999999" x14ac:dyDescent="0.25">
      <c r="A2272" s="16"/>
      <c r="B2272" s="17"/>
      <c r="C2272" s="2" t="b">
        <v>0</v>
      </c>
      <c r="D2272" s="2"/>
      <c r="E2272" s="2"/>
      <c r="F2272" s="2"/>
      <c r="G2272" s="2"/>
      <c r="H2272" s="2"/>
      <c r="I2272" s="5"/>
    </row>
    <row r="2273" spans="1:9" ht="17.399999999999999" x14ac:dyDescent="0.25">
      <c r="A2273" s="16"/>
      <c r="B2273" s="17"/>
      <c r="C2273" s="2" t="b">
        <v>0</v>
      </c>
      <c r="D2273" s="2"/>
      <c r="E2273" s="2"/>
      <c r="F2273" s="2"/>
      <c r="G2273" s="2"/>
      <c r="H2273" s="2"/>
      <c r="I2273" s="5"/>
    </row>
    <row r="2274" spans="1:9" ht="17.399999999999999" x14ac:dyDescent="0.25">
      <c r="A2274" s="16"/>
      <c r="B2274" s="17"/>
      <c r="C2274" s="2" t="b">
        <v>0</v>
      </c>
      <c r="D2274" s="2"/>
      <c r="E2274" s="2"/>
      <c r="F2274" s="2"/>
      <c r="G2274" s="2"/>
      <c r="H2274" s="2"/>
      <c r="I2274" s="5"/>
    </row>
    <row r="2275" spans="1:9" ht="17.399999999999999" x14ac:dyDescent="0.25">
      <c r="A2275" s="16"/>
      <c r="B2275" s="17"/>
      <c r="C2275" s="2" t="b">
        <v>0</v>
      </c>
      <c r="D2275" s="2"/>
      <c r="E2275" s="2"/>
      <c r="F2275" s="2"/>
      <c r="G2275" s="2"/>
      <c r="H2275" s="2"/>
      <c r="I2275" s="5"/>
    </row>
    <row r="2276" spans="1:9" ht="17.399999999999999" x14ac:dyDescent="0.25">
      <c r="A2276" s="16"/>
      <c r="B2276" s="17"/>
      <c r="C2276" s="2" t="b">
        <v>0</v>
      </c>
      <c r="D2276" s="2"/>
      <c r="E2276" s="2"/>
      <c r="F2276" s="2"/>
      <c r="G2276" s="2"/>
      <c r="H2276" s="2"/>
      <c r="I2276" s="5"/>
    </row>
    <row r="2277" spans="1:9" ht="17.399999999999999" x14ac:dyDescent="0.25">
      <c r="A2277" s="16"/>
      <c r="B2277" s="17"/>
      <c r="C2277" s="2" t="b">
        <v>0</v>
      </c>
      <c r="D2277" s="2"/>
      <c r="E2277" s="2"/>
      <c r="F2277" s="2"/>
      <c r="G2277" s="2"/>
      <c r="H2277" s="2"/>
      <c r="I2277" s="5"/>
    </row>
    <row r="2278" spans="1:9" ht="17.399999999999999" x14ac:dyDescent="0.25">
      <c r="A2278" s="16"/>
      <c r="B2278" s="17"/>
      <c r="C2278" s="2" t="b">
        <v>0</v>
      </c>
      <c r="D2278" s="2"/>
      <c r="E2278" s="2"/>
      <c r="F2278" s="2"/>
      <c r="G2278" s="2"/>
      <c r="H2278" s="2"/>
      <c r="I2278" s="5"/>
    </row>
    <row r="2279" spans="1:9" ht="17.399999999999999" x14ac:dyDescent="0.25">
      <c r="A2279" s="16"/>
      <c r="B2279" s="17"/>
      <c r="C2279" s="2" t="b">
        <v>0</v>
      </c>
      <c r="D2279" s="2"/>
      <c r="E2279" s="2"/>
      <c r="F2279" s="2"/>
      <c r="G2279" s="2"/>
      <c r="H2279" s="2"/>
      <c r="I2279" s="5"/>
    </row>
    <row r="2280" spans="1:9" ht="17.399999999999999" x14ac:dyDescent="0.25">
      <c r="A2280" s="16"/>
      <c r="B2280" s="17"/>
      <c r="C2280" s="2" t="b">
        <v>0</v>
      </c>
      <c r="D2280" s="2"/>
      <c r="E2280" s="2"/>
      <c r="F2280" s="2"/>
      <c r="G2280" s="2"/>
      <c r="H2280" s="2"/>
      <c r="I2280" s="5"/>
    </row>
    <row r="2281" spans="1:9" ht="17.399999999999999" x14ac:dyDescent="0.25">
      <c r="A2281" s="16"/>
      <c r="B2281" s="17"/>
      <c r="C2281" s="2" t="b">
        <v>0</v>
      </c>
      <c r="D2281" s="2"/>
      <c r="E2281" s="2"/>
      <c r="F2281" s="2"/>
      <c r="G2281" s="2"/>
      <c r="H2281" s="2"/>
      <c r="I2281" s="5"/>
    </row>
    <row r="2282" spans="1:9" ht="17.399999999999999" x14ac:dyDescent="0.25">
      <c r="A2282" s="16"/>
      <c r="B2282" s="17"/>
      <c r="C2282" s="2" t="b">
        <v>0</v>
      </c>
      <c r="D2282" s="2"/>
      <c r="E2282" s="2"/>
      <c r="F2282" s="2"/>
      <c r="G2282" s="2"/>
      <c r="H2282" s="2"/>
      <c r="I2282" s="5"/>
    </row>
    <row r="2283" spans="1:9" ht="17.399999999999999" x14ac:dyDescent="0.25">
      <c r="A2283" s="16"/>
      <c r="B2283" s="17"/>
      <c r="C2283" s="2" t="b">
        <v>0</v>
      </c>
      <c r="D2283" s="2"/>
      <c r="E2283" s="2"/>
      <c r="F2283" s="2"/>
      <c r="G2283" s="2"/>
      <c r="H2283" s="2"/>
      <c r="I2283" s="5"/>
    </row>
    <row r="2284" spans="1:9" ht="17.399999999999999" x14ac:dyDescent="0.25">
      <c r="A2284" s="16"/>
      <c r="B2284" s="17"/>
      <c r="C2284" s="2" t="b">
        <v>0</v>
      </c>
      <c r="D2284" s="2"/>
      <c r="E2284" s="2"/>
      <c r="F2284" s="2"/>
      <c r="G2284" s="2"/>
      <c r="H2284" s="2"/>
      <c r="I2284" s="5"/>
    </row>
    <row r="2285" spans="1:9" ht="17.399999999999999" x14ac:dyDescent="0.25">
      <c r="A2285" s="16"/>
      <c r="B2285" s="17"/>
      <c r="C2285" s="2" t="b">
        <v>0</v>
      </c>
      <c r="D2285" s="2"/>
      <c r="E2285" s="2"/>
      <c r="F2285" s="2"/>
      <c r="G2285" s="2"/>
      <c r="H2285" s="2"/>
      <c r="I2285" s="5"/>
    </row>
    <row r="2286" spans="1:9" ht="17.399999999999999" x14ac:dyDescent="0.25">
      <c r="A2286" s="16"/>
      <c r="B2286" s="17"/>
      <c r="C2286" s="2" t="b">
        <v>0</v>
      </c>
      <c r="D2286" s="2"/>
      <c r="E2286" s="2"/>
      <c r="F2286" s="2"/>
      <c r="G2286" s="2"/>
      <c r="H2286" s="2"/>
      <c r="I2286" s="5"/>
    </row>
    <row r="2287" spans="1:9" ht="17.399999999999999" x14ac:dyDescent="0.25">
      <c r="A2287" s="16"/>
      <c r="B2287" s="17"/>
      <c r="C2287" s="2" t="b">
        <v>0</v>
      </c>
      <c r="D2287" s="2"/>
      <c r="E2287" s="2"/>
      <c r="F2287" s="2"/>
      <c r="G2287" s="2"/>
      <c r="H2287" s="2"/>
      <c r="I2287" s="5"/>
    </row>
    <row r="2288" spans="1:9" ht="17.399999999999999" x14ac:dyDescent="0.25">
      <c r="A2288" s="16"/>
      <c r="B2288" s="17"/>
      <c r="C2288" s="2" t="b">
        <v>0</v>
      </c>
      <c r="D2288" s="2"/>
      <c r="E2288" s="2"/>
      <c r="F2288" s="2"/>
      <c r="G2288" s="2"/>
      <c r="H2288" s="2"/>
      <c r="I2288" s="5"/>
    </row>
    <row r="2289" spans="1:9" ht="17.399999999999999" x14ac:dyDescent="0.25">
      <c r="A2289" s="16"/>
      <c r="B2289" s="17"/>
      <c r="C2289" s="2" t="b">
        <v>0</v>
      </c>
      <c r="D2289" s="2"/>
      <c r="E2289" s="2"/>
      <c r="F2289" s="2"/>
      <c r="G2289" s="2"/>
      <c r="H2289" s="2"/>
      <c r="I2289" s="5"/>
    </row>
    <row r="2290" spans="1:9" ht="17.399999999999999" x14ac:dyDescent="0.25">
      <c r="A2290" s="16"/>
      <c r="B2290" s="17"/>
      <c r="C2290" s="2" t="b">
        <v>0</v>
      </c>
      <c r="D2290" s="2"/>
      <c r="E2290" s="2"/>
      <c r="F2290" s="2"/>
      <c r="G2290" s="2"/>
      <c r="H2290" s="2"/>
      <c r="I2290" s="5"/>
    </row>
    <row r="2291" spans="1:9" ht="17.399999999999999" x14ac:dyDescent="0.25">
      <c r="A2291" s="16"/>
      <c r="B2291" s="17"/>
      <c r="C2291" s="2" t="b">
        <v>0</v>
      </c>
      <c r="D2291" s="2"/>
      <c r="E2291" s="2"/>
      <c r="F2291" s="2"/>
      <c r="G2291" s="2"/>
      <c r="H2291" s="2"/>
      <c r="I2291" s="5"/>
    </row>
    <row r="2292" spans="1:9" ht="17.399999999999999" x14ac:dyDescent="0.25">
      <c r="A2292" s="16"/>
      <c r="B2292" s="17"/>
      <c r="C2292" s="2" t="b">
        <v>0</v>
      </c>
      <c r="D2292" s="2"/>
      <c r="E2292" s="2"/>
      <c r="F2292" s="2"/>
      <c r="G2292" s="2"/>
      <c r="H2292" s="2"/>
      <c r="I2292" s="5"/>
    </row>
    <row r="2293" spans="1:9" ht="17.399999999999999" x14ac:dyDescent="0.25">
      <c r="A2293" s="16"/>
      <c r="B2293" s="17"/>
      <c r="C2293" s="2" t="b">
        <v>0</v>
      </c>
      <c r="D2293" s="2"/>
      <c r="E2293" s="2"/>
      <c r="F2293" s="2"/>
      <c r="G2293" s="2"/>
      <c r="H2293" s="2"/>
      <c r="I2293" s="5"/>
    </row>
    <row r="2294" spans="1:9" ht="17.399999999999999" x14ac:dyDescent="0.25">
      <c r="A2294" s="16"/>
      <c r="B2294" s="17"/>
      <c r="C2294" s="2" t="b">
        <v>0</v>
      </c>
      <c r="D2294" s="2"/>
      <c r="E2294" s="2"/>
      <c r="F2294" s="2"/>
      <c r="G2294" s="2"/>
      <c r="H2294" s="2"/>
      <c r="I2294" s="5"/>
    </row>
    <row r="2295" spans="1:9" ht="17.399999999999999" x14ac:dyDescent="0.25">
      <c r="A2295" s="16"/>
      <c r="B2295" s="17"/>
      <c r="C2295" s="2" t="b">
        <v>0</v>
      </c>
      <c r="D2295" s="2"/>
      <c r="E2295" s="2"/>
      <c r="F2295" s="2"/>
      <c r="G2295" s="2"/>
      <c r="H2295" s="2"/>
      <c r="I2295" s="5"/>
    </row>
    <row r="2296" spans="1:9" ht="17.399999999999999" x14ac:dyDescent="0.25">
      <c r="A2296" s="16"/>
      <c r="B2296" s="17"/>
      <c r="C2296" s="2" t="b">
        <v>0</v>
      </c>
      <c r="D2296" s="2"/>
      <c r="E2296" s="2"/>
      <c r="F2296" s="2"/>
      <c r="G2296" s="2"/>
      <c r="H2296" s="2"/>
      <c r="I2296" s="5"/>
    </row>
    <row r="2297" spans="1:9" ht="17.399999999999999" x14ac:dyDescent="0.25">
      <c r="A2297" s="16"/>
      <c r="B2297" s="17"/>
      <c r="C2297" s="2" t="b">
        <v>0</v>
      </c>
      <c r="D2297" s="2"/>
      <c r="E2297" s="2"/>
      <c r="F2297" s="2"/>
      <c r="G2297" s="2"/>
      <c r="H2297" s="2"/>
      <c r="I2297" s="5"/>
    </row>
    <row r="2298" spans="1:9" ht="17.399999999999999" x14ac:dyDescent="0.25">
      <c r="A2298" s="16"/>
      <c r="B2298" s="17"/>
      <c r="C2298" s="2" t="b">
        <v>0</v>
      </c>
      <c r="D2298" s="2"/>
      <c r="E2298" s="2"/>
      <c r="F2298" s="2"/>
      <c r="G2298" s="2"/>
      <c r="H2298" s="2"/>
      <c r="I2298" s="5"/>
    </row>
    <row r="2299" spans="1:9" ht="17.399999999999999" x14ac:dyDescent="0.25">
      <c r="A2299" s="16"/>
      <c r="B2299" s="17"/>
      <c r="C2299" s="2" t="b">
        <v>0</v>
      </c>
      <c r="D2299" s="2"/>
      <c r="E2299" s="2"/>
      <c r="F2299" s="2"/>
      <c r="G2299" s="2"/>
      <c r="H2299" s="2"/>
      <c r="I2299" s="5"/>
    </row>
    <row r="2300" spans="1:9" ht="17.399999999999999" x14ac:dyDescent="0.25">
      <c r="A2300" s="16"/>
      <c r="B2300" s="17"/>
      <c r="C2300" s="2" t="b">
        <v>0</v>
      </c>
      <c r="D2300" s="2"/>
      <c r="E2300" s="2"/>
      <c r="F2300" s="2"/>
      <c r="G2300" s="2"/>
      <c r="H2300" s="2"/>
      <c r="I2300" s="5"/>
    </row>
    <row r="2301" spans="1:9" ht="17.399999999999999" x14ac:dyDescent="0.25">
      <c r="A2301" s="16"/>
      <c r="B2301" s="17"/>
      <c r="C2301" s="2" t="b">
        <v>0</v>
      </c>
      <c r="D2301" s="2"/>
      <c r="E2301" s="2"/>
      <c r="F2301" s="2"/>
      <c r="G2301" s="2"/>
      <c r="H2301" s="2"/>
      <c r="I2301" s="5"/>
    </row>
    <row r="2302" spans="1:9" ht="17.399999999999999" x14ac:dyDescent="0.25">
      <c r="A2302" s="16"/>
      <c r="B2302" s="17"/>
      <c r="C2302" s="2" t="b">
        <v>0</v>
      </c>
      <c r="D2302" s="2"/>
      <c r="E2302" s="2"/>
      <c r="F2302" s="2"/>
      <c r="G2302" s="2"/>
      <c r="H2302" s="2"/>
      <c r="I2302" s="5"/>
    </row>
    <row r="2303" spans="1:9" ht="17.399999999999999" x14ac:dyDescent="0.25">
      <c r="A2303" s="16"/>
      <c r="B2303" s="17"/>
      <c r="C2303" s="2" t="b">
        <v>0</v>
      </c>
      <c r="D2303" s="2"/>
      <c r="E2303" s="2"/>
      <c r="F2303" s="2"/>
      <c r="G2303" s="2"/>
      <c r="H2303" s="2"/>
      <c r="I2303" s="5"/>
    </row>
    <row r="2304" spans="1:9" ht="17.399999999999999" x14ac:dyDescent="0.25">
      <c r="A2304" s="16"/>
      <c r="B2304" s="17"/>
      <c r="C2304" s="2" t="b">
        <v>0</v>
      </c>
      <c r="D2304" s="2"/>
      <c r="E2304" s="2"/>
      <c r="F2304" s="2"/>
      <c r="G2304" s="2"/>
      <c r="H2304" s="2"/>
      <c r="I2304" s="5"/>
    </row>
    <row r="2305" spans="1:9" ht="17.399999999999999" x14ac:dyDescent="0.25">
      <c r="A2305" s="16"/>
      <c r="B2305" s="17"/>
      <c r="C2305" s="2" t="b">
        <v>0</v>
      </c>
      <c r="D2305" s="2"/>
      <c r="E2305" s="2"/>
      <c r="F2305" s="2"/>
      <c r="G2305" s="2"/>
      <c r="H2305" s="2"/>
      <c r="I2305" s="5"/>
    </row>
    <row r="2306" spans="1:9" ht="17.399999999999999" x14ac:dyDescent="0.25">
      <c r="A2306" s="16"/>
      <c r="B2306" s="17"/>
      <c r="C2306" s="2" t="b">
        <v>0</v>
      </c>
      <c r="D2306" s="2"/>
      <c r="E2306" s="2"/>
      <c r="F2306" s="2"/>
      <c r="G2306" s="2"/>
      <c r="H2306" s="2"/>
      <c r="I2306" s="5"/>
    </row>
    <row r="2307" spans="1:9" ht="17.399999999999999" x14ac:dyDescent="0.25">
      <c r="A2307" s="16"/>
      <c r="B2307" s="17"/>
      <c r="C2307" s="2" t="b">
        <v>0</v>
      </c>
      <c r="D2307" s="2"/>
      <c r="E2307" s="2"/>
      <c r="F2307" s="2"/>
      <c r="G2307" s="2"/>
      <c r="H2307" s="2"/>
      <c r="I2307" s="5"/>
    </row>
    <row r="2308" spans="1:9" ht="17.399999999999999" x14ac:dyDescent="0.25">
      <c r="A2308" s="16"/>
      <c r="B2308" s="17"/>
      <c r="C2308" s="2" t="b">
        <v>0</v>
      </c>
      <c r="D2308" s="2"/>
      <c r="E2308" s="2"/>
      <c r="F2308" s="2"/>
      <c r="G2308" s="2"/>
      <c r="H2308" s="2"/>
      <c r="I2308" s="5"/>
    </row>
    <row r="2309" spans="1:9" ht="17.399999999999999" x14ac:dyDescent="0.25">
      <c r="A2309" s="16"/>
      <c r="B2309" s="17"/>
      <c r="C2309" s="2" t="b">
        <v>0</v>
      </c>
      <c r="D2309" s="2"/>
      <c r="E2309" s="2"/>
      <c r="F2309" s="2"/>
      <c r="G2309" s="2"/>
      <c r="H2309" s="2"/>
      <c r="I2309" s="5"/>
    </row>
    <row r="2310" spans="1:9" ht="17.399999999999999" x14ac:dyDescent="0.25">
      <c r="A2310" s="16"/>
      <c r="B2310" s="17"/>
      <c r="C2310" s="2" t="b">
        <v>0</v>
      </c>
      <c r="D2310" s="2"/>
      <c r="E2310" s="2"/>
      <c r="F2310" s="2"/>
      <c r="G2310" s="2"/>
      <c r="H2310" s="2"/>
      <c r="I2310" s="5"/>
    </row>
    <row r="2311" spans="1:9" ht="17.399999999999999" x14ac:dyDescent="0.25">
      <c r="A2311" s="16"/>
      <c r="B2311" s="17"/>
      <c r="C2311" s="2" t="b">
        <v>0</v>
      </c>
      <c r="D2311" s="2"/>
      <c r="E2311" s="2"/>
      <c r="F2311" s="2"/>
      <c r="G2311" s="2"/>
      <c r="H2311" s="2"/>
      <c r="I2311" s="5"/>
    </row>
    <row r="2312" spans="1:9" ht="17.399999999999999" x14ac:dyDescent="0.25">
      <c r="A2312" s="16"/>
      <c r="B2312" s="17"/>
      <c r="C2312" s="2" t="b">
        <v>0</v>
      </c>
      <c r="D2312" s="2"/>
      <c r="E2312" s="2"/>
      <c r="F2312" s="2"/>
      <c r="G2312" s="2"/>
      <c r="H2312" s="2"/>
      <c r="I2312" s="5"/>
    </row>
    <row r="2313" spans="1:9" ht="17.399999999999999" x14ac:dyDescent="0.25">
      <c r="A2313" s="16"/>
      <c r="B2313" s="17"/>
      <c r="C2313" s="2" t="b">
        <v>0</v>
      </c>
      <c r="D2313" s="2"/>
      <c r="E2313" s="2"/>
      <c r="F2313" s="2"/>
      <c r="G2313" s="2"/>
      <c r="H2313" s="2"/>
      <c r="I2313" s="5"/>
    </row>
    <row r="2314" spans="1:9" ht="17.399999999999999" x14ac:dyDescent="0.25">
      <c r="A2314" s="16"/>
      <c r="B2314" s="17"/>
      <c r="C2314" s="2" t="b">
        <v>0</v>
      </c>
      <c r="D2314" s="2"/>
      <c r="E2314" s="2"/>
      <c r="F2314" s="2"/>
      <c r="G2314" s="2"/>
      <c r="H2314" s="2"/>
      <c r="I2314" s="5"/>
    </row>
    <row r="2315" spans="1:9" ht="17.399999999999999" x14ac:dyDescent="0.25">
      <c r="A2315" s="16"/>
      <c r="B2315" s="17"/>
      <c r="C2315" s="2" t="b">
        <v>0</v>
      </c>
      <c r="D2315" s="2"/>
      <c r="E2315" s="2"/>
      <c r="F2315" s="2"/>
      <c r="G2315" s="2"/>
      <c r="H2315" s="2"/>
      <c r="I2315" s="5"/>
    </row>
    <row r="2316" spans="1:9" ht="17.399999999999999" x14ac:dyDescent="0.25">
      <c r="A2316" s="16"/>
      <c r="B2316" s="17"/>
      <c r="C2316" s="2" t="b">
        <v>0</v>
      </c>
      <c r="D2316" s="2"/>
      <c r="E2316" s="2"/>
      <c r="F2316" s="2"/>
      <c r="G2316" s="2"/>
      <c r="H2316" s="2"/>
      <c r="I2316" s="5"/>
    </row>
    <row r="2317" spans="1:9" ht="17.399999999999999" x14ac:dyDescent="0.25">
      <c r="A2317" s="16"/>
      <c r="B2317" s="17"/>
      <c r="C2317" s="2" t="b">
        <v>0</v>
      </c>
      <c r="D2317" s="2"/>
      <c r="E2317" s="2"/>
      <c r="F2317" s="2"/>
      <c r="G2317" s="2"/>
      <c r="H2317" s="2"/>
      <c r="I2317" s="5"/>
    </row>
    <row r="2318" spans="1:9" ht="17.399999999999999" x14ac:dyDescent="0.25">
      <c r="A2318" s="16"/>
      <c r="B2318" s="17"/>
      <c r="C2318" s="2" t="b">
        <v>0</v>
      </c>
      <c r="D2318" s="2"/>
      <c r="E2318" s="2"/>
      <c r="F2318" s="2"/>
      <c r="G2318" s="2"/>
      <c r="H2318" s="2"/>
      <c r="I2318" s="5"/>
    </row>
    <row r="2319" spans="1:9" ht="17.399999999999999" x14ac:dyDescent="0.25">
      <c r="A2319" s="16"/>
      <c r="B2319" s="17"/>
      <c r="C2319" s="2" t="b">
        <v>0</v>
      </c>
      <c r="D2319" s="2"/>
      <c r="E2319" s="2"/>
      <c r="F2319" s="2"/>
      <c r="G2319" s="2"/>
      <c r="H2319" s="2"/>
      <c r="I2319" s="5"/>
    </row>
    <row r="2320" spans="1:9" ht="17.399999999999999" x14ac:dyDescent="0.25">
      <c r="A2320" s="16"/>
      <c r="B2320" s="17"/>
      <c r="C2320" s="2" t="b">
        <v>0</v>
      </c>
      <c r="D2320" s="2"/>
      <c r="E2320" s="2"/>
      <c r="F2320" s="2"/>
      <c r="G2320" s="2"/>
      <c r="H2320" s="2"/>
      <c r="I2320" s="5"/>
    </row>
    <row r="2321" spans="1:9" ht="17.399999999999999" x14ac:dyDescent="0.25">
      <c r="A2321" s="16"/>
      <c r="B2321" s="17"/>
      <c r="C2321" s="2" t="b">
        <v>0</v>
      </c>
      <c r="D2321" s="2"/>
      <c r="E2321" s="2"/>
      <c r="F2321" s="2"/>
      <c r="G2321" s="2"/>
      <c r="H2321" s="2"/>
      <c r="I2321" s="5"/>
    </row>
    <row r="2322" spans="1:9" ht="17.399999999999999" x14ac:dyDescent="0.25">
      <c r="A2322" s="16"/>
      <c r="B2322" s="17"/>
      <c r="C2322" s="2" t="b">
        <v>0</v>
      </c>
      <c r="D2322" s="2"/>
      <c r="E2322" s="2"/>
      <c r="F2322" s="2"/>
      <c r="G2322" s="2"/>
      <c r="H2322" s="2"/>
      <c r="I2322" s="5"/>
    </row>
    <row r="2323" spans="1:9" ht="17.399999999999999" x14ac:dyDescent="0.25">
      <c r="A2323" s="16"/>
      <c r="B2323" s="17"/>
      <c r="C2323" s="2" t="b">
        <v>0</v>
      </c>
      <c r="D2323" s="2"/>
      <c r="E2323" s="2"/>
      <c r="F2323" s="2"/>
      <c r="G2323" s="2"/>
      <c r="H2323" s="2"/>
      <c r="I2323" s="5"/>
    </row>
    <row r="2324" spans="1:9" ht="17.399999999999999" x14ac:dyDescent="0.25">
      <c r="A2324" s="16"/>
      <c r="B2324" s="17"/>
      <c r="C2324" s="2" t="b">
        <v>0</v>
      </c>
      <c r="D2324" s="2"/>
      <c r="E2324" s="2"/>
      <c r="F2324" s="2"/>
      <c r="G2324" s="2"/>
      <c r="H2324" s="2"/>
      <c r="I2324" s="5"/>
    </row>
    <row r="2325" spans="1:9" ht="17.399999999999999" x14ac:dyDescent="0.25">
      <c r="A2325" s="16"/>
      <c r="B2325" s="17"/>
      <c r="C2325" s="2" t="b">
        <v>0</v>
      </c>
      <c r="D2325" s="2"/>
      <c r="E2325" s="2"/>
      <c r="F2325" s="2"/>
      <c r="G2325" s="2"/>
      <c r="H2325" s="2"/>
      <c r="I2325" s="5"/>
    </row>
    <row r="2326" spans="1:9" ht="17.399999999999999" x14ac:dyDescent="0.25">
      <c r="A2326" s="16"/>
      <c r="B2326" s="17"/>
      <c r="C2326" s="2" t="b">
        <v>0</v>
      </c>
      <c r="D2326" s="2"/>
      <c r="E2326" s="2"/>
      <c r="F2326" s="2"/>
      <c r="G2326" s="2"/>
      <c r="H2326" s="2"/>
      <c r="I2326" s="5"/>
    </row>
    <row r="2327" spans="1:9" ht="17.399999999999999" x14ac:dyDescent="0.25">
      <c r="A2327" s="16"/>
      <c r="B2327" s="17"/>
      <c r="C2327" s="2" t="b">
        <v>0</v>
      </c>
      <c r="D2327" s="2"/>
      <c r="E2327" s="2"/>
      <c r="F2327" s="2"/>
      <c r="G2327" s="2"/>
      <c r="H2327" s="2"/>
      <c r="I2327" s="5"/>
    </row>
    <row r="2328" spans="1:9" ht="17.399999999999999" x14ac:dyDescent="0.25">
      <c r="A2328" s="16"/>
      <c r="B2328" s="17"/>
      <c r="C2328" s="2" t="b">
        <v>0</v>
      </c>
      <c r="D2328" s="2"/>
      <c r="E2328" s="2"/>
      <c r="F2328" s="2"/>
      <c r="G2328" s="2"/>
      <c r="H2328" s="2"/>
      <c r="I2328" s="5"/>
    </row>
    <row r="2329" spans="1:9" ht="17.399999999999999" x14ac:dyDescent="0.25">
      <c r="A2329" s="16"/>
      <c r="B2329" s="17"/>
      <c r="C2329" s="2" t="b">
        <v>0</v>
      </c>
      <c r="D2329" s="2"/>
      <c r="E2329" s="2"/>
      <c r="F2329" s="2"/>
      <c r="G2329" s="2"/>
      <c r="H2329" s="2"/>
      <c r="I2329" s="5"/>
    </row>
    <row r="2330" spans="1:9" ht="17.399999999999999" x14ac:dyDescent="0.25">
      <c r="A2330" s="16"/>
      <c r="B2330" s="17"/>
      <c r="C2330" s="2" t="b">
        <v>0</v>
      </c>
      <c r="D2330" s="2"/>
      <c r="E2330" s="2"/>
      <c r="F2330" s="2"/>
      <c r="G2330" s="2"/>
      <c r="H2330" s="2"/>
      <c r="I2330" s="5"/>
    </row>
    <row r="2331" spans="1:9" ht="17.399999999999999" x14ac:dyDescent="0.25">
      <c r="A2331" s="16"/>
      <c r="B2331" s="17"/>
      <c r="C2331" s="2" t="b">
        <v>0</v>
      </c>
      <c r="D2331" s="2"/>
      <c r="E2331" s="2"/>
      <c r="F2331" s="2"/>
      <c r="G2331" s="2"/>
      <c r="H2331" s="2"/>
      <c r="I2331" s="5"/>
    </row>
    <row r="2332" spans="1:9" ht="17.399999999999999" x14ac:dyDescent="0.25">
      <c r="A2332" s="16"/>
      <c r="B2332" s="17"/>
      <c r="C2332" s="2" t="b">
        <v>0</v>
      </c>
      <c r="D2332" s="2"/>
      <c r="E2332" s="2"/>
      <c r="F2332" s="2"/>
      <c r="G2332" s="2"/>
      <c r="H2332" s="2"/>
      <c r="I2332" s="5"/>
    </row>
    <row r="2333" spans="1:9" ht="17.399999999999999" x14ac:dyDescent="0.25">
      <c r="A2333" s="16"/>
      <c r="B2333" s="17"/>
      <c r="C2333" s="2" t="b">
        <v>0</v>
      </c>
      <c r="D2333" s="2"/>
      <c r="E2333" s="2"/>
      <c r="F2333" s="2"/>
      <c r="G2333" s="2"/>
      <c r="H2333" s="2"/>
      <c r="I2333" s="5"/>
    </row>
    <row r="2334" spans="1:9" ht="17.399999999999999" x14ac:dyDescent="0.25">
      <c r="A2334" s="16"/>
      <c r="B2334" s="17"/>
      <c r="C2334" s="2" t="b">
        <v>0</v>
      </c>
      <c r="D2334" s="2"/>
      <c r="E2334" s="2"/>
      <c r="F2334" s="2"/>
      <c r="G2334" s="2"/>
      <c r="H2334" s="2"/>
      <c r="I2334" s="5"/>
    </row>
    <row r="2335" spans="1:9" ht="17.399999999999999" x14ac:dyDescent="0.25">
      <c r="A2335" s="16"/>
      <c r="B2335" s="17"/>
      <c r="C2335" s="2" t="b">
        <v>0</v>
      </c>
      <c r="D2335" s="2"/>
      <c r="E2335" s="2"/>
      <c r="F2335" s="2"/>
      <c r="G2335" s="2"/>
      <c r="H2335" s="2"/>
      <c r="I2335" s="5"/>
    </row>
    <row r="2336" spans="1:9" ht="17.399999999999999" x14ac:dyDescent="0.25">
      <c r="A2336" s="16"/>
      <c r="B2336" s="17"/>
      <c r="C2336" s="2" t="b">
        <v>0</v>
      </c>
      <c r="D2336" s="2"/>
      <c r="E2336" s="2"/>
      <c r="F2336" s="2"/>
      <c r="G2336" s="2"/>
      <c r="H2336" s="2"/>
      <c r="I2336" s="5"/>
    </row>
    <row r="2337" spans="1:9" ht="17.399999999999999" x14ac:dyDescent="0.25">
      <c r="A2337" s="16"/>
      <c r="B2337" s="17"/>
      <c r="C2337" s="2" t="b">
        <v>0</v>
      </c>
      <c r="D2337" s="2"/>
      <c r="E2337" s="2"/>
      <c r="F2337" s="2"/>
      <c r="G2337" s="2"/>
      <c r="H2337" s="2"/>
      <c r="I2337" s="5"/>
    </row>
    <row r="2338" spans="1:9" ht="17.399999999999999" x14ac:dyDescent="0.25">
      <c r="A2338" s="16"/>
      <c r="B2338" s="17"/>
      <c r="C2338" s="2" t="b">
        <v>0</v>
      </c>
      <c r="D2338" s="2"/>
      <c r="E2338" s="2"/>
      <c r="F2338" s="2"/>
      <c r="G2338" s="2"/>
      <c r="H2338" s="2"/>
      <c r="I2338" s="5"/>
    </row>
    <row r="2339" spans="1:9" ht="17.399999999999999" x14ac:dyDescent="0.25">
      <c r="A2339" s="16"/>
      <c r="B2339" s="17"/>
      <c r="C2339" s="2" t="b">
        <v>0</v>
      </c>
      <c r="D2339" s="2"/>
      <c r="E2339" s="2"/>
      <c r="F2339" s="2"/>
      <c r="G2339" s="2"/>
      <c r="H2339" s="2"/>
      <c r="I2339" s="5"/>
    </row>
    <row r="2340" spans="1:9" ht="17.399999999999999" x14ac:dyDescent="0.25">
      <c r="A2340" s="16"/>
      <c r="B2340" s="17"/>
      <c r="C2340" s="2" t="b">
        <v>0</v>
      </c>
      <c r="D2340" s="2"/>
      <c r="E2340" s="2"/>
      <c r="F2340" s="2"/>
      <c r="G2340" s="2"/>
      <c r="H2340" s="2"/>
      <c r="I2340" s="5"/>
    </row>
    <row r="2341" spans="1:9" ht="17.399999999999999" x14ac:dyDescent="0.25">
      <c r="A2341" s="16"/>
      <c r="B2341" s="17"/>
      <c r="C2341" s="2" t="b">
        <v>0</v>
      </c>
      <c r="D2341" s="2"/>
      <c r="E2341" s="2"/>
      <c r="F2341" s="2"/>
      <c r="G2341" s="2"/>
      <c r="H2341" s="2"/>
      <c r="I2341" s="5"/>
    </row>
    <row r="2342" spans="1:9" ht="17.399999999999999" x14ac:dyDescent="0.25">
      <c r="A2342" s="16"/>
      <c r="B2342" s="17"/>
      <c r="C2342" s="2" t="b">
        <v>0</v>
      </c>
      <c r="D2342" s="2"/>
      <c r="E2342" s="2"/>
      <c r="F2342" s="2"/>
      <c r="G2342" s="2"/>
      <c r="H2342" s="2"/>
      <c r="I2342" s="5"/>
    </row>
    <row r="2343" spans="1:9" ht="17.399999999999999" x14ac:dyDescent="0.25">
      <c r="A2343" s="16"/>
      <c r="B2343" s="17"/>
      <c r="C2343" s="2" t="b">
        <v>0</v>
      </c>
      <c r="D2343" s="2"/>
      <c r="E2343" s="2"/>
      <c r="F2343" s="2"/>
      <c r="G2343" s="2"/>
      <c r="H2343" s="2"/>
      <c r="I2343" s="5"/>
    </row>
    <row r="2344" spans="1:9" ht="17.399999999999999" x14ac:dyDescent="0.25">
      <c r="A2344" s="16"/>
      <c r="B2344" s="17"/>
      <c r="C2344" s="2" t="b">
        <v>0</v>
      </c>
      <c r="D2344" s="2"/>
      <c r="E2344" s="2"/>
      <c r="F2344" s="2"/>
      <c r="G2344" s="2"/>
      <c r="H2344" s="2"/>
      <c r="I2344" s="5"/>
    </row>
    <row r="2345" spans="1:9" ht="17.399999999999999" x14ac:dyDescent="0.25">
      <c r="A2345" s="16"/>
      <c r="B2345" s="17"/>
      <c r="C2345" s="2" t="b">
        <v>0</v>
      </c>
      <c r="D2345" s="2"/>
      <c r="E2345" s="2"/>
      <c r="F2345" s="2"/>
      <c r="G2345" s="2"/>
      <c r="H2345" s="2"/>
      <c r="I2345" s="5"/>
    </row>
    <row r="2346" spans="1:9" ht="17.399999999999999" x14ac:dyDescent="0.25">
      <c r="A2346" s="16"/>
      <c r="B2346" s="17"/>
      <c r="C2346" s="2" t="b">
        <v>0</v>
      </c>
      <c r="D2346" s="2"/>
      <c r="E2346" s="2"/>
      <c r="F2346" s="2"/>
      <c r="G2346" s="2"/>
      <c r="H2346" s="2"/>
      <c r="I2346" s="5"/>
    </row>
    <row r="2347" spans="1:9" ht="17.399999999999999" x14ac:dyDescent="0.25">
      <c r="A2347" s="16"/>
      <c r="B2347" s="17"/>
      <c r="C2347" s="2" t="b">
        <v>0</v>
      </c>
      <c r="D2347" s="2"/>
      <c r="E2347" s="2"/>
      <c r="F2347" s="2"/>
      <c r="G2347" s="2"/>
      <c r="H2347" s="2"/>
      <c r="I2347" s="5"/>
    </row>
    <row r="2348" spans="1:9" ht="17.399999999999999" x14ac:dyDescent="0.25">
      <c r="A2348" s="16"/>
      <c r="B2348" s="17"/>
      <c r="C2348" s="2" t="b">
        <v>0</v>
      </c>
      <c r="D2348" s="2"/>
      <c r="E2348" s="2"/>
      <c r="F2348" s="2"/>
      <c r="G2348" s="2"/>
      <c r="H2348" s="2"/>
      <c r="I2348" s="5"/>
    </row>
    <row r="2349" spans="1:9" ht="17.399999999999999" x14ac:dyDescent="0.25">
      <c r="A2349" s="16"/>
      <c r="B2349" s="17"/>
      <c r="C2349" s="2" t="b">
        <v>0</v>
      </c>
      <c r="D2349" s="2"/>
      <c r="E2349" s="2"/>
      <c r="F2349" s="2"/>
      <c r="G2349" s="2"/>
      <c r="H2349" s="2"/>
      <c r="I2349" s="5"/>
    </row>
    <row r="2350" spans="1:9" ht="17.399999999999999" x14ac:dyDescent="0.25">
      <c r="A2350" s="16"/>
      <c r="B2350" s="17"/>
      <c r="C2350" s="2" t="b">
        <v>0</v>
      </c>
      <c r="D2350" s="2"/>
      <c r="E2350" s="2"/>
      <c r="F2350" s="2"/>
      <c r="G2350" s="2"/>
      <c r="H2350" s="2"/>
      <c r="I2350" s="5"/>
    </row>
    <row r="2351" spans="1:9" ht="17.399999999999999" x14ac:dyDescent="0.25">
      <c r="A2351" s="16"/>
      <c r="B2351" s="17"/>
      <c r="C2351" s="2" t="b">
        <v>0</v>
      </c>
      <c r="D2351" s="2"/>
      <c r="E2351" s="2"/>
      <c r="F2351" s="2"/>
      <c r="G2351" s="2"/>
      <c r="H2351" s="2"/>
      <c r="I2351" s="5"/>
    </row>
    <row r="2352" spans="1:9" ht="17.399999999999999" x14ac:dyDescent="0.25">
      <c r="A2352" s="16"/>
      <c r="B2352" s="17"/>
      <c r="C2352" s="2" t="b">
        <v>0</v>
      </c>
      <c r="D2352" s="2"/>
      <c r="E2352" s="2"/>
      <c r="F2352" s="2"/>
      <c r="G2352" s="2"/>
      <c r="H2352" s="2"/>
      <c r="I2352" s="5"/>
    </row>
    <row r="2353" spans="1:9" ht="17.399999999999999" x14ac:dyDescent="0.25">
      <c r="A2353" s="16"/>
      <c r="B2353" s="17"/>
      <c r="C2353" s="2" t="b">
        <v>0</v>
      </c>
      <c r="D2353" s="2"/>
      <c r="E2353" s="2"/>
      <c r="F2353" s="2"/>
      <c r="G2353" s="2"/>
      <c r="H2353" s="2"/>
      <c r="I2353" s="5"/>
    </row>
    <row r="2354" spans="1:9" ht="17.399999999999999" x14ac:dyDescent="0.25">
      <c r="A2354" s="16"/>
      <c r="B2354" s="17"/>
      <c r="C2354" s="2" t="b">
        <v>0</v>
      </c>
      <c r="D2354" s="2"/>
      <c r="E2354" s="2"/>
      <c r="F2354" s="2"/>
      <c r="G2354" s="2"/>
      <c r="H2354" s="2"/>
      <c r="I2354" s="5"/>
    </row>
    <row r="2355" spans="1:9" ht="17.399999999999999" x14ac:dyDescent="0.25">
      <c r="A2355" s="16"/>
      <c r="B2355" s="17"/>
      <c r="C2355" s="2" t="b">
        <v>0</v>
      </c>
      <c r="D2355" s="2"/>
      <c r="E2355" s="2"/>
      <c r="F2355" s="2"/>
      <c r="G2355" s="2"/>
      <c r="H2355" s="2"/>
      <c r="I2355" s="5"/>
    </row>
    <row r="2356" spans="1:9" ht="17.399999999999999" x14ac:dyDescent="0.25">
      <c r="A2356" s="16"/>
      <c r="B2356" s="17"/>
      <c r="C2356" s="2" t="b">
        <v>0</v>
      </c>
      <c r="D2356" s="2"/>
      <c r="E2356" s="2"/>
      <c r="F2356" s="2"/>
      <c r="G2356" s="2"/>
      <c r="H2356" s="2"/>
      <c r="I2356" s="5"/>
    </row>
    <row r="2357" spans="1:9" ht="17.399999999999999" x14ac:dyDescent="0.25">
      <c r="A2357" s="16"/>
      <c r="B2357" s="17"/>
      <c r="C2357" s="2" t="b">
        <v>0</v>
      </c>
      <c r="D2357" s="2"/>
      <c r="E2357" s="2"/>
      <c r="F2357" s="2"/>
      <c r="G2357" s="2"/>
      <c r="H2357" s="2"/>
      <c r="I2357" s="5"/>
    </row>
    <row r="2358" spans="1:9" ht="17.399999999999999" x14ac:dyDescent="0.25">
      <c r="A2358" s="16"/>
      <c r="B2358" s="17"/>
      <c r="C2358" s="2" t="b">
        <v>0</v>
      </c>
      <c r="D2358" s="2"/>
      <c r="E2358" s="2"/>
      <c r="F2358" s="2"/>
      <c r="G2358" s="2"/>
      <c r="H2358" s="2"/>
      <c r="I2358" s="5"/>
    </row>
    <row r="2359" spans="1:9" ht="17.399999999999999" x14ac:dyDescent="0.25">
      <c r="A2359" s="16"/>
      <c r="B2359" s="17"/>
      <c r="C2359" s="2" t="b">
        <v>0</v>
      </c>
      <c r="D2359" s="2"/>
      <c r="E2359" s="2"/>
      <c r="F2359" s="2"/>
      <c r="G2359" s="2"/>
      <c r="H2359" s="2"/>
      <c r="I2359" s="5"/>
    </row>
    <row r="2360" spans="1:9" ht="17.399999999999999" x14ac:dyDescent="0.25">
      <c r="A2360" s="16"/>
      <c r="B2360" s="17"/>
      <c r="C2360" s="2" t="b">
        <v>0</v>
      </c>
      <c r="D2360" s="2"/>
      <c r="E2360" s="2"/>
      <c r="F2360" s="2"/>
      <c r="G2360" s="2"/>
      <c r="H2360" s="2"/>
      <c r="I2360" s="5"/>
    </row>
    <row r="2361" spans="1:9" ht="17.399999999999999" x14ac:dyDescent="0.25">
      <c r="A2361" s="16"/>
      <c r="B2361" s="17"/>
      <c r="C2361" s="2" t="b">
        <v>0</v>
      </c>
      <c r="D2361" s="2"/>
      <c r="E2361" s="2"/>
      <c r="F2361" s="2"/>
      <c r="G2361" s="2"/>
      <c r="H2361" s="2"/>
      <c r="I2361" s="5"/>
    </row>
    <row r="2362" spans="1:9" ht="17.399999999999999" x14ac:dyDescent="0.25">
      <c r="A2362" s="16"/>
      <c r="B2362" s="17"/>
      <c r="C2362" s="2" t="b">
        <v>0</v>
      </c>
      <c r="D2362" s="2"/>
      <c r="E2362" s="2"/>
      <c r="F2362" s="2"/>
      <c r="G2362" s="2"/>
      <c r="H2362" s="2"/>
      <c r="I2362" s="5"/>
    </row>
    <row r="2363" spans="1:9" ht="17.399999999999999" x14ac:dyDescent="0.25">
      <c r="A2363" s="16"/>
      <c r="B2363" s="17"/>
      <c r="C2363" s="2" t="b">
        <v>0</v>
      </c>
      <c r="D2363" s="2"/>
      <c r="E2363" s="2"/>
      <c r="F2363" s="2"/>
      <c r="G2363" s="2"/>
      <c r="H2363" s="2"/>
      <c r="I2363" s="5"/>
    </row>
    <row r="2364" spans="1:9" ht="17.399999999999999" x14ac:dyDescent="0.25">
      <c r="A2364" s="16"/>
      <c r="B2364" s="17"/>
      <c r="C2364" s="2" t="b">
        <v>0</v>
      </c>
      <c r="D2364" s="2"/>
      <c r="E2364" s="2"/>
      <c r="F2364" s="2"/>
      <c r="G2364" s="2"/>
      <c r="H2364" s="2"/>
      <c r="I2364" s="5"/>
    </row>
    <row r="2365" spans="1:9" ht="17.399999999999999" x14ac:dyDescent="0.25">
      <c r="A2365" s="16"/>
      <c r="B2365" s="17"/>
      <c r="C2365" s="2" t="b">
        <v>0</v>
      </c>
      <c r="D2365" s="2"/>
      <c r="E2365" s="2"/>
      <c r="F2365" s="2"/>
      <c r="G2365" s="2"/>
      <c r="H2365" s="2"/>
      <c r="I2365" s="5"/>
    </row>
    <row r="2366" spans="1:9" ht="17.399999999999999" x14ac:dyDescent="0.25">
      <c r="A2366" s="16"/>
      <c r="B2366" s="17"/>
      <c r="C2366" s="2" t="b">
        <v>0</v>
      </c>
      <c r="D2366" s="2"/>
      <c r="E2366" s="2"/>
      <c r="F2366" s="2"/>
      <c r="G2366" s="2"/>
      <c r="H2366" s="2"/>
      <c r="I2366" s="5"/>
    </row>
    <row r="2367" spans="1:9" ht="17.399999999999999" x14ac:dyDescent="0.25">
      <c r="A2367" s="16"/>
      <c r="B2367" s="17"/>
      <c r="C2367" s="2" t="b">
        <v>0</v>
      </c>
      <c r="D2367" s="2"/>
      <c r="E2367" s="2"/>
      <c r="F2367" s="2"/>
      <c r="G2367" s="2"/>
      <c r="H2367" s="2"/>
      <c r="I2367" s="5"/>
    </row>
    <row r="2368" spans="1:9" ht="17.399999999999999" x14ac:dyDescent="0.25">
      <c r="A2368" s="16"/>
      <c r="B2368" s="17"/>
      <c r="C2368" s="2" t="b">
        <v>0</v>
      </c>
      <c r="D2368" s="2"/>
      <c r="E2368" s="2"/>
      <c r="F2368" s="2"/>
      <c r="G2368" s="2"/>
      <c r="H2368" s="2"/>
      <c r="I2368" s="5"/>
    </row>
    <row r="2369" spans="1:9" ht="17.399999999999999" x14ac:dyDescent="0.25">
      <c r="A2369" s="16"/>
      <c r="B2369" s="17"/>
      <c r="C2369" s="2" t="b">
        <v>0</v>
      </c>
      <c r="D2369" s="2"/>
      <c r="E2369" s="2"/>
      <c r="F2369" s="2"/>
      <c r="G2369" s="2"/>
      <c r="H2369" s="2"/>
      <c r="I2369" s="5"/>
    </row>
    <row r="2370" spans="1:9" ht="17.399999999999999" x14ac:dyDescent="0.25">
      <c r="A2370" s="16"/>
      <c r="B2370" s="17"/>
      <c r="C2370" s="2" t="b">
        <v>0</v>
      </c>
      <c r="D2370" s="2"/>
      <c r="E2370" s="2"/>
      <c r="F2370" s="2"/>
      <c r="G2370" s="2"/>
      <c r="H2370" s="2"/>
      <c r="I2370" s="5"/>
    </row>
    <row r="2371" spans="1:9" ht="17.399999999999999" x14ac:dyDescent="0.25">
      <c r="A2371" s="16"/>
      <c r="B2371" s="17"/>
      <c r="C2371" s="2" t="b">
        <v>0</v>
      </c>
      <c r="D2371" s="2"/>
      <c r="E2371" s="2"/>
      <c r="F2371" s="2"/>
      <c r="G2371" s="2"/>
      <c r="H2371" s="2"/>
      <c r="I2371" s="5"/>
    </row>
    <row r="2372" spans="1:9" ht="17.399999999999999" x14ac:dyDescent="0.25">
      <c r="A2372" s="16"/>
      <c r="B2372" s="17"/>
      <c r="C2372" s="2" t="b">
        <v>0</v>
      </c>
      <c r="D2372" s="2"/>
      <c r="E2372" s="2"/>
      <c r="F2372" s="2"/>
      <c r="G2372" s="2"/>
      <c r="H2372" s="2"/>
      <c r="I2372" s="5"/>
    </row>
    <row r="2373" spans="1:9" ht="17.399999999999999" x14ac:dyDescent="0.25">
      <c r="A2373" s="16"/>
      <c r="B2373" s="17"/>
      <c r="C2373" s="2" t="b">
        <v>0</v>
      </c>
      <c r="D2373" s="2"/>
      <c r="E2373" s="2"/>
      <c r="F2373" s="2"/>
      <c r="G2373" s="2"/>
      <c r="H2373" s="2"/>
      <c r="I2373" s="5"/>
    </row>
    <row r="2374" spans="1:9" ht="17.399999999999999" x14ac:dyDescent="0.25">
      <c r="A2374" s="16"/>
      <c r="B2374" s="17"/>
      <c r="C2374" s="2" t="b">
        <v>0</v>
      </c>
      <c r="D2374" s="2"/>
      <c r="E2374" s="2"/>
      <c r="F2374" s="2"/>
      <c r="G2374" s="2"/>
      <c r="H2374" s="2"/>
      <c r="I2374" s="5"/>
    </row>
    <row r="2375" spans="1:9" ht="17.399999999999999" x14ac:dyDescent="0.25">
      <c r="A2375" s="16"/>
      <c r="B2375" s="17"/>
      <c r="C2375" s="2" t="b">
        <v>0</v>
      </c>
      <c r="D2375" s="2"/>
      <c r="E2375" s="2"/>
      <c r="F2375" s="2"/>
      <c r="G2375" s="2"/>
      <c r="H2375" s="2"/>
      <c r="I2375" s="5"/>
    </row>
    <row r="2376" spans="1:9" ht="17.399999999999999" x14ac:dyDescent="0.25">
      <c r="A2376" s="16"/>
      <c r="B2376" s="17"/>
      <c r="C2376" s="2" t="b">
        <v>0</v>
      </c>
      <c r="D2376" s="2"/>
      <c r="E2376" s="2"/>
      <c r="F2376" s="2"/>
      <c r="G2376" s="2"/>
      <c r="H2376" s="2"/>
      <c r="I2376" s="5"/>
    </row>
    <row r="2377" spans="1:9" ht="17.399999999999999" x14ac:dyDescent="0.25">
      <c r="A2377" s="16"/>
      <c r="B2377" s="17"/>
      <c r="C2377" s="2" t="b">
        <v>0</v>
      </c>
      <c r="D2377" s="2"/>
      <c r="E2377" s="2"/>
      <c r="F2377" s="2"/>
      <c r="G2377" s="2"/>
      <c r="H2377" s="2"/>
      <c r="I2377" s="5"/>
    </row>
    <row r="2378" spans="1:9" ht="17.399999999999999" x14ac:dyDescent="0.25">
      <c r="A2378" s="16"/>
      <c r="B2378" s="17"/>
      <c r="C2378" s="2" t="b">
        <v>0</v>
      </c>
      <c r="D2378" s="2"/>
      <c r="E2378" s="2"/>
      <c r="F2378" s="2"/>
      <c r="G2378" s="2"/>
      <c r="H2378" s="2"/>
      <c r="I2378" s="5"/>
    </row>
    <row r="2379" spans="1:9" ht="17.399999999999999" x14ac:dyDescent="0.25">
      <c r="A2379" s="16"/>
      <c r="B2379" s="17"/>
      <c r="C2379" s="2" t="b">
        <v>0</v>
      </c>
      <c r="D2379" s="2"/>
      <c r="E2379" s="2"/>
      <c r="F2379" s="2"/>
      <c r="G2379" s="2"/>
      <c r="H2379" s="2"/>
      <c r="I2379" s="5"/>
    </row>
    <row r="2380" spans="1:9" ht="17.399999999999999" x14ac:dyDescent="0.25">
      <c r="A2380" s="16"/>
      <c r="B2380" s="17"/>
      <c r="C2380" s="2" t="b">
        <v>0</v>
      </c>
      <c r="D2380" s="2"/>
      <c r="E2380" s="2"/>
      <c r="F2380" s="2"/>
      <c r="G2380" s="2"/>
      <c r="H2380" s="2"/>
      <c r="I2380" s="5"/>
    </row>
    <row r="2381" spans="1:9" ht="17.399999999999999" x14ac:dyDescent="0.25">
      <c r="A2381" s="16"/>
      <c r="B2381" s="17"/>
      <c r="C2381" s="2" t="b">
        <v>0</v>
      </c>
      <c r="D2381" s="2"/>
      <c r="E2381" s="2"/>
      <c r="F2381" s="2"/>
      <c r="G2381" s="2"/>
      <c r="H2381" s="2"/>
      <c r="I2381" s="5"/>
    </row>
    <row r="2382" spans="1:9" ht="17.399999999999999" x14ac:dyDescent="0.25">
      <c r="A2382" s="16"/>
      <c r="B2382" s="17"/>
      <c r="C2382" s="2" t="b">
        <v>0</v>
      </c>
      <c r="D2382" s="2"/>
      <c r="E2382" s="2"/>
      <c r="F2382" s="2"/>
      <c r="G2382" s="2"/>
      <c r="H2382" s="2"/>
      <c r="I2382" s="5"/>
    </row>
    <row r="2383" spans="1:9" ht="17.399999999999999" x14ac:dyDescent="0.25">
      <c r="A2383" s="16"/>
      <c r="B2383" s="17"/>
      <c r="C2383" s="2" t="b">
        <v>0</v>
      </c>
      <c r="D2383" s="2"/>
      <c r="E2383" s="2"/>
      <c r="F2383" s="2"/>
      <c r="G2383" s="2"/>
      <c r="H2383" s="2"/>
      <c r="I2383" s="5"/>
    </row>
    <row r="2384" spans="1:9" ht="17.399999999999999" x14ac:dyDescent="0.25">
      <c r="A2384" s="16"/>
      <c r="B2384" s="17"/>
      <c r="C2384" s="2" t="b">
        <v>0</v>
      </c>
      <c r="D2384" s="2"/>
      <c r="E2384" s="2"/>
      <c r="F2384" s="2"/>
      <c r="G2384" s="2"/>
      <c r="H2384" s="2"/>
      <c r="I2384" s="5"/>
    </row>
    <row r="2385" spans="1:9" ht="17.399999999999999" x14ac:dyDescent="0.25">
      <c r="A2385" s="16"/>
      <c r="B2385" s="17"/>
      <c r="C2385" s="2" t="b">
        <v>0</v>
      </c>
      <c r="D2385" s="2"/>
      <c r="E2385" s="2"/>
      <c r="F2385" s="2"/>
      <c r="G2385" s="2"/>
      <c r="H2385" s="2"/>
      <c r="I2385" s="5"/>
    </row>
    <row r="2386" spans="1:9" ht="17.399999999999999" x14ac:dyDescent="0.25">
      <c r="A2386" s="16"/>
      <c r="B2386" s="17"/>
      <c r="C2386" s="2" t="b">
        <v>0</v>
      </c>
      <c r="D2386" s="2"/>
      <c r="E2386" s="2"/>
      <c r="F2386" s="2"/>
      <c r="G2386" s="2"/>
      <c r="H2386" s="2"/>
      <c r="I2386" s="5"/>
    </row>
    <row r="2387" spans="1:9" ht="17.399999999999999" x14ac:dyDescent="0.25">
      <c r="A2387" s="16"/>
      <c r="B2387" s="17"/>
      <c r="C2387" s="2" t="b">
        <v>0</v>
      </c>
      <c r="D2387" s="2"/>
      <c r="E2387" s="2"/>
      <c r="F2387" s="2"/>
      <c r="G2387" s="2"/>
      <c r="H2387" s="2"/>
      <c r="I2387" s="5"/>
    </row>
    <row r="2388" spans="1:9" ht="17.399999999999999" x14ac:dyDescent="0.25">
      <c r="A2388" s="16"/>
      <c r="B2388" s="17"/>
      <c r="C2388" s="2" t="b">
        <v>0</v>
      </c>
      <c r="D2388" s="2"/>
      <c r="E2388" s="2"/>
      <c r="F2388" s="2"/>
      <c r="G2388" s="2"/>
      <c r="H2388" s="2"/>
      <c r="I2388" s="5"/>
    </row>
    <row r="2389" spans="1:9" ht="17.399999999999999" x14ac:dyDescent="0.25">
      <c r="A2389" s="16"/>
      <c r="B2389" s="17"/>
      <c r="C2389" s="2" t="b">
        <v>0</v>
      </c>
      <c r="D2389" s="2"/>
      <c r="E2389" s="2"/>
      <c r="F2389" s="2"/>
      <c r="G2389" s="2"/>
      <c r="H2389" s="2"/>
      <c r="I2389" s="5"/>
    </row>
    <row r="2390" spans="1:9" ht="17.399999999999999" x14ac:dyDescent="0.25">
      <c r="A2390" s="16"/>
      <c r="B2390" s="17"/>
      <c r="C2390" s="2" t="b">
        <v>0</v>
      </c>
      <c r="D2390" s="2"/>
      <c r="E2390" s="2"/>
      <c r="F2390" s="2"/>
      <c r="G2390" s="2"/>
      <c r="H2390" s="2"/>
      <c r="I2390" s="5"/>
    </row>
    <row r="2391" spans="1:9" ht="17.399999999999999" x14ac:dyDescent="0.25">
      <c r="A2391" s="16"/>
      <c r="B2391" s="17"/>
      <c r="C2391" s="2" t="b">
        <v>0</v>
      </c>
      <c r="D2391" s="2"/>
      <c r="E2391" s="2"/>
      <c r="F2391" s="2"/>
      <c r="G2391" s="2"/>
      <c r="H2391" s="2"/>
      <c r="I2391" s="5"/>
    </row>
    <row r="2392" spans="1:9" ht="17.399999999999999" x14ac:dyDescent="0.25">
      <c r="A2392" s="16"/>
      <c r="B2392" s="17"/>
      <c r="C2392" s="2" t="b">
        <v>0</v>
      </c>
      <c r="D2392" s="2"/>
      <c r="E2392" s="2"/>
      <c r="F2392" s="2"/>
      <c r="G2392" s="2"/>
      <c r="H2392" s="2"/>
      <c r="I2392" s="5"/>
    </row>
    <row r="2393" spans="1:9" ht="17.399999999999999" x14ac:dyDescent="0.25">
      <c r="A2393" s="16"/>
      <c r="B2393" s="17"/>
      <c r="C2393" s="2" t="b">
        <v>0</v>
      </c>
      <c r="D2393" s="2"/>
      <c r="E2393" s="2"/>
      <c r="F2393" s="2"/>
      <c r="G2393" s="2"/>
      <c r="H2393" s="2"/>
      <c r="I2393" s="5"/>
    </row>
    <row r="2394" spans="1:9" ht="17.399999999999999" x14ac:dyDescent="0.25">
      <c r="A2394" s="16"/>
      <c r="B2394" s="17"/>
      <c r="C2394" s="2" t="b">
        <v>0</v>
      </c>
      <c r="D2394" s="2"/>
      <c r="E2394" s="2"/>
      <c r="F2394" s="2"/>
      <c r="G2394" s="2"/>
      <c r="H2394" s="2"/>
      <c r="I2394" s="5"/>
    </row>
    <row r="2395" spans="1:9" ht="17.399999999999999" x14ac:dyDescent="0.25">
      <c r="A2395" s="16"/>
      <c r="B2395" s="17"/>
      <c r="C2395" s="2" t="b">
        <v>0</v>
      </c>
      <c r="D2395" s="2"/>
      <c r="E2395" s="2"/>
      <c r="F2395" s="2"/>
      <c r="G2395" s="2"/>
      <c r="H2395" s="2"/>
      <c r="I2395" s="5"/>
    </row>
    <row r="2396" spans="1:9" ht="17.399999999999999" x14ac:dyDescent="0.25">
      <c r="A2396" s="16"/>
      <c r="B2396" s="17"/>
      <c r="C2396" s="2" t="b">
        <v>0</v>
      </c>
      <c r="D2396" s="2"/>
      <c r="E2396" s="2"/>
      <c r="F2396" s="2"/>
      <c r="G2396" s="2"/>
      <c r="H2396" s="2"/>
      <c r="I2396" s="5"/>
    </row>
    <row r="2397" spans="1:9" ht="17.399999999999999" x14ac:dyDescent="0.25">
      <c r="A2397" s="16"/>
      <c r="B2397" s="17"/>
      <c r="C2397" s="2" t="b">
        <v>0</v>
      </c>
      <c r="D2397" s="2"/>
      <c r="E2397" s="2"/>
      <c r="F2397" s="2"/>
      <c r="G2397" s="2"/>
      <c r="H2397" s="2"/>
      <c r="I2397" s="5"/>
    </row>
    <row r="2398" spans="1:9" ht="17.399999999999999" x14ac:dyDescent="0.25">
      <c r="A2398" s="16"/>
      <c r="B2398" s="17"/>
      <c r="C2398" s="2" t="b">
        <v>0</v>
      </c>
      <c r="D2398" s="2"/>
      <c r="E2398" s="2"/>
      <c r="F2398" s="2"/>
      <c r="G2398" s="2"/>
      <c r="H2398" s="2"/>
      <c r="I2398" s="5"/>
    </row>
    <row r="2399" spans="1:9" ht="17.399999999999999" x14ac:dyDescent="0.25">
      <c r="A2399" s="16"/>
      <c r="B2399" s="17"/>
      <c r="C2399" s="2" t="b">
        <v>0</v>
      </c>
      <c r="D2399" s="2"/>
      <c r="E2399" s="2"/>
      <c r="F2399" s="2"/>
      <c r="G2399" s="2"/>
      <c r="H2399" s="2"/>
      <c r="I2399" s="5"/>
    </row>
    <row r="2400" spans="1:9" ht="17.399999999999999" x14ac:dyDescent="0.25">
      <c r="A2400" s="16"/>
      <c r="B2400" s="17"/>
      <c r="C2400" s="2" t="b">
        <v>0</v>
      </c>
      <c r="D2400" s="2"/>
      <c r="E2400" s="2"/>
      <c r="F2400" s="2"/>
      <c r="G2400" s="2"/>
      <c r="H2400" s="2"/>
      <c r="I2400" s="5"/>
    </row>
    <row r="2401" spans="1:9" ht="17.399999999999999" x14ac:dyDescent="0.25">
      <c r="A2401" s="16"/>
      <c r="B2401" s="17"/>
      <c r="C2401" s="2" t="b">
        <v>0</v>
      </c>
      <c r="D2401" s="2"/>
      <c r="E2401" s="2"/>
      <c r="F2401" s="2"/>
      <c r="G2401" s="2"/>
      <c r="H2401" s="2"/>
      <c r="I2401" s="5"/>
    </row>
    <row r="2402" spans="1:9" ht="17.399999999999999" x14ac:dyDescent="0.25">
      <c r="A2402" s="16"/>
      <c r="B2402" s="17"/>
      <c r="C2402" s="2" t="b">
        <v>0</v>
      </c>
      <c r="D2402" s="2"/>
      <c r="E2402" s="2"/>
      <c r="F2402" s="2"/>
      <c r="G2402" s="2"/>
      <c r="H2402" s="2"/>
      <c r="I2402" s="5"/>
    </row>
    <row r="2403" spans="1:9" ht="17.399999999999999" x14ac:dyDescent="0.25">
      <c r="A2403" s="16"/>
      <c r="B2403" s="17"/>
      <c r="C2403" s="2" t="b">
        <v>0</v>
      </c>
      <c r="D2403" s="2"/>
      <c r="E2403" s="2"/>
      <c r="F2403" s="2"/>
      <c r="G2403" s="2"/>
      <c r="H2403" s="2"/>
      <c r="I2403" s="5"/>
    </row>
    <row r="2404" spans="1:9" ht="17.399999999999999" x14ac:dyDescent="0.25">
      <c r="A2404" s="16"/>
      <c r="B2404" s="17"/>
      <c r="C2404" s="2" t="b">
        <v>0</v>
      </c>
      <c r="D2404" s="2"/>
      <c r="E2404" s="2"/>
      <c r="F2404" s="2"/>
      <c r="G2404" s="2"/>
      <c r="H2404" s="2"/>
      <c r="I2404" s="5"/>
    </row>
    <row r="2405" spans="1:9" ht="17.399999999999999" x14ac:dyDescent="0.25">
      <c r="A2405" s="16"/>
      <c r="B2405" s="17"/>
      <c r="C2405" s="2" t="b">
        <v>0</v>
      </c>
      <c r="D2405" s="2"/>
      <c r="E2405" s="2"/>
      <c r="F2405" s="2"/>
      <c r="G2405" s="2"/>
      <c r="H2405" s="2"/>
      <c r="I2405" s="5"/>
    </row>
    <row r="2406" spans="1:9" ht="17.399999999999999" x14ac:dyDescent="0.25">
      <c r="A2406" s="16"/>
      <c r="B2406" s="17"/>
      <c r="C2406" s="2" t="b">
        <v>0</v>
      </c>
      <c r="D2406" s="2"/>
      <c r="E2406" s="2"/>
      <c r="F2406" s="2"/>
      <c r="G2406" s="2"/>
      <c r="H2406" s="2"/>
      <c r="I2406" s="5"/>
    </row>
    <row r="2407" spans="1:9" ht="17.399999999999999" x14ac:dyDescent="0.25">
      <c r="A2407" s="16"/>
      <c r="B2407" s="17"/>
      <c r="C2407" s="2" t="b">
        <v>0</v>
      </c>
      <c r="D2407" s="2"/>
      <c r="E2407" s="2"/>
      <c r="F2407" s="2"/>
      <c r="G2407" s="2"/>
      <c r="H2407" s="2"/>
      <c r="I2407" s="5"/>
    </row>
    <row r="2408" spans="1:9" ht="17.399999999999999" x14ac:dyDescent="0.25">
      <c r="A2408" s="16"/>
      <c r="B2408" s="17"/>
      <c r="C2408" s="2" t="b">
        <v>0</v>
      </c>
      <c r="D2408" s="2"/>
      <c r="E2408" s="2"/>
      <c r="F2408" s="2"/>
      <c r="G2408" s="2"/>
      <c r="H2408" s="2"/>
      <c r="I2408" s="5"/>
    </row>
    <row r="2409" spans="1:9" ht="17.399999999999999" x14ac:dyDescent="0.25">
      <c r="A2409" s="16"/>
      <c r="B2409" s="17"/>
      <c r="C2409" s="2" t="b">
        <v>0</v>
      </c>
      <c r="D2409" s="2"/>
      <c r="E2409" s="2"/>
      <c r="F2409" s="2"/>
      <c r="G2409" s="2"/>
      <c r="H2409" s="2"/>
      <c r="I2409" s="5"/>
    </row>
    <row r="2410" spans="1:9" ht="17.399999999999999" x14ac:dyDescent="0.25">
      <c r="A2410" s="16"/>
      <c r="B2410" s="17"/>
      <c r="C2410" s="2" t="b">
        <v>0</v>
      </c>
      <c r="D2410" s="2"/>
      <c r="E2410" s="2"/>
      <c r="F2410" s="2"/>
      <c r="G2410" s="2"/>
      <c r="H2410" s="2"/>
      <c r="I2410" s="5"/>
    </row>
    <row r="2411" spans="1:9" ht="17.399999999999999" x14ac:dyDescent="0.25">
      <c r="A2411" s="16"/>
      <c r="B2411" s="17"/>
      <c r="C2411" s="2" t="b">
        <v>0</v>
      </c>
      <c r="D2411" s="2"/>
      <c r="E2411" s="2"/>
      <c r="F2411" s="2"/>
      <c r="G2411" s="2"/>
      <c r="H2411" s="2"/>
      <c r="I2411" s="5"/>
    </row>
    <row r="2412" spans="1:9" ht="17.399999999999999" x14ac:dyDescent="0.25">
      <c r="A2412" s="16"/>
      <c r="B2412" s="17"/>
      <c r="C2412" s="2" t="b">
        <v>0</v>
      </c>
      <c r="D2412" s="2"/>
      <c r="E2412" s="2"/>
      <c r="F2412" s="2"/>
      <c r="G2412" s="2"/>
      <c r="H2412" s="2"/>
      <c r="I2412" s="5"/>
    </row>
    <row r="2413" spans="1:9" ht="17.399999999999999" x14ac:dyDescent="0.25">
      <c r="A2413" s="16"/>
      <c r="B2413" s="17"/>
      <c r="C2413" s="2" t="b">
        <v>0</v>
      </c>
      <c r="D2413" s="2"/>
      <c r="E2413" s="2"/>
      <c r="F2413" s="2"/>
      <c r="G2413" s="2"/>
      <c r="H2413" s="2"/>
      <c r="I2413" s="5"/>
    </row>
    <row r="2414" spans="1:9" ht="17.399999999999999" x14ac:dyDescent="0.25">
      <c r="A2414" s="16"/>
      <c r="B2414" s="17"/>
      <c r="C2414" s="2" t="b">
        <v>0</v>
      </c>
      <c r="D2414" s="2"/>
      <c r="E2414" s="2"/>
      <c r="F2414" s="2"/>
      <c r="G2414" s="2"/>
      <c r="H2414" s="2"/>
      <c r="I2414" s="5"/>
    </row>
    <row r="2415" spans="1:9" ht="17.399999999999999" x14ac:dyDescent="0.25">
      <c r="A2415" s="16"/>
      <c r="B2415" s="17"/>
      <c r="C2415" s="2" t="b">
        <v>0</v>
      </c>
      <c r="D2415" s="2"/>
      <c r="E2415" s="2"/>
      <c r="F2415" s="2"/>
      <c r="G2415" s="2"/>
      <c r="H2415" s="2"/>
      <c r="I2415" s="5"/>
    </row>
    <row r="2416" spans="1:9" ht="17.399999999999999" x14ac:dyDescent="0.25">
      <c r="A2416" s="16"/>
      <c r="B2416" s="17"/>
      <c r="C2416" s="2" t="b">
        <v>0</v>
      </c>
      <c r="D2416" s="2"/>
      <c r="E2416" s="2"/>
      <c r="F2416" s="2"/>
      <c r="G2416" s="2"/>
      <c r="H2416" s="2"/>
      <c r="I2416" s="5"/>
    </row>
    <row r="2417" spans="1:9" ht="17.399999999999999" x14ac:dyDescent="0.25">
      <c r="A2417" s="16"/>
      <c r="B2417" s="17"/>
      <c r="C2417" s="2" t="b">
        <v>0</v>
      </c>
      <c r="D2417" s="2"/>
      <c r="E2417" s="2"/>
      <c r="F2417" s="2"/>
      <c r="G2417" s="2"/>
      <c r="H2417" s="2"/>
      <c r="I2417" s="5"/>
    </row>
    <row r="2418" spans="1:9" ht="17.399999999999999" x14ac:dyDescent="0.25">
      <c r="A2418" s="16"/>
      <c r="B2418" s="17"/>
      <c r="C2418" s="2" t="b">
        <v>0</v>
      </c>
      <c r="D2418" s="2"/>
      <c r="E2418" s="2"/>
      <c r="F2418" s="2"/>
      <c r="G2418" s="2"/>
      <c r="H2418" s="2"/>
      <c r="I2418" s="5"/>
    </row>
    <row r="2419" spans="1:9" ht="17.399999999999999" x14ac:dyDescent="0.25">
      <c r="A2419" s="16"/>
      <c r="B2419" s="17"/>
      <c r="C2419" s="2" t="b">
        <v>0</v>
      </c>
      <c r="D2419" s="2"/>
      <c r="E2419" s="2"/>
      <c r="F2419" s="2"/>
      <c r="G2419" s="2"/>
      <c r="H2419" s="2"/>
      <c r="I2419" s="5"/>
    </row>
    <row r="2420" spans="1:9" ht="17.399999999999999" x14ac:dyDescent="0.25">
      <c r="A2420" s="16"/>
      <c r="B2420" s="17"/>
      <c r="C2420" s="2" t="b">
        <v>0</v>
      </c>
      <c r="D2420" s="2"/>
      <c r="E2420" s="2"/>
      <c r="F2420" s="2"/>
      <c r="G2420" s="2"/>
      <c r="H2420" s="2"/>
      <c r="I2420" s="5"/>
    </row>
    <row r="2421" spans="1:9" ht="17.399999999999999" x14ac:dyDescent="0.25">
      <c r="A2421" s="16"/>
      <c r="B2421" s="17"/>
      <c r="C2421" s="2" t="b">
        <v>0</v>
      </c>
      <c r="D2421" s="2"/>
      <c r="E2421" s="2"/>
      <c r="F2421" s="2"/>
      <c r="G2421" s="2"/>
      <c r="H2421" s="2"/>
      <c r="I2421" s="5"/>
    </row>
    <row r="2422" spans="1:9" ht="17.399999999999999" x14ac:dyDescent="0.25">
      <c r="A2422" s="16"/>
      <c r="B2422" s="17"/>
      <c r="C2422" s="2" t="b">
        <v>0</v>
      </c>
      <c r="D2422" s="2"/>
      <c r="E2422" s="2"/>
      <c r="F2422" s="2"/>
      <c r="G2422" s="2"/>
      <c r="H2422" s="2"/>
      <c r="I2422" s="5"/>
    </row>
    <row r="2423" spans="1:9" ht="17.399999999999999" x14ac:dyDescent="0.25">
      <c r="A2423" s="16"/>
      <c r="B2423" s="17"/>
      <c r="C2423" s="2" t="b">
        <v>0</v>
      </c>
      <c r="D2423" s="2"/>
      <c r="E2423" s="2"/>
      <c r="F2423" s="2"/>
      <c r="G2423" s="2"/>
      <c r="H2423" s="2"/>
      <c r="I2423" s="5"/>
    </row>
    <row r="2424" spans="1:9" ht="17.399999999999999" x14ac:dyDescent="0.25">
      <c r="A2424" s="16"/>
      <c r="B2424" s="17"/>
      <c r="C2424" s="2" t="b">
        <v>0</v>
      </c>
      <c r="D2424" s="2"/>
      <c r="E2424" s="2"/>
      <c r="F2424" s="2"/>
      <c r="G2424" s="2"/>
      <c r="H2424" s="2"/>
      <c r="I2424" s="5"/>
    </row>
    <row r="2425" spans="1:9" ht="17.399999999999999" x14ac:dyDescent="0.25">
      <c r="A2425" s="16"/>
      <c r="B2425" s="17"/>
      <c r="C2425" s="2" t="b">
        <v>0</v>
      </c>
      <c r="D2425" s="2"/>
      <c r="E2425" s="2"/>
      <c r="F2425" s="2"/>
      <c r="G2425" s="2"/>
      <c r="H2425" s="2"/>
      <c r="I2425" s="5"/>
    </row>
    <row r="2426" spans="1:9" ht="17.399999999999999" x14ac:dyDescent="0.25">
      <c r="A2426" s="16"/>
      <c r="B2426" s="17"/>
      <c r="C2426" s="2" t="b">
        <v>0</v>
      </c>
      <c r="D2426" s="2"/>
      <c r="E2426" s="2"/>
      <c r="F2426" s="2"/>
      <c r="G2426" s="2"/>
      <c r="H2426" s="2"/>
      <c r="I2426" s="5"/>
    </row>
    <row r="2427" spans="1:9" ht="17.399999999999999" x14ac:dyDescent="0.25">
      <c r="A2427" s="16"/>
      <c r="B2427" s="17"/>
      <c r="C2427" s="2" t="b">
        <v>0</v>
      </c>
      <c r="D2427" s="2"/>
      <c r="E2427" s="2"/>
      <c r="F2427" s="2"/>
      <c r="G2427" s="2"/>
      <c r="H2427" s="2"/>
      <c r="I2427" s="5"/>
    </row>
    <row r="2428" spans="1:9" ht="17.399999999999999" x14ac:dyDescent="0.25">
      <c r="A2428" s="16"/>
      <c r="B2428" s="17"/>
      <c r="C2428" s="2" t="b">
        <v>0</v>
      </c>
      <c r="D2428" s="2"/>
      <c r="E2428" s="2"/>
      <c r="F2428" s="2"/>
      <c r="G2428" s="2"/>
      <c r="H2428" s="2"/>
      <c r="I2428" s="5"/>
    </row>
    <row r="2429" spans="1:9" ht="17.399999999999999" x14ac:dyDescent="0.25">
      <c r="A2429" s="16"/>
      <c r="B2429" s="17"/>
      <c r="C2429" s="2" t="b">
        <v>0</v>
      </c>
      <c r="D2429" s="2"/>
      <c r="E2429" s="2"/>
      <c r="F2429" s="2"/>
      <c r="G2429" s="2"/>
      <c r="H2429" s="2"/>
      <c r="I2429" s="5"/>
    </row>
    <row r="2430" spans="1:9" ht="17.399999999999999" x14ac:dyDescent="0.25">
      <c r="A2430" s="16"/>
      <c r="B2430" s="17"/>
      <c r="C2430" s="2" t="b">
        <v>0</v>
      </c>
      <c r="D2430" s="2"/>
      <c r="E2430" s="2"/>
      <c r="F2430" s="2"/>
      <c r="G2430" s="2"/>
      <c r="H2430" s="2"/>
      <c r="I2430" s="5"/>
    </row>
    <row r="2431" spans="1:9" ht="17.399999999999999" x14ac:dyDescent="0.25">
      <c r="A2431" s="16"/>
      <c r="B2431" s="17"/>
      <c r="C2431" s="2" t="b">
        <v>0</v>
      </c>
      <c r="D2431" s="2"/>
      <c r="E2431" s="2"/>
      <c r="F2431" s="2"/>
      <c r="G2431" s="2"/>
      <c r="H2431" s="2"/>
      <c r="I2431" s="5"/>
    </row>
    <row r="2432" spans="1:9" ht="17.399999999999999" x14ac:dyDescent="0.25">
      <c r="A2432" s="16"/>
      <c r="B2432" s="17"/>
      <c r="C2432" s="2" t="b">
        <v>0</v>
      </c>
      <c r="D2432" s="2"/>
      <c r="E2432" s="2"/>
      <c r="F2432" s="2"/>
      <c r="G2432" s="2"/>
      <c r="H2432" s="2"/>
      <c r="I2432" s="5"/>
    </row>
    <row r="2433" spans="1:9" ht="17.399999999999999" x14ac:dyDescent="0.25">
      <c r="A2433" s="16"/>
      <c r="B2433" s="17"/>
      <c r="C2433" s="2" t="b">
        <v>0</v>
      </c>
      <c r="D2433" s="2"/>
      <c r="E2433" s="2"/>
      <c r="F2433" s="2"/>
      <c r="G2433" s="2"/>
      <c r="H2433" s="2"/>
      <c r="I2433" s="5"/>
    </row>
    <row r="2434" spans="1:9" ht="17.399999999999999" x14ac:dyDescent="0.25">
      <c r="A2434" s="16"/>
      <c r="B2434" s="17"/>
      <c r="C2434" s="2" t="b">
        <v>0</v>
      </c>
      <c r="D2434" s="2"/>
      <c r="E2434" s="2"/>
      <c r="F2434" s="2"/>
      <c r="G2434" s="2"/>
      <c r="H2434" s="2"/>
      <c r="I2434" s="5"/>
    </row>
    <row r="2435" spans="1:9" ht="17.399999999999999" x14ac:dyDescent="0.25">
      <c r="A2435" s="16"/>
      <c r="B2435" s="17"/>
      <c r="C2435" s="2" t="b">
        <v>0</v>
      </c>
      <c r="D2435" s="2"/>
      <c r="E2435" s="2"/>
      <c r="F2435" s="2"/>
      <c r="G2435" s="2"/>
      <c r="H2435" s="2"/>
      <c r="I2435" s="5"/>
    </row>
    <row r="2436" spans="1:9" ht="17.399999999999999" x14ac:dyDescent="0.25">
      <c r="A2436" s="16"/>
      <c r="B2436" s="17"/>
      <c r="C2436" s="2" t="b">
        <v>0</v>
      </c>
      <c r="D2436" s="2"/>
      <c r="E2436" s="2"/>
      <c r="F2436" s="2"/>
      <c r="G2436" s="2"/>
      <c r="H2436" s="2"/>
      <c r="I2436" s="5"/>
    </row>
    <row r="2437" spans="1:9" ht="17.399999999999999" x14ac:dyDescent="0.25">
      <c r="A2437" s="16"/>
      <c r="B2437" s="17"/>
      <c r="C2437" s="2" t="b">
        <v>0</v>
      </c>
      <c r="D2437" s="2"/>
      <c r="E2437" s="2"/>
      <c r="F2437" s="2"/>
      <c r="G2437" s="2"/>
      <c r="H2437" s="2"/>
      <c r="I2437" s="5"/>
    </row>
    <row r="2438" spans="1:9" ht="17.399999999999999" x14ac:dyDescent="0.25">
      <c r="A2438" s="16"/>
      <c r="B2438" s="17"/>
      <c r="C2438" s="2" t="b">
        <v>0</v>
      </c>
      <c r="D2438" s="2"/>
      <c r="E2438" s="2"/>
      <c r="F2438" s="2"/>
      <c r="G2438" s="2"/>
      <c r="H2438" s="2"/>
      <c r="I2438" s="5"/>
    </row>
    <row r="2439" spans="1:9" ht="17.399999999999999" x14ac:dyDescent="0.25">
      <c r="A2439" s="16"/>
      <c r="B2439" s="17"/>
      <c r="C2439" s="2" t="b">
        <v>0</v>
      </c>
      <c r="D2439" s="2"/>
      <c r="E2439" s="2"/>
      <c r="F2439" s="2"/>
      <c r="G2439" s="2"/>
      <c r="H2439" s="2"/>
      <c r="I2439" s="5"/>
    </row>
    <row r="2440" spans="1:9" ht="17.399999999999999" x14ac:dyDescent="0.25">
      <c r="A2440" s="16"/>
      <c r="B2440" s="17"/>
      <c r="C2440" s="2" t="b">
        <v>0</v>
      </c>
      <c r="D2440" s="2"/>
      <c r="E2440" s="2"/>
      <c r="F2440" s="2"/>
      <c r="G2440" s="2"/>
      <c r="H2440" s="2"/>
      <c r="I2440" s="5"/>
    </row>
  </sheetData>
  <mergeCells count="2">
    <mergeCell ref="B2:H2"/>
    <mergeCell ref="B3:H3"/>
  </mergeCells>
  <conditionalFormatting sqref="A1:H2440">
    <cfRule type="cellIs" dxfId="7" priority="1" operator="equal">
      <formula>"Purchased Perks"</formula>
    </cfRule>
    <cfRule type="expression" dxfId="6" priority="2">
      <formula>IF($E1="Purchased Perks",TRUE,FALSE)</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outlinePr summaryBelow="0" summaryRight="0"/>
  </sheetPr>
  <dimension ref="A1:XFD2440"/>
  <sheetViews>
    <sheetView workbookViewId="0">
      <pane ySplit="4" topLeftCell="A5" activePane="bottomLeft" state="frozen"/>
      <selection pane="bottomLeft" activeCell="B6" sqref="B6"/>
    </sheetView>
  </sheetViews>
  <sheetFormatPr defaultColWidth="12.6640625" defaultRowHeight="15.75" customHeight="1" x14ac:dyDescent="0.25"/>
  <cols>
    <col min="1" max="1" width="3.21875" customWidth="1"/>
    <col min="2" max="2" width="3.33203125" customWidth="1"/>
    <col min="3" max="3" width="10" customWidth="1"/>
    <col min="4" max="4" width="7.6640625" customWidth="1"/>
    <col min="5" max="5" width="20.88671875" customWidth="1"/>
    <col min="6" max="6" width="14.77734375" customWidth="1"/>
    <col min="7" max="7" width="19.44140625" customWidth="1"/>
    <col min="8" max="8" width="105.109375" customWidth="1"/>
    <col min="9" max="9" width="3.21875" customWidth="1"/>
    <col min="16384" max="16384" width="0" hidden="1" customWidth="1"/>
  </cols>
  <sheetData>
    <row r="1" spans="1:9 16384:16384" ht="18.75" hidden="1" customHeight="1" x14ac:dyDescent="0.25">
      <c r="A1" s="16"/>
      <c r="B1" s="16"/>
      <c r="C1" s="26"/>
      <c r="D1" s="26"/>
      <c r="E1" s="26"/>
      <c r="F1" s="26"/>
      <c r="G1" s="26"/>
      <c r="H1" s="26"/>
      <c r="I1" s="5"/>
      <c r="XFD1">
        <f ca="1">IF('Roll All'!$B$4="Roll!",RAND(),RAND())</f>
        <v>0.63192351228353416</v>
      </c>
    </row>
    <row r="2" spans="1:9 16384:16384" ht="43.5" customHeight="1" x14ac:dyDescent="0.25">
      <c r="A2" s="16"/>
      <c r="B2" s="54" t="s">
        <v>62</v>
      </c>
      <c r="C2" s="40"/>
      <c r="D2" s="40"/>
      <c r="E2" s="40"/>
      <c r="F2" s="40"/>
      <c r="G2" s="40"/>
      <c r="H2" s="40"/>
      <c r="I2" s="5"/>
    </row>
    <row r="3" spans="1:9 16384:16384" ht="44.25" customHeight="1" x14ac:dyDescent="0.25">
      <c r="A3" s="16"/>
      <c r="B3" s="42" t="s">
        <v>5659</v>
      </c>
      <c r="C3" s="40"/>
      <c r="D3" s="40"/>
      <c r="E3" s="40"/>
      <c r="F3" s="40"/>
      <c r="G3" s="40"/>
      <c r="H3" s="40"/>
      <c r="I3" s="5"/>
    </row>
    <row r="4" spans="1:9 16384:16384" ht="34.799999999999997" x14ac:dyDescent="0.25">
      <c r="A4" s="16"/>
      <c r="B4" s="17">
        <f t="array" ref="B4:B152">ROW(B4:B2440)-4</f>
        <v>0</v>
      </c>
      <c r="C4" s="10" t="s">
        <v>50</v>
      </c>
      <c r="D4" s="10" t="s">
        <v>20</v>
      </c>
      <c r="E4" s="10" t="s">
        <v>21</v>
      </c>
      <c r="F4" s="10" t="s">
        <v>22</v>
      </c>
      <c r="G4" s="10" t="s">
        <v>23</v>
      </c>
      <c r="H4" s="10" t="s">
        <v>24</v>
      </c>
      <c r="I4" s="5"/>
    </row>
    <row r="5" spans="1:9 16384:16384" ht="104.4" x14ac:dyDescent="0.25">
      <c r="A5" s="16"/>
      <c r="B5" s="17">
        <v>1</v>
      </c>
      <c r="C5" s="3" t="b">
        <f ca="1">IFERROR(__xludf.DUMMYFUNCTION("sort(filter('Full Perk List'!B3:G1935,'Full Perk List'!F3:F1935=B2),1,1,2,1,3,1)"),FALSE)</f>
        <v>0</v>
      </c>
      <c r="D5" s="3">
        <f ca="1">IFERROR(__xludf.DUMMYFUNCTION("""COMPUTED_VALUE"""),0)</f>
        <v>0</v>
      </c>
      <c r="E5" s="3" t="str">
        <f ca="1">IFERROR(__xludf.DUMMYFUNCTION("""COMPUTED_VALUE"""),"A Very Thorough Polishing")</f>
        <v>A Very Thorough Polishing</v>
      </c>
      <c r="F5" s="3" t="str">
        <f ca="1">IFERROR(__xludf.DUMMYFUNCTION("""COMPUTED_VALUE"""),"NUKENAI Seiken-chan")</f>
        <v>NUKENAI Seiken-chan</v>
      </c>
      <c r="G5" s="3" t="str">
        <f ca="1">IFERROR(__xludf.DUMMYFUNCTION("""COMPUTED_VALUE"""),"Seduction")</f>
        <v>Seduction</v>
      </c>
      <c r="H5" s="3" t="str">
        <f ca="1">IFERROR(__xludf.DUMMYFUNCTION("""COMPUTED_VALUE"""),"When you touch and handle a sentient item, the sensation translates to touching their spirit form. The exact nature will vary depending on the item’s features. Holding a sword by its handle might only translate to holding their arm or hand (how lewd), whi"&amp;"le giving a sword’s blade a polish with an oily cloth could make them feel like they’re getting a rub-down with lotion. You can probably guess how carefully maintaining and grinding the blade’s edge and tip with a well-lubricated whetstone feels for them.")</f>
        <v>When you touch and handle a sentient item, the sensation translates to touching their spirit form. The exact nature will vary depending on the item’s features. Holding a sword by its handle might only translate to holding their arm or hand (how lewd), while giving a sword’s blade a polish with an oily cloth could make them feel like they’re getting a rub-down with lotion. You can probably guess how carefully maintaining and grinding the blade’s edge and tip with a well-lubricated whetstone feels for them.</v>
      </c>
      <c r="I5" s="5"/>
    </row>
    <row r="6" spans="1:9 16384:16384" ht="104.4" x14ac:dyDescent="0.25">
      <c r="A6" s="16"/>
      <c r="B6" s="17">
        <v>2</v>
      </c>
      <c r="C6" s="4" t="b">
        <f ca="1">IFERROR(__xludf.DUMMYFUNCTION("""COMPUTED_VALUE"""),FALSE)</f>
        <v>0</v>
      </c>
      <c r="D6" s="4">
        <f ca="1">IFERROR(__xludf.DUMMYFUNCTION("""COMPUTED_VALUE"""),0)</f>
        <v>0</v>
      </c>
      <c r="E6" s="4" t="str">
        <f ca="1">IFERROR(__xludf.DUMMYFUNCTION("""COMPUTED_VALUE"""),"I Seduce the Darkness")</f>
        <v>I Seduce the Darkness</v>
      </c>
      <c r="F6" s="4" t="str">
        <f ca="1">IFERROR(__xludf.DUMMYFUNCTION("""COMPUTED_VALUE"""),"Destiny: Fuck the Darkness")</f>
        <v>Destiny: Fuck the Darkness</v>
      </c>
      <c r="G6" s="4" t="str">
        <f ca="1">IFERROR(__xludf.DUMMYFUNCTION("""COMPUTED_VALUE"""),"Seduction")</f>
        <v>Seduction</v>
      </c>
      <c r="H6" s="4" t="str">
        <f ca="1">IFERROR(__xludf.DUMMYFUNCTION("""COMPUTED_VALUE"""),"Let’s be blunt. There are a lot of things out there that might not find you anywhere on their “would bang” list. And some things that lack that list altogether. As that would be a massive hamper on your fun, this Perk makes it always possible for you to m"&amp;"ake the proper persuasive moves to worm your way into something’s good graces, at least in terms of lust. If it has sapience, you can seduce it, no matter how alien, eldritch, or incomprehensible it might otherwise be to you. Doesn't help you actually do "&amp;"it though.")</f>
        <v>Let’s be blunt. There are a lot of things out there that might not find you anywhere on their “would bang” list. And some things that lack that list altogether. As that would be a massive hamper on your fun, this Perk makes it always possible for you to make the proper persuasive moves to worm your way into something’s good graces, at least in terms of lust. If it has sapience, you can seduce it, no matter how alien, eldritch, or incomprehensible it might otherwise be to you. Doesn't help you actually do it though.</v>
      </c>
      <c r="I6" s="5"/>
    </row>
    <row r="7" spans="1:9 16384:16384" ht="69.599999999999994" x14ac:dyDescent="0.25">
      <c r="A7" s="16"/>
      <c r="B7" s="17">
        <v>3</v>
      </c>
      <c r="C7" s="2" t="b">
        <f ca="1">IFERROR(__xludf.DUMMYFUNCTION("""COMPUTED_VALUE"""),FALSE)</f>
        <v>0</v>
      </c>
      <c r="D7" s="2">
        <f ca="1">IFERROR(__xludf.DUMMYFUNCTION("""COMPUTED_VALUE"""),50)</f>
        <v>50</v>
      </c>
      <c r="E7" s="2" t="str">
        <f ca="1">IFERROR(__xludf.DUMMYFUNCTION("""COMPUTED_VALUE"""),"All in the Panel Work")</f>
        <v>All in the Panel Work</v>
      </c>
      <c r="F7" s="2" t="str">
        <f ca="1">IFERROR(__xludf.DUMMYFUNCTION("""COMPUTED_VALUE"""),"Ashigei Shoujo Komura-san")</f>
        <v>Ashigei Shoujo Komura-san</v>
      </c>
      <c r="G7" s="2" t="str">
        <f ca="1">IFERROR(__xludf.DUMMYFUNCTION("""COMPUTED_VALUE"""),"Seduction")</f>
        <v>Seduction</v>
      </c>
      <c r="H7" s="2" t="str">
        <f ca="1">IFERROR(__xludf.DUMMYFUNCTION("""COMPUTED_VALUE"""),"This world has a pretty clear bias on where it wants your eyes to linger. Even if you’re a 10/10 all around, this perk ensures that those who find you attractive will have their gaze gravitating to certain parts of your body. By default, this focuses on y"&amp;"our feet, and to a much lesser extent your whole lower body. You may choose a different part of your body to emphasize on purchase.")</f>
        <v>This world has a pretty clear bias on where it wants your eyes to linger. Even if you’re a 10/10 all around, this perk ensures that those who find you attractive will have their gaze gravitating to certain parts of your body. By default, this focuses on your feet, and to a much lesser extent your whole lower body. You may choose a different part of your body to emphasize on purchase.</v>
      </c>
      <c r="I7" s="5"/>
    </row>
    <row r="8" spans="1:9 16384:16384" ht="121.8" x14ac:dyDescent="0.25">
      <c r="A8" s="16"/>
      <c r="B8" s="17">
        <v>4</v>
      </c>
      <c r="C8" s="2" t="b">
        <f ca="1">IFERROR(__xludf.DUMMYFUNCTION("""COMPUTED_VALUE"""),FALSE)</f>
        <v>0</v>
      </c>
      <c r="D8" s="2">
        <f ca="1">IFERROR(__xludf.DUMMYFUNCTION("""COMPUTED_VALUE"""),50)</f>
        <v>50</v>
      </c>
      <c r="E8" s="2" t="str">
        <f ca="1">IFERROR(__xludf.DUMMYFUNCTION("""COMPUTED_VALUE"""),"Internal Radar")</f>
        <v>Internal Radar</v>
      </c>
      <c r="F8" s="2" t="str">
        <f ca="1">IFERROR(__xludf.DUMMYFUNCTION("""COMPUTED_VALUE"""),"Generic: Monster Fucker/Horny Horror")</f>
        <v>Generic: Monster Fucker/Horny Horror</v>
      </c>
      <c r="G8" s="2" t="str">
        <f ca="1">IFERROR(__xludf.DUMMYFUNCTION("""COMPUTED_VALUE"""),"Seduction")</f>
        <v>Seduction</v>
      </c>
      <c r="H8" s="2" t="str">
        <f ca="1">IFERROR(__xludf.DUMMYFUNCTION("""COMPUTED_VALUE"""),"The problem with masquerades, conspiracies, and dark underworlds is that it’s all kinda supposed to be secret. How are you going to meet some fanged sweetheart when she probably doesn’t even live in your town? 
This allows you to have an internal radar a"&amp;"llowing you to get a vague idea of where to find the archetype you’re looking for. You can pick three archetypes, and they can be as vague as vampires to specific as single mothers. Once a month, you may change one of these archetypes.")</f>
        <v>The problem with masquerades, conspiracies, and dark underworlds is that it’s all kinda supposed to be secret. How are you going to meet some fanged sweetheart when she probably doesn’t even live in your town? 
This allows you to have an internal radar allowing you to get a vague idea of where to find the archetype you’re looking for. You can pick three archetypes, and they can be as vague as vampires to specific as single mothers. Once a month, you may change one of these archetypes.</v>
      </c>
      <c r="I8" s="5"/>
    </row>
    <row r="9" spans="1:9 16384:16384" ht="121.8" x14ac:dyDescent="0.25">
      <c r="A9" s="16"/>
      <c r="B9" s="17">
        <v>5</v>
      </c>
      <c r="C9" s="2" t="b">
        <f ca="1">IFERROR(__xludf.DUMMYFUNCTION("""COMPUTED_VALUE"""),FALSE)</f>
        <v>0</v>
      </c>
      <c r="D9" s="2">
        <f ca="1">IFERROR(__xludf.DUMMYFUNCTION("""COMPUTED_VALUE"""),50)</f>
        <v>50</v>
      </c>
      <c r="E9" s="2" t="str">
        <f ca="1">IFERROR(__xludf.DUMMYFUNCTION("""COMPUTED_VALUE"""),"Normie Filter")</f>
        <v>Normie Filter</v>
      </c>
      <c r="F9" s="2" t="str">
        <f ca="1">IFERROR(__xludf.DUMMYFUNCTION("""COMPUTED_VALUE"""),"Generic: BDSM")</f>
        <v>Generic: BDSM</v>
      </c>
      <c r="G9" s="2" t="str">
        <f ca="1">IFERROR(__xludf.DUMMYFUNCTION("""COMPUTED_VALUE"""),"Seduction")</f>
        <v>Seduction</v>
      </c>
      <c r="H9" s="2" t="str">
        <f ca="1">IFERROR(__xludf.DUMMYFUNCTION("""COMPUTED_VALUE"""),"Many people are quick to judge others for their tastes in bedroom activities, and it can be hard to put yourself out there and admit to liking the things you do if you have a fear of rejection. Well worry no longer: you have an accurate sense for when a p"&amp;"erson is into or at the very least tolerant of your fetishes, regardless of what those fetishes may be. By judging their reactions to related topics you can accurately discern whether a person is faking interest or concealing it as well as gauge how likel"&amp;"y they are to enjoy more specific types of play within that fetish. It’s still up to you to get their consent for those activities however.")</f>
        <v>Many people are quick to judge others for their tastes in bedroom activities, and it can be hard to put yourself out there and admit to liking the things you do if you have a fear of rejection. Well worry no longer: you have an accurate sense for when a person is into or at the very least tolerant of your fetishes, regardless of what those fetishes may be. By judging their reactions to related topics you can accurately discern whether a person is faking interest or concealing it as well as gauge how likely they are to enjoy more specific types of play within that fetish. It’s still up to you to get their consent for those activities however.</v>
      </c>
      <c r="I9" s="5"/>
    </row>
    <row r="10" spans="1:9 16384:16384" ht="52.2" x14ac:dyDescent="0.25">
      <c r="A10" s="16"/>
      <c r="B10" s="17">
        <v>6</v>
      </c>
      <c r="C10" s="2" t="b">
        <f ca="1">IFERROR(__xludf.DUMMYFUNCTION("""COMPUTED_VALUE"""),FALSE)</f>
        <v>0</v>
      </c>
      <c r="D10" s="2">
        <f ca="1">IFERROR(__xludf.DUMMYFUNCTION("""COMPUTED_VALUE"""),50)</f>
        <v>50</v>
      </c>
      <c r="E10" s="2" t="str">
        <f ca="1">IFERROR(__xludf.DUMMYFUNCTION("""COMPUTED_VALUE"""),"Ren's Collar")</f>
        <v>Ren's Collar</v>
      </c>
      <c r="F10" s="2" t="str">
        <f ca="1">IFERROR(__xludf.DUMMYFUNCTION("""COMPUTED_VALUE"""),"Evening Starter")</f>
        <v>Evening Starter</v>
      </c>
      <c r="G10" s="2" t="str">
        <f ca="1">IFERROR(__xludf.DUMMYFUNCTION("""COMPUTED_VALUE"""),"Seduction")</f>
        <v>Seduction</v>
      </c>
      <c r="H10" s="2" t="str">
        <f ca="1">IFERROR(__xludf.DUMMYFUNCTION("""COMPUTED_VALUE"""),"A simple leather collar with a fine gold chain, it’s a very pretty decoration. It also has a subtle effect that charms individuals around you. While you can’t literally control them with said charm, they seem to favor you a bit more. Good for calming othe"&amp;"rs and getting the upper hand in negotiations.")</f>
        <v>A simple leather collar with a fine gold chain, it’s a very pretty decoration. It also has a subtle effect that charms individuals around you. While you can’t literally control them with said charm, they seem to favor you a bit more. Good for calming others and getting the upper hand in negotiations.</v>
      </c>
      <c r="I10" s="5"/>
    </row>
    <row r="11" spans="1:9 16384:16384" ht="52.2" x14ac:dyDescent="0.25">
      <c r="A11" s="16"/>
      <c r="B11" s="17">
        <v>7</v>
      </c>
      <c r="C11" s="2" t="b">
        <f ca="1">IFERROR(__xludf.DUMMYFUNCTION("""COMPUTED_VALUE"""),FALSE)</f>
        <v>0</v>
      </c>
      <c r="D11" s="2">
        <f ca="1">IFERROR(__xludf.DUMMYFUNCTION("""COMPUTED_VALUE"""),100)</f>
        <v>100</v>
      </c>
      <c r="E11" s="2" t="str">
        <f ca="1">IFERROR(__xludf.DUMMYFUNCTION("""COMPUTED_VALUE"""),"""Sacred Sword""")</f>
        <v>"Sacred Sword"</v>
      </c>
      <c r="F11" s="2" t="str">
        <f ca="1">IFERROR(__xludf.DUMMYFUNCTION("""COMPUTED_VALUE"""),"My Bride is the Demon Lord")</f>
        <v>My Bride is the Demon Lord</v>
      </c>
      <c r="G11" s="2" t="str">
        <f ca="1">IFERROR(__xludf.DUMMYFUNCTION("""COMPUTED_VALUE"""),"Seduction")</f>
        <v>Seduction</v>
      </c>
      <c r="H11" s="2" t="str">
        <f ca="1">IFERROR(__xludf.DUMMYFUNCTION("""COMPUTED_VALUE"""),"Much like with the original Hero and the Demon Lord, you just stand out to lustful people. The more interested someone is in sex, the more attention grabbing you become to them, and the fewer objections they’ll have to fucking you. This effect is increase"&amp;"d on those who are your enemies.")</f>
        <v>Much like with the original Hero and the Demon Lord, you just stand out to lustful people. The more interested someone is in sex, the more attention grabbing you become to them, and the fewer objections they’ll have to fucking you. This effect is increased on those who are your enemies.</v>
      </c>
      <c r="I11" s="5"/>
    </row>
    <row r="12" spans="1:9 16384:16384" ht="156.6" x14ac:dyDescent="0.25">
      <c r="A12" s="16"/>
      <c r="B12" s="17">
        <v>8</v>
      </c>
      <c r="C12" s="2" t="b">
        <f ca="1">IFERROR(__xludf.DUMMYFUNCTION("""COMPUTED_VALUE"""),FALSE)</f>
        <v>0</v>
      </c>
      <c r="D12" s="2">
        <f ca="1">IFERROR(__xludf.DUMMYFUNCTION("""COMPUTED_VALUE"""),100)</f>
        <v>100</v>
      </c>
      <c r="E12" s="2" t="str">
        <f ca="1">IFERROR(__xludf.DUMMYFUNCTION("""COMPUTED_VALUE"""),"Alicia’s Admirers")</f>
        <v>Alicia’s Admirers</v>
      </c>
      <c r="F12" s="2" t="str">
        <f ca="1">IFERROR(__xludf.DUMMYFUNCTION("""COMPUTED_VALUE"""),"Kuroinu")</f>
        <v>Kuroinu</v>
      </c>
      <c r="G12" s="2" t="str">
        <f ca="1">IFERROR(__xludf.DUMMYFUNCTION("""COMPUTED_VALUE"""),"Seduction")</f>
        <v>Seduction</v>
      </c>
      <c r="H12" s="2" t="str">
        <f ca="1">IFERROR(__xludf.DUMMYFUNCTION("""COMPUTED_VALUE"""),"Appointed by the Goddess Celestine the Princess Knight and following the incredibly noble task of protecting the kingdom from the depraved and monstrous forces of the Legion it is no surprise that they are well loved by their followers. Even if you are no"&amp;"t a Princess Knight you will find that you can easily gain the love and affection of your followers and people, especially if they see that you actually care about them. 
Very good for becoming an incredibly popular figure in the lands you rule, probably"&amp;" less than good when you're infatuated followers betray you and the country in order to claim you sexually for themselves.")</f>
        <v>Appointed by the Goddess Celestine the Princess Knight and following the incredibly noble task of protecting the kingdom from the depraved and monstrous forces of the Legion it is no surprise that they are well loved by their followers. Even if you are not a Princess Knight you will find that you can easily gain the love and affection of your followers and people, especially if they see that you actually care about them. 
Very good for becoming an incredibly popular figure in the lands you rule, probably less than good when you're infatuated followers betray you and the country in order to claim you sexually for themselves.</v>
      </c>
      <c r="I12" s="5"/>
    </row>
    <row r="13" spans="1:9 16384:16384" ht="87" x14ac:dyDescent="0.25">
      <c r="A13" s="16"/>
      <c r="B13" s="17">
        <v>9</v>
      </c>
      <c r="C13" s="2" t="b">
        <f ca="1">IFERROR(__xludf.DUMMYFUNCTION("""COMPUTED_VALUE"""),FALSE)</f>
        <v>0</v>
      </c>
      <c r="D13" s="2">
        <f ca="1">IFERROR(__xludf.DUMMYFUNCTION("""COMPUTED_VALUE"""),100)</f>
        <v>100</v>
      </c>
      <c r="E13" s="2" t="str">
        <f ca="1">IFERROR(__xludf.DUMMYFUNCTION("""COMPUTED_VALUE"""),"All Might Hoodie")</f>
        <v>All Might Hoodie</v>
      </c>
      <c r="F13" s="2" t="str">
        <f ca="1">IFERROR(__xludf.DUMMYFUNCTION("""COMPUTED_VALUE"""),"Boku To Nottori Nakademia")</f>
        <v>Boku To Nottori Nakademia</v>
      </c>
      <c r="G13" s="2" t="str">
        <f ca="1">IFERROR(__xludf.DUMMYFUNCTION("""COMPUTED_VALUE"""),"Seduction")</f>
        <v>Seduction</v>
      </c>
      <c r="H13" s="2" t="str">
        <f ca="1">IFERROR(__xludf.DUMMYFUNCTION("""COMPUTED_VALUE"""),"Supremely comfortable, warm, and never seeming to get dirty, this limited edition paraphernalia that slightly resembles the number 1 Hero of Japan is sure to draw the eyes of those around you...oddly enough those eyes mostly belong to the fairer gender ad"&amp;"miring your physique but occasionally you do meet some dudes who just think your hoodie’s cool. If damaged or destroyed a new one is sent to your current residence/storage.")</f>
        <v>Supremely comfortable, warm, and never seeming to get dirty, this limited edition paraphernalia that slightly resembles the number 1 Hero of Japan is sure to draw the eyes of those around you...oddly enough those eyes mostly belong to the fairer gender admiring your physique but occasionally you do meet some dudes who just think your hoodie’s cool. If damaged or destroyed a new one is sent to your current residence/storage.</v>
      </c>
      <c r="I13" s="5"/>
    </row>
    <row r="14" spans="1:9 16384:16384" ht="69.599999999999994" x14ac:dyDescent="0.25">
      <c r="A14" s="16"/>
      <c r="B14" s="17">
        <v>10</v>
      </c>
      <c r="C14" s="2" t="b">
        <f ca="1">IFERROR(__xludf.DUMMYFUNCTION("""COMPUTED_VALUE"""),FALSE)</f>
        <v>0</v>
      </c>
      <c r="D14" s="2">
        <f ca="1">IFERROR(__xludf.DUMMYFUNCTION("""COMPUTED_VALUE"""),100)</f>
        <v>100</v>
      </c>
      <c r="E14" s="2" t="str">
        <f ca="1">IFERROR(__xludf.DUMMYFUNCTION("""COMPUTED_VALUE"""),"Bedpost Notches")</f>
        <v>Bedpost Notches</v>
      </c>
      <c r="F14" s="2" t="str">
        <f ca="1">IFERROR(__xludf.DUMMYFUNCTION("""COMPUTED_VALUE"""),"Generic: Hentai World")</f>
        <v>Generic: Hentai World</v>
      </c>
      <c r="G14" s="2" t="str">
        <f ca="1">IFERROR(__xludf.DUMMYFUNCTION("""COMPUTED_VALUE"""),"Seduction")</f>
        <v>Seduction</v>
      </c>
      <c r="H14" s="2" t="str">
        <f ca="1">IFERROR(__xludf.DUMMYFUNCTION("""COMPUTED_VALUE"""),"It seems that, at least in terms of getting laid, success breeds success for you. Each sexual encounter you have with a different individual fractionally improves your seduction skills. Similarly for each different individual you have performed a specific"&amp;" sexual act with, everyone else becomes a fraction more amenable to the same thing once you have seduced them.")</f>
        <v>It seems that, at least in terms of getting laid, success breeds success for you. Each sexual encounter you have with a different individual fractionally improves your seduction skills. Similarly for each different individual you have performed a specific sexual act with, everyone else becomes a fraction more amenable to the same thing once you have seduced them.</v>
      </c>
      <c r="I14" s="5"/>
    </row>
    <row r="15" spans="1:9 16384:16384" ht="69.599999999999994" x14ac:dyDescent="0.25">
      <c r="A15" s="16"/>
      <c r="B15" s="17">
        <v>11</v>
      </c>
      <c r="C15" s="2" t="b">
        <f ca="1">IFERROR(__xludf.DUMMYFUNCTION("""COMPUTED_VALUE"""),FALSE)</f>
        <v>0</v>
      </c>
      <c r="D15" s="2">
        <f ca="1">IFERROR(__xludf.DUMMYFUNCTION("""COMPUTED_VALUE"""),100)</f>
        <v>100</v>
      </c>
      <c r="E15" s="2" t="str">
        <f ca="1">IFERROR(__xludf.DUMMYFUNCTION("""COMPUTED_VALUE"""),"Bedroom Eyes")</f>
        <v>Bedroom Eyes</v>
      </c>
      <c r="F15" s="2" t="str">
        <f ca="1">IFERROR(__xludf.DUMMYFUNCTION("""COMPUTED_VALUE"""),"Baalbuddy")</f>
        <v>Baalbuddy</v>
      </c>
      <c r="G15" s="2" t="str">
        <f ca="1">IFERROR(__xludf.DUMMYFUNCTION("""COMPUTED_VALUE"""),"Seduction")</f>
        <v>Seduction</v>
      </c>
      <c r="H15" s="2" t="str">
        <f ca="1">IFERROR(__xludf.DUMMYFUNCTION("""COMPUTED_VALUE"""),"If you’re here, then you’re probably the type to think ‘Ay bby want sum fuk?’ to be a great pickup line. Thanks to the wonders of magic, you can skip right past even that part. Just eyeball someone and bestow upon them the instant realization that you wan"&amp;"t to bang. This power will work on anything that has a mind, no matter how eldritch, alien, or broken it may be.")</f>
        <v>If you’re here, then you’re probably the type to think ‘Ay bby want sum fuk?’ to be a great pickup line. Thanks to the wonders of magic, you can skip right past even that part. Just eyeball someone and bestow upon them the instant realization that you want to bang. This power will work on anything that has a mind, no matter how eldritch, alien, or broken it may be.</v>
      </c>
      <c r="I15" s="5"/>
    </row>
    <row r="16" spans="1:9 16384:16384" ht="139.19999999999999" x14ac:dyDescent="0.25">
      <c r="A16" s="16"/>
      <c r="B16" s="17">
        <v>12</v>
      </c>
      <c r="C16" s="2" t="b">
        <f ca="1">IFERROR(__xludf.DUMMYFUNCTION("""COMPUTED_VALUE"""),FALSE)</f>
        <v>0</v>
      </c>
      <c r="D16" s="2">
        <f ca="1">IFERROR(__xludf.DUMMYFUNCTION("""COMPUTED_VALUE"""),100)</f>
        <v>100</v>
      </c>
      <c r="E16" s="2" t="str">
        <f ca="1">IFERROR(__xludf.DUMMYFUNCTION("""COMPUTED_VALUE"""),"Beneath the Mask")</f>
        <v>Beneath the Mask</v>
      </c>
      <c r="F16" s="2" t="str">
        <f ca="1">IFERROR(__xludf.DUMMYFUNCTION("""COMPUTED_VALUE"""),"Angel Academy ~ Hardcore Dorm Sex Life")</f>
        <v>Angel Academy ~ Hardcore Dorm Sex Life</v>
      </c>
      <c r="G16" s="2" t="str">
        <f ca="1">IFERROR(__xludf.DUMMYFUNCTION("""COMPUTED_VALUE"""),"Seduction")</f>
        <v>Seduction</v>
      </c>
      <c r="H16" s="2" t="str">
        <f ca="1">IFERROR(__xludf.DUMMYFUNCTION("""COMPUTED_VALUE"""),"Society has convinced a lot of people that erotic desires are “improper” and “unbecoming of a lady” and so on, but society can’t change human biology. People are naturally wired to love sex and pleasure no matter how much they might try to pretend otherwi"&amp;"se, and you can easily see through the excuses and false fronts they put up to hide their true feelings from you. You can always sense when a person has romantic or sexual interest in you, and you have an accurate sense for the subtle tells a person gives"&amp;" when “no” actually means “yes”. As long as you heed this unspoken consent your partners will never treat sex with you as rape after the fact, regardless of whatever protests they might make as you ravish them.")</f>
        <v>Society has convinced a lot of people that erotic desires are “improper” and “unbecoming of a lady” and so on, but society can’t change human biology. People are naturally wired to love sex and pleasure no matter how much they might try to pretend otherwise, and you can easily see through the excuses and false fronts they put up to hide their true feelings from you. You can always sense when a person has romantic or sexual interest in you, and you have an accurate sense for the subtle tells a person gives when “no” actually means “yes”. As long as you heed this unspoken consent your partners will never treat sex with you as rape after the fact, regardless of whatever protests they might make as you ravish them.</v>
      </c>
      <c r="I16" s="5"/>
    </row>
    <row r="17" spans="1:9" ht="104.4" x14ac:dyDescent="0.25">
      <c r="A17" s="16"/>
      <c r="B17" s="17">
        <v>13</v>
      </c>
      <c r="C17" s="2" t="b">
        <f ca="1">IFERROR(__xludf.DUMMYFUNCTION("""COMPUTED_VALUE"""),FALSE)</f>
        <v>0</v>
      </c>
      <c r="D17" s="2">
        <f ca="1">IFERROR(__xludf.DUMMYFUNCTION("""COMPUTED_VALUE"""),100)</f>
        <v>100</v>
      </c>
      <c r="E17" s="2" t="str">
        <f ca="1">IFERROR(__xludf.DUMMYFUNCTION("""COMPUTED_VALUE"""),"Born to be Lewded")</f>
        <v>Born to be Lewded</v>
      </c>
      <c r="F17" s="2" t="str">
        <f ca="1">IFERROR(__xludf.DUMMYFUNCTION("""COMPUTED_VALUE"""),"Haydee")</f>
        <v>Haydee</v>
      </c>
      <c r="G17" s="2" t="str">
        <f ca="1">IFERROR(__xludf.DUMMYFUNCTION("""COMPUTED_VALUE"""),"Seduction")</f>
        <v>Seduction</v>
      </c>
      <c r="H17" s="2" t="str">
        <f ca="1">IFERROR(__xludf.DUMMYFUNCTION("""COMPUTED_VALUE"""),"Well, I can’t see how this would help you here, but, granted, whomever designed the Haydee units certainly had exquisite taste. Ahem, this Perk grants you the ability to get stuck in people’s heads, in the erotic fantasy kind of way. A stranger passing yo"&amp;"u in the street, supposing you survive this experience, wouldn’t even know your name, and yet they would be fixated on you for weeks just from the sight. If they were of an artistic bent, ream after ream of lewd art, of you. As a potential mercy, you can "&amp;"toggle this Perk.")</f>
        <v>Well, I can’t see how this would help you here, but, granted, whomever designed the Haydee units certainly had exquisite taste. Ahem, this Perk grants you the ability to get stuck in people’s heads, in the erotic fantasy kind of way. A stranger passing you in the street, supposing you survive this experience, wouldn’t even know your name, and yet they would be fixated on you for weeks just from the sight. If they were of an artistic bent, ream after ream of lewd art, of you. As a potential mercy, you can toggle this Perk.</v>
      </c>
      <c r="I17" s="5"/>
    </row>
    <row r="18" spans="1:9" ht="139.19999999999999" x14ac:dyDescent="0.25">
      <c r="A18" s="16"/>
      <c r="B18" s="17">
        <v>14</v>
      </c>
      <c r="C18" s="2" t="b">
        <f ca="1">IFERROR(__xludf.DUMMYFUNCTION("""COMPUTED_VALUE"""),FALSE)</f>
        <v>0</v>
      </c>
      <c r="D18" s="2">
        <f ca="1">IFERROR(__xludf.DUMMYFUNCTION("""COMPUTED_VALUE"""),100)</f>
        <v>100</v>
      </c>
      <c r="E18" s="2" t="str">
        <f ca="1">IFERROR(__xludf.DUMMYFUNCTION("""COMPUTED_VALUE"""),"Chance Encounters")</f>
        <v>Chance Encounters</v>
      </c>
      <c r="F18" s="2" t="str">
        <f ca="1">IFERROR(__xludf.DUMMYFUNCTION("""COMPUTED_VALUE"""),"A Change of Tactics V2.2")</f>
        <v>A Change of Tactics V2.2</v>
      </c>
      <c r="G18" s="2" t="str">
        <f ca="1">IFERROR(__xludf.DUMMYFUNCTION("""COMPUTED_VALUE"""),"Seduction")</f>
        <v>Seduction</v>
      </c>
      <c r="H18" s="2" t="str">
        <f ca="1">IFERROR(__xludf.DUMMYFUNCTION("""COMPUTED_VALUE"""),"The Shepherds are tied together by bonds of trust and friendship crossing race, class, and nationality, but before those bonds could be forged they had to find each other first. You have extraordinary good fortune in meeting new friends, whether it’s a my"&amp;"sterious stranger lying unconscious by the road who happens to be a magnificent tactician or an enemy soldier who could become the love of your life if given the chance. Fate conspires to arrange meetings between you and these potential allies and helps t"&amp;"o ensure that your first meeting is a friendly one. Even in the chaos of battle with enemies all around you, you’ll somehow always manage to run into the one soldier who wants to defect without accidentally cutting her down first.")</f>
        <v>The Shepherds are tied together by bonds of trust and friendship crossing race, class, and nationality, but before those bonds could be forged they had to find each other first. You have extraordinary good fortune in meeting new friends, whether it’s a mysterious stranger lying unconscious by the road who happens to be a magnificent tactician or an enemy soldier who could become the love of your life if given the chance. Fate conspires to arrange meetings between you and these potential allies and helps to ensure that your first meeting is a friendly one. Even in the chaos of battle with enemies all around you, you’ll somehow always manage to run into the one soldier who wants to defect without accidentally cutting her down first.</v>
      </c>
      <c r="I18" s="5"/>
    </row>
    <row r="19" spans="1:9" ht="156.6" x14ac:dyDescent="0.25">
      <c r="A19" s="16"/>
      <c r="B19" s="17">
        <v>15</v>
      </c>
      <c r="C19" s="2" t="b">
        <f ca="1">IFERROR(__xludf.DUMMYFUNCTION("""COMPUTED_VALUE"""),FALSE)</f>
        <v>0</v>
      </c>
      <c r="D19" s="2">
        <f ca="1">IFERROR(__xludf.DUMMYFUNCTION("""COMPUTED_VALUE"""),100)</f>
        <v>100</v>
      </c>
      <c r="E19" s="2" t="str">
        <f ca="1">IFERROR(__xludf.DUMMYFUNCTION("""COMPUTED_VALUE"""),"Charming")</f>
        <v>Charming</v>
      </c>
      <c r="F19" s="2" t="str">
        <f ca="1">IFERROR(__xludf.DUMMYFUNCTION("""COMPUTED_VALUE"""),"The World of Lolis")</f>
        <v>The World of Lolis</v>
      </c>
      <c r="G19" s="2" t="str">
        <f ca="1">IFERROR(__xludf.DUMMYFUNCTION("""COMPUTED_VALUE"""),"Seduction")</f>
        <v>Seduction</v>
      </c>
      <c r="H19" s="2" t="str">
        <f ca="1">IFERROR(__xludf.DUMMYFUNCTION("""COMPUTED_VALUE"""),"There’s just something about you that tends to bring people in, Master/Madame. You have a charming nature that can allow you to seduce anyone you like, though it has a magnified effect when you’re trying to seduce people younger than you are. You’re guara"&amp;"nteed never to stumble over your words, as well finding the right ones in a given situation, making you a pretty effective intermediator. People just seem to get along around you, even when the personalities surrounding you might threaten to be quite vola"&amp;"tile when mixed into a room together.
To top it all off, you also gain a natural kind of confidence when dealing with people or situations, giving off a dependable air that’s sure to make you quite popular.")</f>
        <v>There’s just something about you that tends to bring people in, Master/Madame. You have a charming nature that can allow you to seduce anyone you like, though it has a magnified effect when you’re trying to seduce people younger than you are. You’re guaranteed never to stumble over your words, as well finding the right ones in a given situation, making you a pretty effective intermediator. People just seem to get along around you, even when the personalities surrounding you might threaten to be quite volatile when mixed into a room together.
To top it all off, you also gain a natural kind of confidence when dealing with people or situations, giving off a dependable air that’s sure to make you quite popular.</v>
      </c>
      <c r="I19" s="5"/>
    </row>
    <row r="20" spans="1:9" ht="69.599999999999994" x14ac:dyDescent="0.25">
      <c r="A20" s="16"/>
      <c r="B20" s="17">
        <v>16</v>
      </c>
      <c r="C20" s="2" t="b">
        <f ca="1">IFERROR(__xludf.DUMMYFUNCTION("""COMPUTED_VALUE"""),FALSE)</f>
        <v>0</v>
      </c>
      <c r="D20" s="2">
        <f ca="1">IFERROR(__xludf.DUMMYFUNCTION("""COMPUTED_VALUE"""),100)</f>
        <v>100</v>
      </c>
      <c r="E20" s="2" t="str">
        <f ca="1">IFERROR(__xludf.DUMMYFUNCTION("""COMPUTED_VALUE"""),"Cheesy Love Expert")</f>
        <v>Cheesy Love Expert</v>
      </c>
      <c r="F20" s="2" t="str">
        <f ca="1">IFERROR(__xludf.DUMMYFUNCTION("""COMPUTED_VALUE"""),"Destiny: Fuck the Darkness")</f>
        <v>Destiny: Fuck the Darkness</v>
      </c>
      <c r="G20" s="2" t="str">
        <f ca="1">IFERROR(__xludf.DUMMYFUNCTION("""COMPUTED_VALUE"""),"Seduction")</f>
        <v>Seduction</v>
      </c>
      <c r="H20" s="2" t="str">
        <f ca="1">IFERROR(__xludf.DUMMYFUNCTION("""COMPUTED_VALUE"""),"You know all of those groan-worthy stunts that get pulled in romantic comedies? You know, showing up outside a girl’s house and holding up a stereo... sappy stuff like that. You are now an expert at all of that. And as long as your intentions are upright,"&amp;" they will never be taken as creepy or offensive.")</f>
        <v>You know all of those groan-worthy stunts that get pulled in romantic comedies? You know, showing up outside a girl’s house and holding up a stereo... sappy stuff like that. You are now an expert at all of that. And as long as your intentions are upright, they will never be taken as creepy or offensive.</v>
      </c>
      <c r="I20" s="5"/>
    </row>
    <row r="21" spans="1:9" ht="87" x14ac:dyDescent="0.25">
      <c r="A21" s="16"/>
      <c r="B21" s="17">
        <v>17</v>
      </c>
      <c r="C21" s="2" t="b">
        <f ca="1">IFERROR(__xludf.DUMMYFUNCTION("""COMPUTED_VALUE"""),FALSE)</f>
        <v>0</v>
      </c>
      <c r="D21" s="2">
        <f ca="1">IFERROR(__xludf.DUMMYFUNCTION("""COMPUTED_VALUE"""),100)</f>
        <v>100</v>
      </c>
      <c r="E21" s="2" t="str">
        <f ca="1">IFERROR(__xludf.DUMMYFUNCTION("""COMPUTED_VALUE"""),"Cold and Wrathful")</f>
        <v>Cold and Wrathful</v>
      </c>
      <c r="F21" s="2" t="str">
        <f ca="1">IFERROR(__xludf.DUMMYFUNCTION("""COMPUTED_VALUE"""),"World of Lewd Horror")</f>
        <v>World of Lewd Horror</v>
      </c>
      <c r="G21" s="2" t="str">
        <f ca="1">IFERROR(__xludf.DUMMYFUNCTION("""COMPUTED_VALUE"""),"Seduction")</f>
        <v>Seduction</v>
      </c>
      <c r="H21" s="2" t="str">
        <f ca="1">IFERROR(__xludf.DUMMYFUNCTION("""COMPUTED_VALUE"""),"You have the bearing of a true lord of the night and a melodic, sexy, and commanding voice along with (optionally) a pleasantly exotic accent that sounds unidentifiably foreign no matter where you are. Even under pressure, you can maintain a steely gaze a"&amp;"nd calm demeanor. Anyone with the slightest of submissive tendencies won’t be able to help but need to repress a shudder at the thought of you dominating them.")</f>
        <v>You have the bearing of a true lord of the night and a melodic, sexy, and commanding voice along with (optionally) a pleasantly exotic accent that sounds unidentifiably foreign no matter where you are. Even under pressure, you can maintain a steely gaze and calm demeanor. Anyone with the slightest of submissive tendencies won’t be able to help but need to repress a shudder at the thought of you dominating them.</v>
      </c>
      <c r="I21" s="5"/>
    </row>
    <row r="22" spans="1:9" ht="104.4" x14ac:dyDescent="0.25">
      <c r="A22" s="16"/>
      <c r="B22" s="17">
        <v>18</v>
      </c>
      <c r="C22" s="2" t="b">
        <f ca="1">IFERROR(__xludf.DUMMYFUNCTION("""COMPUTED_VALUE"""),FALSE)</f>
        <v>0</v>
      </c>
      <c r="D22" s="2">
        <f ca="1">IFERROR(__xludf.DUMMYFUNCTION("""COMPUTED_VALUE"""),100)</f>
        <v>100</v>
      </c>
      <c r="E22" s="2" t="str">
        <f ca="1">IFERROR(__xludf.DUMMYFUNCTION("""COMPUTED_VALUE"""),"Cool Uncle")</f>
        <v>Cool Uncle</v>
      </c>
      <c r="F22" s="2" t="str">
        <f ca="1">IFERROR(__xludf.DUMMYFUNCTION("""COMPUTED_VALUE"""),"LeWdBY")</f>
        <v>LeWdBY</v>
      </c>
      <c r="G22" s="2" t="str">
        <f ca="1">IFERROR(__xludf.DUMMYFUNCTION("""COMPUTED_VALUE"""),"Seduction")</f>
        <v>Seduction</v>
      </c>
      <c r="H22" s="2" t="str">
        <f ca="1">IFERROR(__xludf.DUMMYFUNCTION("""COMPUTED_VALUE"""),"It can be hard connecting with the kids these days with their crazy fads. But the younger generation considers you to be almost one of them, an older and more experienced friend who they can come to with their problems. Or they might just want to hang out"&amp;" and play video games. In fact, they wouldn’t even be opposed to dating you. After all, you aren’t some old fogey. To them you’re a mature and trustworthy adult who would be an excellent teacher for their first romance or first roll in the hay.")</f>
        <v>It can be hard connecting with the kids these days with their crazy fads. But the younger generation considers you to be almost one of them, an older and more experienced friend who they can come to with their problems. Or they might just want to hang out and play video games. In fact, they wouldn’t even be opposed to dating you. After all, you aren’t some old fogey. To them you’re a mature and trustworthy adult who would be an excellent teacher for their first romance or first roll in the hay.</v>
      </c>
      <c r="I22" s="5"/>
    </row>
    <row r="23" spans="1:9" ht="69.599999999999994" x14ac:dyDescent="0.25">
      <c r="A23" s="16"/>
      <c r="B23" s="17">
        <v>19</v>
      </c>
      <c r="C23" s="2" t="b">
        <f ca="1">IFERROR(__xludf.DUMMYFUNCTION("""COMPUTED_VALUE"""),FALSE)</f>
        <v>0</v>
      </c>
      <c r="D23" s="2">
        <f ca="1">IFERROR(__xludf.DUMMYFUNCTION("""COMPUTED_VALUE"""),100)</f>
        <v>100</v>
      </c>
      <c r="E23" s="2" t="str">
        <f ca="1">IFERROR(__xludf.DUMMYFUNCTION("""COMPUTED_VALUE"""),"Dapper Gent/Dame")</f>
        <v>Dapper Gent/Dame</v>
      </c>
      <c r="F23" s="2" t="str">
        <f ca="1">IFERROR(__xludf.DUMMYFUNCTION("""COMPUTED_VALUE"""),"Destiny: Fuck the Darkness")</f>
        <v>Destiny: Fuck the Darkness</v>
      </c>
      <c r="G23" s="2" t="str">
        <f ca="1">IFERROR(__xludf.DUMMYFUNCTION("""COMPUTED_VALUE"""),"Seduction")</f>
        <v>Seduction</v>
      </c>
      <c r="H23" s="2" t="str">
        <f ca="1">IFERROR(__xludf.DUMMYFUNCTION("""COMPUTED_VALUE"""),"You know what is severely under-rated in this day and age? Class. Every Guardian is too busy running hither and yon, chasing that next hottest piece of loot to just take a moment and, breathe. You are not that kind of person, and believe me, it shows in t"&amp;"his world. You’ve got the presence of a royal, always poised and dignified under pressure of any kind.")</f>
        <v>You know what is severely under-rated in this day and age? Class. Every Guardian is too busy running hither and yon, chasing that next hottest piece of loot to just take a moment and, breathe. You are not that kind of person, and believe me, it shows in this world. You’ve got the presence of a royal, always poised and dignified under pressure of any kind.</v>
      </c>
      <c r="I23" s="5"/>
    </row>
    <row r="24" spans="1:9" ht="87" x14ac:dyDescent="0.25">
      <c r="A24" s="16"/>
      <c r="B24" s="17">
        <v>20</v>
      </c>
      <c r="C24" s="2" t="b">
        <f ca="1">IFERROR(__xludf.DUMMYFUNCTION("""COMPUTED_VALUE"""),FALSE)</f>
        <v>0</v>
      </c>
      <c r="D24" s="2">
        <f ca="1">IFERROR(__xludf.DUMMYFUNCTION("""COMPUTED_VALUE"""),100)</f>
        <v>100</v>
      </c>
      <c r="E24" s="2" t="str">
        <f ca="1">IFERROR(__xludf.DUMMYFUNCTION("""COMPUTED_VALUE"""),"Escaping the JNPRzone")</f>
        <v>Escaping the JNPRzone</v>
      </c>
      <c r="F24" s="2" t="str">
        <f ca="1">IFERROR(__xludf.DUMMYFUNCTION("""COMPUTED_VALUE"""),"LeWdBY")</f>
        <v>LeWdBY</v>
      </c>
      <c r="G24" s="2" t="str">
        <f ca="1">IFERROR(__xludf.DUMMYFUNCTION("""COMPUTED_VALUE"""),"Seduction")</f>
        <v>Seduction</v>
      </c>
      <c r="H24" s="2" t="str">
        <f ca="1">IFERROR(__xludf.DUMMYFUNCTION("""COMPUTED_VALUE"""),"What is wrong with the boys at Beacon that they can’t notice the gorgeous babes throwing themselves at them? At least you don’t have that problem. Rather than futilely dropping hints at an oblivious teammate, you know how to smoothly transition from frien"&amp;"dship to fuck buddy, or a real relationship if that’s what you’d prefer, and how to easily maintain a friendship after making a failed pass or turning someone down.")</f>
        <v>What is wrong with the boys at Beacon that they can’t notice the gorgeous babes throwing themselves at them? At least you don’t have that problem. Rather than futilely dropping hints at an oblivious teammate, you know how to smoothly transition from friendship to fuck buddy, or a real relationship if that’s what you’d prefer, and how to easily maintain a friendship after making a failed pass or turning someone down.</v>
      </c>
      <c r="I24" s="5"/>
    </row>
    <row r="25" spans="1:9" ht="104.4" x14ac:dyDescent="0.25">
      <c r="A25" s="16"/>
      <c r="B25" s="17">
        <v>21</v>
      </c>
      <c r="C25" s="2" t="b">
        <f ca="1">IFERROR(__xludf.DUMMYFUNCTION("""COMPUTED_VALUE"""),FALSE)</f>
        <v>0</v>
      </c>
      <c r="D25" s="2">
        <f ca="1">IFERROR(__xludf.DUMMYFUNCTION("""COMPUTED_VALUE"""),100)</f>
        <v>100</v>
      </c>
      <c r="E25" s="2" t="str">
        <f ca="1">IFERROR(__xludf.DUMMYFUNCTION("""COMPUTED_VALUE"""),"Family Tradition")</f>
        <v>Family Tradition</v>
      </c>
      <c r="F25" s="2" t="str">
        <f ca="1">IFERROR(__xludf.DUMMYFUNCTION("""COMPUTED_VALUE"""),"Burakku Gakkou Ni Tsutomete Shimatta Sensei")</f>
        <v>Burakku Gakkou Ni Tsutomete Shimatta Sensei</v>
      </c>
      <c r="G25" s="2" t="str">
        <f ca="1">IFERROR(__xludf.DUMMYFUNCTION("""COMPUTED_VALUE"""),"Seduction")</f>
        <v>Seduction</v>
      </c>
      <c r="H25" s="2" t="str">
        <f ca="1">IFERROR(__xludf.DUMMYFUNCTION("""COMPUTED_VALUE"""),"There are some uncomfortably sexual family arrangements in this manga, not the least of which is Emi-sensei and her mother. But now, you find opportunities for such relationships popping up; people who are related to you are more open to the possibility o"&amp;"f incestuous relationships, and the problems that ordinarily affect such affairs simply don’t occur.
As a side note, massaging a woman’s breasts on a regular basis will now prevent them from sagging.")</f>
        <v>There are some uncomfortably sexual family arrangements in this manga, not the least of which is Emi-sensei and her mother. But now, you find opportunities for such relationships popping up; people who are related to you are more open to the possibility of incestuous relationships, and the problems that ordinarily affect such affairs simply don’t occur.
As a side note, massaging a woman’s breasts on a regular basis will now prevent them from sagging.</v>
      </c>
      <c r="I25" s="5"/>
    </row>
    <row r="26" spans="1:9" ht="87" x14ac:dyDescent="0.25">
      <c r="A26" s="16"/>
      <c r="B26" s="17">
        <v>22</v>
      </c>
      <c r="C26" s="2" t="b">
        <f ca="1">IFERROR(__xludf.DUMMYFUNCTION("""COMPUTED_VALUE"""),FALSE)</f>
        <v>0</v>
      </c>
      <c r="D26" s="2">
        <f ca="1">IFERROR(__xludf.DUMMYFUNCTION("""COMPUTED_VALUE"""),100)</f>
        <v>100</v>
      </c>
      <c r="E26" s="2" t="str">
        <f ca="1">IFERROR(__xludf.DUMMYFUNCTION("""COMPUTED_VALUE"""),"Fe Fi Fo Fum, I Smell the Blood of a Fresh Vir-gin")</f>
        <v>Fe Fi Fo Fum, I Smell the Blood of a Fresh Vir-gin</v>
      </c>
      <c r="F26" s="2" t="str">
        <f ca="1">IFERROR(__xludf.DUMMYFUNCTION("""COMPUTED_VALUE"""),"Defiler Wings")</f>
        <v>Defiler Wings</v>
      </c>
      <c r="G26" s="2" t="str">
        <f ca="1">IFERROR(__xludf.DUMMYFUNCTION("""COMPUTED_VALUE"""),"Seduction")</f>
        <v>Seduction</v>
      </c>
      <c r="H26" s="2" t="str">
        <f ca="1">IFERROR(__xludf.DUMMYFUNCTION("""COMPUTED_VALUE"""),"Dragonspawn can only be made with the body of a virgin - or perhaps that’s just the pride showing itself? Regardless, your nose is right on the dot when it comes to these things. You can smell her virginity, how ‘ripe’ she is - or how long it will take fo"&amp;"r her to grow into it - and even things like how many children a woman has, or how recently she laid with a man. It seems like you can extract months worth of information on their ‘habits’ with just a whiff.")</f>
        <v>Dragonspawn can only be made with the body of a virgin - or perhaps that’s just the pride showing itself? Regardless, your nose is right on the dot when it comes to these things. You can smell her virginity, how ‘ripe’ she is - or how long it will take for her to grow into it - and even things like how many children a woman has, or how recently she laid with a man. It seems like you can extract months worth of information on their ‘habits’ with just a whiff.</v>
      </c>
      <c r="I26" s="5"/>
    </row>
    <row r="27" spans="1:9" ht="121.8" x14ac:dyDescent="0.25">
      <c r="A27" s="16"/>
      <c r="B27" s="17">
        <v>23</v>
      </c>
      <c r="C27" s="2" t="b">
        <f ca="1">IFERROR(__xludf.DUMMYFUNCTION("""COMPUTED_VALUE"""),FALSE)</f>
        <v>0</v>
      </c>
      <c r="D27" s="2">
        <f ca="1">IFERROR(__xludf.DUMMYFUNCTION("""COMPUTED_VALUE"""),100)</f>
        <v>100</v>
      </c>
      <c r="E27" s="2" t="str">
        <f ca="1">IFERROR(__xludf.DUMMYFUNCTION("""COMPUTED_VALUE"""),"Fraternize Away")</f>
        <v>Fraternize Away</v>
      </c>
      <c r="F27" s="2" t="str">
        <f ca="1">IFERROR(__xludf.DUMMYFUNCTION("""COMPUTED_VALUE"""),"Although Young People Recoil from Entering the Black Magic Industry...")</f>
        <v>Although Young People Recoil from Entering the Black Magic Industry...</v>
      </c>
      <c r="G27" s="2" t="str">
        <f ca="1">IFERROR(__xludf.DUMMYFUNCTION("""COMPUTED_VALUE"""),"Seduction")</f>
        <v>Seduction</v>
      </c>
      <c r="H27" s="2" t="str">
        <f ca="1">IFERROR(__xludf.DUMMYFUNCTION("""COMPUTED_VALUE"""),"You will never get in trouble for the non - hostile relationships you have with others in your workplace, regardless of if these relationships are romantic, sexual, or purely friendly, whether they be with coworkers, subordinates, or your superiors.")</f>
        <v>You will never get in trouble for the non - hostile relationships you have with others in your workplace, regardless of if these relationships are romantic, sexual, or purely friendly, whether they be with coworkers, subordinates, or your superiors.</v>
      </c>
      <c r="I27" s="5"/>
    </row>
    <row r="28" spans="1:9" ht="52.2" x14ac:dyDescent="0.25">
      <c r="A28" s="16"/>
      <c r="B28" s="17">
        <v>24</v>
      </c>
      <c r="C28" s="2" t="b">
        <f ca="1">IFERROR(__xludf.DUMMYFUNCTION("""COMPUTED_VALUE"""),FALSE)</f>
        <v>0</v>
      </c>
      <c r="D28" s="2">
        <f ca="1">IFERROR(__xludf.DUMMYFUNCTION("""COMPUTED_VALUE"""),100)</f>
        <v>100</v>
      </c>
      <c r="E28" s="2" t="str">
        <f ca="1">IFERROR(__xludf.DUMMYFUNCTION("""COMPUTED_VALUE"""),"Friendzoned for the Win")</f>
        <v>Friendzoned for the Win</v>
      </c>
      <c r="F28" s="2" t="str">
        <f ca="1">IFERROR(__xludf.DUMMYFUNCTION("""COMPUTED_VALUE"""),"Generic: Virgin")</f>
        <v>Generic: Virgin</v>
      </c>
      <c r="G28" s="2" t="str">
        <f ca="1">IFERROR(__xludf.DUMMYFUNCTION("""COMPUTED_VALUE"""),"Seduction")</f>
        <v>Seduction</v>
      </c>
      <c r="H28" s="2" t="str">
        <f ca="1">IFERROR(__xludf.DUMMYFUNCTION("""COMPUTED_VALUE"""),"Since you’re not really into that whole dating / sex thing, you’re exceptionally good at getting people to view you as a friend, possibly even a lifelong one, and sharing all the details of their romantic / sexual life with you as if you’re a trusted conf"&amp;"idant.")</f>
        <v>Since you’re not really into that whole dating / sex thing, you’re exceptionally good at getting people to view you as a friend, possibly even a lifelong one, and sharing all the details of their romantic / sexual life with you as if you’re a trusted confidant.</v>
      </c>
      <c r="I28" s="5"/>
    </row>
    <row r="29" spans="1:9" ht="330.6" x14ac:dyDescent="0.25">
      <c r="A29" s="16"/>
      <c r="B29" s="17">
        <v>25</v>
      </c>
      <c r="C29" s="2" t="b">
        <f ca="1">IFERROR(__xludf.DUMMYFUNCTION("""COMPUTED_VALUE"""),FALSE)</f>
        <v>0</v>
      </c>
      <c r="D29" s="2">
        <f ca="1">IFERROR(__xludf.DUMMYFUNCTION("""COMPUTED_VALUE"""),100)</f>
        <v>100</v>
      </c>
      <c r="E29" s="2" t="str">
        <f ca="1">IFERROR(__xludf.DUMMYFUNCTION("""COMPUTED_VALUE"""),"Hubba-Lubba-Bubba")</f>
        <v>Hubba-Lubba-Bubba</v>
      </c>
      <c r="F29" s="2" t="str">
        <f ca="1">IFERROR(__xludf.DUMMYFUNCTION("""COMPUTED_VALUE"""),"Paccsu")</f>
        <v>Paccsu</v>
      </c>
      <c r="G29" s="2" t="str">
        <f ca="1">IFERROR(__xludf.DUMMYFUNCTION("""COMPUTED_VALUE"""),"Seduction")</f>
        <v>Seduction</v>
      </c>
      <c r="H29" s="2" t="str">
        <f ca="1">IFERROR(__xludf.DUMMYFUNCTION("""COMPUTED_VALUE"""),"The art of seduction in the world of Paccsu is something that can be said to be a bit lacking. Unlike other similar settings there doesn’t seem to be any suave masters of the art of flirting with dozens of potential suitors in the wing with the most anyon"&amp;"e seems to be capable of are cheesy pickup lines. But who's to say that the cheesiness doesn’t have its own amount of charm and by taking this perk you’ll be on your way to filling that empty niche.
Now not only do you gain practical base level skills i"&amp;"n the various intricacies of flirting and romance, like how to hold a conversation, how find out someone’s likes and wants with choice questions, and other such things, you also have a strong gut instinct on how to go about it with the various different p"&amp;"eople you meet. Whether that be how to butter up a shy introvert and pull them out of their shell, how to keep up with a bubbly and outgoing hobbyist, or how to stealthily pepper flirting and compliments into the “arguments” you have with someone who seem"&amp;"ingly hates your guts. But the thing that gets improved the most is your ability to come up with cheesy, but highly effective pickup lines which also comes with a well of confidence and courage to silence any embarrassment.
And when you make use of thes"&amp;"e lines people never seem to react too negatively to them even if they get graphic. Though the people you use them on will get into it, and thus be more affected by your pick up lines and flirting, if you target/compliment parts of them they are proud of "&amp;"or that you truly find sexy about them.")</f>
        <v>The art of seduction in the world of Paccsu is something that can be said to be a bit lacking. Unlike other similar settings there doesn’t seem to be any suave masters of the art of flirting with dozens of potential suitors in the wing with the most anyone seems to be capable of are cheesy pickup lines. But who's to say that the cheesiness doesn’t have its own amount of charm and by taking this perk you’ll be on your way to filling that empty niche.
Now not only do you gain practical base level skills in the various intricacies of flirting and romance, like how to hold a conversation, how find out someone’s likes and wants with choice questions, and other such things, you also have a strong gut instinct on how to go about it with the various different people you meet. Whether that be how to butter up a shy introvert and pull them out of their shell, how to keep up with a bubbly and outgoing hobbyist, or how to stealthily pepper flirting and compliments into the “arguments” you have with someone who seemingly hates your guts. But the thing that gets improved the most is your ability to come up with cheesy, but highly effective pickup lines which also comes with a well of confidence and courage to silence any embarrassment.
And when you make use of these lines people never seem to react too negatively to them even if they get graphic. Though the people you use them on will get into it, and thus be more affected by your pick up lines and flirting, if you target/compliment parts of them they are proud of or that you truly find sexy about them.</v>
      </c>
      <c r="I29" s="5"/>
    </row>
    <row r="30" spans="1:9" ht="104.4" x14ac:dyDescent="0.25">
      <c r="A30" s="16"/>
      <c r="B30" s="17">
        <v>26</v>
      </c>
      <c r="C30" s="2" t="b">
        <f ca="1">IFERROR(__xludf.DUMMYFUNCTION("""COMPUTED_VALUE"""),FALSE)</f>
        <v>0</v>
      </c>
      <c r="D30" s="2">
        <f ca="1">IFERROR(__xludf.DUMMYFUNCTION("""COMPUTED_VALUE"""),100)</f>
        <v>100</v>
      </c>
      <c r="E30" s="2" t="str">
        <f ca="1">IFERROR(__xludf.DUMMYFUNCTION("""COMPUTED_VALUE"""),"Innocently Lewd")</f>
        <v>Innocently Lewd</v>
      </c>
      <c r="F30" s="2" t="str">
        <f ca="1">IFERROR(__xludf.DUMMYFUNCTION("""COMPUTED_VALUE"""),"Ane Naru Mono")</f>
        <v>Ane Naru Mono</v>
      </c>
      <c r="G30" s="2" t="str">
        <f ca="1">IFERROR(__xludf.DUMMYFUNCTION("""COMPUTED_VALUE"""),"Seduction")</f>
        <v>Seduction</v>
      </c>
      <c r="H30" s="2" t="str">
        <f ca="1">IFERROR(__xludf.DUMMYFUNCTION("""COMPUTED_VALUE"""),"A demon doesn’t know how to act human, mostly because they aren’t one. It really should come as a surprise then, that a demon is capable of stoking lusts into raging fires with little effort… by accident. Well, humanity has always wanted what it can’t hav"&amp;"e. Regardless, you have a simple switch in your head. When it’s on, every move you make, every word you say, every breath you take becomes excruciatingly sexy. When it’s off, you’re back to normal. Beautiful still, but not so much that they pop a boner ju"&amp;"st from looking at you.")</f>
        <v>A demon doesn’t know how to act human, mostly because they aren’t one. It really should come as a surprise then, that a demon is capable of stoking lusts into raging fires with little effort… by accident. Well, humanity has always wanted what it can’t have. Regardless, you have a simple switch in your head. When it’s on, every move you make, every word you say, every breath you take becomes excruciatingly sexy. When it’s off, you’re back to normal. Beautiful still, but not so much that they pop a boner just from looking at you.</v>
      </c>
      <c r="I30" s="5"/>
    </row>
    <row r="31" spans="1:9" ht="139.19999999999999" x14ac:dyDescent="0.25">
      <c r="A31" s="16"/>
      <c r="B31" s="17">
        <v>27</v>
      </c>
      <c r="C31" s="2" t="b">
        <f ca="1">IFERROR(__xludf.DUMMYFUNCTION("""COMPUTED_VALUE"""),FALSE)</f>
        <v>0</v>
      </c>
      <c r="D31" s="2">
        <f ca="1">IFERROR(__xludf.DUMMYFUNCTION("""COMPUTED_VALUE"""),100)</f>
        <v>100</v>
      </c>
      <c r="E31" s="2" t="str">
        <f ca="1">IFERROR(__xludf.DUMMYFUNCTION("""COMPUTED_VALUE"""),"It's a Competition! Maybe!")</f>
        <v>It's a Competition! Maybe!</v>
      </c>
      <c r="F31" s="2" t="str">
        <f ca="1">IFERROR(__xludf.DUMMYFUNCTION("""COMPUTED_VALUE"""),"A Change of Tactics V2.2")</f>
        <v>A Change of Tactics V2.2</v>
      </c>
      <c r="G31" s="2" t="str">
        <f ca="1">IFERROR(__xludf.DUMMYFUNCTION("""COMPUTED_VALUE"""),"Seduction")</f>
        <v>Seduction</v>
      </c>
      <c r="H31" s="2" t="str">
        <f ca="1">IFERROR(__xludf.DUMMYFUNCTION("""COMPUTED_VALUE"""),"Many of the children of the Shepherds came back from Grima's terrible future in order to be reunited and become closer to their parents, but none of them imagined they might wind up sharing a bed with them. Whenever you seduce someone, their daughter (or "&amp;"mother, or sisters) start to feel a strong attraction to you as well, enough that with only a few small pushes you can get them in bed as well. Similarly it seems that once bedded by you little things like incest taboos seem to not be a bother to them any"&amp;"more and they have no problems sleeping with you together and in fact seem to greatly enjoy the family 'bonding' to such an extent that its rarer for you to sleep with only one of them rather than all. This perk’s effects only target members of your prefe"&amp;"rred gender.")</f>
        <v>Many of the children of the Shepherds came back from Grima's terrible future in order to be reunited and become closer to their parents, but none of them imagined they might wind up sharing a bed with them. Whenever you seduce someone, their daughter (or mother, or sisters) start to feel a strong attraction to you as well, enough that with only a few small pushes you can get them in bed as well. Similarly it seems that once bedded by you little things like incest taboos seem to not be a bother to them anymore and they have no problems sleeping with you together and in fact seem to greatly enjoy the family 'bonding' to such an extent that its rarer for you to sleep with only one of them rather than all. This perk’s effects only target members of your preferred gender.</v>
      </c>
      <c r="I31" s="5"/>
    </row>
    <row r="32" spans="1:9" ht="69.599999999999994" x14ac:dyDescent="0.25">
      <c r="A32" s="16"/>
      <c r="B32" s="17">
        <v>28</v>
      </c>
      <c r="C32" s="2" t="b">
        <f ca="1">IFERROR(__xludf.DUMMYFUNCTION("""COMPUTED_VALUE"""),FALSE)</f>
        <v>0</v>
      </c>
      <c r="D32" s="2">
        <f ca="1">IFERROR(__xludf.DUMMYFUNCTION("""COMPUTED_VALUE"""),100)</f>
        <v>100</v>
      </c>
      <c r="E32" s="2" t="str">
        <f ca="1">IFERROR(__xludf.DUMMYFUNCTION("""COMPUTED_VALUE"""),"Locket")</f>
        <v>Locket</v>
      </c>
      <c r="F32" s="2" t="str">
        <f ca="1">IFERROR(__xludf.DUMMYFUNCTION("""COMPUTED_VALUE"""),"World of Lewd Horror")</f>
        <v>World of Lewd Horror</v>
      </c>
      <c r="G32" s="2" t="str">
        <f ca="1">IFERROR(__xludf.DUMMYFUNCTION("""COMPUTED_VALUE"""),"Seduction")</f>
        <v>Seduction</v>
      </c>
      <c r="H32" s="2" t="str">
        <f ca="1">IFERROR(__xludf.DUMMYFUNCTION("""COMPUTED_VALUE"""),"This locket contains a portrait of your one true love. Or at least the one foe or victim that you’re most obsessing over at the moment. The picture inside changes to show their current state and surroundings, and brooding over the image will produce a sma"&amp;"ll tug in your mind in the direction your prey is relative to you.")</f>
        <v>This locket contains a portrait of your one true love. Or at least the one foe or victim that you’re most obsessing over at the moment. The picture inside changes to show their current state and surroundings, and brooding over the image will produce a small tug in your mind in the direction your prey is relative to you.</v>
      </c>
      <c r="I32" s="5"/>
    </row>
    <row r="33" spans="1:9" ht="139.19999999999999" x14ac:dyDescent="0.25">
      <c r="A33" s="16"/>
      <c r="B33" s="17">
        <v>29</v>
      </c>
      <c r="C33" s="2" t="b">
        <f ca="1">IFERROR(__xludf.DUMMYFUNCTION("""COMPUTED_VALUE"""),FALSE)</f>
        <v>0</v>
      </c>
      <c r="D33" s="2">
        <f ca="1">IFERROR(__xludf.DUMMYFUNCTION("""COMPUTED_VALUE"""),100)</f>
        <v>100</v>
      </c>
      <c r="E33" s="2" t="str">
        <f ca="1">IFERROR(__xludf.DUMMYFUNCTION("""COMPUTED_VALUE"""),"Love at First Sight")</f>
        <v>Love at First Sight</v>
      </c>
      <c r="F33" s="2" t="str">
        <f ca="1">IFERROR(__xludf.DUMMYFUNCTION("""COMPUTED_VALUE"""),"Generic: Hentai World")</f>
        <v>Generic: Hentai World</v>
      </c>
      <c r="G33" s="2" t="str">
        <f ca="1">IFERROR(__xludf.DUMMYFUNCTION("""COMPUTED_VALUE"""),"Seduction")</f>
        <v>Seduction</v>
      </c>
      <c r="H33" s="2" t="str">
        <f ca="1">IFERROR(__xludf.DUMMYFUNCTION("""COMPUTED_VALUE"""),"It’s said that every journey begins with a first step, and whether that step is a good one or not can set the tone for the whole trip. This is no less true for relationships than for anything else. Luckily, you have a gift for starting things off on the r"&amp;"ight foot: whether you’re starting a new job or making new friends or meeting a destined lover for the first time, everything just seems to go exactly the way you need it to in order to make a good first impression on people. You’ll never fumble your word"&amp;"s or trip over your own shoelaces ever again (unless you meant for that to happen, some girls are into cute clumsy dorky guys after all)... at least, not at first. After step one it’s all on you to maintain that positive impression.")</f>
        <v>It’s said that every journey begins with a first step, and whether that step is a good one or not can set the tone for the whole trip. This is no less true for relationships than for anything else. Luckily, you have a gift for starting things off on the right foot: whether you’re starting a new job or making new friends or meeting a destined lover for the first time, everything just seems to go exactly the way you need it to in order to make a good first impression on people. You’ll never fumble your words or trip over your own shoelaces ever again (unless you meant for that to happen, some girls are into cute clumsy dorky guys after all)... at least, not at first. After step one it’s all on you to maintain that positive impression.</v>
      </c>
      <c r="I33" s="5"/>
    </row>
    <row r="34" spans="1:9" ht="87" x14ac:dyDescent="0.25">
      <c r="A34" s="16"/>
      <c r="B34" s="17">
        <v>30</v>
      </c>
      <c r="C34" s="2" t="b">
        <f ca="1">IFERROR(__xludf.DUMMYFUNCTION("""COMPUTED_VALUE"""),FALSE)</f>
        <v>0</v>
      </c>
      <c r="D34" s="2">
        <f ca="1">IFERROR(__xludf.DUMMYFUNCTION("""COMPUTED_VALUE"""),100)</f>
        <v>100</v>
      </c>
      <c r="E34" s="2" t="str">
        <f ca="1">IFERROR(__xludf.DUMMYFUNCTION("""COMPUTED_VALUE"""),"Mind the Gap")</f>
        <v>Mind the Gap</v>
      </c>
      <c r="F34" s="2" t="str">
        <f ca="1">IFERROR(__xludf.DUMMYFUNCTION("""COMPUTED_VALUE"""),"Ashigei Shoujo Komura-san")</f>
        <v>Ashigei Shoujo Komura-san</v>
      </c>
      <c r="G34" s="2" t="str">
        <f ca="1">IFERROR(__xludf.DUMMYFUNCTION("""COMPUTED_VALUE"""),"Seduction")</f>
        <v>Seduction</v>
      </c>
      <c r="H34" s="2" t="str">
        <f ca="1">IFERROR(__xludf.DUMMYFUNCTION("""COMPUTED_VALUE"""),"You have a way of bringing out the “gap moe'' in others. This could be something intangible, like a hobby, quirk, or personality trait that normally stays hidden. It could also mean catching them in unexpected scenarios, like spotting a normally reserved "&amp;"girl wearing a risque bikini at the beach. What you find will always be in some way charming. This doesn’t guarantee your involvement, just that you’ll be around to witness it.")</f>
        <v>You have a way of bringing out the “gap moe'' in others. This could be something intangible, like a hobby, quirk, or personality trait that normally stays hidden. It could also mean catching them in unexpected scenarios, like spotting a normally reserved girl wearing a risque bikini at the beach. What you find will always be in some way charming. This doesn’t guarantee your involvement, just that you’ll be around to witness it.</v>
      </c>
      <c r="I34" s="5"/>
    </row>
    <row r="35" spans="1:9" ht="87" x14ac:dyDescent="0.25">
      <c r="A35" s="16"/>
      <c r="B35" s="17">
        <v>31</v>
      </c>
      <c r="C35" s="2" t="b">
        <f ca="1">IFERROR(__xludf.DUMMYFUNCTION("""COMPUTED_VALUE"""),FALSE)</f>
        <v>0</v>
      </c>
      <c r="D35" s="2">
        <f ca="1">IFERROR(__xludf.DUMMYFUNCTION("""COMPUTED_VALUE"""),100)</f>
        <v>100</v>
      </c>
      <c r="E35" s="2" t="str">
        <f ca="1">IFERROR(__xludf.DUMMYFUNCTION("""COMPUTED_VALUE"""),"Networking")</f>
        <v>Networking</v>
      </c>
      <c r="F35" s="2" t="str">
        <f ca="1">IFERROR(__xludf.DUMMYFUNCTION("""COMPUTED_VALUE"""),"Generic: Fat-Fetish")</f>
        <v>Generic: Fat-Fetish</v>
      </c>
      <c r="G35" s="2" t="str">
        <f ca="1">IFERROR(__xludf.DUMMYFUNCTION("""COMPUTED_VALUE"""),"Seduction")</f>
        <v>Seduction</v>
      </c>
      <c r="H35" s="2" t="str">
        <f ca="1">IFERROR(__xludf.DUMMYFUNCTION("""COMPUTED_VALUE"""),"The Internet is a fantastic thing, isn’t it? No matter how depraved you are, you can always find other people who share your kinks, no matter where you are in the world. Of course, you have to find those people on the web first, and this perk will help yo"&amp;"u do just that. It’s now child’s play for you to connect with, and if you want, to set up real-life meetings between yourself and other like-minded individuals, or the opposite side of the fetish, even across the world. Internet dating made easy.")</f>
        <v>The Internet is a fantastic thing, isn’t it? No matter how depraved you are, you can always find other people who share your kinks, no matter where you are in the world. Of course, you have to find those people on the web first, and this perk will help you do just that. It’s now child’s play for you to connect with, and if you want, to set up real-life meetings between yourself and other like-minded individuals, or the opposite side of the fetish, even across the world. Internet dating made easy.</v>
      </c>
      <c r="I35" s="5"/>
    </row>
    <row r="36" spans="1:9" ht="69.599999999999994" x14ac:dyDescent="0.25">
      <c r="A36" s="16"/>
      <c r="B36" s="17">
        <v>32</v>
      </c>
      <c r="C36" s="2" t="b">
        <f ca="1">IFERROR(__xludf.DUMMYFUNCTION("""COMPUTED_VALUE"""),FALSE)</f>
        <v>0</v>
      </c>
      <c r="D36" s="2">
        <f ca="1">IFERROR(__xludf.DUMMYFUNCTION("""COMPUTED_VALUE"""),100)</f>
        <v>100</v>
      </c>
      <c r="E36" s="2" t="str">
        <f ca="1">IFERROR(__xludf.DUMMYFUNCTION("""COMPUTED_VALUE"""),"Nice Guys Finish First")</f>
        <v>Nice Guys Finish First</v>
      </c>
      <c r="F36" s="2" t="str">
        <f ca="1">IFERROR(__xludf.DUMMYFUNCTION("""COMPUTED_VALUE"""),"Generic: Virgin")</f>
        <v>Generic: Virgin</v>
      </c>
      <c r="G36" s="2" t="str">
        <f ca="1">IFERROR(__xludf.DUMMYFUNCTION("""COMPUTED_VALUE"""),"Seduction")</f>
        <v>Seduction</v>
      </c>
      <c r="H36" s="2" t="str">
        <f ca="1">IFERROR(__xludf.DUMMYFUNCTION("""COMPUTED_VALUE"""),"Whenever you do something nice for someone, or treat someone with respect, they’ll be much more likely to willingly have sex with you. This does not apply if your only motivation for this treatment is to get them to have sex with you, but does apply if ge"&amp;"tting them to have sex with you is not your sole motivation. As long as you can legit say it wasn’t your only motivation, you’re golden.")</f>
        <v>Whenever you do something nice for someone, or treat someone with respect, they’ll be much more likely to willingly have sex with you. This does not apply if your only motivation for this treatment is to get them to have sex with you, but does apply if getting them to have sex with you is not your sole motivation. As long as you can legit say it wasn’t your only motivation, you’re golden.</v>
      </c>
      <c r="I36" s="5"/>
    </row>
    <row r="37" spans="1:9" ht="52.2" x14ac:dyDescent="0.25">
      <c r="A37" s="16"/>
      <c r="B37" s="17">
        <v>33</v>
      </c>
      <c r="C37" s="2" t="b">
        <f ca="1">IFERROR(__xludf.DUMMYFUNCTION("""COMPUTED_VALUE"""),FALSE)</f>
        <v>0</v>
      </c>
      <c r="D37" s="2">
        <f ca="1">IFERROR(__xludf.DUMMYFUNCTION("""COMPUTED_VALUE"""),100)</f>
        <v>100</v>
      </c>
      <c r="E37" s="2" t="str">
        <f ca="1">IFERROR(__xludf.DUMMYFUNCTION("""COMPUTED_VALUE"""),"Nii-chan no baka!")</f>
        <v>Nii-chan no baka!</v>
      </c>
      <c r="F37" s="2" t="str">
        <f ca="1">IFERROR(__xludf.DUMMYFUNCTION("""COMPUTED_VALUE"""),"Generic: Incest")</f>
        <v>Generic: Incest</v>
      </c>
      <c r="G37" s="2" t="str">
        <f ca="1">IFERROR(__xludf.DUMMYFUNCTION("""COMPUTED_VALUE"""),"Seduction")</f>
        <v>Seduction</v>
      </c>
      <c r="H37" s="2" t="str">
        <f ca="1">IFERROR(__xludf.DUMMYFUNCTION("""COMPUTED_VALUE"""),"Even if you tease and torment someone, so long as you genuinely do feel affection for them, they will never let this boil over into actual dislike. At worst, you’ll definitely have a rowdy tsundere on your hand, but there will always be a dere side to it.")</f>
        <v>Even if you tease and torment someone, so long as you genuinely do feel affection for them, they will never let this boil over into actual dislike. At worst, you’ll definitely have a rowdy tsundere on your hand, but there will always be a dere side to it.</v>
      </c>
      <c r="I37" s="5"/>
    </row>
    <row r="38" spans="1:9" ht="104.4" x14ac:dyDescent="0.25">
      <c r="A38" s="16"/>
      <c r="B38" s="17">
        <v>34</v>
      </c>
      <c r="C38" s="2" t="b">
        <f ca="1">IFERROR(__xludf.DUMMYFUNCTION("""COMPUTED_VALUE"""),FALSE)</f>
        <v>0</v>
      </c>
      <c r="D38" s="2">
        <f ca="1">IFERROR(__xludf.DUMMYFUNCTION("""COMPUTED_VALUE"""),100)</f>
        <v>100</v>
      </c>
      <c r="E38" s="2" t="str">
        <f ca="1">IFERROR(__xludf.DUMMYFUNCTION("""COMPUTED_VALUE"""),"No Shame to be Found")</f>
        <v>No Shame to be Found</v>
      </c>
      <c r="F38" s="2" t="str">
        <f ca="1">IFERROR(__xludf.DUMMYFUNCTION("""COMPUTED_VALUE"""),"How they Fap in Parallel Worlds")</f>
        <v>How they Fap in Parallel Worlds</v>
      </c>
      <c r="G38" s="2" t="str">
        <f ca="1">IFERROR(__xludf.DUMMYFUNCTION("""COMPUTED_VALUE"""),"Seduction")</f>
        <v>Seduction</v>
      </c>
      <c r="H38" s="2" t="str">
        <f ca="1">IFERROR(__xludf.DUMMYFUNCTION("""COMPUTED_VALUE"""),"A strange body and strange kinks tend to go hand in hand here. When it comes to you, sexual partners always seem willing to cooperate with any fetishes of yours that aren’t any more harmful than standard S&amp;M play. They’ll even start to get into it themsel"&amp;"ves, though this usually doesn’t manifest in a long-term fetish. Whether your fetish involves projectile egg-laying, or shoe-making, your partner wouldn’t even think of shaming you for just liking what you like. It’s another story if those tastes aren’t e"&amp;"xactly legal.")</f>
        <v>A strange body and strange kinks tend to go hand in hand here. When it comes to you, sexual partners always seem willing to cooperate with any fetishes of yours that aren’t any more harmful than standard S&amp;M play. They’ll even start to get into it themselves, though this usually doesn’t manifest in a long-term fetish. Whether your fetish involves projectile egg-laying, or shoe-making, your partner wouldn’t even think of shaming you for just liking what you like. It’s another story if those tastes aren’t exactly legal.</v>
      </c>
      <c r="I38" s="5"/>
    </row>
    <row r="39" spans="1:9" ht="69.599999999999994" x14ac:dyDescent="0.25">
      <c r="A39" s="16"/>
      <c r="B39" s="17">
        <v>35</v>
      </c>
      <c r="C39" s="2" t="b">
        <f ca="1">IFERROR(__xludf.DUMMYFUNCTION("""COMPUTED_VALUE"""),FALSE)</f>
        <v>0</v>
      </c>
      <c r="D39" s="2">
        <f ca="1">IFERROR(__xludf.DUMMYFUNCTION("""COMPUTED_VALUE"""),100)</f>
        <v>100</v>
      </c>
      <c r="E39" s="2" t="str">
        <f ca="1">IFERROR(__xludf.DUMMYFUNCTION("""COMPUTED_VALUE"""),"Open Heart")</f>
        <v>Open Heart</v>
      </c>
      <c r="F39" s="2" t="str">
        <f ca="1">IFERROR(__xludf.DUMMYFUNCTION("""COMPUTED_VALUE"""),"Earth Girls")</f>
        <v>Earth Girls</v>
      </c>
      <c r="G39" s="2" t="str">
        <f ca="1">IFERROR(__xludf.DUMMYFUNCTION("""COMPUTED_VALUE"""),"Seduction")</f>
        <v>Seduction</v>
      </c>
      <c r="H39" s="2" t="str">
        <f ca="1">IFERROR(__xludf.DUMMYFUNCTION("""COMPUTED_VALUE"""),"It can be good to let others know how you feel about things without saying it, right? You can open your heart to others, so they’ll be able to work out your emotions – so they know they might need to make the first move or understand your intentions, or y"&amp;"ou can close it to keep your feelings locked away.")</f>
        <v>It can be good to let others know how you feel about things without saying it, right? You can open your heart to others, so they’ll be able to work out your emotions – so they know they might need to make the first move or understand your intentions, or you can close it to keep your feelings locked away.</v>
      </c>
      <c r="I39" s="5"/>
    </row>
    <row r="40" spans="1:9" ht="87" x14ac:dyDescent="0.25">
      <c r="A40" s="16"/>
      <c r="B40" s="17">
        <v>36</v>
      </c>
      <c r="C40" s="2" t="b">
        <f ca="1">IFERROR(__xludf.DUMMYFUNCTION("""COMPUTED_VALUE"""),FALSE)</f>
        <v>0</v>
      </c>
      <c r="D40" s="2">
        <f ca="1">IFERROR(__xludf.DUMMYFUNCTION("""COMPUTED_VALUE"""),100)</f>
        <v>100</v>
      </c>
      <c r="E40" s="2" t="str">
        <f ca="1">IFERROR(__xludf.DUMMYFUNCTION("""COMPUTED_VALUE"""),"Pervert Detection")</f>
        <v>Pervert Detection</v>
      </c>
      <c r="F40" s="2" t="str">
        <f ca="1">IFERROR(__xludf.DUMMYFUNCTION("""COMPUTED_VALUE"""),"The Works of Aomizuan")</f>
        <v>The Works of Aomizuan</v>
      </c>
      <c r="G40" s="2" t="str">
        <f ca="1">IFERROR(__xludf.DUMMYFUNCTION("""COMPUTED_VALUE"""),"Seduction")</f>
        <v>Seduction</v>
      </c>
      <c r="H40" s="2" t="str">
        <f ca="1">IFERROR(__xludf.DUMMYFUNCTION("""COMPUTED_VALUE"""),"This world is filled with degenerates who long for sex, any kind of sex, from anyone. You have a preternatural ability to locate such people. You can immediately tell from looking if someone would be opposed to you molesting them or if they’d just take it"&amp;", whether they’d be fine with you doing everything up to penetration before objecting, or whether they’d accept absolutely anything you did to them. Excellent for picking out targets who won’t raise a fuss over you fucking them.")</f>
        <v>This world is filled with degenerates who long for sex, any kind of sex, from anyone. You have a preternatural ability to locate such people. You can immediately tell from looking if someone would be opposed to you molesting them or if they’d just take it, whether they’d be fine with you doing everything up to penetration before objecting, or whether they’d accept absolutely anything you did to them. Excellent for picking out targets who won’t raise a fuss over you fucking them.</v>
      </c>
      <c r="I40" s="5"/>
    </row>
    <row r="41" spans="1:9" ht="121.8" x14ac:dyDescent="0.25">
      <c r="A41" s="16"/>
      <c r="B41" s="17">
        <v>37</v>
      </c>
      <c r="C41" s="2" t="b">
        <f ca="1">IFERROR(__xludf.DUMMYFUNCTION("""COMPUTED_VALUE"""),FALSE)</f>
        <v>0</v>
      </c>
      <c r="D41" s="2">
        <f ca="1">IFERROR(__xludf.DUMMYFUNCTION("""COMPUTED_VALUE"""),100)</f>
        <v>100</v>
      </c>
      <c r="E41" s="2" t="str">
        <f ca="1">IFERROR(__xludf.DUMMYFUNCTION("""COMPUTED_VALUE"""),"Please Come Again")</f>
        <v>Please Come Again</v>
      </c>
      <c r="F41" s="2" t="str">
        <f ca="1">IFERROR(__xludf.DUMMYFUNCTION("""COMPUTED_VALUE"""),"Mizuryu Kei Land")</f>
        <v>Mizuryu Kei Land</v>
      </c>
      <c r="G41" s="2" t="str">
        <f ca="1">IFERROR(__xludf.DUMMYFUNCTION("""COMPUTED_VALUE"""),"Seduction")</f>
        <v>Seduction</v>
      </c>
      <c r="H41" s="2" t="str">
        <f ca="1">IFERROR(__xludf.DUMMYFUNCTION("""COMPUTED_VALUE"""),"Maybe this isn't your first trip? Or did you simply do research beforehand? Anyways, as you might imagine, there is a large number of people here wearing barely covering outfits who want to get laid. However, I bet you didn't know that you have to pay mon"&amp;"ey to fuck the cast/staff of the park. It's the other guests that are free game. Maybe it's as simple as having found a map, but you now have an uncanny ability to find individuals who share your fetishes. For the park, that's mostly just sex sex sex, tho"&amp;"ugh something simpler like maybe you just really want someone good at blowjobs is also possible.")</f>
        <v>Maybe this isn't your first trip? Or did you simply do research beforehand? Anyways, as you might imagine, there is a large number of people here wearing barely covering outfits who want to get laid. However, I bet you didn't know that you have to pay money to fuck the cast/staff of the park. It's the other guests that are free game. Maybe it's as simple as having found a map, but you now have an uncanny ability to find individuals who share your fetishes. For the park, that's mostly just sex sex sex, though something simpler like maybe you just really want someone good at blowjobs is also possible.</v>
      </c>
      <c r="I41" s="5"/>
    </row>
    <row r="42" spans="1:9" ht="87" x14ac:dyDescent="0.25">
      <c r="A42" s="16"/>
      <c r="B42" s="17">
        <v>38</v>
      </c>
      <c r="C42" s="2" t="b">
        <f ca="1">IFERROR(__xludf.DUMMYFUNCTION("""COMPUTED_VALUE"""),FALSE)</f>
        <v>0</v>
      </c>
      <c r="D42" s="2">
        <f ca="1">IFERROR(__xludf.DUMMYFUNCTION("""COMPUTED_VALUE"""),100)</f>
        <v>100</v>
      </c>
      <c r="E42" s="2" t="str">
        <f ca="1">IFERROR(__xludf.DUMMYFUNCTION("""COMPUTED_VALUE"""),"Please Stop Crying!")</f>
        <v>Please Stop Crying!</v>
      </c>
      <c r="F42" s="2" t="str">
        <f ca="1">IFERROR(__xludf.DUMMYFUNCTION("""COMPUTED_VALUE"""),"Ane Naru Mono")</f>
        <v>Ane Naru Mono</v>
      </c>
      <c r="G42" s="2" t="str">
        <f ca="1">IFERROR(__xludf.DUMMYFUNCTION("""COMPUTED_VALUE"""),"Seduction")</f>
        <v>Seduction</v>
      </c>
      <c r="H42" s="2" t="str">
        <f ca="1">IFERROR(__xludf.DUMMYFUNCTION("""COMPUTED_VALUE"""),"Women can be so tempermental sometimes, crying at the drop of a hat. And then you say one simple thing and they’re utterly furious with you! ...I think she might be drunk. Anyways, you’ve got something women love in a man - the ability to empathize with t"&amp;"hem and figure out why they’re sad and or angry. Not exactly a powerful skill, but when her getting angry means that she’s going to go murder a school for someone tripping you it’s best to defuse her fast.")</f>
        <v>Women can be so tempermental sometimes, crying at the drop of a hat. And then you say one simple thing and they’re utterly furious with you! ...I think she might be drunk. Anyways, you’ve got something women love in a man - the ability to empathize with them and figure out why they’re sad and or angry. Not exactly a powerful skill, but when her getting angry means that she’s going to go murder a school for someone tripping you it’s best to defuse her fast.</v>
      </c>
      <c r="I42" s="5"/>
    </row>
    <row r="43" spans="1:9" ht="52.2" x14ac:dyDescent="0.25">
      <c r="A43" s="16"/>
      <c r="B43" s="17">
        <v>39</v>
      </c>
      <c r="C43" s="2" t="b">
        <f ca="1">IFERROR(__xludf.DUMMYFUNCTION("""COMPUTED_VALUE"""),FALSE)</f>
        <v>0</v>
      </c>
      <c r="D43" s="2">
        <f ca="1">IFERROR(__xludf.DUMMYFUNCTION("""COMPUTED_VALUE"""),100)</f>
        <v>100</v>
      </c>
      <c r="E43" s="2" t="str">
        <f ca="1">IFERROR(__xludf.DUMMYFUNCTION("""COMPUTED_VALUE"""),"Prince Charming")</f>
        <v>Prince Charming</v>
      </c>
      <c r="F43" s="2" t="str">
        <f ca="1">IFERROR(__xludf.DUMMYFUNCTION("""COMPUTED_VALUE"""),"Milk Hunters")</f>
        <v>Milk Hunters</v>
      </c>
      <c r="G43" s="2" t="str">
        <f ca="1">IFERROR(__xludf.DUMMYFUNCTION("""COMPUTED_VALUE"""),"Seduction")</f>
        <v>Seduction</v>
      </c>
      <c r="H43" s="2" t="str">
        <f ca="1">IFERROR(__xludf.DUMMYFUNCTION("""COMPUTED_VALUE"""),"You gain a bonus when those that you’re attempting to seduce would be happier being in a relationship with you than with their current significant other. Whether you use this to “rescue” girls (or boys) from abusive relationships or for less noble reasons"&amp;" is up to you.")</f>
        <v>You gain a bonus when those that you’re attempting to seduce would be happier being in a relationship with you than with their current significant other. Whether you use this to “rescue” girls (or boys) from abusive relationships or for less noble reasons is up to you.</v>
      </c>
      <c r="I43" s="5"/>
    </row>
    <row r="44" spans="1:9" ht="139.19999999999999" x14ac:dyDescent="0.25">
      <c r="A44" s="16"/>
      <c r="B44" s="17">
        <v>40</v>
      </c>
      <c r="C44" s="2" t="b">
        <f ca="1">IFERROR(__xludf.DUMMYFUNCTION("""COMPUTED_VALUE"""),FALSE)</f>
        <v>0</v>
      </c>
      <c r="D44" s="2">
        <f ca="1">IFERROR(__xludf.DUMMYFUNCTION("""COMPUTED_VALUE"""),100)</f>
        <v>100</v>
      </c>
      <c r="E44" s="2" t="str">
        <f ca="1">IFERROR(__xludf.DUMMYFUNCTION("""COMPUTED_VALUE"""),"Satan’s Not a Siscon")</f>
        <v>Satan’s Not a Siscon</v>
      </c>
      <c r="F44" s="2" t="str">
        <f ca="1">IFERROR(__xludf.DUMMYFUNCTION("""COMPUTED_VALUE"""),"Although Young People Recoil from Entering the Black Magic Industry...")</f>
        <v>Although Young People Recoil from Entering the Black Magic Industry...</v>
      </c>
      <c r="G44" s="2" t="str">
        <f ca="1">IFERROR(__xludf.DUMMYFUNCTION("""COMPUTED_VALUE"""),"Seduction")</f>
        <v>Seduction</v>
      </c>
      <c r="H44" s="2" t="str">
        <f ca="1">IFERROR(__xludf.DUMMYFUNCTION("""COMPUTED_VALUE"""),"Having someone be attracted to you when you don’t — or can’t — love them in turn can be painful, as Nightmare Mary’s brother can attest. Thankfully, you won’t have to deal with that problem. People you don’t feel attraction to will not feel sexual or roma"&amp;"ntic attraction to you. On the other hand, if you feel desire for someone you don’t want to be attracted to, you have the ability to just turn it off, and not be attracted anymore. If you were attracted to someone who in turn desired to you, and turn off "&amp;"your own attraction, they will find their affections fading at a rapid but not suspicious rate. If you later turn on your own desire for them again, their own want for you will not magically return; you’ll have to earn it the hard way.")</f>
        <v>Having someone be attracted to you when you don’t — or can’t — love them in turn can be painful, as Nightmare Mary’s brother can attest. Thankfully, you won’t have to deal with that problem. People you don’t feel attraction to will not feel sexual or romantic attraction to you. On the other hand, if you feel desire for someone you don’t want to be attracted to, you have the ability to just turn it off, and not be attracted anymore. If you were attracted to someone who in turn desired to you, and turn off your own attraction, they will find their affections fading at a rapid but not suspicious rate. If you later turn on your own desire for them again, their own want for you will not magically return; you’ll have to earn it the hard way.</v>
      </c>
      <c r="I44" s="5"/>
    </row>
    <row r="45" spans="1:9" ht="34.799999999999997" x14ac:dyDescent="0.25">
      <c r="A45" s="16"/>
      <c r="B45" s="17">
        <v>41</v>
      </c>
      <c r="C45" s="2" t="b">
        <f ca="1">IFERROR(__xludf.DUMMYFUNCTION("""COMPUTED_VALUE"""),FALSE)</f>
        <v>0</v>
      </c>
      <c r="D45" s="2">
        <f ca="1">IFERROR(__xludf.DUMMYFUNCTION("""COMPUTED_VALUE"""),100)</f>
        <v>100</v>
      </c>
      <c r="E45" s="2" t="str">
        <f ca="1">IFERROR(__xludf.DUMMYFUNCTION("""COMPUTED_VALUE"""),"Tea Parties")</f>
        <v>Tea Parties</v>
      </c>
      <c r="F45" s="2" t="str">
        <f ca="1">IFERROR(__xludf.DUMMYFUNCTION("""COMPUTED_VALUE"""),"Generic: Incest")</f>
        <v>Generic: Incest</v>
      </c>
      <c r="G45" s="2" t="str">
        <f ca="1">IFERROR(__xludf.DUMMYFUNCTION("""COMPUTED_VALUE"""),"Seduction")</f>
        <v>Seduction</v>
      </c>
      <c r="H45" s="2" t="str">
        <f ca="1">IFERROR(__xludf.DUMMYFUNCTION("""COMPUTED_VALUE"""),"People always seem willing to indulge you just a little more than might seem normal. No matter what, someone will always have time to play with you.")</f>
        <v>People always seem willing to indulge you just a little more than might seem normal. No matter what, someone will always have time to play with you.</v>
      </c>
      <c r="I45" s="5"/>
    </row>
    <row r="46" spans="1:9" ht="121.8" x14ac:dyDescent="0.25">
      <c r="A46" s="16"/>
      <c r="B46" s="17">
        <v>42</v>
      </c>
      <c r="C46" s="2" t="b">
        <f ca="1">IFERROR(__xludf.DUMMYFUNCTION("""COMPUTED_VALUE"""),FALSE)</f>
        <v>0</v>
      </c>
      <c r="D46" s="2">
        <f ca="1">IFERROR(__xludf.DUMMYFUNCTION("""COMPUTED_VALUE"""),100)</f>
        <v>100</v>
      </c>
      <c r="E46" s="2" t="str">
        <f ca="1">IFERROR(__xludf.DUMMYFUNCTION("""COMPUTED_VALUE"""),"The Harder they Fall")</f>
        <v>The Harder they Fall</v>
      </c>
      <c r="F46" s="2" t="str">
        <f ca="1">IFERROR(__xludf.DUMMYFUNCTION("""COMPUTED_VALUE"""),"Although Young People Recoil from Entering the Black Magic Industry...")</f>
        <v>Although Young People Recoil from Entering the Black Magic Industry...</v>
      </c>
      <c r="G46" s="2" t="str">
        <f ca="1">IFERROR(__xludf.DUMMYFUNCTION("""COMPUTED_VALUE"""),"Seduction")</f>
        <v>Seduction</v>
      </c>
      <c r="H46" s="2" t="str">
        <f ca="1">IFERROR(__xludf.DUMMYFUNCTION("""COMPUTED_VALUE"""),"You have a special talent for laying low those who would hold themselves superior to you. The haughtier and more arrogant someone is, the easier it is for you to seduce them. Get someone self - absorbed enough, and they’ll wind up prepositioning you witho"&amp;"ut you even needing to try. Furthermore, the more arrogantly they present themselves, the more sexual pleasure your touch will bring them, until you overwhelm their fragile little minds with pleasure.")</f>
        <v>You have a special talent for laying low those who would hold themselves superior to you. The haughtier and more arrogant someone is, the easier it is for you to seduce them. Get someone self - absorbed enough, and they’ll wind up prepositioning you without you even needing to try. Furthermore, the more arrogantly they present themselves, the more sexual pleasure your touch will bring them, until you overwhelm their fragile little minds with pleasure.</v>
      </c>
      <c r="I46" s="5"/>
    </row>
    <row r="47" spans="1:9" ht="104.4" x14ac:dyDescent="0.25">
      <c r="A47" s="16"/>
      <c r="B47" s="17">
        <v>43</v>
      </c>
      <c r="C47" s="2" t="b">
        <f ca="1">IFERROR(__xludf.DUMMYFUNCTION("""COMPUTED_VALUE"""),FALSE)</f>
        <v>0</v>
      </c>
      <c r="D47" s="2">
        <f ca="1">IFERROR(__xludf.DUMMYFUNCTION("""COMPUTED_VALUE"""),100)</f>
        <v>100</v>
      </c>
      <c r="E47" s="2" t="str">
        <f ca="1">IFERROR(__xludf.DUMMYFUNCTION("""COMPUTED_VALUE"""),"The Nose Knows")</f>
        <v>The Nose Knows</v>
      </c>
      <c r="F47" s="2" t="str">
        <f ca="1">IFERROR(__xludf.DUMMYFUNCTION("""COMPUTED_VALUE"""),"The Works of Aomizuan")</f>
        <v>The Works of Aomizuan</v>
      </c>
      <c r="G47" s="2" t="str">
        <f ca="1">IFERROR(__xludf.DUMMYFUNCTION("""COMPUTED_VALUE"""),"Seduction")</f>
        <v>Seduction</v>
      </c>
      <c r="H47" s="2" t="str">
        <f ca="1">IFERROR(__xludf.DUMMYFUNCTION("""COMPUTED_VALUE"""),"You can sense how sexually compatible others are with you through scent. The better someone’s genetics, and the more superior a child they would be able to give you if you reproduced with them, the better that individual smells. “Normal” or “inferior” peo"&amp;"ple won’t smell bad, but people whose genetics would combine with yours the best will smell very, very good. It might well be intoxicating, if they were a good enough match. You can disable this perk if you’d rather keep your senses about you, such as if "&amp;"a cunning enemy happens to have exceptionally compatible genes.")</f>
        <v>You can sense how sexually compatible others are with you through scent. The better someone’s genetics, and the more superior a child they would be able to give you if you reproduced with them, the better that individual smells. “Normal” or “inferior” people won’t smell bad, but people whose genetics would combine with yours the best will smell very, very good. It might well be intoxicating, if they were a good enough match. You can disable this perk if you’d rather keep your senses about you, such as if a cunning enemy happens to have exceptionally compatible genes.</v>
      </c>
      <c r="I47" s="5"/>
    </row>
    <row r="48" spans="1:9" ht="121.8" x14ac:dyDescent="0.25">
      <c r="A48" s="16"/>
      <c r="B48" s="17">
        <v>44</v>
      </c>
      <c r="C48" s="2" t="b">
        <f ca="1">IFERROR(__xludf.DUMMYFUNCTION("""COMPUTED_VALUE"""),FALSE)</f>
        <v>0</v>
      </c>
      <c r="D48" s="2">
        <f ca="1">IFERROR(__xludf.DUMMYFUNCTION("""COMPUTED_VALUE"""),100)</f>
        <v>100</v>
      </c>
      <c r="E48" s="2" t="str">
        <f ca="1">IFERROR(__xludf.DUMMYFUNCTION("""COMPUTED_VALUE"""),"The Perfect Gift")</f>
        <v>The Perfect Gift</v>
      </c>
      <c r="F48" s="2" t="str">
        <f ca="1">IFERROR(__xludf.DUMMYFUNCTION("""COMPUTED_VALUE"""),"Generic: Hentai World")</f>
        <v>Generic: Hentai World</v>
      </c>
      <c r="G48" s="2" t="str">
        <f ca="1">IFERROR(__xludf.DUMMYFUNCTION("""COMPUTED_VALUE"""),"Seduction")</f>
        <v>Seduction</v>
      </c>
      <c r="H48" s="2" t="str">
        <f ca="1">IFERROR(__xludf.DUMMYFUNCTION("""COMPUTED_VALUE"""),"A gift wrapped package or fancy envelope containing some random innocuous trinket, card, flowers, or candy. Give this to a girl and it will invariably turn out to be something she would like to receive as a present appropriate to the circumstances. If you"&amp;" go the extra mile to research her preferences and pick out something specific and then use this item to gift-wrap it then the effect will be enhanced. After giving one of these away you can summon a new one to gift again to another girl you know, but you"&amp;" can’t stockpile them. You are also protected from accidentally giving the same gift to more than one girl at a time, unless they’d actually like receiving matched sets.")</f>
        <v>A gift wrapped package or fancy envelope containing some random innocuous trinket, card, flowers, or candy. Give this to a girl and it will invariably turn out to be something she would like to receive as a present appropriate to the circumstances. If you go the extra mile to research her preferences and pick out something specific and then use this item to gift-wrap it then the effect will be enhanced. After giving one of these away you can summon a new one to gift again to another girl you know, but you can’t stockpile them. You are also protected from accidentally giving the same gift to more than one girl at a time, unless they’d actually like receiving matched sets.</v>
      </c>
      <c r="I48" s="5"/>
    </row>
    <row r="49" spans="1:9" ht="104.4" x14ac:dyDescent="0.25">
      <c r="A49" s="16"/>
      <c r="B49" s="17">
        <v>45</v>
      </c>
      <c r="C49" s="2" t="b">
        <f ca="1">IFERROR(__xludf.DUMMYFUNCTION("""COMPUTED_VALUE"""),FALSE)</f>
        <v>0</v>
      </c>
      <c r="D49" s="2">
        <f ca="1">IFERROR(__xludf.DUMMYFUNCTION("""COMPUTED_VALUE"""),100)</f>
        <v>100</v>
      </c>
      <c r="E49" s="2" t="str">
        <f ca="1">IFERROR(__xludf.DUMMYFUNCTION("""COMPUTED_VALUE"""),"The Throne")</f>
        <v>The Throne</v>
      </c>
      <c r="F49" s="2" t="str">
        <f ca="1">IFERROR(__xludf.DUMMYFUNCTION("""COMPUTED_VALUE"""),"World of Tentacles")</f>
        <v>World of Tentacles</v>
      </c>
      <c r="G49" s="2" t="str">
        <f ca="1">IFERROR(__xludf.DUMMYFUNCTION("""COMPUTED_VALUE"""),"Seduction")</f>
        <v>Seduction</v>
      </c>
      <c r="H49" s="2" t="str">
        <f ca="1">IFERROR(__xludf.DUMMYFUNCTION("""COMPUTED_VALUE"""),"Whether or not you’re an actual king yet is beside the point, every true demon king deserves a nice throne to sit on and this is one of the comfiest and highest-quality chairs you could ever find. You gain a boost to your charisma and intimidation efforts"&amp;" while seated on this throne, and unless you wish otherwise it will usually assume a form suited to its surroundings. A reincarnated princeling living with his mortal parents might find it disguised as a fancy recliner or office chair, while a medieval wa"&amp;"rlord will find it as a luxurious and extravagant throne, and so on.")</f>
        <v>Whether or not you’re an actual king yet is beside the point, every true demon king deserves a nice throne to sit on and this is one of the comfiest and highest-quality chairs you could ever find. You gain a boost to your charisma and intimidation efforts while seated on this throne, and unless you wish otherwise it will usually assume a form suited to its surroundings. A reincarnated princeling living with his mortal parents might find it disguised as a fancy recliner or office chair, while a medieval warlord will find it as a luxurious and extravagant throne, and so on.</v>
      </c>
      <c r="I49" s="5"/>
    </row>
    <row r="50" spans="1:9" ht="104.4" x14ac:dyDescent="0.25">
      <c r="A50" s="16"/>
      <c r="B50" s="17">
        <v>46</v>
      </c>
      <c r="C50" s="2" t="b">
        <f ca="1">IFERROR(__xludf.DUMMYFUNCTION("""COMPUTED_VALUE"""),FALSE)</f>
        <v>0</v>
      </c>
      <c r="D50" s="2">
        <f ca="1">IFERROR(__xludf.DUMMYFUNCTION("""COMPUTED_VALUE"""),100)</f>
        <v>100</v>
      </c>
      <c r="E50" s="2" t="str">
        <f ca="1">IFERROR(__xludf.DUMMYFUNCTION("""COMPUTED_VALUE"""),"Travelling Companions with Benefits")</f>
        <v>Travelling Companions with Benefits</v>
      </c>
      <c r="F50" s="2" t="str">
        <f ca="1">IFERROR(__xludf.DUMMYFUNCTION("""COMPUTED_VALUE"""),"Pokemon Harem Master")</f>
        <v>Pokemon Harem Master</v>
      </c>
      <c r="G50" s="2" t="str">
        <f ca="1">IFERROR(__xludf.DUMMYFUNCTION("""COMPUTED_VALUE"""),"Seduction")</f>
        <v>Seduction</v>
      </c>
      <c r="H50" s="2" t="str">
        <f ca="1">IFERROR(__xludf.DUMMYFUNCTION("""COMPUTED_VALUE"""),"And while you’re on the road to becoming the very best like no one ever was, you may find yourself in the middle of nowhere with a cute girl - or a guy, I try not to judge - and you’d think that would be the perfect opportunity to bond and become more tha"&amp;"n friends. And luckily for you, you’d be right. Long journeys through the middle of nowhere are the perfect to get down and dirty with your companions. Why this works I don’t know, but being a hundred miles from civilization drastically enhances your char"&amp;"isma and sex appeal.")</f>
        <v>And while you’re on the road to becoming the very best like no one ever was, you may find yourself in the middle of nowhere with a cute girl - or a guy, I try not to judge - and you’d think that would be the perfect opportunity to bond and become more than friends. And luckily for you, you’d be right. Long journeys through the middle of nowhere are the perfect to get down and dirty with your companions. Why this works I don’t know, but being a hundred miles from civilization drastically enhances your charisma and sex appeal.</v>
      </c>
      <c r="I50" s="5"/>
    </row>
    <row r="51" spans="1:9" ht="52.2" x14ac:dyDescent="0.25">
      <c r="A51" s="16"/>
      <c r="B51" s="17">
        <v>47</v>
      </c>
      <c r="C51" s="2" t="b">
        <f ca="1">IFERROR(__xludf.DUMMYFUNCTION("""COMPUTED_VALUE"""),FALSE)</f>
        <v>0</v>
      </c>
      <c r="D51" s="2">
        <f ca="1">IFERROR(__xludf.DUMMYFUNCTION("""COMPUTED_VALUE"""),100)</f>
        <v>100</v>
      </c>
      <c r="E51" s="2" t="str">
        <f ca="1">IFERROR(__xludf.DUMMYFUNCTION("""COMPUTED_VALUE"""),"Victim's Day Planner")</f>
        <v>Victim's Day Planner</v>
      </c>
      <c r="F51" s="2" t="str">
        <f ca="1">IFERROR(__xludf.DUMMYFUNCTION("""COMPUTED_VALUE"""),"Generic: Doujinshi High School")</f>
        <v>Generic: Doujinshi High School</v>
      </c>
      <c r="G51" s="2" t="str">
        <f ca="1">IFERROR(__xludf.DUMMYFUNCTION("""COMPUTED_VALUE"""),"Seduction")</f>
        <v>Seduction</v>
      </c>
      <c r="H51" s="2" t="str">
        <f ca="1">IFERROR(__xludf.DUMMYFUNCTION("""COMPUTED_VALUE"""),"After writing down your current target’s name on the cover of this day planner, it will fill out to give you what they’re planning to do at any date and time over the course of the next week.")</f>
        <v>After writing down your current target’s name on the cover of this day planner, it will fill out to give you what they’re planning to do at any date and time over the course of the next week.</v>
      </c>
      <c r="I51" s="5"/>
    </row>
    <row r="52" spans="1:9" ht="69.599999999999994" x14ac:dyDescent="0.25">
      <c r="A52" s="16"/>
      <c r="B52" s="17">
        <v>48</v>
      </c>
      <c r="C52" s="2" t="b">
        <f ca="1">IFERROR(__xludf.DUMMYFUNCTION("""COMPUTED_VALUE"""),FALSE)</f>
        <v>0</v>
      </c>
      <c r="D52" s="2">
        <f ca="1">IFERROR(__xludf.DUMMYFUNCTION("""COMPUTED_VALUE"""),100)</f>
        <v>100</v>
      </c>
      <c r="E52" s="2" t="str">
        <f ca="1">IFERROR(__xludf.DUMMYFUNCTION("""COMPUTED_VALUE"""),"Vulnerable Vixen")</f>
        <v>Vulnerable Vixen</v>
      </c>
      <c r="F52" s="2" t="str">
        <f ca="1">IFERROR(__xludf.DUMMYFUNCTION("""COMPUTED_VALUE"""),"Erotic Equestria")</f>
        <v>Erotic Equestria</v>
      </c>
      <c r="G52" s="2" t="str">
        <f ca="1">IFERROR(__xludf.DUMMYFUNCTION("""COMPUTED_VALUE"""),"Seduction")</f>
        <v>Seduction</v>
      </c>
      <c r="H52" s="2" t="str">
        <f ca="1">IFERROR(__xludf.DUMMYFUNCTION("""COMPUTED_VALUE"""),"My, what a cunning move for such humble prey. The more that someone is ‘above you’ in station, power, or both, the more they want to keep you. Keep you safe, sane, and sated, that is. This effect grows with the perceived disparity in power, with the most "&amp;"potent of powerful ponies being drawn to you like flies to honey.")</f>
        <v>My, what a cunning move for such humble prey. The more that someone is ‘above you’ in station, power, or both, the more they want to keep you. Keep you safe, sane, and sated, that is. This effect grows with the perceived disparity in power, with the most potent of powerful ponies being drawn to you like flies to honey.</v>
      </c>
      <c r="I52" s="5"/>
    </row>
    <row r="53" spans="1:9" ht="139.19999999999999" x14ac:dyDescent="0.25">
      <c r="A53" s="16"/>
      <c r="B53" s="17">
        <v>49</v>
      </c>
      <c r="C53" s="2" t="b">
        <f ca="1">IFERROR(__xludf.DUMMYFUNCTION("""COMPUTED_VALUE"""),FALSE)</f>
        <v>0</v>
      </c>
      <c r="D53" s="2">
        <f ca="1">IFERROR(__xludf.DUMMYFUNCTION("""COMPUTED_VALUE"""),100)</f>
        <v>100</v>
      </c>
      <c r="E53" s="2" t="str">
        <f ca="1">IFERROR(__xludf.DUMMYFUNCTION("""COMPUTED_VALUE"""),"Your Love Makes it Better")</f>
        <v>Your Love Makes it Better</v>
      </c>
      <c r="F53" s="2" t="str">
        <f ca="1">IFERROR(__xludf.DUMMYFUNCTION("""COMPUTED_VALUE"""),"Yurisekai")</f>
        <v>Yurisekai</v>
      </c>
      <c r="G53" s="2" t="str">
        <f ca="1">IFERROR(__xludf.DUMMYFUNCTION("""COMPUTED_VALUE"""),"Seduction")</f>
        <v>Seduction</v>
      </c>
      <c r="H53" s="2" t="str">
        <f ca="1">IFERROR(__xludf.DUMMYFUNCTION("""COMPUTED_VALUE"""),"With the curse being what it is, there are quite a few people who suddenly lost family members - mostly men, because the curse isn’t fatal to women - and are in grieving as a result. I won’t say that you have an easy time taking advantage of these women, "&amp;"but you do have a knack for soothing their pains and helping them move on. Part of that is physical affection, the simple feeling of intimacy without much in the way of expectation, but the rest? The rest is some incredibly cheesy and cliche lines that yo"&amp;"u’ve probably used in your works at least once before. Turns out, they actually work. Put the two of them together, and your presence ends up being oddly calming to those in pain, regardless of if you actually put the moves on them.")</f>
        <v>With the curse being what it is, there are quite a few people who suddenly lost family members - mostly men, because the curse isn’t fatal to women - and are in grieving as a result. I won’t say that you have an easy time taking advantage of these women, but you do have a knack for soothing their pains and helping them move on. Part of that is physical affection, the simple feeling of intimacy without much in the way of expectation, but the rest? The rest is some incredibly cheesy and cliche lines that you’ve probably used in your works at least once before. Turns out, they actually work. Put the two of them together, and your presence ends up being oddly calming to those in pain, regardless of if you actually put the moves on them.</v>
      </c>
      <c r="I53" s="5"/>
    </row>
    <row r="54" spans="1:9" ht="139.19999999999999" x14ac:dyDescent="0.25">
      <c r="A54" s="16"/>
      <c r="B54" s="17">
        <v>50</v>
      </c>
      <c r="C54" s="2" t="b">
        <f ca="1">IFERROR(__xludf.DUMMYFUNCTION("""COMPUTED_VALUE"""),FALSE)</f>
        <v>0</v>
      </c>
      <c r="D54" s="2">
        <f ca="1">IFERROR(__xludf.DUMMYFUNCTION("""COMPUTED_VALUE"""),200)</f>
        <v>200</v>
      </c>
      <c r="E54" s="2" t="str">
        <f ca="1">IFERROR(__xludf.DUMMYFUNCTION("""COMPUTED_VALUE"""),"“Why am I so fucking turned on right now?”")</f>
        <v>“Why am I so fucking turned on right now?”</v>
      </c>
      <c r="F54" s="2" t="str">
        <f ca="1">IFERROR(__xludf.DUMMYFUNCTION("""COMPUTED_VALUE"""),"Burakku Gakkou Ni Tsutomete Shimatta Sensei")</f>
        <v>Burakku Gakkou Ni Tsutomete Shimatta Sensei</v>
      </c>
      <c r="G54" s="2" t="str">
        <f ca="1">IFERROR(__xludf.DUMMYFUNCTION("""COMPUTED_VALUE"""),"Seduction")</f>
        <v>Seduction</v>
      </c>
      <c r="H54" s="2" t="str">
        <f ca="1">IFERROR(__xludf.DUMMYFUNCTION("""COMPUTED_VALUE"""),"People find the idea of you getting around to be really hot. Your promiscuity just increases your attractiveness to other people... even the perception of promiscuity, or even if they just invented you sleeping around with people in their own head without"&amp;" any basis.
Furthermore, other people won’t let their pre-existing relationships get in the way of acting on any attraction they may feel for you—and the people in those relationships don’t seem to mind that their own significant other did anything naugh"&amp;"ty with you. It just never seems to be a particularly important problem.")</f>
        <v>People find the idea of you getting around to be really hot. Your promiscuity just increases your attractiveness to other people... even the perception of promiscuity, or even if they just invented you sleeping around with people in their own head without any basis.
Furthermore, other people won’t let their pre-existing relationships get in the way of acting on any attraction they may feel for you—and the people in those relationships don’t seem to mind that their own significant other did anything naughty with you. It just never seems to be a particularly important problem.</v>
      </c>
      <c r="I54" s="5"/>
    </row>
    <row r="55" spans="1:9" ht="156.6" x14ac:dyDescent="0.25">
      <c r="A55" s="16"/>
      <c r="B55" s="17">
        <v>51</v>
      </c>
      <c r="C55" s="2" t="b">
        <f ca="1">IFERROR(__xludf.DUMMYFUNCTION("""COMPUTED_VALUE"""),FALSE)</f>
        <v>0</v>
      </c>
      <c r="D55" s="2">
        <f ca="1">IFERROR(__xludf.DUMMYFUNCTION("""COMPUTED_VALUE"""),200)</f>
        <v>200</v>
      </c>
      <c r="E55" s="2" t="str">
        <f ca="1">IFERROR(__xludf.DUMMYFUNCTION("""COMPUTED_VALUE"""),"A Deal was Made")</f>
        <v>A Deal was Made</v>
      </c>
      <c r="F55" s="2" t="str">
        <f ca="1">IFERROR(__xludf.DUMMYFUNCTION("""COMPUTED_VALUE"""),"Overwhored")</f>
        <v>Overwhored</v>
      </c>
      <c r="G55" s="2" t="str">
        <f ca="1">IFERROR(__xludf.DUMMYFUNCTION("""COMPUTED_VALUE"""),"Seduction")</f>
        <v>Seduction</v>
      </c>
      <c r="H55" s="2" t="str">
        <f ca="1">IFERROR(__xludf.DUMMYFUNCTION("""COMPUTED_VALUE"""),"The Overmind is an immortal tyrant, an incarnation of evil fought again and again by the people of the free world. But occasionally he does show noble traits to make people wonder about his evil nature. He is not known to break his word, for one.
With t"&amp;"his, your more positive traits stand out a bit more. You just seem trustworthy enough for people to make a deal with, even if you're a known evil tyrant, encouraging people to try and negotiate. Actually sticking to your word also tends to work out well f"&amp;"or you. Agreeing to leave a girl to your new ally instead of taking her for yourself as a sexslave just means that you’ll eventually get them both, once your ""ally"" sees how good it’d feel to give in.")</f>
        <v>The Overmind is an immortal tyrant, an incarnation of evil fought again and again by the people of the free world. But occasionally he does show noble traits to make people wonder about his evil nature. He is not known to break his word, for one.
With this, your more positive traits stand out a bit more. You just seem trustworthy enough for people to make a deal with, even if you're a known evil tyrant, encouraging people to try and negotiate. Actually sticking to your word also tends to work out well for you. Agreeing to leave a girl to your new ally instead of taking her for yourself as a sexslave just means that you’ll eventually get them both, once your "ally" sees how good it’d feel to give in.</v>
      </c>
      <c r="I55" s="5"/>
    </row>
    <row r="56" spans="1:9" ht="191.4" x14ac:dyDescent="0.25">
      <c r="A56" s="16"/>
      <c r="B56" s="17">
        <v>52</v>
      </c>
      <c r="C56" s="2" t="b">
        <f ca="1">IFERROR(__xludf.DUMMYFUNCTION("""COMPUTED_VALUE"""),FALSE)</f>
        <v>0</v>
      </c>
      <c r="D56" s="2">
        <f ca="1">IFERROR(__xludf.DUMMYFUNCTION("""COMPUTED_VALUE"""),200)</f>
        <v>200</v>
      </c>
      <c r="E56" s="2" t="str">
        <f ca="1">IFERROR(__xludf.DUMMYFUNCTION("""COMPUTED_VALUE"""),"A Hero's Might")</f>
        <v>A Hero's Might</v>
      </c>
      <c r="F56" s="2" t="str">
        <f ca="1">IFERROR(__xludf.DUMMYFUNCTION("""COMPUTED_VALUE"""),"A Change of Tactics V2.2")</f>
        <v>A Change of Tactics V2.2</v>
      </c>
      <c r="G56" s="2" t="str">
        <f ca="1">IFERROR(__xludf.DUMMYFUNCTION("""COMPUTED_VALUE"""),"Seduction")</f>
        <v>Seduction</v>
      </c>
      <c r="H56" s="2" t="str">
        <f ca="1">IFERROR(__xludf.DUMMYFUNCTION("""COMPUTED_VALUE"""),"It shouldn’t be a shock that great warriors are fervently admired and desired for their incredible strength, both on the battlefield and in the bedchambers. Your great strength makes you seem far more appealing to your preferred gender, your chiseled musc"&amp;"les and effortless exertions drawing the eye and lighting fires in the loins of potential partners. Those who feel your strength firsthand are especially affected: whenever you win contests of skill or strength your victory also wins you the affection or "&amp;"respect of the loser, and to greater degrees based on the magnitude of the defeat and the stakes of the battle. A close match during a friendly spar might only earn you your rival’s respect, but sparing an enemy’s life after dealing them a crushing defeat"&amp;" on the battlefield could easily leave them awestruck, or even lovestruck under the right conditions. Sworn enemies and those who oppose you personally are less affected by this perk, but even they will come around to respecting you after being defeated, "&amp;"if only grudgingly.")</f>
        <v>It shouldn’t be a shock that great warriors are fervently admired and desired for their incredible strength, both on the battlefield and in the bedchambers. Your great strength makes you seem far more appealing to your preferred gender, your chiseled muscles and effortless exertions drawing the eye and lighting fires in the loins of potential partners. Those who feel your strength firsthand are especially affected: whenever you win contests of skill or strength your victory also wins you the affection or respect of the loser, and to greater degrees based on the magnitude of the defeat and the stakes of the battle. A close match during a friendly spar might only earn you your rival’s respect, but sparing an enemy’s life after dealing them a crushing defeat on the battlefield could easily leave them awestruck, or even lovestruck under the right conditions. Sworn enemies and those who oppose you personally are less affected by this perk, but even they will come around to respecting you after being defeated, if only grudgingly.</v>
      </c>
      <c r="I56" s="5"/>
    </row>
    <row r="57" spans="1:9" ht="104.4" x14ac:dyDescent="0.25">
      <c r="A57" s="16"/>
      <c r="B57" s="17">
        <v>53</v>
      </c>
      <c r="C57" s="2" t="b">
        <f ca="1">IFERROR(__xludf.DUMMYFUNCTION("""COMPUTED_VALUE"""),FALSE)</f>
        <v>0</v>
      </c>
      <c r="D57" s="2">
        <f ca="1">IFERROR(__xludf.DUMMYFUNCTION("""COMPUTED_VALUE"""),200)</f>
        <v>200</v>
      </c>
      <c r="E57" s="2" t="str">
        <f ca="1">IFERROR(__xludf.DUMMYFUNCTION("""COMPUTED_VALUE"""),"A Jolly Good Rogering")</f>
        <v>A Jolly Good Rogering</v>
      </c>
      <c r="F57" s="2" t="str">
        <f ca="1">IFERROR(__xludf.DUMMYFUNCTION("""COMPUTED_VALUE"""),"World of Tentacles")</f>
        <v>World of Tentacles</v>
      </c>
      <c r="G57" s="2" t="str">
        <f ca="1">IFERROR(__xludf.DUMMYFUNCTION("""COMPUTED_VALUE"""),"Seduction")</f>
        <v>Seduction</v>
      </c>
      <c r="H57" s="2" t="str">
        <f ca="1">IFERROR(__xludf.DUMMYFUNCTION("""COMPUTED_VALUE"""),"When you can't get away it can be better to think about the aftermath and how best to take advantage of it. The more sated or exhausted your or your sexual partners are by sex the more likely they are to leave you unharmed and to overlook details which wi"&amp;"ll allow you to get away. A tentacle monster might abandon you passed out in a pool of fluids rather than eat you while the prison guard who just got a legendary blowjob from you is likely to forget to lock any doors when he staggers home.")</f>
        <v>When you can't get away it can be better to think about the aftermath and how best to take advantage of it. The more sated or exhausted your or your sexual partners are by sex the more likely they are to leave you unharmed and to overlook details which will allow you to get away. A tentacle monster might abandon you passed out in a pool of fluids rather than eat you while the prison guard who just got a legendary blowjob from you is likely to forget to lock any doors when he staggers home.</v>
      </c>
      <c r="I57" s="5"/>
    </row>
    <row r="58" spans="1:9" ht="174" x14ac:dyDescent="0.25">
      <c r="A58" s="16"/>
      <c r="B58" s="17">
        <v>54</v>
      </c>
      <c r="C58" s="2" t="b">
        <f ca="1">IFERROR(__xludf.DUMMYFUNCTION("""COMPUTED_VALUE"""),FALSE)</f>
        <v>0</v>
      </c>
      <c r="D58" s="2">
        <f ca="1">IFERROR(__xludf.DUMMYFUNCTION("""COMPUTED_VALUE"""),200)</f>
        <v>200</v>
      </c>
      <c r="E58" s="2" t="str">
        <f ca="1">IFERROR(__xludf.DUMMYFUNCTION("""COMPUTED_VALUE"""),"A Royal Affair")</f>
        <v>A Royal Affair</v>
      </c>
      <c r="F58" s="2" t="str">
        <f ca="1">IFERROR(__xludf.DUMMYFUNCTION("""COMPUTED_VALUE"""),"A Change of Tactics V2.2")</f>
        <v>A Change of Tactics V2.2</v>
      </c>
      <c r="G58" s="2" t="str">
        <f ca="1">IFERROR(__xludf.DUMMYFUNCTION("""COMPUTED_VALUE"""),"Seduction")</f>
        <v>Seduction</v>
      </c>
      <c r="H58" s="2" t="str">
        <f ca="1">IFERROR(__xludf.DUMMYFUNCTION("""COMPUTED_VALUE"""),"Behind every great king is an equally-gifted tactician, advising them on matters of state and guiding them to victory in times of war. Some might even call a great tactician the true power behind the throne, and in your case that’s no exaggeration. You’re"&amp;" a gifted vizier able to easily gain the trust of royalty, nobility, and others in powerful positions simply by demonstrating your talents to them. You could gain the confidence of a queen after a single display of your skills and cement your influence ov"&amp;"er her simply by continuing to counsel and instruct her, and the longer you serve your patron the greater your influence becomes. After a year at most, and much less if you’re actively working toward such a thing, you could have your patron utterly subjug"&amp;"ated, head-over-heels in love, and obeying your every command like a well-trained pet. But you’d never abuse the trust of your beloved monarch, would you?")</f>
        <v>Behind every great king is an equally-gifted tactician, advising them on matters of state and guiding them to victory in times of war. Some might even call a great tactician the true power behind the throne, and in your case that’s no exaggeration. You’re a gifted vizier able to easily gain the trust of royalty, nobility, and others in powerful positions simply by demonstrating your talents to them. You could gain the confidence of a queen after a single display of your skills and cement your influence over her simply by continuing to counsel and instruct her, and the longer you serve your patron the greater your influence becomes. After a year at most, and much less if you’re actively working toward such a thing, you could have your patron utterly subjugated, head-over-heels in love, and obeying your every command like a well-trained pet. But you’d never abuse the trust of your beloved monarch, would you?</v>
      </c>
      <c r="I58" s="5"/>
    </row>
    <row r="59" spans="1:9" ht="121.8" x14ac:dyDescent="0.25">
      <c r="A59" s="16"/>
      <c r="B59" s="17">
        <v>55</v>
      </c>
      <c r="C59" s="2" t="b">
        <f ca="1">IFERROR(__xludf.DUMMYFUNCTION("""COMPUTED_VALUE"""),FALSE)</f>
        <v>0</v>
      </c>
      <c r="D59" s="2">
        <f ca="1">IFERROR(__xludf.DUMMYFUNCTION("""COMPUTED_VALUE"""),200)</f>
        <v>200</v>
      </c>
      <c r="E59" s="2" t="str">
        <f ca="1">IFERROR(__xludf.DUMMYFUNCTION("""COMPUTED_VALUE"""),"Ace Wing(wo)man")</f>
        <v>Ace Wing(wo)man</v>
      </c>
      <c r="F59" s="2" t="str">
        <f ca="1">IFERROR(__xludf.DUMMYFUNCTION("""COMPUTED_VALUE"""),"Although Young People Recoil from Entering the Black Magic Industry...")</f>
        <v>Although Young People Recoil from Entering the Black Magic Industry...</v>
      </c>
      <c r="G59" s="2" t="str">
        <f ca="1">IFERROR(__xludf.DUMMYFUNCTION("""COMPUTED_VALUE"""),"Seduction")</f>
        <v>Seduction</v>
      </c>
      <c r="H59" s="2" t="str">
        <f ca="1">IFERROR(__xludf.DUMMYFUNCTION("""COMPUTED_VALUE"""),"Your friends (and lovers, if you are in an open relationship) will not only encourage you to have sex, but will actively try to set up scenarios to get you laid, regardless of their own views on pre- or extra-marital sex. Neither they nor anyone else will"&amp;" view this as being counter to their normal opinions regarding sex.")</f>
        <v>Your friends (and lovers, if you are in an open relationship) will not only encourage you to have sex, but will actively try to set up scenarios to get you laid, regardless of their own views on pre- or extra-marital sex. Neither they nor anyone else will view this as being counter to their normal opinions regarding sex.</v>
      </c>
      <c r="I59" s="5"/>
    </row>
    <row r="60" spans="1:9" ht="104.4" x14ac:dyDescent="0.25">
      <c r="A60" s="16"/>
      <c r="B60" s="17">
        <v>56</v>
      </c>
      <c r="C60" s="2" t="b">
        <f ca="1">IFERROR(__xludf.DUMMYFUNCTION("""COMPUTED_VALUE"""),FALSE)</f>
        <v>0</v>
      </c>
      <c r="D60" s="2">
        <f ca="1">IFERROR(__xludf.DUMMYFUNCTION("""COMPUTED_VALUE"""),200)</f>
        <v>200</v>
      </c>
      <c r="E60" s="2" t="str">
        <f ca="1">IFERROR(__xludf.DUMMYFUNCTION("""COMPUTED_VALUE"""),"Adorable Crybaby")</f>
        <v>Adorable Crybaby</v>
      </c>
      <c r="F60" s="2" t="str">
        <f ca="1">IFERROR(__xludf.DUMMYFUNCTION("""COMPUTED_VALUE"""),"Sei So Tsui Dan Sha")</f>
        <v>Sei So Tsui Dan Sha</v>
      </c>
      <c r="G60" s="2" t="str">
        <f ca="1">IFERROR(__xludf.DUMMYFUNCTION("""COMPUTED_VALUE"""),"Seduction")</f>
        <v>Seduction</v>
      </c>
      <c r="H60" s="2" t="str">
        <f ca="1">IFERROR(__xludf.DUMMYFUNCTION("""COMPUTED_VALUE"""),"I’m sorry for being so forceful with you Master/Madame, but it’s getting harder to control myself around you~ You emit a (togglable) submissive aura that makes you irresistible to sexy dominant types, drawing them towards you like moths to a whimpering fl"&amp;"ame. Their desire to have sex with you seems to be directly correlated to how dominant their outward personality is, and how outwardly submissive you behave. Does not apply to anyone you wouldn’t be outwardly attracted to.")</f>
        <v>I’m sorry for being so forceful with you Master/Madame, but it’s getting harder to control myself around you~ You emit a (togglable) submissive aura that makes you irresistible to sexy dominant types, drawing them towards you like moths to a whimpering flame. Their desire to have sex with you seems to be directly correlated to how dominant their outward personality is, and how outwardly submissive you behave. Does not apply to anyone you wouldn’t be outwardly attracted to.</v>
      </c>
      <c r="I60" s="5"/>
    </row>
    <row r="61" spans="1:9" ht="121.8" x14ac:dyDescent="0.25">
      <c r="A61" s="16"/>
      <c r="B61" s="17">
        <v>57</v>
      </c>
      <c r="C61" s="2" t="b">
        <f ca="1">IFERROR(__xludf.DUMMYFUNCTION("""COMPUTED_VALUE"""),FALSE)</f>
        <v>0</v>
      </c>
      <c r="D61" s="2">
        <f ca="1">IFERROR(__xludf.DUMMYFUNCTION("""COMPUTED_VALUE"""),200)</f>
        <v>200</v>
      </c>
      <c r="E61" s="2" t="str">
        <f ca="1">IFERROR(__xludf.DUMMYFUNCTION("""COMPUTED_VALUE"""),"Aiming")</f>
        <v>Aiming</v>
      </c>
      <c r="F61" s="2" t="str">
        <f ca="1">IFERROR(__xludf.DUMMYFUNCTION("""COMPUTED_VALUE"""),"Generic: Lewd Shipgirls")</f>
        <v>Generic: Lewd Shipgirls</v>
      </c>
      <c r="G61" s="2" t="str">
        <f ca="1">IFERROR(__xludf.DUMMYFUNCTION("""COMPUTED_VALUE"""),"Seduction")</f>
        <v>Seduction</v>
      </c>
      <c r="H61" s="2" t="str">
        <f ca="1">IFERROR(__xludf.DUMMYFUNCTION("""COMPUTED_VALUE"""),"Determining where your target is basic stuff. The real experts focus on how their targets move. This means that their attacks are more likely to be in the right place when they get there. You are an expert at this, making you excellent at all sorts of nav"&amp;"al gunplay. 
It also applies to seduction. Love and war do have similarities. You’re more skilled at predicting how someone will react to different approaches, allowing you to develop a more accurate “firing solution” before shooting your shot.")</f>
        <v>Determining where your target is basic stuff. The real experts focus on how their targets move. This means that their attacks are more likely to be in the right place when they get there. You are an expert at this, making you excellent at all sorts of naval gunplay. 
It also applies to seduction. Love and war do have similarities. You’re more skilled at predicting how someone will react to different approaches, allowing you to develop a more accurate “firing solution” before shooting your shot.</v>
      </c>
      <c r="I61" s="5"/>
    </row>
    <row r="62" spans="1:9" ht="87" x14ac:dyDescent="0.25">
      <c r="A62" s="16"/>
      <c r="B62" s="17">
        <v>58</v>
      </c>
      <c r="C62" s="2" t="b">
        <f ca="1">IFERROR(__xludf.DUMMYFUNCTION("""COMPUTED_VALUE"""),FALSE)</f>
        <v>0</v>
      </c>
      <c r="D62" s="2">
        <f ca="1">IFERROR(__xludf.DUMMYFUNCTION("""COMPUTED_VALUE"""),200)</f>
        <v>200</v>
      </c>
      <c r="E62" s="2" t="str">
        <f ca="1">IFERROR(__xludf.DUMMYFUNCTION("""COMPUTED_VALUE"""),"All a Part of the Procedure")</f>
        <v>All a Part of the Procedure</v>
      </c>
      <c r="F62" s="2" t="str">
        <f ca="1">IFERROR(__xludf.DUMMYFUNCTION("""COMPUTED_VALUE"""),"Chichikko Bitch / Witch Bitch Collection")</f>
        <v>Chichikko Bitch / Witch Bitch Collection</v>
      </c>
      <c r="G62" s="2" t="str">
        <f ca="1">IFERROR(__xludf.DUMMYFUNCTION("""COMPUTED_VALUE"""),"Seduction")</f>
        <v>Seduction</v>
      </c>
      <c r="H62" s="2" t="str">
        <f ca="1">IFERROR(__xludf.DUMMYFUNCTION("""COMPUTED_VALUE"""),"Screwing with their head to screw with them once things have gotten going is all well and good, but you need a way to actually get there. Other than force. With that in mind, you are now... exceptionally talented at bluffing. Read that as ‘pulling bullshi"&amp;"t out of your ass’. This makes you rather good at taking advantage of the innocent young maidens who cross your path. Yes my dear, I AM certain that a blowjob is a valid medical procedure.")</f>
        <v>Screwing with their head to screw with them once things have gotten going is all well and good, but you need a way to actually get there. Other than force. With that in mind, you are now... exceptionally talented at bluffing. Read that as ‘pulling bullshit out of your ass’. This makes you rather good at taking advantage of the innocent young maidens who cross your path. Yes my dear, I AM certain that a blowjob is a valid medical procedure.</v>
      </c>
      <c r="I62" s="5"/>
    </row>
    <row r="63" spans="1:9" ht="104.4" x14ac:dyDescent="0.25">
      <c r="A63" s="16"/>
      <c r="B63" s="17">
        <v>59</v>
      </c>
      <c r="C63" s="2" t="b">
        <f ca="1">IFERROR(__xludf.DUMMYFUNCTION("""COMPUTED_VALUE"""),FALSE)</f>
        <v>0</v>
      </c>
      <c r="D63" s="2">
        <f ca="1">IFERROR(__xludf.DUMMYFUNCTION("""COMPUTED_VALUE"""),200)</f>
        <v>200</v>
      </c>
      <c r="E63" s="2" t="str">
        <f ca="1">IFERROR(__xludf.DUMMYFUNCTION("""COMPUTED_VALUE"""),"An Inspiration to us All")</f>
        <v>An Inspiration to us All</v>
      </c>
      <c r="F63" s="2" t="str">
        <f ca="1">IFERROR(__xludf.DUMMYFUNCTION("""COMPUTED_VALUE"""),"Mizuryu Kei Land")</f>
        <v>Mizuryu Kei Land</v>
      </c>
      <c r="G63" s="2" t="str">
        <f ca="1">IFERROR(__xludf.DUMMYFUNCTION("""COMPUTED_VALUE"""),"Seduction")</f>
        <v>Seduction</v>
      </c>
      <c r="H63" s="2" t="str">
        <f ca="1">IFERROR(__xludf.DUMMYFUNCTION("""COMPUTED_VALUE"""),"As someone who has ‘have sex’ as a significant portion of their job, it should come as no surprise that people are a little leary of doing it with you. After all, fucking the cast costs, while the other guests are free. On the other hand, as someone whose"&amp;" job is to have sex, you can be damn sure that you’re amazing at it. So much so that anybody watching you while you have sex will rapidly become extremely horny. Well, they probably already were, but now they’re even more so. Just the push they need to pa"&amp;"y for a member of the cast, no?")</f>
        <v>As someone who has ‘have sex’ as a significant portion of their job, it should come as no surprise that people are a little leary of doing it with you. After all, fucking the cast costs, while the other guests are free. On the other hand, as someone whose job is to have sex, you can be damn sure that you’re amazing at it. So much so that anybody watching you while you have sex will rapidly become extremely horny. Well, they probably already were, but now they’re even more so. Just the push they need to pay for a member of the cast, no?</v>
      </c>
      <c r="I63" s="5"/>
    </row>
    <row r="64" spans="1:9" ht="52.2" x14ac:dyDescent="0.25">
      <c r="A64" s="16"/>
      <c r="B64" s="17">
        <v>60</v>
      </c>
      <c r="C64" s="2" t="b">
        <f ca="1">IFERROR(__xludf.DUMMYFUNCTION("""COMPUTED_VALUE"""),FALSE)</f>
        <v>0</v>
      </c>
      <c r="D64" s="2">
        <f ca="1">IFERROR(__xludf.DUMMYFUNCTION("""COMPUTED_VALUE"""),200)</f>
        <v>200</v>
      </c>
      <c r="E64" s="2" t="str">
        <f ca="1">IFERROR(__xludf.DUMMYFUNCTION("""COMPUTED_VALUE"""),"Are You Perhaps My Fan?")</f>
        <v>Are You Perhaps My Fan?</v>
      </c>
      <c r="F64" s="2" t="str">
        <f ca="1">IFERROR(__xludf.DUMMYFUNCTION("""COMPUTED_VALUE"""),"The Otaku in 2200 AD")</f>
        <v>The Otaku in 2200 AD</v>
      </c>
      <c r="G64" s="2" t="str">
        <f ca="1">IFERROR(__xludf.DUMMYFUNCTION("""COMPUTED_VALUE"""),"Seduction")</f>
        <v>Seduction</v>
      </c>
      <c r="H64" s="2" t="str">
        <f ca="1">IFERROR(__xludf.DUMMYFUNCTION("""COMPUTED_VALUE"""),"An idol lives and dies by the support of their fans, so it pays to be able to recognize one. You can immediately determine what other people’s opinion of you is, and how much they like you—both how much they like you as a person, and how much they like th"&amp;"e persona that you play.")</f>
        <v>An idol lives and dies by the support of their fans, so it pays to be able to recognize one. You can immediately determine what other people’s opinion of you is, and how much they like you—both how much they like you as a person, and how much they like the persona that you play.</v>
      </c>
      <c r="I64" s="5"/>
    </row>
    <row r="65" spans="1:9" ht="156.6" x14ac:dyDescent="0.25">
      <c r="A65" s="16"/>
      <c r="B65" s="17">
        <v>61</v>
      </c>
      <c r="C65" s="2" t="b">
        <f ca="1">IFERROR(__xludf.DUMMYFUNCTION("""COMPUTED_VALUE"""),FALSE)</f>
        <v>0</v>
      </c>
      <c r="D65" s="2">
        <f ca="1">IFERROR(__xludf.DUMMYFUNCTION("""COMPUTED_VALUE"""),200)</f>
        <v>200</v>
      </c>
      <c r="E65" s="2" t="str">
        <f ca="1">IFERROR(__xludf.DUMMYFUNCTION("""COMPUTED_VALUE"""),"Boundries")</f>
        <v>Boundries</v>
      </c>
      <c r="F65" s="2" t="str">
        <f ca="1">IFERROR(__xludf.DUMMYFUNCTION("""COMPUTED_VALUE"""),"Elzikyuchi’s Dickgirls 2")</f>
        <v>Elzikyuchi’s Dickgirls 2</v>
      </c>
      <c r="G65" s="2" t="str">
        <f ca="1">IFERROR(__xludf.DUMMYFUNCTION("""COMPUTED_VALUE"""),"Seduction")</f>
        <v>Seduction</v>
      </c>
      <c r="H65" s="2" t="str">
        <f ca="1">IFERROR(__xludf.DUMMYFUNCTION("""COMPUTED_VALUE"""),"The problem with giving up control is that there's no guarantee your partner won't go too far, or is in and of themselves too much for you to handle. Saying that you have the sexual stamina of ten men is great, until you meet someone with the stamina of o"&amp;"ne hundred and they all but fuck you to death trying to get off to their satisfaction. Luckily, that’s not something you often have to worry about. Your partners are exceptionally mindful of your limits - both social ones, like simply not desiring to perf"&amp;"orm a specific act, and physical ones, like being incapable of fully taking them inside of yourself. It doesn’t particularly matter if this is your actual lover or an ancient demon looking for a mortal to play with, though I will admit the second is far m"&amp;"ore likely to acknowledge your limits and then pass them anyways.")</f>
        <v>The problem with giving up control is that there's no guarantee your partner won't go too far, or is in and of themselves too much for you to handle. Saying that you have the sexual stamina of ten men is great, until you meet someone with the stamina of one hundred and they all but fuck you to death trying to get off to their satisfaction. Luckily, that’s not something you often have to worry about. Your partners are exceptionally mindful of your limits - both social ones, like simply not desiring to perform a specific act, and physical ones, like being incapable of fully taking them inside of yourself. It doesn’t particularly matter if this is your actual lover or an ancient demon looking for a mortal to play with, though I will admit the second is far more likely to acknowledge your limits and then pass them anyways.</v>
      </c>
      <c r="I65" s="5"/>
    </row>
    <row r="66" spans="1:9" ht="52.2" x14ac:dyDescent="0.25">
      <c r="A66" s="16"/>
      <c r="B66" s="17">
        <v>62</v>
      </c>
      <c r="C66" s="2" t="b">
        <f ca="1">IFERROR(__xludf.DUMMYFUNCTION("""COMPUTED_VALUE"""),FALSE)</f>
        <v>0</v>
      </c>
      <c r="D66" s="2">
        <f ca="1">IFERROR(__xludf.DUMMYFUNCTION("""COMPUTED_VALUE"""),200)</f>
        <v>200</v>
      </c>
      <c r="E66" s="2" t="str">
        <f ca="1">IFERROR(__xludf.DUMMYFUNCTION("""COMPUTED_VALUE"""),"Cheeky Pry")</f>
        <v>Cheeky Pry</v>
      </c>
      <c r="F66" s="2" t="str">
        <f ca="1">IFERROR(__xludf.DUMMYFUNCTION("""COMPUTED_VALUE"""),"Boyce Park")</f>
        <v>Boyce Park</v>
      </c>
      <c r="G66" s="2" t="str">
        <f ca="1">IFERROR(__xludf.DUMMYFUNCTION("""COMPUTED_VALUE"""),"Seduction")</f>
        <v>Seduction</v>
      </c>
      <c r="H66" s="2" t="str">
        <f ca="1">IFERROR(__xludf.DUMMYFUNCTION("""COMPUTED_VALUE"""),"Be it by humor or other means, You have a talent to appear very likable, making hunters more likely to pick you than others if they want a good time, less likely if they actually look for someone to hurt and anyone much more likely to go easy on you after"&amp;" the catch.")</f>
        <v>Be it by humor or other means, You have a talent to appear very likable, making hunters more likely to pick you than others if they want a good time, less likely if they actually look for someone to hurt and anyone much more likely to go easy on you after the catch.</v>
      </c>
      <c r="I66" s="5"/>
    </row>
    <row r="67" spans="1:9" ht="69.599999999999994" x14ac:dyDescent="0.25">
      <c r="A67" s="16"/>
      <c r="B67" s="17">
        <v>63</v>
      </c>
      <c r="C67" s="2" t="b">
        <f ca="1">IFERROR(__xludf.DUMMYFUNCTION("""COMPUTED_VALUE"""),FALSE)</f>
        <v>0</v>
      </c>
      <c r="D67" s="2">
        <f ca="1">IFERROR(__xludf.DUMMYFUNCTION("""COMPUTED_VALUE"""),200)</f>
        <v>200</v>
      </c>
      <c r="E67" s="2" t="str">
        <f ca="1">IFERROR(__xludf.DUMMYFUNCTION("""COMPUTED_VALUE"""),"Confession")</f>
        <v>Confession</v>
      </c>
      <c r="F67" s="2" t="str">
        <f ca="1">IFERROR(__xludf.DUMMYFUNCTION("""COMPUTED_VALUE"""),"Generic: Lewd School")</f>
        <v>Generic: Lewd School</v>
      </c>
      <c r="G67" s="2" t="str">
        <f ca="1">IFERROR(__xludf.DUMMYFUNCTION("""COMPUTED_VALUE"""),"Seduction")</f>
        <v>Seduction</v>
      </c>
      <c r="H67" s="2" t="str">
        <f ca="1">IFERROR(__xludf.DUMMYFUNCTION("""COMPUTED_VALUE"""),"Sometimes, people need someone they can talk to. Someone they can come to for help. Now, they’ll have an easier time opening up to you about problems they have outside of schoolwork. Help them with this, and their devotion towards you will grow. Betray th"&amp;"is confidence, and watch them withdraw.")</f>
        <v>Sometimes, people need someone they can talk to. Someone they can come to for help. Now, they’ll have an easier time opening up to you about problems they have outside of schoolwork. Help them with this, and their devotion towards you will grow. Betray this confidence, and watch them withdraw.</v>
      </c>
      <c r="I67" s="5"/>
    </row>
    <row r="68" spans="1:9" ht="104.4" x14ac:dyDescent="0.25">
      <c r="A68" s="16"/>
      <c r="B68" s="17">
        <v>64</v>
      </c>
      <c r="C68" s="2" t="b">
        <f ca="1">IFERROR(__xludf.DUMMYFUNCTION("""COMPUTED_VALUE"""),FALSE)</f>
        <v>0</v>
      </c>
      <c r="D68" s="2">
        <f ca="1">IFERROR(__xludf.DUMMYFUNCTION("""COMPUTED_VALUE"""),200)</f>
        <v>200</v>
      </c>
      <c r="E68" s="2" t="str">
        <f ca="1">IFERROR(__xludf.DUMMYFUNCTION("""COMPUTED_VALUE"""),"Cool and Close")</f>
        <v>Cool and Close</v>
      </c>
      <c r="F68" s="2" t="str">
        <f ca="1">IFERROR(__xludf.DUMMYFUNCTION("""COMPUTED_VALUE"""),"Miyuki-chan in Wonderland")</f>
        <v>Miyuki-chan in Wonderland</v>
      </c>
      <c r="G68" s="2" t="str">
        <f ca="1">IFERROR(__xludf.DUMMYFUNCTION("""COMPUTED_VALUE"""),"Seduction")</f>
        <v>Seduction</v>
      </c>
      <c r="H68" s="2" t="str">
        <f ca="1">IFERROR(__xludf.DUMMYFUNCTION("""COMPUTED_VALUE"""),"You have a very seductive manner to you, such that the targets of your affection get flustered and find it difficult to resist your close contact. Even if they are unwilling, they are more likely to run away than fight (and they usually don’t flee right a"&amp;"way). However, if you push enough of the wrong buttons, your quarry might finally decide to fight back. This also makes it easy for you to stroll right up to targets before they even notice you, allowing you to get close and personal before they can objec"&amp;"t.")</f>
        <v>You have a very seductive manner to you, such that the targets of your affection get flustered and find it difficult to resist your close contact. Even if they are unwilling, they are more likely to run away than fight (and they usually don’t flee right away). However, if you push enough of the wrong buttons, your quarry might finally decide to fight back. This also makes it easy for you to stroll right up to targets before they even notice you, allowing you to get close and personal before they can object.</v>
      </c>
      <c r="I68" s="5"/>
    </row>
    <row r="69" spans="1:9" ht="69.599999999999994" x14ac:dyDescent="0.25">
      <c r="A69" s="16"/>
      <c r="B69" s="17">
        <v>65</v>
      </c>
      <c r="C69" s="2" t="b">
        <f ca="1">IFERROR(__xludf.DUMMYFUNCTION("""COMPUTED_VALUE"""),FALSE)</f>
        <v>0</v>
      </c>
      <c r="D69" s="2">
        <f ca="1">IFERROR(__xludf.DUMMYFUNCTION("""COMPUTED_VALUE"""),200)</f>
        <v>200</v>
      </c>
      <c r="E69" s="2" t="str">
        <f ca="1">IFERROR(__xludf.DUMMYFUNCTION("""COMPUTED_VALUE"""),"Dominant")</f>
        <v>Dominant</v>
      </c>
      <c r="F69" s="2" t="str">
        <f ca="1">IFERROR(__xludf.DUMMYFUNCTION("""COMPUTED_VALUE"""),"Bio-Weapon Quest")</f>
        <v>Bio-Weapon Quest</v>
      </c>
      <c r="G69" s="2" t="str">
        <f ca="1">IFERROR(__xludf.DUMMYFUNCTION("""COMPUTED_VALUE"""),"Seduction")</f>
        <v>Seduction</v>
      </c>
      <c r="H69" s="2" t="str">
        <f ca="1">IFERROR(__xludf.DUMMYFUNCTION("""COMPUTED_VALUE"""),"In your hands, sex is both a weapon and a reward - the figurative carrot and the stick rolled into one. Manipulating and coercing other people with it comes naturally to you, whether you have a foot-long monster cock or not. Extracting information, punish"&amp;"ing misbehaviour, and ensuring your slaves remain complaint is simply made all the easier with a solid fucking.")</f>
        <v>In your hands, sex is both a weapon and a reward - the figurative carrot and the stick rolled into one. Manipulating and coercing other people with it comes naturally to you, whether you have a foot-long monster cock or not. Extracting information, punishing misbehaviour, and ensuring your slaves remain complaint is simply made all the easier with a solid fucking.</v>
      </c>
      <c r="I69" s="5"/>
    </row>
    <row r="70" spans="1:9" ht="87" x14ac:dyDescent="0.25">
      <c r="A70" s="16"/>
      <c r="B70" s="17">
        <v>66</v>
      </c>
      <c r="C70" s="2" t="b">
        <f ca="1">IFERROR(__xludf.DUMMYFUNCTION("""COMPUTED_VALUE"""),FALSE)</f>
        <v>0</v>
      </c>
      <c r="D70" s="2">
        <f ca="1">IFERROR(__xludf.DUMMYFUNCTION("""COMPUTED_VALUE"""),200)</f>
        <v>200</v>
      </c>
      <c r="E70" s="2" t="str">
        <f ca="1">IFERROR(__xludf.DUMMYFUNCTION("""COMPUTED_VALUE"""),"Domino Effect")</f>
        <v>Domino Effect</v>
      </c>
      <c r="F70" s="2" t="str">
        <f ca="1">IFERROR(__xludf.DUMMYFUNCTION("""COMPUTED_VALUE"""),"Fate/Loli Order")</f>
        <v>Fate/Loli Order</v>
      </c>
      <c r="G70" s="2" t="str">
        <f ca="1">IFERROR(__xludf.DUMMYFUNCTION("""COMPUTED_VALUE"""),"Seduction")</f>
        <v>Seduction</v>
      </c>
      <c r="H70" s="2" t="str">
        <f ca="1">IFERROR(__xludf.DUMMYFUNCTION("""COMPUTED_VALUE"""),"You know how that works, right? You push one over, it pushes the next which pushes the next which pushes the next, so on and so forth. Well with you, it’s not made from dominoes but from people. Make a friend and their friends and family will like you mor"&amp;"e. Sleep with something, and you'll find their sisters, mothers and friends slipping into bed with you. Reduce a woman to a living sex toy and those that knwo here will crumble all the more easily.")</f>
        <v>You know how that works, right? You push one over, it pushes the next which pushes the next which pushes the next, so on and so forth. Well with you, it’s not made from dominoes but from people. Make a friend and their friends and family will like you more. Sleep with something, and you'll find their sisters, mothers and friends slipping into bed with you. Reduce a woman to a living sex toy and those that knwo here will crumble all the more easily.</v>
      </c>
      <c r="I70" s="5"/>
    </row>
    <row r="71" spans="1:9" ht="87" x14ac:dyDescent="0.25">
      <c r="A71" s="16"/>
      <c r="B71" s="17">
        <v>67</v>
      </c>
      <c r="C71" s="2" t="b">
        <f ca="1">IFERROR(__xludf.DUMMYFUNCTION("""COMPUTED_VALUE"""),FALSE)</f>
        <v>0</v>
      </c>
      <c r="D71" s="2">
        <f ca="1">IFERROR(__xludf.DUMMYFUNCTION("""COMPUTED_VALUE"""),200)</f>
        <v>200</v>
      </c>
      <c r="E71" s="2" t="str">
        <f ca="1">IFERROR(__xludf.DUMMYFUNCTION("""COMPUTED_VALUE"""),"Entourage")</f>
        <v>Entourage</v>
      </c>
      <c r="F71" s="2" t="str">
        <f ca="1">IFERROR(__xludf.DUMMYFUNCTION("""COMPUTED_VALUE"""),"Monster Hunter XXX")</f>
        <v>Monster Hunter XXX</v>
      </c>
      <c r="G71" s="2" t="str">
        <f ca="1">IFERROR(__xludf.DUMMYFUNCTION("""COMPUTED_VALUE"""),"Seduction")</f>
        <v>Seduction</v>
      </c>
      <c r="H71" s="2" t="str">
        <f ca="1">IFERROR(__xludf.DUMMYFUNCTION("""COMPUTED_VALUE"""),"Seems we’re taking ‘animal magnetism’ nearly literally. Taking this Perk endows you with a passive knack for gathering “groupies” inclined to either simply wait on you or offer a bit of sexual release. Male or female as your preference dictates, these ind"&amp;"ividuals will each be roughly one tenth as powerful as you, setting allowing for such (and assuming you don't make them named characters), and will defend you right up until they start getting killed.")</f>
        <v>Seems we’re taking ‘animal magnetism’ nearly literally. Taking this Perk endows you with a passive knack for gathering “groupies” inclined to either simply wait on you or offer a bit of sexual release. Male or female as your preference dictates, these individuals will each be roughly one tenth as powerful as you, setting allowing for such (and assuming you don't make them named characters), and will defend you right up until they start getting killed.</v>
      </c>
      <c r="I71" s="5"/>
    </row>
    <row r="72" spans="1:9" ht="87" x14ac:dyDescent="0.25">
      <c r="A72" s="16"/>
      <c r="B72" s="17">
        <v>68</v>
      </c>
      <c r="C72" s="2" t="b">
        <f ca="1">IFERROR(__xludf.DUMMYFUNCTION("""COMPUTED_VALUE"""),FALSE)</f>
        <v>0</v>
      </c>
      <c r="D72" s="2">
        <f ca="1">IFERROR(__xludf.DUMMYFUNCTION("""COMPUTED_VALUE"""),200)</f>
        <v>200</v>
      </c>
      <c r="E72" s="2" t="str">
        <f ca="1">IFERROR(__xludf.DUMMYFUNCTION("""COMPUTED_VALUE"""),"Ero Manga")</f>
        <v>Ero Manga</v>
      </c>
      <c r="F72" s="2" t="str">
        <f ca="1">IFERROR(__xludf.DUMMYFUNCTION("""COMPUTED_VALUE"""),"The Otaku in 10,000 BC")</f>
        <v>The Otaku in 10,000 BC</v>
      </c>
      <c r="G72" s="2" t="str">
        <f ca="1">IFERROR(__xludf.DUMMYFUNCTION("""COMPUTED_VALUE"""),"Seduction")</f>
        <v>Seduction</v>
      </c>
      <c r="H72" s="2" t="str">
        <f ca="1">IFERROR(__xludf.DUMMYFUNCTION("""COMPUTED_VALUE"""),"This is a large cache of hentai manga. Like, a lot of it. The quality is exceptional in both story and art, and even if you ignored the eroticism of it, they would always make for a pleasant read. But the erotic aspects are themselves incredible, and pate"&amp;"ntly amazing even to someone who can’t read. It covers a variety of topics, but all of them are things you would find appealing. If someone else reads this hentai, the likelihood of you having sex with them at some point in the future increases.")</f>
        <v>This is a large cache of hentai manga. Like, a lot of it. The quality is exceptional in both story and art, and even if you ignored the eroticism of it, they would always make for a pleasant read. But the erotic aspects are themselves incredible, and patently amazing even to someone who can’t read. It covers a variety of topics, but all of them are things you would find appealing. If someone else reads this hentai, the likelihood of you having sex with them at some point in the future increases.</v>
      </c>
      <c r="I72" s="5"/>
    </row>
    <row r="73" spans="1:9" ht="34.799999999999997" x14ac:dyDescent="0.25">
      <c r="A73" s="16"/>
      <c r="B73" s="17">
        <v>69</v>
      </c>
      <c r="C73" s="2" t="b">
        <f ca="1">IFERROR(__xludf.DUMMYFUNCTION("""COMPUTED_VALUE"""),FALSE)</f>
        <v>0</v>
      </c>
      <c r="D73" s="2">
        <f ca="1">IFERROR(__xludf.DUMMYFUNCTION("""COMPUTED_VALUE"""),200)</f>
        <v>200</v>
      </c>
      <c r="E73" s="2" t="str">
        <f ca="1">IFERROR(__xludf.DUMMYFUNCTION("""COMPUTED_VALUE"""),"Everyone's Fetish")</f>
        <v>Everyone's Fetish</v>
      </c>
      <c r="F73" s="2" t="str">
        <f ca="1">IFERROR(__xludf.DUMMYFUNCTION("""COMPUTED_VALUE"""),"Winger’s World")</f>
        <v>Winger’s World</v>
      </c>
      <c r="G73" s="2" t="str">
        <f ca="1">IFERROR(__xludf.DUMMYFUNCTION("""COMPUTED_VALUE"""),"Seduction")</f>
        <v>Seduction</v>
      </c>
      <c r="H73" s="2" t="str">
        <f ca="1">IFERROR(__xludf.DUMMYFUNCTION("""COMPUTED_VALUE"""),"Size doesn’t matter? Whoever said that wasn’t a hyper. You’ll find that most people are into size. The bigger you get, the more aroused they get and you’ll be ready to scratch that itch real good.")</f>
        <v>Size doesn’t matter? Whoever said that wasn’t a hyper. You’ll find that most people are into size. The bigger you get, the more aroused they get and you’ll be ready to scratch that itch real good.</v>
      </c>
      <c r="I73" s="5"/>
    </row>
    <row r="74" spans="1:9" ht="69.599999999999994" x14ac:dyDescent="0.25">
      <c r="A74" s="16"/>
      <c r="B74" s="17">
        <v>70</v>
      </c>
      <c r="C74" s="2" t="b">
        <f ca="1">IFERROR(__xludf.DUMMYFUNCTION("""COMPUTED_VALUE"""),FALSE)</f>
        <v>0</v>
      </c>
      <c r="D74" s="2">
        <f ca="1">IFERROR(__xludf.DUMMYFUNCTION("""COMPUTED_VALUE"""),200)</f>
        <v>200</v>
      </c>
      <c r="E74" s="2" t="str">
        <f ca="1">IFERROR(__xludf.DUMMYFUNCTION("""COMPUTED_VALUE"""),"Expected Expectation")</f>
        <v>Expected Expectation</v>
      </c>
      <c r="F74" s="2" t="str">
        <f ca="1">IFERROR(__xludf.DUMMYFUNCTION("""COMPUTED_VALUE"""),"Ashigei Shoujo Komura-san")</f>
        <v>Ashigei Shoujo Komura-san</v>
      </c>
      <c r="G74" s="2" t="str">
        <f ca="1">IFERROR(__xludf.DUMMYFUNCTION("""COMPUTED_VALUE"""),"Seduction")</f>
        <v>Seduction</v>
      </c>
      <c r="H74" s="2" t="str">
        <f ca="1">IFERROR(__xludf.DUMMYFUNCTION("""COMPUTED_VALUE"""),"You’re a social butterfly that all but the most unreasonable people will struggle to dislike. You could be on close terms with every single club in a month, even if you didn’t join any. Rather than repelling others, your extreme quirks are often interpret"&amp;"ed as a point of charm, even if anyone else doing the same would be seen as a pervert.")</f>
        <v>You’re a social butterfly that all but the most unreasonable people will struggle to dislike. You could be on close terms with every single club in a month, even if you didn’t join any. Rather than repelling others, your extreme quirks are often interpreted as a point of charm, even if anyone else doing the same would be seen as a pervert.</v>
      </c>
      <c r="I74" s="5"/>
    </row>
    <row r="75" spans="1:9" ht="52.2" x14ac:dyDescent="0.25">
      <c r="A75" s="16"/>
      <c r="B75" s="17">
        <v>71</v>
      </c>
      <c r="C75" s="2" t="b">
        <f ca="1">IFERROR(__xludf.DUMMYFUNCTION("""COMPUTED_VALUE"""),FALSE)</f>
        <v>0</v>
      </c>
      <c r="D75" s="2">
        <f ca="1">IFERROR(__xludf.DUMMYFUNCTION("""COMPUTED_VALUE"""),200)</f>
        <v>200</v>
      </c>
      <c r="E75" s="2" t="str">
        <f ca="1">IFERROR(__xludf.DUMMYFUNCTION("""COMPUTED_VALUE"""),"First Time is Free")</f>
        <v>First Time is Free</v>
      </c>
      <c r="F75" s="2" t="str">
        <f ca="1">IFERROR(__xludf.DUMMYFUNCTION("""COMPUTED_VALUE"""),"World of Moral Reversal")</f>
        <v>World of Moral Reversal</v>
      </c>
      <c r="G75" s="2" t="str">
        <f ca="1">IFERROR(__xludf.DUMMYFUNCTION("""COMPUTED_VALUE"""),"Seduction")</f>
        <v>Seduction</v>
      </c>
      <c r="H75" s="2" t="str">
        <f ca="1">IFERROR(__xludf.DUMMYFUNCTION("""COMPUTED_VALUE"""),"Virgin, high schooler, or just a plain pervert, people of any world are oddly open to the idea of paying you for sexual services, assuming they know it’s on the table.")</f>
        <v>Virgin, high schooler, or just a plain pervert, people of any world are oddly open to the idea of paying you for sexual services, assuming they know it’s on the table.</v>
      </c>
      <c r="I75" s="5"/>
    </row>
    <row r="76" spans="1:9" ht="87" x14ac:dyDescent="0.25">
      <c r="A76" s="16"/>
      <c r="B76" s="17">
        <v>72</v>
      </c>
      <c r="C76" s="2" t="b">
        <f ca="1">IFERROR(__xludf.DUMMYFUNCTION("""COMPUTED_VALUE"""),FALSE)</f>
        <v>0</v>
      </c>
      <c r="D76" s="2">
        <f ca="1">IFERROR(__xludf.DUMMYFUNCTION("""COMPUTED_VALUE"""),200)</f>
        <v>200</v>
      </c>
      <c r="E76" s="2" t="str">
        <f ca="1">IFERROR(__xludf.DUMMYFUNCTION("""COMPUTED_VALUE"""),"Haunted Television")</f>
        <v>Haunted Television</v>
      </c>
      <c r="F76" s="2" t="str">
        <f ca="1">IFERROR(__xludf.DUMMYFUNCTION("""COMPUTED_VALUE"""),"Generic: Hentai Occult")</f>
        <v>Generic: Hentai Occult</v>
      </c>
      <c r="G76" s="2" t="str">
        <f ca="1">IFERROR(__xludf.DUMMYFUNCTION("""COMPUTED_VALUE"""),"Seduction")</f>
        <v>Seduction</v>
      </c>
      <c r="H76" s="2" t="str">
        <f ca="1">IFERROR(__xludf.DUMMYFUNCTION("""COMPUTED_VALUE"""),"You found this old thing at a garage sale after your old one broke. It belonged to an some highschool girl who was tragically hit by a bus. It’s also haunted by the ghost of said girl. Any women who watches this television is cursed with her dying wish - "&amp;"not dying a virgin. As a result, they’ll slowly start trying to get in your pants over the next hour or so. In addition, she can optionally strip the clothes off any character on the screen.")</f>
        <v>You found this old thing at a garage sale after your old one broke. It belonged to an some highschool girl who was tragically hit by a bus. It’s also haunted by the ghost of said girl. Any women who watches this television is cursed with her dying wish - not dying a virgin. As a result, they’ll slowly start trying to get in your pants over the next hour or so. In addition, she can optionally strip the clothes off any character on the screen.</v>
      </c>
      <c r="I76" s="5"/>
    </row>
    <row r="77" spans="1:9" ht="69.599999999999994" x14ac:dyDescent="0.25">
      <c r="A77" s="16"/>
      <c r="B77" s="17">
        <v>73</v>
      </c>
      <c r="C77" s="2" t="b">
        <f ca="1">IFERROR(__xludf.DUMMYFUNCTION("""COMPUTED_VALUE"""),FALSE)</f>
        <v>0</v>
      </c>
      <c r="D77" s="2">
        <f ca="1">IFERROR(__xludf.DUMMYFUNCTION("""COMPUTED_VALUE"""),200)</f>
        <v>200</v>
      </c>
      <c r="E77" s="2" t="str">
        <f ca="1">IFERROR(__xludf.DUMMYFUNCTION("""COMPUTED_VALUE"""),"It's Perfectly Normal")</f>
        <v>It's Perfectly Normal</v>
      </c>
      <c r="F77" s="2" t="str">
        <f ca="1">IFERROR(__xludf.DUMMYFUNCTION("""COMPUTED_VALUE"""),"World of Moral Reversal")</f>
        <v>World of Moral Reversal</v>
      </c>
      <c r="G77" s="2" t="str">
        <f ca="1">IFERROR(__xludf.DUMMYFUNCTION("""COMPUTED_VALUE"""),"Seduction")</f>
        <v>Seduction</v>
      </c>
      <c r="H77" s="2" t="str">
        <f ca="1">IFERROR(__xludf.DUMMYFUNCTION("""COMPUTED_VALUE"""),"Through inclusion in pervy acts with you, whether loaning them a magazine, or something more intimate, you can ignite the spark of perversion in even the most stubborn prudes. The change may or may not be a lasting one, but their attempts to suppress it w"&amp;"ill only make the impending lust-induced outburst more intense.")</f>
        <v>Through inclusion in pervy acts with you, whether loaning them a magazine, or something more intimate, you can ignite the spark of perversion in even the most stubborn prudes. The change may or may not be a lasting one, but their attempts to suppress it will only make the impending lust-induced outburst more intense.</v>
      </c>
      <c r="I77" s="5"/>
    </row>
    <row r="78" spans="1:9" ht="191.4" x14ac:dyDescent="0.25">
      <c r="A78" s="16"/>
      <c r="B78" s="17">
        <v>74</v>
      </c>
      <c r="C78" s="2" t="b">
        <f ca="1">IFERROR(__xludf.DUMMYFUNCTION("""COMPUTED_VALUE"""),FALSE)</f>
        <v>0</v>
      </c>
      <c r="D78" s="2">
        <f ca="1">IFERROR(__xludf.DUMMYFUNCTION("""COMPUTED_VALUE"""),200)</f>
        <v>200</v>
      </c>
      <c r="E78" s="2" t="str">
        <f ca="1">IFERROR(__xludf.DUMMYFUNCTION("""COMPUTED_VALUE"""),"My Hero!")</f>
        <v>My Hero!</v>
      </c>
      <c r="F78" s="2" t="str">
        <f ca="1">IFERROR(__xludf.DUMMYFUNCTION("""COMPUTED_VALUE"""),"Fate/Loli Order")</f>
        <v>Fate/Loli Order</v>
      </c>
      <c r="G78" s="2" t="str">
        <f ca="1">IFERROR(__xludf.DUMMYFUNCTION("""COMPUTED_VALUE"""),"Seduction")</f>
        <v>Seduction</v>
      </c>
      <c r="H78" s="2" t="str">
        <f ca="1">IFERROR(__xludf.DUMMYFUNCTION("""COMPUTED_VALUE"""),"Whether it’s some asshole trying to NTR your wife or some unscrupulous bastard trying to get lucky with your daughter, there’s seemingly no end to morons willing to do stupid shit because they think they can get away. Even Chaldea isn't free of such bad a"&amp;"pples. Thankfully, you're something of a Knight in Shining Armor; able to make quite an impression when you swoop in to save the day. Even if you were some towering monster that seemed more likely to tear people apart than comfort scared little girls, you"&amp;"r noble nature shines through; ensuring that such scared or scarred victims will know to latch onto you for safety rather than lash out or flee. If anything, that fresh coat of their victimizer's blood may be just the thing to help them realize the nightm"&amp;"are is finally over. Moreover, the greater the plight you save them from the easier you'll find it to grow closer to them; earning their trust and affection in equal measure after your daring feats, making it all too easy to wipe away their tears and help"&amp;" them find peace or perhaps nurturing it into true love.")</f>
        <v>Whether it’s some asshole trying to NTR your wife or some unscrupulous bastard trying to get lucky with your daughter, there’s seemingly no end to morons willing to do stupid shit because they think they can get away. Even Chaldea isn't free of such bad apples. Thankfully, you're something of a Knight in Shining Armor; able to make quite an impression when you swoop in to save the day. Even if you were some towering monster that seemed more likely to tear people apart than comfort scared little girls, your noble nature shines through; ensuring that such scared or scarred victims will know to latch onto you for safety rather than lash out or flee. If anything, that fresh coat of their victimizer's blood may be just the thing to help them realize the nightmare is finally over. Moreover, the greater the plight you save them from the easier you'll find it to grow closer to them; earning their trust and affection in equal measure after your daring feats, making it all too easy to wipe away their tears and help them find peace or perhaps nurturing it into true love.</v>
      </c>
      <c r="I78" s="5"/>
    </row>
    <row r="79" spans="1:9" ht="104.4" x14ac:dyDescent="0.25">
      <c r="A79" s="16"/>
      <c r="B79" s="17">
        <v>75</v>
      </c>
      <c r="C79" s="2" t="b">
        <f ca="1">IFERROR(__xludf.DUMMYFUNCTION("""COMPUTED_VALUE"""),FALSE)</f>
        <v>0</v>
      </c>
      <c r="D79" s="2">
        <f ca="1">IFERROR(__xludf.DUMMYFUNCTION("""COMPUTED_VALUE"""),200)</f>
        <v>200</v>
      </c>
      <c r="E79" s="2" t="str">
        <f ca="1">IFERROR(__xludf.DUMMYFUNCTION("""COMPUTED_VALUE"""),"New Best Friends")</f>
        <v>New Best Friends</v>
      </c>
      <c r="F79" s="2" t="str">
        <f ca="1">IFERROR(__xludf.DUMMYFUNCTION("""COMPUTED_VALUE"""),"Bricola")</f>
        <v>Bricola</v>
      </c>
      <c r="G79" s="2" t="str">
        <f ca="1">IFERROR(__xludf.DUMMYFUNCTION("""COMPUTED_VALUE"""),"Seduction")</f>
        <v>Seduction</v>
      </c>
      <c r="H79" s="2" t="str">
        <f ca="1">IFERROR(__xludf.DUMMYFUNCTION("""COMPUTED_VALUE"""),"When you’ve got that itch that needs scratching, Rangiku would probably tell you to head to the nearest bar and let someone order you a drink. That’s what she does more often than not, after all. Like her, when you’re in the mood for a partner for tonight"&amp;" only, you put out a faint aura of “please fuck me” that draws in all sorts of partners like flies to honey. At the same time, when morning comes, if you never want to see them again then that same aura will cause you to sort of slip past each other when "&amp;"you would otherwise cross paths again.")</f>
        <v>When you’ve got that itch that needs scratching, Rangiku would probably tell you to head to the nearest bar and let someone order you a drink. That’s what she does more often than not, after all. Like her, when you’re in the mood for a partner for tonight only, you put out a faint aura of “please fuck me” that draws in all sorts of partners like flies to honey. At the same time, when morning comes, if you never want to see them again then that same aura will cause you to sort of slip past each other when you would otherwise cross paths again.</v>
      </c>
      <c r="I79" s="5"/>
    </row>
    <row r="80" spans="1:9" ht="69.599999999999994" x14ac:dyDescent="0.25">
      <c r="A80" s="16"/>
      <c r="B80" s="17">
        <v>76</v>
      </c>
      <c r="C80" s="2" t="b">
        <f ca="1">IFERROR(__xludf.DUMMYFUNCTION("""COMPUTED_VALUE"""),FALSE)</f>
        <v>0</v>
      </c>
      <c r="D80" s="2">
        <f ca="1">IFERROR(__xludf.DUMMYFUNCTION("""COMPUTED_VALUE"""),200)</f>
        <v>200</v>
      </c>
      <c r="E80" s="2" t="str">
        <f ca="1">IFERROR(__xludf.DUMMYFUNCTION("""COMPUTED_VALUE"""),"Pheremone Mushroom")</f>
        <v>Pheremone Mushroom</v>
      </c>
      <c r="F80" s="2" t="str">
        <f ca="1">IFERROR(__xludf.DUMMYFUNCTION("""COMPUTED_VALUE"""),"Monster Hunter XXX")</f>
        <v>Monster Hunter XXX</v>
      </c>
      <c r="G80" s="2" t="str">
        <f ca="1">IFERROR(__xludf.DUMMYFUNCTION("""COMPUTED_VALUE"""),"Seduction")</f>
        <v>Seduction</v>
      </c>
      <c r="H80" s="2" t="str">
        <f ca="1">IFERROR(__xludf.DUMMYFUNCTION("""COMPUTED_VALUE"""),"Maybe you feel the need to step it up a notch to seduce that cute Hunter chasing you? Or how about that regal Teostra? Either way, this little pink mushroom (sold in bundles of six weekly) will amplify your natural sexiness by a solid fifty percent. If th"&amp;"ey were the type to be interested in you, they’ll be putty in your claws unless possessed of amazing willpower.")</f>
        <v>Maybe you feel the need to step it up a notch to seduce that cute Hunter chasing you? Or how about that regal Teostra? Either way, this little pink mushroom (sold in bundles of six weekly) will amplify your natural sexiness by a solid fifty percent. If they were the type to be interested in you, they’ll be putty in your claws unless possessed of amazing willpower.</v>
      </c>
      <c r="I80" s="5"/>
    </row>
    <row r="81" spans="1:9" ht="121.8" x14ac:dyDescent="0.25">
      <c r="A81" s="16"/>
      <c r="B81" s="17">
        <v>77</v>
      </c>
      <c r="C81" s="2" t="b">
        <f ca="1">IFERROR(__xludf.DUMMYFUNCTION("""COMPUTED_VALUE"""),FALSE)</f>
        <v>0</v>
      </c>
      <c r="D81" s="2">
        <f ca="1">IFERROR(__xludf.DUMMYFUNCTION("""COMPUTED_VALUE"""),200)</f>
        <v>200</v>
      </c>
      <c r="E81" s="2" t="str">
        <f ca="1">IFERROR(__xludf.DUMMYFUNCTION("""COMPUTED_VALUE"""),"Pierre's Own Luck")</f>
        <v>Pierre's Own Luck</v>
      </c>
      <c r="F81" s="2" t="str">
        <f ca="1">IFERROR(__xludf.DUMMYFUNCTION("""COMPUTED_VALUE"""),"Generic: Norithics")</f>
        <v>Generic: Norithics</v>
      </c>
      <c r="G81" s="2" t="str">
        <f ca="1">IFERROR(__xludf.DUMMYFUNCTION("""COMPUTED_VALUE"""),"Seduction")</f>
        <v>Seduction</v>
      </c>
      <c r="H81" s="2" t="str">
        <f ca="1">IFERROR(__xludf.DUMMYFUNCTION("""COMPUTED_VALUE"""),"It's one thing to charm yourself into somebody's pants, it's another thing to have the kind of charisma and sex appeal to smooth-talk your way into into a threesome, especially if the people you’re asking aren't necessarily a couple, don't really swing th"&amp;"at way, or maybe they just hate each other, or have some other kind of weird sexual taboo that would normally prevent them from sleeping with each other. In addition to being so massively charming and sexy you can literally do just that, whether working i"&amp;"ndividually or two at a time, you're able to use threesomes as a method to convince nearly any two people to sleep with you.")</f>
        <v>It's one thing to charm yourself into somebody's pants, it's another thing to have the kind of charisma and sex appeal to smooth-talk your way into into a threesome, especially if the people you’re asking aren't necessarily a couple, don't really swing that way, or maybe they just hate each other, or have some other kind of weird sexual taboo that would normally prevent them from sleeping with each other. In addition to being so massively charming and sexy you can literally do just that, whether working individually or two at a time, you're able to use threesomes as a method to convince nearly any two people to sleep with you.</v>
      </c>
      <c r="I81" s="5"/>
    </row>
    <row r="82" spans="1:9" ht="52.2" x14ac:dyDescent="0.25">
      <c r="A82" s="16"/>
      <c r="B82" s="17">
        <v>78</v>
      </c>
      <c r="C82" s="2" t="b">
        <f ca="1">IFERROR(__xludf.DUMMYFUNCTION("""COMPUTED_VALUE"""),FALSE)</f>
        <v>0</v>
      </c>
      <c r="D82" s="2">
        <f ca="1">IFERROR(__xludf.DUMMYFUNCTION("""COMPUTED_VALUE"""),200)</f>
        <v>200</v>
      </c>
      <c r="E82" s="2" t="str">
        <f ca="1">IFERROR(__xludf.DUMMYFUNCTION("""COMPUTED_VALUE"""),"Please Cum Again")</f>
        <v>Please Cum Again</v>
      </c>
      <c r="F82" s="2" t="str">
        <f ca="1">IFERROR(__xludf.DUMMYFUNCTION("""COMPUTED_VALUE"""),"Nyakumi")</f>
        <v>Nyakumi</v>
      </c>
      <c r="G82" s="2" t="str">
        <f ca="1">IFERROR(__xludf.DUMMYFUNCTION("""COMPUTED_VALUE"""),"Seduction")</f>
        <v>Seduction</v>
      </c>
      <c r="H82" s="2" t="str">
        <f ca="1">IFERROR(__xludf.DUMMYFUNCTION("""COMPUTED_VALUE"""),"Girls treated for Lewd Mist Exposure tend to seek out their rescuers to experience the ‘treatment’ again. This perk greatly increases the chance for people that you have sex with to come looking for another round. You definitely aren’t lacking for casual "&amp;"sex partners with a job like yours.")</f>
        <v>Girls treated for Lewd Mist Exposure tend to seek out their rescuers to experience the ‘treatment’ again. This perk greatly increases the chance for people that you have sex with to come looking for another round. You definitely aren’t lacking for casual sex partners with a job like yours.</v>
      </c>
      <c r="I82" s="5"/>
    </row>
    <row r="83" spans="1:9" ht="104.4" x14ac:dyDescent="0.25">
      <c r="A83" s="16"/>
      <c r="B83" s="17">
        <v>79</v>
      </c>
      <c r="C83" s="2" t="b">
        <f ca="1">IFERROR(__xludf.DUMMYFUNCTION("""COMPUTED_VALUE"""),FALSE)</f>
        <v>0</v>
      </c>
      <c r="D83" s="2">
        <f ca="1">IFERROR(__xludf.DUMMYFUNCTION("""COMPUTED_VALUE"""),200)</f>
        <v>200</v>
      </c>
      <c r="E83" s="2" t="str">
        <f ca="1">IFERROR(__xludf.DUMMYFUNCTION("""COMPUTED_VALUE"""),"Plot Twister")</f>
        <v>Plot Twister</v>
      </c>
      <c r="F83" s="2" t="str">
        <f ca="1">IFERROR(__xludf.DUMMYFUNCTION("""COMPUTED_VALUE"""),"Sei So Tsui Dan Sha")</f>
        <v>Sei So Tsui Dan Sha</v>
      </c>
      <c r="G83" s="2" t="str">
        <f ca="1">IFERROR(__xludf.DUMMYFUNCTION("""COMPUTED_VALUE"""),"Seduction")</f>
        <v>Seduction</v>
      </c>
      <c r="H83" s="2" t="str">
        <f ca="1">IFERROR(__xludf.DUMMYFUNCTION("""COMPUTED_VALUE"""),"You can’t let yourself be someone’s toy forever. You need to rise up, but when sex is your only weapon, you learn to make due. Now, you’re able to flip the tables on any power dynamic, by dominating those currently above you sexually. Whether they’re a sa"&amp;"distic bully or an unreasonable boss, they won’t be able to look down on you once you put them in their place with your body. This only affects how they feel about you, this won’t affect structural or systemic power they hold over you.")</f>
        <v>You can’t let yourself be someone’s toy forever. You need to rise up, but when sex is your only weapon, you learn to make due. Now, you’re able to flip the tables on any power dynamic, by dominating those currently above you sexually. Whether they’re a sadistic bully or an unreasonable boss, they won’t be able to look down on you once you put them in their place with your body. This only affects how they feel about you, this won’t affect structural or systemic power they hold over you.</v>
      </c>
      <c r="I83" s="5"/>
    </row>
    <row r="84" spans="1:9" ht="104.4" x14ac:dyDescent="0.25">
      <c r="A84" s="16"/>
      <c r="B84" s="17">
        <v>80</v>
      </c>
      <c r="C84" s="2" t="b">
        <f ca="1">IFERROR(__xludf.DUMMYFUNCTION("""COMPUTED_VALUE"""),FALSE)</f>
        <v>0</v>
      </c>
      <c r="D84" s="2">
        <f ca="1">IFERROR(__xludf.DUMMYFUNCTION("""COMPUTED_VALUE"""),200)</f>
        <v>200</v>
      </c>
      <c r="E84" s="2" t="str">
        <f ca="1">IFERROR(__xludf.DUMMYFUNCTION("""COMPUTED_VALUE"""),"Queen Slut")</f>
        <v>Queen Slut</v>
      </c>
      <c r="F84" s="2" t="str">
        <f ca="1">IFERROR(__xludf.DUMMYFUNCTION("""COMPUTED_VALUE"""),"Victim Girls (Veronica Edition)")</f>
        <v>Victim Girls (Veronica Edition)</v>
      </c>
      <c r="G84" s="2" t="str">
        <f ca="1">IFERROR(__xludf.DUMMYFUNCTION("""COMPUTED_VALUE"""),"Seduction")</f>
        <v>Seduction</v>
      </c>
      <c r="H84" s="2" t="str">
        <f ca="1">IFERROR(__xludf.DUMMYFUNCTION("""COMPUTED_VALUE"""),"All these harpies are drawn to you like honey. Like long lost sisters, women with similar body types and slutty interests as you are lured to your presence. If you happened to be some goblin tribes’ current breeder, you’d be responsible for luring plenty "&amp;"of ultra-fertile goblin-lovers to their hunting grounds without even meaning to. It has a smaller effect on girls that you already know, slowly encouraging their bodies and minds to twist more towards your particular brand of lewdness. By choice, you can "&amp;"have this instead work on the preferences of your current partner slash owner.")</f>
        <v>All these harpies are drawn to you like honey. Like long lost sisters, women with similar body types and slutty interests as you are lured to your presence. If you happened to be some goblin tribes’ current breeder, you’d be responsible for luring plenty of ultra-fertile goblin-lovers to their hunting grounds without even meaning to. It has a smaller effect on girls that you already know, slowly encouraging their bodies and minds to twist more towards your particular brand of lewdness. By choice, you can have this instead work on the preferences of your current partner slash owner.</v>
      </c>
      <c r="I84" s="5"/>
    </row>
    <row r="85" spans="1:9" ht="156.6" x14ac:dyDescent="0.25">
      <c r="A85" s="16"/>
      <c r="B85" s="17">
        <v>81</v>
      </c>
      <c r="C85" s="2" t="b">
        <f ca="1">IFERROR(__xludf.DUMMYFUNCTION("""COMPUTED_VALUE"""),FALSE)</f>
        <v>0</v>
      </c>
      <c r="D85" s="2">
        <f ca="1">IFERROR(__xludf.DUMMYFUNCTION("""COMPUTED_VALUE"""),200)</f>
        <v>200</v>
      </c>
      <c r="E85" s="2" t="str">
        <f ca="1">IFERROR(__xludf.DUMMYFUNCTION("""COMPUTED_VALUE"""),"Sever the Strings")</f>
        <v>Sever the Strings</v>
      </c>
      <c r="F85" s="2" t="str">
        <f ca="1">IFERROR(__xludf.DUMMYFUNCTION("""COMPUTED_VALUE"""),"Majuu Purification Girl Utea")</f>
        <v>Majuu Purification Girl Utea</v>
      </c>
      <c r="G85" s="2" t="str">
        <f ca="1">IFERROR(__xludf.DUMMYFUNCTION("""COMPUTED_VALUE"""),"Seduction")</f>
        <v>Seduction</v>
      </c>
      <c r="H85" s="2" t="str">
        <f ca="1">IFERROR(__xludf.DUMMYFUNCTION("""COMPUTED_VALUE"""),"Destined encounters, fated lovers... doesn’t it make you sick that magical girls get things handed to them so easily? Well I have good news for you: your otherworldly nature grants you the power to fuck with fate. In each world you visit you seem destined"&amp;" to meet the people you desire most, easily brushing aside any rivals who’d interfere with you. You don’t even need to kill the magical girl’s fairy partner or destined lover to keep them from meeting each other because stuff will just happen coincidental"&amp;"ly and make them pass each other by, like ships in the night. In the meantime you can easily slide right into the empty space that person would normally occupy. Instead she’ll run into you and she’ll keep running into you over and over again because you’r"&amp;"e the one she’s destined for now. Destined for what exactly? That’s for you to decide.")</f>
        <v>Destined encounters, fated lovers... doesn’t it make you sick that magical girls get things handed to them so easily? Well I have good news for you: your otherworldly nature grants you the power to fuck with fate. In each world you visit you seem destined to meet the people you desire most, easily brushing aside any rivals who’d interfere with you. You don’t even need to kill the magical girl’s fairy partner or destined lover to keep them from meeting each other because stuff will just happen coincidentally and make them pass each other by, like ships in the night. In the meantime you can easily slide right into the empty space that person would normally occupy. Instead she’ll run into you and she’ll keep running into you over and over again because you’re the one she’s destined for now. Destined for what exactly? That’s for you to decide.</v>
      </c>
      <c r="I85" s="5"/>
    </row>
    <row r="86" spans="1:9" ht="104.4" x14ac:dyDescent="0.25">
      <c r="A86" s="16"/>
      <c r="B86" s="17">
        <v>82</v>
      </c>
      <c r="C86" s="2" t="b">
        <f ca="1">IFERROR(__xludf.DUMMYFUNCTION("""COMPUTED_VALUE"""),FALSE)</f>
        <v>0</v>
      </c>
      <c r="D86" s="2">
        <f ca="1">IFERROR(__xludf.DUMMYFUNCTION("""COMPUTED_VALUE"""),200)</f>
        <v>200</v>
      </c>
      <c r="E86" s="2" t="str">
        <f ca="1">IFERROR(__xludf.DUMMYFUNCTION("""COMPUTED_VALUE"""),"Slow and Sensual")</f>
        <v>Slow and Sensual</v>
      </c>
      <c r="F86" s="2" t="str">
        <f ca="1">IFERROR(__xludf.DUMMYFUNCTION("""COMPUTED_VALUE"""),"Chichikko Bitch / Witch Bitch Collection")</f>
        <v>Chichikko Bitch / Witch Bitch Collection</v>
      </c>
      <c r="G86" s="2" t="str">
        <f ca="1">IFERROR(__xludf.DUMMYFUNCTION("""COMPUTED_VALUE"""),"Seduction")</f>
        <v>Seduction</v>
      </c>
      <c r="H86" s="2" t="str">
        <f ca="1">IFERROR(__xludf.DUMMYFUNCTION("""COMPUTED_VALUE"""),"Of course, if you go too fast then she might get the wrong - well, right - idea about your intentions. With that in mind, why don’t we start slow. This isn’t really a porn shoot, it’s just a modeling gig. You’ve done those before, right? Similarly, you ar"&amp;"e excellent at both backtracking if your attempts at leading them into lewdness backfire and disguising those attempts. Give us a twirl and a wink, lean forwards and pout, maybe flash your tits... One thing leads to another, and before they know it they’r"&amp;"e sucking your cock.")</f>
        <v>Of course, if you go too fast then she might get the wrong - well, right - idea about your intentions. With that in mind, why don’t we start slow. This isn’t really a porn shoot, it’s just a modeling gig. You’ve done those before, right? Similarly, you are excellent at both backtracking if your attempts at leading them into lewdness backfire and disguising those attempts. Give us a twirl and a wink, lean forwards and pout, maybe flash your tits... One thing leads to another, and before they know it they’re sucking your cock.</v>
      </c>
      <c r="I86" s="5"/>
    </row>
    <row r="87" spans="1:9" ht="156.6" x14ac:dyDescent="0.25">
      <c r="A87" s="16"/>
      <c r="B87" s="17">
        <v>83</v>
      </c>
      <c r="C87" s="2" t="b">
        <f ca="1">IFERROR(__xludf.DUMMYFUNCTION("""COMPUTED_VALUE"""),FALSE)</f>
        <v>0</v>
      </c>
      <c r="D87" s="2">
        <f ca="1">IFERROR(__xludf.DUMMYFUNCTION("""COMPUTED_VALUE"""),200)</f>
        <v>200</v>
      </c>
      <c r="E87" s="2" t="str">
        <f ca="1">IFERROR(__xludf.DUMMYFUNCTION("""COMPUTED_VALUE"""),"Smooth Criminal")</f>
        <v>Smooth Criminal</v>
      </c>
      <c r="F87" s="2" t="str">
        <f ca="1">IFERROR(__xludf.DUMMYFUNCTION("""COMPUTED_VALUE"""),"Generic: Hentai World")</f>
        <v>Generic: Hentai World</v>
      </c>
      <c r="G87" s="2" t="str">
        <f ca="1">IFERROR(__xludf.DUMMYFUNCTION("""COMPUTED_VALUE"""),"Seduction")</f>
        <v>Seduction</v>
      </c>
      <c r="H87" s="2" t="str">
        <f ca="1">IFERROR(__xludf.DUMMYFUNCTION("""COMPUTED_VALUE"""),"Despite their loose morals and cheerful disregard for social norms a good Scoundrel is rarely lacking for romantic interests. The old adage about all girls loving bad boys has some truth to it for you because you can even seduce girls who dislike you, eve"&amp;"n if you’ve given them good reason to do so! You could cheat on your girlfriend, blackmail someone into dating you, or conquer a kingdom and claim the princess as your concubine, and yet when you turn on the charm your “victims” are no less likely to fall"&amp;" for you than anyone else. They might act cold or tsundere towards you at first but be patient and inevitably you’ll win them over even against their better judgement. Just take care not to push your luck: you’re a Scoundrel, not a Monster, and if you’re "&amp;"too cruel to your partners you’ll lose this perk’s protection.")</f>
        <v>Despite their loose morals and cheerful disregard for social norms a good Scoundrel is rarely lacking for romantic interests. The old adage about all girls loving bad boys has some truth to it for you because you can even seduce girls who dislike you, even if you’ve given them good reason to do so! You could cheat on your girlfriend, blackmail someone into dating you, or conquer a kingdom and claim the princess as your concubine, and yet when you turn on the charm your “victims” are no less likely to fall for you than anyone else. They might act cold or tsundere towards you at first but be patient and inevitably you’ll win them over even against their better judgement. Just take care not to push your luck: you’re a Scoundrel, not a Monster, and if you’re too cruel to your partners you’ll lose this perk’s protection.</v>
      </c>
      <c r="I87" s="5"/>
    </row>
    <row r="88" spans="1:9" ht="156.6" x14ac:dyDescent="0.25">
      <c r="A88" s="16"/>
      <c r="B88" s="17">
        <v>84</v>
      </c>
      <c r="C88" s="2" t="b">
        <f ca="1">IFERROR(__xludf.DUMMYFUNCTION("""COMPUTED_VALUE"""),FALSE)</f>
        <v>0</v>
      </c>
      <c r="D88" s="2">
        <f ca="1">IFERROR(__xludf.DUMMYFUNCTION("""COMPUTED_VALUE"""),200)</f>
        <v>200</v>
      </c>
      <c r="E88" s="2" t="str">
        <f ca="1">IFERROR(__xludf.DUMMYFUNCTION("""COMPUTED_VALUE"""),"Smooth Talker")</f>
        <v>Smooth Talker</v>
      </c>
      <c r="F88" s="2" t="str">
        <f ca="1">IFERROR(__xludf.DUMMYFUNCTION("""COMPUTED_VALUE"""),"Angel Academy ~ Hardcore Dorm Sex Life")</f>
        <v>Angel Academy ~ Hardcore Dorm Sex Life</v>
      </c>
      <c r="G88" s="2" t="str">
        <f ca="1">IFERROR(__xludf.DUMMYFUNCTION("""COMPUTED_VALUE"""),"Seduction")</f>
        <v>Seduction</v>
      </c>
      <c r="H88" s="2" t="str">
        <f ca="1">IFERROR(__xludf.DUMMYFUNCTION("""COMPUTED_VALUE"""),"Getting people interested in you is only the first step: once you hook them you’ve got to reel them in. Not only are you charming and charismatic but your roguish charms allow you to leverage your sex appeal into a major advantage when it comes to temptin"&amp;"g, manipulating, and seducing the opposite sex. You could easily disarm a haughty tsundere’s temper and turn her into a blushing mess just by flirting with her a little, or negotiate a discount from a cute shopkeeper by offering “alternative” forms of pay"&amp;"ment. The more attracted to you a person is the more easily they can be tempted and manipulated by your charms, and those who are so far gone that they’ve fallen in love with you can easily be wrapped around your little finger. However those who genuinely"&amp;" dislike you won’t be affected by this perk at all.")</f>
        <v>Getting people interested in you is only the first step: once you hook them you’ve got to reel them in. Not only are you charming and charismatic but your roguish charms allow you to leverage your sex appeal into a major advantage when it comes to tempting, manipulating, and seducing the opposite sex. You could easily disarm a haughty tsundere’s temper and turn her into a blushing mess just by flirting with her a little, or negotiate a discount from a cute shopkeeper by offering “alternative” forms of payment. The more attracted to you a person is the more easily they can be tempted and manipulated by your charms, and those who are so far gone that they’ve fallen in love with you can easily be wrapped around your little finger. However those who genuinely dislike you won’t be affected by this perk at all.</v>
      </c>
      <c r="I88" s="5"/>
    </row>
    <row r="89" spans="1:9" ht="121.8" x14ac:dyDescent="0.25">
      <c r="A89" s="16"/>
      <c r="B89" s="17">
        <v>85</v>
      </c>
      <c r="C89" s="2" t="b">
        <f ca="1">IFERROR(__xludf.DUMMYFUNCTION("""COMPUTED_VALUE"""),FALSE)</f>
        <v>0</v>
      </c>
      <c r="D89" s="2">
        <f ca="1">IFERROR(__xludf.DUMMYFUNCTION("""COMPUTED_VALUE"""),200)</f>
        <v>200</v>
      </c>
      <c r="E89" s="2" t="str">
        <f ca="1">IFERROR(__xludf.DUMMYFUNCTION("""COMPUTED_VALUE"""),"Support Fighter")</f>
        <v>Support Fighter</v>
      </c>
      <c r="F89" s="2" t="str">
        <f ca="1">IFERROR(__xludf.DUMMYFUNCTION("""COMPUTED_VALUE"""),"A Change of Tactics V2.2")</f>
        <v>A Change of Tactics V2.2</v>
      </c>
      <c r="G89" s="2" t="str">
        <f ca="1">IFERROR(__xludf.DUMMYFUNCTION("""COMPUTED_VALUE"""),"Seduction")</f>
        <v>Seduction</v>
      </c>
      <c r="H89" s="2" t="str">
        <f ca="1">IFERROR(__xludf.DUMMYFUNCTION("""COMPUTED_VALUE"""),"There might be a better way to make new friends than to fight for your lives together but if there is you haven’t found it yet. You can harness the heat and pressure of battle in order to forge bonds of friendship, brotherhood, or even romance between you"&amp;" and your allies. Results will vary depending on the individual but even someone who doesn’t want to give you the time of day can’t help warming up to you after you’ve saved their life once or twice. Such bonds are also ironclad once forged, requiring a g"&amp;"reat deal of abuse or neglect on your part to sever them, and your enemies will find it all but impossible to drive a wedge between you and those you care about.")</f>
        <v>There might be a better way to make new friends than to fight for your lives together but if there is you haven’t found it yet. You can harness the heat and pressure of battle in order to forge bonds of friendship, brotherhood, or even romance between you and your allies. Results will vary depending on the individual but even someone who doesn’t want to give you the time of day can’t help warming up to you after you’ve saved their life once or twice. Such bonds are also ironclad once forged, requiring a great deal of abuse or neglect on your part to sever them, and your enemies will find it all but impossible to drive a wedge between you and those you care about.</v>
      </c>
      <c r="I89" s="5"/>
    </row>
    <row r="90" spans="1:9" ht="87" x14ac:dyDescent="0.25">
      <c r="A90" s="16"/>
      <c r="B90" s="17">
        <v>86</v>
      </c>
      <c r="C90" s="2" t="b">
        <f ca="1">IFERROR(__xludf.DUMMYFUNCTION("""COMPUTED_VALUE"""),FALSE)</f>
        <v>0</v>
      </c>
      <c r="D90" s="2">
        <f ca="1">IFERROR(__xludf.DUMMYFUNCTION("""COMPUTED_VALUE"""),200)</f>
        <v>200</v>
      </c>
      <c r="E90" s="2" t="str">
        <f ca="1">IFERROR(__xludf.DUMMYFUNCTION("""COMPUTED_VALUE"""),"Tempting Target")</f>
        <v>Tempting Target</v>
      </c>
      <c r="F90" s="2" t="str">
        <f ca="1">IFERROR(__xludf.DUMMYFUNCTION("""COMPUTED_VALUE"""),"Boku To Nottori Nakademia")</f>
        <v>Boku To Nottori Nakademia</v>
      </c>
      <c r="G90" s="2" t="str">
        <f ca="1">IFERROR(__xludf.DUMMYFUNCTION("""COMPUTED_VALUE"""),"Seduction")</f>
        <v>Seduction</v>
      </c>
      <c r="H90" s="2" t="str">
        <f ca="1">IFERROR(__xludf.DUMMYFUNCTION("""COMPUTED_VALUE"""),"When it comes to possessing entities and other such puppet masters, you’re the honey to other people’s vinegar. You’ll find that they practically come out of the woodwork to get their hands (claws, tentacles, non-euclidean body parts with no name, etc.) y"&amp;"ou, and are far more likely to focus on you in particular rather than someone more unprepared for such an experience. Naturally, you can toggle this off if it gets a bit too much.")</f>
        <v>When it comes to possessing entities and other such puppet masters, you’re the honey to other people’s vinegar. You’ll find that they practically come out of the woodwork to get their hands (claws, tentacles, non-euclidean body parts with no name, etc.) you, and are far more likely to focus on you in particular rather than someone more unprepared for such an experience. Naturally, you can toggle this off if it gets a bit too much.</v>
      </c>
      <c r="I90" s="5"/>
    </row>
    <row r="91" spans="1:9" ht="69.599999999999994" x14ac:dyDescent="0.25">
      <c r="A91" s="16"/>
      <c r="B91" s="17">
        <v>87</v>
      </c>
      <c r="C91" s="2" t="b">
        <f ca="1">IFERROR(__xludf.DUMMYFUNCTION("""COMPUTED_VALUE"""),FALSE)</f>
        <v>0</v>
      </c>
      <c r="D91" s="2">
        <f ca="1">IFERROR(__xludf.DUMMYFUNCTION("""COMPUTED_VALUE"""),200)</f>
        <v>200</v>
      </c>
      <c r="E91" s="2" t="str">
        <f ca="1">IFERROR(__xludf.DUMMYFUNCTION("""COMPUTED_VALUE"""),"The Joys of Submission")</f>
        <v>The Joys of Submission</v>
      </c>
      <c r="F91" s="2" t="str">
        <f ca="1">IFERROR(__xludf.DUMMYFUNCTION("""COMPUTED_VALUE"""),"Slimy Sextet")</f>
        <v>Slimy Sextet</v>
      </c>
      <c r="G91" s="2" t="str">
        <f ca="1">IFERROR(__xludf.DUMMYFUNCTION("""COMPUTED_VALUE"""),"Seduction")</f>
        <v>Seduction</v>
      </c>
      <c r="H91" s="2" t="str">
        <f ca="1">IFERROR(__xludf.DUMMYFUNCTION("""COMPUTED_VALUE"""),"It can feel so good to just... let somebody else take control. When you stop resisting and let someone else have their way with you, the pleasure you experience increases significantly, to the point that you wouldn’t need aphrodisiacs to reach the same hi"&amp;"ghs of pleasure that the heroines in the game did.")</f>
        <v>It can feel so good to just... let somebody else take control. When you stop resisting and let someone else have their way with you, the pleasure you experience increases significantly, to the point that you wouldn’t need aphrodisiacs to reach the same highs of pleasure that the heroines in the game did.</v>
      </c>
      <c r="I91" s="5"/>
    </row>
    <row r="92" spans="1:9" ht="52.2" x14ac:dyDescent="0.25">
      <c r="A92" s="16"/>
      <c r="B92" s="17">
        <v>88</v>
      </c>
      <c r="C92" s="2" t="b">
        <f ca="1">IFERROR(__xludf.DUMMYFUNCTION("""COMPUTED_VALUE"""),FALSE)</f>
        <v>0</v>
      </c>
      <c r="D92" s="2">
        <f ca="1">IFERROR(__xludf.DUMMYFUNCTION("""COMPUTED_VALUE"""),200)</f>
        <v>200</v>
      </c>
      <c r="E92" s="2" t="str">
        <f ca="1">IFERROR(__xludf.DUMMYFUNCTION("""COMPUTED_VALUE"""),"The Kind Leader")</f>
        <v>The Kind Leader</v>
      </c>
      <c r="F92" s="2" t="str">
        <f ca="1">IFERROR(__xludf.DUMMYFUNCTION("""COMPUTED_VALUE"""),"Earth Girls")</f>
        <v>Earth Girls</v>
      </c>
      <c r="G92" s="2" t="str">
        <f ca="1">IFERROR(__xludf.DUMMYFUNCTION("""COMPUTED_VALUE"""),"Seduction")</f>
        <v>Seduction</v>
      </c>
      <c r="H92" s="2" t="str">
        <f ca="1">IFERROR(__xludf.DUMMYFUNCTION("""COMPUTED_VALUE"""),"There’s a quality about you that attracts people who have troubles or unhappiness in their lives and who would feel all the happier under your leadership. That goes double for those of your preferred gender who are looking for love.")</f>
        <v>There’s a quality about you that attracts people who have troubles or unhappiness in their lives and who would feel all the happier under your leadership. That goes double for those of your preferred gender who are looking for love.</v>
      </c>
      <c r="I92" s="5"/>
    </row>
    <row r="93" spans="1:9" ht="208.8" x14ac:dyDescent="0.25">
      <c r="A93" s="16"/>
      <c r="B93" s="17">
        <v>89</v>
      </c>
      <c r="C93" s="2" t="b">
        <f ca="1">IFERROR(__xludf.DUMMYFUNCTION("""COMPUTED_VALUE"""),FALSE)</f>
        <v>0</v>
      </c>
      <c r="D93" s="2">
        <f ca="1">IFERROR(__xludf.DUMMYFUNCTION("""COMPUTED_VALUE"""),200)</f>
        <v>200</v>
      </c>
      <c r="E93" s="2" t="str">
        <f ca="1">IFERROR(__xludf.DUMMYFUNCTION("""COMPUTED_VALUE"""),"The Perks of Heroism")</f>
        <v>The Perks of Heroism</v>
      </c>
      <c r="F93" s="2" t="str">
        <f ca="1">IFERROR(__xludf.DUMMYFUNCTION("""COMPUTED_VALUE"""),"Breathless Wild")</f>
        <v>Breathless Wild</v>
      </c>
      <c r="G93" s="2" t="str">
        <f ca="1">IFERROR(__xludf.DUMMYFUNCTION("""COMPUTED_VALUE"""),"Seduction")</f>
        <v>Seduction</v>
      </c>
      <c r="H93" s="2" t="str">
        <f ca="1">IFERROR(__xludf.DUMMYFUNCTION("""COMPUTED_VALUE"""),"A hero’s work is never done, but at least that work is well-rewarded. Whether you’re saving a damsel from becoming a monster’s sex slave or saving an entire kingdom from some terrible calamity, you’ll always be handsomely rewarded for performing good deed"&amp;"s. Grateful quest-givers never fail to compensate you for your services and random acts of heroism carry fortuitous rewards of their own, whether in material goods or other forms of payment. A shopkeep might reward you for your services with free equipmen"&amp;"t or a steep discount on something truly valuable, or simply invite you to bend her over the counter and have your way with her. If a farmer is too poor to properly reward you for saving his ranch then his lovely daughters might show you their appreciatio"&amp;"n instead, and raiding a monster lair always seems to turn up a chest of rupees or an amorous damsel eager to reward her savior. Naturally, the grander your deeds the greater the prize you’ll earn: slay a beast like Ganon and you might win a king’s ransom"&amp;", or a princess’s hand in marriage.")</f>
        <v>A hero’s work is never done, but at least that work is well-rewarded. Whether you’re saving a damsel from becoming a monster’s sex slave or saving an entire kingdom from some terrible calamity, you’ll always be handsomely rewarded for performing good deeds. Grateful quest-givers never fail to compensate you for your services and random acts of heroism carry fortuitous rewards of their own, whether in material goods or other forms of payment. A shopkeep might reward you for your services with free equipment or a steep discount on something truly valuable, or simply invite you to bend her over the counter and have your way with her. If a farmer is too poor to properly reward you for saving his ranch then his lovely daughters might show you their appreciation instead, and raiding a monster lair always seems to turn up a chest of rupees or an amorous damsel eager to reward her savior. Naturally, the grander your deeds the greater the prize you’ll earn: slay a beast like Ganon and you might win a king’s ransom, or a princess’s hand in marriage.</v>
      </c>
      <c r="I93" s="5"/>
    </row>
    <row r="94" spans="1:9" ht="208.8" x14ac:dyDescent="0.25">
      <c r="A94" s="16"/>
      <c r="B94" s="17">
        <v>90</v>
      </c>
      <c r="C94" s="2" t="b">
        <f ca="1">IFERROR(__xludf.DUMMYFUNCTION("""COMPUTED_VALUE"""),FALSE)</f>
        <v>0</v>
      </c>
      <c r="D94" s="2">
        <f ca="1">IFERROR(__xludf.DUMMYFUNCTION("""COMPUTED_VALUE"""),200)</f>
        <v>200</v>
      </c>
      <c r="E94" s="2" t="str">
        <f ca="1">IFERROR(__xludf.DUMMYFUNCTION("""COMPUTED_VALUE"""),"The Power of Teamwork")</f>
        <v>The Power of Teamwork</v>
      </c>
      <c r="F94" s="2" t="str">
        <f ca="1">IFERROR(__xludf.DUMMYFUNCTION("""COMPUTED_VALUE"""),"Archangel of Love, Love Mary ~Malignant Conception~")</f>
        <v>Archangel of Love, Love Mary ~Malignant Conception~</v>
      </c>
      <c r="G94" s="2" t="str">
        <f ca="1">IFERROR(__xludf.DUMMYFUNCTION("""COMPUTED_VALUE"""),"Seduction")</f>
        <v>Seduction</v>
      </c>
      <c r="H94" s="2" t="str">
        <f ca="1">IFERROR(__xludf.DUMMYFUNCTION("""COMPUTED_VALUE"""),"Teamwork makes the dream work, and everyone knows that magical girls are powered by hope and dreams! When you’re working together with someone else, you will get to know them much faster than normal, and will easily be able to develop close emotional bond"&amp;"s with them. Your partner shares in this ability; if either of you already held some sort of affection for the other, it would be easy for this to bloom into romantic attraction, if you cared to allow it to. But this is more than just a social perk. When "&amp;"you’re working on a task alongside someone you know well — be the task a class project, a battle against a demon , or a double paizuri — your effectiveness skyrockets. You will intuitively understand what your partner intends to do, and your mind will ins"&amp;"tantly be able to provide you with the knowledge as to what actions on your part would synergize with their actions to be most effective. This also allows for perfect and instantaneous coordination — you could fight while holding hands with someone, and n"&amp;"either of you would lose so much as a scrap of effectiveness over what would for anyone else be a serious handicap.")</f>
        <v>Teamwork makes the dream work, and everyone knows that magical girls are powered by hope and dreams! When you’re working together with someone else, you will get to know them much faster than normal, and will easily be able to develop close emotional bonds with them. Your partner shares in this ability; if either of you already held some sort of affection for the other, it would be easy for this to bloom into romantic attraction, if you cared to allow it to. But this is more than just a social perk. When you’re working on a task alongside someone you know well — be the task a class project, a battle against a demon , or a double paizuri — your effectiveness skyrockets. You will intuitively understand what your partner intends to do, and your mind will instantly be able to provide you with the knowledge as to what actions on your part would synergize with their actions to be most effective. This also allows for perfect and instantaneous coordination — you could fight while holding hands with someone, and neither of you would lose so much as a scrap of effectiveness over what would for anyone else be a serious handicap.</v>
      </c>
      <c r="I94" s="5"/>
    </row>
    <row r="95" spans="1:9" ht="87" x14ac:dyDescent="0.25">
      <c r="A95" s="16"/>
      <c r="B95" s="17">
        <v>91</v>
      </c>
      <c r="C95" s="2" t="b">
        <f ca="1">IFERROR(__xludf.DUMMYFUNCTION("""COMPUTED_VALUE"""),FALSE)</f>
        <v>0</v>
      </c>
      <c r="D95" s="2">
        <f ca="1">IFERROR(__xludf.DUMMYFUNCTION("""COMPUTED_VALUE"""),200)</f>
        <v>200</v>
      </c>
      <c r="E95" s="2" t="str">
        <f ca="1">IFERROR(__xludf.DUMMYFUNCTION("""COMPUTED_VALUE"""),"The Succ")</f>
        <v>The Succ</v>
      </c>
      <c r="F95" s="2" t="str">
        <f ca="1">IFERROR(__xludf.DUMMYFUNCTION("""COMPUTED_VALUE"""),"Waifu Fighter")</f>
        <v>Waifu Fighter</v>
      </c>
      <c r="G95" s="2" t="str">
        <f ca="1">IFERROR(__xludf.DUMMYFUNCTION("""COMPUTED_VALUE"""),"Seduction")</f>
        <v>Seduction</v>
      </c>
      <c r="H95" s="2" t="str">
        <f ca="1">IFERROR(__xludf.DUMMYFUNCTION("""COMPUTED_VALUE"""),"Did you know being bitten by a vampire is a very erotic experience? When you bite someone, you experience heightened sensitivity to pleasure (and pleasure alone) across your body, allowing you to experience greater sensations than you could hope to know o"&amp;"therwise; while biting someone, they also benefit from this increased sensitivity. These effects are magnified further if you actually are a vampire to the point it’s basically a guaranteed orgasm.")</f>
        <v>Did you know being bitten by a vampire is a very erotic experience? When you bite someone, you experience heightened sensitivity to pleasure (and pleasure alone) across your body, allowing you to experience greater sensations than you could hope to know otherwise; while biting someone, they also benefit from this increased sensitivity. These effects are magnified further if you actually are a vampire to the point it’s basically a guaranteed orgasm.</v>
      </c>
      <c r="I95" s="5"/>
    </row>
    <row r="96" spans="1:9" ht="69.599999999999994" x14ac:dyDescent="0.25">
      <c r="A96" s="16"/>
      <c r="B96" s="17">
        <v>92</v>
      </c>
      <c r="C96" s="2" t="b">
        <f ca="1">IFERROR(__xludf.DUMMYFUNCTION("""COMPUTED_VALUE"""),FALSE)</f>
        <v>0</v>
      </c>
      <c r="D96" s="2">
        <f ca="1">IFERROR(__xludf.DUMMYFUNCTION("""COMPUTED_VALUE"""),200)</f>
        <v>200</v>
      </c>
      <c r="E96" s="2" t="str">
        <f ca="1">IFERROR(__xludf.DUMMYFUNCTION("""COMPUTED_VALUE"""),"Through Thick and Thin")</f>
        <v>Through Thick and Thin</v>
      </c>
      <c r="F96" s="2" t="str">
        <f ca="1">IFERROR(__xludf.DUMMYFUNCTION("""COMPUTED_VALUE"""),"Cyberpunk: Edgerunners")</f>
        <v>Cyberpunk: Edgerunners</v>
      </c>
      <c r="G96" s="2" t="str">
        <f ca="1">IFERROR(__xludf.DUMMYFUNCTION("""COMPUTED_VALUE"""),"Seduction")</f>
        <v>Seduction</v>
      </c>
      <c r="H96" s="2" t="str">
        <f ca="1">IFERROR(__xludf.DUMMYFUNCTION("""COMPUTED_VALUE"""),"For a city where loyalty can be gained and lost with a paycheck, you have good fortune when it comes to finding people that will have your back. Spend some time with them, and those bonds will deepen. It's small and personal, but human. Something even thi"&amp;"s hellhole can't completely stomp out of humanity.")</f>
        <v>For a city where loyalty can be gained and lost with a paycheck, you have good fortune when it comes to finding people that will have your back. Spend some time with them, and those bonds will deepen. It's small and personal, but human. Something even this hellhole can't completely stomp out of humanity.</v>
      </c>
      <c r="I96" s="5"/>
    </row>
    <row r="97" spans="1:9" ht="104.4" x14ac:dyDescent="0.25">
      <c r="A97" s="16"/>
      <c r="B97" s="17">
        <v>93</v>
      </c>
      <c r="C97" s="2" t="b">
        <f ca="1">IFERROR(__xludf.DUMMYFUNCTION("""COMPUTED_VALUE"""),FALSE)</f>
        <v>0</v>
      </c>
      <c r="D97" s="2">
        <f ca="1">IFERROR(__xludf.DUMMYFUNCTION("""COMPUTED_VALUE"""),200)</f>
        <v>200</v>
      </c>
      <c r="E97" s="2" t="str">
        <f ca="1">IFERROR(__xludf.DUMMYFUNCTION("""COMPUTED_VALUE"""),"Trust-Building Exercises")</f>
        <v>Trust-Building Exercises</v>
      </c>
      <c r="F97" s="2" t="str">
        <f ca="1">IFERROR(__xludf.DUMMYFUNCTION("""COMPUTED_VALUE"""),"Generic: BDSM")</f>
        <v>Generic: BDSM</v>
      </c>
      <c r="G97" s="2" t="str">
        <f ca="1">IFERROR(__xludf.DUMMYFUNCTION("""COMPUTED_VALUE"""),"Seduction")</f>
        <v>Seduction</v>
      </c>
      <c r="H97" s="2" t="str">
        <f ca="1">IFERROR(__xludf.DUMMYFUNCTION("""COMPUTED_VALUE"""),"More so than many other relationships, a dom’s relationship with her sub is built on a foundation of trust, without which it is doomed to fail. While some doms may have problems acquiring that trust in the first place, for you this is simply not an issue."&amp;" So long as you intend to play by the rules of safe, sane, and consensual, you’ll find that you have few problems finding partners willing to place themselves in your care, whether they’re actual subs looking for a dom or just curious and experimental nor"&amp;"mies.")</f>
        <v>More so than many other relationships, a dom’s relationship with her sub is built on a foundation of trust, without which it is doomed to fail. While some doms may have problems acquiring that trust in the first place, for you this is simply not an issue. So long as you intend to play by the rules of safe, sane, and consensual, you’ll find that you have few problems finding partners willing to place themselves in your care, whether they’re actual subs looking for a dom or just curious and experimental normies.</v>
      </c>
      <c r="I97" s="5"/>
    </row>
    <row r="98" spans="1:9" ht="52.2" x14ac:dyDescent="0.25">
      <c r="A98" s="16"/>
      <c r="B98" s="17">
        <v>94</v>
      </c>
      <c r="C98" s="2" t="b">
        <f ca="1">IFERROR(__xludf.DUMMYFUNCTION("""COMPUTED_VALUE"""),FALSE)</f>
        <v>0</v>
      </c>
      <c r="D98" s="2">
        <f ca="1">IFERROR(__xludf.DUMMYFUNCTION("""COMPUTED_VALUE"""),200)</f>
        <v>200</v>
      </c>
      <c r="E98" s="2" t="str">
        <f ca="1">IFERROR(__xludf.DUMMYFUNCTION("""COMPUTED_VALUE"""),"Wisdom of the Elders")</f>
        <v>Wisdom of the Elders</v>
      </c>
      <c r="F98" s="2" t="str">
        <f ca="1">IFERROR(__xludf.DUMMYFUNCTION("""COMPUTED_VALUE"""),"Generic: Shotacon")</f>
        <v>Generic: Shotacon</v>
      </c>
      <c r="G98" s="2" t="str">
        <f ca="1">IFERROR(__xludf.DUMMYFUNCTION("""COMPUTED_VALUE"""),"Seduction")</f>
        <v>Seduction</v>
      </c>
      <c r="H98" s="2" t="str">
        <f ca="1">IFERROR(__xludf.DUMMYFUNCTION("""COMPUTED_VALUE"""),"Respect (and sex) boost based on the age difference between yourself and your target. Being less than ten years older than them won't do much but having a solid 50 on them would have the average human hanging on your every word.")</f>
        <v>Respect (and sex) boost based on the age difference between yourself and your target. Being less than ten years older than them won't do much but having a solid 50 on them would have the average human hanging on your every word.</v>
      </c>
      <c r="I98" s="5"/>
    </row>
    <row r="99" spans="1:9" ht="69.599999999999994" x14ac:dyDescent="0.25">
      <c r="A99" s="16"/>
      <c r="B99" s="17">
        <v>95</v>
      </c>
      <c r="C99" s="2" t="b">
        <f ca="1">IFERROR(__xludf.DUMMYFUNCTION("""COMPUTED_VALUE"""),FALSE)</f>
        <v>0</v>
      </c>
      <c r="D99" s="2">
        <f ca="1">IFERROR(__xludf.DUMMYFUNCTION("""COMPUTED_VALUE"""),200)</f>
        <v>200</v>
      </c>
      <c r="E99" s="2" t="str">
        <f ca="1">IFERROR(__xludf.DUMMYFUNCTION("""COMPUTED_VALUE"""),"Would you like to use me too?")</f>
        <v>Would you like to use me too?</v>
      </c>
      <c r="F99" s="2" t="str">
        <f ca="1">IFERROR(__xludf.DUMMYFUNCTION("""COMPUTED_VALUE"""),"World of Moral Reversal")</f>
        <v>World of Moral Reversal</v>
      </c>
      <c r="G99" s="2" t="str">
        <f ca="1">IFERROR(__xludf.DUMMYFUNCTION("""COMPUTED_VALUE"""),"Seduction")</f>
        <v>Seduction</v>
      </c>
      <c r="H99" s="2" t="str">
        <f ca="1">IFERROR(__xludf.DUMMYFUNCTION("""COMPUTED_VALUE"""),"The life of a whore is a tough one, but you seem to manage. No matter who it is, you will never be put in harm's way simply for making sexual advances on someone. Regardless of what social taboos might divide you, the target of your advances will always s"&amp;"eriously consider it, as long as some part of them is interested. This doesn’t protect you from unrelated factors putting you in danger.")</f>
        <v>The life of a whore is a tough one, but you seem to manage. No matter who it is, you will never be put in harm's way simply for making sexual advances on someone. Regardless of what social taboos might divide you, the target of your advances will always seriously consider it, as long as some part of them is interested. This doesn’t protect you from unrelated factors putting you in danger.</v>
      </c>
      <c r="I99" s="5"/>
    </row>
    <row r="100" spans="1:9" ht="121.8" x14ac:dyDescent="0.25">
      <c r="A100" s="16"/>
      <c r="B100" s="17">
        <v>96</v>
      </c>
      <c r="C100" s="2" t="b">
        <f ca="1">IFERROR(__xludf.DUMMYFUNCTION("""COMPUTED_VALUE"""),FALSE)</f>
        <v>0</v>
      </c>
      <c r="D100" s="2">
        <f ca="1">IFERROR(__xludf.DUMMYFUNCTION("""COMPUTED_VALUE"""),200)</f>
        <v>200</v>
      </c>
      <c r="E100" s="2" t="str">
        <f ca="1">IFERROR(__xludf.DUMMYFUNCTION("""COMPUTED_VALUE"""),"Xenophile")</f>
        <v>Xenophile</v>
      </c>
      <c r="F100" s="2" t="str">
        <f ca="1">IFERROR(__xludf.DUMMYFUNCTION("""COMPUTED_VALUE"""),"Lexx")</f>
        <v>Lexx</v>
      </c>
      <c r="G100" s="2" t="str">
        <f ca="1">IFERROR(__xludf.DUMMYFUNCTION("""COMPUTED_VALUE"""),"Seduction")</f>
        <v>Seduction</v>
      </c>
      <c r="H100" s="2" t="str">
        <f ca="1">IFERROR(__xludf.DUMMYFUNCTION("""COMPUTED_VALUE"""),"You have a kind of natural charisma that doesn’t effect members of your own species, but draws in alien beings of various sorts. Whether it’s a carnivorous plant monster, a sentient biotech weapon of mass destruction, or one of the fae, the stranger and m"&amp;"ore alien a being is the more it is naturally inclined to like you. This interest can be platonic, but more often than not it leans toward a romantic interest. This won’t necessarily make them safe to be around, and it won’t inherently make them inclined "&amp;"to respect your wishes, but you can be assured they do hold some manner of affection for you in their own way.")</f>
        <v>You have a kind of natural charisma that doesn’t effect members of your own species, but draws in alien beings of various sorts. Whether it’s a carnivorous plant monster, a sentient biotech weapon of mass destruction, or one of the fae, the stranger and more alien a being is the more it is naturally inclined to like you. This interest can be platonic, but more often than not it leans toward a romantic interest. This won’t necessarily make them safe to be around, and it won’t inherently make them inclined to respect your wishes, but you can be assured they do hold some manner of affection for you in their own way.</v>
      </c>
      <c r="I100" s="5"/>
    </row>
    <row r="101" spans="1:9" ht="87" x14ac:dyDescent="0.25">
      <c r="A101" s="16"/>
      <c r="B101" s="17">
        <v>97</v>
      </c>
      <c r="C101" s="2" t="b">
        <f ca="1">IFERROR(__xludf.DUMMYFUNCTION("""COMPUTED_VALUE"""),FALSE)</f>
        <v>0</v>
      </c>
      <c r="D101" s="2">
        <f ca="1">IFERROR(__xludf.DUMMYFUNCTION("""COMPUTED_VALUE"""),300)</f>
        <v>300</v>
      </c>
      <c r="E101" s="2" t="str">
        <f ca="1">IFERROR(__xludf.DUMMYFUNCTION("""COMPUTED_VALUE"""),"All Press is Good Press")</f>
        <v>All Press is Good Press</v>
      </c>
      <c r="F101" s="2" t="str">
        <f ca="1">IFERROR(__xludf.DUMMYFUNCTION("""COMPUTED_VALUE"""),"Generic: Lewd Pokemon")</f>
        <v>Generic: Lewd Pokemon</v>
      </c>
      <c r="G101" s="2" t="str">
        <f ca="1">IFERROR(__xludf.DUMMYFUNCTION("""COMPUTED_VALUE"""),"Seduction")</f>
        <v>Seduction</v>
      </c>
      <c r="H101" s="2" t="str">
        <f ca="1">IFERROR(__xludf.DUMMYFUNCTION("""COMPUTED_VALUE"""),"Be it leaked nudes or a full on sex scandal, far from ruining your reputation, it all simply makes you look better in the eyes of the public. The lewder the better, a titty slip might make you go viral for a bit, but if you film a sex tape the public will"&amp;" go utterly wild. Of course, if you’re caught doing something awful that isn’t lewd, then you can kiss those fans goodbye because this perk won’t help you.")</f>
        <v>Be it leaked nudes or a full on sex scandal, far from ruining your reputation, it all simply makes you look better in the eyes of the public. The lewder the better, a titty slip might make you go viral for a bit, but if you film a sex tape the public will go utterly wild. Of course, if you’re caught doing something awful that isn’t lewd, then you can kiss those fans goodbye because this perk won’t help you.</v>
      </c>
      <c r="I101" s="5"/>
    </row>
    <row r="102" spans="1:9" ht="69.599999999999994" x14ac:dyDescent="0.25">
      <c r="A102" s="16"/>
      <c r="B102" s="17">
        <v>98</v>
      </c>
      <c r="C102" s="2" t="b">
        <f ca="1">IFERROR(__xludf.DUMMYFUNCTION("""COMPUTED_VALUE"""),FALSE)</f>
        <v>0</v>
      </c>
      <c r="D102" s="2">
        <f ca="1">IFERROR(__xludf.DUMMYFUNCTION("""COMPUTED_VALUE"""),300)</f>
        <v>300</v>
      </c>
      <c r="E102" s="2" t="str">
        <f ca="1">IFERROR(__xludf.DUMMYFUNCTION("""COMPUTED_VALUE"""),"Anytime and Anywhere")</f>
        <v>Anytime and Anywhere</v>
      </c>
      <c r="F102" s="2" t="str">
        <f ca="1">IFERROR(__xludf.DUMMYFUNCTION("""COMPUTED_VALUE"""),"The Works of Aomizuan")</f>
        <v>The Works of Aomizuan</v>
      </c>
      <c r="G102" s="2" t="str">
        <f ca="1">IFERROR(__xludf.DUMMYFUNCTION("""COMPUTED_VALUE"""),"Seduction")</f>
        <v>Seduction</v>
      </c>
      <c r="H102" s="2" t="str">
        <f ca="1">IFERROR(__xludf.DUMMYFUNCTION("""COMPUTED_VALUE"""),"If someone has, at any point in the past, been willing to have sex with you, then they’ll also be willing to have sex with you in any circumstance. It doesn’t matter where they are, what they’re doing, who they’re with, who’s watching, or whether or not t"&amp;"hey’ve actually given their consent this time, they’ll always be ready to go, and it won’t take much to get your partner hard or wet for you.")</f>
        <v>If someone has, at any point in the past, been willing to have sex with you, then they’ll also be willing to have sex with you in any circumstance. It doesn’t matter where they are, what they’re doing, who they’re with, who’s watching, or whether or not they’ve actually given their consent this time, they’ll always be ready to go, and it won’t take much to get your partner hard or wet for you.</v>
      </c>
      <c r="I102" s="5"/>
    </row>
    <row r="103" spans="1:9" ht="69.599999999999994" x14ac:dyDescent="0.25">
      <c r="A103" s="16"/>
      <c r="B103" s="17">
        <v>99</v>
      </c>
      <c r="C103" s="2" t="b">
        <f ca="1">IFERROR(__xludf.DUMMYFUNCTION("""COMPUTED_VALUE"""),FALSE)</f>
        <v>0</v>
      </c>
      <c r="D103" s="2">
        <f ca="1">IFERROR(__xludf.DUMMYFUNCTION("""COMPUTED_VALUE"""),300)</f>
        <v>300</v>
      </c>
      <c r="E103" s="2" t="str">
        <f ca="1">IFERROR(__xludf.DUMMYFUNCTION("""COMPUTED_VALUE"""),"ASMR")</f>
        <v>ASMR</v>
      </c>
      <c r="F103" s="2" t="str">
        <f ca="1">IFERROR(__xludf.DUMMYFUNCTION("""COMPUTED_VALUE"""),"Lewd Vtuber")</f>
        <v>Lewd Vtuber</v>
      </c>
      <c r="G103" s="2" t="str">
        <f ca="1">IFERROR(__xludf.DUMMYFUNCTION("""COMPUTED_VALUE"""),"Seduction")</f>
        <v>Seduction</v>
      </c>
      <c r="H103" s="2" t="str">
        <f ca="1">IFERROR(__xludf.DUMMYFUNCTION("""COMPUTED_VALUE"""),"Your appearance may or may not be able to turn people on with just a glance but if it can’t your voice will certainly be able to finish the job. Even just hearing you talking actively trying to sound as sexy as you can. You might be able to make someone o"&amp;"rgasm from just whispering in their ear and encouraging them to cum for you.")</f>
        <v>Your appearance may or may not be able to turn people on with just a glance but if it can’t your voice will certainly be able to finish the job. Even just hearing you talking actively trying to sound as sexy as you can. You might be able to make someone orgasm from just whispering in their ear and encouraging them to cum for you.</v>
      </c>
      <c r="I103" s="5"/>
    </row>
    <row r="104" spans="1:9" ht="87" x14ac:dyDescent="0.25">
      <c r="A104" s="16"/>
      <c r="B104" s="17">
        <v>100</v>
      </c>
      <c r="C104" s="2" t="b">
        <f ca="1">IFERROR(__xludf.DUMMYFUNCTION("""COMPUTED_VALUE"""),FALSE)</f>
        <v>0</v>
      </c>
      <c r="D104" s="2">
        <f ca="1">IFERROR(__xludf.DUMMYFUNCTION("""COMPUTED_VALUE"""),300)</f>
        <v>300</v>
      </c>
      <c r="E104" s="2" t="str">
        <f ca="1">IFERROR(__xludf.DUMMYFUNCTION("""COMPUTED_VALUE"""),"Assassin Reformation")</f>
        <v>Assassin Reformation</v>
      </c>
      <c r="F104" s="2" t="str">
        <f ca="1">IFERROR(__xludf.DUMMYFUNCTION("""COMPUTED_VALUE"""),"My Bride is the Demon Lord")</f>
        <v>My Bride is the Demon Lord</v>
      </c>
      <c r="G104" s="2" t="str">
        <f ca="1">IFERROR(__xludf.DUMMYFUNCTION("""COMPUTED_VALUE"""),"Seduction")</f>
        <v>Seduction</v>
      </c>
      <c r="H104" s="2" t="str">
        <f ca="1">IFERROR(__xludf.DUMMYFUNCTION("""COMPUTED_VALUE"""),"The Hero was said to have “reformed” several would-be assassins in this manner. By having sex with someone who is aligned in opposition to you or holds some manner of personal grudge against you, you can win over their heart. By showing them passion and p"&amp;"leasure, you can crack open even the coldest soul and wiggle your way into their affections. This won’t instantly turn an enemy into an ally, but it will improve their opinion of you and open up the possibility for a closer relationship.")</f>
        <v>The Hero was said to have “reformed” several would-be assassins in this manner. By having sex with someone who is aligned in opposition to you or holds some manner of personal grudge against you, you can win over their heart. By showing them passion and pleasure, you can crack open even the coldest soul and wiggle your way into their affections. This won’t instantly turn an enemy into an ally, but it will improve their opinion of you and open up the possibility for a closer relationship.</v>
      </c>
      <c r="I104" s="5"/>
    </row>
    <row r="105" spans="1:9" ht="69.599999999999994" x14ac:dyDescent="0.25">
      <c r="A105" s="16"/>
      <c r="B105" s="17">
        <v>101</v>
      </c>
      <c r="C105" s="2" t="b">
        <f ca="1">IFERROR(__xludf.DUMMYFUNCTION("""COMPUTED_VALUE"""),FALSE)</f>
        <v>0</v>
      </c>
      <c r="D105" s="2">
        <f ca="1">IFERROR(__xludf.DUMMYFUNCTION("""COMPUTED_VALUE"""),300)</f>
        <v>300</v>
      </c>
      <c r="E105" s="2" t="str">
        <f ca="1">IFERROR(__xludf.DUMMYFUNCTION("""COMPUTED_VALUE"""),"Crude Whispers")</f>
        <v>Crude Whispers</v>
      </c>
      <c r="F105" s="2" t="str">
        <f ca="1">IFERROR(__xludf.DUMMYFUNCTION("""COMPUTED_VALUE"""),"Nyakumi")</f>
        <v>Nyakumi</v>
      </c>
      <c r="G105" s="2" t="str">
        <f ca="1">IFERROR(__xludf.DUMMYFUNCTION("""COMPUTED_VALUE"""),"Seduction")</f>
        <v>Seduction</v>
      </c>
      <c r="H105" s="2" t="str">
        <f ca="1">IFERROR(__xludf.DUMMYFUNCTION("""COMPUTED_VALUE"""),"Rumors of your sex skills and willingness to use them precedes you, always reaching the ears of people that might be interested in them and that you might be interested in yourself, without reaching the ears of people that might disapprove of such things."&amp;" Expect to be invited to a lot of parties.")</f>
        <v>Rumors of your sex skills and willingness to use them precedes you, always reaching the ears of people that might be interested in them and that you might be interested in yourself, without reaching the ears of people that might disapprove of such things. Expect to be invited to a lot of parties.</v>
      </c>
      <c r="I105" s="5"/>
    </row>
    <row r="106" spans="1:9" ht="121.8" x14ac:dyDescent="0.25">
      <c r="A106" s="16"/>
      <c r="B106" s="17">
        <v>102</v>
      </c>
      <c r="C106" s="2" t="b">
        <f ca="1">IFERROR(__xludf.DUMMYFUNCTION("""COMPUTED_VALUE"""),FALSE)</f>
        <v>0</v>
      </c>
      <c r="D106" s="2">
        <f ca="1">IFERROR(__xludf.DUMMYFUNCTION("""COMPUTED_VALUE"""),300)</f>
        <v>300</v>
      </c>
      <c r="E106" s="2" t="str">
        <f ca="1">IFERROR(__xludf.DUMMYFUNCTION("""COMPUTED_VALUE"""),"Elves are for Lewds")</f>
        <v>Elves are for Lewds</v>
      </c>
      <c r="F106" s="2" t="str">
        <f ca="1">IFERROR(__xludf.DUMMYFUNCTION("""COMPUTED_VALUE"""),"Generic: Hentai Fantasy")</f>
        <v>Generic: Hentai Fantasy</v>
      </c>
      <c r="G106" s="2" t="str">
        <f ca="1">IFERROR(__xludf.DUMMYFUNCTION("""COMPUTED_VALUE"""),"Seduction")</f>
        <v>Seduction</v>
      </c>
      <c r="H106" s="2" t="str">
        <f ca="1">IFERROR(__xludf.DUMMYFUNCTION("""COMPUTED_VALUE"""),"The most noble of races, the most long lived, the most naturally beautiful, the most gifted in all things. The most arrogant and prideful and will never let you hear the end of their own greatness. Don’t you just want to make them shut up by choking them "&amp;"on your dick? Well, good news. The more supernaturally beautiful something is, and if it’s arrogant enough about it’s superiority, you’ll find them collapsing beneath your advances with even the slightest push. Ancient and wise they may be, but they’ll al"&amp;"so cum from a minute of molestation, become addicted to the taste from one blowjob, and your personal sex toy after the first creampie.")</f>
        <v>The most noble of races, the most long lived, the most naturally beautiful, the most gifted in all things. The most arrogant and prideful and will never let you hear the end of their own greatness. Don’t you just want to make them shut up by choking them on your dick? Well, good news. The more supernaturally beautiful something is, and if it’s arrogant enough about it’s superiority, you’ll find them collapsing beneath your advances with even the slightest push. Ancient and wise they may be, but they’ll also cum from a minute of molestation, become addicted to the taste from one blowjob, and your personal sex toy after the first creampie.</v>
      </c>
      <c r="I106" s="5"/>
    </row>
    <row r="107" spans="1:9" ht="69.599999999999994" x14ac:dyDescent="0.25">
      <c r="A107" s="16"/>
      <c r="B107" s="17">
        <v>103</v>
      </c>
      <c r="C107" s="2" t="b">
        <f ca="1">IFERROR(__xludf.DUMMYFUNCTION("""COMPUTED_VALUE"""),FALSE)</f>
        <v>0</v>
      </c>
      <c r="D107" s="2">
        <f ca="1">IFERROR(__xludf.DUMMYFUNCTION("""COMPUTED_VALUE"""),300)</f>
        <v>300</v>
      </c>
      <c r="E107" s="2" t="str">
        <f ca="1">IFERROR(__xludf.DUMMYFUNCTION("""COMPUTED_VALUE"""),"Everyman")</f>
        <v>Everyman</v>
      </c>
      <c r="F107" s="2" t="str">
        <f ca="1">IFERROR(__xludf.DUMMYFUNCTION("""COMPUTED_VALUE"""),"Bio-Weapon Quest")</f>
        <v>Bio-Weapon Quest</v>
      </c>
      <c r="G107" s="2" t="str">
        <f ca="1">IFERROR(__xludf.DUMMYFUNCTION("""COMPUTED_VALUE"""),"Seduction")</f>
        <v>Seduction</v>
      </c>
      <c r="H107" s="2" t="str">
        <f ca="1">IFERROR(__xludf.DUMMYFUNCTION("""COMPUTED_VALUE"""),"Women (or men) just seem to see you as whatever type of role they most desire. To some, you're a jock, to others a quiet, loyal type, and to others you're ""Mommy"", ""Daddy"" or “Master”. You can switch between these different roles in a heartbeat, and t"&amp;"his perception persists in their minds even when different people are interacting with you at the same time.")</f>
        <v>Women (or men) just seem to see you as whatever type of role they most desire. To some, you're a jock, to others a quiet, loyal type, and to others you're "Mommy", "Daddy" or “Master”. You can switch between these different roles in a heartbeat, and this perception persists in their minds even when different people are interacting with you at the same time.</v>
      </c>
      <c r="I107" s="5"/>
    </row>
    <row r="108" spans="1:9" ht="156.6" x14ac:dyDescent="0.25">
      <c r="A108" s="16"/>
      <c r="B108" s="17">
        <v>104</v>
      </c>
      <c r="C108" s="2" t="b">
        <f ca="1">IFERROR(__xludf.DUMMYFUNCTION("""COMPUTED_VALUE"""),FALSE)</f>
        <v>0</v>
      </c>
      <c r="D108" s="2">
        <f ca="1">IFERROR(__xludf.DUMMYFUNCTION("""COMPUTED_VALUE"""),300)</f>
        <v>300</v>
      </c>
      <c r="E108" s="2" t="str">
        <f ca="1">IFERROR(__xludf.DUMMYFUNCTION("""COMPUTED_VALUE"""),"In the Name of Justice")</f>
        <v>In the Name of Justice</v>
      </c>
      <c r="F108" s="2" t="str">
        <f ca="1">IFERROR(__xludf.DUMMYFUNCTION("""COMPUTED_VALUE"""),"Rance 2 - The Rebellious Maidens")</f>
        <v>Rance 2 - The Rebellious Maidens</v>
      </c>
      <c r="G108" s="2" t="str">
        <f ca="1">IFERROR(__xludf.DUMMYFUNCTION("""COMPUTED_VALUE"""),"Seduction")</f>
        <v>Seduction</v>
      </c>
      <c r="H108" s="2" t="str">
        <f ca="1">IFERROR(__xludf.DUMMYFUNCTION("""COMPUTED_VALUE"""),"Those poor girls, cursed with insanity with the only way to cure them is to rob them of their maidenhood. Luckily for them you’re here there to ‘reluctantly’ have sex with them to free them from their rings influence. Even the prickliest of them, Shizuka,"&amp;" won’t seem to hold any grudge over it, and the less grumpy of them would even grateful that you managed to stop their actions. In fact, as long as there is some greater good to your actions, such as stopping rampaging witches or defeating an evil empire,"&amp;" those around you seem to judge you less harshly for any less the moral actions you would take in pursuit of that goal. You could be a massive pervert trying to have sex with everyone you help but people around you would see you as a noble hero helping ot"&amp;"hers with no apparent gain to yourself.")</f>
        <v>Those poor girls, cursed with insanity with the only way to cure them is to rob them of their maidenhood. Luckily for them you’re here there to ‘reluctantly’ have sex with them to free them from their rings influence. Even the prickliest of them, Shizuka, won’t seem to hold any grudge over it, and the less grumpy of them would even grateful that you managed to stop their actions. In fact, as long as there is some greater good to your actions, such as stopping rampaging witches or defeating an evil empire, those around you seem to judge you less harshly for any less the moral actions you would take in pursuit of that goal. You could be a massive pervert trying to have sex with everyone you help but people around you would see you as a noble hero helping others with no apparent gain to yourself.</v>
      </c>
      <c r="I108" s="5"/>
    </row>
    <row r="109" spans="1:9" ht="87" x14ac:dyDescent="0.25">
      <c r="A109" s="16"/>
      <c r="B109" s="17">
        <v>105</v>
      </c>
      <c r="C109" s="2" t="b">
        <f ca="1">IFERROR(__xludf.DUMMYFUNCTION("""COMPUTED_VALUE"""),FALSE)</f>
        <v>0</v>
      </c>
      <c r="D109" s="2">
        <f ca="1">IFERROR(__xludf.DUMMYFUNCTION("""COMPUTED_VALUE"""),300)</f>
        <v>300</v>
      </c>
      <c r="E109" s="2" t="str">
        <f ca="1">IFERROR(__xludf.DUMMYFUNCTION("""COMPUTED_VALUE"""),"Just Casual")</f>
        <v>Just Casual</v>
      </c>
      <c r="F109" s="2" t="str">
        <f ca="1">IFERROR(__xludf.DUMMYFUNCTION("""COMPUTED_VALUE"""),"Generic: Virgin")</f>
        <v>Generic: Virgin</v>
      </c>
      <c r="G109" s="2" t="str">
        <f ca="1">IFERROR(__xludf.DUMMYFUNCTION("""COMPUTED_VALUE"""),"Seduction")</f>
        <v>Seduction</v>
      </c>
      <c r="H109" s="2" t="str">
        <f ca="1">IFERROR(__xludf.DUMMYFUNCTION("""COMPUTED_VALUE"""),"If you do decide to have a fling with someone, it will never turn into anything serious if you don’t want it to. If you sleep with a married woman, her spouse won’t care even if he does find out. If you seduce a priest, they won’t be defrocked when their "&amp;"higher ups find out. If you force yourself on someone against their will, they might not be happy with you, but they won’t be traumatized by the action if you don’t want them to be. It’s just casual, right?")</f>
        <v>If you do decide to have a fling with someone, it will never turn into anything serious if you don’t want it to. If you sleep with a married woman, her spouse won’t care even if he does find out. If you seduce a priest, they won’t be defrocked when their higher ups find out. If you force yourself on someone against their will, they might not be happy with you, but they won’t be traumatized by the action if you don’t want them to be. It’s just casual, right?</v>
      </c>
      <c r="I109" s="5"/>
    </row>
    <row r="110" spans="1:9" ht="139.19999999999999" x14ac:dyDescent="0.25">
      <c r="A110" s="16"/>
      <c r="B110" s="17">
        <v>106</v>
      </c>
      <c r="C110" s="2" t="b">
        <f ca="1">IFERROR(__xludf.DUMMYFUNCTION("""COMPUTED_VALUE"""),FALSE)</f>
        <v>0</v>
      </c>
      <c r="D110" s="2">
        <f ca="1">IFERROR(__xludf.DUMMYFUNCTION("""COMPUTED_VALUE"""),300)</f>
        <v>300</v>
      </c>
      <c r="E110" s="2" t="str">
        <f ca="1">IFERROR(__xludf.DUMMYFUNCTION("""COMPUTED_VALUE"""),"Love and Lust")</f>
        <v>Love and Lust</v>
      </c>
      <c r="F110" s="2" t="str">
        <f ca="1">IFERROR(__xludf.DUMMYFUNCTION("""COMPUTED_VALUE"""),"High Elf x High School")</f>
        <v>High Elf x High School</v>
      </c>
      <c r="G110" s="2" t="str">
        <f ca="1">IFERROR(__xludf.DUMMYFUNCTION("""COMPUTED_VALUE"""),"Seduction")</f>
        <v>Seduction</v>
      </c>
      <c r="H110" s="2" t="str">
        <f ca="1">IFERROR(__xludf.DUMMYFUNCTION("""COMPUTED_VALUE"""),"They are two sides of the same coin, and so it is for you, too. Your sexual actions and comments are perceived to be equally romantic as they are erotic—the filthier, the better. You could tell an elf you wanted them to become your personal pussy, and the"&amp;"y’d become the same sort of blushing mess they’d be if you confessed your love to them. Just fucking someone would see you becoming closer as if you’d had a date, and denigrating someone during sex would set their heart aflutter as if you’d whispered swee"&amp;"t nothings into their ear.
If you’d like to have a purely sexual relationship, though, you can toggle this ability on or off.")</f>
        <v>They are two sides of the same coin, and so it is for you, too. Your sexual actions and comments are perceived to be equally romantic as they are erotic—the filthier, the better. You could tell an elf you wanted them to become your personal pussy, and they’d become the same sort of blushing mess they’d be if you confessed your love to them. Just fucking someone would see you becoming closer as if you’d had a date, and denigrating someone during sex would set their heart aflutter as if you’d whispered sweet nothings into their ear.
If you’d like to have a purely sexual relationship, though, you can toggle this ability on or off.</v>
      </c>
      <c r="I110" s="5"/>
    </row>
    <row r="111" spans="1:9" ht="156.6" x14ac:dyDescent="0.25">
      <c r="A111" s="16"/>
      <c r="B111" s="17">
        <v>107</v>
      </c>
      <c r="C111" s="2" t="b">
        <f ca="1">IFERROR(__xludf.DUMMYFUNCTION("""COMPUTED_VALUE"""),FALSE)</f>
        <v>0</v>
      </c>
      <c r="D111" s="2">
        <f ca="1">IFERROR(__xludf.DUMMYFUNCTION("""COMPUTED_VALUE"""),300)</f>
        <v>300</v>
      </c>
      <c r="E111" s="2" t="str">
        <f ca="1">IFERROR(__xludf.DUMMYFUNCTION("""COMPUTED_VALUE"""),"Making Friends Without Influencing People")</f>
        <v>Making Friends Without Influencing People</v>
      </c>
      <c r="F111" s="2" t="str">
        <f ca="1">IFERROR(__xludf.DUMMYFUNCTION("""COMPUTED_VALUE"""),"Mind Control University")</f>
        <v>Mind Control University</v>
      </c>
      <c r="G111" s="2" t="str">
        <f ca="1">IFERROR(__xludf.DUMMYFUNCTION("""COMPUTED_VALUE"""),"Seduction")</f>
        <v>Seduction</v>
      </c>
      <c r="H111" s="2" t="str">
        <f ca="1">IFERROR(__xludf.DUMMYFUNCTION("""COMPUTED_VALUE"""),"If you want to make someone like you, you can always brainwash them to. But what if their defenses are too strong, or if you just don’t want to accomplish it through mind control? You are exceedingly likable. You have a magnetic personality that people ca"&amp;"n’t help but enjoy. If you entered any sort of popularity contest, you’d be all but guaranteed to win. Even if a person would otherwise hate you to their dying breath, they will find themselves, against all logic and reason, liking you anyway. It should b"&amp;"e noted that while this Perk will change how people think of you and act toward you personally, it won’t affect them outside of that on its own, and they’re unlikely to change their plans or goals for you. Boy is it a great first step though. This is expl"&amp;"icitly NOT mind control; the closest a person can come to ‘defending’ against it is simply not interacting with you.")</f>
        <v>If you want to make someone like you, you can always brainwash them to. But what if their defenses are too strong, or if you just don’t want to accomplish it through mind control? You are exceedingly likable. You have a magnetic personality that people can’t help but enjoy. If you entered any sort of popularity contest, you’d be all but guaranteed to win. Even if a person would otherwise hate you to their dying breath, they will find themselves, against all logic and reason, liking you anyway. It should be noted that while this Perk will change how people think of you and act toward you personally, it won’t affect them outside of that on its own, and they’re unlikely to change their plans or goals for you. Boy is it a great first step though. This is explicitly NOT mind control; the closest a person can come to ‘defending’ against it is simply not interacting with you.</v>
      </c>
      <c r="I111" s="5"/>
    </row>
    <row r="112" spans="1:9" ht="69.599999999999994" x14ac:dyDescent="0.25">
      <c r="A112" s="16"/>
      <c r="B112" s="17">
        <v>108</v>
      </c>
      <c r="C112" s="2" t="b">
        <f ca="1">IFERROR(__xludf.DUMMYFUNCTION("""COMPUTED_VALUE"""),FALSE)</f>
        <v>0</v>
      </c>
      <c r="D112" s="2">
        <f ca="1">IFERROR(__xludf.DUMMYFUNCTION("""COMPUTED_VALUE"""),300)</f>
        <v>300</v>
      </c>
      <c r="E112" s="2" t="str">
        <f ca="1">IFERROR(__xludf.DUMMYFUNCTION("""COMPUTED_VALUE"""),"Stalker's Friend")</f>
        <v>Stalker's Friend</v>
      </c>
      <c r="F112" s="2" t="str">
        <f ca="1">IFERROR(__xludf.DUMMYFUNCTION("""COMPUTED_VALUE"""),"Boku To Nottori Nakademia")</f>
        <v>Boku To Nottori Nakademia</v>
      </c>
      <c r="G112" s="2" t="str">
        <f ca="1">IFERROR(__xludf.DUMMYFUNCTION("""COMPUTED_VALUE"""),"Seduction")</f>
        <v>Seduction</v>
      </c>
      <c r="H112" s="2" t="str">
        <f ca="1">IFERROR(__xludf.DUMMYFUNCTION("""COMPUTED_VALUE"""),"I really don’t know how you managed to get your hands on these, but these dossiers contain all kinds of information of each and every attractive member of an orginization of your choice. It lists weaknesses, their usual schedule and even things that are r"&amp;"eally odd to know like their most sensitive body parts and kinks. You can attune this item to another organization once per month.")</f>
        <v>I really don’t know how you managed to get your hands on these, but these dossiers contain all kinds of information of each and every attractive member of an orginization of your choice. It lists weaknesses, their usual schedule and even things that are really odd to know like their most sensitive body parts and kinks. You can attune this item to another organization once per month.</v>
      </c>
      <c r="I112" s="5"/>
    </row>
    <row r="113" spans="1:9" ht="69.599999999999994" x14ac:dyDescent="0.25">
      <c r="A113" s="16"/>
      <c r="B113" s="17">
        <v>109</v>
      </c>
      <c r="C113" s="2" t="b">
        <f ca="1">IFERROR(__xludf.DUMMYFUNCTION("""COMPUTED_VALUE"""),FALSE)</f>
        <v>0</v>
      </c>
      <c r="D113" s="2">
        <f ca="1">IFERROR(__xludf.DUMMYFUNCTION("""COMPUTED_VALUE"""),300)</f>
        <v>300</v>
      </c>
      <c r="E113" s="2" t="str">
        <f ca="1">IFERROR(__xludf.DUMMYFUNCTION("""COMPUTED_VALUE"""),"This World is Just Perfect")</f>
        <v>This World is Just Perfect</v>
      </c>
      <c r="F113" s="2" t="str">
        <f ca="1">IFERROR(__xludf.DUMMYFUNCTION("""COMPUTED_VALUE"""),"World of Moral Reversal")</f>
        <v>World of Moral Reversal</v>
      </c>
      <c r="G113" s="2" t="str">
        <f ca="1">IFERROR(__xludf.DUMMYFUNCTION("""COMPUTED_VALUE"""),"Seduction")</f>
        <v>Seduction</v>
      </c>
      <c r="H113" s="2" t="str">
        <f ca="1">IFERROR(__xludf.DUMMYFUNCTION("""COMPUTED_VALUE"""),"You’re a natural when it comes to matters of seduction. While this will make you popular in its own right, this world has rubbed off on you in unexpected ways. For any seduction or sexual technique aimed at one gender, you can perfectly translate it to th"&amp;"e closest equivalent for another, with equal effectiveness.")</f>
        <v>You’re a natural when it comes to matters of seduction. While this will make you popular in its own right, this world has rubbed off on you in unexpected ways. For any seduction or sexual technique aimed at one gender, you can perfectly translate it to the closest equivalent for another, with equal effectiveness.</v>
      </c>
      <c r="I113" s="5"/>
    </row>
    <row r="114" spans="1:9" ht="69.599999999999994" x14ac:dyDescent="0.25">
      <c r="A114" s="16"/>
      <c r="B114" s="17">
        <v>110</v>
      </c>
      <c r="C114" s="2" t="b">
        <f ca="1">IFERROR(__xludf.DUMMYFUNCTION("""COMPUTED_VALUE"""),FALSE)</f>
        <v>0</v>
      </c>
      <c r="D114" s="2">
        <f ca="1">IFERROR(__xludf.DUMMYFUNCTION("""COMPUTED_VALUE"""),300)</f>
        <v>300</v>
      </c>
      <c r="E114" s="2" t="str">
        <f ca="1">IFERROR(__xludf.DUMMYFUNCTION("""COMPUTED_VALUE"""),"We Have the Same Look")</f>
        <v>We Have the Same Look</v>
      </c>
      <c r="F114" s="2" t="str">
        <f ca="1">IFERROR(__xludf.DUMMYFUNCTION("""COMPUTED_VALUE"""),"Aki-Akane")</f>
        <v>Aki-Akane</v>
      </c>
      <c r="G114" s="2" t="str">
        <f ca="1">IFERROR(__xludf.DUMMYFUNCTION("""COMPUTED_VALUE"""),"Seduction")</f>
        <v>Seduction</v>
      </c>
      <c r="H114" s="2" t="str">
        <f ca="1">IFERROR(__xludf.DUMMYFUNCTION("""COMPUTED_VALUE"""),"Turns out that Orihime getting horny turns Tatsuki on, and Tatsuki’s nice hard cock gets Orhime’s engine roaring. Some sort of feedback loop based on how much they love each other. One that you can now cause, mostly. When people see you and how turned on "&amp;"you are, it turns them on as well. If you get wet, they get wet, if you get hard, your girlfriend probably jumps you.")</f>
        <v>Turns out that Orihime getting horny turns Tatsuki on, and Tatsuki’s nice hard cock gets Orhime’s engine roaring. Some sort of feedback loop based on how much they love each other. One that you can now cause, mostly. When people see you and how turned on you are, it turns them on as well. If you get wet, they get wet, if you get hard, your girlfriend probably jumps you.</v>
      </c>
      <c r="I114" s="5"/>
    </row>
    <row r="115" spans="1:9" ht="104.4" x14ac:dyDescent="0.25">
      <c r="A115" s="16"/>
      <c r="B115" s="17">
        <v>111</v>
      </c>
      <c r="C115" s="2" t="b">
        <f ca="1">IFERROR(__xludf.DUMMYFUNCTION("""COMPUTED_VALUE"""),FALSE)</f>
        <v>0</v>
      </c>
      <c r="D115" s="2">
        <f ca="1">IFERROR(__xludf.DUMMYFUNCTION("""COMPUTED_VALUE"""),300)</f>
        <v>300</v>
      </c>
      <c r="E115" s="2" t="str">
        <f ca="1">IFERROR(__xludf.DUMMYFUNCTION("""COMPUTED_VALUE"""),"Yurination")</f>
        <v>Yurination</v>
      </c>
      <c r="F115" s="2" t="str">
        <f ca="1">IFERROR(__xludf.DUMMYFUNCTION("""COMPUTED_VALUE"""),"TSF World")</f>
        <v>TSF World</v>
      </c>
      <c r="G115" s="2" t="str">
        <f ca="1">IFERROR(__xludf.DUMMYFUNCTION("""COMPUTED_VALUE"""),"Seduction")</f>
        <v>Seduction</v>
      </c>
      <c r="H115" s="2" t="str">
        <f ca="1">IFERROR(__xludf.DUMMYFUNCTION("""COMPUTED_VALUE"""),"In every girl there are two wolves: one that likes men, and one that likes women. Who cares about that first wolf though? What we’re after is that second one. You are very good at awakening that second wolf. A little peck on the lips, a lingering hug... i"&amp;"t doesn’t take much for them to start feeling things they aren’t used to feeling. You know what’s better than one girl in a relationship? Two girls. This can be exchanged for an effect of the opposite gender if you prefer, or can be made to affect whateve"&amp;"r gender you are when you invoke its effects.")</f>
        <v>In every girl there are two wolves: one that likes men, and one that likes women. Who cares about that first wolf though? What we’re after is that second one. You are very good at awakening that second wolf. A little peck on the lips, a lingering hug... it doesn’t take much for them to start feeling things they aren’t used to feeling. You know what’s better than one girl in a relationship? Two girls. This can be exchanged for an effect of the opposite gender if you prefer, or can be made to affect whatever gender you are when you invoke its effects.</v>
      </c>
      <c r="I115" s="5"/>
    </row>
    <row r="116" spans="1:9" ht="191.4" x14ac:dyDescent="0.25">
      <c r="A116" s="16"/>
      <c r="B116" s="17">
        <v>112</v>
      </c>
      <c r="C116" s="2" t="b">
        <f ca="1">IFERROR(__xludf.DUMMYFUNCTION("""COMPUTED_VALUE"""),FALSE)</f>
        <v>0</v>
      </c>
      <c r="D116" s="2">
        <f ca="1">IFERROR(__xludf.DUMMYFUNCTION("""COMPUTED_VALUE"""),400)</f>
        <v>400</v>
      </c>
      <c r="E116" s="2" t="str">
        <f ca="1">IFERROR(__xludf.DUMMYFUNCTION("""COMPUTED_VALUE"""),"""Cheating Sex is the Best!""")</f>
        <v>"Cheating Sex is the Best!"</v>
      </c>
      <c r="F116" s="2" t="str">
        <f ca="1">IFERROR(__xludf.DUMMYFUNCTION("""COMPUTED_VALUE"""),"High Elf x High School")</f>
        <v>High Elf x High School</v>
      </c>
      <c r="G116" s="2" t="str">
        <f ca="1">IFERROR(__xludf.DUMMYFUNCTION("""COMPUTED_VALUE"""),"Seduction")</f>
        <v>Seduction</v>
      </c>
      <c r="H116" s="2" t="str">
        <f ca="1">IFERROR(__xludf.DUMMYFUNCTION("""COMPUTED_VALUE"""),"Dark elves go after what and who they want, regardless of whether or not their target is attached or not. Hell, that might even make it more fun. The more love and affection someone feels towards their romantic or sexual partner, the easier it is for you "&amp;"to seduce them away and into your own arms. This doesn’t reduce the attraction they feel towards their partner, but instead allows you to worm your way into their heart more easily, until the feelings they have for you equal or even overwhelm those they f"&amp;"eel for their pre-existing partner.
Furthermore, the more attached someone is when you start to seduce them, the more pleasure both of you will experience once you actually have sex—and the person you’re trying to win over will, on an instinctive level, "&amp;"recognize this. This pleasure does not fade if their attachment to their original partner does.")</f>
        <v>Dark elves go after what and who they want, regardless of whether or not their target is attached or not. Hell, that might even make it more fun. The more love and affection someone feels towards their romantic or sexual partner, the easier it is for you to seduce them away and into your own arms. This doesn’t reduce the attraction they feel towards their partner, but instead allows you to worm your way into their heart more easily, until the feelings they have for you equal or even overwhelm those they feel for their pre-existing partner.
Furthermore, the more attached someone is when you start to seduce them, the more pleasure both of you will experience once you actually have sex—and the person you’re trying to win over will, on an instinctive level, recognize this. This pleasure does not fade if their attachment to their original partner does.</v>
      </c>
      <c r="I116" s="5"/>
    </row>
    <row r="117" spans="1:9" ht="69.599999999999994" x14ac:dyDescent="0.25">
      <c r="A117" s="16"/>
      <c r="B117" s="17">
        <v>113</v>
      </c>
      <c r="C117" s="2" t="b">
        <f ca="1">IFERROR(__xludf.DUMMYFUNCTION("""COMPUTED_VALUE"""),FALSE)</f>
        <v>0</v>
      </c>
      <c r="D117" s="2">
        <f ca="1">IFERROR(__xludf.DUMMYFUNCTION("""COMPUTED_VALUE"""),400)</f>
        <v>400</v>
      </c>
      <c r="E117" s="2" t="str">
        <f ca="1">IFERROR(__xludf.DUMMYFUNCTION("""COMPUTED_VALUE"""),"""Nice Boots. Wanna Fuck?""")</f>
        <v>"Nice Boots. Wanna Fuck?"</v>
      </c>
      <c r="F117" s="2" t="str">
        <f ca="1">IFERROR(__xludf.DUMMYFUNCTION("""COMPUTED_VALUE"""),"Generic: Hentai World")</f>
        <v>Generic: Hentai World</v>
      </c>
      <c r="G117" s="2" t="str">
        <f ca="1">IFERROR(__xludf.DUMMYFUNCTION("""COMPUTED_VALUE"""),"Seduction")</f>
        <v>Seduction</v>
      </c>
      <c r="H117" s="2" t="str">
        <f ca="1">IFERROR(__xludf.DUMMYFUNCTION("""COMPUTED_VALUE"""),"Subtlety is overrated. You can reduce an evening, or longer, of slow seduction with a straightforward question to the same effect. Not only does this save time but by being so open to your target (or targets) about your desire to fuck them you gain a boos"&amp;"t to your chances based on your sexual prowess.")</f>
        <v>Subtlety is overrated. You can reduce an evening, or longer, of slow seduction with a straightforward question to the same effect. Not only does this save time but by being so open to your target (or targets) about your desire to fuck them you gain a boost to your chances based on your sexual prowess.</v>
      </c>
      <c r="I117" s="5"/>
    </row>
    <row r="118" spans="1:9" ht="139.19999999999999" x14ac:dyDescent="0.25">
      <c r="A118" s="16"/>
      <c r="B118" s="17">
        <v>114</v>
      </c>
      <c r="C118" s="2" t="b">
        <f ca="1">IFERROR(__xludf.DUMMYFUNCTION("""COMPUTED_VALUE"""),FALSE)</f>
        <v>0</v>
      </c>
      <c r="D118" s="2">
        <f ca="1">IFERROR(__xludf.DUMMYFUNCTION("""COMPUTED_VALUE"""),400)</f>
        <v>400</v>
      </c>
      <c r="E118" s="2" t="str">
        <f ca="1">IFERROR(__xludf.DUMMYFUNCTION("""COMPUTED_VALUE"""),"+MUSK")</f>
        <v>+MUSK</v>
      </c>
      <c r="F118" s="2" t="str">
        <f ca="1">IFERROR(__xludf.DUMMYFUNCTION("""COMPUTED_VALUE"""),"Bio-Weapon Quest")</f>
        <v>Bio-Weapon Quest</v>
      </c>
      <c r="G118" s="2" t="str">
        <f ca="1">IFERROR(__xludf.DUMMYFUNCTION("""COMPUTED_VALUE"""),"Seduction")</f>
        <v>Seduction</v>
      </c>
      <c r="H118" s="2" t="str">
        <f ca="1">IFERROR(__xludf.DUMMYFUNCTION("""COMPUTED_VALUE"""),"Who’s this? Casanova? Unless you’re consciously trying not to pick up the girl you’re chatting to, it seems your charm is just “auto-on”. Rolling to seduce your preferred gender is just something that happens without having to put any level of active thou"&amp;"ght into it. This includes automatically activating any powers that improve this effect, if the cost to you isn’t prohibitive (you’ll start exuding pheromones if you have them, but won’t automatically cast charm spells if it would drain your mana). You’re"&amp;" also just naturally good at using this to resolve conflicts with or between members of your preferred gender: To keep different members of your harem from going at each other or simply to butter up that hot teacher when you apologise for being late to cl"&amp;"ass, for example.")</f>
        <v>Who’s this? Casanova? Unless you’re consciously trying not to pick up the girl you’re chatting to, it seems your charm is just “auto-on”. Rolling to seduce your preferred gender is just something that happens without having to put any level of active thought into it. This includes automatically activating any powers that improve this effect, if the cost to you isn’t prohibitive (you’ll start exuding pheromones if you have them, but won’t automatically cast charm spells if it would drain your mana). You’re also just naturally good at using this to resolve conflicts with or between members of your preferred gender: To keep different members of your harem from going at each other or simply to butter up that hot teacher when you apologise for being late to class, for example.</v>
      </c>
      <c r="I118" s="5"/>
    </row>
    <row r="119" spans="1:9" ht="191.4" x14ac:dyDescent="0.25">
      <c r="A119" s="16"/>
      <c r="B119" s="17">
        <v>115</v>
      </c>
      <c r="C119" s="2" t="b">
        <f ca="1">IFERROR(__xludf.DUMMYFUNCTION("""COMPUTED_VALUE"""),FALSE)</f>
        <v>0</v>
      </c>
      <c r="D119" s="2">
        <f ca="1">IFERROR(__xludf.DUMMYFUNCTION("""COMPUTED_VALUE"""),400)</f>
        <v>400</v>
      </c>
      <c r="E119" s="2" t="str">
        <f ca="1">IFERROR(__xludf.DUMMYFUNCTION("""COMPUTED_VALUE"""),"A Worthy Mate")</f>
        <v>A Worthy Mate</v>
      </c>
      <c r="F119" s="2" t="str">
        <f ca="1">IFERROR(__xludf.DUMMYFUNCTION("""COMPUTED_VALUE"""),"A Change of Tactics V2.2")</f>
        <v>A Change of Tactics V2.2</v>
      </c>
      <c r="G119" s="2" t="str">
        <f ca="1">IFERROR(__xludf.DUMMYFUNCTION("""COMPUTED_VALUE"""),"Seduction")</f>
        <v>Seduction</v>
      </c>
      <c r="H119" s="2" t="str">
        <f ca="1">IFERROR(__xludf.DUMMYFUNCTION("""COMPUTED_VALUE"""),"Only the finest treasures belong in a dragon’s hoard and only the finest women deserve to join his harem, but even ordinary girls have the potential to grow into powerful and beautiful heroines if they’re given the right incentive. You’re a master of groo"&amp;"ming potential concubines into worthy mates, bringing out the best in them until they shine like precious gemstones in your collection. Strength and seduction are intertwined for you, each one feeding into the other. By helping your concubines grow into t"&amp;"heir true potential you can win their love like a master seducing his pupils, but if you have no knowledge of their craft then pursuing a passionate romance instead will turn their feelings into fuel for their growth, speeding them along as if you were th"&amp;"e ideal teacher for them. Either way, you’ll conquer the hearts of your lovers and also groom them into powerful heroines and worthy mates, and do so in a fraction of the time and effort that other mentors (and any romantic rivals you may have) would requ"&amp;"ire to do the same.")</f>
        <v>Only the finest treasures belong in a dragon’s hoard and only the finest women deserve to join his harem, but even ordinary girls have the potential to grow into powerful and beautiful heroines if they’re given the right incentive. You’re a master of grooming potential concubines into worthy mates, bringing out the best in them until they shine like precious gemstones in your collection. Strength and seduction are intertwined for you, each one feeding into the other. By helping your concubines grow into their true potential you can win their love like a master seducing his pupils, but if you have no knowledge of their craft then pursuing a passionate romance instead will turn their feelings into fuel for their growth, speeding them along as if you were the ideal teacher for them. Either way, you’ll conquer the hearts of your lovers and also groom them into powerful heroines and worthy mates, and do so in a fraction of the time and effort that other mentors (and any romantic rivals you may have) would require to do the same.</v>
      </c>
      <c r="I119" s="5"/>
    </row>
    <row r="120" spans="1:9" ht="156.6" x14ac:dyDescent="0.25">
      <c r="A120" s="16"/>
      <c r="B120" s="17">
        <v>116</v>
      </c>
      <c r="C120" s="2" t="b">
        <f ca="1">IFERROR(__xludf.DUMMYFUNCTION("""COMPUTED_VALUE"""),FALSE)</f>
        <v>0</v>
      </c>
      <c r="D120" s="2">
        <f ca="1">IFERROR(__xludf.DUMMYFUNCTION("""COMPUTED_VALUE"""),400)</f>
        <v>400</v>
      </c>
      <c r="E120" s="2" t="str">
        <f ca="1">IFERROR(__xludf.DUMMYFUNCTION("""COMPUTED_VALUE"""),"Best Waifu")</f>
        <v>Best Waifu</v>
      </c>
      <c r="F120" s="2" t="str">
        <f ca="1">IFERROR(__xludf.DUMMYFUNCTION("""COMPUTED_VALUE"""),"Naruto Blacked")</f>
        <v>Naruto Blacked</v>
      </c>
      <c r="G120" s="2" t="str">
        <f ca="1">IFERROR(__xludf.DUMMYFUNCTION("""COMPUTED_VALUE"""),"Seduction")</f>
        <v>Seduction</v>
      </c>
      <c r="H120" s="2" t="str">
        <f ca="1">IFERROR(__xludf.DUMMYFUNCTION("""COMPUTED_VALUE"""),"There’s much more to being a ninja princess than being nice to look at, it also helps to have a personality every bit as pleasant as your figure. From your smile and your way with words to your shy mannerisms or whatever other quirks you have, you’re incr"&amp;"edibly pleasant to be around and you’re able to easily win over friends and admirers just by being yourself. People naturally want to be around you and make you happy, and seeing you smile might even warm a villain’s heart and make them think twice about "&amp;"doing you harm, if only for a moment. Naturally, spending more time around people will make this influence much stronger; acquaintances become lovers or lifelong friends, and enemies become more attached to you until even a Cloud Nin intent on making you "&amp;"his bitch could be made to simp for you and want to keep you as his wife.")</f>
        <v>There’s much more to being a ninja princess than being nice to look at, it also helps to have a personality every bit as pleasant as your figure. From your smile and your way with words to your shy mannerisms or whatever other quirks you have, you’re incredibly pleasant to be around and you’re able to easily win over friends and admirers just by being yourself. People naturally want to be around you and make you happy, and seeing you smile might even warm a villain’s heart and make them think twice about doing you harm, if only for a moment. Naturally, spending more time around people will make this influence much stronger; acquaintances become lovers or lifelong friends, and enemies become more attached to you until even a Cloud Nin intent on making you his bitch could be made to simp for you and want to keep you as his wife.</v>
      </c>
      <c r="I120" s="5"/>
    </row>
    <row r="121" spans="1:9" ht="87" x14ac:dyDescent="0.25">
      <c r="A121" s="16"/>
      <c r="B121" s="17">
        <v>117</v>
      </c>
      <c r="C121" s="2" t="b">
        <f ca="1">IFERROR(__xludf.DUMMYFUNCTION("""COMPUTED_VALUE"""),FALSE)</f>
        <v>0</v>
      </c>
      <c r="D121" s="2">
        <f ca="1">IFERROR(__xludf.DUMMYFUNCTION("""COMPUTED_VALUE"""),400)</f>
        <v>400</v>
      </c>
      <c r="E121" s="2" t="str">
        <f ca="1">IFERROR(__xludf.DUMMYFUNCTION("""COMPUTED_VALUE"""),"Can I put it in Now?")</f>
        <v>Can I put it in Now?</v>
      </c>
      <c r="F121" s="2" t="str">
        <f ca="1">IFERROR(__xludf.DUMMYFUNCTION("""COMPUTED_VALUE"""),"Sei So Tsui Dan Sha")</f>
        <v>Sei So Tsui Dan Sha</v>
      </c>
      <c r="G121" s="2" t="str">
        <f ca="1">IFERROR(__xludf.DUMMYFUNCTION("""COMPUTED_VALUE"""),"Seduction")</f>
        <v>Seduction</v>
      </c>
      <c r="H121" s="2" t="str">
        <f ca="1">IFERROR(__xludf.DUMMYFUNCTION("""COMPUTED_VALUE"""),"Aren’t we the little ladies man? No matter the insane logic required, those you find attractive will almost always find some excuse to express their feelings for you, good or bad, though sexual acts. They’ll fuck their suppressed insecurities or hatred ou"&amp;"t of you, or insist on immediately expressing true love through sex, things like that. It will work too. You get more out of one heartfelt fuck then a whole year of therapy.")</f>
        <v>Aren’t we the little ladies man? No matter the insane logic required, those you find attractive will almost always find some excuse to express their feelings for you, good or bad, though sexual acts. They’ll fuck their suppressed insecurities or hatred out of you, or insist on immediately expressing true love through sex, things like that. It will work too. You get more out of one heartfelt fuck then a whole year of therapy.</v>
      </c>
      <c r="I121" s="5"/>
    </row>
    <row r="122" spans="1:9" ht="87" x14ac:dyDescent="0.25">
      <c r="A122" s="16"/>
      <c r="B122" s="17">
        <v>118</v>
      </c>
      <c r="C122" s="2" t="b">
        <f ca="1">IFERROR(__xludf.DUMMYFUNCTION("""COMPUTED_VALUE"""),FALSE)</f>
        <v>0</v>
      </c>
      <c r="D122" s="2">
        <f ca="1">IFERROR(__xludf.DUMMYFUNCTION("""COMPUTED_VALUE"""),400)</f>
        <v>400</v>
      </c>
      <c r="E122" s="2" t="str">
        <f ca="1">IFERROR(__xludf.DUMMYFUNCTION("""COMPUTED_VALUE"""),"Casual Fun")</f>
        <v>Casual Fun</v>
      </c>
      <c r="F122" s="2" t="str">
        <f ca="1">IFERROR(__xludf.DUMMYFUNCTION("""COMPUTED_VALUE"""),"Nyakumi")</f>
        <v>Nyakumi</v>
      </c>
      <c r="G122" s="2" t="str">
        <f ca="1">IFERROR(__xludf.DUMMYFUNCTION("""COMPUTED_VALUE"""),"Seduction")</f>
        <v>Seduction</v>
      </c>
      <c r="H122" s="2" t="str">
        <f ca="1">IFERROR(__xludf.DUMMYFUNCTION("""COMPUTED_VALUE"""),"In this world, getting some nookie can be as simple as finding the nearest bar and pulling your dick out. In other worlds it will likely be much harder, but here’s some help: When you deliberately go out and look for no-strings-attached sex, you now have "&amp;"a dramatically higher chance of finding an attractive one night stand. If you like, it could be the start of something more, and you’ll even get a push towards forming the relationship that you want, but if not, you’ll likely not see them again.")</f>
        <v>In this world, getting some nookie can be as simple as finding the nearest bar and pulling your dick out. In other worlds it will likely be much harder, but here’s some help: When you deliberately go out and look for no-strings-attached sex, you now have a dramatically higher chance of finding an attractive one night stand. If you like, it could be the start of something more, and you’ll even get a push towards forming the relationship that you want, but if not, you’ll likely not see them again.</v>
      </c>
      <c r="I122" s="5"/>
    </row>
    <row r="123" spans="1:9" ht="191.4" x14ac:dyDescent="0.25">
      <c r="A123" s="16"/>
      <c r="B123" s="17">
        <v>119</v>
      </c>
      <c r="C123" s="2" t="b">
        <f ca="1">IFERROR(__xludf.DUMMYFUNCTION("""COMPUTED_VALUE"""),FALSE)</f>
        <v>0</v>
      </c>
      <c r="D123" s="2">
        <f ca="1">IFERROR(__xludf.DUMMYFUNCTION("""COMPUTED_VALUE"""),400)</f>
        <v>400</v>
      </c>
      <c r="E123" s="2" t="str">
        <f ca="1">IFERROR(__xludf.DUMMYFUNCTION("""COMPUTED_VALUE"""),"Emiya Family Swag")</f>
        <v>Emiya Family Swag</v>
      </c>
      <c r="F123" s="2" t="str">
        <f ca="1">IFERROR(__xludf.DUMMYFUNCTION("""COMPUTED_VALUE"""),"Fate/Loli Order")</f>
        <v>Fate/Loli Order</v>
      </c>
      <c r="G123" s="2" t="str">
        <f ca="1">IFERROR(__xludf.DUMMYFUNCTION("""COMPUTED_VALUE"""),"Seduction")</f>
        <v>Seduction</v>
      </c>
      <c r="H123" s="2" t="str">
        <f ca="1">IFERROR(__xludf.DUMMYFUNCTION("""COMPUTED_VALUE"""),"The men of the Emiya family have had many lovers, and could have had many more. But, to call them charismatic is incorrect. They had their moments to be sure, but it's less a matter of seduction and more... gravity. That they were meant to be together, or"&amp;" would have been perfect together if only they would ever meet - and so they were and so they did. And so are you. A grail war is a horrible thing to not prepare for, but if you were to enter one unprepared you'd find yourself stumbling across potential a"&amp;"llies. Your plan for the war might be foolish, but... Doesn't the world need more fools like that? In the end it's just a simple spark, a single moment of connection, a maybe that might turn into a possibly, but as long as that spark is actually there the"&amp;"n there's no reason you can't come out of this with a new girlfriend you met when she tried to kill you, or having warmed the heart of a bitter and murderous widow. Just be yourself, and gravity will ensure you fall for each other. All of you, if need be.")</f>
        <v>The men of the Emiya family have had many lovers, and could have had many more. But, to call them charismatic is incorrect. They had their moments to be sure, but it's less a matter of seduction and more... gravity. That they were meant to be together, or would have been perfect together if only they would ever meet - and so they were and so they did. And so are you. A grail war is a horrible thing to not prepare for, but if you were to enter one unprepared you'd find yourself stumbling across potential allies. Your plan for the war might be foolish, but... Doesn't the world need more fools like that? In the end it's just a simple spark, a single moment of connection, a maybe that might turn into a possibly, but as long as that spark is actually there then there's no reason you can't come out of this with a new girlfriend you met when she tried to kill you, or having warmed the heart of a bitter and murderous widow. Just be yourself, and gravity will ensure you fall for each other. All of you, if need be.</v>
      </c>
      <c r="I123" s="5"/>
    </row>
    <row r="124" spans="1:9" ht="191.4" x14ac:dyDescent="0.25">
      <c r="A124" s="16"/>
      <c r="B124" s="17">
        <v>120</v>
      </c>
      <c r="C124" s="2" t="b">
        <f ca="1">IFERROR(__xludf.DUMMYFUNCTION("""COMPUTED_VALUE"""),FALSE)</f>
        <v>0</v>
      </c>
      <c r="D124" s="2">
        <f ca="1">IFERROR(__xludf.DUMMYFUNCTION("""COMPUTED_VALUE"""),400)</f>
        <v>400</v>
      </c>
      <c r="E124" s="2" t="str">
        <f ca="1">IFERROR(__xludf.DUMMYFUNCTION("""COMPUTED_VALUE"""),"Eroge Protagonist")</f>
        <v>Eroge Protagonist</v>
      </c>
      <c r="F124" s="2" t="str">
        <f ca="1">IFERROR(__xludf.DUMMYFUNCTION("""COMPUTED_VALUE"""),"Kyonyuu Fantasy")</f>
        <v>Kyonyuu Fantasy</v>
      </c>
      <c r="G124" s="2" t="str">
        <f ca="1">IFERROR(__xludf.DUMMYFUNCTION("""COMPUTED_VALUE"""),"Seduction")</f>
        <v>Seduction</v>
      </c>
      <c r="H124" s="2" t="str">
        <f ca="1">IFERROR(__xludf.DUMMYFUNCTION("""COMPUTED_VALUE"""),"Ohh Master/Madame, what’s with all these beautiful girls that flock towards you? You wouldn’t happen to be a playboy by any chance? For some reason powerful, skilled, and exceptionally attractive women tend to fall deeply in love with you. More than that "&amp;"it seems that fate conspires to have you get closer to these women, both emotionally and physically. A Princess would develop a deep crush on you the moment you two meet, a fierce general would declare herself your woman after you saved her life and the l"&amp;"ives of her men, and a beautiful noblewoman would find comfort in your arms after being neglected by her husband.
As an added bonus sleeping with them seems to deepen their love for you, so they don’t just want you around for you body. A week of constant"&amp;" lovemaking would put your relationship on the same level as if you have been in a passionate relationship for months.")</f>
        <v>Ohh Master/Madame, what’s with all these beautiful girls that flock towards you? You wouldn’t happen to be a playboy by any chance? For some reason powerful, skilled, and exceptionally attractive women tend to fall deeply in love with you. More than that it seems that fate conspires to have you get closer to these women, both emotionally and physically. A Princess would develop a deep crush on you the moment you two meet, a fierce general would declare herself your woman after you saved her life and the lives of her men, and a beautiful noblewoman would find comfort in your arms after being neglected by her husband.
As an added bonus sleeping with them seems to deepen their love for you, so they don’t just want you around for you body. A week of constant lovemaking would put your relationship on the same level as if you have been in a passionate relationship for months.</v>
      </c>
      <c r="I124" s="5"/>
    </row>
    <row r="125" spans="1:9" ht="139.19999999999999" x14ac:dyDescent="0.25">
      <c r="A125" s="16"/>
      <c r="B125" s="17">
        <v>121</v>
      </c>
      <c r="C125" s="2" t="b">
        <f ca="1">IFERROR(__xludf.DUMMYFUNCTION("""COMPUTED_VALUE"""),FALSE)</f>
        <v>0</v>
      </c>
      <c r="D125" s="2">
        <f ca="1">IFERROR(__xludf.DUMMYFUNCTION("""COMPUTED_VALUE"""),400)</f>
        <v>400</v>
      </c>
      <c r="E125" s="2" t="str">
        <f ca="1">IFERROR(__xludf.DUMMYFUNCTION("""COMPUTED_VALUE"""),"Eye of the Goddess")</f>
        <v>Eye of the Goddess</v>
      </c>
      <c r="F125" s="2" t="str">
        <f ca="1">IFERROR(__xludf.DUMMYFUNCTION("""COMPUTED_VALUE"""),"Prina the Dungeoneering Princess")</f>
        <v>Prina the Dungeoneering Princess</v>
      </c>
      <c r="G125" s="2" t="str">
        <f ca="1">IFERROR(__xludf.DUMMYFUNCTION("""COMPUTED_VALUE"""),"Seduction")</f>
        <v>Seduction</v>
      </c>
      <c r="H125" s="2" t="str">
        <f ca="1">IFERROR(__xludf.DUMMYFUNCTION("""COMPUTED_VALUE"""),"Having the patronage of a powerful wizard and being descended from angels makes for a very politically powerful royal family. So much so that the queen of Prulina is allowed to take on a functionally limitless number of consorts and concubines. In fact, P"&amp;"rina herself received dozens of requests from the nobility of other kingdoms to have their daughters bear her child. Not even become a consort, just them desperate to get some of that holy bloodline in their family. With that in mind, you attract beautifu"&amp;"l women and handsome men like flies, none of whom have any issue sharing you with each other - or your actual wife. A good number of them would even be honored to be a one night stand.")</f>
        <v>Having the patronage of a powerful wizard and being descended from angels makes for a very politically powerful royal family. So much so that the queen of Prulina is allowed to take on a functionally limitless number of consorts and concubines. In fact, Prina herself received dozens of requests from the nobility of other kingdoms to have their daughters bear her child. Not even become a consort, just them desperate to get some of that holy bloodline in their family. With that in mind, you attract beautiful women and handsome men like flies, none of whom have any issue sharing you with each other - or your actual wife. A good number of them would even be honored to be a one night stand.</v>
      </c>
      <c r="I125" s="5"/>
    </row>
    <row r="126" spans="1:9" ht="104.4" x14ac:dyDescent="0.25">
      <c r="A126" s="16"/>
      <c r="B126" s="17">
        <v>122</v>
      </c>
      <c r="C126" s="2" t="b">
        <f ca="1">IFERROR(__xludf.DUMMYFUNCTION("""COMPUTED_VALUE"""),FALSE)</f>
        <v>0</v>
      </c>
      <c r="D126" s="2">
        <f ca="1">IFERROR(__xludf.DUMMYFUNCTION("""COMPUTED_VALUE"""),400)</f>
        <v>400</v>
      </c>
      <c r="E126" s="2" t="str">
        <f ca="1">IFERROR(__xludf.DUMMYFUNCTION("""COMPUTED_VALUE"""),"Fall in Love")</f>
        <v>Fall in Love</v>
      </c>
      <c r="F126" s="2" t="str">
        <f ca="1">IFERROR(__xludf.DUMMYFUNCTION("""COMPUTED_VALUE"""),"Mizuryu Kei Land")</f>
        <v>Mizuryu Kei Land</v>
      </c>
      <c r="G126" s="2" t="str">
        <f ca="1">IFERROR(__xludf.DUMMYFUNCTION("""COMPUTED_VALUE"""),"Seduction")</f>
        <v>Seduction</v>
      </c>
      <c r="H126" s="2" t="str">
        <f ca="1">IFERROR(__xludf.DUMMYFUNCTION("""COMPUTED_VALUE"""),"Is pretty much the one thing you aren't supposed to do here, not that it's an actual rule. After all, who wants to fall in love with and marry a someone who has already fucked a dozen other men, and probably will again before the day is over? In an invers"&amp;"ion to simply letting it go, you can actually add more emotion into the most trivial of events, be it the sex you came here to have, or simply holding a door for someone. They won't quite be able to put their finger on it, but it was special for some reas"&amp;"on, and that means that if they remember anything about their trip, it'll be you.")</f>
        <v>Is pretty much the one thing you aren't supposed to do here, not that it's an actual rule. After all, who wants to fall in love with and marry a someone who has already fucked a dozen other men, and probably will again before the day is over? In an inversion to simply letting it go, you can actually add more emotion into the most trivial of events, be it the sex you came here to have, or simply holding a door for someone. They won't quite be able to put their finger on it, but it was special for some reason, and that means that if they remember anything about their trip, it'll be you.</v>
      </c>
      <c r="I126" s="5"/>
    </row>
    <row r="127" spans="1:9" ht="156.6" x14ac:dyDescent="0.25">
      <c r="A127" s="16"/>
      <c r="B127" s="17">
        <v>123</v>
      </c>
      <c r="C127" s="2" t="b">
        <f ca="1">IFERROR(__xludf.DUMMYFUNCTION("""COMPUTED_VALUE"""),FALSE)</f>
        <v>0</v>
      </c>
      <c r="D127" s="2">
        <f ca="1">IFERROR(__xludf.DUMMYFUNCTION("""COMPUTED_VALUE"""),400)</f>
        <v>400</v>
      </c>
      <c r="E127" s="2" t="str">
        <f ca="1">IFERROR(__xludf.DUMMYFUNCTION("""COMPUTED_VALUE"""),"I Accept your Apology")</f>
        <v>I Accept your Apology</v>
      </c>
      <c r="F127" s="2" t="str">
        <f ca="1">IFERROR(__xludf.DUMMYFUNCTION("""COMPUTED_VALUE"""),"My Bride is the Demon Lord")</f>
        <v>My Bride is the Demon Lord</v>
      </c>
      <c r="G127" s="2" t="str">
        <f ca="1">IFERROR(__xludf.DUMMYFUNCTION("""COMPUTED_VALUE"""),"Seduction")</f>
        <v>Seduction</v>
      </c>
      <c r="H127" s="2" t="str">
        <f ca="1">IFERROR(__xludf.DUMMYFUNCTION("""COMPUTED_VALUE"""),"When someone does wrong by you and seeks to apologize, sex will somehow always be a part of their offer. A woman who accidentally knocks you over might offer you a handjob in recompense, while someone who wrongly kicks you in the balls might offer you her"&amp;" body to have your way with as an apology; someone you aren’t sexually interested in, on the other hand, might offer the bodies of their friends or family, who will never consider this an odd thing to do. Note that this is in addition to whatever they wou"&amp;"ld normally do as part of their attempt to make up for their wrongdoings, not in place of it.
You may optionally toggle this off, in case you don’t want sex at the moment.")</f>
        <v>When someone does wrong by you and seeks to apologize, sex will somehow always be a part of their offer. A woman who accidentally knocks you over might offer you a handjob in recompense, while someone who wrongly kicks you in the balls might offer you her body to have your way with as an apology; someone you aren’t sexually interested in, on the other hand, might offer the bodies of their friends or family, who will never consider this an odd thing to do. Note that this is in addition to whatever they would normally do as part of their attempt to make up for their wrongdoings, not in place of it.
You may optionally toggle this off, in case you don’t want sex at the moment.</v>
      </c>
      <c r="I127" s="5"/>
    </row>
    <row r="128" spans="1:9" ht="121.8" x14ac:dyDescent="0.25">
      <c r="A128" s="16"/>
      <c r="B128" s="17">
        <v>124</v>
      </c>
      <c r="C128" s="2" t="b">
        <f ca="1">IFERROR(__xludf.DUMMYFUNCTION("""COMPUTED_VALUE"""),FALSE)</f>
        <v>0</v>
      </c>
      <c r="D128" s="2">
        <f ca="1">IFERROR(__xludf.DUMMYFUNCTION("""COMPUTED_VALUE"""),400)</f>
        <v>400</v>
      </c>
      <c r="E128" s="2" t="str">
        <f ca="1">IFERROR(__xludf.DUMMYFUNCTION("""COMPUTED_VALUE"""),"I Came to Save You!")</f>
        <v>I Came to Save You!</v>
      </c>
      <c r="F128" s="2" t="str">
        <f ca="1">IFERROR(__xludf.DUMMYFUNCTION("""COMPUTED_VALUE"""),"Chichikko Bitch / Witch Bitch Collection")</f>
        <v>Chichikko Bitch / Witch Bitch Collection</v>
      </c>
      <c r="G128" s="2" t="str">
        <f ca="1">IFERROR(__xludf.DUMMYFUNCTION("""COMPUTED_VALUE"""),"Seduction")</f>
        <v>Seduction</v>
      </c>
      <c r="H128" s="2" t="str">
        <f ca="1">IFERROR(__xludf.DUMMYFUNCTION("""COMPUTED_VALUE"""),"So, funny story. When Lucy Heartfilia got kidnapped and accidentally outlasted her captors, she did actually get rescued. By Erza Scarlet, who proceeded to rip off her shirt and reveal that she wasn’t wearing a bra. Presumably she wanted to join in. Sadly"&amp;", they weren’t up for it, nor were able to get it up. Regardless, when it comes to nosy friends of your victim barging in wondering what's going on... They have a tendency to join in instead. Maybe they’re secretly sluts as well, maybe they’re offended th"&amp;"at you think she’s more beautiful. No matter which way you slice it, the rescuer will probably need rescuing as well.")</f>
        <v>So, funny story. When Lucy Heartfilia got kidnapped and accidentally outlasted her captors, she did actually get rescued. By Erza Scarlet, who proceeded to rip off her shirt and reveal that she wasn’t wearing a bra. Presumably she wanted to join in. Sadly, they weren’t up for it, nor were able to get it up. Regardless, when it comes to nosy friends of your victim barging in wondering what's going on... They have a tendency to join in instead. Maybe they’re secretly sluts as well, maybe they’re offended that you think she’s more beautiful. No matter which way you slice it, the rescuer will probably need rescuing as well.</v>
      </c>
      <c r="I128" s="5"/>
    </row>
    <row r="129" spans="1:10" ht="69.599999999999994" x14ac:dyDescent="0.25">
      <c r="A129" s="16"/>
      <c r="B129" s="17">
        <v>125</v>
      </c>
      <c r="C129" s="2" t="b">
        <f ca="1">IFERROR(__xludf.DUMMYFUNCTION("""COMPUTED_VALUE"""),FALSE)</f>
        <v>0</v>
      </c>
      <c r="D129" s="2">
        <f ca="1">IFERROR(__xludf.DUMMYFUNCTION("""COMPUTED_VALUE"""),400)</f>
        <v>400</v>
      </c>
      <c r="E129" s="2" t="str">
        <f ca="1">IFERROR(__xludf.DUMMYFUNCTION("""COMPUTED_VALUE"""),"Kind to the Core")</f>
        <v>Kind to the Core</v>
      </c>
      <c r="F129" s="2" t="str">
        <f ca="1">IFERROR(__xludf.DUMMYFUNCTION("""COMPUTED_VALUE"""),"Ashigei Shoujo Komura-san")</f>
        <v>Ashigei Shoujo Komura-san</v>
      </c>
      <c r="G129" s="2" t="str">
        <f ca="1">IFERROR(__xludf.DUMMYFUNCTION("""COMPUTED_VALUE"""),"Seduction")</f>
        <v>Seduction</v>
      </c>
      <c r="H129" s="2" t="str">
        <f ca="1">IFERROR(__xludf.DUMMYFUNCTION("""COMPUTED_VALUE"""),"You have a special affinity with a certain body part of your choosing. You’ll constantly be flung into cute/lewd scenarios involving it, and hit it off abnormally well with those who strongly represent it. Under ideal conditions, they may fall for you aft"&amp;"er barely a day, and be willing to compete for you. This depends on their desire for affection, and the extent of their affinity.")</f>
        <v>You have a special affinity with a certain body part of your choosing. You’ll constantly be flung into cute/lewd scenarios involving it, and hit it off abnormally well with those who strongly represent it. Under ideal conditions, they may fall for you after barely a day, and be willing to compete for you. This depends on their desire for affection, and the extent of their affinity.</v>
      </c>
      <c r="I129" s="5"/>
    </row>
    <row r="130" spans="1:10" ht="121.8" x14ac:dyDescent="0.25">
      <c r="A130" s="16"/>
      <c r="B130" s="17">
        <v>126</v>
      </c>
      <c r="C130" s="2" t="b">
        <f ca="1">IFERROR(__xludf.DUMMYFUNCTION("""COMPUTED_VALUE"""),FALSE)</f>
        <v>0</v>
      </c>
      <c r="D130" s="2">
        <f ca="1">IFERROR(__xludf.DUMMYFUNCTION("""COMPUTED_VALUE"""),400)</f>
        <v>400</v>
      </c>
      <c r="E130" s="2" t="str">
        <f ca="1">IFERROR(__xludf.DUMMYFUNCTION("""COMPUTED_VALUE"""),"Let's get Married, my Love")</f>
        <v>Let's get Married, my Love</v>
      </c>
      <c r="F130" s="2" t="str">
        <f ca="1">IFERROR(__xludf.DUMMYFUNCTION("""COMPUTED_VALUE"""),"Elrk")</f>
        <v>Elrk</v>
      </c>
      <c r="G130" s="2" t="str">
        <f ca="1">IFERROR(__xludf.DUMMYFUNCTION("""COMPUTED_VALUE"""),"Seduction")</f>
        <v>Seduction</v>
      </c>
      <c r="H130" s="2" t="str">
        <f ca="1">IFERROR(__xludf.DUMMYFUNCTION("""COMPUTED_VALUE"""),"Moving back to Elrk childhoods again, they are taught that winning a fight means they have a right to sleep with the loser. Other species don’t really get that, so it turns into them being raped if they lose. Technically it’s ‘as many times and as often a"&amp;"s it takes to get them pregnant’ from the Elrks perspective, but there isn’t always time for that. Interestingly enough, most races don’t actually plan on enjoying this process, yet do so anyways.. At your discretion, the borderline rape can serve as the "&amp;"spark for an actual emotional connection, albeit one driven by an excess of hormones. At bare minimum, they’ll probably want a second round.")</f>
        <v>Moving back to Elrk childhoods again, they are taught that winning a fight means they have a right to sleep with the loser. Other species don’t really get that, so it turns into them being raped if they lose. Technically it’s ‘as many times and as often as it takes to get them pregnant’ from the Elrks perspective, but there isn’t always time for that. Interestingly enough, most races don’t actually plan on enjoying this process, yet do so anyways.. At your discretion, the borderline rape can serve as the spark for an actual emotional connection, albeit one driven by an excess of hormones. At bare minimum, they’ll probably want a second round.</v>
      </c>
      <c r="I130" s="5"/>
    </row>
    <row r="131" spans="1:10" ht="174" x14ac:dyDescent="0.25">
      <c r="A131" s="16"/>
      <c r="B131" s="17">
        <v>127</v>
      </c>
      <c r="C131" s="2" t="b">
        <f ca="1">IFERROR(__xludf.DUMMYFUNCTION("""COMPUTED_VALUE"""),FALSE)</f>
        <v>0</v>
      </c>
      <c r="D131" s="2">
        <f ca="1">IFERROR(__xludf.DUMMYFUNCTION("""COMPUTED_VALUE"""),400)</f>
        <v>400</v>
      </c>
      <c r="E131" s="2" t="str">
        <f ca="1">IFERROR(__xludf.DUMMYFUNCTION("""COMPUTED_VALUE"""),"Little Secrets")</f>
        <v>Little Secrets</v>
      </c>
      <c r="F131" s="2" t="str">
        <f ca="1">IFERROR(__xludf.DUMMYFUNCTION("""COMPUTED_VALUE"""),"Naruto Blacked")</f>
        <v>Naruto Blacked</v>
      </c>
      <c r="G131" s="2" t="str">
        <f ca="1">IFERROR(__xludf.DUMMYFUNCTION("""COMPUTED_VALUE"""),"Seduction")</f>
        <v>Seduction</v>
      </c>
      <c r="H131" s="2" t="str">
        <f ca="1">IFERROR(__xludf.DUMMYFUNCTION("""COMPUTED_VALUE"""),"Like any other sort of nobility, ninja clan heirs spend as much time on social calls as on their formal duties whether for negotiations and diplomacy or for simple gossip and chitchat. There’s a subtle art to this kind of social affair, a form of manipula"&amp;"tion and social engineering, and a master of it like yourself can direct a conversation with such incredible precision that you can provoke exactly the reaction you want at exactly the moment you want it from any of your conversation partners. Simply ment"&amp;"ioning your new paramour at the right time could pique the interest of your friends and inspire a thirst for big cocks, while showing off just enough skin to let someone see a new tattoo can guarantee that they’ll ask you about it. You’re no less adept on"&amp;" social defense as on offence, deftly steering a conversation away from sensitive topics that you don’t want to discuss, like whether you’re cheating on your husband or not.")</f>
        <v>Like any other sort of nobility, ninja clan heirs spend as much time on social calls as on their formal duties whether for negotiations and diplomacy or for simple gossip and chitchat. There’s a subtle art to this kind of social affair, a form of manipulation and social engineering, and a master of it like yourself can direct a conversation with such incredible precision that you can provoke exactly the reaction you want at exactly the moment you want it from any of your conversation partners. Simply mentioning your new paramour at the right time could pique the interest of your friends and inspire a thirst for big cocks, while showing off just enough skin to let someone see a new tattoo can guarantee that they’ll ask you about it. You’re no less adept on social defense as on offence, deftly steering a conversation away from sensitive topics that you don’t want to discuss, like whether you’re cheating on your husband or not.</v>
      </c>
      <c r="I131" s="5"/>
    </row>
    <row r="132" spans="1:10" ht="174" x14ac:dyDescent="0.25">
      <c r="A132" s="16"/>
      <c r="B132" s="17">
        <v>128</v>
      </c>
      <c r="C132" s="2" t="b">
        <f ca="1">IFERROR(__xludf.DUMMYFUNCTION("""COMPUTED_VALUE"""),FALSE)</f>
        <v>0</v>
      </c>
      <c r="D132" s="2">
        <f ca="1">IFERROR(__xludf.DUMMYFUNCTION("""COMPUTED_VALUE"""),400)</f>
        <v>400</v>
      </c>
      <c r="E132" s="2" t="str">
        <f ca="1">IFERROR(__xludf.DUMMYFUNCTION("""COMPUTED_VALUE"""),"Magnificent Bastard")</f>
        <v>Magnificent Bastard</v>
      </c>
      <c r="F132" s="2" t="str">
        <f ca="1">IFERROR(__xludf.DUMMYFUNCTION("""COMPUTED_VALUE"""),"A Change of Tactics V2.2")</f>
        <v>A Change of Tactics V2.2</v>
      </c>
      <c r="G132" s="2" t="str">
        <f ca="1">IFERROR(__xludf.DUMMYFUNCTION("""COMPUTED_VALUE"""),"Seduction")</f>
        <v>Seduction</v>
      </c>
      <c r="H132" s="2" t="str">
        <f ca="1">IFERROR(__xludf.DUMMYFUNCTION("""COMPUTED_VALUE"""),"A tactician’s mind lends itself well not only to commanding armies and battlefields but also to manipulating people. You’re a master of seduction and manipulation, wielding words as skillfully as a myrmidon's blade and turning the unwary into unsuspecting"&amp;" pawns who move and think exactly as you desire. You would be right at home in any royal court or secret cult, but your true specialty lies in seduction, exploiting a victim’s lusts as a weakness. Luring partners to your bed is child’s play, and the more "&amp;"infatuated they are with you the easier it becomes to wrap them around your fingers and bend them to your whims. Given time to work your wiles you could seduce a loyal wife into an affair, conquer her heart and claim her as your own, and persuade her to j"&amp;"oin a harem of devoted concubines. Naturally some will be harder to beguile than others but there are always ways to erode their defenses and make them more vulnerable to your charms.")</f>
        <v>A tactician’s mind lends itself well not only to commanding armies and battlefields but also to manipulating people. You’re a master of seduction and manipulation, wielding words as skillfully as a myrmidon's blade and turning the unwary into unsuspecting pawns who move and think exactly as you desire. You would be right at home in any royal court or secret cult, but your true specialty lies in seduction, exploiting a victim’s lusts as a weakness. Luring partners to your bed is child’s play, and the more infatuated they are with you the easier it becomes to wrap them around your fingers and bend them to your whims. Given time to work your wiles you could seduce a loyal wife into an affair, conquer her heart and claim her as your own, and persuade her to join a harem of devoted concubines. Naturally some will be harder to beguile than others but there are always ways to erode their defenses and make them more vulnerable to your charms.</v>
      </c>
      <c r="I132" s="5"/>
    </row>
    <row r="133" spans="1:10" ht="104.4" x14ac:dyDescent="0.35">
      <c r="A133" s="16"/>
      <c r="B133" s="17">
        <v>129</v>
      </c>
      <c r="C133" s="2" t="b">
        <f ca="1">IFERROR(__xludf.DUMMYFUNCTION("""COMPUTED_VALUE"""),FALSE)</f>
        <v>0</v>
      </c>
      <c r="D133" s="2">
        <f ca="1">IFERROR(__xludf.DUMMYFUNCTION("""COMPUTED_VALUE"""),400)</f>
        <v>400</v>
      </c>
      <c r="E133" s="2" t="str">
        <f ca="1">IFERROR(__xludf.DUMMYFUNCTION("""COMPUTED_VALUE"""),"Magnificent Mortal")</f>
        <v>Magnificent Mortal</v>
      </c>
      <c r="F133" s="2" t="str">
        <f ca="1">IFERROR(__xludf.DUMMYFUNCTION("""COMPUTED_VALUE"""),"Seven Mortal Sins/Seven Heavenly Virtues")</f>
        <v>Seven Mortal Sins/Seven Heavenly Virtues</v>
      </c>
      <c r="G133" s="2" t="str">
        <f ca="1">IFERROR(__xludf.DUMMYFUNCTION("""COMPUTED_VALUE"""),"Seduction")</f>
        <v>Seduction</v>
      </c>
      <c r="H133" s="2" t="str">
        <f ca="1">IFERROR(__xludf.DUMMYFUNCTION("""COMPUTED_VALUE"""),"Weird, that Angel having a plain, friendly conversation with you even if you aren’t the paragon of virtue they were looking for. That Demon realizes full well you aren’t interested in the sin they’re peddling, but they’ll still spend time with you just fo"&amp;"r fun. Beings that are “above you” in terms of existance find you fascinating for your simple existence. Given time, and accounting for applicable personalities, this fascination could easily lead to lasting friendships, or romance. You’d undoubtedly be t"&amp;"aking this for the romance.")</f>
        <v>Weird, that Angel having a plain, friendly conversation with you even if you aren’t the paragon of virtue they were looking for. That Demon realizes full well you aren’t interested in the sin they’re peddling, but they’ll still spend time with you just for fun. Beings that are “above you” in terms of existance find you fascinating for your simple existence. Given time, and accounting for applicable personalities, this fascination could easily lead to lasting friendships, or romance. You’d undoubtedly be taking this for the romance.</v>
      </c>
      <c r="I133" s="5"/>
      <c r="J133" s="13"/>
    </row>
    <row r="134" spans="1:10" ht="191.4" x14ac:dyDescent="0.35">
      <c r="A134" s="16"/>
      <c r="B134" s="17">
        <v>130</v>
      </c>
      <c r="C134" s="2" t="b">
        <f ca="1">IFERROR(__xludf.DUMMYFUNCTION("""COMPUTED_VALUE"""),FALSE)</f>
        <v>0</v>
      </c>
      <c r="D134" s="2">
        <f ca="1">IFERROR(__xludf.DUMMYFUNCTION("""COMPUTED_VALUE"""),400)</f>
        <v>400</v>
      </c>
      <c r="E134" s="2" t="str">
        <f ca="1">IFERROR(__xludf.DUMMYFUNCTION("""COMPUTED_VALUE"""),"Making Love Over Rape")</f>
        <v>Making Love Over Rape</v>
      </c>
      <c r="F134" s="2" t="str">
        <f ca="1">IFERROR(__xludf.DUMMYFUNCTION("""COMPUTED_VALUE"""),"Power Play")</f>
        <v>Power Play</v>
      </c>
      <c r="G134" s="2" t="str">
        <f ca="1">IFERROR(__xludf.DUMMYFUNCTION("""COMPUTED_VALUE"""),"Seduction")</f>
        <v>Seduction</v>
      </c>
      <c r="H134" s="2" t="str">
        <f ca="1">IFERROR(__xludf.DUMMYFUNCTION("""COMPUTED_VALUE"""),"People tend to have a certain way of having sex that they fall back on; some people prefer it gentle, or are just used to it that way, while others like to go rough. Sometimes they aren’t open to trying or enjoying new things... but not with you. Not only"&amp;" are your sexual partners more open you to trying new things in the bedroom, but when you fuck them in a way they aren’t used to—like gently making love to an Evil Sex King’s subordinate or being rough and forceful with someone who’s only known romantic s"&amp;"ex—the pleasure will be greatly intensified, enough so that even suboptimal performance on your part would still leave your partner satisfied, and it would have a long-lasting impact on her.
Of note is that the virginal aren’t used to any kind of sex, s"&amp;"o this is always active for them. Also of note is that very few people ever become “used” to being raped.")</f>
        <v>People tend to have a certain way of having sex that they fall back on; some people prefer it gentle, or are just used to it that way, while others like to go rough. Sometimes they aren’t open to trying or enjoying new things... but not with you. Not only are your sexual partners more open you to trying new things in the bedroom, but when you fuck them in a way they aren’t used to—like gently making love to an Evil Sex King’s subordinate or being rough and forceful with someone who’s only known romantic sex—the pleasure will be greatly intensified, enough so that even suboptimal performance on your part would still leave your partner satisfied, and it would have a long-lasting impact on her.
Of note is that the virginal aren’t used to any kind of sex, so this is always active for them. Also of note is that very few people ever become “used” to being raped.</v>
      </c>
      <c r="I134" s="5"/>
      <c r="J134" s="27"/>
    </row>
    <row r="135" spans="1:10" ht="52.2" x14ac:dyDescent="0.25">
      <c r="A135" s="16"/>
      <c r="B135" s="17">
        <v>131</v>
      </c>
      <c r="C135" s="2" t="b">
        <f ca="1">IFERROR(__xludf.DUMMYFUNCTION("""COMPUTED_VALUE"""),FALSE)</f>
        <v>0</v>
      </c>
      <c r="D135" s="2">
        <f ca="1">IFERROR(__xludf.DUMMYFUNCTION("""COMPUTED_VALUE"""),400)</f>
        <v>400</v>
      </c>
      <c r="E135" s="2" t="str">
        <f ca="1">IFERROR(__xludf.DUMMYFUNCTION("""COMPUTED_VALUE"""),"Out of Order")</f>
        <v>Out of Order</v>
      </c>
      <c r="F135" s="2" t="str">
        <f ca="1">IFERROR(__xludf.DUMMYFUNCTION("""COMPUTED_VALUE"""),"Boku To Nottori Nakademia")</f>
        <v>Boku To Nottori Nakademia</v>
      </c>
      <c r="G135" s="2" t="str">
        <f ca="1">IFERROR(__xludf.DUMMYFUNCTION("""COMPUTED_VALUE"""),"Seduction")</f>
        <v>Seduction</v>
      </c>
      <c r="H135" s="2" t="str">
        <f ca="1">IFERROR(__xludf.DUMMYFUNCTION("""COMPUTED_VALUE"""),"Want your rendezvous to go uninterrupted? This handy sign adapts to the entry-way you place it at and has a powerful effect on people who see it. Only someone with a strong and present need to enter will be able to muster the will to cross that line, givi"&amp;"ng you some much-needed privacy.")</f>
        <v>Want your rendezvous to go uninterrupted? This handy sign adapts to the entry-way you place it at and has a powerful effect on people who see it. Only someone with a strong and present need to enter will be able to muster the will to cross that line, giving you some much-needed privacy.</v>
      </c>
      <c r="I135" s="5"/>
    </row>
    <row r="136" spans="1:10" ht="69.599999999999994" x14ac:dyDescent="0.25">
      <c r="A136" s="16"/>
      <c r="B136" s="17">
        <v>132</v>
      </c>
      <c r="C136" s="2" t="b">
        <f ca="1">IFERROR(__xludf.DUMMYFUNCTION("""COMPUTED_VALUE"""),FALSE)</f>
        <v>0</v>
      </c>
      <c r="D136" s="2">
        <f ca="1">IFERROR(__xludf.DUMMYFUNCTION("""COMPUTED_VALUE"""),400)</f>
        <v>400</v>
      </c>
      <c r="E136" s="2" t="str">
        <f ca="1">IFERROR(__xludf.DUMMYFUNCTION("""COMPUTED_VALUE"""),"Right in the Sweet Spot")</f>
        <v>Right in the Sweet Spot</v>
      </c>
      <c r="F136" s="2" t="str">
        <f ca="1">IFERROR(__xludf.DUMMYFUNCTION("""COMPUTED_VALUE"""),"Generic: Virgin")</f>
        <v>Generic: Virgin</v>
      </c>
      <c r="G136" s="2" t="str">
        <f ca="1">IFERROR(__xludf.DUMMYFUNCTION("""COMPUTED_VALUE"""),"Seduction")</f>
        <v>Seduction</v>
      </c>
      <c r="H136" s="2" t="str">
        <f ca="1">IFERROR(__xludf.DUMMYFUNCTION("""COMPUTED_VALUE"""),"One of the advantages of not really being available is that you present a kind of mystique of untouchability. You fit that to a tee, and people will find that your sexual / romantic neutrality makes you all so much more attractive. You now can fit into al"&amp;"most anyone’s strike zone, even if they’re a completely different species, if you show even the slightest hint of reciprocation.")</f>
        <v>One of the advantages of not really being available is that you present a kind of mystique of untouchability. You fit that to a tee, and people will find that your sexual / romantic neutrality makes you all so much more attractive. You now can fit into almost anyone’s strike zone, even if they’re a completely different species, if you show even the slightest hint of reciprocation.</v>
      </c>
      <c r="I136" s="5"/>
    </row>
    <row r="137" spans="1:10" ht="191.4" x14ac:dyDescent="0.25">
      <c r="A137" s="16"/>
      <c r="B137" s="17">
        <v>133</v>
      </c>
      <c r="C137" s="2" t="b">
        <f ca="1">IFERROR(__xludf.DUMMYFUNCTION("""COMPUTED_VALUE"""),FALSE)</f>
        <v>0</v>
      </c>
      <c r="D137" s="2">
        <f ca="1">IFERROR(__xludf.DUMMYFUNCTION("""COMPUTED_VALUE"""),400)</f>
        <v>400</v>
      </c>
      <c r="E137" s="2" t="str">
        <f ca="1">IFERROR(__xludf.DUMMYFUNCTION("""COMPUTED_VALUE"""),"The 'Bad' End")</f>
        <v>The 'Bad' End</v>
      </c>
      <c r="F137" s="2" t="str">
        <f ca="1">IFERROR(__xludf.DUMMYFUNCTION("""COMPUTED_VALUE"""),"Generic: Monster Fucker/Horny Horror")</f>
        <v>Generic: Monster Fucker/Horny Horror</v>
      </c>
      <c r="G137" s="2" t="str">
        <f ca="1">IFERROR(__xludf.DUMMYFUNCTION("""COMPUTED_VALUE"""),"Seduction")</f>
        <v>Seduction</v>
      </c>
      <c r="H137" s="2" t="str">
        <f ca="1">IFERROR(__xludf.DUMMYFUNCTION("""COMPUTED_VALUE"""),"Oh boy you’ve gone and done it now. You ran, you hid, you stalled as best you could, but the big bad monster has got your cornered. While you might ordinarily meet an untimely end, you’d rather just be screwed. 
Fear no longer, for monstrous enemies now "&amp;"want you; like, carnally though. This starts small, but the longer they pursue you the more it will build. Passing interest, vague horniness, genuine desire, all the way up into need. 
Once fully realized they’d really rather not kill you, or even seriou"&amp;"sly injure you if it can at all be helped. While you will have escaped the clutch of death, you’re unlikely to escape the clutches of your new captor, at least not for a week or two.")</f>
        <v>Oh boy you’ve gone and done it now. You ran, you hid, you stalled as best you could, but the big bad monster has got your cornered. While you might ordinarily meet an untimely end, you’d rather just be screwed. 
Fear no longer, for monstrous enemies now want you; like, carnally though. This starts small, but the longer they pursue you the more it will build. Passing interest, vague horniness, genuine desire, all the way up into need. 
Once fully realized they’d really rather not kill you, or even seriously injure you if it can at all be helped. While you will have escaped the clutch of death, you’re unlikely to escape the clutches of your new captor, at least not for a week or two.</v>
      </c>
      <c r="I137" s="5"/>
    </row>
    <row r="138" spans="1:10" ht="191.4" x14ac:dyDescent="0.25">
      <c r="A138" s="16"/>
      <c r="B138" s="17">
        <v>134</v>
      </c>
      <c r="C138" s="2" t="b">
        <f ca="1">IFERROR(__xludf.DUMMYFUNCTION("""COMPUTED_VALUE"""),FALSE)</f>
        <v>0</v>
      </c>
      <c r="D138" s="2">
        <f ca="1">IFERROR(__xludf.DUMMYFUNCTION("""COMPUTED_VALUE"""),400)</f>
        <v>400</v>
      </c>
      <c r="E138" s="2" t="str">
        <f ca="1">IFERROR(__xludf.DUMMYFUNCTION("""COMPUTED_VALUE"""),"The Dragon Lover")</f>
        <v>The Dragon Lover</v>
      </c>
      <c r="F138" s="2" t="str">
        <f ca="1">IFERROR(__xludf.DUMMYFUNCTION("""COMPUTED_VALUE"""),"Generic: Monster Fucker/Horny Horror")</f>
        <v>Generic: Monster Fucker/Horny Horror</v>
      </c>
      <c r="G138" s="2" t="str">
        <f ca="1">IFERROR(__xludf.DUMMYFUNCTION("""COMPUTED_VALUE"""),"Seduction")</f>
        <v>Seduction</v>
      </c>
      <c r="H138" s="2" t="str">
        <f ca="1">IFERROR(__xludf.DUMMYFUNCTION("""COMPUTED_VALUE"""),"""Brave soul, you have been tasked with besting a most terrible and mighty enemy of the kingdom. Please, take up your sword and put them down for good... What do you mean you have other plans?""
You have a most curious power to resolve conflict through a"&amp;"lternative means. Should you bed the enemy, things just sorta work out. The tension is diffused, the fighting is over, everyone can pack up and go home. 
So a pack of mutants are trying to accost you and some campers, or your king has sent you to slay a "&amp;"dragon. Doesn’t matter, people will get over it. No one has to like it, but somehow they just trust that you know what you’re doing here. ")</f>
        <v xml:space="preserve">"Brave soul, you have been tasked with besting a most terrible and mighty enemy of the kingdom. Please, take up your sword and put them down for good... What do you mean you have other plans?"
You have a most curious power to resolve conflict through alternative means. Should you bed the enemy, things just sorta work out. The tension is diffused, the fighting is over, everyone can pack up and go home. 
So a pack of mutants are trying to accost you and some campers, or your king has sent you to slay a dragon. Doesn’t matter, people will get over it. No one has to like it, but somehow they just trust that you know what you’re doing here. </v>
      </c>
      <c r="I138" s="5"/>
    </row>
    <row r="139" spans="1:10" ht="104.4" x14ac:dyDescent="0.25">
      <c r="A139" s="16"/>
      <c r="B139" s="17">
        <v>135</v>
      </c>
      <c r="C139" s="2" t="b">
        <f ca="1">IFERROR(__xludf.DUMMYFUNCTION("""COMPUTED_VALUE"""),FALSE)</f>
        <v>0</v>
      </c>
      <c r="D139" s="2">
        <f ca="1">IFERROR(__xludf.DUMMYFUNCTION("""COMPUTED_VALUE"""),400)</f>
        <v>400</v>
      </c>
      <c r="E139" s="2" t="str">
        <f ca="1">IFERROR(__xludf.DUMMYFUNCTION("""COMPUTED_VALUE"""),"The Hero of Her Story")</f>
        <v>The Hero of Her Story</v>
      </c>
      <c r="F139" s="2" t="str">
        <f ca="1">IFERROR(__xludf.DUMMYFUNCTION("""COMPUTED_VALUE"""),"Shunned by the Village")</f>
        <v>Shunned by the Village</v>
      </c>
      <c r="G139" s="2" t="str">
        <f ca="1">IFERROR(__xludf.DUMMYFUNCTION("""COMPUTED_VALUE"""),"Seduction")</f>
        <v>Seduction</v>
      </c>
      <c r="H139" s="2" t="str">
        <f ca="1">IFERROR(__xludf.DUMMYFUNCTION("""COMPUTED_VALUE"""),"Pleasure and desire give birth to one another. One feels desire, and satisfies that need with pleasure; one observes the pleasures of others, and is filled with desire. The pleasure you bring others is guaranteed to excite yearning in the hearts of those "&amp;"who observe it—and not generic lust, but desire specifically for you. It doesn’t matter if the pleasure is something someone willingly accepts or if it is inflicted onto them. Were a teacher to watch you rape her students one after the other, she would st"&amp;"art to ache with yearning for her turn to finally come.")</f>
        <v>Pleasure and desire give birth to one another. One feels desire, and satisfies that need with pleasure; one observes the pleasures of others, and is filled with desire. The pleasure you bring others is guaranteed to excite yearning in the hearts of those who observe it—and not generic lust, but desire specifically for you. It doesn’t matter if the pleasure is something someone willingly accepts or if it is inflicted onto them. Were a teacher to watch you rape her students one after the other, she would start to ache with yearning for her turn to finally come.</v>
      </c>
      <c r="I139" s="5"/>
    </row>
    <row r="140" spans="1:10" ht="87" x14ac:dyDescent="0.25">
      <c r="A140" s="16"/>
      <c r="B140" s="17">
        <v>136</v>
      </c>
      <c r="C140" s="2" t="b">
        <f ca="1">IFERROR(__xludf.DUMMYFUNCTION("""COMPUTED_VALUE"""),FALSE)</f>
        <v>0</v>
      </c>
      <c r="D140" s="2">
        <f ca="1">IFERROR(__xludf.DUMMYFUNCTION("""COMPUTED_VALUE"""),400)</f>
        <v>400</v>
      </c>
      <c r="E140" s="2" t="str">
        <f ca="1">IFERROR(__xludf.DUMMYFUNCTION("""COMPUTED_VALUE"""),"Tokens of Affection")</f>
        <v>Tokens of Affection</v>
      </c>
      <c r="F140" s="2" t="str">
        <f ca="1">IFERROR(__xludf.DUMMYFUNCTION("""COMPUTED_VALUE"""),"Dragon Princess Is Hungry")</f>
        <v>Dragon Princess Is Hungry</v>
      </c>
      <c r="G140" s="2" t="str">
        <f ca="1">IFERROR(__xludf.DUMMYFUNCTION("""COMPUTED_VALUE"""),"Seduction")</f>
        <v>Seduction</v>
      </c>
      <c r="H140" s="2" t="str">
        <f ca="1">IFERROR(__xludf.DUMMYFUNCTION("""COMPUTED_VALUE"""),"Well look who’s Mr. Popular. Whether it's due to your charming personality or just because they want to get in your pants, people have a habit of showering you with gifts whenever you manage to impress them. This can be anything from currency, to food and"&amp;" ingredients to even powerful weapons and tools. Maybe you should pay them back for all the help they’re giving you? I can think of one way that’s sure to make them happy...")</f>
        <v>Well look who’s Mr. Popular. Whether it's due to your charming personality or just because they want to get in your pants, people have a habit of showering you with gifts whenever you manage to impress them. This can be anything from currency, to food and ingredients to even powerful weapons and tools. Maybe you should pay them back for all the help they’re giving you? I can think of one way that’s sure to make them happy...</v>
      </c>
      <c r="I140" s="5"/>
    </row>
    <row r="141" spans="1:10" ht="87" x14ac:dyDescent="0.25">
      <c r="A141" s="16"/>
      <c r="B141" s="17">
        <v>137</v>
      </c>
      <c r="C141" s="2" t="b">
        <f ca="1">IFERROR(__xludf.DUMMYFUNCTION("""COMPUTED_VALUE"""),FALSE)</f>
        <v>0</v>
      </c>
      <c r="D141" s="2">
        <f ca="1">IFERROR(__xludf.DUMMYFUNCTION("""COMPUTED_VALUE"""),500)</f>
        <v>500</v>
      </c>
      <c r="E141" s="2" t="str">
        <f ca="1">IFERROR(__xludf.DUMMYFUNCTION("""COMPUTED_VALUE"""),"Just Rewards")</f>
        <v>Just Rewards</v>
      </c>
      <c r="F141" s="2" t="str">
        <f ca="1">IFERROR(__xludf.DUMMYFUNCTION("""COMPUTED_VALUE"""),"Nyakumi")</f>
        <v>Nyakumi</v>
      </c>
      <c r="G141" s="2" t="str">
        <f ca="1">IFERROR(__xludf.DUMMYFUNCTION("""COMPUTED_VALUE"""),"Seduction")</f>
        <v>Seduction</v>
      </c>
      <c r="H141" s="2" t="str">
        <f ca="1">IFERROR(__xludf.DUMMYFUNCTION("""COMPUTED_VALUE"""),"FTF and Nyakuza members are often given all kinds of rewards by grateful girls. When you do something for someone, you are far more likely to be rewarded, be it in cash, gifts, or something more lewd. The bigger the task you completed, to them if not to y"&amp;"ou, the bigger the potential reward. There is no limit to this, so if you just saved the entire galaxy, you very well might receive a galactic-level reward.")</f>
        <v>FTF and Nyakuza members are often given all kinds of rewards by grateful girls. When you do something for someone, you are far more likely to be rewarded, be it in cash, gifts, or something more lewd. The bigger the task you completed, to them if not to you, the bigger the potential reward. There is no limit to this, so if you just saved the entire galaxy, you very well might receive a galactic-level reward.</v>
      </c>
      <c r="I141" s="5"/>
    </row>
    <row r="142" spans="1:10" ht="191.4" x14ac:dyDescent="0.25">
      <c r="A142" s="16"/>
      <c r="B142" s="17">
        <v>138</v>
      </c>
      <c r="C142" s="2" t="b">
        <f ca="1">IFERROR(__xludf.DUMMYFUNCTION("""COMPUTED_VALUE"""),FALSE)</f>
        <v>0</v>
      </c>
      <c r="D142" s="2">
        <f ca="1">IFERROR(__xludf.DUMMYFUNCTION("""COMPUTED_VALUE"""),500)</f>
        <v>500</v>
      </c>
      <c r="E142" s="2" t="str">
        <f ca="1">IFERROR(__xludf.DUMMYFUNCTION("""COMPUTED_VALUE"""),"Love Slaves")</f>
        <v>Love Slaves</v>
      </c>
      <c r="F142" s="2" t="str">
        <f ca="1">IFERROR(__xludf.DUMMYFUNCTION("""COMPUTED_VALUE"""),"Generic: Hentai World")</f>
        <v>Generic: Hentai World</v>
      </c>
      <c r="G142" s="2" t="str">
        <f ca="1">IFERROR(__xludf.DUMMYFUNCTION("""COMPUTED_VALUE"""),"Seduction")</f>
        <v>Seduction</v>
      </c>
      <c r="H142" s="2" t="str">
        <f ca="1">IFERROR(__xludf.DUMMYFUNCTION("""COMPUTED_VALUE"""),"Though his methods are... unconventional compared to the Romantic or the Harem Protagonist, at the end of the day a Scoundrel’s ultimate goal is still winning his love interest’s heart. But the heart can be tamed and dominated just like the body, and by d"&amp;"oing so you can bind your partners to your side in chains of unconditional love and submissive lust. Love and dominance are now two sides of the same coin for you: when you exert dominance over a person you can choose to train them to fall in love with yo"&amp;"u as well, and those who already love you can be easily taught the pleasure of submission. This process is gradual and does not work on those who have no positive feelings for you at all, but as long as the tsundere is at least a little bit -dere for you "&amp;"then you can bring her to her knees and make her admit her true feelings for you. Even those who are naturally dominant can be made to fall for you with time and effort, though they will take considerably more effort to seduce than those who are naturally"&amp;" submissive.")</f>
        <v>Though his methods are... unconventional compared to the Romantic or the Harem Protagonist, at the end of the day a Scoundrel’s ultimate goal is still winning his love interest’s heart. But the heart can be tamed and dominated just like the body, and by doing so you can bind your partners to your side in chains of unconditional love and submissive lust. Love and dominance are now two sides of the same coin for you: when you exert dominance over a person you can choose to train them to fall in love with you as well, and those who already love you can be easily taught the pleasure of submission. This process is gradual and does not work on those who have no positive feelings for you at all, but as long as the tsundere is at least a little bit -dere for you then you can bring her to her knees and make her admit her true feelings for you. Even those who are naturally dominant can be made to fall for you with time and effort, though they will take considerably more effort to seduce than those who are naturally submissive.</v>
      </c>
      <c r="I142" s="5"/>
    </row>
    <row r="143" spans="1:10" ht="87" x14ac:dyDescent="0.25">
      <c r="A143" s="16"/>
      <c r="B143" s="17">
        <v>139</v>
      </c>
      <c r="C143" s="2" t="b">
        <f ca="1">IFERROR(__xludf.DUMMYFUNCTION("""COMPUTED_VALUE"""),FALSE)</f>
        <v>0</v>
      </c>
      <c r="D143" s="2">
        <f ca="1">IFERROR(__xludf.DUMMYFUNCTION("""COMPUTED_VALUE"""),500)</f>
        <v>500</v>
      </c>
      <c r="E143" s="2" t="str">
        <f ca="1">IFERROR(__xludf.DUMMYFUNCTION("""COMPUTED_VALUE"""),"The Pleasure is All Mine")</f>
        <v>The Pleasure is All Mine</v>
      </c>
      <c r="F143" s="2" t="str">
        <f ca="1">IFERROR(__xludf.DUMMYFUNCTION("""COMPUTED_VALUE"""),"Legend Of Krystal")</f>
        <v>Legend Of Krystal</v>
      </c>
      <c r="G143" s="2" t="str">
        <f ca="1">IFERROR(__xludf.DUMMYFUNCTION("""COMPUTED_VALUE"""),"Seduction")</f>
        <v>Seduction</v>
      </c>
      <c r="H143" s="2" t="str">
        <f ca="1">IFERROR(__xludf.DUMMYFUNCTION("""COMPUTED_VALUE"""),"Pleasure is a funny thing when it comes to you. Pleasuring your partner gives you even more pleasure in return, almost three times as much in fact. To pleasure another is to pleasure yourself, and oh boy you’re good at bringing pleasure to others. You cou"&amp;"ld cum just from giving a blowjob, or watching someone jerk off in your face until they drench you in cum. It doesn’t matter how you make them feel good, your body will feel it, and thank you for it.")</f>
        <v>Pleasure is a funny thing when it comes to you. Pleasuring your partner gives you even more pleasure in return, almost three times as much in fact. To pleasure another is to pleasure yourself, and oh boy you’re good at bringing pleasure to others. You could cum just from giving a blowjob, or watching someone jerk off in your face until they drench you in cum. It doesn’t matter how you make them feel good, your body will feel it, and thank you for it.</v>
      </c>
      <c r="I143" s="5"/>
    </row>
    <row r="144" spans="1:10" ht="104.4" x14ac:dyDescent="0.25">
      <c r="A144" s="16"/>
      <c r="B144" s="17">
        <v>140</v>
      </c>
      <c r="C144" s="2" t="b">
        <f ca="1">IFERROR(__xludf.DUMMYFUNCTION("""COMPUTED_VALUE"""),FALSE)</f>
        <v>0</v>
      </c>
      <c r="D144" s="2">
        <f ca="1">IFERROR(__xludf.DUMMYFUNCTION("""COMPUTED_VALUE"""),500)</f>
        <v>500</v>
      </c>
      <c r="E144" s="2" t="str">
        <f ca="1">IFERROR(__xludf.DUMMYFUNCTION("""COMPUTED_VALUE"""),"What are we Gonna do on the Bed?")</f>
        <v>What are we Gonna do on the Bed?</v>
      </c>
      <c r="F144" s="2" t="str">
        <f ca="1">IFERROR(__xludf.DUMMYFUNCTION("""COMPUTED_VALUE"""),"Generic: Incest")</f>
        <v>Generic: Incest</v>
      </c>
      <c r="G144" s="2" t="str">
        <f ca="1">IFERROR(__xludf.DUMMYFUNCTION("""COMPUTED_VALUE"""),"Seduction")</f>
        <v>Seduction</v>
      </c>
      <c r="H144" s="2" t="str">
        <f ca="1">IFERROR(__xludf.DUMMYFUNCTION("""COMPUTED_VALUE"""),"Around you, people just can’t help themselves. When you’re attracted to someone, they will find themselves increasingly attracted to you in a complementary fashion, meaning that if you want someone to sweep you off your feet they’ll catch themselves fanta"&amp;"sizing about doing just that, while if you imagine a more dominant fantasy, they’ll crave submitting to you. This doesn’t work on people who are actively hostile to you, but even people who actively dislike you will find themselves struggling to maintain "&amp;"that feeling if you genuinely do feel attracted to them.")</f>
        <v>Around you, people just can’t help themselves. When you’re attracted to someone, they will find themselves increasingly attracted to you in a complementary fashion, meaning that if you want someone to sweep you off your feet they’ll catch themselves fantasizing about doing just that, while if you imagine a more dominant fantasy, they’ll crave submitting to you. This doesn’t work on people who are actively hostile to you, but even people who actively dislike you will find themselves struggling to maintain that feeling if you genuinely do feel attracted to them.</v>
      </c>
      <c r="I144" s="5"/>
    </row>
    <row r="145" spans="1:9" ht="139.19999999999999" x14ac:dyDescent="0.25">
      <c r="A145" s="16"/>
      <c r="B145" s="17">
        <v>141</v>
      </c>
      <c r="C145" s="2" t="b">
        <f ca="1">IFERROR(__xludf.DUMMYFUNCTION("""COMPUTED_VALUE"""),FALSE)</f>
        <v>0</v>
      </c>
      <c r="D145" s="2">
        <f ca="1">IFERROR(__xludf.DUMMYFUNCTION("""COMPUTED_VALUE"""),600)</f>
        <v>600</v>
      </c>
      <c r="E145" s="2" t="str">
        <f ca="1">IFERROR(__xludf.DUMMYFUNCTION("""COMPUTED_VALUE"""),"Contact List")</f>
        <v>Contact List</v>
      </c>
      <c r="F145" s="2" t="str">
        <f ca="1">IFERROR(__xludf.DUMMYFUNCTION("""COMPUTED_VALUE"""),"Bokunchi No Mikage-san")</f>
        <v>Bokunchi No Mikage-san</v>
      </c>
      <c r="G145" s="2" t="str">
        <f ca="1">IFERROR(__xludf.DUMMYFUNCTION("""COMPUTED_VALUE"""),"Seduction")</f>
        <v>Seduction</v>
      </c>
      <c r="H145" s="2" t="str">
        <f ca="1">IFERROR(__xludf.DUMMYFUNCTION("""COMPUTED_VALUE"""),"Like Jougasaki-sensei, you have contacts in all levels of society. You meet new people and make acquaintances with ludicrous ease, and are easily able to push those acquaintances into actual friendships. In just a month after entering a world, you’ll know"&amp;" people from all walks of life, and would easily be able to arrange an internship or job offer for just about any profession a student could be interested in—and if you didn’t know someone who’d be able and willing, then you’d know someone who knows someo"&amp;"ne who would be. This contact list is more effective when you’re trying to use it for someone else’s sake, but even for your own personal matters, you’re effectively guaranteed to know a person able to help with whatever problems you may have.")</f>
        <v>Like Jougasaki-sensei, you have contacts in all levels of society. You meet new people and make acquaintances with ludicrous ease, and are easily able to push those acquaintances into actual friendships. In just a month after entering a world, you’ll know people from all walks of life, and would easily be able to arrange an internship or job offer for just about any profession a student could be interested in—and if you didn’t know someone who’d be able and willing, then you’d know someone who knows someone who would be. This contact list is more effective when you’re trying to use it for someone else’s sake, but even for your own personal matters, you’re effectively guaranteed to know a person able to help with whatever problems you may have.</v>
      </c>
      <c r="I145" s="5"/>
    </row>
    <row r="146" spans="1:9" ht="104.4" x14ac:dyDescent="0.25">
      <c r="A146" s="16"/>
      <c r="B146" s="17">
        <v>142</v>
      </c>
      <c r="C146" s="2" t="b">
        <f ca="1">IFERROR(__xludf.DUMMYFUNCTION("""COMPUTED_VALUE"""),FALSE)</f>
        <v>0</v>
      </c>
      <c r="D146" s="2">
        <f ca="1">IFERROR(__xludf.DUMMYFUNCTION("""COMPUTED_VALUE"""),600)</f>
        <v>600</v>
      </c>
      <c r="E146" s="2" t="str">
        <f ca="1">IFERROR(__xludf.DUMMYFUNCTION("""COMPUTED_VALUE"""),"Deity's Beloved")</f>
        <v>Deity's Beloved</v>
      </c>
      <c r="F146" s="2" t="str">
        <f ca="1">IFERROR(__xludf.DUMMYFUNCTION("""COMPUTED_VALUE"""),"Ambrosia")</f>
        <v>Ambrosia</v>
      </c>
      <c r="G146" s="2" t="str">
        <f ca="1">IFERROR(__xludf.DUMMYFUNCTION("""COMPUTED_VALUE"""),"Seduction")</f>
        <v>Seduction</v>
      </c>
      <c r="H146" s="2" t="str">
        <f ca="1">IFERROR(__xludf.DUMMYFUNCTION("""COMPUTED_VALUE"""),"I don’t know if you’ve noticed this but there’s something about you that’s like catnip to the divine. In the past, you might have had entire holy wars started in an attempt to claim you but even in such ungodly times as these you’ll find those that remain"&amp;" looking on you with great favor. As long as you don’t do anything that they actively disapprove of, you’ll find that deities are willing to grant you minor boons and favors and if you actively work to further your relationship their gifts will only grow "&amp;"in size and scope from there.")</f>
        <v>I don’t know if you’ve noticed this but there’s something about you that’s like catnip to the divine. In the past, you might have had entire holy wars started in an attempt to claim you but even in such ungodly times as these you’ll find those that remain looking on you with great favor. As long as you don’t do anything that they actively disapprove of, you’ll find that deities are willing to grant you minor boons and favors and if you actively work to further your relationship their gifts will only grow in size and scope from there.</v>
      </c>
      <c r="I146" s="5"/>
    </row>
    <row r="147" spans="1:9" ht="87" x14ac:dyDescent="0.25">
      <c r="A147" s="16"/>
      <c r="B147" s="17">
        <v>143</v>
      </c>
      <c r="C147" s="2" t="b">
        <f ca="1">IFERROR(__xludf.DUMMYFUNCTION("""COMPUTED_VALUE"""),FALSE)</f>
        <v>0</v>
      </c>
      <c r="D147" s="2">
        <f ca="1">IFERROR(__xludf.DUMMYFUNCTION("""COMPUTED_VALUE"""),600)</f>
        <v>600</v>
      </c>
      <c r="E147" s="2" t="str">
        <f ca="1">IFERROR(__xludf.DUMMYFUNCTION("""COMPUTED_VALUE"""),"Have you Heard the Rumours?")</f>
        <v>Have you Heard the Rumours?</v>
      </c>
      <c r="F147" s="2" t="str">
        <f ca="1">IFERROR(__xludf.DUMMYFUNCTION("""COMPUTED_VALUE"""),"Generic: Hentai Modern")</f>
        <v>Generic: Hentai Modern</v>
      </c>
      <c r="G147" s="2" t="str">
        <f ca="1">IFERROR(__xludf.DUMMYFUNCTION("""COMPUTED_VALUE"""),"Seduction")</f>
        <v>Seduction</v>
      </c>
      <c r="H147" s="2" t="str">
        <f ca="1">IFERROR(__xludf.DUMMYFUNCTION("""COMPUTED_VALUE"""),"There’s a rumor going round, about some girl out behind the gym after dark. And there’s another about the swim team and their coach. Both of these are blatantly untrue, but whens that ever stopped you? Once you start a rumor, the more it spreads, the more"&amp;" likely it is to come true. You might need to do a little work to get there. While you can say that the cheer squad is going to hold an orgy at your house, it won't happen unless you have an excuse for them to be at your house.")</f>
        <v>There’s a rumor going round, about some girl out behind the gym after dark. And there’s another about the swim team and their coach. Both of these are blatantly untrue, but whens that ever stopped you? Once you start a rumor, the more it spreads, the more likely it is to come true. You might need to do a little work to get there. While you can say that the cheer squad is going to hold an orgy at your house, it won't happen unless you have an excuse for them to be at your house.</v>
      </c>
      <c r="I147" s="5"/>
    </row>
    <row r="148" spans="1:9" ht="104.4" x14ac:dyDescent="0.25">
      <c r="A148" s="16"/>
      <c r="B148" s="17">
        <v>144</v>
      </c>
      <c r="C148" s="2" t="b">
        <f ca="1">IFERROR(__xludf.DUMMYFUNCTION("""COMPUTED_VALUE"""),FALSE)</f>
        <v>0</v>
      </c>
      <c r="D148" s="2">
        <f ca="1">IFERROR(__xludf.DUMMYFUNCTION("""COMPUTED_VALUE"""),600)</f>
        <v>600</v>
      </c>
      <c r="E148" s="2" t="str">
        <f ca="1">IFERROR(__xludf.DUMMYFUNCTION("""COMPUTED_VALUE"""),"Hunter of the Heart")</f>
        <v>Hunter of the Heart</v>
      </c>
      <c r="F148" s="2" t="str">
        <f ca="1">IFERROR(__xludf.DUMMYFUNCTION("""COMPUTED_VALUE"""),"Destiny: Fuck the Darkness")</f>
        <v>Destiny: Fuck the Darkness</v>
      </c>
      <c r="G148" s="2" t="str">
        <f ca="1">IFERROR(__xludf.DUMMYFUNCTION("""COMPUTED_VALUE"""),"Seduction")</f>
        <v>Seduction</v>
      </c>
      <c r="H148" s="2" t="str">
        <f ca="1">IFERROR(__xludf.DUMMYFUNCTION("""COMPUTED_VALUE"""),"Hunters are nomads, here today and off across the system the next. Now, while normally this kind of distance would make relationships and seduction harder, for you it’s the opposite. Lay them once and vanish. Instead of moving on to the next willing lay, "&amp;"you’re target will just get hotter and more bothered the longer you abstain, wanting you specifically. Coming back together after an extended absence will only make the release more intense. Do this a couple times and even the coldest of hearts would be b"&amp;"egging to be yours forever.")</f>
        <v>Hunters are nomads, here today and off across the system the next. Now, while normally this kind of distance would make relationships and seduction harder, for you it’s the opposite. Lay them once and vanish. Instead of moving on to the next willing lay, you’re target will just get hotter and more bothered the longer you abstain, wanting you specifically. Coming back together after an extended absence will only make the release more intense. Do this a couple times and even the coldest of hearts would be begging to be yours forever.</v>
      </c>
      <c r="I148" s="5"/>
    </row>
    <row r="149" spans="1:9" ht="208.8" x14ac:dyDescent="0.25">
      <c r="A149" s="16"/>
      <c r="B149" s="17">
        <v>145</v>
      </c>
      <c r="C149" s="2" t="b">
        <f ca="1">IFERROR(__xludf.DUMMYFUNCTION("""COMPUTED_VALUE"""),FALSE)</f>
        <v>0</v>
      </c>
      <c r="D149" s="2">
        <f ca="1">IFERROR(__xludf.DUMMYFUNCTION("""COMPUTED_VALUE"""),600)</f>
        <v>600</v>
      </c>
      <c r="E149" s="2" t="str">
        <f ca="1">IFERROR(__xludf.DUMMYFUNCTION("""COMPUTED_VALUE"""),"Love 'em and Keep 'em")</f>
        <v>Love 'em and Keep 'em</v>
      </c>
      <c r="F149" s="2" t="str">
        <f ca="1">IFERROR(__xludf.DUMMYFUNCTION("""COMPUTED_VALUE"""),"Angel Academy ~ Hardcore Dorm Sex Life")</f>
        <v>Angel Academy ~ Hardcore Dorm Sex Life</v>
      </c>
      <c r="G149" s="2" t="str">
        <f ca="1">IFERROR(__xludf.DUMMYFUNCTION("""COMPUTED_VALUE"""),"Seduction")</f>
        <v>Seduction</v>
      </c>
      <c r="H149" s="2" t="str">
        <f ca="1">IFERROR(__xludf.DUMMYFUNCTION("""COMPUTED_VALUE"""),"Training a woman’s body is quite the accomplishment, but conquering an angel’s heart is an achievement even for the greatest casanova. You are blessed with such charm and charisma that your naysayers may even call you an enemy of all women, or at least th"&amp;"ey will until they’ve fallen for you too. Love and lust are so closely intertwined for you that you can inspire feelings of love in any of your sexual conquests, using pleasure as the kindling to ignite a flame of passion. The more time that you spend tam"&amp;"ing your partner’s body the more you’ll nurture that flame, feeding it until eventually it burns uncontrollably for you. Even those who hated you at first could be swayed into falling for you given enough time and effort, but those who were already compat"&amp;"ible with you for less carnal reasons will fall for your charms especially quickly. You’ll also find that your new lovers tend to be highly tolerant of your lecherous ways with other partners. With this level of charm you’re certain to live out the rest o"&amp;"f your days surrounded by vast harems of adoring concubines so long as you don’t abuse or neglect them.")</f>
        <v>Training a woman’s body is quite the accomplishment, but conquering an angel’s heart is an achievement even for the greatest casanova. You are blessed with such charm and charisma that your naysayers may even call you an enemy of all women, or at least they will until they’ve fallen for you too. Love and lust are so closely intertwined for you that you can inspire feelings of love in any of your sexual conquests, using pleasure as the kindling to ignite a flame of passion. The more time that you spend taming your partner’s body the more you’ll nurture that flame, feeding it until eventually it burns uncontrollably for you. Even those who hated you at first could be swayed into falling for you given enough time and effort, but those who were already compatible with you for less carnal reasons will fall for your charms especially quickly. You’ll also find that your new lovers tend to be highly tolerant of your lecherous ways with other partners. With this level of charm you’re certain to live out the rest of your days surrounded by vast harems of adoring concubines so long as you don’t abuse or neglect them.</v>
      </c>
      <c r="I149" s="5"/>
    </row>
    <row r="150" spans="1:9" ht="191.4" x14ac:dyDescent="0.25">
      <c r="A150" s="16"/>
      <c r="B150" s="17">
        <v>146</v>
      </c>
      <c r="C150" s="2" t="b">
        <f ca="1">IFERROR(__xludf.DUMMYFUNCTION("""COMPUTED_VALUE"""),FALSE)</f>
        <v>0</v>
      </c>
      <c r="D150" s="2">
        <f ca="1">IFERROR(__xludf.DUMMYFUNCTION("""COMPUTED_VALUE"""),600)</f>
        <v>600</v>
      </c>
      <c r="E150" s="2" t="str">
        <f ca="1">IFERROR(__xludf.DUMMYFUNCTION("""COMPUTED_VALUE"""),"Miss Monster")</f>
        <v>Miss Monster</v>
      </c>
      <c r="F150" s="2" t="str">
        <f ca="1">IFERROR(__xludf.DUMMYFUNCTION("""COMPUTED_VALUE"""),"Victim Girls (Rose Edition)")</f>
        <v>Victim Girls (Rose Edition)</v>
      </c>
      <c r="G150" s="2" t="str">
        <f ca="1">IFERROR(__xludf.DUMMYFUNCTION("""COMPUTED_VALUE"""),"Seduction")</f>
        <v>Seduction</v>
      </c>
      <c r="H150" s="2" t="str">
        <f ca="1">IFERROR(__xludf.DUMMYFUNCTION("""COMPUTED_VALUE"""),"Way beyond all these ordinary predators are the proper monsters, the sort that don’t just seek to use soft, plushy girls for fun but eat and slaughter humans outright. Proper hunting beasts, malevolent demons and brutal horrors from beneath the sea, yet t"&amp;"hey one and all seem rather taken with you. Instead of being used as prey or sport for these creatures, you’ll often find that they care much more about capturing and keeping you alive, safe and even somewhat happy. Sometimes this might be to breed more o"&amp;"f their kind with you, as you somehow have the capability to safely, quickly and effectively mate with any species now, and sometimes it’s to make you one of them, changing your body and more to become more monstrous, without losing those charming humanoi"&amp;"d body parts or much of your mind. Either way, you’ll find yourself protected by monsters when you’d normally be hunted by them, though you could still be harmed in the crossfire of two competing beasts striving for your loyalty.")</f>
        <v>Way beyond all these ordinary predators are the proper monsters, the sort that don’t just seek to use soft, plushy girls for fun but eat and slaughter humans outright. Proper hunting beasts, malevolent demons and brutal horrors from beneath the sea, yet they one and all seem rather taken with you. Instead of being used as prey or sport for these creatures, you’ll often find that they care much more about capturing and keeping you alive, safe and even somewhat happy. Sometimes this might be to breed more of their kind with you, as you somehow have the capability to safely, quickly and effectively mate with any species now, and sometimes it’s to make you one of them, changing your body and more to become more monstrous, without losing those charming humanoid body parts or much of your mind. Either way, you’ll find yourself protected by monsters when you’d normally be hunted by them, though you could still be harmed in the crossfire of two competing beasts striving for your loyalty.</v>
      </c>
      <c r="I150" s="5"/>
    </row>
    <row r="151" spans="1:9" ht="87" x14ac:dyDescent="0.25">
      <c r="A151" s="16"/>
      <c r="B151" s="17">
        <v>147</v>
      </c>
      <c r="C151" s="2" t="b">
        <f ca="1">IFERROR(__xludf.DUMMYFUNCTION("""COMPUTED_VALUE"""),FALSE)</f>
        <v>0</v>
      </c>
      <c r="D151" s="2">
        <f ca="1">IFERROR(__xludf.DUMMYFUNCTION("""COMPUTED_VALUE"""),600)</f>
        <v>600</v>
      </c>
      <c r="E151" s="2" t="str">
        <f ca="1">IFERROR(__xludf.DUMMYFUNCTION("""COMPUTED_VALUE"""),"Wink and a Smile")</f>
        <v>Wink and a Smile</v>
      </c>
      <c r="F151" s="2" t="str">
        <f ca="1">IFERROR(__xludf.DUMMYFUNCTION("""COMPUTED_VALUE"""),"Generic: Hentai Modern")</f>
        <v>Generic: Hentai Modern</v>
      </c>
      <c r="G151" s="2" t="str">
        <f ca="1">IFERROR(__xludf.DUMMYFUNCTION("""COMPUTED_VALUE"""),"Seduction")</f>
        <v>Seduction</v>
      </c>
      <c r="H151" s="2" t="str">
        <f ca="1">IFERROR(__xludf.DUMMYFUNCTION("""COMPUTED_VALUE"""),"An idol, for all intents and purposes, makes a living off of being a sex object. Well, mostly. Anyways, you have the sheer charisma, beauty, and attitude to make an entire crowd - a BIG crowd- fall head over heels for you with only a few sentences. Hell, "&amp;"with a song and dance and a little bit of skin, you can make the people watching you on tv fall as well.... even if it was a recording from weeks ago. Mind you, there are probably people you don't want falling for you. Good luck with that, by the way.")</f>
        <v>An idol, for all intents and purposes, makes a living off of being a sex object. Well, mostly. Anyways, you have the sheer charisma, beauty, and attitude to make an entire crowd - a BIG crowd- fall head over heels for you with only a few sentences. Hell, with a song and dance and a little bit of skin, you can make the people watching you on tv fall as well.... even if it was a recording from weeks ago. Mind you, there are probably people you don't want falling for you. Good luck with that, by the way.</v>
      </c>
      <c r="I151" s="5"/>
    </row>
    <row r="152" spans="1:9" ht="104.4" x14ac:dyDescent="0.25">
      <c r="A152" s="16"/>
      <c r="B152" s="17">
        <v>148</v>
      </c>
      <c r="C152" s="2" t="b">
        <f ca="1">IFERROR(__xludf.DUMMYFUNCTION("""COMPUTED_VALUE"""),FALSE)</f>
        <v>0</v>
      </c>
      <c r="D152" s="2">
        <f ca="1">IFERROR(__xludf.DUMMYFUNCTION("""COMPUTED_VALUE"""),700)</f>
        <v>700</v>
      </c>
      <c r="E152" s="2" t="str">
        <f ca="1">IFERROR(__xludf.DUMMYFUNCTION("""COMPUTED_VALUE"""),"Dating Sim")</f>
        <v>Dating Sim</v>
      </c>
      <c r="F152" s="2" t="str">
        <f ca="1">IFERROR(__xludf.DUMMYFUNCTION("""COMPUTED_VALUE"""),"Generic: Hentai Fantasy")</f>
        <v>Generic: Hentai Fantasy</v>
      </c>
      <c r="G152" s="2" t="str">
        <f ca="1">IFERROR(__xludf.DUMMYFUNCTION("""COMPUTED_VALUE"""),"Seduction")</f>
        <v>Seduction</v>
      </c>
      <c r="H152" s="2" t="str">
        <f ca="1">IFERROR(__xludf.DUMMYFUNCTION("""COMPUTED_VALUE"""),"You are smooth. Like fine silk. Mostly because every time you open your mouth, time freezes for just a few seconds while you review your options on what to say. Crass? Suggestive? Or you could take free choice and not use one of the predefined choices, bu"&amp;"t those probably won't go as well. Additionally, you can also summon a sub menu listing information on people, such as physical capabilities, likes and dislike, and how close they are to agreeing to sleep with you. Oh, and it comes with a settings menu to"&amp;"o, letting you toggle different parts. If only they didn't all start ON.")</f>
        <v>You are smooth. Like fine silk. Mostly because every time you open your mouth, time freezes for just a few seconds while you review your options on what to say. Crass? Suggestive? Or you could take free choice and not use one of the predefined choices, but those probably won't go as well. Additionally, you can also summon a sub menu listing information on people, such as physical capabilities, likes and dislike, and how close they are to agreeing to sleep with you. Oh, and it comes with a settings menu too, letting you toggle different parts. If only they didn't all start ON.</v>
      </c>
      <c r="I152" s="5"/>
    </row>
    <row r="153" spans="1:9" ht="17.399999999999999" x14ac:dyDescent="0.25">
      <c r="A153" s="16"/>
      <c r="B153" s="17"/>
      <c r="C153" s="2" t="b">
        <f ca="1">IFERROR(__xludf.DUMMYFUNCTION("""COMPUTED_VALUE"""),TRUE)</f>
        <v>1</v>
      </c>
      <c r="D153" s="2">
        <f ca="1">IFERROR(__xludf.DUMMYFUNCTION("""COMPUTED_VALUE"""),-100)</f>
        <v>-100</v>
      </c>
      <c r="E153" s="2" t="str">
        <f ca="1">IFERROR(__xludf.DUMMYFUNCTION("""COMPUTED_VALUE"""),"Purchased Perks")</f>
        <v>Purchased Perks</v>
      </c>
      <c r="F153" s="2">
        <f ca="1">IFERROR(__xludf.DUMMYFUNCTION("""COMPUTED_VALUE"""),11)</f>
        <v>11</v>
      </c>
      <c r="G153" s="2" t="str">
        <f ca="1">IFERROR(__xludf.DUMMYFUNCTION("""COMPUTED_VALUE"""),"Seduction")</f>
        <v>Seduction</v>
      </c>
      <c r="H153" s="2"/>
      <c r="I153" s="5"/>
    </row>
    <row r="154" spans="1:9" ht="208.8" x14ac:dyDescent="0.25">
      <c r="A154" s="16"/>
      <c r="B154" s="17"/>
      <c r="C154" s="2" t="b">
        <f ca="1">IFERROR(__xludf.DUMMYFUNCTION("""COMPUTED_VALUE"""),TRUE)</f>
        <v>1</v>
      </c>
      <c r="D154" s="2">
        <f ca="1">IFERROR(__xludf.DUMMYFUNCTION("""COMPUTED_VALUE"""),200)</f>
        <v>200</v>
      </c>
      <c r="E154" s="2" t="str">
        <f ca="1">IFERROR(__xludf.DUMMYFUNCTION("""COMPUTED_VALUE"""),"Big Dick Energy")</f>
        <v>Big Dick Energy</v>
      </c>
      <c r="F154" s="2" t="str">
        <f ca="1">IFERROR(__xludf.DUMMYFUNCTION("""COMPUTED_VALUE"""),"Breathless Wild")</f>
        <v>Breathless Wild</v>
      </c>
      <c r="G154" s="2" t="str">
        <f ca="1">IFERROR(__xludf.DUMMYFUNCTION("""COMPUTED_VALUE"""),"Seduction")</f>
        <v>Seduction</v>
      </c>
      <c r="H154" s="2" t="str">
        <f ca="1">IFERROR(__xludf.DUMMYFUNCTION("""COMPUTED_VALUE"""),"Chieftain Urbosa was everything the gerudo ever wanted in their champion: domineering, amazonian, and blessed with a cock that made moblins cry with envy, or at least that’s how she’s remembered. It’s easy to see why such proud warriors would value such t"&amp;"hings but for you it seems everyone finds them appealing. You have what can only be described as big dick energy, an impressive aura of strength and virility which bolsters your charisma, and the bigger and stronger you are (and the bigger your cock is, i"&amp;"f you have one) the more charismatic you become. Whether people find you incredibly attractive or intimidating or both at once, this animal magnetism makes you a natural leader for anybody who’s smaller or less well-endowed than you are, and if there’s an"&amp;"y debate on the matter you can put it to rest by crushing your challengers in any sort of physical competition, reducing them to horny simps like the rest of your minions. Note that you needn’t be huge and well-hung to benefit: an amazonian MILF and a you"&amp;"ng man who’s hung like a bull will both benefit based on their respective strengths, not whichever quality they lack.")</f>
        <v>Chieftain Urbosa was everything the gerudo ever wanted in their champion: domineering, amazonian, and blessed with a cock that made moblins cry with envy, or at least that’s how she’s remembered. It’s easy to see why such proud warriors would value such things but for you it seems everyone finds them appealing. You have what can only be described as big dick energy, an impressive aura of strength and virility which bolsters your charisma, and the bigger and stronger you are (and the bigger your cock is, if you have one) the more charismatic you become. Whether people find you incredibly attractive or intimidating or both at once, this animal magnetism makes you a natural leader for anybody who’s smaller or less well-endowed than you are, and if there’s any debate on the matter you can put it to rest by crushing your challengers in any sort of physical competition, reducing them to horny simps like the rest of your minions. Note that you needn’t be huge and well-hung to benefit: an amazonian MILF and a young man who’s hung like a bull will both benefit based on their respective strengths, not whichever quality they lack.</v>
      </c>
      <c r="I154" s="5"/>
    </row>
    <row r="155" spans="1:9" ht="17.399999999999999" x14ac:dyDescent="0.25">
      <c r="A155" s="16"/>
      <c r="B155" s="17"/>
      <c r="C155" s="2"/>
      <c r="D155" s="2"/>
      <c r="E155" s="2"/>
      <c r="F155" s="2"/>
      <c r="G155" s="2"/>
      <c r="H155" s="2"/>
      <c r="I155" s="5"/>
    </row>
    <row r="156" spans="1:9" ht="17.399999999999999" x14ac:dyDescent="0.25">
      <c r="A156" s="16"/>
      <c r="B156" s="17"/>
      <c r="C156" s="2"/>
      <c r="D156" s="2"/>
      <c r="E156" s="2"/>
      <c r="F156" s="2"/>
      <c r="G156" s="2"/>
      <c r="H156" s="2"/>
      <c r="I156" s="5"/>
    </row>
    <row r="157" spans="1:9" ht="17.399999999999999" x14ac:dyDescent="0.25">
      <c r="A157" s="16"/>
      <c r="B157" s="17"/>
      <c r="C157" s="2"/>
      <c r="D157" s="2"/>
      <c r="E157" s="2"/>
      <c r="F157" s="2"/>
      <c r="G157" s="2"/>
      <c r="H157" s="2"/>
      <c r="I157" s="5"/>
    </row>
    <row r="158" spans="1:9" ht="17.399999999999999" x14ac:dyDescent="0.25">
      <c r="A158" s="16"/>
      <c r="B158" s="17"/>
      <c r="C158" s="2"/>
      <c r="D158" s="2"/>
      <c r="E158" s="2"/>
      <c r="F158" s="2"/>
      <c r="G158" s="2"/>
      <c r="H158" s="2"/>
      <c r="I158" s="5"/>
    </row>
    <row r="159" spans="1:9" ht="17.399999999999999" x14ac:dyDescent="0.25">
      <c r="A159" s="16"/>
      <c r="B159" s="17"/>
      <c r="C159" s="2"/>
      <c r="D159" s="2"/>
      <c r="E159" s="2"/>
      <c r="F159" s="2"/>
      <c r="G159" s="2"/>
      <c r="H159" s="2"/>
      <c r="I159" s="5"/>
    </row>
    <row r="160" spans="1:9" ht="17.399999999999999" x14ac:dyDescent="0.25">
      <c r="A160" s="16"/>
      <c r="B160" s="17"/>
      <c r="C160" s="2"/>
      <c r="D160" s="2"/>
      <c r="E160" s="2"/>
      <c r="F160" s="2"/>
      <c r="G160" s="2"/>
      <c r="H160" s="2"/>
      <c r="I160" s="5"/>
    </row>
    <row r="161" spans="1:9" ht="17.399999999999999" x14ac:dyDescent="0.25">
      <c r="A161" s="16"/>
      <c r="B161" s="17"/>
      <c r="C161" s="2"/>
      <c r="D161" s="2"/>
      <c r="E161" s="2"/>
      <c r="F161" s="2"/>
      <c r="G161" s="2"/>
      <c r="H161" s="2"/>
      <c r="I161" s="5"/>
    </row>
    <row r="162" spans="1:9" ht="17.399999999999999" x14ac:dyDescent="0.25">
      <c r="A162" s="16"/>
      <c r="B162" s="17"/>
      <c r="C162" s="2"/>
      <c r="D162" s="2"/>
      <c r="E162" s="2"/>
      <c r="F162" s="2"/>
      <c r="G162" s="2"/>
      <c r="H162" s="2"/>
      <c r="I162" s="5"/>
    </row>
    <row r="163" spans="1:9" ht="17.399999999999999" x14ac:dyDescent="0.25">
      <c r="A163" s="16"/>
      <c r="B163" s="17"/>
      <c r="C163" s="2"/>
      <c r="D163" s="2"/>
      <c r="E163" s="2"/>
      <c r="F163" s="2"/>
      <c r="G163" s="2"/>
      <c r="H163" s="2"/>
      <c r="I163" s="5"/>
    </row>
    <row r="164" spans="1:9" ht="17.399999999999999" x14ac:dyDescent="0.25">
      <c r="A164" s="16"/>
      <c r="B164" s="17"/>
      <c r="C164" s="2"/>
      <c r="D164" s="2"/>
      <c r="E164" s="2"/>
      <c r="F164" s="2"/>
      <c r="G164" s="2"/>
      <c r="H164" s="2"/>
      <c r="I164" s="5"/>
    </row>
    <row r="165" spans="1:9" ht="17.399999999999999" x14ac:dyDescent="0.25">
      <c r="A165" s="16"/>
      <c r="B165" s="17"/>
      <c r="C165" s="2"/>
      <c r="D165" s="2"/>
      <c r="E165" s="2"/>
      <c r="F165" s="2"/>
      <c r="G165" s="2"/>
      <c r="H165" s="2"/>
      <c r="I165" s="5"/>
    </row>
    <row r="166" spans="1:9" ht="17.399999999999999" x14ac:dyDescent="0.25">
      <c r="A166" s="16"/>
      <c r="B166" s="17"/>
      <c r="C166" s="2"/>
      <c r="D166" s="2"/>
      <c r="E166" s="2"/>
      <c r="F166" s="2"/>
      <c r="G166" s="2"/>
      <c r="H166" s="2"/>
      <c r="I166" s="5"/>
    </row>
    <row r="167" spans="1:9" ht="17.399999999999999" x14ac:dyDescent="0.25">
      <c r="A167" s="16"/>
      <c r="B167" s="17"/>
      <c r="C167" s="2"/>
      <c r="D167" s="2"/>
      <c r="E167" s="2"/>
      <c r="F167" s="2"/>
      <c r="G167" s="2"/>
      <c r="H167" s="2"/>
      <c r="I167" s="5"/>
    </row>
    <row r="168" spans="1:9" ht="17.399999999999999" x14ac:dyDescent="0.25">
      <c r="A168" s="16"/>
      <c r="B168" s="17"/>
      <c r="C168" s="2"/>
      <c r="D168" s="2"/>
      <c r="E168" s="2"/>
      <c r="F168" s="2"/>
      <c r="G168" s="2"/>
      <c r="H168" s="2"/>
      <c r="I168" s="5"/>
    </row>
    <row r="169" spans="1:9" ht="17.399999999999999" x14ac:dyDescent="0.25">
      <c r="A169" s="16"/>
      <c r="B169" s="17"/>
      <c r="C169" s="2"/>
      <c r="D169" s="2"/>
      <c r="E169" s="2"/>
      <c r="F169" s="2"/>
      <c r="G169" s="2"/>
      <c r="H169" s="2"/>
      <c r="I169" s="5"/>
    </row>
    <row r="170" spans="1:9" ht="17.399999999999999" x14ac:dyDescent="0.25">
      <c r="A170" s="16"/>
      <c r="B170" s="17"/>
      <c r="C170" s="2"/>
      <c r="D170" s="2"/>
      <c r="E170" s="2"/>
      <c r="F170" s="2"/>
      <c r="G170" s="2"/>
      <c r="H170" s="2"/>
      <c r="I170" s="5"/>
    </row>
    <row r="171" spans="1:9" ht="17.399999999999999" x14ac:dyDescent="0.25">
      <c r="A171" s="16"/>
      <c r="B171" s="17"/>
      <c r="C171" s="2"/>
      <c r="D171" s="2"/>
      <c r="E171" s="2"/>
      <c r="F171" s="2"/>
      <c r="G171" s="2"/>
      <c r="H171" s="2"/>
      <c r="I171" s="5"/>
    </row>
    <row r="172" spans="1:9" ht="17.399999999999999" x14ac:dyDescent="0.25">
      <c r="A172" s="16"/>
      <c r="B172" s="17"/>
      <c r="C172" s="2"/>
      <c r="D172" s="2"/>
      <c r="E172" s="2"/>
      <c r="F172" s="2"/>
      <c r="G172" s="2"/>
      <c r="H172" s="2"/>
      <c r="I172" s="5"/>
    </row>
    <row r="173" spans="1:9" ht="17.399999999999999" x14ac:dyDescent="0.25">
      <c r="A173" s="16"/>
      <c r="B173" s="17"/>
      <c r="C173" s="2"/>
      <c r="D173" s="2"/>
      <c r="E173" s="2"/>
      <c r="F173" s="2"/>
      <c r="G173" s="2"/>
      <c r="H173" s="2"/>
      <c r="I173" s="5"/>
    </row>
    <row r="174" spans="1:9" ht="17.399999999999999" x14ac:dyDescent="0.25">
      <c r="A174" s="16"/>
      <c r="B174" s="17"/>
      <c r="C174" s="2"/>
      <c r="D174" s="2"/>
      <c r="E174" s="2"/>
      <c r="F174" s="2"/>
      <c r="G174" s="2"/>
      <c r="H174" s="2"/>
      <c r="I174" s="5"/>
    </row>
    <row r="175" spans="1:9" ht="17.399999999999999" x14ac:dyDescent="0.25">
      <c r="A175" s="16"/>
      <c r="B175" s="17"/>
      <c r="C175" s="2"/>
      <c r="D175" s="2"/>
      <c r="E175" s="2"/>
      <c r="F175" s="2"/>
      <c r="G175" s="2"/>
      <c r="H175" s="2"/>
      <c r="I175" s="5"/>
    </row>
    <row r="176" spans="1:9" ht="17.399999999999999" x14ac:dyDescent="0.25">
      <c r="A176" s="16"/>
      <c r="B176" s="17"/>
      <c r="C176" s="2"/>
      <c r="D176" s="2"/>
      <c r="E176" s="2"/>
      <c r="F176" s="2"/>
      <c r="G176" s="2"/>
      <c r="H176" s="2"/>
      <c r="I176" s="5"/>
    </row>
    <row r="177" spans="1:9" ht="17.399999999999999" x14ac:dyDescent="0.25">
      <c r="A177" s="16"/>
      <c r="B177" s="17"/>
      <c r="C177" s="2"/>
      <c r="D177" s="2"/>
      <c r="E177" s="2"/>
      <c r="F177" s="2"/>
      <c r="G177" s="2"/>
      <c r="H177" s="2"/>
      <c r="I177" s="5"/>
    </row>
    <row r="178" spans="1:9" ht="17.399999999999999" x14ac:dyDescent="0.25">
      <c r="A178" s="16"/>
      <c r="B178" s="17"/>
      <c r="C178" s="2"/>
      <c r="D178" s="2"/>
      <c r="E178" s="2"/>
      <c r="F178" s="2"/>
      <c r="G178" s="2"/>
      <c r="H178" s="2"/>
      <c r="I178" s="5"/>
    </row>
    <row r="179" spans="1:9" ht="17.399999999999999" x14ac:dyDescent="0.25">
      <c r="A179" s="16"/>
      <c r="B179" s="17"/>
      <c r="C179" s="2"/>
      <c r="D179" s="2"/>
      <c r="E179" s="2"/>
      <c r="F179" s="2"/>
      <c r="G179" s="2"/>
      <c r="H179" s="2"/>
      <c r="I179" s="5"/>
    </row>
    <row r="180" spans="1:9" ht="17.399999999999999" x14ac:dyDescent="0.25">
      <c r="A180" s="16"/>
      <c r="B180" s="17"/>
      <c r="C180" s="2"/>
      <c r="D180" s="2"/>
      <c r="E180" s="2"/>
      <c r="F180" s="2"/>
      <c r="G180" s="2"/>
      <c r="H180" s="2"/>
      <c r="I180" s="5"/>
    </row>
    <row r="181" spans="1:9" ht="17.399999999999999" x14ac:dyDescent="0.25">
      <c r="A181" s="16"/>
      <c r="B181" s="17"/>
      <c r="C181" s="2"/>
      <c r="D181" s="2"/>
      <c r="E181" s="2"/>
      <c r="F181" s="2"/>
      <c r="G181" s="2"/>
      <c r="H181" s="2"/>
      <c r="I181" s="5"/>
    </row>
    <row r="182" spans="1:9" ht="17.399999999999999" x14ac:dyDescent="0.25">
      <c r="A182" s="16"/>
      <c r="B182" s="17"/>
      <c r="C182" s="2"/>
      <c r="D182" s="2"/>
      <c r="E182" s="2"/>
      <c r="F182" s="2"/>
      <c r="G182" s="2"/>
      <c r="H182" s="2"/>
      <c r="I182" s="5"/>
    </row>
    <row r="183" spans="1:9" ht="17.399999999999999" x14ac:dyDescent="0.25">
      <c r="A183" s="16"/>
      <c r="B183" s="17"/>
      <c r="C183" s="2"/>
      <c r="D183" s="2"/>
      <c r="E183" s="2"/>
      <c r="F183" s="2"/>
      <c r="G183" s="2"/>
      <c r="H183" s="2"/>
      <c r="I183" s="5"/>
    </row>
    <row r="184" spans="1:9" ht="17.399999999999999" x14ac:dyDescent="0.25">
      <c r="A184" s="16"/>
      <c r="B184" s="17"/>
      <c r="C184" s="2"/>
      <c r="D184" s="2"/>
      <c r="E184" s="2"/>
      <c r="F184" s="2"/>
      <c r="G184" s="2"/>
      <c r="H184" s="2"/>
      <c r="I184" s="5"/>
    </row>
    <row r="185" spans="1:9" ht="17.399999999999999" x14ac:dyDescent="0.25">
      <c r="A185" s="16"/>
      <c r="B185" s="17"/>
      <c r="C185" s="2"/>
      <c r="D185" s="2"/>
      <c r="E185" s="2"/>
      <c r="F185" s="2"/>
      <c r="G185" s="2"/>
      <c r="H185" s="2"/>
      <c r="I185" s="5"/>
    </row>
    <row r="186" spans="1:9" ht="17.399999999999999" x14ac:dyDescent="0.25">
      <c r="A186" s="16"/>
      <c r="B186" s="17"/>
      <c r="C186" s="2"/>
      <c r="D186" s="2"/>
      <c r="E186" s="2"/>
      <c r="F186" s="2"/>
      <c r="G186" s="2"/>
      <c r="H186" s="2"/>
      <c r="I186" s="5"/>
    </row>
    <row r="187" spans="1:9" ht="17.399999999999999" x14ac:dyDescent="0.25">
      <c r="A187" s="16"/>
      <c r="B187" s="17"/>
      <c r="C187" s="2"/>
      <c r="D187" s="2"/>
      <c r="E187" s="2"/>
      <c r="F187" s="2"/>
      <c r="G187" s="2"/>
      <c r="H187" s="2"/>
      <c r="I187" s="5"/>
    </row>
    <row r="188" spans="1:9" ht="17.399999999999999" x14ac:dyDescent="0.25">
      <c r="A188" s="16"/>
      <c r="B188" s="17"/>
      <c r="C188" s="2"/>
      <c r="D188" s="2"/>
      <c r="E188" s="2"/>
      <c r="F188" s="2"/>
      <c r="G188" s="2"/>
      <c r="H188" s="2"/>
      <c r="I188" s="5"/>
    </row>
    <row r="189" spans="1:9" ht="17.399999999999999" x14ac:dyDescent="0.25">
      <c r="A189" s="16"/>
      <c r="B189" s="17"/>
      <c r="C189" s="2"/>
      <c r="D189" s="2"/>
      <c r="E189" s="2"/>
      <c r="F189" s="2"/>
      <c r="G189" s="2"/>
      <c r="H189" s="2"/>
      <c r="I189" s="5"/>
    </row>
    <row r="190" spans="1:9" ht="17.399999999999999" x14ac:dyDescent="0.25">
      <c r="A190" s="16"/>
      <c r="B190" s="17"/>
      <c r="C190" s="2"/>
      <c r="D190" s="2"/>
      <c r="E190" s="2"/>
      <c r="F190" s="2"/>
      <c r="G190" s="2"/>
      <c r="H190" s="2"/>
      <c r="I190" s="5"/>
    </row>
    <row r="191" spans="1:9" ht="17.399999999999999" x14ac:dyDescent="0.25">
      <c r="A191" s="16"/>
      <c r="B191" s="17"/>
      <c r="C191" s="2"/>
      <c r="D191" s="2"/>
      <c r="E191" s="2"/>
      <c r="F191" s="2"/>
      <c r="G191" s="2"/>
      <c r="H191" s="2"/>
      <c r="I191" s="5"/>
    </row>
    <row r="192" spans="1:9" ht="17.399999999999999" x14ac:dyDescent="0.25">
      <c r="A192" s="16"/>
      <c r="B192" s="17"/>
      <c r="C192" s="2"/>
      <c r="D192" s="2"/>
      <c r="E192" s="2"/>
      <c r="F192" s="2"/>
      <c r="G192" s="2"/>
      <c r="H192" s="2"/>
      <c r="I192" s="5"/>
    </row>
    <row r="193" spans="1:9" ht="17.399999999999999" x14ac:dyDescent="0.25">
      <c r="A193" s="16"/>
      <c r="B193" s="17"/>
      <c r="C193" s="2"/>
      <c r="D193" s="2"/>
      <c r="E193" s="2"/>
      <c r="F193" s="2"/>
      <c r="G193" s="2"/>
      <c r="H193" s="2"/>
      <c r="I193" s="5"/>
    </row>
    <row r="194" spans="1:9" ht="17.399999999999999" x14ac:dyDescent="0.25">
      <c r="A194" s="16"/>
      <c r="B194" s="17"/>
      <c r="C194" s="2"/>
      <c r="D194" s="2"/>
      <c r="E194" s="2"/>
      <c r="F194" s="2"/>
      <c r="G194" s="2"/>
      <c r="H194" s="2"/>
      <c r="I194" s="5"/>
    </row>
    <row r="195" spans="1:9" ht="17.399999999999999" x14ac:dyDescent="0.25">
      <c r="A195" s="16"/>
      <c r="B195" s="17"/>
      <c r="C195" s="2"/>
      <c r="D195" s="2"/>
      <c r="E195" s="2"/>
      <c r="F195" s="2"/>
      <c r="G195" s="2"/>
      <c r="H195" s="2"/>
      <c r="I195" s="5"/>
    </row>
    <row r="196" spans="1:9" ht="17.399999999999999" x14ac:dyDescent="0.25">
      <c r="A196" s="16"/>
      <c r="B196" s="17"/>
      <c r="C196" s="2"/>
      <c r="D196" s="2"/>
      <c r="E196" s="2"/>
      <c r="F196" s="2"/>
      <c r="G196" s="2"/>
      <c r="H196" s="2"/>
      <c r="I196" s="5"/>
    </row>
    <row r="197" spans="1:9" ht="17.399999999999999" x14ac:dyDescent="0.25">
      <c r="A197" s="16"/>
      <c r="B197" s="17"/>
      <c r="C197" s="2"/>
      <c r="D197" s="2"/>
      <c r="E197" s="2"/>
      <c r="F197" s="2"/>
      <c r="G197" s="2"/>
      <c r="H197" s="2"/>
      <c r="I197" s="5"/>
    </row>
    <row r="198" spans="1:9" ht="17.399999999999999" x14ac:dyDescent="0.25">
      <c r="A198" s="16"/>
      <c r="B198" s="17"/>
      <c r="C198" s="2"/>
      <c r="D198" s="2"/>
      <c r="E198" s="2"/>
      <c r="F198" s="2"/>
      <c r="G198" s="2"/>
      <c r="H198" s="2"/>
      <c r="I198" s="5"/>
    </row>
    <row r="199" spans="1:9" ht="17.399999999999999" x14ac:dyDescent="0.25">
      <c r="A199" s="16"/>
      <c r="B199" s="17"/>
      <c r="C199" s="2"/>
      <c r="D199" s="2"/>
      <c r="E199" s="2"/>
      <c r="F199" s="2"/>
      <c r="G199" s="2"/>
      <c r="H199" s="2"/>
      <c r="I199" s="5"/>
    </row>
    <row r="200" spans="1:9" ht="17.399999999999999" x14ac:dyDescent="0.25">
      <c r="A200" s="16"/>
      <c r="B200" s="17"/>
      <c r="C200" s="2"/>
      <c r="D200" s="2"/>
      <c r="E200" s="2"/>
      <c r="F200" s="2"/>
      <c r="G200" s="2"/>
      <c r="H200" s="2"/>
      <c r="I200" s="5"/>
    </row>
    <row r="201" spans="1:9" ht="17.399999999999999" x14ac:dyDescent="0.25">
      <c r="A201" s="16"/>
      <c r="B201" s="17"/>
      <c r="C201" s="2"/>
      <c r="D201" s="2"/>
      <c r="E201" s="2"/>
      <c r="F201" s="2"/>
      <c r="G201" s="2"/>
      <c r="H201" s="2"/>
      <c r="I201" s="5"/>
    </row>
    <row r="202" spans="1:9" ht="17.399999999999999" x14ac:dyDescent="0.25">
      <c r="A202" s="16"/>
      <c r="B202" s="17"/>
      <c r="C202" s="2"/>
      <c r="D202" s="2"/>
      <c r="E202" s="2"/>
      <c r="F202" s="2"/>
      <c r="G202" s="2"/>
      <c r="H202" s="2"/>
      <c r="I202" s="5"/>
    </row>
    <row r="203" spans="1:9" ht="17.399999999999999" x14ac:dyDescent="0.25">
      <c r="A203" s="16"/>
      <c r="B203" s="17"/>
      <c r="C203" s="2"/>
      <c r="D203" s="2"/>
      <c r="E203" s="2"/>
      <c r="F203" s="2"/>
      <c r="G203" s="2"/>
      <c r="H203" s="2"/>
      <c r="I203" s="5"/>
    </row>
    <row r="204" spans="1:9" ht="17.399999999999999" x14ac:dyDescent="0.25">
      <c r="A204" s="16"/>
      <c r="B204" s="17"/>
      <c r="C204" s="2"/>
      <c r="D204" s="2"/>
      <c r="E204" s="2"/>
      <c r="F204" s="2"/>
      <c r="G204" s="2"/>
      <c r="H204" s="2"/>
      <c r="I204" s="5"/>
    </row>
    <row r="205" spans="1:9" ht="17.399999999999999" x14ac:dyDescent="0.25">
      <c r="A205" s="16"/>
      <c r="B205" s="17"/>
      <c r="C205" s="2"/>
      <c r="D205" s="2"/>
      <c r="E205" s="2"/>
      <c r="F205" s="2"/>
      <c r="G205" s="2"/>
      <c r="H205" s="2"/>
      <c r="I205" s="5"/>
    </row>
    <row r="206" spans="1:9" ht="17.399999999999999" x14ac:dyDescent="0.25">
      <c r="A206" s="16"/>
      <c r="B206" s="17"/>
      <c r="C206" s="2"/>
      <c r="D206" s="2"/>
      <c r="E206" s="2"/>
      <c r="F206" s="2"/>
      <c r="G206" s="2"/>
      <c r="H206" s="2"/>
      <c r="I206" s="5"/>
    </row>
    <row r="207" spans="1:9" ht="17.399999999999999" x14ac:dyDescent="0.25">
      <c r="A207" s="16"/>
      <c r="B207" s="17"/>
      <c r="C207" s="2"/>
      <c r="D207" s="2"/>
      <c r="E207" s="2"/>
      <c r="F207" s="2"/>
      <c r="G207" s="2"/>
      <c r="H207" s="2"/>
      <c r="I207" s="5"/>
    </row>
    <row r="208" spans="1:9" ht="17.399999999999999" x14ac:dyDescent="0.25">
      <c r="A208" s="16"/>
      <c r="B208" s="17"/>
      <c r="C208" s="2"/>
      <c r="D208" s="2"/>
      <c r="E208" s="2"/>
      <c r="F208" s="2"/>
      <c r="G208" s="2"/>
      <c r="H208" s="2"/>
      <c r="I208" s="5"/>
    </row>
    <row r="209" spans="1:9" ht="17.399999999999999" x14ac:dyDescent="0.25">
      <c r="A209" s="16"/>
      <c r="B209" s="17"/>
      <c r="C209" s="2"/>
      <c r="D209" s="2"/>
      <c r="E209" s="2"/>
      <c r="F209" s="2"/>
      <c r="G209" s="2"/>
      <c r="H209" s="2"/>
      <c r="I209" s="5"/>
    </row>
    <row r="210" spans="1:9" ht="17.399999999999999" x14ac:dyDescent="0.25">
      <c r="A210" s="16"/>
      <c r="B210" s="17"/>
      <c r="C210" s="2"/>
      <c r="D210" s="2"/>
      <c r="E210" s="2"/>
      <c r="F210" s="2"/>
      <c r="G210" s="2"/>
      <c r="H210" s="2"/>
      <c r="I210" s="5"/>
    </row>
    <row r="211" spans="1:9" ht="17.399999999999999" x14ac:dyDescent="0.25">
      <c r="A211" s="16"/>
      <c r="B211" s="17"/>
      <c r="C211" s="2"/>
      <c r="D211" s="2"/>
      <c r="E211" s="2"/>
      <c r="F211" s="2"/>
      <c r="G211" s="2"/>
      <c r="H211" s="2"/>
      <c r="I211" s="5"/>
    </row>
    <row r="212" spans="1:9" ht="17.399999999999999" x14ac:dyDescent="0.25">
      <c r="A212" s="16"/>
      <c r="B212" s="17"/>
      <c r="C212" s="2"/>
      <c r="D212" s="2"/>
      <c r="E212" s="2"/>
      <c r="F212" s="2"/>
      <c r="G212" s="2"/>
      <c r="H212" s="2"/>
      <c r="I212" s="5"/>
    </row>
    <row r="213" spans="1:9" ht="17.399999999999999" x14ac:dyDescent="0.25">
      <c r="A213" s="16"/>
      <c r="B213" s="17"/>
      <c r="C213" s="2"/>
      <c r="D213" s="2"/>
      <c r="E213" s="2"/>
      <c r="F213" s="2"/>
      <c r="G213" s="2"/>
      <c r="H213" s="2"/>
      <c r="I213" s="5"/>
    </row>
    <row r="214" spans="1:9" ht="17.399999999999999" x14ac:dyDescent="0.25">
      <c r="A214" s="16"/>
      <c r="B214" s="17"/>
      <c r="C214" s="2"/>
      <c r="D214" s="2"/>
      <c r="E214" s="2"/>
      <c r="F214" s="2"/>
      <c r="G214" s="2"/>
      <c r="H214" s="2"/>
      <c r="I214" s="5"/>
    </row>
    <row r="215" spans="1:9" ht="17.399999999999999" x14ac:dyDescent="0.25">
      <c r="A215" s="16"/>
      <c r="B215" s="17"/>
      <c r="C215" s="2"/>
      <c r="D215" s="2"/>
      <c r="E215" s="2"/>
      <c r="F215" s="2"/>
      <c r="G215" s="2"/>
      <c r="H215" s="2"/>
      <c r="I215" s="5"/>
    </row>
    <row r="216" spans="1:9" ht="17.399999999999999" x14ac:dyDescent="0.25">
      <c r="A216" s="16"/>
      <c r="B216" s="17"/>
      <c r="C216" s="2"/>
      <c r="D216" s="2"/>
      <c r="E216" s="2"/>
      <c r="F216" s="2"/>
      <c r="G216" s="2"/>
      <c r="H216" s="2"/>
      <c r="I216" s="5"/>
    </row>
    <row r="217" spans="1:9" ht="17.399999999999999" x14ac:dyDescent="0.25">
      <c r="A217" s="16"/>
      <c r="B217" s="17"/>
      <c r="C217" s="2"/>
      <c r="D217" s="2"/>
      <c r="E217" s="2"/>
      <c r="F217" s="2"/>
      <c r="G217" s="2"/>
      <c r="H217" s="2"/>
      <c r="I217" s="5"/>
    </row>
    <row r="218" spans="1:9" ht="17.399999999999999" x14ac:dyDescent="0.25">
      <c r="A218" s="16"/>
      <c r="B218" s="17"/>
      <c r="C218" s="2"/>
      <c r="D218" s="2"/>
      <c r="E218" s="2"/>
      <c r="F218" s="2"/>
      <c r="G218" s="2"/>
      <c r="H218" s="2"/>
      <c r="I218" s="5"/>
    </row>
    <row r="219" spans="1:9" ht="17.399999999999999" x14ac:dyDescent="0.25">
      <c r="A219" s="16"/>
      <c r="B219" s="17"/>
      <c r="C219" s="2"/>
      <c r="D219" s="2"/>
      <c r="E219" s="2"/>
      <c r="F219" s="2"/>
      <c r="G219" s="2"/>
      <c r="H219" s="2"/>
      <c r="I219" s="5"/>
    </row>
    <row r="220" spans="1:9" ht="17.399999999999999" x14ac:dyDescent="0.25">
      <c r="A220" s="16"/>
      <c r="B220" s="17"/>
      <c r="C220" s="2"/>
      <c r="D220" s="2"/>
      <c r="E220" s="2"/>
      <c r="F220" s="2"/>
      <c r="G220" s="2"/>
      <c r="H220" s="2"/>
      <c r="I220" s="5"/>
    </row>
    <row r="221" spans="1:9" ht="17.399999999999999" x14ac:dyDescent="0.25">
      <c r="A221" s="16"/>
      <c r="B221" s="17"/>
      <c r="C221" s="2"/>
      <c r="D221" s="2"/>
      <c r="E221" s="2"/>
      <c r="F221" s="2"/>
      <c r="G221" s="2"/>
      <c r="H221" s="2"/>
      <c r="I221" s="5"/>
    </row>
    <row r="222" spans="1:9" ht="17.399999999999999" x14ac:dyDescent="0.25">
      <c r="A222" s="16"/>
      <c r="B222" s="17"/>
      <c r="C222" s="2"/>
      <c r="D222" s="2"/>
      <c r="E222" s="2"/>
      <c r="F222" s="2"/>
      <c r="G222" s="2"/>
      <c r="H222" s="2"/>
      <c r="I222" s="5"/>
    </row>
    <row r="223" spans="1:9" ht="17.399999999999999" x14ac:dyDescent="0.25">
      <c r="A223" s="16"/>
      <c r="B223" s="17"/>
      <c r="C223" s="2"/>
      <c r="D223" s="2"/>
      <c r="E223" s="2"/>
      <c r="F223" s="2"/>
      <c r="G223" s="2"/>
      <c r="H223" s="2"/>
      <c r="I223" s="5"/>
    </row>
    <row r="224" spans="1:9" ht="17.399999999999999" x14ac:dyDescent="0.25">
      <c r="A224" s="16"/>
      <c r="B224" s="17"/>
      <c r="C224" s="2"/>
      <c r="D224" s="2"/>
      <c r="E224" s="2"/>
      <c r="F224" s="2"/>
      <c r="G224" s="2"/>
      <c r="H224" s="2"/>
      <c r="I224" s="5"/>
    </row>
    <row r="225" spans="1:9" ht="17.399999999999999" x14ac:dyDescent="0.25">
      <c r="A225" s="16"/>
      <c r="B225" s="17"/>
      <c r="C225" s="2"/>
      <c r="D225" s="2"/>
      <c r="E225" s="2"/>
      <c r="F225" s="2"/>
      <c r="G225" s="2"/>
      <c r="H225" s="2"/>
      <c r="I225" s="5"/>
    </row>
    <row r="226" spans="1:9" ht="17.399999999999999" x14ac:dyDescent="0.25">
      <c r="A226" s="16"/>
      <c r="B226" s="17"/>
      <c r="C226" s="2"/>
      <c r="D226" s="2"/>
      <c r="E226" s="2"/>
      <c r="F226" s="2"/>
      <c r="G226" s="2"/>
      <c r="H226" s="2"/>
      <c r="I226" s="5"/>
    </row>
    <row r="227" spans="1:9" ht="17.399999999999999" x14ac:dyDescent="0.25">
      <c r="A227" s="16"/>
      <c r="B227" s="17"/>
      <c r="C227" s="2"/>
      <c r="D227" s="2"/>
      <c r="E227" s="2"/>
      <c r="F227" s="2"/>
      <c r="G227" s="2"/>
      <c r="H227" s="2"/>
      <c r="I227" s="5"/>
    </row>
    <row r="228" spans="1:9" ht="17.399999999999999" x14ac:dyDescent="0.25">
      <c r="A228" s="16"/>
      <c r="B228" s="17"/>
      <c r="C228" s="2"/>
      <c r="D228" s="2"/>
      <c r="E228" s="2"/>
      <c r="F228" s="2"/>
      <c r="G228" s="2"/>
      <c r="H228" s="2"/>
      <c r="I228" s="5"/>
    </row>
    <row r="229" spans="1:9" ht="17.399999999999999" x14ac:dyDescent="0.25">
      <c r="A229" s="16"/>
      <c r="B229" s="17"/>
      <c r="C229" s="2"/>
      <c r="D229" s="2"/>
      <c r="E229" s="2"/>
      <c r="F229" s="2"/>
      <c r="G229" s="2"/>
      <c r="H229" s="2"/>
      <c r="I229" s="5"/>
    </row>
    <row r="230" spans="1:9" ht="17.399999999999999" x14ac:dyDescent="0.25">
      <c r="A230" s="16"/>
      <c r="B230" s="17"/>
      <c r="C230" s="2"/>
      <c r="D230" s="2"/>
      <c r="E230" s="2"/>
      <c r="F230" s="2"/>
      <c r="G230" s="2"/>
      <c r="H230" s="2"/>
      <c r="I230" s="5"/>
    </row>
    <row r="231" spans="1:9" ht="17.399999999999999" x14ac:dyDescent="0.25">
      <c r="A231" s="16"/>
      <c r="B231" s="17"/>
      <c r="C231" s="2"/>
      <c r="D231" s="2"/>
      <c r="E231" s="2"/>
      <c r="F231" s="2"/>
      <c r="G231" s="2"/>
      <c r="H231" s="2"/>
      <c r="I231" s="5"/>
    </row>
    <row r="232" spans="1:9" ht="17.399999999999999" x14ac:dyDescent="0.25">
      <c r="A232" s="16"/>
      <c r="B232" s="17"/>
      <c r="C232" s="2"/>
      <c r="D232" s="2"/>
      <c r="E232" s="2"/>
      <c r="F232" s="2"/>
      <c r="G232" s="2"/>
      <c r="H232" s="2"/>
      <c r="I232" s="5"/>
    </row>
    <row r="233" spans="1:9" ht="17.399999999999999" x14ac:dyDescent="0.25">
      <c r="A233" s="16"/>
      <c r="B233" s="17"/>
      <c r="C233" s="2"/>
      <c r="D233" s="2"/>
      <c r="E233" s="2"/>
      <c r="F233" s="2"/>
      <c r="G233" s="2"/>
      <c r="H233" s="2"/>
      <c r="I233" s="5"/>
    </row>
    <row r="234" spans="1:9" ht="17.399999999999999" x14ac:dyDescent="0.25">
      <c r="A234" s="16"/>
      <c r="B234" s="17"/>
      <c r="C234" s="2"/>
      <c r="D234" s="2"/>
      <c r="E234" s="2"/>
      <c r="F234" s="2"/>
      <c r="G234" s="2"/>
      <c r="H234" s="2"/>
      <c r="I234" s="5"/>
    </row>
    <row r="235" spans="1:9" ht="17.399999999999999" x14ac:dyDescent="0.25">
      <c r="A235" s="16"/>
      <c r="B235" s="17"/>
      <c r="C235" s="2"/>
      <c r="D235" s="2"/>
      <c r="E235" s="2"/>
      <c r="F235" s="2"/>
      <c r="G235" s="2"/>
      <c r="H235" s="2"/>
      <c r="I235" s="5"/>
    </row>
    <row r="236" spans="1:9" ht="17.399999999999999" x14ac:dyDescent="0.25">
      <c r="A236" s="16"/>
      <c r="B236" s="17"/>
      <c r="C236" s="2"/>
      <c r="D236" s="2"/>
      <c r="E236" s="2"/>
      <c r="F236" s="2"/>
      <c r="G236" s="2"/>
      <c r="H236" s="2"/>
      <c r="I236" s="5"/>
    </row>
    <row r="237" spans="1:9" ht="17.399999999999999" x14ac:dyDescent="0.25">
      <c r="A237" s="16"/>
      <c r="B237" s="17"/>
      <c r="C237" s="2"/>
      <c r="D237" s="2"/>
      <c r="E237" s="2"/>
      <c r="F237" s="2"/>
      <c r="G237" s="2"/>
      <c r="H237" s="2"/>
      <c r="I237" s="5"/>
    </row>
    <row r="238" spans="1:9" ht="17.399999999999999" x14ac:dyDescent="0.25">
      <c r="A238" s="16"/>
      <c r="B238" s="17"/>
      <c r="C238" s="2"/>
      <c r="D238" s="2"/>
      <c r="E238" s="2"/>
      <c r="F238" s="2"/>
      <c r="G238" s="2"/>
      <c r="H238" s="2"/>
      <c r="I238" s="5"/>
    </row>
    <row r="239" spans="1:9" ht="17.399999999999999" x14ac:dyDescent="0.25">
      <c r="A239" s="16"/>
      <c r="B239" s="17"/>
      <c r="C239" s="2"/>
      <c r="D239" s="2"/>
      <c r="E239" s="2"/>
      <c r="F239" s="2"/>
      <c r="G239" s="2"/>
      <c r="H239" s="2"/>
      <c r="I239" s="5"/>
    </row>
    <row r="240" spans="1:9" ht="17.399999999999999" x14ac:dyDescent="0.25">
      <c r="A240" s="16"/>
      <c r="B240" s="17"/>
      <c r="C240" s="2"/>
      <c r="D240" s="2"/>
      <c r="E240" s="2"/>
      <c r="F240" s="2"/>
      <c r="G240" s="2"/>
      <c r="H240" s="2"/>
      <c r="I240" s="5"/>
    </row>
    <row r="241" spans="1:9" ht="17.399999999999999" x14ac:dyDescent="0.25">
      <c r="A241" s="16"/>
      <c r="B241" s="17"/>
      <c r="C241" s="2"/>
      <c r="D241" s="2"/>
      <c r="E241" s="2"/>
      <c r="F241" s="2"/>
      <c r="G241" s="2"/>
      <c r="H241" s="2"/>
      <c r="I241" s="5"/>
    </row>
    <row r="242" spans="1:9" ht="17.399999999999999" x14ac:dyDescent="0.25">
      <c r="A242" s="16"/>
      <c r="B242" s="17"/>
      <c r="C242" s="2"/>
      <c r="D242" s="2"/>
      <c r="E242" s="2"/>
      <c r="F242" s="2"/>
      <c r="G242" s="2"/>
      <c r="H242" s="2"/>
      <c r="I242" s="5"/>
    </row>
    <row r="243" spans="1:9" ht="17.399999999999999" x14ac:dyDescent="0.25">
      <c r="A243" s="16"/>
      <c r="B243" s="17"/>
      <c r="C243" s="2"/>
      <c r="D243" s="2"/>
      <c r="E243" s="2"/>
      <c r="F243" s="2"/>
      <c r="G243" s="2"/>
      <c r="H243" s="2"/>
      <c r="I243" s="5"/>
    </row>
    <row r="244" spans="1:9" ht="17.399999999999999" x14ac:dyDescent="0.25">
      <c r="A244" s="16"/>
      <c r="B244" s="17"/>
      <c r="C244" s="2"/>
      <c r="D244" s="2"/>
      <c r="E244" s="2"/>
      <c r="F244" s="2"/>
      <c r="G244" s="2"/>
      <c r="H244" s="2"/>
      <c r="I244" s="5"/>
    </row>
    <row r="245" spans="1:9" ht="17.399999999999999" x14ac:dyDescent="0.25">
      <c r="A245" s="16"/>
      <c r="B245" s="17"/>
      <c r="C245" s="2"/>
      <c r="D245" s="2"/>
      <c r="E245" s="2"/>
      <c r="F245" s="2"/>
      <c r="G245" s="2"/>
      <c r="H245" s="2"/>
      <c r="I245" s="5"/>
    </row>
    <row r="246" spans="1:9" ht="17.399999999999999" x14ac:dyDescent="0.25">
      <c r="A246" s="16"/>
      <c r="B246" s="17"/>
      <c r="C246" s="2"/>
      <c r="D246" s="2"/>
      <c r="E246" s="2"/>
      <c r="F246" s="2"/>
      <c r="G246" s="2"/>
      <c r="H246" s="2"/>
      <c r="I246" s="5"/>
    </row>
    <row r="247" spans="1:9" ht="17.399999999999999" x14ac:dyDescent="0.25">
      <c r="A247" s="16"/>
      <c r="B247" s="17"/>
      <c r="C247" s="2"/>
      <c r="D247" s="2"/>
      <c r="E247" s="2"/>
      <c r="F247" s="2"/>
      <c r="G247" s="2"/>
      <c r="H247" s="2"/>
      <c r="I247" s="5"/>
    </row>
    <row r="248" spans="1:9" ht="17.399999999999999" x14ac:dyDescent="0.25">
      <c r="A248" s="16"/>
      <c r="B248" s="17"/>
      <c r="C248" s="2"/>
      <c r="D248" s="2"/>
      <c r="E248" s="2"/>
      <c r="F248" s="2"/>
      <c r="G248" s="2"/>
      <c r="H248" s="2"/>
      <c r="I248" s="5"/>
    </row>
    <row r="249" spans="1:9" ht="17.399999999999999" x14ac:dyDescent="0.25">
      <c r="A249" s="16"/>
      <c r="B249" s="17"/>
      <c r="C249" s="2"/>
      <c r="D249" s="2"/>
      <c r="E249" s="2"/>
      <c r="F249" s="2"/>
      <c r="G249" s="2"/>
      <c r="H249" s="2"/>
      <c r="I249" s="5"/>
    </row>
    <row r="250" spans="1:9" ht="17.399999999999999" x14ac:dyDescent="0.25">
      <c r="A250" s="16"/>
      <c r="B250" s="17"/>
      <c r="C250" s="2"/>
      <c r="D250" s="2"/>
      <c r="E250" s="2"/>
      <c r="F250" s="2"/>
      <c r="G250" s="2"/>
      <c r="H250" s="2"/>
      <c r="I250" s="5"/>
    </row>
    <row r="251" spans="1:9" ht="17.399999999999999" x14ac:dyDescent="0.25">
      <c r="A251" s="16"/>
      <c r="B251" s="17"/>
      <c r="C251" s="2"/>
      <c r="D251" s="2"/>
      <c r="E251" s="2"/>
      <c r="F251" s="2"/>
      <c r="G251" s="2"/>
      <c r="H251" s="2"/>
      <c r="I251" s="5"/>
    </row>
    <row r="252" spans="1:9" ht="17.399999999999999" x14ac:dyDescent="0.25">
      <c r="A252" s="16"/>
      <c r="B252" s="17"/>
      <c r="C252" s="2"/>
      <c r="D252" s="2"/>
      <c r="E252" s="2"/>
      <c r="F252" s="2"/>
      <c r="G252" s="2"/>
      <c r="H252" s="2"/>
      <c r="I252" s="5"/>
    </row>
    <row r="253" spans="1:9" ht="17.399999999999999" x14ac:dyDescent="0.25">
      <c r="A253" s="16"/>
      <c r="B253" s="17"/>
      <c r="C253" s="2"/>
      <c r="D253" s="2"/>
      <c r="E253" s="2"/>
      <c r="F253" s="2"/>
      <c r="G253" s="2"/>
      <c r="H253" s="2"/>
      <c r="I253" s="5"/>
    </row>
    <row r="254" spans="1:9" ht="17.399999999999999" x14ac:dyDescent="0.25">
      <c r="A254" s="16"/>
      <c r="B254" s="17"/>
      <c r="C254" s="2"/>
      <c r="D254" s="2"/>
      <c r="E254" s="2"/>
      <c r="F254" s="2"/>
      <c r="G254" s="2"/>
      <c r="H254" s="2"/>
      <c r="I254" s="5"/>
    </row>
    <row r="255" spans="1:9" ht="17.399999999999999" x14ac:dyDescent="0.25">
      <c r="A255" s="16"/>
      <c r="B255" s="17"/>
      <c r="C255" s="2"/>
      <c r="D255" s="2"/>
      <c r="E255" s="2"/>
      <c r="F255" s="2"/>
      <c r="G255" s="2"/>
      <c r="H255" s="2"/>
      <c r="I255" s="5"/>
    </row>
    <row r="256" spans="1:9" ht="17.399999999999999" x14ac:dyDescent="0.25">
      <c r="A256" s="16"/>
      <c r="B256" s="17"/>
      <c r="C256" s="2"/>
      <c r="D256" s="2"/>
      <c r="E256" s="2"/>
      <c r="F256" s="2"/>
      <c r="G256" s="2"/>
      <c r="H256" s="2"/>
      <c r="I256" s="5"/>
    </row>
    <row r="257" spans="1:9" ht="17.399999999999999" x14ac:dyDescent="0.25">
      <c r="A257" s="16"/>
      <c r="B257" s="17"/>
      <c r="C257" s="2"/>
      <c r="D257" s="2"/>
      <c r="E257" s="2"/>
      <c r="F257" s="2"/>
      <c r="G257" s="2"/>
      <c r="H257" s="2"/>
      <c r="I257" s="5"/>
    </row>
    <row r="258" spans="1:9" ht="17.399999999999999" x14ac:dyDescent="0.25">
      <c r="A258" s="16"/>
      <c r="B258" s="17"/>
      <c r="C258" s="2"/>
      <c r="D258" s="2"/>
      <c r="E258" s="2"/>
      <c r="F258" s="2"/>
      <c r="G258" s="2"/>
      <c r="H258" s="2"/>
      <c r="I258" s="5"/>
    </row>
    <row r="259" spans="1:9" ht="17.399999999999999" x14ac:dyDescent="0.25">
      <c r="A259" s="16"/>
      <c r="B259" s="17"/>
      <c r="C259" s="2"/>
      <c r="D259" s="2"/>
      <c r="E259" s="2"/>
      <c r="F259" s="2"/>
      <c r="G259" s="2"/>
      <c r="H259" s="2"/>
      <c r="I259" s="5"/>
    </row>
    <row r="260" spans="1:9" ht="17.399999999999999" x14ac:dyDescent="0.25">
      <c r="A260" s="16"/>
      <c r="B260" s="17"/>
      <c r="C260" s="2"/>
      <c r="D260" s="2"/>
      <c r="E260" s="2"/>
      <c r="F260" s="2"/>
      <c r="G260" s="2"/>
      <c r="H260" s="2"/>
      <c r="I260" s="5"/>
    </row>
    <row r="261" spans="1:9" ht="17.399999999999999" x14ac:dyDescent="0.25">
      <c r="A261" s="16"/>
      <c r="B261" s="17"/>
      <c r="C261" s="2"/>
      <c r="D261" s="2"/>
      <c r="E261" s="2"/>
      <c r="F261" s="2"/>
      <c r="G261" s="2"/>
      <c r="H261" s="2"/>
      <c r="I261" s="5"/>
    </row>
    <row r="262" spans="1:9" ht="17.399999999999999" x14ac:dyDescent="0.25">
      <c r="A262" s="16"/>
      <c r="B262" s="17"/>
      <c r="C262" s="2"/>
      <c r="D262" s="2"/>
      <c r="E262" s="2"/>
      <c r="F262" s="2"/>
      <c r="G262" s="2"/>
      <c r="H262" s="2"/>
      <c r="I262" s="5"/>
    </row>
    <row r="263" spans="1:9" ht="17.399999999999999" x14ac:dyDescent="0.25">
      <c r="A263" s="16"/>
      <c r="B263" s="17"/>
      <c r="C263" s="2"/>
      <c r="D263" s="2"/>
      <c r="E263" s="2"/>
      <c r="F263" s="2"/>
      <c r="G263" s="2"/>
      <c r="H263" s="2"/>
      <c r="I263" s="5"/>
    </row>
    <row r="264" spans="1:9" ht="17.399999999999999" x14ac:dyDescent="0.25">
      <c r="A264" s="16"/>
      <c r="B264" s="17"/>
      <c r="C264" s="2"/>
      <c r="D264" s="2"/>
      <c r="E264" s="2"/>
      <c r="F264" s="2"/>
      <c r="G264" s="2"/>
      <c r="H264" s="2"/>
      <c r="I264" s="5"/>
    </row>
    <row r="265" spans="1:9" ht="17.399999999999999" x14ac:dyDescent="0.25">
      <c r="A265" s="16"/>
      <c r="B265" s="17"/>
      <c r="C265" s="2"/>
      <c r="D265" s="2"/>
      <c r="E265" s="2"/>
      <c r="F265" s="2"/>
      <c r="G265" s="2"/>
      <c r="H265" s="2"/>
      <c r="I265" s="5"/>
    </row>
    <row r="266" spans="1:9" ht="17.399999999999999" x14ac:dyDescent="0.25">
      <c r="A266" s="16"/>
      <c r="B266" s="17"/>
      <c r="C266" s="2"/>
      <c r="D266" s="2"/>
      <c r="E266" s="2"/>
      <c r="F266" s="2"/>
      <c r="G266" s="2"/>
      <c r="H266" s="2"/>
      <c r="I266" s="5"/>
    </row>
    <row r="267" spans="1:9" ht="17.399999999999999" x14ac:dyDescent="0.25">
      <c r="A267" s="16"/>
      <c r="B267" s="17"/>
      <c r="C267" s="2"/>
      <c r="D267" s="2"/>
      <c r="E267" s="2"/>
      <c r="F267" s="2"/>
      <c r="G267" s="2"/>
      <c r="H267" s="2"/>
      <c r="I267" s="5"/>
    </row>
    <row r="268" spans="1:9" ht="17.399999999999999" x14ac:dyDescent="0.25">
      <c r="A268" s="16"/>
      <c r="B268" s="17"/>
      <c r="C268" s="2"/>
      <c r="D268" s="2"/>
      <c r="E268" s="2"/>
      <c r="F268" s="2"/>
      <c r="G268" s="2"/>
      <c r="H268" s="2"/>
      <c r="I268" s="5"/>
    </row>
    <row r="269" spans="1:9" ht="17.399999999999999" x14ac:dyDescent="0.25">
      <c r="A269" s="16"/>
      <c r="B269" s="17"/>
      <c r="C269" s="2"/>
      <c r="D269" s="2"/>
      <c r="E269" s="2"/>
      <c r="F269" s="2"/>
      <c r="G269" s="2"/>
      <c r="H269" s="2"/>
      <c r="I269" s="5"/>
    </row>
    <row r="270" spans="1:9" ht="17.399999999999999" x14ac:dyDescent="0.25">
      <c r="A270" s="16"/>
      <c r="B270" s="17"/>
      <c r="C270" s="2"/>
      <c r="D270" s="2"/>
      <c r="E270" s="2"/>
      <c r="F270" s="2"/>
      <c r="G270" s="2"/>
      <c r="H270" s="2"/>
      <c r="I270" s="5"/>
    </row>
    <row r="271" spans="1:9" ht="17.399999999999999" x14ac:dyDescent="0.25">
      <c r="A271" s="16"/>
      <c r="B271" s="17"/>
      <c r="C271" s="2"/>
      <c r="D271" s="2"/>
      <c r="E271" s="2"/>
      <c r="F271" s="2"/>
      <c r="G271" s="2"/>
      <c r="H271" s="2"/>
      <c r="I271" s="5"/>
    </row>
    <row r="272" spans="1:9" ht="17.399999999999999" x14ac:dyDescent="0.25">
      <c r="A272" s="16"/>
      <c r="B272" s="17"/>
      <c r="C272" s="2"/>
      <c r="D272" s="2"/>
      <c r="E272" s="2"/>
      <c r="F272" s="2"/>
      <c r="G272" s="2"/>
      <c r="H272" s="2"/>
      <c r="I272" s="5"/>
    </row>
    <row r="273" spans="1:9" ht="17.399999999999999" x14ac:dyDescent="0.25">
      <c r="A273" s="16"/>
      <c r="B273" s="17"/>
      <c r="C273" s="2"/>
      <c r="D273" s="2"/>
      <c r="E273" s="2"/>
      <c r="F273" s="2"/>
      <c r="G273" s="2"/>
      <c r="H273" s="2"/>
      <c r="I273" s="5"/>
    </row>
    <row r="274" spans="1:9" ht="17.399999999999999" x14ac:dyDescent="0.25">
      <c r="A274" s="16"/>
      <c r="B274" s="17"/>
      <c r="C274" s="2"/>
      <c r="D274" s="2"/>
      <c r="E274" s="2"/>
      <c r="F274" s="2"/>
      <c r="G274" s="2"/>
      <c r="H274" s="2"/>
      <c r="I274" s="5"/>
    </row>
    <row r="275" spans="1:9" ht="17.399999999999999" x14ac:dyDescent="0.25">
      <c r="A275" s="16"/>
      <c r="B275" s="17"/>
      <c r="C275" s="2"/>
      <c r="D275" s="2"/>
      <c r="E275" s="2"/>
      <c r="F275" s="2"/>
      <c r="G275" s="2"/>
      <c r="H275" s="2"/>
      <c r="I275" s="5"/>
    </row>
    <row r="276" spans="1:9" ht="17.399999999999999" x14ac:dyDescent="0.25">
      <c r="A276" s="16"/>
      <c r="B276" s="17"/>
      <c r="C276" s="2"/>
      <c r="D276" s="2"/>
      <c r="E276" s="2"/>
      <c r="F276" s="2"/>
      <c r="G276" s="2"/>
      <c r="H276" s="2"/>
      <c r="I276" s="5"/>
    </row>
    <row r="277" spans="1:9" ht="17.399999999999999" x14ac:dyDescent="0.25">
      <c r="A277" s="16"/>
      <c r="B277" s="17"/>
      <c r="C277" s="2"/>
      <c r="D277" s="2"/>
      <c r="E277" s="2"/>
      <c r="F277" s="2"/>
      <c r="G277" s="2"/>
      <c r="H277" s="2"/>
      <c r="I277" s="5"/>
    </row>
    <row r="278" spans="1:9" ht="17.399999999999999" x14ac:dyDescent="0.25">
      <c r="A278" s="16"/>
      <c r="B278" s="17"/>
      <c r="C278" s="2"/>
      <c r="D278" s="2"/>
      <c r="E278" s="2"/>
      <c r="F278" s="2"/>
      <c r="G278" s="2"/>
      <c r="H278" s="2"/>
      <c r="I278" s="5"/>
    </row>
    <row r="279" spans="1:9" ht="17.399999999999999" x14ac:dyDescent="0.25">
      <c r="A279" s="16"/>
      <c r="B279" s="17"/>
      <c r="C279" s="2"/>
      <c r="D279" s="2"/>
      <c r="E279" s="2"/>
      <c r="F279" s="2"/>
      <c r="G279" s="2"/>
      <c r="H279" s="2"/>
      <c r="I279" s="5"/>
    </row>
    <row r="280" spans="1:9" ht="17.399999999999999" x14ac:dyDescent="0.25">
      <c r="A280" s="16"/>
      <c r="B280" s="17"/>
      <c r="C280" s="2"/>
      <c r="D280" s="2"/>
      <c r="E280" s="2"/>
      <c r="F280" s="2"/>
      <c r="G280" s="2"/>
      <c r="H280" s="2"/>
      <c r="I280" s="5"/>
    </row>
    <row r="281" spans="1:9" ht="17.399999999999999" x14ac:dyDescent="0.25">
      <c r="A281" s="16"/>
      <c r="B281" s="17"/>
      <c r="C281" s="2"/>
      <c r="D281" s="2"/>
      <c r="E281" s="2"/>
      <c r="F281" s="2"/>
      <c r="G281" s="2"/>
      <c r="H281" s="2"/>
      <c r="I281" s="5"/>
    </row>
    <row r="282" spans="1:9" ht="17.399999999999999" x14ac:dyDescent="0.25">
      <c r="A282" s="16"/>
      <c r="B282" s="17"/>
      <c r="C282" s="2"/>
      <c r="D282" s="2"/>
      <c r="E282" s="2"/>
      <c r="F282" s="2"/>
      <c r="G282" s="2"/>
      <c r="H282" s="2"/>
      <c r="I282" s="5"/>
    </row>
    <row r="283" spans="1:9" ht="17.399999999999999" x14ac:dyDescent="0.25">
      <c r="A283" s="16"/>
      <c r="B283" s="17"/>
      <c r="C283" s="2"/>
      <c r="D283" s="2"/>
      <c r="E283" s="2"/>
      <c r="F283" s="2"/>
      <c r="G283" s="2"/>
      <c r="H283" s="2"/>
      <c r="I283" s="5"/>
    </row>
    <row r="284" spans="1:9" ht="17.399999999999999" x14ac:dyDescent="0.25">
      <c r="A284" s="16"/>
      <c r="B284" s="17"/>
      <c r="C284" s="2"/>
      <c r="D284" s="2"/>
      <c r="E284" s="2"/>
      <c r="F284" s="2"/>
      <c r="G284" s="2"/>
      <c r="H284" s="2"/>
      <c r="I284" s="5"/>
    </row>
    <row r="285" spans="1:9" ht="17.399999999999999" x14ac:dyDescent="0.25">
      <c r="A285" s="16"/>
      <c r="B285" s="17"/>
      <c r="C285" s="2"/>
      <c r="D285" s="2"/>
      <c r="E285" s="2"/>
      <c r="F285" s="2"/>
      <c r="G285" s="2"/>
      <c r="H285" s="2"/>
      <c r="I285" s="5"/>
    </row>
    <row r="286" spans="1:9" ht="17.399999999999999" x14ac:dyDescent="0.25">
      <c r="A286" s="16"/>
      <c r="B286" s="17"/>
      <c r="C286" s="2"/>
      <c r="D286" s="2"/>
      <c r="E286" s="2"/>
      <c r="F286" s="2"/>
      <c r="G286" s="2"/>
      <c r="H286" s="2"/>
      <c r="I286" s="5"/>
    </row>
    <row r="287" spans="1:9" ht="17.399999999999999" x14ac:dyDescent="0.25">
      <c r="A287" s="16"/>
      <c r="B287" s="17"/>
      <c r="C287" s="2"/>
      <c r="D287" s="2"/>
      <c r="E287" s="2"/>
      <c r="F287" s="2"/>
      <c r="G287" s="2"/>
      <c r="H287" s="2"/>
      <c r="I287" s="5"/>
    </row>
    <row r="288" spans="1:9" ht="17.399999999999999" x14ac:dyDescent="0.25">
      <c r="A288" s="16"/>
      <c r="B288" s="17"/>
      <c r="C288" s="2"/>
      <c r="D288" s="2"/>
      <c r="E288" s="2"/>
      <c r="F288" s="2"/>
      <c r="G288" s="2"/>
      <c r="H288" s="2"/>
      <c r="I288" s="5"/>
    </row>
    <row r="289" spans="1:9" ht="17.399999999999999" x14ac:dyDescent="0.25">
      <c r="A289" s="16"/>
      <c r="B289" s="17"/>
      <c r="C289" s="2"/>
      <c r="D289" s="2"/>
      <c r="E289" s="2"/>
      <c r="F289" s="2"/>
      <c r="G289" s="2"/>
      <c r="H289" s="2"/>
      <c r="I289" s="5"/>
    </row>
    <row r="290" spans="1:9" ht="17.399999999999999" x14ac:dyDescent="0.25">
      <c r="A290" s="16"/>
      <c r="B290" s="17"/>
      <c r="C290" s="2"/>
      <c r="D290" s="2"/>
      <c r="E290" s="2"/>
      <c r="F290" s="2"/>
      <c r="G290" s="2"/>
      <c r="H290" s="2"/>
      <c r="I290" s="5"/>
    </row>
    <row r="291" spans="1:9" ht="17.399999999999999" x14ac:dyDescent="0.25">
      <c r="A291" s="16"/>
      <c r="B291" s="17"/>
      <c r="C291" s="2"/>
      <c r="D291" s="2"/>
      <c r="E291" s="2"/>
      <c r="F291" s="2"/>
      <c r="G291" s="2"/>
      <c r="H291" s="2"/>
      <c r="I291" s="5"/>
    </row>
    <row r="292" spans="1:9" ht="17.399999999999999" x14ac:dyDescent="0.25">
      <c r="A292" s="16"/>
      <c r="B292" s="17"/>
      <c r="C292" s="2"/>
      <c r="D292" s="2"/>
      <c r="E292" s="2"/>
      <c r="F292" s="2"/>
      <c r="G292" s="2"/>
      <c r="H292" s="2"/>
      <c r="I292" s="5"/>
    </row>
    <row r="293" spans="1:9" ht="17.399999999999999" x14ac:dyDescent="0.25">
      <c r="A293" s="16"/>
      <c r="B293" s="17"/>
      <c r="C293" s="2"/>
      <c r="D293" s="2"/>
      <c r="E293" s="2"/>
      <c r="F293" s="2"/>
      <c r="G293" s="2"/>
      <c r="H293" s="2"/>
      <c r="I293" s="5"/>
    </row>
    <row r="294" spans="1:9" ht="17.399999999999999" x14ac:dyDescent="0.25">
      <c r="A294" s="16"/>
      <c r="B294" s="17"/>
      <c r="C294" s="2"/>
      <c r="D294" s="2"/>
      <c r="E294" s="2"/>
      <c r="F294" s="2"/>
      <c r="G294" s="2"/>
      <c r="H294" s="2"/>
      <c r="I294" s="5"/>
    </row>
    <row r="295" spans="1:9" ht="17.399999999999999" x14ac:dyDescent="0.25">
      <c r="A295" s="16"/>
      <c r="B295" s="17"/>
      <c r="C295" s="2"/>
      <c r="D295" s="2"/>
      <c r="E295" s="2"/>
      <c r="F295" s="2"/>
      <c r="G295" s="2"/>
      <c r="H295" s="2"/>
      <c r="I295" s="5"/>
    </row>
    <row r="296" spans="1:9" ht="17.399999999999999" x14ac:dyDescent="0.25">
      <c r="A296" s="16"/>
      <c r="B296" s="17"/>
      <c r="C296" s="2"/>
      <c r="D296" s="2"/>
      <c r="E296" s="2"/>
      <c r="F296" s="2"/>
      <c r="G296" s="2"/>
      <c r="H296" s="2"/>
      <c r="I296" s="5"/>
    </row>
    <row r="297" spans="1:9" ht="17.399999999999999" x14ac:dyDescent="0.25">
      <c r="A297" s="16"/>
      <c r="B297" s="17"/>
      <c r="C297" s="2"/>
      <c r="D297" s="2"/>
      <c r="E297" s="2"/>
      <c r="F297" s="2"/>
      <c r="G297" s="2"/>
      <c r="H297" s="2"/>
      <c r="I297" s="5"/>
    </row>
    <row r="298" spans="1:9" ht="17.399999999999999" x14ac:dyDescent="0.25">
      <c r="A298" s="16"/>
      <c r="B298" s="17"/>
      <c r="C298" s="2"/>
      <c r="D298" s="2"/>
      <c r="E298" s="2"/>
      <c r="F298" s="2"/>
      <c r="G298" s="2"/>
      <c r="H298" s="2"/>
      <c r="I298" s="5"/>
    </row>
    <row r="299" spans="1:9" ht="17.399999999999999" x14ac:dyDescent="0.25">
      <c r="A299" s="16"/>
      <c r="B299" s="17"/>
      <c r="C299" s="2"/>
      <c r="D299" s="2"/>
      <c r="E299" s="2"/>
      <c r="F299" s="2"/>
      <c r="G299" s="2"/>
      <c r="H299" s="2"/>
      <c r="I299" s="5"/>
    </row>
    <row r="300" spans="1:9" ht="17.399999999999999" x14ac:dyDescent="0.25">
      <c r="A300" s="16"/>
      <c r="B300" s="17"/>
      <c r="C300" s="2"/>
      <c r="D300" s="2"/>
      <c r="E300" s="2"/>
      <c r="F300" s="2"/>
      <c r="G300" s="2"/>
      <c r="H300" s="2"/>
      <c r="I300" s="5"/>
    </row>
    <row r="301" spans="1:9" ht="17.399999999999999" x14ac:dyDescent="0.25">
      <c r="A301" s="16"/>
      <c r="B301" s="17"/>
      <c r="C301" s="2"/>
      <c r="D301" s="2"/>
      <c r="E301" s="2"/>
      <c r="F301" s="2"/>
      <c r="G301" s="2"/>
      <c r="H301" s="2"/>
      <c r="I301" s="5"/>
    </row>
    <row r="302" spans="1:9" ht="17.399999999999999" x14ac:dyDescent="0.25">
      <c r="A302" s="16"/>
      <c r="B302" s="17"/>
      <c r="C302" s="2"/>
      <c r="D302" s="2"/>
      <c r="E302" s="2"/>
      <c r="F302" s="2"/>
      <c r="G302" s="2"/>
      <c r="H302" s="2"/>
      <c r="I302" s="5"/>
    </row>
    <row r="303" spans="1:9" ht="17.399999999999999" x14ac:dyDescent="0.25">
      <c r="A303" s="16"/>
      <c r="B303" s="17"/>
      <c r="C303" s="2"/>
      <c r="D303" s="2"/>
      <c r="E303" s="2"/>
      <c r="F303" s="2"/>
      <c r="G303" s="2"/>
      <c r="H303" s="2"/>
      <c r="I303" s="5"/>
    </row>
    <row r="304" spans="1:9" ht="17.399999999999999" x14ac:dyDescent="0.25">
      <c r="A304" s="16"/>
      <c r="B304" s="17"/>
      <c r="C304" s="2"/>
      <c r="D304" s="2"/>
      <c r="E304" s="2"/>
      <c r="F304" s="2"/>
      <c r="G304" s="2"/>
      <c r="H304" s="2"/>
      <c r="I304" s="5"/>
    </row>
    <row r="305" spans="1:9" ht="17.399999999999999" x14ac:dyDescent="0.25">
      <c r="A305" s="16"/>
      <c r="B305" s="17"/>
      <c r="C305" s="2"/>
      <c r="D305" s="2"/>
      <c r="E305" s="2"/>
      <c r="F305" s="2"/>
      <c r="G305" s="2"/>
      <c r="H305" s="2"/>
      <c r="I305" s="5"/>
    </row>
    <row r="306" spans="1:9" ht="17.399999999999999" x14ac:dyDescent="0.25">
      <c r="A306" s="16"/>
      <c r="B306" s="17"/>
      <c r="C306" s="2"/>
      <c r="D306" s="2"/>
      <c r="E306" s="2"/>
      <c r="F306" s="2"/>
      <c r="G306" s="2"/>
      <c r="H306" s="2"/>
      <c r="I306" s="5"/>
    </row>
    <row r="307" spans="1:9" ht="17.399999999999999" x14ac:dyDescent="0.25">
      <c r="A307" s="16"/>
      <c r="B307" s="17"/>
      <c r="C307" s="2"/>
      <c r="D307" s="2"/>
      <c r="E307" s="2"/>
      <c r="F307" s="2"/>
      <c r="G307" s="2"/>
      <c r="H307" s="2"/>
      <c r="I307" s="5"/>
    </row>
    <row r="308" spans="1:9" ht="17.399999999999999" x14ac:dyDescent="0.25">
      <c r="A308" s="16"/>
      <c r="B308" s="17"/>
      <c r="C308" s="2"/>
      <c r="D308" s="2"/>
      <c r="E308" s="2"/>
      <c r="F308" s="2"/>
      <c r="G308" s="2"/>
      <c r="H308" s="2"/>
      <c r="I308" s="5"/>
    </row>
    <row r="309" spans="1:9" ht="17.399999999999999" x14ac:dyDescent="0.25">
      <c r="A309" s="16"/>
      <c r="B309" s="17"/>
      <c r="C309" s="2"/>
      <c r="D309" s="2"/>
      <c r="E309" s="2"/>
      <c r="F309" s="2"/>
      <c r="G309" s="2"/>
      <c r="H309" s="2"/>
      <c r="I309" s="5"/>
    </row>
    <row r="310" spans="1:9" ht="17.399999999999999" x14ac:dyDescent="0.25">
      <c r="A310" s="16"/>
      <c r="B310" s="17"/>
      <c r="C310" s="2"/>
      <c r="D310" s="2"/>
      <c r="E310" s="2"/>
      <c r="F310" s="2"/>
      <c r="G310" s="2"/>
      <c r="H310" s="2"/>
      <c r="I310" s="5"/>
    </row>
    <row r="311" spans="1:9" ht="17.399999999999999" x14ac:dyDescent="0.25">
      <c r="A311" s="16"/>
      <c r="B311" s="17"/>
      <c r="C311" s="2"/>
      <c r="D311" s="2"/>
      <c r="E311" s="2"/>
      <c r="F311" s="2"/>
      <c r="G311" s="2"/>
      <c r="H311" s="2"/>
      <c r="I311" s="5"/>
    </row>
    <row r="312" spans="1:9" ht="17.399999999999999" x14ac:dyDescent="0.25">
      <c r="A312" s="16"/>
      <c r="B312" s="17"/>
      <c r="C312" s="2"/>
      <c r="D312" s="2"/>
      <c r="E312" s="2"/>
      <c r="F312" s="2"/>
      <c r="G312" s="2"/>
      <c r="H312" s="2"/>
      <c r="I312" s="5"/>
    </row>
    <row r="313" spans="1:9" ht="17.399999999999999" x14ac:dyDescent="0.25">
      <c r="A313" s="16"/>
      <c r="B313" s="17"/>
      <c r="C313" s="2"/>
      <c r="D313" s="2"/>
      <c r="E313" s="2"/>
      <c r="F313" s="2"/>
      <c r="G313" s="2"/>
      <c r="H313" s="2"/>
      <c r="I313" s="5"/>
    </row>
    <row r="314" spans="1:9" ht="17.399999999999999" x14ac:dyDescent="0.25">
      <c r="A314" s="16"/>
      <c r="B314" s="17"/>
      <c r="C314" s="2"/>
      <c r="D314" s="2"/>
      <c r="E314" s="2"/>
      <c r="F314" s="2"/>
      <c r="G314" s="2"/>
      <c r="H314" s="2"/>
      <c r="I314" s="5"/>
    </row>
    <row r="315" spans="1:9" ht="17.399999999999999" x14ac:dyDescent="0.25">
      <c r="A315" s="16"/>
      <c r="B315" s="17"/>
      <c r="C315" s="2"/>
      <c r="D315" s="2"/>
      <c r="E315" s="2"/>
      <c r="F315" s="2"/>
      <c r="G315" s="2"/>
      <c r="H315" s="2"/>
      <c r="I315" s="5"/>
    </row>
    <row r="316" spans="1:9" ht="17.399999999999999" x14ac:dyDescent="0.25">
      <c r="A316" s="16"/>
      <c r="B316" s="17"/>
      <c r="C316" s="2"/>
      <c r="D316" s="2"/>
      <c r="E316" s="2"/>
      <c r="F316" s="2"/>
      <c r="G316" s="2"/>
      <c r="H316" s="2"/>
      <c r="I316" s="5"/>
    </row>
    <row r="317" spans="1:9" ht="17.399999999999999" x14ac:dyDescent="0.25">
      <c r="A317" s="16"/>
      <c r="B317" s="17"/>
      <c r="C317" s="2"/>
      <c r="D317" s="2"/>
      <c r="E317" s="2"/>
      <c r="F317" s="2"/>
      <c r="G317" s="2"/>
      <c r="H317" s="2"/>
      <c r="I317" s="5"/>
    </row>
    <row r="318" spans="1:9" ht="17.399999999999999" x14ac:dyDescent="0.25">
      <c r="A318" s="16"/>
      <c r="B318" s="17"/>
      <c r="C318" s="2"/>
      <c r="D318" s="2"/>
      <c r="E318" s="2"/>
      <c r="F318" s="2"/>
      <c r="G318" s="2"/>
      <c r="H318" s="2"/>
      <c r="I318" s="5"/>
    </row>
    <row r="319" spans="1:9" ht="17.399999999999999" x14ac:dyDescent="0.25">
      <c r="A319" s="16"/>
      <c r="B319" s="17"/>
      <c r="C319" s="2"/>
      <c r="D319" s="2"/>
      <c r="E319" s="2"/>
      <c r="F319" s="2"/>
      <c r="G319" s="2"/>
      <c r="H319" s="2"/>
      <c r="I319" s="5"/>
    </row>
    <row r="320" spans="1:9" ht="17.399999999999999" x14ac:dyDescent="0.25">
      <c r="A320" s="16"/>
      <c r="B320" s="17"/>
      <c r="C320" s="2"/>
      <c r="D320" s="2"/>
      <c r="E320" s="2"/>
      <c r="F320" s="2"/>
      <c r="G320" s="2"/>
      <c r="H320" s="2"/>
      <c r="I320" s="5"/>
    </row>
    <row r="321" spans="1:9" ht="17.399999999999999" x14ac:dyDescent="0.25">
      <c r="A321" s="16"/>
      <c r="B321" s="17"/>
      <c r="C321" s="2"/>
      <c r="D321" s="2"/>
      <c r="E321" s="2"/>
      <c r="F321" s="2"/>
      <c r="G321" s="2"/>
      <c r="H321" s="2"/>
      <c r="I321" s="5"/>
    </row>
    <row r="322" spans="1:9" ht="17.399999999999999" x14ac:dyDescent="0.25">
      <c r="A322" s="16"/>
      <c r="B322" s="17"/>
      <c r="C322" s="2"/>
      <c r="D322" s="2"/>
      <c r="E322" s="2"/>
      <c r="F322" s="2"/>
      <c r="G322" s="2"/>
      <c r="H322" s="2"/>
      <c r="I322" s="5"/>
    </row>
    <row r="323" spans="1:9" ht="17.399999999999999" x14ac:dyDescent="0.25">
      <c r="A323" s="16"/>
      <c r="B323" s="17"/>
      <c r="C323" s="2"/>
      <c r="D323" s="2"/>
      <c r="E323" s="2"/>
      <c r="F323" s="2"/>
      <c r="G323" s="2"/>
      <c r="H323" s="2"/>
      <c r="I323" s="5"/>
    </row>
    <row r="324" spans="1:9" ht="17.399999999999999" x14ac:dyDescent="0.25">
      <c r="A324" s="16"/>
      <c r="B324" s="17"/>
      <c r="C324" s="2"/>
      <c r="D324" s="2"/>
      <c r="E324" s="2"/>
      <c r="F324" s="2"/>
      <c r="G324" s="2"/>
      <c r="H324" s="2"/>
      <c r="I324" s="5"/>
    </row>
    <row r="325" spans="1:9" ht="17.399999999999999" x14ac:dyDescent="0.25">
      <c r="A325" s="16"/>
      <c r="B325" s="17"/>
      <c r="C325" s="2"/>
      <c r="D325" s="2"/>
      <c r="E325" s="2"/>
      <c r="F325" s="2"/>
      <c r="G325" s="2"/>
      <c r="H325" s="2"/>
      <c r="I325" s="5"/>
    </row>
    <row r="326" spans="1:9" ht="17.399999999999999" x14ac:dyDescent="0.25">
      <c r="A326" s="16"/>
      <c r="B326" s="17"/>
      <c r="C326" s="2"/>
      <c r="D326" s="2"/>
      <c r="E326" s="2"/>
      <c r="F326" s="2"/>
      <c r="G326" s="2"/>
      <c r="H326" s="2"/>
      <c r="I326" s="5"/>
    </row>
    <row r="327" spans="1:9" ht="17.399999999999999" x14ac:dyDescent="0.25">
      <c r="A327" s="16"/>
      <c r="B327" s="17"/>
      <c r="C327" s="2"/>
      <c r="D327" s="2"/>
      <c r="E327" s="2"/>
      <c r="F327" s="2"/>
      <c r="G327" s="2"/>
      <c r="H327" s="2"/>
      <c r="I327" s="5"/>
    </row>
    <row r="328" spans="1:9" ht="17.399999999999999" x14ac:dyDescent="0.25">
      <c r="A328" s="16"/>
      <c r="B328" s="17"/>
      <c r="C328" s="2"/>
      <c r="D328" s="2"/>
      <c r="E328" s="2"/>
      <c r="F328" s="2"/>
      <c r="G328" s="2"/>
      <c r="H328" s="2"/>
      <c r="I328" s="5"/>
    </row>
    <row r="329" spans="1:9" ht="17.399999999999999" x14ac:dyDescent="0.25">
      <c r="A329" s="16"/>
      <c r="B329" s="17"/>
      <c r="C329" s="2"/>
      <c r="D329" s="2"/>
      <c r="E329" s="2"/>
      <c r="F329" s="2"/>
      <c r="G329" s="2"/>
      <c r="H329" s="2"/>
      <c r="I329" s="5"/>
    </row>
    <row r="330" spans="1:9" ht="17.399999999999999" x14ac:dyDescent="0.25">
      <c r="A330" s="16"/>
      <c r="B330" s="17"/>
      <c r="C330" s="2"/>
      <c r="D330" s="2"/>
      <c r="E330" s="2"/>
      <c r="F330" s="2"/>
      <c r="G330" s="2"/>
      <c r="H330" s="2"/>
      <c r="I330" s="5"/>
    </row>
    <row r="331" spans="1:9" ht="17.399999999999999" x14ac:dyDescent="0.25">
      <c r="A331" s="16"/>
      <c r="B331" s="17"/>
      <c r="C331" s="2"/>
      <c r="D331" s="2"/>
      <c r="E331" s="2"/>
      <c r="F331" s="2"/>
      <c r="G331" s="2"/>
      <c r="H331" s="2"/>
      <c r="I331" s="5"/>
    </row>
    <row r="332" spans="1:9" ht="17.399999999999999" x14ac:dyDescent="0.25">
      <c r="A332" s="16"/>
      <c r="B332" s="17"/>
      <c r="C332" s="2"/>
      <c r="D332" s="2"/>
      <c r="E332" s="2"/>
      <c r="F332" s="2"/>
      <c r="G332" s="2"/>
      <c r="H332" s="2"/>
      <c r="I332" s="5"/>
    </row>
    <row r="333" spans="1:9" ht="17.399999999999999" x14ac:dyDescent="0.25">
      <c r="A333" s="16"/>
      <c r="B333" s="17"/>
      <c r="C333" s="2"/>
      <c r="D333" s="2"/>
      <c r="E333" s="2"/>
      <c r="F333" s="2"/>
      <c r="G333" s="2"/>
      <c r="H333" s="2"/>
      <c r="I333" s="5"/>
    </row>
    <row r="334" spans="1:9" ht="17.399999999999999" x14ac:dyDescent="0.25">
      <c r="A334" s="16"/>
      <c r="B334" s="17"/>
      <c r="C334" s="2"/>
      <c r="D334" s="2"/>
      <c r="E334" s="2"/>
      <c r="F334" s="2"/>
      <c r="G334" s="2"/>
      <c r="H334" s="2"/>
      <c r="I334" s="5"/>
    </row>
    <row r="335" spans="1:9" ht="17.399999999999999" x14ac:dyDescent="0.25">
      <c r="A335" s="16"/>
      <c r="B335" s="17"/>
      <c r="C335" s="2"/>
      <c r="D335" s="2"/>
      <c r="E335" s="2"/>
      <c r="F335" s="2"/>
      <c r="G335" s="2"/>
      <c r="H335" s="2"/>
      <c r="I335" s="5"/>
    </row>
    <row r="336" spans="1:9" ht="17.399999999999999" x14ac:dyDescent="0.25">
      <c r="A336" s="16"/>
      <c r="B336" s="17"/>
      <c r="C336" s="2"/>
      <c r="D336" s="2"/>
      <c r="E336" s="2"/>
      <c r="F336" s="2"/>
      <c r="G336" s="2"/>
      <c r="H336" s="2"/>
      <c r="I336" s="5"/>
    </row>
    <row r="337" spans="1:9" ht="17.399999999999999" x14ac:dyDescent="0.25">
      <c r="A337" s="16"/>
      <c r="B337" s="17"/>
      <c r="C337" s="2"/>
      <c r="D337" s="2"/>
      <c r="E337" s="2"/>
      <c r="F337" s="2"/>
      <c r="G337" s="2"/>
      <c r="H337" s="2"/>
      <c r="I337" s="5"/>
    </row>
    <row r="338" spans="1:9" ht="17.399999999999999" x14ac:dyDescent="0.25">
      <c r="A338" s="16"/>
      <c r="B338" s="17"/>
      <c r="C338" s="2"/>
      <c r="D338" s="2"/>
      <c r="E338" s="2"/>
      <c r="F338" s="2"/>
      <c r="G338" s="2"/>
      <c r="H338" s="2"/>
      <c r="I338" s="5"/>
    </row>
    <row r="339" spans="1:9" ht="17.399999999999999" x14ac:dyDescent="0.25">
      <c r="A339" s="16"/>
      <c r="B339" s="17"/>
      <c r="C339" s="2"/>
      <c r="D339" s="2"/>
      <c r="E339" s="2"/>
      <c r="F339" s="2"/>
      <c r="G339" s="2"/>
      <c r="H339" s="2"/>
      <c r="I339" s="5"/>
    </row>
    <row r="340" spans="1:9" ht="17.399999999999999" x14ac:dyDescent="0.25">
      <c r="A340" s="16"/>
      <c r="B340" s="17"/>
      <c r="C340" s="2"/>
      <c r="D340" s="2"/>
      <c r="E340" s="2"/>
      <c r="F340" s="2"/>
      <c r="G340" s="2"/>
      <c r="H340" s="2"/>
      <c r="I340" s="5"/>
    </row>
    <row r="341" spans="1:9" ht="17.399999999999999" x14ac:dyDescent="0.25">
      <c r="A341" s="16"/>
      <c r="B341" s="17"/>
      <c r="C341" s="2"/>
      <c r="D341" s="2"/>
      <c r="E341" s="2"/>
      <c r="F341" s="2"/>
      <c r="G341" s="2"/>
      <c r="H341" s="2"/>
      <c r="I341" s="5"/>
    </row>
    <row r="342" spans="1:9" ht="17.399999999999999" x14ac:dyDescent="0.25">
      <c r="A342" s="16"/>
      <c r="B342" s="17"/>
      <c r="C342" s="2"/>
      <c r="D342" s="2"/>
      <c r="E342" s="2"/>
      <c r="F342" s="2"/>
      <c r="G342" s="2"/>
      <c r="H342" s="2"/>
      <c r="I342" s="5"/>
    </row>
    <row r="343" spans="1:9" ht="17.399999999999999" x14ac:dyDescent="0.25">
      <c r="A343" s="16"/>
      <c r="B343" s="17"/>
      <c r="C343" s="2"/>
      <c r="D343" s="2"/>
      <c r="E343" s="2"/>
      <c r="F343" s="2"/>
      <c r="G343" s="2"/>
      <c r="H343" s="2"/>
      <c r="I343" s="5"/>
    </row>
    <row r="344" spans="1:9" ht="17.399999999999999" x14ac:dyDescent="0.25">
      <c r="A344" s="16"/>
      <c r="B344" s="17"/>
      <c r="C344" s="2"/>
      <c r="D344" s="2"/>
      <c r="E344" s="2"/>
      <c r="F344" s="2"/>
      <c r="G344" s="2"/>
      <c r="H344" s="2"/>
      <c r="I344" s="5"/>
    </row>
    <row r="345" spans="1:9" ht="17.399999999999999" x14ac:dyDescent="0.25">
      <c r="A345" s="16"/>
      <c r="B345" s="17"/>
      <c r="C345" s="2"/>
      <c r="D345" s="2"/>
      <c r="E345" s="2"/>
      <c r="F345" s="2"/>
      <c r="G345" s="2"/>
      <c r="H345" s="2"/>
      <c r="I345" s="5"/>
    </row>
    <row r="346" spans="1:9" ht="17.399999999999999" x14ac:dyDescent="0.25">
      <c r="A346" s="16"/>
      <c r="B346" s="17"/>
      <c r="C346" s="2"/>
      <c r="D346" s="2"/>
      <c r="E346" s="2"/>
      <c r="F346" s="2"/>
      <c r="G346" s="2"/>
      <c r="H346" s="2"/>
      <c r="I346" s="5"/>
    </row>
    <row r="347" spans="1:9" ht="17.399999999999999" x14ac:dyDescent="0.25">
      <c r="A347" s="16"/>
      <c r="B347" s="17"/>
      <c r="C347" s="2"/>
      <c r="D347" s="2"/>
      <c r="E347" s="2"/>
      <c r="F347" s="2"/>
      <c r="G347" s="2"/>
      <c r="H347" s="2"/>
      <c r="I347" s="5"/>
    </row>
    <row r="348" spans="1:9" ht="17.399999999999999" x14ac:dyDescent="0.25">
      <c r="A348" s="16"/>
      <c r="B348" s="17"/>
      <c r="C348" s="2"/>
      <c r="D348" s="2"/>
      <c r="E348" s="2"/>
      <c r="F348" s="2"/>
      <c r="G348" s="2"/>
      <c r="H348" s="2"/>
      <c r="I348" s="5"/>
    </row>
    <row r="349" spans="1:9" ht="17.399999999999999" x14ac:dyDescent="0.25">
      <c r="A349" s="16"/>
      <c r="B349" s="17"/>
      <c r="C349" s="2"/>
      <c r="D349" s="2"/>
      <c r="E349" s="2"/>
      <c r="F349" s="2"/>
      <c r="G349" s="2"/>
      <c r="H349" s="2"/>
      <c r="I349" s="5"/>
    </row>
    <row r="350" spans="1:9" ht="17.399999999999999" x14ac:dyDescent="0.25">
      <c r="A350" s="16"/>
      <c r="B350" s="17"/>
      <c r="C350" s="2"/>
      <c r="D350" s="2"/>
      <c r="E350" s="2"/>
      <c r="F350" s="2"/>
      <c r="G350" s="2"/>
      <c r="H350" s="2"/>
      <c r="I350" s="5"/>
    </row>
    <row r="351" spans="1:9" ht="17.399999999999999" x14ac:dyDescent="0.25">
      <c r="A351" s="16"/>
      <c r="B351" s="17"/>
      <c r="C351" s="2"/>
      <c r="D351" s="2"/>
      <c r="E351" s="2"/>
      <c r="F351" s="2"/>
      <c r="G351" s="2"/>
      <c r="H351" s="2"/>
      <c r="I351" s="5"/>
    </row>
    <row r="352" spans="1:9" ht="17.399999999999999" x14ac:dyDescent="0.25">
      <c r="A352" s="16"/>
      <c r="B352" s="17"/>
      <c r="C352" s="2"/>
      <c r="D352" s="2"/>
      <c r="E352" s="2"/>
      <c r="F352" s="2"/>
      <c r="G352" s="2"/>
      <c r="H352" s="2"/>
      <c r="I352" s="5"/>
    </row>
    <row r="353" spans="1:9" ht="17.399999999999999" x14ac:dyDescent="0.25">
      <c r="A353" s="16"/>
      <c r="B353" s="17"/>
      <c r="C353" s="2"/>
      <c r="D353" s="2"/>
      <c r="E353" s="2"/>
      <c r="F353" s="2"/>
      <c r="G353" s="2"/>
      <c r="H353" s="2"/>
      <c r="I353" s="5"/>
    </row>
    <row r="354" spans="1:9" ht="17.399999999999999" x14ac:dyDescent="0.25">
      <c r="A354" s="16"/>
      <c r="B354" s="17"/>
      <c r="C354" s="2"/>
      <c r="D354" s="2"/>
      <c r="E354" s="2"/>
      <c r="F354" s="2"/>
      <c r="G354" s="2"/>
      <c r="H354" s="2"/>
      <c r="I354" s="5"/>
    </row>
    <row r="355" spans="1:9" ht="17.399999999999999" x14ac:dyDescent="0.25">
      <c r="A355" s="16"/>
      <c r="B355" s="17"/>
      <c r="C355" s="2"/>
      <c r="D355" s="2"/>
      <c r="E355" s="2"/>
      <c r="F355" s="2"/>
      <c r="G355" s="2"/>
      <c r="H355" s="2"/>
      <c r="I355" s="5"/>
    </row>
    <row r="356" spans="1:9" ht="17.399999999999999" x14ac:dyDescent="0.25">
      <c r="A356" s="16"/>
      <c r="B356" s="17"/>
      <c r="C356" s="2"/>
      <c r="D356" s="2"/>
      <c r="E356" s="2"/>
      <c r="F356" s="2"/>
      <c r="G356" s="2"/>
      <c r="H356" s="2"/>
      <c r="I356" s="5"/>
    </row>
    <row r="357" spans="1:9" ht="17.399999999999999" x14ac:dyDescent="0.25">
      <c r="A357" s="16"/>
      <c r="B357" s="17"/>
      <c r="C357" s="2"/>
      <c r="D357" s="2"/>
      <c r="E357" s="2"/>
      <c r="F357" s="2"/>
      <c r="G357" s="2"/>
      <c r="H357" s="2"/>
      <c r="I357" s="5"/>
    </row>
    <row r="358" spans="1:9" ht="17.399999999999999" x14ac:dyDescent="0.25">
      <c r="A358" s="16"/>
      <c r="B358" s="17"/>
      <c r="C358" s="2"/>
      <c r="D358" s="2"/>
      <c r="E358" s="2"/>
      <c r="F358" s="2"/>
      <c r="G358" s="2"/>
      <c r="H358" s="2"/>
      <c r="I358" s="5"/>
    </row>
    <row r="359" spans="1:9" ht="17.399999999999999" x14ac:dyDescent="0.25">
      <c r="A359" s="16"/>
      <c r="B359" s="17"/>
      <c r="C359" s="2"/>
      <c r="D359" s="2"/>
      <c r="E359" s="2"/>
      <c r="F359" s="2"/>
      <c r="G359" s="2"/>
      <c r="H359" s="2"/>
      <c r="I359" s="5"/>
    </row>
    <row r="360" spans="1:9" ht="17.399999999999999" x14ac:dyDescent="0.25">
      <c r="A360" s="16"/>
      <c r="B360" s="17"/>
      <c r="C360" s="2"/>
      <c r="D360" s="2"/>
      <c r="E360" s="2"/>
      <c r="F360" s="2"/>
      <c r="G360" s="2"/>
      <c r="H360" s="2"/>
      <c r="I360" s="5"/>
    </row>
    <row r="361" spans="1:9" ht="17.399999999999999" x14ac:dyDescent="0.25">
      <c r="A361" s="16"/>
      <c r="B361" s="17"/>
      <c r="C361" s="2"/>
      <c r="D361" s="2"/>
      <c r="E361" s="2"/>
      <c r="F361" s="2"/>
      <c r="G361" s="2"/>
      <c r="H361" s="2"/>
      <c r="I361" s="5"/>
    </row>
    <row r="362" spans="1:9" ht="17.399999999999999" x14ac:dyDescent="0.25">
      <c r="A362" s="16"/>
      <c r="B362" s="17"/>
      <c r="C362" s="2"/>
      <c r="D362" s="2"/>
      <c r="E362" s="2"/>
      <c r="F362" s="2"/>
      <c r="G362" s="2"/>
      <c r="H362" s="2"/>
      <c r="I362" s="5"/>
    </row>
    <row r="363" spans="1:9" ht="17.399999999999999" x14ac:dyDescent="0.25">
      <c r="A363" s="16"/>
      <c r="B363" s="17"/>
      <c r="C363" s="2"/>
      <c r="D363" s="2"/>
      <c r="E363" s="2"/>
      <c r="F363" s="2"/>
      <c r="G363" s="2"/>
      <c r="H363" s="2"/>
      <c r="I363" s="5"/>
    </row>
    <row r="364" spans="1:9" ht="17.399999999999999" x14ac:dyDescent="0.25">
      <c r="A364" s="16"/>
      <c r="B364" s="17"/>
      <c r="C364" s="2"/>
      <c r="D364" s="2"/>
      <c r="E364" s="2"/>
      <c r="F364" s="2"/>
      <c r="G364" s="2"/>
      <c r="H364" s="2"/>
      <c r="I364" s="5"/>
    </row>
    <row r="365" spans="1:9" ht="17.399999999999999" x14ac:dyDescent="0.25">
      <c r="A365" s="16"/>
      <c r="B365" s="17"/>
      <c r="C365" s="2"/>
      <c r="D365" s="2"/>
      <c r="E365" s="2"/>
      <c r="F365" s="2"/>
      <c r="G365" s="2"/>
      <c r="H365" s="2"/>
      <c r="I365" s="5"/>
    </row>
    <row r="366" spans="1:9" ht="17.399999999999999" x14ac:dyDescent="0.25">
      <c r="A366" s="16"/>
      <c r="B366" s="17"/>
      <c r="C366" s="2"/>
      <c r="D366" s="2"/>
      <c r="E366" s="2"/>
      <c r="F366" s="2"/>
      <c r="G366" s="2"/>
      <c r="H366" s="2"/>
      <c r="I366" s="5"/>
    </row>
    <row r="367" spans="1:9" ht="17.399999999999999" x14ac:dyDescent="0.25">
      <c r="A367" s="16"/>
      <c r="B367" s="17"/>
      <c r="C367" s="2"/>
      <c r="D367" s="2"/>
      <c r="E367" s="2"/>
      <c r="F367" s="2"/>
      <c r="G367" s="2"/>
      <c r="H367" s="2"/>
      <c r="I367" s="5"/>
    </row>
    <row r="368" spans="1:9" ht="17.399999999999999" x14ac:dyDescent="0.25">
      <c r="A368" s="16"/>
      <c r="B368" s="17"/>
      <c r="C368" s="2"/>
      <c r="D368" s="2"/>
      <c r="E368" s="2"/>
      <c r="F368" s="2"/>
      <c r="G368" s="2"/>
      <c r="H368" s="2"/>
      <c r="I368" s="5"/>
    </row>
    <row r="369" spans="1:9" ht="17.399999999999999" x14ac:dyDescent="0.25">
      <c r="A369" s="16"/>
      <c r="B369" s="17"/>
      <c r="C369" s="2"/>
      <c r="D369" s="2"/>
      <c r="E369" s="2"/>
      <c r="F369" s="2"/>
      <c r="G369" s="2"/>
      <c r="H369" s="2"/>
      <c r="I369" s="5"/>
    </row>
    <row r="370" spans="1:9" ht="17.399999999999999" x14ac:dyDescent="0.25">
      <c r="A370" s="16"/>
      <c r="B370" s="17"/>
      <c r="C370" s="2"/>
      <c r="D370" s="2"/>
      <c r="E370" s="2"/>
      <c r="F370" s="2"/>
      <c r="G370" s="2"/>
      <c r="H370" s="2"/>
      <c r="I370" s="5"/>
    </row>
    <row r="371" spans="1:9" ht="17.399999999999999" x14ac:dyDescent="0.25">
      <c r="A371" s="16"/>
      <c r="B371" s="17"/>
      <c r="C371" s="2"/>
      <c r="D371" s="2"/>
      <c r="E371" s="2"/>
      <c r="F371" s="2"/>
      <c r="G371" s="2"/>
      <c r="H371" s="2"/>
      <c r="I371" s="5"/>
    </row>
    <row r="372" spans="1:9" ht="17.399999999999999" x14ac:dyDescent="0.25">
      <c r="A372" s="16"/>
      <c r="B372" s="17"/>
      <c r="C372" s="2"/>
      <c r="D372" s="2"/>
      <c r="E372" s="2"/>
      <c r="F372" s="2"/>
      <c r="G372" s="2"/>
      <c r="H372" s="2"/>
      <c r="I372" s="5"/>
    </row>
    <row r="373" spans="1:9" ht="17.399999999999999" x14ac:dyDescent="0.25">
      <c r="A373" s="16"/>
      <c r="B373" s="17"/>
      <c r="C373" s="2"/>
      <c r="D373" s="2"/>
      <c r="E373" s="2"/>
      <c r="F373" s="2"/>
      <c r="G373" s="2"/>
      <c r="H373" s="2"/>
      <c r="I373" s="5"/>
    </row>
    <row r="374" spans="1:9" ht="17.399999999999999" x14ac:dyDescent="0.25">
      <c r="A374" s="16"/>
      <c r="B374" s="17"/>
      <c r="C374" s="2"/>
      <c r="D374" s="2"/>
      <c r="E374" s="2"/>
      <c r="F374" s="2"/>
      <c r="G374" s="2"/>
      <c r="H374" s="2"/>
      <c r="I374" s="5"/>
    </row>
    <row r="375" spans="1:9" ht="17.399999999999999" x14ac:dyDescent="0.25">
      <c r="A375" s="16"/>
      <c r="B375" s="17"/>
      <c r="C375" s="2"/>
      <c r="D375" s="2"/>
      <c r="E375" s="2"/>
      <c r="F375" s="2"/>
      <c r="G375" s="2"/>
      <c r="H375" s="2"/>
      <c r="I375" s="5"/>
    </row>
    <row r="376" spans="1:9" ht="17.399999999999999" x14ac:dyDescent="0.25">
      <c r="A376" s="16"/>
      <c r="B376" s="17"/>
      <c r="C376" s="2"/>
      <c r="D376" s="2"/>
      <c r="E376" s="2"/>
      <c r="F376" s="2"/>
      <c r="G376" s="2"/>
      <c r="H376" s="2"/>
      <c r="I376" s="5"/>
    </row>
    <row r="377" spans="1:9" ht="17.399999999999999" x14ac:dyDescent="0.25">
      <c r="A377" s="16"/>
      <c r="B377" s="17"/>
      <c r="C377" s="2"/>
      <c r="D377" s="2"/>
      <c r="E377" s="2"/>
      <c r="F377" s="2"/>
      <c r="G377" s="2"/>
      <c r="H377" s="2"/>
      <c r="I377" s="5"/>
    </row>
    <row r="378" spans="1:9" ht="17.399999999999999" x14ac:dyDescent="0.25">
      <c r="A378" s="16"/>
      <c r="B378" s="17"/>
      <c r="C378" s="2"/>
      <c r="D378" s="2"/>
      <c r="E378" s="2"/>
      <c r="F378" s="2"/>
      <c r="G378" s="2"/>
      <c r="H378" s="2"/>
      <c r="I378" s="5"/>
    </row>
    <row r="379" spans="1:9" ht="17.399999999999999" x14ac:dyDescent="0.25">
      <c r="A379" s="16"/>
      <c r="B379" s="17"/>
      <c r="C379" s="2"/>
      <c r="D379" s="2"/>
      <c r="E379" s="2"/>
      <c r="F379" s="2"/>
      <c r="G379" s="2"/>
      <c r="H379" s="2"/>
      <c r="I379" s="5"/>
    </row>
    <row r="380" spans="1:9" ht="17.399999999999999" x14ac:dyDescent="0.25">
      <c r="A380" s="16"/>
      <c r="B380" s="17"/>
      <c r="C380" s="2"/>
      <c r="D380" s="2"/>
      <c r="E380" s="2"/>
      <c r="F380" s="2"/>
      <c r="G380" s="2"/>
      <c r="H380" s="2"/>
      <c r="I380" s="5"/>
    </row>
    <row r="381" spans="1:9" ht="17.399999999999999" x14ac:dyDescent="0.25">
      <c r="A381" s="16"/>
      <c r="B381" s="17"/>
      <c r="C381" s="2"/>
      <c r="D381" s="2"/>
      <c r="E381" s="2"/>
      <c r="F381" s="2"/>
      <c r="G381" s="2"/>
      <c r="H381" s="2"/>
      <c r="I381" s="5"/>
    </row>
    <row r="382" spans="1:9" ht="17.399999999999999" x14ac:dyDescent="0.25">
      <c r="A382" s="16"/>
      <c r="B382" s="17"/>
      <c r="C382" s="2"/>
      <c r="D382" s="2"/>
      <c r="E382" s="2"/>
      <c r="F382" s="2"/>
      <c r="G382" s="2"/>
      <c r="H382" s="2"/>
      <c r="I382" s="5"/>
    </row>
    <row r="383" spans="1:9" ht="17.399999999999999" x14ac:dyDescent="0.25">
      <c r="A383" s="16"/>
      <c r="B383" s="17"/>
      <c r="C383" s="2"/>
      <c r="D383" s="2"/>
      <c r="E383" s="2"/>
      <c r="F383" s="2"/>
      <c r="G383" s="2"/>
      <c r="H383" s="2"/>
      <c r="I383" s="5"/>
    </row>
    <row r="384" spans="1:9" ht="17.399999999999999" x14ac:dyDescent="0.25">
      <c r="A384" s="16"/>
      <c r="B384" s="17"/>
      <c r="C384" s="2"/>
      <c r="D384" s="2"/>
      <c r="E384" s="2"/>
      <c r="F384" s="2"/>
      <c r="G384" s="2"/>
      <c r="H384" s="2"/>
      <c r="I384" s="5"/>
    </row>
    <row r="385" spans="1:9" ht="17.399999999999999" x14ac:dyDescent="0.25">
      <c r="A385" s="16"/>
      <c r="B385" s="17"/>
      <c r="C385" s="2"/>
      <c r="D385" s="2"/>
      <c r="E385" s="2"/>
      <c r="F385" s="2"/>
      <c r="G385" s="2"/>
      <c r="H385" s="2"/>
      <c r="I385" s="5"/>
    </row>
    <row r="386" spans="1:9" ht="17.399999999999999" x14ac:dyDescent="0.25">
      <c r="A386" s="16"/>
      <c r="B386" s="17"/>
      <c r="C386" s="2"/>
      <c r="D386" s="2"/>
      <c r="E386" s="2"/>
      <c r="F386" s="2"/>
      <c r="G386" s="2"/>
      <c r="H386" s="2"/>
      <c r="I386" s="5"/>
    </row>
    <row r="387" spans="1:9" ht="17.399999999999999" x14ac:dyDescent="0.25">
      <c r="A387" s="16"/>
      <c r="B387" s="17"/>
      <c r="C387" s="2"/>
      <c r="D387" s="2"/>
      <c r="E387" s="2"/>
      <c r="F387" s="2"/>
      <c r="G387" s="2"/>
      <c r="H387" s="2"/>
      <c r="I387" s="5"/>
    </row>
    <row r="388" spans="1:9" ht="17.399999999999999" x14ac:dyDescent="0.25">
      <c r="A388" s="16"/>
      <c r="B388" s="17"/>
      <c r="C388" s="2"/>
      <c r="D388" s="2"/>
      <c r="E388" s="2"/>
      <c r="F388" s="2"/>
      <c r="G388" s="2"/>
      <c r="H388" s="2"/>
      <c r="I388" s="5"/>
    </row>
    <row r="389" spans="1:9" ht="17.399999999999999" x14ac:dyDescent="0.25">
      <c r="A389" s="16"/>
      <c r="B389" s="17"/>
      <c r="C389" s="2"/>
      <c r="D389" s="2"/>
      <c r="E389" s="2"/>
      <c r="F389" s="2"/>
      <c r="G389" s="2"/>
      <c r="H389" s="2"/>
      <c r="I389" s="5"/>
    </row>
    <row r="390" spans="1:9" ht="17.399999999999999" x14ac:dyDescent="0.25">
      <c r="A390" s="16"/>
      <c r="B390" s="17"/>
      <c r="C390" s="2"/>
      <c r="D390" s="2"/>
      <c r="E390" s="2"/>
      <c r="F390" s="2"/>
      <c r="G390" s="2"/>
      <c r="H390" s="2"/>
      <c r="I390" s="5"/>
    </row>
    <row r="391" spans="1:9" ht="17.399999999999999" x14ac:dyDescent="0.25">
      <c r="A391" s="16"/>
      <c r="B391" s="17"/>
      <c r="C391" s="2"/>
      <c r="D391" s="2"/>
      <c r="E391" s="2"/>
      <c r="F391" s="2"/>
      <c r="G391" s="2"/>
      <c r="H391" s="2"/>
      <c r="I391" s="5"/>
    </row>
    <row r="392" spans="1:9" ht="17.399999999999999" x14ac:dyDescent="0.25">
      <c r="A392" s="16"/>
      <c r="B392" s="17"/>
      <c r="C392" s="2"/>
      <c r="D392" s="2"/>
      <c r="E392" s="2"/>
      <c r="F392" s="2"/>
      <c r="G392" s="2"/>
      <c r="H392" s="2"/>
      <c r="I392" s="5"/>
    </row>
    <row r="393" spans="1:9" ht="17.399999999999999" x14ac:dyDescent="0.25">
      <c r="A393" s="16"/>
      <c r="B393" s="17"/>
      <c r="C393" s="2"/>
      <c r="D393" s="2"/>
      <c r="E393" s="2"/>
      <c r="F393" s="2"/>
      <c r="G393" s="2"/>
      <c r="H393" s="2"/>
      <c r="I393" s="5"/>
    </row>
    <row r="394" spans="1:9" ht="17.399999999999999" x14ac:dyDescent="0.25">
      <c r="A394" s="16"/>
      <c r="B394" s="17"/>
      <c r="C394" s="2"/>
      <c r="D394" s="2"/>
      <c r="E394" s="2"/>
      <c r="F394" s="2"/>
      <c r="G394" s="2"/>
      <c r="H394" s="2"/>
      <c r="I394" s="5"/>
    </row>
    <row r="395" spans="1:9" ht="17.399999999999999" x14ac:dyDescent="0.25">
      <c r="A395" s="16"/>
      <c r="B395" s="17"/>
      <c r="C395" s="2"/>
      <c r="D395" s="2"/>
      <c r="E395" s="2"/>
      <c r="F395" s="2"/>
      <c r="G395" s="2"/>
      <c r="H395" s="2"/>
      <c r="I395" s="5"/>
    </row>
    <row r="396" spans="1:9" ht="17.399999999999999" x14ac:dyDescent="0.25">
      <c r="A396" s="16"/>
      <c r="B396" s="17"/>
      <c r="C396" s="2"/>
      <c r="D396" s="2"/>
      <c r="E396" s="2"/>
      <c r="F396" s="2"/>
      <c r="G396" s="2"/>
      <c r="H396" s="2"/>
      <c r="I396" s="5"/>
    </row>
    <row r="397" spans="1:9" ht="17.399999999999999" x14ac:dyDescent="0.25">
      <c r="A397" s="16"/>
      <c r="B397" s="17"/>
      <c r="C397" s="2"/>
      <c r="D397" s="2"/>
      <c r="E397" s="2"/>
      <c r="F397" s="2"/>
      <c r="G397" s="2"/>
      <c r="H397" s="2"/>
      <c r="I397" s="5"/>
    </row>
    <row r="398" spans="1:9" ht="17.399999999999999" x14ac:dyDescent="0.25">
      <c r="A398" s="16"/>
      <c r="B398" s="17"/>
      <c r="C398" s="2"/>
      <c r="D398" s="2"/>
      <c r="E398" s="2"/>
      <c r="F398" s="2"/>
      <c r="G398" s="2"/>
      <c r="H398" s="2"/>
      <c r="I398" s="5"/>
    </row>
    <row r="399" spans="1:9" ht="17.399999999999999" x14ac:dyDescent="0.25">
      <c r="A399" s="16"/>
      <c r="B399" s="17"/>
      <c r="C399" s="2"/>
      <c r="D399" s="2"/>
      <c r="E399" s="2"/>
      <c r="F399" s="2"/>
      <c r="G399" s="2"/>
      <c r="H399" s="2"/>
      <c r="I399" s="5"/>
    </row>
    <row r="400" spans="1:9" ht="17.399999999999999" x14ac:dyDescent="0.25">
      <c r="A400" s="16"/>
      <c r="B400" s="17"/>
      <c r="C400" s="2"/>
      <c r="D400" s="2"/>
      <c r="E400" s="2"/>
      <c r="F400" s="2"/>
      <c r="G400" s="2"/>
      <c r="H400" s="2"/>
      <c r="I400" s="5"/>
    </row>
    <row r="401" spans="1:9" ht="17.399999999999999" x14ac:dyDescent="0.25">
      <c r="A401" s="16"/>
      <c r="B401" s="17"/>
      <c r="C401" s="2"/>
      <c r="D401" s="2"/>
      <c r="E401" s="2"/>
      <c r="F401" s="2"/>
      <c r="G401" s="2"/>
      <c r="H401" s="2"/>
      <c r="I401" s="5"/>
    </row>
    <row r="402" spans="1:9" ht="17.399999999999999" x14ac:dyDescent="0.25">
      <c r="A402" s="16"/>
      <c r="B402" s="17"/>
      <c r="C402" s="2"/>
      <c r="D402" s="2"/>
      <c r="E402" s="2"/>
      <c r="F402" s="2"/>
      <c r="G402" s="2"/>
      <c r="H402" s="2"/>
      <c r="I402" s="5"/>
    </row>
    <row r="403" spans="1:9" ht="17.399999999999999" x14ac:dyDescent="0.25">
      <c r="A403" s="16"/>
      <c r="B403" s="17"/>
      <c r="C403" s="2"/>
      <c r="D403" s="2"/>
      <c r="E403" s="2"/>
      <c r="F403" s="2"/>
      <c r="G403" s="2"/>
      <c r="H403" s="2"/>
      <c r="I403" s="5"/>
    </row>
    <row r="404" spans="1:9" ht="17.399999999999999" x14ac:dyDescent="0.25">
      <c r="A404" s="16"/>
      <c r="B404" s="17"/>
      <c r="C404" s="2"/>
      <c r="D404" s="2"/>
      <c r="E404" s="2"/>
      <c r="F404" s="2"/>
      <c r="G404" s="2"/>
      <c r="H404" s="2"/>
      <c r="I404" s="5"/>
    </row>
    <row r="405" spans="1:9" ht="17.399999999999999" x14ac:dyDescent="0.25">
      <c r="A405" s="16"/>
      <c r="B405" s="17"/>
      <c r="C405" s="2"/>
      <c r="D405" s="2"/>
      <c r="E405" s="2"/>
      <c r="F405" s="2"/>
      <c r="G405" s="2"/>
      <c r="H405" s="2"/>
      <c r="I405" s="5"/>
    </row>
    <row r="406" spans="1:9" ht="17.399999999999999" x14ac:dyDescent="0.25">
      <c r="A406" s="16"/>
      <c r="B406" s="17"/>
      <c r="C406" s="2"/>
      <c r="D406" s="2"/>
      <c r="E406" s="2"/>
      <c r="F406" s="2"/>
      <c r="G406" s="2"/>
      <c r="H406" s="2"/>
      <c r="I406" s="5"/>
    </row>
    <row r="407" spans="1:9" ht="17.399999999999999" x14ac:dyDescent="0.25">
      <c r="A407" s="16"/>
      <c r="B407" s="17"/>
      <c r="C407" s="2"/>
      <c r="D407" s="2"/>
      <c r="E407" s="2"/>
      <c r="F407" s="2"/>
      <c r="G407" s="2"/>
      <c r="H407" s="2"/>
      <c r="I407" s="5"/>
    </row>
    <row r="408" spans="1:9" ht="17.399999999999999" x14ac:dyDescent="0.25">
      <c r="A408" s="16"/>
      <c r="B408" s="17"/>
      <c r="C408" s="2"/>
      <c r="D408" s="2"/>
      <c r="E408" s="2"/>
      <c r="F408" s="2"/>
      <c r="G408" s="2"/>
      <c r="H408" s="2"/>
      <c r="I408" s="5"/>
    </row>
    <row r="409" spans="1:9" ht="17.399999999999999" x14ac:dyDescent="0.25">
      <c r="A409" s="16"/>
      <c r="B409" s="17"/>
      <c r="C409" s="2"/>
      <c r="D409" s="2"/>
      <c r="E409" s="2"/>
      <c r="F409" s="2"/>
      <c r="G409" s="2"/>
      <c r="H409" s="2"/>
      <c r="I409" s="5"/>
    </row>
    <row r="410" spans="1:9" ht="17.399999999999999" x14ac:dyDescent="0.25">
      <c r="A410" s="16"/>
      <c r="B410" s="17"/>
      <c r="C410" s="2"/>
      <c r="D410" s="2"/>
      <c r="E410" s="2"/>
      <c r="F410" s="2"/>
      <c r="G410" s="2"/>
      <c r="H410" s="2"/>
      <c r="I410" s="5"/>
    </row>
    <row r="411" spans="1:9" ht="17.399999999999999" x14ac:dyDescent="0.25">
      <c r="A411" s="16"/>
      <c r="B411" s="17"/>
      <c r="C411" s="2"/>
      <c r="D411" s="2"/>
      <c r="E411" s="2"/>
      <c r="F411" s="2"/>
      <c r="G411" s="2"/>
      <c r="H411" s="2"/>
      <c r="I411" s="5"/>
    </row>
    <row r="412" spans="1:9" ht="17.399999999999999" x14ac:dyDescent="0.25">
      <c r="A412" s="16"/>
      <c r="B412" s="17"/>
      <c r="C412" s="2"/>
      <c r="D412" s="2"/>
      <c r="E412" s="2"/>
      <c r="F412" s="2"/>
      <c r="G412" s="2"/>
      <c r="H412" s="2"/>
      <c r="I412" s="5"/>
    </row>
    <row r="413" spans="1:9" ht="17.399999999999999" x14ac:dyDescent="0.25">
      <c r="A413" s="16"/>
      <c r="B413" s="17"/>
      <c r="C413" s="2"/>
      <c r="D413" s="2"/>
      <c r="E413" s="2"/>
      <c r="F413" s="2"/>
      <c r="G413" s="2"/>
      <c r="H413" s="2"/>
      <c r="I413" s="5"/>
    </row>
    <row r="414" spans="1:9" ht="17.399999999999999" x14ac:dyDescent="0.25">
      <c r="A414" s="16"/>
      <c r="B414" s="17"/>
      <c r="C414" s="2"/>
      <c r="D414" s="2"/>
      <c r="E414" s="2"/>
      <c r="F414" s="2"/>
      <c r="G414" s="2"/>
      <c r="H414" s="2"/>
      <c r="I414" s="5"/>
    </row>
    <row r="415" spans="1:9" ht="17.399999999999999" x14ac:dyDescent="0.25">
      <c r="A415" s="16"/>
      <c r="B415" s="17"/>
      <c r="C415" s="2"/>
      <c r="D415" s="2"/>
      <c r="E415" s="2"/>
      <c r="F415" s="2"/>
      <c r="G415" s="2"/>
      <c r="H415" s="2"/>
      <c r="I415" s="5"/>
    </row>
    <row r="416" spans="1:9" ht="17.399999999999999" x14ac:dyDescent="0.25">
      <c r="A416" s="16"/>
      <c r="B416" s="17"/>
      <c r="C416" s="2"/>
      <c r="D416" s="2"/>
      <c r="E416" s="2"/>
      <c r="F416" s="2"/>
      <c r="G416" s="2"/>
      <c r="H416" s="2"/>
      <c r="I416" s="5"/>
    </row>
    <row r="417" spans="1:9" ht="17.399999999999999" x14ac:dyDescent="0.25">
      <c r="A417" s="16"/>
      <c r="B417" s="17"/>
      <c r="C417" s="2"/>
      <c r="D417" s="2"/>
      <c r="E417" s="2"/>
      <c r="F417" s="2"/>
      <c r="G417" s="2"/>
      <c r="H417" s="2"/>
      <c r="I417" s="5"/>
    </row>
    <row r="418" spans="1:9" ht="17.399999999999999" x14ac:dyDescent="0.25">
      <c r="A418" s="16"/>
      <c r="B418" s="17"/>
      <c r="C418" s="2"/>
      <c r="D418" s="2"/>
      <c r="E418" s="2"/>
      <c r="F418" s="2"/>
      <c r="G418" s="2"/>
      <c r="H418" s="2"/>
      <c r="I418" s="5"/>
    </row>
    <row r="419" spans="1:9" ht="17.399999999999999" x14ac:dyDescent="0.25">
      <c r="A419" s="16"/>
      <c r="B419" s="17"/>
      <c r="C419" s="2"/>
      <c r="D419" s="2"/>
      <c r="E419" s="2"/>
      <c r="F419" s="2"/>
      <c r="G419" s="2"/>
      <c r="H419" s="2"/>
      <c r="I419" s="5"/>
    </row>
    <row r="420" spans="1:9" ht="17.399999999999999" x14ac:dyDescent="0.25">
      <c r="A420" s="16"/>
      <c r="B420" s="17"/>
      <c r="C420" s="2"/>
      <c r="D420" s="2"/>
      <c r="E420" s="2"/>
      <c r="F420" s="2"/>
      <c r="G420" s="2"/>
      <c r="H420" s="2"/>
      <c r="I420" s="5"/>
    </row>
    <row r="421" spans="1:9" ht="17.399999999999999" x14ac:dyDescent="0.25">
      <c r="A421" s="16"/>
      <c r="B421" s="17"/>
      <c r="C421" s="2"/>
      <c r="D421" s="2"/>
      <c r="E421" s="2"/>
      <c r="F421" s="2"/>
      <c r="G421" s="2"/>
      <c r="H421" s="2"/>
      <c r="I421" s="5"/>
    </row>
    <row r="422" spans="1:9" ht="17.399999999999999" x14ac:dyDescent="0.25">
      <c r="A422" s="16"/>
      <c r="B422" s="17"/>
      <c r="C422" s="2"/>
      <c r="D422" s="2"/>
      <c r="E422" s="2"/>
      <c r="F422" s="2"/>
      <c r="G422" s="2"/>
      <c r="H422" s="2"/>
      <c r="I422" s="5"/>
    </row>
    <row r="423" spans="1:9" ht="17.399999999999999" x14ac:dyDescent="0.25">
      <c r="A423" s="16"/>
      <c r="B423" s="17"/>
      <c r="C423" s="2"/>
      <c r="D423" s="2"/>
      <c r="E423" s="2"/>
      <c r="F423" s="2"/>
      <c r="G423" s="2"/>
      <c r="H423" s="2"/>
      <c r="I423" s="5"/>
    </row>
    <row r="424" spans="1:9" ht="17.399999999999999" x14ac:dyDescent="0.25">
      <c r="A424" s="16"/>
      <c r="B424" s="17"/>
      <c r="C424" s="2"/>
      <c r="D424" s="2"/>
      <c r="E424" s="2"/>
      <c r="F424" s="2"/>
      <c r="G424" s="2"/>
      <c r="H424" s="2"/>
      <c r="I424" s="5"/>
    </row>
    <row r="425" spans="1:9" ht="17.399999999999999" x14ac:dyDescent="0.25">
      <c r="A425" s="16"/>
      <c r="B425" s="17"/>
      <c r="C425" s="2"/>
      <c r="D425" s="2"/>
      <c r="E425" s="2"/>
      <c r="F425" s="2"/>
      <c r="G425" s="2"/>
      <c r="H425" s="2"/>
      <c r="I425" s="5"/>
    </row>
    <row r="426" spans="1:9" ht="17.399999999999999" x14ac:dyDescent="0.25">
      <c r="A426" s="16"/>
      <c r="B426" s="17"/>
      <c r="C426" s="2"/>
      <c r="D426" s="2"/>
      <c r="E426" s="2"/>
      <c r="F426" s="2"/>
      <c r="G426" s="2"/>
      <c r="H426" s="2"/>
      <c r="I426" s="5"/>
    </row>
    <row r="427" spans="1:9" ht="17.399999999999999" x14ac:dyDescent="0.25">
      <c r="A427" s="16"/>
      <c r="B427" s="17"/>
      <c r="C427" s="2"/>
      <c r="D427" s="2"/>
      <c r="E427" s="2"/>
      <c r="F427" s="2"/>
      <c r="G427" s="2"/>
      <c r="H427" s="2"/>
      <c r="I427" s="5"/>
    </row>
    <row r="428" spans="1:9" ht="17.399999999999999" x14ac:dyDescent="0.25">
      <c r="A428" s="16"/>
      <c r="B428" s="17"/>
      <c r="C428" s="2"/>
      <c r="D428" s="2"/>
      <c r="E428" s="2"/>
      <c r="F428" s="2"/>
      <c r="G428" s="2"/>
      <c r="H428" s="2"/>
      <c r="I428" s="5"/>
    </row>
    <row r="429" spans="1:9" ht="17.399999999999999" x14ac:dyDescent="0.25">
      <c r="A429" s="16"/>
      <c r="B429" s="17"/>
      <c r="C429" s="2"/>
      <c r="D429" s="2"/>
      <c r="E429" s="2"/>
      <c r="F429" s="2"/>
      <c r="G429" s="2"/>
      <c r="H429" s="2"/>
      <c r="I429" s="5"/>
    </row>
    <row r="430" spans="1:9" ht="17.399999999999999" x14ac:dyDescent="0.25">
      <c r="A430" s="16"/>
      <c r="B430" s="17"/>
      <c r="C430" s="2"/>
      <c r="D430" s="2"/>
      <c r="E430" s="2"/>
      <c r="F430" s="2"/>
      <c r="G430" s="2"/>
      <c r="H430" s="2"/>
      <c r="I430" s="5"/>
    </row>
    <row r="431" spans="1:9" ht="17.399999999999999" x14ac:dyDescent="0.25">
      <c r="A431" s="16"/>
      <c r="B431" s="17"/>
      <c r="C431" s="2"/>
      <c r="D431" s="2"/>
      <c r="E431" s="2"/>
      <c r="F431" s="2"/>
      <c r="G431" s="2"/>
      <c r="H431" s="2"/>
      <c r="I431" s="5"/>
    </row>
    <row r="432" spans="1:9" ht="17.399999999999999" x14ac:dyDescent="0.25">
      <c r="A432" s="16"/>
      <c r="B432" s="17"/>
      <c r="C432" s="2"/>
      <c r="D432" s="2"/>
      <c r="E432" s="2"/>
      <c r="F432" s="2"/>
      <c r="G432" s="2"/>
      <c r="H432" s="2"/>
      <c r="I432" s="5"/>
    </row>
    <row r="433" spans="1:9" ht="17.399999999999999" x14ac:dyDescent="0.25">
      <c r="A433" s="16"/>
      <c r="B433" s="17"/>
      <c r="C433" s="2"/>
      <c r="D433" s="2"/>
      <c r="E433" s="2"/>
      <c r="F433" s="2"/>
      <c r="G433" s="2"/>
      <c r="H433" s="2"/>
      <c r="I433" s="5"/>
    </row>
    <row r="434" spans="1:9" ht="17.399999999999999" x14ac:dyDescent="0.25">
      <c r="A434" s="16"/>
      <c r="B434" s="17"/>
      <c r="C434" s="2"/>
      <c r="D434" s="2"/>
      <c r="E434" s="2"/>
      <c r="F434" s="2"/>
      <c r="G434" s="2"/>
      <c r="H434" s="2"/>
      <c r="I434" s="5"/>
    </row>
    <row r="435" spans="1:9" ht="17.399999999999999" x14ac:dyDescent="0.25">
      <c r="A435" s="16"/>
      <c r="B435" s="17"/>
      <c r="C435" s="2"/>
      <c r="D435" s="2"/>
      <c r="E435" s="2"/>
      <c r="F435" s="2"/>
      <c r="G435" s="2"/>
      <c r="H435" s="2"/>
      <c r="I435" s="5"/>
    </row>
    <row r="436" spans="1:9" ht="17.399999999999999" x14ac:dyDescent="0.25">
      <c r="A436" s="16"/>
      <c r="B436" s="17"/>
      <c r="C436" s="2"/>
      <c r="D436" s="2"/>
      <c r="E436" s="2"/>
      <c r="F436" s="2"/>
      <c r="G436" s="2"/>
      <c r="H436" s="2"/>
      <c r="I436" s="5"/>
    </row>
    <row r="437" spans="1:9" ht="17.399999999999999" x14ac:dyDescent="0.25">
      <c r="A437" s="16"/>
      <c r="B437" s="17"/>
      <c r="C437" s="2"/>
      <c r="D437" s="2"/>
      <c r="E437" s="2"/>
      <c r="F437" s="2"/>
      <c r="G437" s="2"/>
      <c r="H437" s="2"/>
      <c r="I437" s="5"/>
    </row>
    <row r="438" spans="1:9" ht="17.399999999999999" x14ac:dyDescent="0.25">
      <c r="A438" s="16"/>
      <c r="B438" s="17"/>
      <c r="C438" s="2"/>
      <c r="D438" s="2"/>
      <c r="E438" s="2"/>
      <c r="F438" s="2"/>
      <c r="G438" s="2"/>
      <c r="H438" s="2"/>
      <c r="I438" s="5"/>
    </row>
    <row r="439" spans="1:9" ht="17.399999999999999" x14ac:dyDescent="0.25">
      <c r="A439" s="16"/>
      <c r="B439" s="17"/>
      <c r="C439" s="2"/>
      <c r="D439" s="2"/>
      <c r="E439" s="2"/>
      <c r="F439" s="2"/>
      <c r="G439" s="2"/>
      <c r="H439" s="2"/>
      <c r="I439" s="5"/>
    </row>
    <row r="440" spans="1:9" ht="17.399999999999999" x14ac:dyDescent="0.25">
      <c r="A440" s="16"/>
      <c r="B440" s="17"/>
      <c r="C440" s="2"/>
      <c r="D440" s="2"/>
      <c r="E440" s="2"/>
      <c r="F440" s="2"/>
      <c r="G440" s="2"/>
      <c r="H440" s="2"/>
      <c r="I440" s="5"/>
    </row>
    <row r="441" spans="1:9" ht="17.399999999999999" x14ac:dyDescent="0.25">
      <c r="A441" s="16"/>
      <c r="B441" s="17"/>
      <c r="C441" s="2"/>
      <c r="D441" s="2"/>
      <c r="E441" s="2"/>
      <c r="F441" s="2"/>
      <c r="G441" s="2"/>
      <c r="H441" s="2"/>
      <c r="I441" s="5"/>
    </row>
    <row r="442" spans="1:9" ht="17.399999999999999" x14ac:dyDescent="0.25">
      <c r="A442" s="16"/>
      <c r="B442" s="17"/>
      <c r="C442" s="2"/>
      <c r="D442" s="2"/>
      <c r="E442" s="2"/>
      <c r="F442" s="2"/>
      <c r="G442" s="2"/>
      <c r="H442" s="2"/>
      <c r="I442" s="5"/>
    </row>
    <row r="443" spans="1:9" ht="17.399999999999999" x14ac:dyDescent="0.25">
      <c r="A443" s="16"/>
      <c r="B443" s="17"/>
      <c r="C443" s="2"/>
      <c r="D443" s="2"/>
      <c r="E443" s="2"/>
      <c r="F443" s="2"/>
      <c r="G443" s="2"/>
      <c r="H443" s="2"/>
      <c r="I443" s="5"/>
    </row>
    <row r="444" spans="1:9" ht="17.399999999999999" x14ac:dyDescent="0.25">
      <c r="A444" s="16"/>
      <c r="B444" s="17"/>
      <c r="C444" s="2"/>
      <c r="D444" s="2"/>
      <c r="E444" s="2"/>
      <c r="F444" s="2"/>
      <c r="G444" s="2"/>
      <c r="H444" s="2"/>
      <c r="I444" s="5"/>
    </row>
    <row r="445" spans="1:9" ht="17.399999999999999" x14ac:dyDescent="0.25">
      <c r="A445" s="16"/>
      <c r="B445" s="17"/>
      <c r="C445" s="2"/>
      <c r="D445" s="2"/>
      <c r="E445" s="2"/>
      <c r="F445" s="2"/>
      <c r="G445" s="2"/>
      <c r="H445" s="2"/>
      <c r="I445" s="5"/>
    </row>
    <row r="446" spans="1:9" ht="17.399999999999999" x14ac:dyDescent="0.25">
      <c r="A446" s="16"/>
      <c r="B446" s="17"/>
      <c r="C446" s="2"/>
      <c r="D446" s="2"/>
      <c r="E446" s="2"/>
      <c r="F446" s="2"/>
      <c r="G446" s="2"/>
      <c r="H446" s="2"/>
      <c r="I446" s="5"/>
    </row>
    <row r="447" spans="1:9" ht="17.399999999999999" x14ac:dyDescent="0.25">
      <c r="A447" s="16"/>
      <c r="B447" s="17"/>
      <c r="C447" s="2"/>
      <c r="D447" s="2"/>
      <c r="E447" s="2"/>
      <c r="F447" s="2"/>
      <c r="G447" s="2"/>
      <c r="H447" s="2"/>
      <c r="I447" s="5"/>
    </row>
    <row r="448" spans="1:9" ht="17.399999999999999" x14ac:dyDescent="0.25">
      <c r="A448" s="16"/>
      <c r="B448" s="17"/>
      <c r="C448" s="2"/>
      <c r="D448" s="2"/>
      <c r="E448" s="2"/>
      <c r="F448" s="2"/>
      <c r="G448" s="2"/>
      <c r="H448" s="2"/>
      <c r="I448" s="5"/>
    </row>
    <row r="449" spans="1:9" ht="17.399999999999999" x14ac:dyDescent="0.25">
      <c r="A449" s="16"/>
      <c r="B449" s="17"/>
      <c r="C449" s="2"/>
      <c r="D449" s="2"/>
      <c r="E449" s="2"/>
      <c r="F449" s="2"/>
      <c r="G449" s="2"/>
      <c r="H449" s="2"/>
      <c r="I449" s="5"/>
    </row>
    <row r="450" spans="1:9" ht="17.399999999999999" x14ac:dyDescent="0.25">
      <c r="A450" s="16"/>
      <c r="B450" s="17"/>
      <c r="C450" s="2"/>
      <c r="D450" s="2"/>
      <c r="E450" s="2"/>
      <c r="F450" s="2"/>
      <c r="G450" s="2"/>
      <c r="H450" s="2"/>
      <c r="I450" s="5"/>
    </row>
    <row r="451" spans="1:9" ht="17.399999999999999" x14ac:dyDescent="0.25">
      <c r="A451" s="16"/>
      <c r="B451" s="17"/>
      <c r="C451" s="2"/>
      <c r="D451" s="2"/>
      <c r="E451" s="2"/>
      <c r="F451" s="2"/>
      <c r="G451" s="2"/>
      <c r="H451" s="2"/>
      <c r="I451" s="5"/>
    </row>
    <row r="452" spans="1:9" ht="17.399999999999999" x14ac:dyDescent="0.25">
      <c r="A452" s="16"/>
      <c r="B452" s="17"/>
      <c r="C452" s="2"/>
      <c r="D452" s="2"/>
      <c r="E452" s="2"/>
      <c r="F452" s="2"/>
      <c r="G452" s="2"/>
      <c r="H452" s="2"/>
      <c r="I452" s="5"/>
    </row>
    <row r="453" spans="1:9" ht="17.399999999999999" x14ac:dyDescent="0.25">
      <c r="A453" s="16"/>
      <c r="B453" s="17"/>
      <c r="C453" s="2"/>
      <c r="D453" s="2"/>
      <c r="E453" s="2"/>
      <c r="F453" s="2"/>
      <c r="G453" s="2"/>
      <c r="H453" s="2"/>
      <c r="I453" s="5"/>
    </row>
    <row r="454" spans="1:9" ht="17.399999999999999" x14ac:dyDescent="0.25">
      <c r="A454" s="16"/>
      <c r="B454" s="17"/>
      <c r="C454" s="2"/>
      <c r="D454" s="2"/>
      <c r="E454" s="2"/>
      <c r="F454" s="2"/>
      <c r="G454" s="2"/>
      <c r="H454" s="2"/>
      <c r="I454" s="5"/>
    </row>
    <row r="455" spans="1:9" ht="17.399999999999999" x14ac:dyDescent="0.25">
      <c r="A455" s="16"/>
      <c r="B455" s="17"/>
      <c r="C455" s="2"/>
      <c r="D455" s="2"/>
      <c r="E455" s="2"/>
      <c r="F455" s="2"/>
      <c r="G455" s="2"/>
      <c r="H455" s="2"/>
      <c r="I455" s="5"/>
    </row>
    <row r="456" spans="1:9" ht="17.399999999999999" x14ac:dyDescent="0.25">
      <c r="A456" s="16"/>
      <c r="B456" s="17"/>
      <c r="C456" s="2"/>
      <c r="D456" s="2"/>
      <c r="E456" s="2"/>
      <c r="F456" s="2"/>
      <c r="G456" s="2"/>
      <c r="H456" s="2"/>
      <c r="I456" s="5"/>
    </row>
    <row r="457" spans="1:9" ht="17.399999999999999" x14ac:dyDescent="0.25">
      <c r="A457" s="16"/>
      <c r="B457" s="17"/>
      <c r="C457" s="2"/>
      <c r="D457" s="2"/>
      <c r="E457" s="2"/>
      <c r="F457" s="2"/>
      <c r="G457" s="2"/>
      <c r="H457" s="2"/>
      <c r="I457" s="5"/>
    </row>
    <row r="458" spans="1:9" ht="17.399999999999999" x14ac:dyDescent="0.25">
      <c r="A458" s="16"/>
      <c r="B458" s="17"/>
      <c r="C458" s="2"/>
      <c r="D458" s="2"/>
      <c r="E458" s="2"/>
      <c r="F458" s="2"/>
      <c r="G458" s="2"/>
      <c r="H458" s="2"/>
      <c r="I458" s="5"/>
    </row>
    <row r="459" spans="1:9" ht="17.399999999999999" x14ac:dyDescent="0.25">
      <c r="A459" s="16"/>
      <c r="B459" s="17"/>
      <c r="C459" s="2"/>
      <c r="D459" s="2"/>
      <c r="E459" s="2"/>
      <c r="F459" s="2"/>
      <c r="G459" s="2"/>
      <c r="H459" s="2"/>
      <c r="I459" s="5"/>
    </row>
    <row r="460" spans="1:9" ht="17.399999999999999" x14ac:dyDescent="0.25">
      <c r="A460" s="16"/>
      <c r="B460" s="17"/>
      <c r="C460" s="2"/>
      <c r="D460" s="2"/>
      <c r="E460" s="2"/>
      <c r="F460" s="2"/>
      <c r="G460" s="2"/>
      <c r="H460" s="2"/>
      <c r="I460" s="5"/>
    </row>
    <row r="461" spans="1:9" ht="17.399999999999999" x14ac:dyDescent="0.25">
      <c r="A461" s="16"/>
      <c r="B461" s="17"/>
      <c r="C461" s="2"/>
      <c r="D461" s="2"/>
      <c r="E461" s="2"/>
      <c r="F461" s="2"/>
      <c r="G461" s="2"/>
      <c r="H461" s="2"/>
      <c r="I461" s="5"/>
    </row>
    <row r="462" spans="1:9" ht="17.399999999999999" x14ac:dyDescent="0.25">
      <c r="A462" s="16"/>
      <c r="B462" s="17"/>
      <c r="C462" s="2"/>
      <c r="D462" s="2"/>
      <c r="E462" s="2"/>
      <c r="F462" s="2"/>
      <c r="G462" s="2"/>
      <c r="H462" s="2"/>
      <c r="I462" s="5"/>
    </row>
    <row r="463" spans="1:9" ht="17.399999999999999" x14ac:dyDescent="0.25">
      <c r="A463" s="16"/>
      <c r="B463" s="17"/>
      <c r="C463" s="2"/>
      <c r="D463" s="2"/>
      <c r="E463" s="2"/>
      <c r="F463" s="2"/>
      <c r="G463" s="2"/>
      <c r="H463" s="2"/>
      <c r="I463" s="5"/>
    </row>
    <row r="464" spans="1:9" ht="17.399999999999999" x14ac:dyDescent="0.25">
      <c r="A464" s="16"/>
      <c r="B464" s="17"/>
      <c r="C464" s="2"/>
      <c r="D464" s="2"/>
      <c r="E464" s="2"/>
      <c r="F464" s="2"/>
      <c r="G464" s="2"/>
      <c r="H464" s="2"/>
      <c r="I464" s="5"/>
    </row>
    <row r="465" spans="1:9" ht="17.399999999999999" x14ac:dyDescent="0.25">
      <c r="A465" s="16"/>
      <c r="B465" s="17"/>
      <c r="C465" s="2"/>
      <c r="D465" s="2"/>
      <c r="E465" s="2"/>
      <c r="F465" s="2"/>
      <c r="G465" s="2"/>
      <c r="H465" s="2"/>
      <c r="I465" s="5"/>
    </row>
    <row r="466" spans="1:9" ht="17.399999999999999" x14ac:dyDescent="0.25">
      <c r="A466" s="16"/>
      <c r="B466" s="17"/>
      <c r="C466" s="2"/>
      <c r="D466" s="2"/>
      <c r="E466" s="2"/>
      <c r="F466" s="2"/>
      <c r="G466" s="2"/>
      <c r="H466" s="2"/>
      <c r="I466" s="5"/>
    </row>
    <row r="467" spans="1:9" ht="17.399999999999999" x14ac:dyDescent="0.25">
      <c r="A467" s="16"/>
      <c r="B467" s="17"/>
      <c r="C467" s="2"/>
      <c r="D467" s="2"/>
      <c r="E467" s="2"/>
      <c r="F467" s="2"/>
      <c r="G467" s="2"/>
      <c r="H467" s="2"/>
      <c r="I467" s="5"/>
    </row>
    <row r="468" spans="1:9" ht="17.399999999999999" x14ac:dyDescent="0.25">
      <c r="A468" s="16"/>
      <c r="B468" s="17"/>
      <c r="C468" s="2"/>
      <c r="D468" s="2"/>
      <c r="E468" s="2"/>
      <c r="F468" s="2"/>
      <c r="G468" s="2"/>
      <c r="H468" s="2"/>
      <c r="I468" s="5"/>
    </row>
    <row r="469" spans="1:9" ht="17.399999999999999" x14ac:dyDescent="0.25">
      <c r="A469" s="16"/>
      <c r="B469" s="17"/>
      <c r="C469" s="2"/>
      <c r="D469" s="2"/>
      <c r="E469" s="2"/>
      <c r="F469" s="2"/>
      <c r="G469" s="2"/>
      <c r="H469" s="2"/>
      <c r="I469" s="5"/>
    </row>
    <row r="470" spans="1:9" ht="17.399999999999999" x14ac:dyDescent="0.25">
      <c r="A470" s="16"/>
      <c r="B470" s="17"/>
      <c r="C470" s="2"/>
      <c r="D470" s="2"/>
      <c r="E470" s="2"/>
      <c r="F470" s="2"/>
      <c r="G470" s="2"/>
      <c r="H470" s="2"/>
      <c r="I470" s="5"/>
    </row>
    <row r="471" spans="1:9" ht="17.399999999999999" x14ac:dyDescent="0.25">
      <c r="A471" s="16"/>
      <c r="B471" s="17"/>
      <c r="C471" s="2"/>
      <c r="D471" s="2"/>
      <c r="E471" s="2"/>
      <c r="F471" s="2"/>
      <c r="G471" s="2"/>
      <c r="H471" s="2"/>
      <c r="I471" s="5"/>
    </row>
    <row r="472" spans="1:9" ht="17.399999999999999" x14ac:dyDescent="0.25">
      <c r="A472" s="16"/>
      <c r="B472" s="17"/>
      <c r="C472" s="2"/>
      <c r="D472" s="2"/>
      <c r="E472" s="2"/>
      <c r="F472" s="2"/>
      <c r="G472" s="2"/>
      <c r="H472" s="2"/>
      <c r="I472" s="5"/>
    </row>
    <row r="473" spans="1:9" ht="17.399999999999999" x14ac:dyDescent="0.25">
      <c r="A473" s="16"/>
      <c r="B473" s="17"/>
      <c r="C473" s="2"/>
      <c r="D473" s="2"/>
      <c r="E473" s="2"/>
      <c r="F473" s="2"/>
      <c r="G473" s="2"/>
      <c r="H473" s="2"/>
      <c r="I473" s="5"/>
    </row>
    <row r="474" spans="1:9" ht="17.399999999999999" x14ac:dyDescent="0.25">
      <c r="A474" s="16"/>
      <c r="B474" s="17"/>
      <c r="C474" s="2"/>
      <c r="D474" s="2"/>
      <c r="E474" s="2"/>
      <c r="F474" s="2"/>
      <c r="G474" s="2"/>
      <c r="H474" s="2"/>
      <c r="I474" s="5"/>
    </row>
    <row r="475" spans="1:9" ht="17.399999999999999" x14ac:dyDescent="0.25">
      <c r="A475" s="16"/>
      <c r="B475" s="17"/>
      <c r="C475" s="2"/>
      <c r="D475" s="2"/>
      <c r="E475" s="2"/>
      <c r="F475" s="2"/>
      <c r="G475" s="2"/>
      <c r="H475" s="2"/>
      <c r="I475" s="5"/>
    </row>
    <row r="476" spans="1:9" ht="17.399999999999999" x14ac:dyDescent="0.25">
      <c r="A476" s="16"/>
      <c r="B476" s="17"/>
      <c r="C476" s="2"/>
      <c r="D476" s="2"/>
      <c r="E476" s="2"/>
      <c r="F476" s="2"/>
      <c r="G476" s="2"/>
      <c r="H476" s="2"/>
      <c r="I476" s="5"/>
    </row>
    <row r="477" spans="1:9" ht="17.399999999999999" x14ac:dyDescent="0.25">
      <c r="A477" s="16"/>
      <c r="B477" s="17"/>
      <c r="C477" s="2"/>
      <c r="D477" s="2"/>
      <c r="E477" s="2"/>
      <c r="F477" s="2"/>
      <c r="G477" s="2"/>
      <c r="H477" s="2"/>
      <c r="I477" s="5"/>
    </row>
    <row r="478" spans="1:9" ht="17.399999999999999" x14ac:dyDescent="0.25">
      <c r="A478" s="16"/>
      <c r="B478" s="17"/>
      <c r="C478" s="2"/>
      <c r="D478" s="2"/>
      <c r="E478" s="2"/>
      <c r="F478" s="2"/>
      <c r="G478" s="2"/>
      <c r="H478" s="2"/>
      <c r="I478" s="5"/>
    </row>
    <row r="479" spans="1:9" ht="17.399999999999999" x14ac:dyDescent="0.25">
      <c r="A479" s="16"/>
      <c r="B479" s="17"/>
      <c r="C479" s="2"/>
      <c r="D479" s="2"/>
      <c r="E479" s="2"/>
      <c r="F479" s="2"/>
      <c r="G479" s="2"/>
      <c r="H479" s="2"/>
      <c r="I479" s="5"/>
    </row>
    <row r="480" spans="1:9" ht="17.399999999999999" x14ac:dyDescent="0.25">
      <c r="A480" s="16"/>
      <c r="B480" s="17"/>
      <c r="C480" s="2"/>
      <c r="D480" s="2"/>
      <c r="E480" s="2"/>
      <c r="F480" s="2"/>
      <c r="G480" s="2"/>
      <c r="H480" s="2"/>
      <c r="I480" s="5"/>
    </row>
    <row r="481" spans="1:9" ht="17.399999999999999" x14ac:dyDescent="0.25">
      <c r="A481" s="16"/>
      <c r="B481" s="17"/>
      <c r="C481" s="2"/>
      <c r="D481" s="2"/>
      <c r="E481" s="2"/>
      <c r="F481" s="2"/>
      <c r="G481" s="2"/>
      <c r="H481" s="2"/>
      <c r="I481" s="5"/>
    </row>
    <row r="482" spans="1:9" ht="17.399999999999999" x14ac:dyDescent="0.25">
      <c r="A482" s="16"/>
      <c r="B482" s="17"/>
      <c r="C482" s="2"/>
      <c r="D482" s="2"/>
      <c r="E482" s="2"/>
      <c r="F482" s="2"/>
      <c r="G482" s="2"/>
      <c r="H482" s="2"/>
      <c r="I482" s="5"/>
    </row>
    <row r="483" spans="1:9" ht="17.399999999999999" x14ac:dyDescent="0.25">
      <c r="A483" s="16"/>
      <c r="B483" s="17"/>
      <c r="C483" s="2"/>
      <c r="D483" s="2"/>
      <c r="E483" s="2"/>
      <c r="F483" s="2"/>
      <c r="G483" s="2"/>
      <c r="H483" s="2"/>
      <c r="I483" s="5"/>
    </row>
    <row r="484" spans="1:9" ht="17.399999999999999" x14ac:dyDescent="0.25">
      <c r="A484" s="16"/>
      <c r="B484" s="17"/>
      <c r="C484" s="2"/>
      <c r="D484" s="2"/>
      <c r="E484" s="2"/>
      <c r="F484" s="2"/>
      <c r="G484" s="2"/>
      <c r="H484" s="2"/>
      <c r="I484" s="5"/>
    </row>
    <row r="485" spans="1:9" ht="17.399999999999999" x14ac:dyDescent="0.25">
      <c r="A485" s="16"/>
      <c r="B485" s="17"/>
      <c r="C485" s="2"/>
      <c r="D485" s="2"/>
      <c r="E485" s="2"/>
      <c r="F485" s="2"/>
      <c r="G485" s="2"/>
      <c r="H485" s="2"/>
      <c r="I485" s="5"/>
    </row>
    <row r="486" spans="1:9" ht="17.399999999999999" x14ac:dyDescent="0.25">
      <c r="A486" s="16"/>
      <c r="B486" s="17"/>
      <c r="C486" s="2"/>
      <c r="D486" s="2"/>
      <c r="E486" s="2"/>
      <c r="F486" s="2"/>
      <c r="G486" s="2"/>
      <c r="H486" s="2"/>
      <c r="I486" s="5"/>
    </row>
    <row r="487" spans="1:9" ht="17.399999999999999" x14ac:dyDescent="0.25">
      <c r="A487" s="16"/>
      <c r="B487" s="17"/>
      <c r="C487" s="2"/>
      <c r="D487" s="2"/>
      <c r="E487" s="2"/>
      <c r="F487" s="2"/>
      <c r="G487" s="2"/>
      <c r="H487" s="2"/>
      <c r="I487" s="5"/>
    </row>
    <row r="488" spans="1:9" ht="17.399999999999999" x14ac:dyDescent="0.25">
      <c r="A488" s="16"/>
      <c r="B488" s="17"/>
      <c r="C488" s="2"/>
      <c r="D488" s="2"/>
      <c r="E488" s="2"/>
      <c r="F488" s="2"/>
      <c r="G488" s="2"/>
      <c r="H488" s="2"/>
      <c r="I488" s="5"/>
    </row>
    <row r="489" spans="1:9" ht="17.399999999999999" x14ac:dyDescent="0.25">
      <c r="A489" s="16"/>
      <c r="B489" s="17"/>
      <c r="C489" s="2"/>
      <c r="D489" s="2"/>
      <c r="E489" s="2"/>
      <c r="F489" s="2"/>
      <c r="G489" s="2"/>
      <c r="H489" s="2"/>
      <c r="I489" s="5"/>
    </row>
    <row r="490" spans="1:9" ht="17.399999999999999" x14ac:dyDescent="0.25">
      <c r="A490" s="16"/>
      <c r="B490" s="17"/>
      <c r="C490" s="2"/>
      <c r="D490" s="2"/>
      <c r="E490" s="2"/>
      <c r="F490" s="2"/>
      <c r="G490" s="2"/>
      <c r="H490" s="2"/>
      <c r="I490" s="5"/>
    </row>
    <row r="491" spans="1:9" ht="17.399999999999999" x14ac:dyDescent="0.25">
      <c r="A491" s="16"/>
      <c r="B491" s="17"/>
      <c r="C491" s="2"/>
      <c r="D491" s="2"/>
      <c r="E491" s="2"/>
      <c r="F491" s="2"/>
      <c r="G491" s="2"/>
      <c r="H491" s="2"/>
      <c r="I491" s="5"/>
    </row>
    <row r="492" spans="1:9" ht="17.399999999999999" x14ac:dyDescent="0.25">
      <c r="A492" s="16"/>
      <c r="B492" s="17"/>
      <c r="C492" s="2"/>
      <c r="D492" s="2"/>
      <c r="E492" s="2"/>
      <c r="F492" s="2"/>
      <c r="G492" s="2"/>
      <c r="H492" s="2"/>
      <c r="I492" s="5"/>
    </row>
    <row r="493" spans="1:9" ht="17.399999999999999" x14ac:dyDescent="0.25">
      <c r="A493" s="16"/>
      <c r="B493" s="17"/>
      <c r="C493" s="2"/>
      <c r="D493" s="2"/>
      <c r="E493" s="2"/>
      <c r="F493" s="2"/>
      <c r="G493" s="2"/>
      <c r="H493" s="2"/>
      <c r="I493" s="5"/>
    </row>
    <row r="494" spans="1:9" ht="17.399999999999999" x14ac:dyDescent="0.25">
      <c r="A494" s="16"/>
      <c r="B494" s="17"/>
      <c r="C494" s="2"/>
      <c r="D494" s="2"/>
      <c r="E494" s="2"/>
      <c r="F494" s="2"/>
      <c r="G494" s="2"/>
      <c r="H494" s="2"/>
      <c r="I494" s="5"/>
    </row>
    <row r="495" spans="1:9" ht="17.399999999999999" x14ac:dyDescent="0.25">
      <c r="A495" s="16"/>
      <c r="B495" s="17"/>
      <c r="C495" s="2"/>
      <c r="D495" s="2"/>
      <c r="E495" s="2"/>
      <c r="F495" s="2"/>
      <c r="G495" s="2"/>
      <c r="H495" s="2"/>
      <c r="I495" s="5"/>
    </row>
    <row r="496" spans="1:9" ht="17.399999999999999" x14ac:dyDescent="0.25">
      <c r="A496" s="16"/>
      <c r="B496" s="17"/>
      <c r="C496" s="2"/>
      <c r="D496" s="2"/>
      <c r="E496" s="2"/>
      <c r="F496" s="2"/>
      <c r="G496" s="2"/>
      <c r="H496" s="2"/>
      <c r="I496" s="5"/>
    </row>
    <row r="497" spans="1:9" ht="17.399999999999999" x14ac:dyDescent="0.25">
      <c r="A497" s="16"/>
      <c r="B497" s="17"/>
      <c r="C497" s="2"/>
      <c r="D497" s="2"/>
      <c r="E497" s="2"/>
      <c r="F497" s="2"/>
      <c r="G497" s="2"/>
      <c r="H497" s="2"/>
      <c r="I497" s="5"/>
    </row>
    <row r="498" spans="1:9" ht="17.399999999999999" x14ac:dyDescent="0.25">
      <c r="A498" s="16"/>
      <c r="B498" s="17"/>
      <c r="C498" s="2"/>
      <c r="D498" s="2"/>
      <c r="E498" s="2"/>
      <c r="F498" s="2"/>
      <c r="G498" s="2"/>
      <c r="H498" s="2"/>
      <c r="I498" s="5"/>
    </row>
    <row r="499" spans="1:9" ht="17.399999999999999" x14ac:dyDescent="0.25">
      <c r="A499" s="16"/>
      <c r="B499" s="17"/>
      <c r="C499" s="2"/>
      <c r="D499" s="2"/>
      <c r="E499" s="2"/>
      <c r="F499" s="2"/>
      <c r="G499" s="2"/>
      <c r="H499" s="2"/>
      <c r="I499" s="5"/>
    </row>
    <row r="500" spans="1:9" ht="17.399999999999999" x14ac:dyDescent="0.25">
      <c r="A500" s="16"/>
      <c r="B500" s="17"/>
      <c r="C500" s="2"/>
      <c r="D500" s="2"/>
      <c r="E500" s="2"/>
      <c r="F500" s="2"/>
      <c r="G500" s="2"/>
      <c r="H500" s="2"/>
      <c r="I500" s="5"/>
    </row>
    <row r="501" spans="1:9" ht="17.399999999999999" x14ac:dyDescent="0.25">
      <c r="A501" s="16"/>
      <c r="B501" s="17"/>
      <c r="C501" s="2"/>
      <c r="D501" s="2"/>
      <c r="E501" s="2"/>
      <c r="F501" s="2"/>
      <c r="G501" s="2"/>
      <c r="H501" s="2"/>
      <c r="I501" s="5"/>
    </row>
    <row r="502" spans="1:9" ht="17.399999999999999" x14ac:dyDescent="0.25">
      <c r="A502" s="16"/>
      <c r="B502" s="17"/>
      <c r="C502" s="2"/>
      <c r="D502" s="2"/>
      <c r="E502" s="2"/>
      <c r="F502" s="2"/>
      <c r="G502" s="2"/>
      <c r="H502" s="2"/>
      <c r="I502" s="5"/>
    </row>
    <row r="503" spans="1:9" ht="17.399999999999999" x14ac:dyDescent="0.25">
      <c r="A503" s="16"/>
      <c r="B503" s="17"/>
      <c r="C503" s="2"/>
      <c r="D503" s="2"/>
      <c r="E503" s="2"/>
      <c r="F503" s="2"/>
      <c r="G503" s="2"/>
      <c r="H503" s="2"/>
      <c r="I503" s="5"/>
    </row>
    <row r="504" spans="1:9" ht="17.399999999999999" x14ac:dyDescent="0.25">
      <c r="A504" s="16"/>
      <c r="B504" s="17"/>
      <c r="C504" s="2"/>
      <c r="D504" s="2"/>
      <c r="E504" s="2"/>
      <c r="F504" s="2"/>
      <c r="G504" s="2"/>
      <c r="H504" s="2"/>
      <c r="I504" s="5"/>
    </row>
    <row r="505" spans="1:9" ht="17.399999999999999" x14ac:dyDescent="0.25">
      <c r="A505" s="16"/>
      <c r="B505" s="17"/>
      <c r="C505" s="2"/>
      <c r="D505" s="2"/>
      <c r="E505" s="2"/>
      <c r="F505" s="2"/>
      <c r="G505" s="2"/>
      <c r="H505" s="2"/>
      <c r="I505" s="5"/>
    </row>
    <row r="506" spans="1:9" ht="17.399999999999999" x14ac:dyDescent="0.25">
      <c r="A506" s="16"/>
      <c r="B506" s="17"/>
      <c r="C506" s="2"/>
      <c r="D506" s="2"/>
      <c r="E506" s="2"/>
      <c r="F506" s="2"/>
      <c r="G506" s="2"/>
      <c r="H506" s="2"/>
      <c r="I506" s="5"/>
    </row>
    <row r="507" spans="1:9" ht="17.399999999999999" x14ac:dyDescent="0.25">
      <c r="A507" s="16"/>
      <c r="B507" s="17"/>
      <c r="C507" s="2"/>
      <c r="D507" s="2"/>
      <c r="E507" s="2"/>
      <c r="F507" s="2"/>
      <c r="G507" s="2"/>
      <c r="H507" s="2"/>
      <c r="I507" s="5"/>
    </row>
    <row r="508" spans="1:9" ht="17.399999999999999" x14ac:dyDescent="0.25">
      <c r="A508" s="16"/>
      <c r="B508" s="17"/>
      <c r="C508" s="2"/>
      <c r="D508" s="2"/>
      <c r="E508" s="2"/>
      <c r="F508" s="2"/>
      <c r="G508" s="2"/>
      <c r="H508" s="2"/>
      <c r="I508" s="5"/>
    </row>
    <row r="509" spans="1:9" ht="17.399999999999999" x14ac:dyDescent="0.25">
      <c r="A509" s="16"/>
      <c r="B509" s="17"/>
      <c r="C509" s="2"/>
      <c r="D509" s="2"/>
      <c r="E509" s="2"/>
      <c r="F509" s="2"/>
      <c r="G509" s="2"/>
      <c r="H509" s="2"/>
      <c r="I509" s="5"/>
    </row>
    <row r="510" spans="1:9" ht="17.399999999999999" x14ac:dyDescent="0.25">
      <c r="A510" s="16"/>
      <c r="B510" s="17"/>
      <c r="C510" s="2"/>
      <c r="D510" s="2"/>
      <c r="E510" s="2"/>
      <c r="F510" s="2"/>
      <c r="G510" s="2"/>
      <c r="H510" s="2"/>
      <c r="I510" s="5"/>
    </row>
    <row r="511" spans="1:9" ht="17.399999999999999" x14ac:dyDescent="0.25">
      <c r="A511" s="16"/>
      <c r="B511" s="17"/>
      <c r="C511" s="2"/>
      <c r="D511" s="2"/>
      <c r="E511" s="2"/>
      <c r="F511" s="2"/>
      <c r="G511" s="2"/>
      <c r="H511" s="2"/>
      <c r="I511" s="5"/>
    </row>
    <row r="512" spans="1:9" ht="17.399999999999999" x14ac:dyDescent="0.25">
      <c r="A512" s="16"/>
      <c r="B512" s="17"/>
      <c r="C512" s="2"/>
      <c r="D512" s="2"/>
      <c r="E512" s="2"/>
      <c r="F512" s="2"/>
      <c r="G512" s="2"/>
      <c r="H512" s="2"/>
      <c r="I512" s="5"/>
    </row>
    <row r="513" spans="1:9" ht="17.399999999999999" x14ac:dyDescent="0.25">
      <c r="A513" s="16"/>
      <c r="B513" s="17"/>
      <c r="C513" s="2"/>
      <c r="D513" s="2"/>
      <c r="E513" s="2"/>
      <c r="F513" s="2"/>
      <c r="G513" s="2"/>
      <c r="H513" s="2"/>
      <c r="I513" s="5"/>
    </row>
    <row r="514" spans="1:9" ht="17.399999999999999" x14ac:dyDescent="0.25">
      <c r="A514" s="16"/>
      <c r="B514" s="17"/>
      <c r="C514" s="2"/>
      <c r="D514" s="2"/>
      <c r="E514" s="2"/>
      <c r="F514" s="2"/>
      <c r="G514" s="2"/>
      <c r="H514" s="2"/>
      <c r="I514" s="5"/>
    </row>
    <row r="515" spans="1:9" ht="17.399999999999999" x14ac:dyDescent="0.25">
      <c r="A515" s="16"/>
      <c r="B515" s="17"/>
      <c r="C515" s="2"/>
      <c r="D515" s="2"/>
      <c r="E515" s="2"/>
      <c r="F515" s="2"/>
      <c r="G515" s="2"/>
      <c r="H515" s="2"/>
      <c r="I515" s="5"/>
    </row>
    <row r="516" spans="1:9" ht="17.399999999999999" x14ac:dyDescent="0.25">
      <c r="A516" s="16"/>
      <c r="B516" s="17"/>
      <c r="C516" s="2"/>
      <c r="D516" s="2"/>
      <c r="E516" s="2"/>
      <c r="F516" s="2"/>
      <c r="G516" s="2"/>
      <c r="H516" s="2"/>
      <c r="I516" s="5"/>
    </row>
    <row r="517" spans="1:9" ht="17.399999999999999" x14ac:dyDescent="0.25">
      <c r="A517" s="16"/>
      <c r="B517" s="17"/>
      <c r="C517" s="2"/>
      <c r="D517" s="2"/>
      <c r="E517" s="2"/>
      <c r="F517" s="2"/>
      <c r="G517" s="2"/>
      <c r="H517" s="2"/>
      <c r="I517" s="5"/>
    </row>
    <row r="518" spans="1:9" ht="17.399999999999999" x14ac:dyDescent="0.25">
      <c r="A518" s="16"/>
      <c r="B518" s="17"/>
      <c r="C518" s="2"/>
      <c r="D518" s="2"/>
      <c r="E518" s="2"/>
      <c r="F518" s="2"/>
      <c r="G518" s="2"/>
      <c r="H518" s="2"/>
      <c r="I518" s="5"/>
    </row>
    <row r="519" spans="1:9" ht="17.399999999999999" x14ac:dyDescent="0.25">
      <c r="A519" s="16"/>
      <c r="B519" s="17"/>
      <c r="C519" s="2"/>
      <c r="D519" s="2"/>
      <c r="E519" s="2"/>
      <c r="F519" s="2"/>
      <c r="G519" s="2"/>
      <c r="H519" s="2"/>
      <c r="I519" s="5"/>
    </row>
    <row r="520" spans="1:9" ht="17.399999999999999" x14ac:dyDescent="0.25">
      <c r="A520" s="16"/>
      <c r="B520" s="17"/>
      <c r="C520" s="2"/>
      <c r="D520" s="2"/>
      <c r="E520" s="2"/>
      <c r="F520" s="2"/>
      <c r="G520" s="2"/>
      <c r="H520" s="2"/>
      <c r="I520" s="5"/>
    </row>
    <row r="521" spans="1:9" ht="17.399999999999999" x14ac:dyDescent="0.25">
      <c r="A521" s="16"/>
      <c r="B521" s="17"/>
      <c r="C521" s="2"/>
      <c r="D521" s="2"/>
      <c r="E521" s="2"/>
      <c r="F521" s="2"/>
      <c r="G521" s="2"/>
      <c r="H521" s="2"/>
      <c r="I521" s="5"/>
    </row>
    <row r="522" spans="1:9" ht="17.399999999999999" x14ac:dyDescent="0.25">
      <c r="A522" s="16"/>
      <c r="B522" s="17"/>
      <c r="C522" s="2"/>
      <c r="D522" s="2"/>
      <c r="E522" s="2"/>
      <c r="F522" s="2"/>
      <c r="G522" s="2"/>
      <c r="H522" s="2"/>
      <c r="I522" s="5"/>
    </row>
    <row r="523" spans="1:9" ht="17.399999999999999" x14ac:dyDescent="0.25">
      <c r="A523" s="16"/>
      <c r="B523" s="17"/>
      <c r="C523" s="2"/>
      <c r="D523" s="2"/>
      <c r="E523" s="2"/>
      <c r="F523" s="2"/>
      <c r="G523" s="2"/>
      <c r="H523" s="2"/>
      <c r="I523" s="5"/>
    </row>
    <row r="524" spans="1:9" ht="17.399999999999999" x14ac:dyDescent="0.25">
      <c r="A524" s="16"/>
      <c r="B524" s="17"/>
      <c r="C524" s="2"/>
      <c r="D524" s="2"/>
      <c r="E524" s="2"/>
      <c r="F524" s="2"/>
      <c r="G524" s="2"/>
      <c r="H524" s="2"/>
      <c r="I524" s="5"/>
    </row>
    <row r="525" spans="1:9" ht="17.399999999999999" x14ac:dyDescent="0.25">
      <c r="A525" s="16"/>
      <c r="B525" s="17"/>
      <c r="C525" s="2"/>
      <c r="D525" s="2"/>
      <c r="E525" s="2"/>
      <c r="F525" s="2"/>
      <c r="G525" s="2"/>
      <c r="H525" s="2"/>
      <c r="I525" s="5"/>
    </row>
    <row r="526" spans="1:9" ht="17.399999999999999" x14ac:dyDescent="0.25">
      <c r="A526" s="16"/>
      <c r="B526" s="17"/>
      <c r="C526" s="2"/>
      <c r="D526" s="2"/>
      <c r="E526" s="2"/>
      <c r="F526" s="2"/>
      <c r="G526" s="2"/>
      <c r="H526" s="2"/>
      <c r="I526" s="5"/>
    </row>
    <row r="527" spans="1:9" ht="17.399999999999999" x14ac:dyDescent="0.25">
      <c r="A527" s="16"/>
      <c r="B527" s="17"/>
      <c r="C527" s="2"/>
      <c r="D527" s="2"/>
      <c r="E527" s="2"/>
      <c r="F527" s="2"/>
      <c r="G527" s="2"/>
      <c r="H527" s="2"/>
      <c r="I527" s="5"/>
    </row>
    <row r="528" spans="1:9" ht="17.399999999999999" x14ac:dyDescent="0.25">
      <c r="A528" s="16"/>
      <c r="B528" s="17"/>
      <c r="C528" s="2"/>
      <c r="D528" s="2"/>
      <c r="E528" s="2"/>
      <c r="F528" s="2"/>
      <c r="G528" s="2"/>
      <c r="H528" s="2"/>
      <c r="I528" s="5"/>
    </row>
    <row r="529" spans="1:9" ht="17.399999999999999" x14ac:dyDescent="0.25">
      <c r="A529" s="16"/>
      <c r="B529" s="17"/>
      <c r="C529" s="2"/>
      <c r="D529" s="2"/>
      <c r="E529" s="2"/>
      <c r="F529" s="2"/>
      <c r="G529" s="2"/>
      <c r="H529" s="2"/>
      <c r="I529" s="5"/>
    </row>
    <row r="530" spans="1:9" ht="17.399999999999999" x14ac:dyDescent="0.25">
      <c r="A530" s="16"/>
      <c r="B530" s="17"/>
      <c r="C530" s="2"/>
      <c r="D530" s="2"/>
      <c r="E530" s="2"/>
      <c r="F530" s="2"/>
      <c r="G530" s="2"/>
      <c r="H530" s="2"/>
      <c r="I530" s="5"/>
    </row>
    <row r="531" spans="1:9" ht="17.399999999999999" x14ac:dyDescent="0.25">
      <c r="A531" s="16"/>
      <c r="B531" s="17"/>
      <c r="C531" s="2"/>
      <c r="D531" s="2"/>
      <c r="E531" s="2"/>
      <c r="F531" s="2"/>
      <c r="G531" s="2"/>
      <c r="H531" s="2"/>
      <c r="I531" s="5"/>
    </row>
    <row r="532" spans="1:9" ht="17.399999999999999" x14ac:dyDescent="0.25">
      <c r="A532" s="16"/>
      <c r="B532" s="17"/>
      <c r="C532" s="2"/>
      <c r="D532" s="2"/>
      <c r="E532" s="2"/>
      <c r="F532" s="2"/>
      <c r="G532" s="2"/>
      <c r="H532" s="2"/>
      <c r="I532" s="5"/>
    </row>
    <row r="533" spans="1:9" ht="17.399999999999999" x14ac:dyDescent="0.25">
      <c r="A533" s="16"/>
      <c r="B533" s="17"/>
      <c r="C533" s="2"/>
      <c r="D533" s="2"/>
      <c r="E533" s="2"/>
      <c r="F533" s="2"/>
      <c r="G533" s="2"/>
      <c r="H533" s="2"/>
      <c r="I533" s="5"/>
    </row>
    <row r="534" spans="1:9" ht="17.399999999999999" x14ac:dyDescent="0.25">
      <c r="A534" s="16"/>
      <c r="B534" s="17"/>
      <c r="C534" s="2"/>
      <c r="D534" s="2"/>
      <c r="E534" s="2"/>
      <c r="F534" s="2"/>
      <c r="G534" s="2"/>
      <c r="H534" s="2"/>
      <c r="I534" s="5"/>
    </row>
    <row r="535" spans="1:9" ht="17.399999999999999" x14ac:dyDescent="0.25">
      <c r="A535" s="16"/>
      <c r="B535" s="17"/>
      <c r="C535" s="2"/>
      <c r="D535" s="2"/>
      <c r="E535" s="2"/>
      <c r="F535" s="2"/>
      <c r="G535" s="2"/>
      <c r="H535" s="2"/>
      <c r="I535" s="5"/>
    </row>
    <row r="536" spans="1:9" ht="17.399999999999999" x14ac:dyDescent="0.25">
      <c r="A536" s="16"/>
      <c r="B536" s="17"/>
      <c r="C536" s="2"/>
      <c r="D536" s="2"/>
      <c r="E536" s="2"/>
      <c r="F536" s="2"/>
      <c r="G536" s="2"/>
      <c r="H536" s="2"/>
      <c r="I536" s="5"/>
    </row>
    <row r="537" spans="1:9" ht="17.399999999999999" x14ac:dyDescent="0.25">
      <c r="A537" s="16"/>
      <c r="B537" s="17"/>
      <c r="C537" s="2"/>
      <c r="D537" s="2"/>
      <c r="E537" s="2"/>
      <c r="F537" s="2"/>
      <c r="G537" s="2"/>
      <c r="H537" s="2"/>
      <c r="I537" s="5"/>
    </row>
    <row r="538" spans="1:9" ht="17.399999999999999" x14ac:dyDescent="0.25">
      <c r="A538" s="16"/>
      <c r="B538" s="17"/>
      <c r="C538" s="2"/>
      <c r="D538" s="2"/>
      <c r="E538" s="2"/>
      <c r="F538" s="2"/>
      <c r="G538" s="2"/>
      <c r="H538" s="2"/>
      <c r="I538" s="5"/>
    </row>
    <row r="539" spans="1:9" ht="17.399999999999999" x14ac:dyDescent="0.25">
      <c r="A539" s="16"/>
      <c r="B539" s="17"/>
      <c r="C539" s="2"/>
      <c r="D539" s="2"/>
      <c r="E539" s="2"/>
      <c r="F539" s="2"/>
      <c r="G539" s="2"/>
      <c r="H539" s="2"/>
      <c r="I539" s="5"/>
    </row>
    <row r="540" spans="1:9" ht="17.399999999999999" x14ac:dyDescent="0.25">
      <c r="A540" s="16"/>
      <c r="B540" s="17"/>
      <c r="C540" s="2"/>
      <c r="D540" s="2"/>
      <c r="E540" s="2"/>
      <c r="F540" s="2"/>
      <c r="G540" s="2"/>
      <c r="H540" s="2"/>
      <c r="I540" s="5"/>
    </row>
    <row r="541" spans="1:9" ht="17.399999999999999" x14ac:dyDescent="0.25">
      <c r="A541" s="16"/>
      <c r="B541" s="17"/>
      <c r="C541" s="2"/>
      <c r="D541" s="2"/>
      <c r="E541" s="2"/>
      <c r="F541" s="2"/>
      <c r="G541" s="2"/>
      <c r="H541" s="2"/>
      <c r="I541" s="5"/>
    </row>
    <row r="542" spans="1:9" ht="17.399999999999999" x14ac:dyDescent="0.25">
      <c r="A542" s="16"/>
      <c r="B542" s="17"/>
      <c r="C542" s="2"/>
      <c r="D542" s="2"/>
      <c r="E542" s="2"/>
      <c r="F542" s="2"/>
      <c r="G542" s="2"/>
      <c r="H542" s="2"/>
      <c r="I542" s="5"/>
    </row>
    <row r="543" spans="1:9" ht="17.399999999999999" x14ac:dyDescent="0.25">
      <c r="A543" s="16"/>
      <c r="B543" s="17"/>
      <c r="C543" s="2"/>
      <c r="D543" s="2"/>
      <c r="E543" s="2"/>
      <c r="F543" s="2"/>
      <c r="G543" s="2"/>
      <c r="H543" s="2"/>
      <c r="I543" s="5"/>
    </row>
    <row r="544" spans="1:9" ht="17.399999999999999" x14ac:dyDescent="0.25">
      <c r="A544" s="16"/>
      <c r="B544" s="17"/>
      <c r="C544" s="2"/>
      <c r="D544" s="2"/>
      <c r="E544" s="2"/>
      <c r="F544" s="2"/>
      <c r="G544" s="2"/>
      <c r="H544" s="2"/>
      <c r="I544" s="5"/>
    </row>
    <row r="545" spans="1:9" ht="17.399999999999999" x14ac:dyDescent="0.25">
      <c r="A545" s="16"/>
      <c r="B545" s="17"/>
      <c r="C545" s="2"/>
      <c r="D545" s="2"/>
      <c r="E545" s="2"/>
      <c r="F545" s="2"/>
      <c r="G545" s="2"/>
      <c r="H545" s="2"/>
      <c r="I545" s="5"/>
    </row>
    <row r="546" spans="1:9" ht="17.399999999999999" x14ac:dyDescent="0.25">
      <c r="A546" s="16"/>
      <c r="B546" s="17"/>
      <c r="C546" s="2"/>
      <c r="D546" s="2"/>
      <c r="E546" s="2"/>
      <c r="F546" s="2"/>
      <c r="G546" s="2"/>
      <c r="H546" s="2"/>
      <c r="I546" s="5"/>
    </row>
    <row r="547" spans="1:9" ht="17.399999999999999" x14ac:dyDescent="0.25">
      <c r="A547" s="16"/>
      <c r="B547" s="17"/>
      <c r="C547" s="2"/>
      <c r="D547" s="2"/>
      <c r="E547" s="2"/>
      <c r="F547" s="2"/>
      <c r="G547" s="2"/>
      <c r="H547" s="2"/>
      <c r="I547" s="5"/>
    </row>
    <row r="548" spans="1:9" ht="17.399999999999999" x14ac:dyDescent="0.25">
      <c r="A548" s="16"/>
      <c r="B548" s="17"/>
      <c r="C548" s="2"/>
      <c r="D548" s="2"/>
      <c r="E548" s="2"/>
      <c r="F548" s="2"/>
      <c r="G548" s="2"/>
      <c r="H548" s="2"/>
      <c r="I548" s="5"/>
    </row>
    <row r="549" spans="1:9" ht="17.399999999999999" x14ac:dyDescent="0.25">
      <c r="A549" s="16"/>
      <c r="B549" s="17"/>
      <c r="C549" s="2"/>
      <c r="D549" s="2"/>
      <c r="E549" s="2"/>
      <c r="F549" s="2"/>
      <c r="G549" s="2"/>
      <c r="H549" s="2"/>
      <c r="I549" s="5"/>
    </row>
    <row r="550" spans="1:9" ht="17.399999999999999" x14ac:dyDescent="0.25">
      <c r="A550" s="16"/>
      <c r="B550" s="17"/>
      <c r="C550" s="2"/>
      <c r="D550" s="2"/>
      <c r="E550" s="2"/>
      <c r="F550" s="2"/>
      <c r="G550" s="2"/>
      <c r="H550" s="2"/>
      <c r="I550" s="5"/>
    </row>
    <row r="551" spans="1:9" ht="17.399999999999999" x14ac:dyDescent="0.25">
      <c r="A551" s="16"/>
      <c r="B551" s="17"/>
      <c r="C551" s="2"/>
      <c r="D551" s="2"/>
      <c r="E551" s="2"/>
      <c r="F551" s="2"/>
      <c r="G551" s="2"/>
      <c r="H551" s="2"/>
      <c r="I551" s="5"/>
    </row>
    <row r="552" spans="1:9" ht="17.399999999999999" x14ac:dyDescent="0.25">
      <c r="A552" s="16"/>
      <c r="B552" s="17"/>
      <c r="C552" s="2"/>
      <c r="D552" s="2"/>
      <c r="E552" s="2"/>
      <c r="F552" s="2"/>
      <c r="G552" s="2"/>
      <c r="H552" s="2"/>
      <c r="I552" s="5"/>
    </row>
    <row r="553" spans="1:9" ht="17.399999999999999" x14ac:dyDescent="0.25">
      <c r="A553" s="16"/>
      <c r="B553" s="17"/>
      <c r="C553" s="2"/>
      <c r="D553" s="2"/>
      <c r="E553" s="2"/>
      <c r="F553" s="2"/>
      <c r="G553" s="2"/>
      <c r="H553" s="2"/>
      <c r="I553" s="5"/>
    </row>
    <row r="554" spans="1:9" ht="17.399999999999999" x14ac:dyDescent="0.25">
      <c r="A554" s="16"/>
      <c r="B554" s="17"/>
      <c r="C554" s="2"/>
      <c r="D554" s="2"/>
      <c r="E554" s="2"/>
      <c r="F554" s="2"/>
      <c r="G554" s="2"/>
      <c r="H554" s="2"/>
      <c r="I554" s="5"/>
    </row>
    <row r="555" spans="1:9" ht="17.399999999999999" x14ac:dyDescent="0.25">
      <c r="A555" s="16"/>
      <c r="B555" s="17"/>
      <c r="C555" s="2"/>
      <c r="D555" s="2"/>
      <c r="E555" s="2"/>
      <c r="F555" s="2"/>
      <c r="G555" s="2"/>
      <c r="H555" s="2"/>
      <c r="I555" s="5"/>
    </row>
    <row r="556" spans="1:9" ht="17.399999999999999" x14ac:dyDescent="0.25">
      <c r="A556" s="16"/>
      <c r="B556" s="17"/>
      <c r="C556" s="2"/>
      <c r="D556" s="2"/>
      <c r="E556" s="2"/>
      <c r="F556" s="2"/>
      <c r="G556" s="2"/>
      <c r="H556" s="2"/>
      <c r="I556" s="5"/>
    </row>
    <row r="557" spans="1:9" ht="17.399999999999999" x14ac:dyDescent="0.25">
      <c r="A557" s="16"/>
      <c r="B557" s="17"/>
      <c r="C557" s="2"/>
      <c r="D557" s="2"/>
      <c r="E557" s="2"/>
      <c r="F557" s="2"/>
      <c r="G557" s="2"/>
      <c r="H557" s="2"/>
      <c r="I557" s="5"/>
    </row>
    <row r="558" spans="1:9" ht="17.399999999999999" x14ac:dyDescent="0.25">
      <c r="A558" s="16"/>
      <c r="B558" s="17"/>
      <c r="C558" s="2"/>
      <c r="D558" s="2"/>
      <c r="E558" s="2"/>
      <c r="F558" s="2"/>
      <c r="G558" s="2"/>
      <c r="H558" s="2"/>
      <c r="I558" s="5"/>
    </row>
    <row r="559" spans="1:9" ht="17.399999999999999" x14ac:dyDescent="0.25">
      <c r="A559" s="16"/>
      <c r="B559" s="17"/>
      <c r="C559" s="2"/>
      <c r="D559" s="2"/>
      <c r="E559" s="2"/>
      <c r="F559" s="2"/>
      <c r="G559" s="2"/>
      <c r="H559" s="2"/>
      <c r="I559" s="5"/>
    </row>
    <row r="560" spans="1:9" ht="17.399999999999999" x14ac:dyDescent="0.25">
      <c r="A560" s="16"/>
      <c r="B560" s="17"/>
      <c r="C560" s="2"/>
      <c r="D560" s="2"/>
      <c r="E560" s="2"/>
      <c r="F560" s="2"/>
      <c r="G560" s="2"/>
      <c r="H560" s="2"/>
      <c r="I560" s="5"/>
    </row>
    <row r="561" spans="1:9" ht="17.399999999999999" x14ac:dyDescent="0.25">
      <c r="A561" s="16"/>
      <c r="B561" s="17"/>
      <c r="C561" s="2"/>
      <c r="D561" s="2"/>
      <c r="E561" s="2"/>
      <c r="F561" s="2"/>
      <c r="G561" s="2"/>
      <c r="H561" s="2"/>
      <c r="I561" s="5"/>
    </row>
    <row r="562" spans="1:9" ht="17.399999999999999" x14ac:dyDescent="0.25">
      <c r="A562" s="16"/>
      <c r="B562" s="17"/>
      <c r="C562" s="2"/>
      <c r="D562" s="2"/>
      <c r="E562" s="2"/>
      <c r="F562" s="2"/>
      <c r="G562" s="2"/>
      <c r="H562" s="2"/>
      <c r="I562" s="5"/>
    </row>
    <row r="563" spans="1:9" ht="17.399999999999999" x14ac:dyDescent="0.25">
      <c r="A563" s="16"/>
      <c r="B563" s="17"/>
      <c r="C563" s="2"/>
      <c r="D563" s="2"/>
      <c r="E563" s="2"/>
      <c r="F563" s="2"/>
      <c r="G563" s="2"/>
      <c r="H563" s="2"/>
      <c r="I563" s="5"/>
    </row>
    <row r="564" spans="1:9" ht="17.399999999999999" x14ac:dyDescent="0.25">
      <c r="A564" s="16"/>
      <c r="B564" s="17"/>
      <c r="C564" s="2"/>
      <c r="D564" s="2"/>
      <c r="E564" s="2"/>
      <c r="F564" s="2"/>
      <c r="G564" s="2"/>
      <c r="H564" s="2"/>
      <c r="I564" s="5"/>
    </row>
    <row r="565" spans="1:9" ht="17.399999999999999" x14ac:dyDescent="0.25">
      <c r="A565" s="16"/>
      <c r="B565" s="17"/>
      <c r="C565" s="2"/>
      <c r="D565" s="2"/>
      <c r="E565" s="2"/>
      <c r="F565" s="2"/>
      <c r="G565" s="2"/>
      <c r="H565" s="2"/>
      <c r="I565" s="5"/>
    </row>
    <row r="566" spans="1:9" ht="17.399999999999999" x14ac:dyDescent="0.25">
      <c r="A566" s="16"/>
      <c r="B566" s="17"/>
      <c r="C566" s="2"/>
      <c r="D566" s="2"/>
      <c r="E566" s="2"/>
      <c r="F566" s="2"/>
      <c r="G566" s="2"/>
      <c r="H566" s="2"/>
      <c r="I566" s="5"/>
    </row>
    <row r="567" spans="1:9" ht="17.399999999999999" x14ac:dyDescent="0.25">
      <c r="A567" s="16"/>
      <c r="B567" s="17"/>
      <c r="C567" s="2"/>
      <c r="D567" s="2"/>
      <c r="E567" s="2"/>
      <c r="F567" s="2"/>
      <c r="G567" s="2"/>
      <c r="H567" s="2"/>
      <c r="I567" s="5"/>
    </row>
    <row r="568" spans="1:9" ht="17.399999999999999" x14ac:dyDescent="0.25">
      <c r="A568" s="16"/>
      <c r="B568" s="17"/>
      <c r="C568" s="2"/>
      <c r="D568" s="2"/>
      <c r="E568" s="2"/>
      <c r="F568" s="2"/>
      <c r="G568" s="2"/>
      <c r="H568" s="2"/>
      <c r="I568" s="5"/>
    </row>
    <row r="569" spans="1:9" ht="17.399999999999999" x14ac:dyDescent="0.25">
      <c r="A569" s="16"/>
      <c r="B569" s="17"/>
      <c r="C569" s="2"/>
      <c r="D569" s="2"/>
      <c r="E569" s="2"/>
      <c r="F569" s="2"/>
      <c r="G569" s="2"/>
      <c r="H569" s="2"/>
      <c r="I569" s="5"/>
    </row>
    <row r="570" spans="1:9" ht="17.399999999999999" x14ac:dyDescent="0.25">
      <c r="A570" s="16"/>
      <c r="B570" s="17"/>
      <c r="C570" s="2"/>
      <c r="D570" s="2"/>
      <c r="E570" s="2"/>
      <c r="F570" s="2"/>
      <c r="G570" s="2"/>
      <c r="H570" s="2"/>
      <c r="I570" s="5"/>
    </row>
    <row r="571" spans="1:9" ht="17.399999999999999" x14ac:dyDescent="0.25">
      <c r="A571" s="16"/>
      <c r="B571" s="17"/>
      <c r="C571" s="2"/>
      <c r="D571" s="2"/>
      <c r="E571" s="2"/>
      <c r="F571" s="2"/>
      <c r="G571" s="2"/>
      <c r="H571" s="2"/>
      <c r="I571" s="5"/>
    </row>
    <row r="572" spans="1:9" ht="17.399999999999999" x14ac:dyDescent="0.25">
      <c r="A572" s="16"/>
      <c r="B572" s="17"/>
      <c r="C572" s="2"/>
      <c r="D572" s="2"/>
      <c r="E572" s="2"/>
      <c r="F572" s="2"/>
      <c r="G572" s="2"/>
      <c r="H572" s="2"/>
      <c r="I572" s="5"/>
    </row>
    <row r="573" spans="1:9" ht="17.399999999999999" x14ac:dyDescent="0.25">
      <c r="A573" s="16"/>
      <c r="B573" s="17"/>
      <c r="C573" s="2"/>
      <c r="D573" s="2"/>
      <c r="E573" s="2"/>
      <c r="F573" s="2"/>
      <c r="G573" s="2"/>
      <c r="H573" s="2"/>
      <c r="I573" s="5"/>
    </row>
    <row r="574" spans="1:9" ht="17.399999999999999" x14ac:dyDescent="0.25">
      <c r="A574" s="16"/>
      <c r="B574" s="17"/>
      <c r="C574" s="2"/>
      <c r="D574" s="2"/>
      <c r="E574" s="2"/>
      <c r="F574" s="2"/>
      <c r="G574" s="2"/>
      <c r="H574" s="2"/>
      <c r="I574" s="5"/>
    </row>
    <row r="575" spans="1:9" ht="17.399999999999999" x14ac:dyDescent="0.25">
      <c r="A575" s="16"/>
      <c r="B575" s="17"/>
      <c r="C575" s="2"/>
      <c r="D575" s="2"/>
      <c r="E575" s="2"/>
      <c r="F575" s="2"/>
      <c r="G575" s="2"/>
      <c r="H575" s="2"/>
      <c r="I575" s="5"/>
    </row>
    <row r="576" spans="1:9" ht="17.399999999999999" x14ac:dyDescent="0.25">
      <c r="A576" s="16"/>
      <c r="B576" s="17"/>
      <c r="C576" s="2"/>
      <c r="D576" s="2"/>
      <c r="E576" s="2"/>
      <c r="F576" s="2"/>
      <c r="G576" s="2"/>
      <c r="H576" s="2"/>
      <c r="I576" s="5"/>
    </row>
    <row r="577" spans="1:9" ht="17.399999999999999" x14ac:dyDescent="0.25">
      <c r="A577" s="16"/>
      <c r="B577" s="17"/>
      <c r="C577" s="2"/>
      <c r="D577" s="2"/>
      <c r="E577" s="2"/>
      <c r="F577" s="2"/>
      <c r="G577" s="2"/>
      <c r="H577" s="2"/>
      <c r="I577" s="5"/>
    </row>
    <row r="578" spans="1:9" ht="17.399999999999999" x14ac:dyDescent="0.25">
      <c r="A578" s="16"/>
      <c r="B578" s="17"/>
      <c r="C578" s="2"/>
      <c r="D578" s="2"/>
      <c r="E578" s="2"/>
      <c r="F578" s="2"/>
      <c r="G578" s="2"/>
      <c r="H578" s="2"/>
      <c r="I578" s="5"/>
    </row>
    <row r="579" spans="1:9" ht="17.399999999999999" x14ac:dyDescent="0.25">
      <c r="A579" s="16"/>
      <c r="B579" s="17"/>
      <c r="C579" s="2"/>
      <c r="D579" s="2"/>
      <c r="E579" s="2"/>
      <c r="F579" s="2"/>
      <c r="G579" s="2"/>
      <c r="H579" s="2"/>
      <c r="I579" s="5"/>
    </row>
    <row r="580" spans="1:9" ht="17.399999999999999" x14ac:dyDescent="0.25">
      <c r="A580" s="16"/>
      <c r="B580" s="17"/>
      <c r="C580" s="2"/>
      <c r="D580" s="2"/>
      <c r="E580" s="2"/>
      <c r="F580" s="2"/>
      <c r="G580" s="2"/>
      <c r="H580" s="2"/>
      <c r="I580" s="5"/>
    </row>
    <row r="581" spans="1:9" ht="17.399999999999999" x14ac:dyDescent="0.25">
      <c r="A581" s="16"/>
      <c r="B581" s="17"/>
      <c r="C581" s="2"/>
      <c r="D581" s="2"/>
      <c r="E581" s="2"/>
      <c r="F581" s="2"/>
      <c r="G581" s="2"/>
      <c r="H581" s="2"/>
      <c r="I581" s="5"/>
    </row>
    <row r="582" spans="1:9" ht="17.399999999999999" x14ac:dyDescent="0.25">
      <c r="A582" s="16"/>
      <c r="B582" s="17"/>
      <c r="C582" s="2"/>
      <c r="D582" s="2"/>
      <c r="E582" s="2"/>
      <c r="F582" s="2"/>
      <c r="G582" s="2"/>
      <c r="H582" s="2"/>
      <c r="I582" s="5"/>
    </row>
    <row r="583" spans="1:9" ht="17.399999999999999" x14ac:dyDescent="0.25">
      <c r="A583" s="16"/>
      <c r="B583" s="17"/>
      <c r="C583" s="2"/>
      <c r="D583" s="2"/>
      <c r="E583" s="2"/>
      <c r="F583" s="2"/>
      <c r="G583" s="2"/>
      <c r="H583" s="2"/>
      <c r="I583" s="5"/>
    </row>
    <row r="584" spans="1:9" ht="17.399999999999999" x14ac:dyDescent="0.25">
      <c r="A584" s="16"/>
      <c r="B584" s="17"/>
      <c r="C584" s="2"/>
      <c r="D584" s="2"/>
      <c r="E584" s="2"/>
      <c r="F584" s="2"/>
      <c r="G584" s="2"/>
      <c r="H584" s="2"/>
      <c r="I584" s="5"/>
    </row>
    <row r="585" spans="1:9" ht="17.399999999999999" x14ac:dyDescent="0.25">
      <c r="A585" s="16"/>
      <c r="B585" s="17"/>
      <c r="C585" s="2"/>
      <c r="D585" s="2"/>
      <c r="E585" s="2"/>
      <c r="F585" s="2"/>
      <c r="G585" s="2"/>
      <c r="H585" s="2"/>
      <c r="I585" s="5"/>
    </row>
    <row r="586" spans="1:9" ht="17.399999999999999" x14ac:dyDescent="0.25">
      <c r="A586" s="16"/>
      <c r="B586" s="17"/>
      <c r="C586" s="2"/>
      <c r="D586" s="2"/>
      <c r="E586" s="2"/>
      <c r="F586" s="2"/>
      <c r="G586" s="2"/>
      <c r="H586" s="2"/>
      <c r="I586" s="5"/>
    </row>
    <row r="587" spans="1:9" ht="17.399999999999999" x14ac:dyDescent="0.25">
      <c r="A587" s="16"/>
      <c r="B587" s="17"/>
      <c r="C587" s="2"/>
      <c r="D587" s="2"/>
      <c r="E587" s="2"/>
      <c r="F587" s="2"/>
      <c r="G587" s="2"/>
      <c r="H587" s="2"/>
      <c r="I587" s="5"/>
    </row>
    <row r="588" spans="1:9" ht="17.399999999999999" x14ac:dyDescent="0.25">
      <c r="A588" s="16"/>
      <c r="B588" s="17"/>
      <c r="C588" s="2"/>
      <c r="D588" s="2"/>
      <c r="E588" s="2"/>
      <c r="F588" s="2"/>
      <c r="G588" s="2"/>
      <c r="H588" s="2"/>
      <c r="I588" s="5"/>
    </row>
    <row r="589" spans="1:9" ht="17.399999999999999" x14ac:dyDescent="0.25">
      <c r="A589" s="16"/>
      <c r="B589" s="17"/>
      <c r="C589" s="2"/>
      <c r="D589" s="2"/>
      <c r="E589" s="2"/>
      <c r="F589" s="2"/>
      <c r="G589" s="2"/>
      <c r="H589" s="2"/>
      <c r="I589" s="5"/>
    </row>
    <row r="590" spans="1:9" ht="17.399999999999999" x14ac:dyDescent="0.25">
      <c r="A590" s="16"/>
      <c r="B590" s="17"/>
      <c r="C590" s="2"/>
      <c r="D590" s="2"/>
      <c r="E590" s="2"/>
      <c r="F590" s="2"/>
      <c r="G590" s="2"/>
      <c r="H590" s="2"/>
      <c r="I590" s="5"/>
    </row>
    <row r="591" spans="1:9" ht="17.399999999999999" x14ac:dyDescent="0.25">
      <c r="A591" s="16"/>
      <c r="B591" s="17"/>
      <c r="C591" s="2"/>
      <c r="D591" s="2"/>
      <c r="E591" s="2"/>
      <c r="F591" s="2"/>
      <c r="G591" s="2"/>
      <c r="H591" s="2"/>
      <c r="I591" s="5"/>
    </row>
    <row r="592" spans="1:9" ht="17.399999999999999" x14ac:dyDescent="0.25">
      <c r="A592" s="16"/>
      <c r="B592" s="17"/>
      <c r="C592" s="2"/>
      <c r="D592" s="2"/>
      <c r="E592" s="2"/>
      <c r="F592" s="2"/>
      <c r="G592" s="2"/>
      <c r="H592" s="2"/>
      <c r="I592" s="5"/>
    </row>
    <row r="593" spans="1:9" ht="17.399999999999999" x14ac:dyDescent="0.25">
      <c r="A593" s="16"/>
      <c r="B593" s="17"/>
      <c r="C593" s="2"/>
      <c r="D593" s="2"/>
      <c r="E593" s="2"/>
      <c r="F593" s="2"/>
      <c r="G593" s="2"/>
      <c r="H593" s="2"/>
      <c r="I593" s="5"/>
    </row>
    <row r="594" spans="1:9" ht="17.399999999999999" x14ac:dyDescent="0.25">
      <c r="A594" s="16"/>
      <c r="B594" s="17"/>
      <c r="C594" s="2"/>
      <c r="D594" s="2"/>
      <c r="E594" s="2"/>
      <c r="F594" s="2"/>
      <c r="G594" s="2"/>
      <c r="H594" s="2"/>
      <c r="I594" s="5"/>
    </row>
    <row r="595" spans="1:9" ht="17.399999999999999" x14ac:dyDescent="0.25">
      <c r="A595" s="16"/>
      <c r="B595" s="17"/>
      <c r="C595" s="2"/>
      <c r="D595" s="2"/>
      <c r="E595" s="2"/>
      <c r="F595" s="2"/>
      <c r="G595" s="2"/>
      <c r="H595" s="2"/>
      <c r="I595" s="5"/>
    </row>
    <row r="596" spans="1:9" ht="17.399999999999999" x14ac:dyDescent="0.25">
      <c r="A596" s="16"/>
      <c r="B596" s="17"/>
      <c r="C596" s="2"/>
      <c r="D596" s="2"/>
      <c r="E596" s="2"/>
      <c r="F596" s="2"/>
      <c r="G596" s="2"/>
      <c r="H596" s="2"/>
      <c r="I596" s="5"/>
    </row>
    <row r="597" spans="1:9" ht="17.399999999999999" x14ac:dyDescent="0.25">
      <c r="A597" s="16"/>
      <c r="B597" s="17"/>
      <c r="C597" s="2"/>
      <c r="D597" s="2"/>
      <c r="E597" s="2"/>
      <c r="F597" s="2"/>
      <c r="G597" s="2"/>
      <c r="H597" s="2"/>
      <c r="I597" s="5"/>
    </row>
    <row r="598" spans="1:9" ht="17.399999999999999" x14ac:dyDescent="0.25">
      <c r="A598" s="16"/>
      <c r="B598" s="17"/>
      <c r="C598" s="2"/>
      <c r="D598" s="2"/>
      <c r="E598" s="2"/>
      <c r="F598" s="2"/>
      <c r="G598" s="2"/>
      <c r="H598" s="2"/>
      <c r="I598" s="5"/>
    </row>
    <row r="599" spans="1:9" ht="17.399999999999999" x14ac:dyDescent="0.25">
      <c r="A599" s="16"/>
      <c r="B599" s="17"/>
      <c r="C599" s="2"/>
      <c r="D599" s="2"/>
      <c r="E599" s="2"/>
      <c r="F599" s="2"/>
      <c r="G599" s="2"/>
      <c r="H599" s="2"/>
      <c r="I599" s="5"/>
    </row>
    <row r="600" spans="1:9" ht="17.399999999999999" x14ac:dyDescent="0.25">
      <c r="A600" s="16"/>
      <c r="B600" s="17"/>
      <c r="C600" s="2"/>
      <c r="D600" s="2"/>
      <c r="E600" s="2"/>
      <c r="F600" s="2"/>
      <c r="G600" s="2"/>
      <c r="H600" s="2"/>
      <c r="I600" s="5"/>
    </row>
    <row r="601" spans="1:9" ht="17.399999999999999" x14ac:dyDescent="0.25">
      <c r="A601" s="16"/>
      <c r="B601" s="17"/>
      <c r="C601" s="2"/>
      <c r="D601" s="2"/>
      <c r="E601" s="2"/>
      <c r="F601" s="2"/>
      <c r="G601" s="2"/>
      <c r="H601" s="2"/>
      <c r="I601" s="5"/>
    </row>
    <row r="602" spans="1:9" ht="17.399999999999999" x14ac:dyDescent="0.25">
      <c r="A602" s="16"/>
      <c r="B602" s="17"/>
      <c r="C602" s="2"/>
      <c r="D602" s="2"/>
      <c r="E602" s="2"/>
      <c r="F602" s="2"/>
      <c r="G602" s="2"/>
      <c r="H602" s="2"/>
      <c r="I602" s="5"/>
    </row>
    <row r="603" spans="1:9" ht="17.399999999999999" x14ac:dyDescent="0.25">
      <c r="A603" s="16"/>
      <c r="B603" s="17"/>
      <c r="C603" s="2"/>
      <c r="D603" s="2"/>
      <c r="E603" s="2"/>
      <c r="F603" s="2"/>
      <c r="G603" s="2"/>
      <c r="H603" s="2"/>
      <c r="I603" s="5"/>
    </row>
    <row r="604" spans="1:9" ht="17.399999999999999" x14ac:dyDescent="0.25">
      <c r="A604" s="16"/>
      <c r="B604" s="17"/>
      <c r="C604" s="2"/>
      <c r="D604" s="2"/>
      <c r="E604" s="2"/>
      <c r="F604" s="2"/>
      <c r="G604" s="2"/>
      <c r="H604" s="2"/>
      <c r="I604" s="5"/>
    </row>
    <row r="605" spans="1:9" ht="17.399999999999999" x14ac:dyDescent="0.25">
      <c r="A605" s="16"/>
      <c r="B605" s="17"/>
      <c r="C605" s="2"/>
      <c r="D605" s="2"/>
      <c r="E605" s="2"/>
      <c r="F605" s="2"/>
      <c r="G605" s="2"/>
      <c r="H605" s="2"/>
      <c r="I605" s="5"/>
    </row>
    <row r="606" spans="1:9" ht="17.399999999999999" x14ac:dyDescent="0.25">
      <c r="A606" s="16"/>
      <c r="B606" s="17"/>
      <c r="C606" s="2"/>
      <c r="D606" s="2"/>
      <c r="E606" s="2"/>
      <c r="F606" s="2"/>
      <c r="G606" s="2"/>
      <c r="H606" s="2"/>
      <c r="I606" s="5"/>
    </row>
    <row r="607" spans="1:9" ht="17.399999999999999" x14ac:dyDescent="0.25">
      <c r="A607" s="16"/>
      <c r="B607" s="17"/>
      <c r="C607" s="2"/>
      <c r="D607" s="2"/>
      <c r="E607" s="2"/>
      <c r="F607" s="2"/>
      <c r="G607" s="2"/>
      <c r="H607" s="2"/>
      <c r="I607" s="5"/>
    </row>
    <row r="608" spans="1:9" ht="17.399999999999999" x14ac:dyDescent="0.25">
      <c r="A608" s="16"/>
      <c r="B608" s="17"/>
      <c r="C608" s="2"/>
      <c r="D608" s="2"/>
      <c r="E608" s="2"/>
      <c r="F608" s="2"/>
      <c r="G608" s="2"/>
      <c r="H608" s="2"/>
      <c r="I608" s="5"/>
    </row>
    <row r="609" spans="1:9" ht="17.399999999999999" x14ac:dyDescent="0.25">
      <c r="A609" s="16"/>
      <c r="B609" s="17"/>
      <c r="C609" s="2"/>
      <c r="D609" s="2"/>
      <c r="E609" s="2"/>
      <c r="F609" s="2"/>
      <c r="G609" s="2"/>
      <c r="H609" s="2"/>
      <c r="I609" s="5"/>
    </row>
    <row r="610" spans="1:9" ht="17.399999999999999" x14ac:dyDescent="0.25">
      <c r="A610" s="16"/>
      <c r="B610" s="17"/>
      <c r="C610" s="2"/>
      <c r="D610" s="2"/>
      <c r="E610" s="2"/>
      <c r="F610" s="2"/>
      <c r="G610" s="2"/>
      <c r="H610" s="2"/>
      <c r="I610" s="5"/>
    </row>
    <row r="611" spans="1:9" ht="17.399999999999999" x14ac:dyDescent="0.25">
      <c r="A611" s="16"/>
      <c r="B611" s="17"/>
      <c r="C611" s="2"/>
      <c r="D611" s="2"/>
      <c r="E611" s="2"/>
      <c r="F611" s="2"/>
      <c r="G611" s="2"/>
      <c r="H611" s="2"/>
      <c r="I611" s="5"/>
    </row>
    <row r="612" spans="1:9" ht="17.399999999999999" x14ac:dyDescent="0.25">
      <c r="A612" s="16"/>
      <c r="B612" s="17"/>
      <c r="C612" s="2"/>
      <c r="D612" s="2"/>
      <c r="E612" s="2"/>
      <c r="F612" s="2"/>
      <c r="G612" s="2"/>
      <c r="H612" s="2"/>
      <c r="I612" s="5"/>
    </row>
    <row r="613" spans="1:9" ht="17.399999999999999" x14ac:dyDescent="0.25">
      <c r="A613" s="16"/>
      <c r="B613" s="17"/>
      <c r="C613" s="2"/>
      <c r="D613" s="2"/>
      <c r="E613" s="2"/>
      <c r="F613" s="2"/>
      <c r="G613" s="2"/>
      <c r="H613" s="2"/>
      <c r="I613" s="5"/>
    </row>
    <row r="614" spans="1:9" ht="17.399999999999999" x14ac:dyDescent="0.25">
      <c r="A614" s="16"/>
      <c r="B614" s="17"/>
      <c r="C614" s="2"/>
      <c r="D614" s="2"/>
      <c r="E614" s="2"/>
      <c r="F614" s="2"/>
      <c r="G614" s="2"/>
      <c r="H614" s="2"/>
      <c r="I614" s="5"/>
    </row>
    <row r="615" spans="1:9" ht="17.399999999999999" x14ac:dyDescent="0.25">
      <c r="A615" s="16"/>
      <c r="B615" s="17"/>
      <c r="C615" s="2"/>
      <c r="D615" s="2"/>
      <c r="E615" s="2"/>
      <c r="F615" s="2"/>
      <c r="G615" s="2"/>
      <c r="H615" s="2"/>
      <c r="I615" s="5"/>
    </row>
    <row r="616" spans="1:9" ht="17.399999999999999" x14ac:dyDescent="0.25">
      <c r="A616" s="16"/>
      <c r="B616" s="17"/>
      <c r="C616" s="2"/>
      <c r="D616" s="2"/>
      <c r="E616" s="2"/>
      <c r="F616" s="2"/>
      <c r="G616" s="2"/>
      <c r="H616" s="2"/>
      <c r="I616" s="5"/>
    </row>
    <row r="617" spans="1:9" ht="17.399999999999999" x14ac:dyDescent="0.25">
      <c r="A617" s="16"/>
      <c r="B617" s="17"/>
      <c r="C617" s="2"/>
      <c r="D617" s="2"/>
      <c r="E617" s="2"/>
      <c r="F617" s="2"/>
      <c r="G617" s="2"/>
      <c r="H617" s="2"/>
      <c r="I617" s="5"/>
    </row>
    <row r="618" spans="1:9" ht="17.399999999999999" x14ac:dyDescent="0.25">
      <c r="A618" s="16"/>
      <c r="B618" s="17"/>
      <c r="C618" s="2"/>
      <c r="D618" s="2"/>
      <c r="E618" s="2"/>
      <c r="F618" s="2"/>
      <c r="G618" s="2"/>
      <c r="H618" s="2"/>
      <c r="I618" s="5"/>
    </row>
    <row r="619" spans="1:9" ht="17.399999999999999" x14ac:dyDescent="0.25">
      <c r="A619" s="16"/>
      <c r="B619" s="17"/>
      <c r="C619" s="2"/>
      <c r="D619" s="2"/>
      <c r="E619" s="2"/>
      <c r="F619" s="2"/>
      <c r="G619" s="2"/>
      <c r="H619" s="2"/>
      <c r="I619" s="5"/>
    </row>
    <row r="620" spans="1:9" ht="17.399999999999999" x14ac:dyDescent="0.25">
      <c r="A620" s="16"/>
      <c r="B620" s="17"/>
      <c r="C620" s="2"/>
      <c r="D620" s="2"/>
      <c r="E620" s="2"/>
      <c r="F620" s="2"/>
      <c r="G620" s="2"/>
      <c r="H620" s="2"/>
      <c r="I620" s="5"/>
    </row>
    <row r="621" spans="1:9" ht="17.399999999999999" x14ac:dyDescent="0.25">
      <c r="A621" s="16"/>
      <c r="B621" s="17"/>
      <c r="C621" s="2"/>
      <c r="D621" s="2"/>
      <c r="E621" s="2"/>
      <c r="F621" s="2"/>
      <c r="G621" s="2"/>
      <c r="H621" s="2"/>
      <c r="I621" s="5"/>
    </row>
    <row r="622" spans="1:9" ht="17.399999999999999" x14ac:dyDescent="0.25">
      <c r="A622" s="16"/>
      <c r="B622" s="17"/>
      <c r="C622" s="2"/>
      <c r="D622" s="2"/>
      <c r="E622" s="2"/>
      <c r="F622" s="2"/>
      <c r="G622" s="2"/>
      <c r="H622" s="2"/>
      <c r="I622" s="5"/>
    </row>
    <row r="623" spans="1:9" ht="17.399999999999999" x14ac:dyDescent="0.25">
      <c r="A623" s="16"/>
      <c r="B623" s="17"/>
      <c r="C623" s="2"/>
      <c r="D623" s="2"/>
      <c r="E623" s="2"/>
      <c r="F623" s="2"/>
      <c r="G623" s="2"/>
      <c r="H623" s="2"/>
      <c r="I623" s="5"/>
    </row>
    <row r="624" spans="1:9" ht="17.399999999999999" x14ac:dyDescent="0.25">
      <c r="A624" s="16"/>
      <c r="B624" s="17"/>
      <c r="C624" s="2"/>
      <c r="D624" s="2"/>
      <c r="E624" s="2"/>
      <c r="F624" s="2"/>
      <c r="G624" s="2"/>
      <c r="H624" s="2"/>
      <c r="I624" s="5"/>
    </row>
    <row r="625" spans="1:9" ht="17.399999999999999" x14ac:dyDescent="0.25">
      <c r="A625" s="16"/>
      <c r="B625" s="17"/>
      <c r="C625" s="2"/>
      <c r="D625" s="2"/>
      <c r="E625" s="2"/>
      <c r="F625" s="2"/>
      <c r="G625" s="2"/>
      <c r="H625" s="2"/>
      <c r="I625" s="5"/>
    </row>
    <row r="626" spans="1:9" ht="17.399999999999999" x14ac:dyDescent="0.25">
      <c r="A626" s="16"/>
      <c r="B626" s="17"/>
      <c r="C626" s="2"/>
      <c r="D626" s="2"/>
      <c r="E626" s="2"/>
      <c r="F626" s="2"/>
      <c r="G626" s="2"/>
      <c r="H626" s="2"/>
      <c r="I626" s="5"/>
    </row>
    <row r="627" spans="1:9" ht="17.399999999999999" x14ac:dyDescent="0.25">
      <c r="A627" s="16"/>
      <c r="B627" s="17"/>
      <c r="C627" s="2"/>
      <c r="D627" s="2"/>
      <c r="E627" s="2"/>
      <c r="F627" s="2"/>
      <c r="G627" s="2"/>
      <c r="H627" s="2"/>
      <c r="I627" s="5"/>
    </row>
    <row r="628" spans="1:9" ht="17.399999999999999" x14ac:dyDescent="0.25">
      <c r="A628" s="16"/>
      <c r="B628" s="17"/>
      <c r="C628" s="2"/>
      <c r="D628" s="2"/>
      <c r="E628" s="2"/>
      <c r="F628" s="2"/>
      <c r="G628" s="2"/>
      <c r="H628" s="2"/>
      <c r="I628" s="5"/>
    </row>
    <row r="629" spans="1:9" ht="17.399999999999999" x14ac:dyDescent="0.25">
      <c r="A629" s="16"/>
      <c r="B629" s="17"/>
      <c r="C629" s="2"/>
      <c r="D629" s="2"/>
      <c r="E629" s="2"/>
      <c r="F629" s="2"/>
      <c r="G629" s="2"/>
      <c r="H629" s="2"/>
      <c r="I629" s="5"/>
    </row>
    <row r="630" spans="1:9" ht="17.399999999999999" x14ac:dyDescent="0.25">
      <c r="A630" s="16"/>
      <c r="B630" s="17"/>
      <c r="C630" s="2"/>
      <c r="D630" s="2"/>
      <c r="E630" s="2"/>
      <c r="F630" s="2"/>
      <c r="G630" s="2"/>
      <c r="H630" s="2"/>
      <c r="I630" s="5"/>
    </row>
    <row r="631" spans="1:9" ht="17.399999999999999" x14ac:dyDescent="0.25">
      <c r="A631" s="16"/>
      <c r="B631" s="17"/>
      <c r="C631" s="2"/>
      <c r="D631" s="2"/>
      <c r="E631" s="2"/>
      <c r="F631" s="2"/>
      <c r="G631" s="2"/>
      <c r="H631" s="2"/>
      <c r="I631" s="5"/>
    </row>
    <row r="632" spans="1:9" ht="17.399999999999999" x14ac:dyDescent="0.25">
      <c r="A632" s="16"/>
      <c r="B632" s="17"/>
      <c r="C632" s="2"/>
      <c r="D632" s="2"/>
      <c r="E632" s="2"/>
      <c r="F632" s="2"/>
      <c r="G632" s="2"/>
      <c r="H632" s="2"/>
      <c r="I632" s="5"/>
    </row>
    <row r="633" spans="1:9" ht="17.399999999999999" x14ac:dyDescent="0.25">
      <c r="A633" s="16"/>
      <c r="B633" s="17"/>
      <c r="C633" s="2"/>
      <c r="D633" s="2"/>
      <c r="E633" s="2"/>
      <c r="F633" s="2"/>
      <c r="G633" s="2"/>
      <c r="H633" s="2"/>
      <c r="I633" s="5"/>
    </row>
    <row r="634" spans="1:9" ht="17.399999999999999" x14ac:dyDescent="0.25">
      <c r="A634" s="16"/>
      <c r="B634" s="17"/>
      <c r="C634" s="2"/>
      <c r="D634" s="2"/>
      <c r="E634" s="2"/>
      <c r="F634" s="2"/>
      <c r="G634" s="2"/>
      <c r="H634" s="2"/>
      <c r="I634" s="5"/>
    </row>
    <row r="635" spans="1:9" ht="17.399999999999999" x14ac:dyDescent="0.25">
      <c r="A635" s="16"/>
      <c r="B635" s="17"/>
      <c r="C635" s="2"/>
      <c r="D635" s="2"/>
      <c r="E635" s="2"/>
      <c r="F635" s="2"/>
      <c r="G635" s="2"/>
      <c r="H635" s="2"/>
      <c r="I635" s="5"/>
    </row>
    <row r="636" spans="1:9" ht="17.399999999999999" x14ac:dyDescent="0.25">
      <c r="A636" s="16"/>
      <c r="B636" s="17"/>
      <c r="C636" s="2"/>
      <c r="D636" s="2"/>
      <c r="E636" s="2"/>
      <c r="F636" s="2"/>
      <c r="G636" s="2"/>
      <c r="H636" s="2"/>
      <c r="I636" s="5"/>
    </row>
    <row r="637" spans="1:9" ht="17.399999999999999" x14ac:dyDescent="0.25">
      <c r="A637" s="16"/>
      <c r="B637" s="17"/>
      <c r="C637" s="2"/>
      <c r="D637" s="2"/>
      <c r="E637" s="2"/>
      <c r="F637" s="2"/>
      <c r="G637" s="2"/>
      <c r="H637" s="2"/>
      <c r="I637" s="5"/>
    </row>
    <row r="638" spans="1:9" ht="17.399999999999999" x14ac:dyDescent="0.25">
      <c r="A638" s="16"/>
      <c r="B638" s="17"/>
      <c r="C638" s="2"/>
      <c r="D638" s="2"/>
      <c r="E638" s="2"/>
      <c r="F638" s="2"/>
      <c r="G638" s="2"/>
      <c r="H638" s="2"/>
      <c r="I638" s="5"/>
    </row>
    <row r="639" spans="1:9" ht="17.399999999999999" x14ac:dyDescent="0.25">
      <c r="A639" s="16"/>
      <c r="B639" s="17"/>
      <c r="C639" s="2"/>
      <c r="D639" s="2"/>
      <c r="E639" s="2"/>
      <c r="F639" s="2"/>
      <c r="G639" s="2"/>
      <c r="H639" s="2"/>
      <c r="I639" s="5"/>
    </row>
    <row r="640" spans="1:9" ht="17.399999999999999" x14ac:dyDescent="0.25">
      <c r="A640" s="16"/>
      <c r="B640" s="17"/>
      <c r="C640" s="2"/>
      <c r="D640" s="2"/>
      <c r="E640" s="2"/>
      <c r="F640" s="2"/>
      <c r="G640" s="2"/>
      <c r="H640" s="2"/>
      <c r="I640" s="5"/>
    </row>
    <row r="641" spans="1:9" ht="17.399999999999999" x14ac:dyDescent="0.25">
      <c r="A641" s="16"/>
      <c r="B641" s="17"/>
      <c r="C641" s="2"/>
      <c r="D641" s="2"/>
      <c r="E641" s="2"/>
      <c r="F641" s="2"/>
      <c r="G641" s="2"/>
      <c r="H641" s="2"/>
      <c r="I641" s="5"/>
    </row>
    <row r="642" spans="1:9" ht="17.399999999999999" x14ac:dyDescent="0.25">
      <c r="A642" s="16"/>
      <c r="B642" s="17"/>
      <c r="C642" s="2"/>
      <c r="D642" s="2"/>
      <c r="E642" s="2"/>
      <c r="F642" s="2"/>
      <c r="G642" s="2"/>
      <c r="H642" s="2"/>
      <c r="I642" s="5"/>
    </row>
    <row r="643" spans="1:9" ht="17.399999999999999" x14ac:dyDescent="0.25">
      <c r="A643" s="16"/>
      <c r="B643" s="17"/>
      <c r="C643" s="2"/>
      <c r="D643" s="2"/>
      <c r="E643" s="2"/>
      <c r="F643" s="2"/>
      <c r="G643" s="2"/>
      <c r="H643" s="2"/>
      <c r="I643" s="5"/>
    </row>
    <row r="644" spans="1:9" ht="17.399999999999999" x14ac:dyDescent="0.25">
      <c r="A644" s="16"/>
      <c r="B644" s="17"/>
      <c r="C644" s="2"/>
      <c r="D644" s="2"/>
      <c r="E644" s="2"/>
      <c r="F644" s="2"/>
      <c r="G644" s="2"/>
      <c r="H644" s="2"/>
      <c r="I644" s="5"/>
    </row>
    <row r="645" spans="1:9" ht="17.399999999999999" x14ac:dyDescent="0.25">
      <c r="A645" s="16"/>
      <c r="B645" s="17"/>
      <c r="C645" s="2"/>
      <c r="D645" s="2"/>
      <c r="E645" s="2"/>
      <c r="F645" s="2"/>
      <c r="G645" s="2"/>
      <c r="H645" s="2"/>
      <c r="I645" s="5"/>
    </row>
    <row r="646" spans="1:9" ht="17.399999999999999" x14ac:dyDescent="0.25">
      <c r="A646" s="16"/>
      <c r="B646" s="17"/>
      <c r="C646" s="2"/>
      <c r="D646" s="2"/>
      <c r="E646" s="2"/>
      <c r="F646" s="2"/>
      <c r="G646" s="2"/>
      <c r="H646" s="2"/>
      <c r="I646" s="5"/>
    </row>
    <row r="647" spans="1:9" ht="17.399999999999999" x14ac:dyDescent="0.25">
      <c r="A647" s="16"/>
      <c r="B647" s="17"/>
      <c r="C647" s="2"/>
      <c r="D647" s="2"/>
      <c r="E647" s="2"/>
      <c r="F647" s="2"/>
      <c r="G647" s="2"/>
      <c r="H647" s="2"/>
      <c r="I647" s="5"/>
    </row>
    <row r="648" spans="1:9" ht="17.399999999999999" x14ac:dyDescent="0.25">
      <c r="A648" s="16"/>
      <c r="B648" s="17"/>
      <c r="C648" s="2"/>
      <c r="D648" s="2"/>
      <c r="E648" s="2"/>
      <c r="F648" s="2"/>
      <c r="G648" s="2"/>
      <c r="H648" s="2"/>
      <c r="I648" s="5"/>
    </row>
    <row r="649" spans="1:9" ht="17.399999999999999" x14ac:dyDescent="0.25">
      <c r="A649" s="16"/>
      <c r="B649" s="17"/>
      <c r="C649" s="2"/>
      <c r="D649" s="2"/>
      <c r="E649" s="2"/>
      <c r="F649" s="2"/>
      <c r="G649" s="2"/>
      <c r="H649" s="2"/>
      <c r="I649" s="5"/>
    </row>
    <row r="650" spans="1:9" ht="17.399999999999999" x14ac:dyDescent="0.25">
      <c r="A650" s="16"/>
      <c r="B650" s="17"/>
      <c r="C650" s="2"/>
      <c r="D650" s="2"/>
      <c r="E650" s="2"/>
      <c r="F650" s="2"/>
      <c r="G650" s="2"/>
      <c r="H650" s="2"/>
      <c r="I650" s="5"/>
    </row>
    <row r="651" spans="1:9" ht="17.399999999999999" x14ac:dyDescent="0.25">
      <c r="A651" s="16"/>
      <c r="B651" s="17"/>
      <c r="C651" s="2"/>
      <c r="D651" s="2"/>
      <c r="E651" s="2"/>
      <c r="F651" s="2"/>
      <c r="G651" s="2"/>
      <c r="H651" s="2"/>
      <c r="I651" s="5"/>
    </row>
    <row r="652" spans="1:9" ht="17.399999999999999" x14ac:dyDescent="0.25">
      <c r="A652" s="16"/>
      <c r="B652" s="17"/>
      <c r="C652" s="2"/>
      <c r="D652" s="2"/>
      <c r="E652" s="2"/>
      <c r="F652" s="2"/>
      <c r="G652" s="2"/>
      <c r="H652" s="2"/>
      <c r="I652" s="5"/>
    </row>
    <row r="653" spans="1:9" ht="17.399999999999999" x14ac:dyDescent="0.25">
      <c r="A653" s="16"/>
      <c r="B653" s="17"/>
      <c r="C653" s="2"/>
      <c r="D653" s="2"/>
      <c r="E653" s="2"/>
      <c r="F653" s="2"/>
      <c r="G653" s="2"/>
      <c r="H653" s="2"/>
      <c r="I653" s="5"/>
    </row>
    <row r="654" spans="1:9" ht="17.399999999999999" x14ac:dyDescent="0.25">
      <c r="A654" s="16"/>
      <c r="B654" s="17"/>
      <c r="C654" s="2"/>
      <c r="D654" s="2"/>
      <c r="E654" s="2"/>
      <c r="F654" s="2"/>
      <c r="G654" s="2"/>
      <c r="H654" s="2"/>
      <c r="I654" s="5"/>
    </row>
    <row r="655" spans="1:9" ht="17.399999999999999" x14ac:dyDescent="0.25">
      <c r="A655" s="16"/>
      <c r="B655" s="17"/>
      <c r="C655" s="2"/>
      <c r="D655" s="2"/>
      <c r="E655" s="2"/>
      <c r="F655" s="2"/>
      <c r="G655" s="2"/>
      <c r="H655" s="2"/>
      <c r="I655" s="5"/>
    </row>
    <row r="656" spans="1:9" ht="17.399999999999999" x14ac:dyDescent="0.25">
      <c r="A656" s="16"/>
      <c r="B656" s="17"/>
      <c r="C656" s="2"/>
      <c r="D656" s="2"/>
      <c r="E656" s="2"/>
      <c r="F656" s="2"/>
      <c r="G656" s="2"/>
      <c r="H656" s="2"/>
      <c r="I656" s="5"/>
    </row>
    <row r="657" spans="1:9" ht="17.399999999999999" x14ac:dyDescent="0.25">
      <c r="A657" s="16"/>
      <c r="B657" s="17"/>
      <c r="C657" s="2"/>
      <c r="D657" s="2"/>
      <c r="E657" s="2"/>
      <c r="F657" s="2"/>
      <c r="G657" s="2"/>
      <c r="H657" s="2"/>
      <c r="I657" s="5"/>
    </row>
    <row r="658" spans="1:9" ht="17.399999999999999" x14ac:dyDescent="0.25">
      <c r="A658" s="16"/>
      <c r="B658" s="17"/>
      <c r="C658" s="2"/>
      <c r="D658" s="2"/>
      <c r="E658" s="2"/>
      <c r="F658" s="2"/>
      <c r="G658" s="2"/>
      <c r="H658" s="2"/>
      <c r="I658" s="5"/>
    </row>
    <row r="659" spans="1:9" ht="17.399999999999999" x14ac:dyDescent="0.25">
      <c r="A659" s="16"/>
      <c r="B659" s="17"/>
      <c r="C659" s="2"/>
      <c r="D659" s="2"/>
      <c r="E659" s="2"/>
      <c r="F659" s="2"/>
      <c r="G659" s="2"/>
      <c r="H659" s="2"/>
      <c r="I659" s="5"/>
    </row>
    <row r="660" spans="1:9" ht="17.399999999999999" x14ac:dyDescent="0.25">
      <c r="A660" s="16"/>
      <c r="B660" s="17"/>
      <c r="C660" s="2"/>
      <c r="D660" s="2"/>
      <c r="E660" s="2"/>
      <c r="F660" s="2"/>
      <c r="G660" s="2"/>
      <c r="H660" s="2"/>
      <c r="I660" s="5"/>
    </row>
    <row r="661" spans="1:9" ht="17.399999999999999" x14ac:dyDescent="0.25">
      <c r="A661" s="16"/>
      <c r="B661" s="17"/>
      <c r="C661" s="2"/>
      <c r="D661" s="2"/>
      <c r="E661" s="2"/>
      <c r="F661" s="2"/>
      <c r="G661" s="2"/>
      <c r="H661" s="2"/>
      <c r="I661" s="5"/>
    </row>
    <row r="662" spans="1:9" ht="17.399999999999999" x14ac:dyDescent="0.25">
      <c r="A662" s="16"/>
      <c r="B662" s="17"/>
      <c r="C662" s="2"/>
      <c r="D662" s="2"/>
      <c r="E662" s="2"/>
      <c r="F662" s="2"/>
      <c r="G662" s="2"/>
      <c r="H662" s="2"/>
      <c r="I662" s="5"/>
    </row>
    <row r="663" spans="1:9" ht="17.399999999999999" x14ac:dyDescent="0.25">
      <c r="A663" s="16"/>
      <c r="B663" s="17"/>
      <c r="C663" s="2"/>
      <c r="D663" s="2"/>
      <c r="E663" s="2"/>
      <c r="F663" s="2"/>
      <c r="G663" s="2"/>
      <c r="H663" s="2"/>
      <c r="I663" s="5"/>
    </row>
    <row r="664" spans="1:9" ht="17.399999999999999" x14ac:dyDescent="0.25">
      <c r="A664" s="16"/>
      <c r="B664" s="17"/>
      <c r="C664" s="2"/>
      <c r="D664" s="2"/>
      <c r="E664" s="2"/>
      <c r="F664" s="2"/>
      <c r="G664" s="2"/>
      <c r="H664" s="2"/>
      <c r="I664" s="5"/>
    </row>
    <row r="665" spans="1:9" ht="17.399999999999999" x14ac:dyDescent="0.25">
      <c r="A665" s="16"/>
      <c r="B665" s="17"/>
      <c r="C665" s="2"/>
      <c r="D665" s="2"/>
      <c r="E665" s="2"/>
      <c r="F665" s="2"/>
      <c r="G665" s="2"/>
      <c r="H665" s="2"/>
      <c r="I665" s="5"/>
    </row>
    <row r="666" spans="1:9" ht="17.399999999999999" x14ac:dyDescent="0.25">
      <c r="A666" s="16"/>
      <c r="B666" s="17"/>
      <c r="C666" s="2"/>
      <c r="D666" s="2"/>
      <c r="E666" s="2"/>
      <c r="F666" s="2"/>
      <c r="G666" s="2"/>
      <c r="H666" s="2"/>
      <c r="I666" s="5"/>
    </row>
    <row r="667" spans="1:9" ht="17.399999999999999" x14ac:dyDescent="0.25">
      <c r="A667" s="16"/>
      <c r="B667" s="17"/>
      <c r="C667" s="2"/>
      <c r="D667" s="2"/>
      <c r="E667" s="2"/>
      <c r="F667" s="2"/>
      <c r="G667" s="2"/>
      <c r="H667" s="2"/>
      <c r="I667" s="5"/>
    </row>
    <row r="668" spans="1:9" ht="17.399999999999999" x14ac:dyDescent="0.25">
      <c r="A668" s="16"/>
      <c r="B668" s="17"/>
      <c r="C668" s="2"/>
      <c r="D668" s="2"/>
      <c r="E668" s="2"/>
      <c r="F668" s="2"/>
      <c r="G668" s="2"/>
      <c r="H668" s="2"/>
      <c r="I668" s="5"/>
    </row>
    <row r="669" spans="1:9" ht="17.399999999999999" x14ac:dyDescent="0.25">
      <c r="A669" s="16"/>
      <c r="B669" s="17"/>
      <c r="C669" s="2"/>
      <c r="D669" s="2"/>
      <c r="E669" s="2"/>
      <c r="F669" s="2"/>
      <c r="G669" s="2"/>
      <c r="H669" s="2"/>
      <c r="I669" s="5"/>
    </row>
    <row r="670" spans="1:9" ht="17.399999999999999" x14ac:dyDescent="0.25">
      <c r="A670" s="16"/>
      <c r="B670" s="17"/>
      <c r="C670" s="2"/>
      <c r="D670" s="2"/>
      <c r="E670" s="2"/>
      <c r="F670" s="2"/>
      <c r="G670" s="2"/>
      <c r="H670" s="2"/>
      <c r="I670" s="5"/>
    </row>
    <row r="671" spans="1:9" ht="17.399999999999999" x14ac:dyDescent="0.25">
      <c r="A671" s="16"/>
      <c r="B671" s="17"/>
      <c r="C671" s="2"/>
      <c r="D671" s="2"/>
      <c r="E671" s="2"/>
      <c r="F671" s="2"/>
      <c r="G671" s="2"/>
      <c r="H671" s="2"/>
      <c r="I671" s="5"/>
    </row>
    <row r="672" spans="1:9" ht="17.399999999999999" x14ac:dyDescent="0.25">
      <c r="A672" s="16"/>
      <c r="B672" s="17"/>
      <c r="C672" s="2"/>
      <c r="D672" s="2"/>
      <c r="E672" s="2"/>
      <c r="F672" s="2"/>
      <c r="G672" s="2"/>
      <c r="H672" s="2"/>
      <c r="I672" s="5"/>
    </row>
    <row r="673" spans="1:9" ht="17.399999999999999" x14ac:dyDescent="0.25">
      <c r="A673" s="16"/>
      <c r="B673" s="17"/>
      <c r="C673" s="2"/>
      <c r="D673" s="2"/>
      <c r="E673" s="2"/>
      <c r="F673" s="2"/>
      <c r="G673" s="2"/>
      <c r="H673" s="2"/>
      <c r="I673" s="5"/>
    </row>
    <row r="674" spans="1:9" ht="17.399999999999999" x14ac:dyDescent="0.25">
      <c r="A674" s="16"/>
      <c r="B674" s="17"/>
      <c r="C674" s="2"/>
      <c r="D674" s="2"/>
      <c r="E674" s="2"/>
      <c r="F674" s="2"/>
      <c r="G674" s="2"/>
      <c r="H674" s="2"/>
      <c r="I674" s="5"/>
    </row>
    <row r="675" spans="1:9" ht="17.399999999999999" x14ac:dyDescent="0.25">
      <c r="A675" s="16"/>
      <c r="B675" s="17"/>
      <c r="C675" s="2"/>
      <c r="D675" s="2"/>
      <c r="E675" s="2"/>
      <c r="F675" s="2"/>
      <c r="G675" s="2"/>
      <c r="H675" s="2"/>
      <c r="I675" s="5"/>
    </row>
    <row r="676" spans="1:9" ht="17.399999999999999" x14ac:dyDescent="0.25">
      <c r="A676" s="16"/>
      <c r="B676" s="17"/>
      <c r="C676" s="2"/>
      <c r="D676" s="2"/>
      <c r="E676" s="2"/>
      <c r="F676" s="2"/>
      <c r="G676" s="2"/>
      <c r="H676" s="2"/>
      <c r="I676" s="5"/>
    </row>
    <row r="677" spans="1:9" ht="17.399999999999999" x14ac:dyDescent="0.25">
      <c r="A677" s="16"/>
      <c r="B677" s="17"/>
      <c r="C677" s="2"/>
      <c r="D677" s="2"/>
      <c r="E677" s="2"/>
      <c r="F677" s="2"/>
      <c r="G677" s="2"/>
      <c r="H677" s="2"/>
      <c r="I677" s="5"/>
    </row>
    <row r="678" spans="1:9" ht="17.399999999999999" x14ac:dyDescent="0.25">
      <c r="A678" s="16"/>
      <c r="B678" s="17"/>
      <c r="C678" s="2"/>
      <c r="D678" s="2"/>
      <c r="E678" s="2"/>
      <c r="F678" s="2"/>
      <c r="G678" s="2"/>
      <c r="H678" s="2"/>
      <c r="I678" s="5"/>
    </row>
    <row r="679" spans="1:9" ht="17.399999999999999" x14ac:dyDescent="0.25">
      <c r="A679" s="16"/>
      <c r="B679" s="17"/>
      <c r="C679" s="2"/>
      <c r="D679" s="2"/>
      <c r="E679" s="2"/>
      <c r="F679" s="2"/>
      <c r="G679" s="2"/>
      <c r="H679" s="2"/>
      <c r="I679" s="5"/>
    </row>
    <row r="680" spans="1:9" ht="17.399999999999999" x14ac:dyDescent="0.25">
      <c r="A680" s="16"/>
      <c r="B680" s="17"/>
      <c r="C680" s="2"/>
      <c r="D680" s="2"/>
      <c r="E680" s="2"/>
      <c r="F680" s="2"/>
      <c r="G680" s="2"/>
      <c r="H680" s="2"/>
      <c r="I680" s="5"/>
    </row>
    <row r="681" spans="1:9" ht="17.399999999999999" x14ac:dyDescent="0.25">
      <c r="A681" s="16"/>
      <c r="B681" s="17"/>
      <c r="C681" s="2"/>
      <c r="D681" s="2"/>
      <c r="E681" s="2"/>
      <c r="F681" s="2"/>
      <c r="G681" s="2"/>
      <c r="H681" s="2"/>
      <c r="I681" s="5"/>
    </row>
    <row r="682" spans="1:9" ht="17.399999999999999" x14ac:dyDescent="0.25">
      <c r="A682" s="16"/>
      <c r="B682" s="17"/>
      <c r="C682" s="2"/>
      <c r="D682" s="2"/>
      <c r="E682" s="2"/>
      <c r="F682" s="2"/>
      <c r="G682" s="2"/>
      <c r="H682" s="2"/>
      <c r="I682" s="5"/>
    </row>
    <row r="683" spans="1:9" ht="17.399999999999999" x14ac:dyDescent="0.25">
      <c r="A683" s="16"/>
      <c r="B683" s="17"/>
      <c r="C683" s="2"/>
      <c r="D683" s="2"/>
      <c r="E683" s="2"/>
      <c r="F683" s="2"/>
      <c r="G683" s="2"/>
      <c r="H683" s="2"/>
      <c r="I683" s="5"/>
    </row>
    <row r="684" spans="1:9" ht="17.399999999999999" x14ac:dyDescent="0.25">
      <c r="A684" s="16"/>
      <c r="B684" s="17"/>
      <c r="C684" s="2"/>
      <c r="D684" s="2"/>
      <c r="E684" s="2"/>
      <c r="F684" s="2"/>
      <c r="G684" s="2"/>
      <c r="H684" s="2"/>
      <c r="I684" s="5"/>
    </row>
    <row r="685" spans="1:9" ht="17.399999999999999" x14ac:dyDescent="0.25">
      <c r="A685" s="16"/>
      <c r="B685" s="17"/>
      <c r="C685" s="2"/>
      <c r="D685" s="2"/>
      <c r="E685" s="2"/>
      <c r="F685" s="2"/>
      <c r="G685" s="2"/>
      <c r="H685" s="2"/>
      <c r="I685" s="5"/>
    </row>
    <row r="686" spans="1:9" ht="17.399999999999999" x14ac:dyDescent="0.25">
      <c r="A686" s="16"/>
      <c r="B686" s="17"/>
      <c r="C686" s="2"/>
      <c r="D686" s="2"/>
      <c r="E686" s="2"/>
      <c r="F686" s="2"/>
      <c r="G686" s="2"/>
      <c r="H686" s="2"/>
      <c r="I686" s="5"/>
    </row>
    <row r="687" spans="1:9" ht="17.399999999999999" x14ac:dyDescent="0.25">
      <c r="A687" s="16"/>
      <c r="B687" s="17"/>
      <c r="C687" s="2"/>
      <c r="D687" s="2"/>
      <c r="E687" s="2"/>
      <c r="F687" s="2"/>
      <c r="G687" s="2"/>
      <c r="H687" s="2"/>
      <c r="I687" s="5"/>
    </row>
    <row r="688" spans="1:9" ht="17.399999999999999" x14ac:dyDescent="0.25">
      <c r="A688" s="16"/>
      <c r="B688" s="17"/>
      <c r="C688" s="2"/>
      <c r="D688" s="2"/>
      <c r="E688" s="2"/>
      <c r="F688" s="2"/>
      <c r="G688" s="2"/>
      <c r="H688" s="2"/>
      <c r="I688" s="5"/>
    </row>
    <row r="689" spans="1:9" ht="17.399999999999999" x14ac:dyDescent="0.25">
      <c r="A689" s="16"/>
      <c r="B689" s="17"/>
      <c r="C689" s="2"/>
      <c r="D689" s="2"/>
      <c r="E689" s="2"/>
      <c r="F689" s="2"/>
      <c r="G689" s="2"/>
      <c r="H689" s="2"/>
      <c r="I689" s="5"/>
    </row>
    <row r="690" spans="1:9" ht="17.399999999999999" x14ac:dyDescent="0.25">
      <c r="A690" s="16"/>
      <c r="B690" s="17"/>
      <c r="C690" s="2"/>
      <c r="D690" s="2"/>
      <c r="E690" s="2"/>
      <c r="F690" s="2"/>
      <c r="G690" s="2"/>
      <c r="H690" s="2"/>
      <c r="I690" s="5"/>
    </row>
    <row r="691" spans="1:9" ht="17.399999999999999" x14ac:dyDescent="0.25">
      <c r="A691" s="16"/>
      <c r="B691" s="17"/>
      <c r="C691" s="2"/>
      <c r="D691" s="2"/>
      <c r="E691" s="2"/>
      <c r="F691" s="2"/>
      <c r="G691" s="2"/>
      <c r="H691" s="2"/>
      <c r="I691" s="5"/>
    </row>
    <row r="692" spans="1:9" ht="17.399999999999999" x14ac:dyDescent="0.25">
      <c r="A692" s="16"/>
      <c r="B692" s="17"/>
      <c r="C692" s="2"/>
      <c r="D692" s="2"/>
      <c r="E692" s="2"/>
      <c r="F692" s="2"/>
      <c r="G692" s="2"/>
      <c r="H692" s="2"/>
      <c r="I692" s="5"/>
    </row>
    <row r="693" spans="1:9" ht="17.399999999999999" x14ac:dyDescent="0.25">
      <c r="A693" s="16"/>
      <c r="B693" s="17"/>
      <c r="C693" s="2"/>
      <c r="D693" s="2"/>
      <c r="E693" s="2"/>
      <c r="F693" s="2"/>
      <c r="G693" s="2"/>
      <c r="H693" s="2"/>
      <c r="I693" s="5"/>
    </row>
    <row r="694" spans="1:9" ht="17.399999999999999" x14ac:dyDescent="0.25">
      <c r="A694" s="16"/>
      <c r="B694" s="17"/>
      <c r="C694" s="2"/>
      <c r="D694" s="2"/>
      <c r="E694" s="2"/>
      <c r="F694" s="2"/>
      <c r="G694" s="2"/>
      <c r="H694" s="2"/>
      <c r="I694" s="5"/>
    </row>
    <row r="695" spans="1:9" ht="17.399999999999999" x14ac:dyDescent="0.25">
      <c r="A695" s="16"/>
      <c r="B695" s="17"/>
      <c r="C695" s="2"/>
      <c r="D695" s="2"/>
      <c r="E695" s="2"/>
      <c r="F695" s="2"/>
      <c r="G695" s="2"/>
      <c r="H695" s="2"/>
      <c r="I695" s="5"/>
    </row>
    <row r="696" spans="1:9" ht="17.399999999999999" x14ac:dyDescent="0.25">
      <c r="A696" s="16"/>
      <c r="B696" s="17"/>
      <c r="C696" s="2"/>
      <c r="D696" s="2"/>
      <c r="E696" s="2"/>
      <c r="F696" s="2"/>
      <c r="G696" s="2"/>
      <c r="H696" s="2"/>
      <c r="I696" s="5"/>
    </row>
    <row r="697" spans="1:9" ht="17.399999999999999" x14ac:dyDescent="0.25">
      <c r="A697" s="16"/>
      <c r="B697" s="17"/>
      <c r="C697" s="2"/>
      <c r="D697" s="2"/>
      <c r="E697" s="2"/>
      <c r="F697" s="2"/>
      <c r="G697" s="2"/>
      <c r="H697" s="2"/>
      <c r="I697" s="5"/>
    </row>
    <row r="698" spans="1:9" ht="17.399999999999999" x14ac:dyDescent="0.25">
      <c r="A698" s="16"/>
      <c r="B698" s="17"/>
      <c r="C698" s="2"/>
      <c r="D698" s="2"/>
      <c r="E698" s="2"/>
      <c r="F698" s="2"/>
      <c r="G698" s="2"/>
      <c r="H698" s="2"/>
      <c r="I698" s="5"/>
    </row>
    <row r="699" spans="1:9" ht="17.399999999999999" x14ac:dyDescent="0.25">
      <c r="A699" s="16"/>
      <c r="B699" s="17"/>
      <c r="C699" s="2"/>
      <c r="D699" s="2"/>
      <c r="E699" s="2"/>
      <c r="F699" s="2"/>
      <c r="G699" s="2"/>
      <c r="H699" s="2"/>
      <c r="I699" s="5"/>
    </row>
    <row r="700" spans="1:9" ht="17.399999999999999" x14ac:dyDescent="0.25">
      <c r="A700" s="16"/>
      <c r="B700" s="17"/>
      <c r="C700" s="2"/>
      <c r="D700" s="2"/>
      <c r="E700" s="2"/>
      <c r="F700" s="2"/>
      <c r="G700" s="2"/>
      <c r="H700" s="2"/>
      <c r="I700" s="5"/>
    </row>
    <row r="701" spans="1:9" ht="17.399999999999999" x14ac:dyDescent="0.25">
      <c r="A701" s="16"/>
      <c r="B701" s="17"/>
      <c r="C701" s="2"/>
      <c r="D701" s="2"/>
      <c r="E701" s="2"/>
      <c r="F701" s="2"/>
      <c r="G701" s="2"/>
      <c r="H701" s="2"/>
      <c r="I701" s="5"/>
    </row>
    <row r="702" spans="1:9" ht="17.399999999999999" x14ac:dyDescent="0.25">
      <c r="A702" s="16"/>
      <c r="B702" s="17"/>
      <c r="C702" s="2"/>
      <c r="D702" s="2"/>
      <c r="E702" s="2"/>
      <c r="F702" s="2"/>
      <c r="G702" s="2"/>
      <c r="H702" s="2"/>
      <c r="I702" s="5"/>
    </row>
    <row r="703" spans="1:9" ht="17.399999999999999" x14ac:dyDescent="0.25">
      <c r="A703" s="16"/>
      <c r="B703" s="17"/>
      <c r="C703" s="2"/>
      <c r="D703" s="2"/>
      <c r="E703" s="2"/>
      <c r="F703" s="2"/>
      <c r="G703" s="2"/>
      <c r="H703" s="2"/>
      <c r="I703" s="5"/>
    </row>
    <row r="704" spans="1:9" ht="17.399999999999999" x14ac:dyDescent="0.25">
      <c r="A704" s="16"/>
      <c r="B704" s="17"/>
      <c r="C704" s="2"/>
      <c r="D704" s="2"/>
      <c r="E704" s="2"/>
      <c r="F704" s="2"/>
      <c r="G704" s="2"/>
      <c r="H704" s="2"/>
      <c r="I704" s="5"/>
    </row>
    <row r="705" spans="1:9" ht="17.399999999999999" x14ac:dyDescent="0.25">
      <c r="A705" s="16"/>
      <c r="B705" s="17"/>
      <c r="C705" s="2"/>
      <c r="D705" s="2"/>
      <c r="E705" s="2"/>
      <c r="F705" s="2"/>
      <c r="G705" s="2"/>
      <c r="H705" s="2"/>
      <c r="I705" s="5"/>
    </row>
    <row r="706" spans="1:9" ht="17.399999999999999" x14ac:dyDescent="0.25">
      <c r="A706" s="16"/>
      <c r="B706" s="17"/>
      <c r="C706" s="2"/>
      <c r="D706" s="2"/>
      <c r="E706" s="2"/>
      <c r="F706" s="2"/>
      <c r="G706" s="2"/>
      <c r="H706" s="2"/>
      <c r="I706" s="5"/>
    </row>
    <row r="707" spans="1:9" ht="17.399999999999999" x14ac:dyDescent="0.25">
      <c r="A707" s="16"/>
      <c r="B707" s="17"/>
      <c r="C707" s="2"/>
      <c r="D707" s="2"/>
      <c r="E707" s="2"/>
      <c r="F707" s="2"/>
      <c r="G707" s="2"/>
      <c r="H707" s="2"/>
      <c r="I707" s="5"/>
    </row>
    <row r="708" spans="1:9" ht="17.399999999999999" x14ac:dyDescent="0.25">
      <c r="A708" s="16"/>
      <c r="B708" s="17"/>
      <c r="C708" s="2"/>
      <c r="D708" s="2"/>
      <c r="E708" s="2"/>
      <c r="F708" s="2"/>
      <c r="G708" s="2"/>
      <c r="H708" s="2"/>
      <c r="I708" s="5"/>
    </row>
    <row r="709" spans="1:9" ht="17.399999999999999" x14ac:dyDescent="0.25">
      <c r="A709" s="16"/>
      <c r="B709" s="17"/>
      <c r="C709" s="2"/>
      <c r="D709" s="2"/>
      <c r="E709" s="2"/>
      <c r="F709" s="2"/>
      <c r="G709" s="2"/>
      <c r="H709" s="2"/>
      <c r="I709" s="5"/>
    </row>
    <row r="710" spans="1:9" ht="17.399999999999999" x14ac:dyDescent="0.25">
      <c r="A710" s="16"/>
      <c r="B710" s="17"/>
      <c r="C710" s="2"/>
      <c r="D710" s="2"/>
      <c r="E710" s="2"/>
      <c r="F710" s="2"/>
      <c r="G710" s="2"/>
      <c r="H710" s="2"/>
      <c r="I710" s="5"/>
    </row>
    <row r="711" spans="1:9" ht="17.399999999999999" x14ac:dyDescent="0.25">
      <c r="A711" s="16"/>
      <c r="B711" s="17"/>
      <c r="C711" s="2"/>
      <c r="D711" s="2"/>
      <c r="E711" s="2"/>
      <c r="F711" s="2"/>
      <c r="G711" s="2"/>
      <c r="H711" s="2"/>
      <c r="I711" s="5"/>
    </row>
    <row r="712" spans="1:9" ht="17.399999999999999" x14ac:dyDescent="0.25">
      <c r="A712" s="16"/>
      <c r="B712" s="17"/>
      <c r="C712" s="2"/>
      <c r="D712" s="2"/>
      <c r="E712" s="2"/>
      <c r="F712" s="2"/>
      <c r="G712" s="2"/>
      <c r="H712" s="2"/>
      <c r="I712" s="5"/>
    </row>
    <row r="713" spans="1:9" ht="17.399999999999999" x14ac:dyDescent="0.25">
      <c r="A713" s="16"/>
      <c r="B713" s="17"/>
      <c r="C713" s="2"/>
      <c r="D713" s="2"/>
      <c r="E713" s="2"/>
      <c r="F713" s="2"/>
      <c r="G713" s="2"/>
      <c r="H713" s="2"/>
      <c r="I713" s="5"/>
    </row>
    <row r="714" spans="1:9" ht="17.399999999999999" x14ac:dyDescent="0.25">
      <c r="A714" s="16"/>
      <c r="B714" s="17"/>
      <c r="C714" s="2"/>
      <c r="D714" s="2"/>
      <c r="E714" s="2"/>
      <c r="F714" s="2"/>
      <c r="G714" s="2"/>
      <c r="H714" s="2"/>
      <c r="I714" s="5"/>
    </row>
    <row r="715" spans="1:9" ht="17.399999999999999" x14ac:dyDescent="0.25">
      <c r="A715" s="16"/>
      <c r="B715" s="17"/>
      <c r="C715" s="2"/>
      <c r="D715" s="2"/>
      <c r="E715" s="2"/>
      <c r="F715" s="2"/>
      <c r="G715" s="2"/>
      <c r="H715" s="2"/>
      <c r="I715" s="5"/>
    </row>
    <row r="716" spans="1:9" ht="17.399999999999999" x14ac:dyDescent="0.25">
      <c r="A716" s="16"/>
      <c r="B716" s="17"/>
      <c r="C716" s="2"/>
      <c r="D716" s="2"/>
      <c r="E716" s="2"/>
      <c r="F716" s="2"/>
      <c r="G716" s="2"/>
      <c r="H716" s="2"/>
      <c r="I716" s="5"/>
    </row>
    <row r="717" spans="1:9" ht="17.399999999999999" x14ac:dyDescent="0.25">
      <c r="A717" s="16"/>
      <c r="B717" s="17"/>
      <c r="C717" s="2"/>
      <c r="D717" s="2"/>
      <c r="E717" s="2"/>
      <c r="F717" s="2"/>
      <c r="G717" s="2"/>
      <c r="H717" s="2"/>
      <c r="I717" s="5"/>
    </row>
    <row r="718" spans="1:9" ht="17.399999999999999" x14ac:dyDescent="0.25">
      <c r="A718" s="16"/>
      <c r="B718" s="17"/>
      <c r="C718" s="2"/>
      <c r="D718" s="2"/>
      <c r="E718" s="2"/>
      <c r="F718" s="2"/>
      <c r="G718" s="2"/>
      <c r="H718" s="2"/>
      <c r="I718" s="5"/>
    </row>
    <row r="719" spans="1:9" ht="17.399999999999999" x14ac:dyDescent="0.25">
      <c r="A719" s="16"/>
      <c r="B719" s="17"/>
      <c r="C719" s="2"/>
      <c r="D719" s="2"/>
      <c r="E719" s="2"/>
      <c r="F719" s="2"/>
      <c r="G719" s="2"/>
      <c r="H719" s="2"/>
      <c r="I719" s="5"/>
    </row>
    <row r="720" spans="1:9" ht="17.399999999999999" x14ac:dyDescent="0.25">
      <c r="A720" s="16"/>
      <c r="B720" s="17"/>
      <c r="C720" s="2"/>
      <c r="D720" s="2"/>
      <c r="E720" s="2"/>
      <c r="F720" s="2"/>
      <c r="G720" s="2"/>
      <c r="H720" s="2"/>
      <c r="I720" s="5"/>
    </row>
    <row r="721" spans="1:9" ht="17.399999999999999" x14ac:dyDescent="0.25">
      <c r="A721" s="16"/>
      <c r="B721" s="17"/>
      <c r="C721" s="2"/>
      <c r="D721" s="2"/>
      <c r="E721" s="2"/>
      <c r="F721" s="2"/>
      <c r="G721" s="2"/>
      <c r="H721" s="2"/>
      <c r="I721" s="5"/>
    </row>
    <row r="722" spans="1:9" ht="17.399999999999999" x14ac:dyDescent="0.25">
      <c r="A722" s="16"/>
      <c r="B722" s="17"/>
      <c r="C722" s="2"/>
      <c r="D722" s="2"/>
      <c r="E722" s="2"/>
      <c r="F722" s="2"/>
      <c r="G722" s="2"/>
      <c r="H722" s="2"/>
      <c r="I722" s="5"/>
    </row>
    <row r="723" spans="1:9" ht="17.399999999999999" x14ac:dyDescent="0.25">
      <c r="A723" s="16"/>
      <c r="B723" s="17"/>
      <c r="C723" s="2"/>
      <c r="D723" s="2"/>
      <c r="E723" s="2"/>
      <c r="F723" s="2"/>
      <c r="G723" s="2"/>
      <c r="H723" s="2"/>
      <c r="I723" s="5"/>
    </row>
    <row r="724" spans="1:9" ht="17.399999999999999" x14ac:dyDescent="0.25">
      <c r="A724" s="16"/>
      <c r="B724" s="17"/>
      <c r="C724" s="2"/>
      <c r="D724" s="2"/>
      <c r="E724" s="2"/>
      <c r="F724" s="2"/>
      <c r="G724" s="2"/>
      <c r="H724" s="2"/>
      <c r="I724" s="5"/>
    </row>
    <row r="725" spans="1:9" ht="17.399999999999999" x14ac:dyDescent="0.25">
      <c r="A725" s="16"/>
      <c r="B725" s="17"/>
      <c r="C725" s="2"/>
      <c r="D725" s="2"/>
      <c r="E725" s="2"/>
      <c r="F725" s="2"/>
      <c r="G725" s="2"/>
      <c r="H725" s="2"/>
      <c r="I725" s="5"/>
    </row>
    <row r="726" spans="1:9" ht="17.399999999999999" x14ac:dyDescent="0.25">
      <c r="A726" s="16"/>
      <c r="B726" s="17"/>
      <c r="C726" s="2"/>
      <c r="D726" s="2"/>
      <c r="E726" s="2"/>
      <c r="F726" s="2"/>
      <c r="G726" s="2"/>
      <c r="H726" s="2"/>
      <c r="I726" s="5"/>
    </row>
    <row r="727" spans="1:9" ht="17.399999999999999" x14ac:dyDescent="0.25">
      <c r="A727" s="16"/>
      <c r="B727" s="17"/>
      <c r="C727" s="2"/>
      <c r="D727" s="2"/>
      <c r="E727" s="2"/>
      <c r="F727" s="2"/>
      <c r="G727" s="2"/>
      <c r="H727" s="2"/>
      <c r="I727" s="5"/>
    </row>
    <row r="728" spans="1:9" ht="17.399999999999999" x14ac:dyDescent="0.25">
      <c r="A728" s="16"/>
      <c r="B728" s="17"/>
      <c r="C728" s="2"/>
      <c r="D728" s="2"/>
      <c r="E728" s="2"/>
      <c r="F728" s="2"/>
      <c r="G728" s="2"/>
      <c r="H728" s="2"/>
      <c r="I728" s="5"/>
    </row>
    <row r="729" spans="1:9" ht="17.399999999999999" x14ac:dyDescent="0.25">
      <c r="A729" s="16"/>
      <c r="B729" s="17"/>
      <c r="C729" s="2"/>
      <c r="D729" s="2"/>
      <c r="E729" s="2"/>
      <c r="F729" s="2"/>
      <c r="G729" s="2"/>
      <c r="H729" s="2"/>
      <c r="I729" s="5"/>
    </row>
    <row r="730" spans="1:9" ht="17.399999999999999" x14ac:dyDescent="0.25">
      <c r="A730" s="16"/>
      <c r="B730" s="17"/>
      <c r="C730" s="2"/>
      <c r="D730" s="2"/>
      <c r="E730" s="2"/>
      <c r="F730" s="2"/>
      <c r="G730" s="2"/>
      <c r="H730" s="2"/>
      <c r="I730" s="5"/>
    </row>
    <row r="731" spans="1:9" ht="17.399999999999999" x14ac:dyDescent="0.25">
      <c r="A731" s="16"/>
      <c r="B731" s="17"/>
      <c r="C731" s="2"/>
      <c r="D731" s="2"/>
      <c r="E731" s="2"/>
      <c r="F731" s="2"/>
      <c r="G731" s="2"/>
      <c r="H731" s="2"/>
      <c r="I731" s="5"/>
    </row>
    <row r="732" spans="1:9" ht="17.399999999999999" x14ac:dyDescent="0.25">
      <c r="A732" s="16"/>
      <c r="B732" s="17"/>
      <c r="C732" s="2"/>
      <c r="D732" s="2"/>
      <c r="E732" s="2"/>
      <c r="F732" s="2"/>
      <c r="G732" s="2"/>
      <c r="H732" s="2"/>
      <c r="I732" s="5"/>
    </row>
    <row r="733" spans="1:9" ht="17.399999999999999" x14ac:dyDescent="0.25">
      <c r="A733" s="16"/>
      <c r="B733" s="17"/>
      <c r="C733" s="2"/>
      <c r="D733" s="2"/>
      <c r="E733" s="2"/>
      <c r="F733" s="2"/>
      <c r="G733" s="2"/>
      <c r="H733" s="2"/>
      <c r="I733" s="5"/>
    </row>
    <row r="734" spans="1:9" ht="17.399999999999999" x14ac:dyDescent="0.25">
      <c r="A734" s="16"/>
      <c r="B734" s="17"/>
      <c r="C734" s="2"/>
      <c r="D734" s="2"/>
      <c r="E734" s="2"/>
      <c r="F734" s="2"/>
      <c r="G734" s="2"/>
      <c r="H734" s="2"/>
      <c r="I734" s="5"/>
    </row>
    <row r="735" spans="1:9" ht="17.399999999999999" x14ac:dyDescent="0.25">
      <c r="A735" s="16"/>
      <c r="B735" s="17"/>
      <c r="C735" s="2"/>
      <c r="D735" s="2"/>
      <c r="E735" s="2"/>
      <c r="F735" s="2"/>
      <c r="G735" s="2"/>
      <c r="H735" s="2"/>
      <c r="I735" s="5"/>
    </row>
    <row r="736" spans="1:9" ht="17.399999999999999" x14ac:dyDescent="0.25">
      <c r="A736" s="16"/>
      <c r="B736" s="17"/>
      <c r="C736" s="2"/>
      <c r="D736" s="2"/>
      <c r="E736" s="2"/>
      <c r="F736" s="2"/>
      <c r="G736" s="2"/>
      <c r="H736" s="2"/>
      <c r="I736" s="5"/>
    </row>
    <row r="737" spans="1:9" ht="17.399999999999999" x14ac:dyDescent="0.25">
      <c r="A737" s="16"/>
      <c r="B737" s="17"/>
      <c r="C737" s="2"/>
      <c r="D737" s="2"/>
      <c r="E737" s="2"/>
      <c r="F737" s="2"/>
      <c r="G737" s="2"/>
      <c r="H737" s="2"/>
      <c r="I737" s="5"/>
    </row>
    <row r="738" spans="1:9" ht="17.399999999999999" x14ac:dyDescent="0.25">
      <c r="A738" s="16"/>
      <c r="B738" s="17"/>
      <c r="C738" s="2"/>
      <c r="D738" s="2"/>
      <c r="E738" s="2"/>
      <c r="F738" s="2"/>
      <c r="G738" s="2"/>
      <c r="H738" s="2"/>
      <c r="I738" s="5"/>
    </row>
    <row r="739" spans="1:9" ht="17.399999999999999" x14ac:dyDescent="0.25">
      <c r="A739" s="16"/>
      <c r="B739" s="17"/>
      <c r="C739" s="2"/>
      <c r="D739" s="2"/>
      <c r="E739" s="2"/>
      <c r="F739" s="2"/>
      <c r="G739" s="2"/>
      <c r="H739" s="2"/>
      <c r="I739" s="5"/>
    </row>
    <row r="740" spans="1:9" ht="17.399999999999999" x14ac:dyDescent="0.25">
      <c r="A740" s="16"/>
      <c r="B740" s="17"/>
      <c r="C740" s="2"/>
      <c r="D740" s="2"/>
      <c r="E740" s="2"/>
      <c r="F740" s="2"/>
      <c r="G740" s="2"/>
      <c r="H740" s="2"/>
      <c r="I740" s="5"/>
    </row>
    <row r="741" spans="1:9" ht="17.399999999999999" x14ac:dyDescent="0.25">
      <c r="A741" s="16"/>
      <c r="B741" s="17"/>
      <c r="C741" s="2"/>
      <c r="D741" s="2"/>
      <c r="E741" s="2"/>
      <c r="F741" s="2"/>
      <c r="G741" s="2"/>
      <c r="H741" s="2"/>
      <c r="I741" s="5"/>
    </row>
    <row r="742" spans="1:9" ht="17.399999999999999" x14ac:dyDescent="0.25">
      <c r="A742" s="16"/>
      <c r="B742" s="17"/>
      <c r="C742" s="2"/>
      <c r="D742" s="2"/>
      <c r="E742" s="2"/>
      <c r="F742" s="2"/>
      <c r="G742" s="2"/>
      <c r="H742" s="2"/>
      <c r="I742" s="5"/>
    </row>
    <row r="743" spans="1:9" ht="17.399999999999999" x14ac:dyDescent="0.25">
      <c r="A743" s="16"/>
      <c r="B743" s="17"/>
      <c r="C743" s="2"/>
      <c r="D743" s="2"/>
      <c r="E743" s="2"/>
      <c r="F743" s="2"/>
      <c r="G743" s="2"/>
      <c r="H743" s="2"/>
      <c r="I743" s="5"/>
    </row>
    <row r="744" spans="1:9" ht="17.399999999999999" x14ac:dyDescent="0.25">
      <c r="A744" s="16"/>
      <c r="B744" s="17"/>
      <c r="C744" s="2"/>
      <c r="D744" s="2"/>
      <c r="E744" s="2"/>
      <c r="F744" s="2"/>
      <c r="G744" s="2"/>
      <c r="H744" s="2"/>
      <c r="I744" s="5"/>
    </row>
    <row r="745" spans="1:9" ht="17.399999999999999" x14ac:dyDescent="0.25">
      <c r="A745" s="16"/>
      <c r="B745" s="17"/>
      <c r="C745" s="2"/>
      <c r="D745" s="2"/>
      <c r="E745" s="2"/>
      <c r="F745" s="2"/>
      <c r="G745" s="2"/>
      <c r="H745" s="2"/>
      <c r="I745" s="5"/>
    </row>
    <row r="746" spans="1:9" ht="17.399999999999999" x14ac:dyDescent="0.25">
      <c r="A746" s="16"/>
      <c r="B746" s="17"/>
      <c r="C746" s="2"/>
      <c r="D746" s="2"/>
      <c r="E746" s="2"/>
      <c r="F746" s="2"/>
      <c r="G746" s="2"/>
      <c r="H746" s="2"/>
      <c r="I746" s="5"/>
    </row>
    <row r="747" spans="1:9" ht="17.399999999999999" x14ac:dyDescent="0.25">
      <c r="A747" s="16"/>
      <c r="B747" s="17"/>
      <c r="C747" s="2"/>
      <c r="D747" s="2"/>
      <c r="E747" s="2"/>
      <c r="F747" s="2"/>
      <c r="G747" s="2"/>
      <c r="H747" s="2"/>
      <c r="I747" s="5"/>
    </row>
    <row r="748" spans="1:9" ht="17.399999999999999" x14ac:dyDescent="0.25">
      <c r="A748" s="16"/>
      <c r="B748" s="17"/>
      <c r="C748" s="2"/>
      <c r="D748" s="2"/>
      <c r="E748" s="2"/>
      <c r="F748" s="2"/>
      <c r="G748" s="2"/>
      <c r="H748" s="2"/>
      <c r="I748" s="5"/>
    </row>
    <row r="749" spans="1:9" ht="17.399999999999999" x14ac:dyDescent="0.25">
      <c r="A749" s="16"/>
      <c r="B749" s="17"/>
      <c r="C749" s="2"/>
      <c r="D749" s="2"/>
      <c r="E749" s="2"/>
      <c r="F749" s="2"/>
      <c r="G749" s="2"/>
      <c r="H749" s="2"/>
      <c r="I749" s="5"/>
    </row>
    <row r="750" spans="1:9" ht="17.399999999999999" x14ac:dyDescent="0.25">
      <c r="A750" s="16"/>
      <c r="B750" s="17"/>
      <c r="C750" s="2"/>
      <c r="D750" s="2"/>
      <c r="E750" s="2"/>
      <c r="F750" s="2"/>
      <c r="G750" s="2"/>
      <c r="H750" s="2"/>
      <c r="I750" s="5"/>
    </row>
    <row r="751" spans="1:9" ht="17.399999999999999" x14ac:dyDescent="0.25">
      <c r="A751" s="16"/>
      <c r="B751" s="17"/>
      <c r="C751" s="2"/>
      <c r="D751" s="2"/>
      <c r="E751" s="2"/>
      <c r="F751" s="2"/>
      <c r="G751" s="2"/>
      <c r="H751" s="2"/>
      <c r="I751" s="5"/>
    </row>
    <row r="752" spans="1:9" ht="17.399999999999999" x14ac:dyDescent="0.25">
      <c r="A752" s="16"/>
      <c r="B752" s="17"/>
      <c r="C752" s="2"/>
      <c r="D752" s="2"/>
      <c r="E752" s="2"/>
      <c r="F752" s="2"/>
      <c r="G752" s="2"/>
      <c r="H752" s="2"/>
      <c r="I752" s="5"/>
    </row>
    <row r="753" spans="1:9" ht="17.399999999999999" x14ac:dyDescent="0.25">
      <c r="A753" s="16"/>
      <c r="B753" s="17"/>
      <c r="C753" s="2"/>
      <c r="D753" s="2"/>
      <c r="E753" s="2"/>
      <c r="F753" s="2"/>
      <c r="G753" s="2"/>
      <c r="H753" s="2"/>
      <c r="I753" s="5"/>
    </row>
    <row r="754" spans="1:9" ht="17.399999999999999" x14ac:dyDescent="0.25">
      <c r="A754" s="16"/>
      <c r="B754" s="17"/>
      <c r="C754" s="2"/>
      <c r="D754" s="2"/>
      <c r="E754" s="2"/>
      <c r="F754" s="2"/>
      <c r="G754" s="2"/>
      <c r="H754" s="2"/>
      <c r="I754" s="5"/>
    </row>
    <row r="755" spans="1:9" ht="17.399999999999999" x14ac:dyDescent="0.25">
      <c r="A755" s="16"/>
      <c r="B755" s="17"/>
      <c r="C755" s="2"/>
      <c r="D755" s="2"/>
      <c r="E755" s="2"/>
      <c r="F755" s="2"/>
      <c r="G755" s="2"/>
      <c r="H755" s="2"/>
      <c r="I755" s="5"/>
    </row>
    <row r="756" spans="1:9" ht="17.399999999999999" x14ac:dyDescent="0.25">
      <c r="A756" s="16"/>
      <c r="B756" s="17"/>
      <c r="C756" s="2"/>
      <c r="D756" s="2"/>
      <c r="E756" s="2"/>
      <c r="F756" s="2"/>
      <c r="G756" s="2"/>
      <c r="H756" s="2"/>
      <c r="I756" s="5"/>
    </row>
    <row r="757" spans="1:9" ht="17.399999999999999" x14ac:dyDescent="0.25">
      <c r="A757" s="16"/>
      <c r="B757" s="17"/>
      <c r="C757" s="2"/>
      <c r="D757" s="2"/>
      <c r="E757" s="2"/>
      <c r="F757" s="2"/>
      <c r="G757" s="2"/>
      <c r="H757" s="2"/>
      <c r="I757" s="5"/>
    </row>
    <row r="758" spans="1:9" ht="17.399999999999999" x14ac:dyDescent="0.25">
      <c r="A758" s="16"/>
      <c r="B758" s="17"/>
      <c r="C758" s="2"/>
      <c r="D758" s="2"/>
      <c r="E758" s="2"/>
      <c r="F758" s="2"/>
      <c r="G758" s="2"/>
      <c r="H758" s="2"/>
      <c r="I758" s="5"/>
    </row>
    <row r="759" spans="1:9" ht="17.399999999999999" x14ac:dyDescent="0.25">
      <c r="A759" s="16"/>
      <c r="B759" s="17"/>
      <c r="C759" s="2"/>
      <c r="D759" s="2"/>
      <c r="E759" s="2"/>
      <c r="F759" s="2"/>
      <c r="G759" s="2"/>
      <c r="H759" s="2"/>
      <c r="I759" s="5"/>
    </row>
    <row r="760" spans="1:9" ht="17.399999999999999" x14ac:dyDescent="0.25">
      <c r="A760" s="16"/>
      <c r="B760" s="17"/>
      <c r="C760" s="2"/>
      <c r="D760" s="2"/>
      <c r="E760" s="2"/>
      <c r="F760" s="2"/>
      <c r="G760" s="2"/>
      <c r="H760" s="2"/>
      <c r="I760" s="5"/>
    </row>
    <row r="761" spans="1:9" ht="17.399999999999999" x14ac:dyDescent="0.25">
      <c r="A761" s="16"/>
      <c r="B761" s="17"/>
      <c r="C761" s="2"/>
      <c r="D761" s="2"/>
      <c r="E761" s="2"/>
      <c r="F761" s="2"/>
      <c r="G761" s="2"/>
      <c r="H761" s="2"/>
      <c r="I761" s="5"/>
    </row>
    <row r="762" spans="1:9" ht="17.399999999999999" x14ac:dyDescent="0.25">
      <c r="A762" s="16"/>
      <c r="B762" s="17"/>
      <c r="C762" s="2"/>
      <c r="D762" s="2"/>
      <c r="E762" s="2"/>
      <c r="F762" s="2"/>
      <c r="G762" s="2"/>
      <c r="H762" s="2"/>
      <c r="I762" s="5"/>
    </row>
    <row r="763" spans="1:9" ht="17.399999999999999" x14ac:dyDescent="0.25">
      <c r="A763" s="16"/>
      <c r="B763" s="17"/>
      <c r="C763" s="2"/>
      <c r="D763" s="2"/>
      <c r="E763" s="2"/>
      <c r="F763" s="2"/>
      <c r="G763" s="2"/>
      <c r="H763" s="2"/>
      <c r="I763" s="5"/>
    </row>
    <row r="764" spans="1:9" ht="17.399999999999999" x14ac:dyDescent="0.25">
      <c r="A764" s="16"/>
      <c r="B764" s="17"/>
      <c r="C764" s="2"/>
      <c r="D764" s="2"/>
      <c r="E764" s="2"/>
      <c r="F764" s="2"/>
      <c r="G764" s="2"/>
      <c r="H764" s="2"/>
      <c r="I764" s="5"/>
    </row>
    <row r="765" spans="1:9" ht="17.399999999999999" x14ac:dyDescent="0.25">
      <c r="A765" s="16"/>
      <c r="B765" s="17"/>
      <c r="C765" s="2"/>
      <c r="D765" s="2"/>
      <c r="E765" s="2"/>
      <c r="F765" s="2"/>
      <c r="G765" s="2"/>
      <c r="H765" s="2"/>
      <c r="I765" s="5"/>
    </row>
    <row r="766" spans="1:9" ht="17.399999999999999" x14ac:dyDescent="0.25">
      <c r="A766" s="16"/>
      <c r="B766" s="17"/>
      <c r="C766" s="2"/>
      <c r="D766" s="2"/>
      <c r="E766" s="2"/>
      <c r="F766" s="2"/>
      <c r="G766" s="2"/>
      <c r="H766" s="2"/>
      <c r="I766" s="5"/>
    </row>
    <row r="767" spans="1:9" ht="17.399999999999999" x14ac:dyDescent="0.25">
      <c r="A767" s="16"/>
      <c r="B767" s="17"/>
      <c r="C767" s="2"/>
      <c r="D767" s="2"/>
      <c r="E767" s="2"/>
      <c r="F767" s="2"/>
      <c r="G767" s="2"/>
      <c r="H767" s="2"/>
      <c r="I767" s="5"/>
    </row>
    <row r="768" spans="1:9" ht="17.399999999999999" x14ac:dyDescent="0.25">
      <c r="A768" s="16"/>
      <c r="B768" s="17"/>
      <c r="C768" s="2"/>
      <c r="D768" s="2"/>
      <c r="E768" s="2"/>
      <c r="F768" s="2"/>
      <c r="G768" s="2"/>
      <c r="H768" s="2"/>
      <c r="I768" s="5"/>
    </row>
    <row r="769" spans="1:9" ht="17.399999999999999" x14ac:dyDescent="0.25">
      <c r="A769" s="16"/>
      <c r="B769" s="17"/>
      <c r="C769" s="2"/>
      <c r="D769" s="2"/>
      <c r="E769" s="2"/>
      <c r="F769" s="2"/>
      <c r="G769" s="2"/>
      <c r="H769" s="2"/>
      <c r="I769" s="5"/>
    </row>
    <row r="770" spans="1:9" ht="17.399999999999999" x14ac:dyDescent="0.25">
      <c r="A770" s="16"/>
      <c r="B770" s="17"/>
      <c r="C770" s="2"/>
      <c r="D770" s="2"/>
      <c r="E770" s="2"/>
      <c r="F770" s="2"/>
      <c r="G770" s="2"/>
      <c r="H770" s="2"/>
      <c r="I770" s="5"/>
    </row>
    <row r="771" spans="1:9" ht="17.399999999999999" x14ac:dyDescent="0.25">
      <c r="A771" s="16"/>
      <c r="B771" s="17"/>
      <c r="C771" s="2"/>
      <c r="D771" s="2"/>
      <c r="E771" s="2"/>
      <c r="F771" s="2"/>
      <c r="G771" s="2"/>
      <c r="H771" s="2"/>
      <c r="I771" s="5"/>
    </row>
    <row r="772" spans="1:9" ht="17.399999999999999" x14ac:dyDescent="0.25">
      <c r="A772" s="16"/>
      <c r="B772" s="17"/>
      <c r="C772" s="2"/>
      <c r="D772" s="2"/>
      <c r="E772" s="2"/>
      <c r="F772" s="2"/>
      <c r="G772" s="2"/>
      <c r="H772" s="2"/>
      <c r="I772" s="5"/>
    </row>
    <row r="773" spans="1:9" ht="17.399999999999999" x14ac:dyDescent="0.25">
      <c r="A773" s="16"/>
      <c r="B773" s="17"/>
      <c r="C773" s="2"/>
      <c r="D773" s="2"/>
      <c r="E773" s="2"/>
      <c r="F773" s="2"/>
      <c r="G773" s="2"/>
      <c r="H773" s="2"/>
      <c r="I773" s="5"/>
    </row>
    <row r="774" spans="1:9" ht="17.399999999999999" x14ac:dyDescent="0.25">
      <c r="A774" s="16"/>
      <c r="B774" s="17"/>
      <c r="C774" s="2"/>
      <c r="D774" s="2"/>
      <c r="E774" s="2"/>
      <c r="F774" s="2"/>
      <c r="G774" s="2"/>
      <c r="H774" s="2"/>
      <c r="I774" s="5"/>
    </row>
    <row r="775" spans="1:9" ht="17.399999999999999" x14ac:dyDescent="0.25">
      <c r="A775" s="16"/>
      <c r="B775" s="17"/>
      <c r="C775" s="2"/>
      <c r="D775" s="2"/>
      <c r="E775" s="2"/>
      <c r="F775" s="2"/>
      <c r="G775" s="2"/>
      <c r="H775" s="2"/>
      <c r="I775" s="5"/>
    </row>
    <row r="776" spans="1:9" ht="17.399999999999999" x14ac:dyDescent="0.25">
      <c r="A776" s="16"/>
      <c r="B776" s="17"/>
      <c r="C776" s="2"/>
      <c r="D776" s="2"/>
      <c r="E776" s="2"/>
      <c r="F776" s="2"/>
      <c r="G776" s="2"/>
      <c r="H776" s="2"/>
      <c r="I776" s="5"/>
    </row>
    <row r="777" spans="1:9" ht="17.399999999999999" x14ac:dyDescent="0.25">
      <c r="A777" s="16"/>
      <c r="B777" s="17"/>
      <c r="C777" s="2"/>
      <c r="D777" s="2"/>
      <c r="E777" s="2"/>
      <c r="F777" s="2"/>
      <c r="G777" s="2"/>
      <c r="H777" s="2"/>
      <c r="I777" s="5"/>
    </row>
    <row r="778" spans="1:9" ht="17.399999999999999" x14ac:dyDescent="0.25">
      <c r="A778" s="16"/>
      <c r="B778" s="17"/>
      <c r="C778" s="2"/>
      <c r="D778" s="2"/>
      <c r="E778" s="2"/>
      <c r="F778" s="2"/>
      <c r="G778" s="2"/>
      <c r="H778" s="2"/>
      <c r="I778" s="5"/>
    </row>
    <row r="779" spans="1:9" ht="17.399999999999999" x14ac:dyDescent="0.25">
      <c r="A779" s="16"/>
      <c r="B779" s="17"/>
      <c r="C779" s="2"/>
      <c r="D779" s="2"/>
      <c r="E779" s="2"/>
      <c r="F779" s="2"/>
      <c r="G779" s="2"/>
      <c r="H779" s="2"/>
      <c r="I779" s="5"/>
    </row>
    <row r="780" spans="1:9" ht="17.399999999999999" x14ac:dyDescent="0.25">
      <c r="A780" s="16"/>
      <c r="B780" s="17"/>
      <c r="C780" s="2"/>
      <c r="D780" s="2"/>
      <c r="E780" s="2"/>
      <c r="F780" s="2"/>
      <c r="G780" s="2"/>
      <c r="H780" s="2"/>
      <c r="I780" s="5"/>
    </row>
    <row r="781" spans="1:9" ht="17.399999999999999" x14ac:dyDescent="0.25">
      <c r="A781" s="16"/>
      <c r="B781" s="17"/>
      <c r="C781" s="2"/>
      <c r="D781" s="2"/>
      <c r="E781" s="2"/>
      <c r="F781" s="2"/>
      <c r="G781" s="2"/>
      <c r="H781" s="2"/>
      <c r="I781" s="5"/>
    </row>
    <row r="782" spans="1:9" ht="17.399999999999999" x14ac:dyDescent="0.25">
      <c r="A782" s="16"/>
      <c r="B782" s="17"/>
      <c r="C782" s="2"/>
      <c r="D782" s="2"/>
      <c r="E782" s="2"/>
      <c r="F782" s="2"/>
      <c r="G782" s="2"/>
      <c r="H782" s="2"/>
      <c r="I782" s="5"/>
    </row>
    <row r="783" spans="1:9" ht="17.399999999999999" x14ac:dyDescent="0.25">
      <c r="A783" s="16"/>
      <c r="B783" s="17"/>
      <c r="C783" s="2"/>
      <c r="D783" s="2"/>
      <c r="E783" s="2"/>
      <c r="F783" s="2"/>
      <c r="G783" s="2"/>
      <c r="H783" s="2"/>
      <c r="I783" s="5"/>
    </row>
    <row r="784" spans="1:9" ht="17.399999999999999" x14ac:dyDescent="0.25">
      <c r="A784" s="16"/>
      <c r="B784" s="17"/>
      <c r="C784" s="2"/>
      <c r="D784" s="2"/>
      <c r="E784" s="2"/>
      <c r="F784" s="2"/>
      <c r="G784" s="2"/>
      <c r="H784" s="2"/>
      <c r="I784" s="5"/>
    </row>
    <row r="785" spans="1:9" ht="17.399999999999999" x14ac:dyDescent="0.25">
      <c r="A785" s="16"/>
      <c r="B785" s="17"/>
      <c r="C785" s="2"/>
      <c r="D785" s="2"/>
      <c r="E785" s="2"/>
      <c r="F785" s="2"/>
      <c r="G785" s="2"/>
      <c r="H785" s="2"/>
      <c r="I785" s="5"/>
    </row>
    <row r="786" spans="1:9" ht="17.399999999999999" x14ac:dyDescent="0.25">
      <c r="A786" s="16"/>
      <c r="B786" s="17"/>
      <c r="C786" s="2"/>
      <c r="D786" s="2"/>
      <c r="E786" s="2"/>
      <c r="F786" s="2"/>
      <c r="G786" s="2"/>
      <c r="H786" s="2"/>
      <c r="I786" s="5"/>
    </row>
    <row r="787" spans="1:9" ht="17.399999999999999" x14ac:dyDescent="0.25">
      <c r="A787" s="16"/>
      <c r="B787" s="17"/>
      <c r="C787" s="2"/>
      <c r="D787" s="2"/>
      <c r="E787" s="2"/>
      <c r="F787" s="2"/>
      <c r="G787" s="2"/>
      <c r="H787" s="2"/>
      <c r="I787" s="5"/>
    </row>
    <row r="788" spans="1:9" ht="17.399999999999999" x14ac:dyDescent="0.25">
      <c r="A788" s="16"/>
      <c r="B788" s="17"/>
      <c r="C788" s="2"/>
      <c r="D788" s="2"/>
      <c r="E788" s="2"/>
      <c r="F788" s="2"/>
      <c r="G788" s="2"/>
      <c r="H788" s="2"/>
      <c r="I788" s="5"/>
    </row>
    <row r="789" spans="1:9" ht="17.399999999999999" x14ac:dyDescent="0.25">
      <c r="A789" s="16"/>
      <c r="B789" s="17"/>
      <c r="C789" s="2"/>
      <c r="D789" s="2"/>
      <c r="E789" s="2"/>
      <c r="F789" s="2"/>
      <c r="G789" s="2"/>
      <c r="H789" s="2"/>
      <c r="I789" s="5"/>
    </row>
    <row r="790" spans="1:9" ht="17.399999999999999" x14ac:dyDescent="0.25">
      <c r="A790" s="16"/>
      <c r="B790" s="17"/>
      <c r="C790" s="2"/>
      <c r="D790" s="2"/>
      <c r="E790" s="2"/>
      <c r="F790" s="2"/>
      <c r="G790" s="2"/>
      <c r="H790" s="2"/>
      <c r="I790" s="5"/>
    </row>
    <row r="791" spans="1:9" ht="17.399999999999999" x14ac:dyDescent="0.25">
      <c r="A791" s="16"/>
      <c r="B791" s="17"/>
      <c r="C791" s="2"/>
      <c r="D791" s="2"/>
      <c r="E791" s="2"/>
      <c r="F791" s="2"/>
      <c r="G791" s="2"/>
      <c r="H791" s="2"/>
      <c r="I791" s="5"/>
    </row>
    <row r="792" spans="1:9" ht="17.399999999999999" x14ac:dyDescent="0.25">
      <c r="A792" s="16"/>
      <c r="B792" s="17"/>
      <c r="C792" s="2"/>
      <c r="D792" s="2"/>
      <c r="E792" s="2"/>
      <c r="F792" s="2"/>
      <c r="G792" s="2"/>
      <c r="H792" s="2"/>
      <c r="I792" s="5"/>
    </row>
    <row r="793" spans="1:9" ht="17.399999999999999" x14ac:dyDescent="0.25">
      <c r="A793" s="16"/>
      <c r="B793" s="17"/>
      <c r="C793" s="2"/>
      <c r="D793" s="2"/>
      <c r="E793" s="2"/>
      <c r="F793" s="2"/>
      <c r="G793" s="2"/>
      <c r="H793" s="2"/>
      <c r="I793" s="5"/>
    </row>
    <row r="794" spans="1:9" ht="17.399999999999999" x14ac:dyDescent="0.25">
      <c r="A794" s="16"/>
      <c r="B794" s="17"/>
      <c r="C794" s="2"/>
      <c r="D794" s="2"/>
      <c r="E794" s="2"/>
      <c r="F794" s="2"/>
      <c r="G794" s="2"/>
      <c r="H794" s="2"/>
      <c r="I794" s="5"/>
    </row>
    <row r="795" spans="1:9" ht="17.399999999999999" x14ac:dyDescent="0.25">
      <c r="A795" s="16"/>
      <c r="B795" s="17"/>
      <c r="C795" s="2"/>
      <c r="D795" s="2"/>
      <c r="E795" s="2"/>
      <c r="F795" s="2"/>
      <c r="G795" s="2"/>
      <c r="H795" s="2"/>
      <c r="I795" s="5"/>
    </row>
    <row r="796" spans="1:9" ht="17.399999999999999" x14ac:dyDescent="0.25">
      <c r="A796" s="16"/>
      <c r="B796" s="17"/>
      <c r="C796" s="2"/>
      <c r="D796" s="2"/>
      <c r="E796" s="2"/>
      <c r="F796" s="2"/>
      <c r="G796" s="2"/>
      <c r="H796" s="2"/>
      <c r="I796" s="5"/>
    </row>
    <row r="797" spans="1:9" ht="17.399999999999999" x14ac:dyDescent="0.25">
      <c r="A797" s="16"/>
      <c r="B797" s="17"/>
      <c r="C797" s="2"/>
      <c r="D797" s="2"/>
      <c r="E797" s="2"/>
      <c r="F797" s="2"/>
      <c r="G797" s="2"/>
      <c r="H797" s="2"/>
      <c r="I797" s="5"/>
    </row>
    <row r="798" spans="1:9" ht="17.399999999999999" x14ac:dyDescent="0.25">
      <c r="A798" s="16"/>
      <c r="B798" s="17"/>
      <c r="C798" s="2"/>
      <c r="D798" s="2"/>
      <c r="E798" s="2"/>
      <c r="F798" s="2"/>
      <c r="G798" s="2"/>
      <c r="H798" s="2"/>
      <c r="I798" s="5"/>
    </row>
    <row r="799" spans="1:9" ht="17.399999999999999" x14ac:dyDescent="0.25">
      <c r="A799" s="16"/>
      <c r="B799" s="17"/>
      <c r="C799" s="2"/>
      <c r="D799" s="2"/>
      <c r="E799" s="2"/>
      <c r="F799" s="2"/>
      <c r="G799" s="2"/>
      <c r="H799" s="2"/>
      <c r="I799" s="5"/>
    </row>
    <row r="800" spans="1:9" ht="17.399999999999999" x14ac:dyDescent="0.25">
      <c r="A800" s="16"/>
      <c r="B800" s="17"/>
      <c r="C800" s="2"/>
      <c r="D800" s="2"/>
      <c r="E800" s="2"/>
      <c r="F800" s="2"/>
      <c r="G800" s="2"/>
      <c r="H800" s="2"/>
      <c r="I800" s="5"/>
    </row>
    <row r="801" spans="1:9" ht="17.399999999999999" x14ac:dyDescent="0.25">
      <c r="A801" s="16"/>
      <c r="B801" s="17"/>
      <c r="C801" s="2"/>
      <c r="D801" s="2"/>
      <c r="E801" s="2"/>
      <c r="F801" s="2"/>
      <c r="G801" s="2"/>
      <c r="H801" s="2"/>
      <c r="I801" s="5"/>
    </row>
    <row r="802" spans="1:9" ht="17.399999999999999" x14ac:dyDescent="0.25">
      <c r="A802" s="16"/>
      <c r="B802" s="17"/>
      <c r="C802" s="2"/>
      <c r="D802" s="2"/>
      <c r="E802" s="2"/>
      <c r="F802" s="2"/>
      <c r="G802" s="2"/>
      <c r="H802" s="2"/>
      <c r="I802" s="5"/>
    </row>
    <row r="803" spans="1:9" ht="17.399999999999999" x14ac:dyDescent="0.25">
      <c r="A803" s="16"/>
      <c r="B803" s="17"/>
      <c r="C803" s="2"/>
      <c r="D803" s="2"/>
      <c r="E803" s="2"/>
      <c r="F803" s="2"/>
      <c r="G803" s="2"/>
      <c r="H803" s="2"/>
      <c r="I803" s="5"/>
    </row>
    <row r="804" spans="1:9" ht="17.399999999999999" x14ac:dyDescent="0.25">
      <c r="A804" s="16"/>
      <c r="B804" s="17"/>
      <c r="C804" s="2"/>
      <c r="D804" s="2"/>
      <c r="E804" s="2"/>
      <c r="F804" s="2"/>
      <c r="G804" s="2"/>
      <c r="H804" s="2"/>
      <c r="I804" s="5"/>
    </row>
    <row r="805" spans="1:9" ht="17.399999999999999" x14ac:dyDescent="0.25">
      <c r="A805" s="16"/>
      <c r="B805" s="17"/>
      <c r="C805" s="2"/>
      <c r="D805" s="2"/>
      <c r="E805" s="2"/>
      <c r="F805" s="2"/>
      <c r="G805" s="2"/>
      <c r="H805" s="2"/>
      <c r="I805" s="5"/>
    </row>
    <row r="806" spans="1:9" ht="17.399999999999999" x14ac:dyDescent="0.25">
      <c r="A806" s="16"/>
      <c r="B806" s="17"/>
      <c r="C806" s="2"/>
      <c r="D806" s="2"/>
      <c r="E806" s="2"/>
      <c r="F806" s="2"/>
      <c r="G806" s="2"/>
      <c r="H806" s="2"/>
      <c r="I806" s="5"/>
    </row>
    <row r="807" spans="1:9" ht="17.399999999999999" x14ac:dyDescent="0.25">
      <c r="A807" s="16"/>
      <c r="B807" s="17"/>
      <c r="C807" s="2"/>
      <c r="D807" s="2"/>
      <c r="E807" s="2"/>
      <c r="F807" s="2"/>
      <c r="G807" s="2"/>
      <c r="H807" s="2"/>
      <c r="I807" s="5"/>
    </row>
    <row r="808" spans="1:9" ht="17.399999999999999" x14ac:dyDescent="0.25">
      <c r="A808" s="16"/>
      <c r="B808" s="17"/>
      <c r="C808" s="2"/>
      <c r="D808" s="2"/>
      <c r="E808" s="2"/>
      <c r="F808" s="2"/>
      <c r="G808" s="2"/>
      <c r="H808" s="2"/>
      <c r="I808" s="5"/>
    </row>
    <row r="809" spans="1:9" ht="17.399999999999999" x14ac:dyDescent="0.25">
      <c r="A809" s="16"/>
      <c r="B809" s="17"/>
      <c r="C809" s="2"/>
      <c r="D809" s="2"/>
      <c r="E809" s="2"/>
      <c r="F809" s="2"/>
      <c r="G809" s="2"/>
      <c r="H809" s="2"/>
      <c r="I809" s="5"/>
    </row>
    <row r="810" spans="1:9" ht="17.399999999999999" x14ac:dyDescent="0.25">
      <c r="A810" s="16"/>
      <c r="B810" s="17"/>
      <c r="C810" s="2"/>
      <c r="D810" s="2"/>
      <c r="E810" s="2"/>
      <c r="F810" s="2"/>
      <c r="G810" s="2"/>
      <c r="H810" s="2"/>
      <c r="I810" s="5"/>
    </row>
    <row r="811" spans="1:9" ht="17.399999999999999" x14ac:dyDescent="0.25">
      <c r="A811" s="16"/>
      <c r="B811" s="17"/>
      <c r="C811" s="2"/>
      <c r="D811" s="2"/>
      <c r="E811" s="2"/>
      <c r="F811" s="2"/>
      <c r="G811" s="2"/>
      <c r="H811" s="2"/>
      <c r="I811" s="5"/>
    </row>
    <row r="812" spans="1:9" ht="17.399999999999999" x14ac:dyDescent="0.25">
      <c r="A812" s="16"/>
      <c r="B812" s="17"/>
      <c r="C812" s="2"/>
      <c r="D812" s="2"/>
      <c r="E812" s="2"/>
      <c r="F812" s="2"/>
      <c r="G812" s="2"/>
      <c r="H812" s="2"/>
      <c r="I812" s="5"/>
    </row>
    <row r="813" spans="1:9" ht="17.399999999999999" x14ac:dyDescent="0.25">
      <c r="A813" s="16"/>
      <c r="B813" s="17"/>
      <c r="C813" s="2"/>
      <c r="D813" s="2"/>
      <c r="E813" s="2"/>
      <c r="F813" s="2"/>
      <c r="G813" s="2"/>
      <c r="H813" s="2"/>
      <c r="I813" s="5"/>
    </row>
    <row r="814" spans="1:9" ht="17.399999999999999" x14ac:dyDescent="0.25">
      <c r="A814" s="16"/>
      <c r="B814" s="17"/>
      <c r="C814" s="2"/>
      <c r="D814" s="2"/>
      <c r="E814" s="2"/>
      <c r="F814" s="2"/>
      <c r="G814" s="2"/>
      <c r="H814" s="2"/>
      <c r="I814" s="5"/>
    </row>
    <row r="815" spans="1:9" ht="17.399999999999999" x14ac:dyDescent="0.25">
      <c r="A815" s="16"/>
      <c r="B815" s="17"/>
      <c r="C815" s="2"/>
      <c r="D815" s="2"/>
      <c r="E815" s="2"/>
      <c r="F815" s="2"/>
      <c r="G815" s="2"/>
      <c r="H815" s="2"/>
      <c r="I815" s="5"/>
    </row>
    <row r="816" spans="1:9" ht="17.399999999999999" x14ac:dyDescent="0.25">
      <c r="A816" s="16"/>
      <c r="B816" s="17"/>
      <c r="C816" s="2"/>
      <c r="D816" s="2"/>
      <c r="E816" s="2"/>
      <c r="F816" s="2"/>
      <c r="G816" s="2"/>
      <c r="H816" s="2"/>
      <c r="I816" s="5"/>
    </row>
    <row r="817" spans="1:9" ht="17.399999999999999" x14ac:dyDescent="0.25">
      <c r="A817" s="16"/>
      <c r="B817" s="17"/>
      <c r="C817" s="2"/>
      <c r="D817" s="2"/>
      <c r="E817" s="2"/>
      <c r="F817" s="2"/>
      <c r="G817" s="2"/>
      <c r="H817" s="2"/>
      <c r="I817" s="5"/>
    </row>
    <row r="818" spans="1:9" ht="17.399999999999999" x14ac:dyDescent="0.25">
      <c r="A818" s="16"/>
      <c r="B818" s="17"/>
      <c r="C818" s="2"/>
      <c r="D818" s="2"/>
      <c r="E818" s="2"/>
      <c r="F818" s="2"/>
      <c r="G818" s="2"/>
      <c r="H818" s="2"/>
      <c r="I818" s="5"/>
    </row>
    <row r="819" spans="1:9" ht="17.399999999999999" x14ac:dyDescent="0.25">
      <c r="A819" s="16"/>
      <c r="B819" s="17"/>
      <c r="C819" s="2"/>
      <c r="D819" s="2"/>
      <c r="E819" s="2"/>
      <c r="F819" s="2"/>
      <c r="G819" s="2"/>
      <c r="H819" s="2"/>
      <c r="I819" s="5"/>
    </row>
    <row r="820" spans="1:9" ht="17.399999999999999" x14ac:dyDescent="0.25">
      <c r="A820" s="16"/>
      <c r="B820" s="17"/>
      <c r="C820" s="2"/>
      <c r="D820" s="2"/>
      <c r="E820" s="2"/>
      <c r="F820" s="2"/>
      <c r="G820" s="2"/>
      <c r="H820" s="2"/>
      <c r="I820" s="5"/>
    </row>
    <row r="821" spans="1:9" ht="17.399999999999999" x14ac:dyDescent="0.25">
      <c r="A821" s="16"/>
      <c r="B821" s="17"/>
      <c r="C821" s="2"/>
      <c r="D821" s="2"/>
      <c r="E821" s="2"/>
      <c r="F821" s="2"/>
      <c r="G821" s="2"/>
      <c r="H821" s="2"/>
      <c r="I821" s="5"/>
    </row>
    <row r="822" spans="1:9" ht="17.399999999999999" x14ac:dyDescent="0.25">
      <c r="A822" s="16"/>
      <c r="B822" s="17"/>
      <c r="C822" s="2"/>
      <c r="D822" s="2"/>
      <c r="E822" s="2"/>
      <c r="F822" s="2"/>
      <c r="G822" s="2"/>
      <c r="H822" s="2"/>
      <c r="I822" s="5"/>
    </row>
    <row r="823" spans="1:9" ht="17.399999999999999" x14ac:dyDescent="0.25">
      <c r="A823" s="16"/>
      <c r="B823" s="17"/>
      <c r="C823" s="2"/>
      <c r="D823" s="2"/>
      <c r="E823" s="2"/>
      <c r="F823" s="2"/>
      <c r="G823" s="2"/>
      <c r="H823" s="2"/>
      <c r="I823" s="5"/>
    </row>
    <row r="824" spans="1:9" ht="17.399999999999999" x14ac:dyDescent="0.25">
      <c r="A824" s="16"/>
      <c r="B824" s="17"/>
      <c r="C824" s="2"/>
      <c r="D824" s="2"/>
      <c r="E824" s="2"/>
      <c r="F824" s="2"/>
      <c r="G824" s="2"/>
      <c r="H824" s="2"/>
      <c r="I824" s="5"/>
    </row>
    <row r="825" spans="1:9" ht="17.399999999999999" x14ac:dyDescent="0.25">
      <c r="A825" s="16"/>
      <c r="B825" s="17"/>
      <c r="C825" s="2"/>
      <c r="D825" s="2"/>
      <c r="E825" s="2"/>
      <c r="F825" s="2"/>
      <c r="G825" s="2"/>
      <c r="H825" s="2"/>
      <c r="I825" s="5"/>
    </row>
    <row r="826" spans="1:9" ht="17.399999999999999" x14ac:dyDescent="0.25">
      <c r="A826" s="16"/>
      <c r="B826" s="17"/>
      <c r="C826" s="2"/>
      <c r="D826" s="2"/>
      <c r="E826" s="2"/>
      <c r="F826" s="2"/>
      <c r="G826" s="2"/>
      <c r="H826" s="2"/>
      <c r="I826" s="5"/>
    </row>
    <row r="827" spans="1:9" ht="17.399999999999999" x14ac:dyDescent="0.25">
      <c r="A827" s="16"/>
      <c r="B827" s="17"/>
      <c r="C827" s="2"/>
      <c r="D827" s="2"/>
      <c r="E827" s="2"/>
      <c r="F827" s="2"/>
      <c r="G827" s="2"/>
      <c r="H827" s="2"/>
      <c r="I827" s="5"/>
    </row>
    <row r="828" spans="1:9" ht="17.399999999999999" x14ac:dyDescent="0.25">
      <c r="A828" s="16"/>
      <c r="B828" s="17"/>
      <c r="C828" s="2"/>
      <c r="D828" s="2"/>
      <c r="E828" s="2"/>
      <c r="F828" s="2"/>
      <c r="G828" s="2"/>
      <c r="H828" s="2"/>
      <c r="I828" s="5"/>
    </row>
    <row r="829" spans="1:9" ht="17.399999999999999" x14ac:dyDescent="0.25">
      <c r="A829" s="16"/>
      <c r="B829" s="17"/>
      <c r="C829" s="2"/>
      <c r="D829" s="2"/>
      <c r="E829" s="2"/>
      <c r="F829" s="2"/>
      <c r="G829" s="2"/>
      <c r="H829" s="2"/>
      <c r="I829" s="5"/>
    </row>
    <row r="830" spans="1:9" ht="17.399999999999999" x14ac:dyDescent="0.25">
      <c r="A830" s="16"/>
      <c r="B830" s="17"/>
      <c r="C830" s="2"/>
      <c r="D830" s="2"/>
      <c r="E830" s="2"/>
      <c r="F830" s="2"/>
      <c r="G830" s="2"/>
      <c r="H830" s="2"/>
      <c r="I830" s="5"/>
    </row>
    <row r="831" spans="1:9" ht="17.399999999999999" x14ac:dyDescent="0.25">
      <c r="A831" s="16"/>
      <c r="B831" s="17"/>
      <c r="C831" s="2"/>
      <c r="D831" s="2"/>
      <c r="E831" s="2"/>
      <c r="F831" s="2"/>
      <c r="G831" s="2"/>
      <c r="H831" s="2"/>
      <c r="I831" s="5"/>
    </row>
    <row r="832" spans="1:9" ht="17.399999999999999" x14ac:dyDescent="0.25">
      <c r="A832" s="16"/>
      <c r="B832" s="17"/>
      <c r="C832" s="2"/>
      <c r="D832" s="2"/>
      <c r="E832" s="2"/>
      <c r="F832" s="2"/>
      <c r="G832" s="2"/>
      <c r="H832" s="2"/>
      <c r="I832" s="5"/>
    </row>
    <row r="833" spans="1:9" ht="17.399999999999999" x14ac:dyDescent="0.25">
      <c r="A833" s="16"/>
      <c r="B833" s="17"/>
      <c r="C833" s="2"/>
      <c r="D833" s="2"/>
      <c r="E833" s="2"/>
      <c r="F833" s="2"/>
      <c r="G833" s="2"/>
      <c r="H833" s="2"/>
      <c r="I833" s="5"/>
    </row>
    <row r="834" spans="1:9" ht="17.399999999999999" x14ac:dyDescent="0.25">
      <c r="A834" s="16"/>
      <c r="B834" s="17"/>
      <c r="C834" s="2"/>
      <c r="D834" s="2"/>
      <c r="E834" s="2"/>
      <c r="F834" s="2"/>
      <c r="G834" s="2"/>
      <c r="H834" s="2"/>
      <c r="I834" s="5"/>
    </row>
    <row r="835" spans="1:9" ht="17.399999999999999" x14ac:dyDescent="0.25">
      <c r="A835" s="16"/>
      <c r="B835" s="17"/>
      <c r="C835" s="2"/>
      <c r="D835" s="2"/>
      <c r="E835" s="2"/>
      <c r="F835" s="2"/>
      <c r="G835" s="2"/>
      <c r="H835" s="2"/>
      <c r="I835" s="5"/>
    </row>
    <row r="836" spans="1:9" ht="17.399999999999999" x14ac:dyDescent="0.25">
      <c r="A836" s="16"/>
      <c r="B836" s="17"/>
      <c r="C836" s="2"/>
      <c r="D836" s="2"/>
      <c r="E836" s="2"/>
      <c r="F836" s="2"/>
      <c r="G836" s="2"/>
      <c r="H836" s="2"/>
      <c r="I836" s="5"/>
    </row>
    <row r="837" spans="1:9" ht="17.399999999999999" x14ac:dyDescent="0.25">
      <c r="A837" s="16"/>
      <c r="B837" s="17"/>
      <c r="C837" s="2"/>
      <c r="D837" s="2"/>
      <c r="E837" s="2"/>
      <c r="F837" s="2"/>
      <c r="G837" s="2"/>
      <c r="H837" s="2"/>
      <c r="I837" s="5"/>
    </row>
    <row r="838" spans="1:9" ht="17.399999999999999" x14ac:dyDescent="0.25">
      <c r="A838" s="16"/>
      <c r="B838" s="17"/>
      <c r="C838" s="2"/>
      <c r="D838" s="2"/>
      <c r="E838" s="2"/>
      <c r="F838" s="2"/>
      <c r="G838" s="2"/>
      <c r="H838" s="2"/>
      <c r="I838" s="5"/>
    </row>
    <row r="839" spans="1:9" ht="17.399999999999999" x14ac:dyDescent="0.25">
      <c r="A839" s="16"/>
      <c r="B839" s="17"/>
      <c r="C839" s="2"/>
      <c r="D839" s="2"/>
      <c r="E839" s="2"/>
      <c r="F839" s="2"/>
      <c r="G839" s="2"/>
      <c r="H839" s="2"/>
      <c r="I839" s="5"/>
    </row>
    <row r="840" spans="1:9" ht="17.399999999999999" x14ac:dyDescent="0.25">
      <c r="A840" s="16"/>
      <c r="B840" s="17"/>
      <c r="C840" s="2"/>
      <c r="D840" s="2"/>
      <c r="E840" s="2"/>
      <c r="F840" s="2"/>
      <c r="G840" s="2"/>
      <c r="H840" s="2"/>
      <c r="I840" s="5"/>
    </row>
    <row r="841" spans="1:9" ht="17.399999999999999" x14ac:dyDescent="0.25">
      <c r="A841" s="16"/>
      <c r="B841" s="17"/>
      <c r="C841" s="2"/>
      <c r="D841" s="2"/>
      <c r="E841" s="2"/>
      <c r="F841" s="2"/>
      <c r="G841" s="2"/>
      <c r="H841" s="2"/>
      <c r="I841" s="5"/>
    </row>
    <row r="842" spans="1:9" ht="17.399999999999999" x14ac:dyDescent="0.25">
      <c r="A842" s="16"/>
      <c r="B842" s="17"/>
      <c r="C842" s="2"/>
      <c r="D842" s="2"/>
      <c r="E842" s="2"/>
      <c r="F842" s="2"/>
      <c r="G842" s="2"/>
      <c r="H842" s="2"/>
      <c r="I842" s="5"/>
    </row>
    <row r="843" spans="1:9" ht="17.399999999999999" x14ac:dyDescent="0.25">
      <c r="A843" s="16"/>
      <c r="B843" s="17"/>
      <c r="C843" s="2"/>
      <c r="D843" s="2"/>
      <c r="E843" s="2"/>
      <c r="F843" s="2"/>
      <c r="G843" s="2"/>
      <c r="H843" s="2"/>
      <c r="I843" s="5"/>
    </row>
    <row r="844" spans="1:9" ht="17.399999999999999" x14ac:dyDescent="0.25">
      <c r="A844" s="16"/>
      <c r="B844" s="17"/>
      <c r="C844" s="2"/>
      <c r="D844" s="2"/>
      <c r="E844" s="2"/>
      <c r="F844" s="2"/>
      <c r="G844" s="2"/>
      <c r="H844" s="2"/>
      <c r="I844" s="5"/>
    </row>
    <row r="845" spans="1:9" ht="17.399999999999999" x14ac:dyDescent="0.25">
      <c r="A845" s="16"/>
      <c r="B845" s="17"/>
      <c r="C845" s="2"/>
      <c r="D845" s="2"/>
      <c r="E845" s="2"/>
      <c r="F845" s="2"/>
      <c r="G845" s="2"/>
      <c r="H845" s="2"/>
      <c r="I845" s="5"/>
    </row>
    <row r="846" spans="1:9" ht="17.399999999999999" x14ac:dyDescent="0.25">
      <c r="A846" s="16"/>
      <c r="B846" s="17"/>
      <c r="C846" s="2"/>
      <c r="D846" s="2"/>
      <c r="E846" s="2"/>
      <c r="F846" s="2"/>
      <c r="G846" s="2"/>
      <c r="H846" s="2"/>
      <c r="I846" s="5"/>
    </row>
    <row r="847" spans="1:9" ht="17.399999999999999" x14ac:dyDescent="0.25">
      <c r="A847" s="16"/>
      <c r="B847" s="17"/>
      <c r="C847" s="2"/>
      <c r="D847" s="2"/>
      <c r="E847" s="2"/>
      <c r="F847" s="2"/>
      <c r="G847" s="2"/>
      <c r="H847" s="2"/>
      <c r="I847" s="5"/>
    </row>
    <row r="848" spans="1:9" ht="17.399999999999999" x14ac:dyDescent="0.25">
      <c r="A848" s="16"/>
      <c r="B848" s="17"/>
      <c r="C848" s="2"/>
      <c r="D848" s="2"/>
      <c r="E848" s="2"/>
      <c r="F848" s="2"/>
      <c r="G848" s="2"/>
      <c r="H848" s="2"/>
      <c r="I848" s="5"/>
    </row>
    <row r="849" spans="1:9" ht="17.399999999999999" x14ac:dyDescent="0.25">
      <c r="A849" s="16"/>
      <c r="B849" s="17"/>
      <c r="C849" s="2"/>
      <c r="D849" s="2"/>
      <c r="E849" s="2"/>
      <c r="F849" s="2"/>
      <c r="G849" s="2"/>
      <c r="H849" s="2"/>
      <c r="I849" s="5"/>
    </row>
    <row r="850" spans="1:9" ht="17.399999999999999" x14ac:dyDescent="0.25">
      <c r="A850" s="16"/>
      <c r="B850" s="17"/>
      <c r="C850" s="2"/>
      <c r="D850" s="2"/>
      <c r="E850" s="2"/>
      <c r="F850" s="2"/>
      <c r="G850" s="2"/>
      <c r="H850" s="2"/>
      <c r="I850" s="5"/>
    </row>
    <row r="851" spans="1:9" ht="17.399999999999999" x14ac:dyDescent="0.25">
      <c r="A851" s="16"/>
      <c r="B851" s="17"/>
      <c r="C851" s="2"/>
      <c r="D851" s="2"/>
      <c r="E851" s="2"/>
      <c r="F851" s="2"/>
      <c r="G851" s="2"/>
      <c r="H851" s="2"/>
      <c r="I851" s="5"/>
    </row>
    <row r="852" spans="1:9" ht="17.399999999999999" x14ac:dyDescent="0.25">
      <c r="A852" s="16"/>
      <c r="B852" s="17"/>
      <c r="C852" s="2"/>
      <c r="D852" s="2"/>
      <c r="E852" s="2"/>
      <c r="F852" s="2"/>
      <c r="G852" s="2"/>
      <c r="H852" s="2"/>
      <c r="I852" s="5"/>
    </row>
    <row r="853" spans="1:9" ht="17.399999999999999" x14ac:dyDescent="0.25">
      <c r="A853" s="16"/>
      <c r="B853" s="17"/>
      <c r="C853" s="2"/>
      <c r="D853" s="2"/>
      <c r="E853" s="2"/>
      <c r="F853" s="2"/>
      <c r="G853" s="2"/>
      <c r="H853" s="2"/>
      <c r="I853" s="5"/>
    </row>
    <row r="854" spans="1:9" ht="17.399999999999999" x14ac:dyDescent="0.25">
      <c r="A854" s="16"/>
      <c r="B854" s="17"/>
      <c r="C854" s="2"/>
      <c r="D854" s="2"/>
      <c r="E854" s="2"/>
      <c r="F854" s="2"/>
      <c r="G854" s="2"/>
      <c r="H854" s="2"/>
      <c r="I854" s="5"/>
    </row>
    <row r="855" spans="1:9" ht="17.399999999999999" x14ac:dyDescent="0.25">
      <c r="A855" s="16"/>
      <c r="B855" s="17"/>
      <c r="C855" s="2"/>
      <c r="D855" s="2"/>
      <c r="E855" s="2"/>
      <c r="F855" s="2"/>
      <c r="G855" s="2"/>
      <c r="H855" s="2"/>
      <c r="I855" s="5"/>
    </row>
    <row r="856" spans="1:9" ht="17.399999999999999" x14ac:dyDescent="0.25">
      <c r="A856" s="16"/>
      <c r="B856" s="17"/>
      <c r="C856" s="2"/>
      <c r="D856" s="2"/>
      <c r="E856" s="2"/>
      <c r="F856" s="2"/>
      <c r="G856" s="2"/>
      <c r="H856" s="2"/>
      <c r="I856" s="5"/>
    </row>
    <row r="857" spans="1:9" ht="17.399999999999999" x14ac:dyDescent="0.25">
      <c r="A857" s="16"/>
      <c r="B857" s="17"/>
      <c r="C857" s="2"/>
      <c r="D857" s="2"/>
      <c r="E857" s="2"/>
      <c r="F857" s="2"/>
      <c r="G857" s="2"/>
      <c r="H857" s="2"/>
      <c r="I857" s="5"/>
    </row>
    <row r="858" spans="1:9" ht="17.399999999999999" x14ac:dyDescent="0.25">
      <c r="A858" s="16"/>
      <c r="B858" s="17"/>
      <c r="C858" s="2"/>
      <c r="D858" s="2"/>
      <c r="E858" s="2"/>
      <c r="F858" s="2"/>
      <c r="G858" s="2"/>
      <c r="H858" s="2"/>
      <c r="I858" s="5"/>
    </row>
    <row r="859" spans="1:9" ht="17.399999999999999" x14ac:dyDescent="0.25">
      <c r="A859" s="16"/>
      <c r="B859" s="17"/>
      <c r="C859" s="2"/>
      <c r="D859" s="2"/>
      <c r="E859" s="2"/>
      <c r="F859" s="2"/>
      <c r="G859" s="2"/>
      <c r="H859" s="2"/>
      <c r="I859" s="5"/>
    </row>
    <row r="860" spans="1:9" ht="17.399999999999999" x14ac:dyDescent="0.25">
      <c r="A860" s="16"/>
      <c r="B860" s="17"/>
      <c r="C860" s="2"/>
      <c r="D860" s="2"/>
      <c r="E860" s="2"/>
      <c r="F860" s="2"/>
      <c r="G860" s="2"/>
      <c r="H860" s="2"/>
      <c r="I860" s="5"/>
    </row>
    <row r="861" spans="1:9" ht="17.399999999999999" x14ac:dyDescent="0.25">
      <c r="A861" s="16"/>
      <c r="B861" s="17"/>
      <c r="C861" s="2"/>
      <c r="D861" s="2"/>
      <c r="E861" s="2"/>
      <c r="F861" s="2"/>
      <c r="G861" s="2"/>
      <c r="H861" s="2"/>
      <c r="I861" s="5"/>
    </row>
    <row r="862" spans="1:9" ht="17.399999999999999" x14ac:dyDescent="0.25">
      <c r="A862" s="16"/>
      <c r="B862" s="17"/>
      <c r="C862" s="2"/>
      <c r="D862" s="2"/>
      <c r="E862" s="2"/>
      <c r="F862" s="2"/>
      <c r="G862" s="2"/>
      <c r="H862" s="2"/>
      <c r="I862" s="5"/>
    </row>
    <row r="863" spans="1:9" ht="17.399999999999999" x14ac:dyDescent="0.25">
      <c r="A863" s="16"/>
      <c r="B863" s="17"/>
      <c r="C863" s="2"/>
      <c r="D863" s="2"/>
      <c r="E863" s="2"/>
      <c r="F863" s="2"/>
      <c r="G863" s="2"/>
      <c r="H863" s="2"/>
      <c r="I863" s="5"/>
    </row>
    <row r="864" spans="1:9" ht="17.399999999999999" x14ac:dyDescent="0.25">
      <c r="A864" s="16"/>
      <c r="B864" s="17"/>
      <c r="C864" s="2"/>
      <c r="D864" s="2"/>
      <c r="E864" s="2"/>
      <c r="F864" s="2"/>
      <c r="G864" s="2"/>
      <c r="H864" s="2"/>
      <c r="I864" s="5"/>
    </row>
    <row r="865" spans="1:9" ht="17.399999999999999" x14ac:dyDescent="0.25">
      <c r="A865" s="16"/>
      <c r="B865" s="17"/>
      <c r="C865" s="2"/>
      <c r="D865" s="2"/>
      <c r="E865" s="2"/>
      <c r="F865" s="2"/>
      <c r="G865" s="2"/>
      <c r="H865" s="2"/>
      <c r="I865" s="5"/>
    </row>
    <row r="866" spans="1:9" ht="17.399999999999999" x14ac:dyDescent="0.25">
      <c r="A866" s="16"/>
      <c r="B866" s="17"/>
      <c r="C866" s="2"/>
      <c r="D866" s="2"/>
      <c r="E866" s="2"/>
      <c r="F866" s="2"/>
      <c r="G866" s="2"/>
      <c r="H866" s="2"/>
      <c r="I866" s="5"/>
    </row>
    <row r="867" spans="1:9" ht="17.399999999999999" x14ac:dyDescent="0.25">
      <c r="A867" s="16"/>
      <c r="B867" s="17"/>
      <c r="C867" s="2"/>
      <c r="D867" s="2"/>
      <c r="E867" s="2"/>
      <c r="F867" s="2"/>
      <c r="G867" s="2"/>
      <c r="H867" s="2"/>
      <c r="I867" s="5"/>
    </row>
    <row r="868" spans="1:9" ht="17.399999999999999" x14ac:dyDescent="0.25">
      <c r="A868" s="16"/>
      <c r="B868" s="17"/>
      <c r="C868" s="2"/>
      <c r="D868" s="2"/>
      <c r="E868" s="2"/>
      <c r="F868" s="2"/>
      <c r="G868" s="2"/>
      <c r="H868" s="2"/>
      <c r="I868" s="5"/>
    </row>
    <row r="869" spans="1:9" ht="17.399999999999999" x14ac:dyDescent="0.25">
      <c r="A869" s="16"/>
      <c r="B869" s="17"/>
      <c r="C869" s="2"/>
      <c r="D869" s="2"/>
      <c r="E869" s="2"/>
      <c r="F869" s="2"/>
      <c r="G869" s="2"/>
      <c r="H869" s="2"/>
      <c r="I869" s="5"/>
    </row>
    <row r="870" spans="1:9" ht="17.399999999999999" x14ac:dyDescent="0.25">
      <c r="A870" s="16"/>
      <c r="B870" s="17"/>
      <c r="C870" s="2"/>
      <c r="D870" s="2"/>
      <c r="E870" s="2"/>
      <c r="F870" s="2"/>
      <c r="G870" s="2"/>
      <c r="H870" s="2"/>
      <c r="I870" s="5"/>
    </row>
    <row r="871" spans="1:9" ht="17.399999999999999" x14ac:dyDescent="0.25">
      <c r="A871" s="16"/>
      <c r="B871" s="17"/>
      <c r="C871" s="2"/>
      <c r="D871" s="2"/>
      <c r="E871" s="2"/>
      <c r="F871" s="2"/>
      <c r="G871" s="2"/>
      <c r="H871" s="2"/>
      <c r="I871" s="5"/>
    </row>
    <row r="872" spans="1:9" ht="17.399999999999999" x14ac:dyDescent="0.25">
      <c r="A872" s="16"/>
      <c r="B872" s="17"/>
      <c r="C872" s="2"/>
      <c r="D872" s="2"/>
      <c r="E872" s="2"/>
      <c r="F872" s="2"/>
      <c r="G872" s="2"/>
      <c r="H872" s="2"/>
      <c r="I872" s="5"/>
    </row>
    <row r="873" spans="1:9" ht="17.399999999999999" x14ac:dyDescent="0.25">
      <c r="A873" s="16"/>
      <c r="B873" s="17"/>
      <c r="C873" s="2"/>
      <c r="D873" s="2"/>
      <c r="E873" s="2"/>
      <c r="F873" s="2"/>
      <c r="G873" s="2"/>
      <c r="H873" s="2"/>
      <c r="I873" s="5"/>
    </row>
    <row r="874" spans="1:9" ht="17.399999999999999" x14ac:dyDescent="0.25">
      <c r="A874" s="16"/>
      <c r="B874" s="17"/>
      <c r="C874" s="2"/>
      <c r="D874" s="2"/>
      <c r="E874" s="2"/>
      <c r="F874" s="2"/>
      <c r="G874" s="2"/>
      <c r="H874" s="2"/>
      <c r="I874" s="5"/>
    </row>
    <row r="875" spans="1:9" ht="17.399999999999999" x14ac:dyDescent="0.25">
      <c r="A875" s="16"/>
      <c r="B875" s="17"/>
      <c r="C875" s="2"/>
      <c r="D875" s="2"/>
      <c r="E875" s="2"/>
      <c r="F875" s="2"/>
      <c r="G875" s="2"/>
      <c r="H875" s="2"/>
      <c r="I875" s="5"/>
    </row>
    <row r="876" spans="1:9" ht="17.399999999999999" x14ac:dyDescent="0.25">
      <c r="A876" s="16"/>
      <c r="B876" s="17"/>
      <c r="C876" s="2"/>
      <c r="D876" s="2"/>
      <c r="E876" s="2"/>
      <c r="F876" s="2"/>
      <c r="G876" s="2"/>
      <c r="H876" s="2"/>
      <c r="I876" s="5"/>
    </row>
    <row r="877" spans="1:9" ht="17.399999999999999" x14ac:dyDescent="0.25">
      <c r="A877" s="16"/>
      <c r="B877" s="17"/>
      <c r="C877" s="2"/>
      <c r="D877" s="2"/>
      <c r="E877" s="2"/>
      <c r="F877" s="2"/>
      <c r="G877" s="2"/>
      <c r="H877" s="2"/>
      <c r="I877" s="5"/>
    </row>
    <row r="878" spans="1:9" ht="17.399999999999999" x14ac:dyDescent="0.25">
      <c r="A878" s="16"/>
      <c r="B878" s="17"/>
      <c r="C878" s="2"/>
      <c r="D878" s="2"/>
      <c r="E878" s="2"/>
      <c r="F878" s="2"/>
      <c r="G878" s="2"/>
      <c r="H878" s="2"/>
      <c r="I878" s="5"/>
    </row>
    <row r="879" spans="1:9" ht="17.399999999999999" x14ac:dyDescent="0.25">
      <c r="A879" s="16"/>
      <c r="B879" s="17"/>
      <c r="C879" s="2"/>
      <c r="D879" s="2"/>
      <c r="E879" s="2"/>
      <c r="F879" s="2"/>
      <c r="G879" s="2"/>
      <c r="H879" s="2"/>
      <c r="I879" s="5"/>
    </row>
    <row r="880" spans="1:9" ht="17.399999999999999" x14ac:dyDescent="0.25">
      <c r="A880" s="16"/>
      <c r="B880" s="17"/>
      <c r="C880" s="2"/>
      <c r="D880" s="2"/>
      <c r="E880" s="2"/>
      <c r="F880" s="2"/>
      <c r="G880" s="2"/>
      <c r="H880" s="2"/>
      <c r="I880" s="5"/>
    </row>
    <row r="881" spans="1:9" ht="17.399999999999999" x14ac:dyDescent="0.25">
      <c r="A881" s="16"/>
      <c r="B881" s="17"/>
      <c r="C881" s="2"/>
      <c r="D881" s="2"/>
      <c r="E881" s="2"/>
      <c r="F881" s="2"/>
      <c r="G881" s="2"/>
      <c r="H881" s="2"/>
      <c r="I881" s="5"/>
    </row>
    <row r="882" spans="1:9" ht="17.399999999999999" x14ac:dyDescent="0.25">
      <c r="A882" s="16"/>
      <c r="B882" s="17"/>
      <c r="C882" s="2"/>
      <c r="D882" s="2"/>
      <c r="E882" s="2"/>
      <c r="F882" s="2"/>
      <c r="G882" s="2"/>
      <c r="H882" s="2"/>
      <c r="I882" s="5"/>
    </row>
    <row r="883" spans="1:9" ht="17.399999999999999" x14ac:dyDescent="0.25">
      <c r="A883" s="16"/>
      <c r="B883" s="17"/>
      <c r="C883" s="2"/>
      <c r="D883" s="2"/>
      <c r="E883" s="2"/>
      <c r="F883" s="2"/>
      <c r="G883" s="2"/>
      <c r="H883" s="2"/>
      <c r="I883" s="5"/>
    </row>
    <row r="884" spans="1:9" ht="17.399999999999999" x14ac:dyDescent="0.25">
      <c r="A884" s="16"/>
      <c r="B884" s="17"/>
      <c r="C884" s="2"/>
      <c r="D884" s="2"/>
      <c r="E884" s="2"/>
      <c r="F884" s="2"/>
      <c r="G884" s="2"/>
      <c r="H884" s="2"/>
      <c r="I884" s="5"/>
    </row>
    <row r="885" spans="1:9" ht="17.399999999999999" x14ac:dyDescent="0.25">
      <c r="A885" s="16"/>
      <c r="B885" s="17"/>
      <c r="C885" s="2"/>
      <c r="D885" s="2"/>
      <c r="E885" s="2"/>
      <c r="F885" s="2"/>
      <c r="G885" s="2"/>
      <c r="H885" s="2"/>
      <c r="I885" s="5"/>
    </row>
    <row r="886" spans="1:9" ht="17.399999999999999" x14ac:dyDescent="0.25">
      <c r="A886" s="16"/>
      <c r="B886" s="17"/>
      <c r="C886" s="2"/>
      <c r="D886" s="2"/>
      <c r="E886" s="2"/>
      <c r="F886" s="2"/>
      <c r="G886" s="2"/>
      <c r="H886" s="2"/>
      <c r="I886" s="5"/>
    </row>
    <row r="887" spans="1:9" ht="17.399999999999999" x14ac:dyDescent="0.25">
      <c r="A887" s="16"/>
      <c r="B887" s="17"/>
      <c r="C887" s="2"/>
      <c r="D887" s="2"/>
      <c r="E887" s="2"/>
      <c r="F887" s="2"/>
      <c r="G887" s="2"/>
      <c r="H887" s="2"/>
      <c r="I887" s="5"/>
    </row>
    <row r="888" spans="1:9" ht="17.399999999999999" x14ac:dyDescent="0.25">
      <c r="A888" s="16"/>
      <c r="B888" s="17"/>
      <c r="C888" s="2"/>
      <c r="D888" s="2"/>
      <c r="E888" s="2"/>
      <c r="F888" s="2"/>
      <c r="G888" s="2"/>
      <c r="H888" s="2"/>
      <c r="I888" s="5"/>
    </row>
    <row r="889" spans="1:9" ht="17.399999999999999" x14ac:dyDescent="0.25">
      <c r="A889" s="16"/>
      <c r="B889" s="17"/>
      <c r="C889" s="2"/>
      <c r="D889" s="2"/>
      <c r="E889" s="2"/>
      <c r="F889" s="2"/>
      <c r="G889" s="2"/>
      <c r="H889" s="2"/>
      <c r="I889" s="5"/>
    </row>
    <row r="890" spans="1:9" ht="17.399999999999999" x14ac:dyDescent="0.25">
      <c r="A890" s="16"/>
      <c r="B890" s="17"/>
      <c r="C890" s="2"/>
      <c r="D890" s="2"/>
      <c r="E890" s="2"/>
      <c r="F890" s="2"/>
      <c r="G890" s="2"/>
      <c r="H890" s="2"/>
      <c r="I890" s="5"/>
    </row>
    <row r="891" spans="1:9" ht="17.399999999999999" x14ac:dyDescent="0.25">
      <c r="A891" s="16"/>
      <c r="B891" s="17"/>
      <c r="C891" s="2"/>
      <c r="D891" s="2"/>
      <c r="E891" s="2"/>
      <c r="F891" s="2"/>
      <c r="G891" s="2"/>
      <c r="H891" s="2"/>
      <c r="I891" s="5"/>
    </row>
    <row r="892" spans="1:9" ht="17.399999999999999" x14ac:dyDescent="0.25">
      <c r="A892" s="16"/>
      <c r="B892" s="17"/>
      <c r="C892" s="2"/>
      <c r="D892" s="2"/>
      <c r="E892" s="2"/>
      <c r="F892" s="2"/>
      <c r="G892" s="2"/>
      <c r="H892" s="2"/>
      <c r="I892" s="5"/>
    </row>
    <row r="893" spans="1:9" ht="17.399999999999999" x14ac:dyDescent="0.25">
      <c r="A893" s="16"/>
      <c r="B893" s="17"/>
      <c r="C893" s="2"/>
      <c r="D893" s="2"/>
      <c r="E893" s="2"/>
      <c r="F893" s="2"/>
      <c r="G893" s="2"/>
      <c r="H893" s="2"/>
      <c r="I893" s="5"/>
    </row>
    <row r="894" spans="1:9" ht="17.399999999999999" x14ac:dyDescent="0.25">
      <c r="A894" s="16"/>
      <c r="B894" s="17"/>
      <c r="C894" s="2"/>
      <c r="D894" s="2"/>
      <c r="E894" s="2"/>
      <c r="F894" s="2"/>
      <c r="G894" s="2"/>
      <c r="H894" s="2"/>
      <c r="I894" s="5"/>
    </row>
    <row r="895" spans="1:9" ht="17.399999999999999" x14ac:dyDescent="0.25">
      <c r="A895" s="16"/>
      <c r="B895" s="17"/>
      <c r="C895" s="2"/>
      <c r="D895" s="2"/>
      <c r="E895" s="2"/>
      <c r="F895" s="2"/>
      <c r="G895" s="2"/>
      <c r="H895" s="2"/>
      <c r="I895" s="5"/>
    </row>
    <row r="896" spans="1:9" ht="17.399999999999999" x14ac:dyDescent="0.25">
      <c r="A896" s="16"/>
      <c r="B896" s="17"/>
      <c r="C896" s="2"/>
      <c r="D896" s="2"/>
      <c r="E896" s="2"/>
      <c r="F896" s="2"/>
      <c r="G896" s="2"/>
      <c r="H896" s="2"/>
      <c r="I896" s="5"/>
    </row>
    <row r="897" spans="1:9" ht="17.399999999999999" x14ac:dyDescent="0.25">
      <c r="A897" s="16"/>
      <c r="B897" s="17"/>
      <c r="C897" s="2"/>
      <c r="D897" s="2"/>
      <c r="E897" s="2"/>
      <c r="F897" s="2"/>
      <c r="G897" s="2"/>
      <c r="H897" s="2"/>
      <c r="I897" s="5"/>
    </row>
    <row r="898" spans="1:9" ht="17.399999999999999" x14ac:dyDescent="0.25">
      <c r="A898" s="16"/>
      <c r="B898" s="17"/>
      <c r="C898" s="2"/>
      <c r="D898" s="2"/>
      <c r="E898" s="2"/>
      <c r="F898" s="2"/>
      <c r="G898" s="2"/>
      <c r="H898" s="2"/>
      <c r="I898" s="5"/>
    </row>
    <row r="899" spans="1:9" ht="17.399999999999999" x14ac:dyDescent="0.25">
      <c r="A899" s="16"/>
      <c r="B899" s="17"/>
      <c r="C899" s="2"/>
      <c r="D899" s="2"/>
      <c r="E899" s="2"/>
      <c r="F899" s="2"/>
      <c r="G899" s="2"/>
      <c r="H899" s="2"/>
      <c r="I899" s="5"/>
    </row>
    <row r="900" spans="1:9" ht="17.399999999999999" x14ac:dyDescent="0.25">
      <c r="A900" s="16"/>
      <c r="B900" s="17"/>
      <c r="C900" s="2"/>
      <c r="D900" s="2"/>
      <c r="E900" s="2"/>
      <c r="F900" s="2"/>
      <c r="G900" s="2"/>
      <c r="H900" s="2"/>
      <c r="I900" s="5"/>
    </row>
    <row r="901" spans="1:9" ht="17.399999999999999" x14ac:dyDescent="0.25">
      <c r="A901" s="16"/>
      <c r="B901" s="17"/>
      <c r="C901" s="2"/>
      <c r="D901" s="2"/>
      <c r="E901" s="2"/>
      <c r="F901" s="2"/>
      <c r="G901" s="2"/>
      <c r="H901" s="2"/>
      <c r="I901" s="5"/>
    </row>
    <row r="902" spans="1:9" ht="17.399999999999999" x14ac:dyDescent="0.25">
      <c r="A902" s="16"/>
      <c r="B902" s="17"/>
      <c r="C902" s="2"/>
      <c r="D902" s="2"/>
      <c r="E902" s="2"/>
      <c r="F902" s="2"/>
      <c r="G902" s="2"/>
      <c r="H902" s="2"/>
      <c r="I902" s="5"/>
    </row>
    <row r="903" spans="1:9" ht="17.399999999999999" x14ac:dyDescent="0.25">
      <c r="A903" s="16"/>
      <c r="B903" s="17"/>
      <c r="C903" s="2"/>
      <c r="D903" s="2"/>
      <c r="E903" s="2"/>
      <c r="F903" s="2"/>
      <c r="G903" s="2"/>
      <c r="H903" s="2"/>
      <c r="I903" s="5"/>
    </row>
    <row r="904" spans="1:9" ht="17.399999999999999" x14ac:dyDescent="0.25">
      <c r="A904" s="16"/>
      <c r="B904" s="17"/>
      <c r="C904" s="2"/>
      <c r="D904" s="2"/>
      <c r="E904" s="2"/>
      <c r="F904" s="2"/>
      <c r="G904" s="2"/>
      <c r="H904" s="2"/>
      <c r="I904" s="5"/>
    </row>
    <row r="905" spans="1:9" ht="17.399999999999999" x14ac:dyDescent="0.25">
      <c r="A905" s="16"/>
      <c r="B905" s="17"/>
      <c r="C905" s="2"/>
      <c r="D905" s="2"/>
      <c r="E905" s="2"/>
      <c r="F905" s="2"/>
      <c r="G905" s="2"/>
      <c r="H905" s="2"/>
      <c r="I905" s="5"/>
    </row>
    <row r="906" spans="1:9" ht="17.399999999999999" x14ac:dyDescent="0.25">
      <c r="A906" s="16"/>
      <c r="B906" s="17"/>
      <c r="C906" s="2"/>
      <c r="D906" s="2"/>
      <c r="E906" s="2"/>
      <c r="F906" s="2"/>
      <c r="G906" s="2"/>
      <c r="H906" s="2"/>
      <c r="I906" s="5"/>
    </row>
    <row r="907" spans="1:9" ht="17.399999999999999" x14ac:dyDescent="0.25">
      <c r="A907" s="16"/>
      <c r="B907" s="17"/>
      <c r="C907" s="2"/>
      <c r="D907" s="2"/>
      <c r="E907" s="2"/>
      <c r="F907" s="2"/>
      <c r="G907" s="2"/>
      <c r="H907" s="2"/>
      <c r="I907" s="5"/>
    </row>
    <row r="908" spans="1:9" ht="17.399999999999999" x14ac:dyDescent="0.25">
      <c r="A908" s="16"/>
      <c r="B908" s="17"/>
      <c r="C908" s="2"/>
      <c r="D908" s="2"/>
      <c r="E908" s="2"/>
      <c r="F908" s="2"/>
      <c r="G908" s="2"/>
      <c r="H908" s="2"/>
      <c r="I908" s="5"/>
    </row>
    <row r="909" spans="1:9" ht="17.399999999999999" x14ac:dyDescent="0.25">
      <c r="A909" s="16"/>
      <c r="B909" s="17"/>
      <c r="C909" s="2"/>
      <c r="D909" s="2"/>
      <c r="E909" s="2"/>
      <c r="F909" s="2"/>
      <c r="G909" s="2"/>
      <c r="H909" s="2"/>
      <c r="I909" s="5"/>
    </row>
    <row r="910" spans="1:9" ht="17.399999999999999" x14ac:dyDescent="0.25">
      <c r="A910" s="16"/>
      <c r="B910" s="17"/>
      <c r="C910" s="2"/>
      <c r="D910" s="2"/>
      <c r="E910" s="2"/>
      <c r="F910" s="2"/>
      <c r="G910" s="2"/>
      <c r="H910" s="2"/>
      <c r="I910" s="5"/>
    </row>
    <row r="911" spans="1:9" ht="17.399999999999999" x14ac:dyDescent="0.25">
      <c r="A911" s="16"/>
      <c r="B911" s="17"/>
      <c r="C911" s="2"/>
      <c r="D911" s="2"/>
      <c r="E911" s="2"/>
      <c r="F911" s="2"/>
      <c r="G911" s="2"/>
      <c r="H911" s="2"/>
      <c r="I911" s="5"/>
    </row>
    <row r="912" spans="1:9" ht="17.399999999999999" x14ac:dyDescent="0.25">
      <c r="A912" s="16"/>
      <c r="B912" s="17"/>
      <c r="C912" s="2"/>
      <c r="D912" s="2"/>
      <c r="E912" s="2"/>
      <c r="F912" s="2"/>
      <c r="G912" s="2"/>
      <c r="H912" s="2"/>
      <c r="I912" s="5"/>
    </row>
    <row r="913" spans="1:9" ht="17.399999999999999" x14ac:dyDescent="0.25">
      <c r="A913" s="16"/>
      <c r="B913" s="17"/>
      <c r="C913" s="2"/>
      <c r="D913" s="2"/>
      <c r="E913" s="2"/>
      <c r="F913" s="2"/>
      <c r="G913" s="2"/>
      <c r="H913" s="2"/>
      <c r="I913" s="5"/>
    </row>
    <row r="914" spans="1:9" ht="17.399999999999999" x14ac:dyDescent="0.25">
      <c r="A914" s="16"/>
      <c r="B914" s="17"/>
      <c r="C914" s="2"/>
      <c r="D914" s="2"/>
      <c r="E914" s="2"/>
      <c r="F914" s="2"/>
      <c r="G914" s="2"/>
      <c r="H914" s="2"/>
      <c r="I914" s="5"/>
    </row>
    <row r="915" spans="1:9" ht="17.399999999999999" x14ac:dyDescent="0.25">
      <c r="A915" s="16"/>
      <c r="B915" s="17"/>
      <c r="C915" s="2"/>
      <c r="D915" s="2"/>
      <c r="E915" s="2"/>
      <c r="F915" s="2"/>
      <c r="G915" s="2"/>
      <c r="H915" s="2"/>
      <c r="I915" s="5"/>
    </row>
    <row r="916" spans="1:9" ht="17.399999999999999" x14ac:dyDescent="0.25">
      <c r="A916" s="16"/>
      <c r="B916" s="17"/>
      <c r="C916" s="2"/>
      <c r="D916" s="2"/>
      <c r="E916" s="2"/>
      <c r="F916" s="2"/>
      <c r="G916" s="2"/>
      <c r="H916" s="2"/>
      <c r="I916" s="5"/>
    </row>
    <row r="917" spans="1:9" ht="17.399999999999999" x14ac:dyDescent="0.25">
      <c r="A917" s="16"/>
      <c r="B917" s="17"/>
      <c r="C917" s="2"/>
      <c r="D917" s="2"/>
      <c r="E917" s="2"/>
      <c r="F917" s="2"/>
      <c r="G917" s="2"/>
      <c r="H917" s="2"/>
      <c r="I917" s="5"/>
    </row>
    <row r="918" spans="1:9" ht="17.399999999999999" x14ac:dyDescent="0.25">
      <c r="A918" s="16"/>
      <c r="B918" s="17"/>
      <c r="C918" s="2"/>
      <c r="D918" s="2"/>
      <c r="E918" s="2"/>
      <c r="F918" s="2"/>
      <c r="G918" s="2"/>
      <c r="H918" s="2"/>
      <c r="I918" s="5"/>
    </row>
    <row r="919" spans="1:9" ht="17.399999999999999" x14ac:dyDescent="0.25">
      <c r="A919" s="16"/>
      <c r="B919" s="17"/>
      <c r="C919" s="2"/>
      <c r="D919" s="2"/>
      <c r="E919" s="2"/>
      <c r="F919" s="2"/>
      <c r="G919" s="2"/>
      <c r="H919" s="2"/>
      <c r="I919" s="5"/>
    </row>
    <row r="920" spans="1:9" ht="17.399999999999999" x14ac:dyDescent="0.25">
      <c r="A920" s="16"/>
      <c r="B920" s="17"/>
      <c r="C920" s="2"/>
      <c r="D920" s="2"/>
      <c r="E920" s="2"/>
      <c r="F920" s="2"/>
      <c r="G920" s="2"/>
      <c r="H920" s="2"/>
      <c r="I920" s="5"/>
    </row>
    <row r="921" spans="1:9" ht="17.399999999999999" x14ac:dyDescent="0.25">
      <c r="A921" s="16"/>
      <c r="B921" s="17"/>
      <c r="C921" s="2"/>
      <c r="D921" s="2"/>
      <c r="E921" s="2"/>
      <c r="F921" s="2"/>
      <c r="G921" s="2"/>
      <c r="H921" s="2"/>
      <c r="I921" s="5"/>
    </row>
    <row r="922" spans="1:9" ht="17.399999999999999" x14ac:dyDescent="0.25">
      <c r="A922" s="16"/>
      <c r="B922" s="17"/>
      <c r="C922" s="2"/>
      <c r="D922" s="2"/>
      <c r="E922" s="2"/>
      <c r="F922" s="2"/>
      <c r="G922" s="2"/>
      <c r="H922" s="2"/>
      <c r="I922" s="5"/>
    </row>
    <row r="923" spans="1:9" ht="17.399999999999999" x14ac:dyDescent="0.25">
      <c r="A923" s="16"/>
      <c r="B923" s="17"/>
      <c r="C923" s="2"/>
      <c r="D923" s="2"/>
      <c r="E923" s="2"/>
      <c r="F923" s="2"/>
      <c r="G923" s="2"/>
      <c r="H923" s="2"/>
      <c r="I923" s="5"/>
    </row>
    <row r="924" spans="1:9" ht="17.399999999999999" x14ac:dyDescent="0.25">
      <c r="A924" s="16"/>
      <c r="B924" s="17"/>
      <c r="C924" s="2"/>
      <c r="D924" s="2"/>
      <c r="E924" s="2"/>
      <c r="F924" s="2"/>
      <c r="G924" s="2"/>
      <c r="H924" s="2"/>
      <c r="I924" s="5"/>
    </row>
    <row r="925" spans="1:9" ht="17.399999999999999" x14ac:dyDescent="0.25">
      <c r="A925" s="16"/>
      <c r="B925" s="17"/>
      <c r="C925" s="2"/>
      <c r="D925" s="2"/>
      <c r="E925" s="2"/>
      <c r="F925" s="2"/>
      <c r="G925" s="2"/>
      <c r="H925" s="2"/>
      <c r="I925" s="5"/>
    </row>
    <row r="926" spans="1:9" ht="17.399999999999999" x14ac:dyDescent="0.25">
      <c r="A926" s="16"/>
      <c r="B926" s="17"/>
      <c r="C926" s="2"/>
      <c r="D926" s="2"/>
      <c r="E926" s="2"/>
      <c r="F926" s="2"/>
      <c r="G926" s="2"/>
      <c r="H926" s="2"/>
      <c r="I926" s="5"/>
    </row>
    <row r="927" spans="1:9" ht="17.399999999999999" x14ac:dyDescent="0.25">
      <c r="A927" s="16"/>
      <c r="B927" s="17"/>
      <c r="C927" s="2"/>
      <c r="D927" s="2"/>
      <c r="E927" s="2"/>
      <c r="F927" s="2"/>
      <c r="G927" s="2"/>
      <c r="H927" s="2"/>
      <c r="I927" s="5"/>
    </row>
    <row r="928" spans="1:9" ht="17.399999999999999" x14ac:dyDescent="0.25">
      <c r="A928" s="16"/>
      <c r="B928" s="17"/>
      <c r="C928" s="2"/>
      <c r="D928" s="2"/>
      <c r="E928" s="2"/>
      <c r="F928" s="2"/>
      <c r="G928" s="2"/>
      <c r="H928" s="2"/>
      <c r="I928" s="5"/>
    </row>
    <row r="929" spans="1:9" ht="17.399999999999999" x14ac:dyDescent="0.25">
      <c r="A929" s="16"/>
      <c r="B929" s="17"/>
      <c r="C929" s="2"/>
      <c r="D929" s="2"/>
      <c r="E929" s="2"/>
      <c r="F929" s="2"/>
      <c r="G929" s="2"/>
      <c r="H929" s="2"/>
      <c r="I929" s="5"/>
    </row>
    <row r="930" spans="1:9" ht="17.399999999999999" x14ac:dyDescent="0.25">
      <c r="A930" s="16"/>
      <c r="B930" s="17"/>
      <c r="C930" s="2"/>
      <c r="D930" s="2"/>
      <c r="E930" s="2"/>
      <c r="F930" s="2"/>
      <c r="G930" s="2"/>
      <c r="H930" s="2"/>
      <c r="I930" s="5"/>
    </row>
    <row r="931" spans="1:9" ht="17.399999999999999" x14ac:dyDescent="0.25">
      <c r="A931" s="16"/>
      <c r="B931" s="17"/>
      <c r="C931" s="2"/>
      <c r="D931" s="2"/>
      <c r="E931" s="2"/>
      <c r="F931" s="2"/>
      <c r="G931" s="2"/>
      <c r="H931" s="2"/>
      <c r="I931" s="5"/>
    </row>
    <row r="932" spans="1:9" ht="17.399999999999999" x14ac:dyDescent="0.25">
      <c r="A932" s="16"/>
      <c r="B932" s="17"/>
      <c r="C932" s="2"/>
      <c r="D932" s="2"/>
      <c r="E932" s="2"/>
      <c r="F932" s="2"/>
      <c r="G932" s="2"/>
      <c r="H932" s="2"/>
      <c r="I932" s="5"/>
    </row>
    <row r="933" spans="1:9" ht="17.399999999999999" x14ac:dyDescent="0.25">
      <c r="A933" s="16"/>
      <c r="B933" s="17"/>
      <c r="C933" s="2"/>
      <c r="D933" s="2"/>
      <c r="E933" s="2"/>
      <c r="F933" s="2"/>
      <c r="G933" s="2"/>
      <c r="H933" s="2"/>
      <c r="I933" s="5"/>
    </row>
    <row r="934" spans="1:9" ht="17.399999999999999" x14ac:dyDescent="0.25">
      <c r="A934" s="16"/>
      <c r="B934" s="17"/>
      <c r="C934" s="2"/>
      <c r="D934" s="2"/>
      <c r="E934" s="2"/>
      <c r="F934" s="2"/>
      <c r="G934" s="2"/>
      <c r="H934" s="2"/>
      <c r="I934" s="5"/>
    </row>
    <row r="935" spans="1:9" ht="17.399999999999999" x14ac:dyDescent="0.25">
      <c r="A935" s="16"/>
      <c r="B935" s="17"/>
      <c r="C935" s="2"/>
      <c r="D935" s="2"/>
      <c r="E935" s="2"/>
      <c r="F935" s="2"/>
      <c r="G935" s="2"/>
      <c r="H935" s="2"/>
      <c r="I935" s="5"/>
    </row>
    <row r="936" spans="1:9" ht="17.399999999999999" x14ac:dyDescent="0.25">
      <c r="A936" s="16"/>
      <c r="B936" s="17"/>
      <c r="C936" s="2"/>
      <c r="D936" s="2"/>
      <c r="E936" s="2"/>
      <c r="F936" s="2"/>
      <c r="G936" s="2"/>
      <c r="H936" s="2"/>
      <c r="I936" s="5"/>
    </row>
    <row r="937" spans="1:9" ht="17.399999999999999" x14ac:dyDescent="0.25">
      <c r="A937" s="16"/>
      <c r="B937" s="17"/>
      <c r="C937" s="2"/>
      <c r="D937" s="2"/>
      <c r="E937" s="2"/>
      <c r="F937" s="2"/>
      <c r="G937" s="2"/>
      <c r="H937" s="2"/>
      <c r="I937" s="5"/>
    </row>
    <row r="938" spans="1:9" ht="17.399999999999999" x14ac:dyDescent="0.25">
      <c r="A938" s="16"/>
      <c r="B938" s="17"/>
      <c r="C938" s="2"/>
      <c r="D938" s="2"/>
      <c r="E938" s="2"/>
      <c r="F938" s="2"/>
      <c r="G938" s="2"/>
      <c r="H938" s="2"/>
      <c r="I938" s="5"/>
    </row>
    <row r="939" spans="1:9" ht="17.399999999999999" x14ac:dyDescent="0.25">
      <c r="A939" s="16"/>
      <c r="B939" s="17"/>
      <c r="C939" s="2"/>
      <c r="D939" s="2"/>
      <c r="E939" s="2"/>
      <c r="F939" s="2"/>
      <c r="G939" s="2"/>
      <c r="H939" s="2"/>
      <c r="I939" s="5"/>
    </row>
    <row r="940" spans="1:9" ht="17.399999999999999" x14ac:dyDescent="0.25">
      <c r="A940" s="16"/>
      <c r="B940" s="17"/>
      <c r="C940" s="2"/>
      <c r="D940" s="2"/>
      <c r="E940" s="2"/>
      <c r="F940" s="2"/>
      <c r="G940" s="2"/>
      <c r="H940" s="2"/>
      <c r="I940" s="5"/>
    </row>
    <row r="941" spans="1:9" ht="17.399999999999999" x14ac:dyDescent="0.25">
      <c r="A941" s="16"/>
      <c r="B941" s="17"/>
      <c r="C941" s="2"/>
      <c r="D941" s="2"/>
      <c r="E941" s="2"/>
      <c r="F941" s="2"/>
      <c r="G941" s="2"/>
      <c r="H941" s="2"/>
      <c r="I941" s="5"/>
    </row>
    <row r="942" spans="1:9" ht="17.399999999999999" x14ac:dyDescent="0.25">
      <c r="A942" s="16"/>
      <c r="B942" s="17"/>
      <c r="C942" s="2"/>
      <c r="D942" s="2"/>
      <c r="E942" s="2"/>
      <c r="F942" s="2"/>
      <c r="G942" s="2"/>
      <c r="H942" s="2"/>
      <c r="I942" s="5"/>
    </row>
    <row r="943" spans="1:9" ht="17.399999999999999" x14ac:dyDescent="0.25">
      <c r="A943" s="16"/>
      <c r="B943" s="17"/>
      <c r="C943" s="2"/>
      <c r="D943" s="2"/>
      <c r="E943" s="2"/>
      <c r="F943" s="2"/>
      <c r="G943" s="2"/>
      <c r="H943" s="2"/>
      <c r="I943" s="5"/>
    </row>
    <row r="944" spans="1:9" ht="17.399999999999999" x14ac:dyDescent="0.25">
      <c r="A944" s="16"/>
      <c r="B944" s="17"/>
      <c r="C944" s="2"/>
      <c r="D944" s="2"/>
      <c r="E944" s="2"/>
      <c r="F944" s="2"/>
      <c r="G944" s="2"/>
      <c r="H944" s="2"/>
      <c r="I944" s="5"/>
    </row>
    <row r="945" spans="1:9" ht="17.399999999999999" x14ac:dyDescent="0.25">
      <c r="A945" s="16"/>
      <c r="B945" s="17"/>
      <c r="C945" s="2"/>
      <c r="D945" s="2"/>
      <c r="E945" s="2"/>
      <c r="F945" s="2"/>
      <c r="G945" s="2"/>
      <c r="H945" s="2"/>
      <c r="I945" s="5"/>
    </row>
    <row r="946" spans="1:9" ht="17.399999999999999" x14ac:dyDescent="0.25">
      <c r="A946" s="16"/>
      <c r="B946" s="17"/>
      <c r="C946" s="2"/>
      <c r="D946" s="2"/>
      <c r="E946" s="2"/>
      <c r="F946" s="2"/>
      <c r="G946" s="2"/>
      <c r="H946" s="2"/>
      <c r="I946" s="5"/>
    </row>
    <row r="947" spans="1:9" ht="17.399999999999999" x14ac:dyDescent="0.25">
      <c r="A947" s="16"/>
      <c r="B947" s="17"/>
      <c r="C947" s="2"/>
      <c r="D947" s="2"/>
      <c r="E947" s="2"/>
      <c r="F947" s="2"/>
      <c r="G947" s="2"/>
      <c r="H947" s="2"/>
      <c r="I947" s="5"/>
    </row>
    <row r="948" spans="1:9" ht="17.399999999999999" x14ac:dyDescent="0.25">
      <c r="A948" s="16"/>
      <c r="B948" s="17"/>
      <c r="C948" s="2"/>
      <c r="D948" s="2"/>
      <c r="E948" s="2"/>
      <c r="F948" s="2"/>
      <c r="G948" s="2"/>
      <c r="H948" s="2"/>
      <c r="I948" s="5"/>
    </row>
    <row r="949" spans="1:9" ht="17.399999999999999" x14ac:dyDescent="0.25">
      <c r="A949" s="16"/>
      <c r="B949" s="17"/>
      <c r="C949" s="2"/>
      <c r="D949" s="2"/>
      <c r="E949" s="2"/>
      <c r="F949" s="2"/>
      <c r="G949" s="2"/>
      <c r="H949" s="2"/>
      <c r="I949" s="5"/>
    </row>
    <row r="950" spans="1:9" ht="17.399999999999999" x14ac:dyDescent="0.25">
      <c r="A950" s="16"/>
      <c r="B950" s="17"/>
      <c r="C950" s="2"/>
      <c r="D950" s="2"/>
      <c r="E950" s="2"/>
      <c r="F950" s="2"/>
      <c r="G950" s="2"/>
      <c r="H950" s="2"/>
      <c r="I950" s="5"/>
    </row>
    <row r="951" spans="1:9" ht="17.399999999999999" x14ac:dyDescent="0.25">
      <c r="A951" s="16"/>
      <c r="B951" s="17"/>
      <c r="C951" s="2"/>
      <c r="D951" s="2"/>
      <c r="E951" s="2"/>
      <c r="F951" s="2"/>
      <c r="G951" s="2"/>
      <c r="H951" s="2"/>
      <c r="I951" s="5"/>
    </row>
    <row r="952" spans="1:9" ht="17.399999999999999" x14ac:dyDescent="0.25">
      <c r="A952" s="16"/>
      <c r="B952" s="17"/>
      <c r="C952" s="2"/>
      <c r="D952" s="2"/>
      <c r="E952" s="2"/>
      <c r="F952" s="2"/>
      <c r="G952" s="2"/>
      <c r="H952" s="2"/>
      <c r="I952" s="5"/>
    </row>
    <row r="953" spans="1:9" ht="17.399999999999999" x14ac:dyDescent="0.25">
      <c r="A953" s="16"/>
      <c r="B953" s="17"/>
      <c r="C953" s="2"/>
      <c r="D953" s="2"/>
      <c r="E953" s="2"/>
      <c r="F953" s="2"/>
      <c r="G953" s="2"/>
      <c r="H953" s="2"/>
      <c r="I953" s="5"/>
    </row>
    <row r="954" spans="1:9" ht="17.399999999999999" x14ac:dyDescent="0.25">
      <c r="A954" s="16"/>
      <c r="B954" s="17"/>
      <c r="C954" s="2"/>
      <c r="D954" s="2"/>
      <c r="E954" s="2"/>
      <c r="F954" s="2"/>
      <c r="G954" s="2"/>
      <c r="H954" s="2"/>
      <c r="I954" s="5"/>
    </row>
    <row r="955" spans="1:9" ht="17.399999999999999" x14ac:dyDescent="0.25">
      <c r="A955" s="16"/>
      <c r="B955" s="17"/>
      <c r="C955" s="2"/>
      <c r="D955" s="2"/>
      <c r="E955" s="2"/>
      <c r="F955" s="2"/>
      <c r="G955" s="2"/>
      <c r="H955" s="2"/>
      <c r="I955" s="5"/>
    </row>
    <row r="956" spans="1:9" ht="17.399999999999999" x14ac:dyDescent="0.25">
      <c r="A956" s="16"/>
      <c r="B956" s="17"/>
      <c r="C956" s="2"/>
      <c r="D956" s="2"/>
      <c r="E956" s="2"/>
      <c r="F956" s="2"/>
      <c r="G956" s="2"/>
      <c r="H956" s="2"/>
      <c r="I956" s="5"/>
    </row>
    <row r="957" spans="1:9" ht="17.399999999999999" x14ac:dyDescent="0.25">
      <c r="A957" s="16"/>
      <c r="B957" s="17"/>
      <c r="C957" s="2"/>
      <c r="D957" s="2"/>
      <c r="E957" s="2"/>
      <c r="F957" s="2"/>
      <c r="G957" s="2"/>
      <c r="H957" s="2"/>
      <c r="I957" s="5"/>
    </row>
    <row r="958" spans="1:9" ht="17.399999999999999" x14ac:dyDescent="0.25">
      <c r="A958" s="16"/>
      <c r="B958" s="17"/>
      <c r="C958" s="2"/>
      <c r="D958" s="2"/>
      <c r="E958" s="2"/>
      <c r="F958" s="2"/>
      <c r="G958" s="2"/>
      <c r="H958" s="2"/>
      <c r="I958" s="5"/>
    </row>
    <row r="959" spans="1:9" ht="17.399999999999999" x14ac:dyDescent="0.25">
      <c r="A959" s="16"/>
      <c r="B959" s="17"/>
      <c r="C959" s="2"/>
      <c r="D959" s="2"/>
      <c r="E959" s="2"/>
      <c r="F959" s="2"/>
      <c r="G959" s="2"/>
      <c r="H959" s="2"/>
      <c r="I959" s="5"/>
    </row>
    <row r="960" spans="1:9" ht="17.399999999999999" x14ac:dyDescent="0.25">
      <c r="A960" s="16"/>
      <c r="B960" s="17"/>
      <c r="C960" s="2"/>
      <c r="D960" s="2"/>
      <c r="E960" s="2"/>
      <c r="F960" s="2"/>
      <c r="G960" s="2"/>
      <c r="H960" s="2"/>
      <c r="I960" s="5"/>
    </row>
    <row r="961" spans="1:9" ht="17.399999999999999" x14ac:dyDescent="0.25">
      <c r="A961" s="16"/>
      <c r="B961" s="17"/>
      <c r="C961" s="2"/>
      <c r="D961" s="2"/>
      <c r="E961" s="2"/>
      <c r="F961" s="2"/>
      <c r="G961" s="2"/>
      <c r="H961" s="2"/>
      <c r="I961" s="5"/>
    </row>
    <row r="962" spans="1:9" ht="17.399999999999999" x14ac:dyDescent="0.25">
      <c r="A962" s="16"/>
      <c r="B962" s="17"/>
      <c r="C962" s="2"/>
      <c r="D962" s="2"/>
      <c r="E962" s="2"/>
      <c r="F962" s="2"/>
      <c r="G962" s="2"/>
      <c r="H962" s="2"/>
      <c r="I962" s="5"/>
    </row>
    <row r="963" spans="1:9" ht="17.399999999999999" x14ac:dyDescent="0.25">
      <c r="A963" s="16"/>
      <c r="B963" s="17"/>
      <c r="C963" s="2"/>
      <c r="D963" s="2"/>
      <c r="E963" s="2"/>
      <c r="F963" s="2"/>
      <c r="G963" s="2"/>
      <c r="H963" s="2"/>
      <c r="I963" s="5"/>
    </row>
    <row r="964" spans="1:9" ht="17.399999999999999" x14ac:dyDescent="0.25">
      <c r="A964" s="16"/>
      <c r="B964" s="17"/>
      <c r="C964" s="2"/>
      <c r="D964" s="2"/>
      <c r="E964" s="2"/>
      <c r="F964" s="2"/>
      <c r="G964" s="2"/>
      <c r="H964" s="2"/>
      <c r="I964" s="5"/>
    </row>
    <row r="965" spans="1:9" ht="17.399999999999999" x14ac:dyDescent="0.25">
      <c r="A965" s="16"/>
      <c r="B965" s="17"/>
      <c r="C965" s="2"/>
      <c r="D965" s="2"/>
      <c r="E965" s="2"/>
      <c r="F965" s="2"/>
      <c r="G965" s="2"/>
      <c r="H965" s="2"/>
      <c r="I965" s="5"/>
    </row>
    <row r="966" spans="1:9" ht="17.399999999999999" x14ac:dyDescent="0.25">
      <c r="A966" s="16"/>
      <c r="B966" s="17"/>
      <c r="C966" s="2"/>
      <c r="D966" s="2"/>
      <c r="E966" s="2"/>
      <c r="F966" s="2"/>
      <c r="G966" s="2"/>
      <c r="H966" s="2"/>
      <c r="I966" s="5"/>
    </row>
    <row r="967" spans="1:9" ht="17.399999999999999" x14ac:dyDescent="0.25">
      <c r="A967" s="16"/>
      <c r="B967" s="17"/>
      <c r="C967" s="2"/>
      <c r="D967" s="2"/>
      <c r="E967" s="2"/>
      <c r="F967" s="2"/>
      <c r="G967" s="2"/>
      <c r="H967" s="2"/>
      <c r="I967" s="5"/>
    </row>
    <row r="968" spans="1:9" ht="17.399999999999999" x14ac:dyDescent="0.25">
      <c r="A968" s="16"/>
      <c r="B968" s="17"/>
      <c r="C968" s="2"/>
      <c r="D968" s="2"/>
      <c r="E968" s="2"/>
      <c r="F968" s="2"/>
      <c r="G968" s="2"/>
      <c r="H968" s="2"/>
      <c r="I968" s="5"/>
    </row>
    <row r="969" spans="1:9" ht="17.399999999999999" x14ac:dyDescent="0.25">
      <c r="A969" s="16"/>
      <c r="B969" s="17"/>
      <c r="C969" s="2"/>
      <c r="D969" s="2"/>
      <c r="E969" s="2"/>
      <c r="F969" s="2"/>
      <c r="G969" s="2"/>
      <c r="H969" s="2"/>
      <c r="I969" s="5"/>
    </row>
    <row r="970" spans="1:9" ht="17.399999999999999" x14ac:dyDescent="0.25">
      <c r="A970" s="16"/>
      <c r="B970" s="17"/>
      <c r="C970" s="2"/>
      <c r="D970" s="2"/>
      <c r="E970" s="2"/>
      <c r="F970" s="2"/>
      <c r="G970" s="2"/>
      <c r="H970" s="2"/>
      <c r="I970" s="5"/>
    </row>
    <row r="971" spans="1:9" ht="17.399999999999999" x14ac:dyDescent="0.25">
      <c r="A971" s="16"/>
      <c r="B971" s="17"/>
      <c r="C971" s="2"/>
      <c r="D971" s="2"/>
      <c r="E971" s="2"/>
      <c r="F971" s="2"/>
      <c r="G971" s="2"/>
      <c r="H971" s="2"/>
      <c r="I971" s="5"/>
    </row>
    <row r="972" spans="1:9" ht="17.399999999999999" x14ac:dyDescent="0.25">
      <c r="A972" s="16"/>
      <c r="B972" s="17"/>
      <c r="C972" s="2"/>
      <c r="D972" s="2"/>
      <c r="E972" s="2"/>
      <c r="F972" s="2"/>
      <c r="G972" s="2"/>
      <c r="H972" s="2"/>
      <c r="I972" s="5"/>
    </row>
    <row r="973" spans="1:9" ht="17.399999999999999" x14ac:dyDescent="0.25">
      <c r="A973" s="16"/>
      <c r="B973" s="17"/>
      <c r="C973" s="2"/>
      <c r="D973" s="2"/>
      <c r="E973" s="2"/>
      <c r="F973" s="2"/>
      <c r="G973" s="2"/>
      <c r="H973" s="2"/>
      <c r="I973" s="5"/>
    </row>
    <row r="974" spans="1:9" ht="17.399999999999999" x14ac:dyDescent="0.25">
      <c r="A974" s="16"/>
      <c r="B974" s="17"/>
      <c r="C974" s="2"/>
      <c r="D974" s="2"/>
      <c r="E974" s="2"/>
      <c r="F974" s="2"/>
      <c r="G974" s="2"/>
      <c r="H974" s="2"/>
      <c r="I974" s="5"/>
    </row>
    <row r="975" spans="1:9" ht="17.399999999999999" x14ac:dyDescent="0.25">
      <c r="A975" s="16"/>
      <c r="B975" s="17"/>
      <c r="C975" s="2"/>
      <c r="D975" s="2"/>
      <c r="E975" s="2"/>
      <c r="F975" s="2"/>
      <c r="G975" s="2"/>
      <c r="H975" s="2"/>
      <c r="I975" s="5"/>
    </row>
    <row r="976" spans="1:9" ht="17.399999999999999" x14ac:dyDescent="0.25">
      <c r="A976" s="16"/>
      <c r="B976" s="17"/>
      <c r="C976" s="2"/>
      <c r="D976" s="2"/>
      <c r="E976" s="2"/>
      <c r="F976" s="2"/>
      <c r="G976" s="2"/>
      <c r="H976" s="2"/>
      <c r="I976" s="5"/>
    </row>
    <row r="977" spans="1:9" ht="17.399999999999999" x14ac:dyDescent="0.25">
      <c r="A977" s="16"/>
      <c r="B977" s="17"/>
      <c r="C977" s="2"/>
      <c r="D977" s="2"/>
      <c r="E977" s="2"/>
      <c r="F977" s="2"/>
      <c r="G977" s="2"/>
      <c r="H977" s="2"/>
      <c r="I977" s="5"/>
    </row>
    <row r="978" spans="1:9" ht="17.399999999999999" x14ac:dyDescent="0.25">
      <c r="A978" s="16"/>
      <c r="B978" s="17"/>
      <c r="C978" s="2"/>
      <c r="D978" s="2"/>
      <c r="E978" s="2"/>
      <c r="F978" s="2"/>
      <c r="G978" s="2"/>
      <c r="H978" s="2"/>
      <c r="I978" s="5"/>
    </row>
    <row r="979" spans="1:9" ht="17.399999999999999" x14ac:dyDescent="0.25">
      <c r="A979" s="16"/>
      <c r="B979" s="17"/>
      <c r="C979" s="2"/>
      <c r="D979" s="2"/>
      <c r="E979" s="2"/>
      <c r="F979" s="2"/>
      <c r="G979" s="2"/>
      <c r="H979" s="2"/>
      <c r="I979" s="5"/>
    </row>
    <row r="980" spans="1:9" ht="17.399999999999999" x14ac:dyDescent="0.25">
      <c r="A980" s="16"/>
      <c r="B980" s="17"/>
      <c r="C980" s="2"/>
      <c r="D980" s="2"/>
      <c r="E980" s="2"/>
      <c r="F980" s="2"/>
      <c r="G980" s="2"/>
      <c r="H980" s="2"/>
      <c r="I980" s="5"/>
    </row>
    <row r="981" spans="1:9" ht="17.399999999999999" x14ac:dyDescent="0.25">
      <c r="A981" s="16"/>
      <c r="B981" s="17"/>
      <c r="C981" s="2"/>
      <c r="D981" s="2"/>
      <c r="E981" s="2"/>
      <c r="F981" s="2"/>
      <c r="G981" s="2"/>
      <c r="H981" s="2"/>
      <c r="I981" s="5"/>
    </row>
    <row r="982" spans="1:9" ht="17.399999999999999" x14ac:dyDescent="0.25">
      <c r="A982" s="16"/>
      <c r="B982" s="17"/>
      <c r="C982" s="2"/>
      <c r="D982" s="2"/>
      <c r="E982" s="2"/>
      <c r="F982" s="2"/>
      <c r="G982" s="2"/>
      <c r="H982" s="2"/>
      <c r="I982" s="5"/>
    </row>
    <row r="983" spans="1:9" ht="17.399999999999999" x14ac:dyDescent="0.25">
      <c r="A983" s="16"/>
      <c r="B983" s="17"/>
      <c r="C983" s="2"/>
      <c r="D983" s="2"/>
      <c r="E983" s="2"/>
      <c r="F983" s="2"/>
      <c r="G983" s="2"/>
      <c r="H983" s="2"/>
      <c r="I983" s="5"/>
    </row>
    <row r="984" spans="1:9" ht="17.399999999999999" x14ac:dyDescent="0.25">
      <c r="A984" s="16"/>
      <c r="B984" s="17"/>
      <c r="C984" s="2"/>
      <c r="D984" s="2"/>
      <c r="E984" s="2"/>
      <c r="F984" s="2"/>
      <c r="G984" s="2"/>
      <c r="H984" s="2"/>
      <c r="I984" s="5"/>
    </row>
    <row r="985" spans="1:9" ht="17.399999999999999" x14ac:dyDescent="0.25">
      <c r="A985" s="16"/>
      <c r="B985" s="17"/>
      <c r="C985" s="2"/>
      <c r="D985" s="2"/>
      <c r="E985" s="2"/>
      <c r="F985" s="2"/>
      <c r="G985" s="2"/>
      <c r="H985" s="2"/>
      <c r="I985" s="5"/>
    </row>
    <row r="986" spans="1:9" ht="17.399999999999999" x14ac:dyDescent="0.25">
      <c r="A986" s="16"/>
      <c r="B986" s="17"/>
      <c r="C986" s="2"/>
      <c r="D986" s="2"/>
      <c r="E986" s="2"/>
      <c r="F986" s="2"/>
      <c r="G986" s="2"/>
      <c r="H986" s="2"/>
      <c r="I986" s="5"/>
    </row>
    <row r="987" spans="1:9" ht="17.399999999999999" x14ac:dyDescent="0.25">
      <c r="A987" s="16"/>
      <c r="B987" s="17"/>
      <c r="C987" s="2"/>
      <c r="D987" s="2"/>
      <c r="E987" s="2"/>
      <c r="F987" s="2"/>
      <c r="G987" s="2"/>
      <c r="H987" s="2"/>
      <c r="I987" s="5"/>
    </row>
    <row r="988" spans="1:9" ht="17.399999999999999" x14ac:dyDescent="0.25">
      <c r="A988" s="16"/>
      <c r="B988" s="17"/>
      <c r="C988" s="2"/>
      <c r="D988" s="2"/>
      <c r="E988" s="2"/>
      <c r="F988" s="2"/>
      <c r="G988" s="2"/>
      <c r="H988" s="2"/>
      <c r="I988" s="5"/>
    </row>
    <row r="989" spans="1:9" ht="17.399999999999999" x14ac:dyDescent="0.25">
      <c r="A989" s="16"/>
      <c r="B989" s="17"/>
      <c r="C989" s="2"/>
      <c r="D989" s="2"/>
      <c r="E989" s="2"/>
      <c r="F989" s="2"/>
      <c r="G989" s="2"/>
      <c r="H989" s="2"/>
      <c r="I989" s="5"/>
    </row>
    <row r="990" spans="1:9" ht="17.399999999999999" x14ac:dyDescent="0.25">
      <c r="A990" s="16"/>
      <c r="B990" s="17"/>
      <c r="C990" s="2"/>
      <c r="D990" s="2"/>
      <c r="E990" s="2"/>
      <c r="F990" s="2"/>
      <c r="G990" s="2"/>
      <c r="H990" s="2"/>
      <c r="I990" s="5"/>
    </row>
    <row r="991" spans="1:9" ht="17.399999999999999" x14ac:dyDescent="0.25">
      <c r="A991" s="16"/>
      <c r="B991" s="17"/>
      <c r="C991" s="2"/>
      <c r="D991" s="2"/>
      <c r="E991" s="2"/>
      <c r="F991" s="2"/>
      <c r="G991" s="2"/>
      <c r="H991" s="2"/>
      <c r="I991" s="5"/>
    </row>
    <row r="992" spans="1:9" ht="17.399999999999999" x14ac:dyDescent="0.25">
      <c r="A992" s="16"/>
      <c r="B992" s="17"/>
      <c r="C992" s="2"/>
      <c r="D992" s="2"/>
      <c r="E992" s="2"/>
      <c r="F992" s="2"/>
      <c r="G992" s="2"/>
      <c r="H992" s="2"/>
      <c r="I992" s="5"/>
    </row>
    <row r="993" spans="1:9" ht="17.399999999999999" x14ac:dyDescent="0.25">
      <c r="A993" s="16"/>
      <c r="B993" s="17"/>
      <c r="C993" s="2"/>
      <c r="D993" s="2"/>
      <c r="E993" s="2"/>
      <c r="F993" s="2"/>
      <c r="G993" s="2"/>
      <c r="H993" s="2"/>
      <c r="I993" s="5"/>
    </row>
    <row r="994" spans="1:9" ht="17.399999999999999" x14ac:dyDescent="0.25">
      <c r="A994" s="16"/>
      <c r="B994" s="17"/>
      <c r="C994" s="2"/>
      <c r="D994" s="2"/>
      <c r="E994" s="2"/>
      <c r="F994" s="2"/>
      <c r="G994" s="2"/>
      <c r="H994" s="2"/>
      <c r="I994" s="5"/>
    </row>
    <row r="995" spans="1:9" ht="17.399999999999999" x14ac:dyDescent="0.25">
      <c r="A995" s="16"/>
      <c r="B995" s="17"/>
      <c r="C995" s="2"/>
      <c r="D995" s="2"/>
      <c r="E995" s="2"/>
      <c r="F995" s="2"/>
      <c r="G995" s="2"/>
      <c r="H995" s="2"/>
      <c r="I995" s="5"/>
    </row>
    <row r="996" spans="1:9" ht="17.399999999999999" x14ac:dyDescent="0.25">
      <c r="A996" s="16"/>
      <c r="B996" s="17"/>
      <c r="C996" s="2"/>
      <c r="D996" s="2"/>
      <c r="E996" s="2"/>
      <c r="F996" s="2"/>
      <c r="G996" s="2"/>
      <c r="H996" s="2"/>
      <c r="I996" s="5"/>
    </row>
    <row r="997" spans="1:9" ht="17.399999999999999" x14ac:dyDescent="0.25">
      <c r="A997" s="16"/>
      <c r="B997" s="17"/>
      <c r="C997" s="2"/>
      <c r="D997" s="2"/>
      <c r="E997" s="2"/>
      <c r="F997" s="2"/>
      <c r="G997" s="2"/>
      <c r="H997" s="2"/>
      <c r="I997" s="5"/>
    </row>
    <row r="998" spans="1:9" ht="17.399999999999999" x14ac:dyDescent="0.25">
      <c r="A998" s="16"/>
      <c r="B998" s="17"/>
      <c r="C998" s="2"/>
      <c r="D998" s="2"/>
      <c r="E998" s="2"/>
      <c r="F998" s="2"/>
      <c r="G998" s="2"/>
      <c r="H998" s="2"/>
      <c r="I998" s="5"/>
    </row>
    <row r="999" spans="1:9" ht="17.399999999999999" x14ac:dyDescent="0.25">
      <c r="A999" s="16"/>
      <c r="B999" s="17"/>
      <c r="C999" s="2"/>
      <c r="D999" s="2"/>
      <c r="E999" s="2"/>
      <c r="F999" s="2"/>
      <c r="G999" s="2"/>
      <c r="H999" s="2"/>
      <c r="I999" s="5"/>
    </row>
    <row r="1000" spans="1:9" ht="17.399999999999999" x14ac:dyDescent="0.25">
      <c r="A1000" s="16"/>
      <c r="B1000" s="17"/>
      <c r="C1000" s="2"/>
      <c r="D1000" s="2"/>
      <c r="E1000" s="2"/>
      <c r="F1000" s="2"/>
      <c r="G1000" s="2"/>
      <c r="H1000" s="2"/>
      <c r="I1000" s="5"/>
    </row>
    <row r="1001" spans="1:9" ht="17.399999999999999" x14ac:dyDescent="0.25">
      <c r="A1001" s="16"/>
      <c r="B1001" s="17"/>
      <c r="C1001" s="2"/>
      <c r="D1001" s="2"/>
      <c r="E1001" s="2"/>
      <c r="F1001" s="2"/>
      <c r="G1001" s="2"/>
      <c r="H1001" s="2"/>
      <c r="I1001" s="5"/>
    </row>
    <row r="1002" spans="1:9" ht="17.399999999999999" x14ac:dyDescent="0.25">
      <c r="A1002" s="16"/>
      <c r="B1002" s="17"/>
      <c r="C1002" s="2"/>
      <c r="D1002" s="2"/>
      <c r="E1002" s="2"/>
      <c r="F1002" s="2"/>
      <c r="G1002" s="2"/>
      <c r="H1002" s="2"/>
      <c r="I1002" s="5"/>
    </row>
    <row r="1003" spans="1:9" ht="17.399999999999999" x14ac:dyDescent="0.25">
      <c r="A1003" s="16"/>
      <c r="B1003" s="17"/>
      <c r="C1003" s="2"/>
      <c r="D1003" s="2"/>
      <c r="E1003" s="2"/>
      <c r="F1003" s="2"/>
      <c r="G1003" s="2"/>
      <c r="H1003" s="2"/>
      <c r="I1003" s="5"/>
    </row>
    <row r="1004" spans="1:9" ht="17.399999999999999" x14ac:dyDescent="0.25">
      <c r="A1004" s="16"/>
      <c r="B1004" s="17"/>
      <c r="C1004" s="2"/>
      <c r="D1004" s="2"/>
      <c r="E1004" s="2"/>
      <c r="F1004" s="2"/>
      <c r="G1004" s="2"/>
      <c r="H1004" s="2"/>
      <c r="I1004" s="5"/>
    </row>
    <row r="1005" spans="1:9" ht="17.399999999999999" x14ac:dyDescent="0.25">
      <c r="A1005" s="16"/>
      <c r="B1005" s="17"/>
      <c r="C1005" s="2"/>
      <c r="D1005" s="2"/>
      <c r="E1005" s="2"/>
      <c r="F1005" s="2"/>
      <c r="G1005" s="2"/>
      <c r="H1005" s="2"/>
      <c r="I1005" s="5"/>
    </row>
    <row r="1006" spans="1:9" ht="17.399999999999999" x14ac:dyDescent="0.25">
      <c r="A1006" s="16"/>
      <c r="B1006" s="17"/>
      <c r="C1006" s="2"/>
      <c r="D1006" s="2"/>
      <c r="E1006" s="2"/>
      <c r="F1006" s="2"/>
      <c r="G1006" s="2"/>
      <c r="H1006" s="2"/>
      <c r="I1006" s="5"/>
    </row>
    <row r="1007" spans="1:9" ht="17.399999999999999" x14ac:dyDescent="0.25">
      <c r="A1007" s="16"/>
      <c r="B1007" s="17"/>
      <c r="C1007" s="2"/>
      <c r="D1007" s="2"/>
      <c r="E1007" s="2"/>
      <c r="F1007" s="2"/>
      <c r="G1007" s="2"/>
      <c r="H1007" s="2"/>
      <c r="I1007" s="5"/>
    </row>
    <row r="1008" spans="1:9" ht="17.399999999999999" x14ac:dyDescent="0.25">
      <c r="A1008" s="16"/>
      <c r="B1008" s="17"/>
      <c r="C1008" s="2"/>
      <c r="D1008" s="2"/>
      <c r="E1008" s="2"/>
      <c r="F1008" s="2"/>
      <c r="G1008" s="2"/>
      <c r="H1008" s="2"/>
      <c r="I1008" s="5"/>
    </row>
    <row r="1009" spans="1:9" ht="17.399999999999999" x14ac:dyDescent="0.25">
      <c r="A1009" s="16"/>
      <c r="B1009" s="17"/>
      <c r="C1009" s="2"/>
      <c r="D1009" s="2"/>
      <c r="E1009" s="2"/>
      <c r="F1009" s="2"/>
      <c r="G1009" s="2"/>
      <c r="H1009" s="2"/>
      <c r="I1009" s="5"/>
    </row>
    <row r="1010" spans="1:9" ht="17.399999999999999" x14ac:dyDescent="0.25">
      <c r="A1010" s="16"/>
      <c r="B1010" s="17"/>
      <c r="C1010" s="2"/>
      <c r="D1010" s="2"/>
      <c r="E1010" s="2"/>
      <c r="F1010" s="2"/>
      <c r="G1010" s="2"/>
      <c r="H1010" s="2"/>
      <c r="I1010" s="5"/>
    </row>
    <row r="1011" spans="1:9" ht="17.399999999999999" x14ac:dyDescent="0.25">
      <c r="A1011" s="16"/>
      <c r="B1011" s="17"/>
      <c r="C1011" s="2"/>
      <c r="D1011" s="2"/>
      <c r="E1011" s="2"/>
      <c r="F1011" s="2"/>
      <c r="G1011" s="2"/>
      <c r="H1011" s="2"/>
      <c r="I1011" s="5"/>
    </row>
    <row r="1012" spans="1:9" ht="17.399999999999999" x14ac:dyDescent="0.25">
      <c r="A1012" s="16"/>
      <c r="B1012" s="17"/>
      <c r="C1012" s="2"/>
      <c r="D1012" s="2"/>
      <c r="E1012" s="2"/>
      <c r="F1012" s="2"/>
      <c r="G1012" s="2"/>
      <c r="H1012" s="2"/>
      <c r="I1012" s="5"/>
    </row>
    <row r="1013" spans="1:9" ht="17.399999999999999" x14ac:dyDescent="0.25">
      <c r="A1013" s="16"/>
      <c r="B1013" s="17"/>
      <c r="C1013" s="2"/>
      <c r="D1013" s="2"/>
      <c r="E1013" s="2"/>
      <c r="F1013" s="2"/>
      <c r="G1013" s="2"/>
      <c r="H1013" s="2"/>
      <c r="I1013" s="5"/>
    </row>
    <row r="1014" spans="1:9" ht="17.399999999999999" x14ac:dyDescent="0.25">
      <c r="A1014" s="16"/>
      <c r="B1014" s="17"/>
      <c r="C1014" s="2"/>
      <c r="D1014" s="2"/>
      <c r="E1014" s="2"/>
      <c r="F1014" s="2"/>
      <c r="G1014" s="2"/>
      <c r="H1014" s="2"/>
      <c r="I1014" s="5"/>
    </row>
    <row r="1015" spans="1:9" ht="17.399999999999999" x14ac:dyDescent="0.25">
      <c r="A1015" s="16"/>
      <c r="B1015" s="17"/>
      <c r="C1015" s="2"/>
      <c r="D1015" s="2"/>
      <c r="E1015" s="2"/>
      <c r="F1015" s="2"/>
      <c r="G1015" s="2"/>
      <c r="H1015" s="2"/>
      <c r="I1015" s="5"/>
    </row>
    <row r="1016" spans="1:9" ht="17.399999999999999" x14ac:dyDescent="0.25">
      <c r="A1016" s="16"/>
      <c r="B1016" s="17"/>
      <c r="C1016" s="2"/>
      <c r="D1016" s="2"/>
      <c r="E1016" s="2"/>
      <c r="F1016" s="2"/>
      <c r="G1016" s="2"/>
      <c r="H1016" s="2"/>
      <c r="I1016" s="5"/>
    </row>
    <row r="1017" spans="1:9" ht="17.399999999999999" x14ac:dyDescent="0.25">
      <c r="A1017" s="16"/>
      <c r="B1017" s="17"/>
      <c r="C1017" s="2"/>
      <c r="D1017" s="2"/>
      <c r="E1017" s="2"/>
      <c r="F1017" s="2"/>
      <c r="G1017" s="2"/>
      <c r="H1017" s="2"/>
      <c r="I1017" s="5"/>
    </row>
    <row r="1018" spans="1:9" ht="17.399999999999999" x14ac:dyDescent="0.25">
      <c r="A1018" s="16"/>
      <c r="B1018" s="17"/>
      <c r="C1018" s="2"/>
      <c r="D1018" s="2"/>
      <c r="E1018" s="2"/>
      <c r="F1018" s="2"/>
      <c r="G1018" s="2"/>
      <c r="H1018" s="2"/>
      <c r="I1018" s="5"/>
    </row>
    <row r="1019" spans="1:9" ht="17.399999999999999" x14ac:dyDescent="0.25">
      <c r="A1019" s="16"/>
      <c r="B1019" s="17"/>
      <c r="C1019" s="2"/>
      <c r="D1019" s="2"/>
      <c r="E1019" s="2"/>
      <c r="F1019" s="2"/>
      <c r="G1019" s="2"/>
      <c r="H1019" s="2"/>
      <c r="I1019" s="5"/>
    </row>
    <row r="1020" spans="1:9" ht="17.399999999999999" x14ac:dyDescent="0.25">
      <c r="A1020" s="16"/>
      <c r="B1020" s="17"/>
      <c r="C1020" s="2"/>
      <c r="D1020" s="2"/>
      <c r="E1020" s="2"/>
      <c r="F1020" s="2"/>
      <c r="G1020" s="2"/>
      <c r="H1020" s="2"/>
      <c r="I1020" s="5"/>
    </row>
    <row r="1021" spans="1:9" ht="17.399999999999999" x14ac:dyDescent="0.25">
      <c r="A1021" s="16"/>
      <c r="B1021" s="17"/>
      <c r="C1021" s="2"/>
      <c r="D1021" s="2"/>
      <c r="E1021" s="2"/>
      <c r="F1021" s="2"/>
      <c r="G1021" s="2"/>
      <c r="H1021" s="2"/>
      <c r="I1021" s="5"/>
    </row>
    <row r="1022" spans="1:9" ht="17.399999999999999" x14ac:dyDescent="0.25">
      <c r="A1022" s="16"/>
      <c r="B1022" s="17"/>
      <c r="C1022" s="2"/>
      <c r="D1022" s="2"/>
      <c r="E1022" s="2"/>
      <c r="F1022" s="2"/>
      <c r="G1022" s="2"/>
      <c r="H1022" s="2"/>
      <c r="I1022" s="5"/>
    </row>
    <row r="1023" spans="1:9" ht="17.399999999999999" x14ac:dyDescent="0.25">
      <c r="A1023" s="16"/>
      <c r="B1023" s="17"/>
      <c r="C1023" s="2"/>
      <c r="D1023" s="2"/>
      <c r="E1023" s="2"/>
      <c r="F1023" s="2"/>
      <c r="G1023" s="2"/>
      <c r="H1023" s="2"/>
      <c r="I1023" s="5"/>
    </row>
    <row r="1024" spans="1:9" ht="17.399999999999999" x14ac:dyDescent="0.25">
      <c r="A1024" s="16"/>
      <c r="B1024" s="17"/>
      <c r="C1024" s="2"/>
      <c r="D1024" s="2"/>
      <c r="E1024" s="2"/>
      <c r="F1024" s="2"/>
      <c r="G1024" s="2"/>
      <c r="H1024" s="2"/>
      <c r="I1024" s="5"/>
    </row>
    <row r="1025" spans="1:9" ht="17.399999999999999" x14ac:dyDescent="0.25">
      <c r="A1025" s="16"/>
      <c r="B1025" s="17"/>
      <c r="C1025" s="2"/>
      <c r="D1025" s="2"/>
      <c r="E1025" s="2"/>
      <c r="F1025" s="2"/>
      <c r="G1025" s="2"/>
      <c r="H1025" s="2"/>
      <c r="I1025" s="5"/>
    </row>
    <row r="1026" spans="1:9" ht="17.399999999999999" x14ac:dyDescent="0.25">
      <c r="A1026" s="16"/>
      <c r="B1026" s="17"/>
      <c r="C1026" s="2"/>
      <c r="D1026" s="2"/>
      <c r="E1026" s="2"/>
      <c r="F1026" s="2"/>
      <c r="G1026" s="2"/>
      <c r="H1026" s="2"/>
      <c r="I1026" s="5"/>
    </row>
    <row r="1027" spans="1:9" ht="17.399999999999999" x14ac:dyDescent="0.25">
      <c r="A1027" s="16"/>
      <c r="B1027" s="17"/>
      <c r="C1027" s="2"/>
      <c r="D1027" s="2"/>
      <c r="E1027" s="2"/>
      <c r="F1027" s="2"/>
      <c r="G1027" s="2"/>
      <c r="H1027" s="2"/>
      <c r="I1027" s="5"/>
    </row>
    <row r="1028" spans="1:9" ht="17.399999999999999" x14ac:dyDescent="0.25">
      <c r="A1028" s="16"/>
      <c r="B1028" s="17"/>
      <c r="C1028" s="2"/>
      <c r="D1028" s="2"/>
      <c r="E1028" s="2"/>
      <c r="F1028" s="2"/>
      <c r="G1028" s="2"/>
      <c r="H1028" s="2"/>
      <c r="I1028" s="5"/>
    </row>
    <row r="1029" spans="1:9" ht="17.399999999999999" x14ac:dyDescent="0.25">
      <c r="A1029" s="16"/>
      <c r="B1029" s="17"/>
      <c r="C1029" s="2"/>
      <c r="D1029" s="2"/>
      <c r="E1029" s="2"/>
      <c r="F1029" s="2"/>
      <c r="G1029" s="2"/>
      <c r="H1029" s="2"/>
      <c r="I1029" s="5"/>
    </row>
    <row r="1030" spans="1:9" ht="17.399999999999999" x14ac:dyDescent="0.25">
      <c r="A1030" s="16"/>
      <c r="B1030" s="17"/>
      <c r="C1030" s="2"/>
      <c r="D1030" s="2"/>
      <c r="E1030" s="2"/>
      <c r="F1030" s="2"/>
      <c r="G1030" s="2"/>
      <c r="H1030" s="2"/>
      <c r="I1030" s="5"/>
    </row>
    <row r="1031" spans="1:9" ht="17.399999999999999" x14ac:dyDescent="0.25">
      <c r="A1031" s="16"/>
      <c r="B1031" s="17"/>
      <c r="C1031" s="2"/>
      <c r="D1031" s="2"/>
      <c r="E1031" s="2"/>
      <c r="F1031" s="2"/>
      <c r="G1031" s="2"/>
      <c r="H1031" s="2"/>
      <c r="I1031" s="5"/>
    </row>
    <row r="1032" spans="1:9" ht="17.399999999999999" x14ac:dyDescent="0.25">
      <c r="A1032" s="16"/>
      <c r="B1032" s="17"/>
      <c r="C1032" s="2"/>
      <c r="D1032" s="2"/>
      <c r="E1032" s="2"/>
      <c r="F1032" s="2"/>
      <c r="G1032" s="2"/>
      <c r="H1032" s="2"/>
      <c r="I1032" s="5"/>
    </row>
    <row r="1033" spans="1:9" ht="17.399999999999999" x14ac:dyDescent="0.25">
      <c r="A1033" s="16"/>
      <c r="B1033" s="17"/>
      <c r="C1033" s="2"/>
      <c r="D1033" s="2"/>
      <c r="E1033" s="2"/>
      <c r="F1033" s="2"/>
      <c r="G1033" s="2"/>
      <c r="H1033" s="2"/>
      <c r="I1033" s="5"/>
    </row>
    <row r="1034" spans="1:9" ht="17.399999999999999" x14ac:dyDescent="0.25">
      <c r="A1034" s="16"/>
      <c r="B1034" s="17"/>
      <c r="C1034" s="2"/>
      <c r="D1034" s="2"/>
      <c r="E1034" s="2"/>
      <c r="F1034" s="2"/>
      <c r="G1034" s="2"/>
      <c r="H1034" s="2"/>
      <c r="I1034" s="5"/>
    </row>
    <row r="1035" spans="1:9" ht="17.399999999999999" x14ac:dyDescent="0.25">
      <c r="A1035" s="16"/>
      <c r="B1035" s="17"/>
      <c r="C1035" s="2"/>
      <c r="D1035" s="2"/>
      <c r="E1035" s="2"/>
      <c r="F1035" s="2"/>
      <c r="G1035" s="2"/>
      <c r="H1035" s="2"/>
      <c r="I1035" s="5"/>
    </row>
    <row r="1036" spans="1:9" ht="17.399999999999999" x14ac:dyDescent="0.25">
      <c r="A1036" s="16"/>
      <c r="B1036" s="17"/>
      <c r="C1036" s="2"/>
      <c r="D1036" s="2"/>
      <c r="E1036" s="2"/>
      <c r="F1036" s="2"/>
      <c r="G1036" s="2"/>
      <c r="H1036" s="2"/>
      <c r="I1036" s="5"/>
    </row>
    <row r="1037" spans="1:9" ht="17.399999999999999" x14ac:dyDescent="0.25">
      <c r="A1037" s="16"/>
      <c r="B1037" s="17"/>
      <c r="C1037" s="2"/>
      <c r="D1037" s="2"/>
      <c r="E1037" s="2"/>
      <c r="F1037" s="2"/>
      <c r="G1037" s="2"/>
      <c r="H1037" s="2"/>
      <c r="I1037" s="5"/>
    </row>
    <row r="1038" spans="1:9" ht="17.399999999999999" x14ac:dyDescent="0.25">
      <c r="A1038" s="16"/>
      <c r="B1038" s="17"/>
      <c r="C1038" s="2"/>
      <c r="D1038" s="2"/>
      <c r="E1038" s="2"/>
      <c r="F1038" s="2"/>
      <c r="G1038" s="2"/>
      <c r="H1038" s="2"/>
      <c r="I1038" s="5"/>
    </row>
    <row r="1039" spans="1:9" ht="17.399999999999999" x14ac:dyDescent="0.25">
      <c r="A1039" s="16"/>
      <c r="B1039" s="17"/>
      <c r="C1039" s="2"/>
      <c r="D1039" s="2"/>
      <c r="E1039" s="2"/>
      <c r="F1039" s="2"/>
      <c r="G1039" s="2"/>
      <c r="H1039" s="2"/>
      <c r="I1039" s="5"/>
    </row>
    <row r="1040" spans="1:9" ht="17.399999999999999" x14ac:dyDescent="0.25">
      <c r="A1040" s="16"/>
      <c r="B1040" s="17"/>
      <c r="C1040" s="2"/>
      <c r="D1040" s="2"/>
      <c r="E1040" s="2"/>
      <c r="F1040" s="2"/>
      <c r="G1040" s="2"/>
      <c r="H1040" s="2"/>
      <c r="I1040" s="5"/>
    </row>
    <row r="1041" spans="1:9" ht="17.399999999999999" x14ac:dyDescent="0.25">
      <c r="A1041" s="16"/>
      <c r="B1041" s="17"/>
      <c r="C1041" s="2"/>
      <c r="D1041" s="2"/>
      <c r="E1041" s="2"/>
      <c r="F1041" s="2"/>
      <c r="G1041" s="2"/>
      <c r="H1041" s="2"/>
      <c r="I1041" s="5"/>
    </row>
    <row r="1042" spans="1:9" ht="17.399999999999999" x14ac:dyDescent="0.25">
      <c r="A1042" s="16"/>
      <c r="B1042" s="17"/>
      <c r="C1042" s="2"/>
      <c r="D1042" s="2"/>
      <c r="E1042" s="2"/>
      <c r="F1042" s="2"/>
      <c r="G1042" s="2"/>
      <c r="H1042" s="2"/>
      <c r="I1042" s="5"/>
    </row>
    <row r="1043" spans="1:9" ht="17.399999999999999" x14ac:dyDescent="0.25">
      <c r="A1043" s="16"/>
      <c r="B1043" s="17"/>
      <c r="C1043" s="2"/>
      <c r="D1043" s="2"/>
      <c r="E1043" s="2"/>
      <c r="F1043" s="2"/>
      <c r="G1043" s="2"/>
      <c r="H1043" s="2"/>
      <c r="I1043" s="5"/>
    </row>
    <row r="1044" spans="1:9" ht="17.399999999999999" x14ac:dyDescent="0.25">
      <c r="A1044" s="16"/>
      <c r="B1044" s="17"/>
      <c r="C1044" s="2"/>
      <c r="D1044" s="2"/>
      <c r="E1044" s="2"/>
      <c r="F1044" s="2"/>
      <c r="G1044" s="2"/>
      <c r="H1044" s="2"/>
      <c r="I1044" s="5"/>
    </row>
    <row r="1045" spans="1:9" ht="17.399999999999999" x14ac:dyDescent="0.25">
      <c r="A1045" s="16"/>
      <c r="B1045" s="17"/>
      <c r="C1045" s="2"/>
      <c r="D1045" s="2"/>
      <c r="E1045" s="2"/>
      <c r="F1045" s="2"/>
      <c r="G1045" s="2"/>
      <c r="H1045" s="2"/>
      <c r="I1045" s="5"/>
    </row>
    <row r="1046" spans="1:9" ht="17.399999999999999" x14ac:dyDescent="0.25">
      <c r="A1046" s="16"/>
      <c r="B1046" s="17"/>
      <c r="C1046" s="2"/>
      <c r="D1046" s="2"/>
      <c r="E1046" s="2"/>
      <c r="F1046" s="2"/>
      <c r="G1046" s="2"/>
      <c r="H1046" s="2"/>
      <c r="I1046" s="5"/>
    </row>
    <row r="1047" spans="1:9" ht="17.399999999999999" x14ac:dyDescent="0.25">
      <c r="A1047" s="16"/>
      <c r="B1047" s="17"/>
      <c r="C1047" s="2"/>
      <c r="D1047" s="2"/>
      <c r="E1047" s="2"/>
      <c r="F1047" s="2"/>
      <c r="G1047" s="2"/>
      <c r="H1047" s="2"/>
      <c r="I1047" s="5"/>
    </row>
    <row r="1048" spans="1:9" ht="17.399999999999999" x14ac:dyDescent="0.25">
      <c r="A1048" s="16"/>
      <c r="B1048" s="17"/>
      <c r="C1048" s="2"/>
      <c r="D1048" s="2"/>
      <c r="E1048" s="2"/>
      <c r="F1048" s="2"/>
      <c r="G1048" s="2"/>
      <c r="H1048" s="2"/>
      <c r="I1048" s="5"/>
    </row>
    <row r="1049" spans="1:9" ht="17.399999999999999" x14ac:dyDescent="0.25">
      <c r="A1049" s="16"/>
      <c r="B1049" s="17"/>
      <c r="C1049" s="2"/>
      <c r="D1049" s="2"/>
      <c r="E1049" s="2"/>
      <c r="F1049" s="2"/>
      <c r="G1049" s="2"/>
      <c r="H1049" s="2"/>
      <c r="I1049" s="5"/>
    </row>
    <row r="1050" spans="1:9" ht="17.399999999999999" x14ac:dyDescent="0.25">
      <c r="A1050" s="16"/>
      <c r="B1050" s="17"/>
      <c r="C1050" s="2"/>
      <c r="D1050" s="2"/>
      <c r="E1050" s="2"/>
      <c r="F1050" s="2"/>
      <c r="G1050" s="2"/>
      <c r="H1050" s="2"/>
      <c r="I1050" s="5"/>
    </row>
    <row r="1051" spans="1:9" ht="17.399999999999999" x14ac:dyDescent="0.25">
      <c r="A1051" s="16"/>
      <c r="B1051" s="17"/>
      <c r="C1051" s="2"/>
      <c r="D1051" s="2"/>
      <c r="E1051" s="2"/>
      <c r="F1051" s="2"/>
      <c r="G1051" s="2"/>
      <c r="H1051" s="2"/>
      <c r="I1051" s="5"/>
    </row>
    <row r="1052" spans="1:9" ht="17.399999999999999" x14ac:dyDescent="0.25">
      <c r="A1052" s="16"/>
      <c r="B1052" s="17"/>
      <c r="C1052" s="2"/>
      <c r="D1052" s="2"/>
      <c r="E1052" s="2"/>
      <c r="F1052" s="2"/>
      <c r="G1052" s="2"/>
      <c r="H1052" s="2"/>
      <c r="I1052" s="5"/>
    </row>
    <row r="1053" spans="1:9" ht="17.399999999999999" x14ac:dyDescent="0.25">
      <c r="A1053" s="16"/>
      <c r="B1053" s="17"/>
      <c r="C1053" s="2"/>
      <c r="D1053" s="2"/>
      <c r="E1053" s="2"/>
      <c r="F1053" s="2"/>
      <c r="G1053" s="2"/>
      <c r="H1053" s="2"/>
      <c r="I1053" s="5"/>
    </row>
    <row r="1054" spans="1:9" ht="17.399999999999999" x14ac:dyDescent="0.25">
      <c r="A1054" s="16"/>
      <c r="B1054" s="17"/>
      <c r="C1054" s="2"/>
      <c r="D1054" s="2"/>
      <c r="E1054" s="2"/>
      <c r="F1054" s="2"/>
      <c r="G1054" s="2"/>
      <c r="H1054" s="2"/>
      <c r="I1054" s="5"/>
    </row>
    <row r="1055" spans="1:9" ht="17.399999999999999" x14ac:dyDescent="0.25">
      <c r="A1055" s="16"/>
      <c r="B1055" s="17"/>
      <c r="C1055" s="2"/>
      <c r="D1055" s="2"/>
      <c r="E1055" s="2"/>
      <c r="F1055" s="2"/>
      <c r="G1055" s="2"/>
      <c r="H1055" s="2"/>
      <c r="I1055" s="5"/>
    </row>
    <row r="1056" spans="1:9" ht="17.399999999999999" x14ac:dyDescent="0.25">
      <c r="A1056" s="16"/>
      <c r="B1056" s="17"/>
      <c r="C1056" s="2"/>
      <c r="D1056" s="2"/>
      <c r="E1056" s="2"/>
      <c r="F1056" s="2"/>
      <c r="G1056" s="2"/>
      <c r="H1056" s="2"/>
      <c r="I1056" s="5"/>
    </row>
    <row r="1057" spans="1:9" ht="17.399999999999999" x14ac:dyDescent="0.25">
      <c r="A1057" s="16"/>
      <c r="B1057" s="17"/>
      <c r="C1057" s="2"/>
      <c r="D1057" s="2"/>
      <c r="E1057" s="2"/>
      <c r="F1057" s="2"/>
      <c r="G1057" s="2"/>
      <c r="H1057" s="2"/>
      <c r="I1057" s="5"/>
    </row>
    <row r="1058" spans="1:9" ht="17.399999999999999" x14ac:dyDescent="0.25">
      <c r="A1058" s="16"/>
      <c r="B1058" s="17"/>
      <c r="C1058" s="2"/>
      <c r="D1058" s="2"/>
      <c r="E1058" s="2"/>
      <c r="F1058" s="2"/>
      <c r="G1058" s="2"/>
      <c r="H1058" s="2"/>
      <c r="I1058" s="5"/>
    </row>
    <row r="1059" spans="1:9" ht="17.399999999999999" x14ac:dyDescent="0.25">
      <c r="A1059" s="16"/>
      <c r="B1059" s="17"/>
      <c r="C1059" s="2"/>
      <c r="D1059" s="2"/>
      <c r="E1059" s="2"/>
      <c r="F1059" s="2"/>
      <c r="G1059" s="2"/>
      <c r="H1059" s="2"/>
      <c r="I1059" s="5"/>
    </row>
    <row r="1060" spans="1:9" ht="17.399999999999999" x14ac:dyDescent="0.25">
      <c r="A1060" s="16"/>
      <c r="B1060" s="17"/>
      <c r="C1060" s="2"/>
      <c r="D1060" s="2"/>
      <c r="E1060" s="2"/>
      <c r="F1060" s="2"/>
      <c r="G1060" s="2"/>
      <c r="H1060" s="2"/>
      <c r="I1060" s="5"/>
    </row>
    <row r="1061" spans="1:9" ht="17.399999999999999" x14ac:dyDescent="0.25">
      <c r="A1061" s="16"/>
      <c r="B1061" s="17"/>
      <c r="C1061" s="2"/>
      <c r="D1061" s="2"/>
      <c r="E1061" s="2"/>
      <c r="F1061" s="2"/>
      <c r="G1061" s="2"/>
      <c r="H1061" s="2"/>
      <c r="I1061" s="5"/>
    </row>
    <row r="1062" spans="1:9" ht="17.399999999999999" x14ac:dyDescent="0.25">
      <c r="A1062" s="16"/>
      <c r="B1062" s="17"/>
      <c r="C1062" s="2"/>
      <c r="D1062" s="2"/>
      <c r="E1062" s="2"/>
      <c r="F1062" s="2"/>
      <c r="G1062" s="2"/>
      <c r="H1062" s="2"/>
      <c r="I1062" s="5"/>
    </row>
    <row r="1063" spans="1:9" ht="17.399999999999999" x14ac:dyDescent="0.25">
      <c r="A1063" s="16"/>
      <c r="B1063" s="17"/>
      <c r="C1063" s="2"/>
      <c r="D1063" s="2"/>
      <c r="E1063" s="2"/>
      <c r="F1063" s="2"/>
      <c r="G1063" s="2"/>
      <c r="H1063" s="2"/>
      <c r="I1063" s="5"/>
    </row>
    <row r="1064" spans="1:9" ht="17.399999999999999" x14ac:dyDescent="0.25">
      <c r="A1064" s="16"/>
      <c r="B1064" s="17"/>
      <c r="C1064" s="2"/>
      <c r="D1064" s="2"/>
      <c r="E1064" s="2"/>
      <c r="F1064" s="2"/>
      <c r="G1064" s="2"/>
      <c r="H1064" s="2"/>
      <c r="I1064" s="5"/>
    </row>
    <row r="1065" spans="1:9" ht="17.399999999999999" x14ac:dyDescent="0.25">
      <c r="A1065" s="16"/>
      <c r="B1065" s="17"/>
      <c r="C1065" s="2"/>
      <c r="D1065" s="2"/>
      <c r="E1065" s="2"/>
      <c r="F1065" s="2"/>
      <c r="G1065" s="2"/>
      <c r="H1065" s="2"/>
      <c r="I1065" s="5"/>
    </row>
    <row r="1066" spans="1:9" ht="17.399999999999999" x14ac:dyDescent="0.25">
      <c r="A1066" s="16"/>
      <c r="B1066" s="17"/>
      <c r="C1066" s="2"/>
      <c r="D1066" s="2"/>
      <c r="E1066" s="2"/>
      <c r="F1066" s="2"/>
      <c r="G1066" s="2"/>
      <c r="H1066" s="2"/>
      <c r="I1066" s="5"/>
    </row>
    <row r="1067" spans="1:9" ht="17.399999999999999" x14ac:dyDescent="0.25">
      <c r="A1067" s="16"/>
      <c r="B1067" s="17"/>
      <c r="C1067" s="2"/>
      <c r="D1067" s="2"/>
      <c r="E1067" s="2"/>
      <c r="F1067" s="2"/>
      <c r="G1067" s="2"/>
      <c r="H1067" s="2"/>
      <c r="I1067" s="5"/>
    </row>
    <row r="1068" spans="1:9" ht="17.399999999999999" x14ac:dyDescent="0.25">
      <c r="A1068" s="16"/>
      <c r="B1068" s="17"/>
      <c r="C1068" s="2"/>
      <c r="D1068" s="2"/>
      <c r="E1068" s="2"/>
      <c r="F1068" s="2"/>
      <c r="G1068" s="2"/>
      <c r="H1068" s="2"/>
      <c r="I1068" s="5"/>
    </row>
    <row r="1069" spans="1:9" ht="17.399999999999999" x14ac:dyDescent="0.25">
      <c r="A1069" s="16"/>
      <c r="B1069" s="17"/>
      <c r="C1069" s="2"/>
      <c r="D1069" s="2"/>
      <c r="E1069" s="2"/>
      <c r="F1069" s="2"/>
      <c r="G1069" s="2"/>
      <c r="H1069" s="2"/>
      <c r="I1069" s="5"/>
    </row>
    <row r="1070" spans="1:9" ht="17.399999999999999" x14ac:dyDescent="0.25">
      <c r="A1070" s="16"/>
      <c r="B1070" s="17"/>
      <c r="C1070" s="2"/>
      <c r="D1070" s="2"/>
      <c r="E1070" s="2"/>
      <c r="F1070" s="2"/>
      <c r="G1070" s="2"/>
      <c r="H1070" s="2"/>
      <c r="I1070" s="5"/>
    </row>
    <row r="1071" spans="1:9" ht="17.399999999999999" x14ac:dyDescent="0.25">
      <c r="A1071" s="16"/>
      <c r="B1071" s="17"/>
      <c r="C1071" s="2"/>
      <c r="D1071" s="2"/>
      <c r="E1071" s="2"/>
      <c r="F1071" s="2"/>
      <c r="G1071" s="2"/>
      <c r="H1071" s="2"/>
      <c r="I1071" s="5"/>
    </row>
    <row r="1072" spans="1:9" ht="17.399999999999999" x14ac:dyDescent="0.25">
      <c r="A1072" s="16"/>
      <c r="B1072" s="17"/>
      <c r="C1072" s="2"/>
      <c r="D1072" s="2"/>
      <c r="E1072" s="2"/>
      <c r="F1072" s="2"/>
      <c r="G1072" s="2"/>
      <c r="H1072" s="2"/>
      <c r="I1072" s="5"/>
    </row>
    <row r="1073" spans="1:9" ht="17.399999999999999" x14ac:dyDescent="0.25">
      <c r="A1073" s="16"/>
      <c r="B1073" s="17"/>
      <c r="C1073" s="2"/>
      <c r="D1073" s="2"/>
      <c r="E1073" s="2"/>
      <c r="F1073" s="2"/>
      <c r="G1073" s="2"/>
      <c r="H1073" s="2"/>
      <c r="I1073" s="5"/>
    </row>
    <row r="1074" spans="1:9" ht="17.399999999999999" x14ac:dyDescent="0.25">
      <c r="A1074" s="16"/>
      <c r="B1074" s="17"/>
      <c r="C1074" s="2"/>
      <c r="D1074" s="2"/>
      <c r="E1074" s="2"/>
      <c r="F1074" s="2"/>
      <c r="G1074" s="2"/>
      <c r="H1074" s="2"/>
      <c r="I1074" s="5"/>
    </row>
    <row r="1075" spans="1:9" ht="17.399999999999999" x14ac:dyDescent="0.25">
      <c r="A1075" s="16"/>
      <c r="B1075" s="17"/>
      <c r="C1075" s="2"/>
      <c r="D1075" s="2"/>
      <c r="E1075" s="2"/>
      <c r="F1075" s="2"/>
      <c r="G1075" s="2"/>
      <c r="H1075" s="2"/>
      <c r="I1075" s="5"/>
    </row>
    <row r="1076" spans="1:9" ht="17.399999999999999" x14ac:dyDescent="0.25">
      <c r="A1076" s="16"/>
      <c r="B1076" s="17"/>
      <c r="C1076" s="2"/>
      <c r="D1076" s="2"/>
      <c r="E1076" s="2"/>
      <c r="F1076" s="2"/>
      <c r="G1076" s="2"/>
      <c r="H1076" s="2"/>
      <c r="I1076" s="5"/>
    </row>
    <row r="1077" spans="1:9" ht="17.399999999999999" x14ac:dyDescent="0.25">
      <c r="A1077" s="16"/>
      <c r="B1077" s="17"/>
      <c r="C1077" s="2"/>
      <c r="D1077" s="2"/>
      <c r="E1077" s="2"/>
      <c r="F1077" s="2"/>
      <c r="G1077" s="2"/>
      <c r="H1077" s="2"/>
      <c r="I1077" s="5"/>
    </row>
    <row r="1078" spans="1:9" ht="17.399999999999999" x14ac:dyDescent="0.25">
      <c r="A1078" s="16"/>
      <c r="B1078" s="17"/>
      <c r="C1078" s="2"/>
      <c r="D1078" s="2"/>
      <c r="E1078" s="2"/>
      <c r="F1078" s="2"/>
      <c r="G1078" s="2"/>
      <c r="H1078" s="2"/>
      <c r="I1078" s="5"/>
    </row>
    <row r="1079" spans="1:9" ht="17.399999999999999" x14ac:dyDescent="0.25">
      <c r="A1079" s="16"/>
      <c r="B1079" s="17"/>
      <c r="C1079" s="2"/>
      <c r="D1079" s="2"/>
      <c r="E1079" s="2"/>
      <c r="F1079" s="2"/>
      <c r="G1079" s="2"/>
      <c r="H1079" s="2"/>
      <c r="I1079" s="5"/>
    </row>
    <row r="1080" spans="1:9" ht="17.399999999999999" x14ac:dyDescent="0.25">
      <c r="A1080" s="16"/>
      <c r="B1080" s="17"/>
      <c r="C1080" s="2"/>
      <c r="D1080" s="2"/>
      <c r="E1080" s="2"/>
      <c r="F1080" s="2"/>
      <c r="G1080" s="2"/>
      <c r="H1080" s="2"/>
      <c r="I1080" s="5"/>
    </row>
    <row r="1081" spans="1:9" ht="17.399999999999999" x14ac:dyDescent="0.25">
      <c r="A1081" s="16"/>
      <c r="B1081" s="17"/>
      <c r="C1081" s="2"/>
      <c r="D1081" s="2"/>
      <c r="E1081" s="2"/>
      <c r="F1081" s="2"/>
      <c r="G1081" s="2"/>
      <c r="H1081" s="2"/>
      <c r="I1081" s="5"/>
    </row>
    <row r="1082" spans="1:9" ht="17.399999999999999" x14ac:dyDescent="0.25">
      <c r="A1082" s="16"/>
      <c r="B1082" s="17"/>
      <c r="C1082" s="2"/>
      <c r="D1082" s="2"/>
      <c r="E1082" s="2"/>
      <c r="F1082" s="2"/>
      <c r="G1082" s="2"/>
      <c r="H1082" s="2"/>
      <c r="I1082" s="5"/>
    </row>
    <row r="1083" spans="1:9" ht="17.399999999999999" x14ac:dyDescent="0.25">
      <c r="A1083" s="16"/>
      <c r="B1083" s="17"/>
      <c r="C1083" s="2"/>
      <c r="D1083" s="2"/>
      <c r="E1083" s="2"/>
      <c r="F1083" s="2"/>
      <c r="G1083" s="2"/>
      <c r="H1083" s="2"/>
      <c r="I1083" s="5"/>
    </row>
    <row r="1084" spans="1:9" ht="17.399999999999999" x14ac:dyDescent="0.25">
      <c r="A1084" s="16"/>
      <c r="B1084" s="17"/>
      <c r="C1084" s="2"/>
      <c r="D1084" s="2"/>
      <c r="E1084" s="2"/>
      <c r="F1084" s="2"/>
      <c r="G1084" s="2"/>
      <c r="H1084" s="2"/>
      <c r="I1084" s="5"/>
    </row>
    <row r="1085" spans="1:9" ht="17.399999999999999" x14ac:dyDescent="0.25">
      <c r="A1085" s="16"/>
      <c r="B1085" s="17"/>
      <c r="C1085" s="2"/>
      <c r="D1085" s="2"/>
      <c r="E1085" s="2"/>
      <c r="F1085" s="2"/>
      <c r="G1085" s="2"/>
      <c r="H1085" s="2"/>
      <c r="I1085" s="5"/>
    </row>
    <row r="1086" spans="1:9" ht="17.399999999999999" x14ac:dyDescent="0.25">
      <c r="A1086" s="16"/>
      <c r="B1086" s="17"/>
      <c r="C1086" s="2"/>
      <c r="D1086" s="2"/>
      <c r="E1086" s="2"/>
      <c r="F1086" s="2"/>
      <c r="G1086" s="2"/>
      <c r="H1086" s="2"/>
      <c r="I1086" s="5"/>
    </row>
    <row r="1087" spans="1:9" ht="17.399999999999999" x14ac:dyDescent="0.25">
      <c r="A1087" s="16"/>
      <c r="B1087" s="17"/>
      <c r="C1087" s="2"/>
      <c r="D1087" s="2"/>
      <c r="E1087" s="2"/>
      <c r="F1087" s="2"/>
      <c r="G1087" s="2"/>
      <c r="H1087" s="2"/>
      <c r="I1087" s="5"/>
    </row>
    <row r="1088" spans="1:9" ht="17.399999999999999" x14ac:dyDescent="0.25">
      <c r="A1088" s="16"/>
      <c r="B1088" s="17"/>
      <c r="C1088" s="2"/>
      <c r="D1088" s="2"/>
      <c r="E1088" s="2"/>
      <c r="F1088" s="2"/>
      <c r="G1088" s="2"/>
      <c r="H1088" s="2"/>
      <c r="I1088" s="5"/>
    </row>
    <row r="1089" spans="1:9" ht="17.399999999999999" x14ac:dyDescent="0.25">
      <c r="A1089" s="16"/>
      <c r="B1089" s="17"/>
      <c r="C1089" s="2"/>
      <c r="D1089" s="2"/>
      <c r="E1089" s="2"/>
      <c r="F1089" s="2"/>
      <c r="G1089" s="2"/>
      <c r="H1089" s="2"/>
      <c r="I1089" s="5"/>
    </row>
    <row r="1090" spans="1:9" ht="17.399999999999999" x14ac:dyDescent="0.25">
      <c r="A1090" s="16"/>
      <c r="B1090" s="17"/>
      <c r="C1090" s="2"/>
      <c r="D1090" s="2"/>
      <c r="E1090" s="2"/>
      <c r="F1090" s="2"/>
      <c r="G1090" s="2"/>
      <c r="H1090" s="2"/>
      <c r="I1090" s="5"/>
    </row>
    <row r="1091" spans="1:9" ht="17.399999999999999" x14ac:dyDescent="0.25">
      <c r="A1091" s="16"/>
      <c r="B1091" s="17"/>
      <c r="C1091" s="2"/>
      <c r="D1091" s="2"/>
      <c r="E1091" s="2"/>
      <c r="F1091" s="2"/>
      <c r="G1091" s="2"/>
      <c r="H1091" s="2"/>
      <c r="I1091" s="5"/>
    </row>
    <row r="1092" spans="1:9" ht="17.399999999999999" x14ac:dyDescent="0.25">
      <c r="A1092" s="16"/>
      <c r="B1092" s="17"/>
      <c r="C1092" s="2"/>
      <c r="D1092" s="2"/>
      <c r="E1092" s="2"/>
      <c r="F1092" s="2"/>
      <c r="G1092" s="2"/>
      <c r="H1092" s="2"/>
      <c r="I1092" s="5"/>
    </row>
    <row r="1093" spans="1:9" ht="17.399999999999999" x14ac:dyDescent="0.25">
      <c r="A1093" s="16"/>
      <c r="B1093" s="17"/>
      <c r="C1093" s="2"/>
      <c r="D1093" s="2"/>
      <c r="E1093" s="2"/>
      <c r="F1093" s="2"/>
      <c r="G1093" s="2"/>
      <c r="H1093" s="2"/>
      <c r="I1093" s="5"/>
    </row>
    <row r="1094" spans="1:9" ht="17.399999999999999" x14ac:dyDescent="0.25">
      <c r="A1094" s="16"/>
      <c r="B1094" s="17"/>
      <c r="C1094" s="2"/>
      <c r="D1094" s="2"/>
      <c r="E1094" s="2"/>
      <c r="F1094" s="2"/>
      <c r="G1094" s="2"/>
      <c r="H1094" s="2"/>
      <c r="I1094" s="5"/>
    </row>
    <row r="1095" spans="1:9" ht="17.399999999999999" x14ac:dyDescent="0.25">
      <c r="A1095" s="16"/>
      <c r="B1095" s="17"/>
      <c r="C1095" s="2"/>
      <c r="D1095" s="2"/>
      <c r="E1095" s="2"/>
      <c r="F1095" s="2"/>
      <c r="G1095" s="2"/>
      <c r="H1095" s="2"/>
      <c r="I1095" s="5"/>
    </row>
    <row r="1096" spans="1:9" ht="17.399999999999999" x14ac:dyDescent="0.25">
      <c r="A1096" s="16"/>
      <c r="B1096" s="17"/>
      <c r="C1096" s="2"/>
      <c r="D1096" s="2"/>
      <c r="E1096" s="2"/>
      <c r="F1096" s="2"/>
      <c r="G1096" s="2"/>
      <c r="H1096" s="2"/>
      <c r="I1096" s="5"/>
    </row>
    <row r="1097" spans="1:9" ht="17.399999999999999" x14ac:dyDescent="0.25">
      <c r="A1097" s="16"/>
      <c r="B1097" s="17"/>
      <c r="C1097" s="2"/>
      <c r="D1097" s="2"/>
      <c r="E1097" s="2"/>
      <c r="F1097" s="2"/>
      <c r="G1097" s="2"/>
      <c r="H1097" s="2"/>
      <c r="I1097" s="5"/>
    </row>
    <row r="1098" spans="1:9" ht="17.399999999999999" x14ac:dyDescent="0.25">
      <c r="A1098" s="16"/>
      <c r="B1098" s="17"/>
      <c r="C1098" s="2"/>
      <c r="D1098" s="2"/>
      <c r="E1098" s="2"/>
      <c r="F1098" s="2"/>
      <c r="G1098" s="2"/>
      <c r="H1098" s="2"/>
      <c r="I1098" s="5"/>
    </row>
    <row r="1099" spans="1:9" ht="17.399999999999999" x14ac:dyDescent="0.25">
      <c r="A1099" s="16"/>
      <c r="B1099" s="17"/>
      <c r="C1099" s="2"/>
      <c r="D1099" s="2"/>
      <c r="E1099" s="2"/>
      <c r="F1099" s="2"/>
      <c r="G1099" s="2"/>
      <c r="H1099" s="2"/>
      <c r="I1099" s="5"/>
    </row>
    <row r="1100" spans="1:9" ht="17.399999999999999" x14ac:dyDescent="0.25">
      <c r="A1100" s="16"/>
      <c r="B1100" s="17"/>
      <c r="C1100" s="2"/>
      <c r="D1100" s="2"/>
      <c r="E1100" s="2"/>
      <c r="F1100" s="2"/>
      <c r="G1100" s="2"/>
      <c r="H1100" s="2"/>
      <c r="I1100" s="5"/>
    </row>
    <row r="1101" spans="1:9" ht="17.399999999999999" x14ac:dyDescent="0.25">
      <c r="A1101" s="16"/>
      <c r="B1101" s="17"/>
      <c r="C1101" s="2"/>
      <c r="D1101" s="2"/>
      <c r="E1101" s="2"/>
      <c r="F1101" s="2"/>
      <c r="G1101" s="2"/>
      <c r="H1101" s="2"/>
      <c r="I1101" s="5"/>
    </row>
    <row r="1102" spans="1:9" ht="17.399999999999999" x14ac:dyDescent="0.25">
      <c r="A1102" s="16"/>
      <c r="B1102" s="17"/>
      <c r="C1102" s="2"/>
      <c r="D1102" s="2"/>
      <c r="E1102" s="2"/>
      <c r="F1102" s="2"/>
      <c r="G1102" s="2"/>
      <c r="H1102" s="2"/>
      <c r="I1102" s="5"/>
    </row>
    <row r="1103" spans="1:9" ht="17.399999999999999" x14ac:dyDescent="0.25">
      <c r="A1103" s="16"/>
      <c r="B1103" s="17"/>
      <c r="C1103" s="2"/>
      <c r="D1103" s="2"/>
      <c r="E1103" s="2"/>
      <c r="F1103" s="2"/>
      <c r="G1103" s="2"/>
      <c r="H1103" s="2"/>
      <c r="I1103" s="5"/>
    </row>
    <row r="1104" spans="1:9" ht="17.399999999999999" x14ac:dyDescent="0.25">
      <c r="A1104" s="16"/>
      <c r="B1104" s="17"/>
      <c r="C1104" s="2"/>
      <c r="D1104" s="2"/>
      <c r="E1104" s="2"/>
      <c r="F1104" s="2"/>
      <c r="G1104" s="2"/>
      <c r="H1104" s="2"/>
      <c r="I1104" s="5"/>
    </row>
    <row r="1105" spans="1:9" ht="17.399999999999999" x14ac:dyDescent="0.25">
      <c r="A1105" s="16"/>
      <c r="B1105" s="17"/>
      <c r="C1105" s="2"/>
      <c r="D1105" s="2"/>
      <c r="E1105" s="2"/>
      <c r="F1105" s="2"/>
      <c r="G1105" s="2"/>
      <c r="H1105" s="2"/>
      <c r="I1105" s="5"/>
    </row>
    <row r="1106" spans="1:9" ht="17.399999999999999" x14ac:dyDescent="0.25">
      <c r="A1106" s="16"/>
      <c r="B1106" s="17"/>
      <c r="C1106" s="2"/>
      <c r="D1106" s="2"/>
      <c r="E1106" s="2"/>
      <c r="F1106" s="2"/>
      <c r="G1106" s="2"/>
      <c r="H1106" s="2"/>
      <c r="I1106" s="5"/>
    </row>
    <row r="1107" spans="1:9" ht="17.399999999999999" x14ac:dyDescent="0.25">
      <c r="A1107" s="16"/>
      <c r="B1107" s="17"/>
      <c r="C1107" s="2"/>
      <c r="D1107" s="2"/>
      <c r="E1107" s="2"/>
      <c r="F1107" s="2"/>
      <c r="G1107" s="2"/>
      <c r="H1107" s="2"/>
      <c r="I1107" s="5"/>
    </row>
    <row r="1108" spans="1:9" ht="17.399999999999999" x14ac:dyDescent="0.25">
      <c r="A1108" s="16"/>
      <c r="B1108" s="17"/>
      <c r="C1108" s="2"/>
      <c r="D1108" s="2"/>
      <c r="E1108" s="2"/>
      <c r="F1108" s="2"/>
      <c r="G1108" s="2"/>
      <c r="H1108" s="2"/>
      <c r="I1108" s="5"/>
    </row>
    <row r="1109" spans="1:9" ht="17.399999999999999" x14ac:dyDescent="0.25">
      <c r="A1109" s="16"/>
      <c r="B1109" s="17"/>
      <c r="C1109" s="2"/>
      <c r="D1109" s="2"/>
      <c r="E1109" s="2"/>
      <c r="F1109" s="2"/>
      <c r="G1109" s="2"/>
      <c r="H1109" s="2"/>
      <c r="I1109" s="5"/>
    </row>
    <row r="1110" spans="1:9" ht="17.399999999999999" x14ac:dyDescent="0.25">
      <c r="A1110" s="16"/>
      <c r="B1110" s="17"/>
      <c r="C1110" s="2"/>
      <c r="D1110" s="2"/>
      <c r="E1110" s="2"/>
      <c r="F1110" s="2"/>
      <c r="G1110" s="2"/>
      <c r="H1110" s="2"/>
      <c r="I1110" s="5"/>
    </row>
    <row r="1111" spans="1:9" ht="17.399999999999999" x14ac:dyDescent="0.25">
      <c r="A1111" s="16"/>
      <c r="B1111" s="17"/>
      <c r="C1111" s="2"/>
      <c r="D1111" s="2"/>
      <c r="E1111" s="2"/>
      <c r="F1111" s="2"/>
      <c r="G1111" s="2"/>
      <c r="H1111" s="2"/>
      <c r="I1111" s="5"/>
    </row>
    <row r="1112" spans="1:9" ht="17.399999999999999" x14ac:dyDescent="0.25">
      <c r="A1112" s="16"/>
      <c r="B1112" s="17"/>
      <c r="C1112" s="2"/>
      <c r="D1112" s="2"/>
      <c r="E1112" s="2"/>
      <c r="F1112" s="2"/>
      <c r="G1112" s="2"/>
      <c r="H1112" s="2"/>
      <c r="I1112" s="5"/>
    </row>
    <row r="1113" spans="1:9" ht="17.399999999999999" x14ac:dyDescent="0.25">
      <c r="A1113" s="16"/>
      <c r="B1113" s="17"/>
      <c r="C1113" s="2"/>
      <c r="D1113" s="2"/>
      <c r="E1113" s="2"/>
      <c r="F1113" s="2"/>
      <c r="G1113" s="2"/>
      <c r="H1113" s="2"/>
      <c r="I1113" s="5"/>
    </row>
    <row r="1114" spans="1:9" ht="17.399999999999999" x14ac:dyDescent="0.25">
      <c r="A1114" s="16"/>
      <c r="B1114" s="17"/>
      <c r="C1114" s="2"/>
      <c r="D1114" s="2"/>
      <c r="E1114" s="2"/>
      <c r="F1114" s="2"/>
      <c r="G1114" s="2"/>
      <c r="H1114" s="2"/>
      <c r="I1114" s="5"/>
    </row>
    <row r="1115" spans="1:9" ht="17.399999999999999" x14ac:dyDescent="0.25">
      <c r="A1115" s="16"/>
      <c r="B1115" s="17"/>
      <c r="C1115" s="2"/>
      <c r="D1115" s="2"/>
      <c r="E1115" s="2"/>
      <c r="F1115" s="2"/>
      <c r="G1115" s="2"/>
      <c r="H1115" s="2"/>
      <c r="I1115" s="5"/>
    </row>
    <row r="1116" spans="1:9" ht="17.399999999999999" x14ac:dyDescent="0.25">
      <c r="A1116" s="16"/>
      <c r="B1116" s="17"/>
      <c r="C1116" s="2"/>
      <c r="D1116" s="2"/>
      <c r="E1116" s="2"/>
      <c r="F1116" s="2"/>
      <c r="G1116" s="2"/>
      <c r="H1116" s="2"/>
      <c r="I1116" s="5"/>
    </row>
    <row r="1117" spans="1:9" ht="17.399999999999999" x14ac:dyDescent="0.25">
      <c r="A1117" s="16"/>
      <c r="B1117" s="17"/>
      <c r="C1117" s="2"/>
      <c r="D1117" s="2"/>
      <c r="E1117" s="2"/>
      <c r="F1117" s="2"/>
      <c r="G1117" s="2"/>
      <c r="H1117" s="2"/>
      <c r="I1117" s="5"/>
    </row>
    <row r="1118" spans="1:9" ht="17.399999999999999" x14ac:dyDescent="0.25">
      <c r="A1118" s="16"/>
      <c r="B1118" s="17"/>
      <c r="C1118" s="2"/>
      <c r="D1118" s="2"/>
      <c r="E1118" s="2"/>
      <c r="F1118" s="2"/>
      <c r="G1118" s="2"/>
      <c r="H1118" s="2"/>
      <c r="I1118" s="5"/>
    </row>
    <row r="1119" spans="1:9" ht="17.399999999999999" x14ac:dyDescent="0.25">
      <c r="A1119" s="16"/>
      <c r="B1119" s="17"/>
      <c r="C1119" s="2"/>
      <c r="D1119" s="2"/>
      <c r="E1119" s="2"/>
      <c r="F1119" s="2"/>
      <c r="G1119" s="2"/>
      <c r="H1119" s="2"/>
      <c r="I1119" s="5"/>
    </row>
    <row r="1120" spans="1:9" ht="17.399999999999999" x14ac:dyDescent="0.25">
      <c r="A1120" s="16"/>
      <c r="B1120" s="17"/>
      <c r="C1120" s="2"/>
      <c r="D1120" s="2"/>
      <c r="E1120" s="2"/>
      <c r="F1120" s="2"/>
      <c r="G1120" s="2"/>
      <c r="H1120" s="2"/>
      <c r="I1120" s="5"/>
    </row>
    <row r="1121" spans="1:9" ht="17.399999999999999" x14ac:dyDescent="0.25">
      <c r="A1121" s="16"/>
      <c r="B1121" s="17"/>
      <c r="C1121" s="2"/>
      <c r="D1121" s="2"/>
      <c r="E1121" s="2"/>
      <c r="F1121" s="2"/>
      <c r="G1121" s="2"/>
      <c r="H1121" s="2"/>
      <c r="I1121" s="5"/>
    </row>
    <row r="1122" spans="1:9" ht="17.399999999999999" x14ac:dyDescent="0.25">
      <c r="A1122" s="16"/>
      <c r="B1122" s="17"/>
      <c r="C1122" s="2"/>
      <c r="D1122" s="2"/>
      <c r="E1122" s="2"/>
      <c r="F1122" s="2"/>
      <c r="G1122" s="2"/>
      <c r="H1122" s="2"/>
      <c r="I1122" s="5"/>
    </row>
    <row r="1123" spans="1:9" ht="17.399999999999999" x14ac:dyDescent="0.25">
      <c r="A1123" s="16"/>
      <c r="B1123" s="17"/>
      <c r="C1123" s="2"/>
      <c r="D1123" s="2"/>
      <c r="E1123" s="2"/>
      <c r="F1123" s="2"/>
      <c r="G1123" s="2"/>
      <c r="H1123" s="2"/>
      <c r="I1123" s="5"/>
    </row>
    <row r="1124" spans="1:9" ht="17.399999999999999" x14ac:dyDescent="0.25">
      <c r="A1124" s="16"/>
      <c r="B1124" s="17"/>
      <c r="C1124" s="2"/>
      <c r="D1124" s="2"/>
      <c r="E1124" s="2"/>
      <c r="F1124" s="2"/>
      <c r="G1124" s="2"/>
      <c r="H1124" s="2"/>
      <c r="I1124" s="5"/>
    </row>
    <row r="1125" spans="1:9" ht="17.399999999999999" x14ac:dyDescent="0.25">
      <c r="A1125" s="16"/>
      <c r="B1125" s="17"/>
      <c r="C1125" s="2"/>
      <c r="D1125" s="2"/>
      <c r="E1125" s="2"/>
      <c r="F1125" s="2"/>
      <c r="G1125" s="2"/>
      <c r="H1125" s="2"/>
      <c r="I1125" s="5"/>
    </row>
    <row r="1126" spans="1:9" ht="17.399999999999999" x14ac:dyDescent="0.25">
      <c r="A1126" s="16"/>
      <c r="B1126" s="17"/>
      <c r="C1126" s="2"/>
      <c r="D1126" s="2"/>
      <c r="E1126" s="2"/>
      <c r="F1126" s="2"/>
      <c r="G1126" s="2"/>
      <c r="H1126" s="2"/>
      <c r="I1126" s="5"/>
    </row>
    <row r="1127" spans="1:9" ht="17.399999999999999" x14ac:dyDescent="0.25">
      <c r="A1127" s="16"/>
      <c r="B1127" s="17"/>
      <c r="C1127" s="2"/>
      <c r="D1127" s="2"/>
      <c r="E1127" s="2"/>
      <c r="F1127" s="2"/>
      <c r="G1127" s="2"/>
      <c r="H1127" s="2"/>
      <c r="I1127" s="5"/>
    </row>
    <row r="1128" spans="1:9" ht="17.399999999999999" x14ac:dyDescent="0.25">
      <c r="A1128" s="16"/>
      <c r="B1128" s="17"/>
      <c r="C1128" s="2"/>
      <c r="D1128" s="2"/>
      <c r="E1128" s="2"/>
      <c r="F1128" s="2"/>
      <c r="G1128" s="2"/>
      <c r="H1128" s="2"/>
      <c r="I1128" s="5"/>
    </row>
    <row r="1129" spans="1:9" ht="17.399999999999999" x14ac:dyDescent="0.25">
      <c r="A1129" s="16"/>
      <c r="B1129" s="17"/>
      <c r="C1129" s="2"/>
      <c r="D1129" s="2"/>
      <c r="E1129" s="2"/>
      <c r="F1129" s="2"/>
      <c r="G1129" s="2"/>
      <c r="H1129" s="2"/>
      <c r="I1129" s="5"/>
    </row>
    <row r="1130" spans="1:9" ht="17.399999999999999" x14ac:dyDescent="0.25">
      <c r="A1130" s="16"/>
      <c r="B1130" s="17"/>
      <c r="C1130" s="2"/>
      <c r="D1130" s="2"/>
      <c r="E1130" s="2"/>
      <c r="F1130" s="2"/>
      <c r="G1130" s="2"/>
      <c r="H1130" s="2"/>
      <c r="I1130" s="5"/>
    </row>
    <row r="1131" spans="1:9" ht="17.399999999999999" x14ac:dyDescent="0.25">
      <c r="A1131" s="16"/>
      <c r="B1131" s="17"/>
      <c r="C1131" s="2"/>
      <c r="D1131" s="2"/>
      <c r="E1131" s="2"/>
      <c r="F1131" s="2"/>
      <c r="G1131" s="2"/>
      <c r="H1131" s="2"/>
      <c r="I1131" s="5"/>
    </row>
    <row r="1132" spans="1:9" ht="17.399999999999999" x14ac:dyDescent="0.25">
      <c r="A1132" s="16"/>
      <c r="B1132" s="17"/>
      <c r="C1132" s="2"/>
      <c r="D1132" s="2"/>
      <c r="E1132" s="2"/>
      <c r="F1132" s="2"/>
      <c r="G1132" s="2"/>
      <c r="H1132" s="2"/>
      <c r="I1132" s="5"/>
    </row>
    <row r="1133" spans="1:9" ht="17.399999999999999" x14ac:dyDescent="0.25">
      <c r="A1133" s="16"/>
      <c r="B1133" s="17"/>
      <c r="C1133" s="2"/>
      <c r="D1133" s="2"/>
      <c r="E1133" s="2"/>
      <c r="F1133" s="2"/>
      <c r="G1133" s="2"/>
      <c r="H1133" s="2"/>
      <c r="I1133" s="5"/>
    </row>
    <row r="1134" spans="1:9" ht="17.399999999999999" x14ac:dyDescent="0.25">
      <c r="A1134" s="16"/>
      <c r="B1134" s="17"/>
      <c r="C1134" s="2"/>
      <c r="D1134" s="2"/>
      <c r="E1134" s="2"/>
      <c r="F1134" s="2"/>
      <c r="G1134" s="2"/>
      <c r="H1134" s="2"/>
      <c r="I1134" s="5"/>
    </row>
    <row r="1135" spans="1:9" ht="17.399999999999999" x14ac:dyDescent="0.25">
      <c r="A1135" s="16"/>
      <c r="B1135" s="17"/>
      <c r="C1135" s="2"/>
      <c r="D1135" s="2"/>
      <c r="E1135" s="2"/>
      <c r="F1135" s="2"/>
      <c r="G1135" s="2"/>
      <c r="H1135" s="2"/>
      <c r="I1135" s="5"/>
    </row>
    <row r="1136" spans="1:9" ht="17.399999999999999" x14ac:dyDescent="0.25">
      <c r="A1136" s="16"/>
      <c r="B1136" s="17"/>
      <c r="C1136" s="2"/>
      <c r="D1136" s="2"/>
      <c r="E1136" s="2"/>
      <c r="F1136" s="2"/>
      <c r="G1136" s="2"/>
      <c r="H1136" s="2"/>
      <c r="I1136" s="5"/>
    </row>
    <row r="1137" spans="1:9" ht="17.399999999999999" x14ac:dyDescent="0.25">
      <c r="A1137" s="16"/>
      <c r="B1137" s="17"/>
      <c r="C1137" s="2"/>
      <c r="D1137" s="2"/>
      <c r="E1137" s="2"/>
      <c r="F1137" s="2"/>
      <c r="G1137" s="2"/>
      <c r="H1137" s="2"/>
      <c r="I1137" s="5"/>
    </row>
    <row r="1138" spans="1:9" ht="17.399999999999999" x14ac:dyDescent="0.25">
      <c r="A1138" s="16"/>
      <c r="B1138" s="17"/>
      <c r="C1138" s="2"/>
      <c r="D1138" s="2"/>
      <c r="E1138" s="2"/>
      <c r="F1138" s="2"/>
      <c r="G1138" s="2"/>
      <c r="H1138" s="2"/>
      <c r="I1138" s="5"/>
    </row>
    <row r="1139" spans="1:9" ht="17.399999999999999" x14ac:dyDescent="0.25">
      <c r="A1139" s="16"/>
      <c r="B1139" s="17"/>
      <c r="C1139" s="2"/>
      <c r="D1139" s="2"/>
      <c r="E1139" s="2"/>
      <c r="F1139" s="2"/>
      <c r="G1139" s="2"/>
      <c r="H1139" s="2"/>
      <c r="I1139" s="5"/>
    </row>
    <row r="1140" spans="1:9" ht="17.399999999999999" x14ac:dyDescent="0.25">
      <c r="A1140" s="16"/>
      <c r="B1140" s="17"/>
      <c r="C1140" s="2"/>
      <c r="D1140" s="2"/>
      <c r="E1140" s="2"/>
      <c r="F1140" s="2"/>
      <c r="G1140" s="2"/>
      <c r="H1140" s="2"/>
      <c r="I1140" s="5"/>
    </row>
    <row r="1141" spans="1:9" ht="17.399999999999999" x14ac:dyDescent="0.25">
      <c r="A1141" s="16"/>
      <c r="B1141" s="17"/>
      <c r="C1141" s="2"/>
      <c r="D1141" s="2"/>
      <c r="E1141" s="2"/>
      <c r="F1141" s="2"/>
      <c r="G1141" s="2"/>
      <c r="H1141" s="2"/>
      <c r="I1141" s="5"/>
    </row>
    <row r="1142" spans="1:9" ht="17.399999999999999" x14ac:dyDescent="0.25">
      <c r="A1142" s="16"/>
      <c r="B1142" s="17"/>
      <c r="C1142" s="2"/>
      <c r="D1142" s="2"/>
      <c r="E1142" s="2"/>
      <c r="F1142" s="2"/>
      <c r="G1142" s="2"/>
      <c r="H1142" s="2"/>
      <c r="I1142" s="5"/>
    </row>
    <row r="1143" spans="1:9" ht="17.399999999999999" x14ac:dyDescent="0.25">
      <c r="A1143" s="16"/>
      <c r="B1143" s="17"/>
      <c r="C1143" s="2"/>
      <c r="D1143" s="2"/>
      <c r="E1143" s="2"/>
      <c r="F1143" s="2"/>
      <c r="G1143" s="2"/>
      <c r="H1143" s="2"/>
      <c r="I1143" s="5"/>
    </row>
    <row r="1144" spans="1:9" ht="17.399999999999999" x14ac:dyDescent="0.25">
      <c r="A1144" s="16"/>
      <c r="B1144" s="17"/>
      <c r="C1144" s="2"/>
      <c r="D1144" s="2"/>
      <c r="E1144" s="2"/>
      <c r="F1144" s="2"/>
      <c r="G1144" s="2"/>
      <c r="H1144" s="2"/>
      <c r="I1144" s="5"/>
    </row>
    <row r="1145" spans="1:9" ht="17.399999999999999" x14ac:dyDescent="0.25">
      <c r="A1145" s="16"/>
      <c r="B1145" s="17"/>
      <c r="C1145" s="2"/>
      <c r="D1145" s="2"/>
      <c r="E1145" s="2"/>
      <c r="F1145" s="2"/>
      <c r="G1145" s="2"/>
      <c r="H1145" s="2"/>
      <c r="I1145" s="5"/>
    </row>
    <row r="1146" spans="1:9" ht="17.399999999999999" x14ac:dyDescent="0.25">
      <c r="A1146" s="16"/>
      <c r="B1146" s="17"/>
      <c r="C1146" s="2"/>
      <c r="D1146" s="2"/>
      <c r="E1146" s="2"/>
      <c r="F1146" s="2"/>
      <c r="G1146" s="2"/>
      <c r="H1146" s="2"/>
      <c r="I1146" s="5"/>
    </row>
    <row r="1147" spans="1:9" ht="17.399999999999999" x14ac:dyDescent="0.25">
      <c r="A1147" s="16"/>
      <c r="B1147" s="17"/>
      <c r="C1147" s="2"/>
      <c r="D1147" s="2"/>
      <c r="E1147" s="2"/>
      <c r="F1147" s="2"/>
      <c r="G1147" s="2"/>
      <c r="H1147" s="2"/>
      <c r="I1147" s="5"/>
    </row>
    <row r="1148" spans="1:9" ht="17.399999999999999" x14ac:dyDescent="0.25">
      <c r="A1148" s="16"/>
      <c r="B1148" s="17"/>
      <c r="C1148" s="2"/>
      <c r="D1148" s="2"/>
      <c r="E1148" s="2"/>
      <c r="F1148" s="2"/>
      <c r="G1148" s="2"/>
      <c r="H1148" s="2"/>
      <c r="I1148" s="5"/>
    </row>
    <row r="1149" spans="1:9" ht="17.399999999999999" x14ac:dyDescent="0.25">
      <c r="A1149" s="16"/>
      <c r="B1149" s="17"/>
      <c r="C1149" s="2"/>
      <c r="D1149" s="2"/>
      <c r="E1149" s="2"/>
      <c r="F1149" s="2"/>
      <c r="G1149" s="2"/>
      <c r="H1149" s="2"/>
      <c r="I1149" s="5"/>
    </row>
    <row r="1150" spans="1:9" ht="17.399999999999999" x14ac:dyDescent="0.25">
      <c r="A1150" s="16"/>
      <c r="B1150" s="17"/>
      <c r="C1150" s="2"/>
      <c r="D1150" s="2"/>
      <c r="E1150" s="2"/>
      <c r="F1150" s="2"/>
      <c r="G1150" s="2"/>
      <c r="H1150" s="2"/>
      <c r="I1150" s="5"/>
    </row>
    <row r="1151" spans="1:9" ht="17.399999999999999" x14ac:dyDescent="0.25">
      <c r="A1151" s="16"/>
      <c r="B1151" s="17"/>
      <c r="C1151" s="2"/>
      <c r="D1151" s="2"/>
      <c r="E1151" s="2"/>
      <c r="F1151" s="2"/>
      <c r="G1151" s="2"/>
      <c r="H1151" s="2"/>
      <c r="I1151" s="5"/>
    </row>
    <row r="1152" spans="1:9" ht="17.399999999999999" x14ac:dyDescent="0.25">
      <c r="A1152" s="16"/>
      <c r="B1152" s="17"/>
      <c r="C1152" s="2"/>
      <c r="D1152" s="2"/>
      <c r="E1152" s="2"/>
      <c r="F1152" s="2"/>
      <c r="G1152" s="2"/>
      <c r="H1152" s="2"/>
      <c r="I1152" s="5"/>
    </row>
    <row r="1153" spans="1:9" ht="17.399999999999999" x14ac:dyDescent="0.25">
      <c r="A1153" s="16"/>
      <c r="B1153" s="17"/>
      <c r="C1153" s="2"/>
      <c r="D1153" s="2"/>
      <c r="E1153" s="2"/>
      <c r="F1153" s="2"/>
      <c r="G1153" s="2"/>
      <c r="H1153" s="2"/>
      <c r="I1153" s="5"/>
    </row>
    <row r="1154" spans="1:9" ht="17.399999999999999" x14ac:dyDescent="0.25">
      <c r="A1154" s="16"/>
      <c r="B1154" s="17"/>
      <c r="C1154" s="2"/>
      <c r="D1154" s="2"/>
      <c r="E1154" s="2"/>
      <c r="F1154" s="2"/>
      <c r="G1154" s="2"/>
      <c r="H1154" s="2"/>
      <c r="I1154" s="5"/>
    </row>
    <row r="1155" spans="1:9" ht="17.399999999999999" x14ac:dyDescent="0.25">
      <c r="A1155" s="16"/>
      <c r="B1155" s="17"/>
      <c r="C1155" s="2"/>
      <c r="D1155" s="2"/>
      <c r="E1155" s="2"/>
      <c r="F1155" s="2"/>
      <c r="G1155" s="2"/>
      <c r="H1155" s="2"/>
      <c r="I1155" s="5"/>
    </row>
    <row r="1156" spans="1:9" ht="17.399999999999999" x14ac:dyDescent="0.25">
      <c r="A1156" s="16"/>
      <c r="B1156" s="17"/>
      <c r="C1156" s="2"/>
      <c r="D1156" s="2"/>
      <c r="E1156" s="2"/>
      <c r="F1156" s="2"/>
      <c r="G1156" s="2"/>
      <c r="H1156" s="2"/>
      <c r="I1156" s="5"/>
    </row>
    <row r="1157" spans="1:9" ht="17.399999999999999" x14ac:dyDescent="0.25">
      <c r="A1157" s="16"/>
      <c r="B1157" s="17"/>
      <c r="C1157" s="2"/>
      <c r="D1157" s="2"/>
      <c r="E1157" s="2"/>
      <c r="F1157" s="2"/>
      <c r="G1157" s="2"/>
      <c r="H1157" s="2"/>
      <c r="I1157" s="5"/>
    </row>
    <row r="1158" spans="1:9" ht="17.399999999999999" x14ac:dyDescent="0.25">
      <c r="A1158" s="16"/>
      <c r="B1158" s="17"/>
      <c r="C1158" s="2"/>
      <c r="D1158" s="2"/>
      <c r="E1158" s="2"/>
      <c r="F1158" s="2"/>
      <c r="G1158" s="2"/>
      <c r="H1158" s="2"/>
      <c r="I1158" s="5"/>
    </row>
    <row r="1159" spans="1:9" ht="17.399999999999999" x14ac:dyDescent="0.25">
      <c r="A1159" s="16"/>
      <c r="B1159" s="17"/>
      <c r="C1159" s="2"/>
      <c r="D1159" s="2"/>
      <c r="E1159" s="2"/>
      <c r="F1159" s="2"/>
      <c r="G1159" s="2"/>
      <c r="H1159" s="2"/>
      <c r="I1159" s="5"/>
    </row>
    <row r="1160" spans="1:9" ht="17.399999999999999" x14ac:dyDescent="0.25">
      <c r="A1160" s="16"/>
      <c r="B1160" s="17"/>
      <c r="C1160" s="2"/>
      <c r="D1160" s="2"/>
      <c r="E1160" s="2"/>
      <c r="F1160" s="2"/>
      <c r="G1160" s="2"/>
      <c r="H1160" s="2"/>
      <c r="I1160" s="5"/>
    </row>
    <row r="1161" spans="1:9" ht="17.399999999999999" x14ac:dyDescent="0.25">
      <c r="A1161" s="16"/>
      <c r="B1161" s="17"/>
      <c r="C1161" s="2"/>
      <c r="D1161" s="2"/>
      <c r="E1161" s="2"/>
      <c r="F1161" s="2"/>
      <c r="G1161" s="2"/>
      <c r="H1161" s="2"/>
      <c r="I1161" s="5"/>
    </row>
    <row r="1162" spans="1:9" ht="17.399999999999999" x14ac:dyDescent="0.25">
      <c r="A1162" s="16"/>
      <c r="B1162" s="17"/>
      <c r="C1162" s="2"/>
      <c r="D1162" s="2"/>
      <c r="E1162" s="2"/>
      <c r="F1162" s="2"/>
      <c r="G1162" s="2"/>
      <c r="H1162" s="2"/>
      <c r="I1162" s="5"/>
    </row>
    <row r="1163" spans="1:9" ht="17.399999999999999" x14ac:dyDescent="0.25">
      <c r="A1163" s="16"/>
      <c r="B1163" s="17"/>
      <c r="C1163" s="2"/>
      <c r="D1163" s="2"/>
      <c r="E1163" s="2"/>
      <c r="F1163" s="2"/>
      <c r="G1163" s="2"/>
      <c r="H1163" s="2"/>
      <c r="I1163" s="5"/>
    </row>
    <row r="1164" spans="1:9" ht="17.399999999999999" x14ac:dyDescent="0.25">
      <c r="A1164" s="16"/>
      <c r="B1164" s="17"/>
      <c r="C1164" s="2"/>
      <c r="D1164" s="2"/>
      <c r="E1164" s="2"/>
      <c r="F1164" s="2"/>
      <c r="G1164" s="2"/>
      <c r="H1164" s="2"/>
      <c r="I1164" s="5"/>
    </row>
    <row r="1165" spans="1:9" ht="17.399999999999999" x14ac:dyDescent="0.25">
      <c r="A1165" s="16"/>
      <c r="B1165" s="17"/>
      <c r="C1165" s="2"/>
      <c r="D1165" s="2"/>
      <c r="E1165" s="2"/>
      <c r="F1165" s="2"/>
      <c r="G1165" s="2"/>
      <c r="H1165" s="2"/>
      <c r="I1165" s="5"/>
    </row>
    <row r="1166" spans="1:9" ht="17.399999999999999" x14ac:dyDescent="0.25">
      <c r="A1166" s="16"/>
      <c r="B1166" s="17"/>
      <c r="C1166" s="2"/>
      <c r="D1166" s="2"/>
      <c r="E1166" s="2"/>
      <c r="F1166" s="2"/>
      <c r="G1166" s="2"/>
      <c r="H1166" s="2"/>
      <c r="I1166" s="5"/>
    </row>
    <row r="1167" spans="1:9" ht="17.399999999999999" x14ac:dyDescent="0.25">
      <c r="A1167" s="16"/>
      <c r="B1167" s="17"/>
      <c r="C1167" s="2"/>
      <c r="D1167" s="2"/>
      <c r="E1167" s="2"/>
      <c r="F1167" s="2"/>
      <c r="G1167" s="2"/>
      <c r="H1167" s="2"/>
      <c r="I1167" s="5"/>
    </row>
    <row r="1168" spans="1:9" ht="17.399999999999999" x14ac:dyDescent="0.25">
      <c r="A1168" s="16"/>
      <c r="B1168" s="17"/>
      <c r="C1168" s="2"/>
      <c r="D1168" s="2"/>
      <c r="E1168" s="2"/>
      <c r="F1168" s="2"/>
      <c r="G1168" s="2"/>
      <c r="H1168" s="2"/>
      <c r="I1168" s="5"/>
    </row>
    <row r="1169" spans="1:9" ht="17.399999999999999" x14ac:dyDescent="0.25">
      <c r="A1169" s="16"/>
      <c r="B1169" s="17"/>
      <c r="C1169" s="2"/>
      <c r="D1169" s="2"/>
      <c r="E1169" s="2"/>
      <c r="F1169" s="2"/>
      <c r="G1169" s="2"/>
      <c r="H1169" s="2"/>
      <c r="I1169" s="5"/>
    </row>
    <row r="1170" spans="1:9" ht="17.399999999999999" x14ac:dyDescent="0.25">
      <c r="A1170" s="16"/>
      <c r="B1170" s="17"/>
      <c r="C1170" s="2"/>
      <c r="D1170" s="2"/>
      <c r="E1170" s="2"/>
      <c r="F1170" s="2"/>
      <c r="G1170" s="2"/>
      <c r="H1170" s="2"/>
      <c r="I1170" s="5"/>
    </row>
    <row r="1171" spans="1:9" ht="17.399999999999999" x14ac:dyDescent="0.25">
      <c r="A1171" s="16"/>
      <c r="B1171" s="17"/>
      <c r="C1171" s="2"/>
      <c r="D1171" s="2"/>
      <c r="E1171" s="2"/>
      <c r="F1171" s="2"/>
      <c r="G1171" s="2"/>
      <c r="H1171" s="2"/>
      <c r="I1171" s="5"/>
    </row>
    <row r="1172" spans="1:9" ht="17.399999999999999" x14ac:dyDescent="0.25">
      <c r="A1172" s="16"/>
      <c r="B1172" s="17"/>
      <c r="C1172" s="2"/>
      <c r="D1172" s="2"/>
      <c r="E1172" s="2"/>
      <c r="F1172" s="2"/>
      <c r="G1172" s="2"/>
      <c r="H1172" s="2"/>
      <c r="I1172" s="5"/>
    </row>
    <row r="1173" spans="1:9" ht="17.399999999999999" x14ac:dyDescent="0.25">
      <c r="A1173" s="16"/>
      <c r="B1173" s="17"/>
      <c r="C1173" s="2"/>
      <c r="D1173" s="2"/>
      <c r="E1173" s="2"/>
      <c r="F1173" s="2"/>
      <c r="G1173" s="2"/>
      <c r="H1173" s="2"/>
      <c r="I1173" s="5"/>
    </row>
    <row r="1174" spans="1:9" ht="17.399999999999999" x14ac:dyDescent="0.25">
      <c r="A1174" s="16"/>
      <c r="B1174" s="17"/>
      <c r="C1174" s="2"/>
      <c r="D1174" s="2"/>
      <c r="E1174" s="2"/>
      <c r="F1174" s="2"/>
      <c r="G1174" s="2"/>
      <c r="H1174" s="2"/>
      <c r="I1174" s="5"/>
    </row>
    <row r="1175" spans="1:9" ht="17.399999999999999" x14ac:dyDescent="0.25">
      <c r="A1175" s="16"/>
      <c r="B1175" s="17"/>
      <c r="C1175" s="2"/>
      <c r="D1175" s="2"/>
      <c r="E1175" s="2"/>
      <c r="F1175" s="2"/>
      <c r="G1175" s="2"/>
      <c r="H1175" s="2"/>
      <c r="I1175" s="5"/>
    </row>
    <row r="1176" spans="1:9" ht="17.399999999999999" x14ac:dyDescent="0.25">
      <c r="A1176" s="16"/>
      <c r="B1176" s="17"/>
      <c r="C1176" s="2"/>
      <c r="D1176" s="2"/>
      <c r="E1176" s="2"/>
      <c r="F1176" s="2"/>
      <c r="G1176" s="2"/>
      <c r="H1176" s="2"/>
      <c r="I1176" s="5"/>
    </row>
    <row r="1177" spans="1:9" ht="17.399999999999999" x14ac:dyDescent="0.25">
      <c r="A1177" s="16"/>
      <c r="B1177" s="17"/>
      <c r="C1177" s="2"/>
      <c r="D1177" s="2"/>
      <c r="E1177" s="2"/>
      <c r="F1177" s="2"/>
      <c r="G1177" s="2"/>
      <c r="H1177" s="2"/>
      <c r="I1177" s="5"/>
    </row>
    <row r="1178" spans="1:9" ht="17.399999999999999" x14ac:dyDescent="0.25">
      <c r="A1178" s="16"/>
      <c r="B1178" s="17"/>
      <c r="C1178" s="2"/>
      <c r="D1178" s="2"/>
      <c r="E1178" s="2"/>
      <c r="F1178" s="2"/>
      <c r="G1178" s="2"/>
      <c r="H1178" s="2"/>
      <c r="I1178" s="5"/>
    </row>
    <row r="1179" spans="1:9" ht="17.399999999999999" x14ac:dyDescent="0.25">
      <c r="A1179" s="16"/>
      <c r="B1179" s="17"/>
      <c r="C1179" s="2"/>
      <c r="D1179" s="2"/>
      <c r="E1179" s="2"/>
      <c r="F1179" s="2"/>
      <c r="G1179" s="2"/>
      <c r="H1179" s="2"/>
      <c r="I1179" s="5"/>
    </row>
    <row r="1180" spans="1:9" ht="17.399999999999999" x14ac:dyDescent="0.25">
      <c r="A1180" s="16"/>
      <c r="B1180" s="17"/>
      <c r="C1180" s="2"/>
      <c r="D1180" s="2"/>
      <c r="E1180" s="2"/>
      <c r="F1180" s="2"/>
      <c r="G1180" s="2"/>
      <c r="H1180" s="2"/>
      <c r="I1180" s="5"/>
    </row>
    <row r="1181" spans="1:9" ht="17.399999999999999" x14ac:dyDescent="0.25">
      <c r="A1181" s="16"/>
      <c r="B1181" s="17"/>
      <c r="C1181" s="2"/>
      <c r="D1181" s="2"/>
      <c r="E1181" s="2"/>
      <c r="F1181" s="2"/>
      <c r="G1181" s="2"/>
      <c r="H1181" s="2"/>
      <c r="I1181" s="5"/>
    </row>
    <row r="1182" spans="1:9" ht="17.399999999999999" x14ac:dyDescent="0.25">
      <c r="A1182" s="16"/>
      <c r="B1182" s="17"/>
      <c r="C1182" s="2"/>
      <c r="D1182" s="2"/>
      <c r="E1182" s="2"/>
      <c r="F1182" s="2"/>
      <c r="G1182" s="2"/>
      <c r="H1182" s="2"/>
      <c r="I1182" s="5"/>
    </row>
    <row r="1183" spans="1:9" ht="17.399999999999999" x14ac:dyDescent="0.25">
      <c r="A1183" s="16"/>
      <c r="B1183" s="17"/>
      <c r="C1183" s="2"/>
      <c r="D1183" s="2"/>
      <c r="E1183" s="2"/>
      <c r="F1183" s="2"/>
      <c r="G1183" s="2"/>
      <c r="H1183" s="2"/>
      <c r="I1183" s="5"/>
    </row>
    <row r="1184" spans="1:9" ht="17.399999999999999" x14ac:dyDescent="0.25">
      <c r="A1184" s="16"/>
      <c r="B1184" s="17"/>
      <c r="C1184" s="2"/>
      <c r="D1184" s="2"/>
      <c r="E1184" s="2"/>
      <c r="F1184" s="2"/>
      <c r="G1184" s="2"/>
      <c r="H1184" s="2"/>
      <c r="I1184" s="5"/>
    </row>
    <row r="1185" spans="1:9" ht="17.399999999999999" x14ac:dyDescent="0.25">
      <c r="A1185" s="16"/>
      <c r="B1185" s="17"/>
      <c r="C1185" s="2"/>
      <c r="D1185" s="2"/>
      <c r="E1185" s="2"/>
      <c r="F1185" s="2"/>
      <c r="G1185" s="2"/>
      <c r="H1185" s="2"/>
      <c r="I1185" s="5"/>
    </row>
    <row r="1186" spans="1:9" ht="17.399999999999999" x14ac:dyDescent="0.25">
      <c r="A1186" s="16"/>
      <c r="B1186" s="17"/>
      <c r="C1186" s="2"/>
      <c r="D1186" s="2"/>
      <c r="E1186" s="2"/>
      <c r="F1186" s="2"/>
      <c r="G1186" s="2"/>
      <c r="H1186" s="2"/>
      <c r="I1186" s="5"/>
    </row>
    <row r="1187" spans="1:9" ht="17.399999999999999" x14ac:dyDescent="0.25">
      <c r="A1187" s="16"/>
      <c r="B1187" s="17"/>
      <c r="C1187" s="2"/>
      <c r="D1187" s="2"/>
      <c r="E1187" s="2"/>
      <c r="F1187" s="2"/>
      <c r="G1187" s="2"/>
      <c r="H1187" s="2"/>
      <c r="I1187" s="5"/>
    </row>
    <row r="1188" spans="1:9" ht="17.399999999999999" x14ac:dyDescent="0.25">
      <c r="A1188" s="16"/>
      <c r="B1188" s="17"/>
      <c r="C1188" s="2"/>
      <c r="D1188" s="2"/>
      <c r="E1188" s="2"/>
      <c r="F1188" s="2"/>
      <c r="G1188" s="2"/>
      <c r="H1188" s="2"/>
      <c r="I1188" s="5"/>
    </row>
    <row r="1189" spans="1:9" ht="17.399999999999999" x14ac:dyDescent="0.25">
      <c r="A1189" s="16"/>
      <c r="B1189" s="17"/>
      <c r="C1189" s="2"/>
      <c r="D1189" s="2"/>
      <c r="E1189" s="2"/>
      <c r="F1189" s="2"/>
      <c r="G1189" s="2"/>
      <c r="H1189" s="2"/>
      <c r="I1189" s="5"/>
    </row>
    <row r="1190" spans="1:9" ht="17.399999999999999" x14ac:dyDescent="0.25">
      <c r="A1190" s="16"/>
      <c r="B1190" s="17"/>
      <c r="C1190" s="2"/>
      <c r="D1190" s="2"/>
      <c r="E1190" s="2"/>
      <c r="F1190" s="2"/>
      <c r="G1190" s="2"/>
      <c r="H1190" s="2"/>
      <c r="I1190" s="5"/>
    </row>
    <row r="1191" spans="1:9" ht="17.399999999999999" x14ac:dyDescent="0.25">
      <c r="A1191" s="16"/>
      <c r="B1191" s="17"/>
      <c r="C1191" s="2"/>
      <c r="D1191" s="2"/>
      <c r="E1191" s="2"/>
      <c r="F1191" s="2"/>
      <c r="G1191" s="2"/>
      <c r="H1191" s="2"/>
      <c r="I1191" s="5"/>
    </row>
    <row r="1192" spans="1:9" ht="17.399999999999999" x14ac:dyDescent="0.25">
      <c r="A1192" s="16"/>
      <c r="B1192" s="17"/>
      <c r="C1192" s="2"/>
      <c r="D1192" s="2"/>
      <c r="E1192" s="2"/>
      <c r="F1192" s="2"/>
      <c r="G1192" s="2"/>
      <c r="H1192" s="2"/>
      <c r="I1192" s="5"/>
    </row>
    <row r="1193" spans="1:9" ht="17.399999999999999" x14ac:dyDescent="0.25">
      <c r="A1193" s="16"/>
      <c r="B1193" s="17"/>
      <c r="C1193" s="2"/>
      <c r="D1193" s="2"/>
      <c r="E1193" s="2"/>
      <c r="F1193" s="2"/>
      <c r="G1193" s="2"/>
      <c r="H1193" s="2"/>
      <c r="I1193" s="5"/>
    </row>
    <row r="1194" spans="1:9" ht="17.399999999999999" x14ac:dyDescent="0.25">
      <c r="A1194" s="16"/>
      <c r="B1194" s="17"/>
      <c r="C1194" s="2"/>
      <c r="D1194" s="2"/>
      <c r="E1194" s="2"/>
      <c r="F1194" s="2"/>
      <c r="G1194" s="2"/>
      <c r="H1194" s="2"/>
      <c r="I1194" s="5"/>
    </row>
    <row r="1195" spans="1:9" ht="17.399999999999999" x14ac:dyDescent="0.25">
      <c r="A1195" s="16"/>
      <c r="B1195" s="17"/>
      <c r="C1195" s="2"/>
      <c r="D1195" s="2"/>
      <c r="E1195" s="2"/>
      <c r="F1195" s="2"/>
      <c r="G1195" s="2"/>
      <c r="H1195" s="2"/>
      <c r="I1195" s="5"/>
    </row>
    <row r="1196" spans="1:9" ht="17.399999999999999" x14ac:dyDescent="0.25">
      <c r="A1196" s="16"/>
      <c r="B1196" s="17"/>
      <c r="C1196" s="2"/>
      <c r="D1196" s="2"/>
      <c r="E1196" s="2"/>
      <c r="F1196" s="2"/>
      <c r="G1196" s="2"/>
      <c r="H1196" s="2"/>
      <c r="I1196" s="5"/>
    </row>
    <row r="1197" spans="1:9" ht="17.399999999999999" x14ac:dyDescent="0.25">
      <c r="A1197" s="16"/>
      <c r="B1197" s="17"/>
      <c r="C1197" s="2"/>
      <c r="D1197" s="2"/>
      <c r="E1197" s="2"/>
      <c r="F1197" s="2"/>
      <c r="G1197" s="2"/>
      <c r="H1197" s="2"/>
      <c r="I1197" s="5"/>
    </row>
    <row r="1198" spans="1:9" ht="17.399999999999999" x14ac:dyDescent="0.25">
      <c r="A1198" s="16"/>
      <c r="B1198" s="17"/>
      <c r="C1198" s="2"/>
      <c r="D1198" s="2"/>
      <c r="E1198" s="2"/>
      <c r="F1198" s="2"/>
      <c r="G1198" s="2"/>
      <c r="H1198" s="2"/>
      <c r="I1198" s="5"/>
    </row>
    <row r="1199" spans="1:9" ht="17.399999999999999" x14ac:dyDescent="0.25">
      <c r="A1199" s="16"/>
      <c r="B1199" s="17"/>
      <c r="C1199" s="2"/>
      <c r="D1199" s="2"/>
      <c r="E1199" s="2"/>
      <c r="F1199" s="2"/>
      <c r="G1199" s="2"/>
      <c r="H1199" s="2"/>
      <c r="I1199" s="5"/>
    </row>
    <row r="1200" spans="1:9" ht="17.399999999999999" x14ac:dyDescent="0.25">
      <c r="A1200" s="16"/>
      <c r="B1200" s="17"/>
      <c r="C1200" s="2"/>
      <c r="D1200" s="2"/>
      <c r="E1200" s="2"/>
      <c r="F1200" s="2"/>
      <c r="G1200" s="2"/>
      <c r="H1200" s="2"/>
      <c r="I1200" s="5"/>
    </row>
    <row r="1201" spans="1:9" ht="17.399999999999999" x14ac:dyDescent="0.25">
      <c r="A1201" s="16"/>
      <c r="B1201" s="17"/>
      <c r="C1201" s="2"/>
      <c r="D1201" s="2"/>
      <c r="E1201" s="2"/>
      <c r="F1201" s="2"/>
      <c r="G1201" s="2"/>
      <c r="H1201" s="2"/>
      <c r="I1201" s="5"/>
    </row>
    <row r="1202" spans="1:9" ht="17.399999999999999" x14ac:dyDescent="0.25">
      <c r="A1202" s="16"/>
      <c r="B1202" s="17"/>
      <c r="C1202" s="2"/>
      <c r="D1202" s="2"/>
      <c r="E1202" s="2"/>
      <c r="F1202" s="2"/>
      <c r="G1202" s="2"/>
      <c r="H1202" s="2"/>
      <c r="I1202" s="5"/>
    </row>
    <row r="1203" spans="1:9" ht="17.399999999999999" x14ac:dyDescent="0.25">
      <c r="A1203" s="16"/>
      <c r="B1203" s="17"/>
      <c r="C1203" s="2"/>
      <c r="D1203" s="2"/>
      <c r="E1203" s="2"/>
      <c r="F1203" s="2"/>
      <c r="G1203" s="2"/>
      <c r="H1203" s="2"/>
      <c r="I1203" s="5"/>
    </row>
    <row r="1204" spans="1:9" ht="17.399999999999999" x14ac:dyDescent="0.25">
      <c r="A1204" s="16"/>
      <c r="B1204" s="17"/>
      <c r="C1204" s="2"/>
      <c r="D1204" s="2"/>
      <c r="E1204" s="2"/>
      <c r="F1204" s="2"/>
      <c r="G1204" s="2"/>
      <c r="H1204" s="2"/>
      <c r="I1204" s="5"/>
    </row>
    <row r="1205" spans="1:9" ht="17.399999999999999" x14ac:dyDescent="0.25">
      <c r="A1205" s="16"/>
      <c r="B1205" s="17"/>
      <c r="C1205" s="2"/>
      <c r="D1205" s="2"/>
      <c r="E1205" s="2"/>
      <c r="F1205" s="2"/>
      <c r="G1205" s="2"/>
      <c r="H1205" s="2"/>
      <c r="I1205" s="5"/>
    </row>
    <row r="1206" spans="1:9" ht="17.399999999999999" x14ac:dyDescent="0.25">
      <c r="A1206" s="16"/>
      <c r="B1206" s="17"/>
      <c r="C1206" s="2"/>
      <c r="D1206" s="2"/>
      <c r="E1206" s="2"/>
      <c r="F1206" s="2"/>
      <c r="G1206" s="2"/>
      <c r="H1206" s="2"/>
      <c r="I1206" s="5"/>
    </row>
    <row r="1207" spans="1:9" ht="17.399999999999999" x14ac:dyDescent="0.25">
      <c r="A1207" s="16"/>
      <c r="B1207" s="17"/>
      <c r="C1207" s="2"/>
      <c r="D1207" s="2"/>
      <c r="E1207" s="2"/>
      <c r="F1207" s="2"/>
      <c r="G1207" s="2"/>
      <c r="H1207" s="2"/>
      <c r="I1207" s="5"/>
    </row>
    <row r="1208" spans="1:9" ht="17.399999999999999" x14ac:dyDescent="0.25">
      <c r="A1208" s="16"/>
      <c r="B1208" s="17"/>
      <c r="C1208" s="2"/>
      <c r="D1208" s="2"/>
      <c r="E1208" s="2"/>
      <c r="F1208" s="2"/>
      <c r="G1208" s="2"/>
      <c r="H1208" s="2"/>
      <c r="I1208" s="5"/>
    </row>
    <row r="1209" spans="1:9" ht="17.399999999999999" x14ac:dyDescent="0.25">
      <c r="A1209" s="16"/>
      <c r="B1209" s="17"/>
      <c r="C1209" s="2"/>
      <c r="D1209" s="2"/>
      <c r="E1209" s="2"/>
      <c r="F1209" s="2"/>
      <c r="G1209" s="2"/>
      <c r="H1209" s="2"/>
      <c r="I1209" s="5"/>
    </row>
    <row r="1210" spans="1:9" ht="17.399999999999999" x14ac:dyDescent="0.25">
      <c r="A1210" s="16"/>
      <c r="B1210" s="17"/>
      <c r="C1210" s="2"/>
      <c r="D1210" s="2"/>
      <c r="E1210" s="2"/>
      <c r="F1210" s="2"/>
      <c r="G1210" s="2"/>
      <c r="H1210" s="2"/>
      <c r="I1210" s="5"/>
    </row>
    <row r="1211" spans="1:9" ht="17.399999999999999" x14ac:dyDescent="0.25">
      <c r="A1211" s="16"/>
      <c r="B1211" s="17"/>
      <c r="C1211" s="2"/>
      <c r="D1211" s="2"/>
      <c r="E1211" s="2"/>
      <c r="F1211" s="2"/>
      <c r="G1211" s="2"/>
      <c r="H1211" s="2"/>
      <c r="I1211" s="5"/>
    </row>
    <row r="1212" spans="1:9" ht="17.399999999999999" x14ac:dyDescent="0.25">
      <c r="A1212" s="16"/>
      <c r="B1212" s="17"/>
      <c r="C1212" s="2"/>
      <c r="D1212" s="2"/>
      <c r="E1212" s="2"/>
      <c r="F1212" s="2"/>
      <c r="G1212" s="2"/>
      <c r="H1212" s="2"/>
      <c r="I1212" s="5"/>
    </row>
    <row r="1213" spans="1:9" ht="17.399999999999999" x14ac:dyDescent="0.25">
      <c r="A1213" s="16"/>
      <c r="B1213" s="17"/>
      <c r="C1213" s="2"/>
      <c r="D1213" s="2"/>
      <c r="E1213" s="2"/>
      <c r="F1213" s="2"/>
      <c r="G1213" s="2"/>
      <c r="H1213" s="2"/>
      <c r="I1213" s="5"/>
    </row>
    <row r="1214" spans="1:9" ht="17.399999999999999" x14ac:dyDescent="0.25">
      <c r="A1214" s="16"/>
      <c r="B1214" s="17"/>
      <c r="C1214" s="2"/>
      <c r="D1214" s="2"/>
      <c r="E1214" s="2"/>
      <c r="F1214" s="2"/>
      <c r="G1214" s="2"/>
      <c r="H1214" s="2"/>
      <c r="I1214" s="5"/>
    </row>
    <row r="1215" spans="1:9" ht="17.399999999999999" x14ac:dyDescent="0.25">
      <c r="A1215" s="16"/>
      <c r="B1215" s="17"/>
      <c r="C1215" s="2"/>
      <c r="D1215" s="2"/>
      <c r="E1215" s="2"/>
      <c r="F1215" s="2"/>
      <c r="G1215" s="2"/>
      <c r="H1215" s="2"/>
      <c r="I1215" s="5"/>
    </row>
    <row r="1216" spans="1:9" ht="17.399999999999999" x14ac:dyDescent="0.25">
      <c r="A1216" s="16"/>
      <c r="B1216" s="17"/>
      <c r="C1216" s="2"/>
      <c r="D1216" s="2"/>
      <c r="E1216" s="2"/>
      <c r="F1216" s="2"/>
      <c r="G1216" s="2"/>
      <c r="H1216" s="2"/>
      <c r="I1216" s="5"/>
    </row>
    <row r="1217" spans="1:9" ht="17.399999999999999" x14ac:dyDescent="0.25">
      <c r="A1217" s="16"/>
      <c r="B1217" s="17"/>
      <c r="C1217" s="2"/>
      <c r="D1217" s="2"/>
      <c r="E1217" s="2"/>
      <c r="F1217" s="2"/>
      <c r="G1217" s="2"/>
      <c r="H1217" s="2"/>
      <c r="I1217" s="5"/>
    </row>
    <row r="1218" spans="1:9" ht="17.399999999999999" x14ac:dyDescent="0.25">
      <c r="A1218" s="16"/>
      <c r="B1218" s="17"/>
      <c r="C1218" s="2"/>
      <c r="D1218" s="2"/>
      <c r="E1218" s="2"/>
      <c r="F1218" s="2"/>
      <c r="G1218" s="2"/>
      <c r="H1218" s="2"/>
      <c r="I1218" s="5"/>
    </row>
    <row r="1219" spans="1:9" ht="17.399999999999999" x14ac:dyDescent="0.25">
      <c r="A1219" s="16"/>
      <c r="B1219" s="17"/>
      <c r="C1219" s="2"/>
      <c r="D1219" s="2"/>
      <c r="E1219" s="2"/>
      <c r="F1219" s="2"/>
      <c r="G1219" s="2"/>
      <c r="H1219" s="2"/>
      <c r="I1219" s="5"/>
    </row>
    <row r="1220" spans="1:9" ht="17.399999999999999" x14ac:dyDescent="0.25">
      <c r="A1220" s="16"/>
      <c r="B1220" s="17"/>
      <c r="C1220" s="2"/>
      <c r="D1220" s="2"/>
      <c r="E1220" s="2"/>
      <c r="F1220" s="2"/>
      <c r="G1220" s="2"/>
      <c r="H1220" s="2"/>
      <c r="I1220" s="5"/>
    </row>
    <row r="1221" spans="1:9" ht="17.399999999999999" x14ac:dyDescent="0.25">
      <c r="A1221" s="16"/>
      <c r="B1221" s="17"/>
      <c r="C1221" s="2"/>
      <c r="D1221" s="2"/>
      <c r="E1221" s="2"/>
      <c r="F1221" s="2"/>
      <c r="G1221" s="2"/>
      <c r="H1221" s="2"/>
      <c r="I1221" s="5"/>
    </row>
    <row r="1222" spans="1:9" ht="17.399999999999999" x14ac:dyDescent="0.25">
      <c r="A1222" s="16"/>
      <c r="B1222" s="17"/>
      <c r="C1222" s="2"/>
      <c r="D1222" s="2"/>
      <c r="E1222" s="2"/>
      <c r="F1222" s="2"/>
      <c r="G1222" s="2"/>
      <c r="H1222" s="2"/>
      <c r="I1222" s="5"/>
    </row>
    <row r="1223" spans="1:9" ht="17.399999999999999" x14ac:dyDescent="0.25">
      <c r="A1223" s="16"/>
      <c r="B1223" s="17"/>
      <c r="C1223" s="2"/>
      <c r="D1223" s="2"/>
      <c r="E1223" s="2"/>
      <c r="F1223" s="2"/>
      <c r="G1223" s="2"/>
      <c r="H1223" s="2"/>
      <c r="I1223" s="5"/>
    </row>
    <row r="1224" spans="1:9" ht="17.399999999999999" x14ac:dyDescent="0.25">
      <c r="A1224" s="16"/>
      <c r="B1224" s="17"/>
      <c r="C1224" s="2"/>
      <c r="D1224" s="2"/>
      <c r="E1224" s="2"/>
      <c r="F1224" s="2"/>
      <c r="G1224" s="2"/>
      <c r="H1224" s="2"/>
      <c r="I1224" s="5"/>
    </row>
    <row r="1225" spans="1:9" ht="17.399999999999999" x14ac:dyDescent="0.25">
      <c r="A1225" s="16"/>
      <c r="B1225" s="17"/>
      <c r="C1225" s="2"/>
      <c r="D1225" s="2"/>
      <c r="E1225" s="2"/>
      <c r="F1225" s="2"/>
      <c r="G1225" s="2"/>
      <c r="H1225" s="2"/>
      <c r="I1225" s="5"/>
    </row>
    <row r="1226" spans="1:9" ht="17.399999999999999" x14ac:dyDescent="0.25">
      <c r="A1226" s="16"/>
      <c r="B1226" s="17"/>
      <c r="C1226" s="2"/>
      <c r="D1226" s="2"/>
      <c r="E1226" s="2"/>
      <c r="F1226" s="2"/>
      <c r="G1226" s="2"/>
      <c r="H1226" s="2"/>
      <c r="I1226" s="5"/>
    </row>
    <row r="1227" spans="1:9" ht="17.399999999999999" x14ac:dyDescent="0.25">
      <c r="A1227" s="16"/>
      <c r="B1227" s="17"/>
      <c r="C1227" s="2"/>
      <c r="D1227" s="2"/>
      <c r="E1227" s="2"/>
      <c r="F1227" s="2"/>
      <c r="G1227" s="2"/>
      <c r="H1227" s="2"/>
      <c r="I1227" s="5"/>
    </row>
    <row r="1228" spans="1:9" ht="17.399999999999999" x14ac:dyDescent="0.25">
      <c r="A1228" s="16"/>
      <c r="B1228" s="17"/>
      <c r="C1228" s="2"/>
      <c r="D1228" s="2"/>
      <c r="E1228" s="2"/>
      <c r="F1228" s="2"/>
      <c r="G1228" s="2"/>
      <c r="H1228" s="2"/>
      <c r="I1228" s="5"/>
    </row>
    <row r="1229" spans="1:9" ht="17.399999999999999" x14ac:dyDescent="0.25">
      <c r="A1229" s="16"/>
      <c r="B1229" s="17"/>
      <c r="C1229" s="2"/>
      <c r="D1229" s="2"/>
      <c r="E1229" s="2"/>
      <c r="F1229" s="2"/>
      <c r="G1229" s="2"/>
      <c r="H1229" s="2"/>
      <c r="I1229" s="5"/>
    </row>
    <row r="1230" spans="1:9" ht="17.399999999999999" x14ac:dyDescent="0.25">
      <c r="A1230" s="16"/>
      <c r="B1230" s="17"/>
      <c r="C1230" s="2"/>
      <c r="D1230" s="2"/>
      <c r="E1230" s="2"/>
      <c r="F1230" s="2"/>
      <c r="G1230" s="2"/>
      <c r="H1230" s="2"/>
      <c r="I1230" s="5"/>
    </row>
    <row r="1231" spans="1:9" ht="17.399999999999999" x14ac:dyDescent="0.25">
      <c r="A1231" s="16"/>
      <c r="B1231" s="17"/>
      <c r="C1231" s="2"/>
      <c r="D1231" s="2"/>
      <c r="E1231" s="2"/>
      <c r="F1231" s="2"/>
      <c r="G1231" s="2"/>
      <c r="H1231" s="2"/>
      <c r="I1231" s="5"/>
    </row>
    <row r="1232" spans="1:9" ht="17.399999999999999" x14ac:dyDescent="0.25">
      <c r="A1232" s="16"/>
      <c r="B1232" s="17"/>
      <c r="C1232" s="2"/>
      <c r="D1232" s="2"/>
      <c r="E1232" s="2"/>
      <c r="F1232" s="2"/>
      <c r="G1232" s="2"/>
      <c r="H1232" s="2"/>
      <c r="I1232" s="5"/>
    </row>
    <row r="1233" spans="1:9" ht="17.399999999999999" x14ac:dyDescent="0.25">
      <c r="A1233" s="16"/>
      <c r="B1233" s="17"/>
      <c r="C1233" s="2"/>
      <c r="D1233" s="2"/>
      <c r="E1233" s="2"/>
      <c r="F1233" s="2"/>
      <c r="G1233" s="2"/>
      <c r="H1233" s="2"/>
      <c r="I1233" s="5"/>
    </row>
    <row r="1234" spans="1:9" ht="17.399999999999999" x14ac:dyDescent="0.25">
      <c r="A1234" s="16"/>
      <c r="B1234" s="17"/>
      <c r="C1234" s="2"/>
      <c r="D1234" s="2"/>
      <c r="E1234" s="2"/>
      <c r="F1234" s="2"/>
      <c r="G1234" s="2"/>
      <c r="H1234" s="2"/>
      <c r="I1234" s="5"/>
    </row>
    <row r="1235" spans="1:9" ht="17.399999999999999" x14ac:dyDescent="0.25">
      <c r="A1235" s="16"/>
      <c r="B1235" s="17"/>
      <c r="C1235" s="2"/>
      <c r="D1235" s="2"/>
      <c r="E1235" s="2"/>
      <c r="F1235" s="2"/>
      <c r="G1235" s="2"/>
      <c r="H1235" s="2"/>
      <c r="I1235" s="5"/>
    </row>
    <row r="1236" spans="1:9" ht="17.399999999999999" x14ac:dyDescent="0.25">
      <c r="A1236" s="16"/>
      <c r="B1236" s="17"/>
      <c r="C1236" s="2"/>
      <c r="D1236" s="2"/>
      <c r="E1236" s="2"/>
      <c r="F1236" s="2"/>
      <c r="G1236" s="2"/>
      <c r="H1236" s="2"/>
      <c r="I1236" s="5"/>
    </row>
    <row r="1237" spans="1:9" ht="17.399999999999999" x14ac:dyDescent="0.25">
      <c r="A1237" s="16"/>
      <c r="B1237" s="17"/>
      <c r="C1237" s="2"/>
      <c r="D1237" s="2"/>
      <c r="E1237" s="2"/>
      <c r="F1237" s="2"/>
      <c r="G1237" s="2"/>
      <c r="H1237" s="2"/>
      <c r="I1237" s="5"/>
    </row>
    <row r="1238" spans="1:9" ht="17.399999999999999" x14ac:dyDescent="0.25">
      <c r="A1238" s="16"/>
      <c r="B1238" s="17"/>
      <c r="C1238" s="2"/>
      <c r="D1238" s="2"/>
      <c r="E1238" s="2"/>
      <c r="F1238" s="2"/>
      <c r="G1238" s="2"/>
      <c r="H1238" s="2"/>
      <c r="I1238" s="5"/>
    </row>
    <row r="1239" spans="1:9" ht="17.399999999999999" x14ac:dyDescent="0.25">
      <c r="A1239" s="16"/>
      <c r="B1239" s="17"/>
      <c r="C1239" s="2"/>
      <c r="D1239" s="2"/>
      <c r="E1239" s="2"/>
      <c r="F1239" s="2"/>
      <c r="G1239" s="2"/>
      <c r="H1239" s="2"/>
      <c r="I1239" s="5"/>
    </row>
    <row r="1240" spans="1:9" ht="17.399999999999999" x14ac:dyDescent="0.25">
      <c r="A1240" s="16"/>
      <c r="B1240" s="17"/>
      <c r="C1240" s="2"/>
      <c r="D1240" s="2"/>
      <c r="E1240" s="2"/>
      <c r="F1240" s="2"/>
      <c r="G1240" s="2"/>
      <c r="H1240" s="2"/>
      <c r="I1240" s="5"/>
    </row>
    <row r="1241" spans="1:9" ht="17.399999999999999" x14ac:dyDescent="0.25">
      <c r="A1241" s="16"/>
      <c r="B1241" s="17"/>
      <c r="C1241" s="2"/>
      <c r="D1241" s="2"/>
      <c r="E1241" s="2"/>
      <c r="F1241" s="2"/>
      <c r="G1241" s="2"/>
      <c r="H1241" s="2"/>
      <c r="I1241" s="5"/>
    </row>
    <row r="1242" spans="1:9" ht="17.399999999999999" x14ac:dyDescent="0.25">
      <c r="A1242" s="16"/>
      <c r="B1242" s="17"/>
      <c r="C1242" s="2"/>
      <c r="D1242" s="2"/>
      <c r="E1242" s="2"/>
      <c r="F1242" s="2"/>
      <c r="G1242" s="2"/>
      <c r="H1242" s="2"/>
      <c r="I1242" s="5"/>
    </row>
    <row r="1243" spans="1:9" ht="17.399999999999999" x14ac:dyDescent="0.25">
      <c r="A1243" s="16"/>
      <c r="B1243" s="17"/>
      <c r="C1243" s="2"/>
      <c r="D1243" s="2"/>
      <c r="E1243" s="2"/>
      <c r="F1243" s="2"/>
      <c r="G1243" s="2"/>
      <c r="H1243" s="2"/>
      <c r="I1243" s="5"/>
    </row>
    <row r="1244" spans="1:9" ht="17.399999999999999" x14ac:dyDescent="0.25">
      <c r="A1244" s="16"/>
      <c r="B1244" s="17"/>
      <c r="C1244" s="2"/>
      <c r="D1244" s="2"/>
      <c r="E1244" s="2"/>
      <c r="F1244" s="2"/>
      <c r="G1244" s="2"/>
      <c r="H1244" s="2"/>
      <c r="I1244" s="5"/>
    </row>
    <row r="1245" spans="1:9" ht="17.399999999999999" x14ac:dyDescent="0.25">
      <c r="A1245" s="16"/>
      <c r="B1245" s="17"/>
      <c r="C1245" s="2"/>
      <c r="D1245" s="2"/>
      <c r="E1245" s="2"/>
      <c r="F1245" s="2"/>
      <c r="G1245" s="2"/>
      <c r="H1245" s="2"/>
      <c r="I1245" s="5"/>
    </row>
    <row r="1246" spans="1:9" ht="17.399999999999999" x14ac:dyDescent="0.25">
      <c r="A1246" s="16"/>
      <c r="B1246" s="17"/>
      <c r="C1246" s="2"/>
      <c r="D1246" s="2"/>
      <c r="E1246" s="2"/>
      <c r="F1246" s="2"/>
      <c r="G1246" s="2"/>
      <c r="H1246" s="2"/>
      <c r="I1246" s="5"/>
    </row>
    <row r="1247" spans="1:9" ht="17.399999999999999" x14ac:dyDescent="0.25">
      <c r="A1247" s="16"/>
      <c r="B1247" s="17"/>
      <c r="C1247" s="2"/>
      <c r="D1247" s="2"/>
      <c r="E1247" s="2"/>
      <c r="F1247" s="2"/>
      <c r="G1247" s="2"/>
      <c r="H1247" s="2"/>
      <c r="I1247" s="5"/>
    </row>
    <row r="1248" spans="1:9" ht="17.399999999999999" x14ac:dyDescent="0.25">
      <c r="A1248" s="16"/>
      <c r="B1248" s="17"/>
      <c r="C1248" s="2"/>
      <c r="D1248" s="2"/>
      <c r="E1248" s="2"/>
      <c r="F1248" s="2"/>
      <c r="G1248" s="2"/>
      <c r="H1248" s="2"/>
      <c r="I1248" s="5"/>
    </row>
    <row r="1249" spans="1:9" ht="17.399999999999999" x14ac:dyDescent="0.25">
      <c r="A1249" s="16"/>
      <c r="B1249" s="17"/>
      <c r="C1249" s="2"/>
      <c r="D1249" s="2"/>
      <c r="E1249" s="2"/>
      <c r="F1249" s="2"/>
      <c r="G1249" s="2"/>
      <c r="H1249" s="2"/>
      <c r="I1249" s="5"/>
    </row>
    <row r="1250" spans="1:9" ht="17.399999999999999" x14ac:dyDescent="0.25">
      <c r="A1250" s="16"/>
      <c r="B1250" s="17"/>
      <c r="C1250" s="2"/>
      <c r="D1250" s="2"/>
      <c r="E1250" s="2"/>
      <c r="F1250" s="2"/>
      <c r="G1250" s="2"/>
      <c r="H1250" s="2"/>
      <c r="I1250" s="5"/>
    </row>
    <row r="1251" spans="1:9" ht="17.399999999999999" x14ac:dyDescent="0.25">
      <c r="A1251" s="16"/>
      <c r="B1251" s="17"/>
      <c r="C1251" s="2"/>
      <c r="D1251" s="2"/>
      <c r="E1251" s="2"/>
      <c r="F1251" s="2"/>
      <c r="G1251" s="2"/>
      <c r="H1251" s="2"/>
      <c r="I1251" s="5"/>
    </row>
    <row r="1252" spans="1:9" ht="17.399999999999999" x14ac:dyDescent="0.25">
      <c r="A1252" s="16"/>
      <c r="B1252" s="17"/>
      <c r="C1252" s="2"/>
      <c r="D1252" s="2"/>
      <c r="E1252" s="2"/>
      <c r="F1252" s="2"/>
      <c r="G1252" s="2"/>
      <c r="H1252" s="2"/>
      <c r="I1252" s="5"/>
    </row>
    <row r="1253" spans="1:9" ht="17.399999999999999" x14ac:dyDescent="0.25">
      <c r="A1253" s="16"/>
      <c r="B1253" s="17"/>
      <c r="C1253" s="2"/>
      <c r="D1253" s="2"/>
      <c r="E1253" s="2"/>
      <c r="F1253" s="2"/>
      <c r="G1253" s="2"/>
      <c r="H1253" s="2"/>
      <c r="I1253" s="5"/>
    </row>
    <row r="1254" spans="1:9" ht="17.399999999999999" x14ac:dyDescent="0.25">
      <c r="A1254" s="16"/>
      <c r="B1254" s="17"/>
      <c r="C1254" s="2"/>
      <c r="D1254" s="2"/>
      <c r="E1254" s="2"/>
      <c r="F1254" s="2"/>
      <c r="G1254" s="2"/>
      <c r="H1254" s="2"/>
      <c r="I1254" s="5"/>
    </row>
    <row r="1255" spans="1:9" ht="17.399999999999999" x14ac:dyDescent="0.25">
      <c r="A1255" s="16"/>
      <c r="B1255" s="17"/>
      <c r="C1255" s="2"/>
      <c r="D1255" s="2"/>
      <c r="E1255" s="2"/>
      <c r="F1255" s="2"/>
      <c r="G1255" s="2"/>
      <c r="H1255" s="2"/>
      <c r="I1255" s="5"/>
    </row>
    <row r="1256" spans="1:9" ht="17.399999999999999" x14ac:dyDescent="0.25">
      <c r="A1256" s="16"/>
      <c r="B1256" s="17"/>
      <c r="C1256" s="2"/>
      <c r="D1256" s="2"/>
      <c r="E1256" s="2"/>
      <c r="F1256" s="2"/>
      <c r="G1256" s="2"/>
      <c r="H1256" s="2"/>
      <c r="I1256" s="5"/>
    </row>
    <row r="1257" spans="1:9" ht="17.399999999999999" x14ac:dyDescent="0.25">
      <c r="A1257" s="16"/>
      <c r="B1257" s="17"/>
      <c r="C1257" s="2"/>
      <c r="D1257" s="2"/>
      <c r="E1257" s="2"/>
      <c r="F1257" s="2"/>
      <c r="G1257" s="2"/>
      <c r="H1257" s="2"/>
      <c r="I1257" s="5"/>
    </row>
    <row r="1258" spans="1:9" ht="17.399999999999999" x14ac:dyDescent="0.25">
      <c r="A1258" s="16"/>
      <c r="B1258" s="17"/>
      <c r="C1258" s="2"/>
      <c r="D1258" s="2"/>
      <c r="E1258" s="2"/>
      <c r="F1258" s="2"/>
      <c r="G1258" s="2"/>
      <c r="H1258" s="2"/>
      <c r="I1258" s="5"/>
    </row>
    <row r="1259" spans="1:9" ht="17.399999999999999" x14ac:dyDescent="0.25">
      <c r="A1259" s="16"/>
      <c r="B1259" s="17"/>
      <c r="C1259" s="2"/>
      <c r="D1259" s="2"/>
      <c r="E1259" s="2"/>
      <c r="F1259" s="2"/>
      <c r="G1259" s="2"/>
      <c r="H1259" s="2"/>
      <c r="I1259" s="5"/>
    </row>
    <row r="1260" spans="1:9" ht="17.399999999999999" x14ac:dyDescent="0.25">
      <c r="A1260" s="16"/>
      <c r="B1260" s="17"/>
      <c r="C1260" s="2"/>
      <c r="D1260" s="2"/>
      <c r="E1260" s="2"/>
      <c r="F1260" s="2"/>
      <c r="G1260" s="2"/>
      <c r="H1260" s="2"/>
      <c r="I1260" s="5"/>
    </row>
    <row r="1261" spans="1:9" ht="17.399999999999999" x14ac:dyDescent="0.25">
      <c r="A1261" s="16"/>
      <c r="B1261" s="17"/>
      <c r="C1261" s="2"/>
      <c r="D1261" s="2"/>
      <c r="E1261" s="2"/>
      <c r="F1261" s="2"/>
      <c r="G1261" s="2"/>
      <c r="H1261" s="2"/>
      <c r="I1261" s="5"/>
    </row>
    <row r="1262" spans="1:9" ht="17.399999999999999" x14ac:dyDescent="0.25">
      <c r="A1262" s="16"/>
      <c r="B1262" s="17"/>
      <c r="C1262" s="2"/>
      <c r="D1262" s="2"/>
      <c r="E1262" s="2"/>
      <c r="F1262" s="2"/>
      <c r="G1262" s="2"/>
      <c r="H1262" s="2"/>
      <c r="I1262" s="5"/>
    </row>
    <row r="1263" spans="1:9" ht="17.399999999999999" x14ac:dyDescent="0.25">
      <c r="A1263" s="16"/>
      <c r="B1263" s="17"/>
      <c r="C1263" s="2"/>
      <c r="D1263" s="2"/>
      <c r="E1263" s="2"/>
      <c r="F1263" s="2"/>
      <c r="G1263" s="2"/>
      <c r="H1263" s="2"/>
      <c r="I1263" s="5"/>
    </row>
    <row r="1264" spans="1:9" ht="17.399999999999999" x14ac:dyDescent="0.25">
      <c r="A1264" s="16"/>
      <c r="B1264" s="17"/>
      <c r="C1264" s="2"/>
      <c r="D1264" s="2"/>
      <c r="E1264" s="2"/>
      <c r="F1264" s="2"/>
      <c r="G1264" s="2"/>
      <c r="H1264" s="2"/>
      <c r="I1264" s="5"/>
    </row>
    <row r="1265" spans="1:9" ht="17.399999999999999" x14ac:dyDescent="0.25">
      <c r="A1265" s="16"/>
      <c r="B1265" s="17"/>
      <c r="C1265" s="2"/>
      <c r="D1265" s="2"/>
      <c r="E1265" s="2"/>
      <c r="F1265" s="2"/>
      <c r="G1265" s="2"/>
      <c r="H1265" s="2"/>
      <c r="I1265" s="5"/>
    </row>
    <row r="1266" spans="1:9" ht="17.399999999999999" x14ac:dyDescent="0.25">
      <c r="A1266" s="16"/>
      <c r="B1266" s="17"/>
      <c r="C1266" s="2"/>
      <c r="D1266" s="2"/>
      <c r="E1266" s="2"/>
      <c r="F1266" s="2"/>
      <c r="G1266" s="2"/>
      <c r="H1266" s="2"/>
      <c r="I1266" s="5"/>
    </row>
    <row r="1267" spans="1:9" ht="17.399999999999999" x14ac:dyDescent="0.25">
      <c r="A1267" s="16"/>
      <c r="B1267" s="17"/>
      <c r="C1267" s="2"/>
      <c r="D1267" s="2"/>
      <c r="E1267" s="2"/>
      <c r="F1267" s="2"/>
      <c r="G1267" s="2"/>
      <c r="H1267" s="2"/>
      <c r="I1267" s="5"/>
    </row>
    <row r="1268" spans="1:9" ht="17.399999999999999" x14ac:dyDescent="0.25">
      <c r="A1268" s="16"/>
      <c r="B1268" s="17"/>
      <c r="C1268" s="2"/>
      <c r="D1268" s="2"/>
      <c r="E1268" s="2"/>
      <c r="F1268" s="2"/>
      <c r="G1268" s="2"/>
      <c r="H1268" s="2"/>
      <c r="I1268" s="5"/>
    </row>
    <row r="1269" spans="1:9" ht="17.399999999999999" x14ac:dyDescent="0.25">
      <c r="A1269" s="16"/>
      <c r="B1269" s="17"/>
      <c r="C1269" s="2"/>
      <c r="D1269" s="2"/>
      <c r="E1269" s="2"/>
      <c r="F1269" s="2"/>
      <c r="G1269" s="2"/>
      <c r="H1269" s="2"/>
      <c r="I1269" s="5"/>
    </row>
    <row r="1270" spans="1:9" ht="17.399999999999999" x14ac:dyDescent="0.25">
      <c r="A1270" s="16"/>
      <c r="B1270" s="17"/>
      <c r="C1270" s="2"/>
      <c r="D1270" s="2"/>
      <c r="E1270" s="2"/>
      <c r="F1270" s="2"/>
      <c r="G1270" s="2"/>
      <c r="H1270" s="2"/>
      <c r="I1270" s="5"/>
    </row>
    <row r="1271" spans="1:9" ht="17.399999999999999" x14ac:dyDescent="0.25">
      <c r="A1271" s="16"/>
      <c r="B1271" s="17"/>
      <c r="C1271" s="2"/>
      <c r="D1271" s="2"/>
      <c r="E1271" s="2"/>
      <c r="F1271" s="2"/>
      <c r="G1271" s="2"/>
      <c r="H1271" s="2"/>
      <c r="I1271" s="5"/>
    </row>
    <row r="1272" spans="1:9" ht="17.399999999999999" x14ac:dyDescent="0.25">
      <c r="A1272" s="16"/>
      <c r="B1272" s="17"/>
      <c r="C1272" s="2"/>
      <c r="D1272" s="2"/>
      <c r="E1272" s="2"/>
      <c r="F1272" s="2"/>
      <c r="G1272" s="2"/>
      <c r="H1272" s="2"/>
      <c r="I1272" s="5"/>
    </row>
    <row r="1273" spans="1:9" ht="17.399999999999999" x14ac:dyDescent="0.25">
      <c r="A1273" s="16"/>
      <c r="B1273" s="17"/>
      <c r="C1273" s="2"/>
      <c r="D1273" s="2"/>
      <c r="E1273" s="2"/>
      <c r="F1273" s="2"/>
      <c r="G1273" s="2"/>
      <c r="H1273" s="2"/>
      <c r="I1273" s="5"/>
    </row>
    <row r="1274" spans="1:9" ht="17.399999999999999" x14ac:dyDescent="0.25">
      <c r="A1274" s="16"/>
      <c r="B1274" s="17"/>
      <c r="C1274" s="2"/>
      <c r="D1274" s="2"/>
      <c r="E1274" s="2"/>
      <c r="F1274" s="2"/>
      <c r="G1274" s="2"/>
      <c r="H1274" s="2"/>
      <c r="I1274" s="5"/>
    </row>
    <row r="1275" spans="1:9" ht="17.399999999999999" x14ac:dyDescent="0.25">
      <c r="A1275" s="16"/>
      <c r="B1275" s="17"/>
      <c r="C1275" s="2"/>
      <c r="D1275" s="2"/>
      <c r="E1275" s="2"/>
      <c r="F1275" s="2"/>
      <c r="G1275" s="2"/>
      <c r="H1275" s="2"/>
      <c r="I1275" s="5"/>
    </row>
    <row r="1276" spans="1:9" ht="17.399999999999999" x14ac:dyDescent="0.25">
      <c r="A1276" s="16"/>
      <c r="B1276" s="17"/>
      <c r="C1276" s="2"/>
      <c r="D1276" s="2"/>
      <c r="E1276" s="2"/>
      <c r="F1276" s="2"/>
      <c r="G1276" s="2"/>
      <c r="H1276" s="2"/>
      <c r="I1276" s="5"/>
    </row>
    <row r="1277" spans="1:9" ht="17.399999999999999" x14ac:dyDescent="0.25">
      <c r="A1277" s="16"/>
      <c r="B1277" s="17"/>
      <c r="C1277" s="2"/>
      <c r="D1277" s="2"/>
      <c r="E1277" s="2"/>
      <c r="F1277" s="2"/>
      <c r="G1277" s="2"/>
      <c r="H1277" s="2"/>
      <c r="I1277" s="5"/>
    </row>
    <row r="1278" spans="1:9" ht="17.399999999999999" x14ac:dyDescent="0.25">
      <c r="A1278" s="16"/>
      <c r="B1278" s="17"/>
      <c r="C1278" s="2"/>
      <c r="D1278" s="2"/>
      <c r="E1278" s="2"/>
      <c r="F1278" s="2"/>
      <c r="G1278" s="2"/>
      <c r="H1278" s="2"/>
      <c r="I1278" s="5"/>
    </row>
    <row r="1279" spans="1:9" ht="17.399999999999999" x14ac:dyDescent="0.25">
      <c r="A1279" s="16"/>
      <c r="B1279" s="17"/>
      <c r="C1279" s="2"/>
      <c r="D1279" s="2"/>
      <c r="E1279" s="2"/>
      <c r="F1279" s="2"/>
      <c r="G1279" s="2"/>
      <c r="H1279" s="2"/>
      <c r="I1279" s="5"/>
    </row>
    <row r="1280" spans="1:9" ht="17.399999999999999" x14ac:dyDescent="0.25">
      <c r="A1280" s="16"/>
      <c r="B1280" s="17"/>
      <c r="C1280" s="2"/>
      <c r="D1280" s="2"/>
      <c r="E1280" s="2"/>
      <c r="F1280" s="2"/>
      <c r="G1280" s="2"/>
      <c r="H1280" s="2"/>
      <c r="I1280" s="5"/>
    </row>
    <row r="1281" spans="1:9" ht="17.399999999999999" x14ac:dyDescent="0.25">
      <c r="A1281" s="16"/>
      <c r="B1281" s="17"/>
      <c r="C1281" s="2"/>
      <c r="D1281" s="2"/>
      <c r="E1281" s="2"/>
      <c r="F1281" s="2"/>
      <c r="G1281" s="2"/>
      <c r="H1281" s="2"/>
      <c r="I1281" s="5"/>
    </row>
    <row r="1282" spans="1:9" ht="17.399999999999999" x14ac:dyDescent="0.25">
      <c r="A1282" s="16"/>
      <c r="B1282" s="17"/>
      <c r="C1282" s="2"/>
      <c r="D1282" s="2"/>
      <c r="E1282" s="2"/>
      <c r="F1282" s="2"/>
      <c r="G1282" s="2"/>
      <c r="H1282" s="2"/>
      <c r="I1282" s="5"/>
    </row>
    <row r="1283" spans="1:9" ht="17.399999999999999" x14ac:dyDescent="0.25">
      <c r="A1283" s="16"/>
      <c r="B1283" s="17"/>
      <c r="C1283" s="2"/>
      <c r="D1283" s="2"/>
      <c r="E1283" s="2"/>
      <c r="F1283" s="2"/>
      <c r="G1283" s="2"/>
      <c r="H1283" s="2"/>
      <c r="I1283" s="5"/>
    </row>
    <row r="1284" spans="1:9" ht="17.399999999999999" x14ac:dyDescent="0.25">
      <c r="A1284" s="16"/>
      <c r="B1284" s="17"/>
      <c r="C1284" s="2"/>
      <c r="D1284" s="2"/>
      <c r="E1284" s="2"/>
      <c r="F1284" s="2"/>
      <c r="G1284" s="2"/>
      <c r="H1284" s="2"/>
      <c r="I1284" s="5"/>
    </row>
    <row r="1285" spans="1:9" ht="17.399999999999999" x14ac:dyDescent="0.25">
      <c r="A1285" s="16"/>
      <c r="B1285" s="17"/>
      <c r="C1285" s="2"/>
      <c r="D1285" s="2"/>
      <c r="E1285" s="2"/>
      <c r="F1285" s="2"/>
      <c r="G1285" s="2"/>
      <c r="H1285" s="2"/>
      <c r="I1285" s="5"/>
    </row>
    <row r="1286" spans="1:9" ht="17.399999999999999" x14ac:dyDescent="0.25">
      <c r="A1286" s="16"/>
      <c r="B1286" s="17"/>
      <c r="C1286" s="2"/>
      <c r="D1286" s="2"/>
      <c r="E1286" s="2"/>
      <c r="F1286" s="2"/>
      <c r="G1286" s="2"/>
      <c r="H1286" s="2"/>
      <c r="I1286" s="5"/>
    </row>
    <row r="1287" spans="1:9" ht="17.399999999999999" x14ac:dyDescent="0.25">
      <c r="A1287" s="16"/>
      <c r="B1287" s="17"/>
      <c r="C1287" s="2"/>
      <c r="D1287" s="2"/>
      <c r="E1287" s="2"/>
      <c r="F1287" s="2"/>
      <c r="G1287" s="2"/>
      <c r="H1287" s="2"/>
      <c r="I1287" s="5"/>
    </row>
    <row r="1288" spans="1:9" ht="17.399999999999999" x14ac:dyDescent="0.25">
      <c r="A1288" s="16"/>
      <c r="B1288" s="17"/>
      <c r="C1288" s="2"/>
      <c r="D1288" s="2"/>
      <c r="E1288" s="2"/>
      <c r="F1288" s="2"/>
      <c r="G1288" s="2"/>
      <c r="H1288" s="2"/>
      <c r="I1288" s="5"/>
    </row>
    <row r="1289" spans="1:9" ht="17.399999999999999" x14ac:dyDescent="0.25">
      <c r="A1289" s="16"/>
      <c r="B1289" s="17"/>
      <c r="C1289" s="2"/>
      <c r="D1289" s="2"/>
      <c r="E1289" s="2"/>
      <c r="F1289" s="2"/>
      <c r="G1289" s="2"/>
      <c r="H1289" s="2"/>
      <c r="I1289" s="5"/>
    </row>
    <row r="1290" spans="1:9" ht="17.399999999999999" x14ac:dyDescent="0.25">
      <c r="A1290" s="16"/>
      <c r="B1290" s="17"/>
      <c r="C1290" s="2"/>
      <c r="D1290" s="2"/>
      <c r="E1290" s="2"/>
      <c r="F1290" s="2"/>
      <c r="G1290" s="2"/>
      <c r="H1290" s="2"/>
      <c r="I1290" s="5"/>
    </row>
    <row r="1291" spans="1:9" ht="17.399999999999999" x14ac:dyDescent="0.25">
      <c r="A1291" s="16"/>
      <c r="B1291" s="17"/>
      <c r="C1291" s="2"/>
      <c r="D1291" s="2"/>
      <c r="E1291" s="2"/>
      <c r="F1291" s="2"/>
      <c r="G1291" s="2"/>
      <c r="H1291" s="2"/>
      <c r="I1291" s="5"/>
    </row>
    <row r="1292" spans="1:9" ht="17.399999999999999" x14ac:dyDescent="0.25">
      <c r="A1292" s="16"/>
      <c r="B1292" s="17"/>
      <c r="C1292" s="2"/>
      <c r="D1292" s="2"/>
      <c r="E1292" s="2"/>
      <c r="F1292" s="2"/>
      <c r="G1292" s="2"/>
      <c r="H1292" s="2"/>
      <c r="I1292" s="5"/>
    </row>
    <row r="1293" spans="1:9" ht="17.399999999999999" x14ac:dyDescent="0.25">
      <c r="A1293" s="16"/>
      <c r="B1293" s="17"/>
      <c r="C1293" s="2"/>
      <c r="D1293" s="2"/>
      <c r="E1293" s="2"/>
      <c r="F1293" s="2"/>
      <c r="G1293" s="2"/>
      <c r="H1293" s="2"/>
      <c r="I1293" s="5"/>
    </row>
    <row r="1294" spans="1:9" ht="17.399999999999999" x14ac:dyDescent="0.25">
      <c r="A1294" s="16"/>
      <c r="B1294" s="17"/>
      <c r="C1294" s="2"/>
      <c r="D1294" s="2"/>
      <c r="E1294" s="2"/>
      <c r="F1294" s="2"/>
      <c r="G1294" s="2"/>
      <c r="H1294" s="2"/>
      <c r="I1294" s="5"/>
    </row>
    <row r="1295" spans="1:9" ht="17.399999999999999" x14ac:dyDescent="0.25">
      <c r="A1295" s="16"/>
      <c r="B1295" s="17"/>
      <c r="C1295" s="2"/>
      <c r="D1295" s="2"/>
      <c r="E1295" s="2"/>
      <c r="F1295" s="2"/>
      <c r="G1295" s="2"/>
      <c r="H1295" s="2"/>
      <c r="I1295" s="5"/>
    </row>
    <row r="1296" spans="1:9" ht="17.399999999999999" x14ac:dyDescent="0.25">
      <c r="A1296" s="16"/>
      <c r="B1296" s="17"/>
      <c r="C1296" s="2"/>
      <c r="D1296" s="2"/>
      <c r="E1296" s="2"/>
      <c r="F1296" s="2"/>
      <c r="G1296" s="2"/>
      <c r="H1296" s="2"/>
      <c r="I1296" s="5"/>
    </row>
    <row r="1297" spans="1:9" ht="17.399999999999999" x14ac:dyDescent="0.25">
      <c r="A1297" s="16"/>
      <c r="B1297" s="17"/>
      <c r="C1297" s="2"/>
      <c r="D1297" s="2"/>
      <c r="E1297" s="2"/>
      <c r="F1297" s="2"/>
      <c r="G1297" s="2"/>
      <c r="H1297" s="2"/>
      <c r="I1297" s="5"/>
    </row>
    <row r="1298" spans="1:9" ht="17.399999999999999" x14ac:dyDescent="0.25">
      <c r="A1298" s="16"/>
      <c r="B1298" s="17"/>
      <c r="C1298" s="2"/>
      <c r="D1298" s="2"/>
      <c r="E1298" s="2"/>
      <c r="F1298" s="2"/>
      <c r="G1298" s="2"/>
      <c r="H1298" s="2"/>
      <c r="I1298" s="5"/>
    </row>
    <row r="1299" spans="1:9" ht="17.399999999999999" x14ac:dyDescent="0.25">
      <c r="A1299" s="16"/>
      <c r="B1299" s="17"/>
      <c r="C1299" s="2"/>
      <c r="D1299" s="2"/>
      <c r="E1299" s="2"/>
      <c r="F1299" s="2"/>
      <c r="G1299" s="2"/>
      <c r="H1299" s="2"/>
      <c r="I1299" s="5"/>
    </row>
    <row r="1300" spans="1:9" ht="17.399999999999999" x14ac:dyDescent="0.25">
      <c r="A1300" s="16"/>
      <c r="B1300" s="17"/>
      <c r="C1300" s="2"/>
      <c r="D1300" s="2"/>
      <c r="E1300" s="2"/>
      <c r="F1300" s="2"/>
      <c r="G1300" s="2"/>
      <c r="H1300" s="2"/>
      <c r="I1300" s="5"/>
    </row>
    <row r="1301" spans="1:9" ht="17.399999999999999" x14ac:dyDescent="0.25">
      <c r="A1301" s="16"/>
      <c r="B1301" s="17"/>
      <c r="C1301" s="2"/>
      <c r="D1301" s="2"/>
      <c r="E1301" s="2"/>
      <c r="F1301" s="2"/>
      <c r="G1301" s="2"/>
      <c r="H1301" s="2"/>
      <c r="I1301" s="5"/>
    </row>
    <row r="1302" spans="1:9" ht="17.399999999999999" x14ac:dyDescent="0.25">
      <c r="A1302" s="16"/>
      <c r="B1302" s="17"/>
      <c r="C1302" s="2"/>
      <c r="D1302" s="2"/>
      <c r="E1302" s="2"/>
      <c r="F1302" s="2"/>
      <c r="G1302" s="2"/>
      <c r="H1302" s="2"/>
      <c r="I1302" s="5"/>
    </row>
    <row r="1303" spans="1:9" ht="17.399999999999999" x14ac:dyDescent="0.25">
      <c r="A1303" s="16"/>
      <c r="B1303" s="17"/>
      <c r="C1303" s="2"/>
      <c r="D1303" s="2"/>
      <c r="E1303" s="2"/>
      <c r="F1303" s="2"/>
      <c r="G1303" s="2"/>
      <c r="H1303" s="2"/>
      <c r="I1303" s="5"/>
    </row>
    <row r="1304" spans="1:9" ht="17.399999999999999" x14ac:dyDescent="0.25">
      <c r="A1304" s="16"/>
      <c r="B1304" s="17"/>
      <c r="C1304" s="2"/>
      <c r="D1304" s="2"/>
      <c r="E1304" s="2"/>
      <c r="F1304" s="2"/>
      <c r="G1304" s="2"/>
      <c r="H1304" s="2"/>
      <c r="I1304" s="5"/>
    </row>
    <row r="1305" spans="1:9" ht="17.399999999999999" x14ac:dyDescent="0.25">
      <c r="A1305" s="16"/>
      <c r="B1305" s="17"/>
      <c r="C1305" s="2"/>
      <c r="D1305" s="2"/>
      <c r="E1305" s="2"/>
      <c r="F1305" s="2"/>
      <c r="G1305" s="2"/>
      <c r="H1305" s="2"/>
      <c r="I1305" s="5"/>
    </row>
    <row r="1306" spans="1:9" ht="17.399999999999999" x14ac:dyDescent="0.25">
      <c r="A1306" s="16"/>
      <c r="B1306" s="17"/>
      <c r="C1306" s="2"/>
      <c r="D1306" s="2"/>
      <c r="E1306" s="2"/>
      <c r="F1306" s="2"/>
      <c r="G1306" s="2"/>
      <c r="H1306" s="2"/>
      <c r="I1306" s="5"/>
    </row>
    <row r="1307" spans="1:9" ht="17.399999999999999" x14ac:dyDescent="0.25">
      <c r="A1307" s="16"/>
      <c r="B1307" s="17"/>
      <c r="C1307" s="2"/>
      <c r="D1307" s="2"/>
      <c r="E1307" s="2"/>
      <c r="F1307" s="2"/>
      <c r="G1307" s="2"/>
      <c r="H1307" s="2"/>
      <c r="I1307" s="5"/>
    </row>
    <row r="1308" spans="1:9" ht="17.399999999999999" x14ac:dyDescent="0.25">
      <c r="A1308" s="16"/>
      <c r="B1308" s="17"/>
      <c r="C1308" s="2"/>
      <c r="D1308" s="2"/>
      <c r="E1308" s="2"/>
      <c r="F1308" s="2"/>
      <c r="G1308" s="2"/>
      <c r="H1308" s="2"/>
      <c r="I1308" s="5"/>
    </row>
    <row r="1309" spans="1:9" ht="17.399999999999999" x14ac:dyDescent="0.25">
      <c r="A1309" s="16"/>
      <c r="B1309" s="17"/>
      <c r="C1309" s="2"/>
      <c r="D1309" s="2"/>
      <c r="E1309" s="2"/>
      <c r="F1309" s="2"/>
      <c r="G1309" s="2"/>
      <c r="H1309" s="2"/>
      <c r="I1309" s="5"/>
    </row>
    <row r="1310" spans="1:9" ht="17.399999999999999" x14ac:dyDescent="0.25">
      <c r="A1310" s="16"/>
      <c r="B1310" s="17"/>
      <c r="C1310" s="2"/>
      <c r="D1310" s="2"/>
      <c r="E1310" s="2"/>
      <c r="F1310" s="2"/>
      <c r="G1310" s="2"/>
      <c r="H1310" s="2"/>
      <c r="I1310" s="5"/>
    </row>
    <row r="1311" spans="1:9" ht="17.399999999999999" x14ac:dyDescent="0.25">
      <c r="A1311" s="16"/>
      <c r="B1311" s="17"/>
      <c r="C1311" s="2"/>
      <c r="D1311" s="2"/>
      <c r="E1311" s="2"/>
      <c r="F1311" s="2"/>
      <c r="G1311" s="2"/>
      <c r="H1311" s="2"/>
      <c r="I1311" s="5"/>
    </row>
    <row r="1312" spans="1:9" ht="17.399999999999999" x14ac:dyDescent="0.25">
      <c r="A1312" s="16"/>
      <c r="B1312" s="17"/>
      <c r="C1312" s="2"/>
      <c r="D1312" s="2"/>
      <c r="E1312" s="2"/>
      <c r="F1312" s="2"/>
      <c r="G1312" s="2"/>
      <c r="H1312" s="2"/>
      <c r="I1312" s="5"/>
    </row>
    <row r="1313" spans="1:9" ht="17.399999999999999" x14ac:dyDescent="0.25">
      <c r="A1313" s="16"/>
      <c r="B1313" s="17"/>
      <c r="C1313" s="2"/>
      <c r="D1313" s="2"/>
      <c r="E1313" s="2"/>
      <c r="F1313" s="2"/>
      <c r="G1313" s="2"/>
      <c r="H1313" s="2"/>
      <c r="I1313" s="5"/>
    </row>
    <row r="1314" spans="1:9" ht="17.399999999999999" x14ac:dyDescent="0.25">
      <c r="A1314" s="16"/>
      <c r="B1314" s="17"/>
      <c r="C1314" s="2"/>
      <c r="D1314" s="2"/>
      <c r="E1314" s="2"/>
      <c r="F1314" s="2"/>
      <c r="G1314" s="2"/>
      <c r="H1314" s="2"/>
      <c r="I1314" s="5"/>
    </row>
    <row r="1315" spans="1:9" ht="17.399999999999999" x14ac:dyDescent="0.25">
      <c r="A1315" s="16"/>
      <c r="B1315" s="17"/>
      <c r="C1315" s="2"/>
      <c r="D1315" s="2"/>
      <c r="E1315" s="2"/>
      <c r="F1315" s="2"/>
      <c r="G1315" s="2"/>
      <c r="H1315" s="2"/>
      <c r="I1315" s="5"/>
    </row>
    <row r="1316" spans="1:9" ht="17.399999999999999" x14ac:dyDescent="0.25">
      <c r="A1316" s="16"/>
      <c r="B1316" s="17"/>
      <c r="C1316" s="2"/>
      <c r="D1316" s="2"/>
      <c r="E1316" s="2"/>
      <c r="F1316" s="2"/>
      <c r="G1316" s="2"/>
      <c r="H1316" s="2"/>
      <c r="I1316" s="5"/>
    </row>
    <row r="1317" spans="1:9" ht="17.399999999999999" x14ac:dyDescent="0.25">
      <c r="A1317" s="16"/>
      <c r="B1317" s="17"/>
      <c r="C1317" s="2"/>
      <c r="D1317" s="2"/>
      <c r="E1317" s="2"/>
      <c r="F1317" s="2"/>
      <c r="G1317" s="2"/>
      <c r="H1317" s="2"/>
      <c r="I1317" s="5"/>
    </row>
    <row r="1318" spans="1:9" ht="17.399999999999999" x14ac:dyDescent="0.25">
      <c r="A1318" s="16"/>
      <c r="B1318" s="17"/>
      <c r="C1318" s="2"/>
      <c r="D1318" s="2"/>
      <c r="E1318" s="2"/>
      <c r="F1318" s="2"/>
      <c r="G1318" s="2"/>
      <c r="H1318" s="2"/>
      <c r="I1318" s="5"/>
    </row>
    <row r="1319" spans="1:9" ht="17.399999999999999" x14ac:dyDescent="0.25">
      <c r="A1319" s="16"/>
      <c r="B1319" s="17"/>
      <c r="C1319" s="2"/>
      <c r="D1319" s="2"/>
      <c r="E1319" s="2"/>
      <c r="F1319" s="2"/>
      <c r="G1319" s="2"/>
      <c r="H1319" s="2"/>
      <c r="I1319" s="5"/>
    </row>
    <row r="1320" spans="1:9" ht="17.399999999999999" x14ac:dyDescent="0.25">
      <c r="A1320" s="16"/>
      <c r="B1320" s="17"/>
      <c r="C1320" s="2"/>
      <c r="D1320" s="2"/>
      <c r="E1320" s="2"/>
      <c r="F1320" s="2"/>
      <c r="G1320" s="2"/>
      <c r="H1320" s="2"/>
      <c r="I1320" s="5"/>
    </row>
    <row r="1321" spans="1:9" ht="17.399999999999999" x14ac:dyDescent="0.25">
      <c r="A1321" s="16"/>
      <c r="B1321" s="17"/>
      <c r="C1321" s="2"/>
      <c r="D1321" s="2"/>
      <c r="E1321" s="2"/>
      <c r="F1321" s="2"/>
      <c r="G1321" s="2"/>
      <c r="H1321" s="2"/>
      <c r="I1321" s="5"/>
    </row>
    <row r="1322" spans="1:9" ht="17.399999999999999" x14ac:dyDescent="0.25">
      <c r="A1322" s="16"/>
      <c r="B1322" s="17"/>
      <c r="C1322" s="2"/>
      <c r="D1322" s="2"/>
      <c r="E1322" s="2"/>
      <c r="F1322" s="2"/>
      <c r="G1322" s="2"/>
      <c r="H1322" s="2"/>
      <c r="I1322" s="5"/>
    </row>
    <row r="1323" spans="1:9" ht="17.399999999999999" x14ac:dyDescent="0.25">
      <c r="A1323" s="16"/>
      <c r="B1323" s="17"/>
      <c r="C1323" s="2"/>
      <c r="D1323" s="2"/>
      <c r="E1323" s="2"/>
      <c r="F1323" s="2"/>
      <c r="G1323" s="2"/>
      <c r="H1323" s="2"/>
      <c r="I1323" s="5"/>
    </row>
    <row r="1324" spans="1:9" ht="17.399999999999999" x14ac:dyDescent="0.25">
      <c r="A1324" s="16"/>
      <c r="B1324" s="17"/>
      <c r="C1324" s="2"/>
      <c r="D1324" s="2"/>
      <c r="E1324" s="2"/>
      <c r="F1324" s="2"/>
      <c r="G1324" s="2"/>
      <c r="H1324" s="2"/>
      <c r="I1324" s="5"/>
    </row>
    <row r="1325" spans="1:9" ht="17.399999999999999" x14ac:dyDescent="0.25">
      <c r="A1325" s="16"/>
      <c r="B1325" s="17"/>
      <c r="C1325" s="2"/>
      <c r="D1325" s="2"/>
      <c r="E1325" s="2"/>
      <c r="F1325" s="2"/>
      <c r="G1325" s="2"/>
      <c r="H1325" s="2"/>
      <c r="I1325" s="5"/>
    </row>
    <row r="1326" spans="1:9" ht="17.399999999999999" x14ac:dyDescent="0.25">
      <c r="A1326" s="16"/>
      <c r="B1326" s="17"/>
      <c r="C1326" s="2"/>
      <c r="D1326" s="2"/>
      <c r="E1326" s="2"/>
      <c r="F1326" s="2"/>
      <c r="G1326" s="2"/>
      <c r="H1326" s="2"/>
      <c r="I1326" s="5"/>
    </row>
    <row r="1327" spans="1:9" ht="17.399999999999999" x14ac:dyDescent="0.25">
      <c r="A1327" s="16"/>
      <c r="B1327" s="17"/>
      <c r="C1327" s="2"/>
      <c r="D1327" s="2"/>
      <c r="E1327" s="2"/>
      <c r="F1327" s="2"/>
      <c r="G1327" s="2"/>
      <c r="H1327" s="2"/>
      <c r="I1327" s="5"/>
    </row>
    <row r="1328" spans="1:9" ht="17.399999999999999" x14ac:dyDescent="0.25">
      <c r="A1328" s="16"/>
      <c r="B1328" s="17"/>
      <c r="C1328" s="2"/>
      <c r="D1328" s="2"/>
      <c r="E1328" s="2"/>
      <c r="F1328" s="2"/>
      <c r="G1328" s="2"/>
      <c r="H1328" s="2"/>
      <c r="I1328" s="5"/>
    </row>
    <row r="1329" spans="1:9" ht="17.399999999999999" x14ac:dyDescent="0.25">
      <c r="A1329" s="16"/>
      <c r="B1329" s="17"/>
      <c r="C1329" s="2"/>
      <c r="D1329" s="2"/>
      <c r="E1329" s="2"/>
      <c r="F1329" s="2"/>
      <c r="G1329" s="2"/>
      <c r="H1329" s="2"/>
      <c r="I1329" s="5"/>
    </row>
    <row r="1330" spans="1:9" ht="17.399999999999999" x14ac:dyDescent="0.25">
      <c r="A1330" s="16"/>
      <c r="B1330" s="17"/>
      <c r="C1330" s="2"/>
      <c r="D1330" s="2"/>
      <c r="E1330" s="2"/>
      <c r="F1330" s="2"/>
      <c r="G1330" s="2"/>
      <c r="H1330" s="2"/>
      <c r="I1330" s="5"/>
    </row>
    <row r="1331" spans="1:9" ht="17.399999999999999" x14ac:dyDescent="0.25">
      <c r="A1331" s="16"/>
      <c r="B1331" s="17"/>
      <c r="C1331" s="2"/>
      <c r="D1331" s="2"/>
      <c r="E1331" s="2"/>
      <c r="F1331" s="2"/>
      <c r="G1331" s="2"/>
      <c r="H1331" s="2"/>
      <c r="I1331" s="5"/>
    </row>
    <row r="1332" spans="1:9" ht="17.399999999999999" x14ac:dyDescent="0.25">
      <c r="A1332" s="16"/>
      <c r="B1332" s="17"/>
      <c r="C1332" s="2"/>
      <c r="D1332" s="2"/>
      <c r="E1332" s="2"/>
      <c r="F1332" s="2"/>
      <c r="G1332" s="2"/>
      <c r="H1332" s="2"/>
      <c r="I1332" s="5"/>
    </row>
    <row r="1333" spans="1:9" ht="17.399999999999999" x14ac:dyDescent="0.25">
      <c r="A1333" s="16"/>
      <c r="B1333" s="17"/>
      <c r="C1333" s="2"/>
      <c r="D1333" s="2"/>
      <c r="E1333" s="2"/>
      <c r="F1333" s="2"/>
      <c r="G1333" s="2"/>
      <c r="H1333" s="2"/>
      <c r="I1333" s="5"/>
    </row>
    <row r="1334" spans="1:9" ht="17.399999999999999" x14ac:dyDescent="0.25">
      <c r="A1334" s="16"/>
      <c r="B1334" s="17"/>
      <c r="C1334" s="2"/>
      <c r="D1334" s="2"/>
      <c r="E1334" s="2"/>
      <c r="F1334" s="2"/>
      <c r="G1334" s="2"/>
      <c r="H1334" s="2"/>
      <c r="I1334" s="5"/>
    </row>
    <row r="1335" spans="1:9" ht="17.399999999999999" x14ac:dyDescent="0.25">
      <c r="A1335" s="16"/>
      <c r="B1335" s="17"/>
      <c r="C1335" s="2"/>
      <c r="D1335" s="2"/>
      <c r="E1335" s="2"/>
      <c r="F1335" s="2"/>
      <c r="G1335" s="2"/>
      <c r="H1335" s="2"/>
      <c r="I1335" s="5"/>
    </row>
    <row r="1336" spans="1:9" ht="17.399999999999999" x14ac:dyDescent="0.25">
      <c r="A1336" s="16"/>
      <c r="B1336" s="17"/>
      <c r="C1336" s="2"/>
      <c r="D1336" s="2"/>
      <c r="E1336" s="2"/>
      <c r="F1336" s="2"/>
      <c r="G1336" s="2"/>
      <c r="H1336" s="2"/>
      <c r="I1336" s="5"/>
    </row>
    <row r="1337" spans="1:9" ht="17.399999999999999" x14ac:dyDescent="0.25">
      <c r="A1337" s="16"/>
      <c r="B1337" s="17"/>
      <c r="C1337" s="2"/>
      <c r="D1337" s="2"/>
      <c r="E1337" s="2"/>
      <c r="F1337" s="2"/>
      <c r="G1337" s="2"/>
      <c r="H1337" s="2"/>
      <c r="I1337" s="5"/>
    </row>
    <row r="1338" spans="1:9" ht="17.399999999999999" x14ac:dyDescent="0.25">
      <c r="A1338" s="16"/>
      <c r="B1338" s="17"/>
      <c r="C1338" s="2"/>
      <c r="D1338" s="2"/>
      <c r="E1338" s="2"/>
      <c r="F1338" s="2"/>
      <c r="G1338" s="2"/>
      <c r="H1338" s="2"/>
      <c r="I1338" s="5"/>
    </row>
    <row r="1339" spans="1:9" ht="17.399999999999999" x14ac:dyDescent="0.25">
      <c r="A1339" s="16"/>
      <c r="B1339" s="17"/>
      <c r="C1339" s="2"/>
      <c r="D1339" s="2"/>
      <c r="E1339" s="2"/>
      <c r="F1339" s="2"/>
      <c r="G1339" s="2"/>
      <c r="H1339" s="2"/>
      <c r="I1339" s="5"/>
    </row>
    <row r="1340" spans="1:9" ht="17.399999999999999" x14ac:dyDescent="0.25">
      <c r="A1340" s="16"/>
      <c r="B1340" s="17"/>
      <c r="C1340" s="2"/>
      <c r="D1340" s="2"/>
      <c r="E1340" s="2"/>
      <c r="F1340" s="2"/>
      <c r="G1340" s="2"/>
      <c r="H1340" s="2"/>
      <c r="I1340" s="5"/>
    </row>
    <row r="1341" spans="1:9" ht="17.399999999999999" x14ac:dyDescent="0.25">
      <c r="A1341" s="16"/>
      <c r="B1341" s="17"/>
      <c r="C1341" s="2"/>
      <c r="D1341" s="2"/>
      <c r="E1341" s="2"/>
      <c r="F1341" s="2"/>
      <c r="G1341" s="2"/>
      <c r="H1341" s="2"/>
      <c r="I1341" s="5"/>
    </row>
    <row r="1342" spans="1:9" ht="17.399999999999999" x14ac:dyDescent="0.25">
      <c r="A1342" s="16"/>
      <c r="B1342" s="17"/>
      <c r="C1342" s="2"/>
      <c r="D1342" s="2"/>
      <c r="E1342" s="2"/>
      <c r="F1342" s="2"/>
      <c r="G1342" s="2"/>
      <c r="H1342" s="2"/>
      <c r="I1342" s="5"/>
    </row>
    <row r="1343" spans="1:9" ht="17.399999999999999" x14ac:dyDescent="0.25">
      <c r="A1343" s="16"/>
      <c r="B1343" s="17"/>
      <c r="C1343" s="2"/>
      <c r="D1343" s="2"/>
      <c r="E1343" s="2"/>
      <c r="F1343" s="2"/>
      <c r="G1343" s="2"/>
      <c r="H1343" s="2"/>
      <c r="I1343" s="5"/>
    </row>
    <row r="1344" spans="1:9" ht="17.399999999999999" x14ac:dyDescent="0.25">
      <c r="A1344" s="16"/>
      <c r="B1344" s="17"/>
      <c r="C1344" s="2"/>
      <c r="D1344" s="2"/>
      <c r="E1344" s="2"/>
      <c r="F1344" s="2"/>
      <c r="G1344" s="2"/>
      <c r="H1344" s="2"/>
      <c r="I1344" s="5"/>
    </row>
    <row r="1345" spans="1:9" ht="17.399999999999999" x14ac:dyDescent="0.25">
      <c r="A1345" s="16"/>
      <c r="B1345" s="17"/>
      <c r="C1345" s="2"/>
      <c r="D1345" s="2"/>
      <c r="E1345" s="2"/>
      <c r="F1345" s="2"/>
      <c r="G1345" s="2"/>
      <c r="H1345" s="2"/>
      <c r="I1345" s="5"/>
    </row>
    <row r="1346" spans="1:9" ht="17.399999999999999" x14ac:dyDescent="0.25">
      <c r="A1346" s="16"/>
      <c r="B1346" s="17"/>
      <c r="C1346" s="2"/>
      <c r="D1346" s="2"/>
      <c r="E1346" s="2"/>
      <c r="F1346" s="2"/>
      <c r="G1346" s="2"/>
      <c r="H1346" s="2"/>
      <c r="I1346" s="5"/>
    </row>
    <row r="1347" spans="1:9" ht="17.399999999999999" x14ac:dyDescent="0.25">
      <c r="A1347" s="16"/>
      <c r="B1347" s="17"/>
      <c r="C1347" s="2"/>
      <c r="D1347" s="2"/>
      <c r="E1347" s="2"/>
      <c r="F1347" s="2"/>
      <c r="G1347" s="2"/>
      <c r="H1347" s="2"/>
      <c r="I1347" s="5"/>
    </row>
    <row r="1348" spans="1:9" ht="17.399999999999999" x14ac:dyDescent="0.25">
      <c r="A1348" s="16"/>
      <c r="B1348" s="17"/>
      <c r="C1348" s="2"/>
      <c r="D1348" s="2"/>
      <c r="E1348" s="2"/>
      <c r="F1348" s="2"/>
      <c r="G1348" s="2"/>
      <c r="H1348" s="2"/>
      <c r="I1348" s="5"/>
    </row>
    <row r="1349" spans="1:9" ht="17.399999999999999" x14ac:dyDescent="0.25">
      <c r="A1349" s="16"/>
      <c r="B1349" s="17"/>
      <c r="C1349" s="2"/>
      <c r="D1349" s="2"/>
      <c r="E1349" s="2"/>
      <c r="F1349" s="2"/>
      <c r="G1349" s="2"/>
      <c r="H1349" s="2"/>
      <c r="I1349" s="5"/>
    </row>
    <row r="1350" spans="1:9" ht="17.399999999999999" x14ac:dyDescent="0.25">
      <c r="A1350" s="16"/>
      <c r="B1350" s="17"/>
      <c r="C1350" s="2"/>
      <c r="D1350" s="2"/>
      <c r="E1350" s="2"/>
      <c r="F1350" s="2"/>
      <c r="G1350" s="2"/>
      <c r="H1350" s="2"/>
      <c r="I1350" s="5"/>
    </row>
    <row r="1351" spans="1:9" ht="17.399999999999999" x14ac:dyDescent="0.25">
      <c r="A1351" s="16"/>
      <c r="B1351" s="17"/>
      <c r="C1351" s="2"/>
      <c r="D1351" s="2"/>
      <c r="E1351" s="2"/>
      <c r="F1351" s="2"/>
      <c r="G1351" s="2"/>
      <c r="H1351" s="2"/>
      <c r="I1351" s="5"/>
    </row>
    <row r="1352" spans="1:9" ht="17.399999999999999" x14ac:dyDescent="0.25">
      <c r="A1352" s="16"/>
      <c r="B1352" s="17"/>
      <c r="C1352" s="2"/>
      <c r="D1352" s="2"/>
      <c r="E1352" s="2"/>
      <c r="F1352" s="2"/>
      <c r="G1352" s="2"/>
      <c r="H1352" s="2"/>
      <c r="I1352" s="5"/>
    </row>
    <row r="1353" spans="1:9" ht="17.399999999999999" x14ac:dyDescent="0.25">
      <c r="A1353" s="16"/>
      <c r="B1353" s="17"/>
      <c r="C1353" s="2"/>
      <c r="D1353" s="2"/>
      <c r="E1353" s="2"/>
      <c r="F1353" s="2"/>
      <c r="G1353" s="2"/>
      <c r="H1353" s="2"/>
      <c r="I1353" s="5"/>
    </row>
    <row r="1354" spans="1:9" ht="17.399999999999999" x14ac:dyDescent="0.25">
      <c r="A1354" s="16"/>
      <c r="B1354" s="17"/>
      <c r="C1354" s="2"/>
      <c r="D1354" s="2"/>
      <c r="E1354" s="2"/>
      <c r="F1354" s="2"/>
      <c r="G1354" s="2"/>
      <c r="H1354" s="2"/>
      <c r="I1354" s="5"/>
    </row>
    <row r="1355" spans="1:9" ht="17.399999999999999" x14ac:dyDescent="0.25">
      <c r="A1355" s="16"/>
      <c r="B1355" s="17"/>
      <c r="C1355" s="2"/>
      <c r="D1355" s="2"/>
      <c r="E1355" s="2"/>
      <c r="F1355" s="2"/>
      <c r="G1355" s="2"/>
      <c r="H1355" s="2"/>
      <c r="I1355" s="5"/>
    </row>
    <row r="1356" spans="1:9" ht="17.399999999999999" x14ac:dyDescent="0.25">
      <c r="A1356" s="16"/>
      <c r="B1356" s="17"/>
      <c r="C1356" s="2"/>
      <c r="D1356" s="2"/>
      <c r="E1356" s="2"/>
      <c r="F1356" s="2"/>
      <c r="G1356" s="2"/>
      <c r="H1356" s="2"/>
      <c r="I1356" s="5"/>
    </row>
    <row r="1357" spans="1:9" ht="17.399999999999999" x14ac:dyDescent="0.25">
      <c r="A1357" s="16"/>
      <c r="B1357" s="17"/>
      <c r="C1357" s="2"/>
      <c r="D1357" s="2"/>
      <c r="E1357" s="2"/>
      <c r="F1357" s="2"/>
      <c r="G1357" s="2"/>
      <c r="H1357" s="2"/>
      <c r="I1357" s="5"/>
    </row>
    <row r="1358" spans="1:9" ht="17.399999999999999" x14ac:dyDescent="0.25">
      <c r="A1358" s="16"/>
      <c r="B1358" s="17"/>
      <c r="C1358" s="2"/>
      <c r="D1358" s="2"/>
      <c r="E1358" s="2"/>
      <c r="F1358" s="2"/>
      <c r="G1358" s="2"/>
      <c r="H1358" s="2"/>
      <c r="I1358" s="5"/>
    </row>
    <row r="1359" spans="1:9" ht="17.399999999999999" x14ac:dyDescent="0.25">
      <c r="A1359" s="16"/>
      <c r="B1359" s="17"/>
      <c r="C1359" s="2"/>
      <c r="D1359" s="2"/>
      <c r="E1359" s="2"/>
      <c r="F1359" s="2"/>
      <c r="G1359" s="2"/>
      <c r="H1359" s="2"/>
      <c r="I1359" s="5"/>
    </row>
    <row r="1360" spans="1:9" ht="17.399999999999999" x14ac:dyDescent="0.25">
      <c r="A1360" s="16"/>
      <c r="B1360" s="17"/>
      <c r="C1360" s="2"/>
      <c r="D1360" s="2"/>
      <c r="E1360" s="2"/>
      <c r="F1360" s="2"/>
      <c r="G1360" s="2"/>
      <c r="H1360" s="2"/>
      <c r="I1360" s="5"/>
    </row>
    <row r="1361" spans="1:9" ht="17.399999999999999" x14ac:dyDescent="0.25">
      <c r="A1361" s="16"/>
      <c r="B1361" s="17"/>
      <c r="C1361" s="2"/>
      <c r="D1361" s="2"/>
      <c r="E1361" s="2"/>
      <c r="F1361" s="2"/>
      <c r="G1361" s="2"/>
      <c r="H1361" s="2"/>
      <c r="I1361" s="5"/>
    </row>
    <row r="1362" spans="1:9" ht="17.399999999999999" x14ac:dyDescent="0.25">
      <c r="A1362" s="16"/>
      <c r="B1362" s="17"/>
      <c r="C1362" s="2"/>
      <c r="D1362" s="2"/>
      <c r="E1362" s="2"/>
      <c r="F1362" s="2"/>
      <c r="G1362" s="2"/>
      <c r="H1362" s="2"/>
      <c r="I1362" s="5"/>
    </row>
    <row r="1363" spans="1:9" ht="17.399999999999999" x14ac:dyDescent="0.25">
      <c r="A1363" s="16"/>
      <c r="B1363" s="17"/>
      <c r="C1363" s="2"/>
      <c r="D1363" s="2"/>
      <c r="E1363" s="2"/>
      <c r="F1363" s="2"/>
      <c r="G1363" s="2"/>
      <c r="H1363" s="2"/>
      <c r="I1363" s="5"/>
    </row>
    <row r="1364" spans="1:9" ht="17.399999999999999" x14ac:dyDescent="0.25">
      <c r="A1364" s="16"/>
      <c r="B1364" s="17"/>
      <c r="C1364" s="2"/>
      <c r="D1364" s="2"/>
      <c r="E1364" s="2"/>
      <c r="F1364" s="2"/>
      <c r="G1364" s="2"/>
      <c r="H1364" s="2"/>
      <c r="I1364" s="5"/>
    </row>
    <row r="1365" spans="1:9" ht="17.399999999999999" x14ac:dyDescent="0.25">
      <c r="A1365" s="16"/>
      <c r="B1365" s="17"/>
      <c r="C1365" s="2"/>
      <c r="D1365" s="2"/>
      <c r="E1365" s="2"/>
      <c r="F1365" s="2"/>
      <c r="G1365" s="2"/>
      <c r="H1365" s="2"/>
      <c r="I1365" s="5"/>
    </row>
    <row r="1366" spans="1:9" ht="17.399999999999999" x14ac:dyDescent="0.25">
      <c r="A1366" s="16"/>
      <c r="B1366" s="17"/>
      <c r="C1366" s="2"/>
      <c r="D1366" s="2"/>
      <c r="E1366" s="2"/>
      <c r="F1366" s="2"/>
      <c r="G1366" s="2"/>
      <c r="H1366" s="2"/>
      <c r="I1366" s="5"/>
    </row>
    <row r="1367" spans="1:9" ht="17.399999999999999" x14ac:dyDescent="0.25">
      <c r="A1367" s="16"/>
      <c r="B1367" s="17"/>
      <c r="C1367" s="2"/>
      <c r="D1367" s="2"/>
      <c r="E1367" s="2"/>
      <c r="F1367" s="2"/>
      <c r="G1367" s="2"/>
      <c r="H1367" s="2"/>
      <c r="I1367" s="5"/>
    </row>
    <row r="1368" spans="1:9" ht="17.399999999999999" x14ac:dyDescent="0.25">
      <c r="A1368" s="16"/>
      <c r="B1368" s="17"/>
      <c r="C1368" s="2"/>
      <c r="D1368" s="2"/>
      <c r="E1368" s="2"/>
      <c r="F1368" s="2"/>
      <c r="G1368" s="2"/>
      <c r="H1368" s="2"/>
      <c r="I1368" s="5"/>
    </row>
    <row r="1369" spans="1:9" ht="17.399999999999999" x14ac:dyDescent="0.25">
      <c r="A1369" s="16"/>
      <c r="B1369" s="17"/>
      <c r="C1369" s="2"/>
      <c r="D1369" s="2"/>
      <c r="E1369" s="2"/>
      <c r="F1369" s="2"/>
      <c r="G1369" s="2"/>
      <c r="H1369" s="2"/>
      <c r="I1369" s="5"/>
    </row>
    <row r="1370" spans="1:9" ht="17.399999999999999" x14ac:dyDescent="0.25">
      <c r="A1370" s="16"/>
      <c r="B1370" s="17"/>
      <c r="C1370" s="2"/>
      <c r="D1370" s="2"/>
      <c r="E1370" s="2"/>
      <c r="F1370" s="2"/>
      <c r="G1370" s="2"/>
      <c r="H1370" s="2"/>
      <c r="I1370" s="5"/>
    </row>
    <row r="1371" spans="1:9" ht="17.399999999999999" x14ac:dyDescent="0.25">
      <c r="A1371" s="16"/>
      <c r="B1371" s="17"/>
      <c r="C1371" s="2"/>
      <c r="D1371" s="2"/>
      <c r="E1371" s="2"/>
      <c r="F1371" s="2"/>
      <c r="G1371" s="2"/>
      <c r="H1371" s="2"/>
      <c r="I1371" s="5"/>
    </row>
    <row r="1372" spans="1:9" ht="17.399999999999999" x14ac:dyDescent="0.25">
      <c r="A1372" s="16"/>
      <c r="B1372" s="17"/>
      <c r="C1372" s="2"/>
      <c r="D1372" s="2"/>
      <c r="E1372" s="2"/>
      <c r="F1372" s="2"/>
      <c r="G1372" s="2"/>
      <c r="H1372" s="2"/>
      <c r="I1372" s="5"/>
    </row>
    <row r="1373" spans="1:9" ht="17.399999999999999" x14ac:dyDescent="0.25">
      <c r="A1373" s="16"/>
      <c r="B1373" s="17"/>
      <c r="C1373" s="2"/>
      <c r="D1373" s="2"/>
      <c r="E1373" s="2"/>
      <c r="F1373" s="2"/>
      <c r="G1373" s="2"/>
      <c r="H1373" s="2"/>
      <c r="I1373" s="5"/>
    </row>
    <row r="1374" spans="1:9" ht="17.399999999999999" x14ac:dyDescent="0.25">
      <c r="A1374" s="16"/>
      <c r="B1374" s="17"/>
      <c r="C1374" s="2"/>
      <c r="D1374" s="2"/>
      <c r="E1374" s="2"/>
      <c r="F1374" s="2"/>
      <c r="G1374" s="2"/>
      <c r="H1374" s="2"/>
      <c r="I1374" s="5"/>
    </row>
    <row r="1375" spans="1:9" ht="17.399999999999999" x14ac:dyDescent="0.25">
      <c r="A1375" s="16"/>
      <c r="B1375" s="17"/>
      <c r="C1375" s="2"/>
      <c r="D1375" s="2"/>
      <c r="E1375" s="2"/>
      <c r="F1375" s="2"/>
      <c r="G1375" s="2"/>
      <c r="H1375" s="2"/>
      <c r="I1375" s="5"/>
    </row>
    <row r="1376" spans="1:9" ht="17.399999999999999" x14ac:dyDescent="0.25">
      <c r="A1376" s="16"/>
      <c r="B1376" s="17"/>
      <c r="C1376" s="2"/>
      <c r="D1376" s="2"/>
      <c r="E1376" s="2"/>
      <c r="F1376" s="2"/>
      <c r="G1376" s="2"/>
      <c r="H1376" s="2"/>
      <c r="I1376" s="5"/>
    </row>
    <row r="1377" spans="1:9" ht="17.399999999999999" x14ac:dyDescent="0.25">
      <c r="A1377" s="16"/>
      <c r="B1377" s="17"/>
      <c r="C1377" s="2"/>
      <c r="D1377" s="2"/>
      <c r="E1377" s="2"/>
      <c r="F1377" s="2"/>
      <c r="G1377" s="2"/>
      <c r="H1377" s="2"/>
      <c r="I1377" s="5"/>
    </row>
    <row r="1378" spans="1:9" ht="17.399999999999999" x14ac:dyDescent="0.25">
      <c r="A1378" s="16"/>
      <c r="B1378" s="17"/>
      <c r="C1378" s="2"/>
      <c r="D1378" s="2"/>
      <c r="E1378" s="2"/>
      <c r="F1378" s="2"/>
      <c r="G1378" s="2"/>
      <c r="H1378" s="2"/>
      <c r="I1378" s="5"/>
    </row>
    <row r="1379" spans="1:9" ht="17.399999999999999" x14ac:dyDescent="0.25">
      <c r="A1379" s="16"/>
      <c r="B1379" s="17"/>
      <c r="C1379" s="2"/>
      <c r="D1379" s="2"/>
      <c r="E1379" s="2"/>
      <c r="F1379" s="2"/>
      <c r="G1379" s="2"/>
      <c r="H1379" s="2"/>
      <c r="I1379" s="5"/>
    </row>
    <row r="1380" spans="1:9" ht="17.399999999999999" x14ac:dyDescent="0.25">
      <c r="A1380" s="16"/>
      <c r="B1380" s="17"/>
      <c r="C1380" s="2"/>
      <c r="D1380" s="2"/>
      <c r="E1380" s="2"/>
      <c r="F1380" s="2"/>
      <c r="G1380" s="2"/>
      <c r="H1380" s="2"/>
      <c r="I1380" s="5"/>
    </row>
    <row r="1381" spans="1:9" ht="17.399999999999999" x14ac:dyDescent="0.25">
      <c r="A1381" s="16"/>
      <c r="B1381" s="17"/>
      <c r="C1381" s="2"/>
      <c r="D1381" s="2"/>
      <c r="E1381" s="2"/>
      <c r="F1381" s="2"/>
      <c r="G1381" s="2"/>
      <c r="H1381" s="2"/>
      <c r="I1381" s="5"/>
    </row>
    <row r="1382" spans="1:9" ht="17.399999999999999" x14ac:dyDescent="0.25">
      <c r="A1382" s="16"/>
      <c r="B1382" s="17"/>
      <c r="C1382" s="2"/>
      <c r="D1382" s="2"/>
      <c r="E1382" s="2"/>
      <c r="F1382" s="2"/>
      <c r="G1382" s="2"/>
      <c r="H1382" s="2"/>
      <c r="I1382" s="5"/>
    </row>
    <row r="1383" spans="1:9" ht="17.399999999999999" x14ac:dyDescent="0.25">
      <c r="A1383" s="16"/>
      <c r="B1383" s="17"/>
      <c r="C1383" s="2"/>
      <c r="D1383" s="2"/>
      <c r="E1383" s="2"/>
      <c r="F1383" s="2"/>
      <c r="G1383" s="2"/>
      <c r="H1383" s="2"/>
      <c r="I1383" s="5"/>
    </row>
    <row r="1384" spans="1:9" ht="17.399999999999999" x14ac:dyDescent="0.25">
      <c r="A1384" s="16"/>
      <c r="B1384" s="17"/>
      <c r="C1384" s="2"/>
      <c r="D1384" s="2"/>
      <c r="E1384" s="2"/>
      <c r="F1384" s="2"/>
      <c r="G1384" s="2"/>
      <c r="H1384" s="2"/>
      <c r="I1384" s="5"/>
    </row>
    <row r="1385" spans="1:9" ht="17.399999999999999" x14ac:dyDescent="0.25">
      <c r="A1385" s="16"/>
      <c r="B1385" s="17"/>
      <c r="C1385" s="2"/>
      <c r="D1385" s="2"/>
      <c r="E1385" s="2"/>
      <c r="F1385" s="2"/>
      <c r="G1385" s="2"/>
      <c r="H1385" s="2"/>
      <c r="I1385" s="5"/>
    </row>
    <row r="1386" spans="1:9" ht="17.399999999999999" x14ac:dyDescent="0.25">
      <c r="A1386" s="16"/>
      <c r="B1386" s="17"/>
      <c r="C1386" s="2"/>
      <c r="D1386" s="2"/>
      <c r="E1386" s="2"/>
      <c r="F1386" s="2"/>
      <c r="G1386" s="2"/>
      <c r="H1386" s="2"/>
      <c r="I1386" s="5"/>
    </row>
    <row r="1387" spans="1:9" ht="17.399999999999999" x14ac:dyDescent="0.25">
      <c r="A1387" s="16"/>
      <c r="B1387" s="17"/>
      <c r="C1387" s="2"/>
      <c r="D1387" s="2"/>
      <c r="E1387" s="2"/>
      <c r="F1387" s="2"/>
      <c r="G1387" s="2"/>
      <c r="H1387" s="2"/>
      <c r="I1387" s="5"/>
    </row>
    <row r="1388" spans="1:9" ht="17.399999999999999" x14ac:dyDescent="0.25">
      <c r="A1388" s="16"/>
      <c r="B1388" s="17"/>
      <c r="C1388" s="2"/>
      <c r="D1388" s="2"/>
      <c r="E1388" s="2"/>
      <c r="F1388" s="2"/>
      <c r="G1388" s="2"/>
      <c r="H1388" s="2"/>
      <c r="I1388" s="5"/>
    </row>
    <row r="1389" spans="1:9" ht="17.399999999999999" x14ac:dyDescent="0.25">
      <c r="A1389" s="16"/>
      <c r="B1389" s="17"/>
      <c r="C1389" s="2"/>
      <c r="D1389" s="2"/>
      <c r="E1389" s="2"/>
      <c r="F1389" s="2"/>
      <c r="G1389" s="2"/>
      <c r="H1389" s="2"/>
      <c r="I1389" s="5"/>
    </row>
    <row r="1390" spans="1:9" ht="17.399999999999999" x14ac:dyDescent="0.25">
      <c r="A1390" s="16"/>
      <c r="B1390" s="17"/>
      <c r="C1390" s="2"/>
      <c r="D1390" s="2"/>
      <c r="E1390" s="2"/>
      <c r="F1390" s="2"/>
      <c r="G1390" s="2"/>
      <c r="H1390" s="2"/>
      <c r="I1390" s="5"/>
    </row>
    <row r="1391" spans="1:9" ht="17.399999999999999" x14ac:dyDescent="0.25">
      <c r="A1391" s="16"/>
      <c r="B1391" s="17"/>
      <c r="C1391" s="2"/>
      <c r="D1391" s="2"/>
      <c r="E1391" s="2"/>
      <c r="F1391" s="2"/>
      <c r="G1391" s="2"/>
      <c r="H1391" s="2"/>
      <c r="I1391" s="5"/>
    </row>
    <row r="1392" spans="1:9" ht="17.399999999999999" x14ac:dyDescent="0.25">
      <c r="A1392" s="16"/>
      <c r="B1392" s="17"/>
      <c r="C1392" s="2"/>
      <c r="D1392" s="2"/>
      <c r="E1392" s="2"/>
      <c r="F1392" s="2"/>
      <c r="G1392" s="2"/>
      <c r="H1392" s="2"/>
      <c r="I1392" s="5"/>
    </row>
    <row r="1393" spans="1:9" ht="17.399999999999999" x14ac:dyDescent="0.25">
      <c r="A1393" s="16"/>
      <c r="B1393" s="17"/>
      <c r="C1393" s="2"/>
      <c r="D1393" s="2"/>
      <c r="E1393" s="2"/>
      <c r="F1393" s="2"/>
      <c r="G1393" s="2"/>
      <c r="H1393" s="2"/>
      <c r="I1393" s="5"/>
    </row>
    <row r="1394" spans="1:9" ht="17.399999999999999" x14ac:dyDescent="0.25">
      <c r="A1394" s="16"/>
      <c r="B1394" s="17"/>
      <c r="C1394" s="2"/>
      <c r="D1394" s="2"/>
      <c r="E1394" s="2"/>
      <c r="F1394" s="2"/>
      <c r="G1394" s="2"/>
      <c r="H1394" s="2"/>
      <c r="I1394" s="5"/>
    </row>
    <row r="1395" spans="1:9" ht="17.399999999999999" x14ac:dyDescent="0.25">
      <c r="A1395" s="16"/>
      <c r="B1395" s="17"/>
      <c r="C1395" s="2"/>
      <c r="D1395" s="2"/>
      <c r="E1395" s="2"/>
      <c r="F1395" s="2"/>
      <c r="G1395" s="2"/>
      <c r="H1395" s="2"/>
      <c r="I1395" s="5"/>
    </row>
    <row r="1396" spans="1:9" ht="17.399999999999999" x14ac:dyDescent="0.25">
      <c r="A1396" s="16"/>
      <c r="B1396" s="17"/>
      <c r="C1396" s="2"/>
      <c r="D1396" s="2"/>
      <c r="E1396" s="2"/>
      <c r="F1396" s="2"/>
      <c r="G1396" s="2"/>
      <c r="H1396" s="2"/>
      <c r="I1396" s="5"/>
    </row>
    <row r="1397" spans="1:9" ht="17.399999999999999" x14ac:dyDescent="0.25">
      <c r="A1397" s="16"/>
      <c r="B1397" s="17"/>
      <c r="C1397" s="2"/>
      <c r="D1397" s="2"/>
      <c r="E1397" s="2"/>
      <c r="F1397" s="2"/>
      <c r="G1397" s="2"/>
      <c r="H1397" s="2"/>
      <c r="I1397" s="5"/>
    </row>
    <row r="1398" spans="1:9" ht="17.399999999999999" x14ac:dyDescent="0.25">
      <c r="A1398" s="16"/>
      <c r="B1398" s="17"/>
      <c r="C1398" s="2"/>
      <c r="D1398" s="2"/>
      <c r="E1398" s="2"/>
      <c r="F1398" s="2"/>
      <c r="G1398" s="2"/>
      <c r="H1398" s="2"/>
      <c r="I1398" s="5"/>
    </row>
    <row r="1399" spans="1:9" ht="17.399999999999999" x14ac:dyDescent="0.25">
      <c r="A1399" s="16"/>
      <c r="B1399" s="17"/>
      <c r="C1399" s="2"/>
      <c r="D1399" s="2"/>
      <c r="E1399" s="2"/>
      <c r="F1399" s="2"/>
      <c r="G1399" s="2"/>
      <c r="H1399" s="2"/>
      <c r="I1399" s="5"/>
    </row>
    <row r="1400" spans="1:9" ht="17.399999999999999" x14ac:dyDescent="0.25">
      <c r="A1400" s="16"/>
      <c r="B1400" s="17"/>
      <c r="C1400" s="2"/>
      <c r="D1400" s="2"/>
      <c r="E1400" s="2"/>
      <c r="F1400" s="2"/>
      <c r="G1400" s="2"/>
      <c r="H1400" s="2"/>
      <c r="I1400" s="5"/>
    </row>
    <row r="1401" spans="1:9" ht="17.399999999999999" x14ac:dyDescent="0.25">
      <c r="A1401" s="16"/>
      <c r="B1401" s="17"/>
      <c r="C1401" s="2"/>
      <c r="D1401" s="2"/>
      <c r="E1401" s="2"/>
      <c r="F1401" s="2"/>
      <c r="G1401" s="2"/>
      <c r="H1401" s="2"/>
      <c r="I1401" s="5"/>
    </row>
    <row r="1402" spans="1:9" ht="17.399999999999999" x14ac:dyDescent="0.25">
      <c r="A1402" s="16"/>
      <c r="B1402" s="17"/>
      <c r="C1402" s="2"/>
      <c r="D1402" s="2"/>
      <c r="E1402" s="2"/>
      <c r="F1402" s="2"/>
      <c r="G1402" s="2"/>
      <c r="H1402" s="2"/>
      <c r="I1402" s="5"/>
    </row>
    <row r="1403" spans="1:9" ht="17.399999999999999" x14ac:dyDescent="0.25">
      <c r="A1403" s="16"/>
      <c r="B1403" s="17"/>
      <c r="C1403" s="2"/>
      <c r="D1403" s="2"/>
      <c r="E1403" s="2"/>
      <c r="F1403" s="2"/>
      <c r="G1403" s="2"/>
      <c r="H1403" s="2"/>
      <c r="I1403" s="5"/>
    </row>
    <row r="1404" spans="1:9" ht="17.399999999999999" x14ac:dyDescent="0.25">
      <c r="A1404" s="16"/>
      <c r="B1404" s="17"/>
      <c r="C1404" s="2"/>
      <c r="D1404" s="2"/>
      <c r="E1404" s="2"/>
      <c r="F1404" s="2"/>
      <c r="G1404" s="2"/>
      <c r="H1404" s="2"/>
      <c r="I1404" s="5"/>
    </row>
    <row r="1405" spans="1:9" ht="17.399999999999999" x14ac:dyDescent="0.25">
      <c r="A1405" s="16"/>
      <c r="B1405" s="17"/>
      <c r="C1405" s="2"/>
      <c r="D1405" s="2"/>
      <c r="E1405" s="2"/>
      <c r="F1405" s="2"/>
      <c r="G1405" s="2"/>
      <c r="H1405" s="2"/>
      <c r="I1405" s="5"/>
    </row>
    <row r="1406" spans="1:9" ht="17.399999999999999" x14ac:dyDescent="0.25">
      <c r="A1406" s="16"/>
      <c r="B1406" s="17"/>
      <c r="C1406" s="2"/>
      <c r="D1406" s="2"/>
      <c r="E1406" s="2"/>
      <c r="F1406" s="2"/>
      <c r="G1406" s="2"/>
      <c r="H1406" s="2"/>
      <c r="I1406" s="5"/>
    </row>
    <row r="1407" spans="1:9" ht="17.399999999999999" x14ac:dyDescent="0.25">
      <c r="A1407" s="16"/>
      <c r="B1407" s="17"/>
      <c r="C1407" s="2"/>
      <c r="D1407" s="2"/>
      <c r="E1407" s="2"/>
      <c r="F1407" s="2"/>
      <c r="G1407" s="2"/>
      <c r="H1407" s="2"/>
      <c r="I1407" s="5"/>
    </row>
    <row r="1408" spans="1:9" ht="17.399999999999999" x14ac:dyDescent="0.25">
      <c r="A1408" s="16"/>
      <c r="B1408" s="17"/>
      <c r="C1408" s="2"/>
      <c r="D1408" s="2"/>
      <c r="E1408" s="2"/>
      <c r="F1408" s="2"/>
      <c r="G1408" s="2"/>
      <c r="H1408" s="2"/>
      <c r="I1408" s="5"/>
    </row>
    <row r="1409" spans="1:9" ht="17.399999999999999" x14ac:dyDescent="0.25">
      <c r="A1409" s="16"/>
      <c r="B1409" s="17"/>
      <c r="C1409" s="2"/>
      <c r="D1409" s="2"/>
      <c r="E1409" s="2"/>
      <c r="F1409" s="2"/>
      <c r="G1409" s="2"/>
      <c r="H1409" s="2"/>
      <c r="I1409" s="5"/>
    </row>
    <row r="1410" spans="1:9" ht="17.399999999999999" x14ac:dyDescent="0.25">
      <c r="A1410" s="16"/>
      <c r="B1410" s="17"/>
      <c r="C1410" s="2"/>
      <c r="D1410" s="2"/>
      <c r="E1410" s="2"/>
      <c r="F1410" s="2"/>
      <c r="G1410" s="2"/>
      <c r="H1410" s="2"/>
      <c r="I1410" s="5"/>
    </row>
    <row r="1411" spans="1:9" ht="17.399999999999999" x14ac:dyDescent="0.25">
      <c r="A1411" s="16"/>
      <c r="B1411" s="17"/>
      <c r="C1411" s="2"/>
      <c r="D1411" s="2"/>
      <c r="E1411" s="2"/>
      <c r="F1411" s="2"/>
      <c r="G1411" s="2"/>
      <c r="H1411" s="2"/>
      <c r="I1411" s="5"/>
    </row>
    <row r="1412" spans="1:9" ht="17.399999999999999" x14ac:dyDescent="0.25">
      <c r="A1412" s="16"/>
      <c r="B1412" s="17"/>
      <c r="C1412" s="2"/>
      <c r="D1412" s="2"/>
      <c r="E1412" s="2"/>
      <c r="F1412" s="2"/>
      <c r="G1412" s="2"/>
      <c r="H1412" s="2"/>
      <c r="I1412" s="5"/>
    </row>
    <row r="1413" spans="1:9" ht="17.399999999999999" x14ac:dyDescent="0.25">
      <c r="A1413" s="16"/>
      <c r="B1413" s="17"/>
      <c r="C1413" s="2"/>
      <c r="D1413" s="2"/>
      <c r="E1413" s="2"/>
      <c r="F1413" s="2"/>
      <c r="G1413" s="2"/>
      <c r="H1413" s="2"/>
      <c r="I1413" s="5"/>
    </row>
    <row r="1414" spans="1:9" ht="17.399999999999999" x14ac:dyDescent="0.25">
      <c r="A1414" s="16"/>
      <c r="B1414" s="17"/>
      <c r="C1414" s="2"/>
      <c r="D1414" s="2"/>
      <c r="E1414" s="2"/>
      <c r="F1414" s="2"/>
      <c r="G1414" s="2"/>
      <c r="H1414" s="2"/>
      <c r="I1414" s="5"/>
    </row>
    <row r="1415" spans="1:9" ht="17.399999999999999" x14ac:dyDescent="0.25">
      <c r="A1415" s="16"/>
      <c r="B1415" s="17"/>
      <c r="C1415" s="2"/>
      <c r="D1415" s="2"/>
      <c r="E1415" s="2"/>
      <c r="F1415" s="2"/>
      <c r="G1415" s="2"/>
      <c r="H1415" s="2"/>
      <c r="I1415" s="5"/>
    </row>
    <row r="1416" spans="1:9" ht="17.399999999999999" x14ac:dyDescent="0.25">
      <c r="A1416" s="16"/>
      <c r="B1416" s="17"/>
      <c r="C1416" s="2"/>
      <c r="D1416" s="2"/>
      <c r="E1416" s="2"/>
      <c r="F1416" s="2"/>
      <c r="G1416" s="2"/>
      <c r="H1416" s="2"/>
      <c r="I1416" s="5"/>
    </row>
    <row r="1417" spans="1:9" ht="17.399999999999999" x14ac:dyDescent="0.25">
      <c r="A1417" s="16"/>
      <c r="B1417" s="17"/>
      <c r="C1417" s="2"/>
      <c r="D1417" s="2"/>
      <c r="E1417" s="2"/>
      <c r="F1417" s="2"/>
      <c r="G1417" s="2"/>
      <c r="H1417" s="2"/>
      <c r="I1417" s="5"/>
    </row>
    <row r="1418" spans="1:9" ht="17.399999999999999" x14ac:dyDescent="0.25">
      <c r="A1418" s="16"/>
      <c r="B1418" s="17"/>
      <c r="C1418" s="2"/>
      <c r="D1418" s="2"/>
      <c r="E1418" s="2"/>
      <c r="F1418" s="2"/>
      <c r="G1418" s="2"/>
      <c r="H1418" s="2"/>
      <c r="I1418" s="5"/>
    </row>
    <row r="1419" spans="1:9" ht="17.399999999999999" x14ac:dyDescent="0.25">
      <c r="A1419" s="16"/>
      <c r="B1419" s="17"/>
      <c r="C1419" s="2"/>
      <c r="D1419" s="2"/>
      <c r="E1419" s="2"/>
      <c r="F1419" s="2"/>
      <c r="G1419" s="2"/>
      <c r="H1419" s="2"/>
      <c r="I1419" s="5"/>
    </row>
    <row r="1420" spans="1:9" ht="17.399999999999999" x14ac:dyDescent="0.25">
      <c r="A1420" s="16"/>
      <c r="B1420" s="17"/>
      <c r="C1420" s="2"/>
      <c r="D1420" s="2"/>
      <c r="E1420" s="2"/>
      <c r="F1420" s="2"/>
      <c r="G1420" s="2"/>
      <c r="H1420" s="2"/>
      <c r="I1420" s="5"/>
    </row>
    <row r="1421" spans="1:9" ht="17.399999999999999" x14ac:dyDescent="0.25">
      <c r="A1421" s="16"/>
      <c r="B1421" s="17"/>
      <c r="C1421" s="2"/>
      <c r="D1421" s="2"/>
      <c r="E1421" s="2"/>
      <c r="F1421" s="2"/>
      <c r="G1421" s="2"/>
      <c r="H1421" s="2"/>
      <c r="I1421" s="5"/>
    </row>
    <row r="1422" spans="1:9" ht="17.399999999999999" x14ac:dyDescent="0.25">
      <c r="A1422" s="16"/>
      <c r="B1422" s="17"/>
      <c r="C1422" s="2"/>
      <c r="D1422" s="2"/>
      <c r="E1422" s="2"/>
      <c r="F1422" s="2"/>
      <c r="G1422" s="2"/>
      <c r="H1422" s="2"/>
      <c r="I1422" s="5"/>
    </row>
    <row r="1423" spans="1:9" ht="17.399999999999999" x14ac:dyDescent="0.25">
      <c r="A1423" s="16"/>
      <c r="B1423" s="17"/>
      <c r="C1423" s="2"/>
      <c r="D1423" s="2"/>
      <c r="E1423" s="2"/>
      <c r="F1423" s="2"/>
      <c r="G1423" s="2"/>
      <c r="H1423" s="2"/>
      <c r="I1423" s="5"/>
    </row>
    <row r="1424" spans="1:9" ht="17.399999999999999" x14ac:dyDescent="0.25">
      <c r="A1424" s="16"/>
      <c r="B1424" s="17"/>
      <c r="C1424" s="2"/>
      <c r="D1424" s="2"/>
      <c r="E1424" s="2"/>
      <c r="F1424" s="2"/>
      <c r="G1424" s="2"/>
      <c r="H1424" s="2"/>
      <c r="I1424" s="5"/>
    </row>
    <row r="1425" spans="1:9" ht="17.399999999999999" x14ac:dyDescent="0.25">
      <c r="A1425" s="16"/>
      <c r="B1425" s="17"/>
      <c r="C1425" s="2"/>
      <c r="D1425" s="2"/>
      <c r="E1425" s="2"/>
      <c r="F1425" s="2"/>
      <c r="G1425" s="2"/>
      <c r="H1425" s="2"/>
      <c r="I1425" s="5"/>
    </row>
    <row r="1426" spans="1:9" ht="17.399999999999999" x14ac:dyDescent="0.25">
      <c r="A1426" s="16"/>
      <c r="B1426" s="17"/>
      <c r="C1426" s="2"/>
      <c r="D1426" s="2"/>
      <c r="E1426" s="2"/>
      <c r="F1426" s="2"/>
      <c r="G1426" s="2"/>
      <c r="H1426" s="2"/>
      <c r="I1426" s="5"/>
    </row>
    <row r="1427" spans="1:9" ht="17.399999999999999" x14ac:dyDescent="0.25">
      <c r="A1427" s="16"/>
      <c r="B1427" s="17"/>
      <c r="C1427" s="2"/>
      <c r="D1427" s="2"/>
      <c r="E1427" s="2"/>
      <c r="F1427" s="2"/>
      <c r="G1427" s="2"/>
      <c r="H1427" s="2"/>
      <c r="I1427" s="5"/>
    </row>
    <row r="1428" spans="1:9" ht="17.399999999999999" x14ac:dyDescent="0.25">
      <c r="A1428" s="16"/>
      <c r="B1428" s="17"/>
      <c r="C1428" s="2"/>
      <c r="D1428" s="2"/>
      <c r="E1428" s="2"/>
      <c r="F1428" s="2"/>
      <c r="G1428" s="2"/>
      <c r="H1428" s="2"/>
      <c r="I1428" s="5"/>
    </row>
    <row r="1429" spans="1:9" ht="17.399999999999999" x14ac:dyDescent="0.25">
      <c r="A1429" s="16"/>
      <c r="B1429" s="17"/>
      <c r="C1429" s="2"/>
      <c r="D1429" s="2"/>
      <c r="E1429" s="2"/>
      <c r="F1429" s="2"/>
      <c r="G1429" s="2"/>
      <c r="H1429" s="2"/>
      <c r="I1429" s="5"/>
    </row>
    <row r="1430" spans="1:9" ht="17.399999999999999" x14ac:dyDescent="0.25">
      <c r="A1430" s="16"/>
      <c r="B1430" s="17"/>
      <c r="C1430" s="2"/>
      <c r="D1430" s="2"/>
      <c r="E1430" s="2"/>
      <c r="F1430" s="2"/>
      <c r="G1430" s="2"/>
      <c r="H1430" s="2"/>
      <c r="I1430" s="5"/>
    </row>
    <row r="1431" spans="1:9" ht="17.399999999999999" x14ac:dyDescent="0.25">
      <c r="A1431" s="16"/>
      <c r="B1431" s="17"/>
      <c r="C1431" s="2"/>
      <c r="D1431" s="2"/>
      <c r="E1431" s="2"/>
      <c r="F1431" s="2"/>
      <c r="G1431" s="2"/>
      <c r="H1431" s="2"/>
      <c r="I1431" s="5"/>
    </row>
    <row r="1432" spans="1:9" ht="17.399999999999999" x14ac:dyDescent="0.25">
      <c r="A1432" s="16"/>
      <c r="B1432" s="17"/>
      <c r="C1432" s="2"/>
      <c r="D1432" s="2"/>
      <c r="E1432" s="2"/>
      <c r="F1432" s="2"/>
      <c r="G1432" s="2"/>
      <c r="H1432" s="2"/>
      <c r="I1432" s="5"/>
    </row>
    <row r="1433" spans="1:9" ht="17.399999999999999" x14ac:dyDescent="0.25">
      <c r="A1433" s="16"/>
      <c r="B1433" s="17"/>
      <c r="C1433" s="2"/>
      <c r="D1433" s="2"/>
      <c r="E1433" s="2"/>
      <c r="F1433" s="2"/>
      <c r="G1433" s="2"/>
      <c r="H1433" s="2"/>
      <c r="I1433" s="5"/>
    </row>
    <row r="1434" spans="1:9" ht="17.399999999999999" x14ac:dyDescent="0.25">
      <c r="A1434" s="16"/>
      <c r="B1434" s="17"/>
      <c r="C1434" s="2"/>
      <c r="D1434" s="2"/>
      <c r="E1434" s="2"/>
      <c r="F1434" s="2"/>
      <c r="G1434" s="2"/>
      <c r="H1434" s="2"/>
      <c r="I1434" s="5"/>
    </row>
    <row r="1435" spans="1:9" ht="17.399999999999999" x14ac:dyDescent="0.25">
      <c r="A1435" s="16"/>
      <c r="B1435" s="17"/>
      <c r="C1435" s="2"/>
      <c r="D1435" s="2"/>
      <c r="E1435" s="2"/>
      <c r="F1435" s="2"/>
      <c r="G1435" s="2"/>
      <c r="H1435" s="2"/>
      <c r="I1435" s="5"/>
    </row>
    <row r="1436" spans="1:9" ht="17.399999999999999" x14ac:dyDescent="0.25">
      <c r="A1436" s="16"/>
      <c r="B1436" s="17"/>
      <c r="C1436" s="2"/>
      <c r="D1436" s="2"/>
      <c r="E1436" s="2"/>
      <c r="F1436" s="2"/>
      <c r="G1436" s="2"/>
      <c r="H1436" s="2"/>
      <c r="I1436" s="5"/>
    </row>
    <row r="1437" spans="1:9" ht="17.399999999999999" x14ac:dyDescent="0.25">
      <c r="A1437" s="16"/>
      <c r="B1437" s="17"/>
      <c r="C1437" s="2"/>
      <c r="D1437" s="2"/>
      <c r="E1437" s="2"/>
      <c r="F1437" s="2"/>
      <c r="G1437" s="2"/>
      <c r="H1437" s="2"/>
      <c r="I1437" s="5"/>
    </row>
    <row r="1438" spans="1:9" ht="17.399999999999999" x14ac:dyDescent="0.25">
      <c r="A1438" s="16"/>
      <c r="B1438" s="17"/>
      <c r="C1438" s="2"/>
      <c r="D1438" s="2"/>
      <c r="E1438" s="2"/>
      <c r="F1438" s="2"/>
      <c r="G1438" s="2"/>
      <c r="H1438" s="2"/>
      <c r="I1438" s="5"/>
    </row>
    <row r="1439" spans="1:9" ht="17.399999999999999" x14ac:dyDescent="0.25">
      <c r="A1439" s="16"/>
      <c r="B1439" s="17"/>
      <c r="C1439" s="2"/>
      <c r="D1439" s="2"/>
      <c r="E1439" s="2"/>
      <c r="F1439" s="2"/>
      <c r="G1439" s="2"/>
      <c r="H1439" s="2"/>
      <c r="I1439" s="5"/>
    </row>
    <row r="1440" spans="1:9" ht="17.399999999999999" x14ac:dyDescent="0.25">
      <c r="A1440" s="16"/>
      <c r="B1440" s="17"/>
      <c r="C1440" s="2"/>
      <c r="D1440" s="2"/>
      <c r="E1440" s="2"/>
      <c r="F1440" s="2"/>
      <c r="G1440" s="2"/>
      <c r="H1440" s="2"/>
      <c r="I1440" s="5"/>
    </row>
    <row r="1441" spans="1:9" ht="17.399999999999999" x14ac:dyDescent="0.25">
      <c r="A1441" s="16"/>
      <c r="B1441" s="17"/>
      <c r="C1441" s="2"/>
      <c r="D1441" s="2"/>
      <c r="E1441" s="2"/>
      <c r="F1441" s="2"/>
      <c r="G1441" s="2"/>
      <c r="H1441" s="2"/>
      <c r="I1441" s="5"/>
    </row>
    <row r="1442" spans="1:9" ht="17.399999999999999" x14ac:dyDescent="0.25">
      <c r="A1442" s="16"/>
      <c r="B1442" s="17"/>
      <c r="C1442" s="2"/>
      <c r="D1442" s="2"/>
      <c r="E1442" s="2"/>
      <c r="F1442" s="2"/>
      <c r="G1442" s="2"/>
      <c r="H1442" s="2"/>
      <c r="I1442" s="5"/>
    </row>
    <row r="1443" spans="1:9" ht="17.399999999999999" x14ac:dyDescent="0.25">
      <c r="A1443" s="16"/>
      <c r="B1443" s="17"/>
      <c r="C1443" s="2"/>
      <c r="D1443" s="2"/>
      <c r="E1443" s="2"/>
      <c r="F1443" s="2"/>
      <c r="G1443" s="2"/>
      <c r="H1443" s="2"/>
      <c r="I1443" s="5"/>
    </row>
    <row r="1444" spans="1:9" ht="17.399999999999999" x14ac:dyDescent="0.25">
      <c r="A1444" s="16"/>
      <c r="B1444" s="17"/>
      <c r="C1444" s="2"/>
      <c r="D1444" s="2"/>
      <c r="E1444" s="2"/>
      <c r="F1444" s="2"/>
      <c r="G1444" s="2"/>
      <c r="H1444" s="2"/>
      <c r="I1444" s="5"/>
    </row>
    <row r="1445" spans="1:9" ht="17.399999999999999" x14ac:dyDescent="0.25">
      <c r="A1445" s="16"/>
      <c r="B1445" s="17"/>
      <c r="C1445" s="2"/>
      <c r="D1445" s="2"/>
      <c r="E1445" s="2"/>
      <c r="F1445" s="2"/>
      <c r="G1445" s="2"/>
      <c r="H1445" s="2"/>
      <c r="I1445" s="5"/>
    </row>
    <row r="1446" spans="1:9" ht="17.399999999999999" x14ac:dyDescent="0.25">
      <c r="A1446" s="16"/>
      <c r="B1446" s="17"/>
      <c r="C1446" s="2"/>
      <c r="D1446" s="2"/>
      <c r="E1446" s="2"/>
      <c r="F1446" s="2"/>
      <c r="G1446" s="2"/>
      <c r="H1446" s="2"/>
      <c r="I1446" s="5"/>
    </row>
    <row r="1447" spans="1:9" ht="17.399999999999999" x14ac:dyDescent="0.25">
      <c r="A1447" s="16"/>
      <c r="B1447" s="17"/>
      <c r="C1447" s="2"/>
      <c r="D1447" s="2"/>
      <c r="E1447" s="2"/>
      <c r="F1447" s="2"/>
      <c r="G1447" s="2"/>
      <c r="H1447" s="2"/>
      <c r="I1447" s="5"/>
    </row>
    <row r="1448" spans="1:9" ht="17.399999999999999" x14ac:dyDescent="0.25">
      <c r="A1448" s="16"/>
      <c r="B1448" s="17"/>
      <c r="C1448" s="2"/>
      <c r="D1448" s="2"/>
      <c r="E1448" s="2"/>
      <c r="F1448" s="2"/>
      <c r="G1448" s="2"/>
      <c r="H1448" s="2"/>
      <c r="I1448" s="5"/>
    </row>
    <row r="1449" spans="1:9" ht="17.399999999999999" x14ac:dyDescent="0.25">
      <c r="A1449" s="16"/>
      <c r="B1449" s="17"/>
      <c r="C1449" s="2"/>
      <c r="D1449" s="2"/>
      <c r="E1449" s="2"/>
      <c r="F1449" s="2"/>
      <c r="G1449" s="2"/>
      <c r="H1449" s="2"/>
      <c r="I1449" s="5"/>
    </row>
    <row r="1450" spans="1:9" ht="17.399999999999999" x14ac:dyDescent="0.25">
      <c r="A1450" s="16"/>
      <c r="B1450" s="17"/>
      <c r="C1450" s="2"/>
      <c r="D1450" s="2"/>
      <c r="E1450" s="2"/>
      <c r="F1450" s="2"/>
      <c r="G1450" s="2"/>
      <c r="H1450" s="2"/>
      <c r="I1450" s="5"/>
    </row>
    <row r="1451" spans="1:9" ht="17.399999999999999" x14ac:dyDescent="0.25">
      <c r="A1451" s="16"/>
      <c r="B1451" s="17"/>
      <c r="C1451" s="2"/>
      <c r="D1451" s="2"/>
      <c r="E1451" s="2"/>
      <c r="F1451" s="2"/>
      <c r="G1451" s="2"/>
      <c r="H1451" s="2"/>
      <c r="I1451" s="5"/>
    </row>
    <row r="1452" spans="1:9" ht="17.399999999999999" x14ac:dyDescent="0.25">
      <c r="A1452" s="16"/>
      <c r="B1452" s="17"/>
      <c r="C1452" s="2"/>
      <c r="D1452" s="2"/>
      <c r="E1452" s="2"/>
      <c r="F1452" s="2"/>
      <c r="G1452" s="2"/>
      <c r="H1452" s="2"/>
      <c r="I1452" s="5"/>
    </row>
    <row r="1453" spans="1:9" ht="17.399999999999999" x14ac:dyDescent="0.25">
      <c r="A1453" s="16"/>
      <c r="B1453" s="17"/>
      <c r="C1453" s="2"/>
      <c r="D1453" s="2"/>
      <c r="E1453" s="2"/>
      <c r="F1453" s="2"/>
      <c r="G1453" s="2"/>
      <c r="H1453" s="2"/>
      <c r="I1453" s="5"/>
    </row>
    <row r="1454" spans="1:9" ht="17.399999999999999" x14ac:dyDescent="0.25">
      <c r="A1454" s="16"/>
      <c r="B1454" s="17"/>
      <c r="C1454" s="2"/>
      <c r="D1454" s="2"/>
      <c r="E1454" s="2"/>
      <c r="F1454" s="2"/>
      <c r="G1454" s="2"/>
      <c r="H1454" s="2"/>
      <c r="I1454" s="5"/>
    </row>
    <row r="1455" spans="1:9" ht="17.399999999999999" x14ac:dyDescent="0.25">
      <c r="A1455" s="16"/>
      <c r="B1455" s="17"/>
      <c r="C1455" s="2"/>
      <c r="D1455" s="2"/>
      <c r="E1455" s="2"/>
      <c r="F1455" s="2"/>
      <c r="G1455" s="2"/>
      <c r="H1455" s="2"/>
      <c r="I1455" s="5"/>
    </row>
    <row r="1456" spans="1:9" ht="17.399999999999999" x14ac:dyDescent="0.25">
      <c r="A1456" s="16"/>
      <c r="B1456" s="17"/>
      <c r="C1456" s="2"/>
      <c r="D1456" s="2"/>
      <c r="E1456" s="2"/>
      <c r="F1456" s="2"/>
      <c r="G1456" s="2"/>
      <c r="H1456" s="2"/>
      <c r="I1456" s="5"/>
    </row>
    <row r="1457" spans="1:9" ht="17.399999999999999" x14ac:dyDescent="0.25">
      <c r="A1457" s="16"/>
      <c r="B1457" s="17"/>
      <c r="C1457" s="2"/>
      <c r="D1457" s="2"/>
      <c r="E1457" s="2"/>
      <c r="F1457" s="2"/>
      <c r="G1457" s="2"/>
      <c r="H1457" s="2"/>
      <c r="I1457" s="5"/>
    </row>
    <row r="1458" spans="1:9" ht="17.399999999999999" x14ac:dyDescent="0.25">
      <c r="A1458" s="16"/>
      <c r="B1458" s="17"/>
      <c r="C1458" s="2"/>
      <c r="D1458" s="2"/>
      <c r="E1458" s="2"/>
      <c r="F1458" s="2"/>
      <c r="G1458" s="2"/>
      <c r="H1458" s="2"/>
      <c r="I1458" s="5"/>
    </row>
    <row r="1459" spans="1:9" ht="17.399999999999999" x14ac:dyDescent="0.25">
      <c r="A1459" s="16"/>
      <c r="B1459" s="17"/>
      <c r="C1459" s="2"/>
      <c r="D1459" s="2"/>
      <c r="E1459" s="2"/>
      <c r="F1459" s="2"/>
      <c r="G1459" s="2"/>
      <c r="H1459" s="2"/>
      <c r="I1459" s="5"/>
    </row>
    <row r="1460" spans="1:9" ht="17.399999999999999" x14ac:dyDescent="0.25">
      <c r="A1460" s="16"/>
      <c r="B1460" s="17"/>
      <c r="C1460" s="2"/>
      <c r="D1460" s="2"/>
      <c r="E1460" s="2"/>
      <c r="F1460" s="2"/>
      <c r="G1460" s="2"/>
      <c r="H1460" s="2"/>
      <c r="I1460" s="5"/>
    </row>
    <row r="1461" spans="1:9" ht="17.399999999999999" x14ac:dyDescent="0.25">
      <c r="A1461" s="16"/>
      <c r="B1461" s="17"/>
      <c r="C1461" s="2"/>
      <c r="D1461" s="2"/>
      <c r="E1461" s="2"/>
      <c r="F1461" s="2"/>
      <c r="G1461" s="2"/>
      <c r="H1461" s="2"/>
      <c r="I1461" s="5"/>
    </row>
    <row r="1462" spans="1:9" ht="17.399999999999999" x14ac:dyDescent="0.25">
      <c r="A1462" s="16"/>
      <c r="B1462" s="17"/>
      <c r="C1462" s="2"/>
      <c r="D1462" s="2"/>
      <c r="E1462" s="2"/>
      <c r="F1462" s="2"/>
      <c r="G1462" s="2"/>
      <c r="H1462" s="2"/>
      <c r="I1462" s="5"/>
    </row>
    <row r="1463" spans="1:9" ht="17.399999999999999" x14ac:dyDescent="0.25">
      <c r="A1463" s="16"/>
      <c r="B1463" s="17"/>
      <c r="C1463" s="2"/>
      <c r="D1463" s="2"/>
      <c r="E1463" s="2"/>
      <c r="F1463" s="2"/>
      <c r="G1463" s="2"/>
      <c r="H1463" s="2"/>
      <c r="I1463" s="5"/>
    </row>
    <row r="1464" spans="1:9" ht="17.399999999999999" x14ac:dyDescent="0.25">
      <c r="A1464" s="16"/>
      <c r="B1464" s="17"/>
      <c r="C1464" s="2"/>
      <c r="D1464" s="2"/>
      <c r="E1464" s="2"/>
      <c r="F1464" s="2"/>
      <c r="G1464" s="2"/>
      <c r="H1464" s="2"/>
      <c r="I1464" s="5"/>
    </row>
    <row r="1465" spans="1:9" ht="17.399999999999999" x14ac:dyDescent="0.25">
      <c r="A1465" s="16"/>
      <c r="B1465" s="17"/>
      <c r="C1465" s="2"/>
      <c r="D1465" s="2"/>
      <c r="E1465" s="2"/>
      <c r="F1465" s="2"/>
      <c r="G1465" s="2"/>
      <c r="H1465" s="2"/>
      <c r="I1465" s="5"/>
    </row>
    <row r="1466" spans="1:9" ht="17.399999999999999" x14ac:dyDescent="0.25">
      <c r="A1466" s="16"/>
      <c r="B1466" s="17"/>
      <c r="C1466" s="2"/>
      <c r="D1466" s="2"/>
      <c r="E1466" s="2"/>
      <c r="F1466" s="2"/>
      <c r="G1466" s="2"/>
      <c r="H1466" s="2"/>
      <c r="I1466" s="5"/>
    </row>
    <row r="1467" spans="1:9" ht="17.399999999999999" x14ac:dyDescent="0.25">
      <c r="A1467" s="16"/>
      <c r="B1467" s="17"/>
      <c r="C1467" s="2"/>
      <c r="D1467" s="2"/>
      <c r="E1467" s="2"/>
      <c r="F1467" s="2"/>
      <c r="G1467" s="2"/>
      <c r="H1467" s="2"/>
      <c r="I1467" s="5"/>
    </row>
    <row r="1468" spans="1:9" ht="17.399999999999999" x14ac:dyDescent="0.25">
      <c r="A1468" s="16"/>
      <c r="B1468" s="17"/>
      <c r="C1468" s="2"/>
      <c r="D1468" s="2"/>
      <c r="E1468" s="2"/>
      <c r="F1468" s="2"/>
      <c r="G1468" s="2"/>
      <c r="H1468" s="2"/>
      <c r="I1468" s="5"/>
    </row>
    <row r="1469" spans="1:9" ht="17.399999999999999" x14ac:dyDescent="0.25">
      <c r="A1469" s="16"/>
      <c r="B1469" s="17"/>
      <c r="C1469" s="2"/>
      <c r="D1469" s="2"/>
      <c r="E1469" s="2"/>
      <c r="F1469" s="2"/>
      <c r="G1469" s="2"/>
      <c r="H1469" s="2"/>
      <c r="I1469" s="5"/>
    </row>
    <row r="1470" spans="1:9" ht="17.399999999999999" x14ac:dyDescent="0.25">
      <c r="A1470" s="16"/>
      <c r="B1470" s="17"/>
      <c r="C1470" s="2"/>
      <c r="D1470" s="2"/>
      <c r="E1470" s="2"/>
      <c r="F1470" s="2"/>
      <c r="G1470" s="2"/>
      <c r="H1470" s="2"/>
      <c r="I1470" s="5"/>
    </row>
    <row r="1471" spans="1:9" ht="17.399999999999999" x14ac:dyDescent="0.25">
      <c r="A1471" s="16"/>
      <c r="B1471" s="17"/>
      <c r="C1471" s="2"/>
      <c r="D1471" s="2"/>
      <c r="E1471" s="2"/>
      <c r="F1471" s="2"/>
      <c r="G1471" s="2"/>
      <c r="H1471" s="2"/>
      <c r="I1471" s="5"/>
    </row>
    <row r="1472" spans="1:9" ht="17.399999999999999" x14ac:dyDescent="0.25">
      <c r="A1472" s="16"/>
      <c r="B1472" s="17"/>
      <c r="C1472" s="2"/>
      <c r="D1472" s="2"/>
      <c r="E1472" s="2"/>
      <c r="F1472" s="2"/>
      <c r="G1472" s="2"/>
      <c r="H1472" s="2"/>
      <c r="I1472" s="5"/>
    </row>
    <row r="1473" spans="1:9" ht="17.399999999999999" x14ac:dyDescent="0.25">
      <c r="A1473" s="16"/>
      <c r="B1473" s="17"/>
      <c r="C1473" s="2"/>
      <c r="D1473" s="2"/>
      <c r="E1473" s="2"/>
      <c r="F1473" s="2"/>
      <c r="G1473" s="2"/>
      <c r="H1473" s="2"/>
      <c r="I1473" s="5"/>
    </row>
    <row r="1474" spans="1:9" ht="17.399999999999999" x14ac:dyDescent="0.25">
      <c r="A1474" s="16"/>
      <c r="B1474" s="17"/>
      <c r="C1474" s="2"/>
      <c r="D1474" s="2"/>
      <c r="E1474" s="2"/>
      <c r="F1474" s="2"/>
      <c r="G1474" s="2"/>
      <c r="H1474" s="2"/>
      <c r="I1474" s="5"/>
    </row>
    <row r="1475" spans="1:9" ht="17.399999999999999" x14ac:dyDescent="0.25">
      <c r="A1475" s="16"/>
      <c r="B1475" s="17"/>
      <c r="C1475" s="2"/>
      <c r="D1475" s="2"/>
      <c r="E1475" s="2"/>
      <c r="F1475" s="2"/>
      <c r="G1475" s="2"/>
      <c r="H1475" s="2"/>
      <c r="I1475" s="5"/>
    </row>
    <row r="1476" spans="1:9" ht="17.399999999999999" x14ac:dyDescent="0.25">
      <c r="A1476" s="16"/>
      <c r="B1476" s="17"/>
      <c r="C1476" s="2"/>
      <c r="D1476" s="2"/>
      <c r="E1476" s="2"/>
      <c r="F1476" s="2"/>
      <c r="G1476" s="2"/>
      <c r="H1476" s="2"/>
      <c r="I1476" s="5"/>
    </row>
    <row r="1477" spans="1:9" ht="17.399999999999999" x14ac:dyDescent="0.25">
      <c r="A1477" s="16"/>
      <c r="B1477" s="17"/>
      <c r="C1477" s="2"/>
      <c r="D1477" s="2"/>
      <c r="E1477" s="2"/>
      <c r="F1477" s="2"/>
      <c r="G1477" s="2"/>
      <c r="H1477" s="2"/>
      <c r="I1477" s="5"/>
    </row>
    <row r="1478" spans="1:9" ht="17.399999999999999" x14ac:dyDescent="0.25">
      <c r="A1478" s="16"/>
      <c r="B1478" s="17"/>
      <c r="C1478" s="2"/>
      <c r="D1478" s="2"/>
      <c r="E1478" s="2"/>
      <c r="F1478" s="2"/>
      <c r="G1478" s="2"/>
      <c r="H1478" s="2"/>
      <c r="I1478" s="5"/>
    </row>
    <row r="1479" spans="1:9" ht="17.399999999999999" x14ac:dyDescent="0.25">
      <c r="A1479" s="16"/>
      <c r="B1479" s="17"/>
      <c r="C1479" s="2"/>
      <c r="D1479" s="2"/>
      <c r="E1479" s="2"/>
      <c r="F1479" s="2"/>
      <c r="G1479" s="2"/>
      <c r="H1479" s="2"/>
      <c r="I1479" s="5"/>
    </row>
    <row r="1480" spans="1:9" ht="17.399999999999999" x14ac:dyDescent="0.25">
      <c r="A1480" s="16"/>
      <c r="B1480" s="17"/>
      <c r="C1480" s="2"/>
      <c r="D1480" s="2"/>
      <c r="E1480" s="2"/>
      <c r="F1480" s="2"/>
      <c r="G1480" s="2"/>
      <c r="H1480" s="2"/>
      <c r="I1480" s="5"/>
    </row>
    <row r="1481" spans="1:9" ht="17.399999999999999" x14ac:dyDescent="0.25">
      <c r="A1481" s="16"/>
      <c r="B1481" s="17"/>
      <c r="C1481" s="2"/>
      <c r="D1481" s="2"/>
      <c r="E1481" s="2"/>
      <c r="F1481" s="2"/>
      <c r="G1481" s="2"/>
      <c r="H1481" s="2"/>
      <c r="I1481" s="5"/>
    </row>
    <row r="1482" spans="1:9" ht="17.399999999999999" x14ac:dyDescent="0.25">
      <c r="A1482" s="16"/>
      <c r="B1482" s="17"/>
      <c r="C1482" s="2"/>
      <c r="D1482" s="2"/>
      <c r="E1482" s="2"/>
      <c r="F1482" s="2"/>
      <c r="G1482" s="2"/>
      <c r="H1482" s="2"/>
      <c r="I1482" s="5"/>
    </row>
    <row r="1483" spans="1:9" ht="17.399999999999999" x14ac:dyDescent="0.25">
      <c r="A1483" s="16"/>
      <c r="B1483" s="17"/>
      <c r="C1483" s="2"/>
      <c r="D1483" s="2"/>
      <c r="E1483" s="2"/>
      <c r="F1483" s="2"/>
      <c r="G1483" s="2"/>
      <c r="H1483" s="2"/>
      <c r="I1483" s="5"/>
    </row>
    <row r="1484" spans="1:9" ht="17.399999999999999" x14ac:dyDescent="0.25">
      <c r="A1484" s="16"/>
      <c r="B1484" s="17"/>
      <c r="C1484" s="2"/>
      <c r="D1484" s="2"/>
      <c r="E1484" s="2"/>
      <c r="F1484" s="2"/>
      <c r="G1484" s="2"/>
      <c r="H1484" s="2"/>
      <c r="I1484" s="5"/>
    </row>
    <row r="1485" spans="1:9" ht="17.399999999999999" x14ac:dyDescent="0.25">
      <c r="A1485" s="16"/>
      <c r="B1485" s="17"/>
      <c r="C1485" s="2"/>
      <c r="D1485" s="2"/>
      <c r="E1485" s="2"/>
      <c r="F1485" s="2"/>
      <c r="G1485" s="2"/>
      <c r="H1485" s="2"/>
      <c r="I1485" s="5"/>
    </row>
    <row r="1486" spans="1:9" ht="17.399999999999999" x14ac:dyDescent="0.25">
      <c r="A1486" s="16"/>
      <c r="B1486" s="17"/>
      <c r="C1486" s="2"/>
      <c r="D1486" s="2"/>
      <c r="E1486" s="2"/>
      <c r="F1486" s="2"/>
      <c r="G1486" s="2"/>
      <c r="H1486" s="2"/>
      <c r="I1486" s="5"/>
    </row>
    <row r="1487" spans="1:9" ht="17.399999999999999" x14ac:dyDescent="0.25">
      <c r="A1487" s="16"/>
      <c r="B1487" s="17"/>
      <c r="C1487" s="2"/>
      <c r="D1487" s="2"/>
      <c r="E1487" s="2"/>
      <c r="F1487" s="2"/>
      <c r="G1487" s="2"/>
      <c r="H1487" s="2"/>
      <c r="I1487" s="5"/>
    </row>
    <row r="1488" spans="1:9" ht="17.399999999999999" x14ac:dyDescent="0.25">
      <c r="A1488" s="16"/>
      <c r="B1488" s="17"/>
      <c r="C1488" s="2"/>
      <c r="D1488" s="2"/>
      <c r="E1488" s="2"/>
      <c r="F1488" s="2"/>
      <c r="G1488" s="2"/>
      <c r="H1488" s="2"/>
      <c r="I1488" s="5"/>
    </row>
    <row r="1489" spans="1:9" ht="17.399999999999999" x14ac:dyDescent="0.25">
      <c r="A1489" s="16"/>
      <c r="B1489" s="17"/>
      <c r="C1489" s="2"/>
      <c r="D1489" s="2"/>
      <c r="E1489" s="2"/>
      <c r="F1489" s="2"/>
      <c r="G1489" s="2"/>
      <c r="H1489" s="2"/>
      <c r="I1489" s="5"/>
    </row>
    <row r="1490" spans="1:9" ht="17.399999999999999" x14ac:dyDescent="0.25">
      <c r="A1490" s="16"/>
      <c r="B1490" s="17"/>
      <c r="C1490" s="2"/>
      <c r="D1490" s="2"/>
      <c r="E1490" s="2"/>
      <c r="F1490" s="2"/>
      <c r="G1490" s="2"/>
      <c r="H1490" s="2"/>
      <c r="I1490" s="5"/>
    </row>
    <row r="1491" spans="1:9" ht="17.399999999999999" x14ac:dyDescent="0.25">
      <c r="A1491" s="16"/>
      <c r="B1491" s="17"/>
      <c r="C1491" s="2"/>
      <c r="D1491" s="2"/>
      <c r="E1491" s="2"/>
      <c r="F1491" s="2"/>
      <c r="G1491" s="2"/>
      <c r="H1491" s="2"/>
      <c r="I1491" s="5"/>
    </row>
    <row r="1492" spans="1:9" ht="17.399999999999999" x14ac:dyDescent="0.25">
      <c r="A1492" s="16"/>
      <c r="B1492" s="17"/>
      <c r="C1492" s="2"/>
      <c r="D1492" s="2"/>
      <c r="E1492" s="2"/>
      <c r="F1492" s="2"/>
      <c r="G1492" s="2"/>
      <c r="H1492" s="2"/>
      <c r="I1492" s="5"/>
    </row>
    <row r="1493" spans="1:9" ht="17.399999999999999" x14ac:dyDescent="0.25">
      <c r="A1493" s="16"/>
      <c r="B1493" s="17"/>
      <c r="C1493" s="2"/>
      <c r="D1493" s="2"/>
      <c r="E1493" s="2"/>
      <c r="F1493" s="2"/>
      <c r="G1493" s="2"/>
      <c r="H1493" s="2"/>
      <c r="I1493" s="5"/>
    </row>
    <row r="1494" spans="1:9" ht="17.399999999999999" x14ac:dyDescent="0.25">
      <c r="A1494" s="16"/>
      <c r="B1494" s="17"/>
      <c r="C1494" s="2"/>
      <c r="D1494" s="2"/>
      <c r="E1494" s="2"/>
      <c r="F1494" s="2"/>
      <c r="G1494" s="2"/>
      <c r="H1494" s="2"/>
      <c r="I1494" s="5"/>
    </row>
    <row r="1495" spans="1:9" ht="17.399999999999999" x14ac:dyDescent="0.25">
      <c r="A1495" s="16"/>
      <c r="B1495" s="17"/>
      <c r="C1495" s="2"/>
      <c r="D1495" s="2"/>
      <c r="E1495" s="2"/>
      <c r="F1495" s="2"/>
      <c r="G1495" s="2"/>
      <c r="H1495" s="2"/>
      <c r="I1495" s="5"/>
    </row>
    <row r="1496" spans="1:9" ht="17.399999999999999" x14ac:dyDescent="0.25">
      <c r="A1496" s="16"/>
      <c r="B1496" s="17"/>
      <c r="C1496" s="2"/>
      <c r="D1496" s="2"/>
      <c r="E1496" s="2"/>
      <c r="F1496" s="2"/>
      <c r="G1496" s="2"/>
      <c r="H1496" s="2"/>
      <c r="I1496" s="5"/>
    </row>
    <row r="1497" spans="1:9" ht="17.399999999999999" x14ac:dyDescent="0.25">
      <c r="A1497" s="16"/>
      <c r="B1497" s="17"/>
      <c r="C1497" s="2"/>
      <c r="D1497" s="2"/>
      <c r="E1497" s="2"/>
      <c r="F1497" s="2"/>
      <c r="G1497" s="2"/>
      <c r="H1497" s="2"/>
      <c r="I1497" s="5"/>
    </row>
    <row r="1498" spans="1:9" ht="17.399999999999999" x14ac:dyDescent="0.25">
      <c r="A1498" s="16"/>
      <c r="B1498" s="17"/>
      <c r="C1498" s="2"/>
      <c r="D1498" s="2"/>
      <c r="E1498" s="2"/>
      <c r="F1498" s="2"/>
      <c r="G1498" s="2"/>
      <c r="H1498" s="2"/>
      <c r="I1498" s="5"/>
    </row>
    <row r="1499" spans="1:9" ht="17.399999999999999" x14ac:dyDescent="0.25">
      <c r="A1499" s="16"/>
      <c r="B1499" s="17"/>
      <c r="C1499" s="2"/>
      <c r="D1499" s="2"/>
      <c r="E1499" s="2"/>
      <c r="F1499" s="2"/>
      <c r="G1499" s="2"/>
      <c r="H1499" s="2"/>
      <c r="I1499" s="5"/>
    </row>
    <row r="1500" spans="1:9" ht="17.399999999999999" x14ac:dyDescent="0.25">
      <c r="A1500" s="16"/>
      <c r="B1500" s="17"/>
      <c r="C1500" s="2"/>
      <c r="D1500" s="2"/>
      <c r="E1500" s="2"/>
      <c r="F1500" s="2"/>
      <c r="G1500" s="2"/>
      <c r="H1500" s="2"/>
      <c r="I1500" s="5"/>
    </row>
    <row r="1501" spans="1:9" ht="17.399999999999999" x14ac:dyDescent="0.25">
      <c r="A1501" s="16"/>
      <c r="B1501" s="17"/>
      <c r="C1501" s="2"/>
      <c r="D1501" s="2"/>
      <c r="E1501" s="2"/>
      <c r="F1501" s="2"/>
      <c r="G1501" s="2"/>
      <c r="H1501" s="2"/>
      <c r="I1501" s="5"/>
    </row>
    <row r="1502" spans="1:9" ht="17.399999999999999" x14ac:dyDescent="0.25">
      <c r="A1502" s="16"/>
      <c r="B1502" s="17"/>
      <c r="C1502" s="2"/>
      <c r="D1502" s="2"/>
      <c r="E1502" s="2"/>
      <c r="F1502" s="2"/>
      <c r="G1502" s="2"/>
      <c r="H1502" s="2"/>
      <c r="I1502" s="5"/>
    </row>
    <row r="1503" spans="1:9" ht="17.399999999999999" x14ac:dyDescent="0.25">
      <c r="A1503" s="16"/>
      <c r="B1503" s="17"/>
      <c r="C1503" s="2"/>
      <c r="D1503" s="2"/>
      <c r="E1503" s="2"/>
      <c r="F1503" s="2"/>
      <c r="G1503" s="2"/>
      <c r="H1503" s="2"/>
      <c r="I1503" s="5"/>
    </row>
    <row r="1504" spans="1:9" ht="17.399999999999999" x14ac:dyDescent="0.25">
      <c r="A1504" s="16"/>
      <c r="B1504" s="17"/>
      <c r="C1504" s="2"/>
      <c r="D1504" s="2"/>
      <c r="E1504" s="2"/>
      <c r="F1504" s="2"/>
      <c r="G1504" s="2"/>
      <c r="H1504" s="2"/>
      <c r="I1504" s="5"/>
    </row>
    <row r="1505" spans="1:9" ht="17.399999999999999" x14ac:dyDescent="0.25">
      <c r="A1505" s="16"/>
      <c r="B1505" s="17"/>
      <c r="C1505" s="2"/>
      <c r="D1505" s="2"/>
      <c r="E1505" s="2"/>
      <c r="F1505" s="2"/>
      <c r="G1505" s="2"/>
      <c r="H1505" s="2"/>
      <c r="I1505" s="5"/>
    </row>
    <row r="1506" spans="1:9" ht="17.399999999999999" x14ac:dyDescent="0.25">
      <c r="A1506" s="16"/>
      <c r="B1506" s="17"/>
      <c r="C1506" s="2"/>
      <c r="D1506" s="2"/>
      <c r="E1506" s="2"/>
      <c r="F1506" s="2"/>
      <c r="G1506" s="2"/>
      <c r="H1506" s="2"/>
      <c r="I1506" s="5"/>
    </row>
    <row r="1507" spans="1:9" ht="17.399999999999999" x14ac:dyDescent="0.25">
      <c r="A1507" s="16"/>
      <c r="B1507" s="17"/>
      <c r="C1507" s="2"/>
      <c r="D1507" s="2"/>
      <c r="E1507" s="2"/>
      <c r="F1507" s="2"/>
      <c r="G1507" s="2"/>
      <c r="H1507" s="2"/>
      <c r="I1507" s="5"/>
    </row>
    <row r="1508" spans="1:9" ht="17.399999999999999" x14ac:dyDescent="0.25">
      <c r="A1508" s="16"/>
      <c r="B1508" s="17"/>
      <c r="C1508" s="2"/>
      <c r="D1508" s="2"/>
      <c r="E1508" s="2"/>
      <c r="F1508" s="2"/>
      <c r="G1508" s="2"/>
      <c r="H1508" s="2"/>
      <c r="I1508" s="5"/>
    </row>
    <row r="1509" spans="1:9" ht="17.399999999999999" x14ac:dyDescent="0.25">
      <c r="A1509" s="16"/>
      <c r="B1509" s="17"/>
      <c r="C1509" s="2"/>
      <c r="D1509" s="2"/>
      <c r="E1509" s="2"/>
      <c r="F1509" s="2"/>
      <c r="G1509" s="2"/>
      <c r="H1509" s="2"/>
      <c r="I1509" s="5"/>
    </row>
    <row r="1510" spans="1:9" ht="17.399999999999999" x14ac:dyDescent="0.25">
      <c r="A1510" s="16"/>
      <c r="B1510" s="17"/>
      <c r="C1510" s="2"/>
      <c r="D1510" s="2"/>
      <c r="E1510" s="2"/>
      <c r="F1510" s="2"/>
      <c r="G1510" s="2"/>
      <c r="H1510" s="2"/>
      <c r="I1510" s="5"/>
    </row>
    <row r="1511" spans="1:9" ht="17.399999999999999" x14ac:dyDescent="0.25">
      <c r="A1511" s="16"/>
      <c r="B1511" s="17"/>
      <c r="C1511" s="2"/>
      <c r="D1511" s="2"/>
      <c r="E1511" s="2"/>
      <c r="F1511" s="2"/>
      <c r="G1511" s="2"/>
      <c r="H1511" s="2"/>
      <c r="I1511" s="5"/>
    </row>
    <row r="1512" spans="1:9" ht="17.399999999999999" x14ac:dyDescent="0.25">
      <c r="A1512" s="16"/>
      <c r="B1512" s="17"/>
      <c r="C1512" s="2"/>
      <c r="D1512" s="2"/>
      <c r="E1512" s="2"/>
      <c r="F1512" s="2"/>
      <c r="G1512" s="2"/>
      <c r="H1512" s="2"/>
      <c r="I1512" s="5"/>
    </row>
    <row r="1513" spans="1:9" ht="17.399999999999999" x14ac:dyDescent="0.25">
      <c r="A1513" s="16"/>
      <c r="B1513" s="17"/>
      <c r="C1513" s="2"/>
      <c r="D1513" s="2"/>
      <c r="E1513" s="2"/>
      <c r="F1513" s="2"/>
      <c r="G1513" s="2"/>
      <c r="H1513" s="2"/>
      <c r="I1513" s="5"/>
    </row>
    <row r="1514" spans="1:9" ht="17.399999999999999" x14ac:dyDescent="0.25">
      <c r="A1514" s="16"/>
      <c r="B1514" s="17"/>
      <c r="C1514" s="2"/>
      <c r="D1514" s="2"/>
      <c r="E1514" s="2"/>
      <c r="F1514" s="2"/>
      <c r="G1514" s="2"/>
      <c r="H1514" s="2"/>
      <c r="I1514" s="5"/>
    </row>
    <row r="1515" spans="1:9" ht="17.399999999999999" x14ac:dyDescent="0.25">
      <c r="A1515" s="16"/>
      <c r="B1515" s="17"/>
      <c r="C1515" s="2"/>
      <c r="D1515" s="2"/>
      <c r="E1515" s="2"/>
      <c r="F1515" s="2"/>
      <c r="G1515" s="2"/>
      <c r="H1515" s="2"/>
      <c r="I1515" s="5"/>
    </row>
    <row r="1516" spans="1:9" ht="17.399999999999999" x14ac:dyDescent="0.25">
      <c r="A1516" s="16"/>
      <c r="B1516" s="17"/>
      <c r="C1516" s="2"/>
      <c r="D1516" s="2"/>
      <c r="E1516" s="2"/>
      <c r="F1516" s="2"/>
      <c r="G1516" s="2"/>
      <c r="H1516" s="2"/>
      <c r="I1516" s="5"/>
    </row>
    <row r="1517" spans="1:9" ht="17.399999999999999" x14ac:dyDescent="0.25">
      <c r="A1517" s="16"/>
      <c r="B1517" s="17"/>
      <c r="C1517" s="2"/>
      <c r="D1517" s="2"/>
      <c r="E1517" s="2"/>
      <c r="F1517" s="2"/>
      <c r="G1517" s="2"/>
      <c r="H1517" s="2"/>
      <c r="I1517" s="5"/>
    </row>
    <row r="1518" spans="1:9" ht="17.399999999999999" x14ac:dyDescent="0.25">
      <c r="A1518" s="16"/>
      <c r="B1518" s="17"/>
      <c r="C1518" s="2"/>
      <c r="D1518" s="2"/>
      <c r="E1518" s="2"/>
      <c r="F1518" s="2"/>
      <c r="G1518" s="2"/>
      <c r="H1518" s="2"/>
      <c r="I1518" s="5"/>
    </row>
    <row r="1519" spans="1:9" ht="17.399999999999999" x14ac:dyDescent="0.25">
      <c r="A1519" s="16"/>
      <c r="B1519" s="17"/>
      <c r="C1519" s="2"/>
      <c r="D1519" s="2"/>
      <c r="E1519" s="2"/>
      <c r="F1519" s="2"/>
      <c r="G1519" s="2"/>
      <c r="H1519" s="2"/>
      <c r="I1519" s="5"/>
    </row>
    <row r="1520" spans="1:9" ht="17.399999999999999" x14ac:dyDescent="0.25">
      <c r="A1520" s="16"/>
      <c r="B1520" s="17"/>
      <c r="C1520" s="2"/>
      <c r="D1520" s="2"/>
      <c r="E1520" s="2"/>
      <c r="F1520" s="2"/>
      <c r="G1520" s="2"/>
      <c r="H1520" s="2"/>
      <c r="I1520" s="5"/>
    </row>
    <row r="1521" spans="1:9" ht="17.399999999999999" x14ac:dyDescent="0.25">
      <c r="A1521" s="16"/>
      <c r="B1521" s="17"/>
      <c r="C1521" s="2"/>
      <c r="D1521" s="2"/>
      <c r="E1521" s="2"/>
      <c r="F1521" s="2"/>
      <c r="G1521" s="2"/>
      <c r="H1521" s="2"/>
      <c r="I1521" s="5"/>
    </row>
    <row r="1522" spans="1:9" ht="17.399999999999999" x14ac:dyDescent="0.25">
      <c r="A1522" s="16"/>
      <c r="B1522" s="17"/>
      <c r="C1522" s="2"/>
      <c r="D1522" s="2"/>
      <c r="E1522" s="2"/>
      <c r="F1522" s="2"/>
      <c r="G1522" s="2"/>
      <c r="H1522" s="2"/>
      <c r="I1522" s="5"/>
    </row>
    <row r="1523" spans="1:9" ht="17.399999999999999" x14ac:dyDescent="0.25">
      <c r="A1523" s="16"/>
      <c r="B1523" s="17"/>
      <c r="C1523" s="2"/>
      <c r="D1523" s="2"/>
      <c r="E1523" s="2"/>
      <c r="F1523" s="2"/>
      <c r="G1523" s="2"/>
      <c r="H1523" s="2"/>
      <c r="I1523" s="5"/>
    </row>
    <row r="1524" spans="1:9" ht="17.399999999999999" x14ac:dyDescent="0.25">
      <c r="A1524" s="16"/>
      <c r="B1524" s="17"/>
      <c r="C1524" s="2"/>
      <c r="D1524" s="2"/>
      <c r="E1524" s="2"/>
      <c r="F1524" s="2"/>
      <c r="G1524" s="2"/>
      <c r="H1524" s="2"/>
      <c r="I1524" s="5"/>
    </row>
    <row r="1525" spans="1:9" ht="17.399999999999999" x14ac:dyDescent="0.25">
      <c r="A1525" s="16"/>
      <c r="B1525" s="17"/>
      <c r="C1525" s="2"/>
      <c r="D1525" s="2"/>
      <c r="E1525" s="2"/>
      <c r="F1525" s="2"/>
      <c r="G1525" s="2"/>
      <c r="H1525" s="2"/>
      <c r="I1525" s="5"/>
    </row>
    <row r="1526" spans="1:9" ht="17.399999999999999" x14ac:dyDescent="0.25">
      <c r="A1526" s="16"/>
      <c r="B1526" s="17"/>
      <c r="C1526" s="2"/>
      <c r="D1526" s="2"/>
      <c r="E1526" s="2"/>
      <c r="F1526" s="2"/>
      <c r="G1526" s="2"/>
      <c r="H1526" s="2"/>
      <c r="I1526" s="5"/>
    </row>
    <row r="1527" spans="1:9" ht="17.399999999999999" x14ac:dyDescent="0.25">
      <c r="A1527" s="16"/>
      <c r="B1527" s="17"/>
      <c r="C1527" s="2"/>
      <c r="D1527" s="2"/>
      <c r="E1527" s="2"/>
      <c r="F1527" s="2"/>
      <c r="G1527" s="2"/>
      <c r="H1527" s="2"/>
      <c r="I1527" s="5"/>
    </row>
    <row r="1528" spans="1:9" ht="17.399999999999999" x14ac:dyDescent="0.25">
      <c r="A1528" s="16"/>
      <c r="B1528" s="17"/>
      <c r="C1528" s="2"/>
      <c r="D1528" s="2"/>
      <c r="E1528" s="2"/>
      <c r="F1528" s="2"/>
      <c r="G1528" s="2"/>
      <c r="H1528" s="2"/>
      <c r="I1528" s="5"/>
    </row>
    <row r="1529" spans="1:9" ht="17.399999999999999" x14ac:dyDescent="0.25">
      <c r="A1529" s="16"/>
      <c r="B1529" s="17"/>
      <c r="C1529" s="2"/>
      <c r="D1529" s="2"/>
      <c r="E1529" s="2"/>
      <c r="F1529" s="2"/>
      <c r="G1529" s="2"/>
      <c r="H1529" s="2"/>
      <c r="I1529" s="5"/>
    </row>
    <row r="1530" spans="1:9" ht="17.399999999999999" x14ac:dyDescent="0.25">
      <c r="A1530" s="16"/>
      <c r="B1530" s="17"/>
      <c r="C1530" s="2"/>
      <c r="D1530" s="2"/>
      <c r="E1530" s="2"/>
      <c r="F1530" s="2"/>
      <c r="G1530" s="2"/>
      <c r="H1530" s="2"/>
      <c r="I1530" s="5"/>
    </row>
    <row r="1531" spans="1:9" ht="17.399999999999999" x14ac:dyDescent="0.25">
      <c r="A1531" s="16"/>
      <c r="B1531" s="17"/>
      <c r="C1531" s="2"/>
      <c r="D1531" s="2"/>
      <c r="E1531" s="2"/>
      <c r="F1531" s="2"/>
      <c r="G1531" s="2"/>
      <c r="H1531" s="2"/>
      <c r="I1531" s="5"/>
    </row>
    <row r="1532" spans="1:9" ht="17.399999999999999" x14ac:dyDescent="0.25">
      <c r="A1532" s="16"/>
      <c r="B1532" s="17"/>
      <c r="C1532" s="2"/>
      <c r="D1532" s="2"/>
      <c r="E1532" s="2"/>
      <c r="F1532" s="2"/>
      <c r="G1532" s="2"/>
      <c r="H1532" s="2"/>
      <c r="I1532" s="5"/>
    </row>
    <row r="1533" spans="1:9" ht="17.399999999999999" x14ac:dyDescent="0.25">
      <c r="A1533" s="16"/>
      <c r="B1533" s="17"/>
      <c r="C1533" s="2"/>
      <c r="D1533" s="2"/>
      <c r="E1533" s="2"/>
      <c r="F1533" s="2"/>
      <c r="G1533" s="2"/>
      <c r="H1533" s="2"/>
      <c r="I1533" s="5"/>
    </row>
    <row r="1534" spans="1:9" ht="17.399999999999999" x14ac:dyDescent="0.25">
      <c r="A1534" s="16"/>
      <c r="B1534" s="17"/>
      <c r="C1534" s="2"/>
      <c r="D1534" s="2"/>
      <c r="E1534" s="2"/>
      <c r="F1534" s="2"/>
      <c r="G1534" s="2"/>
      <c r="H1534" s="2"/>
      <c r="I1534" s="5"/>
    </row>
    <row r="1535" spans="1:9" ht="17.399999999999999" x14ac:dyDescent="0.25">
      <c r="A1535" s="16"/>
      <c r="B1535" s="17"/>
      <c r="C1535" s="2"/>
      <c r="D1535" s="2"/>
      <c r="E1535" s="2"/>
      <c r="F1535" s="2"/>
      <c r="G1535" s="2"/>
      <c r="H1535" s="2"/>
      <c r="I1535" s="5"/>
    </row>
    <row r="1536" spans="1:9" ht="17.399999999999999" x14ac:dyDescent="0.25">
      <c r="A1536" s="16"/>
      <c r="B1536" s="17"/>
      <c r="C1536" s="2"/>
      <c r="D1536" s="2"/>
      <c r="E1536" s="2"/>
      <c r="F1536" s="2"/>
      <c r="G1536" s="2"/>
      <c r="H1536" s="2"/>
      <c r="I1536" s="5"/>
    </row>
    <row r="1537" spans="1:9" ht="17.399999999999999" x14ac:dyDescent="0.25">
      <c r="A1537" s="16"/>
      <c r="B1537" s="17"/>
      <c r="C1537" s="2"/>
      <c r="D1537" s="2"/>
      <c r="E1537" s="2"/>
      <c r="F1537" s="2"/>
      <c r="G1537" s="2"/>
      <c r="H1537" s="2"/>
      <c r="I1537" s="5"/>
    </row>
    <row r="1538" spans="1:9" ht="17.399999999999999" x14ac:dyDescent="0.25">
      <c r="A1538" s="16"/>
      <c r="B1538" s="17"/>
      <c r="C1538" s="2"/>
      <c r="D1538" s="2"/>
      <c r="E1538" s="2"/>
      <c r="F1538" s="2"/>
      <c r="G1538" s="2"/>
      <c r="H1538" s="2"/>
      <c r="I1538" s="5"/>
    </row>
    <row r="1539" spans="1:9" ht="17.399999999999999" x14ac:dyDescent="0.25">
      <c r="A1539" s="16"/>
      <c r="B1539" s="17"/>
      <c r="C1539" s="2"/>
      <c r="D1539" s="2"/>
      <c r="E1539" s="2"/>
      <c r="F1539" s="2"/>
      <c r="G1539" s="2"/>
      <c r="H1539" s="2"/>
      <c r="I1539" s="5"/>
    </row>
    <row r="1540" spans="1:9" ht="17.399999999999999" x14ac:dyDescent="0.25">
      <c r="A1540" s="16"/>
      <c r="B1540" s="17"/>
      <c r="C1540" s="2"/>
      <c r="D1540" s="2"/>
      <c r="E1540" s="2"/>
      <c r="F1540" s="2"/>
      <c r="G1540" s="2"/>
      <c r="H1540" s="2"/>
      <c r="I1540" s="5"/>
    </row>
    <row r="1541" spans="1:9" ht="17.399999999999999" x14ac:dyDescent="0.25">
      <c r="A1541" s="16"/>
      <c r="B1541" s="17"/>
      <c r="C1541" s="2"/>
      <c r="D1541" s="2"/>
      <c r="E1541" s="2"/>
      <c r="F1541" s="2"/>
      <c r="G1541" s="2"/>
      <c r="H1541" s="2"/>
      <c r="I1541" s="5"/>
    </row>
    <row r="1542" spans="1:9" ht="17.399999999999999" x14ac:dyDescent="0.25">
      <c r="A1542" s="16"/>
      <c r="B1542" s="17"/>
      <c r="C1542" s="2"/>
      <c r="D1542" s="2"/>
      <c r="E1542" s="2"/>
      <c r="F1542" s="2"/>
      <c r="G1542" s="2"/>
      <c r="H1542" s="2"/>
      <c r="I1542" s="5"/>
    </row>
    <row r="1543" spans="1:9" ht="17.399999999999999" x14ac:dyDescent="0.25">
      <c r="A1543" s="16"/>
      <c r="B1543" s="17"/>
      <c r="C1543" s="2"/>
      <c r="D1543" s="2"/>
      <c r="E1543" s="2"/>
      <c r="F1543" s="2"/>
      <c r="G1543" s="2"/>
      <c r="H1543" s="2"/>
      <c r="I1543" s="5"/>
    </row>
    <row r="1544" spans="1:9" ht="17.399999999999999" x14ac:dyDescent="0.25">
      <c r="A1544" s="16"/>
      <c r="B1544" s="17"/>
      <c r="C1544" s="2"/>
      <c r="D1544" s="2"/>
      <c r="E1544" s="2"/>
      <c r="F1544" s="2"/>
      <c r="G1544" s="2"/>
      <c r="H1544" s="2"/>
      <c r="I1544" s="5"/>
    </row>
    <row r="1545" spans="1:9" ht="17.399999999999999" x14ac:dyDescent="0.25">
      <c r="A1545" s="16"/>
      <c r="B1545" s="17"/>
      <c r="C1545" s="2"/>
      <c r="D1545" s="2"/>
      <c r="E1545" s="2"/>
      <c r="F1545" s="2"/>
      <c r="G1545" s="2"/>
      <c r="H1545" s="2"/>
      <c r="I1545" s="5"/>
    </row>
    <row r="1546" spans="1:9" ht="17.399999999999999" x14ac:dyDescent="0.25">
      <c r="A1546" s="16"/>
      <c r="B1546" s="17"/>
      <c r="C1546" s="2"/>
      <c r="D1546" s="2"/>
      <c r="E1546" s="2"/>
      <c r="F1546" s="2"/>
      <c r="G1546" s="2"/>
      <c r="H1546" s="2"/>
      <c r="I1546" s="5"/>
    </row>
    <row r="1547" spans="1:9" ht="17.399999999999999" x14ac:dyDescent="0.25">
      <c r="A1547" s="16"/>
      <c r="B1547" s="17"/>
      <c r="C1547" s="2"/>
      <c r="D1547" s="2"/>
      <c r="E1547" s="2"/>
      <c r="F1547" s="2"/>
      <c r="G1547" s="2"/>
      <c r="H1547" s="2"/>
      <c r="I1547" s="5"/>
    </row>
    <row r="1548" spans="1:9" ht="17.399999999999999" x14ac:dyDescent="0.25">
      <c r="A1548" s="16"/>
      <c r="B1548" s="17"/>
      <c r="C1548" s="2"/>
      <c r="D1548" s="2"/>
      <c r="E1548" s="2"/>
      <c r="F1548" s="2"/>
      <c r="G1548" s="2"/>
      <c r="H1548" s="2"/>
      <c r="I1548" s="5"/>
    </row>
    <row r="1549" spans="1:9" ht="17.399999999999999" x14ac:dyDescent="0.25">
      <c r="A1549" s="16"/>
      <c r="B1549" s="17"/>
      <c r="C1549" s="2"/>
      <c r="D1549" s="2"/>
      <c r="E1549" s="2"/>
      <c r="F1549" s="2"/>
      <c r="G1549" s="2"/>
      <c r="H1549" s="2"/>
      <c r="I1549" s="5"/>
    </row>
    <row r="1550" spans="1:9" ht="17.399999999999999" x14ac:dyDescent="0.25">
      <c r="A1550" s="16"/>
      <c r="B1550" s="17"/>
      <c r="C1550" s="2"/>
      <c r="D1550" s="2"/>
      <c r="E1550" s="2"/>
      <c r="F1550" s="2"/>
      <c r="G1550" s="2"/>
      <c r="H1550" s="2"/>
      <c r="I1550" s="5"/>
    </row>
    <row r="1551" spans="1:9" ht="17.399999999999999" x14ac:dyDescent="0.25">
      <c r="A1551" s="16"/>
      <c r="B1551" s="17"/>
      <c r="C1551" s="2"/>
      <c r="D1551" s="2"/>
      <c r="E1551" s="2"/>
      <c r="F1551" s="2"/>
      <c r="G1551" s="2"/>
      <c r="H1551" s="2"/>
      <c r="I1551" s="5"/>
    </row>
    <row r="1552" spans="1:9" ht="17.399999999999999" x14ac:dyDescent="0.25">
      <c r="A1552" s="16"/>
      <c r="B1552" s="17"/>
      <c r="C1552" s="2"/>
      <c r="D1552" s="2"/>
      <c r="E1552" s="2"/>
      <c r="F1552" s="2"/>
      <c r="G1552" s="2"/>
      <c r="H1552" s="2"/>
      <c r="I1552" s="5"/>
    </row>
    <row r="1553" spans="1:9" ht="17.399999999999999" x14ac:dyDescent="0.25">
      <c r="A1553" s="16"/>
      <c r="B1553" s="17"/>
      <c r="C1553" s="2"/>
      <c r="D1553" s="2"/>
      <c r="E1553" s="2"/>
      <c r="F1553" s="2"/>
      <c r="G1553" s="2"/>
      <c r="H1553" s="2"/>
      <c r="I1553" s="5"/>
    </row>
    <row r="1554" spans="1:9" ht="17.399999999999999" x14ac:dyDescent="0.25">
      <c r="A1554" s="16"/>
      <c r="B1554" s="17"/>
      <c r="C1554" s="2"/>
      <c r="D1554" s="2"/>
      <c r="E1554" s="2"/>
      <c r="F1554" s="2"/>
      <c r="G1554" s="2"/>
      <c r="H1554" s="2"/>
      <c r="I1554" s="5"/>
    </row>
    <row r="1555" spans="1:9" ht="17.399999999999999" x14ac:dyDescent="0.25">
      <c r="A1555" s="16"/>
      <c r="B1555" s="17"/>
      <c r="C1555" s="2"/>
      <c r="D1555" s="2"/>
      <c r="E1555" s="2"/>
      <c r="F1555" s="2"/>
      <c r="G1555" s="2"/>
      <c r="H1555" s="2"/>
      <c r="I1555" s="5"/>
    </row>
    <row r="1556" spans="1:9" ht="17.399999999999999" x14ac:dyDescent="0.25">
      <c r="A1556" s="16"/>
      <c r="B1556" s="17"/>
      <c r="C1556" s="2"/>
      <c r="D1556" s="2"/>
      <c r="E1556" s="2"/>
      <c r="F1556" s="2"/>
      <c r="G1556" s="2"/>
      <c r="H1556" s="2"/>
      <c r="I1556" s="5"/>
    </row>
    <row r="1557" spans="1:9" ht="17.399999999999999" x14ac:dyDescent="0.25">
      <c r="A1557" s="16"/>
      <c r="B1557" s="17"/>
      <c r="C1557" s="2"/>
      <c r="D1557" s="2"/>
      <c r="E1557" s="2"/>
      <c r="F1557" s="2"/>
      <c r="G1557" s="2"/>
      <c r="H1557" s="2"/>
      <c r="I1557" s="5"/>
    </row>
    <row r="1558" spans="1:9" ht="17.399999999999999" x14ac:dyDescent="0.25">
      <c r="A1558" s="16"/>
      <c r="B1558" s="17"/>
      <c r="C1558" s="2"/>
      <c r="D1558" s="2"/>
      <c r="E1558" s="2"/>
      <c r="F1558" s="2"/>
      <c r="G1558" s="2"/>
      <c r="H1558" s="2"/>
      <c r="I1558" s="5"/>
    </row>
    <row r="1559" spans="1:9" ht="17.399999999999999" x14ac:dyDescent="0.25">
      <c r="A1559" s="16"/>
      <c r="B1559" s="17"/>
      <c r="C1559" s="2"/>
      <c r="D1559" s="2"/>
      <c r="E1559" s="2"/>
      <c r="F1559" s="2"/>
      <c r="G1559" s="2"/>
      <c r="H1559" s="2"/>
      <c r="I1559" s="5"/>
    </row>
    <row r="1560" spans="1:9" ht="17.399999999999999" x14ac:dyDescent="0.25">
      <c r="A1560" s="16"/>
      <c r="B1560" s="17"/>
      <c r="C1560" s="2"/>
      <c r="D1560" s="2"/>
      <c r="E1560" s="2"/>
      <c r="F1560" s="2"/>
      <c r="G1560" s="2"/>
      <c r="H1560" s="2"/>
      <c r="I1560" s="5"/>
    </row>
    <row r="1561" spans="1:9" ht="17.399999999999999" x14ac:dyDescent="0.25">
      <c r="A1561" s="16"/>
      <c r="B1561" s="17"/>
      <c r="C1561" s="2"/>
      <c r="D1561" s="2"/>
      <c r="E1561" s="2"/>
      <c r="F1561" s="2"/>
      <c r="G1561" s="2"/>
      <c r="H1561" s="2"/>
      <c r="I1561" s="5"/>
    </row>
    <row r="1562" spans="1:9" ht="17.399999999999999" x14ac:dyDescent="0.25">
      <c r="A1562" s="16"/>
      <c r="B1562" s="17"/>
      <c r="C1562" s="2"/>
      <c r="D1562" s="2"/>
      <c r="E1562" s="2"/>
      <c r="F1562" s="2"/>
      <c r="G1562" s="2"/>
      <c r="H1562" s="2"/>
      <c r="I1562" s="5"/>
    </row>
    <row r="1563" spans="1:9" ht="17.399999999999999" x14ac:dyDescent="0.25">
      <c r="A1563" s="16"/>
      <c r="B1563" s="17"/>
      <c r="C1563" s="2"/>
      <c r="D1563" s="2"/>
      <c r="E1563" s="2"/>
      <c r="F1563" s="2"/>
      <c r="G1563" s="2"/>
      <c r="H1563" s="2"/>
      <c r="I1563" s="5"/>
    </row>
    <row r="1564" spans="1:9" ht="17.399999999999999" x14ac:dyDescent="0.25">
      <c r="A1564" s="16"/>
      <c r="B1564" s="17"/>
      <c r="C1564" s="2"/>
      <c r="D1564" s="2"/>
      <c r="E1564" s="2"/>
      <c r="F1564" s="2"/>
      <c r="G1564" s="2"/>
      <c r="H1564" s="2"/>
      <c r="I1564" s="5"/>
    </row>
    <row r="1565" spans="1:9" ht="17.399999999999999" x14ac:dyDescent="0.25">
      <c r="A1565" s="16"/>
      <c r="B1565" s="17"/>
      <c r="C1565" s="2"/>
      <c r="D1565" s="2"/>
      <c r="E1565" s="2"/>
      <c r="F1565" s="2"/>
      <c r="G1565" s="2"/>
      <c r="H1565" s="2"/>
      <c r="I1565" s="5"/>
    </row>
    <row r="1566" spans="1:9" ht="17.399999999999999" x14ac:dyDescent="0.25">
      <c r="A1566" s="16"/>
      <c r="B1566" s="17"/>
      <c r="C1566" s="2"/>
      <c r="D1566" s="2"/>
      <c r="E1566" s="2"/>
      <c r="F1566" s="2"/>
      <c r="G1566" s="2"/>
      <c r="H1566" s="2"/>
      <c r="I1566" s="5"/>
    </row>
    <row r="1567" spans="1:9" ht="17.399999999999999" x14ac:dyDescent="0.25">
      <c r="A1567" s="16"/>
      <c r="B1567" s="17"/>
      <c r="C1567" s="2"/>
      <c r="D1567" s="2"/>
      <c r="E1567" s="2"/>
      <c r="F1567" s="2"/>
      <c r="G1567" s="2"/>
      <c r="H1567" s="2"/>
      <c r="I1567" s="5"/>
    </row>
    <row r="1568" spans="1:9" ht="17.399999999999999" x14ac:dyDescent="0.25">
      <c r="A1568" s="16"/>
      <c r="B1568" s="17"/>
      <c r="C1568" s="2"/>
      <c r="D1568" s="2"/>
      <c r="E1568" s="2"/>
      <c r="F1568" s="2"/>
      <c r="G1568" s="2"/>
      <c r="H1568" s="2"/>
      <c r="I1568" s="5"/>
    </row>
    <row r="1569" spans="1:9" ht="17.399999999999999" x14ac:dyDescent="0.25">
      <c r="A1569" s="16"/>
      <c r="B1569" s="17"/>
      <c r="C1569" s="2"/>
      <c r="D1569" s="2"/>
      <c r="E1569" s="2"/>
      <c r="F1569" s="2"/>
      <c r="G1569" s="2"/>
      <c r="H1569" s="2"/>
      <c r="I1569" s="5"/>
    </row>
    <row r="1570" spans="1:9" ht="17.399999999999999" x14ac:dyDescent="0.25">
      <c r="A1570" s="16"/>
      <c r="B1570" s="17"/>
      <c r="C1570" s="2"/>
      <c r="D1570" s="2"/>
      <c r="E1570" s="2"/>
      <c r="F1570" s="2"/>
      <c r="G1570" s="2"/>
      <c r="H1570" s="2"/>
      <c r="I1570" s="5"/>
    </row>
    <row r="1571" spans="1:9" ht="17.399999999999999" x14ac:dyDescent="0.25">
      <c r="A1571" s="16"/>
      <c r="B1571" s="17"/>
      <c r="C1571" s="2"/>
      <c r="D1571" s="2"/>
      <c r="E1571" s="2"/>
      <c r="F1571" s="2"/>
      <c r="G1571" s="2"/>
      <c r="H1571" s="2"/>
      <c r="I1571" s="5"/>
    </row>
    <row r="1572" spans="1:9" ht="17.399999999999999" x14ac:dyDescent="0.25">
      <c r="A1572" s="16"/>
      <c r="B1572" s="17"/>
      <c r="C1572" s="2"/>
      <c r="D1572" s="2"/>
      <c r="E1572" s="2"/>
      <c r="F1572" s="2"/>
      <c r="G1572" s="2"/>
      <c r="H1572" s="2"/>
      <c r="I1572" s="5"/>
    </row>
    <row r="1573" spans="1:9" ht="17.399999999999999" x14ac:dyDescent="0.25">
      <c r="A1573" s="16"/>
      <c r="B1573" s="17"/>
      <c r="C1573" s="2"/>
      <c r="D1573" s="2"/>
      <c r="E1573" s="2"/>
      <c r="F1573" s="2"/>
      <c r="G1573" s="2"/>
      <c r="H1573" s="2"/>
      <c r="I1573" s="5"/>
    </row>
    <row r="1574" spans="1:9" ht="17.399999999999999" x14ac:dyDescent="0.25">
      <c r="A1574" s="16"/>
      <c r="B1574" s="17"/>
      <c r="C1574" s="2"/>
      <c r="D1574" s="2"/>
      <c r="E1574" s="2"/>
      <c r="F1574" s="2"/>
      <c r="G1574" s="2"/>
      <c r="H1574" s="2"/>
      <c r="I1574" s="5"/>
    </row>
    <row r="1575" spans="1:9" ht="17.399999999999999" x14ac:dyDescent="0.25">
      <c r="A1575" s="16"/>
      <c r="B1575" s="17"/>
      <c r="C1575" s="2"/>
      <c r="D1575" s="2"/>
      <c r="E1575" s="2"/>
      <c r="F1575" s="2"/>
      <c r="G1575" s="2"/>
      <c r="H1575" s="2"/>
      <c r="I1575" s="5"/>
    </row>
    <row r="1576" spans="1:9" ht="17.399999999999999" x14ac:dyDescent="0.25">
      <c r="A1576" s="16"/>
      <c r="B1576" s="17"/>
      <c r="C1576" s="2"/>
      <c r="D1576" s="2"/>
      <c r="E1576" s="2"/>
      <c r="F1576" s="2"/>
      <c r="G1576" s="2"/>
      <c r="H1576" s="2"/>
      <c r="I1576" s="5"/>
    </row>
    <row r="1577" spans="1:9" ht="17.399999999999999" x14ac:dyDescent="0.25">
      <c r="A1577" s="16"/>
      <c r="B1577" s="17"/>
      <c r="C1577" s="2"/>
      <c r="D1577" s="2"/>
      <c r="E1577" s="2"/>
      <c r="F1577" s="2"/>
      <c r="G1577" s="2"/>
      <c r="H1577" s="2"/>
      <c r="I1577" s="5"/>
    </row>
    <row r="1578" spans="1:9" ht="17.399999999999999" x14ac:dyDescent="0.25">
      <c r="A1578" s="16"/>
      <c r="B1578" s="17"/>
      <c r="C1578" s="2"/>
      <c r="D1578" s="2"/>
      <c r="E1578" s="2"/>
      <c r="F1578" s="2"/>
      <c r="G1578" s="2"/>
      <c r="H1578" s="2"/>
      <c r="I1578" s="5"/>
    </row>
    <row r="1579" spans="1:9" ht="17.399999999999999" x14ac:dyDescent="0.25">
      <c r="A1579" s="16"/>
      <c r="B1579" s="17"/>
      <c r="C1579" s="2"/>
      <c r="D1579" s="2"/>
      <c r="E1579" s="2"/>
      <c r="F1579" s="2"/>
      <c r="G1579" s="2"/>
      <c r="H1579" s="2"/>
      <c r="I1579" s="5"/>
    </row>
    <row r="1580" spans="1:9" ht="17.399999999999999" x14ac:dyDescent="0.25">
      <c r="A1580" s="16"/>
      <c r="B1580" s="17"/>
      <c r="C1580" s="2"/>
      <c r="D1580" s="2"/>
      <c r="E1580" s="2"/>
      <c r="F1580" s="2"/>
      <c r="G1580" s="2"/>
      <c r="H1580" s="2"/>
      <c r="I1580" s="5"/>
    </row>
    <row r="1581" spans="1:9" ht="17.399999999999999" x14ac:dyDescent="0.25">
      <c r="A1581" s="16"/>
      <c r="B1581" s="17"/>
      <c r="C1581" s="2"/>
      <c r="D1581" s="2"/>
      <c r="E1581" s="2"/>
      <c r="F1581" s="2"/>
      <c r="G1581" s="2"/>
      <c r="H1581" s="2"/>
      <c r="I1581" s="5"/>
    </row>
    <row r="1582" spans="1:9" ht="17.399999999999999" x14ac:dyDescent="0.25">
      <c r="A1582" s="16"/>
      <c r="B1582" s="17"/>
      <c r="C1582" s="2"/>
      <c r="D1582" s="2"/>
      <c r="E1582" s="2"/>
      <c r="F1582" s="2"/>
      <c r="G1582" s="2"/>
      <c r="H1582" s="2"/>
      <c r="I1582" s="5"/>
    </row>
    <row r="1583" spans="1:9" ht="17.399999999999999" x14ac:dyDescent="0.25">
      <c r="A1583" s="16"/>
      <c r="B1583" s="17"/>
      <c r="C1583" s="2"/>
      <c r="D1583" s="2"/>
      <c r="E1583" s="2"/>
      <c r="F1583" s="2"/>
      <c r="G1583" s="2"/>
      <c r="H1583" s="2"/>
      <c r="I1583" s="5"/>
    </row>
    <row r="1584" spans="1:9" ht="17.399999999999999" x14ac:dyDescent="0.25">
      <c r="A1584" s="16"/>
      <c r="B1584" s="17"/>
      <c r="C1584" s="2"/>
      <c r="D1584" s="2"/>
      <c r="E1584" s="2"/>
      <c r="F1584" s="2"/>
      <c r="G1584" s="2"/>
      <c r="H1584" s="2"/>
      <c r="I1584" s="5"/>
    </row>
    <row r="1585" spans="1:9" ht="17.399999999999999" x14ac:dyDescent="0.25">
      <c r="A1585" s="16"/>
      <c r="B1585" s="17"/>
      <c r="C1585" s="2"/>
      <c r="D1585" s="2"/>
      <c r="E1585" s="2"/>
      <c r="F1585" s="2"/>
      <c r="G1585" s="2"/>
      <c r="H1585" s="2"/>
      <c r="I1585" s="5"/>
    </row>
    <row r="1586" spans="1:9" ht="17.399999999999999" x14ac:dyDescent="0.25">
      <c r="A1586" s="16"/>
      <c r="B1586" s="17"/>
      <c r="C1586" s="2"/>
      <c r="D1586" s="2"/>
      <c r="E1586" s="2"/>
      <c r="F1586" s="2"/>
      <c r="G1586" s="2"/>
      <c r="H1586" s="2"/>
      <c r="I1586" s="5"/>
    </row>
    <row r="1587" spans="1:9" ht="17.399999999999999" x14ac:dyDescent="0.25">
      <c r="A1587" s="16"/>
      <c r="B1587" s="17"/>
      <c r="C1587" s="2"/>
      <c r="D1587" s="2"/>
      <c r="E1587" s="2"/>
      <c r="F1587" s="2"/>
      <c r="G1587" s="2"/>
      <c r="H1587" s="2"/>
      <c r="I1587" s="5"/>
    </row>
    <row r="1588" spans="1:9" ht="17.399999999999999" x14ac:dyDescent="0.25">
      <c r="A1588" s="16"/>
      <c r="B1588" s="17"/>
      <c r="C1588" s="2"/>
      <c r="D1588" s="2"/>
      <c r="E1588" s="2"/>
      <c r="F1588" s="2"/>
      <c r="G1588" s="2"/>
      <c r="H1588" s="2"/>
      <c r="I1588" s="5"/>
    </row>
    <row r="1589" spans="1:9" ht="17.399999999999999" x14ac:dyDescent="0.25">
      <c r="A1589" s="16"/>
      <c r="B1589" s="17"/>
      <c r="C1589" s="2"/>
      <c r="D1589" s="2"/>
      <c r="E1589" s="2"/>
      <c r="F1589" s="2"/>
      <c r="G1589" s="2"/>
      <c r="H1589" s="2"/>
      <c r="I1589" s="5"/>
    </row>
    <row r="1590" spans="1:9" ht="17.399999999999999" x14ac:dyDescent="0.25">
      <c r="A1590" s="16"/>
      <c r="B1590" s="17"/>
      <c r="C1590" s="2"/>
      <c r="D1590" s="2"/>
      <c r="E1590" s="2"/>
      <c r="F1590" s="2"/>
      <c r="G1590" s="2"/>
      <c r="H1590" s="2"/>
      <c r="I1590" s="5"/>
    </row>
    <row r="1591" spans="1:9" ht="17.399999999999999" x14ac:dyDescent="0.25">
      <c r="A1591" s="16"/>
      <c r="B1591" s="17"/>
      <c r="C1591" s="2"/>
      <c r="D1591" s="2"/>
      <c r="E1591" s="2"/>
      <c r="F1591" s="2"/>
      <c r="G1591" s="2"/>
      <c r="H1591" s="2"/>
      <c r="I1591" s="5"/>
    </row>
    <row r="1592" spans="1:9" ht="17.399999999999999" x14ac:dyDescent="0.25">
      <c r="A1592" s="16"/>
      <c r="B1592" s="17"/>
      <c r="C1592" s="2"/>
      <c r="D1592" s="2"/>
      <c r="E1592" s="2"/>
      <c r="F1592" s="2"/>
      <c r="G1592" s="2"/>
      <c r="H1592" s="2"/>
      <c r="I1592" s="5"/>
    </row>
    <row r="1593" spans="1:9" ht="17.399999999999999" x14ac:dyDescent="0.25">
      <c r="A1593" s="16"/>
      <c r="B1593" s="17"/>
      <c r="C1593" s="2"/>
      <c r="D1593" s="2"/>
      <c r="E1593" s="2"/>
      <c r="F1593" s="2"/>
      <c r="G1593" s="2"/>
      <c r="H1593" s="2"/>
      <c r="I1593" s="5"/>
    </row>
    <row r="1594" spans="1:9" ht="17.399999999999999" x14ac:dyDescent="0.25">
      <c r="A1594" s="16"/>
      <c r="B1594" s="17"/>
      <c r="C1594" s="2"/>
      <c r="D1594" s="2"/>
      <c r="E1594" s="2"/>
      <c r="F1594" s="2"/>
      <c r="G1594" s="2"/>
      <c r="H1594" s="2"/>
      <c r="I1594" s="5"/>
    </row>
    <row r="1595" spans="1:9" ht="17.399999999999999" x14ac:dyDescent="0.25">
      <c r="A1595" s="16"/>
      <c r="B1595" s="17"/>
      <c r="C1595" s="2"/>
      <c r="D1595" s="2"/>
      <c r="E1595" s="2"/>
      <c r="F1595" s="2"/>
      <c r="G1595" s="2"/>
      <c r="H1595" s="2"/>
      <c r="I1595" s="5"/>
    </row>
    <row r="1596" spans="1:9" ht="17.399999999999999" x14ac:dyDescent="0.25">
      <c r="A1596" s="16"/>
      <c r="B1596" s="17"/>
      <c r="C1596" s="2"/>
      <c r="D1596" s="2"/>
      <c r="E1596" s="2"/>
      <c r="F1596" s="2"/>
      <c r="G1596" s="2"/>
      <c r="H1596" s="2"/>
      <c r="I1596" s="5"/>
    </row>
    <row r="1597" spans="1:9" ht="17.399999999999999" x14ac:dyDescent="0.25">
      <c r="A1597" s="16"/>
      <c r="B1597" s="17"/>
      <c r="C1597" s="2"/>
      <c r="D1597" s="2"/>
      <c r="E1597" s="2"/>
      <c r="F1597" s="2"/>
      <c r="G1597" s="2"/>
      <c r="H1597" s="2"/>
      <c r="I1597" s="5"/>
    </row>
    <row r="1598" spans="1:9" ht="17.399999999999999" x14ac:dyDescent="0.25">
      <c r="A1598" s="16"/>
      <c r="B1598" s="17"/>
      <c r="C1598" s="2"/>
      <c r="D1598" s="2"/>
      <c r="E1598" s="2"/>
      <c r="F1598" s="2"/>
      <c r="G1598" s="2"/>
      <c r="H1598" s="2"/>
      <c r="I1598" s="5"/>
    </row>
    <row r="1599" spans="1:9" ht="17.399999999999999" x14ac:dyDescent="0.25">
      <c r="A1599" s="16"/>
      <c r="B1599" s="17"/>
      <c r="C1599" s="2"/>
      <c r="D1599" s="2"/>
      <c r="E1599" s="2"/>
      <c r="F1599" s="2"/>
      <c r="G1599" s="2"/>
      <c r="H1599" s="2"/>
      <c r="I1599" s="5"/>
    </row>
    <row r="1600" spans="1:9" ht="17.399999999999999" x14ac:dyDescent="0.25">
      <c r="A1600" s="16"/>
      <c r="B1600" s="17"/>
      <c r="C1600" s="2"/>
      <c r="D1600" s="2"/>
      <c r="E1600" s="2"/>
      <c r="F1600" s="2"/>
      <c r="G1600" s="2"/>
      <c r="H1600" s="2"/>
      <c r="I1600" s="5"/>
    </row>
    <row r="1601" spans="1:9" ht="17.399999999999999" x14ac:dyDescent="0.25">
      <c r="A1601" s="16"/>
      <c r="B1601" s="17"/>
      <c r="C1601" s="2"/>
      <c r="D1601" s="2"/>
      <c r="E1601" s="2"/>
      <c r="F1601" s="2"/>
      <c r="G1601" s="2"/>
      <c r="H1601" s="2"/>
      <c r="I1601" s="5"/>
    </row>
    <row r="1602" spans="1:9" ht="17.399999999999999" x14ac:dyDescent="0.25">
      <c r="A1602" s="16"/>
      <c r="B1602" s="17"/>
      <c r="C1602" s="2"/>
      <c r="D1602" s="2"/>
      <c r="E1602" s="2"/>
      <c r="F1602" s="2"/>
      <c r="G1602" s="2"/>
      <c r="H1602" s="2"/>
      <c r="I1602" s="5"/>
    </row>
    <row r="1603" spans="1:9" ht="17.399999999999999" x14ac:dyDescent="0.25">
      <c r="A1603" s="16"/>
      <c r="B1603" s="17"/>
      <c r="C1603" s="2"/>
      <c r="D1603" s="2"/>
      <c r="E1603" s="2"/>
      <c r="F1603" s="2"/>
      <c r="G1603" s="2"/>
      <c r="H1603" s="2"/>
      <c r="I1603" s="5"/>
    </row>
    <row r="1604" spans="1:9" ht="17.399999999999999" x14ac:dyDescent="0.25">
      <c r="A1604" s="16"/>
      <c r="B1604" s="17"/>
      <c r="C1604" s="2"/>
      <c r="D1604" s="2"/>
      <c r="E1604" s="2"/>
      <c r="F1604" s="2"/>
      <c r="G1604" s="2"/>
      <c r="H1604" s="2"/>
      <c r="I1604" s="5"/>
    </row>
    <row r="1605" spans="1:9" ht="17.399999999999999" x14ac:dyDescent="0.25">
      <c r="A1605" s="16"/>
      <c r="B1605" s="17"/>
      <c r="C1605" s="2"/>
      <c r="D1605" s="2"/>
      <c r="E1605" s="2"/>
      <c r="F1605" s="2"/>
      <c r="G1605" s="2"/>
      <c r="H1605" s="2"/>
      <c r="I1605" s="5"/>
    </row>
    <row r="1606" spans="1:9" ht="17.399999999999999" x14ac:dyDescent="0.25">
      <c r="A1606" s="16"/>
      <c r="B1606" s="17"/>
      <c r="C1606" s="2"/>
      <c r="D1606" s="2"/>
      <c r="E1606" s="2"/>
      <c r="F1606" s="2"/>
      <c r="G1606" s="2"/>
      <c r="H1606" s="2"/>
      <c r="I1606" s="5"/>
    </row>
    <row r="1607" spans="1:9" ht="17.399999999999999" x14ac:dyDescent="0.25">
      <c r="A1607" s="16"/>
      <c r="B1607" s="17"/>
      <c r="C1607" s="2"/>
      <c r="D1607" s="2"/>
      <c r="E1607" s="2"/>
      <c r="F1607" s="2"/>
      <c r="G1607" s="2"/>
      <c r="H1607" s="2"/>
      <c r="I1607" s="5"/>
    </row>
    <row r="1608" spans="1:9" ht="17.399999999999999" x14ac:dyDescent="0.25">
      <c r="A1608" s="16"/>
      <c r="B1608" s="17"/>
      <c r="C1608" s="2"/>
      <c r="D1608" s="2"/>
      <c r="E1608" s="2"/>
      <c r="F1608" s="2"/>
      <c r="G1608" s="2"/>
      <c r="H1608" s="2"/>
      <c r="I1608" s="5"/>
    </row>
    <row r="1609" spans="1:9" ht="17.399999999999999" x14ac:dyDescent="0.25">
      <c r="A1609" s="16"/>
      <c r="B1609" s="17"/>
      <c r="C1609" s="2"/>
      <c r="D1609" s="2"/>
      <c r="E1609" s="2"/>
      <c r="F1609" s="2"/>
      <c r="G1609" s="2"/>
      <c r="H1609" s="2"/>
      <c r="I1609" s="5"/>
    </row>
    <row r="1610" spans="1:9" ht="17.399999999999999" x14ac:dyDescent="0.25">
      <c r="A1610" s="16"/>
      <c r="B1610" s="17"/>
      <c r="C1610" s="2"/>
      <c r="D1610" s="2"/>
      <c r="E1610" s="2"/>
      <c r="F1610" s="2"/>
      <c r="G1610" s="2"/>
      <c r="H1610" s="2"/>
      <c r="I1610" s="5"/>
    </row>
    <row r="1611" spans="1:9" ht="17.399999999999999" x14ac:dyDescent="0.25">
      <c r="A1611" s="16"/>
      <c r="B1611" s="17"/>
      <c r="C1611" s="2"/>
      <c r="D1611" s="2"/>
      <c r="E1611" s="2"/>
      <c r="F1611" s="2"/>
      <c r="G1611" s="2"/>
      <c r="H1611" s="2"/>
      <c r="I1611" s="5"/>
    </row>
    <row r="1612" spans="1:9" ht="17.399999999999999" x14ac:dyDescent="0.25">
      <c r="A1612" s="16"/>
      <c r="B1612" s="17"/>
      <c r="C1612" s="2"/>
      <c r="D1612" s="2"/>
      <c r="E1612" s="2"/>
      <c r="F1612" s="2"/>
      <c r="G1612" s="2"/>
      <c r="H1612" s="2"/>
      <c r="I1612" s="5"/>
    </row>
    <row r="1613" spans="1:9" ht="17.399999999999999" x14ac:dyDescent="0.25">
      <c r="A1613" s="16"/>
      <c r="B1613" s="17"/>
      <c r="C1613" s="2"/>
      <c r="D1613" s="2"/>
      <c r="E1613" s="2"/>
      <c r="F1613" s="2"/>
      <c r="G1613" s="2"/>
      <c r="H1613" s="2"/>
      <c r="I1613" s="5"/>
    </row>
    <row r="1614" spans="1:9" ht="17.399999999999999" x14ac:dyDescent="0.25">
      <c r="A1614" s="16"/>
      <c r="B1614" s="17"/>
      <c r="C1614" s="2"/>
      <c r="D1614" s="2"/>
      <c r="E1614" s="2"/>
      <c r="F1614" s="2"/>
      <c r="G1614" s="2"/>
      <c r="H1614" s="2"/>
      <c r="I1614" s="5"/>
    </row>
    <row r="1615" spans="1:9" ht="17.399999999999999" x14ac:dyDescent="0.25">
      <c r="A1615" s="16"/>
      <c r="B1615" s="17"/>
      <c r="C1615" s="2"/>
      <c r="D1615" s="2"/>
      <c r="E1615" s="2"/>
      <c r="F1615" s="2"/>
      <c r="G1615" s="2"/>
      <c r="H1615" s="2"/>
      <c r="I1615" s="5"/>
    </row>
    <row r="1616" spans="1:9" ht="17.399999999999999" x14ac:dyDescent="0.25">
      <c r="A1616" s="16"/>
      <c r="B1616" s="17"/>
      <c r="C1616" s="2"/>
      <c r="D1616" s="2"/>
      <c r="E1616" s="2"/>
      <c r="F1616" s="2"/>
      <c r="G1616" s="2"/>
      <c r="H1616" s="2"/>
      <c r="I1616" s="5"/>
    </row>
    <row r="1617" spans="1:9" ht="17.399999999999999" x14ac:dyDescent="0.25">
      <c r="A1617" s="16"/>
      <c r="B1617" s="17"/>
      <c r="C1617" s="2"/>
      <c r="D1617" s="2"/>
      <c r="E1617" s="2"/>
      <c r="F1617" s="2"/>
      <c r="G1617" s="2"/>
      <c r="H1617" s="2"/>
      <c r="I1617" s="5"/>
    </row>
    <row r="1618" spans="1:9" ht="17.399999999999999" x14ac:dyDescent="0.25">
      <c r="A1618" s="16"/>
      <c r="B1618" s="17"/>
      <c r="C1618" s="2"/>
      <c r="D1618" s="2"/>
      <c r="E1618" s="2"/>
      <c r="F1618" s="2"/>
      <c r="G1618" s="2"/>
      <c r="H1618" s="2"/>
      <c r="I1618" s="5"/>
    </row>
    <row r="1619" spans="1:9" ht="17.399999999999999" x14ac:dyDescent="0.25">
      <c r="A1619" s="16"/>
      <c r="B1619" s="17"/>
      <c r="C1619" s="2"/>
      <c r="D1619" s="2"/>
      <c r="E1619" s="2"/>
      <c r="F1619" s="2"/>
      <c r="G1619" s="2"/>
      <c r="H1619" s="2"/>
      <c r="I1619" s="5"/>
    </row>
    <row r="1620" spans="1:9" ht="17.399999999999999" x14ac:dyDescent="0.25">
      <c r="A1620" s="16"/>
      <c r="B1620" s="17"/>
      <c r="C1620" s="2"/>
      <c r="D1620" s="2"/>
      <c r="E1620" s="2"/>
      <c r="F1620" s="2"/>
      <c r="G1620" s="2"/>
      <c r="H1620" s="2"/>
      <c r="I1620" s="5"/>
    </row>
    <row r="1621" spans="1:9" ht="17.399999999999999" x14ac:dyDescent="0.25">
      <c r="A1621" s="16"/>
      <c r="B1621" s="17"/>
      <c r="C1621" s="2"/>
      <c r="D1621" s="2"/>
      <c r="E1621" s="2"/>
      <c r="F1621" s="2"/>
      <c r="G1621" s="2"/>
      <c r="H1621" s="2"/>
      <c r="I1621" s="5"/>
    </row>
    <row r="1622" spans="1:9" ht="17.399999999999999" x14ac:dyDescent="0.25">
      <c r="A1622" s="16"/>
      <c r="B1622" s="17"/>
      <c r="C1622" s="2"/>
      <c r="D1622" s="2"/>
      <c r="E1622" s="2"/>
      <c r="F1622" s="2"/>
      <c r="G1622" s="2"/>
      <c r="H1622" s="2"/>
      <c r="I1622" s="5"/>
    </row>
    <row r="1623" spans="1:9" ht="17.399999999999999" x14ac:dyDescent="0.25">
      <c r="A1623" s="16"/>
      <c r="B1623" s="17"/>
      <c r="C1623" s="2"/>
      <c r="D1623" s="2"/>
      <c r="E1623" s="2"/>
      <c r="F1623" s="2"/>
      <c r="G1623" s="2"/>
      <c r="H1623" s="2"/>
      <c r="I1623" s="5"/>
    </row>
    <row r="1624" spans="1:9" ht="17.399999999999999" x14ac:dyDescent="0.25">
      <c r="A1624" s="16"/>
      <c r="B1624" s="17"/>
      <c r="C1624" s="2"/>
      <c r="D1624" s="2"/>
      <c r="E1624" s="2"/>
      <c r="F1624" s="2"/>
      <c r="G1624" s="2"/>
      <c r="H1624" s="2"/>
      <c r="I1624" s="5"/>
    </row>
    <row r="1625" spans="1:9" ht="17.399999999999999" x14ac:dyDescent="0.25">
      <c r="A1625" s="16"/>
      <c r="B1625" s="17"/>
      <c r="C1625" s="2"/>
      <c r="D1625" s="2"/>
      <c r="E1625" s="2"/>
      <c r="F1625" s="2"/>
      <c r="G1625" s="2"/>
      <c r="H1625" s="2"/>
      <c r="I1625" s="5"/>
    </row>
    <row r="1626" spans="1:9" ht="17.399999999999999" x14ac:dyDescent="0.25">
      <c r="A1626" s="16"/>
      <c r="B1626" s="17"/>
      <c r="C1626" s="2"/>
      <c r="D1626" s="2"/>
      <c r="E1626" s="2"/>
      <c r="F1626" s="2"/>
      <c r="G1626" s="2"/>
      <c r="H1626" s="2"/>
      <c r="I1626" s="5"/>
    </row>
    <row r="1627" spans="1:9" ht="17.399999999999999" x14ac:dyDescent="0.25">
      <c r="A1627" s="16"/>
      <c r="B1627" s="17"/>
      <c r="C1627" s="2"/>
      <c r="D1627" s="2"/>
      <c r="E1627" s="2"/>
      <c r="F1627" s="2"/>
      <c r="G1627" s="2"/>
      <c r="H1627" s="2"/>
      <c r="I1627" s="5"/>
    </row>
    <row r="1628" spans="1:9" ht="17.399999999999999" x14ac:dyDescent="0.25">
      <c r="A1628" s="16"/>
      <c r="B1628" s="17"/>
      <c r="C1628" s="2"/>
      <c r="D1628" s="2"/>
      <c r="E1628" s="2"/>
      <c r="F1628" s="2"/>
      <c r="G1628" s="2"/>
      <c r="H1628" s="2"/>
      <c r="I1628" s="5"/>
    </row>
    <row r="1629" spans="1:9" ht="17.399999999999999" x14ac:dyDescent="0.25">
      <c r="A1629" s="16"/>
      <c r="B1629" s="17"/>
      <c r="C1629" s="2"/>
      <c r="D1629" s="2"/>
      <c r="E1629" s="2"/>
      <c r="F1629" s="2"/>
      <c r="G1629" s="2"/>
      <c r="H1629" s="2"/>
      <c r="I1629" s="5"/>
    </row>
    <row r="1630" spans="1:9" ht="17.399999999999999" x14ac:dyDescent="0.25">
      <c r="A1630" s="16"/>
      <c r="B1630" s="17"/>
      <c r="C1630" s="2"/>
      <c r="D1630" s="2"/>
      <c r="E1630" s="2"/>
      <c r="F1630" s="2"/>
      <c r="G1630" s="2"/>
      <c r="H1630" s="2"/>
      <c r="I1630" s="5"/>
    </row>
    <row r="1631" spans="1:9" ht="17.399999999999999" x14ac:dyDescent="0.25">
      <c r="A1631" s="16"/>
      <c r="B1631" s="17"/>
      <c r="C1631" s="2"/>
      <c r="D1631" s="2"/>
      <c r="E1631" s="2"/>
      <c r="F1631" s="2"/>
      <c r="G1631" s="2"/>
      <c r="H1631" s="2"/>
      <c r="I1631" s="5"/>
    </row>
    <row r="1632" spans="1:9" ht="17.399999999999999" x14ac:dyDescent="0.25">
      <c r="A1632" s="16"/>
      <c r="B1632" s="17"/>
      <c r="C1632" s="2"/>
      <c r="D1632" s="2"/>
      <c r="E1632" s="2"/>
      <c r="F1632" s="2"/>
      <c r="G1632" s="2"/>
      <c r="H1632" s="2"/>
      <c r="I1632" s="5"/>
    </row>
    <row r="1633" spans="1:9" ht="17.399999999999999" x14ac:dyDescent="0.25">
      <c r="A1633" s="16"/>
      <c r="B1633" s="17"/>
      <c r="C1633" s="2"/>
      <c r="D1633" s="2"/>
      <c r="E1633" s="2"/>
      <c r="F1633" s="2"/>
      <c r="G1633" s="2"/>
      <c r="H1633" s="2"/>
      <c r="I1633" s="5"/>
    </row>
    <row r="1634" spans="1:9" ht="17.399999999999999" x14ac:dyDescent="0.25">
      <c r="A1634" s="16"/>
      <c r="B1634" s="17"/>
      <c r="C1634" s="2"/>
      <c r="D1634" s="2"/>
      <c r="E1634" s="2"/>
      <c r="F1634" s="2"/>
      <c r="G1634" s="2"/>
      <c r="H1634" s="2"/>
      <c r="I1634" s="5"/>
    </row>
    <row r="1635" spans="1:9" ht="17.399999999999999" x14ac:dyDescent="0.25">
      <c r="A1635" s="16"/>
      <c r="B1635" s="17"/>
      <c r="C1635" s="2"/>
      <c r="D1635" s="2"/>
      <c r="E1635" s="2"/>
      <c r="F1635" s="2"/>
      <c r="G1635" s="2"/>
      <c r="H1635" s="2"/>
      <c r="I1635" s="5"/>
    </row>
    <row r="1636" spans="1:9" ht="17.399999999999999" x14ac:dyDescent="0.25">
      <c r="A1636" s="16"/>
      <c r="B1636" s="17"/>
      <c r="C1636" s="2"/>
      <c r="D1636" s="2"/>
      <c r="E1636" s="2"/>
      <c r="F1636" s="2"/>
      <c r="G1636" s="2"/>
      <c r="H1636" s="2"/>
      <c r="I1636" s="5"/>
    </row>
    <row r="1637" spans="1:9" ht="17.399999999999999" x14ac:dyDescent="0.25">
      <c r="A1637" s="16"/>
      <c r="B1637" s="17"/>
      <c r="C1637" s="2"/>
      <c r="D1637" s="2"/>
      <c r="E1637" s="2"/>
      <c r="F1637" s="2"/>
      <c r="G1637" s="2"/>
      <c r="H1637" s="2"/>
      <c r="I1637" s="5"/>
    </row>
    <row r="1638" spans="1:9" ht="17.399999999999999" x14ac:dyDescent="0.25">
      <c r="A1638" s="16"/>
      <c r="B1638" s="17"/>
      <c r="C1638" s="2"/>
      <c r="D1638" s="2"/>
      <c r="E1638" s="2"/>
      <c r="F1638" s="2"/>
      <c r="G1638" s="2"/>
      <c r="H1638" s="2"/>
      <c r="I1638" s="5"/>
    </row>
    <row r="1639" spans="1:9" ht="17.399999999999999" x14ac:dyDescent="0.25">
      <c r="A1639" s="16"/>
      <c r="B1639" s="17"/>
      <c r="C1639" s="2"/>
      <c r="D1639" s="2"/>
      <c r="E1639" s="2"/>
      <c r="F1639" s="2"/>
      <c r="G1639" s="2"/>
      <c r="H1639" s="2"/>
      <c r="I1639" s="5"/>
    </row>
    <row r="1640" spans="1:9" ht="17.399999999999999" x14ac:dyDescent="0.25">
      <c r="A1640" s="16"/>
      <c r="B1640" s="17"/>
      <c r="C1640" s="2"/>
      <c r="D1640" s="2"/>
      <c r="E1640" s="2"/>
      <c r="F1640" s="2"/>
      <c r="G1640" s="2"/>
      <c r="H1640" s="2"/>
      <c r="I1640" s="5"/>
    </row>
    <row r="1641" spans="1:9" ht="17.399999999999999" x14ac:dyDescent="0.25">
      <c r="A1641" s="16"/>
      <c r="B1641" s="17"/>
      <c r="C1641" s="2"/>
      <c r="D1641" s="2"/>
      <c r="E1641" s="2"/>
      <c r="F1641" s="2"/>
      <c r="G1641" s="2"/>
      <c r="H1641" s="2"/>
      <c r="I1641" s="5"/>
    </row>
    <row r="1642" spans="1:9" ht="17.399999999999999" x14ac:dyDescent="0.25">
      <c r="A1642" s="16"/>
      <c r="B1642" s="17"/>
      <c r="C1642" s="2"/>
      <c r="D1642" s="2"/>
      <c r="E1642" s="2"/>
      <c r="F1642" s="2"/>
      <c r="G1642" s="2"/>
      <c r="H1642" s="2"/>
      <c r="I1642" s="5"/>
    </row>
    <row r="1643" spans="1:9" ht="17.399999999999999" x14ac:dyDescent="0.25">
      <c r="A1643" s="16"/>
      <c r="B1643" s="17"/>
      <c r="C1643" s="2"/>
      <c r="D1643" s="2"/>
      <c r="E1643" s="2"/>
      <c r="F1643" s="2"/>
      <c r="G1643" s="2"/>
      <c r="H1643" s="2"/>
      <c r="I1643" s="5"/>
    </row>
    <row r="1644" spans="1:9" ht="17.399999999999999" x14ac:dyDescent="0.25">
      <c r="A1644" s="16"/>
      <c r="B1644" s="17"/>
      <c r="C1644" s="2"/>
      <c r="D1644" s="2"/>
      <c r="E1644" s="2"/>
      <c r="F1644" s="2"/>
      <c r="G1644" s="2"/>
      <c r="H1644" s="2"/>
      <c r="I1644" s="5"/>
    </row>
    <row r="1645" spans="1:9" ht="17.399999999999999" x14ac:dyDescent="0.25">
      <c r="A1645" s="16"/>
      <c r="B1645" s="17"/>
      <c r="C1645" s="2"/>
      <c r="D1645" s="2"/>
      <c r="E1645" s="2"/>
      <c r="F1645" s="2"/>
      <c r="G1645" s="2"/>
      <c r="H1645" s="2"/>
      <c r="I1645" s="5"/>
    </row>
    <row r="1646" spans="1:9" ht="17.399999999999999" x14ac:dyDescent="0.25">
      <c r="A1646" s="16"/>
      <c r="B1646" s="17"/>
      <c r="C1646" s="2"/>
      <c r="D1646" s="2"/>
      <c r="E1646" s="2"/>
      <c r="F1646" s="2"/>
      <c r="G1646" s="2"/>
      <c r="H1646" s="2"/>
      <c r="I1646" s="5"/>
    </row>
    <row r="1647" spans="1:9" ht="17.399999999999999" x14ac:dyDescent="0.25">
      <c r="A1647" s="16"/>
      <c r="B1647" s="17"/>
      <c r="C1647" s="2"/>
      <c r="D1647" s="2"/>
      <c r="E1647" s="2"/>
      <c r="F1647" s="2"/>
      <c r="G1647" s="2"/>
      <c r="H1647" s="2"/>
      <c r="I1647" s="5"/>
    </row>
    <row r="1648" spans="1:9" ht="17.399999999999999" x14ac:dyDescent="0.25">
      <c r="A1648" s="16"/>
      <c r="B1648" s="17"/>
      <c r="C1648" s="2"/>
      <c r="D1648" s="2"/>
      <c r="E1648" s="2"/>
      <c r="F1648" s="2"/>
      <c r="G1648" s="2"/>
      <c r="H1648" s="2"/>
      <c r="I1648" s="5"/>
    </row>
    <row r="1649" spans="1:9" ht="17.399999999999999" x14ac:dyDescent="0.25">
      <c r="A1649" s="16"/>
      <c r="B1649" s="17"/>
      <c r="C1649" s="2"/>
      <c r="D1649" s="2"/>
      <c r="E1649" s="2"/>
      <c r="F1649" s="2"/>
      <c r="G1649" s="2"/>
      <c r="H1649" s="2"/>
      <c r="I1649" s="5"/>
    </row>
    <row r="1650" spans="1:9" ht="17.399999999999999" x14ac:dyDescent="0.25">
      <c r="A1650" s="16"/>
      <c r="B1650" s="17"/>
      <c r="C1650" s="2"/>
      <c r="D1650" s="2"/>
      <c r="E1650" s="2"/>
      <c r="F1650" s="2"/>
      <c r="G1650" s="2"/>
      <c r="H1650" s="2"/>
      <c r="I1650" s="5"/>
    </row>
    <row r="1651" spans="1:9" ht="17.399999999999999" x14ac:dyDescent="0.25">
      <c r="A1651" s="16"/>
      <c r="B1651" s="17"/>
      <c r="C1651" s="2"/>
      <c r="D1651" s="2"/>
      <c r="E1651" s="2"/>
      <c r="F1651" s="2"/>
      <c r="G1651" s="2"/>
      <c r="H1651" s="2"/>
      <c r="I1651" s="5"/>
    </row>
    <row r="1652" spans="1:9" ht="17.399999999999999" x14ac:dyDescent="0.25">
      <c r="A1652" s="16"/>
      <c r="B1652" s="17"/>
      <c r="C1652" s="2"/>
      <c r="D1652" s="2"/>
      <c r="E1652" s="2"/>
      <c r="F1652" s="2"/>
      <c r="G1652" s="2"/>
      <c r="H1652" s="2"/>
      <c r="I1652" s="5"/>
    </row>
    <row r="1653" spans="1:9" ht="17.399999999999999" x14ac:dyDescent="0.25">
      <c r="A1653" s="16"/>
      <c r="B1653" s="17"/>
      <c r="C1653" s="2"/>
      <c r="D1653" s="2"/>
      <c r="E1653" s="2"/>
      <c r="F1653" s="2"/>
      <c r="G1653" s="2"/>
      <c r="H1653" s="2"/>
      <c r="I1653" s="5"/>
    </row>
    <row r="1654" spans="1:9" ht="17.399999999999999" x14ac:dyDescent="0.25">
      <c r="A1654" s="16"/>
      <c r="B1654" s="17"/>
      <c r="C1654" s="2"/>
      <c r="D1654" s="2"/>
      <c r="E1654" s="2"/>
      <c r="F1654" s="2"/>
      <c r="G1654" s="2"/>
      <c r="H1654" s="2"/>
      <c r="I1654" s="5"/>
    </row>
    <row r="1655" spans="1:9" ht="17.399999999999999" x14ac:dyDescent="0.25">
      <c r="A1655" s="16"/>
      <c r="B1655" s="17"/>
      <c r="C1655" s="2"/>
      <c r="D1655" s="2"/>
      <c r="E1655" s="2"/>
      <c r="F1655" s="2"/>
      <c r="G1655" s="2"/>
      <c r="H1655" s="2"/>
      <c r="I1655" s="5"/>
    </row>
    <row r="1656" spans="1:9" ht="17.399999999999999" x14ac:dyDescent="0.25">
      <c r="A1656" s="16"/>
      <c r="B1656" s="17"/>
      <c r="C1656" s="2"/>
      <c r="D1656" s="2"/>
      <c r="E1656" s="2"/>
      <c r="F1656" s="2"/>
      <c r="G1656" s="2"/>
      <c r="H1656" s="2"/>
      <c r="I1656" s="5"/>
    </row>
    <row r="1657" spans="1:9" ht="17.399999999999999" x14ac:dyDescent="0.25">
      <c r="A1657" s="16"/>
      <c r="B1657" s="17"/>
      <c r="C1657" s="2"/>
      <c r="D1657" s="2"/>
      <c r="E1657" s="2"/>
      <c r="F1657" s="2"/>
      <c r="G1657" s="2"/>
      <c r="H1657" s="2"/>
      <c r="I1657" s="5"/>
    </row>
    <row r="1658" spans="1:9" ht="17.399999999999999" x14ac:dyDescent="0.25">
      <c r="A1658" s="16"/>
      <c r="B1658" s="17"/>
      <c r="C1658" s="2"/>
      <c r="D1658" s="2"/>
      <c r="E1658" s="2"/>
      <c r="F1658" s="2"/>
      <c r="G1658" s="2"/>
      <c r="H1658" s="2"/>
      <c r="I1658" s="5"/>
    </row>
    <row r="1659" spans="1:9" ht="17.399999999999999" x14ac:dyDescent="0.25">
      <c r="A1659" s="16"/>
      <c r="B1659" s="17"/>
      <c r="C1659" s="2"/>
      <c r="D1659" s="2"/>
      <c r="E1659" s="2"/>
      <c r="F1659" s="2"/>
      <c r="G1659" s="2"/>
      <c r="H1659" s="2"/>
      <c r="I1659" s="5"/>
    </row>
    <row r="1660" spans="1:9" ht="17.399999999999999" x14ac:dyDescent="0.25">
      <c r="A1660" s="16"/>
      <c r="B1660" s="17"/>
      <c r="C1660" s="2"/>
      <c r="D1660" s="2"/>
      <c r="E1660" s="2"/>
      <c r="F1660" s="2"/>
      <c r="G1660" s="2"/>
      <c r="H1660" s="2"/>
      <c r="I1660" s="5"/>
    </row>
    <row r="1661" spans="1:9" ht="17.399999999999999" x14ac:dyDescent="0.25">
      <c r="A1661" s="16"/>
      <c r="B1661" s="17"/>
      <c r="C1661" s="2"/>
      <c r="D1661" s="2"/>
      <c r="E1661" s="2"/>
      <c r="F1661" s="2"/>
      <c r="G1661" s="2"/>
      <c r="H1661" s="2"/>
      <c r="I1661" s="5"/>
    </row>
    <row r="1662" spans="1:9" ht="17.399999999999999" x14ac:dyDescent="0.25">
      <c r="A1662" s="16"/>
      <c r="B1662" s="17"/>
      <c r="C1662" s="2"/>
      <c r="D1662" s="2"/>
      <c r="E1662" s="2"/>
      <c r="F1662" s="2"/>
      <c r="G1662" s="2"/>
      <c r="H1662" s="2"/>
      <c r="I1662" s="5"/>
    </row>
    <row r="1663" spans="1:9" ht="17.399999999999999" x14ac:dyDescent="0.25">
      <c r="A1663" s="16"/>
      <c r="B1663" s="17"/>
      <c r="C1663" s="2"/>
      <c r="D1663" s="2"/>
      <c r="E1663" s="2"/>
      <c r="F1663" s="2"/>
      <c r="G1663" s="2"/>
      <c r="H1663" s="2"/>
      <c r="I1663" s="5"/>
    </row>
    <row r="1664" spans="1:9" ht="17.399999999999999" x14ac:dyDescent="0.25">
      <c r="A1664" s="16"/>
      <c r="B1664" s="17"/>
      <c r="C1664" s="2"/>
      <c r="D1664" s="2"/>
      <c r="E1664" s="2"/>
      <c r="F1664" s="2"/>
      <c r="G1664" s="2"/>
      <c r="H1664" s="2"/>
      <c r="I1664" s="5"/>
    </row>
    <row r="1665" spans="1:9" ht="17.399999999999999" x14ac:dyDescent="0.25">
      <c r="A1665" s="16"/>
      <c r="B1665" s="17"/>
      <c r="C1665" s="2"/>
      <c r="D1665" s="2"/>
      <c r="E1665" s="2"/>
      <c r="F1665" s="2"/>
      <c r="G1665" s="2"/>
      <c r="H1665" s="2"/>
      <c r="I1665" s="5"/>
    </row>
    <row r="1666" spans="1:9" ht="17.399999999999999" x14ac:dyDescent="0.25">
      <c r="A1666" s="16"/>
      <c r="B1666" s="17"/>
      <c r="C1666" s="2"/>
      <c r="D1666" s="2"/>
      <c r="E1666" s="2"/>
      <c r="F1666" s="2"/>
      <c r="G1666" s="2"/>
      <c r="H1666" s="2"/>
      <c r="I1666" s="5"/>
    </row>
    <row r="1667" spans="1:9" ht="17.399999999999999" x14ac:dyDescent="0.25">
      <c r="A1667" s="16"/>
      <c r="B1667" s="17"/>
      <c r="C1667" s="2"/>
      <c r="D1667" s="2"/>
      <c r="E1667" s="2"/>
      <c r="F1667" s="2"/>
      <c r="G1667" s="2"/>
      <c r="H1667" s="2"/>
      <c r="I1667" s="5"/>
    </row>
    <row r="1668" spans="1:9" ht="17.399999999999999" x14ac:dyDescent="0.25">
      <c r="A1668" s="16"/>
      <c r="B1668" s="17"/>
      <c r="C1668" s="2"/>
      <c r="D1668" s="2"/>
      <c r="E1668" s="2"/>
      <c r="F1668" s="2"/>
      <c r="G1668" s="2"/>
      <c r="H1668" s="2"/>
      <c r="I1668" s="5"/>
    </row>
    <row r="1669" spans="1:9" ht="17.399999999999999" x14ac:dyDescent="0.25">
      <c r="A1669" s="16"/>
      <c r="B1669" s="17"/>
      <c r="C1669" s="2"/>
      <c r="D1669" s="2"/>
      <c r="E1669" s="2"/>
      <c r="F1669" s="2"/>
      <c r="G1669" s="2"/>
      <c r="H1669" s="2"/>
      <c r="I1669" s="5"/>
    </row>
    <row r="1670" spans="1:9" ht="17.399999999999999" x14ac:dyDescent="0.25">
      <c r="A1670" s="16"/>
      <c r="B1670" s="17"/>
      <c r="C1670" s="2"/>
      <c r="D1670" s="2"/>
      <c r="E1670" s="2"/>
      <c r="F1670" s="2"/>
      <c r="G1670" s="2"/>
      <c r="H1670" s="2"/>
      <c r="I1670" s="5"/>
    </row>
    <row r="1671" spans="1:9" ht="17.399999999999999" x14ac:dyDescent="0.25">
      <c r="A1671" s="16"/>
      <c r="B1671" s="17"/>
      <c r="C1671" s="2"/>
      <c r="D1671" s="2"/>
      <c r="E1671" s="2"/>
      <c r="F1671" s="2"/>
      <c r="G1671" s="2"/>
      <c r="H1671" s="2"/>
      <c r="I1671" s="5"/>
    </row>
    <row r="1672" spans="1:9" ht="17.399999999999999" x14ac:dyDescent="0.25">
      <c r="A1672" s="16"/>
      <c r="B1672" s="17"/>
      <c r="C1672" s="2"/>
      <c r="D1672" s="2"/>
      <c r="E1672" s="2"/>
      <c r="F1672" s="2"/>
      <c r="G1672" s="2"/>
      <c r="H1672" s="2"/>
      <c r="I1672" s="5"/>
    </row>
    <row r="1673" spans="1:9" ht="17.399999999999999" x14ac:dyDescent="0.25">
      <c r="A1673" s="16"/>
      <c r="B1673" s="17"/>
      <c r="C1673" s="2"/>
      <c r="D1673" s="2"/>
      <c r="E1673" s="2"/>
      <c r="F1673" s="2"/>
      <c r="G1673" s="2"/>
      <c r="H1673" s="2"/>
      <c r="I1673" s="5"/>
    </row>
    <row r="1674" spans="1:9" ht="17.399999999999999" x14ac:dyDescent="0.25">
      <c r="A1674" s="16"/>
      <c r="B1674" s="17"/>
      <c r="C1674" s="2"/>
      <c r="D1674" s="2"/>
      <c r="E1674" s="2"/>
      <c r="F1674" s="2"/>
      <c r="G1674" s="2"/>
      <c r="H1674" s="2"/>
      <c r="I1674" s="5"/>
    </row>
    <row r="1675" spans="1:9" ht="17.399999999999999" x14ac:dyDescent="0.25">
      <c r="A1675" s="16"/>
      <c r="B1675" s="17"/>
      <c r="C1675" s="2"/>
      <c r="D1675" s="2"/>
      <c r="E1675" s="2"/>
      <c r="F1675" s="2"/>
      <c r="G1675" s="2"/>
      <c r="H1675" s="2"/>
      <c r="I1675" s="5"/>
    </row>
    <row r="1676" spans="1:9" ht="17.399999999999999" x14ac:dyDescent="0.25">
      <c r="A1676" s="16"/>
      <c r="B1676" s="17"/>
      <c r="C1676" s="2"/>
      <c r="D1676" s="2"/>
      <c r="E1676" s="2"/>
      <c r="F1676" s="2"/>
      <c r="G1676" s="2"/>
      <c r="H1676" s="2"/>
      <c r="I1676" s="5"/>
    </row>
    <row r="1677" spans="1:9" ht="17.399999999999999" x14ac:dyDescent="0.25">
      <c r="A1677" s="16"/>
      <c r="B1677" s="17"/>
      <c r="C1677" s="2"/>
      <c r="D1677" s="2"/>
      <c r="E1677" s="2"/>
      <c r="F1677" s="2"/>
      <c r="G1677" s="2"/>
      <c r="H1677" s="2"/>
      <c r="I1677" s="5"/>
    </row>
    <row r="1678" spans="1:9" ht="17.399999999999999" x14ac:dyDescent="0.25">
      <c r="A1678" s="16"/>
      <c r="B1678" s="17"/>
      <c r="C1678" s="2"/>
      <c r="D1678" s="2"/>
      <c r="E1678" s="2"/>
      <c r="F1678" s="2"/>
      <c r="G1678" s="2"/>
      <c r="H1678" s="2"/>
      <c r="I1678" s="5"/>
    </row>
    <row r="1679" spans="1:9" ht="17.399999999999999" x14ac:dyDescent="0.25">
      <c r="A1679" s="16"/>
      <c r="B1679" s="17"/>
      <c r="C1679" s="2"/>
      <c r="D1679" s="2"/>
      <c r="E1679" s="2"/>
      <c r="F1679" s="2"/>
      <c r="G1679" s="2"/>
      <c r="H1679" s="2"/>
      <c r="I1679" s="5"/>
    </row>
    <row r="1680" spans="1:9" ht="17.399999999999999" x14ac:dyDescent="0.25">
      <c r="A1680" s="16"/>
      <c r="B1680" s="17"/>
      <c r="C1680" s="2"/>
      <c r="D1680" s="2"/>
      <c r="E1680" s="2"/>
      <c r="F1680" s="2"/>
      <c r="G1680" s="2"/>
      <c r="H1680" s="2"/>
      <c r="I1680" s="5"/>
    </row>
    <row r="1681" spans="1:9" ht="17.399999999999999" x14ac:dyDescent="0.25">
      <c r="A1681" s="16"/>
      <c r="B1681" s="17"/>
      <c r="C1681" s="2"/>
      <c r="D1681" s="2"/>
      <c r="E1681" s="2"/>
      <c r="F1681" s="2"/>
      <c r="G1681" s="2"/>
      <c r="H1681" s="2"/>
      <c r="I1681" s="5"/>
    </row>
    <row r="1682" spans="1:9" ht="17.399999999999999" x14ac:dyDescent="0.25">
      <c r="A1682" s="16"/>
      <c r="B1682" s="17"/>
      <c r="C1682" s="2"/>
      <c r="D1682" s="2"/>
      <c r="E1682" s="2"/>
      <c r="F1682" s="2"/>
      <c r="G1682" s="2"/>
      <c r="H1682" s="2"/>
      <c r="I1682" s="5"/>
    </row>
    <row r="1683" spans="1:9" ht="17.399999999999999" x14ac:dyDescent="0.25">
      <c r="A1683" s="16"/>
      <c r="B1683" s="17"/>
      <c r="C1683" s="2"/>
      <c r="D1683" s="2"/>
      <c r="E1683" s="2"/>
      <c r="F1683" s="2"/>
      <c r="G1683" s="2"/>
      <c r="H1683" s="2"/>
      <c r="I1683" s="5"/>
    </row>
    <row r="1684" spans="1:9" ht="17.399999999999999" x14ac:dyDescent="0.25">
      <c r="A1684" s="16"/>
      <c r="B1684" s="17"/>
      <c r="C1684" s="2"/>
      <c r="D1684" s="2"/>
      <c r="E1684" s="2"/>
      <c r="F1684" s="2"/>
      <c r="G1684" s="2"/>
      <c r="H1684" s="2"/>
      <c r="I1684" s="5"/>
    </row>
    <row r="1685" spans="1:9" ht="17.399999999999999" x14ac:dyDescent="0.25">
      <c r="A1685" s="16"/>
      <c r="B1685" s="17"/>
      <c r="C1685" s="2"/>
      <c r="D1685" s="2"/>
      <c r="E1685" s="2"/>
      <c r="F1685" s="2"/>
      <c r="G1685" s="2"/>
      <c r="H1685" s="2"/>
      <c r="I1685" s="5"/>
    </row>
    <row r="1686" spans="1:9" ht="17.399999999999999" x14ac:dyDescent="0.25">
      <c r="A1686" s="16"/>
      <c r="B1686" s="17"/>
      <c r="C1686" s="2"/>
      <c r="D1686" s="2"/>
      <c r="E1686" s="2"/>
      <c r="F1686" s="2"/>
      <c r="G1686" s="2"/>
      <c r="H1686" s="2"/>
      <c r="I1686" s="5"/>
    </row>
    <row r="1687" spans="1:9" ht="17.399999999999999" x14ac:dyDescent="0.25">
      <c r="A1687" s="16"/>
      <c r="B1687" s="17"/>
      <c r="C1687" s="2"/>
      <c r="D1687" s="2"/>
      <c r="E1687" s="2"/>
      <c r="F1687" s="2"/>
      <c r="G1687" s="2"/>
      <c r="H1687" s="2"/>
      <c r="I1687" s="5"/>
    </row>
    <row r="1688" spans="1:9" ht="17.399999999999999" x14ac:dyDescent="0.25">
      <c r="A1688" s="16"/>
      <c r="B1688" s="17"/>
      <c r="C1688" s="2"/>
      <c r="D1688" s="2"/>
      <c r="E1688" s="2"/>
      <c r="F1688" s="2"/>
      <c r="G1688" s="2"/>
      <c r="H1688" s="2"/>
      <c r="I1688" s="5"/>
    </row>
    <row r="1689" spans="1:9" ht="17.399999999999999" x14ac:dyDescent="0.25">
      <c r="A1689" s="16"/>
      <c r="B1689" s="17"/>
      <c r="C1689" s="2"/>
      <c r="D1689" s="2"/>
      <c r="E1689" s="2"/>
      <c r="F1689" s="2"/>
      <c r="G1689" s="2"/>
      <c r="H1689" s="2"/>
      <c r="I1689" s="5"/>
    </row>
    <row r="1690" spans="1:9" ht="17.399999999999999" x14ac:dyDescent="0.25">
      <c r="A1690" s="16"/>
      <c r="B1690" s="17"/>
      <c r="C1690" s="2"/>
      <c r="D1690" s="2"/>
      <c r="E1690" s="2"/>
      <c r="F1690" s="2"/>
      <c r="G1690" s="2"/>
      <c r="H1690" s="2"/>
      <c r="I1690" s="5"/>
    </row>
    <row r="1691" spans="1:9" ht="17.399999999999999" x14ac:dyDescent="0.25">
      <c r="A1691" s="16"/>
      <c r="B1691" s="17"/>
      <c r="C1691" s="2"/>
      <c r="D1691" s="2"/>
      <c r="E1691" s="2"/>
      <c r="F1691" s="2"/>
      <c r="G1691" s="2"/>
      <c r="H1691" s="2"/>
      <c r="I1691" s="5"/>
    </row>
    <row r="1692" spans="1:9" ht="17.399999999999999" x14ac:dyDescent="0.25">
      <c r="A1692" s="16"/>
      <c r="B1692" s="17"/>
      <c r="C1692" s="2"/>
      <c r="D1692" s="2"/>
      <c r="E1692" s="2"/>
      <c r="F1692" s="2"/>
      <c r="G1692" s="2"/>
      <c r="H1692" s="2"/>
      <c r="I1692" s="5"/>
    </row>
    <row r="1693" spans="1:9" ht="17.399999999999999" x14ac:dyDescent="0.25">
      <c r="A1693" s="16"/>
      <c r="B1693" s="17"/>
      <c r="C1693" s="2"/>
      <c r="D1693" s="2"/>
      <c r="E1693" s="2"/>
      <c r="F1693" s="2"/>
      <c r="G1693" s="2"/>
      <c r="H1693" s="2"/>
      <c r="I1693" s="5"/>
    </row>
    <row r="1694" spans="1:9" ht="17.399999999999999" x14ac:dyDescent="0.25">
      <c r="A1694" s="16"/>
      <c r="B1694" s="17"/>
      <c r="C1694" s="2"/>
      <c r="D1694" s="2"/>
      <c r="E1694" s="2"/>
      <c r="F1694" s="2"/>
      <c r="G1694" s="2"/>
      <c r="H1694" s="2"/>
      <c r="I1694" s="5"/>
    </row>
    <row r="1695" spans="1:9" ht="17.399999999999999" x14ac:dyDescent="0.25">
      <c r="A1695" s="16"/>
      <c r="B1695" s="17"/>
      <c r="C1695" s="2"/>
      <c r="D1695" s="2"/>
      <c r="E1695" s="2"/>
      <c r="F1695" s="2"/>
      <c r="G1695" s="2"/>
      <c r="H1695" s="2"/>
      <c r="I1695" s="5"/>
    </row>
    <row r="1696" spans="1:9" ht="17.399999999999999" x14ac:dyDescent="0.25">
      <c r="A1696" s="16"/>
      <c r="B1696" s="17"/>
      <c r="C1696" s="2"/>
      <c r="D1696" s="2"/>
      <c r="E1696" s="2"/>
      <c r="F1696" s="2"/>
      <c r="G1696" s="2"/>
      <c r="H1696" s="2"/>
      <c r="I1696" s="5"/>
    </row>
    <row r="1697" spans="1:9" ht="17.399999999999999" x14ac:dyDescent="0.25">
      <c r="A1697" s="16"/>
      <c r="B1697" s="17"/>
      <c r="C1697" s="2"/>
      <c r="D1697" s="2"/>
      <c r="E1697" s="2"/>
      <c r="F1697" s="2"/>
      <c r="G1697" s="2"/>
      <c r="H1697" s="2"/>
      <c r="I1697" s="5"/>
    </row>
    <row r="1698" spans="1:9" ht="17.399999999999999" x14ac:dyDescent="0.25">
      <c r="A1698" s="16"/>
      <c r="B1698" s="17"/>
      <c r="C1698" s="2"/>
      <c r="D1698" s="2"/>
      <c r="E1698" s="2"/>
      <c r="F1698" s="2"/>
      <c r="G1698" s="2"/>
      <c r="H1698" s="2"/>
      <c r="I1698" s="5"/>
    </row>
    <row r="1699" spans="1:9" ht="17.399999999999999" x14ac:dyDescent="0.25">
      <c r="A1699" s="16"/>
      <c r="B1699" s="17"/>
      <c r="C1699" s="2"/>
      <c r="D1699" s="2"/>
      <c r="E1699" s="2"/>
      <c r="F1699" s="2"/>
      <c r="G1699" s="2"/>
      <c r="H1699" s="2"/>
      <c r="I1699" s="5"/>
    </row>
    <row r="1700" spans="1:9" ht="17.399999999999999" x14ac:dyDescent="0.25">
      <c r="A1700" s="16"/>
      <c r="B1700" s="17"/>
      <c r="C1700" s="2"/>
      <c r="D1700" s="2"/>
      <c r="E1700" s="2"/>
      <c r="F1700" s="2"/>
      <c r="G1700" s="2"/>
      <c r="H1700" s="2"/>
      <c r="I1700" s="5"/>
    </row>
    <row r="1701" spans="1:9" ht="17.399999999999999" x14ac:dyDescent="0.25">
      <c r="A1701" s="16"/>
      <c r="B1701" s="17"/>
      <c r="C1701" s="2"/>
      <c r="D1701" s="2"/>
      <c r="E1701" s="2"/>
      <c r="F1701" s="2"/>
      <c r="G1701" s="2"/>
      <c r="H1701" s="2"/>
      <c r="I1701" s="5"/>
    </row>
    <row r="1702" spans="1:9" ht="17.399999999999999" x14ac:dyDescent="0.25">
      <c r="A1702" s="16"/>
      <c r="B1702" s="17"/>
      <c r="C1702" s="2"/>
      <c r="D1702" s="2"/>
      <c r="E1702" s="2"/>
      <c r="F1702" s="2"/>
      <c r="G1702" s="2"/>
      <c r="H1702" s="2"/>
      <c r="I1702" s="5"/>
    </row>
    <row r="1703" spans="1:9" ht="17.399999999999999" x14ac:dyDescent="0.25">
      <c r="A1703" s="16"/>
      <c r="B1703" s="17"/>
      <c r="C1703" s="2"/>
      <c r="D1703" s="2"/>
      <c r="E1703" s="2"/>
      <c r="F1703" s="2"/>
      <c r="G1703" s="2"/>
      <c r="H1703" s="2"/>
      <c r="I1703" s="5"/>
    </row>
    <row r="1704" spans="1:9" ht="17.399999999999999" x14ac:dyDescent="0.25">
      <c r="A1704" s="16"/>
      <c r="B1704" s="17"/>
      <c r="C1704" s="2"/>
      <c r="D1704" s="2"/>
      <c r="E1704" s="2"/>
      <c r="F1704" s="2"/>
      <c r="G1704" s="2"/>
      <c r="H1704" s="2"/>
      <c r="I1704" s="5"/>
    </row>
    <row r="1705" spans="1:9" ht="17.399999999999999" x14ac:dyDescent="0.25">
      <c r="A1705" s="16"/>
      <c r="B1705" s="17"/>
      <c r="C1705" s="2"/>
      <c r="D1705" s="2"/>
      <c r="E1705" s="2"/>
      <c r="F1705" s="2"/>
      <c r="G1705" s="2"/>
      <c r="H1705" s="2"/>
      <c r="I1705" s="5"/>
    </row>
    <row r="1706" spans="1:9" ht="17.399999999999999" x14ac:dyDescent="0.25">
      <c r="A1706" s="16"/>
      <c r="B1706" s="17"/>
      <c r="C1706" s="2"/>
      <c r="D1706" s="2"/>
      <c r="E1706" s="2"/>
      <c r="F1706" s="2"/>
      <c r="G1706" s="2"/>
      <c r="H1706" s="2"/>
      <c r="I1706" s="5"/>
    </row>
    <row r="1707" spans="1:9" ht="17.399999999999999" x14ac:dyDescent="0.25">
      <c r="A1707" s="16"/>
      <c r="B1707" s="17"/>
      <c r="C1707" s="2"/>
      <c r="D1707" s="2"/>
      <c r="E1707" s="2"/>
      <c r="F1707" s="2"/>
      <c r="G1707" s="2"/>
      <c r="H1707" s="2"/>
      <c r="I1707" s="5"/>
    </row>
    <row r="1708" spans="1:9" ht="17.399999999999999" x14ac:dyDescent="0.25">
      <c r="A1708" s="16"/>
      <c r="B1708" s="17"/>
      <c r="C1708" s="2"/>
      <c r="D1708" s="2"/>
      <c r="E1708" s="2"/>
      <c r="F1708" s="2"/>
      <c r="G1708" s="2"/>
      <c r="H1708" s="2"/>
      <c r="I1708" s="5"/>
    </row>
    <row r="1709" spans="1:9" ht="17.399999999999999" x14ac:dyDescent="0.25">
      <c r="A1709" s="16"/>
      <c r="B1709" s="17"/>
      <c r="C1709" s="2"/>
      <c r="D1709" s="2"/>
      <c r="E1709" s="2"/>
      <c r="F1709" s="2"/>
      <c r="G1709" s="2"/>
      <c r="H1709" s="2"/>
      <c r="I1709" s="5"/>
    </row>
    <row r="1710" spans="1:9" ht="17.399999999999999" x14ac:dyDescent="0.25">
      <c r="A1710" s="16"/>
      <c r="B1710" s="17"/>
      <c r="C1710" s="2"/>
      <c r="D1710" s="2"/>
      <c r="E1710" s="2"/>
      <c r="F1710" s="2"/>
      <c r="G1710" s="2"/>
      <c r="H1710" s="2"/>
      <c r="I1710" s="5"/>
    </row>
    <row r="1711" spans="1:9" ht="17.399999999999999" x14ac:dyDescent="0.25">
      <c r="A1711" s="16"/>
      <c r="B1711" s="17"/>
      <c r="C1711" s="2"/>
      <c r="D1711" s="2"/>
      <c r="E1711" s="2"/>
      <c r="F1711" s="2"/>
      <c r="G1711" s="2"/>
      <c r="H1711" s="2"/>
      <c r="I1711" s="5"/>
    </row>
    <row r="1712" spans="1:9" ht="17.399999999999999" x14ac:dyDescent="0.25">
      <c r="A1712" s="16"/>
      <c r="B1712" s="17"/>
      <c r="C1712" s="2"/>
      <c r="D1712" s="2"/>
      <c r="E1712" s="2"/>
      <c r="F1712" s="2"/>
      <c r="G1712" s="2"/>
      <c r="H1712" s="2"/>
      <c r="I1712" s="5"/>
    </row>
    <row r="1713" spans="1:9" ht="17.399999999999999" x14ac:dyDescent="0.25">
      <c r="A1713" s="16"/>
      <c r="B1713" s="17"/>
      <c r="C1713" s="2"/>
      <c r="D1713" s="2"/>
      <c r="E1713" s="2"/>
      <c r="F1713" s="2"/>
      <c r="G1713" s="2"/>
      <c r="H1713" s="2"/>
      <c r="I1713" s="5"/>
    </row>
    <row r="1714" spans="1:9" ht="17.399999999999999" x14ac:dyDescent="0.25">
      <c r="A1714" s="16"/>
      <c r="B1714" s="17"/>
      <c r="C1714" s="2"/>
      <c r="D1714" s="2"/>
      <c r="E1714" s="2"/>
      <c r="F1714" s="2"/>
      <c r="G1714" s="2"/>
      <c r="H1714" s="2"/>
      <c r="I1714" s="5"/>
    </row>
    <row r="1715" spans="1:9" ht="17.399999999999999" x14ac:dyDescent="0.25">
      <c r="A1715" s="16"/>
      <c r="B1715" s="17"/>
      <c r="C1715" s="2"/>
      <c r="D1715" s="2"/>
      <c r="E1715" s="2"/>
      <c r="F1715" s="2"/>
      <c r="G1715" s="2"/>
      <c r="H1715" s="2"/>
      <c r="I1715" s="5"/>
    </row>
    <row r="1716" spans="1:9" ht="17.399999999999999" x14ac:dyDescent="0.25">
      <c r="A1716" s="16"/>
      <c r="B1716" s="17"/>
      <c r="C1716" s="2"/>
      <c r="D1716" s="2"/>
      <c r="E1716" s="2"/>
      <c r="F1716" s="2"/>
      <c r="G1716" s="2"/>
      <c r="H1716" s="2"/>
      <c r="I1716" s="5"/>
    </row>
    <row r="1717" spans="1:9" ht="17.399999999999999" x14ac:dyDescent="0.25">
      <c r="A1717" s="16"/>
      <c r="B1717" s="17"/>
      <c r="C1717" s="2"/>
      <c r="D1717" s="2"/>
      <c r="E1717" s="2"/>
      <c r="F1717" s="2"/>
      <c r="G1717" s="2"/>
      <c r="H1717" s="2"/>
      <c r="I1717" s="5"/>
    </row>
    <row r="1718" spans="1:9" ht="17.399999999999999" x14ac:dyDescent="0.25">
      <c r="A1718" s="16"/>
      <c r="B1718" s="17"/>
      <c r="C1718" s="2"/>
      <c r="D1718" s="2"/>
      <c r="E1718" s="2"/>
      <c r="F1718" s="2"/>
      <c r="G1718" s="2"/>
      <c r="H1718" s="2"/>
      <c r="I1718" s="5"/>
    </row>
    <row r="1719" spans="1:9" ht="17.399999999999999" x14ac:dyDescent="0.25">
      <c r="A1719" s="16"/>
      <c r="B1719" s="17"/>
      <c r="C1719" s="2"/>
      <c r="D1719" s="2"/>
      <c r="E1719" s="2"/>
      <c r="F1719" s="2"/>
      <c r="G1719" s="2"/>
      <c r="H1719" s="2"/>
      <c r="I1719" s="5"/>
    </row>
    <row r="1720" spans="1:9" ht="17.399999999999999" x14ac:dyDescent="0.25">
      <c r="A1720" s="16"/>
      <c r="B1720" s="17"/>
      <c r="C1720" s="2"/>
      <c r="D1720" s="2"/>
      <c r="E1720" s="2"/>
      <c r="F1720" s="2"/>
      <c r="G1720" s="2"/>
      <c r="H1720" s="2"/>
      <c r="I1720" s="5"/>
    </row>
    <row r="1721" spans="1:9" ht="17.399999999999999" x14ac:dyDescent="0.25">
      <c r="A1721" s="16"/>
      <c r="B1721" s="17"/>
      <c r="C1721" s="2"/>
      <c r="D1721" s="2"/>
      <c r="E1721" s="2"/>
      <c r="F1721" s="2"/>
      <c r="G1721" s="2"/>
      <c r="H1721" s="2"/>
      <c r="I1721" s="5"/>
    </row>
    <row r="1722" spans="1:9" ht="17.399999999999999" x14ac:dyDescent="0.25">
      <c r="A1722" s="16"/>
      <c r="B1722" s="17"/>
      <c r="C1722" s="2"/>
      <c r="D1722" s="2"/>
      <c r="E1722" s="2"/>
      <c r="F1722" s="2"/>
      <c r="G1722" s="2"/>
      <c r="H1722" s="2"/>
      <c r="I1722" s="5"/>
    </row>
    <row r="1723" spans="1:9" ht="17.399999999999999" x14ac:dyDescent="0.25">
      <c r="A1723" s="16"/>
      <c r="B1723" s="17"/>
      <c r="C1723" s="2"/>
      <c r="D1723" s="2"/>
      <c r="E1723" s="2"/>
      <c r="F1723" s="2"/>
      <c r="G1723" s="2"/>
      <c r="H1723" s="2"/>
      <c r="I1723" s="5"/>
    </row>
    <row r="1724" spans="1:9" ht="17.399999999999999" x14ac:dyDescent="0.25">
      <c r="A1724" s="16"/>
      <c r="B1724" s="17"/>
      <c r="C1724" s="2"/>
      <c r="D1724" s="2"/>
      <c r="E1724" s="2"/>
      <c r="F1724" s="2"/>
      <c r="G1724" s="2"/>
      <c r="H1724" s="2"/>
      <c r="I1724" s="5"/>
    </row>
    <row r="1725" spans="1:9" ht="17.399999999999999" x14ac:dyDescent="0.25">
      <c r="A1725" s="16"/>
      <c r="B1725" s="17"/>
      <c r="C1725" s="2"/>
      <c r="D1725" s="2"/>
      <c r="E1725" s="2"/>
      <c r="F1725" s="2"/>
      <c r="G1725" s="2"/>
      <c r="H1725" s="2"/>
      <c r="I1725" s="5"/>
    </row>
    <row r="1726" spans="1:9" ht="17.399999999999999" x14ac:dyDescent="0.25">
      <c r="A1726" s="16"/>
      <c r="B1726" s="17"/>
      <c r="C1726" s="2"/>
      <c r="D1726" s="2"/>
      <c r="E1726" s="2"/>
      <c r="F1726" s="2"/>
      <c r="G1726" s="2"/>
      <c r="H1726" s="2"/>
      <c r="I1726" s="5"/>
    </row>
    <row r="1727" spans="1:9" ht="17.399999999999999" x14ac:dyDescent="0.25">
      <c r="A1727" s="16"/>
      <c r="B1727" s="17"/>
      <c r="C1727" s="2"/>
      <c r="D1727" s="2"/>
      <c r="E1727" s="2"/>
      <c r="F1727" s="2"/>
      <c r="G1727" s="2"/>
      <c r="H1727" s="2"/>
      <c r="I1727" s="5"/>
    </row>
    <row r="1728" spans="1:9" ht="17.399999999999999" x14ac:dyDescent="0.25">
      <c r="A1728" s="16"/>
      <c r="B1728" s="17"/>
      <c r="C1728" s="2"/>
      <c r="D1728" s="2"/>
      <c r="E1728" s="2"/>
      <c r="F1728" s="2"/>
      <c r="G1728" s="2"/>
      <c r="H1728" s="2"/>
      <c r="I1728" s="5"/>
    </row>
    <row r="1729" spans="1:9" ht="17.399999999999999" x14ac:dyDescent="0.25">
      <c r="A1729" s="16"/>
      <c r="B1729" s="17"/>
      <c r="C1729" s="2"/>
      <c r="D1729" s="2"/>
      <c r="E1729" s="2"/>
      <c r="F1729" s="2"/>
      <c r="G1729" s="2"/>
      <c r="H1729" s="2"/>
      <c r="I1729" s="5"/>
    </row>
    <row r="1730" spans="1:9" ht="17.399999999999999" x14ac:dyDescent="0.25">
      <c r="A1730" s="16"/>
      <c r="B1730" s="17"/>
      <c r="C1730" s="2"/>
      <c r="D1730" s="2"/>
      <c r="E1730" s="2"/>
      <c r="F1730" s="2"/>
      <c r="G1730" s="2"/>
      <c r="H1730" s="2"/>
      <c r="I1730" s="5"/>
    </row>
    <row r="1731" spans="1:9" ht="17.399999999999999" x14ac:dyDescent="0.25">
      <c r="A1731" s="16"/>
      <c r="B1731" s="17"/>
      <c r="C1731" s="2"/>
      <c r="D1731" s="2"/>
      <c r="E1731" s="2"/>
      <c r="F1731" s="2"/>
      <c r="G1731" s="2"/>
      <c r="H1731" s="2"/>
      <c r="I1731" s="5"/>
    </row>
    <row r="1732" spans="1:9" ht="17.399999999999999" x14ac:dyDescent="0.25">
      <c r="A1732" s="16"/>
      <c r="B1732" s="17"/>
      <c r="C1732" s="2"/>
      <c r="D1732" s="2"/>
      <c r="E1732" s="2"/>
      <c r="F1732" s="2"/>
      <c r="G1732" s="2"/>
      <c r="H1732" s="2"/>
      <c r="I1732" s="5"/>
    </row>
    <row r="1733" spans="1:9" ht="17.399999999999999" x14ac:dyDescent="0.25">
      <c r="A1733" s="16"/>
      <c r="B1733" s="17"/>
      <c r="C1733" s="2"/>
      <c r="D1733" s="2"/>
      <c r="E1733" s="2"/>
      <c r="F1733" s="2"/>
      <c r="G1733" s="2"/>
      <c r="H1733" s="2"/>
      <c r="I1733" s="5"/>
    </row>
    <row r="1734" spans="1:9" ht="17.399999999999999" x14ac:dyDescent="0.25">
      <c r="A1734" s="16"/>
      <c r="B1734" s="17"/>
      <c r="C1734" s="2"/>
      <c r="D1734" s="2"/>
      <c r="E1734" s="2"/>
      <c r="F1734" s="2"/>
      <c r="G1734" s="2"/>
      <c r="H1734" s="2"/>
      <c r="I1734" s="5"/>
    </row>
    <row r="1735" spans="1:9" ht="17.399999999999999" x14ac:dyDescent="0.25">
      <c r="A1735" s="16"/>
      <c r="B1735" s="17"/>
      <c r="C1735" s="2"/>
      <c r="D1735" s="2"/>
      <c r="E1735" s="2"/>
      <c r="F1735" s="2"/>
      <c r="G1735" s="2"/>
      <c r="H1735" s="2"/>
      <c r="I1735" s="5"/>
    </row>
    <row r="1736" spans="1:9" ht="17.399999999999999" x14ac:dyDescent="0.25">
      <c r="A1736" s="16"/>
      <c r="B1736" s="17"/>
      <c r="C1736" s="2"/>
      <c r="D1736" s="2"/>
      <c r="E1736" s="2"/>
      <c r="F1736" s="2"/>
      <c r="G1736" s="2"/>
      <c r="H1736" s="2"/>
      <c r="I1736" s="5"/>
    </row>
    <row r="1737" spans="1:9" ht="17.399999999999999" x14ac:dyDescent="0.25">
      <c r="A1737" s="16"/>
      <c r="B1737" s="17"/>
      <c r="C1737" s="2"/>
      <c r="D1737" s="2"/>
      <c r="E1737" s="2"/>
      <c r="F1737" s="2"/>
      <c r="G1737" s="2"/>
      <c r="H1737" s="2"/>
      <c r="I1737" s="5"/>
    </row>
    <row r="1738" spans="1:9" ht="17.399999999999999" x14ac:dyDescent="0.25">
      <c r="A1738" s="16"/>
      <c r="B1738" s="17"/>
      <c r="C1738" s="2"/>
      <c r="D1738" s="2"/>
      <c r="E1738" s="2"/>
      <c r="F1738" s="2"/>
      <c r="G1738" s="2"/>
      <c r="H1738" s="2"/>
      <c r="I1738" s="5"/>
    </row>
    <row r="1739" spans="1:9" ht="17.399999999999999" x14ac:dyDescent="0.25">
      <c r="A1739" s="16"/>
      <c r="B1739" s="17"/>
      <c r="C1739" s="2"/>
      <c r="D1739" s="2"/>
      <c r="E1739" s="2"/>
      <c r="F1739" s="2"/>
      <c r="G1739" s="2"/>
      <c r="H1739" s="2"/>
      <c r="I1739" s="5"/>
    </row>
    <row r="1740" spans="1:9" ht="17.399999999999999" x14ac:dyDescent="0.25">
      <c r="A1740" s="16"/>
      <c r="B1740" s="17"/>
      <c r="C1740" s="2"/>
      <c r="D1740" s="2"/>
      <c r="E1740" s="2"/>
      <c r="F1740" s="2"/>
      <c r="G1740" s="2"/>
      <c r="H1740" s="2"/>
      <c r="I1740" s="5"/>
    </row>
    <row r="1741" spans="1:9" ht="17.399999999999999" x14ac:dyDescent="0.25">
      <c r="A1741" s="16"/>
      <c r="B1741" s="17"/>
      <c r="C1741" s="2"/>
      <c r="D1741" s="2"/>
      <c r="E1741" s="2"/>
      <c r="F1741" s="2"/>
      <c r="G1741" s="2"/>
      <c r="H1741" s="2"/>
      <c r="I1741" s="5"/>
    </row>
    <row r="1742" spans="1:9" ht="17.399999999999999" x14ac:dyDescent="0.25">
      <c r="A1742" s="16"/>
      <c r="B1742" s="17"/>
      <c r="C1742" s="2"/>
      <c r="D1742" s="2"/>
      <c r="E1742" s="2"/>
      <c r="F1742" s="2"/>
      <c r="G1742" s="2"/>
      <c r="H1742" s="2"/>
      <c r="I1742" s="5"/>
    </row>
    <row r="1743" spans="1:9" ht="17.399999999999999" x14ac:dyDescent="0.25">
      <c r="A1743" s="16"/>
      <c r="B1743" s="17"/>
      <c r="C1743" s="2"/>
      <c r="D1743" s="2"/>
      <c r="E1743" s="2"/>
      <c r="F1743" s="2"/>
      <c r="G1743" s="2"/>
      <c r="H1743" s="2"/>
      <c r="I1743" s="5"/>
    </row>
    <row r="1744" spans="1:9" ht="17.399999999999999" x14ac:dyDescent="0.25">
      <c r="A1744" s="16"/>
      <c r="B1744" s="17"/>
      <c r="C1744" s="2"/>
      <c r="D1744" s="2"/>
      <c r="E1744" s="2"/>
      <c r="F1744" s="2"/>
      <c r="G1744" s="2"/>
      <c r="H1744" s="2"/>
      <c r="I1744" s="5"/>
    </row>
    <row r="1745" spans="1:9" ht="17.399999999999999" x14ac:dyDescent="0.25">
      <c r="A1745" s="16"/>
      <c r="B1745" s="17"/>
      <c r="C1745" s="2"/>
      <c r="D1745" s="2"/>
      <c r="E1745" s="2"/>
      <c r="F1745" s="2"/>
      <c r="G1745" s="2"/>
      <c r="H1745" s="2"/>
      <c r="I1745" s="5"/>
    </row>
    <row r="1746" spans="1:9" ht="17.399999999999999" x14ac:dyDescent="0.25">
      <c r="A1746" s="16"/>
      <c r="B1746" s="17"/>
      <c r="C1746" s="2"/>
      <c r="D1746" s="2"/>
      <c r="E1746" s="2"/>
      <c r="F1746" s="2"/>
      <c r="G1746" s="2"/>
      <c r="H1746" s="2"/>
      <c r="I1746" s="5"/>
    </row>
    <row r="1747" spans="1:9" ht="17.399999999999999" x14ac:dyDescent="0.25">
      <c r="A1747" s="16"/>
      <c r="B1747" s="17"/>
      <c r="C1747" s="2"/>
      <c r="D1747" s="2"/>
      <c r="E1747" s="2"/>
      <c r="F1747" s="2"/>
      <c r="G1747" s="2"/>
      <c r="H1747" s="2"/>
      <c r="I1747" s="5"/>
    </row>
    <row r="1748" spans="1:9" ht="17.399999999999999" x14ac:dyDescent="0.25">
      <c r="A1748" s="16"/>
      <c r="B1748" s="17"/>
      <c r="C1748" s="2"/>
      <c r="D1748" s="2"/>
      <c r="E1748" s="2"/>
      <c r="F1748" s="2"/>
      <c r="G1748" s="2"/>
      <c r="H1748" s="2"/>
      <c r="I1748" s="5"/>
    </row>
    <row r="1749" spans="1:9" ht="17.399999999999999" x14ac:dyDescent="0.25">
      <c r="A1749" s="16"/>
      <c r="B1749" s="17"/>
      <c r="C1749" s="2"/>
      <c r="D1749" s="2"/>
      <c r="E1749" s="2"/>
      <c r="F1749" s="2"/>
      <c r="G1749" s="2"/>
      <c r="H1749" s="2"/>
      <c r="I1749" s="5"/>
    </row>
    <row r="1750" spans="1:9" ht="17.399999999999999" x14ac:dyDescent="0.25">
      <c r="A1750" s="16"/>
      <c r="B1750" s="17"/>
      <c r="C1750" s="2"/>
      <c r="D1750" s="2"/>
      <c r="E1750" s="2"/>
      <c r="F1750" s="2"/>
      <c r="G1750" s="2"/>
      <c r="H1750" s="2"/>
      <c r="I1750" s="5"/>
    </row>
    <row r="1751" spans="1:9" ht="17.399999999999999" x14ac:dyDescent="0.25">
      <c r="A1751" s="16"/>
      <c r="B1751" s="17"/>
      <c r="C1751" s="2"/>
      <c r="D1751" s="2"/>
      <c r="E1751" s="2"/>
      <c r="F1751" s="2"/>
      <c r="G1751" s="2"/>
      <c r="H1751" s="2"/>
      <c r="I1751" s="5"/>
    </row>
    <row r="1752" spans="1:9" ht="17.399999999999999" x14ac:dyDescent="0.25">
      <c r="A1752" s="16"/>
      <c r="B1752" s="17"/>
      <c r="C1752" s="2"/>
      <c r="D1752" s="2"/>
      <c r="E1752" s="2"/>
      <c r="F1752" s="2"/>
      <c r="G1752" s="2"/>
      <c r="H1752" s="2"/>
      <c r="I1752" s="5"/>
    </row>
    <row r="1753" spans="1:9" ht="17.399999999999999" x14ac:dyDescent="0.25">
      <c r="A1753" s="16"/>
      <c r="B1753" s="17"/>
      <c r="C1753" s="2"/>
      <c r="D1753" s="2"/>
      <c r="E1753" s="2"/>
      <c r="F1753" s="2"/>
      <c r="G1753" s="2"/>
      <c r="H1753" s="2"/>
      <c r="I1753" s="5"/>
    </row>
    <row r="1754" spans="1:9" ht="17.399999999999999" x14ac:dyDescent="0.25">
      <c r="A1754" s="16"/>
      <c r="B1754" s="17"/>
      <c r="C1754" s="2"/>
      <c r="D1754" s="2"/>
      <c r="E1754" s="2"/>
      <c r="F1754" s="2"/>
      <c r="G1754" s="2"/>
      <c r="H1754" s="2"/>
      <c r="I1754" s="5"/>
    </row>
    <row r="1755" spans="1:9" ht="17.399999999999999" x14ac:dyDescent="0.25">
      <c r="A1755" s="16"/>
      <c r="B1755" s="17"/>
      <c r="C1755" s="2"/>
      <c r="D1755" s="2"/>
      <c r="E1755" s="2"/>
      <c r="F1755" s="2"/>
      <c r="G1755" s="2"/>
      <c r="H1755" s="2"/>
      <c r="I1755" s="5"/>
    </row>
    <row r="1756" spans="1:9" ht="17.399999999999999" x14ac:dyDescent="0.25">
      <c r="A1756" s="16"/>
      <c r="B1756" s="17"/>
      <c r="C1756" s="2"/>
      <c r="D1756" s="2"/>
      <c r="E1756" s="2"/>
      <c r="F1756" s="2"/>
      <c r="G1756" s="2"/>
      <c r="H1756" s="2"/>
      <c r="I1756" s="5"/>
    </row>
    <row r="1757" spans="1:9" ht="17.399999999999999" x14ac:dyDescent="0.25">
      <c r="A1757" s="16"/>
      <c r="B1757" s="17"/>
      <c r="C1757" s="2"/>
      <c r="D1757" s="2"/>
      <c r="E1757" s="2"/>
      <c r="F1757" s="2"/>
      <c r="G1757" s="2"/>
      <c r="H1757" s="2"/>
      <c r="I1757" s="5"/>
    </row>
    <row r="1758" spans="1:9" ht="17.399999999999999" x14ac:dyDescent="0.25">
      <c r="A1758" s="16"/>
      <c r="B1758" s="17"/>
      <c r="C1758" s="2"/>
      <c r="D1758" s="2"/>
      <c r="E1758" s="2"/>
      <c r="F1758" s="2"/>
      <c r="G1758" s="2"/>
      <c r="H1758" s="2"/>
      <c r="I1758" s="5"/>
    </row>
    <row r="1759" spans="1:9" ht="17.399999999999999" x14ac:dyDescent="0.25">
      <c r="A1759" s="16"/>
      <c r="B1759" s="17"/>
      <c r="C1759" s="2"/>
      <c r="D1759" s="2"/>
      <c r="E1759" s="2"/>
      <c r="F1759" s="2"/>
      <c r="G1759" s="2"/>
      <c r="H1759" s="2"/>
      <c r="I1759" s="5"/>
    </row>
    <row r="1760" spans="1:9" ht="17.399999999999999" x14ac:dyDescent="0.25">
      <c r="A1760" s="16"/>
      <c r="B1760" s="17"/>
      <c r="C1760" s="2"/>
      <c r="D1760" s="2"/>
      <c r="E1760" s="2"/>
      <c r="F1760" s="2"/>
      <c r="G1760" s="2"/>
      <c r="H1760" s="2"/>
      <c r="I1760" s="5"/>
    </row>
    <row r="1761" spans="1:9" ht="17.399999999999999" x14ac:dyDescent="0.25">
      <c r="A1761" s="16"/>
      <c r="B1761" s="17"/>
      <c r="C1761" s="2"/>
      <c r="D1761" s="2"/>
      <c r="E1761" s="2"/>
      <c r="F1761" s="2"/>
      <c r="G1761" s="2"/>
      <c r="H1761" s="2"/>
      <c r="I1761" s="5"/>
    </row>
    <row r="1762" spans="1:9" ht="17.399999999999999" x14ac:dyDescent="0.25">
      <c r="A1762" s="16"/>
      <c r="B1762" s="17"/>
      <c r="C1762" s="2"/>
      <c r="D1762" s="2"/>
      <c r="E1762" s="2"/>
      <c r="F1762" s="2"/>
      <c r="G1762" s="2"/>
      <c r="H1762" s="2"/>
      <c r="I1762" s="5"/>
    </row>
    <row r="1763" spans="1:9" ht="17.399999999999999" x14ac:dyDescent="0.25">
      <c r="A1763" s="16"/>
      <c r="B1763" s="17"/>
      <c r="C1763" s="2"/>
      <c r="D1763" s="2"/>
      <c r="E1763" s="2"/>
      <c r="F1763" s="2"/>
      <c r="G1763" s="2"/>
      <c r="H1763" s="2"/>
      <c r="I1763" s="5"/>
    </row>
    <row r="1764" spans="1:9" ht="17.399999999999999" x14ac:dyDescent="0.25">
      <c r="A1764" s="16"/>
      <c r="B1764" s="17"/>
      <c r="C1764" s="2"/>
      <c r="D1764" s="2"/>
      <c r="E1764" s="2"/>
      <c r="F1764" s="2"/>
      <c r="G1764" s="2"/>
      <c r="H1764" s="2"/>
      <c r="I1764" s="5"/>
    </row>
    <row r="1765" spans="1:9" ht="17.399999999999999" x14ac:dyDescent="0.25">
      <c r="A1765" s="16"/>
      <c r="B1765" s="17"/>
      <c r="C1765" s="2"/>
      <c r="D1765" s="2"/>
      <c r="E1765" s="2"/>
      <c r="F1765" s="2"/>
      <c r="G1765" s="2"/>
      <c r="H1765" s="2"/>
      <c r="I1765" s="5"/>
    </row>
    <row r="1766" spans="1:9" ht="17.399999999999999" x14ac:dyDescent="0.25">
      <c r="A1766" s="16"/>
      <c r="B1766" s="17"/>
      <c r="C1766" s="2"/>
      <c r="D1766" s="2"/>
      <c r="E1766" s="2"/>
      <c r="F1766" s="2"/>
      <c r="G1766" s="2"/>
      <c r="H1766" s="2"/>
      <c r="I1766" s="5"/>
    </row>
    <row r="1767" spans="1:9" ht="17.399999999999999" x14ac:dyDescent="0.25">
      <c r="A1767" s="16"/>
      <c r="B1767" s="17"/>
      <c r="C1767" s="2"/>
      <c r="D1767" s="2"/>
      <c r="E1767" s="2"/>
      <c r="F1767" s="2"/>
      <c r="G1767" s="2"/>
      <c r="H1767" s="2"/>
      <c r="I1767" s="5"/>
    </row>
    <row r="1768" spans="1:9" ht="17.399999999999999" x14ac:dyDescent="0.25">
      <c r="A1768" s="16"/>
      <c r="B1768" s="17"/>
      <c r="C1768" s="2"/>
      <c r="D1768" s="2"/>
      <c r="E1768" s="2"/>
      <c r="F1768" s="2"/>
      <c r="G1768" s="2"/>
      <c r="H1768" s="2"/>
      <c r="I1768" s="5"/>
    </row>
    <row r="1769" spans="1:9" ht="17.399999999999999" x14ac:dyDescent="0.25">
      <c r="A1769" s="16"/>
      <c r="B1769" s="17"/>
      <c r="C1769" s="2"/>
      <c r="D1769" s="2"/>
      <c r="E1769" s="2"/>
      <c r="F1769" s="2"/>
      <c r="G1769" s="2"/>
      <c r="H1769" s="2"/>
      <c r="I1769" s="5"/>
    </row>
    <row r="1770" spans="1:9" ht="17.399999999999999" x14ac:dyDescent="0.25">
      <c r="A1770" s="16"/>
      <c r="B1770" s="17"/>
      <c r="C1770" s="2"/>
      <c r="D1770" s="2"/>
      <c r="E1770" s="2"/>
      <c r="F1770" s="2"/>
      <c r="G1770" s="2"/>
      <c r="H1770" s="2"/>
      <c r="I1770" s="5"/>
    </row>
    <row r="1771" spans="1:9" ht="17.399999999999999" x14ac:dyDescent="0.25">
      <c r="A1771" s="16"/>
      <c r="B1771" s="17"/>
      <c r="C1771" s="2"/>
      <c r="D1771" s="2"/>
      <c r="E1771" s="2"/>
      <c r="F1771" s="2"/>
      <c r="G1771" s="2"/>
      <c r="H1771" s="2"/>
      <c r="I1771" s="5"/>
    </row>
    <row r="1772" spans="1:9" ht="17.399999999999999" x14ac:dyDescent="0.25">
      <c r="A1772" s="16"/>
      <c r="B1772" s="17"/>
      <c r="C1772" s="2"/>
      <c r="D1772" s="2"/>
      <c r="E1772" s="2"/>
      <c r="F1772" s="2"/>
      <c r="G1772" s="2"/>
      <c r="H1772" s="2"/>
      <c r="I1772" s="5"/>
    </row>
    <row r="1773" spans="1:9" ht="17.399999999999999" x14ac:dyDescent="0.25">
      <c r="A1773" s="16"/>
      <c r="B1773" s="17"/>
      <c r="C1773" s="2"/>
      <c r="D1773" s="2"/>
      <c r="E1773" s="2"/>
      <c r="F1773" s="2"/>
      <c r="G1773" s="2"/>
      <c r="H1773" s="2"/>
      <c r="I1773" s="5"/>
    </row>
    <row r="1774" spans="1:9" ht="17.399999999999999" x14ac:dyDescent="0.25">
      <c r="A1774" s="16"/>
      <c r="B1774" s="17"/>
      <c r="C1774" s="2"/>
      <c r="D1774" s="2"/>
      <c r="E1774" s="2"/>
      <c r="F1774" s="2"/>
      <c r="G1774" s="2"/>
      <c r="H1774" s="2"/>
      <c r="I1774" s="5"/>
    </row>
    <row r="1775" spans="1:9" ht="17.399999999999999" x14ac:dyDescent="0.25">
      <c r="A1775" s="16"/>
      <c r="B1775" s="17"/>
      <c r="C1775" s="2"/>
      <c r="D1775" s="2"/>
      <c r="E1775" s="2"/>
      <c r="F1775" s="2"/>
      <c r="G1775" s="2"/>
      <c r="H1775" s="2"/>
      <c r="I1775" s="5"/>
    </row>
    <row r="1776" spans="1:9" ht="17.399999999999999" x14ac:dyDescent="0.25">
      <c r="A1776" s="16"/>
      <c r="B1776" s="17"/>
      <c r="C1776" s="2"/>
      <c r="D1776" s="2"/>
      <c r="E1776" s="2"/>
      <c r="F1776" s="2"/>
      <c r="G1776" s="2"/>
      <c r="H1776" s="2"/>
      <c r="I1776" s="5"/>
    </row>
    <row r="1777" spans="1:9" ht="17.399999999999999" x14ac:dyDescent="0.25">
      <c r="A1777" s="16"/>
      <c r="B1777" s="17"/>
      <c r="C1777" s="2"/>
      <c r="D1777" s="2"/>
      <c r="E1777" s="2"/>
      <c r="F1777" s="2"/>
      <c r="G1777" s="2"/>
      <c r="H1777" s="2"/>
      <c r="I1777" s="5"/>
    </row>
    <row r="1778" spans="1:9" ht="17.399999999999999" x14ac:dyDescent="0.25">
      <c r="A1778" s="16"/>
      <c r="B1778" s="17"/>
      <c r="C1778" s="2"/>
      <c r="D1778" s="2"/>
      <c r="E1778" s="2"/>
      <c r="F1778" s="2"/>
      <c r="G1778" s="2"/>
      <c r="H1778" s="2"/>
      <c r="I1778" s="5"/>
    </row>
    <row r="1779" spans="1:9" ht="17.399999999999999" x14ac:dyDescent="0.25">
      <c r="A1779" s="16"/>
      <c r="B1779" s="17"/>
      <c r="C1779" s="2"/>
      <c r="D1779" s="2"/>
      <c r="E1779" s="2"/>
      <c r="F1779" s="2"/>
      <c r="G1779" s="2"/>
      <c r="H1779" s="2"/>
      <c r="I1779" s="5"/>
    </row>
    <row r="1780" spans="1:9" ht="17.399999999999999" x14ac:dyDescent="0.25">
      <c r="A1780" s="16"/>
      <c r="B1780" s="17"/>
      <c r="C1780" s="2"/>
      <c r="D1780" s="2"/>
      <c r="E1780" s="2"/>
      <c r="F1780" s="2"/>
      <c r="G1780" s="2"/>
      <c r="H1780" s="2"/>
      <c r="I1780" s="5"/>
    </row>
    <row r="1781" spans="1:9" ht="17.399999999999999" x14ac:dyDescent="0.25">
      <c r="A1781" s="16"/>
      <c r="B1781" s="17"/>
      <c r="C1781" s="2"/>
      <c r="D1781" s="2"/>
      <c r="E1781" s="2"/>
      <c r="F1781" s="2"/>
      <c r="G1781" s="2"/>
      <c r="H1781" s="2"/>
      <c r="I1781" s="5"/>
    </row>
    <row r="1782" spans="1:9" ht="17.399999999999999" x14ac:dyDescent="0.25">
      <c r="A1782" s="16"/>
      <c r="B1782" s="17"/>
      <c r="C1782" s="2"/>
      <c r="D1782" s="2"/>
      <c r="E1782" s="2"/>
      <c r="F1782" s="2"/>
      <c r="G1782" s="2"/>
      <c r="H1782" s="2"/>
      <c r="I1782" s="5"/>
    </row>
    <row r="1783" spans="1:9" ht="17.399999999999999" x14ac:dyDescent="0.25">
      <c r="A1783" s="16"/>
      <c r="B1783" s="17"/>
      <c r="C1783" s="2"/>
      <c r="D1783" s="2"/>
      <c r="E1783" s="2"/>
      <c r="F1783" s="2"/>
      <c r="G1783" s="2"/>
      <c r="H1783" s="2"/>
      <c r="I1783" s="5"/>
    </row>
    <row r="1784" spans="1:9" ht="17.399999999999999" x14ac:dyDescent="0.25">
      <c r="A1784" s="16"/>
      <c r="B1784" s="17"/>
      <c r="C1784" s="2"/>
      <c r="D1784" s="2"/>
      <c r="E1784" s="2"/>
      <c r="F1784" s="2"/>
      <c r="G1784" s="2"/>
      <c r="H1784" s="2"/>
      <c r="I1784" s="5"/>
    </row>
    <row r="1785" spans="1:9" ht="17.399999999999999" x14ac:dyDescent="0.25">
      <c r="A1785" s="16"/>
      <c r="B1785" s="17"/>
      <c r="C1785" s="2"/>
      <c r="D1785" s="2"/>
      <c r="E1785" s="2"/>
      <c r="F1785" s="2"/>
      <c r="G1785" s="2"/>
      <c r="H1785" s="2"/>
      <c r="I1785" s="5"/>
    </row>
    <row r="1786" spans="1:9" ht="17.399999999999999" x14ac:dyDescent="0.25">
      <c r="A1786" s="16"/>
      <c r="B1786" s="17"/>
      <c r="C1786" s="2"/>
      <c r="D1786" s="2"/>
      <c r="E1786" s="2"/>
      <c r="F1786" s="2"/>
      <c r="G1786" s="2"/>
      <c r="H1786" s="2"/>
      <c r="I1786" s="5"/>
    </row>
    <row r="1787" spans="1:9" ht="17.399999999999999" x14ac:dyDescent="0.25">
      <c r="A1787" s="16"/>
      <c r="B1787" s="17"/>
      <c r="C1787" s="2"/>
      <c r="D1787" s="2"/>
      <c r="E1787" s="2"/>
      <c r="F1787" s="2"/>
      <c r="G1787" s="2"/>
      <c r="H1787" s="2"/>
      <c r="I1787" s="5"/>
    </row>
    <row r="1788" spans="1:9" ht="17.399999999999999" x14ac:dyDescent="0.25">
      <c r="A1788" s="16"/>
      <c r="B1788" s="17"/>
      <c r="C1788" s="2"/>
      <c r="D1788" s="2"/>
      <c r="E1788" s="2"/>
      <c r="F1788" s="2"/>
      <c r="G1788" s="2"/>
      <c r="H1788" s="2"/>
      <c r="I1788" s="5"/>
    </row>
    <row r="1789" spans="1:9" ht="17.399999999999999" x14ac:dyDescent="0.25">
      <c r="A1789" s="16"/>
      <c r="B1789" s="17"/>
      <c r="C1789" s="2"/>
      <c r="D1789" s="2"/>
      <c r="E1789" s="2"/>
      <c r="F1789" s="2"/>
      <c r="G1789" s="2"/>
      <c r="H1789" s="2"/>
      <c r="I1789" s="5"/>
    </row>
    <row r="1790" spans="1:9" ht="17.399999999999999" x14ac:dyDescent="0.25">
      <c r="A1790" s="16"/>
      <c r="B1790" s="17"/>
      <c r="C1790" s="2"/>
      <c r="D1790" s="2"/>
      <c r="E1790" s="2"/>
      <c r="F1790" s="2"/>
      <c r="G1790" s="2"/>
      <c r="H1790" s="2"/>
      <c r="I1790" s="5"/>
    </row>
    <row r="1791" spans="1:9" ht="17.399999999999999" x14ac:dyDescent="0.25">
      <c r="A1791" s="16"/>
      <c r="B1791" s="17"/>
      <c r="C1791" s="2"/>
      <c r="D1791" s="2"/>
      <c r="E1791" s="2"/>
      <c r="F1791" s="2"/>
      <c r="G1791" s="2"/>
      <c r="H1791" s="2"/>
      <c r="I1791" s="5"/>
    </row>
    <row r="1792" spans="1:9" ht="17.399999999999999" x14ac:dyDescent="0.25">
      <c r="A1792" s="16"/>
      <c r="B1792" s="17"/>
      <c r="C1792" s="2"/>
      <c r="D1792" s="2"/>
      <c r="E1792" s="2"/>
      <c r="F1792" s="2"/>
      <c r="G1792" s="2"/>
      <c r="H1792" s="2"/>
      <c r="I1792" s="5"/>
    </row>
    <row r="1793" spans="1:9" ht="17.399999999999999" x14ac:dyDescent="0.25">
      <c r="A1793" s="16"/>
      <c r="B1793" s="17"/>
      <c r="C1793" s="2"/>
      <c r="D1793" s="2"/>
      <c r="E1793" s="2"/>
      <c r="F1793" s="2"/>
      <c r="G1793" s="2"/>
      <c r="H1793" s="2"/>
      <c r="I1793" s="5"/>
    </row>
    <row r="1794" spans="1:9" ht="17.399999999999999" x14ac:dyDescent="0.25">
      <c r="A1794" s="16"/>
      <c r="B1794" s="17"/>
      <c r="C1794" s="2"/>
      <c r="D1794" s="2"/>
      <c r="E1794" s="2"/>
      <c r="F1794" s="2"/>
      <c r="G1794" s="2"/>
      <c r="H1794" s="2"/>
      <c r="I1794" s="5"/>
    </row>
    <row r="1795" spans="1:9" ht="17.399999999999999" x14ac:dyDescent="0.25">
      <c r="A1795" s="16"/>
      <c r="B1795" s="17"/>
      <c r="C1795" s="2"/>
      <c r="D1795" s="2"/>
      <c r="E1795" s="2"/>
      <c r="F1795" s="2"/>
      <c r="G1795" s="2"/>
      <c r="H1795" s="2"/>
      <c r="I1795" s="5"/>
    </row>
    <row r="1796" spans="1:9" ht="17.399999999999999" x14ac:dyDescent="0.25">
      <c r="A1796" s="16"/>
      <c r="B1796" s="17"/>
      <c r="C1796" s="2"/>
      <c r="D1796" s="2"/>
      <c r="E1796" s="2"/>
      <c r="F1796" s="2"/>
      <c r="G1796" s="2"/>
      <c r="H1796" s="2"/>
      <c r="I1796" s="5"/>
    </row>
    <row r="1797" spans="1:9" ht="17.399999999999999" x14ac:dyDescent="0.25">
      <c r="A1797" s="16"/>
      <c r="B1797" s="17"/>
      <c r="C1797" s="2"/>
      <c r="D1797" s="2"/>
      <c r="E1797" s="2"/>
      <c r="F1797" s="2"/>
      <c r="G1797" s="2"/>
      <c r="H1797" s="2"/>
      <c r="I1797" s="5"/>
    </row>
    <row r="1798" spans="1:9" ht="17.399999999999999" x14ac:dyDescent="0.25">
      <c r="A1798" s="16"/>
      <c r="B1798" s="17"/>
      <c r="C1798" s="2"/>
      <c r="D1798" s="2"/>
      <c r="E1798" s="2"/>
      <c r="F1798" s="2"/>
      <c r="G1798" s="2"/>
      <c r="H1798" s="2"/>
      <c r="I1798" s="5"/>
    </row>
    <row r="1799" spans="1:9" ht="17.399999999999999" x14ac:dyDescent="0.25">
      <c r="A1799" s="16"/>
      <c r="B1799" s="17"/>
      <c r="C1799" s="2"/>
      <c r="D1799" s="2"/>
      <c r="E1799" s="2"/>
      <c r="F1799" s="2"/>
      <c r="G1799" s="2"/>
      <c r="H1799" s="2"/>
      <c r="I1799" s="5"/>
    </row>
    <row r="1800" spans="1:9" ht="17.399999999999999" x14ac:dyDescent="0.25">
      <c r="A1800" s="16"/>
      <c r="B1800" s="17"/>
      <c r="C1800" s="2"/>
      <c r="D1800" s="2"/>
      <c r="E1800" s="2"/>
      <c r="F1800" s="2"/>
      <c r="G1800" s="2"/>
      <c r="H1800" s="2"/>
      <c r="I1800" s="5"/>
    </row>
    <row r="1801" spans="1:9" ht="17.399999999999999" x14ac:dyDescent="0.25">
      <c r="A1801" s="16"/>
      <c r="B1801" s="17"/>
      <c r="C1801" s="2"/>
      <c r="D1801" s="2"/>
      <c r="E1801" s="2"/>
      <c r="F1801" s="2"/>
      <c r="G1801" s="2"/>
      <c r="H1801" s="2"/>
      <c r="I1801" s="5"/>
    </row>
    <row r="1802" spans="1:9" ht="17.399999999999999" x14ac:dyDescent="0.25">
      <c r="A1802" s="16"/>
      <c r="B1802" s="17"/>
      <c r="C1802" s="2"/>
      <c r="D1802" s="2"/>
      <c r="E1802" s="2"/>
      <c r="F1802" s="2"/>
      <c r="G1802" s="2"/>
      <c r="H1802" s="2"/>
      <c r="I1802" s="5"/>
    </row>
    <row r="1803" spans="1:9" ht="17.399999999999999" x14ac:dyDescent="0.25">
      <c r="A1803" s="16"/>
      <c r="B1803" s="17"/>
      <c r="C1803" s="2"/>
      <c r="D1803" s="2"/>
      <c r="E1803" s="2"/>
      <c r="F1803" s="2"/>
      <c r="G1803" s="2"/>
      <c r="H1803" s="2"/>
      <c r="I1803" s="5"/>
    </row>
    <row r="1804" spans="1:9" ht="17.399999999999999" x14ac:dyDescent="0.25">
      <c r="A1804" s="16"/>
      <c r="B1804" s="17"/>
      <c r="C1804" s="2"/>
      <c r="D1804" s="2"/>
      <c r="E1804" s="2"/>
      <c r="F1804" s="2"/>
      <c r="G1804" s="2"/>
      <c r="H1804" s="2"/>
      <c r="I1804" s="5"/>
    </row>
    <row r="1805" spans="1:9" ht="17.399999999999999" x14ac:dyDescent="0.25">
      <c r="A1805" s="16"/>
      <c r="B1805" s="17"/>
      <c r="C1805" s="2"/>
      <c r="D1805" s="2"/>
      <c r="E1805" s="2"/>
      <c r="F1805" s="2"/>
      <c r="G1805" s="2"/>
      <c r="H1805" s="2"/>
      <c r="I1805" s="5"/>
    </row>
    <row r="1806" spans="1:9" ht="17.399999999999999" x14ac:dyDescent="0.25">
      <c r="A1806" s="16"/>
      <c r="B1806" s="17"/>
      <c r="C1806" s="2"/>
      <c r="D1806" s="2"/>
      <c r="E1806" s="2"/>
      <c r="F1806" s="2"/>
      <c r="G1806" s="2"/>
      <c r="H1806" s="2"/>
      <c r="I1806" s="5"/>
    </row>
    <row r="1807" spans="1:9" ht="17.399999999999999" x14ac:dyDescent="0.25">
      <c r="A1807" s="16"/>
      <c r="B1807" s="17"/>
      <c r="C1807" s="2"/>
      <c r="D1807" s="2"/>
      <c r="E1807" s="2"/>
      <c r="F1807" s="2"/>
      <c r="G1807" s="2"/>
      <c r="H1807" s="2"/>
      <c r="I1807" s="5"/>
    </row>
    <row r="1808" spans="1:9" ht="17.399999999999999" x14ac:dyDescent="0.25">
      <c r="A1808" s="16"/>
      <c r="B1808" s="17"/>
      <c r="C1808" s="2"/>
      <c r="D1808" s="2"/>
      <c r="E1808" s="2"/>
      <c r="F1808" s="2"/>
      <c r="G1808" s="2"/>
      <c r="H1808" s="2"/>
      <c r="I1808" s="5"/>
    </row>
    <row r="1809" spans="1:9" ht="17.399999999999999" x14ac:dyDescent="0.25">
      <c r="A1809" s="16"/>
      <c r="B1809" s="17"/>
      <c r="C1809" s="2"/>
      <c r="D1809" s="2"/>
      <c r="E1809" s="2"/>
      <c r="F1809" s="2"/>
      <c r="G1809" s="2"/>
      <c r="H1809" s="2"/>
      <c r="I1809" s="5"/>
    </row>
    <row r="1810" spans="1:9" ht="17.399999999999999" x14ac:dyDescent="0.25">
      <c r="A1810" s="16"/>
      <c r="B1810" s="17"/>
      <c r="C1810" s="2"/>
      <c r="D1810" s="2"/>
      <c r="E1810" s="2"/>
      <c r="F1810" s="2"/>
      <c r="G1810" s="2"/>
      <c r="H1810" s="2"/>
      <c r="I1810" s="5"/>
    </row>
    <row r="1811" spans="1:9" ht="17.399999999999999" x14ac:dyDescent="0.25">
      <c r="A1811" s="16"/>
      <c r="B1811" s="17"/>
      <c r="C1811" s="2"/>
      <c r="D1811" s="2"/>
      <c r="E1811" s="2"/>
      <c r="F1811" s="2"/>
      <c r="G1811" s="2"/>
      <c r="H1811" s="2"/>
      <c r="I1811" s="5"/>
    </row>
    <row r="1812" spans="1:9" ht="17.399999999999999" x14ac:dyDescent="0.25">
      <c r="A1812" s="16"/>
      <c r="B1812" s="17"/>
      <c r="C1812" s="2"/>
      <c r="D1812" s="2"/>
      <c r="E1812" s="2"/>
      <c r="F1812" s="2"/>
      <c r="G1812" s="2"/>
      <c r="H1812" s="2"/>
      <c r="I1812" s="5"/>
    </row>
    <row r="1813" spans="1:9" ht="17.399999999999999" x14ac:dyDescent="0.25">
      <c r="A1813" s="16"/>
      <c r="B1813" s="17"/>
      <c r="C1813" s="2"/>
      <c r="D1813" s="2"/>
      <c r="E1813" s="2"/>
      <c r="F1813" s="2"/>
      <c r="G1813" s="2"/>
      <c r="H1813" s="2"/>
      <c r="I1813" s="5"/>
    </row>
    <row r="1814" spans="1:9" ht="17.399999999999999" x14ac:dyDescent="0.25">
      <c r="A1814" s="16"/>
      <c r="B1814" s="17"/>
      <c r="C1814" s="2"/>
      <c r="D1814" s="2"/>
      <c r="E1814" s="2"/>
      <c r="F1814" s="2"/>
      <c r="G1814" s="2"/>
      <c r="H1814" s="2"/>
      <c r="I1814" s="5"/>
    </row>
    <row r="1815" spans="1:9" ht="17.399999999999999" x14ac:dyDescent="0.25">
      <c r="A1815" s="16"/>
      <c r="B1815" s="17"/>
      <c r="C1815" s="2"/>
      <c r="D1815" s="2"/>
      <c r="E1815" s="2"/>
      <c r="F1815" s="2"/>
      <c r="G1815" s="2"/>
      <c r="H1815" s="2"/>
      <c r="I1815" s="5"/>
    </row>
    <row r="1816" spans="1:9" ht="17.399999999999999" x14ac:dyDescent="0.25">
      <c r="A1816" s="16"/>
      <c r="B1816" s="17"/>
      <c r="C1816" s="2"/>
      <c r="D1816" s="2"/>
      <c r="E1816" s="2"/>
      <c r="F1816" s="2"/>
      <c r="G1816" s="2"/>
      <c r="H1816" s="2"/>
      <c r="I1816" s="5"/>
    </row>
    <row r="1817" spans="1:9" ht="17.399999999999999" x14ac:dyDescent="0.25">
      <c r="A1817" s="16"/>
      <c r="B1817" s="17"/>
      <c r="C1817" s="2"/>
      <c r="D1817" s="2"/>
      <c r="E1817" s="2"/>
      <c r="F1817" s="2"/>
      <c r="G1817" s="2"/>
      <c r="H1817" s="2"/>
      <c r="I1817" s="5"/>
    </row>
    <row r="1818" spans="1:9" ht="17.399999999999999" x14ac:dyDescent="0.25">
      <c r="A1818" s="16"/>
      <c r="B1818" s="17"/>
      <c r="C1818" s="2"/>
      <c r="D1818" s="2"/>
      <c r="E1818" s="2"/>
      <c r="F1818" s="2"/>
      <c r="G1818" s="2"/>
      <c r="H1818" s="2"/>
      <c r="I1818" s="5"/>
    </row>
    <row r="1819" spans="1:9" ht="17.399999999999999" x14ac:dyDescent="0.25">
      <c r="A1819" s="16"/>
      <c r="B1819" s="17"/>
      <c r="C1819" s="2"/>
      <c r="D1819" s="2"/>
      <c r="E1819" s="2"/>
      <c r="F1819" s="2"/>
      <c r="G1819" s="2"/>
      <c r="H1819" s="2"/>
      <c r="I1819" s="5"/>
    </row>
    <row r="1820" spans="1:9" ht="17.399999999999999" x14ac:dyDescent="0.25">
      <c r="A1820" s="16"/>
      <c r="B1820" s="17"/>
      <c r="C1820" s="2"/>
      <c r="D1820" s="2"/>
      <c r="E1820" s="2"/>
      <c r="F1820" s="2"/>
      <c r="G1820" s="2"/>
      <c r="H1820" s="2"/>
      <c r="I1820" s="5"/>
    </row>
    <row r="1821" spans="1:9" ht="17.399999999999999" x14ac:dyDescent="0.25">
      <c r="A1821" s="16"/>
      <c r="B1821" s="17"/>
      <c r="C1821" s="2"/>
      <c r="D1821" s="2"/>
      <c r="E1821" s="2"/>
      <c r="F1821" s="2"/>
      <c r="G1821" s="2"/>
      <c r="H1821" s="2"/>
      <c r="I1821" s="5"/>
    </row>
    <row r="1822" spans="1:9" ht="17.399999999999999" x14ac:dyDescent="0.25">
      <c r="A1822" s="16"/>
      <c r="B1822" s="17"/>
      <c r="C1822" s="2"/>
      <c r="D1822" s="2"/>
      <c r="E1822" s="2"/>
      <c r="F1822" s="2"/>
      <c r="G1822" s="2"/>
      <c r="H1822" s="2"/>
      <c r="I1822" s="5"/>
    </row>
    <row r="1823" spans="1:9" ht="17.399999999999999" x14ac:dyDescent="0.25">
      <c r="A1823" s="16"/>
      <c r="B1823" s="17"/>
      <c r="C1823" s="2"/>
      <c r="D1823" s="2"/>
      <c r="E1823" s="2"/>
      <c r="F1823" s="2"/>
      <c r="G1823" s="2"/>
      <c r="H1823" s="2"/>
      <c r="I1823" s="5"/>
    </row>
    <row r="1824" spans="1:9" ht="17.399999999999999" x14ac:dyDescent="0.25">
      <c r="A1824" s="16"/>
      <c r="B1824" s="17"/>
      <c r="C1824" s="2"/>
      <c r="D1824" s="2"/>
      <c r="E1824" s="2"/>
      <c r="F1824" s="2"/>
      <c r="G1824" s="2"/>
      <c r="H1824" s="2"/>
      <c r="I1824" s="5"/>
    </row>
    <row r="1825" spans="1:9" ht="17.399999999999999" x14ac:dyDescent="0.25">
      <c r="A1825" s="16"/>
      <c r="B1825" s="17"/>
      <c r="C1825" s="2"/>
      <c r="D1825" s="2"/>
      <c r="E1825" s="2"/>
      <c r="F1825" s="2"/>
      <c r="G1825" s="2"/>
      <c r="H1825" s="2"/>
      <c r="I1825" s="5"/>
    </row>
    <row r="1826" spans="1:9" ht="17.399999999999999" x14ac:dyDescent="0.25">
      <c r="A1826" s="16"/>
      <c r="B1826" s="17"/>
      <c r="C1826" s="2"/>
      <c r="D1826" s="2"/>
      <c r="E1826" s="2"/>
      <c r="F1826" s="2"/>
      <c r="G1826" s="2"/>
      <c r="H1826" s="2"/>
      <c r="I1826" s="5"/>
    </row>
    <row r="1827" spans="1:9" ht="17.399999999999999" x14ac:dyDescent="0.25">
      <c r="A1827" s="16"/>
      <c r="B1827" s="17"/>
      <c r="C1827" s="2"/>
      <c r="D1827" s="2"/>
      <c r="E1827" s="2"/>
      <c r="F1827" s="2"/>
      <c r="G1827" s="2"/>
      <c r="H1827" s="2"/>
      <c r="I1827" s="5"/>
    </row>
    <row r="1828" spans="1:9" ht="17.399999999999999" x14ac:dyDescent="0.25">
      <c r="A1828" s="16"/>
      <c r="B1828" s="17"/>
      <c r="C1828" s="2"/>
      <c r="D1828" s="2"/>
      <c r="E1828" s="2"/>
      <c r="F1828" s="2"/>
      <c r="G1828" s="2"/>
      <c r="H1828" s="2"/>
      <c r="I1828" s="5"/>
    </row>
    <row r="1829" spans="1:9" ht="17.399999999999999" x14ac:dyDescent="0.25">
      <c r="A1829" s="16"/>
      <c r="B1829" s="17"/>
      <c r="C1829" s="2"/>
      <c r="D1829" s="2"/>
      <c r="E1829" s="2"/>
      <c r="F1829" s="2"/>
      <c r="G1829" s="2"/>
      <c r="H1829" s="2"/>
      <c r="I1829" s="5"/>
    </row>
    <row r="1830" spans="1:9" ht="17.399999999999999" x14ac:dyDescent="0.25">
      <c r="A1830" s="16"/>
      <c r="B1830" s="17"/>
      <c r="C1830" s="2"/>
      <c r="D1830" s="2"/>
      <c r="E1830" s="2"/>
      <c r="F1830" s="2"/>
      <c r="G1830" s="2"/>
      <c r="H1830" s="2"/>
      <c r="I1830" s="5"/>
    </row>
    <row r="1831" spans="1:9" ht="17.399999999999999" x14ac:dyDescent="0.25">
      <c r="A1831" s="16"/>
      <c r="B1831" s="17"/>
      <c r="C1831" s="2"/>
      <c r="D1831" s="2"/>
      <c r="E1831" s="2"/>
      <c r="F1831" s="2"/>
      <c r="G1831" s="2"/>
      <c r="H1831" s="2"/>
      <c r="I1831" s="5"/>
    </row>
    <row r="1832" spans="1:9" ht="17.399999999999999" x14ac:dyDescent="0.25">
      <c r="A1832" s="16"/>
      <c r="B1832" s="17"/>
      <c r="C1832" s="2"/>
      <c r="D1832" s="2"/>
      <c r="E1832" s="2"/>
      <c r="F1832" s="2"/>
      <c r="G1832" s="2"/>
      <c r="H1832" s="2"/>
      <c r="I1832" s="5"/>
    </row>
    <row r="1833" spans="1:9" ht="17.399999999999999" x14ac:dyDescent="0.25">
      <c r="A1833" s="16"/>
      <c r="B1833" s="17"/>
      <c r="C1833" s="2"/>
      <c r="D1833" s="2"/>
      <c r="E1833" s="2"/>
      <c r="F1833" s="2"/>
      <c r="G1833" s="2"/>
      <c r="H1833" s="2"/>
      <c r="I1833" s="5"/>
    </row>
    <row r="1834" spans="1:9" ht="17.399999999999999" x14ac:dyDescent="0.25">
      <c r="A1834" s="16"/>
      <c r="B1834" s="17"/>
      <c r="C1834" s="2"/>
      <c r="D1834" s="2"/>
      <c r="E1834" s="2"/>
      <c r="F1834" s="2"/>
      <c r="G1834" s="2"/>
      <c r="H1834" s="2"/>
      <c r="I1834" s="5"/>
    </row>
    <row r="1835" spans="1:9" ht="17.399999999999999" x14ac:dyDescent="0.25">
      <c r="A1835" s="16"/>
      <c r="B1835" s="17"/>
      <c r="C1835" s="2"/>
      <c r="D1835" s="2"/>
      <c r="E1835" s="2"/>
      <c r="F1835" s="2"/>
      <c r="G1835" s="2"/>
      <c r="H1835" s="2"/>
      <c r="I1835" s="5"/>
    </row>
    <row r="1836" spans="1:9" ht="17.399999999999999" x14ac:dyDescent="0.25">
      <c r="A1836" s="16"/>
      <c r="B1836" s="17"/>
      <c r="C1836" s="2"/>
      <c r="D1836" s="2"/>
      <c r="E1836" s="2"/>
      <c r="F1836" s="2"/>
      <c r="G1836" s="2"/>
      <c r="H1836" s="2"/>
      <c r="I1836" s="5"/>
    </row>
    <row r="1837" spans="1:9" ht="17.399999999999999" x14ac:dyDescent="0.25">
      <c r="A1837" s="16"/>
      <c r="B1837" s="17"/>
      <c r="C1837" s="2"/>
      <c r="D1837" s="2"/>
      <c r="E1837" s="2"/>
      <c r="F1837" s="2"/>
      <c r="G1837" s="2"/>
      <c r="H1837" s="2"/>
      <c r="I1837" s="5"/>
    </row>
    <row r="1838" spans="1:9" ht="17.399999999999999" x14ac:dyDescent="0.25">
      <c r="A1838" s="16"/>
      <c r="B1838" s="17"/>
      <c r="C1838" s="2"/>
      <c r="D1838" s="2"/>
      <c r="E1838" s="2"/>
      <c r="F1838" s="2"/>
      <c r="G1838" s="2"/>
      <c r="H1838" s="2"/>
      <c r="I1838" s="5"/>
    </row>
    <row r="1839" spans="1:9" ht="17.399999999999999" x14ac:dyDescent="0.25">
      <c r="A1839" s="16"/>
      <c r="B1839" s="17"/>
      <c r="C1839" s="2"/>
      <c r="D1839" s="2"/>
      <c r="E1839" s="2"/>
      <c r="F1839" s="2"/>
      <c r="G1839" s="2"/>
      <c r="H1839" s="2"/>
      <c r="I1839" s="5"/>
    </row>
    <row r="1840" spans="1:9" ht="17.399999999999999" x14ac:dyDescent="0.25">
      <c r="A1840" s="16"/>
      <c r="B1840" s="17"/>
      <c r="C1840" s="2"/>
      <c r="D1840" s="2"/>
      <c r="E1840" s="2"/>
      <c r="F1840" s="2"/>
      <c r="G1840" s="2"/>
      <c r="H1840" s="2"/>
      <c r="I1840" s="5"/>
    </row>
    <row r="1841" spans="1:9" ht="17.399999999999999" x14ac:dyDescent="0.25">
      <c r="A1841" s="16"/>
      <c r="B1841" s="17"/>
      <c r="C1841" s="2"/>
      <c r="D1841" s="2"/>
      <c r="E1841" s="2"/>
      <c r="F1841" s="2"/>
      <c r="G1841" s="2"/>
      <c r="H1841" s="2"/>
      <c r="I1841" s="5"/>
    </row>
    <row r="1842" spans="1:9" ht="17.399999999999999" x14ac:dyDescent="0.25">
      <c r="A1842" s="16"/>
      <c r="B1842" s="17"/>
      <c r="C1842" s="2"/>
      <c r="D1842" s="2"/>
      <c r="E1842" s="2"/>
      <c r="F1842" s="2"/>
      <c r="G1842" s="2"/>
      <c r="H1842" s="2"/>
      <c r="I1842" s="5"/>
    </row>
    <row r="1843" spans="1:9" ht="17.399999999999999" x14ac:dyDescent="0.25">
      <c r="A1843" s="16"/>
      <c r="B1843" s="17"/>
      <c r="C1843" s="2"/>
      <c r="D1843" s="2"/>
      <c r="E1843" s="2"/>
      <c r="F1843" s="2"/>
      <c r="G1843" s="2"/>
      <c r="H1843" s="2"/>
      <c r="I1843" s="5"/>
    </row>
    <row r="1844" spans="1:9" ht="17.399999999999999" x14ac:dyDescent="0.25">
      <c r="A1844" s="16"/>
      <c r="B1844" s="17"/>
      <c r="C1844" s="2"/>
      <c r="D1844" s="2"/>
      <c r="E1844" s="2"/>
      <c r="F1844" s="2"/>
      <c r="G1844" s="2"/>
      <c r="H1844" s="2"/>
      <c r="I1844" s="5"/>
    </row>
    <row r="1845" spans="1:9" ht="17.399999999999999" x14ac:dyDescent="0.25">
      <c r="A1845" s="16"/>
      <c r="B1845" s="17"/>
      <c r="C1845" s="2"/>
      <c r="D1845" s="2"/>
      <c r="E1845" s="2"/>
      <c r="F1845" s="2"/>
      <c r="G1845" s="2"/>
      <c r="H1845" s="2"/>
      <c r="I1845" s="5"/>
    </row>
    <row r="1846" spans="1:9" ht="17.399999999999999" x14ac:dyDescent="0.25">
      <c r="A1846" s="16"/>
      <c r="B1846" s="17"/>
      <c r="C1846" s="2"/>
      <c r="D1846" s="2"/>
      <c r="E1846" s="2"/>
      <c r="F1846" s="2"/>
      <c r="G1846" s="2"/>
      <c r="H1846" s="2"/>
      <c r="I1846" s="5"/>
    </row>
    <row r="1847" spans="1:9" ht="17.399999999999999" x14ac:dyDescent="0.25">
      <c r="A1847" s="16"/>
      <c r="B1847" s="17"/>
      <c r="C1847" s="2"/>
      <c r="D1847" s="2"/>
      <c r="E1847" s="2"/>
      <c r="F1847" s="2"/>
      <c r="G1847" s="2"/>
      <c r="H1847" s="2"/>
      <c r="I1847" s="5"/>
    </row>
    <row r="1848" spans="1:9" ht="17.399999999999999" x14ac:dyDescent="0.25">
      <c r="A1848" s="16"/>
      <c r="B1848" s="17"/>
      <c r="C1848" s="2"/>
      <c r="D1848" s="2"/>
      <c r="E1848" s="2"/>
      <c r="F1848" s="2"/>
      <c r="G1848" s="2"/>
      <c r="H1848" s="2"/>
      <c r="I1848" s="5"/>
    </row>
    <row r="1849" spans="1:9" ht="17.399999999999999" x14ac:dyDescent="0.25">
      <c r="A1849" s="16"/>
      <c r="B1849" s="17"/>
      <c r="C1849" s="2"/>
      <c r="D1849" s="2"/>
      <c r="E1849" s="2"/>
      <c r="F1849" s="2"/>
      <c r="G1849" s="2"/>
      <c r="H1849" s="2"/>
      <c r="I1849" s="5"/>
    </row>
    <row r="1850" spans="1:9" ht="17.399999999999999" x14ac:dyDescent="0.25">
      <c r="A1850" s="16"/>
      <c r="B1850" s="17"/>
      <c r="C1850" s="2"/>
      <c r="D1850" s="2"/>
      <c r="E1850" s="2"/>
      <c r="F1850" s="2"/>
      <c r="G1850" s="2"/>
      <c r="H1850" s="2"/>
      <c r="I1850" s="5"/>
    </row>
    <row r="1851" spans="1:9" ht="17.399999999999999" x14ac:dyDescent="0.25">
      <c r="A1851" s="16"/>
      <c r="B1851" s="17"/>
      <c r="C1851" s="2"/>
      <c r="D1851" s="2"/>
      <c r="E1851" s="2"/>
      <c r="F1851" s="2"/>
      <c r="G1851" s="2"/>
      <c r="H1851" s="2"/>
      <c r="I1851" s="5"/>
    </row>
    <row r="1852" spans="1:9" ht="17.399999999999999" x14ac:dyDescent="0.25">
      <c r="A1852" s="16"/>
      <c r="B1852" s="17"/>
      <c r="C1852" s="2"/>
      <c r="D1852" s="2"/>
      <c r="E1852" s="2"/>
      <c r="F1852" s="2"/>
      <c r="G1852" s="2"/>
      <c r="H1852" s="2"/>
      <c r="I1852" s="5"/>
    </row>
    <row r="1853" spans="1:9" ht="17.399999999999999" x14ac:dyDescent="0.25">
      <c r="A1853" s="16"/>
      <c r="B1853" s="17"/>
      <c r="C1853" s="2"/>
      <c r="D1853" s="2"/>
      <c r="E1853" s="2"/>
      <c r="F1853" s="2"/>
      <c r="G1853" s="2"/>
      <c r="H1853" s="2"/>
      <c r="I1853" s="5"/>
    </row>
    <row r="1854" spans="1:9" ht="17.399999999999999" x14ac:dyDescent="0.25">
      <c r="A1854" s="16"/>
      <c r="B1854" s="17"/>
      <c r="C1854" s="2"/>
      <c r="D1854" s="2"/>
      <c r="E1854" s="2"/>
      <c r="F1854" s="2"/>
      <c r="G1854" s="2"/>
      <c r="H1854" s="2"/>
      <c r="I1854" s="5"/>
    </row>
    <row r="1855" spans="1:9" ht="17.399999999999999" x14ac:dyDescent="0.25">
      <c r="A1855" s="16"/>
      <c r="B1855" s="17"/>
      <c r="C1855" s="2"/>
      <c r="D1855" s="2"/>
      <c r="E1855" s="2"/>
      <c r="F1855" s="2"/>
      <c r="G1855" s="2"/>
      <c r="H1855" s="2"/>
      <c r="I1855" s="5"/>
    </row>
    <row r="1856" spans="1:9" ht="17.399999999999999" x14ac:dyDescent="0.25">
      <c r="A1856" s="16"/>
      <c r="B1856" s="17"/>
      <c r="C1856" s="2"/>
      <c r="D1856" s="2"/>
      <c r="E1856" s="2"/>
      <c r="F1856" s="2"/>
      <c r="G1856" s="2"/>
      <c r="H1856" s="2"/>
      <c r="I1856" s="5"/>
    </row>
    <row r="1857" spans="1:9" ht="17.399999999999999" x14ac:dyDescent="0.25">
      <c r="A1857" s="16"/>
      <c r="B1857" s="17"/>
      <c r="C1857" s="2"/>
      <c r="D1857" s="2"/>
      <c r="E1857" s="2"/>
      <c r="F1857" s="2"/>
      <c r="G1857" s="2"/>
      <c r="H1857" s="2"/>
      <c r="I1857" s="5"/>
    </row>
    <row r="1858" spans="1:9" ht="17.399999999999999" x14ac:dyDescent="0.25">
      <c r="A1858" s="16"/>
      <c r="B1858" s="17"/>
      <c r="C1858" s="2"/>
      <c r="D1858" s="2"/>
      <c r="E1858" s="2"/>
      <c r="F1858" s="2"/>
      <c r="G1858" s="2"/>
      <c r="H1858" s="2"/>
      <c r="I1858" s="5"/>
    </row>
    <row r="1859" spans="1:9" ht="17.399999999999999" x14ac:dyDescent="0.25">
      <c r="A1859" s="16"/>
      <c r="B1859" s="17"/>
      <c r="C1859" s="2"/>
      <c r="D1859" s="2"/>
      <c r="E1859" s="2"/>
      <c r="F1859" s="2"/>
      <c r="G1859" s="2"/>
      <c r="H1859" s="2"/>
      <c r="I1859" s="5"/>
    </row>
    <row r="1860" spans="1:9" ht="17.399999999999999" x14ac:dyDescent="0.25">
      <c r="A1860" s="16"/>
      <c r="B1860" s="17"/>
      <c r="C1860" s="2"/>
      <c r="D1860" s="2"/>
      <c r="E1860" s="2"/>
      <c r="F1860" s="2"/>
      <c r="G1860" s="2"/>
      <c r="H1860" s="2"/>
      <c r="I1860" s="5"/>
    </row>
    <row r="1861" spans="1:9" ht="17.399999999999999" x14ac:dyDescent="0.25">
      <c r="A1861" s="16"/>
      <c r="B1861" s="17"/>
      <c r="C1861" s="2"/>
      <c r="D1861" s="2"/>
      <c r="E1861" s="2"/>
      <c r="F1861" s="2"/>
      <c r="G1861" s="2"/>
      <c r="H1861" s="2"/>
      <c r="I1861" s="5"/>
    </row>
    <row r="1862" spans="1:9" ht="17.399999999999999" x14ac:dyDescent="0.25">
      <c r="A1862" s="16"/>
      <c r="B1862" s="17"/>
      <c r="C1862" s="2"/>
      <c r="D1862" s="2"/>
      <c r="E1862" s="2"/>
      <c r="F1862" s="2"/>
      <c r="G1862" s="2"/>
      <c r="H1862" s="2"/>
      <c r="I1862" s="5"/>
    </row>
    <row r="1863" spans="1:9" ht="17.399999999999999" x14ac:dyDescent="0.25">
      <c r="A1863" s="16"/>
      <c r="B1863" s="17"/>
      <c r="C1863" s="2"/>
      <c r="D1863" s="2"/>
      <c r="E1863" s="2"/>
      <c r="F1863" s="2"/>
      <c r="G1863" s="2"/>
      <c r="H1863" s="2"/>
      <c r="I1863" s="5"/>
    </row>
    <row r="1864" spans="1:9" ht="17.399999999999999" x14ac:dyDescent="0.25">
      <c r="A1864" s="16"/>
      <c r="B1864" s="17"/>
      <c r="C1864" s="2"/>
      <c r="D1864" s="2"/>
      <c r="E1864" s="2"/>
      <c r="F1864" s="2"/>
      <c r="G1864" s="2"/>
      <c r="H1864" s="2"/>
      <c r="I1864" s="5"/>
    </row>
    <row r="1865" spans="1:9" ht="17.399999999999999" x14ac:dyDescent="0.25">
      <c r="A1865" s="16"/>
      <c r="B1865" s="17"/>
      <c r="C1865" s="2"/>
      <c r="D1865" s="2"/>
      <c r="E1865" s="2"/>
      <c r="F1865" s="2"/>
      <c r="G1865" s="2"/>
      <c r="H1865" s="2"/>
      <c r="I1865" s="5"/>
    </row>
    <row r="1866" spans="1:9" ht="17.399999999999999" x14ac:dyDescent="0.25">
      <c r="A1866" s="16"/>
      <c r="B1866" s="17"/>
      <c r="C1866" s="2"/>
      <c r="D1866" s="2"/>
      <c r="E1866" s="2"/>
      <c r="F1866" s="2"/>
      <c r="G1866" s="2"/>
      <c r="H1866" s="2"/>
      <c r="I1866" s="5"/>
    </row>
    <row r="1867" spans="1:9" ht="17.399999999999999" x14ac:dyDescent="0.25">
      <c r="A1867" s="16"/>
      <c r="B1867" s="17"/>
      <c r="C1867" s="2"/>
      <c r="D1867" s="2"/>
      <c r="E1867" s="2"/>
      <c r="F1867" s="2"/>
      <c r="G1867" s="2"/>
      <c r="H1867" s="2"/>
      <c r="I1867" s="5"/>
    </row>
    <row r="1868" spans="1:9" ht="17.399999999999999" x14ac:dyDescent="0.25">
      <c r="A1868" s="16"/>
      <c r="B1868" s="17"/>
      <c r="C1868" s="2"/>
      <c r="D1868" s="2"/>
      <c r="E1868" s="2"/>
      <c r="F1868" s="2"/>
      <c r="G1868" s="2"/>
      <c r="H1868" s="2"/>
      <c r="I1868" s="5"/>
    </row>
    <row r="1869" spans="1:9" ht="17.399999999999999" x14ac:dyDescent="0.25">
      <c r="A1869" s="16"/>
      <c r="B1869" s="17"/>
      <c r="C1869" s="2"/>
      <c r="D1869" s="2"/>
      <c r="E1869" s="2"/>
      <c r="F1869" s="2"/>
      <c r="G1869" s="2"/>
      <c r="H1869" s="2"/>
      <c r="I1869" s="5"/>
    </row>
    <row r="1870" spans="1:9" ht="17.399999999999999" x14ac:dyDescent="0.25">
      <c r="A1870" s="16"/>
      <c r="B1870" s="17"/>
      <c r="C1870" s="2"/>
      <c r="D1870" s="2"/>
      <c r="E1870" s="2"/>
      <c r="F1870" s="2"/>
      <c r="G1870" s="2"/>
      <c r="H1870" s="2"/>
      <c r="I1870" s="5"/>
    </row>
    <row r="1871" spans="1:9" ht="17.399999999999999" x14ac:dyDescent="0.25">
      <c r="A1871" s="16"/>
      <c r="B1871" s="17"/>
      <c r="C1871" s="2"/>
      <c r="D1871" s="2"/>
      <c r="E1871" s="2"/>
      <c r="F1871" s="2"/>
      <c r="G1871" s="2"/>
      <c r="H1871" s="2"/>
      <c r="I1871" s="5"/>
    </row>
    <row r="1872" spans="1:9" ht="17.399999999999999" x14ac:dyDescent="0.25">
      <c r="A1872" s="16"/>
      <c r="B1872" s="17"/>
      <c r="C1872" s="2"/>
      <c r="D1872" s="2"/>
      <c r="E1872" s="2"/>
      <c r="F1872" s="2"/>
      <c r="G1872" s="2"/>
      <c r="H1872" s="2"/>
      <c r="I1872" s="5"/>
    </row>
    <row r="1873" spans="1:9" ht="17.399999999999999" x14ac:dyDescent="0.25">
      <c r="A1873" s="16"/>
      <c r="B1873" s="17"/>
      <c r="C1873" s="2"/>
      <c r="D1873" s="2"/>
      <c r="E1873" s="2"/>
      <c r="F1873" s="2"/>
      <c r="G1873" s="2"/>
      <c r="H1873" s="2"/>
      <c r="I1873" s="5"/>
    </row>
    <row r="1874" spans="1:9" ht="17.399999999999999" x14ac:dyDescent="0.25">
      <c r="A1874" s="16"/>
      <c r="B1874" s="17"/>
      <c r="C1874" s="2"/>
      <c r="D1874" s="2"/>
      <c r="E1874" s="2"/>
      <c r="F1874" s="2"/>
      <c r="G1874" s="2"/>
      <c r="H1874" s="2"/>
      <c r="I1874" s="5"/>
    </row>
    <row r="1875" spans="1:9" ht="17.399999999999999" x14ac:dyDescent="0.25">
      <c r="A1875" s="16"/>
      <c r="B1875" s="17"/>
      <c r="C1875" s="2"/>
      <c r="D1875" s="2"/>
      <c r="E1875" s="2"/>
      <c r="F1875" s="2"/>
      <c r="G1875" s="2"/>
      <c r="H1875" s="2"/>
      <c r="I1875" s="5"/>
    </row>
    <row r="1876" spans="1:9" ht="17.399999999999999" x14ac:dyDescent="0.25">
      <c r="A1876" s="16"/>
      <c r="B1876" s="17"/>
      <c r="C1876" s="2"/>
      <c r="D1876" s="2"/>
      <c r="E1876" s="2"/>
      <c r="F1876" s="2"/>
      <c r="G1876" s="2"/>
      <c r="H1876" s="2"/>
      <c r="I1876" s="5"/>
    </row>
    <row r="1877" spans="1:9" ht="17.399999999999999" x14ac:dyDescent="0.25">
      <c r="A1877" s="16"/>
      <c r="B1877" s="17"/>
      <c r="C1877" s="2"/>
      <c r="D1877" s="2"/>
      <c r="E1877" s="2"/>
      <c r="F1877" s="2"/>
      <c r="G1877" s="2"/>
      <c r="H1877" s="2"/>
      <c r="I1877" s="5"/>
    </row>
    <row r="1878" spans="1:9" ht="17.399999999999999" x14ac:dyDescent="0.25">
      <c r="A1878" s="16"/>
      <c r="B1878" s="17"/>
      <c r="C1878" s="2"/>
      <c r="D1878" s="2"/>
      <c r="E1878" s="2"/>
      <c r="F1878" s="2"/>
      <c r="G1878" s="2"/>
      <c r="H1878" s="2"/>
      <c r="I1878" s="5"/>
    </row>
    <row r="1879" spans="1:9" ht="17.399999999999999" x14ac:dyDescent="0.25">
      <c r="A1879" s="16"/>
      <c r="B1879" s="17"/>
      <c r="C1879" s="2"/>
      <c r="D1879" s="2"/>
      <c r="E1879" s="2"/>
      <c r="F1879" s="2"/>
      <c r="G1879" s="2"/>
      <c r="H1879" s="2"/>
      <c r="I1879" s="5"/>
    </row>
    <row r="1880" spans="1:9" ht="17.399999999999999" x14ac:dyDescent="0.25">
      <c r="A1880" s="16"/>
      <c r="B1880" s="17"/>
      <c r="C1880" s="2"/>
      <c r="D1880" s="2"/>
      <c r="E1880" s="2"/>
      <c r="F1880" s="2"/>
      <c r="G1880" s="2"/>
      <c r="H1880" s="2"/>
      <c r="I1880" s="5"/>
    </row>
    <row r="1881" spans="1:9" ht="17.399999999999999" x14ac:dyDescent="0.25">
      <c r="A1881" s="16"/>
      <c r="B1881" s="17"/>
      <c r="C1881" s="2"/>
      <c r="D1881" s="2"/>
      <c r="E1881" s="2"/>
      <c r="F1881" s="2"/>
      <c r="G1881" s="2"/>
      <c r="H1881" s="2"/>
      <c r="I1881" s="5"/>
    </row>
    <row r="1882" spans="1:9" ht="17.399999999999999" x14ac:dyDescent="0.25">
      <c r="A1882" s="16"/>
      <c r="B1882" s="17"/>
      <c r="C1882" s="2"/>
      <c r="D1882" s="2"/>
      <c r="E1882" s="2"/>
      <c r="F1882" s="2"/>
      <c r="G1882" s="2"/>
      <c r="H1882" s="2"/>
      <c r="I1882" s="5"/>
    </row>
    <row r="1883" spans="1:9" ht="17.399999999999999" x14ac:dyDescent="0.25">
      <c r="A1883" s="16"/>
      <c r="B1883" s="17"/>
      <c r="C1883" s="2"/>
      <c r="D1883" s="2"/>
      <c r="E1883" s="2"/>
      <c r="F1883" s="2"/>
      <c r="G1883" s="2"/>
      <c r="H1883" s="2"/>
      <c r="I1883" s="5"/>
    </row>
    <row r="1884" spans="1:9" ht="17.399999999999999" x14ac:dyDescent="0.25">
      <c r="A1884" s="16"/>
      <c r="B1884" s="17"/>
      <c r="C1884" s="2"/>
      <c r="D1884" s="2"/>
      <c r="E1884" s="2"/>
      <c r="F1884" s="2"/>
      <c r="G1884" s="2"/>
      <c r="H1884" s="2"/>
      <c r="I1884" s="5"/>
    </row>
    <row r="1885" spans="1:9" ht="17.399999999999999" x14ac:dyDescent="0.25">
      <c r="A1885" s="16"/>
      <c r="B1885" s="17"/>
      <c r="C1885" s="2"/>
      <c r="D1885" s="2"/>
      <c r="E1885" s="2"/>
      <c r="F1885" s="2"/>
      <c r="G1885" s="2"/>
      <c r="H1885" s="2"/>
      <c r="I1885" s="5"/>
    </row>
    <row r="1886" spans="1:9" ht="17.399999999999999" x14ac:dyDescent="0.25">
      <c r="A1886" s="16"/>
      <c r="B1886" s="17"/>
      <c r="C1886" s="2"/>
      <c r="D1886" s="2"/>
      <c r="E1886" s="2"/>
      <c r="F1886" s="2"/>
      <c r="G1886" s="2"/>
      <c r="H1886" s="2"/>
      <c r="I1886" s="5"/>
    </row>
    <row r="1887" spans="1:9" ht="17.399999999999999" x14ac:dyDescent="0.25">
      <c r="A1887" s="16"/>
      <c r="B1887" s="17"/>
      <c r="C1887" s="2"/>
      <c r="D1887" s="2"/>
      <c r="E1887" s="2"/>
      <c r="F1887" s="2"/>
      <c r="G1887" s="2"/>
      <c r="H1887" s="2"/>
      <c r="I1887" s="5"/>
    </row>
    <row r="1888" spans="1:9" ht="17.399999999999999" x14ac:dyDescent="0.25">
      <c r="A1888" s="16"/>
      <c r="B1888" s="17"/>
      <c r="C1888" s="2"/>
      <c r="D1888" s="2"/>
      <c r="E1888" s="2"/>
      <c r="F1888" s="2"/>
      <c r="G1888" s="2"/>
      <c r="H1888" s="2"/>
      <c r="I1888" s="5"/>
    </row>
    <row r="1889" spans="1:9" ht="17.399999999999999" x14ac:dyDescent="0.25">
      <c r="A1889" s="16"/>
      <c r="B1889" s="17"/>
      <c r="C1889" s="2"/>
      <c r="D1889" s="2"/>
      <c r="E1889" s="2"/>
      <c r="F1889" s="2"/>
      <c r="G1889" s="2"/>
      <c r="H1889" s="2"/>
      <c r="I1889" s="5"/>
    </row>
    <row r="1890" spans="1:9" ht="17.399999999999999" x14ac:dyDescent="0.25">
      <c r="A1890" s="16"/>
      <c r="B1890" s="17"/>
      <c r="C1890" s="2"/>
      <c r="D1890" s="2"/>
      <c r="E1890" s="2"/>
      <c r="F1890" s="2"/>
      <c r="G1890" s="2"/>
      <c r="H1890" s="2"/>
      <c r="I1890" s="5"/>
    </row>
    <row r="1891" spans="1:9" ht="17.399999999999999" x14ac:dyDescent="0.25">
      <c r="A1891" s="16"/>
      <c r="B1891" s="17"/>
      <c r="C1891" s="2"/>
      <c r="D1891" s="2"/>
      <c r="E1891" s="2"/>
      <c r="F1891" s="2"/>
      <c r="G1891" s="2"/>
      <c r="H1891" s="2"/>
      <c r="I1891" s="5"/>
    </row>
    <row r="1892" spans="1:9" ht="17.399999999999999" x14ac:dyDescent="0.25">
      <c r="A1892" s="16"/>
      <c r="B1892" s="17"/>
      <c r="C1892" s="2"/>
      <c r="D1892" s="2"/>
      <c r="E1892" s="2"/>
      <c r="F1892" s="2"/>
      <c r="G1892" s="2"/>
      <c r="H1892" s="2"/>
      <c r="I1892" s="5"/>
    </row>
    <row r="1893" spans="1:9" ht="17.399999999999999" x14ac:dyDescent="0.25">
      <c r="A1893" s="16"/>
      <c r="B1893" s="17"/>
      <c r="C1893" s="2"/>
      <c r="D1893" s="2"/>
      <c r="E1893" s="2"/>
      <c r="F1893" s="2"/>
      <c r="G1893" s="2"/>
      <c r="H1893" s="2"/>
      <c r="I1893" s="5"/>
    </row>
    <row r="1894" spans="1:9" ht="17.399999999999999" x14ac:dyDescent="0.25">
      <c r="A1894" s="16"/>
      <c r="B1894" s="17"/>
      <c r="C1894" s="2"/>
      <c r="D1894" s="2"/>
      <c r="E1894" s="2"/>
      <c r="F1894" s="2"/>
      <c r="G1894" s="2"/>
      <c r="H1894" s="2"/>
      <c r="I1894" s="5"/>
    </row>
    <row r="1895" spans="1:9" ht="17.399999999999999" x14ac:dyDescent="0.25">
      <c r="A1895" s="16"/>
      <c r="B1895" s="17"/>
      <c r="C1895" s="2"/>
      <c r="D1895" s="2"/>
      <c r="E1895" s="2"/>
      <c r="F1895" s="2"/>
      <c r="G1895" s="2"/>
      <c r="H1895" s="2"/>
      <c r="I1895" s="5"/>
    </row>
    <row r="1896" spans="1:9" ht="17.399999999999999" x14ac:dyDescent="0.25">
      <c r="A1896" s="16"/>
      <c r="B1896" s="17"/>
      <c r="C1896" s="2"/>
      <c r="D1896" s="2"/>
      <c r="E1896" s="2"/>
      <c r="F1896" s="2"/>
      <c r="G1896" s="2"/>
      <c r="H1896" s="2"/>
      <c r="I1896" s="5"/>
    </row>
    <row r="1897" spans="1:9" ht="17.399999999999999" x14ac:dyDescent="0.25">
      <c r="A1897" s="16"/>
      <c r="B1897" s="17"/>
      <c r="C1897" s="2"/>
      <c r="D1897" s="2"/>
      <c r="E1897" s="2"/>
      <c r="F1897" s="2"/>
      <c r="G1897" s="2"/>
      <c r="H1897" s="2"/>
      <c r="I1897" s="5"/>
    </row>
    <row r="1898" spans="1:9" ht="17.399999999999999" x14ac:dyDescent="0.25">
      <c r="A1898" s="16"/>
      <c r="B1898" s="17"/>
      <c r="C1898" s="2"/>
      <c r="D1898" s="2"/>
      <c r="E1898" s="2"/>
      <c r="F1898" s="2"/>
      <c r="G1898" s="2"/>
      <c r="H1898" s="2"/>
      <c r="I1898" s="5"/>
    </row>
    <row r="1899" spans="1:9" ht="17.399999999999999" x14ac:dyDescent="0.25">
      <c r="A1899" s="16"/>
      <c r="B1899" s="17"/>
      <c r="C1899" s="2"/>
      <c r="D1899" s="2"/>
      <c r="E1899" s="2"/>
      <c r="F1899" s="2"/>
      <c r="G1899" s="2"/>
      <c r="H1899" s="2"/>
      <c r="I1899" s="5"/>
    </row>
    <row r="1900" spans="1:9" ht="17.399999999999999" x14ac:dyDescent="0.25">
      <c r="A1900" s="16"/>
      <c r="B1900" s="17"/>
      <c r="C1900" s="2"/>
      <c r="D1900" s="2"/>
      <c r="E1900" s="2"/>
      <c r="F1900" s="2"/>
      <c r="G1900" s="2"/>
      <c r="H1900" s="2"/>
      <c r="I1900" s="5"/>
    </row>
    <row r="1901" spans="1:9" ht="17.399999999999999" x14ac:dyDescent="0.25">
      <c r="A1901" s="16"/>
      <c r="B1901" s="17"/>
      <c r="C1901" s="2"/>
      <c r="D1901" s="2"/>
      <c r="E1901" s="2"/>
      <c r="F1901" s="2"/>
      <c r="G1901" s="2"/>
      <c r="H1901" s="2"/>
      <c r="I1901" s="5"/>
    </row>
    <row r="1902" spans="1:9" ht="17.399999999999999" x14ac:dyDescent="0.25">
      <c r="A1902" s="16"/>
      <c r="B1902" s="17"/>
      <c r="C1902" s="2"/>
      <c r="D1902" s="2"/>
      <c r="E1902" s="2"/>
      <c r="F1902" s="2"/>
      <c r="G1902" s="2"/>
      <c r="H1902" s="2"/>
      <c r="I1902" s="5"/>
    </row>
    <row r="1903" spans="1:9" ht="17.399999999999999" x14ac:dyDescent="0.25">
      <c r="A1903" s="16"/>
      <c r="B1903" s="17"/>
      <c r="C1903" s="2"/>
      <c r="D1903" s="2"/>
      <c r="E1903" s="2"/>
      <c r="F1903" s="2"/>
      <c r="G1903" s="2"/>
      <c r="H1903" s="2"/>
      <c r="I1903" s="5"/>
    </row>
    <row r="1904" spans="1:9" ht="17.399999999999999" x14ac:dyDescent="0.25">
      <c r="A1904" s="16"/>
      <c r="B1904" s="17"/>
      <c r="C1904" s="2"/>
      <c r="D1904" s="2"/>
      <c r="E1904" s="2"/>
      <c r="F1904" s="2"/>
      <c r="G1904" s="2"/>
      <c r="H1904" s="2"/>
      <c r="I1904" s="5"/>
    </row>
    <row r="1905" spans="1:9" ht="17.399999999999999" x14ac:dyDescent="0.25">
      <c r="A1905" s="16"/>
      <c r="B1905" s="17"/>
      <c r="C1905" s="2"/>
      <c r="D1905" s="2"/>
      <c r="E1905" s="2"/>
      <c r="F1905" s="2"/>
      <c r="G1905" s="2"/>
      <c r="H1905" s="2"/>
      <c r="I1905" s="5"/>
    </row>
    <row r="1906" spans="1:9" ht="17.399999999999999" x14ac:dyDescent="0.25">
      <c r="A1906" s="16"/>
      <c r="B1906" s="17"/>
      <c r="C1906" s="2"/>
      <c r="D1906" s="2"/>
      <c r="E1906" s="2"/>
      <c r="F1906" s="2"/>
      <c r="G1906" s="2"/>
      <c r="H1906" s="2"/>
      <c r="I1906" s="5"/>
    </row>
    <row r="1907" spans="1:9" ht="17.399999999999999" x14ac:dyDescent="0.25">
      <c r="A1907" s="16"/>
      <c r="B1907" s="17"/>
      <c r="C1907" s="2"/>
      <c r="D1907" s="2"/>
      <c r="E1907" s="2"/>
      <c r="F1907" s="2"/>
      <c r="G1907" s="2"/>
      <c r="H1907" s="2"/>
      <c r="I1907" s="5"/>
    </row>
    <row r="1908" spans="1:9" ht="17.399999999999999" x14ac:dyDescent="0.25">
      <c r="A1908" s="16"/>
      <c r="B1908" s="17"/>
      <c r="C1908" s="2"/>
      <c r="D1908" s="2"/>
      <c r="E1908" s="2"/>
      <c r="F1908" s="2"/>
      <c r="G1908" s="2"/>
      <c r="H1908" s="2"/>
      <c r="I1908" s="5"/>
    </row>
    <row r="1909" spans="1:9" ht="17.399999999999999" x14ac:dyDescent="0.25">
      <c r="A1909" s="16"/>
      <c r="B1909" s="17"/>
      <c r="C1909" s="2"/>
      <c r="D1909" s="2"/>
      <c r="E1909" s="2"/>
      <c r="F1909" s="2"/>
      <c r="G1909" s="2"/>
      <c r="H1909" s="2"/>
      <c r="I1909" s="5"/>
    </row>
    <row r="1910" spans="1:9" ht="17.399999999999999" x14ac:dyDescent="0.25">
      <c r="A1910" s="16"/>
      <c r="B1910" s="17"/>
      <c r="C1910" s="2"/>
      <c r="D1910" s="2"/>
      <c r="E1910" s="2"/>
      <c r="F1910" s="2"/>
      <c r="G1910" s="2"/>
      <c r="H1910" s="2"/>
      <c r="I1910" s="5"/>
    </row>
    <row r="1911" spans="1:9" ht="17.399999999999999" x14ac:dyDescent="0.25">
      <c r="A1911" s="16"/>
      <c r="B1911" s="17"/>
      <c r="C1911" s="2"/>
      <c r="D1911" s="2"/>
      <c r="E1911" s="2"/>
      <c r="F1911" s="2"/>
      <c r="G1911" s="2"/>
      <c r="H1911" s="2"/>
      <c r="I1911" s="5"/>
    </row>
    <row r="1912" spans="1:9" ht="17.399999999999999" x14ac:dyDescent="0.25">
      <c r="A1912" s="16"/>
      <c r="B1912" s="17"/>
      <c r="C1912" s="2"/>
      <c r="D1912" s="2"/>
      <c r="E1912" s="2"/>
      <c r="F1912" s="2"/>
      <c r="G1912" s="2"/>
      <c r="H1912" s="2"/>
      <c r="I1912" s="5"/>
    </row>
    <row r="1913" spans="1:9" ht="17.399999999999999" x14ac:dyDescent="0.25">
      <c r="A1913" s="16"/>
      <c r="B1913" s="17"/>
      <c r="C1913" s="2"/>
      <c r="D1913" s="2"/>
      <c r="E1913" s="2"/>
      <c r="F1913" s="2"/>
      <c r="G1913" s="2"/>
      <c r="H1913" s="2"/>
      <c r="I1913" s="5"/>
    </row>
    <row r="1914" spans="1:9" ht="17.399999999999999" x14ac:dyDescent="0.25">
      <c r="A1914" s="16"/>
      <c r="B1914" s="17"/>
      <c r="C1914" s="2"/>
      <c r="D1914" s="2"/>
      <c r="E1914" s="2"/>
      <c r="F1914" s="2"/>
      <c r="G1914" s="2"/>
      <c r="H1914" s="2"/>
      <c r="I1914" s="5"/>
    </row>
    <row r="1915" spans="1:9" ht="17.399999999999999" x14ac:dyDescent="0.25">
      <c r="A1915" s="16"/>
      <c r="B1915" s="17"/>
      <c r="C1915" s="2"/>
      <c r="D1915" s="2"/>
      <c r="E1915" s="2"/>
      <c r="F1915" s="2"/>
      <c r="G1915" s="2"/>
      <c r="H1915" s="2"/>
      <c r="I1915" s="5"/>
    </row>
    <row r="1916" spans="1:9" ht="17.399999999999999" x14ac:dyDescent="0.25">
      <c r="A1916" s="16"/>
      <c r="B1916" s="17"/>
      <c r="C1916" s="2"/>
      <c r="D1916" s="2"/>
      <c r="E1916" s="2"/>
      <c r="F1916" s="2"/>
      <c r="G1916" s="2"/>
      <c r="H1916" s="2"/>
      <c r="I1916" s="5"/>
    </row>
    <row r="1917" spans="1:9" ht="17.399999999999999" x14ac:dyDescent="0.25">
      <c r="A1917" s="16"/>
      <c r="B1917" s="17"/>
      <c r="C1917" s="2"/>
      <c r="D1917" s="2"/>
      <c r="E1917" s="2"/>
      <c r="F1917" s="2"/>
      <c r="G1917" s="2"/>
      <c r="H1917" s="2"/>
      <c r="I1917" s="5"/>
    </row>
    <row r="1918" spans="1:9" ht="17.399999999999999" x14ac:dyDescent="0.25">
      <c r="A1918" s="16"/>
      <c r="B1918" s="17"/>
      <c r="C1918" s="2"/>
      <c r="D1918" s="2"/>
      <c r="E1918" s="2"/>
      <c r="F1918" s="2"/>
      <c r="G1918" s="2"/>
      <c r="H1918" s="2"/>
      <c r="I1918" s="5"/>
    </row>
    <row r="1919" spans="1:9" ht="17.399999999999999" x14ac:dyDescent="0.25">
      <c r="A1919" s="16"/>
      <c r="B1919" s="17"/>
      <c r="C1919" s="2"/>
      <c r="D1919" s="2"/>
      <c r="E1919" s="2"/>
      <c r="F1919" s="2"/>
      <c r="G1919" s="2"/>
      <c r="H1919" s="2"/>
      <c r="I1919" s="5"/>
    </row>
    <row r="1920" spans="1:9" ht="17.399999999999999" x14ac:dyDescent="0.25">
      <c r="A1920" s="16"/>
      <c r="B1920" s="17"/>
      <c r="C1920" s="2"/>
      <c r="D1920" s="2"/>
      <c r="E1920" s="2"/>
      <c r="F1920" s="2"/>
      <c r="G1920" s="2"/>
      <c r="H1920" s="2"/>
      <c r="I1920" s="5"/>
    </row>
    <row r="1921" spans="1:9" ht="17.399999999999999" x14ac:dyDescent="0.25">
      <c r="A1921" s="16"/>
      <c r="B1921" s="17"/>
      <c r="C1921" s="2"/>
      <c r="D1921" s="2"/>
      <c r="E1921" s="2"/>
      <c r="F1921" s="2"/>
      <c r="G1921" s="2"/>
      <c r="H1921" s="2"/>
      <c r="I1921" s="5"/>
    </row>
    <row r="1922" spans="1:9" ht="17.399999999999999" x14ac:dyDescent="0.25">
      <c r="A1922" s="16"/>
      <c r="B1922" s="17"/>
      <c r="C1922" s="2"/>
      <c r="D1922" s="2"/>
      <c r="E1922" s="2"/>
      <c r="F1922" s="2"/>
      <c r="G1922" s="2"/>
      <c r="H1922" s="2"/>
      <c r="I1922" s="5"/>
    </row>
    <row r="1923" spans="1:9" ht="17.399999999999999" x14ac:dyDescent="0.25">
      <c r="A1923" s="16"/>
      <c r="B1923" s="17"/>
      <c r="C1923" s="2"/>
      <c r="D1923" s="2"/>
      <c r="E1923" s="2"/>
      <c r="F1923" s="2"/>
      <c r="G1923" s="2"/>
      <c r="H1923" s="2"/>
      <c r="I1923" s="5"/>
    </row>
    <row r="1924" spans="1:9" ht="17.399999999999999" x14ac:dyDescent="0.25">
      <c r="A1924" s="16"/>
      <c r="B1924" s="17"/>
      <c r="C1924" s="2"/>
      <c r="D1924" s="2"/>
      <c r="E1924" s="2"/>
      <c r="F1924" s="2"/>
      <c r="G1924" s="2"/>
      <c r="H1924" s="2"/>
      <c r="I1924" s="5"/>
    </row>
    <row r="1925" spans="1:9" ht="17.399999999999999" x14ac:dyDescent="0.25">
      <c r="A1925" s="16"/>
      <c r="B1925" s="17"/>
      <c r="C1925" s="2"/>
      <c r="D1925" s="2"/>
      <c r="E1925" s="2"/>
      <c r="F1925" s="2"/>
      <c r="G1925" s="2"/>
      <c r="H1925" s="2"/>
      <c r="I1925" s="5"/>
    </row>
    <row r="1926" spans="1:9" ht="17.399999999999999" x14ac:dyDescent="0.25">
      <c r="A1926" s="16"/>
      <c r="B1926" s="17"/>
      <c r="C1926" s="2"/>
      <c r="D1926" s="2"/>
      <c r="E1926" s="2"/>
      <c r="F1926" s="2"/>
      <c r="G1926" s="2"/>
      <c r="H1926" s="2"/>
      <c r="I1926" s="5"/>
    </row>
    <row r="1927" spans="1:9" ht="17.399999999999999" x14ac:dyDescent="0.25">
      <c r="A1927" s="16"/>
      <c r="B1927" s="17"/>
      <c r="C1927" s="2"/>
      <c r="D1927" s="2"/>
      <c r="E1927" s="2"/>
      <c r="F1927" s="2"/>
      <c r="G1927" s="2"/>
      <c r="H1927" s="2"/>
      <c r="I1927" s="5"/>
    </row>
    <row r="1928" spans="1:9" ht="17.399999999999999" x14ac:dyDescent="0.25">
      <c r="A1928" s="16"/>
      <c r="B1928" s="17"/>
      <c r="C1928" s="2"/>
      <c r="D1928" s="2"/>
      <c r="E1928" s="2"/>
      <c r="F1928" s="2"/>
      <c r="G1928" s="2"/>
      <c r="H1928" s="2"/>
      <c r="I1928" s="5"/>
    </row>
    <row r="1929" spans="1:9" ht="17.399999999999999" x14ac:dyDescent="0.25">
      <c r="A1929" s="16"/>
      <c r="B1929" s="17"/>
      <c r="C1929" s="2"/>
      <c r="D1929" s="2"/>
      <c r="E1929" s="2"/>
      <c r="F1929" s="2"/>
      <c r="G1929" s="2"/>
      <c r="H1929" s="2"/>
      <c r="I1929" s="5"/>
    </row>
    <row r="1930" spans="1:9" ht="17.399999999999999" x14ac:dyDescent="0.25">
      <c r="A1930" s="16"/>
      <c r="B1930" s="17"/>
      <c r="C1930" s="2"/>
      <c r="D1930" s="2"/>
      <c r="E1930" s="2"/>
      <c r="F1930" s="2"/>
      <c r="G1930" s="2"/>
      <c r="H1930" s="2"/>
      <c r="I1930" s="5"/>
    </row>
    <row r="1931" spans="1:9" ht="17.399999999999999" x14ac:dyDescent="0.25">
      <c r="A1931" s="16"/>
      <c r="B1931" s="17"/>
      <c r="C1931" s="2"/>
      <c r="D1931" s="2"/>
      <c r="E1931" s="2"/>
      <c r="F1931" s="2"/>
      <c r="G1931" s="2"/>
      <c r="H1931" s="2"/>
      <c r="I1931" s="5"/>
    </row>
    <row r="1932" spans="1:9" ht="17.399999999999999" x14ac:dyDescent="0.25">
      <c r="A1932" s="16"/>
      <c r="B1932" s="17"/>
      <c r="C1932" s="2"/>
      <c r="D1932" s="2"/>
      <c r="E1932" s="2"/>
      <c r="F1932" s="2"/>
      <c r="G1932" s="2"/>
      <c r="H1932" s="2"/>
      <c r="I1932" s="5"/>
    </row>
    <row r="1933" spans="1:9" ht="17.399999999999999" x14ac:dyDescent="0.25">
      <c r="A1933" s="16"/>
      <c r="B1933" s="17"/>
      <c r="C1933" s="2"/>
      <c r="D1933" s="2"/>
      <c r="E1933" s="2"/>
      <c r="F1933" s="2"/>
      <c r="G1933" s="2"/>
      <c r="H1933" s="2"/>
      <c r="I1933" s="5"/>
    </row>
    <row r="1934" spans="1:9" ht="17.399999999999999" x14ac:dyDescent="0.25">
      <c r="A1934" s="16"/>
      <c r="B1934" s="17"/>
      <c r="C1934" s="2"/>
      <c r="D1934" s="2"/>
      <c r="E1934" s="2"/>
      <c r="F1934" s="2"/>
      <c r="G1934" s="2"/>
      <c r="H1934" s="2"/>
      <c r="I1934" s="5"/>
    </row>
    <row r="1935" spans="1:9" ht="17.399999999999999" x14ac:dyDescent="0.25">
      <c r="A1935" s="16"/>
      <c r="B1935" s="17"/>
      <c r="C1935" s="2"/>
      <c r="D1935" s="2"/>
      <c r="E1935" s="2"/>
      <c r="F1935" s="2"/>
      <c r="G1935" s="2"/>
      <c r="H1935" s="2"/>
      <c r="I1935" s="5"/>
    </row>
    <row r="1936" spans="1:9" ht="17.399999999999999" x14ac:dyDescent="0.25">
      <c r="A1936" s="16"/>
      <c r="B1936" s="17"/>
      <c r="C1936" s="2"/>
      <c r="D1936" s="2"/>
      <c r="E1936" s="2"/>
      <c r="F1936" s="2"/>
      <c r="G1936" s="2"/>
      <c r="H1936" s="2"/>
      <c r="I1936" s="5"/>
    </row>
    <row r="1937" spans="1:9" ht="17.399999999999999" x14ac:dyDescent="0.25">
      <c r="A1937" s="16"/>
      <c r="B1937" s="17"/>
      <c r="C1937" s="2"/>
      <c r="D1937" s="2"/>
      <c r="E1937" s="2"/>
      <c r="F1937" s="2"/>
      <c r="G1937" s="2"/>
      <c r="H1937" s="2"/>
      <c r="I1937" s="5"/>
    </row>
    <row r="1938" spans="1:9" ht="17.399999999999999" x14ac:dyDescent="0.25">
      <c r="A1938" s="16"/>
      <c r="B1938" s="17"/>
      <c r="C1938" s="2"/>
      <c r="D1938" s="2"/>
      <c r="E1938" s="2"/>
      <c r="F1938" s="2"/>
      <c r="G1938" s="2"/>
      <c r="H1938" s="2"/>
      <c r="I1938" s="5"/>
    </row>
    <row r="1939" spans="1:9" ht="17.399999999999999" x14ac:dyDescent="0.25">
      <c r="A1939" s="16"/>
      <c r="B1939" s="17"/>
      <c r="C1939" s="2"/>
      <c r="D1939" s="2"/>
      <c r="E1939" s="2"/>
      <c r="F1939" s="2"/>
      <c r="G1939" s="2"/>
      <c r="H1939" s="2"/>
      <c r="I1939" s="5"/>
    </row>
    <row r="1940" spans="1:9" ht="17.399999999999999" x14ac:dyDescent="0.25">
      <c r="A1940" s="16"/>
      <c r="B1940" s="17"/>
      <c r="C1940" s="2"/>
      <c r="D1940" s="2"/>
      <c r="E1940" s="2"/>
      <c r="F1940" s="2"/>
      <c r="G1940" s="2"/>
      <c r="H1940" s="2"/>
      <c r="I1940" s="5"/>
    </row>
    <row r="1941" spans="1:9" ht="17.399999999999999" x14ac:dyDescent="0.25">
      <c r="A1941" s="16"/>
      <c r="B1941" s="17"/>
      <c r="C1941" s="2" t="b">
        <v>0</v>
      </c>
      <c r="D1941" s="2"/>
      <c r="E1941" s="2"/>
      <c r="F1941" s="2"/>
      <c r="G1941" s="2"/>
      <c r="H1941" s="2"/>
      <c r="I1941" s="5"/>
    </row>
    <row r="1942" spans="1:9" ht="17.399999999999999" x14ac:dyDescent="0.25">
      <c r="A1942" s="16"/>
      <c r="B1942" s="17"/>
      <c r="C1942" s="2" t="b">
        <v>0</v>
      </c>
      <c r="D1942" s="2"/>
      <c r="E1942" s="2"/>
      <c r="F1942" s="2"/>
      <c r="G1942" s="2"/>
      <c r="H1942" s="2"/>
      <c r="I1942" s="5"/>
    </row>
    <row r="1943" spans="1:9" ht="17.399999999999999" x14ac:dyDescent="0.25">
      <c r="A1943" s="16"/>
      <c r="B1943" s="17"/>
      <c r="C1943" s="2" t="b">
        <v>0</v>
      </c>
      <c r="D1943" s="2"/>
      <c r="E1943" s="2"/>
      <c r="F1943" s="2"/>
      <c r="G1943" s="2"/>
      <c r="H1943" s="2"/>
      <c r="I1943" s="5"/>
    </row>
    <row r="1944" spans="1:9" ht="17.399999999999999" x14ac:dyDescent="0.25">
      <c r="A1944" s="16"/>
      <c r="B1944" s="17"/>
      <c r="C1944" s="2" t="b">
        <v>0</v>
      </c>
      <c r="D1944" s="2"/>
      <c r="E1944" s="2"/>
      <c r="F1944" s="2"/>
      <c r="G1944" s="2"/>
      <c r="H1944" s="2"/>
      <c r="I1944" s="5"/>
    </row>
    <row r="1945" spans="1:9" ht="17.399999999999999" x14ac:dyDescent="0.25">
      <c r="A1945" s="16"/>
      <c r="B1945" s="17"/>
      <c r="C1945" s="2" t="b">
        <v>0</v>
      </c>
      <c r="D1945" s="2"/>
      <c r="E1945" s="2"/>
      <c r="F1945" s="2"/>
      <c r="G1945" s="2"/>
      <c r="H1945" s="2"/>
      <c r="I1945" s="5"/>
    </row>
    <row r="1946" spans="1:9" ht="17.399999999999999" x14ac:dyDescent="0.25">
      <c r="A1946" s="16"/>
      <c r="B1946" s="17"/>
      <c r="C1946" s="2" t="b">
        <v>0</v>
      </c>
      <c r="D1946" s="2"/>
      <c r="E1946" s="2"/>
      <c r="F1946" s="2"/>
      <c r="G1946" s="2"/>
      <c r="H1946" s="2"/>
      <c r="I1946" s="5"/>
    </row>
    <row r="1947" spans="1:9" ht="17.399999999999999" x14ac:dyDescent="0.25">
      <c r="A1947" s="16"/>
      <c r="B1947" s="17"/>
      <c r="C1947" s="2" t="b">
        <v>0</v>
      </c>
      <c r="D1947" s="2"/>
      <c r="E1947" s="2"/>
      <c r="F1947" s="2"/>
      <c r="G1947" s="2"/>
      <c r="H1947" s="2"/>
      <c r="I1947" s="5"/>
    </row>
    <row r="1948" spans="1:9" ht="17.399999999999999" x14ac:dyDescent="0.25">
      <c r="A1948" s="16"/>
      <c r="B1948" s="17"/>
      <c r="C1948" s="2" t="b">
        <v>0</v>
      </c>
      <c r="D1948" s="2"/>
      <c r="E1948" s="2"/>
      <c r="F1948" s="2"/>
      <c r="G1948" s="2"/>
      <c r="H1948" s="2"/>
      <c r="I1948" s="5"/>
    </row>
    <row r="1949" spans="1:9" ht="17.399999999999999" x14ac:dyDescent="0.25">
      <c r="A1949" s="16"/>
      <c r="B1949" s="17"/>
      <c r="C1949" s="2" t="b">
        <v>0</v>
      </c>
      <c r="D1949" s="2"/>
      <c r="E1949" s="2"/>
      <c r="F1949" s="2"/>
      <c r="G1949" s="2"/>
      <c r="H1949" s="2"/>
      <c r="I1949" s="5"/>
    </row>
    <row r="1950" spans="1:9" ht="17.399999999999999" x14ac:dyDescent="0.25">
      <c r="A1950" s="16"/>
      <c r="B1950" s="17"/>
      <c r="C1950" s="2" t="b">
        <v>0</v>
      </c>
      <c r="D1950" s="2"/>
      <c r="E1950" s="2"/>
      <c r="F1950" s="2"/>
      <c r="G1950" s="2"/>
      <c r="H1950" s="2"/>
      <c r="I1950" s="5"/>
    </row>
    <row r="1951" spans="1:9" ht="17.399999999999999" x14ac:dyDescent="0.25">
      <c r="A1951" s="16"/>
      <c r="B1951" s="17"/>
      <c r="C1951" s="2" t="b">
        <v>0</v>
      </c>
      <c r="D1951" s="2"/>
      <c r="E1951" s="2"/>
      <c r="F1951" s="2"/>
      <c r="G1951" s="2"/>
      <c r="H1951" s="2"/>
      <c r="I1951" s="5"/>
    </row>
    <row r="1952" spans="1:9" ht="17.399999999999999" x14ac:dyDescent="0.25">
      <c r="A1952" s="16"/>
      <c r="B1952" s="17"/>
      <c r="C1952" s="2" t="b">
        <v>0</v>
      </c>
      <c r="D1952" s="2"/>
      <c r="E1952" s="2"/>
      <c r="F1952" s="2"/>
      <c r="G1952" s="2"/>
      <c r="H1952" s="2"/>
      <c r="I1952" s="5"/>
    </row>
    <row r="1953" spans="1:9" ht="17.399999999999999" x14ac:dyDescent="0.25">
      <c r="A1953" s="16"/>
      <c r="B1953" s="17"/>
      <c r="C1953" s="2" t="b">
        <v>0</v>
      </c>
      <c r="D1953" s="2"/>
      <c r="E1953" s="2"/>
      <c r="F1953" s="2"/>
      <c r="G1953" s="2"/>
      <c r="H1953" s="2"/>
      <c r="I1953" s="5"/>
    </row>
    <row r="1954" spans="1:9" ht="17.399999999999999" x14ac:dyDescent="0.25">
      <c r="A1954" s="16"/>
      <c r="B1954" s="17"/>
      <c r="C1954" s="2" t="b">
        <v>0</v>
      </c>
      <c r="D1954" s="2"/>
      <c r="E1954" s="2"/>
      <c r="F1954" s="2"/>
      <c r="G1954" s="2"/>
      <c r="H1954" s="2"/>
      <c r="I1954" s="5"/>
    </row>
    <row r="1955" spans="1:9" ht="17.399999999999999" x14ac:dyDescent="0.25">
      <c r="A1955" s="16"/>
      <c r="B1955" s="17"/>
      <c r="C1955" s="2" t="b">
        <v>0</v>
      </c>
      <c r="D1955" s="2"/>
      <c r="E1955" s="2"/>
      <c r="F1955" s="2"/>
      <c r="G1955" s="2"/>
      <c r="H1955" s="2"/>
      <c r="I1955" s="5"/>
    </row>
    <row r="1956" spans="1:9" ht="17.399999999999999" x14ac:dyDescent="0.25">
      <c r="A1956" s="16"/>
      <c r="B1956" s="17"/>
      <c r="C1956" s="2" t="b">
        <v>0</v>
      </c>
      <c r="D1956" s="2"/>
      <c r="E1956" s="2"/>
      <c r="F1956" s="2"/>
      <c r="G1956" s="2"/>
      <c r="H1956" s="2"/>
      <c r="I1956" s="5"/>
    </row>
    <row r="1957" spans="1:9" ht="17.399999999999999" x14ac:dyDescent="0.25">
      <c r="A1957" s="16"/>
      <c r="B1957" s="17"/>
      <c r="C1957" s="2" t="b">
        <v>0</v>
      </c>
      <c r="D1957" s="2"/>
      <c r="E1957" s="2"/>
      <c r="F1957" s="2"/>
      <c r="G1957" s="2"/>
      <c r="H1957" s="2"/>
      <c r="I1957" s="5"/>
    </row>
    <row r="1958" spans="1:9" ht="17.399999999999999" x14ac:dyDescent="0.25">
      <c r="A1958" s="16"/>
      <c r="B1958" s="17"/>
      <c r="C1958" s="2" t="b">
        <v>0</v>
      </c>
      <c r="D1958" s="2"/>
      <c r="E1958" s="2"/>
      <c r="F1958" s="2"/>
      <c r="G1958" s="2"/>
      <c r="H1958" s="2"/>
      <c r="I1958" s="5"/>
    </row>
    <row r="1959" spans="1:9" ht="17.399999999999999" x14ac:dyDescent="0.25">
      <c r="A1959" s="16"/>
      <c r="B1959" s="17"/>
      <c r="C1959" s="2" t="b">
        <v>0</v>
      </c>
      <c r="D1959" s="2"/>
      <c r="E1959" s="2"/>
      <c r="F1959" s="2"/>
      <c r="G1959" s="2"/>
      <c r="H1959" s="2"/>
      <c r="I1959" s="5"/>
    </row>
    <row r="1960" spans="1:9" ht="17.399999999999999" x14ac:dyDescent="0.25">
      <c r="A1960" s="16"/>
      <c r="B1960" s="17"/>
      <c r="C1960" s="2" t="b">
        <v>0</v>
      </c>
      <c r="D1960" s="2"/>
      <c r="E1960" s="2"/>
      <c r="F1960" s="2"/>
      <c r="G1960" s="2"/>
      <c r="H1960" s="2"/>
      <c r="I1960" s="5"/>
    </row>
    <row r="1961" spans="1:9" ht="17.399999999999999" x14ac:dyDescent="0.25">
      <c r="A1961" s="16"/>
      <c r="B1961" s="17"/>
      <c r="C1961" s="2" t="b">
        <v>0</v>
      </c>
      <c r="D1961" s="2"/>
      <c r="E1961" s="2"/>
      <c r="F1961" s="2"/>
      <c r="G1961" s="2"/>
      <c r="H1961" s="2"/>
      <c r="I1961" s="5"/>
    </row>
    <row r="1962" spans="1:9" ht="17.399999999999999" x14ac:dyDescent="0.25">
      <c r="A1962" s="16"/>
      <c r="B1962" s="17"/>
      <c r="C1962" s="2" t="b">
        <v>0</v>
      </c>
      <c r="D1962" s="2"/>
      <c r="E1962" s="2"/>
      <c r="F1962" s="2"/>
      <c r="G1962" s="2"/>
      <c r="H1962" s="2"/>
      <c r="I1962" s="5"/>
    </row>
    <row r="1963" spans="1:9" ht="17.399999999999999" x14ac:dyDescent="0.25">
      <c r="A1963" s="16"/>
      <c r="B1963" s="17"/>
      <c r="C1963" s="2" t="b">
        <v>0</v>
      </c>
      <c r="D1963" s="2"/>
      <c r="E1963" s="2"/>
      <c r="F1963" s="2"/>
      <c r="G1963" s="2"/>
      <c r="H1963" s="2"/>
      <c r="I1963" s="5"/>
    </row>
    <row r="1964" spans="1:9" ht="17.399999999999999" x14ac:dyDescent="0.25">
      <c r="A1964" s="16"/>
      <c r="B1964" s="17"/>
      <c r="C1964" s="2" t="b">
        <v>0</v>
      </c>
      <c r="D1964" s="2"/>
      <c r="E1964" s="2"/>
      <c r="F1964" s="2"/>
      <c r="G1964" s="2"/>
      <c r="H1964" s="2"/>
      <c r="I1964" s="5"/>
    </row>
    <row r="1965" spans="1:9" ht="17.399999999999999" x14ac:dyDescent="0.25">
      <c r="A1965" s="16"/>
      <c r="B1965" s="17"/>
      <c r="C1965" s="2" t="b">
        <v>0</v>
      </c>
      <c r="D1965" s="2"/>
      <c r="E1965" s="2"/>
      <c r="F1965" s="2"/>
      <c r="G1965" s="2"/>
      <c r="H1965" s="2"/>
      <c r="I1965" s="5"/>
    </row>
    <row r="1966" spans="1:9" ht="17.399999999999999" x14ac:dyDescent="0.25">
      <c r="A1966" s="16"/>
      <c r="B1966" s="17"/>
      <c r="C1966" s="2" t="b">
        <v>0</v>
      </c>
      <c r="D1966" s="2"/>
      <c r="E1966" s="2"/>
      <c r="F1966" s="2"/>
      <c r="G1966" s="2"/>
      <c r="H1966" s="2"/>
      <c r="I1966" s="5"/>
    </row>
    <row r="1967" spans="1:9" ht="17.399999999999999" x14ac:dyDescent="0.25">
      <c r="A1967" s="16"/>
      <c r="B1967" s="17"/>
      <c r="C1967" s="2" t="b">
        <v>0</v>
      </c>
      <c r="D1967" s="2"/>
      <c r="E1967" s="2"/>
      <c r="F1967" s="2"/>
      <c r="G1967" s="2"/>
      <c r="H1967" s="2"/>
      <c r="I1967" s="5"/>
    </row>
    <row r="1968" spans="1:9" ht="17.399999999999999" x14ac:dyDescent="0.25">
      <c r="A1968" s="16"/>
      <c r="B1968" s="17"/>
      <c r="C1968" s="2" t="b">
        <v>0</v>
      </c>
      <c r="D1968" s="2"/>
      <c r="E1968" s="2"/>
      <c r="F1968" s="2"/>
      <c r="G1968" s="2"/>
      <c r="H1968" s="2"/>
      <c r="I1968" s="5"/>
    </row>
    <row r="1969" spans="1:9" ht="17.399999999999999" x14ac:dyDescent="0.25">
      <c r="A1969" s="16"/>
      <c r="B1969" s="17"/>
      <c r="C1969" s="2" t="b">
        <v>0</v>
      </c>
      <c r="D1969" s="2"/>
      <c r="E1969" s="2"/>
      <c r="F1969" s="2"/>
      <c r="G1969" s="2"/>
      <c r="H1969" s="2"/>
      <c r="I1969" s="5"/>
    </row>
    <row r="1970" spans="1:9" ht="17.399999999999999" x14ac:dyDescent="0.25">
      <c r="A1970" s="16"/>
      <c r="B1970" s="17"/>
      <c r="C1970" s="2" t="b">
        <v>0</v>
      </c>
      <c r="D1970" s="2"/>
      <c r="E1970" s="2"/>
      <c r="F1970" s="2"/>
      <c r="G1970" s="2"/>
      <c r="H1970" s="2"/>
      <c r="I1970" s="5"/>
    </row>
    <row r="1971" spans="1:9" ht="17.399999999999999" x14ac:dyDescent="0.25">
      <c r="A1971" s="16"/>
      <c r="B1971" s="17"/>
      <c r="C1971" s="2" t="b">
        <v>0</v>
      </c>
      <c r="D1971" s="2"/>
      <c r="E1971" s="2"/>
      <c r="F1971" s="2"/>
      <c r="G1971" s="2"/>
      <c r="H1971" s="2"/>
      <c r="I1971" s="5"/>
    </row>
    <row r="1972" spans="1:9" ht="17.399999999999999" x14ac:dyDescent="0.25">
      <c r="A1972" s="16"/>
      <c r="B1972" s="17"/>
      <c r="C1972" s="2" t="b">
        <v>0</v>
      </c>
      <c r="D1972" s="2"/>
      <c r="E1972" s="2"/>
      <c r="F1972" s="2"/>
      <c r="G1972" s="2"/>
      <c r="H1972" s="2"/>
      <c r="I1972" s="5"/>
    </row>
    <row r="1973" spans="1:9" ht="17.399999999999999" x14ac:dyDescent="0.25">
      <c r="A1973" s="16"/>
      <c r="B1973" s="17"/>
      <c r="C1973" s="2" t="b">
        <v>0</v>
      </c>
      <c r="D1973" s="2"/>
      <c r="E1973" s="2"/>
      <c r="F1973" s="2"/>
      <c r="G1973" s="2"/>
      <c r="H1973" s="2"/>
      <c r="I1973" s="5"/>
    </row>
    <row r="1974" spans="1:9" ht="17.399999999999999" x14ac:dyDescent="0.25">
      <c r="A1974" s="16"/>
      <c r="B1974" s="17"/>
      <c r="C1974" s="2" t="b">
        <v>0</v>
      </c>
      <c r="D1974" s="2"/>
      <c r="E1974" s="2"/>
      <c r="F1974" s="2"/>
      <c r="G1974" s="2"/>
      <c r="H1974" s="2"/>
      <c r="I1974" s="5"/>
    </row>
    <row r="1975" spans="1:9" ht="17.399999999999999" x14ac:dyDescent="0.25">
      <c r="A1975" s="16"/>
      <c r="B1975" s="17"/>
      <c r="C1975" s="2" t="b">
        <v>0</v>
      </c>
      <c r="D1975" s="2"/>
      <c r="E1975" s="2"/>
      <c r="F1975" s="2"/>
      <c r="G1975" s="2"/>
      <c r="H1975" s="2"/>
      <c r="I1975" s="5"/>
    </row>
    <row r="1976" spans="1:9" ht="17.399999999999999" x14ac:dyDescent="0.25">
      <c r="A1976" s="16"/>
      <c r="B1976" s="17"/>
      <c r="C1976" s="2" t="b">
        <v>0</v>
      </c>
      <c r="D1976" s="2"/>
      <c r="E1976" s="2"/>
      <c r="F1976" s="2"/>
      <c r="G1976" s="2"/>
      <c r="H1976" s="2"/>
      <c r="I1976" s="5"/>
    </row>
    <row r="1977" spans="1:9" ht="17.399999999999999" x14ac:dyDescent="0.25">
      <c r="A1977" s="16"/>
      <c r="B1977" s="17"/>
      <c r="C1977" s="2" t="b">
        <v>0</v>
      </c>
      <c r="D1977" s="2"/>
      <c r="E1977" s="2"/>
      <c r="F1977" s="2"/>
      <c r="G1977" s="2"/>
      <c r="H1977" s="2"/>
      <c r="I1977" s="5"/>
    </row>
    <row r="1978" spans="1:9" ht="17.399999999999999" x14ac:dyDescent="0.25">
      <c r="A1978" s="16"/>
      <c r="B1978" s="17"/>
      <c r="C1978" s="2" t="b">
        <v>0</v>
      </c>
      <c r="D1978" s="2"/>
      <c r="E1978" s="2"/>
      <c r="F1978" s="2"/>
      <c r="G1978" s="2"/>
      <c r="H1978" s="2"/>
      <c r="I1978" s="5"/>
    </row>
    <row r="1979" spans="1:9" ht="17.399999999999999" x14ac:dyDescent="0.25">
      <c r="A1979" s="16"/>
      <c r="B1979" s="17"/>
      <c r="C1979" s="2" t="b">
        <v>0</v>
      </c>
      <c r="D1979" s="2"/>
      <c r="E1979" s="2"/>
      <c r="F1979" s="2"/>
      <c r="G1979" s="2"/>
      <c r="H1979" s="2"/>
      <c r="I1979" s="5"/>
    </row>
    <row r="1980" spans="1:9" ht="17.399999999999999" x14ac:dyDescent="0.25">
      <c r="A1980" s="16"/>
      <c r="B1980" s="17"/>
      <c r="C1980" s="2" t="b">
        <v>0</v>
      </c>
      <c r="D1980" s="2"/>
      <c r="E1980" s="2"/>
      <c r="F1980" s="2"/>
      <c r="G1980" s="2"/>
      <c r="H1980" s="2"/>
      <c r="I1980" s="5"/>
    </row>
    <row r="1981" spans="1:9" ht="17.399999999999999" x14ac:dyDescent="0.25">
      <c r="A1981" s="16"/>
      <c r="B1981" s="17"/>
      <c r="C1981" s="2" t="b">
        <v>0</v>
      </c>
      <c r="D1981" s="2"/>
      <c r="E1981" s="2"/>
      <c r="F1981" s="2"/>
      <c r="G1981" s="2"/>
      <c r="H1981" s="2"/>
      <c r="I1981" s="5"/>
    </row>
    <row r="1982" spans="1:9" ht="17.399999999999999" x14ac:dyDescent="0.25">
      <c r="A1982" s="16"/>
      <c r="B1982" s="17"/>
      <c r="C1982" s="2" t="b">
        <v>0</v>
      </c>
      <c r="D1982" s="2"/>
      <c r="E1982" s="2"/>
      <c r="F1982" s="2"/>
      <c r="G1982" s="2"/>
      <c r="H1982" s="2"/>
      <c r="I1982" s="5"/>
    </row>
    <row r="1983" spans="1:9" ht="17.399999999999999" x14ac:dyDescent="0.25">
      <c r="A1983" s="16"/>
      <c r="B1983" s="17"/>
      <c r="C1983" s="2" t="b">
        <v>0</v>
      </c>
      <c r="D1983" s="2"/>
      <c r="E1983" s="2"/>
      <c r="F1983" s="2"/>
      <c r="G1983" s="2"/>
      <c r="H1983" s="2"/>
      <c r="I1983" s="5"/>
    </row>
    <row r="1984" spans="1:9" ht="17.399999999999999" x14ac:dyDescent="0.25">
      <c r="A1984" s="16"/>
      <c r="B1984" s="17"/>
      <c r="C1984" s="2" t="b">
        <v>0</v>
      </c>
      <c r="D1984" s="2"/>
      <c r="E1984" s="2"/>
      <c r="F1984" s="2"/>
      <c r="G1984" s="2"/>
      <c r="H1984" s="2"/>
      <c r="I1984" s="5"/>
    </row>
    <row r="1985" spans="1:9" ht="17.399999999999999" x14ac:dyDescent="0.25">
      <c r="A1985" s="16"/>
      <c r="B1985" s="17"/>
      <c r="C1985" s="2" t="b">
        <v>0</v>
      </c>
      <c r="D1985" s="2"/>
      <c r="E1985" s="2"/>
      <c r="F1985" s="2"/>
      <c r="G1985" s="2"/>
      <c r="H1985" s="2"/>
      <c r="I1985" s="5"/>
    </row>
    <row r="1986" spans="1:9" ht="17.399999999999999" x14ac:dyDescent="0.25">
      <c r="A1986" s="16"/>
      <c r="B1986" s="17"/>
      <c r="C1986" s="2" t="b">
        <v>0</v>
      </c>
      <c r="D1986" s="2"/>
      <c r="E1986" s="2"/>
      <c r="F1986" s="2"/>
      <c r="G1986" s="2"/>
      <c r="H1986" s="2"/>
      <c r="I1986" s="5"/>
    </row>
    <row r="1987" spans="1:9" ht="17.399999999999999" x14ac:dyDescent="0.25">
      <c r="A1987" s="16"/>
      <c r="B1987" s="17"/>
      <c r="C1987" s="2" t="b">
        <v>0</v>
      </c>
      <c r="D1987" s="2"/>
      <c r="E1987" s="2"/>
      <c r="F1987" s="2"/>
      <c r="G1987" s="2"/>
      <c r="H1987" s="2"/>
      <c r="I1987" s="5"/>
    </row>
    <row r="1988" spans="1:9" ht="17.399999999999999" x14ac:dyDescent="0.25">
      <c r="A1988" s="16"/>
      <c r="B1988" s="17"/>
      <c r="C1988" s="2" t="b">
        <v>0</v>
      </c>
      <c r="D1988" s="2"/>
      <c r="E1988" s="2"/>
      <c r="F1988" s="2"/>
      <c r="G1988" s="2"/>
      <c r="H1988" s="2"/>
      <c r="I1988" s="5"/>
    </row>
    <row r="1989" spans="1:9" ht="17.399999999999999" x14ac:dyDescent="0.25">
      <c r="A1989" s="16"/>
      <c r="B1989" s="17"/>
      <c r="C1989" s="2" t="b">
        <v>0</v>
      </c>
      <c r="D1989" s="2"/>
      <c r="E1989" s="2"/>
      <c r="F1989" s="2"/>
      <c r="G1989" s="2"/>
      <c r="H1989" s="2"/>
      <c r="I1989" s="5"/>
    </row>
    <row r="1990" spans="1:9" ht="17.399999999999999" x14ac:dyDescent="0.25">
      <c r="A1990" s="16"/>
      <c r="B1990" s="17"/>
      <c r="C1990" s="2" t="b">
        <v>0</v>
      </c>
      <c r="D1990" s="2"/>
      <c r="E1990" s="2"/>
      <c r="F1990" s="2"/>
      <c r="G1990" s="2"/>
      <c r="H1990" s="2"/>
      <c r="I1990" s="5"/>
    </row>
    <row r="1991" spans="1:9" ht="17.399999999999999" x14ac:dyDescent="0.25">
      <c r="A1991" s="16"/>
      <c r="B1991" s="17"/>
      <c r="C1991" s="2" t="b">
        <v>0</v>
      </c>
      <c r="D1991" s="2"/>
      <c r="E1991" s="2"/>
      <c r="F1991" s="2"/>
      <c r="G1991" s="2"/>
      <c r="H1991" s="2"/>
      <c r="I1991" s="5"/>
    </row>
    <row r="1992" spans="1:9" ht="17.399999999999999" x14ac:dyDescent="0.25">
      <c r="A1992" s="16"/>
      <c r="B1992" s="17"/>
      <c r="C1992" s="2" t="b">
        <v>0</v>
      </c>
      <c r="D1992" s="2"/>
      <c r="E1992" s="2"/>
      <c r="F1992" s="2"/>
      <c r="G1992" s="2"/>
      <c r="H1992" s="2"/>
      <c r="I1992" s="5"/>
    </row>
    <row r="1993" spans="1:9" ht="17.399999999999999" x14ac:dyDescent="0.25">
      <c r="A1993" s="16"/>
      <c r="B1993" s="17"/>
      <c r="C1993" s="2" t="b">
        <v>0</v>
      </c>
      <c r="D1993" s="2"/>
      <c r="E1993" s="2"/>
      <c r="F1993" s="2"/>
      <c r="G1993" s="2"/>
      <c r="H1993" s="2"/>
      <c r="I1993" s="5"/>
    </row>
    <row r="1994" spans="1:9" ht="17.399999999999999" x14ac:dyDescent="0.25">
      <c r="A1994" s="16"/>
      <c r="B1994" s="17"/>
      <c r="C1994" s="2" t="b">
        <v>0</v>
      </c>
      <c r="D1994" s="2"/>
      <c r="E1994" s="2"/>
      <c r="F1994" s="2"/>
      <c r="G1994" s="2"/>
      <c r="H1994" s="2"/>
      <c r="I1994" s="5"/>
    </row>
    <row r="1995" spans="1:9" ht="17.399999999999999" x14ac:dyDescent="0.25">
      <c r="A1995" s="16"/>
      <c r="B1995" s="17"/>
      <c r="C1995" s="2" t="b">
        <v>0</v>
      </c>
      <c r="D1995" s="2"/>
      <c r="E1995" s="2"/>
      <c r="F1995" s="2"/>
      <c r="G1995" s="2"/>
      <c r="H1995" s="2"/>
      <c r="I1995" s="5"/>
    </row>
    <row r="1996" spans="1:9" ht="17.399999999999999" x14ac:dyDescent="0.25">
      <c r="A1996" s="16"/>
      <c r="B1996" s="17"/>
      <c r="C1996" s="2" t="b">
        <v>0</v>
      </c>
      <c r="D1996" s="2"/>
      <c r="E1996" s="2"/>
      <c r="F1996" s="2"/>
      <c r="G1996" s="2"/>
      <c r="H1996" s="2"/>
      <c r="I1996" s="5"/>
    </row>
    <row r="1997" spans="1:9" ht="17.399999999999999" x14ac:dyDescent="0.25">
      <c r="A1997" s="16"/>
      <c r="B1997" s="17"/>
      <c r="C1997" s="2" t="b">
        <v>0</v>
      </c>
      <c r="D1997" s="2"/>
      <c r="E1997" s="2"/>
      <c r="F1997" s="2"/>
      <c r="G1997" s="2"/>
      <c r="H1997" s="2"/>
      <c r="I1997" s="5"/>
    </row>
    <row r="1998" spans="1:9" ht="17.399999999999999" x14ac:dyDescent="0.25">
      <c r="A1998" s="16"/>
      <c r="B1998" s="17"/>
      <c r="C1998" s="2" t="b">
        <v>0</v>
      </c>
      <c r="D1998" s="2"/>
      <c r="E1998" s="2"/>
      <c r="F1998" s="2"/>
      <c r="G1998" s="2"/>
      <c r="H1998" s="2"/>
      <c r="I1998" s="5"/>
    </row>
    <row r="1999" spans="1:9" ht="17.399999999999999" x14ac:dyDescent="0.25">
      <c r="A1999" s="16"/>
      <c r="B1999" s="17"/>
      <c r="C1999" s="2" t="b">
        <v>0</v>
      </c>
      <c r="D1999" s="2"/>
      <c r="E1999" s="2"/>
      <c r="F1999" s="2"/>
      <c r="G1999" s="2"/>
      <c r="H1999" s="2"/>
      <c r="I1999" s="5"/>
    </row>
    <row r="2000" spans="1:9" ht="17.399999999999999" x14ac:dyDescent="0.25">
      <c r="A2000" s="16"/>
      <c r="B2000" s="17"/>
      <c r="C2000" s="2" t="b">
        <v>0</v>
      </c>
      <c r="D2000" s="2"/>
      <c r="E2000" s="2"/>
      <c r="F2000" s="2"/>
      <c r="G2000" s="2"/>
      <c r="H2000" s="2"/>
      <c r="I2000" s="5"/>
    </row>
    <row r="2001" spans="1:9" ht="17.399999999999999" x14ac:dyDescent="0.25">
      <c r="A2001" s="16"/>
      <c r="B2001" s="17"/>
      <c r="C2001" s="2" t="b">
        <v>0</v>
      </c>
      <c r="D2001" s="2"/>
      <c r="E2001" s="2"/>
      <c r="F2001" s="2"/>
      <c r="G2001" s="2"/>
      <c r="H2001" s="2"/>
      <c r="I2001" s="5"/>
    </row>
    <row r="2002" spans="1:9" ht="17.399999999999999" x14ac:dyDescent="0.25">
      <c r="A2002" s="16"/>
      <c r="B2002" s="17"/>
      <c r="C2002" s="2" t="b">
        <v>0</v>
      </c>
      <c r="D2002" s="2"/>
      <c r="E2002" s="2"/>
      <c r="F2002" s="2"/>
      <c r="G2002" s="2"/>
      <c r="H2002" s="2"/>
      <c r="I2002" s="5"/>
    </row>
    <row r="2003" spans="1:9" ht="17.399999999999999" x14ac:dyDescent="0.25">
      <c r="A2003" s="16"/>
      <c r="B2003" s="17"/>
      <c r="C2003" s="2" t="b">
        <v>0</v>
      </c>
      <c r="D2003" s="2"/>
      <c r="E2003" s="2"/>
      <c r="F2003" s="2"/>
      <c r="G2003" s="2"/>
      <c r="H2003" s="2"/>
      <c r="I2003" s="5"/>
    </row>
    <row r="2004" spans="1:9" ht="17.399999999999999" x14ac:dyDescent="0.25">
      <c r="A2004" s="16"/>
      <c r="B2004" s="17"/>
      <c r="C2004" s="2" t="b">
        <v>0</v>
      </c>
      <c r="D2004" s="2"/>
      <c r="E2004" s="2"/>
      <c r="F2004" s="2"/>
      <c r="G2004" s="2"/>
      <c r="H2004" s="2"/>
      <c r="I2004" s="5"/>
    </row>
    <row r="2005" spans="1:9" ht="17.399999999999999" x14ac:dyDescent="0.25">
      <c r="A2005" s="16"/>
      <c r="B2005" s="17"/>
      <c r="C2005" s="2" t="b">
        <v>0</v>
      </c>
      <c r="D2005" s="2"/>
      <c r="E2005" s="2"/>
      <c r="F2005" s="2"/>
      <c r="G2005" s="2"/>
      <c r="H2005" s="2"/>
      <c r="I2005" s="5"/>
    </row>
    <row r="2006" spans="1:9" ht="17.399999999999999" x14ac:dyDescent="0.25">
      <c r="A2006" s="16"/>
      <c r="B2006" s="17"/>
      <c r="C2006" s="2" t="b">
        <v>0</v>
      </c>
      <c r="D2006" s="2"/>
      <c r="E2006" s="2"/>
      <c r="F2006" s="2"/>
      <c r="G2006" s="2"/>
      <c r="H2006" s="2"/>
      <c r="I2006" s="5"/>
    </row>
    <row r="2007" spans="1:9" ht="17.399999999999999" x14ac:dyDescent="0.25">
      <c r="A2007" s="16"/>
      <c r="B2007" s="17"/>
      <c r="C2007" s="2" t="b">
        <v>0</v>
      </c>
      <c r="D2007" s="2"/>
      <c r="E2007" s="2"/>
      <c r="F2007" s="2"/>
      <c r="G2007" s="2"/>
      <c r="H2007" s="2"/>
      <c r="I2007" s="5"/>
    </row>
    <row r="2008" spans="1:9" ht="17.399999999999999" x14ac:dyDescent="0.25">
      <c r="A2008" s="16"/>
      <c r="B2008" s="17"/>
      <c r="C2008" s="2" t="b">
        <v>0</v>
      </c>
      <c r="D2008" s="2"/>
      <c r="E2008" s="2"/>
      <c r="F2008" s="2"/>
      <c r="G2008" s="2"/>
      <c r="H2008" s="2"/>
      <c r="I2008" s="5"/>
    </row>
    <row r="2009" spans="1:9" ht="17.399999999999999" x14ac:dyDescent="0.25">
      <c r="A2009" s="16"/>
      <c r="B2009" s="17"/>
      <c r="C2009" s="2" t="b">
        <v>0</v>
      </c>
      <c r="D2009" s="2"/>
      <c r="E2009" s="2"/>
      <c r="F2009" s="2"/>
      <c r="G2009" s="2"/>
      <c r="H2009" s="2"/>
      <c r="I2009" s="5"/>
    </row>
    <row r="2010" spans="1:9" ht="17.399999999999999" x14ac:dyDescent="0.25">
      <c r="A2010" s="16"/>
      <c r="B2010" s="17"/>
      <c r="C2010" s="2" t="b">
        <v>0</v>
      </c>
      <c r="D2010" s="2"/>
      <c r="E2010" s="2"/>
      <c r="F2010" s="2"/>
      <c r="G2010" s="2"/>
      <c r="H2010" s="2"/>
      <c r="I2010" s="5"/>
    </row>
    <row r="2011" spans="1:9" ht="17.399999999999999" x14ac:dyDescent="0.25">
      <c r="A2011" s="16"/>
      <c r="B2011" s="17"/>
      <c r="C2011" s="2" t="b">
        <v>0</v>
      </c>
      <c r="D2011" s="2"/>
      <c r="E2011" s="2"/>
      <c r="F2011" s="2"/>
      <c r="G2011" s="2"/>
      <c r="H2011" s="2"/>
      <c r="I2011" s="5"/>
    </row>
    <row r="2012" spans="1:9" ht="17.399999999999999" x14ac:dyDescent="0.25">
      <c r="A2012" s="16"/>
      <c r="B2012" s="17"/>
      <c r="C2012" s="2" t="b">
        <v>0</v>
      </c>
      <c r="D2012" s="2"/>
      <c r="E2012" s="2"/>
      <c r="F2012" s="2"/>
      <c r="G2012" s="2"/>
      <c r="H2012" s="2"/>
      <c r="I2012" s="5"/>
    </row>
    <row r="2013" spans="1:9" ht="17.399999999999999" x14ac:dyDescent="0.25">
      <c r="A2013" s="16"/>
      <c r="B2013" s="17"/>
      <c r="C2013" s="2" t="b">
        <v>0</v>
      </c>
      <c r="D2013" s="2"/>
      <c r="E2013" s="2"/>
      <c r="F2013" s="2"/>
      <c r="G2013" s="2"/>
      <c r="H2013" s="2"/>
      <c r="I2013" s="5"/>
    </row>
    <row r="2014" spans="1:9" ht="17.399999999999999" x14ac:dyDescent="0.25">
      <c r="A2014" s="16"/>
      <c r="B2014" s="17"/>
      <c r="C2014" s="2" t="b">
        <v>0</v>
      </c>
      <c r="D2014" s="2"/>
      <c r="E2014" s="2"/>
      <c r="F2014" s="2"/>
      <c r="G2014" s="2"/>
      <c r="H2014" s="2"/>
      <c r="I2014" s="5"/>
    </row>
    <row r="2015" spans="1:9" ht="17.399999999999999" x14ac:dyDescent="0.25">
      <c r="A2015" s="16"/>
      <c r="B2015" s="17"/>
      <c r="C2015" s="2" t="b">
        <v>0</v>
      </c>
      <c r="D2015" s="2"/>
      <c r="E2015" s="2"/>
      <c r="F2015" s="2"/>
      <c r="G2015" s="2"/>
      <c r="H2015" s="2"/>
      <c r="I2015" s="5"/>
    </row>
    <row r="2016" spans="1:9" ht="17.399999999999999" x14ac:dyDescent="0.25">
      <c r="A2016" s="16"/>
      <c r="B2016" s="17"/>
      <c r="C2016" s="2" t="b">
        <v>0</v>
      </c>
      <c r="D2016" s="2"/>
      <c r="E2016" s="2"/>
      <c r="F2016" s="2"/>
      <c r="G2016" s="2"/>
      <c r="H2016" s="2"/>
      <c r="I2016" s="5"/>
    </row>
    <row r="2017" spans="1:9" ht="17.399999999999999" x14ac:dyDescent="0.25">
      <c r="A2017" s="16"/>
      <c r="B2017" s="17"/>
      <c r="C2017" s="2" t="b">
        <v>0</v>
      </c>
      <c r="D2017" s="2"/>
      <c r="E2017" s="2"/>
      <c r="F2017" s="2"/>
      <c r="G2017" s="2"/>
      <c r="H2017" s="2"/>
      <c r="I2017" s="5"/>
    </row>
    <row r="2018" spans="1:9" ht="17.399999999999999" x14ac:dyDescent="0.25">
      <c r="A2018" s="16"/>
      <c r="B2018" s="17"/>
      <c r="C2018" s="2" t="b">
        <v>0</v>
      </c>
      <c r="D2018" s="2"/>
      <c r="E2018" s="2"/>
      <c r="F2018" s="2"/>
      <c r="G2018" s="2"/>
      <c r="H2018" s="2"/>
      <c r="I2018" s="5"/>
    </row>
    <row r="2019" spans="1:9" ht="17.399999999999999" x14ac:dyDescent="0.25">
      <c r="A2019" s="16"/>
      <c r="B2019" s="17"/>
      <c r="C2019" s="2" t="b">
        <v>0</v>
      </c>
      <c r="D2019" s="2"/>
      <c r="E2019" s="2"/>
      <c r="F2019" s="2"/>
      <c r="G2019" s="2"/>
      <c r="H2019" s="2"/>
      <c r="I2019" s="5"/>
    </row>
    <row r="2020" spans="1:9" ht="17.399999999999999" x14ac:dyDescent="0.25">
      <c r="A2020" s="16"/>
      <c r="B2020" s="17"/>
      <c r="C2020" s="2" t="b">
        <v>0</v>
      </c>
      <c r="D2020" s="2"/>
      <c r="E2020" s="2"/>
      <c r="F2020" s="2"/>
      <c r="G2020" s="2"/>
      <c r="H2020" s="2"/>
      <c r="I2020" s="5"/>
    </row>
    <row r="2021" spans="1:9" ht="17.399999999999999" x14ac:dyDescent="0.25">
      <c r="A2021" s="16"/>
      <c r="B2021" s="17"/>
      <c r="C2021" s="2" t="b">
        <v>0</v>
      </c>
      <c r="D2021" s="2"/>
      <c r="E2021" s="2"/>
      <c r="F2021" s="2"/>
      <c r="G2021" s="2"/>
      <c r="H2021" s="2"/>
      <c r="I2021" s="5"/>
    </row>
    <row r="2022" spans="1:9" ht="17.399999999999999" x14ac:dyDescent="0.25">
      <c r="A2022" s="16"/>
      <c r="B2022" s="17"/>
      <c r="C2022" s="2" t="b">
        <v>0</v>
      </c>
      <c r="D2022" s="2"/>
      <c r="E2022" s="2"/>
      <c r="F2022" s="2"/>
      <c r="G2022" s="2"/>
      <c r="H2022" s="2"/>
      <c r="I2022" s="5"/>
    </row>
    <row r="2023" spans="1:9" ht="17.399999999999999" x14ac:dyDescent="0.25">
      <c r="A2023" s="16"/>
      <c r="B2023" s="17"/>
      <c r="C2023" s="2" t="b">
        <v>0</v>
      </c>
      <c r="D2023" s="2"/>
      <c r="E2023" s="2"/>
      <c r="F2023" s="2"/>
      <c r="G2023" s="2"/>
      <c r="H2023" s="2"/>
      <c r="I2023" s="5"/>
    </row>
    <row r="2024" spans="1:9" ht="17.399999999999999" x14ac:dyDescent="0.25">
      <c r="A2024" s="16"/>
      <c r="B2024" s="17"/>
      <c r="C2024" s="2" t="b">
        <v>0</v>
      </c>
      <c r="D2024" s="2"/>
      <c r="E2024" s="2"/>
      <c r="F2024" s="2"/>
      <c r="G2024" s="2"/>
      <c r="H2024" s="2"/>
      <c r="I2024" s="5"/>
    </row>
    <row r="2025" spans="1:9" ht="17.399999999999999" x14ac:dyDescent="0.25">
      <c r="A2025" s="16"/>
      <c r="B2025" s="17"/>
      <c r="C2025" s="2" t="b">
        <v>0</v>
      </c>
      <c r="D2025" s="2"/>
      <c r="E2025" s="2"/>
      <c r="F2025" s="2"/>
      <c r="G2025" s="2"/>
      <c r="H2025" s="2"/>
      <c r="I2025" s="5"/>
    </row>
    <row r="2026" spans="1:9" ht="17.399999999999999" x14ac:dyDescent="0.25">
      <c r="A2026" s="16"/>
      <c r="B2026" s="17"/>
      <c r="C2026" s="2" t="b">
        <v>0</v>
      </c>
      <c r="D2026" s="2"/>
      <c r="E2026" s="2"/>
      <c r="F2026" s="2"/>
      <c r="G2026" s="2"/>
      <c r="H2026" s="2"/>
      <c r="I2026" s="5"/>
    </row>
    <row r="2027" spans="1:9" ht="17.399999999999999" x14ac:dyDescent="0.25">
      <c r="A2027" s="16"/>
      <c r="B2027" s="17"/>
      <c r="C2027" s="2" t="b">
        <v>0</v>
      </c>
      <c r="D2027" s="2"/>
      <c r="E2027" s="2"/>
      <c r="F2027" s="2"/>
      <c r="G2027" s="2"/>
      <c r="H2027" s="2"/>
      <c r="I2027" s="5"/>
    </row>
    <row r="2028" spans="1:9" ht="17.399999999999999" x14ac:dyDescent="0.25">
      <c r="A2028" s="16"/>
      <c r="B2028" s="17"/>
      <c r="C2028" s="2" t="b">
        <v>0</v>
      </c>
      <c r="D2028" s="2"/>
      <c r="E2028" s="2"/>
      <c r="F2028" s="2"/>
      <c r="G2028" s="2"/>
      <c r="H2028" s="2"/>
      <c r="I2028" s="5"/>
    </row>
    <row r="2029" spans="1:9" ht="17.399999999999999" x14ac:dyDescent="0.25">
      <c r="A2029" s="16"/>
      <c r="B2029" s="17"/>
      <c r="C2029" s="2" t="b">
        <v>0</v>
      </c>
      <c r="D2029" s="2"/>
      <c r="E2029" s="2"/>
      <c r="F2029" s="2"/>
      <c r="G2029" s="2"/>
      <c r="H2029" s="2"/>
      <c r="I2029" s="5"/>
    </row>
    <row r="2030" spans="1:9" ht="17.399999999999999" x14ac:dyDescent="0.25">
      <c r="A2030" s="16"/>
      <c r="B2030" s="17"/>
      <c r="C2030" s="2" t="b">
        <v>0</v>
      </c>
      <c r="D2030" s="2"/>
      <c r="E2030" s="2"/>
      <c r="F2030" s="2"/>
      <c r="G2030" s="2"/>
      <c r="H2030" s="2"/>
      <c r="I2030" s="5"/>
    </row>
    <row r="2031" spans="1:9" ht="17.399999999999999" x14ac:dyDescent="0.25">
      <c r="A2031" s="16"/>
      <c r="B2031" s="17"/>
      <c r="C2031" s="2" t="b">
        <v>0</v>
      </c>
      <c r="D2031" s="2"/>
      <c r="E2031" s="2"/>
      <c r="F2031" s="2"/>
      <c r="G2031" s="2"/>
      <c r="H2031" s="2"/>
      <c r="I2031" s="5"/>
    </row>
    <row r="2032" spans="1:9" ht="17.399999999999999" x14ac:dyDescent="0.25">
      <c r="A2032" s="16"/>
      <c r="B2032" s="17"/>
      <c r="C2032" s="2" t="b">
        <v>0</v>
      </c>
      <c r="D2032" s="2"/>
      <c r="E2032" s="2"/>
      <c r="F2032" s="2"/>
      <c r="G2032" s="2"/>
      <c r="H2032" s="2"/>
      <c r="I2032" s="5"/>
    </row>
    <row r="2033" spans="1:9" ht="17.399999999999999" x14ac:dyDescent="0.25">
      <c r="A2033" s="16"/>
      <c r="B2033" s="17"/>
      <c r="C2033" s="2" t="b">
        <v>0</v>
      </c>
      <c r="D2033" s="2"/>
      <c r="E2033" s="2"/>
      <c r="F2033" s="2"/>
      <c r="G2033" s="2"/>
      <c r="H2033" s="2"/>
      <c r="I2033" s="5"/>
    </row>
    <row r="2034" spans="1:9" ht="17.399999999999999" x14ac:dyDescent="0.25">
      <c r="A2034" s="16"/>
      <c r="B2034" s="17"/>
      <c r="C2034" s="2" t="b">
        <v>0</v>
      </c>
      <c r="D2034" s="2"/>
      <c r="E2034" s="2"/>
      <c r="F2034" s="2"/>
      <c r="G2034" s="2"/>
      <c r="H2034" s="2"/>
      <c r="I2034" s="5"/>
    </row>
    <row r="2035" spans="1:9" ht="17.399999999999999" x14ac:dyDescent="0.25">
      <c r="A2035" s="16"/>
      <c r="B2035" s="17"/>
      <c r="C2035" s="2" t="b">
        <v>0</v>
      </c>
      <c r="D2035" s="2"/>
      <c r="E2035" s="2"/>
      <c r="F2035" s="2"/>
      <c r="G2035" s="2"/>
      <c r="H2035" s="2"/>
      <c r="I2035" s="5"/>
    </row>
    <row r="2036" spans="1:9" ht="17.399999999999999" x14ac:dyDescent="0.25">
      <c r="A2036" s="16"/>
      <c r="B2036" s="17"/>
      <c r="C2036" s="2" t="b">
        <v>0</v>
      </c>
      <c r="D2036" s="2"/>
      <c r="E2036" s="2"/>
      <c r="F2036" s="2"/>
      <c r="G2036" s="2"/>
      <c r="H2036" s="2"/>
      <c r="I2036" s="5"/>
    </row>
    <row r="2037" spans="1:9" ht="17.399999999999999" x14ac:dyDescent="0.25">
      <c r="A2037" s="16"/>
      <c r="B2037" s="17"/>
      <c r="C2037" s="2" t="b">
        <v>0</v>
      </c>
      <c r="D2037" s="2"/>
      <c r="E2037" s="2"/>
      <c r="F2037" s="2"/>
      <c r="G2037" s="2"/>
      <c r="H2037" s="2"/>
      <c r="I2037" s="5"/>
    </row>
    <row r="2038" spans="1:9" ht="17.399999999999999" x14ac:dyDescent="0.25">
      <c r="A2038" s="16"/>
      <c r="B2038" s="17"/>
      <c r="C2038" s="2" t="b">
        <v>0</v>
      </c>
      <c r="D2038" s="2"/>
      <c r="E2038" s="2"/>
      <c r="F2038" s="2"/>
      <c r="G2038" s="2"/>
      <c r="H2038" s="2"/>
      <c r="I2038" s="5"/>
    </row>
    <row r="2039" spans="1:9" ht="17.399999999999999" x14ac:dyDescent="0.25">
      <c r="A2039" s="16"/>
      <c r="B2039" s="17"/>
      <c r="C2039" s="2" t="b">
        <v>0</v>
      </c>
      <c r="D2039" s="2"/>
      <c r="E2039" s="2"/>
      <c r="F2039" s="2"/>
      <c r="G2039" s="2"/>
      <c r="H2039" s="2"/>
      <c r="I2039" s="5"/>
    </row>
    <row r="2040" spans="1:9" ht="17.399999999999999" x14ac:dyDescent="0.25">
      <c r="A2040" s="16"/>
      <c r="B2040" s="17"/>
      <c r="C2040" s="2" t="b">
        <v>0</v>
      </c>
      <c r="D2040" s="2"/>
      <c r="E2040" s="2"/>
      <c r="F2040" s="2"/>
      <c r="G2040" s="2"/>
      <c r="H2040" s="2"/>
      <c r="I2040" s="5"/>
    </row>
    <row r="2041" spans="1:9" ht="17.399999999999999" x14ac:dyDescent="0.25">
      <c r="A2041" s="16"/>
      <c r="B2041" s="17"/>
      <c r="C2041" s="2" t="b">
        <v>0</v>
      </c>
      <c r="D2041" s="2"/>
      <c r="E2041" s="2"/>
      <c r="F2041" s="2"/>
      <c r="G2041" s="2"/>
      <c r="H2041" s="2"/>
      <c r="I2041" s="5"/>
    </row>
    <row r="2042" spans="1:9" ht="17.399999999999999" x14ac:dyDescent="0.25">
      <c r="A2042" s="16"/>
      <c r="B2042" s="17"/>
      <c r="C2042" s="2" t="b">
        <v>0</v>
      </c>
      <c r="D2042" s="2"/>
      <c r="E2042" s="2"/>
      <c r="F2042" s="2"/>
      <c r="G2042" s="2"/>
      <c r="H2042" s="2"/>
      <c r="I2042" s="5"/>
    </row>
    <row r="2043" spans="1:9" ht="17.399999999999999" x14ac:dyDescent="0.25">
      <c r="A2043" s="16"/>
      <c r="B2043" s="17"/>
      <c r="C2043" s="2" t="b">
        <v>0</v>
      </c>
      <c r="D2043" s="2"/>
      <c r="E2043" s="2"/>
      <c r="F2043" s="2"/>
      <c r="G2043" s="2"/>
      <c r="H2043" s="2"/>
      <c r="I2043" s="5"/>
    </row>
    <row r="2044" spans="1:9" ht="17.399999999999999" x14ac:dyDescent="0.25">
      <c r="A2044" s="16"/>
      <c r="B2044" s="17"/>
      <c r="C2044" s="2" t="b">
        <v>0</v>
      </c>
      <c r="D2044" s="2"/>
      <c r="E2044" s="2"/>
      <c r="F2044" s="2"/>
      <c r="G2044" s="2"/>
      <c r="H2044" s="2"/>
      <c r="I2044" s="5"/>
    </row>
    <row r="2045" spans="1:9" ht="17.399999999999999" x14ac:dyDescent="0.25">
      <c r="A2045" s="16"/>
      <c r="B2045" s="17"/>
      <c r="C2045" s="2" t="b">
        <v>0</v>
      </c>
      <c r="D2045" s="2"/>
      <c r="E2045" s="2"/>
      <c r="F2045" s="2"/>
      <c r="G2045" s="2"/>
      <c r="H2045" s="2"/>
      <c r="I2045" s="5"/>
    </row>
    <row r="2046" spans="1:9" ht="17.399999999999999" x14ac:dyDescent="0.25">
      <c r="A2046" s="16"/>
      <c r="B2046" s="17"/>
      <c r="C2046" s="2" t="b">
        <v>0</v>
      </c>
      <c r="D2046" s="2"/>
      <c r="E2046" s="2"/>
      <c r="F2046" s="2"/>
      <c r="G2046" s="2"/>
      <c r="H2046" s="2"/>
      <c r="I2046" s="5"/>
    </row>
    <row r="2047" spans="1:9" ht="17.399999999999999" x14ac:dyDescent="0.25">
      <c r="A2047" s="16"/>
      <c r="B2047" s="17"/>
      <c r="C2047" s="2" t="b">
        <v>0</v>
      </c>
      <c r="D2047" s="2"/>
      <c r="E2047" s="2"/>
      <c r="F2047" s="2"/>
      <c r="G2047" s="2"/>
      <c r="H2047" s="2"/>
      <c r="I2047" s="5"/>
    </row>
    <row r="2048" spans="1:9" ht="17.399999999999999" x14ac:dyDescent="0.25">
      <c r="A2048" s="16"/>
      <c r="B2048" s="17"/>
      <c r="C2048" s="2" t="b">
        <v>0</v>
      </c>
      <c r="D2048" s="2"/>
      <c r="E2048" s="2"/>
      <c r="F2048" s="2"/>
      <c r="G2048" s="2"/>
      <c r="H2048" s="2"/>
      <c r="I2048" s="5"/>
    </row>
    <row r="2049" spans="1:9" ht="17.399999999999999" x14ac:dyDescent="0.25">
      <c r="A2049" s="16"/>
      <c r="B2049" s="17"/>
      <c r="C2049" s="2" t="b">
        <v>0</v>
      </c>
      <c r="D2049" s="2"/>
      <c r="E2049" s="2"/>
      <c r="F2049" s="2"/>
      <c r="G2049" s="2"/>
      <c r="H2049" s="2"/>
      <c r="I2049" s="5"/>
    </row>
    <row r="2050" spans="1:9" ht="17.399999999999999" x14ac:dyDescent="0.25">
      <c r="A2050" s="16"/>
      <c r="B2050" s="17"/>
      <c r="C2050" s="2" t="b">
        <v>0</v>
      </c>
      <c r="D2050" s="2"/>
      <c r="E2050" s="2"/>
      <c r="F2050" s="2"/>
      <c r="G2050" s="2"/>
      <c r="H2050" s="2"/>
      <c r="I2050" s="5"/>
    </row>
    <row r="2051" spans="1:9" ht="17.399999999999999" x14ac:dyDescent="0.25">
      <c r="A2051" s="16"/>
      <c r="B2051" s="17"/>
      <c r="C2051" s="2" t="b">
        <v>0</v>
      </c>
      <c r="D2051" s="2"/>
      <c r="E2051" s="2"/>
      <c r="F2051" s="2"/>
      <c r="G2051" s="2"/>
      <c r="H2051" s="2"/>
      <c r="I2051" s="5"/>
    </row>
    <row r="2052" spans="1:9" ht="17.399999999999999" x14ac:dyDescent="0.25">
      <c r="A2052" s="16"/>
      <c r="B2052" s="17"/>
      <c r="C2052" s="2" t="b">
        <v>0</v>
      </c>
      <c r="D2052" s="2"/>
      <c r="E2052" s="2"/>
      <c r="F2052" s="2"/>
      <c r="G2052" s="2"/>
      <c r="H2052" s="2"/>
      <c r="I2052" s="5"/>
    </row>
    <row r="2053" spans="1:9" ht="17.399999999999999" x14ac:dyDescent="0.25">
      <c r="A2053" s="16"/>
      <c r="B2053" s="17"/>
      <c r="C2053" s="2" t="b">
        <v>0</v>
      </c>
      <c r="D2053" s="2"/>
      <c r="E2053" s="2"/>
      <c r="F2053" s="2"/>
      <c r="G2053" s="2"/>
      <c r="H2053" s="2"/>
      <c r="I2053" s="5"/>
    </row>
    <row r="2054" spans="1:9" ht="17.399999999999999" x14ac:dyDescent="0.25">
      <c r="A2054" s="16"/>
      <c r="B2054" s="17"/>
      <c r="C2054" s="2" t="b">
        <v>0</v>
      </c>
      <c r="D2054" s="2"/>
      <c r="E2054" s="2"/>
      <c r="F2054" s="2"/>
      <c r="G2054" s="2"/>
      <c r="H2054" s="2"/>
      <c r="I2054" s="5"/>
    </row>
    <row r="2055" spans="1:9" ht="17.399999999999999" x14ac:dyDescent="0.25">
      <c r="A2055" s="16"/>
      <c r="B2055" s="17"/>
      <c r="C2055" s="2" t="b">
        <v>0</v>
      </c>
      <c r="D2055" s="2"/>
      <c r="E2055" s="2"/>
      <c r="F2055" s="2"/>
      <c r="G2055" s="2"/>
      <c r="H2055" s="2"/>
      <c r="I2055" s="5"/>
    </row>
    <row r="2056" spans="1:9" ht="17.399999999999999" x14ac:dyDescent="0.25">
      <c r="A2056" s="16"/>
      <c r="B2056" s="17"/>
      <c r="C2056" s="2" t="b">
        <v>0</v>
      </c>
      <c r="D2056" s="2"/>
      <c r="E2056" s="2"/>
      <c r="F2056" s="2"/>
      <c r="G2056" s="2"/>
      <c r="H2056" s="2"/>
      <c r="I2056" s="5"/>
    </row>
    <row r="2057" spans="1:9" ht="17.399999999999999" x14ac:dyDescent="0.25">
      <c r="A2057" s="16"/>
      <c r="B2057" s="17"/>
      <c r="C2057" s="2" t="b">
        <v>0</v>
      </c>
      <c r="D2057" s="2"/>
      <c r="E2057" s="2"/>
      <c r="F2057" s="2"/>
      <c r="G2057" s="2"/>
      <c r="H2057" s="2"/>
      <c r="I2057" s="5"/>
    </row>
    <row r="2058" spans="1:9" ht="17.399999999999999" x14ac:dyDescent="0.25">
      <c r="A2058" s="16"/>
      <c r="B2058" s="17"/>
      <c r="C2058" s="2" t="b">
        <v>0</v>
      </c>
      <c r="D2058" s="2"/>
      <c r="E2058" s="2"/>
      <c r="F2058" s="2"/>
      <c r="G2058" s="2"/>
      <c r="H2058" s="2"/>
      <c r="I2058" s="5"/>
    </row>
    <row r="2059" spans="1:9" ht="17.399999999999999" x14ac:dyDescent="0.25">
      <c r="A2059" s="16"/>
      <c r="B2059" s="17"/>
      <c r="C2059" s="2" t="b">
        <v>0</v>
      </c>
      <c r="D2059" s="2"/>
      <c r="E2059" s="2"/>
      <c r="F2059" s="2"/>
      <c r="G2059" s="2"/>
      <c r="H2059" s="2"/>
      <c r="I2059" s="5"/>
    </row>
    <row r="2060" spans="1:9" ht="17.399999999999999" x14ac:dyDescent="0.25">
      <c r="A2060" s="16"/>
      <c r="B2060" s="17"/>
      <c r="C2060" s="2" t="b">
        <v>0</v>
      </c>
      <c r="D2060" s="2"/>
      <c r="E2060" s="2"/>
      <c r="F2060" s="2"/>
      <c r="G2060" s="2"/>
      <c r="H2060" s="2"/>
      <c r="I2060" s="5"/>
    </row>
    <row r="2061" spans="1:9" ht="17.399999999999999" x14ac:dyDescent="0.25">
      <c r="A2061" s="16"/>
      <c r="B2061" s="17"/>
      <c r="C2061" s="2" t="b">
        <v>0</v>
      </c>
      <c r="D2061" s="2"/>
      <c r="E2061" s="2"/>
      <c r="F2061" s="2"/>
      <c r="G2061" s="2"/>
      <c r="H2061" s="2"/>
      <c r="I2061" s="5"/>
    </row>
    <row r="2062" spans="1:9" ht="17.399999999999999" x14ac:dyDescent="0.25">
      <c r="A2062" s="16"/>
      <c r="B2062" s="17"/>
      <c r="C2062" s="2" t="b">
        <v>0</v>
      </c>
      <c r="D2062" s="2"/>
      <c r="E2062" s="2"/>
      <c r="F2062" s="2"/>
      <c r="G2062" s="2"/>
      <c r="H2062" s="2"/>
      <c r="I2062" s="5"/>
    </row>
    <row r="2063" spans="1:9" ht="17.399999999999999" x14ac:dyDescent="0.25">
      <c r="A2063" s="16"/>
      <c r="B2063" s="17"/>
      <c r="C2063" s="2" t="b">
        <v>0</v>
      </c>
      <c r="D2063" s="2"/>
      <c r="E2063" s="2"/>
      <c r="F2063" s="2"/>
      <c r="G2063" s="2"/>
      <c r="H2063" s="2"/>
      <c r="I2063" s="5"/>
    </row>
    <row r="2064" spans="1:9" ht="17.399999999999999" x14ac:dyDescent="0.25">
      <c r="A2064" s="16"/>
      <c r="B2064" s="17"/>
      <c r="C2064" s="2" t="b">
        <v>0</v>
      </c>
      <c r="D2064" s="2"/>
      <c r="E2064" s="2"/>
      <c r="F2064" s="2"/>
      <c r="G2064" s="2"/>
      <c r="H2064" s="2"/>
      <c r="I2064" s="5"/>
    </row>
    <row r="2065" spans="1:9" ht="17.399999999999999" x14ac:dyDescent="0.25">
      <c r="A2065" s="16"/>
      <c r="B2065" s="17"/>
      <c r="C2065" s="2" t="b">
        <v>0</v>
      </c>
      <c r="D2065" s="2"/>
      <c r="E2065" s="2"/>
      <c r="F2065" s="2"/>
      <c r="G2065" s="2"/>
      <c r="H2065" s="2"/>
      <c r="I2065" s="5"/>
    </row>
    <row r="2066" spans="1:9" ht="17.399999999999999" x14ac:dyDescent="0.25">
      <c r="A2066" s="16"/>
      <c r="B2066" s="17"/>
      <c r="C2066" s="2" t="b">
        <v>0</v>
      </c>
      <c r="D2066" s="2"/>
      <c r="E2066" s="2"/>
      <c r="F2066" s="2"/>
      <c r="G2066" s="2"/>
      <c r="H2066" s="2"/>
      <c r="I2066" s="5"/>
    </row>
    <row r="2067" spans="1:9" ht="17.399999999999999" x14ac:dyDescent="0.25">
      <c r="A2067" s="16"/>
      <c r="B2067" s="17"/>
      <c r="C2067" s="2" t="b">
        <v>0</v>
      </c>
      <c r="D2067" s="2"/>
      <c r="E2067" s="2"/>
      <c r="F2067" s="2"/>
      <c r="G2067" s="2"/>
      <c r="H2067" s="2"/>
      <c r="I2067" s="5"/>
    </row>
    <row r="2068" spans="1:9" ht="17.399999999999999" x14ac:dyDescent="0.25">
      <c r="A2068" s="16"/>
      <c r="B2068" s="17"/>
      <c r="C2068" s="2" t="b">
        <v>0</v>
      </c>
      <c r="D2068" s="2"/>
      <c r="E2068" s="2"/>
      <c r="F2068" s="2"/>
      <c r="G2068" s="2"/>
      <c r="H2068" s="2"/>
      <c r="I2068" s="5"/>
    </row>
    <row r="2069" spans="1:9" ht="17.399999999999999" x14ac:dyDescent="0.25">
      <c r="A2069" s="16"/>
      <c r="B2069" s="17"/>
      <c r="C2069" s="2" t="b">
        <v>0</v>
      </c>
      <c r="D2069" s="2"/>
      <c r="E2069" s="2"/>
      <c r="F2069" s="2"/>
      <c r="G2069" s="2"/>
      <c r="H2069" s="2"/>
      <c r="I2069" s="5"/>
    </row>
    <row r="2070" spans="1:9" ht="17.399999999999999" x14ac:dyDescent="0.25">
      <c r="A2070" s="16"/>
      <c r="B2070" s="17"/>
      <c r="C2070" s="2" t="b">
        <v>0</v>
      </c>
      <c r="D2070" s="2"/>
      <c r="E2070" s="2"/>
      <c r="F2070" s="2"/>
      <c r="G2070" s="2"/>
      <c r="H2070" s="2"/>
      <c r="I2070" s="5"/>
    </row>
    <row r="2071" spans="1:9" ht="17.399999999999999" x14ac:dyDescent="0.25">
      <c r="A2071" s="16"/>
      <c r="B2071" s="17"/>
      <c r="C2071" s="2" t="b">
        <v>0</v>
      </c>
      <c r="D2071" s="2"/>
      <c r="E2071" s="2"/>
      <c r="F2071" s="2"/>
      <c r="G2071" s="2"/>
      <c r="H2071" s="2"/>
      <c r="I2071" s="5"/>
    </row>
    <row r="2072" spans="1:9" ht="17.399999999999999" x14ac:dyDescent="0.25">
      <c r="A2072" s="16"/>
      <c r="B2072" s="17"/>
      <c r="C2072" s="2" t="b">
        <v>0</v>
      </c>
      <c r="D2072" s="2"/>
      <c r="E2072" s="2"/>
      <c r="F2072" s="2"/>
      <c r="G2072" s="2"/>
      <c r="H2072" s="2"/>
      <c r="I2072" s="5"/>
    </row>
    <row r="2073" spans="1:9" ht="17.399999999999999" x14ac:dyDescent="0.25">
      <c r="A2073" s="16"/>
      <c r="B2073" s="17"/>
      <c r="C2073" s="2" t="b">
        <v>0</v>
      </c>
      <c r="D2073" s="2"/>
      <c r="E2073" s="2"/>
      <c r="F2073" s="2"/>
      <c r="G2073" s="2"/>
      <c r="H2073" s="2"/>
      <c r="I2073" s="5"/>
    </row>
    <row r="2074" spans="1:9" ht="17.399999999999999" x14ac:dyDescent="0.25">
      <c r="A2074" s="16"/>
      <c r="B2074" s="17"/>
      <c r="C2074" s="2" t="b">
        <v>0</v>
      </c>
      <c r="D2074" s="2"/>
      <c r="E2074" s="2"/>
      <c r="F2074" s="2"/>
      <c r="G2074" s="2"/>
      <c r="H2074" s="2"/>
      <c r="I2074" s="5"/>
    </row>
    <row r="2075" spans="1:9" ht="17.399999999999999" x14ac:dyDescent="0.25">
      <c r="A2075" s="16"/>
      <c r="B2075" s="17"/>
      <c r="C2075" s="2" t="b">
        <v>0</v>
      </c>
      <c r="D2075" s="2"/>
      <c r="E2075" s="2"/>
      <c r="F2075" s="2"/>
      <c r="G2075" s="2"/>
      <c r="H2075" s="2"/>
      <c r="I2075" s="5"/>
    </row>
    <row r="2076" spans="1:9" ht="17.399999999999999" x14ac:dyDescent="0.25">
      <c r="A2076" s="16"/>
      <c r="B2076" s="17"/>
      <c r="C2076" s="2" t="b">
        <v>0</v>
      </c>
      <c r="D2076" s="2"/>
      <c r="E2076" s="2"/>
      <c r="F2076" s="2"/>
      <c r="G2076" s="2"/>
      <c r="H2076" s="2"/>
      <c r="I2076" s="5"/>
    </row>
    <row r="2077" spans="1:9" ht="17.399999999999999" x14ac:dyDescent="0.25">
      <c r="A2077" s="16"/>
      <c r="B2077" s="17"/>
      <c r="C2077" s="2" t="b">
        <v>0</v>
      </c>
      <c r="D2077" s="2"/>
      <c r="E2077" s="2"/>
      <c r="F2077" s="2"/>
      <c r="G2077" s="2"/>
      <c r="H2077" s="2"/>
      <c r="I2077" s="5"/>
    </row>
    <row r="2078" spans="1:9" ht="17.399999999999999" x14ac:dyDescent="0.25">
      <c r="A2078" s="16"/>
      <c r="B2078" s="17"/>
      <c r="C2078" s="2" t="b">
        <v>0</v>
      </c>
      <c r="D2078" s="2"/>
      <c r="E2078" s="2"/>
      <c r="F2078" s="2"/>
      <c r="G2078" s="2"/>
      <c r="H2078" s="2"/>
      <c r="I2078" s="5"/>
    </row>
    <row r="2079" spans="1:9" ht="17.399999999999999" x14ac:dyDescent="0.25">
      <c r="A2079" s="16"/>
      <c r="B2079" s="17"/>
      <c r="C2079" s="2" t="b">
        <v>0</v>
      </c>
      <c r="D2079" s="2"/>
      <c r="E2079" s="2"/>
      <c r="F2079" s="2"/>
      <c r="G2079" s="2"/>
      <c r="H2079" s="2"/>
      <c r="I2079" s="5"/>
    </row>
    <row r="2080" spans="1:9" ht="17.399999999999999" x14ac:dyDescent="0.25">
      <c r="A2080" s="16"/>
      <c r="B2080" s="17"/>
      <c r="C2080" s="2" t="b">
        <v>0</v>
      </c>
      <c r="D2080" s="2"/>
      <c r="E2080" s="2"/>
      <c r="F2080" s="2"/>
      <c r="G2080" s="2"/>
      <c r="H2080" s="2"/>
      <c r="I2080" s="5"/>
    </row>
    <row r="2081" spans="1:9" ht="17.399999999999999" x14ac:dyDescent="0.25">
      <c r="A2081" s="16"/>
      <c r="B2081" s="17"/>
      <c r="C2081" s="2" t="b">
        <v>0</v>
      </c>
      <c r="D2081" s="2"/>
      <c r="E2081" s="2"/>
      <c r="F2081" s="2"/>
      <c r="G2081" s="2"/>
      <c r="H2081" s="2"/>
      <c r="I2081" s="5"/>
    </row>
    <row r="2082" spans="1:9" ht="17.399999999999999" x14ac:dyDescent="0.25">
      <c r="A2082" s="16"/>
      <c r="B2082" s="17"/>
      <c r="C2082" s="2" t="b">
        <v>0</v>
      </c>
      <c r="D2082" s="2"/>
      <c r="E2082" s="2"/>
      <c r="F2082" s="2"/>
      <c r="G2082" s="2"/>
      <c r="H2082" s="2"/>
      <c r="I2082" s="5"/>
    </row>
    <row r="2083" spans="1:9" ht="17.399999999999999" x14ac:dyDescent="0.25">
      <c r="A2083" s="16"/>
      <c r="B2083" s="17"/>
      <c r="C2083" s="2" t="b">
        <v>0</v>
      </c>
      <c r="D2083" s="2"/>
      <c r="E2083" s="2"/>
      <c r="F2083" s="2"/>
      <c r="G2083" s="2"/>
      <c r="H2083" s="2"/>
      <c r="I2083" s="5"/>
    </row>
    <row r="2084" spans="1:9" ht="17.399999999999999" x14ac:dyDescent="0.25">
      <c r="A2084" s="16"/>
      <c r="B2084" s="17"/>
      <c r="C2084" s="2" t="b">
        <v>0</v>
      </c>
      <c r="D2084" s="2"/>
      <c r="E2084" s="2"/>
      <c r="F2084" s="2"/>
      <c r="G2084" s="2"/>
      <c r="H2084" s="2"/>
      <c r="I2084" s="5"/>
    </row>
    <row r="2085" spans="1:9" ht="17.399999999999999" x14ac:dyDescent="0.25">
      <c r="A2085" s="16"/>
      <c r="B2085" s="17"/>
      <c r="C2085" s="2" t="b">
        <v>0</v>
      </c>
      <c r="D2085" s="2"/>
      <c r="E2085" s="2"/>
      <c r="F2085" s="2"/>
      <c r="G2085" s="2"/>
      <c r="H2085" s="2"/>
      <c r="I2085" s="5"/>
    </row>
    <row r="2086" spans="1:9" ht="17.399999999999999" x14ac:dyDescent="0.25">
      <c r="A2086" s="16"/>
      <c r="B2086" s="17"/>
      <c r="C2086" s="2" t="b">
        <v>0</v>
      </c>
      <c r="D2086" s="2"/>
      <c r="E2086" s="2"/>
      <c r="F2086" s="2"/>
      <c r="G2086" s="2"/>
      <c r="H2086" s="2"/>
      <c r="I2086" s="5"/>
    </row>
    <row r="2087" spans="1:9" ht="17.399999999999999" x14ac:dyDescent="0.25">
      <c r="A2087" s="16"/>
      <c r="B2087" s="17"/>
      <c r="C2087" s="2" t="b">
        <v>0</v>
      </c>
      <c r="D2087" s="2"/>
      <c r="E2087" s="2"/>
      <c r="F2087" s="2"/>
      <c r="G2087" s="2"/>
      <c r="H2087" s="2"/>
      <c r="I2087" s="5"/>
    </row>
    <row r="2088" spans="1:9" ht="17.399999999999999" x14ac:dyDescent="0.25">
      <c r="A2088" s="16"/>
      <c r="B2088" s="17"/>
      <c r="C2088" s="2" t="b">
        <v>0</v>
      </c>
      <c r="D2088" s="2"/>
      <c r="E2088" s="2"/>
      <c r="F2088" s="2"/>
      <c r="G2088" s="2"/>
      <c r="H2088" s="2"/>
      <c r="I2088" s="5"/>
    </row>
    <row r="2089" spans="1:9" ht="17.399999999999999" x14ac:dyDescent="0.25">
      <c r="A2089" s="16"/>
      <c r="B2089" s="17"/>
      <c r="C2089" s="2" t="b">
        <v>0</v>
      </c>
      <c r="D2089" s="2"/>
      <c r="E2089" s="2"/>
      <c r="F2089" s="2"/>
      <c r="G2089" s="2"/>
      <c r="H2089" s="2"/>
      <c r="I2089" s="5"/>
    </row>
    <row r="2090" spans="1:9" ht="17.399999999999999" x14ac:dyDescent="0.25">
      <c r="A2090" s="16"/>
      <c r="B2090" s="17"/>
      <c r="C2090" s="2" t="b">
        <v>0</v>
      </c>
      <c r="D2090" s="2"/>
      <c r="E2090" s="2"/>
      <c r="F2090" s="2"/>
      <c r="G2090" s="2"/>
      <c r="H2090" s="2"/>
      <c r="I2090" s="5"/>
    </row>
    <row r="2091" spans="1:9" ht="17.399999999999999" x14ac:dyDescent="0.25">
      <c r="A2091" s="16"/>
      <c r="B2091" s="17"/>
      <c r="C2091" s="2" t="b">
        <v>0</v>
      </c>
      <c r="D2091" s="2"/>
      <c r="E2091" s="2"/>
      <c r="F2091" s="2"/>
      <c r="G2091" s="2"/>
      <c r="H2091" s="2"/>
      <c r="I2091" s="5"/>
    </row>
    <row r="2092" spans="1:9" ht="17.399999999999999" x14ac:dyDescent="0.25">
      <c r="A2092" s="16"/>
      <c r="B2092" s="17"/>
      <c r="C2092" s="2" t="b">
        <v>0</v>
      </c>
      <c r="D2092" s="2"/>
      <c r="E2092" s="2"/>
      <c r="F2092" s="2"/>
      <c r="G2092" s="2"/>
      <c r="H2092" s="2"/>
      <c r="I2092" s="5"/>
    </row>
    <row r="2093" spans="1:9" ht="17.399999999999999" x14ac:dyDescent="0.25">
      <c r="A2093" s="16"/>
      <c r="B2093" s="17"/>
      <c r="C2093" s="2" t="b">
        <v>0</v>
      </c>
      <c r="D2093" s="2"/>
      <c r="E2093" s="2"/>
      <c r="F2093" s="2"/>
      <c r="G2093" s="2"/>
      <c r="H2093" s="2"/>
      <c r="I2093" s="5"/>
    </row>
    <row r="2094" spans="1:9" ht="17.399999999999999" x14ac:dyDescent="0.25">
      <c r="A2094" s="16"/>
      <c r="B2094" s="17"/>
      <c r="C2094" s="2" t="b">
        <v>0</v>
      </c>
      <c r="D2094" s="2"/>
      <c r="E2094" s="2"/>
      <c r="F2094" s="2"/>
      <c r="G2094" s="2"/>
      <c r="H2094" s="2"/>
      <c r="I2094" s="5"/>
    </row>
    <row r="2095" spans="1:9" ht="17.399999999999999" x14ac:dyDescent="0.25">
      <c r="A2095" s="16"/>
      <c r="B2095" s="17"/>
      <c r="C2095" s="2" t="b">
        <v>0</v>
      </c>
      <c r="D2095" s="2"/>
      <c r="E2095" s="2"/>
      <c r="F2095" s="2"/>
      <c r="G2095" s="2"/>
      <c r="H2095" s="2"/>
      <c r="I2095" s="5"/>
    </row>
    <row r="2096" spans="1:9" ht="17.399999999999999" x14ac:dyDescent="0.25">
      <c r="A2096" s="16"/>
      <c r="B2096" s="17"/>
      <c r="C2096" s="2" t="b">
        <v>0</v>
      </c>
      <c r="D2096" s="2"/>
      <c r="E2096" s="2"/>
      <c r="F2096" s="2"/>
      <c r="G2096" s="2"/>
      <c r="H2096" s="2"/>
      <c r="I2096" s="5"/>
    </row>
    <row r="2097" spans="1:9" ht="17.399999999999999" x14ac:dyDescent="0.25">
      <c r="A2097" s="16"/>
      <c r="B2097" s="17"/>
      <c r="C2097" s="2" t="b">
        <v>0</v>
      </c>
      <c r="D2097" s="2"/>
      <c r="E2097" s="2"/>
      <c r="F2097" s="2"/>
      <c r="G2097" s="2"/>
      <c r="H2097" s="2"/>
      <c r="I2097" s="5"/>
    </row>
    <row r="2098" spans="1:9" ht="17.399999999999999" x14ac:dyDescent="0.25">
      <c r="A2098" s="16"/>
      <c r="B2098" s="17"/>
      <c r="C2098" s="2" t="b">
        <v>0</v>
      </c>
      <c r="D2098" s="2"/>
      <c r="E2098" s="2"/>
      <c r="F2098" s="2"/>
      <c r="G2098" s="2"/>
      <c r="H2098" s="2"/>
      <c r="I2098" s="5"/>
    </row>
    <row r="2099" spans="1:9" ht="17.399999999999999" x14ac:dyDescent="0.25">
      <c r="A2099" s="16"/>
      <c r="B2099" s="17"/>
      <c r="C2099" s="2" t="b">
        <v>0</v>
      </c>
      <c r="D2099" s="2"/>
      <c r="E2099" s="2"/>
      <c r="F2099" s="2"/>
      <c r="G2099" s="2"/>
      <c r="H2099" s="2"/>
      <c r="I2099" s="5"/>
    </row>
    <row r="2100" spans="1:9" ht="17.399999999999999" x14ac:dyDescent="0.25">
      <c r="A2100" s="16"/>
      <c r="B2100" s="17"/>
      <c r="C2100" s="2" t="b">
        <v>0</v>
      </c>
      <c r="D2100" s="2"/>
      <c r="E2100" s="2"/>
      <c r="F2100" s="2"/>
      <c r="G2100" s="2"/>
      <c r="H2100" s="2"/>
      <c r="I2100" s="5"/>
    </row>
    <row r="2101" spans="1:9" ht="17.399999999999999" x14ac:dyDescent="0.25">
      <c r="A2101" s="16"/>
      <c r="B2101" s="17"/>
      <c r="C2101" s="2" t="b">
        <v>0</v>
      </c>
      <c r="D2101" s="2"/>
      <c r="E2101" s="2"/>
      <c r="F2101" s="2"/>
      <c r="G2101" s="2"/>
      <c r="H2101" s="2"/>
      <c r="I2101" s="5"/>
    </row>
    <row r="2102" spans="1:9" ht="17.399999999999999" x14ac:dyDescent="0.25">
      <c r="A2102" s="16"/>
      <c r="B2102" s="17"/>
      <c r="C2102" s="2" t="b">
        <v>0</v>
      </c>
      <c r="D2102" s="2"/>
      <c r="E2102" s="2"/>
      <c r="F2102" s="2"/>
      <c r="G2102" s="2"/>
      <c r="H2102" s="2"/>
      <c r="I2102" s="5"/>
    </row>
    <row r="2103" spans="1:9" ht="17.399999999999999" x14ac:dyDescent="0.25">
      <c r="A2103" s="16"/>
      <c r="B2103" s="17"/>
      <c r="C2103" s="2" t="b">
        <v>0</v>
      </c>
      <c r="D2103" s="2"/>
      <c r="E2103" s="2"/>
      <c r="F2103" s="2"/>
      <c r="G2103" s="2"/>
      <c r="H2103" s="2"/>
      <c r="I2103" s="5"/>
    </row>
    <row r="2104" spans="1:9" ht="17.399999999999999" x14ac:dyDescent="0.25">
      <c r="A2104" s="16"/>
      <c r="B2104" s="17"/>
      <c r="C2104" s="2" t="b">
        <v>0</v>
      </c>
      <c r="D2104" s="2"/>
      <c r="E2104" s="2"/>
      <c r="F2104" s="2"/>
      <c r="G2104" s="2"/>
      <c r="H2104" s="2"/>
      <c r="I2104" s="5"/>
    </row>
    <row r="2105" spans="1:9" ht="17.399999999999999" x14ac:dyDescent="0.25">
      <c r="A2105" s="16"/>
      <c r="B2105" s="17"/>
      <c r="C2105" s="2" t="b">
        <v>0</v>
      </c>
      <c r="D2105" s="2"/>
      <c r="E2105" s="2"/>
      <c r="F2105" s="2"/>
      <c r="G2105" s="2"/>
      <c r="H2105" s="2"/>
      <c r="I2105" s="5"/>
    </row>
    <row r="2106" spans="1:9" ht="17.399999999999999" x14ac:dyDescent="0.25">
      <c r="A2106" s="16"/>
      <c r="B2106" s="17"/>
      <c r="C2106" s="2" t="b">
        <v>0</v>
      </c>
      <c r="D2106" s="2"/>
      <c r="E2106" s="2"/>
      <c r="F2106" s="2"/>
      <c r="G2106" s="2"/>
      <c r="H2106" s="2"/>
      <c r="I2106" s="5"/>
    </row>
    <row r="2107" spans="1:9" ht="17.399999999999999" x14ac:dyDescent="0.25">
      <c r="A2107" s="16"/>
      <c r="B2107" s="17"/>
      <c r="C2107" s="2" t="b">
        <v>0</v>
      </c>
      <c r="D2107" s="2"/>
      <c r="E2107" s="2"/>
      <c r="F2107" s="2"/>
      <c r="G2107" s="2"/>
      <c r="H2107" s="2"/>
      <c r="I2107" s="5"/>
    </row>
    <row r="2108" spans="1:9" ht="17.399999999999999" x14ac:dyDescent="0.25">
      <c r="A2108" s="16"/>
      <c r="B2108" s="17"/>
      <c r="C2108" s="2" t="b">
        <v>0</v>
      </c>
      <c r="D2108" s="2"/>
      <c r="E2108" s="2"/>
      <c r="F2108" s="2"/>
      <c r="G2108" s="2"/>
      <c r="H2108" s="2"/>
      <c r="I2108" s="5"/>
    </row>
    <row r="2109" spans="1:9" ht="17.399999999999999" x14ac:dyDescent="0.25">
      <c r="A2109" s="16"/>
      <c r="B2109" s="17"/>
      <c r="C2109" s="2" t="b">
        <v>0</v>
      </c>
      <c r="D2109" s="2"/>
      <c r="E2109" s="2"/>
      <c r="F2109" s="2"/>
      <c r="G2109" s="2"/>
      <c r="H2109" s="2"/>
      <c r="I2109" s="5"/>
    </row>
    <row r="2110" spans="1:9" ht="17.399999999999999" x14ac:dyDescent="0.25">
      <c r="A2110" s="16"/>
      <c r="B2110" s="17"/>
      <c r="C2110" s="2" t="b">
        <v>0</v>
      </c>
      <c r="D2110" s="2"/>
      <c r="E2110" s="2"/>
      <c r="F2110" s="2"/>
      <c r="G2110" s="2"/>
      <c r="H2110" s="2"/>
      <c r="I2110" s="5"/>
    </row>
    <row r="2111" spans="1:9" ht="17.399999999999999" x14ac:dyDescent="0.25">
      <c r="A2111" s="16"/>
      <c r="B2111" s="17"/>
      <c r="C2111" s="2" t="b">
        <v>0</v>
      </c>
      <c r="D2111" s="2"/>
      <c r="E2111" s="2"/>
      <c r="F2111" s="2"/>
      <c r="G2111" s="2"/>
      <c r="H2111" s="2"/>
      <c r="I2111" s="5"/>
    </row>
    <row r="2112" spans="1:9" ht="17.399999999999999" x14ac:dyDescent="0.25">
      <c r="A2112" s="16"/>
      <c r="B2112" s="17"/>
      <c r="C2112" s="2" t="b">
        <v>0</v>
      </c>
      <c r="D2112" s="2"/>
      <c r="E2112" s="2"/>
      <c r="F2112" s="2"/>
      <c r="G2112" s="2"/>
      <c r="H2112" s="2"/>
      <c r="I2112" s="5"/>
    </row>
    <row r="2113" spans="1:9" ht="17.399999999999999" x14ac:dyDescent="0.25">
      <c r="A2113" s="16"/>
      <c r="B2113" s="17"/>
      <c r="C2113" s="2" t="b">
        <v>0</v>
      </c>
      <c r="D2113" s="2"/>
      <c r="E2113" s="2"/>
      <c r="F2113" s="2"/>
      <c r="G2113" s="2"/>
      <c r="H2113" s="2"/>
      <c r="I2113" s="5"/>
    </row>
    <row r="2114" spans="1:9" ht="17.399999999999999" x14ac:dyDescent="0.25">
      <c r="A2114" s="16"/>
      <c r="B2114" s="17"/>
      <c r="C2114" s="2" t="b">
        <v>0</v>
      </c>
      <c r="D2114" s="2"/>
      <c r="E2114" s="2"/>
      <c r="F2114" s="2"/>
      <c r="G2114" s="2"/>
      <c r="H2114" s="2"/>
      <c r="I2114" s="5"/>
    </row>
    <row r="2115" spans="1:9" ht="17.399999999999999" x14ac:dyDescent="0.25">
      <c r="A2115" s="16"/>
      <c r="B2115" s="17"/>
      <c r="C2115" s="2" t="b">
        <v>0</v>
      </c>
      <c r="D2115" s="2"/>
      <c r="E2115" s="2"/>
      <c r="F2115" s="2"/>
      <c r="G2115" s="2"/>
      <c r="H2115" s="2"/>
      <c r="I2115" s="5"/>
    </row>
    <row r="2116" spans="1:9" ht="17.399999999999999" x14ac:dyDescent="0.25">
      <c r="A2116" s="16"/>
      <c r="B2116" s="17"/>
      <c r="C2116" s="2" t="b">
        <v>0</v>
      </c>
      <c r="D2116" s="2"/>
      <c r="E2116" s="2"/>
      <c r="F2116" s="2"/>
      <c r="G2116" s="2"/>
      <c r="H2116" s="2"/>
      <c r="I2116" s="5"/>
    </row>
    <row r="2117" spans="1:9" ht="17.399999999999999" x14ac:dyDescent="0.25">
      <c r="A2117" s="16"/>
      <c r="B2117" s="17"/>
      <c r="C2117" s="2" t="b">
        <v>0</v>
      </c>
      <c r="D2117" s="2"/>
      <c r="E2117" s="2"/>
      <c r="F2117" s="2"/>
      <c r="G2117" s="2"/>
      <c r="H2117" s="2"/>
      <c r="I2117" s="5"/>
    </row>
    <row r="2118" spans="1:9" ht="17.399999999999999" x14ac:dyDescent="0.25">
      <c r="A2118" s="16"/>
      <c r="B2118" s="17"/>
      <c r="C2118" s="2" t="b">
        <v>0</v>
      </c>
      <c r="D2118" s="2"/>
      <c r="E2118" s="2"/>
      <c r="F2118" s="2"/>
      <c r="G2118" s="2"/>
      <c r="H2118" s="2"/>
      <c r="I2118" s="5"/>
    </row>
    <row r="2119" spans="1:9" ht="17.399999999999999" x14ac:dyDescent="0.25">
      <c r="A2119" s="16"/>
      <c r="B2119" s="17"/>
      <c r="C2119" s="2" t="b">
        <v>0</v>
      </c>
      <c r="D2119" s="2"/>
      <c r="E2119" s="2"/>
      <c r="F2119" s="2"/>
      <c r="G2119" s="2"/>
      <c r="H2119" s="2"/>
      <c r="I2119" s="5"/>
    </row>
    <row r="2120" spans="1:9" ht="17.399999999999999" x14ac:dyDescent="0.25">
      <c r="A2120" s="16"/>
      <c r="B2120" s="17"/>
      <c r="C2120" s="2" t="b">
        <v>0</v>
      </c>
      <c r="D2120" s="2"/>
      <c r="E2120" s="2"/>
      <c r="F2120" s="2"/>
      <c r="G2120" s="2"/>
      <c r="H2120" s="2"/>
      <c r="I2120" s="5"/>
    </row>
    <row r="2121" spans="1:9" ht="17.399999999999999" x14ac:dyDescent="0.25">
      <c r="A2121" s="16"/>
      <c r="B2121" s="17"/>
      <c r="C2121" s="2" t="b">
        <v>0</v>
      </c>
      <c r="D2121" s="2"/>
      <c r="E2121" s="2"/>
      <c r="F2121" s="2"/>
      <c r="G2121" s="2"/>
      <c r="H2121" s="2"/>
      <c r="I2121" s="5"/>
    </row>
    <row r="2122" spans="1:9" ht="17.399999999999999" x14ac:dyDescent="0.25">
      <c r="A2122" s="16"/>
      <c r="B2122" s="17"/>
      <c r="C2122" s="2" t="b">
        <v>0</v>
      </c>
      <c r="D2122" s="2"/>
      <c r="E2122" s="2"/>
      <c r="F2122" s="2"/>
      <c r="G2122" s="2"/>
      <c r="H2122" s="2"/>
      <c r="I2122" s="5"/>
    </row>
    <row r="2123" spans="1:9" ht="17.399999999999999" x14ac:dyDescent="0.25">
      <c r="A2123" s="16"/>
      <c r="B2123" s="17"/>
      <c r="C2123" s="2" t="b">
        <v>0</v>
      </c>
      <c r="D2123" s="2"/>
      <c r="E2123" s="2"/>
      <c r="F2123" s="2"/>
      <c r="G2123" s="2"/>
      <c r="H2123" s="2"/>
      <c r="I2123" s="5"/>
    </row>
    <row r="2124" spans="1:9" ht="17.399999999999999" x14ac:dyDescent="0.25">
      <c r="A2124" s="16"/>
      <c r="B2124" s="17"/>
      <c r="C2124" s="2" t="b">
        <v>0</v>
      </c>
      <c r="D2124" s="2"/>
      <c r="E2124" s="2"/>
      <c r="F2124" s="2"/>
      <c r="G2124" s="2"/>
      <c r="H2124" s="2"/>
      <c r="I2124" s="5"/>
    </row>
    <row r="2125" spans="1:9" ht="17.399999999999999" x14ac:dyDescent="0.25">
      <c r="A2125" s="16"/>
      <c r="B2125" s="17"/>
      <c r="C2125" s="2" t="b">
        <v>0</v>
      </c>
      <c r="D2125" s="2"/>
      <c r="E2125" s="2"/>
      <c r="F2125" s="2"/>
      <c r="G2125" s="2"/>
      <c r="H2125" s="2"/>
      <c r="I2125" s="5"/>
    </row>
    <row r="2126" spans="1:9" ht="17.399999999999999" x14ac:dyDescent="0.25">
      <c r="A2126" s="16"/>
      <c r="B2126" s="17"/>
      <c r="C2126" s="2" t="b">
        <v>0</v>
      </c>
      <c r="D2126" s="2"/>
      <c r="E2126" s="2"/>
      <c r="F2126" s="2"/>
      <c r="G2126" s="2"/>
      <c r="H2126" s="2"/>
      <c r="I2126" s="5"/>
    </row>
    <row r="2127" spans="1:9" ht="17.399999999999999" x14ac:dyDescent="0.25">
      <c r="A2127" s="16"/>
      <c r="B2127" s="17"/>
      <c r="C2127" s="2" t="b">
        <v>0</v>
      </c>
      <c r="D2127" s="2"/>
      <c r="E2127" s="2"/>
      <c r="F2127" s="2"/>
      <c r="G2127" s="2"/>
      <c r="H2127" s="2"/>
      <c r="I2127" s="5"/>
    </row>
    <row r="2128" spans="1:9" ht="17.399999999999999" x14ac:dyDescent="0.25">
      <c r="A2128" s="16"/>
      <c r="B2128" s="17"/>
      <c r="C2128" s="2" t="b">
        <v>0</v>
      </c>
      <c r="D2128" s="2"/>
      <c r="E2128" s="2"/>
      <c r="F2128" s="2"/>
      <c r="G2128" s="2"/>
      <c r="H2128" s="2"/>
      <c r="I2128" s="5"/>
    </row>
    <row r="2129" spans="1:9" ht="17.399999999999999" x14ac:dyDescent="0.25">
      <c r="A2129" s="16"/>
      <c r="B2129" s="17"/>
      <c r="C2129" s="2" t="b">
        <v>0</v>
      </c>
      <c r="D2129" s="2"/>
      <c r="E2129" s="2"/>
      <c r="F2129" s="2"/>
      <c r="G2129" s="2"/>
      <c r="H2129" s="2"/>
      <c r="I2129" s="5"/>
    </row>
    <row r="2130" spans="1:9" ht="17.399999999999999" x14ac:dyDescent="0.25">
      <c r="A2130" s="16"/>
      <c r="B2130" s="17"/>
      <c r="C2130" s="2" t="b">
        <v>0</v>
      </c>
      <c r="D2130" s="2"/>
      <c r="E2130" s="2"/>
      <c r="F2130" s="2"/>
      <c r="G2130" s="2"/>
      <c r="H2130" s="2"/>
      <c r="I2130" s="5"/>
    </row>
    <row r="2131" spans="1:9" ht="17.399999999999999" x14ac:dyDescent="0.25">
      <c r="A2131" s="16"/>
      <c r="B2131" s="17"/>
      <c r="C2131" s="2" t="b">
        <v>0</v>
      </c>
      <c r="D2131" s="2"/>
      <c r="E2131" s="2"/>
      <c r="F2131" s="2"/>
      <c r="G2131" s="2"/>
      <c r="H2131" s="2"/>
      <c r="I2131" s="5"/>
    </row>
    <row r="2132" spans="1:9" ht="17.399999999999999" x14ac:dyDescent="0.25">
      <c r="A2132" s="16"/>
      <c r="B2132" s="17"/>
      <c r="C2132" s="2" t="b">
        <v>0</v>
      </c>
      <c r="D2132" s="2"/>
      <c r="E2132" s="2"/>
      <c r="F2132" s="2"/>
      <c r="G2132" s="2"/>
      <c r="H2132" s="2"/>
      <c r="I2132" s="5"/>
    </row>
    <row r="2133" spans="1:9" ht="17.399999999999999" x14ac:dyDescent="0.25">
      <c r="A2133" s="16"/>
      <c r="B2133" s="17"/>
      <c r="C2133" s="2" t="b">
        <v>0</v>
      </c>
      <c r="D2133" s="2"/>
      <c r="E2133" s="2"/>
      <c r="F2133" s="2"/>
      <c r="G2133" s="2"/>
      <c r="H2133" s="2"/>
      <c r="I2133" s="5"/>
    </row>
    <row r="2134" spans="1:9" ht="17.399999999999999" x14ac:dyDescent="0.25">
      <c r="A2134" s="16"/>
      <c r="B2134" s="17"/>
      <c r="C2134" s="2" t="b">
        <v>0</v>
      </c>
      <c r="D2134" s="2"/>
      <c r="E2134" s="2"/>
      <c r="F2134" s="2"/>
      <c r="G2134" s="2"/>
      <c r="H2134" s="2"/>
      <c r="I2134" s="5"/>
    </row>
    <row r="2135" spans="1:9" ht="17.399999999999999" x14ac:dyDescent="0.25">
      <c r="A2135" s="16"/>
      <c r="B2135" s="17"/>
      <c r="C2135" s="2" t="b">
        <v>0</v>
      </c>
      <c r="D2135" s="2"/>
      <c r="E2135" s="2"/>
      <c r="F2135" s="2"/>
      <c r="G2135" s="2"/>
      <c r="H2135" s="2"/>
      <c r="I2135" s="5"/>
    </row>
    <row r="2136" spans="1:9" ht="17.399999999999999" x14ac:dyDescent="0.25">
      <c r="A2136" s="16"/>
      <c r="B2136" s="17"/>
      <c r="C2136" s="2" t="b">
        <v>0</v>
      </c>
      <c r="D2136" s="2"/>
      <c r="E2136" s="2"/>
      <c r="F2136" s="2"/>
      <c r="G2136" s="2"/>
      <c r="H2136" s="2"/>
      <c r="I2136" s="5"/>
    </row>
    <row r="2137" spans="1:9" ht="17.399999999999999" x14ac:dyDescent="0.25">
      <c r="A2137" s="16"/>
      <c r="B2137" s="17"/>
      <c r="C2137" s="2" t="b">
        <v>0</v>
      </c>
      <c r="D2137" s="2"/>
      <c r="E2137" s="2"/>
      <c r="F2137" s="2"/>
      <c r="G2137" s="2"/>
      <c r="H2137" s="2"/>
      <c r="I2137" s="5"/>
    </row>
    <row r="2138" spans="1:9" ht="17.399999999999999" x14ac:dyDescent="0.25">
      <c r="A2138" s="16"/>
      <c r="B2138" s="17"/>
      <c r="C2138" s="2" t="b">
        <v>0</v>
      </c>
      <c r="D2138" s="2"/>
      <c r="E2138" s="2"/>
      <c r="F2138" s="2"/>
      <c r="G2138" s="2"/>
      <c r="H2138" s="2"/>
      <c r="I2138" s="5"/>
    </row>
    <row r="2139" spans="1:9" ht="17.399999999999999" x14ac:dyDescent="0.25">
      <c r="A2139" s="16"/>
      <c r="B2139" s="17"/>
      <c r="C2139" s="2" t="b">
        <v>0</v>
      </c>
      <c r="D2139" s="2"/>
      <c r="E2139" s="2"/>
      <c r="F2139" s="2"/>
      <c r="G2139" s="2"/>
      <c r="H2139" s="2"/>
      <c r="I2139" s="5"/>
    </row>
    <row r="2140" spans="1:9" ht="17.399999999999999" x14ac:dyDescent="0.25">
      <c r="A2140" s="16"/>
      <c r="B2140" s="17"/>
      <c r="C2140" s="2" t="b">
        <v>0</v>
      </c>
      <c r="D2140" s="2"/>
      <c r="E2140" s="2"/>
      <c r="F2140" s="2"/>
      <c r="G2140" s="2"/>
      <c r="H2140" s="2"/>
      <c r="I2140" s="5"/>
    </row>
    <row r="2141" spans="1:9" ht="17.399999999999999" x14ac:dyDescent="0.25">
      <c r="A2141" s="16"/>
      <c r="B2141" s="17"/>
      <c r="C2141" s="2" t="b">
        <v>0</v>
      </c>
      <c r="D2141" s="2"/>
      <c r="E2141" s="2"/>
      <c r="F2141" s="2"/>
      <c r="G2141" s="2"/>
      <c r="H2141" s="2"/>
      <c r="I2141" s="5"/>
    </row>
    <row r="2142" spans="1:9" ht="17.399999999999999" x14ac:dyDescent="0.25">
      <c r="A2142" s="16"/>
      <c r="B2142" s="17"/>
      <c r="C2142" s="2" t="b">
        <v>0</v>
      </c>
      <c r="D2142" s="2"/>
      <c r="E2142" s="2"/>
      <c r="F2142" s="2"/>
      <c r="G2142" s="2"/>
      <c r="H2142" s="2"/>
      <c r="I2142" s="5"/>
    </row>
    <row r="2143" spans="1:9" ht="17.399999999999999" x14ac:dyDescent="0.25">
      <c r="A2143" s="16"/>
      <c r="B2143" s="17"/>
      <c r="C2143" s="2" t="b">
        <v>0</v>
      </c>
      <c r="D2143" s="2"/>
      <c r="E2143" s="2"/>
      <c r="F2143" s="2"/>
      <c r="G2143" s="2"/>
      <c r="H2143" s="2"/>
      <c r="I2143" s="5"/>
    </row>
    <row r="2144" spans="1:9" ht="17.399999999999999" x14ac:dyDescent="0.25">
      <c r="A2144" s="16"/>
      <c r="B2144" s="17"/>
      <c r="C2144" s="2" t="b">
        <v>0</v>
      </c>
      <c r="D2144" s="2"/>
      <c r="E2144" s="2"/>
      <c r="F2144" s="2"/>
      <c r="G2144" s="2"/>
      <c r="H2144" s="2"/>
      <c r="I2144" s="5"/>
    </row>
    <row r="2145" spans="1:9" ht="17.399999999999999" x14ac:dyDescent="0.25">
      <c r="A2145" s="16"/>
      <c r="B2145" s="17"/>
      <c r="C2145" s="2" t="b">
        <v>0</v>
      </c>
      <c r="D2145" s="2"/>
      <c r="E2145" s="2"/>
      <c r="F2145" s="2"/>
      <c r="G2145" s="2"/>
      <c r="H2145" s="2"/>
      <c r="I2145" s="5"/>
    </row>
    <row r="2146" spans="1:9" ht="17.399999999999999" x14ac:dyDescent="0.25">
      <c r="A2146" s="16"/>
      <c r="B2146" s="17"/>
      <c r="C2146" s="2" t="b">
        <v>0</v>
      </c>
      <c r="D2146" s="2"/>
      <c r="E2146" s="2"/>
      <c r="F2146" s="2"/>
      <c r="G2146" s="2"/>
      <c r="H2146" s="2"/>
      <c r="I2146" s="5"/>
    </row>
    <row r="2147" spans="1:9" ht="17.399999999999999" x14ac:dyDescent="0.25">
      <c r="A2147" s="16"/>
      <c r="B2147" s="17"/>
      <c r="C2147" s="2" t="b">
        <v>0</v>
      </c>
      <c r="D2147" s="2"/>
      <c r="E2147" s="2"/>
      <c r="F2147" s="2"/>
      <c r="G2147" s="2"/>
      <c r="H2147" s="2"/>
      <c r="I2147" s="5"/>
    </row>
    <row r="2148" spans="1:9" ht="17.399999999999999" x14ac:dyDescent="0.25">
      <c r="A2148" s="16"/>
      <c r="B2148" s="17"/>
      <c r="C2148" s="2" t="b">
        <v>0</v>
      </c>
      <c r="D2148" s="2"/>
      <c r="E2148" s="2"/>
      <c r="F2148" s="2"/>
      <c r="G2148" s="2"/>
      <c r="H2148" s="2"/>
      <c r="I2148" s="5"/>
    </row>
    <row r="2149" spans="1:9" ht="17.399999999999999" x14ac:dyDescent="0.25">
      <c r="A2149" s="16"/>
      <c r="B2149" s="17"/>
      <c r="C2149" s="2" t="b">
        <v>0</v>
      </c>
      <c r="D2149" s="2"/>
      <c r="E2149" s="2"/>
      <c r="F2149" s="2"/>
      <c r="G2149" s="2"/>
      <c r="H2149" s="2"/>
      <c r="I2149" s="5"/>
    </row>
    <row r="2150" spans="1:9" ht="17.399999999999999" x14ac:dyDescent="0.25">
      <c r="A2150" s="16"/>
      <c r="B2150" s="17"/>
      <c r="C2150" s="2" t="b">
        <v>0</v>
      </c>
      <c r="D2150" s="2"/>
      <c r="E2150" s="2"/>
      <c r="F2150" s="2"/>
      <c r="G2150" s="2"/>
      <c r="H2150" s="2"/>
      <c r="I2150" s="5"/>
    </row>
    <row r="2151" spans="1:9" ht="17.399999999999999" x14ac:dyDescent="0.25">
      <c r="A2151" s="16"/>
      <c r="B2151" s="17"/>
      <c r="C2151" s="2" t="b">
        <v>0</v>
      </c>
      <c r="D2151" s="2"/>
      <c r="E2151" s="2"/>
      <c r="F2151" s="2"/>
      <c r="G2151" s="2"/>
      <c r="H2151" s="2"/>
      <c r="I2151" s="5"/>
    </row>
    <row r="2152" spans="1:9" ht="17.399999999999999" x14ac:dyDescent="0.25">
      <c r="A2152" s="16"/>
      <c r="B2152" s="17"/>
      <c r="C2152" s="2" t="b">
        <v>0</v>
      </c>
      <c r="D2152" s="2"/>
      <c r="E2152" s="2"/>
      <c r="F2152" s="2"/>
      <c r="G2152" s="2"/>
      <c r="H2152" s="2"/>
      <c r="I2152" s="5"/>
    </row>
    <row r="2153" spans="1:9" ht="17.399999999999999" x14ac:dyDescent="0.25">
      <c r="A2153" s="16"/>
      <c r="B2153" s="17"/>
      <c r="C2153" s="2" t="b">
        <v>0</v>
      </c>
      <c r="D2153" s="2"/>
      <c r="E2153" s="2"/>
      <c r="F2153" s="2"/>
      <c r="G2153" s="2"/>
      <c r="H2153" s="2"/>
      <c r="I2153" s="5"/>
    </row>
    <row r="2154" spans="1:9" ht="17.399999999999999" x14ac:dyDescent="0.25">
      <c r="A2154" s="16"/>
      <c r="B2154" s="17"/>
      <c r="C2154" s="2" t="b">
        <v>0</v>
      </c>
      <c r="D2154" s="2"/>
      <c r="E2154" s="2"/>
      <c r="F2154" s="2"/>
      <c r="G2154" s="2"/>
      <c r="H2154" s="2"/>
      <c r="I2154" s="5"/>
    </row>
    <row r="2155" spans="1:9" ht="17.399999999999999" x14ac:dyDescent="0.25">
      <c r="A2155" s="16"/>
      <c r="B2155" s="17"/>
      <c r="C2155" s="2" t="b">
        <v>0</v>
      </c>
      <c r="D2155" s="2"/>
      <c r="E2155" s="2"/>
      <c r="F2155" s="2"/>
      <c r="G2155" s="2"/>
      <c r="H2155" s="2"/>
      <c r="I2155" s="5"/>
    </row>
    <row r="2156" spans="1:9" ht="17.399999999999999" x14ac:dyDescent="0.25">
      <c r="A2156" s="16"/>
      <c r="B2156" s="17"/>
      <c r="C2156" s="2" t="b">
        <v>0</v>
      </c>
      <c r="D2156" s="2"/>
      <c r="E2156" s="2"/>
      <c r="F2156" s="2"/>
      <c r="G2156" s="2"/>
      <c r="H2156" s="2"/>
      <c r="I2156" s="5"/>
    </row>
    <row r="2157" spans="1:9" ht="17.399999999999999" x14ac:dyDescent="0.25">
      <c r="A2157" s="16"/>
      <c r="B2157" s="17"/>
      <c r="C2157" s="2" t="b">
        <v>0</v>
      </c>
      <c r="D2157" s="2"/>
      <c r="E2157" s="2"/>
      <c r="F2157" s="2"/>
      <c r="G2157" s="2"/>
      <c r="H2157" s="2"/>
      <c r="I2157" s="5"/>
    </row>
    <row r="2158" spans="1:9" ht="17.399999999999999" x14ac:dyDescent="0.25">
      <c r="A2158" s="16"/>
      <c r="B2158" s="17"/>
      <c r="C2158" s="2" t="b">
        <v>0</v>
      </c>
      <c r="D2158" s="2"/>
      <c r="E2158" s="2"/>
      <c r="F2158" s="2"/>
      <c r="G2158" s="2"/>
      <c r="H2158" s="2"/>
      <c r="I2158" s="5"/>
    </row>
    <row r="2159" spans="1:9" ht="17.399999999999999" x14ac:dyDescent="0.25">
      <c r="A2159" s="16"/>
      <c r="B2159" s="17"/>
      <c r="C2159" s="2" t="b">
        <v>0</v>
      </c>
      <c r="D2159" s="2"/>
      <c r="E2159" s="2"/>
      <c r="F2159" s="2"/>
      <c r="G2159" s="2"/>
      <c r="H2159" s="2"/>
      <c r="I2159" s="5"/>
    </row>
    <row r="2160" spans="1:9" ht="17.399999999999999" x14ac:dyDescent="0.25">
      <c r="A2160" s="16"/>
      <c r="B2160" s="17"/>
      <c r="C2160" s="2" t="b">
        <v>0</v>
      </c>
      <c r="D2160" s="2"/>
      <c r="E2160" s="2"/>
      <c r="F2160" s="2"/>
      <c r="G2160" s="2"/>
      <c r="H2160" s="2"/>
      <c r="I2160" s="5"/>
    </row>
    <row r="2161" spans="1:9" ht="17.399999999999999" x14ac:dyDescent="0.25">
      <c r="A2161" s="16"/>
      <c r="B2161" s="17"/>
      <c r="C2161" s="2" t="b">
        <v>0</v>
      </c>
      <c r="D2161" s="2"/>
      <c r="E2161" s="2"/>
      <c r="F2161" s="2"/>
      <c r="G2161" s="2"/>
      <c r="H2161" s="2"/>
      <c r="I2161" s="5"/>
    </row>
    <row r="2162" spans="1:9" ht="17.399999999999999" x14ac:dyDescent="0.25">
      <c r="A2162" s="16"/>
      <c r="B2162" s="17"/>
      <c r="C2162" s="2" t="b">
        <v>0</v>
      </c>
      <c r="D2162" s="2"/>
      <c r="E2162" s="2"/>
      <c r="F2162" s="2"/>
      <c r="G2162" s="2"/>
      <c r="H2162" s="2"/>
      <c r="I2162" s="5"/>
    </row>
    <row r="2163" spans="1:9" ht="17.399999999999999" x14ac:dyDescent="0.25">
      <c r="A2163" s="16"/>
      <c r="B2163" s="17"/>
      <c r="C2163" s="2" t="b">
        <v>0</v>
      </c>
      <c r="D2163" s="2"/>
      <c r="E2163" s="2"/>
      <c r="F2163" s="2"/>
      <c r="G2163" s="2"/>
      <c r="H2163" s="2"/>
      <c r="I2163" s="5"/>
    </row>
    <row r="2164" spans="1:9" ht="17.399999999999999" x14ac:dyDescent="0.25">
      <c r="A2164" s="16"/>
      <c r="B2164" s="17"/>
      <c r="C2164" s="2" t="b">
        <v>0</v>
      </c>
      <c r="D2164" s="2"/>
      <c r="E2164" s="2"/>
      <c r="F2164" s="2"/>
      <c r="G2164" s="2"/>
      <c r="H2164" s="2"/>
      <c r="I2164" s="5"/>
    </row>
    <row r="2165" spans="1:9" ht="17.399999999999999" x14ac:dyDescent="0.25">
      <c r="A2165" s="16"/>
      <c r="B2165" s="17"/>
      <c r="C2165" s="2" t="b">
        <v>0</v>
      </c>
      <c r="D2165" s="2"/>
      <c r="E2165" s="2"/>
      <c r="F2165" s="2"/>
      <c r="G2165" s="2"/>
      <c r="H2165" s="2"/>
      <c r="I2165" s="5"/>
    </row>
    <row r="2166" spans="1:9" ht="17.399999999999999" x14ac:dyDescent="0.25">
      <c r="A2166" s="16"/>
      <c r="B2166" s="17"/>
      <c r="C2166" s="2" t="b">
        <v>0</v>
      </c>
      <c r="D2166" s="2"/>
      <c r="E2166" s="2"/>
      <c r="F2166" s="2"/>
      <c r="G2166" s="2"/>
      <c r="H2166" s="2"/>
      <c r="I2166" s="5"/>
    </row>
    <row r="2167" spans="1:9" ht="17.399999999999999" x14ac:dyDescent="0.25">
      <c r="A2167" s="16"/>
      <c r="B2167" s="17"/>
      <c r="C2167" s="2" t="b">
        <v>0</v>
      </c>
      <c r="D2167" s="2"/>
      <c r="E2167" s="2"/>
      <c r="F2167" s="2"/>
      <c r="G2167" s="2"/>
      <c r="H2167" s="2"/>
      <c r="I2167" s="5"/>
    </row>
    <row r="2168" spans="1:9" ht="17.399999999999999" x14ac:dyDescent="0.25">
      <c r="A2168" s="16"/>
      <c r="B2168" s="17"/>
      <c r="C2168" s="2" t="b">
        <v>0</v>
      </c>
      <c r="D2168" s="2"/>
      <c r="E2168" s="2"/>
      <c r="F2168" s="2"/>
      <c r="G2168" s="2"/>
      <c r="H2168" s="2"/>
      <c r="I2168" s="5"/>
    </row>
    <row r="2169" spans="1:9" ht="17.399999999999999" x14ac:dyDescent="0.25">
      <c r="A2169" s="16"/>
      <c r="B2169" s="17"/>
      <c r="C2169" s="2" t="b">
        <v>0</v>
      </c>
      <c r="D2169" s="2"/>
      <c r="E2169" s="2"/>
      <c r="F2169" s="2"/>
      <c r="G2169" s="2"/>
      <c r="H2169" s="2"/>
      <c r="I2169" s="5"/>
    </row>
    <row r="2170" spans="1:9" ht="17.399999999999999" x14ac:dyDescent="0.25">
      <c r="A2170" s="16"/>
      <c r="B2170" s="17"/>
      <c r="C2170" s="2" t="b">
        <v>0</v>
      </c>
      <c r="D2170" s="2"/>
      <c r="E2170" s="2"/>
      <c r="F2170" s="2"/>
      <c r="G2170" s="2"/>
      <c r="H2170" s="2"/>
      <c r="I2170" s="5"/>
    </row>
    <row r="2171" spans="1:9" ht="17.399999999999999" x14ac:dyDescent="0.25">
      <c r="A2171" s="16"/>
      <c r="B2171" s="17"/>
      <c r="C2171" s="2" t="b">
        <v>0</v>
      </c>
      <c r="D2171" s="2"/>
      <c r="E2171" s="2"/>
      <c r="F2171" s="2"/>
      <c r="G2171" s="2"/>
      <c r="H2171" s="2"/>
      <c r="I2171" s="5"/>
    </row>
    <row r="2172" spans="1:9" ht="17.399999999999999" x14ac:dyDescent="0.25">
      <c r="A2172" s="16"/>
      <c r="B2172" s="17"/>
      <c r="C2172" s="2" t="b">
        <v>0</v>
      </c>
      <c r="D2172" s="2"/>
      <c r="E2172" s="2"/>
      <c r="F2172" s="2"/>
      <c r="G2172" s="2"/>
      <c r="H2172" s="2"/>
      <c r="I2172" s="5"/>
    </row>
    <row r="2173" spans="1:9" ht="17.399999999999999" x14ac:dyDescent="0.25">
      <c r="A2173" s="16"/>
      <c r="B2173" s="17"/>
      <c r="C2173" s="2" t="b">
        <v>0</v>
      </c>
      <c r="D2173" s="2"/>
      <c r="E2173" s="2"/>
      <c r="F2173" s="2"/>
      <c r="G2173" s="2"/>
      <c r="H2173" s="2"/>
      <c r="I2173" s="5"/>
    </row>
    <row r="2174" spans="1:9" ht="17.399999999999999" x14ac:dyDescent="0.25">
      <c r="A2174" s="16"/>
      <c r="B2174" s="17"/>
      <c r="C2174" s="2" t="b">
        <v>0</v>
      </c>
      <c r="D2174" s="2"/>
      <c r="E2174" s="2"/>
      <c r="F2174" s="2"/>
      <c r="G2174" s="2"/>
      <c r="H2174" s="2"/>
      <c r="I2174" s="5"/>
    </row>
    <row r="2175" spans="1:9" ht="17.399999999999999" x14ac:dyDescent="0.25">
      <c r="A2175" s="16"/>
      <c r="B2175" s="17"/>
      <c r="C2175" s="2" t="b">
        <v>0</v>
      </c>
      <c r="D2175" s="2"/>
      <c r="E2175" s="2"/>
      <c r="F2175" s="2"/>
      <c r="G2175" s="2"/>
      <c r="H2175" s="2"/>
      <c r="I2175" s="5"/>
    </row>
    <row r="2176" spans="1:9" ht="17.399999999999999" x14ac:dyDescent="0.25">
      <c r="A2176" s="16"/>
      <c r="B2176" s="17"/>
      <c r="C2176" s="2" t="b">
        <v>0</v>
      </c>
      <c r="D2176" s="2"/>
      <c r="E2176" s="2"/>
      <c r="F2176" s="2"/>
      <c r="G2176" s="2"/>
      <c r="H2176" s="2"/>
      <c r="I2176" s="5"/>
    </row>
    <row r="2177" spans="1:9" ht="17.399999999999999" x14ac:dyDescent="0.25">
      <c r="A2177" s="16"/>
      <c r="B2177" s="17"/>
      <c r="C2177" s="2" t="b">
        <v>0</v>
      </c>
      <c r="D2177" s="2"/>
      <c r="E2177" s="2"/>
      <c r="F2177" s="2"/>
      <c r="G2177" s="2"/>
      <c r="H2177" s="2"/>
      <c r="I2177" s="5"/>
    </row>
    <row r="2178" spans="1:9" ht="17.399999999999999" x14ac:dyDescent="0.25">
      <c r="A2178" s="16"/>
      <c r="B2178" s="17"/>
      <c r="C2178" s="2" t="b">
        <v>0</v>
      </c>
      <c r="D2178" s="2"/>
      <c r="E2178" s="2"/>
      <c r="F2178" s="2"/>
      <c r="G2178" s="2"/>
      <c r="H2178" s="2"/>
      <c r="I2178" s="5"/>
    </row>
    <row r="2179" spans="1:9" ht="17.399999999999999" x14ac:dyDescent="0.25">
      <c r="A2179" s="16"/>
      <c r="B2179" s="17"/>
      <c r="C2179" s="2" t="b">
        <v>0</v>
      </c>
      <c r="D2179" s="2"/>
      <c r="E2179" s="2"/>
      <c r="F2179" s="2"/>
      <c r="G2179" s="2"/>
      <c r="H2179" s="2"/>
      <c r="I2179" s="5"/>
    </row>
    <row r="2180" spans="1:9" ht="17.399999999999999" x14ac:dyDescent="0.25">
      <c r="A2180" s="16"/>
      <c r="B2180" s="17"/>
      <c r="C2180" s="2" t="b">
        <v>0</v>
      </c>
      <c r="D2180" s="2"/>
      <c r="E2180" s="2"/>
      <c r="F2180" s="2"/>
      <c r="G2180" s="2"/>
      <c r="H2180" s="2"/>
      <c r="I2180" s="5"/>
    </row>
    <row r="2181" spans="1:9" ht="17.399999999999999" x14ac:dyDescent="0.25">
      <c r="A2181" s="16"/>
      <c r="B2181" s="17"/>
      <c r="C2181" s="2" t="b">
        <v>0</v>
      </c>
      <c r="D2181" s="2"/>
      <c r="E2181" s="2"/>
      <c r="F2181" s="2"/>
      <c r="G2181" s="2"/>
      <c r="H2181" s="2"/>
      <c r="I2181" s="5"/>
    </row>
    <row r="2182" spans="1:9" ht="17.399999999999999" x14ac:dyDescent="0.25">
      <c r="A2182" s="16"/>
      <c r="B2182" s="17"/>
      <c r="C2182" s="2" t="b">
        <v>0</v>
      </c>
      <c r="D2182" s="2"/>
      <c r="E2182" s="2"/>
      <c r="F2182" s="2"/>
      <c r="G2182" s="2"/>
      <c r="H2182" s="2"/>
      <c r="I2182" s="5"/>
    </row>
    <row r="2183" spans="1:9" ht="17.399999999999999" x14ac:dyDescent="0.25">
      <c r="A2183" s="16"/>
      <c r="B2183" s="17"/>
      <c r="C2183" s="2" t="b">
        <v>0</v>
      </c>
      <c r="D2183" s="2"/>
      <c r="E2183" s="2"/>
      <c r="F2183" s="2"/>
      <c r="G2183" s="2"/>
      <c r="H2183" s="2"/>
      <c r="I2183" s="5"/>
    </row>
    <row r="2184" spans="1:9" ht="17.399999999999999" x14ac:dyDescent="0.25">
      <c r="A2184" s="16"/>
      <c r="B2184" s="17"/>
      <c r="C2184" s="2" t="b">
        <v>0</v>
      </c>
      <c r="D2184" s="2"/>
      <c r="E2184" s="2"/>
      <c r="F2184" s="2"/>
      <c r="G2184" s="2"/>
      <c r="H2184" s="2"/>
      <c r="I2184" s="5"/>
    </row>
    <row r="2185" spans="1:9" ht="17.399999999999999" x14ac:dyDescent="0.25">
      <c r="A2185" s="16"/>
      <c r="B2185" s="17"/>
      <c r="C2185" s="2" t="b">
        <v>0</v>
      </c>
      <c r="D2185" s="2"/>
      <c r="E2185" s="2"/>
      <c r="F2185" s="2"/>
      <c r="G2185" s="2"/>
      <c r="H2185" s="2"/>
      <c r="I2185" s="5"/>
    </row>
    <row r="2186" spans="1:9" ht="17.399999999999999" x14ac:dyDescent="0.25">
      <c r="A2186" s="16"/>
      <c r="B2186" s="17"/>
      <c r="C2186" s="2" t="b">
        <v>0</v>
      </c>
      <c r="D2186" s="2"/>
      <c r="E2186" s="2"/>
      <c r="F2186" s="2"/>
      <c r="G2186" s="2"/>
      <c r="H2186" s="2"/>
      <c r="I2186" s="5"/>
    </row>
    <row r="2187" spans="1:9" ht="17.399999999999999" x14ac:dyDescent="0.25">
      <c r="A2187" s="16"/>
      <c r="B2187" s="17"/>
      <c r="C2187" s="2" t="b">
        <v>0</v>
      </c>
      <c r="D2187" s="2"/>
      <c r="E2187" s="2"/>
      <c r="F2187" s="2"/>
      <c r="G2187" s="2"/>
      <c r="H2187" s="2"/>
      <c r="I2187" s="5"/>
    </row>
    <row r="2188" spans="1:9" ht="17.399999999999999" x14ac:dyDescent="0.25">
      <c r="A2188" s="16"/>
      <c r="B2188" s="17"/>
      <c r="C2188" s="2" t="b">
        <v>0</v>
      </c>
      <c r="D2188" s="2"/>
      <c r="E2188" s="2"/>
      <c r="F2188" s="2"/>
      <c r="G2188" s="2"/>
      <c r="H2188" s="2"/>
      <c r="I2188" s="5"/>
    </row>
    <row r="2189" spans="1:9" ht="17.399999999999999" x14ac:dyDescent="0.25">
      <c r="A2189" s="16"/>
      <c r="B2189" s="17"/>
      <c r="C2189" s="2" t="b">
        <v>0</v>
      </c>
      <c r="D2189" s="2"/>
      <c r="E2189" s="2"/>
      <c r="F2189" s="2"/>
      <c r="G2189" s="2"/>
      <c r="H2189" s="2"/>
      <c r="I2189" s="5"/>
    </row>
    <row r="2190" spans="1:9" ht="17.399999999999999" x14ac:dyDescent="0.25">
      <c r="A2190" s="16"/>
      <c r="B2190" s="17"/>
      <c r="C2190" s="2" t="b">
        <v>0</v>
      </c>
      <c r="D2190" s="2"/>
      <c r="E2190" s="2"/>
      <c r="F2190" s="2"/>
      <c r="G2190" s="2"/>
      <c r="H2190" s="2"/>
      <c r="I2190" s="5"/>
    </row>
    <row r="2191" spans="1:9" ht="17.399999999999999" x14ac:dyDescent="0.25">
      <c r="A2191" s="16"/>
      <c r="B2191" s="17"/>
      <c r="C2191" s="2" t="b">
        <v>0</v>
      </c>
      <c r="D2191" s="2"/>
      <c r="E2191" s="2"/>
      <c r="F2191" s="2"/>
      <c r="G2191" s="2"/>
      <c r="H2191" s="2"/>
      <c r="I2191" s="5"/>
    </row>
    <row r="2192" spans="1:9" ht="17.399999999999999" x14ac:dyDescent="0.25">
      <c r="A2192" s="16"/>
      <c r="B2192" s="17"/>
      <c r="C2192" s="2" t="b">
        <v>0</v>
      </c>
      <c r="D2192" s="2"/>
      <c r="E2192" s="2"/>
      <c r="F2192" s="2"/>
      <c r="G2192" s="2"/>
      <c r="H2192" s="2"/>
      <c r="I2192" s="5"/>
    </row>
    <row r="2193" spans="1:9" ht="17.399999999999999" x14ac:dyDescent="0.25">
      <c r="A2193" s="16"/>
      <c r="B2193" s="17"/>
      <c r="C2193" s="2" t="b">
        <v>0</v>
      </c>
      <c r="D2193" s="2"/>
      <c r="E2193" s="2"/>
      <c r="F2193" s="2"/>
      <c r="G2193" s="2"/>
      <c r="H2193" s="2"/>
      <c r="I2193" s="5"/>
    </row>
    <row r="2194" spans="1:9" ht="17.399999999999999" x14ac:dyDescent="0.25">
      <c r="A2194" s="16"/>
      <c r="B2194" s="17"/>
      <c r="C2194" s="2" t="b">
        <v>0</v>
      </c>
      <c r="D2194" s="2"/>
      <c r="E2194" s="2"/>
      <c r="F2194" s="2"/>
      <c r="G2194" s="2"/>
      <c r="H2194" s="2"/>
      <c r="I2194" s="5"/>
    </row>
    <row r="2195" spans="1:9" ht="17.399999999999999" x14ac:dyDescent="0.25">
      <c r="A2195" s="16"/>
      <c r="B2195" s="17"/>
      <c r="C2195" s="2" t="b">
        <v>0</v>
      </c>
      <c r="D2195" s="2"/>
      <c r="E2195" s="2"/>
      <c r="F2195" s="2"/>
      <c r="G2195" s="2"/>
      <c r="H2195" s="2"/>
      <c r="I2195" s="5"/>
    </row>
    <row r="2196" spans="1:9" ht="17.399999999999999" x14ac:dyDescent="0.25">
      <c r="A2196" s="16"/>
      <c r="B2196" s="17"/>
      <c r="C2196" s="2" t="b">
        <v>0</v>
      </c>
      <c r="D2196" s="2"/>
      <c r="E2196" s="2"/>
      <c r="F2196" s="2"/>
      <c r="G2196" s="2"/>
      <c r="H2196" s="2"/>
      <c r="I2196" s="5"/>
    </row>
    <row r="2197" spans="1:9" ht="17.399999999999999" x14ac:dyDescent="0.25">
      <c r="A2197" s="16"/>
      <c r="B2197" s="17"/>
      <c r="C2197" s="2" t="b">
        <v>0</v>
      </c>
      <c r="D2197" s="2"/>
      <c r="E2197" s="2"/>
      <c r="F2197" s="2"/>
      <c r="G2197" s="2"/>
      <c r="H2197" s="2"/>
      <c r="I2197" s="5"/>
    </row>
    <row r="2198" spans="1:9" ht="17.399999999999999" x14ac:dyDescent="0.25">
      <c r="A2198" s="16"/>
      <c r="B2198" s="17"/>
      <c r="C2198" s="2" t="b">
        <v>0</v>
      </c>
      <c r="D2198" s="2"/>
      <c r="E2198" s="2"/>
      <c r="F2198" s="2"/>
      <c r="G2198" s="2"/>
      <c r="H2198" s="2"/>
      <c r="I2198" s="5"/>
    </row>
    <row r="2199" spans="1:9" ht="17.399999999999999" x14ac:dyDescent="0.25">
      <c r="A2199" s="16"/>
      <c r="B2199" s="17"/>
      <c r="C2199" s="2" t="b">
        <v>0</v>
      </c>
      <c r="D2199" s="2"/>
      <c r="E2199" s="2"/>
      <c r="F2199" s="2"/>
      <c r="G2199" s="2"/>
      <c r="H2199" s="2"/>
      <c r="I2199" s="5"/>
    </row>
    <row r="2200" spans="1:9" ht="17.399999999999999" x14ac:dyDescent="0.25">
      <c r="A2200" s="16"/>
      <c r="B2200" s="17"/>
      <c r="C2200" s="2" t="b">
        <v>0</v>
      </c>
      <c r="D2200" s="2"/>
      <c r="E2200" s="2"/>
      <c r="F2200" s="2"/>
      <c r="G2200" s="2"/>
      <c r="H2200" s="2"/>
      <c r="I2200" s="5"/>
    </row>
    <row r="2201" spans="1:9" ht="17.399999999999999" x14ac:dyDescent="0.25">
      <c r="A2201" s="16"/>
      <c r="B2201" s="17"/>
      <c r="C2201" s="2" t="b">
        <v>0</v>
      </c>
      <c r="D2201" s="2"/>
      <c r="E2201" s="2"/>
      <c r="F2201" s="2"/>
      <c r="G2201" s="2"/>
      <c r="H2201" s="2"/>
      <c r="I2201" s="5"/>
    </row>
    <row r="2202" spans="1:9" ht="17.399999999999999" x14ac:dyDescent="0.25">
      <c r="A2202" s="16"/>
      <c r="B2202" s="17"/>
      <c r="C2202" s="2" t="b">
        <v>0</v>
      </c>
      <c r="D2202" s="2"/>
      <c r="E2202" s="2"/>
      <c r="F2202" s="2"/>
      <c r="G2202" s="2"/>
      <c r="H2202" s="2"/>
      <c r="I2202" s="5"/>
    </row>
    <row r="2203" spans="1:9" ht="17.399999999999999" x14ac:dyDescent="0.25">
      <c r="A2203" s="16"/>
      <c r="B2203" s="17"/>
      <c r="C2203" s="2" t="b">
        <v>0</v>
      </c>
      <c r="D2203" s="2"/>
      <c r="E2203" s="2"/>
      <c r="F2203" s="2"/>
      <c r="G2203" s="2"/>
      <c r="H2203" s="2"/>
      <c r="I2203" s="5"/>
    </row>
    <row r="2204" spans="1:9" ht="17.399999999999999" x14ac:dyDescent="0.25">
      <c r="A2204" s="16"/>
      <c r="B2204" s="17"/>
      <c r="C2204" s="2" t="b">
        <v>0</v>
      </c>
      <c r="D2204" s="2"/>
      <c r="E2204" s="2"/>
      <c r="F2204" s="2"/>
      <c r="G2204" s="2"/>
      <c r="H2204" s="2"/>
      <c r="I2204" s="5"/>
    </row>
    <row r="2205" spans="1:9" ht="17.399999999999999" x14ac:dyDescent="0.25">
      <c r="A2205" s="16"/>
      <c r="B2205" s="17"/>
      <c r="C2205" s="2" t="b">
        <v>0</v>
      </c>
      <c r="D2205" s="2"/>
      <c r="E2205" s="2"/>
      <c r="F2205" s="2"/>
      <c r="G2205" s="2"/>
      <c r="H2205" s="2"/>
      <c r="I2205" s="5"/>
    </row>
    <row r="2206" spans="1:9" ht="17.399999999999999" x14ac:dyDescent="0.25">
      <c r="A2206" s="16"/>
      <c r="B2206" s="17"/>
      <c r="C2206" s="2" t="b">
        <v>0</v>
      </c>
      <c r="D2206" s="2"/>
      <c r="E2206" s="2"/>
      <c r="F2206" s="2"/>
      <c r="G2206" s="2"/>
      <c r="H2206" s="2"/>
      <c r="I2206" s="5"/>
    </row>
    <row r="2207" spans="1:9" ht="17.399999999999999" x14ac:dyDescent="0.25">
      <c r="A2207" s="16"/>
      <c r="B2207" s="17"/>
      <c r="C2207" s="2" t="b">
        <v>0</v>
      </c>
      <c r="D2207" s="2"/>
      <c r="E2207" s="2"/>
      <c r="F2207" s="2"/>
      <c r="G2207" s="2"/>
      <c r="H2207" s="2"/>
      <c r="I2207" s="5"/>
    </row>
    <row r="2208" spans="1:9" ht="17.399999999999999" x14ac:dyDescent="0.25">
      <c r="A2208" s="16"/>
      <c r="B2208" s="17"/>
      <c r="C2208" s="2" t="b">
        <v>0</v>
      </c>
      <c r="D2208" s="2"/>
      <c r="E2208" s="2"/>
      <c r="F2208" s="2"/>
      <c r="G2208" s="2"/>
      <c r="H2208" s="2"/>
      <c r="I2208" s="5"/>
    </row>
    <row r="2209" spans="1:9" ht="17.399999999999999" x14ac:dyDescent="0.25">
      <c r="A2209" s="16"/>
      <c r="B2209" s="17"/>
      <c r="C2209" s="2" t="b">
        <v>0</v>
      </c>
      <c r="D2209" s="2"/>
      <c r="E2209" s="2"/>
      <c r="F2209" s="2"/>
      <c r="G2209" s="2"/>
      <c r="H2209" s="2"/>
      <c r="I2209" s="5"/>
    </row>
    <row r="2210" spans="1:9" ht="17.399999999999999" x14ac:dyDescent="0.25">
      <c r="A2210" s="16"/>
      <c r="B2210" s="17"/>
      <c r="C2210" s="2" t="b">
        <v>0</v>
      </c>
      <c r="D2210" s="2"/>
      <c r="E2210" s="2"/>
      <c r="F2210" s="2"/>
      <c r="G2210" s="2"/>
      <c r="H2210" s="2"/>
      <c r="I2210" s="5"/>
    </row>
    <row r="2211" spans="1:9" ht="17.399999999999999" x14ac:dyDescent="0.25">
      <c r="A2211" s="16"/>
      <c r="B2211" s="17"/>
      <c r="C2211" s="2" t="b">
        <v>0</v>
      </c>
      <c r="D2211" s="2"/>
      <c r="E2211" s="2"/>
      <c r="F2211" s="2"/>
      <c r="G2211" s="2"/>
      <c r="H2211" s="2"/>
      <c r="I2211" s="5"/>
    </row>
    <row r="2212" spans="1:9" ht="17.399999999999999" x14ac:dyDescent="0.25">
      <c r="A2212" s="16"/>
      <c r="B2212" s="17"/>
      <c r="C2212" s="2" t="b">
        <v>0</v>
      </c>
      <c r="D2212" s="2"/>
      <c r="E2212" s="2"/>
      <c r="F2212" s="2"/>
      <c r="G2212" s="2"/>
      <c r="H2212" s="2"/>
      <c r="I2212" s="5"/>
    </row>
    <row r="2213" spans="1:9" ht="17.399999999999999" x14ac:dyDescent="0.25">
      <c r="A2213" s="16"/>
      <c r="B2213" s="17"/>
      <c r="C2213" s="2" t="b">
        <v>0</v>
      </c>
      <c r="D2213" s="2"/>
      <c r="E2213" s="2"/>
      <c r="F2213" s="2"/>
      <c r="G2213" s="2"/>
      <c r="H2213" s="2"/>
      <c r="I2213" s="5"/>
    </row>
    <row r="2214" spans="1:9" ht="17.399999999999999" x14ac:dyDescent="0.25">
      <c r="A2214" s="16"/>
      <c r="B2214" s="17"/>
      <c r="C2214" s="2" t="b">
        <v>0</v>
      </c>
      <c r="D2214" s="2"/>
      <c r="E2214" s="2"/>
      <c r="F2214" s="2"/>
      <c r="G2214" s="2"/>
      <c r="H2214" s="2"/>
      <c r="I2214" s="5"/>
    </row>
    <row r="2215" spans="1:9" ht="17.399999999999999" x14ac:dyDescent="0.25">
      <c r="A2215" s="16"/>
      <c r="B2215" s="17"/>
      <c r="C2215" s="2" t="b">
        <v>0</v>
      </c>
      <c r="D2215" s="2"/>
      <c r="E2215" s="2"/>
      <c r="F2215" s="2"/>
      <c r="G2215" s="2"/>
      <c r="H2215" s="2"/>
      <c r="I2215" s="5"/>
    </row>
    <row r="2216" spans="1:9" ht="17.399999999999999" x14ac:dyDescent="0.25">
      <c r="A2216" s="16"/>
      <c r="B2216" s="17"/>
      <c r="C2216" s="2" t="b">
        <v>0</v>
      </c>
      <c r="D2216" s="2"/>
      <c r="E2216" s="2"/>
      <c r="F2216" s="2"/>
      <c r="G2216" s="2"/>
      <c r="H2216" s="2"/>
      <c r="I2216" s="5"/>
    </row>
    <row r="2217" spans="1:9" ht="17.399999999999999" x14ac:dyDescent="0.25">
      <c r="A2217" s="16"/>
      <c r="B2217" s="17"/>
      <c r="C2217" s="2" t="b">
        <v>0</v>
      </c>
      <c r="D2217" s="2"/>
      <c r="E2217" s="2"/>
      <c r="F2217" s="2"/>
      <c r="G2217" s="2"/>
      <c r="H2217" s="2"/>
      <c r="I2217" s="5"/>
    </row>
    <row r="2218" spans="1:9" ht="17.399999999999999" x14ac:dyDescent="0.25">
      <c r="A2218" s="16"/>
      <c r="B2218" s="17"/>
      <c r="C2218" s="2" t="b">
        <v>0</v>
      </c>
      <c r="D2218" s="2"/>
      <c r="E2218" s="2"/>
      <c r="F2218" s="2"/>
      <c r="G2218" s="2"/>
      <c r="H2218" s="2"/>
      <c r="I2218" s="5"/>
    </row>
    <row r="2219" spans="1:9" ht="17.399999999999999" x14ac:dyDescent="0.25">
      <c r="A2219" s="16"/>
      <c r="B2219" s="17"/>
      <c r="C2219" s="2" t="b">
        <v>0</v>
      </c>
      <c r="D2219" s="2"/>
      <c r="E2219" s="2"/>
      <c r="F2219" s="2"/>
      <c r="G2219" s="2"/>
      <c r="H2219" s="2"/>
      <c r="I2219" s="5"/>
    </row>
    <row r="2220" spans="1:9" ht="17.399999999999999" x14ac:dyDescent="0.25">
      <c r="A2220" s="16"/>
      <c r="B2220" s="17"/>
      <c r="C2220" s="2" t="b">
        <v>0</v>
      </c>
      <c r="D2220" s="2"/>
      <c r="E2220" s="2"/>
      <c r="F2220" s="2"/>
      <c r="G2220" s="2"/>
      <c r="H2220" s="2"/>
      <c r="I2220" s="5"/>
    </row>
    <row r="2221" spans="1:9" ht="17.399999999999999" x14ac:dyDescent="0.25">
      <c r="A2221" s="16"/>
      <c r="B2221" s="17"/>
      <c r="C2221" s="2" t="b">
        <v>0</v>
      </c>
      <c r="D2221" s="2"/>
      <c r="E2221" s="2"/>
      <c r="F2221" s="2"/>
      <c r="G2221" s="2"/>
      <c r="H2221" s="2"/>
      <c r="I2221" s="5"/>
    </row>
    <row r="2222" spans="1:9" ht="17.399999999999999" x14ac:dyDescent="0.25">
      <c r="A2222" s="16"/>
      <c r="B2222" s="17"/>
      <c r="C2222" s="2" t="b">
        <v>0</v>
      </c>
      <c r="D2222" s="2"/>
      <c r="E2222" s="2"/>
      <c r="F2222" s="2"/>
      <c r="G2222" s="2"/>
      <c r="H2222" s="2"/>
      <c r="I2222" s="5"/>
    </row>
    <row r="2223" spans="1:9" ht="17.399999999999999" x14ac:dyDescent="0.25">
      <c r="A2223" s="16"/>
      <c r="B2223" s="17"/>
      <c r="C2223" s="2" t="b">
        <v>0</v>
      </c>
      <c r="D2223" s="2"/>
      <c r="E2223" s="2"/>
      <c r="F2223" s="2"/>
      <c r="G2223" s="2"/>
      <c r="H2223" s="2"/>
      <c r="I2223" s="5"/>
    </row>
    <row r="2224" spans="1:9" ht="17.399999999999999" x14ac:dyDescent="0.25">
      <c r="A2224" s="16"/>
      <c r="B2224" s="17"/>
      <c r="C2224" s="2" t="b">
        <v>0</v>
      </c>
      <c r="D2224" s="2"/>
      <c r="E2224" s="2"/>
      <c r="F2224" s="2"/>
      <c r="G2224" s="2"/>
      <c r="H2224" s="2"/>
      <c r="I2224" s="5"/>
    </row>
    <row r="2225" spans="1:9" ht="17.399999999999999" x14ac:dyDescent="0.25">
      <c r="A2225" s="16"/>
      <c r="B2225" s="17"/>
      <c r="C2225" s="2" t="b">
        <v>0</v>
      </c>
      <c r="D2225" s="2"/>
      <c r="E2225" s="2"/>
      <c r="F2225" s="2"/>
      <c r="G2225" s="2"/>
      <c r="H2225" s="2"/>
      <c r="I2225" s="5"/>
    </row>
    <row r="2226" spans="1:9" ht="17.399999999999999" x14ac:dyDescent="0.25">
      <c r="A2226" s="16"/>
      <c r="B2226" s="17"/>
      <c r="C2226" s="2" t="b">
        <v>0</v>
      </c>
      <c r="D2226" s="2"/>
      <c r="E2226" s="2"/>
      <c r="F2226" s="2"/>
      <c r="G2226" s="2"/>
      <c r="H2226" s="2"/>
      <c r="I2226" s="5"/>
    </row>
    <row r="2227" spans="1:9" ht="17.399999999999999" x14ac:dyDescent="0.25">
      <c r="A2227" s="16"/>
      <c r="B2227" s="17"/>
      <c r="C2227" s="2" t="b">
        <v>0</v>
      </c>
      <c r="D2227" s="2"/>
      <c r="E2227" s="2"/>
      <c r="F2227" s="2"/>
      <c r="G2227" s="2"/>
      <c r="H2227" s="2"/>
      <c r="I2227" s="5"/>
    </row>
    <row r="2228" spans="1:9" ht="17.399999999999999" x14ac:dyDescent="0.25">
      <c r="A2228" s="16"/>
      <c r="B2228" s="17"/>
      <c r="C2228" s="2" t="b">
        <v>0</v>
      </c>
      <c r="D2228" s="2"/>
      <c r="E2228" s="2"/>
      <c r="F2228" s="2"/>
      <c r="G2228" s="2"/>
      <c r="H2228" s="2"/>
      <c r="I2228" s="5"/>
    </row>
    <row r="2229" spans="1:9" ht="17.399999999999999" x14ac:dyDescent="0.25">
      <c r="A2229" s="16"/>
      <c r="B2229" s="17"/>
      <c r="C2229" s="2" t="b">
        <v>0</v>
      </c>
      <c r="D2229" s="2"/>
      <c r="E2229" s="2"/>
      <c r="F2229" s="2"/>
      <c r="G2229" s="2"/>
      <c r="H2229" s="2"/>
      <c r="I2229" s="5"/>
    </row>
    <row r="2230" spans="1:9" ht="17.399999999999999" x14ac:dyDescent="0.25">
      <c r="A2230" s="16"/>
      <c r="B2230" s="17"/>
      <c r="C2230" s="2" t="b">
        <v>0</v>
      </c>
      <c r="D2230" s="2"/>
      <c r="E2230" s="2"/>
      <c r="F2230" s="2"/>
      <c r="G2230" s="2"/>
      <c r="H2230" s="2"/>
      <c r="I2230" s="5"/>
    </row>
    <row r="2231" spans="1:9" ht="17.399999999999999" x14ac:dyDescent="0.25">
      <c r="A2231" s="16"/>
      <c r="B2231" s="17"/>
      <c r="C2231" s="2" t="b">
        <v>0</v>
      </c>
      <c r="D2231" s="2"/>
      <c r="E2231" s="2"/>
      <c r="F2231" s="2"/>
      <c r="G2231" s="2"/>
      <c r="H2231" s="2"/>
      <c r="I2231" s="5"/>
    </row>
    <row r="2232" spans="1:9" ht="17.399999999999999" x14ac:dyDescent="0.25">
      <c r="A2232" s="16"/>
      <c r="B2232" s="17"/>
      <c r="C2232" s="2" t="b">
        <v>0</v>
      </c>
      <c r="D2232" s="2"/>
      <c r="E2232" s="2"/>
      <c r="F2232" s="2"/>
      <c r="G2232" s="2"/>
      <c r="H2232" s="2"/>
      <c r="I2232" s="5"/>
    </row>
    <row r="2233" spans="1:9" ht="17.399999999999999" x14ac:dyDescent="0.25">
      <c r="A2233" s="16"/>
      <c r="B2233" s="17"/>
      <c r="C2233" s="2" t="b">
        <v>0</v>
      </c>
      <c r="D2233" s="2"/>
      <c r="E2233" s="2"/>
      <c r="F2233" s="2"/>
      <c r="G2233" s="2"/>
      <c r="H2233" s="2"/>
      <c r="I2233" s="5"/>
    </row>
    <row r="2234" spans="1:9" ht="17.399999999999999" x14ac:dyDescent="0.25">
      <c r="A2234" s="16"/>
      <c r="B2234" s="17"/>
      <c r="C2234" s="2" t="b">
        <v>0</v>
      </c>
      <c r="D2234" s="2"/>
      <c r="E2234" s="2"/>
      <c r="F2234" s="2"/>
      <c r="G2234" s="2"/>
      <c r="H2234" s="2"/>
      <c r="I2234" s="5"/>
    </row>
    <row r="2235" spans="1:9" ht="17.399999999999999" x14ac:dyDescent="0.25">
      <c r="A2235" s="16"/>
      <c r="B2235" s="17"/>
      <c r="C2235" s="2" t="b">
        <v>0</v>
      </c>
      <c r="D2235" s="2"/>
      <c r="E2235" s="2"/>
      <c r="F2235" s="2"/>
      <c r="G2235" s="2"/>
      <c r="H2235" s="2"/>
      <c r="I2235" s="5"/>
    </row>
    <row r="2236" spans="1:9" ht="17.399999999999999" x14ac:dyDescent="0.25">
      <c r="A2236" s="16"/>
      <c r="B2236" s="17"/>
      <c r="C2236" s="2" t="b">
        <v>0</v>
      </c>
      <c r="D2236" s="2"/>
      <c r="E2236" s="2"/>
      <c r="F2236" s="2"/>
      <c r="G2236" s="2"/>
      <c r="H2236" s="2"/>
      <c r="I2236" s="5"/>
    </row>
    <row r="2237" spans="1:9" ht="17.399999999999999" x14ac:dyDescent="0.25">
      <c r="A2237" s="16"/>
      <c r="B2237" s="17"/>
      <c r="C2237" s="2" t="b">
        <v>0</v>
      </c>
      <c r="D2237" s="2"/>
      <c r="E2237" s="2"/>
      <c r="F2237" s="2"/>
      <c r="G2237" s="2"/>
      <c r="H2237" s="2"/>
      <c r="I2237" s="5"/>
    </row>
    <row r="2238" spans="1:9" ht="17.399999999999999" x14ac:dyDescent="0.25">
      <c r="A2238" s="16"/>
      <c r="B2238" s="17"/>
      <c r="C2238" s="2" t="b">
        <v>0</v>
      </c>
      <c r="D2238" s="2"/>
      <c r="E2238" s="2"/>
      <c r="F2238" s="2"/>
      <c r="G2238" s="2"/>
      <c r="H2238" s="2"/>
      <c r="I2238" s="5"/>
    </row>
    <row r="2239" spans="1:9" ht="17.399999999999999" x14ac:dyDescent="0.25">
      <c r="A2239" s="16"/>
      <c r="B2239" s="17"/>
      <c r="C2239" s="2" t="b">
        <v>0</v>
      </c>
      <c r="D2239" s="2"/>
      <c r="E2239" s="2"/>
      <c r="F2239" s="2"/>
      <c r="G2239" s="2"/>
      <c r="H2239" s="2"/>
      <c r="I2239" s="5"/>
    </row>
    <row r="2240" spans="1:9" ht="17.399999999999999" x14ac:dyDescent="0.25">
      <c r="A2240" s="16"/>
      <c r="B2240" s="17"/>
      <c r="C2240" s="2" t="b">
        <v>0</v>
      </c>
      <c r="D2240" s="2"/>
      <c r="E2240" s="2"/>
      <c r="F2240" s="2"/>
      <c r="G2240" s="2"/>
      <c r="H2240" s="2"/>
      <c r="I2240" s="5"/>
    </row>
    <row r="2241" spans="1:9" ht="17.399999999999999" x14ac:dyDescent="0.25">
      <c r="A2241" s="16"/>
      <c r="B2241" s="17"/>
      <c r="C2241" s="2" t="b">
        <v>0</v>
      </c>
      <c r="D2241" s="2"/>
      <c r="E2241" s="2"/>
      <c r="F2241" s="2"/>
      <c r="G2241" s="2"/>
      <c r="H2241" s="2"/>
      <c r="I2241" s="5"/>
    </row>
    <row r="2242" spans="1:9" ht="17.399999999999999" x14ac:dyDescent="0.25">
      <c r="A2242" s="16"/>
      <c r="B2242" s="17"/>
      <c r="C2242" s="2" t="b">
        <v>0</v>
      </c>
      <c r="D2242" s="2"/>
      <c r="E2242" s="2"/>
      <c r="F2242" s="2"/>
      <c r="G2242" s="2"/>
      <c r="H2242" s="2"/>
      <c r="I2242" s="5"/>
    </row>
    <row r="2243" spans="1:9" ht="17.399999999999999" x14ac:dyDescent="0.25">
      <c r="A2243" s="16"/>
      <c r="B2243" s="17"/>
      <c r="C2243" s="2" t="b">
        <v>0</v>
      </c>
      <c r="D2243" s="2"/>
      <c r="E2243" s="2"/>
      <c r="F2243" s="2"/>
      <c r="G2243" s="2"/>
      <c r="H2243" s="2"/>
      <c r="I2243" s="5"/>
    </row>
    <row r="2244" spans="1:9" ht="17.399999999999999" x14ac:dyDescent="0.25">
      <c r="A2244" s="16"/>
      <c r="B2244" s="17"/>
      <c r="C2244" s="2" t="b">
        <v>0</v>
      </c>
      <c r="D2244" s="2"/>
      <c r="E2244" s="2"/>
      <c r="F2244" s="2"/>
      <c r="G2244" s="2"/>
      <c r="H2244" s="2"/>
      <c r="I2244" s="5"/>
    </row>
    <row r="2245" spans="1:9" ht="17.399999999999999" x14ac:dyDescent="0.25">
      <c r="A2245" s="16"/>
      <c r="B2245" s="17"/>
      <c r="C2245" s="2" t="b">
        <v>0</v>
      </c>
      <c r="D2245" s="2"/>
      <c r="E2245" s="2"/>
      <c r="F2245" s="2"/>
      <c r="G2245" s="2"/>
      <c r="H2245" s="2"/>
      <c r="I2245" s="5"/>
    </row>
    <row r="2246" spans="1:9" ht="17.399999999999999" x14ac:dyDescent="0.25">
      <c r="A2246" s="16"/>
      <c r="B2246" s="17"/>
      <c r="C2246" s="2" t="b">
        <v>0</v>
      </c>
      <c r="D2246" s="2"/>
      <c r="E2246" s="2"/>
      <c r="F2246" s="2"/>
      <c r="G2246" s="2"/>
      <c r="H2246" s="2"/>
      <c r="I2246" s="5"/>
    </row>
    <row r="2247" spans="1:9" ht="17.399999999999999" x14ac:dyDescent="0.25">
      <c r="A2247" s="16"/>
      <c r="B2247" s="17"/>
      <c r="C2247" s="2" t="b">
        <v>0</v>
      </c>
      <c r="D2247" s="2"/>
      <c r="E2247" s="2"/>
      <c r="F2247" s="2"/>
      <c r="G2247" s="2"/>
      <c r="H2247" s="2"/>
      <c r="I2247" s="5"/>
    </row>
    <row r="2248" spans="1:9" ht="17.399999999999999" x14ac:dyDescent="0.25">
      <c r="A2248" s="16"/>
      <c r="B2248" s="17"/>
      <c r="C2248" s="2" t="b">
        <v>0</v>
      </c>
      <c r="D2248" s="2"/>
      <c r="E2248" s="2"/>
      <c r="F2248" s="2"/>
      <c r="G2248" s="2"/>
      <c r="H2248" s="2"/>
      <c r="I2248" s="5"/>
    </row>
    <row r="2249" spans="1:9" ht="17.399999999999999" x14ac:dyDescent="0.25">
      <c r="A2249" s="16"/>
      <c r="B2249" s="17"/>
      <c r="C2249" s="2" t="b">
        <v>0</v>
      </c>
      <c r="D2249" s="2"/>
      <c r="E2249" s="2"/>
      <c r="F2249" s="2"/>
      <c r="G2249" s="2"/>
      <c r="H2249" s="2"/>
      <c r="I2249" s="5"/>
    </row>
    <row r="2250" spans="1:9" ht="17.399999999999999" x14ac:dyDescent="0.25">
      <c r="A2250" s="16"/>
      <c r="B2250" s="17"/>
      <c r="C2250" s="2" t="b">
        <v>0</v>
      </c>
      <c r="D2250" s="2"/>
      <c r="E2250" s="2"/>
      <c r="F2250" s="2"/>
      <c r="G2250" s="2"/>
      <c r="H2250" s="2"/>
      <c r="I2250" s="5"/>
    </row>
    <row r="2251" spans="1:9" ht="17.399999999999999" x14ac:dyDescent="0.25">
      <c r="A2251" s="16"/>
      <c r="B2251" s="17"/>
      <c r="C2251" s="2" t="b">
        <v>0</v>
      </c>
      <c r="D2251" s="2"/>
      <c r="E2251" s="2"/>
      <c r="F2251" s="2"/>
      <c r="G2251" s="2"/>
      <c r="H2251" s="2"/>
      <c r="I2251" s="5"/>
    </row>
    <row r="2252" spans="1:9" ht="17.399999999999999" x14ac:dyDescent="0.25">
      <c r="A2252" s="16"/>
      <c r="B2252" s="17"/>
      <c r="C2252" s="2" t="b">
        <v>0</v>
      </c>
      <c r="D2252" s="2"/>
      <c r="E2252" s="2"/>
      <c r="F2252" s="2"/>
      <c r="G2252" s="2"/>
      <c r="H2252" s="2"/>
      <c r="I2252" s="5"/>
    </row>
    <row r="2253" spans="1:9" ht="17.399999999999999" x14ac:dyDescent="0.25">
      <c r="A2253" s="16"/>
      <c r="B2253" s="17"/>
      <c r="C2253" s="2" t="b">
        <v>0</v>
      </c>
      <c r="D2253" s="2"/>
      <c r="E2253" s="2"/>
      <c r="F2253" s="2"/>
      <c r="G2253" s="2"/>
      <c r="H2253" s="2"/>
      <c r="I2253" s="5"/>
    </row>
    <row r="2254" spans="1:9" ht="17.399999999999999" x14ac:dyDescent="0.25">
      <c r="A2254" s="16"/>
      <c r="B2254" s="17"/>
      <c r="C2254" s="2" t="b">
        <v>0</v>
      </c>
      <c r="D2254" s="2"/>
      <c r="E2254" s="2"/>
      <c r="F2254" s="2"/>
      <c r="G2254" s="2"/>
      <c r="H2254" s="2"/>
      <c r="I2254" s="5"/>
    </row>
    <row r="2255" spans="1:9" ht="17.399999999999999" x14ac:dyDescent="0.25">
      <c r="A2255" s="16"/>
      <c r="B2255" s="17"/>
      <c r="C2255" s="2" t="b">
        <v>0</v>
      </c>
      <c r="D2255" s="2"/>
      <c r="E2255" s="2"/>
      <c r="F2255" s="2"/>
      <c r="G2255" s="2"/>
      <c r="H2255" s="2"/>
      <c r="I2255" s="5"/>
    </row>
    <row r="2256" spans="1:9" ht="17.399999999999999" x14ac:dyDescent="0.25">
      <c r="A2256" s="16"/>
      <c r="B2256" s="17"/>
      <c r="C2256" s="2" t="b">
        <v>0</v>
      </c>
      <c r="D2256" s="2"/>
      <c r="E2256" s="2"/>
      <c r="F2256" s="2"/>
      <c r="G2256" s="2"/>
      <c r="H2256" s="2"/>
      <c r="I2256" s="5"/>
    </row>
    <row r="2257" spans="1:9" ht="17.399999999999999" x14ac:dyDescent="0.25">
      <c r="A2257" s="16"/>
      <c r="B2257" s="17"/>
      <c r="C2257" s="2" t="b">
        <v>0</v>
      </c>
      <c r="D2257" s="2"/>
      <c r="E2257" s="2"/>
      <c r="F2257" s="2"/>
      <c r="G2257" s="2"/>
      <c r="H2257" s="2"/>
      <c r="I2257" s="5"/>
    </row>
    <row r="2258" spans="1:9" ht="17.399999999999999" x14ac:dyDescent="0.25">
      <c r="A2258" s="16"/>
      <c r="B2258" s="17"/>
      <c r="C2258" s="2" t="b">
        <v>0</v>
      </c>
      <c r="D2258" s="2"/>
      <c r="E2258" s="2"/>
      <c r="F2258" s="2"/>
      <c r="G2258" s="2"/>
      <c r="H2258" s="2"/>
      <c r="I2258" s="5"/>
    </row>
    <row r="2259" spans="1:9" ht="17.399999999999999" x14ac:dyDescent="0.25">
      <c r="A2259" s="16"/>
      <c r="B2259" s="17"/>
      <c r="C2259" s="2" t="b">
        <v>0</v>
      </c>
      <c r="D2259" s="2"/>
      <c r="E2259" s="2"/>
      <c r="F2259" s="2"/>
      <c r="G2259" s="2"/>
      <c r="H2259" s="2"/>
      <c r="I2259" s="5"/>
    </row>
    <row r="2260" spans="1:9" ht="17.399999999999999" x14ac:dyDescent="0.25">
      <c r="A2260" s="16"/>
      <c r="B2260" s="17"/>
      <c r="C2260" s="2" t="b">
        <v>0</v>
      </c>
      <c r="D2260" s="2"/>
      <c r="E2260" s="2"/>
      <c r="F2260" s="2"/>
      <c r="G2260" s="2"/>
      <c r="H2260" s="2"/>
      <c r="I2260" s="5"/>
    </row>
    <row r="2261" spans="1:9" ht="17.399999999999999" x14ac:dyDescent="0.25">
      <c r="A2261" s="16"/>
      <c r="B2261" s="17"/>
      <c r="C2261" s="2" t="b">
        <v>0</v>
      </c>
      <c r="D2261" s="2"/>
      <c r="E2261" s="2"/>
      <c r="F2261" s="2"/>
      <c r="G2261" s="2"/>
      <c r="H2261" s="2"/>
      <c r="I2261" s="5"/>
    </row>
    <row r="2262" spans="1:9" ht="17.399999999999999" x14ac:dyDescent="0.25">
      <c r="A2262" s="16"/>
      <c r="B2262" s="17"/>
      <c r="C2262" s="2" t="b">
        <v>0</v>
      </c>
      <c r="D2262" s="2"/>
      <c r="E2262" s="2"/>
      <c r="F2262" s="2"/>
      <c r="G2262" s="2"/>
      <c r="H2262" s="2"/>
      <c r="I2262" s="5"/>
    </row>
    <row r="2263" spans="1:9" ht="17.399999999999999" x14ac:dyDescent="0.25">
      <c r="A2263" s="16"/>
      <c r="B2263" s="17"/>
      <c r="C2263" s="2" t="b">
        <v>0</v>
      </c>
      <c r="D2263" s="2"/>
      <c r="E2263" s="2"/>
      <c r="F2263" s="2"/>
      <c r="G2263" s="2"/>
      <c r="H2263" s="2"/>
      <c r="I2263" s="5"/>
    </row>
    <row r="2264" spans="1:9" ht="17.399999999999999" x14ac:dyDescent="0.25">
      <c r="A2264" s="16"/>
      <c r="B2264" s="17"/>
      <c r="C2264" s="2" t="b">
        <v>0</v>
      </c>
      <c r="D2264" s="2"/>
      <c r="E2264" s="2"/>
      <c r="F2264" s="2"/>
      <c r="G2264" s="2"/>
      <c r="H2264" s="2"/>
      <c r="I2264" s="5"/>
    </row>
    <row r="2265" spans="1:9" ht="17.399999999999999" x14ac:dyDescent="0.25">
      <c r="A2265" s="16"/>
      <c r="B2265" s="17"/>
      <c r="C2265" s="2" t="b">
        <v>0</v>
      </c>
      <c r="D2265" s="2"/>
      <c r="E2265" s="2"/>
      <c r="F2265" s="2"/>
      <c r="G2265" s="2"/>
      <c r="H2265" s="2"/>
      <c r="I2265" s="5"/>
    </row>
    <row r="2266" spans="1:9" ht="17.399999999999999" x14ac:dyDescent="0.25">
      <c r="A2266" s="16"/>
      <c r="B2266" s="17"/>
      <c r="C2266" s="2" t="b">
        <v>0</v>
      </c>
      <c r="D2266" s="2"/>
      <c r="E2266" s="2"/>
      <c r="F2266" s="2"/>
      <c r="G2266" s="2"/>
      <c r="H2266" s="2"/>
      <c r="I2266" s="5"/>
    </row>
    <row r="2267" spans="1:9" ht="17.399999999999999" x14ac:dyDescent="0.25">
      <c r="A2267" s="16"/>
      <c r="B2267" s="17"/>
      <c r="C2267" s="2" t="b">
        <v>0</v>
      </c>
      <c r="D2267" s="2"/>
      <c r="E2267" s="2"/>
      <c r="F2267" s="2"/>
      <c r="G2267" s="2"/>
      <c r="H2267" s="2"/>
      <c r="I2267" s="5"/>
    </row>
    <row r="2268" spans="1:9" ht="17.399999999999999" x14ac:dyDescent="0.25">
      <c r="A2268" s="16"/>
      <c r="B2268" s="17"/>
      <c r="C2268" s="2" t="b">
        <v>0</v>
      </c>
      <c r="D2268" s="2"/>
      <c r="E2268" s="2"/>
      <c r="F2268" s="2"/>
      <c r="G2268" s="2"/>
      <c r="H2268" s="2"/>
      <c r="I2268" s="5"/>
    </row>
    <row r="2269" spans="1:9" ht="17.399999999999999" x14ac:dyDescent="0.25">
      <c r="A2269" s="16"/>
      <c r="B2269" s="17"/>
      <c r="C2269" s="2" t="b">
        <v>0</v>
      </c>
      <c r="D2269" s="2"/>
      <c r="E2269" s="2"/>
      <c r="F2269" s="2"/>
      <c r="G2269" s="2"/>
      <c r="H2269" s="2"/>
      <c r="I2269" s="5"/>
    </row>
    <row r="2270" spans="1:9" ht="17.399999999999999" x14ac:dyDescent="0.25">
      <c r="A2270" s="16"/>
      <c r="B2270" s="17"/>
      <c r="C2270" s="2" t="b">
        <v>0</v>
      </c>
      <c r="D2270" s="2"/>
      <c r="E2270" s="2"/>
      <c r="F2270" s="2"/>
      <c r="G2270" s="2"/>
      <c r="H2270" s="2"/>
      <c r="I2270" s="5"/>
    </row>
    <row r="2271" spans="1:9" ht="17.399999999999999" x14ac:dyDescent="0.25">
      <c r="A2271" s="16"/>
      <c r="B2271" s="17"/>
      <c r="C2271" s="2" t="b">
        <v>0</v>
      </c>
      <c r="D2271" s="2"/>
      <c r="E2271" s="2"/>
      <c r="F2271" s="2"/>
      <c r="G2271" s="2"/>
      <c r="H2271" s="2"/>
      <c r="I2271" s="5"/>
    </row>
    <row r="2272" spans="1:9" ht="17.399999999999999" x14ac:dyDescent="0.25">
      <c r="A2272" s="16"/>
      <c r="B2272" s="17"/>
      <c r="C2272" s="2" t="b">
        <v>0</v>
      </c>
      <c r="D2272" s="2"/>
      <c r="E2272" s="2"/>
      <c r="F2272" s="2"/>
      <c r="G2272" s="2"/>
      <c r="H2272" s="2"/>
      <c r="I2272" s="5"/>
    </row>
    <row r="2273" spans="1:9" ht="17.399999999999999" x14ac:dyDescent="0.25">
      <c r="A2273" s="16"/>
      <c r="B2273" s="17"/>
      <c r="C2273" s="2" t="b">
        <v>0</v>
      </c>
      <c r="D2273" s="2"/>
      <c r="E2273" s="2"/>
      <c r="F2273" s="2"/>
      <c r="G2273" s="2"/>
      <c r="H2273" s="2"/>
      <c r="I2273" s="5"/>
    </row>
    <row r="2274" spans="1:9" ht="17.399999999999999" x14ac:dyDescent="0.25">
      <c r="A2274" s="16"/>
      <c r="B2274" s="17"/>
      <c r="C2274" s="2" t="b">
        <v>0</v>
      </c>
      <c r="D2274" s="2"/>
      <c r="E2274" s="2"/>
      <c r="F2274" s="2"/>
      <c r="G2274" s="2"/>
      <c r="H2274" s="2"/>
      <c r="I2274" s="5"/>
    </row>
    <row r="2275" spans="1:9" ht="17.399999999999999" x14ac:dyDescent="0.25">
      <c r="A2275" s="16"/>
      <c r="B2275" s="17"/>
      <c r="C2275" s="2" t="b">
        <v>0</v>
      </c>
      <c r="D2275" s="2"/>
      <c r="E2275" s="2"/>
      <c r="F2275" s="2"/>
      <c r="G2275" s="2"/>
      <c r="H2275" s="2"/>
      <c r="I2275" s="5"/>
    </row>
    <row r="2276" spans="1:9" ht="17.399999999999999" x14ac:dyDescent="0.25">
      <c r="A2276" s="16"/>
      <c r="B2276" s="17"/>
      <c r="C2276" s="2" t="b">
        <v>0</v>
      </c>
      <c r="D2276" s="2"/>
      <c r="E2276" s="2"/>
      <c r="F2276" s="2"/>
      <c r="G2276" s="2"/>
      <c r="H2276" s="2"/>
      <c r="I2276" s="5"/>
    </row>
    <row r="2277" spans="1:9" ht="17.399999999999999" x14ac:dyDescent="0.25">
      <c r="A2277" s="16"/>
      <c r="B2277" s="17"/>
      <c r="C2277" s="2" t="b">
        <v>0</v>
      </c>
      <c r="D2277" s="2"/>
      <c r="E2277" s="2"/>
      <c r="F2277" s="2"/>
      <c r="G2277" s="2"/>
      <c r="H2277" s="2"/>
      <c r="I2277" s="5"/>
    </row>
    <row r="2278" spans="1:9" ht="17.399999999999999" x14ac:dyDescent="0.25">
      <c r="A2278" s="16"/>
      <c r="B2278" s="17"/>
      <c r="C2278" s="2" t="b">
        <v>0</v>
      </c>
      <c r="D2278" s="2"/>
      <c r="E2278" s="2"/>
      <c r="F2278" s="2"/>
      <c r="G2278" s="2"/>
      <c r="H2278" s="2"/>
      <c r="I2278" s="5"/>
    </row>
    <row r="2279" spans="1:9" ht="17.399999999999999" x14ac:dyDescent="0.25">
      <c r="A2279" s="16"/>
      <c r="B2279" s="17"/>
      <c r="C2279" s="2" t="b">
        <v>0</v>
      </c>
      <c r="D2279" s="2"/>
      <c r="E2279" s="2"/>
      <c r="F2279" s="2"/>
      <c r="G2279" s="2"/>
      <c r="H2279" s="2"/>
      <c r="I2279" s="5"/>
    </row>
    <row r="2280" spans="1:9" ht="17.399999999999999" x14ac:dyDescent="0.25">
      <c r="A2280" s="16"/>
      <c r="B2280" s="17"/>
      <c r="C2280" s="2" t="b">
        <v>0</v>
      </c>
      <c r="D2280" s="2"/>
      <c r="E2280" s="2"/>
      <c r="F2280" s="2"/>
      <c r="G2280" s="2"/>
      <c r="H2280" s="2"/>
      <c r="I2280" s="5"/>
    </row>
    <row r="2281" spans="1:9" ht="17.399999999999999" x14ac:dyDescent="0.25">
      <c r="A2281" s="16"/>
      <c r="B2281" s="17"/>
      <c r="C2281" s="2" t="b">
        <v>0</v>
      </c>
      <c r="D2281" s="2"/>
      <c r="E2281" s="2"/>
      <c r="F2281" s="2"/>
      <c r="G2281" s="2"/>
      <c r="H2281" s="2"/>
      <c r="I2281" s="5"/>
    </row>
    <row r="2282" spans="1:9" ht="17.399999999999999" x14ac:dyDescent="0.25">
      <c r="A2282" s="16"/>
      <c r="B2282" s="17"/>
      <c r="C2282" s="2" t="b">
        <v>0</v>
      </c>
      <c r="D2282" s="2"/>
      <c r="E2282" s="2"/>
      <c r="F2282" s="2"/>
      <c r="G2282" s="2"/>
      <c r="H2282" s="2"/>
      <c r="I2282" s="5"/>
    </row>
    <row r="2283" spans="1:9" ht="17.399999999999999" x14ac:dyDescent="0.25">
      <c r="A2283" s="16"/>
      <c r="B2283" s="17"/>
      <c r="C2283" s="2" t="b">
        <v>0</v>
      </c>
      <c r="D2283" s="2"/>
      <c r="E2283" s="2"/>
      <c r="F2283" s="2"/>
      <c r="G2283" s="2"/>
      <c r="H2283" s="2"/>
      <c r="I2283" s="5"/>
    </row>
    <row r="2284" spans="1:9" ht="17.399999999999999" x14ac:dyDescent="0.25">
      <c r="A2284" s="16"/>
      <c r="B2284" s="17"/>
      <c r="C2284" s="2" t="b">
        <v>0</v>
      </c>
      <c r="D2284" s="2"/>
      <c r="E2284" s="2"/>
      <c r="F2284" s="2"/>
      <c r="G2284" s="2"/>
      <c r="H2284" s="2"/>
      <c r="I2284" s="5"/>
    </row>
    <row r="2285" spans="1:9" ht="17.399999999999999" x14ac:dyDescent="0.25">
      <c r="A2285" s="16"/>
      <c r="B2285" s="17"/>
      <c r="C2285" s="2" t="b">
        <v>0</v>
      </c>
      <c r="D2285" s="2"/>
      <c r="E2285" s="2"/>
      <c r="F2285" s="2"/>
      <c r="G2285" s="2"/>
      <c r="H2285" s="2"/>
      <c r="I2285" s="5"/>
    </row>
    <row r="2286" spans="1:9" ht="17.399999999999999" x14ac:dyDescent="0.25">
      <c r="A2286" s="16"/>
      <c r="B2286" s="17"/>
      <c r="C2286" s="2" t="b">
        <v>0</v>
      </c>
      <c r="D2286" s="2"/>
      <c r="E2286" s="2"/>
      <c r="F2286" s="2"/>
      <c r="G2286" s="2"/>
      <c r="H2286" s="2"/>
      <c r="I2286" s="5"/>
    </row>
    <row r="2287" spans="1:9" ht="17.399999999999999" x14ac:dyDescent="0.25">
      <c r="A2287" s="16"/>
      <c r="B2287" s="17"/>
      <c r="C2287" s="2" t="b">
        <v>0</v>
      </c>
      <c r="D2287" s="2"/>
      <c r="E2287" s="2"/>
      <c r="F2287" s="2"/>
      <c r="G2287" s="2"/>
      <c r="H2287" s="2"/>
      <c r="I2287" s="5"/>
    </row>
    <row r="2288" spans="1:9" ht="17.399999999999999" x14ac:dyDescent="0.25">
      <c r="A2288" s="16"/>
      <c r="B2288" s="17"/>
      <c r="C2288" s="2" t="b">
        <v>0</v>
      </c>
      <c r="D2288" s="2"/>
      <c r="E2288" s="2"/>
      <c r="F2288" s="2"/>
      <c r="G2288" s="2"/>
      <c r="H2288" s="2"/>
      <c r="I2288" s="5"/>
    </row>
    <row r="2289" spans="1:9" ht="17.399999999999999" x14ac:dyDescent="0.25">
      <c r="A2289" s="16"/>
      <c r="B2289" s="17"/>
      <c r="C2289" s="2" t="b">
        <v>0</v>
      </c>
      <c r="D2289" s="2"/>
      <c r="E2289" s="2"/>
      <c r="F2289" s="2"/>
      <c r="G2289" s="2"/>
      <c r="H2289" s="2"/>
      <c r="I2289" s="5"/>
    </row>
    <row r="2290" spans="1:9" ht="17.399999999999999" x14ac:dyDescent="0.25">
      <c r="A2290" s="16"/>
      <c r="B2290" s="17"/>
      <c r="C2290" s="2" t="b">
        <v>0</v>
      </c>
      <c r="D2290" s="2"/>
      <c r="E2290" s="2"/>
      <c r="F2290" s="2"/>
      <c r="G2290" s="2"/>
      <c r="H2290" s="2"/>
      <c r="I2290" s="5"/>
    </row>
    <row r="2291" spans="1:9" ht="17.399999999999999" x14ac:dyDescent="0.25">
      <c r="A2291" s="16"/>
      <c r="B2291" s="17"/>
      <c r="C2291" s="2" t="b">
        <v>0</v>
      </c>
      <c r="D2291" s="2"/>
      <c r="E2291" s="2"/>
      <c r="F2291" s="2"/>
      <c r="G2291" s="2"/>
      <c r="H2291" s="2"/>
      <c r="I2291" s="5"/>
    </row>
    <row r="2292" spans="1:9" ht="17.399999999999999" x14ac:dyDescent="0.25">
      <c r="A2292" s="16"/>
      <c r="B2292" s="17"/>
      <c r="C2292" s="2" t="b">
        <v>0</v>
      </c>
      <c r="D2292" s="2"/>
      <c r="E2292" s="2"/>
      <c r="F2292" s="2"/>
      <c r="G2292" s="2"/>
      <c r="H2292" s="2"/>
      <c r="I2292" s="5"/>
    </row>
    <row r="2293" spans="1:9" ht="17.399999999999999" x14ac:dyDescent="0.25">
      <c r="A2293" s="16"/>
      <c r="B2293" s="17"/>
      <c r="C2293" s="2" t="b">
        <v>0</v>
      </c>
      <c r="D2293" s="2"/>
      <c r="E2293" s="2"/>
      <c r="F2293" s="2"/>
      <c r="G2293" s="2"/>
      <c r="H2293" s="2"/>
      <c r="I2293" s="5"/>
    </row>
    <row r="2294" spans="1:9" ht="17.399999999999999" x14ac:dyDescent="0.25">
      <c r="A2294" s="16"/>
      <c r="B2294" s="17"/>
      <c r="C2294" s="2" t="b">
        <v>0</v>
      </c>
      <c r="D2294" s="2"/>
      <c r="E2294" s="2"/>
      <c r="F2294" s="2"/>
      <c r="G2294" s="2"/>
      <c r="H2294" s="2"/>
      <c r="I2294" s="5"/>
    </row>
    <row r="2295" spans="1:9" ht="17.399999999999999" x14ac:dyDescent="0.25">
      <c r="A2295" s="16"/>
      <c r="B2295" s="17"/>
      <c r="C2295" s="2" t="b">
        <v>0</v>
      </c>
      <c r="D2295" s="2"/>
      <c r="E2295" s="2"/>
      <c r="F2295" s="2"/>
      <c r="G2295" s="2"/>
      <c r="H2295" s="2"/>
      <c r="I2295" s="5"/>
    </row>
    <row r="2296" spans="1:9" ht="17.399999999999999" x14ac:dyDescent="0.25">
      <c r="A2296" s="16"/>
      <c r="B2296" s="17"/>
      <c r="C2296" s="2" t="b">
        <v>0</v>
      </c>
      <c r="D2296" s="2"/>
      <c r="E2296" s="2"/>
      <c r="F2296" s="2"/>
      <c r="G2296" s="2"/>
      <c r="H2296" s="2"/>
      <c r="I2296" s="5"/>
    </row>
    <row r="2297" spans="1:9" ht="17.399999999999999" x14ac:dyDescent="0.25">
      <c r="A2297" s="16"/>
      <c r="B2297" s="17"/>
      <c r="C2297" s="2" t="b">
        <v>0</v>
      </c>
      <c r="D2297" s="2"/>
      <c r="E2297" s="2"/>
      <c r="F2297" s="2"/>
      <c r="G2297" s="2"/>
      <c r="H2297" s="2"/>
      <c r="I2297" s="5"/>
    </row>
    <row r="2298" spans="1:9" ht="17.399999999999999" x14ac:dyDescent="0.25">
      <c r="A2298" s="16"/>
      <c r="B2298" s="17"/>
      <c r="C2298" s="2" t="b">
        <v>0</v>
      </c>
      <c r="D2298" s="2"/>
      <c r="E2298" s="2"/>
      <c r="F2298" s="2"/>
      <c r="G2298" s="2"/>
      <c r="H2298" s="2"/>
      <c r="I2298" s="5"/>
    </row>
    <row r="2299" spans="1:9" ht="17.399999999999999" x14ac:dyDescent="0.25">
      <c r="A2299" s="16"/>
      <c r="B2299" s="17"/>
      <c r="C2299" s="2" t="b">
        <v>0</v>
      </c>
      <c r="D2299" s="2"/>
      <c r="E2299" s="2"/>
      <c r="F2299" s="2"/>
      <c r="G2299" s="2"/>
      <c r="H2299" s="2"/>
      <c r="I2299" s="5"/>
    </row>
    <row r="2300" spans="1:9" ht="17.399999999999999" x14ac:dyDescent="0.25">
      <c r="A2300" s="16"/>
      <c r="B2300" s="17"/>
      <c r="C2300" s="2" t="b">
        <v>0</v>
      </c>
      <c r="D2300" s="2"/>
      <c r="E2300" s="2"/>
      <c r="F2300" s="2"/>
      <c r="G2300" s="2"/>
      <c r="H2300" s="2"/>
      <c r="I2300" s="5"/>
    </row>
    <row r="2301" spans="1:9" ht="17.399999999999999" x14ac:dyDescent="0.25">
      <c r="A2301" s="16"/>
      <c r="B2301" s="17"/>
      <c r="C2301" s="2" t="b">
        <v>0</v>
      </c>
      <c r="D2301" s="2"/>
      <c r="E2301" s="2"/>
      <c r="F2301" s="2"/>
      <c r="G2301" s="2"/>
      <c r="H2301" s="2"/>
      <c r="I2301" s="5"/>
    </row>
    <row r="2302" spans="1:9" ht="17.399999999999999" x14ac:dyDescent="0.25">
      <c r="A2302" s="16"/>
      <c r="B2302" s="17"/>
      <c r="C2302" s="2" t="b">
        <v>0</v>
      </c>
      <c r="D2302" s="2"/>
      <c r="E2302" s="2"/>
      <c r="F2302" s="2"/>
      <c r="G2302" s="2"/>
      <c r="H2302" s="2"/>
      <c r="I2302" s="5"/>
    </row>
    <row r="2303" spans="1:9" ht="17.399999999999999" x14ac:dyDescent="0.25">
      <c r="A2303" s="16"/>
      <c r="B2303" s="17"/>
      <c r="C2303" s="2" t="b">
        <v>0</v>
      </c>
      <c r="D2303" s="2"/>
      <c r="E2303" s="2"/>
      <c r="F2303" s="2"/>
      <c r="G2303" s="2"/>
      <c r="H2303" s="2"/>
      <c r="I2303" s="5"/>
    </row>
    <row r="2304" spans="1:9" ht="17.399999999999999" x14ac:dyDescent="0.25">
      <c r="A2304" s="16"/>
      <c r="B2304" s="17"/>
      <c r="C2304" s="2" t="b">
        <v>0</v>
      </c>
      <c r="D2304" s="2"/>
      <c r="E2304" s="2"/>
      <c r="F2304" s="2"/>
      <c r="G2304" s="2"/>
      <c r="H2304" s="2"/>
      <c r="I2304" s="5"/>
    </row>
    <row r="2305" spans="1:9" ht="17.399999999999999" x14ac:dyDescent="0.25">
      <c r="A2305" s="16"/>
      <c r="B2305" s="17"/>
      <c r="C2305" s="2" t="b">
        <v>0</v>
      </c>
      <c r="D2305" s="2"/>
      <c r="E2305" s="2"/>
      <c r="F2305" s="2"/>
      <c r="G2305" s="2"/>
      <c r="H2305" s="2"/>
      <c r="I2305" s="5"/>
    </row>
    <row r="2306" spans="1:9" ht="17.399999999999999" x14ac:dyDescent="0.25">
      <c r="A2306" s="16"/>
      <c r="B2306" s="17"/>
      <c r="C2306" s="2" t="b">
        <v>0</v>
      </c>
      <c r="D2306" s="2"/>
      <c r="E2306" s="2"/>
      <c r="F2306" s="2"/>
      <c r="G2306" s="2"/>
      <c r="H2306" s="2"/>
      <c r="I2306" s="5"/>
    </row>
    <row r="2307" spans="1:9" ht="17.399999999999999" x14ac:dyDescent="0.25">
      <c r="A2307" s="16"/>
      <c r="B2307" s="17"/>
      <c r="C2307" s="2" t="b">
        <v>0</v>
      </c>
      <c r="D2307" s="2"/>
      <c r="E2307" s="2"/>
      <c r="F2307" s="2"/>
      <c r="G2307" s="2"/>
      <c r="H2307" s="2"/>
      <c r="I2307" s="5"/>
    </row>
    <row r="2308" spans="1:9" ht="17.399999999999999" x14ac:dyDescent="0.25">
      <c r="A2308" s="16"/>
      <c r="B2308" s="17"/>
      <c r="C2308" s="2" t="b">
        <v>0</v>
      </c>
      <c r="D2308" s="2"/>
      <c r="E2308" s="2"/>
      <c r="F2308" s="2"/>
      <c r="G2308" s="2"/>
      <c r="H2308" s="2"/>
      <c r="I2308" s="5"/>
    </row>
    <row r="2309" spans="1:9" ht="17.399999999999999" x14ac:dyDescent="0.25">
      <c r="A2309" s="16"/>
      <c r="B2309" s="17"/>
      <c r="C2309" s="2" t="b">
        <v>0</v>
      </c>
      <c r="D2309" s="2"/>
      <c r="E2309" s="2"/>
      <c r="F2309" s="2"/>
      <c r="G2309" s="2"/>
      <c r="H2309" s="2"/>
      <c r="I2309" s="5"/>
    </row>
    <row r="2310" spans="1:9" ht="17.399999999999999" x14ac:dyDescent="0.25">
      <c r="A2310" s="16"/>
      <c r="B2310" s="17"/>
      <c r="C2310" s="2" t="b">
        <v>0</v>
      </c>
      <c r="D2310" s="2"/>
      <c r="E2310" s="2"/>
      <c r="F2310" s="2"/>
      <c r="G2310" s="2"/>
      <c r="H2310" s="2"/>
      <c r="I2310" s="5"/>
    </row>
    <row r="2311" spans="1:9" ht="17.399999999999999" x14ac:dyDescent="0.25">
      <c r="A2311" s="16"/>
      <c r="B2311" s="17"/>
      <c r="C2311" s="2" t="b">
        <v>0</v>
      </c>
      <c r="D2311" s="2"/>
      <c r="E2311" s="2"/>
      <c r="F2311" s="2"/>
      <c r="G2311" s="2"/>
      <c r="H2311" s="2"/>
      <c r="I2311" s="5"/>
    </row>
    <row r="2312" spans="1:9" ht="17.399999999999999" x14ac:dyDescent="0.25">
      <c r="A2312" s="16"/>
      <c r="B2312" s="17"/>
      <c r="C2312" s="2" t="b">
        <v>0</v>
      </c>
      <c r="D2312" s="2"/>
      <c r="E2312" s="2"/>
      <c r="F2312" s="2"/>
      <c r="G2312" s="2"/>
      <c r="H2312" s="2"/>
      <c r="I2312" s="5"/>
    </row>
    <row r="2313" spans="1:9" ht="17.399999999999999" x14ac:dyDescent="0.25">
      <c r="A2313" s="16"/>
      <c r="B2313" s="17"/>
      <c r="C2313" s="2" t="b">
        <v>0</v>
      </c>
      <c r="D2313" s="2"/>
      <c r="E2313" s="2"/>
      <c r="F2313" s="2"/>
      <c r="G2313" s="2"/>
      <c r="H2313" s="2"/>
      <c r="I2313" s="5"/>
    </row>
    <row r="2314" spans="1:9" ht="17.399999999999999" x14ac:dyDescent="0.25">
      <c r="A2314" s="16"/>
      <c r="B2314" s="17"/>
      <c r="C2314" s="2" t="b">
        <v>0</v>
      </c>
      <c r="D2314" s="2"/>
      <c r="E2314" s="2"/>
      <c r="F2314" s="2"/>
      <c r="G2314" s="2"/>
      <c r="H2314" s="2"/>
      <c r="I2314" s="5"/>
    </row>
    <row r="2315" spans="1:9" ht="17.399999999999999" x14ac:dyDescent="0.25">
      <c r="A2315" s="16"/>
      <c r="B2315" s="17"/>
      <c r="C2315" s="2" t="b">
        <v>0</v>
      </c>
      <c r="D2315" s="2"/>
      <c r="E2315" s="2"/>
      <c r="F2315" s="2"/>
      <c r="G2315" s="2"/>
      <c r="H2315" s="2"/>
      <c r="I2315" s="5"/>
    </row>
    <row r="2316" spans="1:9" ht="17.399999999999999" x14ac:dyDescent="0.25">
      <c r="A2316" s="16"/>
      <c r="B2316" s="17"/>
      <c r="C2316" s="2" t="b">
        <v>0</v>
      </c>
      <c r="D2316" s="2"/>
      <c r="E2316" s="2"/>
      <c r="F2316" s="2"/>
      <c r="G2316" s="2"/>
      <c r="H2316" s="2"/>
      <c r="I2316" s="5"/>
    </row>
    <row r="2317" spans="1:9" ht="17.399999999999999" x14ac:dyDescent="0.25">
      <c r="A2317" s="16"/>
      <c r="B2317" s="17"/>
      <c r="C2317" s="2" t="b">
        <v>0</v>
      </c>
      <c r="D2317" s="2"/>
      <c r="E2317" s="2"/>
      <c r="F2317" s="2"/>
      <c r="G2317" s="2"/>
      <c r="H2317" s="2"/>
      <c r="I2317" s="5"/>
    </row>
    <row r="2318" spans="1:9" ht="17.399999999999999" x14ac:dyDescent="0.25">
      <c r="A2318" s="16"/>
      <c r="B2318" s="17"/>
      <c r="C2318" s="2" t="b">
        <v>0</v>
      </c>
      <c r="D2318" s="2"/>
      <c r="E2318" s="2"/>
      <c r="F2318" s="2"/>
      <c r="G2318" s="2"/>
      <c r="H2318" s="2"/>
      <c r="I2318" s="5"/>
    </row>
    <row r="2319" spans="1:9" ht="17.399999999999999" x14ac:dyDescent="0.25">
      <c r="A2319" s="16"/>
      <c r="B2319" s="17"/>
      <c r="C2319" s="2" t="b">
        <v>0</v>
      </c>
      <c r="D2319" s="2"/>
      <c r="E2319" s="2"/>
      <c r="F2319" s="2"/>
      <c r="G2319" s="2"/>
      <c r="H2319" s="2"/>
      <c r="I2319" s="5"/>
    </row>
    <row r="2320" spans="1:9" ht="17.399999999999999" x14ac:dyDescent="0.25">
      <c r="A2320" s="16"/>
      <c r="B2320" s="17"/>
      <c r="C2320" s="2" t="b">
        <v>0</v>
      </c>
      <c r="D2320" s="2"/>
      <c r="E2320" s="2"/>
      <c r="F2320" s="2"/>
      <c r="G2320" s="2"/>
      <c r="H2320" s="2"/>
      <c r="I2320" s="5"/>
    </row>
    <row r="2321" spans="1:9" ht="17.399999999999999" x14ac:dyDescent="0.25">
      <c r="A2321" s="16"/>
      <c r="B2321" s="17"/>
      <c r="C2321" s="2" t="b">
        <v>0</v>
      </c>
      <c r="D2321" s="2"/>
      <c r="E2321" s="2"/>
      <c r="F2321" s="2"/>
      <c r="G2321" s="2"/>
      <c r="H2321" s="2"/>
      <c r="I2321" s="5"/>
    </row>
    <row r="2322" spans="1:9" ht="17.399999999999999" x14ac:dyDescent="0.25">
      <c r="A2322" s="16"/>
      <c r="B2322" s="17"/>
      <c r="C2322" s="2" t="b">
        <v>0</v>
      </c>
      <c r="D2322" s="2"/>
      <c r="E2322" s="2"/>
      <c r="F2322" s="2"/>
      <c r="G2322" s="2"/>
      <c r="H2322" s="2"/>
      <c r="I2322" s="5"/>
    </row>
    <row r="2323" spans="1:9" ht="17.399999999999999" x14ac:dyDescent="0.25">
      <c r="A2323" s="16"/>
      <c r="B2323" s="17"/>
      <c r="C2323" s="2" t="b">
        <v>0</v>
      </c>
      <c r="D2323" s="2"/>
      <c r="E2323" s="2"/>
      <c r="F2323" s="2"/>
      <c r="G2323" s="2"/>
      <c r="H2323" s="2"/>
      <c r="I2323" s="5"/>
    </row>
    <row r="2324" spans="1:9" ht="17.399999999999999" x14ac:dyDescent="0.25">
      <c r="A2324" s="16"/>
      <c r="B2324" s="17"/>
      <c r="C2324" s="2" t="b">
        <v>0</v>
      </c>
      <c r="D2324" s="2"/>
      <c r="E2324" s="2"/>
      <c r="F2324" s="2"/>
      <c r="G2324" s="2"/>
      <c r="H2324" s="2"/>
      <c r="I2324" s="5"/>
    </row>
    <row r="2325" spans="1:9" ht="17.399999999999999" x14ac:dyDescent="0.25">
      <c r="A2325" s="16"/>
      <c r="B2325" s="17"/>
      <c r="C2325" s="2" t="b">
        <v>0</v>
      </c>
      <c r="D2325" s="2"/>
      <c r="E2325" s="2"/>
      <c r="F2325" s="2"/>
      <c r="G2325" s="2"/>
      <c r="H2325" s="2"/>
      <c r="I2325" s="5"/>
    </row>
    <row r="2326" spans="1:9" ht="17.399999999999999" x14ac:dyDescent="0.25">
      <c r="A2326" s="16"/>
      <c r="B2326" s="17"/>
      <c r="C2326" s="2" t="b">
        <v>0</v>
      </c>
      <c r="D2326" s="2"/>
      <c r="E2326" s="2"/>
      <c r="F2326" s="2"/>
      <c r="G2326" s="2"/>
      <c r="H2326" s="2"/>
      <c r="I2326" s="5"/>
    </row>
    <row r="2327" spans="1:9" ht="17.399999999999999" x14ac:dyDescent="0.25">
      <c r="A2327" s="16"/>
      <c r="B2327" s="17"/>
      <c r="C2327" s="2" t="b">
        <v>0</v>
      </c>
      <c r="D2327" s="2"/>
      <c r="E2327" s="2"/>
      <c r="F2327" s="2"/>
      <c r="G2327" s="2"/>
      <c r="H2327" s="2"/>
      <c r="I2327" s="5"/>
    </row>
    <row r="2328" spans="1:9" ht="17.399999999999999" x14ac:dyDescent="0.25">
      <c r="A2328" s="16"/>
      <c r="B2328" s="17"/>
      <c r="C2328" s="2" t="b">
        <v>0</v>
      </c>
      <c r="D2328" s="2"/>
      <c r="E2328" s="2"/>
      <c r="F2328" s="2"/>
      <c r="G2328" s="2"/>
      <c r="H2328" s="2"/>
      <c r="I2328" s="5"/>
    </row>
    <row r="2329" spans="1:9" ht="17.399999999999999" x14ac:dyDescent="0.25">
      <c r="A2329" s="16"/>
      <c r="B2329" s="17"/>
      <c r="C2329" s="2" t="b">
        <v>0</v>
      </c>
      <c r="D2329" s="2"/>
      <c r="E2329" s="2"/>
      <c r="F2329" s="2"/>
      <c r="G2329" s="2"/>
      <c r="H2329" s="2"/>
      <c r="I2329" s="5"/>
    </row>
    <row r="2330" spans="1:9" ht="17.399999999999999" x14ac:dyDescent="0.25">
      <c r="A2330" s="16"/>
      <c r="B2330" s="17"/>
      <c r="C2330" s="2" t="b">
        <v>0</v>
      </c>
      <c r="D2330" s="2"/>
      <c r="E2330" s="2"/>
      <c r="F2330" s="2"/>
      <c r="G2330" s="2"/>
      <c r="H2330" s="2"/>
      <c r="I2330" s="5"/>
    </row>
    <row r="2331" spans="1:9" ht="17.399999999999999" x14ac:dyDescent="0.25">
      <c r="A2331" s="16"/>
      <c r="B2331" s="17"/>
      <c r="C2331" s="2" t="b">
        <v>0</v>
      </c>
      <c r="D2331" s="2"/>
      <c r="E2331" s="2"/>
      <c r="F2331" s="2"/>
      <c r="G2331" s="2"/>
      <c r="H2331" s="2"/>
      <c r="I2331" s="5"/>
    </row>
    <row r="2332" spans="1:9" ht="17.399999999999999" x14ac:dyDescent="0.25">
      <c r="A2332" s="16"/>
      <c r="B2332" s="17"/>
      <c r="C2332" s="2" t="b">
        <v>0</v>
      </c>
      <c r="D2332" s="2"/>
      <c r="E2332" s="2"/>
      <c r="F2332" s="2"/>
      <c r="G2332" s="2"/>
      <c r="H2332" s="2"/>
      <c r="I2332" s="5"/>
    </row>
    <row r="2333" spans="1:9" ht="17.399999999999999" x14ac:dyDescent="0.25">
      <c r="A2333" s="16"/>
      <c r="B2333" s="17"/>
      <c r="C2333" s="2" t="b">
        <v>0</v>
      </c>
      <c r="D2333" s="2"/>
      <c r="E2333" s="2"/>
      <c r="F2333" s="2"/>
      <c r="G2333" s="2"/>
      <c r="H2333" s="2"/>
      <c r="I2333" s="5"/>
    </row>
    <row r="2334" spans="1:9" ht="17.399999999999999" x14ac:dyDescent="0.25">
      <c r="A2334" s="16"/>
      <c r="B2334" s="17"/>
      <c r="C2334" s="2" t="b">
        <v>0</v>
      </c>
      <c r="D2334" s="2"/>
      <c r="E2334" s="2"/>
      <c r="F2334" s="2"/>
      <c r="G2334" s="2"/>
      <c r="H2334" s="2"/>
      <c r="I2334" s="5"/>
    </row>
    <row r="2335" spans="1:9" ht="17.399999999999999" x14ac:dyDescent="0.25">
      <c r="A2335" s="16"/>
      <c r="B2335" s="17"/>
      <c r="C2335" s="2" t="b">
        <v>0</v>
      </c>
      <c r="D2335" s="2"/>
      <c r="E2335" s="2"/>
      <c r="F2335" s="2"/>
      <c r="G2335" s="2"/>
      <c r="H2335" s="2"/>
      <c r="I2335" s="5"/>
    </row>
    <row r="2336" spans="1:9" ht="17.399999999999999" x14ac:dyDescent="0.25">
      <c r="A2336" s="16"/>
      <c r="B2336" s="17"/>
      <c r="C2336" s="2" t="b">
        <v>0</v>
      </c>
      <c r="D2336" s="2"/>
      <c r="E2336" s="2"/>
      <c r="F2336" s="2"/>
      <c r="G2336" s="2"/>
      <c r="H2336" s="2"/>
      <c r="I2336" s="5"/>
    </row>
    <row r="2337" spans="1:9" ht="17.399999999999999" x14ac:dyDescent="0.25">
      <c r="A2337" s="16"/>
      <c r="B2337" s="17"/>
      <c r="C2337" s="2" t="b">
        <v>0</v>
      </c>
      <c r="D2337" s="2"/>
      <c r="E2337" s="2"/>
      <c r="F2337" s="2"/>
      <c r="G2337" s="2"/>
      <c r="H2337" s="2"/>
      <c r="I2337" s="5"/>
    </row>
    <row r="2338" spans="1:9" ht="17.399999999999999" x14ac:dyDescent="0.25">
      <c r="A2338" s="16"/>
      <c r="B2338" s="17"/>
      <c r="C2338" s="2" t="b">
        <v>0</v>
      </c>
      <c r="D2338" s="2"/>
      <c r="E2338" s="2"/>
      <c r="F2338" s="2"/>
      <c r="G2338" s="2"/>
      <c r="H2338" s="2"/>
      <c r="I2338" s="5"/>
    </row>
    <row r="2339" spans="1:9" ht="17.399999999999999" x14ac:dyDescent="0.25">
      <c r="A2339" s="16"/>
      <c r="B2339" s="17"/>
      <c r="C2339" s="2" t="b">
        <v>0</v>
      </c>
      <c r="D2339" s="2"/>
      <c r="E2339" s="2"/>
      <c r="F2339" s="2"/>
      <c r="G2339" s="2"/>
      <c r="H2339" s="2"/>
      <c r="I2339" s="5"/>
    </row>
    <row r="2340" spans="1:9" ht="17.399999999999999" x14ac:dyDescent="0.25">
      <c r="A2340" s="16"/>
      <c r="B2340" s="17"/>
      <c r="C2340" s="2" t="b">
        <v>0</v>
      </c>
      <c r="D2340" s="2"/>
      <c r="E2340" s="2"/>
      <c r="F2340" s="2"/>
      <c r="G2340" s="2"/>
      <c r="H2340" s="2"/>
      <c r="I2340" s="5"/>
    </row>
    <row r="2341" spans="1:9" ht="17.399999999999999" x14ac:dyDescent="0.25">
      <c r="A2341" s="16"/>
      <c r="B2341" s="17"/>
      <c r="C2341" s="2" t="b">
        <v>0</v>
      </c>
      <c r="D2341" s="2"/>
      <c r="E2341" s="2"/>
      <c r="F2341" s="2"/>
      <c r="G2341" s="2"/>
      <c r="H2341" s="2"/>
      <c r="I2341" s="5"/>
    </row>
    <row r="2342" spans="1:9" ht="17.399999999999999" x14ac:dyDescent="0.25">
      <c r="A2342" s="16"/>
      <c r="B2342" s="17"/>
      <c r="C2342" s="2" t="b">
        <v>0</v>
      </c>
      <c r="D2342" s="2"/>
      <c r="E2342" s="2"/>
      <c r="F2342" s="2"/>
      <c r="G2342" s="2"/>
      <c r="H2342" s="2"/>
      <c r="I2342" s="5"/>
    </row>
    <row r="2343" spans="1:9" ht="17.399999999999999" x14ac:dyDescent="0.25">
      <c r="A2343" s="16"/>
      <c r="B2343" s="17"/>
      <c r="C2343" s="2" t="b">
        <v>0</v>
      </c>
      <c r="D2343" s="2"/>
      <c r="E2343" s="2"/>
      <c r="F2343" s="2"/>
      <c r="G2343" s="2"/>
      <c r="H2343" s="2"/>
      <c r="I2343" s="5"/>
    </row>
    <row r="2344" spans="1:9" ht="17.399999999999999" x14ac:dyDescent="0.25">
      <c r="A2344" s="16"/>
      <c r="B2344" s="17"/>
      <c r="C2344" s="2" t="b">
        <v>0</v>
      </c>
      <c r="D2344" s="2"/>
      <c r="E2344" s="2"/>
      <c r="F2344" s="2"/>
      <c r="G2344" s="2"/>
      <c r="H2344" s="2"/>
      <c r="I2344" s="5"/>
    </row>
    <row r="2345" spans="1:9" ht="17.399999999999999" x14ac:dyDescent="0.25">
      <c r="A2345" s="16"/>
      <c r="B2345" s="17"/>
      <c r="C2345" s="2" t="b">
        <v>0</v>
      </c>
      <c r="D2345" s="2"/>
      <c r="E2345" s="2"/>
      <c r="F2345" s="2"/>
      <c r="G2345" s="2"/>
      <c r="H2345" s="2"/>
      <c r="I2345" s="5"/>
    </row>
    <row r="2346" spans="1:9" ht="17.399999999999999" x14ac:dyDescent="0.25">
      <c r="A2346" s="16"/>
      <c r="B2346" s="17"/>
      <c r="C2346" s="2" t="b">
        <v>0</v>
      </c>
      <c r="D2346" s="2"/>
      <c r="E2346" s="2"/>
      <c r="F2346" s="2"/>
      <c r="G2346" s="2"/>
      <c r="H2346" s="2"/>
      <c r="I2346" s="5"/>
    </row>
    <row r="2347" spans="1:9" ht="17.399999999999999" x14ac:dyDescent="0.25">
      <c r="A2347" s="16"/>
      <c r="B2347" s="17"/>
      <c r="C2347" s="2" t="b">
        <v>0</v>
      </c>
      <c r="D2347" s="2"/>
      <c r="E2347" s="2"/>
      <c r="F2347" s="2"/>
      <c r="G2347" s="2"/>
      <c r="H2347" s="2"/>
      <c r="I2347" s="5"/>
    </row>
    <row r="2348" spans="1:9" ht="17.399999999999999" x14ac:dyDescent="0.25">
      <c r="A2348" s="16"/>
      <c r="B2348" s="17"/>
      <c r="C2348" s="2" t="b">
        <v>0</v>
      </c>
      <c r="D2348" s="2"/>
      <c r="E2348" s="2"/>
      <c r="F2348" s="2"/>
      <c r="G2348" s="2"/>
      <c r="H2348" s="2"/>
      <c r="I2348" s="5"/>
    </row>
    <row r="2349" spans="1:9" ht="17.399999999999999" x14ac:dyDescent="0.25">
      <c r="A2349" s="16"/>
      <c r="B2349" s="17"/>
      <c r="C2349" s="2" t="b">
        <v>0</v>
      </c>
      <c r="D2349" s="2"/>
      <c r="E2349" s="2"/>
      <c r="F2349" s="2"/>
      <c r="G2349" s="2"/>
      <c r="H2349" s="2"/>
      <c r="I2349" s="5"/>
    </row>
    <row r="2350" spans="1:9" ht="17.399999999999999" x14ac:dyDescent="0.25">
      <c r="A2350" s="16"/>
      <c r="B2350" s="17"/>
      <c r="C2350" s="2" t="b">
        <v>0</v>
      </c>
      <c r="D2350" s="2"/>
      <c r="E2350" s="2"/>
      <c r="F2350" s="2"/>
      <c r="G2350" s="2"/>
      <c r="H2350" s="2"/>
      <c r="I2350" s="5"/>
    </row>
    <row r="2351" spans="1:9" ht="17.399999999999999" x14ac:dyDescent="0.25">
      <c r="A2351" s="16"/>
      <c r="B2351" s="17"/>
      <c r="C2351" s="2" t="b">
        <v>0</v>
      </c>
      <c r="D2351" s="2"/>
      <c r="E2351" s="2"/>
      <c r="F2351" s="2"/>
      <c r="G2351" s="2"/>
      <c r="H2351" s="2"/>
      <c r="I2351" s="5"/>
    </row>
    <row r="2352" spans="1:9" ht="17.399999999999999" x14ac:dyDescent="0.25">
      <c r="A2352" s="16"/>
      <c r="B2352" s="17"/>
      <c r="C2352" s="2" t="b">
        <v>0</v>
      </c>
      <c r="D2352" s="2"/>
      <c r="E2352" s="2"/>
      <c r="F2352" s="2"/>
      <c r="G2352" s="2"/>
      <c r="H2352" s="2"/>
      <c r="I2352" s="5"/>
    </row>
    <row r="2353" spans="1:9" ht="17.399999999999999" x14ac:dyDescent="0.25">
      <c r="A2353" s="16"/>
      <c r="B2353" s="17"/>
      <c r="C2353" s="2" t="b">
        <v>0</v>
      </c>
      <c r="D2353" s="2"/>
      <c r="E2353" s="2"/>
      <c r="F2353" s="2"/>
      <c r="G2353" s="2"/>
      <c r="H2353" s="2"/>
      <c r="I2353" s="5"/>
    </row>
    <row r="2354" spans="1:9" ht="17.399999999999999" x14ac:dyDescent="0.25">
      <c r="A2354" s="16"/>
      <c r="B2354" s="17"/>
      <c r="C2354" s="2" t="b">
        <v>0</v>
      </c>
      <c r="D2354" s="2"/>
      <c r="E2354" s="2"/>
      <c r="F2354" s="2"/>
      <c r="G2354" s="2"/>
      <c r="H2354" s="2"/>
      <c r="I2354" s="5"/>
    </row>
    <row r="2355" spans="1:9" ht="17.399999999999999" x14ac:dyDescent="0.25">
      <c r="A2355" s="16"/>
      <c r="B2355" s="17"/>
      <c r="C2355" s="2" t="b">
        <v>0</v>
      </c>
      <c r="D2355" s="2"/>
      <c r="E2355" s="2"/>
      <c r="F2355" s="2"/>
      <c r="G2355" s="2"/>
      <c r="H2355" s="2"/>
      <c r="I2355" s="5"/>
    </row>
    <row r="2356" spans="1:9" ht="17.399999999999999" x14ac:dyDescent="0.25">
      <c r="A2356" s="16"/>
      <c r="B2356" s="17"/>
      <c r="C2356" s="2" t="b">
        <v>0</v>
      </c>
      <c r="D2356" s="2"/>
      <c r="E2356" s="2"/>
      <c r="F2356" s="2"/>
      <c r="G2356" s="2"/>
      <c r="H2356" s="2"/>
      <c r="I2356" s="5"/>
    </row>
    <row r="2357" spans="1:9" ht="17.399999999999999" x14ac:dyDescent="0.25">
      <c r="A2357" s="16"/>
      <c r="B2357" s="17"/>
      <c r="C2357" s="2" t="b">
        <v>0</v>
      </c>
      <c r="D2357" s="2"/>
      <c r="E2357" s="2"/>
      <c r="F2357" s="2"/>
      <c r="G2357" s="2"/>
      <c r="H2357" s="2"/>
      <c r="I2357" s="5"/>
    </row>
    <row r="2358" spans="1:9" ht="17.399999999999999" x14ac:dyDescent="0.25">
      <c r="A2358" s="16"/>
      <c r="B2358" s="17"/>
      <c r="C2358" s="2" t="b">
        <v>0</v>
      </c>
      <c r="D2358" s="2"/>
      <c r="E2358" s="2"/>
      <c r="F2358" s="2"/>
      <c r="G2358" s="2"/>
      <c r="H2358" s="2"/>
      <c r="I2358" s="5"/>
    </row>
    <row r="2359" spans="1:9" ht="17.399999999999999" x14ac:dyDescent="0.25">
      <c r="A2359" s="16"/>
      <c r="B2359" s="17"/>
      <c r="C2359" s="2" t="b">
        <v>0</v>
      </c>
      <c r="D2359" s="2"/>
      <c r="E2359" s="2"/>
      <c r="F2359" s="2"/>
      <c r="G2359" s="2"/>
      <c r="H2359" s="2"/>
      <c r="I2359" s="5"/>
    </row>
    <row r="2360" spans="1:9" ht="17.399999999999999" x14ac:dyDescent="0.25">
      <c r="A2360" s="16"/>
      <c r="B2360" s="17"/>
      <c r="C2360" s="2" t="b">
        <v>0</v>
      </c>
      <c r="D2360" s="2"/>
      <c r="E2360" s="2"/>
      <c r="F2360" s="2"/>
      <c r="G2360" s="2"/>
      <c r="H2360" s="2"/>
      <c r="I2360" s="5"/>
    </row>
    <row r="2361" spans="1:9" ht="17.399999999999999" x14ac:dyDescent="0.25">
      <c r="A2361" s="16"/>
      <c r="B2361" s="17"/>
      <c r="C2361" s="2" t="b">
        <v>0</v>
      </c>
      <c r="D2361" s="2"/>
      <c r="E2361" s="2"/>
      <c r="F2361" s="2"/>
      <c r="G2361" s="2"/>
      <c r="H2361" s="2"/>
      <c r="I2361" s="5"/>
    </row>
    <row r="2362" spans="1:9" ht="17.399999999999999" x14ac:dyDescent="0.25">
      <c r="A2362" s="16"/>
      <c r="B2362" s="17"/>
      <c r="C2362" s="2" t="b">
        <v>0</v>
      </c>
      <c r="D2362" s="2"/>
      <c r="E2362" s="2"/>
      <c r="F2362" s="2"/>
      <c r="G2362" s="2"/>
      <c r="H2362" s="2"/>
      <c r="I2362" s="5"/>
    </row>
    <row r="2363" spans="1:9" ht="17.399999999999999" x14ac:dyDescent="0.25">
      <c r="A2363" s="16"/>
      <c r="B2363" s="17"/>
      <c r="C2363" s="2" t="b">
        <v>0</v>
      </c>
      <c r="D2363" s="2"/>
      <c r="E2363" s="2"/>
      <c r="F2363" s="2"/>
      <c r="G2363" s="2"/>
      <c r="H2363" s="2"/>
      <c r="I2363" s="5"/>
    </row>
    <row r="2364" spans="1:9" ht="17.399999999999999" x14ac:dyDescent="0.25">
      <c r="A2364" s="16"/>
      <c r="B2364" s="17"/>
      <c r="C2364" s="2" t="b">
        <v>0</v>
      </c>
      <c r="D2364" s="2"/>
      <c r="E2364" s="2"/>
      <c r="F2364" s="2"/>
      <c r="G2364" s="2"/>
      <c r="H2364" s="2"/>
      <c r="I2364" s="5"/>
    </row>
    <row r="2365" spans="1:9" ht="17.399999999999999" x14ac:dyDescent="0.25">
      <c r="A2365" s="16"/>
      <c r="B2365" s="17"/>
      <c r="C2365" s="2" t="b">
        <v>0</v>
      </c>
      <c r="D2365" s="2"/>
      <c r="E2365" s="2"/>
      <c r="F2365" s="2"/>
      <c r="G2365" s="2"/>
      <c r="H2365" s="2"/>
      <c r="I2365" s="5"/>
    </row>
    <row r="2366" spans="1:9" ht="17.399999999999999" x14ac:dyDescent="0.25">
      <c r="A2366" s="16"/>
      <c r="B2366" s="17"/>
      <c r="C2366" s="2" t="b">
        <v>0</v>
      </c>
      <c r="D2366" s="2"/>
      <c r="E2366" s="2"/>
      <c r="F2366" s="2"/>
      <c r="G2366" s="2"/>
      <c r="H2366" s="2"/>
      <c r="I2366" s="5"/>
    </row>
    <row r="2367" spans="1:9" ht="17.399999999999999" x14ac:dyDescent="0.25">
      <c r="A2367" s="16"/>
      <c r="B2367" s="17"/>
      <c r="C2367" s="2" t="b">
        <v>0</v>
      </c>
      <c r="D2367" s="2"/>
      <c r="E2367" s="2"/>
      <c r="F2367" s="2"/>
      <c r="G2367" s="2"/>
      <c r="H2367" s="2"/>
      <c r="I2367" s="5"/>
    </row>
    <row r="2368" spans="1:9" ht="17.399999999999999" x14ac:dyDescent="0.25">
      <c r="A2368" s="16"/>
      <c r="B2368" s="17"/>
      <c r="C2368" s="2" t="b">
        <v>0</v>
      </c>
      <c r="D2368" s="2"/>
      <c r="E2368" s="2"/>
      <c r="F2368" s="2"/>
      <c r="G2368" s="2"/>
      <c r="H2368" s="2"/>
      <c r="I2368" s="5"/>
    </row>
    <row r="2369" spans="1:9" ht="17.399999999999999" x14ac:dyDescent="0.25">
      <c r="A2369" s="16"/>
      <c r="B2369" s="17"/>
      <c r="C2369" s="2" t="b">
        <v>0</v>
      </c>
      <c r="D2369" s="2"/>
      <c r="E2369" s="2"/>
      <c r="F2369" s="2"/>
      <c r="G2369" s="2"/>
      <c r="H2369" s="2"/>
      <c r="I2369" s="5"/>
    </row>
    <row r="2370" spans="1:9" ht="17.399999999999999" x14ac:dyDescent="0.25">
      <c r="A2370" s="16"/>
      <c r="B2370" s="17"/>
      <c r="C2370" s="2" t="b">
        <v>0</v>
      </c>
      <c r="D2370" s="2"/>
      <c r="E2370" s="2"/>
      <c r="F2370" s="2"/>
      <c r="G2370" s="2"/>
      <c r="H2370" s="2"/>
      <c r="I2370" s="5"/>
    </row>
    <row r="2371" spans="1:9" ht="17.399999999999999" x14ac:dyDescent="0.25">
      <c r="A2371" s="16"/>
      <c r="B2371" s="17"/>
      <c r="C2371" s="2" t="b">
        <v>0</v>
      </c>
      <c r="D2371" s="2"/>
      <c r="E2371" s="2"/>
      <c r="F2371" s="2"/>
      <c r="G2371" s="2"/>
      <c r="H2371" s="2"/>
      <c r="I2371" s="5"/>
    </row>
    <row r="2372" spans="1:9" ht="17.399999999999999" x14ac:dyDescent="0.25">
      <c r="A2372" s="16"/>
      <c r="B2372" s="17"/>
      <c r="C2372" s="2" t="b">
        <v>0</v>
      </c>
      <c r="D2372" s="2"/>
      <c r="E2372" s="2"/>
      <c r="F2372" s="2"/>
      <c r="G2372" s="2"/>
      <c r="H2372" s="2"/>
      <c r="I2372" s="5"/>
    </row>
    <row r="2373" spans="1:9" ht="17.399999999999999" x14ac:dyDescent="0.25">
      <c r="A2373" s="16"/>
      <c r="B2373" s="17"/>
      <c r="C2373" s="2" t="b">
        <v>0</v>
      </c>
      <c r="D2373" s="2"/>
      <c r="E2373" s="2"/>
      <c r="F2373" s="2"/>
      <c r="G2373" s="2"/>
      <c r="H2373" s="2"/>
      <c r="I2373" s="5"/>
    </row>
    <row r="2374" spans="1:9" ht="17.399999999999999" x14ac:dyDescent="0.25">
      <c r="A2374" s="16"/>
      <c r="B2374" s="17"/>
      <c r="C2374" s="2" t="b">
        <v>0</v>
      </c>
      <c r="D2374" s="2"/>
      <c r="E2374" s="2"/>
      <c r="F2374" s="2"/>
      <c r="G2374" s="2"/>
      <c r="H2374" s="2"/>
      <c r="I2374" s="5"/>
    </row>
    <row r="2375" spans="1:9" ht="17.399999999999999" x14ac:dyDescent="0.25">
      <c r="A2375" s="16"/>
      <c r="B2375" s="17"/>
      <c r="C2375" s="2" t="b">
        <v>0</v>
      </c>
      <c r="D2375" s="2"/>
      <c r="E2375" s="2"/>
      <c r="F2375" s="2"/>
      <c r="G2375" s="2"/>
      <c r="H2375" s="2"/>
      <c r="I2375" s="5"/>
    </row>
    <row r="2376" spans="1:9" ht="17.399999999999999" x14ac:dyDescent="0.25">
      <c r="A2376" s="16"/>
      <c r="B2376" s="17"/>
      <c r="C2376" s="2" t="b">
        <v>0</v>
      </c>
      <c r="D2376" s="2"/>
      <c r="E2376" s="2"/>
      <c r="F2376" s="2"/>
      <c r="G2376" s="2"/>
      <c r="H2376" s="2"/>
      <c r="I2376" s="5"/>
    </row>
    <row r="2377" spans="1:9" ht="17.399999999999999" x14ac:dyDescent="0.25">
      <c r="A2377" s="16"/>
      <c r="B2377" s="17"/>
      <c r="C2377" s="2" t="b">
        <v>0</v>
      </c>
      <c r="D2377" s="2"/>
      <c r="E2377" s="2"/>
      <c r="F2377" s="2"/>
      <c r="G2377" s="2"/>
      <c r="H2377" s="2"/>
      <c r="I2377" s="5"/>
    </row>
    <row r="2378" spans="1:9" ht="17.399999999999999" x14ac:dyDescent="0.25">
      <c r="A2378" s="16"/>
      <c r="B2378" s="17"/>
      <c r="C2378" s="2" t="b">
        <v>0</v>
      </c>
      <c r="D2378" s="2"/>
      <c r="E2378" s="2"/>
      <c r="F2378" s="2"/>
      <c r="G2378" s="2"/>
      <c r="H2378" s="2"/>
      <c r="I2378" s="5"/>
    </row>
    <row r="2379" spans="1:9" ht="17.399999999999999" x14ac:dyDescent="0.25">
      <c r="A2379" s="16"/>
      <c r="B2379" s="17"/>
      <c r="C2379" s="2" t="b">
        <v>0</v>
      </c>
      <c r="D2379" s="2"/>
      <c r="E2379" s="2"/>
      <c r="F2379" s="2"/>
      <c r="G2379" s="2"/>
      <c r="H2379" s="2"/>
      <c r="I2379" s="5"/>
    </row>
    <row r="2380" spans="1:9" ht="17.399999999999999" x14ac:dyDescent="0.25">
      <c r="A2380" s="16"/>
      <c r="B2380" s="17"/>
      <c r="C2380" s="2" t="b">
        <v>0</v>
      </c>
      <c r="D2380" s="2"/>
      <c r="E2380" s="2"/>
      <c r="F2380" s="2"/>
      <c r="G2380" s="2"/>
      <c r="H2380" s="2"/>
      <c r="I2380" s="5"/>
    </row>
    <row r="2381" spans="1:9" ht="17.399999999999999" x14ac:dyDescent="0.25">
      <c r="A2381" s="16"/>
      <c r="B2381" s="17"/>
      <c r="C2381" s="2" t="b">
        <v>0</v>
      </c>
      <c r="D2381" s="2"/>
      <c r="E2381" s="2"/>
      <c r="F2381" s="2"/>
      <c r="G2381" s="2"/>
      <c r="H2381" s="2"/>
      <c r="I2381" s="5"/>
    </row>
    <row r="2382" spans="1:9" ht="17.399999999999999" x14ac:dyDescent="0.25">
      <c r="A2382" s="16"/>
      <c r="B2382" s="17"/>
      <c r="C2382" s="2" t="b">
        <v>0</v>
      </c>
      <c r="D2382" s="2"/>
      <c r="E2382" s="2"/>
      <c r="F2382" s="2"/>
      <c r="G2382" s="2"/>
      <c r="H2382" s="2"/>
      <c r="I2382" s="5"/>
    </row>
    <row r="2383" spans="1:9" ht="17.399999999999999" x14ac:dyDescent="0.25">
      <c r="A2383" s="16"/>
      <c r="B2383" s="17"/>
      <c r="C2383" s="2" t="b">
        <v>0</v>
      </c>
      <c r="D2383" s="2"/>
      <c r="E2383" s="2"/>
      <c r="F2383" s="2"/>
      <c r="G2383" s="2"/>
      <c r="H2383" s="2"/>
      <c r="I2383" s="5"/>
    </row>
    <row r="2384" spans="1:9" ht="17.399999999999999" x14ac:dyDescent="0.25">
      <c r="A2384" s="16"/>
      <c r="B2384" s="17"/>
      <c r="C2384" s="2" t="b">
        <v>0</v>
      </c>
      <c r="D2384" s="2"/>
      <c r="E2384" s="2"/>
      <c r="F2384" s="2"/>
      <c r="G2384" s="2"/>
      <c r="H2384" s="2"/>
      <c r="I2384" s="5"/>
    </row>
    <row r="2385" spans="1:9" ht="17.399999999999999" x14ac:dyDescent="0.25">
      <c r="A2385" s="16"/>
      <c r="B2385" s="17"/>
      <c r="C2385" s="2" t="b">
        <v>0</v>
      </c>
      <c r="D2385" s="2"/>
      <c r="E2385" s="2"/>
      <c r="F2385" s="2"/>
      <c r="G2385" s="2"/>
      <c r="H2385" s="2"/>
      <c r="I2385" s="5"/>
    </row>
    <row r="2386" spans="1:9" ht="17.399999999999999" x14ac:dyDescent="0.25">
      <c r="A2386" s="16"/>
      <c r="B2386" s="17"/>
      <c r="C2386" s="2" t="b">
        <v>0</v>
      </c>
      <c r="D2386" s="2"/>
      <c r="E2386" s="2"/>
      <c r="F2386" s="2"/>
      <c r="G2386" s="2"/>
      <c r="H2386" s="2"/>
      <c r="I2386" s="5"/>
    </row>
    <row r="2387" spans="1:9" ht="17.399999999999999" x14ac:dyDescent="0.25">
      <c r="A2387" s="16"/>
      <c r="B2387" s="17"/>
      <c r="C2387" s="2" t="b">
        <v>0</v>
      </c>
      <c r="D2387" s="2"/>
      <c r="E2387" s="2"/>
      <c r="F2387" s="2"/>
      <c r="G2387" s="2"/>
      <c r="H2387" s="2"/>
      <c r="I2387" s="5"/>
    </row>
    <row r="2388" spans="1:9" ht="17.399999999999999" x14ac:dyDescent="0.25">
      <c r="A2388" s="16"/>
      <c r="B2388" s="17"/>
      <c r="C2388" s="2" t="b">
        <v>0</v>
      </c>
      <c r="D2388" s="2"/>
      <c r="E2388" s="2"/>
      <c r="F2388" s="2"/>
      <c r="G2388" s="2"/>
      <c r="H2388" s="2"/>
      <c r="I2388" s="5"/>
    </row>
    <row r="2389" spans="1:9" ht="17.399999999999999" x14ac:dyDescent="0.25">
      <c r="A2389" s="16"/>
      <c r="B2389" s="17"/>
      <c r="C2389" s="2" t="b">
        <v>0</v>
      </c>
      <c r="D2389" s="2"/>
      <c r="E2389" s="2"/>
      <c r="F2389" s="2"/>
      <c r="G2389" s="2"/>
      <c r="H2389" s="2"/>
      <c r="I2389" s="5"/>
    </row>
    <row r="2390" spans="1:9" ht="17.399999999999999" x14ac:dyDescent="0.25">
      <c r="A2390" s="16"/>
      <c r="B2390" s="17"/>
      <c r="C2390" s="2" t="b">
        <v>0</v>
      </c>
      <c r="D2390" s="2"/>
      <c r="E2390" s="2"/>
      <c r="F2390" s="2"/>
      <c r="G2390" s="2"/>
      <c r="H2390" s="2"/>
      <c r="I2390" s="5"/>
    </row>
    <row r="2391" spans="1:9" ht="17.399999999999999" x14ac:dyDescent="0.25">
      <c r="A2391" s="16"/>
      <c r="B2391" s="17"/>
      <c r="C2391" s="2" t="b">
        <v>0</v>
      </c>
      <c r="D2391" s="2"/>
      <c r="E2391" s="2"/>
      <c r="F2391" s="2"/>
      <c r="G2391" s="2"/>
      <c r="H2391" s="2"/>
      <c r="I2391" s="5"/>
    </row>
    <row r="2392" spans="1:9" ht="17.399999999999999" x14ac:dyDescent="0.25">
      <c r="A2392" s="16"/>
      <c r="B2392" s="17"/>
      <c r="C2392" s="2" t="b">
        <v>0</v>
      </c>
      <c r="D2392" s="2"/>
      <c r="E2392" s="2"/>
      <c r="F2392" s="2"/>
      <c r="G2392" s="2"/>
      <c r="H2392" s="2"/>
      <c r="I2392" s="5"/>
    </row>
    <row r="2393" spans="1:9" ht="17.399999999999999" x14ac:dyDescent="0.25">
      <c r="A2393" s="16"/>
      <c r="B2393" s="17"/>
      <c r="C2393" s="2" t="b">
        <v>0</v>
      </c>
      <c r="D2393" s="2"/>
      <c r="E2393" s="2"/>
      <c r="F2393" s="2"/>
      <c r="G2393" s="2"/>
      <c r="H2393" s="2"/>
      <c r="I2393" s="5"/>
    </row>
    <row r="2394" spans="1:9" ht="17.399999999999999" x14ac:dyDescent="0.25">
      <c r="A2394" s="16"/>
      <c r="B2394" s="17"/>
      <c r="C2394" s="2" t="b">
        <v>0</v>
      </c>
      <c r="D2394" s="2"/>
      <c r="E2394" s="2"/>
      <c r="F2394" s="2"/>
      <c r="G2394" s="2"/>
      <c r="H2394" s="2"/>
      <c r="I2394" s="5"/>
    </row>
    <row r="2395" spans="1:9" ht="17.399999999999999" x14ac:dyDescent="0.25">
      <c r="A2395" s="16"/>
      <c r="B2395" s="17"/>
      <c r="C2395" s="2" t="b">
        <v>0</v>
      </c>
      <c r="D2395" s="2"/>
      <c r="E2395" s="2"/>
      <c r="F2395" s="2"/>
      <c r="G2395" s="2"/>
      <c r="H2395" s="2"/>
      <c r="I2395" s="5"/>
    </row>
    <row r="2396" spans="1:9" ht="17.399999999999999" x14ac:dyDescent="0.25">
      <c r="A2396" s="16"/>
      <c r="B2396" s="17"/>
      <c r="C2396" s="2" t="b">
        <v>0</v>
      </c>
      <c r="D2396" s="2"/>
      <c r="E2396" s="2"/>
      <c r="F2396" s="2"/>
      <c r="G2396" s="2"/>
      <c r="H2396" s="2"/>
      <c r="I2396" s="5"/>
    </row>
    <row r="2397" spans="1:9" ht="17.399999999999999" x14ac:dyDescent="0.25">
      <c r="A2397" s="16"/>
      <c r="B2397" s="17"/>
      <c r="C2397" s="2" t="b">
        <v>0</v>
      </c>
      <c r="D2397" s="2"/>
      <c r="E2397" s="2"/>
      <c r="F2397" s="2"/>
      <c r="G2397" s="2"/>
      <c r="H2397" s="2"/>
      <c r="I2397" s="5"/>
    </row>
    <row r="2398" spans="1:9" ht="17.399999999999999" x14ac:dyDescent="0.25">
      <c r="A2398" s="16"/>
      <c r="B2398" s="17"/>
      <c r="C2398" s="2" t="b">
        <v>0</v>
      </c>
      <c r="D2398" s="2"/>
      <c r="E2398" s="2"/>
      <c r="F2398" s="2"/>
      <c r="G2398" s="2"/>
      <c r="H2398" s="2"/>
      <c r="I2398" s="5"/>
    </row>
    <row r="2399" spans="1:9" ht="17.399999999999999" x14ac:dyDescent="0.25">
      <c r="A2399" s="16"/>
      <c r="B2399" s="17"/>
      <c r="C2399" s="2" t="b">
        <v>0</v>
      </c>
      <c r="D2399" s="2"/>
      <c r="E2399" s="2"/>
      <c r="F2399" s="2"/>
      <c r="G2399" s="2"/>
      <c r="H2399" s="2"/>
      <c r="I2399" s="5"/>
    </row>
    <row r="2400" spans="1:9" ht="17.399999999999999" x14ac:dyDescent="0.25">
      <c r="A2400" s="16"/>
      <c r="B2400" s="17"/>
      <c r="C2400" s="2" t="b">
        <v>0</v>
      </c>
      <c r="D2400" s="2"/>
      <c r="E2400" s="2"/>
      <c r="F2400" s="2"/>
      <c r="G2400" s="2"/>
      <c r="H2400" s="2"/>
      <c r="I2400" s="5"/>
    </row>
    <row r="2401" spans="1:9" ht="17.399999999999999" x14ac:dyDescent="0.25">
      <c r="A2401" s="16"/>
      <c r="B2401" s="17"/>
      <c r="C2401" s="2" t="b">
        <v>0</v>
      </c>
      <c r="D2401" s="2"/>
      <c r="E2401" s="2"/>
      <c r="F2401" s="2"/>
      <c r="G2401" s="2"/>
      <c r="H2401" s="2"/>
      <c r="I2401" s="5"/>
    </row>
    <row r="2402" spans="1:9" ht="17.399999999999999" x14ac:dyDescent="0.25">
      <c r="A2402" s="16"/>
      <c r="B2402" s="17"/>
      <c r="C2402" s="2" t="b">
        <v>0</v>
      </c>
      <c r="D2402" s="2"/>
      <c r="E2402" s="2"/>
      <c r="F2402" s="2"/>
      <c r="G2402" s="2"/>
      <c r="H2402" s="2"/>
      <c r="I2402" s="5"/>
    </row>
    <row r="2403" spans="1:9" ht="17.399999999999999" x14ac:dyDescent="0.25">
      <c r="A2403" s="16"/>
      <c r="B2403" s="17"/>
      <c r="C2403" s="2" t="b">
        <v>0</v>
      </c>
      <c r="D2403" s="2"/>
      <c r="E2403" s="2"/>
      <c r="F2403" s="2"/>
      <c r="G2403" s="2"/>
      <c r="H2403" s="2"/>
      <c r="I2403" s="5"/>
    </row>
    <row r="2404" spans="1:9" ht="17.399999999999999" x14ac:dyDescent="0.25">
      <c r="A2404" s="16"/>
      <c r="B2404" s="17"/>
      <c r="C2404" s="2" t="b">
        <v>0</v>
      </c>
      <c r="D2404" s="2"/>
      <c r="E2404" s="2"/>
      <c r="F2404" s="2"/>
      <c r="G2404" s="2"/>
      <c r="H2404" s="2"/>
      <c r="I2404" s="5"/>
    </row>
    <row r="2405" spans="1:9" ht="17.399999999999999" x14ac:dyDescent="0.25">
      <c r="A2405" s="16"/>
      <c r="B2405" s="17"/>
      <c r="C2405" s="2" t="b">
        <v>0</v>
      </c>
      <c r="D2405" s="2"/>
      <c r="E2405" s="2"/>
      <c r="F2405" s="2"/>
      <c r="G2405" s="2"/>
      <c r="H2405" s="2"/>
      <c r="I2405" s="5"/>
    </row>
    <row r="2406" spans="1:9" ht="17.399999999999999" x14ac:dyDescent="0.25">
      <c r="A2406" s="16"/>
      <c r="B2406" s="17"/>
      <c r="C2406" s="2" t="b">
        <v>0</v>
      </c>
      <c r="D2406" s="2"/>
      <c r="E2406" s="2"/>
      <c r="F2406" s="2"/>
      <c r="G2406" s="2"/>
      <c r="H2406" s="2"/>
      <c r="I2406" s="5"/>
    </row>
    <row r="2407" spans="1:9" ht="17.399999999999999" x14ac:dyDescent="0.25">
      <c r="A2407" s="16"/>
      <c r="B2407" s="17"/>
      <c r="C2407" s="2" t="b">
        <v>0</v>
      </c>
      <c r="D2407" s="2"/>
      <c r="E2407" s="2"/>
      <c r="F2407" s="2"/>
      <c r="G2407" s="2"/>
      <c r="H2407" s="2"/>
      <c r="I2407" s="5"/>
    </row>
    <row r="2408" spans="1:9" ht="17.399999999999999" x14ac:dyDescent="0.25">
      <c r="A2408" s="16"/>
      <c r="B2408" s="17"/>
      <c r="C2408" s="2" t="b">
        <v>0</v>
      </c>
      <c r="D2408" s="2"/>
      <c r="E2408" s="2"/>
      <c r="F2408" s="2"/>
      <c r="G2408" s="2"/>
      <c r="H2408" s="2"/>
      <c r="I2408" s="5"/>
    </row>
    <row r="2409" spans="1:9" ht="17.399999999999999" x14ac:dyDescent="0.25">
      <c r="A2409" s="16"/>
      <c r="B2409" s="17"/>
      <c r="C2409" s="2" t="b">
        <v>0</v>
      </c>
      <c r="D2409" s="2"/>
      <c r="E2409" s="2"/>
      <c r="F2409" s="2"/>
      <c r="G2409" s="2"/>
      <c r="H2409" s="2"/>
      <c r="I2409" s="5"/>
    </row>
    <row r="2410" spans="1:9" ht="17.399999999999999" x14ac:dyDescent="0.25">
      <c r="A2410" s="16"/>
      <c r="B2410" s="17"/>
      <c r="C2410" s="2" t="b">
        <v>0</v>
      </c>
      <c r="D2410" s="2"/>
      <c r="E2410" s="2"/>
      <c r="F2410" s="2"/>
      <c r="G2410" s="2"/>
      <c r="H2410" s="2"/>
      <c r="I2410" s="5"/>
    </row>
    <row r="2411" spans="1:9" ht="17.399999999999999" x14ac:dyDescent="0.25">
      <c r="A2411" s="16"/>
      <c r="B2411" s="17"/>
      <c r="C2411" s="2" t="b">
        <v>0</v>
      </c>
      <c r="D2411" s="2"/>
      <c r="E2411" s="2"/>
      <c r="F2411" s="2"/>
      <c r="G2411" s="2"/>
      <c r="H2411" s="2"/>
      <c r="I2411" s="5"/>
    </row>
    <row r="2412" spans="1:9" ht="17.399999999999999" x14ac:dyDescent="0.25">
      <c r="A2412" s="16"/>
      <c r="B2412" s="17"/>
      <c r="C2412" s="2" t="b">
        <v>0</v>
      </c>
      <c r="D2412" s="2"/>
      <c r="E2412" s="2"/>
      <c r="F2412" s="2"/>
      <c r="G2412" s="2"/>
      <c r="H2412" s="2"/>
      <c r="I2412" s="5"/>
    </row>
    <row r="2413" spans="1:9" ht="17.399999999999999" x14ac:dyDescent="0.25">
      <c r="A2413" s="16"/>
      <c r="B2413" s="17"/>
      <c r="C2413" s="2" t="b">
        <v>0</v>
      </c>
      <c r="D2413" s="2"/>
      <c r="E2413" s="2"/>
      <c r="F2413" s="2"/>
      <c r="G2413" s="2"/>
      <c r="H2413" s="2"/>
      <c r="I2413" s="5"/>
    </row>
    <row r="2414" spans="1:9" ht="17.399999999999999" x14ac:dyDescent="0.25">
      <c r="A2414" s="16"/>
      <c r="B2414" s="17"/>
      <c r="C2414" s="2" t="b">
        <v>0</v>
      </c>
      <c r="D2414" s="2"/>
      <c r="E2414" s="2"/>
      <c r="F2414" s="2"/>
      <c r="G2414" s="2"/>
      <c r="H2414" s="2"/>
      <c r="I2414" s="5"/>
    </row>
    <row r="2415" spans="1:9" ht="17.399999999999999" x14ac:dyDescent="0.25">
      <c r="A2415" s="16"/>
      <c r="B2415" s="17"/>
      <c r="C2415" s="2" t="b">
        <v>0</v>
      </c>
      <c r="D2415" s="2"/>
      <c r="E2415" s="2"/>
      <c r="F2415" s="2"/>
      <c r="G2415" s="2"/>
      <c r="H2415" s="2"/>
      <c r="I2415" s="5"/>
    </row>
    <row r="2416" spans="1:9" ht="17.399999999999999" x14ac:dyDescent="0.25">
      <c r="A2416" s="16"/>
      <c r="B2416" s="17"/>
      <c r="C2416" s="2" t="b">
        <v>0</v>
      </c>
      <c r="D2416" s="2"/>
      <c r="E2416" s="2"/>
      <c r="F2416" s="2"/>
      <c r="G2416" s="2"/>
      <c r="H2416" s="2"/>
      <c r="I2416" s="5"/>
    </row>
    <row r="2417" spans="1:9" ht="17.399999999999999" x14ac:dyDescent="0.25">
      <c r="A2417" s="16"/>
      <c r="B2417" s="17"/>
      <c r="C2417" s="2" t="b">
        <v>0</v>
      </c>
      <c r="D2417" s="2"/>
      <c r="E2417" s="2"/>
      <c r="F2417" s="2"/>
      <c r="G2417" s="2"/>
      <c r="H2417" s="2"/>
      <c r="I2417" s="5"/>
    </row>
    <row r="2418" spans="1:9" ht="17.399999999999999" x14ac:dyDescent="0.25">
      <c r="A2418" s="16"/>
      <c r="B2418" s="17"/>
      <c r="C2418" s="2" t="b">
        <v>0</v>
      </c>
      <c r="D2418" s="2"/>
      <c r="E2418" s="2"/>
      <c r="F2418" s="2"/>
      <c r="G2418" s="2"/>
      <c r="H2418" s="2"/>
      <c r="I2418" s="5"/>
    </row>
    <row r="2419" spans="1:9" ht="17.399999999999999" x14ac:dyDescent="0.25">
      <c r="A2419" s="16"/>
      <c r="B2419" s="17"/>
      <c r="C2419" s="2" t="b">
        <v>0</v>
      </c>
      <c r="D2419" s="2"/>
      <c r="E2419" s="2"/>
      <c r="F2419" s="2"/>
      <c r="G2419" s="2"/>
      <c r="H2419" s="2"/>
      <c r="I2419" s="5"/>
    </row>
    <row r="2420" spans="1:9" ht="17.399999999999999" x14ac:dyDescent="0.25">
      <c r="A2420" s="16"/>
      <c r="B2420" s="17"/>
      <c r="C2420" s="2" t="b">
        <v>0</v>
      </c>
      <c r="D2420" s="2"/>
      <c r="E2420" s="2"/>
      <c r="F2420" s="2"/>
      <c r="G2420" s="2"/>
      <c r="H2420" s="2"/>
      <c r="I2420" s="5"/>
    </row>
    <row r="2421" spans="1:9" ht="17.399999999999999" x14ac:dyDescent="0.25">
      <c r="A2421" s="16"/>
      <c r="B2421" s="17"/>
      <c r="C2421" s="2" t="b">
        <v>0</v>
      </c>
      <c r="D2421" s="2"/>
      <c r="E2421" s="2"/>
      <c r="F2421" s="2"/>
      <c r="G2421" s="2"/>
      <c r="H2421" s="2"/>
      <c r="I2421" s="5"/>
    </row>
    <row r="2422" spans="1:9" ht="17.399999999999999" x14ac:dyDescent="0.25">
      <c r="A2422" s="16"/>
      <c r="B2422" s="17"/>
      <c r="C2422" s="2" t="b">
        <v>0</v>
      </c>
      <c r="D2422" s="2"/>
      <c r="E2422" s="2"/>
      <c r="F2422" s="2"/>
      <c r="G2422" s="2"/>
      <c r="H2422" s="2"/>
      <c r="I2422" s="5"/>
    </row>
    <row r="2423" spans="1:9" ht="17.399999999999999" x14ac:dyDescent="0.25">
      <c r="A2423" s="16"/>
      <c r="B2423" s="17"/>
      <c r="C2423" s="2" t="b">
        <v>0</v>
      </c>
      <c r="D2423" s="2"/>
      <c r="E2423" s="2"/>
      <c r="F2423" s="2"/>
      <c r="G2423" s="2"/>
      <c r="H2423" s="2"/>
      <c r="I2423" s="5"/>
    </row>
    <row r="2424" spans="1:9" ht="17.399999999999999" x14ac:dyDescent="0.25">
      <c r="A2424" s="16"/>
      <c r="B2424" s="17"/>
      <c r="C2424" s="2" t="b">
        <v>0</v>
      </c>
      <c r="D2424" s="2"/>
      <c r="E2424" s="2"/>
      <c r="F2424" s="2"/>
      <c r="G2424" s="2"/>
      <c r="H2424" s="2"/>
      <c r="I2424" s="5"/>
    </row>
    <row r="2425" spans="1:9" ht="17.399999999999999" x14ac:dyDescent="0.25">
      <c r="A2425" s="16"/>
      <c r="B2425" s="17"/>
      <c r="C2425" s="2" t="b">
        <v>0</v>
      </c>
      <c r="D2425" s="2"/>
      <c r="E2425" s="2"/>
      <c r="F2425" s="2"/>
      <c r="G2425" s="2"/>
      <c r="H2425" s="2"/>
      <c r="I2425" s="5"/>
    </row>
    <row r="2426" spans="1:9" ht="17.399999999999999" x14ac:dyDescent="0.25">
      <c r="A2426" s="16"/>
      <c r="B2426" s="17"/>
      <c r="C2426" s="2" t="b">
        <v>0</v>
      </c>
      <c r="D2426" s="2"/>
      <c r="E2426" s="2"/>
      <c r="F2426" s="2"/>
      <c r="G2426" s="2"/>
      <c r="H2426" s="2"/>
      <c r="I2426" s="5"/>
    </row>
    <row r="2427" spans="1:9" ht="17.399999999999999" x14ac:dyDescent="0.25">
      <c r="A2427" s="16"/>
      <c r="B2427" s="17"/>
      <c r="C2427" s="2" t="b">
        <v>0</v>
      </c>
      <c r="D2427" s="2"/>
      <c r="E2427" s="2"/>
      <c r="F2427" s="2"/>
      <c r="G2427" s="2"/>
      <c r="H2427" s="2"/>
      <c r="I2427" s="5"/>
    </row>
    <row r="2428" spans="1:9" ht="17.399999999999999" x14ac:dyDescent="0.25">
      <c r="A2428" s="16"/>
      <c r="B2428" s="17"/>
      <c r="C2428" s="2" t="b">
        <v>0</v>
      </c>
      <c r="D2428" s="2"/>
      <c r="E2428" s="2"/>
      <c r="F2428" s="2"/>
      <c r="G2428" s="2"/>
      <c r="H2428" s="2"/>
      <c r="I2428" s="5"/>
    </row>
    <row r="2429" spans="1:9" ht="17.399999999999999" x14ac:dyDescent="0.25">
      <c r="A2429" s="16"/>
      <c r="B2429" s="17"/>
      <c r="C2429" s="2" t="b">
        <v>0</v>
      </c>
      <c r="D2429" s="2"/>
      <c r="E2429" s="2"/>
      <c r="F2429" s="2"/>
      <c r="G2429" s="2"/>
      <c r="H2429" s="2"/>
      <c r="I2429" s="5"/>
    </row>
    <row r="2430" spans="1:9" ht="17.399999999999999" x14ac:dyDescent="0.25">
      <c r="A2430" s="16"/>
      <c r="B2430" s="17"/>
      <c r="C2430" s="2" t="b">
        <v>0</v>
      </c>
      <c r="D2430" s="2"/>
      <c r="E2430" s="2"/>
      <c r="F2430" s="2"/>
      <c r="G2430" s="2"/>
      <c r="H2430" s="2"/>
      <c r="I2430" s="5"/>
    </row>
    <row r="2431" spans="1:9" ht="17.399999999999999" x14ac:dyDescent="0.25">
      <c r="A2431" s="16"/>
      <c r="B2431" s="17"/>
      <c r="C2431" s="2" t="b">
        <v>0</v>
      </c>
      <c r="D2431" s="2"/>
      <c r="E2431" s="2"/>
      <c r="F2431" s="2"/>
      <c r="G2431" s="2"/>
      <c r="H2431" s="2"/>
      <c r="I2431" s="5"/>
    </row>
    <row r="2432" spans="1:9" ht="17.399999999999999" x14ac:dyDescent="0.25">
      <c r="A2432" s="16"/>
      <c r="B2432" s="17"/>
      <c r="C2432" s="2" t="b">
        <v>0</v>
      </c>
      <c r="D2432" s="2"/>
      <c r="E2432" s="2"/>
      <c r="F2432" s="2"/>
      <c r="G2432" s="2"/>
      <c r="H2432" s="2"/>
      <c r="I2432" s="5"/>
    </row>
    <row r="2433" spans="1:9" ht="17.399999999999999" x14ac:dyDescent="0.25">
      <c r="A2433" s="16"/>
      <c r="B2433" s="17"/>
      <c r="C2433" s="2" t="b">
        <v>0</v>
      </c>
      <c r="D2433" s="2"/>
      <c r="E2433" s="2"/>
      <c r="F2433" s="2"/>
      <c r="G2433" s="2"/>
      <c r="H2433" s="2"/>
      <c r="I2433" s="5"/>
    </row>
    <row r="2434" spans="1:9" ht="17.399999999999999" x14ac:dyDescent="0.25">
      <c r="A2434" s="16"/>
      <c r="B2434" s="17"/>
      <c r="C2434" s="2" t="b">
        <v>0</v>
      </c>
      <c r="D2434" s="2"/>
      <c r="E2434" s="2"/>
      <c r="F2434" s="2"/>
      <c r="G2434" s="2"/>
      <c r="H2434" s="2"/>
      <c r="I2434" s="5"/>
    </row>
    <row r="2435" spans="1:9" ht="17.399999999999999" x14ac:dyDescent="0.25">
      <c r="A2435" s="16"/>
      <c r="B2435" s="17"/>
      <c r="C2435" s="2" t="b">
        <v>0</v>
      </c>
      <c r="D2435" s="2"/>
      <c r="E2435" s="2"/>
      <c r="F2435" s="2"/>
      <c r="G2435" s="2"/>
      <c r="H2435" s="2"/>
      <c r="I2435" s="5"/>
    </row>
    <row r="2436" spans="1:9" ht="17.399999999999999" x14ac:dyDescent="0.25">
      <c r="A2436" s="16"/>
      <c r="B2436" s="17"/>
      <c r="C2436" s="2" t="b">
        <v>0</v>
      </c>
      <c r="D2436" s="2"/>
      <c r="E2436" s="2"/>
      <c r="F2436" s="2"/>
      <c r="G2436" s="2"/>
      <c r="H2436" s="2"/>
      <c r="I2436" s="5"/>
    </row>
    <row r="2437" spans="1:9" ht="17.399999999999999" x14ac:dyDescent="0.25">
      <c r="A2437" s="16"/>
      <c r="B2437" s="17"/>
      <c r="C2437" s="2" t="b">
        <v>0</v>
      </c>
      <c r="D2437" s="2"/>
      <c r="E2437" s="2"/>
      <c r="F2437" s="2"/>
      <c r="G2437" s="2"/>
      <c r="H2437" s="2"/>
      <c r="I2437" s="5"/>
    </row>
    <row r="2438" spans="1:9" ht="17.399999999999999" x14ac:dyDescent="0.25">
      <c r="A2438" s="16"/>
      <c r="B2438" s="17"/>
      <c r="C2438" s="2" t="b">
        <v>0</v>
      </c>
      <c r="D2438" s="2"/>
      <c r="E2438" s="2"/>
      <c r="F2438" s="2"/>
      <c r="G2438" s="2"/>
      <c r="H2438" s="2"/>
      <c r="I2438" s="5"/>
    </row>
    <row r="2439" spans="1:9" ht="17.399999999999999" x14ac:dyDescent="0.25">
      <c r="A2439" s="16"/>
      <c r="B2439" s="17"/>
      <c r="C2439" s="2" t="b">
        <v>0</v>
      </c>
      <c r="D2439" s="2"/>
      <c r="E2439" s="2"/>
      <c r="F2439" s="2"/>
      <c r="G2439" s="2"/>
      <c r="H2439" s="2"/>
      <c r="I2439" s="5"/>
    </row>
    <row r="2440" spans="1:9" ht="17.399999999999999" x14ac:dyDescent="0.25">
      <c r="A2440" s="16"/>
      <c r="B2440" s="17"/>
      <c r="C2440" s="2" t="b">
        <v>0</v>
      </c>
      <c r="D2440" s="2"/>
      <c r="E2440" s="2"/>
      <c r="F2440" s="2"/>
      <c r="G2440" s="2"/>
      <c r="H2440" s="2"/>
      <c r="I2440" s="5"/>
    </row>
  </sheetData>
  <mergeCells count="2">
    <mergeCell ref="B2:H2"/>
    <mergeCell ref="B3:H3"/>
  </mergeCells>
  <conditionalFormatting sqref="A1:H2440">
    <cfRule type="cellIs" dxfId="5" priority="1" operator="equal">
      <formula>"Purchased Perks"</formula>
    </cfRule>
    <cfRule type="expression" dxfId="4" priority="2">
      <formula>IF($E1="Purchased Perks",TRUE,FALSE)</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outlinePr summaryBelow="0" summaryRight="0"/>
  </sheetPr>
  <dimension ref="A1:XFD2440"/>
  <sheetViews>
    <sheetView workbookViewId="0">
      <pane ySplit="4" topLeftCell="A5" activePane="bottomLeft" state="frozen"/>
      <selection pane="bottomLeft" activeCell="B6" sqref="B6"/>
    </sheetView>
  </sheetViews>
  <sheetFormatPr defaultColWidth="12.6640625" defaultRowHeight="15.75" customHeight="1" x14ac:dyDescent="0.25"/>
  <cols>
    <col min="1" max="1" width="3.21875" customWidth="1"/>
    <col min="2" max="2" width="3.33203125" customWidth="1"/>
    <col min="3" max="3" width="10" customWidth="1"/>
    <col min="4" max="4" width="7.6640625" customWidth="1"/>
    <col min="5" max="5" width="20.88671875" customWidth="1"/>
    <col min="6" max="6" width="14.77734375" customWidth="1"/>
    <col min="7" max="7" width="19.44140625" customWidth="1"/>
    <col min="8" max="8" width="105.109375" customWidth="1"/>
    <col min="9" max="9" width="3.21875" customWidth="1"/>
    <col min="16384" max="16384" width="0" hidden="1" customWidth="1"/>
  </cols>
  <sheetData>
    <row r="1" spans="1:9 16384:16384" ht="18.75" hidden="1" customHeight="1" x14ac:dyDescent="0.25">
      <c r="A1" s="16"/>
      <c r="B1" s="16"/>
      <c r="C1" s="26"/>
      <c r="D1" s="26"/>
      <c r="E1" s="26"/>
      <c r="F1" s="26"/>
      <c r="G1" s="26"/>
      <c r="H1" s="26"/>
      <c r="I1" s="5"/>
      <c r="XFD1">
        <f ca="1">IF('Roll All'!$B$4="Roll!",RAND(),RAND())</f>
        <v>0.75551685227428711</v>
      </c>
    </row>
    <row r="2" spans="1:9 16384:16384" ht="43.5" customHeight="1" x14ac:dyDescent="0.25">
      <c r="A2" s="16"/>
      <c r="B2" s="54" t="s">
        <v>63</v>
      </c>
      <c r="C2" s="40"/>
      <c r="D2" s="40"/>
      <c r="E2" s="40"/>
      <c r="F2" s="40"/>
      <c r="G2" s="40"/>
      <c r="H2" s="40"/>
      <c r="I2" s="5"/>
    </row>
    <row r="3" spans="1:9 16384:16384" ht="44.25" customHeight="1" x14ac:dyDescent="0.25">
      <c r="A3" s="16"/>
      <c r="B3" s="42" t="s">
        <v>5660</v>
      </c>
      <c r="C3" s="40"/>
      <c r="D3" s="40"/>
      <c r="E3" s="40"/>
      <c r="F3" s="40"/>
      <c r="G3" s="40"/>
      <c r="H3" s="40"/>
      <c r="I3" s="5"/>
    </row>
    <row r="4" spans="1:9 16384:16384" ht="34.799999999999997" x14ac:dyDescent="0.25">
      <c r="A4" s="16"/>
      <c r="B4" s="17">
        <f t="array" ref="B4:B189">ROW(B4:B2440)-4</f>
        <v>0</v>
      </c>
      <c r="C4" s="10" t="s">
        <v>50</v>
      </c>
      <c r="D4" s="10" t="s">
        <v>20</v>
      </c>
      <c r="E4" s="10" t="s">
        <v>21</v>
      </c>
      <c r="F4" s="10" t="s">
        <v>22</v>
      </c>
      <c r="G4" s="10" t="s">
        <v>23</v>
      </c>
      <c r="H4" s="10" t="s">
        <v>24</v>
      </c>
      <c r="I4" s="5"/>
    </row>
    <row r="5" spans="1:9 16384:16384" ht="69.599999999999994" x14ac:dyDescent="0.25">
      <c r="A5" s="16"/>
      <c r="B5" s="17">
        <v>1</v>
      </c>
      <c r="C5" s="3" t="b">
        <f ca="1">IFERROR(__xludf.DUMMYFUNCTION("sort(filter('Full Perk List'!B3:G1935,'Full Perk List'!F3:F1935=B2),1,1,2,1,3,1)"),FALSE)</f>
        <v>0</v>
      </c>
      <c r="D5" s="3">
        <f ca="1">IFERROR(__xludf.DUMMYFUNCTION("""COMPUTED_VALUE"""),0)</f>
        <v>0</v>
      </c>
      <c r="E5" s="3" t="str">
        <f ca="1">IFERROR(__xludf.DUMMYFUNCTION("""COMPUTED_VALUE"""),"Basic Footwork")</f>
        <v>Basic Footwork</v>
      </c>
      <c r="F5" s="3" t="str">
        <f ca="1">IFERROR(__xludf.DUMMYFUNCTION("""COMPUTED_VALUE"""),"Ashigei Shoujo Komura-san")</f>
        <v>Ashigei Shoujo Komura-san</v>
      </c>
      <c r="G5" s="3" t="str">
        <f ca="1">IFERROR(__xludf.DUMMYFUNCTION("""COMPUTED_VALUE"""),"Skills")</f>
        <v>Skills</v>
      </c>
      <c r="H5" s="3" t="str">
        <f ca="1">IFERROR(__xludf.DUMMYFUNCTION("""COMPUTED_VALUE"""),"You have no footwork training or talent, but you aren’t completely hopeless either. Even if you lack the talent to truly excel, with the right teacher or partner, you can become semi-decent. Your meagre potential will shine more as support for a more tale"&amp;"nted partner than as a solo act, as long as you let them take the lead.")</f>
        <v>You have no footwork training or talent, but you aren’t completely hopeless either. Even if you lack the talent to truly excel, with the right teacher or partner, you can become semi-decent. Your meagre potential will shine more as support for a more talented partner than as a solo act, as long as you let them take the lead.</v>
      </c>
      <c r="I5" s="5"/>
    </row>
    <row r="6" spans="1:9 16384:16384" ht="69.599999999999994" x14ac:dyDescent="0.25">
      <c r="A6" s="16"/>
      <c r="B6" s="17">
        <v>2</v>
      </c>
      <c r="C6" s="4" t="b">
        <f ca="1">IFERROR(__xludf.DUMMYFUNCTION("""COMPUTED_VALUE"""),FALSE)</f>
        <v>0</v>
      </c>
      <c r="D6" s="4">
        <f ca="1">IFERROR(__xludf.DUMMYFUNCTION("""COMPUTED_VALUE"""),0)</f>
        <v>0</v>
      </c>
      <c r="E6" s="4" t="str">
        <f ca="1">IFERROR(__xludf.DUMMYFUNCTION("""COMPUTED_VALUE"""),"Bread on the Run")</f>
        <v>Bread on the Run</v>
      </c>
      <c r="F6" s="4" t="str">
        <f ca="1">IFERROR(__xludf.DUMMYFUNCTION("""COMPUTED_VALUE"""),"Miyuki-chan in Wonderland")</f>
        <v>Miyuki-chan in Wonderland</v>
      </c>
      <c r="G6" s="4" t="str">
        <f ca="1">IFERROR(__xludf.DUMMYFUNCTION("""COMPUTED_VALUE"""),"Skills")</f>
        <v>Skills</v>
      </c>
      <c r="H6" s="4" t="str">
        <f ca="1">IFERROR(__xludf.DUMMYFUNCTION("""COMPUTED_VALUE"""),"You have mastered the Japanese schoolgirl art of running with a piece of bread in your mouth. You can now safely run with any item or food in your mouth without it slipping or harming you. However, it may fall out if you lose your concentration, so don’t "&amp;"let yourself get diverted by skateboarding bunny girls.")</f>
        <v>You have mastered the Japanese schoolgirl art of running with a piece of bread in your mouth. You can now safely run with any item or food in your mouth without it slipping or harming you. However, it may fall out if you lose your concentration, so don’t let yourself get diverted by skateboarding bunny girls.</v>
      </c>
      <c r="I6" s="5"/>
    </row>
    <row r="7" spans="1:9 16384:16384" ht="52.2" x14ac:dyDescent="0.25">
      <c r="A7" s="16"/>
      <c r="B7" s="17">
        <v>3</v>
      </c>
      <c r="C7" s="2" t="b">
        <f ca="1">IFERROR(__xludf.DUMMYFUNCTION("""COMPUTED_VALUE"""),FALSE)</f>
        <v>0</v>
      </c>
      <c r="D7" s="2">
        <f ca="1">IFERROR(__xludf.DUMMYFUNCTION("""COMPUTED_VALUE"""),0)</f>
        <v>0</v>
      </c>
      <c r="E7" s="2" t="str">
        <f ca="1">IFERROR(__xludf.DUMMYFUNCTION("""COMPUTED_VALUE"""),"Punching Pretty Faces")</f>
        <v>Punching Pretty Faces</v>
      </c>
      <c r="F7" s="2" t="str">
        <f ca="1">IFERROR(__xludf.DUMMYFUNCTION("""COMPUTED_VALUE"""),"Waifu Fighter")</f>
        <v>Waifu Fighter</v>
      </c>
      <c r="G7" s="2" t="str">
        <f ca="1">IFERROR(__xludf.DUMMYFUNCTION("""COMPUTED_VALUE"""),"Skills")</f>
        <v>Skills</v>
      </c>
      <c r="H7" s="2" t="str">
        <f ca="1">IFERROR(__xludf.DUMMYFUNCTION("""COMPUTED_VALUE"""),"Your attacks don't mar the beauty of those you are fighting, keeping the faces of those you punch from becoming a swollen and bruised mess. You may optionally negate this effect if you would prefer.")</f>
        <v>Your attacks don't mar the beauty of those you are fighting, keeping the faces of those you punch from becoming a swollen and bruised mess. You may optionally negate this effect if you would prefer.</v>
      </c>
      <c r="I7" s="5"/>
    </row>
    <row r="8" spans="1:9 16384:16384" ht="156.6" x14ac:dyDescent="0.25">
      <c r="A8" s="16"/>
      <c r="B8" s="17">
        <v>4</v>
      </c>
      <c r="C8" s="2" t="b">
        <f ca="1">IFERROR(__xludf.DUMMYFUNCTION("""COMPUTED_VALUE"""),FALSE)</f>
        <v>0</v>
      </c>
      <c r="D8" s="2">
        <f ca="1">IFERROR(__xludf.DUMMYFUNCTION("""COMPUTED_VALUE"""),0)</f>
        <v>0</v>
      </c>
      <c r="E8" s="2" t="str">
        <f ca="1">IFERROR(__xludf.DUMMYFUNCTION("""COMPUTED_VALUE"""),"Wicked Pleasures")</f>
        <v>Wicked Pleasures</v>
      </c>
      <c r="F8" s="2" t="str">
        <f ca="1">IFERROR(__xludf.DUMMYFUNCTION("""COMPUTED_VALUE"""),"Rope Master")</f>
        <v>Rope Master</v>
      </c>
      <c r="G8" s="2" t="str">
        <f ca="1">IFERROR(__xludf.DUMMYFUNCTION("""COMPUTED_VALUE"""),"Skills")</f>
        <v>Skills</v>
      </c>
      <c r="H8" s="2" t="str">
        <f ca="1">IFERROR(__xludf.DUMMYFUNCTION("""COMPUTED_VALUE"""),"Magic bondage is great fun and all but don’t forget about the more mundane fundamentals of good BDSM before you start tying people up. Whether from practical experience or long hours of research on the web you’re an expert in mundane bondage techniques, f"&amp;"rom basic care and maintenance of your equipment to advanced techniques like suspension and artistic shibari. Of course you’re also quite talented at the more vanilla parts of the act and you make an exceptional lover regardless of whether or not BDSM is "&amp;"involved. Even if you have no real experience these skills come to you naturally with practice whether you’re on the giving or the receiving end of it. You also have a good sense for the fine line between painful pleasure and genuine injury and how far yo"&amp;"u can push (or be pushed) over them without harm.")</f>
        <v>Magic bondage is great fun and all but don’t forget about the more mundane fundamentals of good BDSM before you start tying people up. Whether from practical experience or long hours of research on the web you’re an expert in mundane bondage techniques, from basic care and maintenance of your equipment to advanced techniques like suspension and artistic shibari. Of course you’re also quite talented at the more vanilla parts of the act and you make an exceptional lover regardless of whether or not BDSM is involved. Even if you have no real experience these skills come to you naturally with practice whether you’re on the giving or the receiving end of it. You also have a good sense for the fine line between painful pleasure and genuine injury and how far you can push (or be pushed) over them without harm.</v>
      </c>
      <c r="I8" s="5"/>
    </row>
    <row r="9" spans="1:9 16384:16384" ht="69.599999999999994" x14ac:dyDescent="0.25">
      <c r="A9" s="16"/>
      <c r="B9" s="17">
        <v>5</v>
      </c>
      <c r="C9" s="2" t="b">
        <f ca="1">IFERROR(__xludf.DUMMYFUNCTION("""COMPUTED_VALUE"""),FALSE)</f>
        <v>0</v>
      </c>
      <c r="D9" s="2">
        <f ca="1">IFERROR(__xludf.DUMMYFUNCTION("""COMPUTED_VALUE"""),50)</f>
        <v>50</v>
      </c>
      <c r="E9" s="2" t="str">
        <f ca="1">IFERROR(__xludf.DUMMYFUNCTION("""COMPUTED_VALUE"""),"Erogenous Zone Attaching Gloves")</f>
        <v>Erogenous Zone Attaching Gloves</v>
      </c>
      <c r="F9" s="2" t="str">
        <f ca="1">IFERROR(__xludf.DUMMYFUNCTION("""COMPUTED_VALUE"""),"The Otaku in 2200 AD")</f>
        <v>The Otaku in 2200 AD</v>
      </c>
      <c r="G9" s="2" t="str">
        <f ca="1">IFERROR(__xludf.DUMMYFUNCTION("""COMPUTED_VALUE"""),"Skills")</f>
        <v>Skills</v>
      </c>
      <c r="H9" s="2" t="str">
        <f ca="1">IFERROR(__xludf.DUMMYFUNCTION("""COMPUTED_VALUE"""),"These gloves use electromagnetic waves to detect the erogenous zones of your partner, and will magnetically draw your hands into place. Using these gloves allows you to quickly find the personal weak spots of your partner, and causes 8 times as much pleas"&amp;"ure as normal fondling or masturbation can achieve.")</f>
        <v>These gloves use electromagnetic waves to detect the erogenous zones of your partner, and will magnetically draw your hands into place. Using these gloves allows you to quickly find the personal weak spots of your partner, and causes 8 times as much pleasure as normal fondling or masturbation can achieve.</v>
      </c>
      <c r="I9" s="5"/>
    </row>
    <row r="10" spans="1:9 16384:16384" ht="52.2" x14ac:dyDescent="0.25">
      <c r="A10" s="16"/>
      <c r="B10" s="17">
        <v>6</v>
      </c>
      <c r="C10" s="2" t="b">
        <f ca="1">IFERROR(__xludf.DUMMYFUNCTION("""COMPUTED_VALUE"""),FALSE)</f>
        <v>0</v>
      </c>
      <c r="D10" s="2">
        <f ca="1">IFERROR(__xludf.DUMMYFUNCTION("""COMPUTED_VALUE"""),50)</f>
        <v>50</v>
      </c>
      <c r="E10" s="2" t="str">
        <f ca="1">IFERROR(__xludf.DUMMYFUNCTION("""COMPUTED_VALUE"""),"License to Fuck")</f>
        <v>License to Fuck</v>
      </c>
      <c r="F10" s="2" t="str">
        <f ca="1">IFERROR(__xludf.DUMMYFUNCTION("""COMPUTED_VALUE"""),"Generic: Virgin")</f>
        <v>Generic: Virgin</v>
      </c>
      <c r="G10" s="2" t="str">
        <f ca="1">IFERROR(__xludf.DUMMYFUNCTION("""COMPUTED_VALUE"""),"Skills")</f>
        <v>Skills</v>
      </c>
      <c r="H10" s="2" t="str">
        <f ca="1">IFERROR(__xludf.DUMMYFUNCTION("""COMPUTED_VALUE"""),"This small I.D. card has an always updating display of your sexual status, including exactly what activities you have participated in. It can also be used in place of any form of I.D. you might possess, and is always at hand when you want it.")</f>
        <v>This small I.D. card has an always updating display of your sexual status, including exactly what activities you have participated in. It can also be used in place of any form of I.D. you might possess, and is always at hand when you want it.</v>
      </c>
      <c r="I10" s="5"/>
    </row>
    <row r="11" spans="1:9 16384:16384" ht="156.6" x14ac:dyDescent="0.25">
      <c r="A11" s="16"/>
      <c r="B11" s="17">
        <v>7</v>
      </c>
      <c r="C11" s="2" t="b">
        <f ca="1">IFERROR(__xludf.DUMMYFUNCTION("""COMPUTED_VALUE"""),FALSE)</f>
        <v>0</v>
      </c>
      <c r="D11" s="2">
        <f ca="1">IFERROR(__xludf.DUMMYFUNCTION("""COMPUTED_VALUE"""),50)</f>
        <v>50</v>
      </c>
      <c r="E11" s="2" t="str">
        <f ca="1">IFERROR(__xludf.DUMMYFUNCTION("""COMPUTED_VALUE"""),"Magical Girl Fucking Marathon")</f>
        <v>Magical Girl Fucking Marathon</v>
      </c>
      <c r="F11" s="2" t="str">
        <f ca="1">IFERROR(__xludf.DUMMYFUNCTION("""COMPUTED_VALUE"""),"Fate/Loli Order")</f>
        <v>Fate/Loli Order</v>
      </c>
      <c r="G11" s="2" t="str">
        <f ca="1">IFERROR(__xludf.DUMMYFUNCTION("""COMPUTED_VALUE"""),"Skills")</f>
        <v>Skills</v>
      </c>
      <c r="H11" s="2" t="str">
        <f ca="1">IFERROR(__xludf.DUMMYFUNCTION("""COMPUTED_VALUE"""),"Now why would you go preying on a flattie no-chest when Chaldea has bombshells of Raikou, Scathatch, and Sanzang’s caliber? You know, with actual T and A? But I digress, since you clearly don’t care. 
Pick a type of girl/boy. Milf, mahou shoujo, anything"&amp;" along those lines. Your choice will apply to those who fit the description in both genders, don't worry. When it comes to your skill in bed and your physical capacity, both are vastly enhanced - but only when fucking with that particular kind of partner."&amp;" Fuck a milf and you can go all night and cum buckets, fuck a tomboy and you might as well be a one shot wonder.")</f>
        <v>Now why would you go preying on a flattie no-chest when Chaldea has bombshells of Raikou, Scathatch, and Sanzang’s caliber? You know, with actual T and A? But I digress, since you clearly don’t care. 
Pick a type of girl/boy. Milf, mahou shoujo, anything along those lines. Your choice will apply to those who fit the description in both genders, don't worry. When it comes to your skill in bed and your physical capacity, both are vastly enhanced - but only when fucking with that particular kind of partner. Fuck a milf and you can go all night and cum buckets, fuck a tomboy and you might as well be a one shot wonder.</v>
      </c>
      <c r="I11" s="5"/>
    </row>
    <row r="12" spans="1:9 16384:16384" ht="52.2" x14ac:dyDescent="0.25">
      <c r="A12" s="16"/>
      <c r="B12" s="17">
        <v>8</v>
      </c>
      <c r="C12" s="2" t="b">
        <f ca="1">IFERROR(__xludf.DUMMYFUNCTION("""COMPUTED_VALUE"""),FALSE)</f>
        <v>0</v>
      </c>
      <c r="D12" s="2">
        <f ca="1">IFERROR(__xludf.DUMMYFUNCTION("""COMPUTED_VALUE"""),50)</f>
        <v>50</v>
      </c>
      <c r="E12" s="2" t="str">
        <f ca="1">IFERROR(__xludf.DUMMYFUNCTION("""COMPUTED_VALUE"""),"More Like In-Your-End-o")</f>
        <v>More Like In-Your-End-o</v>
      </c>
      <c r="F12" s="2" t="str">
        <f ca="1">IFERROR(__xludf.DUMMYFUNCTION("""COMPUTED_VALUE"""),"Futadom World")</f>
        <v>Futadom World</v>
      </c>
      <c r="G12" s="2" t="str">
        <f ca="1">IFERROR(__xludf.DUMMYFUNCTION("""COMPUTED_VALUE"""),"Skills")</f>
        <v>Skills</v>
      </c>
      <c r="H12" s="2" t="str">
        <f ca="1">IFERROR(__xludf.DUMMYFUNCTION("""COMPUTED_VALUE"""),"This is a world of, if nothing else, absolutely gratuitous innuendo and sexual euphemism. With this perk, you can pun with the best of them. You will always have an absolutely endless supply of sexual humour and bad jokes for any situation. This does noth"&amp;"ing to make it less gratuitous.")</f>
        <v>This is a world of, if nothing else, absolutely gratuitous innuendo and sexual euphemism. With this perk, you can pun with the best of them. You will always have an absolutely endless supply of sexual humour and bad jokes for any situation. This does nothing to make it less gratuitous.</v>
      </c>
      <c r="I12" s="5"/>
    </row>
    <row r="13" spans="1:9 16384:16384" ht="52.2" x14ac:dyDescent="0.25">
      <c r="A13" s="16"/>
      <c r="B13" s="17">
        <v>9</v>
      </c>
      <c r="C13" s="2" t="b">
        <f ca="1">IFERROR(__xludf.DUMMYFUNCTION("""COMPUTED_VALUE"""),FALSE)</f>
        <v>0</v>
      </c>
      <c r="D13" s="2">
        <f ca="1">IFERROR(__xludf.DUMMYFUNCTION("""COMPUTED_VALUE"""),50)</f>
        <v>50</v>
      </c>
      <c r="E13" s="2" t="str">
        <f ca="1">IFERROR(__xludf.DUMMYFUNCTION("""COMPUTED_VALUE"""),"Never Caught Empty Footed")</f>
        <v>Never Caught Empty Footed</v>
      </c>
      <c r="F13" s="2" t="str">
        <f ca="1">IFERROR(__xludf.DUMMYFUNCTION("""COMPUTED_VALUE"""),"Ashigei Shoujo Komura-san")</f>
        <v>Ashigei Shoujo Komura-san</v>
      </c>
      <c r="G13" s="2" t="str">
        <f ca="1">IFERROR(__xludf.DUMMYFUNCTION("""COMPUTED_VALUE"""),"Skills")</f>
        <v>Skills</v>
      </c>
      <c r="H13" s="2" t="str">
        <f ca="1">IFERROR(__xludf.DUMMYFUNCTION("""COMPUTED_VALUE"""),"Something handy for those who can’t use their hands. An ankle-mounted pocket. No matter how crazy or dynamic your leg movements, nothing will ever fall out of these, but you can always retrieve items from this with ease.")</f>
        <v>Something handy for those who can’t use their hands. An ankle-mounted pocket. No matter how crazy or dynamic your leg movements, nothing will ever fall out of these, but you can always retrieve items from this with ease.</v>
      </c>
      <c r="I13" s="5"/>
    </row>
    <row r="14" spans="1:9 16384:16384" ht="87" x14ac:dyDescent="0.25">
      <c r="A14" s="16"/>
      <c r="B14" s="17">
        <v>10</v>
      </c>
      <c r="C14" s="2" t="b">
        <f ca="1">IFERROR(__xludf.DUMMYFUNCTION("""COMPUTED_VALUE"""),FALSE)</f>
        <v>0</v>
      </c>
      <c r="D14" s="2">
        <f ca="1">IFERROR(__xludf.DUMMYFUNCTION("""COMPUTED_VALUE"""),50)</f>
        <v>50</v>
      </c>
      <c r="E14" s="2" t="str">
        <f ca="1">IFERROR(__xludf.DUMMYFUNCTION("""COMPUTED_VALUE"""),"Selfless Lover")</f>
        <v>Selfless Lover</v>
      </c>
      <c r="F14" s="2" t="str">
        <f ca="1">IFERROR(__xludf.DUMMYFUNCTION("""COMPUTED_VALUE"""),"Bokunchi No Mikage-san")</f>
        <v>Bokunchi No Mikage-san</v>
      </c>
      <c r="G14" s="2" t="str">
        <f ca="1">IFERROR(__xludf.DUMMYFUNCTION("""COMPUTED_VALUE"""),"Skills")</f>
        <v>Skills</v>
      </c>
      <c r="H14" s="2" t="str">
        <f ca="1">IFERROR(__xludf.DUMMYFUNCTION("""COMPUTED_VALUE"""),"Wouldn’t it be nice if everyone was like this? More devoted to seeing their partner in pleasure than they were to experiencing it themselves? Not only are you skilled in the act of lovemaking, you have a special ability when it comes to pleasing your part"&amp;"ner. When you one-sidedly give your partner pleasure, such as through oral sex, the sensations they experience are doubled in intensity in the most joyous of ways.")</f>
        <v>Wouldn’t it be nice if everyone was like this? More devoted to seeing their partner in pleasure than they were to experiencing it themselves? Not only are you skilled in the act of lovemaking, you have a special ability when it comes to pleasing your partner. When you one-sidedly give your partner pleasure, such as through oral sex, the sensations they experience are doubled in intensity in the most joyous of ways.</v>
      </c>
      <c r="I14" s="5"/>
    </row>
    <row r="15" spans="1:9 16384:16384" ht="52.2" x14ac:dyDescent="0.25">
      <c r="A15" s="16"/>
      <c r="B15" s="17">
        <v>11</v>
      </c>
      <c r="C15" s="2" t="b">
        <f ca="1">IFERROR(__xludf.DUMMYFUNCTION("""COMPUTED_VALUE"""),FALSE)</f>
        <v>0</v>
      </c>
      <c r="D15" s="2">
        <f ca="1">IFERROR(__xludf.DUMMYFUNCTION("""COMPUTED_VALUE"""),50)</f>
        <v>50</v>
      </c>
      <c r="E15" s="2" t="str">
        <f ca="1">IFERROR(__xludf.DUMMYFUNCTION("""COMPUTED_VALUE"""),"Talent")</f>
        <v>Talent</v>
      </c>
      <c r="F15" s="2" t="str">
        <f ca="1">IFERROR(__xludf.DUMMYFUNCTION("""COMPUTED_VALUE"""),"Generic: Virgin")</f>
        <v>Generic: Virgin</v>
      </c>
      <c r="G15" s="2" t="str">
        <f ca="1">IFERROR(__xludf.DUMMYFUNCTION("""COMPUTED_VALUE"""),"Skills")</f>
        <v>Skills</v>
      </c>
      <c r="H15" s="2" t="str">
        <f ca="1">IFERROR(__xludf.DUMMYFUNCTION("""COMPUTED_VALUE"""),"While you may not be experienced in matters sexual, you’ve got plenty of raw talent, picking up sexual cues and techniques with almost superhuman skill and a readiness to learn whatever is being taught. If it’s kinky, perverse, or erotic, you can learn it"&amp;".")</f>
        <v>While you may not be experienced in matters sexual, you’ve got plenty of raw talent, picking up sexual cues and techniques with almost superhuman skill and a readiness to learn whatever is being taught. If it’s kinky, perverse, or erotic, you can learn it.</v>
      </c>
      <c r="I15" s="5"/>
    </row>
    <row r="16" spans="1:9 16384:16384" ht="139.19999999999999" x14ac:dyDescent="0.25">
      <c r="A16" s="16"/>
      <c r="B16" s="17">
        <v>12</v>
      </c>
      <c r="C16" s="2" t="b">
        <f ca="1">IFERROR(__xludf.DUMMYFUNCTION("""COMPUTED_VALUE"""),FALSE)</f>
        <v>0</v>
      </c>
      <c r="D16" s="2">
        <f ca="1">IFERROR(__xludf.DUMMYFUNCTION("""COMPUTED_VALUE"""),50)</f>
        <v>50</v>
      </c>
      <c r="E16" s="2" t="str">
        <f ca="1">IFERROR(__xludf.DUMMYFUNCTION("""COMPUTED_VALUE"""),"Virgin Queen")</f>
        <v>Virgin Queen</v>
      </c>
      <c r="F16" s="2" t="str">
        <f ca="1">IFERROR(__xludf.DUMMYFUNCTION("""COMPUTED_VALUE"""),"Generic: Virgin")</f>
        <v>Generic: Virgin</v>
      </c>
      <c r="G16" s="2" t="str">
        <f ca="1">IFERROR(__xludf.DUMMYFUNCTION("""COMPUTED_VALUE"""),"Skills")</f>
        <v>Skills</v>
      </c>
      <c r="H16" s="2" t="str">
        <f ca="1">IFERROR(__xludf.DUMMYFUNCTION("""COMPUTED_VALUE"""),"You have a portrait of Queen Elizabeth the First of England, by an artist and in a style of your choice. It will be signed by both the artist and the Queen, and will be accepted as legitimate and real by anyone examining it. 
If you happen to need advice"&amp;" on ruling or leadership, Queen Elizabeth will animate like a portrait from a certain book series to help you. She is an expert and will somehow be fully informed on the history, economics and politics of your current setting. She might also do a striptea"&amp;"se, if you ask nicely.")</f>
        <v>You have a portrait of Queen Elizabeth the First of England, by an artist and in a style of your choice. It will be signed by both the artist and the Queen, and will be accepted as legitimate and real by anyone examining it. 
If you happen to need advice on ruling or leadership, Queen Elizabeth will animate like a portrait from a certain book series to help you. She is an expert and will somehow be fully informed on the history, economics and politics of your current setting. She might also do a striptease, if you ask nicely.</v>
      </c>
      <c r="I16" s="5"/>
    </row>
    <row r="17" spans="1:9" ht="52.2" x14ac:dyDescent="0.25">
      <c r="A17" s="16"/>
      <c r="B17" s="17">
        <v>13</v>
      </c>
      <c r="C17" s="2" t="b">
        <f ca="1">IFERROR(__xludf.DUMMYFUNCTION("""COMPUTED_VALUE"""),FALSE)</f>
        <v>0</v>
      </c>
      <c r="D17" s="2">
        <f ca="1">IFERROR(__xludf.DUMMYFUNCTION("""COMPUTED_VALUE"""),100)</f>
        <v>100</v>
      </c>
      <c r="E17" s="2" t="str">
        <f ca="1">IFERROR(__xludf.DUMMYFUNCTION("""COMPUTED_VALUE"""),"""What a Naughty Scent...""")</f>
        <v>"What a Naughty Scent..."</v>
      </c>
      <c r="F17" s="2" t="str">
        <f ca="1">IFERROR(__xludf.DUMMYFUNCTION("""COMPUTED_VALUE"""),"My Bride is the Demon Lord")</f>
        <v>My Bride is the Demon Lord</v>
      </c>
      <c r="G17" s="2" t="str">
        <f ca="1">IFERROR(__xludf.DUMMYFUNCTION("""COMPUTED_VALUE"""),"Skills")</f>
        <v>Skills</v>
      </c>
      <c r="H17" s="2" t="str">
        <f ca="1">IFERROR(__xludf.DUMMYFUNCTION("""COMPUTED_VALUE"""),"Your nose becomes more sensitive, to the point that you can now differentiate between different people who come near you by scent. But more importantly, the scent of someone’s genitals is now very, very pleasurable, enough so that you could get off on the"&amp;" smell alone if you cared to.")</f>
        <v>Your nose becomes more sensitive, to the point that you can now differentiate between different people who come near you by scent. But more importantly, the scent of someone’s genitals is now very, very pleasurable, enough so that you could get off on the smell alone if you cared to.</v>
      </c>
      <c r="I17" s="5"/>
    </row>
    <row r="18" spans="1:9" ht="156.6" x14ac:dyDescent="0.25">
      <c r="A18" s="16"/>
      <c r="B18" s="17">
        <v>14</v>
      </c>
      <c r="C18" s="2" t="b">
        <f ca="1">IFERROR(__xludf.DUMMYFUNCTION("""COMPUTED_VALUE"""),FALSE)</f>
        <v>0</v>
      </c>
      <c r="D18" s="2">
        <f ca="1">IFERROR(__xludf.DUMMYFUNCTION("""COMPUTED_VALUE"""),100)</f>
        <v>100</v>
      </c>
      <c r="E18" s="2" t="str">
        <f ca="1">IFERROR(__xludf.DUMMYFUNCTION("""COMPUTED_VALUE"""),"A Dragon's Might")</f>
        <v>A Dragon's Might</v>
      </c>
      <c r="F18" s="2" t="str">
        <f ca="1">IFERROR(__xludf.DUMMYFUNCTION("""COMPUTED_VALUE"""),"A Change of Tactics V2.2")</f>
        <v>A Change of Tactics V2.2</v>
      </c>
      <c r="G18" s="2" t="str">
        <f ca="1">IFERROR(__xludf.DUMMYFUNCTION("""COMPUTED_VALUE"""),"Skills")</f>
        <v>Skills</v>
      </c>
      <c r="H18" s="2" t="str">
        <f ca="1">IFERROR(__xludf.DUMMYFUNCTION("""COMPUTED_VALUE"""),"No ordinary human could possibly contain a dragon’s power. It took the Grimleal centuries to cultivate the perfect vessel for their dread master’s essence, and the resulting human was impressively powerful even before he unlocked his heritage. Whether you"&amp;" were created by an act of Naga or by the same rituals that gave birth to Robin, your mind, body, and spirit are all rich with latent potential waiting to be unleashed. You’re simply better than ordinary humans, a natural genius whose strengths and skills"&amp;" grow in leaps and bounds in only a fraction of the time and effort your rivals require. Your draconic nature allows you to grow especially quickly in battle and other circumstances where you assert dominance over others, to the point where you could beco"&amp;"me a master of the blade in a fortnight if you were constantly fighting for your life.")</f>
        <v>No ordinary human could possibly contain a dragon’s power. It took the Grimleal centuries to cultivate the perfect vessel for their dread master’s essence, and the resulting human was impressively powerful even before he unlocked his heritage. Whether you were created by an act of Naga or by the same rituals that gave birth to Robin, your mind, body, and spirit are all rich with latent potential waiting to be unleashed. You’re simply better than ordinary humans, a natural genius whose strengths and skills grow in leaps and bounds in only a fraction of the time and effort your rivals require. Your draconic nature allows you to grow especially quickly in battle and other circumstances where you assert dominance over others, to the point where you could become a master of the blade in a fortnight if you were constantly fighting for your life.</v>
      </c>
      <c r="I18" s="5"/>
    </row>
    <row r="19" spans="1:9" ht="69.599999999999994" x14ac:dyDescent="0.25">
      <c r="A19" s="16"/>
      <c r="B19" s="17">
        <v>15</v>
      </c>
      <c r="C19" s="2" t="b">
        <f ca="1">IFERROR(__xludf.DUMMYFUNCTION("""COMPUTED_VALUE"""),FALSE)</f>
        <v>0</v>
      </c>
      <c r="D19" s="2">
        <f ca="1">IFERROR(__xludf.DUMMYFUNCTION("""COMPUTED_VALUE"""),100)</f>
        <v>100</v>
      </c>
      <c r="E19" s="2" t="str">
        <f ca="1">IFERROR(__xludf.DUMMYFUNCTION("""COMPUTED_VALUE"""),"A Pleasing Tongue")</f>
        <v>A Pleasing Tongue</v>
      </c>
      <c r="F19" s="2" t="str">
        <f ca="1">IFERROR(__xludf.DUMMYFUNCTION("""COMPUTED_VALUE"""),"The 120 Days of Sodom")</f>
        <v>The 120 Days of Sodom</v>
      </c>
      <c r="G19" s="2" t="str">
        <f ca="1">IFERROR(__xludf.DUMMYFUNCTION("""COMPUTED_VALUE"""),"Skills")</f>
        <v>Skills</v>
      </c>
      <c r="H19" s="2" t="str">
        <f ca="1">IFERROR(__xludf.DUMMYFUNCTION("""COMPUTED_VALUE"""),"It is commonly accepted amongst authentic libertines that the sensations communicated by the organs of hearing are the most flattering and those impressions are the liveliest; and you are now exceptional at imparting those sensations. Be it through beauti"&amp;"ful song, the sounds of orgasm, or a recounting of tales, you can inflame the greatest heights of passion.")</f>
        <v>It is commonly accepted amongst authentic libertines that the sensations communicated by the organs of hearing are the most flattering and those impressions are the liveliest; and you are now exceptional at imparting those sensations. Be it through beautiful song, the sounds of orgasm, or a recounting of tales, you can inflame the greatest heights of passion.</v>
      </c>
      <c r="I19" s="5"/>
    </row>
    <row r="20" spans="1:9" ht="87" x14ac:dyDescent="0.25">
      <c r="A20" s="16"/>
      <c r="B20" s="17">
        <v>16</v>
      </c>
      <c r="C20" s="2" t="b">
        <f ca="1">IFERROR(__xludf.DUMMYFUNCTION("""COMPUTED_VALUE"""),FALSE)</f>
        <v>0</v>
      </c>
      <c r="D20" s="2">
        <f ca="1">IFERROR(__xludf.DUMMYFUNCTION("""COMPUTED_VALUE"""),100)</f>
        <v>100</v>
      </c>
      <c r="E20" s="2" t="str">
        <f ca="1">IFERROR(__xludf.DUMMYFUNCTION("""COMPUTED_VALUE"""),"A Pleasure to Please")</f>
        <v>A Pleasure to Please</v>
      </c>
      <c r="F20" s="2" t="str">
        <f ca="1">IFERROR(__xludf.DUMMYFUNCTION("""COMPUTED_VALUE"""),"The Works of Aomizuan")</f>
        <v>The Works of Aomizuan</v>
      </c>
      <c r="G20" s="2" t="str">
        <f ca="1">IFERROR(__xludf.DUMMYFUNCTION("""COMPUTED_VALUE"""),"Skills")</f>
        <v>Skills</v>
      </c>
      <c r="H20" s="2" t="str">
        <f ca="1">IFERROR(__xludf.DUMMYFUNCTION("""COMPUTED_VALUE"""),"This world is filled with degenerates who long for sex, any kind of sex, from anyone. You have a preternatural ability to locate such people. You can immediately tell from looking if someone would be opposed to you molesting them or if they’d just take it"&amp;", whether they’d be fine with you doing everything up to penetration before objecting, or whether they’d accept absolutely anything you did to them. Excellent for picking out targets who won’t raise a fuss over you fucking them.")</f>
        <v>This world is filled with degenerates who long for sex, any kind of sex, from anyone. You have a preternatural ability to locate such people. You can immediately tell from looking if someone would be opposed to you molesting them or if they’d just take it, whether they’d be fine with you doing everything up to penetration before objecting, or whether they’d accept absolutely anything you did to them. Excellent for picking out targets who won’t raise a fuss over you fucking them.</v>
      </c>
      <c r="I20" s="5"/>
    </row>
    <row r="21" spans="1:9" ht="69.599999999999994" x14ac:dyDescent="0.25">
      <c r="A21" s="16"/>
      <c r="B21" s="17">
        <v>17</v>
      </c>
      <c r="C21" s="2" t="b">
        <f ca="1">IFERROR(__xludf.DUMMYFUNCTION("""COMPUTED_VALUE"""),FALSE)</f>
        <v>0</v>
      </c>
      <c r="D21" s="2">
        <f ca="1">IFERROR(__xludf.DUMMYFUNCTION("""COMPUTED_VALUE"""),100)</f>
        <v>100</v>
      </c>
      <c r="E21" s="2" t="str">
        <f ca="1">IFERROR(__xludf.DUMMYFUNCTION("""COMPUTED_VALUE"""),"A Taste for Teasing")</f>
        <v>A Taste for Teasing</v>
      </c>
      <c r="F21" s="2" t="str">
        <f ca="1">IFERROR(__xludf.DUMMYFUNCTION("""COMPUTED_VALUE"""),"Bokunchi No Mikage-san")</f>
        <v>Bokunchi No Mikage-san</v>
      </c>
      <c r="G21" s="2" t="str">
        <f ca="1">IFERROR(__xludf.DUMMYFUNCTION("""COMPUTED_VALUE"""),"Skills")</f>
        <v>Skills</v>
      </c>
      <c r="H21" s="2" t="str">
        <f ca="1">IFERROR(__xludf.DUMMYFUNCTION("""COMPUTED_VALUE"""),"You always know the best way to tease someone. You know exactly what to say to make people feel embarrassed and humiliated, with the social awareness to avoid going too far and overwhelming them. You know what buttons to press to keep it to lighthearted t"&amp;"easing, but that also means you know what to do to turn your teasing into outright bullying and emotional harassment.")</f>
        <v>You always know the best way to tease someone. You know exactly what to say to make people feel embarrassed and humiliated, with the social awareness to avoid going too far and overwhelming them. You know what buttons to press to keep it to lighthearted teasing, but that also means you know what to do to turn your teasing into outright bullying and emotional harassment.</v>
      </c>
      <c r="I21" s="5"/>
    </row>
    <row r="22" spans="1:9" ht="261" x14ac:dyDescent="0.25">
      <c r="A22" s="16"/>
      <c r="B22" s="17">
        <v>18</v>
      </c>
      <c r="C22" s="2" t="b">
        <f ca="1">IFERROR(__xludf.DUMMYFUNCTION("""COMPUTED_VALUE"""),FALSE)</f>
        <v>0</v>
      </c>
      <c r="D22" s="2">
        <f ca="1">IFERROR(__xludf.DUMMYFUNCTION("""COMPUTED_VALUE"""),100)</f>
        <v>100</v>
      </c>
      <c r="E22" s="2" t="str">
        <f ca="1">IFERROR(__xludf.DUMMYFUNCTION("""COMPUTED_VALUE"""),"All Night Long")</f>
        <v>All Night Long</v>
      </c>
      <c r="F22" s="2" t="str">
        <f ca="1">IFERROR(__xludf.DUMMYFUNCTION("""COMPUTED_VALUE"""),"Lewd Virus")</f>
        <v>Lewd Virus</v>
      </c>
      <c r="G22" s="2" t="str">
        <f ca="1">IFERROR(__xludf.DUMMYFUNCTION("""COMPUTED_VALUE"""),"Skills")</f>
        <v>Skills</v>
      </c>
      <c r="H22" s="2" t="str">
        <f ca="1">IFERROR(__xludf.DUMMYFUNCTION("""COMPUTED_VALUE"""),"Even sleep can’t stop you from having sex. Like Yuu, you have the peculiar ability to keep fucking someone even while you’re asleep. This won’t wake you up, and you’ll still be just as skillful at it as you would be if you were awake... if “skillful” is t"&amp;"he right term for something you aren’t consciously doing. Also like Yuu, this will keep your partners up all night as they try and fail to sleep through the ceaseless orgasms you cause them.
But if you still want sleep sex but want to be considerate of "&amp;"your partners, you can instead make sleep sex with you be soothing and sleep-inducing. Don’t worry about how that makes sense, it's taken care of. Your partner, like you, will sleep deeply and healthily, and experience the mother of all wet dreams to acco"&amp;"mpany the pleasure their body is feeling. Depending on the perks you purchased, though, waking up might be a surprise when they find their stomach has bulged out with an entire night’s worth of cum.
If for whatever reason you don’t want to fuck your bed"&amp;"-partner in your sleep, you can toggle this ability off before going to bed.")</f>
        <v>Even sleep can’t stop you from having sex. Like Yuu, you have the peculiar ability to keep fucking someone even while you’re asleep. This won’t wake you up, and you’ll still be just as skillful at it as you would be if you were awake... if “skillful” is the right term for something you aren’t consciously doing. Also like Yuu, this will keep your partners up all night as they try and fail to sleep through the ceaseless orgasms you cause them.
But if you still want sleep sex but want to be considerate of your partners, you can instead make sleep sex with you be soothing and sleep-inducing. Don’t worry about how that makes sense, it's taken care of. Your partner, like you, will sleep deeply and healthily, and experience the mother of all wet dreams to accompany the pleasure their body is feeling. Depending on the perks you purchased, though, waking up might be a surprise when they find their stomach has bulged out with an entire night’s worth of cum.
If for whatever reason you don’t want to fuck your bed-partner in your sleep, you can toggle this ability off before going to bed.</v>
      </c>
      <c r="I22" s="5"/>
    </row>
    <row r="23" spans="1:9" ht="69.599999999999994" x14ac:dyDescent="0.25">
      <c r="A23" s="16"/>
      <c r="B23" s="17">
        <v>19</v>
      </c>
      <c r="C23" s="2" t="b">
        <f ca="1">IFERROR(__xludf.DUMMYFUNCTION("""COMPUTED_VALUE"""),FALSE)</f>
        <v>0</v>
      </c>
      <c r="D23" s="2">
        <f ca="1">IFERROR(__xludf.DUMMYFUNCTION("""COMPUTED_VALUE"""),100)</f>
        <v>100</v>
      </c>
      <c r="E23" s="2" t="str">
        <f ca="1">IFERROR(__xludf.DUMMYFUNCTION("""COMPUTED_VALUE"""),"An Eye for Detail")</f>
        <v>An Eye for Detail</v>
      </c>
      <c r="F23" s="2" t="str">
        <f ca="1">IFERROR(__xludf.DUMMYFUNCTION("""COMPUTED_VALUE"""),"Generic: Hentai Modern")</f>
        <v>Generic: Hentai Modern</v>
      </c>
      <c r="G23" s="2" t="str">
        <f ca="1">IFERROR(__xludf.DUMMYFUNCTION("""COMPUTED_VALUE"""),"Skills")</f>
        <v>Skills</v>
      </c>
      <c r="H23" s="2" t="str">
        <f ca="1">IFERROR(__xludf.DUMMYFUNCTION("""COMPUTED_VALUE"""),"Just what any stalker needs, the ability to notice small things that others might not. You now have the skills to get the general gist of a person's mood/mental state via their physical appearance, and more importantly, a woman’s three sizes. Or the size "&amp;"of a man’s package, if you happen to lean that way. Either way, you’ve an eye for detail.")</f>
        <v>Just what any stalker needs, the ability to notice small things that others might not. You now have the skills to get the general gist of a person's mood/mental state via their physical appearance, and more importantly, a woman’s three sizes. Or the size of a man’s package, if you happen to lean that way. Either way, you’ve an eye for detail.</v>
      </c>
      <c r="I23" s="5"/>
    </row>
    <row r="24" spans="1:9" ht="87" x14ac:dyDescent="0.25">
      <c r="A24" s="16"/>
      <c r="B24" s="17">
        <v>20</v>
      </c>
      <c r="C24" s="2" t="b">
        <f ca="1">IFERROR(__xludf.DUMMYFUNCTION("""COMPUTED_VALUE"""),FALSE)</f>
        <v>0</v>
      </c>
      <c r="D24" s="2">
        <f ca="1">IFERROR(__xludf.DUMMYFUNCTION("""COMPUTED_VALUE"""),100)</f>
        <v>100</v>
      </c>
      <c r="E24" s="2" t="str">
        <f ca="1">IFERROR(__xludf.DUMMYFUNCTION("""COMPUTED_VALUE"""),"Bedroom Wrestling")</f>
        <v>Bedroom Wrestling</v>
      </c>
      <c r="F24" s="2" t="str">
        <f ca="1">IFERROR(__xludf.DUMMYFUNCTION("""COMPUTED_VALUE"""),"Gensoukyou Futanari Chinpo Wrestling")</f>
        <v>Gensoukyou Futanari Chinpo Wrestling</v>
      </c>
      <c r="G24" s="2" t="str">
        <f ca="1">IFERROR(__xludf.DUMMYFUNCTION("""COMPUTED_VALUE"""),"Skills")</f>
        <v>Skills</v>
      </c>
      <c r="H24" s="2" t="str">
        <f ca="1">IFERROR(__xludf.DUMMYFUNCTION("""COMPUTED_VALUE"""),"This sport can be quite daunting as it requires the contestants to combine physical skill with sexual technique. Thankfully, you have a solid foundation in both of these important components, able to pull off all the basic wrestling moves and sex position"&amp;"s. Naturally, this won’t help you much against the cream of the crop of the GFCW roster but like I said it's a solid foundation. Train hard and you might make it to the top someday!")</f>
        <v>This sport can be quite daunting as it requires the contestants to combine physical skill with sexual technique. Thankfully, you have a solid foundation in both of these important components, able to pull off all the basic wrestling moves and sex positions. Naturally, this won’t help you much against the cream of the crop of the GFCW roster but like I said it's a solid foundation. Train hard and you might make it to the top someday!</v>
      </c>
      <c r="I24" s="5"/>
    </row>
    <row r="25" spans="1:9" ht="52.2" x14ac:dyDescent="0.25">
      <c r="A25" s="16"/>
      <c r="B25" s="17">
        <v>21</v>
      </c>
      <c r="C25" s="2" t="b">
        <f ca="1">IFERROR(__xludf.DUMMYFUNCTION("""COMPUTED_VALUE"""),FALSE)</f>
        <v>0</v>
      </c>
      <c r="D25" s="2">
        <f ca="1">IFERROR(__xludf.DUMMYFUNCTION("""COMPUTED_VALUE"""),100)</f>
        <v>100</v>
      </c>
      <c r="E25" s="2" t="str">
        <f ca="1">IFERROR(__xludf.DUMMYFUNCTION("""COMPUTED_VALUE"""),"Being this Excellent is a Crime")</f>
        <v>Being this Excellent is a Crime</v>
      </c>
      <c r="F25" s="2" t="str">
        <f ca="1">IFERROR(__xludf.DUMMYFUNCTION("""COMPUTED_VALUE"""),"Kyonyuu Fantasy")</f>
        <v>Kyonyuu Fantasy</v>
      </c>
      <c r="G25" s="2" t="str">
        <f ca="1">IFERROR(__xludf.DUMMYFUNCTION("""COMPUTED_VALUE"""),"Skills")</f>
        <v>Skills</v>
      </c>
      <c r="H25" s="2" t="str">
        <f ca="1">IFERROR(__xludf.DUMMYFUNCTION("""COMPUTED_VALUE"""),"Like Mortaire you seem to have mastered the art of being smug. Never once have you been caught flat footed in a conversation and you always have a snarky comeback for any occasion. Luckily those around you will be more tolerant of your snark as long as yo"&amp;"u have the skills to backup your pride.")</f>
        <v>Like Mortaire you seem to have mastered the art of being smug. Never once have you been caught flat footed in a conversation and you always have a snarky comeback for any occasion. Luckily those around you will be more tolerant of your snark as long as you have the skills to backup your pride.</v>
      </c>
      <c r="I25" s="5"/>
    </row>
    <row r="26" spans="1:9" ht="52.2" x14ac:dyDescent="0.25">
      <c r="A26" s="16"/>
      <c r="B26" s="17">
        <v>22</v>
      </c>
      <c r="C26" s="2" t="b">
        <f ca="1">IFERROR(__xludf.DUMMYFUNCTION("""COMPUTED_VALUE"""),FALSE)</f>
        <v>0</v>
      </c>
      <c r="D26" s="2">
        <f ca="1">IFERROR(__xludf.DUMMYFUNCTION("""COMPUTED_VALUE"""),100)</f>
        <v>100</v>
      </c>
      <c r="E26" s="2" t="str">
        <f ca="1">IFERROR(__xludf.DUMMYFUNCTION("""COMPUTED_VALUE"""),"Breasted Boobily Down the Stairs")</f>
        <v>Breasted Boobily Down the Stairs</v>
      </c>
      <c r="F26" s="2" t="str">
        <f ca="1">IFERROR(__xludf.DUMMYFUNCTION("""COMPUTED_VALUE"""),"Generic: QQ")</f>
        <v>Generic: QQ</v>
      </c>
      <c r="G26" s="2" t="str">
        <f ca="1">IFERROR(__xludf.DUMMYFUNCTION("""COMPUTED_VALUE"""),"Skills")</f>
        <v>Skills</v>
      </c>
      <c r="H26" s="2" t="str">
        <f ca="1">IFERROR(__xludf.DUMMYFUNCTION("""COMPUTED_VALUE"""),"There’s amateur, trashy smut that gets sold in cheap paperbacks. Then there’s what you write. Elegant, refined (at least in style) and effective. Balancing detail and pacing for maximum arousal, your sex scenes are very effective at getting people off.")</f>
        <v>There’s amateur, trashy smut that gets sold in cheap paperbacks. Then there’s what you write. Elegant, refined (at least in style) and effective. Balancing detail and pacing for maximum arousal, your sex scenes are very effective at getting people off.</v>
      </c>
      <c r="I26" s="5"/>
    </row>
    <row r="27" spans="1:9" ht="69.599999999999994" x14ac:dyDescent="0.25">
      <c r="A27" s="16"/>
      <c r="B27" s="17">
        <v>23</v>
      </c>
      <c r="C27" s="2" t="b">
        <f ca="1">IFERROR(__xludf.DUMMYFUNCTION("""COMPUTED_VALUE"""),FALSE)</f>
        <v>0</v>
      </c>
      <c r="D27" s="2">
        <f ca="1">IFERROR(__xludf.DUMMYFUNCTION("""COMPUTED_VALUE"""),100)</f>
        <v>100</v>
      </c>
      <c r="E27" s="2" t="str">
        <f ca="1">IFERROR(__xludf.DUMMYFUNCTION("""COMPUTED_VALUE"""),"Censored Tongue")</f>
        <v>Censored Tongue</v>
      </c>
      <c r="F27" s="2" t="str">
        <f ca="1">IFERROR(__xludf.DUMMYFUNCTION("""COMPUTED_VALUE"""),"Miyuki-chan in Wonderland")</f>
        <v>Miyuki-chan in Wonderland</v>
      </c>
      <c r="G27" s="2" t="str">
        <f ca="1">IFERROR(__xludf.DUMMYFUNCTION("""COMPUTED_VALUE"""),"Skills")</f>
        <v>Skills</v>
      </c>
      <c r="H27" s="2" t="str">
        <f ca="1">IFERROR(__xludf.DUMMYFUNCTION("""COMPUTED_VALUE"""),"You have learned a wonderful language that consists entirely of censored words (primarily sex-related ones). With a little effort and lots of whispering, you can teach it to others as you wish, but it will be difficult (if not impossible) for most enemies"&amp;" to interpret the code, primarily because they get flustered just listening to the words.")</f>
        <v>You have learned a wonderful language that consists entirely of censored words (primarily sex-related ones). With a little effort and lots of whispering, you can teach it to others as you wish, but it will be difficult (if not impossible) for most enemies to interpret the code, primarily because they get flustered just listening to the words.</v>
      </c>
      <c r="I27" s="5"/>
    </row>
    <row r="28" spans="1:9" ht="52.2" x14ac:dyDescent="0.25">
      <c r="A28" s="16"/>
      <c r="B28" s="17">
        <v>24</v>
      </c>
      <c r="C28" s="2" t="b">
        <f ca="1">IFERROR(__xludf.DUMMYFUNCTION("""COMPUTED_VALUE"""),FALSE)</f>
        <v>0</v>
      </c>
      <c r="D28" s="2">
        <f ca="1">IFERROR(__xludf.DUMMYFUNCTION("""COMPUTED_VALUE"""),100)</f>
        <v>100</v>
      </c>
      <c r="E28" s="2" t="str">
        <f ca="1">IFERROR(__xludf.DUMMYFUNCTION("""COMPUTED_VALUE"""),"Delaying Action")</f>
        <v>Delaying Action</v>
      </c>
      <c r="F28" s="2" t="str">
        <f ca="1">IFERROR(__xludf.DUMMYFUNCTION("""COMPUTED_VALUE"""),"eratohoK")</f>
        <v>eratohoK</v>
      </c>
      <c r="G28" s="2" t="str">
        <f ca="1">IFERROR(__xludf.DUMMYFUNCTION("""COMPUTED_VALUE"""),"Skills")</f>
        <v>Skills</v>
      </c>
      <c r="H28" s="2" t="str">
        <f ca="1">IFERROR(__xludf.DUMMYFUNCTION("""COMPUTED_VALUE"""),"You are highly skilled at edging people, keeping them on the very brink of climax near-indefinitely. It’s very helpful if you wish to, for instance, time it to make someone suffer multiple simultaneous orgasms.")</f>
        <v>You are highly skilled at edging people, keeping them on the very brink of climax near-indefinitely. It’s very helpful if you wish to, for instance, time it to make someone suffer multiple simultaneous orgasms.</v>
      </c>
      <c r="I28" s="5"/>
    </row>
    <row r="29" spans="1:9" ht="191.4" x14ac:dyDescent="0.25">
      <c r="A29" s="16"/>
      <c r="B29" s="17">
        <v>25</v>
      </c>
      <c r="C29" s="2" t="b">
        <f ca="1">IFERROR(__xludf.DUMMYFUNCTION("""COMPUTED_VALUE"""),FALSE)</f>
        <v>0</v>
      </c>
      <c r="D29" s="2">
        <f ca="1">IFERROR(__xludf.DUMMYFUNCTION("""COMPUTED_VALUE"""),100)</f>
        <v>100</v>
      </c>
      <c r="E29" s="2" t="str">
        <f ca="1">IFERROR(__xludf.DUMMYFUNCTION("""COMPUTED_VALUE"""),"Digital Lewdness")</f>
        <v>Digital Lewdness</v>
      </c>
      <c r="F29" s="2" t="str">
        <f ca="1">IFERROR(__xludf.DUMMYFUNCTION("""COMPUTED_VALUE"""),"World of Cybersluts")</f>
        <v>World of Cybersluts</v>
      </c>
      <c r="G29" s="2" t="str">
        <f ca="1">IFERROR(__xludf.DUMMYFUNCTION("""COMPUTED_VALUE"""),"Skills")</f>
        <v>Skills</v>
      </c>
      <c r="H29" s="2" t="str">
        <f ca="1">IFERROR(__xludf.DUMMYFUNCTION("""COMPUTED_VALUE"""),"Almost all of the artificial intelligences here are based on a reproduction or at least an approximation of the human mind. Which means that most of the truly advanced AIs also have needs. What’s a lonely virtual presence to do, when they’re just running "&amp;"on a remote server with no physical body to satisfy those urges? Obviously, the solution to this is just to translate sex into a digital form that can be enjoyed in cyberspace.
You’ve cracked the code on virtual sex, able to show other artificial intelli"&amp;"gence and any enterprising humans browsing the Net a good time through purely virtual and mental means. So go ahead and mesh that code together, decrypt your way into their pants firewall, and get deep into the erogenous data of your AI lover’s software. "&amp;"Really tease those circuits. Also gives you a flair for dirty talk, particularly using coding and hacking metaphors.")</f>
        <v>Almost all of the artificial intelligences here are based on a reproduction or at least an approximation of the human mind. Which means that most of the truly advanced AIs also have needs. What’s a lonely virtual presence to do, when they’re just running on a remote server with no physical body to satisfy those urges? Obviously, the solution to this is just to translate sex into a digital form that can be enjoyed in cyberspace.
You’ve cracked the code on virtual sex, able to show other artificial intelligence and any enterprising humans browsing the Net a good time through purely virtual and mental means. So go ahead and mesh that code together, decrypt your way into their pants firewall, and get deep into the erogenous data of your AI lover’s software. Really tease those circuits. Also gives you a flair for dirty talk, particularly using coding and hacking metaphors.</v>
      </c>
      <c r="I29" s="5"/>
    </row>
    <row r="30" spans="1:9" ht="261" x14ac:dyDescent="0.25">
      <c r="A30" s="16"/>
      <c r="B30" s="17">
        <v>26</v>
      </c>
      <c r="C30" s="2" t="b">
        <f ca="1">IFERROR(__xludf.DUMMYFUNCTION("""COMPUTED_VALUE"""),FALSE)</f>
        <v>0</v>
      </c>
      <c r="D30" s="2">
        <f ca="1">IFERROR(__xludf.DUMMYFUNCTION("""COMPUTED_VALUE"""),100)</f>
        <v>100</v>
      </c>
      <c r="E30" s="2" t="str">
        <f ca="1">IFERROR(__xludf.DUMMYFUNCTION("""COMPUTED_VALUE"""),"Edging Out")</f>
        <v>Edging Out</v>
      </c>
      <c r="F30" s="2" t="str">
        <f ca="1">IFERROR(__xludf.DUMMYFUNCTION("""COMPUTED_VALUE"""),"World of Cybersluts")</f>
        <v>World of Cybersluts</v>
      </c>
      <c r="G30" s="2" t="str">
        <f ca="1">IFERROR(__xludf.DUMMYFUNCTION("""COMPUTED_VALUE"""),"Skills")</f>
        <v>Skills</v>
      </c>
      <c r="H30" s="2" t="str">
        <f ca="1">IFERROR(__xludf.DUMMYFUNCTION("""COMPUTED_VALUE"""),"Even the best runners have bad days. Occasionally a job just ends up going tits-up, either because of bad luck, bad intel, or because they fucked up. What separates the best runners from the dead runners is how they deal with bad runs like that. 
You're "&amp;"good at quickly thinking up exit strategies for any situation, whether that's a way to quickly break up with someone or get out of a facility you infiltrated. Of those, the solutions involving seduction and sex tend to go better for you. You’ve got the lu"&amp;"ck needed to get out of situations so sticky that they would be certain death or worse to anyone else, as long as you don't mind getting a little sticky yourself in the process. So as long as you’re willing to act slutty enough, you’ll get away with a lot"&amp;".
Get caught on tape and a quick blowjob might be all you need to do to have the evidence erased. But bigger problems would require more sex to get out of. For example, if security ends up cornering you in the middle of a heavily guarded corporate facili"&amp;"ty, they might let you go after fucking all of them instead of putting you in a bodybag or a max-security prison.")</f>
        <v>Even the best runners have bad days. Occasionally a job just ends up going tits-up, either because of bad luck, bad intel, or because they fucked up. What separates the best runners from the dead runners is how they deal with bad runs like that. 
You're good at quickly thinking up exit strategies for any situation, whether that's a way to quickly break up with someone or get out of a facility you infiltrated. Of those, the solutions involving seduction and sex tend to go better for you. You’ve got the luck needed to get out of situations so sticky that they would be certain death or worse to anyone else, as long as you don't mind getting a little sticky yourself in the process. So as long as you’re willing to act slutty enough, you’ll get away with a lot.
Get caught on tape and a quick blowjob might be all you need to do to have the evidence erased. But bigger problems would require more sex to get out of. For example, if security ends up cornering you in the middle of a heavily guarded corporate facility, they might let you go after fucking all of them instead of putting you in a bodybag or a max-security prison.</v>
      </c>
      <c r="I30" s="5"/>
    </row>
    <row r="31" spans="1:9" ht="69.599999999999994" x14ac:dyDescent="0.25">
      <c r="A31" s="16"/>
      <c r="B31" s="17">
        <v>27</v>
      </c>
      <c r="C31" s="2" t="b">
        <f ca="1">IFERROR(__xludf.DUMMYFUNCTION("""COMPUTED_VALUE"""),FALSE)</f>
        <v>0</v>
      </c>
      <c r="D31" s="2">
        <f ca="1">IFERROR(__xludf.DUMMYFUNCTION("""COMPUTED_VALUE"""),100)</f>
        <v>100</v>
      </c>
      <c r="E31" s="2" t="str">
        <f ca="1">IFERROR(__xludf.DUMMYFUNCTION("""COMPUTED_VALUE"""),"Erotic Grappling")</f>
        <v>Erotic Grappling</v>
      </c>
      <c r="F31" s="2" t="str">
        <f ca="1">IFERROR(__xludf.DUMMYFUNCTION("""COMPUTED_VALUE"""),"Kamikaze Kommittee Ouka")</f>
        <v>Kamikaze Kommittee Ouka</v>
      </c>
      <c r="G31" s="2" t="str">
        <f ca="1">IFERROR(__xludf.DUMMYFUNCTION("""COMPUTED_VALUE"""),"Skills")</f>
        <v>Skills</v>
      </c>
      <c r="H31" s="2" t="str">
        <f ca="1">IFERROR(__xludf.DUMMYFUNCTION("""COMPUTED_VALUE"""),"Defeating your opponents while having some fun, it’s the best of both worlds. Erotic Grappling is a fighting style that obviously involves grappling and molesting. Defeat your opponents through humiliation and the power of lust! This also includes some am"&amp;"using submission holds involving sex toys, rope, and even a girl’s own skirt (tying it over her head and all).")</f>
        <v>Defeating your opponents while having some fun, it’s the best of both worlds. Erotic Grappling is a fighting style that obviously involves grappling and molesting. Defeat your opponents through humiliation and the power of lust! This also includes some amusing submission holds involving sex toys, rope, and even a girl’s own skirt (tying it over her head and all).</v>
      </c>
      <c r="I31" s="5"/>
    </row>
    <row r="32" spans="1:9" ht="87" x14ac:dyDescent="0.25">
      <c r="A32" s="16"/>
      <c r="B32" s="17">
        <v>28</v>
      </c>
      <c r="C32" s="2" t="b">
        <f ca="1">IFERROR(__xludf.DUMMYFUNCTION("""COMPUTED_VALUE"""),FALSE)</f>
        <v>0</v>
      </c>
      <c r="D32" s="2">
        <f ca="1">IFERROR(__xludf.DUMMYFUNCTION("""COMPUTED_VALUE"""),100)</f>
        <v>100</v>
      </c>
      <c r="E32" s="2" t="str">
        <f ca="1">IFERROR(__xludf.DUMMYFUNCTION("""COMPUTED_VALUE"""),"Every Rose has its Thorns")</f>
        <v>Every Rose has its Thorns</v>
      </c>
      <c r="F32" s="2" t="str">
        <f ca="1">IFERROR(__xludf.DUMMYFUNCTION("""COMPUTED_VALUE"""),"Generic: Lewd Science Fiction")</f>
        <v>Generic: Lewd Science Fiction</v>
      </c>
      <c r="G32" s="2" t="str">
        <f ca="1">IFERROR(__xludf.DUMMYFUNCTION("""COMPUTED_VALUE"""),"Skills")</f>
        <v>Skills</v>
      </c>
      <c r="H32" s="2" t="str">
        <f ca="1">IFERROR(__xludf.DUMMYFUNCTION("""COMPUTED_VALUE"""),"With a demure smile and dainty step, nobody could possibly suspect you of hiding a vicious streak, sadistic tendencies or a libido that would give anyone else the title “Maneater”. All the traits others might see as negatives can be easily concealed behin"&amp;"d your perfectly sweet mask in an eyeblink - you could be trampling someone under your feet but the moment someone opens the door all they’ll see is you helping the poor person up after they apparently “tripped over”.")</f>
        <v>With a demure smile and dainty step, nobody could possibly suspect you of hiding a vicious streak, sadistic tendencies or a libido that would give anyone else the title “Maneater”. All the traits others might see as negatives can be easily concealed behind your perfectly sweet mask in an eyeblink - you could be trampling someone under your feet but the moment someone opens the door all they’ll see is you helping the poor person up after they apparently “tripped over”.</v>
      </c>
      <c r="I32" s="5"/>
    </row>
    <row r="33" spans="1:9" ht="69.599999999999994" x14ac:dyDescent="0.25">
      <c r="A33" s="16"/>
      <c r="B33" s="17">
        <v>29</v>
      </c>
      <c r="C33" s="2" t="b">
        <f ca="1">IFERROR(__xludf.DUMMYFUNCTION("""COMPUTED_VALUE"""),FALSE)</f>
        <v>0</v>
      </c>
      <c r="D33" s="2">
        <f ca="1">IFERROR(__xludf.DUMMYFUNCTION("""COMPUTED_VALUE"""),100)</f>
        <v>100</v>
      </c>
      <c r="E33" s="2" t="str">
        <f ca="1">IFERROR(__xludf.DUMMYFUNCTION("""COMPUTED_VALUE"""),"Fanservice")</f>
        <v>Fanservice</v>
      </c>
      <c r="F33" s="2" t="str">
        <f ca="1">IFERROR(__xludf.DUMMYFUNCTION("""COMPUTED_VALUE"""),"Generic: Hentai Modern")</f>
        <v>Generic: Hentai Modern</v>
      </c>
      <c r="G33" s="2" t="str">
        <f ca="1">IFERROR(__xludf.DUMMYFUNCTION("""COMPUTED_VALUE"""),"Skills")</f>
        <v>Skills</v>
      </c>
      <c r="H33" s="2" t="str">
        <f ca="1">IFERROR(__xludf.DUMMYFUNCTION("""COMPUTED_VALUE"""),"You are a master at ‘accidentally’ doing things. Whether it’s making up an excuse for why you aren’t wearing a shirt as a guy, bending over just so as a woman, or just dropping as many innuendos into your speech as you possibly can, you are now a master a"&amp;"t it. Now take your Ecchi and go be somebodies wet nightmare.")</f>
        <v>You are a master at ‘accidentally’ doing things. Whether it’s making up an excuse for why you aren’t wearing a shirt as a guy, bending over just so as a woman, or just dropping as many innuendos into your speech as you possibly can, you are now a master at it. Now take your Ecchi and go be somebodies wet nightmare.</v>
      </c>
      <c r="I33" s="5"/>
    </row>
    <row r="34" spans="1:9" ht="104.4" x14ac:dyDescent="0.25">
      <c r="A34" s="16"/>
      <c r="B34" s="17">
        <v>30</v>
      </c>
      <c r="C34" s="2" t="b">
        <f ca="1">IFERROR(__xludf.DUMMYFUNCTION("""COMPUTED_VALUE"""),FALSE)</f>
        <v>0</v>
      </c>
      <c r="D34" s="2">
        <f ca="1">IFERROR(__xludf.DUMMYFUNCTION("""COMPUTED_VALUE"""),100)</f>
        <v>100</v>
      </c>
      <c r="E34" s="2" t="str">
        <f ca="1">IFERROR(__xludf.DUMMYFUNCTION("""COMPUTED_VALUE"""),"Fashion Master")</f>
        <v>Fashion Master</v>
      </c>
      <c r="F34" s="2" t="str">
        <f ca="1">IFERROR(__xludf.DUMMYFUNCTION("""COMPUTED_VALUE"""),"Futadom World")</f>
        <v>Futadom World</v>
      </c>
      <c r="G34" s="2" t="str">
        <f ca="1">IFERROR(__xludf.DUMMYFUNCTION("""COMPUTED_VALUE"""),"Skills")</f>
        <v>Skills</v>
      </c>
      <c r="H34" s="2" t="str">
        <f ca="1">IFERROR(__xludf.DUMMYFUNCTION("""COMPUTED_VALUE"""),"It’s a male’s job to sit there and look pretty, and damn if you aren’t good at your job. You always know just what to wear, just how to wear it, and just how to flaunt it. No matter what, you’ll always be able to draw eyes just from how incredibly you pul"&amp;"l off just about anything you choose to wear. In addition, in cultures that have taboos regarding cross-dressing, people seem far more lenient whenever you’re involved. Look cute enough and just about anyone would be willing to look the other way.")</f>
        <v>It’s a male’s job to sit there and look pretty, and damn if you aren’t good at your job. You always know just what to wear, just how to wear it, and just how to flaunt it. No matter what, you’ll always be able to draw eyes just from how incredibly you pull off just about anything you choose to wear. In addition, in cultures that have taboos regarding cross-dressing, people seem far more lenient whenever you’re involved. Look cute enough and just about anyone would be willing to look the other way.</v>
      </c>
      <c r="I34" s="5"/>
    </row>
    <row r="35" spans="1:9" ht="87" x14ac:dyDescent="0.25">
      <c r="A35" s="16"/>
      <c r="B35" s="17">
        <v>31</v>
      </c>
      <c r="C35" s="2" t="b">
        <f ca="1">IFERROR(__xludf.DUMMYFUNCTION("""COMPUTED_VALUE"""),FALSE)</f>
        <v>0</v>
      </c>
      <c r="D35" s="2">
        <f ca="1">IFERROR(__xludf.DUMMYFUNCTION("""COMPUTED_VALUE"""),100)</f>
        <v>100</v>
      </c>
      <c r="E35" s="2" t="str">
        <f ca="1">IFERROR(__xludf.DUMMYFUNCTION("""COMPUTED_VALUE"""),"Go Get 'em Girl!")</f>
        <v>Go Get 'em Girl!</v>
      </c>
      <c r="F35" s="2" t="str">
        <f ca="1">IFERROR(__xludf.DUMMYFUNCTION("""COMPUTED_VALUE"""),"Chichikko Bitch / Witch Bitch Collection")</f>
        <v>Chichikko Bitch / Witch Bitch Collection</v>
      </c>
      <c r="G35" s="2" t="str">
        <f ca="1">IFERROR(__xludf.DUMMYFUNCTION("""COMPUTED_VALUE"""),"Skills")</f>
        <v>Skills</v>
      </c>
      <c r="H35" s="2" t="str">
        <f ca="1">IFERROR(__xludf.DUMMYFUNCTION("""COMPUTED_VALUE"""),"And of course, you being lewd doesn’t just have to stop with that lucky guy - you can also inspire someone else to have a happy ending. Or in other words, you’re great at giving pep talks. Mostly revolving around you convincing another woman to try some n"&amp;"ew fetish - or to have sex at all. Of course, its not like it just stops there. You’re just inspirational in general, you know. It is easier for pervy things though.")</f>
        <v>And of course, you being lewd doesn’t just have to stop with that lucky guy - you can also inspire someone else to have a happy ending. Or in other words, you’re great at giving pep talks. Mostly revolving around you convincing another woman to try some new fetish - or to have sex at all. Of course, its not like it just stops there. You’re just inspirational in general, you know. It is easier for pervy things though.</v>
      </c>
      <c r="I35" s="5"/>
    </row>
    <row r="36" spans="1:9" ht="226.2" x14ac:dyDescent="0.25">
      <c r="A36" s="16"/>
      <c r="B36" s="17">
        <v>32</v>
      </c>
      <c r="C36" s="2" t="b">
        <f ca="1">IFERROR(__xludf.DUMMYFUNCTION("""COMPUTED_VALUE"""),FALSE)</f>
        <v>0</v>
      </c>
      <c r="D36" s="2">
        <f ca="1">IFERROR(__xludf.DUMMYFUNCTION("""COMPUTED_VALUE"""),100)</f>
        <v>100</v>
      </c>
      <c r="E36" s="2" t="str">
        <f ca="1">IFERROR(__xludf.DUMMYFUNCTION("""COMPUTED_VALUE"""),"Go Go Enslavement")</f>
        <v>Go Go Enslavement</v>
      </c>
      <c r="F36" s="2" t="str">
        <f ca="1">IFERROR(__xludf.DUMMYFUNCTION("""COMPUTED_VALUE"""),"Overwhored")</f>
        <v>Overwhored</v>
      </c>
      <c r="G36" s="2" t="str">
        <f ca="1">IFERROR(__xludf.DUMMYFUNCTION("""COMPUTED_VALUE"""),"Skills")</f>
        <v>Skills</v>
      </c>
      <c r="H36" s="2" t="str">
        <f ca="1">IFERROR(__xludf.DUMMYFUNCTION("""COMPUTED_VALUE"""),"Everyone knows being with the Overmind is bliss. Plus, he is the ultimate pervy dream guy to fulfill all of your sexual fantasies. Is it really any wonder that eager volunteers come to him along with the conquest he takes? Not all of them are as lucky as "&amp;"you are though.
You have the makings of a favored slave, quickly endearing yourself to your master(s), regardless of whether you volunteered for the position or were claimed by force. You aren’t going to be ignored or left frozen in the orgasm matrix, ev"&amp;"en if you're not a fighting slave.
No, you get to enjoy your enslavement with substantial preferential treatment. Your doting master would regularly come visit, you’d get a guaranteed spot in nightly fuck rotations, and you would have a notable advantage"&amp;" over any other slaves in competing for your master’s favor and attention (and cock). You might still end up working for 23 hours a day, sure, but the rewards are going to be well worth it.")</f>
        <v>Everyone knows being with the Overmind is bliss. Plus, he is the ultimate pervy dream guy to fulfill all of your sexual fantasies. Is it really any wonder that eager volunteers come to him along with the conquest he takes? Not all of them are as lucky as you are though.
You have the makings of a favored slave, quickly endearing yourself to your master(s), regardless of whether you volunteered for the position or were claimed by force. You aren’t going to be ignored or left frozen in the orgasm matrix, even if you're not a fighting slave.
No, you get to enjoy your enslavement with substantial preferential treatment. Your doting master would regularly come visit, you’d get a guaranteed spot in nightly fuck rotations, and you would have a notable advantage over any other slaves in competing for your master’s favor and attention (and cock). You might still end up working for 23 hours a day, sure, but the rewards are going to be well worth it.</v>
      </c>
      <c r="I36" s="5"/>
    </row>
    <row r="37" spans="1:9" ht="87" x14ac:dyDescent="0.25">
      <c r="A37" s="16"/>
      <c r="B37" s="17">
        <v>33</v>
      </c>
      <c r="C37" s="2" t="b">
        <f ca="1">IFERROR(__xludf.DUMMYFUNCTION("""COMPUTED_VALUE"""),FALSE)</f>
        <v>0</v>
      </c>
      <c r="D37" s="2">
        <f ca="1">IFERROR(__xludf.DUMMYFUNCTION("""COMPUTED_VALUE"""),100)</f>
        <v>100</v>
      </c>
      <c r="E37" s="2" t="str">
        <f ca="1">IFERROR(__xludf.DUMMYFUNCTION("""COMPUTED_VALUE"""),"Gym Bunny")</f>
        <v>Gym Bunny</v>
      </c>
      <c r="F37" s="2" t="str">
        <f ca="1">IFERROR(__xludf.DUMMYFUNCTION("""COMPUTED_VALUE"""),"Huniepop")</f>
        <v>Huniepop</v>
      </c>
      <c r="G37" s="2" t="str">
        <f ca="1">IFERROR(__xludf.DUMMYFUNCTION("""COMPUTED_VALUE"""),"Skills")</f>
        <v>Skills</v>
      </c>
      <c r="H37" s="2" t="str">
        <f ca="1">IFERROR(__xludf.DUMMYFUNCTION("""COMPUTED_VALUE"""),"Looks like I’m not the only one to like being surrounded by sweaty girls. You know how to use even the most complicated gym equipment both efficiently and safely, and any efforts to give yourself your perfect dream body are increased threefold, both throu"&amp;"gh dieting and exercise. If you work hard enough, you can even make a few more interesting changes to your body, like increasing the size of your dick or breasts.")</f>
        <v>Looks like I’m not the only one to like being surrounded by sweaty girls. You know how to use even the most complicated gym equipment both efficiently and safely, and any efforts to give yourself your perfect dream body are increased threefold, both through dieting and exercise. If you work hard enough, you can even make a few more interesting changes to your body, like increasing the size of your dick or breasts.</v>
      </c>
      <c r="I37" s="5"/>
    </row>
    <row r="38" spans="1:9" ht="69.599999999999994" x14ac:dyDescent="0.25">
      <c r="A38" s="16"/>
      <c r="B38" s="17">
        <v>34</v>
      </c>
      <c r="C38" s="2" t="b">
        <f ca="1">IFERROR(__xludf.DUMMYFUNCTION("""COMPUTED_VALUE"""),FALSE)</f>
        <v>0</v>
      </c>
      <c r="D38" s="2">
        <f ca="1">IFERROR(__xludf.DUMMYFUNCTION("""COMPUTED_VALUE"""),100)</f>
        <v>100</v>
      </c>
      <c r="E38" s="2" t="str">
        <f ca="1">IFERROR(__xludf.DUMMYFUNCTION("""COMPUTED_VALUE"""),"Heart of the Party")</f>
        <v>Heart of the Party</v>
      </c>
      <c r="F38" s="2" t="str">
        <f ca="1">IFERROR(__xludf.DUMMYFUNCTION("""COMPUTED_VALUE"""),"Cyberpunk: Edgerunners")</f>
        <v>Cyberpunk: Edgerunners</v>
      </c>
      <c r="G38" s="2" t="str">
        <f ca="1">IFERROR(__xludf.DUMMYFUNCTION("""COMPUTED_VALUE"""),"Skills")</f>
        <v>Skills</v>
      </c>
      <c r="H38" s="2" t="str">
        <f ca="1">IFERROR(__xludf.DUMMYFUNCTION("""COMPUTED_VALUE"""),"Plans, purchases, and execution. What, do you think this is about business? Nah, choom, this is about relaxing after business! You're the fool, the friend, the party fiend that gets everyone's spirits up in downtime! You don't need drugs, booze, snacks, o"&amp;"r music to make sure everyone has a good time. Any of those things would definitely help though.")</f>
        <v>Plans, purchases, and execution. What, do you think this is about business? Nah, choom, this is about relaxing after business! You're the fool, the friend, the party fiend that gets everyone's spirits up in downtime! You don't need drugs, booze, snacks, or music to make sure everyone has a good time. Any of those things would definitely help though.</v>
      </c>
      <c r="I38" s="5"/>
    </row>
    <row r="39" spans="1:9" ht="69.599999999999994" x14ac:dyDescent="0.25">
      <c r="A39" s="16"/>
      <c r="B39" s="17">
        <v>35</v>
      </c>
      <c r="C39" s="2" t="b">
        <f ca="1">IFERROR(__xludf.DUMMYFUNCTION("""COMPUTED_VALUE"""),FALSE)</f>
        <v>0</v>
      </c>
      <c r="D39" s="2">
        <f ca="1">IFERROR(__xludf.DUMMYFUNCTION("""COMPUTED_VALUE"""),100)</f>
        <v>100</v>
      </c>
      <c r="E39" s="2" t="str">
        <f ca="1">IFERROR(__xludf.DUMMYFUNCTION("""COMPUTED_VALUE"""),"Hitting the Right Spots")</f>
        <v>Hitting the Right Spots</v>
      </c>
      <c r="F39" s="2" t="str">
        <f ca="1">IFERROR(__xludf.DUMMYFUNCTION("""COMPUTED_VALUE"""),"NUKENAI Seiken-chan")</f>
        <v>NUKENAI Seiken-chan</v>
      </c>
      <c r="G39" s="2" t="str">
        <f ca="1">IFERROR(__xludf.DUMMYFUNCTION("""COMPUTED_VALUE"""),"Skills")</f>
        <v>Skills</v>
      </c>
      <c r="H39" s="2" t="str">
        <f ca="1">IFERROR(__xludf.DUMMYFUNCTION("""COMPUTED_VALUE"""),"Your skilled fingers are drawn to the places most in need of attention. You don’t just give good massages, you give GREAT massages. Mind-blowingly great. Ahego-face, pass-out-in-the-afterglow great, and this carries over to conducting maintenance on items"&amp;" too. Your fingers just seem to find all the places they need to go for the maximum tension release and pleasure.")</f>
        <v>Your skilled fingers are drawn to the places most in need of attention. You don’t just give good massages, you give GREAT massages. Mind-blowingly great. Ahego-face, pass-out-in-the-afterglow great, and this carries over to conducting maintenance on items too. Your fingers just seem to find all the places they need to go for the maximum tension release and pleasure.</v>
      </c>
      <c r="I39" s="5"/>
    </row>
    <row r="40" spans="1:9" ht="87" x14ac:dyDescent="0.25">
      <c r="A40" s="16"/>
      <c r="B40" s="17">
        <v>36</v>
      </c>
      <c r="C40" s="2" t="b">
        <f ca="1">IFERROR(__xludf.DUMMYFUNCTION("""COMPUTED_VALUE"""),FALSE)</f>
        <v>0</v>
      </c>
      <c r="D40" s="2">
        <f ca="1">IFERROR(__xludf.DUMMYFUNCTION("""COMPUTED_VALUE"""),100)</f>
        <v>100</v>
      </c>
      <c r="E40" s="2" t="str">
        <f ca="1">IFERROR(__xludf.DUMMYFUNCTION("""COMPUTED_VALUE"""),"I Drew it, so in Theory I can do it")</f>
        <v>I Drew it, so in Theory I can do it</v>
      </c>
      <c r="F40" s="2" t="str">
        <f ca="1">IFERROR(__xludf.DUMMYFUNCTION("""COMPUTED_VALUE"""),"Yurisekai")</f>
        <v>Yurisekai</v>
      </c>
      <c r="G40" s="2" t="str">
        <f ca="1">IFERROR(__xludf.DUMMYFUNCTION("""COMPUTED_VALUE"""),"Skills")</f>
        <v>Skills</v>
      </c>
      <c r="H40" s="2" t="str">
        <f ca="1">IFERROR(__xludf.DUMMYFUNCTION("""COMPUTED_VALUE"""),"Be honest with me - are you using your art to vent about how much you want to do those things, or drawing from your own experiences to help write the plot? Either way, your skill in the two areas are now linked. Learning to draw people in the act of lovem"&amp;"aking makes you better at it yourself, and learning all the right places to touch somehow increases your skill at drawing those places. This doesn’t create a feedback loop, but it does mean that drawing something makes you better at it.")</f>
        <v>Be honest with me - are you using your art to vent about how much you want to do those things, or drawing from your own experiences to help write the plot? Either way, your skill in the two areas are now linked. Learning to draw people in the act of lovemaking makes you better at it yourself, and learning all the right places to touch somehow increases your skill at drawing those places. This doesn’t create a feedback loop, but it does mean that drawing something makes you better at it.</v>
      </c>
      <c r="I40" s="5"/>
    </row>
    <row r="41" spans="1:9" ht="139.19999999999999" x14ac:dyDescent="0.25">
      <c r="A41" s="16"/>
      <c r="B41" s="17">
        <v>37</v>
      </c>
      <c r="C41" s="2" t="b">
        <f ca="1">IFERROR(__xludf.DUMMYFUNCTION("""COMPUTED_VALUE"""),FALSE)</f>
        <v>0</v>
      </c>
      <c r="D41" s="2">
        <f ca="1">IFERROR(__xludf.DUMMYFUNCTION("""COMPUTED_VALUE"""),100)</f>
        <v>100</v>
      </c>
      <c r="E41" s="2" t="str">
        <f ca="1">IFERROR(__xludf.DUMMYFUNCTION("""COMPUTED_VALUE"""),"Intrepid Interviewee")</f>
        <v>Intrepid Interviewee</v>
      </c>
      <c r="F41" s="2" t="str">
        <f ca="1">IFERROR(__xludf.DUMMYFUNCTION("""COMPUTED_VALUE"""),"Although Young People Recoil from Entering the Black Magic Industry...")</f>
        <v>Although Young People Recoil from Entering the Black Magic Industry...</v>
      </c>
      <c r="G41" s="2" t="str">
        <f ca="1">IFERROR(__xludf.DUMMYFUNCTION("""COMPUTED_VALUE"""),"Skills")</f>
        <v>Skills</v>
      </c>
      <c r="H41" s="2" t="str">
        <f ca="1">IFERROR(__xludf.DUMMYFUNCTION("""COMPUTED_VALUE"""),"Not everyone is lucky enough to find a workplace that judges skill in their field above their skill in an interview. You won’t have to worry about that, because in every area of interviews that pose a problem, you excel in even outside of the interview fo"&amp;"rmat . Self - confidence? You have it, without crossing the line into arrogance. Social anxiety? Gone. First impressions? You have a natural talent for making them which experienced socialites would trade their teeth for. Personal Appearance? It doesn’t m"&amp;"ake you any prettier, but you do have impeccable fashion sense, skill in personal hygiene, and the personal motivation needed to keep up your appearance and exercise routine. The only thing you might lack is the skill in your chosen field.")</f>
        <v>Not everyone is lucky enough to find a workplace that judges skill in their field above their skill in an interview. You won’t have to worry about that, because in every area of interviews that pose a problem, you excel in even outside of the interview format . Self - confidence? You have it, without crossing the line into arrogance. Social anxiety? Gone. First impressions? You have a natural talent for making them which experienced socialites would trade their teeth for. Personal Appearance? It doesn’t make you any prettier, but you do have impeccable fashion sense, skill in personal hygiene, and the personal motivation needed to keep up your appearance and exercise routine. The only thing you might lack is the skill in your chosen field.</v>
      </c>
      <c r="I41" s="5"/>
    </row>
    <row r="42" spans="1:9" ht="191.4" x14ac:dyDescent="0.25">
      <c r="A42" s="16"/>
      <c r="B42" s="17">
        <v>38</v>
      </c>
      <c r="C42" s="2" t="b">
        <f ca="1">IFERROR(__xludf.DUMMYFUNCTION("""COMPUTED_VALUE"""),FALSE)</f>
        <v>0</v>
      </c>
      <c r="D42" s="2">
        <f ca="1">IFERROR(__xludf.DUMMYFUNCTION("""COMPUTED_VALUE"""),100)</f>
        <v>100</v>
      </c>
      <c r="E42" s="2" t="str">
        <f ca="1">IFERROR(__xludf.DUMMYFUNCTION("""COMPUTED_VALUE"""),"Jack of All Trades")</f>
        <v>Jack of All Trades</v>
      </c>
      <c r="F42" s="2" t="str">
        <f ca="1">IFERROR(__xludf.DUMMYFUNCTION("""COMPUTED_VALUE"""),"Breathless Wild")</f>
        <v>Breathless Wild</v>
      </c>
      <c r="G42" s="2" t="str">
        <f ca="1">IFERROR(__xludf.DUMMYFUNCTION("""COMPUTED_VALUE"""),"Skills")</f>
        <v>Skills</v>
      </c>
      <c r="H42" s="2" t="str">
        <f ca="1">IFERROR(__xludf.DUMMYFUNCTION("""COMPUTED_VALUE"""),"Being an adventurer demands a vast range of skills, from wilderness survival to swordplay and archery to horsemanship and mountain climbing and more. It’d take most men a lifetime to master so many skills but to you they come naturally, as if you’d master"&amp;"ed them all in a previous life and are merely shaking the rust off instead of learning everything from scratch. Like a veteran hero who’s saved the land many times over you have an instinctive grasp of many ordinary skills, from fighting and cooking to wi"&amp;"lderness survival and more. You can battle monsters, live off the land, tame horses, climb mountains, and more with a measure of natural competence, and even your sexual prowess is enough to satisfy demanding lovers like Hyrule’s many monstergirls or turn"&amp;" an inexperienced princess to putty in your hands. You aren’t quite a true master of these skills just yet, but with practice and training you’ll become one far faster than any normal person. You might be a jack of all trades, but a master of none? Not fo"&amp;"r long.")</f>
        <v>Being an adventurer demands a vast range of skills, from wilderness survival to swordplay and archery to horsemanship and mountain climbing and more. It’d take most men a lifetime to master so many skills but to you they come naturally, as if you’d mastered them all in a previous life and are merely shaking the rust off instead of learning everything from scratch. Like a veteran hero who’s saved the land many times over you have an instinctive grasp of many ordinary skills, from fighting and cooking to wilderness survival and more. You can battle monsters, live off the land, tame horses, climb mountains, and more with a measure of natural competence, and even your sexual prowess is enough to satisfy demanding lovers like Hyrule’s many monstergirls or turn an inexperienced princess to putty in your hands. You aren’t quite a true master of these skills just yet, but with practice and training you’ll become one far faster than any normal person. You might be a jack of all trades, but a master of none? Not for long.</v>
      </c>
      <c r="I42" s="5"/>
    </row>
    <row r="43" spans="1:9" ht="104.4" x14ac:dyDescent="0.25">
      <c r="A43" s="16"/>
      <c r="B43" s="17">
        <v>39</v>
      </c>
      <c r="C43" s="2" t="b">
        <f ca="1">IFERROR(__xludf.DUMMYFUNCTION("""COMPUTED_VALUE"""),FALSE)</f>
        <v>0</v>
      </c>
      <c r="D43" s="2">
        <f ca="1">IFERROR(__xludf.DUMMYFUNCTION("""COMPUTED_VALUE"""),100)</f>
        <v>100</v>
      </c>
      <c r="E43" s="2" t="str">
        <f ca="1">IFERROR(__xludf.DUMMYFUNCTION("""COMPUTED_VALUE"""),"King of Dreamers")</f>
        <v>King of Dreamers</v>
      </c>
      <c r="F43" s="2" t="str">
        <f ca="1">IFERROR(__xludf.DUMMYFUNCTION("""COMPUTED_VALUE"""),"Dragon Ball: Troop of Beasts")</f>
        <v>Dragon Ball: Troop of Beasts</v>
      </c>
      <c r="G43" s="2" t="str">
        <f ca="1">IFERROR(__xludf.DUMMYFUNCTION("""COMPUTED_VALUE"""),"Skills")</f>
        <v>Skills</v>
      </c>
      <c r="H43" s="2" t="str">
        <f ca="1">IFERROR(__xludf.DUMMYFUNCTION("""COMPUTED_VALUE"""),"Of course, no one said that a martial artist must necessarily be a non-profit lifestyle. After all, there are plenty of events where fighters can earn fame and riches. And you’ve got just the spark to catch on. You’re very talented at making a show of you"&amp;"rself and you always have a good idea on how to appeal to the crowd. Furthermore, it seems that words of your feats will always spread very quickly, which will only hasten your rise to celebrity status. You got some talent as an actor to boot, and you can"&amp;" be sure that you will always attract at least some attractive fans to have some fun with.")</f>
        <v>Of course, no one said that a martial artist must necessarily be a non-profit lifestyle. After all, there are plenty of events where fighters can earn fame and riches. And you’ve got just the spark to catch on. You’re very talented at making a show of yourself and you always have a good idea on how to appeal to the crowd. Furthermore, it seems that words of your feats will always spread very quickly, which will only hasten your rise to celebrity status. You got some talent as an actor to boot, and you can be sure that you will always attract at least some attractive fans to have some fun with.</v>
      </c>
      <c r="I43" s="5"/>
    </row>
    <row r="44" spans="1:9" ht="87" x14ac:dyDescent="0.25">
      <c r="A44" s="16"/>
      <c r="B44" s="17">
        <v>40</v>
      </c>
      <c r="C44" s="2" t="b">
        <f ca="1">IFERROR(__xludf.DUMMYFUNCTION("""COMPUTED_VALUE"""),FALSE)</f>
        <v>0</v>
      </c>
      <c r="D44" s="2">
        <f ca="1">IFERROR(__xludf.DUMMYFUNCTION("""COMPUTED_VALUE"""),100)</f>
        <v>100</v>
      </c>
      <c r="E44" s="2" t="str">
        <f ca="1">IFERROR(__xludf.DUMMYFUNCTION("""COMPUTED_VALUE"""),"Kitchen Wizard")</f>
        <v>Kitchen Wizard</v>
      </c>
      <c r="F44" s="2" t="str">
        <f ca="1">IFERROR(__xludf.DUMMYFUNCTION("""COMPUTED_VALUE"""),"Generic: Fat-Fetish")</f>
        <v>Generic: Fat-Fetish</v>
      </c>
      <c r="G44" s="2" t="str">
        <f ca="1">IFERROR(__xludf.DUMMYFUNCTION("""COMPUTED_VALUE"""),"Skills")</f>
        <v>Skills</v>
      </c>
      <c r="H44" s="2" t="str">
        <f ca="1">IFERROR(__xludf.DUMMYFUNCTION("""COMPUTED_VALUE"""),"Well, you wouldn’t be much of a Feeder if you couldn’t cook, now would you? Unless you wanted to blow a giant wad of money on fast-food for the rest of your ten years. With this Perk you have roughly the skill of, say, a three-star chef. You won’t be the "&amp;"star of your own cooking show, but damn will you be able to satisfy many a varied palette. Well, beyond satisfied is probably the goal, but details.")</f>
        <v>Well, you wouldn’t be much of a Feeder if you couldn’t cook, now would you? Unless you wanted to blow a giant wad of money on fast-food for the rest of your ten years. With this Perk you have roughly the skill of, say, a three-star chef. You won’t be the star of your own cooking show, but damn will you be able to satisfy many a varied palette. Well, beyond satisfied is probably the goal, but details.</v>
      </c>
      <c r="I44" s="5"/>
    </row>
    <row r="45" spans="1:9" ht="52.2" x14ac:dyDescent="0.25">
      <c r="A45" s="16"/>
      <c r="B45" s="17">
        <v>41</v>
      </c>
      <c r="C45" s="2" t="b">
        <f ca="1">IFERROR(__xludf.DUMMYFUNCTION("""COMPUTED_VALUE"""),FALSE)</f>
        <v>0</v>
      </c>
      <c r="D45" s="2">
        <f ca="1">IFERROR(__xludf.DUMMYFUNCTION("""COMPUTED_VALUE"""),100)</f>
        <v>100</v>
      </c>
      <c r="E45" s="2" t="str">
        <f ca="1">IFERROR(__xludf.DUMMYFUNCTION("""COMPUTED_VALUE"""),"Learned Lewd")</f>
        <v>Learned Lewd</v>
      </c>
      <c r="F45" s="2" t="str">
        <f ca="1">IFERROR(__xludf.DUMMYFUNCTION("""COMPUTED_VALUE"""),"Destiny: Fuck the Darkness")</f>
        <v>Destiny: Fuck the Darkness</v>
      </c>
      <c r="G45" s="2" t="str">
        <f ca="1">IFERROR(__xludf.DUMMYFUNCTION("""COMPUTED_VALUE"""),"Skills")</f>
        <v>Skills</v>
      </c>
      <c r="H45" s="2" t="str">
        <f ca="1">IFERROR(__xludf.DUMMYFUNCTION("""COMPUTED_VALUE"""),"Sex is simple, sure. Dick in hole. But there is SO much more you can do with intimacy than just rut like animals. Tweak the cervix just right... Taking this Perk endows you with the intimate details of any alien species you might be interested in banging.")</f>
        <v>Sex is simple, sure. Dick in hole. But there is SO much more you can do with intimacy than just rut like animals. Tweak the cervix just right... Taking this Perk endows you with the intimate details of any alien species you might be interested in banging.</v>
      </c>
      <c r="I45" s="5"/>
    </row>
    <row r="46" spans="1:9" ht="69.599999999999994" x14ac:dyDescent="0.25">
      <c r="A46" s="16"/>
      <c r="B46" s="17">
        <v>42</v>
      </c>
      <c r="C46" s="2" t="b">
        <f ca="1">IFERROR(__xludf.DUMMYFUNCTION("""COMPUTED_VALUE"""),FALSE)</f>
        <v>0</v>
      </c>
      <c r="D46" s="2">
        <f ca="1">IFERROR(__xludf.DUMMYFUNCTION("""COMPUTED_VALUE"""),100)</f>
        <v>100</v>
      </c>
      <c r="E46" s="2" t="str">
        <f ca="1">IFERROR(__xludf.DUMMYFUNCTION("""COMPUTED_VALUE"""),"Martial Maid")</f>
        <v>Martial Maid</v>
      </c>
      <c r="F46" s="2" t="str">
        <f ca="1">IFERROR(__xludf.DUMMYFUNCTION("""COMPUTED_VALUE"""),"Miyuki-chan in Wonderland")</f>
        <v>Miyuki-chan in Wonderland</v>
      </c>
      <c r="G46" s="2" t="str">
        <f ca="1">IFERROR(__xludf.DUMMYFUNCTION("""COMPUTED_VALUE"""),"Skills")</f>
        <v>Skills</v>
      </c>
      <c r="H46" s="2" t="str">
        <f ca="1">IFERROR(__xludf.DUMMYFUNCTION("""COMPUTED_VALUE"""),"One would think it impractical to fight while dressed in a waitress’ garb or a bunny costume. You, however, can fight fluidly in any sort of clothing without tripping or snagging on something. Moreover, you are gifted at avoiding strikes that would damage"&amp;" your outfit or things you are carrying.")</f>
        <v>One would think it impractical to fight while dressed in a waitress’ garb or a bunny costume. You, however, can fight fluidly in any sort of clothing without tripping or snagging on something. Moreover, you are gifted at avoiding strikes that would damage your outfit or things you are carrying.</v>
      </c>
      <c r="I46" s="5"/>
    </row>
    <row r="47" spans="1:9" ht="69.599999999999994" x14ac:dyDescent="0.25">
      <c r="A47" s="16"/>
      <c r="B47" s="17">
        <v>43</v>
      </c>
      <c r="C47" s="2" t="b">
        <f ca="1">IFERROR(__xludf.DUMMYFUNCTION("""COMPUTED_VALUE"""),FALSE)</f>
        <v>0</v>
      </c>
      <c r="D47" s="2">
        <f ca="1">IFERROR(__xludf.DUMMYFUNCTION("""COMPUTED_VALUE"""),100)</f>
        <v>100</v>
      </c>
      <c r="E47" s="2" t="str">
        <f ca="1">IFERROR(__xludf.DUMMYFUNCTION("""COMPUTED_VALUE"""),"Ninja Art: Instant Stripping")</f>
        <v>Ninja Art: Instant Stripping</v>
      </c>
      <c r="F47" s="2" t="str">
        <f ca="1">IFERROR(__xludf.DUMMYFUNCTION("""COMPUTED_VALUE"""),"Bokunchi No Mikage-san")</f>
        <v>Bokunchi No Mikage-san</v>
      </c>
      <c r="G47" s="2" t="str">
        <f ca="1">IFERROR(__xludf.DUMMYFUNCTION("""COMPUTED_VALUE"""),"Skills")</f>
        <v>Skills</v>
      </c>
      <c r="H47" s="2" t="str">
        <f ca="1">IFERROR(__xludf.DUMMYFUNCTION("""COMPUTED_VALUE"""),"Sometimes someone needs to have their clothing removed, and sometimes it needs to be removed right now. You have mastered a technique allowing you to instantly strip someone of all of their clothing, with it falling to the ground at their feet. Of note is"&amp;" that this technique also works against armor.")</f>
        <v>Sometimes someone needs to have their clothing removed, and sometimes it needs to be removed right now. You have mastered a technique allowing you to instantly strip someone of all of their clothing, with it falling to the ground at their feet. Of note is that this technique also works against armor.</v>
      </c>
      <c r="I47" s="5"/>
    </row>
    <row r="48" spans="1:9" ht="121.8" x14ac:dyDescent="0.25">
      <c r="A48" s="16"/>
      <c r="B48" s="17">
        <v>44</v>
      </c>
      <c r="C48" s="2" t="b">
        <f ca="1">IFERROR(__xludf.DUMMYFUNCTION("""COMPUTED_VALUE"""),FALSE)</f>
        <v>0</v>
      </c>
      <c r="D48" s="2">
        <f ca="1">IFERROR(__xludf.DUMMYFUNCTION("""COMPUTED_VALUE"""),100)</f>
        <v>100</v>
      </c>
      <c r="E48" s="2" t="str">
        <f ca="1">IFERROR(__xludf.DUMMYFUNCTION("""COMPUTED_VALUE"""),"No Kissing!")</f>
        <v>No Kissing!</v>
      </c>
      <c r="F48" s="2" t="str">
        <f ca="1">IFERROR(__xludf.DUMMYFUNCTION("""COMPUTED_VALUE"""),"Creature Reaction Inside the Ship!")</f>
        <v>Creature Reaction Inside the Ship!</v>
      </c>
      <c r="G48" s="2" t="str">
        <f ca="1">IFERROR(__xludf.DUMMYFUNCTION("""COMPUTED_VALUE"""),"Skills")</f>
        <v>Skills</v>
      </c>
      <c r="H48" s="2" t="str">
        <f ca="1">IFERROR(__xludf.DUMMYFUNCTION("""COMPUTED_VALUE"""),"Your kind may or may not have fluids that get females all hot and bothered, but one of the best ways to deliver your payload of heat causing bodily fluids is with kissing! You’re a fantastic and passionate kisser, your tongue dancing with your woman’s in "&amp;"a way that’ll drive her crazy as dick stirs up her holes! You’re so good that a deep and messy french kiss is usually enough to get a female horny and unable to fight you! Your females also seem to be perfectly capable of talking even with their mouths be"&amp;"ing conquered by your tongue, and while she might be a little muffled she’ll be perfectly easy to understand as she begs for more!")</f>
        <v>Your kind may or may not have fluids that get females all hot and bothered, but one of the best ways to deliver your payload of heat causing bodily fluids is with kissing! You’re a fantastic and passionate kisser, your tongue dancing with your woman’s in a way that’ll drive her crazy as dick stirs up her holes! You’re so good that a deep and messy french kiss is usually enough to get a female horny and unable to fight you! Your females also seem to be perfectly capable of talking even with their mouths being conquered by your tongue, and while she might be a little muffled she’ll be perfectly easy to understand as she begs for more!</v>
      </c>
      <c r="I48" s="5"/>
    </row>
    <row r="49" spans="1:9" ht="121.8" x14ac:dyDescent="0.25">
      <c r="A49" s="16"/>
      <c r="B49" s="17">
        <v>45</v>
      </c>
      <c r="C49" s="2" t="b">
        <f ca="1">IFERROR(__xludf.DUMMYFUNCTION("""COMPUTED_VALUE"""),FALSE)</f>
        <v>0</v>
      </c>
      <c r="D49" s="2">
        <f ca="1">IFERROR(__xludf.DUMMYFUNCTION("""COMPUTED_VALUE"""),100)</f>
        <v>100</v>
      </c>
      <c r="E49" s="2" t="str">
        <f ca="1">IFERROR(__xludf.DUMMYFUNCTION("""COMPUTED_VALUE"""),"One-Handed Typing")</f>
        <v>One-Handed Typing</v>
      </c>
      <c r="F49" s="2" t="str">
        <f ca="1">IFERROR(__xludf.DUMMYFUNCTION("""COMPUTED_VALUE"""),"Generic: QQ")</f>
        <v>Generic: QQ</v>
      </c>
      <c r="G49" s="2" t="str">
        <f ca="1">IFERROR(__xludf.DUMMYFUNCTION("""COMPUTED_VALUE"""),"Skills")</f>
        <v>Skills</v>
      </c>
      <c r="H49" s="2" t="str">
        <f ca="1">IFERROR(__xludf.DUMMYFUNCTION("""COMPUTED_VALUE"""),"You can write, type, and draw a dozen times as fast as you would otherwise, and are now ambidextrous. 
In addition, the penalties for doing something one-handed, when normally doing it two-handed is the only way for full effect, are about a quarter of wh"&amp;"at they would otherwise be. So if normally it would take you one minute to type something with both hands and five minutes with one hand, then those additional four minutes are reduced to one additional minute.")</f>
        <v>You can write, type, and draw a dozen times as fast as you would otherwise, and are now ambidextrous. 
In addition, the penalties for doing something one-handed, when normally doing it two-handed is the only way for full effect, are about a quarter of what they would otherwise be. So if normally it would take you one minute to type something with both hands and five minutes with one hand, then those additional four minutes are reduced to one additional minute.</v>
      </c>
      <c r="I49" s="5"/>
    </row>
    <row r="50" spans="1:9" ht="34.799999999999997" x14ac:dyDescent="0.25">
      <c r="A50" s="16"/>
      <c r="B50" s="17">
        <v>46</v>
      </c>
      <c r="C50" s="2" t="b">
        <f ca="1">IFERROR(__xludf.DUMMYFUNCTION("""COMPUTED_VALUE"""),FALSE)</f>
        <v>0</v>
      </c>
      <c r="D50" s="2">
        <f ca="1">IFERROR(__xludf.DUMMYFUNCTION("""COMPUTED_VALUE"""),100)</f>
        <v>100</v>
      </c>
      <c r="E50" s="2" t="str">
        <f ca="1">IFERROR(__xludf.DUMMYFUNCTION("""COMPUTED_VALUE"""),"Onii-San No Baka")</f>
        <v>Onii-San No Baka</v>
      </c>
      <c r="F50" s="2" t="str">
        <f ca="1">IFERROR(__xludf.DUMMYFUNCTION("""COMPUTED_VALUE"""),"Generic: Loli")</f>
        <v>Generic: Loli</v>
      </c>
      <c r="G50" s="2" t="str">
        <f ca="1">IFERROR(__xludf.DUMMYFUNCTION("""COMPUTED_VALUE"""),"Skills")</f>
        <v>Skills</v>
      </c>
      <c r="H50" s="2" t="str">
        <f ca="1">IFERROR(__xludf.DUMMYFUNCTION("""COMPUTED_VALUE"""),"You are fluent in tsundere. You are capable of giving and receiving mixed signals with the true feelings being conveyed.")</f>
        <v>You are fluent in tsundere. You are capable of giving and receiving mixed signals with the true feelings being conveyed.</v>
      </c>
      <c r="I50" s="5"/>
    </row>
    <row r="51" spans="1:9" ht="174" x14ac:dyDescent="0.25">
      <c r="A51" s="16"/>
      <c r="B51" s="17">
        <v>47</v>
      </c>
      <c r="C51" s="2" t="b">
        <f ca="1">IFERROR(__xludf.DUMMYFUNCTION("""COMPUTED_VALUE"""),FALSE)</f>
        <v>0</v>
      </c>
      <c r="D51" s="2">
        <f ca="1">IFERROR(__xludf.DUMMYFUNCTION("""COMPUTED_VALUE"""),100)</f>
        <v>100</v>
      </c>
      <c r="E51" s="2" t="str">
        <f ca="1">IFERROR(__xludf.DUMMYFUNCTION("""COMPUTED_VALUE"""),"Palm of the Cloth Cleaver")</f>
        <v>Palm of the Cloth Cleaver</v>
      </c>
      <c r="F51" s="2" t="str">
        <f ca="1">IFERROR(__xludf.DUMMYFUNCTION("""COMPUTED_VALUE"""),"Waifu Fighter")</f>
        <v>Waifu Fighter</v>
      </c>
      <c r="G51" s="2" t="str">
        <f ca="1">IFERROR(__xludf.DUMMYFUNCTION("""COMPUTED_VALUE"""),"Skills")</f>
        <v>Skills</v>
      </c>
      <c r="H51" s="2" t="str">
        <f ca="1">IFERROR(__xludf.DUMMYFUNCTION("""COMPUTED_VALUE"""),"The secret technique of the Patriarchy sect. As men cannot compete with women blow-for-blow, they must take the advantage in other ways—namely, by targeting the clothing of a woman and damaging that. You’ll find that when you damage someone’s clothing, th"&amp;"ey will always react modestly—in addition to emotionally unbalancing the target, they will always endeavor to cover themselves as best they can, even if it reduces their fighting capabilities. Additionally, regardless of how finely made or solid an articl"&amp;"e of clothing may be, you will always be able to damage it to some extent with simple strikes.
This technique can also be used to damage makeup, even completely removing it from someone’s face with a few punches.")</f>
        <v>The secret technique of the Patriarchy sect. As men cannot compete with women blow-for-blow, they must take the advantage in other ways—namely, by targeting the clothing of a woman and damaging that. You’ll find that when you damage someone’s clothing, they will always react modestly—in addition to emotionally unbalancing the target, they will always endeavor to cover themselves as best they can, even if it reduces their fighting capabilities. Additionally, regardless of how finely made or solid an article of clothing may be, you will always be able to damage it to some extent with simple strikes.
This technique can also be used to damage makeup, even completely removing it from someone’s face with a few punches.</v>
      </c>
      <c r="I51" s="5"/>
    </row>
    <row r="52" spans="1:9" ht="52.2" x14ac:dyDescent="0.25">
      <c r="A52" s="16"/>
      <c r="B52" s="17">
        <v>48</v>
      </c>
      <c r="C52" s="2" t="b">
        <f ca="1">IFERROR(__xludf.DUMMYFUNCTION("""COMPUTED_VALUE"""),FALSE)</f>
        <v>0</v>
      </c>
      <c r="D52" s="2">
        <f ca="1">IFERROR(__xludf.DUMMYFUNCTION("""COMPUTED_VALUE"""),100)</f>
        <v>100</v>
      </c>
      <c r="E52" s="2" t="str">
        <f ca="1">IFERROR(__xludf.DUMMYFUNCTION("""COMPUTED_VALUE"""),"Pimp")</f>
        <v>Pimp</v>
      </c>
      <c r="F52" s="2" t="str">
        <f ca="1">IFERROR(__xludf.DUMMYFUNCTION("""COMPUTED_VALUE"""),"Taimanin")</f>
        <v>Taimanin</v>
      </c>
      <c r="G52" s="2" t="str">
        <f ca="1">IFERROR(__xludf.DUMMYFUNCTION("""COMPUTED_VALUE"""),"Skills")</f>
        <v>Skills</v>
      </c>
      <c r="H52" s="2" t="str">
        <f ca="1">IFERROR(__xludf.DUMMYFUNCTION("""COMPUTED_VALUE"""),"Being a pimp is hard, especially if you’re a successful one. But you’ve got the knowledge and skills when it comes to being a great pimp. Managing the girls, attracting customers, making connections with the right people, you know how to do all of that an"&amp;"d more.")</f>
        <v>Being a pimp is hard, especially if you’re a successful one. But you’ve got the knowledge and skills when it comes to being a great pimp. Managing the girls, attracting customers, making connections with the right people, you know how to do all of that and more.</v>
      </c>
      <c r="I52" s="5"/>
    </row>
    <row r="53" spans="1:9" ht="69.599999999999994" x14ac:dyDescent="0.25">
      <c r="A53" s="16"/>
      <c r="B53" s="17">
        <v>49</v>
      </c>
      <c r="C53" s="2" t="b">
        <f ca="1">IFERROR(__xludf.DUMMYFUNCTION("""COMPUTED_VALUE"""),FALSE)</f>
        <v>0</v>
      </c>
      <c r="D53" s="2">
        <f ca="1">IFERROR(__xludf.DUMMYFUNCTION("""COMPUTED_VALUE"""),100)</f>
        <v>100</v>
      </c>
      <c r="E53" s="2" t="str">
        <f ca="1">IFERROR(__xludf.DUMMYFUNCTION("""COMPUTED_VALUE"""),"Pure Sadist")</f>
        <v>Pure Sadist</v>
      </c>
      <c r="F53" s="2" t="str">
        <f ca="1">IFERROR(__xludf.DUMMYFUNCTION("""COMPUTED_VALUE"""),"Bloom Pirate Hooker")</f>
        <v>Bloom Pirate Hooker</v>
      </c>
      <c r="G53" s="2" t="str">
        <f ca="1">IFERROR(__xludf.DUMMYFUNCTION("""COMPUTED_VALUE"""),"Skills")</f>
        <v>Skills</v>
      </c>
      <c r="H53" s="2" t="str">
        <f ca="1">IFERROR(__xludf.DUMMYFUNCTION("""COMPUTED_VALUE"""),"One of the three chief guards of Impel Down, Sadie, is a massive sadist. As her equal in skill if not in rank, you are now extremely skilled in all manner of tortures. From traditional methods that cause pain, to the... less traditional, that cause pleasu"&amp;"re. Everybody expects pain, but so few people train themselves to resist pleasure after all.")</f>
        <v>One of the three chief guards of Impel Down, Sadie, is a massive sadist. As her equal in skill if not in rank, you are now extremely skilled in all manner of tortures. From traditional methods that cause pain, to the... less traditional, that cause pleasure. Everybody expects pain, but so few people train themselves to resist pleasure after all.</v>
      </c>
      <c r="I53" s="5"/>
    </row>
    <row r="54" spans="1:9" ht="261" x14ac:dyDescent="0.25">
      <c r="A54" s="16"/>
      <c r="B54" s="17">
        <v>50</v>
      </c>
      <c r="C54" s="2" t="b">
        <f ca="1">IFERROR(__xludf.DUMMYFUNCTION("""COMPUTED_VALUE"""),FALSE)</f>
        <v>0</v>
      </c>
      <c r="D54" s="2">
        <f ca="1">IFERROR(__xludf.DUMMYFUNCTION("""COMPUTED_VALUE"""),100)</f>
        <v>100</v>
      </c>
      <c r="E54" s="2" t="str">
        <f ca="1">IFERROR(__xludf.DUMMYFUNCTION("""COMPUTED_VALUE"""),"Seducer")</f>
        <v>Seducer</v>
      </c>
      <c r="F54" s="2" t="str">
        <f ca="1">IFERROR(__xludf.DUMMYFUNCTION("""COMPUTED_VALUE"""),"Corruption of Champions v1.1")</f>
        <v>Corruption of Champions v1.1</v>
      </c>
      <c r="G54" s="2" t="str">
        <f ca="1">IFERROR(__xludf.DUMMYFUNCTION("""COMPUTED_VALUE"""),"Skills")</f>
        <v>Skills</v>
      </c>
      <c r="H54" s="2" t="str">
        <f ca="1">IFERROR(__xludf.DUMMYFUNCTION("""COMPUTED_VALUE"""),"Few demons are terribly interested in simply killing their opposition if sex and corruption are still on the table. Similarly, most of the corrupted races of Mareth fight for no other reason than to have their way with whomever they’ve cornered. Not to me"&amp;"ntion that some foes are so pent-up that simply flashing them would incapacitate them faster than ordinary weapons would be able to manage. Is it any wonder then, that the art of teasing and seducing your opponent in the middle of a pitched battle was per"&amp;"fected here?
You’re a lot better at it than a novice who might simply pull their pants down to give their opponent an eyeful though. No, you know how to really flaunt everything you’ve got, when to tantalize and when to put on an incredibly crude displa"&amp;"y for the greatest effect. A fight with you often ends with your opponents collapsed, flush with desire, and frantically masturbating without a care in the world, except perhaps your arousing presence. And besides this skill at putting up lewd and hypnoti"&amp;"zing displays, no matter what you currently look like, you’ve also gotten pretty good at slipping through openings in their guard for some quick up-close fun and at mixing little bits of any sexual magics you might know into your teasing.")</f>
        <v>Few demons are terribly interested in simply killing their opposition if sex and corruption are still on the table. Similarly, most of the corrupted races of Mareth fight for no other reason than to have their way with whomever they’ve cornered. Not to mention that some foes are so pent-up that simply flashing them would incapacitate them faster than ordinary weapons would be able to manage. Is it any wonder then, that the art of teasing and seducing your opponent in the middle of a pitched battle was perfected here?
You’re a lot better at it than a novice who might simply pull their pants down to give their opponent an eyeful though. No, you know how to really flaunt everything you’ve got, when to tantalize and when to put on an incredibly crude display for the greatest effect. A fight with you often ends with your opponents collapsed, flush with desire, and frantically masturbating without a care in the world, except perhaps your arousing presence. And besides this skill at putting up lewd and hypnotizing displays, no matter what you currently look like, you’ve also gotten pretty good at slipping through openings in their guard for some quick up-close fun and at mixing little bits of any sexual magics you might know into your teasing.</v>
      </c>
      <c r="I54" s="5"/>
    </row>
    <row r="55" spans="1:9" ht="104.4" x14ac:dyDescent="0.25">
      <c r="A55" s="16"/>
      <c r="B55" s="17">
        <v>51</v>
      </c>
      <c r="C55" s="2" t="b">
        <f ca="1">IFERROR(__xludf.DUMMYFUNCTION("""COMPUTED_VALUE"""),FALSE)</f>
        <v>0</v>
      </c>
      <c r="D55" s="2">
        <f ca="1">IFERROR(__xludf.DUMMYFUNCTION("""COMPUTED_VALUE"""),100)</f>
        <v>100</v>
      </c>
      <c r="E55" s="2" t="str">
        <f ca="1">IFERROR(__xludf.DUMMYFUNCTION("""COMPUTED_VALUE"""),"Seeds of Victory")</f>
        <v>Seeds of Victory</v>
      </c>
      <c r="F55" s="2" t="str">
        <f ca="1">IFERROR(__xludf.DUMMYFUNCTION("""COMPUTED_VALUE"""),"World of Tentacles")</f>
        <v>World of Tentacles</v>
      </c>
      <c r="G55" s="2" t="str">
        <f ca="1">IFERROR(__xludf.DUMMYFUNCTION("""COMPUTED_VALUE"""),"Skills")</f>
        <v>Skills</v>
      </c>
      <c r="H55" s="2" t="str">
        <f ca="1">IFERROR(__xludf.DUMMYFUNCTION("""COMPUTED_VALUE"""),"Despite everything it is almost guaranteed that a hunter of tentacle monsters will end up getting fucked, so why not learn something from it? So long as you don't take a dominant role you treat any time spent having sex as if you had spent it doing a comp"&amp;"rehensive examination and interview of your partner(s) with their active cooperation with a focus on their combat capabilities and weaknesses. Spend a few hours getting raped by a monster and you’ll come out of it knowing that monster’s every strength and"&amp;" weakness")</f>
        <v>Despite everything it is almost guaranteed that a hunter of tentacle monsters will end up getting fucked, so why not learn something from it? So long as you don't take a dominant role you treat any time spent having sex as if you had spent it doing a comprehensive examination and interview of your partner(s) with their active cooperation with a focus on their combat capabilities and weaknesses. Spend a few hours getting raped by a monster and you’ll come out of it knowing that monster’s every strength and weakness</v>
      </c>
      <c r="I55" s="5"/>
    </row>
    <row r="56" spans="1:9" ht="104.4" x14ac:dyDescent="0.25">
      <c r="A56" s="16"/>
      <c r="B56" s="17">
        <v>52</v>
      </c>
      <c r="C56" s="2" t="b">
        <f ca="1">IFERROR(__xludf.DUMMYFUNCTION("""COMPUTED_VALUE"""),FALSE)</f>
        <v>0</v>
      </c>
      <c r="D56" s="2">
        <f ca="1">IFERROR(__xludf.DUMMYFUNCTION("""COMPUTED_VALUE"""),100)</f>
        <v>100</v>
      </c>
      <c r="E56" s="2" t="str">
        <f ca="1">IFERROR(__xludf.DUMMYFUNCTION("""COMPUTED_VALUE"""),"Sexual Archives")</f>
        <v>Sexual Archives</v>
      </c>
      <c r="F56" s="2" t="str">
        <f ca="1">IFERROR(__xludf.DUMMYFUNCTION("""COMPUTED_VALUE"""),"Mizuryu Kei Land")</f>
        <v>Mizuryu Kei Land</v>
      </c>
      <c r="G56" s="2" t="str">
        <f ca="1">IFERROR(__xludf.DUMMYFUNCTION("""COMPUTED_VALUE"""),"Skills")</f>
        <v>Skills</v>
      </c>
      <c r="H56" s="2" t="str">
        <f ca="1">IFERROR(__xludf.DUMMYFUNCTION("""COMPUTED_VALUE"""),"The other requirement is that you be above the age of consent. If you aren't, then why are you here? Well, anyways, Mizuryu Kei Land offers a childcare service for those who can't leave their kids behind, but still want to come. You can guess what kind of"&amp;" education you'll get there, right? Anyways, as someone who has apparently attended, you now have an in depth understanding of one particular sex act or fetish, or maybe you learned a weird skill? Something along the lines of being able to deepthroat inde"&amp;"finitely, or maybe being an utter casanova... but only to MILFs.")</f>
        <v>The other requirement is that you be above the age of consent. If you aren't, then why are you here? Well, anyways, Mizuryu Kei Land offers a childcare service for those who can't leave their kids behind, but still want to come. You can guess what kind of education you'll get there, right? Anyways, as someone who has apparently attended, you now have an in depth understanding of one particular sex act or fetish, or maybe you learned a weird skill? Something along the lines of being able to deepthroat indefinitely, or maybe being an utter casanova... but only to MILFs.</v>
      </c>
      <c r="I56" s="5"/>
    </row>
    <row r="57" spans="1:9" ht="87" x14ac:dyDescent="0.25">
      <c r="A57" s="16"/>
      <c r="B57" s="17">
        <v>53</v>
      </c>
      <c r="C57" s="2" t="b">
        <f ca="1">IFERROR(__xludf.DUMMYFUNCTION("""COMPUTED_VALUE"""),FALSE)</f>
        <v>0</v>
      </c>
      <c r="D57" s="2">
        <f ca="1">IFERROR(__xludf.DUMMYFUNCTION("""COMPUTED_VALUE"""),100)</f>
        <v>100</v>
      </c>
      <c r="E57" s="2" t="str">
        <f ca="1">IFERROR(__xludf.DUMMYFUNCTION("""COMPUTED_VALUE"""),"Sexy Specialisation")</f>
        <v>Sexy Specialisation</v>
      </c>
      <c r="F57" s="2" t="str">
        <f ca="1">IFERROR(__xludf.DUMMYFUNCTION("""COMPUTED_VALUE"""),"Monster Girl Dreams 1.3 - The Pre-Capitol Update")</f>
        <v>Monster Girl Dreams 1.3 - The Pre-Capitol Update</v>
      </c>
      <c r="G57" s="2" t="str">
        <f ca="1">IFERROR(__xludf.DUMMYFUNCTION("""COMPUTED_VALUE"""),"Skills")</f>
        <v>Skills</v>
      </c>
      <c r="H57" s="2" t="str">
        <f ca="1">IFERROR(__xludf.DUMMYFUNCTION("""COMPUTED_VALUE"""),"Many humans and Monmusu alike specialize in a particular field when it comes to bedroom combat, from Mika and her amazing ass to Vili and her spellbinding tits. Choose your best asset. You gain great skill in using both your opponents’ and/or your own to "&amp;"conquer them sexually. For example, if you are a male and choose tits, that doesn’t mean you have your own pair of knockers, just that you can make a girl squeal for you with a single grope.")</f>
        <v>Many humans and Monmusu alike specialize in a particular field when it comes to bedroom combat, from Mika and her amazing ass to Vili and her spellbinding tits. Choose your best asset. You gain great skill in using both your opponents’ and/or your own to conquer them sexually. For example, if you are a male and choose tits, that doesn’t mean you have your own pair of knockers, just that you can make a girl squeal for you with a single grope.</v>
      </c>
      <c r="I57" s="5"/>
    </row>
    <row r="58" spans="1:9" ht="69.599999999999994" x14ac:dyDescent="0.25">
      <c r="A58" s="16"/>
      <c r="B58" s="17">
        <v>54</v>
      </c>
      <c r="C58" s="2" t="b">
        <f ca="1">IFERROR(__xludf.DUMMYFUNCTION("""COMPUTED_VALUE"""),FALSE)</f>
        <v>0</v>
      </c>
      <c r="D58" s="2">
        <f ca="1">IFERROR(__xludf.DUMMYFUNCTION("""COMPUTED_VALUE"""),100)</f>
        <v>100</v>
      </c>
      <c r="E58" s="2" t="str">
        <f ca="1">IFERROR(__xludf.DUMMYFUNCTION("""COMPUTED_VALUE"""),"Simultanious Stimulation")</f>
        <v>Simultanious Stimulation</v>
      </c>
      <c r="F58" s="2" t="str">
        <f ca="1">IFERROR(__xludf.DUMMYFUNCTION("""COMPUTED_VALUE"""),"eratohoK")</f>
        <v>eratohoK</v>
      </c>
      <c r="G58" s="2" t="str">
        <f ca="1">IFERROR(__xludf.DUMMYFUNCTION("""COMPUTED_VALUE"""),"Skills")</f>
        <v>Skills</v>
      </c>
      <c r="H58" s="2" t="str">
        <f ca="1">IFERROR(__xludf.DUMMYFUNCTION("""COMPUTED_VALUE"""),"Whether it’s from alternating your genitals between two (or more) partners, or touching someone in multiple places at once, you somehow know how to time it and focus your attentions so well that you give the exact same pleasure as if you were focusing you"&amp;"r entire attention on one. You’re not in two places at the same time, but they might as well feel as if you are.")</f>
        <v>Whether it’s from alternating your genitals between two (or more) partners, or touching someone in multiple places at once, you somehow know how to time it and focus your attentions so well that you give the exact same pleasure as if you were focusing your entire attention on one. You’re not in two places at the same time, but they might as well feel as if you are.</v>
      </c>
      <c r="I58" s="5"/>
    </row>
    <row r="59" spans="1:9" ht="174" x14ac:dyDescent="0.25">
      <c r="A59" s="16"/>
      <c r="B59" s="17">
        <v>55</v>
      </c>
      <c r="C59" s="2" t="b">
        <f ca="1">IFERROR(__xludf.DUMMYFUNCTION("""COMPUTED_VALUE"""),FALSE)</f>
        <v>0</v>
      </c>
      <c r="D59" s="2">
        <f ca="1">IFERROR(__xludf.DUMMYFUNCTION("""COMPUTED_VALUE"""),100)</f>
        <v>100</v>
      </c>
      <c r="E59" s="2" t="str">
        <f ca="1">IFERROR(__xludf.DUMMYFUNCTION("""COMPUTED_VALUE"""),"Space Grind")</f>
        <v>Space Grind</v>
      </c>
      <c r="F59" s="2" t="str">
        <f ca="1">IFERROR(__xludf.DUMMYFUNCTION("""COMPUTED_VALUE"""),"Creature Reaction Inside the Ship!")</f>
        <v>Creature Reaction Inside the Ship!</v>
      </c>
      <c r="G59" s="2" t="str">
        <f ca="1">IFERROR(__xludf.DUMMYFUNCTION("""COMPUTED_VALUE"""),"Skills")</f>
        <v>Skills</v>
      </c>
      <c r="H59" s="2" t="str">
        <f ca="1">IFERROR(__xludf.DUMMYFUNCTION("""COMPUTED_VALUE"""),"You’ve been at the job long enough to know what’s valuable enough to bother taking and what isn’t. You're immediately be familiar with the most common flora, fauna and monsters in any world you visit, as well as have a decent idea of their value and uses."&amp;" You can still be taken totally off guard by rare creatures, or niche uses but at least you won’t be clueless about the most mundane facts.
Also, you can feel out the biology of new creatures who try to fuck you really quickly. Sometimes it’s obvious wha"&amp;"t the creature’s cock is, but which tentacle in this mass are you actually supposed to suck to get it to cum? You won’t have to ask the question for very long. You could have just been the first one to ever find this species and you’re almost certainly go"&amp;"nna be the first one to figure out how to get it off, too!")</f>
        <v>You’ve been at the job long enough to know what’s valuable enough to bother taking and what isn’t. You're immediately be familiar with the most common flora, fauna and monsters in any world you visit, as well as have a decent idea of their value and uses. You can still be taken totally off guard by rare creatures, or niche uses but at least you won’t be clueless about the most mundane facts.
Also, you can feel out the biology of new creatures who try to fuck you really quickly. Sometimes it’s obvious what the creature’s cock is, but which tentacle in this mass are you actually supposed to suck to get it to cum? You won’t have to ask the question for very long. You could have just been the first one to ever find this species and you’re almost certainly gonna be the first one to figure out how to get it off, too!</v>
      </c>
      <c r="I59" s="5"/>
    </row>
    <row r="60" spans="1:9" ht="104.4" x14ac:dyDescent="0.25">
      <c r="A60" s="16"/>
      <c r="B60" s="17">
        <v>56</v>
      </c>
      <c r="C60" s="2" t="b">
        <f ca="1">IFERROR(__xludf.DUMMYFUNCTION("""COMPUTED_VALUE"""),FALSE)</f>
        <v>0</v>
      </c>
      <c r="D60" s="2">
        <f ca="1">IFERROR(__xludf.DUMMYFUNCTION("""COMPUTED_VALUE"""),100)</f>
        <v>100</v>
      </c>
      <c r="E60" s="2" t="str">
        <f ca="1">IFERROR(__xludf.DUMMYFUNCTION("""COMPUTED_VALUE"""),"Spick and Span")</f>
        <v>Spick and Span</v>
      </c>
      <c r="F60" s="2" t="str">
        <f ca="1">IFERROR(__xludf.DUMMYFUNCTION("""COMPUTED_VALUE"""),"Prina the Dungeoneering Princess")</f>
        <v>Prina the Dungeoneering Princess</v>
      </c>
      <c r="G60" s="2" t="str">
        <f ca="1">IFERROR(__xludf.DUMMYFUNCTION("""COMPUTED_VALUE"""),"Skills")</f>
        <v>Skills</v>
      </c>
      <c r="H60" s="2" t="str">
        <f ca="1">IFERROR(__xludf.DUMMYFUNCTION("""COMPUTED_VALUE"""),"Speaking of Prina’s best friend, it’s actually her maid. It should come as no surprise then, that whenever Prina loses control of her raging erection above ground, it’s Yunia - the maid - who has to clean up the rivers of fluid the two of them put out. Mu"&amp;"ch like her, you can also manage to erase all traces of your lust in the span of minutes, even going so far as to make the room look better than before you messed it up. As a small bonus, if an awkward one, those rivers of fluid you’re likely to be puttin"&amp;"g out? They make for excellent cleaning fluids.")</f>
        <v>Speaking of Prina’s best friend, it’s actually her maid. It should come as no surprise then, that whenever Prina loses control of her raging erection above ground, it’s Yunia - the maid - who has to clean up the rivers of fluid the two of them put out. Much like her, you can also manage to erase all traces of your lust in the span of minutes, even going so far as to make the room look better than before you messed it up. As a small bonus, if an awkward one, those rivers of fluid you’re likely to be putting out? They make for excellent cleaning fluids.</v>
      </c>
      <c r="I60" s="5"/>
    </row>
    <row r="61" spans="1:9" ht="104.4" x14ac:dyDescent="0.25">
      <c r="A61" s="16"/>
      <c r="B61" s="17">
        <v>57</v>
      </c>
      <c r="C61" s="2" t="b">
        <f ca="1">IFERROR(__xludf.DUMMYFUNCTION("""COMPUTED_VALUE"""),FALSE)</f>
        <v>0</v>
      </c>
      <c r="D61" s="2">
        <f ca="1">IFERROR(__xludf.DUMMYFUNCTION("""COMPUTED_VALUE"""),100)</f>
        <v>100</v>
      </c>
      <c r="E61" s="2" t="str">
        <f ca="1">IFERROR(__xludf.DUMMYFUNCTION("""COMPUTED_VALUE"""),"Splash Zone")</f>
        <v>Splash Zone</v>
      </c>
      <c r="F61" s="2" t="str">
        <f ca="1">IFERROR(__xludf.DUMMYFUNCTION("""COMPUTED_VALUE"""),"Dulce Report")</f>
        <v>Dulce Report</v>
      </c>
      <c r="G61" s="2" t="str">
        <f ca="1">IFERROR(__xludf.DUMMYFUNCTION("""COMPUTED_VALUE"""),"Skills")</f>
        <v>Skills</v>
      </c>
      <c r="H61" s="2" t="str">
        <f ca="1">IFERROR(__xludf.DUMMYFUNCTION("""COMPUTED_VALUE"""),"While not exactly a fact of existence, you’ll find this skill to be incredibly useful. Specifically, you are now an expert masturbator, and have a surprising ability to aim your firehose. Several Angels have acquired new slaves via cumming all over their "&amp;"faces, so this is simply the ability to set up an ambush of sorts. However, if Rosie Palms doesn’t appeal to you, I’ll also let you have a certain level of control over where your cum ends up. Basically, if you want your cum all over their face, it’ll end"&amp;" up there, even if you were in their ass, or maybe even facing the opposite direction.")</f>
        <v>While not exactly a fact of existence, you’ll find this skill to be incredibly useful. Specifically, you are now an expert masturbator, and have a surprising ability to aim your firehose. Several Angels have acquired new slaves via cumming all over their faces, so this is simply the ability to set up an ambush of sorts. However, if Rosie Palms doesn’t appeal to you, I’ll also let you have a certain level of control over where your cum ends up. Basically, if you want your cum all over their face, it’ll end up there, even if you were in their ass, or maybe even facing the opposite direction.</v>
      </c>
      <c r="I61" s="5"/>
    </row>
    <row r="62" spans="1:9" ht="139.19999999999999" x14ac:dyDescent="0.25">
      <c r="A62" s="16"/>
      <c r="B62" s="17">
        <v>58</v>
      </c>
      <c r="C62" s="2" t="b">
        <f ca="1">IFERROR(__xludf.DUMMYFUNCTION("""COMPUTED_VALUE"""),FALSE)</f>
        <v>0</v>
      </c>
      <c r="D62" s="2">
        <f ca="1">IFERROR(__xludf.DUMMYFUNCTION("""COMPUTED_VALUE"""),100)</f>
        <v>100</v>
      </c>
      <c r="E62" s="2" t="str">
        <f ca="1">IFERROR(__xludf.DUMMYFUNCTION("""COMPUTED_VALUE"""),"Stay in Character, Dammit!")</f>
        <v>Stay in Character, Dammit!</v>
      </c>
      <c r="F62" s="2" t="str">
        <f ca="1">IFERROR(__xludf.DUMMYFUNCTION("""COMPUTED_VALUE"""),"Generic: BDSM")</f>
        <v>Generic: BDSM</v>
      </c>
      <c r="G62" s="2" t="str">
        <f ca="1">IFERROR(__xludf.DUMMYFUNCTION("""COMPUTED_VALUE"""),"Skills")</f>
        <v>Skills</v>
      </c>
      <c r="H62" s="2" t="str">
        <f ca="1">IFERROR(__xludf.DUMMYFUNCTION("""COMPUTED_VALUE"""),"Let's be honest, sometimes bondage scenes can get a little silly, and that's before we get into the madness that passes for dirty talk among some people. It can be a real effort to remain serious and focus on your role in the scene, or at least it used to"&amp;" be. Whenever you have a role that you need to perform, you can stay in character flawlessly. This on its own won't be enough to convincingly disguise yourself as someone else, but if you ever get into acting you'll never have to worry about forgetting yo"&amp;"ur lines or accidentally bursting out laughing during a sad scene ever again. As far as use for bondage scenes, you can play either the squealing damsel or the nefarious villain with ease, without ever rolling an eye at a cheesy line or giggling at an ove"&amp;"rblown threat.")</f>
        <v>Let's be honest, sometimes bondage scenes can get a little silly, and that's before we get into the madness that passes for dirty talk among some people. It can be a real effort to remain serious and focus on your role in the scene, or at least it used to be. Whenever you have a role that you need to perform, you can stay in character flawlessly. This on its own won't be enough to convincingly disguise yourself as someone else, but if you ever get into acting you'll never have to worry about forgetting your lines or accidentally bursting out laughing during a sad scene ever again. As far as use for bondage scenes, you can play either the squealing damsel or the nefarious villain with ease, without ever rolling an eye at a cheesy line or giggling at an overblown threat.</v>
      </c>
      <c r="I62" s="5"/>
    </row>
    <row r="63" spans="1:9" ht="156.6" x14ac:dyDescent="0.25">
      <c r="A63" s="16"/>
      <c r="B63" s="17">
        <v>59</v>
      </c>
      <c r="C63" s="2" t="b">
        <f ca="1">IFERROR(__xludf.DUMMYFUNCTION("""COMPUTED_VALUE"""),FALSE)</f>
        <v>0</v>
      </c>
      <c r="D63" s="2">
        <f ca="1">IFERROR(__xludf.DUMMYFUNCTION("""COMPUTED_VALUE"""),100)</f>
        <v>100</v>
      </c>
      <c r="E63" s="2" t="str">
        <f ca="1">IFERROR(__xludf.DUMMYFUNCTION("""COMPUTED_VALUE"""),"Tactician's Genius")</f>
        <v>Tactician's Genius</v>
      </c>
      <c r="F63" s="2" t="str">
        <f ca="1">IFERROR(__xludf.DUMMYFUNCTION("""COMPUTED_VALUE"""),"A Change of Tactics V2.2")</f>
        <v>A Change of Tactics V2.2</v>
      </c>
      <c r="G63" s="2" t="str">
        <f ca="1">IFERROR(__xludf.DUMMYFUNCTION("""COMPUTED_VALUE"""),"Skills")</f>
        <v>Skills</v>
      </c>
      <c r="H63" s="2" t="str">
        <f ca="1">IFERROR(__xludf.DUMMYFUNCTION("""COMPUTED_VALUE"""),"The mind of a tactician is one of the most potent weapons in any army’s arsenal, and yours is as sharp as they come. You are highly perceptive, easily picking up on information and subtext that most others would miss. Someone with the training of a tactic"&amp;"ian could judge the strength and morale of enemy soldiers and spot weaknesses in enemy formations with little more than a glance, while an equally-skilled warrior could spot and exploit even the tiniest openings in his opponent’s guard. You can apply your"&amp;" observational skills to any field you have skill in, not just tactics and swordplay but also such things as romance, allowing you to notice even the faintest signs of romantic or sexual interest in those around you, even in those who are still unaware of"&amp;" their own feelings.")</f>
        <v>The mind of a tactician is one of the most potent weapons in any army’s arsenal, and yours is as sharp as they come. You are highly perceptive, easily picking up on information and subtext that most others would miss. Someone with the training of a tactician could judge the strength and morale of enemy soldiers and spot weaknesses in enemy formations with little more than a glance, while an equally-skilled warrior could spot and exploit even the tiniest openings in his opponent’s guard. You can apply your observational skills to any field you have skill in, not just tactics and swordplay but also such things as romance, allowing you to notice even the faintest signs of romantic or sexual interest in those around you, even in those who are still unaware of their own feelings.</v>
      </c>
      <c r="I63" s="5"/>
    </row>
    <row r="64" spans="1:9" ht="52.2" x14ac:dyDescent="0.25">
      <c r="A64" s="16"/>
      <c r="B64" s="17">
        <v>60</v>
      </c>
      <c r="C64" s="2" t="b">
        <f ca="1">IFERROR(__xludf.DUMMYFUNCTION("""COMPUTED_VALUE"""),FALSE)</f>
        <v>0</v>
      </c>
      <c r="D64" s="2">
        <f ca="1">IFERROR(__xludf.DUMMYFUNCTION("""COMPUTED_VALUE"""),100)</f>
        <v>100</v>
      </c>
      <c r="E64" s="2" t="str">
        <f ca="1">IFERROR(__xludf.DUMMYFUNCTION("""COMPUTED_VALUE"""),"The Man in the Know")</f>
        <v>The Man in the Know</v>
      </c>
      <c r="F64" s="2" t="str">
        <f ca="1">IFERROR(__xludf.DUMMYFUNCTION("""COMPUTED_VALUE"""),"Generic: Hentai Occult")</f>
        <v>Generic: Hentai Occult</v>
      </c>
      <c r="G64" s="2" t="str">
        <f ca="1">IFERROR(__xludf.DUMMYFUNCTION("""COMPUTED_VALUE"""),"Skills")</f>
        <v>Skills</v>
      </c>
      <c r="H64" s="2" t="str">
        <f ca="1">IFERROR(__xludf.DUMMYFUNCTION("""COMPUTED_VALUE"""),"You’ve studied the heros and villains. You know their techniques. Their powers. What they enjoy, what they hate. What their sizes are and their fetishes. And the new ones that come out? You’re quick to analyze. You’ll win any argument on the local message"&amp;" boards about them.")</f>
        <v>You’ve studied the heros and villains. You know their techniques. Their powers. What they enjoy, what they hate. What their sizes are and their fetishes. And the new ones that come out? You’re quick to analyze. You’ll win any argument on the local message boards about them.</v>
      </c>
      <c r="I64" s="5"/>
    </row>
    <row r="65" spans="1:9" ht="121.8" x14ac:dyDescent="0.25">
      <c r="A65" s="16"/>
      <c r="B65" s="17">
        <v>61</v>
      </c>
      <c r="C65" s="2" t="b">
        <f ca="1">IFERROR(__xludf.DUMMYFUNCTION("""COMPUTED_VALUE"""),FALSE)</f>
        <v>0</v>
      </c>
      <c r="D65" s="2">
        <f ca="1">IFERROR(__xludf.DUMMYFUNCTION("""COMPUTED_VALUE"""),100)</f>
        <v>100</v>
      </c>
      <c r="E65" s="2" t="str">
        <f ca="1">IFERROR(__xludf.DUMMYFUNCTION("""COMPUTED_VALUE"""),"Too Cute for your Own Good")</f>
        <v>Too Cute for your Own Good</v>
      </c>
      <c r="F65" s="2" t="str">
        <f ca="1">IFERROR(__xludf.DUMMYFUNCTION("""COMPUTED_VALUE"""),"Fate / Blacked")</f>
        <v>Fate / Blacked</v>
      </c>
      <c r="G65" s="2" t="str">
        <f ca="1">IFERROR(__xludf.DUMMYFUNCTION("""COMPUTED_VALUE"""),"Skills")</f>
        <v>Skills</v>
      </c>
      <c r="H65" s="2" t="str">
        <f ca="1">IFERROR(__xludf.DUMMYFUNCTION("""COMPUTED_VALUE"""),"I’m genuinely unsure what led to you developing this particular skill, but as it turns out you have an amazing talent for crossdressing. As a man you would make a more tantalizing woman than Astolfo, and as a woman you could be so manly as to have a dozen"&amp;" women swooning at your roguish charm. You might even be able to confuse the dick of a straight man long enough to make them leave you alone - or make them dick you down, depending on your reason for dressing in this manner. It’s almost like you make a ge"&amp;"nuinely better member of the opposite gender than they do most of the time.")</f>
        <v>I’m genuinely unsure what led to you developing this particular skill, but as it turns out you have an amazing talent for crossdressing. As a man you would make a more tantalizing woman than Astolfo, and as a woman you could be so manly as to have a dozen women swooning at your roguish charm. You might even be able to confuse the dick of a straight man long enough to make them leave you alone - or make them dick you down, depending on your reason for dressing in this manner. It’s almost like you make a genuinely better member of the opposite gender than they do most of the time.</v>
      </c>
      <c r="I65" s="5"/>
    </row>
    <row r="66" spans="1:9" ht="87" x14ac:dyDescent="0.25">
      <c r="A66" s="16"/>
      <c r="B66" s="17">
        <v>62</v>
      </c>
      <c r="C66" s="2" t="b">
        <f ca="1">IFERROR(__xludf.DUMMYFUNCTION("""COMPUTED_VALUE"""),FALSE)</f>
        <v>0</v>
      </c>
      <c r="D66" s="2">
        <f ca="1">IFERROR(__xludf.DUMMYFUNCTION("""COMPUTED_VALUE"""),100)</f>
        <v>100</v>
      </c>
      <c r="E66" s="2" t="str">
        <f ca="1">IFERROR(__xludf.DUMMYFUNCTION("""COMPUTED_VALUE"""),"Unembarrassed")</f>
        <v>Unembarrassed</v>
      </c>
      <c r="F66" s="2" t="str">
        <f ca="1">IFERROR(__xludf.DUMMYFUNCTION("""COMPUTED_VALUE"""),"Burakku Gakkou Ni Tsutomete Shimatta Sensei")</f>
        <v>Burakku Gakkou Ni Tsutomete Shimatta Sensei</v>
      </c>
      <c r="G66" s="2" t="str">
        <f ca="1">IFERROR(__xludf.DUMMYFUNCTION("""COMPUTED_VALUE"""),"Skills")</f>
        <v>Skills</v>
      </c>
      <c r="H66" s="2" t="str">
        <f ca="1">IFERROR(__xludf.DUMMYFUNCTION("""COMPUTED_VALUE"""),"You have cast aside your shame. Well, sort of. You still feel shame and embarrassment, but you are able to cast those feelings aside to behave however you would like to, regardless of how embarrassed or ashamed you start to feel.")</f>
        <v>You have cast aside your shame. Well, sort of. You still feel shame and embarrassment, but you are able to cast those feelings aside to behave however you would like to, regardless of how embarrassed or ashamed you start to feel.</v>
      </c>
      <c r="I66" s="5"/>
    </row>
    <row r="67" spans="1:9" ht="174" x14ac:dyDescent="0.25">
      <c r="A67" s="16"/>
      <c r="B67" s="17">
        <v>63</v>
      </c>
      <c r="C67" s="2" t="b">
        <f ca="1">IFERROR(__xludf.DUMMYFUNCTION("""COMPUTED_VALUE"""),FALSE)</f>
        <v>0</v>
      </c>
      <c r="D67" s="2">
        <f ca="1">IFERROR(__xludf.DUMMYFUNCTION("""COMPUTED_VALUE"""),100)</f>
        <v>100</v>
      </c>
      <c r="E67" s="2" t="str">
        <f ca="1">IFERROR(__xludf.DUMMYFUNCTION("""COMPUTED_VALUE"""),"Weak Spots")</f>
        <v>Weak Spots</v>
      </c>
      <c r="F67" s="2" t="str">
        <f ca="1">IFERROR(__xludf.DUMMYFUNCTION("""COMPUTED_VALUE"""),"Haramase Simulator")</f>
        <v>Haramase Simulator</v>
      </c>
      <c r="G67" s="2" t="str">
        <f ca="1">IFERROR(__xludf.DUMMYFUNCTION("""COMPUTED_VALUE"""),"Skills")</f>
        <v>Skills</v>
      </c>
      <c r="H67" s="2" t="str">
        <f ca="1">IFERROR(__xludf.DUMMYFUNCTION("""COMPUTED_VALUE"""),"While you’re going to be able to get a lot of practice in, you have actual talent at the art of lovemaking as well. Or at least the art of making a woman cum her brains out while you take her, allowing you to make sure your partners are always going to en"&amp;"joy their time with you unless they truly don’t want to give into the sexual pleasure you can provide. 
More impressively perhaps, you have a knack for finding the weak points of your partners and remembering those of dozens of women at once. You’re quic"&amp;"kly able to figure out just how to tease their bodies, often coming to know their weak spots even better than they themselves do. After only a relatively short time, this would allow you to do things like bringing them to orgasm with a chest massage befor"&amp;"e you truly get started.")</f>
        <v>While you’re going to be able to get a lot of practice in, you have actual talent at the art of lovemaking as well. Or at least the art of making a woman cum her brains out while you take her, allowing you to make sure your partners are always going to enjoy their time with you unless they truly don’t want to give into the sexual pleasure you can provide. 
More impressively perhaps, you have a knack for finding the weak points of your partners and remembering those of dozens of women at once. You’re quickly able to figure out just how to tease their bodies, often coming to know their weak spots even better than they themselves do. After only a relatively short time, this would allow you to do things like bringing them to orgasm with a chest massage before you truly get started.</v>
      </c>
      <c r="I67" s="5"/>
    </row>
    <row r="68" spans="1:9" ht="69.599999999999994" x14ac:dyDescent="0.25">
      <c r="A68" s="16"/>
      <c r="B68" s="17">
        <v>64</v>
      </c>
      <c r="C68" s="2" t="b">
        <f ca="1">IFERROR(__xludf.DUMMYFUNCTION("""COMPUTED_VALUE"""),FALSE)</f>
        <v>0</v>
      </c>
      <c r="D68" s="2">
        <f ca="1">IFERROR(__xludf.DUMMYFUNCTION("""COMPUTED_VALUE"""),100)</f>
        <v>100</v>
      </c>
      <c r="E68" s="2" t="str">
        <f ca="1">IFERROR(__xludf.DUMMYFUNCTION("""COMPUTED_VALUE"""),"What Would you do to Me?")</f>
        <v>What Would you do to Me?</v>
      </c>
      <c r="F68" s="2" t="str">
        <f ca="1">IFERROR(__xludf.DUMMYFUNCTION("""COMPUTED_VALUE"""),"Mind Control University")</f>
        <v>Mind Control University</v>
      </c>
      <c r="G68" s="2" t="str">
        <f ca="1">IFERROR(__xludf.DUMMYFUNCTION("""COMPUTED_VALUE"""),"Skills")</f>
        <v>Skills</v>
      </c>
      <c r="H68" s="2" t="str">
        <f ca="1">IFERROR(__xludf.DUMMYFUNCTION("""COMPUTED_VALUE"""),"You may want to be a slave, but do you want to be a slave to someone who will abuse and mistreat you? How do you separate the bad from the good? You are intuitively aware of how a person or group would treat you if they were placed in a position of power "&amp;"over you. You don’t need to worry about picking the right person to serve.")</f>
        <v>You may want to be a slave, but do you want to be a slave to someone who will abuse and mistreat you? How do you separate the bad from the good? You are intuitively aware of how a person or group would treat you if they were placed in a position of power over you. You don’t need to worry about picking the right person to serve.</v>
      </c>
      <c r="I68" s="5"/>
    </row>
    <row r="69" spans="1:9" ht="139.19999999999999" x14ac:dyDescent="0.25">
      <c r="A69" s="16"/>
      <c r="B69" s="17">
        <v>65</v>
      </c>
      <c r="C69" s="2" t="b">
        <f ca="1">IFERROR(__xludf.DUMMYFUNCTION("""COMPUTED_VALUE"""),FALSE)</f>
        <v>0</v>
      </c>
      <c r="D69" s="2">
        <f ca="1">IFERROR(__xludf.DUMMYFUNCTION("""COMPUTED_VALUE"""),100)</f>
        <v>100</v>
      </c>
      <c r="E69" s="2" t="str">
        <f ca="1">IFERROR(__xludf.DUMMYFUNCTION("""COMPUTED_VALUE"""),"Wheels Within Wheels")</f>
        <v>Wheels Within Wheels</v>
      </c>
      <c r="F69" s="2" t="str">
        <f ca="1">IFERROR(__xludf.DUMMYFUNCTION("""COMPUTED_VALUE"""),"Shinmai Maou no Testament")</f>
        <v>Shinmai Maou no Testament</v>
      </c>
      <c r="G69" s="2" t="str">
        <f ca="1">IFERROR(__xludf.DUMMYFUNCTION("""COMPUTED_VALUE"""),"Skills")</f>
        <v>Skills</v>
      </c>
      <c r="H69" s="2" t="str">
        <f ca="1">IFERROR(__xludf.DUMMYFUNCTION("""COMPUTED_VALUE"""),"Subtlety is a must when dealing with supernatural forces, especially if you’re also living among normal humans who run the risk of getting caught in the crossfire. That’s why you’ve come to master the art of double-speak, masking conversations inside of o"&amp;"ther conversations and conveying information that only your intended audience will hear even when you address a large group. For example some sage advice about dealing with being unpopular at school could conceal advice on dealing with supernatural enemie"&amp;"s. Your conversation partners can also employ this perk’s effects while you’re using it, following your lead and ensuring that they don’t simply blurt out the details you’re trying to keep hidden.")</f>
        <v>Subtlety is a must when dealing with supernatural forces, especially if you’re also living among normal humans who run the risk of getting caught in the crossfire. That’s why you’ve come to master the art of double-speak, masking conversations inside of other conversations and conveying information that only your intended audience will hear even when you address a large group. For example some sage advice about dealing with being unpopular at school could conceal advice on dealing with supernatural enemies. Your conversation partners can also employ this perk’s effects while you’re using it, following your lead and ensuring that they don’t simply blurt out the details you’re trying to keep hidden.</v>
      </c>
      <c r="I69" s="5"/>
    </row>
    <row r="70" spans="1:9" ht="139.19999999999999" x14ac:dyDescent="0.25">
      <c r="A70" s="16"/>
      <c r="B70" s="17">
        <v>66</v>
      </c>
      <c r="C70" s="2" t="b">
        <f ca="1">IFERROR(__xludf.DUMMYFUNCTION("""COMPUTED_VALUE"""),FALSE)</f>
        <v>0</v>
      </c>
      <c r="D70" s="2">
        <f ca="1">IFERROR(__xludf.DUMMYFUNCTION("""COMPUTED_VALUE"""),100)</f>
        <v>100</v>
      </c>
      <c r="E70" s="2" t="str">
        <f ca="1">IFERROR(__xludf.DUMMYFUNCTION("""COMPUTED_VALUE"""),"Whip it Real Good")</f>
        <v>Whip it Real Good</v>
      </c>
      <c r="F70" s="2" t="str">
        <f ca="1">IFERROR(__xludf.DUMMYFUNCTION("""COMPUTED_VALUE"""),"Karenvania")</f>
        <v>Karenvania</v>
      </c>
      <c r="G70" s="2" t="str">
        <f ca="1">IFERROR(__xludf.DUMMYFUNCTION("""COMPUTED_VALUE"""),"Skills")</f>
        <v>Skills</v>
      </c>
      <c r="H70" s="2" t="str">
        <f ca="1">IFERROR(__xludf.DUMMYFUNCTION("""COMPUTED_VALUE"""),"While there is no practical reason for it, the weapon of choice to fight monsters - or more specifically, vampires - has become the whip. The Belmonts influence upon history, no doubt. While your skills fall far short of their own, you do know how to hold"&amp;" your ground in a fight using one. More importantly, you’re also familiar with a few... noncombat uses of the whip. Pulling arms and armor off your foes, tying them up and leaving them at your mercy... I believe Japan calls this shibari? Still, if you’re "&amp;"inclined to tie someone down and have your way with them, well, there’s an entire castle full of acceptable targets in your immediate future. Just be careful they aren’t strong enough to break your weapon, yeah?")</f>
        <v>While there is no practical reason for it, the weapon of choice to fight monsters - or more specifically, vampires - has become the whip. The Belmonts influence upon history, no doubt. While your skills fall far short of their own, you do know how to hold your ground in a fight using one. More importantly, you’re also familiar with a few... noncombat uses of the whip. Pulling arms and armor off your foes, tying them up and leaving them at your mercy... I believe Japan calls this shibari? Still, if you’re inclined to tie someone down and have your way with them, well, there’s an entire castle full of acceptable targets in your immediate future. Just be careful they aren’t strong enough to break your weapon, yeah?</v>
      </c>
      <c r="I70" s="5"/>
    </row>
    <row r="71" spans="1:9" ht="87" x14ac:dyDescent="0.25">
      <c r="A71" s="16"/>
      <c r="B71" s="17">
        <v>67</v>
      </c>
      <c r="C71" s="2" t="b">
        <f ca="1">IFERROR(__xludf.DUMMYFUNCTION("""COMPUTED_VALUE"""),FALSE)</f>
        <v>0</v>
      </c>
      <c r="D71" s="2">
        <f ca="1">IFERROR(__xludf.DUMMYFUNCTION("""COMPUTED_VALUE"""),100)</f>
        <v>100</v>
      </c>
      <c r="E71" s="2" t="str">
        <f ca="1">IFERROR(__xludf.DUMMYFUNCTION("""COMPUTED_VALUE"""),"Zerg Rush")</f>
        <v>Zerg Rush</v>
      </c>
      <c r="F71" s="2" t="str">
        <f ca="1">IFERROR(__xludf.DUMMYFUNCTION("""COMPUTED_VALUE"""),"Monster Girl Dreams 1.3 - The Pre-Capitol Update")</f>
        <v>Monster Girl Dreams 1.3 - The Pre-Capitol Update</v>
      </c>
      <c r="G71" s="2" t="str">
        <f ca="1">IFERROR(__xludf.DUMMYFUNCTION("""COMPUTED_VALUE"""),"Skills")</f>
        <v>Skills</v>
      </c>
      <c r="H71" s="2" t="str">
        <f ca="1">IFERROR(__xludf.DUMMYFUNCTION("""COMPUTED_VALUE"""),"Monster girls often hunt in packs when going after their ‘prey’, turning ambushes into reverse gangbangs. You are particularly skilled in such tactics, able to position yourself in such a way as to take advantage of your allies' efforts in battle and the "&amp;"bedroom.")</f>
        <v>Monster girls often hunt in packs when going after their ‘prey’, turning ambushes into reverse gangbangs. You are particularly skilled in such tactics, able to position yourself in such a way as to take advantage of your allies' efforts in battle and the bedroom.</v>
      </c>
      <c r="I71" s="5"/>
    </row>
    <row r="72" spans="1:9" ht="208.8" x14ac:dyDescent="0.25">
      <c r="A72" s="16"/>
      <c r="B72" s="17">
        <v>68</v>
      </c>
      <c r="C72" s="2" t="b">
        <f ca="1">IFERROR(__xludf.DUMMYFUNCTION("""COMPUTED_VALUE"""),FALSE)</f>
        <v>0</v>
      </c>
      <c r="D72" s="2">
        <f ca="1">IFERROR(__xludf.DUMMYFUNCTION("""COMPUTED_VALUE"""),200)</f>
        <v>200</v>
      </c>
      <c r="E72" s="2" t="str">
        <f ca="1">IFERROR(__xludf.DUMMYFUNCTION("""COMPUTED_VALUE"""),"Ace Pilot")</f>
        <v>Ace Pilot</v>
      </c>
      <c r="F72" s="2" t="str">
        <f ca="1">IFERROR(__xludf.DUMMYFUNCTION("""COMPUTED_VALUE"""),"Creature Reaction Inside the Ship!")</f>
        <v>Creature Reaction Inside the Ship!</v>
      </c>
      <c r="G72" s="2" t="str">
        <f ca="1">IFERROR(__xludf.DUMMYFUNCTION("""COMPUTED_VALUE"""),"Skills")</f>
        <v>Skills</v>
      </c>
      <c r="H72" s="2" t="str">
        <f ca="1">IFERROR(__xludf.DUMMYFUNCTION("""COMPUTED_VALUE"""),"Working all by yourself means that you have to be ready to take the wheel if you have to. Thankfully, you’ve always always had a knack for navigating through the potentially hazardous things you might encounter in space, and even more thankfully, this ski"&amp;"ll now stretches to pretty much any vehicle you can get your hands on! Whether weaving through asteroids or racing through traffic, you've got the skill to handle it.
You’re also a pro at maintaining your concentration even as your body and mind are ove"&amp;"rwhelmed! Need to do some complicated maneuvers as someone fucks you from behind unloading load after load into your needy pussy? You’ll be able to pull it off and move your hips to help them out too! Do complicated repairs as a tongue expertly eats you o"&amp;"ut and makes you cum over and over with no danger to your work! Why keep monsters caged up when you can pacify them with your body and work at the same time?")</f>
        <v>Working all by yourself means that you have to be ready to take the wheel if you have to. Thankfully, you’ve always always had a knack for navigating through the potentially hazardous things you might encounter in space, and even more thankfully, this skill now stretches to pretty much any vehicle you can get your hands on! Whether weaving through asteroids or racing through traffic, you've got the skill to handle it.
You’re also a pro at maintaining your concentration even as your body and mind are overwhelmed! Need to do some complicated maneuvers as someone fucks you from behind unloading load after load into your needy pussy? You’ll be able to pull it off and move your hips to help them out too! Do complicated repairs as a tongue expertly eats you out and makes you cum over and over with no danger to your work! Why keep monsters caged up when you can pacify them with your body and work at the same time?</v>
      </c>
      <c r="I72" s="5"/>
    </row>
    <row r="73" spans="1:9" ht="121.8" x14ac:dyDescent="0.25">
      <c r="A73" s="16"/>
      <c r="B73" s="17">
        <v>69</v>
      </c>
      <c r="C73" s="2" t="b">
        <f ca="1">IFERROR(__xludf.DUMMYFUNCTION("""COMPUTED_VALUE"""),FALSE)</f>
        <v>0</v>
      </c>
      <c r="D73" s="2">
        <f ca="1">IFERROR(__xludf.DUMMYFUNCTION("""COMPUTED_VALUE"""),200)</f>
        <v>200</v>
      </c>
      <c r="E73" s="2" t="str">
        <f ca="1">IFERROR(__xludf.DUMMYFUNCTION("""COMPUTED_VALUE"""),"Adept Footwork")</f>
        <v>Adept Footwork</v>
      </c>
      <c r="F73" s="2" t="str">
        <f ca="1">IFERROR(__xludf.DUMMYFUNCTION("""COMPUTED_VALUE"""),"Ashigei Shoujo Komura-san")</f>
        <v>Ashigei Shoujo Komura-san</v>
      </c>
      <c r="G73" s="2" t="str">
        <f ca="1">IFERROR(__xludf.DUMMYFUNCTION("""COMPUTED_VALUE"""),"Skills")</f>
        <v>Skills</v>
      </c>
      <c r="H73" s="2" t="str">
        <f ca="1">IFERROR(__xludf.DUMMYFUNCTION("""COMPUTED_VALUE"""),"Your footwork is simply superb by any normal person’s standards. You have the grace of a master ballerina, the strength to lift weights with your toes, the dexterity to use your feet as hands (clumsily), the flexibility to comfortably maintain a standing "&amp;"split, and the balance and stamina needed to spend hours in that pose. If there weren’t any descendents of ancient foot-obsessed acrobats running around, people wouldn’t hesitate to call you an athletic prodigy. You aren’t at the level where you can spin "&amp;"batons or play tennis with your feet, but it’s impressive in its own right how close you can get with training. ")</f>
        <v xml:space="preserve">Your footwork is simply superb by any normal person’s standards. You have the grace of a master ballerina, the strength to lift weights with your toes, the dexterity to use your feet as hands (clumsily), the flexibility to comfortably maintain a standing split, and the balance and stamina needed to spend hours in that pose. If there weren’t any descendents of ancient foot-obsessed acrobats running around, people wouldn’t hesitate to call you an athletic prodigy. You aren’t at the level where you can spin batons or play tennis with your feet, but it’s impressive in its own right how close you can get with training. </v>
      </c>
      <c r="I73" s="5"/>
    </row>
    <row r="74" spans="1:9" ht="139.19999999999999" x14ac:dyDescent="0.25">
      <c r="A74" s="16"/>
      <c r="B74" s="17">
        <v>70</v>
      </c>
      <c r="C74" s="2" t="b">
        <f ca="1">IFERROR(__xludf.DUMMYFUNCTION("""COMPUTED_VALUE"""),FALSE)</f>
        <v>0</v>
      </c>
      <c r="D74" s="2">
        <f ca="1">IFERROR(__xludf.DUMMYFUNCTION("""COMPUTED_VALUE"""),200)</f>
        <v>200</v>
      </c>
      <c r="E74" s="2" t="str">
        <f ca="1">IFERROR(__xludf.DUMMYFUNCTION("""COMPUTED_VALUE"""),"All for You")</f>
        <v>All for You</v>
      </c>
      <c r="F74" s="2" t="str">
        <f ca="1">IFERROR(__xludf.DUMMYFUNCTION("""COMPUTED_VALUE"""),"Generic: Casual Sex World")</f>
        <v>Generic: Casual Sex World</v>
      </c>
      <c r="G74" s="2" t="str">
        <f ca="1">IFERROR(__xludf.DUMMYFUNCTION("""COMPUTED_VALUE"""),"Skills")</f>
        <v>Skills</v>
      </c>
      <c r="H74" s="2" t="str">
        <f ca="1">IFERROR(__xludf.DUMMYFUNCTION("""COMPUTED_VALUE"""),"If your status in life is to be a tool for others, submissively doing as you’re told like a good pet, you might as well be good at it. You are absurdly good at making things more enjoyable for partners in whatever you’re doing together. This isn’t just ab"&amp;"out getting down, spreading your legs and bottoming in sex though. You’re like a date master, a living bundle of fun the whole night through whether you see a movie or go to a carnival together and all those stereotypes. As long as you have the ability to"&amp;" focus your attention on someone during an activity, you can surely figure out a way to make it fun. Maybe you won’t have an incredible time thanks to this perk, but you can be assured that you’ll be leaving others with happy memories.")</f>
        <v>If your status in life is to be a tool for others, submissively doing as you’re told like a good pet, you might as well be good at it. You are absurdly good at making things more enjoyable for partners in whatever you’re doing together. This isn’t just about getting down, spreading your legs and bottoming in sex though. You’re like a date master, a living bundle of fun the whole night through whether you see a movie or go to a carnival together and all those stereotypes. As long as you have the ability to focus your attention on someone during an activity, you can surely figure out a way to make it fun. Maybe you won’t have an incredible time thanks to this perk, but you can be assured that you’ll be leaving others with happy memories.</v>
      </c>
      <c r="I74" s="5"/>
    </row>
    <row r="75" spans="1:9" ht="139.19999999999999" x14ac:dyDescent="0.25">
      <c r="A75" s="16"/>
      <c r="B75" s="17">
        <v>71</v>
      </c>
      <c r="C75" s="2" t="b">
        <f ca="1">IFERROR(__xludf.DUMMYFUNCTION("""COMPUTED_VALUE"""),FALSE)</f>
        <v>0</v>
      </c>
      <c r="D75" s="2">
        <f ca="1">IFERROR(__xludf.DUMMYFUNCTION("""COMPUTED_VALUE"""),200)</f>
        <v>200</v>
      </c>
      <c r="E75" s="2" t="str">
        <f ca="1">IFERROR(__xludf.DUMMYFUNCTION("""COMPUTED_VALUE"""),"Anatomy Expert")</f>
        <v>Anatomy Expert</v>
      </c>
      <c r="F75" s="2" t="str">
        <f ca="1">IFERROR(__xludf.DUMMYFUNCTION("""COMPUTED_VALUE"""),"Naruto Blacked")</f>
        <v>Naruto Blacked</v>
      </c>
      <c r="G75" s="2" t="str">
        <f ca="1">IFERROR(__xludf.DUMMYFUNCTION("""COMPUTED_VALUE"""),"Skills")</f>
        <v>Skills</v>
      </c>
      <c r="H75" s="2" t="str">
        <f ca="1">IFERROR(__xludf.DUMMYFUNCTION("""COMPUTED_VALUE"""),"Konoha is home to one of the best medic-nins in the Elemental Nations, or at least it was before she went on walkabout and never came back. You may not be Tsunade’s equal but you’ve picked up a few tricks of your own, maybe even one or two she could learn"&amp;" from you in the realm of sexual fitness. You’re quite an accomplished medic-nin, skilled at patching up moderate injuries such as broken bones while stabilizing more serious ones to keep wounded allies alive until you’re able to get them to a hospital. Y"&amp;"our training in this field has even taught you how to better develop your own body; if you push yourself to your limits you can use sex as a substitute for intense physical training, gaining strength and keeping your weight down with no extra time and eff"&amp;"ort needed.")</f>
        <v>Konoha is home to one of the best medic-nins in the Elemental Nations, or at least it was before she went on walkabout and never came back. You may not be Tsunade’s equal but you’ve picked up a few tricks of your own, maybe even one or two she could learn from you in the realm of sexual fitness. You’re quite an accomplished medic-nin, skilled at patching up moderate injuries such as broken bones while stabilizing more serious ones to keep wounded allies alive until you’re able to get them to a hospital. Your training in this field has even taught you how to better develop your own body; if you push yourself to your limits you can use sex as a substitute for intense physical training, gaining strength and keeping your weight down with no extra time and effort needed.</v>
      </c>
      <c r="I75" s="5"/>
    </row>
    <row r="76" spans="1:9" ht="104.4" x14ac:dyDescent="0.25">
      <c r="A76" s="16"/>
      <c r="B76" s="17">
        <v>72</v>
      </c>
      <c r="C76" s="2" t="b">
        <f ca="1">IFERROR(__xludf.DUMMYFUNCTION("""COMPUTED_VALUE"""),FALSE)</f>
        <v>0</v>
      </c>
      <c r="D76" s="2">
        <f ca="1">IFERROR(__xludf.DUMMYFUNCTION("""COMPUTED_VALUE"""),200)</f>
        <v>200</v>
      </c>
      <c r="E76" s="2" t="str">
        <f ca="1">IFERROR(__xludf.DUMMYFUNCTION("""COMPUTED_VALUE"""),"Apt Pupil")</f>
        <v>Apt Pupil</v>
      </c>
      <c r="F76" s="2" t="str">
        <f ca="1">IFERROR(__xludf.DUMMYFUNCTION("""COMPUTED_VALUE"""),"LeWdBY")</f>
        <v>LeWdBY</v>
      </c>
      <c r="G76" s="2" t="str">
        <f ca="1">IFERROR(__xludf.DUMMYFUNCTION("""COMPUTED_VALUE"""),"Skills")</f>
        <v>Skills</v>
      </c>
      <c r="H76" s="2" t="str">
        <f ca="1">IFERROR(__xludf.DUMMYFUNCTION("""COMPUTED_VALUE"""),"So what if you’re a little behind the others? That just means you need to work twice as hard if you want to save the world. You’re a quick learner, able to go from having no idea of even the most basic information about being a huntsman to being a passabl"&amp;"e fighter in only a few months of hard work. As a bonus, the people who teach you find your determination sexy, as if you were seducing them while you trained. Those late night training sessions could easily turn into the other kind of late night training"&amp;".")</f>
        <v>So what if you’re a little behind the others? That just means you need to work twice as hard if you want to save the world. You’re a quick learner, able to go from having no idea of even the most basic information about being a huntsman to being a passable fighter in only a few months of hard work. As a bonus, the people who teach you find your determination sexy, as if you were seducing them while you trained. Those late night training sessions could easily turn into the other kind of late night training.</v>
      </c>
      <c r="I76" s="5"/>
    </row>
    <row r="77" spans="1:9" ht="87" x14ac:dyDescent="0.25">
      <c r="A77" s="16"/>
      <c r="B77" s="17">
        <v>73</v>
      </c>
      <c r="C77" s="2" t="b">
        <f ca="1">IFERROR(__xludf.DUMMYFUNCTION("""COMPUTED_VALUE"""),FALSE)</f>
        <v>0</v>
      </c>
      <c r="D77" s="2">
        <f ca="1">IFERROR(__xludf.DUMMYFUNCTION("""COMPUTED_VALUE"""),200)</f>
        <v>200</v>
      </c>
      <c r="E77" s="2" t="str">
        <f ca="1">IFERROR(__xludf.DUMMYFUNCTION("""COMPUTED_VALUE"""),"Bitch Breaker")</f>
        <v>Bitch Breaker</v>
      </c>
      <c r="F77" s="2" t="str">
        <f ca="1">IFERROR(__xludf.DUMMYFUNCTION("""COMPUTED_VALUE"""),"Bloom Pirate Hooker")</f>
        <v>Bloom Pirate Hooker</v>
      </c>
      <c r="G77" s="2" t="str">
        <f ca="1">IFERROR(__xludf.DUMMYFUNCTION("""COMPUTED_VALUE"""),"Skills")</f>
        <v>Skills</v>
      </c>
      <c r="H77" s="2" t="str">
        <f ca="1">IFERROR(__xludf.DUMMYFUNCTION("""COMPUTED_VALUE"""),"It’s one thing to know the rote mechanics behind something. It’s another entirely to actually be good at it. With that in mind, you’ve learned to put a personal touch on the situation, making it hurt more and be oh so delicious to watch. Doesn’t matter if"&amp;" it’s cooking a meal or flaying someone alive, you can put just a tiny bit of oomph into it than a normal person can. Your torture is personalized. It’s how you show you care.")</f>
        <v>It’s one thing to know the rote mechanics behind something. It’s another entirely to actually be good at it. With that in mind, you’ve learned to put a personal touch on the situation, making it hurt more and be oh so delicious to watch. Doesn’t matter if it’s cooking a meal or flaying someone alive, you can put just a tiny bit of oomph into it than a normal person can. Your torture is personalized. It’s how you show you care.</v>
      </c>
      <c r="I77" s="5"/>
    </row>
    <row r="78" spans="1:9" ht="52.2" x14ac:dyDescent="0.25">
      <c r="A78" s="16"/>
      <c r="B78" s="17">
        <v>74</v>
      </c>
      <c r="C78" s="2" t="b">
        <f ca="1">IFERROR(__xludf.DUMMYFUNCTION("""COMPUTED_VALUE"""),FALSE)</f>
        <v>0</v>
      </c>
      <c r="D78" s="2">
        <f ca="1">IFERROR(__xludf.DUMMYFUNCTION("""COMPUTED_VALUE"""),200)</f>
        <v>200</v>
      </c>
      <c r="E78" s="2" t="str">
        <f ca="1">IFERROR(__xludf.DUMMYFUNCTION("""COMPUTED_VALUE"""),"Breaker")</f>
        <v>Breaker</v>
      </c>
      <c r="F78" s="2" t="str">
        <f ca="1">IFERROR(__xludf.DUMMYFUNCTION("""COMPUTED_VALUE"""),"Free Cities - 9anon Edition")</f>
        <v>Free Cities - 9anon Edition</v>
      </c>
      <c r="G78" s="2" t="str">
        <f ca="1">IFERROR(__xludf.DUMMYFUNCTION("""COMPUTED_VALUE"""),"Skills")</f>
        <v>Skills</v>
      </c>
      <c r="H78" s="2" t="str">
        <f ca="1">IFERROR(__xludf.DUMMYFUNCTION("""COMPUTED_VALUE"""),"You’re incredibly skilled at breaking people down and building them back up. Given a few weeks of focused effort, you can reshape the personality of any normal person as you please. However, anyone with notable willpower will take longer.")</f>
        <v>You’re incredibly skilled at breaking people down and building them back up. Given a few weeks of focused effort, you can reshape the personality of any normal person as you please. However, anyone with notable willpower will take longer.</v>
      </c>
      <c r="I78" s="5"/>
    </row>
    <row r="79" spans="1:9" ht="243.6" x14ac:dyDescent="0.25">
      <c r="A79" s="16"/>
      <c r="B79" s="17">
        <v>75</v>
      </c>
      <c r="C79" s="2" t="b">
        <f ca="1">IFERROR(__xludf.DUMMYFUNCTION("""COMPUTED_VALUE"""),FALSE)</f>
        <v>0</v>
      </c>
      <c r="D79" s="2">
        <f ca="1">IFERROR(__xludf.DUMMYFUNCTION("""COMPUTED_VALUE"""),200)</f>
        <v>200</v>
      </c>
      <c r="E79" s="2" t="str">
        <f ca="1">IFERROR(__xludf.DUMMYFUNCTION("""COMPUTED_VALUE"""),"Craftsman")</f>
        <v>Craftsman</v>
      </c>
      <c r="F79" s="2" t="str">
        <f ca="1">IFERROR(__xludf.DUMMYFUNCTION("""COMPUTED_VALUE"""),"Corruption of Champions v1.1")</f>
        <v>Corruption of Champions v1.1</v>
      </c>
      <c r="G79" s="2" t="str">
        <f ca="1">IFERROR(__xludf.DUMMYFUNCTION("""COMPUTED_VALUE"""),"Skills")</f>
        <v>Skills</v>
      </c>
      <c r="H79" s="2" t="str">
        <f ca="1">IFERROR(__xludf.DUMMYFUNCTION("""COMPUTED_VALUE"""),"Magic and alchemy are nice, but there also have to be real craftsmen to keep this place running. Some mage-made magic sword isn't going to hold an edge as well as one forged by a blacksmith who actually knows what they're doing, and so on. You can pick an"&amp;"y one craft to specialize in, and gain a wealth of experience at the job. Perhaps you'd like to start a blacksmithing or tailoring business, or you’d like the skills needed to open a piercing studio, bakery, or beauty salon out here. This also includes so"&amp;"me ability to turn your skills to more fun uses, since you’d be surprised how much people would be willing to pay for a chainmail bikini or some rubber fetish wear. Or how many would be willing to pay with sex.
But more than that, you've got the chops t"&amp;"o run your business with a minimum of fuss. Reshaping armour for a perfect fit only takes a bit of banging it with your hammer for adjustments, you always seems to have some form-fitting garment in stock no matter what walks through your door, and even pi"&amp;"ercings are done quick and easy (though perhaps not without momentary pain, if they're asking for a dick piercing).")</f>
        <v>Magic and alchemy are nice, but there also have to be real craftsmen to keep this place running. Some mage-made magic sword isn't going to hold an edge as well as one forged by a blacksmith who actually knows what they're doing, and so on. You can pick any one craft to specialize in, and gain a wealth of experience at the job. Perhaps you'd like to start a blacksmithing or tailoring business, or you’d like the skills needed to open a piercing studio, bakery, or beauty salon out here. This also includes some ability to turn your skills to more fun uses, since you’d be surprised how much people would be willing to pay for a chainmail bikini or some rubber fetish wear. Or how many would be willing to pay with sex.
But more than that, you've got the chops to run your business with a minimum of fuss. Reshaping armour for a perfect fit only takes a bit of banging it with your hammer for adjustments, you always seems to have some form-fitting garment in stock no matter what walks through your door, and even piercings are done quick and easy (though perhaps not without momentary pain, if they're asking for a dick piercing).</v>
      </c>
      <c r="I79" s="5"/>
    </row>
    <row r="80" spans="1:9" ht="52.2" x14ac:dyDescent="0.25">
      <c r="A80" s="16"/>
      <c r="B80" s="17">
        <v>76</v>
      </c>
      <c r="C80" s="2" t="b">
        <f ca="1">IFERROR(__xludf.DUMMYFUNCTION("""COMPUTED_VALUE"""),FALSE)</f>
        <v>0</v>
      </c>
      <c r="D80" s="2">
        <f ca="1">IFERROR(__xludf.DUMMYFUNCTION("""COMPUTED_VALUE"""),200)</f>
        <v>200</v>
      </c>
      <c r="E80" s="2" t="str">
        <f ca="1">IFERROR(__xludf.DUMMYFUNCTION("""COMPUTED_VALUE"""),"Creative Cooking")</f>
        <v>Creative Cooking</v>
      </c>
      <c r="F80" s="2" t="str">
        <f ca="1">IFERROR(__xludf.DUMMYFUNCTION("""COMPUTED_VALUE"""),"Generic: Incest")</f>
        <v>Generic: Incest</v>
      </c>
      <c r="G80" s="2" t="str">
        <f ca="1">IFERROR(__xludf.DUMMYFUNCTION("""COMPUTED_VALUE"""),"Skills")</f>
        <v>Skills</v>
      </c>
      <c r="H80" s="2" t="str">
        <f ca="1">IFERROR(__xludf.DUMMYFUNCTION("""COMPUTED_VALUE"""),"You’re an expert at using non-standard ingredients when cooking. While this allows you to turn potions or other magical consumables into delicious food and drinks without sacrificing its potency, you can also use it for... rather more lewd pursuits. Perfe"&amp;"ct for the mother with a yandere streak.")</f>
        <v>You’re an expert at using non-standard ingredients when cooking. While this allows you to turn potions or other magical consumables into delicious food and drinks without sacrificing its potency, you can also use it for... rather more lewd pursuits. Perfect for the mother with a yandere streak.</v>
      </c>
      <c r="I80" s="5"/>
    </row>
    <row r="81" spans="1:9" ht="69.599999999999994" x14ac:dyDescent="0.25">
      <c r="A81" s="16"/>
      <c r="B81" s="17">
        <v>77</v>
      </c>
      <c r="C81" s="2" t="b">
        <f ca="1">IFERROR(__xludf.DUMMYFUNCTION("""COMPUTED_VALUE"""),FALSE)</f>
        <v>0</v>
      </c>
      <c r="D81" s="2">
        <f ca="1">IFERROR(__xludf.DUMMYFUNCTION("""COMPUTED_VALUE"""),200)</f>
        <v>200</v>
      </c>
      <c r="E81" s="2" t="str">
        <f ca="1">IFERROR(__xludf.DUMMYFUNCTION("""COMPUTED_VALUE"""),"Creep")</f>
        <v>Creep</v>
      </c>
      <c r="F81" s="2" t="str">
        <f ca="1">IFERROR(__xludf.DUMMYFUNCTION("""COMPUTED_VALUE"""),"Generic: Doujinshi High School")</f>
        <v>Generic: Doujinshi High School</v>
      </c>
      <c r="G81" s="2" t="str">
        <f ca="1">IFERROR(__xludf.DUMMYFUNCTION("""COMPUTED_VALUE"""),"Skills")</f>
        <v>Skills</v>
      </c>
      <c r="H81" s="2" t="str">
        <f ca="1">IFERROR(__xludf.DUMMYFUNCTION("""COMPUTED_VALUE"""),"When it comes to setting up hidden cameras, drugging food and drinks, breaking into rooms, restraining people without them waking up, and carrying unconscious bodies somewhere without being seen, you have something of a talent. Not only do you always know"&amp;" the best time or place to do so, but people will be less likely to notice it, if they’re not already on the lookout.")</f>
        <v>When it comes to setting up hidden cameras, drugging food and drinks, breaking into rooms, restraining people without them waking up, and carrying unconscious bodies somewhere without being seen, you have something of a talent. Not only do you always know the best time or place to do so, but people will be less likely to notice it, if they’re not already on the lookout.</v>
      </c>
      <c r="I81" s="5"/>
    </row>
    <row r="82" spans="1:9" ht="69.599999999999994" x14ac:dyDescent="0.25">
      <c r="A82" s="16"/>
      <c r="B82" s="17">
        <v>78</v>
      </c>
      <c r="C82" s="2" t="b">
        <f ca="1">IFERROR(__xludf.DUMMYFUNCTION("""COMPUTED_VALUE"""),FALSE)</f>
        <v>0</v>
      </c>
      <c r="D82" s="2">
        <f ca="1">IFERROR(__xludf.DUMMYFUNCTION("""COMPUTED_VALUE"""),200)</f>
        <v>200</v>
      </c>
      <c r="E82" s="2" t="str">
        <f ca="1">IFERROR(__xludf.DUMMYFUNCTION("""COMPUTED_VALUE"""),"Dance the Night Away")</f>
        <v>Dance the Night Away</v>
      </c>
      <c r="F82" s="2" t="str">
        <f ca="1">IFERROR(__xludf.DUMMYFUNCTION("""COMPUTED_VALUE"""),"Princess Sacrifice")</f>
        <v>Princess Sacrifice</v>
      </c>
      <c r="G82" s="2" t="str">
        <f ca="1">IFERROR(__xludf.DUMMYFUNCTION("""COMPUTED_VALUE"""),"Skills")</f>
        <v>Skills</v>
      </c>
      <c r="H82" s="2" t="str">
        <f ca="1">IFERROR(__xludf.DUMMYFUNCTION("""COMPUTED_VALUE"""),"Fairies are well known for their wild parties. Dance is often a thing at these parties (and the orgies). It seems that being well-versed in dancing also lends to being extremely evasive in combat. More than the average person, you have a tendency to dodge"&amp;" attacks with a grace that could only be dancing.")</f>
        <v>Fairies are well known for their wild parties. Dance is often a thing at these parties (and the orgies). It seems that being well-versed in dancing also lends to being extremely evasive in combat. More than the average person, you have a tendency to dodge attacks with a grace that could only be dancing.</v>
      </c>
      <c r="I82" s="5"/>
    </row>
    <row r="83" spans="1:9" ht="191.4" x14ac:dyDescent="0.25">
      <c r="A83" s="16"/>
      <c r="B83" s="17">
        <v>79</v>
      </c>
      <c r="C83" s="2" t="b">
        <f ca="1">IFERROR(__xludf.DUMMYFUNCTION("""COMPUTED_VALUE"""),FALSE)</f>
        <v>0</v>
      </c>
      <c r="D83" s="2">
        <f ca="1">IFERROR(__xludf.DUMMYFUNCTION("""COMPUTED_VALUE"""),200)</f>
        <v>200</v>
      </c>
      <c r="E83" s="2" t="str">
        <f ca="1">IFERROR(__xludf.DUMMYFUNCTION("""COMPUTED_VALUE"""),"Eyes of Truth")</f>
        <v>Eyes of Truth</v>
      </c>
      <c r="F83" s="2" t="str">
        <f ca="1">IFERROR(__xludf.DUMMYFUNCTION("""COMPUTED_VALUE"""),"Breathless Wild")</f>
        <v>Breathless Wild</v>
      </c>
      <c r="G83" s="2" t="str">
        <f ca="1">IFERROR(__xludf.DUMMYFUNCTION("""COMPUTED_VALUE"""),"Skills")</f>
        <v>Skills</v>
      </c>
      <c r="H83" s="2" t="str">
        <f ca="1">IFERROR(__xludf.DUMMYFUNCTION("""COMPUTED_VALUE"""),"Any adventurer can slay a common bokoblin but when a stone talus rises from the earth being able to tell which rock is its weak point spells the difference between victory and defeat. Your cunning mind and keen eye for detail gives you a knack for finding"&amp;" and exploiting weaknesses of all kinds. With a few moments of scrutiny you can spot holes in a warrior’s fighting style, gaps in a Guardian’s armor, or structural flaws that allow one well-placed bomb to cripple a giant beast or level a whole building. I"&amp;"n the bedroom you can also sus out weak points that make your lovers squeal with delight, making short work of careless monstergirls or reducing a haughty princess to a quivering puddle of bliss. These instincts are also helpful for exploring ancient ruin"&amp;"s: hidden traps, treasures, and passageways seem so obvious to your eyes that they might as well be glowing, while ancient puzzles and Sheikah contraptions are almost trivially easy to pick apart and put back together with just a few moments of considerat"&amp;"ion.")</f>
        <v>Any adventurer can slay a common bokoblin but when a stone talus rises from the earth being able to tell which rock is its weak point spells the difference between victory and defeat. Your cunning mind and keen eye for detail gives you a knack for finding and exploiting weaknesses of all kinds. With a few moments of scrutiny you can spot holes in a warrior’s fighting style, gaps in a Guardian’s armor, or structural flaws that allow one well-placed bomb to cripple a giant beast or level a whole building. In the bedroom you can also sus out weak points that make your lovers squeal with delight, making short work of careless monstergirls or reducing a haughty princess to a quivering puddle of bliss. These instincts are also helpful for exploring ancient ruins: hidden traps, treasures, and passageways seem so obvious to your eyes that they might as well be glowing, while ancient puzzles and Sheikah contraptions are almost trivially easy to pick apart and put back together with just a few moments of consideration.</v>
      </c>
      <c r="I83" s="5"/>
    </row>
    <row r="84" spans="1:9" ht="174" x14ac:dyDescent="0.25">
      <c r="A84" s="16"/>
      <c r="B84" s="17">
        <v>80</v>
      </c>
      <c r="C84" s="2" t="b">
        <f ca="1">IFERROR(__xludf.DUMMYFUNCTION("""COMPUTED_VALUE"""),FALSE)</f>
        <v>0</v>
      </c>
      <c r="D84" s="2">
        <f ca="1">IFERROR(__xludf.DUMMYFUNCTION("""COMPUTED_VALUE"""),200)</f>
        <v>200</v>
      </c>
      <c r="E84" s="2" t="str">
        <f ca="1">IFERROR(__xludf.DUMMYFUNCTION("""COMPUTED_VALUE"""),"Female Domination")</f>
        <v>Female Domination</v>
      </c>
      <c r="F84" s="2" t="str">
        <f ca="1">IFERROR(__xludf.DUMMYFUNCTION("""COMPUTED_VALUE"""),"Victim Girls (Rose Edition)")</f>
        <v>Victim Girls (Rose Edition)</v>
      </c>
      <c r="G84" s="2" t="str">
        <f ca="1">IFERROR(__xludf.DUMMYFUNCTION("""COMPUTED_VALUE"""),"Skills")</f>
        <v>Skills</v>
      </c>
      <c r="H84" s="2" t="str">
        <f ca="1">IFERROR(__xludf.DUMMYFUNCTION("""COMPUTED_VALUE"""),"So sure, supposedly all us women are meant to be just sex toys and whores here, right? Don’t be stupid. People are what they want to be here, all you get is what you really want, deep down. So if you want to stop being a victim and have a little fun on to"&amp;"p yourself? Go out there and get it. After all, you’ve now become much better at controlling men simply because you’re a female or at least feminine. Or maybe not even that. You’re unnaturally skilled at dominating other men, particularly those weaker tha"&amp;"n you or who are naturally submissive, making it easy to control, bully and humiliate them, even if they might normally be able to easily beat you in a fight. You just need the right opportunities. Enough time and practice and you could mould these idioti"&amp;"c males into properly loyal pets, desperate to please and be pleased by you. Perhaps you could even start keeping your own kennel!")</f>
        <v>So sure, supposedly all us women are meant to be just sex toys and whores here, right? Don’t be stupid. People are what they want to be here, all you get is what you really want, deep down. So if you want to stop being a victim and have a little fun on top yourself? Go out there and get it. After all, you’ve now become much better at controlling men simply because you’re a female or at least feminine. Or maybe not even that. You’re unnaturally skilled at dominating other men, particularly those weaker than you or who are naturally submissive, making it easy to control, bully and humiliate them, even if they might normally be able to easily beat you in a fight. You just need the right opportunities. Enough time and practice and you could mould these idiotic males into properly loyal pets, desperate to please and be pleased by you. Perhaps you could even start keeping your own kennel!</v>
      </c>
      <c r="I84" s="5"/>
    </row>
    <row r="85" spans="1:9" ht="226.2" x14ac:dyDescent="0.25">
      <c r="A85" s="16"/>
      <c r="B85" s="17">
        <v>81</v>
      </c>
      <c r="C85" s="2" t="b">
        <f ca="1">IFERROR(__xludf.DUMMYFUNCTION("""COMPUTED_VALUE"""),FALSE)</f>
        <v>0</v>
      </c>
      <c r="D85" s="2">
        <f ca="1">IFERROR(__xludf.DUMMYFUNCTION("""COMPUTED_VALUE"""),200)</f>
        <v>200</v>
      </c>
      <c r="E85" s="2" t="str">
        <f ca="1">IFERROR(__xludf.DUMMYFUNCTION("""COMPUTED_VALUE"""),"Flesh Trade Savant")</f>
        <v>Flesh Trade Savant</v>
      </c>
      <c r="F85" s="2" t="str">
        <f ca="1">IFERROR(__xludf.DUMMYFUNCTION("""COMPUTED_VALUE"""),"Breathless Wild")</f>
        <v>Breathless Wild</v>
      </c>
      <c r="G85" s="2" t="str">
        <f ca="1">IFERROR(__xludf.DUMMYFUNCTION("""COMPUTED_VALUE"""),"Skills")</f>
        <v>Skills</v>
      </c>
      <c r="H85" s="2" t="str">
        <f ca="1">IFERROR(__xludf.DUMMYFUNCTION("""COMPUTED_VALUE"""),"The Rito have always been excellent merchants and after the Calamity the best way to make money hand over fist is through the sex and slave trades, so naturally they’re the premiere masters of those fields too. You’re tremendously skilled at all aspects o"&amp;"f the slave trading and prostitution businesses, from evaluating potential products to managing brothels to networking with rich and powerful clients. But the training itself is your forte and in this regard you’re an artist. From lovemaking to swordplay,"&amp;" you’re a master of teaching any skills you’ve learned and can bring your “students'' up to your own level of skill in a fraction of the time it’d normally take. You can turn sheltered princesses and ordinary farmgirls into high-class courtesans or skille"&amp;"d heroines almost overnight, while slaves with hidden or unique powers like Zelda’s divine magic can unlock and master those powers simply by being trained in similar skills. Few slaves make eager students but yours will learn whatever you wish to teach t"&amp;"hem whether they want to or not: hostile slaves have their rebellious attitudes chipped away just by remaining in your care until they’re submissive, eager, and ready to become whatever you want them to be.")</f>
        <v>The Rito have always been excellent merchants and after the Calamity the best way to make money hand over fist is through the sex and slave trades, so naturally they’re the premiere masters of those fields too. You’re tremendously skilled at all aspects of the slave trading and prostitution businesses, from evaluating potential products to managing brothels to networking with rich and powerful clients. But the training itself is your forte and in this regard you’re an artist. From lovemaking to swordplay, you’re a master of teaching any skills you’ve learned and can bring your “students'' up to your own level of skill in a fraction of the time it’d normally take. You can turn sheltered princesses and ordinary farmgirls into high-class courtesans or skilled heroines almost overnight, while slaves with hidden or unique powers like Zelda’s divine magic can unlock and master those powers simply by being trained in similar skills. Few slaves make eager students but yours will learn whatever you wish to teach them whether they want to or not: hostile slaves have their rebellious attitudes chipped away just by remaining in your care until they’re submissive, eager, and ready to become whatever you want them to be.</v>
      </c>
      <c r="I85" s="5"/>
    </row>
    <row r="86" spans="1:9" ht="191.4" x14ac:dyDescent="0.25">
      <c r="A86" s="16"/>
      <c r="B86" s="17">
        <v>82</v>
      </c>
      <c r="C86" s="2" t="b">
        <f ca="1">IFERROR(__xludf.DUMMYFUNCTION("""COMPUTED_VALUE"""),FALSE)</f>
        <v>0</v>
      </c>
      <c r="D86" s="2">
        <f ca="1">IFERROR(__xludf.DUMMYFUNCTION("""COMPUTED_VALUE"""),200)</f>
        <v>200</v>
      </c>
      <c r="E86" s="2" t="str">
        <f ca="1">IFERROR(__xludf.DUMMYFUNCTION("""COMPUTED_VALUE"""),"Gordian Knot")</f>
        <v>Gordian Knot</v>
      </c>
      <c r="F86" s="2" t="str">
        <f ca="1">IFERROR(__xludf.DUMMYFUNCTION("""COMPUTED_VALUE"""),"Collar 6")</f>
        <v>Collar 6</v>
      </c>
      <c r="G86" s="2" t="str">
        <f ca="1">IFERROR(__xludf.DUMMYFUNCTION("""COMPUTED_VALUE"""),"Skills")</f>
        <v>Skills</v>
      </c>
      <c r="H86" s="2" t="str">
        <f ca="1">IFERROR(__xludf.DUMMYFUNCTION("""COMPUTED_VALUE"""),"You sure know your way around knots. And all other types of bondage equipment, for that matter.
In other words, this purchase makes you scary good in the field of bondage and gives you a fairly reliable sense of what it takes to keep someone safely rest"&amp;"rained, as long as you know what they can do. This doesn't make bindings super-effective or anything like that, but you'll never have to deal with loose knots and it will tell you how many more loops of rope are required to keep a superstrong person nicel"&amp;"y packaged, if you know the strength level you are dealing with. 
Moreover, this perk helps put the safe in safely restrained. Unless you deliberately work to make things harmful, those you bind will never suffer from the usual effects of long term bonda"&amp;"ge, such as muscle atrophy or diminished blood flow.")</f>
        <v>You sure know your way around knots. And all other types of bondage equipment, for that matter.
In other words, this purchase makes you scary good in the field of bondage and gives you a fairly reliable sense of what it takes to keep someone safely restrained, as long as you know what they can do. This doesn't make bindings super-effective or anything like that, but you'll never have to deal with loose knots and it will tell you how many more loops of rope are required to keep a superstrong person nicely packaged, if you know the strength level you are dealing with. 
Moreover, this perk helps put the safe in safely restrained. Unless you deliberately work to make things harmful, those you bind will never suffer from the usual effects of long term bondage, such as muscle atrophy or diminished blood flow.</v>
      </c>
      <c r="I86" s="5"/>
    </row>
    <row r="87" spans="1:9" ht="69.599999999999994" x14ac:dyDescent="0.25">
      <c r="A87" s="16"/>
      <c r="B87" s="17">
        <v>83</v>
      </c>
      <c r="C87" s="2" t="b">
        <f ca="1">IFERROR(__xludf.DUMMYFUNCTION("""COMPUTED_VALUE"""),FALSE)</f>
        <v>0</v>
      </c>
      <c r="D87" s="2">
        <f ca="1">IFERROR(__xludf.DUMMYFUNCTION("""COMPUTED_VALUE"""),200)</f>
        <v>200</v>
      </c>
      <c r="E87" s="2" t="str">
        <f ca="1">IFERROR(__xludf.DUMMYFUNCTION("""COMPUTED_VALUE"""),"Gourmand")</f>
        <v>Gourmand</v>
      </c>
      <c r="F87" s="2" t="str">
        <f ca="1">IFERROR(__xludf.DUMMYFUNCTION("""COMPUTED_VALUE"""),"Generic: Fat-Fetish")</f>
        <v>Generic: Fat-Fetish</v>
      </c>
      <c r="G87" s="2" t="str">
        <f ca="1">IFERROR(__xludf.DUMMYFUNCTION("""COMPUTED_VALUE"""),"Skills")</f>
        <v>Skills</v>
      </c>
      <c r="H87" s="2" t="str">
        <f ca="1">IFERROR(__xludf.DUMMYFUNCTION("""COMPUTED_VALUE"""),"You might not be able to cook, but you sure do know food. Your sense of taste is heightened to ecstatic degrees, able to experience every single note of flavor. You know those snobby food critics on TV? Well, you could now put all of them out of business."&amp;" Restaurants might very well pay you to eat there, just so you can give them a favorable review.")</f>
        <v>You might not be able to cook, but you sure do know food. Your sense of taste is heightened to ecstatic degrees, able to experience every single note of flavor. You know those snobby food critics on TV? Well, you could now put all of them out of business. Restaurants might very well pay you to eat there, just so you can give them a favorable review.</v>
      </c>
      <c r="I87" s="5"/>
    </row>
    <row r="88" spans="1:9" ht="174" x14ac:dyDescent="0.25">
      <c r="A88" s="16"/>
      <c r="B88" s="17">
        <v>84</v>
      </c>
      <c r="C88" s="2" t="b">
        <f ca="1">IFERROR(__xludf.DUMMYFUNCTION("""COMPUTED_VALUE"""),FALSE)</f>
        <v>0</v>
      </c>
      <c r="D88" s="2">
        <f ca="1">IFERROR(__xludf.DUMMYFUNCTION("""COMPUTED_VALUE"""),200)</f>
        <v>200</v>
      </c>
      <c r="E88" s="2" t="str">
        <f ca="1">IFERROR(__xludf.DUMMYFUNCTION("""COMPUTED_VALUE"""),"Help me Test this Position")</f>
        <v>Help me Test this Position</v>
      </c>
      <c r="F88" s="2" t="str">
        <f ca="1">IFERROR(__xludf.DUMMYFUNCTION("""COMPUTED_VALUE"""),"Yurisekai")</f>
        <v>Yurisekai</v>
      </c>
      <c r="G88" s="2" t="str">
        <f ca="1">IFERROR(__xludf.DUMMYFUNCTION("""COMPUTED_VALUE"""),"Skills")</f>
        <v>Skills</v>
      </c>
      <c r="H88" s="2" t="str">
        <f ca="1">IFERROR(__xludf.DUMMYFUNCTION("""COMPUTED_VALUE"""),"Back on Earth, if you were quite lucky then you probably knew one or two other people who were also artists of the same persuasion as you. That is, cute girls who drew other cute girls doing other cute girls. And one of those cute girls probably asked you"&amp;" to model for her, so that she’d have a better knowledge of how to draw her yuri manga. And then probably paid you in sex. 
You have an easy time making friends with those who share your interests, and an easier time asking for favors that push the bound"&amp;"aries of normal friendship. Like nude modeling so you can draw a manga about the two of you having some incredibly kinky sex. Whether this is purely business or just you looking for an excuse to get an eyeful, that’s something you’ll have to decide for yo"&amp;"urself.")</f>
        <v>Back on Earth, if you were quite lucky then you probably knew one or two other people who were also artists of the same persuasion as you. That is, cute girls who drew other cute girls doing other cute girls. And one of those cute girls probably asked you to model for her, so that she’d have a better knowledge of how to draw her yuri manga. And then probably paid you in sex. 
You have an easy time making friends with those who share your interests, and an easier time asking for favors that push the boundaries of normal friendship. Like nude modeling so you can draw a manga about the two of you having some incredibly kinky sex. Whether this is purely business or just you looking for an excuse to get an eyeful, that’s something you’ll have to decide for yourself.</v>
      </c>
      <c r="I88" s="5"/>
    </row>
    <row r="89" spans="1:9" ht="87" x14ac:dyDescent="0.25">
      <c r="A89" s="16"/>
      <c r="B89" s="17">
        <v>85</v>
      </c>
      <c r="C89" s="2" t="b">
        <f ca="1">IFERROR(__xludf.DUMMYFUNCTION("""COMPUTED_VALUE"""),FALSE)</f>
        <v>0</v>
      </c>
      <c r="D89" s="2">
        <f ca="1">IFERROR(__xludf.DUMMYFUNCTION("""COMPUTED_VALUE"""),200)</f>
        <v>200</v>
      </c>
      <c r="E89" s="2" t="str">
        <f ca="1">IFERROR(__xludf.DUMMYFUNCTION("""COMPUTED_VALUE"""),"Immoral Influence")</f>
        <v>Immoral Influence</v>
      </c>
      <c r="F89" s="2" t="str">
        <f ca="1">IFERROR(__xludf.DUMMYFUNCTION("""COMPUTED_VALUE"""),"School Girls Vs Elite Teacher Shinobu Jump")</f>
        <v>School Girls Vs Elite Teacher Shinobu Jump</v>
      </c>
      <c r="G89" s="2" t="str">
        <f ca="1">IFERROR(__xludf.DUMMYFUNCTION("""COMPUTED_VALUE"""),"Skills")</f>
        <v>Skills</v>
      </c>
      <c r="H89" s="2" t="str">
        <f ca="1">IFERROR(__xludf.DUMMYFUNCTION("""COMPUTED_VALUE"""),"Won’t you listen to this big sis? You’re quite good at twisting people around your finger, training them into seeing things your way as they let some fun into their heart. Naturally, this works much better on those who are naive or unsuspecting, but as lo"&amp;"ng as they aren’t completely and actively hostile you’ll be able to get your foot in the door.")</f>
        <v>Won’t you listen to this big sis? You’re quite good at twisting people around your finger, training them into seeing things your way as they let some fun into their heart. Naturally, this works much better on those who are naive or unsuspecting, but as long as they aren’t completely and actively hostile you’ll be able to get your foot in the door.</v>
      </c>
      <c r="I89" s="5"/>
    </row>
    <row r="90" spans="1:9" ht="87" x14ac:dyDescent="0.25">
      <c r="A90" s="16"/>
      <c r="B90" s="17">
        <v>86</v>
      </c>
      <c r="C90" s="2" t="b">
        <f ca="1">IFERROR(__xludf.DUMMYFUNCTION("""COMPUTED_VALUE"""),FALSE)</f>
        <v>0</v>
      </c>
      <c r="D90" s="2">
        <f ca="1">IFERROR(__xludf.DUMMYFUNCTION("""COMPUTED_VALUE"""),200)</f>
        <v>200</v>
      </c>
      <c r="E90" s="2" t="str">
        <f ca="1">IFERROR(__xludf.DUMMYFUNCTION("""COMPUTED_VALUE"""),"Inhuman Pleasures")</f>
        <v>Inhuman Pleasures</v>
      </c>
      <c r="F90" s="2" t="str">
        <f ca="1">IFERROR(__xludf.DUMMYFUNCTION("""COMPUTED_VALUE"""),"Gensoukyou Futanari Chinpo Wrestling")</f>
        <v>Gensoukyou Futanari Chinpo Wrestling</v>
      </c>
      <c r="G90" s="2" t="str">
        <f ca="1">IFERROR(__xludf.DUMMYFUNCTION("""COMPUTED_VALUE"""),"Skills")</f>
        <v>Skills</v>
      </c>
      <c r="H90" s="2" t="str">
        <f ca="1">IFERROR(__xludf.DUMMYFUNCTION("""COMPUTED_VALUE"""),"Monsters and youkai might have the advantage over humans in a traditional fight but in this sort of sport their bodies give them some inherent weaknesses. Those pointed ears might just be sensitive, fluffy tails might cause moans with a bit of touching an"&amp;"d even monstrously large dicks and balls just provide more flesh to be pleasured and stroked. Whatever the specifics of your opponent’s body, you’re great at taking advantage of it.")</f>
        <v>Monsters and youkai might have the advantage over humans in a traditional fight but in this sort of sport their bodies give them some inherent weaknesses. Those pointed ears might just be sensitive, fluffy tails might cause moans with a bit of touching and even monstrously large dicks and balls just provide more flesh to be pleasured and stroked. Whatever the specifics of your opponent’s body, you’re great at taking advantage of it.</v>
      </c>
      <c r="I90" s="5"/>
    </row>
    <row r="91" spans="1:9" ht="104.4" x14ac:dyDescent="0.25">
      <c r="A91" s="16"/>
      <c r="B91" s="17">
        <v>87</v>
      </c>
      <c r="C91" s="2" t="b">
        <f ca="1">IFERROR(__xludf.DUMMYFUNCTION("""COMPUTED_VALUE"""),FALSE)</f>
        <v>0</v>
      </c>
      <c r="D91" s="2">
        <f ca="1">IFERROR(__xludf.DUMMYFUNCTION("""COMPUTED_VALUE"""),200)</f>
        <v>200</v>
      </c>
      <c r="E91" s="2" t="str">
        <f ca="1">IFERROR(__xludf.DUMMYFUNCTION("""COMPUTED_VALUE"""),"It Has Needs")</f>
        <v>It Has Needs</v>
      </c>
      <c r="F91" s="2" t="str">
        <f ca="1">IFERROR(__xludf.DUMMYFUNCTION("""COMPUTED_VALUE"""),"World of Tentacles")</f>
        <v>World of Tentacles</v>
      </c>
      <c r="G91" s="2" t="str">
        <f ca="1">IFERROR(__xludf.DUMMYFUNCTION("""COMPUTED_VALUE"""),"Skills")</f>
        <v>Skills</v>
      </c>
      <c r="H91" s="2" t="str">
        <f ca="1">IFERROR(__xludf.DUMMYFUNCTION("""COMPUTED_VALUE"""),"A genius’s mind is as deviant as it is brilliant, and the products of that genius trend towards the deviant as well. By including erotic elements in the creation of your items or monsters, such as summoning a demon with a tantric ritual or powering a devi"&amp;"ce with orgasmic energy, the creation process becomes much easier at the cost of making the result more dependent on those elements. So long as you keep such needs sated your creations will be distinctly more powerful and easier to control, but the opposi"&amp;"te is true if their needs are not fulfilled.")</f>
        <v>A genius’s mind is as deviant as it is brilliant, and the products of that genius trend towards the deviant as well. By including erotic elements in the creation of your items or monsters, such as summoning a demon with a tantric ritual or powering a device with orgasmic energy, the creation process becomes much easier at the cost of making the result more dependent on those elements. So long as you keep such needs sated your creations will be distinctly more powerful and easier to control, but the opposite is true if their needs are not fulfilled.</v>
      </c>
      <c r="I91" s="5"/>
    </row>
    <row r="92" spans="1:9" ht="121.8" x14ac:dyDescent="0.25">
      <c r="A92" s="16"/>
      <c r="B92" s="17">
        <v>88</v>
      </c>
      <c r="C92" s="2" t="b">
        <f ca="1">IFERROR(__xludf.DUMMYFUNCTION("""COMPUTED_VALUE"""),FALSE)</f>
        <v>0</v>
      </c>
      <c r="D92" s="2">
        <f ca="1">IFERROR(__xludf.DUMMYFUNCTION("""COMPUTED_VALUE"""),200)</f>
        <v>200</v>
      </c>
      <c r="E92" s="2" t="str">
        <f ca="1">IFERROR(__xludf.DUMMYFUNCTION("""COMPUTED_VALUE"""),"Knife Tricks")</f>
        <v>Knife Tricks</v>
      </c>
      <c r="F92" s="2" t="str">
        <f ca="1">IFERROR(__xludf.DUMMYFUNCTION("""COMPUTED_VALUE"""),"Metal &amp; Lace")</f>
        <v>Metal &amp; Lace</v>
      </c>
      <c r="G92" s="2" t="str">
        <f ca="1">IFERROR(__xludf.DUMMYFUNCTION("""COMPUTED_VALUE"""),"Skills")</f>
        <v>Skills</v>
      </c>
      <c r="H92" s="2" t="str">
        <f ca="1">IFERROR(__xludf.DUMMYFUNCTION("""COMPUTED_VALUE"""),"You have unusual skill and a rock-steady hand with a blade—not merely in the sense of knife fighting (though you are competent at that), but just about anything you could conceivably do with a small knife or dagger, including but not limited to: Evenly pe"&amp;"eling, slicing, and dicing; tricks/throwing/trick throws (including balisong tricks, with a bit of practice); striking sparks off the blade to light fires; making incisions with scalpels; slicing off clothes without injury to the victim—you can even pleas"&amp;"ure a woman with the tip and blade of a knife without poking or cutting her, provided she stays reasonably still.")</f>
        <v>You have unusual skill and a rock-steady hand with a blade—not merely in the sense of knife fighting (though you are competent at that), but just about anything you could conceivably do with a small knife or dagger, including but not limited to: Evenly peeling, slicing, and dicing; tricks/throwing/trick throws (including balisong tricks, with a bit of practice); striking sparks off the blade to light fires; making incisions with scalpels; slicing off clothes without injury to the victim—you can even pleasure a woman with the tip and blade of a knife without poking or cutting her, provided she stays reasonably still.</v>
      </c>
      <c r="I92" s="5"/>
    </row>
    <row r="93" spans="1:9" ht="174" x14ac:dyDescent="0.25">
      <c r="A93" s="16"/>
      <c r="B93" s="17">
        <v>89</v>
      </c>
      <c r="C93" s="2" t="b">
        <f ca="1">IFERROR(__xludf.DUMMYFUNCTION("""COMPUTED_VALUE"""),FALSE)</f>
        <v>0</v>
      </c>
      <c r="D93" s="2">
        <f ca="1">IFERROR(__xludf.DUMMYFUNCTION("""COMPUTED_VALUE"""),200)</f>
        <v>200</v>
      </c>
      <c r="E93" s="2" t="str">
        <f ca="1">IFERROR(__xludf.DUMMYFUNCTION("""COMPUTED_VALUE"""),"Learning the Ropes")</f>
        <v>Learning the Ropes</v>
      </c>
      <c r="F93" s="2" t="str">
        <f ca="1">IFERROR(__xludf.DUMMYFUNCTION("""COMPUTED_VALUE"""),"Collar 6")</f>
        <v>Collar 6</v>
      </c>
      <c r="G93" s="2" t="str">
        <f ca="1">IFERROR(__xludf.DUMMYFUNCTION("""COMPUTED_VALUE"""),"Skills")</f>
        <v>Skills</v>
      </c>
      <c r="H93" s="2" t="str">
        <f ca="1">IFERROR(__xludf.DUMMYFUNCTION("""COMPUTED_VALUE"""),"Following the lead of somebody else is part and parcel of the submissive lifestyle, but for some it can be hard to learn their new lessons.
If you have purchased this perk, this is not the case for you, since this grants you a slight spiritual adjustmen"&amp;"t that makes you an apt pupil whenever you are trying to gain new skills imparted by someone in a position of superiority over you. While the effects are most spectacular when dealing with sexual matters, this can also work when the superiority is based o"&amp;"n social position or even seniority, at least doubling your learning speed as long as you regard your teacher as superior in at least the field you are being trained in. However, this perk doesn't help if you are trying to learn from someone you consider "&amp;"beneath you.")</f>
        <v>Following the lead of somebody else is part and parcel of the submissive lifestyle, but for some it can be hard to learn their new lessons.
If you have purchased this perk, this is not the case for you, since this grants you a slight spiritual adjustment that makes you an apt pupil whenever you are trying to gain new skills imparted by someone in a position of superiority over you. While the effects are most spectacular when dealing with sexual matters, this can also work when the superiority is based on social position or even seniority, at least doubling your learning speed as long as you regard your teacher as superior in at least the field you are being trained in. However, this perk doesn't help if you are trying to learn from someone you consider beneath you.</v>
      </c>
      <c r="I93" s="5"/>
    </row>
    <row r="94" spans="1:9" ht="121.8" x14ac:dyDescent="0.25">
      <c r="A94" s="16"/>
      <c r="B94" s="17">
        <v>90</v>
      </c>
      <c r="C94" s="2" t="b">
        <f ca="1">IFERROR(__xludf.DUMMYFUNCTION("""COMPUTED_VALUE"""),FALSE)</f>
        <v>0</v>
      </c>
      <c r="D94" s="2">
        <f ca="1">IFERROR(__xludf.DUMMYFUNCTION("""COMPUTED_VALUE"""),200)</f>
        <v>200</v>
      </c>
      <c r="E94" s="2" t="str">
        <f ca="1">IFERROR(__xludf.DUMMYFUNCTION("""COMPUTED_VALUE"""),"Lightning Fast Legs")</f>
        <v>Lightning Fast Legs</v>
      </c>
      <c r="F94" s="2" t="str">
        <f ca="1">IFERROR(__xludf.DUMMYFUNCTION("""COMPUTED_VALUE"""),"Smash Bros XXXtreme")</f>
        <v>Smash Bros XXXtreme</v>
      </c>
      <c r="G94" s="2" t="str">
        <f ca="1">IFERROR(__xludf.DUMMYFUNCTION("""COMPUTED_VALUE"""),"Skills")</f>
        <v>Skills</v>
      </c>
      <c r="H94" s="2" t="str">
        <f ca="1">IFERROR(__xludf.DUMMYFUNCTION("""COMPUTED_VALUE"""),"What are you, Chun Li? She’s not even - well, actually... She’s not in this fight, at least. Strictly speaking, this is based off of Samus, but I’ll leave it be. As it turns out, you’re apparently the master of some sort of kicking based fighting style. N"&amp;"othing truly impressive on it’s own. What really matters is that the more you show off while using this style, the more powerful it becomes. Flash your panties when you kick, let your boobs bounce - or even hang free entirely - or maybe rig your clothes i"&amp;"n the perfect manner to flash your bare pussy to whoever you land a blow on. All of these cause your blows land with more force, enough to send a person flying.")</f>
        <v>What are you, Chun Li? She’s not even - well, actually... She’s not in this fight, at least. Strictly speaking, this is based off of Samus, but I’ll leave it be. As it turns out, you’re apparently the master of some sort of kicking based fighting style. Nothing truly impressive on it’s own. What really matters is that the more you show off while using this style, the more powerful it becomes. Flash your panties when you kick, let your boobs bounce - or even hang free entirely - or maybe rig your clothes in the perfect manner to flash your bare pussy to whoever you land a blow on. All of these cause your blows land with more force, enough to send a person flying.</v>
      </c>
      <c r="I94" s="5"/>
    </row>
    <row r="95" spans="1:9" ht="69.599999999999994" x14ac:dyDescent="0.25">
      <c r="A95" s="16"/>
      <c r="B95" s="17">
        <v>91</v>
      </c>
      <c r="C95" s="2" t="b">
        <f ca="1">IFERROR(__xludf.DUMMYFUNCTION("""COMPUTED_VALUE"""),FALSE)</f>
        <v>0</v>
      </c>
      <c r="D95" s="2">
        <f ca="1">IFERROR(__xludf.DUMMYFUNCTION("""COMPUTED_VALUE"""),200)</f>
        <v>200</v>
      </c>
      <c r="E95" s="2" t="str">
        <f ca="1">IFERROR(__xludf.DUMMYFUNCTION("""COMPUTED_VALUE"""),"Maniacal Mimic")</f>
        <v>Maniacal Mimic</v>
      </c>
      <c r="F95" s="2" t="str">
        <f ca="1">IFERROR(__xludf.DUMMYFUNCTION("""COMPUTED_VALUE"""),"Boku To Nottori Nakademia")</f>
        <v>Boku To Nottori Nakademia</v>
      </c>
      <c r="G95" s="2" t="str">
        <f ca="1">IFERROR(__xludf.DUMMYFUNCTION("""COMPUTED_VALUE"""),"Skills")</f>
        <v>Skills</v>
      </c>
      <c r="H95" s="2" t="str">
        <f ca="1">IFERROR(__xludf.DUMMYFUNCTION("""COMPUTED_VALUE"""),"Of course there’s nothing wrong, Officer. In fact, are you up for a bit of fun~? Be it through mundane skill or some kind of special ability, you have a true skill in copying the behavior, looks and even voices of other people. The more you know about you"&amp;"r target, the better your disguise will be. Even someone who knows what’s happening might start doubting themselves eventually...")</f>
        <v>Of course there’s nothing wrong, Officer. In fact, are you up for a bit of fun~? Be it through mundane skill or some kind of special ability, you have a true skill in copying the behavior, looks and even voices of other people. The more you know about your target, the better your disguise will be. Even someone who knows what’s happening might start doubting themselves eventually...</v>
      </c>
      <c r="I95" s="5"/>
    </row>
    <row r="96" spans="1:9" ht="295.8" x14ac:dyDescent="0.25">
      <c r="A96" s="16"/>
      <c r="B96" s="17">
        <v>92</v>
      </c>
      <c r="C96" s="2" t="b">
        <f ca="1">IFERROR(__xludf.DUMMYFUNCTION("""COMPUTED_VALUE"""),FALSE)</f>
        <v>0</v>
      </c>
      <c r="D96" s="2">
        <f ca="1">IFERROR(__xludf.DUMMYFUNCTION("""COMPUTED_VALUE"""),200)</f>
        <v>200</v>
      </c>
      <c r="E96" s="2" t="str">
        <f ca="1">IFERROR(__xludf.DUMMYFUNCTION("""COMPUTED_VALUE"""),"Meaningless Talent")</f>
        <v>Meaningless Talent</v>
      </c>
      <c r="F96" s="2" t="str">
        <f ca="1">IFERROR(__xludf.DUMMYFUNCTION("""COMPUTED_VALUE"""),"Mind Control University")</f>
        <v>Mind Control University</v>
      </c>
      <c r="G96" s="2" t="str">
        <f ca="1">IFERROR(__xludf.DUMMYFUNCTION("""COMPUTED_VALUE"""),"Skills")</f>
        <v>Skills</v>
      </c>
      <c r="H96" s="2" t="str">
        <f ca="1">IFERROR(__xludf.DUMMYFUNCTION("""COMPUTED_VALUE"""),"According to Empress Tianshang, talent is meaningless when it comes to chi — with enough effort, even the weakest of the weak can achieve greatness enough to topple gods. But as fast as MCU makes the learning/training process, and as much as the balance o"&amp;"f power can change at any moment, the early days can have a profound impact on the state of things later on, and several of your classmates will already possess a comprehensive education in the art of chi.
Hence this head start: you have the body of a w"&amp;"arrior or pro athlete; when boosted by your chi, you can outperform Olympians. You know several basic katas and are a master of whatever martial arts style you wish.
Your knowledge of pressure points is encyclopedic, your ability to take control of anot"&amp;"her person’s chi unreasonably rapid, and your finesse with using that control to alter their mind as you please unnatural. A second’s touch could induce paralysis or orgasmic pleasure, but with sustained contact, only how much power you have at your dispo"&amp;"sal will limit what you can do to a person’s mind.
You have talent in addition to the skills and knowledge provided: your chi flows easily, you have a knack for its manipulation, and you are always able to maintain a perfect center of balance.")</f>
        <v>According to Empress Tianshang, talent is meaningless when it comes to chi — with enough effort, even the weakest of the weak can achieve greatness enough to topple gods. But as fast as MCU makes the learning/training process, and as much as the balance of power can change at any moment, the early days can have a profound impact on the state of things later on, and several of your classmates will already possess a comprehensive education in the art of chi.
Hence this head start: you have the body of a warrior or pro athlete; when boosted by your chi, you can outperform Olympians. You know several basic katas and are a master of whatever martial arts style you wish.
Your knowledge of pressure points is encyclopedic, your ability to take control of another person’s chi unreasonably rapid, and your finesse with using that control to alter their mind as you please unnatural. A second’s touch could induce paralysis or orgasmic pleasure, but with sustained contact, only how much power you have at your disposal will limit what you can do to a person’s mind.
You have talent in addition to the skills and knowledge provided: your chi flows easily, you have a knack for its manipulation, and you are always able to maintain a perfect center of balance.</v>
      </c>
      <c r="I96" s="5"/>
    </row>
    <row r="97" spans="1:9" ht="174" x14ac:dyDescent="0.25">
      <c r="A97" s="16"/>
      <c r="B97" s="17">
        <v>93</v>
      </c>
      <c r="C97" s="2" t="b">
        <f ca="1">IFERROR(__xludf.DUMMYFUNCTION("""COMPUTED_VALUE"""),FALSE)</f>
        <v>0</v>
      </c>
      <c r="D97" s="2">
        <f ca="1">IFERROR(__xludf.DUMMYFUNCTION("""COMPUTED_VALUE"""),200)</f>
        <v>200</v>
      </c>
      <c r="E97" s="2" t="str">
        <f ca="1">IFERROR(__xludf.DUMMYFUNCTION("""COMPUTED_VALUE"""),"Mixing Business and Pleasure")</f>
        <v>Mixing Business and Pleasure</v>
      </c>
      <c r="F97" s="2" t="str">
        <f ca="1">IFERROR(__xludf.DUMMYFUNCTION("""COMPUTED_VALUE"""),"Rope Master")</f>
        <v>Rope Master</v>
      </c>
      <c r="G97" s="2" t="str">
        <f ca="1">IFERROR(__xludf.DUMMYFUNCTION("""COMPUTED_VALUE"""),"Skills")</f>
        <v>Skills</v>
      </c>
      <c r="H97" s="2" t="str">
        <f ca="1">IFERROR(__xludf.DUMMYFUNCTION("""COMPUTED_VALUE"""),"By day you study and cram and run errands at the shrine, and by night you hunt evil spirits. When’s a girl supposed to have some time to herself when you can barely find any time to sleep? You just have to learn how to multitask, that’s all. You’ve learne"&amp;"d how to accomplish multiple tasks at the same time without any hindrance to your performance or the experience of your tasks. You can go through the motions of work or school while secretly studying magic with nobody the wiser and still ace your classes "&amp;"as if you’d been paying attention the whole time. Or you can spend your evenings hunting evil spirits while wearing a lewd bondage outfit under your uniform and cumming your brains out on a vibrator harness. In both cases (and any other uses you can think"&amp;" of) splitting your attention this way doesn’t impact your performance the slightest bit, nor what you get out of the experience.")</f>
        <v>By day you study and cram and run errands at the shrine, and by night you hunt evil spirits. When’s a girl supposed to have some time to herself when you can barely find any time to sleep? You just have to learn how to multitask, that’s all. You’ve learned how to accomplish multiple tasks at the same time without any hindrance to your performance or the experience of your tasks. You can go through the motions of work or school while secretly studying magic with nobody the wiser and still ace your classes as if you’d been paying attention the whole time. Or you can spend your evenings hunting evil spirits while wearing a lewd bondage outfit under your uniform and cumming your brains out on a vibrator harness. In both cases (and any other uses you can think of) splitting your attention this way doesn’t impact your performance the slightest bit, nor what you get out of the experience.</v>
      </c>
      <c r="I97" s="5"/>
    </row>
    <row r="98" spans="1:9" ht="156.6" x14ac:dyDescent="0.25">
      <c r="A98" s="16"/>
      <c r="B98" s="17">
        <v>94</v>
      </c>
      <c r="C98" s="2" t="b">
        <f ca="1">IFERROR(__xludf.DUMMYFUNCTION("""COMPUTED_VALUE"""),FALSE)</f>
        <v>0</v>
      </c>
      <c r="D98" s="2">
        <f ca="1">IFERROR(__xludf.DUMMYFUNCTION("""COMPUTED_VALUE"""),200)</f>
        <v>200</v>
      </c>
      <c r="E98" s="2" t="str">
        <f ca="1">IFERROR(__xludf.DUMMYFUNCTION("""COMPUTED_VALUE"""),"Ninja Art: Binding")</f>
        <v>Ninja Art: Binding</v>
      </c>
      <c r="F98" s="2" t="str">
        <f ca="1">IFERROR(__xludf.DUMMYFUNCTION("""COMPUTED_VALUE"""),"Bokunchi No Mikage-san")</f>
        <v>Bokunchi No Mikage-san</v>
      </c>
      <c r="G98" s="2" t="str">
        <f ca="1">IFERROR(__xludf.DUMMYFUNCTION("""COMPUTED_VALUE"""),"Skills")</f>
        <v>Skills</v>
      </c>
      <c r="H98" s="2" t="str">
        <f ca="1">IFERROR(__xludf.DUMMYFUNCTION("""COMPUTED_VALUE"""),"You are skilled at capturing your enemies, and have a number of binding and bondage techniques for tying up foes. When you tie someone up, it is absolutely impossible for any degree of skill to help them get out; only outside intervention could help them "&amp;"to escape, no matter how talented they are at escapology.
At any time you could buy a perk, you may spend an additional 200 CP to gain the ability to wield your ki in a peculiar way, allowing you to mentally paralyze your target by gazing them in the eye"&amp;". They will remain paralyzed even if you look away, but you do need to retain some degree of mental focus on keeping them subdued, or the effect will fade.")</f>
        <v>You are skilled at capturing your enemies, and have a number of binding and bondage techniques for tying up foes. When you tie someone up, it is absolutely impossible for any degree of skill to help them get out; only outside intervention could help them to escape, no matter how talented they are at escapology.
At any time you could buy a perk, you may spend an additional 200 CP to gain the ability to wield your ki in a peculiar way, allowing you to mentally paralyze your target by gazing them in the eye. They will remain paralyzed even if you look away, but you do need to retain some degree of mental focus on keeping them subdued, or the effect will fade.</v>
      </c>
      <c r="I98" s="5"/>
    </row>
    <row r="99" spans="1:9" ht="87" x14ac:dyDescent="0.25">
      <c r="A99" s="16"/>
      <c r="B99" s="17">
        <v>95</v>
      </c>
      <c r="C99" s="2" t="b">
        <f ca="1">IFERROR(__xludf.DUMMYFUNCTION("""COMPUTED_VALUE"""),FALSE)</f>
        <v>0</v>
      </c>
      <c r="D99" s="2">
        <f ca="1">IFERROR(__xludf.DUMMYFUNCTION("""COMPUTED_VALUE"""),200)</f>
        <v>200</v>
      </c>
      <c r="E99" s="2" t="str">
        <f ca="1">IFERROR(__xludf.DUMMYFUNCTION("""COMPUTED_VALUE"""),"Pander to the Lowest Bodypart")</f>
        <v>Pander to the Lowest Bodypart</v>
      </c>
      <c r="F99" s="2" t="str">
        <f ca="1">IFERROR(__xludf.DUMMYFUNCTION("""COMPUTED_VALUE"""),"Carbon Pink")</f>
        <v>Carbon Pink</v>
      </c>
      <c r="G99" s="2" t="str">
        <f ca="1">IFERROR(__xludf.DUMMYFUNCTION("""COMPUTED_VALUE"""),"Skills")</f>
        <v>Skills</v>
      </c>
      <c r="H99" s="2" t="str">
        <f ca="1">IFERROR(__xludf.DUMMYFUNCTION("""COMPUTED_VALUE"""),"You are now an expert at exploiting the base desires of the common masses; whether it’s having your propaganda be delivered through grunts and moans, designing clothing so that it barely covers the important bits, existing mainly to just hold them in plac"&amp;"e or adding an on-table brothel to your fast-food, the lewder you make your services, the easier it is to sell to the suckers living their unimportant lives.")</f>
        <v>You are now an expert at exploiting the base desires of the common masses; whether it’s having your propaganda be delivered through grunts and moans, designing clothing so that it barely covers the important bits, existing mainly to just hold them in place or adding an on-table brothel to your fast-food, the lewder you make your services, the easier it is to sell to the suckers living their unimportant lives.</v>
      </c>
      <c r="I99" s="5"/>
    </row>
    <row r="100" spans="1:9" ht="104.4" x14ac:dyDescent="0.25">
      <c r="A100" s="16"/>
      <c r="B100" s="17">
        <v>96</v>
      </c>
      <c r="C100" s="2" t="b">
        <f ca="1">IFERROR(__xludf.DUMMYFUNCTION("""COMPUTED_VALUE"""),FALSE)</f>
        <v>0</v>
      </c>
      <c r="D100" s="2">
        <f ca="1">IFERROR(__xludf.DUMMYFUNCTION("""COMPUTED_VALUE"""),200)</f>
        <v>200</v>
      </c>
      <c r="E100" s="2" t="str">
        <f ca="1">IFERROR(__xludf.DUMMYFUNCTION("""COMPUTED_VALUE"""),"Part of my Culture")</f>
        <v>Part of my Culture</v>
      </c>
      <c r="F100" s="2" t="str">
        <f ca="1">IFERROR(__xludf.DUMMYFUNCTION("""COMPUTED_VALUE"""),"Generic: Lewd Science Fiction")</f>
        <v>Generic: Lewd Science Fiction</v>
      </c>
      <c r="G100" s="2" t="str">
        <f ca="1">IFERROR(__xludf.DUMMYFUNCTION("""COMPUTED_VALUE"""),"Skills")</f>
        <v>Skills</v>
      </c>
      <c r="H100" s="2" t="str">
        <f ca="1">IFERROR(__xludf.DUMMYFUNCTION("""COMPUTED_VALUE"""),"It’s remarkably easy for you to persuade other people into lewd acts as “just the way we do things”, so long as they don’t know much about your culture. You could easily persuade a trio of star nymphs that groping their tits and asses is just how humans g"&amp;"reet each other, or that passionate arguments between friends are best settled with a Trial By Orgasm. Even the normally sceptical and prudish can usually be convinced to engage in all kinds of acts for the sake of understanding your heritage...just hope "&amp;"they don’t find out the truth.")</f>
        <v>It’s remarkably easy for you to persuade other people into lewd acts as “just the way we do things”, so long as they don’t know much about your culture. You could easily persuade a trio of star nymphs that groping their tits and asses is just how humans greet each other, or that passionate arguments between friends are best settled with a Trial By Orgasm. Even the normally sceptical and prudish can usually be convinced to engage in all kinds of acts for the sake of understanding your heritage...just hope they don’t find out the truth.</v>
      </c>
      <c r="I100" s="5"/>
    </row>
    <row r="101" spans="1:9" ht="121.8" x14ac:dyDescent="0.25">
      <c r="A101" s="16"/>
      <c r="B101" s="17">
        <v>97</v>
      </c>
      <c r="C101" s="2" t="b">
        <f ca="1">IFERROR(__xludf.DUMMYFUNCTION("""COMPUTED_VALUE"""),FALSE)</f>
        <v>0</v>
      </c>
      <c r="D101" s="2">
        <f ca="1">IFERROR(__xludf.DUMMYFUNCTION("""COMPUTED_VALUE"""),200)</f>
        <v>200</v>
      </c>
      <c r="E101" s="2" t="str">
        <f ca="1">IFERROR(__xludf.DUMMYFUNCTION("""COMPUTED_VALUE"""),"Perfect Balance")</f>
        <v>Perfect Balance</v>
      </c>
      <c r="F101" s="2" t="str">
        <f ca="1">IFERROR(__xludf.DUMMYFUNCTION("""COMPUTED_VALUE"""),"Lewd Virus")</f>
        <v>Lewd Virus</v>
      </c>
      <c r="G101" s="2" t="str">
        <f ca="1">IFERROR(__xludf.DUMMYFUNCTION("""COMPUTED_VALUE"""),"Skills")</f>
        <v>Skills</v>
      </c>
      <c r="H101" s="2" t="str">
        <f ca="1">IFERROR(__xludf.DUMMYFUNCTION("""COMPUTED_VALUE"""),"Sometimes you got places to be, but you still got girls to fuck. The answer? Fuck while you walk. Sounds nice, but it’s actually much trickier than it sounds, as you need both strong arms and a good sense of balance to maneuver around while you’re so top-"&amp;"heavy. Fortunately, you have that strength even if you have a skinny build, and your sense of balance is good enough that you could descend a flight of stairs even while the girl you’re fucking is orgasming all over your cock. In short, you have perfect b"&amp;"alance, and can carry anything you can pick up in the first place for as long as is needed.")</f>
        <v>Sometimes you got places to be, but you still got girls to fuck. The answer? Fuck while you walk. Sounds nice, but it’s actually much trickier than it sounds, as you need both strong arms and a good sense of balance to maneuver around while you’re so top-heavy. Fortunately, you have that strength even if you have a skinny build, and your sense of balance is good enough that you could descend a flight of stairs even while the girl you’re fucking is orgasming all over your cock. In short, you have perfect balance, and can carry anything you can pick up in the first place for as long as is needed.</v>
      </c>
      <c r="I101" s="5"/>
    </row>
    <row r="102" spans="1:9" ht="52.2" x14ac:dyDescent="0.25">
      <c r="A102" s="16"/>
      <c r="B102" s="17">
        <v>98</v>
      </c>
      <c r="C102" s="2" t="b">
        <f ca="1">IFERROR(__xludf.DUMMYFUNCTION("""COMPUTED_VALUE"""),FALSE)</f>
        <v>0</v>
      </c>
      <c r="D102" s="2">
        <f ca="1">IFERROR(__xludf.DUMMYFUNCTION("""COMPUTED_VALUE"""),200)</f>
        <v>200</v>
      </c>
      <c r="E102" s="2" t="str">
        <f ca="1">IFERROR(__xludf.DUMMYFUNCTION("""COMPUTED_VALUE"""),"Perfect Murderer")</f>
        <v>Perfect Murderer</v>
      </c>
      <c r="F102" s="2" t="str">
        <f ca="1">IFERROR(__xludf.DUMMYFUNCTION("""COMPUTED_VALUE"""),"Stopman")</f>
        <v>Stopman</v>
      </c>
      <c r="G102" s="2" t="str">
        <f ca="1">IFERROR(__xludf.DUMMYFUNCTION("""COMPUTED_VALUE"""),"Skills")</f>
        <v>Skills</v>
      </c>
      <c r="H102" s="2" t="str">
        <f ca="1">IFERROR(__xludf.DUMMYFUNCTION("""COMPUTED_VALUE"""),"Immense yandere talent! You can stalk guys with the best of them, are way too good with knives, and can be incredibly quiet to the point you barely let out a peep when you suddenly find yourself orgasming half a dozen times at once as cum drips down your "&amp;"legs.")</f>
        <v>Immense yandere talent! You can stalk guys with the best of them, are way too good with knives, and can be incredibly quiet to the point you barely let out a peep when you suddenly find yourself orgasming half a dozen times at once as cum drips down your legs.</v>
      </c>
      <c r="I102" s="5"/>
    </row>
    <row r="103" spans="1:9" ht="52.2" x14ac:dyDescent="0.25">
      <c r="A103" s="16"/>
      <c r="B103" s="17">
        <v>99</v>
      </c>
      <c r="C103" s="2" t="b">
        <f ca="1">IFERROR(__xludf.DUMMYFUNCTION("""COMPUTED_VALUE"""),FALSE)</f>
        <v>0</v>
      </c>
      <c r="D103" s="2">
        <f ca="1">IFERROR(__xludf.DUMMYFUNCTION("""COMPUTED_VALUE"""),200)</f>
        <v>200</v>
      </c>
      <c r="E103" s="2" t="str">
        <f ca="1">IFERROR(__xludf.DUMMYFUNCTION("""COMPUTED_VALUE"""),"Porno Athlete")</f>
        <v>Porno Athlete</v>
      </c>
      <c r="F103" s="2" t="str">
        <f ca="1">IFERROR(__xludf.DUMMYFUNCTION("""COMPUTED_VALUE"""),"Carbon Pink")</f>
        <v>Carbon Pink</v>
      </c>
      <c r="G103" s="2" t="str">
        <f ca="1">IFERROR(__xludf.DUMMYFUNCTION("""COMPUTED_VALUE"""),"Skills")</f>
        <v>Skills</v>
      </c>
      <c r="H103" s="2" t="str">
        <f ca="1">IFERROR(__xludf.DUMMYFUNCTION("""COMPUTED_VALUE"""),"You are a champion performer in the sexlympics, able to give world-class blowjobs and leave people orgasming up until the point where you fuck them into unconsciousness. You could make someone orgasm continuously whilst you got up and made yourself a snac"&amp;"k, you’re that good at what you do.")</f>
        <v>You are a champion performer in the sexlympics, able to give world-class blowjobs and leave people orgasming up until the point where you fuck them into unconsciousness. You could make someone orgasm continuously whilst you got up and made yourself a snack, you’re that good at what you do.</v>
      </c>
      <c r="I103" s="5"/>
    </row>
    <row r="104" spans="1:9" ht="104.4" x14ac:dyDescent="0.25">
      <c r="A104" s="16"/>
      <c r="B104" s="17">
        <v>100</v>
      </c>
      <c r="C104" s="2" t="b">
        <f ca="1">IFERROR(__xludf.DUMMYFUNCTION("""COMPUTED_VALUE"""),FALSE)</f>
        <v>0</v>
      </c>
      <c r="D104" s="2">
        <f ca="1">IFERROR(__xludf.DUMMYFUNCTION("""COMPUTED_VALUE"""),200)</f>
        <v>200</v>
      </c>
      <c r="E104" s="2" t="str">
        <f ca="1">IFERROR(__xludf.DUMMYFUNCTION("""COMPUTED_VALUE"""),"Put on a Show")</f>
        <v>Put on a Show</v>
      </c>
      <c r="F104" s="2" t="str">
        <f ca="1">IFERROR(__xludf.DUMMYFUNCTION("""COMPUTED_VALUE"""),"Mizuryu Kei Land")</f>
        <v>Mizuryu Kei Land</v>
      </c>
      <c r="G104" s="2" t="str">
        <f ca="1">IFERROR(__xludf.DUMMYFUNCTION("""COMPUTED_VALUE"""),"Skills")</f>
        <v>Skills</v>
      </c>
      <c r="H104" s="2" t="str">
        <f ca="1">IFERROR(__xludf.DUMMYFUNCTION("""COMPUTED_VALUE"""),"One of the many many sexual attractions here at Mizuryu Kei Land is what amounts to an idol group. Well, several actually. Horny Sen, Babydoll, Creampie Cafe, and a few others on top. You are now have the chops to join them as a member, which means that y"&amp;"ou have the skills to sing and dance like a true professional. More importantly however, you can keep doing that even while masturbating the entire time, or even if someone were to come up on stage, bend you over, and start fucking you. Given the locale, "&amp;"thats most of the point, but that’s no reason to stop singing!")</f>
        <v>One of the many many sexual attractions here at Mizuryu Kei Land is what amounts to an idol group. Well, several actually. Horny Sen, Babydoll, Creampie Cafe, and a few others on top. You are now have the chops to join them as a member, which means that you have the skills to sing and dance like a true professional. More importantly however, you can keep doing that even while masturbating the entire time, or even if someone were to come up on stage, bend you over, and start fucking you. Given the locale, thats most of the point, but that’s no reason to stop singing!</v>
      </c>
      <c r="I104" s="5"/>
    </row>
    <row r="105" spans="1:9" ht="69.599999999999994" x14ac:dyDescent="0.25">
      <c r="A105" s="16"/>
      <c r="B105" s="17">
        <v>101</v>
      </c>
      <c r="C105" s="2" t="b">
        <f ca="1">IFERROR(__xludf.DUMMYFUNCTION("""COMPUTED_VALUE"""),FALSE)</f>
        <v>0</v>
      </c>
      <c r="D105" s="2">
        <f ca="1">IFERROR(__xludf.DUMMYFUNCTION("""COMPUTED_VALUE"""),200)</f>
        <v>200</v>
      </c>
      <c r="E105" s="2" t="str">
        <f ca="1">IFERROR(__xludf.DUMMYFUNCTION("""COMPUTED_VALUE"""),"Quantity is Quality")</f>
        <v>Quantity is Quality</v>
      </c>
      <c r="F105" s="2" t="str">
        <f ca="1">IFERROR(__xludf.DUMMYFUNCTION("""COMPUTED_VALUE"""),"Free Cities - Zenaku82 Edition")</f>
        <v>Free Cities - Zenaku82 Edition</v>
      </c>
      <c r="G105" s="2" t="str">
        <f ca="1">IFERROR(__xludf.DUMMYFUNCTION("""COMPUTED_VALUE"""),"Skills")</f>
        <v>Skills</v>
      </c>
      <c r="H105" s="2" t="str">
        <f ca="1">IFERROR(__xludf.DUMMYFUNCTION("""COMPUTED_VALUE"""),"Sometimes, people just want cheap slaves. That’s where you come in. Fuck dolls, menial laborers, house slaves. You can take a group and easily train them in a generic set of skills. None of them will be spectacular, or above the norm. But the can be mass "&amp;"trained quickly. This doesn't allow them to be trained in anything supernatural or inhuman.")</f>
        <v>Sometimes, people just want cheap slaves. That’s where you come in. Fuck dolls, menial laborers, house slaves. You can take a group and easily train them in a generic set of skills. None of them will be spectacular, or above the norm. But the can be mass trained quickly. This doesn't allow them to be trained in anything supernatural or inhuman.</v>
      </c>
      <c r="I105" s="5"/>
    </row>
    <row r="106" spans="1:9" ht="121.8" x14ac:dyDescent="0.25">
      <c r="A106" s="16"/>
      <c r="B106" s="17">
        <v>102</v>
      </c>
      <c r="C106" s="2" t="b">
        <f ca="1">IFERROR(__xludf.DUMMYFUNCTION("""COMPUTED_VALUE"""),FALSE)</f>
        <v>0</v>
      </c>
      <c r="D106" s="2">
        <f ca="1">IFERROR(__xludf.DUMMYFUNCTION("""COMPUTED_VALUE"""),200)</f>
        <v>200</v>
      </c>
      <c r="E106" s="2" t="str">
        <f ca="1">IFERROR(__xludf.DUMMYFUNCTION("""COMPUTED_VALUE"""),"Ready and Willing")</f>
        <v>Ready and Willing</v>
      </c>
      <c r="F106" s="2" t="str">
        <f ca="1">IFERROR(__xludf.DUMMYFUNCTION("""COMPUTED_VALUE"""),"Shunned by the Village")</f>
        <v>Shunned by the Village</v>
      </c>
      <c r="G106" s="2" t="str">
        <f ca="1">IFERROR(__xludf.DUMMYFUNCTION("""COMPUTED_VALUE"""),"Skills")</f>
        <v>Skills</v>
      </c>
      <c r="H106" s="2" t="str">
        <f ca="1">IFERROR(__xludf.DUMMYFUNCTION("""COMPUTED_VALUE"""),"Isn’t it awful when you’re ready for someone to have their way with you, only for them to ignore you and go fuck someone else? You won’t have to worry about that, nor worry about getting in trouble for talking to someone you’re forbidden to. Your ability "&amp;"to convey information through body language is vastly improved, to the point that you could carry on entire sentences and paragraphs just with how you held your body—messages that are also perfectly clear to anyone who happens to see you, regardless of ho"&amp;"w conscious of body language they normally are. With this, you could convey your willingness to fuck without ever saying a word.")</f>
        <v>Isn’t it awful when you’re ready for someone to have their way with you, only for them to ignore you and go fuck someone else? You won’t have to worry about that, nor worry about getting in trouble for talking to someone you’re forbidden to. Your ability to convey information through body language is vastly improved, to the point that you could carry on entire sentences and paragraphs just with how you held your body—messages that are also perfectly clear to anyone who happens to see you, regardless of how conscious of body language they normally are. With this, you could convey your willingness to fuck without ever saying a word.</v>
      </c>
      <c r="I106" s="5"/>
    </row>
    <row r="107" spans="1:9" ht="104.4" x14ac:dyDescent="0.25">
      <c r="A107" s="16"/>
      <c r="B107" s="17">
        <v>103</v>
      </c>
      <c r="C107" s="2" t="b">
        <f ca="1">IFERROR(__xludf.DUMMYFUNCTION("""COMPUTED_VALUE"""),FALSE)</f>
        <v>0</v>
      </c>
      <c r="D107" s="2">
        <f ca="1">IFERROR(__xludf.DUMMYFUNCTION("""COMPUTED_VALUE"""),200)</f>
        <v>200</v>
      </c>
      <c r="E107" s="2" t="str">
        <f ca="1">IFERROR(__xludf.DUMMYFUNCTION("""COMPUTED_VALUE"""),"Red Light Shuffle")</f>
        <v>Red Light Shuffle</v>
      </c>
      <c r="F107" s="2" t="str">
        <f ca="1">IFERROR(__xludf.DUMMYFUNCTION("""COMPUTED_VALUE"""),"Evening Starter")</f>
        <v>Evening Starter</v>
      </c>
      <c r="G107" s="2" t="str">
        <f ca="1">IFERROR(__xludf.DUMMYFUNCTION("""COMPUTED_VALUE"""),"Skills")</f>
        <v>Skills</v>
      </c>
      <c r="H107" s="2" t="str">
        <f ca="1">IFERROR(__xludf.DUMMYFUNCTION("""COMPUTED_VALUE"""),"The oldest living profession in all of Humanity: Prostitution. Some believe it objectifies women and is a disgusting practice. Some believe when legalized it will protect those stuck in the profession and those that partake in their services. You know all"&amp;" the tips and tricks of the trade. Whether you participate as a Prostitute or manage one, you will always know the right pricing to give to a John and how far to take negotiations while still sealing the deal. This also allows you to avoid any legal troub"&amp;"les involved in such a practice, regardless of local standards.")</f>
        <v>The oldest living profession in all of Humanity: Prostitution. Some believe it objectifies women and is a disgusting practice. Some believe when legalized it will protect those stuck in the profession and those that partake in their services. You know all the tips and tricks of the trade. Whether you participate as a Prostitute or manage one, you will always know the right pricing to give to a John and how far to take negotiations while still sealing the deal. This also allows you to avoid any legal troubles involved in such a practice, regardless of local standards.</v>
      </c>
      <c r="I107" s="5"/>
    </row>
    <row r="108" spans="1:9" ht="104.4" x14ac:dyDescent="0.25">
      <c r="A108" s="16"/>
      <c r="B108" s="17">
        <v>104</v>
      </c>
      <c r="C108" s="2" t="b">
        <f ca="1">IFERROR(__xludf.DUMMYFUNCTION("""COMPUTED_VALUE"""),FALSE)</f>
        <v>0</v>
      </c>
      <c r="D108" s="2">
        <f ca="1">IFERROR(__xludf.DUMMYFUNCTION("""COMPUTED_VALUE"""),200)</f>
        <v>200</v>
      </c>
      <c r="E108" s="2" t="str">
        <f ca="1">IFERROR(__xludf.DUMMYFUNCTION("""COMPUTED_VALUE"""),"Salacious Mirror")</f>
        <v>Salacious Mirror</v>
      </c>
      <c r="F108" s="2" t="str">
        <f ca="1">IFERROR(__xludf.DUMMYFUNCTION("""COMPUTED_VALUE"""),"Futadom World")</f>
        <v>Futadom World</v>
      </c>
      <c r="G108" s="2" t="str">
        <f ca="1">IFERROR(__xludf.DUMMYFUNCTION("""COMPUTED_VALUE"""),"Skills")</f>
        <v>Skills</v>
      </c>
      <c r="H108" s="2" t="str">
        <f ca="1">IFERROR(__xludf.DUMMYFUNCTION("""COMPUTED_VALUE"""),"Getting in shape, taking care of your body, dealing with everything you need to in order to be the sexiest little thing you can be, it’s so much work, isn’t it? However, by looking into this mirror you’ll immediately know exactly what you need to do in or"&amp;"der to make yourself look flawless, and you’ll always have the motivation to do it. This also makes any actions you need to take, be they exercise, makeup work, or any other form of bodily maintenance, as quick and easy as it can possibly be, with no hicc"&amp;"ups or issues along the way.")</f>
        <v>Getting in shape, taking care of your body, dealing with everything you need to in order to be the sexiest little thing you can be, it’s so much work, isn’t it? However, by looking into this mirror you’ll immediately know exactly what you need to do in order to make yourself look flawless, and you’ll always have the motivation to do it. This also makes any actions you need to take, be they exercise, makeup work, or any other form of bodily maintenance, as quick and easy as it can possibly be, with no hiccups or issues along the way.</v>
      </c>
      <c r="I108" s="5"/>
    </row>
    <row r="109" spans="1:9" ht="69.599999999999994" x14ac:dyDescent="0.25">
      <c r="A109" s="16"/>
      <c r="B109" s="17">
        <v>105</v>
      </c>
      <c r="C109" s="2" t="b">
        <f ca="1">IFERROR(__xludf.DUMMYFUNCTION("""COMPUTED_VALUE"""),FALSE)</f>
        <v>0</v>
      </c>
      <c r="D109" s="2">
        <f ca="1">IFERROR(__xludf.DUMMYFUNCTION("""COMPUTED_VALUE"""),200)</f>
        <v>200</v>
      </c>
      <c r="E109" s="2" t="str">
        <f ca="1">IFERROR(__xludf.DUMMYFUNCTION("""COMPUTED_VALUE"""),"Service with a Smile")</f>
        <v>Service with a Smile</v>
      </c>
      <c r="F109" s="2" t="str">
        <f ca="1">IFERROR(__xludf.DUMMYFUNCTION("""COMPUTED_VALUE"""),"Legend Of Krystal")</f>
        <v>Legend Of Krystal</v>
      </c>
      <c r="G109" s="2" t="str">
        <f ca="1">IFERROR(__xludf.DUMMYFUNCTION("""COMPUTED_VALUE"""),"Skills")</f>
        <v>Skills</v>
      </c>
      <c r="H109" s="2" t="str">
        <f ca="1">IFERROR(__xludf.DUMMYFUNCTION("""COMPUTED_VALUE"""),"Serving others is in your nature, and you learn incredibly quickly when it comes to serving another. Whether it’s mixing drinks, dancing for a crowd, or even just serving tables, you have a way about you that just gets people hot and bothered when you do "&amp;"stuff for them. Don’t be surprised if you end up legs spread and on your back when you’re supposed to be bringing drinks to tables.")</f>
        <v>Serving others is in your nature, and you learn incredibly quickly when it comes to serving another. Whether it’s mixing drinks, dancing for a crowd, or even just serving tables, you have a way about you that just gets people hot and bothered when you do stuff for them. Don’t be surprised if you end up legs spread and on your back when you’re supposed to be bringing drinks to tables.</v>
      </c>
      <c r="I109" s="5"/>
    </row>
    <row r="110" spans="1:9" ht="174" x14ac:dyDescent="0.25">
      <c r="A110" s="16"/>
      <c r="B110" s="17">
        <v>106</v>
      </c>
      <c r="C110" s="2" t="b">
        <f ca="1">IFERROR(__xludf.DUMMYFUNCTION("""COMPUTED_VALUE"""),FALSE)</f>
        <v>0</v>
      </c>
      <c r="D110" s="2">
        <f ca="1">IFERROR(__xludf.DUMMYFUNCTION("""COMPUTED_VALUE"""),200)</f>
        <v>200</v>
      </c>
      <c r="E110" s="2" t="str">
        <f ca="1">IFERROR(__xludf.DUMMYFUNCTION("""COMPUTED_VALUE"""),"Sheikah Scholar")</f>
        <v>Sheikah Scholar</v>
      </c>
      <c r="F110" s="2" t="str">
        <f ca="1">IFERROR(__xludf.DUMMYFUNCTION("""COMPUTED_VALUE"""),"Breathless Wild")</f>
        <v>Breathless Wild</v>
      </c>
      <c r="G110" s="2" t="str">
        <f ca="1">IFERROR(__xludf.DUMMYFUNCTION("""COMPUTED_VALUE"""),"Skills")</f>
        <v>Skills</v>
      </c>
      <c r="H110" s="2" t="str">
        <f ca="1">IFERROR(__xludf.DUMMYFUNCTION("""COMPUTED_VALUE"""),"Despite Ganon’s best efforts the lights of wisdom and civilization still shine all across Hyrule. Great minds like Purah and Robbie are still dissecting the secrets of Sheikah technology and doing their best to rebuild what’s left of Hyrule, and you’re mo"&amp;"re than sharp enough to help them. Much like the former princess, you have a genius-level intellect and a natural talent for most fields of academic study, from math and science to the lost Sheikah arts of robotics and programming. You could learn how to "&amp;"build a Guardian from spare parts or program spells into a Sheikah Slate with only a modest period of additional studying. Additionally, sex only sharpens your mind rather than dulling it. Should you find yourself stuck on a difficult problem or trapped i"&amp;"n a monster’s den without an escape plan, allowing yourself an orgasm or two gives your mind a stacking temporary boost in processing power until your predicament has been resolved.")</f>
        <v>Despite Ganon’s best efforts the lights of wisdom and civilization still shine all across Hyrule. Great minds like Purah and Robbie are still dissecting the secrets of Sheikah technology and doing their best to rebuild what’s left of Hyrule, and you’re more than sharp enough to help them. Much like the former princess, you have a genius-level intellect and a natural talent for most fields of academic study, from math and science to the lost Sheikah arts of robotics and programming. You could learn how to build a Guardian from spare parts or program spells into a Sheikah Slate with only a modest period of additional studying. Additionally, sex only sharpens your mind rather than dulling it. Should you find yourself stuck on a difficult problem or trapped in a monster’s den without an escape plan, allowing yourself an orgasm or two gives your mind a stacking temporary boost in processing power until your predicament has been resolved.</v>
      </c>
      <c r="I110" s="5"/>
    </row>
    <row r="111" spans="1:9" ht="156.6" x14ac:dyDescent="0.25">
      <c r="A111" s="16"/>
      <c r="B111" s="17">
        <v>107</v>
      </c>
      <c r="C111" s="2" t="b">
        <f ca="1">IFERROR(__xludf.DUMMYFUNCTION("""COMPUTED_VALUE"""),FALSE)</f>
        <v>0</v>
      </c>
      <c r="D111" s="2">
        <f ca="1">IFERROR(__xludf.DUMMYFUNCTION("""COMPUTED_VALUE"""),200)</f>
        <v>200</v>
      </c>
      <c r="E111" s="2" t="str">
        <f ca="1">IFERROR(__xludf.DUMMYFUNCTION("""COMPUTED_VALUE"""),"Silence is Golden")</f>
        <v>Silence is Golden</v>
      </c>
      <c r="F111" s="2" t="str">
        <f ca="1">IFERROR(__xludf.DUMMYFUNCTION("""COMPUTED_VALUE"""),"Breathless Wild")</f>
        <v>Breathless Wild</v>
      </c>
      <c r="G111" s="2" t="str">
        <f ca="1">IFERROR(__xludf.DUMMYFUNCTION("""COMPUTED_VALUE"""),"Skills")</f>
        <v>Skills</v>
      </c>
      <c r="H111" s="2" t="str">
        <f ca="1">IFERROR(__xludf.DUMMYFUNCTION("""COMPUTED_VALUE"""),"Not much of a talker are you? Well no big deal, sometimes words are overrated and actions speak louder, especially coming from you. You’re a master of non-verbal communication who can get as much or more across with a few silent gestures as others can wit"&amp;"h a long-winded spiel. Forget your cheesy pick-up lines because you can compress your flirting efforts into a smoldering gaze or sultry wink and make someone’s heart race from across a crowded room without saying a single word. Although you’re no more per"&amp;"suasive or charming than you’d normally be, you’re also impossible to ignore or misinterpret: when you slip a hand under the princess’s skirt and grab a handful of royal ass or lay your best searing kiss on her, she’ll feel all your love and desire withou"&amp;"t needing to be told.")</f>
        <v>Not much of a talker are you? Well no big deal, sometimes words are overrated and actions speak louder, especially coming from you. You’re a master of non-verbal communication who can get as much or more across with a few silent gestures as others can with a long-winded spiel. Forget your cheesy pick-up lines because you can compress your flirting efforts into a smoldering gaze or sultry wink and make someone’s heart race from across a crowded room without saying a single word. Although you’re no more persuasive or charming than you’d normally be, you’re also impossible to ignore or misinterpret: when you slip a hand under the princess’s skirt and grab a handful of royal ass or lay your best searing kiss on her, she’ll feel all your love and desire without needing to be told.</v>
      </c>
      <c r="I111" s="5"/>
    </row>
    <row r="112" spans="1:9" ht="87" x14ac:dyDescent="0.25">
      <c r="A112" s="16"/>
      <c r="B112" s="17">
        <v>108</v>
      </c>
      <c r="C112" s="2" t="b">
        <f ca="1">IFERROR(__xludf.DUMMYFUNCTION("""COMPUTED_VALUE"""),FALSE)</f>
        <v>0</v>
      </c>
      <c r="D112" s="2">
        <f ca="1">IFERROR(__xludf.DUMMYFUNCTION("""COMPUTED_VALUE"""),200)</f>
        <v>200</v>
      </c>
      <c r="E112" s="2" t="str">
        <f ca="1">IFERROR(__xludf.DUMMYFUNCTION("""COMPUTED_VALUE"""),"Sinful Domain")</f>
        <v>Sinful Domain</v>
      </c>
      <c r="F112" s="2" t="str">
        <f ca="1">IFERROR(__xludf.DUMMYFUNCTION("""COMPUTED_VALUE"""),"Seven Mortal Sins/Seven Heavenly Virtues")</f>
        <v>Seven Mortal Sins/Seven Heavenly Virtues</v>
      </c>
      <c r="G112" s="2" t="str">
        <f ca="1">IFERROR(__xludf.DUMMYFUNCTION("""COMPUTED_VALUE"""),"Skills")</f>
        <v>Skills</v>
      </c>
      <c r="H112" s="2" t="str">
        <f ca="1">IFERROR(__xludf.DUMMYFUNCTION("""COMPUTED_VALUE"""),"Mankind might be inherently sinful, but that doesn’t make your job easy. So, with this Perk you obtain a healthy stock of your chosen Sin to display, but not to an extent that would cause you to act differently, and the ability to properly peddle your par"&amp;"ticular vice in an appealing way. Examples: pole-dancing for Lust, a divine culinary palette for Gluttony, hot-blooded showmanship for Wrath... You get the idea.")</f>
        <v>Mankind might be inherently sinful, but that doesn’t make your job easy. So, with this Perk you obtain a healthy stock of your chosen Sin to display, but not to an extent that would cause you to act differently, and the ability to properly peddle your particular vice in an appealing way. Examples: pole-dancing for Lust, a divine culinary palette for Gluttony, hot-blooded showmanship for Wrath... You get the idea.</v>
      </c>
      <c r="I112" s="5"/>
    </row>
    <row r="113" spans="1:9" ht="139.19999999999999" x14ac:dyDescent="0.25">
      <c r="A113" s="16"/>
      <c r="B113" s="17">
        <v>109</v>
      </c>
      <c r="C113" s="2" t="b">
        <f ca="1">IFERROR(__xludf.DUMMYFUNCTION("""COMPUTED_VALUE"""),FALSE)</f>
        <v>0</v>
      </c>
      <c r="D113" s="2">
        <f ca="1">IFERROR(__xludf.DUMMYFUNCTION("""COMPUTED_VALUE"""),200)</f>
        <v>200</v>
      </c>
      <c r="E113" s="2" t="str">
        <f ca="1">IFERROR(__xludf.DUMMYFUNCTION("""COMPUTED_VALUE"""),"Singular Technique")</f>
        <v>Singular Technique</v>
      </c>
      <c r="F113" s="2" t="str">
        <f ca="1">IFERROR(__xludf.DUMMYFUNCTION("""COMPUTED_VALUE"""),"Bricola")</f>
        <v>Bricola</v>
      </c>
      <c r="G113" s="2" t="str">
        <f ca="1">IFERROR(__xludf.DUMMYFUNCTION("""COMPUTED_VALUE"""),"Skills")</f>
        <v>Skills</v>
      </c>
      <c r="H113" s="2" t="str">
        <f ca="1">IFERROR(__xludf.DUMMYFUNCTION("""COMPUTED_VALUE"""),"Everybody has a favorite position when it comes to fooling around in the bedroom. Some women are sensitive enough that playing with their breasts can make them come, while a real masochist might get off on choking herself on a dick. As for you? Well, ther"&amp;"e’s no telling what you like, but after more than a few rounds of going at it with pushy drunks you’ve started to develop a special technique. Maybe you’ve got the best blowjob this side of the afterlife, or your fingers are silky smooth and your handjobs"&amp;" are exquisite. Pick a body part, and amp things up a bit - your mouth would include blowjobs, but you’d also have some truly ridiculous oral dexterity. Who knows, it could come in handy - maybe that oral skill means you can cast Kido faster or something?")</f>
        <v>Everybody has a favorite position when it comes to fooling around in the bedroom. Some women are sensitive enough that playing with their breasts can make them come, while a real masochist might get off on choking herself on a dick. As for you? Well, there’s no telling what you like, but after more than a few rounds of going at it with pushy drunks you’ve started to develop a special technique. Maybe you’ve got the best blowjob this side of the afterlife, or your fingers are silky smooth and your handjobs are exquisite. Pick a body part, and amp things up a bit - your mouth would include blowjobs, but you’d also have some truly ridiculous oral dexterity. Who knows, it could come in handy - maybe that oral skill means you can cast Kido faster or something?</v>
      </c>
      <c r="I113" s="5"/>
    </row>
    <row r="114" spans="1:9" ht="69.599999999999994" x14ac:dyDescent="0.25">
      <c r="A114" s="16"/>
      <c r="B114" s="17">
        <v>110</v>
      </c>
      <c r="C114" s="2" t="b">
        <f ca="1">IFERROR(__xludf.DUMMYFUNCTION("""COMPUTED_VALUE"""),FALSE)</f>
        <v>0</v>
      </c>
      <c r="D114" s="2">
        <f ca="1">IFERROR(__xludf.DUMMYFUNCTION("""COMPUTED_VALUE"""),200)</f>
        <v>200</v>
      </c>
      <c r="E114" s="2" t="str">
        <f ca="1">IFERROR(__xludf.DUMMYFUNCTION("""COMPUTED_VALUE"""),"Smear Campaign")</f>
        <v>Smear Campaign</v>
      </c>
      <c r="F114" s="2" t="str">
        <f ca="1">IFERROR(__xludf.DUMMYFUNCTION("""COMPUTED_VALUE"""),"Magical Girl Celesphonia")</f>
        <v>Magical Girl Celesphonia</v>
      </c>
      <c r="G114" s="2" t="str">
        <f ca="1">IFERROR(__xludf.DUMMYFUNCTION("""COMPUTED_VALUE"""),"Skills")</f>
        <v>Skills</v>
      </c>
      <c r="H114" s="2" t="str">
        <f ca="1">IFERROR(__xludf.DUMMYFUNCTION("""COMPUTED_VALUE"""),"Your enemies will likely be backed by the public, fully believing in their righteousness as they attempt to strike you down. It would be a shame if someone changed that~. You have a talent for dragging others’ names through the mud in various ways, from s"&amp;"preading rumors and lies to full-on false flag attacks. Divided they fall.")</f>
        <v>Your enemies will likely be backed by the public, fully believing in their righteousness as they attempt to strike you down. It would be a shame if someone changed that~. You have a talent for dragging others’ names through the mud in various ways, from spreading rumors and lies to full-on false flag attacks. Divided they fall.</v>
      </c>
      <c r="I114" s="5"/>
    </row>
    <row r="115" spans="1:9" ht="121.8" x14ac:dyDescent="0.25">
      <c r="A115" s="16"/>
      <c r="B115" s="17">
        <v>111</v>
      </c>
      <c r="C115" s="2" t="b">
        <f ca="1">IFERROR(__xludf.DUMMYFUNCTION("""COMPUTED_VALUE"""),FALSE)</f>
        <v>0</v>
      </c>
      <c r="D115" s="2">
        <f ca="1">IFERROR(__xludf.DUMMYFUNCTION("""COMPUTED_VALUE"""),200)</f>
        <v>200</v>
      </c>
      <c r="E115" s="2" t="str">
        <f ca="1">IFERROR(__xludf.DUMMYFUNCTION("""COMPUTED_VALUE"""),"Smile for the Camera")</f>
        <v>Smile for the Camera</v>
      </c>
      <c r="F115" s="2" t="str">
        <f ca="1">IFERROR(__xludf.DUMMYFUNCTION("""COMPUTED_VALUE"""),"Fate / Blacked")</f>
        <v>Fate / Blacked</v>
      </c>
      <c r="G115" s="2" t="str">
        <f ca="1">IFERROR(__xludf.DUMMYFUNCTION("""COMPUTED_VALUE"""),"Skills")</f>
        <v>Skills</v>
      </c>
      <c r="H115" s="2" t="str">
        <f ca="1">IFERROR(__xludf.DUMMYFUNCTION("""COMPUTED_VALUE"""),"You must be a leader of old who roused armies with your speeches, because you can rip a man to pieces with your words alone that bitches and assholes the world round wish they could replicate. Whether it’s destroying his ego for thinking that he’s allowed"&amp;" to destroy your ass or oh so politely informing your former lover of all the ways he’s inferior to a better man, such things come naturally to you. There’s also something to be said for how utterly arousing you can make your voice, with the sight and sou"&amp;"nd of you getting fucked for five minutes doing more to tempt other women than several hours of flirting.")</f>
        <v>You must be a leader of old who roused armies with your speeches, because you can rip a man to pieces with your words alone that bitches and assholes the world round wish they could replicate. Whether it’s destroying his ego for thinking that he’s allowed to destroy your ass or oh so politely informing your former lover of all the ways he’s inferior to a better man, such things come naturally to you. There’s also something to be said for how utterly arousing you can make your voice, with the sight and sound of you getting fucked for five minutes doing more to tempt other women than several hours of flirting.</v>
      </c>
      <c r="I115" s="5"/>
    </row>
    <row r="116" spans="1:9" ht="69.599999999999994" x14ac:dyDescent="0.25">
      <c r="A116" s="16"/>
      <c r="B116" s="17">
        <v>112</v>
      </c>
      <c r="C116" s="2" t="b">
        <f ca="1">IFERROR(__xludf.DUMMYFUNCTION("""COMPUTED_VALUE"""),FALSE)</f>
        <v>0</v>
      </c>
      <c r="D116" s="2">
        <f ca="1">IFERROR(__xludf.DUMMYFUNCTION("""COMPUTED_VALUE"""),200)</f>
        <v>200</v>
      </c>
      <c r="E116" s="2" t="str">
        <f ca="1">IFERROR(__xludf.DUMMYFUNCTION("""COMPUTED_VALUE"""),"Split Attention")</f>
        <v>Split Attention</v>
      </c>
      <c r="F116" s="2" t="str">
        <f ca="1">IFERROR(__xludf.DUMMYFUNCTION("""COMPUTED_VALUE"""),"Free Cities - 9anon Edition")</f>
        <v>Free Cities - 9anon Edition</v>
      </c>
      <c r="G116" s="2" t="str">
        <f ca="1">IFERROR(__xludf.DUMMYFUNCTION("""COMPUTED_VALUE"""),"Skills")</f>
        <v>Skills</v>
      </c>
      <c r="H116" s="2" t="str">
        <f ca="1">IFERROR(__xludf.DUMMYFUNCTION("""COMPUTED_VALUE"""),"Training a slave is usually a matter of some focus, limiting the potential throughput that a single slaver can manage. But with your skills, you can train multiple slaves at a time with only a slight loss of efficiency. Taking on more thralls will still r"&amp;"educe how quickly you can break them and train them to an acceptable level, but not quite as much as it might affect a lesser slaver.")</f>
        <v>Training a slave is usually a matter of some focus, limiting the potential throughput that a single slaver can manage. But with your skills, you can train multiple slaves at a time with only a slight loss of efficiency. Taking on more thralls will still reduce how quickly you can break them and train them to an acceptable level, but not quite as much as it might affect a lesser slaver.</v>
      </c>
      <c r="I116" s="5"/>
    </row>
    <row r="117" spans="1:9" ht="87" x14ac:dyDescent="0.25">
      <c r="A117" s="16"/>
      <c r="B117" s="17">
        <v>113</v>
      </c>
      <c r="C117" s="2" t="b">
        <f ca="1">IFERROR(__xludf.DUMMYFUNCTION("""COMPUTED_VALUE"""),FALSE)</f>
        <v>0</v>
      </c>
      <c r="D117" s="2">
        <f ca="1">IFERROR(__xludf.DUMMYFUNCTION("""COMPUTED_VALUE"""),200)</f>
        <v>200</v>
      </c>
      <c r="E117" s="2" t="str">
        <f ca="1">IFERROR(__xludf.DUMMYFUNCTION("""COMPUTED_VALUE"""),"Star of the Orgy")</f>
        <v>Star of the Orgy</v>
      </c>
      <c r="F117" s="2" t="str">
        <f ca="1">IFERROR(__xludf.DUMMYFUNCTION("""COMPUTED_VALUE"""),"High Elf x High School")</f>
        <v>High Elf x High School</v>
      </c>
      <c r="G117" s="2" t="str">
        <f ca="1">IFERROR(__xludf.DUMMYFUNCTION("""COMPUTED_VALUE"""),"Skills")</f>
        <v>Skills</v>
      </c>
      <c r="H117" s="2" t="str">
        <f ca="1">IFERROR(__xludf.DUMMYFUNCTION("""COMPUTED_VALUE"""),"You have a natural skill for working your way into the center of any social group or gathering. This particularly shows itself in group sex; you’re skilled at managing a group in sex, and are able to please (and be pleased by) multiple people at once with"&amp;"out anyone getting in each other’s way or otherwise making things awkward. What’s more, your presence in an orgy enhances the pleasure felt by all members of the group proportional to how many people are taking part in it.")</f>
        <v>You have a natural skill for working your way into the center of any social group or gathering. This particularly shows itself in group sex; you’re skilled at managing a group in sex, and are able to please (and be pleased by) multiple people at once without anyone getting in each other’s way or otherwise making things awkward. What’s more, your presence in an orgy enhances the pleasure felt by all members of the group proportional to how many people are taking part in it.</v>
      </c>
      <c r="I117" s="5"/>
    </row>
    <row r="118" spans="1:9" ht="121.8" x14ac:dyDescent="0.25">
      <c r="A118" s="16"/>
      <c r="B118" s="17">
        <v>114</v>
      </c>
      <c r="C118" s="2" t="b">
        <f ca="1">IFERROR(__xludf.DUMMYFUNCTION("""COMPUTED_VALUE"""),FALSE)</f>
        <v>0</v>
      </c>
      <c r="D118" s="2">
        <f ca="1">IFERROR(__xludf.DUMMYFUNCTION("""COMPUTED_VALUE"""),200)</f>
        <v>200</v>
      </c>
      <c r="E118" s="2" t="str">
        <f ca="1">IFERROR(__xludf.DUMMYFUNCTION("""COMPUTED_VALUE"""),"Technical Research Lecture")</f>
        <v>Technical Research Lecture</v>
      </c>
      <c r="F118" s="2" t="str">
        <f ca="1">IFERROR(__xludf.DUMMYFUNCTION("""COMPUTED_VALUE"""),"Shiritsu Risshin Gakuen")</f>
        <v>Shiritsu Risshin Gakuen</v>
      </c>
      <c r="G118" s="2" t="str">
        <f ca="1">IFERROR(__xludf.DUMMYFUNCTION("""COMPUTED_VALUE"""),"Skills")</f>
        <v>Skills</v>
      </c>
      <c r="H118" s="2" t="str">
        <f ca="1">IFERROR(__xludf.DUMMYFUNCTION("""COMPUTED_VALUE"""),"Once a month, the Sexual Gratification Committee conducts a technical research study to improve their skills and knowledge in pleasuring the student populace. This often leads to topics on basic sexual anatomy, sexual acts/skills, and fetishes. With this "&amp;"perk, you become highly knowledgeable about the sexual anatomy of humans (or humanoids if they're around) as well as a wide array of sexual fetishes. In fact, you become so knowledgeable on the subject that you could teach it to others. Your lectures will"&amp;" enable anyone who learns from you to become experts on the subjects in question.")</f>
        <v>Once a month, the Sexual Gratification Committee conducts a technical research study to improve their skills and knowledge in pleasuring the student populace. This often leads to topics on basic sexual anatomy, sexual acts/skills, and fetishes. With this perk, you become highly knowledgeable about the sexual anatomy of humans (or humanoids if they're around) as well as a wide array of sexual fetishes. In fact, you become so knowledgeable on the subject that you could teach it to others. Your lectures will enable anyone who learns from you to become experts on the subjects in question.</v>
      </c>
      <c r="I118" s="5"/>
    </row>
    <row r="119" spans="1:9" ht="139.19999999999999" x14ac:dyDescent="0.25">
      <c r="A119" s="16"/>
      <c r="B119" s="17">
        <v>115</v>
      </c>
      <c r="C119" s="2" t="b">
        <f ca="1">IFERROR(__xludf.DUMMYFUNCTION("""COMPUTED_VALUE"""),FALSE)</f>
        <v>0</v>
      </c>
      <c r="D119" s="2">
        <f ca="1">IFERROR(__xludf.DUMMYFUNCTION("""COMPUTED_VALUE"""),200)</f>
        <v>200</v>
      </c>
      <c r="E119" s="2" t="str">
        <f ca="1">IFERROR(__xludf.DUMMYFUNCTION("""COMPUTED_VALUE"""),"Technically a Hero")</f>
        <v>Technically a Hero</v>
      </c>
      <c r="F119" s="2" t="str">
        <f ca="1">IFERROR(__xludf.DUMMYFUNCTION("""COMPUTED_VALUE"""),"“I'm in Another World, So I Guess I'll Use Magic to Be Lewd!”")</f>
        <v>“I'm in Another World, So I Guess I'll Use Magic to Be Lewd!”</v>
      </c>
      <c r="G119" s="2" t="str">
        <f ca="1">IFERROR(__xludf.DUMMYFUNCTION("""COMPUTED_VALUE"""),"Skills")</f>
        <v>Skills</v>
      </c>
      <c r="H119" s="2" t="str">
        <f ca="1">IFERROR(__xludf.DUMMYFUNCTION("""COMPUTED_VALUE"""),"You may have been summoned to this world to be a hero but that doesn’t mean you have to act the part every second of the day. Underneath your heroic visage you’re actually quite the mischievous scoundrel, with a talent for spinning lies and a rock solid p"&amp;"oker face that lets you look heroic and trustworthy despite the many tricks you play on people, like giving an aphrodisiac to a cute elf girl under the pretense that it’ll help you teach her magic. To make matters worse people seem unnaturally prone to fa"&amp;"lling for your tricks: you may not be able to trick someone into becoming your slave directly but you can often convince them to act on really bad ideas, like betting their freedom on the outcome of a battle.")</f>
        <v>You may have been summoned to this world to be a hero but that doesn’t mean you have to act the part every second of the day. Underneath your heroic visage you’re actually quite the mischievous scoundrel, with a talent for spinning lies and a rock solid poker face that lets you look heroic and trustworthy despite the many tricks you play on people, like giving an aphrodisiac to a cute elf girl under the pretense that it’ll help you teach her magic. To make matters worse people seem unnaturally prone to falling for your tricks: you may not be able to trick someone into becoming your slave directly but you can often convince them to act on really bad ideas, like betting their freedom on the outcome of a battle.</v>
      </c>
      <c r="I119" s="5"/>
    </row>
    <row r="120" spans="1:9" ht="104.4" x14ac:dyDescent="0.25">
      <c r="A120" s="16"/>
      <c r="B120" s="17">
        <v>116</v>
      </c>
      <c r="C120" s="2" t="b">
        <f ca="1">IFERROR(__xludf.DUMMYFUNCTION("""COMPUTED_VALUE"""),FALSE)</f>
        <v>0</v>
      </c>
      <c r="D120" s="2">
        <f ca="1">IFERROR(__xludf.DUMMYFUNCTION("""COMPUTED_VALUE"""),200)</f>
        <v>200</v>
      </c>
      <c r="E120" s="2" t="str">
        <f ca="1">IFERROR(__xludf.DUMMYFUNCTION("""COMPUTED_VALUE"""),"That's a Paddlin'")</f>
        <v>That's a Paddlin'</v>
      </c>
      <c r="F120" s="2" t="str">
        <f ca="1">IFERROR(__xludf.DUMMYFUNCTION("""COMPUTED_VALUE"""),"Collar 6")</f>
        <v>Collar 6</v>
      </c>
      <c r="G120" s="2" t="str">
        <f ca="1">IFERROR(__xludf.DUMMYFUNCTION("""COMPUTED_VALUE"""),"Skills")</f>
        <v>Skills</v>
      </c>
      <c r="H120" s="2" t="str">
        <f ca="1">IFERROR(__xludf.DUMMYFUNCTION("""COMPUTED_VALUE"""),"The perk provides you with a very reliable sense of how much force you need to put into your blows to inflict the exact level of damage you want, whether that happens to be a sore bottom or something rather more traumatic, and can be toggled to act as a l"&amp;"imiter in combat, although there might be some uncertainty in chaotic situations with many opponents, limited visibility and such. It also lets you use a small hammerspace to carry crops, paddles and other tools of the trade, should you wish to.")</f>
        <v>The perk provides you with a very reliable sense of how much force you need to put into your blows to inflict the exact level of damage you want, whether that happens to be a sore bottom or something rather more traumatic, and can be toggled to act as a limiter in combat, although there might be some uncertainty in chaotic situations with many opponents, limited visibility and such. It also lets you use a small hammerspace to carry crops, paddles and other tools of the trade, should you wish to.</v>
      </c>
      <c r="I120" s="5"/>
    </row>
    <row r="121" spans="1:9" ht="87" x14ac:dyDescent="0.25">
      <c r="A121" s="16"/>
      <c r="B121" s="17">
        <v>117</v>
      </c>
      <c r="C121" s="2" t="b">
        <f ca="1">IFERROR(__xludf.DUMMYFUNCTION("""COMPUTED_VALUE"""),FALSE)</f>
        <v>0</v>
      </c>
      <c r="D121" s="2">
        <f ca="1">IFERROR(__xludf.DUMMYFUNCTION("""COMPUTED_VALUE"""),200)</f>
        <v>200</v>
      </c>
      <c r="E121" s="2" t="str">
        <f ca="1">IFERROR(__xludf.DUMMYFUNCTION("""COMPUTED_VALUE"""),"Tool Use")</f>
        <v>Tool Use</v>
      </c>
      <c r="F121" s="2" t="str">
        <f ca="1">IFERROR(__xludf.DUMMYFUNCTION("""COMPUTED_VALUE"""),"Monster Girl Dreams 1.3 - The Pre-Capitol Update")</f>
        <v>Monster Girl Dreams 1.3 - The Pre-Capitol Update</v>
      </c>
      <c r="G121" s="2" t="str">
        <f ca="1">IFERROR(__xludf.DUMMYFUNCTION("""COMPUTED_VALUE"""),"Skills")</f>
        <v>Skills</v>
      </c>
      <c r="H121" s="2" t="str">
        <f ca="1">IFERROR(__xludf.DUMMYFUNCTION("""COMPUTED_VALUE"""),"You are skilled in the use of all manner of sexual tools, from dildos, to whips, to bondage nets. You might need a bit to familiarize yourself with a new tool, but as long as it was created as a sex toy, you can use it with ease.")</f>
        <v>You are skilled in the use of all manner of sexual tools, from dildos, to whips, to bondage nets. You might need a bit to familiarize yourself with a new tool, but as long as it was created as a sex toy, you can use it with ease.</v>
      </c>
      <c r="I121" s="5"/>
    </row>
    <row r="122" spans="1:9" ht="174" x14ac:dyDescent="0.25">
      <c r="A122" s="16"/>
      <c r="B122" s="17">
        <v>118</v>
      </c>
      <c r="C122" s="2" t="b">
        <f ca="1">IFERROR(__xludf.DUMMYFUNCTION("""COMPUTED_VALUE"""),FALSE)</f>
        <v>0</v>
      </c>
      <c r="D122" s="2">
        <f ca="1">IFERROR(__xludf.DUMMYFUNCTION("""COMPUTED_VALUE"""),200)</f>
        <v>200</v>
      </c>
      <c r="E122" s="2" t="str">
        <f ca="1">IFERROR(__xludf.DUMMYFUNCTION("""COMPUTED_VALUE"""),"Traditional Waifu")</f>
        <v>Traditional Waifu</v>
      </c>
      <c r="F122" s="2" t="str">
        <f ca="1">IFERROR(__xludf.DUMMYFUNCTION("""COMPUTED_VALUE"""),"Victim Girls (Veronica Edition)")</f>
        <v>Victim Girls (Veronica Edition)</v>
      </c>
      <c r="G122" s="2" t="str">
        <f ca="1">IFERROR(__xludf.DUMMYFUNCTION("""COMPUTED_VALUE"""),"Skills")</f>
        <v>Skills</v>
      </c>
      <c r="H122" s="2" t="str">
        <f ca="1">IFERROR(__xludf.DUMMYFUNCTION("""COMPUTED_VALUE"""),"These young ladies that ambitiously strive for power and prestige, it just feels so wrong to you. They’ve not yet realised that their rightful place isn’t to be something, it’s to be someone’s. Someone’s maid, someone’s slave, maybe even someone’s wife..."&amp;" It’s only natural that proper women like us excel at housework, cooking, raising children and serving others. Even without experience, you’d capably support any household needed, and do a fine job with any offspring placed in your care. You’re not just o"&amp;"f use to your man either, you can look good doing it, swinging your hips as you dust to catch his eye or proudly thrusting your chest out. All the better to keep his eyes from wandering to street hussies that offer nothing but a wet cunt. A real woman lik"&amp;"e yourself is more than capable of keeping the attention and affections of your partner, no matter how brutish the hunk may be.")</f>
        <v>These young ladies that ambitiously strive for power and prestige, it just feels so wrong to you. They’ve not yet realised that their rightful place isn’t to be something, it’s to be someone’s. Someone’s maid, someone’s slave, maybe even someone’s wife... It’s only natural that proper women like us excel at housework, cooking, raising children and serving others. Even without experience, you’d capably support any household needed, and do a fine job with any offspring placed in your care. You’re not just of use to your man either, you can look good doing it, swinging your hips as you dust to catch his eye or proudly thrusting your chest out. All the better to keep his eyes from wandering to street hussies that offer nothing but a wet cunt. A real woman like yourself is more than capable of keeping the attention and affections of your partner, no matter how brutish the hunk may be.</v>
      </c>
      <c r="I122" s="5"/>
    </row>
    <row r="123" spans="1:9" ht="104.4" x14ac:dyDescent="0.25">
      <c r="A123" s="16"/>
      <c r="B123" s="17">
        <v>119</v>
      </c>
      <c r="C123" s="2" t="b">
        <f ca="1">IFERROR(__xludf.DUMMYFUNCTION("""COMPUTED_VALUE"""),FALSE)</f>
        <v>0</v>
      </c>
      <c r="D123" s="2">
        <f ca="1">IFERROR(__xludf.DUMMYFUNCTION("""COMPUTED_VALUE"""),200)</f>
        <v>200</v>
      </c>
      <c r="E123" s="2" t="str">
        <f ca="1">IFERROR(__xludf.DUMMYFUNCTION("""COMPUTED_VALUE"""),"Unintended Uses")</f>
        <v>Unintended Uses</v>
      </c>
      <c r="F123" s="2" t="str">
        <f ca="1">IFERROR(__xludf.DUMMYFUNCTION("""COMPUTED_VALUE"""),"Boku To Nottori Nakademia")</f>
        <v>Boku To Nottori Nakademia</v>
      </c>
      <c r="G123" s="2" t="str">
        <f ca="1">IFERROR(__xludf.DUMMYFUNCTION("""COMPUTED_VALUE"""),"Skills")</f>
        <v>Skills</v>
      </c>
      <c r="H123" s="2" t="str">
        <f ca="1">IFERROR(__xludf.DUMMYFUNCTION("""COMPUTED_VALUE"""),"People here sure have some strange bits of biology compared to the human norm, from extra-long fingers to having a cactus for a head. Whatever the heh, quirks of your own body, you’ll always find ways of using those traits during your adult fun. Be it usi"&amp;"ng your invisibility to show off the fat dick and virile semen filling your womb, or using a pair of literal ear-jacks as a makeshift vibrator, your partners are always in for a good time when you get creative. This applies to your other powers too, of co"&amp;"urse, no reason to leave them out the fun.")</f>
        <v>People here sure have some strange bits of biology compared to the human norm, from extra-long fingers to having a cactus for a head. Whatever the heh, quirks of your own body, you’ll always find ways of using those traits during your adult fun. Be it using your invisibility to show off the fat dick and virile semen filling your womb, or using a pair of literal ear-jacks as a makeshift vibrator, your partners are always in for a good time when you get creative. This applies to your other powers too, of course, no reason to leave them out the fun.</v>
      </c>
      <c r="I123" s="5"/>
    </row>
    <row r="124" spans="1:9" ht="104.4" x14ac:dyDescent="0.25">
      <c r="A124" s="16"/>
      <c r="B124" s="17">
        <v>120</v>
      </c>
      <c r="C124" s="2" t="b">
        <f ca="1">IFERROR(__xludf.DUMMYFUNCTION("""COMPUTED_VALUE"""),FALSE)</f>
        <v>0</v>
      </c>
      <c r="D124" s="2">
        <f ca="1">IFERROR(__xludf.DUMMYFUNCTION("""COMPUTED_VALUE"""),200)</f>
        <v>200</v>
      </c>
      <c r="E124" s="2" t="str">
        <f ca="1">IFERROR(__xludf.DUMMYFUNCTION("""COMPUTED_VALUE"""),"Universal Weak Spot")</f>
        <v>Universal Weak Spot</v>
      </c>
      <c r="F124" s="2" t="str">
        <f ca="1">IFERROR(__xludf.DUMMYFUNCTION("""COMPUTED_VALUE"""),"TSF World")</f>
        <v>TSF World</v>
      </c>
      <c r="G124" s="2" t="str">
        <f ca="1">IFERROR(__xludf.DUMMYFUNCTION("""COMPUTED_VALUE"""),"Skills")</f>
        <v>Skills</v>
      </c>
      <c r="H124" s="2" t="str">
        <f ca="1">IFERROR(__xludf.DUMMYFUNCTION("""COMPUTED_VALUE"""),"Everyone has a weak spot. Their own achilles heel. When you attack that weakness, they’ll lose all their strength to resist, becoming so much putty in your hands to be moulded. They may still put up a pittance of resistance, but it is obvious to all that "&amp;"their heart isn’t truly in it. You are adept at finding and attacking that specific weak point. It varies from person to person. Some people have a more ‘internal’ weak spot while others might be left helpless with a bit of playful breast play. Whatever t"&amp;"he case, once you have them in your hands they aren’t getting away any time soon.")</f>
        <v>Everyone has a weak spot. Their own achilles heel. When you attack that weakness, they’ll lose all their strength to resist, becoming so much putty in your hands to be moulded. They may still put up a pittance of resistance, but it is obvious to all that their heart isn’t truly in it. You are adept at finding and attacking that specific weak point. It varies from person to person. Some people have a more ‘internal’ weak spot while others might be left helpless with a bit of playful breast play. Whatever the case, once you have them in your hands they aren’t getting away any time soon.</v>
      </c>
      <c r="I124" s="5"/>
    </row>
    <row r="125" spans="1:9" ht="87" x14ac:dyDescent="0.25">
      <c r="A125" s="16"/>
      <c r="B125" s="17">
        <v>121</v>
      </c>
      <c r="C125" s="2" t="b">
        <f ca="1">IFERROR(__xludf.DUMMYFUNCTION("""COMPUTED_VALUE"""),FALSE)</f>
        <v>0</v>
      </c>
      <c r="D125" s="2">
        <f ca="1">IFERROR(__xludf.DUMMYFUNCTION("""COMPUTED_VALUE"""),200)</f>
        <v>200</v>
      </c>
      <c r="E125" s="2" t="str">
        <f ca="1">IFERROR(__xludf.DUMMYFUNCTION("""COMPUTED_VALUE"""),"Welcome!")</f>
        <v>Welcome!</v>
      </c>
      <c r="F125" s="2" t="str">
        <f ca="1">IFERROR(__xludf.DUMMYFUNCTION("""COMPUTED_VALUE"""),"Mizuryu Kei Land")</f>
        <v>Mizuryu Kei Land</v>
      </c>
      <c r="G125" s="2" t="str">
        <f ca="1">IFERROR(__xludf.DUMMYFUNCTION("""COMPUTED_VALUE"""),"Skills")</f>
        <v>Skills</v>
      </c>
      <c r="H125" s="2" t="str">
        <f ca="1">IFERROR(__xludf.DUMMYFUNCTION("""COMPUTED_VALUE"""),"The official greeting at the entrance of Mizuryu Kei Land is for a female attendant to go bowlegged and say 'please cum inside!'. In the vein of being welcoming and friendly, once you decide what persona you want to use, you are perfectly capable of stick"&amp;"ing to it for days on end without dropping the act. You could flirt and fuck like a pro even if you weren't actually feeling it. Maybe you’re just waiting for one particular kind of person, or it is just that particular act you don’t like?")</f>
        <v>The official greeting at the entrance of Mizuryu Kei Land is for a female attendant to go bowlegged and say 'please cum inside!'. In the vein of being welcoming and friendly, once you decide what persona you want to use, you are perfectly capable of sticking to it for days on end without dropping the act. You could flirt and fuck like a pro even if you weren't actually feeling it. Maybe you’re just waiting for one particular kind of person, or it is just that particular act you don’t like?</v>
      </c>
      <c r="I125" s="5"/>
    </row>
    <row r="126" spans="1:9" ht="69.599999999999994" x14ac:dyDescent="0.25">
      <c r="A126" s="16"/>
      <c r="B126" s="17">
        <v>122</v>
      </c>
      <c r="C126" s="2" t="b">
        <f ca="1">IFERROR(__xludf.DUMMYFUNCTION("""COMPUTED_VALUE"""),FALSE)</f>
        <v>0</v>
      </c>
      <c r="D126" s="2">
        <f ca="1">IFERROR(__xludf.DUMMYFUNCTION("""COMPUTED_VALUE"""),200)</f>
        <v>200</v>
      </c>
      <c r="E126" s="2" t="str">
        <f ca="1">IFERROR(__xludf.DUMMYFUNCTION("""COMPUTED_VALUE"""),"Wine and Dine")</f>
        <v>Wine and Dine</v>
      </c>
      <c r="F126" s="2" t="str">
        <f ca="1">IFERROR(__xludf.DUMMYFUNCTION("""COMPUTED_VALUE"""),"Destiny: Fuck the Darkness")</f>
        <v>Destiny: Fuck the Darkness</v>
      </c>
      <c r="G126" s="2" t="str">
        <f ca="1">IFERROR(__xludf.DUMMYFUNCTION("""COMPUTED_VALUE"""),"Skills")</f>
        <v>Skills</v>
      </c>
      <c r="H126" s="2" t="str">
        <f ca="1">IFERROR(__xludf.DUMMYFUNCTION("""COMPUTED_VALUE"""),"Dating is an art, I’ll have you know. Making sure everything is positioned just right, that the fixings are just the right temperature. You are a master of this art, capable of making anyone feel like the brightest star in the sky. The simple ask, on your"&amp;" part, is also made easier and more appealing to those in a position to listen.")</f>
        <v>Dating is an art, I’ll have you know. Making sure everything is positioned just right, that the fixings are just the right temperature. You are a master of this art, capable of making anyone feel like the brightest star in the sky. The simple ask, on your part, is also made easier and more appealing to those in a position to listen.</v>
      </c>
      <c r="I126" s="5"/>
    </row>
    <row r="127" spans="1:9" ht="208.8" x14ac:dyDescent="0.25">
      <c r="A127" s="16"/>
      <c r="B127" s="17">
        <v>123</v>
      </c>
      <c r="C127" s="2" t="b">
        <f ca="1">IFERROR(__xludf.DUMMYFUNCTION("""COMPUTED_VALUE"""),FALSE)</f>
        <v>0</v>
      </c>
      <c r="D127" s="2">
        <f ca="1">IFERROR(__xludf.DUMMYFUNCTION("""COMPUTED_VALUE"""),300)</f>
        <v>300</v>
      </c>
      <c r="E127" s="2" t="str">
        <f ca="1">IFERROR(__xludf.DUMMYFUNCTION("""COMPUTED_VALUE"""),"""Become a Ninja in just 30 Days!""")</f>
        <v>"Become a Ninja in just 30 Days!"</v>
      </c>
      <c r="F127" s="2" t="str">
        <f ca="1">IFERROR(__xludf.DUMMYFUNCTION("""COMPUTED_VALUE"""),"World of Tentacles")</f>
        <v>World of Tentacles</v>
      </c>
      <c r="G127" s="2" t="str">
        <f ca="1">IFERROR(__xludf.DUMMYFUNCTION("""COMPUTED_VALUE"""),"Skills")</f>
        <v>Skills</v>
      </c>
      <c r="H127" s="2" t="str">
        <f ca="1">IFERROR(__xludf.DUMMYFUNCTION("""COMPUTED_VALUE"""),"This instruction manual comes in the shape of a book or scroll which describes a month long training regimen. Following this plan while referencing the physical manual allows a student or teacher to learn or teach the equivalent of a three year long perio"&amp;"d of basic instruction in skills which fall under the themes of a ninja or kunoichi. However any students who benefit from this training will also develop mild behavioural quirks or fetishes such as a habit of forgetting to wear panties while wearing a sk"&amp;"irt, a tendency towards voyeurism, or regularly crossdressing 'just to improve my disguise skills'. The manual can only teach supernatural ninja skills if someone with those abilities has annotated the text to include that information, but any such includ"&amp;"ed knowledge can be taught to the student as part of the same 30-day training course. The manual always has a blank page or two available to make such annotations. Unless new information has been added, subsequent uses of the manual will not increase your"&amp;" abilities; however, they will help you to maintain or rebuild your skills far more quickly than normal.")</f>
        <v>This instruction manual comes in the shape of a book or scroll which describes a month long training regimen. Following this plan while referencing the physical manual allows a student or teacher to learn or teach the equivalent of a three year long period of basic instruction in skills which fall under the themes of a ninja or kunoichi. However any students who benefit from this training will also develop mild behavioural quirks or fetishes such as a habit of forgetting to wear panties while wearing a skirt, a tendency towards voyeurism, or regularly crossdressing 'just to improve my disguise skills'. The manual can only teach supernatural ninja skills if someone with those abilities has annotated the text to include that information, but any such included knowledge can be taught to the student as part of the same 30-day training course. The manual always has a blank page or two available to make such annotations. Unless new information has been added, subsequent uses of the manual will not increase your abilities; however, they will help you to maintain or rebuild your skills far more quickly than normal.</v>
      </c>
      <c r="I127" s="5"/>
    </row>
    <row r="128" spans="1:9" ht="87" x14ac:dyDescent="0.25">
      <c r="A128" s="16"/>
      <c r="B128" s="17">
        <v>124</v>
      </c>
      <c r="C128" s="2" t="b">
        <f ca="1">IFERROR(__xludf.DUMMYFUNCTION("""COMPUTED_VALUE"""),FALSE)</f>
        <v>0</v>
      </c>
      <c r="D128" s="2">
        <f ca="1">IFERROR(__xludf.DUMMYFUNCTION("""COMPUTED_VALUE"""),300)</f>
        <v>300</v>
      </c>
      <c r="E128" s="2" t="str">
        <f ca="1">IFERROR(__xludf.DUMMYFUNCTION("""COMPUTED_VALUE"""),"Classy")</f>
        <v>Classy</v>
      </c>
      <c r="F128" s="2" t="str">
        <f ca="1">IFERROR(__xludf.DUMMYFUNCTION("""COMPUTED_VALUE"""),"LeWdBY")</f>
        <v>LeWdBY</v>
      </c>
      <c r="G128" s="2" t="str">
        <f ca="1">IFERROR(__xludf.DUMMYFUNCTION("""COMPUTED_VALUE"""),"Skills")</f>
        <v>Skills</v>
      </c>
      <c r="H128" s="2" t="str">
        <f ca="1">IFERROR(__xludf.DUMMYFUNCTION("""COMPUTED_VALUE"""),"Unlike most of the uncouth sluts you’re forced to go to school with, you know how to maintain a good reputation and public image even if you’re getting gangbanged by a dozen Faunus studs every weekend. You’re intelligent enough to be the smartest girl in "&amp;"class too and have a world class artistic skill such as singing. Plus you know how to actually carry a conversation and be an entertaining date, instead of just a set of holes to fuck.")</f>
        <v>Unlike most of the uncouth sluts you’re forced to go to school with, you know how to maintain a good reputation and public image even if you’re getting gangbanged by a dozen Faunus studs every weekend. You’re intelligent enough to be the smartest girl in class too and have a world class artistic skill such as singing. Plus you know how to actually carry a conversation and be an entertaining date, instead of just a set of holes to fuck.</v>
      </c>
      <c r="I128" s="5"/>
    </row>
    <row r="129" spans="1:10" ht="139.19999999999999" x14ac:dyDescent="0.25">
      <c r="A129" s="16"/>
      <c r="B129" s="17">
        <v>125</v>
      </c>
      <c r="C129" s="2" t="b">
        <f ca="1">IFERROR(__xludf.DUMMYFUNCTION("""COMPUTED_VALUE"""),FALSE)</f>
        <v>0</v>
      </c>
      <c r="D129" s="2">
        <f ca="1">IFERROR(__xludf.DUMMYFUNCTION("""COMPUTED_VALUE"""),300)</f>
        <v>300</v>
      </c>
      <c r="E129" s="2" t="str">
        <f ca="1">IFERROR(__xludf.DUMMYFUNCTION("""COMPUTED_VALUE"""),"Colours of Love")</f>
        <v>Colours of Love</v>
      </c>
      <c r="F129" s="2" t="str">
        <f ca="1">IFERROR(__xludf.DUMMYFUNCTION("""COMPUTED_VALUE"""),"Kemokko Zoo")</f>
        <v>Kemokko Zoo</v>
      </c>
      <c r="G129" s="2" t="str">
        <f ca="1">IFERROR(__xludf.DUMMYFUNCTION("""COMPUTED_VALUE"""),"Skills")</f>
        <v>Skills</v>
      </c>
      <c r="H129" s="2" t="str">
        <f ca="1">IFERROR(__xludf.DUMMYFUNCTION("""COMPUTED_VALUE"""),"Much like Hanami the Elephant, you’re a marvelous artist, applying the wonder and color you see in life to your art. Love fuels your artistic inspiration, and you can find inspiration for vibrant art from your bonds with others, giving your works a person"&amp;"al, unique sense of beauty. Though this does mean that you’ll have trouble finding inspiration through this perk if you feel depressed or lonely...
In addition, art is something open to all species, so with this perk, you can make art regardless of what "&amp;"appendages you have or lack, even things that usually need opposable thumbs. Actually, in general, things that require opposable thumbs are possible for you to do with any appendage.")</f>
        <v>Much like Hanami the Elephant, you’re a marvelous artist, applying the wonder and color you see in life to your art. Love fuels your artistic inspiration, and you can find inspiration for vibrant art from your bonds with others, giving your works a personal, unique sense of beauty. Though this does mean that you’ll have trouble finding inspiration through this perk if you feel depressed or lonely...
In addition, art is something open to all species, so with this perk, you can make art regardless of what appendages you have or lack, even things that usually need opposable thumbs. Actually, in general, things that require opposable thumbs are possible for you to do with any appendage.</v>
      </c>
      <c r="I129" s="5"/>
    </row>
    <row r="130" spans="1:10" ht="121.8" x14ac:dyDescent="0.25">
      <c r="A130" s="16"/>
      <c r="B130" s="17">
        <v>126</v>
      </c>
      <c r="C130" s="2" t="b">
        <f ca="1">IFERROR(__xludf.DUMMYFUNCTION("""COMPUTED_VALUE"""),FALSE)</f>
        <v>0</v>
      </c>
      <c r="D130" s="2">
        <f ca="1">IFERROR(__xludf.DUMMYFUNCTION("""COMPUTED_VALUE"""),300)</f>
        <v>300</v>
      </c>
      <c r="E130" s="2" t="str">
        <f ca="1">IFERROR(__xludf.DUMMYFUNCTION("""COMPUTED_VALUE"""),"Containment Expert")</f>
        <v>Containment Expert</v>
      </c>
      <c r="F130" s="2" t="str">
        <f ca="1">IFERROR(__xludf.DUMMYFUNCTION("""COMPUTED_VALUE"""),"Zakuro Shoukougun")</f>
        <v>Zakuro Shoukougun</v>
      </c>
      <c r="G130" s="2" t="str">
        <f ca="1">IFERROR(__xludf.DUMMYFUNCTION("""COMPUTED_VALUE"""),"Skills")</f>
        <v>Skills</v>
      </c>
      <c r="H130" s="2" t="str">
        <f ca="1">IFERROR(__xludf.DUMMYFUNCTION("""COMPUTED_VALUE"""),"You are a master at reducing the collateral damage caused by your sex partners. Isolating girls before they can infect others is child’s play for you, and you are a master at catching the more athletic girls before they really start their rampage. In addi"&amp;"tion, you are also adept at handling any collateral damage that does happen, be it a horde of infected people or the pile of rubble that was once the gym building. This applies to anyone affected by a libido increasing and/or inhibition removing effect wh"&amp;"o you intend to have sex with. Catch that heroine before their Superpowered Evil Side can cause trouble, or clean up the aftermath of a magical girl’s fall to corruption.")</f>
        <v>You are a master at reducing the collateral damage caused by your sex partners. Isolating girls before they can infect others is child’s play for you, and you are a master at catching the more athletic girls before they really start their rampage. In addition, you are also adept at handling any collateral damage that does happen, be it a horde of infected people or the pile of rubble that was once the gym building. This applies to anyone affected by a libido increasing and/or inhibition removing effect who you intend to have sex with. Catch that heroine before their Superpowered Evil Side can cause trouble, or clean up the aftermath of a magical girl’s fall to corruption.</v>
      </c>
      <c r="I130" s="5"/>
    </row>
    <row r="131" spans="1:10" ht="87" x14ac:dyDescent="0.25">
      <c r="A131" s="16"/>
      <c r="B131" s="17">
        <v>127</v>
      </c>
      <c r="C131" s="2" t="b">
        <f ca="1">IFERROR(__xludf.DUMMYFUNCTION("""COMPUTED_VALUE"""),FALSE)</f>
        <v>0</v>
      </c>
      <c r="D131" s="2">
        <f ca="1">IFERROR(__xludf.DUMMYFUNCTION("""COMPUTED_VALUE"""),300)</f>
        <v>300</v>
      </c>
      <c r="E131" s="2" t="str">
        <f ca="1">IFERROR(__xludf.DUMMYFUNCTION("""COMPUTED_VALUE"""),"Ecstatic Strike")</f>
        <v>Ecstatic Strike</v>
      </c>
      <c r="F131" s="2" t="str">
        <f ca="1">IFERROR(__xludf.DUMMYFUNCTION("""COMPUTED_VALUE"""),"Monster Girl Dreams 1.3 - The Pre-Capitol Update")</f>
        <v>Monster Girl Dreams 1.3 - The Pre-Capitol Update</v>
      </c>
      <c r="G131" s="2" t="str">
        <f ca="1">IFERROR(__xludf.DUMMYFUNCTION("""COMPUTED_VALUE"""),"Skills")</f>
        <v>Skills</v>
      </c>
      <c r="H131" s="2" t="str">
        <f ca="1">IFERROR(__xludf.DUMMYFUNCTION("""COMPUTED_VALUE"""),"You're good at teasing your partners sweet spots for all they're worth. This perk both increases the chance to find weak points, be it sensitive areas of their body or chinks in their armor, and amplifies the effect when you take advantage of them.")</f>
        <v>You're good at teasing your partners sweet spots for all they're worth. This perk both increases the chance to find weak points, be it sensitive areas of their body or chinks in their armor, and amplifies the effect when you take advantage of them.</v>
      </c>
      <c r="I131" s="5"/>
    </row>
    <row r="132" spans="1:10" ht="104.4" x14ac:dyDescent="0.25">
      <c r="A132" s="16"/>
      <c r="B132" s="17">
        <v>128</v>
      </c>
      <c r="C132" s="2" t="b">
        <f ca="1">IFERROR(__xludf.DUMMYFUNCTION("""COMPUTED_VALUE"""),FALSE)</f>
        <v>0</v>
      </c>
      <c r="D132" s="2">
        <f ca="1">IFERROR(__xludf.DUMMYFUNCTION("""COMPUTED_VALUE"""),300)</f>
        <v>300</v>
      </c>
      <c r="E132" s="2" t="str">
        <f ca="1">IFERROR(__xludf.DUMMYFUNCTION("""COMPUTED_VALUE"""),"Everything is Training")</f>
        <v>Everything is Training</v>
      </c>
      <c r="F132" s="2" t="str">
        <f ca="1">IFERROR(__xludf.DUMMYFUNCTION("""COMPUTED_VALUE"""),"Ranma fall - Katamimi Buta")</f>
        <v>Ranma fall - Katamimi Buta</v>
      </c>
      <c r="G132" s="2" t="str">
        <f ca="1">IFERROR(__xludf.DUMMYFUNCTION("""COMPUTED_VALUE"""),"Skills")</f>
        <v>Skills</v>
      </c>
      <c r="H132" s="2" t="str">
        <f ca="1">IFERROR(__xludf.DUMMYFUNCTION("""COMPUTED_VALUE"""),"Just like Ranma you can always be used for training. No matter how tedious, mundane, or sexual as long as it's physical you can figure out how to use it for your benefit. Whether it's something like moving heavy boxes for strength training, balance traini"&amp;"ng by walking to school on the top of the fence, gymnastics for flexibility, or orgasm resistance by edging. This makes it easier to come up with alternative training methods to gain the same skills so long as it's similar, such as grabbing piranhas out o"&amp;"f a tank instead of taking chestnuts out of a fire.")</f>
        <v>Just like Ranma you can always be used for training. No matter how tedious, mundane, or sexual as long as it's physical you can figure out how to use it for your benefit. Whether it's something like moving heavy boxes for strength training, balance training by walking to school on the top of the fence, gymnastics for flexibility, or orgasm resistance by edging. This makes it easier to come up with alternative training methods to gain the same skills so long as it's similar, such as grabbing piranhas out of a tank instead of taking chestnuts out of a fire.</v>
      </c>
      <c r="I132" s="5"/>
    </row>
    <row r="133" spans="1:10" ht="69.599999999999994" x14ac:dyDescent="0.35">
      <c r="A133" s="16"/>
      <c r="B133" s="17">
        <v>129</v>
      </c>
      <c r="C133" s="2" t="b">
        <f ca="1">IFERROR(__xludf.DUMMYFUNCTION("""COMPUTED_VALUE"""),FALSE)</f>
        <v>0</v>
      </c>
      <c r="D133" s="2">
        <f ca="1">IFERROR(__xludf.DUMMYFUNCTION("""COMPUTED_VALUE"""),300)</f>
        <v>300</v>
      </c>
      <c r="E133" s="2" t="str">
        <f ca="1">IFERROR(__xludf.DUMMYFUNCTION("""COMPUTED_VALUE"""),"Femme Fatale")</f>
        <v>Femme Fatale</v>
      </c>
      <c r="F133" s="2" t="str">
        <f ca="1">IFERROR(__xludf.DUMMYFUNCTION("""COMPUTED_VALUE"""),"Karryn’s Prison")</f>
        <v>Karryn’s Prison</v>
      </c>
      <c r="G133" s="2" t="str">
        <f ca="1">IFERROR(__xludf.DUMMYFUNCTION("""COMPUTED_VALUE"""),"Skills")</f>
        <v>Skills</v>
      </c>
      <c r="H133" s="2" t="str">
        <f ca="1">IFERROR(__xludf.DUMMYFUNCTION("""COMPUTED_VALUE"""),"Well, if they’re going to be so obsessed with your body you might as well use that to your advantage, right? You’re a master at using your appearance to your advantage in a fight, distracting your opponent to give you an opening to strike or escape. Of co"&amp;"urse, once they’re on the ground there’s plenty of things you might want to do to such deserving targets~.")</f>
        <v>Well, if they’re going to be so obsessed with your body you might as well use that to your advantage, right? You’re a master at using your appearance to your advantage in a fight, distracting your opponent to give you an opening to strike or escape. Of course, once they’re on the ground there’s plenty of things you might want to do to such deserving targets~.</v>
      </c>
      <c r="I133" s="5"/>
      <c r="J133" s="13"/>
    </row>
    <row r="134" spans="1:10" ht="52.2" x14ac:dyDescent="0.35">
      <c r="A134" s="16"/>
      <c r="B134" s="17">
        <v>130</v>
      </c>
      <c r="C134" s="2" t="b">
        <f ca="1">IFERROR(__xludf.DUMMYFUNCTION("""COMPUTED_VALUE"""),FALSE)</f>
        <v>0</v>
      </c>
      <c r="D134" s="2">
        <f ca="1">IFERROR(__xludf.DUMMYFUNCTION("""COMPUTED_VALUE"""),300)</f>
        <v>300</v>
      </c>
      <c r="E134" s="2" t="str">
        <f ca="1">IFERROR(__xludf.DUMMYFUNCTION("""COMPUTED_VALUE"""),"Food Preparation")</f>
        <v>Food Preparation</v>
      </c>
      <c r="F134" s="2" t="str">
        <f ca="1">IFERROR(__xludf.DUMMYFUNCTION("""COMPUTED_VALUE"""),"Waifu Fighter")</f>
        <v>Waifu Fighter</v>
      </c>
      <c r="G134" s="2" t="str">
        <f ca="1">IFERROR(__xludf.DUMMYFUNCTION("""COMPUTED_VALUE"""),"Skills")</f>
        <v>Skills</v>
      </c>
      <c r="H134" s="2" t="str">
        <f ca="1">IFERROR(__xludf.DUMMYFUNCTION("""COMPUTED_VALUE"""),"You’re such a good chef that they should invent a fourth Michelin Star just for you. But your real talent is in enhancing the effectiveness of the ingredients you use—specifically, the potency of foods that could be considered aphrodisiacs.")</f>
        <v>You’re such a good chef that they should invent a fourth Michelin Star just for you. But your real talent is in enhancing the effectiveness of the ingredients you use—specifically, the potency of foods that could be considered aphrodisiacs.</v>
      </c>
      <c r="I134" s="5"/>
      <c r="J134" s="27"/>
    </row>
    <row r="135" spans="1:10" ht="156.6" x14ac:dyDescent="0.25">
      <c r="A135" s="16"/>
      <c r="B135" s="17">
        <v>131</v>
      </c>
      <c r="C135" s="2" t="b">
        <f ca="1">IFERROR(__xludf.DUMMYFUNCTION("""COMPUTED_VALUE"""),FALSE)</f>
        <v>0</v>
      </c>
      <c r="D135" s="2">
        <f ca="1">IFERROR(__xludf.DUMMYFUNCTION("""COMPUTED_VALUE"""),300)</f>
        <v>300</v>
      </c>
      <c r="E135" s="2" t="str">
        <f ca="1">IFERROR(__xludf.DUMMYFUNCTION("""COMPUTED_VALUE"""),"Great Teacher [You]")</f>
        <v>Great Teacher [You]</v>
      </c>
      <c r="F135" s="2" t="str">
        <f ca="1">IFERROR(__xludf.DUMMYFUNCTION("""COMPUTED_VALUE"""),"Generic: Doujinshi High School")</f>
        <v>Generic: Doujinshi High School</v>
      </c>
      <c r="G135" s="2" t="str">
        <f ca="1">IFERROR(__xludf.DUMMYFUNCTION("""COMPUTED_VALUE"""),"Skills")</f>
        <v>Skills</v>
      </c>
      <c r="H135" s="2" t="str">
        <f ca="1">IFERROR(__xludf.DUMMYFUNCTION("""COMPUTED_VALUE"""),"When it comes to teaching, you have one hell of a talent at it. At its base, this perk allows those you teach to learn twice as fast as normal. Show some skin, and that number starts getting higher, up to five times as fast while you're completely naked. "&amp;"Work sex into the lesson, like teaching someone how to use telekinesis by having them fuck someone with a dildo they're controlling? Don't be surprised if they learn in hours what should have taken them weeks. Though, that bonus is only for the one doing "&amp;"the /work/. In addition, the less clothes you’re wearing, the more your students will pay attention to what you’re teaching. Wearing tight clothes would be enough to keep the attention of a class full of normal high schoolers for the entire lesson. Wearin"&amp;"g nothing but a speedo or bikini would do the same for a class full of second graders with ADHD.")</f>
        <v>When it comes to teaching, you have one hell of a talent at it. At its base, this perk allows those you teach to learn twice as fast as normal. Show some skin, and that number starts getting higher, up to five times as fast while you're completely naked. Work sex into the lesson, like teaching someone how to use telekinesis by having them fuck someone with a dildo they're controlling? Don't be surprised if they learn in hours what should have taken them weeks. Though, that bonus is only for the one doing the /work/. In addition, the less clothes you’re wearing, the more your students will pay attention to what you’re teaching. Wearing tight clothes would be enough to keep the attention of a class full of normal high schoolers for the entire lesson. Wearing nothing but a speedo or bikini would do the same for a class full of second graders with ADHD.</v>
      </c>
      <c r="I135" s="5"/>
    </row>
    <row r="136" spans="1:10" ht="365.4" x14ac:dyDescent="0.25">
      <c r="A136" s="16"/>
      <c r="B136" s="17">
        <v>132</v>
      </c>
      <c r="C136" s="2" t="b">
        <f ca="1">IFERROR(__xludf.DUMMYFUNCTION("""COMPUTED_VALUE"""),FALSE)</f>
        <v>0</v>
      </c>
      <c r="D136" s="2">
        <f ca="1">IFERROR(__xludf.DUMMYFUNCTION("""COMPUTED_VALUE"""),300)</f>
        <v>300</v>
      </c>
      <c r="E136" s="2" t="str">
        <f ca="1">IFERROR(__xludf.DUMMYFUNCTION("""COMPUTED_VALUE"""),"Horny Hacker")</f>
        <v>Horny Hacker</v>
      </c>
      <c r="F136" s="2" t="str">
        <f ca="1">IFERROR(__xludf.DUMMYFUNCTION("""COMPUTED_VALUE"""),"World of Cybersluts")</f>
        <v>World of Cybersluts</v>
      </c>
      <c r="G136" s="2" t="str">
        <f ca="1">IFERROR(__xludf.DUMMYFUNCTION("""COMPUTED_VALUE"""),"Skills")</f>
        <v>Skills</v>
      </c>
      <c r="H136" s="2" t="str">
        <f ca="1">IFERROR(__xludf.DUMMYFUNCTION("""COMPUTED_VALUE"""),"There's most people, who can handle a computer well enough to surf the Net, and then there's hackers, who make them sing. You're the latter, able to hack your way into just about anything short of serious corporate security, using a wireless connection (o"&amp;"r a console if you want to be old-school) to work your digital magic. You're particularly good at messing with your victims in various sexual ways, with things like remote controlled vibrators and cyberware meant for the bedroom taking practically no effo"&amp;"rt to subvert. That's not to say your skills aren't otherwise useful, most combat cyborgs for example aren't nearly as threatening when their cyberarms are stuck furiously masturbating.
You're just as talented in dealing with other hackers or even AI in "&amp;"cyberspace. The latter can be hacked into and taken over just like other software, just with more effort being involved in the process due to the active resistance. Other hackers present a more nuanced problem. Only the best of them would actually be able"&amp;" to sling code with you on equal grounds, but hacking into fleshy people isn't something you can do directly. Flooding their hardware with so much porn that it’s rendered useless on the other hand? That’s not too difficult to pull off. 
And if they made "&amp;"the mistake of engaging you through a direct connection or in full VR? You can use the biofeedback to fry their brains as well. Of course, instead of killing them through severe brain damage, this just scrambles your opposition's brains and leaves them as"&amp;" dumb and giggly bimbos. With how strangely common attractive hackers in skintight outfits are around here, it'd be a waste otherwise.")</f>
        <v>There's most people, who can handle a computer well enough to surf the Net, and then there's hackers, who make them sing. You're the latter, able to hack your way into just about anything short of serious corporate security, using a wireless connection (or a console if you want to be old-school) to work your digital magic. You're particularly good at messing with your victims in various sexual ways, with things like remote controlled vibrators and cyberware meant for the bedroom taking practically no effort to subvert. That's not to say your skills aren't otherwise useful, most combat cyborgs for example aren't nearly as threatening when their cyberarms are stuck furiously masturbating.
You're just as talented in dealing with other hackers or even AI in cyberspace. The latter can be hacked into and taken over just like other software, just with more effort being involved in the process due to the active resistance. Other hackers present a more nuanced problem. Only the best of them would actually be able to sling code with you on equal grounds, but hacking into fleshy people isn't something you can do directly. Flooding their hardware with so much porn that it’s rendered useless on the other hand? That’s not too difficult to pull off. 
And if they made the mistake of engaging you through a direct connection or in full VR? You can use the biofeedback to fry their brains as well. Of course, instead of killing them through severe brain damage, this just scrambles your opposition's brains and leaves them as dumb and giggly bimbos. With how strangely common attractive hackers in skintight outfits are around here, it'd be a waste otherwise.</v>
      </c>
      <c r="I136" s="5"/>
    </row>
    <row r="137" spans="1:10" ht="52.2" x14ac:dyDescent="0.25">
      <c r="A137" s="16"/>
      <c r="B137" s="17">
        <v>133</v>
      </c>
      <c r="C137" s="2" t="b">
        <f ca="1">IFERROR(__xludf.DUMMYFUNCTION("""COMPUTED_VALUE"""),FALSE)</f>
        <v>0</v>
      </c>
      <c r="D137" s="2">
        <f ca="1">IFERROR(__xludf.DUMMYFUNCTION("""COMPUTED_VALUE"""),300)</f>
        <v>300</v>
      </c>
      <c r="E137" s="2" t="str">
        <f ca="1">IFERROR(__xludf.DUMMYFUNCTION("""COMPUTED_VALUE"""),"I am a Dick Palace")</f>
        <v>I am a Dick Palace</v>
      </c>
      <c r="F137" s="2" t="str">
        <f ca="1">IFERROR(__xludf.DUMMYFUNCTION("""COMPUTED_VALUE"""),"Futadom World")</f>
        <v>Futadom World</v>
      </c>
      <c r="G137" s="2" t="str">
        <f ca="1">IFERROR(__xludf.DUMMYFUNCTION("""COMPUTED_VALUE"""),"Skills")</f>
        <v>Skills</v>
      </c>
      <c r="H137" s="2" t="str">
        <f ca="1">IFERROR(__xludf.DUMMYFUNCTION("""COMPUTED_VALUE"""),"Whenever you’re on bottom during sex, you know just how to please your partner in such a way as to make them feel like they must have wandered into some dionysian paradise. At will, you could make your partners cum in less than a minute if you so chose.")</f>
        <v>Whenever you’re on bottom during sex, you know just how to please your partner in such a way as to make them feel like they must have wandered into some dionysian paradise. At will, you could make your partners cum in less than a minute if you so chose.</v>
      </c>
      <c r="I137" s="5"/>
    </row>
    <row r="138" spans="1:10" ht="104.4" x14ac:dyDescent="0.25">
      <c r="A138" s="16"/>
      <c r="B138" s="17">
        <v>134</v>
      </c>
      <c r="C138" s="2" t="b">
        <f ca="1">IFERROR(__xludf.DUMMYFUNCTION("""COMPUTED_VALUE"""),FALSE)</f>
        <v>0</v>
      </c>
      <c r="D138" s="2">
        <f ca="1">IFERROR(__xludf.DUMMYFUNCTION("""COMPUTED_VALUE"""),300)</f>
        <v>300</v>
      </c>
      <c r="E138" s="2" t="str">
        <f ca="1">IFERROR(__xludf.DUMMYFUNCTION("""COMPUTED_VALUE"""),"Infectious Fun")</f>
        <v>Infectious Fun</v>
      </c>
      <c r="F138" s="2" t="str">
        <f ca="1">IFERROR(__xludf.DUMMYFUNCTION("""COMPUTED_VALUE"""),"CHC ~ Iro ni Somerarete iku Gakuen")</f>
        <v>CHC ~ Iro ni Somerarete iku Gakuen</v>
      </c>
      <c r="G138" s="2" t="str">
        <f ca="1">IFERROR(__xludf.DUMMYFUNCTION("""COMPUTED_VALUE"""),"Skills")</f>
        <v>Skills</v>
      </c>
      <c r="H138" s="2" t="str">
        <f ca="1">IFERROR(__xludf.DUMMYFUNCTION("""COMPUTED_VALUE"""),"It’s time to party! CHC victims are having a genuinely good time with themselves, and others can see that. When it comes to sexual moaning you’ve got the pipes for a choir, and making honest but purely emotional arguments – especially hedonistic ones – co"&amp;"mes naturally to you. It won’t convince everyone by any measure, but this style of charisma could probably convince a decent demographic of students to drink CHC while knowing the effects outright, and it’ll stay useful for similar tasks down the line.")</f>
        <v>It’s time to party! CHC victims are having a genuinely good time with themselves, and others can see that. When it comes to sexual moaning you’ve got the pipes for a choir, and making honest but purely emotional arguments – especially hedonistic ones – comes naturally to you. It won’t convince everyone by any measure, but this style of charisma could probably convince a decent demographic of students to drink CHC while knowing the effects outright, and it’ll stay useful for similar tasks down the line.</v>
      </c>
      <c r="I138" s="5"/>
    </row>
    <row r="139" spans="1:10" ht="121.8" x14ac:dyDescent="0.25">
      <c r="A139" s="16"/>
      <c r="B139" s="17">
        <v>135</v>
      </c>
      <c r="C139" s="2" t="b">
        <f ca="1">IFERROR(__xludf.DUMMYFUNCTION("""COMPUTED_VALUE"""),FALSE)</f>
        <v>0</v>
      </c>
      <c r="D139" s="2">
        <f ca="1">IFERROR(__xludf.DUMMYFUNCTION("""COMPUTED_VALUE"""),300)</f>
        <v>300</v>
      </c>
      <c r="E139" s="2" t="str">
        <f ca="1">IFERROR(__xludf.DUMMYFUNCTION("""COMPUTED_VALUE"""),"Inspiration to Incubi, Superstar to Succubi")</f>
        <v>Inspiration to Incubi, Superstar to Succubi</v>
      </c>
      <c r="F139" s="2" t="str">
        <f ca="1">IFERROR(__xludf.DUMMYFUNCTION("""COMPUTED_VALUE"""),"Although Young People Recoil from Entering the Black Magic Industry...")</f>
        <v>Although Young People Recoil from Entering the Black Magic Industry...</v>
      </c>
      <c r="G139" s="2" t="str">
        <f ca="1">IFERROR(__xludf.DUMMYFUNCTION("""COMPUTED_VALUE"""),"Skills")</f>
        <v>Skills</v>
      </c>
      <c r="H139" s="2" t="str">
        <f ca="1">IFERROR(__xludf.DUMMYFUNCTION("""COMPUTED_VALUE"""),"In sex demon school, a succubus or incubus will learn how to give their partner so much pleasure that they’ll completely forget about all the women and/or men they ever cared about in the past. You have a level of sexual skill equal to a succubus or incub"&amp;"us valedictorian. You also have a comprehensive understanding of how to adapt sex acts to different species, as well as knowing how to make any given sex act more titillating to an audience without decreasing the pleasure it gives your partner or yourself"&amp;" . You do not, however, know the technique of how to give some one so much pleasure their soul flies out of their body.")</f>
        <v>In sex demon school, a succubus or incubus will learn how to give their partner so much pleasure that they’ll completely forget about all the women and/or men they ever cared about in the past. You have a level of sexual skill equal to a succubus or incubus valedictorian. You also have a comprehensive understanding of how to adapt sex acts to different species, as well as knowing how to make any given sex act more titillating to an audience without decreasing the pleasure it gives your partner or yourself . You do not, however, know the technique of how to give some one so much pleasure their soul flies out of their body.</v>
      </c>
      <c r="I139" s="5"/>
    </row>
    <row r="140" spans="1:10" ht="156.6" x14ac:dyDescent="0.25">
      <c r="A140" s="16"/>
      <c r="B140" s="17">
        <v>136</v>
      </c>
      <c r="C140" s="2" t="b">
        <f ca="1">IFERROR(__xludf.DUMMYFUNCTION("""COMPUTED_VALUE"""),FALSE)</f>
        <v>0</v>
      </c>
      <c r="D140" s="2">
        <f ca="1">IFERROR(__xludf.DUMMYFUNCTION("""COMPUTED_VALUE"""),300)</f>
        <v>300</v>
      </c>
      <c r="E140" s="2" t="str">
        <f ca="1">IFERROR(__xludf.DUMMYFUNCTION("""COMPUTED_VALUE"""),"King of the Campfire")</f>
        <v>King of the Campfire</v>
      </c>
      <c r="F140" s="2" t="str">
        <f ca="1">IFERROR(__xludf.DUMMYFUNCTION("""COMPUTED_VALUE"""),"Breathless Wild")</f>
        <v>Breathless Wild</v>
      </c>
      <c r="G140" s="2" t="str">
        <f ca="1">IFERROR(__xludf.DUMMYFUNCTION("""COMPUTED_VALUE"""),"Skills")</f>
        <v>Skills</v>
      </c>
      <c r="H140" s="2" t="str">
        <f ca="1">IFERROR(__xludf.DUMMYFUNCTION("""COMPUTED_VALUE"""),"Good quality food is hard to come by when you’re trekking through the wilderness or living off the land, or at least it is for most heroes. You’re a master chef who can make mouthwatering meals using the simplest ingredients. All you need to make steaks f"&amp;"it for a king is a cut of meat and an open flame, and you’re able to improvise all kinds of other meals with whatever random ingredients you scavenge from the wilderness. Eating anything you’ve cooked is the next best thing to sex, a nearly orgasmic exper"&amp;"ience certain to bring you closer together with anyone you happen to share it with, whether they’re adventuring companions or potential love interests. These skills also apply to any other forms of cooking you may have learned, such as making potions and "&amp;"elixirs using monster parts or other exotic ingredients.")</f>
        <v>Good quality food is hard to come by when you’re trekking through the wilderness or living off the land, or at least it is for most heroes. You’re a master chef who can make mouthwatering meals using the simplest ingredients. All you need to make steaks fit for a king is a cut of meat and an open flame, and you’re able to improvise all kinds of other meals with whatever random ingredients you scavenge from the wilderness. Eating anything you’ve cooked is the next best thing to sex, a nearly orgasmic experience certain to bring you closer together with anyone you happen to share it with, whether they’re adventuring companions or potential love interests. These skills also apply to any other forms of cooking you may have learned, such as making potions and elixirs using monster parts or other exotic ingredients.</v>
      </c>
      <c r="I140" s="5"/>
    </row>
    <row r="141" spans="1:10" ht="104.4" x14ac:dyDescent="0.25">
      <c r="A141" s="16"/>
      <c r="B141" s="17">
        <v>137</v>
      </c>
      <c r="C141" s="2" t="b">
        <f ca="1">IFERROR(__xludf.DUMMYFUNCTION("""COMPUTED_VALUE"""),FALSE)</f>
        <v>0</v>
      </c>
      <c r="D141" s="2">
        <f ca="1">IFERROR(__xludf.DUMMYFUNCTION("""COMPUTED_VALUE"""),300)</f>
        <v>300</v>
      </c>
      <c r="E141" s="2" t="str">
        <f ca="1">IFERROR(__xludf.DUMMYFUNCTION("""COMPUTED_VALUE"""),"Mechashift Crafter")</f>
        <v>Mechashift Crafter</v>
      </c>
      <c r="F141" s="2" t="str">
        <f ca="1">IFERROR(__xludf.DUMMYFUNCTION("""COMPUTED_VALUE"""),"LeWdBY")</f>
        <v>LeWdBY</v>
      </c>
      <c r="G141" s="2" t="str">
        <f ca="1">IFERROR(__xludf.DUMMYFUNCTION("""COMPUTED_VALUE"""),"Skills")</f>
        <v>Skills</v>
      </c>
      <c r="H141" s="2" t="str">
        <f ca="1">IFERROR(__xludf.DUMMYFUNCTION("""COMPUTED_VALUE"""),"All students at Signal craft their own weapons, but you went above and beyond in those classes. You understand everything about the transforming weapons that huntresses and huntsmen use, and know-how to engineer and forge any of them from scratch. You’ve "&amp;"also turned your study in a lewder direction, knowing how to make mechashift sex toys, everything from ben wa balls that unfold into something larger once inserted to making a dildo you can disguise as a weird looking toothbrush.")</f>
        <v>All students at Signal craft their own weapons, but you went above and beyond in those classes. You understand everything about the transforming weapons that huntresses and huntsmen use, and know-how to engineer and forge any of them from scratch. You’ve also turned your study in a lewder direction, knowing how to make mechashift sex toys, everything from ben wa balls that unfold into something larger once inserted to making a dildo you can disguise as a weird looking toothbrush.</v>
      </c>
      <c r="I141" s="5"/>
    </row>
    <row r="142" spans="1:10" ht="121.8" x14ac:dyDescent="0.25">
      <c r="A142" s="16"/>
      <c r="B142" s="17">
        <v>138</v>
      </c>
      <c r="C142" s="2" t="b">
        <f ca="1">IFERROR(__xludf.DUMMYFUNCTION("""COMPUTED_VALUE"""),FALSE)</f>
        <v>0</v>
      </c>
      <c r="D142" s="2">
        <f ca="1">IFERROR(__xludf.DUMMYFUNCTION("""COMPUTED_VALUE"""),300)</f>
        <v>300</v>
      </c>
      <c r="E142" s="2" t="str">
        <f ca="1">IFERROR(__xludf.DUMMYFUNCTION("""COMPUTED_VALUE"""),"Rape-Jitsu")</f>
        <v>Rape-Jitsu</v>
      </c>
      <c r="F142" s="2" t="str">
        <f ca="1">IFERROR(__xludf.DUMMYFUNCTION("""COMPUTED_VALUE"""),"Kamikaze Kommittee Ouka")</f>
        <v>Kamikaze Kommittee Ouka</v>
      </c>
      <c r="G142" s="2" t="str">
        <f ca="1">IFERROR(__xludf.DUMMYFUNCTION("""COMPUTED_VALUE"""),"Skills")</f>
        <v>Skills</v>
      </c>
      <c r="H142" s="2" t="str">
        <f ca="1">IFERROR(__xludf.DUMMYFUNCTION("""COMPUTED_VALUE"""),"Now you may be thinking, isn’t this just Erotic Grappling? Well, not really. This is literally taking the real martial arts of Jujutsu and adds certain abilities to it. For one, you are able to grapple, throw, and disrobe individuals in one or two moves. "&amp;"Another ability is to literally have the ability to rape an opponent in a pin or submission hold without anyone able to stop you. Seriously, they can hit and beat you all you want, but you won’t take any damage from it. As long as you are having sex (cons"&amp;"ensual or not) with your opponent, you literally cannot take physical damage from anyone around you.")</f>
        <v>Now you may be thinking, isn’t this just Erotic Grappling? Well, not really. This is literally taking the real martial arts of Jujutsu and adds certain abilities to it. For one, you are able to grapple, throw, and disrobe individuals in one or two moves. Another ability is to literally have the ability to rape an opponent in a pin or submission hold without anyone able to stop you. Seriously, they can hit and beat you all you want, but you won’t take any damage from it. As long as you are having sex (consensual or not) with your opponent, you literally cannot take physical damage from anyone around you.</v>
      </c>
      <c r="I142" s="5"/>
    </row>
    <row r="143" spans="1:10" ht="174" x14ac:dyDescent="0.25">
      <c r="A143" s="16"/>
      <c r="B143" s="17">
        <v>139</v>
      </c>
      <c r="C143" s="2" t="b">
        <f ca="1">IFERROR(__xludf.DUMMYFUNCTION("""COMPUTED_VALUE"""),FALSE)</f>
        <v>0</v>
      </c>
      <c r="D143" s="2">
        <f ca="1">IFERROR(__xludf.DUMMYFUNCTION("""COMPUTED_VALUE"""),300)</f>
        <v>300</v>
      </c>
      <c r="E143" s="2" t="str">
        <f ca="1">IFERROR(__xludf.DUMMYFUNCTION("""COMPUTED_VALUE"""),"Softly Spoken Big Stick")</f>
        <v>Softly Spoken Big Stick</v>
      </c>
      <c r="F143" s="2" t="str">
        <f ca="1">IFERROR(__xludf.DUMMYFUNCTION("""COMPUTED_VALUE"""),"Monster Girl Quest V2")</f>
        <v>Monster Girl Quest V2</v>
      </c>
      <c r="G143" s="2" t="str">
        <f ca="1">IFERROR(__xludf.DUMMYFUNCTION("""COMPUTED_VALUE"""),"Skills")</f>
        <v>Skills</v>
      </c>
      <c r="H143" s="2" t="str">
        <f ca="1">IFERROR(__xludf.DUMMYFUNCTION("""COMPUTED_VALUE"""),"A firm quarterstaff made of oak wood, this item may allow you to ease the burdens of Monsters in this world. When used as a weapon it is as durable as steel, and instead of damage it inflicts pleasure, slowly draining your opponent’s will to fight and abi"&amp;"lity to resist, particularly lethal strikes with this may even cause a mind numbing orgasm cascade to the target. It’s other use is that it acts as a symbol of peace and diplomacy, thus you can present yourself as a mediator in a situation to which others"&amp;" will listen. Wants such as hunger are dulled but not forgotten so that the parties involved will be able to make rational decisions about what you have to say. This does not make it any easier to convince someone but they will listen to you for as long a"&amp;"s you have something meaningful to say. This other use does not work if you are merely stalling for time by holding a parlay and is heavily based on benevolent or fair intent.")</f>
        <v>A firm quarterstaff made of oak wood, this item may allow you to ease the burdens of Monsters in this world. When used as a weapon it is as durable as steel, and instead of damage it inflicts pleasure, slowly draining your opponent’s will to fight and ability to resist, particularly lethal strikes with this may even cause a mind numbing orgasm cascade to the target. It’s other use is that it acts as a symbol of peace and diplomacy, thus you can present yourself as a mediator in a situation to which others will listen. Wants such as hunger are dulled but not forgotten so that the parties involved will be able to make rational decisions about what you have to say. This does not make it any easier to convince someone but they will listen to you for as long as you have something meaningful to say. This other use does not work if you are merely stalling for time by holding a parlay and is heavily based on benevolent or fair intent.</v>
      </c>
      <c r="I143" s="5"/>
    </row>
    <row r="144" spans="1:10" ht="226.2" x14ac:dyDescent="0.25">
      <c r="A144" s="16"/>
      <c r="B144" s="17">
        <v>140</v>
      </c>
      <c r="C144" s="2" t="b">
        <f ca="1">IFERROR(__xludf.DUMMYFUNCTION("""COMPUTED_VALUE"""),FALSE)</f>
        <v>0</v>
      </c>
      <c r="D144" s="2">
        <f ca="1">IFERROR(__xludf.DUMMYFUNCTION("""COMPUTED_VALUE"""),300)</f>
        <v>300</v>
      </c>
      <c r="E144" s="2" t="str">
        <f ca="1">IFERROR(__xludf.DUMMYFUNCTION("""COMPUTED_VALUE"""),"Virtual Persona")</f>
        <v>Virtual Persona</v>
      </c>
      <c r="F144" s="2" t="str">
        <f ca="1">IFERROR(__xludf.DUMMYFUNCTION("""COMPUTED_VALUE"""),"World of Cybersluts")</f>
        <v>World of Cybersluts</v>
      </c>
      <c r="G144" s="2" t="str">
        <f ca="1">IFERROR(__xludf.DUMMYFUNCTION("""COMPUTED_VALUE"""),"Skills")</f>
        <v>Skills</v>
      </c>
      <c r="H144" s="2" t="str">
        <f ca="1">IFERROR(__xludf.DUMMYFUNCTION("""COMPUTED_VALUE"""),"But this is the information age, the age of the Net. Why dance in some old club, when you could instead reach across cyberspace to ""entertain"" many more? You’re an expert in virtual shows, camming, and making your own porn. It barely matters for you if "&amp;"you’re doing it live or have your videos edited to perfection, you’re camera-ready at all times and can affect people at least as well through messages and videos as you could in person. Just your expressions and voice are more arousing than most people’s"&amp;" touches. 
Oddly, it also doesn’t seem to matter for you if you’re actually showing your real face on camera or using a digital avatar like an anime character. Your virtual avatars stick in people's minds just as well or even better than your actual appe"&amp;"arance. You could drive people crazy for you through VR interactions and thrill even the most jaded porn addicts with your videos. This comes bundled with some minor skill at going through several proxies, just to discourage any of your 'fans' from trying"&amp;" to find you in meatspace.")</f>
        <v>But this is the information age, the age of the Net. Why dance in some old club, when you could instead reach across cyberspace to "entertain" many more? You’re an expert in virtual shows, camming, and making your own porn. It barely matters for you if you’re doing it live or have your videos edited to perfection, you’re camera-ready at all times and can affect people at least as well through messages and videos as you could in person. Just your expressions and voice are more arousing than most people’s touches. 
Oddly, it also doesn’t seem to matter for you if you’re actually showing your real face on camera or using a digital avatar like an anime character. Your virtual avatars stick in people's minds just as well or even better than your actual appearance. You could drive people crazy for you through VR interactions and thrill even the most jaded porn addicts with your videos. This comes bundled with some minor skill at going through several proxies, just to discourage any of your 'fans' from trying to find you in meatspace.</v>
      </c>
      <c r="I144" s="5"/>
    </row>
    <row r="145" spans="1:9" ht="208.8" x14ac:dyDescent="0.25">
      <c r="A145" s="16"/>
      <c r="B145" s="17">
        <v>141</v>
      </c>
      <c r="C145" s="2" t="b">
        <f ca="1">IFERROR(__xludf.DUMMYFUNCTION("""COMPUTED_VALUE"""),FALSE)</f>
        <v>0</v>
      </c>
      <c r="D145" s="2">
        <f ca="1">IFERROR(__xludf.DUMMYFUNCTION("""COMPUTED_VALUE"""),300)</f>
        <v>300</v>
      </c>
      <c r="E145" s="2" t="str">
        <f ca="1">IFERROR(__xludf.DUMMYFUNCTION("""COMPUTED_VALUE"""),"Way of the Rope")</f>
        <v>Way of the Rope</v>
      </c>
      <c r="F145" s="2" t="str">
        <f ca="1">IFERROR(__xludf.DUMMYFUNCTION("""COMPUTED_VALUE"""),"Rope Master")</f>
        <v>Rope Master</v>
      </c>
      <c r="G145" s="2" t="str">
        <f ca="1">IFERROR(__xludf.DUMMYFUNCTION("""COMPUTED_VALUE"""),"Skills")</f>
        <v>Skills</v>
      </c>
      <c r="H145" s="2" t="str">
        <f ca="1">IFERROR(__xludf.DUMMYFUNCTION("""COMPUTED_VALUE"""),"Those who train in the ways of the rope masters learn to turn their skill at bondage into a weapon, making them every bit as capable on the battlefield as they are in the bedroom. You're a skilled fighter who wields ropes, whips, and other other tools of "&amp;"bondage with all the same strength and skill as an exorcist's blade. Empowered by your spiritual strength, you've mastered an arsenal of secret techniques and can do battle with superhuman enemies like ayakashi using your martial and magical skills as wel"&amp;"l as your considerable sexual prowess. Perhaps you bind your foes from a safe distance, laying traps and shaping the battlefield like a spider weaving his web around his victims, or perhaps you combine your ropework with martial arts so that every blow yo"&amp;"u land binds your enemy tighter and tighter until they're totally helpless to resist you. Fighting in this way torments your opponents with pain and pleasure, draining strength and magical power from them with each blow you strike, and should you bring an"&amp;" adversary to climax even the strongest foes won't be able to escape losing a good chunk of their strength in an explosion of orgasmic bliss.")</f>
        <v>Those who train in the ways of the rope masters learn to turn their skill at bondage into a weapon, making them every bit as capable on the battlefield as they are in the bedroom. You're a skilled fighter who wields ropes, whips, and other other tools of bondage with all the same strength and skill as an exorcist's blade. Empowered by your spiritual strength, you've mastered an arsenal of secret techniques and can do battle with superhuman enemies like ayakashi using your martial and magical skills as well as your considerable sexual prowess. Perhaps you bind your foes from a safe distance, laying traps and shaping the battlefield like a spider weaving his web around his victims, or perhaps you combine your ropework with martial arts so that every blow you land binds your enemy tighter and tighter until they're totally helpless to resist you. Fighting in this way torments your opponents with pain and pleasure, draining strength and magical power from them with each blow you strike, and should you bring an adversary to climax even the strongest foes won't be able to escape losing a good chunk of their strength in an explosion of orgasmic bliss.</v>
      </c>
      <c r="I145" s="5"/>
    </row>
    <row r="146" spans="1:9" ht="243.6" x14ac:dyDescent="0.25">
      <c r="A146" s="16"/>
      <c r="B146" s="17">
        <v>142</v>
      </c>
      <c r="C146" s="2" t="b">
        <f ca="1">IFERROR(__xludf.DUMMYFUNCTION("""COMPUTED_VALUE"""),FALSE)</f>
        <v>0</v>
      </c>
      <c r="D146" s="2">
        <f ca="1">IFERROR(__xludf.DUMMYFUNCTION("""COMPUTED_VALUE"""),300)</f>
        <v>300</v>
      </c>
      <c r="E146" s="2" t="str">
        <f ca="1">IFERROR(__xludf.DUMMYFUNCTION("""COMPUTED_VALUE"""),"Wetwork Whore")</f>
        <v>Wetwork Whore</v>
      </c>
      <c r="F146" s="2" t="str">
        <f ca="1">IFERROR(__xludf.DUMMYFUNCTION("""COMPUTED_VALUE"""),"World of Cybersluts")</f>
        <v>World of Cybersluts</v>
      </c>
      <c r="G146" s="2" t="str">
        <f ca="1">IFERROR(__xludf.DUMMYFUNCTION("""COMPUTED_VALUE"""),"Skills")</f>
        <v>Skills</v>
      </c>
      <c r="H146" s="2" t="str">
        <f ca="1">IFERROR(__xludf.DUMMYFUNCTION("""COMPUTED_VALUE"""),"For every good runner, there’s a dozen amateurs who won’t last a month in the business. You’re not just one of the bright-eyed rookies looking to get into the mercenary and shadow operations business, you’ve got the skills and experience of an actual runn"&amp;"er. 
Stealth, infiltration, combat... You’ve got it all, along with a toned and athletic body. How to hide yourself and the evidence of your trysts. How to sell a disguise as a whore or a stripper (you’d be surprised how many places you can get into like"&amp;" that). How much skin to show for maximum distraction, while still retaining some functional armour. 
Martial arts and acrobatics that could double as erotic dances, plus enough practice with them to know exactly when to flash an opponent for an opportun"&amp;"ity in a fight. You’re a crack shot and equally adept at wielding both katanas and oversized sextoys. Most importantly, your training has also given you the stamina to amaze anyone you get in bed with, not to mention abs you could grate faux-cheese on and"&amp;" an ass you bounce a neo-quarter off.")</f>
        <v>For every good runner, there’s a dozen amateurs who won’t last a month in the business. You’re not just one of the bright-eyed rookies looking to get into the mercenary and shadow operations business, you’ve got the skills and experience of an actual runner. 
Stealth, infiltration, combat... You’ve got it all, along with a toned and athletic body. How to hide yourself and the evidence of your trysts. How to sell a disguise as a whore or a stripper (you’d be surprised how many places you can get into like that). How much skin to show for maximum distraction, while still retaining some functional armour. 
Martial arts and acrobatics that could double as erotic dances, plus enough practice with them to know exactly when to flash an opponent for an opportunity in a fight. You’re a crack shot and equally adept at wielding both katanas and oversized sextoys. Most importantly, your training has also given you the stamina to amaze anyone you get in bed with, not to mention abs you could grate faux-cheese on and an ass you bounce a neo-quarter off.</v>
      </c>
      <c r="I146" s="5"/>
    </row>
    <row r="147" spans="1:9" ht="121.8" x14ac:dyDescent="0.25">
      <c r="A147" s="16"/>
      <c r="B147" s="17">
        <v>143</v>
      </c>
      <c r="C147" s="2" t="b">
        <f ca="1">IFERROR(__xludf.DUMMYFUNCTION("""COMPUTED_VALUE"""),FALSE)</f>
        <v>0</v>
      </c>
      <c r="D147" s="2">
        <f ca="1">IFERROR(__xludf.DUMMYFUNCTION("""COMPUTED_VALUE"""),400)</f>
        <v>400</v>
      </c>
      <c r="E147" s="2" t="str">
        <f ca="1">IFERROR(__xludf.DUMMYFUNCTION("""COMPUTED_VALUE"""),"""Sex Toy Savant""")</f>
        <v>"Sex Toy Savant"</v>
      </c>
      <c r="F147" s="2" t="str">
        <f ca="1">IFERROR(__xludf.DUMMYFUNCTION("""COMPUTED_VALUE"""),"Generic: Casual Sex World")</f>
        <v>Generic: Casual Sex World</v>
      </c>
      <c r="G147" s="2" t="str">
        <f ca="1">IFERROR(__xludf.DUMMYFUNCTION("""COMPUTED_VALUE"""),"Skills")</f>
        <v>Skills</v>
      </c>
      <c r="H147" s="2" t="str">
        <f ca="1">IFERROR(__xludf.DUMMYFUNCTION("""COMPUTED_VALUE"""),"In an era of sciences beyond our wildest dreams, sciences we cannot even conceive in a modern mindset, the perverted make advances like everyone else. You friend, are a pervert, but a genius one. You use the cutting edge technology of your era to make sex"&amp;" machines and toys that boggle the mind with complexity. Holographic memory vibrators conforming to inner walls, body hugging sex chambers that directly please the nervous system with electrical pulses and even lifelike androids are included in your portf"&amp;"olio of inventions. Your technical genius seems to fall short when not working to perverted ends, but still gives you a leg up when trying to figure out new tech.")</f>
        <v>In an era of sciences beyond our wildest dreams, sciences we cannot even conceive in a modern mindset, the perverted make advances like everyone else. You friend, are a pervert, but a genius one. You use the cutting edge technology of your era to make sex machines and toys that boggle the mind with complexity. Holographic memory vibrators conforming to inner walls, body hugging sex chambers that directly please the nervous system with electrical pulses and even lifelike androids are included in your portfolio of inventions. Your technical genius seems to fall short when not working to perverted ends, but still gives you a leg up when trying to figure out new tech.</v>
      </c>
      <c r="I147" s="5"/>
    </row>
    <row r="148" spans="1:9" ht="156.6" x14ac:dyDescent="0.25">
      <c r="A148" s="16"/>
      <c r="B148" s="17">
        <v>144</v>
      </c>
      <c r="C148" s="2" t="b">
        <f ca="1">IFERROR(__xludf.DUMMYFUNCTION("""COMPUTED_VALUE"""),FALSE)</f>
        <v>0</v>
      </c>
      <c r="D148" s="2">
        <f ca="1">IFERROR(__xludf.DUMMYFUNCTION("""COMPUTED_VALUE"""),400)</f>
        <v>400</v>
      </c>
      <c r="E148" s="2" t="str">
        <f ca="1">IFERROR(__xludf.DUMMYFUNCTION("""COMPUTED_VALUE"""),"A Spark of Madness")</f>
        <v>A Spark of Madness</v>
      </c>
      <c r="F148" s="2" t="str">
        <f ca="1">IFERROR(__xludf.DUMMYFUNCTION("""COMPUTED_VALUE"""),"World of Tentacles")</f>
        <v>World of Tentacles</v>
      </c>
      <c r="G148" s="2" t="str">
        <f ca="1">IFERROR(__xludf.DUMMYFUNCTION("""COMPUTED_VALUE"""),"Skills")</f>
        <v>Skills</v>
      </c>
      <c r="H148" s="2" t="str">
        <f ca="1">IFERROR(__xludf.DUMMYFUNCTION("""COMPUTED_VALUE"""),"Greatness does not spring from mundane roots. The greatest geniuses are also madmen willing to spit in the face of common sense, and you have that spark of madness in you. Within your mind is a perverse wellspring of inspiration, and by immersing yourself"&amp;" in it you gain superhuman focus and the ability to ignore your basic biological needs such as food or sleep or similar things that might distract you from the task at hand, though you will need to recoup all of your “debts” once that task is complete. Th"&amp;"e products of this “Madness Place” will tend to be skewed towards perverse uses in one way or another, but they will always be highly effective at their intended purpose. You also gain an impressive maniacal laugh, as well as the ability TO DRAMATICALLY E"&amp;"MPHASIZE YOUR WORDS!!!! and still be taken seriously.")</f>
        <v>Greatness does not spring from mundane roots. The greatest geniuses are also madmen willing to spit in the face of common sense, and you have that spark of madness in you. Within your mind is a perverse wellspring of inspiration, and by immersing yourself in it you gain superhuman focus and the ability to ignore your basic biological needs such as food or sleep or similar things that might distract you from the task at hand, though you will need to recoup all of your “debts” once that task is complete. The products of this “Madness Place” will tend to be skewed towards perverse uses in one way or another, but they will always be highly effective at their intended purpose. You also gain an impressive maniacal laugh, as well as the ability TO DRAMATICALLY EMPHASIZE YOUR WORDS!!!! and still be taken seriously.</v>
      </c>
      <c r="I148" s="5"/>
    </row>
    <row r="149" spans="1:9" ht="121.8" x14ac:dyDescent="0.25">
      <c r="A149" s="16"/>
      <c r="B149" s="17">
        <v>145</v>
      </c>
      <c r="C149" s="2" t="b">
        <f ca="1">IFERROR(__xludf.DUMMYFUNCTION("""COMPUTED_VALUE"""),FALSE)</f>
        <v>0</v>
      </c>
      <c r="D149" s="2">
        <f ca="1">IFERROR(__xludf.DUMMYFUNCTION("""COMPUTED_VALUE"""),400)</f>
        <v>400</v>
      </c>
      <c r="E149" s="2" t="str">
        <f ca="1">IFERROR(__xludf.DUMMYFUNCTION("""COMPUTED_VALUE"""),"Advanced Footwork")</f>
        <v>Advanced Footwork</v>
      </c>
      <c r="F149" s="2" t="str">
        <f ca="1">IFERROR(__xludf.DUMMYFUNCTION("""COMPUTED_VALUE"""),"Ashigei Shoujo Komura-san")</f>
        <v>Ashigei Shoujo Komura-san</v>
      </c>
      <c r="G149" s="2" t="str">
        <f ca="1">IFERROR(__xludf.DUMMYFUNCTION("""COMPUTED_VALUE"""),"Skills")</f>
        <v>Skills</v>
      </c>
      <c r="H149" s="2" t="str">
        <f ca="1">IFERROR(__xludf.DUMMYFUNCTION("""COMPUTED_VALUE"""),"Only now could you consider yourself the equal of someone like Komura. Perhaps you’re even a member of the same lineage? You can do more with one foot than most people could with both hands. You could comfortably go your whole life without ever using your"&amp;" hands, and barely notice. Your feet have the grip to not only hold a baseball bat, but consistently hit home runs with it, the precision to use a whip with pinpoint accuracy, the balance to spend hours on a tightrope, and flexibility rivaling that of pro"&amp;"fessional contortionists. Your general athleticism boggles the mind, allowing you to excel in almost any sport you try your hand… er, foot at. ")</f>
        <v xml:space="preserve">Only now could you consider yourself the equal of someone like Komura. Perhaps you’re even a member of the same lineage? You can do more with one foot than most people could with both hands. You could comfortably go your whole life without ever using your hands, and barely notice. Your feet have the grip to not only hold a baseball bat, but consistently hit home runs with it, the precision to use a whip with pinpoint accuracy, the balance to spend hours on a tightrope, and flexibility rivaling that of professional contortionists. Your general athleticism boggles the mind, allowing you to excel in almost any sport you try your hand… er, foot at. </v>
      </c>
      <c r="I149" s="5"/>
    </row>
    <row r="150" spans="1:9" ht="69.599999999999994" x14ac:dyDescent="0.25">
      <c r="A150" s="16"/>
      <c r="B150" s="17">
        <v>146</v>
      </c>
      <c r="C150" s="2" t="b">
        <f ca="1">IFERROR(__xludf.DUMMYFUNCTION("""COMPUTED_VALUE"""),FALSE)</f>
        <v>0</v>
      </c>
      <c r="D150" s="2">
        <f ca="1">IFERROR(__xludf.DUMMYFUNCTION("""COMPUTED_VALUE"""),400)</f>
        <v>400</v>
      </c>
      <c r="E150" s="2" t="str">
        <f ca="1">IFERROR(__xludf.DUMMYFUNCTION("""COMPUTED_VALUE"""),"An Adult's Technique")</f>
        <v>An Adult's Technique</v>
      </c>
      <c r="F150" s="2" t="str">
        <f ca="1">IFERROR(__xludf.DUMMYFUNCTION("""COMPUTED_VALUE"""),"Ashigei Shoujo Komura-san")</f>
        <v>Ashigei Shoujo Komura-san</v>
      </c>
      <c r="G150" s="2" t="str">
        <f ca="1">IFERROR(__xludf.DUMMYFUNCTION("""COMPUTED_VALUE"""),"Skills")</f>
        <v>Skills</v>
      </c>
      <c r="H150" s="2" t="str">
        <f ca="1">IFERROR(__xludf.DUMMYFUNCTION("""COMPUTED_VALUE"""),"A more advanced technique of the Komurai lineage, but one useful both for romance and self defense. You are able to use your kicks to precisely strike the pressure points of another person, causing their physical sensitivity to skyrocket. It only takes a "&amp;"light tap on an unresisting target, but this can also be used in combat to incapacitate a weak-willed opponent.")</f>
        <v>A more advanced technique of the Komurai lineage, but one useful both for romance and self defense. You are able to use your kicks to precisely strike the pressure points of another person, causing their physical sensitivity to skyrocket. It only takes a light tap on an unresisting target, but this can also be used in combat to incapacitate a weak-willed opponent.</v>
      </c>
      <c r="I150" s="5"/>
    </row>
    <row r="151" spans="1:9" ht="52.2" x14ac:dyDescent="0.25">
      <c r="A151" s="16"/>
      <c r="B151" s="17">
        <v>147</v>
      </c>
      <c r="C151" s="2" t="b">
        <f ca="1">IFERROR(__xludf.DUMMYFUNCTION("""COMPUTED_VALUE"""),FALSE)</f>
        <v>0</v>
      </c>
      <c r="D151" s="2">
        <f ca="1">IFERROR(__xludf.DUMMYFUNCTION("""COMPUTED_VALUE"""),400)</f>
        <v>400</v>
      </c>
      <c r="E151" s="2" t="str">
        <f ca="1">IFERROR(__xludf.DUMMYFUNCTION("""COMPUTED_VALUE"""),"Anal-ysis")</f>
        <v>Anal-ysis</v>
      </c>
      <c r="F151" s="2" t="str">
        <f ca="1">IFERROR(__xludf.DUMMYFUNCTION("""COMPUTED_VALUE"""),"Winger’s World")</f>
        <v>Winger’s World</v>
      </c>
      <c r="G151" s="2" t="str">
        <f ca="1">IFERROR(__xludf.DUMMYFUNCTION("""COMPUTED_VALUE"""),"Skills")</f>
        <v>Skills</v>
      </c>
      <c r="H151" s="2" t="str">
        <f ca="1">IFERROR(__xludf.DUMMYFUNCTION("""COMPUTED_VALUE"""),"Doesn’t the pursuit of knowledge just get you so hot? The study of new technology. Learning a new spell. Or just figuring out how one works. Now, the more aroused you are, the easier it is for you to understand how a piece of machinery or a spell works.")</f>
        <v>Doesn’t the pursuit of knowledge just get you so hot? The study of new technology. Learning a new spell. Or just figuring out how one works. Now, the more aroused you are, the easier it is for you to understand how a piece of machinery or a spell works.</v>
      </c>
      <c r="I151" s="5"/>
    </row>
    <row r="152" spans="1:9" ht="261" x14ac:dyDescent="0.25">
      <c r="A152" s="16"/>
      <c r="B152" s="17">
        <v>148</v>
      </c>
      <c r="C152" s="2" t="b">
        <f ca="1">IFERROR(__xludf.DUMMYFUNCTION("""COMPUTED_VALUE"""),FALSE)</f>
        <v>0</v>
      </c>
      <c r="D152" s="2">
        <f ca="1">IFERROR(__xludf.DUMMYFUNCTION("""COMPUTED_VALUE"""),400)</f>
        <v>400</v>
      </c>
      <c r="E152" s="2" t="str">
        <f ca="1">IFERROR(__xludf.DUMMYFUNCTION("""COMPUTED_VALUE"""),"Battle Angel")</f>
        <v>Battle Angel</v>
      </c>
      <c r="F152" s="2" t="str">
        <f ca="1">IFERROR(__xludf.DUMMYFUNCTION("""COMPUTED_VALUE"""),"Tifa Lockhart - Agent of Avalanche")</f>
        <v>Tifa Lockhart - Agent of Avalanche</v>
      </c>
      <c r="G152" s="2" t="str">
        <f ca="1">IFERROR(__xludf.DUMMYFUNCTION("""COMPUTED_VALUE"""),"Skills")</f>
        <v>Skills</v>
      </c>
      <c r="H152" s="2" t="str">
        <f ca="1">IFERROR(__xludf.DUMMYFUNCTION("""COMPUTED_VALUE"""),"You might not appreciate all the attention your beauty gets you, but if people insist on leering at you then you may as well exploit it for all it’s worth. The way you fight is effortlessly sexy and extremely distracting to your enemies, preventing them f"&amp;"rom fighting at their best unless they come at you with no intent to kill. 
Whether you’re doing acrobatic assaults that make your tits bounce invitingly or high kicks that flash your panties at everyone in line of sight, your fantastic looks are dazzlin"&amp;"g enough to make it almost impossible to draw a bead on you with lethal intent. You can brawl with a dozen soldiers at once or effortlessly dance through a hail of gunfire and come out without a hair out of place as long as your enemies insist on trying t"&amp;"o kill or maim you, although if they decide they’d rather capture or have their way with you then this sexy distraction will cease to be of any help to you. 
Enemies without a libido, such as robots, are also immune to this effect. On the bright side, an"&amp;"ybody who exploits this weakness won’t suddenly change their minds and execute you once they knock you out or tie you up no matter how much they might normally want to.")</f>
        <v>You might not appreciate all the attention your beauty gets you, but if people insist on leering at you then you may as well exploit it for all it’s worth. The way you fight is effortlessly sexy and extremely distracting to your enemies, preventing them from fighting at their best unless they come at you with no intent to kill. 
Whether you’re doing acrobatic assaults that make your tits bounce invitingly or high kicks that flash your panties at everyone in line of sight, your fantastic looks are dazzling enough to make it almost impossible to draw a bead on you with lethal intent. You can brawl with a dozen soldiers at once or effortlessly dance through a hail of gunfire and come out without a hair out of place as long as your enemies insist on trying to kill or maim you, although if they decide they’d rather capture or have their way with you then this sexy distraction will cease to be of any help to you. 
Enemies without a libido, such as robots, are also immune to this effect. On the bright side, anybody who exploits this weakness won’t suddenly change their minds and execute you once they knock you out or tie you up no matter how much they might normally want to.</v>
      </c>
      <c r="I152" s="5"/>
    </row>
    <row r="153" spans="1:9" ht="226.2" x14ac:dyDescent="0.25">
      <c r="A153" s="16"/>
      <c r="B153" s="17">
        <v>149</v>
      </c>
      <c r="C153" s="2" t="b">
        <f ca="1">IFERROR(__xludf.DUMMYFUNCTION("""COMPUTED_VALUE"""),FALSE)</f>
        <v>0</v>
      </c>
      <c r="D153" s="2">
        <f ca="1">IFERROR(__xludf.DUMMYFUNCTION("""COMPUTED_VALUE"""),400)</f>
        <v>400</v>
      </c>
      <c r="E153" s="2" t="str">
        <f ca="1">IFERROR(__xludf.DUMMYFUNCTION("""COMPUTED_VALUE"""),"Cunning Linguistics")</f>
        <v>Cunning Linguistics</v>
      </c>
      <c r="F153" s="2" t="str">
        <f ca="1">IFERROR(__xludf.DUMMYFUNCTION("""COMPUTED_VALUE"""),"Generic: Lewd Shipgirls")</f>
        <v>Generic: Lewd Shipgirls</v>
      </c>
      <c r="G153" s="2" t="str">
        <f ca="1">IFERROR(__xludf.DUMMYFUNCTION("""COMPUTED_VALUE"""),"Skills")</f>
        <v>Skills</v>
      </c>
      <c r="H153" s="2" t="str">
        <f ca="1">IFERROR(__xludf.DUMMYFUNCTION("""COMPUTED_VALUE"""),"Codebreaking is one of the things most commanders never think about until after they’ve found out how much the enemy has managed to decrypt. Fortunately, you’re a good code-talker. You can hide a request for a booty call in a perfectly innocent conversati"&amp;"on about the construction progress on the new warehouse on base. No subtext, no prearranged code words, no stenographic pattern to find when running records through audio analysis software. Just ordinary talk. You can also do the inverse, hiding a conspir"&amp;"atorial conversation in orgasmic moaning and dirty talk. It works over radio, too.
Of course, the other parties in your secret conversation need to be able to understand you, so they get a temporary copy of this. You can exclude someone present and invol"&amp;"ved in the “normal” conversation from the hidden conversation, and evesdroppers are excluded by default. 
You’re also good with your tongue in sexy ways, ascending several levels of skill in oral sex.")</f>
        <v>Codebreaking is one of the things most commanders never think about until after they’ve found out how much the enemy has managed to decrypt. Fortunately, you’re a good code-talker. You can hide a request for a booty call in a perfectly innocent conversation about the construction progress on the new warehouse on base. No subtext, no prearranged code words, no stenographic pattern to find when running records through audio analysis software. Just ordinary talk. You can also do the inverse, hiding a conspiratorial conversation in orgasmic moaning and dirty talk. It works over radio, too.
Of course, the other parties in your secret conversation need to be able to understand you, so they get a temporary copy of this. You can exclude someone present and involved in the “normal” conversation from the hidden conversation, and evesdroppers are excluded by default. 
You’re also good with your tongue in sexy ways, ascending several levels of skill in oral sex.</v>
      </c>
      <c r="I153" s="5"/>
    </row>
    <row r="154" spans="1:9" ht="87" x14ac:dyDescent="0.25">
      <c r="A154" s="16"/>
      <c r="B154" s="17">
        <v>150</v>
      </c>
      <c r="C154" s="2" t="b">
        <f ca="1">IFERROR(__xludf.DUMMYFUNCTION("""COMPUTED_VALUE"""),FALSE)</f>
        <v>0</v>
      </c>
      <c r="D154" s="2">
        <f ca="1">IFERROR(__xludf.DUMMYFUNCTION("""COMPUTED_VALUE"""),400)</f>
        <v>400</v>
      </c>
      <c r="E154" s="2" t="str">
        <f ca="1">IFERROR(__xludf.DUMMYFUNCTION("""COMPUTED_VALUE"""),"Demonic Delights")</f>
        <v>Demonic Delights</v>
      </c>
      <c r="F154" s="2" t="str">
        <f ca="1">IFERROR(__xludf.DUMMYFUNCTION("""COMPUTED_VALUE"""),"Monster Girl Dreams 1.3 - The Pre-Capitol Update")</f>
        <v>Monster Girl Dreams 1.3 - The Pre-Capitol Update</v>
      </c>
      <c r="G154" s="2" t="str">
        <f ca="1">IFERROR(__xludf.DUMMYFUNCTION("""COMPUTED_VALUE"""),"Skills")</f>
        <v>Skills</v>
      </c>
      <c r="H154" s="2" t="str">
        <f ca="1">IFERROR(__xludf.DUMMYFUNCTION("""COMPUTED_VALUE"""),"Even if you’re not a succubus outright, pretty much every monster girl has a little sex-demon blood in them, and in you that blood runs thick indeed. As long as it has something to do with sex, you’ll find yourself naturally talented at it, from lewd spel"&amp;"ls and potions, to seduction, to the actual act itself. Even if you are completely inexperienced, you could give someone a night that they won’t forget for a long time to come.")</f>
        <v>Even if you’re not a succubus outright, pretty much every monster girl has a little sex-demon blood in them, and in you that blood runs thick indeed. As long as it has something to do with sex, you’ll find yourself naturally talented at it, from lewd spells and potions, to seduction, to the actual act itself. Even if you are completely inexperienced, you could give someone a night that they won’t forget for a long time to come.</v>
      </c>
      <c r="I154" s="5"/>
    </row>
    <row r="155" spans="1:9" ht="174" x14ac:dyDescent="0.25">
      <c r="A155" s="16"/>
      <c r="B155" s="17">
        <v>151</v>
      </c>
      <c r="C155" s="2" t="b">
        <f ca="1">IFERROR(__xludf.DUMMYFUNCTION("""COMPUTED_VALUE"""),FALSE)</f>
        <v>0</v>
      </c>
      <c r="D155" s="2">
        <f ca="1">IFERROR(__xludf.DUMMYFUNCTION("""COMPUTED_VALUE"""),400)</f>
        <v>400</v>
      </c>
      <c r="E155" s="2" t="str">
        <f ca="1">IFERROR(__xludf.DUMMYFUNCTION("""COMPUTED_VALUE"""),"Friendly Neighbourhood Rapist")</f>
        <v>Friendly Neighbourhood Rapist</v>
      </c>
      <c r="F155" s="2" t="str">
        <f ca="1">IFERROR(__xludf.DUMMYFUNCTION("""COMPUTED_VALUE"""),"Naruto Blacked")</f>
        <v>Naruto Blacked</v>
      </c>
      <c r="G155" s="2" t="str">
        <f ca="1">IFERROR(__xludf.DUMMYFUNCTION("""COMPUTED_VALUE"""),"Skills")</f>
        <v>Skills</v>
      </c>
      <c r="H155" s="2" t="str">
        <f ca="1">IFERROR(__xludf.DUMMYFUNCTION("""COMPUTED_VALUE"""),"Despite being ninja a lot of the locals don’t seem to understand how stealth works, from that one loud kid in the orange jacket to those two weirdos in bright green spandex. You’d think a massive guy like you would have his own problems with stealth, but "&amp;"you’re highly skilled at disguising exactly how dangerous you are. Not only can you be perfectly silent when the need arises, just like any good ninja, you can also hide your presence and power to make yourself seem like a harmless bystander instead of a "&amp;"deadly assassin or an apex sexual predator. Unless you’re incredibly careless other men will simply fail to notice the threats you pose to their relationships until it’s far too late, whether they’re failing to suspect that their wives may have ulterior m"&amp;"otives for hiring the same strapping young genin over to “clean the house” again and again, or sleeping through the festivities as you impregnate their daughters on the other side of a paper-thin wall.")</f>
        <v>Despite being ninja a lot of the locals don’t seem to understand how stealth works, from that one loud kid in the orange jacket to those two weirdos in bright green spandex. You’d think a massive guy like you would have his own problems with stealth, but you’re highly skilled at disguising exactly how dangerous you are. Not only can you be perfectly silent when the need arises, just like any good ninja, you can also hide your presence and power to make yourself seem like a harmless bystander instead of a deadly assassin or an apex sexual predator. Unless you’re incredibly careless other men will simply fail to notice the threats you pose to their relationships until it’s far too late, whether they’re failing to suspect that their wives may have ulterior motives for hiring the same strapping young genin over to “clean the house” again and again, or sleeping through the festivities as you impregnate their daughters on the other side of a paper-thin wall.</v>
      </c>
      <c r="I155" s="5"/>
    </row>
    <row r="156" spans="1:9" ht="87" x14ac:dyDescent="0.25">
      <c r="A156" s="16"/>
      <c r="B156" s="17">
        <v>152</v>
      </c>
      <c r="C156" s="2" t="b">
        <f ca="1">IFERROR(__xludf.DUMMYFUNCTION("""COMPUTED_VALUE"""),FALSE)</f>
        <v>0</v>
      </c>
      <c r="D156" s="2">
        <f ca="1">IFERROR(__xludf.DUMMYFUNCTION("""COMPUTED_VALUE"""),400)</f>
        <v>400</v>
      </c>
      <c r="E156" s="2" t="str">
        <f ca="1">IFERROR(__xludf.DUMMYFUNCTION("""COMPUTED_VALUE"""),"Fucking and Fighting")</f>
        <v>Fucking and Fighting</v>
      </c>
      <c r="F156" s="2" t="str">
        <f ca="1">IFERROR(__xludf.DUMMYFUNCTION("""COMPUTED_VALUE"""),"Gun Tribe")</f>
        <v>Gun Tribe</v>
      </c>
      <c r="G156" s="2" t="str">
        <f ca="1">IFERROR(__xludf.DUMMYFUNCTION("""COMPUTED_VALUE"""),"Skills")</f>
        <v>Skills</v>
      </c>
      <c r="H156" s="2" t="str">
        <f ca="1">IFERROR(__xludf.DUMMYFUNCTION("""COMPUTED_VALUE"""),"Sure, it’s fun to get down and dirty with someone, but that’s just leaving you open to a sneak attack. That’s why you’re always aware of your surroundings, even in the middle of an orgasm. You could react to a surprise attack during sex—and even keep figh"&amp;"ting while you’re balls-deep in your partner. It might swing them around a bit, and there’s no guarantee they’ll be happy with you, but it won’t detract from your ability to battle.")</f>
        <v>Sure, it’s fun to get down and dirty with someone, but that’s just leaving you open to a sneak attack. That’s why you’re always aware of your surroundings, even in the middle of an orgasm. You could react to a surprise attack during sex—and even keep fighting while you’re balls-deep in your partner. It might swing them around a bit, and there’s no guarantee they’ll be happy with you, but it won’t detract from your ability to battle.</v>
      </c>
      <c r="I156" s="5"/>
    </row>
    <row r="157" spans="1:9" ht="139.19999999999999" x14ac:dyDescent="0.25">
      <c r="A157" s="16"/>
      <c r="B157" s="17">
        <v>153</v>
      </c>
      <c r="C157" s="2" t="b">
        <f ca="1">IFERROR(__xludf.DUMMYFUNCTION("""COMPUTED_VALUE"""),FALSE)</f>
        <v>0</v>
      </c>
      <c r="D157" s="2">
        <f ca="1">IFERROR(__xludf.DUMMYFUNCTION("""COMPUTED_VALUE"""),400)</f>
        <v>400</v>
      </c>
      <c r="E157" s="2" t="str">
        <f ca="1">IFERROR(__xludf.DUMMYFUNCTION("""COMPUTED_VALUE"""),"Getting your Hands Dirty")</f>
        <v>Getting your Hands Dirty</v>
      </c>
      <c r="F157" s="2" t="str">
        <f ca="1">IFERROR(__xludf.DUMMYFUNCTION("""COMPUTED_VALUE"""),"Angel Academy ~ Hardcore Dorm Sex Life")</f>
        <v>Angel Academy ~ Hardcore Dorm Sex Life</v>
      </c>
      <c r="G157" s="2" t="str">
        <f ca="1">IFERROR(__xludf.DUMMYFUNCTION("""COMPUTED_VALUE"""),"Skills")</f>
        <v>Skills</v>
      </c>
      <c r="H157" s="2" t="str">
        <f ca="1">IFERROR(__xludf.DUMMYFUNCTION("""COMPUTED_VALUE"""),"Most of your partners don’t need to be blackmailed into doing what you want but it can’t hurt to have leverage over the few who do. You’ve got a knack for acquiring dirt on other people, especially dirt with a sexual context. As long as you have a camera "&amp;"or other recording device on hand you’ll automatically obtain incriminating information as it occurs around you, and you can tell instinctively when you’ve got something juicy enough to guarantee that your target will cooperate with you instead of calling"&amp;" your bluff or going to the authorities. Naturally the sexual favors you can extort out of them can then be used as even more blackmail, so once you’ve got them under your thumb they’re never getting out again.")</f>
        <v>Most of your partners don’t need to be blackmailed into doing what you want but it can’t hurt to have leverage over the few who do. You’ve got a knack for acquiring dirt on other people, especially dirt with a sexual context. As long as you have a camera or other recording device on hand you’ll automatically obtain incriminating information as it occurs around you, and you can tell instinctively when you’ve got something juicy enough to guarantee that your target will cooperate with you instead of calling your bluff or going to the authorities. Naturally the sexual favors you can extort out of them can then be used as even more blackmail, so once you’ve got them under your thumb they’re never getting out again.</v>
      </c>
      <c r="I157" s="5"/>
    </row>
    <row r="158" spans="1:9" ht="156.6" x14ac:dyDescent="0.25">
      <c r="A158" s="16"/>
      <c r="B158" s="17">
        <v>154</v>
      </c>
      <c r="C158" s="2" t="b">
        <f ca="1">IFERROR(__xludf.DUMMYFUNCTION("""COMPUTED_VALUE"""),FALSE)</f>
        <v>0</v>
      </c>
      <c r="D158" s="2">
        <f ca="1">IFERROR(__xludf.DUMMYFUNCTION("""COMPUTED_VALUE"""),400)</f>
        <v>400</v>
      </c>
      <c r="E158" s="2" t="str">
        <f ca="1">IFERROR(__xludf.DUMMYFUNCTION("""COMPUTED_VALUE"""),"Globalize Harlotry")</f>
        <v>Globalize Harlotry</v>
      </c>
      <c r="F158" s="2" t="str">
        <f ca="1">IFERROR(__xludf.DUMMYFUNCTION("""COMPUTED_VALUE"""),"Shiritsu Risshin Gakuen")</f>
        <v>Shiritsu Risshin Gakuen</v>
      </c>
      <c r="G158" s="2" t="str">
        <f ca="1">IFERROR(__xludf.DUMMYFUNCTION("""COMPUTED_VALUE"""),"Skills")</f>
        <v>Skills</v>
      </c>
      <c r="H158" s="2" t="str">
        <f ca="1">IFERROR(__xludf.DUMMYFUNCTION("""COMPUTED_VALUE"""),"You are the epitome of a well-traveled individual. Everywhere you go, you will be able to learn the language, culture, and even the small nuances of a society with just a momentary glance and a short conversation with a native. But that’s just the beginni"&amp;"ng of your abilities, Master/Madame. With that understanding comes the ability to blend into that society as if you were born into it. You can adopt their mannerisms, slang, and even religious connotations. Any native that comes across you will believe yo"&amp;"u were a native of the society, even when you look different. Visiting a rather prudish and sexually repressive culture? Well, with this perk you are able to subtly shift their perception and perspective of sexual activity to mimic your own preferences. S"&amp;"ure, it’s just temporary for while you are visiting, but that’s long enough to have some fun.")</f>
        <v>You are the epitome of a well-traveled individual. Everywhere you go, you will be able to learn the language, culture, and even the small nuances of a society with just a momentary glance and a short conversation with a native. But that’s just the beginning of your abilities, Master/Madame. With that understanding comes the ability to blend into that society as if you were born into it. You can adopt their mannerisms, slang, and even religious connotations. Any native that comes across you will believe you were a native of the society, even when you look different. Visiting a rather prudish and sexually repressive culture? Well, with this perk you are able to subtly shift their perception and perspective of sexual activity to mimic your own preferences. Sure, it’s just temporary for while you are visiting, but that’s long enough to have some fun.</v>
      </c>
      <c r="I158" s="5"/>
    </row>
    <row r="159" spans="1:9" ht="87" x14ac:dyDescent="0.25">
      <c r="A159" s="16"/>
      <c r="B159" s="17">
        <v>155</v>
      </c>
      <c r="C159" s="2" t="b">
        <f ca="1">IFERROR(__xludf.DUMMYFUNCTION("""COMPUTED_VALUE"""),FALSE)</f>
        <v>0</v>
      </c>
      <c r="D159" s="2">
        <f ca="1">IFERROR(__xludf.DUMMYFUNCTION("""COMPUTED_VALUE"""),400)</f>
        <v>400</v>
      </c>
      <c r="E159" s="2" t="str">
        <f ca="1">IFERROR(__xludf.DUMMYFUNCTION("""COMPUTED_VALUE"""),"Grinding Speech")</f>
        <v>Grinding Speech</v>
      </c>
      <c r="F159" s="2" t="str">
        <f ca="1">IFERROR(__xludf.DUMMYFUNCTION("""COMPUTED_VALUE"""),"Modded Skyrim")</f>
        <v>Modded Skyrim</v>
      </c>
      <c r="G159" s="2" t="str">
        <f ca="1">IFERROR(__xludf.DUMMYFUNCTION("""COMPUTED_VALUE"""),"Skills")</f>
        <v>Skills</v>
      </c>
      <c r="H159" s="2" t="str">
        <f ca="1">IFERROR(__xludf.DUMMYFUNCTION("""COMPUTED_VALUE"""),"Here’s a little know fact - doing something will make you better at it. Shocking, right? But anyways, here’s something to help with that. Sex, of any kind, will increase your charisma and or speech skills. Hell, even someone agreeing to sleep with you. Th"&amp;"e more you sleep around, the more charismatic you become. So sleep around a lot, and you could have an entire town of women (and some husbands) eating out of the palm of your hand. At the same time.")</f>
        <v>Here’s a little know fact - doing something will make you better at it. Shocking, right? But anyways, here’s something to help with that. Sex, of any kind, will increase your charisma and or speech skills. Hell, even someone agreeing to sleep with you. The more you sleep around, the more charismatic you become. So sleep around a lot, and you could have an entire town of women (and some husbands) eating out of the palm of your hand. At the same time.</v>
      </c>
      <c r="I159" s="5"/>
    </row>
    <row r="160" spans="1:9" ht="139.19999999999999" x14ac:dyDescent="0.25">
      <c r="A160" s="16"/>
      <c r="B160" s="17">
        <v>156</v>
      </c>
      <c r="C160" s="2" t="b">
        <f ca="1">IFERROR(__xludf.DUMMYFUNCTION("""COMPUTED_VALUE"""),FALSE)</f>
        <v>0</v>
      </c>
      <c r="D160" s="2">
        <f ca="1">IFERROR(__xludf.DUMMYFUNCTION("""COMPUTED_VALUE"""),400)</f>
        <v>400</v>
      </c>
      <c r="E160" s="2" t="str">
        <f ca="1">IFERROR(__xludf.DUMMYFUNCTION("""COMPUTED_VALUE"""),"Hot for Teacher")</f>
        <v>Hot for Teacher</v>
      </c>
      <c r="F160" s="2" t="str">
        <f ca="1">IFERROR(__xludf.DUMMYFUNCTION("""COMPUTED_VALUE"""),"Angel Academy ~ Hardcore Dorm Sex Life")</f>
        <v>Angel Academy ~ Hardcore Dorm Sex Life</v>
      </c>
      <c r="G160" s="2" t="str">
        <f ca="1">IFERROR(__xludf.DUMMYFUNCTION("""COMPUTED_VALUE"""),"Skills")</f>
        <v>Skills</v>
      </c>
      <c r="H160" s="2" t="str">
        <f ca="1">IFERROR(__xludf.DUMMYFUNCTION("""COMPUTED_VALUE"""),"Few teachers are better-suited to prepare their students for the world of adulthood than you are. After all, most teachers these days completely neglect to give their students a proper course in sexual education, and that’s exactly where your talents stan"&amp;"d out the most! You’re one of the best teachers a student could ask for, and those who study under you will learn as if they had a natural talent for any subject you teach them. Students of your preferred gender(s) are especially enthralled with your less"&amp;"ons, especially when you give them more personal incentives to excel. The more intimate you become with your students, the faster they learn and the more they can learn. You could even turn a bimbo into an honor student with enough injections of Vitamin ‘"&amp;"D’.")</f>
        <v>Few teachers are better-suited to prepare their students for the world of adulthood than you are. After all, most teachers these days completely neglect to give their students a proper course in sexual education, and that’s exactly where your talents stand out the most! You’re one of the best teachers a student could ask for, and those who study under you will learn as if they had a natural talent for any subject you teach them. Students of your preferred gender(s) are especially enthralled with your lessons, especially when you give them more personal incentives to excel. The more intimate you become with your students, the faster they learn and the more they can learn. You could even turn a bimbo into an honor student with enough injections of Vitamin ‘D’.</v>
      </c>
      <c r="I160" s="5"/>
    </row>
    <row r="161" spans="1:9" ht="330.6" x14ac:dyDescent="0.25">
      <c r="A161" s="16"/>
      <c r="B161" s="17">
        <v>157</v>
      </c>
      <c r="C161" s="2" t="b">
        <f ca="1">IFERROR(__xludf.DUMMYFUNCTION("""COMPUTED_VALUE"""),FALSE)</f>
        <v>0</v>
      </c>
      <c r="D161" s="2">
        <f ca="1">IFERROR(__xludf.DUMMYFUNCTION("""COMPUTED_VALUE"""),400)</f>
        <v>400</v>
      </c>
      <c r="E161" s="2" t="str">
        <f ca="1">IFERROR(__xludf.DUMMYFUNCTION("""COMPUTED_VALUE"""),"I Had Sex with a Wolverine ... And Survived!")</f>
        <v>I Had Sex with a Wolverine ... And Survived!</v>
      </c>
      <c r="F161" s="2" t="str">
        <f ca="1">IFERROR(__xludf.DUMMYFUNCTION("""COMPUTED_VALUE"""),"Kemokko Zoo")</f>
        <v>Kemokko Zoo</v>
      </c>
      <c r="G161" s="2" t="str">
        <f ca="1">IFERROR(__xludf.DUMMYFUNCTION("""COMPUTED_VALUE"""),"Skills")</f>
        <v>Skills</v>
      </c>
      <c r="H161" s="2" t="str">
        <f ca="1">IFERROR(__xludf.DUMMYFUNCTION("""COMPUTED_VALUE"""),"Zookeeping is a dangerous business under normal circumstances, let alone when you’re trying to romance the still- wild animals. Lions might suffocate you, bears might eat you, hyenas might forcefully rape you, etc. In such scenarios, escape is unlikely, s"&amp;"o you need to survive, not show weakness, and calm their troubled hearts. Easy, right? 
You can retain your mental concentration and charisma no matter the pain or stress you’re feeling, to the point that you could gently talk down someone who’s currentl"&amp;"y eating you alive – heck, you could continue to have sex with them throughout them trying to kill you, and even make them orgasm. 
In fact, this perk strengthens your sexual prowess when you are struggling against someone or suffering pain, to the point"&amp;" that you could weaponize your sex and overwhelm an apex predator with the intensity. But even without sex, you also become more charismatic when under pressure or pain, allowing you to continue to talk someone through their traumas even as they gore into"&amp;" you. Please note that the perk also applies to “beast taming” in general, being able to withstand the instinctive attacks of your fierce yet precious animals as you calm them down. 
The perk also increases your physical endurance, such that you can surv"&amp;"ive a gulo attack or endure a “first night” of mating with the entire zoo (fun fact – lions can mate up to 50 times in a single day).")</f>
        <v>Zookeeping is a dangerous business under normal circumstances, let alone when you’re trying to romance the still- wild animals. Lions might suffocate you, bears might eat you, hyenas might forcefully rape you, etc. In such scenarios, escape is unlikely, so you need to survive, not show weakness, and calm their troubled hearts. Easy, right? 
You can retain your mental concentration and charisma no matter the pain or stress you’re feeling, to the point that you could gently talk down someone who’s currently eating you alive – heck, you could continue to have sex with them throughout them trying to kill you, and even make them orgasm. 
In fact, this perk strengthens your sexual prowess when you are struggling against someone or suffering pain, to the point that you could weaponize your sex and overwhelm an apex predator with the intensity. But even without sex, you also become more charismatic when under pressure or pain, allowing you to continue to talk someone through their traumas even as they gore into you. Please note that the perk also applies to “beast taming” in general, being able to withstand the instinctive attacks of your fierce yet precious animals as you calm them down. 
The perk also increases your physical endurance, such that you can survive a gulo attack or endure a “first night” of mating with the entire zoo (fun fact – lions can mate up to 50 times in a single day).</v>
      </c>
      <c r="I161" s="5"/>
    </row>
    <row r="162" spans="1:9" ht="226.2" x14ac:dyDescent="0.25">
      <c r="A162" s="16"/>
      <c r="B162" s="17">
        <v>158</v>
      </c>
      <c r="C162" s="2" t="b">
        <f ca="1">IFERROR(__xludf.DUMMYFUNCTION("""COMPUTED_VALUE"""),FALSE)</f>
        <v>0</v>
      </c>
      <c r="D162" s="2">
        <f ca="1">IFERROR(__xludf.DUMMYFUNCTION("""COMPUTED_VALUE"""),400)</f>
        <v>400</v>
      </c>
      <c r="E162" s="2" t="str">
        <f ca="1">IFERROR(__xludf.DUMMYFUNCTION("""COMPUTED_VALUE"""),"Instrument of Fate")</f>
        <v>Instrument of Fate</v>
      </c>
      <c r="F162" s="2" t="str">
        <f ca="1">IFERROR(__xludf.DUMMYFUNCTION("""COMPUTED_VALUE"""),"World of Lewd Fantasy")</f>
        <v>World of Lewd Fantasy</v>
      </c>
      <c r="G162" s="2" t="str">
        <f ca="1">IFERROR(__xludf.DUMMYFUNCTION("""COMPUTED_VALUE"""),"Skills")</f>
        <v>Skills</v>
      </c>
      <c r="H162" s="2" t="str">
        <f ca="1">IFERROR(__xludf.DUMMYFUNCTION("""COMPUTED_VALUE"""),"Long ago, a sorcerer tried to use his magic to enslave a legendary demon lord to his will, but the ancient demon was far too powerful. Luckily, a nearby peasant heard their battle, and managed to distract the monster long enough for the wizard to destroy "&amp;"it. The sorcerer was totally stoked to be alive, and so sought a way to repay the brave yokel. Fashioning from the remains of the beast an instrument beyond all compare, a fine gift for his new friend, something that could be used to win the heart any mai"&amp;"den one desired.
And now it has fallen into your hands. This instrument of your choice helps any who use it to instinctively play and write music of truly masterful quality, always well beyond their normal best, no matter how good they might have already"&amp;" been, even their singing voice is greatly improved. Romantic serenades in particular are enhanced by an astounding degree, capable of leaving any who hear you moist, yearning, and oh so easily seduced into your bed. It can also vastly power up any music "&amp;"or sound based abilities that you channel through it.")</f>
        <v>Long ago, a sorcerer tried to use his magic to enslave a legendary demon lord to his will, but the ancient demon was far too powerful. Luckily, a nearby peasant heard their battle, and managed to distract the monster long enough for the wizard to destroy it. The sorcerer was totally stoked to be alive, and so sought a way to repay the brave yokel. Fashioning from the remains of the beast an instrument beyond all compare, a fine gift for his new friend, something that could be used to win the heart any maiden one desired.
And now it has fallen into your hands. This instrument of your choice helps any who use it to instinctively play and write music of truly masterful quality, always well beyond their normal best, no matter how good they might have already been, even their singing voice is greatly improved. Romantic serenades in particular are enhanced by an astounding degree, capable of leaving any who hear you moist, yearning, and oh so easily seduced into your bed. It can also vastly power up any music or sound based abilities that you channel through it.</v>
      </c>
      <c r="I162" s="5"/>
    </row>
    <row r="163" spans="1:9" ht="121.8" x14ac:dyDescent="0.25">
      <c r="A163" s="16"/>
      <c r="B163" s="17">
        <v>159</v>
      </c>
      <c r="C163" s="2" t="b">
        <f ca="1">IFERROR(__xludf.DUMMYFUNCTION("""COMPUTED_VALUE"""),FALSE)</f>
        <v>0</v>
      </c>
      <c r="D163" s="2">
        <f ca="1">IFERROR(__xludf.DUMMYFUNCTION("""COMPUTED_VALUE"""),400)</f>
        <v>400</v>
      </c>
      <c r="E163" s="2" t="str">
        <f ca="1">IFERROR(__xludf.DUMMYFUNCTION("""COMPUTED_VALUE"""),"Just Wait Your Turn")</f>
        <v>Just Wait Your Turn</v>
      </c>
      <c r="F163" s="2" t="str">
        <f ca="1">IFERROR(__xludf.DUMMYFUNCTION("""COMPUTED_VALUE"""),"Sei So Tsui Dan Sha")</f>
        <v>Sei So Tsui Dan Sha</v>
      </c>
      <c r="G163" s="2" t="str">
        <f ca="1">IFERROR(__xludf.DUMMYFUNCTION("""COMPUTED_VALUE"""),"Skills")</f>
        <v>Skills</v>
      </c>
      <c r="H163" s="2" t="str">
        <f ca="1">IFERROR(__xludf.DUMMYFUNCTION("""COMPUTED_VALUE"""),"What more appropriate failure is there for a betrayer, then to have their betrayal hijacked with barely any effort. When you’re caught up in some betrayal, whether as the target, or just an innocent bystander, you almost always recover, physically, mental"&amp;"ly, and emotionally, far sooner than you should, and far sooner than anyone else caught up in the betrayal. What’s more, you always know if and how to steal a betrayal for yourself, using the original traitors own preparations to get up to some treachery "&amp;"of your own. Now, this won’t do anything if no such chance exists, but if it does, you’ll know how to take it, even before you have any intention to do so.")</f>
        <v>What more appropriate failure is there for a betrayer, then to have their betrayal hijacked with barely any effort. When you’re caught up in some betrayal, whether as the target, or just an innocent bystander, you almost always recover, physically, mentally, and emotionally, far sooner than you should, and far sooner than anyone else caught up in the betrayal. What’s more, you always know if and how to steal a betrayal for yourself, using the original traitors own preparations to get up to some treachery of your own. Now, this won’t do anything if no such chance exists, but if it does, you’ll know how to take it, even before you have any intention to do so.</v>
      </c>
      <c r="I163" s="5"/>
    </row>
    <row r="164" spans="1:9" ht="191.4" x14ac:dyDescent="0.25">
      <c r="A164" s="16"/>
      <c r="B164" s="17">
        <v>160</v>
      </c>
      <c r="C164" s="2" t="b">
        <f ca="1">IFERROR(__xludf.DUMMYFUNCTION("""COMPUTED_VALUE"""),FALSE)</f>
        <v>0</v>
      </c>
      <c r="D164" s="2">
        <f ca="1">IFERROR(__xludf.DUMMYFUNCTION("""COMPUTED_VALUE"""),400)</f>
        <v>400</v>
      </c>
      <c r="E164" s="2" t="str">
        <f ca="1">IFERROR(__xludf.DUMMYFUNCTION("""COMPUTED_VALUE"""),"Little White Rat")</f>
        <v>Little White Rat</v>
      </c>
      <c r="F164" s="2" t="str">
        <f ca="1">IFERROR(__xludf.DUMMYFUNCTION("""COMPUTED_VALUE"""),"Majuu Purification Girl Utea")</f>
        <v>Majuu Purification Girl Utea</v>
      </c>
      <c r="G164" s="2" t="str">
        <f ca="1">IFERROR(__xludf.DUMMYFUNCTION("""COMPUTED_VALUE"""),"Skills")</f>
        <v>Skills</v>
      </c>
      <c r="H164" s="2" t="str">
        <f ca="1">IFERROR(__xludf.DUMMYFUNCTION("""COMPUTED_VALUE"""),"Most injuu are mindless beasts but some are as intelligent and crafty as any human, like the imposter Clio who duped Karen and Mizuki into becoming his unwitting pawns. You’re an outrageously manipulative liar when you choose to be, spinning webs of decei"&amp;"t as naturally as you breathe with a perfect poker face that betrays no hint of your deceit. You can easily fabricate a false identity and spew bullshit by the bucketload while keeping all your fanciful stories straight in your head so you’ll never carele"&amp;"ssly give yourself away by forgetting your own stories. Moreover, the more that a person buys into your bullshit the more trusting and vulnerable they become, allowing you to lead them further astray. You might introduce yourself to a pair of magical girl"&amp;"s as a new friend and gain their trust, and within a week or two they’ll be so wrapped up in your lies that if you tell them the only way to beat a sex monster is to have sex with it they’ll simply take it at face value instead of trying to purify the bea"&amp;"st like they would for any other monster.")</f>
        <v>Most injuu are mindless beasts but some are as intelligent and crafty as any human, like the imposter Clio who duped Karen and Mizuki into becoming his unwitting pawns. You’re an outrageously manipulative liar when you choose to be, spinning webs of deceit as naturally as you breathe with a perfect poker face that betrays no hint of your deceit. You can easily fabricate a false identity and spew bullshit by the bucketload while keeping all your fanciful stories straight in your head so you’ll never carelessly give yourself away by forgetting your own stories. Moreover, the more that a person buys into your bullshit the more trusting and vulnerable they become, allowing you to lead them further astray. You might introduce yourself to a pair of magical girls as a new friend and gain their trust, and within a week or two they’ll be so wrapped up in your lies that if you tell them the only way to beat a sex monster is to have sex with it they’ll simply take it at face value instead of trying to purify the beast like they would for any other monster.</v>
      </c>
      <c r="I164" s="5"/>
    </row>
    <row r="165" spans="1:9" ht="139.19999999999999" x14ac:dyDescent="0.25">
      <c r="A165" s="16"/>
      <c r="B165" s="17">
        <v>161</v>
      </c>
      <c r="C165" s="2" t="b">
        <f ca="1">IFERROR(__xludf.DUMMYFUNCTION("""COMPUTED_VALUE"""),FALSE)</f>
        <v>0</v>
      </c>
      <c r="D165" s="2">
        <f ca="1">IFERROR(__xludf.DUMMYFUNCTION("""COMPUTED_VALUE"""),400)</f>
        <v>400</v>
      </c>
      <c r="E165" s="2" t="str">
        <f ca="1">IFERROR(__xludf.DUMMYFUNCTION("""COMPUTED_VALUE"""),"Master of Disguise")</f>
        <v>Master of Disguise</v>
      </c>
      <c r="F165" s="2" t="str">
        <f ca="1">IFERROR(__xludf.DUMMYFUNCTION("""COMPUTED_VALUE"""),"Erotic Equestria")</f>
        <v>Erotic Equestria</v>
      </c>
      <c r="G165" s="2" t="str">
        <f ca="1">IFERROR(__xludf.DUMMYFUNCTION("""COMPUTED_VALUE"""),"Skills")</f>
        <v>Skills</v>
      </c>
      <c r="H165" s="2" t="str">
        <f ca="1">IFERROR(__xludf.DUMMYFUNCTION("""COMPUTED_VALUE"""),"“Shoot them, Master/Madame! They’re the fake here!” A surprising cliche, but one that seems to work in your favor now. Your skills at disguise and imitation are good enough to fool even the longest and closest of friendships. Even somepony’s sibling might"&amp;" be unable to tell the difference between you and the pony you are imitating. 
Naturally, with the ability to take someone’s form, you excel at taking the other things in their life for your own. Let somepony else put in the work of romancing a lovely ma"&amp;"re, she won’t be able to tell when you tag in for your turn in the bedroom.")</f>
        <v>“Shoot them, Master/Madame! They’re the fake here!” A surprising cliche, but one that seems to work in your favor now. Your skills at disguise and imitation are good enough to fool even the longest and closest of friendships. Even somepony’s sibling might be unable to tell the difference between you and the pony you are imitating. 
Naturally, with the ability to take someone’s form, you excel at taking the other things in their life for your own. Let somepony else put in the work of romancing a lovely mare, she won’t be able to tell when you tag in for your turn in the bedroom.</v>
      </c>
      <c r="I165" s="5"/>
    </row>
    <row r="166" spans="1:9" ht="174" x14ac:dyDescent="0.25">
      <c r="A166" s="16"/>
      <c r="B166" s="17">
        <v>162</v>
      </c>
      <c r="C166" s="2" t="b">
        <f ca="1">IFERROR(__xludf.DUMMYFUNCTION("""COMPUTED_VALUE"""),FALSE)</f>
        <v>0</v>
      </c>
      <c r="D166" s="2">
        <f ca="1">IFERROR(__xludf.DUMMYFUNCTION("""COMPUTED_VALUE"""),400)</f>
        <v>400</v>
      </c>
      <c r="E166" s="2" t="str">
        <f ca="1">IFERROR(__xludf.DUMMYFUNCTION("""COMPUTED_VALUE"""),"Orgasmic Extraction")</f>
        <v>Orgasmic Extraction</v>
      </c>
      <c r="F166" s="2" t="str">
        <f ca="1">IFERROR(__xludf.DUMMYFUNCTION("""COMPUTED_VALUE"""),"World of Tentacles")</f>
        <v>World of Tentacles</v>
      </c>
      <c r="G166" s="2" t="str">
        <f ca="1">IFERROR(__xludf.DUMMYFUNCTION("""COMPUTED_VALUE"""),"Skills")</f>
        <v>Skills</v>
      </c>
      <c r="H166" s="2" t="str">
        <f ca="1">IFERROR(__xludf.DUMMYFUNCTION("""COMPUTED_VALUE"""),"You have mastered using elaborate setups to extract 'orgasmic energy' from one or more donors, which can then be substituted (in sufficient quantities) for other types of energy, be it mana, 'life energy’ or simply massive amounts of electric power. The p"&amp;"recise setup, from ritual circles calling tentacles through portals to mechanical rape machines, must be tailored to the specific application it is fueling. It may take hours to complete as it weakens the donor’s ability to resist further climaxes, but on"&amp;"ly does so when the last of the donors involved is overcome. The rarer, or larger, the amount of energy you require the more that will need to be taken from the donors, and there is a chance that there may not be enough for the intended purpose. However m"&amp;"ore attractive donors and more 'intense' setups provide more energy and any reserves of the desired energy that the donors lossess can be tapped through the setup.")</f>
        <v>You have mastered using elaborate setups to extract 'orgasmic energy' from one or more donors, which can then be substituted (in sufficient quantities) for other types of energy, be it mana, 'life energy’ or simply massive amounts of electric power. The precise setup, from ritual circles calling tentacles through portals to mechanical rape machines, must be tailored to the specific application it is fueling. It may take hours to complete as it weakens the donor’s ability to resist further climaxes, but only does so when the last of the donors involved is overcome. The rarer, or larger, the amount of energy you require the more that will need to be taken from the donors, and there is a chance that there may not be enough for the intended purpose. However more attractive donors and more 'intense' setups provide more energy and any reserves of the desired energy that the donors lossess can be tapped through the setup.</v>
      </c>
      <c r="I166" s="5"/>
    </row>
    <row r="167" spans="1:9" ht="243.6" x14ac:dyDescent="0.25">
      <c r="A167" s="16"/>
      <c r="B167" s="17">
        <v>163</v>
      </c>
      <c r="C167" s="2" t="b">
        <f ca="1">IFERROR(__xludf.DUMMYFUNCTION("""COMPUTED_VALUE"""),FALSE)</f>
        <v>0</v>
      </c>
      <c r="D167" s="2">
        <f ca="1">IFERROR(__xludf.DUMMYFUNCTION("""COMPUTED_VALUE"""),400)</f>
        <v>400</v>
      </c>
      <c r="E167" s="2" t="str">
        <f ca="1">IFERROR(__xludf.DUMMYFUNCTION("""COMPUTED_VALUE"""),"Path to Control")</f>
        <v>Path to Control</v>
      </c>
      <c r="F167" s="2" t="str">
        <f ca="1">IFERROR(__xludf.DUMMYFUNCTION("""COMPUTED_VALUE"""),"Mind Control University")</f>
        <v>Mind Control University</v>
      </c>
      <c r="G167" s="2" t="str">
        <f ca="1">IFERROR(__xludf.DUMMYFUNCTION("""COMPUTED_VALUE"""),"Skills")</f>
        <v>Skills</v>
      </c>
      <c r="H167" s="2" t="str">
        <f ca="1">IFERROR(__xludf.DUMMYFUNCTION("""COMPUTED_VALUE"""),"You have a knack for spotting the easy targets, be it someone who's highly suggestible, someone who's naturally submissive, someone without a support network, or just someone who's vulnerable when they otherwise wouldn't be, and you know in what ways as w"&amp;"ell. 
You’re able to see high priority targets too, the ones who would serve you best, the most capable and valuable ones who will make everything else you try to do so much easier. Whether it's because they're a magical powerhouse, they have ridiculous "&amp;"but untapped potential, they possess a keen tactical mind, or they're the one person your true target seems to get along with, you'll be aware of it.
But it’s not enough just to know who to target; you need to know how to bring them under your control, a"&amp;"nd so you shall. You are preternaturally aware of the best way to recruit someone, mind control or no mind control, where they’re weak, which psychological faultlines to take advantage of, whether you should be slow and subtle or go hard and fast, and mor"&amp;"e.")</f>
        <v>You have a knack for spotting the easy targets, be it someone who's highly suggestible, someone who's naturally submissive, someone without a support network, or just someone who's vulnerable when they otherwise wouldn't be, and you know in what ways as well. 
You’re able to see high priority targets too, the ones who would serve you best, the most capable and valuable ones who will make everything else you try to do so much easier. Whether it's because they're a magical powerhouse, they have ridiculous but untapped potential, they possess a keen tactical mind, or they're the one person your true target seems to get along with, you'll be aware of it.
But it’s not enough just to know who to target; you need to know how to bring them under your control, and so you shall. You are preternaturally aware of the best way to recruit someone, mind control or no mind control, where they’re weak, which psychological faultlines to take advantage of, whether you should be slow and subtle or go hard and fast, and more.</v>
      </c>
      <c r="I167" s="5"/>
    </row>
    <row r="168" spans="1:9" ht="69.599999999999994" x14ac:dyDescent="0.25">
      <c r="A168" s="16"/>
      <c r="B168" s="17">
        <v>164</v>
      </c>
      <c r="C168" s="2" t="b">
        <f ca="1">IFERROR(__xludf.DUMMYFUNCTION("""COMPUTED_VALUE"""),FALSE)</f>
        <v>0</v>
      </c>
      <c r="D168" s="2">
        <f ca="1">IFERROR(__xludf.DUMMYFUNCTION("""COMPUTED_VALUE"""),400)</f>
        <v>400</v>
      </c>
      <c r="E168" s="2" t="str">
        <f ca="1">IFERROR(__xludf.DUMMYFUNCTION("""COMPUTED_VALUE"""),"Pressure Points")</f>
        <v>Pressure Points</v>
      </c>
      <c r="F168" s="2" t="str">
        <f ca="1">IFERROR(__xludf.DUMMYFUNCTION("""COMPUTED_VALUE"""),"Ranma fall - Katamimi Buta")</f>
        <v>Ranma fall - Katamimi Buta</v>
      </c>
      <c r="G168" s="2" t="str">
        <f ca="1">IFERROR(__xludf.DUMMYFUNCTION("""COMPUTED_VALUE"""),"Skills")</f>
        <v>Skills</v>
      </c>
      <c r="H168" s="2" t="str">
        <f ca="1">IFERROR(__xludf.DUMMYFUNCTION("""COMPUTED_VALUE"""),"You know all sorts of pressure points on the human body, from the weakness moxibustion to lewd ones that enhance your libido. You know both how to apply them and counter them even to yourself. Be warned some shouldn't be applied all the time. That's a goo"&amp;"d way to have a heart attack.")</f>
        <v>You know all sorts of pressure points on the human body, from the weakness moxibustion to lewd ones that enhance your libido. You know both how to apply them and counter them even to yourself. Be warned some shouldn't be applied all the time. That's a good way to have a heart attack.</v>
      </c>
      <c r="I168" s="5"/>
    </row>
    <row r="169" spans="1:9" ht="191.4" x14ac:dyDescent="0.25">
      <c r="A169" s="16"/>
      <c r="B169" s="17">
        <v>165</v>
      </c>
      <c r="C169" s="2" t="b">
        <f ca="1">IFERROR(__xludf.DUMMYFUNCTION("""COMPUTED_VALUE"""),FALSE)</f>
        <v>0</v>
      </c>
      <c r="D169" s="2">
        <f ca="1">IFERROR(__xludf.DUMMYFUNCTION("""COMPUTED_VALUE"""),400)</f>
        <v>400</v>
      </c>
      <c r="E169" s="2" t="str">
        <f ca="1">IFERROR(__xludf.DUMMYFUNCTION("""COMPUTED_VALUE"""),"Sex Toy Innovation")</f>
        <v>Sex Toy Innovation</v>
      </c>
      <c r="F169" s="2" t="str">
        <f ca="1">IFERROR(__xludf.DUMMYFUNCTION("""COMPUTED_VALUE"""),"Monster Girl Quest V2")</f>
        <v>Monster Girl Quest V2</v>
      </c>
      <c r="G169" s="2" t="str">
        <f ca="1">IFERROR(__xludf.DUMMYFUNCTION("""COMPUTED_VALUE"""),"Skills")</f>
        <v>Skills</v>
      </c>
      <c r="H169" s="2" t="str">
        <f ca="1">IFERROR(__xludf.DUMMYFUNCTION("""COMPUTED_VALUE"""),"While the creation and modification of beings is a worthy pursuit, sometimes you require aids or wish to empower others without modifying them. This lets you create powerful sex toys that enhance a person’s ability to inflict sexual pleasure. Some example"&amp;"s include the Succubus Hand, a smooth latex glove that can inflict pleasure through Energy Drain when activated or enhance the Energy Drain of the user, claws made of soft feathers that can be controlled and targeted with immense dexterity, or gloves that"&amp;" are covered in breasts that increase the flavor of anything milked using them, to name a few. You know how to make all of these, and even improve upon them with research, and while most of these are gloves it would not be hard to make sex toys in other a"&amp;"ppearances This also lets you create a variety of auxiliary devices such as those that can influence the mind or change perception when one is placed into them. Such dark knowledge is an affront to Ilias but it is within your reach.")</f>
        <v>While the creation and modification of beings is a worthy pursuit, sometimes you require aids or wish to empower others without modifying them. This lets you create powerful sex toys that enhance a person’s ability to inflict sexual pleasure. Some examples include the Succubus Hand, a smooth latex glove that can inflict pleasure through Energy Drain when activated or enhance the Energy Drain of the user, claws made of soft feathers that can be controlled and targeted with immense dexterity, or gloves that are covered in breasts that increase the flavor of anything milked using them, to name a few. You know how to make all of these, and even improve upon them with research, and while most of these are gloves it would not be hard to make sex toys in other appearances This also lets you create a variety of auxiliary devices such as those that can influence the mind or change perception when one is placed into them. Such dark knowledge is an affront to Ilias but it is within your reach.</v>
      </c>
      <c r="I169" s="5"/>
    </row>
    <row r="170" spans="1:9" ht="104.4" x14ac:dyDescent="0.25">
      <c r="A170" s="16"/>
      <c r="B170" s="17">
        <v>166</v>
      </c>
      <c r="C170" s="2" t="b">
        <f ca="1">IFERROR(__xludf.DUMMYFUNCTION("""COMPUTED_VALUE"""),FALSE)</f>
        <v>0</v>
      </c>
      <c r="D170" s="2">
        <f ca="1">IFERROR(__xludf.DUMMYFUNCTION("""COMPUTED_VALUE"""),400)</f>
        <v>400</v>
      </c>
      <c r="E170" s="2" t="str">
        <f ca="1">IFERROR(__xludf.DUMMYFUNCTION("""COMPUTED_VALUE"""),"Sexual Training")</f>
        <v>Sexual Training</v>
      </c>
      <c r="F170" s="2" t="str">
        <f ca="1">IFERROR(__xludf.DUMMYFUNCTION("""COMPUTED_VALUE"""),"eratohoK")</f>
        <v>eratohoK</v>
      </c>
      <c r="G170" s="2" t="str">
        <f ca="1">IFERROR(__xludf.DUMMYFUNCTION("""COMPUTED_VALUE"""),"Skills")</f>
        <v>Skills</v>
      </c>
      <c r="H170" s="2" t="str">
        <f ca="1">IFERROR(__xludf.DUMMYFUNCTION("""COMPUTED_VALUE"""),"You can train any ability by having sex. Whether it’s trained by getting cummed in or bringing someone to orgasm is up to you, but both will work just fine. The more sexual pleasure you both give and receive, the more of a boost to your abilities you gain"&amp;". An hour of the most intense sex of someone’s entire life could be the equivalent of dozens of hours of more mundane sexual intercourse, boosting your abilities by the equivalent of weeks to months of training in one night. Fuck your way to the top of th"&amp;"e world!")</f>
        <v>You can train any ability by having sex. Whether it’s trained by getting cummed in or bringing someone to orgasm is up to you, but both will work just fine. The more sexual pleasure you both give and receive, the more of a boost to your abilities you gain. An hour of the most intense sex of someone’s entire life could be the equivalent of dozens of hours of more mundane sexual intercourse, boosting your abilities by the equivalent of weeks to months of training in one night. Fuck your way to the top of the world!</v>
      </c>
      <c r="I170" s="5"/>
    </row>
    <row r="171" spans="1:9" ht="243.6" x14ac:dyDescent="0.25">
      <c r="A171" s="16"/>
      <c r="B171" s="17">
        <v>167</v>
      </c>
      <c r="C171" s="2" t="b">
        <f ca="1">IFERROR(__xludf.DUMMYFUNCTION("""COMPUTED_VALUE"""),FALSE)</f>
        <v>0</v>
      </c>
      <c r="D171" s="2">
        <f ca="1">IFERROR(__xludf.DUMMYFUNCTION("""COMPUTED_VALUE"""),400)</f>
        <v>400</v>
      </c>
      <c r="E171" s="2" t="str">
        <f ca="1">IFERROR(__xludf.DUMMYFUNCTION("""COMPUTED_VALUE"""),"Tentacular Grappler")</f>
        <v>Tentacular Grappler</v>
      </c>
      <c r="F171" s="2" t="str">
        <f ca="1">IFERROR(__xludf.DUMMYFUNCTION("""COMPUTED_VALUE"""),"Submission Sailor Moon")</f>
        <v>Submission Sailor Moon</v>
      </c>
      <c r="G171" s="2" t="str">
        <f ca="1">IFERROR(__xludf.DUMMYFUNCTION("""COMPUTED_VALUE"""),"Skills")</f>
        <v>Skills</v>
      </c>
      <c r="H171" s="2" t="str">
        <f ca="1">IFERROR(__xludf.DUMMYFUNCTION("""COMPUTED_VALUE"""),"A youma’s tentacles are his most reliable tools for capturing and subduing prey, especially superpowered girls like the Senshi. Not many humans know how to defend themselves against half-a-dozen limbs trying to capture them all at once, or how to wriggle "&amp;"free once they’ve been caught. You’re exceptionally skilled at splitting your attention between many different tentacles or other limbs, especially when grappling and pinning or ravishing your victims. Not only are you effectively a one man gang bang able"&amp;" to fight and fuck several girls simultaneously with no loss in performance, but whenever you use more than two limbs to fight or restrain any single person you become almost exponentially more difficult to avoid and escape for each additional pair of lim"&amp;"bs used, your sheer dexterity and coordination making it more and more difficult for your victims to track them and prevent one from slipping past their defenses. Mastery of leverage also makes your limbs much stronger once they’ve successfully grappled a"&amp;" victim, enough so that even weak youma can keep a grip on a struggling Sailor Senshi once you have her in your grasp.
This perk also comes with a retractable pair of hentai tentacles, just in case.")</f>
        <v>A youma’s tentacles are his most reliable tools for capturing and subduing prey, especially superpowered girls like the Senshi. Not many humans know how to defend themselves against half-a-dozen limbs trying to capture them all at once, or how to wriggle free once they’ve been caught. You’re exceptionally skilled at splitting your attention between many different tentacles or other limbs, especially when grappling and pinning or ravishing your victims. Not only are you effectively a one man gang bang able to fight and fuck several girls simultaneously with no loss in performance, but whenever you use more than two limbs to fight or restrain any single person you become almost exponentially more difficult to avoid and escape for each additional pair of limbs used, your sheer dexterity and coordination making it more and more difficult for your victims to track them and prevent one from slipping past their defenses. Mastery of leverage also makes your limbs much stronger once they’ve successfully grappled a victim, enough so that even weak youma can keep a grip on a struggling Sailor Senshi once you have her in your grasp.
This perk also comes with a retractable pair of hentai tentacles, just in case.</v>
      </c>
      <c r="I171" s="5"/>
    </row>
    <row r="172" spans="1:9" ht="208.8" x14ac:dyDescent="0.25">
      <c r="A172" s="16"/>
      <c r="B172" s="17">
        <v>168</v>
      </c>
      <c r="C172" s="2" t="b">
        <f ca="1">IFERROR(__xludf.DUMMYFUNCTION("""COMPUTED_VALUE"""),FALSE)</f>
        <v>0</v>
      </c>
      <c r="D172" s="2">
        <f ca="1">IFERROR(__xludf.DUMMYFUNCTION("""COMPUTED_VALUE"""),400)</f>
        <v>400</v>
      </c>
      <c r="E172" s="2" t="str">
        <f ca="1">IFERROR(__xludf.DUMMYFUNCTION("""COMPUTED_VALUE"""),"The Shirt off Your Back")</f>
        <v>The Shirt off Your Back</v>
      </c>
      <c r="F172" s="2" t="str">
        <f ca="1">IFERROR(__xludf.DUMMYFUNCTION("""COMPUTED_VALUE"""),"World of Lewd Fantasy")</f>
        <v>World of Lewd Fantasy</v>
      </c>
      <c r="G172" s="2" t="str">
        <f ca="1">IFERROR(__xludf.DUMMYFUNCTION("""COMPUTED_VALUE"""),"Skills")</f>
        <v>Skills</v>
      </c>
      <c r="H172" s="2" t="str">
        <f ca="1">IFERROR(__xludf.DUMMYFUNCTION("""COMPUTED_VALUE"""),"Your stealth and sleight of hand skills are quite frankly far beyond what should actually be possible. You could well sneak around in a brightly lite and crowded room with good odds at remaining unseen. Even more impressively your hands are so fast that i"&amp;"f you are unnoticed by your mark, in a flash you could steal their armor and clothing right off of them, perhaps the weapon in their hand as well, and all without them even noticing the change. Do note that such incredible acts of theft are much harder to"&amp;" pull off if they already know you're there, and are ALMOST impossible to do if they're actively trying to defend themselves from you in combat or suchlike.
Yet should some unnoticed stripping not be enough, you could also use the same tricks to fondle a"&amp;"nd molest someone without them ever knowing why they are getting all hot and bothered, being unable to tell that it's an outside force that's acting them. However, all of the above caveats do still apply to this as well, so do try to be otherwise subtle.")</f>
        <v>Your stealth and sleight of hand skills are quite frankly far beyond what should actually be possible. You could well sneak around in a brightly lite and crowded room with good odds at remaining unseen. Even more impressively your hands are so fast that if you are unnoticed by your mark, in a flash you could steal their armor and clothing right off of them, perhaps the weapon in their hand as well, and all without them even noticing the change. Do note that such incredible acts of theft are much harder to pull off if they already know you're there, and are ALMOST impossible to do if they're actively trying to defend themselves from you in combat or suchlike.
Yet should some unnoticed stripping not be enough, you could also use the same tricks to fondle and molest someone without them ever knowing why they are getting all hot and bothered, being unable to tell that it's an outside force that's acting them. However, all of the above caveats do still apply to this as well, so do try to be otherwise subtle.</v>
      </c>
      <c r="I172" s="5"/>
    </row>
    <row r="173" spans="1:9" ht="104.4" x14ac:dyDescent="0.25">
      <c r="A173" s="16"/>
      <c r="B173" s="17">
        <v>169</v>
      </c>
      <c r="C173" s="2" t="b">
        <f ca="1">IFERROR(__xludf.DUMMYFUNCTION("""COMPUTED_VALUE"""),FALSE)</f>
        <v>0</v>
      </c>
      <c r="D173" s="2">
        <f ca="1">IFERROR(__xludf.DUMMYFUNCTION("""COMPUTED_VALUE"""),400)</f>
        <v>400</v>
      </c>
      <c r="E173" s="2" t="str">
        <f ca="1">IFERROR(__xludf.DUMMYFUNCTION("""COMPUTED_VALUE"""),"Therianthrope Samples")</f>
        <v>Therianthrope Samples</v>
      </c>
      <c r="F173" s="2" t="str">
        <f ca="1">IFERROR(__xludf.DUMMYFUNCTION("""COMPUTED_VALUE"""),"Bio-Weapon Quest")</f>
        <v>Bio-Weapon Quest</v>
      </c>
      <c r="G173" s="2" t="str">
        <f ca="1">IFERROR(__xludf.DUMMYFUNCTION("""COMPUTED_VALUE"""),"Skills")</f>
        <v>Skills</v>
      </c>
      <c r="H173" s="2" t="str">
        <f ca="1">IFERROR(__xludf.DUMMYFUNCTION("""COMPUTED_VALUE"""),"A supply of therianthropes - braindead, half torn to pieces by the fight that brought them down, but technically “alive”, preserved in liquid-filled tubes. There’s a lot a mad scientist could do with
these samples, whether it’s transplanting their Cores "&amp;"into regular humans to make Bio-Weapons, reverse-engineering their mutations into something you can install in a super soldier, or even rigging them with cybernetics and throwing them back into the field for Round 2. I’m sure you’ll think of something to "&amp;"do with them?")</f>
        <v>A supply of therianthropes - braindead, half torn to pieces by the fight that brought them down, but technically “alive”, preserved in liquid-filled tubes. There’s a lot a mad scientist could do with
these samples, whether it’s transplanting their Cores into regular humans to make Bio-Weapons, reverse-engineering their mutations into something you can install in a super soldier, or even rigging them with cybernetics and throwing them back into the field for Round 2. I’m sure you’ll think of something to do with them?</v>
      </c>
      <c r="I173" s="5"/>
    </row>
    <row r="174" spans="1:9" ht="330.6" x14ac:dyDescent="0.25">
      <c r="A174" s="16"/>
      <c r="B174" s="17">
        <v>170</v>
      </c>
      <c r="C174" s="2" t="b">
        <f ca="1">IFERROR(__xludf.DUMMYFUNCTION("""COMPUTED_VALUE"""),FALSE)</f>
        <v>0</v>
      </c>
      <c r="D174" s="2">
        <f ca="1">IFERROR(__xludf.DUMMYFUNCTION("""COMPUTED_VALUE"""),400)</f>
        <v>400</v>
      </c>
      <c r="E174" s="2" t="str">
        <f ca="1">IFERROR(__xludf.DUMMYFUNCTION("""COMPUTED_VALUE"""),"V-Ko Nursedroid")</f>
        <v>V-Ko Nursedroid</v>
      </c>
      <c r="F174" s="2" t="str">
        <f ca="1">IFERROR(__xludf.DUMMYFUNCTION("""COMPUTED_VALUE"""),"Trials In Tainted Space")</f>
        <v>Trials In Tainted Space</v>
      </c>
      <c r="G174" s="2" t="str">
        <f ca="1">IFERROR(__xludf.DUMMYFUNCTION("""COMPUTED_VALUE"""),"Skills")</f>
        <v>Skills</v>
      </c>
      <c r="H174" s="2" t="str">
        <f ca="1">IFERROR(__xludf.DUMMYFUNCTION("""COMPUTED_VALUE"""),"This is a high-end Nursedroid, and can do anything any other Nursedroid can, and some things that are from other robot lines. It has a dedicated database of species and illnesses that will auto-update itself, and it can also collect data on encountered pa"&amp;"thogens, flora, and fauna, including sapient races, for future study. All of the V-Ko line has internal miniaturized manufacturing for drugs. Your model has an unlocked database, allowing it to produce any drug you need, and can analyze drugs or liquids b"&amp;"y consuming them orally for further production. It also has the ability to create and dispense a wide variety of milks from the lactating breasts. 
The V-Ko IVs have a multi-purpose tail called a JoyCord that also lets them recharge, dispense dermal-pene"&amp;"trating aerosol blasts, and equip a wide variety of equipment on the end, including their own vaginas, a penis model, and other medical equipment. The tail has the ability to drain the internal battery in order to emit an electrical blast. In addition to "&amp;"dispensing drugs from the tail, they can also be applied via the lips or hands of the unit, or liquid forms dispensed via lactation. Physically, the IVs have synthetically lubricating vaginas that can be removed and used externally of the unit, and asshol"&amp;"es. They can inflate or deflate their chest or ass regions as needed. This particular unit has the ability to store semen in their liquid storage tanks, and convert it to a safe, nutrient-rich sludge. Personality wise, this VI is intended to be sensual, a"&amp;"nd this particular model has been equipped with a non-standard pleasure-reward program that lets it feel the digital approximation of orgasm in organics.")</f>
        <v>This is a high-end Nursedroid, and can do anything any other Nursedroid can, and some things that are from other robot lines. It has a dedicated database of species and illnesses that will auto-update itself, and it can also collect data on encountered pathogens, flora, and fauna, including sapient races, for future study. All of the V-Ko line has internal miniaturized manufacturing for drugs. Your model has an unlocked database, allowing it to produce any drug you need, and can analyze drugs or liquids by consuming them orally for further production. It also has the ability to create and dispense a wide variety of milks from the lactating breasts. 
The V-Ko IVs have a multi-purpose tail called a JoyCord that also lets them recharge, dispense dermal-penetrating aerosol blasts, and equip a wide variety of equipment on the end, including their own vaginas, a penis model, and other medical equipment. The tail has the ability to drain the internal battery in order to emit an electrical blast. In addition to dispensing drugs from the tail, they can also be applied via the lips or hands of the unit, or liquid forms dispensed via lactation. Physically, the IVs have synthetically lubricating vaginas that can be removed and used externally of the unit, and assholes. They can inflate or deflate their chest or ass regions as needed. This particular unit has the ability to store semen in their liquid storage tanks, and convert it to a safe, nutrient-rich sludge. Personality wise, this VI is intended to be sensual, and this particular model has been equipped with a non-standard pleasure-reward program that lets it feel the digital approximation of orgasm in organics.</v>
      </c>
      <c r="I174" s="5"/>
    </row>
    <row r="175" spans="1:9" ht="139.19999999999999" x14ac:dyDescent="0.25">
      <c r="A175" s="16"/>
      <c r="B175" s="17">
        <v>171</v>
      </c>
      <c r="C175" s="2" t="b">
        <f ca="1">IFERROR(__xludf.DUMMYFUNCTION("""COMPUTED_VALUE"""),FALSE)</f>
        <v>0</v>
      </c>
      <c r="D175" s="2">
        <f ca="1">IFERROR(__xludf.DUMMYFUNCTION("""COMPUTED_VALUE"""),400)</f>
        <v>400</v>
      </c>
      <c r="E175" s="2" t="str">
        <f ca="1">IFERROR(__xludf.DUMMYFUNCTION("""COMPUTED_VALUE"""),"Veteran Hunter")</f>
        <v>Veteran Hunter</v>
      </c>
      <c r="F175" s="2" t="str">
        <f ca="1">IFERROR(__xludf.DUMMYFUNCTION("""COMPUTED_VALUE"""),"Niplheim’s Hunter")</f>
        <v>Niplheim’s Hunter</v>
      </c>
      <c r="G175" s="2" t="str">
        <f ca="1">IFERROR(__xludf.DUMMYFUNCTION("""COMPUTED_VALUE"""),"Skills")</f>
        <v>Skills</v>
      </c>
      <c r="H175" s="2" t="str">
        <f ca="1">IFERROR(__xludf.DUMMYFUNCTION("""COMPUTED_VALUE"""),"Ok, now you’re moving up into the big leagues. Your combat skills have advanced a lot since you were a green hunter culling his first pack of wolves. You’re a lot stronger, faster, and tougher than an ordinary human now even without the benefit of your ar"&amp;"mor and weapons, and you can read the flow of battle to find openings in your opponent’s guard. But your finest achievement is mastery of the chain attack, a technique that allows you to deal multiple blows with a single swing of your blade. Of course thi"&amp;"s also has benefits to having sex, because why wouldn’t it? Your enhanced combat awareness also comes in handy when you’re in the middle of a gangbang or other forms of group sex, making it much easier to please multiple partners simultaneously.")</f>
        <v>Ok, now you’re moving up into the big leagues. Your combat skills have advanced a lot since you were a green hunter culling his first pack of wolves. You’re a lot stronger, faster, and tougher than an ordinary human now even without the benefit of your armor and weapons, and you can read the flow of battle to find openings in your opponent’s guard. But your finest achievement is mastery of the chain attack, a technique that allows you to deal multiple blows with a single swing of your blade. Of course this also has benefits to having sex, because why wouldn’t it? Your enhanced combat awareness also comes in handy when you’re in the middle of a gangbang or other forms of group sex, making it much easier to please multiple partners simultaneously.</v>
      </c>
      <c r="I175" s="5"/>
    </row>
    <row r="176" spans="1:9" ht="191.4" x14ac:dyDescent="0.25">
      <c r="A176" s="16"/>
      <c r="B176" s="17">
        <v>172</v>
      </c>
      <c r="C176" s="2" t="b">
        <f ca="1">IFERROR(__xludf.DUMMYFUNCTION("""COMPUTED_VALUE"""),FALSE)</f>
        <v>0</v>
      </c>
      <c r="D176" s="2">
        <f ca="1">IFERROR(__xludf.DUMMYFUNCTION("""COMPUTED_VALUE"""),400)</f>
        <v>400</v>
      </c>
      <c r="E176" s="2" t="str">
        <f ca="1">IFERROR(__xludf.DUMMYFUNCTION("""COMPUTED_VALUE"""),"Way of the Ninja")</f>
        <v>Way of the Ninja</v>
      </c>
      <c r="F176" s="2" t="str">
        <f ca="1">IFERROR(__xludf.DUMMYFUNCTION("""COMPUTED_VALUE"""),"Breathless Wild")</f>
        <v>Breathless Wild</v>
      </c>
      <c r="G176" s="2" t="str">
        <f ca="1">IFERROR(__xludf.DUMMYFUNCTION("""COMPUTED_VALUE"""),"Skills")</f>
        <v>Skills</v>
      </c>
      <c r="H176" s="2" t="str">
        <f ca="1">IFERROR(__xludf.DUMMYFUNCTION("""COMPUTED_VALUE"""),"The Sheikah and Yiga clans are masters of the shadows and have much to teach those who are willing to learn their ways. Whether you were born into the clan or adopted, you’ve received training in the Sheikah arts and have mastered the way of the ninja. Yo"&amp;"ur skills for stealth and subterfuge are nearly flawless and include both conventional and erotic tactics of equal effectiveness. With surprise on your side you’re able to instantly subdue your targets as quickly and silently as you might slit a man’s thr"&amp;"oat, whether with a rag of sleeping powder or by binding and gagging them with lightning speed. Beyond the conventional skills of stealth, disguise, lockpicking, silent movement and so on, you’ve also been taught many closely-guarded secrets of ninja magi"&amp;"c, from instant disguise to short-range teleportation to creating shadow clones, useful for combat, distractions, or the occasional one-man gangbang. With training you might one day become a match for the likes of Impa or Master Kohga with these powers.")</f>
        <v>The Sheikah and Yiga clans are masters of the shadows and have much to teach those who are willing to learn their ways. Whether you were born into the clan or adopted, you’ve received training in the Sheikah arts and have mastered the way of the ninja. Your skills for stealth and subterfuge are nearly flawless and include both conventional and erotic tactics of equal effectiveness. With surprise on your side you’re able to instantly subdue your targets as quickly and silently as you might slit a man’s throat, whether with a rag of sleeping powder or by binding and gagging them with lightning speed. Beyond the conventional skills of stealth, disguise, lockpicking, silent movement and so on, you’ve also been taught many closely-guarded secrets of ninja magic, from instant disguise to short-range teleportation to creating shadow clones, useful for combat, distractions, or the occasional one-man gangbang. With training you might one day become a match for the likes of Impa or Master Kohga with these powers.</v>
      </c>
      <c r="I176" s="5"/>
    </row>
    <row r="177" spans="1:9" ht="104.4" x14ac:dyDescent="0.25">
      <c r="A177" s="16"/>
      <c r="B177" s="17">
        <v>173</v>
      </c>
      <c r="C177" s="2" t="b">
        <f ca="1">IFERROR(__xludf.DUMMYFUNCTION("""COMPUTED_VALUE"""),FALSE)</f>
        <v>0</v>
      </c>
      <c r="D177" s="2">
        <f ca="1">IFERROR(__xludf.DUMMYFUNCTION("""COMPUTED_VALUE"""),500)</f>
        <v>500</v>
      </c>
      <c r="E177" s="2" t="str">
        <f ca="1">IFERROR(__xludf.DUMMYFUNCTION("""COMPUTED_VALUE"""),"Ambrosial")</f>
        <v>Ambrosial</v>
      </c>
      <c r="F177" s="2" t="str">
        <f ca="1">IFERROR(__xludf.DUMMYFUNCTION("""COMPUTED_VALUE"""),"Generic: Fat-Fetish")</f>
        <v>Generic: Fat-Fetish</v>
      </c>
      <c r="G177" s="2" t="str">
        <f ca="1">IFERROR(__xludf.DUMMYFUNCTION("""COMPUTED_VALUE"""),"Skills")</f>
        <v>Skills</v>
      </c>
      <c r="H177" s="2" t="str">
        <f ca="1">IFERROR(__xludf.DUMMYFUNCTION("""COMPUTED_VALUE"""),"Myths tell that the gods of Greek pantheon dined on ambrosia, a substance beyond mortal comprehension. Well, might as well call what you whip up that now too. The tastes you can conjure now transcend the simple, physical sensation of eating and deeply tou"&amp;"ch the soul. What feeling you pour into your work can then be vicariously, rapturously felt by those whom partake, and this to include beings beyond the mortal coil and across all species boundaries. Ancient dragon goddess of Wrath? Good old Southern comf"&amp;"ort food would have them purring like a kitten in no time.")</f>
        <v>Myths tell that the gods of Greek pantheon dined on ambrosia, a substance beyond mortal comprehension. Well, might as well call what you whip up that now too. The tastes you can conjure now transcend the simple, physical sensation of eating and deeply touch the soul. What feeling you pour into your work can then be vicariously, rapturously felt by those whom partake, and this to include beings beyond the mortal coil and across all species boundaries. Ancient dragon goddess of Wrath? Good old Southern comfort food would have them purring like a kitten in no time.</v>
      </c>
      <c r="I177" s="5"/>
    </row>
    <row r="178" spans="1:9" ht="69.599999999999994" x14ac:dyDescent="0.25">
      <c r="A178" s="16"/>
      <c r="B178" s="17">
        <v>174</v>
      </c>
      <c r="C178" s="2" t="b">
        <f ca="1">IFERROR(__xludf.DUMMYFUNCTION("""COMPUTED_VALUE"""),FALSE)</f>
        <v>0</v>
      </c>
      <c r="D178" s="2">
        <f ca="1">IFERROR(__xludf.DUMMYFUNCTION("""COMPUTED_VALUE"""),500)</f>
        <v>500</v>
      </c>
      <c r="E178" s="2" t="str">
        <f ca="1">IFERROR(__xludf.DUMMYFUNCTION("""COMPUTED_VALUE"""),"Matchmaker")</f>
        <v>Matchmaker</v>
      </c>
      <c r="F178" s="2" t="str">
        <f ca="1">IFERROR(__xludf.DUMMYFUNCTION("""COMPUTED_VALUE"""),"Generic: Shotacon")</f>
        <v>Generic: Shotacon</v>
      </c>
      <c r="G178" s="2" t="str">
        <f ca="1">IFERROR(__xludf.DUMMYFUNCTION("""COMPUTED_VALUE"""),"Skills")</f>
        <v>Skills</v>
      </c>
      <c r="H178" s="2" t="str">
        <f ca="1">IFERROR(__xludf.DUMMYFUNCTION("""COMPUTED_VALUE"""),"You are the BEST match maker in the world. You are able to tell at a glance a person's kinks, pet peeves, likes, favorite foods, and other things about a person. And people who long for a lover but just cannot find/get one on their own, seem to be drawn t"&amp;"o you, like it was fate. Your also able to tell if they would make a good girlfriend/boyfriend to yourself or anyone you know.")</f>
        <v>You are the BEST match maker in the world. You are able to tell at a glance a person's kinks, pet peeves, likes, favorite foods, and other things about a person. And people who long for a lover but just cannot find/get one on their own, seem to be drawn to you, like it was fate. Your also able to tell if they would make a good girlfriend/boyfriend to yourself or anyone you know.</v>
      </c>
      <c r="I178" s="5"/>
    </row>
    <row r="179" spans="1:9" ht="104.4" x14ac:dyDescent="0.25">
      <c r="A179" s="16"/>
      <c r="B179" s="17">
        <v>175</v>
      </c>
      <c r="C179" s="2" t="b">
        <f ca="1">IFERROR(__xludf.DUMMYFUNCTION("""COMPUTED_VALUE"""),FALSE)</f>
        <v>0</v>
      </c>
      <c r="D179" s="2">
        <f ca="1">IFERROR(__xludf.DUMMYFUNCTION("""COMPUTED_VALUE"""),500)</f>
        <v>500</v>
      </c>
      <c r="E179" s="2" t="str">
        <f ca="1">IFERROR(__xludf.DUMMYFUNCTION("""COMPUTED_VALUE"""),"Prodigy")</f>
        <v>Prodigy</v>
      </c>
      <c r="F179" s="2" t="str">
        <f ca="1">IFERROR(__xludf.DUMMYFUNCTION("""COMPUTED_VALUE"""),"LeWdBY")</f>
        <v>LeWdBY</v>
      </c>
      <c r="G179" s="2" t="str">
        <f ca="1">IFERROR(__xludf.DUMMYFUNCTION("""COMPUTED_VALUE"""),"Skills")</f>
        <v>Skills</v>
      </c>
      <c r="H179" s="2" t="str">
        <f ca="1">IFERROR(__xludf.DUMMYFUNCTION("""COMPUTED_VALUE"""),"You are a legend in the making. Like the Invincible Girl Pyrrha Nikos you could take four other skilled peers by yourself without breaking a sweat. You gain fame quickly when you work to promote yourself, offers of interviews with cute reporters and break"&amp;"fast cereal endorsement contracts rolling in, and tend to gather fan clubs of attractive groupies for your exploits. And you’re as skilled a lover as you are a fighter, either from practicing with all those groupies or because you’ve been training just as"&amp;" hard to prepare for that one special someone you’re hoping to meet.")</f>
        <v>You are a legend in the making. Like the Invincible Girl Pyrrha Nikos you could take four other skilled peers by yourself without breaking a sweat. You gain fame quickly when you work to promote yourself, offers of interviews with cute reporters and breakfast cereal endorsement contracts rolling in, and tend to gather fan clubs of attractive groupies for your exploits. And you’re as skilled a lover as you are a fighter, either from practicing with all those groupies or because you’ve been training just as hard to prepare for that one special someone you’re hoping to meet.</v>
      </c>
      <c r="I179" s="5"/>
    </row>
    <row r="180" spans="1:9" ht="104.4" x14ac:dyDescent="0.25">
      <c r="A180" s="16"/>
      <c r="B180" s="17">
        <v>176</v>
      </c>
      <c r="C180" s="2" t="b">
        <f ca="1">IFERROR(__xludf.DUMMYFUNCTION("""COMPUTED_VALUE"""),FALSE)</f>
        <v>0</v>
      </c>
      <c r="D180" s="2">
        <f ca="1">IFERROR(__xludf.DUMMYFUNCTION("""COMPUTED_VALUE"""),600)</f>
        <v>600</v>
      </c>
      <c r="E180" s="2" t="str">
        <f ca="1">IFERROR(__xludf.DUMMYFUNCTION("""COMPUTED_VALUE"""),"Automated Tyranny")</f>
        <v>Automated Tyranny</v>
      </c>
      <c r="F180" s="2" t="str">
        <f ca="1">IFERROR(__xludf.DUMMYFUNCTION("""COMPUTED_VALUE"""),"Mage Kanade’s Futanari Dungeon Quest")</f>
        <v>Mage Kanade’s Futanari Dungeon Quest</v>
      </c>
      <c r="G180" s="2" t="str">
        <f ca="1">IFERROR(__xludf.DUMMYFUNCTION("""COMPUTED_VALUE"""),"Skills")</f>
        <v>Skills</v>
      </c>
      <c r="H180" s="2" t="str">
        <f ca="1">IFERROR(__xludf.DUMMYFUNCTION("""COMPUTED_VALUE"""),"This is a bit odd. It seems that you have the strange ability to take any technique you know and build a piece of technology that does the same thing. From lasers that implant commands into a victim’s mind to pods that do all the work of sexually subjugat"&amp;"ing prisoners, you can make devices that will save you tons of time that’s much better spent...I don’t know, napping? In any case, you also gain a mental cache of sex toy blueprints to start you out and help you get used to things, as well as the skills n"&amp;"eeded to build them quickly and efficiently. First onaholes, tomorrow the world!")</f>
        <v>This is a bit odd. It seems that you have the strange ability to take any technique you know and build a piece of technology that does the same thing. From lasers that implant commands into a victim’s mind to pods that do all the work of sexually subjugating prisoners, you can make devices that will save you tons of time that’s much better spent...I don’t know, napping? In any case, you also gain a mental cache of sex toy blueprints to start you out and help you get used to things, as well as the skills needed to build them quickly and efficiently. First onaholes, tomorrow the world!</v>
      </c>
      <c r="I180" s="5"/>
    </row>
    <row r="181" spans="1:9" ht="382.8" x14ac:dyDescent="0.25">
      <c r="A181" s="16"/>
      <c r="B181" s="17">
        <v>177</v>
      </c>
      <c r="C181" s="2" t="b">
        <f ca="1">IFERROR(__xludf.DUMMYFUNCTION("""COMPUTED_VALUE"""),FALSE)</f>
        <v>0</v>
      </c>
      <c r="D181" s="2">
        <f ca="1">IFERROR(__xludf.DUMMYFUNCTION("""COMPUTED_VALUE"""),600)</f>
        <v>600</v>
      </c>
      <c r="E181" s="2" t="str">
        <f ca="1">IFERROR(__xludf.DUMMYFUNCTION("""COMPUTED_VALUE"""),"Fuck the Man")</f>
        <v>Fuck the Man</v>
      </c>
      <c r="F181" s="2" t="str">
        <f ca="1">IFERROR(__xludf.DUMMYFUNCTION("""COMPUTED_VALUE"""),"World of Cybersluts")</f>
        <v>World of Cybersluts</v>
      </c>
      <c r="G181" s="2" t="str">
        <f ca="1">IFERROR(__xludf.DUMMYFUNCTION("""COMPUTED_VALUE"""),"Skills")</f>
        <v>Skills</v>
      </c>
      <c r="H181" s="2" t="str">
        <f ca="1">IFERROR(__xludf.DUMMYFUNCTION("""COMPUTED_VALUE"""),"This world is controlled by giant megacorps and there is little the people living in it can do about it. But maybe the people fucking in it can make a difference, because things just work out better for you if you mix some sexual tactics into the good fig"&amp;"ht.
To put it simply, the lewder you are, the more success you'll find as a runner. Just having regular sex will let you push your body and cyberware just that little bit further, giving you a slight but noticeable edge over everyone else. But the real b"&amp;"enefit of this only comes into play when you start to mix business with pleasure.
The more sex and carnality you indulge in during your jobs and fights, the easier they get. You run into opportunities to solve things in sexual ways far more often than yo"&amp;"u should, like the way you always seem to run into the most attractive security guards this side of the city, and using sexual tactics to achieve your goals tends to work out improbably well for you. You might seduce your way into getting your hands on to"&amp;"p-secret info and access, distract the elite guards of even the most secure facilities with a gangbang, or get through corporate ICE using a security gap that involves digitally fucking security’s avatars.
If you managed something truly ridiculously deba"&amp;"uched, you might even be able to take on a corp head-on. Dismantling power structures and revealing conspiracies through the power of incredibly wild public orgies or something like that. Just keep in mind that megacorps aren't known to give up easily or "&amp;"take things lying down. So either get out on time or make sure you have the stamina to keep fucking them.")</f>
        <v>This world is controlled by giant megacorps and there is little the people living in it can do about it. But maybe the people fucking in it can make a difference, because things just work out better for you if you mix some sexual tactics into the good fight.
To put it simply, the lewder you are, the more success you'll find as a runner. Just having regular sex will let you push your body and cyberware just that little bit further, giving you a slight but noticeable edge over everyone else. But the real benefit of this only comes into play when you start to mix business with pleasure.
The more sex and carnality you indulge in during your jobs and fights, the easier they get. You run into opportunities to solve things in sexual ways far more often than you should, like the way you always seem to run into the most attractive security guards this side of the city, and using sexual tactics to achieve your goals tends to work out improbably well for you. You might seduce your way into getting your hands on top-secret info and access, distract the elite guards of even the most secure facilities with a gangbang, or get through corporate ICE using a security gap that involves digitally fucking security’s avatars.
If you managed something truly ridiculously debauched, you might even be able to take on a corp head-on. Dismantling power structures and revealing conspiracies through the power of incredibly wild public orgies or something like that. Just keep in mind that megacorps aren't known to give up easily or take things lying down. So either get out on time or make sure you have the stamina to keep fucking them.</v>
      </c>
      <c r="I181" s="5"/>
    </row>
    <row r="182" spans="1:9" ht="208.8" x14ac:dyDescent="0.25">
      <c r="A182" s="16"/>
      <c r="B182" s="17">
        <v>178</v>
      </c>
      <c r="C182" s="2" t="b">
        <f ca="1">IFERROR(__xludf.DUMMYFUNCTION("""COMPUTED_VALUE"""),FALSE)</f>
        <v>0</v>
      </c>
      <c r="D182" s="2">
        <f ca="1">IFERROR(__xludf.DUMMYFUNCTION("""COMPUTED_VALUE"""),600)</f>
        <v>600</v>
      </c>
      <c r="E182" s="2" t="str">
        <f ca="1">IFERROR(__xludf.DUMMYFUNCTION("""COMPUTED_VALUE"""),"Long Live the King")</f>
        <v>Long Live the King</v>
      </c>
      <c r="F182" s="2" t="str">
        <f ca="1">IFERROR(__xludf.DUMMYFUNCTION("""COMPUTED_VALUE"""),"Breathless Wild")</f>
        <v>Breathless Wild</v>
      </c>
      <c r="G182" s="2" t="str">
        <f ca="1">IFERROR(__xludf.DUMMYFUNCTION("""COMPUTED_VALUE"""),"Skills")</f>
        <v>Skills</v>
      </c>
      <c r="H182" s="2" t="str">
        <f ca="1">IFERROR(__xludf.DUMMYFUNCTION("""COMPUTED_VALUE"""),"With the royal family either missing or long dead someone needs to step up to lead the survivors and start putting Hyrule back together and it may as well be you. You might not have a royal bloodline but you have everything else needed to be a worthy king"&amp;", from natural charisma to mastery of any mundane leadership skill you might care to name. Most of all, you inspire great love and devotion from your subjects (provided that you don’t mistreat them, of course) and inspire them to follow your example. If t"&amp;"he king enjoys BDSM then expect to see leather and chains become very popular attire, and if the king passes laws sanctioning the slave trade or requiring criminals be punished with time spent in the stockades as free-use sex slaves then expect them to be"&amp;" embraced with minimal complaint. Curiously, you’ll find that these sorts of policies are far more effective and beneficial for your kingdom than they really should be: bandits in the stockades make crime rates plunge dramatically, and the slave trade bec"&amp;"omes an immense boon for the economy. Your kingdom and subjects will thrive not despite how lewd they are but specifically because of it.")</f>
        <v>With the royal family either missing or long dead someone needs to step up to lead the survivors and start putting Hyrule back together and it may as well be you. You might not have a royal bloodline but you have everything else needed to be a worthy king, from natural charisma to mastery of any mundane leadership skill you might care to name. Most of all, you inspire great love and devotion from your subjects (provided that you don’t mistreat them, of course) and inspire them to follow your example. If the king enjoys BDSM then expect to see leather and chains become very popular attire, and if the king passes laws sanctioning the slave trade or requiring criminals be punished with time spent in the stockades as free-use sex slaves then expect them to be embraced with minimal complaint. Curiously, you’ll find that these sorts of policies are far more effective and beneficial for your kingdom than they really should be: bandits in the stockades make crime rates plunge dramatically, and the slave trade becomes an immense boon for the economy. Your kingdom and subjects will thrive not despite how lewd they are but specifically because of it.</v>
      </c>
      <c r="I182" s="5"/>
    </row>
    <row r="183" spans="1:9" ht="156.6" x14ac:dyDescent="0.25">
      <c r="A183" s="16"/>
      <c r="B183" s="17">
        <v>179</v>
      </c>
      <c r="C183" s="2" t="b">
        <f ca="1">IFERROR(__xludf.DUMMYFUNCTION("""COMPUTED_VALUE"""),FALSE)</f>
        <v>0</v>
      </c>
      <c r="D183" s="2">
        <f ca="1">IFERROR(__xludf.DUMMYFUNCTION("""COMPUTED_VALUE"""),600)</f>
        <v>600</v>
      </c>
      <c r="E183" s="2" t="str">
        <f ca="1">IFERROR(__xludf.DUMMYFUNCTION("""COMPUTED_VALUE"""),"Nanite Knowledge")</f>
        <v>Nanite Knowledge</v>
      </c>
      <c r="F183" s="2" t="str">
        <f ca="1">IFERROR(__xludf.DUMMYFUNCTION("""COMPUTED_VALUE"""),"Flexible Survival")</f>
        <v>Flexible Survival</v>
      </c>
      <c r="G183" s="2" t="str">
        <f ca="1">IFERROR(__xludf.DUMMYFUNCTION("""COMPUTED_VALUE"""),"Skills")</f>
        <v>Skills</v>
      </c>
      <c r="H183" s="2" t="str">
        <f ca="1">IFERROR(__xludf.DUMMYFUNCTION("""COMPUTED_VALUE"""),"You have expert knowledge on the science and programming behind bio-nanites. These airbourne protien/enzyme nanites are incredibly adept at manipulating organic matter, allowing for almost any alteration to a person's physiology. 
You gain the knowledge "&amp;"necessary to produce these bio-nanites in several set configurations (lewd ones, of course) but can, with effort and the considerable intelligence boost that you are also provided, learn to utilise the full potential of this incredible invention. Just be "&amp;"careful not to let them loose without significant care. Grey Goo scenarios are all the more horrific when it's only biological things that are dissolving.")</f>
        <v>You have expert knowledge on the science and programming behind bio-nanites. These airbourne protien/enzyme nanites are incredibly adept at manipulating organic matter, allowing for almost any alteration to a person's physiology. 
You gain the knowledge necessary to produce these bio-nanites in several set configurations (lewd ones, of course) but can, with effort and the considerable intelligence boost that you are also provided, learn to utilise the full potential of this incredible invention. Just be careful not to let them loose without significant care. Grey Goo scenarios are all the more horrific when it's only biological things that are dissolving.</v>
      </c>
      <c r="I183" s="5"/>
    </row>
    <row r="184" spans="1:9" ht="104.4" x14ac:dyDescent="0.25">
      <c r="A184" s="16"/>
      <c r="B184" s="17">
        <v>180</v>
      </c>
      <c r="C184" s="2" t="b">
        <f ca="1">IFERROR(__xludf.DUMMYFUNCTION("""COMPUTED_VALUE"""),FALSE)</f>
        <v>0</v>
      </c>
      <c r="D184" s="2">
        <f ca="1">IFERROR(__xludf.DUMMYFUNCTION("""COMPUTED_VALUE"""),600)</f>
        <v>600</v>
      </c>
      <c r="E184" s="2" t="str">
        <f ca="1">IFERROR(__xludf.DUMMYFUNCTION("""COMPUTED_VALUE"""),"Robotics")</f>
        <v>Robotics</v>
      </c>
      <c r="F184" s="2" t="str">
        <f ca="1">IFERROR(__xludf.DUMMYFUNCTION("""COMPUTED_VALUE"""),"LeWdBY")</f>
        <v>LeWdBY</v>
      </c>
      <c r="G184" s="2" t="str">
        <f ca="1">IFERROR(__xludf.DUMMYFUNCTION("""COMPUTED_VALUE"""),"Skills")</f>
        <v>Skills</v>
      </c>
      <c r="H184" s="2" t="str">
        <f ca="1">IFERROR(__xludf.DUMMYFUNCTION("""COMPUTED_VALUE"""),"When you were young, you had a dream: a sexbot with a soul. Unfortunately the military wouldn’t fund that, so you had to learn how to put other capabilities into the sexbot to justify the immense cost. You are now the equal to Dr. Polendina, whether you s"&amp;"tudied under him or are a rival genius. You have the engineering knowledge to build robots from the simple Knight all the way up to soul and aura bearing androids like Penny. Given the right resources, you could create a tentacle robot or something useful"&amp;" like a giant mecha or a machine to transfer aura from one person to another.")</f>
        <v>When you were young, you had a dream: a sexbot with a soul. Unfortunately the military wouldn’t fund that, so you had to learn how to put other capabilities into the sexbot to justify the immense cost. You are now the equal to Dr. Polendina, whether you studied under him or are a rival genius. You have the engineering knowledge to build robots from the simple Knight all the way up to soul and aura bearing androids like Penny. Given the right resources, you could create a tentacle robot or something useful like a giant mecha or a machine to transfer aura from one person to another.</v>
      </c>
      <c r="I184" s="5"/>
    </row>
    <row r="185" spans="1:9" ht="208.8" x14ac:dyDescent="0.25">
      <c r="A185" s="16"/>
      <c r="B185" s="17">
        <v>181</v>
      </c>
      <c r="C185" s="2" t="b">
        <f ca="1">IFERROR(__xludf.DUMMYFUNCTION("""COMPUTED_VALUE"""),FALSE)</f>
        <v>0</v>
      </c>
      <c r="D185" s="2">
        <f ca="1">IFERROR(__xludf.DUMMYFUNCTION("""COMPUTED_VALUE"""),600)</f>
        <v>600</v>
      </c>
      <c r="E185" s="2" t="str">
        <f ca="1">IFERROR(__xludf.DUMMYFUNCTION("""COMPUTED_VALUE"""),"Soul Fucking")</f>
        <v>Soul Fucking</v>
      </c>
      <c r="F185" s="2" t="str">
        <f ca="1">IFERROR(__xludf.DUMMYFUNCTION("""COMPUTED_VALUE"""),"Although Young People Recoil from Entering the Black Magic Industry...")</f>
        <v>Although Young People Recoil from Entering the Black Magic Industry...</v>
      </c>
      <c r="G185" s="2" t="str">
        <f ca="1">IFERROR(__xludf.DUMMYFUNCTION("""COMPUTED_VALUE"""),"Skills")</f>
        <v>Skills</v>
      </c>
      <c r="H185" s="2" t="str">
        <f ca="1">IFERROR(__xludf.DUMMYFUNCTION("""COMPUTED_VALUE"""),"You’ve mastered the succubus technique of causing someone to experience so much overwhelming pleasure that their soul escapes from their body without death . But little do they know, that’s just when the fun begins. You see, the soul is the very essence o"&amp;"f who someone is. Which means that any scrap of pleasure the soul experiences is felt by every last piece of one’s entire existence, from their skin to their organs to their very cells to their every thought. And because their soul has already left the bo"&amp;"dy, they’re unable to escape into unconsciousness, and without the limits of their flesh they can orgasm without end. Outside of the body the soul just looks like a blob, but you know the secret succubi/incubi techniques to shape it into whatever fun toy "&amp;"you want. Because they’re actually still alive, if you leave the soul alone for a while it will snap back to its body, although a small ritual will allow you to keep it separate from the body entirely until you push it back in. You can teach other people "&amp;"the effects of this perk, but make sure they’re someone you can entrust your soul to.")</f>
        <v>You’ve mastered the succubus technique of causing someone to experience so much overwhelming pleasure that their soul escapes from their body without death . But little do they know, that’s just when the fun begins. You see, the soul is the very essence of who someone is. Which means that any scrap of pleasure the soul experiences is felt by every last piece of one’s entire existence, from their skin to their organs to their very cells to their every thought. And because their soul has already left the body, they’re unable to escape into unconsciousness, and without the limits of their flesh they can orgasm without end. Outside of the body the soul just looks like a blob, but you know the secret succubi/incubi techniques to shape it into whatever fun toy you want. Because they’re actually still alive, if you leave the soul alone for a while it will snap back to its body, although a small ritual will allow you to keep it separate from the body entirely until you push it back in. You can teach other people the effects of this perk, but make sure they’re someone you can entrust your soul to.</v>
      </c>
      <c r="I185" s="5"/>
    </row>
    <row r="186" spans="1:9" ht="243.6" x14ac:dyDescent="0.25">
      <c r="A186" s="16"/>
      <c r="B186" s="17">
        <v>182</v>
      </c>
      <c r="C186" s="2" t="b">
        <f ca="1">IFERROR(__xludf.DUMMYFUNCTION("""COMPUTED_VALUE"""),FALSE)</f>
        <v>0</v>
      </c>
      <c r="D186" s="2">
        <f ca="1">IFERROR(__xludf.DUMMYFUNCTION("""COMPUTED_VALUE"""),600)</f>
        <v>600</v>
      </c>
      <c r="E186" s="2" t="str">
        <f ca="1">IFERROR(__xludf.DUMMYFUNCTION("""COMPUTED_VALUE"""),"Sufficently Analysed Magic")</f>
        <v>Sufficently Analysed Magic</v>
      </c>
      <c r="F186" s="2" t="str">
        <f ca="1">IFERROR(__xludf.DUMMYFUNCTION("""COMPUTED_VALUE"""),"World of Tentacles")</f>
        <v>World of Tentacles</v>
      </c>
      <c r="G186" s="2" t="str">
        <f ca="1">IFERROR(__xludf.DUMMYFUNCTION("""COMPUTED_VALUE"""),"Skills")</f>
        <v>Skills</v>
      </c>
      <c r="H186" s="2" t="str">
        <f ca="1">IFERROR(__xludf.DUMMYFUNCTION("""COMPUTED_VALUE"""),"Science is mankind’s ultimate weapon against an uncaring universe and the monsters which inhabit it. Any fool who claims that something cannot be understood or was not meant to be known simply lacks vision and dedication. You have the capacity to understa"&amp;"nd and dissect the workings of any phenomenon that you are able to observe, no matter how alien or esoteric it might be. A magical girl’s transformation magic could be broken down and reproduced in the form of a henshin device, while an eldritch horror’s "&amp;"regeneration power could lead you to a cure for cancer, or of cloning the beast and creating loyal monster spawn based off of it. 
Naturally your perverse proclivities color the effects of your work: lewd experiments will greatly increase your rate of pr"&amp;"ogress, and while you are able to produce “ordinary” technologies with this perk, you will find it a much easier process if your work contains side-effects or dependencies of a perverse nature. Certainly you can learn how to harness the power of love as a"&amp;" renewable energy source but if that source requires a magical girl to be hooked up to a fucking machine and used as a human generator then so much the better!")</f>
        <v>Science is mankind’s ultimate weapon against an uncaring universe and the monsters which inhabit it. Any fool who claims that something cannot be understood or was not meant to be known simply lacks vision and dedication. You have the capacity to understand and dissect the workings of any phenomenon that you are able to observe, no matter how alien or esoteric it might be. A magical girl’s transformation magic could be broken down and reproduced in the form of a henshin device, while an eldritch horror’s regeneration power could lead you to a cure for cancer, or of cloning the beast and creating loyal monster spawn based off of it. 
Naturally your perverse proclivities color the effects of your work: lewd experiments will greatly increase your rate of progress, and while you are able to produce “ordinary” technologies with this perk, you will find it a much easier process if your work contains side-effects or dependencies of a perverse nature. Certainly you can learn how to harness the power of love as a renewable energy source but if that source requires a magical girl to be hooked up to a fucking machine and used as a human generator then so much the better!</v>
      </c>
      <c r="I186" s="5"/>
    </row>
    <row r="187" spans="1:9" ht="174" x14ac:dyDescent="0.25">
      <c r="A187" s="16"/>
      <c r="B187" s="17">
        <v>183</v>
      </c>
      <c r="C187" s="2" t="b">
        <f ca="1">IFERROR(__xludf.DUMMYFUNCTION("""COMPUTED_VALUE"""),FALSE)</f>
        <v>0</v>
      </c>
      <c r="D187" s="2">
        <f ca="1">IFERROR(__xludf.DUMMYFUNCTION("""COMPUTED_VALUE"""),600)</f>
        <v>600</v>
      </c>
      <c r="E187" s="2" t="str">
        <f ca="1">IFERROR(__xludf.DUMMYFUNCTION("""COMPUTED_VALUE"""),"The Pervert of Tomorrow")</f>
        <v>The Pervert of Tomorrow</v>
      </c>
      <c r="F187" s="2" t="str">
        <f ca="1">IFERROR(__xludf.DUMMYFUNCTION("""COMPUTED_VALUE"""),"Elzikyuchi’s Dickgirls 2")</f>
        <v>Elzikyuchi’s Dickgirls 2</v>
      </c>
      <c r="G187" s="2" t="str">
        <f ca="1">IFERROR(__xludf.DUMMYFUNCTION("""COMPUTED_VALUE"""),"Skills")</f>
        <v>Skills</v>
      </c>
      <c r="H187" s="2" t="str">
        <f ca="1">IFERROR(__xludf.DUMMYFUNCTION("""COMPUTED_VALUE"""),"Not many versions of this world are explicitly futuristic or hold incredible technology, but certain occurrences are common enough that it makes one wonder. You might just be the reason for that, or one of them at the very least. You are now skilled enoug"&amp;"h to create advanced technology such as tangible holograms or sex robots strong enough to rape grown men and skilled enough to make them learn to love it, global systems that identify a person's sexual preferences and censor undesirable elements, or even "&amp;"create technology to stop time as long as you have the resources. One way or another these things tend towards perversion, meaning you can't just trap people you dislike in sensory isolation or kill someone within the frozen time, but you'd be surprised a"&amp;"t what enough rape can achieve. Similarly, you’ll find that turning existing inventions to lewd purposes allows you to make a number of upgrades to them, or possibly to churn them out dirt cheap.")</f>
        <v>Not many versions of this world are explicitly futuristic or hold incredible technology, but certain occurrences are common enough that it makes one wonder. You might just be the reason for that, or one of them at the very least. You are now skilled enough to create advanced technology such as tangible holograms or sex robots strong enough to rape grown men and skilled enough to make them learn to love it, global systems that identify a person's sexual preferences and censor undesirable elements, or even create technology to stop time as long as you have the resources. One way or another these things tend towards perversion, meaning you can't just trap people you dislike in sensory isolation or kill someone within the frozen time, but you'd be surprised at what enough rape can achieve. Similarly, you’ll find that turning existing inventions to lewd purposes allows you to make a number of upgrades to them, or possibly to churn them out dirt cheap.</v>
      </c>
      <c r="I187" s="5"/>
    </row>
    <row r="188" spans="1:9" ht="191.4" x14ac:dyDescent="0.25">
      <c r="A188" s="16"/>
      <c r="B188" s="17">
        <v>184</v>
      </c>
      <c r="C188" s="2" t="b">
        <f ca="1">IFERROR(__xludf.DUMMYFUNCTION("""COMPUTED_VALUE"""),FALSE)</f>
        <v>0</v>
      </c>
      <c r="D188" s="2">
        <f ca="1">IFERROR(__xludf.DUMMYFUNCTION("""COMPUTED_VALUE"""),600)</f>
        <v>600</v>
      </c>
      <c r="E188" s="2" t="str">
        <f ca="1">IFERROR(__xludf.DUMMYFUNCTION("""COMPUTED_VALUE"""),"Tohsaka Family Technique")</f>
        <v>Tohsaka Family Technique</v>
      </c>
      <c r="F188" s="2" t="str">
        <f ca="1">IFERROR(__xludf.DUMMYFUNCTION("""COMPUTED_VALUE"""),"Fate/Worm Night")</f>
        <v>Fate/Worm Night</v>
      </c>
      <c r="G188" s="2" t="str">
        <f ca="1">IFERROR(__xludf.DUMMYFUNCTION("""COMPUTED_VALUE"""),"Skills")</f>
        <v>Skills</v>
      </c>
      <c r="H188" s="2" t="str">
        <f ca="1">IFERROR(__xludf.DUMMYFUNCTION("""COMPUTED_VALUE"""),"So let me tell you a funny story that starts with an arranged marriage, and ends with the Tohsaka family head at the time running out on his fiance with a ton of research on gem related magecraft. It’s what founded the Tohsaka family of today. But prior t"&amp;"o that, their method of reaching the root was through some form of martial arts. You must be some sort of throwback, because you’re capable of using that style. It’s a mix of a dozen different normal martial arts, seven different reinforcement techniques,"&amp;" and a whole lot of spells that can be summed up as ‘I cast Fist’, or somehow involve doing so as part of their usage. ...There’s also one of the best massage techniques in the world trapped inside your brain alongside all this fighting, and entirely too "&amp;"many bedroom arts. Like seriously, heroic spirits who became heroic spirits because of how much they slept around would be in awe of the sheer lewdness you can bring to bear. At least that explains HOW your family managed to steal all that info on gemcraf"&amp;"t.")</f>
        <v>So let me tell you a funny story that starts with an arranged marriage, and ends with the Tohsaka family head at the time running out on his fiance with a ton of research on gem related magecraft. It’s what founded the Tohsaka family of today. But prior to that, their method of reaching the root was through some form of martial arts. You must be some sort of throwback, because you’re capable of using that style. It’s a mix of a dozen different normal martial arts, seven different reinforcement techniques, and a whole lot of spells that can be summed up as ‘I cast Fist’, or somehow involve doing so as part of their usage. ...There’s also one of the best massage techniques in the world trapped inside your brain alongside all this fighting, and entirely too many bedroom arts. Like seriously, heroic spirits who became heroic spirits because of how much they slept around would be in awe of the sheer lewdness you can bring to bear. At least that explains HOW your family managed to steal all that info on gemcraft.</v>
      </c>
      <c r="I188" s="5"/>
    </row>
    <row r="189" spans="1:9" ht="87" x14ac:dyDescent="0.25">
      <c r="A189" s="16"/>
      <c r="B189" s="17">
        <v>185</v>
      </c>
      <c r="C189" s="2" t="b">
        <f ca="1">IFERROR(__xludf.DUMMYFUNCTION("""COMPUTED_VALUE"""),FALSE)</f>
        <v>0</v>
      </c>
      <c r="D189" s="2">
        <f ca="1">IFERROR(__xludf.DUMMYFUNCTION("""COMPUTED_VALUE"""),600)</f>
        <v>600</v>
      </c>
      <c r="E189" s="2" t="str">
        <f ca="1">IFERROR(__xludf.DUMMYFUNCTION("""COMPUTED_VALUE"""),"We Can Rebuild Them!")</f>
        <v>We Can Rebuild Them!</v>
      </c>
      <c r="F189" s="2" t="str">
        <f ca="1">IFERROR(__xludf.DUMMYFUNCTION("""COMPUTED_VALUE"""),"Generic: Hentai Superheroes")</f>
        <v>Generic: Hentai Superheroes</v>
      </c>
      <c r="G189" s="2" t="str">
        <f ca="1">IFERROR(__xludf.DUMMYFUNCTION("""COMPUTED_VALUE"""),"Skills")</f>
        <v>Skills</v>
      </c>
      <c r="H189" s="2" t="str">
        <f ca="1">IFERROR(__xludf.DUMMYFUNCTION("""COMPUTED_VALUE"""),"Thanks to your immense genius, death is no longer the end for those around you. You can bring them back, make them better! Using cybernetics, you can now upgrade even a normal person to a mid-tier brute. And perhaps add a few other upgrades... A rotary di"&amp;"ldo, some titty missiles. Upgrade those knees so they have no problem being on them for a long time. Too bad you can’t do it to yourself.")</f>
        <v>Thanks to your immense genius, death is no longer the end for those around you. You can bring them back, make them better! Using cybernetics, you can now upgrade even a normal person to a mid-tier brute. And perhaps add a few other upgrades... A rotary dildo, some titty missiles. Upgrade those knees so they have no problem being on them for a long time. Too bad you can’t do it to yourself.</v>
      </c>
      <c r="I189" s="5"/>
    </row>
    <row r="190" spans="1:9" ht="17.399999999999999" x14ac:dyDescent="0.25">
      <c r="A190" s="16"/>
      <c r="B190" s="17"/>
      <c r="C190" s="2" t="b">
        <f ca="1">IFERROR(__xludf.DUMMYFUNCTION("""COMPUTED_VALUE"""),TRUE)</f>
        <v>1</v>
      </c>
      <c r="D190" s="2">
        <f ca="1">IFERROR(__xludf.DUMMYFUNCTION("""COMPUTED_VALUE"""),-100)</f>
        <v>-100</v>
      </c>
      <c r="E190" s="2" t="str">
        <f ca="1">IFERROR(__xludf.DUMMYFUNCTION("""COMPUTED_VALUE"""),"Purchased Perks")</f>
        <v>Purchased Perks</v>
      </c>
      <c r="F190" s="2">
        <f ca="1">IFERROR(__xludf.DUMMYFUNCTION("""COMPUTED_VALUE"""),12)</f>
        <v>12</v>
      </c>
      <c r="G190" s="2" t="str">
        <f ca="1">IFERROR(__xludf.DUMMYFUNCTION("""COMPUTED_VALUE"""),"Skills")</f>
        <v>Skills</v>
      </c>
      <c r="H190" s="2"/>
      <c r="I190" s="5"/>
    </row>
    <row r="191" spans="1:9" ht="17.399999999999999" x14ac:dyDescent="0.25">
      <c r="A191" s="16"/>
      <c r="B191" s="17"/>
      <c r="C191" s="2"/>
      <c r="D191" s="2"/>
      <c r="E191" s="2"/>
      <c r="F191" s="2"/>
      <c r="G191" s="2"/>
      <c r="H191" s="2"/>
      <c r="I191" s="5"/>
    </row>
    <row r="192" spans="1:9" ht="17.399999999999999" x14ac:dyDescent="0.25">
      <c r="A192" s="16"/>
      <c r="B192" s="17"/>
      <c r="C192" s="2"/>
      <c r="D192" s="2"/>
      <c r="E192" s="2"/>
      <c r="F192" s="2"/>
      <c r="G192" s="2"/>
      <c r="H192" s="2"/>
      <c r="I192" s="5"/>
    </row>
    <row r="193" spans="1:9" ht="17.399999999999999" x14ac:dyDescent="0.25">
      <c r="A193" s="16"/>
      <c r="B193" s="17"/>
      <c r="C193" s="2"/>
      <c r="D193" s="2"/>
      <c r="E193" s="2"/>
      <c r="F193" s="2"/>
      <c r="G193" s="2"/>
      <c r="H193" s="2"/>
      <c r="I193" s="5"/>
    </row>
    <row r="194" spans="1:9" ht="17.399999999999999" x14ac:dyDescent="0.25">
      <c r="A194" s="16"/>
      <c r="B194" s="17"/>
      <c r="C194" s="2"/>
      <c r="D194" s="2"/>
      <c r="E194" s="2"/>
      <c r="F194" s="2"/>
      <c r="G194" s="2"/>
      <c r="H194" s="2"/>
      <c r="I194" s="5"/>
    </row>
    <row r="195" spans="1:9" ht="17.399999999999999" x14ac:dyDescent="0.25">
      <c r="A195" s="16"/>
      <c r="B195" s="17"/>
      <c r="C195" s="2"/>
      <c r="D195" s="2"/>
      <c r="E195" s="2"/>
      <c r="F195" s="2"/>
      <c r="G195" s="2"/>
      <c r="H195" s="2"/>
      <c r="I195" s="5"/>
    </row>
    <row r="196" spans="1:9" ht="17.399999999999999" x14ac:dyDescent="0.25">
      <c r="A196" s="16"/>
      <c r="B196" s="17"/>
      <c r="C196" s="2"/>
      <c r="D196" s="2"/>
      <c r="E196" s="2"/>
      <c r="F196" s="2"/>
      <c r="G196" s="2"/>
      <c r="H196" s="2"/>
      <c r="I196" s="5"/>
    </row>
    <row r="197" spans="1:9" ht="17.399999999999999" x14ac:dyDescent="0.25">
      <c r="A197" s="16"/>
      <c r="B197" s="17"/>
      <c r="C197" s="2"/>
      <c r="D197" s="2"/>
      <c r="E197" s="2"/>
      <c r="F197" s="2"/>
      <c r="G197" s="2"/>
      <c r="H197" s="2"/>
      <c r="I197" s="5"/>
    </row>
    <row r="198" spans="1:9" ht="17.399999999999999" x14ac:dyDescent="0.25">
      <c r="A198" s="16"/>
      <c r="B198" s="17"/>
      <c r="C198" s="2"/>
      <c r="D198" s="2"/>
      <c r="E198" s="2"/>
      <c r="F198" s="2"/>
      <c r="G198" s="2"/>
      <c r="H198" s="2"/>
      <c r="I198" s="5"/>
    </row>
    <row r="199" spans="1:9" ht="17.399999999999999" x14ac:dyDescent="0.25">
      <c r="A199" s="16"/>
      <c r="B199" s="17"/>
      <c r="C199" s="2"/>
      <c r="D199" s="2"/>
      <c r="E199" s="2"/>
      <c r="F199" s="2"/>
      <c r="G199" s="2"/>
      <c r="H199" s="2"/>
      <c r="I199" s="5"/>
    </row>
    <row r="200" spans="1:9" ht="17.399999999999999" x14ac:dyDescent="0.25">
      <c r="A200" s="16"/>
      <c r="B200" s="17"/>
      <c r="C200" s="2"/>
      <c r="D200" s="2"/>
      <c r="E200" s="2"/>
      <c r="F200" s="2"/>
      <c r="G200" s="2"/>
      <c r="H200" s="2"/>
      <c r="I200" s="5"/>
    </row>
    <row r="201" spans="1:9" ht="17.399999999999999" x14ac:dyDescent="0.25">
      <c r="A201" s="16"/>
      <c r="B201" s="17"/>
      <c r="C201" s="2"/>
      <c r="D201" s="2"/>
      <c r="E201" s="2"/>
      <c r="F201" s="2"/>
      <c r="G201" s="2"/>
      <c r="H201" s="2"/>
      <c r="I201" s="5"/>
    </row>
    <row r="202" spans="1:9" ht="17.399999999999999" x14ac:dyDescent="0.25">
      <c r="A202" s="16"/>
      <c r="B202" s="17"/>
      <c r="C202" s="2"/>
      <c r="D202" s="2"/>
      <c r="E202" s="2"/>
      <c r="F202" s="2"/>
      <c r="G202" s="2"/>
      <c r="H202" s="2"/>
      <c r="I202" s="5"/>
    </row>
    <row r="203" spans="1:9" ht="17.399999999999999" x14ac:dyDescent="0.25">
      <c r="A203" s="16"/>
      <c r="B203" s="17"/>
      <c r="C203" s="2"/>
      <c r="D203" s="2"/>
      <c r="E203" s="2"/>
      <c r="F203" s="2"/>
      <c r="G203" s="2"/>
      <c r="H203" s="2"/>
      <c r="I203" s="5"/>
    </row>
    <row r="204" spans="1:9" ht="17.399999999999999" x14ac:dyDescent="0.25">
      <c r="A204" s="16"/>
      <c r="B204" s="17"/>
      <c r="C204" s="2"/>
      <c r="D204" s="2"/>
      <c r="E204" s="2"/>
      <c r="F204" s="2"/>
      <c r="G204" s="2"/>
      <c r="H204" s="2"/>
      <c r="I204" s="5"/>
    </row>
    <row r="205" spans="1:9" ht="17.399999999999999" x14ac:dyDescent="0.25">
      <c r="A205" s="16"/>
      <c r="B205" s="17"/>
      <c r="C205" s="2"/>
      <c r="D205" s="2"/>
      <c r="E205" s="2"/>
      <c r="F205" s="2"/>
      <c r="G205" s="2"/>
      <c r="H205" s="2"/>
      <c r="I205" s="5"/>
    </row>
    <row r="206" spans="1:9" ht="17.399999999999999" x14ac:dyDescent="0.25">
      <c r="A206" s="16"/>
      <c r="B206" s="17"/>
      <c r="C206" s="2"/>
      <c r="D206" s="2"/>
      <c r="E206" s="2"/>
      <c r="F206" s="2"/>
      <c r="G206" s="2"/>
      <c r="H206" s="2"/>
      <c r="I206" s="5"/>
    </row>
    <row r="207" spans="1:9" ht="17.399999999999999" x14ac:dyDescent="0.25">
      <c r="A207" s="16"/>
      <c r="B207" s="17"/>
      <c r="C207" s="2"/>
      <c r="D207" s="2"/>
      <c r="E207" s="2"/>
      <c r="F207" s="2"/>
      <c r="G207" s="2"/>
      <c r="H207" s="2"/>
      <c r="I207" s="5"/>
    </row>
    <row r="208" spans="1:9" ht="17.399999999999999" x14ac:dyDescent="0.25">
      <c r="A208" s="16"/>
      <c r="B208" s="17"/>
      <c r="C208" s="2"/>
      <c r="D208" s="2"/>
      <c r="E208" s="2"/>
      <c r="F208" s="2"/>
      <c r="G208" s="2"/>
      <c r="H208" s="2"/>
      <c r="I208" s="5"/>
    </row>
    <row r="209" spans="1:9" ht="17.399999999999999" x14ac:dyDescent="0.25">
      <c r="A209" s="16"/>
      <c r="B209" s="17"/>
      <c r="C209" s="2"/>
      <c r="D209" s="2"/>
      <c r="E209" s="2"/>
      <c r="F209" s="2"/>
      <c r="G209" s="2"/>
      <c r="H209" s="2"/>
      <c r="I209" s="5"/>
    </row>
    <row r="210" spans="1:9" ht="17.399999999999999" x14ac:dyDescent="0.25">
      <c r="A210" s="16"/>
      <c r="B210" s="17"/>
      <c r="C210" s="2"/>
      <c r="D210" s="2"/>
      <c r="E210" s="2"/>
      <c r="F210" s="2"/>
      <c r="G210" s="2"/>
      <c r="H210" s="2"/>
      <c r="I210" s="5"/>
    </row>
    <row r="211" spans="1:9" ht="17.399999999999999" x14ac:dyDescent="0.25">
      <c r="A211" s="16"/>
      <c r="B211" s="17"/>
      <c r="C211" s="2"/>
      <c r="D211" s="2"/>
      <c r="E211" s="2"/>
      <c r="F211" s="2"/>
      <c r="G211" s="2"/>
      <c r="H211" s="2"/>
      <c r="I211" s="5"/>
    </row>
    <row r="212" spans="1:9" ht="17.399999999999999" x14ac:dyDescent="0.25">
      <c r="A212" s="16"/>
      <c r="B212" s="17"/>
      <c r="C212" s="2"/>
      <c r="D212" s="2"/>
      <c r="E212" s="2"/>
      <c r="F212" s="2"/>
      <c r="G212" s="2"/>
      <c r="H212" s="2"/>
      <c r="I212" s="5"/>
    </row>
    <row r="213" spans="1:9" ht="17.399999999999999" x14ac:dyDescent="0.25">
      <c r="A213" s="16"/>
      <c r="B213" s="17"/>
      <c r="C213" s="2"/>
      <c r="D213" s="2"/>
      <c r="E213" s="2"/>
      <c r="F213" s="2"/>
      <c r="G213" s="2"/>
      <c r="H213" s="2"/>
      <c r="I213" s="5"/>
    </row>
    <row r="214" spans="1:9" ht="17.399999999999999" x14ac:dyDescent="0.25">
      <c r="A214" s="16"/>
      <c r="B214" s="17"/>
      <c r="C214" s="2"/>
      <c r="D214" s="2"/>
      <c r="E214" s="2"/>
      <c r="F214" s="2"/>
      <c r="G214" s="2"/>
      <c r="H214" s="2"/>
      <c r="I214" s="5"/>
    </row>
    <row r="215" spans="1:9" ht="17.399999999999999" x14ac:dyDescent="0.25">
      <c r="A215" s="16"/>
      <c r="B215" s="17"/>
      <c r="C215" s="2"/>
      <c r="D215" s="2"/>
      <c r="E215" s="2"/>
      <c r="F215" s="2"/>
      <c r="G215" s="2"/>
      <c r="H215" s="2"/>
      <c r="I215" s="5"/>
    </row>
    <row r="216" spans="1:9" ht="17.399999999999999" x14ac:dyDescent="0.25">
      <c r="A216" s="16"/>
      <c r="B216" s="17"/>
      <c r="C216" s="2"/>
      <c r="D216" s="2"/>
      <c r="E216" s="2"/>
      <c r="F216" s="2"/>
      <c r="G216" s="2"/>
      <c r="H216" s="2"/>
      <c r="I216" s="5"/>
    </row>
    <row r="217" spans="1:9" ht="17.399999999999999" x14ac:dyDescent="0.25">
      <c r="A217" s="16"/>
      <c r="B217" s="17"/>
      <c r="C217" s="2"/>
      <c r="D217" s="2"/>
      <c r="E217" s="2"/>
      <c r="F217" s="2"/>
      <c r="G217" s="2"/>
      <c r="H217" s="2"/>
      <c r="I217" s="5"/>
    </row>
    <row r="218" spans="1:9" ht="17.399999999999999" x14ac:dyDescent="0.25">
      <c r="A218" s="16"/>
      <c r="B218" s="17"/>
      <c r="C218" s="2"/>
      <c r="D218" s="2"/>
      <c r="E218" s="2"/>
      <c r="F218" s="2"/>
      <c r="G218" s="2"/>
      <c r="H218" s="2"/>
      <c r="I218" s="5"/>
    </row>
    <row r="219" spans="1:9" ht="17.399999999999999" x14ac:dyDescent="0.25">
      <c r="A219" s="16"/>
      <c r="B219" s="17"/>
      <c r="C219" s="2"/>
      <c r="D219" s="2"/>
      <c r="E219" s="2"/>
      <c r="F219" s="2"/>
      <c r="G219" s="2"/>
      <c r="H219" s="2"/>
      <c r="I219" s="5"/>
    </row>
    <row r="220" spans="1:9" ht="17.399999999999999" x14ac:dyDescent="0.25">
      <c r="A220" s="16"/>
      <c r="B220" s="17"/>
      <c r="C220" s="2"/>
      <c r="D220" s="2"/>
      <c r="E220" s="2"/>
      <c r="F220" s="2"/>
      <c r="G220" s="2"/>
      <c r="H220" s="2"/>
      <c r="I220" s="5"/>
    </row>
    <row r="221" spans="1:9" ht="17.399999999999999" x14ac:dyDescent="0.25">
      <c r="A221" s="16"/>
      <c r="B221" s="17"/>
      <c r="C221" s="2"/>
      <c r="D221" s="2"/>
      <c r="E221" s="2"/>
      <c r="F221" s="2"/>
      <c r="G221" s="2"/>
      <c r="H221" s="2"/>
      <c r="I221" s="5"/>
    </row>
    <row r="222" spans="1:9" ht="17.399999999999999" x14ac:dyDescent="0.25">
      <c r="A222" s="16"/>
      <c r="B222" s="17"/>
      <c r="C222" s="2"/>
      <c r="D222" s="2"/>
      <c r="E222" s="2"/>
      <c r="F222" s="2"/>
      <c r="G222" s="2"/>
      <c r="H222" s="2"/>
      <c r="I222" s="5"/>
    </row>
    <row r="223" spans="1:9" ht="17.399999999999999" x14ac:dyDescent="0.25">
      <c r="A223" s="16"/>
      <c r="B223" s="17"/>
      <c r="C223" s="2"/>
      <c r="D223" s="2"/>
      <c r="E223" s="2"/>
      <c r="F223" s="2"/>
      <c r="G223" s="2"/>
      <c r="H223" s="2"/>
      <c r="I223" s="5"/>
    </row>
    <row r="224" spans="1:9" ht="17.399999999999999" x14ac:dyDescent="0.25">
      <c r="A224" s="16"/>
      <c r="B224" s="17"/>
      <c r="C224" s="2"/>
      <c r="D224" s="2"/>
      <c r="E224" s="2"/>
      <c r="F224" s="2"/>
      <c r="G224" s="2"/>
      <c r="H224" s="2"/>
      <c r="I224" s="5"/>
    </row>
    <row r="225" spans="1:9" ht="17.399999999999999" x14ac:dyDescent="0.25">
      <c r="A225" s="16"/>
      <c r="B225" s="17"/>
      <c r="C225" s="2"/>
      <c r="D225" s="2"/>
      <c r="E225" s="2"/>
      <c r="F225" s="2"/>
      <c r="G225" s="2"/>
      <c r="H225" s="2"/>
      <c r="I225" s="5"/>
    </row>
    <row r="226" spans="1:9" ht="17.399999999999999" x14ac:dyDescent="0.25">
      <c r="A226" s="16"/>
      <c r="B226" s="17"/>
      <c r="C226" s="2"/>
      <c r="D226" s="2"/>
      <c r="E226" s="2"/>
      <c r="F226" s="2"/>
      <c r="G226" s="2"/>
      <c r="H226" s="2"/>
      <c r="I226" s="5"/>
    </row>
    <row r="227" spans="1:9" ht="17.399999999999999" x14ac:dyDescent="0.25">
      <c r="A227" s="16"/>
      <c r="B227" s="17"/>
      <c r="C227" s="2"/>
      <c r="D227" s="2"/>
      <c r="E227" s="2"/>
      <c r="F227" s="2"/>
      <c r="G227" s="2"/>
      <c r="H227" s="2"/>
      <c r="I227" s="5"/>
    </row>
    <row r="228" spans="1:9" ht="17.399999999999999" x14ac:dyDescent="0.25">
      <c r="A228" s="16"/>
      <c r="B228" s="17"/>
      <c r="C228" s="2"/>
      <c r="D228" s="2"/>
      <c r="E228" s="2"/>
      <c r="F228" s="2"/>
      <c r="G228" s="2"/>
      <c r="H228" s="2"/>
      <c r="I228" s="5"/>
    </row>
    <row r="229" spans="1:9" ht="17.399999999999999" x14ac:dyDescent="0.25">
      <c r="A229" s="16"/>
      <c r="B229" s="17"/>
      <c r="C229" s="2"/>
      <c r="D229" s="2"/>
      <c r="E229" s="2"/>
      <c r="F229" s="2"/>
      <c r="G229" s="2"/>
      <c r="H229" s="2"/>
      <c r="I229" s="5"/>
    </row>
    <row r="230" spans="1:9" ht="17.399999999999999" x14ac:dyDescent="0.25">
      <c r="A230" s="16"/>
      <c r="B230" s="17"/>
      <c r="C230" s="2"/>
      <c r="D230" s="2"/>
      <c r="E230" s="2"/>
      <c r="F230" s="2"/>
      <c r="G230" s="2"/>
      <c r="H230" s="2"/>
      <c r="I230" s="5"/>
    </row>
    <row r="231" spans="1:9" ht="17.399999999999999" x14ac:dyDescent="0.25">
      <c r="A231" s="16"/>
      <c r="B231" s="17"/>
      <c r="C231" s="2"/>
      <c r="D231" s="2"/>
      <c r="E231" s="2"/>
      <c r="F231" s="2"/>
      <c r="G231" s="2"/>
      <c r="H231" s="2"/>
      <c r="I231" s="5"/>
    </row>
    <row r="232" spans="1:9" ht="17.399999999999999" x14ac:dyDescent="0.25">
      <c r="A232" s="16"/>
      <c r="B232" s="17"/>
      <c r="C232" s="2"/>
      <c r="D232" s="2"/>
      <c r="E232" s="2"/>
      <c r="F232" s="2"/>
      <c r="G232" s="2"/>
      <c r="H232" s="2"/>
      <c r="I232" s="5"/>
    </row>
    <row r="233" spans="1:9" ht="17.399999999999999" x14ac:dyDescent="0.25">
      <c r="A233" s="16"/>
      <c r="B233" s="17"/>
      <c r="C233" s="2"/>
      <c r="D233" s="2"/>
      <c r="E233" s="2"/>
      <c r="F233" s="2"/>
      <c r="G233" s="2"/>
      <c r="H233" s="2"/>
      <c r="I233" s="5"/>
    </row>
    <row r="234" spans="1:9" ht="17.399999999999999" x14ac:dyDescent="0.25">
      <c r="A234" s="16"/>
      <c r="B234" s="17"/>
      <c r="C234" s="2"/>
      <c r="D234" s="2"/>
      <c r="E234" s="2"/>
      <c r="F234" s="2"/>
      <c r="G234" s="2"/>
      <c r="H234" s="2"/>
      <c r="I234" s="5"/>
    </row>
    <row r="235" spans="1:9" ht="17.399999999999999" x14ac:dyDescent="0.25">
      <c r="A235" s="16"/>
      <c r="B235" s="17"/>
      <c r="C235" s="2"/>
      <c r="D235" s="2"/>
      <c r="E235" s="2"/>
      <c r="F235" s="2"/>
      <c r="G235" s="2"/>
      <c r="H235" s="2"/>
      <c r="I235" s="5"/>
    </row>
    <row r="236" spans="1:9" ht="17.399999999999999" x14ac:dyDescent="0.25">
      <c r="A236" s="16"/>
      <c r="B236" s="17"/>
      <c r="C236" s="2"/>
      <c r="D236" s="2"/>
      <c r="E236" s="2"/>
      <c r="F236" s="2"/>
      <c r="G236" s="2"/>
      <c r="H236" s="2"/>
      <c r="I236" s="5"/>
    </row>
    <row r="237" spans="1:9" ht="17.399999999999999" x14ac:dyDescent="0.25">
      <c r="A237" s="16"/>
      <c r="B237" s="17"/>
      <c r="C237" s="2"/>
      <c r="D237" s="2"/>
      <c r="E237" s="2"/>
      <c r="F237" s="2"/>
      <c r="G237" s="2"/>
      <c r="H237" s="2"/>
      <c r="I237" s="5"/>
    </row>
    <row r="238" spans="1:9" ht="17.399999999999999" x14ac:dyDescent="0.25">
      <c r="A238" s="16"/>
      <c r="B238" s="17"/>
      <c r="C238" s="2"/>
      <c r="D238" s="2"/>
      <c r="E238" s="2"/>
      <c r="F238" s="2"/>
      <c r="G238" s="2"/>
      <c r="H238" s="2"/>
      <c r="I238" s="5"/>
    </row>
    <row r="239" spans="1:9" ht="17.399999999999999" x14ac:dyDescent="0.25">
      <c r="A239" s="16"/>
      <c r="B239" s="17"/>
      <c r="C239" s="2"/>
      <c r="D239" s="2"/>
      <c r="E239" s="2"/>
      <c r="F239" s="2"/>
      <c r="G239" s="2"/>
      <c r="H239" s="2"/>
      <c r="I239" s="5"/>
    </row>
    <row r="240" spans="1:9" ht="17.399999999999999" x14ac:dyDescent="0.25">
      <c r="A240" s="16"/>
      <c r="B240" s="17"/>
      <c r="C240" s="2"/>
      <c r="D240" s="2"/>
      <c r="E240" s="2"/>
      <c r="F240" s="2"/>
      <c r="G240" s="2"/>
      <c r="H240" s="2"/>
      <c r="I240" s="5"/>
    </row>
    <row r="241" spans="1:9" ht="17.399999999999999" x14ac:dyDescent="0.25">
      <c r="A241" s="16"/>
      <c r="B241" s="17"/>
      <c r="C241" s="2"/>
      <c r="D241" s="2"/>
      <c r="E241" s="2"/>
      <c r="F241" s="2"/>
      <c r="G241" s="2"/>
      <c r="H241" s="2"/>
      <c r="I241" s="5"/>
    </row>
    <row r="242" spans="1:9" ht="17.399999999999999" x14ac:dyDescent="0.25">
      <c r="A242" s="16"/>
      <c r="B242" s="17"/>
      <c r="C242" s="2"/>
      <c r="D242" s="2"/>
      <c r="E242" s="2"/>
      <c r="F242" s="2"/>
      <c r="G242" s="2"/>
      <c r="H242" s="2"/>
      <c r="I242" s="5"/>
    </row>
    <row r="243" spans="1:9" ht="17.399999999999999" x14ac:dyDescent="0.25">
      <c r="A243" s="16"/>
      <c r="B243" s="17"/>
      <c r="C243" s="2"/>
      <c r="D243" s="2"/>
      <c r="E243" s="2"/>
      <c r="F243" s="2"/>
      <c r="G243" s="2"/>
      <c r="H243" s="2"/>
      <c r="I243" s="5"/>
    </row>
    <row r="244" spans="1:9" ht="17.399999999999999" x14ac:dyDescent="0.25">
      <c r="A244" s="16"/>
      <c r="B244" s="17"/>
      <c r="C244" s="2"/>
      <c r="D244" s="2"/>
      <c r="E244" s="2"/>
      <c r="F244" s="2"/>
      <c r="G244" s="2"/>
      <c r="H244" s="2"/>
      <c r="I244" s="5"/>
    </row>
    <row r="245" spans="1:9" ht="17.399999999999999" x14ac:dyDescent="0.25">
      <c r="A245" s="16"/>
      <c r="B245" s="17"/>
      <c r="C245" s="2"/>
      <c r="D245" s="2"/>
      <c r="E245" s="2"/>
      <c r="F245" s="2"/>
      <c r="G245" s="2"/>
      <c r="H245" s="2"/>
      <c r="I245" s="5"/>
    </row>
    <row r="246" spans="1:9" ht="17.399999999999999" x14ac:dyDescent="0.25">
      <c r="A246" s="16"/>
      <c r="B246" s="17"/>
      <c r="C246" s="2"/>
      <c r="D246" s="2"/>
      <c r="E246" s="2"/>
      <c r="F246" s="2"/>
      <c r="G246" s="2"/>
      <c r="H246" s="2"/>
      <c r="I246" s="5"/>
    </row>
    <row r="247" spans="1:9" ht="17.399999999999999" x14ac:dyDescent="0.25">
      <c r="A247" s="16"/>
      <c r="B247" s="17"/>
      <c r="C247" s="2"/>
      <c r="D247" s="2"/>
      <c r="E247" s="2"/>
      <c r="F247" s="2"/>
      <c r="G247" s="2"/>
      <c r="H247" s="2"/>
      <c r="I247" s="5"/>
    </row>
    <row r="248" spans="1:9" ht="17.399999999999999" x14ac:dyDescent="0.25">
      <c r="A248" s="16"/>
      <c r="B248" s="17"/>
      <c r="C248" s="2"/>
      <c r="D248" s="2"/>
      <c r="E248" s="2"/>
      <c r="F248" s="2"/>
      <c r="G248" s="2"/>
      <c r="H248" s="2"/>
      <c r="I248" s="5"/>
    </row>
    <row r="249" spans="1:9" ht="17.399999999999999" x14ac:dyDescent="0.25">
      <c r="A249" s="16"/>
      <c r="B249" s="17"/>
      <c r="C249" s="2"/>
      <c r="D249" s="2"/>
      <c r="E249" s="2"/>
      <c r="F249" s="2"/>
      <c r="G249" s="2"/>
      <c r="H249" s="2"/>
      <c r="I249" s="5"/>
    </row>
    <row r="250" spans="1:9" ht="17.399999999999999" x14ac:dyDescent="0.25">
      <c r="A250" s="16"/>
      <c r="B250" s="17"/>
      <c r="C250" s="2"/>
      <c r="D250" s="2"/>
      <c r="E250" s="2"/>
      <c r="F250" s="2"/>
      <c r="G250" s="2"/>
      <c r="H250" s="2"/>
      <c r="I250" s="5"/>
    </row>
    <row r="251" spans="1:9" ht="17.399999999999999" x14ac:dyDescent="0.25">
      <c r="A251" s="16"/>
      <c r="B251" s="17"/>
      <c r="C251" s="2"/>
      <c r="D251" s="2"/>
      <c r="E251" s="2"/>
      <c r="F251" s="2"/>
      <c r="G251" s="2"/>
      <c r="H251" s="2"/>
      <c r="I251" s="5"/>
    </row>
    <row r="252" spans="1:9" ht="17.399999999999999" x14ac:dyDescent="0.25">
      <c r="A252" s="16"/>
      <c r="B252" s="17"/>
      <c r="C252" s="2"/>
      <c r="D252" s="2"/>
      <c r="E252" s="2"/>
      <c r="F252" s="2"/>
      <c r="G252" s="2"/>
      <c r="H252" s="2"/>
      <c r="I252" s="5"/>
    </row>
    <row r="253" spans="1:9" ht="17.399999999999999" x14ac:dyDescent="0.25">
      <c r="A253" s="16"/>
      <c r="B253" s="17"/>
      <c r="C253" s="2"/>
      <c r="D253" s="2"/>
      <c r="E253" s="2"/>
      <c r="F253" s="2"/>
      <c r="G253" s="2"/>
      <c r="H253" s="2"/>
      <c r="I253" s="5"/>
    </row>
    <row r="254" spans="1:9" ht="17.399999999999999" x14ac:dyDescent="0.25">
      <c r="A254" s="16"/>
      <c r="B254" s="17"/>
      <c r="C254" s="2"/>
      <c r="D254" s="2"/>
      <c r="E254" s="2"/>
      <c r="F254" s="2"/>
      <c r="G254" s="2"/>
      <c r="H254" s="2"/>
      <c r="I254" s="5"/>
    </row>
    <row r="255" spans="1:9" ht="17.399999999999999" x14ac:dyDescent="0.25">
      <c r="A255" s="16"/>
      <c r="B255" s="17"/>
      <c r="C255" s="2"/>
      <c r="D255" s="2"/>
      <c r="E255" s="2"/>
      <c r="F255" s="2"/>
      <c r="G255" s="2"/>
      <c r="H255" s="2"/>
      <c r="I255" s="5"/>
    </row>
    <row r="256" spans="1:9" ht="17.399999999999999" x14ac:dyDescent="0.25">
      <c r="A256" s="16"/>
      <c r="B256" s="17"/>
      <c r="C256" s="2"/>
      <c r="D256" s="2"/>
      <c r="E256" s="2"/>
      <c r="F256" s="2"/>
      <c r="G256" s="2"/>
      <c r="H256" s="2"/>
      <c r="I256" s="5"/>
    </row>
    <row r="257" spans="1:9" ht="17.399999999999999" x14ac:dyDescent="0.25">
      <c r="A257" s="16"/>
      <c r="B257" s="17"/>
      <c r="C257" s="2"/>
      <c r="D257" s="2"/>
      <c r="E257" s="2"/>
      <c r="F257" s="2"/>
      <c r="G257" s="2"/>
      <c r="H257" s="2"/>
      <c r="I257" s="5"/>
    </row>
    <row r="258" spans="1:9" ht="17.399999999999999" x14ac:dyDescent="0.25">
      <c r="A258" s="16"/>
      <c r="B258" s="17"/>
      <c r="C258" s="2"/>
      <c r="D258" s="2"/>
      <c r="E258" s="2"/>
      <c r="F258" s="2"/>
      <c r="G258" s="2"/>
      <c r="H258" s="2"/>
      <c r="I258" s="5"/>
    </row>
    <row r="259" spans="1:9" ht="17.399999999999999" x14ac:dyDescent="0.25">
      <c r="A259" s="16"/>
      <c r="B259" s="17"/>
      <c r="C259" s="2"/>
      <c r="D259" s="2"/>
      <c r="E259" s="2"/>
      <c r="F259" s="2"/>
      <c r="G259" s="2"/>
      <c r="H259" s="2"/>
      <c r="I259" s="5"/>
    </row>
    <row r="260" spans="1:9" ht="17.399999999999999" x14ac:dyDescent="0.25">
      <c r="A260" s="16"/>
      <c r="B260" s="17"/>
      <c r="C260" s="2"/>
      <c r="D260" s="2"/>
      <c r="E260" s="2"/>
      <c r="F260" s="2"/>
      <c r="G260" s="2"/>
      <c r="H260" s="2"/>
      <c r="I260" s="5"/>
    </row>
    <row r="261" spans="1:9" ht="17.399999999999999" x14ac:dyDescent="0.25">
      <c r="A261" s="16"/>
      <c r="B261" s="17"/>
      <c r="C261" s="2"/>
      <c r="D261" s="2"/>
      <c r="E261" s="2"/>
      <c r="F261" s="2"/>
      <c r="G261" s="2"/>
      <c r="H261" s="2"/>
      <c r="I261" s="5"/>
    </row>
    <row r="262" spans="1:9" ht="17.399999999999999" x14ac:dyDescent="0.25">
      <c r="A262" s="16"/>
      <c r="B262" s="17"/>
      <c r="C262" s="2"/>
      <c r="D262" s="2"/>
      <c r="E262" s="2"/>
      <c r="F262" s="2"/>
      <c r="G262" s="2"/>
      <c r="H262" s="2"/>
      <c r="I262" s="5"/>
    </row>
    <row r="263" spans="1:9" ht="17.399999999999999" x14ac:dyDescent="0.25">
      <c r="A263" s="16"/>
      <c r="B263" s="17"/>
      <c r="C263" s="2"/>
      <c r="D263" s="2"/>
      <c r="E263" s="2"/>
      <c r="F263" s="2"/>
      <c r="G263" s="2"/>
      <c r="H263" s="2"/>
      <c r="I263" s="5"/>
    </row>
    <row r="264" spans="1:9" ht="17.399999999999999" x14ac:dyDescent="0.25">
      <c r="A264" s="16"/>
      <c r="B264" s="17"/>
      <c r="C264" s="2"/>
      <c r="D264" s="2"/>
      <c r="E264" s="2"/>
      <c r="F264" s="2"/>
      <c r="G264" s="2"/>
      <c r="H264" s="2"/>
      <c r="I264" s="5"/>
    </row>
    <row r="265" spans="1:9" ht="17.399999999999999" x14ac:dyDescent="0.25">
      <c r="A265" s="16"/>
      <c r="B265" s="17"/>
      <c r="C265" s="2"/>
      <c r="D265" s="2"/>
      <c r="E265" s="2"/>
      <c r="F265" s="2"/>
      <c r="G265" s="2"/>
      <c r="H265" s="2"/>
      <c r="I265" s="5"/>
    </row>
    <row r="266" spans="1:9" ht="17.399999999999999" x14ac:dyDescent="0.25">
      <c r="A266" s="16"/>
      <c r="B266" s="17"/>
      <c r="C266" s="2"/>
      <c r="D266" s="2"/>
      <c r="E266" s="2"/>
      <c r="F266" s="2"/>
      <c r="G266" s="2"/>
      <c r="H266" s="2"/>
      <c r="I266" s="5"/>
    </row>
    <row r="267" spans="1:9" ht="17.399999999999999" x14ac:dyDescent="0.25">
      <c r="A267" s="16"/>
      <c r="B267" s="17"/>
      <c r="C267" s="2"/>
      <c r="D267" s="2"/>
      <c r="E267" s="2"/>
      <c r="F267" s="2"/>
      <c r="G267" s="2"/>
      <c r="H267" s="2"/>
      <c r="I267" s="5"/>
    </row>
    <row r="268" spans="1:9" ht="17.399999999999999" x14ac:dyDescent="0.25">
      <c r="A268" s="16"/>
      <c r="B268" s="17"/>
      <c r="C268" s="2"/>
      <c r="D268" s="2"/>
      <c r="E268" s="2"/>
      <c r="F268" s="2"/>
      <c r="G268" s="2"/>
      <c r="H268" s="2"/>
      <c r="I268" s="5"/>
    </row>
    <row r="269" spans="1:9" ht="17.399999999999999" x14ac:dyDescent="0.25">
      <c r="A269" s="16"/>
      <c r="B269" s="17"/>
      <c r="C269" s="2"/>
      <c r="D269" s="2"/>
      <c r="E269" s="2"/>
      <c r="F269" s="2"/>
      <c r="G269" s="2"/>
      <c r="H269" s="2"/>
      <c r="I269" s="5"/>
    </row>
    <row r="270" spans="1:9" ht="17.399999999999999" x14ac:dyDescent="0.25">
      <c r="A270" s="16"/>
      <c r="B270" s="17"/>
      <c r="C270" s="2"/>
      <c r="D270" s="2"/>
      <c r="E270" s="2"/>
      <c r="F270" s="2"/>
      <c r="G270" s="2"/>
      <c r="H270" s="2"/>
      <c r="I270" s="5"/>
    </row>
    <row r="271" spans="1:9" ht="17.399999999999999" x14ac:dyDescent="0.25">
      <c r="A271" s="16"/>
      <c r="B271" s="17"/>
      <c r="C271" s="2"/>
      <c r="D271" s="2"/>
      <c r="E271" s="2"/>
      <c r="F271" s="2"/>
      <c r="G271" s="2"/>
      <c r="H271" s="2"/>
      <c r="I271" s="5"/>
    </row>
    <row r="272" spans="1:9" ht="17.399999999999999" x14ac:dyDescent="0.25">
      <c r="A272" s="16"/>
      <c r="B272" s="17"/>
      <c r="C272" s="2"/>
      <c r="D272" s="2"/>
      <c r="E272" s="2"/>
      <c r="F272" s="2"/>
      <c r="G272" s="2"/>
      <c r="H272" s="2"/>
      <c r="I272" s="5"/>
    </row>
    <row r="273" spans="1:9" ht="17.399999999999999" x14ac:dyDescent="0.25">
      <c r="A273" s="16"/>
      <c r="B273" s="17"/>
      <c r="C273" s="2"/>
      <c r="D273" s="2"/>
      <c r="E273" s="2"/>
      <c r="F273" s="2"/>
      <c r="G273" s="2"/>
      <c r="H273" s="2"/>
      <c r="I273" s="5"/>
    </row>
    <row r="274" spans="1:9" ht="17.399999999999999" x14ac:dyDescent="0.25">
      <c r="A274" s="16"/>
      <c r="B274" s="17"/>
      <c r="C274" s="2"/>
      <c r="D274" s="2"/>
      <c r="E274" s="2"/>
      <c r="F274" s="2"/>
      <c r="G274" s="2"/>
      <c r="H274" s="2"/>
      <c r="I274" s="5"/>
    </row>
    <row r="275" spans="1:9" ht="17.399999999999999" x14ac:dyDescent="0.25">
      <c r="A275" s="16"/>
      <c r="B275" s="17"/>
      <c r="C275" s="2"/>
      <c r="D275" s="2"/>
      <c r="E275" s="2"/>
      <c r="F275" s="2"/>
      <c r="G275" s="2"/>
      <c r="H275" s="2"/>
      <c r="I275" s="5"/>
    </row>
    <row r="276" spans="1:9" ht="17.399999999999999" x14ac:dyDescent="0.25">
      <c r="A276" s="16"/>
      <c r="B276" s="17"/>
      <c r="C276" s="2"/>
      <c r="D276" s="2"/>
      <c r="E276" s="2"/>
      <c r="F276" s="2"/>
      <c r="G276" s="2"/>
      <c r="H276" s="2"/>
      <c r="I276" s="5"/>
    </row>
    <row r="277" spans="1:9" ht="17.399999999999999" x14ac:dyDescent="0.25">
      <c r="A277" s="16"/>
      <c r="B277" s="17"/>
      <c r="C277" s="2"/>
      <c r="D277" s="2"/>
      <c r="E277" s="2"/>
      <c r="F277" s="2"/>
      <c r="G277" s="2"/>
      <c r="H277" s="2"/>
      <c r="I277" s="5"/>
    </row>
    <row r="278" spans="1:9" ht="17.399999999999999" x14ac:dyDescent="0.25">
      <c r="A278" s="16"/>
      <c r="B278" s="17"/>
      <c r="C278" s="2"/>
      <c r="D278" s="2"/>
      <c r="E278" s="2"/>
      <c r="F278" s="2"/>
      <c r="G278" s="2"/>
      <c r="H278" s="2"/>
      <c r="I278" s="5"/>
    </row>
    <row r="279" spans="1:9" ht="17.399999999999999" x14ac:dyDescent="0.25">
      <c r="A279" s="16"/>
      <c r="B279" s="17"/>
      <c r="C279" s="2"/>
      <c r="D279" s="2"/>
      <c r="E279" s="2"/>
      <c r="F279" s="2"/>
      <c r="G279" s="2"/>
      <c r="H279" s="2"/>
      <c r="I279" s="5"/>
    </row>
    <row r="280" spans="1:9" ht="17.399999999999999" x14ac:dyDescent="0.25">
      <c r="A280" s="16"/>
      <c r="B280" s="17"/>
      <c r="C280" s="2"/>
      <c r="D280" s="2"/>
      <c r="E280" s="2"/>
      <c r="F280" s="2"/>
      <c r="G280" s="2"/>
      <c r="H280" s="2"/>
      <c r="I280" s="5"/>
    </row>
    <row r="281" spans="1:9" ht="17.399999999999999" x14ac:dyDescent="0.25">
      <c r="A281" s="16"/>
      <c r="B281" s="17"/>
      <c r="C281" s="2"/>
      <c r="D281" s="2"/>
      <c r="E281" s="2"/>
      <c r="F281" s="2"/>
      <c r="G281" s="2"/>
      <c r="H281" s="2"/>
      <c r="I281" s="5"/>
    </row>
    <row r="282" spans="1:9" ht="17.399999999999999" x14ac:dyDescent="0.25">
      <c r="A282" s="16"/>
      <c r="B282" s="17"/>
      <c r="C282" s="2"/>
      <c r="D282" s="2"/>
      <c r="E282" s="2"/>
      <c r="F282" s="2"/>
      <c r="G282" s="2"/>
      <c r="H282" s="2"/>
      <c r="I282" s="5"/>
    </row>
    <row r="283" spans="1:9" ht="17.399999999999999" x14ac:dyDescent="0.25">
      <c r="A283" s="16"/>
      <c r="B283" s="17"/>
      <c r="C283" s="2"/>
      <c r="D283" s="2"/>
      <c r="E283" s="2"/>
      <c r="F283" s="2"/>
      <c r="G283" s="2"/>
      <c r="H283" s="2"/>
      <c r="I283" s="5"/>
    </row>
    <row r="284" spans="1:9" ht="17.399999999999999" x14ac:dyDescent="0.25">
      <c r="A284" s="16"/>
      <c r="B284" s="17"/>
      <c r="C284" s="2"/>
      <c r="D284" s="2"/>
      <c r="E284" s="2"/>
      <c r="F284" s="2"/>
      <c r="G284" s="2"/>
      <c r="H284" s="2"/>
      <c r="I284" s="5"/>
    </row>
    <row r="285" spans="1:9" ht="17.399999999999999" x14ac:dyDescent="0.25">
      <c r="A285" s="16"/>
      <c r="B285" s="17"/>
      <c r="C285" s="2"/>
      <c r="D285" s="2"/>
      <c r="E285" s="2"/>
      <c r="F285" s="2"/>
      <c r="G285" s="2"/>
      <c r="H285" s="2"/>
      <c r="I285" s="5"/>
    </row>
    <row r="286" spans="1:9" ht="17.399999999999999" x14ac:dyDescent="0.25">
      <c r="A286" s="16"/>
      <c r="B286" s="17"/>
      <c r="C286" s="2"/>
      <c r="D286" s="2"/>
      <c r="E286" s="2"/>
      <c r="F286" s="2"/>
      <c r="G286" s="2"/>
      <c r="H286" s="2"/>
      <c r="I286" s="5"/>
    </row>
    <row r="287" spans="1:9" ht="17.399999999999999" x14ac:dyDescent="0.25">
      <c r="A287" s="16"/>
      <c r="B287" s="17"/>
      <c r="C287" s="2"/>
      <c r="D287" s="2"/>
      <c r="E287" s="2"/>
      <c r="F287" s="2"/>
      <c r="G287" s="2"/>
      <c r="H287" s="2"/>
      <c r="I287" s="5"/>
    </row>
    <row r="288" spans="1:9" ht="17.399999999999999" x14ac:dyDescent="0.25">
      <c r="A288" s="16"/>
      <c r="B288" s="17"/>
      <c r="C288" s="2"/>
      <c r="D288" s="2"/>
      <c r="E288" s="2"/>
      <c r="F288" s="2"/>
      <c r="G288" s="2"/>
      <c r="H288" s="2"/>
      <c r="I288" s="5"/>
    </row>
    <row r="289" spans="1:9" ht="17.399999999999999" x14ac:dyDescent="0.25">
      <c r="A289" s="16"/>
      <c r="B289" s="17"/>
      <c r="C289" s="2"/>
      <c r="D289" s="2"/>
      <c r="E289" s="2"/>
      <c r="F289" s="2"/>
      <c r="G289" s="2"/>
      <c r="H289" s="2"/>
      <c r="I289" s="5"/>
    </row>
    <row r="290" spans="1:9" ht="17.399999999999999" x14ac:dyDescent="0.25">
      <c r="A290" s="16"/>
      <c r="B290" s="17"/>
      <c r="C290" s="2"/>
      <c r="D290" s="2"/>
      <c r="E290" s="2"/>
      <c r="F290" s="2"/>
      <c r="G290" s="2"/>
      <c r="H290" s="2"/>
      <c r="I290" s="5"/>
    </row>
    <row r="291" spans="1:9" ht="17.399999999999999" x14ac:dyDescent="0.25">
      <c r="A291" s="16"/>
      <c r="B291" s="17"/>
      <c r="C291" s="2"/>
      <c r="D291" s="2"/>
      <c r="E291" s="2"/>
      <c r="F291" s="2"/>
      <c r="G291" s="2"/>
      <c r="H291" s="2"/>
      <c r="I291" s="5"/>
    </row>
    <row r="292" spans="1:9" ht="17.399999999999999" x14ac:dyDescent="0.25">
      <c r="A292" s="16"/>
      <c r="B292" s="17"/>
      <c r="C292" s="2"/>
      <c r="D292" s="2"/>
      <c r="E292" s="2"/>
      <c r="F292" s="2"/>
      <c r="G292" s="2"/>
      <c r="H292" s="2"/>
      <c r="I292" s="5"/>
    </row>
    <row r="293" spans="1:9" ht="17.399999999999999" x14ac:dyDescent="0.25">
      <c r="A293" s="16"/>
      <c r="B293" s="17"/>
      <c r="C293" s="2"/>
      <c r="D293" s="2"/>
      <c r="E293" s="2"/>
      <c r="F293" s="2"/>
      <c r="G293" s="2"/>
      <c r="H293" s="2"/>
      <c r="I293" s="5"/>
    </row>
    <row r="294" spans="1:9" ht="17.399999999999999" x14ac:dyDescent="0.25">
      <c r="A294" s="16"/>
      <c r="B294" s="17"/>
      <c r="C294" s="2"/>
      <c r="D294" s="2"/>
      <c r="E294" s="2"/>
      <c r="F294" s="2"/>
      <c r="G294" s="2"/>
      <c r="H294" s="2"/>
      <c r="I294" s="5"/>
    </row>
    <row r="295" spans="1:9" ht="17.399999999999999" x14ac:dyDescent="0.25">
      <c r="A295" s="16"/>
      <c r="B295" s="17"/>
      <c r="C295" s="2"/>
      <c r="D295" s="2"/>
      <c r="E295" s="2"/>
      <c r="F295" s="2"/>
      <c r="G295" s="2"/>
      <c r="H295" s="2"/>
      <c r="I295" s="5"/>
    </row>
    <row r="296" spans="1:9" ht="17.399999999999999" x14ac:dyDescent="0.25">
      <c r="A296" s="16"/>
      <c r="B296" s="17"/>
      <c r="C296" s="2"/>
      <c r="D296" s="2"/>
      <c r="E296" s="2"/>
      <c r="F296" s="2"/>
      <c r="G296" s="2"/>
      <c r="H296" s="2"/>
      <c r="I296" s="5"/>
    </row>
    <row r="297" spans="1:9" ht="17.399999999999999" x14ac:dyDescent="0.25">
      <c r="A297" s="16"/>
      <c r="B297" s="17"/>
      <c r="C297" s="2"/>
      <c r="D297" s="2"/>
      <c r="E297" s="2"/>
      <c r="F297" s="2"/>
      <c r="G297" s="2"/>
      <c r="H297" s="2"/>
      <c r="I297" s="5"/>
    </row>
    <row r="298" spans="1:9" ht="17.399999999999999" x14ac:dyDescent="0.25">
      <c r="A298" s="16"/>
      <c r="B298" s="17"/>
      <c r="C298" s="2"/>
      <c r="D298" s="2"/>
      <c r="E298" s="2"/>
      <c r="F298" s="2"/>
      <c r="G298" s="2"/>
      <c r="H298" s="2"/>
      <c r="I298" s="5"/>
    </row>
    <row r="299" spans="1:9" ht="17.399999999999999" x14ac:dyDescent="0.25">
      <c r="A299" s="16"/>
      <c r="B299" s="17"/>
      <c r="C299" s="2"/>
      <c r="D299" s="2"/>
      <c r="E299" s="2"/>
      <c r="F299" s="2"/>
      <c r="G299" s="2"/>
      <c r="H299" s="2"/>
      <c r="I299" s="5"/>
    </row>
    <row r="300" spans="1:9" ht="17.399999999999999" x14ac:dyDescent="0.25">
      <c r="A300" s="16"/>
      <c r="B300" s="17"/>
      <c r="C300" s="2"/>
      <c r="D300" s="2"/>
      <c r="E300" s="2"/>
      <c r="F300" s="2"/>
      <c r="G300" s="2"/>
      <c r="H300" s="2"/>
      <c r="I300" s="5"/>
    </row>
    <row r="301" spans="1:9" ht="17.399999999999999" x14ac:dyDescent="0.25">
      <c r="A301" s="16"/>
      <c r="B301" s="17"/>
      <c r="C301" s="2"/>
      <c r="D301" s="2"/>
      <c r="E301" s="2"/>
      <c r="F301" s="2"/>
      <c r="G301" s="2"/>
      <c r="H301" s="2"/>
      <c r="I301" s="5"/>
    </row>
    <row r="302" spans="1:9" ht="17.399999999999999" x14ac:dyDescent="0.25">
      <c r="A302" s="16"/>
      <c r="B302" s="17"/>
      <c r="C302" s="2"/>
      <c r="D302" s="2"/>
      <c r="E302" s="2"/>
      <c r="F302" s="2"/>
      <c r="G302" s="2"/>
      <c r="H302" s="2"/>
      <c r="I302" s="5"/>
    </row>
    <row r="303" spans="1:9" ht="17.399999999999999" x14ac:dyDescent="0.25">
      <c r="A303" s="16"/>
      <c r="B303" s="17"/>
      <c r="C303" s="2"/>
      <c r="D303" s="2"/>
      <c r="E303" s="2"/>
      <c r="F303" s="2"/>
      <c r="G303" s="2"/>
      <c r="H303" s="2"/>
      <c r="I303" s="5"/>
    </row>
    <row r="304" spans="1:9" ht="17.399999999999999" x14ac:dyDescent="0.25">
      <c r="A304" s="16"/>
      <c r="B304" s="17"/>
      <c r="C304" s="2"/>
      <c r="D304" s="2"/>
      <c r="E304" s="2"/>
      <c r="F304" s="2"/>
      <c r="G304" s="2"/>
      <c r="H304" s="2"/>
      <c r="I304" s="5"/>
    </row>
    <row r="305" spans="1:9" ht="17.399999999999999" x14ac:dyDescent="0.25">
      <c r="A305" s="16"/>
      <c r="B305" s="17"/>
      <c r="C305" s="2"/>
      <c r="D305" s="2"/>
      <c r="E305" s="2"/>
      <c r="F305" s="2"/>
      <c r="G305" s="2"/>
      <c r="H305" s="2"/>
      <c r="I305" s="5"/>
    </row>
    <row r="306" spans="1:9" ht="17.399999999999999" x14ac:dyDescent="0.25">
      <c r="A306" s="16"/>
      <c r="B306" s="17"/>
      <c r="C306" s="2"/>
      <c r="D306" s="2"/>
      <c r="E306" s="2"/>
      <c r="F306" s="2"/>
      <c r="G306" s="2"/>
      <c r="H306" s="2"/>
      <c r="I306" s="5"/>
    </row>
    <row r="307" spans="1:9" ht="17.399999999999999" x14ac:dyDescent="0.25">
      <c r="A307" s="16"/>
      <c r="B307" s="17"/>
      <c r="C307" s="2"/>
      <c r="D307" s="2"/>
      <c r="E307" s="2"/>
      <c r="F307" s="2"/>
      <c r="G307" s="2"/>
      <c r="H307" s="2"/>
      <c r="I307" s="5"/>
    </row>
    <row r="308" spans="1:9" ht="17.399999999999999" x14ac:dyDescent="0.25">
      <c r="A308" s="16"/>
      <c r="B308" s="17"/>
      <c r="C308" s="2"/>
      <c r="D308" s="2"/>
      <c r="E308" s="2"/>
      <c r="F308" s="2"/>
      <c r="G308" s="2"/>
      <c r="H308" s="2"/>
      <c r="I308" s="5"/>
    </row>
    <row r="309" spans="1:9" ht="17.399999999999999" x14ac:dyDescent="0.25">
      <c r="A309" s="16"/>
      <c r="B309" s="17"/>
      <c r="C309" s="2"/>
      <c r="D309" s="2"/>
      <c r="E309" s="2"/>
      <c r="F309" s="2"/>
      <c r="G309" s="2"/>
      <c r="H309" s="2"/>
      <c r="I309" s="5"/>
    </row>
    <row r="310" spans="1:9" ht="17.399999999999999" x14ac:dyDescent="0.25">
      <c r="A310" s="16"/>
      <c r="B310" s="17"/>
      <c r="C310" s="2"/>
      <c r="D310" s="2"/>
      <c r="E310" s="2"/>
      <c r="F310" s="2"/>
      <c r="G310" s="2"/>
      <c r="H310" s="2"/>
      <c r="I310" s="5"/>
    </row>
    <row r="311" spans="1:9" ht="17.399999999999999" x14ac:dyDescent="0.25">
      <c r="A311" s="16"/>
      <c r="B311" s="17"/>
      <c r="C311" s="2"/>
      <c r="D311" s="2"/>
      <c r="E311" s="2"/>
      <c r="F311" s="2"/>
      <c r="G311" s="2"/>
      <c r="H311" s="2"/>
      <c r="I311" s="5"/>
    </row>
    <row r="312" spans="1:9" ht="17.399999999999999" x14ac:dyDescent="0.25">
      <c r="A312" s="16"/>
      <c r="B312" s="17"/>
      <c r="C312" s="2"/>
      <c r="D312" s="2"/>
      <c r="E312" s="2"/>
      <c r="F312" s="2"/>
      <c r="G312" s="2"/>
      <c r="H312" s="2"/>
      <c r="I312" s="5"/>
    </row>
    <row r="313" spans="1:9" ht="17.399999999999999" x14ac:dyDescent="0.25">
      <c r="A313" s="16"/>
      <c r="B313" s="17"/>
      <c r="C313" s="2"/>
      <c r="D313" s="2"/>
      <c r="E313" s="2"/>
      <c r="F313" s="2"/>
      <c r="G313" s="2"/>
      <c r="H313" s="2"/>
      <c r="I313" s="5"/>
    </row>
    <row r="314" spans="1:9" ht="17.399999999999999" x14ac:dyDescent="0.25">
      <c r="A314" s="16"/>
      <c r="B314" s="17"/>
      <c r="C314" s="2"/>
      <c r="D314" s="2"/>
      <c r="E314" s="2"/>
      <c r="F314" s="2"/>
      <c r="G314" s="2"/>
      <c r="H314" s="2"/>
      <c r="I314" s="5"/>
    </row>
    <row r="315" spans="1:9" ht="17.399999999999999" x14ac:dyDescent="0.25">
      <c r="A315" s="16"/>
      <c r="B315" s="17"/>
      <c r="C315" s="2"/>
      <c r="D315" s="2"/>
      <c r="E315" s="2"/>
      <c r="F315" s="2"/>
      <c r="G315" s="2"/>
      <c r="H315" s="2"/>
      <c r="I315" s="5"/>
    </row>
    <row r="316" spans="1:9" ht="17.399999999999999" x14ac:dyDescent="0.25">
      <c r="A316" s="16"/>
      <c r="B316" s="17"/>
      <c r="C316" s="2"/>
      <c r="D316" s="2"/>
      <c r="E316" s="2"/>
      <c r="F316" s="2"/>
      <c r="G316" s="2"/>
      <c r="H316" s="2"/>
      <c r="I316" s="5"/>
    </row>
    <row r="317" spans="1:9" ht="17.399999999999999" x14ac:dyDescent="0.25">
      <c r="A317" s="16"/>
      <c r="B317" s="17"/>
      <c r="C317" s="2"/>
      <c r="D317" s="2"/>
      <c r="E317" s="2"/>
      <c r="F317" s="2"/>
      <c r="G317" s="2"/>
      <c r="H317" s="2"/>
      <c r="I317" s="5"/>
    </row>
    <row r="318" spans="1:9" ht="17.399999999999999" x14ac:dyDescent="0.25">
      <c r="A318" s="16"/>
      <c r="B318" s="17"/>
      <c r="C318" s="2"/>
      <c r="D318" s="2"/>
      <c r="E318" s="2"/>
      <c r="F318" s="2"/>
      <c r="G318" s="2"/>
      <c r="H318" s="2"/>
      <c r="I318" s="5"/>
    </row>
    <row r="319" spans="1:9" ht="17.399999999999999" x14ac:dyDescent="0.25">
      <c r="A319" s="16"/>
      <c r="B319" s="17"/>
      <c r="C319" s="2"/>
      <c r="D319" s="2"/>
      <c r="E319" s="2"/>
      <c r="F319" s="2"/>
      <c r="G319" s="2"/>
      <c r="H319" s="2"/>
      <c r="I319" s="5"/>
    </row>
    <row r="320" spans="1:9" ht="17.399999999999999" x14ac:dyDescent="0.25">
      <c r="A320" s="16"/>
      <c r="B320" s="17"/>
      <c r="C320" s="2"/>
      <c r="D320" s="2"/>
      <c r="E320" s="2"/>
      <c r="F320" s="2"/>
      <c r="G320" s="2"/>
      <c r="H320" s="2"/>
      <c r="I320" s="5"/>
    </row>
    <row r="321" spans="1:9" ht="17.399999999999999" x14ac:dyDescent="0.25">
      <c r="A321" s="16"/>
      <c r="B321" s="17"/>
      <c r="C321" s="2"/>
      <c r="D321" s="2"/>
      <c r="E321" s="2"/>
      <c r="F321" s="2"/>
      <c r="G321" s="2"/>
      <c r="H321" s="2"/>
      <c r="I321" s="5"/>
    </row>
    <row r="322" spans="1:9" ht="17.399999999999999" x14ac:dyDescent="0.25">
      <c r="A322" s="16"/>
      <c r="B322" s="17"/>
      <c r="C322" s="2"/>
      <c r="D322" s="2"/>
      <c r="E322" s="2"/>
      <c r="F322" s="2"/>
      <c r="G322" s="2"/>
      <c r="H322" s="2"/>
      <c r="I322" s="5"/>
    </row>
    <row r="323" spans="1:9" ht="17.399999999999999" x14ac:dyDescent="0.25">
      <c r="A323" s="16"/>
      <c r="B323" s="17"/>
      <c r="C323" s="2"/>
      <c r="D323" s="2"/>
      <c r="E323" s="2"/>
      <c r="F323" s="2"/>
      <c r="G323" s="2"/>
      <c r="H323" s="2"/>
      <c r="I323" s="5"/>
    </row>
    <row r="324" spans="1:9" ht="17.399999999999999" x14ac:dyDescent="0.25">
      <c r="A324" s="16"/>
      <c r="B324" s="17"/>
      <c r="C324" s="2"/>
      <c r="D324" s="2"/>
      <c r="E324" s="2"/>
      <c r="F324" s="2"/>
      <c r="G324" s="2"/>
      <c r="H324" s="2"/>
      <c r="I324" s="5"/>
    </row>
    <row r="325" spans="1:9" ht="17.399999999999999" x14ac:dyDescent="0.25">
      <c r="A325" s="16"/>
      <c r="B325" s="17"/>
      <c r="C325" s="2"/>
      <c r="D325" s="2"/>
      <c r="E325" s="2"/>
      <c r="F325" s="2"/>
      <c r="G325" s="2"/>
      <c r="H325" s="2"/>
      <c r="I325" s="5"/>
    </row>
    <row r="326" spans="1:9" ht="17.399999999999999" x14ac:dyDescent="0.25">
      <c r="A326" s="16"/>
      <c r="B326" s="17"/>
      <c r="C326" s="2"/>
      <c r="D326" s="2"/>
      <c r="E326" s="2"/>
      <c r="F326" s="2"/>
      <c r="G326" s="2"/>
      <c r="H326" s="2"/>
      <c r="I326" s="5"/>
    </row>
    <row r="327" spans="1:9" ht="17.399999999999999" x14ac:dyDescent="0.25">
      <c r="A327" s="16"/>
      <c r="B327" s="17"/>
      <c r="C327" s="2"/>
      <c r="D327" s="2"/>
      <c r="E327" s="2"/>
      <c r="F327" s="2"/>
      <c r="G327" s="2"/>
      <c r="H327" s="2"/>
      <c r="I327" s="5"/>
    </row>
    <row r="328" spans="1:9" ht="17.399999999999999" x14ac:dyDescent="0.25">
      <c r="A328" s="16"/>
      <c r="B328" s="17"/>
      <c r="C328" s="2"/>
      <c r="D328" s="2"/>
      <c r="E328" s="2"/>
      <c r="F328" s="2"/>
      <c r="G328" s="2"/>
      <c r="H328" s="2"/>
      <c r="I328" s="5"/>
    </row>
    <row r="329" spans="1:9" ht="17.399999999999999" x14ac:dyDescent="0.25">
      <c r="A329" s="16"/>
      <c r="B329" s="17"/>
      <c r="C329" s="2"/>
      <c r="D329" s="2"/>
      <c r="E329" s="2"/>
      <c r="F329" s="2"/>
      <c r="G329" s="2"/>
      <c r="H329" s="2"/>
      <c r="I329" s="5"/>
    </row>
    <row r="330" spans="1:9" ht="17.399999999999999" x14ac:dyDescent="0.25">
      <c r="A330" s="16"/>
      <c r="B330" s="17"/>
      <c r="C330" s="2"/>
      <c r="D330" s="2"/>
      <c r="E330" s="2"/>
      <c r="F330" s="2"/>
      <c r="G330" s="2"/>
      <c r="H330" s="2"/>
      <c r="I330" s="5"/>
    </row>
    <row r="331" spans="1:9" ht="17.399999999999999" x14ac:dyDescent="0.25">
      <c r="A331" s="16"/>
      <c r="B331" s="17"/>
      <c r="C331" s="2"/>
      <c r="D331" s="2"/>
      <c r="E331" s="2"/>
      <c r="F331" s="2"/>
      <c r="G331" s="2"/>
      <c r="H331" s="2"/>
      <c r="I331" s="5"/>
    </row>
    <row r="332" spans="1:9" ht="17.399999999999999" x14ac:dyDescent="0.25">
      <c r="A332" s="16"/>
      <c r="B332" s="17"/>
      <c r="C332" s="2"/>
      <c r="D332" s="2"/>
      <c r="E332" s="2"/>
      <c r="F332" s="2"/>
      <c r="G332" s="2"/>
      <c r="H332" s="2"/>
      <c r="I332" s="5"/>
    </row>
    <row r="333" spans="1:9" ht="17.399999999999999" x14ac:dyDescent="0.25">
      <c r="A333" s="16"/>
      <c r="B333" s="17"/>
      <c r="C333" s="2"/>
      <c r="D333" s="2"/>
      <c r="E333" s="2"/>
      <c r="F333" s="2"/>
      <c r="G333" s="2"/>
      <c r="H333" s="2"/>
      <c r="I333" s="5"/>
    </row>
    <row r="334" spans="1:9" ht="17.399999999999999" x14ac:dyDescent="0.25">
      <c r="A334" s="16"/>
      <c r="B334" s="17"/>
      <c r="C334" s="2"/>
      <c r="D334" s="2"/>
      <c r="E334" s="2"/>
      <c r="F334" s="2"/>
      <c r="G334" s="2"/>
      <c r="H334" s="2"/>
      <c r="I334" s="5"/>
    </row>
    <row r="335" spans="1:9" ht="17.399999999999999" x14ac:dyDescent="0.25">
      <c r="A335" s="16"/>
      <c r="B335" s="17"/>
      <c r="C335" s="2"/>
      <c r="D335" s="2"/>
      <c r="E335" s="2"/>
      <c r="F335" s="2"/>
      <c r="G335" s="2"/>
      <c r="H335" s="2"/>
      <c r="I335" s="5"/>
    </row>
    <row r="336" spans="1:9" ht="17.399999999999999" x14ac:dyDescent="0.25">
      <c r="A336" s="16"/>
      <c r="B336" s="17"/>
      <c r="C336" s="2"/>
      <c r="D336" s="2"/>
      <c r="E336" s="2"/>
      <c r="F336" s="2"/>
      <c r="G336" s="2"/>
      <c r="H336" s="2"/>
      <c r="I336" s="5"/>
    </row>
    <row r="337" spans="1:9" ht="17.399999999999999" x14ac:dyDescent="0.25">
      <c r="A337" s="16"/>
      <c r="B337" s="17"/>
      <c r="C337" s="2"/>
      <c r="D337" s="2"/>
      <c r="E337" s="2"/>
      <c r="F337" s="2"/>
      <c r="G337" s="2"/>
      <c r="H337" s="2"/>
      <c r="I337" s="5"/>
    </row>
    <row r="338" spans="1:9" ht="17.399999999999999" x14ac:dyDescent="0.25">
      <c r="A338" s="16"/>
      <c r="B338" s="17"/>
      <c r="C338" s="2"/>
      <c r="D338" s="2"/>
      <c r="E338" s="2"/>
      <c r="F338" s="2"/>
      <c r="G338" s="2"/>
      <c r="H338" s="2"/>
      <c r="I338" s="5"/>
    </row>
    <row r="339" spans="1:9" ht="17.399999999999999" x14ac:dyDescent="0.25">
      <c r="A339" s="16"/>
      <c r="B339" s="17"/>
      <c r="C339" s="2"/>
      <c r="D339" s="2"/>
      <c r="E339" s="2"/>
      <c r="F339" s="2"/>
      <c r="G339" s="2"/>
      <c r="H339" s="2"/>
      <c r="I339" s="5"/>
    </row>
    <row r="340" spans="1:9" ht="17.399999999999999" x14ac:dyDescent="0.25">
      <c r="A340" s="16"/>
      <c r="B340" s="17"/>
      <c r="C340" s="2"/>
      <c r="D340" s="2"/>
      <c r="E340" s="2"/>
      <c r="F340" s="2"/>
      <c r="G340" s="2"/>
      <c r="H340" s="2"/>
      <c r="I340" s="5"/>
    </row>
    <row r="341" spans="1:9" ht="17.399999999999999" x14ac:dyDescent="0.25">
      <c r="A341" s="16"/>
      <c r="B341" s="17"/>
      <c r="C341" s="2"/>
      <c r="D341" s="2"/>
      <c r="E341" s="2"/>
      <c r="F341" s="2"/>
      <c r="G341" s="2"/>
      <c r="H341" s="2"/>
      <c r="I341" s="5"/>
    </row>
    <row r="342" spans="1:9" ht="17.399999999999999" x14ac:dyDescent="0.25">
      <c r="A342" s="16"/>
      <c r="B342" s="17"/>
      <c r="C342" s="2"/>
      <c r="D342" s="2"/>
      <c r="E342" s="2"/>
      <c r="F342" s="2"/>
      <c r="G342" s="2"/>
      <c r="H342" s="2"/>
      <c r="I342" s="5"/>
    </row>
    <row r="343" spans="1:9" ht="17.399999999999999" x14ac:dyDescent="0.25">
      <c r="A343" s="16"/>
      <c r="B343" s="17"/>
      <c r="C343" s="2"/>
      <c r="D343" s="2"/>
      <c r="E343" s="2"/>
      <c r="F343" s="2"/>
      <c r="G343" s="2"/>
      <c r="H343" s="2"/>
      <c r="I343" s="5"/>
    </row>
    <row r="344" spans="1:9" ht="17.399999999999999" x14ac:dyDescent="0.25">
      <c r="A344" s="16"/>
      <c r="B344" s="17"/>
      <c r="C344" s="2"/>
      <c r="D344" s="2"/>
      <c r="E344" s="2"/>
      <c r="F344" s="2"/>
      <c r="G344" s="2"/>
      <c r="H344" s="2"/>
      <c r="I344" s="5"/>
    </row>
    <row r="345" spans="1:9" ht="17.399999999999999" x14ac:dyDescent="0.25">
      <c r="A345" s="16"/>
      <c r="B345" s="17"/>
      <c r="C345" s="2"/>
      <c r="D345" s="2"/>
      <c r="E345" s="2"/>
      <c r="F345" s="2"/>
      <c r="G345" s="2"/>
      <c r="H345" s="2"/>
      <c r="I345" s="5"/>
    </row>
    <row r="346" spans="1:9" ht="17.399999999999999" x14ac:dyDescent="0.25">
      <c r="A346" s="16"/>
      <c r="B346" s="17"/>
      <c r="C346" s="2"/>
      <c r="D346" s="2"/>
      <c r="E346" s="2"/>
      <c r="F346" s="2"/>
      <c r="G346" s="2"/>
      <c r="H346" s="2"/>
      <c r="I346" s="5"/>
    </row>
    <row r="347" spans="1:9" ht="17.399999999999999" x14ac:dyDescent="0.25">
      <c r="A347" s="16"/>
      <c r="B347" s="17"/>
      <c r="C347" s="2"/>
      <c r="D347" s="2"/>
      <c r="E347" s="2"/>
      <c r="F347" s="2"/>
      <c r="G347" s="2"/>
      <c r="H347" s="2"/>
      <c r="I347" s="5"/>
    </row>
    <row r="348" spans="1:9" ht="17.399999999999999" x14ac:dyDescent="0.25">
      <c r="A348" s="16"/>
      <c r="B348" s="17"/>
      <c r="C348" s="2"/>
      <c r="D348" s="2"/>
      <c r="E348" s="2"/>
      <c r="F348" s="2"/>
      <c r="G348" s="2"/>
      <c r="H348" s="2"/>
      <c r="I348" s="5"/>
    </row>
    <row r="349" spans="1:9" ht="17.399999999999999" x14ac:dyDescent="0.25">
      <c r="A349" s="16"/>
      <c r="B349" s="17"/>
      <c r="C349" s="2"/>
      <c r="D349" s="2"/>
      <c r="E349" s="2"/>
      <c r="F349" s="2"/>
      <c r="G349" s="2"/>
      <c r="H349" s="2"/>
      <c r="I349" s="5"/>
    </row>
    <row r="350" spans="1:9" ht="17.399999999999999" x14ac:dyDescent="0.25">
      <c r="A350" s="16"/>
      <c r="B350" s="17"/>
      <c r="C350" s="2"/>
      <c r="D350" s="2"/>
      <c r="E350" s="2"/>
      <c r="F350" s="2"/>
      <c r="G350" s="2"/>
      <c r="H350" s="2"/>
      <c r="I350" s="5"/>
    </row>
    <row r="351" spans="1:9" ht="17.399999999999999" x14ac:dyDescent="0.25">
      <c r="A351" s="16"/>
      <c r="B351" s="17"/>
      <c r="C351" s="2"/>
      <c r="D351" s="2"/>
      <c r="E351" s="2"/>
      <c r="F351" s="2"/>
      <c r="G351" s="2"/>
      <c r="H351" s="2"/>
      <c r="I351" s="5"/>
    </row>
    <row r="352" spans="1:9" ht="17.399999999999999" x14ac:dyDescent="0.25">
      <c r="A352" s="16"/>
      <c r="B352" s="17"/>
      <c r="C352" s="2"/>
      <c r="D352" s="2"/>
      <c r="E352" s="2"/>
      <c r="F352" s="2"/>
      <c r="G352" s="2"/>
      <c r="H352" s="2"/>
      <c r="I352" s="5"/>
    </row>
    <row r="353" spans="1:9" ht="17.399999999999999" x14ac:dyDescent="0.25">
      <c r="A353" s="16"/>
      <c r="B353" s="17"/>
      <c r="C353" s="2"/>
      <c r="D353" s="2"/>
      <c r="E353" s="2"/>
      <c r="F353" s="2"/>
      <c r="G353" s="2"/>
      <c r="H353" s="2"/>
      <c r="I353" s="5"/>
    </row>
    <row r="354" spans="1:9" ht="17.399999999999999" x14ac:dyDescent="0.25">
      <c r="A354" s="16"/>
      <c r="B354" s="17"/>
      <c r="C354" s="2"/>
      <c r="D354" s="2"/>
      <c r="E354" s="2"/>
      <c r="F354" s="2"/>
      <c r="G354" s="2"/>
      <c r="H354" s="2"/>
      <c r="I354" s="5"/>
    </row>
    <row r="355" spans="1:9" ht="17.399999999999999" x14ac:dyDescent="0.25">
      <c r="A355" s="16"/>
      <c r="B355" s="17"/>
      <c r="C355" s="2"/>
      <c r="D355" s="2"/>
      <c r="E355" s="2"/>
      <c r="F355" s="2"/>
      <c r="G355" s="2"/>
      <c r="H355" s="2"/>
      <c r="I355" s="5"/>
    </row>
    <row r="356" spans="1:9" ht="17.399999999999999" x14ac:dyDescent="0.25">
      <c r="A356" s="16"/>
      <c r="B356" s="17"/>
      <c r="C356" s="2"/>
      <c r="D356" s="2"/>
      <c r="E356" s="2"/>
      <c r="F356" s="2"/>
      <c r="G356" s="2"/>
      <c r="H356" s="2"/>
      <c r="I356" s="5"/>
    </row>
    <row r="357" spans="1:9" ht="17.399999999999999" x14ac:dyDescent="0.25">
      <c r="A357" s="16"/>
      <c r="B357" s="17"/>
      <c r="C357" s="2"/>
      <c r="D357" s="2"/>
      <c r="E357" s="2"/>
      <c r="F357" s="2"/>
      <c r="G357" s="2"/>
      <c r="H357" s="2"/>
      <c r="I357" s="5"/>
    </row>
    <row r="358" spans="1:9" ht="17.399999999999999" x14ac:dyDescent="0.25">
      <c r="A358" s="16"/>
      <c r="B358" s="17"/>
      <c r="C358" s="2"/>
      <c r="D358" s="2"/>
      <c r="E358" s="2"/>
      <c r="F358" s="2"/>
      <c r="G358" s="2"/>
      <c r="H358" s="2"/>
      <c r="I358" s="5"/>
    </row>
    <row r="359" spans="1:9" ht="17.399999999999999" x14ac:dyDescent="0.25">
      <c r="A359" s="16"/>
      <c r="B359" s="17"/>
      <c r="C359" s="2"/>
      <c r="D359" s="2"/>
      <c r="E359" s="2"/>
      <c r="F359" s="2"/>
      <c r="G359" s="2"/>
      <c r="H359" s="2"/>
      <c r="I359" s="5"/>
    </row>
    <row r="360" spans="1:9" ht="17.399999999999999" x14ac:dyDescent="0.25">
      <c r="A360" s="16"/>
      <c r="B360" s="17"/>
      <c r="C360" s="2"/>
      <c r="D360" s="2"/>
      <c r="E360" s="2"/>
      <c r="F360" s="2"/>
      <c r="G360" s="2"/>
      <c r="H360" s="2"/>
      <c r="I360" s="5"/>
    </row>
    <row r="361" spans="1:9" ht="17.399999999999999" x14ac:dyDescent="0.25">
      <c r="A361" s="16"/>
      <c r="B361" s="17"/>
      <c r="C361" s="2"/>
      <c r="D361" s="2"/>
      <c r="E361" s="2"/>
      <c r="F361" s="2"/>
      <c r="G361" s="2"/>
      <c r="H361" s="2"/>
      <c r="I361" s="5"/>
    </row>
    <row r="362" spans="1:9" ht="17.399999999999999" x14ac:dyDescent="0.25">
      <c r="A362" s="16"/>
      <c r="B362" s="17"/>
      <c r="C362" s="2"/>
      <c r="D362" s="2"/>
      <c r="E362" s="2"/>
      <c r="F362" s="2"/>
      <c r="G362" s="2"/>
      <c r="H362" s="2"/>
      <c r="I362" s="5"/>
    </row>
    <row r="363" spans="1:9" ht="17.399999999999999" x14ac:dyDescent="0.25">
      <c r="A363" s="16"/>
      <c r="B363" s="17"/>
      <c r="C363" s="2"/>
      <c r="D363" s="2"/>
      <c r="E363" s="2"/>
      <c r="F363" s="2"/>
      <c r="G363" s="2"/>
      <c r="H363" s="2"/>
      <c r="I363" s="5"/>
    </row>
    <row r="364" spans="1:9" ht="17.399999999999999" x14ac:dyDescent="0.25">
      <c r="A364" s="16"/>
      <c r="B364" s="17"/>
      <c r="C364" s="2"/>
      <c r="D364" s="2"/>
      <c r="E364" s="2"/>
      <c r="F364" s="2"/>
      <c r="G364" s="2"/>
      <c r="H364" s="2"/>
      <c r="I364" s="5"/>
    </row>
    <row r="365" spans="1:9" ht="17.399999999999999" x14ac:dyDescent="0.25">
      <c r="A365" s="16"/>
      <c r="B365" s="17"/>
      <c r="C365" s="2"/>
      <c r="D365" s="2"/>
      <c r="E365" s="2"/>
      <c r="F365" s="2"/>
      <c r="G365" s="2"/>
      <c r="H365" s="2"/>
      <c r="I365" s="5"/>
    </row>
    <row r="366" spans="1:9" ht="17.399999999999999" x14ac:dyDescent="0.25">
      <c r="A366" s="16"/>
      <c r="B366" s="17"/>
      <c r="C366" s="2"/>
      <c r="D366" s="2"/>
      <c r="E366" s="2"/>
      <c r="F366" s="2"/>
      <c r="G366" s="2"/>
      <c r="H366" s="2"/>
      <c r="I366" s="5"/>
    </row>
    <row r="367" spans="1:9" ht="17.399999999999999" x14ac:dyDescent="0.25">
      <c r="A367" s="16"/>
      <c r="B367" s="17"/>
      <c r="C367" s="2"/>
      <c r="D367" s="2"/>
      <c r="E367" s="2"/>
      <c r="F367" s="2"/>
      <c r="G367" s="2"/>
      <c r="H367" s="2"/>
      <c r="I367" s="5"/>
    </row>
    <row r="368" spans="1:9" ht="17.399999999999999" x14ac:dyDescent="0.25">
      <c r="A368" s="16"/>
      <c r="B368" s="17"/>
      <c r="C368" s="2"/>
      <c r="D368" s="2"/>
      <c r="E368" s="2"/>
      <c r="F368" s="2"/>
      <c r="G368" s="2"/>
      <c r="H368" s="2"/>
      <c r="I368" s="5"/>
    </row>
    <row r="369" spans="1:9" ht="17.399999999999999" x14ac:dyDescent="0.25">
      <c r="A369" s="16"/>
      <c r="B369" s="17"/>
      <c r="C369" s="2"/>
      <c r="D369" s="2"/>
      <c r="E369" s="2"/>
      <c r="F369" s="2"/>
      <c r="G369" s="2"/>
      <c r="H369" s="2"/>
      <c r="I369" s="5"/>
    </row>
    <row r="370" spans="1:9" ht="17.399999999999999" x14ac:dyDescent="0.25">
      <c r="A370" s="16"/>
      <c r="B370" s="17"/>
      <c r="C370" s="2"/>
      <c r="D370" s="2"/>
      <c r="E370" s="2"/>
      <c r="F370" s="2"/>
      <c r="G370" s="2"/>
      <c r="H370" s="2"/>
      <c r="I370" s="5"/>
    </row>
    <row r="371" spans="1:9" ht="17.399999999999999" x14ac:dyDescent="0.25">
      <c r="A371" s="16"/>
      <c r="B371" s="17"/>
      <c r="C371" s="2"/>
      <c r="D371" s="2"/>
      <c r="E371" s="2"/>
      <c r="F371" s="2"/>
      <c r="G371" s="2"/>
      <c r="H371" s="2"/>
      <c r="I371" s="5"/>
    </row>
    <row r="372" spans="1:9" ht="17.399999999999999" x14ac:dyDescent="0.25">
      <c r="A372" s="16"/>
      <c r="B372" s="17"/>
      <c r="C372" s="2"/>
      <c r="D372" s="2"/>
      <c r="E372" s="2"/>
      <c r="F372" s="2"/>
      <c r="G372" s="2"/>
      <c r="H372" s="2"/>
      <c r="I372" s="5"/>
    </row>
    <row r="373" spans="1:9" ht="17.399999999999999" x14ac:dyDescent="0.25">
      <c r="A373" s="16"/>
      <c r="B373" s="17"/>
      <c r="C373" s="2"/>
      <c r="D373" s="2"/>
      <c r="E373" s="2"/>
      <c r="F373" s="2"/>
      <c r="G373" s="2"/>
      <c r="H373" s="2"/>
      <c r="I373" s="5"/>
    </row>
    <row r="374" spans="1:9" ht="17.399999999999999" x14ac:dyDescent="0.25">
      <c r="A374" s="16"/>
      <c r="B374" s="17"/>
      <c r="C374" s="2"/>
      <c r="D374" s="2"/>
      <c r="E374" s="2"/>
      <c r="F374" s="2"/>
      <c r="G374" s="2"/>
      <c r="H374" s="2"/>
      <c r="I374" s="5"/>
    </row>
    <row r="375" spans="1:9" ht="17.399999999999999" x14ac:dyDescent="0.25">
      <c r="A375" s="16"/>
      <c r="B375" s="17"/>
      <c r="C375" s="2"/>
      <c r="D375" s="2"/>
      <c r="E375" s="2"/>
      <c r="F375" s="2"/>
      <c r="G375" s="2"/>
      <c r="H375" s="2"/>
      <c r="I375" s="5"/>
    </row>
    <row r="376" spans="1:9" ht="17.399999999999999" x14ac:dyDescent="0.25">
      <c r="A376" s="16"/>
      <c r="B376" s="17"/>
      <c r="C376" s="2"/>
      <c r="D376" s="2"/>
      <c r="E376" s="2"/>
      <c r="F376" s="2"/>
      <c r="G376" s="2"/>
      <c r="H376" s="2"/>
      <c r="I376" s="5"/>
    </row>
    <row r="377" spans="1:9" ht="17.399999999999999" x14ac:dyDescent="0.25">
      <c r="A377" s="16"/>
      <c r="B377" s="17"/>
      <c r="C377" s="2"/>
      <c r="D377" s="2"/>
      <c r="E377" s="2"/>
      <c r="F377" s="2"/>
      <c r="G377" s="2"/>
      <c r="H377" s="2"/>
      <c r="I377" s="5"/>
    </row>
    <row r="378" spans="1:9" ht="17.399999999999999" x14ac:dyDescent="0.25">
      <c r="A378" s="16"/>
      <c r="B378" s="17"/>
      <c r="C378" s="2"/>
      <c r="D378" s="2"/>
      <c r="E378" s="2"/>
      <c r="F378" s="2"/>
      <c r="G378" s="2"/>
      <c r="H378" s="2"/>
      <c r="I378" s="5"/>
    </row>
    <row r="379" spans="1:9" ht="17.399999999999999" x14ac:dyDescent="0.25">
      <c r="A379" s="16"/>
      <c r="B379" s="17"/>
      <c r="C379" s="2"/>
      <c r="D379" s="2"/>
      <c r="E379" s="2"/>
      <c r="F379" s="2"/>
      <c r="G379" s="2"/>
      <c r="H379" s="2"/>
      <c r="I379" s="5"/>
    </row>
    <row r="380" spans="1:9" ht="17.399999999999999" x14ac:dyDescent="0.25">
      <c r="A380" s="16"/>
      <c r="B380" s="17"/>
      <c r="C380" s="2"/>
      <c r="D380" s="2"/>
      <c r="E380" s="2"/>
      <c r="F380" s="2"/>
      <c r="G380" s="2"/>
      <c r="H380" s="2"/>
      <c r="I380" s="5"/>
    </row>
    <row r="381" spans="1:9" ht="17.399999999999999" x14ac:dyDescent="0.25">
      <c r="A381" s="16"/>
      <c r="B381" s="17"/>
      <c r="C381" s="2"/>
      <c r="D381" s="2"/>
      <c r="E381" s="2"/>
      <c r="F381" s="2"/>
      <c r="G381" s="2"/>
      <c r="H381" s="2"/>
      <c r="I381" s="5"/>
    </row>
    <row r="382" spans="1:9" ht="17.399999999999999" x14ac:dyDescent="0.25">
      <c r="A382" s="16"/>
      <c r="B382" s="17"/>
      <c r="C382" s="2"/>
      <c r="D382" s="2"/>
      <c r="E382" s="2"/>
      <c r="F382" s="2"/>
      <c r="G382" s="2"/>
      <c r="H382" s="2"/>
      <c r="I382" s="5"/>
    </row>
    <row r="383" spans="1:9" ht="17.399999999999999" x14ac:dyDescent="0.25">
      <c r="A383" s="16"/>
      <c r="B383" s="17"/>
      <c r="C383" s="2"/>
      <c r="D383" s="2"/>
      <c r="E383" s="2"/>
      <c r="F383" s="2"/>
      <c r="G383" s="2"/>
      <c r="H383" s="2"/>
      <c r="I383" s="5"/>
    </row>
    <row r="384" spans="1:9" ht="17.399999999999999" x14ac:dyDescent="0.25">
      <c r="A384" s="16"/>
      <c r="B384" s="17"/>
      <c r="C384" s="2"/>
      <c r="D384" s="2"/>
      <c r="E384" s="2"/>
      <c r="F384" s="2"/>
      <c r="G384" s="2"/>
      <c r="H384" s="2"/>
      <c r="I384" s="5"/>
    </row>
    <row r="385" spans="1:9" ht="17.399999999999999" x14ac:dyDescent="0.25">
      <c r="A385" s="16"/>
      <c r="B385" s="17"/>
      <c r="C385" s="2"/>
      <c r="D385" s="2"/>
      <c r="E385" s="2"/>
      <c r="F385" s="2"/>
      <c r="G385" s="2"/>
      <c r="H385" s="2"/>
      <c r="I385" s="5"/>
    </row>
    <row r="386" spans="1:9" ht="17.399999999999999" x14ac:dyDescent="0.25">
      <c r="A386" s="16"/>
      <c r="B386" s="17"/>
      <c r="C386" s="2"/>
      <c r="D386" s="2"/>
      <c r="E386" s="2"/>
      <c r="F386" s="2"/>
      <c r="G386" s="2"/>
      <c r="H386" s="2"/>
      <c r="I386" s="5"/>
    </row>
    <row r="387" spans="1:9" ht="17.399999999999999" x14ac:dyDescent="0.25">
      <c r="A387" s="16"/>
      <c r="B387" s="17"/>
      <c r="C387" s="2"/>
      <c r="D387" s="2"/>
      <c r="E387" s="2"/>
      <c r="F387" s="2"/>
      <c r="G387" s="2"/>
      <c r="H387" s="2"/>
      <c r="I387" s="5"/>
    </row>
    <row r="388" spans="1:9" ht="17.399999999999999" x14ac:dyDescent="0.25">
      <c r="A388" s="16"/>
      <c r="B388" s="17"/>
      <c r="C388" s="2"/>
      <c r="D388" s="2"/>
      <c r="E388" s="2"/>
      <c r="F388" s="2"/>
      <c r="G388" s="2"/>
      <c r="H388" s="2"/>
      <c r="I388" s="5"/>
    </row>
    <row r="389" spans="1:9" ht="17.399999999999999" x14ac:dyDescent="0.25">
      <c r="A389" s="16"/>
      <c r="B389" s="17"/>
      <c r="C389" s="2"/>
      <c r="D389" s="2"/>
      <c r="E389" s="2"/>
      <c r="F389" s="2"/>
      <c r="G389" s="2"/>
      <c r="H389" s="2"/>
      <c r="I389" s="5"/>
    </row>
    <row r="390" spans="1:9" ht="17.399999999999999" x14ac:dyDescent="0.25">
      <c r="A390" s="16"/>
      <c r="B390" s="17"/>
      <c r="C390" s="2"/>
      <c r="D390" s="2"/>
      <c r="E390" s="2"/>
      <c r="F390" s="2"/>
      <c r="G390" s="2"/>
      <c r="H390" s="2"/>
      <c r="I390" s="5"/>
    </row>
    <row r="391" spans="1:9" ht="17.399999999999999" x14ac:dyDescent="0.25">
      <c r="A391" s="16"/>
      <c r="B391" s="17"/>
      <c r="C391" s="2"/>
      <c r="D391" s="2"/>
      <c r="E391" s="2"/>
      <c r="F391" s="2"/>
      <c r="G391" s="2"/>
      <c r="H391" s="2"/>
      <c r="I391" s="5"/>
    </row>
    <row r="392" spans="1:9" ht="17.399999999999999" x14ac:dyDescent="0.25">
      <c r="A392" s="16"/>
      <c r="B392" s="17"/>
      <c r="C392" s="2"/>
      <c r="D392" s="2"/>
      <c r="E392" s="2"/>
      <c r="F392" s="2"/>
      <c r="G392" s="2"/>
      <c r="H392" s="2"/>
      <c r="I392" s="5"/>
    </row>
    <row r="393" spans="1:9" ht="17.399999999999999" x14ac:dyDescent="0.25">
      <c r="A393" s="16"/>
      <c r="B393" s="17"/>
      <c r="C393" s="2"/>
      <c r="D393" s="2"/>
      <c r="E393" s="2"/>
      <c r="F393" s="2"/>
      <c r="G393" s="2"/>
      <c r="H393" s="2"/>
      <c r="I393" s="5"/>
    </row>
    <row r="394" spans="1:9" ht="17.399999999999999" x14ac:dyDescent="0.25">
      <c r="A394" s="16"/>
      <c r="B394" s="17"/>
      <c r="C394" s="2"/>
      <c r="D394" s="2"/>
      <c r="E394" s="2"/>
      <c r="F394" s="2"/>
      <c r="G394" s="2"/>
      <c r="H394" s="2"/>
      <c r="I394" s="5"/>
    </row>
    <row r="395" spans="1:9" ht="17.399999999999999" x14ac:dyDescent="0.25">
      <c r="A395" s="16"/>
      <c r="B395" s="17"/>
      <c r="C395" s="2"/>
      <c r="D395" s="2"/>
      <c r="E395" s="2"/>
      <c r="F395" s="2"/>
      <c r="G395" s="2"/>
      <c r="H395" s="2"/>
      <c r="I395" s="5"/>
    </row>
    <row r="396" spans="1:9" ht="17.399999999999999" x14ac:dyDescent="0.25">
      <c r="A396" s="16"/>
      <c r="B396" s="17"/>
      <c r="C396" s="2"/>
      <c r="D396" s="2"/>
      <c r="E396" s="2"/>
      <c r="F396" s="2"/>
      <c r="G396" s="2"/>
      <c r="H396" s="2"/>
      <c r="I396" s="5"/>
    </row>
    <row r="397" spans="1:9" ht="17.399999999999999" x14ac:dyDescent="0.25">
      <c r="A397" s="16"/>
      <c r="B397" s="17"/>
      <c r="C397" s="2"/>
      <c r="D397" s="2"/>
      <c r="E397" s="2"/>
      <c r="F397" s="2"/>
      <c r="G397" s="2"/>
      <c r="H397" s="2"/>
      <c r="I397" s="5"/>
    </row>
    <row r="398" spans="1:9" ht="17.399999999999999" x14ac:dyDescent="0.25">
      <c r="A398" s="16"/>
      <c r="B398" s="17"/>
      <c r="C398" s="2"/>
      <c r="D398" s="2"/>
      <c r="E398" s="2"/>
      <c r="F398" s="2"/>
      <c r="G398" s="2"/>
      <c r="H398" s="2"/>
      <c r="I398" s="5"/>
    </row>
    <row r="399" spans="1:9" ht="17.399999999999999" x14ac:dyDescent="0.25">
      <c r="A399" s="16"/>
      <c r="B399" s="17"/>
      <c r="C399" s="2"/>
      <c r="D399" s="2"/>
      <c r="E399" s="2"/>
      <c r="F399" s="2"/>
      <c r="G399" s="2"/>
      <c r="H399" s="2"/>
      <c r="I399" s="5"/>
    </row>
    <row r="400" spans="1:9" ht="17.399999999999999" x14ac:dyDescent="0.25">
      <c r="A400" s="16"/>
      <c r="B400" s="17"/>
      <c r="C400" s="2"/>
      <c r="D400" s="2"/>
      <c r="E400" s="2"/>
      <c r="F400" s="2"/>
      <c r="G400" s="2"/>
      <c r="H400" s="2"/>
      <c r="I400" s="5"/>
    </row>
    <row r="401" spans="1:9" ht="17.399999999999999" x14ac:dyDescent="0.25">
      <c r="A401" s="16"/>
      <c r="B401" s="17"/>
      <c r="C401" s="2"/>
      <c r="D401" s="2"/>
      <c r="E401" s="2"/>
      <c r="F401" s="2"/>
      <c r="G401" s="2"/>
      <c r="H401" s="2"/>
      <c r="I401" s="5"/>
    </row>
    <row r="402" spans="1:9" ht="17.399999999999999" x14ac:dyDescent="0.25">
      <c r="A402" s="16"/>
      <c r="B402" s="17"/>
      <c r="C402" s="2"/>
      <c r="D402" s="2"/>
      <c r="E402" s="2"/>
      <c r="F402" s="2"/>
      <c r="G402" s="2"/>
      <c r="H402" s="2"/>
      <c r="I402" s="5"/>
    </row>
    <row r="403" spans="1:9" ht="17.399999999999999" x14ac:dyDescent="0.25">
      <c r="A403" s="16"/>
      <c r="B403" s="17"/>
      <c r="C403" s="2"/>
      <c r="D403" s="2"/>
      <c r="E403" s="2"/>
      <c r="F403" s="2"/>
      <c r="G403" s="2"/>
      <c r="H403" s="2"/>
      <c r="I403" s="5"/>
    </row>
    <row r="404" spans="1:9" ht="17.399999999999999" x14ac:dyDescent="0.25">
      <c r="A404" s="16"/>
      <c r="B404" s="17"/>
      <c r="C404" s="2"/>
      <c r="D404" s="2"/>
      <c r="E404" s="2"/>
      <c r="F404" s="2"/>
      <c r="G404" s="2"/>
      <c r="H404" s="2"/>
      <c r="I404" s="5"/>
    </row>
    <row r="405" spans="1:9" ht="17.399999999999999" x14ac:dyDescent="0.25">
      <c r="A405" s="16"/>
      <c r="B405" s="17"/>
      <c r="C405" s="2"/>
      <c r="D405" s="2"/>
      <c r="E405" s="2"/>
      <c r="F405" s="2"/>
      <c r="G405" s="2"/>
      <c r="H405" s="2"/>
      <c r="I405" s="5"/>
    </row>
    <row r="406" spans="1:9" ht="17.399999999999999" x14ac:dyDescent="0.25">
      <c r="A406" s="16"/>
      <c r="B406" s="17"/>
      <c r="C406" s="2"/>
      <c r="D406" s="2"/>
      <c r="E406" s="2"/>
      <c r="F406" s="2"/>
      <c r="G406" s="2"/>
      <c r="H406" s="2"/>
      <c r="I406" s="5"/>
    </row>
    <row r="407" spans="1:9" ht="17.399999999999999" x14ac:dyDescent="0.25">
      <c r="A407" s="16"/>
      <c r="B407" s="17"/>
      <c r="C407" s="2"/>
      <c r="D407" s="2"/>
      <c r="E407" s="2"/>
      <c r="F407" s="2"/>
      <c r="G407" s="2"/>
      <c r="H407" s="2"/>
      <c r="I407" s="5"/>
    </row>
    <row r="408" spans="1:9" ht="17.399999999999999" x14ac:dyDescent="0.25">
      <c r="A408" s="16"/>
      <c r="B408" s="17"/>
      <c r="C408" s="2"/>
      <c r="D408" s="2"/>
      <c r="E408" s="2"/>
      <c r="F408" s="2"/>
      <c r="G408" s="2"/>
      <c r="H408" s="2"/>
      <c r="I408" s="5"/>
    </row>
    <row r="409" spans="1:9" ht="17.399999999999999" x14ac:dyDescent="0.25">
      <c r="A409" s="16"/>
      <c r="B409" s="17"/>
      <c r="C409" s="2"/>
      <c r="D409" s="2"/>
      <c r="E409" s="2"/>
      <c r="F409" s="2"/>
      <c r="G409" s="2"/>
      <c r="H409" s="2"/>
      <c r="I409" s="5"/>
    </row>
    <row r="410" spans="1:9" ht="17.399999999999999" x14ac:dyDescent="0.25">
      <c r="A410" s="16"/>
      <c r="B410" s="17"/>
      <c r="C410" s="2"/>
      <c r="D410" s="2"/>
      <c r="E410" s="2"/>
      <c r="F410" s="2"/>
      <c r="G410" s="2"/>
      <c r="H410" s="2"/>
      <c r="I410" s="5"/>
    </row>
    <row r="411" spans="1:9" ht="17.399999999999999" x14ac:dyDescent="0.25">
      <c r="A411" s="16"/>
      <c r="B411" s="17"/>
      <c r="C411" s="2"/>
      <c r="D411" s="2"/>
      <c r="E411" s="2"/>
      <c r="F411" s="2"/>
      <c r="G411" s="2"/>
      <c r="H411" s="2"/>
      <c r="I411" s="5"/>
    </row>
    <row r="412" spans="1:9" ht="17.399999999999999" x14ac:dyDescent="0.25">
      <c r="A412" s="16"/>
      <c r="B412" s="17"/>
      <c r="C412" s="2"/>
      <c r="D412" s="2"/>
      <c r="E412" s="2"/>
      <c r="F412" s="2"/>
      <c r="G412" s="2"/>
      <c r="H412" s="2"/>
      <c r="I412" s="5"/>
    </row>
    <row r="413" spans="1:9" ht="17.399999999999999" x14ac:dyDescent="0.25">
      <c r="A413" s="16"/>
      <c r="B413" s="17"/>
      <c r="C413" s="2"/>
      <c r="D413" s="2"/>
      <c r="E413" s="2"/>
      <c r="F413" s="2"/>
      <c r="G413" s="2"/>
      <c r="H413" s="2"/>
      <c r="I413" s="5"/>
    </row>
    <row r="414" spans="1:9" ht="17.399999999999999" x14ac:dyDescent="0.25">
      <c r="A414" s="16"/>
      <c r="B414" s="17"/>
      <c r="C414" s="2"/>
      <c r="D414" s="2"/>
      <c r="E414" s="2"/>
      <c r="F414" s="2"/>
      <c r="G414" s="2"/>
      <c r="H414" s="2"/>
      <c r="I414" s="5"/>
    </row>
    <row r="415" spans="1:9" ht="17.399999999999999" x14ac:dyDescent="0.25">
      <c r="A415" s="16"/>
      <c r="B415" s="17"/>
      <c r="C415" s="2"/>
      <c r="D415" s="2"/>
      <c r="E415" s="2"/>
      <c r="F415" s="2"/>
      <c r="G415" s="2"/>
      <c r="H415" s="2"/>
      <c r="I415" s="5"/>
    </row>
    <row r="416" spans="1:9" ht="17.399999999999999" x14ac:dyDescent="0.25">
      <c r="A416" s="16"/>
      <c r="B416" s="17"/>
      <c r="C416" s="2"/>
      <c r="D416" s="2"/>
      <c r="E416" s="2"/>
      <c r="F416" s="2"/>
      <c r="G416" s="2"/>
      <c r="H416" s="2"/>
      <c r="I416" s="5"/>
    </row>
    <row r="417" spans="1:9" ht="17.399999999999999" x14ac:dyDescent="0.25">
      <c r="A417" s="16"/>
      <c r="B417" s="17"/>
      <c r="C417" s="2"/>
      <c r="D417" s="2"/>
      <c r="E417" s="2"/>
      <c r="F417" s="2"/>
      <c r="G417" s="2"/>
      <c r="H417" s="2"/>
      <c r="I417" s="5"/>
    </row>
    <row r="418" spans="1:9" ht="17.399999999999999" x14ac:dyDescent="0.25">
      <c r="A418" s="16"/>
      <c r="B418" s="17"/>
      <c r="C418" s="2"/>
      <c r="D418" s="2"/>
      <c r="E418" s="2"/>
      <c r="F418" s="2"/>
      <c r="G418" s="2"/>
      <c r="H418" s="2"/>
      <c r="I418" s="5"/>
    </row>
    <row r="419" spans="1:9" ht="17.399999999999999" x14ac:dyDescent="0.25">
      <c r="A419" s="16"/>
      <c r="B419" s="17"/>
      <c r="C419" s="2"/>
      <c r="D419" s="2"/>
      <c r="E419" s="2"/>
      <c r="F419" s="2"/>
      <c r="G419" s="2"/>
      <c r="H419" s="2"/>
      <c r="I419" s="5"/>
    </row>
    <row r="420" spans="1:9" ht="17.399999999999999" x14ac:dyDescent="0.25">
      <c r="A420" s="16"/>
      <c r="B420" s="17"/>
      <c r="C420" s="2"/>
      <c r="D420" s="2"/>
      <c r="E420" s="2"/>
      <c r="F420" s="2"/>
      <c r="G420" s="2"/>
      <c r="H420" s="2"/>
      <c r="I420" s="5"/>
    </row>
    <row r="421" spans="1:9" ht="17.399999999999999" x14ac:dyDescent="0.25">
      <c r="A421" s="16"/>
      <c r="B421" s="17"/>
      <c r="C421" s="2"/>
      <c r="D421" s="2"/>
      <c r="E421" s="2"/>
      <c r="F421" s="2"/>
      <c r="G421" s="2"/>
      <c r="H421" s="2"/>
      <c r="I421" s="5"/>
    </row>
    <row r="422" spans="1:9" ht="17.399999999999999" x14ac:dyDescent="0.25">
      <c r="A422" s="16"/>
      <c r="B422" s="17"/>
      <c r="C422" s="2"/>
      <c r="D422" s="2"/>
      <c r="E422" s="2"/>
      <c r="F422" s="2"/>
      <c r="G422" s="2"/>
      <c r="H422" s="2"/>
      <c r="I422" s="5"/>
    </row>
    <row r="423" spans="1:9" ht="17.399999999999999" x14ac:dyDescent="0.25">
      <c r="A423" s="16"/>
      <c r="B423" s="17"/>
      <c r="C423" s="2"/>
      <c r="D423" s="2"/>
      <c r="E423" s="2"/>
      <c r="F423" s="2"/>
      <c r="G423" s="2"/>
      <c r="H423" s="2"/>
      <c r="I423" s="5"/>
    </row>
    <row r="424" spans="1:9" ht="17.399999999999999" x14ac:dyDescent="0.25">
      <c r="A424" s="16"/>
      <c r="B424" s="17"/>
      <c r="C424" s="2"/>
      <c r="D424" s="2"/>
      <c r="E424" s="2"/>
      <c r="F424" s="2"/>
      <c r="G424" s="2"/>
      <c r="H424" s="2"/>
      <c r="I424" s="5"/>
    </row>
    <row r="425" spans="1:9" ht="17.399999999999999" x14ac:dyDescent="0.25">
      <c r="A425" s="16"/>
      <c r="B425" s="17"/>
      <c r="C425" s="2"/>
      <c r="D425" s="2"/>
      <c r="E425" s="2"/>
      <c r="F425" s="2"/>
      <c r="G425" s="2"/>
      <c r="H425" s="2"/>
      <c r="I425" s="5"/>
    </row>
    <row r="426" spans="1:9" ht="17.399999999999999" x14ac:dyDescent="0.25">
      <c r="A426" s="16"/>
      <c r="B426" s="17"/>
      <c r="C426" s="2"/>
      <c r="D426" s="2"/>
      <c r="E426" s="2"/>
      <c r="F426" s="2"/>
      <c r="G426" s="2"/>
      <c r="H426" s="2"/>
      <c r="I426" s="5"/>
    </row>
    <row r="427" spans="1:9" ht="17.399999999999999" x14ac:dyDescent="0.25">
      <c r="A427" s="16"/>
      <c r="B427" s="17"/>
      <c r="C427" s="2"/>
      <c r="D427" s="2"/>
      <c r="E427" s="2"/>
      <c r="F427" s="2"/>
      <c r="G427" s="2"/>
      <c r="H427" s="2"/>
      <c r="I427" s="5"/>
    </row>
    <row r="428" spans="1:9" ht="17.399999999999999" x14ac:dyDescent="0.25">
      <c r="A428" s="16"/>
      <c r="B428" s="17"/>
      <c r="C428" s="2"/>
      <c r="D428" s="2"/>
      <c r="E428" s="2"/>
      <c r="F428" s="2"/>
      <c r="G428" s="2"/>
      <c r="H428" s="2"/>
      <c r="I428" s="5"/>
    </row>
    <row r="429" spans="1:9" ht="17.399999999999999" x14ac:dyDescent="0.25">
      <c r="A429" s="16"/>
      <c r="B429" s="17"/>
      <c r="C429" s="2"/>
      <c r="D429" s="2"/>
      <c r="E429" s="2"/>
      <c r="F429" s="2"/>
      <c r="G429" s="2"/>
      <c r="H429" s="2"/>
      <c r="I429" s="5"/>
    </row>
    <row r="430" spans="1:9" ht="17.399999999999999" x14ac:dyDescent="0.25">
      <c r="A430" s="16"/>
      <c r="B430" s="17"/>
      <c r="C430" s="2"/>
      <c r="D430" s="2"/>
      <c r="E430" s="2"/>
      <c r="F430" s="2"/>
      <c r="G430" s="2"/>
      <c r="H430" s="2"/>
      <c r="I430" s="5"/>
    </row>
    <row r="431" spans="1:9" ht="17.399999999999999" x14ac:dyDescent="0.25">
      <c r="A431" s="16"/>
      <c r="B431" s="17"/>
      <c r="C431" s="2"/>
      <c r="D431" s="2"/>
      <c r="E431" s="2"/>
      <c r="F431" s="2"/>
      <c r="G431" s="2"/>
      <c r="H431" s="2"/>
      <c r="I431" s="5"/>
    </row>
    <row r="432" spans="1:9" ht="17.399999999999999" x14ac:dyDescent="0.25">
      <c r="A432" s="16"/>
      <c r="B432" s="17"/>
      <c r="C432" s="2"/>
      <c r="D432" s="2"/>
      <c r="E432" s="2"/>
      <c r="F432" s="2"/>
      <c r="G432" s="2"/>
      <c r="H432" s="2"/>
      <c r="I432" s="5"/>
    </row>
    <row r="433" spans="1:9" ht="17.399999999999999" x14ac:dyDescent="0.25">
      <c r="A433" s="16"/>
      <c r="B433" s="17"/>
      <c r="C433" s="2"/>
      <c r="D433" s="2"/>
      <c r="E433" s="2"/>
      <c r="F433" s="2"/>
      <c r="G433" s="2"/>
      <c r="H433" s="2"/>
      <c r="I433" s="5"/>
    </row>
    <row r="434" spans="1:9" ht="17.399999999999999" x14ac:dyDescent="0.25">
      <c r="A434" s="16"/>
      <c r="B434" s="17"/>
      <c r="C434" s="2"/>
      <c r="D434" s="2"/>
      <c r="E434" s="2"/>
      <c r="F434" s="2"/>
      <c r="G434" s="2"/>
      <c r="H434" s="2"/>
      <c r="I434" s="5"/>
    </row>
    <row r="435" spans="1:9" ht="17.399999999999999" x14ac:dyDescent="0.25">
      <c r="A435" s="16"/>
      <c r="B435" s="17"/>
      <c r="C435" s="2"/>
      <c r="D435" s="2"/>
      <c r="E435" s="2"/>
      <c r="F435" s="2"/>
      <c r="G435" s="2"/>
      <c r="H435" s="2"/>
      <c r="I435" s="5"/>
    </row>
    <row r="436" spans="1:9" ht="17.399999999999999" x14ac:dyDescent="0.25">
      <c r="A436" s="16"/>
      <c r="B436" s="17"/>
      <c r="C436" s="2"/>
      <c r="D436" s="2"/>
      <c r="E436" s="2"/>
      <c r="F436" s="2"/>
      <c r="G436" s="2"/>
      <c r="H436" s="2"/>
      <c r="I436" s="5"/>
    </row>
    <row r="437" spans="1:9" ht="17.399999999999999" x14ac:dyDescent="0.25">
      <c r="A437" s="16"/>
      <c r="B437" s="17"/>
      <c r="C437" s="2"/>
      <c r="D437" s="2"/>
      <c r="E437" s="2"/>
      <c r="F437" s="2"/>
      <c r="G437" s="2"/>
      <c r="H437" s="2"/>
      <c r="I437" s="5"/>
    </row>
    <row r="438" spans="1:9" ht="17.399999999999999" x14ac:dyDescent="0.25">
      <c r="A438" s="16"/>
      <c r="B438" s="17"/>
      <c r="C438" s="2"/>
      <c r="D438" s="2"/>
      <c r="E438" s="2"/>
      <c r="F438" s="2"/>
      <c r="G438" s="2"/>
      <c r="H438" s="2"/>
      <c r="I438" s="5"/>
    </row>
    <row r="439" spans="1:9" ht="17.399999999999999" x14ac:dyDescent="0.25">
      <c r="A439" s="16"/>
      <c r="B439" s="17"/>
      <c r="C439" s="2"/>
      <c r="D439" s="2"/>
      <c r="E439" s="2"/>
      <c r="F439" s="2"/>
      <c r="G439" s="2"/>
      <c r="H439" s="2"/>
      <c r="I439" s="5"/>
    </row>
    <row r="440" spans="1:9" ht="17.399999999999999" x14ac:dyDescent="0.25">
      <c r="A440" s="16"/>
      <c r="B440" s="17"/>
      <c r="C440" s="2"/>
      <c r="D440" s="2"/>
      <c r="E440" s="2"/>
      <c r="F440" s="2"/>
      <c r="G440" s="2"/>
      <c r="H440" s="2"/>
      <c r="I440" s="5"/>
    </row>
    <row r="441" spans="1:9" ht="17.399999999999999" x14ac:dyDescent="0.25">
      <c r="A441" s="16"/>
      <c r="B441" s="17"/>
      <c r="C441" s="2"/>
      <c r="D441" s="2"/>
      <c r="E441" s="2"/>
      <c r="F441" s="2"/>
      <c r="G441" s="2"/>
      <c r="H441" s="2"/>
      <c r="I441" s="5"/>
    </row>
    <row r="442" spans="1:9" ht="17.399999999999999" x14ac:dyDescent="0.25">
      <c r="A442" s="16"/>
      <c r="B442" s="17"/>
      <c r="C442" s="2"/>
      <c r="D442" s="2"/>
      <c r="E442" s="2"/>
      <c r="F442" s="2"/>
      <c r="G442" s="2"/>
      <c r="H442" s="2"/>
      <c r="I442" s="5"/>
    </row>
    <row r="443" spans="1:9" ht="17.399999999999999" x14ac:dyDescent="0.25">
      <c r="A443" s="16"/>
      <c r="B443" s="17"/>
      <c r="C443" s="2"/>
      <c r="D443" s="2"/>
      <c r="E443" s="2"/>
      <c r="F443" s="2"/>
      <c r="G443" s="2"/>
      <c r="H443" s="2"/>
      <c r="I443" s="5"/>
    </row>
    <row r="444" spans="1:9" ht="17.399999999999999" x14ac:dyDescent="0.25">
      <c r="A444" s="16"/>
      <c r="B444" s="17"/>
      <c r="C444" s="2"/>
      <c r="D444" s="2"/>
      <c r="E444" s="2"/>
      <c r="F444" s="2"/>
      <c r="G444" s="2"/>
      <c r="H444" s="2"/>
      <c r="I444" s="5"/>
    </row>
    <row r="445" spans="1:9" ht="17.399999999999999" x14ac:dyDescent="0.25">
      <c r="A445" s="16"/>
      <c r="B445" s="17"/>
      <c r="C445" s="2"/>
      <c r="D445" s="2"/>
      <c r="E445" s="2"/>
      <c r="F445" s="2"/>
      <c r="G445" s="2"/>
      <c r="H445" s="2"/>
      <c r="I445" s="5"/>
    </row>
    <row r="446" spans="1:9" ht="17.399999999999999" x14ac:dyDescent="0.25">
      <c r="A446" s="16"/>
      <c r="B446" s="17"/>
      <c r="C446" s="2"/>
      <c r="D446" s="2"/>
      <c r="E446" s="2"/>
      <c r="F446" s="2"/>
      <c r="G446" s="2"/>
      <c r="H446" s="2"/>
      <c r="I446" s="5"/>
    </row>
    <row r="447" spans="1:9" ht="17.399999999999999" x14ac:dyDescent="0.25">
      <c r="A447" s="16"/>
      <c r="B447" s="17"/>
      <c r="C447" s="2"/>
      <c r="D447" s="2"/>
      <c r="E447" s="2"/>
      <c r="F447" s="2"/>
      <c r="G447" s="2"/>
      <c r="H447" s="2"/>
      <c r="I447" s="5"/>
    </row>
    <row r="448" spans="1:9" ht="17.399999999999999" x14ac:dyDescent="0.25">
      <c r="A448" s="16"/>
      <c r="B448" s="17"/>
      <c r="C448" s="2"/>
      <c r="D448" s="2"/>
      <c r="E448" s="2"/>
      <c r="F448" s="2"/>
      <c r="G448" s="2"/>
      <c r="H448" s="2"/>
      <c r="I448" s="5"/>
    </row>
    <row r="449" spans="1:9" ht="17.399999999999999" x14ac:dyDescent="0.25">
      <c r="A449" s="16"/>
      <c r="B449" s="17"/>
      <c r="C449" s="2"/>
      <c r="D449" s="2"/>
      <c r="E449" s="2"/>
      <c r="F449" s="2"/>
      <c r="G449" s="2"/>
      <c r="H449" s="2"/>
      <c r="I449" s="5"/>
    </row>
    <row r="450" spans="1:9" ht="17.399999999999999" x14ac:dyDescent="0.25">
      <c r="A450" s="16"/>
      <c r="B450" s="17"/>
      <c r="C450" s="2"/>
      <c r="D450" s="2"/>
      <c r="E450" s="2"/>
      <c r="F450" s="2"/>
      <c r="G450" s="2"/>
      <c r="H450" s="2"/>
      <c r="I450" s="5"/>
    </row>
    <row r="451" spans="1:9" ht="17.399999999999999" x14ac:dyDescent="0.25">
      <c r="A451" s="16"/>
      <c r="B451" s="17"/>
      <c r="C451" s="2"/>
      <c r="D451" s="2"/>
      <c r="E451" s="2"/>
      <c r="F451" s="2"/>
      <c r="G451" s="2"/>
      <c r="H451" s="2"/>
      <c r="I451" s="5"/>
    </row>
    <row r="452" spans="1:9" ht="17.399999999999999" x14ac:dyDescent="0.25">
      <c r="A452" s="16"/>
      <c r="B452" s="17"/>
      <c r="C452" s="2"/>
      <c r="D452" s="2"/>
      <c r="E452" s="2"/>
      <c r="F452" s="2"/>
      <c r="G452" s="2"/>
      <c r="H452" s="2"/>
      <c r="I452" s="5"/>
    </row>
    <row r="453" spans="1:9" ht="17.399999999999999" x14ac:dyDescent="0.25">
      <c r="A453" s="16"/>
      <c r="B453" s="17"/>
      <c r="C453" s="2"/>
      <c r="D453" s="2"/>
      <c r="E453" s="2"/>
      <c r="F453" s="2"/>
      <c r="G453" s="2"/>
      <c r="H453" s="2"/>
      <c r="I453" s="5"/>
    </row>
    <row r="454" spans="1:9" ht="17.399999999999999" x14ac:dyDescent="0.25">
      <c r="A454" s="16"/>
      <c r="B454" s="17"/>
      <c r="C454" s="2"/>
      <c r="D454" s="2"/>
      <c r="E454" s="2"/>
      <c r="F454" s="2"/>
      <c r="G454" s="2"/>
      <c r="H454" s="2"/>
      <c r="I454" s="5"/>
    </row>
    <row r="455" spans="1:9" ht="17.399999999999999" x14ac:dyDescent="0.25">
      <c r="A455" s="16"/>
      <c r="B455" s="17"/>
      <c r="C455" s="2"/>
      <c r="D455" s="2"/>
      <c r="E455" s="2"/>
      <c r="F455" s="2"/>
      <c r="G455" s="2"/>
      <c r="H455" s="2"/>
      <c r="I455" s="5"/>
    </row>
    <row r="456" spans="1:9" ht="17.399999999999999" x14ac:dyDescent="0.25">
      <c r="A456" s="16"/>
      <c r="B456" s="17"/>
      <c r="C456" s="2"/>
      <c r="D456" s="2"/>
      <c r="E456" s="2"/>
      <c r="F456" s="2"/>
      <c r="G456" s="2"/>
      <c r="H456" s="2"/>
      <c r="I456" s="5"/>
    </row>
    <row r="457" spans="1:9" ht="17.399999999999999" x14ac:dyDescent="0.25">
      <c r="A457" s="16"/>
      <c r="B457" s="17"/>
      <c r="C457" s="2"/>
      <c r="D457" s="2"/>
      <c r="E457" s="2"/>
      <c r="F457" s="2"/>
      <c r="G457" s="2"/>
      <c r="H457" s="2"/>
      <c r="I457" s="5"/>
    </row>
    <row r="458" spans="1:9" ht="17.399999999999999" x14ac:dyDescent="0.25">
      <c r="A458" s="16"/>
      <c r="B458" s="17"/>
      <c r="C458" s="2"/>
      <c r="D458" s="2"/>
      <c r="E458" s="2"/>
      <c r="F458" s="2"/>
      <c r="G458" s="2"/>
      <c r="H458" s="2"/>
      <c r="I458" s="5"/>
    </row>
    <row r="459" spans="1:9" ht="17.399999999999999" x14ac:dyDescent="0.25">
      <c r="A459" s="16"/>
      <c r="B459" s="17"/>
      <c r="C459" s="2"/>
      <c r="D459" s="2"/>
      <c r="E459" s="2"/>
      <c r="F459" s="2"/>
      <c r="G459" s="2"/>
      <c r="H459" s="2"/>
      <c r="I459" s="5"/>
    </row>
    <row r="460" spans="1:9" ht="17.399999999999999" x14ac:dyDescent="0.25">
      <c r="A460" s="16"/>
      <c r="B460" s="17"/>
      <c r="C460" s="2"/>
      <c r="D460" s="2"/>
      <c r="E460" s="2"/>
      <c r="F460" s="2"/>
      <c r="G460" s="2"/>
      <c r="H460" s="2"/>
      <c r="I460" s="5"/>
    </row>
    <row r="461" spans="1:9" ht="17.399999999999999" x14ac:dyDescent="0.25">
      <c r="A461" s="16"/>
      <c r="B461" s="17"/>
      <c r="C461" s="2"/>
      <c r="D461" s="2"/>
      <c r="E461" s="2"/>
      <c r="F461" s="2"/>
      <c r="G461" s="2"/>
      <c r="H461" s="2"/>
      <c r="I461" s="5"/>
    </row>
    <row r="462" spans="1:9" ht="17.399999999999999" x14ac:dyDescent="0.25">
      <c r="A462" s="16"/>
      <c r="B462" s="17"/>
      <c r="C462" s="2"/>
      <c r="D462" s="2"/>
      <c r="E462" s="2"/>
      <c r="F462" s="2"/>
      <c r="G462" s="2"/>
      <c r="H462" s="2"/>
      <c r="I462" s="5"/>
    </row>
    <row r="463" spans="1:9" ht="17.399999999999999" x14ac:dyDescent="0.25">
      <c r="A463" s="16"/>
      <c r="B463" s="17"/>
      <c r="C463" s="2"/>
      <c r="D463" s="2"/>
      <c r="E463" s="2"/>
      <c r="F463" s="2"/>
      <c r="G463" s="2"/>
      <c r="H463" s="2"/>
      <c r="I463" s="5"/>
    </row>
    <row r="464" spans="1:9" ht="17.399999999999999" x14ac:dyDescent="0.25">
      <c r="A464" s="16"/>
      <c r="B464" s="17"/>
      <c r="C464" s="2"/>
      <c r="D464" s="2"/>
      <c r="E464" s="2"/>
      <c r="F464" s="2"/>
      <c r="G464" s="2"/>
      <c r="H464" s="2"/>
      <c r="I464" s="5"/>
    </row>
    <row r="465" spans="1:9" ht="17.399999999999999" x14ac:dyDescent="0.25">
      <c r="A465" s="16"/>
      <c r="B465" s="17"/>
      <c r="C465" s="2"/>
      <c r="D465" s="2"/>
      <c r="E465" s="2"/>
      <c r="F465" s="2"/>
      <c r="G465" s="2"/>
      <c r="H465" s="2"/>
      <c r="I465" s="5"/>
    </row>
    <row r="466" spans="1:9" ht="17.399999999999999" x14ac:dyDescent="0.25">
      <c r="A466" s="16"/>
      <c r="B466" s="17"/>
      <c r="C466" s="2"/>
      <c r="D466" s="2"/>
      <c r="E466" s="2"/>
      <c r="F466" s="2"/>
      <c r="G466" s="2"/>
      <c r="H466" s="2"/>
      <c r="I466" s="5"/>
    </row>
    <row r="467" spans="1:9" ht="17.399999999999999" x14ac:dyDescent="0.25">
      <c r="A467" s="16"/>
      <c r="B467" s="17"/>
      <c r="C467" s="2"/>
      <c r="D467" s="2"/>
      <c r="E467" s="2"/>
      <c r="F467" s="2"/>
      <c r="G467" s="2"/>
      <c r="H467" s="2"/>
      <c r="I467" s="5"/>
    </row>
    <row r="468" spans="1:9" ht="17.399999999999999" x14ac:dyDescent="0.25">
      <c r="A468" s="16"/>
      <c r="B468" s="17"/>
      <c r="C468" s="2"/>
      <c r="D468" s="2"/>
      <c r="E468" s="2"/>
      <c r="F468" s="2"/>
      <c r="G468" s="2"/>
      <c r="H468" s="2"/>
      <c r="I468" s="5"/>
    </row>
    <row r="469" spans="1:9" ht="17.399999999999999" x14ac:dyDescent="0.25">
      <c r="A469" s="16"/>
      <c r="B469" s="17"/>
      <c r="C469" s="2"/>
      <c r="D469" s="2"/>
      <c r="E469" s="2"/>
      <c r="F469" s="2"/>
      <c r="G469" s="2"/>
      <c r="H469" s="2"/>
      <c r="I469" s="5"/>
    </row>
    <row r="470" spans="1:9" ht="17.399999999999999" x14ac:dyDescent="0.25">
      <c r="A470" s="16"/>
      <c r="B470" s="17"/>
      <c r="C470" s="2"/>
      <c r="D470" s="2"/>
      <c r="E470" s="2"/>
      <c r="F470" s="2"/>
      <c r="G470" s="2"/>
      <c r="H470" s="2"/>
      <c r="I470" s="5"/>
    </row>
    <row r="471" spans="1:9" ht="17.399999999999999" x14ac:dyDescent="0.25">
      <c r="A471" s="16"/>
      <c r="B471" s="17"/>
      <c r="C471" s="2"/>
      <c r="D471" s="2"/>
      <c r="E471" s="2"/>
      <c r="F471" s="2"/>
      <c r="G471" s="2"/>
      <c r="H471" s="2"/>
      <c r="I471" s="5"/>
    </row>
    <row r="472" spans="1:9" ht="17.399999999999999" x14ac:dyDescent="0.25">
      <c r="A472" s="16"/>
      <c r="B472" s="17"/>
      <c r="C472" s="2"/>
      <c r="D472" s="2"/>
      <c r="E472" s="2"/>
      <c r="F472" s="2"/>
      <c r="G472" s="2"/>
      <c r="H472" s="2"/>
      <c r="I472" s="5"/>
    </row>
    <row r="473" spans="1:9" ht="17.399999999999999" x14ac:dyDescent="0.25">
      <c r="A473" s="16"/>
      <c r="B473" s="17"/>
      <c r="C473" s="2"/>
      <c r="D473" s="2"/>
      <c r="E473" s="2"/>
      <c r="F473" s="2"/>
      <c r="G473" s="2"/>
      <c r="H473" s="2"/>
      <c r="I473" s="5"/>
    </row>
    <row r="474" spans="1:9" ht="17.399999999999999" x14ac:dyDescent="0.25">
      <c r="A474" s="16"/>
      <c r="B474" s="17"/>
      <c r="C474" s="2"/>
      <c r="D474" s="2"/>
      <c r="E474" s="2"/>
      <c r="F474" s="2"/>
      <c r="G474" s="2"/>
      <c r="H474" s="2"/>
      <c r="I474" s="5"/>
    </row>
    <row r="475" spans="1:9" ht="17.399999999999999" x14ac:dyDescent="0.25">
      <c r="A475" s="16"/>
      <c r="B475" s="17"/>
      <c r="C475" s="2"/>
      <c r="D475" s="2"/>
      <c r="E475" s="2"/>
      <c r="F475" s="2"/>
      <c r="G475" s="2"/>
      <c r="H475" s="2"/>
      <c r="I475" s="5"/>
    </row>
    <row r="476" spans="1:9" ht="17.399999999999999" x14ac:dyDescent="0.25">
      <c r="A476" s="16"/>
      <c r="B476" s="17"/>
      <c r="C476" s="2"/>
      <c r="D476" s="2"/>
      <c r="E476" s="2"/>
      <c r="F476" s="2"/>
      <c r="G476" s="2"/>
      <c r="H476" s="2"/>
      <c r="I476" s="5"/>
    </row>
    <row r="477" spans="1:9" ht="17.399999999999999" x14ac:dyDescent="0.25">
      <c r="A477" s="16"/>
      <c r="B477" s="17"/>
      <c r="C477" s="2"/>
      <c r="D477" s="2"/>
      <c r="E477" s="2"/>
      <c r="F477" s="2"/>
      <c r="G477" s="2"/>
      <c r="H477" s="2"/>
      <c r="I477" s="5"/>
    </row>
    <row r="478" spans="1:9" ht="17.399999999999999" x14ac:dyDescent="0.25">
      <c r="A478" s="16"/>
      <c r="B478" s="17"/>
      <c r="C478" s="2"/>
      <c r="D478" s="2"/>
      <c r="E478" s="2"/>
      <c r="F478" s="2"/>
      <c r="G478" s="2"/>
      <c r="H478" s="2"/>
      <c r="I478" s="5"/>
    </row>
    <row r="479" spans="1:9" ht="17.399999999999999" x14ac:dyDescent="0.25">
      <c r="A479" s="16"/>
      <c r="B479" s="17"/>
      <c r="C479" s="2"/>
      <c r="D479" s="2"/>
      <c r="E479" s="2"/>
      <c r="F479" s="2"/>
      <c r="G479" s="2"/>
      <c r="H479" s="2"/>
      <c r="I479" s="5"/>
    </row>
    <row r="480" spans="1:9" ht="17.399999999999999" x14ac:dyDescent="0.25">
      <c r="A480" s="16"/>
      <c r="B480" s="17"/>
      <c r="C480" s="2"/>
      <c r="D480" s="2"/>
      <c r="E480" s="2"/>
      <c r="F480" s="2"/>
      <c r="G480" s="2"/>
      <c r="H480" s="2"/>
      <c r="I480" s="5"/>
    </row>
    <row r="481" spans="1:9" ht="17.399999999999999" x14ac:dyDescent="0.25">
      <c r="A481" s="16"/>
      <c r="B481" s="17"/>
      <c r="C481" s="2"/>
      <c r="D481" s="2"/>
      <c r="E481" s="2"/>
      <c r="F481" s="2"/>
      <c r="G481" s="2"/>
      <c r="H481" s="2"/>
      <c r="I481" s="5"/>
    </row>
    <row r="482" spans="1:9" ht="17.399999999999999" x14ac:dyDescent="0.25">
      <c r="A482" s="16"/>
      <c r="B482" s="17"/>
      <c r="C482" s="2"/>
      <c r="D482" s="2"/>
      <c r="E482" s="2"/>
      <c r="F482" s="2"/>
      <c r="G482" s="2"/>
      <c r="H482" s="2"/>
      <c r="I482" s="5"/>
    </row>
    <row r="483" spans="1:9" ht="17.399999999999999" x14ac:dyDescent="0.25">
      <c r="A483" s="16"/>
      <c r="B483" s="17"/>
      <c r="C483" s="2"/>
      <c r="D483" s="2"/>
      <c r="E483" s="2"/>
      <c r="F483" s="2"/>
      <c r="G483" s="2"/>
      <c r="H483" s="2"/>
      <c r="I483" s="5"/>
    </row>
    <row r="484" spans="1:9" ht="17.399999999999999" x14ac:dyDescent="0.25">
      <c r="A484" s="16"/>
      <c r="B484" s="17"/>
      <c r="C484" s="2"/>
      <c r="D484" s="2"/>
      <c r="E484" s="2"/>
      <c r="F484" s="2"/>
      <c r="G484" s="2"/>
      <c r="H484" s="2"/>
      <c r="I484" s="5"/>
    </row>
    <row r="485" spans="1:9" ht="17.399999999999999" x14ac:dyDescent="0.25">
      <c r="A485" s="16"/>
      <c r="B485" s="17"/>
      <c r="C485" s="2"/>
      <c r="D485" s="2"/>
      <c r="E485" s="2"/>
      <c r="F485" s="2"/>
      <c r="G485" s="2"/>
      <c r="H485" s="2"/>
      <c r="I485" s="5"/>
    </row>
    <row r="486" spans="1:9" ht="17.399999999999999" x14ac:dyDescent="0.25">
      <c r="A486" s="16"/>
      <c r="B486" s="17"/>
      <c r="C486" s="2"/>
      <c r="D486" s="2"/>
      <c r="E486" s="2"/>
      <c r="F486" s="2"/>
      <c r="G486" s="2"/>
      <c r="H486" s="2"/>
      <c r="I486" s="5"/>
    </row>
    <row r="487" spans="1:9" ht="17.399999999999999" x14ac:dyDescent="0.25">
      <c r="A487" s="16"/>
      <c r="B487" s="17"/>
      <c r="C487" s="2"/>
      <c r="D487" s="2"/>
      <c r="E487" s="2"/>
      <c r="F487" s="2"/>
      <c r="G487" s="2"/>
      <c r="H487" s="2"/>
      <c r="I487" s="5"/>
    </row>
    <row r="488" spans="1:9" ht="17.399999999999999" x14ac:dyDescent="0.25">
      <c r="A488" s="16"/>
      <c r="B488" s="17"/>
      <c r="C488" s="2"/>
      <c r="D488" s="2"/>
      <c r="E488" s="2"/>
      <c r="F488" s="2"/>
      <c r="G488" s="2"/>
      <c r="H488" s="2"/>
      <c r="I488" s="5"/>
    </row>
    <row r="489" spans="1:9" ht="17.399999999999999" x14ac:dyDescent="0.25">
      <c r="A489" s="16"/>
      <c r="B489" s="17"/>
      <c r="C489" s="2"/>
      <c r="D489" s="2"/>
      <c r="E489" s="2"/>
      <c r="F489" s="2"/>
      <c r="G489" s="2"/>
      <c r="H489" s="2"/>
      <c r="I489" s="5"/>
    </row>
    <row r="490" spans="1:9" ht="17.399999999999999" x14ac:dyDescent="0.25">
      <c r="A490" s="16"/>
      <c r="B490" s="17"/>
      <c r="C490" s="2"/>
      <c r="D490" s="2"/>
      <c r="E490" s="2"/>
      <c r="F490" s="2"/>
      <c r="G490" s="2"/>
      <c r="H490" s="2"/>
      <c r="I490" s="5"/>
    </row>
    <row r="491" spans="1:9" ht="17.399999999999999" x14ac:dyDescent="0.25">
      <c r="A491" s="16"/>
      <c r="B491" s="17"/>
      <c r="C491" s="2"/>
      <c r="D491" s="2"/>
      <c r="E491" s="2"/>
      <c r="F491" s="2"/>
      <c r="G491" s="2"/>
      <c r="H491" s="2"/>
      <c r="I491" s="5"/>
    </row>
    <row r="492" spans="1:9" ht="17.399999999999999" x14ac:dyDescent="0.25">
      <c r="A492" s="16"/>
      <c r="B492" s="17"/>
      <c r="C492" s="2"/>
      <c r="D492" s="2"/>
      <c r="E492" s="2"/>
      <c r="F492" s="2"/>
      <c r="G492" s="2"/>
      <c r="H492" s="2"/>
      <c r="I492" s="5"/>
    </row>
    <row r="493" spans="1:9" ht="17.399999999999999" x14ac:dyDescent="0.25">
      <c r="A493" s="16"/>
      <c r="B493" s="17"/>
      <c r="C493" s="2"/>
      <c r="D493" s="2"/>
      <c r="E493" s="2"/>
      <c r="F493" s="2"/>
      <c r="G493" s="2"/>
      <c r="H493" s="2"/>
      <c r="I493" s="5"/>
    </row>
    <row r="494" spans="1:9" ht="17.399999999999999" x14ac:dyDescent="0.25">
      <c r="A494" s="16"/>
      <c r="B494" s="17"/>
      <c r="C494" s="2"/>
      <c r="D494" s="2"/>
      <c r="E494" s="2"/>
      <c r="F494" s="2"/>
      <c r="G494" s="2"/>
      <c r="H494" s="2"/>
      <c r="I494" s="5"/>
    </row>
    <row r="495" spans="1:9" ht="17.399999999999999" x14ac:dyDescent="0.25">
      <c r="A495" s="16"/>
      <c r="B495" s="17"/>
      <c r="C495" s="2"/>
      <c r="D495" s="2"/>
      <c r="E495" s="2"/>
      <c r="F495" s="2"/>
      <c r="G495" s="2"/>
      <c r="H495" s="2"/>
      <c r="I495" s="5"/>
    </row>
    <row r="496" spans="1:9" ht="17.399999999999999" x14ac:dyDescent="0.25">
      <c r="A496" s="16"/>
      <c r="B496" s="17"/>
      <c r="C496" s="2"/>
      <c r="D496" s="2"/>
      <c r="E496" s="2"/>
      <c r="F496" s="2"/>
      <c r="G496" s="2"/>
      <c r="H496" s="2"/>
      <c r="I496" s="5"/>
    </row>
    <row r="497" spans="1:9" ht="17.399999999999999" x14ac:dyDescent="0.25">
      <c r="A497" s="16"/>
      <c r="B497" s="17"/>
      <c r="C497" s="2"/>
      <c r="D497" s="2"/>
      <c r="E497" s="2"/>
      <c r="F497" s="2"/>
      <c r="G497" s="2"/>
      <c r="H497" s="2"/>
      <c r="I497" s="5"/>
    </row>
    <row r="498" spans="1:9" ht="17.399999999999999" x14ac:dyDescent="0.25">
      <c r="A498" s="16"/>
      <c r="B498" s="17"/>
      <c r="C498" s="2"/>
      <c r="D498" s="2"/>
      <c r="E498" s="2"/>
      <c r="F498" s="2"/>
      <c r="G498" s="2"/>
      <c r="H498" s="2"/>
      <c r="I498" s="5"/>
    </row>
    <row r="499" spans="1:9" ht="17.399999999999999" x14ac:dyDescent="0.25">
      <c r="A499" s="16"/>
      <c r="B499" s="17"/>
      <c r="C499" s="2"/>
      <c r="D499" s="2"/>
      <c r="E499" s="2"/>
      <c r="F499" s="2"/>
      <c r="G499" s="2"/>
      <c r="H499" s="2"/>
      <c r="I499" s="5"/>
    </row>
    <row r="500" spans="1:9" ht="17.399999999999999" x14ac:dyDescent="0.25">
      <c r="A500" s="16"/>
      <c r="B500" s="17"/>
      <c r="C500" s="2"/>
      <c r="D500" s="2"/>
      <c r="E500" s="2"/>
      <c r="F500" s="2"/>
      <c r="G500" s="2"/>
      <c r="H500" s="2"/>
      <c r="I500" s="5"/>
    </row>
    <row r="501" spans="1:9" ht="17.399999999999999" x14ac:dyDescent="0.25">
      <c r="A501" s="16"/>
      <c r="B501" s="17"/>
      <c r="C501" s="2"/>
      <c r="D501" s="2"/>
      <c r="E501" s="2"/>
      <c r="F501" s="2"/>
      <c r="G501" s="2"/>
      <c r="H501" s="2"/>
      <c r="I501" s="5"/>
    </row>
    <row r="502" spans="1:9" ht="17.399999999999999" x14ac:dyDescent="0.25">
      <c r="A502" s="16"/>
      <c r="B502" s="17"/>
      <c r="C502" s="2"/>
      <c r="D502" s="2"/>
      <c r="E502" s="2"/>
      <c r="F502" s="2"/>
      <c r="G502" s="2"/>
      <c r="H502" s="2"/>
      <c r="I502" s="5"/>
    </row>
    <row r="503" spans="1:9" ht="17.399999999999999" x14ac:dyDescent="0.25">
      <c r="A503" s="16"/>
      <c r="B503" s="17"/>
      <c r="C503" s="2"/>
      <c r="D503" s="2"/>
      <c r="E503" s="2"/>
      <c r="F503" s="2"/>
      <c r="G503" s="2"/>
      <c r="H503" s="2"/>
      <c r="I503" s="5"/>
    </row>
    <row r="504" spans="1:9" ht="17.399999999999999" x14ac:dyDescent="0.25">
      <c r="A504" s="16"/>
      <c r="B504" s="17"/>
      <c r="C504" s="2"/>
      <c r="D504" s="2"/>
      <c r="E504" s="2"/>
      <c r="F504" s="2"/>
      <c r="G504" s="2"/>
      <c r="H504" s="2"/>
      <c r="I504" s="5"/>
    </row>
    <row r="505" spans="1:9" ht="17.399999999999999" x14ac:dyDescent="0.25">
      <c r="A505" s="16"/>
      <c r="B505" s="17"/>
      <c r="C505" s="2"/>
      <c r="D505" s="2"/>
      <c r="E505" s="2"/>
      <c r="F505" s="2"/>
      <c r="G505" s="2"/>
      <c r="H505" s="2"/>
      <c r="I505" s="5"/>
    </row>
    <row r="506" spans="1:9" ht="17.399999999999999" x14ac:dyDescent="0.25">
      <c r="A506" s="16"/>
      <c r="B506" s="17"/>
      <c r="C506" s="2"/>
      <c r="D506" s="2"/>
      <c r="E506" s="2"/>
      <c r="F506" s="2"/>
      <c r="G506" s="2"/>
      <c r="H506" s="2"/>
      <c r="I506" s="5"/>
    </row>
    <row r="507" spans="1:9" ht="17.399999999999999" x14ac:dyDescent="0.25">
      <c r="A507" s="16"/>
      <c r="B507" s="17"/>
      <c r="C507" s="2"/>
      <c r="D507" s="2"/>
      <c r="E507" s="2"/>
      <c r="F507" s="2"/>
      <c r="G507" s="2"/>
      <c r="H507" s="2"/>
      <c r="I507" s="5"/>
    </row>
    <row r="508" spans="1:9" ht="17.399999999999999" x14ac:dyDescent="0.25">
      <c r="A508" s="16"/>
      <c r="B508" s="17"/>
      <c r="C508" s="2"/>
      <c r="D508" s="2"/>
      <c r="E508" s="2"/>
      <c r="F508" s="2"/>
      <c r="G508" s="2"/>
      <c r="H508" s="2"/>
      <c r="I508" s="5"/>
    </row>
    <row r="509" spans="1:9" ht="17.399999999999999" x14ac:dyDescent="0.25">
      <c r="A509" s="16"/>
      <c r="B509" s="17"/>
      <c r="C509" s="2"/>
      <c r="D509" s="2"/>
      <c r="E509" s="2"/>
      <c r="F509" s="2"/>
      <c r="G509" s="2"/>
      <c r="H509" s="2"/>
      <c r="I509" s="5"/>
    </row>
    <row r="510" spans="1:9" ht="17.399999999999999" x14ac:dyDescent="0.25">
      <c r="A510" s="16"/>
      <c r="B510" s="17"/>
      <c r="C510" s="2"/>
      <c r="D510" s="2"/>
      <c r="E510" s="2"/>
      <c r="F510" s="2"/>
      <c r="G510" s="2"/>
      <c r="H510" s="2"/>
      <c r="I510" s="5"/>
    </row>
    <row r="511" spans="1:9" ht="17.399999999999999" x14ac:dyDescent="0.25">
      <c r="A511" s="16"/>
      <c r="B511" s="17"/>
      <c r="C511" s="2"/>
      <c r="D511" s="2"/>
      <c r="E511" s="2"/>
      <c r="F511" s="2"/>
      <c r="G511" s="2"/>
      <c r="H511" s="2"/>
      <c r="I511" s="5"/>
    </row>
    <row r="512" spans="1:9" ht="17.399999999999999" x14ac:dyDescent="0.25">
      <c r="A512" s="16"/>
      <c r="B512" s="17"/>
      <c r="C512" s="2"/>
      <c r="D512" s="2"/>
      <c r="E512" s="2"/>
      <c r="F512" s="2"/>
      <c r="G512" s="2"/>
      <c r="H512" s="2"/>
      <c r="I512" s="5"/>
    </row>
    <row r="513" spans="1:9" ht="17.399999999999999" x14ac:dyDescent="0.25">
      <c r="A513" s="16"/>
      <c r="B513" s="17"/>
      <c r="C513" s="2"/>
      <c r="D513" s="2"/>
      <c r="E513" s="2"/>
      <c r="F513" s="2"/>
      <c r="G513" s="2"/>
      <c r="H513" s="2"/>
      <c r="I513" s="5"/>
    </row>
    <row r="514" spans="1:9" ht="17.399999999999999" x14ac:dyDescent="0.25">
      <c r="A514" s="16"/>
      <c r="B514" s="17"/>
      <c r="C514" s="2"/>
      <c r="D514" s="2"/>
      <c r="E514" s="2"/>
      <c r="F514" s="2"/>
      <c r="G514" s="2"/>
      <c r="H514" s="2"/>
      <c r="I514" s="5"/>
    </row>
    <row r="515" spans="1:9" ht="17.399999999999999" x14ac:dyDescent="0.25">
      <c r="A515" s="16"/>
      <c r="B515" s="17"/>
      <c r="C515" s="2"/>
      <c r="D515" s="2"/>
      <c r="E515" s="2"/>
      <c r="F515" s="2"/>
      <c r="G515" s="2"/>
      <c r="H515" s="2"/>
      <c r="I515" s="5"/>
    </row>
    <row r="516" spans="1:9" ht="17.399999999999999" x14ac:dyDescent="0.25">
      <c r="A516" s="16"/>
      <c r="B516" s="17"/>
      <c r="C516" s="2"/>
      <c r="D516" s="2"/>
      <c r="E516" s="2"/>
      <c r="F516" s="2"/>
      <c r="G516" s="2"/>
      <c r="H516" s="2"/>
      <c r="I516" s="5"/>
    </row>
    <row r="517" spans="1:9" ht="17.399999999999999" x14ac:dyDescent="0.25">
      <c r="A517" s="16"/>
      <c r="B517" s="17"/>
      <c r="C517" s="2"/>
      <c r="D517" s="2"/>
      <c r="E517" s="2"/>
      <c r="F517" s="2"/>
      <c r="G517" s="2"/>
      <c r="H517" s="2"/>
      <c r="I517" s="5"/>
    </row>
    <row r="518" spans="1:9" ht="17.399999999999999" x14ac:dyDescent="0.25">
      <c r="A518" s="16"/>
      <c r="B518" s="17"/>
      <c r="C518" s="2"/>
      <c r="D518" s="2"/>
      <c r="E518" s="2"/>
      <c r="F518" s="2"/>
      <c r="G518" s="2"/>
      <c r="H518" s="2"/>
      <c r="I518" s="5"/>
    </row>
    <row r="519" spans="1:9" ht="17.399999999999999" x14ac:dyDescent="0.25">
      <c r="A519" s="16"/>
      <c r="B519" s="17"/>
      <c r="C519" s="2"/>
      <c r="D519" s="2"/>
      <c r="E519" s="2"/>
      <c r="F519" s="2"/>
      <c r="G519" s="2"/>
      <c r="H519" s="2"/>
      <c r="I519" s="5"/>
    </row>
    <row r="520" spans="1:9" ht="17.399999999999999" x14ac:dyDescent="0.25">
      <c r="A520" s="16"/>
      <c r="B520" s="17"/>
      <c r="C520" s="2"/>
      <c r="D520" s="2"/>
      <c r="E520" s="2"/>
      <c r="F520" s="2"/>
      <c r="G520" s="2"/>
      <c r="H520" s="2"/>
      <c r="I520" s="5"/>
    </row>
    <row r="521" spans="1:9" ht="17.399999999999999" x14ac:dyDescent="0.25">
      <c r="A521" s="16"/>
      <c r="B521" s="17"/>
      <c r="C521" s="2"/>
      <c r="D521" s="2"/>
      <c r="E521" s="2"/>
      <c r="F521" s="2"/>
      <c r="G521" s="2"/>
      <c r="H521" s="2"/>
      <c r="I521" s="5"/>
    </row>
    <row r="522" spans="1:9" ht="17.399999999999999" x14ac:dyDescent="0.25">
      <c r="A522" s="16"/>
      <c r="B522" s="17"/>
      <c r="C522" s="2"/>
      <c r="D522" s="2"/>
      <c r="E522" s="2"/>
      <c r="F522" s="2"/>
      <c r="G522" s="2"/>
      <c r="H522" s="2"/>
      <c r="I522" s="5"/>
    </row>
    <row r="523" spans="1:9" ht="17.399999999999999" x14ac:dyDescent="0.25">
      <c r="A523" s="16"/>
      <c r="B523" s="17"/>
      <c r="C523" s="2"/>
      <c r="D523" s="2"/>
      <c r="E523" s="2"/>
      <c r="F523" s="2"/>
      <c r="G523" s="2"/>
      <c r="H523" s="2"/>
      <c r="I523" s="5"/>
    </row>
    <row r="524" spans="1:9" ht="17.399999999999999" x14ac:dyDescent="0.25">
      <c r="A524" s="16"/>
      <c r="B524" s="17"/>
      <c r="C524" s="2"/>
      <c r="D524" s="2"/>
      <c r="E524" s="2"/>
      <c r="F524" s="2"/>
      <c r="G524" s="2"/>
      <c r="H524" s="2"/>
      <c r="I524" s="5"/>
    </row>
    <row r="525" spans="1:9" ht="17.399999999999999" x14ac:dyDescent="0.25">
      <c r="A525" s="16"/>
      <c r="B525" s="17"/>
      <c r="C525" s="2"/>
      <c r="D525" s="2"/>
      <c r="E525" s="2"/>
      <c r="F525" s="2"/>
      <c r="G525" s="2"/>
      <c r="H525" s="2"/>
      <c r="I525" s="5"/>
    </row>
    <row r="526" spans="1:9" ht="17.399999999999999" x14ac:dyDescent="0.25">
      <c r="A526" s="16"/>
      <c r="B526" s="17"/>
      <c r="C526" s="2"/>
      <c r="D526" s="2"/>
      <c r="E526" s="2"/>
      <c r="F526" s="2"/>
      <c r="G526" s="2"/>
      <c r="H526" s="2"/>
      <c r="I526" s="5"/>
    </row>
    <row r="527" spans="1:9" ht="17.399999999999999" x14ac:dyDescent="0.25">
      <c r="A527" s="16"/>
      <c r="B527" s="17"/>
      <c r="C527" s="2"/>
      <c r="D527" s="2"/>
      <c r="E527" s="2"/>
      <c r="F527" s="2"/>
      <c r="G527" s="2"/>
      <c r="H527" s="2"/>
      <c r="I527" s="5"/>
    </row>
    <row r="528" spans="1:9" ht="17.399999999999999" x14ac:dyDescent="0.25">
      <c r="A528" s="16"/>
      <c r="B528" s="17"/>
      <c r="C528" s="2"/>
      <c r="D528" s="2"/>
      <c r="E528" s="2"/>
      <c r="F528" s="2"/>
      <c r="G528" s="2"/>
      <c r="H528" s="2"/>
      <c r="I528" s="5"/>
    </row>
    <row r="529" spans="1:9" ht="17.399999999999999" x14ac:dyDescent="0.25">
      <c r="A529" s="16"/>
      <c r="B529" s="17"/>
      <c r="C529" s="2"/>
      <c r="D529" s="2"/>
      <c r="E529" s="2"/>
      <c r="F529" s="2"/>
      <c r="G529" s="2"/>
      <c r="H529" s="2"/>
      <c r="I529" s="5"/>
    </row>
    <row r="530" spans="1:9" ht="17.399999999999999" x14ac:dyDescent="0.25">
      <c r="A530" s="16"/>
      <c r="B530" s="17"/>
      <c r="C530" s="2"/>
      <c r="D530" s="2"/>
      <c r="E530" s="2"/>
      <c r="F530" s="2"/>
      <c r="G530" s="2"/>
      <c r="H530" s="2"/>
      <c r="I530" s="5"/>
    </row>
    <row r="531" spans="1:9" ht="17.399999999999999" x14ac:dyDescent="0.25">
      <c r="A531" s="16"/>
      <c r="B531" s="17"/>
      <c r="C531" s="2"/>
      <c r="D531" s="2"/>
      <c r="E531" s="2"/>
      <c r="F531" s="2"/>
      <c r="G531" s="2"/>
      <c r="H531" s="2"/>
      <c r="I531" s="5"/>
    </row>
    <row r="532" spans="1:9" ht="17.399999999999999" x14ac:dyDescent="0.25">
      <c r="A532" s="16"/>
      <c r="B532" s="17"/>
      <c r="C532" s="2"/>
      <c r="D532" s="2"/>
      <c r="E532" s="2"/>
      <c r="F532" s="2"/>
      <c r="G532" s="2"/>
      <c r="H532" s="2"/>
      <c r="I532" s="5"/>
    </row>
    <row r="533" spans="1:9" ht="17.399999999999999" x14ac:dyDescent="0.25">
      <c r="A533" s="16"/>
      <c r="B533" s="17"/>
      <c r="C533" s="2"/>
      <c r="D533" s="2"/>
      <c r="E533" s="2"/>
      <c r="F533" s="2"/>
      <c r="G533" s="2"/>
      <c r="H533" s="2"/>
      <c r="I533" s="5"/>
    </row>
    <row r="534" spans="1:9" ht="17.399999999999999" x14ac:dyDescent="0.25">
      <c r="A534" s="16"/>
      <c r="B534" s="17"/>
      <c r="C534" s="2"/>
      <c r="D534" s="2"/>
      <c r="E534" s="2"/>
      <c r="F534" s="2"/>
      <c r="G534" s="2"/>
      <c r="H534" s="2"/>
      <c r="I534" s="5"/>
    </row>
    <row r="535" spans="1:9" ht="17.399999999999999" x14ac:dyDescent="0.25">
      <c r="A535" s="16"/>
      <c r="B535" s="17"/>
      <c r="C535" s="2"/>
      <c r="D535" s="2"/>
      <c r="E535" s="2"/>
      <c r="F535" s="2"/>
      <c r="G535" s="2"/>
      <c r="H535" s="2"/>
      <c r="I535" s="5"/>
    </row>
    <row r="536" spans="1:9" ht="17.399999999999999" x14ac:dyDescent="0.25">
      <c r="A536" s="16"/>
      <c r="B536" s="17"/>
      <c r="C536" s="2"/>
      <c r="D536" s="2"/>
      <c r="E536" s="2"/>
      <c r="F536" s="2"/>
      <c r="G536" s="2"/>
      <c r="H536" s="2"/>
      <c r="I536" s="5"/>
    </row>
    <row r="537" spans="1:9" ht="17.399999999999999" x14ac:dyDescent="0.25">
      <c r="A537" s="16"/>
      <c r="B537" s="17"/>
      <c r="C537" s="2"/>
      <c r="D537" s="2"/>
      <c r="E537" s="2"/>
      <c r="F537" s="2"/>
      <c r="G537" s="2"/>
      <c r="H537" s="2"/>
      <c r="I537" s="5"/>
    </row>
    <row r="538" spans="1:9" ht="17.399999999999999" x14ac:dyDescent="0.25">
      <c r="A538" s="16"/>
      <c r="B538" s="17"/>
      <c r="C538" s="2"/>
      <c r="D538" s="2"/>
      <c r="E538" s="2"/>
      <c r="F538" s="2"/>
      <c r="G538" s="2"/>
      <c r="H538" s="2"/>
      <c r="I538" s="5"/>
    </row>
    <row r="539" spans="1:9" ht="17.399999999999999" x14ac:dyDescent="0.25">
      <c r="A539" s="16"/>
      <c r="B539" s="17"/>
      <c r="C539" s="2"/>
      <c r="D539" s="2"/>
      <c r="E539" s="2"/>
      <c r="F539" s="2"/>
      <c r="G539" s="2"/>
      <c r="H539" s="2"/>
      <c r="I539" s="5"/>
    </row>
    <row r="540" spans="1:9" ht="17.399999999999999" x14ac:dyDescent="0.25">
      <c r="A540" s="16"/>
      <c r="B540" s="17"/>
      <c r="C540" s="2"/>
      <c r="D540" s="2"/>
      <c r="E540" s="2"/>
      <c r="F540" s="2"/>
      <c r="G540" s="2"/>
      <c r="H540" s="2"/>
      <c r="I540" s="5"/>
    </row>
    <row r="541" spans="1:9" ht="17.399999999999999" x14ac:dyDescent="0.25">
      <c r="A541" s="16"/>
      <c r="B541" s="17"/>
      <c r="C541" s="2"/>
      <c r="D541" s="2"/>
      <c r="E541" s="2"/>
      <c r="F541" s="2"/>
      <c r="G541" s="2"/>
      <c r="H541" s="2"/>
      <c r="I541" s="5"/>
    </row>
    <row r="542" spans="1:9" ht="17.399999999999999" x14ac:dyDescent="0.25">
      <c r="A542" s="16"/>
      <c r="B542" s="17"/>
      <c r="C542" s="2"/>
      <c r="D542" s="2"/>
      <c r="E542" s="2"/>
      <c r="F542" s="2"/>
      <c r="G542" s="2"/>
      <c r="H542" s="2"/>
      <c r="I542" s="5"/>
    </row>
    <row r="543" spans="1:9" ht="17.399999999999999" x14ac:dyDescent="0.25">
      <c r="A543" s="16"/>
      <c r="B543" s="17"/>
      <c r="C543" s="2"/>
      <c r="D543" s="2"/>
      <c r="E543" s="2"/>
      <c r="F543" s="2"/>
      <c r="G543" s="2"/>
      <c r="H543" s="2"/>
      <c r="I543" s="5"/>
    </row>
    <row r="544" spans="1:9" ht="17.399999999999999" x14ac:dyDescent="0.25">
      <c r="A544" s="16"/>
      <c r="B544" s="17"/>
      <c r="C544" s="2"/>
      <c r="D544" s="2"/>
      <c r="E544" s="2"/>
      <c r="F544" s="2"/>
      <c r="G544" s="2"/>
      <c r="H544" s="2"/>
      <c r="I544" s="5"/>
    </row>
    <row r="545" spans="1:9" ht="17.399999999999999" x14ac:dyDescent="0.25">
      <c r="A545" s="16"/>
      <c r="B545" s="17"/>
      <c r="C545" s="2"/>
      <c r="D545" s="2"/>
      <c r="E545" s="2"/>
      <c r="F545" s="2"/>
      <c r="G545" s="2"/>
      <c r="H545" s="2"/>
      <c r="I545" s="5"/>
    </row>
    <row r="546" spans="1:9" ht="17.399999999999999" x14ac:dyDescent="0.25">
      <c r="A546" s="16"/>
      <c r="B546" s="17"/>
      <c r="C546" s="2"/>
      <c r="D546" s="2"/>
      <c r="E546" s="2"/>
      <c r="F546" s="2"/>
      <c r="G546" s="2"/>
      <c r="H546" s="2"/>
      <c r="I546" s="5"/>
    </row>
    <row r="547" spans="1:9" ht="17.399999999999999" x14ac:dyDescent="0.25">
      <c r="A547" s="16"/>
      <c r="B547" s="17"/>
      <c r="C547" s="2"/>
      <c r="D547" s="2"/>
      <c r="E547" s="2"/>
      <c r="F547" s="2"/>
      <c r="G547" s="2"/>
      <c r="H547" s="2"/>
      <c r="I547" s="5"/>
    </row>
    <row r="548" spans="1:9" ht="17.399999999999999" x14ac:dyDescent="0.25">
      <c r="A548" s="16"/>
      <c r="B548" s="17"/>
      <c r="C548" s="2"/>
      <c r="D548" s="2"/>
      <c r="E548" s="2"/>
      <c r="F548" s="2"/>
      <c r="G548" s="2"/>
      <c r="H548" s="2"/>
      <c r="I548" s="5"/>
    </row>
    <row r="549" spans="1:9" ht="17.399999999999999" x14ac:dyDescent="0.25">
      <c r="A549" s="16"/>
      <c r="B549" s="17"/>
      <c r="C549" s="2"/>
      <c r="D549" s="2"/>
      <c r="E549" s="2"/>
      <c r="F549" s="2"/>
      <c r="G549" s="2"/>
      <c r="H549" s="2"/>
      <c r="I549" s="5"/>
    </row>
    <row r="550" spans="1:9" ht="17.399999999999999" x14ac:dyDescent="0.25">
      <c r="A550" s="16"/>
      <c r="B550" s="17"/>
      <c r="C550" s="2"/>
      <c r="D550" s="2"/>
      <c r="E550" s="2"/>
      <c r="F550" s="2"/>
      <c r="G550" s="2"/>
      <c r="H550" s="2"/>
      <c r="I550" s="5"/>
    </row>
    <row r="551" spans="1:9" ht="17.399999999999999" x14ac:dyDescent="0.25">
      <c r="A551" s="16"/>
      <c r="B551" s="17"/>
      <c r="C551" s="2"/>
      <c r="D551" s="2"/>
      <c r="E551" s="2"/>
      <c r="F551" s="2"/>
      <c r="G551" s="2"/>
      <c r="H551" s="2"/>
      <c r="I551" s="5"/>
    </row>
    <row r="552" spans="1:9" ht="17.399999999999999" x14ac:dyDescent="0.25">
      <c r="A552" s="16"/>
      <c r="B552" s="17"/>
      <c r="C552" s="2"/>
      <c r="D552" s="2"/>
      <c r="E552" s="2"/>
      <c r="F552" s="2"/>
      <c r="G552" s="2"/>
      <c r="H552" s="2"/>
      <c r="I552" s="5"/>
    </row>
    <row r="553" spans="1:9" ht="17.399999999999999" x14ac:dyDescent="0.25">
      <c r="A553" s="16"/>
      <c r="B553" s="17"/>
      <c r="C553" s="2"/>
      <c r="D553" s="2"/>
      <c r="E553" s="2"/>
      <c r="F553" s="2"/>
      <c r="G553" s="2"/>
      <c r="H553" s="2"/>
      <c r="I553" s="5"/>
    </row>
    <row r="554" spans="1:9" ht="17.399999999999999" x14ac:dyDescent="0.25">
      <c r="A554" s="16"/>
      <c r="B554" s="17"/>
      <c r="C554" s="2"/>
      <c r="D554" s="2"/>
      <c r="E554" s="2"/>
      <c r="F554" s="2"/>
      <c r="G554" s="2"/>
      <c r="H554" s="2"/>
      <c r="I554" s="5"/>
    </row>
    <row r="555" spans="1:9" ht="17.399999999999999" x14ac:dyDescent="0.25">
      <c r="A555" s="16"/>
      <c r="B555" s="17"/>
      <c r="C555" s="2"/>
      <c r="D555" s="2"/>
      <c r="E555" s="2"/>
      <c r="F555" s="2"/>
      <c r="G555" s="2"/>
      <c r="H555" s="2"/>
      <c r="I555" s="5"/>
    </row>
    <row r="556" spans="1:9" ht="17.399999999999999" x14ac:dyDescent="0.25">
      <c r="A556" s="16"/>
      <c r="B556" s="17"/>
      <c r="C556" s="2"/>
      <c r="D556" s="2"/>
      <c r="E556" s="2"/>
      <c r="F556" s="2"/>
      <c r="G556" s="2"/>
      <c r="H556" s="2"/>
      <c r="I556" s="5"/>
    </row>
    <row r="557" spans="1:9" ht="17.399999999999999" x14ac:dyDescent="0.25">
      <c r="A557" s="16"/>
      <c r="B557" s="17"/>
      <c r="C557" s="2"/>
      <c r="D557" s="2"/>
      <c r="E557" s="2"/>
      <c r="F557" s="2"/>
      <c r="G557" s="2"/>
      <c r="H557" s="2"/>
      <c r="I557" s="5"/>
    </row>
    <row r="558" spans="1:9" ht="17.399999999999999" x14ac:dyDescent="0.25">
      <c r="A558" s="16"/>
      <c r="B558" s="17"/>
      <c r="C558" s="2"/>
      <c r="D558" s="2"/>
      <c r="E558" s="2"/>
      <c r="F558" s="2"/>
      <c r="G558" s="2"/>
      <c r="H558" s="2"/>
      <c r="I558" s="5"/>
    </row>
    <row r="559" spans="1:9" ht="17.399999999999999" x14ac:dyDescent="0.25">
      <c r="A559" s="16"/>
      <c r="B559" s="17"/>
      <c r="C559" s="2"/>
      <c r="D559" s="2"/>
      <c r="E559" s="2"/>
      <c r="F559" s="2"/>
      <c r="G559" s="2"/>
      <c r="H559" s="2"/>
      <c r="I559" s="5"/>
    </row>
    <row r="560" spans="1:9" ht="17.399999999999999" x14ac:dyDescent="0.25">
      <c r="A560" s="16"/>
      <c r="B560" s="17"/>
      <c r="C560" s="2"/>
      <c r="D560" s="2"/>
      <c r="E560" s="2"/>
      <c r="F560" s="2"/>
      <c r="G560" s="2"/>
      <c r="H560" s="2"/>
      <c r="I560" s="5"/>
    </row>
    <row r="561" spans="1:9" ht="17.399999999999999" x14ac:dyDescent="0.25">
      <c r="A561" s="16"/>
      <c r="B561" s="17"/>
      <c r="C561" s="2"/>
      <c r="D561" s="2"/>
      <c r="E561" s="2"/>
      <c r="F561" s="2"/>
      <c r="G561" s="2"/>
      <c r="H561" s="2"/>
      <c r="I561" s="5"/>
    </row>
    <row r="562" spans="1:9" ht="17.399999999999999" x14ac:dyDescent="0.25">
      <c r="A562" s="16"/>
      <c r="B562" s="17"/>
      <c r="C562" s="2"/>
      <c r="D562" s="2"/>
      <c r="E562" s="2"/>
      <c r="F562" s="2"/>
      <c r="G562" s="2"/>
      <c r="H562" s="2"/>
      <c r="I562" s="5"/>
    </row>
    <row r="563" spans="1:9" ht="17.399999999999999" x14ac:dyDescent="0.25">
      <c r="A563" s="16"/>
      <c r="B563" s="17"/>
      <c r="C563" s="2"/>
      <c r="D563" s="2"/>
      <c r="E563" s="2"/>
      <c r="F563" s="2"/>
      <c r="G563" s="2"/>
      <c r="H563" s="2"/>
      <c r="I563" s="5"/>
    </row>
    <row r="564" spans="1:9" ht="17.399999999999999" x14ac:dyDescent="0.25">
      <c r="A564" s="16"/>
      <c r="B564" s="17"/>
      <c r="C564" s="2"/>
      <c r="D564" s="2"/>
      <c r="E564" s="2"/>
      <c r="F564" s="2"/>
      <c r="G564" s="2"/>
      <c r="H564" s="2"/>
      <c r="I564" s="5"/>
    </row>
    <row r="565" spans="1:9" ht="17.399999999999999" x14ac:dyDescent="0.25">
      <c r="A565" s="16"/>
      <c r="B565" s="17"/>
      <c r="C565" s="2"/>
      <c r="D565" s="2"/>
      <c r="E565" s="2"/>
      <c r="F565" s="2"/>
      <c r="G565" s="2"/>
      <c r="H565" s="2"/>
      <c r="I565" s="5"/>
    </row>
    <row r="566" spans="1:9" ht="17.399999999999999" x14ac:dyDescent="0.25">
      <c r="A566" s="16"/>
      <c r="B566" s="17"/>
      <c r="C566" s="2"/>
      <c r="D566" s="2"/>
      <c r="E566" s="2"/>
      <c r="F566" s="2"/>
      <c r="G566" s="2"/>
      <c r="H566" s="2"/>
      <c r="I566" s="5"/>
    </row>
    <row r="567" spans="1:9" ht="17.399999999999999" x14ac:dyDescent="0.25">
      <c r="A567" s="16"/>
      <c r="B567" s="17"/>
      <c r="C567" s="2"/>
      <c r="D567" s="2"/>
      <c r="E567" s="2"/>
      <c r="F567" s="2"/>
      <c r="G567" s="2"/>
      <c r="H567" s="2"/>
      <c r="I567" s="5"/>
    </row>
    <row r="568" spans="1:9" ht="17.399999999999999" x14ac:dyDescent="0.25">
      <c r="A568" s="16"/>
      <c r="B568" s="17"/>
      <c r="C568" s="2"/>
      <c r="D568" s="2"/>
      <c r="E568" s="2"/>
      <c r="F568" s="2"/>
      <c r="G568" s="2"/>
      <c r="H568" s="2"/>
      <c r="I568" s="5"/>
    </row>
    <row r="569" spans="1:9" ht="17.399999999999999" x14ac:dyDescent="0.25">
      <c r="A569" s="16"/>
      <c r="B569" s="17"/>
      <c r="C569" s="2"/>
      <c r="D569" s="2"/>
      <c r="E569" s="2"/>
      <c r="F569" s="2"/>
      <c r="G569" s="2"/>
      <c r="H569" s="2"/>
      <c r="I569" s="5"/>
    </row>
    <row r="570" spans="1:9" ht="17.399999999999999" x14ac:dyDescent="0.25">
      <c r="A570" s="16"/>
      <c r="B570" s="17"/>
      <c r="C570" s="2"/>
      <c r="D570" s="2"/>
      <c r="E570" s="2"/>
      <c r="F570" s="2"/>
      <c r="G570" s="2"/>
      <c r="H570" s="2"/>
      <c r="I570" s="5"/>
    </row>
    <row r="571" spans="1:9" ht="17.399999999999999" x14ac:dyDescent="0.25">
      <c r="A571" s="16"/>
      <c r="B571" s="17"/>
      <c r="C571" s="2"/>
      <c r="D571" s="2"/>
      <c r="E571" s="2"/>
      <c r="F571" s="2"/>
      <c r="G571" s="2"/>
      <c r="H571" s="2"/>
      <c r="I571" s="5"/>
    </row>
    <row r="572" spans="1:9" ht="17.399999999999999" x14ac:dyDescent="0.25">
      <c r="A572" s="16"/>
      <c r="B572" s="17"/>
      <c r="C572" s="2"/>
      <c r="D572" s="2"/>
      <c r="E572" s="2"/>
      <c r="F572" s="2"/>
      <c r="G572" s="2"/>
      <c r="H572" s="2"/>
      <c r="I572" s="5"/>
    </row>
    <row r="573" spans="1:9" ht="17.399999999999999" x14ac:dyDescent="0.25">
      <c r="A573" s="16"/>
      <c r="B573" s="17"/>
      <c r="C573" s="2"/>
      <c r="D573" s="2"/>
      <c r="E573" s="2"/>
      <c r="F573" s="2"/>
      <c r="G573" s="2"/>
      <c r="H573" s="2"/>
      <c r="I573" s="5"/>
    </row>
    <row r="574" spans="1:9" ht="17.399999999999999" x14ac:dyDescent="0.25">
      <c r="A574" s="16"/>
      <c r="B574" s="17"/>
      <c r="C574" s="2"/>
      <c r="D574" s="2"/>
      <c r="E574" s="2"/>
      <c r="F574" s="2"/>
      <c r="G574" s="2"/>
      <c r="H574" s="2"/>
      <c r="I574" s="5"/>
    </row>
    <row r="575" spans="1:9" ht="17.399999999999999" x14ac:dyDescent="0.25">
      <c r="A575" s="16"/>
      <c r="B575" s="17"/>
      <c r="C575" s="2"/>
      <c r="D575" s="2"/>
      <c r="E575" s="2"/>
      <c r="F575" s="2"/>
      <c r="G575" s="2"/>
      <c r="H575" s="2"/>
      <c r="I575" s="5"/>
    </row>
    <row r="576" spans="1:9" ht="17.399999999999999" x14ac:dyDescent="0.25">
      <c r="A576" s="16"/>
      <c r="B576" s="17"/>
      <c r="C576" s="2"/>
      <c r="D576" s="2"/>
      <c r="E576" s="2"/>
      <c r="F576" s="2"/>
      <c r="G576" s="2"/>
      <c r="H576" s="2"/>
      <c r="I576" s="5"/>
    </row>
    <row r="577" spans="1:9" ht="17.399999999999999" x14ac:dyDescent="0.25">
      <c r="A577" s="16"/>
      <c r="B577" s="17"/>
      <c r="C577" s="2"/>
      <c r="D577" s="2"/>
      <c r="E577" s="2"/>
      <c r="F577" s="2"/>
      <c r="G577" s="2"/>
      <c r="H577" s="2"/>
      <c r="I577" s="5"/>
    </row>
    <row r="578" spans="1:9" ht="17.399999999999999" x14ac:dyDescent="0.25">
      <c r="A578" s="16"/>
      <c r="B578" s="17"/>
      <c r="C578" s="2"/>
      <c r="D578" s="2"/>
      <c r="E578" s="2"/>
      <c r="F578" s="2"/>
      <c r="G578" s="2"/>
      <c r="H578" s="2"/>
      <c r="I578" s="5"/>
    </row>
    <row r="579" spans="1:9" ht="17.399999999999999" x14ac:dyDescent="0.25">
      <c r="A579" s="16"/>
      <c r="B579" s="17"/>
      <c r="C579" s="2"/>
      <c r="D579" s="2"/>
      <c r="E579" s="2"/>
      <c r="F579" s="2"/>
      <c r="G579" s="2"/>
      <c r="H579" s="2"/>
      <c r="I579" s="5"/>
    </row>
    <row r="580" spans="1:9" ht="17.399999999999999" x14ac:dyDescent="0.25">
      <c r="A580" s="16"/>
      <c r="B580" s="17"/>
      <c r="C580" s="2"/>
      <c r="D580" s="2"/>
      <c r="E580" s="2"/>
      <c r="F580" s="2"/>
      <c r="G580" s="2"/>
      <c r="H580" s="2"/>
      <c r="I580" s="5"/>
    </row>
    <row r="581" spans="1:9" ht="17.399999999999999" x14ac:dyDescent="0.25">
      <c r="A581" s="16"/>
      <c r="B581" s="17"/>
      <c r="C581" s="2"/>
      <c r="D581" s="2"/>
      <c r="E581" s="2"/>
      <c r="F581" s="2"/>
      <c r="G581" s="2"/>
      <c r="H581" s="2"/>
      <c r="I581" s="5"/>
    </row>
    <row r="582" spans="1:9" ht="17.399999999999999" x14ac:dyDescent="0.25">
      <c r="A582" s="16"/>
      <c r="B582" s="17"/>
      <c r="C582" s="2"/>
      <c r="D582" s="2"/>
      <c r="E582" s="2"/>
      <c r="F582" s="2"/>
      <c r="G582" s="2"/>
      <c r="H582" s="2"/>
      <c r="I582" s="5"/>
    </row>
    <row r="583" spans="1:9" ht="17.399999999999999" x14ac:dyDescent="0.25">
      <c r="A583" s="16"/>
      <c r="B583" s="17"/>
      <c r="C583" s="2"/>
      <c r="D583" s="2"/>
      <c r="E583" s="2"/>
      <c r="F583" s="2"/>
      <c r="G583" s="2"/>
      <c r="H583" s="2"/>
      <c r="I583" s="5"/>
    </row>
    <row r="584" spans="1:9" ht="17.399999999999999" x14ac:dyDescent="0.25">
      <c r="A584" s="16"/>
      <c r="B584" s="17"/>
      <c r="C584" s="2"/>
      <c r="D584" s="2"/>
      <c r="E584" s="2"/>
      <c r="F584" s="2"/>
      <c r="G584" s="2"/>
      <c r="H584" s="2"/>
      <c r="I584" s="5"/>
    </row>
    <row r="585" spans="1:9" ht="17.399999999999999" x14ac:dyDescent="0.25">
      <c r="A585" s="16"/>
      <c r="B585" s="17"/>
      <c r="C585" s="2"/>
      <c r="D585" s="2"/>
      <c r="E585" s="2"/>
      <c r="F585" s="2"/>
      <c r="G585" s="2"/>
      <c r="H585" s="2"/>
      <c r="I585" s="5"/>
    </row>
    <row r="586" spans="1:9" ht="17.399999999999999" x14ac:dyDescent="0.25">
      <c r="A586" s="16"/>
      <c r="B586" s="17"/>
      <c r="C586" s="2"/>
      <c r="D586" s="2"/>
      <c r="E586" s="2"/>
      <c r="F586" s="2"/>
      <c r="G586" s="2"/>
      <c r="H586" s="2"/>
      <c r="I586" s="5"/>
    </row>
    <row r="587" spans="1:9" ht="17.399999999999999" x14ac:dyDescent="0.25">
      <c r="A587" s="16"/>
      <c r="B587" s="17"/>
      <c r="C587" s="2"/>
      <c r="D587" s="2"/>
      <c r="E587" s="2"/>
      <c r="F587" s="2"/>
      <c r="G587" s="2"/>
      <c r="H587" s="2"/>
      <c r="I587" s="5"/>
    </row>
    <row r="588" spans="1:9" ht="17.399999999999999" x14ac:dyDescent="0.25">
      <c r="A588" s="16"/>
      <c r="B588" s="17"/>
      <c r="C588" s="2"/>
      <c r="D588" s="2"/>
      <c r="E588" s="2"/>
      <c r="F588" s="2"/>
      <c r="G588" s="2"/>
      <c r="H588" s="2"/>
      <c r="I588" s="5"/>
    </row>
    <row r="589" spans="1:9" ht="17.399999999999999" x14ac:dyDescent="0.25">
      <c r="A589" s="16"/>
      <c r="B589" s="17"/>
      <c r="C589" s="2"/>
      <c r="D589" s="2"/>
      <c r="E589" s="2"/>
      <c r="F589" s="2"/>
      <c r="G589" s="2"/>
      <c r="H589" s="2"/>
      <c r="I589" s="5"/>
    </row>
    <row r="590" spans="1:9" ht="17.399999999999999" x14ac:dyDescent="0.25">
      <c r="A590" s="16"/>
      <c r="B590" s="17"/>
      <c r="C590" s="2"/>
      <c r="D590" s="2"/>
      <c r="E590" s="2"/>
      <c r="F590" s="2"/>
      <c r="G590" s="2"/>
      <c r="H590" s="2"/>
      <c r="I590" s="5"/>
    </row>
    <row r="591" spans="1:9" ht="17.399999999999999" x14ac:dyDescent="0.25">
      <c r="A591" s="16"/>
      <c r="B591" s="17"/>
      <c r="C591" s="2"/>
      <c r="D591" s="2"/>
      <c r="E591" s="2"/>
      <c r="F591" s="2"/>
      <c r="G591" s="2"/>
      <c r="H591" s="2"/>
      <c r="I591" s="5"/>
    </row>
    <row r="592" spans="1:9" ht="17.399999999999999" x14ac:dyDescent="0.25">
      <c r="A592" s="16"/>
      <c r="B592" s="17"/>
      <c r="C592" s="2"/>
      <c r="D592" s="2"/>
      <c r="E592" s="2"/>
      <c r="F592" s="2"/>
      <c r="G592" s="2"/>
      <c r="H592" s="2"/>
      <c r="I592" s="5"/>
    </row>
    <row r="593" spans="1:9" ht="17.399999999999999" x14ac:dyDescent="0.25">
      <c r="A593" s="16"/>
      <c r="B593" s="17"/>
      <c r="C593" s="2"/>
      <c r="D593" s="2"/>
      <c r="E593" s="2"/>
      <c r="F593" s="2"/>
      <c r="G593" s="2"/>
      <c r="H593" s="2"/>
      <c r="I593" s="5"/>
    </row>
    <row r="594" spans="1:9" ht="17.399999999999999" x14ac:dyDescent="0.25">
      <c r="A594" s="16"/>
      <c r="B594" s="17"/>
      <c r="C594" s="2"/>
      <c r="D594" s="2"/>
      <c r="E594" s="2"/>
      <c r="F594" s="2"/>
      <c r="G594" s="2"/>
      <c r="H594" s="2"/>
      <c r="I594" s="5"/>
    </row>
    <row r="595" spans="1:9" ht="17.399999999999999" x14ac:dyDescent="0.25">
      <c r="A595" s="16"/>
      <c r="B595" s="17"/>
      <c r="C595" s="2"/>
      <c r="D595" s="2"/>
      <c r="E595" s="2"/>
      <c r="F595" s="2"/>
      <c r="G595" s="2"/>
      <c r="H595" s="2"/>
      <c r="I595" s="5"/>
    </row>
    <row r="596" spans="1:9" ht="17.399999999999999" x14ac:dyDescent="0.25">
      <c r="A596" s="16"/>
      <c r="B596" s="17"/>
      <c r="C596" s="2"/>
      <c r="D596" s="2"/>
      <c r="E596" s="2"/>
      <c r="F596" s="2"/>
      <c r="G596" s="2"/>
      <c r="H596" s="2"/>
      <c r="I596" s="5"/>
    </row>
    <row r="597" spans="1:9" ht="17.399999999999999" x14ac:dyDescent="0.25">
      <c r="A597" s="16"/>
      <c r="B597" s="17"/>
      <c r="C597" s="2"/>
      <c r="D597" s="2"/>
      <c r="E597" s="2"/>
      <c r="F597" s="2"/>
      <c r="G597" s="2"/>
      <c r="H597" s="2"/>
      <c r="I597" s="5"/>
    </row>
    <row r="598" spans="1:9" ht="17.399999999999999" x14ac:dyDescent="0.25">
      <c r="A598" s="16"/>
      <c r="B598" s="17"/>
      <c r="C598" s="2"/>
      <c r="D598" s="2"/>
      <c r="E598" s="2"/>
      <c r="F598" s="2"/>
      <c r="G598" s="2"/>
      <c r="H598" s="2"/>
      <c r="I598" s="5"/>
    </row>
    <row r="599" spans="1:9" ht="17.399999999999999" x14ac:dyDescent="0.25">
      <c r="A599" s="16"/>
      <c r="B599" s="17"/>
      <c r="C599" s="2"/>
      <c r="D599" s="2"/>
      <c r="E599" s="2"/>
      <c r="F599" s="2"/>
      <c r="G599" s="2"/>
      <c r="H599" s="2"/>
      <c r="I599" s="5"/>
    </row>
    <row r="600" spans="1:9" ht="17.399999999999999" x14ac:dyDescent="0.25">
      <c r="A600" s="16"/>
      <c r="B600" s="17"/>
      <c r="C600" s="2"/>
      <c r="D600" s="2"/>
      <c r="E600" s="2"/>
      <c r="F600" s="2"/>
      <c r="G600" s="2"/>
      <c r="H600" s="2"/>
      <c r="I600" s="5"/>
    </row>
    <row r="601" spans="1:9" ht="17.399999999999999" x14ac:dyDescent="0.25">
      <c r="A601" s="16"/>
      <c r="B601" s="17"/>
      <c r="C601" s="2"/>
      <c r="D601" s="2"/>
      <c r="E601" s="2"/>
      <c r="F601" s="2"/>
      <c r="G601" s="2"/>
      <c r="H601" s="2"/>
      <c r="I601" s="5"/>
    </row>
    <row r="602" spans="1:9" ht="17.399999999999999" x14ac:dyDescent="0.25">
      <c r="A602" s="16"/>
      <c r="B602" s="17"/>
      <c r="C602" s="2"/>
      <c r="D602" s="2"/>
      <c r="E602" s="2"/>
      <c r="F602" s="2"/>
      <c r="G602" s="2"/>
      <c r="H602" s="2"/>
      <c r="I602" s="5"/>
    </row>
    <row r="603" spans="1:9" ht="17.399999999999999" x14ac:dyDescent="0.25">
      <c r="A603" s="16"/>
      <c r="B603" s="17"/>
      <c r="C603" s="2"/>
      <c r="D603" s="2"/>
      <c r="E603" s="2"/>
      <c r="F603" s="2"/>
      <c r="G603" s="2"/>
      <c r="H603" s="2"/>
      <c r="I603" s="5"/>
    </row>
    <row r="604" spans="1:9" ht="17.399999999999999" x14ac:dyDescent="0.25">
      <c r="A604" s="16"/>
      <c r="B604" s="17"/>
      <c r="C604" s="2"/>
      <c r="D604" s="2"/>
      <c r="E604" s="2"/>
      <c r="F604" s="2"/>
      <c r="G604" s="2"/>
      <c r="H604" s="2"/>
      <c r="I604" s="5"/>
    </row>
    <row r="605" spans="1:9" ht="17.399999999999999" x14ac:dyDescent="0.25">
      <c r="A605" s="16"/>
      <c r="B605" s="17"/>
      <c r="C605" s="2"/>
      <c r="D605" s="2"/>
      <c r="E605" s="2"/>
      <c r="F605" s="2"/>
      <c r="G605" s="2"/>
      <c r="H605" s="2"/>
      <c r="I605" s="5"/>
    </row>
    <row r="606" spans="1:9" ht="17.399999999999999" x14ac:dyDescent="0.25">
      <c r="A606" s="16"/>
      <c r="B606" s="17"/>
      <c r="C606" s="2"/>
      <c r="D606" s="2"/>
      <c r="E606" s="2"/>
      <c r="F606" s="2"/>
      <c r="G606" s="2"/>
      <c r="H606" s="2"/>
      <c r="I606" s="5"/>
    </row>
    <row r="607" spans="1:9" ht="17.399999999999999" x14ac:dyDescent="0.25">
      <c r="A607" s="16"/>
      <c r="B607" s="17"/>
      <c r="C607" s="2"/>
      <c r="D607" s="2"/>
      <c r="E607" s="2"/>
      <c r="F607" s="2"/>
      <c r="G607" s="2"/>
      <c r="H607" s="2"/>
      <c r="I607" s="5"/>
    </row>
    <row r="608" spans="1:9" ht="17.399999999999999" x14ac:dyDescent="0.25">
      <c r="A608" s="16"/>
      <c r="B608" s="17"/>
      <c r="C608" s="2"/>
      <c r="D608" s="2"/>
      <c r="E608" s="2"/>
      <c r="F608" s="2"/>
      <c r="G608" s="2"/>
      <c r="H608" s="2"/>
      <c r="I608" s="5"/>
    </row>
    <row r="609" spans="1:9" ht="17.399999999999999" x14ac:dyDescent="0.25">
      <c r="A609" s="16"/>
      <c r="B609" s="17"/>
      <c r="C609" s="2"/>
      <c r="D609" s="2"/>
      <c r="E609" s="2"/>
      <c r="F609" s="2"/>
      <c r="G609" s="2"/>
      <c r="H609" s="2"/>
      <c r="I609" s="5"/>
    </row>
    <row r="610" spans="1:9" ht="17.399999999999999" x14ac:dyDescent="0.25">
      <c r="A610" s="16"/>
      <c r="B610" s="17"/>
      <c r="C610" s="2"/>
      <c r="D610" s="2"/>
      <c r="E610" s="2"/>
      <c r="F610" s="2"/>
      <c r="G610" s="2"/>
      <c r="H610" s="2"/>
      <c r="I610" s="5"/>
    </row>
    <row r="611" spans="1:9" ht="17.399999999999999" x14ac:dyDescent="0.25">
      <c r="A611" s="16"/>
      <c r="B611" s="17"/>
      <c r="C611" s="2"/>
      <c r="D611" s="2"/>
      <c r="E611" s="2"/>
      <c r="F611" s="2"/>
      <c r="G611" s="2"/>
      <c r="H611" s="2"/>
      <c r="I611" s="5"/>
    </row>
    <row r="612" spans="1:9" ht="17.399999999999999" x14ac:dyDescent="0.25">
      <c r="A612" s="16"/>
      <c r="B612" s="17"/>
      <c r="C612" s="2"/>
      <c r="D612" s="2"/>
      <c r="E612" s="2"/>
      <c r="F612" s="2"/>
      <c r="G612" s="2"/>
      <c r="H612" s="2"/>
      <c r="I612" s="5"/>
    </row>
    <row r="613" spans="1:9" ht="17.399999999999999" x14ac:dyDescent="0.25">
      <c r="A613" s="16"/>
      <c r="B613" s="17"/>
      <c r="C613" s="2"/>
      <c r="D613" s="2"/>
      <c r="E613" s="2"/>
      <c r="F613" s="2"/>
      <c r="G613" s="2"/>
      <c r="H613" s="2"/>
      <c r="I613" s="5"/>
    </row>
    <row r="614" spans="1:9" ht="17.399999999999999" x14ac:dyDescent="0.25">
      <c r="A614" s="16"/>
      <c r="B614" s="17"/>
      <c r="C614" s="2"/>
      <c r="D614" s="2"/>
      <c r="E614" s="2"/>
      <c r="F614" s="2"/>
      <c r="G614" s="2"/>
      <c r="H614" s="2"/>
      <c r="I614" s="5"/>
    </row>
    <row r="615" spans="1:9" ht="17.399999999999999" x14ac:dyDescent="0.25">
      <c r="A615" s="16"/>
      <c r="B615" s="17"/>
      <c r="C615" s="2"/>
      <c r="D615" s="2"/>
      <c r="E615" s="2"/>
      <c r="F615" s="2"/>
      <c r="G615" s="2"/>
      <c r="H615" s="2"/>
      <c r="I615" s="5"/>
    </row>
    <row r="616" spans="1:9" ht="17.399999999999999" x14ac:dyDescent="0.25">
      <c r="A616" s="16"/>
      <c r="B616" s="17"/>
      <c r="C616" s="2"/>
      <c r="D616" s="2"/>
      <c r="E616" s="2"/>
      <c r="F616" s="2"/>
      <c r="G616" s="2"/>
      <c r="H616" s="2"/>
      <c r="I616" s="5"/>
    </row>
    <row r="617" spans="1:9" ht="17.399999999999999" x14ac:dyDescent="0.25">
      <c r="A617" s="16"/>
      <c r="B617" s="17"/>
      <c r="C617" s="2"/>
      <c r="D617" s="2"/>
      <c r="E617" s="2"/>
      <c r="F617" s="2"/>
      <c r="G617" s="2"/>
      <c r="H617" s="2"/>
      <c r="I617" s="5"/>
    </row>
    <row r="618" spans="1:9" ht="17.399999999999999" x14ac:dyDescent="0.25">
      <c r="A618" s="16"/>
      <c r="B618" s="17"/>
      <c r="C618" s="2"/>
      <c r="D618" s="2"/>
      <c r="E618" s="2"/>
      <c r="F618" s="2"/>
      <c r="G618" s="2"/>
      <c r="H618" s="2"/>
      <c r="I618" s="5"/>
    </row>
    <row r="619" spans="1:9" ht="17.399999999999999" x14ac:dyDescent="0.25">
      <c r="A619" s="16"/>
      <c r="B619" s="17"/>
      <c r="C619" s="2"/>
      <c r="D619" s="2"/>
      <c r="E619" s="2"/>
      <c r="F619" s="2"/>
      <c r="G619" s="2"/>
      <c r="H619" s="2"/>
      <c r="I619" s="5"/>
    </row>
    <row r="620" spans="1:9" ht="17.399999999999999" x14ac:dyDescent="0.25">
      <c r="A620" s="16"/>
      <c r="B620" s="17"/>
      <c r="C620" s="2"/>
      <c r="D620" s="2"/>
      <c r="E620" s="2"/>
      <c r="F620" s="2"/>
      <c r="G620" s="2"/>
      <c r="H620" s="2"/>
      <c r="I620" s="5"/>
    </row>
    <row r="621" spans="1:9" ht="17.399999999999999" x14ac:dyDescent="0.25">
      <c r="A621" s="16"/>
      <c r="B621" s="17"/>
      <c r="C621" s="2"/>
      <c r="D621" s="2"/>
      <c r="E621" s="2"/>
      <c r="F621" s="2"/>
      <c r="G621" s="2"/>
      <c r="H621" s="2"/>
      <c r="I621" s="5"/>
    </row>
    <row r="622" spans="1:9" ht="17.399999999999999" x14ac:dyDescent="0.25">
      <c r="A622" s="16"/>
      <c r="B622" s="17"/>
      <c r="C622" s="2"/>
      <c r="D622" s="2"/>
      <c r="E622" s="2"/>
      <c r="F622" s="2"/>
      <c r="G622" s="2"/>
      <c r="H622" s="2"/>
      <c r="I622" s="5"/>
    </row>
    <row r="623" spans="1:9" ht="17.399999999999999" x14ac:dyDescent="0.25">
      <c r="A623" s="16"/>
      <c r="B623" s="17"/>
      <c r="C623" s="2"/>
      <c r="D623" s="2"/>
      <c r="E623" s="2"/>
      <c r="F623" s="2"/>
      <c r="G623" s="2"/>
      <c r="H623" s="2"/>
      <c r="I623" s="5"/>
    </row>
    <row r="624" spans="1:9" ht="17.399999999999999" x14ac:dyDescent="0.25">
      <c r="A624" s="16"/>
      <c r="B624" s="17"/>
      <c r="C624" s="2"/>
      <c r="D624" s="2"/>
      <c r="E624" s="2"/>
      <c r="F624" s="2"/>
      <c r="G624" s="2"/>
      <c r="H624" s="2"/>
      <c r="I624" s="5"/>
    </row>
    <row r="625" spans="1:9" ht="17.399999999999999" x14ac:dyDescent="0.25">
      <c r="A625" s="16"/>
      <c r="B625" s="17"/>
      <c r="C625" s="2"/>
      <c r="D625" s="2"/>
      <c r="E625" s="2"/>
      <c r="F625" s="2"/>
      <c r="G625" s="2"/>
      <c r="H625" s="2"/>
      <c r="I625" s="5"/>
    </row>
    <row r="626" spans="1:9" ht="17.399999999999999" x14ac:dyDescent="0.25">
      <c r="A626" s="16"/>
      <c r="B626" s="17"/>
      <c r="C626" s="2"/>
      <c r="D626" s="2"/>
      <c r="E626" s="2"/>
      <c r="F626" s="2"/>
      <c r="G626" s="2"/>
      <c r="H626" s="2"/>
      <c r="I626" s="5"/>
    </row>
    <row r="627" spans="1:9" ht="17.399999999999999" x14ac:dyDescent="0.25">
      <c r="A627" s="16"/>
      <c r="B627" s="17"/>
      <c r="C627" s="2"/>
      <c r="D627" s="2"/>
      <c r="E627" s="2"/>
      <c r="F627" s="2"/>
      <c r="G627" s="2"/>
      <c r="H627" s="2"/>
      <c r="I627" s="5"/>
    </row>
    <row r="628" spans="1:9" ht="17.399999999999999" x14ac:dyDescent="0.25">
      <c r="A628" s="16"/>
      <c r="B628" s="17"/>
      <c r="C628" s="2"/>
      <c r="D628" s="2"/>
      <c r="E628" s="2"/>
      <c r="F628" s="2"/>
      <c r="G628" s="2"/>
      <c r="H628" s="2"/>
      <c r="I628" s="5"/>
    </row>
    <row r="629" spans="1:9" ht="17.399999999999999" x14ac:dyDescent="0.25">
      <c r="A629" s="16"/>
      <c r="B629" s="17"/>
      <c r="C629" s="2"/>
      <c r="D629" s="2"/>
      <c r="E629" s="2"/>
      <c r="F629" s="2"/>
      <c r="G629" s="2"/>
      <c r="H629" s="2"/>
      <c r="I629" s="5"/>
    </row>
    <row r="630" spans="1:9" ht="17.399999999999999" x14ac:dyDescent="0.25">
      <c r="A630" s="16"/>
      <c r="B630" s="17"/>
      <c r="C630" s="2"/>
      <c r="D630" s="2"/>
      <c r="E630" s="2"/>
      <c r="F630" s="2"/>
      <c r="G630" s="2"/>
      <c r="H630" s="2"/>
      <c r="I630" s="5"/>
    </row>
    <row r="631" spans="1:9" ht="17.399999999999999" x14ac:dyDescent="0.25">
      <c r="A631" s="16"/>
      <c r="B631" s="17"/>
      <c r="C631" s="2"/>
      <c r="D631" s="2"/>
      <c r="E631" s="2"/>
      <c r="F631" s="2"/>
      <c r="G631" s="2"/>
      <c r="H631" s="2"/>
      <c r="I631" s="5"/>
    </row>
    <row r="632" spans="1:9" ht="17.399999999999999" x14ac:dyDescent="0.25">
      <c r="A632" s="16"/>
      <c r="B632" s="17"/>
      <c r="C632" s="2"/>
      <c r="D632" s="2"/>
      <c r="E632" s="2"/>
      <c r="F632" s="2"/>
      <c r="G632" s="2"/>
      <c r="H632" s="2"/>
      <c r="I632" s="5"/>
    </row>
    <row r="633" spans="1:9" ht="17.399999999999999" x14ac:dyDescent="0.25">
      <c r="A633" s="16"/>
      <c r="B633" s="17"/>
      <c r="C633" s="2"/>
      <c r="D633" s="2"/>
      <c r="E633" s="2"/>
      <c r="F633" s="2"/>
      <c r="G633" s="2"/>
      <c r="H633" s="2"/>
      <c r="I633" s="5"/>
    </row>
    <row r="634" spans="1:9" ht="17.399999999999999" x14ac:dyDescent="0.25">
      <c r="A634" s="16"/>
      <c r="B634" s="17"/>
      <c r="C634" s="2"/>
      <c r="D634" s="2"/>
      <c r="E634" s="2"/>
      <c r="F634" s="2"/>
      <c r="G634" s="2"/>
      <c r="H634" s="2"/>
      <c r="I634" s="5"/>
    </row>
    <row r="635" spans="1:9" ht="17.399999999999999" x14ac:dyDescent="0.25">
      <c r="A635" s="16"/>
      <c r="B635" s="17"/>
      <c r="C635" s="2"/>
      <c r="D635" s="2"/>
      <c r="E635" s="2"/>
      <c r="F635" s="2"/>
      <c r="G635" s="2"/>
      <c r="H635" s="2"/>
      <c r="I635" s="5"/>
    </row>
    <row r="636" spans="1:9" ht="17.399999999999999" x14ac:dyDescent="0.25">
      <c r="A636" s="16"/>
      <c r="B636" s="17"/>
      <c r="C636" s="2"/>
      <c r="D636" s="2"/>
      <c r="E636" s="2"/>
      <c r="F636" s="2"/>
      <c r="G636" s="2"/>
      <c r="H636" s="2"/>
      <c r="I636" s="5"/>
    </row>
    <row r="637" spans="1:9" ht="17.399999999999999" x14ac:dyDescent="0.25">
      <c r="A637" s="16"/>
      <c r="B637" s="17"/>
      <c r="C637" s="2"/>
      <c r="D637" s="2"/>
      <c r="E637" s="2"/>
      <c r="F637" s="2"/>
      <c r="G637" s="2"/>
      <c r="H637" s="2"/>
      <c r="I637" s="5"/>
    </row>
    <row r="638" spans="1:9" ht="17.399999999999999" x14ac:dyDescent="0.25">
      <c r="A638" s="16"/>
      <c r="B638" s="17"/>
      <c r="C638" s="2"/>
      <c r="D638" s="2"/>
      <c r="E638" s="2"/>
      <c r="F638" s="2"/>
      <c r="G638" s="2"/>
      <c r="H638" s="2"/>
      <c r="I638" s="5"/>
    </row>
    <row r="639" spans="1:9" ht="17.399999999999999" x14ac:dyDescent="0.25">
      <c r="A639" s="16"/>
      <c r="B639" s="17"/>
      <c r="C639" s="2"/>
      <c r="D639" s="2"/>
      <c r="E639" s="2"/>
      <c r="F639" s="2"/>
      <c r="G639" s="2"/>
      <c r="H639" s="2"/>
      <c r="I639" s="5"/>
    </row>
    <row r="640" spans="1:9" ht="17.399999999999999" x14ac:dyDescent="0.25">
      <c r="A640" s="16"/>
      <c r="B640" s="17"/>
      <c r="C640" s="2"/>
      <c r="D640" s="2"/>
      <c r="E640" s="2"/>
      <c r="F640" s="2"/>
      <c r="G640" s="2"/>
      <c r="H640" s="2"/>
      <c r="I640" s="5"/>
    </row>
    <row r="641" spans="1:9" ht="17.399999999999999" x14ac:dyDescent="0.25">
      <c r="A641" s="16"/>
      <c r="B641" s="17"/>
      <c r="C641" s="2"/>
      <c r="D641" s="2"/>
      <c r="E641" s="2"/>
      <c r="F641" s="2"/>
      <c r="G641" s="2"/>
      <c r="H641" s="2"/>
      <c r="I641" s="5"/>
    </row>
    <row r="642" spans="1:9" ht="17.399999999999999" x14ac:dyDescent="0.25">
      <c r="A642" s="16"/>
      <c r="B642" s="17"/>
      <c r="C642" s="2"/>
      <c r="D642" s="2"/>
      <c r="E642" s="2"/>
      <c r="F642" s="2"/>
      <c r="G642" s="2"/>
      <c r="H642" s="2"/>
      <c r="I642" s="5"/>
    </row>
    <row r="643" spans="1:9" ht="17.399999999999999" x14ac:dyDescent="0.25">
      <c r="A643" s="16"/>
      <c r="B643" s="17"/>
      <c r="C643" s="2"/>
      <c r="D643" s="2"/>
      <c r="E643" s="2"/>
      <c r="F643" s="2"/>
      <c r="G643" s="2"/>
      <c r="H643" s="2"/>
      <c r="I643" s="5"/>
    </row>
    <row r="644" spans="1:9" ht="17.399999999999999" x14ac:dyDescent="0.25">
      <c r="A644" s="16"/>
      <c r="B644" s="17"/>
      <c r="C644" s="2"/>
      <c r="D644" s="2"/>
      <c r="E644" s="2"/>
      <c r="F644" s="2"/>
      <c r="G644" s="2"/>
      <c r="H644" s="2"/>
      <c r="I644" s="5"/>
    </row>
    <row r="645" spans="1:9" ht="17.399999999999999" x14ac:dyDescent="0.25">
      <c r="A645" s="16"/>
      <c r="B645" s="17"/>
      <c r="C645" s="2"/>
      <c r="D645" s="2"/>
      <c r="E645" s="2"/>
      <c r="F645" s="2"/>
      <c r="G645" s="2"/>
      <c r="H645" s="2"/>
      <c r="I645" s="5"/>
    </row>
    <row r="646" spans="1:9" ht="17.399999999999999" x14ac:dyDescent="0.25">
      <c r="A646" s="16"/>
      <c r="B646" s="17"/>
      <c r="C646" s="2"/>
      <c r="D646" s="2"/>
      <c r="E646" s="2"/>
      <c r="F646" s="2"/>
      <c r="G646" s="2"/>
      <c r="H646" s="2"/>
      <c r="I646" s="5"/>
    </row>
    <row r="647" spans="1:9" ht="17.399999999999999" x14ac:dyDescent="0.25">
      <c r="A647" s="16"/>
      <c r="B647" s="17"/>
      <c r="C647" s="2"/>
      <c r="D647" s="2"/>
      <c r="E647" s="2"/>
      <c r="F647" s="2"/>
      <c r="G647" s="2"/>
      <c r="H647" s="2"/>
      <c r="I647" s="5"/>
    </row>
    <row r="648" spans="1:9" ht="17.399999999999999" x14ac:dyDescent="0.25">
      <c r="A648" s="16"/>
      <c r="B648" s="17"/>
      <c r="C648" s="2"/>
      <c r="D648" s="2"/>
      <c r="E648" s="2"/>
      <c r="F648" s="2"/>
      <c r="G648" s="2"/>
      <c r="H648" s="2"/>
      <c r="I648" s="5"/>
    </row>
    <row r="649" spans="1:9" ht="17.399999999999999" x14ac:dyDescent="0.25">
      <c r="A649" s="16"/>
      <c r="B649" s="17"/>
      <c r="C649" s="2"/>
      <c r="D649" s="2"/>
      <c r="E649" s="2"/>
      <c r="F649" s="2"/>
      <c r="G649" s="2"/>
      <c r="H649" s="2"/>
      <c r="I649" s="5"/>
    </row>
    <row r="650" spans="1:9" ht="17.399999999999999" x14ac:dyDescent="0.25">
      <c r="A650" s="16"/>
      <c r="B650" s="17"/>
      <c r="C650" s="2"/>
      <c r="D650" s="2"/>
      <c r="E650" s="2"/>
      <c r="F650" s="2"/>
      <c r="G650" s="2"/>
      <c r="H650" s="2"/>
      <c r="I650" s="5"/>
    </row>
    <row r="651" spans="1:9" ht="17.399999999999999" x14ac:dyDescent="0.25">
      <c r="A651" s="16"/>
      <c r="B651" s="17"/>
      <c r="C651" s="2"/>
      <c r="D651" s="2"/>
      <c r="E651" s="2"/>
      <c r="F651" s="2"/>
      <c r="G651" s="2"/>
      <c r="H651" s="2"/>
      <c r="I651" s="5"/>
    </row>
    <row r="652" spans="1:9" ht="17.399999999999999" x14ac:dyDescent="0.25">
      <c r="A652" s="16"/>
      <c r="B652" s="17"/>
      <c r="C652" s="2"/>
      <c r="D652" s="2"/>
      <c r="E652" s="2"/>
      <c r="F652" s="2"/>
      <c r="G652" s="2"/>
      <c r="H652" s="2"/>
      <c r="I652" s="5"/>
    </row>
    <row r="653" spans="1:9" ht="17.399999999999999" x14ac:dyDescent="0.25">
      <c r="A653" s="16"/>
      <c r="B653" s="17"/>
      <c r="C653" s="2"/>
      <c r="D653" s="2"/>
      <c r="E653" s="2"/>
      <c r="F653" s="2"/>
      <c r="G653" s="2"/>
      <c r="H653" s="2"/>
      <c r="I653" s="5"/>
    </row>
    <row r="654" spans="1:9" ht="17.399999999999999" x14ac:dyDescent="0.25">
      <c r="A654" s="16"/>
      <c r="B654" s="17"/>
      <c r="C654" s="2"/>
      <c r="D654" s="2"/>
      <c r="E654" s="2"/>
      <c r="F654" s="2"/>
      <c r="G654" s="2"/>
      <c r="H654" s="2"/>
      <c r="I654" s="5"/>
    </row>
    <row r="655" spans="1:9" ht="17.399999999999999" x14ac:dyDescent="0.25">
      <c r="A655" s="16"/>
      <c r="B655" s="17"/>
      <c r="C655" s="2"/>
      <c r="D655" s="2"/>
      <c r="E655" s="2"/>
      <c r="F655" s="2"/>
      <c r="G655" s="2"/>
      <c r="H655" s="2"/>
      <c r="I655" s="5"/>
    </row>
    <row r="656" spans="1:9" ht="17.399999999999999" x14ac:dyDescent="0.25">
      <c r="A656" s="16"/>
      <c r="B656" s="17"/>
      <c r="C656" s="2"/>
      <c r="D656" s="2"/>
      <c r="E656" s="2"/>
      <c r="F656" s="2"/>
      <c r="G656" s="2"/>
      <c r="H656" s="2"/>
      <c r="I656" s="5"/>
    </row>
    <row r="657" spans="1:9" ht="17.399999999999999" x14ac:dyDescent="0.25">
      <c r="A657" s="16"/>
      <c r="B657" s="17"/>
      <c r="C657" s="2"/>
      <c r="D657" s="2"/>
      <c r="E657" s="2"/>
      <c r="F657" s="2"/>
      <c r="G657" s="2"/>
      <c r="H657" s="2"/>
      <c r="I657" s="5"/>
    </row>
    <row r="658" spans="1:9" ht="17.399999999999999" x14ac:dyDescent="0.25">
      <c r="A658" s="16"/>
      <c r="B658" s="17"/>
      <c r="C658" s="2"/>
      <c r="D658" s="2"/>
      <c r="E658" s="2"/>
      <c r="F658" s="2"/>
      <c r="G658" s="2"/>
      <c r="H658" s="2"/>
      <c r="I658" s="5"/>
    </row>
    <row r="659" spans="1:9" ht="17.399999999999999" x14ac:dyDescent="0.25">
      <c r="A659" s="16"/>
      <c r="B659" s="17"/>
      <c r="C659" s="2"/>
      <c r="D659" s="2"/>
      <c r="E659" s="2"/>
      <c r="F659" s="2"/>
      <c r="G659" s="2"/>
      <c r="H659" s="2"/>
      <c r="I659" s="5"/>
    </row>
    <row r="660" spans="1:9" ht="17.399999999999999" x14ac:dyDescent="0.25">
      <c r="A660" s="16"/>
      <c r="B660" s="17"/>
      <c r="C660" s="2"/>
      <c r="D660" s="2"/>
      <c r="E660" s="2"/>
      <c r="F660" s="2"/>
      <c r="G660" s="2"/>
      <c r="H660" s="2"/>
      <c r="I660" s="5"/>
    </row>
    <row r="661" spans="1:9" ht="17.399999999999999" x14ac:dyDescent="0.25">
      <c r="A661" s="16"/>
      <c r="B661" s="17"/>
      <c r="C661" s="2"/>
      <c r="D661" s="2"/>
      <c r="E661" s="2"/>
      <c r="F661" s="2"/>
      <c r="G661" s="2"/>
      <c r="H661" s="2"/>
      <c r="I661" s="5"/>
    </row>
    <row r="662" spans="1:9" ht="17.399999999999999" x14ac:dyDescent="0.25">
      <c r="A662" s="16"/>
      <c r="B662" s="17"/>
      <c r="C662" s="2"/>
      <c r="D662" s="2"/>
      <c r="E662" s="2"/>
      <c r="F662" s="2"/>
      <c r="G662" s="2"/>
      <c r="H662" s="2"/>
      <c r="I662" s="5"/>
    </row>
    <row r="663" spans="1:9" ht="17.399999999999999" x14ac:dyDescent="0.25">
      <c r="A663" s="16"/>
      <c r="B663" s="17"/>
      <c r="C663" s="2"/>
      <c r="D663" s="2"/>
      <c r="E663" s="2"/>
      <c r="F663" s="2"/>
      <c r="G663" s="2"/>
      <c r="H663" s="2"/>
      <c r="I663" s="5"/>
    </row>
    <row r="664" spans="1:9" ht="17.399999999999999" x14ac:dyDescent="0.25">
      <c r="A664" s="16"/>
      <c r="B664" s="17"/>
      <c r="C664" s="2"/>
      <c r="D664" s="2"/>
      <c r="E664" s="2"/>
      <c r="F664" s="2"/>
      <c r="G664" s="2"/>
      <c r="H664" s="2"/>
      <c r="I664" s="5"/>
    </row>
    <row r="665" spans="1:9" ht="17.399999999999999" x14ac:dyDescent="0.25">
      <c r="A665" s="16"/>
      <c r="B665" s="17"/>
      <c r="C665" s="2"/>
      <c r="D665" s="2"/>
      <c r="E665" s="2"/>
      <c r="F665" s="2"/>
      <c r="G665" s="2"/>
      <c r="H665" s="2"/>
      <c r="I665" s="5"/>
    </row>
    <row r="666" spans="1:9" ht="17.399999999999999" x14ac:dyDescent="0.25">
      <c r="A666" s="16"/>
      <c r="B666" s="17"/>
      <c r="C666" s="2"/>
      <c r="D666" s="2"/>
      <c r="E666" s="2"/>
      <c r="F666" s="2"/>
      <c r="G666" s="2"/>
      <c r="H666" s="2"/>
      <c r="I666" s="5"/>
    </row>
    <row r="667" spans="1:9" ht="17.399999999999999" x14ac:dyDescent="0.25">
      <c r="A667" s="16"/>
      <c r="B667" s="17"/>
      <c r="C667" s="2"/>
      <c r="D667" s="2"/>
      <c r="E667" s="2"/>
      <c r="F667" s="2"/>
      <c r="G667" s="2"/>
      <c r="H667" s="2"/>
      <c r="I667" s="5"/>
    </row>
    <row r="668" spans="1:9" ht="17.399999999999999" x14ac:dyDescent="0.25">
      <c r="A668" s="16"/>
      <c r="B668" s="17"/>
      <c r="C668" s="2"/>
      <c r="D668" s="2"/>
      <c r="E668" s="2"/>
      <c r="F668" s="2"/>
      <c r="G668" s="2"/>
      <c r="H668" s="2"/>
      <c r="I668" s="5"/>
    </row>
    <row r="669" spans="1:9" ht="17.399999999999999" x14ac:dyDescent="0.25">
      <c r="A669" s="16"/>
      <c r="B669" s="17"/>
      <c r="C669" s="2"/>
      <c r="D669" s="2"/>
      <c r="E669" s="2"/>
      <c r="F669" s="2"/>
      <c r="G669" s="2"/>
      <c r="H669" s="2"/>
      <c r="I669" s="5"/>
    </row>
    <row r="670" spans="1:9" ht="17.399999999999999" x14ac:dyDescent="0.25">
      <c r="A670" s="16"/>
      <c r="B670" s="17"/>
      <c r="C670" s="2"/>
      <c r="D670" s="2"/>
      <c r="E670" s="2"/>
      <c r="F670" s="2"/>
      <c r="G670" s="2"/>
      <c r="H670" s="2"/>
      <c r="I670" s="5"/>
    </row>
    <row r="671" spans="1:9" ht="17.399999999999999" x14ac:dyDescent="0.25">
      <c r="A671" s="16"/>
      <c r="B671" s="17"/>
      <c r="C671" s="2"/>
      <c r="D671" s="2"/>
      <c r="E671" s="2"/>
      <c r="F671" s="2"/>
      <c r="G671" s="2"/>
      <c r="H671" s="2"/>
      <c r="I671" s="5"/>
    </row>
    <row r="672" spans="1:9" ht="17.399999999999999" x14ac:dyDescent="0.25">
      <c r="A672" s="16"/>
      <c r="B672" s="17"/>
      <c r="C672" s="2"/>
      <c r="D672" s="2"/>
      <c r="E672" s="2"/>
      <c r="F672" s="2"/>
      <c r="G672" s="2"/>
      <c r="H672" s="2"/>
      <c r="I672" s="5"/>
    </row>
    <row r="673" spans="1:9" ht="17.399999999999999" x14ac:dyDescent="0.25">
      <c r="A673" s="16"/>
      <c r="B673" s="17"/>
      <c r="C673" s="2"/>
      <c r="D673" s="2"/>
      <c r="E673" s="2"/>
      <c r="F673" s="2"/>
      <c r="G673" s="2"/>
      <c r="H673" s="2"/>
      <c r="I673" s="5"/>
    </row>
    <row r="674" spans="1:9" ht="17.399999999999999" x14ac:dyDescent="0.25">
      <c r="A674" s="16"/>
      <c r="B674" s="17"/>
      <c r="C674" s="2"/>
      <c r="D674" s="2"/>
      <c r="E674" s="2"/>
      <c r="F674" s="2"/>
      <c r="G674" s="2"/>
      <c r="H674" s="2"/>
      <c r="I674" s="5"/>
    </row>
    <row r="675" spans="1:9" ht="17.399999999999999" x14ac:dyDescent="0.25">
      <c r="A675" s="16"/>
      <c r="B675" s="17"/>
      <c r="C675" s="2"/>
      <c r="D675" s="2"/>
      <c r="E675" s="2"/>
      <c r="F675" s="2"/>
      <c r="G675" s="2"/>
      <c r="H675" s="2"/>
      <c r="I675" s="5"/>
    </row>
    <row r="676" spans="1:9" ht="17.399999999999999" x14ac:dyDescent="0.25">
      <c r="A676" s="16"/>
      <c r="B676" s="17"/>
      <c r="C676" s="2"/>
      <c r="D676" s="2"/>
      <c r="E676" s="2"/>
      <c r="F676" s="2"/>
      <c r="G676" s="2"/>
      <c r="H676" s="2"/>
      <c r="I676" s="5"/>
    </row>
    <row r="677" spans="1:9" ht="17.399999999999999" x14ac:dyDescent="0.25">
      <c r="A677" s="16"/>
      <c r="B677" s="17"/>
      <c r="C677" s="2"/>
      <c r="D677" s="2"/>
      <c r="E677" s="2"/>
      <c r="F677" s="2"/>
      <c r="G677" s="2"/>
      <c r="H677" s="2"/>
      <c r="I677" s="5"/>
    </row>
    <row r="678" spans="1:9" ht="17.399999999999999" x14ac:dyDescent="0.25">
      <c r="A678" s="16"/>
      <c r="B678" s="17"/>
      <c r="C678" s="2"/>
      <c r="D678" s="2"/>
      <c r="E678" s="2"/>
      <c r="F678" s="2"/>
      <c r="G678" s="2"/>
      <c r="H678" s="2"/>
      <c r="I678" s="5"/>
    </row>
    <row r="679" spans="1:9" ht="17.399999999999999" x14ac:dyDescent="0.25">
      <c r="A679" s="16"/>
      <c r="B679" s="17"/>
      <c r="C679" s="2"/>
      <c r="D679" s="2"/>
      <c r="E679" s="2"/>
      <c r="F679" s="2"/>
      <c r="G679" s="2"/>
      <c r="H679" s="2"/>
      <c r="I679" s="5"/>
    </row>
    <row r="680" spans="1:9" ht="17.399999999999999" x14ac:dyDescent="0.25">
      <c r="A680" s="16"/>
      <c r="B680" s="17"/>
      <c r="C680" s="2"/>
      <c r="D680" s="2"/>
      <c r="E680" s="2"/>
      <c r="F680" s="2"/>
      <c r="G680" s="2"/>
      <c r="H680" s="2"/>
      <c r="I680" s="5"/>
    </row>
    <row r="681" spans="1:9" ht="17.399999999999999" x14ac:dyDescent="0.25">
      <c r="A681" s="16"/>
      <c r="B681" s="17"/>
      <c r="C681" s="2"/>
      <c r="D681" s="2"/>
      <c r="E681" s="2"/>
      <c r="F681" s="2"/>
      <c r="G681" s="2"/>
      <c r="H681" s="2"/>
      <c r="I681" s="5"/>
    </row>
    <row r="682" spans="1:9" ht="17.399999999999999" x14ac:dyDescent="0.25">
      <c r="A682" s="16"/>
      <c r="B682" s="17"/>
      <c r="C682" s="2"/>
      <c r="D682" s="2"/>
      <c r="E682" s="2"/>
      <c r="F682" s="2"/>
      <c r="G682" s="2"/>
      <c r="H682" s="2"/>
      <c r="I682" s="5"/>
    </row>
    <row r="683" spans="1:9" ht="17.399999999999999" x14ac:dyDescent="0.25">
      <c r="A683" s="16"/>
      <c r="B683" s="17"/>
      <c r="C683" s="2"/>
      <c r="D683" s="2"/>
      <c r="E683" s="2"/>
      <c r="F683" s="2"/>
      <c r="G683" s="2"/>
      <c r="H683" s="2"/>
      <c r="I683" s="5"/>
    </row>
    <row r="684" spans="1:9" ht="17.399999999999999" x14ac:dyDescent="0.25">
      <c r="A684" s="16"/>
      <c r="B684" s="17"/>
      <c r="C684" s="2"/>
      <c r="D684" s="2"/>
      <c r="E684" s="2"/>
      <c r="F684" s="2"/>
      <c r="G684" s="2"/>
      <c r="H684" s="2"/>
      <c r="I684" s="5"/>
    </row>
    <row r="685" spans="1:9" ht="17.399999999999999" x14ac:dyDescent="0.25">
      <c r="A685" s="16"/>
      <c r="B685" s="17"/>
      <c r="C685" s="2"/>
      <c r="D685" s="2"/>
      <c r="E685" s="2"/>
      <c r="F685" s="2"/>
      <c r="G685" s="2"/>
      <c r="H685" s="2"/>
      <c r="I685" s="5"/>
    </row>
    <row r="686" spans="1:9" ht="17.399999999999999" x14ac:dyDescent="0.25">
      <c r="A686" s="16"/>
      <c r="B686" s="17"/>
      <c r="C686" s="2"/>
      <c r="D686" s="2"/>
      <c r="E686" s="2"/>
      <c r="F686" s="2"/>
      <c r="G686" s="2"/>
      <c r="H686" s="2"/>
      <c r="I686" s="5"/>
    </row>
    <row r="687" spans="1:9" ht="17.399999999999999" x14ac:dyDescent="0.25">
      <c r="A687" s="16"/>
      <c r="B687" s="17"/>
      <c r="C687" s="2"/>
      <c r="D687" s="2"/>
      <c r="E687" s="2"/>
      <c r="F687" s="2"/>
      <c r="G687" s="2"/>
      <c r="H687" s="2"/>
      <c r="I687" s="5"/>
    </row>
    <row r="688" spans="1:9" ht="17.399999999999999" x14ac:dyDescent="0.25">
      <c r="A688" s="16"/>
      <c r="B688" s="17"/>
      <c r="C688" s="2"/>
      <c r="D688" s="2"/>
      <c r="E688" s="2"/>
      <c r="F688" s="2"/>
      <c r="G688" s="2"/>
      <c r="H688" s="2"/>
      <c r="I688" s="5"/>
    </row>
    <row r="689" spans="1:9" ht="17.399999999999999" x14ac:dyDescent="0.25">
      <c r="A689" s="16"/>
      <c r="B689" s="17"/>
      <c r="C689" s="2"/>
      <c r="D689" s="2"/>
      <c r="E689" s="2"/>
      <c r="F689" s="2"/>
      <c r="G689" s="2"/>
      <c r="H689" s="2"/>
      <c r="I689" s="5"/>
    </row>
    <row r="690" spans="1:9" ht="17.399999999999999" x14ac:dyDescent="0.25">
      <c r="A690" s="16"/>
      <c r="B690" s="17"/>
      <c r="C690" s="2"/>
      <c r="D690" s="2"/>
      <c r="E690" s="2"/>
      <c r="F690" s="2"/>
      <c r="G690" s="2"/>
      <c r="H690" s="2"/>
      <c r="I690" s="5"/>
    </row>
    <row r="691" spans="1:9" ht="17.399999999999999" x14ac:dyDescent="0.25">
      <c r="A691" s="16"/>
      <c r="B691" s="17"/>
      <c r="C691" s="2"/>
      <c r="D691" s="2"/>
      <c r="E691" s="2"/>
      <c r="F691" s="2"/>
      <c r="G691" s="2"/>
      <c r="H691" s="2"/>
      <c r="I691" s="5"/>
    </row>
    <row r="692" spans="1:9" ht="17.399999999999999" x14ac:dyDescent="0.25">
      <c r="A692" s="16"/>
      <c r="B692" s="17"/>
      <c r="C692" s="2"/>
      <c r="D692" s="2"/>
      <c r="E692" s="2"/>
      <c r="F692" s="2"/>
      <c r="G692" s="2"/>
      <c r="H692" s="2"/>
      <c r="I692" s="5"/>
    </row>
    <row r="693" spans="1:9" ht="17.399999999999999" x14ac:dyDescent="0.25">
      <c r="A693" s="16"/>
      <c r="B693" s="17"/>
      <c r="C693" s="2"/>
      <c r="D693" s="2"/>
      <c r="E693" s="2"/>
      <c r="F693" s="2"/>
      <c r="G693" s="2"/>
      <c r="H693" s="2"/>
      <c r="I693" s="5"/>
    </row>
    <row r="694" spans="1:9" ht="17.399999999999999" x14ac:dyDescent="0.25">
      <c r="A694" s="16"/>
      <c r="B694" s="17"/>
      <c r="C694" s="2"/>
      <c r="D694" s="2"/>
      <c r="E694" s="2"/>
      <c r="F694" s="2"/>
      <c r="G694" s="2"/>
      <c r="H694" s="2"/>
      <c r="I694" s="5"/>
    </row>
    <row r="695" spans="1:9" ht="17.399999999999999" x14ac:dyDescent="0.25">
      <c r="A695" s="16"/>
      <c r="B695" s="17"/>
      <c r="C695" s="2"/>
      <c r="D695" s="2"/>
      <c r="E695" s="2"/>
      <c r="F695" s="2"/>
      <c r="G695" s="2"/>
      <c r="H695" s="2"/>
      <c r="I695" s="5"/>
    </row>
    <row r="696" spans="1:9" ht="17.399999999999999" x14ac:dyDescent="0.25">
      <c r="A696" s="16"/>
      <c r="B696" s="17"/>
      <c r="C696" s="2"/>
      <c r="D696" s="2"/>
      <c r="E696" s="2"/>
      <c r="F696" s="2"/>
      <c r="G696" s="2"/>
      <c r="H696" s="2"/>
      <c r="I696" s="5"/>
    </row>
    <row r="697" spans="1:9" ht="17.399999999999999" x14ac:dyDescent="0.25">
      <c r="A697" s="16"/>
      <c r="B697" s="17"/>
      <c r="C697" s="2"/>
      <c r="D697" s="2"/>
      <c r="E697" s="2"/>
      <c r="F697" s="2"/>
      <c r="G697" s="2"/>
      <c r="H697" s="2"/>
      <c r="I697" s="5"/>
    </row>
    <row r="698" spans="1:9" ht="17.399999999999999" x14ac:dyDescent="0.25">
      <c r="A698" s="16"/>
      <c r="B698" s="17"/>
      <c r="C698" s="2"/>
      <c r="D698" s="2"/>
      <c r="E698" s="2"/>
      <c r="F698" s="2"/>
      <c r="G698" s="2"/>
      <c r="H698" s="2"/>
      <c r="I698" s="5"/>
    </row>
    <row r="699" spans="1:9" ht="17.399999999999999" x14ac:dyDescent="0.25">
      <c r="A699" s="16"/>
      <c r="B699" s="17"/>
      <c r="C699" s="2"/>
      <c r="D699" s="2"/>
      <c r="E699" s="2"/>
      <c r="F699" s="2"/>
      <c r="G699" s="2"/>
      <c r="H699" s="2"/>
      <c r="I699" s="5"/>
    </row>
    <row r="700" spans="1:9" ht="17.399999999999999" x14ac:dyDescent="0.25">
      <c r="A700" s="16"/>
      <c r="B700" s="17"/>
      <c r="C700" s="2"/>
      <c r="D700" s="2"/>
      <c r="E700" s="2"/>
      <c r="F700" s="2"/>
      <c r="G700" s="2"/>
      <c r="H700" s="2"/>
      <c r="I700" s="5"/>
    </row>
    <row r="701" spans="1:9" ht="17.399999999999999" x14ac:dyDescent="0.25">
      <c r="A701" s="16"/>
      <c r="B701" s="17"/>
      <c r="C701" s="2"/>
      <c r="D701" s="2"/>
      <c r="E701" s="2"/>
      <c r="F701" s="2"/>
      <c r="G701" s="2"/>
      <c r="H701" s="2"/>
      <c r="I701" s="5"/>
    </row>
    <row r="702" spans="1:9" ht="17.399999999999999" x14ac:dyDescent="0.25">
      <c r="A702" s="16"/>
      <c r="B702" s="17"/>
      <c r="C702" s="2"/>
      <c r="D702" s="2"/>
      <c r="E702" s="2"/>
      <c r="F702" s="2"/>
      <c r="G702" s="2"/>
      <c r="H702" s="2"/>
      <c r="I702" s="5"/>
    </row>
    <row r="703" spans="1:9" ht="17.399999999999999" x14ac:dyDescent="0.25">
      <c r="A703" s="16"/>
      <c r="B703" s="17"/>
      <c r="C703" s="2"/>
      <c r="D703" s="2"/>
      <c r="E703" s="2"/>
      <c r="F703" s="2"/>
      <c r="G703" s="2"/>
      <c r="H703" s="2"/>
      <c r="I703" s="5"/>
    </row>
    <row r="704" spans="1:9" ht="17.399999999999999" x14ac:dyDescent="0.25">
      <c r="A704" s="16"/>
      <c r="B704" s="17"/>
      <c r="C704" s="2"/>
      <c r="D704" s="2"/>
      <c r="E704" s="2"/>
      <c r="F704" s="2"/>
      <c r="G704" s="2"/>
      <c r="H704" s="2"/>
      <c r="I704" s="5"/>
    </row>
    <row r="705" spans="1:9" ht="17.399999999999999" x14ac:dyDescent="0.25">
      <c r="A705" s="16"/>
      <c r="B705" s="17"/>
      <c r="C705" s="2"/>
      <c r="D705" s="2"/>
      <c r="E705" s="2"/>
      <c r="F705" s="2"/>
      <c r="G705" s="2"/>
      <c r="H705" s="2"/>
      <c r="I705" s="5"/>
    </row>
    <row r="706" spans="1:9" ht="17.399999999999999" x14ac:dyDescent="0.25">
      <c r="A706" s="16"/>
      <c r="B706" s="17"/>
      <c r="C706" s="2"/>
      <c r="D706" s="2"/>
      <c r="E706" s="2"/>
      <c r="F706" s="2"/>
      <c r="G706" s="2"/>
      <c r="H706" s="2"/>
      <c r="I706" s="5"/>
    </row>
    <row r="707" spans="1:9" ht="17.399999999999999" x14ac:dyDescent="0.25">
      <c r="A707" s="16"/>
      <c r="B707" s="17"/>
      <c r="C707" s="2"/>
      <c r="D707" s="2"/>
      <c r="E707" s="2"/>
      <c r="F707" s="2"/>
      <c r="G707" s="2"/>
      <c r="H707" s="2"/>
      <c r="I707" s="5"/>
    </row>
    <row r="708" spans="1:9" ht="17.399999999999999" x14ac:dyDescent="0.25">
      <c r="A708" s="16"/>
      <c r="B708" s="17"/>
      <c r="C708" s="2"/>
      <c r="D708" s="2"/>
      <c r="E708" s="2"/>
      <c r="F708" s="2"/>
      <c r="G708" s="2"/>
      <c r="H708" s="2"/>
      <c r="I708" s="5"/>
    </row>
    <row r="709" spans="1:9" ht="17.399999999999999" x14ac:dyDescent="0.25">
      <c r="A709" s="16"/>
      <c r="B709" s="17"/>
      <c r="C709" s="2"/>
      <c r="D709" s="2"/>
      <c r="E709" s="2"/>
      <c r="F709" s="2"/>
      <c r="G709" s="2"/>
      <c r="H709" s="2"/>
      <c r="I709" s="5"/>
    </row>
    <row r="710" spans="1:9" ht="17.399999999999999" x14ac:dyDescent="0.25">
      <c r="A710" s="16"/>
      <c r="B710" s="17"/>
      <c r="C710" s="2"/>
      <c r="D710" s="2"/>
      <c r="E710" s="2"/>
      <c r="F710" s="2"/>
      <c r="G710" s="2"/>
      <c r="H710" s="2"/>
      <c r="I710" s="5"/>
    </row>
    <row r="711" spans="1:9" ht="17.399999999999999" x14ac:dyDescent="0.25">
      <c r="A711" s="16"/>
      <c r="B711" s="17"/>
      <c r="C711" s="2"/>
      <c r="D711" s="2"/>
      <c r="E711" s="2"/>
      <c r="F711" s="2"/>
      <c r="G711" s="2"/>
      <c r="H711" s="2"/>
      <c r="I711" s="5"/>
    </row>
    <row r="712" spans="1:9" ht="17.399999999999999" x14ac:dyDescent="0.25">
      <c r="A712" s="16"/>
      <c r="B712" s="17"/>
      <c r="C712" s="2"/>
      <c r="D712" s="2"/>
      <c r="E712" s="2"/>
      <c r="F712" s="2"/>
      <c r="G712" s="2"/>
      <c r="H712" s="2"/>
      <c r="I712" s="5"/>
    </row>
    <row r="713" spans="1:9" ht="17.399999999999999" x14ac:dyDescent="0.25">
      <c r="A713" s="16"/>
      <c r="B713" s="17"/>
      <c r="C713" s="2"/>
      <c r="D713" s="2"/>
      <c r="E713" s="2"/>
      <c r="F713" s="2"/>
      <c r="G713" s="2"/>
      <c r="H713" s="2"/>
      <c r="I713" s="5"/>
    </row>
    <row r="714" spans="1:9" ht="17.399999999999999" x14ac:dyDescent="0.25">
      <c r="A714" s="16"/>
      <c r="B714" s="17"/>
      <c r="C714" s="2"/>
      <c r="D714" s="2"/>
      <c r="E714" s="2"/>
      <c r="F714" s="2"/>
      <c r="G714" s="2"/>
      <c r="H714" s="2"/>
      <c r="I714" s="5"/>
    </row>
    <row r="715" spans="1:9" ht="17.399999999999999" x14ac:dyDescent="0.25">
      <c r="A715" s="16"/>
      <c r="B715" s="17"/>
      <c r="C715" s="2"/>
      <c r="D715" s="2"/>
      <c r="E715" s="2"/>
      <c r="F715" s="2"/>
      <c r="G715" s="2"/>
      <c r="H715" s="2"/>
      <c r="I715" s="5"/>
    </row>
    <row r="716" spans="1:9" ht="17.399999999999999" x14ac:dyDescent="0.25">
      <c r="A716" s="16"/>
      <c r="B716" s="17"/>
      <c r="C716" s="2"/>
      <c r="D716" s="2"/>
      <c r="E716" s="2"/>
      <c r="F716" s="2"/>
      <c r="G716" s="2"/>
      <c r="H716" s="2"/>
      <c r="I716" s="5"/>
    </row>
    <row r="717" spans="1:9" ht="17.399999999999999" x14ac:dyDescent="0.25">
      <c r="A717" s="16"/>
      <c r="B717" s="17"/>
      <c r="C717" s="2"/>
      <c r="D717" s="2"/>
      <c r="E717" s="2"/>
      <c r="F717" s="2"/>
      <c r="G717" s="2"/>
      <c r="H717" s="2"/>
      <c r="I717" s="5"/>
    </row>
    <row r="718" spans="1:9" ht="17.399999999999999" x14ac:dyDescent="0.25">
      <c r="A718" s="16"/>
      <c r="B718" s="17"/>
      <c r="C718" s="2"/>
      <c r="D718" s="2"/>
      <c r="E718" s="2"/>
      <c r="F718" s="2"/>
      <c r="G718" s="2"/>
      <c r="H718" s="2"/>
      <c r="I718" s="5"/>
    </row>
    <row r="719" spans="1:9" ht="17.399999999999999" x14ac:dyDescent="0.25">
      <c r="A719" s="16"/>
      <c r="B719" s="17"/>
      <c r="C719" s="2"/>
      <c r="D719" s="2"/>
      <c r="E719" s="2"/>
      <c r="F719" s="2"/>
      <c r="G719" s="2"/>
      <c r="H719" s="2"/>
      <c r="I719" s="5"/>
    </row>
    <row r="720" spans="1:9" ht="17.399999999999999" x14ac:dyDescent="0.25">
      <c r="A720" s="16"/>
      <c r="B720" s="17"/>
      <c r="C720" s="2"/>
      <c r="D720" s="2"/>
      <c r="E720" s="2"/>
      <c r="F720" s="2"/>
      <c r="G720" s="2"/>
      <c r="H720" s="2"/>
      <c r="I720" s="5"/>
    </row>
    <row r="721" spans="1:9" ht="17.399999999999999" x14ac:dyDescent="0.25">
      <c r="A721" s="16"/>
      <c r="B721" s="17"/>
      <c r="C721" s="2"/>
      <c r="D721" s="2"/>
      <c r="E721" s="2"/>
      <c r="F721" s="2"/>
      <c r="G721" s="2"/>
      <c r="H721" s="2"/>
      <c r="I721" s="5"/>
    </row>
    <row r="722" spans="1:9" ht="17.399999999999999" x14ac:dyDescent="0.25">
      <c r="A722" s="16"/>
      <c r="B722" s="17"/>
      <c r="C722" s="2"/>
      <c r="D722" s="2"/>
      <c r="E722" s="2"/>
      <c r="F722" s="2"/>
      <c r="G722" s="2"/>
      <c r="H722" s="2"/>
      <c r="I722" s="5"/>
    </row>
    <row r="723" spans="1:9" ht="17.399999999999999" x14ac:dyDescent="0.25">
      <c r="A723" s="16"/>
      <c r="B723" s="17"/>
      <c r="C723" s="2"/>
      <c r="D723" s="2"/>
      <c r="E723" s="2"/>
      <c r="F723" s="2"/>
      <c r="G723" s="2"/>
      <c r="H723" s="2"/>
      <c r="I723" s="5"/>
    </row>
    <row r="724" spans="1:9" ht="17.399999999999999" x14ac:dyDescent="0.25">
      <c r="A724" s="16"/>
      <c r="B724" s="17"/>
      <c r="C724" s="2"/>
      <c r="D724" s="2"/>
      <c r="E724" s="2"/>
      <c r="F724" s="2"/>
      <c r="G724" s="2"/>
      <c r="H724" s="2"/>
      <c r="I724" s="5"/>
    </row>
    <row r="725" spans="1:9" ht="17.399999999999999" x14ac:dyDescent="0.25">
      <c r="A725" s="16"/>
      <c r="B725" s="17"/>
      <c r="C725" s="2"/>
      <c r="D725" s="2"/>
      <c r="E725" s="2"/>
      <c r="F725" s="2"/>
      <c r="G725" s="2"/>
      <c r="H725" s="2"/>
      <c r="I725" s="5"/>
    </row>
    <row r="726" spans="1:9" ht="17.399999999999999" x14ac:dyDescent="0.25">
      <c r="A726" s="16"/>
      <c r="B726" s="17"/>
      <c r="C726" s="2"/>
      <c r="D726" s="2"/>
      <c r="E726" s="2"/>
      <c r="F726" s="2"/>
      <c r="G726" s="2"/>
      <c r="H726" s="2"/>
      <c r="I726" s="5"/>
    </row>
    <row r="727" spans="1:9" ht="17.399999999999999" x14ac:dyDescent="0.25">
      <c r="A727" s="16"/>
      <c r="B727" s="17"/>
      <c r="C727" s="2"/>
      <c r="D727" s="2"/>
      <c r="E727" s="2"/>
      <c r="F727" s="2"/>
      <c r="G727" s="2"/>
      <c r="H727" s="2"/>
      <c r="I727" s="5"/>
    </row>
    <row r="728" spans="1:9" ht="17.399999999999999" x14ac:dyDescent="0.25">
      <c r="A728" s="16"/>
      <c r="B728" s="17"/>
      <c r="C728" s="2"/>
      <c r="D728" s="2"/>
      <c r="E728" s="2"/>
      <c r="F728" s="2"/>
      <c r="G728" s="2"/>
      <c r="H728" s="2"/>
      <c r="I728" s="5"/>
    </row>
    <row r="729" spans="1:9" ht="17.399999999999999" x14ac:dyDescent="0.25">
      <c r="A729" s="16"/>
      <c r="B729" s="17"/>
      <c r="C729" s="2"/>
      <c r="D729" s="2"/>
      <c r="E729" s="2"/>
      <c r="F729" s="2"/>
      <c r="G729" s="2"/>
      <c r="H729" s="2"/>
      <c r="I729" s="5"/>
    </row>
    <row r="730" spans="1:9" ht="17.399999999999999" x14ac:dyDescent="0.25">
      <c r="A730" s="16"/>
      <c r="B730" s="17"/>
      <c r="C730" s="2"/>
      <c r="D730" s="2"/>
      <c r="E730" s="2"/>
      <c r="F730" s="2"/>
      <c r="G730" s="2"/>
      <c r="H730" s="2"/>
      <c r="I730" s="5"/>
    </row>
    <row r="731" spans="1:9" ht="17.399999999999999" x14ac:dyDescent="0.25">
      <c r="A731" s="16"/>
      <c r="B731" s="17"/>
      <c r="C731" s="2"/>
      <c r="D731" s="2"/>
      <c r="E731" s="2"/>
      <c r="F731" s="2"/>
      <c r="G731" s="2"/>
      <c r="H731" s="2"/>
      <c r="I731" s="5"/>
    </row>
    <row r="732" spans="1:9" ht="17.399999999999999" x14ac:dyDescent="0.25">
      <c r="A732" s="16"/>
      <c r="B732" s="17"/>
      <c r="C732" s="2"/>
      <c r="D732" s="2"/>
      <c r="E732" s="2"/>
      <c r="F732" s="2"/>
      <c r="G732" s="2"/>
      <c r="H732" s="2"/>
      <c r="I732" s="5"/>
    </row>
    <row r="733" spans="1:9" ht="17.399999999999999" x14ac:dyDescent="0.25">
      <c r="A733" s="16"/>
      <c r="B733" s="17"/>
      <c r="C733" s="2"/>
      <c r="D733" s="2"/>
      <c r="E733" s="2"/>
      <c r="F733" s="2"/>
      <c r="G733" s="2"/>
      <c r="H733" s="2"/>
      <c r="I733" s="5"/>
    </row>
    <row r="734" spans="1:9" ht="17.399999999999999" x14ac:dyDescent="0.25">
      <c r="A734" s="16"/>
      <c r="B734" s="17"/>
      <c r="C734" s="2"/>
      <c r="D734" s="2"/>
      <c r="E734" s="2"/>
      <c r="F734" s="2"/>
      <c r="G734" s="2"/>
      <c r="H734" s="2"/>
      <c r="I734" s="5"/>
    </row>
    <row r="735" spans="1:9" ht="17.399999999999999" x14ac:dyDescent="0.25">
      <c r="A735" s="16"/>
      <c r="B735" s="17"/>
      <c r="C735" s="2"/>
      <c r="D735" s="2"/>
      <c r="E735" s="2"/>
      <c r="F735" s="2"/>
      <c r="G735" s="2"/>
      <c r="H735" s="2"/>
      <c r="I735" s="5"/>
    </row>
    <row r="736" spans="1:9" ht="17.399999999999999" x14ac:dyDescent="0.25">
      <c r="A736" s="16"/>
      <c r="B736" s="17"/>
      <c r="C736" s="2"/>
      <c r="D736" s="2"/>
      <c r="E736" s="2"/>
      <c r="F736" s="2"/>
      <c r="G736" s="2"/>
      <c r="H736" s="2"/>
      <c r="I736" s="5"/>
    </row>
    <row r="737" spans="1:9" ht="17.399999999999999" x14ac:dyDescent="0.25">
      <c r="A737" s="16"/>
      <c r="B737" s="17"/>
      <c r="C737" s="2"/>
      <c r="D737" s="2"/>
      <c r="E737" s="2"/>
      <c r="F737" s="2"/>
      <c r="G737" s="2"/>
      <c r="H737" s="2"/>
      <c r="I737" s="5"/>
    </row>
    <row r="738" spans="1:9" ht="17.399999999999999" x14ac:dyDescent="0.25">
      <c r="A738" s="16"/>
      <c r="B738" s="17"/>
      <c r="C738" s="2"/>
      <c r="D738" s="2"/>
      <c r="E738" s="2"/>
      <c r="F738" s="2"/>
      <c r="G738" s="2"/>
      <c r="H738" s="2"/>
      <c r="I738" s="5"/>
    </row>
    <row r="739" spans="1:9" ht="17.399999999999999" x14ac:dyDescent="0.25">
      <c r="A739" s="16"/>
      <c r="B739" s="17"/>
      <c r="C739" s="2"/>
      <c r="D739" s="2"/>
      <c r="E739" s="2"/>
      <c r="F739" s="2"/>
      <c r="G739" s="2"/>
      <c r="H739" s="2"/>
      <c r="I739" s="5"/>
    </row>
    <row r="740" spans="1:9" ht="17.399999999999999" x14ac:dyDescent="0.25">
      <c r="A740" s="16"/>
      <c r="B740" s="17"/>
      <c r="C740" s="2"/>
      <c r="D740" s="2"/>
      <c r="E740" s="2"/>
      <c r="F740" s="2"/>
      <c r="G740" s="2"/>
      <c r="H740" s="2"/>
      <c r="I740" s="5"/>
    </row>
    <row r="741" spans="1:9" ht="17.399999999999999" x14ac:dyDescent="0.25">
      <c r="A741" s="16"/>
      <c r="B741" s="17"/>
      <c r="C741" s="2"/>
      <c r="D741" s="2"/>
      <c r="E741" s="2"/>
      <c r="F741" s="2"/>
      <c r="G741" s="2"/>
      <c r="H741" s="2"/>
      <c r="I741" s="5"/>
    </row>
    <row r="742" spans="1:9" ht="17.399999999999999" x14ac:dyDescent="0.25">
      <c r="A742" s="16"/>
      <c r="B742" s="17"/>
      <c r="C742" s="2"/>
      <c r="D742" s="2"/>
      <c r="E742" s="2"/>
      <c r="F742" s="2"/>
      <c r="G742" s="2"/>
      <c r="H742" s="2"/>
      <c r="I742" s="5"/>
    </row>
    <row r="743" spans="1:9" ht="17.399999999999999" x14ac:dyDescent="0.25">
      <c r="A743" s="16"/>
      <c r="B743" s="17"/>
      <c r="C743" s="2"/>
      <c r="D743" s="2"/>
      <c r="E743" s="2"/>
      <c r="F743" s="2"/>
      <c r="G743" s="2"/>
      <c r="H743" s="2"/>
      <c r="I743" s="5"/>
    </row>
    <row r="744" spans="1:9" ht="17.399999999999999" x14ac:dyDescent="0.25">
      <c r="A744" s="16"/>
      <c r="B744" s="17"/>
      <c r="C744" s="2"/>
      <c r="D744" s="2"/>
      <c r="E744" s="2"/>
      <c r="F744" s="2"/>
      <c r="G744" s="2"/>
      <c r="H744" s="2"/>
      <c r="I744" s="5"/>
    </row>
    <row r="745" spans="1:9" ht="17.399999999999999" x14ac:dyDescent="0.25">
      <c r="A745" s="16"/>
      <c r="B745" s="17"/>
      <c r="C745" s="2"/>
      <c r="D745" s="2"/>
      <c r="E745" s="2"/>
      <c r="F745" s="2"/>
      <c r="G745" s="2"/>
      <c r="H745" s="2"/>
      <c r="I745" s="5"/>
    </row>
    <row r="746" spans="1:9" ht="17.399999999999999" x14ac:dyDescent="0.25">
      <c r="A746" s="16"/>
      <c r="B746" s="17"/>
      <c r="C746" s="2"/>
      <c r="D746" s="2"/>
      <c r="E746" s="2"/>
      <c r="F746" s="2"/>
      <c r="G746" s="2"/>
      <c r="H746" s="2"/>
      <c r="I746" s="5"/>
    </row>
    <row r="747" spans="1:9" ht="17.399999999999999" x14ac:dyDescent="0.25">
      <c r="A747" s="16"/>
      <c r="B747" s="17"/>
      <c r="C747" s="2"/>
      <c r="D747" s="2"/>
      <c r="E747" s="2"/>
      <c r="F747" s="2"/>
      <c r="G747" s="2"/>
      <c r="H747" s="2"/>
      <c r="I747" s="5"/>
    </row>
    <row r="748" spans="1:9" ht="17.399999999999999" x14ac:dyDescent="0.25">
      <c r="A748" s="16"/>
      <c r="B748" s="17"/>
      <c r="C748" s="2"/>
      <c r="D748" s="2"/>
      <c r="E748" s="2"/>
      <c r="F748" s="2"/>
      <c r="G748" s="2"/>
      <c r="H748" s="2"/>
      <c r="I748" s="5"/>
    </row>
    <row r="749" spans="1:9" ht="17.399999999999999" x14ac:dyDescent="0.25">
      <c r="A749" s="16"/>
      <c r="B749" s="17"/>
      <c r="C749" s="2"/>
      <c r="D749" s="2"/>
      <c r="E749" s="2"/>
      <c r="F749" s="2"/>
      <c r="G749" s="2"/>
      <c r="H749" s="2"/>
      <c r="I749" s="5"/>
    </row>
    <row r="750" spans="1:9" ht="17.399999999999999" x14ac:dyDescent="0.25">
      <c r="A750" s="16"/>
      <c r="B750" s="17"/>
      <c r="C750" s="2"/>
      <c r="D750" s="2"/>
      <c r="E750" s="2"/>
      <c r="F750" s="2"/>
      <c r="G750" s="2"/>
      <c r="H750" s="2"/>
      <c r="I750" s="5"/>
    </row>
    <row r="751" spans="1:9" ht="17.399999999999999" x14ac:dyDescent="0.25">
      <c r="A751" s="16"/>
      <c r="B751" s="17"/>
      <c r="C751" s="2"/>
      <c r="D751" s="2"/>
      <c r="E751" s="2"/>
      <c r="F751" s="2"/>
      <c r="G751" s="2"/>
      <c r="H751" s="2"/>
      <c r="I751" s="5"/>
    </row>
    <row r="752" spans="1:9" ht="17.399999999999999" x14ac:dyDescent="0.25">
      <c r="A752" s="16"/>
      <c r="B752" s="17"/>
      <c r="C752" s="2"/>
      <c r="D752" s="2"/>
      <c r="E752" s="2"/>
      <c r="F752" s="2"/>
      <c r="G752" s="2"/>
      <c r="H752" s="2"/>
      <c r="I752" s="5"/>
    </row>
    <row r="753" spans="1:9" ht="17.399999999999999" x14ac:dyDescent="0.25">
      <c r="A753" s="16"/>
      <c r="B753" s="17"/>
      <c r="C753" s="2"/>
      <c r="D753" s="2"/>
      <c r="E753" s="2"/>
      <c r="F753" s="2"/>
      <c r="G753" s="2"/>
      <c r="H753" s="2"/>
      <c r="I753" s="5"/>
    </row>
    <row r="754" spans="1:9" ht="17.399999999999999" x14ac:dyDescent="0.25">
      <c r="A754" s="16"/>
      <c r="B754" s="17"/>
      <c r="C754" s="2"/>
      <c r="D754" s="2"/>
      <c r="E754" s="2"/>
      <c r="F754" s="2"/>
      <c r="G754" s="2"/>
      <c r="H754" s="2"/>
      <c r="I754" s="5"/>
    </row>
    <row r="755" spans="1:9" ht="17.399999999999999" x14ac:dyDescent="0.25">
      <c r="A755" s="16"/>
      <c r="B755" s="17"/>
      <c r="C755" s="2"/>
      <c r="D755" s="2"/>
      <c r="E755" s="2"/>
      <c r="F755" s="2"/>
      <c r="G755" s="2"/>
      <c r="H755" s="2"/>
      <c r="I755" s="5"/>
    </row>
    <row r="756" spans="1:9" ht="17.399999999999999" x14ac:dyDescent="0.25">
      <c r="A756" s="16"/>
      <c r="B756" s="17"/>
      <c r="C756" s="2"/>
      <c r="D756" s="2"/>
      <c r="E756" s="2"/>
      <c r="F756" s="2"/>
      <c r="G756" s="2"/>
      <c r="H756" s="2"/>
      <c r="I756" s="5"/>
    </row>
    <row r="757" spans="1:9" ht="17.399999999999999" x14ac:dyDescent="0.25">
      <c r="A757" s="16"/>
      <c r="B757" s="17"/>
      <c r="C757" s="2"/>
      <c r="D757" s="2"/>
      <c r="E757" s="2"/>
      <c r="F757" s="2"/>
      <c r="G757" s="2"/>
      <c r="H757" s="2"/>
      <c r="I757" s="5"/>
    </row>
    <row r="758" spans="1:9" ht="17.399999999999999" x14ac:dyDescent="0.25">
      <c r="A758" s="16"/>
      <c r="B758" s="17"/>
      <c r="C758" s="2"/>
      <c r="D758" s="2"/>
      <c r="E758" s="2"/>
      <c r="F758" s="2"/>
      <c r="G758" s="2"/>
      <c r="H758" s="2"/>
      <c r="I758" s="5"/>
    </row>
    <row r="759" spans="1:9" ht="17.399999999999999" x14ac:dyDescent="0.25">
      <c r="A759" s="16"/>
      <c r="B759" s="17"/>
      <c r="C759" s="2"/>
      <c r="D759" s="2"/>
      <c r="E759" s="2"/>
      <c r="F759" s="2"/>
      <c r="G759" s="2"/>
      <c r="H759" s="2"/>
      <c r="I759" s="5"/>
    </row>
    <row r="760" spans="1:9" ht="17.399999999999999" x14ac:dyDescent="0.25">
      <c r="A760" s="16"/>
      <c r="B760" s="17"/>
      <c r="C760" s="2"/>
      <c r="D760" s="2"/>
      <c r="E760" s="2"/>
      <c r="F760" s="2"/>
      <c r="G760" s="2"/>
      <c r="H760" s="2"/>
      <c r="I760" s="5"/>
    </row>
    <row r="761" spans="1:9" ht="17.399999999999999" x14ac:dyDescent="0.25">
      <c r="A761" s="16"/>
      <c r="B761" s="17"/>
      <c r="C761" s="2"/>
      <c r="D761" s="2"/>
      <c r="E761" s="2"/>
      <c r="F761" s="2"/>
      <c r="G761" s="2"/>
      <c r="H761" s="2"/>
      <c r="I761" s="5"/>
    </row>
    <row r="762" spans="1:9" ht="17.399999999999999" x14ac:dyDescent="0.25">
      <c r="A762" s="16"/>
      <c r="B762" s="17"/>
      <c r="C762" s="2"/>
      <c r="D762" s="2"/>
      <c r="E762" s="2"/>
      <c r="F762" s="2"/>
      <c r="G762" s="2"/>
      <c r="H762" s="2"/>
      <c r="I762" s="5"/>
    </row>
    <row r="763" spans="1:9" ht="17.399999999999999" x14ac:dyDescent="0.25">
      <c r="A763" s="16"/>
      <c r="B763" s="17"/>
      <c r="C763" s="2"/>
      <c r="D763" s="2"/>
      <c r="E763" s="2"/>
      <c r="F763" s="2"/>
      <c r="G763" s="2"/>
      <c r="H763" s="2"/>
      <c r="I763" s="5"/>
    </row>
    <row r="764" spans="1:9" ht="17.399999999999999" x14ac:dyDescent="0.25">
      <c r="A764" s="16"/>
      <c r="B764" s="17"/>
      <c r="C764" s="2"/>
      <c r="D764" s="2"/>
      <c r="E764" s="2"/>
      <c r="F764" s="2"/>
      <c r="G764" s="2"/>
      <c r="H764" s="2"/>
      <c r="I764" s="5"/>
    </row>
    <row r="765" spans="1:9" ht="17.399999999999999" x14ac:dyDescent="0.25">
      <c r="A765" s="16"/>
      <c r="B765" s="17"/>
      <c r="C765" s="2"/>
      <c r="D765" s="2"/>
      <c r="E765" s="2"/>
      <c r="F765" s="2"/>
      <c r="G765" s="2"/>
      <c r="H765" s="2"/>
      <c r="I765" s="5"/>
    </row>
    <row r="766" spans="1:9" ht="17.399999999999999" x14ac:dyDescent="0.25">
      <c r="A766" s="16"/>
      <c r="B766" s="17"/>
      <c r="C766" s="2"/>
      <c r="D766" s="2"/>
      <c r="E766" s="2"/>
      <c r="F766" s="2"/>
      <c r="G766" s="2"/>
      <c r="H766" s="2"/>
      <c r="I766" s="5"/>
    </row>
    <row r="767" spans="1:9" ht="17.399999999999999" x14ac:dyDescent="0.25">
      <c r="A767" s="16"/>
      <c r="B767" s="17"/>
      <c r="C767" s="2"/>
      <c r="D767" s="2"/>
      <c r="E767" s="2"/>
      <c r="F767" s="2"/>
      <c r="G767" s="2"/>
      <c r="H767" s="2"/>
      <c r="I767" s="5"/>
    </row>
    <row r="768" spans="1:9" ht="17.399999999999999" x14ac:dyDescent="0.25">
      <c r="A768" s="16"/>
      <c r="B768" s="17"/>
      <c r="C768" s="2"/>
      <c r="D768" s="2"/>
      <c r="E768" s="2"/>
      <c r="F768" s="2"/>
      <c r="G768" s="2"/>
      <c r="H768" s="2"/>
      <c r="I768" s="5"/>
    </row>
    <row r="769" spans="1:9" ht="17.399999999999999" x14ac:dyDescent="0.25">
      <c r="A769" s="16"/>
      <c r="B769" s="17"/>
      <c r="C769" s="2"/>
      <c r="D769" s="2"/>
      <c r="E769" s="2"/>
      <c r="F769" s="2"/>
      <c r="G769" s="2"/>
      <c r="H769" s="2"/>
      <c r="I769" s="5"/>
    </row>
    <row r="770" spans="1:9" ht="17.399999999999999" x14ac:dyDescent="0.25">
      <c r="A770" s="16"/>
      <c r="B770" s="17"/>
      <c r="C770" s="2"/>
      <c r="D770" s="2"/>
      <c r="E770" s="2"/>
      <c r="F770" s="2"/>
      <c r="G770" s="2"/>
      <c r="H770" s="2"/>
      <c r="I770" s="5"/>
    </row>
    <row r="771" spans="1:9" ht="17.399999999999999" x14ac:dyDescent="0.25">
      <c r="A771" s="16"/>
      <c r="B771" s="17"/>
      <c r="C771" s="2"/>
      <c r="D771" s="2"/>
      <c r="E771" s="2"/>
      <c r="F771" s="2"/>
      <c r="G771" s="2"/>
      <c r="H771" s="2"/>
      <c r="I771" s="5"/>
    </row>
    <row r="772" spans="1:9" ht="17.399999999999999" x14ac:dyDescent="0.25">
      <c r="A772" s="16"/>
      <c r="B772" s="17"/>
      <c r="C772" s="2"/>
      <c r="D772" s="2"/>
      <c r="E772" s="2"/>
      <c r="F772" s="2"/>
      <c r="G772" s="2"/>
      <c r="H772" s="2"/>
      <c r="I772" s="5"/>
    </row>
    <row r="773" spans="1:9" ht="17.399999999999999" x14ac:dyDescent="0.25">
      <c r="A773" s="16"/>
      <c r="B773" s="17"/>
      <c r="C773" s="2"/>
      <c r="D773" s="2"/>
      <c r="E773" s="2"/>
      <c r="F773" s="2"/>
      <c r="G773" s="2"/>
      <c r="H773" s="2"/>
      <c r="I773" s="5"/>
    </row>
    <row r="774" spans="1:9" ht="17.399999999999999" x14ac:dyDescent="0.25">
      <c r="A774" s="16"/>
      <c r="B774" s="17"/>
      <c r="C774" s="2"/>
      <c r="D774" s="2"/>
      <c r="E774" s="2"/>
      <c r="F774" s="2"/>
      <c r="G774" s="2"/>
      <c r="H774" s="2"/>
      <c r="I774" s="5"/>
    </row>
    <row r="775" spans="1:9" ht="17.399999999999999" x14ac:dyDescent="0.25">
      <c r="A775" s="16"/>
      <c r="B775" s="17"/>
      <c r="C775" s="2"/>
      <c r="D775" s="2"/>
      <c r="E775" s="2"/>
      <c r="F775" s="2"/>
      <c r="G775" s="2"/>
      <c r="H775" s="2"/>
      <c r="I775" s="5"/>
    </row>
    <row r="776" spans="1:9" ht="17.399999999999999" x14ac:dyDescent="0.25">
      <c r="A776" s="16"/>
      <c r="B776" s="17"/>
      <c r="C776" s="2"/>
      <c r="D776" s="2"/>
      <c r="E776" s="2"/>
      <c r="F776" s="2"/>
      <c r="G776" s="2"/>
      <c r="H776" s="2"/>
      <c r="I776" s="5"/>
    </row>
    <row r="777" spans="1:9" ht="17.399999999999999" x14ac:dyDescent="0.25">
      <c r="A777" s="16"/>
      <c r="B777" s="17"/>
      <c r="C777" s="2"/>
      <c r="D777" s="2"/>
      <c r="E777" s="2"/>
      <c r="F777" s="2"/>
      <c r="G777" s="2"/>
      <c r="H777" s="2"/>
      <c r="I777" s="5"/>
    </row>
    <row r="778" spans="1:9" ht="17.399999999999999" x14ac:dyDescent="0.25">
      <c r="A778" s="16"/>
      <c r="B778" s="17"/>
      <c r="C778" s="2"/>
      <c r="D778" s="2"/>
      <c r="E778" s="2"/>
      <c r="F778" s="2"/>
      <c r="G778" s="2"/>
      <c r="H778" s="2"/>
      <c r="I778" s="5"/>
    </row>
    <row r="779" spans="1:9" ht="17.399999999999999" x14ac:dyDescent="0.25">
      <c r="A779" s="16"/>
      <c r="B779" s="17"/>
      <c r="C779" s="2"/>
      <c r="D779" s="2"/>
      <c r="E779" s="2"/>
      <c r="F779" s="2"/>
      <c r="G779" s="2"/>
      <c r="H779" s="2"/>
      <c r="I779" s="5"/>
    </row>
    <row r="780" spans="1:9" ht="17.399999999999999" x14ac:dyDescent="0.25">
      <c r="A780" s="16"/>
      <c r="B780" s="17"/>
      <c r="C780" s="2"/>
      <c r="D780" s="2"/>
      <c r="E780" s="2"/>
      <c r="F780" s="2"/>
      <c r="G780" s="2"/>
      <c r="H780" s="2"/>
      <c r="I780" s="5"/>
    </row>
    <row r="781" spans="1:9" ht="17.399999999999999" x14ac:dyDescent="0.25">
      <c r="A781" s="16"/>
      <c r="B781" s="17"/>
      <c r="C781" s="2"/>
      <c r="D781" s="2"/>
      <c r="E781" s="2"/>
      <c r="F781" s="2"/>
      <c r="G781" s="2"/>
      <c r="H781" s="2"/>
      <c r="I781" s="5"/>
    </row>
    <row r="782" spans="1:9" ht="17.399999999999999" x14ac:dyDescent="0.25">
      <c r="A782" s="16"/>
      <c r="B782" s="17"/>
      <c r="C782" s="2"/>
      <c r="D782" s="2"/>
      <c r="E782" s="2"/>
      <c r="F782" s="2"/>
      <c r="G782" s="2"/>
      <c r="H782" s="2"/>
      <c r="I782" s="5"/>
    </row>
    <row r="783" spans="1:9" ht="17.399999999999999" x14ac:dyDescent="0.25">
      <c r="A783" s="16"/>
      <c r="B783" s="17"/>
      <c r="C783" s="2"/>
      <c r="D783" s="2"/>
      <c r="E783" s="2"/>
      <c r="F783" s="2"/>
      <c r="G783" s="2"/>
      <c r="H783" s="2"/>
      <c r="I783" s="5"/>
    </row>
    <row r="784" spans="1:9" ht="17.399999999999999" x14ac:dyDescent="0.25">
      <c r="A784" s="16"/>
      <c r="B784" s="17"/>
      <c r="C784" s="2"/>
      <c r="D784" s="2"/>
      <c r="E784" s="2"/>
      <c r="F784" s="2"/>
      <c r="G784" s="2"/>
      <c r="H784" s="2"/>
      <c r="I784" s="5"/>
    </row>
    <row r="785" spans="1:9" ht="17.399999999999999" x14ac:dyDescent="0.25">
      <c r="A785" s="16"/>
      <c r="B785" s="17"/>
      <c r="C785" s="2"/>
      <c r="D785" s="2"/>
      <c r="E785" s="2"/>
      <c r="F785" s="2"/>
      <c r="G785" s="2"/>
      <c r="H785" s="2"/>
      <c r="I785" s="5"/>
    </row>
    <row r="786" spans="1:9" ht="17.399999999999999" x14ac:dyDescent="0.25">
      <c r="A786" s="16"/>
      <c r="B786" s="17"/>
      <c r="C786" s="2"/>
      <c r="D786" s="2"/>
      <c r="E786" s="2"/>
      <c r="F786" s="2"/>
      <c r="G786" s="2"/>
      <c r="H786" s="2"/>
      <c r="I786" s="5"/>
    </row>
    <row r="787" spans="1:9" ht="17.399999999999999" x14ac:dyDescent="0.25">
      <c r="A787" s="16"/>
      <c r="B787" s="17"/>
      <c r="C787" s="2"/>
      <c r="D787" s="2"/>
      <c r="E787" s="2"/>
      <c r="F787" s="2"/>
      <c r="G787" s="2"/>
      <c r="H787" s="2"/>
      <c r="I787" s="5"/>
    </row>
    <row r="788" spans="1:9" ht="17.399999999999999" x14ac:dyDescent="0.25">
      <c r="A788" s="16"/>
      <c r="B788" s="17"/>
      <c r="C788" s="2"/>
      <c r="D788" s="2"/>
      <c r="E788" s="2"/>
      <c r="F788" s="2"/>
      <c r="G788" s="2"/>
      <c r="H788" s="2"/>
      <c r="I788" s="5"/>
    </row>
    <row r="789" spans="1:9" ht="17.399999999999999" x14ac:dyDescent="0.25">
      <c r="A789" s="16"/>
      <c r="B789" s="17"/>
      <c r="C789" s="2"/>
      <c r="D789" s="2"/>
      <c r="E789" s="2"/>
      <c r="F789" s="2"/>
      <c r="G789" s="2"/>
      <c r="H789" s="2"/>
      <c r="I789" s="5"/>
    </row>
    <row r="790" spans="1:9" ht="17.399999999999999" x14ac:dyDescent="0.25">
      <c r="A790" s="16"/>
      <c r="B790" s="17"/>
      <c r="C790" s="2"/>
      <c r="D790" s="2"/>
      <c r="E790" s="2"/>
      <c r="F790" s="2"/>
      <c r="G790" s="2"/>
      <c r="H790" s="2"/>
      <c r="I790" s="5"/>
    </row>
    <row r="791" spans="1:9" ht="17.399999999999999" x14ac:dyDescent="0.25">
      <c r="A791" s="16"/>
      <c r="B791" s="17"/>
      <c r="C791" s="2"/>
      <c r="D791" s="2"/>
      <c r="E791" s="2"/>
      <c r="F791" s="2"/>
      <c r="G791" s="2"/>
      <c r="H791" s="2"/>
      <c r="I791" s="5"/>
    </row>
    <row r="792" spans="1:9" ht="17.399999999999999" x14ac:dyDescent="0.25">
      <c r="A792" s="16"/>
      <c r="B792" s="17"/>
      <c r="C792" s="2"/>
      <c r="D792" s="2"/>
      <c r="E792" s="2"/>
      <c r="F792" s="2"/>
      <c r="G792" s="2"/>
      <c r="H792" s="2"/>
      <c r="I792" s="5"/>
    </row>
    <row r="793" spans="1:9" ht="17.399999999999999" x14ac:dyDescent="0.25">
      <c r="A793" s="16"/>
      <c r="B793" s="17"/>
      <c r="C793" s="2"/>
      <c r="D793" s="2"/>
      <c r="E793" s="2"/>
      <c r="F793" s="2"/>
      <c r="G793" s="2"/>
      <c r="H793" s="2"/>
      <c r="I793" s="5"/>
    </row>
    <row r="794" spans="1:9" ht="17.399999999999999" x14ac:dyDescent="0.25">
      <c r="A794" s="16"/>
      <c r="B794" s="17"/>
      <c r="C794" s="2"/>
      <c r="D794" s="2"/>
      <c r="E794" s="2"/>
      <c r="F794" s="2"/>
      <c r="G794" s="2"/>
      <c r="H794" s="2"/>
      <c r="I794" s="5"/>
    </row>
    <row r="795" spans="1:9" ht="17.399999999999999" x14ac:dyDescent="0.25">
      <c r="A795" s="16"/>
      <c r="B795" s="17"/>
      <c r="C795" s="2"/>
      <c r="D795" s="2"/>
      <c r="E795" s="2"/>
      <c r="F795" s="2"/>
      <c r="G795" s="2"/>
      <c r="H795" s="2"/>
      <c r="I795" s="5"/>
    </row>
    <row r="796" spans="1:9" ht="17.399999999999999" x14ac:dyDescent="0.25">
      <c r="A796" s="16"/>
      <c r="B796" s="17"/>
      <c r="C796" s="2"/>
      <c r="D796" s="2"/>
      <c r="E796" s="2"/>
      <c r="F796" s="2"/>
      <c r="G796" s="2"/>
      <c r="H796" s="2"/>
      <c r="I796" s="5"/>
    </row>
    <row r="797" spans="1:9" ht="17.399999999999999" x14ac:dyDescent="0.25">
      <c r="A797" s="16"/>
      <c r="B797" s="17"/>
      <c r="C797" s="2"/>
      <c r="D797" s="2"/>
      <c r="E797" s="2"/>
      <c r="F797" s="2"/>
      <c r="G797" s="2"/>
      <c r="H797" s="2"/>
      <c r="I797" s="5"/>
    </row>
    <row r="798" spans="1:9" ht="17.399999999999999" x14ac:dyDescent="0.25">
      <c r="A798" s="16"/>
      <c r="B798" s="17"/>
      <c r="C798" s="2"/>
      <c r="D798" s="2"/>
      <c r="E798" s="2"/>
      <c r="F798" s="2"/>
      <c r="G798" s="2"/>
      <c r="H798" s="2"/>
      <c r="I798" s="5"/>
    </row>
    <row r="799" spans="1:9" ht="17.399999999999999" x14ac:dyDescent="0.25">
      <c r="A799" s="16"/>
      <c r="B799" s="17"/>
      <c r="C799" s="2"/>
      <c r="D799" s="2"/>
      <c r="E799" s="2"/>
      <c r="F799" s="2"/>
      <c r="G799" s="2"/>
      <c r="H799" s="2"/>
      <c r="I799" s="5"/>
    </row>
    <row r="800" spans="1:9" ht="17.399999999999999" x14ac:dyDescent="0.25">
      <c r="A800" s="16"/>
      <c r="B800" s="17"/>
      <c r="C800" s="2"/>
      <c r="D800" s="2"/>
      <c r="E800" s="2"/>
      <c r="F800" s="2"/>
      <c r="G800" s="2"/>
      <c r="H800" s="2"/>
      <c r="I800" s="5"/>
    </row>
    <row r="801" spans="1:9" ht="17.399999999999999" x14ac:dyDescent="0.25">
      <c r="A801" s="16"/>
      <c r="B801" s="17"/>
      <c r="C801" s="2"/>
      <c r="D801" s="2"/>
      <c r="E801" s="2"/>
      <c r="F801" s="2"/>
      <c r="G801" s="2"/>
      <c r="H801" s="2"/>
      <c r="I801" s="5"/>
    </row>
    <row r="802" spans="1:9" ht="17.399999999999999" x14ac:dyDescent="0.25">
      <c r="A802" s="16"/>
      <c r="B802" s="17"/>
      <c r="C802" s="2"/>
      <c r="D802" s="2"/>
      <c r="E802" s="2"/>
      <c r="F802" s="2"/>
      <c r="G802" s="2"/>
      <c r="H802" s="2"/>
      <c r="I802" s="5"/>
    </row>
    <row r="803" spans="1:9" ht="17.399999999999999" x14ac:dyDescent="0.25">
      <c r="A803" s="16"/>
      <c r="B803" s="17"/>
      <c r="C803" s="2"/>
      <c r="D803" s="2"/>
      <c r="E803" s="2"/>
      <c r="F803" s="2"/>
      <c r="G803" s="2"/>
      <c r="H803" s="2"/>
      <c r="I803" s="5"/>
    </row>
    <row r="804" spans="1:9" ht="17.399999999999999" x14ac:dyDescent="0.25">
      <c r="A804" s="16"/>
      <c r="B804" s="17"/>
      <c r="C804" s="2"/>
      <c r="D804" s="2"/>
      <c r="E804" s="2"/>
      <c r="F804" s="2"/>
      <c r="G804" s="2"/>
      <c r="H804" s="2"/>
      <c r="I804" s="5"/>
    </row>
    <row r="805" spans="1:9" ht="17.399999999999999" x14ac:dyDescent="0.25">
      <c r="A805" s="16"/>
      <c r="B805" s="17"/>
      <c r="C805" s="2"/>
      <c r="D805" s="2"/>
      <c r="E805" s="2"/>
      <c r="F805" s="2"/>
      <c r="G805" s="2"/>
      <c r="H805" s="2"/>
      <c r="I805" s="5"/>
    </row>
    <row r="806" spans="1:9" ht="17.399999999999999" x14ac:dyDescent="0.25">
      <c r="A806" s="16"/>
      <c r="B806" s="17"/>
      <c r="C806" s="2"/>
      <c r="D806" s="2"/>
      <c r="E806" s="2"/>
      <c r="F806" s="2"/>
      <c r="G806" s="2"/>
      <c r="H806" s="2"/>
      <c r="I806" s="5"/>
    </row>
    <row r="807" spans="1:9" ht="17.399999999999999" x14ac:dyDescent="0.25">
      <c r="A807" s="16"/>
      <c r="B807" s="17"/>
      <c r="C807" s="2"/>
      <c r="D807" s="2"/>
      <c r="E807" s="2"/>
      <c r="F807" s="2"/>
      <c r="G807" s="2"/>
      <c r="H807" s="2"/>
      <c r="I807" s="5"/>
    </row>
    <row r="808" spans="1:9" ht="17.399999999999999" x14ac:dyDescent="0.25">
      <c r="A808" s="16"/>
      <c r="B808" s="17"/>
      <c r="C808" s="2"/>
      <c r="D808" s="2"/>
      <c r="E808" s="2"/>
      <c r="F808" s="2"/>
      <c r="G808" s="2"/>
      <c r="H808" s="2"/>
      <c r="I808" s="5"/>
    </row>
    <row r="809" spans="1:9" ht="17.399999999999999" x14ac:dyDescent="0.25">
      <c r="A809" s="16"/>
      <c r="B809" s="17"/>
      <c r="C809" s="2"/>
      <c r="D809" s="2"/>
      <c r="E809" s="2"/>
      <c r="F809" s="2"/>
      <c r="G809" s="2"/>
      <c r="H809" s="2"/>
      <c r="I809" s="5"/>
    </row>
    <row r="810" spans="1:9" ht="17.399999999999999" x14ac:dyDescent="0.25">
      <c r="A810" s="16"/>
      <c r="B810" s="17"/>
      <c r="C810" s="2"/>
      <c r="D810" s="2"/>
      <c r="E810" s="2"/>
      <c r="F810" s="2"/>
      <c r="G810" s="2"/>
      <c r="H810" s="2"/>
      <c r="I810" s="5"/>
    </row>
    <row r="811" spans="1:9" ht="17.399999999999999" x14ac:dyDescent="0.25">
      <c r="A811" s="16"/>
      <c r="B811" s="17"/>
      <c r="C811" s="2"/>
      <c r="D811" s="2"/>
      <c r="E811" s="2"/>
      <c r="F811" s="2"/>
      <c r="G811" s="2"/>
      <c r="H811" s="2"/>
      <c r="I811" s="5"/>
    </row>
    <row r="812" spans="1:9" ht="17.399999999999999" x14ac:dyDescent="0.25">
      <c r="A812" s="16"/>
      <c r="B812" s="17"/>
      <c r="C812" s="2"/>
      <c r="D812" s="2"/>
      <c r="E812" s="2"/>
      <c r="F812" s="2"/>
      <c r="G812" s="2"/>
      <c r="H812" s="2"/>
      <c r="I812" s="5"/>
    </row>
    <row r="813" spans="1:9" ht="17.399999999999999" x14ac:dyDescent="0.25">
      <c r="A813" s="16"/>
      <c r="B813" s="17"/>
      <c r="C813" s="2"/>
      <c r="D813" s="2"/>
      <c r="E813" s="2"/>
      <c r="F813" s="2"/>
      <c r="G813" s="2"/>
      <c r="H813" s="2"/>
      <c r="I813" s="5"/>
    </row>
    <row r="814" spans="1:9" ht="17.399999999999999" x14ac:dyDescent="0.25">
      <c r="A814" s="16"/>
      <c r="B814" s="17"/>
      <c r="C814" s="2"/>
      <c r="D814" s="2"/>
      <c r="E814" s="2"/>
      <c r="F814" s="2"/>
      <c r="G814" s="2"/>
      <c r="H814" s="2"/>
      <c r="I814" s="5"/>
    </row>
    <row r="815" spans="1:9" ht="17.399999999999999" x14ac:dyDescent="0.25">
      <c r="A815" s="16"/>
      <c r="B815" s="17"/>
      <c r="C815" s="2"/>
      <c r="D815" s="2"/>
      <c r="E815" s="2"/>
      <c r="F815" s="2"/>
      <c r="G815" s="2"/>
      <c r="H815" s="2"/>
      <c r="I815" s="5"/>
    </row>
    <row r="816" spans="1:9" ht="17.399999999999999" x14ac:dyDescent="0.25">
      <c r="A816" s="16"/>
      <c r="B816" s="17"/>
      <c r="C816" s="2"/>
      <c r="D816" s="2"/>
      <c r="E816" s="2"/>
      <c r="F816" s="2"/>
      <c r="G816" s="2"/>
      <c r="H816" s="2"/>
      <c r="I816" s="5"/>
    </row>
    <row r="817" spans="1:9" ht="17.399999999999999" x14ac:dyDescent="0.25">
      <c r="A817" s="16"/>
      <c r="B817" s="17"/>
      <c r="C817" s="2"/>
      <c r="D817" s="2"/>
      <c r="E817" s="2"/>
      <c r="F817" s="2"/>
      <c r="G817" s="2"/>
      <c r="H817" s="2"/>
      <c r="I817" s="5"/>
    </row>
    <row r="818" spans="1:9" ht="17.399999999999999" x14ac:dyDescent="0.25">
      <c r="A818" s="16"/>
      <c r="B818" s="17"/>
      <c r="C818" s="2"/>
      <c r="D818" s="2"/>
      <c r="E818" s="2"/>
      <c r="F818" s="2"/>
      <c r="G818" s="2"/>
      <c r="H818" s="2"/>
      <c r="I818" s="5"/>
    </row>
    <row r="819" spans="1:9" ht="17.399999999999999" x14ac:dyDescent="0.25">
      <c r="A819" s="16"/>
      <c r="B819" s="17"/>
      <c r="C819" s="2"/>
      <c r="D819" s="2"/>
      <c r="E819" s="2"/>
      <c r="F819" s="2"/>
      <c r="G819" s="2"/>
      <c r="H819" s="2"/>
      <c r="I819" s="5"/>
    </row>
    <row r="820" spans="1:9" ht="17.399999999999999" x14ac:dyDescent="0.25">
      <c r="A820" s="16"/>
      <c r="B820" s="17"/>
      <c r="C820" s="2"/>
      <c r="D820" s="2"/>
      <c r="E820" s="2"/>
      <c r="F820" s="2"/>
      <c r="G820" s="2"/>
      <c r="H820" s="2"/>
      <c r="I820" s="5"/>
    </row>
    <row r="821" spans="1:9" ht="17.399999999999999" x14ac:dyDescent="0.25">
      <c r="A821" s="16"/>
      <c r="B821" s="17"/>
      <c r="C821" s="2"/>
      <c r="D821" s="2"/>
      <c r="E821" s="2"/>
      <c r="F821" s="2"/>
      <c r="G821" s="2"/>
      <c r="H821" s="2"/>
      <c r="I821" s="5"/>
    </row>
    <row r="822" spans="1:9" ht="17.399999999999999" x14ac:dyDescent="0.25">
      <c r="A822" s="16"/>
      <c r="B822" s="17"/>
      <c r="C822" s="2"/>
      <c r="D822" s="2"/>
      <c r="E822" s="2"/>
      <c r="F822" s="2"/>
      <c r="G822" s="2"/>
      <c r="H822" s="2"/>
      <c r="I822" s="5"/>
    </row>
    <row r="823" spans="1:9" ht="17.399999999999999" x14ac:dyDescent="0.25">
      <c r="A823" s="16"/>
      <c r="B823" s="17"/>
      <c r="C823" s="2"/>
      <c r="D823" s="2"/>
      <c r="E823" s="2"/>
      <c r="F823" s="2"/>
      <c r="G823" s="2"/>
      <c r="H823" s="2"/>
      <c r="I823" s="5"/>
    </row>
    <row r="824" spans="1:9" ht="17.399999999999999" x14ac:dyDescent="0.25">
      <c r="A824" s="16"/>
      <c r="B824" s="17"/>
      <c r="C824" s="2"/>
      <c r="D824" s="2"/>
      <c r="E824" s="2"/>
      <c r="F824" s="2"/>
      <c r="G824" s="2"/>
      <c r="H824" s="2"/>
      <c r="I824" s="5"/>
    </row>
    <row r="825" spans="1:9" ht="17.399999999999999" x14ac:dyDescent="0.25">
      <c r="A825" s="16"/>
      <c r="B825" s="17"/>
      <c r="C825" s="2"/>
      <c r="D825" s="2"/>
      <c r="E825" s="2"/>
      <c r="F825" s="2"/>
      <c r="G825" s="2"/>
      <c r="H825" s="2"/>
      <c r="I825" s="5"/>
    </row>
    <row r="826" spans="1:9" ht="17.399999999999999" x14ac:dyDescent="0.25">
      <c r="A826" s="16"/>
      <c r="B826" s="17"/>
      <c r="C826" s="2"/>
      <c r="D826" s="2"/>
      <c r="E826" s="2"/>
      <c r="F826" s="2"/>
      <c r="G826" s="2"/>
      <c r="H826" s="2"/>
      <c r="I826" s="5"/>
    </row>
    <row r="827" spans="1:9" ht="17.399999999999999" x14ac:dyDescent="0.25">
      <c r="A827" s="16"/>
      <c r="B827" s="17"/>
      <c r="C827" s="2"/>
      <c r="D827" s="2"/>
      <c r="E827" s="2"/>
      <c r="F827" s="2"/>
      <c r="G827" s="2"/>
      <c r="H827" s="2"/>
      <c r="I827" s="5"/>
    </row>
    <row r="828" spans="1:9" ht="17.399999999999999" x14ac:dyDescent="0.25">
      <c r="A828" s="16"/>
      <c r="B828" s="17"/>
      <c r="C828" s="2"/>
      <c r="D828" s="2"/>
      <c r="E828" s="2"/>
      <c r="F828" s="2"/>
      <c r="G828" s="2"/>
      <c r="H828" s="2"/>
      <c r="I828" s="5"/>
    </row>
    <row r="829" spans="1:9" ht="17.399999999999999" x14ac:dyDescent="0.25">
      <c r="A829" s="16"/>
      <c r="B829" s="17"/>
      <c r="C829" s="2"/>
      <c r="D829" s="2"/>
      <c r="E829" s="2"/>
      <c r="F829" s="2"/>
      <c r="G829" s="2"/>
      <c r="H829" s="2"/>
      <c r="I829" s="5"/>
    </row>
    <row r="830" spans="1:9" ht="17.399999999999999" x14ac:dyDescent="0.25">
      <c r="A830" s="16"/>
      <c r="B830" s="17"/>
      <c r="C830" s="2"/>
      <c r="D830" s="2"/>
      <c r="E830" s="2"/>
      <c r="F830" s="2"/>
      <c r="G830" s="2"/>
      <c r="H830" s="2"/>
      <c r="I830" s="5"/>
    </row>
    <row r="831" spans="1:9" ht="17.399999999999999" x14ac:dyDescent="0.25">
      <c r="A831" s="16"/>
      <c r="B831" s="17"/>
      <c r="C831" s="2"/>
      <c r="D831" s="2"/>
      <c r="E831" s="2"/>
      <c r="F831" s="2"/>
      <c r="G831" s="2"/>
      <c r="H831" s="2"/>
      <c r="I831" s="5"/>
    </row>
    <row r="832" spans="1:9" ht="17.399999999999999" x14ac:dyDescent="0.25">
      <c r="A832" s="16"/>
      <c r="B832" s="17"/>
      <c r="C832" s="2"/>
      <c r="D832" s="2"/>
      <c r="E832" s="2"/>
      <c r="F832" s="2"/>
      <c r="G832" s="2"/>
      <c r="H832" s="2"/>
      <c r="I832" s="5"/>
    </row>
    <row r="833" spans="1:9" ht="17.399999999999999" x14ac:dyDescent="0.25">
      <c r="A833" s="16"/>
      <c r="B833" s="17"/>
      <c r="C833" s="2"/>
      <c r="D833" s="2"/>
      <c r="E833" s="2"/>
      <c r="F833" s="2"/>
      <c r="G833" s="2"/>
      <c r="H833" s="2"/>
      <c r="I833" s="5"/>
    </row>
    <row r="834" spans="1:9" ht="17.399999999999999" x14ac:dyDescent="0.25">
      <c r="A834" s="16"/>
      <c r="B834" s="17"/>
      <c r="C834" s="2"/>
      <c r="D834" s="2"/>
      <c r="E834" s="2"/>
      <c r="F834" s="2"/>
      <c r="G834" s="2"/>
      <c r="H834" s="2"/>
      <c r="I834" s="5"/>
    </row>
    <row r="835" spans="1:9" ht="17.399999999999999" x14ac:dyDescent="0.25">
      <c r="A835" s="16"/>
      <c r="B835" s="17"/>
      <c r="C835" s="2"/>
      <c r="D835" s="2"/>
      <c r="E835" s="2"/>
      <c r="F835" s="2"/>
      <c r="G835" s="2"/>
      <c r="H835" s="2"/>
      <c r="I835" s="5"/>
    </row>
    <row r="836" spans="1:9" ht="17.399999999999999" x14ac:dyDescent="0.25">
      <c r="A836" s="16"/>
      <c r="B836" s="17"/>
      <c r="C836" s="2"/>
      <c r="D836" s="2"/>
      <c r="E836" s="2"/>
      <c r="F836" s="2"/>
      <c r="G836" s="2"/>
      <c r="H836" s="2"/>
      <c r="I836" s="5"/>
    </row>
    <row r="837" spans="1:9" ht="17.399999999999999" x14ac:dyDescent="0.25">
      <c r="A837" s="16"/>
      <c r="B837" s="17"/>
      <c r="C837" s="2"/>
      <c r="D837" s="2"/>
      <c r="E837" s="2"/>
      <c r="F837" s="2"/>
      <c r="G837" s="2"/>
      <c r="H837" s="2"/>
      <c r="I837" s="5"/>
    </row>
    <row r="838" spans="1:9" ht="17.399999999999999" x14ac:dyDescent="0.25">
      <c r="A838" s="16"/>
      <c r="B838" s="17"/>
      <c r="C838" s="2"/>
      <c r="D838" s="2"/>
      <c r="E838" s="2"/>
      <c r="F838" s="2"/>
      <c r="G838" s="2"/>
      <c r="H838" s="2"/>
      <c r="I838" s="5"/>
    </row>
    <row r="839" spans="1:9" ht="17.399999999999999" x14ac:dyDescent="0.25">
      <c r="A839" s="16"/>
      <c r="B839" s="17"/>
      <c r="C839" s="2"/>
      <c r="D839" s="2"/>
      <c r="E839" s="2"/>
      <c r="F839" s="2"/>
      <c r="G839" s="2"/>
      <c r="H839" s="2"/>
      <c r="I839" s="5"/>
    </row>
    <row r="840" spans="1:9" ht="17.399999999999999" x14ac:dyDescent="0.25">
      <c r="A840" s="16"/>
      <c r="B840" s="17"/>
      <c r="C840" s="2"/>
      <c r="D840" s="2"/>
      <c r="E840" s="2"/>
      <c r="F840" s="2"/>
      <c r="G840" s="2"/>
      <c r="H840" s="2"/>
      <c r="I840" s="5"/>
    </row>
    <row r="841" spans="1:9" ht="17.399999999999999" x14ac:dyDescent="0.25">
      <c r="A841" s="16"/>
      <c r="B841" s="17"/>
      <c r="C841" s="2"/>
      <c r="D841" s="2"/>
      <c r="E841" s="2"/>
      <c r="F841" s="2"/>
      <c r="G841" s="2"/>
      <c r="H841" s="2"/>
      <c r="I841" s="5"/>
    </row>
    <row r="842" spans="1:9" ht="17.399999999999999" x14ac:dyDescent="0.25">
      <c r="A842" s="16"/>
      <c r="B842" s="17"/>
      <c r="C842" s="2"/>
      <c r="D842" s="2"/>
      <c r="E842" s="2"/>
      <c r="F842" s="2"/>
      <c r="G842" s="2"/>
      <c r="H842" s="2"/>
      <c r="I842" s="5"/>
    </row>
    <row r="843" spans="1:9" ht="17.399999999999999" x14ac:dyDescent="0.25">
      <c r="A843" s="16"/>
      <c r="B843" s="17"/>
      <c r="C843" s="2"/>
      <c r="D843" s="2"/>
      <c r="E843" s="2"/>
      <c r="F843" s="2"/>
      <c r="G843" s="2"/>
      <c r="H843" s="2"/>
      <c r="I843" s="5"/>
    </row>
    <row r="844" spans="1:9" ht="17.399999999999999" x14ac:dyDescent="0.25">
      <c r="A844" s="16"/>
      <c r="B844" s="17"/>
      <c r="C844" s="2"/>
      <c r="D844" s="2"/>
      <c r="E844" s="2"/>
      <c r="F844" s="2"/>
      <c r="G844" s="2"/>
      <c r="H844" s="2"/>
      <c r="I844" s="5"/>
    </row>
    <row r="845" spans="1:9" ht="17.399999999999999" x14ac:dyDescent="0.25">
      <c r="A845" s="16"/>
      <c r="B845" s="17"/>
      <c r="C845" s="2"/>
      <c r="D845" s="2"/>
      <c r="E845" s="2"/>
      <c r="F845" s="2"/>
      <c r="G845" s="2"/>
      <c r="H845" s="2"/>
      <c r="I845" s="5"/>
    </row>
    <row r="846" spans="1:9" ht="17.399999999999999" x14ac:dyDescent="0.25">
      <c r="A846" s="16"/>
      <c r="B846" s="17"/>
      <c r="C846" s="2"/>
      <c r="D846" s="2"/>
      <c r="E846" s="2"/>
      <c r="F846" s="2"/>
      <c r="G846" s="2"/>
      <c r="H846" s="2"/>
      <c r="I846" s="5"/>
    </row>
    <row r="847" spans="1:9" ht="17.399999999999999" x14ac:dyDescent="0.25">
      <c r="A847" s="16"/>
      <c r="B847" s="17"/>
      <c r="C847" s="2"/>
      <c r="D847" s="2"/>
      <c r="E847" s="2"/>
      <c r="F847" s="2"/>
      <c r="G847" s="2"/>
      <c r="H847" s="2"/>
      <c r="I847" s="5"/>
    </row>
    <row r="848" spans="1:9" ht="17.399999999999999" x14ac:dyDescent="0.25">
      <c r="A848" s="16"/>
      <c r="B848" s="17"/>
      <c r="C848" s="2"/>
      <c r="D848" s="2"/>
      <c r="E848" s="2"/>
      <c r="F848" s="2"/>
      <c r="G848" s="2"/>
      <c r="H848" s="2"/>
      <c r="I848" s="5"/>
    </row>
    <row r="849" spans="1:9" ht="17.399999999999999" x14ac:dyDescent="0.25">
      <c r="A849" s="16"/>
      <c r="B849" s="17"/>
      <c r="C849" s="2"/>
      <c r="D849" s="2"/>
      <c r="E849" s="2"/>
      <c r="F849" s="2"/>
      <c r="G849" s="2"/>
      <c r="H849" s="2"/>
      <c r="I849" s="5"/>
    </row>
    <row r="850" spans="1:9" ht="17.399999999999999" x14ac:dyDescent="0.25">
      <c r="A850" s="16"/>
      <c r="B850" s="17"/>
      <c r="C850" s="2"/>
      <c r="D850" s="2"/>
      <c r="E850" s="2"/>
      <c r="F850" s="2"/>
      <c r="G850" s="2"/>
      <c r="H850" s="2"/>
      <c r="I850" s="5"/>
    </row>
    <row r="851" spans="1:9" ht="17.399999999999999" x14ac:dyDescent="0.25">
      <c r="A851" s="16"/>
      <c r="B851" s="17"/>
      <c r="C851" s="2"/>
      <c r="D851" s="2"/>
      <c r="E851" s="2"/>
      <c r="F851" s="2"/>
      <c r="G851" s="2"/>
      <c r="H851" s="2"/>
      <c r="I851" s="5"/>
    </row>
    <row r="852" spans="1:9" ht="17.399999999999999" x14ac:dyDescent="0.25">
      <c r="A852" s="16"/>
      <c r="B852" s="17"/>
      <c r="C852" s="2"/>
      <c r="D852" s="2"/>
      <c r="E852" s="2"/>
      <c r="F852" s="2"/>
      <c r="G852" s="2"/>
      <c r="H852" s="2"/>
      <c r="I852" s="5"/>
    </row>
    <row r="853" spans="1:9" ht="17.399999999999999" x14ac:dyDescent="0.25">
      <c r="A853" s="16"/>
      <c r="B853" s="17"/>
      <c r="C853" s="2"/>
      <c r="D853" s="2"/>
      <c r="E853" s="2"/>
      <c r="F853" s="2"/>
      <c r="G853" s="2"/>
      <c r="H853" s="2"/>
      <c r="I853" s="5"/>
    </row>
    <row r="854" spans="1:9" ht="17.399999999999999" x14ac:dyDescent="0.25">
      <c r="A854" s="16"/>
      <c r="B854" s="17"/>
      <c r="C854" s="2"/>
      <c r="D854" s="2"/>
      <c r="E854" s="2"/>
      <c r="F854" s="2"/>
      <c r="G854" s="2"/>
      <c r="H854" s="2"/>
      <c r="I854" s="5"/>
    </row>
    <row r="855" spans="1:9" ht="17.399999999999999" x14ac:dyDescent="0.25">
      <c r="A855" s="16"/>
      <c r="B855" s="17"/>
      <c r="C855" s="2"/>
      <c r="D855" s="2"/>
      <c r="E855" s="2"/>
      <c r="F855" s="2"/>
      <c r="G855" s="2"/>
      <c r="H855" s="2"/>
      <c r="I855" s="5"/>
    </row>
    <row r="856" spans="1:9" ht="17.399999999999999" x14ac:dyDescent="0.25">
      <c r="A856" s="16"/>
      <c r="B856" s="17"/>
      <c r="C856" s="2"/>
      <c r="D856" s="2"/>
      <c r="E856" s="2"/>
      <c r="F856" s="2"/>
      <c r="G856" s="2"/>
      <c r="H856" s="2"/>
      <c r="I856" s="5"/>
    </row>
    <row r="857" spans="1:9" ht="17.399999999999999" x14ac:dyDescent="0.25">
      <c r="A857" s="16"/>
      <c r="B857" s="17"/>
      <c r="C857" s="2"/>
      <c r="D857" s="2"/>
      <c r="E857" s="2"/>
      <c r="F857" s="2"/>
      <c r="G857" s="2"/>
      <c r="H857" s="2"/>
      <c r="I857" s="5"/>
    </row>
    <row r="858" spans="1:9" ht="17.399999999999999" x14ac:dyDescent="0.25">
      <c r="A858" s="16"/>
      <c r="B858" s="17"/>
      <c r="C858" s="2"/>
      <c r="D858" s="2"/>
      <c r="E858" s="2"/>
      <c r="F858" s="2"/>
      <c r="G858" s="2"/>
      <c r="H858" s="2"/>
      <c r="I858" s="5"/>
    </row>
    <row r="859" spans="1:9" ht="17.399999999999999" x14ac:dyDescent="0.25">
      <c r="A859" s="16"/>
      <c r="B859" s="17"/>
      <c r="C859" s="2"/>
      <c r="D859" s="2"/>
      <c r="E859" s="2"/>
      <c r="F859" s="2"/>
      <c r="G859" s="2"/>
      <c r="H859" s="2"/>
      <c r="I859" s="5"/>
    </row>
    <row r="860" spans="1:9" ht="17.399999999999999" x14ac:dyDescent="0.25">
      <c r="A860" s="16"/>
      <c r="B860" s="17"/>
      <c r="C860" s="2"/>
      <c r="D860" s="2"/>
      <c r="E860" s="2"/>
      <c r="F860" s="2"/>
      <c r="G860" s="2"/>
      <c r="H860" s="2"/>
      <c r="I860" s="5"/>
    </row>
    <row r="861" spans="1:9" ht="17.399999999999999" x14ac:dyDescent="0.25">
      <c r="A861" s="16"/>
      <c r="B861" s="17"/>
      <c r="C861" s="2"/>
      <c r="D861" s="2"/>
      <c r="E861" s="2"/>
      <c r="F861" s="2"/>
      <c r="G861" s="2"/>
      <c r="H861" s="2"/>
      <c r="I861" s="5"/>
    </row>
    <row r="862" spans="1:9" ht="17.399999999999999" x14ac:dyDescent="0.25">
      <c r="A862" s="16"/>
      <c r="B862" s="17"/>
      <c r="C862" s="2"/>
      <c r="D862" s="2"/>
      <c r="E862" s="2"/>
      <c r="F862" s="2"/>
      <c r="G862" s="2"/>
      <c r="H862" s="2"/>
      <c r="I862" s="5"/>
    </row>
    <row r="863" spans="1:9" ht="17.399999999999999" x14ac:dyDescent="0.25">
      <c r="A863" s="16"/>
      <c r="B863" s="17"/>
      <c r="C863" s="2"/>
      <c r="D863" s="2"/>
      <c r="E863" s="2"/>
      <c r="F863" s="2"/>
      <c r="G863" s="2"/>
      <c r="H863" s="2"/>
      <c r="I863" s="5"/>
    </row>
    <row r="864" spans="1:9" ht="17.399999999999999" x14ac:dyDescent="0.25">
      <c r="A864" s="16"/>
      <c r="B864" s="17"/>
      <c r="C864" s="2"/>
      <c r="D864" s="2"/>
      <c r="E864" s="2"/>
      <c r="F864" s="2"/>
      <c r="G864" s="2"/>
      <c r="H864" s="2"/>
      <c r="I864" s="5"/>
    </row>
    <row r="865" spans="1:9" ht="17.399999999999999" x14ac:dyDescent="0.25">
      <c r="A865" s="16"/>
      <c r="B865" s="17"/>
      <c r="C865" s="2"/>
      <c r="D865" s="2"/>
      <c r="E865" s="2"/>
      <c r="F865" s="2"/>
      <c r="G865" s="2"/>
      <c r="H865" s="2"/>
      <c r="I865" s="5"/>
    </row>
    <row r="866" spans="1:9" ht="17.399999999999999" x14ac:dyDescent="0.25">
      <c r="A866" s="16"/>
      <c r="B866" s="17"/>
      <c r="C866" s="2"/>
      <c r="D866" s="2"/>
      <c r="E866" s="2"/>
      <c r="F866" s="2"/>
      <c r="G866" s="2"/>
      <c r="H866" s="2"/>
      <c r="I866" s="5"/>
    </row>
    <row r="867" spans="1:9" ht="17.399999999999999" x14ac:dyDescent="0.25">
      <c r="A867" s="16"/>
      <c r="B867" s="17"/>
      <c r="C867" s="2"/>
      <c r="D867" s="2"/>
      <c r="E867" s="2"/>
      <c r="F867" s="2"/>
      <c r="G867" s="2"/>
      <c r="H867" s="2"/>
      <c r="I867" s="5"/>
    </row>
    <row r="868" spans="1:9" ht="17.399999999999999" x14ac:dyDescent="0.25">
      <c r="A868" s="16"/>
      <c r="B868" s="17"/>
      <c r="C868" s="2"/>
      <c r="D868" s="2"/>
      <c r="E868" s="2"/>
      <c r="F868" s="2"/>
      <c r="G868" s="2"/>
      <c r="H868" s="2"/>
      <c r="I868" s="5"/>
    </row>
    <row r="869" spans="1:9" ht="17.399999999999999" x14ac:dyDescent="0.25">
      <c r="A869" s="16"/>
      <c r="B869" s="17"/>
      <c r="C869" s="2"/>
      <c r="D869" s="2"/>
      <c r="E869" s="2"/>
      <c r="F869" s="2"/>
      <c r="G869" s="2"/>
      <c r="H869" s="2"/>
      <c r="I869" s="5"/>
    </row>
    <row r="870" spans="1:9" ht="17.399999999999999" x14ac:dyDescent="0.25">
      <c r="A870" s="16"/>
      <c r="B870" s="17"/>
      <c r="C870" s="2"/>
      <c r="D870" s="2"/>
      <c r="E870" s="2"/>
      <c r="F870" s="2"/>
      <c r="G870" s="2"/>
      <c r="H870" s="2"/>
      <c r="I870" s="5"/>
    </row>
    <row r="871" spans="1:9" ht="17.399999999999999" x14ac:dyDescent="0.25">
      <c r="A871" s="16"/>
      <c r="B871" s="17"/>
      <c r="C871" s="2"/>
      <c r="D871" s="2"/>
      <c r="E871" s="2"/>
      <c r="F871" s="2"/>
      <c r="G871" s="2"/>
      <c r="H871" s="2"/>
      <c r="I871" s="5"/>
    </row>
    <row r="872" spans="1:9" ht="17.399999999999999" x14ac:dyDescent="0.25">
      <c r="A872" s="16"/>
      <c r="B872" s="17"/>
      <c r="C872" s="2"/>
      <c r="D872" s="2"/>
      <c r="E872" s="2"/>
      <c r="F872" s="2"/>
      <c r="G872" s="2"/>
      <c r="H872" s="2"/>
      <c r="I872" s="5"/>
    </row>
    <row r="873" spans="1:9" ht="17.399999999999999" x14ac:dyDescent="0.25">
      <c r="A873" s="16"/>
      <c r="B873" s="17"/>
      <c r="C873" s="2"/>
      <c r="D873" s="2"/>
      <c r="E873" s="2"/>
      <c r="F873" s="2"/>
      <c r="G873" s="2"/>
      <c r="H873" s="2"/>
      <c r="I873" s="5"/>
    </row>
    <row r="874" spans="1:9" ht="17.399999999999999" x14ac:dyDescent="0.25">
      <c r="A874" s="16"/>
      <c r="B874" s="17"/>
      <c r="C874" s="2"/>
      <c r="D874" s="2"/>
      <c r="E874" s="2"/>
      <c r="F874" s="2"/>
      <c r="G874" s="2"/>
      <c r="H874" s="2"/>
      <c r="I874" s="5"/>
    </row>
    <row r="875" spans="1:9" ht="17.399999999999999" x14ac:dyDescent="0.25">
      <c r="A875" s="16"/>
      <c r="B875" s="17"/>
      <c r="C875" s="2"/>
      <c r="D875" s="2"/>
      <c r="E875" s="2"/>
      <c r="F875" s="2"/>
      <c r="G875" s="2"/>
      <c r="H875" s="2"/>
      <c r="I875" s="5"/>
    </row>
    <row r="876" spans="1:9" ht="17.399999999999999" x14ac:dyDescent="0.25">
      <c r="A876" s="16"/>
      <c r="B876" s="17"/>
      <c r="C876" s="2"/>
      <c r="D876" s="2"/>
      <c r="E876" s="2"/>
      <c r="F876" s="2"/>
      <c r="G876" s="2"/>
      <c r="H876" s="2"/>
      <c r="I876" s="5"/>
    </row>
    <row r="877" spans="1:9" ht="17.399999999999999" x14ac:dyDescent="0.25">
      <c r="A877" s="16"/>
      <c r="B877" s="17"/>
      <c r="C877" s="2"/>
      <c r="D877" s="2"/>
      <c r="E877" s="2"/>
      <c r="F877" s="2"/>
      <c r="G877" s="2"/>
      <c r="H877" s="2"/>
      <c r="I877" s="5"/>
    </row>
    <row r="878" spans="1:9" ht="17.399999999999999" x14ac:dyDescent="0.25">
      <c r="A878" s="16"/>
      <c r="B878" s="17"/>
      <c r="C878" s="2"/>
      <c r="D878" s="2"/>
      <c r="E878" s="2"/>
      <c r="F878" s="2"/>
      <c r="G878" s="2"/>
      <c r="H878" s="2"/>
      <c r="I878" s="5"/>
    </row>
    <row r="879" spans="1:9" ht="17.399999999999999" x14ac:dyDescent="0.25">
      <c r="A879" s="16"/>
      <c r="B879" s="17"/>
      <c r="C879" s="2"/>
      <c r="D879" s="2"/>
      <c r="E879" s="2"/>
      <c r="F879" s="2"/>
      <c r="G879" s="2"/>
      <c r="H879" s="2"/>
      <c r="I879" s="5"/>
    </row>
    <row r="880" spans="1:9" ht="17.399999999999999" x14ac:dyDescent="0.25">
      <c r="A880" s="16"/>
      <c r="B880" s="17"/>
      <c r="C880" s="2"/>
      <c r="D880" s="2"/>
      <c r="E880" s="2"/>
      <c r="F880" s="2"/>
      <c r="G880" s="2"/>
      <c r="H880" s="2"/>
      <c r="I880" s="5"/>
    </row>
    <row r="881" spans="1:9" ht="17.399999999999999" x14ac:dyDescent="0.25">
      <c r="A881" s="16"/>
      <c r="B881" s="17"/>
      <c r="C881" s="2"/>
      <c r="D881" s="2"/>
      <c r="E881" s="2"/>
      <c r="F881" s="2"/>
      <c r="G881" s="2"/>
      <c r="H881" s="2"/>
      <c r="I881" s="5"/>
    </row>
    <row r="882" spans="1:9" ht="17.399999999999999" x14ac:dyDescent="0.25">
      <c r="A882" s="16"/>
      <c r="B882" s="17"/>
      <c r="C882" s="2"/>
      <c r="D882" s="2"/>
      <c r="E882" s="2"/>
      <c r="F882" s="2"/>
      <c r="G882" s="2"/>
      <c r="H882" s="2"/>
      <c r="I882" s="5"/>
    </row>
    <row r="883" spans="1:9" ht="17.399999999999999" x14ac:dyDescent="0.25">
      <c r="A883" s="16"/>
      <c r="B883" s="17"/>
      <c r="C883" s="2"/>
      <c r="D883" s="2"/>
      <c r="E883" s="2"/>
      <c r="F883" s="2"/>
      <c r="G883" s="2"/>
      <c r="H883" s="2"/>
      <c r="I883" s="5"/>
    </row>
    <row r="884" spans="1:9" ht="17.399999999999999" x14ac:dyDescent="0.25">
      <c r="A884" s="16"/>
      <c r="B884" s="17"/>
      <c r="C884" s="2"/>
      <c r="D884" s="2"/>
      <c r="E884" s="2"/>
      <c r="F884" s="2"/>
      <c r="G884" s="2"/>
      <c r="H884" s="2"/>
      <c r="I884" s="5"/>
    </row>
    <row r="885" spans="1:9" ht="17.399999999999999" x14ac:dyDescent="0.25">
      <c r="A885" s="16"/>
      <c r="B885" s="17"/>
      <c r="C885" s="2"/>
      <c r="D885" s="2"/>
      <c r="E885" s="2"/>
      <c r="F885" s="2"/>
      <c r="G885" s="2"/>
      <c r="H885" s="2"/>
      <c r="I885" s="5"/>
    </row>
    <row r="886" spans="1:9" ht="17.399999999999999" x14ac:dyDescent="0.25">
      <c r="A886" s="16"/>
      <c r="B886" s="17"/>
      <c r="C886" s="2"/>
      <c r="D886" s="2"/>
      <c r="E886" s="2"/>
      <c r="F886" s="2"/>
      <c r="G886" s="2"/>
      <c r="H886" s="2"/>
      <c r="I886" s="5"/>
    </row>
    <row r="887" spans="1:9" ht="17.399999999999999" x14ac:dyDescent="0.25">
      <c r="A887" s="16"/>
      <c r="B887" s="17"/>
      <c r="C887" s="2"/>
      <c r="D887" s="2"/>
      <c r="E887" s="2"/>
      <c r="F887" s="2"/>
      <c r="G887" s="2"/>
      <c r="H887" s="2"/>
      <c r="I887" s="5"/>
    </row>
    <row r="888" spans="1:9" ht="17.399999999999999" x14ac:dyDescent="0.25">
      <c r="A888" s="16"/>
      <c r="B888" s="17"/>
      <c r="C888" s="2"/>
      <c r="D888" s="2"/>
      <c r="E888" s="2"/>
      <c r="F888" s="2"/>
      <c r="G888" s="2"/>
      <c r="H888" s="2"/>
      <c r="I888" s="5"/>
    </row>
    <row r="889" spans="1:9" ht="17.399999999999999" x14ac:dyDescent="0.25">
      <c r="A889" s="16"/>
      <c r="B889" s="17"/>
      <c r="C889" s="2"/>
      <c r="D889" s="2"/>
      <c r="E889" s="2"/>
      <c r="F889" s="2"/>
      <c r="G889" s="2"/>
      <c r="H889" s="2"/>
      <c r="I889" s="5"/>
    </row>
    <row r="890" spans="1:9" ht="17.399999999999999" x14ac:dyDescent="0.25">
      <c r="A890" s="16"/>
      <c r="B890" s="17"/>
      <c r="C890" s="2"/>
      <c r="D890" s="2"/>
      <c r="E890" s="2"/>
      <c r="F890" s="2"/>
      <c r="G890" s="2"/>
      <c r="H890" s="2"/>
      <c r="I890" s="5"/>
    </row>
    <row r="891" spans="1:9" ht="17.399999999999999" x14ac:dyDescent="0.25">
      <c r="A891" s="16"/>
      <c r="B891" s="17"/>
      <c r="C891" s="2"/>
      <c r="D891" s="2"/>
      <c r="E891" s="2"/>
      <c r="F891" s="2"/>
      <c r="G891" s="2"/>
      <c r="H891" s="2"/>
      <c r="I891" s="5"/>
    </row>
    <row r="892" spans="1:9" ht="17.399999999999999" x14ac:dyDescent="0.25">
      <c r="A892" s="16"/>
      <c r="B892" s="17"/>
      <c r="C892" s="2"/>
      <c r="D892" s="2"/>
      <c r="E892" s="2"/>
      <c r="F892" s="2"/>
      <c r="G892" s="2"/>
      <c r="H892" s="2"/>
      <c r="I892" s="5"/>
    </row>
    <row r="893" spans="1:9" ht="17.399999999999999" x14ac:dyDescent="0.25">
      <c r="A893" s="16"/>
      <c r="B893" s="17"/>
      <c r="C893" s="2"/>
      <c r="D893" s="2"/>
      <c r="E893" s="2"/>
      <c r="F893" s="2"/>
      <c r="G893" s="2"/>
      <c r="H893" s="2"/>
      <c r="I893" s="5"/>
    </row>
    <row r="894" spans="1:9" ht="17.399999999999999" x14ac:dyDescent="0.25">
      <c r="A894" s="16"/>
      <c r="B894" s="17"/>
      <c r="C894" s="2"/>
      <c r="D894" s="2"/>
      <c r="E894" s="2"/>
      <c r="F894" s="2"/>
      <c r="G894" s="2"/>
      <c r="H894" s="2"/>
      <c r="I894" s="5"/>
    </row>
    <row r="895" spans="1:9" ht="17.399999999999999" x14ac:dyDescent="0.25">
      <c r="A895" s="16"/>
      <c r="B895" s="17"/>
      <c r="C895" s="2"/>
      <c r="D895" s="2"/>
      <c r="E895" s="2"/>
      <c r="F895" s="2"/>
      <c r="G895" s="2"/>
      <c r="H895" s="2"/>
      <c r="I895" s="5"/>
    </row>
    <row r="896" spans="1:9" ht="17.399999999999999" x14ac:dyDescent="0.25">
      <c r="A896" s="16"/>
      <c r="B896" s="17"/>
      <c r="C896" s="2"/>
      <c r="D896" s="2"/>
      <c r="E896" s="2"/>
      <c r="F896" s="2"/>
      <c r="G896" s="2"/>
      <c r="H896" s="2"/>
      <c r="I896" s="5"/>
    </row>
    <row r="897" spans="1:9" ht="17.399999999999999" x14ac:dyDescent="0.25">
      <c r="A897" s="16"/>
      <c r="B897" s="17"/>
      <c r="C897" s="2"/>
      <c r="D897" s="2"/>
      <c r="E897" s="2"/>
      <c r="F897" s="2"/>
      <c r="G897" s="2"/>
      <c r="H897" s="2"/>
      <c r="I897" s="5"/>
    </row>
    <row r="898" spans="1:9" ht="17.399999999999999" x14ac:dyDescent="0.25">
      <c r="A898" s="16"/>
      <c r="B898" s="17"/>
      <c r="C898" s="2"/>
      <c r="D898" s="2"/>
      <c r="E898" s="2"/>
      <c r="F898" s="2"/>
      <c r="G898" s="2"/>
      <c r="H898" s="2"/>
      <c r="I898" s="5"/>
    </row>
    <row r="899" spans="1:9" ht="17.399999999999999" x14ac:dyDescent="0.25">
      <c r="A899" s="16"/>
      <c r="B899" s="17"/>
      <c r="C899" s="2"/>
      <c r="D899" s="2"/>
      <c r="E899" s="2"/>
      <c r="F899" s="2"/>
      <c r="G899" s="2"/>
      <c r="H899" s="2"/>
      <c r="I899" s="5"/>
    </row>
    <row r="900" spans="1:9" ht="17.399999999999999" x14ac:dyDescent="0.25">
      <c r="A900" s="16"/>
      <c r="B900" s="17"/>
      <c r="C900" s="2"/>
      <c r="D900" s="2"/>
      <c r="E900" s="2"/>
      <c r="F900" s="2"/>
      <c r="G900" s="2"/>
      <c r="H900" s="2"/>
      <c r="I900" s="5"/>
    </row>
    <row r="901" spans="1:9" ht="17.399999999999999" x14ac:dyDescent="0.25">
      <c r="A901" s="16"/>
      <c r="B901" s="17"/>
      <c r="C901" s="2"/>
      <c r="D901" s="2"/>
      <c r="E901" s="2"/>
      <c r="F901" s="2"/>
      <c r="G901" s="2"/>
      <c r="H901" s="2"/>
      <c r="I901" s="5"/>
    </row>
    <row r="902" spans="1:9" ht="17.399999999999999" x14ac:dyDescent="0.25">
      <c r="A902" s="16"/>
      <c r="B902" s="17"/>
      <c r="C902" s="2"/>
      <c r="D902" s="2"/>
      <c r="E902" s="2"/>
      <c r="F902" s="2"/>
      <c r="G902" s="2"/>
      <c r="H902" s="2"/>
      <c r="I902" s="5"/>
    </row>
    <row r="903" spans="1:9" ht="17.399999999999999" x14ac:dyDescent="0.25">
      <c r="A903" s="16"/>
      <c r="B903" s="17"/>
      <c r="C903" s="2"/>
      <c r="D903" s="2"/>
      <c r="E903" s="2"/>
      <c r="F903" s="2"/>
      <c r="G903" s="2"/>
      <c r="H903" s="2"/>
      <c r="I903" s="5"/>
    </row>
    <row r="904" spans="1:9" ht="17.399999999999999" x14ac:dyDescent="0.25">
      <c r="A904" s="16"/>
      <c r="B904" s="17"/>
      <c r="C904" s="2"/>
      <c r="D904" s="2"/>
      <c r="E904" s="2"/>
      <c r="F904" s="2"/>
      <c r="G904" s="2"/>
      <c r="H904" s="2"/>
      <c r="I904" s="5"/>
    </row>
    <row r="905" spans="1:9" ht="17.399999999999999" x14ac:dyDescent="0.25">
      <c r="A905" s="16"/>
      <c r="B905" s="17"/>
      <c r="C905" s="2"/>
      <c r="D905" s="2"/>
      <c r="E905" s="2"/>
      <c r="F905" s="2"/>
      <c r="G905" s="2"/>
      <c r="H905" s="2"/>
      <c r="I905" s="5"/>
    </row>
    <row r="906" spans="1:9" ht="17.399999999999999" x14ac:dyDescent="0.25">
      <c r="A906" s="16"/>
      <c r="B906" s="17"/>
      <c r="C906" s="2"/>
      <c r="D906" s="2"/>
      <c r="E906" s="2"/>
      <c r="F906" s="2"/>
      <c r="G906" s="2"/>
      <c r="H906" s="2"/>
      <c r="I906" s="5"/>
    </row>
    <row r="907" spans="1:9" ht="17.399999999999999" x14ac:dyDescent="0.25">
      <c r="A907" s="16"/>
      <c r="B907" s="17"/>
      <c r="C907" s="2"/>
      <c r="D907" s="2"/>
      <c r="E907" s="2"/>
      <c r="F907" s="2"/>
      <c r="G907" s="2"/>
      <c r="H907" s="2"/>
      <c r="I907" s="5"/>
    </row>
    <row r="908" spans="1:9" ht="17.399999999999999" x14ac:dyDescent="0.25">
      <c r="A908" s="16"/>
      <c r="B908" s="17"/>
      <c r="C908" s="2"/>
      <c r="D908" s="2"/>
      <c r="E908" s="2"/>
      <c r="F908" s="2"/>
      <c r="G908" s="2"/>
      <c r="H908" s="2"/>
      <c r="I908" s="5"/>
    </row>
    <row r="909" spans="1:9" ht="17.399999999999999" x14ac:dyDescent="0.25">
      <c r="A909" s="16"/>
      <c r="B909" s="17"/>
      <c r="C909" s="2"/>
      <c r="D909" s="2"/>
      <c r="E909" s="2"/>
      <c r="F909" s="2"/>
      <c r="G909" s="2"/>
      <c r="H909" s="2"/>
      <c r="I909" s="5"/>
    </row>
    <row r="910" spans="1:9" ht="17.399999999999999" x14ac:dyDescent="0.25">
      <c r="A910" s="16"/>
      <c r="B910" s="17"/>
      <c r="C910" s="2"/>
      <c r="D910" s="2"/>
      <c r="E910" s="2"/>
      <c r="F910" s="2"/>
      <c r="G910" s="2"/>
      <c r="H910" s="2"/>
      <c r="I910" s="5"/>
    </row>
    <row r="911" spans="1:9" ht="17.399999999999999" x14ac:dyDescent="0.25">
      <c r="A911" s="16"/>
      <c r="B911" s="17"/>
      <c r="C911" s="2"/>
      <c r="D911" s="2"/>
      <c r="E911" s="2"/>
      <c r="F911" s="2"/>
      <c r="G911" s="2"/>
      <c r="H911" s="2"/>
      <c r="I911" s="5"/>
    </row>
    <row r="912" spans="1:9" ht="17.399999999999999" x14ac:dyDescent="0.25">
      <c r="A912" s="16"/>
      <c r="B912" s="17"/>
      <c r="C912" s="2"/>
      <c r="D912" s="2"/>
      <c r="E912" s="2"/>
      <c r="F912" s="2"/>
      <c r="G912" s="2"/>
      <c r="H912" s="2"/>
      <c r="I912" s="5"/>
    </row>
    <row r="913" spans="1:9" ht="17.399999999999999" x14ac:dyDescent="0.25">
      <c r="A913" s="16"/>
      <c r="B913" s="17"/>
      <c r="C913" s="2"/>
      <c r="D913" s="2"/>
      <c r="E913" s="2"/>
      <c r="F913" s="2"/>
      <c r="G913" s="2"/>
      <c r="H913" s="2"/>
      <c r="I913" s="5"/>
    </row>
    <row r="914" spans="1:9" ht="17.399999999999999" x14ac:dyDescent="0.25">
      <c r="A914" s="16"/>
      <c r="B914" s="17"/>
      <c r="C914" s="2"/>
      <c r="D914" s="2"/>
      <c r="E914" s="2"/>
      <c r="F914" s="2"/>
      <c r="G914" s="2"/>
      <c r="H914" s="2"/>
      <c r="I914" s="5"/>
    </row>
    <row r="915" spans="1:9" ht="17.399999999999999" x14ac:dyDescent="0.25">
      <c r="A915" s="16"/>
      <c r="B915" s="17"/>
      <c r="C915" s="2"/>
      <c r="D915" s="2"/>
      <c r="E915" s="2"/>
      <c r="F915" s="2"/>
      <c r="G915" s="2"/>
      <c r="H915" s="2"/>
      <c r="I915" s="5"/>
    </row>
    <row r="916" spans="1:9" ht="17.399999999999999" x14ac:dyDescent="0.25">
      <c r="A916" s="16"/>
      <c r="B916" s="17"/>
      <c r="C916" s="2"/>
      <c r="D916" s="2"/>
      <c r="E916" s="2"/>
      <c r="F916" s="2"/>
      <c r="G916" s="2"/>
      <c r="H916" s="2"/>
      <c r="I916" s="5"/>
    </row>
    <row r="917" spans="1:9" ht="17.399999999999999" x14ac:dyDescent="0.25">
      <c r="A917" s="16"/>
      <c r="B917" s="17"/>
      <c r="C917" s="2"/>
      <c r="D917" s="2"/>
      <c r="E917" s="2"/>
      <c r="F917" s="2"/>
      <c r="G917" s="2"/>
      <c r="H917" s="2"/>
      <c r="I917" s="5"/>
    </row>
    <row r="918" spans="1:9" ht="17.399999999999999" x14ac:dyDescent="0.25">
      <c r="A918" s="16"/>
      <c r="B918" s="17"/>
      <c r="C918" s="2"/>
      <c r="D918" s="2"/>
      <c r="E918" s="2"/>
      <c r="F918" s="2"/>
      <c r="G918" s="2"/>
      <c r="H918" s="2"/>
      <c r="I918" s="5"/>
    </row>
    <row r="919" spans="1:9" ht="17.399999999999999" x14ac:dyDescent="0.25">
      <c r="A919" s="16"/>
      <c r="B919" s="17"/>
      <c r="C919" s="2"/>
      <c r="D919" s="2"/>
      <c r="E919" s="2"/>
      <c r="F919" s="2"/>
      <c r="G919" s="2"/>
      <c r="H919" s="2"/>
      <c r="I919" s="5"/>
    </row>
    <row r="920" spans="1:9" ht="17.399999999999999" x14ac:dyDescent="0.25">
      <c r="A920" s="16"/>
      <c r="B920" s="17"/>
      <c r="C920" s="2"/>
      <c r="D920" s="2"/>
      <c r="E920" s="2"/>
      <c r="F920" s="2"/>
      <c r="G920" s="2"/>
      <c r="H920" s="2"/>
      <c r="I920" s="5"/>
    </row>
    <row r="921" spans="1:9" ht="17.399999999999999" x14ac:dyDescent="0.25">
      <c r="A921" s="16"/>
      <c r="B921" s="17"/>
      <c r="C921" s="2"/>
      <c r="D921" s="2"/>
      <c r="E921" s="2"/>
      <c r="F921" s="2"/>
      <c r="G921" s="2"/>
      <c r="H921" s="2"/>
      <c r="I921" s="5"/>
    </row>
    <row r="922" spans="1:9" ht="17.399999999999999" x14ac:dyDescent="0.25">
      <c r="A922" s="16"/>
      <c r="B922" s="17"/>
      <c r="C922" s="2"/>
      <c r="D922" s="2"/>
      <c r="E922" s="2"/>
      <c r="F922" s="2"/>
      <c r="G922" s="2"/>
      <c r="H922" s="2"/>
      <c r="I922" s="5"/>
    </row>
    <row r="923" spans="1:9" ht="17.399999999999999" x14ac:dyDescent="0.25">
      <c r="A923" s="16"/>
      <c r="B923" s="17"/>
      <c r="C923" s="2"/>
      <c r="D923" s="2"/>
      <c r="E923" s="2"/>
      <c r="F923" s="2"/>
      <c r="G923" s="2"/>
      <c r="H923" s="2"/>
      <c r="I923" s="5"/>
    </row>
    <row r="924" spans="1:9" ht="17.399999999999999" x14ac:dyDescent="0.25">
      <c r="A924" s="16"/>
      <c r="B924" s="17"/>
      <c r="C924" s="2"/>
      <c r="D924" s="2"/>
      <c r="E924" s="2"/>
      <c r="F924" s="2"/>
      <c r="G924" s="2"/>
      <c r="H924" s="2"/>
      <c r="I924" s="5"/>
    </row>
    <row r="925" spans="1:9" ht="17.399999999999999" x14ac:dyDescent="0.25">
      <c r="A925" s="16"/>
      <c r="B925" s="17"/>
      <c r="C925" s="2"/>
      <c r="D925" s="2"/>
      <c r="E925" s="2"/>
      <c r="F925" s="2"/>
      <c r="G925" s="2"/>
      <c r="H925" s="2"/>
      <c r="I925" s="5"/>
    </row>
    <row r="926" spans="1:9" ht="17.399999999999999" x14ac:dyDescent="0.25">
      <c r="A926" s="16"/>
      <c r="B926" s="17"/>
      <c r="C926" s="2"/>
      <c r="D926" s="2"/>
      <c r="E926" s="2"/>
      <c r="F926" s="2"/>
      <c r="G926" s="2"/>
      <c r="H926" s="2"/>
      <c r="I926" s="5"/>
    </row>
    <row r="927" spans="1:9" ht="17.399999999999999" x14ac:dyDescent="0.25">
      <c r="A927" s="16"/>
      <c r="B927" s="17"/>
      <c r="C927" s="2"/>
      <c r="D927" s="2"/>
      <c r="E927" s="2"/>
      <c r="F927" s="2"/>
      <c r="G927" s="2"/>
      <c r="H927" s="2"/>
      <c r="I927" s="5"/>
    </row>
    <row r="928" spans="1:9" ht="17.399999999999999" x14ac:dyDescent="0.25">
      <c r="A928" s="16"/>
      <c r="B928" s="17"/>
      <c r="C928" s="2"/>
      <c r="D928" s="2"/>
      <c r="E928" s="2"/>
      <c r="F928" s="2"/>
      <c r="G928" s="2"/>
      <c r="H928" s="2"/>
      <c r="I928" s="5"/>
    </row>
    <row r="929" spans="1:9" ht="17.399999999999999" x14ac:dyDescent="0.25">
      <c r="A929" s="16"/>
      <c r="B929" s="17"/>
      <c r="C929" s="2"/>
      <c r="D929" s="2"/>
      <c r="E929" s="2"/>
      <c r="F929" s="2"/>
      <c r="G929" s="2"/>
      <c r="H929" s="2"/>
      <c r="I929" s="5"/>
    </row>
    <row r="930" spans="1:9" ht="17.399999999999999" x14ac:dyDescent="0.25">
      <c r="A930" s="16"/>
      <c r="B930" s="17"/>
      <c r="C930" s="2"/>
      <c r="D930" s="2"/>
      <c r="E930" s="2"/>
      <c r="F930" s="2"/>
      <c r="G930" s="2"/>
      <c r="H930" s="2"/>
      <c r="I930" s="5"/>
    </row>
    <row r="931" spans="1:9" ht="17.399999999999999" x14ac:dyDescent="0.25">
      <c r="A931" s="16"/>
      <c r="B931" s="17"/>
      <c r="C931" s="2"/>
      <c r="D931" s="2"/>
      <c r="E931" s="2"/>
      <c r="F931" s="2"/>
      <c r="G931" s="2"/>
      <c r="H931" s="2"/>
      <c r="I931" s="5"/>
    </row>
    <row r="932" spans="1:9" ht="17.399999999999999" x14ac:dyDescent="0.25">
      <c r="A932" s="16"/>
      <c r="B932" s="17"/>
      <c r="C932" s="2"/>
      <c r="D932" s="2"/>
      <c r="E932" s="2"/>
      <c r="F932" s="2"/>
      <c r="G932" s="2"/>
      <c r="H932" s="2"/>
      <c r="I932" s="5"/>
    </row>
    <row r="933" spans="1:9" ht="17.399999999999999" x14ac:dyDescent="0.25">
      <c r="A933" s="16"/>
      <c r="B933" s="17"/>
      <c r="C933" s="2"/>
      <c r="D933" s="2"/>
      <c r="E933" s="2"/>
      <c r="F933" s="2"/>
      <c r="G933" s="2"/>
      <c r="H933" s="2"/>
      <c r="I933" s="5"/>
    </row>
    <row r="934" spans="1:9" ht="17.399999999999999" x14ac:dyDescent="0.25">
      <c r="A934" s="16"/>
      <c r="B934" s="17"/>
      <c r="C934" s="2"/>
      <c r="D934" s="2"/>
      <c r="E934" s="2"/>
      <c r="F934" s="2"/>
      <c r="G934" s="2"/>
      <c r="H934" s="2"/>
      <c r="I934" s="5"/>
    </row>
    <row r="935" spans="1:9" ht="17.399999999999999" x14ac:dyDescent="0.25">
      <c r="A935" s="16"/>
      <c r="B935" s="17"/>
      <c r="C935" s="2"/>
      <c r="D935" s="2"/>
      <c r="E935" s="2"/>
      <c r="F935" s="2"/>
      <c r="G935" s="2"/>
      <c r="H935" s="2"/>
      <c r="I935" s="5"/>
    </row>
    <row r="936" spans="1:9" ht="17.399999999999999" x14ac:dyDescent="0.25">
      <c r="A936" s="16"/>
      <c r="B936" s="17"/>
      <c r="C936" s="2"/>
      <c r="D936" s="2"/>
      <c r="E936" s="2"/>
      <c r="F936" s="2"/>
      <c r="G936" s="2"/>
      <c r="H936" s="2"/>
      <c r="I936" s="5"/>
    </row>
    <row r="937" spans="1:9" ht="17.399999999999999" x14ac:dyDescent="0.25">
      <c r="A937" s="16"/>
      <c r="B937" s="17"/>
      <c r="C937" s="2"/>
      <c r="D937" s="2"/>
      <c r="E937" s="2"/>
      <c r="F937" s="2"/>
      <c r="G937" s="2"/>
      <c r="H937" s="2"/>
      <c r="I937" s="5"/>
    </row>
    <row r="938" spans="1:9" ht="17.399999999999999" x14ac:dyDescent="0.25">
      <c r="A938" s="16"/>
      <c r="B938" s="17"/>
      <c r="C938" s="2"/>
      <c r="D938" s="2"/>
      <c r="E938" s="2"/>
      <c r="F938" s="2"/>
      <c r="G938" s="2"/>
      <c r="H938" s="2"/>
      <c r="I938" s="5"/>
    </row>
    <row r="939" spans="1:9" ht="17.399999999999999" x14ac:dyDescent="0.25">
      <c r="A939" s="16"/>
      <c r="B939" s="17"/>
      <c r="C939" s="2"/>
      <c r="D939" s="2"/>
      <c r="E939" s="2"/>
      <c r="F939" s="2"/>
      <c r="G939" s="2"/>
      <c r="H939" s="2"/>
      <c r="I939" s="5"/>
    </row>
    <row r="940" spans="1:9" ht="17.399999999999999" x14ac:dyDescent="0.25">
      <c r="A940" s="16"/>
      <c r="B940" s="17"/>
      <c r="C940" s="2"/>
      <c r="D940" s="2"/>
      <c r="E940" s="2"/>
      <c r="F940" s="2"/>
      <c r="G940" s="2"/>
      <c r="H940" s="2"/>
      <c r="I940" s="5"/>
    </row>
    <row r="941" spans="1:9" ht="17.399999999999999" x14ac:dyDescent="0.25">
      <c r="A941" s="16"/>
      <c r="B941" s="17"/>
      <c r="C941" s="2"/>
      <c r="D941" s="2"/>
      <c r="E941" s="2"/>
      <c r="F941" s="2"/>
      <c r="G941" s="2"/>
      <c r="H941" s="2"/>
      <c r="I941" s="5"/>
    </row>
    <row r="942" spans="1:9" ht="17.399999999999999" x14ac:dyDescent="0.25">
      <c r="A942" s="16"/>
      <c r="B942" s="17"/>
      <c r="C942" s="2"/>
      <c r="D942" s="2"/>
      <c r="E942" s="2"/>
      <c r="F942" s="2"/>
      <c r="G942" s="2"/>
      <c r="H942" s="2"/>
      <c r="I942" s="5"/>
    </row>
    <row r="943" spans="1:9" ht="17.399999999999999" x14ac:dyDescent="0.25">
      <c r="A943" s="16"/>
      <c r="B943" s="17"/>
      <c r="C943" s="2"/>
      <c r="D943" s="2"/>
      <c r="E943" s="2"/>
      <c r="F943" s="2"/>
      <c r="G943" s="2"/>
      <c r="H943" s="2"/>
      <c r="I943" s="5"/>
    </row>
    <row r="944" spans="1:9" ht="17.399999999999999" x14ac:dyDescent="0.25">
      <c r="A944" s="16"/>
      <c r="B944" s="17"/>
      <c r="C944" s="2"/>
      <c r="D944" s="2"/>
      <c r="E944" s="2"/>
      <c r="F944" s="2"/>
      <c r="G944" s="2"/>
      <c r="H944" s="2"/>
      <c r="I944" s="5"/>
    </row>
    <row r="945" spans="1:9" ht="17.399999999999999" x14ac:dyDescent="0.25">
      <c r="A945" s="16"/>
      <c r="B945" s="17"/>
      <c r="C945" s="2"/>
      <c r="D945" s="2"/>
      <c r="E945" s="2"/>
      <c r="F945" s="2"/>
      <c r="G945" s="2"/>
      <c r="H945" s="2"/>
      <c r="I945" s="5"/>
    </row>
    <row r="946" spans="1:9" ht="17.399999999999999" x14ac:dyDescent="0.25">
      <c r="A946" s="16"/>
      <c r="B946" s="17"/>
      <c r="C946" s="2"/>
      <c r="D946" s="2"/>
      <c r="E946" s="2"/>
      <c r="F946" s="2"/>
      <c r="G946" s="2"/>
      <c r="H946" s="2"/>
      <c r="I946" s="5"/>
    </row>
    <row r="947" spans="1:9" ht="17.399999999999999" x14ac:dyDescent="0.25">
      <c r="A947" s="16"/>
      <c r="B947" s="17"/>
      <c r="C947" s="2"/>
      <c r="D947" s="2"/>
      <c r="E947" s="2"/>
      <c r="F947" s="2"/>
      <c r="G947" s="2"/>
      <c r="H947" s="2"/>
      <c r="I947" s="5"/>
    </row>
    <row r="948" spans="1:9" ht="17.399999999999999" x14ac:dyDescent="0.25">
      <c r="A948" s="16"/>
      <c r="B948" s="17"/>
      <c r="C948" s="2"/>
      <c r="D948" s="2"/>
      <c r="E948" s="2"/>
      <c r="F948" s="2"/>
      <c r="G948" s="2"/>
      <c r="H948" s="2"/>
      <c r="I948" s="5"/>
    </row>
    <row r="949" spans="1:9" ht="17.399999999999999" x14ac:dyDescent="0.25">
      <c r="A949" s="16"/>
      <c r="B949" s="17"/>
      <c r="C949" s="2"/>
      <c r="D949" s="2"/>
      <c r="E949" s="2"/>
      <c r="F949" s="2"/>
      <c r="G949" s="2"/>
      <c r="H949" s="2"/>
      <c r="I949" s="5"/>
    </row>
    <row r="950" spans="1:9" ht="17.399999999999999" x14ac:dyDescent="0.25">
      <c r="A950" s="16"/>
      <c r="B950" s="17"/>
      <c r="C950" s="2"/>
      <c r="D950" s="2"/>
      <c r="E950" s="2"/>
      <c r="F950" s="2"/>
      <c r="G950" s="2"/>
      <c r="H950" s="2"/>
      <c r="I950" s="5"/>
    </row>
    <row r="951" spans="1:9" ht="17.399999999999999" x14ac:dyDescent="0.25">
      <c r="A951" s="16"/>
      <c r="B951" s="17"/>
      <c r="C951" s="2"/>
      <c r="D951" s="2"/>
      <c r="E951" s="2"/>
      <c r="F951" s="2"/>
      <c r="G951" s="2"/>
      <c r="H951" s="2"/>
      <c r="I951" s="5"/>
    </row>
    <row r="952" spans="1:9" ht="17.399999999999999" x14ac:dyDescent="0.25">
      <c r="A952" s="16"/>
      <c r="B952" s="17"/>
      <c r="C952" s="2"/>
      <c r="D952" s="2"/>
      <c r="E952" s="2"/>
      <c r="F952" s="2"/>
      <c r="G952" s="2"/>
      <c r="H952" s="2"/>
      <c r="I952" s="5"/>
    </row>
    <row r="953" spans="1:9" ht="17.399999999999999" x14ac:dyDescent="0.25">
      <c r="A953" s="16"/>
      <c r="B953" s="17"/>
      <c r="C953" s="2"/>
      <c r="D953" s="2"/>
      <c r="E953" s="2"/>
      <c r="F953" s="2"/>
      <c r="G953" s="2"/>
      <c r="H953" s="2"/>
      <c r="I953" s="5"/>
    </row>
    <row r="954" spans="1:9" ht="17.399999999999999" x14ac:dyDescent="0.25">
      <c r="A954" s="16"/>
      <c r="B954" s="17"/>
      <c r="C954" s="2"/>
      <c r="D954" s="2"/>
      <c r="E954" s="2"/>
      <c r="F954" s="2"/>
      <c r="G954" s="2"/>
      <c r="H954" s="2"/>
      <c r="I954" s="5"/>
    </row>
    <row r="955" spans="1:9" ht="17.399999999999999" x14ac:dyDescent="0.25">
      <c r="A955" s="16"/>
      <c r="B955" s="17"/>
      <c r="C955" s="2"/>
      <c r="D955" s="2"/>
      <c r="E955" s="2"/>
      <c r="F955" s="2"/>
      <c r="G955" s="2"/>
      <c r="H955" s="2"/>
      <c r="I955" s="5"/>
    </row>
    <row r="956" spans="1:9" ht="17.399999999999999" x14ac:dyDescent="0.25">
      <c r="A956" s="16"/>
      <c r="B956" s="17"/>
      <c r="C956" s="2"/>
      <c r="D956" s="2"/>
      <c r="E956" s="2"/>
      <c r="F956" s="2"/>
      <c r="G956" s="2"/>
      <c r="H956" s="2"/>
      <c r="I956" s="5"/>
    </row>
    <row r="957" spans="1:9" ht="17.399999999999999" x14ac:dyDescent="0.25">
      <c r="A957" s="16"/>
      <c r="B957" s="17"/>
      <c r="C957" s="2"/>
      <c r="D957" s="2"/>
      <c r="E957" s="2"/>
      <c r="F957" s="2"/>
      <c r="G957" s="2"/>
      <c r="H957" s="2"/>
      <c r="I957" s="5"/>
    </row>
    <row r="958" spans="1:9" ht="17.399999999999999" x14ac:dyDescent="0.25">
      <c r="A958" s="16"/>
      <c r="B958" s="17"/>
      <c r="C958" s="2"/>
      <c r="D958" s="2"/>
      <c r="E958" s="2"/>
      <c r="F958" s="2"/>
      <c r="G958" s="2"/>
      <c r="H958" s="2"/>
      <c r="I958" s="5"/>
    </row>
    <row r="959" spans="1:9" ht="17.399999999999999" x14ac:dyDescent="0.25">
      <c r="A959" s="16"/>
      <c r="B959" s="17"/>
      <c r="C959" s="2"/>
      <c r="D959" s="2"/>
      <c r="E959" s="2"/>
      <c r="F959" s="2"/>
      <c r="G959" s="2"/>
      <c r="H959" s="2"/>
      <c r="I959" s="5"/>
    </row>
    <row r="960" spans="1:9" ht="17.399999999999999" x14ac:dyDescent="0.25">
      <c r="A960" s="16"/>
      <c r="B960" s="17"/>
      <c r="C960" s="2"/>
      <c r="D960" s="2"/>
      <c r="E960" s="2"/>
      <c r="F960" s="2"/>
      <c r="G960" s="2"/>
      <c r="H960" s="2"/>
      <c r="I960" s="5"/>
    </row>
    <row r="961" spans="1:9" ht="17.399999999999999" x14ac:dyDescent="0.25">
      <c r="A961" s="16"/>
      <c r="B961" s="17"/>
      <c r="C961" s="2"/>
      <c r="D961" s="2"/>
      <c r="E961" s="2"/>
      <c r="F961" s="2"/>
      <c r="G961" s="2"/>
      <c r="H961" s="2"/>
      <c r="I961" s="5"/>
    </row>
    <row r="962" spans="1:9" ht="17.399999999999999" x14ac:dyDescent="0.25">
      <c r="A962" s="16"/>
      <c r="B962" s="17"/>
      <c r="C962" s="2"/>
      <c r="D962" s="2"/>
      <c r="E962" s="2"/>
      <c r="F962" s="2"/>
      <c r="G962" s="2"/>
      <c r="H962" s="2"/>
      <c r="I962" s="5"/>
    </row>
    <row r="963" spans="1:9" ht="17.399999999999999" x14ac:dyDescent="0.25">
      <c r="A963" s="16"/>
      <c r="B963" s="17"/>
      <c r="C963" s="2"/>
      <c r="D963" s="2"/>
      <c r="E963" s="2"/>
      <c r="F963" s="2"/>
      <c r="G963" s="2"/>
      <c r="H963" s="2"/>
      <c r="I963" s="5"/>
    </row>
    <row r="964" spans="1:9" ht="17.399999999999999" x14ac:dyDescent="0.25">
      <c r="A964" s="16"/>
      <c r="B964" s="17"/>
      <c r="C964" s="2"/>
      <c r="D964" s="2"/>
      <c r="E964" s="2"/>
      <c r="F964" s="2"/>
      <c r="G964" s="2"/>
      <c r="H964" s="2"/>
      <c r="I964" s="5"/>
    </row>
    <row r="965" spans="1:9" ht="17.399999999999999" x14ac:dyDescent="0.25">
      <c r="A965" s="16"/>
      <c r="B965" s="17"/>
      <c r="C965" s="2"/>
      <c r="D965" s="2"/>
      <c r="E965" s="2"/>
      <c r="F965" s="2"/>
      <c r="G965" s="2"/>
      <c r="H965" s="2"/>
      <c r="I965" s="5"/>
    </row>
    <row r="966" spans="1:9" ht="17.399999999999999" x14ac:dyDescent="0.25">
      <c r="A966" s="16"/>
      <c r="B966" s="17"/>
      <c r="C966" s="2"/>
      <c r="D966" s="2"/>
      <c r="E966" s="2"/>
      <c r="F966" s="2"/>
      <c r="G966" s="2"/>
      <c r="H966" s="2"/>
      <c r="I966" s="5"/>
    </row>
    <row r="967" spans="1:9" ht="17.399999999999999" x14ac:dyDescent="0.25">
      <c r="A967" s="16"/>
      <c r="B967" s="17"/>
      <c r="C967" s="2"/>
      <c r="D967" s="2"/>
      <c r="E967" s="2"/>
      <c r="F967" s="2"/>
      <c r="G967" s="2"/>
      <c r="H967" s="2"/>
      <c r="I967" s="5"/>
    </row>
    <row r="968" spans="1:9" ht="17.399999999999999" x14ac:dyDescent="0.25">
      <c r="A968" s="16"/>
      <c r="B968" s="17"/>
      <c r="C968" s="2"/>
      <c r="D968" s="2"/>
      <c r="E968" s="2"/>
      <c r="F968" s="2"/>
      <c r="G968" s="2"/>
      <c r="H968" s="2"/>
      <c r="I968" s="5"/>
    </row>
    <row r="969" spans="1:9" ht="17.399999999999999" x14ac:dyDescent="0.25">
      <c r="A969" s="16"/>
      <c r="B969" s="17"/>
      <c r="C969" s="2"/>
      <c r="D969" s="2"/>
      <c r="E969" s="2"/>
      <c r="F969" s="2"/>
      <c r="G969" s="2"/>
      <c r="H969" s="2"/>
      <c r="I969" s="5"/>
    </row>
    <row r="970" spans="1:9" ht="17.399999999999999" x14ac:dyDescent="0.25">
      <c r="A970" s="16"/>
      <c r="B970" s="17"/>
      <c r="C970" s="2"/>
      <c r="D970" s="2"/>
      <c r="E970" s="2"/>
      <c r="F970" s="2"/>
      <c r="G970" s="2"/>
      <c r="H970" s="2"/>
      <c r="I970" s="5"/>
    </row>
    <row r="971" spans="1:9" ht="17.399999999999999" x14ac:dyDescent="0.25">
      <c r="A971" s="16"/>
      <c r="B971" s="17"/>
      <c r="C971" s="2"/>
      <c r="D971" s="2"/>
      <c r="E971" s="2"/>
      <c r="F971" s="2"/>
      <c r="G971" s="2"/>
      <c r="H971" s="2"/>
      <c r="I971" s="5"/>
    </row>
    <row r="972" spans="1:9" ht="17.399999999999999" x14ac:dyDescent="0.25">
      <c r="A972" s="16"/>
      <c r="B972" s="17"/>
      <c r="C972" s="2"/>
      <c r="D972" s="2"/>
      <c r="E972" s="2"/>
      <c r="F972" s="2"/>
      <c r="G972" s="2"/>
      <c r="H972" s="2"/>
      <c r="I972" s="5"/>
    </row>
    <row r="973" spans="1:9" ht="17.399999999999999" x14ac:dyDescent="0.25">
      <c r="A973" s="16"/>
      <c r="B973" s="17"/>
      <c r="C973" s="2"/>
      <c r="D973" s="2"/>
      <c r="E973" s="2"/>
      <c r="F973" s="2"/>
      <c r="G973" s="2"/>
      <c r="H973" s="2"/>
      <c r="I973" s="5"/>
    </row>
    <row r="974" spans="1:9" ht="17.399999999999999" x14ac:dyDescent="0.25">
      <c r="A974" s="16"/>
      <c r="B974" s="17"/>
      <c r="C974" s="2"/>
      <c r="D974" s="2"/>
      <c r="E974" s="2"/>
      <c r="F974" s="2"/>
      <c r="G974" s="2"/>
      <c r="H974" s="2"/>
      <c r="I974" s="5"/>
    </row>
    <row r="975" spans="1:9" ht="17.399999999999999" x14ac:dyDescent="0.25">
      <c r="A975" s="16"/>
      <c r="B975" s="17"/>
      <c r="C975" s="2"/>
      <c r="D975" s="2"/>
      <c r="E975" s="2"/>
      <c r="F975" s="2"/>
      <c r="G975" s="2"/>
      <c r="H975" s="2"/>
      <c r="I975" s="5"/>
    </row>
    <row r="976" spans="1:9" ht="17.399999999999999" x14ac:dyDescent="0.25">
      <c r="A976" s="16"/>
      <c r="B976" s="17"/>
      <c r="C976" s="2"/>
      <c r="D976" s="2"/>
      <c r="E976" s="2"/>
      <c r="F976" s="2"/>
      <c r="G976" s="2"/>
      <c r="H976" s="2"/>
      <c r="I976" s="5"/>
    </row>
    <row r="977" spans="1:9" ht="17.399999999999999" x14ac:dyDescent="0.25">
      <c r="A977" s="16"/>
      <c r="B977" s="17"/>
      <c r="C977" s="2"/>
      <c r="D977" s="2"/>
      <c r="E977" s="2"/>
      <c r="F977" s="2"/>
      <c r="G977" s="2"/>
      <c r="H977" s="2"/>
      <c r="I977" s="5"/>
    </row>
    <row r="978" spans="1:9" ht="17.399999999999999" x14ac:dyDescent="0.25">
      <c r="A978" s="16"/>
      <c r="B978" s="17"/>
      <c r="C978" s="2"/>
      <c r="D978" s="2"/>
      <c r="E978" s="2"/>
      <c r="F978" s="2"/>
      <c r="G978" s="2"/>
      <c r="H978" s="2"/>
      <c r="I978" s="5"/>
    </row>
    <row r="979" spans="1:9" ht="17.399999999999999" x14ac:dyDescent="0.25">
      <c r="A979" s="16"/>
      <c r="B979" s="17"/>
      <c r="C979" s="2"/>
      <c r="D979" s="2"/>
      <c r="E979" s="2"/>
      <c r="F979" s="2"/>
      <c r="G979" s="2"/>
      <c r="H979" s="2"/>
      <c r="I979" s="5"/>
    </row>
    <row r="980" spans="1:9" ht="17.399999999999999" x14ac:dyDescent="0.25">
      <c r="A980" s="16"/>
      <c r="B980" s="17"/>
      <c r="C980" s="2"/>
      <c r="D980" s="2"/>
      <c r="E980" s="2"/>
      <c r="F980" s="2"/>
      <c r="G980" s="2"/>
      <c r="H980" s="2"/>
      <c r="I980" s="5"/>
    </row>
    <row r="981" spans="1:9" ht="17.399999999999999" x14ac:dyDescent="0.25">
      <c r="A981" s="16"/>
      <c r="B981" s="17"/>
      <c r="C981" s="2"/>
      <c r="D981" s="2"/>
      <c r="E981" s="2"/>
      <c r="F981" s="2"/>
      <c r="G981" s="2"/>
      <c r="H981" s="2"/>
      <c r="I981" s="5"/>
    </row>
    <row r="982" spans="1:9" ht="17.399999999999999" x14ac:dyDescent="0.25">
      <c r="A982" s="16"/>
      <c r="B982" s="17"/>
      <c r="C982" s="2"/>
      <c r="D982" s="2"/>
      <c r="E982" s="2"/>
      <c r="F982" s="2"/>
      <c r="G982" s="2"/>
      <c r="H982" s="2"/>
      <c r="I982" s="5"/>
    </row>
    <row r="983" spans="1:9" ht="17.399999999999999" x14ac:dyDescent="0.25">
      <c r="A983" s="16"/>
      <c r="B983" s="17"/>
      <c r="C983" s="2"/>
      <c r="D983" s="2"/>
      <c r="E983" s="2"/>
      <c r="F983" s="2"/>
      <c r="G983" s="2"/>
      <c r="H983" s="2"/>
      <c r="I983" s="5"/>
    </row>
    <row r="984" spans="1:9" ht="17.399999999999999" x14ac:dyDescent="0.25">
      <c r="A984" s="16"/>
      <c r="B984" s="17"/>
      <c r="C984" s="2"/>
      <c r="D984" s="2"/>
      <c r="E984" s="2"/>
      <c r="F984" s="2"/>
      <c r="G984" s="2"/>
      <c r="H984" s="2"/>
      <c r="I984" s="5"/>
    </row>
    <row r="985" spans="1:9" ht="17.399999999999999" x14ac:dyDescent="0.25">
      <c r="A985" s="16"/>
      <c r="B985" s="17"/>
      <c r="C985" s="2"/>
      <c r="D985" s="2"/>
      <c r="E985" s="2"/>
      <c r="F985" s="2"/>
      <c r="G985" s="2"/>
      <c r="H985" s="2"/>
      <c r="I985" s="5"/>
    </row>
    <row r="986" spans="1:9" ht="17.399999999999999" x14ac:dyDescent="0.25">
      <c r="A986" s="16"/>
      <c r="B986" s="17"/>
      <c r="C986" s="2"/>
      <c r="D986" s="2"/>
      <c r="E986" s="2"/>
      <c r="F986" s="2"/>
      <c r="G986" s="2"/>
      <c r="H986" s="2"/>
      <c r="I986" s="5"/>
    </row>
    <row r="987" spans="1:9" ht="17.399999999999999" x14ac:dyDescent="0.25">
      <c r="A987" s="16"/>
      <c r="B987" s="17"/>
      <c r="C987" s="2"/>
      <c r="D987" s="2"/>
      <c r="E987" s="2"/>
      <c r="F987" s="2"/>
      <c r="G987" s="2"/>
      <c r="H987" s="2"/>
      <c r="I987" s="5"/>
    </row>
    <row r="988" spans="1:9" ht="17.399999999999999" x14ac:dyDescent="0.25">
      <c r="A988" s="16"/>
      <c r="B988" s="17"/>
      <c r="C988" s="2"/>
      <c r="D988" s="2"/>
      <c r="E988" s="2"/>
      <c r="F988" s="2"/>
      <c r="G988" s="2"/>
      <c r="H988" s="2"/>
      <c r="I988" s="5"/>
    </row>
    <row r="989" spans="1:9" ht="17.399999999999999" x14ac:dyDescent="0.25">
      <c r="A989" s="16"/>
      <c r="B989" s="17"/>
      <c r="C989" s="2"/>
      <c r="D989" s="2"/>
      <c r="E989" s="2"/>
      <c r="F989" s="2"/>
      <c r="G989" s="2"/>
      <c r="H989" s="2"/>
      <c r="I989" s="5"/>
    </row>
    <row r="990" spans="1:9" ht="17.399999999999999" x14ac:dyDescent="0.25">
      <c r="A990" s="16"/>
      <c r="B990" s="17"/>
      <c r="C990" s="2"/>
      <c r="D990" s="2"/>
      <c r="E990" s="2"/>
      <c r="F990" s="2"/>
      <c r="G990" s="2"/>
      <c r="H990" s="2"/>
      <c r="I990" s="5"/>
    </row>
    <row r="991" spans="1:9" ht="17.399999999999999" x14ac:dyDescent="0.25">
      <c r="A991" s="16"/>
      <c r="B991" s="17"/>
      <c r="C991" s="2"/>
      <c r="D991" s="2"/>
      <c r="E991" s="2"/>
      <c r="F991" s="2"/>
      <c r="G991" s="2"/>
      <c r="H991" s="2"/>
      <c r="I991" s="5"/>
    </row>
    <row r="992" spans="1:9" ht="17.399999999999999" x14ac:dyDescent="0.25">
      <c r="A992" s="16"/>
      <c r="B992" s="17"/>
      <c r="C992" s="2"/>
      <c r="D992" s="2"/>
      <c r="E992" s="2"/>
      <c r="F992" s="2"/>
      <c r="G992" s="2"/>
      <c r="H992" s="2"/>
      <c r="I992" s="5"/>
    </row>
    <row r="993" spans="1:9" ht="17.399999999999999" x14ac:dyDescent="0.25">
      <c r="A993" s="16"/>
      <c r="B993" s="17"/>
      <c r="C993" s="2"/>
      <c r="D993" s="2"/>
      <c r="E993" s="2"/>
      <c r="F993" s="2"/>
      <c r="G993" s="2"/>
      <c r="H993" s="2"/>
      <c r="I993" s="5"/>
    </row>
    <row r="994" spans="1:9" ht="17.399999999999999" x14ac:dyDescent="0.25">
      <c r="A994" s="16"/>
      <c r="B994" s="17"/>
      <c r="C994" s="2"/>
      <c r="D994" s="2"/>
      <c r="E994" s="2"/>
      <c r="F994" s="2"/>
      <c r="G994" s="2"/>
      <c r="H994" s="2"/>
      <c r="I994" s="5"/>
    </row>
    <row r="995" spans="1:9" ht="17.399999999999999" x14ac:dyDescent="0.25">
      <c r="A995" s="16"/>
      <c r="B995" s="17"/>
      <c r="C995" s="2"/>
      <c r="D995" s="2"/>
      <c r="E995" s="2"/>
      <c r="F995" s="2"/>
      <c r="G995" s="2"/>
      <c r="H995" s="2"/>
      <c r="I995" s="5"/>
    </row>
    <row r="996" spans="1:9" ht="17.399999999999999" x14ac:dyDescent="0.25">
      <c r="A996" s="16"/>
      <c r="B996" s="17"/>
      <c r="C996" s="2"/>
      <c r="D996" s="2"/>
      <c r="E996" s="2"/>
      <c r="F996" s="2"/>
      <c r="G996" s="2"/>
      <c r="H996" s="2"/>
      <c r="I996" s="5"/>
    </row>
    <row r="997" spans="1:9" ht="17.399999999999999" x14ac:dyDescent="0.25">
      <c r="A997" s="16"/>
      <c r="B997" s="17"/>
      <c r="C997" s="2"/>
      <c r="D997" s="2"/>
      <c r="E997" s="2"/>
      <c r="F997" s="2"/>
      <c r="G997" s="2"/>
      <c r="H997" s="2"/>
      <c r="I997" s="5"/>
    </row>
    <row r="998" spans="1:9" ht="17.399999999999999" x14ac:dyDescent="0.25">
      <c r="A998" s="16"/>
      <c r="B998" s="17"/>
      <c r="C998" s="2"/>
      <c r="D998" s="2"/>
      <c r="E998" s="2"/>
      <c r="F998" s="2"/>
      <c r="G998" s="2"/>
      <c r="H998" s="2"/>
      <c r="I998" s="5"/>
    </row>
    <row r="999" spans="1:9" ht="17.399999999999999" x14ac:dyDescent="0.25">
      <c r="A999" s="16"/>
      <c r="B999" s="17"/>
      <c r="C999" s="2"/>
      <c r="D999" s="2"/>
      <c r="E999" s="2"/>
      <c r="F999" s="2"/>
      <c r="G999" s="2"/>
      <c r="H999" s="2"/>
      <c r="I999" s="5"/>
    </row>
    <row r="1000" spans="1:9" ht="17.399999999999999" x14ac:dyDescent="0.25">
      <c r="A1000" s="16"/>
      <c r="B1000" s="17"/>
      <c r="C1000" s="2"/>
      <c r="D1000" s="2"/>
      <c r="E1000" s="2"/>
      <c r="F1000" s="2"/>
      <c r="G1000" s="2"/>
      <c r="H1000" s="2"/>
      <c r="I1000" s="5"/>
    </row>
    <row r="1001" spans="1:9" ht="17.399999999999999" x14ac:dyDescent="0.25">
      <c r="A1001" s="16"/>
      <c r="B1001" s="17"/>
      <c r="C1001" s="2"/>
      <c r="D1001" s="2"/>
      <c r="E1001" s="2"/>
      <c r="F1001" s="2"/>
      <c r="G1001" s="2"/>
      <c r="H1001" s="2"/>
      <c r="I1001" s="5"/>
    </row>
    <row r="1002" spans="1:9" ht="17.399999999999999" x14ac:dyDescent="0.25">
      <c r="A1002" s="16"/>
      <c r="B1002" s="17"/>
      <c r="C1002" s="2"/>
      <c r="D1002" s="2"/>
      <c r="E1002" s="2"/>
      <c r="F1002" s="2"/>
      <c r="G1002" s="2"/>
      <c r="H1002" s="2"/>
      <c r="I1002" s="5"/>
    </row>
    <row r="1003" spans="1:9" ht="17.399999999999999" x14ac:dyDescent="0.25">
      <c r="A1003" s="16"/>
      <c r="B1003" s="17"/>
      <c r="C1003" s="2"/>
      <c r="D1003" s="2"/>
      <c r="E1003" s="2"/>
      <c r="F1003" s="2"/>
      <c r="G1003" s="2"/>
      <c r="H1003" s="2"/>
      <c r="I1003" s="5"/>
    </row>
    <row r="1004" spans="1:9" ht="17.399999999999999" x14ac:dyDescent="0.25">
      <c r="A1004" s="16"/>
      <c r="B1004" s="17"/>
      <c r="C1004" s="2"/>
      <c r="D1004" s="2"/>
      <c r="E1004" s="2"/>
      <c r="F1004" s="2"/>
      <c r="G1004" s="2"/>
      <c r="H1004" s="2"/>
      <c r="I1004" s="5"/>
    </row>
    <row r="1005" spans="1:9" ht="17.399999999999999" x14ac:dyDescent="0.25">
      <c r="A1005" s="16"/>
      <c r="B1005" s="17"/>
      <c r="C1005" s="2"/>
      <c r="D1005" s="2"/>
      <c r="E1005" s="2"/>
      <c r="F1005" s="2"/>
      <c r="G1005" s="2"/>
      <c r="H1005" s="2"/>
      <c r="I1005" s="5"/>
    </row>
    <row r="1006" spans="1:9" ht="17.399999999999999" x14ac:dyDescent="0.25">
      <c r="A1006" s="16"/>
      <c r="B1006" s="17"/>
      <c r="C1006" s="2"/>
      <c r="D1006" s="2"/>
      <c r="E1006" s="2"/>
      <c r="F1006" s="2"/>
      <c r="G1006" s="2"/>
      <c r="H1006" s="2"/>
      <c r="I1006" s="5"/>
    </row>
    <row r="1007" spans="1:9" ht="17.399999999999999" x14ac:dyDescent="0.25">
      <c r="A1007" s="16"/>
      <c r="B1007" s="17"/>
      <c r="C1007" s="2"/>
      <c r="D1007" s="2"/>
      <c r="E1007" s="2"/>
      <c r="F1007" s="2"/>
      <c r="G1007" s="2"/>
      <c r="H1007" s="2"/>
      <c r="I1007" s="5"/>
    </row>
    <row r="1008" spans="1:9" ht="17.399999999999999" x14ac:dyDescent="0.25">
      <c r="A1008" s="16"/>
      <c r="B1008" s="17"/>
      <c r="C1008" s="2"/>
      <c r="D1008" s="2"/>
      <c r="E1008" s="2"/>
      <c r="F1008" s="2"/>
      <c r="G1008" s="2"/>
      <c r="H1008" s="2"/>
      <c r="I1008" s="5"/>
    </row>
    <row r="1009" spans="1:9" ht="17.399999999999999" x14ac:dyDescent="0.25">
      <c r="A1009" s="16"/>
      <c r="B1009" s="17"/>
      <c r="C1009" s="2"/>
      <c r="D1009" s="2"/>
      <c r="E1009" s="2"/>
      <c r="F1009" s="2"/>
      <c r="G1009" s="2"/>
      <c r="H1009" s="2"/>
      <c r="I1009" s="5"/>
    </row>
    <row r="1010" spans="1:9" ht="17.399999999999999" x14ac:dyDescent="0.25">
      <c r="A1010" s="16"/>
      <c r="B1010" s="17"/>
      <c r="C1010" s="2"/>
      <c r="D1010" s="2"/>
      <c r="E1010" s="2"/>
      <c r="F1010" s="2"/>
      <c r="G1010" s="2"/>
      <c r="H1010" s="2"/>
      <c r="I1010" s="5"/>
    </row>
    <row r="1011" spans="1:9" ht="17.399999999999999" x14ac:dyDescent="0.25">
      <c r="A1011" s="16"/>
      <c r="B1011" s="17"/>
      <c r="C1011" s="2"/>
      <c r="D1011" s="2"/>
      <c r="E1011" s="2"/>
      <c r="F1011" s="2"/>
      <c r="G1011" s="2"/>
      <c r="H1011" s="2"/>
      <c r="I1011" s="5"/>
    </row>
    <row r="1012" spans="1:9" ht="17.399999999999999" x14ac:dyDescent="0.25">
      <c r="A1012" s="16"/>
      <c r="B1012" s="17"/>
      <c r="C1012" s="2"/>
      <c r="D1012" s="2"/>
      <c r="E1012" s="2"/>
      <c r="F1012" s="2"/>
      <c r="G1012" s="2"/>
      <c r="H1012" s="2"/>
      <c r="I1012" s="5"/>
    </row>
    <row r="1013" spans="1:9" ht="17.399999999999999" x14ac:dyDescent="0.25">
      <c r="A1013" s="16"/>
      <c r="B1013" s="17"/>
      <c r="C1013" s="2"/>
      <c r="D1013" s="2"/>
      <c r="E1013" s="2"/>
      <c r="F1013" s="2"/>
      <c r="G1013" s="2"/>
      <c r="H1013" s="2"/>
      <c r="I1013" s="5"/>
    </row>
    <row r="1014" spans="1:9" ht="17.399999999999999" x14ac:dyDescent="0.25">
      <c r="A1014" s="16"/>
      <c r="B1014" s="17"/>
      <c r="C1014" s="2"/>
      <c r="D1014" s="2"/>
      <c r="E1014" s="2"/>
      <c r="F1014" s="2"/>
      <c r="G1014" s="2"/>
      <c r="H1014" s="2"/>
      <c r="I1014" s="5"/>
    </row>
    <row r="1015" spans="1:9" ht="17.399999999999999" x14ac:dyDescent="0.25">
      <c r="A1015" s="16"/>
      <c r="B1015" s="17"/>
      <c r="C1015" s="2"/>
      <c r="D1015" s="2"/>
      <c r="E1015" s="2"/>
      <c r="F1015" s="2"/>
      <c r="G1015" s="2"/>
      <c r="H1015" s="2"/>
      <c r="I1015" s="5"/>
    </row>
    <row r="1016" spans="1:9" ht="17.399999999999999" x14ac:dyDescent="0.25">
      <c r="A1016" s="16"/>
      <c r="B1016" s="17"/>
      <c r="C1016" s="2"/>
      <c r="D1016" s="2"/>
      <c r="E1016" s="2"/>
      <c r="F1016" s="2"/>
      <c r="G1016" s="2"/>
      <c r="H1016" s="2"/>
      <c r="I1016" s="5"/>
    </row>
    <row r="1017" spans="1:9" ht="17.399999999999999" x14ac:dyDescent="0.25">
      <c r="A1017" s="16"/>
      <c r="B1017" s="17"/>
      <c r="C1017" s="2"/>
      <c r="D1017" s="2"/>
      <c r="E1017" s="2"/>
      <c r="F1017" s="2"/>
      <c r="G1017" s="2"/>
      <c r="H1017" s="2"/>
      <c r="I1017" s="5"/>
    </row>
    <row r="1018" spans="1:9" ht="17.399999999999999" x14ac:dyDescent="0.25">
      <c r="A1018" s="16"/>
      <c r="B1018" s="17"/>
      <c r="C1018" s="2"/>
      <c r="D1018" s="2"/>
      <c r="E1018" s="2"/>
      <c r="F1018" s="2"/>
      <c r="G1018" s="2"/>
      <c r="H1018" s="2"/>
      <c r="I1018" s="5"/>
    </row>
    <row r="1019" spans="1:9" ht="17.399999999999999" x14ac:dyDescent="0.25">
      <c r="A1019" s="16"/>
      <c r="B1019" s="17"/>
      <c r="C1019" s="2"/>
      <c r="D1019" s="2"/>
      <c r="E1019" s="2"/>
      <c r="F1019" s="2"/>
      <c r="G1019" s="2"/>
      <c r="H1019" s="2"/>
      <c r="I1019" s="5"/>
    </row>
    <row r="1020" spans="1:9" ht="17.399999999999999" x14ac:dyDescent="0.25">
      <c r="A1020" s="16"/>
      <c r="B1020" s="17"/>
      <c r="C1020" s="2"/>
      <c r="D1020" s="2"/>
      <c r="E1020" s="2"/>
      <c r="F1020" s="2"/>
      <c r="G1020" s="2"/>
      <c r="H1020" s="2"/>
      <c r="I1020" s="5"/>
    </row>
    <row r="1021" spans="1:9" ht="17.399999999999999" x14ac:dyDescent="0.25">
      <c r="A1021" s="16"/>
      <c r="B1021" s="17"/>
      <c r="C1021" s="2"/>
      <c r="D1021" s="2"/>
      <c r="E1021" s="2"/>
      <c r="F1021" s="2"/>
      <c r="G1021" s="2"/>
      <c r="H1021" s="2"/>
      <c r="I1021" s="5"/>
    </row>
    <row r="1022" spans="1:9" ht="17.399999999999999" x14ac:dyDescent="0.25">
      <c r="A1022" s="16"/>
      <c r="B1022" s="17"/>
      <c r="C1022" s="2"/>
      <c r="D1022" s="2"/>
      <c r="E1022" s="2"/>
      <c r="F1022" s="2"/>
      <c r="G1022" s="2"/>
      <c r="H1022" s="2"/>
      <c r="I1022" s="5"/>
    </row>
    <row r="1023" spans="1:9" ht="17.399999999999999" x14ac:dyDescent="0.25">
      <c r="A1023" s="16"/>
      <c r="B1023" s="17"/>
      <c r="C1023" s="2"/>
      <c r="D1023" s="2"/>
      <c r="E1023" s="2"/>
      <c r="F1023" s="2"/>
      <c r="G1023" s="2"/>
      <c r="H1023" s="2"/>
      <c r="I1023" s="5"/>
    </row>
    <row r="1024" spans="1:9" ht="17.399999999999999" x14ac:dyDescent="0.25">
      <c r="A1024" s="16"/>
      <c r="B1024" s="17"/>
      <c r="C1024" s="2"/>
      <c r="D1024" s="2"/>
      <c r="E1024" s="2"/>
      <c r="F1024" s="2"/>
      <c r="G1024" s="2"/>
      <c r="H1024" s="2"/>
      <c r="I1024" s="5"/>
    </row>
    <row r="1025" spans="1:9" ht="17.399999999999999" x14ac:dyDescent="0.25">
      <c r="A1025" s="16"/>
      <c r="B1025" s="17"/>
      <c r="C1025" s="2"/>
      <c r="D1025" s="2"/>
      <c r="E1025" s="2"/>
      <c r="F1025" s="2"/>
      <c r="G1025" s="2"/>
      <c r="H1025" s="2"/>
      <c r="I1025" s="5"/>
    </row>
    <row r="1026" spans="1:9" ht="17.399999999999999" x14ac:dyDescent="0.25">
      <c r="A1026" s="16"/>
      <c r="B1026" s="17"/>
      <c r="C1026" s="2"/>
      <c r="D1026" s="2"/>
      <c r="E1026" s="2"/>
      <c r="F1026" s="2"/>
      <c r="G1026" s="2"/>
      <c r="H1026" s="2"/>
      <c r="I1026" s="5"/>
    </row>
    <row r="1027" spans="1:9" ht="17.399999999999999" x14ac:dyDescent="0.25">
      <c r="A1027" s="16"/>
      <c r="B1027" s="17"/>
      <c r="C1027" s="2"/>
      <c r="D1027" s="2"/>
      <c r="E1027" s="2"/>
      <c r="F1027" s="2"/>
      <c r="G1027" s="2"/>
      <c r="H1027" s="2"/>
      <c r="I1027" s="5"/>
    </row>
    <row r="1028" spans="1:9" ht="17.399999999999999" x14ac:dyDescent="0.25">
      <c r="A1028" s="16"/>
      <c r="B1028" s="17"/>
      <c r="C1028" s="2"/>
      <c r="D1028" s="2"/>
      <c r="E1028" s="2"/>
      <c r="F1028" s="2"/>
      <c r="G1028" s="2"/>
      <c r="H1028" s="2"/>
      <c r="I1028" s="5"/>
    </row>
    <row r="1029" spans="1:9" ht="17.399999999999999" x14ac:dyDescent="0.25">
      <c r="A1029" s="16"/>
      <c r="B1029" s="17"/>
      <c r="C1029" s="2"/>
      <c r="D1029" s="2"/>
      <c r="E1029" s="2"/>
      <c r="F1029" s="2"/>
      <c r="G1029" s="2"/>
      <c r="H1029" s="2"/>
      <c r="I1029" s="5"/>
    </row>
    <row r="1030" spans="1:9" ht="17.399999999999999" x14ac:dyDescent="0.25">
      <c r="A1030" s="16"/>
      <c r="B1030" s="17"/>
      <c r="C1030" s="2"/>
      <c r="D1030" s="2"/>
      <c r="E1030" s="2"/>
      <c r="F1030" s="2"/>
      <c r="G1030" s="2"/>
      <c r="H1030" s="2"/>
      <c r="I1030" s="5"/>
    </row>
    <row r="1031" spans="1:9" ht="17.399999999999999" x14ac:dyDescent="0.25">
      <c r="A1031" s="16"/>
      <c r="B1031" s="17"/>
      <c r="C1031" s="2"/>
      <c r="D1031" s="2"/>
      <c r="E1031" s="2"/>
      <c r="F1031" s="2"/>
      <c r="G1031" s="2"/>
      <c r="H1031" s="2"/>
      <c r="I1031" s="5"/>
    </row>
    <row r="1032" spans="1:9" ht="17.399999999999999" x14ac:dyDescent="0.25">
      <c r="A1032" s="16"/>
      <c r="B1032" s="17"/>
      <c r="C1032" s="2"/>
      <c r="D1032" s="2"/>
      <c r="E1032" s="2"/>
      <c r="F1032" s="2"/>
      <c r="G1032" s="2"/>
      <c r="H1032" s="2"/>
      <c r="I1032" s="5"/>
    </row>
    <row r="1033" spans="1:9" ht="17.399999999999999" x14ac:dyDescent="0.25">
      <c r="A1033" s="16"/>
      <c r="B1033" s="17"/>
      <c r="C1033" s="2"/>
      <c r="D1033" s="2"/>
      <c r="E1033" s="2"/>
      <c r="F1033" s="2"/>
      <c r="G1033" s="2"/>
      <c r="H1033" s="2"/>
      <c r="I1033" s="5"/>
    </row>
    <row r="1034" spans="1:9" ht="17.399999999999999" x14ac:dyDescent="0.25">
      <c r="A1034" s="16"/>
      <c r="B1034" s="17"/>
      <c r="C1034" s="2"/>
      <c r="D1034" s="2"/>
      <c r="E1034" s="2"/>
      <c r="F1034" s="2"/>
      <c r="G1034" s="2"/>
      <c r="H1034" s="2"/>
      <c r="I1034" s="5"/>
    </row>
    <row r="1035" spans="1:9" ht="17.399999999999999" x14ac:dyDescent="0.25">
      <c r="A1035" s="16"/>
      <c r="B1035" s="17"/>
      <c r="C1035" s="2"/>
      <c r="D1035" s="2"/>
      <c r="E1035" s="2"/>
      <c r="F1035" s="2"/>
      <c r="G1035" s="2"/>
      <c r="H1035" s="2"/>
      <c r="I1035" s="5"/>
    </row>
    <row r="1036" spans="1:9" ht="17.399999999999999" x14ac:dyDescent="0.25">
      <c r="A1036" s="16"/>
      <c r="B1036" s="17"/>
      <c r="C1036" s="2"/>
      <c r="D1036" s="2"/>
      <c r="E1036" s="2"/>
      <c r="F1036" s="2"/>
      <c r="G1036" s="2"/>
      <c r="H1036" s="2"/>
      <c r="I1036" s="5"/>
    </row>
    <row r="1037" spans="1:9" ht="17.399999999999999" x14ac:dyDescent="0.25">
      <c r="A1037" s="16"/>
      <c r="B1037" s="17"/>
      <c r="C1037" s="2"/>
      <c r="D1037" s="2"/>
      <c r="E1037" s="2"/>
      <c r="F1037" s="2"/>
      <c r="G1037" s="2"/>
      <c r="H1037" s="2"/>
      <c r="I1037" s="5"/>
    </row>
    <row r="1038" spans="1:9" ht="17.399999999999999" x14ac:dyDescent="0.25">
      <c r="A1038" s="16"/>
      <c r="B1038" s="17"/>
      <c r="C1038" s="2"/>
      <c r="D1038" s="2"/>
      <c r="E1038" s="2"/>
      <c r="F1038" s="2"/>
      <c r="G1038" s="2"/>
      <c r="H1038" s="2"/>
      <c r="I1038" s="5"/>
    </row>
    <row r="1039" spans="1:9" ht="17.399999999999999" x14ac:dyDescent="0.25">
      <c r="A1039" s="16"/>
      <c r="B1039" s="17"/>
      <c r="C1039" s="2"/>
      <c r="D1039" s="2"/>
      <c r="E1039" s="2"/>
      <c r="F1039" s="2"/>
      <c r="G1039" s="2"/>
      <c r="H1039" s="2"/>
      <c r="I1039" s="5"/>
    </row>
    <row r="1040" spans="1:9" ht="17.399999999999999" x14ac:dyDescent="0.25">
      <c r="A1040" s="16"/>
      <c r="B1040" s="17"/>
      <c r="C1040" s="2"/>
      <c r="D1040" s="2"/>
      <c r="E1040" s="2"/>
      <c r="F1040" s="2"/>
      <c r="G1040" s="2"/>
      <c r="H1040" s="2"/>
      <c r="I1040" s="5"/>
    </row>
    <row r="1041" spans="1:9" ht="17.399999999999999" x14ac:dyDescent="0.25">
      <c r="A1041" s="16"/>
      <c r="B1041" s="17"/>
      <c r="C1041" s="2"/>
      <c r="D1041" s="2"/>
      <c r="E1041" s="2"/>
      <c r="F1041" s="2"/>
      <c r="G1041" s="2"/>
      <c r="H1041" s="2"/>
      <c r="I1041" s="5"/>
    </row>
    <row r="1042" spans="1:9" ht="17.399999999999999" x14ac:dyDescent="0.25">
      <c r="A1042" s="16"/>
      <c r="B1042" s="17"/>
      <c r="C1042" s="2"/>
      <c r="D1042" s="2"/>
      <c r="E1042" s="2"/>
      <c r="F1042" s="2"/>
      <c r="G1042" s="2"/>
      <c r="H1042" s="2"/>
      <c r="I1042" s="5"/>
    </row>
    <row r="1043" spans="1:9" ht="17.399999999999999" x14ac:dyDescent="0.25">
      <c r="A1043" s="16"/>
      <c r="B1043" s="17"/>
      <c r="C1043" s="2"/>
      <c r="D1043" s="2"/>
      <c r="E1043" s="2"/>
      <c r="F1043" s="2"/>
      <c r="G1043" s="2"/>
      <c r="H1043" s="2"/>
      <c r="I1043" s="5"/>
    </row>
    <row r="1044" spans="1:9" ht="17.399999999999999" x14ac:dyDescent="0.25">
      <c r="A1044" s="16"/>
      <c r="B1044" s="17"/>
      <c r="C1044" s="2"/>
      <c r="D1044" s="2"/>
      <c r="E1044" s="2"/>
      <c r="F1044" s="2"/>
      <c r="G1044" s="2"/>
      <c r="H1044" s="2"/>
      <c r="I1044" s="5"/>
    </row>
    <row r="1045" spans="1:9" ht="17.399999999999999" x14ac:dyDescent="0.25">
      <c r="A1045" s="16"/>
      <c r="B1045" s="17"/>
      <c r="C1045" s="2"/>
      <c r="D1045" s="2"/>
      <c r="E1045" s="2"/>
      <c r="F1045" s="2"/>
      <c r="G1045" s="2"/>
      <c r="H1045" s="2"/>
      <c r="I1045" s="5"/>
    </row>
    <row r="1046" spans="1:9" ht="17.399999999999999" x14ac:dyDescent="0.25">
      <c r="A1046" s="16"/>
      <c r="B1046" s="17"/>
      <c r="C1046" s="2"/>
      <c r="D1046" s="2"/>
      <c r="E1046" s="2"/>
      <c r="F1046" s="2"/>
      <c r="G1046" s="2"/>
      <c r="H1046" s="2"/>
      <c r="I1046" s="5"/>
    </row>
    <row r="1047" spans="1:9" ht="17.399999999999999" x14ac:dyDescent="0.25">
      <c r="A1047" s="16"/>
      <c r="B1047" s="17"/>
      <c r="C1047" s="2"/>
      <c r="D1047" s="2"/>
      <c r="E1047" s="2"/>
      <c r="F1047" s="2"/>
      <c r="G1047" s="2"/>
      <c r="H1047" s="2"/>
      <c r="I1047" s="5"/>
    </row>
    <row r="1048" spans="1:9" ht="17.399999999999999" x14ac:dyDescent="0.25">
      <c r="A1048" s="16"/>
      <c r="B1048" s="17"/>
      <c r="C1048" s="2"/>
      <c r="D1048" s="2"/>
      <c r="E1048" s="2"/>
      <c r="F1048" s="2"/>
      <c r="G1048" s="2"/>
      <c r="H1048" s="2"/>
      <c r="I1048" s="5"/>
    </row>
    <row r="1049" spans="1:9" ht="17.399999999999999" x14ac:dyDescent="0.25">
      <c r="A1049" s="16"/>
      <c r="B1049" s="17"/>
      <c r="C1049" s="2"/>
      <c r="D1049" s="2"/>
      <c r="E1049" s="2"/>
      <c r="F1049" s="2"/>
      <c r="G1049" s="2"/>
      <c r="H1049" s="2"/>
      <c r="I1049" s="5"/>
    </row>
    <row r="1050" spans="1:9" ht="17.399999999999999" x14ac:dyDescent="0.25">
      <c r="A1050" s="16"/>
      <c r="B1050" s="17"/>
      <c r="C1050" s="2"/>
      <c r="D1050" s="2"/>
      <c r="E1050" s="2"/>
      <c r="F1050" s="2"/>
      <c r="G1050" s="2"/>
      <c r="H1050" s="2"/>
      <c r="I1050" s="5"/>
    </row>
    <row r="1051" spans="1:9" ht="17.399999999999999" x14ac:dyDescent="0.25">
      <c r="A1051" s="16"/>
      <c r="B1051" s="17"/>
      <c r="C1051" s="2"/>
      <c r="D1051" s="2"/>
      <c r="E1051" s="2"/>
      <c r="F1051" s="2"/>
      <c r="G1051" s="2"/>
      <c r="H1051" s="2"/>
      <c r="I1051" s="5"/>
    </row>
    <row r="1052" spans="1:9" ht="17.399999999999999" x14ac:dyDescent="0.25">
      <c r="A1052" s="16"/>
      <c r="B1052" s="17"/>
      <c r="C1052" s="2"/>
      <c r="D1052" s="2"/>
      <c r="E1052" s="2"/>
      <c r="F1052" s="2"/>
      <c r="G1052" s="2"/>
      <c r="H1052" s="2"/>
      <c r="I1052" s="5"/>
    </row>
    <row r="1053" spans="1:9" ht="17.399999999999999" x14ac:dyDescent="0.25">
      <c r="A1053" s="16"/>
      <c r="B1053" s="17"/>
      <c r="C1053" s="2"/>
      <c r="D1053" s="2"/>
      <c r="E1053" s="2"/>
      <c r="F1053" s="2"/>
      <c r="G1053" s="2"/>
      <c r="H1053" s="2"/>
      <c r="I1053" s="5"/>
    </row>
    <row r="1054" spans="1:9" ht="17.399999999999999" x14ac:dyDescent="0.25">
      <c r="A1054" s="16"/>
      <c r="B1054" s="17"/>
      <c r="C1054" s="2"/>
      <c r="D1054" s="2"/>
      <c r="E1054" s="2"/>
      <c r="F1054" s="2"/>
      <c r="G1054" s="2"/>
      <c r="H1054" s="2"/>
      <c r="I1054" s="5"/>
    </row>
    <row r="1055" spans="1:9" ht="17.399999999999999" x14ac:dyDescent="0.25">
      <c r="A1055" s="16"/>
      <c r="B1055" s="17"/>
      <c r="C1055" s="2"/>
      <c r="D1055" s="2"/>
      <c r="E1055" s="2"/>
      <c r="F1055" s="2"/>
      <c r="G1055" s="2"/>
      <c r="H1055" s="2"/>
      <c r="I1055" s="5"/>
    </row>
    <row r="1056" spans="1:9" ht="17.399999999999999" x14ac:dyDescent="0.25">
      <c r="A1056" s="16"/>
      <c r="B1056" s="17"/>
      <c r="C1056" s="2"/>
      <c r="D1056" s="2"/>
      <c r="E1056" s="2"/>
      <c r="F1056" s="2"/>
      <c r="G1056" s="2"/>
      <c r="H1056" s="2"/>
      <c r="I1056" s="5"/>
    </row>
    <row r="1057" spans="1:9" ht="17.399999999999999" x14ac:dyDescent="0.25">
      <c r="A1057" s="16"/>
      <c r="B1057" s="17"/>
      <c r="C1057" s="2"/>
      <c r="D1057" s="2"/>
      <c r="E1057" s="2"/>
      <c r="F1057" s="2"/>
      <c r="G1057" s="2"/>
      <c r="H1057" s="2"/>
      <c r="I1057" s="5"/>
    </row>
    <row r="1058" spans="1:9" ht="17.399999999999999" x14ac:dyDescent="0.25">
      <c r="A1058" s="16"/>
      <c r="B1058" s="17"/>
      <c r="C1058" s="2"/>
      <c r="D1058" s="2"/>
      <c r="E1058" s="2"/>
      <c r="F1058" s="2"/>
      <c r="G1058" s="2"/>
      <c r="H1058" s="2"/>
      <c r="I1058" s="5"/>
    </row>
    <row r="1059" spans="1:9" ht="17.399999999999999" x14ac:dyDescent="0.25">
      <c r="A1059" s="16"/>
      <c r="B1059" s="17"/>
      <c r="C1059" s="2"/>
      <c r="D1059" s="2"/>
      <c r="E1059" s="2"/>
      <c r="F1059" s="2"/>
      <c r="G1059" s="2"/>
      <c r="H1059" s="2"/>
      <c r="I1059" s="5"/>
    </row>
    <row r="1060" spans="1:9" ht="17.399999999999999" x14ac:dyDescent="0.25">
      <c r="A1060" s="16"/>
      <c r="B1060" s="17"/>
      <c r="C1060" s="2"/>
      <c r="D1060" s="2"/>
      <c r="E1060" s="2"/>
      <c r="F1060" s="2"/>
      <c r="G1060" s="2"/>
      <c r="H1060" s="2"/>
      <c r="I1060" s="5"/>
    </row>
    <row r="1061" spans="1:9" ht="17.399999999999999" x14ac:dyDescent="0.25">
      <c r="A1061" s="16"/>
      <c r="B1061" s="17"/>
      <c r="C1061" s="2"/>
      <c r="D1061" s="2"/>
      <c r="E1061" s="2"/>
      <c r="F1061" s="2"/>
      <c r="G1061" s="2"/>
      <c r="H1061" s="2"/>
      <c r="I1061" s="5"/>
    </row>
    <row r="1062" spans="1:9" ht="17.399999999999999" x14ac:dyDescent="0.25">
      <c r="A1062" s="16"/>
      <c r="B1062" s="17"/>
      <c r="C1062" s="2"/>
      <c r="D1062" s="2"/>
      <c r="E1062" s="2"/>
      <c r="F1062" s="2"/>
      <c r="G1062" s="2"/>
      <c r="H1062" s="2"/>
      <c r="I1062" s="5"/>
    </row>
    <row r="1063" spans="1:9" ht="17.399999999999999" x14ac:dyDescent="0.25">
      <c r="A1063" s="16"/>
      <c r="B1063" s="17"/>
      <c r="C1063" s="2"/>
      <c r="D1063" s="2"/>
      <c r="E1063" s="2"/>
      <c r="F1063" s="2"/>
      <c r="G1063" s="2"/>
      <c r="H1063" s="2"/>
      <c r="I1063" s="5"/>
    </row>
    <row r="1064" spans="1:9" ht="17.399999999999999" x14ac:dyDescent="0.25">
      <c r="A1064" s="16"/>
      <c r="B1064" s="17"/>
      <c r="C1064" s="2"/>
      <c r="D1064" s="2"/>
      <c r="E1064" s="2"/>
      <c r="F1064" s="2"/>
      <c r="G1064" s="2"/>
      <c r="H1064" s="2"/>
      <c r="I1064" s="5"/>
    </row>
    <row r="1065" spans="1:9" ht="17.399999999999999" x14ac:dyDescent="0.25">
      <c r="A1065" s="16"/>
      <c r="B1065" s="17"/>
      <c r="C1065" s="2"/>
      <c r="D1065" s="2"/>
      <c r="E1065" s="2"/>
      <c r="F1065" s="2"/>
      <c r="G1065" s="2"/>
      <c r="H1065" s="2"/>
      <c r="I1065" s="5"/>
    </row>
    <row r="1066" spans="1:9" ht="17.399999999999999" x14ac:dyDescent="0.25">
      <c r="A1066" s="16"/>
      <c r="B1066" s="17"/>
      <c r="C1066" s="2"/>
      <c r="D1066" s="2"/>
      <c r="E1066" s="2"/>
      <c r="F1066" s="2"/>
      <c r="G1066" s="2"/>
      <c r="H1066" s="2"/>
      <c r="I1066" s="5"/>
    </row>
    <row r="1067" spans="1:9" ht="17.399999999999999" x14ac:dyDescent="0.25">
      <c r="A1067" s="16"/>
      <c r="B1067" s="17"/>
      <c r="C1067" s="2"/>
      <c r="D1067" s="2"/>
      <c r="E1067" s="2"/>
      <c r="F1067" s="2"/>
      <c r="G1067" s="2"/>
      <c r="H1067" s="2"/>
      <c r="I1067" s="5"/>
    </row>
    <row r="1068" spans="1:9" ht="17.399999999999999" x14ac:dyDescent="0.25">
      <c r="A1068" s="16"/>
      <c r="B1068" s="17"/>
      <c r="C1068" s="2"/>
      <c r="D1068" s="2"/>
      <c r="E1068" s="2"/>
      <c r="F1068" s="2"/>
      <c r="G1068" s="2"/>
      <c r="H1068" s="2"/>
      <c r="I1068" s="5"/>
    </row>
    <row r="1069" spans="1:9" ht="17.399999999999999" x14ac:dyDescent="0.25">
      <c r="A1069" s="16"/>
      <c r="B1069" s="17"/>
      <c r="C1069" s="2"/>
      <c r="D1069" s="2"/>
      <c r="E1069" s="2"/>
      <c r="F1069" s="2"/>
      <c r="G1069" s="2"/>
      <c r="H1069" s="2"/>
      <c r="I1069" s="5"/>
    </row>
    <row r="1070" spans="1:9" ht="17.399999999999999" x14ac:dyDescent="0.25">
      <c r="A1070" s="16"/>
      <c r="B1070" s="17"/>
      <c r="C1070" s="2"/>
      <c r="D1070" s="2"/>
      <c r="E1070" s="2"/>
      <c r="F1070" s="2"/>
      <c r="G1070" s="2"/>
      <c r="H1070" s="2"/>
      <c r="I1070" s="5"/>
    </row>
    <row r="1071" spans="1:9" ht="17.399999999999999" x14ac:dyDescent="0.25">
      <c r="A1071" s="16"/>
      <c r="B1071" s="17"/>
      <c r="C1071" s="2"/>
      <c r="D1071" s="2"/>
      <c r="E1071" s="2"/>
      <c r="F1071" s="2"/>
      <c r="G1071" s="2"/>
      <c r="H1071" s="2"/>
      <c r="I1071" s="5"/>
    </row>
    <row r="1072" spans="1:9" ht="17.399999999999999" x14ac:dyDescent="0.25">
      <c r="A1072" s="16"/>
      <c r="B1072" s="17"/>
      <c r="C1072" s="2"/>
      <c r="D1072" s="2"/>
      <c r="E1072" s="2"/>
      <c r="F1072" s="2"/>
      <c r="G1072" s="2"/>
      <c r="H1072" s="2"/>
      <c r="I1072" s="5"/>
    </row>
    <row r="1073" spans="1:9" ht="17.399999999999999" x14ac:dyDescent="0.25">
      <c r="A1073" s="16"/>
      <c r="B1073" s="17"/>
      <c r="C1073" s="2"/>
      <c r="D1073" s="2"/>
      <c r="E1073" s="2"/>
      <c r="F1073" s="2"/>
      <c r="G1073" s="2"/>
      <c r="H1073" s="2"/>
      <c r="I1073" s="5"/>
    </row>
    <row r="1074" spans="1:9" ht="17.399999999999999" x14ac:dyDescent="0.25">
      <c r="A1074" s="16"/>
      <c r="B1074" s="17"/>
      <c r="C1074" s="2"/>
      <c r="D1074" s="2"/>
      <c r="E1074" s="2"/>
      <c r="F1074" s="2"/>
      <c r="G1074" s="2"/>
      <c r="H1074" s="2"/>
      <c r="I1074" s="5"/>
    </row>
    <row r="1075" spans="1:9" ht="17.399999999999999" x14ac:dyDescent="0.25">
      <c r="A1075" s="16"/>
      <c r="B1075" s="17"/>
      <c r="C1075" s="2"/>
      <c r="D1075" s="2"/>
      <c r="E1075" s="2"/>
      <c r="F1075" s="2"/>
      <c r="G1075" s="2"/>
      <c r="H1075" s="2"/>
      <c r="I1075" s="5"/>
    </row>
    <row r="1076" spans="1:9" ht="17.399999999999999" x14ac:dyDescent="0.25">
      <c r="A1076" s="16"/>
      <c r="B1076" s="17"/>
      <c r="C1076" s="2"/>
      <c r="D1076" s="2"/>
      <c r="E1076" s="2"/>
      <c r="F1076" s="2"/>
      <c r="G1076" s="2"/>
      <c r="H1076" s="2"/>
      <c r="I1076" s="5"/>
    </row>
    <row r="1077" spans="1:9" ht="17.399999999999999" x14ac:dyDescent="0.25">
      <c r="A1077" s="16"/>
      <c r="B1077" s="17"/>
      <c r="C1077" s="2"/>
      <c r="D1077" s="2"/>
      <c r="E1077" s="2"/>
      <c r="F1077" s="2"/>
      <c r="G1077" s="2"/>
      <c r="H1077" s="2"/>
      <c r="I1077" s="5"/>
    </row>
    <row r="1078" spans="1:9" ht="17.399999999999999" x14ac:dyDescent="0.25">
      <c r="A1078" s="16"/>
      <c r="B1078" s="17"/>
      <c r="C1078" s="2"/>
      <c r="D1078" s="2"/>
      <c r="E1078" s="2"/>
      <c r="F1078" s="2"/>
      <c r="G1078" s="2"/>
      <c r="H1078" s="2"/>
      <c r="I1078" s="5"/>
    </row>
    <row r="1079" spans="1:9" ht="17.399999999999999" x14ac:dyDescent="0.25">
      <c r="A1079" s="16"/>
      <c r="B1079" s="17"/>
      <c r="C1079" s="2"/>
      <c r="D1079" s="2"/>
      <c r="E1079" s="2"/>
      <c r="F1079" s="2"/>
      <c r="G1079" s="2"/>
      <c r="H1079" s="2"/>
      <c r="I1079" s="5"/>
    </row>
    <row r="1080" spans="1:9" ht="17.399999999999999" x14ac:dyDescent="0.25">
      <c r="A1080" s="16"/>
      <c r="B1080" s="17"/>
      <c r="C1080" s="2"/>
      <c r="D1080" s="2"/>
      <c r="E1080" s="2"/>
      <c r="F1080" s="2"/>
      <c r="G1080" s="2"/>
      <c r="H1080" s="2"/>
      <c r="I1080" s="5"/>
    </row>
    <row r="1081" spans="1:9" ht="17.399999999999999" x14ac:dyDescent="0.25">
      <c r="A1081" s="16"/>
      <c r="B1081" s="17"/>
      <c r="C1081" s="2"/>
      <c r="D1081" s="2"/>
      <c r="E1081" s="2"/>
      <c r="F1081" s="2"/>
      <c r="G1081" s="2"/>
      <c r="H1081" s="2"/>
      <c r="I1081" s="5"/>
    </row>
    <row r="1082" spans="1:9" ht="17.399999999999999" x14ac:dyDescent="0.25">
      <c r="A1082" s="16"/>
      <c r="B1082" s="17"/>
      <c r="C1082" s="2"/>
      <c r="D1082" s="2"/>
      <c r="E1082" s="2"/>
      <c r="F1082" s="2"/>
      <c r="G1082" s="2"/>
      <c r="H1082" s="2"/>
      <c r="I1082" s="5"/>
    </row>
    <row r="1083" spans="1:9" ht="17.399999999999999" x14ac:dyDescent="0.25">
      <c r="A1083" s="16"/>
      <c r="B1083" s="17"/>
      <c r="C1083" s="2"/>
      <c r="D1083" s="2"/>
      <c r="E1083" s="2"/>
      <c r="F1083" s="2"/>
      <c r="G1083" s="2"/>
      <c r="H1083" s="2"/>
      <c r="I1083" s="5"/>
    </row>
    <row r="1084" spans="1:9" ht="17.399999999999999" x14ac:dyDescent="0.25">
      <c r="A1084" s="16"/>
      <c r="B1084" s="17"/>
      <c r="C1084" s="2"/>
      <c r="D1084" s="2"/>
      <c r="E1084" s="2"/>
      <c r="F1084" s="2"/>
      <c r="G1084" s="2"/>
      <c r="H1084" s="2"/>
      <c r="I1084" s="5"/>
    </row>
    <row r="1085" spans="1:9" ht="17.399999999999999" x14ac:dyDescent="0.25">
      <c r="A1085" s="16"/>
      <c r="B1085" s="17"/>
      <c r="C1085" s="2"/>
      <c r="D1085" s="2"/>
      <c r="E1085" s="2"/>
      <c r="F1085" s="2"/>
      <c r="G1085" s="2"/>
      <c r="H1085" s="2"/>
      <c r="I1085" s="5"/>
    </row>
    <row r="1086" spans="1:9" ht="17.399999999999999" x14ac:dyDescent="0.25">
      <c r="A1086" s="16"/>
      <c r="B1086" s="17"/>
      <c r="C1086" s="2"/>
      <c r="D1086" s="2"/>
      <c r="E1086" s="2"/>
      <c r="F1086" s="2"/>
      <c r="G1086" s="2"/>
      <c r="H1086" s="2"/>
      <c r="I1086" s="5"/>
    </row>
    <row r="1087" spans="1:9" ht="17.399999999999999" x14ac:dyDescent="0.25">
      <c r="A1087" s="16"/>
      <c r="B1087" s="17"/>
      <c r="C1087" s="2"/>
      <c r="D1087" s="2"/>
      <c r="E1087" s="2"/>
      <c r="F1087" s="2"/>
      <c r="G1087" s="2"/>
      <c r="H1087" s="2"/>
      <c r="I1087" s="5"/>
    </row>
    <row r="1088" spans="1:9" ht="17.399999999999999" x14ac:dyDescent="0.25">
      <c r="A1088" s="16"/>
      <c r="B1088" s="17"/>
      <c r="C1088" s="2"/>
      <c r="D1088" s="2"/>
      <c r="E1088" s="2"/>
      <c r="F1088" s="2"/>
      <c r="G1088" s="2"/>
      <c r="H1088" s="2"/>
      <c r="I1088" s="5"/>
    </row>
    <row r="1089" spans="1:9" ht="17.399999999999999" x14ac:dyDescent="0.25">
      <c r="A1089" s="16"/>
      <c r="B1089" s="17"/>
      <c r="C1089" s="2"/>
      <c r="D1089" s="2"/>
      <c r="E1089" s="2"/>
      <c r="F1089" s="2"/>
      <c r="G1089" s="2"/>
      <c r="H1089" s="2"/>
      <c r="I1089" s="5"/>
    </row>
    <row r="1090" spans="1:9" ht="17.399999999999999" x14ac:dyDescent="0.25">
      <c r="A1090" s="16"/>
      <c r="B1090" s="17"/>
      <c r="C1090" s="2"/>
      <c r="D1090" s="2"/>
      <c r="E1090" s="2"/>
      <c r="F1090" s="2"/>
      <c r="G1090" s="2"/>
      <c r="H1090" s="2"/>
      <c r="I1090" s="5"/>
    </row>
    <row r="1091" spans="1:9" ht="17.399999999999999" x14ac:dyDescent="0.25">
      <c r="A1091" s="16"/>
      <c r="B1091" s="17"/>
      <c r="C1091" s="2"/>
      <c r="D1091" s="2"/>
      <c r="E1091" s="2"/>
      <c r="F1091" s="2"/>
      <c r="G1091" s="2"/>
      <c r="H1091" s="2"/>
      <c r="I1091" s="5"/>
    </row>
    <row r="1092" spans="1:9" ht="17.399999999999999" x14ac:dyDescent="0.25">
      <c r="A1092" s="16"/>
      <c r="B1092" s="17"/>
      <c r="C1092" s="2"/>
      <c r="D1092" s="2"/>
      <c r="E1092" s="2"/>
      <c r="F1092" s="2"/>
      <c r="G1092" s="2"/>
      <c r="H1092" s="2"/>
      <c r="I1092" s="5"/>
    </row>
    <row r="1093" spans="1:9" ht="17.399999999999999" x14ac:dyDescent="0.25">
      <c r="A1093" s="16"/>
      <c r="B1093" s="17"/>
      <c r="C1093" s="2"/>
      <c r="D1093" s="2"/>
      <c r="E1093" s="2"/>
      <c r="F1093" s="2"/>
      <c r="G1093" s="2"/>
      <c r="H1093" s="2"/>
      <c r="I1093" s="5"/>
    </row>
    <row r="1094" spans="1:9" ht="17.399999999999999" x14ac:dyDescent="0.25">
      <c r="A1094" s="16"/>
      <c r="B1094" s="17"/>
      <c r="C1094" s="2"/>
      <c r="D1094" s="2"/>
      <c r="E1094" s="2"/>
      <c r="F1094" s="2"/>
      <c r="G1094" s="2"/>
      <c r="H1094" s="2"/>
      <c r="I1094" s="5"/>
    </row>
    <row r="1095" spans="1:9" ht="17.399999999999999" x14ac:dyDescent="0.25">
      <c r="A1095" s="16"/>
      <c r="B1095" s="17"/>
      <c r="C1095" s="2"/>
      <c r="D1095" s="2"/>
      <c r="E1095" s="2"/>
      <c r="F1095" s="2"/>
      <c r="G1095" s="2"/>
      <c r="H1095" s="2"/>
      <c r="I1095" s="5"/>
    </row>
    <row r="1096" spans="1:9" ht="17.399999999999999" x14ac:dyDescent="0.25">
      <c r="A1096" s="16"/>
      <c r="B1096" s="17"/>
      <c r="C1096" s="2"/>
      <c r="D1096" s="2"/>
      <c r="E1096" s="2"/>
      <c r="F1096" s="2"/>
      <c r="G1096" s="2"/>
      <c r="H1096" s="2"/>
      <c r="I1096" s="5"/>
    </row>
    <row r="1097" spans="1:9" ht="17.399999999999999" x14ac:dyDescent="0.25">
      <c r="A1097" s="16"/>
      <c r="B1097" s="17"/>
      <c r="C1097" s="2"/>
      <c r="D1097" s="2"/>
      <c r="E1097" s="2"/>
      <c r="F1097" s="2"/>
      <c r="G1097" s="2"/>
      <c r="H1097" s="2"/>
      <c r="I1097" s="5"/>
    </row>
    <row r="1098" spans="1:9" ht="17.399999999999999" x14ac:dyDescent="0.25">
      <c r="A1098" s="16"/>
      <c r="B1098" s="17"/>
      <c r="C1098" s="2"/>
      <c r="D1098" s="2"/>
      <c r="E1098" s="2"/>
      <c r="F1098" s="2"/>
      <c r="G1098" s="2"/>
      <c r="H1098" s="2"/>
      <c r="I1098" s="5"/>
    </row>
    <row r="1099" spans="1:9" ht="17.399999999999999" x14ac:dyDescent="0.25">
      <c r="A1099" s="16"/>
      <c r="B1099" s="17"/>
      <c r="C1099" s="2"/>
      <c r="D1099" s="2"/>
      <c r="E1099" s="2"/>
      <c r="F1099" s="2"/>
      <c r="G1099" s="2"/>
      <c r="H1099" s="2"/>
      <c r="I1099" s="5"/>
    </row>
    <row r="1100" spans="1:9" ht="17.399999999999999" x14ac:dyDescent="0.25">
      <c r="A1100" s="16"/>
      <c r="B1100" s="17"/>
      <c r="C1100" s="2"/>
      <c r="D1100" s="2"/>
      <c r="E1100" s="2"/>
      <c r="F1100" s="2"/>
      <c r="G1100" s="2"/>
      <c r="H1100" s="2"/>
      <c r="I1100" s="5"/>
    </row>
    <row r="1101" spans="1:9" ht="17.399999999999999" x14ac:dyDescent="0.25">
      <c r="A1101" s="16"/>
      <c r="B1101" s="17"/>
      <c r="C1101" s="2"/>
      <c r="D1101" s="2"/>
      <c r="E1101" s="2"/>
      <c r="F1101" s="2"/>
      <c r="G1101" s="2"/>
      <c r="H1101" s="2"/>
      <c r="I1101" s="5"/>
    </row>
    <row r="1102" spans="1:9" ht="17.399999999999999" x14ac:dyDescent="0.25">
      <c r="A1102" s="16"/>
      <c r="B1102" s="17"/>
      <c r="C1102" s="2"/>
      <c r="D1102" s="2"/>
      <c r="E1102" s="2"/>
      <c r="F1102" s="2"/>
      <c r="G1102" s="2"/>
      <c r="H1102" s="2"/>
      <c r="I1102" s="5"/>
    </row>
    <row r="1103" spans="1:9" ht="17.399999999999999" x14ac:dyDescent="0.25">
      <c r="A1103" s="16"/>
      <c r="B1103" s="17"/>
      <c r="C1103" s="2"/>
      <c r="D1103" s="2"/>
      <c r="E1103" s="2"/>
      <c r="F1103" s="2"/>
      <c r="G1103" s="2"/>
      <c r="H1103" s="2"/>
      <c r="I1103" s="5"/>
    </row>
    <row r="1104" spans="1:9" ht="17.399999999999999" x14ac:dyDescent="0.25">
      <c r="A1104" s="16"/>
      <c r="B1104" s="17"/>
      <c r="C1104" s="2"/>
      <c r="D1104" s="2"/>
      <c r="E1104" s="2"/>
      <c r="F1104" s="2"/>
      <c r="G1104" s="2"/>
      <c r="H1104" s="2"/>
      <c r="I1104" s="5"/>
    </row>
    <row r="1105" spans="1:9" ht="17.399999999999999" x14ac:dyDescent="0.25">
      <c r="A1105" s="16"/>
      <c r="B1105" s="17"/>
      <c r="C1105" s="2"/>
      <c r="D1105" s="2"/>
      <c r="E1105" s="2"/>
      <c r="F1105" s="2"/>
      <c r="G1105" s="2"/>
      <c r="H1105" s="2"/>
      <c r="I1105" s="5"/>
    </row>
    <row r="1106" spans="1:9" ht="17.399999999999999" x14ac:dyDescent="0.25">
      <c r="A1106" s="16"/>
      <c r="B1106" s="17"/>
      <c r="C1106" s="2"/>
      <c r="D1106" s="2"/>
      <c r="E1106" s="2"/>
      <c r="F1106" s="2"/>
      <c r="G1106" s="2"/>
      <c r="H1106" s="2"/>
      <c r="I1106" s="5"/>
    </row>
    <row r="1107" spans="1:9" ht="17.399999999999999" x14ac:dyDescent="0.25">
      <c r="A1107" s="16"/>
      <c r="B1107" s="17"/>
      <c r="C1107" s="2"/>
      <c r="D1107" s="2"/>
      <c r="E1107" s="2"/>
      <c r="F1107" s="2"/>
      <c r="G1107" s="2"/>
      <c r="H1107" s="2"/>
      <c r="I1107" s="5"/>
    </row>
    <row r="1108" spans="1:9" ht="17.399999999999999" x14ac:dyDescent="0.25">
      <c r="A1108" s="16"/>
      <c r="B1108" s="17"/>
      <c r="C1108" s="2"/>
      <c r="D1108" s="2"/>
      <c r="E1108" s="2"/>
      <c r="F1108" s="2"/>
      <c r="G1108" s="2"/>
      <c r="H1108" s="2"/>
      <c r="I1108" s="5"/>
    </row>
    <row r="1109" spans="1:9" ht="17.399999999999999" x14ac:dyDescent="0.25">
      <c r="A1109" s="16"/>
      <c r="B1109" s="17"/>
      <c r="C1109" s="2"/>
      <c r="D1109" s="2"/>
      <c r="E1109" s="2"/>
      <c r="F1109" s="2"/>
      <c r="G1109" s="2"/>
      <c r="H1109" s="2"/>
      <c r="I1109" s="5"/>
    </row>
    <row r="1110" spans="1:9" ht="17.399999999999999" x14ac:dyDescent="0.25">
      <c r="A1110" s="16"/>
      <c r="B1110" s="17"/>
      <c r="C1110" s="2"/>
      <c r="D1110" s="2"/>
      <c r="E1110" s="2"/>
      <c r="F1110" s="2"/>
      <c r="G1110" s="2"/>
      <c r="H1110" s="2"/>
      <c r="I1110" s="5"/>
    </row>
    <row r="1111" spans="1:9" ht="17.399999999999999" x14ac:dyDescent="0.25">
      <c r="A1111" s="16"/>
      <c r="B1111" s="17"/>
      <c r="C1111" s="2"/>
      <c r="D1111" s="2"/>
      <c r="E1111" s="2"/>
      <c r="F1111" s="2"/>
      <c r="G1111" s="2"/>
      <c r="H1111" s="2"/>
      <c r="I1111" s="5"/>
    </row>
    <row r="1112" spans="1:9" ht="17.399999999999999" x14ac:dyDescent="0.25">
      <c r="A1112" s="16"/>
      <c r="B1112" s="17"/>
      <c r="C1112" s="2"/>
      <c r="D1112" s="2"/>
      <c r="E1112" s="2"/>
      <c r="F1112" s="2"/>
      <c r="G1112" s="2"/>
      <c r="H1112" s="2"/>
      <c r="I1112" s="5"/>
    </row>
    <row r="1113" spans="1:9" ht="17.399999999999999" x14ac:dyDescent="0.25">
      <c r="A1113" s="16"/>
      <c r="B1113" s="17"/>
      <c r="C1113" s="2"/>
      <c r="D1113" s="2"/>
      <c r="E1113" s="2"/>
      <c r="F1113" s="2"/>
      <c r="G1113" s="2"/>
      <c r="H1113" s="2"/>
      <c r="I1113" s="5"/>
    </row>
    <row r="1114" spans="1:9" ht="17.399999999999999" x14ac:dyDescent="0.25">
      <c r="A1114" s="16"/>
      <c r="B1114" s="17"/>
      <c r="C1114" s="2"/>
      <c r="D1114" s="2"/>
      <c r="E1114" s="2"/>
      <c r="F1114" s="2"/>
      <c r="G1114" s="2"/>
      <c r="H1114" s="2"/>
      <c r="I1114" s="5"/>
    </row>
    <row r="1115" spans="1:9" ht="17.399999999999999" x14ac:dyDescent="0.25">
      <c r="A1115" s="16"/>
      <c r="B1115" s="17"/>
      <c r="C1115" s="2"/>
      <c r="D1115" s="2"/>
      <c r="E1115" s="2"/>
      <c r="F1115" s="2"/>
      <c r="G1115" s="2"/>
      <c r="H1115" s="2"/>
      <c r="I1115" s="5"/>
    </row>
    <row r="1116" spans="1:9" ht="17.399999999999999" x14ac:dyDescent="0.25">
      <c r="A1116" s="16"/>
      <c r="B1116" s="17"/>
      <c r="C1116" s="2"/>
      <c r="D1116" s="2"/>
      <c r="E1116" s="2"/>
      <c r="F1116" s="2"/>
      <c r="G1116" s="2"/>
      <c r="H1116" s="2"/>
      <c r="I1116" s="5"/>
    </row>
    <row r="1117" spans="1:9" ht="17.399999999999999" x14ac:dyDescent="0.25">
      <c r="A1117" s="16"/>
      <c r="B1117" s="17"/>
      <c r="C1117" s="2"/>
      <c r="D1117" s="2"/>
      <c r="E1117" s="2"/>
      <c r="F1117" s="2"/>
      <c r="G1117" s="2"/>
      <c r="H1117" s="2"/>
      <c r="I1117" s="5"/>
    </row>
    <row r="1118" spans="1:9" ht="17.399999999999999" x14ac:dyDescent="0.25">
      <c r="A1118" s="16"/>
      <c r="B1118" s="17"/>
      <c r="C1118" s="2"/>
      <c r="D1118" s="2"/>
      <c r="E1118" s="2"/>
      <c r="F1118" s="2"/>
      <c r="G1118" s="2"/>
      <c r="H1118" s="2"/>
      <c r="I1118" s="5"/>
    </row>
    <row r="1119" spans="1:9" ht="17.399999999999999" x14ac:dyDescent="0.25">
      <c r="A1119" s="16"/>
      <c r="B1119" s="17"/>
      <c r="C1119" s="2"/>
      <c r="D1119" s="2"/>
      <c r="E1119" s="2"/>
      <c r="F1119" s="2"/>
      <c r="G1119" s="2"/>
      <c r="H1119" s="2"/>
      <c r="I1119" s="5"/>
    </row>
    <row r="1120" spans="1:9" ht="17.399999999999999" x14ac:dyDescent="0.25">
      <c r="A1120" s="16"/>
      <c r="B1120" s="17"/>
      <c r="C1120" s="2"/>
      <c r="D1120" s="2"/>
      <c r="E1120" s="2"/>
      <c r="F1120" s="2"/>
      <c r="G1120" s="2"/>
      <c r="H1120" s="2"/>
      <c r="I1120" s="5"/>
    </row>
    <row r="1121" spans="1:9" ht="17.399999999999999" x14ac:dyDescent="0.25">
      <c r="A1121" s="16"/>
      <c r="B1121" s="17"/>
      <c r="C1121" s="2"/>
      <c r="D1121" s="2"/>
      <c r="E1121" s="2"/>
      <c r="F1121" s="2"/>
      <c r="G1121" s="2"/>
      <c r="H1121" s="2"/>
      <c r="I1121" s="5"/>
    </row>
    <row r="1122" spans="1:9" ht="17.399999999999999" x14ac:dyDescent="0.25">
      <c r="A1122" s="16"/>
      <c r="B1122" s="17"/>
      <c r="C1122" s="2"/>
      <c r="D1122" s="2"/>
      <c r="E1122" s="2"/>
      <c r="F1122" s="2"/>
      <c r="G1122" s="2"/>
      <c r="H1122" s="2"/>
      <c r="I1122" s="5"/>
    </row>
    <row r="1123" spans="1:9" ht="17.399999999999999" x14ac:dyDescent="0.25">
      <c r="A1123" s="16"/>
      <c r="B1123" s="17"/>
      <c r="C1123" s="2"/>
      <c r="D1123" s="2"/>
      <c r="E1123" s="2"/>
      <c r="F1123" s="2"/>
      <c r="G1123" s="2"/>
      <c r="H1123" s="2"/>
      <c r="I1123" s="5"/>
    </row>
    <row r="1124" spans="1:9" ht="17.399999999999999" x14ac:dyDescent="0.25">
      <c r="A1124" s="16"/>
      <c r="B1124" s="17"/>
      <c r="C1124" s="2"/>
      <c r="D1124" s="2"/>
      <c r="E1124" s="2"/>
      <c r="F1124" s="2"/>
      <c r="G1124" s="2"/>
      <c r="H1124" s="2"/>
      <c r="I1124" s="5"/>
    </row>
    <row r="1125" spans="1:9" ht="17.399999999999999" x14ac:dyDescent="0.25">
      <c r="A1125" s="16"/>
      <c r="B1125" s="17"/>
      <c r="C1125" s="2"/>
      <c r="D1125" s="2"/>
      <c r="E1125" s="2"/>
      <c r="F1125" s="2"/>
      <c r="G1125" s="2"/>
      <c r="H1125" s="2"/>
      <c r="I1125" s="5"/>
    </row>
    <row r="1126" spans="1:9" ht="17.399999999999999" x14ac:dyDescent="0.25">
      <c r="A1126" s="16"/>
      <c r="B1126" s="17"/>
      <c r="C1126" s="2"/>
      <c r="D1126" s="2"/>
      <c r="E1126" s="2"/>
      <c r="F1126" s="2"/>
      <c r="G1126" s="2"/>
      <c r="H1126" s="2"/>
      <c r="I1126" s="5"/>
    </row>
    <row r="1127" spans="1:9" ht="17.399999999999999" x14ac:dyDescent="0.25">
      <c r="A1127" s="16"/>
      <c r="B1127" s="17"/>
      <c r="C1127" s="2"/>
      <c r="D1127" s="2"/>
      <c r="E1127" s="2"/>
      <c r="F1127" s="2"/>
      <c r="G1127" s="2"/>
      <c r="H1127" s="2"/>
      <c r="I1127" s="5"/>
    </row>
    <row r="1128" spans="1:9" ht="17.399999999999999" x14ac:dyDescent="0.25">
      <c r="A1128" s="16"/>
      <c r="B1128" s="17"/>
      <c r="C1128" s="2"/>
      <c r="D1128" s="2"/>
      <c r="E1128" s="2"/>
      <c r="F1128" s="2"/>
      <c r="G1128" s="2"/>
      <c r="H1128" s="2"/>
      <c r="I1128" s="5"/>
    </row>
    <row r="1129" spans="1:9" ht="17.399999999999999" x14ac:dyDescent="0.25">
      <c r="A1129" s="16"/>
      <c r="B1129" s="17"/>
      <c r="C1129" s="2"/>
      <c r="D1129" s="2"/>
      <c r="E1129" s="2"/>
      <c r="F1129" s="2"/>
      <c r="G1129" s="2"/>
      <c r="H1129" s="2"/>
      <c r="I1129" s="5"/>
    </row>
    <row r="1130" spans="1:9" ht="17.399999999999999" x14ac:dyDescent="0.25">
      <c r="A1130" s="16"/>
      <c r="B1130" s="17"/>
      <c r="C1130" s="2"/>
      <c r="D1130" s="2"/>
      <c r="E1130" s="2"/>
      <c r="F1130" s="2"/>
      <c r="G1130" s="2"/>
      <c r="H1130" s="2"/>
      <c r="I1130" s="5"/>
    </row>
    <row r="1131" spans="1:9" ht="17.399999999999999" x14ac:dyDescent="0.25">
      <c r="A1131" s="16"/>
      <c r="B1131" s="17"/>
      <c r="C1131" s="2"/>
      <c r="D1131" s="2"/>
      <c r="E1131" s="2"/>
      <c r="F1131" s="2"/>
      <c r="G1131" s="2"/>
      <c r="H1131" s="2"/>
      <c r="I1131" s="5"/>
    </row>
    <row r="1132" spans="1:9" ht="17.399999999999999" x14ac:dyDescent="0.25">
      <c r="A1132" s="16"/>
      <c r="B1132" s="17"/>
      <c r="C1132" s="2"/>
      <c r="D1132" s="2"/>
      <c r="E1132" s="2"/>
      <c r="F1132" s="2"/>
      <c r="G1132" s="2"/>
      <c r="H1132" s="2"/>
      <c r="I1132" s="5"/>
    </row>
    <row r="1133" spans="1:9" ht="17.399999999999999" x14ac:dyDescent="0.25">
      <c r="A1133" s="16"/>
      <c r="B1133" s="17"/>
      <c r="C1133" s="2"/>
      <c r="D1133" s="2"/>
      <c r="E1133" s="2"/>
      <c r="F1133" s="2"/>
      <c r="G1133" s="2"/>
      <c r="H1133" s="2"/>
      <c r="I1133" s="5"/>
    </row>
    <row r="1134" spans="1:9" ht="17.399999999999999" x14ac:dyDescent="0.25">
      <c r="A1134" s="16"/>
      <c r="B1134" s="17"/>
      <c r="C1134" s="2"/>
      <c r="D1134" s="2"/>
      <c r="E1134" s="2"/>
      <c r="F1134" s="2"/>
      <c r="G1134" s="2"/>
      <c r="H1134" s="2"/>
      <c r="I1134" s="5"/>
    </row>
    <row r="1135" spans="1:9" ht="17.399999999999999" x14ac:dyDescent="0.25">
      <c r="A1135" s="16"/>
      <c r="B1135" s="17"/>
      <c r="C1135" s="2"/>
      <c r="D1135" s="2"/>
      <c r="E1135" s="2"/>
      <c r="F1135" s="2"/>
      <c r="G1135" s="2"/>
      <c r="H1135" s="2"/>
      <c r="I1135" s="5"/>
    </row>
    <row r="1136" spans="1:9" ht="17.399999999999999" x14ac:dyDescent="0.25">
      <c r="A1136" s="16"/>
      <c r="B1136" s="17"/>
      <c r="C1136" s="2"/>
      <c r="D1136" s="2"/>
      <c r="E1136" s="2"/>
      <c r="F1136" s="2"/>
      <c r="G1136" s="2"/>
      <c r="H1136" s="2"/>
      <c r="I1136" s="5"/>
    </row>
    <row r="1137" spans="1:9" ht="17.399999999999999" x14ac:dyDescent="0.25">
      <c r="A1137" s="16"/>
      <c r="B1137" s="17"/>
      <c r="C1137" s="2"/>
      <c r="D1137" s="2"/>
      <c r="E1137" s="2"/>
      <c r="F1137" s="2"/>
      <c r="G1137" s="2"/>
      <c r="H1137" s="2"/>
      <c r="I1137" s="5"/>
    </row>
    <row r="1138" spans="1:9" ht="17.399999999999999" x14ac:dyDescent="0.25">
      <c r="A1138" s="16"/>
      <c r="B1138" s="17"/>
      <c r="C1138" s="2"/>
      <c r="D1138" s="2"/>
      <c r="E1138" s="2"/>
      <c r="F1138" s="2"/>
      <c r="G1138" s="2"/>
      <c r="H1138" s="2"/>
      <c r="I1138" s="5"/>
    </row>
    <row r="1139" spans="1:9" ht="17.399999999999999" x14ac:dyDescent="0.25">
      <c r="A1139" s="16"/>
      <c r="B1139" s="17"/>
      <c r="C1139" s="2"/>
      <c r="D1139" s="2"/>
      <c r="E1139" s="2"/>
      <c r="F1139" s="2"/>
      <c r="G1139" s="2"/>
      <c r="H1139" s="2"/>
      <c r="I1139" s="5"/>
    </row>
    <row r="1140" spans="1:9" ht="17.399999999999999" x14ac:dyDescent="0.25">
      <c r="A1140" s="16"/>
      <c r="B1140" s="17"/>
      <c r="C1140" s="2"/>
      <c r="D1140" s="2"/>
      <c r="E1140" s="2"/>
      <c r="F1140" s="2"/>
      <c r="G1140" s="2"/>
      <c r="H1140" s="2"/>
      <c r="I1140" s="5"/>
    </row>
    <row r="1141" spans="1:9" ht="17.399999999999999" x14ac:dyDescent="0.25">
      <c r="A1141" s="16"/>
      <c r="B1141" s="17"/>
      <c r="C1141" s="2"/>
      <c r="D1141" s="2"/>
      <c r="E1141" s="2"/>
      <c r="F1141" s="2"/>
      <c r="G1141" s="2"/>
      <c r="H1141" s="2"/>
      <c r="I1141" s="5"/>
    </row>
    <row r="1142" spans="1:9" ht="17.399999999999999" x14ac:dyDescent="0.25">
      <c r="A1142" s="16"/>
      <c r="B1142" s="17"/>
      <c r="C1142" s="2"/>
      <c r="D1142" s="2"/>
      <c r="E1142" s="2"/>
      <c r="F1142" s="2"/>
      <c r="G1142" s="2"/>
      <c r="H1142" s="2"/>
      <c r="I1142" s="5"/>
    </row>
    <row r="1143" spans="1:9" ht="17.399999999999999" x14ac:dyDescent="0.25">
      <c r="A1143" s="16"/>
      <c r="B1143" s="17"/>
      <c r="C1143" s="2"/>
      <c r="D1143" s="2"/>
      <c r="E1143" s="2"/>
      <c r="F1143" s="2"/>
      <c r="G1143" s="2"/>
      <c r="H1143" s="2"/>
      <c r="I1143" s="5"/>
    </row>
    <row r="1144" spans="1:9" ht="17.399999999999999" x14ac:dyDescent="0.25">
      <c r="A1144" s="16"/>
      <c r="B1144" s="17"/>
      <c r="C1144" s="2"/>
      <c r="D1144" s="2"/>
      <c r="E1144" s="2"/>
      <c r="F1144" s="2"/>
      <c r="G1144" s="2"/>
      <c r="H1144" s="2"/>
      <c r="I1144" s="5"/>
    </row>
    <row r="1145" spans="1:9" ht="17.399999999999999" x14ac:dyDescent="0.25">
      <c r="A1145" s="16"/>
      <c r="B1145" s="17"/>
      <c r="C1145" s="2"/>
      <c r="D1145" s="2"/>
      <c r="E1145" s="2"/>
      <c r="F1145" s="2"/>
      <c r="G1145" s="2"/>
      <c r="H1145" s="2"/>
      <c r="I1145" s="5"/>
    </row>
    <row r="1146" spans="1:9" ht="17.399999999999999" x14ac:dyDescent="0.25">
      <c r="A1146" s="16"/>
      <c r="B1146" s="17"/>
      <c r="C1146" s="2"/>
      <c r="D1146" s="2"/>
      <c r="E1146" s="2"/>
      <c r="F1146" s="2"/>
      <c r="G1146" s="2"/>
      <c r="H1146" s="2"/>
      <c r="I1146" s="5"/>
    </row>
    <row r="1147" spans="1:9" ht="17.399999999999999" x14ac:dyDescent="0.25">
      <c r="A1147" s="16"/>
      <c r="B1147" s="17"/>
      <c r="C1147" s="2"/>
      <c r="D1147" s="2"/>
      <c r="E1147" s="2"/>
      <c r="F1147" s="2"/>
      <c r="G1147" s="2"/>
      <c r="H1147" s="2"/>
      <c r="I1147" s="5"/>
    </row>
    <row r="1148" spans="1:9" ht="17.399999999999999" x14ac:dyDescent="0.25">
      <c r="A1148" s="16"/>
      <c r="B1148" s="17"/>
      <c r="C1148" s="2"/>
      <c r="D1148" s="2"/>
      <c r="E1148" s="2"/>
      <c r="F1148" s="2"/>
      <c r="G1148" s="2"/>
      <c r="H1148" s="2"/>
      <c r="I1148" s="5"/>
    </row>
    <row r="1149" spans="1:9" ht="17.399999999999999" x14ac:dyDescent="0.25">
      <c r="A1149" s="16"/>
      <c r="B1149" s="17"/>
      <c r="C1149" s="2"/>
      <c r="D1149" s="2"/>
      <c r="E1149" s="2"/>
      <c r="F1149" s="2"/>
      <c r="G1149" s="2"/>
      <c r="H1149" s="2"/>
      <c r="I1149" s="5"/>
    </row>
    <row r="1150" spans="1:9" ht="17.399999999999999" x14ac:dyDescent="0.25">
      <c r="A1150" s="16"/>
      <c r="B1150" s="17"/>
      <c r="C1150" s="2"/>
      <c r="D1150" s="2"/>
      <c r="E1150" s="2"/>
      <c r="F1150" s="2"/>
      <c r="G1150" s="2"/>
      <c r="H1150" s="2"/>
      <c r="I1150" s="5"/>
    </row>
    <row r="1151" spans="1:9" ht="17.399999999999999" x14ac:dyDescent="0.25">
      <c r="A1151" s="16"/>
      <c r="B1151" s="17"/>
      <c r="C1151" s="2"/>
      <c r="D1151" s="2"/>
      <c r="E1151" s="2"/>
      <c r="F1151" s="2"/>
      <c r="G1151" s="2"/>
      <c r="H1151" s="2"/>
      <c r="I1151" s="5"/>
    </row>
    <row r="1152" spans="1:9" ht="17.399999999999999" x14ac:dyDescent="0.25">
      <c r="A1152" s="16"/>
      <c r="B1152" s="17"/>
      <c r="C1152" s="2"/>
      <c r="D1152" s="2"/>
      <c r="E1152" s="2"/>
      <c r="F1152" s="2"/>
      <c r="G1152" s="2"/>
      <c r="H1152" s="2"/>
      <c r="I1152" s="5"/>
    </row>
    <row r="1153" spans="1:9" ht="17.399999999999999" x14ac:dyDescent="0.25">
      <c r="A1153" s="16"/>
      <c r="B1153" s="17"/>
      <c r="C1153" s="2"/>
      <c r="D1153" s="2"/>
      <c r="E1153" s="2"/>
      <c r="F1153" s="2"/>
      <c r="G1153" s="2"/>
      <c r="H1153" s="2"/>
      <c r="I1153" s="5"/>
    </row>
    <row r="1154" spans="1:9" ht="17.399999999999999" x14ac:dyDescent="0.25">
      <c r="A1154" s="16"/>
      <c r="B1154" s="17"/>
      <c r="C1154" s="2"/>
      <c r="D1154" s="2"/>
      <c r="E1154" s="2"/>
      <c r="F1154" s="2"/>
      <c r="G1154" s="2"/>
      <c r="H1154" s="2"/>
      <c r="I1154" s="5"/>
    </row>
    <row r="1155" spans="1:9" ht="17.399999999999999" x14ac:dyDescent="0.25">
      <c r="A1155" s="16"/>
      <c r="B1155" s="17"/>
      <c r="C1155" s="2"/>
      <c r="D1155" s="2"/>
      <c r="E1155" s="2"/>
      <c r="F1155" s="2"/>
      <c r="G1155" s="2"/>
      <c r="H1155" s="2"/>
      <c r="I1155" s="5"/>
    </row>
    <row r="1156" spans="1:9" ht="17.399999999999999" x14ac:dyDescent="0.25">
      <c r="A1156" s="16"/>
      <c r="B1156" s="17"/>
      <c r="C1156" s="2"/>
      <c r="D1156" s="2"/>
      <c r="E1156" s="2"/>
      <c r="F1156" s="2"/>
      <c r="G1156" s="2"/>
      <c r="H1156" s="2"/>
      <c r="I1156" s="5"/>
    </row>
    <row r="1157" spans="1:9" ht="17.399999999999999" x14ac:dyDescent="0.25">
      <c r="A1157" s="16"/>
      <c r="B1157" s="17"/>
      <c r="C1157" s="2"/>
      <c r="D1157" s="2"/>
      <c r="E1157" s="2"/>
      <c r="F1157" s="2"/>
      <c r="G1157" s="2"/>
      <c r="H1157" s="2"/>
      <c r="I1157" s="5"/>
    </row>
    <row r="1158" spans="1:9" ht="17.399999999999999" x14ac:dyDescent="0.25">
      <c r="A1158" s="16"/>
      <c r="B1158" s="17"/>
      <c r="C1158" s="2"/>
      <c r="D1158" s="2"/>
      <c r="E1158" s="2"/>
      <c r="F1158" s="2"/>
      <c r="G1158" s="2"/>
      <c r="H1158" s="2"/>
      <c r="I1158" s="5"/>
    </row>
    <row r="1159" spans="1:9" ht="17.399999999999999" x14ac:dyDescent="0.25">
      <c r="A1159" s="16"/>
      <c r="B1159" s="17"/>
      <c r="C1159" s="2"/>
      <c r="D1159" s="2"/>
      <c r="E1159" s="2"/>
      <c r="F1159" s="2"/>
      <c r="G1159" s="2"/>
      <c r="H1159" s="2"/>
      <c r="I1159" s="5"/>
    </row>
    <row r="1160" spans="1:9" ht="17.399999999999999" x14ac:dyDescent="0.25">
      <c r="A1160" s="16"/>
      <c r="B1160" s="17"/>
      <c r="C1160" s="2"/>
      <c r="D1160" s="2"/>
      <c r="E1160" s="2"/>
      <c r="F1160" s="2"/>
      <c r="G1160" s="2"/>
      <c r="H1160" s="2"/>
      <c r="I1160" s="5"/>
    </row>
    <row r="1161" spans="1:9" ht="17.399999999999999" x14ac:dyDescent="0.25">
      <c r="A1161" s="16"/>
      <c r="B1161" s="17"/>
      <c r="C1161" s="2"/>
      <c r="D1161" s="2"/>
      <c r="E1161" s="2"/>
      <c r="F1161" s="2"/>
      <c r="G1161" s="2"/>
      <c r="H1161" s="2"/>
      <c r="I1161" s="5"/>
    </row>
    <row r="1162" spans="1:9" ht="17.399999999999999" x14ac:dyDescent="0.25">
      <c r="A1162" s="16"/>
      <c r="B1162" s="17"/>
      <c r="C1162" s="2"/>
      <c r="D1162" s="2"/>
      <c r="E1162" s="2"/>
      <c r="F1162" s="2"/>
      <c r="G1162" s="2"/>
      <c r="H1162" s="2"/>
      <c r="I1162" s="5"/>
    </row>
    <row r="1163" spans="1:9" ht="17.399999999999999" x14ac:dyDescent="0.25">
      <c r="A1163" s="16"/>
      <c r="B1163" s="17"/>
      <c r="C1163" s="2"/>
      <c r="D1163" s="2"/>
      <c r="E1163" s="2"/>
      <c r="F1163" s="2"/>
      <c r="G1163" s="2"/>
      <c r="H1163" s="2"/>
      <c r="I1163" s="5"/>
    </row>
    <row r="1164" spans="1:9" ht="17.399999999999999" x14ac:dyDescent="0.25">
      <c r="A1164" s="16"/>
      <c r="B1164" s="17"/>
      <c r="C1164" s="2"/>
      <c r="D1164" s="2"/>
      <c r="E1164" s="2"/>
      <c r="F1164" s="2"/>
      <c r="G1164" s="2"/>
      <c r="H1164" s="2"/>
      <c r="I1164" s="5"/>
    </row>
    <row r="1165" spans="1:9" ht="17.399999999999999" x14ac:dyDescent="0.25">
      <c r="A1165" s="16"/>
      <c r="B1165" s="17"/>
      <c r="C1165" s="2"/>
      <c r="D1165" s="2"/>
      <c r="E1165" s="2"/>
      <c r="F1165" s="2"/>
      <c r="G1165" s="2"/>
      <c r="H1165" s="2"/>
      <c r="I1165" s="5"/>
    </row>
    <row r="1166" spans="1:9" ht="17.399999999999999" x14ac:dyDescent="0.25">
      <c r="A1166" s="16"/>
      <c r="B1166" s="17"/>
      <c r="C1166" s="2"/>
      <c r="D1166" s="2"/>
      <c r="E1166" s="2"/>
      <c r="F1166" s="2"/>
      <c r="G1166" s="2"/>
      <c r="H1166" s="2"/>
      <c r="I1166" s="5"/>
    </row>
    <row r="1167" spans="1:9" ht="17.399999999999999" x14ac:dyDescent="0.25">
      <c r="A1167" s="16"/>
      <c r="B1167" s="17"/>
      <c r="C1167" s="2"/>
      <c r="D1167" s="2"/>
      <c r="E1167" s="2"/>
      <c r="F1167" s="2"/>
      <c r="G1167" s="2"/>
      <c r="H1167" s="2"/>
      <c r="I1167" s="5"/>
    </row>
    <row r="1168" spans="1:9" ht="17.399999999999999" x14ac:dyDescent="0.25">
      <c r="A1168" s="16"/>
      <c r="B1168" s="17"/>
      <c r="C1168" s="2"/>
      <c r="D1168" s="2"/>
      <c r="E1168" s="2"/>
      <c r="F1168" s="2"/>
      <c r="G1168" s="2"/>
      <c r="H1168" s="2"/>
      <c r="I1168" s="5"/>
    </row>
    <row r="1169" spans="1:9" ht="17.399999999999999" x14ac:dyDescent="0.25">
      <c r="A1169" s="16"/>
      <c r="B1169" s="17"/>
      <c r="C1169" s="2"/>
      <c r="D1169" s="2"/>
      <c r="E1169" s="2"/>
      <c r="F1169" s="2"/>
      <c r="G1169" s="2"/>
      <c r="H1169" s="2"/>
      <c r="I1169" s="5"/>
    </row>
    <row r="1170" spans="1:9" ht="17.399999999999999" x14ac:dyDescent="0.25">
      <c r="A1170" s="16"/>
      <c r="B1170" s="17"/>
      <c r="C1170" s="2"/>
      <c r="D1170" s="2"/>
      <c r="E1170" s="2"/>
      <c r="F1170" s="2"/>
      <c r="G1170" s="2"/>
      <c r="H1170" s="2"/>
      <c r="I1170" s="5"/>
    </row>
    <row r="1171" spans="1:9" ht="17.399999999999999" x14ac:dyDescent="0.25">
      <c r="A1171" s="16"/>
      <c r="B1171" s="17"/>
      <c r="C1171" s="2"/>
      <c r="D1171" s="2"/>
      <c r="E1171" s="2"/>
      <c r="F1171" s="2"/>
      <c r="G1171" s="2"/>
      <c r="H1171" s="2"/>
      <c r="I1171" s="5"/>
    </row>
    <row r="1172" spans="1:9" ht="17.399999999999999" x14ac:dyDescent="0.25">
      <c r="A1172" s="16"/>
      <c r="B1172" s="17"/>
      <c r="C1172" s="2"/>
      <c r="D1172" s="2"/>
      <c r="E1172" s="2"/>
      <c r="F1172" s="2"/>
      <c r="G1172" s="2"/>
      <c r="H1172" s="2"/>
      <c r="I1172" s="5"/>
    </row>
    <row r="1173" spans="1:9" ht="17.399999999999999" x14ac:dyDescent="0.25">
      <c r="A1173" s="16"/>
      <c r="B1173" s="17"/>
      <c r="C1173" s="2"/>
      <c r="D1173" s="2"/>
      <c r="E1173" s="2"/>
      <c r="F1173" s="2"/>
      <c r="G1173" s="2"/>
      <c r="H1173" s="2"/>
      <c r="I1173" s="5"/>
    </row>
    <row r="1174" spans="1:9" ht="17.399999999999999" x14ac:dyDescent="0.25">
      <c r="A1174" s="16"/>
      <c r="B1174" s="17"/>
      <c r="C1174" s="2"/>
      <c r="D1174" s="2"/>
      <c r="E1174" s="2"/>
      <c r="F1174" s="2"/>
      <c r="G1174" s="2"/>
      <c r="H1174" s="2"/>
      <c r="I1174" s="5"/>
    </row>
    <row r="1175" spans="1:9" ht="17.399999999999999" x14ac:dyDescent="0.25">
      <c r="A1175" s="16"/>
      <c r="B1175" s="17"/>
      <c r="C1175" s="2"/>
      <c r="D1175" s="2"/>
      <c r="E1175" s="2"/>
      <c r="F1175" s="2"/>
      <c r="G1175" s="2"/>
      <c r="H1175" s="2"/>
      <c r="I1175" s="5"/>
    </row>
    <row r="1176" spans="1:9" ht="17.399999999999999" x14ac:dyDescent="0.25">
      <c r="A1176" s="16"/>
      <c r="B1176" s="17"/>
      <c r="C1176" s="2"/>
      <c r="D1176" s="2"/>
      <c r="E1176" s="2"/>
      <c r="F1176" s="2"/>
      <c r="G1176" s="2"/>
      <c r="H1176" s="2"/>
      <c r="I1176" s="5"/>
    </row>
    <row r="1177" spans="1:9" ht="17.399999999999999" x14ac:dyDescent="0.25">
      <c r="A1177" s="16"/>
      <c r="B1177" s="17"/>
      <c r="C1177" s="2"/>
      <c r="D1177" s="2"/>
      <c r="E1177" s="2"/>
      <c r="F1177" s="2"/>
      <c r="G1177" s="2"/>
      <c r="H1177" s="2"/>
      <c r="I1177" s="5"/>
    </row>
    <row r="1178" spans="1:9" ht="17.399999999999999" x14ac:dyDescent="0.25">
      <c r="A1178" s="16"/>
      <c r="B1178" s="17"/>
      <c r="C1178" s="2"/>
      <c r="D1178" s="2"/>
      <c r="E1178" s="2"/>
      <c r="F1178" s="2"/>
      <c r="G1178" s="2"/>
      <c r="H1178" s="2"/>
      <c r="I1178" s="5"/>
    </row>
    <row r="1179" spans="1:9" ht="17.399999999999999" x14ac:dyDescent="0.25">
      <c r="A1179" s="16"/>
      <c r="B1179" s="17"/>
      <c r="C1179" s="2"/>
      <c r="D1179" s="2"/>
      <c r="E1179" s="2"/>
      <c r="F1179" s="2"/>
      <c r="G1179" s="2"/>
      <c r="H1179" s="2"/>
      <c r="I1179" s="5"/>
    </row>
    <row r="1180" spans="1:9" ht="17.399999999999999" x14ac:dyDescent="0.25">
      <c r="A1180" s="16"/>
      <c r="B1180" s="17"/>
      <c r="C1180" s="2"/>
      <c r="D1180" s="2"/>
      <c r="E1180" s="2"/>
      <c r="F1180" s="2"/>
      <c r="G1180" s="2"/>
      <c r="H1180" s="2"/>
      <c r="I1180" s="5"/>
    </row>
    <row r="1181" spans="1:9" ht="17.399999999999999" x14ac:dyDescent="0.25">
      <c r="A1181" s="16"/>
      <c r="B1181" s="17"/>
      <c r="C1181" s="2"/>
      <c r="D1181" s="2"/>
      <c r="E1181" s="2"/>
      <c r="F1181" s="2"/>
      <c r="G1181" s="2"/>
      <c r="H1181" s="2"/>
      <c r="I1181" s="5"/>
    </row>
    <row r="1182" spans="1:9" ht="17.399999999999999" x14ac:dyDescent="0.25">
      <c r="A1182" s="16"/>
      <c r="B1182" s="17"/>
      <c r="C1182" s="2"/>
      <c r="D1182" s="2"/>
      <c r="E1182" s="2"/>
      <c r="F1182" s="2"/>
      <c r="G1182" s="2"/>
      <c r="H1182" s="2"/>
      <c r="I1182" s="5"/>
    </row>
    <row r="1183" spans="1:9" ht="17.399999999999999" x14ac:dyDescent="0.25">
      <c r="A1183" s="16"/>
      <c r="B1183" s="17"/>
      <c r="C1183" s="2"/>
      <c r="D1183" s="2"/>
      <c r="E1183" s="2"/>
      <c r="F1183" s="2"/>
      <c r="G1183" s="2"/>
      <c r="H1183" s="2"/>
      <c r="I1183" s="5"/>
    </row>
    <row r="1184" spans="1:9" ht="17.399999999999999" x14ac:dyDescent="0.25">
      <c r="A1184" s="16"/>
      <c r="B1184" s="17"/>
      <c r="C1184" s="2"/>
      <c r="D1184" s="2"/>
      <c r="E1184" s="2"/>
      <c r="F1184" s="2"/>
      <c r="G1184" s="2"/>
      <c r="H1184" s="2"/>
      <c r="I1184" s="5"/>
    </row>
    <row r="1185" spans="1:9" ht="17.399999999999999" x14ac:dyDescent="0.25">
      <c r="A1185" s="16"/>
      <c r="B1185" s="17"/>
      <c r="C1185" s="2"/>
      <c r="D1185" s="2"/>
      <c r="E1185" s="2"/>
      <c r="F1185" s="2"/>
      <c r="G1185" s="2"/>
      <c r="H1185" s="2"/>
      <c r="I1185" s="5"/>
    </row>
    <row r="1186" spans="1:9" ht="17.399999999999999" x14ac:dyDescent="0.25">
      <c r="A1186" s="16"/>
      <c r="B1186" s="17"/>
      <c r="C1186" s="2"/>
      <c r="D1186" s="2"/>
      <c r="E1186" s="2"/>
      <c r="F1186" s="2"/>
      <c r="G1186" s="2"/>
      <c r="H1186" s="2"/>
      <c r="I1186" s="5"/>
    </row>
    <row r="1187" spans="1:9" ht="17.399999999999999" x14ac:dyDescent="0.25">
      <c r="A1187" s="16"/>
      <c r="B1187" s="17"/>
      <c r="C1187" s="2"/>
      <c r="D1187" s="2"/>
      <c r="E1187" s="2"/>
      <c r="F1187" s="2"/>
      <c r="G1187" s="2"/>
      <c r="H1187" s="2"/>
      <c r="I1187" s="5"/>
    </row>
    <row r="1188" spans="1:9" ht="17.399999999999999" x14ac:dyDescent="0.25">
      <c r="A1188" s="16"/>
      <c r="B1188" s="17"/>
      <c r="C1188" s="2"/>
      <c r="D1188" s="2"/>
      <c r="E1188" s="2"/>
      <c r="F1188" s="2"/>
      <c r="G1188" s="2"/>
      <c r="H1188" s="2"/>
      <c r="I1188" s="5"/>
    </row>
    <row r="1189" spans="1:9" ht="17.399999999999999" x14ac:dyDescent="0.25">
      <c r="A1189" s="16"/>
      <c r="B1189" s="17"/>
      <c r="C1189" s="2"/>
      <c r="D1189" s="2"/>
      <c r="E1189" s="2"/>
      <c r="F1189" s="2"/>
      <c r="G1189" s="2"/>
      <c r="H1189" s="2"/>
      <c r="I1189" s="5"/>
    </row>
    <row r="1190" spans="1:9" ht="17.399999999999999" x14ac:dyDescent="0.25">
      <c r="A1190" s="16"/>
      <c r="B1190" s="17"/>
      <c r="C1190" s="2"/>
      <c r="D1190" s="2"/>
      <c r="E1190" s="2"/>
      <c r="F1190" s="2"/>
      <c r="G1190" s="2"/>
      <c r="H1190" s="2"/>
      <c r="I1190" s="5"/>
    </row>
    <row r="1191" spans="1:9" ht="17.399999999999999" x14ac:dyDescent="0.25">
      <c r="A1191" s="16"/>
      <c r="B1191" s="17"/>
      <c r="C1191" s="2"/>
      <c r="D1191" s="2"/>
      <c r="E1191" s="2"/>
      <c r="F1191" s="2"/>
      <c r="G1191" s="2"/>
      <c r="H1191" s="2"/>
      <c r="I1191" s="5"/>
    </row>
    <row r="1192" spans="1:9" ht="17.399999999999999" x14ac:dyDescent="0.25">
      <c r="A1192" s="16"/>
      <c r="B1192" s="17"/>
      <c r="C1192" s="2"/>
      <c r="D1192" s="2"/>
      <c r="E1192" s="2"/>
      <c r="F1192" s="2"/>
      <c r="G1192" s="2"/>
      <c r="H1192" s="2"/>
      <c r="I1192" s="5"/>
    </row>
    <row r="1193" spans="1:9" ht="17.399999999999999" x14ac:dyDescent="0.25">
      <c r="A1193" s="16"/>
      <c r="B1193" s="17"/>
      <c r="C1193" s="2"/>
      <c r="D1193" s="2"/>
      <c r="E1193" s="2"/>
      <c r="F1193" s="2"/>
      <c r="G1193" s="2"/>
      <c r="H1193" s="2"/>
      <c r="I1193" s="5"/>
    </row>
    <row r="1194" spans="1:9" ht="17.399999999999999" x14ac:dyDescent="0.25">
      <c r="A1194" s="16"/>
      <c r="B1194" s="17"/>
      <c r="C1194" s="2"/>
      <c r="D1194" s="2"/>
      <c r="E1194" s="2"/>
      <c r="F1194" s="2"/>
      <c r="G1194" s="2"/>
      <c r="H1194" s="2"/>
      <c r="I1194" s="5"/>
    </row>
    <row r="1195" spans="1:9" ht="17.399999999999999" x14ac:dyDescent="0.25">
      <c r="A1195" s="16"/>
      <c r="B1195" s="17"/>
      <c r="C1195" s="2"/>
      <c r="D1195" s="2"/>
      <c r="E1195" s="2"/>
      <c r="F1195" s="2"/>
      <c r="G1195" s="2"/>
      <c r="H1195" s="2"/>
      <c r="I1195" s="5"/>
    </row>
    <row r="1196" spans="1:9" ht="17.399999999999999" x14ac:dyDescent="0.25">
      <c r="A1196" s="16"/>
      <c r="B1196" s="17"/>
      <c r="C1196" s="2"/>
      <c r="D1196" s="2"/>
      <c r="E1196" s="2"/>
      <c r="F1196" s="2"/>
      <c r="G1196" s="2"/>
      <c r="H1196" s="2"/>
      <c r="I1196" s="5"/>
    </row>
    <row r="1197" spans="1:9" ht="17.399999999999999" x14ac:dyDescent="0.25">
      <c r="A1197" s="16"/>
      <c r="B1197" s="17"/>
      <c r="C1197" s="2"/>
      <c r="D1197" s="2"/>
      <c r="E1197" s="2"/>
      <c r="F1197" s="2"/>
      <c r="G1197" s="2"/>
      <c r="H1197" s="2"/>
      <c r="I1197" s="5"/>
    </row>
    <row r="1198" spans="1:9" ht="17.399999999999999" x14ac:dyDescent="0.25">
      <c r="A1198" s="16"/>
      <c r="B1198" s="17"/>
      <c r="C1198" s="2"/>
      <c r="D1198" s="2"/>
      <c r="E1198" s="2"/>
      <c r="F1198" s="2"/>
      <c r="G1198" s="2"/>
      <c r="H1198" s="2"/>
      <c r="I1198" s="5"/>
    </row>
    <row r="1199" spans="1:9" ht="17.399999999999999" x14ac:dyDescent="0.25">
      <c r="A1199" s="16"/>
      <c r="B1199" s="17"/>
      <c r="C1199" s="2"/>
      <c r="D1199" s="2"/>
      <c r="E1199" s="2"/>
      <c r="F1199" s="2"/>
      <c r="G1199" s="2"/>
      <c r="H1199" s="2"/>
      <c r="I1199" s="5"/>
    </row>
    <row r="1200" spans="1:9" ht="17.399999999999999" x14ac:dyDescent="0.25">
      <c r="A1200" s="16"/>
      <c r="B1200" s="17"/>
      <c r="C1200" s="2"/>
      <c r="D1200" s="2"/>
      <c r="E1200" s="2"/>
      <c r="F1200" s="2"/>
      <c r="G1200" s="2"/>
      <c r="H1200" s="2"/>
      <c r="I1200" s="5"/>
    </row>
    <row r="1201" spans="1:9" ht="17.399999999999999" x14ac:dyDescent="0.25">
      <c r="A1201" s="16"/>
      <c r="B1201" s="17"/>
      <c r="C1201" s="2"/>
      <c r="D1201" s="2"/>
      <c r="E1201" s="2"/>
      <c r="F1201" s="2"/>
      <c r="G1201" s="2"/>
      <c r="H1201" s="2"/>
      <c r="I1201" s="5"/>
    </row>
    <row r="1202" spans="1:9" ht="17.399999999999999" x14ac:dyDescent="0.25">
      <c r="A1202" s="16"/>
      <c r="B1202" s="17"/>
      <c r="C1202" s="2"/>
      <c r="D1202" s="2"/>
      <c r="E1202" s="2"/>
      <c r="F1202" s="2"/>
      <c r="G1202" s="2"/>
      <c r="H1202" s="2"/>
      <c r="I1202" s="5"/>
    </row>
    <row r="1203" spans="1:9" ht="17.399999999999999" x14ac:dyDescent="0.25">
      <c r="A1203" s="16"/>
      <c r="B1203" s="17"/>
      <c r="C1203" s="2"/>
      <c r="D1203" s="2"/>
      <c r="E1203" s="2"/>
      <c r="F1203" s="2"/>
      <c r="G1203" s="2"/>
      <c r="H1203" s="2"/>
      <c r="I1203" s="5"/>
    </row>
    <row r="1204" spans="1:9" ht="17.399999999999999" x14ac:dyDescent="0.25">
      <c r="A1204" s="16"/>
      <c r="B1204" s="17"/>
      <c r="C1204" s="2"/>
      <c r="D1204" s="2"/>
      <c r="E1204" s="2"/>
      <c r="F1204" s="2"/>
      <c r="G1204" s="2"/>
      <c r="H1204" s="2"/>
      <c r="I1204" s="5"/>
    </row>
    <row r="1205" spans="1:9" ht="17.399999999999999" x14ac:dyDescent="0.25">
      <c r="A1205" s="16"/>
      <c r="B1205" s="17"/>
      <c r="C1205" s="2"/>
      <c r="D1205" s="2"/>
      <c r="E1205" s="2"/>
      <c r="F1205" s="2"/>
      <c r="G1205" s="2"/>
      <c r="H1205" s="2"/>
      <c r="I1205" s="5"/>
    </row>
    <row r="1206" spans="1:9" ht="17.399999999999999" x14ac:dyDescent="0.25">
      <c r="A1206" s="16"/>
      <c r="B1206" s="17"/>
      <c r="C1206" s="2"/>
      <c r="D1206" s="2"/>
      <c r="E1206" s="2"/>
      <c r="F1206" s="2"/>
      <c r="G1206" s="2"/>
      <c r="H1206" s="2"/>
      <c r="I1206" s="5"/>
    </row>
    <row r="1207" spans="1:9" ht="17.399999999999999" x14ac:dyDescent="0.25">
      <c r="A1207" s="16"/>
      <c r="B1207" s="17"/>
      <c r="C1207" s="2"/>
      <c r="D1207" s="2"/>
      <c r="E1207" s="2"/>
      <c r="F1207" s="2"/>
      <c r="G1207" s="2"/>
      <c r="H1207" s="2"/>
      <c r="I1207" s="5"/>
    </row>
    <row r="1208" spans="1:9" ht="17.399999999999999" x14ac:dyDescent="0.25">
      <c r="A1208" s="16"/>
      <c r="B1208" s="17"/>
      <c r="C1208" s="2"/>
      <c r="D1208" s="2"/>
      <c r="E1208" s="2"/>
      <c r="F1208" s="2"/>
      <c r="G1208" s="2"/>
      <c r="H1208" s="2"/>
      <c r="I1208" s="5"/>
    </row>
    <row r="1209" spans="1:9" ht="17.399999999999999" x14ac:dyDescent="0.25">
      <c r="A1209" s="16"/>
      <c r="B1209" s="17"/>
      <c r="C1209" s="2"/>
      <c r="D1209" s="2"/>
      <c r="E1209" s="2"/>
      <c r="F1209" s="2"/>
      <c r="G1209" s="2"/>
      <c r="H1209" s="2"/>
      <c r="I1209" s="5"/>
    </row>
    <row r="1210" spans="1:9" ht="17.399999999999999" x14ac:dyDescent="0.25">
      <c r="A1210" s="16"/>
      <c r="B1210" s="17"/>
      <c r="C1210" s="2"/>
      <c r="D1210" s="2"/>
      <c r="E1210" s="2"/>
      <c r="F1210" s="2"/>
      <c r="G1210" s="2"/>
      <c r="H1210" s="2"/>
      <c r="I1210" s="5"/>
    </row>
    <row r="1211" spans="1:9" ht="17.399999999999999" x14ac:dyDescent="0.25">
      <c r="A1211" s="16"/>
      <c r="B1211" s="17"/>
      <c r="C1211" s="2"/>
      <c r="D1211" s="2"/>
      <c r="E1211" s="2"/>
      <c r="F1211" s="2"/>
      <c r="G1211" s="2"/>
      <c r="H1211" s="2"/>
      <c r="I1211" s="5"/>
    </row>
    <row r="1212" spans="1:9" ht="17.399999999999999" x14ac:dyDescent="0.25">
      <c r="A1212" s="16"/>
      <c r="B1212" s="17"/>
      <c r="C1212" s="2"/>
      <c r="D1212" s="2"/>
      <c r="E1212" s="2"/>
      <c r="F1212" s="2"/>
      <c r="G1212" s="2"/>
      <c r="H1212" s="2"/>
      <c r="I1212" s="5"/>
    </row>
    <row r="1213" spans="1:9" ht="17.399999999999999" x14ac:dyDescent="0.25">
      <c r="A1213" s="16"/>
      <c r="B1213" s="17"/>
      <c r="C1213" s="2"/>
      <c r="D1213" s="2"/>
      <c r="E1213" s="2"/>
      <c r="F1213" s="2"/>
      <c r="G1213" s="2"/>
      <c r="H1213" s="2"/>
      <c r="I1213" s="5"/>
    </row>
    <row r="1214" spans="1:9" ht="17.399999999999999" x14ac:dyDescent="0.25">
      <c r="A1214" s="16"/>
      <c r="B1214" s="17"/>
      <c r="C1214" s="2"/>
      <c r="D1214" s="2"/>
      <c r="E1214" s="2"/>
      <c r="F1214" s="2"/>
      <c r="G1214" s="2"/>
      <c r="H1214" s="2"/>
      <c r="I1214" s="5"/>
    </row>
    <row r="1215" spans="1:9" ht="17.399999999999999" x14ac:dyDescent="0.25">
      <c r="A1215" s="16"/>
      <c r="B1215" s="17"/>
      <c r="C1215" s="2"/>
      <c r="D1215" s="2"/>
      <c r="E1215" s="2"/>
      <c r="F1215" s="2"/>
      <c r="G1215" s="2"/>
      <c r="H1215" s="2"/>
      <c r="I1215" s="5"/>
    </row>
    <row r="1216" spans="1:9" ht="17.399999999999999" x14ac:dyDescent="0.25">
      <c r="A1216" s="16"/>
      <c r="B1216" s="17"/>
      <c r="C1216" s="2"/>
      <c r="D1216" s="2"/>
      <c r="E1216" s="2"/>
      <c r="F1216" s="2"/>
      <c r="G1216" s="2"/>
      <c r="H1216" s="2"/>
      <c r="I1216" s="5"/>
    </row>
    <row r="1217" spans="1:9" ht="17.399999999999999" x14ac:dyDescent="0.25">
      <c r="A1217" s="16"/>
      <c r="B1217" s="17"/>
      <c r="C1217" s="2"/>
      <c r="D1217" s="2"/>
      <c r="E1217" s="2"/>
      <c r="F1217" s="2"/>
      <c r="G1217" s="2"/>
      <c r="H1217" s="2"/>
      <c r="I1217" s="5"/>
    </row>
    <row r="1218" spans="1:9" ht="17.399999999999999" x14ac:dyDescent="0.25">
      <c r="A1218" s="16"/>
      <c r="B1218" s="17"/>
      <c r="C1218" s="2"/>
      <c r="D1218" s="2"/>
      <c r="E1218" s="2"/>
      <c r="F1218" s="2"/>
      <c r="G1218" s="2"/>
      <c r="H1218" s="2"/>
      <c r="I1218" s="5"/>
    </row>
    <row r="1219" spans="1:9" ht="17.399999999999999" x14ac:dyDescent="0.25">
      <c r="A1219" s="16"/>
      <c r="B1219" s="17"/>
      <c r="C1219" s="2"/>
      <c r="D1219" s="2"/>
      <c r="E1219" s="2"/>
      <c r="F1219" s="2"/>
      <c r="G1219" s="2"/>
      <c r="H1219" s="2"/>
      <c r="I1219" s="5"/>
    </row>
    <row r="1220" spans="1:9" ht="17.399999999999999" x14ac:dyDescent="0.25">
      <c r="A1220" s="16"/>
      <c r="B1220" s="17"/>
      <c r="C1220" s="2"/>
      <c r="D1220" s="2"/>
      <c r="E1220" s="2"/>
      <c r="F1220" s="2"/>
      <c r="G1220" s="2"/>
      <c r="H1220" s="2"/>
      <c r="I1220" s="5"/>
    </row>
    <row r="1221" spans="1:9" ht="17.399999999999999" x14ac:dyDescent="0.25">
      <c r="A1221" s="16"/>
      <c r="B1221" s="17"/>
      <c r="C1221" s="2"/>
      <c r="D1221" s="2"/>
      <c r="E1221" s="2"/>
      <c r="F1221" s="2"/>
      <c r="G1221" s="2"/>
      <c r="H1221" s="2"/>
      <c r="I1221" s="5"/>
    </row>
    <row r="1222" spans="1:9" ht="17.399999999999999" x14ac:dyDescent="0.25">
      <c r="A1222" s="16"/>
      <c r="B1222" s="17"/>
      <c r="C1222" s="2"/>
      <c r="D1222" s="2"/>
      <c r="E1222" s="2"/>
      <c r="F1222" s="2"/>
      <c r="G1222" s="2"/>
      <c r="H1222" s="2"/>
      <c r="I1222" s="5"/>
    </row>
    <row r="1223" spans="1:9" ht="17.399999999999999" x14ac:dyDescent="0.25">
      <c r="A1223" s="16"/>
      <c r="B1223" s="17"/>
      <c r="C1223" s="2"/>
      <c r="D1223" s="2"/>
      <c r="E1223" s="2"/>
      <c r="F1223" s="2"/>
      <c r="G1223" s="2"/>
      <c r="H1223" s="2"/>
      <c r="I1223" s="5"/>
    </row>
    <row r="1224" spans="1:9" ht="17.399999999999999" x14ac:dyDescent="0.25">
      <c r="A1224" s="16"/>
      <c r="B1224" s="17"/>
      <c r="C1224" s="2"/>
      <c r="D1224" s="2"/>
      <c r="E1224" s="2"/>
      <c r="F1224" s="2"/>
      <c r="G1224" s="2"/>
      <c r="H1224" s="2"/>
      <c r="I1224" s="5"/>
    </row>
    <row r="1225" spans="1:9" ht="17.399999999999999" x14ac:dyDescent="0.25">
      <c r="A1225" s="16"/>
      <c r="B1225" s="17"/>
      <c r="C1225" s="2"/>
      <c r="D1225" s="2"/>
      <c r="E1225" s="2"/>
      <c r="F1225" s="2"/>
      <c r="G1225" s="2"/>
      <c r="H1225" s="2"/>
      <c r="I1225" s="5"/>
    </row>
    <row r="1226" spans="1:9" ht="17.399999999999999" x14ac:dyDescent="0.25">
      <c r="A1226" s="16"/>
      <c r="B1226" s="17"/>
      <c r="C1226" s="2"/>
      <c r="D1226" s="2"/>
      <c r="E1226" s="2"/>
      <c r="F1226" s="2"/>
      <c r="G1226" s="2"/>
      <c r="H1226" s="2"/>
      <c r="I1226" s="5"/>
    </row>
    <row r="1227" spans="1:9" ht="17.399999999999999" x14ac:dyDescent="0.25">
      <c r="A1227" s="16"/>
      <c r="B1227" s="17"/>
      <c r="C1227" s="2"/>
      <c r="D1227" s="2"/>
      <c r="E1227" s="2"/>
      <c r="F1227" s="2"/>
      <c r="G1227" s="2"/>
      <c r="H1227" s="2"/>
      <c r="I1227" s="5"/>
    </row>
    <row r="1228" spans="1:9" ht="17.399999999999999" x14ac:dyDescent="0.25">
      <c r="A1228" s="16"/>
      <c r="B1228" s="17"/>
      <c r="C1228" s="2"/>
      <c r="D1228" s="2"/>
      <c r="E1228" s="2"/>
      <c r="F1228" s="2"/>
      <c r="G1228" s="2"/>
      <c r="H1228" s="2"/>
      <c r="I1228" s="5"/>
    </row>
    <row r="1229" spans="1:9" ht="17.399999999999999" x14ac:dyDescent="0.25">
      <c r="A1229" s="16"/>
      <c r="B1229" s="17"/>
      <c r="C1229" s="2"/>
      <c r="D1229" s="2"/>
      <c r="E1229" s="2"/>
      <c r="F1229" s="2"/>
      <c r="G1229" s="2"/>
      <c r="H1229" s="2"/>
      <c r="I1229" s="5"/>
    </row>
    <row r="1230" spans="1:9" ht="17.399999999999999" x14ac:dyDescent="0.25">
      <c r="A1230" s="16"/>
      <c r="B1230" s="17"/>
      <c r="C1230" s="2"/>
      <c r="D1230" s="2"/>
      <c r="E1230" s="2"/>
      <c r="F1230" s="2"/>
      <c r="G1230" s="2"/>
      <c r="H1230" s="2"/>
      <c r="I1230" s="5"/>
    </row>
    <row r="1231" spans="1:9" ht="17.399999999999999" x14ac:dyDescent="0.25">
      <c r="A1231" s="16"/>
      <c r="B1231" s="17"/>
      <c r="C1231" s="2"/>
      <c r="D1231" s="2"/>
      <c r="E1231" s="2"/>
      <c r="F1231" s="2"/>
      <c r="G1231" s="2"/>
      <c r="H1231" s="2"/>
      <c r="I1231" s="5"/>
    </row>
    <row r="1232" spans="1:9" ht="17.399999999999999" x14ac:dyDescent="0.25">
      <c r="A1232" s="16"/>
      <c r="B1232" s="17"/>
      <c r="C1232" s="2"/>
      <c r="D1232" s="2"/>
      <c r="E1232" s="2"/>
      <c r="F1232" s="2"/>
      <c r="G1232" s="2"/>
      <c r="H1232" s="2"/>
      <c r="I1232" s="5"/>
    </row>
    <row r="1233" spans="1:9" ht="17.399999999999999" x14ac:dyDescent="0.25">
      <c r="A1233" s="16"/>
      <c r="B1233" s="17"/>
      <c r="C1233" s="2"/>
      <c r="D1233" s="2"/>
      <c r="E1233" s="2"/>
      <c r="F1233" s="2"/>
      <c r="G1233" s="2"/>
      <c r="H1233" s="2"/>
      <c r="I1233" s="5"/>
    </row>
    <row r="1234" spans="1:9" ht="17.399999999999999" x14ac:dyDescent="0.25">
      <c r="A1234" s="16"/>
      <c r="B1234" s="17"/>
      <c r="C1234" s="2"/>
      <c r="D1234" s="2"/>
      <c r="E1234" s="2"/>
      <c r="F1234" s="2"/>
      <c r="G1234" s="2"/>
      <c r="H1234" s="2"/>
      <c r="I1234" s="5"/>
    </row>
    <row r="1235" spans="1:9" ht="17.399999999999999" x14ac:dyDescent="0.25">
      <c r="A1235" s="16"/>
      <c r="B1235" s="17"/>
      <c r="C1235" s="2"/>
      <c r="D1235" s="2"/>
      <c r="E1235" s="2"/>
      <c r="F1235" s="2"/>
      <c r="G1235" s="2"/>
      <c r="H1235" s="2"/>
      <c r="I1235" s="5"/>
    </row>
    <row r="1236" spans="1:9" ht="17.399999999999999" x14ac:dyDescent="0.25">
      <c r="A1236" s="16"/>
      <c r="B1236" s="17"/>
      <c r="C1236" s="2"/>
      <c r="D1236" s="2"/>
      <c r="E1236" s="2"/>
      <c r="F1236" s="2"/>
      <c r="G1236" s="2"/>
      <c r="H1236" s="2"/>
      <c r="I1236" s="5"/>
    </row>
    <row r="1237" spans="1:9" ht="17.399999999999999" x14ac:dyDescent="0.25">
      <c r="A1237" s="16"/>
      <c r="B1237" s="17"/>
      <c r="C1237" s="2"/>
      <c r="D1237" s="2"/>
      <c r="E1237" s="2"/>
      <c r="F1237" s="2"/>
      <c r="G1237" s="2"/>
      <c r="H1237" s="2"/>
      <c r="I1237" s="5"/>
    </row>
    <row r="1238" spans="1:9" ht="17.399999999999999" x14ac:dyDescent="0.25">
      <c r="A1238" s="16"/>
      <c r="B1238" s="17"/>
      <c r="C1238" s="2"/>
      <c r="D1238" s="2"/>
      <c r="E1238" s="2"/>
      <c r="F1238" s="2"/>
      <c r="G1238" s="2"/>
      <c r="H1238" s="2"/>
      <c r="I1238" s="5"/>
    </row>
    <row r="1239" spans="1:9" ht="17.399999999999999" x14ac:dyDescent="0.25">
      <c r="A1239" s="16"/>
      <c r="B1239" s="17"/>
      <c r="C1239" s="2"/>
      <c r="D1239" s="2"/>
      <c r="E1239" s="2"/>
      <c r="F1239" s="2"/>
      <c r="G1239" s="2"/>
      <c r="H1239" s="2"/>
      <c r="I1239" s="5"/>
    </row>
    <row r="1240" spans="1:9" ht="17.399999999999999" x14ac:dyDescent="0.25">
      <c r="A1240" s="16"/>
      <c r="B1240" s="17"/>
      <c r="C1240" s="2"/>
      <c r="D1240" s="2"/>
      <c r="E1240" s="2"/>
      <c r="F1240" s="2"/>
      <c r="G1240" s="2"/>
      <c r="H1240" s="2"/>
      <c r="I1240" s="5"/>
    </row>
    <row r="1241" spans="1:9" ht="17.399999999999999" x14ac:dyDescent="0.25">
      <c r="A1241" s="16"/>
      <c r="B1241" s="17"/>
      <c r="C1241" s="2"/>
      <c r="D1241" s="2"/>
      <c r="E1241" s="2"/>
      <c r="F1241" s="2"/>
      <c r="G1241" s="2"/>
      <c r="H1241" s="2"/>
      <c r="I1241" s="5"/>
    </row>
    <row r="1242" spans="1:9" ht="17.399999999999999" x14ac:dyDescent="0.25">
      <c r="A1242" s="16"/>
      <c r="B1242" s="17"/>
      <c r="C1242" s="2"/>
      <c r="D1242" s="2"/>
      <c r="E1242" s="2"/>
      <c r="F1242" s="2"/>
      <c r="G1242" s="2"/>
      <c r="H1242" s="2"/>
      <c r="I1242" s="5"/>
    </row>
    <row r="1243" spans="1:9" ht="17.399999999999999" x14ac:dyDescent="0.25">
      <c r="A1243" s="16"/>
      <c r="B1243" s="17"/>
      <c r="C1243" s="2"/>
      <c r="D1243" s="2"/>
      <c r="E1243" s="2"/>
      <c r="F1243" s="2"/>
      <c r="G1243" s="2"/>
      <c r="H1243" s="2"/>
      <c r="I1243" s="5"/>
    </row>
    <row r="1244" spans="1:9" ht="17.399999999999999" x14ac:dyDescent="0.25">
      <c r="A1244" s="16"/>
      <c r="B1244" s="17"/>
      <c r="C1244" s="2"/>
      <c r="D1244" s="2"/>
      <c r="E1244" s="2"/>
      <c r="F1244" s="2"/>
      <c r="G1244" s="2"/>
      <c r="H1244" s="2"/>
      <c r="I1244" s="5"/>
    </row>
    <row r="1245" spans="1:9" ht="17.399999999999999" x14ac:dyDescent="0.25">
      <c r="A1245" s="16"/>
      <c r="B1245" s="17"/>
      <c r="C1245" s="2"/>
      <c r="D1245" s="2"/>
      <c r="E1245" s="2"/>
      <c r="F1245" s="2"/>
      <c r="G1245" s="2"/>
      <c r="H1245" s="2"/>
      <c r="I1245" s="5"/>
    </row>
    <row r="1246" spans="1:9" ht="17.399999999999999" x14ac:dyDescent="0.25">
      <c r="A1246" s="16"/>
      <c r="B1246" s="17"/>
      <c r="C1246" s="2"/>
      <c r="D1246" s="2"/>
      <c r="E1246" s="2"/>
      <c r="F1246" s="2"/>
      <c r="G1246" s="2"/>
      <c r="H1246" s="2"/>
      <c r="I1246" s="5"/>
    </row>
    <row r="1247" spans="1:9" ht="17.399999999999999" x14ac:dyDescent="0.25">
      <c r="A1247" s="16"/>
      <c r="B1247" s="17"/>
      <c r="C1247" s="2"/>
      <c r="D1247" s="2"/>
      <c r="E1247" s="2"/>
      <c r="F1247" s="2"/>
      <c r="G1247" s="2"/>
      <c r="H1247" s="2"/>
      <c r="I1247" s="5"/>
    </row>
    <row r="1248" spans="1:9" ht="17.399999999999999" x14ac:dyDescent="0.25">
      <c r="A1248" s="16"/>
      <c r="B1248" s="17"/>
      <c r="C1248" s="2"/>
      <c r="D1248" s="2"/>
      <c r="E1248" s="2"/>
      <c r="F1248" s="2"/>
      <c r="G1248" s="2"/>
      <c r="H1248" s="2"/>
      <c r="I1248" s="5"/>
    </row>
    <row r="1249" spans="1:9" ht="17.399999999999999" x14ac:dyDescent="0.25">
      <c r="A1249" s="16"/>
      <c r="B1249" s="17"/>
      <c r="C1249" s="2"/>
      <c r="D1249" s="2"/>
      <c r="E1249" s="2"/>
      <c r="F1249" s="2"/>
      <c r="G1249" s="2"/>
      <c r="H1249" s="2"/>
      <c r="I1249" s="5"/>
    </row>
    <row r="1250" spans="1:9" ht="17.399999999999999" x14ac:dyDescent="0.25">
      <c r="A1250" s="16"/>
      <c r="B1250" s="17"/>
      <c r="C1250" s="2"/>
      <c r="D1250" s="2"/>
      <c r="E1250" s="2"/>
      <c r="F1250" s="2"/>
      <c r="G1250" s="2"/>
      <c r="H1250" s="2"/>
      <c r="I1250" s="5"/>
    </row>
    <row r="1251" spans="1:9" ht="17.399999999999999" x14ac:dyDescent="0.25">
      <c r="A1251" s="16"/>
      <c r="B1251" s="17"/>
      <c r="C1251" s="2"/>
      <c r="D1251" s="2"/>
      <c r="E1251" s="2"/>
      <c r="F1251" s="2"/>
      <c r="G1251" s="2"/>
      <c r="H1251" s="2"/>
      <c r="I1251" s="5"/>
    </row>
    <row r="1252" spans="1:9" ht="17.399999999999999" x14ac:dyDescent="0.25">
      <c r="A1252" s="16"/>
      <c r="B1252" s="17"/>
      <c r="C1252" s="2"/>
      <c r="D1252" s="2"/>
      <c r="E1252" s="2"/>
      <c r="F1252" s="2"/>
      <c r="G1252" s="2"/>
      <c r="H1252" s="2"/>
      <c r="I1252" s="5"/>
    </row>
    <row r="1253" spans="1:9" ht="17.399999999999999" x14ac:dyDescent="0.25">
      <c r="A1253" s="16"/>
      <c r="B1253" s="17"/>
      <c r="C1253" s="2"/>
      <c r="D1253" s="2"/>
      <c r="E1253" s="2"/>
      <c r="F1253" s="2"/>
      <c r="G1253" s="2"/>
      <c r="H1253" s="2"/>
      <c r="I1253" s="5"/>
    </row>
    <row r="1254" spans="1:9" ht="17.399999999999999" x14ac:dyDescent="0.25">
      <c r="A1254" s="16"/>
      <c r="B1254" s="17"/>
      <c r="C1254" s="2"/>
      <c r="D1254" s="2"/>
      <c r="E1254" s="2"/>
      <c r="F1254" s="2"/>
      <c r="G1254" s="2"/>
      <c r="H1254" s="2"/>
      <c r="I1254" s="5"/>
    </row>
    <row r="1255" spans="1:9" ht="17.399999999999999" x14ac:dyDescent="0.25">
      <c r="A1255" s="16"/>
      <c r="B1255" s="17"/>
      <c r="C1255" s="2"/>
      <c r="D1255" s="2"/>
      <c r="E1255" s="2"/>
      <c r="F1255" s="2"/>
      <c r="G1255" s="2"/>
      <c r="H1255" s="2"/>
      <c r="I1255" s="5"/>
    </row>
    <row r="1256" spans="1:9" ht="17.399999999999999" x14ac:dyDescent="0.25">
      <c r="A1256" s="16"/>
      <c r="B1256" s="17"/>
      <c r="C1256" s="2"/>
      <c r="D1256" s="2"/>
      <c r="E1256" s="2"/>
      <c r="F1256" s="2"/>
      <c r="G1256" s="2"/>
      <c r="H1256" s="2"/>
      <c r="I1256" s="5"/>
    </row>
    <row r="1257" spans="1:9" ht="17.399999999999999" x14ac:dyDescent="0.25">
      <c r="A1257" s="16"/>
      <c r="B1257" s="17"/>
      <c r="C1257" s="2"/>
      <c r="D1257" s="2"/>
      <c r="E1257" s="2"/>
      <c r="F1257" s="2"/>
      <c r="G1257" s="2"/>
      <c r="H1257" s="2"/>
      <c r="I1257" s="5"/>
    </row>
    <row r="1258" spans="1:9" ht="17.399999999999999" x14ac:dyDescent="0.25">
      <c r="A1258" s="16"/>
      <c r="B1258" s="17"/>
      <c r="C1258" s="2"/>
      <c r="D1258" s="2"/>
      <c r="E1258" s="2"/>
      <c r="F1258" s="2"/>
      <c r="G1258" s="2"/>
      <c r="H1258" s="2"/>
      <c r="I1258" s="5"/>
    </row>
    <row r="1259" spans="1:9" ht="17.399999999999999" x14ac:dyDescent="0.25">
      <c r="A1259" s="16"/>
      <c r="B1259" s="17"/>
      <c r="C1259" s="2"/>
      <c r="D1259" s="2"/>
      <c r="E1259" s="2"/>
      <c r="F1259" s="2"/>
      <c r="G1259" s="2"/>
      <c r="H1259" s="2"/>
      <c r="I1259" s="5"/>
    </row>
    <row r="1260" spans="1:9" ht="17.399999999999999" x14ac:dyDescent="0.25">
      <c r="A1260" s="16"/>
      <c r="B1260" s="17"/>
      <c r="C1260" s="2"/>
      <c r="D1260" s="2"/>
      <c r="E1260" s="2"/>
      <c r="F1260" s="2"/>
      <c r="G1260" s="2"/>
      <c r="H1260" s="2"/>
      <c r="I1260" s="5"/>
    </row>
    <row r="1261" spans="1:9" ht="17.399999999999999" x14ac:dyDescent="0.25">
      <c r="A1261" s="16"/>
      <c r="B1261" s="17"/>
      <c r="C1261" s="2"/>
      <c r="D1261" s="2"/>
      <c r="E1261" s="2"/>
      <c r="F1261" s="2"/>
      <c r="G1261" s="2"/>
      <c r="H1261" s="2"/>
      <c r="I1261" s="5"/>
    </row>
    <row r="1262" spans="1:9" ht="17.399999999999999" x14ac:dyDescent="0.25">
      <c r="A1262" s="16"/>
      <c r="B1262" s="17"/>
      <c r="C1262" s="2"/>
      <c r="D1262" s="2"/>
      <c r="E1262" s="2"/>
      <c r="F1262" s="2"/>
      <c r="G1262" s="2"/>
      <c r="H1262" s="2"/>
      <c r="I1262" s="5"/>
    </row>
    <row r="1263" spans="1:9" ht="17.399999999999999" x14ac:dyDescent="0.25">
      <c r="A1263" s="16"/>
      <c r="B1263" s="17"/>
      <c r="C1263" s="2"/>
      <c r="D1263" s="2"/>
      <c r="E1263" s="2"/>
      <c r="F1263" s="2"/>
      <c r="G1263" s="2"/>
      <c r="H1263" s="2"/>
      <c r="I1263" s="5"/>
    </row>
    <row r="1264" spans="1:9" ht="17.399999999999999" x14ac:dyDescent="0.25">
      <c r="A1264" s="16"/>
      <c r="B1264" s="17"/>
      <c r="C1264" s="2"/>
      <c r="D1264" s="2"/>
      <c r="E1264" s="2"/>
      <c r="F1264" s="2"/>
      <c r="G1264" s="2"/>
      <c r="H1264" s="2"/>
      <c r="I1264" s="5"/>
    </row>
    <row r="1265" spans="1:9" ht="17.399999999999999" x14ac:dyDescent="0.25">
      <c r="A1265" s="16"/>
      <c r="B1265" s="17"/>
      <c r="C1265" s="2"/>
      <c r="D1265" s="2"/>
      <c r="E1265" s="2"/>
      <c r="F1265" s="2"/>
      <c r="G1265" s="2"/>
      <c r="H1265" s="2"/>
      <c r="I1265" s="5"/>
    </row>
    <row r="1266" spans="1:9" ht="17.399999999999999" x14ac:dyDescent="0.25">
      <c r="A1266" s="16"/>
      <c r="B1266" s="17"/>
      <c r="C1266" s="2"/>
      <c r="D1266" s="2"/>
      <c r="E1266" s="2"/>
      <c r="F1266" s="2"/>
      <c r="G1266" s="2"/>
      <c r="H1266" s="2"/>
      <c r="I1266" s="5"/>
    </row>
    <row r="1267" spans="1:9" ht="17.399999999999999" x14ac:dyDescent="0.25">
      <c r="A1267" s="16"/>
      <c r="B1267" s="17"/>
      <c r="C1267" s="2"/>
      <c r="D1267" s="2"/>
      <c r="E1267" s="2"/>
      <c r="F1267" s="2"/>
      <c r="G1267" s="2"/>
      <c r="H1267" s="2"/>
      <c r="I1267" s="5"/>
    </row>
    <row r="1268" spans="1:9" ht="17.399999999999999" x14ac:dyDescent="0.25">
      <c r="A1268" s="16"/>
      <c r="B1268" s="17"/>
      <c r="C1268" s="2"/>
      <c r="D1268" s="2"/>
      <c r="E1268" s="2"/>
      <c r="F1268" s="2"/>
      <c r="G1268" s="2"/>
      <c r="H1268" s="2"/>
      <c r="I1268" s="5"/>
    </row>
    <row r="1269" spans="1:9" ht="17.399999999999999" x14ac:dyDescent="0.25">
      <c r="A1269" s="16"/>
      <c r="B1269" s="17"/>
      <c r="C1269" s="2"/>
      <c r="D1269" s="2"/>
      <c r="E1269" s="2"/>
      <c r="F1269" s="2"/>
      <c r="G1269" s="2"/>
      <c r="H1269" s="2"/>
      <c r="I1269" s="5"/>
    </row>
    <row r="1270" spans="1:9" ht="17.399999999999999" x14ac:dyDescent="0.25">
      <c r="A1270" s="16"/>
      <c r="B1270" s="17"/>
      <c r="C1270" s="2"/>
      <c r="D1270" s="2"/>
      <c r="E1270" s="2"/>
      <c r="F1270" s="2"/>
      <c r="G1270" s="2"/>
      <c r="H1270" s="2"/>
      <c r="I1270" s="5"/>
    </row>
    <row r="1271" spans="1:9" ht="17.399999999999999" x14ac:dyDescent="0.25">
      <c r="A1271" s="16"/>
      <c r="B1271" s="17"/>
      <c r="C1271" s="2"/>
      <c r="D1271" s="2"/>
      <c r="E1271" s="2"/>
      <c r="F1271" s="2"/>
      <c r="G1271" s="2"/>
      <c r="H1271" s="2"/>
      <c r="I1271" s="5"/>
    </row>
    <row r="1272" spans="1:9" ht="17.399999999999999" x14ac:dyDescent="0.25">
      <c r="A1272" s="16"/>
      <c r="B1272" s="17"/>
      <c r="C1272" s="2"/>
      <c r="D1272" s="2"/>
      <c r="E1272" s="2"/>
      <c r="F1272" s="2"/>
      <c r="G1272" s="2"/>
      <c r="H1272" s="2"/>
      <c r="I1272" s="5"/>
    </row>
    <row r="1273" spans="1:9" ht="17.399999999999999" x14ac:dyDescent="0.25">
      <c r="A1273" s="16"/>
      <c r="B1273" s="17"/>
      <c r="C1273" s="2"/>
      <c r="D1273" s="2"/>
      <c r="E1273" s="2"/>
      <c r="F1273" s="2"/>
      <c r="G1273" s="2"/>
      <c r="H1273" s="2"/>
      <c r="I1273" s="5"/>
    </row>
    <row r="1274" spans="1:9" ht="17.399999999999999" x14ac:dyDescent="0.25">
      <c r="A1274" s="16"/>
      <c r="B1274" s="17"/>
      <c r="C1274" s="2"/>
      <c r="D1274" s="2"/>
      <c r="E1274" s="2"/>
      <c r="F1274" s="2"/>
      <c r="G1274" s="2"/>
      <c r="H1274" s="2"/>
      <c r="I1274" s="5"/>
    </row>
    <row r="1275" spans="1:9" ht="17.399999999999999" x14ac:dyDescent="0.25">
      <c r="A1275" s="16"/>
      <c r="B1275" s="17"/>
      <c r="C1275" s="2"/>
      <c r="D1275" s="2"/>
      <c r="E1275" s="2"/>
      <c r="F1275" s="2"/>
      <c r="G1275" s="2"/>
      <c r="H1275" s="2"/>
      <c r="I1275" s="5"/>
    </row>
    <row r="1276" spans="1:9" ht="17.399999999999999" x14ac:dyDescent="0.25">
      <c r="A1276" s="16"/>
      <c r="B1276" s="17"/>
      <c r="C1276" s="2"/>
      <c r="D1276" s="2"/>
      <c r="E1276" s="2"/>
      <c r="F1276" s="2"/>
      <c r="G1276" s="2"/>
      <c r="H1276" s="2"/>
      <c r="I1276" s="5"/>
    </row>
    <row r="1277" spans="1:9" ht="17.399999999999999" x14ac:dyDescent="0.25">
      <c r="A1277" s="16"/>
      <c r="B1277" s="17"/>
      <c r="C1277" s="2"/>
      <c r="D1277" s="2"/>
      <c r="E1277" s="2"/>
      <c r="F1277" s="2"/>
      <c r="G1277" s="2"/>
      <c r="H1277" s="2"/>
      <c r="I1277" s="5"/>
    </row>
    <row r="1278" spans="1:9" ht="17.399999999999999" x14ac:dyDescent="0.25">
      <c r="A1278" s="16"/>
      <c r="B1278" s="17"/>
      <c r="C1278" s="2"/>
      <c r="D1278" s="2"/>
      <c r="E1278" s="2"/>
      <c r="F1278" s="2"/>
      <c r="G1278" s="2"/>
      <c r="H1278" s="2"/>
      <c r="I1278" s="5"/>
    </row>
    <row r="1279" spans="1:9" ht="17.399999999999999" x14ac:dyDescent="0.25">
      <c r="A1279" s="16"/>
      <c r="B1279" s="17"/>
      <c r="C1279" s="2"/>
      <c r="D1279" s="2"/>
      <c r="E1279" s="2"/>
      <c r="F1279" s="2"/>
      <c r="G1279" s="2"/>
      <c r="H1279" s="2"/>
      <c r="I1279" s="5"/>
    </row>
    <row r="1280" spans="1:9" ht="17.399999999999999" x14ac:dyDescent="0.25">
      <c r="A1280" s="16"/>
      <c r="B1280" s="17"/>
      <c r="C1280" s="2"/>
      <c r="D1280" s="2"/>
      <c r="E1280" s="2"/>
      <c r="F1280" s="2"/>
      <c r="G1280" s="2"/>
      <c r="H1280" s="2"/>
      <c r="I1280" s="5"/>
    </row>
    <row r="1281" spans="1:9" ht="17.399999999999999" x14ac:dyDescent="0.25">
      <c r="A1281" s="16"/>
      <c r="B1281" s="17"/>
      <c r="C1281" s="2"/>
      <c r="D1281" s="2"/>
      <c r="E1281" s="2"/>
      <c r="F1281" s="2"/>
      <c r="G1281" s="2"/>
      <c r="H1281" s="2"/>
      <c r="I1281" s="5"/>
    </row>
    <row r="1282" spans="1:9" ht="17.399999999999999" x14ac:dyDescent="0.25">
      <c r="A1282" s="16"/>
      <c r="B1282" s="17"/>
      <c r="C1282" s="2"/>
      <c r="D1282" s="2"/>
      <c r="E1282" s="2"/>
      <c r="F1282" s="2"/>
      <c r="G1282" s="2"/>
      <c r="H1282" s="2"/>
      <c r="I1282" s="5"/>
    </row>
    <row r="1283" spans="1:9" ht="17.399999999999999" x14ac:dyDescent="0.25">
      <c r="A1283" s="16"/>
      <c r="B1283" s="17"/>
      <c r="C1283" s="2"/>
      <c r="D1283" s="2"/>
      <c r="E1283" s="2"/>
      <c r="F1283" s="2"/>
      <c r="G1283" s="2"/>
      <c r="H1283" s="2"/>
      <c r="I1283" s="5"/>
    </row>
    <row r="1284" spans="1:9" ht="17.399999999999999" x14ac:dyDescent="0.25">
      <c r="A1284" s="16"/>
      <c r="B1284" s="17"/>
      <c r="C1284" s="2"/>
      <c r="D1284" s="2"/>
      <c r="E1284" s="2"/>
      <c r="F1284" s="2"/>
      <c r="G1284" s="2"/>
      <c r="H1284" s="2"/>
      <c r="I1284" s="5"/>
    </row>
    <row r="1285" spans="1:9" ht="17.399999999999999" x14ac:dyDescent="0.25">
      <c r="A1285" s="16"/>
      <c r="B1285" s="17"/>
      <c r="C1285" s="2"/>
      <c r="D1285" s="2"/>
      <c r="E1285" s="2"/>
      <c r="F1285" s="2"/>
      <c r="G1285" s="2"/>
      <c r="H1285" s="2"/>
      <c r="I1285" s="5"/>
    </row>
    <row r="1286" spans="1:9" ht="17.399999999999999" x14ac:dyDescent="0.25">
      <c r="A1286" s="16"/>
      <c r="B1286" s="17"/>
      <c r="C1286" s="2"/>
      <c r="D1286" s="2"/>
      <c r="E1286" s="2"/>
      <c r="F1286" s="2"/>
      <c r="G1286" s="2"/>
      <c r="H1286" s="2"/>
      <c r="I1286" s="5"/>
    </row>
    <row r="1287" spans="1:9" ht="17.399999999999999" x14ac:dyDescent="0.25">
      <c r="A1287" s="16"/>
      <c r="B1287" s="17"/>
      <c r="C1287" s="2"/>
      <c r="D1287" s="2"/>
      <c r="E1287" s="2"/>
      <c r="F1287" s="2"/>
      <c r="G1287" s="2"/>
      <c r="H1287" s="2"/>
      <c r="I1287" s="5"/>
    </row>
    <row r="1288" spans="1:9" ht="17.399999999999999" x14ac:dyDescent="0.25">
      <c r="A1288" s="16"/>
      <c r="B1288" s="17"/>
      <c r="C1288" s="2"/>
      <c r="D1288" s="2"/>
      <c r="E1288" s="2"/>
      <c r="F1288" s="2"/>
      <c r="G1288" s="2"/>
      <c r="H1288" s="2"/>
      <c r="I1288" s="5"/>
    </row>
    <row r="1289" spans="1:9" ht="17.399999999999999" x14ac:dyDescent="0.25">
      <c r="A1289" s="16"/>
      <c r="B1289" s="17"/>
      <c r="C1289" s="2"/>
      <c r="D1289" s="2"/>
      <c r="E1289" s="2"/>
      <c r="F1289" s="2"/>
      <c r="G1289" s="2"/>
      <c r="H1289" s="2"/>
      <c r="I1289" s="5"/>
    </row>
    <row r="1290" spans="1:9" ht="17.399999999999999" x14ac:dyDescent="0.25">
      <c r="A1290" s="16"/>
      <c r="B1290" s="17"/>
      <c r="C1290" s="2"/>
      <c r="D1290" s="2"/>
      <c r="E1290" s="2"/>
      <c r="F1290" s="2"/>
      <c r="G1290" s="2"/>
      <c r="H1290" s="2"/>
      <c r="I1290" s="5"/>
    </row>
    <row r="1291" spans="1:9" ht="17.399999999999999" x14ac:dyDescent="0.25">
      <c r="A1291" s="16"/>
      <c r="B1291" s="17"/>
      <c r="C1291" s="2"/>
      <c r="D1291" s="2"/>
      <c r="E1291" s="2"/>
      <c r="F1291" s="2"/>
      <c r="G1291" s="2"/>
      <c r="H1291" s="2"/>
      <c r="I1291" s="5"/>
    </row>
    <row r="1292" spans="1:9" ht="17.399999999999999" x14ac:dyDescent="0.25">
      <c r="A1292" s="16"/>
      <c r="B1292" s="17"/>
      <c r="C1292" s="2"/>
      <c r="D1292" s="2"/>
      <c r="E1292" s="2"/>
      <c r="F1292" s="2"/>
      <c r="G1292" s="2"/>
      <c r="H1292" s="2"/>
      <c r="I1292" s="5"/>
    </row>
    <row r="1293" spans="1:9" ht="17.399999999999999" x14ac:dyDescent="0.25">
      <c r="A1293" s="16"/>
      <c r="B1293" s="17"/>
      <c r="C1293" s="2"/>
      <c r="D1293" s="2"/>
      <c r="E1293" s="2"/>
      <c r="F1293" s="2"/>
      <c r="G1293" s="2"/>
      <c r="H1293" s="2"/>
      <c r="I1293" s="5"/>
    </row>
    <row r="1294" spans="1:9" ht="17.399999999999999" x14ac:dyDescent="0.25">
      <c r="A1294" s="16"/>
      <c r="B1294" s="17"/>
      <c r="C1294" s="2"/>
      <c r="D1294" s="2"/>
      <c r="E1294" s="2"/>
      <c r="F1294" s="2"/>
      <c r="G1294" s="2"/>
      <c r="H1294" s="2"/>
      <c r="I1294" s="5"/>
    </row>
    <row r="1295" spans="1:9" ht="17.399999999999999" x14ac:dyDescent="0.25">
      <c r="A1295" s="16"/>
      <c r="B1295" s="17"/>
      <c r="C1295" s="2"/>
      <c r="D1295" s="2"/>
      <c r="E1295" s="2"/>
      <c r="F1295" s="2"/>
      <c r="G1295" s="2"/>
      <c r="H1295" s="2"/>
      <c r="I1295" s="5"/>
    </row>
    <row r="1296" spans="1:9" ht="17.399999999999999" x14ac:dyDescent="0.25">
      <c r="A1296" s="16"/>
      <c r="B1296" s="17"/>
      <c r="C1296" s="2"/>
      <c r="D1296" s="2"/>
      <c r="E1296" s="2"/>
      <c r="F1296" s="2"/>
      <c r="G1296" s="2"/>
      <c r="H1296" s="2"/>
      <c r="I1296" s="5"/>
    </row>
    <row r="1297" spans="1:9" ht="17.399999999999999" x14ac:dyDescent="0.25">
      <c r="A1297" s="16"/>
      <c r="B1297" s="17"/>
      <c r="C1297" s="2"/>
      <c r="D1297" s="2"/>
      <c r="E1297" s="2"/>
      <c r="F1297" s="2"/>
      <c r="G1297" s="2"/>
      <c r="H1297" s="2"/>
      <c r="I1297" s="5"/>
    </row>
    <row r="1298" spans="1:9" ht="17.399999999999999" x14ac:dyDescent="0.25">
      <c r="A1298" s="16"/>
      <c r="B1298" s="17"/>
      <c r="C1298" s="2"/>
      <c r="D1298" s="2"/>
      <c r="E1298" s="2"/>
      <c r="F1298" s="2"/>
      <c r="G1298" s="2"/>
      <c r="H1298" s="2"/>
      <c r="I1298" s="5"/>
    </row>
    <row r="1299" spans="1:9" ht="17.399999999999999" x14ac:dyDescent="0.25">
      <c r="A1299" s="16"/>
      <c r="B1299" s="17"/>
      <c r="C1299" s="2"/>
      <c r="D1299" s="2"/>
      <c r="E1299" s="2"/>
      <c r="F1299" s="2"/>
      <c r="G1299" s="2"/>
      <c r="H1299" s="2"/>
      <c r="I1299" s="5"/>
    </row>
    <row r="1300" spans="1:9" ht="17.399999999999999" x14ac:dyDescent="0.25">
      <c r="A1300" s="16"/>
      <c r="B1300" s="17"/>
      <c r="C1300" s="2"/>
      <c r="D1300" s="2"/>
      <c r="E1300" s="2"/>
      <c r="F1300" s="2"/>
      <c r="G1300" s="2"/>
      <c r="H1300" s="2"/>
      <c r="I1300" s="5"/>
    </row>
    <row r="1301" spans="1:9" ht="17.399999999999999" x14ac:dyDescent="0.25">
      <c r="A1301" s="16"/>
      <c r="B1301" s="17"/>
      <c r="C1301" s="2"/>
      <c r="D1301" s="2"/>
      <c r="E1301" s="2"/>
      <c r="F1301" s="2"/>
      <c r="G1301" s="2"/>
      <c r="H1301" s="2"/>
      <c r="I1301" s="5"/>
    </row>
    <row r="1302" spans="1:9" ht="17.399999999999999" x14ac:dyDescent="0.25">
      <c r="A1302" s="16"/>
      <c r="B1302" s="17"/>
      <c r="C1302" s="2"/>
      <c r="D1302" s="2"/>
      <c r="E1302" s="2"/>
      <c r="F1302" s="2"/>
      <c r="G1302" s="2"/>
      <c r="H1302" s="2"/>
      <c r="I1302" s="5"/>
    </row>
    <row r="1303" spans="1:9" ht="17.399999999999999" x14ac:dyDescent="0.25">
      <c r="A1303" s="16"/>
      <c r="B1303" s="17"/>
      <c r="C1303" s="2"/>
      <c r="D1303" s="2"/>
      <c r="E1303" s="2"/>
      <c r="F1303" s="2"/>
      <c r="G1303" s="2"/>
      <c r="H1303" s="2"/>
      <c r="I1303" s="5"/>
    </row>
    <row r="1304" spans="1:9" ht="17.399999999999999" x14ac:dyDescent="0.25">
      <c r="A1304" s="16"/>
      <c r="B1304" s="17"/>
      <c r="C1304" s="2"/>
      <c r="D1304" s="2"/>
      <c r="E1304" s="2"/>
      <c r="F1304" s="2"/>
      <c r="G1304" s="2"/>
      <c r="H1304" s="2"/>
      <c r="I1304" s="5"/>
    </row>
    <row r="1305" spans="1:9" ht="17.399999999999999" x14ac:dyDescent="0.25">
      <c r="A1305" s="16"/>
      <c r="B1305" s="17"/>
      <c r="C1305" s="2"/>
      <c r="D1305" s="2"/>
      <c r="E1305" s="2"/>
      <c r="F1305" s="2"/>
      <c r="G1305" s="2"/>
      <c r="H1305" s="2"/>
      <c r="I1305" s="5"/>
    </row>
    <row r="1306" spans="1:9" ht="17.399999999999999" x14ac:dyDescent="0.25">
      <c r="A1306" s="16"/>
      <c r="B1306" s="17"/>
      <c r="C1306" s="2"/>
      <c r="D1306" s="2"/>
      <c r="E1306" s="2"/>
      <c r="F1306" s="2"/>
      <c r="G1306" s="2"/>
      <c r="H1306" s="2"/>
      <c r="I1306" s="5"/>
    </row>
    <row r="1307" spans="1:9" ht="17.399999999999999" x14ac:dyDescent="0.25">
      <c r="A1307" s="16"/>
      <c r="B1307" s="17"/>
      <c r="C1307" s="2"/>
      <c r="D1307" s="2"/>
      <c r="E1307" s="2"/>
      <c r="F1307" s="2"/>
      <c r="G1307" s="2"/>
      <c r="H1307" s="2"/>
      <c r="I1307" s="5"/>
    </row>
    <row r="1308" spans="1:9" ht="17.399999999999999" x14ac:dyDescent="0.25">
      <c r="A1308" s="16"/>
      <c r="B1308" s="17"/>
      <c r="C1308" s="2"/>
      <c r="D1308" s="2"/>
      <c r="E1308" s="2"/>
      <c r="F1308" s="2"/>
      <c r="G1308" s="2"/>
      <c r="H1308" s="2"/>
      <c r="I1308" s="5"/>
    </row>
    <row r="1309" spans="1:9" ht="17.399999999999999" x14ac:dyDescent="0.25">
      <c r="A1309" s="16"/>
      <c r="B1309" s="17"/>
      <c r="C1309" s="2"/>
      <c r="D1309" s="2"/>
      <c r="E1309" s="2"/>
      <c r="F1309" s="2"/>
      <c r="G1309" s="2"/>
      <c r="H1309" s="2"/>
      <c r="I1309" s="5"/>
    </row>
    <row r="1310" spans="1:9" ht="17.399999999999999" x14ac:dyDescent="0.25">
      <c r="A1310" s="16"/>
      <c r="B1310" s="17"/>
      <c r="C1310" s="2"/>
      <c r="D1310" s="2"/>
      <c r="E1310" s="2"/>
      <c r="F1310" s="2"/>
      <c r="G1310" s="2"/>
      <c r="H1310" s="2"/>
      <c r="I1310" s="5"/>
    </row>
    <row r="1311" spans="1:9" ht="17.399999999999999" x14ac:dyDescent="0.25">
      <c r="A1311" s="16"/>
      <c r="B1311" s="17"/>
      <c r="C1311" s="2"/>
      <c r="D1311" s="2"/>
      <c r="E1311" s="2"/>
      <c r="F1311" s="2"/>
      <c r="G1311" s="2"/>
      <c r="H1311" s="2"/>
      <c r="I1311" s="5"/>
    </row>
    <row r="1312" spans="1:9" ht="17.399999999999999" x14ac:dyDescent="0.25">
      <c r="A1312" s="16"/>
      <c r="B1312" s="17"/>
      <c r="C1312" s="2"/>
      <c r="D1312" s="2"/>
      <c r="E1312" s="2"/>
      <c r="F1312" s="2"/>
      <c r="G1312" s="2"/>
      <c r="H1312" s="2"/>
      <c r="I1312" s="5"/>
    </row>
    <row r="1313" spans="1:9" ht="17.399999999999999" x14ac:dyDescent="0.25">
      <c r="A1313" s="16"/>
      <c r="B1313" s="17"/>
      <c r="C1313" s="2"/>
      <c r="D1313" s="2"/>
      <c r="E1313" s="2"/>
      <c r="F1313" s="2"/>
      <c r="G1313" s="2"/>
      <c r="H1313" s="2"/>
      <c r="I1313" s="5"/>
    </row>
    <row r="1314" spans="1:9" ht="17.399999999999999" x14ac:dyDescent="0.25">
      <c r="A1314" s="16"/>
      <c r="B1314" s="17"/>
      <c r="C1314" s="2"/>
      <c r="D1314" s="2"/>
      <c r="E1314" s="2"/>
      <c r="F1314" s="2"/>
      <c r="G1314" s="2"/>
      <c r="H1314" s="2"/>
      <c r="I1314" s="5"/>
    </row>
    <row r="1315" spans="1:9" ht="17.399999999999999" x14ac:dyDescent="0.25">
      <c r="A1315" s="16"/>
      <c r="B1315" s="17"/>
      <c r="C1315" s="2"/>
      <c r="D1315" s="2"/>
      <c r="E1315" s="2"/>
      <c r="F1315" s="2"/>
      <c r="G1315" s="2"/>
      <c r="H1315" s="2"/>
      <c r="I1315" s="5"/>
    </row>
    <row r="1316" spans="1:9" ht="17.399999999999999" x14ac:dyDescent="0.25">
      <c r="A1316" s="16"/>
      <c r="B1316" s="17"/>
      <c r="C1316" s="2"/>
      <c r="D1316" s="2"/>
      <c r="E1316" s="2"/>
      <c r="F1316" s="2"/>
      <c r="G1316" s="2"/>
      <c r="H1316" s="2"/>
      <c r="I1316" s="5"/>
    </row>
    <row r="1317" spans="1:9" ht="17.399999999999999" x14ac:dyDescent="0.25">
      <c r="A1317" s="16"/>
      <c r="B1317" s="17"/>
      <c r="C1317" s="2"/>
      <c r="D1317" s="2"/>
      <c r="E1317" s="2"/>
      <c r="F1317" s="2"/>
      <c r="G1317" s="2"/>
      <c r="H1317" s="2"/>
      <c r="I1317" s="5"/>
    </row>
    <row r="1318" spans="1:9" ht="17.399999999999999" x14ac:dyDescent="0.25">
      <c r="A1318" s="16"/>
      <c r="B1318" s="17"/>
      <c r="C1318" s="2"/>
      <c r="D1318" s="2"/>
      <c r="E1318" s="2"/>
      <c r="F1318" s="2"/>
      <c r="G1318" s="2"/>
      <c r="H1318" s="2"/>
      <c r="I1318" s="5"/>
    </row>
    <row r="1319" spans="1:9" ht="17.399999999999999" x14ac:dyDescent="0.25">
      <c r="A1319" s="16"/>
      <c r="B1319" s="17"/>
      <c r="C1319" s="2"/>
      <c r="D1319" s="2"/>
      <c r="E1319" s="2"/>
      <c r="F1319" s="2"/>
      <c r="G1319" s="2"/>
      <c r="H1319" s="2"/>
      <c r="I1319" s="5"/>
    </row>
    <row r="1320" spans="1:9" ht="17.399999999999999" x14ac:dyDescent="0.25">
      <c r="A1320" s="16"/>
      <c r="B1320" s="17"/>
      <c r="C1320" s="2"/>
      <c r="D1320" s="2"/>
      <c r="E1320" s="2"/>
      <c r="F1320" s="2"/>
      <c r="G1320" s="2"/>
      <c r="H1320" s="2"/>
      <c r="I1320" s="5"/>
    </row>
    <row r="1321" spans="1:9" ht="17.399999999999999" x14ac:dyDescent="0.25">
      <c r="A1321" s="16"/>
      <c r="B1321" s="17"/>
      <c r="C1321" s="2"/>
      <c r="D1321" s="2"/>
      <c r="E1321" s="2"/>
      <c r="F1321" s="2"/>
      <c r="G1321" s="2"/>
      <c r="H1321" s="2"/>
      <c r="I1321" s="5"/>
    </row>
    <row r="1322" spans="1:9" ht="17.399999999999999" x14ac:dyDescent="0.25">
      <c r="A1322" s="16"/>
      <c r="B1322" s="17"/>
      <c r="C1322" s="2"/>
      <c r="D1322" s="2"/>
      <c r="E1322" s="2"/>
      <c r="F1322" s="2"/>
      <c r="G1322" s="2"/>
      <c r="H1322" s="2"/>
      <c r="I1322" s="5"/>
    </row>
    <row r="1323" spans="1:9" ht="17.399999999999999" x14ac:dyDescent="0.25">
      <c r="A1323" s="16"/>
      <c r="B1323" s="17"/>
      <c r="C1323" s="2"/>
      <c r="D1323" s="2"/>
      <c r="E1323" s="2"/>
      <c r="F1323" s="2"/>
      <c r="G1323" s="2"/>
      <c r="H1323" s="2"/>
      <c r="I1323" s="5"/>
    </row>
    <row r="1324" spans="1:9" ht="17.399999999999999" x14ac:dyDescent="0.25">
      <c r="A1324" s="16"/>
      <c r="B1324" s="17"/>
      <c r="C1324" s="2"/>
      <c r="D1324" s="2"/>
      <c r="E1324" s="2"/>
      <c r="F1324" s="2"/>
      <c r="G1324" s="2"/>
      <c r="H1324" s="2"/>
      <c r="I1324" s="5"/>
    </row>
    <row r="1325" spans="1:9" ht="17.399999999999999" x14ac:dyDescent="0.25">
      <c r="A1325" s="16"/>
      <c r="B1325" s="17"/>
      <c r="C1325" s="2"/>
      <c r="D1325" s="2"/>
      <c r="E1325" s="2"/>
      <c r="F1325" s="2"/>
      <c r="G1325" s="2"/>
      <c r="H1325" s="2"/>
      <c r="I1325" s="5"/>
    </row>
    <row r="1326" spans="1:9" ht="17.399999999999999" x14ac:dyDescent="0.25">
      <c r="A1326" s="16"/>
      <c r="B1326" s="17"/>
      <c r="C1326" s="2"/>
      <c r="D1326" s="2"/>
      <c r="E1326" s="2"/>
      <c r="F1326" s="2"/>
      <c r="G1326" s="2"/>
      <c r="H1326" s="2"/>
      <c r="I1326" s="5"/>
    </row>
    <row r="1327" spans="1:9" ht="17.399999999999999" x14ac:dyDescent="0.25">
      <c r="A1327" s="16"/>
      <c r="B1327" s="17"/>
      <c r="C1327" s="2"/>
      <c r="D1327" s="2"/>
      <c r="E1327" s="2"/>
      <c r="F1327" s="2"/>
      <c r="G1327" s="2"/>
      <c r="H1327" s="2"/>
      <c r="I1327" s="5"/>
    </row>
    <row r="1328" spans="1:9" ht="17.399999999999999" x14ac:dyDescent="0.25">
      <c r="A1328" s="16"/>
      <c r="B1328" s="17"/>
      <c r="C1328" s="2"/>
      <c r="D1328" s="2"/>
      <c r="E1328" s="2"/>
      <c r="F1328" s="2"/>
      <c r="G1328" s="2"/>
      <c r="H1328" s="2"/>
      <c r="I1328" s="5"/>
    </row>
    <row r="1329" spans="1:9" ht="17.399999999999999" x14ac:dyDescent="0.25">
      <c r="A1329" s="16"/>
      <c r="B1329" s="17"/>
      <c r="C1329" s="2"/>
      <c r="D1329" s="2"/>
      <c r="E1329" s="2"/>
      <c r="F1329" s="2"/>
      <c r="G1329" s="2"/>
      <c r="H1329" s="2"/>
      <c r="I1329" s="5"/>
    </row>
    <row r="1330" spans="1:9" ht="17.399999999999999" x14ac:dyDescent="0.25">
      <c r="A1330" s="16"/>
      <c r="B1330" s="17"/>
      <c r="C1330" s="2"/>
      <c r="D1330" s="2"/>
      <c r="E1330" s="2"/>
      <c r="F1330" s="2"/>
      <c r="G1330" s="2"/>
      <c r="H1330" s="2"/>
      <c r="I1330" s="5"/>
    </row>
    <row r="1331" spans="1:9" ht="17.399999999999999" x14ac:dyDescent="0.25">
      <c r="A1331" s="16"/>
      <c r="B1331" s="17"/>
      <c r="C1331" s="2"/>
      <c r="D1331" s="2"/>
      <c r="E1331" s="2"/>
      <c r="F1331" s="2"/>
      <c r="G1331" s="2"/>
      <c r="H1331" s="2"/>
      <c r="I1331" s="5"/>
    </row>
    <row r="1332" spans="1:9" ht="17.399999999999999" x14ac:dyDescent="0.25">
      <c r="A1332" s="16"/>
      <c r="B1332" s="17"/>
      <c r="C1332" s="2"/>
      <c r="D1332" s="2"/>
      <c r="E1332" s="2"/>
      <c r="F1332" s="2"/>
      <c r="G1332" s="2"/>
      <c r="H1332" s="2"/>
      <c r="I1332" s="5"/>
    </row>
    <row r="1333" spans="1:9" ht="17.399999999999999" x14ac:dyDescent="0.25">
      <c r="A1333" s="16"/>
      <c r="B1333" s="17"/>
      <c r="C1333" s="2"/>
      <c r="D1333" s="2"/>
      <c r="E1333" s="2"/>
      <c r="F1333" s="2"/>
      <c r="G1333" s="2"/>
      <c r="H1333" s="2"/>
      <c r="I1333" s="5"/>
    </row>
    <row r="1334" spans="1:9" ht="17.399999999999999" x14ac:dyDescent="0.25">
      <c r="A1334" s="16"/>
      <c r="B1334" s="17"/>
      <c r="C1334" s="2"/>
      <c r="D1334" s="2"/>
      <c r="E1334" s="2"/>
      <c r="F1334" s="2"/>
      <c r="G1334" s="2"/>
      <c r="H1334" s="2"/>
      <c r="I1334" s="5"/>
    </row>
    <row r="1335" spans="1:9" ht="17.399999999999999" x14ac:dyDescent="0.25">
      <c r="A1335" s="16"/>
      <c r="B1335" s="17"/>
      <c r="C1335" s="2"/>
      <c r="D1335" s="2"/>
      <c r="E1335" s="2"/>
      <c r="F1335" s="2"/>
      <c r="G1335" s="2"/>
      <c r="H1335" s="2"/>
      <c r="I1335" s="5"/>
    </row>
    <row r="1336" spans="1:9" ht="17.399999999999999" x14ac:dyDescent="0.25">
      <c r="A1336" s="16"/>
      <c r="B1336" s="17"/>
      <c r="C1336" s="2"/>
      <c r="D1336" s="2"/>
      <c r="E1336" s="2"/>
      <c r="F1336" s="2"/>
      <c r="G1336" s="2"/>
      <c r="H1336" s="2"/>
      <c r="I1336" s="5"/>
    </row>
    <row r="1337" spans="1:9" ht="17.399999999999999" x14ac:dyDescent="0.25">
      <c r="A1337" s="16"/>
      <c r="B1337" s="17"/>
      <c r="C1337" s="2"/>
      <c r="D1337" s="2"/>
      <c r="E1337" s="2"/>
      <c r="F1337" s="2"/>
      <c r="G1337" s="2"/>
      <c r="H1337" s="2"/>
      <c r="I1337" s="5"/>
    </row>
    <row r="1338" spans="1:9" ht="17.399999999999999" x14ac:dyDescent="0.25">
      <c r="A1338" s="16"/>
      <c r="B1338" s="17"/>
      <c r="C1338" s="2"/>
      <c r="D1338" s="2"/>
      <c r="E1338" s="2"/>
      <c r="F1338" s="2"/>
      <c r="G1338" s="2"/>
      <c r="H1338" s="2"/>
      <c r="I1338" s="5"/>
    </row>
    <row r="1339" spans="1:9" ht="17.399999999999999" x14ac:dyDescent="0.25">
      <c r="A1339" s="16"/>
      <c r="B1339" s="17"/>
      <c r="C1339" s="2"/>
      <c r="D1339" s="2"/>
      <c r="E1339" s="2"/>
      <c r="F1339" s="2"/>
      <c r="G1339" s="2"/>
      <c r="H1339" s="2"/>
      <c r="I1339" s="5"/>
    </row>
    <row r="1340" spans="1:9" ht="17.399999999999999" x14ac:dyDescent="0.25">
      <c r="A1340" s="16"/>
      <c r="B1340" s="17"/>
      <c r="C1340" s="2"/>
      <c r="D1340" s="2"/>
      <c r="E1340" s="2"/>
      <c r="F1340" s="2"/>
      <c r="G1340" s="2"/>
      <c r="H1340" s="2"/>
      <c r="I1340" s="5"/>
    </row>
    <row r="1341" spans="1:9" ht="17.399999999999999" x14ac:dyDescent="0.25">
      <c r="A1341" s="16"/>
      <c r="B1341" s="17"/>
      <c r="C1341" s="2"/>
      <c r="D1341" s="2"/>
      <c r="E1341" s="2"/>
      <c r="F1341" s="2"/>
      <c r="G1341" s="2"/>
      <c r="H1341" s="2"/>
      <c r="I1341" s="5"/>
    </row>
    <row r="1342" spans="1:9" ht="17.399999999999999" x14ac:dyDescent="0.25">
      <c r="A1342" s="16"/>
      <c r="B1342" s="17"/>
      <c r="C1342" s="2"/>
      <c r="D1342" s="2"/>
      <c r="E1342" s="2"/>
      <c r="F1342" s="2"/>
      <c r="G1342" s="2"/>
      <c r="H1342" s="2"/>
      <c r="I1342" s="5"/>
    </row>
    <row r="1343" spans="1:9" ht="17.399999999999999" x14ac:dyDescent="0.25">
      <c r="A1343" s="16"/>
      <c r="B1343" s="17"/>
      <c r="C1343" s="2"/>
      <c r="D1343" s="2"/>
      <c r="E1343" s="2"/>
      <c r="F1343" s="2"/>
      <c r="G1343" s="2"/>
      <c r="H1343" s="2"/>
      <c r="I1343" s="5"/>
    </row>
    <row r="1344" spans="1:9" ht="17.399999999999999" x14ac:dyDescent="0.25">
      <c r="A1344" s="16"/>
      <c r="B1344" s="17"/>
      <c r="C1344" s="2"/>
      <c r="D1344" s="2"/>
      <c r="E1344" s="2"/>
      <c r="F1344" s="2"/>
      <c r="G1344" s="2"/>
      <c r="H1344" s="2"/>
      <c r="I1344" s="5"/>
    </row>
    <row r="1345" spans="1:9" ht="17.399999999999999" x14ac:dyDescent="0.25">
      <c r="A1345" s="16"/>
      <c r="B1345" s="17"/>
      <c r="C1345" s="2"/>
      <c r="D1345" s="2"/>
      <c r="E1345" s="2"/>
      <c r="F1345" s="2"/>
      <c r="G1345" s="2"/>
      <c r="H1345" s="2"/>
      <c r="I1345" s="5"/>
    </row>
    <row r="1346" spans="1:9" ht="17.399999999999999" x14ac:dyDescent="0.25">
      <c r="A1346" s="16"/>
      <c r="B1346" s="17"/>
      <c r="C1346" s="2"/>
      <c r="D1346" s="2"/>
      <c r="E1346" s="2"/>
      <c r="F1346" s="2"/>
      <c r="G1346" s="2"/>
      <c r="H1346" s="2"/>
      <c r="I1346" s="5"/>
    </row>
    <row r="1347" spans="1:9" ht="17.399999999999999" x14ac:dyDescent="0.25">
      <c r="A1347" s="16"/>
      <c r="B1347" s="17"/>
      <c r="C1347" s="2"/>
      <c r="D1347" s="2"/>
      <c r="E1347" s="2"/>
      <c r="F1347" s="2"/>
      <c r="G1347" s="2"/>
      <c r="H1347" s="2"/>
      <c r="I1347" s="5"/>
    </row>
    <row r="1348" spans="1:9" ht="17.399999999999999" x14ac:dyDescent="0.25">
      <c r="A1348" s="16"/>
      <c r="B1348" s="17"/>
      <c r="C1348" s="2"/>
      <c r="D1348" s="2"/>
      <c r="E1348" s="2"/>
      <c r="F1348" s="2"/>
      <c r="G1348" s="2"/>
      <c r="H1348" s="2"/>
      <c r="I1348" s="5"/>
    </row>
    <row r="1349" spans="1:9" ht="17.399999999999999" x14ac:dyDescent="0.25">
      <c r="A1349" s="16"/>
      <c r="B1349" s="17"/>
      <c r="C1349" s="2"/>
      <c r="D1349" s="2"/>
      <c r="E1349" s="2"/>
      <c r="F1349" s="2"/>
      <c r="G1349" s="2"/>
      <c r="H1349" s="2"/>
      <c r="I1349" s="5"/>
    </row>
    <row r="1350" spans="1:9" ht="17.399999999999999" x14ac:dyDescent="0.25">
      <c r="A1350" s="16"/>
      <c r="B1350" s="17"/>
      <c r="C1350" s="2"/>
      <c r="D1350" s="2"/>
      <c r="E1350" s="2"/>
      <c r="F1350" s="2"/>
      <c r="G1350" s="2"/>
      <c r="H1350" s="2"/>
      <c r="I1350" s="5"/>
    </row>
    <row r="1351" spans="1:9" ht="17.399999999999999" x14ac:dyDescent="0.25">
      <c r="A1351" s="16"/>
      <c r="B1351" s="17"/>
      <c r="C1351" s="2"/>
      <c r="D1351" s="2"/>
      <c r="E1351" s="2"/>
      <c r="F1351" s="2"/>
      <c r="G1351" s="2"/>
      <c r="H1351" s="2"/>
      <c r="I1351" s="5"/>
    </row>
    <row r="1352" spans="1:9" ht="17.399999999999999" x14ac:dyDescent="0.25">
      <c r="A1352" s="16"/>
      <c r="B1352" s="17"/>
      <c r="C1352" s="2"/>
      <c r="D1352" s="2"/>
      <c r="E1352" s="2"/>
      <c r="F1352" s="2"/>
      <c r="G1352" s="2"/>
      <c r="H1352" s="2"/>
      <c r="I1352" s="5"/>
    </row>
    <row r="1353" spans="1:9" ht="17.399999999999999" x14ac:dyDescent="0.25">
      <c r="A1353" s="16"/>
      <c r="B1353" s="17"/>
      <c r="C1353" s="2"/>
      <c r="D1353" s="2"/>
      <c r="E1353" s="2"/>
      <c r="F1353" s="2"/>
      <c r="G1353" s="2"/>
      <c r="H1353" s="2"/>
      <c r="I1353" s="5"/>
    </row>
    <row r="1354" spans="1:9" ht="17.399999999999999" x14ac:dyDescent="0.25">
      <c r="A1354" s="16"/>
      <c r="B1354" s="17"/>
      <c r="C1354" s="2"/>
      <c r="D1354" s="2"/>
      <c r="E1354" s="2"/>
      <c r="F1354" s="2"/>
      <c r="G1354" s="2"/>
      <c r="H1354" s="2"/>
      <c r="I1354" s="5"/>
    </row>
    <row r="1355" spans="1:9" ht="17.399999999999999" x14ac:dyDescent="0.25">
      <c r="A1355" s="16"/>
      <c r="B1355" s="17"/>
      <c r="C1355" s="2"/>
      <c r="D1355" s="2"/>
      <c r="E1355" s="2"/>
      <c r="F1355" s="2"/>
      <c r="G1355" s="2"/>
      <c r="H1355" s="2"/>
      <c r="I1355" s="5"/>
    </row>
    <row r="1356" spans="1:9" ht="17.399999999999999" x14ac:dyDescent="0.25">
      <c r="A1356" s="16"/>
      <c r="B1356" s="17"/>
      <c r="C1356" s="2"/>
      <c r="D1356" s="2"/>
      <c r="E1356" s="2"/>
      <c r="F1356" s="2"/>
      <c r="G1356" s="2"/>
      <c r="H1356" s="2"/>
      <c r="I1356" s="5"/>
    </row>
    <row r="1357" spans="1:9" ht="17.399999999999999" x14ac:dyDescent="0.25">
      <c r="A1357" s="16"/>
      <c r="B1357" s="17"/>
      <c r="C1357" s="2"/>
      <c r="D1357" s="2"/>
      <c r="E1357" s="2"/>
      <c r="F1357" s="2"/>
      <c r="G1357" s="2"/>
      <c r="H1357" s="2"/>
      <c r="I1357" s="5"/>
    </row>
    <row r="1358" spans="1:9" ht="17.399999999999999" x14ac:dyDescent="0.25">
      <c r="A1358" s="16"/>
      <c r="B1358" s="17"/>
      <c r="C1358" s="2"/>
      <c r="D1358" s="2"/>
      <c r="E1358" s="2"/>
      <c r="F1358" s="2"/>
      <c r="G1358" s="2"/>
      <c r="H1358" s="2"/>
      <c r="I1358" s="5"/>
    </row>
    <row r="1359" spans="1:9" ht="17.399999999999999" x14ac:dyDescent="0.25">
      <c r="A1359" s="16"/>
      <c r="B1359" s="17"/>
      <c r="C1359" s="2"/>
      <c r="D1359" s="2"/>
      <c r="E1359" s="2"/>
      <c r="F1359" s="2"/>
      <c r="G1359" s="2"/>
      <c r="H1359" s="2"/>
      <c r="I1359" s="5"/>
    </row>
    <row r="1360" spans="1:9" ht="17.399999999999999" x14ac:dyDescent="0.25">
      <c r="A1360" s="16"/>
      <c r="B1360" s="17"/>
      <c r="C1360" s="2"/>
      <c r="D1360" s="2"/>
      <c r="E1360" s="2"/>
      <c r="F1360" s="2"/>
      <c r="G1360" s="2"/>
      <c r="H1360" s="2"/>
      <c r="I1360" s="5"/>
    </row>
    <row r="1361" spans="1:9" ht="17.399999999999999" x14ac:dyDescent="0.25">
      <c r="A1361" s="16"/>
      <c r="B1361" s="17"/>
      <c r="C1361" s="2"/>
      <c r="D1361" s="2"/>
      <c r="E1361" s="2"/>
      <c r="F1361" s="2"/>
      <c r="G1361" s="2"/>
      <c r="H1361" s="2"/>
      <c r="I1361" s="5"/>
    </row>
    <row r="1362" spans="1:9" ht="17.399999999999999" x14ac:dyDescent="0.25">
      <c r="A1362" s="16"/>
      <c r="B1362" s="17"/>
      <c r="C1362" s="2"/>
      <c r="D1362" s="2"/>
      <c r="E1362" s="2"/>
      <c r="F1362" s="2"/>
      <c r="G1362" s="2"/>
      <c r="H1362" s="2"/>
      <c r="I1362" s="5"/>
    </row>
    <row r="1363" spans="1:9" ht="17.399999999999999" x14ac:dyDescent="0.25">
      <c r="A1363" s="16"/>
      <c r="B1363" s="17"/>
      <c r="C1363" s="2"/>
      <c r="D1363" s="2"/>
      <c r="E1363" s="2"/>
      <c r="F1363" s="2"/>
      <c r="G1363" s="2"/>
      <c r="H1363" s="2"/>
      <c r="I1363" s="5"/>
    </row>
    <row r="1364" spans="1:9" ht="17.399999999999999" x14ac:dyDescent="0.25">
      <c r="A1364" s="16"/>
      <c r="B1364" s="17"/>
      <c r="C1364" s="2"/>
      <c r="D1364" s="2"/>
      <c r="E1364" s="2"/>
      <c r="F1364" s="2"/>
      <c r="G1364" s="2"/>
      <c r="H1364" s="2"/>
      <c r="I1364" s="5"/>
    </row>
    <row r="1365" spans="1:9" ht="17.399999999999999" x14ac:dyDescent="0.25">
      <c r="A1365" s="16"/>
      <c r="B1365" s="17"/>
      <c r="C1365" s="2"/>
      <c r="D1365" s="2"/>
      <c r="E1365" s="2"/>
      <c r="F1365" s="2"/>
      <c r="G1365" s="2"/>
      <c r="H1365" s="2"/>
      <c r="I1365" s="5"/>
    </row>
    <row r="1366" spans="1:9" ht="17.399999999999999" x14ac:dyDescent="0.25">
      <c r="A1366" s="16"/>
      <c r="B1366" s="17"/>
      <c r="C1366" s="2"/>
      <c r="D1366" s="2"/>
      <c r="E1366" s="2"/>
      <c r="F1366" s="2"/>
      <c r="G1366" s="2"/>
      <c r="H1366" s="2"/>
      <c r="I1366" s="5"/>
    </row>
    <row r="1367" spans="1:9" ht="17.399999999999999" x14ac:dyDescent="0.25">
      <c r="A1367" s="16"/>
      <c r="B1367" s="17"/>
      <c r="C1367" s="2"/>
      <c r="D1367" s="2"/>
      <c r="E1367" s="2"/>
      <c r="F1367" s="2"/>
      <c r="G1367" s="2"/>
      <c r="H1367" s="2"/>
      <c r="I1367" s="5"/>
    </row>
    <row r="1368" spans="1:9" ht="17.399999999999999" x14ac:dyDescent="0.25">
      <c r="A1368" s="16"/>
      <c r="B1368" s="17"/>
      <c r="C1368" s="2"/>
      <c r="D1368" s="2"/>
      <c r="E1368" s="2"/>
      <c r="F1368" s="2"/>
      <c r="G1368" s="2"/>
      <c r="H1368" s="2"/>
      <c r="I1368" s="5"/>
    </row>
    <row r="1369" spans="1:9" ht="17.399999999999999" x14ac:dyDescent="0.25">
      <c r="A1369" s="16"/>
      <c r="B1369" s="17"/>
      <c r="C1369" s="2"/>
      <c r="D1369" s="2"/>
      <c r="E1369" s="2"/>
      <c r="F1369" s="2"/>
      <c r="G1369" s="2"/>
      <c r="H1369" s="2"/>
      <c r="I1369" s="5"/>
    </row>
    <row r="1370" spans="1:9" ht="17.399999999999999" x14ac:dyDescent="0.25">
      <c r="A1370" s="16"/>
      <c r="B1370" s="17"/>
      <c r="C1370" s="2"/>
      <c r="D1370" s="2"/>
      <c r="E1370" s="2"/>
      <c r="F1370" s="2"/>
      <c r="G1370" s="2"/>
      <c r="H1370" s="2"/>
      <c r="I1370" s="5"/>
    </row>
    <row r="1371" spans="1:9" ht="17.399999999999999" x14ac:dyDescent="0.25">
      <c r="A1371" s="16"/>
      <c r="B1371" s="17"/>
      <c r="C1371" s="2"/>
      <c r="D1371" s="2"/>
      <c r="E1371" s="2"/>
      <c r="F1371" s="2"/>
      <c r="G1371" s="2"/>
      <c r="H1371" s="2"/>
      <c r="I1371" s="5"/>
    </row>
    <row r="1372" spans="1:9" ht="17.399999999999999" x14ac:dyDescent="0.25">
      <c r="A1372" s="16"/>
      <c r="B1372" s="17"/>
      <c r="C1372" s="2"/>
      <c r="D1372" s="2"/>
      <c r="E1372" s="2"/>
      <c r="F1372" s="2"/>
      <c r="G1372" s="2"/>
      <c r="H1372" s="2"/>
      <c r="I1372" s="5"/>
    </row>
    <row r="1373" spans="1:9" ht="17.399999999999999" x14ac:dyDescent="0.25">
      <c r="A1373" s="16"/>
      <c r="B1373" s="17"/>
      <c r="C1373" s="2"/>
      <c r="D1373" s="2"/>
      <c r="E1373" s="2"/>
      <c r="F1373" s="2"/>
      <c r="G1373" s="2"/>
      <c r="H1373" s="2"/>
      <c r="I1373" s="5"/>
    </row>
    <row r="1374" spans="1:9" ht="17.399999999999999" x14ac:dyDescent="0.25">
      <c r="A1374" s="16"/>
      <c r="B1374" s="17"/>
      <c r="C1374" s="2"/>
      <c r="D1374" s="2"/>
      <c r="E1374" s="2"/>
      <c r="F1374" s="2"/>
      <c r="G1374" s="2"/>
      <c r="H1374" s="2"/>
      <c r="I1374" s="5"/>
    </row>
    <row r="1375" spans="1:9" ht="17.399999999999999" x14ac:dyDescent="0.25">
      <c r="A1375" s="16"/>
      <c r="B1375" s="17"/>
      <c r="C1375" s="2"/>
      <c r="D1375" s="2"/>
      <c r="E1375" s="2"/>
      <c r="F1375" s="2"/>
      <c r="G1375" s="2"/>
      <c r="H1375" s="2"/>
      <c r="I1375" s="5"/>
    </row>
    <row r="1376" spans="1:9" ht="17.399999999999999" x14ac:dyDescent="0.25">
      <c r="A1376" s="16"/>
      <c r="B1376" s="17"/>
      <c r="C1376" s="2"/>
      <c r="D1376" s="2"/>
      <c r="E1376" s="2"/>
      <c r="F1376" s="2"/>
      <c r="G1376" s="2"/>
      <c r="H1376" s="2"/>
      <c r="I1376" s="5"/>
    </row>
    <row r="1377" spans="1:9" ht="17.399999999999999" x14ac:dyDescent="0.25">
      <c r="A1377" s="16"/>
      <c r="B1377" s="17"/>
      <c r="C1377" s="2"/>
      <c r="D1377" s="2"/>
      <c r="E1377" s="2"/>
      <c r="F1377" s="2"/>
      <c r="G1377" s="2"/>
      <c r="H1377" s="2"/>
      <c r="I1377" s="5"/>
    </row>
    <row r="1378" spans="1:9" ht="17.399999999999999" x14ac:dyDescent="0.25">
      <c r="A1378" s="16"/>
      <c r="B1378" s="17"/>
      <c r="C1378" s="2"/>
      <c r="D1378" s="2"/>
      <c r="E1378" s="2"/>
      <c r="F1378" s="2"/>
      <c r="G1378" s="2"/>
      <c r="H1378" s="2"/>
      <c r="I1378" s="5"/>
    </row>
    <row r="1379" spans="1:9" ht="17.399999999999999" x14ac:dyDescent="0.25">
      <c r="A1379" s="16"/>
      <c r="B1379" s="17"/>
      <c r="C1379" s="2"/>
      <c r="D1379" s="2"/>
      <c r="E1379" s="2"/>
      <c r="F1379" s="2"/>
      <c r="G1379" s="2"/>
      <c r="H1379" s="2"/>
      <c r="I1379" s="5"/>
    </row>
    <row r="1380" spans="1:9" ht="17.399999999999999" x14ac:dyDescent="0.25">
      <c r="A1380" s="16"/>
      <c r="B1380" s="17"/>
      <c r="C1380" s="2"/>
      <c r="D1380" s="2"/>
      <c r="E1380" s="2"/>
      <c r="F1380" s="2"/>
      <c r="G1380" s="2"/>
      <c r="H1380" s="2"/>
      <c r="I1380" s="5"/>
    </row>
    <row r="1381" spans="1:9" ht="17.399999999999999" x14ac:dyDescent="0.25">
      <c r="A1381" s="16"/>
      <c r="B1381" s="17"/>
      <c r="C1381" s="2"/>
      <c r="D1381" s="2"/>
      <c r="E1381" s="2"/>
      <c r="F1381" s="2"/>
      <c r="G1381" s="2"/>
      <c r="H1381" s="2"/>
      <c r="I1381" s="5"/>
    </row>
    <row r="1382" spans="1:9" ht="17.399999999999999" x14ac:dyDescent="0.25">
      <c r="A1382" s="16"/>
      <c r="B1382" s="17"/>
      <c r="C1382" s="2"/>
      <c r="D1382" s="2"/>
      <c r="E1382" s="2"/>
      <c r="F1382" s="2"/>
      <c r="G1382" s="2"/>
      <c r="H1382" s="2"/>
      <c r="I1382" s="5"/>
    </row>
    <row r="1383" spans="1:9" ht="17.399999999999999" x14ac:dyDescent="0.25">
      <c r="A1383" s="16"/>
      <c r="B1383" s="17"/>
      <c r="C1383" s="2"/>
      <c r="D1383" s="2"/>
      <c r="E1383" s="2"/>
      <c r="F1383" s="2"/>
      <c r="G1383" s="2"/>
      <c r="H1383" s="2"/>
      <c r="I1383" s="5"/>
    </row>
    <row r="1384" spans="1:9" ht="17.399999999999999" x14ac:dyDescent="0.25">
      <c r="A1384" s="16"/>
      <c r="B1384" s="17"/>
      <c r="C1384" s="2"/>
      <c r="D1384" s="2"/>
      <c r="E1384" s="2"/>
      <c r="F1384" s="2"/>
      <c r="G1384" s="2"/>
      <c r="H1384" s="2"/>
      <c r="I1384" s="5"/>
    </row>
    <row r="1385" spans="1:9" ht="17.399999999999999" x14ac:dyDescent="0.25">
      <c r="A1385" s="16"/>
      <c r="B1385" s="17"/>
      <c r="C1385" s="2"/>
      <c r="D1385" s="2"/>
      <c r="E1385" s="2"/>
      <c r="F1385" s="2"/>
      <c r="G1385" s="2"/>
      <c r="H1385" s="2"/>
      <c r="I1385" s="5"/>
    </row>
    <row r="1386" spans="1:9" ht="17.399999999999999" x14ac:dyDescent="0.25">
      <c r="A1386" s="16"/>
      <c r="B1386" s="17"/>
      <c r="C1386" s="2"/>
      <c r="D1386" s="2"/>
      <c r="E1386" s="2"/>
      <c r="F1386" s="2"/>
      <c r="G1386" s="2"/>
      <c r="H1386" s="2"/>
      <c r="I1386" s="5"/>
    </row>
    <row r="1387" spans="1:9" ht="17.399999999999999" x14ac:dyDescent="0.25">
      <c r="A1387" s="16"/>
      <c r="B1387" s="17"/>
      <c r="C1387" s="2"/>
      <c r="D1387" s="2"/>
      <c r="E1387" s="2"/>
      <c r="F1387" s="2"/>
      <c r="G1387" s="2"/>
      <c r="H1387" s="2"/>
      <c r="I1387" s="5"/>
    </row>
    <row r="1388" spans="1:9" ht="17.399999999999999" x14ac:dyDescent="0.25">
      <c r="A1388" s="16"/>
      <c r="B1388" s="17"/>
      <c r="C1388" s="2"/>
      <c r="D1388" s="2"/>
      <c r="E1388" s="2"/>
      <c r="F1388" s="2"/>
      <c r="G1388" s="2"/>
      <c r="H1388" s="2"/>
      <c r="I1388" s="5"/>
    </row>
    <row r="1389" spans="1:9" ht="17.399999999999999" x14ac:dyDescent="0.25">
      <c r="A1389" s="16"/>
      <c r="B1389" s="17"/>
      <c r="C1389" s="2"/>
      <c r="D1389" s="2"/>
      <c r="E1389" s="2"/>
      <c r="F1389" s="2"/>
      <c r="G1389" s="2"/>
      <c r="H1389" s="2"/>
      <c r="I1389" s="5"/>
    </row>
    <row r="1390" spans="1:9" ht="17.399999999999999" x14ac:dyDescent="0.25">
      <c r="A1390" s="16"/>
      <c r="B1390" s="17"/>
      <c r="C1390" s="2"/>
      <c r="D1390" s="2"/>
      <c r="E1390" s="2"/>
      <c r="F1390" s="2"/>
      <c r="G1390" s="2"/>
      <c r="H1390" s="2"/>
      <c r="I1390" s="5"/>
    </row>
    <row r="1391" spans="1:9" ht="17.399999999999999" x14ac:dyDescent="0.25">
      <c r="A1391" s="16"/>
      <c r="B1391" s="17"/>
      <c r="C1391" s="2"/>
      <c r="D1391" s="2"/>
      <c r="E1391" s="2"/>
      <c r="F1391" s="2"/>
      <c r="G1391" s="2"/>
      <c r="H1391" s="2"/>
      <c r="I1391" s="5"/>
    </row>
    <row r="1392" spans="1:9" ht="17.399999999999999" x14ac:dyDescent="0.25">
      <c r="A1392" s="16"/>
      <c r="B1392" s="17"/>
      <c r="C1392" s="2"/>
      <c r="D1392" s="2"/>
      <c r="E1392" s="2"/>
      <c r="F1392" s="2"/>
      <c r="G1392" s="2"/>
      <c r="H1392" s="2"/>
      <c r="I1392" s="5"/>
    </row>
    <row r="1393" spans="1:9" ht="17.399999999999999" x14ac:dyDescent="0.25">
      <c r="A1393" s="16"/>
      <c r="B1393" s="17"/>
      <c r="C1393" s="2"/>
      <c r="D1393" s="2"/>
      <c r="E1393" s="2"/>
      <c r="F1393" s="2"/>
      <c r="G1393" s="2"/>
      <c r="H1393" s="2"/>
      <c r="I1393" s="5"/>
    </row>
    <row r="1394" spans="1:9" ht="17.399999999999999" x14ac:dyDescent="0.25">
      <c r="A1394" s="16"/>
      <c r="B1394" s="17"/>
      <c r="C1394" s="2"/>
      <c r="D1394" s="2"/>
      <c r="E1394" s="2"/>
      <c r="F1394" s="2"/>
      <c r="G1394" s="2"/>
      <c r="H1394" s="2"/>
      <c r="I1394" s="5"/>
    </row>
    <row r="1395" spans="1:9" ht="17.399999999999999" x14ac:dyDescent="0.25">
      <c r="A1395" s="16"/>
      <c r="B1395" s="17"/>
      <c r="C1395" s="2"/>
      <c r="D1395" s="2"/>
      <c r="E1395" s="2"/>
      <c r="F1395" s="2"/>
      <c r="G1395" s="2"/>
      <c r="H1395" s="2"/>
      <c r="I1395" s="5"/>
    </row>
    <row r="1396" spans="1:9" ht="17.399999999999999" x14ac:dyDescent="0.25">
      <c r="A1396" s="16"/>
      <c r="B1396" s="17"/>
      <c r="C1396" s="2"/>
      <c r="D1396" s="2"/>
      <c r="E1396" s="2"/>
      <c r="F1396" s="2"/>
      <c r="G1396" s="2"/>
      <c r="H1396" s="2"/>
      <c r="I1396" s="5"/>
    </row>
    <row r="1397" spans="1:9" ht="17.399999999999999" x14ac:dyDescent="0.25">
      <c r="A1397" s="16"/>
      <c r="B1397" s="17"/>
      <c r="C1397" s="2"/>
      <c r="D1397" s="2"/>
      <c r="E1397" s="2"/>
      <c r="F1397" s="2"/>
      <c r="G1397" s="2"/>
      <c r="H1397" s="2"/>
      <c r="I1397" s="5"/>
    </row>
    <row r="1398" spans="1:9" ht="17.399999999999999" x14ac:dyDescent="0.25">
      <c r="A1398" s="16"/>
      <c r="B1398" s="17"/>
      <c r="C1398" s="2"/>
      <c r="D1398" s="2"/>
      <c r="E1398" s="2"/>
      <c r="F1398" s="2"/>
      <c r="G1398" s="2"/>
      <c r="H1398" s="2"/>
      <c r="I1398" s="5"/>
    </row>
    <row r="1399" spans="1:9" ht="17.399999999999999" x14ac:dyDescent="0.25">
      <c r="A1399" s="16"/>
      <c r="B1399" s="17"/>
      <c r="C1399" s="2"/>
      <c r="D1399" s="2"/>
      <c r="E1399" s="2"/>
      <c r="F1399" s="2"/>
      <c r="G1399" s="2"/>
      <c r="H1399" s="2"/>
      <c r="I1399" s="5"/>
    </row>
    <row r="1400" spans="1:9" ht="17.399999999999999" x14ac:dyDescent="0.25">
      <c r="A1400" s="16"/>
      <c r="B1400" s="17"/>
      <c r="C1400" s="2"/>
      <c r="D1400" s="2"/>
      <c r="E1400" s="2"/>
      <c r="F1400" s="2"/>
      <c r="G1400" s="2"/>
      <c r="H1400" s="2"/>
      <c r="I1400" s="5"/>
    </row>
    <row r="1401" spans="1:9" ht="17.399999999999999" x14ac:dyDescent="0.25">
      <c r="A1401" s="16"/>
      <c r="B1401" s="17"/>
      <c r="C1401" s="2"/>
      <c r="D1401" s="2"/>
      <c r="E1401" s="2"/>
      <c r="F1401" s="2"/>
      <c r="G1401" s="2"/>
      <c r="H1401" s="2"/>
      <c r="I1401" s="5"/>
    </row>
    <row r="1402" spans="1:9" ht="17.399999999999999" x14ac:dyDescent="0.25">
      <c r="A1402" s="16"/>
      <c r="B1402" s="17"/>
      <c r="C1402" s="2"/>
      <c r="D1402" s="2"/>
      <c r="E1402" s="2"/>
      <c r="F1402" s="2"/>
      <c r="G1402" s="2"/>
      <c r="H1402" s="2"/>
      <c r="I1402" s="5"/>
    </row>
    <row r="1403" spans="1:9" ht="17.399999999999999" x14ac:dyDescent="0.25">
      <c r="A1403" s="16"/>
      <c r="B1403" s="17"/>
      <c r="C1403" s="2"/>
      <c r="D1403" s="2"/>
      <c r="E1403" s="2"/>
      <c r="F1403" s="2"/>
      <c r="G1403" s="2"/>
      <c r="H1403" s="2"/>
      <c r="I1403" s="5"/>
    </row>
    <row r="1404" spans="1:9" ht="17.399999999999999" x14ac:dyDescent="0.25">
      <c r="A1404" s="16"/>
      <c r="B1404" s="17"/>
      <c r="C1404" s="2"/>
      <c r="D1404" s="2"/>
      <c r="E1404" s="2"/>
      <c r="F1404" s="2"/>
      <c r="G1404" s="2"/>
      <c r="H1404" s="2"/>
      <c r="I1404" s="5"/>
    </row>
    <row r="1405" spans="1:9" ht="17.399999999999999" x14ac:dyDescent="0.25">
      <c r="A1405" s="16"/>
      <c r="B1405" s="17"/>
      <c r="C1405" s="2"/>
      <c r="D1405" s="2"/>
      <c r="E1405" s="2"/>
      <c r="F1405" s="2"/>
      <c r="G1405" s="2"/>
      <c r="H1405" s="2"/>
      <c r="I1405" s="5"/>
    </row>
    <row r="1406" spans="1:9" ht="17.399999999999999" x14ac:dyDescent="0.25">
      <c r="A1406" s="16"/>
      <c r="B1406" s="17"/>
      <c r="C1406" s="2"/>
      <c r="D1406" s="2"/>
      <c r="E1406" s="2"/>
      <c r="F1406" s="2"/>
      <c r="G1406" s="2"/>
      <c r="H1406" s="2"/>
      <c r="I1406" s="5"/>
    </row>
    <row r="1407" spans="1:9" ht="17.399999999999999" x14ac:dyDescent="0.25">
      <c r="A1407" s="16"/>
      <c r="B1407" s="17"/>
      <c r="C1407" s="2"/>
      <c r="D1407" s="2"/>
      <c r="E1407" s="2"/>
      <c r="F1407" s="2"/>
      <c r="G1407" s="2"/>
      <c r="H1407" s="2"/>
      <c r="I1407" s="5"/>
    </row>
    <row r="1408" spans="1:9" ht="17.399999999999999" x14ac:dyDescent="0.25">
      <c r="A1408" s="16"/>
      <c r="B1408" s="17"/>
      <c r="C1408" s="2"/>
      <c r="D1408" s="2"/>
      <c r="E1408" s="2"/>
      <c r="F1408" s="2"/>
      <c r="G1408" s="2"/>
      <c r="H1408" s="2"/>
      <c r="I1408" s="5"/>
    </row>
    <row r="1409" spans="1:9" ht="17.399999999999999" x14ac:dyDescent="0.25">
      <c r="A1409" s="16"/>
      <c r="B1409" s="17"/>
      <c r="C1409" s="2"/>
      <c r="D1409" s="2"/>
      <c r="E1409" s="2"/>
      <c r="F1409" s="2"/>
      <c r="G1409" s="2"/>
      <c r="H1409" s="2"/>
      <c r="I1409" s="5"/>
    </row>
    <row r="1410" spans="1:9" ht="17.399999999999999" x14ac:dyDescent="0.25">
      <c r="A1410" s="16"/>
      <c r="B1410" s="17"/>
      <c r="C1410" s="2"/>
      <c r="D1410" s="2"/>
      <c r="E1410" s="2"/>
      <c r="F1410" s="2"/>
      <c r="G1410" s="2"/>
      <c r="H1410" s="2"/>
      <c r="I1410" s="5"/>
    </row>
    <row r="1411" spans="1:9" ht="17.399999999999999" x14ac:dyDescent="0.25">
      <c r="A1411" s="16"/>
      <c r="B1411" s="17"/>
      <c r="C1411" s="2"/>
      <c r="D1411" s="2"/>
      <c r="E1411" s="2"/>
      <c r="F1411" s="2"/>
      <c r="G1411" s="2"/>
      <c r="H1411" s="2"/>
      <c r="I1411" s="5"/>
    </row>
    <row r="1412" spans="1:9" ht="17.399999999999999" x14ac:dyDescent="0.25">
      <c r="A1412" s="16"/>
      <c r="B1412" s="17"/>
      <c r="C1412" s="2"/>
      <c r="D1412" s="2"/>
      <c r="E1412" s="2"/>
      <c r="F1412" s="2"/>
      <c r="G1412" s="2"/>
      <c r="H1412" s="2"/>
      <c r="I1412" s="5"/>
    </row>
    <row r="1413" spans="1:9" ht="17.399999999999999" x14ac:dyDescent="0.25">
      <c r="A1413" s="16"/>
      <c r="B1413" s="17"/>
      <c r="C1413" s="2"/>
      <c r="D1413" s="2"/>
      <c r="E1413" s="2"/>
      <c r="F1413" s="2"/>
      <c r="G1413" s="2"/>
      <c r="H1413" s="2"/>
      <c r="I1413" s="5"/>
    </row>
    <row r="1414" spans="1:9" ht="17.399999999999999" x14ac:dyDescent="0.25">
      <c r="A1414" s="16"/>
      <c r="B1414" s="17"/>
      <c r="C1414" s="2"/>
      <c r="D1414" s="2"/>
      <c r="E1414" s="2"/>
      <c r="F1414" s="2"/>
      <c r="G1414" s="2"/>
      <c r="H1414" s="2"/>
      <c r="I1414" s="5"/>
    </row>
    <row r="1415" spans="1:9" ht="17.399999999999999" x14ac:dyDescent="0.25">
      <c r="A1415" s="16"/>
      <c r="B1415" s="17"/>
      <c r="C1415" s="2"/>
      <c r="D1415" s="2"/>
      <c r="E1415" s="2"/>
      <c r="F1415" s="2"/>
      <c r="G1415" s="2"/>
      <c r="H1415" s="2"/>
      <c r="I1415" s="5"/>
    </row>
    <row r="1416" spans="1:9" ht="17.399999999999999" x14ac:dyDescent="0.25">
      <c r="A1416" s="16"/>
      <c r="B1416" s="17"/>
      <c r="C1416" s="2"/>
      <c r="D1416" s="2"/>
      <c r="E1416" s="2"/>
      <c r="F1416" s="2"/>
      <c r="G1416" s="2"/>
      <c r="H1416" s="2"/>
      <c r="I1416" s="5"/>
    </row>
    <row r="1417" spans="1:9" ht="17.399999999999999" x14ac:dyDescent="0.25">
      <c r="A1417" s="16"/>
      <c r="B1417" s="17"/>
      <c r="C1417" s="2"/>
      <c r="D1417" s="2"/>
      <c r="E1417" s="2"/>
      <c r="F1417" s="2"/>
      <c r="G1417" s="2"/>
      <c r="H1417" s="2"/>
      <c r="I1417" s="5"/>
    </row>
    <row r="1418" spans="1:9" ht="17.399999999999999" x14ac:dyDescent="0.25">
      <c r="A1418" s="16"/>
      <c r="B1418" s="17"/>
      <c r="C1418" s="2"/>
      <c r="D1418" s="2"/>
      <c r="E1418" s="2"/>
      <c r="F1418" s="2"/>
      <c r="G1418" s="2"/>
      <c r="H1418" s="2"/>
      <c r="I1418" s="5"/>
    </row>
    <row r="1419" spans="1:9" ht="17.399999999999999" x14ac:dyDescent="0.25">
      <c r="A1419" s="16"/>
      <c r="B1419" s="17"/>
      <c r="C1419" s="2"/>
      <c r="D1419" s="2"/>
      <c r="E1419" s="2"/>
      <c r="F1419" s="2"/>
      <c r="G1419" s="2"/>
      <c r="H1419" s="2"/>
      <c r="I1419" s="5"/>
    </row>
    <row r="1420" spans="1:9" ht="17.399999999999999" x14ac:dyDescent="0.25">
      <c r="A1420" s="16"/>
      <c r="B1420" s="17"/>
      <c r="C1420" s="2"/>
      <c r="D1420" s="2"/>
      <c r="E1420" s="2"/>
      <c r="F1420" s="2"/>
      <c r="G1420" s="2"/>
      <c r="H1420" s="2"/>
      <c r="I1420" s="5"/>
    </row>
    <row r="1421" spans="1:9" ht="17.399999999999999" x14ac:dyDescent="0.25">
      <c r="A1421" s="16"/>
      <c r="B1421" s="17"/>
      <c r="C1421" s="2"/>
      <c r="D1421" s="2"/>
      <c r="E1421" s="2"/>
      <c r="F1421" s="2"/>
      <c r="G1421" s="2"/>
      <c r="H1421" s="2"/>
      <c r="I1421" s="5"/>
    </row>
    <row r="1422" spans="1:9" ht="17.399999999999999" x14ac:dyDescent="0.25">
      <c r="A1422" s="16"/>
      <c r="B1422" s="17"/>
      <c r="C1422" s="2"/>
      <c r="D1422" s="2"/>
      <c r="E1422" s="2"/>
      <c r="F1422" s="2"/>
      <c r="G1422" s="2"/>
      <c r="H1422" s="2"/>
      <c r="I1422" s="5"/>
    </row>
    <row r="1423" spans="1:9" ht="17.399999999999999" x14ac:dyDescent="0.25">
      <c r="A1423" s="16"/>
      <c r="B1423" s="17"/>
      <c r="C1423" s="2"/>
      <c r="D1423" s="2"/>
      <c r="E1423" s="2"/>
      <c r="F1423" s="2"/>
      <c r="G1423" s="2"/>
      <c r="H1423" s="2"/>
      <c r="I1423" s="5"/>
    </row>
    <row r="1424" spans="1:9" ht="17.399999999999999" x14ac:dyDescent="0.25">
      <c r="A1424" s="16"/>
      <c r="B1424" s="17"/>
      <c r="C1424" s="2"/>
      <c r="D1424" s="2"/>
      <c r="E1424" s="2"/>
      <c r="F1424" s="2"/>
      <c r="G1424" s="2"/>
      <c r="H1424" s="2"/>
      <c r="I1424" s="5"/>
    </row>
    <row r="1425" spans="1:9" ht="17.399999999999999" x14ac:dyDescent="0.25">
      <c r="A1425" s="16"/>
      <c r="B1425" s="17"/>
      <c r="C1425" s="2"/>
      <c r="D1425" s="2"/>
      <c r="E1425" s="2"/>
      <c r="F1425" s="2"/>
      <c r="G1425" s="2"/>
      <c r="H1425" s="2"/>
      <c r="I1425" s="5"/>
    </row>
    <row r="1426" spans="1:9" ht="17.399999999999999" x14ac:dyDescent="0.25">
      <c r="A1426" s="16"/>
      <c r="B1426" s="17"/>
      <c r="C1426" s="2"/>
      <c r="D1426" s="2"/>
      <c r="E1426" s="2"/>
      <c r="F1426" s="2"/>
      <c r="G1426" s="2"/>
      <c r="H1426" s="2"/>
      <c r="I1426" s="5"/>
    </row>
    <row r="1427" spans="1:9" ht="17.399999999999999" x14ac:dyDescent="0.25">
      <c r="A1427" s="16"/>
      <c r="B1427" s="17"/>
      <c r="C1427" s="2"/>
      <c r="D1427" s="2"/>
      <c r="E1427" s="2"/>
      <c r="F1427" s="2"/>
      <c r="G1427" s="2"/>
      <c r="H1427" s="2"/>
      <c r="I1427" s="5"/>
    </row>
    <row r="1428" spans="1:9" ht="17.399999999999999" x14ac:dyDescent="0.25">
      <c r="A1428" s="16"/>
      <c r="B1428" s="17"/>
      <c r="C1428" s="2"/>
      <c r="D1428" s="2"/>
      <c r="E1428" s="2"/>
      <c r="F1428" s="2"/>
      <c r="G1428" s="2"/>
      <c r="H1428" s="2"/>
      <c r="I1428" s="5"/>
    </row>
    <row r="1429" spans="1:9" ht="17.399999999999999" x14ac:dyDescent="0.25">
      <c r="A1429" s="16"/>
      <c r="B1429" s="17"/>
      <c r="C1429" s="2"/>
      <c r="D1429" s="2"/>
      <c r="E1429" s="2"/>
      <c r="F1429" s="2"/>
      <c r="G1429" s="2"/>
      <c r="H1429" s="2"/>
      <c r="I1429" s="5"/>
    </row>
    <row r="1430" spans="1:9" ht="17.399999999999999" x14ac:dyDescent="0.25">
      <c r="A1430" s="16"/>
      <c r="B1430" s="17"/>
      <c r="C1430" s="2"/>
      <c r="D1430" s="2"/>
      <c r="E1430" s="2"/>
      <c r="F1430" s="2"/>
      <c r="G1430" s="2"/>
      <c r="H1430" s="2"/>
      <c r="I1430" s="5"/>
    </row>
    <row r="1431" spans="1:9" ht="17.399999999999999" x14ac:dyDescent="0.25">
      <c r="A1431" s="16"/>
      <c r="B1431" s="17"/>
      <c r="C1431" s="2"/>
      <c r="D1431" s="2"/>
      <c r="E1431" s="2"/>
      <c r="F1431" s="2"/>
      <c r="G1431" s="2"/>
      <c r="H1431" s="2"/>
      <c r="I1431" s="5"/>
    </row>
    <row r="1432" spans="1:9" ht="17.399999999999999" x14ac:dyDescent="0.25">
      <c r="A1432" s="16"/>
      <c r="B1432" s="17"/>
      <c r="C1432" s="2"/>
      <c r="D1432" s="2"/>
      <c r="E1432" s="2"/>
      <c r="F1432" s="2"/>
      <c r="G1432" s="2"/>
      <c r="H1432" s="2"/>
      <c r="I1432" s="5"/>
    </row>
    <row r="1433" spans="1:9" ht="17.399999999999999" x14ac:dyDescent="0.25">
      <c r="A1433" s="16"/>
      <c r="B1433" s="17"/>
      <c r="C1433" s="2"/>
      <c r="D1433" s="2"/>
      <c r="E1433" s="2"/>
      <c r="F1433" s="2"/>
      <c r="G1433" s="2"/>
      <c r="H1433" s="2"/>
      <c r="I1433" s="5"/>
    </row>
    <row r="1434" spans="1:9" ht="17.399999999999999" x14ac:dyDescent="0.25">
      <c r="A1434" s="16"/>
      <c r="B1434" s="17"/>
      <c r="C1434" s="2"/>
      <c r="D1434" s="2"/>
      <c r="E1434" s="2"/>
      <c r="F1434" s="2"/>
      <c r="G1434" s="2"/>
      <c r="H1434" s="2"/>
      <c r="I1434" s="5"/>
    </row>
    <row r="1435" spans="1:9" ht="17.399999999999999" x14ac:dyDescent="0.25">
      <c r="A1435" s="16"/>
      <c r="B1435" s="17"/>
      <c r="C1435" s="2"/>
      <c r="D1435" s="2"/>
      <c r="E1435" s="2"/>
      <c r="F1435" s="2"/>
      <c r="G1435" s="2"/>
      <c r="H1435" s="2"/>
      <c r="I1435" s="5"/>
    </row>
    <row r="1436" spans="1:9" ht="17.399999999999999" x14ac:dyDescent="0.25">
      <c r="A1436" s="16"/>
      <c r="B1436" s="17"/>
      <c r="C1436" s="2"/>
      <c r="D1436" s="2"/>
      <c r="E1436" s="2"/>
      <c r="F1436" s="2"/>
      <c r="G1436" s="2"/>
      <c r="H1436" s="2"/>
      <c r="I1436" s="5"/>
    </row>
    <row r="1437" spans="1:9" ht="17.399999999999999" x14ac:dyDescent="0.25">
      <c r="A1437" s="16"/>
      <c r="B1437" s="17"/>
      <c r="C1437" s="2"/>
      <c r="D1437" s="2"/>
      <c r="E1437" s="2"/>
      <c r="F1437" s="2"/>
      <c r="G1437" s="2"/>
      <c r="H1437" s="2"/>
      <c r="I1437" s="5"/>
    </row>
    <row r="1438" spans="1:9" ht="17.399999999999999" x14ac:dyDescent="0.25">
      <c r="A1438" s="16"/>
      <c r="B1438" s="17"/>
      <c r="C1438" s="2"/>
      <c r="D1438" s="2"/>
      <c r="E1438" s="2"/>
      <c r="F1438" s="2"/>
      <c r="G1438" s="2"/>
      <c r="H1438" s="2"/>
      <c r="I1438" s="5"/>
    </row>
    <row r="1439" spans="1:9" ht="17.399999999999999" x14ac:dyDescent="0.25">
      <c r="A1439" s="16"/>
      <c r="B1439" s="17"/>
      <c r="C1439" s="2"/>
      <c r="D1439" s="2"/>
      <c r="E1439" s="2"/>
      <c r="F1439" s="2"/>
      <c r="G1439" s="2"/>
      <c r="H1439" s="2"/>
      <c r="I1439" s="5"/>
    </row>
    <row r="1440" spans="1:9" ht="17.399999999999999" x14ac:dyDescent="0.25">
      <c r="A1440" s="16"/>
      <c r="B1440" s="17"/>
      <c r="C1440" s="2"/>
      <c r="D1440" s="2"/>
      <c r="E1440" s="2"/>
      <c r="F1440" s="2"/>
      <c r="G1440" s="2"/>
      <c r="H1440" s="2"/>
      <c r="I1440" s="5"/>
    </row>
    <row r="1441" spans="1:9" ht="17.399999999999999" x14ac:dyDescent="0.25">
      <c r="A1441" s="16"/>
      <c r="B1441" s="17"/>
      <c r="C1441" s="2"/>
      <c r="D1441" s="2"/>
      <c r="E1441" s="2"/>
      <c r="F1441" s="2"/>
      <c r="G1441" s="2"/>
      <c r="H1441" s="2"/>
      <c r="I1441" s="5"/>
    </row>
    <row r="1442" spans="1:9" ht="17.399999999999999" x14ac:dyDescent="0.25">
      <c r="A1442" s="16"/>
      <c r="B1442" s="17"/>
      <c r="C1442" s="2"/>
      <c r="D1442" s="2"/>
      <c r="E1442" s="2"/>
      <c r="F1442" s="2"/>
      <c r="G1442" s="2"/>
      <c r="H1442" s="2"/>
      <c r="I1442" s="5"/>
    </row>
    <row r="1443" spans="1:9" ht="17.399999999999999" x14ac:dyDescent="0.25">
      <c r="A1443" s="16"/>
      <c r="B1443" s="17"/>
      <c r="C1443" s="2"/>
      <c r="D1443" s="2"/>
      <c r="E1443" s="2"/>
      <c r="F1443" s="2"/>
      <c r="G1443" s="2"/>
      <c r="H1443" s="2"/>
      <c r="I1443" s="5"/>
    </row>
    <row r="1444" spans="1:9" ht="17.399999999999999" x14ac:dyDescent="0.25">
      <c r="A1444" s="16"/>
      <c r="B1444" s="17"/>
      <c r="C1444" s="2"/>
      <c r="D1444" s="2"/>
      <c r="E1444" s="2"/>
      <c r="F1444" s="2"/>
      <c r="G1444" s="2"/>
      <c r="H1444" s="2"/>
      <c r="I1444" s="5"/>
    </row>
    <row r="1445" spans="1:9" ht="17.399999999999999" x14ac:dyDescent="0.25">
      <c r="A1445" s="16"/>
      <c r="B1445" s="17"/>
      <c r="C1445" s="2"/>
      <c r="D1445" s="2"/>
      <c r="E1445" s="2"/>
      <c r="F1445" s="2"/>
      <c r="G1445" s="2"/>
      <c r="H1445" s="2"/>
      <c r="I1445" s="5"/>
    </row>
    <row r="1446" spans="1:9" ht="17.399999999999999" x14ac:dyDescent="0.25">
      <c r="A1446" s="16"/>
      <c r="B1446" s="17"/>
      <c r="C1446" s="2"/>
      <c r="D1446" s="2"/>
      <c r="E1446" s="2"/>
      <c r="F1446" s="2"/>
      <c r="G1446" s="2"/>
      <c r="H1446" s="2"/>
      <c r="I1446" s="5"/>
    </row>
    <row r="1447" spans="1:9" ht="17.399999999999999" x14ac:dyDescent="0.25">
      <c r="A1447" s="16"/>
      <c r="B1447" s="17"/>
      <c r="C1447" s="2"/>
      <c r="D1447" s="2"/>
      <c r="E1447" s="2"/>
      <c r="F1447" s="2"/>
      <c r="G1447" s="2"/>
      <c r="H1447" s="2"/>
      <c r="I1447" s="5"/>
    </row>
    <row r="1448" spans="1:9" ht="17.399999999999999" x14ac:dyDescent="0.25">
      <c r="A1448" s="16"/>
      <c r="B1448" s="17"/>
      <c r="C1448" s="2"/>
      <c r="D1448" s="2"/>
      <c r="E1448" s="2"/>
      <c r="F1448" s="2"/>
      <c r="G1448" s="2"/>
      <c r="H1448" s="2"/>
      <c r="I1448" s="5"/>
    </row>
    <row r="1449" spans="1:9" ht="17.399999999999999" x14ac:dyDescent="0.25">
      <c r="A1449" s="16"/>
      <c r="B1449" s="17"/>
      <c r="C1449" s="2"/>
      <c r="D1449" s="2"/>
      <c r="E1449" s="2"/>
      <c r="F1449" s="2"/>
      <c r="G1449" s="2"/>
      <c r="H1449" s="2"/>
      <c r="I1449" s="5"/>
    </row>
    <row r="1450" spans="1:9" ht="17.399999999999999" x14ac:dyDescent="0.25">
      <c r="A1450" s="16"/>
      <c r="B1450" s="17"/>
      <c r="C1450" s="2"/>
      <c r="D1450" s="2"/>
      <c r="E1450" s="2"/>
      <c r="F1450" s="2"/>
      <c r="G1450" s="2"/>
      <c r="H1450" s="2"/>
      <c r="I1450" s="5"/>
    </row>
    <row r="1451" spans="1:9" ht="17.399999999999999" x14ac:dyDescent="0.25">
      <c r="A1451" s="16"/>
      <c r="B1451" s="17"/>
      <c r="C1451" s="2"/>
      <c r="D1451" s="2"/>
      <c r="E1451" s="2"/>
      <c r="F1451" s="2"/>
      <c r="G1451" s="2"/>
      <c r="H1451" s="2"/>
      <c r="I1451" s="5"/>
    </row>
    <row r="1452" spans="1:9" ht="17.399999999999999" x14ac:dyDescent="0.25">
      <c r="A1452" s="16"/>
      <c r="B1452" s="17"/>
      <c r="C1452" s="2"/>
      <c r="D1452" s="2"/>
      <c r="E1452" s="2"/>
      <c r="F1452" s="2"/>
      <c r="G1452" s="2"/>
      <c r="H1452" s="2"/>
      <c r="I1452" s="5"/>
    </row>
    <row r="1453" spans="1:9" ht="17.399999999999999" x14ac:dyDescent="0.25">
      <c r="A1453" s="16"/>
      <c r="B1453" s="17"/>
      <c r="C1453" s="2"/>
      <c r="D1453" s="2"/>
      <c r="E1453" s="2"/>
      <c r="F1453" s="2"/>
      <c r="G1453" s="2"/>
      <c r="H1453" s="2"/>
      <c r="I1453" s="5"/>
    </row>
    <row r="1454" spans="1:9" ht="17.399999999999999" x14ac:dyDescent="0.25">
      <c r="A1454" s="16"/>
      <c r="B1454" s="17"/>
      <c r="C1454" s="2"/>
      <c r="D1454" s="2"/>
      <c r="E1454" s="2"/>
      <c r="F1454" s="2"/>
      <c r="G1454" s="2"/>
      <c r="H1454" s="2"/>
      <c r="I1454" s="5"/>
    </row>
    <row r="1455" spans="1:9" ht="17.399999999999999" x14ac:dyDescent="0.25">
      <c r="A1455" s="16"/>
      <c r="B1455" s="17"/>
      <c r="C1455" s="2"/>
      <c r="D1455" s="2"/>
      <c r="E1455" s="2"/>
      <c r="F1455" s="2"/>
      <c r="G1455" s="2"/>
      <c r="H1455" s="2"/>
      <c r="I1455" s="5"/>
    </row>
    <row r="1456" spans="1:9" ht="17.399999999999999" x14ac:dyDescent="0.25">
      <c r="A1456" s="16"/>
      <c r="B1456" s="17"/>
      <c r="C1456" s="2"/>
      <c r="D1456" s="2"/>
      <c r="E1456" s="2"/>
      <c r="F1456" s="2"/>
      <c r="G1456" s="2"/>
      <c r="H1456" s="2"/>
      <c r="I1456" s="5"/>
    </row>
    <row r="1457" spans="1:9" ht="17.399999999999999" x14ac:dyDescent="0.25">
      <c r="A1457" s="16"/>
      <c r="B1457" s="17"/>
      <c r="C1457" s="2"/>
      <c r="D1457" s="2"/>
      <c r="E1457" s="2"/>
      <c r="F1457" s="2"/>
      <c r="G1457" s="2"/>
      <c r="H1457" s="2"/>
      <c r="I1457" s="5"/>
    </row>
    <row r="1458" spans="1:9" ht="17.399999999999999" x14ac:dyDescent="0.25">
      <c r="A1458" s="16"/>
      <c r="B1458" s="17"/>
      <c r="C1458" s="2"/>
      <c r="D1458" s="2"/>
      <c r="E1458" s="2"/>
      <c r="F1458" s="2"/>
      <c r="G1458" s="2"/>
      <c r="H1458" s="2"/>
      <c r="I1458" s="5"/>
    </row>
    <row r="1459" spans="1:9" ht="17.399999999999999" x14ac:dyDescent="0.25">
      <c r="A1459" s="16"/>
      <c r="B1459" s="17"/>
      <c r="C1459" s="2"/>
      <c r="D1459" s="2"/>
      <c r="E1459" s="2"/>
      <c r="F1459" s="2"/>
      <c r="G1459" s="2"/>
      <c r="H1459" s="2"/>
      <c r="I1459" s="5"/>
    </row>
    <row r="1460" spans="1:9" ht="17.399999999999999" x14ac:dyDescent="0.25">
      <c r="A1460" s="16"/>
      <c r="B1460" s="17"/>
      <c r="C1460" s="2"/>
      <c r="D1460" s="2"/>
      <c r="E1460" s="2"/>
      <c r="F1460" s="2"/>
      <c r="G1460" s="2"/>
      <c r="H1460" s="2"/>
      <c r="I1460" s="5"/>
    </row>
    <row r="1461" spans="1:9" ht="17.399999999999999" x14ac:dyDescent="0.25">
      <c r="A1461" s="16"/>
      <c r="B1461" s="17"/>
      <c r="C1461" s="2"/>
      <c r="D1461" s="2"/>
      <c r="E1461" s="2"/>
      <c r="F1461" s="2"/>
      <c r="G1461" s="2"/>
      <c r="H1461" s="2"/>
      <c r="I1461" s="5"/>
    </row>
    <row r="1462" spans="1:9" ht="17.399999999999999" x14ac:dyDescent="0.25">
      <c r="A1462" s="16"/>
      <c r="B1462" s="17"/>
      <c r="C1462" s="2"/>
      <c r="D1462" s="2"/>
      <c r="E1462" s="2"/>
      <c r="F1462" s="2"/>
      <c r="G1462" s="2"/>
      <c r="H1462" s="2"/>
      <c r="I1462" s="5"/>
    </row>
    <row r="1463" spans="1:9" ht="17.399999999999999" x14ac:dyDescent="0.25">
      <c r="A1463" s="16"/>
      <c r="B1463" s="17"/>
      <c r="C1463" s="2"/>
      <c r="D1463" s="2"/>
      <c r="E1463" s="2"/>
      <c r="F1463" s="2"/>
      <c r="G1463" s="2"/>
      <c r="H1463" s="2"/>
      <c r="I1463" s="5"/>
    </row>
    <row r="1464" spans="1:9" ht="17.399999999999999" x14ac:dyDescent="0.25">
      <c r="A1464" s="16"/>
      <c r="B1464" s="17"/>
      <c r="C1464" s="2"/>
      <c r="D1464" s="2"/>
      <c r="E1464" s="2"/>
      <c r="F1464" s="2"/>
      <c r="G1464" s="2"/>
      <c r="H1464" s="2"/>
      <c r="I1464" s="5"/>
    </row>
    <row r="1465" spans="1:9" ht="17.399999999999999" x14ac:dyDescent="0.25">
      <c r="A1465" s="16"/>
      <c r="B1465" s="17"/>
      <c r="C1465" s="2"/>
      <c r="D1465" s="2"/>
      <c r="E1465" s="2"/>
      <c r="F1465" s="2"/>
      <c r="G1465" s="2"/>
      <c r="H1465" s="2"/>
      <c r="I1465" s="5"/>
    </row>
    <row r="1466" spans="1:9" ht="17.399999999999999" x14ac:dyDescent="0.25">
      <c r="A1466" s="16"/>
      <c r="B1466" s="17"/>
      <c r="C1466" s="2"/>
      <c r="D1466" s="2"/>
      <c r="E1466" s="2"/>
      <c r="F1466" s="2"/>
      <c r="G1466" s="2"/>
      <c r="H1466" s="2"/>
      <c r="I1466" s="5"/>
    </row>
    <row r="1467" spans="1:9" ht="17.399999999999999" x14ac:dyDescent="0.25">
      <c r="A1467" s="16"/>
      <c r="B1467" s="17"/>
      <c r="C1467" s="2"/>
      <c r="D1467" s="2"/>
      <c r="E1467" s="2"/>
      <c r="F1467" s="2"/>
      <c r="G1467" s="2"/>
      <c r="H1467" s="2"/>
      <c r="I1467" s="5"/>
    </row>
    <row r="1468" spans="1:9" ht="17.399999999999999" x14ac:dyDescent="0.25">
      <c r="A1468" s="16"/>
      <c r="B1468" s="17"/>
      <c r="C1468" s="2"/>
      <c r="D1468" s="2"/>
      <c r="E1468" s="2"/>
      <c r="F1468" s="2"/>
      <c r="G1468" s="2"/>
      <c r="H1468" s="2"/>
      <c r="I1468" s="5"/>
    </row>
    <row r="1469" spans="1:9" ht="17.399999999999999" x14ac:dyDescent="0.25">
      <c r="A1469" s="16"/>
      <c r="B1469" s="17"/>
      <c r="C1469" s="2"/>
      <c r="D1469" s="2"/>
      <c r="E1469" s="2"/>
      <c r="F1469" s="2"/>
      <c r="G1469" s="2"/>
      <c r="H1469" s="2"/>
      <c r="I1469" s="5"/>
    </row>
    <row r="1470" spans="1:9" ht="17.399999999999999" x14ac:dyDescent="0.25">
      <c r="A1470" s="16"/>
      <c r="B1470" s="17"/>
      <c r="C1470" s="2"/>
      <c r="D1470" s="2"/>
      <c r="E1470" s="2"/>
      <c r="F1470" s="2"/>
      <c r="G1470" s="2"/>
      <c r="H1470" s="2"/>
      <c r="I1470" s="5"/>
    </row>
    <row r="1471" spans="1:9" ht="17.399999999999999" x14ac:dyDescent="0.25">
      <c r="A1471" s="16"/>
      <c r="B1471" s="17"/>
      <c r="C1471" s="2"/>
      <c r="D1471" s="2"/>
      <c r="E1471" s="2"/>
      <c r="F1471" s="2"/>
      <c r="G1471" s="2"/>
      <c r="H1471" s="2"/>
      <c r="I1471" s="5"/>
    </row>
    <row r="1472" spans="1:9" ht="17.399999999999999" x14ac:dyDescent="0.25">
      <c r="A1472" s="16"/>
      <c r="B1472" s="17"/>
      <c r="C1472" s="2"/>
      <c r="D1472" s="2"/>
      <c r="E1472" s="2"/>
      <c r="F1472" s="2"/>
      <c r="G1472" s="2"/>
      <c r="H1472" s="2"/>
      <c r="I1472" s="5"/>
    </row>
    <row r="1473" spans="1:9" ht="17.399999999999999" x14ac:dyDescent="0.25">
      <c r="A1473" s="16"/>
      <c r="B1473" s="17"/>
      <c r="C1473" s="2"/>
      <c r="D1473" s="2"/>
      <c r="E1473" s="2"/>
      <c r="F1473" s="2"/>
      <c r="G1473" s="2"/>
      <c r="H1473" s="2"/>
      <c r="I1473" s="5"/>
    </row>
    <row r="1474" spans="1:9" ht="17.399999999999999" x14ac:dyDescent="0.25">
      <c r="A1474" s="16"/>
      <c r="B1474" s="17"/>
      <c r="C1474" s="2"/>
      <c r="D1474" s="2"/>
      <c r="E1474" s="2"/>
      <c r="F1474" s="2"/>
      <c r="G1474" s="2"/>
      <c r="H1474" s="2"/>
      <c r="I1474" s="5"/>
    </row>
    <row r="1475" spans="1:9" ht="17.399999999999999" x14ac:dyDescent="0.25">
      <c r="A1475" s="16"/>
      <c r="B1475" s="17"/>
      <c r="C1475" s="2"/>
      <c r="D1475" s="2"/>
      <c r="E1475" s="2"/>
      <c r="F1475" s="2"/>
      <c r="G1475" s="2"/>
      <c r="H1475" s="2"/>
      <c r="I1475" s="5"/>
    </row>
    <row r="1476" spans="1:9" ht="17.399999999999999" x14ac:dyDescent="0.25">
      <c r="A1476" s="16"/>
      <c r="B1476" s="17"/>
      <c r="C1476" s="2"/>
      <c r="D1476" s="2"/>
      <c r="E1476" s="2"/>
      <c r="F1476" s="2"/>
      <c r="G1476" s="2"/>
      <c r="H1476" s="2"/>
      <c r="I1476" s="5"/>
    </row>
    <row r="1477" spans="1:9" ht="17.399999999999999" x14ac:dyDescent="0.25">
      <c r="A1477" s="16"/>
      <c r="B1477" s="17"/>
      <c r="C1477" s="2"/>
      <c r="D1477" s="2"/>
      <c r="E1477" s="2"/>
      <c r="F1477" s="2"/>
      <c r="G1477" s="2"/>
      <c r="H1477" s="2"/>
      <c r="I1477" s="5"/>
    </row>
    <row r="1478" spans="1:9" ht="17.399999999999999" x14ac:dyDescent="0.25">
      <c r="A1478" s="16"/>
      <c r="B1478" s="17"/>
      <c r="C1478" s="2"/>
      <c r="D1478" s="2"/>
      <c r="E1478" s="2"/>
      <c r="F1478" s="2"/>
      <c r="G1478" s="2"/>
      <c r="H1478" s="2"/>
      <c r="I1478" s="5"/>
    </row>
    <row r="1479" spans="1:9" ht="17.399999999999999" x14ac:dyDescent="0.25">
      <c r="A1479" s="16"/>
      <c r="B1479" s="17"/>
      <c r="C1479" s="2"/>
      <c r="D1479" s="2"/>
      <c r="E1479" s="2"/>
      <c r="F1479" s="2"/>
      <c r="G1479" s="2"/>
      <c r="H1479" s="2"/>
      <c r="I1479" s="5"/>
    </row>
    <row r="1480" spans="1:9" ht="17.399999999999999" x14ac:dyDescent="0.25">
      <c r="A1480" s="16"/>
      <c r="B1480" s="17"/>
      <c r="C1480" s="2"/>
      <c r="D1480" s="2"/>
      <c r="E1480" s="2"/>
      <c r="F1480" s="2"/>
      <c r="G1480" s="2"/>
      <c r="H1480" s="2"/>
      <c r="I1480" s="5"/>
    </row>
    <row r="1481" spans="1:9" ht="17.399999999999999" x14ac:dyDescent="0.25">
      <c r="A1481" s="16"/>
      <c r="B1481" s="17"/>
      <c r="C1481" s="2"/>
      <c r="D1481" s="2"/>
      <c r="E1481" s="2"/>
      <c r="F1481" s="2"/>
      <c r="G1481" s="2"/>
      <c r="H1481" s="2"/>
      <c r="I1481" s="5"/>
    </row>
    <row r="1482" spans="1:9" ht="17.399999999999999" x14ac:dyDescent="0.25">
      <c r="A1482" s="16"/>
      <c r="B1482" s="17"/>
      <c r="C1482" s="2"/>
      <c r="D1482" s="2"/>
      <c r="E1482" s="2"/>
      <c r="F1482" s="2"/>
      <c r="G1482" s="2"/>
      <c r="H1482" s="2"/>
      <c r="I1482" s="5"/>
    </row>
    <row r="1483" spans="1:9" ht="17.399999999999999" x14ac:dyDescent="0.25">
      <c r="A1483" s="16"/>
      <c r="B1483" s="17"/>
      <c r="C1483" s="2"/>
      <c r="D1483" s="2"/>
      <c r="E1483" s="2"/>
      <c r="F1483" s="2"/>
      <c r="G1483" s="2"/>
      <c r="H1483" s="2"/>
      <c r="I1483" s="5"/>
    </row>
    <row r="1484" spans="1:9" ht="17.399999999999999" x14ac:dyDescent="0.25">
      <c r="A1484" s="16"/>
      <c r="B1484" s="17"/>
      <c r="C1484" s="2"/>
      <c r="D1484" s="2"/>
      <c r="E1484" s="2"/>
      <c r="F1484" s="2"/>
      <c r="G1484" s="2"/>
      <c r="H1484" s="2"/>
      <c r="I1484" s="5"/>
    </row>
    <row r="1485" spans="1:9" ht="17.399999999999999" x14ac:dyDescent="0.25">
      <c r="A1485" s="16"/>
      <c r="B1485" s="17"/>
      <c r="C1485" s="2"/>
      <c r="D1485" s="2"/>
      <c r="E1485" s="2"/>
      <c r="F1485" s="2"/>
      <c r="G1485" s="2"/>
      <c r="H1485" s="2"/>
      <c r="I1485" s="5"/>
    </row>
    <row r="1486" spans="1:9" ht="17.399999999999999" x14ac:dyDescent="0.25">
      <c r="A1486" s="16"/>
      <c r="B1486" s="17"/>
      <c r="C1486" s="2"/>
      <c r="D1486" s="2"/>
      <c r="E1486" s="2"/>
      <c r="F1486" s="2"/>
      <c r="G1486" s="2"/>
      <c r="H1486" s="2"/>
      <c r="I1486" s="5"/>
    </row>
    <row r="1487" spans="1:9" ht="17.399999999999999" x14ac:dyDescent="0.25">
      <c r="A1487" s="16"/>
      <c r="B1487" s="17"/>
      <c r="C1487" s="2"/>
      <c r="D1487" s="2"/>
      <c r="E1487" s="2"/>
      <c r="F1487" s="2"/>
      <c r="G1487" s="2"/>
      <c r="H1487" s="2"/>
      <c r="I1487" s="5"/>
    </row>
    <row r="1488" spans="1:9" ht="17.399999999999999" x14ac:dyDescent="0.25">
      <c r="A1488" s="16"/>
      <c r="B1488" s="17"/>
      <c r="C1488" s="2"/>
      <c r="D1488" s="2"/>
      <c r="E1488" s="2"/>
      <c r="F1488" s="2"/>
      <c r="G1488" s="2"/>
      <c r="H1488" s="2"/>
      <c r="I1488" s="5"/>
    </row>
    <row r="1489" spans="1:9" ht="17.399999999999999" x14ac:dyDescent="0.25">
      <c r="A1489" s="16"/>
      <c r="B1489" s="17"/>
      <c r="C1489" s="2"/>
      <c r="D1489" s="2"/>
      <c r="E1489" s="2"/>
      <c r="F1489" s="2"/>
      <c r="G1489" s="2"/>
      <c r="H1489" s="2"/>
      <c r="I1489" s="5"/>
    </row>
    <row r="1490" spans="1:9" ht="17.399999999999999" x14ac:dyDescent="0.25">
      <c r="A1490" s="16"/>
      <c r="B1490" s="17"/>
      <c r="C1490" s="2"/>
      <c r="D1490" s="2"/>
      <c r="E1490" s="2"/>
      <c r="F1490" s="2"/>
      <c r="G1490" s="2"/>
      <c r="H1490" s="2"/>
      <c r="I1490" s="5"/>
    </row>
    <row r="1491" spans="1:9" ht="17.399999999999999" x14ac:dyDescent="0.25">
      <c r="A1491" s="16"/>
      <c r="B1491" s="17"/>
      <c r="C1491" s="2"/>
      <c r="D1491" s="2"/>
      <c r="E1491" s="2"/>
      <c r="F1491" s="2"/>
      <c r="G1491" s="2"/>
      <c r="H1491" s="2"/>
      <c r="I1491" s="5"/>
    </row>
    <row r="1492" spans="1:9" ht="17.399999999999999" x14ac:dyDescent="0.25">
      <c r="A1492" s="16"/>
      <c r="B1492" s="17"/>
      <c r="C1492" s="2"/>
      <c r="D1492" s="2"/>
      <c r="E1492" s="2"/>
      <c r="F1492" s="2"/>
      <c r="G1492" s="2"/>
      <c r="H1492" s="2"/>
      <c r="I1492" s="5"/>
    </row>
    <row r="1493" spans="1:9" ht="17.399999999999999" x14ac:dyDescent="0.25">
      <c r="A1493" s="16"/>
      <c r="B1493" s="17"/>
      <c r="C1493" s="2"/>
      <c r="D1493" s="2"/>
      <c r="E1493" s="2"/>
      <c r="F1493" s="2"/>
      <c r="G1493" s="2"/>
      <c r="H1493" s="2"/>
      <c r="I1493" s="5"/>
    </row>
    <row r="1494" spans="1:9" ht="17.399999999999999" x14ac:dyDescent="0.25">
      <c r="A1494" s="16"/>
      <c r="B1494" s="17"/>
      <c r="C1494" s="2"/>
      <c r="D1494" s="2"/>
      <c r="E1494" s="2"/>
      <c r="F1494" s="2"/>
      <c r="G1494" s="2"/>
      <c r="H1494" s="2"/>
      <c r="I1494" s="5"/>
    </row>
    <row r="1495" spans="1:9" ht="17.399999999999999" x14ac:dyDescent="0.25">
      <c r="A1495" s="16"/>
      <c r="B1495" s="17"/>
      <c r="C1495" s="2"/>
      <c r="D1495" s="2"/>
      <c r="E1495" s="2"/>
      <c r="F1495" s="2"/>
      <c r="G1495" s="2"/>
      <c r="H1495" s="2"/>
      <c r="I1495" s="5"/>
    </row>
    <row r="1496" spans="1:9" ht="17.399999999999999" x14ac:dyDescent="0.25">
      <c r="A1496" s="16"/>
      <c r="B1496" s="17"/>
      <c r="C1496" s="2"/>
      <c r="D1496" s="2"/>
      <c r="E1496" s="2"/>
      <c r="F1496" s="2"/>
      <c r="G1496" s="2"/>
      <c r="H1496" s="2"/>
      <c r="I1496" s="5"/>
    </row>
    <row r="1497" spans="1:9" ht="17.399999999999999" x14ac:dyDescent="0.25">
      <c r="A1497" s="16"/>
      <c r="B1497" s="17"/>
      <c r="C1497" s="2"/>
      <c r="D1497" s="2"/>
      <c r="E1497" s="2"/>
      <c r="F1497" s="2"/>
      <c r="G1497" s="2"/>
      <c r="H1497" s="2"/>
      <c r="I1497" s="5"/>
    </row>
    <row r="1498" spans="1:9" ht="17.399999999999999" x14ac:dyDescent="0.25">
      <c r="A1498" s="16"/>
      <c r="B1498" s="17"/>
      <c r="C1498" s="2"/>
      <c r="D1498" s="2"/>
      <c r="E1498" s="2"/>
      <c r="F1498" s="2"/>
      <c r="G1498" s="2"/>
      <c r="H1498" s="2"/>
      <c r="I1498" s="5"/>
    </row>
    <row r="1499" spans="1:9" ht="17.399999999999999" x14ac:dyDescent="0.25">
      <c r="A1499" s="16"/>
      <c r="B1499" s="17"/>
      <c r="C1499" s="2"/>
      <c r="D1499" s="2"/>
      <c r="E1499" s="2"/>
      <c r="F1499" s="2"/>
      <c r="G1499" s="2"/>
      <c r="H1499" s="2"/>
      <c r="I1499" s="5"/>
    </row>
    <row r="1500" spans="1:9" ht="17.399999999999999" x14ac:dyDescent="0.25">
      <c r="A1500" s="16"/>
      <c r="B1500" s="17"/>
      <c r="C1500" s="2"/>
      <c r="D1500" s="2"/>
      <c r="E1500" s="2"/>
      <c r="F1500" s="2"/>
      <c r="G1500" s="2"/>
      <c r="H1500" s="2"/>
      <c r="I1500" s="5"/>
    </row>
    <row r="1501" spans="1:9" ht="17.399999999999999" x14ac:dyDescent="0.25">
      <c r="A1501" s="16"/>
      <c r="B1501" s="17"/>
      <c r="C1501" s="2"/>
      <c r="D1501" s="2"/>
      <c r="E1501" s="2"/>
      <c r="F1501" s="2"/>
      <c r="G1501" s="2"/>
      <c r="H1501" s="2"/>
      <c r="I1501" s="5"/>
    </row>
    <row r="1502" spans="1:9" ht="17.399999999999999" x14ac:dyDescent="0.25">
      <c r="A1502" s="16"/>
      <c r="B1502" s="17"/>
      <c r="C1502" s="2"/>
      <c r="D1502" s="2"/>
      <c r="E1502" s="2"/>
      <c r="F1502" s="2"/>
      <c r="G1502" s="2"/>
      <c r="H1502" s="2"/>
      <c r="I1502" s="5"/>
    </row>
    <row r="1503" spans="1:9" ht="17.399999999999999" x14ac:dyDescent="0.25">
      <c r="A1503" s="16"/>
      <c r="B1503" s="17"/>
      <c r="C1503" s="2"/>
      <c r="D1503" s="2"/>
      <c r="E1503" s="2"/>
      <c r="F1503" s="2"/>
      <c r="G1503" s="2"/>
      <c r="H1503" s="2"/>
      <c r="I1503" s="5"/>
    </row>
    <row r="1504" spans="1:9" ht="17.399999999999999" x14ac:dyDescent="0.25">
      <c r="A1504" s="16"/>
      <c r="B1504" s="17"/>
      <c r="C1504" s="2"/>
      <c r="D1504" s="2"/>
      <c r="E1504" s="2"/>
      <c r="F1504" s="2"/>
      <c r="G1504" s="2"/>
      <c r="H1504" s="2"/>
      <c r="I1504" s="5"/>
    </row>
    <row r="1505" spans="1:9" ht="17.399999999999999" x14ac:dyDescent="0.25">
      <c r="A1505" s="16"/>
      <c r="B1505" s="17"/>
      <c r="C1505" s="2"/>
      <c r="D1505" s="2"/>
      <c r="E1505" s="2"/>
      <c r="F1505" s="2"/>
      <c r="G1505" s="2"/>
      <c r="H1505" s="2"/>
      <c r="I1505" s="5"/>
    </row>
    <row r="1506" spans="1:9" ht="17.399999999999999" x14ac:dyDescent="0.25">
      <c r="A1506" s="16"/>
      <c r="B1506" s="17"/>
      <c r="C1506" s="2"/>
      <c r="D1506" s="2"/>
      <c r="E1506" s="2"/>
      <c r="F1506" s="2"/>
      <c r="G1506" s="2"/>
      <c r="H1506" s="2"/>
      <c r="I1506" s="5"/>
    </row>
    <row r="1507" spans="1:9" ht="17.399999999999999" x14ac:dyDescent="0.25">
      <c r="A1507" s="16"/>
      <c r="B1507" s="17"/>
      <c r="C1507" s="2"/>
      <c r="D1507" s="2"/>
      <c r="E1507" s="2"/>
      <c r="F1507" s="2"/>
      <c r="G1507" s="2"/>
      <c r="H1507" s="2"/>
      <c r="I1507" s="5"/>
    </row>
    <row r="1508" spans="1:9" ht="17.399999999999999" x14ac:dyDescent="0.25">
      <c r="A1508" s="16"/>
      <c r="B1508" s="17"/>
      <c r="C1508" s="2"/>
      <c r="D1508" s="2"/>
      <c r="E1508" s="2"/>
      <c r="F1508" s="2"/>
      <c r="G1508" s="2"/>
      <c r="H1508" s="2"/>
      <c r="I1508" s="5"/>
    </row>
    <row r="1509" spans="1:9" ht="17.399999999999999" x14ac:dyDescent="0.25">
      <c r="A1509" s="16"/>
      <c r="B1509" s="17"/>
      <c r="C1509" s="2"/>
      <c r="D1509" s="2"/>
      <c r="E1509" s="2"/>
      <c r="F1509" s="2"/>
      <c r="G1509" s="2"/>
      <c r="H1509" s="2"/>
      <c r="I1509" s="5"/>
    </row>
    <row r="1510" spans="1:9" ht="17.399999999999999" x14ac:dyDescent="0.25">
      <c r="A1510" s="16"/>
      <c r="B1510" s="17"/>
      <c r="C1510" s="2"/>
      <c r="D1510" s="2"/>
      <c r="E1510" s="2"/>
      <c r="F1510" s="2"/>
      <c r="G1510" s="2"/>
      <c r="H1510" s="2"/>
      <c r="I1510" s="5"/>
    </row>
    <row r="1511" spans="1:9" ht="17.399999999999999" x14ac:dyDescent="0.25">
      <c r="A1511" s="16"/>
      <c r="B1511" s="17"/>
      <c r="C1511" s="2"/>
      <c r="D1511" s="2"/>
      <c r="E1511" s="2"/>
      <c r="F1511" s="2"/>
      <c r="G1511" s="2"/>
      <c r="H1511" s="2"/>
      <c r="I1511" s="5"/>
    </row>
    <row r="1512" spans="1:9" ht="17.399999999999999" x14ac:dyDescent="0.25">
      <c r="A1512" s="16"/>
      <c r="B1512" s="17"/>
      <c r="C1512" s="2"/>
      <c r="D1512" s="2"/>
      <c r="E1512" s="2"/>
      <c r="F1512" s="2"/>
      <c r="G1512" s="2"/>
      <c r="H1512" s="2"/>
      <c r="I1512" s="5"/>
    </row>
    <row r="1513" spans="1:9" ht="17.399999999999999" x14ac:dyDescent="0.25">
      <c r="A1513" s="16"/>
      <c r="B1513" s="17"/>
      <c r="C1513" s="2"/>
      <c r="D1513" s="2"/>
      <c r="E1513" s="2"/>
      <c r="F1513" s="2"/>
      <c r="G1513" s="2"/>
      <c r="H1513" s="2"/>
      <c r="I1513" s="5"/>
    </row>
    <row r="1514" spans="1:9" ht="17.399999999999999" x14ac:dyDescent="0.25">
      <c r="A1514" s="16"/>
      <c r="B1514" s="17"/>
      <c r="C1514" s="2"/>
      <c r="D1514" s="2"/>
      <c r="E1514" s="2"/>
      <c r="F1514" s="2"/>
      <c r="G1514" s="2"/>
      <c r="H1514" s="2"/>
      <c r="I1514" s="5"/>
    </row>
    <row r="1515" spans="1:9" ht="17.399999999999999" x14ac:dyDescent="0.25">
      <c r="A1515" s="16"/>
      <c r="B1515" s="17"/>
      <c r="C1515" s="2"/>
      <c r="D1515" s="2"/>
      <c r="E1515" s="2"/>
      <c r="F1515" s="2"/>
      <c r="G1515" s="2"/>
      <c r="H1515" s="2"/>
      <c r="I1515" s="5"/>
    </row>
    <row r="1516" spans="1:9" ht="17.399999999999999" x14ac:dyDescent="0.25">
      <c r="A1516" s="16"/>
      <c r="B1516" s="17"/>
      <c r="C1516" s="2"/>
      <c r="D1516" s="2"/>
      <c r="E1516" s="2"/>
      <c r="F1516" s="2"/>
      <c r="G1516" s="2"/>
      <c r="H1516" s="2"/>
      <c r="I1516" s="5"/>
    </row>
    <row r="1517" spans="1:9" ht="17.399999999999999" x14ac:dyDescent="0.25">
      <c r="A1517" s="16"/>
      <c r="B1517" s="17"/>
      <c r="C1517" s="2"/>
      <c r="D1517" s="2"/>
      <c r="E1517" s="2"/>
      <c r="F1517" s="2"/>
      <c r="G1517" s="2"/>
      <c r="H1517" s="2"/>
      <c r="I1517" s="5"/>
    </row>
    <row r="1518" spans="1:9" ht="17.399999999999999" x14ac:dyDescent="0.25">
      <c r="A1518" s="16"/>
      <c r="B1518" s="17"/>
      <c r="C1518" s="2"/>
      <c r="D1518" s="2"/>
      <c r="E1518" s="2"/>
      <c r="F1518" s="2"/>
      <c r="G1518" s="2"/>
      <c r="H1518" s="2"/>
      <c r="I1518" s="5"/>
    </row>
    <row r="1519" spans="1:9" ht="17.399999999999999" x14ac:dyDescent="0.25">
      <c r="A1519" s="16"/>
      <c r="B1519" s="17"/>
      <c r="C1519" s="2"/>
      <c r="D1519" s="2"/>
      <c r="E1519" s="2"/>
      <c r="F1519" s="2"/>
      <c r="G1519" s="2"/>
      <c r="H1519" s="2"/>
      <c r="I1519" s="5"/>
    </row>
    <row r="1520" spans="1:9" ht="17.399999999999999" x14ac:dyDescent="0.25">
      <c r="A1520" s="16"/>
      <c r="B1520" s="17"/>
      <c r="C1520" s="2"/>
      <c r="D1520" s="2"/>
      <c r="E1520" s="2"/>
      <c r="F1520" s="2"/>
      <c r="G1520" s="2"/>
      <c r="H1520" s="2"/>
      <c r="I1520" s="5"/>
    </row>
    <row r="1521" spans="1:9" ht="17.399999999999999" x14ac:dyDescent="0.25">
      <c r="A1521" s="16"/>
      <c r="B1521" s="17"/>
      <c r="C1521" s="2"/>
      <c r="D1521" s="2"/>
      <c r="E1521" s="2"/>
      <c r="F1521" s="2"/>
      <c r="G1521" s="2"/>
      <c r="H1521" s="2"/>
      <c r="I1521" s="5"/>
    </row>
    <row r="1522" spans="1:9" ht="17.399999999999999" x14ac:dyDescent="0.25">
      <c r="A1522" s="16"/>
      <c r="B1522" s="17"/>
      <c r="C1522" s="2"/>
      <c r="D1522" s="2"/>
      <c r="E1522" s="2"/>
      <c r="F1522" s="2"/>
      <c r="G1522" s="2"/>
      <c r="H1522" s="2"/>
      <c r="I1522" s="5"/>
    </row>
    <row r="1523" spans="1:9" ht="17.399999999999999" x14ac:dyDescent="0.25">
      <c r="A1523" s="16"/>
      <c r="B1523" s="17"/>
      <c r="C1523" s="2"/>
      <c r="D1523" s="2"/>
      <c r="E1523" s="2"/>
      <c r="F1523" s="2"/>
      <c r="G1523" s="2"/>
      <c r="H1523" s="2"/>
      <c r="I1523" s="5"/>
    </row>
    <row r="1524" spans="1:9" ht="17.399999999999999" x14ac:dyDescent="0.25">
      <c r="A1524" s="16"/>
      <c r="B1524" s="17"/>
      <c r="C1524" s="2"/>
      <c r="D1524" s="2"/>
      <c r="E1524" s="2"/>
      <c r="F1524" s="2"/>
      <c r="G1524" s="2"/>
      <c r="H1524" s="2"/>
      <c r="I1524" s="5"/>
    </row>
    <row r="1525" spans="1:9" ht="17.399999999999999" x14ac:dyDescent="0.25">
      <c r="A1525" s="16"/>
      <c r="B1525" s="17"/>
      <c r="C1525" s="2"/>
      <c r="D1525" s="2"/>
      <c r="E1525" s="2"/>
      <c r="F1525" s="2"/>
      <c r="G1525" s="2"/>
      <c r="H1525" s="2"/>
      <c r="I1525" s="5"/>
    </row>
    <row r="1526" spans="1:9" ht="17.399999999999999" x14ac:dyDescent="0.25">
      <c r="A1526" s="16"/>
      <c r="B1526" s="17"/>
      <c r="C1526" s="2"/>
      <c r="D1526" s="2"/>
      <c r="E1526" s="2"/>
      <c r="F1526" s="2"/>
      <c r="G1526" s="2"/>
      <c r="H1526" s="2"/>
      <c r="I1526" s="5"/>
    </row>
    <row r="1527" spans="1:9" ht="17.399999999999999" x14ac:dyDescent="0.25">
      <c r="A1527" s="16"/>
      <c r="B1527" s="17"/>
      <c r="C1527" s="2"/>
      <c r="D1527" s="2"/>
      <c r="E1527" s="2"/>
      <c r="F1527" s="2"/>
      <c r="G1527" s="2"/>
      <c r="H1527" s="2"/>
      <c r="I1527" s="5"/>
    </row>
    <row r="1528" spans="1:9" ht="17.399999999999999" x14ac:dyDescent="0.25">
      <c r="A1528" s="16"/>
      <c r="B1528" s="17"/>
      <c r="C1528" s="2"/>
      <c r="D1528" s="2"/>
      <c r="E1528" s="2"/>
      <c r="F1528" s="2"/>
      <c r="G1528" s="2"/>
      <c r="H1528" s="2"/>
      <c r="I1528" s="5"/>
    </row>
    <row r="1529" spans="1:9" ht="17.399999999999999" x14ac:dyDescent="0.25">
      <c r="A1529" s="16"/>
      <c r="B1529" s="17"/>
      <c r="C1529" s="2"/>
      <c r="D1529" s="2"/>
      <c r="E1529" s="2"/>
      <c r="F1529" s="2"/>
      <c r="G1529" s="2"/>
      <c r="H1529" s="2"/>
      <c r="I1529" s="5"/>
    </row>
    <row r="1530" spans="1:9" ht="17.399999999999999" x14ac:dyDescent="0.25">
      <c r="A1530" s="16"/>
      <c r="B1530" s="17"/>
      <c r="C1530" s="2"/>
      <c r="D1530" s="2"/>
      <c r="E1530" s="2"/>
      <c r="F1530" s="2"/>
      <c r="G1530" s="2"/>
      <c r="H1530" s="2"/>
      <c r="I1530" s="5"/>
    </row>
    <row r="1531" spans="1:9" ht="17.399999999999999" x14ac:dyDescent="0.25">
      <c r="A1531" s="16"/>
      <c r="B1531" s="17"/>
      <c r="C1531" s="2"/>
      <c r="D1531" s="2"/>
      <c r="E1531" s="2"/>
      <c r="F1531" s="2"/>
      <c r="G1531" s="2"/>
      <c r="H1531" s="2"/>
      <c r="I1531" s="5"/>
    </row>
    <row r="1532" spans="1:9" ht="17.399999999999999" x14ac:dyDescent="0.25">
      <c r="A1532" s="16"/>
      <c r="B1532" s="17"/>
      <c r="C1532" s="2"/>
      <c r="D1532" s="2"/>
      <c r="E1532" s="2"/>
      <c r="F1532" s="2"/>
      <c r="G1532" s="2"/>
      <c r="H1532" s="2"/>
      <c r="I1532" s="5"/>
    </row>
    <row r="1533" spans="1:9" ht="17.399999999999999" x14ac:dyDescent="0.25">
      <c r="A1533" s="16"/>
      <c r="B1533" s="17"/>
      <c r="C1533" s="2"/>
      <c r="D1533" s="2"/>
      <c r="E1533" s="2"/>
      <c r="F1533" s="2"/>
      <c r="G1533" s="2"/>
      <c r="H1533" s="2"/>
      <c r="I1533" s="5"/>
    </row>
    <row r="1534" spans="1:9" ht="17.399999999999999" x14ac:dyDescent="0.25">
      <c r="A1534" s="16"/>
      <c r="B1534" s="17"/>
      <c r="C1534" s="2"/>
      <c r="D1534" s="2"/>
      <c r="E1534" s="2"/>
      <c r="F1534" s="2"/>
      <c r="G1534" s="2"/>
      <c r="H1534" s="2"/>
      <c r="I1534" s="5"/>
    </row>
    <row r="1535" spans="1:9" ht="17.399999999999999" x14ac:dyDescent="0.25">
      <c r="A1535" s="16"/>
      <c r="B1535" s="17"/>
      <c r="C1535" s="2"/>
      <c r="D1535" s="2"/>
      <c r="E1535" s="2"/>
      <c r="F1535" s="2"/>
      <c r="G1535" s="2"/>
      <c r="H1535" s="2"/>
      <c r="I1535" s="5"/>
    </row>
    <row r="1536" spans="1:9" ht="17.399999999999999" x14ac:dyDescent="0.25">
      <c r="A1536" s="16"/>
      <c r="B1536" s="17"/>
      <c r="C1536" s="2"/>
      <c r="D1536" s="2"/>
      <c r="E1536" s="2"/>
      <c r="F1536" s="2"/>
      <c r="G1536" s="2"/>
      <c r="H1536" s="2"/>
      <c r="I1536" s="5"/>
    </row>
    <row r="1537" spans="1:9" ht="17.399999999999999" x14ac:dyDescent="0.25">
      <c r="A1537" s="16"/>
      <c r="B1537" s="17"/>
      <c r="C1537" s="2"/>
      <c r="D1537" s="2"/>
      <c r="E1537" s="2"/>
      <c r="F1537" s="2"/>
      <c r="G1537" s="2"/>
      <c r="H1537" s="2"/>
      <c r="I1537" s="5"/>
    </row>
    <row r="1538" spans="1:9" ht="17.399999999999999" x14ac:dyDescent="0.25">
      <c r="A1538" s="16"/>
      <c r="B1538" s="17"/>
      <c r="C1538" s="2"/>
      <c r="D1538" s="2"/>
      <c r="E1538" s="2"/>
      <c r="F1538" s="2"/>
      <c r="G1538" s="2"/>
      <c r="H1538" s="2"/>
      <c r="I1538" s="5"/>
    </row>
    <row r="1539" spans="1:9" ht="17.399999999999999" x14ac:dyDescent="0.25">
      <c r="A1539" s="16"/>
      <c r="B1539" s="17"/>
      <c r="C1539" s="2"/>
      <c r="D1539" s="2"/>
      <c r="E1539" s="2"/>
      <c r="F1539" s="2"/>
      <c r="G1539" s="2"/>
      <c r="H1539" s="2"/>
      <c r="I1539" s="5"/>
    </row>
    <row r="1540" spans="1:9" ht="17.399999999999999" x14ac:dyDescent="0.25">
      <c r="A1540" s="16"/>
      <c r="B1540" s="17"/>
      <c r="C1540" s="2"/>
      <c r="D1540" s="2"/>
      <c r="E1540" s="2"/>
      <c r="F1540" s="2"/>
      <c r="G1540" s="2"/>
      <c r="H1540" s="2"/>
      <c r="I1540" s="5"/>
    </row>
    <row r="1541" spans="1:9" ht="17.399999999999999" x14ac:dyDescent="0.25">
      <c r="A1541" s="16"/>
      <c r="B1541" s="17"/>
      <c r="C1541" s="2"/>
      <c r="D1541" s="2"/>
      <c r="E1541" s="2"/>
      <c r="F1541" s="2"/>
      <c r="G1541" s="2"/>
      <c r="H1541" s="2"/>
      <c r="I1541" s="5"/>
    </row>
    <row r="1542" spans="1:9" ht="17.399999999999999" x14ac:dyDescent="0.25">
      <c r="A1542" s="16"/>
      <c r="B1542" s="17"/>
      <c r="C1542" s="2"/>
      <c r="D1542" s="2"/>
      <c r="E1542" s="2"/>
      <c r="F1542" s="2"/>
      <c r="G1542" s="2"/>
      <c r="H1542" s="2"/>
      <c r="I1542" s="5"/>
    </row>
    <row r="1543" spans="1:9" ht="17.399999999999999" x14ac:dyDescent="0.25">
      <c r="A1543" s="16"/>
      <c r="B1543" s="17"/>
      <c r="C1543" s="2"/>
      <c r="D1543" s="2"/>
      <c r="E1543" s="2"/>
      <c r="F1543" s="2"/>
      <c r="G1543" s="2"/>
      <c r="H1543" s="2"/>
      <c r="I1543" s="5"/>
    </row>
    <row r="1544" spans="1:9" ht="17.399999999999999" x14ac:dyDescent="0.25">
      <c r="A1544" s="16"/>
      <c r="B1544" s="17"/>
      <c r="C1544" s="2"/>
      <c r="D1544" s="2"/>
      <c r="E1544" s="2"/>
      <c r="F1544" s="2"/>
      <c r="G1544" s="2"/>
      <c r="H1544" s="2"/>
      <c r="I1544" s="5"/>
    </row>
    <row r="1545" spans="1:9" ht="17.399999999999999" x14ac:dyDescent="0.25">
      <c r="A1545" s="16"/>
      <c r="B1545" s="17"/>
      <c r="C1545" s="2"/>
      <c r="D1545" s="2"/>
      <c r="E1545" s="2"/>
      <c r="F1545" s="2"/>
      <c r="G1545" s="2"/>
      <c r="H1545" s="2"/>
      <c r="I1545" s="5"/>
    </row>
    <row r="1546" spans="1:9" ht="17.399999999999999" x14ac:dyDescent="0.25">
      <c r="A1546" s="16"/>
      <c r="B1546" s="17"/>
      <c r="C1546" s="2"/>
      <c r="D1546" s="2"/>
      <c r="E1546" s="2"/>
      <c r="F1546" s="2"/>
      <c r="G1546" s="2"/>
      <c r="H1546" s="2"/>
      <c r="I1546" s="5"/>
    </row>
    <row r="1547" spans="1:9" ht="17.399999999999999" x14ac:dyDescent="0.25">
      <c r="A1547" s="16"/>
      <c r="B1547" s="17"/>
      <c r="C1547" s="2"/>
      <c r="D1547" s="2"/>
      <c r="E1547" s="2"/>
      <c r="F1547" s="2"/>
      <c r="G1547" s="2"/>
      <c r="H1547" s="2"/>
      <c r="I1547" s="5"/>
    </row>
    <row r="1548" spans="1:9" ht="17.399999999999999" x14ac:dyDescent="0.25">
      <c r="A1548" s="16"/>
      <c r="B1548" s="17"/>
      <c r="C1548" s="2"/>
      <c r="D1548" s="2"/>
      <c r="E1548" s="2"/>
      <c r="F1548" s="2"/>
      <c r="G1548" s="2"/>
      <c r="H1548" s="2"/>
      <c r="I1548" s="5"/>
    </row>
    <row r="1549" spans="1:9" ht="17.399999999999999" x14ac:dyDescent="0.25">
      <c r="A1549" s="16"/>
      <c r="B1549" s="17"/>
      <c r="C1549" s="2"/>
      <c r="D1549" s="2"/>
      <c r="E1549" s="2"/>
      <c r="F1549" s="2"/>
      <c r="G1549" s="2"/>
      <c r="H1549" s="2"/>
      <c r="I1549" s="5"/>
    </row>
    <row r="1550" spans="1:9" ht="17.399999999999999" x14ac:dyDescent="0.25">
      <c r="A1550" s="16"/>
      <c r="B1550" s="17"/>
      <c r="C1550" s="2"/>
      <c r="D1550" s="2"/>
      <c r="E1550" s="2"/>
      <c r="F1550" s="2"/>
      <c r="G1550" s="2"/>
      <c r="H1550" s="2"/>
      <c r="I1550" s="5"/>
    </row>
    <row r="1551" spans="1:9" ht="17.399999999999999" x14ac:dyDescent="0.25">
      <c r="A1551" s="16"/>
      <c r="B1551" s="17"/>
      <c r="C1551" s="2"/>
      <c r="D1551" s="2"/>
      <c r="E1551" s="2"/>
      <c r="F1551" s="2"/>
      <c r="G1551" s="2"/>
      <c r="H1551" s="2"/>
      <c r="I1551" s="5"/>
    </row>
    <row r="1552" spans="1:9" ht="17.399999999999999" x14ac:dyDescent="0.25">
      <c r="A1552" s="16"/>
      <c r="B1552" s="17"/>
      <c r="C1552" s="2"/>
      <c r="D1552" s="2"/>
      <c r="E1552" s="2"/>
      <c r="F1552" s="2"/>
      <c r="G1552" s="2"/>
      <c r="H1552" s="2"/>
      <c r="I1552" s="5"/>
    </row>
    <row r="1553" spans="1:9" ht="17.399999999999999" x14ac:dyDescent="0.25">
      <c r="A1553" s="16"/>
      <c r="B1553" s="17"/>
      <c r="C1553" s="2"/>
      <c r="D1553" s="2"/>
      <c r="E1553" s="2"/>
      <c r="F1553" s="2"/>
      <c r="G1553" s="2"/>
      <c r="H1553" s="2"/>
      <c r="I1553" s="5"/>
    </row>
    <row r="1554" spans="1:9" ht="17.399999999999999" x14ac:dyDescent="0.25">
      <c r="A1554" s="16"/>
      <c r="B1554" s="17"/>
      <c r="C1554" s="2"/>
      <c r="D1554" s="2"/>
      <c r="E1554" s="2"/>
      <c r="F1554" s="2"/>
      <c r="G1554" s="2"/>
      <c r="H1554" s="2"/>
      <c r="I1554" s="5"/>
    </row>
    <row r="1555" spans="1:9" ht="17.399999999999999" x14ac:dyDescent="0.25">
      <c r="A1555" s="16"/>
      <c r="B1555" s="17"/>
      <c r="C1555" s="2"/>
      <c r="D1555" s="2"/>
      <c r="E1555" s="2"/>
      <c r="F1555" s="2"/>
      <c r="G1555" s="2"/>
      <c r="H1555" s="2"/>
      <c r="I1555" s="5"/>
    </row>
    <row r="1556" spans="1:9" ht="17.399999999999999" x14ac:dyDescent="0.25">
      <c r="A1556" s="16"/>
      <c r="B1556" s="17"/>
      <c r="C1556" s="2"/>
      <c r="D1556" s="2"/>
      <c r="E1556" s="2"/>
      <c r="F1556" s="2"/>
      <c r="G1556" s="2"/>
      <c r="H1556" s="2"/>
      <c r="I1556" s="5"/>
    </row>
    <row r="1557" spans="1:9" ht="17.399999999999999" x14ac:dyDescent="0.25">
      <c r="A1557" s="16"/>
      <c r="B1557" s="17"/>
      <c r="C1557" s="2"/>
      <c r="D1557" s="2"/>
      <c r="E1557" s="2"/>
      <c r="F1557" s="2"/>
      <c r="G1557" s="2"/>
      <c r="H1557" s="2"/>
      <c r="I1557" s="5"/>
    </row>
    <row r="1558" spans="1:9" ht="17.399999999999999" x14ac:dyDescent="0.25">
      <c r="A1558" s="16"/>
      <c r="B1558" s="17"/>
      <c r="C1558" s="2"/>
      <c r="D1558" s="2"/>
      <c r="E1558" s="2"/>
      <c r="F1558" s="2"/>
      <c r="G1558" s="2"/>
      <c r="H1558" s="2"/>
      <c r="I1558" s="5"/>
    </row>
    <row r="1559" spans="1:9" ht="17.399999999999999" x14ac:dyDescent="0.25">
      <c r="A1559" s="16"/>
      <c r="B1559" s="17"/>
      <c r="C1559" s="2"/>
      <c r="D1559" s="2"/>
      <c r="E1559" s="2"/>
      <c r="F1559" s="2"/>
      <c r="G1559" s="2"/>
      <c r="H1559" s="2"/>
      <c r="I1559" s="5"/>
    </row>
    <row r="1560" spans="1:9" ht="17.399999999999999" x14ac:dyDescent="0.25">
      <c r="A1560" s="16"/>
      <c r="B1560" s="17"/>
      <c r="C1560" s="2"/>
      <c r="D1560" s="2"/>
      <c r="E1560" s="2"/>
      <c r="F1560" s="2"/>
      <c r="G1560" s="2"/>
      <c r="H1560" s="2"/>
      <c r="I1560" s="5"/>
    </row>
    <row r="1561" spans="1:9" ht="17.399999999999999" x14ac:dyDescent="0.25">
      <c r="A1561" s="16"/>
      <c r="B1561" s="17"/>
      <c r="C1561" s="2"/>
      <c r="D1561" s="2"/>
      <c r="E1561" s="2"/>
      <c r="F1561" s="2"/>
      <c r="G1561" s="2"/>
      <c r="H1561" s="2"/>
      <c r="I1561" s="5"/>
    </row>
    <row r="1562" spans="1:9" ht="17.399999999999999" x14ac:dyDescent="0.25">
      <c r="A1562" s="16"/>
      <c r="B1562" s="17"/>
      <c r="C1562" s="2"/>
      <c r="D1562" s="2"/>
      <c r="E1562" s="2"/>
      <c r="F1562" s="2"/>
      <c r="G1562" s="2"/>
      <c r="H1562" s="2"/>
      <c r="I1562" s="5"/>
    </row>
    <row r="1563" spans="1:9" ht="17.399999999999999" x14ac:dyDescent="0.25">
      <c r="A1563" s="16"/>
      <c r="B1563" s="17"/>
      <c r="C1563" s="2"/>
      <c r="D1563" s="2"/>
      <c r="E1563" s="2"/>
      <c r="F1563" s="2"/>
      <c r="G1563" s="2"/>
      <c r="H1563" s="2"/>
      <c r="I1563" s="5"/>
    </row>
    <row r="1564" spans="1:9" ht="17.399999999999999" x14ac:dyDescent="0.25">
      <c r="A1564" s="16"/>
      <c r="B1564" s="17"/>
      <c r="C1564" s="2"/>
      <c r="D1564" s="2"/>
      <c r="E1564" s="2"/>
      <c r="F1564" s="2"/>
      <c r="G1564" s="2"/>
      <c r="H1564" s="2"/>
      <c r="I1564" s="5"/>
    </row>
    <row r="1565" spans="1:9" ht="17.399999999999999" x14ac:dyDescent="0.25">
      <c r="A1565" s="16"/>
      <c r="B1565" s="17"/>
      <c r="C1565" s="2"/>
      <c r="D1565" s="2"/>
      <c r="E1565" s="2"/>
      <c r="F1565" s="2"/>
      <c r="G1565" s="2"/>
      <c r="H1565" s="2"/>
      <c r="I1565" s="5"/>
    </row>
    <row r="1566" spans="1:9" ht="17.399999999999999" x14ac:dyDescent="0.25">
      <c r="A1566" s="16"/>
      <c r="B1566" s="17"/>
      <c r="C1566" s="2"/>
      <c r="D1566" s="2"/>
      <c r="E1566" s="2"/>
      <c r="F1566" s="2"/>
      <c r="G1566" s="2"/>
      <c r="H1566" s="2"/>
      <c r="I1566" s="5"/>
    </row>
    <row r="1567" spans="1:9" ht="17.399999999999999" x14ac:dyDescent="0.25">
      <c r="A1567" s="16"/>
      <c r="B1567" s="17"/>
      <c r="C1567" s="2"/>
      <c r="D1567" s="2"/>
      <c r="E1567" s="2"/>
      <c r="F1567" s="2"/>
      <c r="G1567" s="2"/>
      <c r="H1567" s="2"/>
      <c r="I1567" s="5"/>
    </row>
    <row r="1568" spans="1:9" ht="17.399999999999999" x14ac:dyDescent="0.25">
      <c r="A1568" s="16"/>
      <c r="B1568" s="17"/>
      <c r="C1568" s="2"/>
      <c r="D1568" s="2"/>
      <c r="E1568" s="2"/>
      <c r="F1568" s="2"/>
      <c r="G1568" s="2"/>
      <c r="H1568" s="2"/>
      <c r="I1568" s="5"/>
    </row>
    <row r="1569" spans="1:9" ht="17.399999999999999" x14ac:dyDescent="0.25">
      <c r="A1569" s="16"/>
      <c r="B1569" s="17"/>
      <c r="C1569" s="2"/>
      <c r="D1569" s="2"/>
      <c r="E1569" s="2"/>
      <c r="F1569" s="2"/>
      <c r="G1569" s="2"/>
      <c r="H1569" s="2"/>
      <c r="I1569" s="5"/>
    </row>
    <row r="1570" spans="1:9" ht="17.399999999999999" x14ac:dyDescent="0.25">
      <c r="A1570" s="16"/>
      <c r="B1570" s="17"/>
      <c r="C1570" s="2"/>
      <c r="D1570" s="2"/>
      <c r="E1570" s="2"/>
      <c r="F1570" s="2"/>
      <c r="G1570" s="2"/>
      <c r="H1570" s="2"/>
      <c r="I1570" s="5"/>
    </row>
    <row r="1571" spans="1:9" ht="17.399999999999999" x14ac:dyDescent="0.25">
      <c r="A1571" s="16"/>
      <c r="B1571" s="17"/>
      <c r="C1571" s="2"/>
      <c r="D1571" s="2"/>
      <c r="E1571" s="2"/>
      <c r="F1571" s="2"/>
      <c r="G1571" s="2"/>
      <c r="H1571" s="2"/>
      <c r="I1571" s="5"/>
    </row>
    <row r="1572" spans="1:9" ht="17.399999999999999" x14ac:dyDescent="0.25">
      <c r="A1572" s="16"/>
      <c r="B1572" s="17"/>
      <c r="C1572" s="2"/>
      <c r="D1572" s="2"/>
      <c r="E1572" s="2"/>
      <c r="F1572" s="2"/>
      <c r="G1572" s="2"/>
      <c r="H1572" s="2"/>
      <c r="I1572" s="5"/>
    </row>
    <row r="1573" spans="1:9" ht="17.399999999999999" x14ac:dyDescent="0.25">
      <c r="A1573" s="16"/>
      <c r="B1573" s="17"/>
      <c r="C1573" s="2"/>
      <c r="D1573" s="2"/>
      <c r="E1573" s="2"/>
      <c r="F1573" s="2"/>
      <c r="G1573" s="2"/>
      <c r="H1573" s="2"/>
      <c r="I1573" s="5"/>
    </row>
    <row r="1574" spans="1:9" ht="17.399999999999999" x14ac:dyDescent="0.25">
      <c r="A1574" s="16"/>
      <c r="B1574" s="17"/>
      <c r="C1574" s="2"/>
      <c r="D1574" s="2"/>
      <c r="E1574" s="2"/>
      <c r="F1574" s="2"/>
      <c r="G1574" s="2"/>
      <c r="H1574" s="2"/>
      <c r="I1574" s="5"/>
    </row>
    <row r="1575" spans="1:9" ht="17.399999999999999" x14ac:dyDescent="0.25">
      <c r="A1575" s="16"/>
      <c r="B1575" s="17"/>
      <c r="C1575" s="2"/>
      <c r="D1575" s="2"/>
      <c r="E1575" s="2"/>
      <c r="F1575" s="2"/>
      <c r="G1575" s="2"/>
      <c r="H1575" s="2"/>
      <c r="I1575" s="5"/>
    </row>
    <row r="1576" spans="1:9" ht="17.399999999999999" x14ac:dyDescent="0.25">
      <c r="A1576" s="16"/>
      <c r="B1576" s="17"/>
      <c r="C1576" s="2"/>
      <c r="D1576" s="2"/>
      <c r="E1576" s="2"/>
      <c r="F1576" s="2"/>
      <c r="G1576" s="2"/>
      <c r="H1576" s="2"/>
      <c r="I1576" s="5"/>
    </row>
    <row r="1577" spans="1:9" ht="17.399999999999999" x14ac:dyDescent="0.25">
      <c r="A1577" s="16"/>
      <c r="B1577" s="17"/>
      <c r="C1577" s="2"/>
      <c r="D1577" s="2"/>
      <c r="E1577" s="2"/>
      <c r="F1577" s="2"/>
      <c r="G1577" s="2"/>
      <c r="H1577" s="2"/>
      <c r="I1577" s="5"/>
    </row>
    <row r="1578" spans="1:9" ht="17.399999999999999" x14ac:dyDescent="0.25">
      <c r="A1578" s="16"/>
      <c r="B1578" s="17"/>
      <c r="C1578" s="2"/>
      <c r="D1578" s="2"/>
      <c r="E1578" s="2"/>
      <c r="F1578" s="2"/>
      <c r="G1578" s="2"/>
      <c r="H1578" s="2"/>
      <c r="I1578" s="5"/>
    </row>
    <row r="1579" spans="1:9" ht="17.399999999999999" x14ac:dyDescent="0.25">
      <c r="A1579" s="16"/>
      <c r="B1579" s="17"/>
      <c r="C1579" s="2"/>
      <c r="D1579" s="2"/>
      <c r="E1579" s="2"/>
      <c r="F1579" s="2"/>
      <c r="G1579" s="2"/>
      <c r="H1579" s="2"/>
      <c r="I1579" s="5"/>
    </row>
    <row r="1580" spans="1:9" ht="17.399999999999999" x14ac:dyDescent="0.25">
      <c r="A1580" s="16"/>
      <c r="B1580" s="17"/>
      <c r="C1580" s="2"/>
      <c r="D1580" s="2"/>
      <c r="E1580" s="2"/>
      <c r="F1580" s="2"/>
      <c r="G1580" s="2"/>
      <c r="H1580" s="2"/>
      <c r="I1580" s="5"/>
    </row>
    <row r="1581" spans="1:9" ht="17.399999999999999" x14ac:dyDescent="0.25">
      <c r="A1581" s="16"/>
      <c r="B1581" s="17"/>
      <c r="C1581" s="2"/>
      <c r="D1581" s="2"/>
      <c r="E1581" s="2"/>
      <c r="F1581" s="2"/>
      <c r="G1581" s="2"/>
      <c r="H1581" s="2"/>
      <c r="I1581" s="5"/>
    </row>
    <row r="1582" spans="1:9" ht="17.399999999999999" x14ac:dyDescent="0.25">
      <c r="A1582" s="16"/>
      <c r="B1582" s="17"/>
      <c r="C1582" s="2"/>
      <c r="D1582" s="2"/>
      <c r="E1582" s="2"/>
      <c r="F1582" s="2"/>
      <c r="G1582" s="2"/>
      <c r="H1582" s="2"/>
      <c r="I1582" s="5"/>
    </row>
    <row r="1583" spans="1:9" ht="17.399999999999999" x14ac:dyDescent="0.25">
      <c r="A1583" s="16"/>
      <c r="B1583" s="17"/>
      <c r="C1583" s="2"/>
      <c r="D1583" s="2"/>
      <c r="E1583" s="2"/>
      <c r="F1583" s="2"/>
      <c r="G1583" s="2"/>
      <c r="H1583" s="2"/>
      <c r="I1583" s="5"/>
    </row>
    <row r="1584" spans="1:9" ht="17.399999999999999" x14ac:dyDescent="0.25">
      <c r="A1584" s="16"/>
      <c r="B1584" s="17"/>
      <c r="C1584" s="2"/>
      <c r="D1584" s="2"/>
      <c r="E1584" s="2"/>
      <c r="F1584" s="2"/>
      <c r="G1584" s="2"/>
      <c r="H1584" s="2"/>
      <c r="I1584" s="5"/>
    </row>
    <row r="1585" spans="1:9" ht="17.399999999999999" x14ac:dyDescent="0.25">
      <c r="A1585" s="16"/>
      <c r="B1585" s="17"/>
      <c r="C1585" s="2"/>
      <c r="D1585" s="2"/>
      <c r="E1585" s="2"/>
      <c r="F1585" s="2"/>
      <c r="G1585" s="2"/>
      <c r="H1585" s="2"/>
      <c r="I1585" s="5"/>
    </row>
    <row r="1586" spans="1:9" ht="17.399999999999999" x14ac:dyDescent="0.25">
      <c r="A1586" s="16"/>
      <c r="B1586" s="17"/>
      <c r="C1586" s="2"/>
      <c r="D1586" s="2"/>
      <c r="E1586" s="2"/>
      <c r="F1586" s="2"/>
      <c r="G1586" s="2"/>
      <c r="H1586" s="2"/>
      <c r="I1586" s="5"/>
    </row>
    <row r="1587" spans="1:9" ht="17.399999999999999" x14ac:dyDescent="0.25">
      <c r="A1587" s="16"/>
      <c r="B1587" s="17"/>
      <c r="C1587" s="2"/>
      <c r="D1587" s="2"/>
      <c r="E1587" s="2"/>
      <c r="F1587" s="2"/>
      <c r="G1587" s="2"/>
      <c r="H1587" s="2"/>
      <c r="I1587" s="5"/>
    </row>
    <row r="1588" spans="1:9" ht="17.399999999999999" x14ac:dyDescent="0.25">
      <c r="A1588" s="16"/>
      <c r="B1588" s="17"/>
      <c r="C1588" s="2"/>
      <c r="D1588" s="2"/>
      <c r="E1588" s="2"/>
      <c r="F1588" s="2"/>
      <c r="G1588" s="2"/>
      <c r="H1588" s="2"/>
      <c r="I1588" s="5"/>
    </row>
    <row r="1589" spans="1:9" ht="17.399999999999999" x14ac:dyDescent="0.25">
      <c r="A1589" s="16"/>
      <c r="B1589" s="17"/>
      <c r="C1589" s="2"/>
      <c r="D1589" s="2"/>
      <c r="E1589" s="2"/>
      <c r="F1589" s="2"/>
      <c r="G1589" s="2"/>
      <c r="H1589" s="2"/>
      <c r="I1589" s="5"/>
    </row>
    <row r="1590" spans="1:9" ht="17.399999999999999" x14ac:dyDescent="0.25">
      <c r="A1590" s="16"/>
      <c r="B1590" s="17"/>
      <c r="C1590" s="2"/>
      <c r="D1590" s="2"/>
      <c r="E1590" s="2"/>
      <c r="F1590" s="2"/>
      <c r="G1590" s="2"/>
      <c r="H1590" s="2"/>
      <c r="I1590" s="5"/>
    </row>
    <row r="1591" spans="1:9" ht="17.399999999999999" x14ac:dyDescent="0.25">
      <c r="A1591" s="16"/>
      <c r="B1591" s="17"/>
      <c r="C1591" s="2"/>
      <c r="D1591" s="2"/>
      <c r="E1591" s="2"/>
      <c r="F1591" s="2"/>
      <c r="G1591" s="2"/>
      <c r="H1591" s="2"/>
      <c r="I1591" s="5"/>
    </row>
    <row r="1592" spans="1:9" ht="17.399999999999999" x14ac:dyDescent="0.25">
      <c r="A1592" s="16"/>
      <c r="B1592" s="17"/>
      <c r="C1592" s="2"/>
      <c r="D1592" s="2"/>
      <c r="E1592" s="2"/>
      <c r="F1592" s="2"/>
      <c r="G1592" s="2"/>
      <c r="H1592" s="2"/>
      <c r="I1592" s="5"/>
    </row>
    <row r="1593" spans="1:9" ht="17.399999999999999" x14ac:dyDescent="0.25">
      <c r="A1593" s="16"/>
      <c r="B1593" s="17"/>
      <c r="C1593" s="2"/>
      <c r="D1593" s="2"/>
      <c r="E1593" s="2"/>
      <c r="F1593" s="2"/>
      <c r="G1593" s="2"/>
      <c r="H1593" s="2"/>
      <c r="I1593" s="5"/>
    </row>
    <row r="1594" spans="1:9" ht="17.399999999999999" x14ac:dyDescent="0.25">
      <c r="A1594" s="16"/>
      <c r="B1594" s="17"/>
      <c r="C1594" s="2"/>
      <c r="D1594" s="2"/>
      <c r="E1594" s="2"/>
      <c r="F1594" s="2"/>
      <c r="G1594" s="2"/>
      <c r="H1594" s="2"/>
      <c r="I1594" s="5"/>
    </row>
    <row r="1595" spans="1:9" ht="17.399999999999999" x14ac:dyDescent="0.25">
      <c r="A1595" s="16"/>
      <c r="B1595" s="17"/>
      <c r="C1595" s="2"/>
      <c r="D1595" s="2"/>
      <c r="E1595" s="2"/>
      <c r="F1595" s="2"/>
      <c r="G1595" s="2"/>
      <c r="H1595" s="2"/>
      <c r="I1595" s="5"/>
    </row>
    <row r="1596" spans="1:9" ht="17.399999999999999" x14ac:dyDescent="0.25">
      <c r="A1596" s="16"/>
      <c r="B1596" s="17"/>
      <c r="C1596" s="2"/>
      <c r="D1596" s="2"/>
      <c r="E1596" s="2"/>
      <c r="F1596" s="2"/>
      <c r="G1596" s="2"/>
      <c r="H1596" s="2"/>
      <c r="I1596" s="5"/>
    </row>
    <row r="1597" spans="1:9" ht="17.399999999999999" x14ac:dyDescent="0.25">
      <c r="A1597" s="16"/>
      <c r="B1597" s="17"/>
      <c r="C1597" s="2"/>
      <c r="D1597" s="2"/>
      <c r="E1597" s="2"/>
      <c r="F1597" s="2"/>
      <c r="G1597" s="2"/>
      <c r="H1597" s="2"/>
      <c r="I1597" s="5"/>
    </row>
    <row r="1598" spans="1:9" ht="17.399999999999999" x14ac:dyDescent="0.25">
      <c r="A1598" s="16"/>
      <c r="B1598" s="17"/>
      <c r="C1598" s="2"/>
      <c r="D1598" s="2"/>
      <c r="E1598" s="2"/>
      <c r="F1598" s="2"/>
      <c r="G1598" s="2"/>
      <c r="H1598" s="2"/>
      <c r="I1598" s="5"/>
    </row>
    <row r="1599" spans="1:9" ht="17.399999999999999" x14ac:dyDescent="0.25">
      <c r="A1599" s="16"/>
      <c r="B1599" s="17"/>
      <c r="C1599" s="2"/>
      <c r="D1599" s="2"/>
      <c r="E1599" s="2"/>
      <c r="F1599" s="2"/>
      <c r="G1599" s="2"/>
      <c r="H1599" s="2"/>
      <c r="I1599" s="5"/>
    </row>
    <row r="1600" spans="1:9" ht="17.399999999999999" x14ac:dyDescent="0.25">
      <c r="A1600" s="16"/>
      <c r="B1600" s="17"/>
      <c r="C1600" s="2"/>
      <c r="D1600" s="2"/>
      <c r="E1600" s="2"/>
      <c r="F1600" s="2"/>
      <c r="G1600" s="2"/>
      <c r="H1600" s="2"/>
      <c r="I1600" s="5"/>
    </row>
    <row r="1601" spans="1:9" ht="17.399999999999999" x14ac:dyDescent="0.25">
      <c r="A1601" s="16"/>
      <c r="B1601" s="17"/>
      <c r="C1601" s="2"/>
      <c r="D1601" s="2"/>
      <c r="E1601" s="2"/>
      <c r="F1601" s="2"/>
      <c r="G1601" s="2"/>
      <c r="H1601" s="2"/>
      <c r="I1601" s="5"/>
    </row>
    <row r="1602" spans="1:9" ht="17.399999999999999" x14ac:dyDescent="0.25">
      <c r="A1602" s="16"/>
      <c r="B1602" s="17"/>
      <c r="C1602" s="2"/>
      <c r="D1602" s="2"/>
      <c r="E1602" s="2"/>
      <c r="F1602" s="2"/>
      <c r="G1602" s="2"/>
      <c r="H1602" s="2"/>
      <c r="I1602" s="5"/>
    </row>
    <row r="1603" spans="1:9" ht="17.399999999999999" x14ac:dyDescent="0.25">
      <c r="A1603" s="16"/>
      <c r="B1603" s="17"/>
      <c r="C1603" s="2"/>
      <c r="D1603" s="2"/>
      <c r="E1603" s="2"/>
      <c r="F1603" s="2"/>
      <c r="G1603" s="2"/>
      <c r="H1603" s="2"/>
      <c r="I1603" s="5"/>
    </row>
    <row r="1604" spans="1:9" ht="17.399999999999999" x14ac:dyDescent="0.25">
      <c r="A1604" s="16"/>
      <c r="B1604" s="17"/>
      <c r="C1604" s="2"/>
      <c r="D1604" s="2"/>
      <c r="E1604" s="2"/>
      <c r="F1604" s="2"/>
      <c r="G1604" s="2"/>
      <c r="H1604" s="2"/>
      <c r="I1604" s="5"/>
    </row>
    <row r="1605" spans="1:9" ht="17.399999999999999" x14ac:dyDescent="0.25">
      <c r="A1605" s="16"/>
      <c r="B1605" s="17"/>
      <c r="C1605" s="2"/>
      <c r="D1605" s="2"/>
      <c r="E1605" s="2"/>
      <c r="F1605" s="2"/>
      <c r="G1605" s="2"/>
      <c r="H1605" s="2"/>
      <c r="I1605" s="5"/>
    </row>
    <row r="1606" spans="1:9" ht="17.399999999999999" x14ac:dyDescent="0.25">
      <c r="A1606" s="16"/>
      <c r="B1606" s="17"/>
      <c r="C1606" s="2"/>
      <c r="D1606" s="2"/>
      <c r="E1606" s="2"/>
      <c r="F1606" s="2"/>
      <c r="G1606" s="2"/>
      <c r="H1606" s="2"/>
      <c r="I1606" s="5"/>
    </row>
    <row r="1607" spans="1:9" ht="17.399999999999999" x14ac:dyDescent="0.25">
      <c r="A1607" s="16"/>
      <c r="B1607" s="17"/>
      <c r="C1607" s="2"/>
      <c r="D1607" s="2"/>
      <c r="E1607" s="2"/>
      <c r="F1607" s="2"/>
      <c r="G1607" s="2"/>
      <c r="H1607" s="2"/>
      <c r="I1607" s="5"/>
    </row>
    <row r="1608" spans="1:9" ht="17.399999999999999" x14ac:dyDescent="0.25">
      <c r="A1608" s="16"/>
      <c r="B1608" s="17"/>
      <c r="C1608" s="2"/>
      <c r="D1608" s="2"/>
      <c r="E1608" s="2"/>
      <c r="F1608" s="2"/>
      <c r="G1608" s="2"/>
      <c r="H1608" s="2"/>
      <c r="I1608" s="5"/>
    </row>
    <row r="1609" spans="1:9" ht="17.399999999999999" x14ac:dyDescent="0.25">
      <c r="A1609" s="16"/>
      <c r="B1609" s="17"/>
      <c r="C1609" s="2"/>
      <c r="D1609" s="2"/>
      <c r="E1609" s="2"/>
      <c r="F1609" s="2"/>
      <c r="G1609" s="2"/>
      <c r="H1609" s="2"/>
      <c r="I1609" s="5"/>
    </row>
    <row r="1610" spans="1:9" ht="17.399999999999999" x14ac:dyDescent="0.25">
      <c r="A1610" s="16"/>
      <c r="B1610" s="17"/>
      <c r="C1610" s="2"/>
      <c r="D1610" s="2"/>
      <c r="E1610" s="2"/>
      <c r="F1610" s="2"/>
      <c r="G1610" s="2"/>
      <c r="H1610" s="2"/>
      <c r="I1610" s="5"/>
    </row>
    <row r="1611" spans="1:9" ht="17.399999999999999" x14ac:dyDescent="0.25">
      <c r="A1611" s="16"/>
      <c r="B1611" s="17"/>
      <c r="C1611" s="2"/>
      <c r="D1611" s="2"/>
      <c r="E1611" s="2"/>
      <c r="F1611" s="2"/>
      <c r="G1611" s="2"/>
      <c r="H1611" s="2"/>
      <c r="I1611" s="5"/>
    </row>
    <row r="1612" spans="1:9" ht="17.399999999999999" x14ac:dyDescent="0.25">
      <c r="A1612" s="16"/>
      <c r="B1612" s="17"/>
      <c r="C1612" s="2"/>
      <c r="D1612" s="2"/>
      <c r="E1612" s="2"/>
      <c r="F1612" s="2"/>
      <c r="G1612" s="2"/>
      <c r="H1612" s="2"/>
      <c r="I1612" s="5"/>
    </row>
    <row r="1613" spans="1:9" ht="17.399999999999999" x14ac:dyDescent="0.25">
      <c r="A1613" s="16"/>
      <c r="B1613" s="17"/>
      <c r="C1613" s="2"/>
      <c r="D1613" s="2"/>
      <c r="E1613" s="2"/>
      <c r="F1613" s="2"/>
      <c r="G1613" s="2"/>
      <c r="H1613" s="2"/>
      <c r="I1613" s="5"/>
    </row>
    <row r="1614" spans="1:9" ht="17.399999999999999" x14ac:dyDescent="0.25">
      <c r="A1614" s="16"/>
      <c r="B1614" s="17"/>
      <c r="C1614" s="2"/>
      <c r="D1614" s="2"/>
      <c r="E1614" s="2"/>
      <c r="F1614" s="2"/>
      <c r="G1614" s="2"/>
      <c r="H1614" s="2"/>
      <c r="I1614" s="5"/>
    </row>
    <row r="1615" spans="1:9" ht="17.399999999999999" x14ac:dyDescent="0.25">
      <c r="A1615" s="16"/>
      <c r="B1615" s="17"/>
      <c r="C1615" s="2"/>
      <c r="D1615" s="2"/>
      <c r="E1615" s="2"/>
      <c r="F1615" s="2"/>
      <c r="G1615" s="2"/>
      <c r="H1615" s="2"/>
      <c r="I1615" s="5"/>
    </row>
    <row r="1616" spans="1:9" ht="17.399999999999999" x14ac:dyDescent="0.25">
      <c r="A1616" s="16"/>
      <c r="B1616" s="17"/>
      <c r="C1616" s="2"/>
      <c r="D1616" s="2"/>
      <c r="E1616" s="2"/>
      <c r="F1616" s="2"/>
      <c r="G1616" s="2"/>
      <c r="H1616" s="2"/>
      <c r="I1616" s="5"/>
    </row>
    <row r="1617" spans="1:9" ht="17.399999999999999" x14ac:dyDescent="0.25">
      <c r="A1617" s="16"/>
      <c r="B1617" s="17"/>
      <c r="C1617" s="2"/>
      <c r="D1617" s="2"/>
      <c r="E1617" s="2"/>
      <c r="F1617" s="2"/>
      <c r="G1617" s="2"/>
      <c r="H1617" s="2"/>
      <c r="I1617" s="5"/>
    </row>
    <row r="1618" spans="1:9" ht="17.399999999999999" x14ac:dyDescent="0.25">
      <c r="A1618" s="16"/>
      <c r="B1618" s="17"/>
      <c r="C1618" s="2"/>
      <c r="D1618" s="2"/>
      <c r="E1618" s="2"/>
      <c r="F1618" s="2"/>
      <c r="G1618" s="2"/>
      <c r="H1618" s="2"/>
      <c r="I1618" s="5"/>
    </row>
    <row r="1619" spans="1:9" ht="17.399999999999999" x14ac:dyDescent="0.25">
      <c r="A1619" s="16"/>
      <c r="B1619" s="17"/>
      <c r="C1619" s="2"/>
      <c r="D1619" s="2"/>
      <c r="E1619" s="2"/>
      <c r="F1619" s="2"/>
      <c r="G1619" s="2"/>
      <c r="H1619" s="2"/>
      <c r="I1619" s="5"/>
    </row>
    <row r="1620" spans="1:9" ht="17.399999999999999" x14ac:dyDescent="0.25">
      <c r="A1620" s="16"/>
      <c r="B1620" s="17"/>
      <c r="C1620" s="2"/>
      <c r="D1620" s="2"/>
      <c r="E1620" s="2"/>
      <c r="F1620" s="2"/>
      <c r="G1620" s="2"/>
      <c r="H1620" s="2"/>
      <c r="I1620" s="5"/>
    </row>
    <row r="1621" spans="1:9" ht="17.399999999999999" x14ac:dyDescent="0.25">
      <c r="A1621" s="16"/>
      <c r="B1621" s="17"/>
      <c r="C1621" s="2"/>
      <c r="D1621" s="2"/>
      <c r="E1621" s="2"/>
      <c r="F1621" s="2"/>
      <c r="G1621" s="2"/>
      <c r="H1621" s="2"/>
      <c r="I1621" s="5"/>
    </row>
    <row r="1622" spans="1:9" ht="17.399999999999999" x14ac:dyDescent="0.25">
      <c r="A1622" s="16"/>
      <c r="B1622" s="17"/>
      <c r="C1622" s="2"/>
      <c r="D1622" s="2"/>
      <c r="E1622" s="2"/>
      <c r="F1622" s="2"/>
      <c r="G1622" s="2"/>
      <c r="H1622" s="2"/>
      <c r="I1622" s="5"/>
    </row>
    <row r="1623" spans="1:9" ht="17.399999999999999" x14ac:dyDescent="0.25">
      <c r="A1623" s="16"/>
      <c r="B1623" s="17"/>
      <c r="C1623" s="2"/>
      <c r="D1623" s="2"/>
      <c r="E1623" s="2"/>
      <c r="F1623" s="2"/>
      <c r="G1623" s="2"/>
      <c r="H1623" s="2"/>
      <c r="I1623" s="5"/>
    </row>
    <row r="1624" spans="1:9" ht="17.399999999999999" x14ac:dyDescent="0.25">
      <c r="A1624" s="16"/>
      <c r="B1624" s="17"/>
      <c r="C1624" s="2"/>
      <c r="D1624" s="2"/>
      <c r="E1624" s="2"/>
      <c r="F1624" s="2"/>
      <c r="G1624" s="2"/>
      <c r="H1624" s="2"/>
      <c r="I1624" s="5"/>
    </row>
    <row r="1625" spans="1:9" ht="17.399999999999999" x14ac:dyDescent="0.25">
      <c r="A1625" s="16"/>
      <c r="B1625" s="17"/>
      <c r="C1625" s="2"/>
      <c r="D1625" s="2"/>
      <c r="E1625" s="2"/>
      <c r="F1625" s="2"/>
      <c r="G1625" s="2"/>
      <c r="H1625" s="2"/>
      <c r="I1625" s="5"/>
    </row>
    <row r="1626" spans="1:9" ht="17.399999999999999" x14ac:dyDescent="0.25">
      <c r="A1626" s="16"/>
      <c r="B1626" s="17"/>
      <c r="C1626" s="2"/>
      <c r="D1626" s="2"/>
      <c r="E1626" s="2"/>
      <c r="F1626" s="2"/>
      <c r="G1626" s="2"/>
      <c r="H1626" s="2"/>
      <c r="I1626" s="5"/>
    </row>
    <row r="1627" spans="1:9" ht="17.399999999999999" x14ac:dyDescent="0.25">
      <c r="A1627" s="16"/>
      <c r="B1627" s="17"/>
      <c r="C1627" s="2"/>
      <c r="D1627" s="2"/>
      <c r="E1627" s="2"/>
      <c r="F1627" s="2"/>
      <c r="G1627" s="2"/>
      <c r="H1627" s="2"/>
      <c r="I1627" s="5"/>
    </row>
    <row r="1628" spans="1:9" ht="17.399999999999999" x14ac:dyDescent="0.25">
      <c r="A1628" s="16"/>
      <c r="B1628" s="17"/>
      <c r="C1628" s="2"/>
      <c r="D1628" s="2"/>
      <c r="E1628" s="2"/>
      <c r="F1628" s="2"/>
      <c r="G1628" s="2"/>
      <c r="H1628" s="2"/>
      <c r="I1628" s="5"/>
    </row>
    <row r="1629" spans="1:9" ht="17.399999999999999" x14ac:dyDescent="0.25">
      <c r="A1629" s="16"/>
      <c r="B1629" s="17"/>
      <c r="C1629" s="2"/>
      <c r="D1629" s="2"/>
      <c r="E1629" s="2"/>
      <c r="F1629" s="2"/>
      <c r="G1629" s="2"/>
      <c r="H1629" s="2"/>
      <c r="I1629" s="5"/>
    </row>
    <row r="1630" spans="1:9" ht="17.399999999999999" x14ac:dyDescent="0.25">
      <c r="A1630" s="16"/>
      <c r="B1630" s="17"/>
      <c r="C1630" s="2"/>
      <c r="D1630" s="2"/>
      <c r="E1630" s="2"/>
      <c r="F1630" s="2"/>
      <c r="G1630" s="2"/>
      <c r="H1630" s="2"/>
      <c r="I1630" s="5"/>
    </row>
    <row r="1631" spans="1:9" ht="17.399999999999999" x14ac:dyDescent="0.25">
      <c r="A1631" s="16"/>
      <c r="B1631" s="17"/>
      <c r="C1631" s="2"/>
      <c r="D1631" s="2"/>
      <c r="E1631" s="2"/>
      <c r="F1631" s="2"/>
      <c r="G1631" s="2"/>
      <c r="H1631" s="2"/>
      <c r="I1631" s="5"/>
    </row>
    <row r="1632" spans="1:9" ht="17.399999999999999" x14ac:dyDescent="0.25">
      <c r="A1632" s="16"/>
      <c r="B1632" s="17"/>
      <c r="C1632" s="2"/>
      <c r="D1632" s="2"/>
      <c r="E1632" s="2"/>
      <c r="F1632" s="2"/>
      <c r="G1632" s="2"/>
      <c r="H1632" s="2"/>
      <c r="I1632" s="5"/>
    </row>
    <row r="1633" spans="1:9" ht="17.399999999999999" x14ac:dyDescent="0.25">
      <c r="A1633" s="16"/>
      <c r="B1633" s="17"/>
      <c r="C1633" s="2"/>
      <c r="D1633" s="2"/>
      <c r="E1633" s="2"/>
      <c r="F1633" s="2"/>
      <c r="G1633" s="2"/>
      <c r="H1633" s="2"/>
      <c r="I1633" s="5"/>
    </row>
    <row r="1634" spans="1:9" ht="17.399999999999999" x14ac:dyDescent="0.25">
      <c r="A1634" s="16"/>
      <c r="B1634" s="17"/>
      <c r="C1634" s="2"/>
      <c r="D1634" s="2"/>
      <c r="E1634" s="2"/>
      <c r="F1634" s="2"/>
      <c r="G1634" s="2"/>
      <c r="H1634" s="2"/>
      <c r="I1634" s="5"/>
    </row>
    <row r="1635" spans="1:9" ht="17.399999999999999" x14ac:dyDescent="0.25">
      <c r="A1635" s="16"/>
      <c r="B1635" s="17"/>
      <c r="C1635" s="2"/>
      <c r="D1635" s="2"/>
      <c r="E1635" s="2"/>
      <c r="F1635" s="2"/>
      <c r="G1635" s="2"/>
      <c r="H1635" s="2"/>
      <c r="I1635" s="5"/>
    </row>
    <row r="1636" spans="1:9" ht="17.399999999999999" x14ac:dyDescent="0.25">
      <c r="A1636" s="16"/>
      <c r="B1636" s="17"/>
      <c r="C1636" s="2"/>
      <c r="D1636" s="2"/>
      <c r="E1636" s="2"/>
      <c r="F1636" s="2"/>
      <c r="G1636" s="2"/>
      <c r="H1636" s="2"/>
      <c r="I1636" s="5"/>
    </row>
    <row r="1637" spans="1:9" ht="17.399999999999999" x14ac:dyDescent="0.25">
      <c r="A1637" s="16"/>
      <c r="B1637" s="17"/>
      <c r="C1637" s="2"/>
      <c r="D1637" s="2"/>
      <c r="E1637" s="2"/>
      <c r="F1637" s="2"/>
      <c r="G1637" s="2"/>
      <c r="H1637" s="2"/>
      <c r="I1637" s="5"/>
    </row>
    <row r="1638" spans="1:9" ht="17.399999999999999" x14ac:dyDescent="0.25">
      <c r="A1638" s="16"/>
      <c r="B1638" s="17"/>
      <c r="C1638" s="2"/>
      <c r="D1638" s="2"/>
      <c r="E1638" s="2"/>
      <c r="F1638" s="2"/>
      <c r="G1638" s="2"/>
      <c r="H1638" s="2"/>
      <c r="I1638" s="5"/>
    </row>
    <row r="1639" spans="1:9" ht="17.399999999999999" x14ac:dyDescent="0.25">
      <c r="A1639" s="16"/>
      <c r="B1639" s="17"/>
      <c r="C1639" s="2"/>
      <c r="D1639" s="2"/>
      <c r="E1639" s="2"/>
      <c r="F1639" s="2"/>
      <c r="G1639" s="2"/>
      <c r="H1639" s="2"/>
      <c r="I1639" s="5"/>
    </row>
    <row r="1640" spans="1:9" ht="17.399999999999999" x14ac:dyDescent="0.25">
      <c r="A1640" s="16"/>
      <c r="B1640" s="17"/>
      <c r="C1640" s="2"/>
      <c r="D1640" s="2"/>
      <c r="E1640" s="2"/>
      <c r="F1640" s="2"/>
      <c r="G1640" s="2"/>
      <c r="H1640" s="2"/>
      <c r="I1640" s="5"/>
    </row>
    <row r="1641" spans="1:9" ht="17.399999999999999" x14ac:dyDescent="0.25">
      <c r="A1641" s="16"/>
      <c r="B1641" s="17"/>
      <c r="C1641" s="2"/>
      <c r="D1641" s="2"/>
      <c r="E1641" s="2"/>
      <c r="F1641" s="2"/>
      <c r="G1641" s="2"/>
      <c r="H1641" s="2"/>
      <c r="I1641" s="5"/>
    </row>
    <row r="1642" spans="1:9" ht="17.399999999999999" x14ac:dyDescent="0.25">
      <c r="A1642" s="16"/>
      <c r="B1642" s="17"/>
      <c r="C1642" s="2"/>
      <c r="D1642" s="2"/>
      <c r="E1642" s="2"/>
      <c r="F1642" s="2"/>
      <c r="G1642" s="2"/>
      <c r="H1642" s="2"/>
      <c r="I1642" s="5"/>
    </row>
    <row r="1643" spans="1:9" ht="17.399999999999999" x14ac:dyDescent="0.25">
      <c r="A1643" s="16"/>
      <c r="B1643" s="17"/>
      <c r="C1643" s="2"/>
      <c r="D1643" s="2"/>
      <c r="E1643" s="2"/>
      <c r="F1643" s="2"/>
      <c r="G1643" s="2"/>
      <c r="H1643" s="2"/>
      <c r="I1643" s="5"/>
    </row>
    <row r="1644" spans="1:9" ht="17.399999999999999" x14ac:dyDescent="0.25">
      <c r="A1644" s="16"/>
      <c r="B1644" s="17"/>
      <c r="C1644" s="2"/>
      <c r="D1644" s="2"/>
      <c r="E1644" s="2"/>
      <c r="F1644" s="2"/>
      <c r="G1644" s="2"/>
      <c r="H1644" s="2"/>
      <c r="I1644" s="5"/>
    </row>
    <row r="1645" spans="1:9" ht="17.399999999999999" x14ac:dyDescent="0.25">
      <c r="A1645" s="16"/>
      <c r="B1645" s="17"/>
      <c r="C1645" s="2"/>
      <c r="D1645" s="2"/>
      <c r="E1645" s="2"/>
      <c r="F1645" s="2"/>
      <c r="G1645" s="2"/>
      <c r="H1645" s="2"/>
      <c r="I1645" s="5"/>
    </row>
    <row r="1646" spans="1:9" ht="17.399999999999999" x14ac:dyDescent="0.25">
      <c r="A1646" s="16"/>
      <c r="B1646" s="17"/>
      <c r="C1646" s="2"/>
      <c r="D1646" s="2"/>
      <c r="E1646" s="2"/>
      <c r="F1646" s="2"/>
      <c r="G1646" s="2"/>
      <c r="H1646" s="2"/>
      <c r="I1646" s="5"/>
    </row>
    <row r="1647" spans="1:9" ht="17.399999999999999" x14ac:dyDescent="0.25">
      <c r="A1647" s="16"/>
      <c r="B1647" s="17"/>
      <c r="C1647" s="2"/>
      <c r="D1647" s="2"/>
      <c r="E1647" s="2"/>
      <c r="F1647" s="2"/>
      <c r="G1647" s="2"/>
      <c r="H1647" s="2"/>
      <c r="I1647" s="5"/>
    </row>
    <row r="1648" spans="1:9" ht="17.399999999999999" x14ac:dyDescent="0.25">
      <c r="A1648" s="16"/>
      <c r="B1648" s="17"/>
      <c r="C1648" s="2"/>
      <c r="D1648" s="2"/>
      <c r="E1648" s="2"/>
      <c r="F1648" s="2"/>
      <c r="G1648" s="2"/>
      <c r="H1648" s="2"/>
      <c r="I1648" s="5"/>
    </row>
    <row r="1649" spans="1:9" ht="17.399999999999999" x14ac:dyDescent="0.25">
      <c r="A1649" s="16"/>
      <c r="B1649" s="17"/>
      <c r="C1649" s="2"/>
      <c r="D1649" s="2"/>
      <c r="E1649" s="2"/>
      <c r="F1649" s="2"/>
      <c r="G1649" s="2"/>
      <c r="H1649" s="2"/>
      <c r="I1649" s="5"/>
    </row>
    <row r="1650" spans="1:9" ht="17.399999999999999" x14ac:dyDescent="0.25">
      <c r="A1650" s="16"/>
      <c r="B1650" s="17"/>
      <c r="C1650" s="2"/>
      <c r="D1650" s="2"/>
      <c r="E1650" s="2"/>
      <c r="F1650" s="2"/>
      <c r="G1650" s="2"/>
      <c r="H1650" s="2"/>
      <c r="I1650" s="5"/>
    </row>
    <row r="1651" spans="1:9" ht="17.399999999999999" x14ac:dyDescent="0.25">
      <c r="A1651" s="16"/>
      <c r="B1651" s="17"/>
      <c r="C1651" s="2"/>
      <c r="D1651" s="2"/>
      <c r="E1651" s="2"/>
      <c r="F1651" s="2"/>
      <c r="G1651" s="2"/>
      <c r="H1651" s="2"/>
      <c r="I1651" s="5"/>
    </row>
    <row r="1652" spans="1:9" ht="17.399999999999999" x14ac:dyDescent="0.25">
      <c r="A1652" s="16"/>
      <c r="B1652" s="17"/>
      <c r="C1652" s="2"/>
      <c r="D1652" s="2"/>
      <c r="E1652" s="2"/>
      <c r="F1652" s="2"/>
      <c r="G1652" s="2"/>
      <c r="H1652" s="2"/>
      <c r="I1652" s="5"/>
    </row>
    <row r="1653" spans="1:9" ht="17.399999999999999" x14ac:dyDescent="0.25">
      <c r="A1653" s="16"/>
      <c r="B1653" s="17"/>
      <c r="C1653" s="2"/>
      <c r="D1653" s="2"/>
      <c r="E1653" s="2"/>
      <c r="F1653" s="2"/>
      <c r="G1653" s="2"/>
      <c r="H1653" s="2"/>
      <c r="I1653" s="5"/>
    </row>
    <row r="1654" spans="1:9" ht="17.399999999999999" x14ac:dyDescent="0.25">
      <c r="A1654" s="16"/>
      <c r="B1654" s="17"/>
      <c r="C1654" s="2"/>
      <c r="D1654" s="2"/>
      <c r="E1654" s="2"/>
      <c r="F1654" s="2"/>
      <c r="G1654" s="2"/>
      <c r="H1654" s="2"/>
      <c r="I1654" s="5"/>
    </row>
    <row r="1655" spans="1:9" ht="17.399999999999999" x14ac:dyDescent="0.25">
      <c r="A1655" s="16"/>
      <c r="B1655" s="17"/>
      <c r="C1655" s="2"/>
      <c r="D1655" s="2"/>
      <c r="E1655" s="2"/>
      <c r="F1655" s="2"/>
      <c r="G1655" s="2"/>
      <c r="H1655" s="2"/>
      <c r="I1655" s="5"/>
    </row>
    <row r="1656" spans="1:9" ht="17.399999999999999" x14ac:dyDescent="0.25">
      <c r="A1656" s="16"/>
      <c r="B1656" s="17"/>
      <c r="C1656" s="2"/>
      <c r="D1656" s="2"/>
      <c r="E1656" s="2"/>
      <c r="F1656" s="2"/>
      <c r="G1656" s="2"/>
      <c r="H1656" s="2"/>
      <c r="I1656" s="5"/>
    </row>
    <row r="1657" spans="1:9" ht="17.399999999999999" x14ac:dyDescent="0.25">
      <c r="A1657" s="16"/>
      <c r="B1657" s="17"/>
      <c r="C1657" s="2"/>
      <c r="D1657" s="2"/>
      <c r="E1657" s="2"/>
      <c r="F1657" s="2"/>
      <c r="G1657" s="2"/>
      <c r="H1657" s="2"/>
      <c r="I1657" s="5"/>
    </row>
    <row r="1658" spans="1:9" ht="17.399999999999999" x14ac:dyDescent="0.25">
      <c r="A1658" s="16"/>
      <c r="B1658" s="17"/>
      <c r="C1658" s="2"/>
      <c r="D1658" s="2"/>
      <c r="E1658" s="2"/>
      <c r="F1658" s="2"/>
      <c r="G1658" s="2"/>
      <c r="H1658" s="2"/>
      <c r="I1658" s="5"/>
    </row>
    <row r="1659" spans="1:9" ht="17.399999999999999" x14ac:dyDescent="0.25">
      <c r="A1659" s="16"/>
      <c r="B1659" s="17"/>
      <c r="C1659" s="2"/>
      <c r="D1659" s="2"/>
      <c r="E1659" s="2"/>
      <c r="F1659" s="2"/>
      <c r="G1659" s="2"/>
      <c r="H1659" s="2"/>
      <c r="I1659" s="5"/>
    </row>
    <row r="1660" spans="1:9" ht="17.399999999999999" x14ac:dyDescent="0.25">
      <c r="A1660" s="16"/>
      <c r="B1660" s="17"/>
      <c r="C1660" s="2"/>
      <c r="D1660" s="2"/>
      <c r="E1660" s="2"/>
      <c r="F1660" s="2"/>
      <c r="G1660" s="2"/>
      <c r="H1660" s="2"/>
      <c r="I1660" s="5"/>
    </row>
    <row r="1661" spans="1:9" ht="17.399999999999999" x14ac:dyDescent="0.25">
      <c r="A1661" s="16"/>
      <c r="B1661" s="17"/>
      <c r="C1661" s="2"/>
      <c r="D1661" s="2"/>
      <c r="E1661" s="2"/>
      <c r="F1661" s="2"/>
      <c r="G1661" s="2"/>
      <c r="H1661" s="2"/>
      <c r="I1661" s="5"/>
    </row>
    <row r="1662" spans="1:9" ht="17.399999999999999" x14ac:dyDescent="0.25">
      <c r="A1662" s="16"/>
      <c r="B1662" s="17"/>
      <c r="C1662" s="2"/>
      <c r="D1662" s="2"/>
      <c r="E1662" s="2"/>
      <c r="F1662" s="2"/>
      <c r="G1662" s="2"/>
      <c r="H1662" s="2"/>
      <c r="I1662" s="5"/>
    </row>
    <row r="1663" spans="1:9" ht="17.399999999999999" x14ac:dyDescent="0.25">
      <c r="A1663" s="16"/>
      <c r="B1663" s="17"/>
      <c r="C1663" s="2"/>
      <c r="D1663" s="2"/>
      <c r="E1663" s="2"/>
      <c r="F1663" s="2"/>
      <c r="G1663" s="2"/>
      <c r="H1663" s="2"/>
      <c r="I1663" s="5"/>
    </row>
    <row r="1664" spans="1:9" ht="17.399999999999999" x14ac:dyDescent="0.25">
      <c r="A1664" s="16"/>
      <c r="B1664" s="17"/>
      <c r="C1664" s="2"/>
      <c r="D1664" s="2"/>
      <c r="E1664" s="2"/>
      <c r="F1664" s="2"/>
      <c r="G1664" s="2"/>
      <c r="H1664" s="2"/>
      <c r="I1664" s="5"/>
    </row>
    <row r="1665" spans="1:9" ht="17.399999999999999" x14ac:dyDescent="0.25">
      <c r="A1665" s="16"/>
      <c r="B1665" s="17"/>
      <c r="C1665" s="2"/>
      <c r="D1665" s="2"/>
      <c r="E1665" s="2"/>
      <c r="F1665" s="2"/>
      <c r="G1665" s="2"/>
      <c r="H1665" s="2"/>
      <c r="I1665" s="5"/>
    </row>
    <row r="1666" spans="1:9" ht="17.399999999999999" x14ac:dyDescent="0.25">
      <c r="A1666" s="16"/>
      <c r="B1666" s="17"/>
      <c r="C1666" s="2"/>
      <c r="D1666" s="2"/>
      <c r="E1666" s="2"/>
      <c r="F1666" s="2"/>
      <c r="G1666" s="2"/>
      <c r="H1666" s="2"/>
      <c r="I1666" s="5"/>
    </row>
    <row r="1667" spans="1:9" ht="17.399999999999999" x14ac:dyDescent="0.25">
      <c r="A1667" s="16"/>
      <c r="B1667" s="17"/>
      <c r="C1667" s="2"/>
      <c r="D1667" s="2"/>
      <c r="E1667" s="2"/>
      <c r="F1667" s="2"/>
      <c r="G1667" s="2"/>
      <c r="H1667" s="2"/>
      <c r="I1667" s="5"/>
    </row>
    <row r="1668" spans="1:9" ht="17.399999999999999" x14ac:dyDescent="0.25">
      <c r="A1668" s="16"/>
      <c r="B1668" s="17"/>
      <c r="C1668" s="2"/>
      <c r="D1668" s="2"/>
      <c r="E1668" s="2"/>
      <c r="F1668" s="2"/>
      <c r="G1668" s="2"/>
      <c r="H1668" s="2"/>
      <c r="I1668" s="5"/>
    </row>
    <row r="1669" spans="1:9" ht="17.399999999999999" x14ac:dyDescent="0.25">
      <c r="A1669" s="16"/>
      <c r="B1669" s="17"/>
      <c r="C1669" s="2"/>
      <c r="D1669" s="2"/>
      <c r="E1669" s="2"/>
      <c r="F1669" s="2"/>
      <c r="G1669" s="2"/>
      <c r="H1669" s="2"/>
      <c r="I1669" s="5"/>
    </row>
    <row r="1670" spans="1:9" ht="17.399999999999999" x14ac:dyDescent="0.25">
      <c r="A1670" s="16"/>
      <c r="B1670" s="17"/>
      <c r="C1670" s="2"/>
      <c r="D1670" s="2"/>
      <c r="E1670" s="2"/>
      <c r="F1670" s="2"/>
      <c r="G1670" s="2"/>
      <c r="H1670" s="2"/>
      <c r="I1670" s="5"/>
    </row>
    <row r="1671" spans="1:9" ht="17.399999999999999" x14ac:dyDescent="0.25">
      <c r="A1671" s="16"/>
      <c r="B1671" s="17"/>
      <c r="C1671" s="2"/>
      <c r="D1671" s="2"/>
      <c r="E1671" s="2"/>
      <c r="F1671" s="2"/>
      <c r="G1671" s="2"/>
      <c r="H1671" s="2"/>
      <c r="I1671" s="5"/>
    </row>
    <row r="1672" spans="1:9" ht="17.399999999999999" x14ac:dyDescent="0.25">
      <c r="A1672" s="16"/>
      <c r="B1672" s="17"/>
      <c r="C1672" s="2"/>
      <c r="D1672" s="2"/>
      <c r="E1672" s="2"/>
      <c r="F1672" s="2"/>
      <c r="G1672" s="2"/>
      <c r="H1672" s="2"/>
      <c r="I1672" s="5"/>
    </row>
    <row r="1673" spans="1:9" ht="17.399999999999999" x14ac:dyDescent="0.25">
      <c r="A1673" s="16"/>
      <c r="B1673" s="17"/>
      <c r="C1673" s="2"/>
      <c r="D1673" s="2"/>
      <c r="E1673" s="2"/>
      <c r="F1673" s="2"/>
      <c r="G1673" s="2"/>
      <c r="H1673" s="2"/>
      <c r="I1673" s="5"/>
    </row>
    <row r="1674" spans="1:9" ht="17.399999999999999" x14ac:dyDescent="0.25">
      <c r="A1674" s="16"/>
      <c r="B1674" s="17"/>
      <c r="C1674" s="2"/>
      <c r="D1674" s="2"/>
      <c r="E1674" s="2"/>
      <c r="F1674" s="2"/>
      <c r="G1674" s="2"/>
      <c r="H1674" s="2"/>
      <c r="I1674" s="5"/>
    </row>
    <row r="1675" spans="1:9" ht="17.399999999999999" x14ac:dyDescent="0.25">
      <c r="A1675" s="16"/>
      <c r="B1675" s="17"/>
      <c r="C1675" s="2"/>
      <c r="D1675" s="2"/>
      <c r="E1675" s="2"/>
      <c r="F1675" s="2"/>
      <c r="G1675" s="2"/>
      <c r="H1675" s="2"/>
      <c r="I1675" s="5"/>
    </row>
    <row r="1676" spans="1:9" ht="17.399999999999999" x14ac:dyDescent="0.25">
      <c r="A1676" s="16"/>
      <c r="B1676" s="17"/>
      <c r="C1676" s="2"/>
      <c r="D1676" s="2"/>
      <c r="E1676" s="2"/>
      <c r="F1676" s="2"/>
      <c r="G1676" s="2"/>
      <c r="H1676" s="2"/>
      <c r="I1676" s="5"/>
    </row>
    <row r="1677" spans="1:9" ht="17.399999999999999" x14ac:dyDescent="0.25">
      <c r="A1677" s="16"/>
      <c r="B1677" s="17"/>
      <c r="C1677" s="2"/>
      <c r="D1677" s="2"/>
      <c r="E1677" s="2"/>
      <c r="F1677" s="2"/>
      <c r="G1677" s="2"/>
      <c r="H1677" s="2"/>
      <c r="I1677" s="5"/>
    </row>
    <row r="1678" spans="1:9" ht="17.399999999999999" x14ac:dyDescent="0.25">
      <c r="A1678" s="16"/>
      <c r="B1678" s="17"/>
      <c r="C1678" s="2"/>
      <c r="D1678" s="2"/>
      <c r="E1678" s="2"/>
      <c r="F1678" s="2"/>
      <c r="G1678" s="2"/>
      <c r="H1678" s="2"/>
      <c r="I1678" s="5"/>
    </row>
    <row r="1679" spans="1:9" ht="17.399999999999999" x14ac:dyDescent="0.25">
      <c r="A1679" s="16"/>
      <c r="B1679" s="17"/>
      <c r="C1679" s="2"/>
      <c r="D1679" s="2"/>
      <c r="E1679" s="2"/>
      <c r="F1679" s="2"/>
      <c r="G1679" s="2"/>
      <c r="H1679" s="2"/>
      <c r="I1679" s="5"/>
    </row>
    <row r="1680" spans="1:9" ht="17.399999999999999" x14ac:dyDescent="0.25">
      <c r="A1680" s="16"/>
      <c r="B1680" s="17"/>
      <c r="C1680" s="2"/>
      <c r="D1680" s="2"/>
      <c r="E1680" s="2"/>
      <c r="F1680" s="2"/>
      <c r="G1680" s="2"/>
      <c r="H1680" s="2"/>
      <c r="I1680" s="5"/>
    </row>
    <row r="1681" spans="1:9" ht="17.399999999999999" x14ac:dyDescent="0.25">
      <c r="A1681" s="16"/>
      <c r="B1681" s="17"/>
      <c r="C1681" s="2"/>
      <c r="D1681" s="2"/>
      <c r="E1681" s="2"/>
      <c r="F1681" s="2"/>
      <c r="G1681" s="2"/>
      <c r="H1681" s="2"/>
      <c r="I1681" s="5"/>
    </row>
    <row r="1682" spans="1:9" ht="17.399999999999999" x14ac:dyDescent="0.25">
      <c r="A1682" s="16"/>
      <c r="B1682" s="17"/>
      <c r="C1682" s="2"/>
      <c r="D1682" s="2"/>
      <c r="E1682" s="2"/>
      <c r="F1682" s="2"/>
      <c r="G1682" s="2"/>
      <c r="H1682" s="2"/>
      <c r="I1682" s="5"/>
    </row>
    <row r="1683" spans="1:9" ht="17.399999999999999" x14ac:dyDescent="0.25">
      <c r="A1683" s="16"/>
      <c r="B1683" s="17"/>
      <c r="C1683" s="2"/>
      <c r="D1683" s="2"/>
      <c r="E1683" s="2"/>
      <c r="F1683" s="2"/>
      <c r="G1683" s="2"/>
      <c r="H1683" s="2"/>
      <c r="I1683" s="5"/>
    </row>
    <row r="1684" spans="1:9" ht="17.399999999999999" x14ac:dyDescent="0.25">
      <c r="A1684" s="16"/>
      <c r="B1684" s="17"/>
      <c r="C1684" s="2"/>
      <c r="D1684" s="2"/>
      <c r="E1684" s="2"/>
      <c r="F1684" s="2"/>
      <c r="G1684" s="2"/>
      <c r="H1684" s="2"/>
      <c r="I1684" s="5"/>
    </row>
    <row r="1685" spans="1:9" ht="17.399999999999999" x14ac:dyDescent="0.25">
      <c r="A1685" s="16"/>
      <c r="B1685" s="17"/>
      <c r="C1685" s="2"/>
      <c r="D1685" s="2"/>
      <c r="E1685" s="2"/>
      <c r="F1685" s="2"/>
      <c r="G1685" s="2"/>
      <c r="H1685" s="2"/>
      <c r="I1685" s="5"/>
    </row>
    <row r="1686" spans="1:9" ht="17.399999999999999" x14ac:dyDescent="0.25">
      <c r="A1686" s="16"/>
      <c r="B1686" s="17"/>
      <c r="C1686" s="2"/>
      <c r="D1686" s="2"/>
      <c r="E1686" s="2"/>
      <c r="F1686" s="2"/>
      <c r="G1686" s="2"/>
      <c r="H1686" s="2"/>
      <c r="I1686" s="5"/>
    </row>
    <row r="1687" spans="1:9" ht="17.399999999999999" x14ac:dyDescent="0.25">
      <c r="A1687" s="16"/>
      <c r="B1687" s="17"/>
      <c r="C1687" s="2"/>
      <c r="D1687" s="2"/>
      <c r="E1687" s="2"/>
      <c r="F1687" s="2"/>
      <c r="G1687" s="2"/>
      <c r="H1687" s="2"/>
      <c r="I1687" s="5"/>
    </row>
    <row r="1688" spans="1:9" ht="17.399999999999999" x14ac:dyDescent="0.25">
      <c r="A1688" s="16"/>
      <c r="B1688" s="17"/>
      <c r="C1688" s="2"/>
      <c r="D1688" s="2"/>
      <c r="E1688" s="2"/>
      <c r="F1688" s="2"/>
      <c r="G1688" s="2"/>
      <c r="H1688" s="2"/>
      <c r="I1688" s="5"/>
    </row>
    <row r="1689" spans="1:9" ht="17.399999999999999" x14ac:dyDescent="0.25">
      <c r="A1689" s="16"/>
      <c r="B1689" s="17"/>
      <c r="C1689" s="2"/>
      <c r="D1689" s="2"/>
      <c r="E1689" s="2"/>
      <c r="F1689" s="2"/>
      <c r="G1689" s="2"/>
      <c r="H1689" s="2"/>
      <c r="I1689" s="5"/>
    </row>
    <row r="1690" spans="1:9" ht="17.399999999999999" x14ac:dyDescent="0.25">
      <c r="A1690" s="16"/>
      <c r="B1690" s="17"/>
      <c r="C1690" s="2"/>
      <c r="D1690" s="2"/>
      <c r="E1690" s="2"/>
      <c r="F1690" s="2"/>
      <c r="G1690" s="2"/>
      <c r="H1690" s="2"/>
      <c r="I1690" s="5"/>
    </row>
    <row r="1691" spans="1:9" ht="17.399999999999999" x14ac:dyDescent="0.25">
      <c r="A1691" s="16"/>
      <c r="B1691" s="17"/>
      <c r="C1691" s="2"/>
      <c r="D1691" s="2"/>
      <c r="E1691" s="2"/>
      <c r="F1691" s="2"/>
      <c r="G1691" s="2"/>
      <c r="H1691" s="2"/>
      <c r="I1691" s="5"/>
    </row>
    <row r="1692" spans="1:9" ht="17.399999999999999" x14ac:dyDescent="0.25">
      <c r="A1692" s="16"/>
      <c r="B1692" s="17"/>
      <c r="C1692" s="2"/>
      <c r="D1692" s="2"/>
      <c r="E1692" s="2"/>
      <c r="F1692" s="2"/>
      <c r="G1692" s="2"/>
      <c r="H1692" s="2"/>
      <c r="I1692" s="5"/>
    </row>
    <row r="1693" spans="1:9" ht="17.399999999999999" x14ac:dyDescent="0.25">
      <c r="A1693" s="16"/>
      <c r="B1693" s="17"/>
      <c r="C1693" s="2"/>
      <c r="D1693" s="2"/>
      <c r="E1693" s="2"/>
      <c r="F1693" s="2"/>
      <c r="G1693" s="2"/>
      <c r="H1693" s="2"/>
      <c r="I1693" s="5"/>
    </row>
    <row r="1694" spans="1:9" ht="17.399999999999999" x14ac:dyDescent="0.25">
      <c r="A1694" s="16"/>
      <c r="B1694" s="17"/>
      <c r="C1694" s="2"/>
      <c r="D1694" s="2"/>
      <c r="E1694" s="2"/>
      <c r="F1694" s="2"/>
      <c r="G1694" s="2"/>
      <c r="H1694" s="2"/>
      <c r="I1694" s="5"/>
    </row>
    <row r="1695" spans="1:9" ht="17.399999999999999" x14ac:dyDescent="0.25">
      <c r="A1695" s="16"/>
      <c r="B1695" s="17"/>
      <c r="C1695" s="2"/>
      <c r="D1695" s="2"/>
      <c r="E1695" s="2"/>
      <c r="F1695" s="2"/>
      <c r="G1695" s="2"/>
      <c r="H1695" s="2"/>
      <c r="I1695" s="5"/>
    </row>
    <row r="1696" spans="1:9" ht="17.399999999999999" x14ac:dyDescent="0.25">
      <c r="A1696" s="16"/>
      <c r="B1696" s="17"/>
      <c r="C1696" s="2"/>
      <c r="D1696" s="2"/>
      <c r="E1696" s="2"/>
      <c r="F1696" s="2"/>
      <c r="G1696" s="2"/>
      <c r="H1696" s="2"/>
      <c r="I1696" s="5"/>
    </row>
    <row r="1697" spans="1:9" ht="17.399999999999999" x14ac:dyDescent="0.25">
      <c r="A1697" s="16"/>
      <c r="B1697" s="17"/>
      <c r="C1697" s="2"/>
      <c r="D1697" s="2"/>
      <c r="E1697" s="2"/>
      <c r="F1697" s="2"/>
      <c r="G1697" s="2"/>
      <c r="H1697" s="2"/>
      <c r="I1697" s="5"/>
    </row>
    <row r="1698" spans="1:9" ht="17.399999999999999" x14ac:dyDescent="0.25">
      <c r="A1698" s="16"/>
      <c r="B1698" s="17"/>
      <c r="C1698" s="2"/>
      <c r="D1698" s="2"/>
      <c r="E1698" s="2"/>
      <c r="F1698" s="2"/>
      <c r="G1698" s="2"/>
      <c r="H1698" s="2"/>
      <c r="I1698" s="5"/>
    </row>
    <row r="1699" spans="1:9" ht="17.399999999999999" x14ac:dyDescent="0.25">
      <c r="A1699" s="16"/>
      <c r="B1699" s="17"/>
      <c r="C1699" s="2"/>
      <c r="D1699" s="2"/>
      <c r="E1699" s="2"/>
      <c r="F1699" s="2"/>
      <c r="G1699" s="2"/>
      <c r="H1699" s="2"/>
      <c r="I1699" s="5"/>
    </row>
    <row r="1700" spans="1:9" ht="17.399999999999999" x14ac:dyDescent="0.25">
      <c r="A1700" s="16"/>
      <c r="B1700" s="17"/>
      <c r="C1700" s="2"/>
      <c r="D1700" s="2"/>
      <c r="E1700" s="2"/>
      <c r="F1700" s="2"/>
      <c r="G1700" s="2"/>
      <c r="H1700" s="2"/>
      <c r="I1700" s="5"/>
    </row>
    <row r="1701" spans="1:9" ht="17.399999999999999" x14ac:dyDescent="0.25">
      <c r="A1701" s="16"/>
      <c r="B1701" s="17"/>
      <c r="C1701" s="2"/>
      <c r="D1701" s="2"/>
      <c r="E1701" s="2"/>
      <c r="F1701" s="2"/>
      <c r="G1701" s="2"/>
      <c r="H1701" s="2"/>
      <c r="I1701" s="5"/>
    </row>
    <row r="1702" spans="1:9" ht="17.399999999999999" x14ac:dyDescent="0.25">
      <c r="A1702" s="16"/>
      <c r="B1702" s="17"/>
      <c r="C1702" s="2"/>
      <c r="D1702" s="2"/>
      <c r="E1702" s="2"/>
      <c r="F1702" s="2"/>
      <c r="G1702" s="2"/>
      <c r="H1702" s="2"/>
      <c r="I1702" s="5"/>
    </row>
    <row r="1703" spans="1:9" ht="17.399999999999999" x14ac:dyDescent="0.25">
      <c r="A1703" s="16"/>
      <c r="B1703" s="17"/>
      <c r="C1703" s="2"/>
      <c r="D1703" s="2"/>
      <c r="E1703" s="2"/>
      <c r="F1703" s="2"/>
      <c r="G1703" s="2"/>
      <c r="H1703" s="2"/>
      <c r="I1703" s="5"/>
    </row>
    <row r="1704" spans="1:9" ht="17.399999999999999" x14ac:dyDescent="0.25">
      <c r="A1704" s="16"/>
      <c r="B1704" s="17"/>
      <c r="C1704" s="2"/>
      <c r="D1704" s="2"/>
      <c r="E1704" s="2"/>
      <c r="F1704" s="2"/>
      <c r="G1704" s="2"/>
      <c r="H1704" s="2"/>
      <c r="I1704" s="5"/>
    </row>
    <row r="1705" spans="1:9" ht="17.399999999999999" x14ac:dyDescent="0.25">
      <c r="A1705" s="16"/>
      <c r="B1705" s="17"/>
      <c r="C1705" s="2"/>
      <c r="D1705" s="2"/>
      <c r="E1705" s="2"/>
      <c r="F1705" s="2"/>
      <c r="G1705" s="2"/>
      <c r="H1705" s="2"/>
      <c r="I1705" s="5"/>
    </row>
    <row r="1706" spans="1:9" ht="17.399999999999999" x14ac:dyDescent="0.25">
      <c r="A1706" s="16"/>
      <c r="B1706" s="17"/>
      <c r="C1706" s="2"/>
      <c r="D1706" s="2"/>
      <c r="E1706" s="2"/>
      <c r="F1706" s="2"/>
      <c r="G1706" s="2"/>
      <c r="H1706" s="2"/>
      <c r="I1706" s="5"/>
    </row>
    <row r="1707" spans="1:9" ht="17.399999999999999" x14ac:dyDescent="0.25">
      <c r="A1707" s="16"/>
      <c r="B1707" s="17"/>
      <c r="C1707" s="2"/>
      <c r="D1707" s="2"/>
      <c r="E1707" s="2"/>
      <c r="F1707" s="2"/>
      <c r="G1707" s="2"/>
      <c r="H1707" s="2"/>
      <c r="I1707" s="5"/>
    </row>
    <row r="1708" spans="1:9" ht="17.399999999999999" x14ac:dyDescent="0.25">
      <c r="A1708" s="16"/>
      <c r="B1708" s="17"/>
      <c r="C1708" s="2"/>
      <c r="D1708" s="2"/>
      <c r="E1708" s="2"/>
      <c r="F1708" s="2"/>
      <c r="G1708" s="2"/>
      <c r="H1708" s="2"/>
      <c r="I1708" s="5"/>
    </row>
    <row r="1709" spans="1:9" ht="17.399999999999999" x14ac:dyDescent="0.25">
      <c r="A1709" s="16"/>
      <c r="B1709" s="17"/>
      <c r="C1709" s="2"/>
      <c r="D1709" s="2"/>
      <c r="E1709" s="2"/>
      <c r="F1709" s="2"/>
      <c r="G1709" s="2"/>
      <c r="H1709" s="2"/>
      <c r="I1709" s="5"/>
    </row>
    <row r="1710" spans="1:9" ht="17.399999999999999" x14ac:dyDescent="0.25">
      <c r="A1710" s="16"/>
      <c r="B1710" s="17"/>
      <c r="C1710" s="2"/>
      <c r="D1710" s="2"/>
      <c r="E1710" s="2"/>
      <c r="F1710" s="2"/>
      <c r="G1710" s="2"/>
      <c r="H1710" s="2"/>
      <c r="I1710" s="5"/>
    </row>
    <row r="1711" spans="1:9" ht="17.399999999999999" x14ac:dyDescent="0.25">
      <c r="A1711" s="16"/>
      <c r="B1711" s="17"/>
      <c r="C1711" s="2"/>
      <c r="D1711" s="2"/>
      <c r="E1711" s="2"/>
      <c r="F1711" s="2"/>
      <c r="G1711" s="2"/>
      <c r="H1711" s="2"/>
      <c r="I1711" s="5"/>
    </row>
    <row r="1712" spans="1:9" ht="17.399999999999999" x14ac:dyDescent="0.25">
      <c r="A1712" s="16"/>
      <c r="B1712" s="17"/>
      <c r="C1712" s="2"/>
      <c r="D1712" s="2"/>
      <c r="E1712" s="2"/>
      <c r="F1712" s="2"/>
      <c r="G1712" s="2"/>
      <c r="H1712" s="2"/>
      <c r="I1712" s="5"/>
    </row>
    <row r="1713" spans="1:9" ht="17.399999999999999" x14ac:dyDescent="0.25">
      <c r="A1713" s="16"/>
      <c r="B1713" s="17"/>
      <c r="C1713" s="2"/>
      <c r="D1713" s="2"/>
      <c r="E1713" s="2"/>
      <c r="F1713" s="2"/>
      <c r="G1713" s="2"/>
      <c r="H1713" s="2"/>
      <c r="I1713" s="5"/>
    </row>
    <row r="1714" spans="1:9" ht="17.399999999999999" x14ac:dyDescent="0.25">
      <c r="A1714" s="16"/>
      <c r="B1714" s="17"/>
      <c r="C1714" s="2"/>
      <c r="D1714" s="2"/>
      <c r="E1714" s="2"/>
      <c r="F1714" s="2"/>
      <c r="G1714" s="2"/>
      <c r="H1714" s="2"/>
      <c r="I1714" s="5"/>
    </row>
    <row r="1715" spans="1:9" ht="17.399999999999999" x14ac:dyDescent="0.25">
      <c r="A1715" s="16"/>
      <c r="B1715" s="17"/>
      <c r="C1715" s="2"/>
      <c r="D1715" s="2"/>
      <c r="E1715" s="2"/>
      <c r="F1715" s="2"/>
      <c r="G1715" s="2"/>
      <c r="H1715" s="2"/>
      <c r="I1715" s="5"/>
    </row>
    <row r="1716" spans="1:9" ht="17.399999999999999" x14ac:dyDescent="0.25">
      <c r="A1716" s="16"/>
      <c r="B1716" s="17"/>
      <c r="C1716" s="2"/>
      <c r="D1716" s="2"/>
      <c r="E1716" s="2"/>
      <c r="F1716" s="2"/>
      <c r="G1716" s="2"/>
      <c r="H1716" s="2"/>
      <c r="I1716" s="5"/>
    </row>
    <row r="1717" spans="1:9" ht="17.399999999999999" x14ac:dyDescent="0.25">
      <c r="A1717" s="16"/>
      <c r="B1717" s="17"/>
      <c r="C1717" s="2"/>
      <c r="D1717" s="2"/>
      <c r="E1717" s="2"/>
      <c r="F1717" s="2"/>
      <c r="G1717" s="2"/>
      <c r="H1717" s="2"/>
      <c r="I1717" s="5"/>
    </row>
    <row r="1718" spans="1:9" ht="17.399999999999999" x14ac:dyDescent="0.25">
      <c r="A1718" s="16"/>
      <c r="B1718" s="17"/>
      <c r="C1718" s="2"/>
      <c r="D1718" s="2"/>
      <c r="E1718" s="2"/>
      <c r="F1718" s="2"/>
      <c r="G1718" s="2"/>
      <c r="H1718" s="2"/>
      <c r="I1718" s="5"/>
    </row>
    <row r="1719" spans="1:9" ht="17.399999999999999" x14ac:dyDescent="0.25">
      <c r="A1719" s="16"/>
      <c r="B1719" s="17"/>
      <c r="C1719" s="2"/>
      <c r="D1719" s="2"/>
      <c r="E1719" s="2"/>
      <c r="F1719" s="2"/>
      <c r="G1719" s="2"/>
      <c r="H1719" s="2"/>
      <c r="I1719" s="5"/>
    </row>
    <row r="1720" spans="1:9" ht="17.399999999999999" x14ac:dyDescent="0.25">
      <c r="A1720" s="16"/>
      <c r="B1720" s="17"/>
      <c r="C1720" s="2"/>
      <c r="D1720" s="2"/>
      <c r="E1720" s="2"/>
      <c r="F1720" s="2"/>
      <c r="G1720" s="2"/>
      <c r="H1720" s="2"/>
      <c r="I1720" s="5"/>
    </row>
    <row r="1721" spans="1:9" ht="17.399999999999999" x14ac:dyDescent="0.25">
      <c r="A1721" s="16"/>
      <c r="B1721" s="17"/>
      <c r="C1721" s="2"/>
      <c r="D1721" s="2"/>
      <c r="E1721" s="2"/>
      <c r="F1721" s="2"/>
      <c r="G1721" s="2"/>
      <c r="H1721" s="2"/>
      <c r="I1721" s="5"/>
    </row>
    <row r="1722" spans="1:9" ht="17.399999999999999" x14ac:dyDescent="0.25">
      <c r="A1722" s="16"/>
      <c r="B1722" s="17"/>
      <c r="C1722" s="2"/>
      <c r="D1722" s="2"/>
      <c r="E1722" s="2"/>
      <c r="F1722" s="2"/>
      <c r="G1722" s="2"/>
      <c r="H1722" s="2"/>
      <c r="I1722" s="5"/>
    </row>
    <row r="1723" spans="1:9" ht="17.399999999999999" x14ac:dyDescent="0.25">
      <c r="A1723" s="16"/>
      <c r="B1723" s="17"/>
      <c r="C1723" s="2"/>
      <c r="D1723" s="2"/>
      <c r="E1723" s="2"/>
      <c r="F1723" s="2"/>
      <c r="G1723" s="2"/>
      <c r="H1723" s="2"/>
      <c r="I1723" s="5"/>
    </row>
    <row r="1724" spans="1:9" ht="17.399999999999999" x14ac:dyDescent="0.25">
      <c r="A1724" s="16"/>
      <c r="B1724" s="17"/>
      <c r="C1724" s="2"/>
      <c r="D1724" s="2"/>
      <c r="E1724" s="2"/>
      <c r="F1724" s="2"/>
      <c r="G1724" s="2"/>
      <c r="H1724" s="2"/>
      <c r="I1724" s="5"/>
    </row>
    <row r="1725" spans="1:9" ht="17.399999999999999" x14ac:dyDescent="0.25">
      <c r="A1725" s="16"/>
      <c r="B1725" s="17"/>
      <c r="C1725" s="2"/>
      <c r="D1725" s="2"/>
      <c r="E1725" s="2"/>
      <c r="F1725" s="2"/>
      <c r="G1725" s="2"/>
      <c r="H1725" s="2"/>
      <c r="I1725" s="5"/>
    </row>
    <row r="1726" spans="1:9" ht="17.399999999999999" x14ac:dyDescent="0.25">
      <c r="A1726" s="16"/>
      <c r="B1726" s="17"/>
      <c r="C1726" s="2"/>
      <c r="D1726" s="2"/>
      <c r="E1726" s="2"/>
      <c r="F1726" s="2"/>
      <c r="G1726" s="2"/>
      <c r="H1726" s="2"/>
      <c r="I1726" s="5"/>
    </row>
    <row r="1727" spans="1:9" ht="17.399999999999999" x14ac:dyDescent="0.25">
      <c r="A1727" s="16"/>
      <c r="B1727" s="17"/>
      <c r="C1727" s="2"/>
      <c r="D1727" s="2"/>
      <c r="E1727" s="2"/>
      <c r="F1727" s="2"/>
      <c r="G1727" s="2"/>
      <c r="H1727" s="2"/>
      <c r="I1727" s="5"/>
    </row>
    <row r="1728" spans="1:9" ht="17.399999999999999" x14ac:dyDescent="0.25">
      <c r="A1728" s="16"/>
      <c r="B1728" s="17"/>
      <c r="C1728" s="2"/>
      <c r="D1728" s="2"/>
      <c r="E1728" s="2"/>
      <c r="F1728" s="2"/>
      <c r="G1728" s="2"/>
      <c r="H1728" s="2"/>
      <c r="I1728" s="5"/>
    </row>
    <row r="1729" spans="1:9" ht="17.399999999999999" x14ac:dyDescent="0.25">
      <c r="A1729" s="16"/>
      <c r="B1729" s="17"/>
      <c r="C1729" s="2"/>
      <c r="D1729" s="2"/>
      <c r="E1729" s="2"/>
      <c r="F1729" s="2"/>
      <c r="G1729" s="2"/>
      <c r="H1729" s="2"/>
      <c r="I1729" s="5"/>
    </row>
    <row r="1730" spans="1:9" ht="17.399999999999999" x14ac:dyDescent="0.25">
      <c r="A1730" s="16"/>
      <c r="B1730" s="17"/>
      <c r="C1730" s="2"/>
      <c r="D1730" s="2"/>
      <c r="E1730" s="2"/>
      <c r="F1730" s="2"/>
      <c r="G1730" s="2"/>
      <c r="H1730" s="2"/>
      <c r="I1730" s="5"/>
    </row>
    <row r="1731" spans="1:9" ht="17.399999999999999" x14ac:dyDescent="0.25">
      <c r="A1731" s="16"/>
      <c r="B1731" s="17"/>
      <c r="C1731" s="2"/>
      <c r="D1731" s="2"/>
      <c r="E1731" s="2"/>
      <c r="F1731" s="2"/>
      <c r="G1731" s="2"/>
      <c r="H1731" s="2"/>
      <c r="I1731" s="5"/>
    </row>
    <row r="1732" spans="1:9" ht="17.399999999999999" x14ac:dyDescent="0.25">
      <c r="A1732" s="16"/>
      <c r="B1732" s="17"/>
      <c r="C1732" s="2"/>
      <c r="D1732" s="2"/>
      <c r="E1732" s="2"/>
      <c r="F1732" s="2"/>
      <c r="G1732" s="2"/>
      <c r="H1732" s="2"/>
      <c r="I1732" s="5"/>
    </row>
    <row r="1733" spans="1:9" ht="17.399999999999999" x14ac:dyDescent="0.25">
      <c r="A1733" s="16"/>
      <c r="B1733" s="17"/>
      <c r="C1733" s="2"/>
      <c r="D1733" s="2"/>
      <c r="E1733" s="2"/>
      <c r="F1733" s="2"/>
      <c r="G1733" s="2"/>
      <c r="H1733" s="2"/>
      <c r="I1733" s="5"/>
    </row>
    <row r="1734" spans="1:9" ht="17.399999999999999" x14ac:dyDescent="0.25">
      <c r="A1734" s="16"/>
      <c r="B1734" s="17"/>
      <c r="C1734" s="2"/>
      <c r="D1734" s="2"/>
      <c r="E1734" s="2"/>
      <c r="F1734" s="2"/>
      <c r="G1734" s="2"/>
      <c r="H1734" s="2"/>
      <c r="I1734" s="5"/>
    </row>
    <row r="1735" spans="1:9" ht="17.399999999999999" x14ac:dyDescent="0.25">
      <c r="A1735" s="16"/>
      <c r="B1735" s="17"/>
      <c r="C1735" s="2"/>
      <c r="D1735" s="2"/>
      <c r="E1735" s="2"/>
      <c r="F1735" s="2"/>
      <c r="G1735" s="2"/>
      <c r="H1735" s="2"/>
      <c r="I1735" s="5"/>
    </row>
    <row r="1736" spans="1:9" ht="17.399999999999999" x14ac:dyDescent="0.25">
      <c r="A1736" s="16"/>
      <c r="B1736" s="17"/>
      <c r="C1736" s="2"/>
      <c r="D1736" s="2"/>
      <c r="E1736" s="2"/>
      <c r="F1736" s="2"/>
      <c r="G1736" s="2"/>
      <c r="H1736" s="2"/>
      <c r="I1736" s="5"/>
    </row>
    <row r="1737" spans="1:9" ht="17.399999999999999" x14ac:dyDescent="0.25">
      <c r="A1737" s="16"/>
      <c r="B1737" s="17"/>
      <c r="C1737" s="2"/>
      <c r="D1737" s="2"/>
      <c r="E1737" s="2"/>
      <c r="F1737" s="2"/>
      <c r="G1737" s="2"/>
      <c r="H1737" s="2"/>
      <c r="I1737" s="5"/>
    </row>
    <row r="1738" spans="1:9" ht="17.399999999999999" x14ac:dyDescent="0.25">
      <c r="A1738" s="16"/>
      <c r="B1738" s="17"/>
      <c r="C1738" s="2"/>
      <c r="D1738" s="2"/>
      <c r="E1738" s="2"/>
      <c r="F1738" s="2"/>
      <c r="G1738" s="2"/>
      <c r="H1738" s="2"/>
      <c r="I1738" s="5"/>
    </row>
    <row r="1739" spans="1:9" ht="17.399999999999999" x14ac:dyDescent="0.25">
      <c r="A1739" s="16"/>
      <c r="B1739" s="17"/>
      <c r="C1739" s="2"/>
      <c r="D1739" s="2"/>
      <c r="E1739" s="2"/>
      <c r="F1739" s="2"/>
      <c r="G1739" s="2"/>
      <c r="H1739" s="2"/>
      <c r="I1739" s="5"/>
    </row>
    <row r="1740" spans="1:9" ht="17.399999999999999" x14ac:dyDescent="0.25">
      <c r="A1740" s="16"/>
      <c r="B1740" s="17"/>
      <c r="C1740" s="2"/>
      <c r="D1740" s="2"/>
      <c r="E1740" s="2"/>
      <c r="F1740" s="2"/>
      <c r="G1740" s="2"/>
      <c r="H1740" s="2"/>
      <c r="I1740" s="5"/>
    </row>
    <row r="1741" spans="1:9" ht="17.399999999999999" x14ac:dyDescent="0.25">
      <c r="A1741" s="16"/>
      <c r="B1741" s="17"/>
      <c r="C1741" s="2"/>
      <c r="D1741" s="2"/>
      <c r="E1741" s="2"/>
      <c r="F1741" s="2"/>
      <c r="G1741" s="2"/>
      <c r="H1741" s="2"/>
      <c r="I1741" s="5"/>
    </row>
    <row r="1742" spans="1:9" ht="17.399999999999999" x14ac:dyDescent="0.25">
      <c r="A1742" s="16"/>
      <c r="B1742" s="17"/>
      <c r="C1742" s="2"/>
      <c r="D1742" s="2"/>
      <c r="E1742" s="2"/>
      <c r="F1742" s="2"/>
      <c r="G1742" s="2"/>
      <c r="H1742" s="2"/>
      <c r="I1742" s="5"/>
    </row>
    <row r="1743" spans="1:9" ht="17.399999999999999" x14ac:dyDescent="0.25">
      <c r="A1743" s="16"/>
      <c r="B1743" s="17"/>
      <c r="C1743" s="2"/>
      <c r="D1743" s="2"/>
      <c r="E1743" s="2"/>
      <c r="F1743" s="2"/>
      <c r="G1743" s="2"/>
      <c r="H1743" s="2"/>
      <c r="I1743" s="5"/>
    </row>
    <row r="1744" spans="1:9" ht="17.399999999999999" x14ac:dyDescent="0.25">
      <c r="A1744" s="16"/>
      <c r="B1744" s="17"/>
      <c r="C1744" s="2"/>
      <c r="D1744" s="2"/>
      <c r="E1744" s="2"/>
      <c r="F1744" s="2"/>
      <c r="G1744" s="2"/>
      <c r="H1744" s="2"/>
      <c r="I1744" s="5"/>
    </row>
    <row r="1745" spans="1:9" ht="17.399999999999999" x14ac:dyDescent="0.25">
      <c r="A1745" s="16"/>
      <c r="B1745" s="17"/>
      <c r="C1745" s="2"/>
      <c r="D1745" s="2"/>
      <c r="E1745" s="2"/>
      <c r="F1745" s="2"/>
      <c r="G1745" s="2"/>
      <c r="H1745" s="2"/>
      <c r="I1745" s="5"/>
    </row>
    <row r="1746" spans="1:9" ht="17.399999999999999" x14ac:dyDescent="0.25">
      <c r="A1746" s="16"/>
      <c r="B1746" s="17"/>
      <c r="C1746" s="2"/>
      <c r="D1746" s="2"/>
      <c r="E1746" s="2"/>
      <c r="F1746" s="2"/>
      <c r="G1746" s="2"/>
      <c r="H1746" s="2"/>
      <c r="I1746" s="5"/>
    </row>
    <row r="1747" spans="1:9" ht="17.399999999999999" x14ac:dyDescent="0.25">
      <c r="A1747" s="16"/>
      <c r="B1747" s="17"/>
      <c r="C1747" s="2"/>
      <c r="D1747" s="2"/>
      <c r="E1747" s="2"/>
      <c r="F1747" s="2"/>
      <c r="G1747" s="2"/>
      <c r="H1747" s="2"/>
      <c r="I1747" s="5"/>
    </row>
    <row r="1748" spans="1:9" ht="17.399999999999999" x14ac:dyDescent="0.25">
      <c r="A1748" s="16"/>
      <c r="B1748" s="17"/>
      <c r="C1748" s="2"/>
      <c r="D1748" s="2"/>
      <c r="E1748" s="2"/>
      <c r="F1748" s="2"/>
      <c r="G1748" s="2"/>
      <c r="H1748" s="2"/>
      <c r="I1748" s="5"/>
    </row>
    <row r="1749" spans="1:9" ht="17.399999999999999" x14ac:dyDescent="0.25">
      <c r="A1749" s="16"/>
      <c r="B1749" s="17"/>
      <c r="C1749" s="2"/>
      <c r="D1749" s="2"/>
      <c r="E1749" s="2"/>
      <c r="F1749" s="2"/>
      <c r="G1749" s="2"/>
      <c r="H1749" s="2"/>
      <c r="I1749" s="5"/>
    </row>
    <row r="1750" spans="1:9" ht="17.399999999999999" x14ac:dyDescent="0.25">
      <c r="A1750" s="16"/>
      <c r="B1750" s="17"/>
      <c r="C1750" s="2"/>
      <c r="D1750" s="2"/>
      <c r="E1750" s="2"/>
      <c r="F1750" s="2"/>
      <c r="G1750" s="2"/>
      <c r="H1750" s="2"/>
      <c r="I1750" s="5"/>
    </row>
    <row r="1751" spans="1:9" ht="17.399999999999999" x14ac:dyDescent="0.25">
      <c r="A1751" s="16"/>
      <c r="B1751" s="17"/>
      <c r="C1751" s="2"/>
      <c r="D1751" s="2"/>
      <c r="E1751" s="2"/>
      <c r="F1751" s="2"/>
      <c r="G1751" s="2"/>
      <c r="H1751" s="2"/>
      <c r="I1751" s="5"/>
    </row>
    <row r="1752" spans="1:9" ht="17.399999999999999" x14ac:dyDescent="0.25">
      <c r="A1752" s="16"/>
      <c r="B1752" s="17"/>
      <c r="C1752" s="2"/>
      <c r="D1752" s="2"/>
      <c r="E1752" s="2"/>
      <c r="F1752" s="2"/>
      <c r="G1752" s="2"/>
      <c r="H1752" s="2"/>
      <c r="I1752" s="5"/>
    </row>
    <row r="1753" spans="1:9" ht="17.399999999999999" x14ac:dyDescent="0.25">
      <c r="A1753" s="16"/>
      <c r="B1753" s="17"/>
      <c r="C1753" s="2"/>
      <c r="D1753" s="2"/>
      <c r="E1753" s="2"/>
      <c r="F1753" s="2"/>
      <c r="G1753" s="2"/>
      <c r="H1753" s="2"/>
      <c r="I1753" s="5"/>
    </row>
    <row r="1754" spans="1:9" ht="17.399999999999999" x14ac:dyDescent="0.25">
      <c r="A1754" s="16"/>
      <c r="B1754" s="17"/>
      <c r="C1754" s="2"/>
      <c r="D1754" s="2"/>
      <c r="E1754" s="2"/>
      <c r="F1754" s="2"/>
      <c r="G1754" s="2"/>
      <c r="H1754" s="2"/>
      <c r="I1754" s="5"/>
    </row>
    <row r="1755" spans="1:9" ht="17.399999999999999" x14ac:dyDescent="0.25">
      <c r="A1755" s="16"/>
      <c r="B1755" s="17"/>
      <c r="C1755" s="2"/>
      <c r="D1755" s="2"/>
      <c r="E1755" s="2"/>
      <c r="F1755" s="2"/>
      <c r="G1755" s="2"/>
      <c r="H1755" s="2"/>
      <c r="I1755" s="5"/>
    </row>
    <row r="1756" spans="1:9" ht="17.399999999999999" x14ac:dyDescent="0.25">
      <c r="A1756" s="16"/>
      <c r="B1756" s="17"/>
      <c r="C1756" s="2"/>
      <c r="D1756" s="2"/>
      <c r="E1756" s="2"/>
      <c r="F1756" s="2"/>
      <c r="G1756" s="2"/>
      <c r="H1756" s="2"/>
      <c r="I1756" s="5"/>
    </row>
    <row r="1757" spans="1:9" ht="17.399999999999999" x14ac:dyDescent="0.25">
      <c r="A1757" s="16"/>
      <c r="B1757" s="17"/>
      <c r="C1757" s="2"/>
      <c r="D1757" s="2"/>
      <c r="E1757" s="2"/>
      <c r="F1757" s="2"/>
      <c r="G1757" s="2"/>
      <c r="H1757" s="2"/>
      <c r="I1757" s="5"/>
    </row>
    <row r="1758" spans="1:9" ht="17.399999999999999" x14ac:dyDescent="0.25">
      <c r="A1758" s="16"/>
      <c r="B1758" s="17"/>
      <c r="C1758" s="2"/>
      <c r="D1758" s="2"/>
      <c r="E1758" s="2"/>
      <c r="F1758" s="2"/>
      <c r="G1758" s="2"/>
      <c r="H1758" s="2"/>
      <c r="I1758" s="5"/>
    </row>
    <row r="1759" spans="1:9" ht="17.399999999999999" x14ac:dyDescent="0.25">
      <c r="A1759" s="16"/>
      <c r="B1759" s="17"/>
      <c r="C1759" s="2"/>
      <c r="D1759" s="2"/>
      <c r="E1759" s="2"/>
      <c r="F1759" s="2"/>
      <c r="G1759" s="2"/>
      <c r="H1759" s="2"/>
      <c r="I1759" s="5"/>
    </row>
    <row r="1760" spans="1:9" ht="17.399999999999999" x14ac:dyDescent="0.25">
      <c r="A1760" s="16"/>
      <c r="B1760" s="17"/>
      <c r="C1760" s="2"/>
      <c r="D1760" s="2"/>
      <c r="E1760" s="2"/>
      <c r="F1760" s="2"/>
      <c r="G1760" s="2"/>
      <c r="H1760" s="2"/>
      <c r="I1760" s="5"/>
    </row>
    <row r="1761" spans="1:9" ht="17.399999999999999" x14ac:dyDescent="0.25">
      <c r="A1761" s="16"/>
      <c r="B1761" s="17"/>
      <c r="C1761" s="2"/>
      <c r="D1761" s="2"/>
      <c r="E1761" s="2"/>
      <c r="F1761" s="2"/>
      <c r="G1761" s="2"/>
      <c r="H1761" s="2"/>
      <c r="I1761" s="5"/>
    </row>
    <row r="1762" spans="1:9" ht="17.399999999999999" x14ac:dyDescent="0.25">
      <c r="A1762" s="16"/>
      <c r="B1762" s="17"/>
      <c r="C1762" s="2"/>
      <c r="D1762" s="2"/>
      <c r="E1762" s="2"/>
      <c r="F1762" s="2"/>
      <c r="G1762" s="2"/>
      <c r="H1762" s="2"/>
      <c r="I1762" s="5"/>
    </row>
    <row r="1763" spans="1:9" ht="17.399999999999999" x14ac:dyDescent="0.25">
      <c r="A1763" s="16"/>
      <c r="B1763" s="17"/>
      <c r="C1763" s="2"/>
      <c r="D1763" s="2"/>
      <c r="E1763" s="2"/>
      <c r="F1763" s="2"/>
      <c r="G1763" s="2"/>
      <c r="H1763" s="2"/>
      <c r="I1763" s="5"/>
    </row>
    <row r="1764" spans="1:9" ht="17.399999999999999" x14ac:dyDescent="0.25">
      <c r="A1764" s="16"/>
      <c r="B1764" s="17"/>
      <c r="C1764" s="2"/>
      <c r="D1764" s="2"/>
      <c r="E1764" s="2"/>
      <c r="F1764" s="2"/>
      <c r="G1764" s="2"/>
      <c r="H1764" s="2"/>
      <c r="I1764" s="5"/>
    </row>
    <row r="1765" spans="1:9" ht="17.399999999999999" x14ac:dyDescent="0.25">
      <c r="A1765" s="16"/>
      <c r="B1765" s="17"/>
      <c r="C1765" s="2"/>
      <c r="D1765" s="2"/>
      <c r="E1765" s="2"/>
      <c r="F1765" s="2"/>
      <c r="G1765" s="2"/>
      <c r="H1765" s="2"/>
      <c r="I1765" s="5"/>
    </row>
    <row r="1766" spans="1:9" ht="17.399999999999999" x14ac:dyDescent="0.25">
      <c r="A1766" s="16"/>
      <c r="B1766" s="17"/>
      <c r="C1766" s="2"/>
      <c r="D1766" s="2"/>
      <c r="E1766" s="2"/>
      <c r="F1766" s="2"/>
      <c r="G1766" s="2"/>
      <c r="H1766" s="2"/>
      <c r="I1766" s="5"/>
    </row>
    <row r="1767" spans="1:9" ht="17.399999999999999" x14ac:dyDescent="0.25">
      <c r="A1767" s="16"/>
      <c r="B1767" s="17"/>
      <c r="C1767" s="2"/>
      <c r="D1767" s="2"/>
      <c r="E1767" s="2"/>
      <c r="F1767" s="2"/>
      <c r="G1767" s="2"/>
      <c r="H1767" s="2"/>
      <c r="I1767" s="5"/>
    </row>
    <row r="1768" spans="1:9" ht="17.399999999999999" x14ac:dyDescent="0.25">
      <c r="A1768" s="16"/>
      <c r="B1768" s="17"/>
      <c r="C1768" s="2"/>
      <c r="D1768" s="2"/>
      <c r="E1768" s="2"/>
      <c r="F1768" s="2"/>
      <c r="G1768" s="2"/>
      <c r="H1768" s="2"/>
      <c r="I1768" s="5"/>
    </row>
    <row r="1769" spans="1:9" ht="17.399999999999999" x14ac:dyDescent="0.25">
      <c r="A1769" s="16"/>
      <c r="B1769" s="17"/>
      <c r="C1769" s="2"/>
      <c r="D1769" s="2"/>
      <c r="E1769" s="2"/>
      <c r="F1769" s="2"/>
      <c r="G1769" s="2"/>
      <c r="H1769" s="2"/>
      <c r="I1769" s="5"/>
    </row>
    <row r="1770" spans="1:9" ht="17.399999999999999" x14ac:dyDescent="0.25">
      <c r="A1770" s="16"/>
      <c r="B1770" s="17"/>
      <c r="C1770" s="2"/>
      <c r="D1770" s="2"/>
      <c r="E1770" s="2"/>
      <c r="F1770" s="2"/>
      <c r="G1770" s="2"/>
      <c r="H1770" s="2"/>
      <c r="I1770" s="5"/>
    </row>
    <row r="1771" spans="1:9" ht="17.399999999999999" x14ac:dyDescent="0.25">
      <c r="A1771" s="16"/>
      <c r="B1771" s="17"/>
      <c r="C1771" s="2"/>
      <c r="D1771" s="2"/>
      <c r="E1771" s="2"/>
      <c r="F1771" s="2"/>
      <c r="G1771" s="2"/>
      <c r="H1771" s="2"/>
      <c r="I1771" s="5"/>
    </row>
    <row r="1772" spans="1:9" ht="17.399999999999999" x14ac:dyDescent="0.25">
      <c r="A1772" s="16"/>
      <c r="B1772" s="17"/>
      <c r="C1772" s="2"/>
      <c r="D1772" s="2"/>
      <c r="E1772" s="2"/>
      <c r="F1772" s="2"/>
      <c r="G1772" s="2"/>
      <c r="H1772" s="2"/>
      <c r="I1772" s="5"/>
    </row>
    <row r="1773" spans="1:9" ht="17.399999999999999" x14ac:dyDescent="0.25">
      <c r="A1773" s="16"/>
      <c r="B1773" s="17"/>
      <c r="C1773" s="2"/>
      <c r="D1773" s="2"/>
      <c r="E1773" s="2"/>
      <c r="F1773" s="2"/>
      <c r="G1773" s="2"/>
      <c r="H1773" s="2"/>
      <c r="I1773" s="5"/>
    </row>
    <row r="1774" spans="1:9" ht="17.399999999999999" x14ac:dyDescent="0.25">
      <c r="A1774" s="16"/>
      <c r="B1774" s="17"/>
      <c r="C1774" s="2"/>
      <c r="D1774" s="2"/>
      <c r="E1774" s="2"/>
      <c r="F1774" s="2"/>
      <c r="G1774" s="2"/>
      <c r="H1774" s="2"/>
      <c r="I1774" s="5"/>
    </row>
    <row r="1775" spans="1:9" ht="17.399999999999999" x14ac:dyDescent="0.25">
      <c r="A1775" s="16"/>
      <c r="B1775" s="17"/>
      <c r="C1775" s="2"/>
      <c r="D1775" s="2"/>
      <c r="E1775" s="2"/>
      <c r="F1775" s="2"/>
      <c r="G1775" s="2"/>
      <c r="H1775" s="2"/>
      <c r="I1775" s="5"/>
    </row>
    <row r="1776" spans="1:9" ht="17.399999999999999" x14ac:dyDescent="0.25">
      <c r="A1776" s="16"/>
      <c r="B1776" s="17"/>
      <c r="C1776" s="2"/>
      <c r="D1776" s="2"/>
      <c r="E1776" s="2"/>
      <c r="F1776" s="2"/>
      <c r="G1776" s="2"/>
      <c r="H1776" s="2"/>
      <c r="I1776" s="5"/>
    </row>
    <row r="1777" spans="1:9" ht="17.399999999999999" x14ac:dyDescent="0.25">
      <c r="A1777" s="16"/>
      <c r="B1777" s="17"/>
      <c r="C1777" s="2"/>
      <c r="D1777" s="2"/>
      <c r="E1777" s="2"/>
      <c r="F1777" s="2"/>
      <c r="G1777" s="2"/>
      <c r="H1777" s="2"/>
      <c r="I1777" s="5"/>
    </row>
    <row r="1778" spans="1:9" ht="17.399999999999999" x14ac:dyDescent="0.25">
      <c r="A1778" s="16"/>
      <c r="B1778" s="17"/>
      <c r="C1778" s="2"/>
      <c r="D1778" s="2"/>
      <c r="E1778" s="2"/>
      <c r="F1778" s="2"/>
      <c r="G1778" s="2"/>
      <c r="H1778" s="2"/>
      <c r="I1778" s="5"/>
    </row>
    <row r="1779" spans="1:9" ht="17.399999999999999" x14ac:dyDescent="0.25">
      <c r="A1779" s="16"/>
      <c r="B1779" s="17"/>
      <c r="C1779" s="2"/>
      <c r="D1779" s="2"/>
      <c r="E1779" s="2"/>
      <c r="F1779" s="2"/>
      <c r="G1779" s="2"/>
      <c r="H1779" s="2"/>
      <c r="I1779" s="5"/>
    </row>
    <row r="1780" spans="1:9" ht="17.399999999999999" x14ac:dyDescent="0.25">
      <c r="A1780" s="16"/>
      <c r="B1780" s="17"/>
      <c r="C1780" s="2"/>
      <c r="D1780" s="2"/>
      <c r="E1780" s="2"/>
      <c r="F1780" s="2"/>
      <c r="G1780" s="2"/>
      <c r="H1780" s="2"/>
      <c r="I1780" s="5"/>
    </row>
    <row r="1781" spans="1:9" ht="17.399999999999999" x14ac:dyDescent="0.25">
      <c r="A1781" s="16"/>
      <c r="B1781" s="17"/>
      <c r="C1781" s="2"/>
      <c r="D1781" s="2"/>
      <c r="E1781" s="2"/>
      <c r="F1781" s="2"/>
      <c r="G1781" s="2"/>
      <c r="H1781" s="2"/>
      <c r="I1781" s="5"/>
    </row>
    <row r="1782" spans="1:9" ht="17.399999999999999" x14ac:dyDescent="0.25">
      <c r="A1782" s="16"/>
      <c r="B1782" s="17"/>
      <c r="C1782" s="2"/>
      <c r="D1782" s="2"/>
      <c r="E1782" s="2"/>
      <c r="F1782" s="2"/>
      <c r="G1782" s="2"/>
      <c r="H1782" s="2"/>
      <c r="I1782" s="5"/>
    </row>
    <row r="1783" spans="1:9" ht="17.399999999999999" x14ac:dyDescent="0.25">
      <c r="A1783" s="16"/>
      <c r="B1783" s="17"/>
      <c r="C1783" s="2"/>
      <c r="D1783" s="2"/>
      <c r="E1783" s="2"/>
      <c r="F1783" s="2"/>
      <c r="G1783" s="2"/>
      <c r="H1783" s="2"/>
      <c r="I1783" s="5"/>
    </row>
    <row r="1784" spans="1:9" ht="17.399999999999999" x14ac:dyDescent="0.25">
      <c r="A1784" s="16"/>
      <c r="B1784" s="17"/>
      <c r="C1784" s="2"/>
      <c r="D1784" s="2"/>
      <c r="E1784" s="2"/>
      <c r="F1784" s="2"/>
      <c r="G1784" s="2"/>
      <c r="H1784" s="2"/>
      <c r="I1784" s="5"/>
    </row>
    <row r="1785" spans="1:9" ht="17.399999999999999" x14ac:dyDescent="0.25">
      <c r="A1785" s="16"/>
      <c r="B1785" s="17"/>
      <c r="C1785" s="2"/>
      <c r="D1785" s="2"/>
      <c r="E1785" s="2"/>
      <c r="F1785" s="2"/>
      <c r="G1785" s="2"/>
      <c r="H1785" s="2"/>
      <c r="I1785" s="5"/>
    </row>
    <row r="1786" spans="1:9" ht="17.399999999999999" x14ac:dyDescent="0.25">
      <c r="A1786" s="16"/>
      <c r="B1786" s="17"/>
      <c r="C1786" s="2"/>
      <c r="D1786" s="2"/>
      <c r="E1786" s="2"/>
      <c r="F1786" s="2"/>
      <c r="G1786" s="2"/>
      <c r="H1786" s="2"/>
      <c r="I1786" s="5"/>
    </row>
    <row r="1787" spans="1:9" ht="17.399999999999999" x14ac:dyDescent="0.25">
      <c r="A1787" s="16"/>
      <c r="B1787" s="17"/>
      <c r="C1787" s="2"/>
      <c r="D1787" s="2"/>
      <c r="E1787" s="2"/>
      <c r="F1787" s="2"/>
      <c r="G1787" s="2"/>
      <c r="H1787" s="2"/>
      <c r="I1787" s="5"/>
    </row>
    <row r="1788" spans="1:9" ht="17.399999999999999" x14ac:dyDescent="0.25">
      <c r="A1788" s="16"/>
      <c r="B1788" s="17"/>
      <c r="C1788" s="2"/>
      <c r="D1788" s="2"/>
      <c r="E1788" s="2"/>
      <c r="F1788" s="2"/>
      <c r="G1788" s="2"/>
      <c r="H1788" s="2"/>
      <c r="I1788" s="5"/>
    </row>
    <row r="1789" spans="1:9" ht="17.399999999999999" x14ac:dyDescent="0.25">
      <c r="A1789" s="16"/>
      <c r="B1789" s="17"/>
      <c r="C1789" s="2"/>
      <c r="D1789" s="2"/>
      <c r="E1789" s="2"/>
      <c r="F1789" s="2"/>
      <c r="G1789" s="2"/>
      <c r="H1789" s="2"/>
      <c r="I1789" s="5"/>
    </row>
    <row r="1790" spans="1:9" ht="17.399999999999999" x14ac:dyDescent="0.25">
      <c r="A1790" s="16"/>
      <c r="B1790" s="17"/>
      <c r="C1790" s="2"/>
      <c r="D1790" s="2"/>
      <c r="E1790" s="2"/>
      <c r="F1790" s="2"/>
      <c r="G1790" s="2"/>
      <c r="H1790" s="2"/>
      <c r="I1790" s="5"/>
    </row>
    <row r="1791" spans="1:9" ht="17.399999999999999" x14ac:dyDescent="0.25">
      <c r="A1791" s="16"/>
      <c r="B1791" s="17"/>
      <c r="C1791" s="2"/>
      <c r="D1791" s="2"/>
      <c r="E1791" s="2"/>
      <c r="F1791" s="2"/>
      <c r="G1791" s="2"/>
      <c r="H1791" s="2"/>
      <c r="I1791" s="5"/>
    </row>
    <row r="1792" spans="1:9" ht="17.399999999999999" x14ac:dyDescent="0.25">
      <c r="A1792" s="16"/>
      <c r="B1792" s="17"/>
      <c r="C1792" s="2"/>
      <c r="D1792" s="2"/>
      <c r="E1792" s="2"/>
      <c r="F1792" s="2"/>
      <c r="G1792" s="2"/>
      <c r="H1792" s="2"/>
      <c r="I1792" s="5"/>
    </row>
    <row r="1793" spans="1:9" ht="17.399999999999999" x14ac:dyDescent="0.25">
      <c r="A1793" s="16"/>
      <c r="B1793" s="17"/>
      <c r="C1793" s="2"/>
      <c r="D1793" s="2"/>
      <c r="E1793" s="2"/>
      <c r="F1793" s="2"/>
      <c r="G1793" s="2"/>
      <c r="H1793" s="2"/>
      <c r="I1793" s="5"/>
    </row>
    <row r="1794" spans="1:9" ht="17.399999999999999" x14ac:dyDescent="0.25">
      <c r="A1794" s="16"/>
      <c r="B1794" s="17"/>
      <c r="C1794" s="2"/>
      <c r="D1794" s="2"/>
      <c r="E1794" s="2"/>
      <c r="F1794" s="2"/>
      <c r="G1794" s="2"/>
      <c r="H1794" s="2"/>
      <c r="I1794" s="5"/>
    </row>
    <row r="1795" spans="1:9" ht="17.399999999999999" x14ac:dyDescent="0.25">
      <c r="A1795" s="16"/>
      <c r="B1795" s="17"/>
      <c r="C1795" s="2"/>
      <c r="D1795" s="2"/>
      <c r="E1795" s="2"/>
      <c r="F1795" s="2"/>
      <c r="G1795" s="2"/>
      <c r="H1795" s="2"/>
      <c r="I1795" s="5"/>
    </row>
    <row r="1796" spans="1:9" ht="17.399999999999999" x14ac:dyDescent="0.25">
      <c r="A1796" s="16"/>
      <c r="B1796" s="17"/>
      <c r="C1796" s="2"/>
      <c r="D1796" s="2"/>
      <c r="E1796" s="2"/>
      <c r="F1796" s="2"/>
      <c r="G1796" s="2"/>
      <c r="H1796" s="2"/>
      <c r="I1796" s="5"/>
    </row>
    <row r="1797" spans="1:9" ht="17.399999999999999" x14ac:dyDescent="0.25">
      <c r="A1797" s="16"/>
      <c r="B1797" s="17"/>
      <c r="C1797" s="2"/>
      <c r="D1797" s="2"/>
      <c r="E1797" s="2"/>
      <c r="F1797" s="2"/>
      <c r="G1797" s="2"/>
      <c r="H1797" s="2"/>
      <c r="I1797" s="5"/>
    </row>
    <row r="1798" spans="1:9" ht="17.399999999999999" x14ac:dyDescent="0.25">
      <c r="A1798" s="16"/>
      <c r="B1798" s="17"/>
      <c r="C1798" s="2"/>
      <c r="D1798" s="2"/>
      <c r="E1798" s="2"/>
      <c r="F1798" s="2"/>
      <c r="G1798" s="2"/>
      <c r="H1798" s="2"/>
      <c r="I1798" s="5"/>
    </row>
    <row r="1799" spans="1:9" ht="17.399999999999999" x14ac:dyDescent="0.25">
      <c r="A1799" s="16"/>
      <c r="B1799" s="17"/>
      <c r="C1799" s="2"/>
      <c r="D1799" s="2"/>
      <c r="E1799" s="2"/>
      <c r="F1799" s="2"/>
      <c r="G1799" s="2"/>
      <c r="H1799" s="2"/>
      <c r="I1799" s="5"/>
    </row>
    <row r="1800" spans="1:9" ht="17.399999999999999" x14ac:dyDescent="0.25">
      <c r="A1800" s="16"/>
      <c r="B1800" s="17"/>
      <c r="C1800" s="2"/>
      <c r="D1800" s="2"/>
      <c r="E1800" s="2"/>
      <c r="F1800" s="2"/>
      <c r="G1800" s="2"/>
      <c r="H1800" s="2"/>
      <c r="I1800" s="5"/>
    </row>
    <row r="1801" spans="1:9" ht="17.399999999999999" x14ac:dyDescent="0.25">
      <c r="A1801" s="16"/>
      <c r="B1801" s="17"/>
      <c r="C1801" s="2"/>
      <c r="D1801" s="2"/>
      <c r="E1801" s="2"/>
      <c r="F1801" s="2"/>
      <c r="G1801" s="2"/>
      <c r="H1801" s="2"/>
      <c r="I1801" s="5"/>
    </row>
    <row r="1802" spans="1:9" ht="17.399999999999999" x14ac:dyDescent="0.25">
      <c r="A1802" s="16"/>
      <c r="B1802" s="17"/>
      <c r="C1802" s="2"/>
      <c r="D1802" s="2"/>
      <c r="E1802" s="2"/>
      <c r="F1802" s="2"/>
      <c r="G1802" s="2"/>
      <c r="H1802" s="2"/>
      <c r="I1802" s="5"/>
    </row>
    <row r="1803" spans="1:9" ht="17.399999999999999" x14ac:dyDescent="0.25">
      <c r="A1803" s="16"/>
      <c r="B1803" s="17"/>
      <c r="C1803" s="2"/>
      <c r="D1803" s="2"/>
      <c r="E1803" s="2"/>
      <c r="F1803" s="2"/>
      <c r="G1803" s="2"/>
      <c r="H1803" s="2"/>
      <c r="I1803" s="5"/>
    </row>
    <row r="1804" spans="1:9" ht="17.399999999999999" x14ac:dyDescent="0.25">
      <c r="A1804" s="16"/>
      <c r="B1804" s="17"/>
      <c r="C1804" s="2"/>
      <c r="D1804" s="2"/>
      <c r="E1804" s="2"/>
      <c r="F1804" s="2"/>
      <c r="G1804" s="2"/>
      <c r="H1804" s="2"/>
      <c r="I1804" s="5"/>
    </row>
    <row r="1805" spans="1:9" ht="17.399999999999999" x14ac:dyDescent="0.25">
      <c r="A1805" s="16"/>
      <c r="B1805" s="17"/>
      <c r="C1805" s="2"/>
      <c r="D1805" s="2"/>
      <c r="E1805" s="2"/>
      <c r="F1805" s="2"/>
      <c r="G1805" s="2"/>
      <c r="H1805" s="2"/>
      <c r="I1805" s="5"/>
    </row>
    <row r="1806" spans="1:9" ht="17.399999999999999" x14ac:dyDescent="0.25">
      <c r="A1806" s="16"/>
      <c r="B1806" s="17"/>
      <c r="C1806" s="2"/>
      <c r="D1806" s="2"/>
      <c r="E1806" s="2"/>
      <c r="F1806" s="2"/>
      <c r="G1806" s="2"/>
      <c r="H1806" s="2"/>
      <c r="I1806" s="5"/>
    </row>
    <row r="1807" spans="1:9" ht="17.399999999999999" x14ac:dyDescent="0.25">
      <c r="A1807" s="16"/>
      <c r="B1807" s="17"/>
      <c r="C1807" s="2"/>
      <c r="D1807" s="2"/>
      <c r="E1807" s="2"/>
      <c r="F1807" s="2"/>
      <c r="G1807" s="2"/>
      <c r="H1807" s="2"/>
      <c r="I1807" s="5"/>
    </row>
    <row r="1808" spans="1:9" ht="17.399999999999999" x14ac:dyDescent="0.25">
      <c r="A1808" s="16"/>
      <c r="B1808" s="17"/>
      <c r="C1808" s="2"/>
      <c r="D1808" s="2"/>
      <c r="E1808" s="2"/>
      <c r="F1808" s="2"/>
      <c r="G1808" s="2"/>
      <c r="H1808" s="2"/>
      <c r="I1808" s="5"/>
    </row>
    <row r="1809" spans="1:9" ht="17.399999999999999" x14ac:dyDescent="0.25">
      <c r="A1809" s="16"/>
      <c r="B1809" s="17"/>
      <c r="C1809" s="2"/>
      <c r="D1809" s="2"/>
      <c r="E1809" s="2"/>
      <c r="F1809" s="2"/>
      <c r="G1809" s="2"/>
      <c r="H1809" s="2"/>
      <c r="I1809" s="5"/>
    </row>
    <row r="1810" spans="1:9" ht="17.399999999999999" x14ac:dyDescent="0.25">
      <c r="A1810" s="16"/>
      <c r="B1810" s="17"/>
      <c r="C1810" s="2"/>
      <c r="D1810" s="2"/>
      <c r="E1810" s="2"/>
      <c r="F1810" s="2"/>
      <c r="G1810" s="2"/>
      <c r="H1810" s="2"/>
      <c r="I1810" s="5"/>
    </row>
    <row r="1811" spans="1:9" ht="17.399999999999999" x14ac:dyDescent="0.25">
      <c r="A1811" s="16"/>
      <c r="B1811" s="17"/>
      <c r="C1811" s="2"/>
      <c r="D1811" s="2"/>
      <c r="E1811" s="2"/>
      <c r="F1811" s="2"/>
      <c r="G1811" s="2"/>
      <c r="H1811" s="2"/>
      <c r="I1811" s="5"/>
    </row>
    <row r="1812" spans="1:9" ht="17.399999999999999" x14ac:dyDescent="0.25">
      <c r="A1812" s="16"/>
      <c r="B1812" s="17"/>
      <c r="C1812" s="2"/>
      <c r="D1812" s="2"/>
      <c r="E1812" s="2"/>
      <c r="F1812" s="2"/>
      <c r="G1812" s="2"/>
      <c r="H1812" s="2"/>
      <c r="I1812" s="5"/>
    </row>
    <row r="1813" spans="1:9" ht="17.399999999999999" x14ac:dyDescent="0.25">
      <c r="A1813" s="16"/>
      <c r="B1813" s="17"/>
      <c r="C1813" s="2"/>
      <c r="D1813" s="2"/>
      <c r="E1813" s="2"/>
      <c r="F1813" s="2"/>
      <c r="G1813" s="2"/>
      <c r="H1813" s="2"/>
      <c r="I1813" s="5"/>
    </row>
    <row r="1814" spans="1:9" ht="17.399999999999999" x14ac:dyDescent="0.25">
      <c r="A1814" s="16"/>
      <c r="B1814" s="17"/>
      <c r="C1814" s="2"/>
      <c r="D1814" s="2"/>
      <c r="E1814" s="2"/>
      <c r="F1814" s="2"/>
      <c r="G1814" s="2"/>
      <c r="H1814" s="2"/>
      <c r="I1814" s="5"/>
    </row>
    <row r="1815" spans="1:9" ht="17.399999999999999" x14ac:dyDescent="0.25">
      <c r="A1815" s="16"/>
      <c r="B1815" s="17"/>
      <c r="C1815" s="2"/>
      <c r="D1815" s="2"/>
      <c r="E1815" s="2"/>
      <c r="F1815" s="2"/>
      <c r="G1815" s="2"/>
      <c r="H1815" s="2"/>
      <c r="I1815" s="5"/>
    </row>
    <row r="1816" spans="1:9" ht="17.399999999999999" x14ac:dyDescent="0.25">
      <c r="A1816" s="16"/>
      <c r="B1816" s="17"/>
      <c r="C1816" s="2"/>
      <c r="D1816" s="2"/>
      <c r="E1816" s="2"/>
      <c r="F1816" s="2"/>
      <c r="G1816" s="2"/>
      <c r="H1816" s="2"/>
      <c r="I1816" s="5"/>
    </row>
    <row r="1817" spans="1:9" ht="17.399999999999999" x14ac:dyDescent="0.25">
      <c r="A1817" s="16"/>
      <c r="B1817" s="17"/>
      <c r="C1817" s="2"/>
      <c r="D1817" s="2"/>
      <c r="E1817" s="2"/>
      <c r="F1817" s="2"/>
      <c r="G1817" s="2"/>
      <c r="H1817" s="2"/>
      <c r="I1817" s="5"/>
    </row>
    <row r="1818" spans="1:9" ht="17.399999999999999" x14ac:dyDescent="0.25">
      <c r="A1818" s="16"/>
      <c r="B1818" s="17"/>
      <c r="C1818" s="2"/>
      <c r="D1818" s="2"/>
      <c r="E1818" s="2"/>
      <c r="F1818" s="2"/>
      <c r="G1818" s="2"/>
      <c r="H1818" s="2"/>
      <c r="I1818" s="5"/>
    </row>
    <row r="1819" spans="1:9" ht="17.399999999999999" x14ac:dyDescent="0.25">
      <c r="A1819" s="16"/>
      <c r="B1819" s="17"/>
      <c r="C1819" s="2"/>
      <c r="D1819" s="2"/>
      <c r="E1819" s="2"/>
      <c r="F1819" s="2"/>
      <c r="G1819" s="2"/>
      <c r="H1819" s="2"/>
      <c r="I1819" s="5"/>
    </row>
    <row r="1820" spans="1:9" ht="17.399999999999999" x14ac:dyDescent="0.25">
      <c r="A1820" s="16"/>
      <c r="B1820" s="17"/>
      <c r="C1820" s="2"/>
      <c r="D1820" s="2"/>
      <c r="E1820" s="2"/>
      <c r="F1820" s="2"/>
      <c r="G1820" s="2"/>
      <c r="H1820" s="2"/>
      <c r="I1820" s="5"/>
    </row>
    <row r="1821" spans="1:9" ht="17.399999999999999" x14ac:dyDescent="0.25">
      <c r="A1821" s="16"/>
      <c r="B1821" s="17"/>
      <c r="C1821" s="2"/>
      <c r="D1821" s="2"/>
      <c r="E1821" s="2"/>
      <c r="F1821" s="2"/>
      <c r="G1821" s="2"/>
      <c r="H1821" s="2"/>
      <c r="I1821" s="5"/>
    </row>
    <row r="1822" spans="1:9" ht="17.399999999999999" x14ac:dyDescent="0.25">
      <c r="A1822" s="16"/>
      <c r="B1822" s="17"/>
      <c r="C1822" s="2"/>
      <c r="D1822" s="2"/>
      <c r="E1822" s="2"/>
      <c r="F1822" s="2"/>
      <c r="G1822" s="2"/>
      <c r="H1822" s="2"/>
      <c r="I1822" s="5"/>
    </row>
    <row r="1823" spans="1:9" ht="17.399999999999999" x14ac:dyDescent="0.25">
      <c r="A1823" s="16"/>
      <c r="B1823" s="17"/>
      <c r="C1823" s="2"/>
      <c r="D1823" s="2"/>
      <c r="E1823" s="2"/>
      <c r="F1823" s="2"/>
      <c r="G1823" s="2"/>
      <c r="H1823" s="2"/>
      <c r="I1823" s="5"/>
    </row>
    <row r="1824" spans="1:9" ht="17.399999999999999" x14ac:dyDescent="0.25">
      <c r="A1824" s="16"/>
      <c r="B1824" s="17"/>
      <c r="C1824" s="2"/>
      <c r="D1824" s="2"/>
      <c r="E1824" s="2"/>
      <c r="F1824" s="2"/>
      <c r="G1824" s="2"/>
      <c r="H1824" s="2"/>
      <c r="I1824" s="5"/>
    </row>
    <row r="1825" spans="1:9" ht="17.399999999999999" x14ac:dyDescent="0.25">
      <c r="A1825" s="16"/>
      <c r="B1825" s="17"/>
      <c r="C1825" s="2"/>
      <c r="D1825" s="2"/>
      <c r="E1825" s="2"/>
      <c r="F1825" s="2"/>
      <c r="G1825" s="2"/>
      <c r="H1825" s="2"/>
      <c r="I1825" s="5"/>
    </row>
    <row r="1826" spans="1:9" ht="17.399999999999999" x14ac:dyDescent="0.25">
      <c r="A1826" s="16"/>
      <c r="B1826" s="17"/>
      <c r="C1826" s="2"/>
      <c r="D1826" s="2"/>
      <c r="E1826" s="2"/>
      <c r="F1826" s="2"/>
      <c r="G1826" s="2"/>
      <c r="H1826" s="2"/>
      <c r="I1826" s="5"/>
    </row>
    <row r="1827" spans="1:9" ht="17.399999999999999" x14ac:dyDescent="0.25">
      <c r="A1827" s="16"/>
      <c r="B1827" s="17"/>
      <c r="C1827" s="2"/>
      <c r="D1827" s="2"/>
      <c r="E1827" s="2"/>
      <c r="F1827" s="2"/>
      <c r="G1827" s="2"/>
      <c r="H1827" s="2"/>
      <c r="I1827" s="5"/>
    </row>
    <row r="1828" spans="1:9" ht="17.399999999999999" x14ac:dyDescent="0.25">
      <c r="A1828" s="16"/>
      <c r="B1828" s="17"/>
      <c r="C1828" s="2"/>
      <c r="D1828" s="2"/>
      <c r="E1828" s="2"/>
      <c r="F1828" s="2"/>
      <c r="G1828" s="2"/>
      <c r="H1828" s="2"/>
      <c r="I1828" s="5"/>
    </row>
    <row r="1829" spans="1:9" ht="17.399999999999999" x14ac:dyDescent="0.25">
      <c r="A1829" s="16"/>
      <c r="B1829" s="17"/>
      <c r="C1829" s="2"/>
      <c r="D1829" s="2"/>
      <c r="E1829" s="2"/>
      <c r="F1829" s="2"/>
      <c r="G1829" s="2"/>
      <c r="H1829" s="2"/>
      <c r="I1829" s="5"/>
    </row>
    <row r="1830" spans="1:9" ht="17.399999999999999" x14ac:dyDescent="0.25">
      <c r="A1830" s="16"/>
      <c r="B1830" s="17"/>
      <c r="C1830" s="2"/>
      <c r="D1830" s="2"/>
      <c r="E1830" s="2"/>
      <c r="F1830" s="2"/>
      <c r="G1830" s="2"/>
      <c r="H1830" s="2"/>
      <c r="I1830" s="5"/>
    </row>
    <row r="1831" spans="1:9" ht="17.399999999999999" x14ac:dyDescent="0.25">
      <c r="A1831" s="16"/>
      <c r="B1831" s="17"/>
      <c r="C1831" s="2"/>
      <c r="D1831" s="2"/>
      <c r="E1831" s="2"/>
      <c r="F1831" s="2"/>
      <c r="G1831" s="2"/>
      <c r="H1831" s="2"/>
      <c r="I1831" s="5"/>
    </row>
    <row r="1832" spans="1:9" ht="17.399999999999999" x14ac:dyDescent="0.25">
      <c r="A1832" s="16"/>
      <c r="B1832" s="17"/>
      <c r="C1832" s="2"/>
      <c r="D1832" s="2"/>
      <c r="E1832" s="2"/>
      <c r="F1832" s="2"/>
      <c r="G1832" s="2"/>
      <c r="H1832" s="2"/>
      <c r="I1832" s="5"/>
    </row>
    <row r="1833" spans="1:9" ht="17.399999999999999" x14ac:dyDescent="0.25">
      <c r="A1833" s="16"/>
      <c r="B1833" s="17"/>
      <c r="C1833" s="2"/>
      <c r="D1833" s="2"/>
      <c r="E1833" s="2"/>
      <c r="F1833" s="2"/>
      <c r="G1833" s="2"/>
      <c r="H1833" s="2"/>
      <c r="I1833" s="5"/>
    </row>
    <row r="1834" spans="1:9" ht="17.399999999999999" x14ac:dyDescent="0.25">
      <c r="A1834" s="16"/>
      <c r="B1834" s="17"/>
      <c r="C1834" s="2"/>
      <c r="D1834" s="2"/>
      <c r="E1834" s="2"/>
      <c r="F1834" s="2"/>
      <c r="G1834" s="2"/>
      <c r="H1834" s="2"/>
      <c r="I1834" s="5"/>
    </row>
    <row r="1835" spans="1:9" ht="17.399999999999999" x14ac:dyDescent="0.25">
      <c r="A1835" s="16"/>
      <c r="B1835" s="17"/>
      <c r="C1835" s="2"/>
      <c r="D1835" s="2"/>
      <c r="E1835" s="2"/>
      <c r="F1835" s="2"/>
      <c r="G1835" s="2"/>
      <c r="H1835" s="2"/>
      <c r="I1835" s="5"/>
    </row>
    <row r="1836" spans="1:9" ht="17.399999999999999" x14ac:dyDescent="0.25">
      <c r="A1836" s="16"/>
      <c r="B1836" s="17"/>
      <c r="C1836" s="2"/>
      <c r="D1836" s="2"/>
      <c r="E1836" s="2"/>
      <c r="F1836" s="2"/>
      <c r="G1836" s="2"/>
      <c r="H1836" s="2"/>
      <c r="I1836" s="5"/>
    </row>
    <row r="1837" spans="1:9" ht="17.399999999999999" x14ac:dyDescent="0.25">
      <c r="A1837" s="16"/>
      <c r="B1837" s="17"/>
      <c r="C1837" s="2"/>
      <c r="D1837" s="2"/>
      <c r="E1837" s="2"/>
      <c r="F1837" s="2"/>
      <c r="G1837" s="2"/>
      <c r="H1837" s="2"/>
      <c r="I1837" s="5"/>
    </row>
    <row r="1838" spans="1:9" ht="17.399999999999999" x14ac:dyDescent="0.25">
      <c r="A1838" s="16"/>
      <c r="B1838" s="17"/>
      <c r="C1838" s="2"/>
      <c r="D1838" s="2"/>
      <c r="E1838" s="2"/>
      <c r="F1838" s="2"/>
      <c r="G1838" s="2"/>
      <c r="H1838" s="2"/>
      <c r="I1838" s="5"/>
    </row>
    <row r="1839" spans="1:9" ht="17.399999999999999" x14ac:dyDescent="0.25">
      <c r="A1839" s="16"/>
      <c r="B1839" s="17"/>
      <c r="C1839" s="2"/>
      <c r="D1839" s="2"/>
      <c r="E1839" s="2"/>
      <c r="F1839" s="2"/>
      <c r="G1839" s="2"/>
      <c r="H1839" s="2"/>
      <c r="I1839" s="5"/>
    </row>
    <row r="1840" spans="1:9" ht="17.399999999999999" x14ac:dyDescent="0.25">
      <c r="A1840" s="16"/>
      <c r="B1840" s="17"/>
      <c r="C1840" s="2"/>
      <c r="D1840" s="2"/>
      <c r="E1840" s="2"/>
      <c r="F1840" s="2"/>
      <c r="G1840" s="2"/>
      <c r="H1840" s="2"/>
      <c r="I1840" s="5"/>
    </row>
    <row r="1841" spans="1:9" ht="17.399999999999999" x14ac:dyDescent="0.25">
      <c r="A1841" s="16"/>
      <c r="B1841" s="17"/>
      <c r="C1841" s="2"/>
      <c r="D1841" s="2"/>
      <c r="E1841" s="2"/>
      <c r="F1841" s="2"/>
      <c r="G1841" s="2"/>
      <c r="H1841" s="2"/>
      <c r="I1841" s="5"/>
    </row>
    <row r="1842" spans="1:9" ht="17.399999999999999" x14ac:dyDescent="0.25">
      <c r="A1842" s="16"/>
      <c r="B1842" s="17"/>
      <c r="C1842" s="2"/>
      <c r="D1842" s="2"/>
      <c r="E1842" s="2"/>
      <c r="F1842" s="2"/>
      <c r="G1842" s="2"/>
      <c r="H1842" s="2"/>
      <c r="I1842" s="5"/>
    </row>
    <row r="1843" spans="1:9" ht="17.399999999999999" x14ac:dyDescent="0.25">
      <c r="A1843" s="16"/>
      <c r="B1843" s="17"/>
      <c r="C1843" s="2"/>
      <c r="D1843" s="2"/>
      <c r="E1843" s="2"/>
      <c r="F1843" s="2"/>
      <c r="G1843" s="2"/>
      <c r="H1843" s="2"/>
      <c r="I1843" s="5"/>
    </row>
    <row r="1844" spans="1:9" ht="17.399999999999999" x14ac:dyDescent="0.25">
      <c r="A1844" s="16"/>
      <c r="B1844" s="17"/>
      <c r="C1844" s="2"/>
      <c r="D1844" s="2"/>
      <c r="E1844" s="2"/>
      <c r="F1844" s="2"/>
      <c r="G1844" s="2"/>
      <c r="H1844" s="2"/>
      <c r="I1844" s="5"/>
    </row>
    <row r="1845" spans="1:9" ht="17.399999999999999" x14ac:dyDescent="0.25">
      <c r="A1845" s="16"/>
      <c r="B1845" s="17"/>
      <c r="C1845" s="2"/>
      <c r="D1845" s="2"/>
      <c r="E1845" s="2"/>
      <c r="F1845" s="2"/>
      <c r="G1845" s="2"/>
      <c r="H1845" s="2"/>
      <c r="I1845" s="5"/>
    </row>
    <row r="1846" spans="1:9" ht="17.399999999999999" x14ac:dyDescent="0.25">
      <c r="A1846" s="16"/>
      <c r="B1846" s="17"/>
      <c r="C1846" s="2"/>
      <c r="D1846" s="2"/>
      <c r="E1846" s="2"/>
      <c r="F1846" s="2"/>
      <c r="G1846" s="2"/>
      <c r="H1846" s="2"/>
      <c r="I1846" s="5"/>
    </row>
    <row r="1847" spans="1:9" ht="17.399999999999999" x14ac:dyDescent="0.25">
      <c r="A1847" s="16"/>
      <c r="B1847" s="17"/>
      <c r="C1847" s="2"/>
      <c r="D1847" s="2"/>
      <c r="E1847" s="2"/>
      <c r="F1847" s="2"/>
      <c r="G1847" s="2"/>
      <c r="H1847" s="2"/>
      <c r="I1847" s="5"/>
    </row>
    <row r="1848" spans="1:9" ht="17.399999999999999" x14ac:dyDescent="0.25">
      <c r="A1848" s="16"/>
      <c r="B1848" s="17"/>
      <c r="C1848" s="2"/>
      <c r="D1848" s="2"/>
      <c r="E1848" s="2"/>
      <c r="F1848" s="2"/>
      <c r="G1848" s="2"/>
      <c r="H1848" s="2"/>
      <c r="I1848" s="5"/>
    </row>
    <row r="1849" spans="1:9" ht="17.399999999999999" x14ac:dyDescent="0.25">
      <c r="A1849" s="16"/>
      <c r="B1849" s="17"/>
      <c r="C1849" s="2"/>
      <c r="D1849" s="2"/>
      <c r="E1849" s="2"/>
      <c r="F1849" s="2"/>
      <c r="G1849" s="2"/>
      <c r="H1849" s="2"/>
      <c r="I1849" s="5"/>
    </row>
    <row r="1850" spans="1:9" ht="17.399999999999999" x14ac:dyDescent="0.25">
      <c r="A1850" s="16"/>
      <c r="B1850" s="17"/>
      <c r="C1850" s="2"/>
      <c r="D1850" s="2"/>
      <c r="E1850" s="2"/>
      <c r="F1850" s="2"/>
      <c r="G1850" s="2"/>
      <c r="H1850" s="2"/>
      <c r="I1850" s="5"/>
    </row>
    <row r="1851" spans="1:9" ht="17.399999999999999" x14ac:dyDescent="0.25">
      <c r="A1851" s="16"/>
      <c r="B1851" s="17"/>
      <c r="C1851" s="2"/>
      <c r="D1851" s="2"/>
      <c r="E1851" s="2"/>
      <c r="F1851" s="2"/>
      <c r="G1851" s="2"/>
      <c r="H1851" s="2"/>
      <c r="I1851" s="5"/>
    </row>
    <row r="1852" spans="1:9" ht="17.399999999999999" x14ac:dyDescent="0.25">
      <c r="A1852" s="16"/>
      <c r="B1852" s="17"/>
      <c r="C1852" s="2"/>
      <c r="D1852" s="2"/>
      <c r="E1852" s="2"/>
      <c r="F1852" s="2"/>
      <c r="G1852" s="2"/>
      <c r="H1852" s="2"/>
      <c r="I1852" s="5"/>
    </row>
    <row r="1853" spans="1:9" ht="17.399999999999999" x14ac:dyDescent="0.25">
      <c r="A1853" s="16"/>
      <c r="B1853" s="17"/>
      <c r="C1853" s="2"/>
      <c r="D1853" s="2"/>
      <c r="E1853" s="2"/>
      <c r="F1853" s="2"/>
      <c r="G1853" s="2"/>
      <c r="H1853" s="2"/>
      <c r="I1853" s="5"/>
    </row>
    <row r="1854" spans="1:9" ht="17.399999999999999" x14ac:dyDescent="0.25">
      <c r="A1854" s="16"/>
      <c r="B1854" s="17"/>
      <c r="C1854" s="2"/>
      <c r="D1854" s="2"/>
      <c r="E1854" s="2"/>
      <c r="F1854" s="2"/>
      <c r="G1854" s="2"/>
      <c r="H1854" s="2"/>
      <c r="I1854" s="5"/>
    </row>
    <row r="1855" spans="1:9" ht="17.399999999999999" x14ac:dyDescent="0.25">
      <c r="A1855" s="16"/>
      <c r="B1855" s="17"/>
      <c r="C1855" s="2"/>
      <c r="D1855" s="2"/>
      <c r="E1855" s="2"/>
      <c r="F1855" s="2"/>
      <c r="G1855" s="2"/>
      <c r="H1855" s="2"/>
      <c r="I1855" s="5"/>
    </row>
    <row r="1856" spans="1:9" ht="17.399999999999999" x14ac:dyDescent="0.25">
      <c r="A1856" s="16"/>
      <c r="B1856" s="17"/>
      <c r="C1856" s="2"/>
      <c r="D1856" s="2"/>
      <c r="E1856" s="2"/>
      <c r="F1856" s="2"/>
      <c r="G1856" s="2"/>
      <c r="H1856" s="2"/>
      <c r="I1856" s="5"/>
    </row>
    <row r="1857" spans="1:9" ht="17.399999999999999" x14ac:dyDescent="0.25">
      <c r="A1857" s="16"/>
      <c r="B1857" s="17"/>
      <c r="C1857" s="2"/>
      <c r="D1857" s="2"/>
      <c r="E1857" s="2"/>
      <c r="F1857" s="2"/>
      <c r="G1857" s="2"/>
      <c r="H1857" s="2"/>
      <c r="I1857" s="5"/>
    </row>
    <row r="1858" spans="1:9" ht="17.399999999999999" x14ac:dyDescent="0.25">
      <c r="A1858" s="16"/>
      <c r="B1858" s="17"/>
      <c r="C1858" s="2"/>
      <c r="D1858" s="2"/>
      <c r="E1858" s="2"/>
      <c r="F1858" s="2"/>
      <c r="G1858" s="2"/>
      <c r="H1858" s="2"/>
      <c r="I1858" s="5"/>
    </row>
    <row r="1859" spans="1:9" ht="17.399999999999999" x14ac:dyDescent="0.25">
      <c r="A1859" s="16"/>
      <c r="B1859" s="17"/>
      <c r="C1859" s="2"/>
      <c r="D1859" s="2"/>
      <c r="E1859" s="2"/>
      <c r="F1859" s="2"/>
      <c r="G1859" s="2"/>
      <c r="H1859" s="2"/>
      <c r="I1859" s="5"/>
    </row>
    <row r="1860" spans="1:9" ht="17.399999999999999" x14ac:dyDescent="0.25">
      <c r="A1860" s="16"/>
      <c r="B1860" s="17"/>
      <c r="C1860" s="2"/>
      <c r="D1860" s="2"/>
      <c r="E1860" s="2"/>
      <c r="F1860" s="2"/>
      <c r="G1860" s="2"/>
      <c r="H1860" s="2"/>
      <c r="I1860" s="5"/>
    </row>
    <row r="1861" spans="1:9" ht="17.399999999999999" x14ac:dyDescent="0.25">
      <c r="A1861" s="16"/>
      <c r="B1861" s="17"/>
      <c r="C1861" s="2"/>
      <c r="D1861" s="2"/>
      <c r="E1861" s="2"/>
      <c r="F1861" s="2"/>
      <c r="G1861" s="2"/>
      <c r="H1861" s="2"/>
      <c r="I1861" s="5"/>
    </row>
    <row r="1862" spans="1:9" ht="17.399999999999999" x14ac:dyDescent="0.25">
      <c r="A1862" s="16"/>
      <c r="B1862" s="17"/>
      <c r="C1862" s="2"/>
      <c r="D1862" s="2"/>
      <c r="E1862" s="2"/>
      <c r="F1862" s="2"/>
      <c r="G1862" s="2"/>
      <c r="H1862" s="2"/>
      <c r="I1862" s="5"/>
    </row>
    <row r="1863" spans="1:9" ht="17.399999999999999" x14ac:dyDescent="0.25">
      <c r="A1863" s="16"/>
      <c r="B1863" s="17"/>
      <c r="C1863" s="2"/>
      <c r="D1863" s="2"/>
      <c r="E1863" s="2"/>
      <c r="F1863" s="2"/>
      <c r="G1863" s="2"/>
      <c r="H1863" s="2"/>
      <c r="I1863" s="5"/>
    </row>
    <row r="1864" spans="1:9" ht="17.399999999999999" x14ac:dyDescent="0.25">
      <c r="A1864" s="16"/>
      <c r="B1864" s="17"/>
      <c r="C1864" s="2"/>
      <c r="D1864" s="2"/>
      <c r="E1864" s="2"/>
      <c r="F1864" s="2"/>
      <c r="G1864" s="2"/>
      <c r="H1864" s="2"/>
      <c r="I1864" s="5"/>
    </row>
    <row r="1865" spans="1:9" ht="17.399999999999999" x14ac:dyDescent="0.25">
      <c r="A1865" s="16"/>
      <c r="B1865" s="17"/>
      <c r="C1865" s="2"/>
      <c r="D1865" s="2"/>
      <c r="E1865" s="2"/>
      <c r="F1865" s="2"/>
      <c r="G1865" s="2"/>
      <c r="H1865" s="2"/>
      <c r="I1865" s="5"/>
    </row>
    <row r="1866" spans="1:9" ht="17.399999999999999" x14ac:dyDescent="0.25">
      <c r="A1866" s="16"/>
      <c r="B1866" s="17"/>
      <c r="C1866" s="2"/>
      <c r="D1866" s="2"/>
      <c r="E1866" s="2"/>
      <c r="F1866" s="2"/>
      <c r="G1866" s="2"/>
      <c r="H1866" s="2"/>
      <c r="I1866" s="5"/>
    </row>
    <row r="1867" spans="1:9" ht="17.399999999999999" x14ac:dyDescent="0.25">
      <c r="A1867" s="16"/>
      <c r="B1867" s="17"/>
      <c r="C1867" s="2"/>
      <c r="D1867" s="2"/>
      <c r="E1867" s="2"/>
      <c r="F1867" s="2"/>
      <c r="G1867" s="2"/>
      <c r="H1867" s="2"/>
      <c r="I1867" s="5"/>
    </row>
    <row r="1868" spans="1:9" ht="17.399999999999999" x14ac:dyDescent="0.25">
      <c r="A1868" s="16"/>
      <c r="B1868" s="17"/>
      <c r="C1868" s="2"/>
      <c r="D1868" s="2"/>
      <c r="E1868" s="2"/>
      <c r="F1868" s="2"/>
      <c r="G1868" s="2"/>
      <c r="H1868" s="2"/>
      <c r="I1868" s="5"/>
    </row>
    <row r="1869" spans="1:9" ht="17.399999999999999" x14ac:dyDescent="0.25">
      <c r="A1869" s="16"/>
      <c r="B1869" s="17"/>
      <c r="C1869" s="2"/>
      <c r="D1869" s="2"/>
      <c r="E1869" s="2"/>
      <c r="F1869" s="2"/>
      <c r="G1869" s="2"/>
      <c r="H1869" s="2"/>
      <c r="I1869" s="5"/>
    </row>
    <row r="1870" spans="1:9" ht="17.399999999999999" x14ac:dyDescent="0.25">
      <c r="A1870" s="16"/>
      <c r="B1870" s="17"/>
      <c r="C1870" s="2"/>
      <c r="D1870" s="2"/>
      <c r="E1870" s="2"/>
      <c r="F1870" s="2"/>
      <c r="G1870" s="2"/>
      <c r="H1870" s="2"/>
      <c r="I1870" s="5"/>
    </row>
    <row r="1871" spans="1:9" ht="17.399999999999999" x14ac:dyDescent="0.25">
      <c r="A1871" s="16"/>
      <c r="B1871" s="17"/>
      <c r="C1871" s="2"/>
      <c r="D1871" s="2"/>
      <c r="E1871" s="2"/>
      <c r="F1871" s="2"/>
      <c r="G1871" s="2"/>
      <c r="H1871" s="2"/>
      <c r="I1871" s="5"/>
    </row>
    <row r="1872" spans="1:9" ht="17.399999999999999" x14ac:dyDescent="0.25">
      <c r="A1872" s="16"/>
      <c r="B1872" s="17"/>
      <c r="C1872" s="2"/>
      <c r="D1872" s="2"/>
      <c r="E1872" s="2"/>
      <c r="F1872" s="2"/>
      <c r="G1872" s="2"/>
      <c r="H1872" s="2"/>
      <c r="I1872" s="5"/>
    </row>
    <row r="1873" spans="1:9" ht="17.399999999999999" x14ac:dyDescent="0.25">
      <c r="A1873" s="16"/>
      <c r="B1873" s="17"/>
      <c r="C1873" s="2"/>
      <c r="D1873" s="2"/>
      <c r="E1873" s="2"/>
      <c r="F1873" s="2"/>
      <c r="G1873" s="2"/>
      <c r="H1873" s="2"/>
      <c r="I1873" s="5"/>
    </row>
    <row r="1874" spans="1:9" ht="17.399999999999999" x14ac:dyDescent="0.25">
      <c r="A1874" s="16"/>
      <c r="B1874" s="17"/>
      <c r="C1874" s="2"/>
      <c r="D1874" s="2"/>
      <c r="E1874" s="2"/>
      <c r="F1874" s="2"/>
      <c r="G1874" s="2"/>
      <c r="H1874" s="2"/>
      <c r="I1874" s="5"/>
    </row>
    <row r="1875" spans="1:9" ht="17.399999999999999" x14ac:dyDescent="0.25">
      <c r="A1875" s="16"/>
      <c r="B1875" s="17"/>
      <c r="C1875" s="2"/>
      <c r="D1875" s="2"/>
      <c r="E1875" s="2"/>
      <c r="F1875" s="2"/>
      <c r="G1875" s="2"/>
      <c r="H1875" s="2"/>
      <c r="I1875" s="5"/>
    </row>
    <row r="1876" spans="1:9" ht="17.399999999999999" x14ac:dyDescent="0.25">
      <c r="A1876" s="16"/>
      <c r="B1876" s="17"/>
      <c r="C1876" s="2"/>
      <c r="D1876" s="2"/>
      <c r="E1876" s="2"/>
      <c r="F1876" s="2"/>
      <c r="G1876" s="2"/>
      <c r="H1876" s="2"/>
      <c r="I1876" s="5"/>
    </row>
    <row r="1877" spans="1:9" ht="17.399999999999999" x14ac:dyDescent="0.25">
      <c r="A1877" s="16"/>
      <c r="B1877" s="17"/>
      <c r="C1877" s="2"/>
      <c r="D1877" s="2"/>
      <c r="E1877" s="2"/>
      <c r="F1877" s="2"/>
      <c r="G1877" s="2"/>
      <c r="H1877" s="2"/>
      <c r="I1877" s="5"/>
    </row>
    <row r="1878" spans="1:9" ht="17.399999999999999" x14ac:dyDescent="0.25">
      <c r="A1878" s="16"/>
      <c r="B1878" s="17"/>
      <c r="C1878" s="2"/>
      <c r="D1878" s="2"/>
      <c r="E1878" s="2"/>
      <c r="F1878" s="2"/>
      <c r="G1878" s="2"/>
      <c r="H1878" s="2"/>
      <c r="I1878" s="5"/>
    </row>
    <row r="1879" spans="1:9" ht="17.399999999999999" x14ac:dyDescent="0.25">
      <c r="A1879" s="16"/>
      <c r="B1879" s="17"/>
      <c r="C1879" s="2"/>
      <c r="D1879" s="2"/>
      <c r="E1879" s="2"/>
      <c r="F1879" s="2"/>
      <c r="G1879" s="2"/>
      <c r="H1879" s="2"/>
      <c r="I1879" s="5"/>
    </row>
    <row r="1880" spans="1:9" ht="17.399999999999999" x14ac:dyDescent="0.25">
      <c r="A1880" s="16"/>
      <c r="B1880" s="17"/>
      <c r="C1880" s="2"/>
      <c r="D1880" s="2"/>
      <c r="E1880" s="2"/>
      <c r="F1880" s="2"/>
      <c r="G1880" s="2"/>
      <c r="H1880" s="2"/>
      <c r="I1880" s="5"/>
    </row>
    <row r="1881" spans="1:9" ht="17.399999999999999" x14ac:dyDescent="0.25">
      <c r="A1881" s="16"/>
      <c r="B1881" s="17"/>
      <c r="C1881" s="2"/>
      <c r="D1881" s="2"/>
      <c r="E1881" s="2"/>
      <c r="F1881" s="2"/>
      <c r="G1881" s="2"/>
      <c r="H1881" s="2"/>
      <c r="I1881" s="5"/>
    </row>
    <row r="1882" spans="1:9" ht="17.399999999999999" x14ac:dyDescent="0.25">
      <c r="A1882" s="16"/>
      <c r="B1882" s="17"/>
      <c r="C1882" s="2"/>
      <c r="D1882" s="2"/>
      <c r="E1882" s="2"/>
      <c r="F1882" s="2"/>
      <c r="G1882" s="2"/>
      <c r="H1882" s="2"/>
      <c r="I1882" s="5"/>
    </row>
    <row r="1883" spans="1:9" ht="17.399999999999999" x14ac:dyDescent="0.25">
      <c r="A1883" s="16"/>
      <c r="B1883" s="17"/>
      <c r="C1883" s="2"/>
      <c r="D1883" s="2"/>
      <c r="E1883" s="2"/>
      <c r="F1883" s="2"/>
      <c r="G1883" s="2"/>
      <c r="H1883" s="2"/>
      <c r="I1883" s="5"/>
    </row>
    <row r="1884" spans="1:9" ht="17.399999999999999" x14ac:dyDescent="0.25">
      <c r="A1884" s="16"/>
      <c r="B1884" s="17"/>
      <c r="C1884" s="2"/>
      <c r="D1884" s="2"/>
      <c r="E1884" s="2"/>
      <c r="F1884" s="2"/>
      <c r="G1884" s="2"/>
      <c r="H1884" s="2"/>
      <c r="I1884" s="5"/>
    </row>
    <row r="1885" spans="1:9" ht="17.399999999999999" x14ac:dyDescent="0.25">
      <c r="A1885" s="16"/>
      <c r="B1885" s="17"/>
      <c r="C1885" s="2"/>
      <c r="D1885" s="2"/>
      <c r="E1885" s="2"/>
      <c r="F1885" s="2"/>
      <c r="G1885" s="2"/>
      <c r="H1885" s="2"/>
      <c r="I1885" s="5"/>
    </row>
    <row r="1886" spans="1:9" ht="17.399999999999999" x14ac:dyDescent="0.25">
      <c r="A1886" s="16"/>
      <c r="B1886" s="17"/>
      <c r="C1886" s="2"/>
      <c r="D1886" s="2"/>
      <c r="E1886" s="2"/>
      <c r="F1886" s="2"/>
      <c r="G1886" s="2"/>
      <c r="H1886" s="2"/>
      <c r="I1886" s="5"/>
    </row>
    <row r="1887" spans="1:9" ht="17.399999999999999" x14ac:dyDescent="0.25">
      <c r="A1887" s="16"/>
      <c r="B1887" s="17"/>
      <c r="C1887" s="2"/>
      <c r="D1887" s="2"/>
      <c r="E1887" s="2"/>
      <c r="F1887" s="2"/>
      <c r="G1887" s="2"/>
      <c r="H1887" s="2"/>
      <c r="I1887" s="5"/>
    </row>
    <row r="1888" spans="1:9" ht="17.399999999999999" x14ac:dyDescent="0.25">
      <c r="A1888" s="16"/>
      <c r="B1888" s="17"/>
      <c r="C1888" s="2"/>
      <c r="D1888" s="2"/>
      <c r="E1888" s="2"/>
      <c r="F1888" s="2"/>
      <c r="G1888" s="2"/>
      <c r="H1888" s="2"/>
      <c r="I1888" s="5"/>
    </row>
    <row r="1889" spans="1:9" ht="17.399999999999999" x14ac:dyDescent="0.25">
      <c r="A1889" s="16"/>
      <c r="B1889" s="17"/>
      <c r="C1889" s="2"/>
      <c r="D1889" s="2"/>
      <c r="E1889" s="2"/>
      <c r="F1889" s="2"/>
      <c r="G1889" s="2"/>
      <c r="H1889" s="2"/>
      <c r="I1889" s="5"/>
    </row>
    <row r="1890" spans="1:9" ht="17.399999999999999" x14ac:dyDescent="0.25">
      <c r="A1890" s="16"/>
      <c r="B1890" s="17"/>
      <c r="C1890" s="2"/>
      <c r="D1890" s="2"/>
      <c r="E1890" s="2"/>
      <c r="F1890" s="2"/>
      <c r="G1890" s="2"/>
      <c r="H1890" s="2"/>
      <c r="I1890" s="5"/>
    </row>
    <row r="1891" spans="1:9" ht="17.399999999999999" x14ac:dyDescent="0.25">
      <c r="A1891" s="16"/>
      <c r="B1891" s="17"/>
      <c r="C1891" s="2"/>
      <c r="D1891" s="2"/>
      <c r="E1891" s="2"/>
      <c r="F1891" s="2"/>
      <c r="G1891" s="2"/>
      <c r="H1891" s="2"/>
      <c r="I1891" s="5"/>
    </row>
    <row r="1892" spans="1:9" ht="17.399999999999999" x14ac:dyDescent="0.25">
      <c r="A1892" s="16"/>
      <c r="B1892" s="17"/>
      <c r="C1892" s="2"/>
      <c r="D1892" s="2"/>
      <c r="E1892" s="2"/>
      <c r="F1892" s="2"/>
      <c r="G1892" s="2"/>
      <c r="H1892" s="2"/>
      <c r="I1892" s="5"/>
    </row>
    <row r="1893" spans="1:9" ht="17.399999999999999" x14ac:dyDescent="0.25">
      <c r="A1893" s="16"/>
      <c r="B1893" s="17"/>
      <c r="C1893" s="2"/>
      <c r="D1893" s="2"/>
      <c r="E1893" s="2"/>
      <c r="F1893" s="2"/>
      <c r="G1893" s="2"/>
      <c r="H1893" s="2"/>
      <c r="I1893" s="5"/>
    </row>
    <row r="1894" spans="1:9" ht="17.399999999999999" x14ac:dyDescent="0.25">
      <c r="A1894" s="16"/>
      <c r="B1894" s="17"/>
      <c r="C1894" s="2"/>
      <c r="D1894" s="2"/>
      <c r="E1894" s="2"/>
      <c r="F1894" s="2"/>
      <c r="G1894" s="2"/>
      <c r="H1894" s="2"/>
      <c r="I1894" s="5"/>
    </row>
    <row r="1895" spans="1:9" ht="17.399999999999999" x14ac:dyDescent="0.25">
      <c r="A1895" s="16"/>
      <c r="B1895" s="17"/>
      <c r="C1895" s="2"/>
      <c r="D1895" s="2"/>
      <c r="E1895" s="2"/>
      <c r="F1895" s="2"/>
      <c r="G1895" s="2"/>
      <c r="H1895" s="2"/>
      <c r="I1895" s="5"/>
    </row>
    <row r="1896" spans="1:9" ht="17.399999999999999" x14ac:dyDescent="0.25">
      <c r="A1896" s="16"/>
      <c r="B1896" s="17"/>
      <c r="C1896" s="2"/>
      <c r="D1896" s="2"/>
      <c r="E1896" s="2"/>
      <c r="F1896" s="2"/>
      <c r="G1896" s="2"/>
      <c r="H1896" s="2"/>
      <c r="I1896" s="5"/>
    </row>
    <row r="1897" spans="1:9" ht="17.399999999999999" x14ac:dyDescent="0.25">
      <c r="A1897" s="16"/>
      <c r="B1897" s="17"/>
      <c r="C1897" s="2"/>
      <c r="D1897" s="2"/>
      <c r="E1897" s="2"/>
      <c r="F1897" s="2"/>
      <c r="G1897" s="2"/>
      <c r="H1897" s="2"/>
      <c r="I1897" s="5"/>
    </row>
    <row r="1898" spans="1:9" ht="17.399999999999999" x14ac:dyDescent="0.25">
      <c r="A1898" s="16"/>
      <c r="B1898" s="17"/>
      <c r="C1898" s="2"/>
      <c r="D1898" s="2"/>
      <c r="E1898" s="2"/>
      <c r="F1898" s="2"/>
      <c r="G1898" s="2"/>
      <c r="H1898" s="2"/>
      <c r="I1898" s="5"/>
    </row>
    <row r="1899" spans="1:9" ht="17.399999999999999" x14ac:dyDescent="0.25">
      <c r="A1899" s="16"/>
      <c r="B1899" s="17"/>
      <c r="C1899" s="2"/>
      <c r="D1899" s="2"/>
      <c r="E1899" s="2"/>
      <c r="F1899" s="2"/>
      <c r="G1899" s="2"/>
      <c r="H1899" s="2"/>
      <c r="I1899" s="5"/>
    </row>
    <row r="1900" spans="1:9" ht="17.399999999999999" x14ac:dyDescent="0.25">
      <c r="A1900" s="16"/>
      <c r="B1900" s="17"/>
      <c r="C1900" s="2"/>
      <c r="D1900" s="2"/>
      <c r="E1900" s="2"/>
      <c r="F1900" s="2"/>
      <c r="G1900" s="2"/>
      <c r="H1900" s="2"/>
      <c r="I1900" s="5"/>
    </row>
    <row r="1901" spans="1:9" ht="17.399999999999999" x14ac:dyDescent="0.25">
      <c r="A1901" s="16"/>
      <c r="B1901" s="17"/>
      <c r="C1901" s="2"/>
      <c r="D1901" s="2"/>
      <c r="E1901" s="2"/>
      <c r="F1901" s="2"/>
      <c r="G1901" s="2"/>
      <c r="H1901" s="2"/>
      <c r="I1901" s="5"/>
    </row>
    <row r="1902" spans="1:9" ht="17.399999999999999" x14ac:dyDescent="0.25">
      <c r="A1902" s="16"/>
      <c r="B1902" s="17"/>
      <c r="C1902" s="2"/>
      <c r="D1902" s="2"/>
      <c r="E1902" s="2"/>
      <c r="F1902" s="2"/>
      <c r="G1902" s="2"/>
      <c r="H1902" s="2"/>
      <c r="I1902" s="5"/>
    </row>
    <row r="1903" spans="1:9" ht="17.399999999999999" x14ac:dyDescent="0.25">
      <c r="A1903" s="16"/>
      <c r="B1903" s="17"/>
      <c r="C1903" s="2"/>
      <c r="D1903" s="2"/>
      <c r="E1903" s="2"/>
      <c r="F1903" s="2"/>
      <c r="G1903" s="2"/>
      <c r="H1903" s="2"/>
      <c r="I1903" s="5"/>
    </row>
    <row r="1904" spans="1:9" ht="17.399999999999999" x14ac:dyDescent="0.25">
      <c r="A1904" s="16"/>
      <c r="B1904" s="17"/>
      <c r="C1904" s="2"/>
      <c r="D1904" s="2"/>
      <c r="E1904" s="2"/>
      <c r="F1904" s="2"/>
      <c r="G1904" s="2"/>
      <c r="H1904" s="2"/>
      <c r="I1904" s="5"/>
    </row>
    <row r="1905" spans="1:9" ht="17.399999999999999" x14ac:dyDescent="0.25">
      <c r="A1905" s="16"/>
      <c r="B1905" s="17"/>
      <c r="C1905" s="2"/>
      <c r="D1905" s="2"/>
      <c r="E1905" s="2"/>
      <c r="F1905" s="2"/>
      <c r="G1905" s="2"/>
      <c r="H1905" s="2"/>
      <c r="I1905" s="5"/>
    </row>
    <row r="1906" spans="1:9" ht="17.399999999999999" x14ac:dyDescent="0.25">
      <c r="A1906" s="16"/>
      <c r="B1906" s="17"/>
      <c r="C1906" s="2"/>
      <c r="D1906" s="2"/>
      <c r="E1906" s="2"/>
      <c r="F1906" s="2"/>
      <c r="G1906" s="2"/>
      <c r="H1906" s="2"/>
      <c r="I1906" s="5"/>
    </row>
    <row r="1907" spans="1:9" ht="17.399999999999999" x14ac:dyDescent="0.25">
      <c r="A1907" s="16"/>
      <c r="B1907" s="17"/>
      <c r="C1907" s="2"/>
      <c r="D1907" s="2"/>
      <c r="E1907" s="2"/>
      <c r="F1907" s="2"/>
      <c r="G1907" s="2"/>
      <c r="H1907" s="2"/>
      <c r="I1907" s="5"/>
    </row>
    <row r="1908" spans="1:9" ht="17.399999999999999" x14ac:dyDescent="0.25">
      <c r="A1908" s="16"/>
      <c r="B1908" s="17"/>
      <c r="C1908" s="2"/>
      <c r="D1908" s="2"/>
      <c r="E1908" s="2"/>
      <c r="F1908" s="2"/>
      <c r="G1908" s="2"/>
      <c r="H1908" s="2"/>
      <c r="I1908" s="5"/>
    </row>
    <row r="1909" spans="1:9" ht="17.399999999999999" x14ac:dyDescent="0.25">
      <c r="A1909" s="16"/>
      <c r="B1909" s="17"/>
      <c r="C1909" s="2"/>
      <c r="D1909" s="2"/>
      <c r="E1909" s="2"/>
      <c r="F1909" s="2"/>
      <c r="G1909" s="2"/>
      <c r="H1909" s="2"/>
      <c r="I1909" s="5"/>
    </row>
    <row r="1910" spans="1:9" ht="17.399999999999999" x14ac:dyDescent="0.25">
      <c r="A1910" s="16"/>
      <c r="B1910" s="17"/>
      <c r="C1910" s="2"/>
      <c r="D1910" s="2"/>
      <c r="E1910" s="2"/>
      <c r="F1910" s="2"/>
      <c r="G1910" s="2"/>
      <c r="H1910" s="2"/>
      <c r="I1910" s="5"/>
    </row>
    <row r="1911" spans="1:9" ht="17.399999999999999" x14ac:dyDescent="0.25">
      <c r="A1911" s="16"/>
      <c r="B1911" s="17"/>
      <c r="C1911" s="2"/>
      <c r="D1911" s="2"/>
      <c r="E1911" s="2"/>
      <c r="F1911" s="2"/>
      <c r="G1911" s="2"/>
      <c r="H1911" s="2"/>
      <c r="I1911" s="5"/>
    </row>
    <row r="1912" spans="1:9" ht="17.399999999999999" x14ac:dyDescent="0.25">
      <c r="A1912" s="16"/>
      <c r="B1912" s="17"/>
      <c r="C1912" s="2"/>
      <c r="D1912" s="2"/>
      <c r="E1912" s="2"/>
      <c r="F1912" s="2"/>
      <c r="G1912" s="2"/>
      <c r="H1912" s="2"/>
      <c r="I1912" s="5"/>
    </row>
    <row r="1913" spans="1:9" ht="17.399999999999999" x14ac:dyDescent="0.25">
      <c r="A1913" s="16"/>
      <c r="B1913" s="17"/>
      <c r="C1913" s="2"/>
      <c r="D1913" s="2"/>
      <c r="E1913" s="2"/>
      <c r="F1913" s="2"/>
      <c r="G1913" s="2"/>
      <c r="H1913" s="2"/>
      <c r="I1913" s="5"/>
    </row>
    <row r="1914" spans="1:9" ht="17.399999999999999" x14ac:dyDescent="0.25">
      <c r="A1914" s="16"/>
      <c r="B1914" s="17"/>
      <c r="C1914" s="2"/>
      <c r="D1914" s="2"/>
      <c r="E1914" s="2"/>
      <c r="F1914" s="2"/>
      <c r="G1914" s="2"/>
      <c r="H1914" s="2"/>
      <c r="I1914" s="5"/>
    </row>
    <row r="1915" spans="1:9" ht="17.399999999999999" x14ac:dyDescent="0.25">
      <c r="A1915" s="16"/>
      <c r="B1915" s="17"/>
      <c r="C1915" s="2"/>
      <c r="D1915" s="2"/>
      <c r="E1915" s="2"/>
      <c r="F1915" s="2"/>
      <c r="G1915" s="2"/>
      <c r="H1915" s="2"/>
      <c r="I1915" s="5"/>
    </row>
    <row r="1916" spans="1:9" ht="17.399999999999999" x14ac:dyDescent="0.25">
      <c r="A1916" s="16"/>
      <c r="B1916" s="17"/>
      <c r="C1916" s="2"/>
      <c r="D1916" s="2"/>
      <c r="E1916" s="2"/>
      <c r="F1916" s="2"/>
      <c r="G1916" s="2"/>
      <c r="H1916" s="2"/>
      <c r="I1916" s="5"/>
    </row>
    <row r="1917" spans="1:9" ht="17.399999999999999" x14ac:dyDescent="0.25">
      <c r="A1917" s="16"/>
      <c r="B1917" s="17"/>
      <c r="C1917" s="2"/>
      <c r="D1917" s="2"/>
      <c r="E1917" s="2"/>
      <c r="F1917" s="2"/>
      <c r="G1917" s="2"/>
      <c r="H1917" s="2"/>
      <c r="I1917" s="5"/>
    </row>
    <row r="1918" spans="1:9" ht="17.399999999999999" x14ac:dyDescent="0.25">
      <c r="A1918" s="16"/>
      <c r="B1918" s="17"/>
      <c r="C1918" s="2"/>
      <c r="D1918" s="2"/>
      <c r="E1918" s="2"/>
      <c r="F1918" s="2"/>
      <c r="G1918" s="2"/>
      <c r="H1918" s="2"/>
      <c r="I1918" s="5"/>
    </row>
    <row r="1919" spans="1:9" ht="17.399999999999999" x14ac:dyDescent="0.25">
      <c r="A1919" s="16"/>
      <c r="B1919" s="17"/>
      <c r="C1919" s="2"/>
      <c r="D1919" s="2"/>
      <c r="E1919" s="2"/>
      <c r="F1919" s="2"/>
      <c r="G1919" s="2"/>
      <c r="H1919" s="2"/>
      <c r="I1919" s="5"/>
    </row>
    <row r="1920" spans="1:9" ht="17.399999999999999" x14ac:dyDescent="0.25">
      <c r="A1920" s="16"/>
      <c r="B1920" s="17"/>
      <c r="C1920" s="2"/>
      <c r="D1920" s="2"/>
      <c r="E1920" s="2"/>
      <c r="F1920" s="2"/>
      <c r="G1920" s="2"/>
      <c r="H1920" s="2"/>
      <c r="I1920" s="5"/>
    </row>
    <row r="1921" spans="1:9" ht="17.399999999999999" x14ac:dyDescent="0.25">
      <c r="A1921" s="16"/>
      <c r="B1921" s="17"/>
      <c r="C1921" s="2"/>
      <c r="D1921" s="2"/>
      <c r="E1921" s="2"/>
      <c r="F1921" s="2"/>
      <c r="G1921" s="2"/>
      <c r="H1921" s="2"/>
      <c r="I1921" s="5"/>
    </row>
    <row r="1922" spans="1:9" ht="17.399999999999999" x14ac:dyDescent="0.25">
      <c r="A1922" s="16"/>
      <c r="B1922" s="17"/>
      <c r="C1922" s="2"/>
      <c r="D1922" s="2"/>
      <c r="E1922" s="2"/>
      <c r="F1922" s="2"/>
      <c r="G1922" s="2"/>
      <c r="H1922" s="2"/>
      <c r="I1922" s="5"/>
    </row>
    <row r="1923" spans="1:9" ht="17.399999999999999" x14ac:dyDescent="0.25">
      <c r="A1923" s="16"/>
      <c r="B1923" s="17"/>
      <c r="C1923" s="2"/>
      <c r="D1923" s="2"/>
      <c r="E1923" s="2"/>
      <c r="F1923" s="2"/>
      <c r="G1923" s="2"/>
      <c r="H1923" s="2"/>
      <c r="I1923" s="5"/>
    </row>
    <row r="1924" spans="1:9" ht="17.399999999999999" x14ac:dyDescent="0.25">
      <c r="A1924" s="16"/>
      <c r="B1924" s="17"/>
      <c r="C1924" s="2"/>
      <c r="D1924" s="2"/>
      <c r="E1924" s="2"/>
      <c r="F1924" s="2"/>
      <c r="G1924" s="2"/>
      <c r="H1924" s="2"/>
      <c r="I1924" s="5"/>
    </row>
    <row r="1925" spans="1:9" ht="17.399999999999999" x14ac:dyDescent="0.25">
      <c r="A1925" s="16"/>
      <c r="B1925" s="17"/>
      <c r="C1925" s="2"/>
      <c r="D1925" s="2"/>
      <c r="E1925" s="2"/>
      <c r="F1925" s="2"/>
      <c r="G1925" s="2"/>
      <c r="H1925" s="2"/>
      <c r="I1925" s="5"/>
    </row>
    <row r="1926" spans="1:9" ht="17.399999999999999" x14ac:dyDescent="0.25">
      <c r="A1926" s="16"/>
      <c r="B1926" s="17"/>
      <c r="C1926" s="2"/>
      <c r="D1926" s="2"/>
      <c r="E1926" s="2"/>
      <c r="F1926" s="2"/>
      <c r="G1926" s="2"/>
      <c r="H1926" s="2"/>
      <c r="I1926" s="5"/>
    </row>
    <row r="1927" spans="1:9" ht="17.399999999999999" x14ac:dyDescent="0.25">
      <c r="A1927" s="16"/>
      <c r="B1927" s="17"/>
      <c r="C1927" s="2"/>
      <c r="D1927" s="2"/>
      <c r="E1927" s="2"/>
      <c r="F1927" s="2"/>
      <c r="G1927" s="2"/>
      <c r="H1927" s="2"/>
      <c r="I1927" s="5"/>
    </row>
    <row r="1928" spans="1:9" ht="17.399999999999999" x14ac:dyDescent="0.25">
      <c r="A1928" s="16"/>
      <c r="B1928" s="17"/>
      <c r="C1928" s="2"/>
      <c r="D1928" s="2"/>
      <c r="E1928" s="2"/>
      <c r="F1928" s="2"/>
      <c r="G1928" s="2"/>
      <c r="H1928" s="2"/>
      <c r="I1928" s="5"/>
    </row>
    <row r="1929" spans="1:9" ht="17.399999999999999" x14ac:dyDescent="0.25">
      <c r="A1929" s="16"/>
      <c r="B1929" s="17"/>
      <c r="C1929" s="2"/>
      <c r="D1929" s="2"/>
      <c r="E1929" s="2"/>
      <c r="F1929" s="2"/>
      <c r="G1929" s="2"/>
      <c r="H1929" s="2"/>
      <c r="I1929" s="5"/>
    </row>
    <row r="1930" spans="1:9" ht="17.399999999999999" x14ac:dyDescent="0.25">
      <c r="A1930" s="16"/>
      <c r="B1930" s="17"/>
      <c r="C1930" s="2"/>
      <c r="D1930" s="2"/>
      <c r="E1930" s="2"/>
      <c r="F1930" s="2"/>
      <c r="G1930" s="2"/>
      <c r="H1930" s="2"/>
      <c r="I1930" s="5"/>
    </row>
    <row r="1931" spans="1:9" ht="17.399999999999999" x14ac:dyDescent="0.25">
      <c r="A1931" s="16"/>
      <c r="B1931" s="17"/>
      <c r="C1931" s="2"/>
      <c r="D1931" s="2"/>
      <c r="E1931" s="2"/>
      <c r="F1931" s="2"/>
      <c r="G1931" s="2"/>
      <c r="H1931" s="2"/>
      <c r="I1931" s="5"/>
    </row>
    <row r="1932" spans="1:9" ht="17.399999999999999" x14ac:dyDescent="0.25">
      <c r="A1932" s="16"/>
      <c r="B1932" s="17"/>
      <c r="C1932" s="2"/>
      <c r="D1932" s="2"/>
      <c r="E1932" s="2"/>
      <c r="F1932" s="2"/>
      <c r="G1932" s="2"/>
      <c r="H1932" s="2"/>
      <c r="I1932" s="5"/>
    </row>
    <row r="1933" spans="1:9" ht="17.399999999999999" x14ac:dyDescent="0.25">
      <c r="A1933" s="16"/>
      <c r="B1933" s="17"/>
      <c r="C1933" s="2"/>
      <c r="D1933" s="2"/>
      <c r="E1933" s="2"/>
      <c r="F1933" s="2"/>
      <c r="G1933" s="2"/>
      <c r="H1933" s="2"/>
      <c r="I1933" s="5"/>
    </row>
    <row r="1934" spans="1:9" ht="17.399999999999999" x14ac:dyDescent="0.25">
      <c r="A1934" s="16"/>
      <c r="B1934" s="17"/>
      <c r="C1934" s="2"/>
      <c r="D1934" s="2"/>
      <c r="E1934" s="2"/>
      <c r="F1934" s="2"/>
      <c r="G1934" s="2"/>
      <c r="H1934" s="2"/>
      <c r="I1934" s="5"/>
    </row>
    <row r="1935" spans="1:9" ht="17.399999999999999" x14ac:dyDescent="0.25">
      <c r="A1935" s="16"/>
      <c r="B1935" s="17"/>
      <c r="C1935" s="2"/>
      <c r="D1935" s="2"/>
      <c r="E1935" s="2"/>
      <c r="F1935" s="2"/>
      <c r="G1935" s="2"/>
      <c r="H1935" s="2"/>
      <c r="I1935" s="5"/>
    </row>
    <row r="1936" spans="1:9" ht="17.399999999999999" x14ac:dyDescent="0.25">
      <c r="A1936" s="16"/>
      <c r="B1936" s="17"/>
      <c r="C1936" s="2"/>
      <c r="D1936" s="2"/>
      <c r="E1936" s="2"/>
      <c r="F1936" s="2"/>
      <c r="G1936" s="2"/>
      <c r="H1936" s="2"/>
      <c r="I1936" s="5"/>
    </row>
    <row r="1937" spans="1:9" ht="17.399999999999999" x14ac:dyDescent="0.25">
      <c r="A1937" s="16"/>
      <c r="B1937" s="17"/>
      <c r="C1937" s="2"/>
      <c r="D1937" s="2"/>
      <c r="E1937" s="2"/>
      <c r="F1937" s="2"/>
      <c r="G1937" s="2"/>
      <c r="H1937" s="2"/>
      <c r="I1937" s="5"/>
    </row>
    <row r="1938" spans="1:9" ht="17.399999999999999" x14ac:dyDescent="0.25">
      <c r="A1938" s="16"/>
      <c r="B1938" s="17"/>
      <c r="C1938" s="2"/>
      <c r="D1938" s="2"/>
      <c r="E1938" s="2"/>
      <c r="F1938" s="2"/>
      <c r="G1938" s="2"/>
      <c r="H1938" s="2"/>
      <c r="I1938" s="5"/>
    </row>
    <row r="1939" spans="1:9" ht="17.399999999999999" x14ac:dyDescent="0.25">
      <c r="A1939" s="16"/>
      <c r="B1939" s="17"/>
      <c r="C1939" s="2"/>
      <c r="D1939" s="2"/>
      <c r="E1939" s="2"/>
      <c r="F1939" s="2"/>
      <c r="G1939" s="2"/>
      <c r="H1939" s="2"/>
      <c r="I1939" s="5"/>
    </row>
    <row r="1940" spans="1:9" ht="17.399999999999999" x14ac:dyDescent="0.25">
      <c r="A1940" s="16"/>
      <c r="B1940" s="17"/>
      <c r="C1940" s="2"/>
      <c r="D1940" s="2"/>
      <c r="E1940" s="2"/>
      <c r="F1940" s="2"/>
      <c r="G1940" s="2"/>
      <c r="H1940" s="2"/>
      <c r="I1940" s="5"/>
    </row>
    <row r="1941" spans="1:9" ht="17.399999999999999" x14ac:dyDescent="0.25">
      <c r="A1941" s="16"/>
      <c r="B1941" s="17"/>
      <c r="C1941" s="2" t="b">
        <v>0</v>
      </c>
      <c r="D1941" s="2"/>
      <c r="E1941" s="2"/>
      <c r="F1941" s="2"/>
      <c r="G1941" s="2"/>
      <c r="H1941" s="2"/>
      <c r="I1941" s="5"/>
    </row>
    <row r="1942" spans="1:9" ht="17.399999999999999" x14ac:dyDescent="0.25">
      <c r="A1942" s="16"/>
      <c r="B1942" s="17"/>
      <c r="C1942" s="2" t="b">
        <v>0</v>
      </c>
      <c r="D1942" s="2"/>
      <c r="E1942" s="2"/>
      <c r="F1942" s="2"/>
      <c r="G1942" s="2"/>
      <c r="H1942" s="2"/>
      <c r="I1942" s="5"/>
    </row>
    <row r="1943" spans="1:9" ht="17.399999999999999" x14ac:dyDescent="0.25">
      <c r="A1943" s="16"/>
      <c r="B1943" s="17"/>
      <c r="C1943" s="2" t="b">
        <v>0</v>
      </c>
      <c r="D1943" s="2"/>
      <c r="E1943" s="2"/>
      <c r="F1943" s="2"/>
      <c r="G1943" s="2"/>
      <c r="H1943" s="2"/>
      <c r="I1943" s="5"/>
    </row>
    <row r="1944" spans="1:9" ht="17.399999999999999" x14ac:dyDescent="0.25">
      <c r="A1944" s="16"/>
      <c r="B1944" s="17"/>
      <c r="C1944" s="2" t="b">
        <v>0</v>
      </c>
      <c r="D1944" s="2"/>
      <c r="E1944" s="2"/>
      <c r="F1944" s="2"/>
      <c r="G1944" s="2"/>
      <c r="H1944" s="2"/>
      <c r="I1944" s="5"/>
    </row>
    <row r="1945" spans="1:9" ht="17.399999999999999" x14ac:dyDescent="0.25">
      <c r="A1945" s="16"/>
      <c r="B1945" s="17"/>
      <c r="C1945" s="2" t="b">
        <v>0</v>
      </c>
      <c r="D1945" s="2"/>
      <c r="E1945" s="2"/>
      <c r="F1945" s="2"/>
      <c r="G1945" s="2"/>
      <c r="H1945" s="2"/>
      <c r="I1945" s="5"/>
    </row>
    <row r="1946" spans="1:9" ht="17.399999999999999" x14ac:dyDescent="0.25">
      <c r="A1946" s="16"/>
      <c r="B1946" s="17"/>
      <c r="C1946" s="2" t="b">
        <v>0</v>
      </c>
      <c r="D1946" s="2"/>
      <c r="E1946" s="2"/>
      <c r="F1946" s="2"/>
      <c r="G1946" s="2"/>
      <c r="H1946" s="2"/>
      <c r="I1946" s="5"/>
    </row>
    <row r="1947" spans="1:9" ht="17.399999999999999" x14ac:dyDescent="0.25">
      <c r="A1947" s="16"/>
      <c r="B1947" s="17"/>
      <c r="C1947" s="2" t="b">
        <v>0</v>
      </c>
      <c r="D1947" s="2"/>
      <c r="E1947" s="2"/>
      <c r="F1947" s="2"/>
      <c r="G1947" s="2"/>
      <c r="H1947" s="2"/>
      <c r="I1947" s="5"/>
    </row>
    <row r="1948" spans="1:9" ht="17.399999999999999" x14ac:dyDescent="0.25">
      <c r="A1948" s="16"/>
      <c r="B1948" s="17"/>
      <c r="C1948" s="2" t="b">
        <v>0</v>
      </c>
      <c r="D1948" s="2"/>
      <c r="E1948" s="2"/>
      <c r="F1948" s="2"/>
      <c r="G1948" s="2"/>
      <c r="H1948" s="2"/>
      <c r="I1948" s="5"/>
    </row>
    <row r="1949" spans="1:9" ht="17.399999999999999" x14ac:dyDescent="0.25">
      <c r="A1949" s="16"/>
      <c r="B1949" s="17"/>
      <c r="C1949" s="2" t="b">
        <v>0</v>
      </c>
      <c r="D1949" s="2"/>
      <c r="E1949" s="2"/>
      <c r="F1949" s="2"/>
      <c r="G1949" s="2"/>
      <c r="H1949" s="2"/>
      <c r="I1949" s="5"/>
    </row>
    <row r="1950" spans="1:9" ht="17.399999999999999" x14ac:dyDescent="0.25">
      <c r="A1950" s="16"/>
      <c r="B1950" s="17"/>
      <c r="C1950" s="2" t="b">
        <v>0</v>
      </c>
      <c r="D1950" s="2"/>
      <c r="E1950" s="2"/>
      <c r="F1950" s="2"/>
      <c r="G1950" s="2"/>
      <c r="H1950" s="2"/>
      <c r="I1950" s="5"/>
    </row>
    <row r="1951" spans="1:9" ht="17.399999999999999" x14ac:dyDescent="0.25">
      <c r="A1951" s="16"/>
      <c r="B1951" s="17"/>
      <c r="C1951" s="2" t="b">
        <v>0</v>
      </c>
      <c r="D1951" s="2"/>
      <c r="E1951" s="2"/>
      <c r="F1951" s="2"/>
      <c r="G1951" s="2"/>
      <c r="H1951" s="2"/>
      <c r="I1951" s="5"/>
    </row>
    <row r="1952" spans="1:9" ht="17.399999999999999" x14ac:dyDescent="0.25">
      <c r="A1952" s="16"/>
      <c r="B1952" s="17"/>
      <c r="C1952" s="2" t="b">
        <v>0</v>
      </c>
      <c r="D1952" s="2"/>
      <c r="E1952" s="2"/>
      <c r="F1952" s="2"/>
      <c r="G1952" s="2"/>
      <c r="H1952" s="2"/>
      <c r="I1952" s="5"/>
    </row>
    <row r="1953" spans="1:9" ht="17.399999999999999" x14ac:dyDescent="0.25">
      <c r="A1953" s="16"/>
      <c r="B1953" s="17"/>
      <c r="C1953" s="2" t="b">
        <v>0</v>
      </c>
      <c r="D1953" s="2"/>
      <c r="E1953" s="2"/>
      <c r="F1953" s="2"/>
      <c r="G1953" s="2"/>
      <c r="H1953" s="2"/>
      <c r="I1953" s="5"/>
    </row>
    <row r="1954" spans="1:9" ht="17.399999999999999" x14ac:dyDescent="0.25">
      <c r="A1954" s="16"/>
      <c r="B1954" s="17"/>
      <c r="C1954" s="2" t="b">
        <v>0</v>
      </c>
      <c r="D1954" s="2"/>
      <c r="E1954" s="2"/>
      <c r="F1954" s="2"/>
      <c r="G1954" s="2"/>
      <c r="H1954" s="2"/>
      <c r="I1954" s="5"/>
    </row>
    <row r="1955" spans="1:9" ht="17.399999999999999" x14ac:dyDescent="0.25">
      <c r="A1955" s="16"/>
      <c r="B1955" s="17"/>
      <c r="C1955" s="2" t="b">
        <v>0</v>
      </c>
      <c r="D1955" s="2"/>
      <c r="E1955" s="2"/>
      <c r="F1955" s="2"/>
      <c r="G1955" s="2"/>
      <c r="H1955" s="2"/>
      <c r="I1955" s="5"/>
    </row>
    <row r="1956" spans="1:9" ht="17.399999999999999" x14ac:dyDescent="0.25">
      <c r="A1956" s="16"/>
      <c r="B1956" s="17"/>
      <c r="C1956" s="2" t="b">
        <v>0</v>
      </c>
      <c r="D1956" s="2"/>
      <c r="E1956" s="2"/>
      <c r="F1956" s="2"/>
      <c r="G1956" s="2"/>
      <c r="H1956" s="2"/>
      <c r="I1956" s="5"/>
    </row>
    <row r="1957" spans="1:9" ht="17.399999999999999" x14ac:dyDescent="0.25">
      <c r="A1957" s="16"/>
      <c r="B1957" s="17"/>
      <c r="C1957" s="2" t="b">
        <v>0</v>
      </c>
      <c r="D1957" s="2"/>
      <c r="E1957" s="2"/>
      <c r="F1957" s="2"/>
      <c r="G1957" s="2"/>
      <c r="H1957" s="2"/>
      <c r="I1957" s="5"/>
    </row>
    <row r="1958" spans="1:9" ht="17.399999999999999" x14ac:dyDescent="0.25">
      <c r="A1958" s="16"/>
      <c r="B1958" s="17"/>
      <c r="C1958" s="2" t="b">
        <v>0</v>
      </c>
      <c r="D1958" s="2"/>
      <c r="E1958" s="2"/>
      <c r="F1958" s="2"/>
      <c r="G1958" s="2"/>
      <c r="H1958" s="2"/>
      <c r="I1958" s="5"/>
    </row>
    <row r="1959" spans="1:9" ht="17.399999999999999" x14ac:dyDescent="0.25">
      <c r="A1959" s="16"/>
      <c r="B1959" s="17"/>
      <c r="C1959" s="2" t="b">
        <v>0</v>
      </c>
      <c r="D1959" s="2"/>
      <c r="E1959" s="2"/>
      <c r="F1959" s="2"/>
      <c r="G1959" s="2"/>
      <c r="H1959" s="2"/>
      <c r="I1959" s="5"/>
    </row>
    <row r="1960" spans="1:9" ht="17.399999999999999" x14ac:dyDescent="0.25">
      <c r="A1960" s="16"/>
      <c r="B1960" s="17"/>
      <c r="C1960" s="2" t="b">
        <v>0</v>
      </c>
      <c r="D1960" s="2"/>
      <c r="E1960" s="2"/>
      <c r="F1960" s="2"/>
      <c r="G1960" s="2"/>
      <c r="H1960" s="2"/>
      <c r="I1960" s="5"/>
    </row>
    <row r="1961" spans="1:9" ht="17.399999999999999" x14ac:dyDescent="0.25">
      <c r="A1961" s="16"/>
      <c r="B1961" s="17"/>
      <c r="C1961" s="2" t="b">
        <v>0</v>
      </c>
      <c r="D1961" s="2"/>
      <c r="E1961" s="2"/>
      <c r="F1961" s="2"/>
      <c r="G1961" s="2"/>
      <c r="H1961" s="2"/>
      <c r="I1961" s="5"/>
    </row>
    <row r="1962" spans="1:9" ht="17.399999999999999" x14ac:dyDescent="0.25">
      <c r="A1962" s="16"/>
      <c r="B1962" s="17"/>
      <c r="C1962" s="2" t="b">
        <v>0</v>
      </c>
      <c r="D1962" s="2"/>
      <c r="E1962" s="2"/>
      <c r="F1962" s="2"/>
      <c r="G1962" s="2"/>
      <c r="H1962" s="2"/>
      <c r="I1962" s="5"/>
    </row>
    <row r="1963" spans="1:9" ht="17.399999999999999" x14ac:dyDescent="0.25">
      <c r="A1963" s="16"/>
      <c r="B1963" s="17"/>
      <c r="C1963" s="2" t="b">
        <v>0</v>
      </c>
      <c r="D1963" s="2"/>
      <c r="E1963" s="2"/>
      <c r="F1963" s="2"/>
      <c r="G1963" s="2"/>
      <c r="H1963" s="2"/>
      <c r="I1963" s="5"/>
    </row>
    <row r="1964" spans="1:9" ht="17.399999999999999" x14ac:dyDescent="0.25">
      <c r="A1964" s="16"/>
      <c r="B1964" s="17"/>
      <c r="C1964" s="2" t="b">
        <v>0</v>
      </c>
      <c r="D1964" s="2"/>
      <c r="E1964" s="2"/>
      <c r="F1964" s="2"/>
      <c r="G1964" s="2"/>
      <c r="H1964" s="2"/>
      <c r="I1964" s="5"/>
    </row>
    <row r="1965" spans="1:9" ht="17.399999999999999" x14ac:dyDescent="0.25">
      <c r="A1965" s="16"/>
      <c r="B1965" s="17"/>
      <c r="C1965" s="2" t="b">
        <v>0</v>
      </c>
      <c r="D1965" s="2"/>
      <c r="E1965" s="2"/>
      <c r="F1965" s="2"/>
      <c r="G1965" s="2"/>
      <c r="H1965" s="2"/>
      <c r="I1965" s="5"/>
    </row>
    <row r="1966" spans="1:9" ht="17.399999999999999" x14ac:dyDescent="0.25">
      <c r="A1966" s="16"/>
      <c r="B1966" s="17"/>
      <c r="C1966" s="2" t="b">
        <v>0</v>
      </c>
      <c r="D1966" s="2"/>
      <c r="E1966" s="2"/>
      <c r="F1966" s="2"/>
      <c r="G1966" s="2"/>
      <c r="H1966" s="2"/>
      <c r="I1966" s="5"/>
    </row>
    <row r="1967" spans="1:9" ht="17.399999999999999" x14ac:dyDescent="0.25">
      <c r="A1967" s="16"/>
      <c r="B1967" s="17"/>
      <c r="C1967" s="2" t="b">
        <v>0</v>
      </c>
      <c r="D1967" s="2"/>
      <c r="E1967" s="2"/>
      <c r="F1967" s="2"/>
      <c r="G1967" s="2"/>
      <c r="H1967" s="2"/>
      <c r="I1967" s="5"/>
    </row>
    <row r="1968" spans="1:9" ht="17.399999999999999" x14ac:dyDescent="0.25">
      <c r="A1968" s="16"/>
      <c r="B1968" s="17"/>
      <c r="C1968" s="2" t="b">
        <v>0</v>
      </c>
      <c r="D1968" s="2"/>
      <c r="E1968" s="2"/>
      <c r="F1968" s="2"/>
      <c r="G1968" s="2"/>
      <c r="H1968" s="2"/>
      <c r="I1968" s="5"/>
    </row>
    <row r="1969" spans="1:9" ht="17.399999999999999" x14ac:dyDescent="0.25">
      <c r="A1969" s="16"/>
      <c r="B1969" s="17"/>
      <c r="C1969" s="2" t="b">
        <v>0</v>
      </c>
      <c r="D1969" s="2"/>
      <c r="E1969" s="2"/>
      <c r="F1969" s="2"/>
      <c r="G1969" s="2"/>
      <c r="H1969" s="2"/>
      <c r="I1969" s="5"/>
    </row>
    <row r="1970" spans="1:9" ht="17.399999999999999" x14ac:dyDescent="0.25">
      <c r="A1970" s="16"/>
      <c r="B1970" s="17"/>
      <c r="C1970" s="2" t="b">
        <v>0</v>
      </c>
      <c r="D1970" s="2"/>
      <c r="E1970" s="2"/>
      <c r="F1970" s="2"/>
      <c r="G1970" s="2"/>
      <c r="H1970" s="2"/>
      <c r="I1970" s="5"/>
    </row>
    <row r="1971" spans="1:9" ht="17.399999999999999" x14ac:dyDescent="0.25">
      <c r="A1971" s="16"/>
      <c r="B1971" s="17"/>
      <c r="C1971" s="2" t="b">
        <v>0</v>
      </c>
      <c r="D1971" s="2"/>
      <c r="E1971" s="2"/>
      <c r="F1971" s="2"/>
      <c r="G1971" s="2"/>
      <c r="H1971" s="2"/>
      <c r="I1971" s="5"/>
    </row>
    <row r="1972" spans="1:9" ht="17.399999999999999" x14ac:dyDescent="0.25">
      <c r="A1972" s="16"/>
      <c r="B1972" s="17"/>
      <c r="C1972" s="2" t="b">
        <v>0</v>
      </c>
      <c r="D1972" s="2"/>
      <c r="E1972" s="2"/>
      <c r="F1972" s="2"/>
      <c r="G1972" s="2"/>
      <c r="H1972" s="2"/>
      <c r="I1972" s="5"/>
    </row>
    <row r="1973" spans="1:9" ht="17.399999999999999" x14ac:dyDescent="0.25">
      <c r="A1973" s="16"/>
      <c r="B1973" s="17"/>
      <c r="C1973" s="2" t="b">
        <v>0</v>
      </c>
      <c r="D1973" s="2"/>
      <c r="E1973" s="2"/>
      <c r="F1973" s="2"/>
      <c r="G1973" s="2"/>
      <c r="H1973" s="2"/>
      <c r="I1973" s="5"/>
    </row>
    <row r="1974" spans="1:9" ht="17.399999999999999" x14ac:dyDescent="0.25">
      <c r="A1974" s="16"/>
      <c r="B1974" s="17"/>
      <c r="C1974" s="2" t="b">
        <v>0</v>
      </c>
      <c r="D1974" s="2"/>
      <c r="E1974" s="2"/>
      <c r="F1974" s="2"/>
      <c r="G1974" s="2"/>
      <c r="H1974" s="2"/>
      <c r="I1974" s="5"/>
    </row>
    <row r="1975" spans="1:9" ht="17.399999999999999" x14ac:dyDescent="0.25">
      <c r="A1975" s="16"/>
      <c r="B1975" s="17"/>
      <c r="C1975" s="2" t="b">
        <v>0</v>
      </c>
      <c r="D1975" s="2"/>
      <c r="E1975" s="2"/>
      <c r="F1975" s="2"/>
      <c r="G1975" s="2"/>
      <c r="H1975" s="2"/>
      <c r="I1975" s="5"/>
    </row>
    <row r="1976" spans="1:9" ht="17.399999999999999" x14ac:dyDescent="0.25">
      <c r="A1976" s="16"/>
      <c r="B1976" s="17"/>
      <c r="C1976" s="2" t="b">
        <v>0</v>
      </c>
      <c r="D1976" s="2"/>
      <c r="E1976" s="2"/>
      <c r="F1976" s="2"/>
      <c r="G1976" s="2"/>
      <c r="H1976" s="2"/>
      <c r="I1976" s="5"/>
    </row>
    <row r="1977" spans="1:9" ht="17.399999999999999" x14ac:dyDescent="0.25">
      <c r="A1977" s="16"/>
      <c r="B1977" s="17"/>
      <c r="C1977" s="2" t="b">
        <v>0</v>
      </c>
      <c r="D1977" s="2"/>
      <c r="E1977" s="2"/>
      <c r="F1977" s="2"/>
      <c r="G1977" s="2"/>
      <c r="H1977" s="2"/>
      <c r="I1977" s="5"/>
    </row>
    <row r="1978" spans="1:9" ht="17.399999999999999" x14ac:dyDescent="0.25">
      <c r="A1978" s="16"/>
      <c r="B1978" s="17"/>
      <c r="C1978" s="2" t="b">
        <v>0</v>
      </c>
      <c r="D1978" s="2"/>
      <c r="E1978" s="2"/>
      <c r="F1978" s="2"/>
      <c r="G1978" s="2"/>
      <c r="H1978" s="2"/>
      <c r="I1978" s="5"/>
    </row>
    <row r="1979" spans="1:9" ht="17.399999999999999" x14ac:dyDescent="0.25">
      <c r="A1979" s="16"/>
      <c r="B1979" s="17"/>
      <c r="C1979" s="2" t="b">
        <v>0</v>
      </c>
      <c r="D1979" s="2"/>
      <c r="E1979" s="2"/>
      <c r="F1979" s="2"/>
      <c r="G1979" s="2"/>
      <c r="H1979" s="2"/>
      <c r="I1979" s="5"/>
    </row>
    <row r="1980" spans="1:9" ht="17.399999999999999" x14ac:dyDescent="0.25">
      <c r="A1980" s="16"/>
      <c r="B1980" s="17"/>
      <c r="C1980" s="2" t="b">
        <v>0</v>
      </c>
      <c r="D1980" s="2"/>
      <c r="E1980" s="2"/>
      <c r="F1980" s="2"/>
      <c r="G1980" s="2"/>
      <c r="H1980" s="2"/>
      <c r="I1980" s="5"/>
    </row>
    <row r="1981" spans="1:9" ht="17.399999999999999" x14ac:dyDescent="0.25">
      <c r="A1981" s="16"/>
      <c r="B1981" s="17"/>
      <c r="C1981" s="2" t="b">
        <v>0</v>
      </c>
      <c r="D1981" s="2"/>
      <c r="E1981" s="2"/>
      <c r="F1981" s="2"/>
      <c r="G1981" s="2"/>
      <c r="H1981" s="2"/>
      <c r="I1981" s="5"/>
    </row>
    <row r="1982" spans="1:9" ht="17.399999999999999" x14ac:dyDescent="0.25">
      <c r="A1982" s="16"/>
      <c r="B1982" s="17"/>
      <c r="C1982" s="2" t="b">
        <v>0</v>
      </c>
      <c r="D1982" s="2"/>
      <c r="E1982" s="2"/>
      <c r="F1982" s="2"/>
      <c r="G1982" s="2"/>
      <c r="H1982" s="2"/>
      <c r="I1982" s="5"/>
    </row>
    <row r="1983" spans="1:9" ht="17.399999999999999" x14ac:dyDescent="0.25">
      <c r="A1983" s="16"/>
      <c r="B1983" s="17"/>
      <c r="C1983" s="2" t="b">
        <v>0</v>
      </c>
      <c r="D1983" s="2"/>
      <c r="E1983" s="2"/>
      <c r="F1983" s="2"/>
      <c r="G1983" s="2"/>
      <c r="H1983" s="2"/>
      <c r="I1983" s="5"/>
    </row>
    <row r="1984" spans="1:9" ht="17.399999999999999" x14ac:dyDescent="0.25">
      <c r="A1984" s="16"/>
      <c r="B1984" s="17"/>
      <c r="C1984" s="2" t="b">
        <v>0</v>
      </c>
      <c r="D1984" s="2"/>
      <c r="E1984" s="2"/>
      <c r="F1984" s="2"/>
      <c r="G1984" s="2"/>
      <c r="H1984" s="2"/>
      <c r="I1984" s="5"/>
    </row>
    <row r="1985" spans="1:9" ht="17.399999999999999" x14ac:dyDescent="0.25">
      <c r="A1985" s="16"/>
      <c r="B1985" s="17"/>
      <c r="C1985" s="2" t="b">
        <v>0</v>
      </c>
      <c r="D1985" s="2"/>
      <c r="E1985" s="2"/>
      <c r="F1985" s="2"/>
      <c r="G1985" s="2"/>
      <c r="H1985" s="2"/>
      <c r="I1985" s="5"/>
    </row>
    <row r="1986" spans="1:9" ht="17.399999999999999" x14ac:dyDescent="0.25">
      <c r="A1986" s="16"/>
      <c r="B1986" s="17"/>
      <c r="C1986" s="2" t="b">
        <v>0</v>
      </c>
      <c r="D1986" s="2"/>
      <c r="E1986" s="2"/>
      <c r="F1986" s="2"/>
      <c r="G1986" s="2"/>
      <c r="H1986" s="2"/>
      <c r="I1986" s="5"/>
    </row>
    <row r="1987" spans="1:9" ht="17.399999999999999" x14ac:dyDescent="0.25">
      <c r="A1987" s="16"/>
      <c r="B1987" s="17"/>
      <c r="C1987" s="2" t="b">
        <v>0</v>
      </c>
      <c r="D1987" s="2"/>
      <c r="E1987" s="2"/>
      <c r="F1987" s="2"/>
      <c r="G1987" s="2"/>
      <c r="H1987" s="2"/>
      <c r="I1987" s="5"/>
    </row>
    <row r="1988" spans="1:9" ht="17.399999999999999" x14ac:dyDescent="0.25">
      <c r="A1988" s="16"/>
      <c r="B1988" s="17"/>
      <c r="C1988" s="2" t="b">
        <v>0</v>
      </c>
      <c r="D1988" s="2"/>
      <c r="E1988" s="2"/>
      <c r="F1988" s="2"/>
      <c r="G1988" s="2"/>
      <c r="H1988" s="2"/>
      <c r="I1988" s="5"/>
    </row>
    <row r="1989" spans="1:9" ht="17.399999999999999" x14ac:dyDescent="0.25">
      <c r="A1989" s="16"/>
      <c r="B1989" s="17"/>
      <c r="C1989" s="2" t="b">
        <v>0</v>
      </c>
      <c r="D1989" s="2"/>
      <c r="E1989" s="2"/>
      <c r="F1989" s="2"/>
      <c r="G1989" s="2"/>
      <c r="H1989" s="2"/>
      <c r="I1989" s="5"/>
    </row>
    <row r="1990" spans="1:9" ht="17.399999999999999" x14ac:dyDescent="0.25">
      <c r="A1990" s="16"/>
      <c r="B1990" s="17"/>
      <c r="C1990" s="2" t="b">
        <v>0</v>
      </c>
      <c r="D1990" s="2"/>
      <c r="E1990" s="2"/>
      <c r="F1990" s="2"/>
      <c r="G1990" s="2"/>
      <c r="H1990" s="2"/>
      <c r="I1990" s="5"/>
    </row>
    <row r="1991" spans="1:9" ht="17.399999999999999" x14ac:dyDescent="0.25">
      <c r="A1991" s="16"/>
      <c r="B1991" s="17"/>
      <c r="C1991" s="2" t="b">
        <v>0</v>
      </c>
      <c r="D1991" s="2"/>
      <c r="E1991" s="2"/>
      <c r="F1991" s="2"/>
      <c r="G1991" s="2"/>
      <c r="H1991" s="2"/>
      <c r="I1991" s="5"/>
    </row>
    <row r="1992" spans="1:9" ht="17.399999999999999" x14ac:dyDescent="0.25">
      <c r="A1992" s="16"/>
      <c r="B1992" s="17"/>
      <c r="C1992" s="2" t="b">
        <v>0</v>
      </c>
      <c r="D1992" s="2"/>
      <c r="E1992" s="2"/>
      <c r="F1992" s="2"/>
      <c r="G1992" s="2"/>
      <c r="H1992" s="2"/>
      <c r="I1992" s="5"/>
    </row>
    <row r="1993" spans="1:9" ht="17.399999999999999" x14ac:dyDescent="0.25">
      <c r="A1993" s="16"/>
      <c r="B1993" s="17"/>
      <c r="C1993" s="2" t="b">
        <v>0</v>
      </c>
      <c r="D1993" s="2"/>
      <c r="E1993" s="2"/>
      <c r="F1993" s="2"/>
      <c r="G1993" s="2"/>
      <c r="H1993" s="2"/>
      <c r="I1993" s="5"/>
    </row>
    <row r="1994" spans="1:9" ht="17.399999999999999" x14ac:dyDescent="0.25">
      <c r="A1994" s="16"/>
      <c r="B1994" s="17"/>
      <c r="C1994" s="2" t="b">
        <v>0</v>
      </c>
      <c r="D1994" s="2"/>
      <c r="E1994" s="2"/>
      <c r="F1994" s="2"/>
      <c r="G1994" s="2"/>
      <c r="H1994" s="2"/>
      <c r="I1994" s="5"/>
    </row>
    <row r="1995" spans="1:9" ht="17.399999999999999" x14ac:dyDescent="0.25">
      <c r="A1995" s="16"/>
      <c r="B1995" s="17"/>
      <c r="C1995" s="2" t="b">
        <v>0</v>
      </c>
      <c r="D1995" s="2"/>
      <c r="E1995" s="2"/>
      <c r="F1995" s="2"/>
      <c r="G1995" s="2"/>
      <c r="H1995" s="2"/>
      <c r="I1995" s="5"/>
    </row>
    <row r="1996" spans="1:9" ht="17.399999999999999" x14ac:dyDescent="0.25">
      <c r="A1996" s="16"/>
      <c r="B1996" s="17"/>
      <c r="C1996" s="2" t="b">
        <v>0</v>
      </c>
      <c r="D1996" s="2"/>
      <c r="E1996" s="2"/>
      <c r="F1996" s="2"/>
      <c r="G1996" s="2"/>
      <c r="H1996" s="2"/>
      <c r="I1996" s="5"/>
    </row>
    <row r="1997" spans="1:9" ht="17.399999999999999" x14ac:dyDescent="0.25">
      <c r="A1997" s="16"/>
      <c r="B1997" s="17"/>
      <c r="C1997" s="2" t="b">
        <v>0</v>
      </c>
      <c r="D1997" s="2"/>
      <c r="E1997" s="2"/>
      <c r="F1997" s="2"/>
      <c r="G1997" s="2"/>
      <c r="H1997" s="2"/>
      <c r="I1997" s="5"/>
    </row>
    <row r="1998" spans="1:9" ht="17.399999999999999" x14ac:dyDescent="0.25">
      <c r="A1998" s="16"/>
      <c r="B1998" s="17"/>
      <c r="C1998" s="2" t="b">
        <v>0</v>
      </c>
      <c r="D1998" s="2"/>
      <c r="E1998" s="2"/>
      <c r="F1998" s="2"/>
      <c r="G1998" s="2"/>
      <c r="H1998" s="2"/>
      <c r="I1998" s="5"/>
    </row>
    <row r="1999" spans="1:9" ht="17.399999999999999" x14ac:dyDescent="0.25">
      <c r="A1999" s="16"/>
      <c r="B1999" s="17"/>
      <c r="C1999" s="2" t="b">
        <v>0</v>
      </c>
      <c r="D1999" s="2"/>
      <c r="E1999" s="2"/>
      <c r="F1999" s="2"/>
      <c r="G1999" s="2"/>
      <c r="H1999" s="2"/>
      <c r="I1999" s="5"/>
    </row>
    <row r="2000" spans="1:9" ht="17.399999999999999" x14ac:dyDescent="0.25">
      <c r="A2000" s="16"/>
      <c r="B2000" s="17"/>
      <c r="C2000" s="2" t="b">
        <v>0</v>
      </c>
      <c r="D2000" s="2"/>
      <c r="E2000" s="2"/>
      <c r="F2000" s="2"/>
      <c r="G2000" s="2"/>
      <c r="H2000" s="2"/>
      <c r="I2000" s="5"/>
    </row>
    <row r="2001" spans="1:9" ht="17.399999999999999" x14ac:dyDescent="0.25">
      <c r="A2001" s="16"/>
      <c r="B2001" s="17"/>
      <c r="C2001" s="2" t="b">
        <v>0</v>
      </c>
      <c r="D2001" s="2"/>
      <c r="E2001" s="2"/>
      <c r="F2001" s="2"/>
      <c r="G2001" s="2"/>
      <c r="H2001" s="2"/>
      <c r="I2001" s="5"/>
    </row>
    <row r="2002" spans="1:9" ht="17.399999999999999" x14ac:dyDescent="0.25">
      <c r="A2002" s="16"/>
      <c r="B2002" s="17"/>
      <c r="C2002" s="2" t="b">
        <v>0</v>
      </c>
      <c r="D2002" s="2"/>
      <c r="E2002" s="2"/>
      <c r="F2002" s="2"/>
      <c r="G2002" s="2"/>
      <c r="H2002" s="2"/>
      <c r="I2002" s="5"/>
    </row>
    <row r="2003" spans="1:9" ht="17.399999999999999" x14ac:dyDescent="0.25">
      <c r="A2003" s="16"/>
      <c r="B2003" s="17"/>
      <c r="C2003" s="2" t="b">
        <v>0</v>
      </c>
      <c r="D2003" s="2"/>
      <c r="E2003" s="2"/>
      <c r="F2003" s="2"/>
      <c r="G2003" s="2"/>
      <c r="H2003" s="2"/>
      <c r="I2003" s="5"/>
    </row>
    <row r="2004" spans="1:9" ht="17.399999999999999" x14ac:dyDescent="0.25">
      <c r="A2004" s="16"/>
      <c r="B2004" s="17"/>
      <c r="C2004" s="2" t="b">
        <v>0</v>
      </c>
      <c r="D2004" s="2"/>
      <c r="E2004" s="2"/>
      <c r="F2004" s="2"/>
      <c r="G2004" s="2"/>
      <c r="H2004" s="2"/>
      <c r="I2004" s="5"/>
    </row>
    <row r="2005" spans="1:9" ht="17.399999999999999" x14ac:dyDescent="0.25">
      <c r="A2005" s="16"/>
      <c r="B2005" s="17"/>
      <c r="C2005" s="2" t="b">
        <v>0</v>
      </c>
      <c r="D2005" s="2"/>
      <c r="E2005" s="2"/>
      <c r="F2005" s="2"/>
      <c r="G2005" s="2"/>
      <c r="H2005" s="2"/>
      <c r="I2005" s="5"/>
    </row>
    <row r="2006" spans="1:9" ht="17.399999999999999" x14ac:dyDescent="0.25">
      <c r="A2006" s="16"/>
      <c r="B2006" s="17"/>
      <c r="C2006" s="2" t="b">
        <v>0</v>
      </c>
      <c r="D2006" s="2"/>
      <c r="E2006" s="2"/>
      <c r="F2006" s="2"/>
      <c r="G2006" s="2"/>
      <c r="H2006" s="2"/>
      <c r="I2006" s="5"/>
    </row>
    <row r="2007" spans="1:9" ht="17.399999999999999" x14ac:dyDescent="0.25">
      <c r="A2007" s="16"/>
      <c r="B2007" s="17"/>
      <c r="C2007" s="2" t="b">
        <v>0</v>
      </c>
      <c r="D2007" s="2"/>
      <c r="E2007" s="2"/>
      <c r="F2007" s="2"/>
      <c r="G2007" s="2"/>
      <c r="H2007" s="2"/>
      <c r="I2007" s="5"/>
    </row>
    <row r="2008" spans="1:9" ht="17.399999999999999" x14ac:dyDescent="0.25">
      <c r="A2008" s="16"/>
      <c r="B2008" s="17"/>
      <c r="C2008" s="2" t="b">
        <v>0</v>
      </c>
      <c r="D2008" s="2"/>
      <c r="E2008" s="2"/>
      <c r="F2008" s="2"/>
      <c r="G2008" s="2"/>
      <c r="H2008" s="2"/>
      <c r="I2008" s="5"/>
    </row>
    <row r="2009" spans="1:9" ht="17.399999999999999" x14ac:dyDescent="0.25">
      <c r="A2009" s="16"/>
      <c r="B2009" s="17"/>
      <c r="C2009" s="2" t="b">
        <v>0</v>
      </c>
      <c r="D2009" s="2"/>
      <c r="E2009" s="2"/>
      <c r="F2009" s="2"/>
      <c r="G2009" s="2"/>
      <c r="H2009" s="2"/>
      <c r="I2009" s="5"/>
    </row>
    <row r="2010" spans="1:9" ht="17.399999999999999" x14ac:dyDescent="0.25">
      <c r="A2010" s="16"/>
      <c r="B2010" s="17"/>
      <c r="C2010" s="2" t="b">
        <v>0</v>
      </c>
      <c r="D2010" s="2"/>
      <c r="E2010" s="2"/>
      <c r="F2010" s="2"/>
      <c r="G2010" s="2"/>
      <c r="H2010" s="2"/>
      <c r="I2010" s="5"/>
    </row>
    <row r="2011" spans="1:9" ht="17.399999999999999" x14ac:dyDescent="0.25">
      <c r="A2011" s="16"/>
      <c r="B2011" s="17"/>
      <c r="C2011" s="2" t="b">
        <v>0</v>
      </c>
      <c r="D2011" s="2"/>
      <c r="E2011" s="2"/>
      <c r="F2011" s="2"/>
      <c r="G2011" s="2"/>
      <c r="H2011" s="2"/>
      <c r="I2011" s="5"/>
    </row>
    <row r="2012" spans="1:9" ht="17.399999999999999" x14ac:dyDescent="0.25">
      <c r="A2012" s="16"/>
      <c r="B2012" s="17"/>
      <c r="C2012" s="2" t="b">
        <v>0</v>
      </c>
      <c r="D2012" s="2"/>
      <c r="E2012" s="2"/>
      <c r="F2012" s="2"/>
      <c r="G2012" s="2"/>
      <c r="H2012" s="2"/>
      <c r="I2012" s="5"/>
    </row>
    <row r="2013" spans="1:9" ht="17.399999999999999" x14ac:dyDescent="0.25">
      <c r="A2013" s="16"/>
      <c r="B2013" s="17"/>
      <c r="C2013" s="2" t="b">
        <v>0</v>
      </c>
      <c r="D2013" s="2"/>
      <c r="E2013" s="2"/>
      <c r="F2013" s="2"/>
      <c r="G2013" s="2"/>
      <c r="H2013" s="2"/>
      <c r="I2013" s="5"/>
    </row>
    <row r="2014" spans="1:9" ht="17.399999999999999" x14ac:dyDescent="0.25">
      <c r="A2014" s="16"/>
      <c r="B2014" s="17"/>
      <c r="C2014" s="2" t="b">
        <v>0</v>
      </c>
      <c r="D2014" s="2"/>
      <c r="E2014" s="2"/>
      <c r="F2014" s="2"/>
      <c r="G2014" s="2"/>
      <c r="H2014" s="2"/>
      <c r="I2014" s="5"/>
    </row>
    <row r="2015" spans="1:9" ht="17.399999999999999" x14ac:dyDescent="0.25">
      <c r="A2015" s="16"/>
      <c r="B2015" s="17"/>
      <c r="C2015" s="2" t="b">
        <v>0</v>
      </c>
      <c r="D2015" s="2"/>
      <c r="E2015" s="2"/>
      <c r="F2015" s="2"/>
      <c r="G2015" s="2"/>
      <c r="H2015" s="2"/>
      <c r="I2015" s="5"/>
    </row>
    <row r="2016" spans="1:9" ht="17.399999999999999" x14ac:dyDescent="0.25">
      <c r="A2016" s="16"/>
      <c r="B2016" s="17"/>
      <c r="C2016" s="2" t="b">
        <v>0</v>
      </c>
      <c r="D2016" s="2"/>
      <c r="E2016" s="2"/>
      <c r="F2016" s="2"/>
      <c r="G2016" s="2"/>
      <c r="H2016" s="2"/>
      <c r="I2016" s="5"/>
    </row>
    <row r="2017" spans="1:9" ht="17.399999999999999" x14ac:dyDescent="0.25">
      <c r="A2017" s="16"/>
      <c r="B2017" s="17"/>
      <c r="C2017" s="2" t="b">
        <v>0</v>
      </c>
      <c r="D2017" s="2"/>
      <c r="E2017" s="2"/>
      <c r="F2017" s="2"/>
      <c r="G2017" s="2"/>
      <c r="H2017" s="2"/>
      <c r="I2017" s="5"/>
    </row>
    <row r="2018" spans="1:9" ht="17.399999999999999" x14ac:dyDescent="0.25">
      <c r="A2018" s="16"/>
      <c r="B2018" s="17"/>
      <c r="C2018" s="2" t="b">
        <v>0</v>
      </c>
      <c r="D2018" s="2"/>
      <c r="E2018" s="2"/>
      <c r="F2018" s="2"/>
      <c r="G2018" s="2"/>
      <c r="H2018" s="2"/>
      <c r="I2018" s="5"/>
    </row>
    <row r="2019" spans="1:9" ht="17.399999999999999" x14ac:dyDescent="0.25">
      <c r="A2019" s="16"/>
      <c r="B2019" s="17"/>
      <c r="C2019" s="2" t="b">
        <v>0</v>
      </c>
      <c r="D2019" s="2"/>
      <c r="E2019" s="2"/>
      <c r="F2019" s="2"/>
      <c r="G2019" s="2"/>
      <c r="H2019" s="2"/>
      <c r="I2019" s="5"/>
    </row>
    <row r="2020" spans="1:9" ht="17.399999999999999" x14ac:dyDescent="0.25">
      <c r="A2020" s="16"/>
      <c r="B2020" s="17"/>
      <c r="C2020" s="2" t="b">
        <v>0</v>
      </c>
      <c r="D2020" s="2"/>
      <c r="E2020" s="2"/>
      <c r="F2020" s="2"/>
      <c r="G2020" s="2"/>
      <c r="H2020" s="2"/>
      <c r="I2020" s="5"/>
    </row>
    <row r="2021" spans="1:9" ht="17.399999999999999" x14ac:dyDescent="0.25">
      <c r="A2021" s="16"/>
      <c r="B2021" s="17"/>
      <c r="C2021" s="2" t="b">
        <v>0</v>
      </c>
      <c r="D2021" s="2"/>
      <c r="E2021" s="2"/>
      <c r="F2021" s="2"/>
      <c r="G2021" s="2"/>
      <c r="H2021" s="2"/>
      <c r="I2021" s="5"/>
    </row>
    <row r="2022" spans="1:9" ht="17.399999999999999" x14ac:dyDescent="0.25">
      <c r="A2022" s="16"/>
      <c r="B2022" s="17"/>
      <c r="C2022" s="2" t="b">
        <v>0</v>
      </c>
      <c r="D2022" s="2"/>
      <c r="E2022" s="2"/>
      <c r="F2022" s="2"/>
      <c r="G2022" s="2"/>
      <c r="H2022" s="2"/>
      <c r="I2022" s="5"/>
    </row>
    <row r="2023" spans="1:9" ht="17.399999999999999" x14ac:dyDescent="0.25">
      <c r="A2023" s="16"/>
      <c r="B2023" s="17"/>
      <c r="C2023" s="2" t="b">
        <v>0</v>
      </c>
      <c r="D2023" s="2"/>
      <c r="E2023" s="2"/>
      <c r="F2023" s="2"/>
      <c r="G2023" s="2"/>
      <c r="H2023" s="2"/>
      <c r="I2023" s="5"/>
    </row>
    <row r="2024" spans="1:9" ht="17.399999999999999" x14ac:dyDescent="0.25">
      <c r="A2024" s="16"/>
      <c r="B2024" s="17"/>
      <c r="C2024" s="2" t="b">
        <v>0</v>
      </c>
      <c r="D2024" s="2"/>
      <c r="E2024" s="2"/>
      <c r="F2024" s="2"/>
      <c r="G2024" s="2"/>
      <c r="H2024" s="2"/>
      <c r="I2024" s="5"/>
    </row>
    <row r="2025" spans="1:9" ht="17.399999999999999" x14ac:dyDescent="0.25">
      <c r="A2025" s="16"/>
      <c r="B2025" s="17"/>
      <c r="C2025" s="2" t="b">
        <v>0</v>
      </c>
      <c r="D2025" s="2"/>
      <c r="E2025" s="2"/>
      <c r="F2025" s="2"/>
      <c r="G2025" s="2"/>
      <c r="H2025" s="2"/>
      <c r="I2025" s="5"/>
    </row>
    <row r="2026" spans="1:9" ht="17.399999999999999" x14ac:dyDescent="0.25">
      <c r="A2026" s="16"/>
      <c r="B2026" s="17"/>
      <c r="C2026" s="2" t="b">
        <v>0</v>
      </c>
      <c r="D2026" s="2"/>
      <c r="E2026" s="2"/>
      <c r="F2026" s="2"/>
      <c r="G2026" s="2"/>
      <c r="H2026" s="2"/>
      <c r="I2026" s="5"/>
    </row>
    <row r="2027" spans="1:9" ht="17.399999999999999" x14ac:dyDescent="0.25">
      <c r="A2027" s="16"/>
      <c r="B2027" s="17"/>
      <c r="C2027" s="2" t="b">
        <v>0</v>
      </c>
      <c r="D2027" s="2"/>
      <c r="E2027" s="2"/>
      <c r="F2027" s="2"/>
      <c r="G2027" s="2"/>
      <c r="H2027" s="2"/>
      <c r="I2027" s="5"/>
    </row>
    <row r="2028" spans="1:9" ht="17.399999999999999" x14ac:dyDescent="0.25">
      <c r="A2028" s="16"/>
      <c r="B2028" s="17"/>
      <c r="C2028" s="2" t="b">
        <v>0</v>
      </c>
      <c r="D2028" s="2"/>
      <c r="E2028" s="2"/>
      <c r="F2028" s="2"/>
      <c r="G2028" s="2"/>
      <c r="H2028" s="2"/>
      <c r="I2028" s="5"/>
    </row>
    <row r="2029" spans="1:9" ht="17.399999999999999" x14ac:dyDescent="0.25">
      <c r="A2029" s="16"/>
      <c r="B2029" s="17"/>
      <c r="C2029" s="2" t="b">
        <v>0</v>
      </c>
      <c r="D2029" s="2"/>
      <c r="E2029" s="2"/>
      <c r="F2029" s="2"/>
      <c r="G2029" s="2"/>
      <c r="H2029" s="2"/>
      <c r="I2029" s="5"/>
    </row>
    <row r="2030" spans="1:9" ht="17.399999999999999" x14ac:dyDescent="0.25">
      <c r="A2030" s="16"/>
      <c r="B2030" s="17"/>
      <c r="C2030" s="2" t="b">
        <v>0</v>
      </c>
      <c r="D2030" s="2"/>
      <c r="E2030" s="2"/>
      <c r="F2030" s="2"/>
      <c r="G2030" s="2"/>
      <c r="H2030" s="2"/>
      <c r="I2030" s="5"/>
    </row>
    <row r="2031" spans="1:9" ht="17.399999999999999" x14ac:dyDescent="0.25">
      <c r="A2031" s="16"/>
      <c r="B2031" s="17"/>
      <c r="C2031" s="2" t="b">
        <v>0</v>
      </c>
      <c r="D2031" s="2"/>
      <c r="E2031" s="2"/>
      <c r="F2031" s="2"/>
      <c r="G2031" s="2"/>
      <c r="H2031" s="2"/>
      <c r="I2031" s="5"/>
    </row>
    <row r="2032" spans="1:9" ht="17.399999999999999" x14ac:dyDescent="0.25">
      <c r="A2032" s="16"/>
      <c r="B2032" s="17"/>
      <c r="C2032" s="2" t="b">
        <v>0</v>
      </c>
      <c r="D2032" s="2"/>
      <c r="E2032" s="2"/>
      <c r="F2032" s="2"/>
      <c r="G2032" s="2"/>
      <c r="H2032" s="2"/>
      <c r="I2032" s="5"/>
    </row>
    <row r="2033" spans="1:9" ht="17.399999999999999" x14ac:dyDescent="0.25">
      <c r="A2033" s="16"/>
      <c r="B2033" s="17"/>
      <c r="C2033" s="2" t="b">
        <v>0</v>
      </c>
      <c r="D2033" s="2"/>
      <c r="E2033" s="2"/>
      <c r="F2033" s="2"/>
      <c r="G2033" s="2"/>
      <c r="H2033" s="2"/>
      <c r="I2033" s="5"/>
    </row>
    <row r="2034" spans="1:9" ht="17.399999999999999" x14ac:dyDescent="0.25">
      <c r="A2034" s="16"/>
      <c r="B2034" s="17"/>
      <c r="C2034" s="2" t="b">
        <v>0</v>
      </c>
      <c r="D2034" s="2"/>
      <c r="E2034" s="2"/>
      <c r="F2034" s="2"/>
      <c r="G2034" s="2"/>
      <c r="H2034" s="2"/>
      <c r="I2034" s="5"/>
    </row>
    <row r="2035" spans="1:9" ht="17.399999999999999" x14ac:dyDescent="0.25">
      <c r="A2035" s="16"/>
      <c r="B2035" s="17"/>
      <c r="C2035" s="2" t="b">
        <v>0</v>
      </c>
      <c r="D2035" s="2"/>
      <c r="E2035" s="2"/>
      <c r="F2035" s="2"/>
      <c r="G2035" s="2"/>
      <c r="H2035" s="2"/>
      <c r="I2035" s="5"/>
    </row>
    <row r="2036" spans="1:9" ht="17.399999999999999" x14ac:dyDescent="0.25">
      <c r="A2036" s="16"/>
      <c r="B2036" s="17"/>
      <c r="C2036" s="2" t="b">
        <v>0</v>
      </c>
      <c r="D2036" s="2"/>
      <c r="E2036" s="2"/>
      <c r="F2036" s="2"/>
      <c r="G2036" s="2"/>
      <c r="H2036" s="2"/>
      <c r="I2036" s="5"/>
    </row>
    <row r="2037" spans="1:9" ht="17.399999999999999" x14ac:dyDescent="0.25">
      <c r="A2037" s="16"/>
      <c r="B2037" s="17"/>
      <c r="C2037" s="2" t="b">
        <v>0</v>
      </c>
      <c r="D2037" s="2"/>
      <c r="E2037" s="2"/>
      <c r="F2037" s="2"/>
      <c r="G2037" s="2"/>
      <c r="H2037" s="2"/>
      <c r="I2037" s="5"/>
    </row>
    <row r="2038" spans="1:9" ht="17.399999999999999" x14ac:dyDescent="0.25">
      <c r="A2038" s="16"/>
      <c r="B2038" s="17"/>
      <c r="C2038" s="2" t="b">
        <v>0</v>
      </c>
      <c r="D2038" s="2"/>
      <c r="E2038" s="2"/>
      <c r="F2038" s="2"/>
      <c r="G2038" s="2"/>
      <c r="H2038" s="2"/>
      <c r="I2038" s="5"/>
    </row>
    <row r="2039" spans="1:9" ht="17.399999999999999" x14ac:dyDescent="0.25">
      <c r="A2039" s="16"/>
      <c r="B2039" s="17"/>
      <c r="C2039" s="2" t="b">
        <v>0</v>
      </c>
      <c r="D2039" s="2"/>
      <c r="E2039" s="2"/>
      <c r="F2039" s="2"/>
      <c r="G2039" s="2"/>
      <c r="H2039" s="2"/>
      <c r="I2039" s="5"/>
    </row>
    <row r="2040" spans="1:9" ht="17.399999999999999" x14ac:dyDescent="0.25">
      <c r="A2040" s="16"/>
      <c r="B2040" s="17"/>
      <c r="C2040" s="2" t="b">
        <v>0</v>
      </c>
      <c r="D2040" s="2"/>
      <c r="E2040" s="2"/>
      <c r="F2040" s="2"/>
      <c r="G2040" s="2"/>
      <c r="H2040" s="2"/>
      <c r="I2040" s="5"/>
    </row>
    <row r="2041" spans="1:9" ht="17.399999999999999" x14ac:dyDescent="0.25">
      <c r="A2041" s="16"/>
      <c r="B2041" s="17"/>
      <c r="C2041" s="2" t="b">
        <v>0</v>
      </c>
      <c r="D2041" s="2"/>
      <c r="E2041" s="2"/>
      <c r="F2041" s="2"/>
      <c r="G2041" s="2"/>
      <c r="H2041" s="2"/>
      <c r="I2041" s="5"/>
    </row>
    <row r="2042" spans="1:9" ht="17.399999999999999" x14ac:dyDescent="0.25">
      <c r="A2042" s="16"/>
      <c r="B2042" s="17"/>
      <c r="C2042" s="2" t="b">
        <v>0</v>
      </c>
      <c r="D2042" s="2"/>
      <c r="E2042" s="2"/>
      <c r="F2042" s="2"/>
      <c r="G2042" s="2"/>
      <c r="H2042" s="2"/>
      <c r="I2042" s="5"/>
    </row>
    <row r="2043" spans="1:9" ht="17.399999999999999" x14ac:dyDescent="0.25">
      <c r="A2043" s="16"/>
      <c r="B2043" s="17"/>
      <c r="C2043" s="2" t="b">
        <v>0</v>
      </c>
      <c r="D2043" s="2"/>
      <c r="E2043" s="2"/>
      <c r="F2043" s="2"/>
      <c r="G2043" s="2"/>
      <c r="H2043" s="2"/>
      <c r="I2043" s="5"/>
    </row>
    <row r="2044" spans="1:9" ht="17.399999999999999" x14ac:dyDescent="0.25">
      <c r="A2044" s="16"/>
      <c r="B2044" s="17"/>
      <c r="C2044" s="2" t="b">
        <v>0</v>
      </c>
      <c r="D2044" s="2"/>
      <c r="E2044" s="2"/>
      <c r="F2044" s="2"/>
      <c r="G2044" s="2"/>
      <c r="H2044" s="2"/>
      <c r="I2044" s="5"/>
    </row>
    <row r="2045" spans="1:9" ht="17.399999999999999" x14ac:dyDescent="0.25">
      <c r="A2045" s="16"/>
      <c r="B2045" s="17"/>
      <c r="C2045" s="2" t="b">
        <v>0</v>
      </c>
      <c r="D2045" s="2"/>
      <c r="E2045" s="2"/>
      <c r="F2045" s="2"/>
      <c r="G2045" s="2"/>
      <c r="H2045" s="2"/>
      <c r="I2045" s="5"/>
    </row>
    <row r="2046" spans="1:9" ht="17.399999999999999" x14ac:dyDescent="0.25">
      <c r="A2046" s="16"/>
      <c r="B2046" s="17"/>
      <c r="C2046" s="2" t="b">
        <v>0</v>
      </c>
      <c r="D2046" s="2"/>
      <c r="E2046" s="2"/>
      <c r="F2046" s="2"/>
      <c r="G2046" s="2"/>
      <c r="H2046" s="2"/>
      <c r="I2046" s="5"/>
    </row>
    <row r="2047" spans="1:9" ht="17.399999999999999" x14ac:dyDescent="0.25">
      <c r="A2047" s="16"/>
      <c r="B2047" s="17"/>
      <c r="C2047" s="2" t="b">
        <v>0</v>
      </c>
      <c r="D2047" s="2"/>
      <c r="E2047" s="2"/>
      <c r="F2047" s="2"/>
      <c r="G2047" s="2"/>
      <c r="H2047" s="2"/>
      <c r="I2047" s="5"/>
    </row>
    <row r="2048" spans="1:9" ht="17.399999999999999" x14ac:dyDescent="0.25">
      <c r="A2048" s="16"/>
      <c r="B2048" s="17"/>
      <c r="C2048" s="2" t="b">
        <v>0</v>
      </c>
      <c r="D2048" s="2"/>
      <c r="E2048" s="2"/>
      <c r="F2048" s="2"/>
      <c r="G2048" s="2"/>
      <c r="H2048" s="2"/>
      <c r="I2048" s="5"/>
    </row>
    <row r="2049" spans="1:9" ht="17.399999999999999" x14ac:dyDescent="0.25">
      <c r="A2049" s="16"/>
      <c r="B2049" s="17"/>
      <c r="C2049" s="2" t="b">
        <v>0</v>
      </c>
      <c r="D2049" s="2"/>
      <c r="E2049" s="2"/>
      <c r="F2049" s="2"/>
      <c r="G2049" s="2"/>
      <c r="H2049" s="2"/>
      <c r="I2049" s="5"/>
    </row>
    <row r="2050" spans="1:9" ht="17.399999999999999" x14ac:dyDescent="0.25">
      <c r="A2050" s="16"/>
      <c r="B2050" s="17"/>
      <c r="C2050" s="2" t="b">
        <v>0</v>
      </c>
      <c r="D2050" s="2"/>
      <c r="E2050" s="2"/>
      <c r="F2050" s="2"/>
      <c r="G2050" s="2"/>
      <c r="H2050" s="2"/>
      <c r="I2050" s="5"/>
    </row>
    <row r="2051" spans="1:9" ht="17.399999999999999" x14ac:dyDescent="0.25">
      <c r="A2051" s="16"/>
      <c r="B2051" s="17"/>
      <c r="C2051" s="2" t="b">
        <v>0</v>
      </c>
      <c r="D2051" s="2"/>
      <c r="E2051" s="2"/>
      <c r="F2051" s="2"/>
      <c r="G2051" s="2"/>
      <c r="H2051" s="2"/>
      <c r="I2051" s="5"/>
    </row>
    <row r="2052" spans="1:9" ht="17.399999999999999" x14ac:dyDescent="0.25">
      <c r="A2052" s="16"/>
      <c r="B2052" s="17"/>
      <c r="C2052" s="2" t="b">
        <v>0</v>
      </c>
      <c r="D2052" s="2"/>
      <c r="E2052" s="2"/>
      <c r="F2052" s="2"/>
      <c r="G2052" s="2"/>
      <c r="H2052" s="2"/>
      <c r="I2052" s="5"/>
    </row>
    <row r="2053" spans="1:9" ht="17.399999999999999" x14ac:dyDescent="0.25">
      <c r="A2053" s="16"/>
      <c r="B2053" s="17"/>
      <c r="C2053" s="2" t="b">
        <v>0</v>
      </c>
      <c r="D2053" s="2"/>
      <c r="E2053" s="2"/>
      <c r="F2053" s="2"/>
      <c r="G2053" s="2"/>
      <c r="H2053" s="2"/>
      <c r="I2053" s="5"/>
    </row>
    <row r="2054" spans="1:9" ht="17.399999999999999" x14ac:dyDescent="0.25">
      <c r="A2054" s="16"/>
      <c r="B2054" s="17"/>
      <c r="C2054" s="2" t="b">
        <v>0</v>
      </c>
      <c r="D2054" s="2"/>
      <c r="E2054" s="2"/>
      <c r="F2054" s="2"/>
      <c r="G2054" s="2"/>
      <c r="H2054" s="2"/>
      <c r="I2054" s="5"/>
    </row>
    <row r="2055" spans="1:9" ht="17.399999999999999" x14ac:dyDescent="0.25">
      <c r="A2055" s="16"/>
      <c r="B2055" s="17"/>
      <c r="C2055" s="2" t="b">
        <v>0</v>
      </c>
      <c r="D2055" s="2"/>
      <c r="E2055" s="2"/>
      <c r="F2055" s="2"/>
      <c r="G2055" s="2"/>
      <c r="H2055" s="2"/>
      <c r="I2055" s="5"/>
    </row>
    <row r="2056" spans="1:9" ht="17.399999999999999" x14ac:dyDescent="0.25">
      <c r="A2056" s="16"/>
      <c r="B2056" s="17"/>
      <c r="C2056" s="2" t="b">
        <v>0</v>
      </c>
      <c r="D2056" s="2"/>
      <c r="E2056" s="2"/>
      <c r="F2056" s="2"/>
      <c r="G2056" s="2"/>
      <c r="H2056" s="2"/>
      <c r="I2056" s="5"/>
    </row>
    <row r="2057" spans="1:9" ht="17.399999999999999" x14ac:dyDescent="0.25">
      <c r="A2057" s="16"/>
      <c r="B2057" s="17"/>
      <c r="C2057" s="2" t="b">
        <v>0</v>
      </c>
      <c r="D2057" s="2"/>
      <c r="E2057" s="2"/>
      <c r="F2057" s="2"/>
      <c r="G2057" s="2"/>
      <c r="H2057" s="2"/>
      <c r="I2057" s="5"/>
    </row>
    <row r="2058" spans="1:9" ht="17.399999999999999" x14ac:dyDescent="0.25">
      <c r="A2058" s="16"/>
      <c r="B2058" s="17"/>
      <c r="C2058" s="2" t="b">
        <v>0</v>
      </c>
      <c r="D2058" s="2"/>
      <c r="E2058" s="2"/>
      <c r="F2058" s="2"/>
      <c r="G2058" s="2"/>
      <c r="H2058" s="2"/>
      <c r="I2058" s="5"/>
    </row>
    <row r="2059" spans="1:9" ht="17.399999999999999" x14ac:dyDescent="0.25">
      <c r="A2059" s="16"/>
      <c r="B2059" s="17"/>
      <c r="C2059" s="2" t="b">
        <v>0</v>
      </c>
      <c r="D2059" s="2"/>
      <c r="E2059" s="2"/>
      <c r="F2059" s="2"/>
      <c r="G2059" s="2"/>
      <c r="H2059" s="2"/>
      <c r="I2059" s="5"/>
    </row>
    <row r="2060" spans="1:9" ht="17.399999999999999" x14ac:dyDescent="0.25">
      <c r="A2060" s="16"/>
      <c r="B2060" s="17"/>
      <c r="C2060" s="2" t="b">
        <v>0</v>
      </c>
      <c r="D2060" s="2"/>
      <c r="E2060" s="2"/>
      <c r="F2060" s="2"/>
      <c r="G2060" s="2"/>
      <c r="H2060" s="2"/>
      <c r="I2060" s="5"/>
    </row>
    <row r="2061" spans="1:9" ht="17.399999999999999" x14ac:dyDescent="0.25">
      <c r="A2061" s="16"/>
      <c r="B2061" s="17"/>
      <c r="C2061" s="2" t="b">
        <v>0</v>
      </c>
      <c r="D2061" s="2"/>
      <c r="E2061" s="2"/>
      <c r="F2061" s="2"/>
      <c r="G2061" s="2"/>
      <c r="H2061" s="2"/>
      <c r="I2061" s="5"/>
    </row>
    <row r="2062" spans="1:9" ht="17.399999999999999" x14ac:dyDescent="0.25">
      <c r="A2062" s="16"/>
      <c r="B2062" s="17"/>
      <c r="C2062" s="2" t="b">
        <v>0</v>
      </c>
      <c r="D2062" s="2"/>
      <c r="E2062" s="2"/>
      <c r="F2062" s="2"/>
      <c r="G2062" s="2"/>
      <c r="H2062" s="2"/>
      <c r="I2062" s="5"/>
    </row>
    <row r="2063" spans="1:9" ht="17.399999999999999" x14ac:dyDescent="0.25">
      <c r="A2063" s="16"/>
      <c r="B2063" s="17"/>
      <c r="C2063" s="2" t="b">
        <v>0</v>
      </c>
      <c r="D2063" s="2"/>
      <c r="E2063" s="2"/>
      <c r="F2063" s="2"/>
      <c r="G2063" s="2"/>
      <c r="H2063" s="2"/>
      <c r="I2063" s="5"/>
    </row>
    <row r="2064" spans="1:9" ht="17.399999999999999" x14ac:dyDescent="0.25">
      <c r="A2064" s="16"/>
      <c r="B2064" s="17"/>
      <c r="C2064" s="2" t="b">
        <v>0</v>
      </c>
      <c r="D2064" s="2"/>
      <c r="E2064" s="2"/>
      <c r="F2064" s="2"/>
      <c r="G2064" s="2"/>
      <c r="H2064" s="2"/>
      <c r="I2064" s="5"/>
    </row>
    <row r="2065" spans="1:9" ht="17.399999999999999" x14ac:dyDescent="0.25">
      <c r="A2065" s="16"/>
      <c r="B2065" s="17"/>
      <c r="C2065" s="2" t="b">
        <v>0</v>
      </c>
      <c r="D2065" s="2"/>
      <c r="E2065" s="2"/>
      <c r="F2065" s="2"/>
      <c r="G2065" s="2"/>
      <c r="H2065" s="2"/>
      <c r="I2065" s="5"/>
    </row>
    <row r="2066" spans="1:9" ht="17.399999999999999" x14ac:dyDescent="0.25">
      <c r="A2066" s="16"/>
      <c r="B2066" s="17"/>
      <c r="C2066" s="2" t="b">
        <v>0</v>
      </c>
      <c r="D2066" s="2"/>
      <c r="E2066" s="2"/>
      <c r="F2066" s="2"/>
      <c r="G2066" s="2"/>
      <c r="H2066" s="2"/>
      <c r="I2066" s="5"/>
    </row>
    <row r="2067" spans="1:9" ht="17.399999999999999" x14ac:dyDescent="0.25">
      <c r="A2067" s="16"/>
      <c r="B2067" s="17"/>
      <c r="C2067" s="2" t="b">
        <v>0</v>
      </c>
      <c r="D2067" s="2"/>
      <c r="E2067" s="2"/>
      <c r="F2067" s="2"/>
      <c r="G2067" s="2"/>
      <c r="H2067" s="2"/>
      <c r="I2067" s="5"/>
    </row>
    <row r="2068" spans="1:9" ht="17.399999999999999" x14ac:dyDescent="0.25">
      <c r="A2068" s="16"/>
      <c r="B2068" s="17"/>
      <c r="C2068" s="2" t="b">
        <v>0</v>
      </c>
      <c r="D2068" s="2"/>
      <c r="E2068" s="2"/>
      <c r="F2068" s="2"/>
      <c r="G2068" s="2"/>
      <c r="H2068" s="2"/>
      <c r="I2068" s="5"/>
    </row>
    <row r="2069" spans="1:9" ht="17.399999999999999" x14ac:dyDescent="0.25">
      <c r="A2069" s="16"/>
      <c r="B2069" s="17"/>
      <c r="C2069" s="2" t="b">
        <v>0</v>
      </c>
      <c r="D2069" s="2"/>
      <c r="E2069" s="2"/>
      <c r="F2069" s="2"/>
      <c r="G2069" s="2"/>
      <c r="H2069" s="2"/>
      <c r="I2069" s="5"/>
    </row>
    <row r="2070" spans="1:9" ht="17.399999999999999" x14ac:dyDescent="0.25">
      <c r="A2070" s="16"/>
      <c r="B2070" s="17"/>
      <c r="C2070" s="2" t="b">
        <v>0</v>
      </c>
      <c r="D2070" s="2"/>
      <c r="E2070" s="2"/>
      <c r="F2070" s="2"/>
      <c r="G2070" s="2"/>
      <c r="H2070" s="2"/>
      <c r="I2070" s="5"/>
    </row>
    <row r="2071" spans="1:9" ht="17.399999999999999" x14ac:dyDescent="0.25">
      <c r="A2071" s="16"/>
      <c r="B2071" s="17"/>
      <c r="C2071" s="2" t="b">
        <v>0</v>
      </c>
      <c r="D2071" s="2"/>
      <c r="E2071" s="2"/>
      <c r="F2071" s="2"/>
      <c r="G2071" s="2"/>
      <c r="H2071" s="2"/>
      <c r="I2071" s="5"/>
    </row>
    <row r="2072" spans="1:9" ht="17.399999999999999" x14ac:dyDescent="0.25">
      <c r="A2072" s="16"/>
      <c r="B2072" s="17"/>
      <c r="C2072" s="2" t="b">
        <v>0</v>
      </c>
      <c r="D2072" s="2"/>
      <c r="E2072" s="2"/>
      <c r="F2072" s="2"/>
      <c r="G2072" s="2"/>
      <c r="H2072" s="2"/>
      <c r="I2072" s="5"/>
    </row>
    <row r="2073" spans="1:9" ht="17.399999999999999" x14ac:dyDescent="0.25">
      <c r="A2073" s="16"/>
      <c r="B2073" s="17"/>
      <c r="C2073" s="2" t="b">
        <v>0</v>
      </c>
      <c r="D2073" s="2"/>
      <c r="E2073" s="2"/>
      <c r="F2073" s="2"/>
      <c r="G2073" s="2"/>
      <c r="H2073" s="2"/>
      <c r="I2073" s="5"/>
    </row>
    <row r="2074" spans="1:9" ht="17.399999999999999" x14ac:dyDescent="0.25">
      <c r="A2074" s="16"/>
      <c r="B2074" s="17"/>
      <c r="C2074" s="2" t="b">
        <v>0</v>
      </c>
      <c r="D2074" s="2"/>
      <c r="E2074" s="2"/>
      <c r="F2074" s="2"/>
      <c r="G2074" s="2"/>
      <c r="H2074" s="2"/>
      <c r="I2074" s="5"/>
    </row>
    <row r="2075" spans="1:9" ht="17.399999999999999" x14ac:dyDescent="0.25">
      <c r="A2075" s="16"/>
      <c r="B2075" s="17"/>
      <c r="C2075" s="2" t="b">
        <v>0</v>
      </c>
      <c r="D2075" s="2"/>
      <c r="E2075" s="2"/>
      <c r="F2075" s="2"/>
      <c r="G2075" s="2"/>
      <c r="H2075" s="2"/>
      <c r="I2075" s="5"/>
    </row>
    <row r="2076" spans="1:9" ht="17.399999999999999" x14ac:dyDescent="0.25">
      <c r="A2076" s="16"/>
      <c r="B2076" s="17"/>
      <c r="C2076" s="2" t="b">
        <v>0</v>
      </c>
      <c r="D2076" s="2"/>
      <c r="E2076" s="2"/>
      <c r="F2076" s="2"/>
      <c r="G2076" s="2"/>
      <c r="H2076" s="2"/>
      <c r="I2076" s="5"/>
    </row>
    <row r="2077" spans="1:9" ht="17.399999999999999" x14ac:dyDescent="0.25">
      <c r="A2077" s="16"/>
      <c r="B2077" s="17"/>
      <c r="C2077" s="2" t="b">
        <v>0</v>
      </c>
      <c r="D2077" s="2"/>
      <c r="E2077" s="2"/>
      <c r="F2077" s="2"/>
      <c r="G2077" s="2"/>
      <c r="H2077" s="2"/>
      <c r="I2077" s="5"/>
    </row>
    <row r="2078" spans="1:9" ht="17.399999999999999" x14ac:dyDescent="0.25">
      <c r="A2078" s="16"/>
      <c r="B2078" s="17"/>
      <c r="C2078" s="2" t="b">
        <v>0</v>
      </c>
      <c r="D2078" s="2"/>
      <c r="E2078" s="2"/>
      <c r="F2078" s="2"/>
      <c r="G2078" s="2"/>
      <c r="H2078" s="2"/>
      <c r="I2078" s="5"/>
    </row>
    <row r="2079" spans="1:9" ht="17.399999999999999" x14ac:dyDescent="0.25">
      <c r="A2079" s="16"/>
      <c r="B2079" s="17"/>
      <c r="C2079" s="2" t="b">
        <v>0</v>
      </c>
      <c r="D2079" s="2"/>
      <c r="E2079" s="2"/>
      <c r="F2079" s="2"/>
      <c r="G2079" s="2"/>
      <c r="H2079" s="2"/>
      <c r="I2079" s="5"/>
    </row>
    <row r="2080" spans="1:9" ht="17.399999999999999" x14ac:dyDescent="0.25">
      <c r="A2080" s="16"/>
      <c r="B2080" s="17"/>
      <c r="C2080" s="2" t="b">
        <v>0</v>
      </c>
      <c r="D2080" s="2"/>
      <c r="E2080" s="2"/>
      <c r="F2080" s="2"/>
      <c r="G2080" s="2"/>
      <c r="H2080" s="2"/>
      <c r="I2080" s="5"/>
    </row>
    <row r="2081" spans="1:9" ht="17.399999999999999" x14ac:dyDescent="0.25">
      <c r="A2081" s="16"/>
      <c r="B2081" s="17"/>
      <c r="C2081" s="2" t="b">
        <v>0</v>
      </c>
      <c r="D2081" s="2"/>
      <c r="E2081" s="2"/>
      <c r="F2081" s="2"/>
      <c r="G2081" s="2"/>
      <c r="H2081" s="2"/>
      <c r="I2081" s="5"/>
    </row>
    <row r="2082" spans="1:9" ht="17.399999999999999" x14ac:dyDescent="0.25">
      <c r="A2082" s="16"/>
      <c r="B2082" s="17"/>
      <c r="C2082" s="2" t="b">
        <v>0</v>
      </c>
      <c r="D2082" s="2"/>
      <c r="E2082" s="2"/>
      <c r="F2082" s="2"/>
      <c r="G2082" s="2"/>
      <c r="H2082" s="2"/>
      <c r="I2082" s="5"/>
    </row>
    <row r="2083" spans="1:9" ht="17.399999999999999" x14ac:dyDescent="0.25">
      <c r="A2083" s="16"/>
      <c r="B2083" s="17"/>
      <c r="C2083" s="2" t="b">
        <v>0</v>
      </c>
      <c r="D2083" s="2"/>
      <c r="E2083" s="2"/>
      <c r="F2083" s="2"/>
      <c r="G2083" s="2"/>
      <c r="H2083" s="2"/>
      <c r="I2083" s="5"/>
    </row>
    <row r="2084" spans="1:9" ht="17.399999999999999" x14ac:dyDescent="0.25">
      <c r="A2084" s="16"/>
      <c r="B2084" s="17"/>
      <c r="C2084" s="2" t="b">
        <v>0</v>
      </c>
      <c r="D2084" s="2"/>
      <c r="E2084" s="2"/>
      <c r="F2084" s="2"/>
      <c r="G2084" s="2"/>
      <c r="H2084" s="2"/>
      <c r="I2084" s="5"/>
    </row>
    <row r="2085" spans="1:9" ht="17.399999999999999" x14ac:dyDescent="0.25">
      <c r="A2085" s="16"/>
      <c r="B2085" s="17"/>
      <c r="C2085" s="2" t="b">
        <v>0</v>
      </c>
      <c r="D2085" s="2"/>
      <c r="E2085" s="2"/>
      <c r="F2085" s="2"/>
      <c r="G2085" s="2"/>
      <c r="H2085" s="2"/>
      <c r="I2085" s="5"/>
    </row>
    <row r="2086" spans="1:9" ht="17.399999999999999" x14ac:dyDescent="0.25">
      <c r="A2086" s="16"/>
      <c r="B2086" s="17"/>
      <c r="C2086" s="2" t="b">
        <v>0</v>
      </c>
      <c r="D2086" s="2"/>
      <c r="E2086" s="2"/>
      <c r="F2086" s="2"/>
      <c r="G2086" s="2"/>
      <c r="H2086" s="2"/>
      <c r="I2086" s="5"/>
    </row>
    <row r="2087" spans="1:9" ht="17.399999999999999" x14ac:dyDescent="0.25">
      <c r="A2087" s="16"/>
      <c r="B2087" s="17"/>
      <c r="C2087" s="2" t="b">
        <v>0</v>
      </c>
      <c r="D2087" s="2"/>
      <c r="E2087" s="2"/>
      <c r="F2087" s="2"/>
      <c r="G2087" s="2"/>
      <c r="H2087" s="2"/>
      <c r="I2087" s="5"/>
    </row>
    <row r="2088" spans="1:9" ht="17.399999999999999" x14ac:dyDescent="0.25">
      <c r="A2088" s="16"/>
      <c r="B2088" s="17"/>
      <c r="C2088" s="2" t="b">
        <v>0</v>
      </c>
      <c r="D2088" s="2"/>
      <c r="E2088" s="2"/>
      <c r="F2088" s="2"/>
      <c r="G2088" s="2"/>
      <c r="H2088" s="2"/>
      <c r="I2088" s="5"/>
    </row>
    <row r="2089" spans="1:9" ht="17.399999999999999" x14ac:dyDescent="0.25">
      <c r="A2089" s="16"/>
      <c r="B2089" s="17"/>
      <c r="C2089" s="2" t="b">
        <v>0</v>
      </c>
      <c r="D2089" s="2"/>
      <c r="E2089" s="2"/>
      <c r="F2089" s="2"/>
      <c r="G2089" s="2"/>
      <c r="H2089" s="2"/>
      <c r="I2089" s="5"/>
    </row>
    <row r="2090" spans="1:9" ht="17.399999999999999" x14ac:dyDescent="0.25">
      <c r="A2090" s="16"/>
      <c r="B2090" s="17"/>
      <c r="C2090" s="2" t="b">
        <v>0</v>
      </c>
      <c r="D2090" s="2"/>
      <c r="E2090" s="2"/>
      <c r="F2090" s="2"/>
      <c r="G2090" s="2"/>
      <c r="H2090" s="2"/>
      <c r="I2090" s="5"/>
    </row>
    <row r="2091" spans="1:9" ht="17.399999999999999" x14ac:dyDescent="0.25">
      <c r="A2091" s="16"/>
      <c r="B2091" s="17"/>
      <c r="C2091" s="2" t="b">
        <v>0</v>
      </c>
      <c r="D2091" s="2"/>
      <c r="E2091" s="2"/>
      <c r="F2091" s="2"/>
      <c r="G2091" s="2"/>
      <c r="H2091" s="2"/>
      <c r="I2091" s="5"/>
    </row>
    <row r="2092" spans="1:9" ht="17.399999999999999" x14ac:dyDescent="0.25">
      <c r="A2092" s="16"/>
      <c r="B2092" s="17"/>
      <c r="C2092" s="2" t="b">
        <v>0</v>
      </c>
      <c r="D2092" s="2"/>
      <c r="E2092" s="2"/>
      <c r="F2092" s="2"/>
      <c r="G2092" s="2"/>
      <c r="H2092" s="2"/>
      <c r="I2092" s="5"/>
    </row>
    <row r="2093" spans="1:9" ht="17.399999999999999" x14ac:dyDescent="0.25">
      <c r="A2093" s="16"/>
      <c r="B2093" s="17"/>
      <c r="C2093" s="2" t="b">
        <v>0</v>
      </c>
      <c r="D2093" s="2"/>
      <c r="E2093" s="2"/>
      <c r="F2093" s="2"/>
      <c r="G2093" s="2"/>
      <c r="H2093" s="2"/>
      <c r="I2093" s="5"/>
    </row>
    <row r="2094" spans="1:9" ht="17.399999999999999" x14ac:dyDescent="0.25">
      <c r="A2094" s="16"/>
      <c r="B2094" s="17"/>
      <c r="C2094" s="2" t="b">
        <v>0</v>
      </c>
      <c r="D2094" s="2"/>
      <c r="E2094" s="2"/>
      <c r="F2094" s="2"/>
      <c r="G2094" s="2"/>
      <c r="H2094" s="2"/>
      <c r="I2094" s="5"/>
    </row>
    <row r="2095" spans="1:9" ht="17.399999999999999" x14ac:dyDescent="0.25">
      <c r="A2095" s="16"/>
      <c r="B2095" s="17"/>
      <c r="C2095" s="2" t="b">
        <v>0</v>
      </c>
      <c r="D2095" s="2"/>
      <c r="E2095" s="2"/>
      <c r="F2095" s="2"/>
      <c r="G2095" s="2"/>
      <c r="H2095" s="2"/>
      <c r="I2095" s="5"/>
    </row>
    <row r="2096" spans="1:9" ht="17.399999999999999" x14ac:dyDescent="0.25">
      <c r="A2096" s="16"/>
      <c r="B2096" s="17"/>
      <c r="C2096" s="2" t="b">
        <v>0</v>
      </c>
      <c r="D2096" s="2"/>
      <c r="E2096" s="2"/>
      <c r="F2096" s="2"/>
      <c r="G2096" s="2"/>
      <c r="H2096" s="2"/>
      <c r="I2096" s="5"/>
    </row>
    <row r="2097" spans="1:9" ht="17.399999999999999" x14ac:dyDescent="0.25">
      <c r="A2097" s="16"/>
      <c r="B2097" s="17"/>
      <c r="C2097" s="2" t="b">
        <v>0</v>
      </c>
      <c r="D2097" s="2"/>
      <c r="E2097" s="2"/>
      <c r="F2097" s="2"/>
      <c r="G2097" s="2"/>
      <c r="H2097" s="2"/>
      <c r="I2097" s="5"/>
    </row>
    <row r="2098" spans="1:9" ht="17.399999999999999" x14ac:dyDescent="0.25">
      <c r="A2098" s="16"/>
      <c r="B2098" s="17"/>
      <c r="C2098" s="2" t="b">
        <v>0</v>
      </c>
      <c r="D2098" s="2"/>
      <c r="E2098" s="2"/>
      <c r="F2098" s="2"/>
      <c r="G2098" s="2"/>
      <c r="H2098" s="2"/>
      <c r="I2098" s="5"/>
    </row>
    <row r="2099" spans="1:9" ht="17.399999999999999" x14ac:dyDescent="0.25">
      <c r="A2099" s="16"/>
      <c r="B2099" s="17"/>
      <c r="C2099" s="2" t="b">
        <v>0</v>
      </c>
      <c r="D2099" s="2"/>
      <c r="E2099" s="2"/>
      <c r="F2099" s="2"/>
      <c r="G2099" s="2"/>
      <c r="H2099" s="2"/>
      <c r="I2099" s="5"/>
    </row>
    <row r="2100" spans="1:9" ht="17.399999999999999" x14ac:dyDescent="0.25">
      <c r="A2100" s="16"/>
      <c r="B2100" s="17"/>
      <c r="C2100" s="2" t="b">
        <v>0</v>
      </c>
      <c r="D2100" s="2"/>
      <c r="E2100" s="2"/>
      <c r="F2100" s="2"/>
      <c r="G2100" s="2"/>
      <c r="H2100" s="2"/>
      <c r="I2100" s="5"/>
    </row>
    <row r="2101" spans="1:9" ht="17.399999999999999" x14ac:dyDescent="0.25">
      <c r="A2101" s="16"/>
      <c r="B2101" s="17"/>
      <c r="C2101" s="2" t="b">
        <v>0</v>
      </c>
      <c r="D2101" s="2"/>
      <c r="E2101" s="2"/>
      <c r="F2101" s="2"/>
      <c r="G2101" s="2"/>
      <c r="H2101" s="2"/>
      <c r="I2101" s="5"/>
    </row>
    <row r="2102" spans="1:9" ht="17.399999999999999" x14ac:dyDescent="0.25">
      <c r="A2102" s="16"/>
      <c r="B2102" s="17"/>
      <c r="C2102" s="2" t="b">
        <v>0</v>
      </c>
      <c r="D2102" s="2"/>
      <c r="E2102" s="2"/>
      <c r="F2102" s="2"/>
      <c r="G2102" s="2"/>
      <c r="H2102" s="2"/>
      <c r="I2102" s="5"/>
    </row>
    <row r="2103" spans="1:9" ht="17.399999999999999" x14ac:dyDescent="0.25">
      <c r="A2103" s="16"/>
      <c r="B2103" s="17"/>
      <c r="C2103" s="2" t="b">
        <v>0</v>
      </c>
      <c r="D2103" s="2"/>
      <c r="E2103" s="2"/>
      <c r="F2103" s="2"/>
      <c r="G2103" s="2"/>
      <c r="H2103" s="2"/>
      <c r="I2103" s="5"/>
    </row>
    <row r="2104" spans="1:9" ht="17.399999999999999" x14ac:dyDescent="0.25">
      <c r="A2104" s="16"/>
      <c r="B2104" s="17"/>
      <c r="C2104" s="2" t="b">
        <v>0</v>
      </c>
      <c r="D2104" s="2"/>
      <c r="E2104" s="2"/>
      <c r="F2104" s="2"/>
      <c r="G2104" s="2"/>
      <c r="H2104" s="2"/>
      <c r="I2104" s="5"/>
    </row>
    <row r="2105" spans="1:9" ht="17.399999999999999" x14ac:dyDescent="0.25">
      <c r="A2105" s="16"/>
      <c r="B2105" s="17"/>
      <c r="C2105" s="2" t="b">
        <v>0</v>
      </c>
      <c r="D2105" s="2"/>
      <c r="E2105" s="2"/>
      <c r="F2105" s="2"/>
      <c r="G2105" s="2"/>
      <c r="H2105" s="2"/>
      <c r="I2105" s="5"/>
    </row>
    <row r="2106" spans="1:9" ht="17.399999999999999" x14ac:dyDescent="0.25">
      <c r="A2106" s="16"/>
      <c r="B2106" s="17"/>
      <c r="C2106" s="2" t="b">
        <v>0</v>
      </c>
      <c r="D2106" s="2"/>
      <c r="E2106" s="2"/>
      <c r="F2106" s="2"/>
      <c r="G2106" s="2"/>
      <c r="H2106" s="2"/>
      <c r="I2106" s="5"/>
    </row>
    <row r="2107" spans="1:9" ht="17.399999999999999" x14ac:dyDescent="0.25">
      <c r="A2107" s="16"/>
      <c r="B2107" s="17"/>
      <c r="C2107" s="2" t="b">
        <v>0</v>
      </c>
      <c r="D2107" s="2"/>
      <c r="E2107" s="2"/>
      <c r="F2107" s="2"/>
      <c r="G2107" s="2"/>
      <c r="H2107" s="2"/>
      <c r="I2107" s="5"/>
    </row>
    <row r="2108" spans="1:9" ht="17.399999999999999" x14ac:dyDescent="0.25">
      <c r="A2108" s="16"/>
      <c r="B2108" s="17"/>
      <c r="C2108" s="2" t="b">
        <v>0</v>
      </c>
      <c r="D2108" s="2"/>
      <c r="E2108" s="2"/>
      <c r="F2108" s="2"/>
      <c r="G2108" s="2"/>
      <c r="H2108" s="2"/>
      <c r="I2108" s="5"/>
    </row>
    <row r="2109" spans="1:9" ht="17.399999999999999" x14ac:dyDescent="0.25">
      <c r="A2109" s="16"/>
      <c r="B2109" s="17"/>
      <c r="C2109" s="2" t="b">
        <v>0</v>
      </c>
      <c r="D2109" s="2"/>
      <c r="E2109" s="2"/>
      <c r="F2109" s="2"/>
      <c r="G2109" s="2"/>
      <c r="H2109" s="2"/>
      <c r="I2109" s="5"/>
    </row>
    <row r="2110" spans="1:9" ht="17.399999999999999" x14ac:dyDescent="0.25">
      <c r="A2110" s="16"/>
      <c r="B2110" s="17"/>
      <c r="C2110" s="2" t="b">
        <v>0</v>
      </c>
      <c r="D2110" s="2"/>
      <c r="E2110" s="2"/>
      <c r="F2110" s="2"/>
      <c r="G2110" s="2"/>
      <c r="H2110" s="2"/>
      <c r="I2110" s="5"/>
    </row>
    <row r="2111" spans="1:9" ht="17.399999999999999" x14ac:dyDescent="0.25">
      <c r="A2111" s="16"/>
      <c r="B2111" s="17"/>
      <c r="C2111" s="2" t="b">
        <v>0</v>
      </c>
      <c r="D2111" s="2"/>
      <c r="E2111" s="2"/>
      <c r="F2111" s="2"/>
      <c r="G2111" s="2"/>
      <c r="H2111" s="2"/>
      <c r="I2111" s="5"/>
    </row>
    <row r="2112" spans="1:9" ht="17.399999999999999" x14ac:dyDescent="0.25">
      <c r="A2112" s="16"/>
      <c r="B2112" s="17"/>
      <c r="C2112" s="2" t="b">
        <v>0</v>
      </c>
      <c r="D2112" s="2"/>
      <c r="E2112" s="2"/>
      <c r="F2112" s="2"/>
      <c r="G2112" s="2"/>
      <c r="H2112" s="2"/>
      <c r="I2112" s="5"/>
    </row>
    <row r="2113" spans="1:9" ht="17.399999999999999" x14ac:dyDescent="0.25">
      <c r="A2113" s="16"/>
      <c r="B2113" s="17"/>
      <c r="C2113" s="2" t="b">
        <v>0</v>
      </c>
      <c r="D2113" s="2"/>
      <c r="E2113" s="2"/>
      <c r="F2113" s="2"/>
      <c r="G2113" s="2"/>
      <c r="H2113" s="2"/>
      <c r="I2113" s="5"/>
    </row>
    <row r="2114" spans="1:9" ht="17.399999999999999" x14ac:dyDescent="0.25">
      <c r="A2114" s="16"/>
      <c r="B2114" s="17"/>
      <c r="C2114" s="2" t="b">
        <v>0</v>
      </c>
      <c r="D2114" s="2"/>
      <c r="E2114" s="2"/>
      <c r="F2114" s="2"/>
      <c r="G2114" s="2"/>
      <c r="H2114" s="2"/>
      <c r="I2114" s="5"/>
    </row>
    <row r="2115" spans="1:9" ht="17.399999999999999" x14ac:dyDescent="0.25">
      <c r="A2115" s="16"/>
      <c r="B2115" s="17"/>
      <c r="C2115" s="2" t="b">
        <v>0</v>
      </c>
      <c r="D2115" s="2"/>
      <c r="E2115" s="2"/>
      <c r="F2115" s="2"/>
      <c r="G2115" s="2"/>
      <c r="H2115" s="2"/>
      <c r="I2115" s="5"/>
    </row>
    <row r="2116" spans="1:9" ht="17.399999999999999" x14ac:dyDescent="0.25">
      <c r="A2116" s="16"/>
      <c r="B2116" s="17"/>
      <c r="C2116" s="2" t="b">
        <v>0</v>
      </c>
      <c r="D2116" s="2"/>
      <c r="E2116" s="2"/>
      <c r="F2116" s="2"/>
      <c r="G2116" s="2"/>
      <c r="H2116" s="2"/>
      <c r="I2116" s="5"/>
    </row>
    <row r="2117" spans="1:9" ht="17.399999999999999" x14ac:dyDescent="0.25">
      <c r="A2117" s="16"/>
      <c r="B2117" s="17"/>
      <c r="C2117" s="2" t="b">
        <v>0</v>
      </c>
      <c r="D2117" s="2"/>
      <c r="E2117" s="2"/>
      <c r="F2117" s="2"/>
      <c r="G2117" s="2"/>
      <c r="H2117" s="2"/>
      <c r="I2117" s="5"/>
    </row>
    <row r="2118" spans="1:9" ht="17.399999999999999" x14ac:dyDescent="0.25">
      <c r="A2118" s="16"/>
      <c r="B2118" s="17"/>
      <c r="C2118" s="2" t="b">
        <v>0</v>
      </c>
      <c r="D2118" s="2"/>
      <c r="E2118" s="2"/>
      <c r="F2118" s="2"/>
      <c r="G2118" s="2"/>
      <c r="H2118" s="2"/>
      <c r="I2118" s="5"/>
    </row>
    <row r="2119" spans="1:9" ht="17.399999999999999" x14ac:dyDescent="0.25">
      <c r="A2119" s="16"/>
      <c r="B2119" s="17"/>
      <c r="C2119" s="2" t="b">
        <v>0</v>
      </c>
      <c r="D2119" s="2"/>
      <c r="E2119" s="2"/>
      <c r="F2119" s="2"/>
      <c r="G2119" s="2"/>
      <c r="H2119" s="2"/>
      <c r="I2119" s="5"/>
    </row>
    <row r="2120" spans="1:9" ht="17.399999999999999" x14ac:dyDescent="0.25">
      <c r="A2120" s="16"/>
      <c r="B2120" s="17"/>
      <c r="C2120" s="2" t="b">
        <v>0</v>
      </c>
      <c r="D2120" s="2"/>
      <c r="E2120" s="2"/>
      <c r="F2120" s="2"/>
      <c r="G2120" s="2"/>
      <c r="H2120" s="2"/>
      <c r="I2120" s="5"/>
    </row>
    <row r="2121" spans="1:9" ht="17.399999999999999" x14ac:dyDescent="0.25">
      <c r="A2121" s="16"/>
      <c r="B2121" s="17"/>
      <c r="C2121" s="2" t="b">
        <v>0</v>
      </c>
      <c r="D2121" s="2"/>
      <c r="E2121" s="2"/>
      <c r="F2121" s="2"/>
      <c r="G2121" s="2"/>
      <c r="H2121" s="2"/>
      <c r="I2121" s="5"/>
    </row>
    <row r="2122" spans="1:9" ht="17.399999999999999" x14ac:dyDescent="0.25">
      <c r="A2122" s="16"/>
      <c r="B2122" s="17"/>
      <c r="C2122" s="2" t="b">
        <v>0</v>
      </c>
      <c r="D2122" s="2"/>
      <c r="E2122" s="2"/>
      <c r="F2122" s="2"/>
      <c r="G2122" s="2"/>
      <c r="H2122" s="2"/>
      <c r="I2122" s="5"/>
    </row>
    <row r="2123" spans="1:9" ht="17.399999999999999" x14ac:dyDescent="0.25">
      <c r="A2123" s="16"/>
      <c r="B2123" s="17"/>
      <c r="C2123" s="2" t="b">
        <v>0</v>
      </c>
      <c r="D2123" s="2"/>
      <c r="E2123" s="2"/>
      <c r="F2123" s="2"/>
      <c r="G2123" s="2"/>
      <c r="H2123" s="2"/>
      <c r="I2123" s="5"/>
    </row>
    <row r="2124" spans="1:9" ht="17.399999999999999" x14ac:dyDescent="0.25">
      <c r="A2124" s="16"/>
      <c r="B2124" s="17"/>
      <c r="C2124" s="2" t="b">
        <v>0</v>
      </c>
      <c r="D2124" s="2"/>
      <c r="E2124" s="2"/>
      <c r="F2124" s="2"/>
      <c r="G2124" s="2"/>
      <c r="H2124" s="2"/>
      <c r="I2124" s="5"/>
    </row>
    <row r="2125" spans="1:9" ht="17.399999999999999" x14ac:dyDescent="0.25">
      <c r="A2125" s="16"/>
      <c r="B2125" s="17"/>
      <c r="C2125" s="2" t="b">
        <v>0</v>
      </c>
      <c r="D2125" s="2"/>
      <c r="E2125" s="2"/>
      <c r="F2125" s="2"/>
      <c r="G2125" s="2"/>
      <c r="H2125" s="2"/>
      <c r="I2125" s="5"/>
    </row>
    <row r="2126" spans="1:9" ht="17.399999999999999" x14ac:dyDescent="0.25">
      <c r="A2126" s="16"/>
      <c r="B2126" s="17"/>
      <c r="C2126" s="2" t="b">
        <v>0</v>
      </c>
      <c r="D2126" s="2"/>
      <c r="E2126" s="2"/>
      <c r="F2126" s="2"/>
      <c r="G2126" s="2"/>
      <c r="H2126" s="2"/>
      <c r="I2126" s="5"/>
    </row>
    <row r="2127" spans="1:9" ht="17.399999999999999" x14ac:dyDescent="0.25">
      <c r="A2127" s="16"/>
      <c r="B2127" s="17"/>
      <c r="C2127" s="2" t="b">
        <v>0</v>
      </c>
      <c r="D2127" s="2"/>
      <c r="E2127" s="2"/>
      <c r="F2127" s="2"/>
      <c r="G2127" s="2"/>
      <c r="H2127" s="2"/>
      <c r="I2127" s="5"/>
    </row>
    <row r="2128" spans="1:9" ht="17.399999999999999" x14ac:dyDescent="0.25">
      <c r="A2128" s="16"/>
      <c r="B2128" s="17"/>
      <c r="C2128" s="2" t="b">
        <v>0</v>
      </c>
      <c r="D2128" s="2"/>
      <c r="E2128" s="2"/>
      <c r="F2128" s="2"/>
      <c r="G2128" s="2"/>
      <c r="H2128" s="2"/>
      <c r="I2128" s="5"/>
    </row>
    <row r="2129" spans="1:9" ht="17.399999999999999" x14ac:dyDescent="0.25">
      <c r="A2129" s="16"/>
      <c r="B2129" s="17"/>
      <c r="C2129" s="2" t="b">
        <v>0</v>
      </c>
      <c r="D2129" s="2"/>
      <c r="E2129" s="2"/>
      <c r="F2129" s="2"/>
      <c r="G2129" s="2"/>
      <c r="H2129" s="2"/>
      <c r="I2129" s="5"/>
    </row>
    <row r="2130" spans="1:9" ht="17.399999999999999" x14ac:dyDescent="0.25">
      <c r="A2130" s="16"/>
      <c r="B2130" s="17"/>
      <c r="C2130" s="2" t="b">
        <v>0</v>
      </c>
      <c r="D2130" s="2"/>
      <c r="E2130" s="2"/>
      <c r="F2130" s="2"/>
      <c r="G2130" s="2"/>
      <c r="H2130" s="2"/>
      <c r="I2130" s="5"/>
    </row>
    <row r="2131" spans="1:9" ht="17.399999999999999" x14ac:dyDescent="0.25">
      <c r="A2131" s="16"/>
      <c r="B2131" s="17"/>
      <c r="C2131" s="2" t="b">
        <v>0</v>
      </c>
      <c r="D2131" s="2"/>
      <c r="E2131" s="2"/>
      <c r="F2131" s="2"/>
      <c r="G2131" s="2"/>
      <c r="H2131" s="2"/>
      <c r="I2131" s="5"/>
    </row>
    <row r="2132" spans="1:9" ht="17.399999999999999" x14ac:dyDescent="0.25">
      <c r="A2132" s="16"/>
      <c r="B2132" s="17"/>
      <c r="C2132" s="2" t="b">
        <v>0</v>
      </c>
      <c r="D2132" s="2"/>
      <c r="E2132" s="2"/>
      <c r="F2132" s="2"/>
      <c r="G2132" s="2"/>
      <c r="H2132" s="2"/>
      <c r="I2132" s="5"/>
    </row>
    <row r="2133" spans="1:9" ht="17.399999999999999" x14ac:dyDescent="0.25">
      <c r="A2133" s="16"/>
      <c r="B2133" s="17"/>
      <c r="C2133" s="2" t="b">
        <v>0</v>
      </c>
      <c r="D2133" s="2"/>
      <c r="E2133" s="2"/>
      <c r="F2133" s="2"/>
      <c r="G2133" s="2"/>
      <c r="H2133" s="2"/>
      <c r="I2133" s="5"/>
    </row>
    <row r="2134" spans="1:9" ht="17.399999999999999" x14ac:dyDescent="0.25">
      <c r="A2134" s="16"/>
      <c r="B2134" s="17"/>
      <c r="C2134" s="2" t="b">
        <v>0</v>
      </c>
      <c r="D2134" s="2"/>
      <c r="E2134" s="2"/>
      <c r="F2134" s="2"/>
      <c r="G2134" s="2"/>
      <c r="H2134" s="2"/>
      <c r="I2134" s="5"/>
    </row>
    <row r="2135" spans="1:9" ht="17.399999999999999" x14ac:dyDescent="0.25">
      <c r="A2135" s="16"/>
      <c r="B2135" s="17"/>
      <c r="C2135" s="2" t="b">
        <v>0</v>
      </c>
      <c r="D2135" s="2"/>
      <c r="E2135" s="2"/>
      <c r="F2135" s="2"/>
      <c r="G2135" s="2"/>
      <c r="H2135" s="2"/>
      <c r="I2135" s="5"/>
    </row>
    <row r="2136" spans="1:9" ht="17.399999999999999" x14ac:dyDescent="0.25">
      <c r="A2136" s="16"/>
      <c r="B2136" s="17"/>
      <c r="C2136" s="2" t="b">
        <v>0</v>
      </c>
      <c r="D2136" s="2"/>
      <c r="E2136" s="2"/>
      <c r="F2136" s="2"/>
      <c r="G2136" s="2"/>
      <c r="H2136" s="2"/>
      <c r="I2136" s="5"/>
    </row>
    <row r="2137" spans="1:9" ht="17.399999999999999" x14ac:dyDescent="0.25">
      <c r="A2137" s="16"/>
      <c r="B2137" s="17"/>
      <c r="C2137" s="2" t="b">
        <v>0</v>
      </c>
      <c r="D2137" s="2"/>
      <c r="E2137" s="2"/>
      <c r="F2137" s="2"/>
      <c r="G2137" s="2"/>
      <c r="H2137" s="2"/>
      <c r="I2137" s="5"/>
    </row>
    <row r="2138" spans="1:9" ht="17.399999999999999" x14ac:dyDescent="0.25">
      <c r="A2138" s="16"/>
      <c r="B2138" s="17"/>
      <c r="C2138" s="2" t="b">
        <v>0</v>
      </c>
      <c r="D2138" s="2"/>
      <c r="E2138" s="2"/>
      <c r="F2138" s="2"/>
      <c r="G2138" s="2"/>
      <c r="H2138" s="2"/>
      <c r="I2138" s="5"/>
    </row>
    <row r="2139" spans="1:9" ht="17.399999999999999" x14ac:dyDescent="0.25">
      <c r="A2139" s="16"/>
      <c r="B2139" s="17"/>
      <c r="C2139" s="2" t="b">
        <v>0</v>
      </c>
      <c r="D2139" s="2"/>
      <c r="E2139" s="2"/>
      <c r="F2139" s="2"/>
      <c r="G2139" s="2"/>
      <c r="H2139" s="2"/>
      <c r="I2139" s="5"/>
    </row>
    <row r="2140" spans="1:9" ht="17.399999999999999" x14ac:dyDescent="0.25">
      <c r="A2140" s="16"/>
      <c r="B2140" s="17"/>
      <c r="C2140" s="2" t="b">
        <v>0</v>
      </c>
      <c r="D2140" s="2"/>
      <c r="E2140" s="2"/>
      <c r="F2140" s="2"/>
      <c r="G2140" s="2"/>
      <c r="H2140" s="2"/>
      <c r="I2140" s="5"/>
    </row>
    <row r="2141" spans="1:9" ht="17.399999999999999" x14ac:dyDescent="0.25">
      <c r="A2141" s="16"/>
      <c r="B2141" s="17"/>
      <c r="C2141" s="2" t="b">
        <v>0</v>
      </c>
      <c r="D2141" s="2"/>
      <c r="E2141" s="2"/>
      <c r="F2141" s="2"/>
      <c r="G2141" s="2"/>
      <c r="H2141" s="2"/>
      <c r="I2141" s="5"/>
    </row>
    <row r="2142" spans="1:9" ht="17.399999999999999" x14ac:dyDescent="0.25">
      <c r="A2142" s="16"/>
      <c r="B2142" s="17"/>
      <c r="C2142" s="2" t="b">
        <v>0</v>
      </c>
      <c r="D2142" s="2"/>
      <c r="E2142" s="2"/>
      <c r="F2142" s="2"/>
      <c r="G2142" s="2"/>
      <c r="H2142" s="2"/>
      <c r="I2142" s="5"/>
    </row>
    <row r="2143" spans="1:9" ht="17.399999999999999" x14ac:dyDescent="0.25">
      <c r="A2143" s="16"/>
      <c r="B2143" s="17"/>
      <c r="C2143" s="2" t="b">
        <v>0</v>
      </c>
      <c r="D2143" s="2"/>
      <c r="E2143" s="2"/>
      <c r="F2143" s="2"/>
      <c r="G2143" s="2"/>
      <c r="H2143" s="2"/>
      <c r="I2143" s="5"/>
    </row>
    <row r="2144" spans="1:9" ht="17.399999999999999" x14ac:dyDescent="0.25">
      <c r="A2144" s="16"/>
      <c r="B2144" s="17"/>
      <c r="C2144" s="2" t="b">
        <v>0</v>
      </c>
      <c r="D2144" s="2"/>
      <c r="E2144" s="2"/>
      <c r="F2144" s="2"/>
      <c r="G2144" s="2"/>
      <c r="H2144" s="2"/>
      <c r="I2144" s="5"/>
    </row>
    <row r="2145" spans="1:9" ht="17.399999999999999" x14ac:dyDescent="0.25">
      <c r="A2145" s="16"/>
      <c r="B2145" s="17"/>
      <c r="C2145" s="2" t="b">
        <v>0</v>
      </c>
      <c r="D2145" s="2"/>
      <c r="E2145" s="2"/>
      <c r="F2145" s="2"/>
      <c r="G2145" s="2"/>
      <c r="H2145" s="2"/>
      <c r="I2145" s="5"/>
    </row>
    <row r="2146" spans="1:9" ht="17.399999999999999" x14ac:dyDescent="0.25">
      <c r="A2146" s="16"/>
      <c r="B2146" s="17"/>
      <c r="C2146" s="2" t="b">
        <v>0</v>
      </c>
      <c r="D2146" s="2"/>
      <c r="E2146" s="2"/>
      <c r="F2146" s="2"/>
      <c r="G2146" s="2"/>
      <c r="H2146" s="2"/>
      <c r="I2146" s="5"/>
    </row>
    <row r="2147" spans="1:9" ht="17.399999999999999" x14ac:dyDescent="0.25">
      <c r="A2147" s="16"/>
      <c r="B2147" s="17"/>
      <c r="C2147" s="2" t="b">
        <v>0</v>
      </c>
      <c r="D2147" s="2"/>
      <c r="E2147" s="2"/>
      <c r="F2147" s="2"/>
      <c r="G2147" s="2"/>
      <c r="H2147" s="2"/>
      <c r="I2147" s="5"/>
    </row>
    <row r="2148" spans="1:9" ht="17.399999999999999" x14ac:dyDescent="0.25">
      <c r="A2148" s="16"/>
      <c r="B2148" s="17"/>
      <c r="C2148" s="2" t="b">
        <v>0</v>
      </c>
      <c r="D2148" s="2"/>
      <c r="E2148" s="2"/>
      <c r="F2148" s="2"/>
      <c r="G2148" s="2"/>
      <c r="H2148" s="2"/>
      <c r="I2148" s="5"/>
    </row>
    <row r="2149" spans="1:9" ht="17.399999999999999" x14ac:dyDescent="0.25">
      <c r="A2149" s="16"/>
      <c r="B2149" s="17"/>
      <c r="C2149" s="2" t="b">
        <v>0</v>
      </c>
      <c r="D2149" s="2"/>
      <c r="E2149" s="2"/>
      <c r="F2149" s="2"/>
      <c r="G2149" s="2"/>
      <c r="H2149" s="2"/>
      <c r="I2149" s="5"/>
    </row>
    <row r="2150" spans="1:9" ht="17.399999999999999" x14ac:dyDescent="0.25">
      <c r="A2150" s="16"/>
      <c r="B2150" s="17"/>
      <c r="C2150" s="2" t="b">
        <v>0</v>
      </c>
      <c r="D2150" s="2"/>
      <c r="E2150" s="2"/>
      <c r="F2150" s="2"/>
      <c r="G2150" s="2"/>
      <c r="H2150" s="2"/>
      <c r="I2150" s="5"/>
    </row>
    <row r="2151" spans="1:9" ht="17.399999999999999" x14ac:dyDescent="0.25">
      <c r="A2151" s="16"/>
      <c r="B2151" s="17"/>
      <c r="C2151" s="2" t="b">
        <v>0</v>
      </c>
      <c r="D2151" s="2"/>
      <c r="E2151" s="2"/>
      <c r="F2151" s="2"/>
      <c r="G2151" s="2"/>
      <c r="H2151" s="2"/>
      <c r="I2151" s="5"/>
    </row>
    <row r="2152" spans="1:9" ht="17.399999999999999" x14ac:dyDescent="0.25">
      <c r="A2152" s="16"/>
      <c r="B2152" s="17"/>
      <c r="C2152" s="2" t="b">
        <v>0</v>
      </c>
      <c r="D2152" s="2"/>
      <c r="E2152" s="2"/>
      <c r="F2152" s="2"/>
      <c r="G2152" s="2"/>
      <c r="H2152" s="2"/>
      <c r="I2152" s="5"/>
    </row>
    <row r="2153" spans="1:9" ht="17.399999999999999" x14ac:dyDescent="0.25">
      <c r="A2153" s="16"/>
      <c r="B2153" s="17"/>
      <c r="C2153" s="2" t="b">
        <v>0</v>
      </c>
      <c r="D2153" s="2"/>
      <c r="E2153" s="2"/>
      <c r="F2153" s="2"/>
      <c r="G2153" s="2"/>
      <c r="H2153" s="2"/>
      <c r="I2153" s="5"/>
    </row>
    <row r="2154" spans="1:9" ht="17.399999999999999" x14ac:dyDescent="0.25">
      <c r="A2154" s="16"/>
      <c r="B2154" s="17"/>
      <c r="C2154" s="2" t="b">
        <v>0</v>
      </c>
      <c r="D2154" s="2"/>
      <c r="E2154" s="2"/>
      <c r="F2154" s="2"/>
      <c r="G2154" s="2"/>
      <c r="H2154" s="2"/>
      <c r="I2154" s="5"/>
    </row>
    <row r="2155" spans="1:9" ht="17.399999999999999" x14ac:dyDescent="0.25">
      <c r="A2155" s="16"/>
      <c r="B2155" s="17"/>
      <c r="C2155" s="2" t="b">
        <v>0</v>
      </c>
      <c r="D2155" s="2"/>
      <c r="E2155" s="2"/>
      <c r="F2155" s="2"/>
      <c r="G2155" s="2"/>
      <c r="H2155" s="2"/>
      <c r="I2155" s="5"/>
    </row>
    <row r="2156" spans="1:9" ht="17.399999999999999" x14ac:dyDescent="0.25">
      <c r="A2156" s="16"/>
      <c r="B2156" s="17"/>
      <c r="C2156" s="2" t="b">
        <v>0</v>
      </c>
      <c r="D2156" s="2"/>
      <c r="E2156" s="2"/>
      <c r="F2156" s="2"/>
      <c r="G2156" s="2"/>
      <c r="H2156" s="2"/>
      <c r="I2156" s="5"/>
    </row>
    <row r="2157" spans="1:9" ht="17.399999999999999" x14ac:dyDescent="0.25">
      <c r="A2157" s="16"/>
      <c r="B2157" s="17"/>
      <c r="C2157" s="2" t="b">
        <v>0</v>
      </c>
      <c r="D2157" s="2"/>
      <c r="E2157" s="2"/>
      <c r="F2157" s="2"/>
      <c r="G2157" s="2"/>
      <c r="H2157" s="2"/>
      <c r="I2157" s="5"/>
    </row>
    <row r="2158" spans="1:9" ht="17.399999999999999" x14ac:dyDescent="0.25">
      <c r="A2158" s="16"/>
      <c r="B2158" s="17"/>
      <c r="C2158" s="2" t="b">
        <v>0</v>
      </c>
      <c r="D2158" s="2"/>
      <c r="E2158" s="2"/>
      <c r="F2158" s="2"/>
      <c r="G2158" s="2"/>
      <c r="H2158" s="2"/>
      <c r="I2158" s="5"/>
    </row>
    <row r="2159" spans="1:9" ht="17.399999999999999" x14ac:dyDescent="0.25">
      <c r="A2159" s="16"/>
      <c r="B2159" s="17"/>
      <c r="C2159" s="2" t="b">
        <v>0</v>
      </c>
      <c r="D2159" s="2"/>
      <c r="E2159" s="2"/>
      <c r="F2159" s="2"/>
      <c r="G2159" s="2"/>
      <c r="H2159" s="2"/>
      <c r="I2159" s="5"/>
    </row>
    <row r="2160" spans="1:9" ht="17.399999999999999" x14ac:dyDescent="0.25">
      <c r="A2160" s="16"/>
      <c r="B2160" s="17"/>
      <c r="C2160" s="2" t="b">
        <v>0</v>
      </c>
      <c r="D2160" s="2"/>
      <c r="E2160" s="2"/>
      <c r="F2160" s="2"/>
      <c r="G2160" s="2"/>
      <c r="H2160" s="2"/>
      <c r="I2160" s="5"/>
    </row>
    <row r="2161" spans="1:9" ht="17.399999999999999" x14ac:dyDescent="0.25">
      <c r="A2161" s="16"/>
      <c r="B2161" s="17"/>
      <c r="C2161" s="2" t="b">
        <v>0</v>
      </c>
      <c r="D2161" s="2"/>
      <c r="E2161" s="2"/>
      <c r="F2161" s="2"/>
      <c r="G2161" s="2"/>
      <c r="H2161" s="2"/>
      <c r="I2161" s="5"/>
    </row>
    <row r="2162" spans="1:9" ht="17.399999999999999" x14ac:dyDescent="0.25">
      <c r="A2162" s="16"/>
      <c r="B2162" s="17"/>
      <c r="C2162" s="2" t="b">
        <v>0</v>
      </c>
      <c r="D2162" s="2"/>
      <c r="E2162" s="2"/>
      <c r="F2162" s="2"/>
      <c r="G2162" s="2"/>
      <c r="H2162" s="2"/>
      <c r="I2162" s="5"/>
    </row>
    <row r="2163" spans="1:9" ht="17.399999999999999" x14ac:dyDescent="0.25">
      <c r="A2163" s="16"/>
      <c r="B2163" s="17"/>
      <c r="C2163" s="2" t="b">
        <v>0</v>
      </c>
      <c r="D2163" s="2"/>
      <c r="E2163" s="2"/>
      <c r="F2163" s="2"/>
      <c r="G2163" s="2"/>
      <c r="H2163" s="2"/>
      <c r="I2163" s="5"/>
    </row>
    <row r="2164" spans="1:9" ht="17.399999999999999" x14ac:dyDescent="0.25">
      <c r="A2164" s="16"/>
      <c r="B2164" s="17"/>
      <c r="C2164" s="2" t="b">
        <v>0</v>
      </c>
      <c r="D2164" s="2"/>
      <c r="E2164" s="2"/>
      <c r="F2164" s="2"/>
      <c r="G2164" s="2"/>
      <c r="H2164" s="2"/>
      <c r="I2164" s="5"/>
    </row>
    <row r="2165" spans="1:9" ht="17.399999999999999" x14ac:dyDescent="0.25">
      <c r="A2165" s="16"/>
      <c r="B2165" s="17"/>
      <c r="C2165" s="2" t="b">
        <v>0</v>
      </c>
      <c r="D2165" s="2"/>
      <c r="E2165" s="2"/>
      <c r="F2165" s="2"/>
      <c r="G2165" s="2"/>
      <c r="H2165" s="2"/>
      <c r="I2165" s="5"/>
    </row>
    <row r="2166" spans="1:9" ht="17.399999999999999" x14ac:dyDescent="0.25">
      <c r="A2166" s="16"/>
      <c r="B2166" s="17"/>
      <c r="C2166" s="2" t="b">
        <v>0</v>
      </c>
      <c r="D2166" s="2"/>
      <c r="E2166" s="2"/>
      <c r="F2166" s="2"/>
      <c r="G2166" s="2"/>
      <c r="H2166" s="2"/>
      <c r="I2166" s="5"/>
    </row>
    <row r="2167" spans="1:9" ht="17.399999999999999" x14ac:dyDescent="0.25">
      <c r="A2167" s="16"/>
      <c r="B2167" s="17"/>
      <c r="C2167" s="2" t="b">
        <v>0</v>
      </c>
      <c r="D2167" s="2"/>
      <c r="E2167" s="2"/>
      <c r="F2167" s="2"/>
      <c r="G2167" s="2"/>
      <c r="H2167" s="2"/>
      <c r="I2167" s="5"/>
    </row>
    <row r="2168" spans="1:9" ht="17.399999999999999" x14ac:dyDescent="0.25">
      <c r="A2168" s="16"/>
      <c r="B2168" s="17"/>
      <c r="C2168" s="2" t="b">
        <v>0</v>
      </c>
      <c r="D2168" s="2"/>
      <c r="E2168" s="2"/>
      <c r="F2168" s="2"/>
      <c r="G2168" s="2"/>
      <c r="H2168" s="2"/>
      <c r="I2168" s="5"/>
    </row>
    <row r="2169" spans="1:9" ht="17.399999999999999" x14ac:dyDescent="0.25">
      <c r="A2169" s="16"/>
      <c r="B2169" s="17"/>
      <c r="C2169" s="2" t="b">
        <v>0</v>
      </c>
      <c r="D2169" s="2"/>
      <c r="E2169" s="2"/>
      <c r="F2169" s="2"/>
      <c r="G2169" s="2"/>
      <c r="H2169" s="2"/>
      <c r="I2169" s="5"/>
    </row>
    <row r="2170" spans="1:9" ht="17.399999999999999" x14ac:dyDescent="0.25">
      <c r="A2170" s="16"/>
      <c r="B2170" s="17"/>
      <c r="C2170" s="2" t="b">
        <v>0</v>
      </c>
      <c r="D2170" s="2"/>
      <c r="E2170" s="2"/>
      <c r="F2170" s="2"/>
      <c r="G2170" s="2"/>
      <c r="H2170" s="2"/>
      <c r="I2170" s="5"/>
    </row>
    <row r="2171" spans="1:9" ht="17.399999999999999" x14ac:dyDescent="0.25">
      <c r="A2171" s="16"/>
      <c r="B2171" s="17"/>
      <c r="C2171" s="2" t="b">
        <v>0</v>
      </c>
      <c r="D2171" s="2"/>
      <c r="E2171" s="2"/>
      <c r="F2171" s="2"/>
      <c r="G2171" s="2"/>
      <c r="H2171" s="2"/>
      <c r="I2171" s="5"/>
    </row>
    <row r="2172" spans="1:9" ht="17.399999999999999" x14ac:dyDescent="0.25">
      <c r="A2172" s="16"/>
      <c r="B2172" s="17"/>
      <c r="C2172" s="2" t="b">
        <v>0</v>
      </c>
      <c r="D2172" s="2"/>
      <c r="E2172" s="2"/>
      <c r="F2172" s="2"/>
      <c r="G2172" s="2"/>
      <c r="H2172" s="2"/>
      <c r="I2172" s="5"/>
    </row>
    <row r="2173" spans="1:9" ht="17.399999999999999" x14ac:dyDescent="0.25">
      <c r="A2173" s="16"/>
      <c r="B2173" s="17"/>
      <c r="C2173" s="2" t="b">
        <v>0</v>
      </c>
      <c r="D2173" s="2"/>
      <c r="E2173" s="2"/>
      <c r="F2173" s="2"/>
      <c r="G2173" s="2"/>
      <c r="H2173" s="2"/>
      <c r="I2173" s="5"/>
    </row>
    <row r="2174" spans="1:9" ht="17.399999999999999" x14ac:dyDescent="0.25">
      <c r="A2174" s="16"/>
      <c r="B2174" s="17"/>
      <c r="C2174" s="2" t="b">
        <v>0</v>
      </c>
      <c r="D2174" s="2"/>
      <c r="E2174" s="2"/>
      <c r="F2174" s="2"/>
      <c r="G2174" s="2"/>
      <c r="H2174" s="2"/>
      <c r="I2174" s="5"/>
    </row>
    <row r="2175" spans="1:9" ht="17.399999999999999" x14ac:dyDescent="0.25">
      <c r="A2175" s="16"/>
      <c r="B2175" s="17"/>
      <c r="C2175" s="2" t="b">
        <v>0</v>
      </c>
      <c r="D2175" s="2"/>
      <c r="E2175" s="2"/>
      <c r="F2175" s="2"/>
      <c r="G2175" s="2"/>
      <c r="H2175" s="2"/>
      <c r="I2175" s="5"/>
    </row>
    <row r="2176" spans="1:9" ht="17.399999999999999" x14ac:dyDescent="0.25">
      <c r="A2176" s="16"/>
      <c r="B2176" s="17"/>
      <c r="C2176" s="2" t="b">
        <v>0</v>
      </c>
      <c r="D2176" s="2"/>
      <c r="E2176" s="2"/>
      <c r="F2176" s="2"/>
      <c r="G2176" s="2"/>
      <c r="H2176" s="2"/>
      <c r="I2176" s="5"/>
    </row>
    <row r="2177" spans="1:9" ht="17.399999999999999" x14ac:dyDescent="0.25">
      <c r="A2177" s="16"/>
      <c r="B2177" s="17"/>
      <c r="C2177" s="2" t="b">
        <v>0</v>
      </c>
      <c r="D2177" s="2"/>
      <c r="E2177" s="2"/>
      <c r="F2177" s="2"/>
      <c r="G2177" s="2"/>
      <c r="H2177" s="2"/>
      <c r="I2177" s="5"/>
    </row>
    <row r="2178" spans="1:9" ht="17.399999999999999" x14ac:dyDescent="0.25">
      <c r="A2178" s="16"/>
      <c r="B2178" s="17"/>
      <c r="C2178" s="2" t="b">
        <v>0</v>
      </c>
      <c r="D2178" s="2"/>
      <c r="E2178" s="2"/>
      <c r="F2178" s="2"/>
      <c r="G2178" s="2"/>
      <c r="H2178" s="2"/>
      <c r="I2178" s="5"/>
    </row>
    <row r="2179" spans="1:9" ht="17.399999999999999" x14ac:dyDescent="0.25">
      <c r="A2179" s="16"/>
      <c r="B2179" s="17"/>
      <c r="C2179" s="2" t="b">
        <v>0</v>
      </c>
      <c r="D2179" s="2"/>
      <c r="E2179" s="2"/>
      <c r="F2179" s="2"/>
      <c r="G2179" s="2"/>
      <c r="H2179" s="2"/>
      <c r="I2179" s="5"/>
    </row>
    <row r="2180" spans="1:9" ht="17.399999999999999" x14ac:dyDescent="0.25">
      <c r="A2180" s="16"/>
      <c r="B2180" s="17"/>
      <c r="C2180" s="2" t="b">
        <v>0</v>
      </c>
      <c r="D2180" s="2"/>
      <c r="E2180" s="2"/>
      <c r="F2180" s="2"/>
      <c r="G2180" s="2"/>
      <c r="H2180" s="2"/>
      <c r="I2180" s="5"/>
    </row>
    <row r="2181" spans="1:9" ht="17.399999999999999" x14ac:dyDescent="0.25">
      <c r="A2181" s="16"/>
      <c r="B2181" s="17"/>
      <c r="C2181" s="2" t="b">
        <v>0</v>
      </c>
      <c r="D2181" s="2"/>
      <c r="E2181" s="2"/>
      <c r="F2181" s="2"/>
      <c r="G2181" s="2"/>
      <c r="H2181" s="2"/>
      <c r="I2181" s="5"/>
    </row>
    <row r="2182" spans="1:9" ht="17.399999999999999" x14ac:dyDescent="0.25">
      <c r="A2182" s="16"/>
      <c r="B2182" s="17"/>
      <c r="C2182" s="2" t="b">
        <v>0</v>
      </c>
      <c r="D2182" s="2"/>
      <c r="E2182" s="2"/>
      <c r="F2182" s="2"/>
      <c r="G2182" s="2"/>
      <c r="H2182" s="2"/>
      <c r="I2182" s="5"/>
    </row>
    <row r="2183" spans="1:9" ht="17.399999999999999" x14ac:dyDescent="0.25">
      <c r="A2183" s="16"/>
      <c r="B2183" s="17"/>
      <c r="C2183" s="2" t="b">
        <v>0</v>
      </c>
      <c r="D2183" s="2"/>
      <c r="E2183" s="2"/>
      <c r="F2183" s="2"/>
      <c r="G2183" s="2"/>
      <c r="H2183" s="2"/>
      <c r="I2183" s="5"/>
    </row>
    <row r="2184" spans="1:9" ht="17.399999999999999" x14ac:dyDescent="0.25">
      <c r="A2184" s="16"/>
      <c r="B2184" s="17"/>
      <c r="C2184" s="2" t="b">
        <v>0</v>
      </c>
      <c r="D2184" s="2"/>
      <c r="E2184" s="2"/>
      <c r="F2184" s="2"/>
      <c r="G2184" s="2"/>
      <c r="H2184" s="2"/>
      <c r="I2184" s="5"/>
    </row>
    <row r="2185" spans="1:9" ht="17.399999999999999" x14ac:dyDescent="0.25">
      <c r="A2185" s="16"/>
      <c r="B2185" s="17"/>
      <c r="C2185" s="2" t="b">
        <v>0</v>
      </c>
      <c r="D2185" s="2"/>
      <c r="E2185" s="2"/>
      <c r="F2185" s="2"/>
      <c r="G2185" s="2"/>
      <c r="H2185" s="2"/>
      <c r="I2185" s="5"/>
    </row>
    <row r="2186" spans="1:9" ht="17.399999999999999" x14ac:dyDescent="0.25">
      <c r="A2186" s="16"/>
      <c r="B2186" s="17"/>
      <c r="C2186" s="2" t="b">
        <v>0</v>
      </c>
      <c r="D2186" s="2"/>
      <c r="E2186" s="2"/>
      <c r="F2186" s="2"/>
      <c r="G2186" s="2"/>
      <c r="H2186" s="2"/>
      <c r="I2186" s="5"/>
    </row>
    <row r="2187" spans="1:9" ht="17.399999999999999" x14ac:dyDescent="0.25">
      <c r="A2187" s="16"/>
      <c r="B2187" s="17"/>
      <c r="C2187" s="2" t="b">
        <v>0</v>
      </c>
      <c r="D2187" s="2"/>
      <c r="E2187" s="2"/>
      <c r="F2187" s="2"/>
      <c r="G2187" s="2"/>
      <c r="H2187" s="2"/>
      <c r="I2187" s="5"/>
    </row>
    <row r="2188" spans="1:9" ht="17.399999999999999" x14ac:dyDescent="0.25">
      <c r="A2188" s="16"/>
      <c r="B2188" s="17"/>
      <c r="C2188" s="2" t="b">
        <v>0</v>
      </c>
      <c r="D2188" s="2"/>
      <c r="E2188" s="2"/>
      <c r="F2188" s="2"/>
      <c r="G2188" s="2"/>
      <c r="H2188" s="2"/>
      <c r="I2188" s="5"/>
    </row>
    <row r="2189" spans="1:9" ht="17.399999999999999" x14ac:dyDescent="0.25">
      <c r="A2189" s="16"/>
      <c r="B2189" s="17"/>
      <c r="C2189" s="2" t="b">
        <v>0</v>
      </c>
      <c r="D2189" s="2"/>
      <c r="E2189" s="2"/>
      <c r="F2189" s="2"/>
      <c r="G2189" s="2"/>
      <c r="H2189" s="2"/>
      <c r="I2189" s="5"/>
    </row>
    <row r="2190" spans="1:9" ht="17.399999999999999" x14ac:dyDescent="0.25">
      <c r="A2190" s="16"/>
      <c r="B2190" s="17"/>
      <c r="C2190" s="2" t="b">
        <v>0</v>
      </c>
      <c r="D2190" s="2"/>
      <c r="E2190" s="2"/>
      <c r="F2190" s="2"/>
      <c r="G2190" s="2"/>
      <c r="H2190" s="2"/>
      <c r="I2190" s="5"/>
    </row>
    <row r="2191" spans="1:9" ht="17.399999999999999" x14ac:dyDescent="0.25">
      <c r="A2191" s="16"/>
      <c r="B2191" s="17"/>
      <c r="C2191" s="2" t="b">
        <v>0</v>
      </c>
      <c r="D2191" s="2"/>
      <c r="E2191" s="2"/>
      <c r="F2191" s="2"/>
      <c r="G2191" s="2"/>
      <c r="H2191" s="2"/>
      <c r="I2191" s="5"/>
    </row>
    <row r="2192" spans="1:9" ht="17.399999999999999" x14ac:dyDescent="0.25">
      <c r="A2192" s="16"/>
      <c r="B2192" s="17"/>
      <c r="C2192" s="2" t="b">
        <v>0</v>
      </c>
      <c r="D2192" s="2"/>
      <c r="E2192" s="2"/>
      <c r="F2192" s="2"/>
      <c r="G2192" s="2"/>
      <c r="H2192" s="2"/>
      <c r="I2192" s="5"/>
    </row>
    <row r="2193" spans="1:9" ht="17.399999999999999" x14ac:dyDescent="0.25">
      <c r="A2193" s="16"/>
      <c r="B2193" s="17"/>
      <c r="C2193" s="2" t="b">
        <v>0</v>
      </c>
      <c r="D2193" s="2"/>
      <c r="E2193" s="2"/>
      <c r="F2193" s="2"/>
      <c r="G2193" s="2"/>
      <c r="H2193" s="2"/>
      <c r="I2193" s="5"/>
    </row>
    <row r="2194" spans="1:9" ht="17.399999999999999" x14ac:dyDescent="0.25">
      <c r="A2194" s="16"/>
      <c r="B2194" s="17"/>
      <c r="C2194" s="2" t="b">
        <v>0</v>
      </c>
      <c r="D2194" s="2"/>
      <c r="E2194" s="2"/>
      <c r="F2194" s="2"/>
      <c r="G2194" s="2"/>
      <c r="H2194" s="2"/>
      <c r="I2194" s="5"/>
    </row>
    <row r="2195" spans="1:9" ht="17.399999999999999" x14ac:dyDescent="0.25">
      <c r="A2195" s="16"/>
      <c r="B2195" s="17"/>
      <c r="C2195" s="2" t="b">
        <v>0</v>
      </c>
      <c r="D2195" s="2"/>
      <c r="E2195" s="2"/>
      <c r="F2195" s="2"/>
      <c r="G2195" s="2"/>
      <c r="H2195" s="2"/>
      <c r="I2195" s="5"/>
    </row>
    <row r="2196" spans="1:9" ht="17.399999999999999" x14ac:dyDescent="0.25">
      <c r="A2196" s="16"/>
      <c r="B2196" s="17"/>
      <c r="C2196" s="2" t="b">
        <v>0</v>
      </c>
      <c r="D2196" s="2"/>
      <c r="E2196" s="2"/>
      <c r="F2196" s="2"/>
      <c r="G2196" s="2"/>
      <c r="H2196" s="2"/>
      <c r="I2196" s="5"/>
    </row>
    <row r="2197" spans="1:9" ht="17.399999999999999" x14ac:dyDescent="0.25">
      <c r="A2197" s="16"/>
      <c r="B2197" s="17"/>
      <c r="C2197" s="2" t="b">
        <v>0</v>
      </c>
      <c r="D2197" s="2"/>
      <c r="E2197" s="2"/>
      <c r="F2197" s="2"/>
      <c r="G2197" s="2"/>
      <c r="H2197" s="2"/>
      <c r="I2197" s="5"/>
    </row>
    <row r="2198" spans="1:9" ht="17.399999999999999" x14ac:dyDescent="0.25">
      <c r="A2198" s="16"/>
      <c r="B2198" s="17"/>
      <c r="C2198" s="2" t="b">
        <v>0</v>
      </c>
      <c r="D2198" s="2"/>
      <c r="E2198" s="2"/>
      <c r="F2198" s="2"/>
      <c r="G2198" s="2"/>
      <c r="H2198" s="2"/>
      <c r="I2198" s="5"/>
    </row>
    <row r="2199" spans="1:9" ht="17.399999999999999" x14ac:dyDescent="0.25">
      <c r="A2199" s="16"/>
      <c r="B2199" s="17"/>
      <c r="C2199" s="2" t="b">
        <v>0</v>
      </c>
      <c r="D2199" s="2"/>
      <c r="E2199" s="2"/>
      <c r="F2199" s="2"/>
      <c r="G2199" s="2"/>
      <c r="H2199" s="2"/>
      <c r="I2199" s="5"/>
    </row>
    <row r="2200" spans="1:9" ht="17.399999999999999" x14ac:dyDescent="0.25">
      <c r="A2200" s="16"/>
      <c r="B2200" s="17"/>
      <c r="C2200" s="2" t="b">
        <v>0</v>
      </c>
      <c r="D2200" s="2"/>
      <c r="E2200" s="2"/>
      <c r="F2200" s="2"/>
      <c r="G2200" s="2"/>
      <c r="H2200" s="2"/>
      <c r="I2200" s="5"/>
    </row>
    <row r="2201" spans="1:9" ht="17.399999999999999" x14ac:dyDescent="0.25">
      <c r="A2201" s="16"/>
      <c r="B2201" s="17"/>
      <c r="C2201" s="2" t="b">
        <v>0</v>
      </c>
      <c r="D2201" s="2"/>
      <c r="E2201" s="2"/>
      <c r="F2201" s="2"/>
      <c r="G2201" s="2"/>
      <c r="H2201" s="2"/>
      <c r="I2201" s="5"/>
    </row>
    <row r="2202" spans="1:9" ht="17.399999999999999" x14ac:dyDescent="0.25">
      <c r="A2202" s="16"/>
      <c r="B2202" s="17"/>
      <c r="C2202" s="2" t="b">
        <v>0</v>
      </c>
      <c r="D2202" s="2"/>
      <c r="E2202" s="2"/>
      <c r="F2202" s="2"/>
      <c r="G2202" s="2"/>
      <c r="H2202" s="2"/>
      <c r="I2202" s="5"/>
    </row>
    <row r="2203" spans="1:9" ht="17.399999999999999" x14ac:dyDescent="0.25">
      <c r="A2203" s="16"/>
      <c r="B2203" s="17"/>
      <c r="C2203" s="2" t="b">
        <v>0</v>
      </c>
      <c r="D2203" s="2"/>
      <c r="E2203" s="2"/>
      <c r="F2203" s="2"/>
      <c r="G2203" s="2"/>
      <c r="H2203" s="2"/>
      <c r="I2203" s="5"/>
    </row>
    <row r="2204" spans="1:9" ht="17.399999999999999" x14ac:dyDescent="0.25">
      <c r="A2204" s="16"/>
      <c r="B2204" s="17"/>
      <c r="C2204" s="2" t="b">
        <v>0</v>
      </c>
      <c r="D2204" s="2"/>
      <c r="E2204" s="2"/>
      <c r="F2204" s="2"/>
      <c r="G2204" s="2"/>
      <c r="H2204" s="2"/>
      <c r="I2204" s="5"/>
    </row>
    <row r="2205" spans="1:9" ht="17.399999999999999" x14ac:dyDescent="0.25">
      <c r="A2205" s="16"/>
      <c r="B2205" s="17"/>
      <c r="C2205" s="2" t="b">
        <v>0</v>
      </c>
      <c r="D2205" s="2"/>
      <c r="E2205" s="2"/>
      <c r="F2205" s="2"/>
      <c r="G2205" s="2"/>
      <c r="H2205" s="2"/>
      <c r="I2205" s="5"/>
    </row>
    <row r="2206" spans="1:9" ht="17.399999999999999" x14ac:dyDescent="0.25">
      <c r="A2206" s="16"/>
      <c r="B2206" s="17"/>
      <c r="C2206" s="2" t="b">
        <v>0</v>
      </c>
      <c r="D2206" s="2"/>
      <c r="E2206" s="2"/>
      <c r="F2206" s="2"/>
      <c r="G2206" s="2"/>
      <c r="H2206" s="2"/>
      <c r="I2206" s="5"/>
    </row>
    <row r="2207" spans="1:9" ht="17.399999999999999" x14ac:dyDescent="0.25">
      <c r="A2207" s="16"/>
      <c r="B2207" s="17"/>
      <c r="C2207" s="2" t="b">
        <v>0</v>
      </c>
      <c r="D2207" s="2"/>
      <c r="E2207" s="2"/>
      <c r="F2207" s="2"/>
      <c r="G2207" s="2"/>
      <c r="H2207" s="2"/>
      <c r="I2207" s="5"/>
    </row>
    <row r="2208" spans="1:9" ht="17.399999999999999" x14ac:dyDescent="0.25">
      <c r="A2208" s="16"/>
      <c r="B2208" s="17"/>
      <c r="C2208" s="2" t="b">
        <v>0</v>
      </c>
      <c r="D2208" s="2"/>
      <c r="E2208" s="2"/>
      <c r="F2208" s="2"/>
      <c r="G2208" s="2"/>
      <c r="H2208" s="2"/>
      <c r="I2208" s="5"/>
    </row>
    <row r="2209" spans="1:9" ht="17.399999999999999" x14ac:dyDescent="0.25">
      <c r="A2209" s="16"/>
      <c r="B2209" s="17"/>
      <c r="C2209" s="2" t="b">
        <v>0</v>
      </c>
      <c r="D2209" s="2"/>
      <c r="E2209" s="2"/>
      <c r="F2209" s="2"/>
      <c r="G2209" s="2"/>
      <c r="H2209" s="2"/>
      <c r="I2209" s="5"/>
    </row>
    <row r="2210" spans="1:9" ht="17.399999999999999" x14ac:dyDescent="0.25">
      <c r="A2210" s="16"/>
      <c r="B2210" s="17"/>
      <c r="C2210" s="2" t="b">
        <v>0</v>
      </c>
      <c r="D2210" s="2"/>
      <c r="E2210" s="2"/>
      <c r="F2210" s="2"/>
      <c r="G2210" s="2"/>
      <c r="H2210" s="2"/>
      <c r="I2210" s="5"/>
    </row>
    <row r="2211" spans="1:9" ht="17.399999999999999" x14ac:dyDescent="0.25">
      <c r="A2211" s="16"/>
      <c r="B2211" s="17"/>
      <c r="C2211" s="2" t="b">
        <v>0</v>
      </c>
      <c r="D2211" s="2"/>
      <c r="E2211" s="2"/>
      <c r="F2211" s="2"/>
      <c r="G2211" s="2"/>
      <c r="H2211" s="2"/>
      <c r="I2211" s="5"/>
    </row>
    <row r="2212" spans="1:9" ht="17.399999999999999" x14ac:dyDescent="0.25">
      <c r="A2212" s="16"/>
      <c r="B2212" s="17"/>
      <c r="C2212" s="2" t="b">
        <v>0</v>
      </c>
      <c r="D2212" s="2"/>
      <c r="E2212" s="2"/>
      <c r="F2212" s="2"/>
      <c r="G2212" s="2"/>
      <c r="H2212" s="2"/>
      <c r="I2212" s="5"/>
    </row>
    <row r="2213" spans="1:9" ht="17.399999999999999" x14ac:dyDescent="0.25">
      <c r="A2213" s="16"/>
      <c r="B2213" s="17"/>
      <c r="C2213" s="2" t="b">
        <v>0</v>
      </c>
      <c r="D2213" s="2"/>
      <c r="E2213" s="2"/>
      <c r="F2213" s="2"/>
      <c r="G2213" s="2"/>
      <c r="H2213" s="2"/>
      <c r="I2213" s="5"/>
    </row>
    <row r="2214" spans="1:9" ht="17.399999999999999" x14ac:dyDescent="0.25">
      <c r="A2214" s="16"/>
      <c r="B2214" s="17"/>
      <c r="C2214" s="2" t="b">
        <v>0</v>
      </c>
      <c r="D2214" s="2"/>
      <c r="E2214" s="2"/>
      <c r="F2214" s="2"/>
      <c r="G2214" s="2"/>
      <c r="H2214" s="2"/>
      <c r="I2214" s="5"/>
    </row>
    <row r="2215" spans="1:9" ht="17.399999999999999" x14ac:dyDescent="0.25">
      <c r="A2215" s="16"/>
      <c r="B2215" s="17"/>
      <c r="C2215" s="2" t="b">
        <v>0</v>
      </c>
      <c r="D2215" s="2"/>
      <c r="E2215" s="2"/>
      <c r="F2215" s="2"/>
      <c r="G2215" s="2"/>
      <c r="H2215" s="2"/>
      <c r="I2215" s="5"/>
    </row>
    <row r="2216" spans="1:9" ht="17.399999999999999" x14ac:dyDescent="0.25">
      <c r="A2216" s="16"/>
      <c r="B2216" s="17"/>
      <c r="C2216" s="2" t="b">
        <v>0</v>
      </c>
      <c r="D2216" s="2"/>
      <c r="E2216" s="2"/>
      <c r="F2216" s="2"/>
      <c r="G2216" s="2"/>
      <c r="H2216" s="2"/>
      <c r="I2216" s="5"/>
    </row>
    <row r="2217" spans="1:9" ht="17.399999999999999" x14ac:dyDescent="0.25">
      <c r="A2217" s="16"/>
      <c r="B2217" s="17"/>
      <c r="C2217" s="2" t="b">
        <v>0</v>
      </c>
      <c r="D2217" s="2"/>
      <c r="E2217" s="2"/>
      <c r="F2217" s="2"/>
      <c r="G2217" s="2"/>
      <c r="H2217" s="2"/>
      <c r="I2217" s="5"/>
    </row>
    <row r="2218" spans="1:9" ht="17.399999999999999" x14ac:dyDescent="0.25">
      <c r="A2218" s="16"/>
      <c r="B2218" s="17"/>
      <c r="C2218" s="2" t="b">
        <v>0</v>
      </c>
      <c r="D2218" s="2"/>
      <c r="E2218" s="2"/>
      <c r="F2218" s="2"/>
      <c r="G2218" s="2"/>
      <c r="H2218" s="2"/>
      <c r="I2218" s="5"/>
    </row>
    <row r="2219" spans="1:9" ht="17.399999999999999" x14ac:dyDescent="0.25">
      <c r="A2219" s="16"/>
      <c r="B2219" s="17"/>
      <c r="C2219" s="2" t="b">
        <v>0</v>
      </c>
      <c r="D2219" s="2"/>
      <c r="E2219" s="2"/>
      <c r="F2219" s="2"/>
      <c r="G2219" s="2"/>
      <c r="H2219" s="2"/>
      <c r="I2219" s="5"/>
    </row>
    <row r="2220" spans="1:9" ht="17.399999999999999" x14ac:dyDescent="0.25">
      <c r="A2220" s="16"/>
      <c r="B2220" s="17"/>
      <c r="C2220" s="2" t="b">
        <v>0</v>
      </c>
      <c r="D2220" s="2"/>
      <c r="E2220" s="2"/>
      <c r="F2220" s="2"/>
      <c r="G2220" s="2"/>
      <c r="H2220" s="2"/>
      <c r="I2220" s="5"/>
    </row>
    <row r="2221" spans="1:9" ht="17.399999999999999" x14ac:dyDescent="0.25">
      <c r="A2221" s="16"/>
      <c r="B2221" s="17"/>
      <c r="C2221" s="2" t="b">
        <v>0</v>
      </c>
      <c r="D2221" s="2"/>
      <c r="E2221" s="2"/>
      <c r="F2221" s="2"/>
      <c r="G2221" s="2"/>
      <c r="H2221" s="2"/>
      <c r="I2221" s="5"/>
    </row>
    <row r="2222" spans="1:9" ht="17.399999999999999" x14ac:dyDescent="0.25">
      <c r="A2222" s="16"/>
      <c r="B2222" s="17"/>
      <c r="C2222" s="2" t="b">
        <v>0</v>
      </c>
      <c r="D2222" s="2"/>
      <c r="E2222" s="2"/>
      <c r="F2222" s="2"/>
      <c r="G2222" s="2"/>
      <c r="H2222" s="2"/>
      <c r="I2222" s="5"/>
    </row>
    <row r="2223" spans="1:9" ht="17.399999999999999" x14ac:dyDescent="0.25">
      <c r="A2223" s="16"/>
      <c r="B2223" s="17"/>
      <c r="C2223" s="2" t="b">
        <v>0</v>
      </c>
      <c r="D2223" s="2"/>
      <c r="E2223" s="2"/>
      <c r="F2223" s="2"/>
      <c r="G2223" s="2"/>
      <c r="H2223" s="2"/>
      <c r="I2223" s="5"/>
    </row>
    <row r="2224" spans="1:9" ht="17.399999999999999" x14ac:dyDescent="0.25">
      <c r="A2224" s="16"/>
      <c r="B2224" s="17"/>
      <c r="C2224" s="2" t="b">
        <v>0</v>
      </c>
      <c r="D2224" s="2"/>
      <c r="E2224" s="2"/>
      <c r="F2224" s="2"/>
      <c r="G2224" s="2"/>
      <c r="H2224" s="2"/>
      <c r="I2224" s="5"/>
    </row>
    <row r="2225" spans="1:9" ht="17.399999999999999" x14ac:dyDescent="0.25">
      <c r="A2225" s="16"/>
      <c r="B2225" s="17"/>
      <c r="C2225" s="2" t="b">
        <v>0</v>
      </c>
      <c r="D2225" s="2"/>
      <c r="E2225" s="2"/>
      <c r="F2225" s="2"/>
      <c r="G2225" s="2"/>
      <c r="H2225" s="2"/>
      <c r="I2225" s="5"/>
    </row>
    <row r="2226" spans="1:9" ht="17.399999999999999" x14ac:dyDescent="0.25">
      <c r="A2226" s="16"/>
      <c r="B2226" s="17"/>
      <c r="C2226" s="2" t="b">
        <v>0</v>
      </c>
      <c r="D2226" s="2"/>
      <c r="E2226" s="2"/>
      <c r="F2226" s="2"/>
      <c r="G2226" s="2"/>
      <c r="H2226" s="2"/>
      <c r="I2226" s="5"/>
    </row>
    <row r="2227" spans="1:9" ht="17.399999999999999" x14ac:dyDescent="0.25">
      <c r="A2227" s="16"/>
      <c r="B2227" s="17"/>
      <c r="C2227" s="2" t="b">
        <v>0</v>
      </c>
      <c r="D2227" s="2"/>
      <c r="E2227" s="2"/>
      <c r="F2227" s="2"/>
      <c r="G2227" s="2"/>
      <c r="H2227" s="2"/>
      <c r="I2227" s="5"/>
    </row>
    <row r="2228" spans="1:9" ht="17.399999999999999" x14ac:dyDescent="0.25">
      <c r="A2228" s="16"/>
      <c r="B2228" s="17"/>
      <c r="C2228" s="2" t="b">
        <v>0</v>
      </c>
      <c r="D2228" s="2"/>
      <c r="E2228" s="2"/>
      <c r="F2228" s="2"/>
      <c r="G2228" s="2"/>
      <c r="H2228" s="2"/>
      <c r="I2228" s="5"/>
    </row>
    <row r="2229" spans="1:9" ht="17.399999999999999" x14ac:dyDescent="0.25">
      <c r="A2229" s="16"/>
      <c r="B2229" s="17"/>
      <c r="C2229" s="2" t="b">
        <v>0</v>
      </c>
      <c r="D2229" s="2"/>
      <c r="E2229" s="2"/>
      <c r="F2229" s="2"/>
      <c r="G2229" s="2"/>
      <c r="H2229" s="2"/>
      <c r="I2229" s="5"/>
    </row>
    <row r="2230" spans="1:9" ht="17.399999999999999" x14ac:dyDescent="0.25">
      <c r="A2230" s="16"/>
      <c r="B2230" s="17"/>
      <c r="C2230" s="2" t="b">
        <v>0</v>
      </c>
      <c r="D2230" s="2"/>
      <c r="E2230" s="2"/>
      <c r="F2230" s="2"/>
      <c r="G2230" s="2"/>
      <c r="H2230" s="2"/>
      <c r="I2230" s="5"/>
    </row>
    <row r="2231" spans="1:9" ht="17.399999999999999" x14ac:dyDescent="0.25">
      <c r="A2231" s="16"/>
      <c r="B2231" s="17"/>
      <c r="C2231" s="2" t="b">
        <v>0</v>
      </c>
      <c r="D2231" s="2"/>
      <c r="E2231" s="2"/>
      <c r="F2231" s="2"/>
      <c r="G2231" s="2"/>
      <c r="H2231" s="2"/>
      <c r="I2231" s="5"/>
    </row>
    <row r="2232" spans="1:9" ht="17.399999999999999" x14ac:dyDescent="0.25">
      <c r="A2232" s="16"/>
      <c r="B2232" s="17"/>
      <c r="C2232" s="2" t="b">
        <v>0</v>
      </c>
      <c r="D2232" s="2"/>
      <c r="E2232" s="2"/>
      <c r="F2232" s="2"/>
      <c r="G2232" s="2"/>
      <c r="H2232" s="2"/>
      <c r="I2232" s="5"/>
    </row>
    <row r="2233" spans="1:9" ht="17.399999999999999" x14ac:dyDescent="0.25">
      <c r="A2233" s="16"/>
      <c r="B2233" s="17"/>
      <c r="C2233" s="2" t="b">
        <v>0</v>
      </c>
      <c r="D2233" s="2"/>
      <c r="E2233" s="2"/>
      <c r="F2233" s="2"/>
      <c r="G2233" s="2"/>
      <c r="H2233" s="2"/>
      <c r="I2233" s="5"/>
    </row>
    <row r="2234" spans="1:9" ht="17.399999999999999" x14ac:dyDescent="0.25">
      <c r="A2234" s="16"/>
      <c r="B2234" s="17"/>
      <c r="C2234" s="2" t="b">
        <v>0</v>
      </c>
      <c r="D2234" s="2"/>
      <c r="E2234" s="2"/>
      <c r="F2234" s="2"/>
      <c r="G2234" s="2"/>
      <c r="H2234" s="2"/>
      <c r="I2234" s="5"/>
    </row>
    <row r="2235" spans="1:9" ht="17.399999999999999" x14ac:dyDescent="0.25">
      <c r="A2235" s="16"/>
      <c r="B2235" s="17"/>
      <c r="C2235" s="2" t="b">
        <v>0</v>
      </c>
      <c r="D2235" s="2"/>
      <c r="E2235" s="2"/>
      <c r="F2235" s="2"/>
      <c r="G2235" s="2"/>
      <c r="H2235" s="2"/>
      <c r="I2235" s="5"/>
    </row>
    <row r="2236" spans="1:9" ht="17.399999999999999" x14ac:dyDescent="0.25">
      <c r="A2236" s="16"/>
      <c r="B2236" s="17"/>
      <c r="C2236" s="2" t="b">
        <v>0</v>
      </c>
      <c r="D2236" s="2"/>
      <c r="E2236" s="2"/>
      <c r="F2236" s="2"/>
      <c r="G2236" s="2"/>
      <c r="H2236" s="2"/>
      <c r="I2236" s="5"/>
    </row>
    <row r="2237" spans="1:9" ht="17.399999999999999" x14ac:dyDescent="0.25">
      <c r="A2237" s="16"/>
      <c r="B2237" s="17"/>
      <c r="C2237" s="2" t="b">
        <v>0</v>
      </c>
      <c r="D2237" s="2"/>
      <c r="E2237" s="2"/>
      <c r="F2237" s="2"/>
      <c r="G2237" s="2"/>
      <c r="H2237" s="2"/>
      <c r="I2237" s="5"/>
    </row>
    <row r="2238" spans="1:9" ht="17.399999999999999" x14ac:dyDescent="0.25">
      <c r="A2238" s="16"/>
      <c r="B2238" s="17"/>
      <c r="C2238" s="2" t="b">
        <v>0</v>
      </c>
      <c r="D2238" s="2"/>
      <c r="E2238" s="2"/>
      <c r="F2238" s="2"/>
      <c r="G2238" s="2"/>
      <c r="H2238" s="2"/>
      <c r="I2238" s="5"/>
    </row>
    <row r="2239" spans="1:9" ht="17.399999999999999" x14ac:dyDescent="0.25">
      <c r="A2239" s="16"/>
      <c r="B2239" s="17"/>
      <c r="C2239" s="2" t="b">
        <v>0</v>
      </c>
      <c r="D2239" s="2"/>
      <c r="E2239" s="2"/>
      <c r="F2239" s="2"/>
      <c r="G2239" s="2"/>
      <c r="H2239" s="2"/>
      <c r="I2239" s="5"/>
    </row>
    <row r="2240" spans="1:9" ht="17.399999999999999" x14ac:dyDescent="0.25">
      <c r="A2240" s="16"/>
      <c r="B2240" s="17"/>
      <c r="C2240" s="2" t="b">
        <v>0</v>
      </c>
      <c r="D2240" s="2"/>
      <c r="E2240" s="2"/>
      <c r="F2240" s="2"/>
      <c r="G2240" s="2"/>
      <c r="H2240" s="2"/>
      <c r="I2240" s="5"/>
    </row>
    <row r="2241" spans="1:9" ht="17.399999999999999" x14ac:dyDescent="0.25">
      <c r="A2241" s="16"/>
      <c r="B2241" s="17"/>
      <c r="C2241" s="2" t="b">
        <v>0</v>
      </c>
      <c r="D2241" s="2"/>
      <c r="E2241" s="2"/>
      <c r="F2241" s="2"/>
      <c r="G2241" s="2"/>
      <c r="H2241" s="2"/>
      <c r="I2241" s="5"/>
    </row>
    <row r="2242" spans="1:9" ht="17.399999999999999" x14ac:dyDescent="0.25">
      <c r="A2242" s="16"/>
      <c r="B2242" s="17"/>
      <c r="C2242" s="2" t="b">
        <v>0</v>
      </c>
      <c r="D2242" s="2"/>
      <c r="E2242" s="2"/>
      <c r="F2242" s="2"/>
      <c r="G2242" s="2"/>
      <c r="H2242" s="2"/>
      <c r="I2242" s="5"/>
    </row>
    <row r="2243" spans="1:9" ht="17.399999999999999" x14ac:dyDescent="0.25">
      <c r="A2243" s="16"/>
      <c r="B2243" s="17"/>
      <c r="C2243" s="2" t="b">
        <v>0</v>
      </c>
      <c r="D2243" s="2"/>
      <c r="E2243" s="2"/>
      <c r="F2243" s="2"/>
      <c r="G2243" s="2"/>
      <c r="H2243" s="2"/>
      <c r="I2243" s="5"/>
    </row>
    <row r="2244" spans="1:9" ht="17.399999999999999" x14ac:dyDescent="0.25">
      <c r="A2244" s="16"/>
      <c r="B2244" s="17"/>
      <c r="C2244" s="2" t="b">
        <v>0</v>
      </c>
      <c r="D2244" s="2"/>
      <c r="E2244" s="2"/>
      <c r="F2244" s="2"/>
      <c r="G2244" s="2"/>
      <c r="H2244" s="2"/>
      <c r="I2244" s="5"/>
    </row>
    <row r="2245" spans="1:9" ht="17.399999999999999" x14ac:dyDescent="0.25">
      <c r="A2245" s="16"/>
      <c r="B2245" s="17"/>
      <c r="C2245" s="2" t="b">
        <v>0</v>
      </c>
      <c r="D2245" s="2"/>
      <c r="E2245" s="2"/>
      <c r="F2245" s="2"/>
      <c r="G2245" s="2"/>
      <c r="H2245" s="2"/>
      <c r="I2245" s="5"/>
    </row>
    <row r="2246" spans="1:9" ht="17.399999999999999" x14ac:dyDescent="0.25">
      <c r="A2246" s="16"/>
      <c r="B2246" s="17"/>
      <c r="C2246" s="2" t="b">
        <v>0</v>
      </c>
      <c r="D2246" s="2"/>
      <c r="E2246" s="2"/>
      <c r="F2246" s="2"/>
      <c r="G2246" s="2"/>
      <c r="H2246" s="2"/>
      <c r="I2246" s="5"/>
    </row>
    <row r="2247" spans="1:9" ht="17.399999999999999" x14ac:dyDescent="0.25">
      <c r="A2247" s="16"/>
      <c r="B2247" s="17"/>
      <c r="C2247" s="2" t="b">
        <v>0</v>
      </c>
      <c r="D2247" s="2"/>
      <c r="E2247" s="2"/>
      <c r="F2247" s="2"/>
      <c r="G2247" s="2"/>
      <c r="H2247" s="2"/>
      <c r="I2247" s="5"/>
    </row>
    <row r="2248" spans="1:9" ht="17.399999999999999" x14ac:dyDescent="0.25">
      <c r="A2248" s="16"/>
      <c r="B2248" s="17"/>
      <c r="C2248" s="2" t="b">
        <v>0</v>
      </c>
      <c r="D2248" s="2"/>
      <c r="E2248" s="2"/>
      <c r="F2248" s="2"/>
      <c r="G2248" s="2"/>
      <c r="H2248" s="2"/>
      <c r="I2248" s="5"/>
    </row>
    <row r="2249" spans="1:9" ht="17.399999999999999" x14ac:dyDescent="0.25">
      <c r="A2249" s="16"/>
      <c r="B2249" s="17"/>
      <c r="C2249" s="2" t="b">
        <v>0</v>
      </c>
      <c r="D2249" s="2"/>
      <c r="E2249" s="2"/>
      <c r="F2249" s="2"/>
      <c r="G2249" s="2"/>
      <c r="H2249" s="2"/>
      <c r="I2249" s="5"/>
    </row>
    <row r="2250" spans="1:9" ht="17.399999999999999" x14ac:dyDescent="0.25">
      <c r="A2250" s="16"/>
      <c r="B2250" s="17"/>
      <c r="C2250" s="2" t="b">
        <v>0</v>
      </c>
      <c r="D2250" s="2"/>
      <c r="E2250" s="2"/>
      <c r="F2250" s="2"/>
      <c r="G2250" s="2"/>
      <c r="H2250" s="2"/>
      <c r="I2250" s="5"/>
    </row>
    <row r="2251" spans="1:9" ht="17.399999999999999" x14ac:dyDescent="0.25">
      <c r="A2251" s="16"/>
      <c r="B2251" s="17"/>
      <c r="C2251" s="2" t="b">
        <v>0</v>
      </c>
      <c r="D2251" s="2"/>
      <c r="E2251" s="2"/>
      <c r="F2251" s="2"/>
      <c r="G2251" s="2"/>
      <c r="H2251" s="2"/>
      <c r="I2251" s="5"/>
    </row>
    <row r="2252" spans="1:9" ht="17.399999999999999" x14ac:dyDescent="0.25">
      <c r="A2252" s="16"/>
      <c r="B2252" s="17"/>
      <c r="C2252" s="2" t="b">
        <v>0</v>
      </c>
      <c r="D2252" s="2"/>
      <c r="E2252" s="2"/>
      <c r="F2252" s="2"/>
      <c r="G2252" s="2"/>
      <c r="H2252" s="2"/>
      <c r="I2252" s="5"/>
    </row>
    <row r="2253" spans="1:9" ht="17.399999999999999" x14ac:dyDescent="0.25">
      <c r="A2253" s="16"/>
      <c r="B2253" s="17"/>
      <c r="C2253" s="2" t="b">
        <v>0</v>
      </c>
      <c r="D2253" s="2"/>
      <c r="E2253" s="2"/>
      <c r="F2253" s="2"/>
      <c r="G2253" s="2"/>
      <c r="H2253" s="2"/>
      <c r="I2253" s="5"/>
    </row>
    <row r="2254" spans="1:9" ht="17.399999999999999" x14ac:dyDescent="0.25">
      <c r="A2254" s="16"/>
      <c r="B2254" s="17"/>
      <c r="C2254" s="2" t="b">
        <v>0</v>
      </c>
      <c r="D2254" s="2"/>
      <c r="E2254" s="2"/>
      <c r="F2254" s="2"/>
      <c r="G2254" s="2"/>
      <c r="H2254" s="2"/>
      <c r="I2254" s="5"/>
    </row>
    <row r="2255" spans="1:9" ht="17.399999999999999" x14ac:dyDescent="0.25">
      <c r="A2255" s="16"/>
      <c r="B2255" s="17"/>
      <c r="C2255" s="2" t="b">
        <v>0</v>
      </c>
      <c r="D2255" s="2"/>
      <c r="E2255" s="2"/>
      <c r="F2255" s="2"/>
      <c r="G2255" s="2"/>
      <c r="H2255" s="2"/>
      <c r="I2255" s="5"/>
    </row>
    <row r="2256" spans="1:9" ht="17.399999999999999" x14ac:dyDescent="0.25">
      <c r="A2256" s="16"/>
      <c r="B2256" s="17"/>
      <c r="C2256" s="2" t="b">
        <v>0</v>
      </c>
      <c r="D2256" s="2"/>
      <c r="E2256" s="2"/>
      <c r="F2256" s="2"/>
      <c r="G2256" s="2"/>
      <c r="H2256" s="2"/>
      <c r="I2256" s="5"/>
    </row>
    <row r="2257" spans="1:9" ht="17.399999999999999" x14ac:dyDescent="0.25">
      <c r="A2257" s="16"/>
      <c r="B2257" s="17"/>
      <c r="C2257" s="2" t="b">
        <v>0</v>
      </c>
      <c r="D2257" s="2"/>
      <c r="E2257" s="2"/>
      <c r="F2257" s="2"/>
      <c r="G2257" s="2"/>
      <c r="H2257" s="2"/>
      <c r="I2257" s="5"/>
    </row>
    <row r="2258" spans="1:9" ht="17.399999999999999" x14ac:dyDescent="0.25">
      <c r="A2258" s="16"/>
      <c r="B2258" s="17"/>
      <c r="C2258" s="2" t="b">
        <v>0</v>
      </c>
      <c r="D2258" s="2"/>
      <c r="E2258" s="2"/>
      <c r="F2258" s="2"/>
      <c r="G2258" s="2"/>
      <c r="H2258" s="2"/>
      <c r="I2258" s="5"/>
    </row>
    <row r="2259" spans="1:9" ht="17.399999999999999" x14ac:dyDescent="0.25">
      <c r="A2259" s="16"/>
      <c r="B2259" s="17"/>
      <c r="C2259" s="2" t="b">
        <v>0</v>
      </c>
      <c r="D2259" s="2"/>
      <c r="E2259" s="2"/>
      <c r="F2259" s="2"/>
      <c r="G2259" s="2"/>
      <c r="H2259" s="2"/>
      <c r="I2259" s="5"/>
    </row>
    <row r="2260" spans="1:9" ht="17.399999999999999" x14ac:dyDescent="0.25">
      <c r="A2260" s="16"/>
      <c r="B2260" s="17"/>
      <c r="C2260" s="2" t="b">
        <v>0</v>
      </c>
      <c r="D2260" s="2"/>
      <c r="E2260" s="2"/>
      <c r="F2260" s="2"/>
      <c r="G2260" s="2"/>
      <c r="H2260" s="2"/>
      <c r="I2260" s="5"/>
    </row>
    <row r="2261" spans="1:9" ht="17.399999999999999" x14ac:dyDescent="0.25">
      <c r="A2261" s="16"/>
      <c r="B2261" s="17"/>
      <c r="C2261" s="2" t="b">
        <v>0</v>
      </c>
      <c r="D2261" s="2"/>
      <c r="E2261" s="2"/>
      <c r="F2261" s="2"/>
      <c r="G2261" s="2"/>
      <c r="H2261" s="2"/>
      <c r="I2261" s="5"/>
    </row>
    <row r="2262" spans="1:9" ht="17.399999999999999" x14ac:dyDescent="0.25">
      <c r="A2262" s="16"/>
      <c r="B2262" s="17"/>
      <c r="C2262" s="2" t="b">
        <v>0</v>
      </c>
      <c r="D2262" s="2"/>
      <c r="E2262" s="2"/>
      <c r="F2262" s="2"/>
      <c r="G2262" s="2"/>
      <c r="H2262" s="2"/>
      <c r="I2262" s="5"/>
    </row>
    <row r="2263" spans="1:9" ht="17.399999999999999" x14ac:dyDescent="0.25">
      <c r="A2263" s="16"/>
      <c r="B2263" s="17"/>
      <c r="C2263" s="2" t="b">
        <v>0</v>
      </c>
      <c r="D2263" s="2"/>
      <c r="E2263" s="2"/>
      <c r="F2263" s="2"/>
      <c r="G2263" s="2"/>
      <c r="H2263" s="2"/>
      <c r="I2263" s="5"/>
    </row>
    <row r="2264" spans="1:9" ht="17.399999999999999" x14ac:dyDescent="0.25">
      <c r="A2264" s="16"/>
      <c r="B2264" s="17"/>
      <c r="C2264" s="2" t="b">
        <v>0</v>
      </c>
      <c r="D2264" s="2"/>
      <c r="E2264" s="2"/>
      <c r="F2264" s="2"/>
      <c r="G2264" s="2"/>
      <c r="H2264" s="2"/>
      <c r="I2264" s="5"/>
    </row>
    <row r="2265" spans="1:9" ht="17.399999999999999" x14ac:dyDescent="0.25">
      <c r="A2265" s="16"/>
      <c r="B2265" s="17"/>
      <c r="C2265" s="2" t="b">
        <v>0</v>
      </c>
      <c r="D2265" s="2"/>
      <c r="E2265" s="2"/>
      <c r="F2265" s="2"/>
      <c r="G2265" s="2"/>
      <c r="H2265" s="2"/>
      <c r="I2265" s="5"/>
    </row>
    <row r="2266" spans="1:9" ht="17.399999999999999" x14ac:dyDescent="0.25">
      <c r="A2266" s="16"/>
      <c r="B2266" s="17"/>
      <c r="C2266" s="2" t="b">
        <v>0</v>
      </c>
      <c r="D2266" s="2"/>
      <c r="E2266" s="2"/>
      <c r="F2266" s="2"/>
      <c r="G2266" s="2"/>
      <c r="H2266" s="2"/>
      <c r="I2266" s="5"/>
    </row>
    <row r="2267" spans="1:9" ht="17.399999999999999" x14ac:dyDescent="0.25">
      <c r="A2267" s="16"/>
      <c r="B2267" s="17"/>
      <c r="C2267" s="2" t="b">
        <v>0</v>
      </c>
      <c r="D2267" s="2"/>
      <c r="E2267" s="2"/>
      <c r="F2267" s="2"/>
      <c r="G2267" s="2"/>
      <c r="H2267" s="2"/>
      <c r="I2267" s="5"/>
    </row>
    <row r="2268" spans="1:9" ht="17.399999999999999" x14ac:dyDescent="0.25">
      <c r="A2268" s="16"/>
      <c r="B2268" s="17"/>
      <c r="C2268" s="2" t="b">
        <v>0</v>
      </c>
      <c r="D2268" s="2"/>
      <c r="E2268" s="2"/>
      <c r="F2268" s="2"/>
      <c r="G2268" s="2"/>
      <c r="H2268" s="2"/>
      <c r="I2268" s="5"/>
    </row>
    <row r="2269" spans="1:9" ht="17.399999999999999" x14ac:dyDescent="0.25">
      <c r="A2269" s="16"/>
      <c r="B2269" s="17"/>
      <c r="C2269" s="2" t="b">
        <v>0</v>
      </c>
      <c r="D2269" s="2"/>
      <c r="E2269" s="2"/>
      <c r="F2269" s="2"/>
      <c r="G2269" s="2"/>
      <c r="H2269" s="2"/>
      <c r="I2269" s="5"/>
    </row>
    <row r="2270" spans="1:9" ht="17.399999999999999" x14ac:dyDescent="0.25">
      <c r="A2270" s="16"/>
      <c r="B2270" s="17"/>
      <c r="C2270" s="2" t="b">
        <v>0</v>
      </c>
      <c r="D2270" s="2"/>
      <c r="E2270" s="2"/>
      <c r="F2270" s="2"/>
      <c r="G2270" s="2"/>
      <c r="H2270" s="2"/>
      <c r="I2270" s="5"/>
    </row>
    <row r="2271" spans="1:9" ht="17.399999999999999" x14ac:dyDescent="0.25">
      <c r="A2271" s="16"/>
      <c r="B2271" s="17"/>
      <c r="C2271" s="2" t="b">
        <v>0</v>
      </c>
      <c r="D2271" s="2"/>
      <c r="E2271" s="2"/>
      <c r="F2271" s="2"/>
      <c r="G2271" s="2"/>
      <c r="H2271" s="2"/>
      <c r="I2271" s="5"/>
    </row>
    <row r="2272" spans="1:9" ht="17.399999999999999" x14ac:dyDescent="0.25">
      <c r="A2272" s="16"/>
      <c r="B2272" s="17"/>
      <c r="C2272" s="2" t="b">
        <v>0</v>
      </c>
      <c r="D2272" s="2"/>
      <c r="E2272" s="2"/>
      <c r="F2272" s="2"/>
      <c r="G2272" s="2"/>
      <c r="H2272" s="2"/>
      <c r="I2272" s="5"/>
    </row>
    <row r="2273" spans="1:9" ht="17.399999999999999" x14ac:dyDescent="0.25">
      <c r="A2273" s="16"/>
      <c r="B2273" s="17"/>
      <c r="C2273" s="2" t="b">
        <v>0</v>
      </c>
      <c r="D2273" s="2"/>
      <c r="E2273" s="2"/>
      <c r="F2273" s="2"/>
      <c r="G2273" s="2"/>
      <c r="H2273" s="2"/>
      <c r="I2273" s="5"/>
    </row>
    <row r="2274" spans="1:9" ht="17.399999999999999" x14ac:dyDescent="0.25">
      <c r="A2274" s="16"/>
      <c r="B2274" s="17"/>
      <c r="C2274" s="2" t="b">
        <v>0</v>
      </c>
      <c r="D2274" s="2"/>
      <c r="E2274" s="2"/>
      <c r="F2274" s="2"/>
      <c r="G2274" s="2"/>
      <c r="H2274" s="2"/>
      <c r="I2274" s="5"/>
    </row>
    <row r="2275" spans="1:9" ht="17.399999999999999" x14ac:dyDescent="0.25">
      <c r="A2275" s="16"/>
      <c r="B2275" s="17"/>
      <c r="C2275" s="2" t="b">
        <v>0</v>
      </c>
      <c r="D2275" s="2"/>
      <c r="E2275" s="2"/>
      <c r="F2275" s="2"/>
      <c r="G2275" s="2"/>
      <c r="H2275" s="2"/>
      <c r="I2275" s="5"/>
    </row>
    <row r="2276" spans="1:9" ht="17.399999999999999" x14ac:dyDescent="0.25">
      <c r="A2276" s="16"/>
      <c r="B2276" s="17"/>
      <c r="C2276" s="2" t="b">
        <v>0</v>
      </c>
      <c r="D2276" s="2"/>
      <c r="E2276" s="2"/>
      <c r="F2276" s="2"/>
      <c r="G2276" s="2"/>
      <c r="H2276" s="2"/>
      <c r="I2276" s="5"/>
    </row>
    <row r="2277" spans="1:9" ht="17.399999999999999" x14ac:dyDescent="0.25">
      <c r="A2277" s="16"/>
      <c r="B2277" s="17"/>
      <c r="C2277" s="2" t="b">
        <v>0</v>
      </c>
      <c r="D2277" s="2"/>
      <c r="E2277" s="2"/>
      <c r="F2277" s="2"/>
      <c r="G2277" s="2"/>
      <c r="H2277" s="2"/>
      <c r="I2277" s="5"/>
    </row>
    <row r="2278" spans="1:9" ht="17.399999999999999" x14ac:dyDescent="0.25">
      <c r="A2278" s="16"/>
      <c r="B2278" s="17"/>
      <c r="C2278" s="2" t="b">
        <v>0</v>
      </c>
      <c r="D2278" s="2"/>
      <c r="E2278" s="2"/>
      <c r="F2278" s="2"/>
      <c r="G2278" s="2"/>
      <c r="H2278" s="2"/>
      <c r="I2278" s="5"/>
    </row>
    <row r="2279" spans="1:9" ht="17.399999999999999" x14ac:dyDescent="0.25">
      <c r="A2279" s="16"/>
      <c r="B2279" s="17"/>
      <c r="C2279" s="2" t="b">
        <v>0</v>
      </c>
      <c r="D2279" s="2"/>
      <c r="E2279" s="2"/>
      <c r="F2279" s="2"/>
      <c r="G2279" s="2"/>
      <c r="H2279" s="2"/>
      <c r="I2279" s="5"/>
    </row>
    <row r="2280" spans="1:9" ht="17.399999999999999" x14ac:dyDescent="0.25">
      <c r="A2280" s="16"/>
      <c r="B2280" s="17"/>
      <c r="C2280" s="2" t="b">
        <v>0</v>
      </c>
      <c r="D2280" s="2"/>
      <c r="E2280" s="2"/>
      <c r="F2280" s="2"/>
      <c r="G2280" s="2"/>
      <c r="H2280" s="2"/>
      <c r="I2280" s="5"/>
    </row>
    <row r="2281" spans="1:9" ht="17.399999999999999" x14ac:dyDescent="0.25">
      <c r="A2281" s="16"/>
      <c r="B2281" s="17"/>
      <c r="C2281" s="2" t="b">
        <v>0</v>
      </c>
      <c r="D2281" s="2"/>
      <c r="E2281" s="2"/>
      <c r="F2281" s="2"/>
      <c r="G2281" s="2"/>
      <c r="H2281" s="2"/>
      <c r="I2281" s="5"/>
    </row>
    <row r="2282" spans="1:9" ht="17.399999999999999" x14ac:dyDescent="0.25">
      <c r="A2282" s="16"/>
      <c r="B2282" s="17"/>
      <c r="C2282" s="2" t="b">
        <v>0</v>
      </c>
      <c r="D2282" s="2"/>
      <c r="E2282" s="2"/>
      <c r="F2282" s="2"/>
      <c r="G2282" s="2"/>
      <c r="H2282" s="2"/>
      <c r="I2282" s="5"/>
    </row>
    <row r="2283" spans="1:9" ht="17.399999999999999" x14ac:dyDescent="0.25">
      <c r="A2283" s="16"/>
      <c r="B2283" s="17"/>
      <c r="C2283" s="2" t="b">
        <v>0</v>
      </c>
      <c r="D2283" s="2"/>
      <c r="E2283" s="2"/>
      <c r="F2283" s="2"/>
      <c r="G2283" s="2"/>
      <c r="H2283" s="2"/>
      <c r="I2283" s="5"/>
    </row>
    <row r="2284" spans="1:9" ht="17.399999999999999" x14ac:dyDescent="0.25">
      <c r="A2284" s="16"/>
      <c r="B2284" s="17"/>
      <c r="C2284" s="2" t="b">
        <v>0</v>
      </c>
      <c r="D2284" s="2"/>
      <c r="E2284" s="2"/>
      <c r="F2284" s="2"/>
      <c r="G2284" s="2"/>
      <c r="H2284" s="2"/>
      <c r="I2284" s="5"/>
    </row>
    <row r="2285" spans="1:9" ht="17.399999999999999" x14ac:dyDescent="0.25">
      <c r="A2285" s="16"/>
      <c r="B2285" s="17"/>
      <c r="C2285" s="2" t="b">
        <v>0</v>
      </c>
      <c r="D2285" s="2"/>
      <c r="E2285" s="2"/>
      <c r="F2285" s="2"/>
      <c r="G2285" s="2"/>
      <c r="H2285" s="2"/>
      <c r="I2285" s="5"/>
    </row>
    <row r="2286" spans="1:9" ht="17.399999999999999" x14ac:dyDescent="0.25">
      <c r="A2286" s="16"/>
      <c r="B2286" s="17"/>
      <c r="C2286" s="2" t="b">
        <v>0</v>
      </c>
      <c r="D2286" s="2"/>
      <c r="E2286" s="2"/>
      <c r="F2286" s="2"/>
      <c r="G2286" s="2"/>
      <c r="H2286" s="2"/>
      <c r="I2286" s="5"/>
    </row>
    <row r="2287" spans="1:9" ht="17.399999999999999" x14ac:dyDescent="0.25">
      <c r="A2287" s="16"/>
      <c r="B2287" s="17"/>
      <c r="C2287" s="2" t="b">
        <v>0</v>
      </c>
      <c r="D2287" s="2"/>
      <c r="E2287" s="2"/>
      <c r="F2287" s="2"/>
      <c r="G2287" s="2"/>
      <c r="H2287" s="2"/>
      <c r="I2287" s="5"/>
    </row>
    <row r="2288" spans="1:9" ht="17.399999999999999" x14ac:dyDescent="0.25">
      <c r="A2288" s="16"/>
      <c r="B2288" s="17"/>
      <c r="C2288" s="2" t="b">
        <v>0</v>
      </c>
      <c r="D2288" s="2"/>
      <c r="E2288" s="2"/>
      <c r="F2288" s="2"/>
      <c r="G2288" s="2"/>
      <c r="H2288" s="2"/>
      <c r="I2288" s="5"/>
    </row>
    <row r="2289" spans="1:9" ht="17.399999999999999" x14ac:dyDescent="0.25">
      <c r="A2289" s="16"/>
      <c r="B2289" s="17"/>
      <c r="C2289" s="2" t="b">
        <v>0</v>
      </c>
      <c r="D2289" s="2"/>
      <c r="E2289" s="2"/>
      <c r="F2289" s="2"/>
      <c r="G2289" s="2"/>
      <c r="H2289" s="2"/>
      <c r="I2289" s="5"/>
    </row>
    <row r="2290" spans="1:9" ht="17.399999999999999" x14ac:dyDescent="0.25">
      <c r="A2290" s="16"/>
      <c r="B2290" s="17"/>
      <c r="C2290" s="2" t="b">
        <v>0</v>
      </c>
      <c r="D2290" s="2"/>
      <c r="E2290" s="2"/>
      <c r="F2290" s="2"/>
      <c r="G2290" s="2"/>
      <c r="H2290" s="2"/>
      <c r="I2290" s="5"/>
    </row>
    <row r="2291" spans="1:9" ht="17.399999999999999" x14ac:dyDescent="0.25">
      <c r="A2291" s="16"/>
      <c r="B2291" s="17"/>
      <c r="C2291" s="2" t="b">
        <v>0</v>
      </c>
      <c r="D2291" s="2"/>
      <c r="E2291" s="2"/>
      <c r="F2291" s="2"/>
      <c r="G2291" s="2"/>
      <c r="H2291" s="2"/>
      <c r="I2291" s="5"/>
    </row>
    <row r="2292" spans="1:9" ht="17.399999999999999" x14ac:dyDescent="0.25">
      <c r="A2292" s="16"/>
      <c r="B2292" s="17"/>
      <c r="C2292" s="2" t="b">
        <v>0</v>
      </c>
      <c r="D2292" s="2"/>
      <c r="E2292" s="2"/>
      <c r="F2292" s="2"/>
      <c r="G2292" s="2"/>
      <c r="H2292" s="2"/>
      <c r="I2292" s="5"/>
    </row>
    <row r="2293" spans="1:9" ht="17.399999999999999" x14ac:dyDescent="0.25">
      <c r="A2293" s="16"/>
      <c r="B2293" s="17"/>
      <c r="C2293" s="2" t="b">
        <v>0</v>
      </c>
      <c r="D2293" s="2"/>
      <c r="E2293" s="2"/>
      <c r="F2293" s="2"/>
      <c r="G2293" s="2"/>
      <c r="H2293" s="2"/>
      <c r="I2293" s="5"/>
    </row>
    <row r="2294" spans="1:9" ht="17.399999999999999" x14ac:dyDescent="0.25">
      <c r="A2294" s="16"/>
      <c r="B2294" s="17"/>
      <c r="C2294" s="2" t="b">
        <v>0</v>
      </c>
      <c r="D2294" s="2"/>
      <c r="E2294" s="2"/>
      <c r="F2294" s="2"/>
      <c r="G2294" s="2"/>
      <c r="H2294" s="2"/>
      <c r="I2294" s="5"/>
    </row>
    <row r="2295" spans="1:9" ht="17.399999999999999" x14ac:dyDescent="0.25">
      <c r="A2295" s="16"/>
      <c r="B2295" s="17"/>
      <c r="C2295" s="2" t="b">
        <v>0</v>
      </c>
      <c r="D2295" s="2"/>
      <c r="E2295" s="2"/>
      <c r="F2295" s="2"/>
      <c r="G2295" s="2"/>
      <c r="H2295" s="2"/>
      <c r="I2295" s="5"/>
    </row>
    <row r="2296" spans="1:9" ht="17.399999999999999" x14ac:dyDescent="0.25">
      <c r="A2296" s="16"/>
      <c r="B2296" s="17"/>
      <c r="C2296" s="2" t="b">
        <v>0</v>
      </c>
      <c r="D2296" s="2"/>
      <c r="E2296" s="2"/>
      <c r="F2296" s="2"/>
      <c r="G2296" s="2"/>
      <c r="H2296" s="2"/>
      <c r="I2296" s="5"/>
    </row>
    <row r="2297" spans="1:9" ht="17.399999999999999" x14ac:dyDescent="0.25">
      <c r="A2297" s="16"/>
      <c r="B2297" s="17"/>
      <c r="C2297" s="2" t="b">
        <v>0</v>
      </c>
      <c r="D2297" s="2"/>
      <c r="E2297" s="2"/>
      <c r="F2297" s="2"/>
      <c r="G2297" s="2"/>
      <c r="H2297" s="2"/>
      <c r="I2297" s="5"/>
    </row>
    <row r="2298" spans="1:9" ht="17.399999999999999" x14ac:dyDescent="0.25">
      <c r="A2298" s="16"/>
      <c r="B2298" s="17"/>
      <c r="C2298" s="2" t="b">
        <v>0</v>
      </c>
      <c r="D2298" s="2"/>
      <c r="E2298" s="2"/>
      <c r="F2298" s="2"/>
      <c r="G2298" s="2"/>
      <c r="H2298" s="2"/>
      <c r="I2298" s="5"/>
    </row>
    <row r="2299" spans="1:9" ht="17.399999999999999" x14ac:dyDescent="0.25">
      <c r="A2299" s="16"/>
      <c r="B2299" s="17"/>
      <c r="C2299" s="2" t="b">
        <v>0</v>
      </c>
      <c r="D2299" s="2"/>
      <c r="E2299" s="2"/>
      <c r="F2299" s="2"/>
      <c r="G2299" s="2"/>
      <c r="H2299" s="2"/>
      <c r="I2299" s="5"/>
    </row>
    <row r="2300" spans="1:9" ht="17.399999999999999" x14ac:dyDescent="0.25">
      <c r="A2300" s="16"/>
      <c r="B2300" s="17"/>
      <c r="C2300" s="2" t="b">
        <v>0</v>
      </c>
      <c r="D2300" s="2"/>
      <c r="E2300" s="2"/>
      <c r="F2300" s="2"/>
      <c r="G2300" s="2"/>
      <c r="H2300" s="2"/>
      <c r="I2300" s="5"/>
    </row>
    <row r="2301" spans="1:9" ht="17.399999999999999" x14ac:dyDescent="0.25">
      <c r="A2301" s="16"/>
      <c r="B2301" s="17"/>
      <c r="C2301" s="2" t="b">
        <v>0</v>
      </c>
      <c r="D2301" s="2"/>
      <c r="E2301" s="2"/>
      <c r="F2301" s="2"/>
      <c r="G2301" s="2"/>
      <c r="H2301" s="2"/>
      <c r="I2301" s="5"/>
    </row>
    <row r="2302" spans="1:9" ht="17.399999999999999" x14ac:dyDescent="0.25">
      <c r="A2302" s="16"/>
      <c r="B2302" s="17"/>
      <c r="C2302" s="2" t="b">
        <v>0</v>
      </c>
      <c r="D2302" s="2"/>
      <c r="E2302" s="2"/>
      <c r="F2302" s="2"/>
      <c r="G2302" s="2"/>
      <c r="H2302" s="2"/>
      <c r="I2302" s="5"/>
    </row>
    <row r="2303" spans="1:9" ht="17.399999999999999" x14ac:dyDescent="0.25">
      <c r="A2303" s="16"/>
      <c r="B2303" s="17"/>
      <c r="C2303" s="2" t="b">
        <v>0</v>
      </c>
      <c r="D2303" s="2"/>
      <c r="E2303" s="2"/>
      <c r="F2303" s="2"/>
      <c r="G2303" s="2"/>
      <c r="H2303" s="2"/>
      <c r="I2303" s="5"/>
    </row>
    <row r="2304" spans="1:9" ht="17.399999999999999" x14ac:dyDescent="0.25">
      <c r="A2304" s="16"/>
      <c r="B2304" s="17"/>
      <c r="C2304" s="2" t="b">
        <v>0</v>
      </c>
      <c r="D2304" s="2"/>
      <c r="E2304" s="2"/>
      <c r="F2304" s="2"/>
      <c r="G2304" s="2"/>
      <c r="H2304" s="2"/>
      <c r="I2304" s="5"/>
    </row>
    <row r="2305" spans="1:9" ht="17.399999999999999" x14ac:dyDescent="0.25">
      <c r="A2305" s="16"/>
      <c r="B2305" s="17"/>
      <c r="C2305" s="2" t="b">
        <v>0</v>
      </c>
      <c r="D2305" s="2"/>
      <c r="E2305" s="2"/>
      <c r="F2305" s="2"/>
      <c r="G2305" s="2"/>
      <c r="H2305" s="2"/>
      <c r="I2305" s="5"/>
    </row>
    <row r="2306" spans="1:9" ht="17.399999999999999" x14ac:dyDescent="0.25">
      <c r="A2306" s="16"/>
      <c r="B2306" s="17"/>
      <c r="C2306" s="2" t="b">
        <v>0</v>
      </c>
      <c r="D2306" s="2"/>
      <c r="E2306" s="2"/>
      <c r="F2306" s="2"/>
      <c r="G2306" s="2"/>
      <c r="H2306" s="2"/>
      <c r="I2306" s="5"/>
    </row>
    <row r="2307" spans="1:9" ht="17.399999999999999" x14ac:dyDescent="0.25">
      <c r="A2307" s="16"/>
      <c r="B2307" s="17"/>
      <c r="C2307" s="2" t="b">
        <v>0</v>
      </c>
      <c r="D2307" s="2"/>
      <c r="E2307" s="2"/>
      <c r="F2307" s="2"/>
      <c r="G2307" s="2"/>
      <c r="H2307" s="2"/>
      <c r="I2307" s="5"/>
    </row>
    <row r="2308" spans="1:9" ht="17.399999999999999" x14ac:dyDescent="0.25">
      <c r="A2308" s="16"/>
      <c r="B2308" s="17"/>
      <c r="C2308" s="2" t="b">
        <v>0</v>
      </c>
      <c r="D2308" s="2"/>
      <c r="E2308" s="2"/>
      <c r="F2308" s="2"/>
      <c r="G2308" s="2"/>
      <c r="H2308" s="2"/>
      <c r="I2308" s="5"/>
    </row>
    <row r="2309" spans="1:9" ht="17.399999999999999" x14ac:dyDescent="0.25">
      <c r="A2309" s="16"/>
      <c r="B2309" s="17"/>
      <c r="C2309" s="2" t="b">
        <v>0</v>
      </c>
      <c r="D2309" s="2"/>
      <c r="E2309" s="2"/>
      <c r="F2309" s="2"/>
      <c r="G2309" s="2"/>
      <c r="H2309" s="2"/>
      <c r="I2309" s="5"/>
    </row>
    <row r="2310" spans="1:9" ht="17.399999999999999" x14ac:dyDescent="0.25">
      <c r="A2310" s="16"/>
      <c r="B2310" s="17"/>
      <c r="C2310" s="2" t="b">
        <v>0</v>
      </c>
      <c r="D2310" s="2"/>
      <c r="E2310" s="2"/>
      <c r="F2310" s="2"/>
      <c r="G2310" s="2"/>
      <c r="H2310" s="2"/>
      <c r="I2310" s="5"/>
    </row>
    <row r="2311" spans="1:9" ht="17.399999999999999" x14ac:dyDescent="0.25">
      <c r="A2311" s="16"/>
      <c r="B2311" s="17"/>
      <c r="C2311" s="2" t="b">
        <v>0</v>
      </c>
      <c r="D2311" s="2"/>
      <c r="E2311" s="2"/>
      <c r="F2311" s="2"/>
      <c r="G2311" s="2"/>
      <c r="H2311" s="2"/>
      <c r="I2311" s="5"/>
    </row>
    <row r="2312" spans="1:9" ht="17.399999999999999" x14ac:dyDescent="0.25">
      <c r="A2312" s="16"/>
      <c r="B2312" s="17"/>
      <c r="C2312" s="2" t="b">
        <v>0</v>
      </c>
      <c r="D2312" s="2"/>
      <c r="E2312" s="2"/>
      <c r="F2312" s="2"/>
      <c r="G2312" s="2"/>
      <c r="H2312" s="2"/>
      <c r="I2312" s="5"/>
    </row>
    <row r="2313" spans="1:9" ht="17.399999999999999" x14ac:dyDescent="0.25">
      <c r="A2313" s="16"/>
      <c r="B2313" s="17"/>
      <c r="C2313" s="2" t="b">
        <v>0</v>
      </c>
      <c r="D2313" s="2"/>
      <c r="E2313" s="2"/>
      <c r="F2313" s="2"/>
      <c r="G2313" s="2"/>
      <c r="H2313" s="2"/>
      <c r="I2313" s="5"/>
    </row>
    <row r="2314" spans="1:9" ht="17.399999999999999" x14ac:dyDescent="0.25">
      <c r="A2314" s="16"/>
      <c r="B2314" s="17"/>
      <c r="C2314" s="2" t="b">
        <v>0</v>
      </c>
      <c r="D2314" s="2"/>
      <c r="E2314" s="2"/>
      <c r="F2314" s="2"/>
      <c r="G2314" s="2"/>
      <c r="H2314" s="2"/>
      <c r="I2314" s="5"/>
    </row>
    <row r="2315" spans="1:9" ht="17.399999999999999" x14ac:dyDescent="0.25">
      <c r="A2315" s="16"/>
      <c r="B2315" s="17"/>
      <c r="C2315" s="2" t="b">
        <v>0</v>
      </c>
      <c r="D2315" s="2"/>
      <c r="E2315" s="2"/>
      <c r="F2315" s="2"/>
      <c r="G2315" s="2"/>
      <c r="H2315" s="2"/>
      <c r="I2315" s="5"/>
    </row>
    <row r="2316" spans="1:9" ht="17.399999999999999" x14ac:dyDescent="0.25">
      <c r="A2316" s="16"/>
      <c r="B2316" s="17"/>
      <c r="C2316" s="2" t="b">
        <v>0</v>
      </c>
      <c r="D2316" s="2"/>
      <c r="E2316" s="2"/>
      <c r="F2316" s="2"/>
      <c r="G2316" s="2"/>
      <c r="H2316" s="2"/>
      <c r="I2316" s="5"/>
    </row>
    <row r="2317" spans="1:9" ht="17.399999999999999" x14ac:dyDescent="0.25">
      <c r="A2317" s="16"/>
      <c r="B2317" s="17"/>
      <c r="C2317" s="2" t="b">
        <v>0</v>
      </c>
      <c r="D2317" s="2"/>
      <c r="E2317" s="2"/>
      <c r="F2317" s="2"/>
      <c r="G2317" s="2"/>
      <c r="H2317" s="2"/>
      <c r="I2317" s="5"/>
    </row>
    <row r="2318" spans="1:9" ht="17.399999999999999" x14ac:dyDescent="0.25">
      <c r="A2318" s="16"/>
      <c r="B2318" s="17"/>
      <c r="C2318" s="2" t="b">
        <v>0</v>
      </c>
      <c r="D2318" s="2"/>
      <c r="E2318" s="2"/>
      <c r="F2318" s="2"/>
      <c r="G2318" s="2"/>
      <c r="H2318" s="2"/>
      <c r="I2318" s="5"/>
    </row>
    <row r="2319" spans="1:9" ht="17.399999999999999" x14ac:dyDescent="0.25">
      <c r="A2319" s="16"/>
      <c r="B2319" s="17"/>
      <c r="C2319" s="2" t="b">
        <v>0</v>
      </c>
      <c r="D2319" s="2"/>
      <c r="E2319" s="2"/>
      <c r="F2319" s="2"/>
      <c r="G2319" s="2"/>
      <c r="H2319" s="2"/>
      <c r="I2319" s="5"/>
    </row>
    <row r="2320" spans="1:9" ht="17.399999999999999" x14ac:dyDescent="0.25">
      <c r="A2320" s="16"/>
      <c r="B2320" s="17"/>
      <c r="C2320" s="2" t="b">
        <v>0</v>
      </c>
      <c r="D2320" s="2"/>
      <c r="E2320" s="2"/>
      <c r="F2320" s="2"/>
      <c r="G2320" s="2"/>
      <c r="H2320" s="2"/>
      <c r="I2320" s="5"/>
    </row>
    <row r="2321" spans="1:9" ht="17.399999999999999" x14ac:dyDescent="0.25">
      <c r="A2321" s="16"/>
      <c r="B2321" s="17"/>
      <c r="C2321" s="2" t="b">
        <v>0</v>
      </c>
      <c r="D2321" s="2"/>
      <c r="E2321" s="2"/>
      <c r="F2321" s="2"/>
      <c r="G2321" s="2"/>
      <c r="H2321" s="2"/>
      <c r="I2321" s="5"/>
    </row>
    <row r="2322" spans="1:9" ht="17.399999999999999" x14ac:dyDescent="0.25">
      <c r="A2322" s="16"/>
      <c r="B2322" s="17"/>
      <c r="C2322" s="2" t="b">
        <v>0</v>
      </c>
      <c r="D2322" s="2"/>
      <c r="E2322" s="2"/>
      <c r="F2322" s="2"/>
      <c r="G2322" s="2"/>
      <c r="H2322" s="2"/>
      <c r="I2322" s="5"/>
    </row>
    <row r="2323" spans="1:9" ht="17.399999999999999" x14ac:dyDescent="0.25">
      <c r="A2323" s="16"/>
      <c r="B2323" s="17"/>
      <c r="C2323" s="2" t="b">
        <v>0</v>
      </c>
      <c r="D2323" s="2"/>
      <c r="E2323" s="2"/>
      <c r="F2323" s="2"/>
      <c r="G2323" s="2"/>
      <c r="H2323" s="2"/>
      <c r="I2323" s="5"/>
    </row>
    <row r="2324" spans="1:9" ht="17.399999999999999" x14ac:dyDescent="0.25">
      <c r="A2324" s="16"/>
      <c r="B2324" s="17"/>
      <c r="C2324" s="2" t="b">
        <v>0</v>
      </c>
      <c r="D2324" s="2"/>
      <c r="E2324" s="2"/>
      <c r="F2324" s="2"/>
      <c r="G2324" s="2"/>
      <c r="H2324" s="2"/>
      <c r="I2324" s="5"/>
    </row>
    <row r="2325" spans="1:9" ht="17.399999999999999" x14ac:dyDescent="0.25">
      <c r="A2325" s="16"/>
      <c r="B2325" s="17"/>
      <c r="C2325" s="2" t="b">
        <v>0</v>
      </c>
      <c r="D2325" s="2"/>
      <c r="E2325" s="2"/>
      <c r="F2325" s="2"/>
      <c r="G2325" s="2"/>
      <c r="H2325" s="2"/>
      <c r="I2325" s="5"/>
    </row>
    <row r="2326" spans="1:9" ht="17.399999999999999" x14ac:dyDescent="0.25">
      <c r="A2326" s="16"/>
      <c r="B2326" s="17"/>
      <c r="C2326" s="2" t="b">
        <v>0</v>
      </c>
      <c r="D2326" s="2"/>
      <c r="E2326" s="2"/>
      <c r="F2326" s="2"/>
      <c r="G2326" s="2"/>
      <c r="H2326" s="2"/>
      <c r="I2326" s="5"/>
    </row>
    <row r="2327" spans="1:9" ht="17.399999999999999" x14ac:dyDescent="0.25">
      <c r="A2327" s="16"/>
      <c r="B2327" s="17"/>
      <c r="C2327" s="2" t="b">
        <v>0</v>
      </c>
      <c r="D2327" s="2"/>
      <c r="E2327" s="2"/>
      <c r="F2327" s="2"/>
      <c r="G2327" s="2"/>
      <c r="H2327" s="2"/>
      <c r="I2327" s="5"/>
    </row>
    <row r="2328" spans="1:9" ht="17.399999999999999" x14ac:dyDescent="0.25">
      <c r="A2328" s="16"/>
      <c r="B2328" s="17"/>
      <c r="C2328" s="2" t="b">
        <v>0</v>
      </c>
      <c r="D2328" s="2"/>
      <c r="E2328" s="2"/>
      <c r="F2328" s="2"/>
      <c r="G2328" s="2"/>
      <c r="H2328" s="2"/>
      <c r="I2328" s="5"/>
    </row>
    <row r="2329" spans="1:9" ht="17.399999999999999" x14ac:dyDescent="0.25">
      <c r="A2329" s="16"/>
      <c r="B2329" s="17"/>
      <c r="C2329" s="2" t="b">
        <v>0</v>
      </c>
      <c r="D2329" s="2"/>
      <c r="E2329" s="2"/>
      <c r="F2329" s="2"/>
      <c r="G2329" s="2"/>
      <c r="H2329" s="2"/>
      <c r="I2329" s="5"/>
    </row>
    <row r="2330" spans="1:9" ht="17.399999999999999" x14ac:dyDescent="0.25">
      <c r="A2330" s="16"/>
      <c r="B2330" s="17"/>
      <c r="C2330" s="2" t="b">
        <v>0</v>
      </c>
      <c r="D2330" s="2"/>
      <c r="E2330" s="2"/>
      <c r="F2330" s="2"/>
      <c r="G2330" s="2"/>
      <c r="H2330" s="2"/>
      <c r="I2330" s="5"/>
    </row>
    <row r="2331" spans="1:9" ht="17.399999999999999" x14ac:dyDescent="0.25">
      <c r="A2331" s="16"/>
      <c r="B2331" s="17"/>
      <c r="C2331" s="2" t="b">
        <v>0</v>
      </c>
      <c r="D2331" s="2"/>
      <c r="E2331" s="2"/>
      <c r="F2331" s="2"/>
      <c r="G2331" s="2"/>
      <c r="H2331" s="2"/>
      <c r="I2331" s="5"/>
    </row>
    <row r="2332" spans="1:9" ht="17.399999999999999" x14ac:dyDescent="0.25">
      <c r="A2332" s="16"/>
      <c r="B2332" s="17"/>
      <c r="C2332" s="2" t="b">
        <v>0</v>
      </c>
      <c r="D2332" s="2"/>
      <c r="E2332" s="2"/>
      <c r="F2332" s="2"/>
      <c r="G2332" s="2"/>
      <c r="H2332" s="2"/>
      <c r="I2332" s="5"/>
    </row>
    <row r="2333" spans="1:9" ht="17.399999999999999" x14ac:dyDescent="0.25">
      <c r="A2333" s="16"/>
      <c r="B2333" s="17"/>
      <c r="C2333" s="2" t="b">
        <v>0</v>
      </c>
      <c r="D2333" s="2"/>
      <c r="E2333" s="2"/>
      <c r="F2333" s="2"/>
      <c r="G2333" s="2"/>
      <c r="H2333" s="2"/>
      <c r="I2333" s="5"/>
    </row>
    <row r="2334" spans="1:9" ht="17.399999999999999" x14ac:dyDescent="0.25">
      <c r="A2334" s="16"/>
      <c r="B2334" s="17"/>
      <c r="C2334" s="2" t="b">
        <v>0</v>
      </c>
      <c r="D2334" s="2"/>
      <c r="E2334" s="2"/>
      <c r="F2334" s="2"/>
      <c r="G2334" s="2"/>
      <c r="H2334" s="2"/>
      <c r="I2334" s="5"/>
    </row>
    <row r="2335" spans="1:9" ht="17.399999999999999" x14ac:dyDescent="0.25">
      <c r="A2335" s="16"/>
      <c r="B2335" s="17"/>
      <c r="C2335" s="2" t="b">
        <v>0</v>
      </c>
      <c r="D2335" s="2"/>
      <c r="E2335" s="2"/>
      <c r="F2335" s="2"/>
      <c r="G2335" s="2"/>
      <c r="H2335" s="2"/>
      <c r="I2335" s="5"/>
    </row>
    <row r="2336" spans="1:9" ht="17.399999999999999" x14ac:dyDescent="0.25">
      <c r="A2336" s="16"/>
      <c r="B2336" s="17"/>
      <c r="C2336" s="2" t="b">
        <v>0</v>
      </c>
      <c r="D2336" s="2"/>
      <c r="E2336" s="2"/>
      <c r="F2336" s="2"/>
      <c r="G2336" s="2"/>
      <c r="H2336" s="2"/>
      <c r="I2336" s="5"/>
    </row>
    <row r="2337" spans="1:9" ht="17.399999999999999" x14ac:dyDescent="0.25">
      <c r="A2337" s="16"/>
      <c r="B2337" s="17"/>
      <c r="C2337" s="2" t="b">
        <v>0</v>
      </c>
      <c r="D2337" s="2"/>
      <c r="E2337" s="2"/>
      <c r="F2337" s="2"/>
      <c r="G2337" s="2"/>
      <c r="H2337" s="2"/>
      <c r="I2337" s="5"/>
    </row>
    <row r="2338" spans="1:9" ht="17.399999999999999" x14ac:dyDescent="0.25">
      <c r="A2338" s="16"/>
      <c r="B2338" s="17"/>
      <c r="C2338" s="2" t="b">
        <v>0</v>
      </c>
      <c r="D2338" s="2"/>
      <c r="E2338" s="2"/>
      <c r="F2338" s="2"/>
      <c r="G2338" s="2"/>
      <c r="H2338" s="2"/>
      <c r="I2338" s="5"/>
    </row>
    <row r="2339" spans="1:9" ht="17.399999999999999" x14ac:dyDescent="0.25">
      <c r="A2339" s="16"/>
      <c r="B2339" s="17"/>
      <c r="C2339" s="2" t="b">
        <v>0</v>
      </c>
      <c r="D2339" s="2"/>
      <c r="E2339" s="2"/>
      <c r="F2339" s="2"/>
      <c r="G2339" s="2"/>
      <c r="H2339" s="2"/>
      <c r="I2339" s="5"/>
    </row>
    <row r="2340" spans="1:9" ht="17.399999999999999" x14ac:dyDescent="0.25">
      <c r="A2340" s="16"/>
      <c r="B2340" s="17"/>
      <c r="C2340" s="2" t="b">
        <v>0</v>
      </c>
      <c r="D2340" s="2"/>
      <c r="E2340" s="2"/>
      <c r="F2340" s="2"/>
      <c r="G2340" s="2"/>
      <c r="H2340" s="2"/>
      <c r="I2340" s="5"/>
    </row>
    <row r="2341" spans="1:9" ht="17.399999999999999" x14ac:dyDescent="0.25">
      <c r="A2341" s="16"/>
      <c r="B2341" s="17"/>
      <c r="C2341" s="2" t="b">
        <v>0</v>
      </c>
      <c r="D2341" s="2"/>
      <c r="E2341" s="2"/>
      <c r="F2341" s="2"/>
      <c r="G2341" s="2"/>
      <c r="H2341" s="2"/>
      <c r="I2341" s="5"/>
    </row>
    <row r="2342" spans="1:9" ht="17.399999999999999" x14ac:dyDescent="0.25">
      <c r="A2342" s="16"/>
      <c r="B2342" s="17"/>
      <c r="C2342" s="2" t="b">
        <v>0</v>
      </c>
      <c r="D2342" s="2"/>
      <c r="E2342" s="2"/>
      <c r="F2342" s="2"/>
      <c r="G2342" s="2"/>
      <c r="H2342" s="2"/>
      <c r="I2342" s="5"/>
    </row>
    <row r="2343" spans="1:9" ht="17.399999999999999" x14ac:dyDescent="0.25">
      <c r="A2343" s="16"/>
      <c r="B2343" s="17"/>
      <c r="C2343" s="2" t="b">
        <v>0</v>
      </c>
      <c r="D2343" s="2"/>
      <c r="E2343" s="2"/>
      <c r="F2343" s="2"/>
      <c r="G2343" s="2"/>
      <c r="H2343" s="2"/>
      <c r="I2343" s="5"/>
    </row>
    <row r="2344" spans="1:9" ht="17.399999999999999" x14ac:dyDescent="0.25">
      <c r="A2344" s="16"/>
      <c r="B2344" s="17"/>
      <c r="C2344" s="2" t="b">
        <v>0</v>
      </c>
      <c r="D2344" s="2"/>
      <c r="E2344" s="2"/>
      <c r="F2344" s="2"/>
      <c r="G2344" s="2"/>
      <c r="H2344" s="2"/>
      <c r="I2344" s="5"/>
    </row>
    <row r="2345" spans="1:9" ht="17.399999999999999" x14ac:dyDescent="0.25">
      <c r="A2345" s="16"/>
      <c r="B2345" s="17"/>
      <c r="C2345" s="2" t="b">
        <v>0</v>
      </c>
      <c r="D2345" s="2"/>
      <c r="E2345" s="2"/>
      <c r="F2345" s="2"/>
      <c r="G2345" s="2"/>
      <c r="H2345" s="2"/>
      <c r="I2345" s="5"/>
    </row>
    <row r="2346" spans="1:9" ht="17.399999999999999" x14ac:dyDescent="0.25">
      <c r="A2346" s="16"/>
      <c r="B2346" s="17"/>
      <c r="C2346" s="2" t="b">
        <v>0</v>
      </c>
      <c r="D2346" s="2"/>
      <c r="E2346" s="2"/>
      <c r="F2346" s="2"/>
      <c r="G2346" s="2"/>
      <c r="H2346" s="2"/>
      <c r="I2346" s="5"/>
    </row>
    <row r="2347" spans="1:9" ht="17.399999999999999" x14ac:dyDescent="0.25">
      <c r="A2347" s="16"/>
      <c r="B2347" s="17"/>
      <c r="C2347" s="2" t="b">
        <v>0</v>
      </c>
      <c r="D2347" s="2"/>
      <c r="E2347" s="2"/>
      <c r="F2347" s="2"/>
      <c r="G2347" s="2"/>
      <c r="H2347" s="2"/>
      <c r="I2347" s="5"/>
    </row>
    <row r="2348" spans="1:9" ht="17.399999999999999" x14ac:dyDescent="0.25">
      <c r="A2348" s="16"/>
      <c r="B2348" s="17"/>
      <c r="C2348" s="2" t="b">
        <v>0</v>
      </c>
      <c r="D2348" s="2"/>
      <c r="E2348" s="2"/>
      <c r="F2348" s="2"/>
      <c r="G2348" s="2"/>
      <c r="H2348" s="2"/>
      <c r="I2348" s="5"/>
    </row>
    <row r="2349" spans="1:9" ht="17.399999999999999" x14ac:dyDescent="0.25">
      <c r="A2349" s="16"/>
      <c r="B2349" s="17"/>
      <c r="C2349" s="2" t="b">
        <v>0</v>
      </c>
      <c r="D2349" s="2"/>
      <c r="E2349" s="2"/>
      <c r="F2349" s="2"/>
      <c r="G2349" s="2"/>
      <c r="H2349" s="2"/>
      <c r="I2349" s="5"/>
    </row>
    <row r="2350" spans="1:9" ht="17.399999999999999" x14ac:dyDescent="0.25">
      <c r="A2350" s="16"/>
      <c r="B2350" s="17"/>
      <c r="C2350" s="2" t="b">
        <v>0</v>
      </c>
      <c r="D2350" s="2"/>
      <c r="E2350" s="2"/>
      <c r="F2350" s="2"/>
      <c r="G2350" s="2"/>
      <c r="H2350" s="2"/>
      <c r="I2350" s="5"/>
    </row>
    <row r="2351" spans="1:9" ht="17.399999999999999" x14ac:dyDescent="0.25">
      <c r="A2351" s="16"/>
      <c r="B2351" s="17"/>
      <c r="C2351" s="2" t="b">
        <v>0</v>
      </c>
      <c r="D2351" s="2"/>
      <c r="E2351" s="2"/>
      <c r="F2351" s="2"/>
      <c r="G2351" s="2"/>
      <c r="H2351" s="2"/>
      <c r="I2351" s="5"/>
    </row>
    <row r="2352" spans="1:9" ht="17.399999999999999" x14ac:dyDescent="0.25">
      <c r="A2352" s="16"/>
      <c r="B2352" s="17"/>
      <c r="C2352" s="2" t="b">
        <v>0</v>
      </c>
      <c r="D2352" s="2"/>
      <c r="E2352" s="2"/>
      <c r="F2352" s="2"/>
      <c r="G2352" s="2"/>
      <c r="H2352" s="2"/>
      <c r="I2352" s="5"/>
    </row>
    <row r="2353" spans="1:9" ht="17.399999999999999" x14ac:dyDescent="0.25">
      <c r="A2353" s="16"/>
      <c r="B2353" s="17"/>
      <c r="C2353" s="2" t="b">
        <v>0</v>
      </c>
      <c r="D2353" s="2"/>
      <c r="E2353" s="2"/>
      <c r="F2353" s="2"/>
      <c r="G2353" s="2"/>
      <c r="H2353" s="2"/>
      <c r="I2353" s="5"/>
    </row>
    <row r="2354" spans="1:9" ht="17.399999999999999" x14ac:dyDescent="0.25">
      <c r="A2354" s="16"/>
      <c r="B2354" s="17"/>
      <c r="C2354" s="2" t="b">
        <v>0</v>
      </c>
      <c r="D2354" s="2"/>
      <c r="E2354" s="2"/>
      <c r="F2354" s="2"/>
      <c r="G2354" s="2"/>
      <c r="H2354" s="2"/>
      <c r="I2354" s="5"/>
    </row>
    <row r="2355" spans="1:9" ht="17.399999999999999" x14ac:dyDescent="0.25">
      <c r="A2355" s="16"/>
      <c r="B2355" s="17"/>
      <c r="C2355" s="2" t="b">
        <v>0</v>
      </c>
      <c r="D2355" s="2"/>
      <c r="E2355" s="2"/>
      <c r="F2355" s="2"/>
      <c r="G2355" s="2"/>
      <c r="H2355" s="2"/>
      <c r="I2355" s="5"/>
    </row>
    <row r="2356" spans="1:9" ht="17.399999999999999" x14ac:dyDescent="0.25">
      <c r="A2356" s="16"/>
      <c r="B2356" s="17"/>
      <c r="C2356" s="2" t="b">
        <v>0</v>
      </c>
      <c r="D2356" s="2"/>
      <c r="E2356" s="2"/>
      <c r="F2356" s="2"/>
      <c r="G2356" s="2"/>
      <c r="H2356" s="2"/>
      <c r="I2356" s="5"/>
    </row>
    <row r="2357" spans="1:9" ht="17.399999999999999" x14ac:dyDescent="0.25">
      <c r="A2357" s="16"/>
      <c r="B2357" s="17"/>
      <c r="C2357" s="2" t="b">
        <v>0</v>
      </c>
      <c r="D2357" s="2"/>
      <c r="E2357" s="2"/>
      <c r="F2357" s="2"/>
      <c r="G2357" s="2"/>
      <c r="H2357" s="2"/>
      <c r="I2357" s="5"/>
    </row>
    <row r="2358" spans="1:9" ht="17.399999999999999" x14ac:dyDescent="0.25">
      <c r="A2358" s="16"/>
      <c r="B2358" s="17"/>
      <c r="C2358" s="2" t="b">
        <v>0</v>
      </c>
      <c r="D2358" s="2"/>
      <c r="E2358" s="2"/>
      <c r="F2358" s="2"/>
      <c r="G2358" s="2"/>
      <c r="H2358" s="2"/>
      <c r="I2358" s="5"/>
    </row>
    <row r="2359" spans="1:9" ht="17.399999999999999" x14ac:dyDescent="0.25">
      <c r="A2359" s="16"/>
      <c r="B2359" s="17"/>
      <c r="C2359" s="2" t="b">
        <v>0</v>
      </c>
      <c r="D2359" s="2"/>
      <c r="E2359" s="2"/>
      <c r="F2359" s="2"/>
      <c r="G2359" s="2"/>
      <c r="H2359" s="2"/>
      <c r="I2359" s="5"/>
    </row>
    <row r="2360" spans="1:9" ht="17.399999999999999" x14ac:dyDescent="0.25">
      <c r="A2360" s="16"/>
      <c r="B2360" s="17"/>
      <c r="C2360" s="2" t="b">
        <v>0</v>
      </c>
      <c r="D2360" s="2"/>
      <c r="E2360" s="2"/>
      <c r="F2360" s="2"/>
      <c r="G2360" s="2"/>
      <c r="H2360" s="2"/>
      <c r="I2360" s="5"/>
    </row>
    <row r="2361" spans="1:9" ht="17.399999999999999" x14ac:dyDescent="0.25">
      <c r="A2361" s="16"/>
      <c r="B2361" s="17"/>
      <c r="C2361" s="2" t="b">
        <v>0</v>
      </c>
      <c r="D2361" s="2"/>
      <c r="E2361" s="2"/>
      <c r="F2361" s="2"/>
      <c r="G2361" s="2"/>
      <c r="H2361" s="2"/>
      <c r="I2361" s="5"/>
    </row>
    <row r="2362" spans="1:9" ht="17.399999999999999" x14ac:dyDescent="0.25">
      <c r="A2362" s="16"/>
      <c r="B2362" s="17"/>
      <c r="C2362" s="2" t="b">
        <v>0</v>
      </c>
      <c r="D2362" s="2"/>
      <c r="E2362" s="2"/>
      <c r="F2362" s="2"/>
      <c r="G2362" s="2"/>
      <c r="H2362" s="2"/>
      <c r="I2362" s="5"/>
    </row>
    <row r="2363" spans="1:9" ht="17.399999999999999" x14ac:dyDescent="0.25">
      <c r="A2363" s="16"/>
      <c r="B2363" s="17"/>
      <c r="C2363" s="2" t="b">
        <v>0</v>
      </c>
      <c r="D2363" s="2"/>
      <c r="E2363" s="2"/>
      <c r="F2363" s="2"/>
      <c r="G2363" s="2"/>
      <c r="H2363" s="2"/>
      <c r="I2363" s="5"/>
    </row>
    <row r="2364" spans="1:9" ht="17.399999999999999" x14ac:dyDescent="0.25">
      <c r="A2364" s="16"/>
      <c r="B2364" s="17"/>
      <c r="C2364" s="2" t="b">
        <v>0</v>
      </c>
      <c r="D2364" s="2"/>
      <c r="E2364" s="2"/>
      <c r="F2364" s="2"/>
      <c r="G2364" s="2"/>
      <c r="H2364" s="2"/>
      <c r="I2364" s="5"/>
    </row>
    <row r="2365" spans="1:9" ht="17.399999999999999" x14ac:dyDescent="0.25">
      <c r="A2365" s="16"/>
      <c r="B2365" s="17"/>
      <c r="C2365" s="2" t="b">
        <v>0</v>
      </c>
      <c r="D2365" s="2"/>
      <c r="E2365" s="2"/>
      <c r="F2365" s="2"/>
      <c r="G2365" s="2"/>
      <c r="H2365" s="2"/>
      <c r="I2365" s="5"/>
    </row>
    <row r="2366" spans="1:9" ht="17.399999999999999" x14ac:dyDescent="0.25">
      <c r="A2366" s="16"/>
      <c r="B2366" s="17"/>
      <c r="C2366" s="2" t="b">
        <v>0</v>
      </c>
      <c r="D2366" s="2"/>
      <c r="E2366" s="2"/>
      <c r="F2366" s="2"/>
      <c r="G2366" s="2"/>
      <c r="H2366" s="2"/>
      <c r="I2366" s="5"/>
    </row>
    <row r="2367" spans="1:9" ht="17.399999999999999" x14ac:dyDescent="0.25">
      <c r="A2367" s="16"/>
      <c r="B2367" s="17"/>
      <c r="C2367" s="2" t="b">
        <v>0</v>
      </c>
      <c r="D2367" s="2"/>
      <c r="E2367" s="2"/>
      <c r="F2367" s="2"/>
      <c r="G2367" s="2"/>
      <c r="H2367" s="2"/>
      <c r="I2367" s="5"/>
    </row>
    <row r="2368" spans="1:9" ht="17.399999999999999" x14ac:dyDescent="0.25">
      <c r="A2368" s="16"/>
      <c r="B2368" s="17"/>
      <c r="C2368" s="2" t="b">
        <v>0</v>
      </c>
      <c r="D2368" s="2"/>
      <c r="E2368" s="2"/>
      <c r="F2368" s="2"/>
      <c r="G2368" s="2"/>
      <c r="H2368" s="2"/>
      <c r="I2368" s="5"/>
    </row>
    <row r="2369" spans="1:9" ht="17.399999999999999" x14ac:dyDescent="0.25">
      <c r="A2369" s="16"/>
      <c r="B2369" s="17"/>
      <c r="C2369" s="2" t="b">
        <v>0</v>
      </c>
      <c r="D2369" s="2"/>
      <c r="E2369" s="2"/>
      <c r="F2369" s="2"/>
      <c r="G2369" s="2"/>
      <c r="H2369" s="2"/>
      <c r="I2369" s="5"/>
    </row>
    <row r="2370" spans="1:9" ht="17.399999999999999" x14ac:dyDescent="0.25">
      <c r="A2370" s="16"/>
      <c r="B2370" s="17"/>
      <c r="C2370" s="2" t="b">
        <v>0</v>
      </c>
      <c r="D2370" s="2"/>
      <c r="E2370" s="2"/>
      <c r="F2370" s="2"/>
      <c r="G2370" s="2"/>
      <c r="H2370" s="2"/>
      <c r="I2370" s="5"/>
    </row>
    <row r="2371" spans="1:9" ht="17.399999999999999" x14ac:dyDescent="0.25">
      <c r="A2371" s="16"/>
      <c r="B2371" s="17"/>
      <c r="C2371" s="2" t="b">
        <v>0</v>
      </c>
      <c r="D2371" s="2"/>
      <c r="E2371" s="2"/>
      <c r="F2371" s="2"/>
      <c r="G2371" s="2"/>
      <c r="H2371" s="2"/>
      <c r="I2371" s="5"/>
    </row>
    <row r="2372" spans="1:9" ht="17.399999999999999" x14ac:dyDescent="0.25">
      <c r="A2372" s="16"/>
      <c r="B2372" s="17"/>
      <c r="C2372" s="2" t="b">
        <v>0</v>
      </c>
      <c r="D2372" s="2"/>
      <c r="E2372" s="2"/>
      <c r="F2372" s="2"/>
      <c r="G2372" s="2"/>
      <c r="H2372" s="2"/>
      <c r="I2372" s="5"/>
    </row>
    <row r="2373" spans="1:9" ht="17.399999999999999" x14ac:dyDescent="0.25">
      <c r="A2373" s="16"/>
      <c r="B2373" s="17"/>
      <c r="C2373" s="2" t="b">
        <v>0</v>
      </c>
      <c r="D2373" s="2"/>
      <c r="E2373" s="2"/>
      <c r="F2373" s="2"/>
      <c r="G2373" s="2"/>
      <c r="H2373" s="2"/>
      <c r="I2373" s="5"/>
    </row>
    <row r="2374" spans="1:9" ht="17.399999999999999" x14ac:dyDescent="0.25">
      <c r="A2374" s="16"/>
      <c r="B2374" s="17"/>
      <c r="C2374" s="2" t="b">
        <v>0</v>
      </c>
      <c r="D2374" s="2"/>
      <c r="E2374" s="2"/>
      <c r="F2374" s="2"/>
      <c r="G2374" s="2"/>
      <c r="H2374" s="2"/>
      <c r="I2374" s="5"/>
    </row>
    <row r="2375" spans="1:9" ht="17.399999999999999" x14ac:dyDescent="0.25">
      <c r="A2375" s="16"/>
      <c r="B2375" s="17"/>
      <c r="C2375" s="2" t="b">
        <v>0</v>
      </c>
      <c r="D2375" s="2"/>
      <c r="E2375" s="2"/>
      <c r="F2375" s="2"/>
      <c r="G2375" s="2"/>
      <c r="H2375" s="2"/>
      <c r="I2375" s="5"/>
    </row>
    <row r="2376" spans="1:9" ht="17.399999999999999" x14ac:dyDescent="0.25">
      <c r="A2376" s="16"/>
      <c r="B2376" s="17"/>
      <c r="C2376" s="2" t="b">
        <v>0</v>
      </c>
      <c r="D2376" s="2"/>
      <c r="E2376" s="2"/>
      <c r="F2376" s="2"/>
      <c r="G2376" s="2"/>
      <c r="H2376" s="2"/>
      <c r="I2376" s="5"/>
    </row>
    <row r="2377" spans="1:9" ht="17.399999999999999" x14ac:dyDescent="0.25">
      <c r="A2377" s="16"/>
      <c r="B2377" s="17"/>
      <c r="C2377" s="2" t="b">
        <v>0</v>
      </c>
      <c r="D2377" s="2"/>
      <c r="E2377" s="2"/>
      <c r="F2377" s="2"/>
      <c r="G2377" s="2"/>
      <c r="H2377" s="2"/>
      <c r="I2377" s="5"/>
    </row>
    <row r="2378" spans="1:9" ht="17.399999999999999" x14ac:dyDescent="0.25">
      <c r="A2378" s="16"/>
      <c r="B2378" s="17"/>
      <c r="C2378" s="2" t="b">
        <v>0</v>
      </c>
      <c r="D2378" s="2"/>
      <c r="E2378" s="2"/>
      <c r="F2378" s="2"/>
      <c r="G2378" s="2"/>
      <c r="H2378" s="2"/>
      <c r="I2378" s="5"/>
    </row>
    <row r="2379" spans="1:9" ht="17.399999999999999" x14ac:dyDescent="0.25">
      <c r="A2379" s="16"/>
      <c r="B2379" s="17"/>
      <c r="C2379" s="2" t="b">
        <v>0</v>
      </c>
      <c r="D2379" s="2"/>
      <c r="E2379" s="2"/>
      <c r="F2379" s="2"/>
      <c r="G2379" s="2"/>
      <c r="H2379" s="2"/>
      <c r="I2379" s="5"/>
    </row>
    <row r="2380" spans="1:9" ht="17.399999999999999" x14ac:dyDescent="0.25">
      <c r="A2380" s="16"/>
      <c r="B2380" s="17"/>
      <c r="C2380" s="2" t="b">
        <v>0</v>
      </c>
      <c r="D2380" s="2"/>
      <c r="E2380" s="2"/>
      <c r="F2380" s="2"/>
      <c r="G2380" s="2"/>
      <c r="H2380" s="2"/>
      <c r="I2380" s="5"/>
    </row>
    <row r="2381" spans="1:9" ht="17.399999999999999" x14ac:dyDescent="0.25">
      <c r="A2381" s="16"/>
      <c r="B2381" s="17"/>
      <c r="C2381" s="2" t="b">
        <v>0</v>
      </c>
      <c r="D2381" s="2"/>
      <c r="E2381" s="2"/>
      <c r="F2381" s="2"/>
      <c r="G2381" s="2"/>
      <c r="H2381" s="2"/>
      <c r="I2381" s="5"/>
    </row>
    <row r="2382" spans="1:9" ht="17.399999999999999" x14ac:dyDescent="0.25">
      <c r="A2382" s="16"/>
      <c r="B2382" s="17"/>
      <c r="C2382" s="2" t="b">
        <v>0</v>
      </c>
      <c r="D2382" s="2"/>
      <c r="E2382" s="2"/>
      <c r="F2382" s="2"/>
      <c r="G2382" s="2"/>
      <c r="H2382" s="2"/>
      <c r="I2382" s="5"/>
    </row>
    <row r="2383" spans="1:9" ht="17.399999999999999" x14ac:dyDescent="0.25">
      <c r="A2383" s="16"/>
      <c r="B2383" s="17"/>
      <c r="C2383" s="2" t="b">
        <v>0</v>
      </c>
      <c r="D2383" s="2"/>
      <c r="E2383" s="2"/>
      <c r="F2383" s="2"/>
      <c r="G2383" s="2"/>
      <c r="H2383" s="2"/>
      <c r="I2383" s="5"/>
    </row>
    <row r="2384" spans="1:9" ht="17.399999999999999" x14ac:dyDescent="0.25">
      <c r="A2384" s="16"/>
      <c r="B2384" s="17"/>
      <c r="C2384" s="2" t="b">
        <v>0</v>
      </c>
      <c r="D2384" s="2"/>
      <c r="E2384" s="2"/>
      <c r="F2384" s="2"/>
      <c r="G2384" s="2"/>
      <c r="H2384" s="2"/>
      <c r="I2384" s="5"/>
    </row>
    <row r="2385" spans="1:9" ht="17.399999999999999" x14ac:dyDescent="0.25">
      <c r="A2385" s="16"/>
      <c r="B2385" s="17"/>
      <c r="C2385" s="2" t="b">
        <v>0</v>
      </c>
      <c r="D2385" s="2"/>
      <c r="E2385" s="2"/>
      <c r="F2385" s="2"/>
      <c r="G2385" s="2"/>
      <c r="H2385" s="2"/>
      <c r="I2385" s="5"/>
    </row>
    <row r="2386" spans="1:9" ht="17.399999999999999" x14ac:dyDescent="0.25">
      <c r="A2386" s="16"/>
      <c r="B2386" s="17"/>
      <c r="C2386" s="2" t="b">
        <v>0</v>
      </c>
      <c r="D2386" s="2"/>
      <c r="E2386" s="2"/>
      <c r="F2386" s="2"/>
      <c r="G2386" s="2"/>
      <c r="H2386" s="2"/>
      <c r="I2386" s="5"/>
    </row>
    <row r="2387" spans="1:9" ht="17.399999999999999" x14ac:dyDescent="0.25">
      <c r="A2387" s="16"/>
      <c r="B2387" s="17"/>
      <c r="C2387" s="2" t="b">
        <v>0</v>
      </c>
      <c r="D2387" s="2"/>
      <c r="E2387" s="2"/>
      <c r="F2387" s="2"/>
      <c r="G2387" s="2"/>
      <c r="H2387" s="2"/>
      <c r="I2387" s="5"/>
    </row>
    <row r="2388" spans="1:9" ht="17.399999999999999" x14ac:dyDescent="0.25">
      <c r="A2388" s="16"/>
      <c r="B2388" s="17"/>
      <c r="C2388" s="2" t="b">
        <v>0</v>
      </c>
      <c r="D2388" s="2"/>
      <c r="E2388" s="2"/>
      <c r="F2388" s="2"/>
      <c r="G2388" s="2"/>
      <c r="H2388" s="2"/>
      <c r="I2388" s="5"/>
    </row>
    <row r="2389" spans="1:9" ht="17.399999999999999" x14ac:dyDescent="0.25">
      <c r="A2389" s="16"/>
      <c r="B2389" s="17"/>
      <c r="C2389" s="2" t="b">
        <v>0</v>
      </c>
      <c r="D2389" s="2"/>
      <c r="E2389" s="2"/>
      <c r="F2389" s="2"/>
      <c r="G2389" s="2"/>
      <c r="H2389" s="2"/>
      <c r="I2389" s="5"/>
    </row>
    <row r="2390" spans="1:9" ht="17.399999999999999" x14ac:dyDescent="0.25">
      <c r="A2390" s="16"/>
      <c r="B2390" s="17"/>
      <c r="C2390" s="2" t="b">
        <v>0</v>
      </c>
      <c r="D2390" s="2"/>
      <c r="E2390" s="2"/>
      <c r="F2390" s="2"/>
      <c r="G2390" s="2"/>
      <c r="H2390" s="2"/>
      <c r="I2390" s="5"/>
    </row>
    <row r="2391" spans="1:9" ht="17.399999999999999" x14ac:dyDescent="0.25">
      <c r="A2391" s="16"/>
      <c r="B2391" s="17"/>
      <c r="C2391" s="2" t="b">
        <v>0</v>
      </c>
      <c r="D2391" s="2"/>
      <c r="E2391" s="2"/>
      <c r="F2391" s="2"/>
      <c r="G2391" s="2"/>
      <c r="H2391" s="2"/>
      <c r="I2391" s="5"/>
    </row>
    <row r="2392" spans="1:9" ht="17.399999999999999" x14ac:dyDescent="0.25">
      <c r="A2392" s="16"/>
      <c r="B2392" s="17"/>
      <c r="C2392" s="2" t="b">
        <v>0</v>
      </c>
      <c r="D2392" s="2"/>
      <c r="E2392" s="2"/>
      <c r="F2392" s="2"/>
      <c r="G2392" s="2"/>
      <c r="H2392" s="2"/>
      <c r="I2392" s="5"/>
    </row>
    <row r="2393" spans="1:9" ht="17.399999999999999" x14ac:dyDescent="0.25">
      <c r="A2393" s="16"/>
      <c r="B2393" s="17"/>
      <c r="C2393" s="2" t="b">
        <v>0</v>
      </c>
      <c r="D2393" s="2"/>
      <c r="E2393" s="2"/>
      <c r="F2393" s="2"/>
      <c r="G2393" s="2"/>
      <c r="H2393" s="2"/>
      <c r="I2393" s="5"/>
    </row>
    <row r="2394" spans="1:9" ht="17.399999999999999" x14ac:dyDescent="0.25">
      <c r="A2394" s="16"/>
      <c r="B2394" s="17"/>
      <c r="C2394" s="2" t="b">
        <v>0</v>
      </c>
      <c r="D2394" s="2"/>
      <c r="E2394" s="2"/>
      <c r="F2394" s="2"/>
      <c r="G2394" s="2"/>
      <c r="H2394" s="2"/>
      <c r="I2394" s="5"/>
    </row>
    <row r="2395" spans="1:9" ht="17.399999999999999" x14ac:dyDescent="0.25">
      <c r="A2395" s="16"/>
      <c r="B2395" s="17"/>
      <c r="C2395" s="2" t="b">
        <v>0</v>
      </c>
      <c r="D2395" s="2"/>
      <c r="E2395" s="2"/>
      <c r="F2395" s="2"/>
      <c r="G2395" s="2"/>
      <c r="H2395" s="2"/>
      <c r="I2395" s="5"/>
    </row>
    <row r="2396" spans="1:9" ht="17.399999999999999" x14ac:dyDescent="0.25">
      <c r="A2396" s="16"/>
      <c r="B2396" s="17"/>
      <c r="C2396" s="2" t="b">
        <v>0</v>
      </c>
      <c r="D2396" s="2"/>
      <c r="E2396" s="2"/>
      <c r="F2396" s="2"/>
      <c r="G2396" s="2"/>
      <c r="H2396" s="2"/>
      <c r="I2396" s="5"/>
    </row>
    <row r="2397" spans="1:9" ht="17.399999999999999" x14ac:dyDescent="0.25">
      <c r="A2397" s="16"/>
      <c r="B2397" s="17"/>
      <c r="C2397" s="2" t="b">
        <v>0</v>
      </c>
      <c r="D2397" s="2"/>
      <c r="E2397" s="2"/>
      <c r="F2397" s="2"/>
      <c r="G2397" s="2"/>
      <c r="H2397" s="2"/>
      <c r="I2397" s="5"/>
    </row>
    <row r="2398" spans="1:9" ht="17.399999999999999" x14ac:dyDescent="0.25">
      <c r="A2398" s="16"/>
      <c r="B2398" s="17"/>
      <c r="C2398" s="2" t="b">
        <v>0</v>
      </c>
      <c r="D2398" s="2"/>
      <c r="E2398" s="2"/>
      <c r="F2398" s="2"/>
      <c r="G2398" s="2"/>
      <c r="H2398" s="2"/>
      <c r="I2398" s="5"/>
    </row>
    <row r="2399" spans="1:9" ht="17.399999999999999" x14ac:dyDescent="0.25">
      <c r="A2399" s="16"/>
      <c r="B2399" s="17"/>
      <c r="C2399" s="2" t="b">
        <v>0</v>
      </c>
      <c r="D2399" s="2"/>
      <c r="E2399" s="2"/>
      <c r="F2399" s="2"/>
      <c r="G2399" s="2"/>
      <c r="H2399" s="2"/>
      <c r="I2399" s="5"/>
    </row>
    <row r="2400" spans="1:9" ht="17.399999999999999" x14ac:dyDescent="0.25">
      <c r="A2400" s="16"/>
      <c r="B2400" s="17"/>
      <c r="C2400" s="2" t="b">
        <v>0</v>
      </c>
      <c r="D2400" s="2"/>
      <c r="E2400" s="2"/>
      <c r="F2400" s="2"/>
      <c r="G2400" s="2"/>
      <c r="H2400" s="2"/>
      <c r="I2400" s="5"/>
    </row>
    <row r="2401" spans="1:9" ht="17.399999999999999" x14ac:dyDescent="0.25">
      <c r="A2401" s="16"/>
      <c r="B2401" s="17"/>
      <c r="C2401" s="2" t="b">
        <v>0</v>
      </c>
      <c r="D2401" s="2"/>
      <c r="E2401" s="2"/>
      <c r="F2401" s="2"/>
      <c r="G2401" s="2"/>
      <c r="H2401" s="2"/>
      <c r="I2401" s="5"/>
    </row>
    <row r="2402" spans="1:9" ht="17.399999999999999" x14ac:dyDescent="0.25">
      <c r="A2402" s="16"/>
      <c r="B2402" s="17"/>
      <c r="C2402" s="2" t="b">
        <v>0</v>
      </c>
      <c r="D2402" s="2"/>
      <c r="E2402" s="2"/>
      <c r="F2402" s="2"/>
      <c r="G2402" s="2"/>
      <c r="H2402" s="2"/>
      <c r="I2402" s="5"/>
    </row>
    <row r="2403" spans="1:9" ht="17.399999999999999" x14ac:dyDescent="0.25">
      <c r="A2403" s="16"/>
      <c r="B2403" s="17"/>
      <c r="C2403" s="2" t="b">
        <v>0</v>
      </c>
      <c r="D2403" s="2"/>
      <c r="E2403" s="2"/>
      <c r="F2403" s="2"/>
      <c r="G2403" s="2"/>
      <c r="H2403" s="2"/>
      <c r="I2403" s="5"/>
    </row>
    <row r="2404" spans="1:9" ht="17.399999999999999" x14ac:dyDescent="0.25">
      <c r="A2404" s="16"/>
      <c r="B2404" s="17"/>
      <c r="C2404" s="2" t="b">
        <v>0</v>
      </c>
      <c r="D2404" s="2"/>
      <c r="E2404" s="2"/>
      <c r="F2404" s="2"/>
      <c r="G2404" s="2"/>
      <c r="H2404" s="2"/>
      <c r="I2404" s="5"/>
    </row>
    <row r="2405" spans="1:9" ht="17.399999999999999" x14ac:dyDescent="0.25">
      <c r="A2405" s="16"/>
      <c r="B2405" s="17"/>
      <c r="C2405" s="2" t="b">
        <v>0</v>
      </c>
      <c r="D2405" s="2"/>
      <c r="E2405" s="2"/>
      <c r="F2405" s="2"/>
      <c r="G2405" s="2"/>
      <c r="H2405" s="2"/>
      <c r="I2405" s="5"/>
    </row>
    <row r="2406" spans="1:9" ht="17.399999999999999" x14ac:dyDescent="0.25">
      <c r="A2406" s="16"/>
      <c r="B2406" s="17"/>
      <c r="C2406" s="2" t="b">
        <v>0</v>
      </c>
      <c r="D2406" s="2"/>
      <c r="E2406" s="2"/>
      <c r="F2406" s="2"/>
      <c r="G2406" s="2"/>
      <c r="H2406" s="2"/>
      <c r="I2406" s="5"/>
    </row>
    <row r="2407" spans="1:9" ht="17.399999999999999" x14ac:dyDescent="0.25">
      <c r="A2407" s="16"/>
      <c r="B2407" s="17"/>
      <c r="C2407" s="2" t="b">
        <v>0</v>
      </c>
      <c r="D2407" s="2"/>
      <c r="E2407" s="2"/>
      <c r="F2407" s="2"/>
      <c r="G2407" s="2"/>
      <c r="H2407" s="2"/>
      <c r="I2407" s="5"/>
    </row>
    <row r="2408" spans="1:9" ht="17.399999999999999" x14ac:dyDescent="0.25">
      <c r="A2408" s="16"/>
      <c r="B2408" s="17"/>
      <c r="C2408" s="2" t="b">
        <v>0</v>
      </c>
      <c r="D2408" s="2"/>
      <c r="E2408" s="2"/>
      <c r="F2408" s="2"/>
      <c r="G2408" s="2"/>
      <c r="H2408" s="2"/>
      <c r="I2408" s="5"/>
    </row>
    <row r="2409" spans="1:9" ht="17.399999999999999" x14ac:dyDescent="0.25">
      <c r="A2409" s="16"/>
      <c r="B2409" s="17"/>
      <c r="C2409" s="2" t="b">
        <v>0</v>
      </c>
      <c r="D2409" s="2"/>
      <c r="E2409" s="2"/>
      <c r="F2409" s="2"/>
      <c r="G2409" s="2"/>
      <c r="H2409" s="2"/>
      <c r="I2409" s="5"/>
    </row>
    <row r="2410" spans="1:9" ht="17.399999999999999" x14ac:dyDescent="0.25">
      <c r="A2410" s="16"/>
      <c r="B2410" s="17"/>
      <c r="C2410" s="2" t="b">
        <v>0</v>
      </c>
      <c r="D2410" s="2"/>
      <c r="E2410" s="2"/>
      <c r="F2410" s="2"/>
      <c r="G2410" s="2"/>
      <c r="H2410" s="2"/>
      <c r="I2410" s="5"/>
    </row>
    <row r="2411" spans="1:9" ht="17.399999999999999" x14ac:dyDescent="0.25">
      <c r="A2411" s="16"/>
      <c r="B2411" s="17"/>
      <c r="C2411" s="2" t="b">
        <v>0</v>
      </c>
      <c r="D2411" s="2"/>
      <c r="E2411" s="2"/>
      <c r="F2411" s="2"/>
      <c r="G2411" s="2"/>
      <c r="H2411" s="2"/>
      <c r="I2411" s="5"/>
    </row>
    <row r="2412" spans="1:9" ht="17.399999999999999" x14ac:dyDescent="0.25">
      <c r="A2412" s="16"/>
      <c r="B2412" s="17"/>
      <c r="C2412" s="2" t="b">
        <v>0</v>
      </c>
      <c r="D2412" s="2"/>
      <c r="E2412" s="2"/>
      <c r="F2412" s="2"/>
      <c r="G2412" s="2"/>
      <c r="H2412" s="2"/>
      <c r="I2412" s="5"/>
    </row>
    <row r="2413" spans="1:9" ht="17.399999999999999" x14ac:dyDescent="0.25">
      <c r="A2413" s="16"/>
      <c r="B2413" s="17"/>
      <c r="C2413" s="2" t="b">
        <v>0</v>
      </c>
      <c r="D2413" s="2"/>
      <c r="E2413" s="2"/>
      <c r="F2413" s="2"/>
      <c r="G2413" s="2"/>
      <c r="H2413" s="2"/>
      <c r="I2413" s="5"/>
    </row>
    <row r="2414" spans="1:9" ht="17.399999999999999" x14ac:dyDescent="0.25">
      <c r="A2414" s="16"/>
      <c r="B2414" s="17"/>
      <c r="C2414" s="2" t="b">
        <v>0</v>
      </c>
      <c r="D2414" s="2"/>
      <c r="E2414" s="2"/>
      <c r="F2414" s="2"/>
      <c r="G2414" s="2"/>
      <c r="H2414" s="2"/>
      <c r="I2414" s="5"/>
    </row>
    <row r="2415" spans="1:9" ht="17.399999999999999" x14ac:dyDescent="0.25">
      <c r="A2415" s="16"/>
      <c r="B2415" s="17"/>
      <c r="C2415" s="2" t="b">
        <v>0</v>
      </c>
      <c r="D2415" s="2"/>
      <c r="E2415" s="2"/>
      <c r="F2415" s="2"/>
      <c r="G2415" s="2"/>
      <c r="H2415" s="2"/>
      <c r="I2415" s="5"/>
    </row>
    <row r="2416" spans="1:9" ht="17.399999999999999" x14ac:dyDescent="0.25">
      <c r="A2416" s="16"/>
      <c r="B2416" s="17"/>
      <c r="C2416" s="2" t="b">
        <v>0</v>
      </c>
      <c r="D2416" s="2"/>
      <c r="E2416" s="2"/>
      <c r="F2416" s="2"/>
      <c r="G2416" s="2"/>
      <c r="H2416" s="2"/>
      <c r="I2416" s="5"/>
    </row>
    <row r="2417" spans="1:9" ht="17.399999999999999" x14ac:dyDescent="0.25">
      <c r="A2417" s="16"/>
      <c r="B2417" s="17"/>
      <c r="C2417" s="2" t="b">
        <v>0</v>
      </c>
      <c r="D2417" s="2"/>
      <c r="E2417" s="2"/>
      <c r="F2417" s="2"/>
      <c r="G2417" s="2"/>
      <c r="H2417" s="2"/>
      <c r="I2417" s="5"/>
    </row>
    <row r="2418" spans="1:9" ht="17.399999999999999" x14ac:dyDescent="0.25">
      <c r="A2418" s="16"/>
      <c r="B2418" s="17"/>
      <c r="C2418" s="2" t="b">
        <v>0</v>
      </c>
      <c r="D2418" s="2"/>
      <c r="E2418" s="2"/>
      <c r="F2418" s="2"/>
      <c r="G2418" s="2"/>
      <c r="H2418" s="2"/>
      <c r="I2418" s="5"/>
    </row>
    <row r="2419" spans="1:9" ht="17.399999999999999" x14ac:dyDescent="0.25">
      <c r="A2419" s="16"/>
      <c r="B2419" s="17"/>
      <c r="C2419" s="2" t="b">
        <v>0</v>
      </c>
      <c r="D2419" s="2"/>
      <c r="E2419" s="2"/>
      <c r="F2419" s="2"/>
      <c r="G2419" s="2"/>
      <c r="H2419" s="2"/>
      <c r="I2419" s="5"/>
    </row>
    <row r="2420" spans="1:9" ht="17.399999999999999" x14ac:dyDescent="0.25">
      <c r="A2420" s="16"/>
      <c r="B2420" s="17"/>
      <c r="C2420" s="2" t="b">
        <v>0</v>
      </c>
      <c r="D2420" s="2"/>
      <c r="E2420" s="2"/>
      <c r="F2420" s="2"/>
      <c r="G2420" s="2"/>
      <c r="H2420" s="2"/>
      <c r="I2420" s="5"/>
    </row>
    <row r="2421" spans="1:9" ht="17.399999999999999" x14ac:dyDescent="0.25">
      <c r="A2421" s="16"/>
      <c r="B2421" s="17"/>
      <c r="C2421" s="2" t="b">
        <v>0</v>
      </c>
      <c r="D2421" s="2"/>
      <c r="E2421" s="2"/>
      <c r="F2421" s="2"/>
      <c r="G2421" s="2"/>
      <c r="H2421" s="2"/>
      <c r="I2421" s="5"/>
    </row>
    <row r="2422" spans="1:9" ht="17.399999999999999" x14ac:dyDescent="0.25">
      <c r="A2422" s="16"/>
      <c r="B2422" s="17"/>
      <c r="C2422" s="2" t="b">
        <v>0</v>
      </c>
      <c r="D2422" s="2"/>
      <c r="E2422" s="2"/>
      <c r="F2422" s="2"/>
      <c r="G2422" s="2"/>
      <c r="H2422" s="2"/>
      <c r="I2422" s="5"/>
    </row>
    <row r="2423" spans="1:9" ht="17.399999999999999" x14ac:dyDescent="0.25">
      <c r="A2423" s="16"/>
      <c r="B2423" s="17"/>
      <c r="C2423" s="2" t="b">
        <v>0</v>
      </c>
      <c r="D2423" s="2"/>
      <c r="E2423" s="2"/>
      <c r="F2423" s="2"/>
      <c r="G2423" s="2"/>
      <c r="H2423" s="2"/>
      <c r="I2423" s="5"/>
    </row>
    <row r="2424" spans="1:9" ht="17.399999999999999" x14ac:dyDescent="0.25">
      <c r="A2424" s="16"/>
      <c r="B2424" s="17"/>
      <c r="C2424" s="2" t="b">
        <v>0</v>
      </c>
      <c r="D2424" s="2"/>
      <c r="E2424" s="2"/>
      <c r="F2424" s="2"/>
      <c r="G2424" s="2"/>
      <c r="H2424" s="2"/>
      <c r="I2424" s="5"/>
    </row>
    <row r="2425" spans="1:9" ht="17.399999999999999" x14ac:dyDescent="0.25">
      <c r="A2425" s="16"/>
      <c r="B2425" s="17"/>
      <c r="C2425" s="2" t="b">
        <v>0</v>
      </c>
      <c r="D2425" s="2"/>
      <c r="E2425" s="2"/>
      <c r="F2425" s="2"/>
      <c r="G2425" s="2"/>
      <c r="H2425" s="2"/>
      <c r="I2425" s="5"/>
    </row>
    <row r="2426" spans="1:9" ht="17.399999999999999" x14ac:dyDescent="0.25">
      <c r="A2426" s="16"/>
      <c r="B2426" s="17"/>
      <c r="C2426" s="2" t="b">
        <v>0</v>
      </c>
      <c r="D2426" s="2"/>
      <c r="E2426" s="2"/>
      <c r="F2426" s="2"/>
      <c r="G2426" s="2"/>
      <c r="H2426" s="2"/>
      <c r="I2426" s="5"/>
    </row>
    <row r="2427" spans="1:9" ht="17.399999999999999" x14ac:dyDescent="0.25">
      <c r="A2427" s="16"/>
      <c r="B2427" s="17"/>
      <c r="C2427" s="2" t="b">
        <v>0</v>
      </c>
      <c r="D2427" s="2"/>
      <c r="E2427" s="2"/>
      <c r="F2427" s="2"/>
      <c r="G2427" s="2"/>
      <c r="H2427" s="2"/>
      <c r="I2427" s="5"/>
    </row>
    <row r="2428" spans="1:9" ht="17.399999999999999" x14ac:dyDescent="0.25">
      <c r="A2428" s="16"/>
      <c r="B2428" s="17"/>
      <c r="C2428" s="2" t="b">
        <v>0</v>
      </c>
      <c r="D2428" s="2"/>
      <c r="E2428" s="2"/>
      <c r="F2428" s="2"/>
      <c r="G2428" s="2"/>
      <c r="H2428" s="2"/>
      <c r="I2428" s="5"/>
    </row>
    <row r="2429" spans="1:9" ht="17.399999999999999" x14ac:dyDescent="0.25">
      <c r="A2429" s="16"/>
      <c r="B2429" s="17"/>
      <c r="C2429" s="2" t="b">
        <v>0</v>
      </c>
      <c r="D2429" s="2"/>
      <c r="E2429" s="2"/>
      <c r="F2429" s="2"/>
      <c r="G2429" s="2"/>
      <c r="H2429" s="2"/>
      <c r="I2429" s="5"/>
    </row>
    <row r="2430" spans="1:9" ht="17.399999999999999" x14ac:dyDescent="0.25">
      <c r="A2430" s="16"/>
      <c r="B2430" s="17"/>
      <c r="C2430" s="2" t="b">
        <v>0</v>
      </c>
      <c r="D2430" s="2"/>
      <c r="E2430" s="2"/>
      <c r="F2430" s="2"/>
      <c r="G2430" s="2"/>
      <c r="H2430" s="2"/>
      <c r="I2430" s="5"/>
    </row>
    <row r="2431" spans="1:9" ht="17.399999999999999" x14ac:dyDescent="0.25">
      <c r="A2431" s="16"/>
      <c r="B2431" s="17"/>
      <c r="C2431" s="2" t="b">
        <v>0</v>
      </c>
      <c r="D2431" s="2"/>
      <c r="E2431" s="2"/>
      <c r="F2431" s="2"/>
      <c r="G2431" s="2"/>
      <c r="H2431" s="2"/>
      <c r="I2431" s="5"/>
    </row>
    <row r="2432" spans="1:9" ht="17.399999999999999" x14ac:dyDescent="0.25">
      <c r="A2432" s="16"/>
      <c r="B2432" s="17"/>
      <c r="C2432" s="2" t="b">
        <v>0</v>
      </c>
      <c r="D2432" s="2"/>
      <c r="E2432" s="2"/>
      <c r="F2432" s="2"/>
      <c r="G2432" s="2"/>
      <c r="H2432" s="2"/>
      <c r="I2432" s="5"/>
    </row>
    <row r="2433" spans="1:9" ht="17.399999999999999" x14ac:dyDescent="0.25">
      <c r="A2433" s="16"/>
      <c r="B2433" s="17"/>
      <c r="C2433" s="2" t="b">
        <v>0</v>
      </c>
      <c r="D2433" s="2"/>
      <c r="E2433" s="2"/>
      <c r="F2433" s="2"/>
      <c r="G2433" s="2"/>
      <c r="H2433" s="2"/>
      <c r="I2433" s="5"/>
    </row>
    <row r="2434" spans="1:9" ht="17.399999999999999" x14ac:dyDescent="0.25">
      <c r="A2434" s="16"/>
      <c r="B2434" s="17"/>
      <c r="C2434" s="2" t="b">
        <v>0</v>
      </c>
      <c r="D2434" s="2"/>
      <c r="E2434" s="2"/>
      <c r="F2434" s="2"/>
      <c r="G2434" s="2"/>
      <c r="H2434" s="2"/>
      <c r="I2434" s="5"/>
    </row>
    <row r="2435" spans="1:9" ht="17.399999999999999" x14ac:dyDescent="0.25">
      <c r="A2435" s="16"/>
      <c r="B2435" s="17"/>
      <c r="C2435" s="2" t="b">
        <v>0</v>
      </c>
      <c r="D2435" s="2"/>
      <c r="E2435" s="2"/>
      <c r="F2435" s="2"/>
      <c r="G2435" s="2"/>
      <c r="H2435" s="2"/>
      <c r="I2435" s="5"/>
    </row>
    <row r="2436" spans="1:9" ht="17.399999999999999" x14ac:dyDescent="0.25">
      <c r="A2436" s="16"/>
      <c r="B2436" s="17"/>
      <c r="C2436" s="2" t="b">
        <v>0</v>
      </c>
      <c r="D2436" s="2"/>
      <c r="E2436" s="2"/>
      <c r="F2436" s="2"/>
      <c r="G2436" s="2"/>
      <c r="H2436" s="2"/>
      <c r="I2436" s="5"/>
    </row>
    <row r="2437" spans="1:9" ht="17.399999999999999" x14ac:dyDescent="0.25">
      <c r="A2437" s="16"/>
      <c r="B2437" s="17"/>
      <c r="C2437" s="2" t="b">
        <v>0</v>
      </c>
      <c r="D2437" s="2"/>
      <c r="E2437" s="2"/>
      <c r="F2437" s="2"/>
      <c r="G2437" s="2"/>
      <c r="H2437" s="2"/>
      <c r="I2437" s="5"/>
    </row>
    <row r="2438" spans="1:9" ht="17.399999999999999" x14ac:dyDescent="0.25">
      <c r="A2438" s="16"/>
      <c r="B2438" s="17"/>
      <c r="C2438" s="2" t="b">
        <v>0</v>
      </c>
      <c r="D2438" s="2"/>
      <c r="E2438" s="2"/>
      <c r="F2438" s="2"/>
      <c r="G2438" s="2"/>
      <c r="H2438" s="2"/>
      <c r="I2438" s="5"/>
    </row>
    <row r="2439" spans="1:9" ht="17.399999999999999" x14ac:dyDescent="0.25">
      <c r="A2439" s="16"/>
      <c r="B2439" s="17"/>
      <c r="C2439" s="2" t="b">
        <v>0</v>
      </c>
      <c r="D2439" s="2"/>
      <c r="E2439" s="2"/>
      <c r="F2439" s="2"/>
      <c r="G2439" s="2"/>
      <c r="H2439" s="2"/>
      <c r="I2439" s="5"/>
    </row>
    <row r="2440" spans="1:9" ht="17.399999999999999" x14ac:dyDescent="0.25">
      <c r="A2440" s="16"/>
      <c r="B2440" s="17"/>
      <c r="C2440" s="2" t="b">
        <v>0</v>
      </c>
      <c r="D2440" s="2"/>
      <c r="E2440" s="2"/>
      <c r="F2440" s="2"/>
      <c r="G2440" s="2"/>
      <c r="H2440" s="2"/>
      <c r="I2440" s="5"/>
    </row>
  </sheetData>
  <mergeCells count="2">
    <mergeCell ref="B2:H2"/>
    <mergeCell ref="B3:H3"/>
  </mergeCells>
  <conditionalFormatting sqref="A1:H2440">
    <cfRule type="cellIs" dxfId="3" priority="1" operator="equal">
      <formula>"Purchased Perks"</formula>
    </cfRule>
    <cfRule type="expression" dxfId="2" priority="2">
      <formula>IF($E1="Purchased Perks",TRUE,FALSE)</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outlinePr summaryBelow="0" summaryRight="0"/>
  </sheetPr>
  <dimension ref="A1:XFD2440"/>
  <sheetViews>
    <sheetView workbookViewId="0">
      <pane ySplit="4" topLeftCell="A5" activePane="bottomLeft" state="frozen"/>
      <selection pane="bottomLeft" activeCell="B6" sqref="B6"/>
    </sheetView>
  </sheetViews>
  <sheetFormatPr defaultColWidth="12.6640625" defaultRowHeight="15.75" customHeight="1" x14ac:dyDescent="0.25"/>
  <cols>
    <col min="1" max="1" width="3.21875" customWidth="1"/>
    <col min="2" max="2" width="3.33203125" customWidth="1"/>
    <col min="3" max="3" width="10" customWidth="1"/>
    <col min="4" max="4" width="7.6640625" customWidth="1"/>
    <col min="5" max="5" width="20.88671875" customWidth="1"/>
    <col min="6" max="6" width="14.77734375" customWidth="1"/>
    <col min="7" max="7" width="19.44140625" customWidth="1"/>
    <col min="8" max="8" width="105.109375" customWidth="1"/>
    <col min="9" max="9" width="3.21875" customWidth="1"/>
    <col min="16384" max="16384" width="0" hidden="1" customWidth="1"/>
  </cols>
  <sheetData>
    <row r="1" spans="1:9 16384:16384" ht="18.75" hidden="1" customHeight="1" x14ac:dyDescent="0.25">
      <c r="A1" s="16"/>
      <c r="B1" s="16"/>
      <c r="C1" s="26"/>
      <c r="D1" s="26"/>
      <c r="E1" s="26"/>
      <c r="F1" s="26"/>
      <c r="G1" s="26"/>
      <c r="H1" s="26"/>
      <c r="I1" s="5"/>
      <c r="XFD1">
        <f ca="1">IF('Roll All'!$B$4="Roll!",RAND(),RAND())</f>
        <v>0.91035247854075707</v>
      </c>
    </row>
    <row r="2" spans="1:9 16384:16384" ht="43.5" customHeight="1" x14ac:dyDescent="0.25">
      <c r="A2" s="16"/>
      <c r="B2" s="54" t="s">
        <v>64</v>
      </c>
      <c r="C2" s="40"/>
      <c r="D2" s="40"/>
      <c r="E2" s="40"/>
      <c r="F2" s="40"/>
      <c r="G2" s="40"/>
      <c r="H2" s="40"/>
      <c r="I2" s="5"/>
    </row>
    <row r="3" spans="1:9 16384:16384" ht="30" customHeight="1" x14ac:dyDescent="0.25">
      <c r="A3" s="16"/>
      <c r="B3" s="42" t="s">
        <v>5661</v>
      </c>
      <c r="C3" s="40"/>
      <c r="D3" s="40"/>
      <c r="E3" s="40"/>
      <c r="F3" s="40"/>
      <c r="G3" s="40"/>
      <c r="H3" s="40"/>
      <c r="I3" s="5"/>
    </row>
    <row r="4" spans="1:9 16384:16384" ht="34.799999999999997" x14ac:dyDescent="0.25">
      <c r="A4" s="16"/>
      <c r="B4" s="17">
        <f t="array" ref="B4:B99">ROW(B4:B2440)-4</f>
        <v>0</v>
      </c>
      <c r="C4" s="10" t="s">
        <v>50</v>
      </c>
      <c r="D4" s="10" t="s">
        <v>20</v>
      </c>
      <c r="E4" s="10" t="s">
        <v>21</v>
      </c>
      <c r="F4" s="10" t="s">
        <v>22</v>
      </c>
      <c r="G4" s="10" t="s">
        <v>23</v>
      </c>
      <c r="H4" s="10" t="s">
        <v>24</v>
      </c>
      <c r="I4" s="5"/>
    </row>
    <row r="5" spans="1:9 16384:16384" ht="139.19999999999999" x14ac:dyDescent="0.25">
      <c r="A5" s="16"/>
      <c r="B5" s="17">
        <v>1</v>
      </c>
      <c r="C5" s="3" t="b">
        <f ca="1">IFERROR(__xludf.DUMMYFUNCTION("sort(filter('Full Perk List'!B3:G1935,'Full Perk List'!F3:F1935=B2),1,1,2,1,3,1)"),FALSE)</f>
        <v>0</v>
      </c>
      <c r="D5" s="3">
        <f ca="1">IFERROR(__xludf.DUMMYFUNCTION("""COMPUTED_VALUE"""),0)</f>
        <v>0</v>
      </c>
      <c r="E5" s="3" t="str">
        <f ca="1">IFERROR(__xludf.DUMMYFUNCTION("""COMPUTED_VALUE"""),"Fluid in Form")</f>
        <v>Fluid in Form</v>
      </c>
      <c r="F5" s="3" t="str">
        <f ca="1">IFERROR(__xludf.DUMMYFUNCTION("""COMPUTED_VALUE"""),"Trials In Tainted Space")</f>
        <v>Trials In Tainted Space</v>
      </c>
      <c r="G5" s="3" t="str">
        <f ca="1">IFERROR(__xludf.DUMMYFUNCTION("""COMPUTED_VALUE"""),"Transformation")</f>
        <v>Transformation</v>
      </c>
      <c r="H5" s="3" t="str">
        <f ca="1">IFERROR(__xludf.DUMMYFUNCTION("""COMPUTED_VALUE"""),"This whole setting is about changing yourself, and yet still being you. Your body is now more receptive to changes, but more so for positive ones. If you want to lose weight, hit the gym, and you’ll start gaining tone and shedding fat, and you’ll never ha"&amp;"ve to worry about excess skin from any rapid changes. Color changes are complete ones, so you never have to worry about the roots of your hair showing that you dyed it. And no matter what you do to your body, how much you change it, even if you had a comp"&amp;"lete gender change in both form and mind, then people will still know who you are and accept you for it. Lastly, you may choose to toggle this perk on and off, if you would rather have some stability in your life.")</f>
        <v>This whole setting is about changing yourself, and yet still being you. Your body is now more receptive to changes, but more so for positive ones. If you want to lose weight, hit the gym, and you’ll start gaining tone and shedding fat, and you’ll never have to worry about excess skin from any rapid changes. Color changes are complete ones, so you never have to worry about the roots of your hair showing that you dyed it. And no matter what you do to your body, how much you change it, even if you had a complete gender change in both form and mind, then people will still know who you are and accept you for it. Lastly, you may choose to toggle this perk on and off, if you would rather have some stability in your life.</v>
      </c>
      <c r="I5" s="5"/>
    </row>
    <row r="6" spans="1:9 16384:16384" ht="156.6" x14ac:dyDescent="0.25">
      <c r="A6" s="16"/>
      <c r="B6" s="17">
        <v>2</v>
      </c>
      <c r="C6" s="4" t="b">
        <f ca="1">IFERROR(__xludf.DUMMYFUNCTION("""COMPUTED_VALUE"""),FALSE)</f>
        <v>0</v>
      </c>
      <c r="D6" s="4">
        <f ca="1">IFERROR(__xludf.DUMMYFUNCTION("""COMPUTED_VALUE"""),0)</f>
        <v>0</v>
      </c>
      <c r="E6" s="4" t="str">
        <f ca="1">IFERROR(__xludf.DUMMYFUNCTION("""COMPUTED_VALUE"""),"Genital Mod")</f>
        <v>Genital Mod</v>
      </c>
      <c r="F6" s="4" t="str">
        <f ca="1">IFERROR(__xludf.DUMMYFUNCTION("""COMPUTED_VALUE"""),"Drainage City")</f>
        <v>Drainage City</v>
      </c>
      <c r="G6" s="4" t="str">
        <f ca="1">IFERROR(__xludf.DUMMYFUNCTION("""COMPUTED_VALUE"""),"Transformation")</f>
        <v>Transformation</v>
      </c>
      <c r="H6" s="4" t="str">
        <f ca="1">IFERROR(__xludf.DUMMYFUNCTION("""COMPUTED_VALUE"""),"Horihone Saizou is an artist known for taking creative liberties with anatomy and in none of their works do they get more creative with anatomy than Drainage City. Whether you're a female with a symbiotic progenitor worm that lives off your feces and tran"&amp;"smits pleasure as you inject your partners with its delicious offspring or a guy with a wide and short penis with a massive urethra better suited to being penetrated than penetrating, or perhaps a cluster of irregular penises vaguely resembling a chrysant"&amp;"hemum blossom, the addition of a barnacle like growth of external orifices each of which bring the same pleasure one might feel from a more traditional quim, or simply a second conjoined lower body that can scissor against your existing sex. You have grea"&amp;"t liberty to shape your anatomy or acquire a symbiotic partner.")</f>
        <v>Horihone Saizou is an artist known for taking creative liberties with anatomy and in none of their works do they get more creative with anatomy than Drainage City. Whether you're a female with a symbiotic progenitor worm that lives off your feces and transmits pleasure as you inject your partners with its delicious offspring or a guy with a wide and short penis with a massive urethra better suited to being penetrated than penetrating, or perhaps a cluster of irregular penises vaguely resembling a chrysanthemum blossom, the addition of a barnacle like growth of external orifices each of which bring the same pleasure one might feel from a more traditional quim, or simply a second conjoined lower body that can scissor against your existing sex. You have great liberty to shape your anatomy or acquire a symbiotic partner.</v>
      </c>
      <c r="I6" s="5"/>
    </row>
    <row r="7" spans="1:9 16384:16384" ht="52.2" x14ac:dyDescent="0.25">
      <c r="A7" s="16"/>
      <c r="B7" s="17">
        <v>3</v>
      </c>
      <c r="C7" s="2" t="b">
        <f ca="1">IFERROR(__xludf.DUMMYFUNCTION("""COMPUTED_VALUE"""),FALSE)</f>
        <v>0</v>
      </c>
      <c r="D7" s="2">
        <f ca="1">IFERROR(__xludf.DUMMYFUNCTION("""COMPUTED_VALUE"""),50)</f>
        <v>50</v>
      </c>
      <c r="E7" s="2" t="str">
        <f ca="1">IFERROR(__xludf.DUMMYFUNCTION("""COMPUTED_VALUE"""),"Breast Lotion")</f>
        <v>Breast Lotion</v>
      </c>
      <c r="F7" s="2" t="str">
        <f ca="1">IFERROR(__xludf.DUMMYFUNCTION("""COMPUTED_VALUE"""),"Ranma fall - Katamimi Buta")</f>
        <v>Ranma fall - Katamimi Buta</v>
      </c>
      <c r="G7" s="2" t="str">
        <f ca="1">IFERROR(__xludf.DUMMYFUNCTION("""COMPUTED_VALUE"""),"Transformation")</f>
        <v>Transformation</v>
      </c>
      <c r="H7" s="2" t="str">
        <f ca="1">IFERROR(__xludf.DUMMYFUNCTION("""COMPUTED_VALUE"""),"This lotion if repeatedly applied to a woman's breasts will permanently increase the size and sensitivity over time. Once the breasts have gone up a few sizes if you keep applying it then it will induce permanent lactation.")</f>
        <v>This lotion if repeatedly applied to a woman's breasts will permanently increase the size and sensitivity over time. Once the breasts have gone up a few sizes if you keep applying it then it will induce permanent lactation.</v>
      </c>
      <c r="I7" s="5"/>
    </row>
    <row r="8" spans="1:9 16384:16384" ht="174" x14ac:dyDescent="0.25">
      <c r="A8" s="16"/>
      <c r="B8" s="17">
        <v>4</v>
      </c>
      <c r="C8" s="2" t="b">
        <f ca="1">IFERROR(__xludf.DUMMYFUNCTION("""COMPUTED_VALUE"""),FALSE)</f>
        <v>0</v>
      </c>
      <c r="D8" s="2">
        <f ca="1">IFERROR(__xludf.DUMMYFUNCTION("""COMPUTED_VALUE"""),50)</f>
        <v>50</v>
      </c>
      <c r="E8" s="2" t="str">
        <f ca="1">IFERROR(__xludf.DUMMYFUNCTION("""COMPUTED_VALUE"""),"Lon Lon Milk")</f>
        <v>Lon Lon Milk</v>
      </c>
      <c r="F8" s="2" t="str">
        <f ca="1">IFERROR(__xludf.DUMMYFUNCTION("""COMPUTED_VALUE"""),"Breathless Wild")</f>
        <v>Breathless Wild</v>
      </c>
      <c r="G8" s="2" t="str">
        <f ca="1">IFERROR(__xludf.DUMMYFUNCTION("""COMPUTED_VALUE"""),"Transformation")</f>
        <v>Transformation</v>
      </c>
      <c r="H8" s="2" t="str">
        <f ca="1">IFERROR(__xludf.DUMMYFUNCTION("""COMPUTED_VALUE"""),"Even the kingdom’s collapse can’t keep hylian farmers down for long. Lon Lon Ranch has relocated from Hyrule Field to the outskirts of Hateno Village but their famously-excellent milk is the same as it ever was, if not even better than before. You have a "&amp;"refilling supply of delicious milk in enchanted bottles that never break and stay cold all on their own no longer how long they’re out of the ice box. Apart from being delicious and extremely healthy it’s normal milk, but you also get one bottle of premiu"&amp;"m golden milk which refills daily and has special magical effects. This golden milk is so healthy that it makes the drinker more attractive: curves swell to pleasant fullness, unwanted weight falls away effortlessly, muscles fill out, hair becomes shiny a"&amp;"nd full, and your complexions clear up in no time. Put your companions on a diet of this milk and they’ll be more beautiful than ever in no time!")</f>
        <v>Even the kingdom’s collapse can’t keep hylian farmers down for long. Lon Lon Ranch has relocated from Hyrule Field to the outskirts of Hateno Village but their famously-excellent milk is the same as it ever was, if not even better than before. You have a refilling supply of delicious milk in enchanted bottles that never break and stay cold all on their own no longer how long they’re out of the ice box. Apart from being delicious and extremely healthy it’s normal milk, but you also get one bottle of premium golden milk which refills daily and has special magical effects. This golden milk is so healthy that it makes the drinker more attractive: curves swell to pleasant fullness, unwanted weight falls away effortlessly, muscles fill out, hair becomes shiny and full, and your complexions clear up in no time. Put your companions on a diet of this milk and they’ll be more beautiful than ever in no time!</v>
      </c>
      <c r="I8" s="5"/>
    </row>
    <row r="9" spans="1:9 16384:16384" ht="191.4" x14ac:dyDescent="0.25">
      <c r="A9" s="16"/>
      <c r="B9" s="17">
        <v>5</v>
      </c>
      <c r="C9" s="2" t="b">
        <f ca="1">IFERROR(__xludf.DUMMYFUNCTION("""COMPUTED_VALUE"""),FALSE)</f>
        <v>0</v>
      </c>
      <c r="D9" s="2">
        <f ca="1">IFERROR(__xludf.DUMMYFUNCTION("""COMPUTED_VALUE"""),50)</f>
        <v>50</v>
      </c>
      <c r="E9" s="2" t="str">
        <f ca="1">IFERROR(__xludf.DUMMYFUNCTION("""COMPUTED_VALUE"""),"Pills of Endowment")</f>
        <v>Pills of Endowment</v>
      </c>
      <c r="F9" s="2" t="str">
        <f ca="1">IFERROR(__xludf.DUMMYFUNCTION("""COMPUTED_VALUE"""),"The Legend Of Queen Opala")</f>
        <v>The Legend Of Queen Opala</v>
      </c>
      <c r="G9" s="2" t="str">
        <f ca="1">IFERROR(__xludf.DUMMYFUNCTION("""COMPUTED_VALUE"""),"Transformation")</f>
        <v>Transformation</v>
      </c>
      <c r="H9" s="2" t="str">
        <f ca="1">IFERROR(__xludf.DUMMYFUNCTION("""COMPUTED_VALUE"""),"This small (replenishing) box of pills allows you to alter your appearance in a rather specific way. If you're a man, the red pills will cause your dick size to increase a sizeable amount. As a woman, you'll instead find your tits expanding another cup si"&amp;"ze or so. The blue pills will instead cause you to shrink in a similar way. The effects of the pills are permanent and can stack up to five times, but you can undo the changes by taking pills of the other color.
After taking five red pills, expect your "&amp;"manhood to be described as 'hung like a horse' without the use of hyperbole, or your breasts to be so imposing that even lady Farah herself can't match your bust. With five blue pills, your dick will be perfectly sized to romance that especially tight pix"&amp;"ie the size of your thumb and your tits will be the only thing preventing you from being flatter than a wooden plank.")</f>
        <v>This small (replenishing) box of pills allows you to alter your appearance in a rather specific way. If you're a man, the red pills will cause your dick size to increase a sizeable amount. As a woman, you'll instead find your tits expanding another cup size or so. The blue pills will instead cause you to shrink in a similar way. The effects of the pills are permanent and can stack up to five times, but you can undo the changes by taking pills of the other color.
After taking five red pills, expect your manhood to be described as 'hung like a horse' without the use of hyperbole, or your breasts to be so imposing that even lady Farah herself can't match your bust. With five blue pills, your dick will be perfectly sized to romance that especially tight pixie the size of your thumb and your tits will be the only thing preventing you from being flatter than a wooden plank.</v>
      </c>
      <c r="I9" s="5"/>
    </row>
    <row r="10" spans="1:9 16384:16384" ht="139.19999999999999" x14ac:dyDescent="0.25">
      <c r="A10" s="16"/>
      <c r="B10" s="17">
        <v>6</v>
      </c>
      <c r="C10" s="2" t="b">
        <f ca="1">IFERROR(__xludf.DUMMYFUNCTION("""COMPUTED_VALUE"""),FALSE)</f>
        <v>0</v>
      </c>
      <c r="D10" s="2">
        <f ca="1">IFERROR(__xludf.DUMMYFUNCTION("""COMPUTED_VALUE"""),100)</f>
        <v>100</v>
      </c>
      <c r="E10" s="2" t="str">
        <f ca="1">IFERROR(__xludf.DUMMYFUNCTION("""COMPUTED_VALUE"""),"Adaptable")</f>
        <v>Adaptable</v>
      </c>
      <c r="F10" s="2" t="str">
        <f ca="1">IFERROR(__xludf.DUMMYFUNCTION("""COMPUTED_VALUE"""),"Lexx")</f>
        <v>Lexx</v>
      </c>
      <c r="G10" s="2" t="str">
        <f ca="1">IFERROR(__xludf.DUMMYFUNCTION("""COMPUTED_VALUE"""),"Transformation")</f>
        <v>Transformation</v>
      </c>
      <c r="H10" s="2" t="str">
        <f ca="1">IFERROR(__xludf.DUMMYFUNCTION("""COMPUTED_VALUE"""),"Whether you’re swapping out modular cybernetics, having your whole body rewritten on a genetic level, or being turned into a tree by fairy magic, you can instantly and effortlessly adapt to new physical forms. You are completely immune to body dysmorphia,"&amp;" no matter how strange or alien your new body may be. You won’t need to relearn how to process new senses or how to coordinate a body with different numbers and types of limbs, all of it being as effortless as it was in your original body. Finally, you wo"&amp;"n’t be particularly bothered by a less capable form than you’re used to except when your diminished capabilities actually stop you from being able to do something specific you wanted to do at the moment.")</f>
        <v>Whether you’re swapping out modular cybernetics, having your whole body rewritten on a genetic level, or being turned into a tree by fairy magic, you can instantly and effortlessly adapt to new physical forms. You are completely immune to body dysmorphia, no matter how strange or alien your new body may be. You won’t need to relearn how to process new senses or how to coordinate a body with different numbers and types of limbs, all of it being as effortless as it was in your original body. Finally, you won’t be particularly bothered by a less capable form than you’re used to except when your diminished capabilities actually stop you from being able to do something specific you wanted to do at the moment.</v>
      </c>
      <c r="I10" s="5"/>
    </row>
    <row r="11" spans="1:9 16384:16384" ht="104.4" x14ac:dyDescent="0.25">
      <c r="A11" s="16"/>
      <c r="B11" s="17">
        <v>7</v>
      </c>
      <c r="C11" s="2" t="b">
        <f ca="1">IFERROR(__xludf.DUMMYFUNCTION("""COMPUTED_VALUE"""),FALSE)</f>
        <v>0</v>
      </c>
      <c r="D11" s="2">
        <f ca="1">IFERROR(__xludf.DUMMYFUNCTION("""COMPUTED_VALUE"""),100)</f>
        <v>100</v>
      </c>
      <c r="E11" s="2" t="str">
        <f ca="1">IFERROR(__xludf.DUMMYFUNCTION("""COMPUTED_VALUE"""),"Awesome Fruit")</f>
        <v>Awesome Fruit</v>
      </c>
      <c r="F11" s="2" t="str">
        <f ca="1">IFERROR(__xludf.DUMMYFUNCTION("""COMPUTED_VALUE"""),"Flexible Survival")</f>
        <v>Flexible Survival</v>
      </c>
      <c r="G11" s="2" t="str">
        <f ca="1">IFERROR(__xludf.DUMMYFUNCTION("""COMPUTED_VALUE"""),"Transformation")</f>
        <v>Transformation</v>
      </c>
      <c r="H11" s="2" t="str">
        <f ca="1">IFERROR(__xludf.DUMMYFUNCTION("""COMPUTED_VALUE"""),"A tree... Unlike the version you might encounter in-jump, this immobile tree which kinda looks like an apple tree, produces three different fruits. The effects of which are:
● Awesome Fruit - Shifts your gender towards male.
● Awesomer Fruit - Shifts your"&amp;" gender towards female.
● Awesomest Fruit - Shifts your gender towards hermaphrodite.
I’ll leave you to figure out which is which...")</f>
        <v>A tree... Unlike the version you might encounter in-jump, this immobile tree which kinda looks like an apple tree, produces three different fruits. The effects of which are:
● Awesome Fruit - Shifts your gender towards male.
● Awesomer Fruit - Shifts your gender towards female.
● Awesomest Fruit - Shifts your gender towards hermaphrodite.
I’ll leave you to figure out which is which...</v>
      </c>
      <c r="I11" s="5"/>
    </row>
    <row r="12" spans="1:9 16384:16384" ht="69.599999999999994" x14ac:dyDescent="0.25">
      <c r="A12" s="16"/>
      <c r="B12" s="17">
        <v>8</v>
      </c>
      <c r="C12" s="2" t="b">
        <f ca="1">IFERROR(__xludf.DUMMYFUNCTION("""COMPUTED_VALUE"""),FALSE)</f>
        <v>0</v>
      </c>
      <c r="D12" s="2">
        <f ca="1">IFERROR(__xludf.DUMMYFUNCTION("""COMPUTED_VALUE"""),100)</f>
        <v>100</v>
      </c>
      <c r="E12" s="2" t="str">
        <f ca="1">IFERROR(__xludf.DUMMYFUNCTION("""COMPUTED_VALUE"""),"Beast Mode")</f>
        <v>Beast Mode</v>
      </c>
      <c r="F12" s="2" t="str">
        <f ca="1">IFERROR(__xludf.DUMMYFUNCTION("""COMPUTED_VALUE"""),"Winger’s World")</f>
        <v>Winger’s World</v>
      </c>
      <c r="G12" s="2" t="str">
        <f ca="1">IFERROR(__xludf.DUMMYFUNCTION("""COMPUTED_VALUE"""),"Transformation")</f>
        <v>Transformation</v>
      </c>
      <c r="H12" s="2" t="str">
        <f ca="1">IFERROR(__xludf.DUMMYFUNCTION("""COMPUTED_VALUE"""),"Just because you aren’t a furry, doesn’t mean you are stuck with a human dick. When taking this perk, choose a normal animal. You now have that creatures’ dick! Well, the ability to switch to it from your normal dick. You can purchase this perk again at h"&amp;"alf price (50 CP) whenever you could normally buy a perk to add another dick to your repitore.")</f>
        <v>Just because you aren’t a furry, doesn’t mean you are stuck with a human dick. When taking this perk, choose a normal animal. You now have that creatures’ dick! Well, the ability to switch to it from your normal dick. You can purchase this perk again at half price (50 CP) whenever you could normally buy a perk to add another dick to your repitore.</v>
      </c>
      <c r="I12" s="5"/>
    </row>
    <row r="13" spans="1:9 16384:16384" ht="139.19999999999999" x14ac:dyDescent="0.25">
      <c r="A13" s="16"/>
      <c r="B13" s="17">
        <v>9</v>
      </c>
      <c r="C13" s="2" t="b">
        <f ca="1">IFERROR(__xludf.DUMMYFUNCTION("""COMPUTED_VALUE"""),FALSE)</f>
        <v>0</v>
      </c>
      <c r="D13" s="2">
        <f ca="1">IFERROR(__xludf.DUMMYFUNCTION("""COMPUTED_VALUE"""),100)</f>
        <v>100</v>
      </c>
      <c r="E13" s="2" t="str">
        <f ca="1">IFERROR(__xludf.DUMMYFUNCTION("""COMPUTED_VALUE"""),"Biological Warfare")</f>
        <v>Biological Warfare</v>
      </c>
      <c r="F13" s="2" t="str">
        <f ca="1">IFERROR(__xludf.DUMMYFUNCTION("""COMPUTED_VALUE"""),"Elzikyuchi’s Dickgirls 2")</f>
        <v>Elzikyuchi’s Dickgirls 2</v>
      </c>
      <c r="G13" s="2" t="str">
        <f ca="1">IFERROR(__xludf.DUMMYFUNCTION("""COMPUTED_VALUE"""),"Transformation")</f>
        <v>Transformation</v>
      </c>
      <c r="H13" s="2" t="str">
        <f ca="1">IFERROR(__xludf.DUMMYFUNCTION("""COMPUTED_VALUE"""),"Most methods of shemalefication have a flaw to them, some kind of drawback that makes them less than wholly desirable for those who don’t want to become mindless fuckbeasts. This particular method is actually fairly safe to use, assuming a certain level o"&amp;"f moderation. Moderation that no one uses, obviously, but I digress. This experimental skin cream has little to no effect on women, but has the wonderful trait of turning men into Dickgirls when slathered across their body. A single dose is enough to tran"&amp;"sform them, but repeated applications will cause their sexual traits - ie the size of ones breasts and dick, as well as the sex drive - to increase with every application. And, best of all, the cum of those transformed in this manner can be synthesized in"&amp;"to even more of the stuff.")</f>
        <v>Most methods of shemalefication have a flaw to them, some kind of drawback that makes them less than wholly desirable for those who don’t want to become mindless fuckbeasts. This particular method is actually fairly safe to use, assuming a certain level of moderation. Moderation that no one uses, obviously, but I digress. This experimental skin cream has little to no effect on women, but has the wonderful trait of turning men into Dickgirls when slathered across their body. A single dose is enough to transform them, but repeated applications will cause their sexual traits - ie the size of ones breasts and dick, as well as the sex drive - to increase with every application. And, best of all, the cum of those transformed in this manner can be synthesized into even more of the stuff.</v>
      </c>
      <c r="I13" s="5"/>
    </row>
    <row r="14" spans="1:9 16384:16384" ht="104.4" x14ac:dyDescent="0.25">
      <c r="A14" s="16"/>
      <c r="B14" s="17">
        <v>10</v>
      </c>
      <c r="C14" s="2" t="b">
        <f ca="1">IFERROR(__xludf.DUMMYFUNCTION("""COMPUTED_VALUE"""),FALSE)</f>
        <v>0</v>
      </c>
      <c r="D14" s="2">
        <f ca="1">IFERROR(__xludf.DUMMYFUNCTION("""COMPUTED_VALUE"""),100)</f>
        <v>100</v>
      </c>
      <c r="E14" s="2" t="str">
        <f ca="1">IFERROR(__xludf.DUMMYFUNCTION("""COMPUTED_VALUE"""),"Dick Growth Technique")</f>
        <v>Dick Growth Technique</v>
      </c>
      <c r="F14" s="2" t="str">
        <f ca="1">IFERROR(__xludf.DUMMYFUNCTION("""COMPUTED_VALUE"""),"Gensoukyou Futanari Chinpo Wrestling")</f>
        <v>Gensoukyou Futanari Chinpo Wrestling</v>
      </c>
      <c r="G14" s="2" t="str">
        <f ca="1">IFERROR(__xludf.DUMMYFUNCTION("""COMPUTED_VALUE"""),"Transformation")</f>
        <v>Transformation</v>
      </c>
      <c r="H14" s="2" t="str">
        <f ca="1">IFERROR(__xludf.DUMMYFUNCTION("""COMPUTED_VALUE"""),"This secret special move invented by a certain inchling allows the user to temporarily increase the size of a target’s cock, up to some really silly extremes, whether it's another person or the user’s own, all with a cry of ‘Foul Play: Grow Bigger!’. As i"&amp;"t is indeed a technique and not an ability, it can be taught to others and can be legally used in the ring, and it might even be able to outright give someone a dick if they don’t happen to have one...but where are you going to find a weirdo like that!?")</f>
        <v>This secret special move invented by a certain inchling allows the user to temporarily increase the size of a target’s cock, up to some really silly extremes, whether it's another person or the user’s own, all with a cry of ‘Foul Play: Grow Bigger!’. As it is indeed a technique and not an ability, it can be taught to others and can be legally used in the ring, and it might even be able to outright give someone a dick if they don’t happen to have one...but where are you going to find a weirdo like that!?</v>
      </c>
      <c r="I14" s="5"/>
    </row>
    <row r="15" spans="1:9 16384:16384" ht="52.2" x14ac:dyDescent="0.25">
      <c r="A15" s="16"/>
      <c r="B15" s="17">
        <v>11</v>
      </c>
      <c r="C15" s="2" t="b">
        <f ca="1">IFERROR(__xludf.DUMMYFUNCTION("""COMPUTED_VALUE"""),FALSE)</f>
        <v>0</v>
      </c>
      <c r="D15" s="2">
        <f ca="1">IFERROR(__xludf.DUMMYFUNCTION("""COMPUTED_VALUE"""),100)</f>
        <v>100</v>
      </c>
      <c r="E15" s="2" t="str">
        <f ca="1">IFERROR(__xludf.DUMMYFUNCTION("""COMPUTED_VALUE"""),"Double your Pleasure")</f>
        <v>Double your Pleasure</v>
      </c>
      <c r="F15" s="2" t="str">
        <f ca="1">IFERROR(__xludf.DUMMYFUNCTION("""COMPUTED_VALUE"""),"Winger’s World")</f>
        <v>Winger’s World</v>
      </c>
      <c r="G15" s="2" t="str">
        <f ca="1">IFERROR(__xludf.DUMMYFUNCTION("""COMPUTED_VALUE"""),"Transformation")</f>
        <v>Transformation</v>
      </c>
      <c r="H15" s="2" t="str">
        <f ca="1">IFERROR(__xludf.DUMMYFUNCTION("""COMPUTED_VALUE"""),"Well, it looks like the Winger Energy did a little remodeling there, huh? You have a little something... extra. Whether that’s another dick, another pair of breasts, or another pair of testicles is up to you. Or any and all of the above!")</f>
        <v>Well, it looks like the Winger Energy did a little remodeling there, huh? You have a little something... extra. Whether that’s another dick, another pair of breasts, or another pair of testicles is up to you. Or any and all of the above!</v>
      </c>
      <c r="I15" s="5"/>
    </row>
    <row r="16" spans="1:9 16384:16384" ht="69.599999999999994" x14ac:dyDescent="0.25">
      <c r="A16" s="16"/>
      <c r="B16" s="17">
        <v>12</v>
      </c>
      <c r="C16" s="2" t="b">
        <f ca="1">IFERROR(__xludf.DUMMYFUNCTION("""COMPUTED_VALUE"""),FALSE)</f>
        <v>0</v>
      </c>
      <c r="D16" s="2">
        <f ca="1">IFERROR(__xludf.DUMMYFUNCTION("""COMPUTED_VALUE"""),100)</f>
        <v>100</v>
      </c>
      <c r="E16" s="2" t="str">
        <f ca="1">IFERROR(__xludf.DUMMYFUNCTION("""COMPUTED_VALUE"""),"Eyes Cast in Shadow")</f>
        <v>Eyes Cast in Shadow</v>
      </c>
      <c r="F16" s="2" t="str">
        <f ca="1">IFERROR(__xludf.DUMMYFUNCTION("""COMPUTED_VALUE"""),"Ballbuddy")</f>
        <v>Ballbuddy</v>
      </c>
      <c r="G16" s="2" t="str">
        <f ca="1">IFERROR(__xludf.DUMMYFUNCTION("""COMPUTED_VALUE"""),"Transformation")</f>
        <v>Transformation</v>
      </c>
      <c r="H16" s="2" t="str">
        <f ca="1">IFERROR(__xludf.DUMMYFUNCTION("""COMPUTED_VALUE"""),"At will you may cover your face in a shadowy mask. Your eyes will be completely concealed and the rest will be so indistinct that identifying you later by your face will be impossible. This effect appears to be nothing but bad lighting, but it works even "&amp;"in bright and direct light. Anyone that gets a clear look at you then will likely be creeped out at your black smear of a non-face.")</f>
        <v>At will you may cover your face in a shadowy mask. Your eyes will be completely concealed and the rest will be so indistinct that identifying you later by your face will be impossible. This effect appears to be nothing but bad lighting, but it works even in bright and direct light. Anyone that gets a clear look at you then will likely be creeped out at your black smear of a non-face.</v>
      </c>
      <c r="I16" s="5"/>
    </row>
    <row r="17" spans="1:9" ht="104.4" x14ac:dyDescent="0.25">
      <c r="A17" s="16"/>
      <c r="B17" s="17">
        <v>13</v>
      </c>
      <c r="C17" s="2" t="b">
        <f ca="1">IFERROR(__xludf.DUMMYFUNCTION("""COMPUTED_VALUE"""),FALSE)</f>
        <v>0</v>
      </c>
      <c r="D17" s="2">
        <f ca="1">IFERROR(__xludf.DUMMYFUNCTION("""COMPUTED_VALUE"""),100)</f>
        <v>100</v>
      </c>
      <c r="E17" s="2" t="str">
        <f ca="1">IFERROR(__xludf.DUMMYFUNCTION("""COMPUTED_VALUE"""),"Favoured Parent")</f>
        <v>Favoured Parent</v>
      </c>
      <c r="F17" s="2" t="str">
        <f ca="1">IFERROR(__xludf.DUMMYFUNCTION("""COMPUTED_VALUE"""),"The Lamuros Of Seven Colors")</f>
        <v>The Lamuros Of Seven Colors</v>
      </c>
      <c r="G17" s="2" t="str">
        <f ca="1">IFERROR(__xludf.DUMMYFUNCTION("""COMPUTED_VALUE"""),"Transformation")</f>
        <v>Transformation</v>
      </c>
      <c r="H17" s="2" t="str">
        <f ca="1">IFERROR(__xludf.DUMMYFUNCTION("""COMPUTED_VALUE"""),"Alright, this is an odd one. Have you ever been told that you look like your parents? Well, given that you’re a half demon, any comparison to your father was probably an insult. Regardless, you have a limited ability to change that up. Specifically, you c"&amp;"an alter your own appearance within the range of what your parents could have made. If you want to look like your mom and be a beautiful woman, go for it. If you want to suddenly sprout tattoos and horns like your dad, go for it. If you want to be a twin "&amp;"and look exactly like your siblings, if you have any, go for it.")</f>
        <v>Alright, this is an odd one. Have you ever been told that you look like your parents? Well, given that you’re a half demon, any comparison to your father was probably an insult. Regardless, you have a limited ability to change that up. Specifically, you can alter your own appearance within the range of what your parents could have made. If you want to look like your mom and be a beautiful woman, go for it. If you want to suddenly sprout tattoos and horns like your dad, go for it. If you want to be a twin and look exactly like your siblings, if you have any, go for it.</v>
      </c>
      <c r="I17" s="5"/>
    </row>
    <row r="18" spans="1:9" ht="52.2" x14ac:dyDescent="0.25">
      <c r="A18" s="16"/>
      <c r="B18" s="17">
        <v>14</v>
      </c>
      <c r="C18" s="2" t="b">
        <f ca="1">IFERROR(__xludf.DUMMYFUNCTION("""COMPUTED_VALUE"""),FALSE)</f>
        <v>0</v>
      </c>
      <c r="D18" s="2">
        <f ca="1">IFERROR(__xludf.DUMMYFUNCTION("""COMPUTED_VALUE"""),100)</f>
        <v>100</v>
      </c>
      <c r="E18" s="2" t="str">
        <f ca="1">IFERROR(__xludf.DUMMYFUNCTION("""COMPUTED_VALUE"""),"Hair Growth/Removal Kit")</f>
        <v>Hair Growth/Removal Kit</v>
      </c>
      <c r="F18" s="2" t="str">
        <f ca="1">IFERROR(__xludf.DUMMYFUNCTION("""COMPUTED_VALUE"""),"eratohoK")</f>
        <v>eratohoK</v>
      </c>
      <c r="G18" s="2" t="str">
        <f ca="1">IFERROR(__xludf.DUMMYFUNCTION("""COMPUTED_VALUE"""),"Transformation")</f>
        <v>Transformation</v>
      </c>
      <c r="H18" s="2" t="str">
        <f ca="1">IFERROR(__xludf.DUMMYFUNCTION("""COMPUTED_VALUE"""),"This kit allows you to customise someone’s body hair in seconds, from letting them grow head hair down to their ankles or become completely bald, to removing/growing pubic and underarm hair. This includes permanent depilation.")</f>
        <v>This kit allows you to customise someone’s body hair in seconds, from letting them grow head hair down to their ankles or become completely bald, to removing/growing pubic and underarm hair. This includes permanent depilation.</v>
      </c>
      <c r="I18" s="5"/>
    </row>
    <row r="19" spans="1:9" ht="139.19999999999999" x14ac:dyDescent="0.25">
      <c r="A19" s="16"/>
      <c r="B19" s="17">
        <v>15</v>
      </c>
      <c r="C19" s="2" t="b">
        <f ca="1">IFERROR(__xludf.DUMMYFUNCTION("""COMPUTED_VALUE"""),FALSE)</f>
        <v>0</v>
      </c>
      <c r="D19" s="2">
        <f ca="1">IFERROR(__xludf.DUMMYFUNCTION("""COMPUTED_VALUE"""),100)</f>
        <v>100</v>
      </c>
      <c r="E19" s="2" t="str">
        <f ca="1">IFERROR(__xludf.DUMMYFUNCTION("""COMPUTED_VALUE"""),"Kabuto's Sample Platter")</f>
        <v>Kabuto's Sample Platter</v>
      </c>
      <c r="F19" s="2" t="str">
        <f ca="1">IFERROR(__xludf.DUMMYFUNCTION("""COMPUTED_VALUE"""),"Merry Marry")</f>
        <v>Merry Marry</v>
      </c>
      <c r="G19" s="2" t="str">
        <f ca="1">IFERROR(__xludf.DUMMYFUNCTION("""COMPUTED_VALUE"""),"Transformation")</f>
        <v>Transformation</v>
      </c>
      <c r="H19" s="2" t="str">
        <f ca="1">IFERROR(__xludf.DUMMYFUNCTION("""COMPUTED_VALUE"""),"After Sasuke’s and Itachi’s fight, but before the drugging, Sasuke had to get the drugs in the first place. In an effort to cheer him up, Kabuto and Orochimaru walked him through their current work, and offered him some samples. Of the two important ones,"&amp;" the first is a rejuvenation drug that takes five years off your age. The second is the oh so important gender swapping drug. Neither of them are safe to use more than once, so be careful! Beyond that, there’s also one to increase the body’s sensitivity, "&amp;"one to stretch the tongue, one to grow the ass, one to increase sexual stamina, and even one to increase your swagger. Don’t ask me how that works, I don’t know. Anyways, the catch here is that you only have one dose of each of these - it’s a sample, not "&amp;"a supply.")</f>
        <v>After Sasuke’s and Itachi’s fight, but before the drugging, Sasuke had to get the drugs in the first place. In an effort to cheer him up, Kabuto and Orochimaru walked him through their current work, and offered him some samples. Of the two important ones, the first is a rejuvenation drug that takes five years off your age. The second is the oh so important gender swapping drug. Neither of them are safe to use more than once, so be careful! Beyond that, there’s also one to increase the body’s sensitivity, one to stretch the tongue, one to grow the ass, one to increase sexual stamina, and even one to increase your swagger. Don’t ask me how that works, I don’t know. Anyways, the catch here is that you only have one dose of each of these - it’s a sample, not a supply.</v>
      </c>
      <c r="I19" s="5"/>
    </row>
    <row r="20" spans="1:9" ht="52.2" x14ac:dyDescent="0.25">
      <c r="A20" s="16"/>
      <c r="B20" s="17">
        <v>16</v>
      </c>
      <c r="C20" s="2" t="b">
        <f ca="1">IFERROR(__xludf.DUMMYFUNCTION("""COMPUTED_VALUE"""),FALSE)</f>
        <v>0</v>
      </c>
      <c r="D20" s="2">
        <f ca="1">IFERROR(__xludf.DUMMYFUNCTION("""COMPUTED_VALUE"""),100)</f>
        <v>100</v>
      </c>
      <c r="E20" s="2" t="str">
        <f ca="1">IFERROR(__xludf.DUMMYFUNCTION("""COMPUTED_VALUE"""),"Lads to Ladies")</f>
        <v>Lads to Ladies</v>
      </c>
      <c r="F20" s="2" t="str">
        <f ca="1">IFERROR(__xludf.DUMMYFUNCTION("""COMPUTED_VALUE"""),"Miyuki-chan in Wonderland")</f>
        <v>Miyuki-chan in Wonderland</v>
      </c>
      <c r="G20" s="2" t="str">
        <f ca="1">IFERROR(__xludf.DUMMYFUNCTION("""COMPUTED_VALUE"""),"Transformation")</f>
        <v>Transformation</v>
      </c>
      <c r="H20" s="2" t="str">
        <f ca="1">IFERROR(__xludf.DUMMYFUNCTION("""COMPUTED_VALUE"""),"Every man within 100m, or that you are interacting with in some way, will find themselves becoming a lady, as is proper. You can toggle this ability, and even choose specific individuals to exclude, if you so wish.")</f>
        <v>Every man within 100m, or that you are interacting with in some way, will find themselves becoming a lady, as is proper. You can toggle this ability, and even choose specific individuals to exclude, if you so wish.</v>
      </c>
      <c r="I20" s="5"/>
    </row>
    <row r="21" spans="1:9" ht="69.599999999999994" x14ac:dyDescent="0.25">
      <c r="A21" s="16"/>
      <c r="B21" s="17">
        <v>17</v>
      </c>
      <c r="C21" s="2" t="b">
        <f ca="1">IFERROR(__xludf.DUMMYFUNCTION("""COMPUTED_VALUE"""),FALSE)</f>
        <v>0</v>
      </c>
      <c r="D21" s="2">
        <f ca="1">IFERROR(__xludf.DUMMYFUNCTION("""COMPUTED_VALUE"""),100)</f>
        <v>100</v>
      </c>
      <c r="E21" s="2" t="str">
        <f ca="1">IFERROR(__xludf.DUMMYFUNCTION("""COMPUTED_VALUE"""),"Malleable Form")</f>
        <v>Malleable Form</v>
      </c>
      <c r="F21" s="2" t="str">
        <f ca="1">IFERROR(__xludf.DUMMYFUNCTION("""COMPUTED_VALUE"""),"Dragon Princess Is Hungry")</f>
        <v>Dragon Princess Is Hungry</v>
      </c>
      <c r="G21" s="2" t="str">
        <f ca="1">IFERROR(__xludf.DUMMYFUNCTION("""COMPUTED_VALUE"""),"Transformation")</f>
        <v>Transformation</v>
      </c>
      <c r="H21" s="2" t="str">
        <f ca="1">IFERROR(__xludf.DUMMYFUNCTION("""COMPUTED_VALUE"""),"Even the most physically focused or just plain empty-headed of monsters have some form of magic within their bodies, even if they can't use it to cast actual spells. Some, like you, can even use that magic to shape their forms, be it changing their hair, "&amp;"eye or skin color or playing mix and max with their genitals. Good for fun, disguises and standing out from the other members of your species.")</f>
        <v>Even the most physically focused or just plain empty-headed of monsters have some form of magic within their bodies, even if they can't use it to cast actual spells. Some, like you, can even use that magic to shape their forms, be it changing their hair, eye or skin color or playing mix and max with their genitals. Good for fun, disguises and standing out from the other members of your species.</v>
      </c>
      <c r="I21" s="5"/>
    </row>
    <row r="22" spans="1:9" ht="34.799999999999997" x14ac:dyDescent="0.25">
      <c r="A22" s="16"/>
      <c r="B22" s="17">
        <v>18</v>
      </c>
      <c r="C22" s="2" t="b">
        <f ca="1">IFERROR(__xludf.DUMMYFUNCTION("""COMPUTED_VALUE"""),FALSE)</f>
        <v>0</v>
      </c>
      <c r="D22" s="2">
        <f ca="1">IFERROR(__xludf.DUMMYFUNCTION("""COMPUTED_VALUE"""),100)</f>
        <v>100</v>
      </c>
      <c r="E22" s="2" t="str">
        <f ca="1">IFERROR(__xludf.DUMMYFUNCTION("""COMPUTED_VALUE"""),"No-Stigma")</f>
        <v>No-Stigma</v>
      </c>
      <c r="F22" s="2" t="str">
        <f ca="1">IFERROR(__xludf.DUMMYFUNCTION("""COMPUTED_VALUE"""),"Flexible Survival")</f>
        <v>Flexible Survival</v>
      </c>
      <c r="G22" s="2" t="str">
        <f ca="1">IFERROR(__xludf.DUMMYFUNCTION("""COMPUTED_VALUE"""),"Transformation")</f>
        <v>Transformation</v>
      </c>
      <c r="H22" s="2" t="str">
        <f ca="1">IFERROR(__xludf.DUMMYFUNCTION("""COMPUTED_VALUE"""),"No matter your physical appearance, race or gender, you are less likely to suffer negative bias because of it.")</f>
        <v>No matter your physical appearance, race or gender, you are less likely to suffer negative bias because of it.</v>
      </c>
      <c r="I22" s="5"/>
    </row>
    <row r="23" spans="1:9" ht="104.4" x14ac:dyDescent="0.25">
      <c r="A23" s="16"/>
      <c r="B23" s="17">
        <v>19</v>
      </c>
      <c r="C23" s="2" t="b">
        <f ca="1">IFERROR(__xludf.DUMMYFUNCTION("""COMPUTED_VALUE"""),FALSE)</f>
        <v>0</v>
      </c>
      <c r="D23" s="2">
        <f ca="1">IFERROR(__xludf.DUMMYFUNCTION("""COMPUTED_VALUE"""),100)</f>
        <v>100</v>
      </c>
      <c r="E23" s="2" t="str">
        <f ca="1">IFERROR(__xludf.DUMMYFUNCTION("""COMPUTED_VALUE"""),"Not Fit for this Series")</f>
        <v>Not Fit for this Series</v>
      </c>
      <c r="F23" s="2" t="str">
        <f ca="1">IFERROR(__xludf.DUMMYFUNCTION("""COMPUTED_VALUE"""),"Smash Bros XXXtreme")</f>
        <v>Smash Bros XXXtreme</v>
      </c>
      <c r="G23" s="2" t="str">
        <f ca="1">IFERROR(__xludf.DUMMYFUNCTION("""COMPUTED_VALUE"""),"Transformation")</f>
        <v>Transformation</v>
      </c>
      <c r="H23" s="2" t="str">
        <f ca="1">IFERROR(__xludf.DUMMYFUNCTION("""COMPUTED_VALUE"""),"In the very first page of the very first fight, our four ladies tries to enter into a Smash wearing - le gasp! - modest clothing! Or wearing their normal outfits, rather. Completely unacceptable, in other words. That’s why you’ve gained the ability to spo"&amp;"ntaneously lewdify the outfits of anyone you lay eyes upon. This will usually leave their breasts exposed at the minimum, but anything past that will actually depend on their own inherent lewdness. Unfortunately this only works on cloth and other ‘soft’ m"&amp;"aterials - actual armor might turn into boobplate, but won’t have any gaping holes in it.")</f>
        <v>In the very first page of the very first fight, our four ladies tries to enter into a Smash wearing - le gasp! - modest clothing! Or wearing their normal outfits, rather. Completely unacceptable, in other words. That’s why you’ve gained the ability to spontaneously lewdify the outfits of anyone you lay eyes upon. This will usually leave their breasts exposed at the minimum, but anything past that will actually depend on their own inherent lewdness. Unfortunately this only works on cloth and other ‘soft’ materials - actual armor might turn into boobplate, but won’t have any gaping holes in it.</v>
      </c>
      <c r="I23" s="5"/>
    </row>
    <row r="24" spans="1:9" ht="139.19999999999999" x14ac:dyDescent="0.25">
      <c r="A24" s="16"/>
      <c r="B24" s="17">
        <v>20</v>
      </c>
      <c r="C24" s="2" t="b">
        <f ca="1">IFERROR(__xludf.DUMMYFUNCTION("""COMPUTED_VALUE"""),FALSE)</f>
        <v>0</v>
      </c>
      <c r="D24" s="2">
        <f ca="1">IFERROR(__xludf.DUMMYFUNCTION("""COMPUTED_VALUE"""),100)</f>
        <v>100</v>
      </c>
      <c r="E24" s="2" t="str">
        <f ca="1">IFERROR(__xludf.DUMMYFUNCTION("""COMPUTED_VALUE"""),"Refitted")</f>
        <v>Refitted</v>
      </c>
      <c r="F24" s="2" t="str">
        <f ca="1">IFERROR(__xludf.DUMMYFUNCTION("""COMPUTED_VALUE"""),"TSF World")</f>
        <v>TSF World</v>
      </c>
      <c r="G24" s="2" t="str">
        <f ca="1">IFERROR(__xludf.DUMMYFUNCTION("""COMPUTED_VALUE"""),"Transformation")</f>
        <v>Transformation</v>
      </c>
      <c r="H24" s="2" t="str">
        <f ca="1">IFERROR(__xludf.DUMMYFUNCTION("""COMPUTED_VALUE"""),"You are likely going to end up being changed in some way during the course of this journey. Especially if a target for a TSFer. There are those who, once changed, are left in drooping, ill-fitting clothes, or torn too-tight shirts. That’s not so much an i"&amp;"ssue for you. 
Whatever ends up changing you also tends to change the clothes you are wearing. They could change to be fitted for the opposite gender, different sizes, and even open up holes for ears and tails that might have miraculously appeared. At th"&amp;"e very least you won’t need to keep a wardrobe on hand.")</f>
        <v>You are likely going to end up being changed in some way during the course of this journey. Especially if a target for a TSFer. There are those who, once changed, are left in drooping, ill-fitting clothes, or torn too-tight shirts. That’s not so much an issue for you. 
Whatever ends up changing you also tends to change the clothes you are wearing. They could change to be fitted for the opposite gender, different sizes, and even open up holes for ears and tails that might have miraculously appeared. At the very least you won’t need to keep a wardrobe on hand.</v>
      </c>
      <c r="I24" s="5"/>
    </row>
    <row r="25" spans="1:9" ht="104.4" x14ac:dyDescent="0.25">
      <c r="A25" s="16"/>
      <c r="B25" s="17">
        <v>21</v>
      </c>
      <c r="C25" s="2" t="b">
        <f ca="1">IFERROR(__xludf.DUMMYFUNCTION("""COMPUTED_VALUE"""),FALSE)</f>
        <v>0</v>
      </c>
      <c r="D25" s="2">
        <f ca="1">IFERROR(__xludf.DUMMYFUNCTION("""COMPUTED_VALUE"""),100)</f>
        <v>100</v>
      </c>
      <c r="E25" s="2" t="str">
        <f ca="1">IFERROR(__xludf.DUMMYFUNCTION("""COMPUTED_VALUE"""),"Schrodinger’s Pussy")</f>
        <v>Schrodinger’s Pussy</v>
      </c>
      <c r="F25" s="2" t="str">
        <f ca="1">IFERROR(__xludf.DUMMYFUNCTION("""COMPUTED_VALUE"""),"Huniepop")</f>
        <v>Huniepop</v>
      </c>
      <c r="G25" s="2" t="str">
        <f ca="1">IFERROR(__xludf.DUMMYFUNCTION("""COMPUTED_VALUE"""),"Transformation")</f>
        <v>Transformation</v>
      </c>
      <c r="H25" s="2" t="str">
        <f ca="1">IFERROR(__xludf.DUMMYFUNCTION("""COMPUTED_VALUE"""),"What? Did the Huniebee just glitch out for a moment? Oh, you’re one of those. Don’t look so offended, I didn’t mean anything bad by it. You are one of the few people in this world with a very rare gift: the ability to switch out your genitals like someone"&amp;" else might switch out their clothes. With a few moments to focus, you can change your gender from male to female, vice versa, or even something in between~. Note that this doesn’t change the rest of your body, just what’s on your crotch, so you might wan"&amp;"t to learn how to use makeup.")</f>
        <v>What? Did the Huniebee just glitch out for a moment? Oh, you’re one of those. Don’t look so offended, I didn’t mean anything bad by it. You are one of the few people in this world with a very rare gift: the ability to switch out your genitals like someone else might switch out their clothes. With a few moments to focus, you can change your gender from male to female, vice versa, or even something in between~. Note that this doesn’t change the rest of your body, just what’s on your crotch, so you might want to learn how to use makeup.</v>
      </c>
      <c r="I25" s="5"/>
    </row>
    <row r="26" spans="1:9" ht="121.8" x14ac:dyDescent="0.25">
      <c r="A26" s="16"/>
      <c r="B26" s="17">
        <v>22</v>
      </c>
      <c r="C26" s="2" t="b">
        <f ca="1">IFERROR(__xludf.DUMMYFUNCTION("""COMPUTED_VALUE"""),FALSE)</f>
        <v>0</v>
      </c>
      <c r="D26" s="2">
        <f ca="1">IFERROR(__xludf.DUMMYFUNCTION("""COMPUTED_VALUE"""),100)</f>
        <v>100</v>
      </c>
      <c r="E26" s="2" t="str">
        <f ca="1">IFERROR(__xludf.DUMMYFUNCTION("""COMPUTED_VALUE"""),"Self-Altering Outfit")</f>
        <v>Self-Altering Outfit</v>
      </c>
      <c r="F26" s="2" t="str">
        <f ca="1">IFERROR(__xludf.DUMMYFUNCTION("""COMPUTED_VALUE"""),"Futadom World")</f>
        <v>Futadom World</v>
      </c>
      <c r="G26" s="2" t="str">
        <f ca="1">IFERROR(__xludf.DUMMYFUNCTION("""COMPUTED_VALUE"""),"Transformation")</f>
        <v>Transformation</v>
      </c>
      <c r="H26" s="2" t="str">
        <f ca="1">IFERROR(__xludf.DUMMYFUNCTION("""COMPUTED_VALUE"""),"This cute set of clothes will shapeshift depending on your size, shape, appearance, style, and where you go. Hanging out at home? They’ll shift into something cute and casual. Going to work? They’ll look smart and professional. Going clubbing? They’ll loo"&amp;"k just right for the occasion. This outfit is always sparklingly clean, well pressed, and perfectly tailored to you no matter what form you take. In addition, a small SEP field will ensure that no one ever questions the shifting clothes. For whatever reas"&amp;"on though, the outfit refuses to have pants. Only ever skirts, dresses, or robes. If damaged or destroyed, it will respawn in your warehouse after one week.")</f>
        <v>This cute set of clothes will shapeshift depending on your size, shape, appearance, style, and where you go. Hanging out at home? They’ll shift into something cute and casual. Going to work? They’ll look smart and professional. Going clubbing? They’ll look just right for the occasion. This outfit is always sparklingly clean, well pressed, and perfectly tailored to you no matter what form you take. In addition, a small SEP field will ensure that no one ever questions the shifting clothes. For whatever reason though, the outfit refuses to have pants. Only ever skirts, dresses, or robes. If damaged or destroyed, it will respawn in your warehouse after one week.</v>
      </c>
      <c r="I26" s="5"/>
    </row>
    <row r="27" spans="1:9" ht="174" x14ac:dyDescent="0.25">
      <c r="A27" s="16"/>
      <c r="B27" s="17">
        <v>23</v>
      </c>
      <c r="C27" s="2" t="b">
        <f ca="1">IFERROR(__xludf.DUMMYFUNCTION("""COMPUTED_VALUE"""),FALSE)</f>
        <v>0</v>
      </c>
      <c r="D27" s="2">
        <f ca="1">IFERROR(__xludf.DUMMYFUNCTION("""COMPUTED_VALUE"""),100)</f>
        <v>100</v>
      </c>
      <c r="E27" s="2" t="str">
        <f ca="1">IFERROR(__xludf.DUMMYFUNCTION("""COMPUTED_VALUE"""),"Swimsuit Saint Graph")</f>
        <v>Swimsuit Saint Graph</v>
      </c>
      <c r="F27" s="2" t="str">
        <f ca="1">IFERROR(__xludf.DUMMYFUNCTION("""COMPUTED_VALUE"""),"Fate/Horse Order")</f>
        <v>Fate/Horse Order</v>
      </c>
      <c r="G27" s="2" t="str">
        <f ca="1">IFERROR(__xludf.DUMMYFUNCTION("""COMPUTED_VALUE"""),"Transformation")</f>
        <v>Transformation</v>
      </c>
      <c r="H27" s="2" t="str">
        <f ca="1">IFERROR(__xludf.DUMMYFUNCTION("""COMPUTED_VALUE"""),"Well this is an interesting thing for you to have. At first glance it just looks like a handful of well made swimsuits, but actually putting them on will have an interesting effect. While worn, any powers you possess may take on a water or beach theme, re"&amp;"placing the visual effects with something more vacation oriented - and in some cases replacing them entirely. Even more interesting is that you may find some of your weapons and gear being temporarily replaced by beach gear - a lance turning into a paraso"&amp;"l, a shield into a surfboard, or a laser sword made into a laser water gun. You might even read as a different person entirely to someone capable of scanning you with magic. Of course, all of this only lasts for as long as you are wearing the swimsuit - a"&amp;"nd nothing else, if you were thinking of trying to put something else on top. Well, you could get away with some classical beachwear, but nothing past that.")</f>
        <v>Well this is an interesting thing for you to have. At first glance it just looks like a handful of well made swimsuits, but actually putting them on will have an interesting effect. While worn, any powers you possess may take on a water or beach theme, replacing the visual effects with something more vacation oriented - and in some cases replacing them entirely. Even more interesting is that you may find some of your weapons and gear being temporarily replaced by beach gear - a lance turning into a parasol, a shield into a surfboard, or a laser sword made into a laser water gun. You might even read as a different person entirely to someone capable of scanning you with magic. Of course, all of this only lasts for as long as you are wearing the swimsuit - and nothing else, if you were thinking of trying to put something else on top. Well, you could get away with some classical beachwear, but nothing past that.</v>
      </c>
      <c r="I27" s="5"/>
    </row>
    <row r="28" spans="1:9" ht="52.2" x14ac:dyDescent="0.25">
      <c r="A28" s="16"/>
      <c r="B28" s="17">
        <v>24</v>
      </c>
      <c r="C28" s="2" t="b">
        <f ca="1">IFERROR(__xludf.DUMMYFUNCTION("""COMPUTED_VALUE"""),FALSE)</f>
        <v>0</v>
      </c>
      <c r="D28" s="2">
        <f ca="1">IFERROR(__xludf.DUMMYFUNCTION("""COMPUTED_VALUE"""),100)</f>
        <v>100</v>
      </c>
      <c r="E28" s="2" t="str">
        <f ca="1">IFERROR(__xludf.DUMMYFUNCTION("""COMPUTED_VALUE"""),"The Pedastal is the Panties")</f>
        <v>The Pedastal is the Panties</v>
      </c>
      <c r="F28" s="2" t="str">
        <f ca="1">IFERROR(__xludf.DUMMYFUNCTION("""COMPUTED_VALUE"""),"NUKENAI Seiken-chan")</f>
        <v>NUKENAI Seiken-chan</v>
      </c>
      <c r="G28" s="2" t="str">
        <f ca="1">IFERROR(__xludf.DUMMYFUNCTION("""COMPUTED_VALUE"""),"Transformation")</f>
        <v>Transformation</v>
      </c>
      <c r="H28" s="2" t="str">
        <f ca="1">IFERROR(__xludf.DUMMYFUNCTION("""COMPUTED_VALUE"""),"In sword form, it’s a well-fitted sheath. In humanoid form, it’s clothing. Whenever you swap between different forms, the clothes and accessories you have in one form carry over to an equivalent in the new form, still providing the same or as close as pos"&amp;"sible function and benefit.")</f>
        <v>In sword form, it’s a well-fitted sheath. In humanoid form, it’s clothing. Whenever you swap between different forms, the clothes and accessories you have in one form carry over to an equivalent in the new form, still providing the same or as close as possible function and benefit.</v>
      </c>
      <c r="I28" s="5"/>
    </row>
    <row r="29" spans="1:9" ht="104.4" x14ac:dyDescent="0.25">
      <c r="A29" s="16"/>
      <c r="B29" s="17">
        <v>25</v>
      </c>
      <c r="C29" s="2" t="b">
        <f ca="1">IFERROR(__xludf.DUMMYFUNCTION("""COMPUTED_VALUE"""),FALSE)</f>
        <v>0</v>
      </c>
      <c r="D29" s="2">
        <f ca="1">IFERROR(__xludf.DUMMYFUNCTION("""COMPUTED_VALUE"""),100)</f>
        <v>100</v>
      </c>
      <c r="E29" s="2" t="str">
        <f ca="1">IFERROR(__xludf.DUMMYFUNCTION("""COMPUTED_VALUE"""),"Tweaks and Tune-Ups")</f>
        <v>Tweaks and Tune-Ups</v>
      </c>
      <c r="F29" s="2" t="str">
        <f ca="1">IFERROR(__xludf.DUMMYFUNCTION("""COMPUTED_VALUE"""),"Boku To Nottori Nakademia")</f>
        <v>Boku To Nottori Nakademia</v>
      </c>
      <c r="G29" s="2" t="str">
        <f ca="1">IFERROR(__xludf.DUMMYFUNCTION("""COMPUTED_VALUE"""),"Transformation")</f>
        <v>Transformation</v>
      </c>
      <c r="H29" s="2" t="str">
        <f ca="1">IFERROR(__xludf.DUMMYFUNCTION("""COMPUTED_VALUE"""),"It could be a Quirk, it could be magic, but whatever the case it's certainly bullshit. You have the power to make slow subtle changes in other people’s bodies. Nothing too big, but a little shoulder devil in their brain that pokes them when they do someth"&amp;"ing you don’t like, or maybe just amping up their libido and sexual attributes by messing with their hormones, is completely fair game. You’ll need time to make these changes, so maybe wait until your target’s tuckered themselves out a bit first~.")</f>
        <v>It could be a Quirk, it could be magic, but whatever the case it's certainly bullshit. You have the power to make slow subtle changes in other people’s bodies. Nothing too big, but a little shoulder devil in their brain that pokes them when they do something you don’t like, or maybe just amping up their libido and sexual attributes by messing with their hormones, is completely fair game. You’ll need time to make these changes, so maybe wait until your target’s tuckered themselves out a bit first~.</v>
      </c>
      <c r="I29" s="5"/>
    </row>
    <row r="30" spans="1:9" ht="139.19999999999999" x14ac:dyDescent="0.25">
      <c r="A30" s="16"/>
      <c r="B30" s="17">
        <v>26</v>
      </c>
      <c r="C30" s="2" t="b">
        <f ca="1">IFERROR(__xludf.DUMMYFUNCTION("""COMPUTED_VALUE"""),FALSE)</f>
        <v>0</v>
      </c>
      <c r="D30" s="2">
        <f ca="1">IFERROR(__xludf.DUMMYFUNCTION("""COMPUTED_VALUE"""),100)</f>
        <v>100</v>
      </c>
      <c r="E30" s="2" t="str">
        <f ca="1">IFERROR(__xludf.DUMMYFUNCTION("""COMPUTED_VALUE"""),"Watermelon Seeds")</f>
        <v>Watermelon Seeds</v>
      </c>
      <c r="F30" s="2" t="str">
        <f ca="1">IFERROR(__xludf.DUMMYFUNCTION("""COMPUTED_VALUE"""),"Bricola")</f>
        <v>Bricola</v>
      </c>
      <c r="G30" s="2" t="str">
        <f ca="1">IFERROR(__xludf.DUMMYFUNCTION("""COMPUTED_VALUE"""),"Transformation")</f>
        <v>Transformation</v>
      </c>
      <c r="H30" s="2" t="str">
        <f ca="1">IFERROR(__xludf.DUMMYFUNCTION("""COMPUTED_VALUE"""),"Don’t ask me who made this or how - or why for that matter - but let me assure you that you can have some real fun with it. See, these melon seeds were modified to grow quicker, fuller, juicier, presumably to save costs. Instead they ended up mutating int"&amp;"o a minor tentacle monster. These seeds, once fully grown and ripe, will start to grow tentacles and will seek to molest any nearby women. Thankfully the quirks in its genetics and the infused reishi only give it a shelf life of about 24 hours once it act"&amp;"ually gets going. On the other hand, if you pluck them off the vines early, you might be able to save them for later. A few days to weeks at most, but that’s still plenty of time to have some fun with them.")</f>
        <v>Don’t ask me who made this or how - or why for that matter - but let me assure you that you can have some real fun with it. See, these melon seeds were modified to grow quicker, fuller, juicier, presumably to save costs. Instead they ended up mutating into a minor tentacle monster. These seeds, once fully grown and ripe, will start to grow tentacles and will seek to molest any nearby women. Thankfully the quirks in its genetics and the infused reishi only give it a shelf life of about 24 hours once it actually gets going. On the other hand, if you pluck them off the vines early, you might be able to save them for later. A few days to weeks at most, but that’s still plenty of time to have some fun with them.</v>
      </c>
      <c r="I30" s="5"/>
    </row>
    <row r="31" spans="1:9" ht="191.4" x14ac:dyDescent="0.25">
      <c r="A31" s="16"/>
      <c r="B31" s="17">
        <v>27</v>
      </c>
      <c r="C31" s="2" t="b">
        <f ca="1">IFERROR(__xludf.DUMMYFUNCTION("""COMPUTED_VALUE"""),FALSE)</f>
        <v>0</v>
      </c>
      <c r="D31" s="2">
        <f ca="1">IFERROR(__xludf.DUMMYFUNCTION("""COMPUTED_VALUE"""),200)</f>
        <v>200</v>
      </c>
      <c r="E31" s="2" t="str">
        <f ca="1">IFERROR(__xludf.DUMMYFUNCTION("""COMPUTED_VALUE"""),"“Love Miracle Link Connection ” ")</f>
        <v xml:space="preserve">“Love Miracle Link Connection ” </v>
      </c>
      <c r="F31" s="2" t="str">
        <f ca="1">IFERROR(__xludf.DUMMYFUNCTION("""COMPUTED_VALUE"""),"Archangel of Love, Love Mary ~Malignant Conception~")</f>
        <v>Archangel of Love, Love Mary ~Malignant Conception~</v>
      </c>
      <c r="G31" s="2" t="str">
        <f ca="1">IFERROR(__xludf.DUMMYFUNCTION("""COMPUTED_VALUE"""),"Transformation")</f>
        <v>Transformation</v>
      </c>
      <c r="H31" s="2" t="str">
        <f ca="1">IFERROR(__xludf.DUMMYFUNCTION("""COMPUTED_VALUE"""),"Those are the magic words that allow you to transform from your ordinary, weak human form into an Archangel of Love, Love Mary [Pseudonym]! It’s only a temporary transformation, but while it lasts your body will be enhanced to be far superior to what the "&amp;"greatest Olympic athletes could hope to achieve — to the point that you could easily hurl a demon many times your size straight through a brick wall and into the street. It will be easy for you to take out the rank and file of Elysium’s monsters, but one "&amp;"of his more powerful servants will be a greater challenge. When transforming, your magic changes your clothes into a beautiful but combat - ready dress, resembling a sailor uniform with a frilly skirt. And yes, whatever underwear you wear will be replaced"&amp;" with cute panties. Your hair will also change color and grow in length, and a heart - shaped hairpin will appear on your head. You do get short heels, but they are guaranteed to never interfere with your movements or balance, so don’t worry about trippin"&amp;"g in them.")</f>
        <v>Those are the magic words that allow you to transform from your ordinary, weak human form into an Archangel of Love, Love Mary [Pseudonym]! It’s only a temporary transformation, but while it lasts your body will be enhanced to be far superior to what the greatest Olympic athletes could hope to achieve — to the point that you could easily hurl a demon many times your size straight through a brick wall and into the street. It will be easy for you to take out the rank and file of Elysium’s monsters, but one of his more powerful servants will be a greater challenge. When transforming, your magic changes your clothes into a beautiful but combat - ready dress, resembling a sailor uniform with a frilly skirt. And yes, whatever underwear you wear will be replaced with cute panties. Your hair will also change color and grow in length, and a heart - shaped hairpin will appear on your head. You do get short heels, but they are guaranteed to never interfere with your movements or balance, so don’t worry about tripping in them.</v>
      </c>
      <c r="I31" s="5"/>
    </row>
    <row r="32" spans="1:9" ht="121.8" x14ac:dyDescent="0.25">
      <c r="A32" s="16"/>
      <c r="B32" s="17">
        <v>28</v>
      </c>
      <c r="C32" s="2" t="b">
        <f ca="1">IFERROR(__xludf.DUMMYFUNCTION("""COMPUTED_VALUE"""),FALSE)</f>
        <v>0</v>
      </c>
      <c r="D32" s="2">
        <f ca="1">IFERROR(__xludf.DUMMYFUNCTION("""COMPUTED_VALUE"""),200)</f>
        <v>200</v>
      </c>
      <c r="E32" s="2" t="str">
        <f ca="1">IFERROR(__xludf.DUMMYFUNCTION("""COMPUTED_VALUE"""),"Bikini Mode")</f>
        <v>Bikini Mode</v>
      </c>
      <c r="F32" s="2" t="str">
        <f ca="1">IFERROR(__xludf.DUMMYFUNCTION("""COMPUTED_VALUE"""),"Submission Sailor Moon")</f>
        <v>Submission Sailor Moon</v>
      </c>
      <c r="G32" s="2" t="str">
        <f ca="1">IFERROR(__xludf.DUMMYFUNCTION("""COMPUTED_VALUE"""),"Transformation")</f>
        <v>Transformation</v>
      </c>
      <c r="H32" s="2" t="str">
        <f ca="1">IFERROR(__xludf.DUMMYFUNCTION("""COMPUTED_VALUE"""),"A lesser-known feature of the Senshi uniform is its ability to enter a low-coverage mode for conserving and recovering energy. When you’re low on magical or spiritual power you can detonate your Senshi uniform (or any other similar power-up transformation"&amp;" you might have) in a burst of power that can wipe out whole crowds of monsters in an instant. The tradeoff is that it leaves you in an exposed scantily-clad state with very poor magical defenses until you can recover your energy, though that energy will "&amp;"recover at a highly accelerated rate for as long as you’re willing to remain exposed.")</f>
        <v>A lesser-known feature of the Senshi uniform is its ability to enter a low-coverage mode for conserving and recovering energy. When you’re low on magical or spiritual power you can detonate your Senshi uniform (or any other similar power-up transformation you might have) in a burst of power that can wipe out whole crowds of monsters in an instant. The tradeoff is that it leaves you in an exposed scantily-clad state with very poor magical defenses until you can recover your energy, though that energy will recover at a highly accelerated rate for as long as you’re willing to remain exposed.</v>
      </c>
      <c r="I32" s="5"/>
    </row>
    <row r="33" spans="1:9" ht="87" x14ac:dyDescent="0.25">
      <c r="A33" s="16"/>
      <c r="B33" s="17">
        <v>29</v>
      </c>
      <c r="C33" s="2" t="b">
        <f ca="1">IFERROR(__xludf.DUMMYFUNCTION("""COMPUTED_VALUE"""),FALSE)</f>
        <v>0</v>
      </c>
      <c r="D33" s="2">
        <f ca="1">IFERROR(__xludf.DUMMYFUNCTION("""COMPUTED_VALUE"""),200)</f>
        <v>200</v>
      </c>
      <c r="E33" s="2" t="str">
        <f ca="1">IFERROR(__xludf.DUMMYFUNCTION("""COMPUTED_VALUE"""),"Body Modification")</f>
        <v>Body Modification</v>
      </c>
      <c r="F33" s="2" t="str">
        <f ca="1">IFERROR(__xludf.DUMMYFUNCTION("""COMPUTED_VALUE"""),"eratohoK")</f>
        <v>eratohoK</v>
      </c>
      <c r="G33" s="2" t="str">
        <f ca="1">IFERROR(__xludf.DUMMYFUNCTION("""COMPUTED_VALUE"""),"Transformation")</f>
        <v>Transformation</v>
      </c>
      <c r="H33" s="2" t="str">
        <f ca="1">IFERROR(__xludf.DUMMYFUNCTION("""COMPUTED_VALUE"""),"You have delved into the forbidden magical arts of modifying someone’s body. You can easily cause people to grow a penis (or vagina and breasts) temporarily or permanently, cause someone to begin or stop lactating, change their hair colour and hair length"&amp;", and modify someone’s height and weight (within normal limits of their race). It can even be done on someone who doesn’t consent – do be careful with this.")</f>
        <v>You have delved into the forbidden magical arts of modifying someone’s body. You can easily cause people to grow a penis (or vagina and breasts) temporarily or permanently, cause someone to begin or stop lactating, change their hair colour and hair length, and modify someone’s height and weight (within normal limits of their race). It can even be done on someone who doesn’t consent – do be careful with this.</v>
      </c>
      <c r="I33" s="5"/>
    </row>
    <row r="34" spans="1:9" ht="69.599999999999994" x14ac:dyDescent="0.25">
      <c r="A34" s="16"/>
      <c r="B34" s="17">
        <v>30</v>
      </c>
      <c r="C34" s="2" t="b">
        <f ca="1">IFERROR(__xludf.DUMMYFUNCTION("""COMPUTED_VALUE"""),FALSE)</f>
        <v>0</v>
      </c>
      <c r="D34" s="2">
        <f ca="1">IFERROR(__xludf.DUMMYFUNCTION("""COMPUTED_VALUE"""),200)</f>
        <v>200</v>
      </c>
      <c r="E34" s="2" t="str">
        <f ca="1">IFERROR(__xludf.DUMMYFUNCTION("""COMPUTED_VALUE"""),"Busty Dick-Girl Sex Slave")</f>
        <v>Busty Dick-Girl Sex Slave</v>
      </c>
      <c r="F34" s="2" t="str">
        <f ca="1">IFERROR(__xludf.DUMMYFUNCTION("""COMPUTED_VALUE"""),"Sei So Tsui Dan Sha")</f>
        <v>Sei So Tsui Dan Sha</v>
      </c>
      <c r="G34" s="2" t="str">
        <f ca="1">IFERROR(__xludf.DUMMYFUNCTION("""COMPUTED_VALUE"""),"Transformation")</f>
        <v>Transformation</v>
      </c>
      <c r="H34" s="2" t="str">
        <f ca="1">IFERROR(__xludf.DUMMYFUNCTION("""COMPUTED_VALUE"""),"Guess that name is a bit on-the-nose, huh. As you’d imagine, you can now cast a spell on yourself or others that turns them into busty futanaris. The size of their breasts or dick is up to you to decide, or you can even just chose to increase breast size "&amp;"without adding a penis, or vice versa. Unless those affected agree to belong to you, or would just prefer to stay that way, the spell is only temporary.")</f>
        <v>Guess that name is a bit on-the-nose, huh. As you’d imagine, you can now cast a spell on yourself or others that turns them into busty futanaris. The size of their breasts or dick is up to you to decide, or you can even just chose to increase breast size without adding a penis, or vice versa. Unless those affected agree to belong to you, or would just prefer to stay that way, the spell is only temporary.</v>
      </c>
      <c r="I34" s="5"/>
    </row>
    <row r="35" spans="1:9" ht="104.4" x14ac:dyDescent="0.25">
      <c r="A35" s="16"/>
      <c r="B35" s="17">
        <v>31</v>
      </c>
      <c r="C35" s="2" t="b">
        <f ca="1">IFERROR(__xludf.DUMMYFUNCTION("""COMPUTED_VALUE"""),FALSE)</f>
        <v>0</v>
      </c>
      <c r="D35" s="2">
        <f ca="1">IFERROR(__xludf.DUMMYFUNCTION("""COMPUTED_VALUE"""),200)</f>
        <v>200</v>
      </c>
      <c r="E35" s="2" t="str">
        <f ca="1">IFERROR(__xludf.DUMMYFUNCTION("""COMPUTED_VALUE"""),"Control the Transformation")</f>
        <v>Control the Transformation</v>
      </c>
      <c r="F35" s="2" t="str">
        <f ca="1">IFERROR(__xludf.DUMMYFUNCTION("""COMPUTED_VALUE"""),"Power Play")</f>
        <v>Power Play</v>
      </c>
      <c r="G35" s="2" t="str">
        <f ca="1">IFERROR(__xludf.DUMMYFUNCTION("""COMPUTED_VALUE"""),"Transformation")</f>
        <v>Transformation</v>
      </c>
      <c r="H35" s="2" t="str">
        <f ca="1">IFERROR(__xludf.DUMMYFUNCTION("""COMPUTED_VALUE"""),"Many beings are capable of changing their shape, and that’s just unfair. You can recognize any being that is capable of shapeshifting—be it through spell or some other means—on sight, and are furthermore aware of what forms they are capable of shifting in"&amp;"to. You are additionally able to force someone to transform into one of their alternate forms. If they have the ability to freely shift their appearance into anything, then you are only able to return them to their “natural” form. You can also lock (and u"&amp;"nlock) shapeshifters into their current body.")</f>
        <v>Many beings are capable of changing their shape, and that’s just unfair. You can recognize any being that is capable of shapeshifting—be it through spell or some other means—on sight, and are furthermore aware of what forms they are capable of shifting into. You are additionally able to force someone to transform into one of their alternate forms. If they have the ability to freely shift their appearance into anything, then you are only able to return them to their “natural” form. You can also lock (and unlock) shapeshifters into their current body.</v>
      </c>
      <c r="I35" s="5"/>
    </row>
    <row r="36" spans="1:9" ht="87" x14ac:dyDescent="0.25">
      <c r="A36" s="16"/>
      <c r="B36" s="17">
        <v>32</v>
      </c>
      <c r="C36" s="2" t="b">
        <f ca="1">IFERROR(__xludf.DUMMYFUNCTION("""COMPUTED_VALUE"""),FALSE)</f>
        <v>0</v>
      </c>
      <c r="D36" s="2">
        <f ca="1">IFERROR(__xludf.DUMMYFUNCTION("""COMPUTED_VALUE"""),200)</f>
        <v>200</v>
      </c>
      <c r="E36" s="2" t="str">
        <f ca="1">IFERROR(__xludf.DUMMYFUNCTION("""COMPUTED_VALUE"""),"Debauched Minature Sex Slave")</f>
        <v>Debauched Minature Sex Slave</v>
      </c>
      <c r="F36" s="2" t="str">
        <f ca="1">IFERROR(__xludf.DUMMYFUNCTION("""COMPUTED_VALUE"""),"Sei So Tsui Dan Sha")</f>
        <v>Sei So Tsui Dan Sha</v>
      </c>
      <c r="G36" s="2" t="str">
        <f ca="1">IFERROR(__xludf.DUMMYFUNCTION("""COMPUTED_VALUE"""),"Transformation")</f>
        <v>Transformation</v>
      </c>
      <c r="H36" s="2" t="str">
        <f ca="1">IFERROR(__xludf.DUMMYFUNCTION("""COMPUTED_VALUE"""),"You can cast a spell that gives others small bodies. Despite being so compact, their body is made far more stretchy, allowing them to take dicks up to the size of their torso without feeling anything but pleasure. What’s more, the pleasure they now feel f"&amp;"rom sex has been increased by 120%. Just as before, the effects are purely temporary unless those affected agree to become yours, or if they would simply prefer this appearance for the rest of their life.")</f>
        <v>You can cast a spell that gives others small bodies. Despite being so compact, their body is made far more stretchy, allowing them to take dicks up to the size of their torso without feeling anything but pleasure. What’s more, the pleasure they now feel from sex has been increased by 120%. Just as before, the effects are purely temporary unless those affected agree to become yours, or if they would simply prefer this appearance for the rest of their life.</v>
      </c>
      <c r="I36" s="5"/>
    </row>
    <row r="37" spans="1:9" ht="52.2" x14ac:dyDescent="0.25">
      <c r="A37" s="16"/>
      <c r="B37" s="17">
        <v>33</v>
      </c>
      <c r="C37" s="2" t="b">
        <f ca="1">IFERROR(__xludf.DUMMYFUNCTION("""COMPUTED_VALUE"""),FALSE)</f>
        <v>0</v>
      </c>
      <c r="D37" s="2">
        <f ca="1">IFERROR(__xludf.DUMMYFUNCTION("""COMPUTED_VALUE"""),200)</f>
        <v>200</v>
      </c>
      <c r="E37" s="2" t="str">
        <f ca="1">IFERROR(__xludf.DUMMYFUNCTION("""COMPUTED_VALUE"""),"Fractal Limbs")</f>
        <v>Fractal Limbs</v>
      </c>
      <c r="F37" s="2" t="str">
        <f ca="1">IFERROR(__xludf.DUMMYFUNCTION("""COMPUTED_VALUE"""),"Generic: Lewd Science Fiction")</f>
        <v>Generic: Lewd Science Fiction</v>
      </c>
      <c r="G37" s="2" t="str">
        <f ca="1">IFERROR(__xludf.DUMMYFUNCTION("""COMPUTED_VALUE"""),"Transformation")</f>
        <v>Transformation</v>
      </c>
      <c r="H37" s="2" t="str">
        <f ca="1">IFERROR(__xludf.DUMMYFUNCTION("""COMPUTED_VALUE"""),"Your limbs can bifurcate into smaller and smaller sub-manipulators, down to a microscopic level. Adds a lot of precision and ultra-fine dexterity. Doesn't work too well with bony arms, but is incredible with tentacles.")</f>
        <v>Your limbs can bifurcate into smaller and smaller sub-manipulators, down to a microscopic level. Adds a lot of precision and ultra-fine dexterity. Doesn't work too well with bony arms, but is incredible with tentacles.</v>
      </c>
      <c r="I37" s="5"/>
    </row>
    <row r="38" spans="1:9" ht="104.4" x14ac:dyDescent="0.25">
      <c r="A38" s="16"/>
      <c r="B38" s="17">
        <v>34</v>
      </c>
      <c r="C38" s="2" t="b">
        <f ca="1">IFERROR(__xludf.DUMMYFUNCTION("""COMPUTED_VALUE"""),FALSE)</f>
        <v>0</v>
      </c>
      <c r="D38" s="2">
        <f ca="1">IFERROR(__xludf.DUMMYFUNCTION("""COMPUTED_VALUE"""),200)</f>
        <v>200</v>
      </c>
      <c r="E38" s="2" t="str">
        <f ca="1">IFERROR(__xludf.DUMMYFUNCTION("""COMPUTED_VALUE"""),"Futa Potions")</f>
        <v>Futa Potions</v>
      </c>
      <c r="F38" s="2" t="str">
        <f ca="1">IFERROR(__xludf.DUMMYFUNCTION("""COMPUTED_VALUE"""),"Nyakumi")</f>
        <v>Nyakumi</v>
      </c>
      <c r="G38" s="2" t="str">
        <f ca="1">IFERROR(__xludf.DUMMYFUNCTION("""COMPUTED_VALUE"""),"Transformation")</f>
        <v>Transformation</v>
      </c>
      <c r="H38" s="2" t="str">
        <f ca="1">IFERROR(__xludf.DUMMYFUNCTION("""COMPUTED_VALUE"""),"A briefcase containing a dozen vials of off-white liquid made from specially-treated Neko semen. Any female who drinks this potion will become incredibly horny and (temporarily) grow a big fat dick with a matching set of balls, full of sterile semen. This"&amp;" semen can cure the effects of Lewd Mist exposure, with the same caveats of Neko semen. Drinking a second dose will simply boost libido and semen production even more, but drinking three doses at once will result in growing a second dick. Replenishes at t"&amp;"he end of the week.")</f>
        <v>A briefcase containing a dozen vials of off-white liquid made from specially-treated Neko semen. Any female who drinks this potion will become incredibly horny and (temporarily) grow a big fat dick with a matching set of balls, full of sterile semen. This semen can cure the effects of Lewd Mist exposure, with the same caveats of Neko semen. Drinking a second dose will simply boost libido and semen production even more, but drinking three doses at once will result in growing a second dick. Replenishes at the end of the week.</v>
      </c>
      <c r="I38" s="5"/>
    </row>
    <row r="39" spans="1:9" ht="34.799999999999997" x14ac:dyDescent="0.25">
      <c r="A39" s="16"/>
      <c r="B39" s="17">
        <v>35</v>
      </c>
      <c r="C39" s="2" t="b">
        <f ca="1">IFERROR(__xludf.DUMMYFUNCTION("""COMPUTED_VALUE"""),FALSE)</f>
        <v>0</v>
      </c>
      <c r="D39" s="2">
        <f ca="1">IFERROR(__xludf.DUMMYFUNCTION("""COMPUTED_VALUE"""),200)</f>
        <v>200</v>
      </c>
      <c r="E39" s="2" t="str">
        <f ca="1">IFERROR(__xludf.DUMMYFUNCTION("""COMPUTED_VALUE"""),"Gender Bender Pill")</f>
        <v>Gender Bender Pill</v>
      </c>
      <c r="F39" s="2" t="str">
        <f ca="1">IFERROR(__xludf.DUMMYFUNCTION("""COMPUTED_VALUE"""),"Kemokko Zoo")</f>
        <v>Kemokko Zoo</v>
      </c>
      <c r="G39" s="2" t="str">
        <f ca="1">IFERROR(__xludf.DUMMYFUNCTION("""COMPUTED_VALUE"""),"Transformation")</f>
        <v>Transformation</v>
      </c>
      <c r="H39" s="2" t="str">
        <f ca="1">IFERROR(__xludf.DUMMYFUNCTION("""COMPUTED_VALUE"""),"When consumed, it turns you into the opposite gender for 12 hours. You get a half-dozen pills, and the supply is replenished daily.")</f>
        <v>When consumed, it turns you into the opposite gender for 12 hours. You get a half-dozen pills, and the supply is replenished daily.</v>
      </c>
      <c r="I39" s="5"/>
    </row>
    <row r="40" spans="1:9" ht="121.8" x14ac:dyDescent="0.25">
      <c r="A40" s="16"/>
      <c r="B40" s="17">
        <v>36</v>
      </c>
      <c r="C40" s="2" t="b">
        <f ca="1">IFERROR(__xludf.DUMMYFUNCTION("""COMPUTED_VALUE"""),FALSE)</f>
        <v>0</v>
      </c>
      <c r="D40" s="2">
        <f ca="1">IFERROR(__xludf.DUMMYFUNCTION("""COMPUTED_VALUE"""),200)</f>
        <v>200</v>
      </c>
      <c r="E40" s="2" t="str">
        <f ca="1">IFERROR(__xludf.DUMMYFUNCTION("""COMPUTED_VALUE"""),"Human Guise")</f>
        <v>Human Guise</v>
      </c>
      <c r="F40" s="2" t="str">
        <f ca="1">IFERROR(__xludf.DUMMYFUNCTION("""COMPUTED_VALUE"""),"Archangel of Love, Love Mary ~Malignant Conception~")</f>
        <v>Archangel of Love, Love Mary ~Malignant Conception~</v>
      </c>
      <c r="G40" s="2" t="str">
        <f ca="1">IFERROR(__xludf.DUMMYFUNCTION("""COMPUTED_VALUE"""),"Transformation")</f>
        <v>Transformation</v>
      </c>
      <c r="H40" s="2" t="str">
        <f ca="1">IFERROR(__xludf.DUMMYFUNCTION("""COMPUTED_VALUE"""),"While the Archangels cavort about, hunting down those monsters who venture into the open, the true servants of Elysium sneak about as just another member of the faceless masses. You have the ability to take on the appearance of an average person — that is"&amp;", someone who looks completely ordinary for the region you are in. While in this disguise, you simply look so bland and unassuming that it’s hard to draw attention to yourself without actively misbehaving. More impressively, while disguised it is impossib"&amp;"le for your demonic power to be detected. Discarding and reassuming this appearance is pathetically easy.")</f>
        <v>While the Archangels cavort about, hunting down those monsters who venture into the open, the true servants of Elysium sneak about as just another member of the faceless masses. You have the ability to take on the appearance of an average person — that is, someone who looks completely ordinary for the region you are in. While in this disguise, you simply look so bland and unassuming that it’s hard to draw attention to yourself without actively misbehaving. More impressively, while disguised it is impossible for your demonic power to be detected. Discarding and reassuming this appearance is pathetically easy.</v>
      </c>
      <c r="I40" s="5"/>
    </row>
    <row r="41" spans="1:9" ht="87" x14ac:dyDescent="0.25">
      <c r="A41" s="16"/>
      <c r="B41" s="17">
        <v>37</v>
      </c>
      <c r="C41" s="2" t="b">
        <f ca="1">IFERROR(__xludf.DUMMYFUNCTION("""COMPUTED_VALUE"""),FALSE)</f>
        <v>0</v>
      </c>
      <c r="D41" s="2">
        <f ca="1">IFERROR(__xludf.DUMMYFUNCTION("""COMPUTED_VALUE"""),200)</f>
        <v>200</v>
      </c>
      <c r="E41" s="2" t="str">
        <f ca="1">IFERROR(__xludf.DUMMYFUNCTION("""COMPUTED_VALUE"""),"I Can Fit!")</f>
        <v>I Can Fit!</v>
      </c>
      <c r="F41" s="2" t="str">
        <f ca="1">IFERROR(__xludf.DUMMYFUNCTION("""COMPUTED_VALUE"""),"Generic: Hentai Superheroes")</f>
        <v>Generic: Hentai Superheroes</v>
      </c>
      <c r="G41" s="2" t="str">
        <f ca="1">IFERROR(__xludf.DUMMYFUNCTION("""COMPUTED_VALUE"""),"Transformation")</f>
        <v>Transformation</v>
      </c>
      <c r="H41" s="2" t="str">
        <f ca="1">IFERROR(__xludf.DUMMYFUNCTION("""COMPUTED_VALUE"""),"Your body has some slight size shifting ability. You can puff yourself up to add to your intimidation, or shrink yourself down about a foot, allowing you to squeeze into tight spaces. This applies to your sex organs as well. Puff out your breasts to make "&amp;"you more attractive, or your vagina to allow for something bigger to fit inside. Shrink your cock to fit inside a tight hole, then swell it up to knot inside. Note: Size changes must be reasonable.")</f>
        <v>Your body has some slight size shifting ability. You can puff yourself up to add to your intimidation, or shrink yourself down about a foot, allowing you to squeeze into tight spaces. This applies to your sex organs as well. Puff out your breasts to make you more attractive, or your vagina to allow for something bigger to fit inside. Shrink your cock to fit inside a tight hole, then swell it up to knot inside. Note: Size changes must be reasonable.</v>
      </c>
      <c r="I41" s="5"/>
    </row>
    <row r="42" spans="1:9" ht="104.4" x14ac:dyDescent="0.25">
      <c r="A42" s="16"/>
      <c r="B42" s="17">
        <v>38</v>
      </c>
      <c r="C42" s="2" t="b">
        <f ca="1">IFERROR(__xludf.DUMMYFUNCTION("""COMPUTED_VALUE"""),FALSE)</f>
        <v>0</v>
      </c>
      <c r="D42" s="2">
        <f ca="1">IFERROR(__xludf.DUMMYFUNCTION("""COMPUTED_VALUE"""),200)</f>
        <v>200</v>
      </c>
      <c r="E42" s="2" t="str">
        <f ca="1">IFERROR(__xludf.DUMMYFUNCTION("""COMPUTED_VALUE"""),"Lusticon")</f>
        <v>Lusticon</v>
      </c>
      <c r="F42" s="2" t="str">
        <f ca="1">IFERROR(__xludf.DUMMYFUNCTION("""COMPUTED_VALUE"""),"Lexx")</f>
        <v>Lexx</v>
      </c>
      <c r="G42" s="2" t="str">
        <f ca="1">IFERROR(__xludf.DUMMYFUNCTION("""COMPUTED_VALUE"""),"Transformation")</f>
        <v>Transformation</v>
      </c>
      <c r="H42" s="2" t="str">
        <f ca="1">IFERROR(__xludf.DUMMYFUNCTION("""COMPUTED_VALUE"""),"This is the machine that turns humans into Love Slaves. Taking the form of a long table with straps for holding the subject down during the process, a qualified operator can reshape the subject’s body into a fit and attractive form, enhance the subject’s "&amp;"libido, brainwash the subject into falling in love with the first person they see, and install an expiry date. Expiry dates will cause the subject to drop dead anywhere from a few hours to up to 79 years from the time the expiry date is installed. Any of "&amp;"these processes can be changed, reset, or reversed with another use of the Lusticon.")</f>
        <v>This is the machine that turns humans into Love Slaves. Taking the form of a long table with straps for holding the subject down during the process, a qualified operator can reshape the subject’s body into a fit and attractive form, enhance the subject’s libido, brainwash the subject into falling in love with the first person they see, and install an expiry date. Expiry dates will cause the subject to drop dead anywhere from a few hours to up to 79 years from the time the expiry date is installed. Any of these processes can be changed, reset, or reversed with another use of the Lusticon.</v>
      </c>
      <c r="I42" s="5"/>
    </row>
    <row r="43" spans="1:9" ht="69.599999999999994" x14ac:dyDescent="0.25">
      <c r="A43" s="16"/>
      <c r="B43" s="17">
        <v>39</v>
      </c>
      <c r="C43" s="2" t="b">
        <f ca="1">IFERROR(__xludf.DUMMYFUNCTION("""COMPUTED_VALUE"""),FALSE)</f>
        <v>0</v>
      </c>
      <c r="D43" s="2">
        <f ca="1">IFERROR(__xludf.DUMMYFUNCTION("""COMPUTED_VALUE"""),200)</f>
        <v>200</v>
      </c>
      <c r="E43" s="2" t="str">
        <f ca="1">IFERROR(__xludf.DUMMYFUNCTION("""COMPUTED_VALUE"""),"Mama Rei’s Bovine Adjacent Milk")</f>
        <v>Mama Rei’s Bovine Adjacent Milk</v>
      </c>
      <c r="F43" s="2" t="str">
        <f ca="1">IFERROR(__xludf.DUMMYFUNCTION("""COMPUTED_VALUE"""),"Carbon Pink")</f>
        <v>Carbon Pink</v>
      </c>
      <c r="G43" s="2" t="str">
        <f ca="1">IFERROR(__xludf.DUMMYFUNCTION("""COMPUTED_VALUE"""),"Transformation")</f>
        <v>Transformation</v>
      </c>
      <c r="H43" s="2" t="str">
        <f ca="1">IFERROR(__xludf.DUMMYFUNCTION("""COMPUTED_VALUE"""),"This is a delicious (and addictive) milk alternative, provided by Madeline ‘Mama’ Rei. Please be aware that imbibing sustained quantities of Mama Rei’s Bovine Adjacent Milk may result in sudden physiological and psychological changes to your person. In ot"&amp;"her words, drink too much and it’ll feminize you, give you huge boobs and make you lactate, as well as giving you a lactation fetish.")</f>
        <v>This is a delicious (and addictive) milk alternative, provided by Madeline ‘Mama’ Rei. Please be aware that imbibing sustained quantities of Mama Rei’s Bovine Adjacent Milk may result in sudden physiological and psychological changes to your person. In other words, drink too much and it’ll feminize you, give you huge boobs and make you lactate, as well as giving you a lactation fetish.</v>
      </c>
      <c r="I43" s="5"/>
    </row>
    <row r="44" spans="1:9" ht="104.4" x14ac:dyDescent="0.25">
      <c r="A44" s="16"/>
      <c r="B44" s="17">
        <v>40</v>
      </c>
      <c r="C44" s="2" t="b">
        <f ca="1">IFERROR(__xludf.DUMMYFUNCTION("""COMPUTED_VALUE"""),FALSE)</f>
        <v>0</v>
      </c>
      <c r="D44" s="2">
        <f ca="1">IFERROR(__xludf.DUMMYFUNCTION("""COMPUTED_VALUE"""),200)</f>
        <v>200</v>
      </c>
      <c r="E44" s="2" t="str">
        <f ca="1">IFERROR(__xludf.DUMMYFUNCTION("""COMPUTED_VALUE"""),"Mass Conservation Device")</f>
        <v>Mass Conservation Device</v>
      </c>
      <c r="F44" s="2" t="str">
        <f ca="1">IFERROR(__xludf.DUMMYFUNCTION("""COMPUTED_VALUE"""),"Generic: Fat-Fetish")</f>
        <v>Generic: Fat-Fetish</v>
      </c>
      <c r="G44" s="2" t="str">
        <f ca="1">IFERROR(__xludf.DUMMYFUNCTION("""COMPUTED_VALUE"""),"Transformation")</f>
        <v>Transformation</v>
      </c>
      <c r="H44" s="2" t="str">
        <f ca="1">IFERROR(__xludf.DUMMYFUNCTION("""COMPUTED_VALUE"""),"You know what future science doesn’t care about? Physics. This little bracelet is all the rage around the solar system. Why? Because it allows you to have “modes” essentially. One moment you’re a half-ton debutante, and the next you’re a sprightly little "&amp;"athlete sprinting off down a narrow alley that the ‘other’ you couldn’t fit through. The bracelet can ‘hold’ up to one ton of body mass in reserve for an indefinite period, though it might short out if it gets damaged. If it’s destroyed, you get another o"&amp;"ne the following day.")</f>
        <v>You know what future science doesn’t care about? Physics. This little bracelet is all the rage around the solar system. Why? Because it allows you to have “modes” essentially. One moment you’re a half-ton debutante, and the next you’re a sprightly little athlete sprinting off down a narrow alley that the ‘other’ you couldn’t fit through. The bracelet can ‘hold’ up to one ton of body mass in reserve for an indefinite period, though it might short out if it gets damaged. If it’s destroyed, you get another one the following day.</v>
      </c>
      <c r="I44" s="5"/>
    </row>
    <row r="45" spans="1:9" ht="104.4" x14ac:dyDescent="0.25">
      <c r="A45" s="16"/>
      <c r="B45" s="17">
        <v>41</v>
      </c>
      <c r="C45" s="2" t="b">
        <f ca="1">IFERROR(__xludf.DUMMYFUNCTION("""COMPUTED_VALUE"""),FALSE)</f>
        <v>0</v>
      </c>
      <c r="D45" s="2">
        <f ca="1">IFERROR(__xludf.DUMMYFUNCTION("""COMPUTED_VALUE"""),200)</f>
        <v>200</v>
      </c>
      <c r="E45" s="2" t="str">
        <f ca="1">IFERROR(__xludf.DUMMYFUNCTION("""COMPUTED_VALUE"""),"Oni Art of Genderbending")</f>
        <v>Oni Art of Genderbending</v>
      </c>
      <c r="F45" s="2" t="str">
        <f ca="1">IFERROR(__xludf.DUMMYFUNCTION("""COMPUTED_VALUE"""),"Elzikyuchi’s Dickgirls 2")</f>
        <v>Elzikyuchi’s Dickgirls 2</v>
      </c>
      <c r="G45" s="2" t="str">
        <f ca="1">IFERROR(__xludf.DUMMYFUNCTION("""COMPUTED_VALUE"""),"Transformation")</f>
        <v>Transformation</v>
      </c>
      <c r="H45" s="2" t="str">
        <f ca="1">IFERROR(__xludf.DUMMYFUNCTION("""COMPUTED_VALUE"""),"Some creatures have very pointed opinions on one gender or another, and whether you hold any biases like that, you've gained the means to lay your worries to rest. Through magic, you are capable of warping the bodies of others (and yourself) along the lin"&amp;"es of masculinity and femininity. You could make a frumpy woman into a dickgirl bombshell, a manly man into a cute sissy, or whatever other combination you'd like. The process takes a few minutes at most depending on how extensive your alterations are but"&amp;" is otherwise permanent.")</f>
        <v>Some creatures have very pointed opinions on one gender or another, and whether you hold any biases like that, you've gained the means to lay your worries to rest. Through magic, you are capable of warping the bodies of others (and yourself) along the lines of masculinity and femininity. You could make a frumpy woman into a dickgirl bombshell, a manly man into a cute sissy, or whatever other combination you'd like. The process takes a few minutes at most depending on how extensive your alterations are but is otherwise permanent.</v>
      </c>
      <c r="I45" s="5"/>
    </row>
    <row r="46" spans="1:9" ht="69.599999999999994" x14ac:dyDescent="0.25">
      <c r="A46" s="16"/>
      <c r="B46" s="17">
        <v>42</v>
      </c>
      <c r="C46" s="2" t="b">
        <f ca="1">IFERROR(__xludf.DUMMYFUNCTION("""COMPUTED_VALUE"""),FALSE)</f>
        <v>0</v>
      </c>
      <c r="D46" s="2">
        <f ca="1">IFERROR(__xludf.DUMMYFUNCTION("""COMPUTED_VALUE"""),200)</f>
        <v>200</v>
      </c>
      <c r="E46" s="2" t="str">
        <f ca="1">IFERROR(__xludf.DUMMYFUNCTION("""COMPUTED_VALUE"""),"Overfilled")</f>
        <v>Overfilled</v>
      </c>
      <c r="F46" s="2" t="str">
        <f ca="1">IFERROR(__xludf.DUMMYFUNCTION("""COMPUTED_VALUE"""),"Milk Hunters")</f>
        <v>Milk Hunters</v>
      </c>
      <c r="G46" s="2" t="str">
        <f ca="1">IFERROR(__xludf.DUMMYFUNCTION("""COMPUTED_VALUE"""),"Transformation")</f>
        <v>Transformation</v>
      </c>
      <c r="H46" s="2" t="str">
        <f ca="1">IFERROR(__xludf.DUMMYFUNCTION("""COMPUTED_VALUE"""),"When you pour excess power into someone, said power can cause slight changes to their body. Increased breast size, increased ass size, smoother skin, silkier hair, fuller lips, lactation, increased sensitivity, increased libido, and so on. It works fairly"&amp;" slowly, though, and it’s not capable of causing anything that’s not physically possible. ")</f>
        <v xml:space="preserve">When you pour excess power into someone, said power can cause slight changes to their body. Increased breast size, increased ass size, smoother skin, silkier hair, fuller lips, lactation, increased sensitivity, increased libido, and so on. It works fairly slowly, though, and it’s not capable of causing anything that’s not physically possible. </v>
      </c>
      <c r="I46" s="5"/>
    </row>
    <row r="47" spans="1:9" ht="69.599999999999994" x14ac:dyDescent="0.25">
      <c r="A47" s="16"/>
      <c r="B47" s="17">
        <v>43</v>
      </c>
      <c r="C47" s="2" t="b">
        <f ca="1">IFERROR(__xludf.DUMMYFUNCTION("""COMPUTED_VALUE"""),FALSE)</f>
        <v>0</v>
      </c>
      <c r="D47" s="2">
        <f ca="1">IFERROR(__xludf.DUMMYFUNCTION("""COMPUTED_VALUE"""),200)</f>
        <v>200</v>
      </c>
      <c r="E47" s="2" t="str">
        <f ca="1">IFERROR(__xludf.DUMMYFUNCTION("""COMPUTED_VALUE"""),"Revirginizer")</f>
        <v>Revirginizer</v>
      </c>
      <c r="F47" s="2" t="str">
        <f ca="1">IFERROR(__xludf.DUMMYFUNCTION("""COMPUTED_VALUE"""),"Generic: Virgin")</f>
        <v>Generic: Virgin</v>
      </c>
      <c r="G47" s="2" t="str">
        <f ca="1">IFERROR(__xludf.DUMMYFUNCTION("""COMPUTED_VALUE"""),"Transformation")</f>
        <v>Transformation</v>
      </c>
      <c r="H47" s="2" t="str">
        <f ca="1">IFERROR(__xludf.DUMMYFUNCTION("""COMPUTED_VALUE"""),"This gun-shaped item turns anyone shot with it back into a physical virgin. Shooting them at full power for twenty seconds will permanently remove all previous sexual knowledge, though this does not remove their knowledge of biological processes if they h"&amp;"ad any. It does not stop them from relearning or experiencing anything sexual.")</f>
        <v>This gun-shaped item turns anyone shot with it back into a physical virgin. Shooting them at full power for twenty seconds will permanently remove all previous sexual knowledge, though this does not remove their knowledge of biological processes if they had any. It does not stop them from relearning or experiencing anything sexual.</v>
      </c>
      <c r="I47" s="5"/>
    </row>
    <row r="48" spans="1:9" ht="104.4" x14ac:dyDescent="0.25">
      <c r="A48" s="16"/>
      <c r="B48" s="17">
        <v>44</v>
      </c>
      <c r="C48" s="2" t="b">
        <f ca="1">IFERROR(__xludf.DUMMYFUNCTION("""COMPUTED_VALUE"""),FALSE)</f>
        <v>0</v>
      </c>
      <c r="D48" s="2">
        <f ca="1">IFERROR(__xludf.DUMMYFUNCTION("""COMPUTED_VALUE"""),200)</f>
        <v>200</v>
      </c>
      <c r="E48" s="2" t="str">
        <f ca="1">IFERROR(__xludf.DUMMYFUNCTION("""COMPUTED_VALUE"""),"Ruler's Amulet")</f>
        <v>Ruler's Amulet</v>
      </c>
      <c r="F48" s="2" t="str">
        <f ca="1">IFERROR(__xludf.DUMMYFUNCTION("""COMPUTED_VALUE"""),"Mage Kanade’s Futanari Dungeon Quest")</f>
        <v>Mage Kanade’s Futanari Dungeon Quest</v>
      </c>
      <c r="G48" s="2" t="str">
        <f ca="1">IFERROR(__xludf.DUMMYFUNCTION("""COMPUTED_VALUE"""),"Transformation")</f>
        <v>Transformation</v>
      </c>
      <c r="H48" s="2" t="str">
        <f ca="1">IFERROR(__xludf.DUMMYFUNCTION("""COMPUTED_VALUE"""),"It would be silly to let invaders in without a method of making use of them, and this Magic Tool is the answer. Activating the tool fills the target with sexual magics, causing them to grow large incredibly sensitive dicks, and heavy balls capable of cumm"&amp;"ing over and over again, as well as making sure they properly appreciate the female form. You can also set it to a different body part if you really want to, like breasts or maybe even butts, with an equivalent increase in size and sensitivity.")</f>
        <v>It would be silly to let invaders in without a method of making use of them, and this Magic Tool is the answer. Activating the tool fills the target with sexual magics, causing them to grow large incredibly sensitive dicks, and heavy balls capable of cumming over and over again, as well as making sure they properly appreciate the female form. You can also set it to a different body part if you really want to, like breasts or maybe even butts, with an equivalent increase in size and sensitivity.</v>
      </c>
      <c r="I48" s="5"/>
    </row>
    <row r="49" spans="1:9" ht="87" x14ac:dyDescent="0.25">
      <c r="A49" s="16"/>
      <c r="B49" s="17">
        <v>45</v>
      </c>
      <c r="C49" s="2" t="b">
        <f ca="1">IFERROR(__xludf.DUMMYFUNCTION("""COMPUTED_VALUE"""),FALSE)</f>
        <v>0</v>
      </c>
      <c r="D49" s="2">
        <f ca="1">IFERROR(__xludf.DUMMYFUNCTION("""COMPUTED_VALUE"""),200)</f>
        <v>200</v>
      </c>
      <c r="E49" s="2" t="str">
        <f ca="1">IFERROR(__xludf.DUMMYFUNCTION("""COMPUTED_VALUE"""),"The Hidden Dick")</f>
        <v>The Hidden Dick</v>
      </c>
      <c r="F49" s="2" t="str">
        <f ca="1">IFERROR(__xludf.DUMMYFUNCTION("""COMPUTED_VALUE"""),"Bloom Pirate Hooker")</f>
        <v>Bloom Pirate Hooker</v>
      </c>
      <c r="G49" s="2" t="str">
        <f ca="1">IFERROR(__xludf.DUMMYFUNCTION("""COMPUTED_VALUE"""),"Transformation")</f>
        <v>Transformation</v>
      </c>
      <c r="H49" s="2" t="str">
        <f ca="1">IFERROR(__xludf.DUMMYFUNCTION("""COMPUTED_VALUE"""),"It would seem that lots of women here secretly have a dick that only shows itself under certain circumstances. With that in mind, you can now retroactively declare a women as a futanari. That said, you do need an excuse of some kind. Did they get cursed? "&amp;"Clearly growing a dick is a part of that. How about them being able to shapeshift? It's only natural they'd grow one. The power to create iron bars? Rod of iron is a great name for a dick!")</f>
        <v>It would seem that lots of women here secretly have a dick that only shows itself under certain circumstances. With that in mind, you can now retroactively declare a women as a futanari. That said, you do need an excuse of some kind. Did they get cursed? Clearly growing a dick is a part of that. How about them being able to shapeshift? It's only natural they'd grow one. The power to create iron bars? Rod of iron is a great name for a dick!</v>
      </c>
      <c r="I49" s="5"/>
    </row>
    <row r="50" spans="1:9" ht="208.8" x14ac:dyDescent="0.25">
      <c r="A50" s="16"/>
      <c r="B50" s="17">
        <v>46</v>
      </c>
      <c r="C50" s="2" t="b">
        <f ca="1">IFERROR(__xludf.DUMMYFUNCTION("""COMPUTED_VALUE"""),FALSE)</f>
        <v>0</v>
      </c>
      <c r="D50" s="2">
        <f ca="1">IFERROR(__xludf.DUMMYFUNCTION("""COMPUTED_VALUE"""),200)</f>
        <v>200</v>
      </c>
      <c r="E50" s="2" t="str">
        <f ca="1">IFERROR(__xludf.DUMMYFUNCTION("""COMPUTED_VALUE"""),"Transformation Resistance")</f>
        <v>Transformation Resistance</v>
      </c>
      <c r="F50" s="2" t="str">
        <f ca="1">IFERROR(__xludf.DUMMYFUNCTION("""COMPUTED_VALUE"""),"Corruption of Champions v1.1")</f>
        <v>Corruption of Champions v1.1</v>
      </c>
      <c r="G50" s="2" t="str">
        <f ca="1">IFERROR(__xludf.DUMMYFUNCTION("""COMPUTED_VALUE"""),"Transformation")</f>
        <v>Transformation</v>
      </c>
      <c r="H50" s="2" t="str">
        <f ca="1">IFERROR(__xludf.DUMMYFUNCTION("""COMPUTED_VALUE"""),"Of all the races of Mareth, humans are by far the most susceptible to transformation, to the point that only a rare few humans are left. The majority of native Marethians are more resistant to interspecies transformation than that, but your resistance see"&amp;"ms exceptional even amongst them. You technically can still be changed with transformative effects if they’re powerful enough, but your resistance is such that you’d be hard-pressed to change a minor feature if you ate an entire crate of transformative fo"&amp;"od.
Similarly, any children you have always seem to be of the same species as you, regardless of the other parent, if perhaps with some minor cosmetic features from them like their eyes, coloration, or ears. Thankfully, you do have some measure of contr"&amp;"ol over this effect, so you don't always have to go to extreme lengths to transform minor parts of your body and you could have children who favor the other parent more in appearance if you wanted to.")</f>
        <v>Of all the races of Mareth, humans are by far the most susceptible to transformation, to the point that only a rare few humans are left. The majority of native Marethians are more resistant to interspecies transformation than that, but your resistance seems exceptional even amongst them. You technically can still be changed with transformative effects if they’re powerful enough, but your resistance is such that you’d be hard-pressed to change a minor feature if you ate an entire crate of transformative food.
Similarly, any children you have always seem to be of the same species as you, regardless of the other parent, if perhaps with some minor cosmetic features from them like their eyes, coloration, or ears. Thankfully, you do have some measure of control over this effect, so you don't always have to go to extreme lengths to transform minor parts of your body and you could have children who favor the other parent more in appearance if you wanted to.</v>
      </c>
      <c r="I50" s="5"/>
    </row>
    <row r="51" spans="1:9" ht="87" x14ac:dyDescent="0.25">
      <c r="A51" s="16"/>
      <c r="B51" s="17">
        <v>47</v>
      </c>
      <c r="C51" s="2" t="b">
        <f ca="1">IFERROR(__xludf.DUMMYFUNCTION("""COMPUTED_VALUE"""),FALSE)</f>
        <v>0</v>
      </c>
      <c r="D51" s="2">
        <f ca="1">IFERROR(__xludf.DUMMYFUNCTION("""COMPUTED_VALUE"""),200)</f>
        <v>200</v>
      </c>
      <c r="E51" s="2" t="str">
        <f ca="1">IFERROR(__xludf.DUMMYFUNCTION("""COMPUTED_VALUE"""),"Transformatives")</f>
        <v>Transformatives</v>
      </c>
      <c r="F51" s="2" t="str">
        <f ca="1">IFERROR(__xludf.DUMMYFUNCTION("""COMPUTED_VALUE"""),"Corruption of Champions v1.1")</f>
        <v>Corruption of Champions v1.1</v>
      </c>
      <c r="G51" s="2" t="str">
        <f ca="1">IFERROR(__xludf.DUMMYFUNCTION("""COMPUTED_VALUE"""),"Transformation")</f>
        <v>Transformation</v>
      </c>
      <c r="H51" s="2" t="str">
        <f ca="1">IFERROR(__xludf.DUMMYFUNCTION("""COMPUTED_VALUE"""),"A lot of the food and other consumables of Mareth have transformative effects on the body when consumed raw. You have a supply of any of the standard transformatives from canine peppers, to equinum, to succubi milk. Useful not only for their basic effects"&amp;", but also for various alchemical projects or as ingredients for cooking (as the majority of these items lose their transformative properties with proper preparation).")</f>
        <v>A lot of the food and other consumables of Mareth have transformative effects on the body when consumed raw. You have a supply of any of the standard transformatives from canine peppers, to equinum, to succubi milk. Useful not only for their basic effects, but also for various alchemical projects or as ingredients for cooking (as the majority of these items lose their transformative properties with proper preparation).</v>
      </c>
      <c r="I51" s="5"/>
    </row>
    <row r="52" spans="1:9" ht="87" x14ac:dyDescent="0.25">
      <c r="A52" s="16"/>
      <c r="B52" s="17">
        <v>48</v>
      </c>
      <c r="C52" s="2" t="b">
        <f ca="1">IFERROR(__xludf.DUMMYFUNCTION("""COMPUTED_VALUE"""),FALSE)</f>
        <v>0</v>
      </c>
      <c r="D52" s="2">
        <f ca="1">IFERROR(__xludf.DUMMYFUNCTION("""COMPUTED_VALUE"""),200)</f>
        <v>200</v>
      </c>
      <c r="E52" s="2" t="str">
        <f ca="1">IFERROR(__xludf.DUMMYFUNCTION("""COMPUTED_VALUE"""),"Yes, I Am!")</f>
        <v>Yes, I Am!</v>
      </c>
      <c r="F52" s="2" t="str">
        <f ca="1">IFERROR(__xludf.DUMMYFUNCTION("""COMPUTED_VALUE"""),"Sei So Tsui Dan Sha")</f>
        <v>Sei So Tsui Dan Sha</v>
      </c>
      <c r="G52" s="2" t="str">
        <f ca="1">IFERROR(__xludf.DUMMYFUNCTION("""COMPUTED_VALUE"""),"Transformation")</f>
        <v>Transformation</v>
      </c>
      <c r="H52" s="2" t="str">
        <f ca="1">IFERROR(__xludf.DUMMYFUNCTION("""COMPUTED_VALUE"""),"Messing with people is fun, but taking accountability is not. Whenever you do something to change someone’s body, you can choose to delay the change for up to 24 hours. If those on this timer are caught in a situation where it would make someone like some"&amp;"one else seem responsible, the timer will end automatically. I should tell you know that this can’t be used on any inherently destructive changes.")</f>
        <v>Messing with people is fun, but taking accountability is not. Whenever you do something to change someone’s body, you can choose to delay the change for up to 24 hours. If those on this timer are caught in a situation where it would make someone like someone else seem responsible, the timer will end automatically. I should tell you know that this can’t be used on any inherently destructive changes.</v>
      </c>
      <c r="I52" s="5"/>
    </row>
    <row r="53" spans="1:9" ht="243.6" x14ac:dyDescent="0.25">
      <c r="A53" s="16"/>
      <c r="B53" s="17">
        <v>49</v>
      </c>
      <c r="C53" s="2" t="b">
        <f ca="1">IFERROR(__xludf.DUMMYFUNCTION("""COMPUTED_VALUE"""),FALSE)</f>
        <v>0</v>
      </c>
      <c r="D53" s="2">
        <f ca="1">IFERROR(__xludf.DUMMYFUNCTION("""COMPUTED_VALUE"""),300)</f>
        <v>300</v>
      </c>
      <c r="E53" s="2" t="str">
        <f ca="1">IFERROR(__xludf.DUMMYFUNCTION("""COMPUTED_VALUE"""),"Boost/Ward/Ban")</f>
        <v>Boost/Ward/Ban</v>
      </c>
      <c r="F53" s="2" t="str">
        <f ca="1">IFERROR(__xludf.DUMMYFUNCTION("""COMPUTED_VALUE"""),"Flexible Survival")</f>
        <v>Flexible Survival</v>
      </c>
      <c r="G53" s="2" t="str">
        <f ca="1">IFERROR(__xludf.DUMMYFUNCTION("""COMPUTED_VALUE"""),"Transformation")</f>
        <v>Transformation</v>
      </c>
      <c r="H53" s="2" t="str">
        <f ca="1">IFERROR(__xludf.DUMMYFUNCTION("""COMPUTED_VALUE"""),"You can boost, ward, and ban any changes that would alter your form. You can freely define what you would like to happen before you enter a situation that this would be needed.
● This can take the form of banning all changes that would change your gender,"&amp;" or stopping the increase or decrease the size of your genitalia.
● By warding against a change you can make yourself more resistant to any changes that would occur, reducing them by half, instead gaining an increase of ten cup sizes for your breasts, you"&amp;" will just get five.
● By boosting you can double the amount of which something might grow, or the rate of time for it to take.
Do note this will not enable you to boost/ward/ban anything that would simply hurt you, so no banning being damaged from being"&amp;" shot or being pierced by a sword for example. It also will not apply to changes made before you apply the rule. This perk applies to any changes to your form, whether it be your body, mind, soul or something similar.")</f>
        <v>You can boost, ward, and ban any changes that would alter your form. You can freely define what you would like to happen before you enter a situation that this would be needed.
● This can take the form of banning all changes that would change your gender, or stopping the increase or decrease the size of your genitalia.
● By warding against a change you can make yourself more resistant to any changes that would occur, reducing them by half, instead gaining an increase of ten cup sizes for your breasts, you will just get five.
● By boosting you can double the amount of which something might grow, or the rate of time for it to take.
Do note this will not enable you to boost/ward/ban anything that would simply hurt you, so no banning being damaged from being shot or being pierced by a sword for example. It also will not apply to changes made before you apply the rule. This perk applies to any changes to your form, whether it be your body, mind, soul or something similar.</v>
      </c>
      <c r="I53" s="5"/>
    </row>
    <row r="54" spans="1:9" ht="156.6" x14ac:dyDescent="0.25">
      <c r="A54" s="16"/>
      <c r="B54" s="17">
        <v>50</v>
      </c>
      <c r="C54" s="2" t="b">
        <f ca="1">IFERROR(__xludf.DUMMYFUNCTION("""COMPUTED_VALUE"""),FALSE)</f>
        <v>0</v>
      </c>
      <c r="D54" s="2">
        <f ca="1">IFERROR(__xludf.DUMMYFUNCTION("""COMPUTED_VALUE"""),300)</f>
        <v>300</v>
      </c>
      <c r="E54" s="2" t="str">
        <f ca="1">IFERROR(__xludf.DUMMYFUNCTION("""COMPUTED_VALUE"""),"Cum your Brains Out")</f>
        <v>Cum your Brains Out</v>
      </c>
      <c r="F54" s="2" t="str">
        <f ca="1">IFERROR(__xludf.DUMMYFUNCTION("""COMPUTED_VALUE"""),"Celestial Bordello")</f>
        <v>Celestial Bordello</v>
      </c>
      <c r="G54" s="2" t="str">
        <f ca="1">IFERROR(__xludf.DUMMYFUNCTION("""COMPUTED_VALUE"""),"Transformation")</f>
        <v>Transformation</v>
      </c>
      <c r="H54" s="2" t="str">
        <f ca="1">IFERROR(__xludf.DUMMYFUNCTION("""COMPUTED_VALUE"""),"Is there anything sexier than watching someone helplessly lose themselves in pleasure? Well, now you can make that a little more literal. Whenever you bring someone to orgasm - including yourself - you may have them eject a particular trait out with their"&amp;" cum. Their intelligence, their willpower, their masculinity- anything you can think of. The essence of this trait is contained within the gooey liquid, and can be used in magic or consumed to add that trait to the consumer. The amount of the trait that i"&amp;"s released depends on the build up and priming the victim. Just giving a guy a handjob might have them squirt out a dash of manhood, but tying a girl down and fingering them to a reluctant completion as you explain exactly how much of a stupid, horny bimb"&amp;"o they are about to become will have their intelligence gush out of them.")</f>
        <v>Is there anything sexier than watching someone helplessly lose themselves in pleasure? Well, now you can make that a little more literal. Whenever you bring someone to orgasm - including yourself - you may have them eject a particular trait out with their cum. Their intelligence, their willpower, their masculinity- anything you can think of. The essence of this trait is contained within the gooey liquid, and can be used in magic or consumed to add that trait to the consumer. The amount of the trait that is released depends on the build up and priming the victim. Just giving a guy a handjob might have them squirt out a dash of manhood, but tying a girl down and fingering them to a reluctant completion as you explain exactly how much of a stupid, horny bimbo they are about to become will have their intelligence gush out of them.</v>
      </c>
      <c r="I54" s="5"/>
    </row>
    <row r="55" spans="1:9" ht="191.4" x14ac:dyDescent="0.25">
      <c r="A55" s="16"/>
      <c r="B55" s="17">
        <v>51</v>
      </c>
      <c r="C55" s="2" t="b">
        <f ca="1">IFERROR(__xludf.DUMMYFUNCTION("""COMPUTED_VALUE"""),FALSE)</f>
        <v>0</v>
      </c>
      <c r="D55" s="2">
        <f ca="1">IFERROR(__xludf.DUMMYFUNCTION("""COMPUTED_VALUE"""),300)</f>
        <v>300</v>
      </c>
      <c r="E55" s="2" t="str">
        <f ca="1">IFERROR(__xludf.DUMMYFUNCTION("""COMPUTED_VALUE"""),"Hide your Nature")</f>
        <v>Hide your Nature</v>
      </c>
      <c r="F55" s="2" t="str">
        <f ca="1">IFERROR(__xludf.DUMMYFUNCTION("""COMPUTED_VALUE"""),"Majuu Purification Girl Utea")</f>
        <v>Majuu Purification Girl Utea</v>
      </c>
      <c r="G55" s="2" t="str">
        <f ca="1">IFERROR(__xludf.DUMMYFUNCTION("""COMPUTED_VALUE"""),"Transformation")</f>
        <v>Transformation</v>
      </c>
      <c r="H55" s="2" t="str">
        <f ca="1">IFERROR(__xludf.DUMMYFUNCTION("""COMPUTED_VALUE"""),"The injuu are frighteningly good at hiding themselves, sometimes even living right under the noses of their unsuspecting victims until they emerge from hiding to sate their lusts. Their shapeshifting powers let them assume innocuous forms like small child"&amp;"ren and innocent fairies, but it’s their ability to sell those disguises that makes them so hard to root out. Like many other injuu you’re able to hide your true nature behind an innocent mask, disguising wicked thoughts behind a perfect poker face and su"&amp;"ppressing your powers until nothing about you seems unusual to supernatural senses, though using your powers while staying hidden is much more difficult. So convincing is this innocent facade that it’s difficult to imagine there may be more to you than me"&amp;"ets the eye unless you either deliberately reveal your true nature or utterly blow your cover beyond any hope of recovery, allowing you to get away with perverted or otherwise suspicious behavior without immediately giving away the ruse so long as you’re "&amp;"not incredibly careless.")</f>
        <v>The injuu are frighteningly good at hiding themselves, sometimes even living right under the noses of their unsuspecting victims until they emerge from hiding to sate their lusts. Their shapeshifting powers let them assume innocuous forms like small children and innocent fairies, but it’s their ability to sell those disguises that makes them so hard to root out. Like many other injuu you’re able to hide your true nature behind an innocent mask, disguising wicked thoughts behind a perfect poker face and suppressing your powers until nothing about you seems unusual to supernatural senses, though using your powers while staying hidden is much more difficult. So convincing is this innocent facade that it’s difficult to imagine there may be more to you than meets the eye unless you either deliberately reveal your true nature or utterly blow your cover beyond any hope of recovery, allowing you to get away with perverted or otherwise suspicious behavior without immediately giving away the ruse so long as you’re not incredibly careless.</v>
      </c>
      <c r="I55" s="5"/>
    </row>
    <row r="56" spans="1:9" ht="261" x14ac:dyDescent="0.25">
      <c r="A56" s="16"/>
      <c r="B56" s="17">
        <v>52</v>
      </c>
      <c r="C56" s="2" t="b">
        <f ca="1">IFERROR(__xludf.DUMMYFUNCTION("""COMPUTED_VALUE"""),FALSE)</f>
        <v>0</v>
      </c>
      <c r="D56" s="2">
        <f ca="1">IFERROR(__xludf.DUMMYFUNCTION("""COMPUTED_VALUE"""),300)</f>
        <v>300</v>
      </c>
      <c r="E56" s="2" t="str">
        <f ca="1">IFERROR(__xludf.DUMMYFUNCTION("""COMPUTED_VALUE"""),"Microsurgeon Expert")</f>
        <v>Microsurgeon Expert</v>
      </c>
      <c r="F56" s="2" t="str">
        <f ca="1">IFERROR(__xludf.DUMMYFUNCTION("""COMPUTED_VALUE"""),"Trials In Tainted Space")</f>
        <v>Trials In Tainted Space</v>
      </c>
      <c r="G56" s="2" t="str">
        <f ca="1">IFERROR(__xludf.DUMMYFUNCTION("""COMPUTED_VALUE"""),"Transformation")</f>
        <v>Transformation</v>
      </c>
      <c r="H56" s="2" t="str">
        <f ca="1">IFERROR(__xludf.DUMMYFUNCTION("""COMPUTED_VALUE"""),"Planet Rushes are a chance for big money, and at least part of that is the possibility of encountering new and odd/interesting species, and making genetic transformative items from and/or based on them. You are one of the rare persons skilled enough to do"&amp;" such a thing, or at least one who isn’t already employed by a big genetics company. You are able to take genetic samples from any target race or individual, study them for desirous transformations (either for that race/individual, or for the greater gala"&amp;"ctic consumers), and make microsurgeons to implement those transformations. You don’t even need a bunch of lab equipment to do so, just the basics. The transformatives you make do not cause complications, can be applied to anyone, and if needed, can be re"&amp;"versed with ease. You could even create TF items for exotic transformations like animal-feature to plant-feature transformations, which are normally quite difficult to safely create. You could even use your skills to create a TF merged characteristics fro"&amp;"m multiple sources, creating a new hybrid form. You can choose if a TF is going to be a single desired change, up to a near-complete racial (and/or gender) transformation, which would be close enough for an individual to breed with the target species with"&amp;"out complication. And lastly, as a bonus, you are also able to sense who would want such a transformation, such as a corporation or specific individuals.")</f>
        <v>Planet Rushes are a chance for big money, and at least part of that is the possibility of encountering new and odd/interesting species, and making genetic transformative items from and/or based on them. You are one of the rare persons skilled enough to do such a thing, or at least one who isn’t already employed by a big genetics company. You are able to take genetic samples from any target race or individual, study them for desirous transformations (either for that race/individual, or for the greater galactic consumers), and make microsurgeons to implement those transformations. You don’t even need a bunch of lab equipment to do so, just the basics. The transformatives you make do not cause complications, can be applied to anyone, and if needed, can be reversed with ease. You could even create TF items for exotic transformations like animal-feature to plant-feature transformations, which are normally quite difficult to safely create. You could even use your skills to create a TF merged characteristics from multiple sources, creating a new hybrid form. You can choose if a TF is going to be a single desired change, up to a near-complete racial (and/or gender) transformation, which would be close enough for an individual to breed with the target species without complication. And lastly, as a bonus, you are also able to sense who would want such a transformation, such as a corporation or specific individuals.</v>
      </c>
      <c r="I56" s="5"/>
    </row>
    <row r="57" spans="1:9" ht="156.6" x14ac:dyDescent="0.25">
      <c r="A57" s="16"/>
      <c r="B57" s="17">
        <v>53</v>
      </c>
      <c r="C57" s="2" t="b">
        <f ca="1">IFERROR(__xludf.DUMMYFUNCTION("""COMPUTED_VALUE"""),FALSE)</f>
        <v>0</v>
      </c>
      <c r="D57" s="2">
        <f ca="1">IFERROR(__xludf.DUMMYFUNCTION("""COMPUTED_VALUE"""),300)</f>
        <v>300</v>
      </c>
      <c r="E57" s="2" t="str">
        <f ca="1">IFERROR(__xludf.DUMMYFUNCTION("""COMPUTED_VALUE"""),"Shrine of Bob ""The Beast""")</f>
        <v>Shrine of Bob "The Beast"</v>
      </c>
      <c r="F57" s="2" t="str">
        <f ca="1">IFERROR(__xludf.DUMMYFUNCTION("""COMPUTED_VALUE"""),"Sei So Tsui Dan Sha")</f>
        <v>Sei So Tsui Dan Sha</v>
      </c>
      <c r="G57" s="2" t="str">
        <f ca="1">IFERROR(__xludf.DUMMYFUNCTION("""COMPUTED_VALUE"""),"Transformation")</f>
        <v>Transformation</v>
      </c>
      <c r="H57" s="2" t="str">
        <f ca="1">IFERROR(__xludf.DUMMYFUNCTION("""COMPUTED_VALUE"""),"What was once a shrine dedicated to a deceased relative, has been transformed into something else entirely, now that the original portrait has been lost. By using a picture of someone else in its place, the person depicted will become the image of “mascul"&amp;"inity”, or maybe even “femininity"", that the shrine will now honor. Praying to the shrine with someone close to you in mind will cause them to gradually progress towards that ideal. If done in moderation, they will retain their own defining physical feat"&amp;"ures, while taking on some of the positive traits of this ideal, but if you take this too far, those you pray for will quickly become physically identical to the figure in the portrait. This shrine doesn’t influence how those under its effects mature ment"&amp;"ally, but it will generally make sure that they do mature mentally in some form, along with their body.")</f>
        <v>What was once a shrine dedicated to a deceased relative, has been transformed into something else entirely, now that the original portrait has been lost. By using a picture of someone else in its place, the person depicted will become the image of “masculinity”, or maybe even “femininity", that the shrine will now honor. Praying to the shrine with someone close to you in mind will cause them to gradually progress towards that ideal. If done in moderation, they will retain their own defining physical features, while taking on some of the positive traits of this ideal, but if you take this too far, those you pray for will quickly become physically identical to the figure in the portrait. This shrine doesn’t influence how those under its effects mature mentally, but it will generally make sure that they do mature mentally in some form, along with their body.</v>
      </c>
      <c r="I57" s="5"/>
    </row>
    <row r="58" spans="1:9" ht="226.2" x14ac:dyDescent="0.25">
      <c r="A58" s="16"/>
      <c r="B58" s="17">
        <v>54</v>
      </c>
      <c r="C58" s="2" t="b">
        <f ca="1">IFERROR(__xludf.DUMMYFUNCTION("""COMPUTED_VALUE"""),FALSE)</f>
        <v>0</v>
      </c>
      <c r="D58" s="2">
        <f ca="1">IFERROR(__xludf.DUMMYFUNCTION("""COMPUTED_VALUE"""),300)</f>
        <v>300</v>
      </c>
      <c r="E58" s="2" t="str">
        <f ca="1">IFERROR(__xludf.DUMMYFUNCTION("""COMPUTED_VALUE"""),"Super Satan Bros")</f>
        <v>Super Satan Bros</v>
      </c>
      <c r="F58" s="2" t="str">
        <f ca="1">IFERROR(__xludf.DUMMYFUNCTION("""COMPUTED_VALUE"""),"Generic: Hentai Occult")</f>
        <v>Generic: Hentai Occult</v>
      </c>
      <c r="G58" s="2" t="str">
        <f ca="1">IFERROR(__xludf.DUMMYFUNCTION("""COMPUTED_VALUE"""),"Transformation")</f>
        <v>Transformation</v>
      </c>
      <c r="H58" s="2" t="str">
        <f ca="1">IFERROR(__xludf.DUMMYFUNCTION("""COMPUTED_VALUE"""),"Like something straight out of a mario game - or a porn artists rendition of it at least. You don’t just have the all around improving Super Mushroom, you have the BDSM based Domshroom and Subshroom, the cow themed Moo-Mooshroom, the robotic Mechashroom, "&amp;"the strength increasing Snu-Snushroom, the shrinking Minishroom, and even the dick granting Cockshroom. And then you have the slightly more odd things, such as the lust increasing Bimbo Flower and the naughty Witch Apple. 
You can expand this collection "&amp;"at any time you could buy a perk for an extra 100 cp: a bottle of breastmilk creating Booboom Milk; the nectar of shapely legs, the Thicc Shake; the animal girl creating Zoo Amulet; the slick and slimy Slime Potion; and the personality reversing Inverse M"&amp;"irror. 
All of these last a good long while, or can be cancelled out with the supply of Nega-shrooms that come with.")</f>
        <v>Like something straight out of a mario game - or a porn artists rendition of it at least. You don’t just have the all around improving Super Mushroom, you have the BDSM based Domshroom and Subshroom, the cow themed Moo-Mooshroom, the robotic Mechashroom, the strength increasing Snu-Snushroom, the shrinking Minishroom, and even the dick granting Cockshroom. And then you have the slightly more odd things, such as the lust increasing Bimbo Flower and the naughty Witch Apple. 
You can expand this collection at any time you could buy a perk for an extra 100 cp: a bottle of breastmilk creating Booboom Milk; the nectar of shapely legs, the Thicc Shake; the animal girl creating Zoo Amulet; the slick and slimy Slime Potion; and the personality reversing Inverse Mirror. 
All of these last a good long while, or can be cancelled out with the supply of Nega-shrooms that come with.</v>
      </c>
      <c r="I58" s="5"/>
    </row>
    <row r="59" spans="1:9" ht="208.8" x14ac:dyDescent="0.25">
      <c r="A59" s="16"/>
      <c r="B59" s="17">
        <v>55</v>
      </c>
      <c r="C59" s="2" t="b">
        <f ca="1">IFERROR(__xludf.DUMMYFUNCTION("""COMPUTED_VALUE"""),FALSE)</f>
        <v>0</v>
      </c>
      <c r="D59" s="2">
        <f ca="1">IFERROR(__xludf.DUMMYFUNCTION("""COMPUTED_VALUE"""),300)</f>
        <v>300</v>
      </c>
      <c r="E59" s="2" t="str">
        <f ca="1">IFERROR(__xludf.DUMMYFUNCTION("""COMPUTED_VALUE"""),"The Beauty of Youth")</f>
        <v>The Beauty of Youth</v>
      </c>
      <c r="F59" s="2" t="str">
        <f ca="1">IFERROR(__xludf.DUMMYFUNCTION("""COMPUTED_VALUE"""),"Fate/Whore Order")</f>
        <v>Fate/Whore Order</v>
      </c>
      <c r="G59" s="2" t="str">
        <f ca="1">IFERROR(__xludf.DUMMYFUNCTION("""COMPUTED_VALUE"""),"Transformation")</f>
        <v>Transformation</v>
      </c>
      <c r="H59" s="2" t="str">
        <f ca="1">IFERROR(__xludf.DUMMYFUNCTION("""COMPUTED_VALUE"""),"Who would have guessed that the ones best suited to conquering Scathach and her posse were the Lily- type servants? You can greatly reduce your strength, even sealing away some of your powers entirely, and revert to the form of a youth. The greater the li"&amp;"mitations you place on yourself, the faster those abilities will grow and the greater the heights you will achieve in both skill and power when you return to your adult (or at least, more grown up) body. The duration you will be forced to stay in this for"&amp;"m is also one of the limitations you must decide on, especially as breaking out of it early comes with significant consequences after the initial rush.
Your young form isn't without its advantages, of course. It exudes an aura of boyish charm (or girlish"&amp;", if you’d rather resemble Astolfo) which older women are very weak against. So strong are these immoral charms that with the right temptation you could lure even devout wives and holy saints into breaking their vows. ")</f>
        <v xml:space="preserve">Who would have guessed that the ones best suited to conquering Scathach and her posse were the Lily- type servants? You can greatly reduce your strength, even sealing away some of your powers entirely, and revert to the form of a youth. The greater the limitations you place on yourself, the faster those abilities will grow and the greater the heights you will achieve in both skill and power when you return to your adult (or at least, more grown up) body. The duration you will be forced to stay in this form is also one of the limitations you must decide on, especially as breaking out of it early comes with significant consequences after the initial rush.
Your young form isn't without its advantages, of course. It exudes an aura of boyish charm (or girlish, if you’d rather resemble Astolfo) which older women are very weak against. So strong are these immoral charms that with the right temptation you could lure even devout wives and holy saints into breaking their vows. </v>
      </c>
      <c r="I59" s="5"/>
    </row>
    <row r="60" spans="1:9" ht="121.8" x14ac:dyDescent="0.25">
      <c r="A60" s="16"/>
      <c r="B60" s="17">
        <v>56</v>
      </c>
      <c r="C60" s="2" t="b">
        <f ca="1">IFERROR(__xludf.DUMMYFUNCTION("""COMPUTED_VALUE"""),FALSE)</f>
        <v>0</v>
      </c>
      <c r="D60" s="2">
        <f ca="1">IFERROR(__xludf.DUMMYFUNCTION("""COMPUTED_VALUE"""),300)</f>
        <v>300</v>
      </c>
      <c r="E60" s="2" t="str">
        <f ca="1">IFERROR(__xludf.DUMMYFUNCTION("""COMPUTED_VALUE"""),"The Old Switcheroo")</f>
        <v>The Old Switcheroo</v>
      </c>
      <c r="F60" s="2" t="str">
        <f ca="1">IFERROR(__xludf.DUMMYFUNCTION("""COMPUTED_VALUE"""),"TSF World")</f>
        <v>TSF World</v>
      </c>
      <c r="G60" s="2" t="str">
        <f ca="1">IFERROR(__xludf.DUMMYFUNCTION("""COMPUTED_VALUE"""),"Transformation")</f>
        <v>Transformation</v>
      </c>
      <c r="H60" s="2" t="str">
        <f ca="1">IFERROR(__xludf.DUMMYFUNCTION("""COMPUTED_VALUE"""),"One of the more chaos inducing powers on offer, this is the ability to swap people’s bodies around. This can be used on two or more people at the same time and from a reasonable range as well. The targets will instantly find themselves in the opposing tar"&amp;"get’s body, as if their minds had simply swapped places for no reason. The potential for chaos for such an event, especially used on a large scale, is obvious to everyone. Want to bring karma to a beautiful but black hearted belle, while also helping a po"&amp;"or and scarred kind old woman? Easy as a flick of the wrist. And that is merely one example.")</f>
        <v>One of the more chaos inducing powers on offer, this is the ability to swap people’s bodies around. This can be used on two or more people at the same time and from a reasonable range as well. The targets will instantly find themselves in the opposing target’s body, as if their minds had simply swapped places for no reason. The potential for chaos for such an event, especially used on a large scale, is obvious to everyone. Want to bring karma to a beautiful but black hearted belle, while also helping a poor and scarred kind old woman? Easy as a flick of the wrist. And that is merely one example.</v>
      </c>
      <c r="I60" s="5"/>
    </row>
    <row r="61" spans="1:9" ht="87" x14ac:dyDescent="0.25">
      <c r="A61" s="16"/>
      <c r="B61" s="17">
        <v>57</v>
      </c>
      <c r="C61" s="2" t="b">
        <f ca="1">IFERROR(__xludf.DUMMYFUNCTION("""COMPUTED_VALUE"""),FALSE)</f>
        <v>0</v>
      </c>
      <c r="D61" s="2">
        <f ca="1">IFERROR(__xludf.DUMMYFUNCTION("""COMPUTED_VALUE"""),300)</f>
        <v>300</v>
      </c>
      <c r="E61" s="2" t="str">
        <f ca="1">IFERROR(__xludf.DUMMYFUNCTION("""COMPUTED_VALUE"""),"Trading Cards")</f>
        <v>Trading Cards</v>
      </c>
      <c r="F61" s="2" t="str">
        <f ca="1">IFERROR(__xludf.DUMMYFUNCTION("""COMPUTED_VALUE"""),"Generic: Hentai Occult")</f>
        <v>Generic: Hentai Occult</v>
      </c>
      <c r="G61" s="2" t="str">
        <f ca="1">IFERROR(__xludf.DUMMYFUNCTION("""COMPUTED_VALUE"""),"Transformation")</f>
        <v>Transformation</v>
      </c>
      <c r="H61" s="2" t="str">
        <f ca="1">IFERROR(__xludf.DUMMYFUNCTION("""COMPUTED_VALUE"""),"A blank set of playing cards containing a mystical power - the ability to trade. Each card can be imbued with a trait, physical, mental, or spiritual, which can then be traded with another card containing the same kind of trait. Breast or dick sizes, or a"&amp;" specific kind of fetish for example. Traits cards do not have to be willingly created, but they do have to be traded semi equally - you can’t simply take a card, but you could win it in a fair contest. Strip poker anyone?")</f>
        <v>A blank set of playing cards containing a mystical power - the ability to trade. Each card can be imbued with a trait, physical, mental, or spiritual, which can then be traded with another card containing the same kind of trait. Breast or dick sizes, or a specific kind of fetish for example. Traits cards do not have to be willingly created, but they do have to be traded semi equally - you can’t simply take a card, but you could win it in a fair contest. Strip poker anyone?</v>
      </c>
      <c r="I61" s="5"/>
    </row>
    <row r="62" spans="1:9" ht="87" x14ac:dyDescent="0.25">
      <c r="A62" s="16"/>
      <c r="B62" s="17">
        <v>58</v>
      </c>
      <c r="C62" s="2" t="b">
        <f ca="1">IFERROR(__xludf.DUMMYFUNCTION("""COMPUTED_VALUE"""),FALSE)</f>
        <v>0</v>
      </c>
      <c r="D62" s="2">
        <f ca="1">IFERROR(__xludf.DUMMYFUNCTION("""COMPUTED_VALUE"""),300)</f>
        <v>300</v>
      </c>
      <c r="E62" s="2" t="str">
        <f ca="1">IFERROR(__xludf.DUMMYFUNCTION("""COMPUTED_VALUE"""),"Transformation Immunity")</f>
        <v>Transformation Immunity</v>
      </c>
      <c r="F62" s="2" t="str">
        <f ca="1">IFERROR(__xludf.DUMMYFUNCTION("""COMPUTED_VALUE"""),"The Pirate’s Fate")</f>
        <v>The Pirate’s Fate</v>
      </c>
      <c r="G62" s="2" t="str">
        <f ca="1">IFERROR(__xludf.DUMMYFUNCTION("""COMPUTED_VALUE"""),"Transformation")</f>
        <v>Transformation</v>
      </c>
      <c r="H62" s="2" t="str">
        <f ca="1">IFERROR(__xludf.DUMMYFUNCTION("""COMPUTED_VALUE"""),"A personal safety assurance, Master/Madame. I mentioned the coins could change your life, well, I meant that very literally. The most common type of coin is innocently called “Become What You Seek.” And, those coins are very sensitive. Touching one and ha"&amp;"ving the slightest idle thought sparked by the surroundings could set it off. With this Perk, you won’t have to worry about that. Or involuntary transformations of any kind.")</f>
        <v>A personal safety assurance, Master/Madame. I mentioned the coins could change your life, well, I meant that very literally. The most common type of coin is innocently called “Become What You Seek.” And, those coins are very sensitive. Touching one and having the slightest idle thought sparked by the surroundings could set it off. With this Perk, you won’t have to worry about that. Or involuntary transformations of any kind.</v>
      </c>
      <c r="I62" s="5"/>
    </row>
    <row r="63" spans="1:9" ht="121.8" x14ac:dyDescent="0.25">
      <c r="A63" s="16"/>
      <c r="B63" s="17">
        <v>59</v>
      </c>
      <c r="C63" s="2" t="b">
        <f ca="1">IFERROR(__xludf.DUMMYFUNCTION("""COMPUTED_VALUE"""),FALSE)</f>
        <v>0</v>
      </c>
      <c r="D63" s="2">
        <f ca="1">IFERROR(__xludf.DUMMYFUNCTION("""COMPUTED_VALUE"""),400)</f>
        <v>400</v>
      </c>
      <c r="E63" s="2" t="str">
        <f ca="1">IFERROR(__xludf.DUMMYFUNCTION("""COMPUTED_VALUE"""),"Body Remodeling Potions")</f>
        <v>Body Remodeling Potions</v>
      </c>
      <c r="F63" s="2" t="str">
        <f ca="1">IFERROR(__xludf.DUMMYFUNCTION("""COMPUTED_VALUE"""),"Bokunchi No Mikage-san")</f>
        <v>Bokunchi No Mikage-san</v>
      </c>
      <c r="G63" s="2" t="str">
        <f ca="1">IFERROR(__xludf.DUMMYFUNCTION("""COMPUTED_VALUE"""),"Transformation")</f>
        <v>Transformation</v>
      </c>
      <c r="H63" s="2" t="str">
        <f ca="1">IFERROR(__xludf.DUMMYFUNCTION("""COMPUTED_VALUE"""),"Shinobi have mastery over the body, to the degree that they have created medicines that allow one to mold and reshape their physical form. An example from the manga would be the Bust-Up Potion Mikage provided, which when applied over a period of time, wou"&amp;"ld cause an increase in bust size. This item is a variety of potions and medicines, designed to allow someone to completely customize every aspect of a person’s appearance, from their height to their bust size to coloration, and more. It additionally come"&amp;"s with a small manual providing instructions for how to produce more with common ingredients.")</f>
        <v>Shinobi have mastery over the body, to the degree that they have created medicines that allow one to mold and reshape their physical form. An example from the manga would be the Bust-Up Potion Mikage provided, which when applied over a period of time, would cause an increase in bust size. This item is a variety of potions and medicines, designed to allow someone to completely customize every aspect of a person’s appearance, from their height to their bust size to coloration, and more. It additionally comes with a small manual providing instructions for how to produce more with common ingredients.</v>
      </c>
      <c r="I63" s="5"/>
    </row>
    <row r="64" spans="1:9" ht="139.19999999999999" x14ac:dyDescent="0.25">
      <c r="A64" s="16"/>
      <c r="B64" s="17">
        <v>60</v>
      </c>
      <c r="C64" s="2" t="b">
        <f ca="1">IFERROR(__xludf.DUMMYFUNCTION("""COMPUTED_VALUE"""),FALSE)</f>
        <v>0</v>
      </c>
      <c r="D64" s="2">
        <f ca="1">IFERROR(__xludf.DUMMYFUNCTION("""COMPUTED_VALUE"""),400)</f>
        <v>400</v>
      </c>
      <c r="E64" s="2" t="str">
        <f ca="1">IFERROR(__xludf.DUMMYFUNCTION("""COMPUTED_VALUE"""),"Born from Clay")</f>
        <v>Born from Clay</v>
      </c>
      <c r="F64" s="2" t="str">
        <f ca="1">IFERROR(__xludf.DUMMYFUNCTION("""COMPUTED_VALUE"""),"Dulce Report")</f>
        <v>Dulce Report</v>
      </c>
      <c r="G64" s="2" t="str">
        <f ca="1">IFERROR(__xludf.DUMMYFUNCTION("""COMPUTED_VALUE"""),"Transformation")</f>
        <v>Transformation</v>
      </c>
      <c r="H64" s="2" t="str">
        <f ca="1">IFERROR(__xludf.DUMMYFUNCTION("""COMPUTED_VALUE"""),"One of the changes made to the Angels biology is that their sperm contains not only human sperm, but the material from which the Gods are born. Sadly, due to degradation of their own genetic code, they don’t last long. That said, they can program them, fo"&amp;"r lack of a better word, to do certain things- and now can you. Your body now creates these 'infectious sperm' in your sexual fluids. By default, they turn people into Angels by overriding their genes with the Angel template (i.e. a cock, breasts, and vag"&amp;"ina) but you're not so limited. So long as you can sit down and craft the genetic code necessary to do it, you can theoretically make any biological change to both yourself and whoever you fuck.")</f>
        <v>One of the changes made to the Angels biology is that their sperm contains not only human sperm, but the material from which the Gods are born. Sadly, due to degradation of their own genetic code, they don’t last long. That said, they can program them, for lack of a better word, to do certain things- and now can you. Your body now creates these 'infectious sperm' in your sexual fluids. By default, they turn people into Angels by overriding their genes with the Angel template (i.e. a cock, breasts, and vagina) but you're not so limited. So long as you can sit down and craft the genetic code necessary to do it, you can theoretically make any biological change to both yourself and whoever you fuck.</v>
      </c>
      <c r="I64" s="5"/>
    </row>
    <row r="65" spans="1:9" ht="121.8" x14ac:dyDescent="0.25">
      <c r="A65" s="16"/>
      <c r="B65" s="17">
        <v>61</v>
      </c>
      <c r="C65" s="2" t="b">
        <f ca="1">IFERROR(__xludf.DUMMYFUNCTION("""COMPUTED_VALUE"""),FALSE)</f>
        <v>0</v>
      </c>
      <c r="D65" s="2">
        <f ca="1">IFERROR(__xludf.DUMMYFUNCTION("""COMPUTED_VALUE"""),400)</f>
        <v>400</v>
      </c>
      <c r="E65" s="2" t="str">
        <f ca="1">IFERROR(__xludf.DUMMYFUNCTION("""COMPUTED_VALUE"""),"Brainless Bimbo")</f>
        <v>Brainless Bimbo</v>
      </c>
      <c r="F65" s="2" t="str">
        <f ca="1">IFERROR(__xludf.DUMMYFUNCTION("""COMPUTED_VALUE"""),"World of Lewd Horror")</f>
        <v>World of Lewd Horror</v>
      </c>
      <c r="G65" s="2" t="str">
        <f ca="1">IFERROR(__xludf.DUMMYFUNCTION("""COMPUTED_VALUE"""),"Transformation")</f>
        <v>Transformation</v>
      </c>
      <c r="H65" s="2" t="str">
        <f ca="1">IFERROR(__xludf.DUMMYFUNCTION("""COMPUTED_VALUE"""),"Some people say you’re a dumb pair of tits and like that’s not completely unfair. Sometimes, like when it would be super hot, you’re a totes stupid bimbo who should probably have got eaten like 20 minutes ago. But sometimes the script needs you to do some"&amp;"thing smart, so like you suddenly turn competent for a while? Basically, you’ve got a dial in your head. When you turn it up, the dumber you get but you get hotter and luckier. Obvs the smarter you start out as, the more brains you can sacrifice. You can "&amp;"even define conditions that will set you back to normal, so no worries about being stuck dumb when you need your smarts.")</f>
        <v>Some people say you’re a dumb pair of tits and like that’s not completely unfair. Sometimes, like when it would be super hot, you’re a totes stupid bimbo who should probably have got eaten like 20 minutes ago. But sometimes the script needs you to do something smart, so like you suddenly turn competent for a while? Basically, you’ve got a dial in your head. When you turn it up, the dumber you get but you get hotter and luckier. Obvs the smarter you start out as, the more brains you can sacrifice. You can even define conditions that will set you back to normal, so no worries about being stuck dumb when you need your smarts.</v>
      </c>
      <c r="I65" s="5"/>
    </row>
    <row r="66" spans="1:9" ht="87" x14ac:dyDescent="0.25">
      <c r="A66" s="16"/>
      <c r="B66" s="17">
        <v>62</v>
      </c>
      <c r="C66" s="2" t="b">
        <f ca="1">IFERROR(__xludf.DUMMYFUNCTION("""COMPUTED_VALUE"""),FALSE)</f>
        <v>0</v>
      </c>
      <c r="D66" s="2">
        <f ca="1">IFERROR(__xludf.DUMMYFUNCTION("""COMPUTED_VALUE"""),400)</f>
        <v>400</v>
      </c>
      <c r="E66" s="2" t="str">
        <f ca="1">IFERROR(__xludf.DUMMYFUNCTION("""COMPUTED_VALUE"""),"Erotic Alchemy")</f>
        <v>Erotic Alchemy</v>
      </c>
      <c r="F66" s="2" t="str">
        <f ca="1">IFERROR(__xludf.DUMMYFUNCTION("""COMPUTED_VALUE"""),"Generic: Fat-Fetish")</f>
        <v>Generic: Fat-Fetish</v>
      </c>
      <c r="G66" s="2" t="str">
        <f ca="1">IFERROR(__xludf.DUMMYFUNCTION("""COMPUTED_VALUE"""),"Transformation")</f>
        <v>Transformation</v>
      </c>
      <c r="H66" s="2" t="str">
        <f ca="1">IFERROR(__xludf.DUMMYFUNCTION("""COMPUTED_VALUE"""),"You receive a small, replenishing, once a week, cache of potions/poisons (depending on your perspective) to induce desirable effects in individuals you meet. One sip of the blue one will turn that burly amazon into a wimpy BBW. That green one will turn th"&amp;"e lady monk into a ravenous beast... You get the idea. These potions come with instructions for taking more, if they don’t replenish fast enough for your depravity.")</f>
        <v>You receive a small, replenishing, once a week, cache of potions/poisons (depending on your perspective) to induce desirable effects in individuals you meet. One sip of the blue one will turn that burly amazon into a wimpy BBW. That green one will turn the lady monk into a ravenous beast... You get the idea. These potions come with instructions for taking more, if they don’t replenish fast enough for your depravity.</v>
      </c>
      <c r="I66" s="5"/>
    </row>
    <row r="67" spans="1:9" ht="69.599999999999994" x14ac:dyDescent="0.25">
      <c r="A67" s="16"/>
      <c r="B67" s="17">
        <v>63</v>
      </c>
      <c r="C67" s="2" t="b">
        <f ca="1">IFERROR(__xludf.DUMMYFUNCTION("""COMPUTED_VALUE"""),FALSE)</f>
        <v>0</v>
      </c>
      <c r="D67" s="2">
        <f ca="1">IFERROR(__xludf.DUMMYFUNCTION("""COMPUTED_VALUE"""),400)</f>
        <v>400</v>
      </c>
      <c r="E67" s="2" t="str">
        <f ca="1">IFERROR(__xludf.DUMMYFUNCTION("""COMPUTED_VALUE"""),"Genital Transformation")</f>
        <v>Genital Transformation</v>
      </c>
      <c r="F67" s="2" t="str">
        <f ca="1">IFERROR(__xludf.DUMMYFUNCTION("""COMPUTED_VALUE"""),"Power Play")</f>
        <v>Power Play</v>
      </c>
      <c r="G67" s="2" t="str">
        <f ca="1">IFERROR(__xludf.DUMMYFUNCTION("""COMPUTED_VALUE"""),"Transformation")</f>
        <v>Transformation</v>
      </c>
      <c r="H67" s="2" t="str">
        <f ca="1">IFERROR(__xludf.DUMMYFUNCTION("""COMPUTED_VALUE"""),"You have magical control over the appearance of your sexual attributes, and can reshape their appearance at a whim. Want to grow a second cock, the same size as the first? Go for it. Want a dog dick? Why not. Want to grow another pair of breasts? You can "&amp;"do that now. This also means that you’ll never have to shave down there.")</f>
        <v>You have magical control over the appearance of your sexual attributes, and can reshape their appearance at a whim. Want to grow a second cock, the same size as the first? Go for it. Want a dog dick? Why not. Want to grow another pair of breasts? You can do that now. This also means that you’ll never have to shave down there.</v>
      </c>
      <c r="I67" s="5"/>
    </row>
    <row r="68" spans="1:9" ht="174" x14ac:dyDescent="0.25">
      <c r="A68" s="16"/>
      <c r="B68" s="17">
        <v>64</v>
      </c>
      <c r="C68" s="2" t="b">
        <f ca="1">IFERROR(__xludf.DUMMYFUNCTION("""COMPUTED_VALUE"""),FALSE)</f>
        <v>0</v>
      </c>
      <c r="D68" s="2">
        <f ca="1">IFERROR(__xludf.DUMMYFUNCTION("""COMPUTED_VALUE"""),400)</f>
        <v>400</v>
      </c>
      <c r="E68" s="2" t="str">
        <f ca="1">IFERROR(__xludf.DUMMYFUNCTION("""COMPUTED_VALUE"""),"Happy Mask Collection")</f>
        <v>Happy Mask Collection</v>
      </c>
      <c r="F68" s="2" t="str">
        <f ca="1">IFERROR(__xludf.DUMMYFUNCTION("""COMPUTED_VALUE"""),"Breathless Wild")</f>
        <v>Breathless Wild</v>
      </c>
      <c r="G68" s="2" t="str">
        <f ca="1">IFERROR(__xludf.DUMMYFUNCTION("""COMPUTED_VALUE"""),"Transformation")</f>
        <v>Transformation</v>
      </c>
      <c r="H68" s="2" t="str">
        <f ca="1">IFERROR(__xludf.DUMMYFUNCTION("""COMPUTED_VALUE"""),"A mysterious salesman wanders Hyrule in search of magical masks like the ones you have come to have in your possession. This collection of enchanted masks contains an assortment of useful magical powers: a bunny hood that helps you run at great speed, a c"&amp;"hu-chu mask that gives your body the liquid form of a slime girl, a keaton mask whose razor wit and senses will help you solve puzzles, and so on. Each mask also transforms your body in some way, such as temporarily turning you into a monster or giving yo"&amp;"u an appropriately sexy costume, like the bunny girl outfit that comes with the bunny hood. Unlike the versions that Zelda acquires in her travels none of these masks have any built-in drawbacks attached to them such as the chu-chu mask’s dimwittedness. P"&amp;"urchasing this item grants you five masks of your choice as well as the knowledge to make more, with difficulty. Perhaps you’ll even meet that odd salesman again?")</f>
        <v>A mysterious salesman wanders Hyrule in search of magical masks like the ones you have come to have in your possession. This collection of enchanted masks contains an assortment of useful magical powers: a bunny hood that helps you run at great speed, a chu-chu mask that gives your body the liquid form of a slime girl, a keaton mask whose razor wit and senses will help you solve puzzles, and so on. Each mask also transforms your body in some way, such as temporarily turning you into a monster or giving you an appropriately sexy costume, like the bunny girl outfit that comes with the bunny hood. Unlike the versions that Zelda acquires in her travels none of these masks have any built-in drawbacks attached to them such as the chu-chu mask’s dimwittedness. Purchasing this item grants you five masks of your choice as well as the knowledge to make more, with difficulty. Perhaps you’ll even meet that odd salesman again?</v>
      </c>
      <c r="I68" s="5"/>
    </row>
    <row r="69" spans="1:9" ht="261" x14ac:dyDescent="0.25">
      <c r="A69" s="16"/>
      <c r="B69" s="17">
        <v>65</v>
      </c>
      <c r="C69" s="2" t="b">
        <f ca="1">IFERROR(__xludf.DUMMYFUNCTION("""COMPUTED_VALUE"""),FALSE)</f>
        <v>0</v>
      </c>
      <c r="D69" s="2">
        <f ca="1">IFERROR(__xludf.DUMMYFUNCTION("""COMPUTED_VALUE"""),400)</f>
        <v>400</v>
      </c>
      <c r="E69" s="2" t="str">
        <f ca="1">IFERROR(__xludf.DUMMYFUNCTION("""COMPUTED_VALUE"""),"Love and Scorn")</f>
        <v>Love and Scorn</v>
      </c>
      <c r="F69" s="2" t="str">
        <f ca="1">IFERROR(__xludf.DUMMYFUNCTION("""COMPUTED_VALUE"""),"High School DxD Blacked")</f>
        <v>High School DxD Blacked</v>
      </c>
      <c r="G69" s="2" t="str">
        <f ca="1">IFERROR(__xludf.DUMMYFUNCTION("""COMPUTED_VALUE"""),"Transformation")</f>
        <v>Transformation</v>
      </c>
      <c r="H69" s="2" t="str">
        <f ca="1">IFERROR(__xludf.DUMMYFUNCTION("""COMPUTED_VALUE"""),"Some people are just better than others, and who better to judge that than you? Your love and scorn are now their own forms of magical energy, likely a derivative of Senjutsu. As you interact with people, be it fighting or healing them, people you don't l"&amp;"ike will become lesser and people you like will slowly become greater. Caressing a lover to heal them might increase the size of their cock or breasts, or it might remove their refactory period. Similarly, harming or even healing those you dislike or find"&amp;" pathetic will cause them to become even more pathetic. Men will become more feminized until their gender 'inverts', turning them into women. And women will be reduced into useless, thoughtless bimbos.
If that's not enough for you, this works even in com"&amp;"bat- healing is more efficient on people you want to fuck, techniques are more damaging on those you wish would just die for being an embarrassment to the human race, and the dregs and bare traces of spiritual energy you put out can cause people to become"&amp;" inspired or depressed based on those same conditions. Hell, with enough time and energy you can taint portions of the landscape with these energies, affecting all those who enter.")</f>
        <v>Some people are just better than others, and who better to judge that than you? Your love and scorn are now their own forms of magical energy, likely a derivative of Senjutsu. As you interact with people, be it fighting or healing them, people you don't like will become lesser and people you like will slowly become greater. Caressing a lover to heal them might increase the size of their cock or breasts, or it might remove their refactory period. Similarly, harming or even healing those you dislike or find pathetic will cause them to become even more pathetic. Men will become more feminized until their gender 'inverts', turning them into women. And women will be reduced into useless, thoughtless bimbos.
If that's not enough for you, this works even in combat- healing is more efficient on people you want to fuck, techniques are more damaging on those you wish would just die for being an embarrassment to the human race, and the dregs and bare traces of spiritual energy you put out can cause people to become inspired or depressed based on those same conditions. Hell, with enough time and energy you can taint portions of the landscape with these energies, affecting all those who enter.</v>
      </c>
      <c r="I69" s="5"/>
    </row>
    <row r="70" spans="1:9" ht="139.19999999999999" x14ac:dyDescent="0.25">
      <c r="A70" s="16"/>
      <c r="B70" s="17">
        <v>66</v>
      </c>
      <c r="C70" s="2" t="b">
        <f ca="1">IFERROR(__xludf.DUMMYFUNCTION("""COMPUTED_VALUE"""),FALSE)</f>
        <v>0</v>
      </c>
      <c r="D70" s="2">
        <f ca="1">IFERROR(__xludf.DUMMYFUNCTION("""COMPUTED_VALUE"""),400)</f>
        <v>400</v>
      </c>
      <c r="E70" s="2" t="str">
        <f ca="1">IFERROR(__xludf.DUMMYFUNCTION("""COMPUTED_VALUE"""),"Onahole Ray")</f>
        <v>Onahole Ray</v>
      </c>
      <c r="F70" s="2" t="str">
        <f ca="1">IFERROR(__xludf.DUMMYFUNCTION("""COMPUTED_VALUE"""),"Hypno App Fantasia")</f>
        <v>Hypno App Fantasia</v>
      </c>
      <c r="G70" s="2" t="str">
        <f ca="1">IFERROR(__xludf.DUMMYFUNCTION("""COMPUTED_VALUE"""),"Transformation")</f>
        <v>Transformation</v>
      </c>
      <c r="H70" s="2" t="str">
        <f ca="1">IFERROR(__xludf.DUMMYFUNCTION("""COMPUTED_VALUE"""),"A little plastic gun, like the alien ray guns of semi-modern science fiction. It’s actually quite the powerful relic, firing photons towards any living being it is pointed at when used. These photons transform the target into a latex sex toy, with apparen"&amp;"tly a whole range of different designs if you adjust a knob on the pistol. The process can only be reversed by another blast of the gun on the correct setting, and not by any magic or technology, and even magical defences will fail to defend against it li"&amp;"ke all relics but apparently the photons are slow and highly visible, making it easy to dodge. Those transformed by the gun are still mentally aware despite their new state and last so long as the new form they take is partially intact.")</f>
        <v>A little plastic gun, like the alien ray guns of semi-modern science fiction. It’s actually quite the powerful relic, firing photons towards any living being it is pointed at when used. These photons transform the target into a latex sex toy, with apparently a whole range of different designs if you adjust a knob on the pistol. The process can only be reversed by another blast of the gun on the correct setting, and not by any magic or technology, and even magical defences will fail to defend against it like all relics but apparently the photons are slow and highly visible, making it easy to dodge. Those transformed by the gun are still mentally aware despite their new state and last so long as the new form they take is partially intact.</v>
      </c>
      <c r="I70" s="5"/>
    </row>
    <row r="71" spans="1:9" ht="156.6" x14ac:dyDescent="0.25">
      <c r="A71" s="16"/>
      <c r="B71" s="17">
        <v>67</v>
      </c>
      <c r="C71" s="2" t="b">
        <f ca="1">IFERROR(__xludf.DUMMYFUNCTION("""COMPUTED_VALUE"""),FALSE)</f>
        <v>0</v>
      </c>
      <c r="D71" s="2">
        <f ca="1">IFERROR(__xludf.DUMMYFUNCTION("""COMPUTED_VALUE"""),400)</f>
        <v>400</v>
      </c>
      <c r="E71" s="2" t="str">
        <f ca="1">IFERROR(__xludf.DUMMYFUNCTION("""COMPUTED_VALUE"""),"Quantum Rotating Bed")</f>
        <v>Quantum Rotating Bed</v>
      </c>
      <c r="F71" s="2" t="str">
        <f ca="1">IFERROR(__xludf.DUMMYFUNCTION("""COMPUTED_VALUE"""),"The Otaku in 2200 AD")</f>
        <v>The Otaku in 2200 AD</v>
      </c>
      <c r="G71" s="2" t="str">
        <f ca="1">IFERROR(__xludf.DUMMYFUNCTION("""COMPUTED_VALUE"""),"Transformation")</f>
        <v>Transformation</v>
      </c>
      <c r="H71" s="2" t="str">
        <f ca="1">IFERROR(__xludf.DUMMYFUNCTION("""COMPUTED_VALUE"""),"This room-sized bed produces a quantum super-microcosm, where impossible phenomena can happen. Exactly what these phenomena are is something that you will need to study at length, as only one setting is pre-equipped; the power to make someone exist simult"&amp;"aneously in multiple points in space. In short, it basically clones you (or a single partner) for as long as you are in the bed, except you are actually each different version of you simultaneously; it’s a bit confusing, but you’ll get the hang of it quic"&amp;"k enough. 
Although this bed can do almost anything, all of its effects end once the bed is turned off or if you step beyond the bed’s confines.")</f>
        <v>This room-sized bed produces a quantum super-microcosm, where impossible phenomena can happen. Exactly what these phenomena are is something that you will need to study at length, as only one setting is pre-equipped; the power to make someone exist simultaneously in multiple points in space. In short, it basically clones you (or a single partner) for as long as you are in the bed, except you are actually each different version of you simultaneously; it’s a bit confusing, but you’ll get the hang of it quick enough. 
Although this bed can do almost anything, all of its effects end once the bed is turned off or if you step beyond the bed’s confines.</v>
      </c>
      <c r="I71" s="5"/>
    </row>
    <row r="72" spans="1:9" ht="191.4" x14ac:dyDescent="0.25">
      <c r="A72" s="16"/>
      <c r="B72" s="17">
        <v>68</v>
      </c>
      <c r="C72" s="2" t="b">
        <f ca="1">IFERROR(__xludf.DUMMYFUNCTION("""COMPUTED_VALUE"""),FALSE)</f>
        <v>0</v>
      </c>
      <c r="D72" s="2">
        <f ca="1">IFERROR(__xludf.DUMMYFUNCTION("""COMPUTED_VALUE"""),400)</f>
        <v>400</v>
      </c>
      <c r="E72" s="2" t="str">
        <f ca="1">IFERROR(__xludf.DUMMYFUNCTION("""COMPUTED_VALUE"""),"Spawn of Chaos")</f>
        <v>Spawn of Chaos</v>
      </c>
      <c r="F72" s="2" t="str">
        <f ca="1">IFERROR(__xludf.DUMMYFUNCTION("""COMPUTED_VALUE"""),"Submission Sailor Moon")</f>
        <v>Submission Sailor Moon</v>
      </c>
      <c r="G72" s="2" t="str">
        <f ca="1">IFERROR(__xludf.DUMMYFUNCTION("""COMPUTED_VALUE"""),"Transformation")</f>
        <v>Transformation</v>
      </c>
      <c r="H72" s="2" t="str">
        <f ca="1">IFERROR(__xludf.DUMMYFUNCTION("""COMPUTED_VALUE"""),"A youma’s body is much more malleable than a human’s flesh and blood, and more powerful youma often have more advanced skill at controlling and shaping the raw material of their bodies than common mooks. You can freely reshape parts of your body, turning "&amp;"hands into claws or swords, sprouting tentacles at will, and altering your appearance freely. Reshaping your body in this way requires you to invest some of your magical energy into it, subtracting from your available maximum until you return to your true"&amp;" form, and the more extensive the change the more energy is needed to maintain it. Apart from altering your appearance you can also hulk out into a powered up form, split yourself into multiple bodies, or even assume a single energy form like fire or ligh"&amp;"tning if you have magical power on par with a Dark General, allowing you to do things like turn your body into electricity and travel through the power system like Electricus if you had an enormous amount of energy to spare.")</f>
        <v>A youma’s body is much more malleable than a human’s flesh and blood, and more powerful youma often have more advanced skill at controlling and shaping the raw material of their bodies than common mooks. You can freely reshape parts of your body, turning hands into claws or swords, sprouting tentacles at will, and altering your appearance freely. Reshaping your body in this way requires you to invest some of your magical energy into it, subtracting from your available maximum until you return to your true form, and the more extensive the change the more energy is needed to maintain it. Apart from altering your appearance you can also hulk out into a powered up form, split yourself into multiple bodies, or even assume a single energy form like fire or lightning if you have magical power on par with a Dark General, allowing you to do things like turn your body into electricity and travel through the power system like Electricus if you had an enormous amount of energy to spare.</v>
      </c>
      <c r="I72" s="5"/>
    </row>
    <row r="73" spans="1:9" ht="104.4" x14ac:dyDescent="0.25">
      <c r="A73" s="16"/>
      <c r="B73" s="17">
        <v>69</v>
      </c>
      <c r="C73" s="2" t="b">
        <f ca="1">IFERROR(__xludf.DUMMYFUNCTION("""COMPUTED_VALUE"""),FALSE)</f>
        <v>0</v>
      </c>
      <c r="D73" s="2">
        <f ca="1">IFERROR(__xludf.DUMMYFUNCTION("""COMPUTED_VALUE"""),400)</f>
        <v>400</v>
      </c>
      <c r="E73" s="2" t="str">
        <f ca="1">IFERROR(__xludf.DUMMYFUNCTION("""COMPUTED_VALUE"""),"Sticky Skin")</f>
        <v>Sticky Skin</v>
      </c>
      <c r="F73" s="2" t="str">
        <f ca="1">IFERROR(__xludf.DUMMYFUNCTION("""COMPUTED_VALUE"""),"TSF World")</f>
        <v>TSF World</v>
      </c>
      <c r="G73" s="2" t="str">
        <f ca="1">IFERROR(__xludf.DUMMYFUNCTION("""COMPUTED_VALUE"""),"Transformation")</f>
        <v>Transformation</v>
      </c>
      <c r="H73" s="2" t="str">
        <f ca="1">IFERROR(__xludf.DUMMYFUNCTION("""COMPUTED_VALUE"""),"Just because you were the subject of unwitting change doesn't mean that you didn't enjoy it happening. On the contrary, when did you say you wanted it to end? Your body has the strange ability to prolong any TSF related changes made to it, past when the o"&amp;"riginal instigator would have cancelled its effects. You can't depower this magical girl by knocking her transformation device away. Even would-be possessors and the like would be forced to remain in your body until YOU decide they can leave.")</f>
        <v>Just because you were the subject of unwitting change doesn't mean that you didn't enjoy it happening. On the contrary, when did you say you wanted it to end? Your body has the strange ability to prolong any TSF related changes made to it, past when the original instigator would have cancelled its effects. You can't depower this magical girl by knocking her transformation device away. Even would-be possessors and the like would be forced to remain in your body until YOU decide they can leave.</v>
      </c>
      <c r="I73" s="5"/>
    </row>
    <row r="74" spans="1:9" ht="243.6" x14ac:dyDescent="0.25">
      <c r="A74" s="16"/>
      <c r="B74" s="17">
        <v>70</v>
      </c>
      <c r="C74" s="2" t="b">
        <f ca="1">IFERROR(__xludf.DUMMYFUNCTION("""COMPUTED_VALUE"""),FALSE)</f>
        <v>0</v>
      </c>
      <c r="D74" s="2">
        <f ca="1">IFERROR(__xludf.DUMMYFUNCTION("""COMPUTED_VALUE"""),400)</f>
        <v>400</v>
      </c>
      <c r="E74" s="2" t="str">
        <f ca="1">IFERROR(__xludf.DUMMYFUNCTION("""COMPUTED_VALUE"""),"The Ageless")</f>
        <v>The Ageless</v>
      </c>
      <c r="F74" s="2" t="str">
        <f ca="1">IFERROR(__xludf.DUMMYFUNCTION("""COMPUTED_VALUE"""),"World of Lewd Elves")</f>
        <v>World of Lewd Elves</v>
      </c>
      <c r="G74" s="2" t="str">
        <f ca="1">IFERROR(__xludf.DUMMYFUNCTION("""COMPUTED_VALUE"""),"Transformation")</f>
        <v>Transformation</v>
      </c>
      <c r="H74" s="2" t="str">
        <f ca="1">IFERROR(__xludf.DUMMYFUNCTION("""COMPUTED_VALUE"""),"One of the greatest advantages that elves have over humans is their increased lifespan, measuring centuries where a human would have decades. By the time a human would be dirt in the ground an elf would be considered just barely a juvenile. Of course, how"&amp;" an elf ages tends to be dependent on their own wishes. There are stories of truely ancient elves having the appearance of a young girl, while other elves choose to age similarly to humans until they reach adulthood.
You now share that power, gaining the"&amp;" ability to choose when you stop physically aging, allowing you to appear that age for however long you want. This does not make you immortal, and as a point of convinience, you may change your target age at any time, though you will have to actually live"&amp;" through the necessary time, with your aging turning backwards if you choose to be younger (this is not natural to elves). Also an added natural trait of of this perk is that anything that would normally mar their beauty such as scars or obesity, seem to "&amp;"have little effect. Deep scars fade away enough that they only serve to enhance your appearance, and of course any excess carbs that you eat goes straight to your chest or butt rather than form anything like a flabby stomach.")</f>
        <v>One of the greatest advantages that elves have over humans is their increased lifespan, measuring centuries where a human would have decades. By the time a human would be dirt in the ground an elf would be considered just barely a juvenile. Of course, how an elf ages tends to be dependent on their own wishes. There are stories of truely ancient elves having the appearance of a young girl, while other elves choose to age similarly to humans until they reach adulthood.
You now share that power, gaining the ability to choose when you stop physically aging, allowing you to appear that age for however long you want. This does not make you immortal, and as a point of convinience, you may change your target age at any time, though you will have to actually live through the necessary time, with your aging turning backwards if you choose to be younger (this is not natural to elves). Also an added natural trait of of this perk is that anything that would normally mar their beauty such as scars or obesity, seem to have little effect. Deep scars fade away enough that they only serve to enhance your appearance, and of course any excess carbs that you eat goes straight to your chest or butt rather than form anything like a flabby stomach.</v>
      </c>
      <c r="I74" s="5"/>
    </row>
    <row r="75" spans="1:9" ht="191.4" x14ac:dyDescent="0.25">
      <c r="A75" s="16"/>
      <c r="B75" s="17">
        <v>71</v>
      </c>
      <c r="C75" s="2" t="b">
        <f ca="1">IFERROR(__xludf.DUMMYFUNCTION("""COMPUTED_VALUE"""),FALSE)</f>
        <v>0</v>
      </c>
      <c r="D75" s="2">
        <f ca="1">IFERROR(__xludf.DUMMYFUNCTION("""COMPUTED_VALUE"""),400)</f>
        <v>400</v>
      </c>
      <c r="E75" s="2" t="str">
        <f ca="1">IFERROR(__xludf.DUMMYFUNCTION("""COMPUTED_VALUE"""),"The Shape of Desire")</f>
        <v>The Shape of Desire</v>
      </c>
      <c r="F75" s="2" t="str">
        <f ca="1">IFERROR(__xludf.DUMMYFUNCTION("""COMPUTED_VALUE"""),"Majuu Purification Girl Utea")</f>
        <v>Majuu Purification Girl Utea</v>
      </c>
      <c r="G75" s="2" t="str">
        <f ca="1">IFERROR(__xludf.DUMMYFUNCTION("""COMPUTED_VALUE"""),"Transformation")</f>
        <v>Transformation</v>
      </c>
      <c r="H75" s="2" t="str">
        <f ca="1">IFERROR(__xludf.DUMMYFUNCTION("""COMPUTED_VALUE"""),"Injuu have no use for human technology but that doesn’t mean they’re incapable of building things should the need ever arise. Your shapeshifting prowess has reached the level where you can forge objects out of your own flesh and magical energy. From simpl"&amp;"e tentacle ropes to bind your victims while you ravish them to a vast fortress of flesh and bone to house your armies and your harem of slaves, you can craft anything you can imagine through flesh sculpting and magical power, though the larger and more co"&amp;"mplicated your creations are the more strenuous they are to build. A creation as simple as tentacle ropes would be totally effortless and instantaneous even for a very weak injuu, but for a mighty demon king even an entire castle could be created almost o"&amp;"ut of thin air. Further, these organic creations are still your flesh and blood and respond to your will as if they were still part of your body, though once given a defined form and structure they can no longer change shape quite as freely outside of the"&amp;"ir designed roles.")</f>
        <v>Injuu have no use for human technology but that doesn’t mean they’re incapable of building things should the need ever arise. Your shapeshifting prowess has reached the level where you can forge objects out of your own flesh and magical energy. From simple tentacle ropes to bind your victims while you ravish them to a vast fortress of flesh and bone to house your armies and your harem of slaves, you can craft anything you can imagine through flesh sculpting and magical power, though the larger and more complicated your creations are the more strenuous they are to build. A creation as simple as tentacle ropes would be totally effortless and instantaneous even for a very weak injuu, but for a mighty demon king even an entire castle could be created almost out of thin air. Further, these organic creations are still your flesh and blood and respond to your will as if they were still part of your body, though once given a defined form and structure they can no longer change shape quite as freely outside of their designed roles.</v>
      </c>
      <c r="I75" s="5"/>
    </row>
    <row r="76" spans="1:9" ht="87" x14ac:dyDescent="0.25">
      <c r="A76" s="16"/>
      <c r="B76" s="17">
        <v>72</v>
      </c>
      <c r="C76" s="2" t="b">
        <f ca="1">IFERROR(__xludf.DUMMYFUNCTION("""COMPUTED_VALUE"""),FALSE)</f>
        <v>0</v>
      </c>
      <c r="D76" s="2">
        <f ca="1">IFERROR(__xludf.DUMMYFUNCTION("""COMPUTED_VALUE"""),400)</f>
        <v>400</v>
      </c>
      <c r="E76" s="2" t="str">
        <f ca="1">IFERROR(__xludf.DUMMYFUNCTION("""COMPUTED_VALUE"""),"Urahara's Shady Drugs")</f>
        <v>Urahara's Shady Drugs</v>
      </c>
      <c r="F76" s="2" t="str">
        <f ca="1">IFERROR(__xludf.DUMMYFUNCTION("""COMPUTED_VALUE"""),"Aki-Akane")</f>
        <v>Aki-Akane</v>
      </c>
      <c r="G76" s="2" t="str">
        <f ca="1">IFERROR(__xludf.DUMMYFUNCTION("""COMPUTED_VALUE"""),"Transformation")</f>
        <v>Transformation</v>
      </c>
      <c r="H76" s="2" t="str">
        <f ca="1">IFERROR(__xludf.DUMMYFUNCTION("""COMPUTED_VALUE"""),"And here we go, whatever method Yoruichi used to grant Orihime, Tatsuki, Soi Fon, and herself dicks is buried in this pile of drugs. Also the one that gave them balls, which doubles as a sensitivity enhancer. Also a number of actual medicines, albeit ones"&amp;" a normal doctor would never prescribe. Lucky you, having a mad scientist for a roommate. Most of this will resupply itself after a few days, but the more wacky stuff could take weeks or months to get more of.")</f>
        <v>And here we go, whatever method Yoruichi used to grant Orihime, Tatsuki, Soi Fon, and herself dicks is buried in this pile of drugs. Also the one that gave them balls, which doubles as a sensitivity enhancer. Also a number of actual medicines, albeit ones a normal doctor would never prescribe. Lucky you, having a mad scientist for a roommate. Most of this will resupply itself after a few days, but the more wacky stuff could take weeks or months to get more of.</v>
      </c>
      <c r="I76" s="5"/>
    </row>
    <row r="77" spans="1:9" ht="87" x14ac:dyDescent="0.25">
      <c r="A77" s="16"/>
      <c r="B77" s="17">
        <v>73</v>
      </c>
      <c r="C77" s="2" t="b">
        <f ca="1">IFERROR(__xludf.DUMMYFUNCTION("""COMPUTED_VALUE"""),FALSE)</f>
        <v>0</v>
      </c>
      <c r="D77" s="2">
        <f ca="1">IFERROR(__xludf.DUMMYFUNCTION("""COMPUTED_VALUE"""),400)</f>
        <v>400</v>
      </c>
      <c r="E77" s="2" t="str">
        <f ca="1">IFERROR(__xludf.DUMMYFUNCTION("""COMPUTED_VALUE"""),"Xchange Virus")</f>
        <v>Xchange Virus</v>
      </c>
      <c r="F77" s="2" t="str">
        <f ca="1">IFERROR(__xludf.DUMMYFUNCTION("""COMPUTED_VALUE"""),"Generic: Hentai Modern")</f>
        <v>Generic: Hentai Modern</v>
      </c>
      <c r="G77" s="2" t="str">
        <f ca="1">IFERROR(__xludf.DUMMYFUNCTION("""COMPUTED_VALUE"""),"Transformation")</f>
        <v>Transformation</v>
      </c>
      <c r="H77" s="2" t="str">
        <f ca="1">IFERROR(__xludf.DUMMYFUNCTION("""COMPUTED_VALUE"""),"A strange virus that genderbends the recipient within a few days. Or, rather, getting genderbent is somehow the cure. How this is pulled off, I have no idea. They come in a nondescript briefcase with ten vials inside. There’s ten vials, six pink, three pu"&amp;"rple, and one white. The pinks swap genders, the purples cause futa, and the white acts as a counteragent. All of them will respawn once per month unless they haven’t been used. None of them are contagious.")</f>
        <v>A strange virus that genderbends the recipient within a few days. Or, rather, getting genderbent is somehow the cure. How this is pulled off, I have no idea. They come in a nondescript briefcase with ten vials inside. There’s ten vials, six pink, three purple, and one white. The pinks swap genders, the purples cause futa, and the white acts as a counteragent. All of them will respawn once per month unless they haven’t been used. None of them are contagious.</v>
      </c>
      <c r="I77" s="5"/>
    </row>
    <row r="78" spans="1:9" ht="69.599999999999994" x14ac:dyDescent="0.25">
      <c r="A78" s="16"/>
      <c r="B78" s="17">
        <v>74</v>
      </c>
      <c r="C78" s="2" t="b">
        <f ca="1">IFERROR(__xludf.DUMMYFUNCTION("""COMPUTED_VALUE"""),FALSE)</f>
        <v>0</v>
      </c>
      <c r="D78" s="2">
        <f ca="1">IFERROR(__xludf.DUMMYFUNCTION("""COMPUTED_VALUE"""),500)</f>
        <v>500</v>
      </c>
      <c r="E78" s="2" t="str">
        <f ca="1">IFERROR(__xludf.DUMMYFUNCTION("""COMPUTED_VALUE"""),"Bigger on the Inside")</f>
        <v>Bigger on the Inside</v>
      </c>
      <c r="F78" s="2" t="str">
        <f ca="1">IFERROR(__xludf.DUMMYFUNCTION("""COMPUTED_VALUE"""),"Generic: Lewd Science Fiction")</f>
        <v>Generic: Lewd Science Fiction</v>
      </c>
      <c r="G78" s="2" t="str">
        <f ca="1">IFERROR(__xludf.DUMMYFUNCTION("""COMPUTED_VALUE"""),"Transformation")</f>
        <v>Transformation</v>
      </c>
      <c r="H78" s="2" t="str">
        <f ca="1">IFERROR(__xludf.DUMMYFUNCTION("""COMPUTED_VALUE"""),"You have remarkable control of your body’s dimensions and scale. From shrinking to fit inside someone’s mouth to growing large enough to swallow someone whole, you can also affect various parts of you piecemeal – to fit an outrageously huge tentacle in a "&amp;"very tight hole or make a small part of you fill up all available space.")</f>
        <v>You have remarkable control of your body’s dimensions and scale. From shrinking to fit inside someone’s mouth to growing large enough to swallow someone whole, you can also affect various parts of you piecemeal – to fit an outrageously huge tentacle in a very tight hole or make a small part of you fill up all available space.</v>
      </c>
      <c r="I78" s="5"/>
    </row>
    <row r="79" spans="1:9" ht="156.6" x14ac:dyDescent="0.25">
      <c r="A79" s="16"/>
      <c r="B79" s="17">
        <v>75</v>
      </c>
      <c r="C79" s="2" t="b">
        <f ca="1">IFERROR(__xludf.DUMMYFUNCTION("""COMPUTED_VALUE"""),FALSE)</f>
        <v>0</v>
      </c>
      <c r="D79" s="2">
        <f ca="1">IFERROR(__xludf.DUMMYFUNCTION("""COMPUTED_VALUE"""),500)</f>
        <v>500</v>
      </c>
      <c r="E79" s="2" t="str">
        <f ca="1">IFERROR(__xludf.DUMMYFUNCTION("""COMPUTED_VALUE"""),"Clone App")</f>
        <v>Clone App</v>
      </c>
      <c r="F79" s="2" t="str">
        <f ca="1">IFERROR(__xludf.DUMMYFUNCTION("""COMPUTED_VALUE"""),"Generic: Lewd School")</f>
        <v>Generic: Lewd School</v>
      </c>
      <c r="G79" s="2" t="str">
        <f ca="1">IFERROR(__xludf.DUMMYFUNCTION("""COMPUTED_VALUE"""),"Transformation")</f>
        <v>Transformation</v>
      </c>
      <c r="H79" s="2" t="str">
        <f ca="1">IFERROR(__xludf.DUMMYFUNCTION("""COMPUTED_VALUE"""),"What’s this? The person of your dreams is already dating someone and cheating isn’t your fetish? Then you need the handy, dandy Clone App. Simply snap their picture. Then, when you are alone, hit clone. Their clone will appear, completely naked, a foot in"&amp;" front of you. This clone will have all of the person’s memories at the time you took their picture, and will act like they would. However, it will not have any supernatural or superhuman abilities and will only last four hours. If you clone them again, t"&amp;"hey will have reset to when you took the picture, your previous encounter having no effect on them Not enough for you? Well, that’s where the slide bars come in. With these, you can adjust the clones arousal, sensitivity, submissiveness and willingness. C"&amp;"omes with complementary smartphone if you don't have one.")</f>
        <v>What’s this? The person of your dreams is already dating someone and cheating isn’t your fetish? Then you need the handy, dandy Clone App. Simply snap their picture. Then, when you are alone, hit clone. Their clone will appear, completely naked, a foot in front of you. This clone will have all of the person’s memories at the time you took their picture, and will act like they would. However, it will not have any supernatural or superhuman abilities and will only last four hours. If you clone them again, they will have reset to when you took the picture, your previous encounter having no effect on them Not enough for you? Well, that’s where the slide bars come in. With these, you can adjust the clones arousal, sensitivity, submissiveness and willingness. Comes with complementary smartphone if you don't have one.</v>
      </c>
      <c r="I79" s="5"/>
    </row>
    <row r="80" spans="1:9" ht="191.4" x14ac:dyDescent="0.25">
      <c r="A80" s="16"/>
      <c r="B80" s="17">
        <v>76</v>
      </c>
      <c r="C80" s="2" t="b">
        <f ca="1">IFERROR(__xludf.DUMMYFUNCTION("""COMPUTED_VALUE"""),FALSE)</f>
        <v>0</v>
      </c>
      <c r="D80" s="2">
        <f ca="1">IFERROR(__xludf.DUMMYFUNCTION("""COMPUTED_VALUE"""),500)</f>
        <v>500</v>
      </c>
      <c r="E80" s="2" t="str">
        <f ca="1">IFERROR(__xludf.DUMMYFUNCTION("""COMPUTED_VALUE"""),"Genetic Modifications")</f>
        <v>Genetic Modifications</v>
      </c>
      <c r="F80" s="2" t="str">
        <f ca="1">IFERROR(__xludf.DUMMYFUNCTION("""COMPUTED_VALUE"""),"The Otaku in 2200 AD")</f>
        <v>The Otaku in 2200 AD</v>
      </c>
      <c r="G80" s="2" t="str">
        <f ca="1">IFERROR(__xludf.DUMMYFUNCTION("""COMPUTED_VALUE"""),"Transformation")</f>
        <v>Transformation</v>
      </c>
      <c r="H80" s="2" t="str">
        <f ca="1">IFERROR(__xludf.DUMMYFUNCTION("""COMPUTED_VALUE"""),"O-Bio has achieved superlative mastery of the biological sciences, and modifying your body is something the people of O-Bio can get done both cheaply and easily. You have the know-how to perform the genetic modifications your city is known for. You can gi"&amp;"ve people extra boobs, give them a longer tongue, extra limbs, hips that vibrate, three clitorises, a tail, gills, self-binding bondage thread emitters... you can even give women a replica penis, which is incapable of producing semen but allows a woman to"&amp;" experience sexual pleasure at 12 times the heights men normally reach through sex.
You also know how to create human-animal hybrids, and receive sufficient biological and genetic knowledge on each new jump to adjust your techniques to work on species o"&amp;"ther than humans or Earth animals.")</f>
        <v>O-Bio has achieved superlative mastery of the biological sciences, and modifying your body is something the people of O-Bio can get done both cheaply and easily. You have the know-how to perform the genetic modifications your city is known for. You can give people extra boobs, give them a longer tongue, extra limbs, hips that vibrate, three clitorises, a tail, gills, self-binding bondage thread emitters... you can even give women a replica penis, which is incapable of producing semen but allows a woman to experience sexual pleasure at 12 times the heights men normally reach through sex.
You also know how to create human-animal hybrids, and receive sufficient biological and genetic knowledge on each new jump to adjust your techniques to work on species other than humans or Earth animals.</v>
      </c>
      <c r="I80" s="5"/>
    </row>
    <row r="81" spans="1:9" ht="104.4" x14ac:dyDescent="0.25">
      <c r="A81" s="16"/>
      <c r="B81" s="17">
        <v>77</v>
      </c>
      <c r="C81" s="2" t="b">
        <f ca="1">IFERROR(__xludf.DUMMYFUNCTION("""COMPUTED_VALUE"""),FALSE)</f>
        <v>0</v>
      </c>
      <c r="D81" s="2">
        <f ca="1">IFERROR(__xludf.DUMMYFUNCTION("""COMPUTED_VALUE"""),500)</f>
        <v>500</v>
      </c>
      <c r="E81" s="2" t="str">
        <f ca="1">IFERROR(__xludf.DUMMYFUNCTION("""COMPUTED_VALUE"""),"Good Genes Bad Genes")</f>
        <v>Good Genes Bad Genes</v>
      </c>
      <c r="F81" s="2" t="str">
        <f ca="1">IFERROR(__xludf.DUMMYFUNCTION("""COMPUTED_VALUE"""),"Prina the Dungeoneering Princess")</f>
        <v>Prina the Dungeoneering Princess</v>
      </c>
      <c r="G81" s="2" t="str">
        <f ca="1">IFERROR(__xludf.DUMMYFUNCTION("""COMPUTED_VALUE"""),"Transformation")</f>
        <v>Transformation</v>
      </c>
      <c r="H81" s="2" t="str">
        <f ca="1">IFERROR(__xludf.DUMMYFUNCTION("""COMPUTED_VALUE"""),"While Pridis’ experiment with the Goddess Vase went horribly wrong, you appear to have learned from her mistake and done something even better. You can now declare anyone to have - and to have always had - a twin sibling that is their perfect equal and op"&amp;"posite. Now, any power they might have is split in half, but the distribution isn’t nearly as unbalanced as Prina and Prelude. As a result, they’re both beautiful and actually get along. On top of that, while their individual power is cut in half, it soar"&amp;"s to three times the original value when fully working together.")</f>
        <v>While Pridis’ experiment with the Goddess Vase went horribly wrong, you appear to have learned from her mistake and done something even better. You can now declare anyone to have - and to have always had - a twin sibling that is their perfect equal and opposite. Now, any power they might have is split in half, but the distribution isn’t nearly as unbalanced as Prina and Prelude. As a result, they’re both beautiful and actually get along. On top of that, while their individual power is cut in half, it soars to three times the original value when fully working together.</v>
      </c>
      <c r="I81" s="5"/>
    </row>
    <row r="82" spans="1:9" ht="104.4" x14ac:dyDescent="0.25">
      <c r="A82" s="16"/>
      <c r="B82" s="17">
        <v>78</v>
      </c>
      <c r="C82" s="2" t="b">
        <f ca="1">IFERROR(__xludf.DUMMYFUNCTION("""COMPUTED_VALUE"""),FALSE)</f>
        <v>0</v>
      </c>
      <c r="D82" s="2">
        <f ca="1">IFERROR(__xludf.DUMMYFUNCTION("""COMPUTED_VALUE"""),500)</f>
        <v>500</v>
      </c>
      <c r="E82" s="2" t="str">
        <f ca="1">IFERROR(__xludf.DUMMYFUNCTION("""COMPUTED_VALUE"""),"I Can Take any Form")</f>
        <v>I Can Take any Form</v>
      </c>
      <c r="F82" s="2" t="str">
        <f ca="1">IFERROR(__xludf.DUMMYFUNCTION("""COMPUTED_VALUE"""),"Defiler Wings")</f>
        <v>Defiler Wings</v>
      </c>
      <c r="G82" s="2" t="str">
        <f ca="1">IFERROR(__xludf.DUMMYFUNCTION("""COMPUTED_VALUE"""),"Transformation")</f>
        <v>Transformation</v>
      </c>
      <c r="H82" s="2" t="str">
        <f ca="1">IFERROR(__xludf.DUMMYFUNCTION("""COMPUTED_VALUE"""),"The Mistress, when rewarding her children, would alter her body to something more pleasing to them. Some chose a human(ish) woman, others chose a dragon-girl. You can now, to a limited extent anyways, USE the genetic material you have collected inside you"&amp;"rself. These forms are powerful, make no mistake, but you would need a bucket full to maintain the transformation for a day, and I’m not sure your body can hold that much. In addition, you might find using the powers granted by your sexual exploits to be "&amp;"difficult at first, though that can easily be fixed by round two.")</f>
        <v>The Mistress, when rewarding her children, would alter her body to something more pleasing to them. Some chose a human(ish) woman, others chose a dragon-girl. You can now, to a limited extent anyways, USE the genetic material you have collected inside yourself. These forms are powerful, make no mistake, but you would need a bucket full to maintain the transformation for a day, and I’m not sure your body can hold that much. In addition, you might find using the powers granted by your sexual exploits to be difficult at first, though that can easily be fixed by round two.</v>
      </c>
      <c r="I82" s="5"/>
    </row>
    <row r="83" spans="1:9" ht="104.4" x14ac:dyDescent="0.25">
      <c r="A83" s="16"/>
      <c r="B83" s="17">
        <v>79</v>
      </c>
      <c r="C83" s="2" t="b">
        <f ca="1">IFERROR(__xludf.DUMMYFUNCTION("""COMPUTED_VALUE"""),FALSE)</f>
        <v>0</v>
      </c>
      <c r="D83" s="2">
        <f ca="1">IFERROR(__xludf.DUMMYFUNCTION("""COMPUTED_VALUE"""),500)</f>
        <v>500</v>
      </c>
      <c r="E83" s="2" t="str">
        <f ca="1">IFERROR(__xludf.DUMMYFUNCTION("""COMPUTED_VALUE"""),"Pokemaker-balls")</f>
        <v>Pokemaker-balls</v>
      </c>
      <c r="F83" s="2" t="str">
        <f ca="1">IFERROR(__xludf.DUMMYFUNCTION("""COMPUTED_VALUE"""),"Pokemon Ecchi Version")</f>
        <v>Pokemon Ecchi Version</v>
      </c>
      <c r="G83" s="2" t="str">
        <f ca="1">IFERROR(__xludf.DUMMYFUNCTION("""COMPUTED_VALUE"""),"Transformation")</f>
        <v>Transformation</v>
      </c>
      <c r="H83" s="2" t="str">
        <f ca="1">IFERROR(__xludf.DUMMYFUNCTION("""COMPUTED_VALUE"""),"You get five pokeballs with a few special properties: if they fail a capture, they don't break; they are able to capture any creature that is sufficently 'pokemon like'; and if your world doesn't have pokemon, you can capture normal animals/objects and th"&amp;"ey will be transformed into appropriate pokemon over the next week.
These items do not regenerate when used.")</f>
        <v>You get five pokeballs with a few special properties: if they fail a capture, they don't break; they are able to capture any creature that is sufficently 'pokemon like'; and if your world doesn't have pokemon, you can capture normal animals/objects and they will be transformed into appropriate pokemon over the next week.
These items do not regenerate when used.</v>
      </c>
      <c r="I83" s="5"/>
    </row>
    <row r="84" spans="1:9" ht="348" x14ac:dyDescent="0.25">
      <c r="A84" s="16"/>
      <c r="B84" s="17">
        <v>80</v>
      </c>
      <c r="C84" s="2" t="b">
        <f ca="1">IFERROR(__xludf.DUMMYFUNCTION("""COMPUTED_VALUE"""),FALSE)</f>
        <v>0</v>
      </c>
      <c r="D84" s="2">
        <f ca="1">IFERROR(__xludf.DUMMYFUNCTION("""COMPUTED_VALUE"""),500)</f>
        <v>500</v>
      </c>
      <c r="E84" s="2" t="str">
        <f ca="1">IFERROR(__xludf.DUMMYFUNCTION("""COMPUTED_VALUE"""),"Shrinkage")</f>
        <v>Shrinkage</v>
      </c>
      <c r="F84" s="2" t="str">
        <f ca="1">IFERROR(__xludf.DUMMYFUNCTION("""COMPUTED_VALUE"""),"TSF World")</f>
        <v>TSF World</v>
      </c>
      <c r="G84" s="2" t="str">
        <f ca="1">IFERROR(__xludf.DUMMYFUNCTION("""COMPUTED_VALUE"""),"Transformation")</f>
        <v>Transformation</v>
      </c>
      <c r="H84" s="2" t="str">
        <f ca="1">IFERROR(__xludf.DUMMYFUNCTION("""COMPUTED_VALUE"""),"This is certainly one of the more interesting types of possession abilities and one that involves no small amount of work on your own part. You are capable of shrinking your body until it is no bigger than a finger. At this point, you can then attempt to "&amp;"reach your target. By entering into their body, either via the mouth, the ear, or other entrances, you will soon find yourself miraculously in control of their body. While in control of their body you are nonetheless still in control of your own miniature"&amp;" one inside of them, and can continue to move it around inside their body at your leisure.
Of course, smaller creatures are naturally more susceptible to damage. Kicking a rat is always going to do more than kicking an elephant. The same should hold true"&amp;" for you when shrinking. But for some reason the universe has gotten a bit muddled. As you shrink smaller, your speed and durability will actually increase. At minimum height you'll be several times faster and hardier than normal. The chances of your targ"&amp;"et blocking you or hurting you when you go after them will drop significantly.
A more visceral and physical takeover, when you shrink down in size, you take the form of a small parasitic creature of some kind. It could be a snake, a bug, an eel, or somet"&amp;"hing else. Either way, when entering into the body you are capable of taking over your host using your biological abilities. This usually involves hooking up to the nervous system or brain. Like some other options, this kind of physical presence within th"&amp;"eir body allows you a greater degree of control over aspects of it. You have root access to their brain, and can mess with it as you wish.")</f>
        <v>This is certainly one of the more interesting types of possession abilities and one that involves no small amount of work on your own part. You are capable of shrinking your body until it is no bigger than a finger. At this point, you can then attempt to reach your target. By entering into their body, either via the mouth, the ear, or other entrances, you will soon find yourself miraculously in control of their body. While in control of their body you are nonetheless still in control of your own miniature one inside of them, and can continue to move it around inside their body at your leisure.
Of course, smaller creatures are naturally more susceptible to damage. Kicking a rat is always going to do more than kicking an elephant. The same should hold true for you when shrinking. But for some reason the universe has gotten a bit muddled. As you shrink smaller, your speed and durability will actually increase. At minimum height you'll be several times faster and hardier than normal. The chances of your target blocking you or hurting you when you go after them will drop significantly.
A more visceral and physical takeover, when you shrink down in size, you take the form of a small parasitic creature of some kind. It could be a snake, a bug, an eel, or something else. Either way, when entering into the body you are capable of taking over your host using your biological abilities. This usually involves hooking up to the nervous system or brain. Like some other options, this kind of physical presence within their body allows you a greater degree of control over aspects of it. You have root access to their brain, and can mess with it as you wish.</v>
      </c>
      <c r="I84" s="5"/>
    </row>
    <row r="85" spans="1:9" ht="139.19999999999999" x14ac:dyDescent="0.25">
      <c r="A85" s="16"/>
      <c r="B85" s="17">
        <v>81</v>
      </c>
      <c r="C85" s="2" t="b">
        <f ca="1">IFERROR(__xludf.DUMMYFUNCTION("""COMPUTED_VALUE"""),FALSE)</f>
        <v>0</v>
      </c>
      <c r="D85" s="2">
        <f ca="1">IFERROR(__xludf.DUMMYFUNCTION("""COMPUTED_VALUE"""),500)</f>
        <v>500</v>
      </c>
      <c r="E85" s="2" t="str">
        <f ca="1">IFERROR(__xludf.DUMMYFUNCTION("""COMPUTED_VALUE"""),"Super Crown")</f>
        <v>Super Crown</v>
      </c>
      <c r="F85" s="2" t="str">
        <f ca="1">IFERROR(__xludf.DUMMYFUNCTION("""COMPUTED_VALUE"""),"Smash Bros XXXtreme")</f>
        <v>Smash Bros XXXtreme</v>
      </c>
      <c r="G85" s="2" t="str">
        <f ca="1">IFERROR(__xludf.DUMMYFUNCTION("""COMPUTED_VALUE"""),"Transformation")</f>
        <v>Transformation</v>
      </c>
      <c r="H85" s="2" t="str">
        <f ca="1">IFERROR(__xludf.DUMMYFUNCTION("""COMPUTED_VALUE"""),"You might have been wondering why the Futashroom from earlier wasn’t capable of turning a man into a futa, even though it was fully capable of turning a woman into a futa. Well, I have no idea. Something about more power needed for more changes beyond a s"&amp;"imple ‘+dick’. But, there is a way to turn a man into a woman, and it’s this. The Super Crown. Well, honestly, it’s more like turn ANYTHING into a woman, specifically into a princess themed woman. Mostly Princess Peach themed, but there’s a decent amount "&amp;"of variation depending on the source material. Like another Super Crown. Beyond it’s amazing transformative properties, it has the interesting side effect of terrifying any normal woman who lays eyes upon it. No idea why, they’re already women after all.")</f>
        <v>You might have been wondering why the Futashroom from earlier wasn’t capable of turning a man into a futa, even though it was fully capable of turning a woman into a futa. Well, I have no idea. Something about more power needed for more changes beyond a simple ‘+dick’. But, there is a way to turn a man into a woman, and it’s this. The Super Crown. Well, honestly, it’s more like turn ANYTHING into a woman, specifically into a princess themed woman. Mostly Princess Peach themed, but there’s a decent amount of variation depending on the source material. Like another Super Crown. Beyond it’s amazing transformative properties, it has the interesting side effect of terrifying any normal woman who lays eyes upon it. No idea why, they’re already women after all.</v>
      </c>
      <c r="I85" s="5"/>
    </row>
    <row r="86" spans="1:9" ht="104.4" x14ac:dyDescent="0.25">
      <c r="A86" s="16"/>
      <c r="B86" s="17">
        <v>82</v>
      </c>
      <c r="C86" s="2" t="b">
        <f ca="1">IFERROR(__xludf.DUMMYFUNCTION("""COMPUTED_VALUE"""),FALSE)</f>
        <v>0</v>
      </c>
      <c r="D86" s="2">
        <f ca="1">IFERROR(__xludf.DUMMYFUNCTION("""COMPUTED_VALUE"""),500)</f>
        <v>500</v>
      </c>
      <c r="E86" s="2" t="str">
        <f ca="1">IFERROR(__xludf.DUMMYFUNCTION("""COMPUTED_VALUE"""),"Unforseen Side Effects")</f>
        <v>Unforseen Side Effects</v>
      </c>
      <c r="F86" s="2" t="str">
        <f ca="1">IFERROR(__xludf.DUMMYFUNCTION("""COMPUTED_VALUE"""),"Aki-Akane")</f>
        <v>Aki-Akane</v>
      </c>
      <c r="G86" s="2" t="str">
        <f ca="1">IFERROR(__xludf.DUMMYFUNCTION("""COMPUTED_VALUE"""),"Transformation")</f>
        <v>Transformation</v>
      </c>
      <c r="H86" s="2" t="str">
        <f ca="1">IFERROR(__xludf.DUMMYFUNCTION("""COMPUTED_VALUE"""),"That you could not have predicted, no sir, there’s no way you could possibly have known which potential side effect would be the one to come true… Which is to say of course, that you’ve figured out some method of screwing with the various drugs and ‘medic"&amp;"ines’ that you somehow got your hands on and managed to alter them to that their side effects only include sexy things. Don’t ask me what it is, just know that you can take some pills with a potential side effects of ‘mild headache or nausea’ and turn tha"&amp;"t into ‘mild boner and arousal’. Or ‘grow a futa dick and go up two cup sizes’.")</f>
        <v>That you could not have predicted, no sir, there’s no way you could possibly have known which potential side effect would be the one to come true… Which is to say of course, that you’ve figured out some method of screwing with the various drugs and ‘medicines’ that you somehow got your hands on and managed to alter them to that their side effects only include sexy things. Don’t ask me what it is, just know that you can take some pills with a potential side effects of ‘mild headache or nausea’ and turn that into ‘mild boner and arousal’. Or ‘grow a futa dick and go up two cup sizes’.</v>
      </c>
      <c r="I86" s="5"/>
    </row>
    <row r="87" spans="1:9" ht="313.2" x14ac:dyDescent="0.25">
      <c r="A87" s="16"/>
      <c r="B87" s="17">
        <v>83</v>
      </c>
      <c r="C87" s="2" t="b">
        <f ca="1">IFERROR(__xludf.DUMMYFUNCTION("""COMPUTED_VALUE"""),FALSE)</f>
        <v>0</v>
      </c>
      <c r="D87" s="2">
        <f ca="1">IFERROR(__xludf.DUMMYFUNCTION("""COMPUTED_VALUE"""),500)</f>
        <v>500</v>
      </c>
      <c r="E87" s="2" t="str">
        <f ca="1">IFERROR(__xludf.DUMMYFUNCTION("""COMPUTED_VALUE"""),"Untainted")</f>
        <v>Untainted</v>
      </c>
      <c r="F87" s="2" t="str">
        <f ca="1">IFERROR(__xludf.DUMMYFUNCTION("""COMPUTED_VALUE"""),"Trials In Tainted Space")</f>
        <v>Trials In Tainted Space</v>
      </c>
      <c r="G87" s="2" t="str">
        <f ca="1">IFERROR(__xludf.DUMMYFUNCTION("""COMPUTED_VALUE"""),"Transformation")</f>
        <v>Transformation</v>
      </c>
      <c r="H87" s="2" t="str">
        <f ca="1">IFERROR(__xludf.DUMMYFUNCTION("""COMPUTED_VALUE"""),"Okay so fuck the entire premise of the setting apparently. Genetic damage from overdosing on weird TF's? Scarf them down! Brainwashing rays? Ooo~ Pretty lights! Ultra Sonic Mind Control? This is my jam! Psychic Alien fucking your brain meats? Kinky! 
You"&amp;" can easily shrug off the effects of physical and mental alterations, and even the main effects themselves if you want! This can even work on recreational drugs with nasty side effects such as LSD or Cigarettes, and if you want to enjoy those side effects"&amp;"? Then good for you, because you can set a timer! Want to be a genuine brainwashed slut for a few hours and then go back to normal after? Go wild! Want to get genetically altered into a Bimbo Badger with a massive dick? Go nuts! Once the timer's set, all "&amp;"changes that occurred while it was on will revert. So if someone tries to be a tricky dicky and turn you into a bimbo slut and then mind control you in an attempt to get your slutty, bimbo self to make it permanent they'll be shit out of luck cause the ad"&amp;"ult will come back no matter how much they tried to corrupt the child! 
No, this doesn't work on fire or direct physical harm, that'd be dumb. It only counts if the main intent of the drug or technological/psychic/soul effect was to alter your mind and b"&amp;"ody. If they're trying to psychically turn your brain into paste then better get a tin foil cap because that'll protect you better than this will.")</f>
        <v>Okay so fuck the entire premise of the setting apparently. Genetic damage from overdosing on weird TF's? Scarf them down! Brainwashing rays? Ooo~ Pretty lights! Ultra Sonic Mind Control? This is my jam! Psychic Alien fucking your brain meats? Kinky! 
You can easily shrug off the effects of physical and mental alterations, and even the main effects themselves if you want! This can even work on recreational drugs with nasty side effects such as LSD or Cigarettes, and if you want to enjoy those side effects? Then good for you, because you can set a timer! Want to be a genuine brainwashed slut for a few hours and then go back to normal after? Go wild! Want to get genetically altered into a Bimbo Badger with a massive dick? Go nuts! Once the timer's set, all changes that occurred while it was on will revert. So if someone tries to be a tricky dicky and turn you into a bimbo slut and then mind control you in an attempt to get your slutty, bimbo self to make it permanent they'll be shit out of luck cause the adult will come back no matter how much they tried to corrupt the child! 
No, this doesn't work on fire or direct physical harm, that'd be dumb. It only counts if the main intent of the drug or technological/psychic/soul effect was to alter your mind and body. If they're trying to psychically turn your brain into paste then better get a tin foil cap because that'll protect you better than this will.</v>
      </c>
      <c r="I87" s="5"/>
    </row>
    <row r="88" spans="1:9" ht="243.6" x14ac:dyDescent="0.25">
      <c r="A88" s="16"/>
      <c r="B88" s="17">
        <v>84</v>
      </c>
      <c r="C88" s="2" t="b">
        <f ca="1">IFERROR(__xludf.DUMMYFUNCTION("""COMPUTED_VALUE"""),FALSE)</f>
        <v>0</v>
      </c>
      <c r="D88" s="2">
        <f ca="1">IFERROR(__xludf.DUMMYFUNCTION("""COMPUTED_VALUE"""),500)</f>
        <v>500</v>
      </c>
      <c r="E88" s="2" t="str">
        <f ca="1">IFERROR(__xludf.DUMMYFUNCTION("""COMPUTED_VALUE"""),"Waifu: The Game")</f>
        <v>Waifu: The Game</v>
      </c>
      <c r="F88" s="2" t="str">
        <f ca="1">IFERROR(__xludf.DUMMYFUNCTION("""COMPUTED_VALUE"""),"Generic: Lewd School")</f>
        <v>Generic: Lewd School</v>
      </c>
      <c r="G88" s="2" t="str">
        <f ca="1">IFERROR(__xludf.DUMMYFUNCTION("""COMPUTED_VALUE"""),"Transformation")</f>
        <v>Transformation</v>
      </c>
      <c r="H88" s="2" t="str">
        <f ca="1">IFERROR(__xludf.DUMMYFUNCTION("""COMPUTED_VALUE"""),"Perfect waifus aren’t born! They are made! Welcome to Waifu: The Game. A fun little platform/puzzle game that lets you import your friends! Simply snap their picture, and the ingame sprite will be replace by one that looks just like them! At the end of ea"&amp;"ch set of levels, you are asked a question on what makes a perfect waifu. Do they have to be able to cook a perfect three course dinner? Or maybe you prefer them to be able to fix any household appliance? What are their perfect measurements? The ingame sp"&amp;"rite will change based on these answers, slowly becoming the waifu of your dreams. 
A special prize is waiting at the end for those lucky enough to beat the game. Watch as your drab old friend is replaced with the one true waifu for you! The one you buil"&amp;"t in the game!
Disclaimer: Waifu the Video Game cannot grant supernatural powers. Waifu the Video Game cannot be held responsible for any nightmares your friends may have of being transformed into your waifu.")</f>
        <v>Perfect waifus aren’t born! They are made! Welcome to Waifu: The Game. A fun little platform/puzzle game that lets you import your friends! Simply snap their picture, and the ingame sprite will be replace by one that looks just like them! At the end of each set of levels, you are asked a question on what makes a perfect waifu. Do they have to be able to cook a perfect three course dinner? Or maybe you prefer them to be able to fix any household appliance? What are their perfect measurements? The ingame sprite will change based on these answers, slowly becoming the waifu of your dreams. 
A special prize is waiting at the end for those lucky enough to beat the game. Watch as your drab old friend is replaced with the one true waifu for you! The one you built in the game!
Disclaimer: Waifu the Video Game cannot grant supernatural powers. Waifu the Video Game cannot be held responsible for any nightmares your friends may have of being transformed into your waifu.</v>
      </c>
      <c r="I88" s="5"/>
    </row>
    <row r="89" spans="1:9" ht="313.2" x14ac:dyDescent="0.25">
      <c r="A89" s="16"/>
      <c r="B89" s="17">
        <v>85</v>
      </c>
      <c r="C89" s="2" t="b">
        <f ca="1">IFERROR(__xludf.DUMMYFUNCTION("""COMPUTED_VALUE"""),FALSE)</f>
        <v>0</v>
      </c>
      <c r="D89" s="2">
        <f ca="1">IFERROR(__xludf.DUMMYFUNCTION("""COMPUTED_VALUE"""),600)</f>
        <v>600</v>
      </c>
      <c r="E89" s="2" t="str">
        <f ca="1">IFERROR(__xludf.DUMMYFUNCTION("""COMPUTED_VALUE"""),"4000 Bottles")</f>
        <v>4000 Bottles</v>
      </c>
      <c r="F89" s="2" t="str">
        <f ca="1">IFERROR(__xludf.DUMMYFUNCTION("""COMPUTED_VALUE"""),"CHC ~ Iro ni Somerarete iku Gakuen")</f>
        <v>CHC ~ Iro ni Somerarete iku Gakuen</v>
      </c>
      <c r="G89" s="2" t="str">
        <f ca="1">IFERROR(__xludf.DUMMYFUNCTION("""COMPUTED_VALUE"""),"Transformation")</f>
        <v>Transformation</v>
      </c>
      <c r="H89" s="2" t="str">
        <f ca="1">IFERROR(__xludf.DUMMYFUNCTION("""COMPUTED_VALUE"""),"You’ve gotten your hands on a copy of the inciting hazard of this whole stupid incident – a number of stacked boxes containing four thousand doses of the experimental hair dye known as CHC. The consequences of drinking just one full dose are immense, thou"&amp;"gh a very small taste will actually just dye one’s hair and slightly alter their skin tone without causing any extreme mental damage. There are six colors: Red causes expansion to the breasts and buttocks, green causes excessive growth to pubic and armpit"&amp;" hair, black results in increased sweating (and white hair), body odor, and pheromones, blue causes lactation, purple causes an increase in musculature which is hidden by a ‘thicc’ layer of fat (especially around the thighs), and yellow causes a transform"&amp;"ation into a futanari – as well as an obsessive fetish for that mutation which enhances the pleasure it brings to the patient. 
Not only will drinking multiple colors blend all of their effects, it has a compounding effect on their libido, sexual sensiti"&amp;"vity, and general mental corruption. Heavily diluted, heavily mixed, or concurrent doses have far less predictable effects when compared to purer ones, but sequential doses mix their effects predictably, with overall priority generally going to the earlie"&amp;"r doses. Being mixed with pure acetone seems to increase its potency greatly, enable absorption through the skin, and overall allow it to rapidly pollute the water supply of an entire school building. Comes with the full recipe for CHC on it.")</f>
        <v>You’ve gotten your hands on a copy of the inciting hazard of this whole stupid incident – a number of stacked boxes containing four thousand doses of the experimental hair dye known as CHC. The consequences of drinking just one full dose are immense, though a very small taste will actually just dye one’s hair and slightly alter their skin tone without causing any extreme mental damage. There are six colors: Red causes expansion to the breasts and buttocks, green causes excessive growth to pubic and armpit hair, black results in increased sweating (and white hair), body odor, and pheromones, blue causes lactation, purple causes an increase in musculature which is hidden by a ‘thicc’ layer of fat (especially around the thighs), and yellow causes a transformation into a futanari – as well as an obsessive fetish for that mutation which enhances the pleasure it brings to the patient. 
Not only will drinking multiple colors blend all of their effects, it has a compounding effect on their libido, sexual sensitivity, and general mental corruption. Heavily diluted, heavily mixed, or concurrent doses have far less predictable effects when compared to purer ones, but sequential doses mix their effects predictably, with overall priority generally going to the earlier doses. Being mixed with pure acetone seems to increase its potency greatly, enable absorption through the skin, and overall allow it to rapidly pollute the water supply of an entire school building. Comes with the full recipe for CHC on it.</v>
      </c>
      <c r="I89" s="5"/>
    </row>
    <row r="90" spans="1:9" ht="121.8" x14ac:dyDescent="0.25">
      <c r="A90" s="16"/>
      <c r="B90" s="17">
        <v>86</v>
      </c>
      <c r="C90" s="2" t="b">
        <f ca="1">IFERROR(__xludf.DUMMYFUNCTION("""COMPUTED_VALUE"""),FALSE)</f>
        <v>0</v>
      </c>
      <c r="D90" s="2">
        <f ca="1">IFERROR(__xludf.DUMMYFUNCTION("""COMPUTED_VALUE"""),600)</f>
        <v>600</v>
      </c>
      <c r="E90" s="2" t="str">
        <f ca="1">IFERROR(__xludf.DUMMYFUNCTION("""COMPUTED_VALUE"""),"Flesh Artist")</f>
        <v>Flesh Artist</v>
      </c>
      <c r="F90" s="2" t="str">
        <f ca="1">IFERROR(__xludf.DUMMYFUNCTION("""COMPUTED_VALUE"""),"Drainage City")</f>
        <v>Drainage City</v>
      </c>
      <c r="G90" s="2" t="str">
        <f ca="1">IFERROR(__xludf.DUMMYFUNCTION("""COMPUTED_VALUE"""),"Transformation")</f>
        <v>Transformation</v>
      </c>
      <c r="H90" s="2" t="str">
        <f ca="1">IFERROR(__xludf.DUMMYFUNCTION("""COMPUTED_VALUE"""),"You are a Flesh Artist, one of the peak members of the medical profession and on the cutting edge of surgery and science in both the city above and below. While you aren't one of the best at engineering new organisms from whole cloth, you can easily do su"&amp;"ch things as resurrecting the recently dead and reshaping them into any matter of pleasure or combat doll, turning the ""leftovers"" from a gender reassignment surgery in two a functioning set of the other reproductive organs and conjoining living beings "&amp;"of different natures and much more. The flesh is your canvas, get creative.")</f>
        <v>You are a Flesh Artist, one of the peak members of the medical profession and on the cutting edge of surgery and science in both the city above and below. While you aren't one of the best at engineering new organisms from whole cloth, you can easily do such things as resurrecting the recently dead and reshaping them into any matter of pleasure or combat doll, turning the "leftovers" from a gender reassignment surgery in two a functioning set of the other reproductive organs and conjoining living beings of different natures and much more. The flesh is your canvas, get creative.</v>
      </c>
      <c r="I90" s="5"/>
    </row>
    <row r="91" spans="1:9" ht="191.4" x14ac:dyDescent="0.25">
      <c r="A91" s="16"/>
      <c r="B91" s="17">
        <v>87</v>
      </c>
      <c r="C91" s="2" t="b">
        <f ca="1">IFERROR(__xludf.DUMMYFUNCTION("""COMPUTED_VALUE"""),FALSE)</f>
        <v>0</v>
      </c>
      <c r="D91" s="2">
        <f ca="1">IFERROR(__xludf.DUMMYFUNCTION("""COMPUTED_VALUE"""),600)</f>
        <v>600</v>
      </c>
      <c r="E91" s="2" t="str">
        <f ca="1">IFERROR(__xludf.DUMMYFUNCTION("""COMPUTED_VALUE"""),"Malleability of the Flesh")</f>
        <v>Malleability of the Flesh</v>
      </c>
      <c r="F91" s="2" t="str">
        <f ca="1">IFERROR(__xludf.DUMMYFUNCTION("""COMPUTED_VALUE"""),"Archangel of Love, Love Mary ~Malignant Conception~")</f>
        <v>Archangel of Love, Love Mary ~Malignant Conception~</v>
      </c>
      <c r="G91" s="2" t="str">
        <f ca="1">IFERROR(__xludf.DUMMYFUNCTION("""COMPUTED_VALUE"""),"Transformation")</f>
        <v>Transformation</v>
      </c>
      <c r="H91" s="2" t="str">
        <f ca="1">IFERROR(__xludf.DUMMYFUNCTION("""COMPUTED_VALUE"""),"The body falls under your control, and you have the power to mold your own body as you see fit. You could create tentacles, grow more cocks, or even reshape your limbs into weapons; as long as it has an organic basis, your body is yours to reshape as you "&amp;"desire. But you aren’t limited to your own body; at your touch, even the flesh of others will bend to your will. The more they resist, the harder it is to work their bodies and the more likely that all you’ll get is a mangled lump of flesh as a result. Bu"&amp;"t if you could get someone to submit to you, such as after raping a boy for days until he agreed to become a girl, you could make fine and precise changes to someone’s body, to the point that you could switch someone’s sex without causing any other physic"&amp;"al complications. This gives you an excellent and intuitive understanding of biology, and allows you to sense the biological makeup of everything in contact with you. You could make changes on the microscopic scale with ease and precision.")</f>
        <v>The body falls under your control, and you have the power to mold your own body as you see fit. You could create tentacles, grow more cocks, or even reshape your limbs into weapons; as long as it has an organic basis, your body is yours to reshape as you desire. But you aren’t limited to your own body; at your touch, even the flesh of others will bend to your will. The more they resist, the harder it is to work their bodies and the more likely that all you’ll get is a mangled lump of flesh as a result. But if you could get someone to submit to you, such as after raping a boy for days until he agreed to become a girl, you could make fine and precise changes to someone’s body, to the point that you could switch someone’s sex without causing any other physical complications. This gives you an excellent and intuitive understanding of biology, and allows you to sense the biological makeup of everything in contact with you. You could make changes on the microscopic scale with ease and precision.</v>
      </c>
      <c r="I91" s="5"/>
    </row>
    <row r="92" spans="1:9" ht="174" x14ac:dyDescent="0.25">
      <c r="A92" s="16"/>
      <c r="B92" s="17">
        <v>88</v>
      </c>
      <c r="C92" s="2" t="b">
        <f ca="1">IFERROR(__xludf.DUMMYFUNCTION("""COMPUTED_VALUE"""),FALSE)</f>
        <v>0</v>
      </c>
      <c r="D92" s="2">
        <f ca="1">IFERROR(__xludf.DUMMYFUNCTION("""COMPUTED_VALUE"""),600)</f>
        <v>600</v>
      </c>
      <c r="E92" s="2" t="str">
        <f ca="1">IFERROR(__xludf.DUMMYFUNCTION("""COMPUTED_VALUE"""),"Pink Bomb")</f>
        <v>Pink Bomb</v>
      </c>
      <c r="F92" s="2" t="str">
        <f ca="1">IFERROR(__xludf.DUMMYFUNCTION("""COMPUTED_VALUE"""),"TSF World")</f>
        <v>TSF World</v>
      </c>
      <c r="G92" s="2" t="str">
        <f ca="1">IFERROR(__xludf.DUMMYFUNCTION("""COMPUTED_VALUE"""),"Transformation")</f>
        <v>Transformation</v>
      </c>
      <c r="H92" s="2" t="str">
        <f ca="1">IFERROR(__xludf.DUMMYFUNCTION("""COMPUTED_VALUE"""),"The final weapon created by a particularly crazy mad scientist. This is, as its name suggests, a bomb. A rather potent one at that. If detonated, the blast radius could cover a significant fraction of a city. But this is a bomb made by a mad scientist. It"&amp;" doesn't explode into flames and death; instead this device releases a wave of pink reality distorting light. This light passes through inorganic matter like it doesn't exist, only targeting organic matter. Having been bullied by men for much of his life,"&amp;" with only a few women who showed concern for him, this scientist decided to do away with men entirely. Everyone hit by this wave of light will be changed instantly into a female version of themselves. Luckily the original scientist was stopped before he "&amp;"could follow through with his plan, sparing the world the chaos that would follow. But now the device is in your hands. What will you do?")</f>
        <v>The final weapon created by a particularly crazy mad scientist. This is, as its name suggests, a bomb. A rather potent one at that. If detonated, the blast radius could cover a significant fraction of a city. But this is a bomb made by a mad scientist. It doesn't explode into flames and death; instead this device releases a wave of pink reality distorting light. This light passes through inorganic matter like it doesn't exist, only targeting organic matter. Having been bullied by men for much of his life, with only a few women who showed concern for him, this scientist decided to do away with men entirely. Everyone hit by this wave of light will be changed instantly into a female version of themselves. Luckily the original scientist was stopped before he could follow through with his plan, sparing the world the chaos that would follow. But now the device is in your hands. What will you do?</v>
      </c>
      <c r="I92" s="5"/>
    </row>
    <row r="93" spans="1:9" ht="139.19999999999999" x14ac:dyDescent="0.25">
      <c r="A93" s="16"/>
      <c r="B93" s="17">
        <v>89</v>
      </c>
      <c r="C93" s="2" t="b">
        <f ca="1">IFERROR(__xludf.DUMMYFUNCTION("""COMPUTED_VALUE"""),FALSE)</f>
        <v>0</v>
      </c>
      <c r="D93" s="2">
        <f ca="1">IFERROR(__xludf.DUMMYFUNCTION("""COMPUTED_VALUE"""),600)</f>
        <v>600</v>
      </c>
      <c r="E93" s="2" t="str">
        <f ca="1">IFERROR(__xludf.DUMMYFUNCTION("""COMPUTED_VALUE"""),"Primera's Blessing")</f>
        <v>Primera's Blessing</v>
      </c>
      <c r="F93" s="2" t="str">
        <f ca="1">IFERROR(__xludf.DUMMYFUNCTION("""COMPUTED_VALUE"""),"Archangel of Love, Love Mary ~Malignant Conception~")</f>
        <v>Archangel of Love, Love Mary ~Malignant Conception~</v>
      </c>
      <c r="G93" s="2" t="str">
        <f ca="1">IFERROR(__xludf.DUMMYFUNCTION("""COMPUTED_VALUE"""),"Transformation")</f>
        <v>Transformation</v>
      </c>
      <c r="H93" s="2" t="str">
        <f ca="1">IFERROR(__xludf.DUMMYFUNCTION("""COMPUTED_VALUE"""),"When Primera saw that she alone was not enough to protect humanity, she saw fit to empower others to fight alongside her — and, as she grew to old age, to fight in her stead. You too possess the ability to bless others with power — specifically, with a ma"&amp;"gical girl-esque transformation. Although you can decide the details of this transformation — you aren’t restricted to it being similar to that of the Archangels of Love. When gifting others with this transformation, you can select a number of your own pe"&amp;"rks and powers. While transformed, the subject has access to these perks at a lower level of power. If you want something more constant than a transformation, you can instead permanently empower them with a single perk or power, still at a lower strength.")</f>
        <v>When Primera saw that she alone was not enough to protect humanity, she saw fit to empower others to fight alongside her — and, as she grew to old age, to fight in her stead. You too possess the ability to bless others with power — specifically, with a magical girl-esque transformation. Although you can decide the details of this transformation — you aren’t restricted to it being similar to that of the Archangels of Love. When gifting others with this transformation, you can select a number of your own perks and powers. While transformed, the subject has access to these perks at a lower level of power. If you want something more constant than a transformation, you can instead permanently empower them with a single perk or power, still at a lower strength.</v>
      </c>
      <c r="I93" s="5"/>
    </row>
    <row r="94" spans="1:9" ht="261" x14ac:dyDescent="0.25">
      <c r="A94" s="16"/>
      <c r="B94" s="17">
        <v>90</v>
      </c>
      <c r="C94" s="2" t="b">
        <f ca="1">IFERROR(__xludf.DUMMYFUNCTION("""COMPUTED_VALUE"""),FALSE)</f>
        <v>0</v>
      </c>
      <c r="D94" s="2">
        <f ca="1">IFERROR(__xludf.DUMMYFUNCTION("""COMPUTED_VALUE"""),600)</f>
        <v>600</v>
      </c>
      <c r="E94" s="2" t="str">
        <f ca="1">IFERROR(__xludf.DUMMYFUNCTION("""COMPUTED_VALUE"""),"Self-Modification")</f>
        <v>Self-Modification</v>
      </c>
      <c r="F94" s="2" t="str">
        <f ca="1">IFERROR(__xludf.DUMMYFUNCTION("""COMPUTED_VALUE"""),"Monster Girl Quest V2")</f>
        <v>Monster Girl Quest V2</v>
      </c>
      <c r="G94" s="2" t="str">
        <f ca="1">IFERROR(__xludf.DUMMYFUNCTION("""COMPUTED_VALUE"""),"Transformation")</f>
        <v>Transformation</v>
      </c>
      <c r="H94" s="2" t="str">
        <f ca="1">IFERROR(__xludf.DUMMYFUNCTION("""COMPUTED_VALUE"""),"How exactly did Promestein modify herself? How did La Croix? I am not sure, but now you can modify yourself too! With just a little preparation and planning you can plan out how to modify your own body. You also gain the awareness related to yourself need"&amp;"ed to make sure you don’t kill yourself with the modifications, giving you a sense of whether the end product will turn out how you desired. It is trivial for you to undo the changes you have wrought upon yourself or to hide the changes if they drasticall"&amp;"y change your physical appearance. If a procedure would normally require certain conditions such as genetic markers you will always count as having them and your augmentations will work as if you are perfectly compatible. Lastly, any cybernetic, bio-organ"&amp;"ic, or genetic augmentations you have do not limit you or cause you weakness, they can only ever add to your power, even if you have a rusty junk arm that should be worse then your regular arm it will be just as effective in terms of strength, speed, dura"&amp;"bility, and for pleasuring others as a natural body part would be and can even be trained like one, you could still have the arm malfunction from electricity but no more than your normal body would. Please note, that you only get these benefits when you a"&amp;"re modifying yourself not others as you have a familiarity with your own body like no one else does. Never be outdone by the best of your creations.")</f>
        <v>How exactly did Promestein modify herself? How did La Croix? I am not sure, but now you can modify yourself too! With just a little preparation and planning you can plan out how to modify your own body. You also gain the awareness related to yourself needed to make sure you don’t kill yourself with the modifications, giving you a sense of whether the end product will turn out how you desired. It is trivial for you to undo the changes you have wrought upon yourself or to hide the changes if they drastically change your physical appearance. If a procedure would normally require certain conditions such as genetic markers you will always count as having them and your augmentations will work as if you are perfectly compatible. Lastly, any cybernetic, bio-organic, or genetic augmentations you have do not limit you or cause you weakness, they can only ever add to your power, even if you have a rusty junk arm that should be worse then your regular arm it will be just as effective in terms of strength, speed, durability, and for pleasuring others as a natural body part would be and can even be trained like one, you could still have the arm malfunction from electricity but no more than your normal body would. Please note, that you only get these benefits when you are modifying yourself not others as you have a familiarity with your own body like no one else does. Never be outdone by the best of your creations.</v>
      </c>
      <c r="I94" s="5"/>
    </row>
    <row r="95" spans="1:9" ht="261" x14ac:dyDescent="0.25">
      <c r="A95" s="16"/>
      <c r="B95" s="17">
        <v>91</v>
      </c>
      <c r="C95" s="2" t="b">
        <f ca="1">IFERROR(__xludf.DUMMYFUNCTION("""COMPUTED_VALUE"""),FALSE)</f>
        <v>0</v>
      </c>
      <c r="D95" s="2">
        <f ca="1">IFERROR(__xludf.DUMMYFUNCTION("""COMPUTED_VALUE"""),600)</f>
        <v>600</v>
      </c>
      <c r="E95" s="2" t="str">
        <f ca="1">IFERROR(__xludf.DUMMYFUNCTION("""COMPUTED_VALUE"""),"Sensual Sculptor")</f>
        <v>Sensual Sculptor</v>
      </c>
      <c r="F95" s="2" t="str">
        <f ca="1">IFERROR(__xludf.DUMMYFUNCTION("""COMPUTED_VALUE"""),"Generic: Monster Fucker/Horny Horror")</f>
        <v>Generic: Monster Fucker/Horny Horror</v>
      </c>
      <c r="G95" s="2" t="str">
        <f ca="1">IFERROR(__xludf.DUMMYFUNCTION("""COMPUTED_VALUE"""),"Transformation")</f>
        <v>Transformation</v>
      </c>
      <c r="H95" s="2" t="str">
        <f ca="1">IFERROR(__xludf.DUMMYFUNCTION("""COMPUTED_VALUE"""),"You have an artistic vision few monsters can claim to share. Through your hands, flesh can be sculpted and shaped. Through your hands, someone may be reborn anew, or become naught but a toy. 
You’ve been granted the power to shape the bodies of anyone or"&amp;" thing you have captive, or consents to such a transformation. Like clay, features of their body may be smoothed out, curved, flattened, or stretched. 
To remove, is as simple as ‘pulling material away,’ and to increase simply requires effort and ‘stamin"&amp;"a’ on your part. Through this you can adjust someone’s height, adjust the size of sexual features, or perform greater alterations. 
You’ve been gifted with great skill with sculpting and wonderfully dexterous hands, so your projects can’t go ‘wrong’ unle"&amp;"ss you intend them too. Sculpting has no inherent danger to it, though may feel alien and uncomfortable to your subject.")</f>
        <v>You have an artistic vision few monsters can claim to share. Through your hands, flesh can be sculpted and shaped. Through your hands, someone may be reborn anew, or become naught but a toy. 
You’ve been granted the power to shape the bodies of anyone or thing you have captive, or consents to such a transformation. Like clay, features of their body may be smoothed out, curved, flattened, or stretched. 
To remove, is as simple as ‘pulling material away,’ and to increase simply requires effort and ‘stamina’ on your part. Through this you can adjust someone’s height, adjust the size of sexual features, or perform greater alterations. 
You’ve been gifted with great skill with sculpting and wonderfully dexterous hands, so your projects can’t go ‘wrong’ unless you intend them too. Sculpting has no inherent danger to it, though may feel alien and uncomfortable to your subject.</v>
      </c>
      <c r="I95" s="5"/>
    </row>
    <row r="96" spans="1:9" ht="243.6" x14ac:dyDescent="0.25">
      <c r="A96" s="16"/>
      <c r="B96" s="17">
        <v>92</v>
      </c>
      <c r="C96" s="2" t="b">
        <f ca="1">IFERROR(__xludf.DUMMYFUNCTION("""COMPUTED_VALUE"""),FALSE)</f>
        <v>0</v>
      </c>
      <c r="D96" s="2">
        <f ca="1">IFERROR(__xludf.DUMMYFUNCTION("""COMPUTED_VALUE"""),600)</f>
        <v>600</v>
      </c>
      <c r="E96" s="2" t="str">
        <f ca="1">IFERROR(__xludf.DUMMYFUNCTION("""COMPUTED_VALUE"""),"Technocytes")</f>
        <v>Technocytes</v>
      </c>
      <c r="F96" s="2" t="str">
        <f ca="1">IFERROR(__xludf.DUMMYFUNCTION("""COMPUTED_VALUE"""),"Mind Control University")</f>
        <v>Mind Control University</v>
      </c>
      <c r="G96" s="2" t="str">
        <f ca="1">IFERROR(__xludf.DUMMYFUNCTION("""COMPUTED_VALUE"""),"Transformation")</f>
        <v>Transformation</v>
      </c>
      <c r="H96" s="2" t="str">
        <f ca="1">IFERROR(__xludf.DUMMYFUNCTION("""COMPUTED_VALUE"""),"Your body becomes host to a rich array of picotechnological technocytes that will increase your body’s physical capabilities so that you’re twice as strong as the world’s strongest man, as well as remove your need to use the restroom. They also serve as a"&amp;"n immune system that will automatically cleanse you of harmful viruses, bacteria, and chemicals, as well as foreign picotech and nanotech.
These tiny machines also rid you of your need to sleep and grant you the ability to shapeshift; neither your mass "&amp;"nor volume can fall below half or reach above twice what they normally are, but the shapes you can take can be incredibly complex, with the only other limit being your imagination.
By kissing someone, you can infect them with your technocytes, granting "&amp;"them the same benefits and/or opening them up to being mind-controlled by the tiny machines, though this is no more or less difficult to defend against than regular picomachinery.
These technocytes are fiat-backed to be unhackable and unsubvertible.")</f>
        <v>Your body becomes host to a rich array of picotechnological technocytes that will increase your body’s physical capabilities so that you’re twice as strong as the world’s strongest man, as well as remove your need to use the restroom. They also serve as an immune system that will automatically cleanse you of harmful viruses, bacteria, and chemicals, as well as foreign picotech and nanotech.
These tiny machines also rid you of your need to sleep and grant you the ability to shapeshift; neither your mass nor volume can fall below half or reach above twice what they normally are, but the shapes you can take can be incredibly complex, with the only other limit being your imagination.
By kissing someone, you can infect them with your technocytes, granting them the same benefits and/or opening them up to being mind-controlled by the tiny machines, though this is no more or less difficult to defend against than regular picomachinery.
These technocytes are fiat-backed to be unhackable and unsubvertible.</v>
      </c>
      <c r="I96" s="5"/>
    </row>
    <row r="97" spans="1:9" ht="156.6" x14ac:dyDescent="0.25">
      <c r="A97" s="16"/>
      <c r="B97" s="17">
        <v>93</v>
      </c>
      <c r="C97" s="2" t="b">
        <f ca="1">IFERROR(__xludf.DUMMYFUNCTION("""COMPUTED_VALUE"""),FALSE)</f>
        <v>0</v>
      </c>
      <c r="D97" s="2">
        <f ca="1">IFERROR(__xludf.DUMMYFUNCTION("""COMPUTED_VALUE"""),600)</f>
        <v>600</v>
      </c>
      <c r="E97" s="2" t="str">
        <f ca="1">IFERROR(__xludf.DUMMYFUNCTION("""COMPUTED_VALUE"""),"The Perfect Safeword")</f>
        <v>The Perfect Safeword</v>
      </c>
      <c r="F97" s="2" t="str">
        <f ca="1">IFERROR(__xludf.DUMMYFUNCTION("""COMPUTED_VALUE"""),"Generic: BDSM")</f>
        <v>Generic: BDSM</v>
      </c>
      <c r="G97" s="2" t="str">
        <f ca="1">IFERROR(__xludf.DUMMYFUNCTION("""COMPUTED_VALUE"""),"Transformation")</f>
        <v>Transformation</v>
      </c>
      <c r="H97" s="2" t="str">
        <f ca="1">IFERROR(__xludf.DUMMYFUNCTION("""COMPUTED_VALUE"""),"Being a lifestyle slave means having no choice in what happens to you, and while usually that’s part of the fantasy sometimes you end up with a case of buyer’s remorse when you get hurled over a line that you failed to imagine might be crossed. For situat"&amp;"ions like that there’s this perk: you have a mental reset button that allows you to undo the effects of anything that’s been done to you, restoring you to your ideal form. You can use this perk automatically if something might otherwise prevent you from u"&amp;"sing it, such as being rendered comatose or brain-dead. Any traumatic memories or corruption or anything of the sort gets packed up into a little box and shoved into a corner of your mind, allowing you to recall the related memories without getting any re"&amp;"lated bad feels mixed in with them. This perk can only be used once per decade.")</f>
        <v>Being a lifestyle slave means having no choice in what happens to you, and while usually that’s part of the fantasy sometimes you end up with a case of buyer’s remorse when you get hurled over a line that you failed to imagine might be crossed. For situations like that there’s this perk: you have a mental reset button that allows you to undo the effects of anything that’s been done to you, restoring you to your ideal form. You can use this perk automatically if something might otherwise prevent you from using it, such as being rendered comatose or brain-dead. Any traumatic memories or corruption or anything of the sort gets packed up into a little box and shoved into a corner of your mind, allowing you to recall the related memories without getting any related bad feels mixed in with them. This perk can only be used once per decade.</v>
      </c>
      <c r="I97" s="5"/>
    </row>
    <row r="98" spans="1:9" ht="104.4" x14ac:dyDescent="0.25">
      <c r="A98" s="16"/>
      <c r="B98" s="17">
        <v>94</v>
      </c>
      <c r="C98" s="2" t="b">
        <f ca="1">IFERROR(__xludf.DUMMYFUNCTION("""COMPUTED_VALUE"""),FALSE)</f>
        <v>0</v>
      </c>
      <c r="D98" s="2">
        <f ca="1">IFERROR(__xludf.DUMMYFUNCTION("""COMPUTED_VALUE"""),600)</f>
        <v>600</v>
      </c>
      <c r="E98" s="2" t="str">
        <f ca="1">IFERROR(__xludf.DUMMYFUNCTION("""COMPUTED_VALUE"""),"White Rabbit")</f>
        <v>White Rabbit</v>
      </c>
      <c r="F98" s="2" t="str">
        <f ca="1">IFERROR(__xludf.DUMMYFUNCTION("""COMPUTED_VALUE"""),"Monster Girl Quest V2")</f>
        <v>Monster Girl Quest V2</v>
      </c>
      <c r="G98" s="2" t="str">
        <f ca="1">IFERROR(__xludf.DUMMYFUNCTION("""COMPUTED_VALUE"""),"Transformation")</f>
        <v>Transformation</v>
      </c>
      <c r="H98" s="2" t="str">
        <f ca="1">IFERROR(__xludf.DUMMYFUNCTION("""COMPUTED_VALUE"""),"You should not have this, this leads to madness and evil. This is a vial containing the concentrated DNA of Alice the First. Imbibing this leads to great power and an affinity boost with darkness, giving this to someone with a particularly strong light el"&amp;"ement could lead to a terrifyingly strong being, capable of wiping the population of most worlds. This invites massive amounts of mutation and horrifyingly could be reproduced by someone with the right knowledge of Monster Girl Biology taking about nine y"&amp;"ears. You only get one vial, don’t lose it.")</f>
        <v>You should not have this, this leads to madness and evil. This is a vial containing the concentrated DNA of Alice the First. Imbibing this leads to great power and an affinity boost with darkness, giving this to someone with a particularly strong light element could lead to a terrifyingly strong being, capable of wiping the population of most worlds. This invites massive amounts of mutation and horrifyingly could be reproduced by someone with the right knowledge of Monster Girl Biology taking about nine years. You only get one vial, don’t lose it.</v>
      </c>
      <c r="I98" s="5"/>
    </row>
    <row r="99" spans="1:9" ht="121.8" x14ac:dyDescent="0.25">
      <c r="A99" s="16"/>
      <c r="B99" s="17">
        <v>95</v>
      </c>
      <c r="C99" s="2" t="b">
        <f ca="1">IFERROR(__xludf.DUMMYFUNCTION("""COMPUTED_VALUE"""),FALSE)</f>
        <v>0</v>
      </c>
      <c r="D99" s="2">
        <f ca="1">IFERROR(__xludf.DUMMYFUNCTION("""COMPUTED_VALUE"""),700)</f>
        <v>700</v>
      </c>
      <c r="E99" s="2" t="str">
        <f ca="1">IFERROR(__xludf.DUMMYFUNCTION("""COMPUTED_VALUE"""),"Gender Reassignment")</f>
        <v>Gender Reassignment</v>
      </c>
      <c r="F99" s="2" t="str">
        <f ca="1">IFERROR(__xludf.DUMMYFUNCTION("""COMPUTED_VALUE"""),"Modded Skyrim")</f>
        <v>Modded Skyrim</v>
      </c>
      <c r="G99" s="2" t="str">
        <f ca="1">IFERROR(__xludf.DUMMYFUNCTION("""COMPUTED_VALUE"""),"Transformation")</f>
        <v>Transformation</v>
      </c>
      <c r="H99" s="2" t="str">
        <f ca="1">IFERROR(__xludf.DUMMYFUNCTION("""COMPUTED_VALUE"""),"Hey, you know what would be funny? If everyone here was a girl. Just for no reason, and god knows what this would do to the lore, if everybody was suddenly - or worse, always - female. Or! Suddenly male? Why I dare say you could throw the biggest sausage "&amp;"party ever if you felt like it. Regardless, you can now alter and edit the 'norms' for people. Things like averages, minimum and maximum. Set the male/female ratio to whatever you like, or just walk up to someone and retroactively gender swap them. They'l"&amp;"l never notice. Hell, include some futa in there if you want, though I'm afraid they won't have any excessively crazy hentai powers like ‘third legs’ or cumming pools worth.")</f>
        <v>Hey, you know what would be funny? If everyone here was a girl. Just for no reason, and god knows what this would do to the lore, if everybody was suddenly - or worse, always - female. Or! Suddenly male? Why I dare say you could throw the biggest sausage party ever if you felt like it. Regardless, you can now alter and edit the 'norms' for people. Things like averages, minimum and maximum. Set the male/female ratio to whatever you like, or just walk up to someone and retroactively gender swap them. They'll never notice. Hell, include some futa in there if you want, though I'm afraid they won't have any excessively crazy hentai powers like ‘third legs’ or cumming pools worth.</v>
      </c>
      <c r="I99" s="5"/>
    </row>
    <row r="100" spans="1:9" ht="17.399999999999999" x14ac:dyDescent="0.25">
      <c r="A100" s="16"/>
      <c r="B100" s="17"/>
      <c r="C100" s="2" t="b">
        <f ca="1">IFERROR(__xludf.DUMMYFUNCTION("""COMPUTED_VALUE"""),TRUE)</f>
        <v>1</v>
      </c>
      <c r="D100" s="2">
        <f ca="1">IFERROR(__xludf.DUMMYFUNCTION("""COMPUTED_VALUE"""),-100)</f>
        <v>-100</v>
      </c>
      <c r="E100" s="2" t="str">
        <f ca="1">IFERROR(__xludf.DUMMYFUNCTION("""COMPUTED_VALUE"""),"Purchased Perks")</f>
        <v>Purchased Perks</v>
      </c>
      <c r="F100" s="2">
        <f ca="1">IFERROR(__xludf.DUMMYFUNCTION("""COMPUTED_VALUE"""),13)</f>
        <v>13</v>
      </c>
      <c r="G100" s="2" t="str">
        <f ca="1">IFERROR(__xludf.DUMMYFUNCTION("""COMPUTED_VALUE"""),"Transformation")</f>
        <v>Transformation</v>
      </c>
      <c r="H100" s="2"/>
      <c r="I100" s="5"/>
    </row>
    <row r="101" spans="1:9" ht="69.599999999999994" x14ac:dyDescent="0.25">
      <c r="A101" s="16"/>
      <c r="B101" s="17"/>
      <c r="C101" s="2" t="b">
        <f ca="1">IFERROR(__xludf.DUMMYFUNCTION("""COMPUTED_VALUE"""),TRUE)</f>
        <v>1</v>
      </c>
      <c r="D101" s="2">
        <f ca="1">IFERROR(__xludf.DUMMYFUNCTION("""COMPUTED_VALUE"""),600)</f>
        <v>600</v>
      </c>
      <c r="E101" s="2" t="str">
        <f ca="1">IFERROR(__xludf.DUMMYFUNCTION("""COMPUTED_VALUE"""),"Vial of Promethean Bio-Nanites")</f>
        <v>Vial of Promethean Bio-Nanites</v>
      </c>
      <c r="F101" s="2" t="str">
        <f ca="1">IFERROR(__xludf.DUMMYFUNCTION("""COMPUTED_VALUE"""),"Flexible Survival")</f>
        <v>Flexible Survival</v>
      </c>
      <c r="G101" s="2" t="str">
        <f ca="1">IFERROR(__xludf.DUMMYFUNCTION("""COMPUTED_VALUE"""),"Transformation")</f>
        <v>Transformation</v>
      </c>
      <c r="H101" s="2" t="str">
        <f ca="1">IFERROR(__xludf.DUMMYFUNCTION("""COMPUTED_VALUE"""),"This vial contains all strains of a nanite infection that brought ruin to its world. Unleashing it will cause a partial grey goo scenario targeted solely on biological creatures, with the survivors becoming sexualised hybrids the greater the level of infe"&amp;"ction they have. It is practically impossible to use this to find or develop a cure. Replenishes every ten years if used.")</f>
        <v>This vial contains all strains of a nanite infection that brought ruin to its world. Unleashing it will cause a partial grey goo scenario targeted solely on biological creatures, with the survivors becoming sexualised hybrids the greater the level of infection they have. It is practically impossible to use this to find or develop a cure. Replenishes every ten years if used.</v>
      </c>
      <c r="I101" s="5"/>
    </row>
    <row r="102" spans="1:9" ht="17.399999999999999" x14ac:dyDescent="0.25">
      <c r="A102" s="16"/>
      <c r="B102" s="17"/>
      <c r="C102" s="2"/>
      <c r="D102" s="2"/>
      <c r="E102" s="2"/>
      <c r="F102" s="2"/>
      <c r="G102" s="2"/>
      <c r="H102" s="2"/>
      <c r="I102" s="5"/>
    </row>
    <row r="103" spans="1:9" ht="17.399999999999999" x14ac:dyDescent="0.25">
      <c r="A103" s="16"/>
      <c r="B103" s="17"/>
      <c r="C103" s="2"/>
      <c r="D103" s="2"/>
      <c r="E103" s="2"/>
      <c r="F103" s="2"/>
      <c r="G103" s="2"/>
      <c r="H103" s="2"/>
      <c r="I103" s="5"/>
    </row>
    <row r="104" spans="1:9" ht="17.399999999999999" x14ac:dyDescent="0.25">
      <c r="A104" s="16"/>
      <c r="B104" s="17"/>
      <c r="C104" s="2"/>
      <c r="D104" s="2"/>
      <c r="E104" s="2"/>
      <c r="F104" s="2"/>
      <c r="G104" s="2"/>
      <c r="H104" s="2"/>
      <c r="I104" s="5"/>
    </row>
    <row r="105" spans="1:9" ht="17.399999999999999" x14ac:dyDescent="0.25">
      <c r="A105" s="16"/>
      <c r="B105" s="17"/>
      <c r="C105" s="2"/>
      <c r="D105" s="2"/>
      <c r="E105" s="2"/>
      <c r="F105" s="2"/>
      <c r="G105" s="2"/>
      <c r="H105" s="2"/>
      <c r="I105" s="5"/>
    </row>
    <row r="106" spans="1:9" ht="17.399999999999999" x14ac:dyDescent="0.25">
      <c r="A106" s="16"/>
      <c r="B106" s="17"/>
      <c r="C106" s="2"/>
      <c r="D106" s="2"/>
      <c r="E106" s="2"/>
      <c r="F106" s="2"/>
      <c r="G106" s="2"/>
      <c r="H106" s="2"/>
      <c r="I106" s="5"/>
    </row>
    <row r="107" spans="1:9" ht="17.399999999999999" x14ac:dyDescent="0.25">
      <c r="A107" s="16"/>
      <c r="B107" s="17"/>
      <c r="C107" s="2"/>
      <c r="D107" s="2"/>
      <c r="E107" s="2"/>
      <c r="F107" s="2"/>
      <c r="G107" s="2"/>
      <c r="H107" s="2"/>
      <c r="I107" s="5"/>
    </row>
    <row r="108" spans="1:9" ht="17.399999999999999" x14ac:dyDescent="0.25">
      <c r="A108" s="16"/>
      <c r="B108" s="17"/>
      <c r="C108" s="2"/>
      <c r="D108" s="2"/>
      <c r="E108" s="2"/>
      <c r="F108" s="2"/>
      <c r="G108" s="2"/>
      <c r="H108" s="2"/>
      <c r="I108" s="5"/>
    </row>
    <row r="109" spans="1:9" ht="17.399999999999999" x14ac:dyDescent="0.25">
      <c r="A109" s="16"/>
      <c r="B109" s="17"/>
      <c r="C109" s="2"/>
      <c r="D109" s="2"/>
      <c r="E109" s="2"/>
      <c r="F109" s="2"/>
      <c r="G109" s="2"/>
      <c r="H109" s="2"/>
      <c r="I109" s="5"/>
    </row>
    <row r="110" spans="1:9" ht="17.399999999999999" x14ac:dyDescent="0.25">
      <c r="A110" s="16"/>
      <c r="B110" s="17"/>
      <c r="C110" s="2"/>
      <c r="D110" s="2"/>
      <c r="E110" s="2"/>
      <c r="F110" s="2"/>
      <c r="G110" s="2"/>
      <c r="H110" s="2"/>
      <c r="I110" s="5"/>
    </row>
    <row r="111" spans="1:9" ht="17.399999999999999" x14ac:dyDescent="0.25">
      <c r="A111" s="16"/>
      <c r="B111" s="17"/>
      <c r="C111" s="2"/>
      <c r="D111" s="2"/>
      <c r="E111" s="2"/>
      <c r="F111" s="2"/>
      <c r="G111" s="2"/>
      <c r="H111" s="2"/>
      <c r="I111" s="5"/>
    </row>
    <row r="112" spans="1:9" ht="17.399999999999999" x14ac:dyDescent="0.25">
      <c r="A112" s="16"/>
      <c r="B112" s="17"/>
      <c r="C112" s="2"/>
      <c r="D112" s="2"/>
      <c r="E112" s="2"/>
      <c r="F112" s="2"/>
      <c r="G112" s="2"/>
      <c r="H112" s="2"/>
      <c r="I112" s="5"/>
    </row>
    <row r="113" spans="1:9" ht="17.399999999999999" x14ac:dyDescent="0.25">
      <c r="A113" s="16"/>
      <c r="B113" s="17"/>
      <c r="C113" s="2"/>
      <c r="D113" s="2"/>
      <c r="E113" s="2"/>
      <c r="F113" s="2"/>
      <c r="G113" s="2"/>
      <c r="H113" s="2"/>
      <c r="I113" s="5"/>
    </row>
    <row r="114" spans="1:9" ht="17.399999999999999" x14ac:dyDescent="0.25">
      <c r="A114" s="16"/>
      <c r="B114" s="17"/>
      <c r="C114" s="2"/>
      <c r="D114" s="2"/>
      <c r="E114" s="2"/>
      <c r="F114" s="2"/>
      <c r="G114" s="2"/>
      <c r="H114" s="2"/>
      <c r="I114" s="5"/>
    </row>
    <row r="115" spans="1:9" ht="17.399999999999999" x14ac:dyDescent="0.25">
      <c r="A115" s="16"/>
      <c r="B115" s="17"/>
      <c r="C115" s="2"/>
      <c r="D115" s="2"/>
      <c r="E115" s="2"/>
      <c r="F115" s="2"/>
      <c r="G115" s="2"/>
      <c r="H115" s="2"/>
      <c r="I115" s="5"/>
    </row>
    <row r="116" spans="1:9" ht="17.399999999999999" x14ac:dyDescent="0.25">
      <c r="A116" s="16"/>
      <c r="B116" s="17"/>
      <c r="C116" s="2"/>
      <c r="D116" s="2"/>
      <c r="E116" s="2"/>
      <c r="F116" s="2"/>
      <c r="G116" s="2"/>
      <c r="H116" s="2"/>
      <c r="I116" s="5"/>
    </row>
    <row r="117" spans="1:9" ht="17.399999999999999" x14ac:dyDescent="0.25">
      <c r="A117" s="16"/>
      <c r="B117" s="17"/>
      <c r="C117" s="2"/>
      <c r="D117" s="2"/>
      <c r="E117" s="2"/>
      <c r="F117" s="2"/>
      <c r="G117" s="2"/>
      <c r="H117" s="2"/>
      <c r="I117" s="5"/>
    </row>
    <row r="118" spans="1:9" ht="17.399999999999999" x14ac:dyDescent="0.25">
      <c r="A118" s="16"/>
      <c r="B118" s="17"/>
      <c r="C118" s="2"/>
      <c r="D118" s="2"/>
      <c r="E118" s="2"/>
      <c r="F118" s="2"/>
      <c r="G118" s="2"/>
      <c r="H118" s="2"/>
      <c r="I118" s="5"/>
    </row>
    <row r="119" spans="1:9" ht="17.399999999999999" x14ac:dyDescent="0.25">
      <c r="A119" s="16"/>
      <c r="B119" s="17"/>
      <c r="C119" s="2"/>
      <c r="D119" s="2"/>
      <c r="E119" s="2"/>
      <c r="F119" s="2"/>
      <c r="G119" s="2"/>
      <c r="H119" s="2"/>
      <c r="I119" s="5"/>
    </row>
    <row r="120" spans="1:9" ht="17.399999999999999" x14ac:dyDescent="0.25">
      <c r="A120" s="16"/>
      <c r="B120" s="17"/>
      <c r="C120" s="2"/>
      <c r="D120" s="2"/>
      <c r="E120" s="2"/>
      <c r="F120" s="2"/>
      <c r="G120" s="2"/>
      <c r="H120" s="2"/>
      <c r="I120" s="5"/>
    </row>
    <row r="121" spans="1:9" ht="17.399999999999999" x14ac:dyDescent="0.25">
      <c r="A121" s="16"/>
      <c r="B121" s="17"/>
      <c r="C121" s="2"/>
      <c r="D121" s="2"/>
      <c r="E121" s="2"/>
      <c r="F121" s="2"/>
      <c r="G121" s="2"/>
      <c r="H121" s="2"/>
      <c r="I121" s="5"/>
    </row>
    <row r="122" spans="1:9" ht="17.399999999999999" x14ac:dyDescent="0.25">
      <c r="A122" s="16"/>
      <c r="B122" s="17"/>
      <c r="C122" s="2"/>
      <c r="D122" s="2"/>
      <c r="E122" s="2"/>
      <c r="F122" s="2"/>
      <c r="G122" s="2"/>
      <c r="H122" s="2"/>
      <c r="I122" s="5"/>
    </row>
    <row r="123" spans="1:9" ht="17.399999999999999" x14ac:dyDescent="0.25">
      <c r="A123" s="16"/>
      <c r="B123" s="17"/>
      <c r="C123" s="2"/>
      <c r="D123" s="2"/>
      <c r="E123" s="2"/>
      <c r="F123" s="2"/>
      <c r="G123" s="2"/>
      <c r="H123" s="2"/>
      <c r="I123" s="5"/>
    </row>
    <row r="124" spans="1:9" ht="17.399999999999999" x14ac:dyDescent="0.25">
      <c r="A124" s="16"/>
      <c r="B124" s="17"/>
      <c r="C124" s="2"/>
      <c r="D124" s="2"/>
      <c r="E124" s="2"/>
      <c r="F124" s="2"/>
      <c r="G124" s="2"/>
      <c r="H124" s="2"/>
      <c r="I124" s="5"/>
    </row>
    <row r="125" spans="1:9" ht="17.399999999999999" x14ac:dyDescent="0.25">
      <c r="A125" s="16"/>
      <c r="B125" s="17"/>
      <c r="C125" s="2"/>
      <c r="D125" s="2"/>
      <c r="E125" s="2"/>
      <c r="F125" s="2"/>
      <c r="G125" s="2"/>
      <c r="H125" s="2"/>
      <c r="I125" s="5"/>
    </row>
    <row r="126" spans="1:9" ht="17.399999999999999" x14ac:dyDescent="0.25">
      <c r="A126" s="16"/>
      <c r="B126" s="17"/>
      <c r="C126" s="2"/>
      <c r="D126" s="2"/>
      <c r="E126" s="2"/>
      <c r="F126" s="2"/>
      <c r="G126" s="2"/>
      <c r="H126" s="2"/>
      <c r="I126" s="5"/>
    </row>
    <row r="127" spans="1:9" ht="17.399999999999999" x14ac:dyDescent="0.25">
      <c r="A127" s="16"/>
      <c r="B127" s="17"/>
      <c r="C127" s="2"/>
      <c r="D127" s="2"/>
      <c r="E127" s="2"/>
      <c r="F127" s="2"/>
      <c r="G127" s="2"/>
      <c r="H127" s="2"/>
      <c r="I127" s="5"/>
    </row>
    <row r="128" spans="1:9" ht="17.399999999999999" x14ac:dyDescent="0.25">
      <c r="A128" s="16"/>
      <c r="B128" s="17"/>
      <c r="C128" s="2"/>
      <c r="D128" s="2"/>
      <c r="E128" s="2"/>
      <c r="F128" s="2"/>
      <c r="G128" s="2"/>
      <c r="H128" s="2"/>
      <c r="I128" s="5"/>
    </row>
    <row r="129" spans="1:10" ht="17.399999999999999" x14ac:dyDescent="0.25">
      <c r="A129" s="16"/>
      <c r="B129" s="17"/>
      <c r="C129" s="2"/>
      <c r="D129" s="2"/>
      <c r="E129" s="2"/>
      <c r="F129" s="2"/>
      <c r="G129" s="2"/>
      <c r="H129" s="2"/>
      <c r="I129" s="5"/>
    </row>
    <row r="130" spans="1:10" ht="17.399999999999999" x14ac:dyDescent="0.25">
      <c r="A130" s="16"/>
      <c r="B130" s="17"/>
      <c r="C130" s="2"/>
      <c r="D130" s="2"/>
      <c r="E130" s="2"/>
      <c r="F130" s="2"/>
      <c r="G130" s="2"/>
      <c r="H130" s="2"/>
      <c r="I130" s="5"/>
    </row>
    <row r="131" spans="1:10" ht="17.399999999999999" x14ac:dyDescent="0.25">
      <c r="A131" s="16"/>
      <c r="B131" s="17"/>
      <c r="C131" s="2"/>
      <c r="D131" s="2"/>
      <c r="E131" s="2"/>
      <c r="F131" s="2"/>
      <c r="G131" s="2"/>
      <c r="H131" s="2"/>
      <c r="I131" s="5"/>
    </row>
    <row r="132" spans="1:10" ht="17.399999999999999" x14ac:dyDescent="0.25">
      <c r="A132" s="16"/>
      <c r="B132" s="17"/>
      <c r="C132" s="2"/>
      <c r="D132" s="2"/>
      <c r="E132" s="2"/>
      <c r="F132" s="2"/>
      <c r="G132" s="2"/>
      <c r="H132" s="2"/>
      <c r="I132" s="5"/>
    </row>
    <row r="133" spans="1:10" ht="17.399999999999999" x14ac:dyDescent="0.35">
      <c r="A133" s="16"/>
      <c r="B133" s="17"/>
      <c r="C133" s="2"/>
      <c r="D133" s="2"/>
      <c r="E133" s="2"/>
      <c r="F133" s="2"/>
      <c r="G133" s="2"/>
      <c r="H133" s="2"/>
      <c r="I133" s="5"/>
      <c r="J133" s="13"/>
    </row>
    <row r="134" spans="1:10" ht="17.399999999999999" x14ac:dyDescent="0.35">
      <c r="A134" s="16"/>
      <c r="B134" s="17"/>
      <c r="C134" s="2"/>
      <c r="D134" s="2"/>
      <c r="E134" s="2"/>
      <c r="F134" s="2"/>
      <c r="G134" s="2"/>
      <c r="H134" s="2"/>
      <c r="I134" s="5"/>
      <c r="J134" s="27"/>
    </row>
    <row r="135" spans="1:10" ht="17.399999999999999" x14ac:dyDescent="0.25">
      <c r="A135" s="16"/>
      <c r="B135" s="17"/>
      <c r="C135" s="2"/>
      <c r="D135" s="2"/>
      <c r="E135" s="2"/>
      <c r="F135" s="2"/>
      <c r="G135" s="2"/>
      <c r="H135" s="2"/>
      <c r="I135" s="5"/>
    </row>
    <row r="136" spans="1:10" ht="17.399999999999999" x14ac:dyDescent="0.25">
      <c r="A136" s="16"/>
      <c r="B136" s="17"/>
      <c r="C136" s="2"/>
      <c r="D136" s="2"/>
      <c r="E136" s="2"/>
      <c r="F136" s="2"/>
      <c r="G136" s="2"/>
      <c r="H136" s="2"/>
      <c r="I136" s="5"/>
    </row>
    <row r="137" spans="1:10" ht="17.399999999999999" x14ac:dyDescent="0.25">
      <c r="A137" s="16"/>
      <c r="B137" s="17"/>
      <c r="C137" s="2"/>
      <c r="D137" s="2"/>
      <c r="E137" s="2"/>
      <c r="F137" s="2"/>
      <c r="G137" s="2"/>
      <c r="H137" s="2"/>
      <c r="I137" s="5"/>
    </row>
    <row r="138" spans="1:10" ht="17.399999999999999" x14ac:dyDescent="0.25">
      <c r="A138" s="16"/>
      <c r="B138" s="17"/>
      <c r="C138" s="2"/>
      <c r="D138" s="2"/>
      <c r="E138" s="2"/>
      <c r="F138" s="2"/>
      <c r="G138" s="2"/>
      <c r="H138" s="2"/>
      <c r="I138" s="5"/>
    </row>
    <row r="139" spans="1:10" ht="17.399999999999999" x14ac:dyDescent="0.25">
      <c r="A139" s="16"/>
      <c r="B139" s="17"/>
      <c r="C139" s="2"/>
      <c r="D139" s="2"/>
      <c r="E139" s="2"/>
      <c r="F139" s="2"/>
      <c r="G139" s="2"/>
      <c r="H139" s="2"/>
      <c r="I139" s="5"/>
    </row>
    <row r="140" spans="1:10" ht="17.399999999999999" x14ac:dyDescent="0.25">
      <c r="A140" s="16"/>
      <c r="B140" s="17"/>
      <c r="C140" s="2"/>
      <c r="D140" s="2"/>
      <c r="E140" s="2"/>
      <c r="F140" s="2"/>
      <c r="G140" s="2"/>
      <c r="H140" s="2"/>
      <c r="I140" s="5"/>
    </row>
    <row r="141" spans="1:10" ht="17.399999999999999" x14ac:dyDescent="0.25">
      <c r="A141" s="16"/>
      <c r="B141" s="17"/>
      <c r="C141" s="2"/>
      <c r="D141" s="2"/>
      <c r="E141" s="2"/>
      <c r="F141" s="2"/>
      <c r="G141" s="2"/>
      <c r="H141" s="2"/>
      <c r="I141" s="5"/>
    </row>
    <row r="142" spans="1:10" ht="17.399999999999999" x14ac:dyDescent="0.25">
      <c r="A142" s="16"/>
      <c r="B142" s="17"/>
      <c r="C142" s="2"/>
      <c r="D142" s="2"/>
      <c r="E142" s="2"/>
      <c r="F142" s="2"/>
      <c r="G142" s="2"/>
      <c r="H142" s="2"/>
      <c r="I142" s="5"/>
    </row>
    <row r="143" spans="1:10" ht="17.399999999999999" x14ac:dyDescent="0.25">
      <c r="A143" s="16"/>
      <c r="B143" s="17"/>
      <c r="C143" s="2"/>
      <c r="D143" s="2"/>
      <c r="E143" s="2"/>
      <c r="F143" s="2"/>
      <c r="G143" s="2"/>
      <c r="H143" s="2"/>
      <c r="I143" s="5"/>
    </row>
    <row r="144" spans="1:10" ht="17.399999999999999" x14ac:dyDescent="0.25">
      <c r="A144" s="16"/>
      <c r="B144" s="17"/>
      <c r="C144" s="2"/>
      <c r="D144" s="2"/>
      <c r="E144" s="2"/>
      <c r="F144" s="2"/>
      <c r="G144" s="2"/>
      <c r="H144" s="2"/>
      <c r="I144" s="5"/>
    </row>
    <row r="145" spans="1:9" ht="17.399999999999999" x14ac:dyDescent="0.25">
      <c r="A145" s="16"/>
      <c r="B145" s="17"/>
      <c r="C145" s="2"/>
      <c r="D145" s="2"/>
      <c r="E145" s="2"/>
      <c r="F145" s="2"/>
      <c r="G145" s="2"/>
      <c r="H145" s="2"/>
      <c r="I145" s="5"/>
    </row>
    <row r="146" spans="1:9" ht="17.399999999999999" x14ac:dyDescent="0.25">
      <c r="A146" s="16"/>
      <c r="B146" s="17"/>
      <c r="C146" s="2"/>
      <c r="D146" s="2"/>
      <c r="E146" s="2"/>
      <c r="F146" s="2"/>
      <c r="G146" s="2"/>
      <c r="H146" s="2"/>
      <c r="I146" s="5"/>
    </row>
    <row r="147" spans="1:9" ht="17.399999999999999" x14ac:dyDescent="0.25">
      <c r="A147" s="16"/>
      <c r="B147" s="17"/>
      <c r="C147" s="2"/>
      <c r="D147" s="2"/>
      <c r="E147" s="2"/>
      <c r="F147" s="2"/>
      <c r="G147" s="2"/>
      <c r="H147" s="2"/>
      <c r="I147" s="5"/>
    </row>
    <row r="148" spans="1:9" ht="17.399999999999999" x14ac:dyDescent="0.25">
      <c r="A148" s="16"/>
      <c r="B148" s="17"/>
      <c r="C148" s="2"/>
      <c r="D148" s="2"/>
      <c r="E148" s="2"/>
      <c r="F148" s="2"/>
      <c r="G148" s="2"/>
      <c r="H148" s="2"/>
      <c r="I148" s="5"/>
    </row>
    <row r="149" spans="1:9" ht="17.399999999999999" x14ac:dyDescent="0.25">
      <c r="A149" s="16"/>
      <c r="B149" s="17"/>
      <c r="C149" s="2"/>
      <c r="D149" s="2"/>
      <c r="E149" s="2"/>
      <c r="F149" s="2"/>
      <c r="G149" s="2"/>
      <c r="H149" s="2"/>
      <c r="I149" s="5"/>
    </row>
    <row r="150" spans="1:9" ht="17.399999999999999" x14ac:dyDescent="0.25">
      <c r="A150" s="16"/>
      <c r="B150" s="17"/>
      <c r="C150" s="2"/>
      <c r="D150" s="2"/>
      <c r="E150" s="2"/>
      <c r="F150" s="2"/>
      <c r="G150" s="2"/>
      <c r="H150" s="2"/>
      <c r="I150" s="5"/>
    </row>
    <row r="151" spans="1:9" ht="17.399999999999999" x14ac:dyDescent="0.25">
      <c r="A151" s="16"/>
      <c r="B151" s="17"/>
      <c r="C151" s="2"/>
      <c r="D151" s="2"/>
      <c r="E151" s="2"/>
      <c r="F151" s="2"/>
      <c r="G151" s="2"/>
      <c r="H151" s="2"/>
      <c r="I151" s="5"/>
    </row>
    <row r="152" spans="1:9" ht="17.399999999999999" x14ac:dyDescent="0.25">
      <c r="A152" s="16"/>
      <c r="B152" s="17"/>
      <c r="C152" s="2"/>
      <c r="D152" s="2"/>
      <c r="E152" s="2"/>
      <c r="F152" s="2"/>
      <c r="G152" s="2"/>
      <c r="H152" s="2"/>
      <c r="I152" s="5"/>
    </row>
    <row r="153" spans="1:9" ht="17.399999999999999" x14ac:dyDescent="0.25">
      <c r="A153" s="16"/>
      <c r="B153" s="17"/>
      <c r="C153" s="2"/>
      <c r="D153" s="2"/>
      <c r="E153" s="2"/>
      <c r="F153" s="2"/>
      <c r="G153" s="2"/>
      <c r="H153" s="2"/>
      <c r="I153" s="5"/>
    </row>
    <row r="154" spans="1:9" ht="17.399999999999999" x14ac:dyDescent="0.25">
      <c r="A154" s="16"/>
      <c r="B154" s="17"/>
      <c r="C154" s="2"/>
      <c r="D154" s="2"/>
      <c r="E154" s="2"/>
      <c r="F154" s="2"/>
      <c r="G154" s="2"/>
      <c r="H154" s="2"/>
      <c r="I154" s="5"/>
    </row>
    <row r="155" spans="1:9" ht="17.399999999999999" x14ac:dyDescent="0.25">
      <c r="A155" s="16"/>
      <c r="B155" s="17"/>
      <c r="C155" s="2"/>
      <c r="D155" s="2"/>
      <c r="E155" s="2"/>
      <c r="F155" s="2"/>
      <c r="G155" s="2"/>
      <c r="H155" s="2"/>
      <c r="I155" s="5"/>
    </row>
    <row r="156" spans="1:9" ht="17.399999999999999" x14ac:dyDescent="0.25">
      <c r="A156" s="16"/>
      <c r="B156" s="17"/>
      <c r="C156" s="2"/>
      <c r="D156" s="2"/>
      <c r="E156" s="2"/>
      <c r="F156" s="2"/>
      <c r="G156" s="2"/>
      <c r="H156" s="2"/>
      <c r="I156" s="5"/>
    </row>
    <row r="157" spans="1:9" ht="17.399999999999999" x14ac:dyDescent="0.25">
      <c r="A157" s="16"/>
      <c r="B157" s="17"/>
      <c r="C157" s="2"/>
      <c r="D157" s="2"/>
      <c r="E157" s="2"/>
      <c r="F157" s="2"/>
      <c r="G157" s="2"/>
      <c r="H157" s="2"/>
      <c r="I157" s="5"/>
    </row>
    <row r="158" spans="1:9" ht="17.399999999999999" x14ac:dyDescent="0.25">
      <c r="A158" s="16"/>
      <c r="B158" s="17"/>
      <c r="C158" s="2"/>
      <c r="D158" s="2"/>
      <c r="E158" s="2"/>
      <c r="F158" s="2"/>
      <c r="G158" s="2"/>
      <c r="H158" s="2"/>
      <c r="I158" s="5"/>
    </row>
    <row r="159" spans="1:9" ht="17.399999999999999" x14ac:dyDescent="0.25">
      <c r="A159" s="16"/>
      <c r="B159" s="17"/>
      <c r="C159" s="2"/>
      <c r="D159" s="2"/>
      <c r="E159" s="2"/>
      <c r="F159" s="2"/>
      <c r="G159" s="2"/>
      <c r="H159" s="2"/>
      <c r="I159" s="5"/>
    </row>
    <row r="160" spans="1:9" ht="17.399999999999999" x14ac:dyDescent="0.25">
      <c r="A160" s="16"/>
      <c r="B160" s="17"/>
      <c r="C160" s="2"/>
      <c r="D160" s="2"/>
      <c r="E160" s="2"/>
      <c r="F160" s="2"/>
      <c r="G160" s="2"/>
      <c r="H160" s="2"/>
      <c r="I160" s="5"/>
    </row>
    <row r="161" spans="1:9" ht="17.399999999999999" x14ac:dyDescent="0.25">
      <c r="A161" s="16"/>
      <c r="B161" s="17"/>
      <c r="C161" s="2"/>
      <c r="D161" s="2"/>
      <c r="E161" s="2"/>
      <c r="F161" s="2"/>
      <c r="G161" s="2"/>
      <c r="H161" s="2"/>
      <c r="I161" s="5"/>
    </row>
    <row r="162" spans="1:9" ht="17.399999999999999" x14ac:dyDescent="0.25">
      <c r="A162" s="16"/>
      <c r="B162" s="17"/>
      <c r="C162" s="2"/>
      <c r="D162" s="2"/>
      <c r="E162" s="2"/>
      <c r="F162" s="2"/>
      <c r="G162" s="2"/>
      <c r="H162" s="2"/>
      <c r="I162" s="5"/>
    </row>
    <row r="163" spans="1:9" ht="17.399999999999999" x14ac:dyDescent="0.25">
      <c r="A163" s="16"/>
      <c r="B163" s="17"/>
      <c r="C163" s="2"/>
      <c r="D163" s="2"/>
      <c r="E163" s="2"/>
      <c r="F163" s="2"/>
      <c r="G163" s="2"/>
      <c r="H163" s="2"/>
      <c r="I163" s="5"/>
    </row>
    <row r="164" spans="1:9" ht="17.399999999999999" x14ac:dyDescent="0.25">
      <c r="A164" s="16"/>
      <c r="B164" s="17"/>
      <c r="C164" s="2"/>
      <c r="D164" s="2"/>
      <c r="E164" s="2"/>
      <c r="F164" s="2"/>
      <c r="G164" s="2"/>
      <c r="H164" s="2"/>
      <c r="I164" s="5"/>
    </row>
    <row r="165" spans="1:9" ht="17.399999999999999" x14ac:dyDescent="0.25">
      <c r="A165" s="16"/>
      <c r="B165" s="17"/>
      <c r="C165" s="2"/>
      <c r="D165" s="2"/>
      <c r="E165" s="2"/>
      <c r="F165" s="2"/>
      <c r="G165" s="2"/>
      <c r="H165" s="2"/>
      <c r="I165" s="5"/>
    </row>
    <row r="166" spans="1:9" ht="17.399999999999999" x14ac:dyDescent="0.25">
      <c r="A166" s="16"/>
      <c r="B166" s="17"/>
      <c r="C166" s="2"/>
      <c r="D166" s="2"/>
      <c r="E166" s="2"/>
      <c r="F166" s="2"/>
      <c r="G166" s="2"/>
      <c r="H166" s="2"/>
      <c r="I166" s="5"/>
    </row>
    <row r="167" spans="1:9" ht="17.399999999999999" x14ac:dyDescent="0.25">
      <c r="A167" s="16"/>
      <c r="B167" s="17"/>
      <c r="C167" s="2"/>
      <c r="D167" s="2"/>
      <c r="E167" s="2"/>
      <c r="F167" s="2"/>
      <c r="G167" s="2"/>
      <c r="H167" s="2"/>
      <c r="I167" s="5"/>
    </row>
    <row r="168" spans="1:9" ht="17.399999999999999" x14ac:dyDescent="0.25">
      <c r="A168" s="16"/>
      <c r="B168" s="17"/>
      <c r="C168" s="2"/>
      <c r="D168" s="2"/>
      <c r="E168" s="2"/>
      <c r="F168" s="2"/>
      <c r="G168" s="2"/>
      <c r="H168" s="2"/>
      <c r="I168" s="5"/>
    </row>
    <row r="169" spans="1:9" ht="17.399999999999999" x14ac:dyDescent="0.25">
      <c r="A169" s="16"/>
      <c r="B169" s="17"/>
      <c r="C169" s="2"/>
      <c r="D169" s="2"/>
      <c r="E169" s="2"/>
      <c r="F169" s="2"/>
      <c r="G169" s="2"/>
      <c r="H169" s="2"/>
      <c r="I169" s="5"/>
    </row>
    <row r="170" spans="1:9" ht="17.399999999999999" x14ac:dyDescent="0.25">
      <c r="A170" s="16"/>
      <c r="B170" s="17"/>
      <c r="C170" s="2"/>
      <c r="D170" s="2"/>
      <c r="E170" s="2"/>
      <c r="F170" s="2"/>
      <c r="G170" s="2"/>
      <c r="H170" s="2"/>
      <c r="I170" s="5"/>
    </row>
    <row r="171" spans="1:9" ht="17.399999999999999" x14ac:dyDescent="0.25">
      <c r="A171" s="16"/>
      <c r="B171" s="17"/>
      <c r="C171" s="2"/>
      <c r="D171" s="2"/>
      <c r="E171" s="2"/>
      <c r="F171" s="2"/>
      <c r="G171" s="2"/>
      <c r="H171" s="2"/>
      <c r="I171" s="5"/>
    </row>
    <row r="172" spans="1:9" ht="17.399999999999999" x14ac:dyDescent="0.25">
      <c r="A172" s="16"/>
      <c r="B172" s="17"/>
      <c r="C172" s="2"/>
      <c r="D172" s="2"/>
      <c r="E172" s="2"/>
      <c r="F172" s="2"/>
      <c r="G172" s="2"/>
      <c r="H172" s="2"/>
      <c r="I172" s="5"/>
    </row>
    <row r="173" spans="1:9" ht="17.399999999999999" x14ac:dyDescent="0.25">
      <c r="A173" s="16"/>
      <c r="B173" s="17"/>
      <c r="C173" s="2"/>
      <c r="D173" s="2"/>
      <c r="E173" s="2"/>
      <c r="F173" s="2"/>
      <c r="G173" s="2"/>
      <c r="H173" s="2"/>
      <c r="I173" s="5"/>
    </row>
    <row r="174" spans="1:9" ht="17.399999999999999" x14ac:dyDescent="0.25">
      <c r="A174" s="16"/>
      <c r="B174" s="17"/>
      <c r="C174" s="2"/>
      <c r="D174" s="2"/>
      <c r="E174" s="2"/>
      <c r="F174" s="2"/>
      <c r="G174" s="2"/>
      <c r="H174" s="2"/>
      <c r="I174" s="5"/>
    </row>
    <row r="175" spans="1:9" ht="17.399999999999999" x14ac:dyDescent="0.25">
      <c r="A175" s="16"/>
      <c r="B175" s="17"/>
      <c r="C175" s="2"/>
      <c r="D175" s="2"/>
      <c r="E175" s="2"/>
      <c r="F175" s="2"/>
      <c r="G175" s="2"/>
      <c r="H175" s="2"/>
      <c r="I175" s="5"/>
    </row>
    <row r="176" spans="1:9" ht="17.399999999999999" x14ac:dyDescent="0.25">
      <c r="A176" s="16"/>
      <c r="B176" s="17"/>
      <c r="C176" s="2"/>
      <c r="D176" s="2"/>
      <c r="E176" s="2"/>
      <c r="F176" s="2"/>
      <c r="G176" s="2"/>
      <c r="H176" s="2"/>
      <c r="I176" s="5"/>
    </row>
    <row r="177" spans="1:9" ht="17.399999999999999" x14ac:dyDescent="0.25">
      <c r="A177" s="16"/>
      <c r="B177" s="17"/>
      <c r="C177" s="2"/>
      <c r="D177" s="2"/>
      <c r="E177" s="2"/>
      <c r="F177" s="2"/>
      <c r="G177" s="2"/>
      <c r="H177" s="2"/>
      <c r="I177" s="5"/>
    </row>
    <row r="178" spans="1:9" ht="17.399999999999999" x14ac:dyDescent="0.25">
      <c r="A178" s="16"/>
      <c r="B178" s="17"/>
      <c r="C178" s="2"/>
      <c r="D178" s="2"/>
      <c r="E178" s="2"/>
      <c r="F178" s="2"/>
      <c r="G178" s="2"/>
      <c r="H178" s="2"/>
      <c r="I178" s="5"/>
    </row>
    <row r="179" spans="1:9" ht="17.399999999999999" x14ac:dyDescent="0.25">
      <c r="A179" s="16"/>
      <c r="B179" s="17"/>
      <c r="C179" s="2"/>
      <c r="D179" s="2"/>
      <c r="E179" s="2"/>
      <c r="F179" s="2"/>
      <c r="G179" s="2"/>
      <c r="H179" s="2"/>
      <c r="I179" s="5"/>
    </row>
    <row r="180" spans="1:9" ht="17.399999999999999" x14ac:dyDescent="0.25">
      <c r="A180" s="16"/>
      <c r="B180" s="17"/>
      <c r="C180" s="2"/>
      <c r="D180" s="2"/>
      <c r="E180" s="2"/>
      <c r="F180" s="2"/>
      <c r="G180" s="2"/>
      <c r="H180" s="2"/>
      <c r="I180" s="5"/>
    </row>
    <row r="181" spans="1:9" ht="17.399999999999999" x14ac:dyDescent="0.25">
      <c r="A181" s="16"/>
      <c r="B181" s="17"/>
      <c r="C181" s="2"/>
      <c r="D181" s="2"/>
      <c r="E181" s="2"/>
      <c r="F181" s="2"/>
      <c r="G181" s="2"/>
      <c r="H181" s="2"/>
      <c r="I181" s="5"/>
    </row>
    <row r="182" spans="1:9" ht="17.399999999999999" x14ac:dyDescent="0.25">
      <c r="A182" s="16"/>
      <c r="B182" s="17"/>
      <c r="C182" s="2"/>
      <c r="D182" s="2"/>
      <c r="E182" s="2"/>
      <c r="F182" s="2"/>
      <c r="G182" s="2"/>
      <c r="H182" s="2"/>
      <c r="I182" s="5"/>
    </row>
    <row r="183" spans="1:9" ht="17.399999999999999" x14ac:dyDescent="0.25">
      <c r="A183" s="16"/>
      <c r="B183" s="17"/>
      <c r="C183" s="2"/>
      <c r="D183" s="2"/>
      <c r="E183" s="2"/>
      <c r="F183" s="2"/>
      <c r="G183" s="2"/>
      <c r="H183" s="2"/>
      <c r="I183" s="5"/>
    </row>
    <row r="184" spans="1:9" ht="17.399999999999999" x14ac:dyDescent="0.25">
      <c r="A184" s="16"/>
      <c r="B184" s="17"/>
      <c r="C184" s="2"/>
      <c r="D184" s="2"/>
      <c r="E184" s="2"/>
      <c r="F184" s="2"/>
      <c r="G184" s="2"/>
      <c r="H184" s="2"/>
      <c r="I184" s="5"/>
    </row>
    <row r="185" spans="1:9" ht="17.399999999999999" x14ac:dyDescent="0.25">
      <c r="A185" s="16"/>
      <c r="B185" s="17"/>
      <c r="C185" s="2"/>
      <c r="D185" s="2"/>
      <c r="E185" s="2"/>
      <c r="F185" s="2"/>
      <c r="G185" s="2"/>
      <c r="H185" s="2"/>
      <c r="I185" s="5"/>
    </row>
    <row r="186" spans="1:9" ht="17.399999999999999" x14ac:dyDescent="0.25">
      <c r="A186" s="16"/>
      <c r="B186" s="17"/>
      <c r="C186" s="2"/>
      <c r="D186" s="2"/>
      <c r="E186" s="2"/>
      <c r="F186" s="2"/>
      <c r="G186" s="2"/>
      <c r="H186" s="2"/>
      <c r="I186" s="5"/>
    </row>
    <row r="187" spans="1:9" ht="17.399999999999999" x14ac:dyDescent="0.25">
      <c r="A187" s="16"/>
      <c r="B187" s="17"/>
      <c r="C187" s="2"/>
      <c r="D187" s="2"/>
      <c r="E187" s="2"/>
      <c r="F187" s="2"/>
      <c r="G187" s="2"/>
      <c r="H187" s="2"/>
      <c r="I187" s="5"/>
    </row>
    <row r="188" spans="1:9" ht="17.399999999999999" x14ac:dyDescent="0.25">
      <c r="A188" s="16"/>
      <c r="B188" s="17"/>
      <c r="C188" s="2"/>
      <c r="D188" s="2"/>
      <c r="E188" s="2"/>
      <c r="F188" s="2"/>
      <c r="G188" s="2"/>
      <c r="H188" s="2"/>
      <c r="I188" s="5"/>
    </row>
    <row r="189" spans="1:9" ht="17.399999999999999" x14ac:dyDescent="0.25">
      <c r="A189" s="16"/>
      <c r="B189" s="17"/>
      <c r="C189" s="2"/>
      <c r="D189" s="2"/>
      <c r="E189" s="2"/>
      <c r="F189" s="2"/>
      <c r="G189" s="2"/>
      <c r="H189" s="2"/>
      <c r="I189" s="5"/>
    </row>
    <row r="190" spans="1:9" ht="17.399999999999999" x14ac:dyDescent="0.25">
      <c r="A190" s="16"/>
      <c r="B190" s="17"/>
      <c r="C190" s="2"/>
      <c r="D190" s="2"/>
      <c r="E190" s="2"/>
      <c r="F190" s="2"/>
      <c r="G190" s="2"/>
      <c r="H190" s="2"/>
      <c r="I190" s="5"/>
    </row>
    <row r="191" spans="1:9" ht="17.399999999999999" x14ac:dyDescent="0.25">
      <c r="A191" s="16"/>
      <c r="B191" s="17"/>
      <c r="C191" s="2"/>
      <c r="D191" s="2"/>
      <c r="E191" s="2"/>
      <c r="F191" s="2"/>
      <c r="G191" s="2"/>
      <c r="H191" s="2"/>
      <c r="I191" s="5"/>
    </row>
    <row r="192" spans="1:9" ht="17.399999999999999" x14ac:dyDescent="0.25">
      <c r="A192" s="16"/>
      <c r="B192" s="17"/>
      <c r="C192" s="2"/>
      <c r="D192" s="2"/>
      <c r="E192" s="2"/>
      <c r="F192" s="2"/>
      <c r="G192" s="2"/>
      <c r="H192" s="2"/>
      <c r="I192" s="5"/>
    </row>
    <row r="193" spans="1:9" ht="17.399999999999999" x14ac:dyDescent="0.25">
      <c r="A193" s="16"/>
      <c r="B193" s="17"/>
      <c r="C193" s="2"/>
      <c r="D193" s="2"/>
      <c r="E193" s="2"/>
      <c r="F193" s="2"/>
      <c r="G193" s="2"/>
      <c r="H193" s="2"/>
      <c r="I193" s="5"/>
    </row>
    <row r="194" spans="1:9" ht="17.399999999999999" x14ac:dyDescent="0.25">
      <c r="A194" s="16"/>
      <c r="B194" s="17"/>
      <c r="C194" s="2"/>
      <c r="D194" s="2"/>
      <c r="E194" s="2"/>
      <c r="F194" s="2"/>
      <c r="G194" s="2"/>
      <c r="H194" s="2"/>
      <c r="I194" s="5"/>
    </row>
    <row r="195" spans="1:9" ht="17.399999999999999" x14ac:dyDescent="0.25">
      <c r="A195" s="16"/>
      <c r="B195" s="17"/>
      <c r="C195" s="2"/>
      <c r="D195" s="2"/>
      <c r="E195" s="2"/>
      <c r="F195" s="2"/>
      <c r="G195" s="2"/>
      <c r="H195" s="2"/>
      <c r="I195" s="5"/>
    </row>
    <row r="196" spans="1:9" ht="17.399999999999999" x14ac:dyDescent="0.25">
      <c r="A196" s="16"/>
      <c r="B196" s="17"/>
      <c r="C196" s="2"/>
      <c r="D196" s="2"/>
      <c r="E196" s="2"/>
      <c r="F196" s="2"/>
      <c r="G196" s="2"/>
      <c r="H196" s="2"/>
      <c r="I196" s="5"/>
    </row>
    <row r="197" spans="1:9" ht="17.399999999999999" x14ac:dyDescent="0.25">
      <c r="A197" s="16"/>
      <c r="B197" s="17"/>
      <c r="C197" s="2"/>
      <c r="D197" s="2"/>
      <c r="E197" s="2"/>
      <c r="F197" s="2"/>
      <c r="G197" s="2"/>
      <c r="H197" s="2"/>
      <c r="I197" s="5"/>
    </row>
    <row r="198" spans="1:9" ht="17.399999999999999" x14ac:dyDescent="0.25">
      <c r="A198" s="16"/>
      <c r="B198" s="17"/>
      <c r="C198" s="2"/>
      <c r="D198" s="2"/>
      <c r="E198" s="2"/>
      <c r="F198" s="2"/>
      <c r="G198" s="2"/>
      <c r="H198" s="2"/>
      <c r="I198" s="5"/>
    </row>
    <row r="199" spans="1:9" ht="17.399999999999999" x14ac:dyDescent="0.25">
      <c r="A199" s="16"/>
      <c r="B199" s="17"/>
      <c r="C199" s="2"/>
      <c r="D199" s="2"/>
      <c r="E199" s="2"/>
      <c r="F199" s="2"/>
      <c r="G199" s="2"/>
      <c r="H199" s="2"/>
      <c r="I199" s="5"/>
    </row>
    <row r="200" spans="1:9" ht="17.399999999999999" x14ac:dyDescent="0.25">
      <c r="A200" s="16"/>
      <c r="B200" s="17"/>
      <c r="C200" s="2"/>
      <c r="D200" s="2"/>
      <c r="E200" s="2"/>
      <c r="F200" s="2"/>
      <c r="G200" s="2"/>
      <c r="H200" s="2"/>
      <c r="I200" s="5"/>
    </row>
    <row r="201" spans="1:9" ht="17.399999999999999" x14ac:dyDescent="0.25">
      <c r="A201" s="16"/>
      <c r="B201" s="17"/>
      <c r="C201" s="2"/>
      <c r="D201" s="2"/>
      <c r="E201" s="2"/>
      <c r="F201" s="2"/>
      <c r="G201" s="2"/>
      <c r="H201" s="2"/>
      <c r="I201" s="5"/>
    </row>
    <row r="202" spans="1:9" ht="17.399999999999999" x14ac:dyDescent="0.25">
      <c r="A202" s="16"/>
      <c r="B202" s="17"/>
      <c r="C202" s="2"/>
      <c r="D202" s="2"/>
      <c r="E202" s="2"/>
      <c r="F202" s="2"/>
      <c r="G202" s="2"/>
      <c r="H202" s="2"/>
      <c r="I202" s="5"/>
    </row>
    <row r="203" spans="1:9" ht="17.399999999999999" x14ac:dyDescent="0.25">
      <c r="A203" s="16"/>
      <c r="B203" s="17"/>
      <c r="C203" s="2"/>
      <c r="D203" s="2"/>
      <c r="E203" s="2"/>
      <c r="F203" s="2"/>
      <c r="G203" s="2"/>
      <c r="H203" s="2"/>
      <c r="I203" s="5"/>
    </row>
    <row r="204" spans="1:9" ht="17.399999999999999" x14ac:dyDescent="0.25">
      <c r="A204" s="16"/>
      <c r="B204" s="17"/>
      <c r="C204" s="2"/>
      <c r="D204" s="2"/>
      <c r="E204" s="2"/>
      <c r="F204" s="2"/>
      <c r="G204" s="2"/>
      <c r="H204" s="2"/>
      <c r="I204" s="5"/>
    </row>
    <row r="205" spans="1:9" ht="17.399999999999999" x14ac:dyDescent="0.25">
      <c r="A205" s="16"/>
      <c r="B205" s="17"/>
      <c r="C205" s="2"/>
      <c r="D205" s="2"/>
      <c r="E205" s="2"/>
      <c r="F205" s="2"/>
      <c r="G205" s="2"/>
      <c r="H205" s="2"/>
      <c r="I205" s="5"/>
    </row>
    <row r="206" spans="1:9" ht="17.399999999999999" x14ac:dyDescent="0.25">
      <c r="A206" s="16"/>
      <c r="B206" s="17"/>
      <c r="C206" s="2"/>
      <c r="D206" s="2"/>
      <c r="E206" s="2"/>
      <c r="F206" s="2"/>
      <c r="G206" s="2"/>
      <c r="H206" s="2"/>
      <c r="I206" s="5"/>
    </row>
    <row r="207" spans="1:9" ht="17.399999999999999" x14ac:dyDescent="0.25">
      <c r="A207" s="16"/>
      <c r="B207" s="17"/>
      <c r="C207" s="2"/>
      <c r="D207" s="2"/>
      <c r="E207" s="2"/>
      <c r="F207" s="2"/>
      <c r="G207" s="2"/>
      <c r="H207" s="2"/>
      <c r="I207" s="5"/>
    </row>
    <row r="208" spans="1:9" ht="17.399999999999999" x14ac:dyDescent="0.25">
      <c r="A208" s="16"/>
      <c r="B208" s="17"/>
      <c r="C208" s="2"/>
      <c r="D208" s="2"/>
      <c r="E208" s="2"/>
      <c r="F208" s="2"/>
      <c r="G208" s="2"/>
      <c r="H208" s="2"/>
      <c r="I208" s="5"/>
    </row>
    <row r="209" spans="1:9" ht="17.399999999999999" x14ac:dyDescent="0.25">
      <c r="A209" s="16"/>
      <c r="B209" s="17"/>
      <c r="C209" s="2"/>
      <c r="D209" s="2"/>
      <c r="E209" s="2"/>
      <c r="F209" s="2"/>
      <c r="G209" s="2"/>
      <c r="H209" s="2"/>
      <c r="I209" s="5"/>
    </row>
    <row r="210" spans="1:9" ht="17.399999999999999" x14ac:dyDescent="0.25">
      <c r="A210" s="16"/>
      <c r="B210" s="17"/>
      <c r="C210" s="2"/>
      <c r="D210" s="2"/>
      <c r="E210" s="2"/>
      <c r="F210" s="2"/>
      <c r="G210" s="2"/>
      <c r="H210" s="2"/>
      <c r="I210" s="5"/>
    </row>
    <row r="211" spans="1:9" ht="17.399999999999999" x14ac:dyDescent="0.25">
      <c r="A211" s="16"/>
      <c r="B211" s="17"/>
      <c r="C211" s="2"/>
      <c r="D211" s="2"/>
      <c r="E211" s="2"/>
      <c r="F211" s="2"/>
      <c r="G211" s="2"/>
      <c r="H211" s="2"/>
      <c r="I211" s="5"/>
    </row>
    <row r="212" spans="1:9" ht="17.399999999999999" x14ac:dyDescent="0.25">
      <c r="A212" s="16"/>
      <c r="B212" s="17"/>
      <c r="C212" s="2"/>
      <c r="D212" s="2"/>
      <c r="E212" s="2"/>
      <c r="F212" s="2"/>
      <c r="G212" s="2"/>
      <c r="H212" s="2"/>
      <c r="I212" s="5"/>
    </row>
    <row r="213" spans="1:9" ht="17.399999999999999" x14ac:dyDescent="0.25">
      <c r="A213" s="16"/>
      <c r="B213" s="17"/>
      <c r="C213" s="2"/>
      <c r="D213" s="2"/>
      <c r="E213" s="2"/>
      <c r="F213" s="2"/>
      <c r="G213" s="2"/>
      <c r="H213" s="2"/>
      <c r="I213" s="5"/>
    </row>
    <row r="214" spans="1:9" ht="17.399999999999999" x14ac:dyDescent="0.25">
      <c r="A214" s="16"/>
      <c r="B214" s="17"/>
      <c r="C214" s="2"/>
      <c r="D214" s="2"/>
      <c r="E214" s="2"/>
      <c r="F214" s="2"/>
      <c r="G214" s="2"/>
      <c r="H214" s="2"/>
      <c r="I214" s="5"/>
    </row>
    <row r="215" spans="1:9" ht="17.399999999999999" x14ac:dyDescent="0.25">
      <c r="A215" s="16"/>
      <c r="B215" s="17"/>
      <c r="C215" s="2"/>
      <c r="D215" s="2"/>
      <c r="E215" s="2"/>
      <c r="F215" s="2"/>
      <c r="G215" s="2"/>
      <c r="H215" s="2"/>
      <c r="I215" s="5"/>
    </row>
    <row r="216" spans="1:9" ht="17.399999999999999" x14ac:dyDescent="0.25">
      <c r="A216" s="16"/>
      <c r="B216" s="17"/>
      <c r="C216" s="2"/>
      <c r="D216" s="2"/>
      <c r="E216" s="2"/>
      <c r="F216" s="2"/>
      <c r="G216" s="2"/>
      <c r="H216" s="2"/>
      <c r="I216" s="5"/>
    </row>
    <row r="217" spans="1:9" ht="17.399999999999999" x14ac:dyDescent="0.25">
      <c r="A217" s="16"/>
      <c r="B217" s="17"/>
      <c r="C217" s="2"/>
      <c r="D217" s="2"/>
      <c r="E217" s="2"/>
      <c r="F217" s="2"/>
      <c r="G217" s="2"/>
      <c r="H217" s="2"/>
      <c r="I217" s="5"/>
    </row>
    <row r="218" spans="1:9" ht="17.399999999999999" x14ac:dyDescent="0.25">
      <c r="A218" s="16"/>
      <c r="B218" s="17"/>
      <c r="C218" s="2"/>
      <c r="D218" s="2"/>
      <c r="E218" s="2"/>
      <c r="F218" s="2"/>
      <c r="G218" s="2"/>
      <c r="H218" s="2"/>
      <c r="I218" s="5"/>
    </row>
    <row r="219" spans="1:9" ht="17.399999999999999" x14ac:dyDescent="0.25">
      <c r="A219" s="16"/>
      <c r="B219" s="17"/>
      <c r="C219" s="2"/>
      <c r="D219" s="2"/>
      <c r="E219" s="2"/>
      <c r="F219" s="2"/>
      <c r="G219" s="2"/>
      <c r="H219" s="2"/>
      <c r="I219" s="5"/>
    </row>
    <row r="220" spans="1:9" ht="17.399999999999999" x14ac:dyDescent="0.25">
      <c r="A220" s="16"/>
      <c r="B220" s="17"/>
      <c r="C220" s="2"/>
      <c r="D220" s="2"/>
      <c r="E220" s="2"/>
      <c r="F220" s="2"/>
      <c r="G220" s="2"/>
      <c r="H220" s="2"/>
      <c r="I220" s="5"/>
    </row>
    <row r="221" spans="1:9" ht="17.399999999999999" x14ac:dyDescent="0.25">
      <c r="A221" s="16"/>
      <c r="B221" s="17"/>
      <c r="C221" s="2"/>
      <c r="D221" s="2"/>
      <c r="E221" s="2"/>
      <c r="F221" s="2"/>
      <c r="G221" s="2"/>
      <c r="H221" s="2"/>
      <c r="I221" s="5"/>
    </row>
    <row r="222" spans="1:9" ht="17.399999999999999" x14ac:dyDescent="0.25">
      <c r="A222" s="16"/>
      <c r="B222" s="17"/>
      <c r="C222" s="2"/>
      <c r="D222" s="2"/>
      <c r="E222" s="2"/>
      <c r="F222" s="2"/>
      <c r="G222" s="2"/>
      <c r="H222" s="2"/>
      <c r="I222" s="5"/>
    </row>
    <row r="223" spans="1:9" ht="17.399999999999999" x14ac:dyDescent="0.25">
      <c r="A223" s="16"/>
      <c r="B223" s="17"/>
      <c r="C223" s="2"/>
      <c r="D223" s="2"/>
      <c r="E223" s="2"/>
      <c r="F223" s="2"/>
      <c r="G223" s="2"/>
      <c r="H223" s="2"/>
      <c r="I223" s="5"/>
    </row>
    <row r="224" spans="1:9" ht="17.399999999999999" x14ac:dyDescent="0.25">
      <c r="A224" s="16"/>
      <c r="B224" s="17"/>
      <c r="C224" s="2"/>
      <c r="D224" s="2"/>
      <c r="E224" s="2"/>
      <c r="F224" s="2"/>
      <c r="G224" s="2"/>
      <c r="H224" s="2"/>
      <c r="I224" s="5"/>
    </row>
    <row r="225" spans="1:9" ht="17.399999999999999" x14ac:dyDescent="0.25">
      <c r="A225" s="16"/>
      <c r="B225" s="17"/>
      <c r="C225" s="2"/>
      <c r="D225" s="2"/>
      <c r="E225" s="2"/>
      <c r="F225" s="2"/>
      <c r="G225" s="2"/>
      <c r="H225" s="2"/>
      <c r="I225" s="5"/>
    </row>
    <row r="226" spans="1:9" ht="17.399999999999999" x14ac:dyDescent="0.25">
      <c r="A226" s="16"/>
      <c r="B226" s="17"/>
      <c r="C226" s="2"/>
      <c r="D226" s="2"/>
      <c r="E226" s="2"/>
      <c r="F226" s="2"/>
      <c r="G226" s="2"/>
      <c r="H226" s="2"/>
      <c r="I226" s="5"/>
    </row>
    <row r="227" spans="1:9" ht="17.399999999999999" x14ac:dyDescent="0.25">
      <c r="A227" s="16"/>
      <c r="B227" s="17"/>
      <c r="C227" s="2"/>
      <c r="D227" s="2"/>
      <c r="E227" s="2"/>
      <c r="F227" s="2"/>
      <c r="G227" s="2"/>
      <c r="H227" s="2"/>
      <c r="I227" s="5"/>
    </row>
    <row r="228" spans="1:9" ht="17.399999999999999" x14ac:dyDescent="0.25">
      <c r="A228" s="16"/>
      <c r="B228" s="17"/>
      <c r="C228" s="2"/>
      <c r="D228" s="2"/>
      <c r="E228" s="2"/>
      <c r="F228" s="2"/>
      <c r="G228" s="2"/>
      <c r="H228" s="2"/>
      <c r="I228" s="5"/>
    </row>
    <row r="229" spans="1:9" ht="17.399999999999999" x14ac:dyDescent="0.25">
      <c r="A229" s="16"/>
      <c r="B229" s="17"/>
      <c r="C229" s="2"/>
      <c r="D229" s="2"/>
      <c r="E229" s="2"/>
      <c r="F229" s="2"/>
      <c r="G229" s="2"/>
      <c r="H229" s="2"/>
      <c r="I229" s="5"/>
    </row>
    <row r="230" spans="1:9" ht="17.399999999999999" x14ac:dyDescent="0.25">
      <c r="A230" s="16"/>
      <c r="B230" s="17"/>
      <c r="C230" s="2"/>
      <c r="D230" s="2"/>
      <c r="E230" s="2"/>
      <c r="F230" s="2"/>
      <c r="G230" s="2"/>
      <c r="H230" s="2"/>
      <c r="I230" s="5"/>
    </row>
    <row r="231" spans="1:9" ht="17.399999999999999" x14ac:dyDescent="0.25">
      <c r="A231" s="16"/>
      <c r="B231" s="17"/>
      <c r="C231" s="2"/>
      <c r="D231" s="2"/>
      <c r="E231" s="2"/>
      <c r="F231" s="2"/>
      <c r="G231" s="2"/>
      <c r="H231" s="2"/>
      <c r="I231" s="5"/>
    </row>
    <row r="232" spans="1:9" ht="17.399999999999999" x14ac:dyDescent="0.25">
      <c r="A232" s="16"/>
      <c r="B232" s="17"/>
      <c r="C232" s="2"/>
      <c r="D232" s="2"/>
      <c r="E232" s="2"/>
      <c r="F232" s="2"/>
      <c r="G232" s="2"/>
      <c r="H232" s="2"/>
      <c r="I232" s="5"/>
    </row>
    <row r="233" spans="1:9" ht="17.399999999999999" x14ac:dyDescent="0.25">
      <c r="A233" s="16"/>
      <c r="B233" s="17"/>
      <c r="C233" s="2"/>
      <c r="D233" s="2"/>
      <c r="E233" s="2"/>
      <c r="F233" s="2"/>
      <c r="G233" s="2"/>
      <c r="H233" s="2"/>
      <c r="I233" s="5"/>
    </row>
    <row r="234" spans="1:9" ht="17.399999999999999" x14ac:dyDescent="0.25">
      <c r="A234" s="16"/>
      <c r="B234" s="17"/>
      <c r="C234" s="2"/>
      <c r="D234" s="2"/>
      <c r="E234" s="2"/>
      <c r="F234" s="2"/>
      <c r="G234" s="2"/>
      <c r="H234" s="2"/>
      <c r="I234" s="5"/>
    </row>
    <row r="235" spans="1:9" ht="17.399999999999999" x14ac:dyDescent="0.25">
      <c r="A235" s="16"/>
      <c r="B235" s="17"/>
      <c r="C235" s="2"/>
      <c r="D235" s="2"/>
      <c r="E235" s="2"/>
      <c r="F235" s="2"/>
      <c r="G235" s="2"/>
      <c r="H235" s="2"/>
      <c r="I235" s="5"/>
    </row>
    <row r="236" spans="1:9" ht="17.399999999999999" x14ac:dyDescent="0.25">
      <c r="A236" s="16"/>
      <c r="B236" s="17"/>
      <c r="C236" s="2"/>
      <c r="D236" s="2"/>
      <c r="E236" s="2"/>
      <c r="F236" s="2"/>
      <c r="G236" s="2"/>
      <c r="H236" s="2"/>
      <c r="I236" s="5"/>
    </row>
    <row r="237" spans="1:9" ht="17.399999999999999" x14ac:dyDescent="0.25">
      <c r="A237" s="16"/>
      <c r="B237" s="17"/>
      <c r="C237" s="2"/>
      <c r="D237" s="2"/>
      <c r="E237" s="2"/>
      <c r="F237" s="2"/>
      <c r="G237" s="2"/>
      <c r="H237" s="2"/>
      <c r="I237" s="5"/>
    </row>
    <row r="238" spans="1:9" ht="17.399999999999999" x14ac:dyDescent="0.25">
      <c r="A238" s="16"/>
      <c r="B238" s="17"/>
      <c r="C238" s="2"/>
      <c r="D238" s="2"/>
      <c r="E238" s="2"/>
      <c r="F238" s="2"/>
      <c r="G238" s="2"/>
      <c r="H238" s="2"/>
      <c r="I238" s="5"/>
    </row>
    <row r="239" spans="1:9" ht="17.399999999999999" x14ac:dyDescent="0.25">
      <c r="A239" s="16"/>
      <c r="B239" s="17"/>
      <c r="C239" s="2"/>
      <c r="D239" s="2"/>
      <c r="E239" s="2"/>
      <c r="F239" s="2"/>
      <c r="G239" s="2"/>
      <c r="H239" s="2"/>
      <c r="I239" s="5"/>
    </row>
    <row r="240" spans="1:9" ht="17.399999999999999" x14ac:dyDescent="0.25">
      <c r="A240" s="16"/>
      <c r="B240" s="17"/>
      <c r="C240" s="2"/>
      <c r="D240" s="2"/>
      <c r="E240" s="2"/>
      <c r="F240" s="2"/>
      <c r="G240" s="2"/>
      <c r="H240" s="2"/>
      <c r="I240" s="5"/>
    </row>
    <row r="241" spans="1:9" ht="17.399999999999999" x14ac:dyDescent="0.25">
      <c r="A241" s="16"/>
      <c r="B241" s="17"/>
      <c r="C241" s="2"/>
      <c r="D241" s="2"/>
      <c r="E241" s="2"/>
      <c r="F241" s="2"/>
      <c r="G241" s="2"/>
      <c r="H241" s="2"/>
      <c r="I241" s="5"/>
    </row>
    <row r="242" spans="1:9" ht="17.399999999999999" x14ac:dyDescent="0.25">
      <c r="A242" s="16"/>
      <c r="B242" s="17"/>
      <c r="C242" s="2"/>
      <c r="D242" s="2"/>
      <c r="E242" s="2"/>
      <c r="F242" s="2"/>
      <c r="G242" s="2"/>
      <c r="H242" s="2"/>
      <c r="I242" s="5"/>
    </row>
    <row r="243" spans="1:9" ht="17.399999999999999" x14ac:dyDescent="0.25">
      <c r="A243" s="16"/>
      <c r="B243" s="17"/>
      <c r="C243" s="2"/>
      <c r="D243" s="2"/>
      <c r="E243" s="2"/>
      <c r="F243" s="2"/>
      <c r="G243" s="2"/>
      <c r="H243" s="2"/>
      <c r="I243" s="5"/>
    </row>
    <row r="244" spans="1:9" ht="17.399999999999999" x14ac:dyDescent="0.25">
      <c r="A244" s="16"/>
      <c r="B244" s="17"/>
      <c r="C244" s="2"/>
      <c r="D244" s="2"/>
      <c r="E244" s="2"/>
      <c r="F244" s="2"/>
      <c r="G244" s="2"/>
      <c r="H244" s="2"/>
      <c r="I244" s="5"/>
    </row>
    <row r="245" spans="1:9" ht="17.399999999999999" x14ac:dyDescent="0.25">
      <c r="A245" s="16"/>
      <c r="B245" s="17"/>
      <c r="C245" s="2"/>
      <c r="D245" s="2"/>
      <c r="E245" s="2"/>
      <c r="F245" s="2"/>
      <c r="G245" s="2"/>
      <c r="H245" s="2"/>
      <c r="I245" s="5"/>
    </row>
    <row r="246" spans="1:9" ht="17.399999999999999" x14ac:dyDescent="0.25">
      <c r="A246" s="16"/>
      <c r="B246" s="17"/>
      <c r="C246" s="2"/>
      <c r="D246" s="2"/>
      <c r="E246" s="2"/>
      <c r="F246" s="2"/>
      <c r="G246" s="2"/>
      <c r="H246" s="2"/>
      <c r="I246" s="5"/>
    </row>
    <row r="247" spans="1:9" ht="17.399999999999999" x14ac:dyDescent="0.25">
      <c r="A247" s="16"/>
      <c r="B247" s="17"/>
      <c r="C247" s="2"/>
      <c r="D247" s="2"/>
      <c r="E247" s="2"/>
      <c r="F247" s="2"/>
      <c r="G247" s="2"/>
      <c r="H247" s="2"/>
      <c r="I247" s="5"/>
    </row>
    <row r="248" spans="1:9" ht="17.399999999999999" x14ac:dyDescent="0.25">
      <c r="A248" s="16"/>
      <c r="B248" s="17"/>
      <c r="C248" s="2"/>
      <c r="D248" s="2"/>
      <c r="E248" s="2"/>
      <c r="F248" s="2"/>
      <c r="G248" s="2"/>
      <c r="H248" s="2"/>
      <c r="I248" s="5"/>
    </row>
    <row r="249" spans="1:9" ht="17.399999999999999" x14ac:dyDescent="0.25">
      <c r="A249" s="16"/>
      <c r="B249" s="17"/>
      <c r="C249" s="2"/>
      <c r="D249" s="2"/>
      <c r="E249" s="2"/>
      <c r="F249" s="2"/>
      <c r="G249" s="2"/>
      <c r="H249" s="2"/>
      <c r="I249" s="5"/>
    </row>
    <row r="250" spans="1:9" ht="17.399999999999999" x14ac:dyDescent="0.25">
      <c r="A250" s="16"/>
      <c r="B250" s="17"/>
      <c r="C250" s="2"/>
      <c r="D250" s="2"/>
      <c r="E250" s="2"/>
      <c r="F250" s="2"/>
      <c r="G250" s="2"/>
      <c r="H250" s="2"/>
      <c r="I250" s="5"/>
    </row>
    <row r="251" spans="1:9" ht="17.399999999999999" x14ac:dyDescent="0.25">
      <c r="A251" s="16"/>
      <c r="B251" s="17"/>
      <c r="C251" s="2"/>
      <c r="D251" s="2"/>
      <c r="E251" s="2"/>
      <c r="F251" s="2"/>
      <c r="G251" s="2"/>
      <c r="H251" s="2"/>
      <c r="I251" s="5"/>
    </row>
    <row r="252" spans="1:9" ht="17.399999999999999" x14ac:dyDescent="0.25">
      <c r="A252" s="16"/>
      <c r="B252" s="17"/>
      <c r="C252" s="2"/>
      <c r="D252" s="2"/>
      <c r="E252" s="2"/>
      <c r="F252" s="2"/>
      <c r="G252" s="2"/>
      <c r="H252" s="2"/>
      <c r="I252" s="5"/>
    </row>
    <row r="253" spans="1:9" ht="17.399999999999999" x14ac:dyDescent="0.25">
      <c r="A253" s="16"/>
      <c r="B253" s="17"/>
      <c r="C253" s="2"/>
      <c r="D253" s="2"/>
      <c r="E253" s="2"/>
      <c r="F253" s="2"/>
      <c r="G253" s="2"/>
      <c r="H253" s="2"/>
      <c r="I253" s="5"/>
    </row>
    <row r="254" spans="1:9" ht="17.399999999999999" x14ac:dyDescent="0.25">
      <c r="A254" s="16"/>
      <c r="B254" s="17"/>
      <c r="C254" s="2"/>
      <c r="D254" s="2"/>
      <c r="E254" s="2"/>
      <c r="F254" s="2"/>
      <c r="G254" s="2"/>
      <c r="H254" s="2"/>
      <c r="I254" s="5"/>
    </row>
    <row r="255" spans="1:9" ht="17.399999999999999" x14ac:dyDescent="0.25">
      <c r="A255" s="16"/>
      <c r="B255" s="17"/>
      <c r="C255" s="2"/>
      <c r="D255" s="2"/>
      <c r="E255" s="2"/>
      <c r="F255" s="2"/>
      <c r="G255" s="2"/>
      <c r="H255" s="2"/>
      <c r="I255" s="5"/>
    </row>
    <row r="256" spans="1:9" ht="17.399999999999999" x14ac:dyDescent="0.25">
      <c r="A256" s="16"/>
      <c r="B256" s="17"/>
      <c r="C256" s="2"/>
      <c r="D256" s="2"/>
      <c r="E256" s="2"/>
      <c r="F256" s="2"/>
      <c r="G256" s="2"/>
      <c r="H256" s="2"/>
      <c r="I256" s="5"/>
    </row>
    <row r="257" spans="1:9" ht="17.399999999999999" x14ac:dyDescent="0.25">
      <c r="A257" s="16"/>
      <c r="B257" s="17"/>
      <c r="C257" s="2"/>
      <c r="D257" s="2"/>
      <c r="E257" s="2"/>
      <c r="F257" s="2"/>
      <c r="G257" s="2"/>
      <c r="H257" s="2"/>
      <c r="I257" s="5"/>
    </row>
    <row r="258" spans="1:9" ht="17.399999999999999" x14ac:dyDescent="0.25">
      <c r="A258" s="16"/>
      <c r="B258" s="17"/>
      <c r="C258" s="2"/>
      <c r="D258" s="2"/>
      <c r="E258" s="2"/>
      <c r="F258" s="2"/>
      <c r="G258" s="2"/>
      <c r="H258" s="2"/>
      <c r="I258" s="5"/>
    </row>
    <row r="259" spans="1:9" ht="17.399999999999999" x14ac:dyDescent="0.25">
      <c r="A259" s="16"/>
      <c r="B259" s="17"/>
      <c r="C259" s="2"/>
      <c r="D259" s="2"/>
      <c r="E259" s="2"/>
      <c r="F259" s="2"/>
      <c r="G259" s="2"/>
      <c r="H259" s="2"/>
      <c r="I259" s="5"/>
    </row>
    <row r="260" spans="1:9" ht="17.399999999999999" x14ac:dyDescent="0.25">
      <c r="A260" s="16"/>
      <c r="B260" s="17"/>
      <c r="C260" s="2"/>
      <c r="D260" s="2"/>
      <c r="E260" s="2"/>
      <c r="F260" s="2"/>
      <c r="G260" s="2"/>
      <c r="H260" s="2"/>
      <c r="I260" s="5"/>
    </row>
    <row r="261" spans="1:9" ht="17.399999999999999" x14ac:dyDescent="0.25">
      <c r="A261" s="16"/>
      <c r="B261" s="17"/>
      <c r="C261" s="2"/>
      <c r="D261" s="2"/>
      <c r="E261" s="2"/>
      <c r="F261" s="2"/>
      <c r="G261" s="2"/>
      <c r="H261" s="2"/>
      <c r="I261" s="5"/>
    </row>
    <row r="262" spans="1:9" ht="17.399999999999999" x14ac:dyDescent="0.25">
      <c r="A262" s="16"/>
      <c r="B262" s="17"/>
      <c r="C262" s="2"/>
      <c r="D262" s="2"/>
      <c r="E262" s="2"/>
      <c r="F262" s="2"/>
      <c r="G262" s="2"/>
      <c r="H262" s="2"/>
      <c r="I262" s="5"/>
    </row>
    <row r="263" spans="1:9" ht="17.399999999999999" x14ac:dyDescent="0.25">
      <c r="A263" s="16"/>
      <c r="B263" s="17"/>
      <c r="C263" s="2"/>
      <c r="D263" s="2"/>
      <c r="E263" s="2"/>
      <c r="F263" s="2"/>
      <c r="G263" s="2"/>
      <c r="H263" s="2"/>
      <c r="I263" s="5"/>
    </row>
    <row r="264" spans="1:9" ht="17.399999999999999" x14ac:dyDescent="0.25">
      <c r="A264" s="16"/>
      <c r="B264" s="17"/>
      <c r="C264" s="2"/>
      <c r="D264" s="2"/>
      <c r="E264" s="2"/>
      <c r="F264" s="2"/>
      <c r="G264" s="2"/>
      <c r="H264" s="2"/>
      <c r="I264" s="5"/>
    </row>
    <row r="265" spans="1:9" ht="17.399999999999999" x14ac:dyDescent="0.25">
      <c r="A265" s="16"/>
      <c r="B265" s="17"/>
      <c r="C265" s="2"/>
      <c r="D265" s="2"/>
      <c r="E265" s="2"/>
      <c r="F265" s="2"/>
      <c r="G265" s="2"/>
      <c r="H265" s="2"/>
      <c r="I265" s="5"/>
    </row>
    <row r="266" spans="1:9" ht="17.399999999999999" x14ac:dyDescent="0.25">
      <c r="A266" s="16"/>
      <c r="B266" s="17"/>
      <c r="C266" s="2"/>
      <c r="D266" s="2"/>
      <c r="E266" s="2"/>
      <c r="F266" s="2"/>
      <c r="G266" s="2"/>
      <c r="H266" s="2"/>
      <c r="I266" s="5"/>
    </row>
    <row r="267" spans="1:9" ht="17.399999999999999" x14ac:dyDescent="0.25">
      <c r="A267" s="16"/>
      <c r="B267" s="17"/>
      <c r="C267" s="2"/>
      <c r="D267" s="2"/>
      <c r="E267" s="2"/>
      <c r="F267" s="2"/>
      <c r="G267" s="2"/>
      <c r="H267" s="2"/>
      <c r="I267" s="5"/>
    </row>
    <row r="268" spans="1:9" ht="17.399999999999999" x14ac:dyDescent="0.25">
      <c r="A268" s="16"/>
      <c r="B268" s="17"/>
      <c r="C268" s="2"/>
      <c r="D268" s="2"/>
      <c r="E268" s="2"/>
      <c r="F268" s="2"/>
      <c r="G268" s="2"/>
      <c r="H268" s="2"/>
      <c r="I268" s="5"/>
    </row>
    <row r="269" spans="1:9" ht="17.399999999999999" x14ac:dyDescent="0.25">
      <c r="A269" s="16"/>
      <c r="B269" s="17"/>
      <c r="C269" s="2"/>
      <c r="D269" s="2"/>
      <c r="E269" s="2"/>
      <c r="F269" s="2"/>
      <c r="G269" s="2"/>
      <c r="H269" s="2"/>
      <c r="I269" s="5"/>
    </row>
    <row r="270" spans="1:9" ht="17.399999999999999" x14ac:dyDescent="0.25">
      <c r="A270" s="16"/>
      <c r="B270" s="17"/>
      <c r="C270" s="2"/>
      <c r="D270" s="2"/>
      <c r="E270" s="2"/>
      <c r="F270" s="2"/>
      <c r="G270" s="2"/>
      <c r="H270" s="2"/>
      <c r="I270" s="5"/>
    </row>
    <row r="271" spans="1:9" ht="17.399999999999999" x14ac:dyDescent="0.25">
      <c r="A271" s="16"/>
      <c r="B271" s="17"/>
      <c r="C271" s="2"/>
      <c r="D271" s="2"/>
      <c r="E271" s="2"/>
      <c r="F271" s="2"/>
      <c r="G271" s="2"/>
      <c r="H271" s="2"/>
      <c r="I271" s="5"/>
    </row>
    <row r="272" spans="1:9" ht="17.399999999999999" x14ac:dyDescent="0.25">
      <c r="A272" s="16"/>
      <c r="B272" s="17"/>
      <c r="C272" s="2"/>
      <c r="D272" s="2"/>
      <c r="E272" s="2"/>
      <c r="F272" s="2"/>
      <c r="G272" s="2"/>
      <c r="H272" s="2"/>
      <c r="I272" s="5"/>
    </row>
    <row r="273" spans="1:9" ht="17.399999999999999" x14ac:dyDescent="0.25">
      <c r="A273" s="16"/>
      <c r="B273" s="17"/>
      <c r="C273" s="2"/>
      <c r="D273" s="2"/>
      <c r="E273" s="2"/>
      <c r="F273" s="2"/>
      <c r="G273" s="2"/>
      <c r="H273" s="2"/>
      <c r="I273" s="5"/>
    </row>
    <row r="274" spans="1:9" ht="17.399999999999999" x14ac:dyDescent="0.25">
      <c r="A274" s="16"/>
      <c r="B274" s="17"/>
      <c r="C274" s="2"/>
      <c r="D274" s="2"/>
      <c r="E274" s="2"/>
      <c r="F274" s="2"/>
      <c r="G274" s="2"/>
      <c r="H274" s="2"/>
      <c r="I274" s="5"/>
    </row>
    <row r="275" spans="1:9" ht="17.399999999999999" x14ac:dyDescent="0.25">
      <c r="A275" s="16"/>
      <c r="B275" s="17"/>
      <c r="C275" s="2"/>
      <c r="D275" s="2"/>
      <c r="E275" s="2"/>
      <c r="F275" s="2"/>
      <c r="G275" s="2"/>
      <c r="H275" s="2"/>
      <c r="I275" s="5"/>
    </row>
    <row r="276" spans="1:9" ht="17.399999999999999" x14ac:dyDescent="0.25">
      <c r="A276" s="16"/>
      <c r="B276" s="17"/>
      <c r="C276" s="2"/>
      <c r="D276" s="2"/>
      <c r="E276" s="2"/>
      <c r="F276" s="2"/>
      <c r="G276" s="2"/>
      <c r="H276" s="2"/>
      <c r="I276" s="5"/>
    </row>
    <row r="277" spans="1:9" ht="17.399999999999999" x14ac:dyDescent="0.25">
      <c r="A277" s="16"/>
      <c r="B277" s="17"/>
      <c r="C277" s="2"/>
      <c r="D277" s="2"/>
      <c r="E277" s="2"/>
      <c r="F277" s="2"/>
      <c r="G277" s="2"/>
      <c r="H277" s="2"/>
      <c r="I277" s="5"/>
    </row>
    <row r="278" spans="1:9" ht="17.399999999999999" x14ac:dyDescent="0.25">
      <c r="A278" s="16"/>
      <c r="B278" s="17"/>
      <c r="C278" s="2"/>
      <c r="D278" s="2"/>
      <c r="E278" s="2"/>
      <c r="F278" s="2"/>
      <c r="G278" s="2"/>
      <c r="H278" s="2"/>
      <c r="I278" s="5"/>
    </row>
    <row r="279" spans="1:9" ht="17.399999999999999" x14ac:dyDescent="0.25">
      <c r="A279" s="16"/>
      <c r="B279" s="17"/>
      <c r="C279" s="2"/>
      <c r="D279" s="2"/>
      <c r="E279" s="2"/>
      <c r="F279" s="2"/>
      <c r="G279" s="2"/>
      <c r="H279" s="2"/>
      <c r="I279" s="5"/>
    </row>
    <row r="280" spans="1:9" ht="17.399999999999999" x14ac:dyDescent="0.25">
      <c r="A280" s="16"/>
      <c r="B280" s="17"/>
      <c r="C280" s="2"/>
      <c r="D280" s="2"/>
      <c r="E280" s="2"/>
      <c r="F280" s="2"/>
      <c r="G280" s="2"/>
      <c r="H280" s="2"/>
      <c r="I280" s="5"/>
    </row>
    <row r="281" spans="1:9" ht="17.399999999999999" x14ac:dyDescent="0.25">
      <c r="A281" s="16"/>
      <c r="B281" s="17"/>
      <c r="C281" s="2"/>
      <c r="D281" s="2"/>
      <c r="E281" s="2"/>
      <c r="F281" s="2"/>
      <c r="G281" s="2"/>
      <c r="H281" s="2"/>
      <c r="I281" s="5"/>
    </row>
    <row r="282" spans="1:9" ht="17.399999999999999" x14ac:dyDescent="0.25">
      <c r="A282" s="16"/>
      <c r="B282" s="17"/>
      <c r="C282" s="2"/>
      <c r="D282" s="2"/>
      <c r="E282" s="2"/>
      <c r="F282" s="2"/>
      <c r="G282" s="2"/>
      <c r="H282" s="2"/>
      <c r="I282" s="5"/>
    </row>
    <row r="283" spans="1:9" ht="17.399999999999999" x14ac:dyDescent="0.25">
      <c r="A283" s="16"/>
      <c r="B283" s="17"/>
      <c r="C283" s="2"/>
      <c r="D283" s="2"/>
      <c r="E283" s="2"/>
      <c r="F283" s="2"/>
      <c r="G283" s="2"/>
      <c r="H283" s="2"/>
      <c r="I283" s="5"/>
    </row>
    <row r="284" spans="1:9" ht="17.399999999999999" x14ac:dyDescent="0.25">
      <c r="A284" s="16"/>
      <c r="B284" s="17"/>
      <c r="C284" s="2"/>
      <c r="D284" s="2"/>
      <c r="E284" s="2"/>
      <c r="F284" s="2"/>
      <c r="G284" s="2"/>
      <c r="H284" s="2"/>
      <c r="I284" s="5"/>
    </row>
    <row r="285" spans="1:9" ht="17.399999999999999" x14ac:dyDescent="0.25">
      <c r="A285" s="16"/>
      <c r="B285" s="17"/>
      <c r="C285" s="2"/>
      <c r="D285" s="2"/>
      <c r="E285" s="2"/>
      <c r="F285" s="2"/>
      <c r="G285" s="2"/>
      <c r="H285" s="2"/>
      <c r="I285" s="5"/>
    </row>
    <row r="286" spans="1:9" ht="17.399999999999999" x14ac:dyDescent="0.25">
      <c r="A286" s="16"/>
      <c r="B286" s="17"/>
      <c r="C286" s="2"/>
      <c r="D286" s="2"/>
      <c r="E286" s="2"/>
      <c r="F286" s="2"/>
      <c r="G286" s="2"/>
      <c r="H286" s="2"/>
      <c r="I286" s="5"/>
    </row>
    <row r="287" spans="1:9" ht="17.399999999999999" x14ac:dyDescent="0.25">
      <c r="A287" s="16"/>
      <c r="B287" s="17"/>
      <c r="C287" s="2"/>
      <c r="D287" s="2"/>
      <c r="E287" s="2"/>
      <c r="F287" s="2"/>
      <c r="G287" s="2"/>
      <c r="H287" s="2"/>
      <c r="I287" s="5"/>
    </row>
    <row r="288" spans="1:9" ht="17.399999999999999" x14ac:dyDescent="0.25">
      <c r="A288" s="16"/>
      <c r="B288" s="17"/>
      <c r="C288" s="2"/>
      <c r="D288" s="2"/>
      <c r="E288" s="2"/>
      <c r="F288" s="2"/>
      <c r="G288" s="2"/>
      <c r="H288" s="2"/>
      <c r="I288" s="5"/>
    </row>
    <row r="289" spans="1:9" ht="17.399999999999999" x14ac:dyDescent="0.25">
      <c r="A289" s="16"/>
      <c r="B289" s="17"/>
      <c r="C289" s="2"/>
      <c r="D289" s="2"/>
      <c r="E289" s="2"/>
      <c r="F289" s="2"/>
      <c r="G289" s="2"/>
      <c r="H289" s="2"/>
      <c r="I289" s="5"/>
    </row>
    <row r="290" spans="1:9" ht="17.399999999999999" x14ac:dyDescent="0.25">
      <c r="A290" s="16"/>
      <c r="B290" s="17"/>
      <c r="C290" s="2"/>
      <c r="D290" s="2"/>
      <c r="E290" s="2"/>
      <c r="F290" s="2"/>
      <c r="G290" s="2"/>
      <c r="H290" s="2"/>
      <c r="I290" s="5"/>
    </row>
    <row r="291" spans="1:9" ht="17.399999999999999" x14ac:dyDescent="0.25">
      <c r="A291" s="16"/>
      <c r="B291" s="17"/>
      <c r="C291" s="2"/>
      <c r="D291" s="2"/>
      <c r="E291" s="2"/>
      <c r="F291" s="2"/>
      <c r="G291" s="2"/>
      <c r="H291" s="2"/>
      <c r="I291" s="5"/>
    </row>
    <row r="292" spans="1:9" ht="17.399999999999999" x14ac:dyDescent="0.25">
      <c r="A292" s="16"/>
      <c r="B292" s="17"/>
      <c r="C292" s="2"/>
      <c r="D292" s="2"/>
      <c r="E292" s="2"/>
      <c r="F292" s="2"/>
      <c r="G292" s="2"/>
      <c r="H292" s="2"/>
      <c r="I292" s="5"/>
    </row>
    <row r="293" spans="1:9" ht="17.399999999999999" x14ac:dyDescent="0.25">
      <c r="A293" s="16"/>
      <c r="B293" s="17"/>
      <c r="C293" s="2"/>
      <c r="D293" s="2"/>
      <c r="E293" s="2"/>
      <c r="F293" s="2"/>
      <c r="G293" s="2"/>
      <c r="H293" s="2"/>
      <c r="I293" s="5"/>
    </row>
    <row r="294" spans="1:9" ht="17.399999999999999" x14ac:dyDescent="0.25">
      <c r="A294" s="16"/>
      <c r="B294" s="17"/>
      <c r="C294" s="2"/>
      <c r="D294" s="2"/>
      <c r="E294" s="2"/>
      <c r="F294" s="2"/>
      <c r="G294" s="2"/>
      <c r="H294" s="2"/>
      <c r="I294" s="5"/>
    </row>
    <row r="295" spans="1:9" ht="17.399999999999999" x14ac:dyDescent="0.25">
      <c r="A295" s="16"/>
      <c r="B295" s="17"/>
      <c r="C295" s="2"/>
      <c r="D295" s="2"/>
      <c r="E295" s="2"/>
      <c r="F295" s="2"/>
      <c r="G295" s="2"/>
      <c r="H295" s="2"/>
      <c r="I295" s="5"/>
    </row>
    <row r="296" spans="1:9" ht="17.399999999999999" x14ac:dyDescent="0.25">
      <c r="A296" s="16"/>
      <c r="B296" s="17"/>
      <c r="C296" s="2"/>
      <c r="D296" s="2"/>
      <c r="E296" s="2"/>
      <c r="F296" s="2"/>
      <c r="G296" s="2"/>
      <c r="H296" s="2"/>
      <c r="I296" s="5"/>
    </row>
    <row r="297" spans="1:9" ht="17.399999999999999" x14ac:dyDescent="0.25">
      <c r="A297" s="16"/>
      <c r="B297" s="17"/>
      <c r="C297" s="2"/>
      <c r="D297" s="2"/>
      <c r="E297" s="2"/>
      <c r="F297" s="2"/>
      <c r="G297" s="2"/>
      <c r="H297" s="2"/>
      <c r="I297" s="5"/>
    </row>
    <row r="298" spans="1:9" ht="17.399999999999999" x14ac:dyDescent="0.25">
      <c r="A298" s="16"/>
      <c r="B298" s="17"/>
      <c r="C298" s="2"/>
      <c r="D298" s="2"/>
      <c r="E298" s="2"/>
      <c r="F298" s="2"/>
      <c r="G298" s="2"/>
      <c r="H298" s="2"/>
      <c r="I298" s="5"/>
    </row>
    <row r="299" spans="1:9" ht="17.399999999999999" x14ac:dyDescent="0.25">
      <c r="A299" s="16"/>
      <c r="B299" s="17"/>
      <c r="C299" s="2"/>
      <c r="D299" s="2"/>
      <c r="E299" s="2"/>
      <c r="F299" s="2"/>
      <c r="G299" s="2"/>
      <c r="H299" s="2"/>
      <c r="I299" s="5"/>
    </row>
    <row r="300" spans="1:9" ht="17.399999999999999" x14ac:dyDescent="0.25">
      <c r="A300" s="16"/>
      <c r="B300" s="17"/>
      <c r="C300" s="2"/>
      <c r="D300" s="2"/>
      <c r="E300" s="2"/>
      <c r="F300" s="2"/>
      <c r="G300" s="2"/>
      <c r="H300" s="2"/>
      <c r="I300" s="5"/>
    </row>
    <row r="301" spans="1:9" ht="17.399999999999999" x14ac:dyDescent="0.25">
      <c r="A301" s="16"/>
      <c r="B301" s="17"/>
      <c r="C301" s="2"/>
      <c r="D301" s="2"/>
      <c r="E301" s="2"/>
      <c r="F301" s="2"/>
      <c r="G301" s="2"/>
      <c r="H301" s="2"/>
      <c r="I301" s="5"/>
    </row>
    <row r="302" spans="1:9" ht="17.399999999999999" x14ac:dyDescent="0.25">
      <c r="A302" s="16"/>
      <c r="B302" s="17"/>
      <c r="C302" s="2"/>
      <c r="D302" s="2"/>
      <c r="E302" s="2"/>
      <c r="F302" s="2"/>
      <c r="G302" s="2"/>
      <c r="H302" s="2"/>
      <c r="I302" s="5"/>
    </row>
    <row r="303" spans="1:9" ht="17.399999999999999" x14ac:dyDescent="0.25">
      <c r="A303" s="16"/>
      <c r="B303" s="17"/>
      <c r="C303" s="2"/>
      <c r="D303" s="2"/>
      <c r="E303" s="2"/>
      <c r="F303" s="2"/>
      <c r="G303" s="2"/>
      <c r="H303" s="2"/>
      <c r="I303" s="5"/>
    </row>
    <row r="304" spans="1:9" ht="17.399999999999999" x14ac:dyDescent="0.25">
      <c r="A304" s="16"/>
      <c r="B304" s="17"/>
      <c r="C304" s="2"/>
      <c r="D304" s="2"/>
      <c r="E304" s="2"/>
      <c r="F304" s="2"/>
      <c r="G304" s="2"/>
      <c r="H304" s="2"/>
      <c r="I304" s="5"/>
    </row>
    <row r="305" spans="1:9" ht="17.399999999999999" x14ac:dyDescent="0.25">
      <c r="A305" s="16"/>
      <c r="B305" s="17"/>
      <c r="C305" s="2"/>
      <c r="D305" s="2"/>
      <c r="E305" s="2"/>
      <c r="F305" s="2"/>
      <c r="G305" s="2"/>
      <c r="H305" s="2"/>
      <c r="I305" s="5"/>
    </row>
    <row r="306" spans="1:9" ht="17.399999999999999" x14ac:dyDescent="0.25">
      <c r="A306" s="16"/>
      <c r="B306" s="17"/>
      <c r="C306" s="2"/>
      <c r="D306" s="2"/>
      <c r="E306" s="2"/>
      <c r="F306" s="2"/>
      <c r="G306" s="2"/>
      <c r="H306" s="2"/>
      <c r="I306" s="5"/>
    </row>
    <row r="307" spans="1:9" ht="17.399999999999999" x14ac:dyDescent="0.25">
      <c r="A307" s="16"/>
      <c r="B307" s="17"/>
      <c r="C307" s="2"/>
      <c r="D307" s="2"/>
      <c r="E307" s="2"/>
      <c r="F307" s="2"/>
      <c r="G307" s="2"/>
      <c r="H307" s="2"/>
      <c r="I307" s="5"/>
    </row>
    <row r="308" spans="1:9" ht="17.399999999999999" x14ac:dyDescent="0.25">
      <c r="A308" s="16"/>
      <c r="B308" s="17"/>
      <c r="C308" s="2"/>
      <c r="D308" s="2"/>
      <c r="E308" s="2"/>
      <c r="F308" s="2"/>
      <c r="G308" s="2"/>
      <c r="H308" s="2"/>
      <c r="I308" s="5"/>
    </row>
    <row r="309" spans="1:9" ht="17.399999999999999" x14ac:dyDescent="0.25">
      <c r="A309" s="16"/>
      <c r="B309" s="17"/>
      <c r="C309" s="2"/>
      <c r="D309" s="2"/>
      <c r="E309" s="2"/>
      <c r="F309" s="2"/>
      <c r="G309" s="2"/>
      <c r="H309" s="2"/>
      <c r="I309" s="5"/>
    </row>
    <row r="310" spans="1:9" ht="17.399999999999999" x14ac:dyDescent="0.25">
      <c r="A310" s="16"/>
      <c r="B310" s="17"/>
      <c r="C310" s="2"/>
      <c r="D310" s="2"/>
      <c r="E310" s="2"/>
      <c r="F310" s="2"/>
      <c r="G310" s="2"/>
      <c r="H310" s="2"/>
      <c r="I310" s="5"/>
    </row>
    <row r="311" spans="1:9" ht="17.399999999999999" x14ac:dyDescent="0.25">
      <c r="A311" s="16"/>
      <c r="B311" s="17"/>
      <c r="C311" s="2"/>
      <c r="D311" s="2"/>
      <c r="E311" s="2"/>
      <c r="F311" s="2"/>
      <c r="G311" s="2"/>
      <c r="H311" s="2"/>
      <c r="I311" s="5"/>
    </row>
    <row r="312" spans="1:9" ht="17.399999999999999" x14ac:dyDescent="0.25">
      <c r="A312" s="16"/>
      <c r="B312" s="17"/>
      <c r="C312" s="2"/>
      <c r="D312" s="2"/>
      <c r="E312" s="2"/>
      <c r="F312" s="2"/>
      <c r="G312" s="2"/>
      <c r="H312" s="2"/>
      <c r="I312" s="5"/>
    </row>
    <row r="313" spans="1:9" ht="17.399999999999999" x14ac:dyDescent="0.25">
      <c r="A313" s="16"/>
      <c r="B313" s="17"/>
      <c r="C313" s="2"/>
      <c r="D313" s="2"/>
      <c r="E313" s="2"/>
      <c r="F313" s="2"/>
      <c r="G313" s="2"/>
      <c r="H313" s="2"/>
      <c r="I313" s="5"/>
    </row>
    <row r="314" spans="1:9" ht="17.399999999999999" x14ac:dyDescent="0.25">
      <c r="A314" s="16"/>
      <c r="B314" s="17"/>
      <c r="C314" s="2"/>
      <c r="D314" s="2"/>
      <c r="E314" s="2"/>
      <c r="F314" s="2"/>
      <c r="G314" s="2"/>
      <c r="H314" s="2"/>
      <c r="I314" s="5"/>
    </row>
    <row r="315" spans="1:9" ht="17.399999999999999" x14ac:dyDescent="0.25">
      <c r="A315" s="16"/>
      <c r="B315" s="17"/>
      <c r="C315" s="2"/>
      <c r="D315" s="2"/>
      <c r="E315" s="2"/>
      <c r="F315" s="2"/>
      <c r="G315" s="2"/>
      <c r="H315" s="2"/>
      <c r="I315" s="5"/>
    </row>
    <row r="316" spans="1:9" ht="17.399999999999999" x14ac:dyDescent="0.25">
      <c r="A316" s="16"/>
      <c r="B316" s="17"/>
      <c r="C316" s="2"/>
      <c r="D316" s="2"/>
      <c r="E316" s="2"/>
      <c r="F316" s="2"/>
      <c r="G316" s="2"/>
      <c r="H316" s="2"/>
      <c r="I316" s="5"/>
    </row>
    <row r="317" spans="1:9" ht="17.399999999999999" x14ac:dyDescent="0.25">
      <c r="A317" s="16"/>
      <c r="B317" s="17"/>
      <c r="C317" s="2"/>
      <c r="D317" s="2"/>
      <c r="E317" s="2"/>
      <c r="F317" s="2"/>
      <c r="G317" s="2"/>
      <c r="H317" s="2"/>
      <c r="I317" s="5"/>
    </row>
    <row r="318" spans="1:9" ht="17.399999999999999" x14ac:dyDescent="0.25">
      <c r="A318" s="16"/>
      <c r="B318" s="17"/>
      <c r="C318" s="2"/>
      <c r="D318" s="2"/>
      <c r="E318" s="2"/>
      <c r="F318" s="2"/>
      <c r="G318" s="2"/>
      <c r="H318" s="2"/>
      <c r="I318" s="5"/>
    </row>
    <row r="319" spans="1:9" ht="17.399999999999999" x14ac:dyDescent="0.25">
      <c r="A319" s="16"/>
      <c r="B319" s="17"/>
      <c r="C319" s="2"/>
      <c r="D319" s="2"/>
      <c r="E319" s="2"/>
      <c r="F319" s="2"/>
      <c r="G319" s="2"/>
      <c r="H319" s="2"/>
      <c r="I319" s="5"/>
    </row>
    <row r="320" spans="1:9" ht="17.399999999999999" x14ac:dyDescent="0.25">
      <c r="A320" s="16"/>
      <c r="B320" s="17"/>
      <c r="C320" s="2"/>
      <c r="D320" s="2"/>
      <c r="E320" s="2"/>
      <c r="F320" s="2"/>
      <c r="G320" s="2"/>
      <c r="H320" s="2"/>
      <c r="I320" s="5"/>
    </row>
    <row r="321" spans="1:9" ht="17.399999999999999" x14ac:dyDescent="0.25">
      <c r="A321" s="16"/>
      <c r="B321" s="17"/>
      <c r="C321" s="2"/>
      <c r="D321" s="2"/>
      <c r="E321" s="2"/>
      <c r="F321" s="2"/>
      <c r="G321" s="2"/>
      <c r="H321" s="2"/>
      <c r="I321" s="5"/>
    </row>
    <row r="322" spans="1:9" ht="17.399999999999999" x14ac:dyDescent="0.25">
      <c r="A322" s="16"/>
      <c r="B322" s="17"/>
      <c r="C322" s="2"/>
      <c r="D322" s="2"/>
      <c r="E322" s="2"/>
      <c r="F322" s="2"/>
      <c r="G322" s="2"/>
      <c r="H322" s="2"/>
      <c r="I322" s="5"/>
    </row>
    <row r="323" spans="1:9" ht="17.399999999999999" x14ac:dyDescent="0.25">
      <c r="A323" s="16"/>
      <c r="B323" s="17"/>
      <c r="C323" s="2"/>
      <c r="D323" s="2"/>
      <c r="E323" s="2"/>
      <c r="F323" s="2"/>
      <c r="G323" s="2"/>
      <c r="H323" s="2"/>
      <c r="I323" s="5"/>
    </row>
    <row r="324" spans="1:9" ht="17.399999999999999" x14ac:dyDescent="0.25">
      <c r="A324" s="16"/>
      <c r="B324" s="17"/>
      <c r="C324" s="2"/>
      <c r="D324" s="2"/>
      <c r="E324" s="2"/>
      <c r="F324" s="2"/>
      <c r="G324" s="2"/>
      <c r="H324" s="2"/>
      <c r="I324" s="5"/>
    </row>
    <row r="325" spans="1:9" ht="17.399999999999999" x14ac:dyDescent="0.25">
      <c r="A325" s="16"/>
      <c r="B325" s="17"/>
      <c r="C325" s="2"/>
      <c r="D325" s="2"/>
      <c r="E325" s="2"/>
      <c r="F325" s="2"/>
      <c r="G325" s="2"/>
      <c r="H325" s="2"/>
      <c r="I325" s="5"/>
    </row>
    <row r="326" spans="1:9" ht="17.399999999999999" x14ac:dyDescent="0.25">
      <c r="A326" s="16"/>
      <c r="B326" s="17"/>
      <c r="C326" s="2"/>
      <c r="D326" s="2"/>
      <c r="E326" s="2"/>
      <c r="F326" s="2"/>
      <c r="G326" s="2"/>
      <c r="H326" s="2"/>
      <c r="I326" s="5"/>
    </row>
    <row r="327" spans="1:9" ht="17.399999999999999" x14ac:dyDescent="0.25">
      <c r="A327" s="16"/>
      <c r="B327" s="17"/>
      <c r="C327" s="2"/>
      <c r="D327" s="2"/>
      <c r="E327" s="2"/>
      <c r="F327" s="2"/>
      <c r="G327" s="2"/>
      <c r="H327" s="2"/>
      <c r="I327" s="5"/>
    </row>
    <row r="328" spans="1:9" ht="17.399999999999999" x14ac:dyDescent="0.25">
      <c r="A328" s="16"/>
      <c r="B328" s="17"/>
      <c r="C328" s="2"/>
      <c r="D328" s="2"/>
      <c r="E328" s="2"/>
      <c r="F328" s="2"/>
      <c r="G328" s="2"/>
      <c r="H328" s="2"/>
      <c r="I328" s="5"/>
    </row>
    <row r="329" spans="1:9" ht="17.399999999999999" x14ac:dyDescent="0.25">
      <c r="A329" s="16"/>
      <c r="B329" s="17"/>
      <c r="C329" s="2"/>
      <c r="D329" s="2"/>
      <c r="E329" s="2"/>
      <c r="F329" s="2"/>
      <c r="G329" s="2"/>
      <c r="H329" s="2"/>
      <c r="I329" s="5"/>
    </row>
    <row r="330" spans="1:9" ht="17.399999999999999" x14ac:dyDescent="0.25">
      <c r="A330" s="16"/>
      <c r="B330" s="17"/>
      <c r="C330" s="2"/>
      <c r="D330" s="2"/>
      <c r="E330" s="2"/>
      <c r="F330" s="2"/>
      <c r="G330" s="2"/>
      <c r="H330" s="2"/>
      <c r="I330" s="5"/>
    </row>
    <row r="331" spans="1:9" ht="17.399999999999999" x14ac:dyDescent="0.25">
      <c r="A331" s="16"/>
      <c r="B331" s="17"/>
      <c r="C331" s="2"/>
      <c r="D331" s="2"/>
      <c r="E331" s="2"/>
      <c r="F331" s="2"/>
      <c r="G331" s="2"/>
      <c r="H331" s="2"/>
      <c r="I331" s="5"/>
    </row>
    <row r="332" spans="1:9" ht="17.399999999999999" x14ac:dyDescent="0.25">
      <c r="A332" s="16"/>
      <c r="B332" s="17"/>
      <c r="C332" s="2"/>
      <c r="D332" s="2"/>
      <c r="E332" s="2"/>
      <c r="F332" s="2"/>
      <c r="G332" s="2"/>
      <c r="H332" s="2"/>
      <c r="I332" s="5"/>
    </row>
    <row r="333" spans="1:9" ht="17.399999999999999" x14ac:dyDescent="0.25">
      <c r="A333" s="16"/>
      <c r="B333" s="17"/>
      <c r="C333" s="2"/>
      <c r="D333" s="2"/>
      <c r="E333" s="2"/>
      <c r="F333" s="2"/>
      <c r="G333" s="2"/>
      <c r="H333" s="2"/>
      <c r="I333" s="5"/>
    </row>
    <row r="334" spans="1:9" ht="17.399999999999999" x14ac:dyDescent="0.25">
      <c r="A334" s="16"/>
      <c r="B334" s="17"/>
      <c r="C334" s="2"/>
      <c r="D334" s="2"/>
      <c r="E334" s="2"/>
      <c r="F334" s="2"/>
      <c r="G334" s="2"/>
      <c r="H334" s="2"/>
      <c r="I334" s="5"/>
    </row>
    <row r="335" spans="1:9" ht="17.399999999999999" x14ac:dyDescent="0.25">
      <c r="A335" s="16"/>
      <c r="B335" s="17"/>
      <c r="C335" s="2"/>
      <c r="D335" s="2"/>
      <c r="E335" s="2"/>
      <c r="F335" s="2"/>
      <c r="G335" s="2"/>
      <c r="H335" s="2"/>
      <c r="I335" s="5"/>
    </row>
    <row r="336" spans="1:9" ht="17.399999999999999" x14ac:dyDescent="0.25">
      <c r="A336" s="16"/>
      <c r="B336" s="17"/>
      <c r="C336" s="2"/>
      <c r="D336" s="2"/>
      <c r="E336" s="2"/>
      <c r="F336" s="2"/>
      <c r="G336" s="2"/>
      <c r="H336" s="2"/>
      <c r="I336" s="5"/>
    </row>
    <row r="337" spans="1:9" ht="17.399999999999999" x14ac:dyDescent="0.25">
      <c r="A337" s="16"/>
      <c r="B337" s="17"/>
      <c r="C337" s="2"/>
      <c r="D337" s="2"/>
      <c r="E337" s="2"/>
      <c r="F337" s="2"/>
      <c r="G337" s="2"/>
      <c r="H337" s="2"/>
      <c r="I337" s="5"/>
    </row>
    <row r="338" spans="1:9" ht="17.399999999999999" x14ac:dyDescent="0.25">
      <c r="A338" s="16"/>
      <c r="B338" s="17"/>
      <c r="C338" s="2"/>
      <c r="D338" s="2"/>
      <c r="E338" s="2"/>
      <c r="F338" s="2"/>
      <c r="G338" s="2"/>
      <c r="H338" s="2"/>
      <c r="I338" s="5"/>
    </row>
    <row r="339" spans="1:9" ht="17.399999999999999" x14ac:dyDescent="0.25">
      <c r="A339" s="16"/>
      <c r="B339" s="17"/>
      <c r="C339" s="2"/>
      <c r="D339" s="2"/>
      <c r="E339" s="2"/>
      <c r="F339" s="2"/>
      <c r="G339" s="2"/>
      <c r="H339" s="2"/>
      <c r="I339" s="5"/>
    </row>
    <row r="340" spans="1:9" ht="17.399999999999999" x14ac:dyDescent="0.25">
      <c r="A340" s="16"/>
      <c r="B340" s="17"/>
      <c r="C340" s="2"/>
      <c r="D340" s="2"/>
      <c r="E340" s="2"/>
      <c r="F340" s="2"/>
      <c r="G340" s="2"/>
      <c r="H340" s="2"/>
      <c r="I340" s="5"/>
    </row>
    <row r="341" spans="1:9" ht="17.399999999999999" x14ac:dyDescent="0.25">
      <c r="A341" s="16"/>
      <c r="B341" s="17"/>
      <c r="C341" s="2"/>
      <c r="D341" s="2"/>
      <c r="E341" s="2"/>
      <c r="F341" s="2"/>
      <c r="G341" s="2"/>
      <c r="H341" s="2"/>
      <c r="I341" s="5"/>
    </row>
    <row r="342" spans="1:9" ht="17.399999999999999" x14ac:dyDescent="0.25">
      <c r="A342" s="16"/>
      <c r="B342" s="17"/>
      <c r="C342" s="2"/>
      <c r="D342" s="2"/>
      <c r="E342" s="2"/>
      <c r="F342" s="2"/>
      <c r="G342" s="2"/>
      <c r="H342" s="2"/>
      <c r="I342" s="5"/>
    </row>
    <row r="343" spans="1:9" ht="17.399999999999999" x14ac:dyDescent="0.25">
      <c r="A343" s="16"/>
      <c r="B343" s="17"/>
      <c r="C343" s="2"/>
      <c r="D343" s="2"/>
      <c r="E343" s="2"/>
      <c r="F343" s="2"/>
      <c r="G343" s="2"/>
      <c r="H343" s="2"/>
      <c r="I343" s="5"/>
    </row>
    <row r="344" spans="1:9" ht="17.399999999999999" x14ac:dyDescent="0.25">
      <c r="A344" s="16"/>
      <c r="B344" s="17"/>
      <c r="C344" s="2"/>
      <c r="D344" s="2"/>
      <c r="E344" s="2"/>
      <c r="F344" s="2"/>
      <c r="G344" s="2"/>
      <c r="H344" s="2"/>
      <c r="I344" s="5"/>
    </row>
    <row r="345" spans="1:9" ht="17.399999999999999" x14ac:dyDescent="0.25">
      <c r="A345" s="16"/>
      <c r="B345" s="17"/>
      <c r="C345" s="2"/>
      <c r="D345" s="2"/>
      <c r="E345" s="2"/>
      <c r="F345" s="2"/>
      <c r="G345" s="2"/>
      <c r="H345" s="2"/>
      <c r="I345" s="5"/>
    </row>
    <row r="346" spans="1:9" ht="17.399999999999999" x14ac:dyDescent="0.25">
      <c r="A346" s="16"/>
      <c r="B346" s="17"/>
      <c r="C346" s="2"/>
      <c r="D346" s="2"/>
      <c r="E346" s="2"/>
      <c r="F346" s="2"/>
      <c r="G346" s="2"/>
      <c r="H346" s="2"/>
      <c r="I346" s="5"/>
    </row>
    <row r="347" spans="1:9" ht="17.399999999999999" x14ac:dyDescent="0.25">
      <c r="A347" s="16"/>
      <c r="B347" s="17"/>
      <c r="C347" s="2"/>
      <c r="D347" s="2"/>
      <c r="E347" s="2"/>
      <c r="F347" s="2"/>
      <c r="G347" s="2"/>
      <c r="H347" s="2"/>
      <c r="I347" s="5"/>
    </row>
    <row r="348" spans="1:9" ht="17.399999999999999" x14ac:dyDescent="0.25">
      <c r="A348" s="16"/>
      <c r="B348" s="17"/>
      <c r="C348" s="2"/>
      <c r="D348" s="2"/>
      <c r="E348" s="2"/>
      <c r="F348" s="2"/>
      <c r="G348" s="2"/>
      <c r="H348" s="2"/>
      <c r="I348" s="5"/>
    </row>
    <row r="349" spans="1:9" ht="17.399999999999999" x14ac:dyDescent="0.25">
      <c r="A349" s="16"/>
      <c r="B349" s="17"/>
      <c r="C349" s="2"/>
      <c r="D349" s="2"/>
      <c r="E349" s="2"/>
      <c r="F349" s="2"/>
      <c r="G349" s="2"/>
      <c r="H349" s="2"/>
      <c r="I349" s="5"/>
    </row>
    <row r="350" spans="1:9" ht="17.399999999999999" x14ac:dyDescent="0.25">
      <c r="A350" s="16"/>
      <c r="B350" s="17"/>
      <c r="C350" s="2"/>
      <c r="D350" s="2"/>
      <c r="E350" s="2"/>
      <c r="F350" s="2"/>
      <c r="G350" s="2"/>
      <c r="H350" s="2"/>
      <c r="I350" s="5"/>
    </row>
    <row r="351" spans="1:9" ht="17.399999999999999" x14ac:dyDescent="0.25">
      <c r="A351" s="16"/>
      <c r="B351" s="17"/>
      <c r="C351" s="2"/>
      <c r="D351" s="2"/>
      <c r="E351" s="2"/>
      <c r="F351" s="2"/>
      <c r="G351" s="2"/>
      <c r="H351" s="2"/>
      <c r="I351" s="5"/>
    </row>
    <row r="352" spans="1:9" ht="17.399999999999999" x14ac:dyDescent="0.25">
      <c r="A352" s="16"/>
      <c r="B352" s="17"/>
      <c r="C352" s="2"/>
      <c r="D352" s="2"/>
      <c r="E352" s="2"/>
      <c r="F352" s="2"/>
      <c r="G352" s="2"/>
      <c r="H352" s="2"/>
      <c r="I352" s="5"/>
    </row>
    <row r="353" spans="1:9" ht="17.399999999999999" x14ac:dyDescent="0.25">
      <c r="A353" s="16"/>
      <c r="B353" s="17"/>
      <c r="C353" s="2"/>
      <c r="D353" s="2"/>
      <c r="E353" s="2"/>
      <c r="F353" s="2"/>
      <c r="G353" s="2"/>
      <c r="H353" s="2"/>
      <c r="I353" s="5"/>
    </row>
    <row r="354" spans="1:9" ht="17.399999999999999" x14ac:dyDescent="0.25">
      <c r="A354" s="16"/>
      <c r="B354" s="17"/>
      <c r="C354" s="2"/>
      <c r="D354" s="2"/>
      <c r="E354" s="2"/>
      <c r="F354" s="2"/>
      <c r="G354" s="2"/>
      <c r="H354" s="2"/>
      <c r="I354" s="5"/>
    </row>
    <row r="355" spans="1:9" ht="17.399999999999999" x14ac:dyDescent="0.25">
      <c r="A355" s="16"/>
      <c r="B355" s="17"/>
      <c r="C355" s="2"/>
      <c r="D355" s="2"/>
      <c r="E355" s="2"/>
      <c r="F355" s="2"/>
      <c r="G355" s="2"/>
      <c r="H355" s="2"/>
      <c r="I355" s="5"/>
    </row>
    <row r="356" spans="1:9" ht="17.399999999999999" x14ac:dyDescent="0.25">
      <c r="A356" s="16"/>
      <c r="B356" s="17"/>
      <c r="C356" s="2"/>
      <c r="D356" s="2"/>
      <c r="E356" s="2"/>
      <c r="F356" s="2"/>
      <c r="G356" s="2"/>
      <c r="H356" s="2"/>
      <c r="I356" s="5"/>
    </row>
    <row r="357" spans="1:9" ht="17.399999999999999" x14ac:dyDescent="0.25">
      <c r="A357" s="16"/>
      <c r="B357" s="17"/>
      <c r="C357" s="2"/>
      <c r="D357" s="2"/>
      <c r="E357" s="2"/>
      <c r="F357" s="2"/>
      <c r="G357" s="2"/>
      <c r="H357" s="2"/>
      <c r="I357" s="5"/>
    </row>
    <row r="358" spans="1:9" ht="17.399999999999999" x14ac:dyDescent="0.25">
      <c r="A358" s="16"/>
      <c r="B358" s="17"/>
      <c r="C358" s="2"/>
      <c r="D358" s="2"/>
      <c r="E358" s="2"/>
      <c r="F358" s="2"/>
      <c r="G358" s="2"/>
      <c r="H358" s="2"/>
      <c r="I358" s="5"/>
    </row>
    <row r="359" spans="1:9" ht="17.399999999999999" x14ac:dyDescent="0.25">
      <c r="A359" s="16"/>
      <c r="B359" s="17"/>
      <c r="C359" s="2"/>
      <c r="D359" s="2"/>
      <c r="E359" s="2"/>
      <c r="F359" s="2"/>
      <c r="G359" s="2"/>
      <c r="H359" s="2"/>
      <c r="I359" s="5"/>
    </row>
    <row r="360" spans="1:9" ht="17.399999999999999" x14ac:dyDescent="0.25">
      <c r="A360" s="16"/>
      <c r="B360" s="17"/>
      <c r="C360" s="2"/>
      <c r="D360" s="2"/>
      <c r="E360" s="2"/>
      <c r="F360" s="2"/>
      <c r="G360" s="2"/>
      <c r="H360" s="2"/>
      <c r="I360" s="5"/>
    </row>
    <row r="361" spans="1:9" ht="17.399999999999999" x14ac:dyDescent="0.25">
      <c r="A361" s="16"/>
      <c r="B361" s="17"/>
      <c r="C361" s="2"/>
      <c r="D361" s="2"/>
      <c r="E361" s="2"/>
      <c r="F361" s="2"/>
      <c r="G361" s="2"/>
      <c r="H361" s="2"/>
      <c r="I361" s="5"/>
    </row>
    <row r="362" spans="1:9" ht="17.399999999999999" x14ac:dyDescent="0.25">
      <c r="A362" s="16"/>
      <c r="B362" s="17"/>
      <c r="C362" s="2"/>
      <c r="D362" s="2"/>
      <c r="E362" s="2"/>
      <c r="F362" s="2"/>
      <c r="G362" s="2"/>
      <c r="H362" s="2"/>
      <c r="I362" s="5"/>
    </row>
    <row r="363" spans="1:9" ht="17.399999999999999" x14ac:dyDescent="0.25">
      <c r="A363" s="16"/>
      <c r="B363" s="17"/>
      <c r="C363" s="2"/>
      <c r="D363" s="2"/>
      <c r="E363" s="2"/>
      <c r="F363" s="2"/>
      <c r="G363" s="2"/>
      <c r="H363" s="2"/>
      <c r="I363" s="5"/>
    </row>
    <row r="364" spans="1:9" ht="17.399999999999999" x14ac:dyDescent="0.25">
      <c r="A364" s="16"/>
      <c r="B364" s="17"/>
      <c r="C364" s="2"/>
      <c r="D364" s="2"/>
      <c r="E364" s="2"/>
      <c r="F364" s="2"/>
      <c r="G364" s="2"/>
      <c r="H364" s="2"/>
      <c r="I364" s="5"/>
    </row>
    <row r="365" spans="1:9" ht="17.399999999999999" x14ac:dyDescent="0.25">
      <c r="A365" s="16"/>
      <c r="B365" s="17"/>
      <c r="C365" s="2"/>
      <c r="D365" s="2"/>
      <c r="E365" s="2"/>
      <c r="F365" s="2"/>
      <c r="G365" s="2"/>
      <c r="H365" s="2"/>
      <c r="I365" s="5"/>
    </row>
    <row r="366" spans="1:9" ht="17.399999999999999" x14ac:dyDescent="0.25">
      <c r="A366" s="16"/>
      <c r="B366" s="17"/>
      <c r="C366" s="2"/>
      <c r="D366" s="2"/>
      <c r="E366" s="2"/>
      <c r="F366" s="2"/>
      <c r="G366" s="2"/>
      <c r="H366" s="2"/>
      <c r="I366" s="5"/>
    </row>
    <row r="367" spans="1:9" ht="17.399999999999999" x14ac:dyDescent="0.25">
      <c r="A367" s="16"/>
      <c r="B367" s="17"/>
      <c r="C367" s="2"/>
      <c r="D367" s="2"/>
      <c r="E367" s="2"/>
      <c r="F367" s="2"/>
      <c r="G367" s="2"/>
      <c r="H367" s="2"/>
      <c r="I367" s="5"/>
    </row>
    <row r="368" spans="1:9" ht="17.399999999999999" x14ac:dyDescent="0.25">
      <c r="A368" s="16"/>
      <c r="B368" s="17"/>
      <c r="C368" s="2"/>
      <c r="D368" s="2"/>
      <c r="E368" s="2"/>
      <c r="F368" s="2"/>
      <c r="G368" s="2"/>
      <c r="H368" s="2"/>
      <c r="I368" s="5"/>
    </row>
    <row r="369" spans="1:9" ht="17.399999999999999" x14ac:dyDescent="0.25">
      <c r="A369" s="16"/>
      <c r="B369" s="17"/>
      <c r="C369" s="2"/>
      <c r="D369" s="2"/>
      <c r="E369" s="2"/>
      <c r="F369" s="2"/>
      <c r="G369" s="2"/>
      <c r="H369" s="2"/>
      <c r="I369" s="5"/>
    </row>
    <row r="370" spans="1:9" ht="17.399999999999999" x14ac:dyDescent="0.25">
      <c r="A370" s="16"/>
      <c r="B370" s="17"/>
      <c r="C370" s="2"/>
      <c r="D370" s="2"/>
      <c r="E370" s="2"/>
      <c r="F370" s="2"/>
      <c r="G370" s="2"/>
      <c r="H370" s="2"/>
      <c r="I370" s="5"/>
    </row>
    <row r="371" spans="1:9" ht="17.399999999999999" x14ac:dyDescent="0.25">
      <c r="A371" s="16"/>
      <c r="B371" s="17"/>
      <c r="C371" s="2"/>
      <c r="D371" s="2"/>
      <c r="E371" s="2"/>
      <c r="F371" s="2"/>
      <c r="G371" s="2"/>
      <c r="H371" s="2"/>
      <c r="I371" s="5"/>
    </row>
    <row r="372" spans="1:9" ht="17.399999999999999" x14ac:dyDescent="0.25">
      <c r="A372" s="16"/>
      <c r="B372" s="17"/>
      <c r="C372" s="2"/>
      <c r="D372" s="2"/>
      <c r="E372" s="2"/>
      <c r="F372" s="2"/>
      <c r="G372" s="2"/>
      <c r="H372" s="2"/>
      <c r="I372" s="5"/>
    </row>
    <row r="373" spans="1:9" ht="17.399999999999999" x14ac:dyDescent="0.25">
      <c r="A373" s="16"/>
      <c r="B373" s="17"/>
      <c r="C373" s="2"/>
      <c r="D373" s="2"/>
      <c r="E373" s="2"/>
      <c r="F373" s="2"/>
      <c r="G373" s="2"/>
      <c r="H373" s="2"/>
      <c r="I373" s="5"/>
    </row>
    <row r="374" spans="1:9" ht="17.399999999999999" x14ac:dyDescent="0.25">
      <c r="A374" s="16"/>
      <c r="B374" s="17"/>
      <c r="C374" s="2"/>
      <c r="D374" s="2"/>
      <c r="E374" s="2"/>
      <c r="F374" s="2"/>
      <c r="G374" s="2"/>
      <c r="H374" s="2"/>
      <c r="I374" s="5"/>
    </row>
    <row r="375" spans="1:9" ht="17.399999999999999" x14ac:dyDescent="0.25">
      <c r="A375" s="16"/>
      <c r="B375" s="17"/>
      <c r="C375" s="2"/>
      <c r="D375" s="2"/>
      <c r="E375" s="2"/>
      <c r="F375" s="2"/>
      <c r="G375" s="2"/>
      <c r="H375" s="2"/>
      <c r="I375" s="5"/>
    </row>
    <row r="376" spans="1:9" ht="17.399999999999999" x14ac:dyDescent="0.25">
      <c r="A376" s="16"/>
      <c r="B376" s="17"/>
      <c r="C376" s="2"/>
      <c r="D376" s="2"/>
      <c r="E376" s="2"/>
      <c r="F376" s="2"/>
      <c r="G376" s="2"/>
      <c r="H376" s="2"/>
      <c r="I376" s="5"/>
    </row>
    <row r="377" spans="1:9" ht="17.399999999999999" x14ac:dyDescent="0.25">
      <c r="A377" s="16"/>
      <c r="B377" s="17"/>
      <c r="C377" s="2"/>
      <c r="D377" s="2"/>
      <c r="E377" s="2"/>
      <c r="F377" s="2"/>
      <c r="G377" s="2"/>
      <c r="H377" s="2"/>
      <c r="I377" s="5"/>
    </row>
    <row r="378" spans="1:9" ht="17.399999999999999" x14ac:dyDescent="0.25">
      <c r="A378" s="16"/>
      <c r="B378" s="17"/>
      <c r="C378" s="2"/>
      <c r="D378" s="2"/>
      <c r="E378" s="2"/>
      <c r="F378" s="2"/>
      <c r="G378" s="2"/>
      <c r="H378" s="2"/>
      <c r="I378" s="5"/>
    </row>
    <row r="379" spans="1:9" ht="17.399999999999999" x14ac:dyDescent="0.25">
      <c r="A379" s="16"/>
      <c r="B379" s="17"/>
      <c r="C379" s="2"/>
      <c r="D379" s="2"/>
      <c r="E379" s="2"/>
      <c r="F379" s="2"/>
      <c r="G379" s="2"/>
      <c r="H379" s="2"/>
      <c r="I379" s="5"/>
    </row>
    <row r="380" spans="1:9" ht="17.399999999999999" x14ac:dyDescent="0.25">
      <c r="A380" s="16"/>
      <c r="B380" s="17"/>
      <c r="C380" s="2"/>
      <c r="D380" s="2"/>
      <c r="E380" s="2"/>
      <c r="F380" s="2"/>
      <c r="G380" s="2"/>
      <c r="H380" s="2"/>
      <c r="I380" s="5"/>
    </row>
    <row r="381" spans="1:9" ht="17.399999999999999" x14ac:dyDescent="0.25">
      <c r="A381" s="16"/>
      <c r="B381" s="17"/>
      <c r="C381" s="2"/>
      <c r="D381" s="2"/>
      <c r="E381" s="2"/>
      <c r="F381" s="2"/>
      <c r="G381" s="2"/>
      <c r="H381" s="2"/>
      <c r="I381" s="5"/>
    </row>
    <row r="382" spans="1:9" ht="17.399999999999999" x14ac:dyDescent="0.25">
      <c r="A382" s="16"/>
      <c r="B382" s="17"/>
      <c r="C382" s="2"/>
      <c r="D382" s="2"/>
      <c r="E382" s="2"/>
      <c r="F382" s="2"/>
      <c r="G382" s="2"/>
      <c r="H382" s="2"/>
      <c r="I382" s="5"/>
    </row>
    <row r="383" spans="1:9" ht="17.399999999999999" x14ac:dyDescent="0.25">
      <c r="A383" s="16"/>
      <c r="B383" s="17"/>
      <c r="C383" s="2"/>
      <c r="D383" s="2"/>
      <c r="E383" s="2"/>
      <c r="F383" s="2"/>
      <c r="G383" s="2"/>
      <c r="H383" s="2"/>
      <c r="I383" s="5"/>
    </row>
    <row r="384" spans="1:9" ht="17.399999999999999" x14ac:dyDescent="0.25">
      <c r="A384" s="16"/>
      <c r="B384" s="17"/>
      <c r="C384" s="2"/>
      <c r="D384" s="2"/>
      <c r="E384" s="2"/>
      <c r="F384" s="2"/>
      <c r="G384" s="2"/>
      <c r="H384" s="2"/>
      <c r="I384" s="5"/>
    </row>
    <row r="385" spans="1:9" ht="17.399999999999999" x14ac:dyDescent="0.25">
      <c r="A385" s="16"/>
      <c r="B385" s="17"/>
      <c r="C385" s="2"/>
      <c r="D385" s="2"/>
      <c r="E385" s="2"/>
      <c r="F385" s="2"/>
      <c r="G385" s="2"/>
      <c r="H385" s="2"/>
      <c r="I385" s="5"/>
    </row>
    <row r="386" spans="1:9" ht="17.399999999999999" x14ac:dyDescent="0.25">
      <c r="A386" s="16"/>
      <c r="B386" s="17"/>
      <c r="C386" s="2"/>
      <c r="D386" s="2"/>
      <c r="E386" s="2"/>
      <c r="F386" s="2"/>
      <c r="G386" s="2"/>
      <c r="H386" s="2"/>
      <c r="I386" s="5"/>
    </row>
    <row r="387" spans="1:9" ht="17.399999999999999" x14ac:dyDescent="0.25">
      <c r="A387" s="16"/>
      <c r="B387" s="17"/>
      <c r="C387" s="2"/>
      <c r="D387" s="2"/>
      <c r="E387" s="2"/>
      <c r="F387" s="2"/>
      <c r="G387" s="2"/>
      <c r="H387" s="2"/>
      <c r="I387" s="5"/>
    </row>
    <row r="388" spans="1:9" ht="17.399999999999999" x14ac:dyDescent="0.25">
      <c r="A388" s="16"/>
      <c r="B388" s="17"/>
      <c r="C388" s="2"/>
      <c r="D388" s="2"/>
      <c r="E388" s="2"/>
      <c r="F388" s="2"/>
      <c r="G388" s="2"/>
      <c r="H388" s="2"/>
      <c r="I388" s="5"/>
    </row>
    <row r="389" spans="1:9" ht="17.399999999999999" x14ac:dyDescent="0.25">
      <c r="A389" s="16"/>
      <c r="B389" s="17"/>
      <c r="C389" s="2"/>
      <c r="D389" s="2"/>
      <c r="E389" s="2"/>
      <c r="F389" s="2"/>
      <c r="G389" s="2"/>
      <c r="H389" s="2"/>
      <c r="I389" s="5"/>
    </row>
    <row r="390" spans="1:9" ht="17.399999999999999" x14ac:dyDescent="0.25">
      <c r="A390" s="16"/>
      <c r="B390" s="17"/>
      <c r="C390" s="2"/>
      <c r="D390" s="2"/>
      <c r="E390" s="2"/>
      <c r="F390" s="2"/>
      <c r="G390" s="2"/>
      <c r="H390" s="2"/>
      <c r="I390" s="5"/>
    </row>
    <row r="391" spans="1:9" ht="17.399999999999999" x14ac:dyDescent="0.25">
      <c r="A391" s="16"/>
      <c r="B391" s="17"/>
      <c r="C391" s="2"/>
      <c r="D391" s="2"/>
      <c r="E391" s="2"/>
      <c r="F391" s="2"/>
      <c r="G391" s="2"/>
      <c r="H391" s="2"/>
      <c r="I391" s="5"/>
    </row>
    <row r="392" spans="1:9" ht="17.399999999999999" x14ac:dyDescent="0.25">
      <c r="A392" s="16"/>
      <c r="B392" s="17"/>
      <c r="C392" s="2"/>
      <c r="D392" s="2"/>
      <c r="E392" s="2"/>
      <c r="F392" s="2"/>
      <c r="G392" s="2"/>
      <c r="H392" s="2"/>
      <c r="I392" s="5"/>
    </row>
    <row r="393" spans="1:9" ht="17.399999999999999" x14ac:dyDescent="0.25">
      <c r="A393" s="16"/>
      <c r="B393" s="17"/>
      <c r="C393" s="2"/>
      <c r="D393" s="2"/>
      <c r="E393" s="2"/>
      <c r="F393" s="2"/>
      <c r="G393" s="2"/>
      <c r="H393" s="2"/>
      <c r="I393" s="5"/>
    </row>
    <row r="394" spans="1:9" ht="17.399999999999999" x14ac:dyDescent="0.25">
      <c r="A394" s="16"/>
      <c r="B394" s="17"/>
      <c r="C394" s="2"/>
      <c r="D394" s="2"/>
      <c r="E394" s="2"/>
      <c r="F394" s="2"/>
      <c r="G394" s="2"/>
      <c r="H394" s="2"/>
      <c r="I394" s="5"/>
    </row>
    <row r="395" spans="1:9" ht="17.399999999999999" x14ac:dyDescent="0.25">
      <c r="A395" s="16"/>
      <c r="B395" s="17"/>
      <c r="C395" s="2"/>
      <c r="D395" s="2"/>
      <c r="E395" s="2"/>
      <c r="F395" s="2"/>
      <c r="G395" s="2"/>
      <c r="H395" s="2"/>
      <c r="I395" s="5"/>
    </row>
    <row r="396" spans="1:9" ht="17.399999999999999" x14ac:dyDescent="0.25">
      <c r="A396" s="16"/>
      <c r="B396" s="17"/>
      <c r="C396" s="2"/>
      <c r="D396" s="2"/>
      <c r="E396" s="2"/>
      <c r="F396" s="2"/>
      <c r="G396" s="2"/>
      <c r="H396" s="2"/>
      <c r="I396" s="5"/>
    </row>
    <row r="397" spans="1:9" ht="17.399999999999999" x14ac:dyDescent="0.25">
      <c r="A397" s="16"/>
      <c r="B397" s="17"/>
      <c r="C397" s="2"/>
      <c r="D397" s="2"/>
      <c r="E397" s="2"/>
      <c r="F397" s="2"/>
      <c r="G397" s="2"/>
      <c r="H397" s="2"/>
      <c r="I397" s="5"/>
    </row>
    <row r="398" spans="1:9" ht="17.399999999999999" x14ac:dyDescent="0.25">
      <c r="A398" s="16"/>
      <c r="B398" s="17"/>
      <c r="C398" s="2"/>
      <c r="D398" s="2"/>
      <c r="E398" s="2"/>
      <c r="F398" s="2"/>
      <c r="G398" s="2"/>
      <c r="H398" s="2"/>
      <c r="I398" s="5"/>
    </row>
    <row r="399" spans="1:9" ht="17.399999999999999" x14ac:dyDescent="0.25">
      <c r="A399" s="16"/>
      <c r="B399" s="17"/>
      <c r="C399" s="2"/>
      <c r="D399" s="2"/>
      <c r="E399" s="2"/>
      <c r="F399" s="2"/>
      <c r="G399" s="2"/>
      <c r="H399" s="2"/>
      <c r="I399" s="5"/>
    </row>
    <row r="400" spans="1:9" ht="17.399999999999999" x14ac:dyDescent="0.25">
      <c r="A400" s="16"/>
      <c r="B400" s="17"/>
      <c r="C400" s="2"/>
      <c r="D400" s="2"/>
      <c r="E400" s="2"/>
      <c r="F400" s="2"/>
      <c r="G400" s="2"/>
      <c r="H400" s="2"/>
      <c r="I400" s="5"/>
    </row>
    <row r="401" spans="1:9" ht="17.399999999999999" x14ac:dyDescent="0.25">
      <c r="A401" s="16"/>
      <c r="B401" s="17"/>
      <c r="C401" s="2"/>
      <c r="D401" s="2"/>
      <c r="E401" s="2"/>
      <c r="F401" s="2"/>
      <c r="G401" s="2"/>
      <c r="H401" s="2"/>
      <c r="I401" s="5"/>
    </row>
    <row r="402" spans="1:9" ht="17.399999999999999" x14ac:dyDescent="0.25">
      <c r="A402" s="16"/>
      <c r="B402" s="17"/>
      <c r="C402" s="2"/>
      <c r="D402" s="2"/>
      <c r="E402" s="2"/>
      <c r="F402" s="2"/>
      <c r="G402" s="2"/>
      <c r="H402" s="2"/>
      <c r="I402" s="5"/>
    </row>
    <row r="403" spans="1:9" ht="17.399999999999999" x14ac:dyDescent="0.25">
      <c r="A403" s="16"/>
      <c r="B403" s="17"/>
      <c r="C403" s="2"/>
      <c r="D403" s="2"/>
      <c r="E403" s="2"/>
      <c r="F403" s="2"/>
      <c r="G403" s="2"/>
      <c r="H403" s="2"/>
      <c r="I403" s="5"/>
    </row>
    <row r="404" spans="1:9" ht="17.399999999999999" x14ac:dyDescent="0.25">
      <c r="A404" s="16"/>
      <c r="B404" s="17"/>
      <c r="C404" s="2"/>
      <c r="D404" s="2"/>
      <c r="E404" s="2"/>
      <c r="F404" s="2"/>
      <c r="G404" s="2"/>
      <c r="H404" s="2"/>
      <c r="I404" s="5"/>
    </row>
    <row r="405" spans="1:9" ht="17.399999999999999" x14ac:dyDescent="0.25">
      <c r="A405" s="16"/>
      <c r="B405" s="17"/>
      <c r="C405" s="2"/>
      <c r="D405" s="2"/>
      <c r="E405" s="2"/>
      <c r="F405" s="2"/>
      <c r="G405" s="2"/>
      <c r="H405" s="2"/>
      <c r="I405" s="5"/>
    </row>
    <row r="406" spans="1:9" ht="17.399999999999999" x14ac:dyDescent="0.25">
      <c r="A406" s="16"/>
      <c r="B406" s="17"/>
      <c r="C406" s="2"/>
      <c r="D406" s="2"/>
      <c r="E406" s="2"/>
      <c r="F406" s="2"/>
      <c r="G406" s="2"/>
      <c r="H406" s="2"/>
      <c r="I406" s="5"/>
    </row>
    <row r="407" spans="1:9" ht="17.399999999999999" x14ac:dyDescent="0.25">
      <c r="A407" s="16"/>
      <c r="B407" s="17"/>
      <c r="C407" s="2"/>
      <c r="D407" s="2"/>
      <c r="E407" s="2"/>
      <c r="F407" s="2"/>
      <c r="G407" s="2"/>
      <c r="H407" s="2"/>
      <c r="I407" s="5"/>
    </row>
    <row r="408" spans="1:9" ht="17.399999999999999" x14ac:dyDescent="0.25">
      <c r="A408" s="16"/>
      <c r="B408" s="17"/>
      <c r="C408" s="2"/>
      <c r="D408" s="2"/>
      <c r="E408" s="2"/>
      <c r="F408" s="2"/>
      <c r="G408" s="2"/>
      <c r="H408" s="2"/>
      <c r="I408" s="5"/>
    </row>
    <row r="409" spans="1:9" ht="17.399999999999999" x14ac:dyDescent="0.25">
      <c r="A409" s="16"/>
      <c r="B409" s="17"/>
      <c r="C409" s="2"/>
      <c r="D409" s="2"/>
      <c r="E409" s="2"/>
      <c r="F409" s="2"/>
      <c r="G409" s="2"/>
      <c r="H409" s="2"/>
      <c r="I409" s="5"/>
    </row>
    <row r="410" spans="1:9" ht="17.399999999999999" x14ac:dyDescent="0.25">
      <c r="A410" s="16"/>
      <c r="B410" s="17"/>
      <c r="C410" s="2"/>
      <c r="D410" s="2"/>
      <c r="E410" s="2"/>
      <c r="F410" s="2"/>
      <c r="G410" s="2"/>
      <c r="H410" s="2"/>
      <c r="I410" s="5"/>
    </row>
    <row r="411" spans="1:9" ht="17.399999999999999" x14ac:dyDescent="0.25">
      <c r="A411" s="16"/>
      <c r="B411" s="17"/>
      <c r="C411" s="2"/>
      <c r="D411" s="2"/>
      <c r="E411" s="2"/>
      <c r="F411" s="2"/>
      <c r="G411" s="2"/>
      <c r="H411" s="2"/>
      <c r="I411" s="5"/>
    </row>
    <row r="412" spans="1:9" ht="17.399999999999999" x14ac:dyDescent="0.25">
      <c r="A412" s="16"/>
      <c r="B412" s="17"/>
      <c r="C412" s="2"/>
      <c r="D412" s="2"/>
      <c r="E412" s="2"/>
      <c r="F412" s="2"/>
      <c r="G412" s="2"/>
      <c r="H412" s="2"/>
      <c r="I412" s="5"/>
    </row>
    <row r="413" spans="1:9" ht="17.399999999999999" x14ac:dyDescent="0.25">
      <c r="A413" s="16"/>
      <c r="B413" s="17"/>
      <c r="C413" s="2"/>
      <c r="D413" s="2"/>
      <c r="E413" s="2"/>
      <c r="F413" s="2"/>
      <c r="G413" s="2"/>
      <c r="H413" s="2"/>
      <c r="I413" s="5"/>
    </row>
    <row r="414" spans="1:9" ht="17.399999999999999" x14ac:dyDescent="0.25">
      <c r="A414" s="16"/>
      <c r="B414" s="17"/>
      <c r="C414" s="2"/>
      <c r="D414" s="2"/>
      <c r="E414" s="2"/>
      <c r="F414" s="2"/>
      <c r="G414" s="2"/>
      <c r="H414" s="2"/>
      <c r="I414" s="5"/>
    </row>
    <row r="415" spans="1:9" ht="17.399999999999999" x14ac:dyDescent="0.25">
      <c r="A415" s="16"/>
      <c r="B415" s="17"/>
      <c r="C415" s="2"/>
      <c r="D415" s="2"/>
      <c r="E415" s="2"/>
      <c r="F415" s="2"/>
      <c r="G415" s="2"/>
      <c r="H415" s="2"/>
      <c r="I415" s="5"/>
    </row>
    <row r="416" spans="1:9" ht="17.399999999999999" x14ac:dyDescent="0.25">
      <c r="A416" s="16"/>
      <c r="B416" s="17"/>
      <c r="C416" s="2"/>
      <c r="D416" s="2"/>
      <c r="E416" s="2"/>
      <c r="F416" s="2"/>
      <c r="G416" s="2"/>
      <c r="H416" s="2"/>
      <c r="I416" s="5"/>
    </row>
    <row r="417" spans="1:9" ht="17.399999999999999" x14ac:dyDescent="0.25">
      <c r="A417" s="16"/>
      <c r="B417" s="17"/>
      <c r="C417" s="2"/>
      <c r="D417" s="2"/>
      <c r="E417" s="2"/>
      <c r="F417" s="2"/>
      <c r="G417" s="2"/>
      <c r="H417" s="2"/>
      <c r="I417" s="5"/>
    </row>
    <row r="418" spans="1:9" ht="17.399999999999999" x14ac:dyDescent="0.25">
      <c r="A418" s="16"/>
      <c r="B418" s="17"/>
      <c r="C418" s="2"/>
      <c r="D418" s="2"/>
      <c r="E418" s="2"/>
      <c r="F418" s="2"/>
      <c r="G418" s="2"/>
      <c r="H418" s="2"/>
      <c r="I418" s="5"/>
    </row>
    <row r="419" spans="1:9" ht="17.399999999999999" x14ac:dyDescent="0.25">
      <c r="A419" s="16"/>
      <c r="B419" s="17"/>
      <c r="C419" s="2"/>
      <c r="D419" s="2"/>
      <c r="E419" s="2"/>
      <c r="F419" s="2"/>
      <c r="G419" s="2"/>
      <c r="H419" s="2"/>
      <c r="I419" s="5"/>
    </row>
    <row r="420" spans="1:9" ht="17.399999999999999" x14ac:dyDescent="0.25">
      <c r="A420" s="16"/>
      <c r="B420" s="17"/>
      <c r="C420" s="2"/>
      <c r="D420" s="2"/>
      <c r="E420" s="2"/>
      <c r="F420" s="2"/>
      <c r="G420" s="2"/>
      <c r="H420" s="2"/>
      <c r="I420" s="5"/>
    </row>
    <row r="421" spans="1:9" ht="17.399999999999999" x14ac:dyDescent="0.25">
      <c r="A421" s="16"/>
      <c r="B421" s="17"/>
      <c r="C421" s="2"/>
      <c r="D421" s="2"/>
      <c r="E421" s="2"/>
      <c r="F421" s="2"/>
      <c r="G421" s="2"/>
      <c r="H421" s="2"/>
      <c r="I421" s="5"/>
    </row>
    <row r="422" spans="1:9" ht="17.399999999999999" x14ac:dyDescent="0.25">
      <c r="A422" s="16"/>
      <c r="B422" s="17"/>
      <c r="C422" s="2"/>
      <c r="D422" s="2"/>
      <c r="E422" s="2"/>
      <c r="F422" s="2"/>
      <c r="G422" s="2"/>
      <c r="H422" s="2"/>
      <c r="I422" s="5"/>
    </row>
    <row r="423" spans="1:9" ht="17.399999999999999" x14ac:dyDescent="0.25">
      <c r="A423" s="16"/>
      <c r="B423" s="17"/>
      <c r="C423" s="2"/>
      <c r="D423" s="2"/>
      <c r="E423" s="2"/>
      <c r="F423" s="2"/>
      <c r="G423" s="2"/>
      <c r="H423" s="2"/>
      <c r="I423" s="5"/>
    </row>
    <row r="424" spans="1:9" ht="17.399999999999999" x14ac:dyDescent="0.25">
      <c r="A424" s="16"/>
      <c r="B424" s="17"/>
      <c r="C424" s="2"/>
      <c r="D424" s="2"/>
      <c r="E424" s="2"/>
      <c r="F424" s="2"/>
      <c r="G424" s="2"/>
      <c r="H424" s="2"/>
      <c r="I424" s="5"/>
    </row>
    <row r="425" spans="1:9" ht="17.399999999999999" x14ac:dyDescent="0.25">
      <c r="A425" s="16"/>
      <c r="B425" s="17"/>
      <c r="C425" s="2"/>
      <c r="D425" s="2"/>
      <c r="E425" s="2"/>
      <c r="F425" s="2"/>
      <c r="G425" s="2"/>
      <c r="H425" s="2"/>
      <c r="I425" s="5"/>
    </row>
    <row r="426" spans="1:9" ht="17.399999999999999" x14ac:dyDescent="0.25">
      <c r="A426" s="16"/>
      <c r="B426" s="17"/>
      <c r="C426" s="2"/>
      <c r="D426" s="2"/>
      <c r="E426" s="2"/>
      <c r="F426" s="2"/>
      <c r="G426" s="2"/>
      <c r="H426" s="2"/>
      <c r="I426" s="5"/>
    </row>
    <row r="427" spans="1:9" ht="17.399999999999999" x14ac:dyDescent="0.25">
      <c r="A427" s="16"/>
      <c r="B427" s="17"/>
      <c r="C427" s="2"/>
      <c r="D427" s="2"/>
      <c r="E427" s="2"/>
      <c r="F427" s="2"/>
      <c r="G427" s="2"/>
      <c r="H427" s="2"/>
      <c r="I427" s="5"/>
    </row>
    <row r="428" spans="1:9" ht="17.399999999999999" x14ac:dyDescent="0.25">
      <c r="A428" s="16"/>
      <c r="B428" s="17"/>
      <c r="C428" s="2"/>
      <c r="D428" s="2"/>
      <c r="E428" s="2"/>
      <c r="F428" s="2"/>
      <c r="G428" s="2"/>
      <c r="H428" s="2"/>
      <c r="I428" s="5"/>
    </row>
    <row r="429" spans="1:9" ht="17.399999999999999" x14ac:dyDescent="0.25">
      <c r="A429" s="16"/>
      <c r="B429" s="17"/>
      <c r="C429" s="2"/>
      <c r="D429" s="2"/>
      <c r="E429" s="2"/>
      <c r="F429" s="2"/>
      <c r="G429" s="2"/>
      <c r="H429" s="2"/>
      <c r="I429" s="5"/>
    </row>
    <row r="430" spans="1:9" ht="17.399999999999999" x14ac:dyDescent="0.25">
      <c r="A430" s="16"/>
      <c r="B430" s="17"/>
      <c r="C430" s="2"/>
      <c r="D430" s="2"/>
      <c r="E430" s="2"/>
      <c r="F430" s="2"/>
      <c r="G430" s="2"/>
      <c r="H430" s="2"/>
      <c r="I430" s="5"/>
    </row>
    <row r="431" spans="1:9" ht="17.399999999999999" x14ac:dyDescent="0.25">
      <c r="A431" s="16"/>
      <c r="B431" s="17"/>
      <c r="C431" s="2"/>
      <c r="D431" s="2"/>
      <c r="E431" s="2"/>
      <c r="F431" s="2"/>
      <c r="G431" s="2"/>
      <c r="H431" s="2"/>
      <c r="I431" s="5"/>
    </row>
    <row r="432" spans="1:9" ht="17.399999999999999" x14ac:dyDescent="0.25">
      <c r="A432" s="16"/>
      <c r="B432" s="17"/>
      <c r="C432" s="2"/>
      <c r="D432" s="2"/>
      <c r="E432" s="2"/>
      <c r="F432" s="2"/>
      <c r="G432" s="2"/>
      <c r="H432" s="2"/>
      <c r="I432" s="5"/>
    </row>
    <row r="433" spans="1:9" ht="17.399999999999999" x14ac:dyDescent="0.25">
      <c r="A433" s="16"/>
      <c r="B433" s="17"/>
      <c r="C433" s="2"/>
      <c r="D433" s="2"/>
      <c r="E433" s="2"/>
      <c r="F433" s="2"/>
      <c r="G433" s="2"/>
      <c r="H433" s="2"/>
      <c r="I433" s="5"/>
    </row>
    <row r="434" spans="1:9" ht="17.399999999999999" x14ac:dyDescent="0.25">
      <c r="A434" s="16"/>
      <c r="B434" s="17"/>
      <c r="C434" s="2"/>
      <c r="D434" s="2"/>
      <c r="E434" s="2"/>
      <c r="F434" s="2"/>
      <c r="G434" s="2"/>
      <c r="H434" s="2"/>
      <c r="I434" s="5"/>
    </row>
    <row r="435" spans="1:9" ht="17.399999999999999" x14ac:dyDescent="0.25">
      <c r="A435" s="16"/>
      <c r="B435" s="17"/>
      <c r="C435" s="2"/>
      <c r="D435" s="2"/>
      <c r="E435" s="2"/>
      <c r="F435" s="2"/>
      <c r="G435" s="2"/>
      <c r="H435" s="2"/>
      <c r="I435" s="5"/>
    </row>
    <row r="436" spans="1:9" ht="17.399999999999999" x14ac:dyDescent="0.25">
      <c r="A436" s="16"/>
      <c r="B436" s="17"/>
      <c r="C436" s="2"/>
      <c r="D436" s="2"/>
      <c r="E436" s="2"/>
      <c r="F436" s="2"/>
      <c r="G436" s="2"/>
      <c r="H436" s="2"/>
      <c r="I436" s="5"/>
    </row>
    <row r="437" spans="1:9" ht="17.399999999999999" x14ac:dyDescent="0.25">
      <c r="A437" s="16"/>
      <c r="B437" s="17"/>
      <c r="C437" s="2"/>
      <c r="D437" s="2"/>
      <c r="E437" s="2"/>
      <c r="F437" s="2"/>
      <c r="G437" s="2"/>
      <c r="H437" s="2"/>
      <c r="I437" s="5"/>
    </row>
    <row r="438" spans="1:9" ht="17.399999999999999" x14ac:dyDescent="0.25">
      <c r="A438" s="16"/>
      <c r="B438" s="17"/>
      <c r="C438" s="2"/>
      <c r="D438" s="2"/>
      <c r="E438" s="2"/>
      <c r="F438" s="2"/>
      <c r="G438" s="2"/>
      <c r="H438" s="2"/>
      <c r="I438" s="5"/>
    </row>
    <row r="439" spans="1:9" ht="17.399999999999999" x14ac:dyDescent="0.25">
      <c r="A439" s="16"/>
      <c r="B439" s="17"/>
      <c r="C439" s="2"/>
      <c r="D439" s="2"/>
      <c r="E439" s="2"/>
      <c r="F439" s="2"/>
      <c r="G439" s="2"/>
      <c r="H439" s="2"/>
      <c r="I439" s="5"/>
    </row>
    <row r="440" spans="1:9" ht="17.399999999999999" x14ac:dyDescent="0.25">
      <c r="A440" s="16"/>
      <c r="B440" s="17"/>
      <c r="C440" s="2"/>
      <c r="D440" s="2"/>
      <c r="E440" s="2"/>
      <c r="F440" s="2"/>
      <c r="G440" s="2"/>
      <c r="H440" s="2"/>
      <c r="I440" s="5"/>
    </row>
    <row r="441" spans="1:9" ht="17.399999999999999" x14ac:dyDescent="0.25">
      <c r="A441" s="16"/>
      <c r="B441" s="17"/>
      <c r="C441" s="2"/>
      <c r="D441" s="2"/>
      <c r="E441" s="2"/>
      <c r="F441" s="2"/>
      <c r="G441" s="2"/>
      <c r="H441" s="2"/>
      <c r="I441" s="5"/>
    </row>
    <row r="442" spans="1:9" ht="17.399999999999999" x14ac:dyDescent="0.25">
      <c r="A442" s="16"/>
      <c r="B442" s="17"/>
      <c r="C442" s="2"/>
      <c r="D442" s="2"/>
      <c r="E442" s="2"/>
      <c r="F442" s="2"/>
      <c r="G442" s="2"/>
      <c r="H442" s="2"/>
      <c r="I442" s="5"/>
    </row>
    <row r="443" spans="1:9" ht="17.399999999999999" x14ac:dyDescent="0.25">
      <c r="A443" s="16"/>
      <c r="B443" s="17"/>
      <c r="C443" s="2"/>
      <c r="D443" s="2"/>
      <c r="E443" s="2"/>
      <c r="F443" s="2"/>
      <c r="G443" s="2"/>
      <c r="H443" s="2"/>
      <c r="I443" s="5"/>
    </row>
    <row r="444" spans="1:9" ht="17.399999999999999" x14ac:dyDescent="0.25">
      <c r="A444" s="16"/>
      <c r="B444" s="17"/>
      <c r="C444" s="2"/>
      <c r="D444" s="2"/>
      <c r="E444" s="2"/>
      <c r="F444" s="2"/>
      <c r="G444" s="2"/>
      <c r="H444" s="2"/>
      <c r="I444" s="5"/>
    </row>
    <row r="445" spans="1:9" ht="17.399999999999999" x14ac:dyDescent="0.25">
      <c r="A445" s="16"/>
      <c r="B445" s="17"/>
      <c r="C445" s="2"/>
      <c r="D445" s="2"/>
      <c r="E445" s="2"/>
      <c r="F445" s="2"/>
      <c r="G445" s="2"/>
      <c r="H445" s="2"/>
      <c r="I445" s="5"/>
    </row>
    <row r="446" spans="1:9" ht="17.399999999999999" x14ac:dyDescent="0.25">
      <c r="A446" s="16"/>
      <c r="B446" s="17"/>
      <c r="C446" s="2"/>
      <c r="D446" s="2"/>
      <c r="E446" s="2"/>
      <c r="F446" s="2"/>
      <c r="G446" s="2"/>
      <c r="H446" s="2"/>
      <c r="I446" s="5"/>
    </row>
    <row r="447" spans="1:9" ht="17.399999999999999" x14ac:dyDescent="0.25">
      <c r="A447" s="16"/>
      <c r="B447" s="17"/>
      <c r="C447" s="2"/>
      <c r="D447" s="2"/>
      <c r="E447" s="2"/>
      <c r="F447" s="2"/>
      <c r="G447" s="2"/>
      <c r="H447" s="2"/>
      <c r="I447" s="5"/>
    </row>
    <row r="448" spans="1:9" ht="17.399999999999999" x14ac:dyDescent="0.25">
      <c r="A448" s="16"/>
      <c r="B448" s="17"/>
      <c r="C448" s="2"/>
      <c r="D448" s="2"/>
      <c r="E448" s="2"/>
      <c r="F448" s="2"/>
      <c r="G448" s="2"/>
      <c r="H448" s="2"/>
      <c r="I448" s="5"/>
    </row>
    <row r="449" spans="1:9" ht="17.399999999999999" x14ac:dyDescent="0.25">
      <c r="A449" s="16"/>
      <c r="B449" s="17"/>
      <c r="C449" s="2"/>
      <c r="D449" s="2"/>
      <c r="E449" s="2"/>
      <c r="F449" s="2"/>
      <c r="G449" s="2"/>
      <c r="H449" s="2"/>
      <c r="I449" s="5"/>
    </row>
    <row r="450" spans="1:9" ht="17.399999999999999" x14ac:dyDescent="0.25">
      <c r="A450" s="16"/>
      <c r="B450" s="17"/>
      <c r="C450" s="2"/>
      <c r="D450" s="2"/>
      <c r="E450" s="2"/>
      <c r="F450" s="2"/>
      <c r="G450" s="2"/>
      <c r="H450" s="2"/>
      <c r="I450" s="5"/>
    </row>
    <row r="451" spans="1:9" ht="17.399999999999999" x14ac:dyDescent="0.25">
      <c r="A451" s="16"/>
      <c r="B451" s="17"/>
      <c r="C451" s="2"/>
      <c r="D451" s="2"/>
      <c r="E451" s="2"/>
      <c r="F451" s="2"/>
      <c r="G451" s="2"/>
      <c r="H451" s="2"/>
      <c r="I451" s="5"/>
    </row>
    <row r="452" spans="1:9" ht="17.399999999999999" x14ac:dyDescent="0.25">
      <c r="A452" s="16"/>
      <c r="B452" s="17"/>
      <c r="C452" s="2"/>
      <c r="D452" s="2"/>
      <c r="E452" s="2"/>
      <c r="F452" s="2"/>
      <c r="G452" s="2"/>
      <c r="H452" s="2"/>
      <c r="I452" s="5"/>
    </row>
    <row r="453" spans="1:9" ht="17.399999999999999" x14ac:dyDescent="0.25">
      <c r="A453" s="16"/>
      <c r="B453" s="17"/>
      <c r="C453" s="2"/>
      <c r="D453" s="2"/>
      <c r="E453" s="2"/>
      <c r="F453" s="2"/>
      <c r="G453" s="2"/>
      <c r="H453" s="2"/>
      <c r="I453" s="5"/>
    </row>
    <row r="454" spans="1:9" ht="17.399999999999999" x14ac:dyDescent="0.25">
      <c r="A454" s="16"/>
      <c r="B454" s="17"/>
      <c r="C454" s="2"/>
      <c r="D454" s="2"/>
      <c r="E454" s="2"/>
      <c r="F454" s="2"/>
      <c r="G454" s="2"/>
      <c r="H454" s="2"/>
      <c r="I454" s="5"/>
    </row>
    <row r="455" spans="1:9" ht="17.399999999999999" x14ac:dyDescent="0.25">
      <c r="A455" s="16"/>
      <c r="B455" s="17"/>
      <c r="C455" s="2"/>
      <c r="D455" s="2"/>
      <c r="E455" s="2"/>
      <c r="F455" s="2"/>
      <c r="G455" s="2"/>
      <c r="H455" s="2"/>
      <c r="I455" s="5"/>
    </row>
    <row r="456" spans="1:9" ht="17.399999999999999" x14ac:dyDescent="0.25">
      <c r="A456" s="16"/>
      <c r="B456" s="17"/>
      <c r="C456" s="2"/>
      <c r="D456" s="2"/>
      <c r="E456" s="2"/>
      <c r="F456" s="2"/>
      <c r="G456" s="2"/>
      <c r="H456" s="2"/>
      <c r="I456" s="5"/>
    </row>
    <row r="457" spans="1:9" ht="17.399999999999999" x14ac:dyDescent="0.25">
      <c r="A457" s="16"/>
      <c r="B457" s="17"/>
      <c r="C457" s="2"/>
      <c r="D457" s="2"/>
      <c r="E457" s="2"/>
      <c r="F457" s="2"/>
      <c r="G457" s="2"/>
      <c r="H457" s="2"/>
      <c r="I457" s="5"/>
    </row>
    <row r="458" spans="1:9" ht="17.399999999999999" x14ac:dyDescent="0.25">
      <c r="A458" s="16"/>
      <c r="B458" s="17"/>
      <c r="C458" s="2"/>
      <c r="D458" s="2"/>
      <c r="E458" s="2"/>
      <c r="F458" s="2"/>
      <c r="G458" s="2"/>
      <c r="H458" s="2"/>
      <c r="I458" s="5"/>
    </row>
    <row r="459" spans="1:9" ht="17.399999999999999" x14ac:dyDescent="0.25">
      <c r="A459" s="16"/>
      <c r="B459" s="17"/>
      <c r="C459" s="2"/>
      <c r="D459" s="2"/>
      <c r="E459" s="2"/>
      <c r="F459" s="2"/>
      <c r="G459" s="2"/>
      <c r="H459" s="2"/>
      <c r="I459" s="5"/>
    </row>
    <row r="460" spans="1:9" ht="17.399999999999999" x14ac:dyDescent="0.25">
      <c r="A460" s="16"/>
      <c r="B460" s="17"/>
      <c r="C460" s="2"/>
      <c r="D460" s="2"/>
      <c r="E460" s="2"/>
      <c r="F460" s="2"/>
      <c r="G460" s="2"/>
      <c r="H460" s="2"/>
      <c r="I460" s="5"/>
    </row>
    <row r="461" spans="1:9" ht="17.399999999999999" x14ac:dyDescent="0.25">
      <c r="A461" s="16"/>
      <c r="B461" s="17"/>
      <c r="C461" s="2"/>
      <c r="D461" s="2"/>
      <c r="E461" s="2"/>
      <c r="F461" s="2"/>
      <c r="G461" s="2"/>
      <c r="H461" s="2"/>
      <c r="I461" s="5"/>
    </row>
    <row r="462" spans="1:9" ht="17.399999999999999" x14ac:dyDescent="0.25">
      <c r="A462" s="16"/>
      <c r="B462" s="17"/>
      <c r="C462" s="2"/>
      <c r="D462" s="2"/>
      <c r="E462" s="2"/>
      <c r="F462" s="2"/>
      <c r="G462" s="2"/>
      <c r="H462" s="2"/>
      <c r="I462" s="5"/>
    </row>
    <row r="463" spans="1:9" ht="17.399999999999999" x14ac:dyDescent="0.25">
      <c r="A463" s="16"/>
      <c r="B463" s="17"/>
      <c r="C463" s="2"/>
      <c r="D463" s="2"/>
      <c r="E463" s="2"/>
      <c r="F463" s="2"/>
      <c r="G463" s="2"/>
      <c r="H463" s="2"/>
      <c r="I463" s="5"/>
    </row>
    <row r="464" spans="1:9" ht="17.399999999999999" x14ac:dyDescent="0.25">
      <c r="A464" s="16"/>
      <c r="B464" s="17"/>
      <c r="C464" s="2"/>
      <c r="D464" s="2"/>
      <c r="E464" s="2"/>
      <c r="F464" s="2"/>
      <c r="G464" s="2"/>
      <c r="H464" s="2"/>
      <c r="I464" s="5"/>
    </row>
    <row r="465" spans="1:9" ht="17.399999999999999" x14ac:dyDescent="0.25">
      <c r="A465" s="16"/>
      <c r="B465" s="17"/>
      <c r="C465" s="2"/>
      <c r="D465" s="2"/>
      <c r="E465" s="2"/>
      <c r="F465" s="2"/>
      <c r="G465" s="2"/>
      <c r="H465" s="2"/>
      <c r="I465" s="5"/>
    </row>
    <row r="466" spans="1:9" ht="17.399999999999999" x14ac:dyDescent="0.25">
      <c r="A466" s="16"/>
      <c r="B466" s="17"/>
      <c r="C466" s="2"/>
      <c r="D466" s="2"/>
      <c r="E466" s="2"/>
      <c r="F466" s="2"/>
      <c r="G466" s="2"/>
      <c r="H466" s="2"/>
      <c r="I466" s="5"/>
    </row>
    <row r="467" spans="1:9" ht="17.399999999999999" x14ac:dyDescent="0.25">
      <c r="A467" s="16"/>
      <c r="B467" s="17"/>
      <c r="C467" s="2"/>
      <c r="D467" s="2"/>
      <c r="E467" s="2"/>
      <c r="F467" s="2"/>
      <c r="G467" s="2"/>
      <c r="H467" s="2"/>
      <c r="I467" s="5"/>
    </row>
    <row r="468" spans="1:9" ht="17.399999999999999" x14ac:dyDescent="0.25">
      <c r="A468" s="16"/>
      <c r="B468" s="17"/>
      <c r="C468" s="2"/>
      <c r="D468" s="2"/>
      <c r="E468" s="2"/>
      <c r="F468" s="2"/>
      <c r="G468" s="2"/>
      <c r="H468" s="2"/>
      <c r="I468" s="5"/>
    </row>
    <row r="469" spans="1:9" ht="17.399999999999999" x14ac:dyDescent="0.25">
      <c r="A469" s="16"/>
      <c r="B469" s="17"/>
      <c r="C469" s="2"/>
      <c r="D469" s="2"/>
      <c r="E469" s="2"/>
      <c r="F469" s="2"/>
      <c r="G469" s="2"/>
      <c r="H469" s="2"/>
      <c r="I469" s="5"/>
    </row>
    <row r="470" spans="1:9" ht="17.399999999999999" x14ac:dyDescent="0.25">
      <c r="A470" s="16"/>
      <c r="B470" s="17"/>
      <c r="C470" s="2"/>
      <c r="D470" s="2"/>
      <c r="E470" s="2"/>
      <c r="F470" s="2"/>
      <c r="G470" s="2"/>
      <c r="H470" s="2"/>
      <c r="I470" s="5"/>
    </row>
    <row r="471" spans="1:9" ht="17.399999999999999" x14ac:dyDescent="0.25">
      <c r="A471" s="16"/>
      <c r="B471" s="17"/>
      <c r="C471" s="2"/>
      <c r="D471" s="2"/>
      <c r="E471" s="2"/>
      <c r="F471" s="2"/>
      <c r="G471" s="2"/>
      <c r="H471" s="2"/>
      <c r="I471" s="5"/>
    </row>
    <row r="472" spans="1:9" ht="17.399999999999999" x14ac:dyDescent="0.25">
      <c r="A472" s="16"/>
      <c r="B472" s="17"/>
      <c r="C472" s="2"/>
      <c r="D472" s="2"/>
      <c r="E472" s="2"/>
      <c r="F472" s="2"/>
      <c r="G472" s="2"/>
      <c r="H472" s="2"/>
      <c r="I472" s="5"/>
    </row>
    <row r="473" spans="1:9" ht="17.399999999999999" x14ac:dyDescent="0.25">
      <c r="A473" s="16"/>
      <c r="B473" s="17"/>
      <c r="C473" s="2"/>
      <c r="D473" s="2"/>
      <c r="E473" s="2"/>
      <c r="F473" s="2"/>
      <c r="G473" s="2"/>
      <c r="H473" s="2"/>
      <c r="I473" s="5"/>
    </row>
    <row r="474" spans="1:9" ht="17.399999999999999" x14ac:dyDescent="0.25">
      <c r="A474" s="16"/>
      <c r="B474" s="17"/>
      <c r="C474" s="2"/>
      <c r="D474" s="2"/>
      <c r="E474" s="2"/>
      <c r="F474" s="2"/>
      <c r="G474" s="2"/>
      <c r="H474" s="2"/>
      <c r="I474" s="5"/>
    </row>
    <row r="475" spans="1:9" ht="17.399999999999999" x14ac:dyDescent="0.25">
      <c r="A475" s="16"/>
      <c r="B475" s="17"/>
      <c r="C475" s="2"/>
      <c r="D475" s="2"/>
      <c r="E475" s="2"/>
      <c r="F475" s="2"/>
      <c r="G475" s="2"/>
      <c r="H475" s="2"/>
      <c r="I475" s="5"/>
    </row>
    <row r="476" spans="1:9" ht="17.399999999999999" x14ac:dyDescent="0.25">
      <c r="A476" s="16"/>
      <c r="B476" s="17"/>
      <c r="C476" s="2"/>
      <c r="D476" s="2"/>
      <c r="E476" s="2"/>
      <c r="F476" s="2"/>
      <c r="G476" s="2"/>
      <c r="H476" s="2"/>
      <c r="I476" s="5"/>
    </row>
    <row r="477" spans="1:9" ht="17.399999999999999" x14ac:dyDescent="0.25">
      <c r="A477" s="16"/>
      <c r="B477" s="17"/>
      <c r="C477" s="2"/>
      <c r="D477" s="2"/>
      <c r="E477" s="2"/>
      <c r="F477" s="2"/>
      <c r="G477" s="2"/>
      <c r="H477" s="2"/>
      <c r="I477" s="5"/>
    </row>
    <row r="478" spans="1:9" ht="17.399999999999999" x14ac:dyDescent="0.25">
      <c r="A478" s="16"/>
      <c r="B478" s="17"/>
      <c r="C478" s="2"/>
      <c r="D478" s="2"/>
      <c r="E478" s="2"/>
      <c r="F478" s="2"/>
      <c r="G478" s="2"/>
      <c r="H478" s="2"/>
      <c r="I478" s="5"/>
    </row>
    <row r="479" spans="1:9" ht="17.399999999999999" x14ac:dyDescent="0.25">
      <c r="A479" s="16"/>
      <c r="B479" s="17"/>
      <c r="C479" s="2"/>
      <c r="D479" s="2"/>
      <c r="E479" s="2"/>
      <c r="F479" s="2"/>
      <c r="G479" s="2"/>
      <c r="H479" s="2"/>
      <c r="I479" s="5"/>
    </row>
    <row r="480" spans="1:9" ht="17.399999999999999" x14ac:dyDescent="0.25">
      <c r="A480" s="16"/>
      <c r="B480" s="17"/>
      <c r="C480" s="2"/>
      <c r="D480" s="2"/>
      <c r="E480" s="2"/>
      <c r="F480" s="2"/>
      <c r="G480" s="2"/>
      <c r="H480" s="2"/>
      <c r="I480" s="5"/>
    </row>
    <row r="481" spans="1:9" ht="17.399999999999999" x14ac:dyDescent="0.25">
      <c r="A481" s="16"/>
      <c r="B481" s="17"/>
      <c r="C481" s="2"/>
      <c r="D481" s="2"/>
      <c r="E481" s="2"/>
      <c r="F481" s="2"/>
      <c r="G481" s="2"/>
      <c r="H481" s="2"/>
      <c r="I481" s="5"/>
    </row>
    <row r="482" spans="1:9" ht="17.399999999999999" x14ac:dyDescent="0.25">
      <c r="A482" s="16"/>
      <c r="B482" s="17"/>
      <c r="C482" s="2"/>
      <c r="D482" s="2"/>
      <c r="E482" s="2"/>
      <c r="F482" s="2"/>
      <c r="G482" s="2"/>
      <c r="H482" s="2"/>
      <c r="I482" s="5"/>
    </row>
    <row r="483" spans="1:9" ht="17.399999999999999" x14ac:dyDescent="0.25">
      <c r="A483" s="16"/>
      <c r="B483" s="17"/>
      <c r="C483" s="2"/>
      <c r="D483" s="2"/>
      <c r="E483" s="2"/>
      <c r="F483" s="2"/>
      <c r="G483" s="2"/>
      <c r="H483" s="2"/>
      <c r="I483" s="5"/>
    </row>
    <row r="484" spans="1:9" ht="17.399999999999999" x14ac:dyDescent="0.25">
      <c r="A484" s="16"/>
      <c r="B484" s="17"/>
      <c r="C484" s="2"/>
      <c r="D484" s="2"/>
      <c r="E484" s="2"/>
      <c r="F484" s="2"/>
      <c r="G484" s="2"/>
      <c r="H484" s="2"/>
      <c r="I484" s="5"/>
    </row>
    <row r="485" spans="1:9" ht="17.399999999999999" x14ac:dyDescent="0.25">
      <c r="A485" s="16"/>
      <c r="B485" s="17"/>
      <c r="C485" s="2"/>
      <c r="D485" s="2"/>
      <c r="E485" s="2"/>
      <c r="F485" s="2"/>
      <c r="G485" s="2"/>
      <c r="H485" s="2"/>
      <c r="I485" s="5"/>
    </row>
    <row r="486" spans="1:9" ht="17.399999999999999" x14ac:dyDescent="0.25">
      <c r="A486" s="16"/>
      <c r="B486" s="17"/>
      <c r="C486" s="2"/>
      <c r="D486" s="2"/>
      <c r="E486" s="2"/>
      <c r="F486" s="2"/>
      <c r="G486" s="2"/>
      <c r="H486" s="2"/>
      <c r="I486" s="5"/>
    </row>
    <row r="487" spans="1:9" ht="17.399999999999999" x14ac:dyDescent="0.25">
      <c r="A487" s="16"/>
      <c r="B487" s="17"/>
      <c r="C487" s="2"/>
      <c r="D487" s="2"/>
      <c r="E487" s="2"/>
      <c r="F487" s="2"/>
      <c r="G487" s="2"/>
      <c r="H487" s="2"/>
      <c r="I487" s="5"/>
    </row>
    <row r="488" spans="1:9" ht="17.399999999999999" x14ac:dyDescent="0.25">
      <c r="A488" s="16"/>
      <c r="B488" s="17"/>
      <c r="C488" s="2"/>
      <c r="D488" s="2"/>
      <c r="E488" s="2"/>
      <c r="F488" s="2"/>
      <c r="G488" s="2"/>
      <c r="H488" s="2"/>
      <c r="I488" s="5"/>
    </row>
    <row r="489" spans="1:9" ht="17.399999999999999" x14ac:dyDescent="0.25">
      <c r="A489" s="16"/>
      <c r="B489" s="17"/>
      <c r="C489" s="2"/>
      <c r="D489" s="2"/>
      <c r="E489" s="2"/>
      <c r="F489" s="2"/>
      <c r="G489" s="2"/>
      <c r="H489" s="2"/>
      <c r="I489" s="5"/>
    </row>
    <row r="490" spans="1:9" ht="17.399999999999999" x14ac:dyDescent="0.25">
      <c r="A490" s="16"/>
      <c r="B490" s="17"/>
      <c r="C490" s="2"/>
      <c r="D490" s="2"/>
      <c r="E490" s="2"/>
      <c r="F490" s="2"/>
      <c r="G490" s="2"/>
      <c r="H490" s="2"/>
      <c r="I490" s="5"/>
    </row>
    <row r="491" spans="1:9" ht="17.399999999999999" x14ac:dyDescent="0.25">
      <c r="A491" s="16"/>
      <c r="B491" s="17"/>
      <c r="C491" s="2"/>
      <c r="D491" s="2"/>
      <c r="E491" s="2"/>
      <c r="F491" s="2"/>
      <c r="G491" s="2"/>
      <c r="H491" s="2"/>
      <c r="I491" s="5"/>
    </row>
    <row r="492" spans="1:9" ht="17.399999999999999" x14ac:dyDescent="0.25">
      <c r="A492" s="16"/>
      <c r="B492" s="17"/>
      <c r="C492" s="2"/>
      <c r="D492" s="2"/>
      <c r="E492" s="2"/>
      <c r="F492" s="2"/>
      <c r="G492" s="2"/>
      <c r="H492" s="2"/>
      <c r="I492" s="5"/>
    </row>
    <row r="493" spans="1:9" ht="17.399999999999999" x14ac:dyDescent="0.25">
      <c r="A493" s="16"/>
      <c r="B493" s="17"/>
      <c r="C493" s="2"/>
      <c r="D493" s="2"/>
      <c r="E493" s="2"/>
      <c r="F493" s="2"/>
      <c r="G493" s="2"/>
      <c r="H493" s="2"/>
      <c r="I493" s="5"/>
    </row>
    <row r="494" spans="1:9" ht="17.399999999999999" x14ac:dyDescent="0.25">
      <c r="A494" s="16"/>
      <c r="B494" s="17"/>
      <c r="C494" s="2"/>
      <c r="D494" s="2"/>
      <c r="E494" s="2"/>
      <c r="F494" s="2"/>
      <c r="G494" s="2"/>
      <c r="H494" s="2"/>
      <c r="I494" s="5"/>
    </row>
    <row r="495" spans="1:9" ht="17.399999999999999" x14ac:dyDescent="0.25">
      <c r="A495" s="16"/>
      <c r="B495" s="17"/>
      <c r="C495" s="2"/>
      <c r="D495" s="2"/>
      <c r="E495" s="2"/>
      <c r="F495" s="2"/>
      <c r="G495" s="2"/>
      <c r="H495" s="2"/>
      <c r="I495" s="5"/>
    </row>
    <row r="496" spans="1:9" ht="17.399999999999999" x14ac:dyDescent="0.25">
      <c r="A496" s="16"/>
      <c r="B496" s="17"/>
      <c r="C496" s="2"/>
      <c r="D496" s="2"/>
      <c r="E496" s="2"/>
      <c r="F496" s="2"/>
      <c r="G496" s="2"/>
      <c r="H496" s="2"/>
      <c r="I496" s="5"/>
    </row>
    <row r="497" spans="1:9" ht="17.399999999999999" x14ac:dyDescent="0.25">
      <c r="A497" s="16"/>
      <c r="B497" s="17"/>
      <c r="C497" s="2"/>
      <c r="D497" s="2"/>
      <c r="E497" s="2"/>
      <c r="F497" s="2"/>
      <c r="G497" s="2"/>
      <c r="H497" s="2"/>
      <c r="I497" s="5"/>
    </row>
    <row r="498" spans="1:9" ht="17.399999999999999" x14ac:dyDescent="0.25">
      <c r="A498" s="16"/>
      <c r="B498" s="17"/>
      <c r="C498" s="2"/>
      <c r="D498" s="2"/>
      <c r="E498" s="2"/>
      <c r="F498" s="2"/>
      <c r="G498" s="2"/>
      <c r="H498" s="2"/>
      <c r="I498" s="5"/>
    </row>
    <row r="499" spans="1:9" ht="17.399999999999999" x14ac:dyDescent="0.25">
      <c r="A499" s="16"/>
      <c r="B499" s="17"/>
      <c r="C499" s="2"/>
      <c r="D499" s="2"/>
      <c r="E499" s="2"/>
      <c r="F499" s="2"/>
      <c r="G499" s="2"/>
      <c r="H499" s="2"/>
      <c r="I499" s="5"/>
    </row>
    <row r="500" spans="1:9" ht="17.399999999999999" x14ac:dyDescent="0.25">
      <c r="A500" s="16"/>
      <c r="B500" s="17"/>
      <c r="C500" s="2"/>
      <c r="D500" s="2"/>
      <c r="E500" s="2"/>
      <c r="F500" s="2"/>
      <c r="G500" s="2"/>
      <c r="H500" s="2"/>
      <c r="I500" s="5"/>
    </row>
    <row r="501" spans="1:9" ht="17.399999999999999" x14ac:dyDescent="0.25">
      <c r="A501" s="16"/>
      <c r="B501" s="17"/>
      <c r="C501" s="2"/>
      <c r="D501" s="2"/>
      <c r="E501" s="2"/>
      <c r="F501" s="2"/>
      <c r="G501" s="2"/>
      <c r="H501" s="2"/>
      <c r="I501" s="5"/>
    </row>
    <row r="502" spans="1:9" ht="17.399999999999999" x14ac:dyDescent="0.25">
      <c r="A502" s="16"/>
      <c r="B502" s="17"/>
      <c r="C502" s="2"/>
      <c r="D502" s="2"/>
      <c r="E502" s="2"/>
      <c r="F502" s="2"/>
      <c r="G502" s="2"/>
      <c r="H502" s="2"/>
      <c r="I502" s="5"/>
    </row>
    <row r="503" spans="1:9" ht="17.399999999999999" x14ac:dyDescent="0.25">
      <c r="A503" s="16"/>
      <c r="B503" s="17"/>
      <c r="C503" s="2"/>
      <c r="D503" s="2"/>
      <c r="E503" s="2"/>
      <c r="F503" s="2"/>
      <c r="G503" s="2"/>
      <c r="H503" s="2"/>
      <c r="I503" s="5"/>
    </row>
    <row r="504" spans="1:9" ht="17.399999999999999" x14ac:dyDescent="0.25">
      <c r="A504" s="16"/>
      <c r="B504" s="17"/>
      <c r="C504" s="2"/>
      <c r="D504" s="2"/>
      <c r="E504" s="2"/>
      <c r="F504" s="2"/>
      <c r="G504" s="2"/>
      <c r="H504" s="2"/>
      <c r="I504" s="5"/>
    </row>
    <row r="505" spans="1:9" ht="17.399999999999999" x14ac:dyDescent="0.25">
      <c r="A505" s="16"/>
      <c r="B505" s="17"/>
      <c r="C505" s="2"/>
      <c r="D505" s="2"/>
      <c r="E505" s="2"/>
      <c r="F505" s="2"/>
      <c r="G505" s="2"/>
      <c r="H505" s="2"/>
      <c r="I505" s="5"/>
    </row>
    <row r="506" spans="1:9" ht="17.399999999999999" x14ac:dyDescent="0.25">
      <c r="A506" s="16"/>
      <c r="B506" s="17"/>
      <c r="C506" s="2"/>
      <c r="D506" s="2"/>
      <c r="E506" s="2"/>
      <c r="F506" s="2"/>
      <c r="G506" s="2"/>
      <c r="H506" s="2"/>
      <c r="I506" s="5"/>
    </row>
    <row r="507" spans="1:9" ht="17.399999999999999" x14ac:dyDescent="0.25">
      <c r="A507" s="16"/>
      <c r="B507" s="17"/>
      <c r="C507" s="2"/>
      <c r="D507" s="2"/>
      <c r="E507" s="2"/>
      <c r="F507" s="2"/>
      <c r="G507" s="2"/>
      <c r="H507" s="2"/>
      <c r="I507" s="5"/>
    </row>
    <row r="508" spans="1:9" ht="17.399999999999999" x14ac:dyDescent="0.25">
      <c r="A508" s="16"/>
      <c r="B508" s="17"/>
      <c r="C508" s="2"/>
      <c r="D508" s="2"/>
      <c r="E508" s="2"/>
      <c r="F508" s="2"/>
      <c r="G508" s="2"/>
      <c r="H508" s="2"/>
      <c r="I508" s="5"/>
    </row>
    <row r="509" spans="1:9" ht="17.399999999999999" x14ac:dyDescent="0.25">
      <c r="A509" s="16"/>
      <c r="B509" s="17"/>
      <c r="C509" s="2"/>
      <c r="D509" s="2"/>
      <c r="E509" s="2"/>
      <c r="F509" s="2"/>
      <c r="G509" s="2"/>
      <c r="H509" s="2"/>
      <c r="I509" s="5"/>
    </row>
    <row r="510" spans="1:9" ht="17.399999999999999" x14ac:dyDescent="0.25">
      <c r="A510" s="16"/>
      <c r="B510" s="17"/>
      <c r="C510" s="2"/>
      <c r="D510" s="2"/>
      <c r="E510" s="2"/>
      <c r="F510" s="2"/>
      <c r="G510" s="2"/>
      <c r="H510" s="2"/>
      <c r="I510" s="5"/>
    </row>
    <row r="511" spans="1:9" ht="17.399999999999999" x14ac:dyDescent="0.25">
      <c r="A511" s="16"/>
      <c r="B511" s="17"/>
      <c r="C511" s="2"/>
      <c r="D511" s="2"/>
      <c r="E511" s="2"/>
      <c r="F511" s="2"/>
      <c r="G511" s="2"/>
      <c r="H511" s="2"/>
      <c r="I511" s="5"/>
    </row>
    <row r="512" spans="1:9" ht="17.399999999999999" x14ac:dyDescent="0.25">
      <c r="A512" s="16"/>
      <c r="B512" s="17"/>
      <c r="C512" s="2"/>
      <c r="D512" s="2"/>
      <c r="E512" s="2"/>
      <c r="F512" s="2"/>
      <c r="G512" s="2"/>
      <c r="H512" s="2"/>
      <c r="I512" s="5"/>
    </row>
    <row r="513" spans="1:9" ht="17.399999999999999" x14ac:dyDescent="0.25">
      <c r="A513" s="16"/>
      <c r="B513" s="17"/>
      <c r="C513" s="2"/>
      <c r="D513" s="2"/>
      <c r="E513" s="2"/>
      <c r="F513" s="2"/>
      <c r="G513" s="2"/>
      <c r="H513" s="2"/>
      <c r="I513" s="5"/>
    </row>
    <row r="514" spans="1:9" ht="17.399999999999999" x14ac:dyDescent="0.25">
      <c r="A514" s="16"/>
      <c r="B514" s="17"/>
      <c r="C514" s="2"/>
      <c r="D514" s="2"/>
      <c r="E514" s="2"/>
      <c r="F514" s="2"/>
      <c r="G514" s="2"/>
      <c r="H514" s="2"/>
      <c r="I514" s="5"/>
    </row>
    <row r="515" spans="1:9" ht="17.399999999999999" x14ac:dyDescent="0.25">
      <c r="A515" s="16"/>
      <c r="B515" s="17"/>
      <c r="C515" s="2"/>
      <c r="D515" s="2"/>
      <c r="E515" s="2"/>
      <c r="F515" s="2"/>
      <c r="G515" s="2"/>
      <c r="H515" s="2"/>
      <c r="I515" s="5"/>
    </row>
    <row r="516" spans="1:9" ht="17.399999999999999" x14ac:dyDescent="0.25">
      <c r="A516" s="16"/>
      <c r="B516" s="17"/>
      <c r="C516" s="2"/>
      <c r="D516" s="2"/>
      <c r="E516" s="2"/>
      <c r="F516" s="2"/>
      <c r="G516" s="2"/>
      <c r="H516" s="2"/>
      <c r="I516" s="5"/>
    </row>
    <row r="517" spans="1:9" ht="17.399999999999999" x14ac:dyDescent="0.25">
      <c r="A517" s="16"/>
      <c r="B517" s="17"/>
      <c r="C517" s="2"/>
      <c r="D517" s="2"/>
      <c r="E517" s="2"/>
      <c r="F517" s="2"/>
      <c r="G517" s="2"/>
      <c r="H517" s="2"/>
      <c r="I517" s="5"/>
    </row>
    <row r="518" spans="1:9" ht="17.399999999999999" x14ac:dyDescent="0.25">
      <c r="A518" s="16"/>
      <c r="B518" s="17"/>
      <c r="C518" s="2"/>
      <c r="D518" s="2"/>
      <c r="E518" s="2"/>
      <c r="F518" s="2"/>
      <c r="G518" s="2"/>
      <c r="H518" s="2"/>
      <c r="I518" s="5"/>
    </row>
    <row r="519" spans="1:9" ht="17.399999999999999" x14ac:dyDescent="0.25">
      <c r="A519" s="16"/>
      <c r="B519" s="17"/>
      <c r="C519" s="2"/>
      <c r="D519" s="2"/>
      <c r="E519" s="2"/>
      <c r="F519" s="2"/>
      <c r="G519" s="2"/>
      <c r="H519" s="2"/>
      <c r="I519" s="5"/>
    </row>
    <row r="520" spans="1:9" ht="17.399999999999999" x14ac:dyDescent="0.25">
      <c r="A520" s="16"/>
      <c r="B520" s="17"/>
      <c r="C520" s="2"/>
      <c r="D520" s="2"/>
      <c r="E520" s="2"/>
      <c r="F520" s="2"/>
      <c r="G520" s="2"/>
      <c r="H520" s="2"/>
      <c r="I520" s="5"/>
    </row>
    <row r="521" spans="1:9" ht="17.399999999999999" x14ac:dyDescent="0.25">
      <c r="A521" s="16"/>
      <c r="B521" s="17"/>
      <c r="C521" s="2"/>
      <c r="D521" s="2"/>
      <c r="E521" s="2"/>
      <c r="F521" s="2"/>
      <c r="G521" s="2"/>
      <c r="H521" s="2"/>
      <c r="I521" s="5"/>
    </row>
    <row r="522" spans="1:9" ht="17.399999999999999" x14ac:dyDescent="0.25">
      <c r="A522" s="16"/>
      <c r="B522" s="17"/>
      <c r="C522" s="2"/>
      <c r="D522" s="2"/>
      <c r="E522" s="2"/>
      <c r="F522" s="2"/>
      <c r="G522" s="2"/>
      <c r="H522" s="2"/>
      <c r="I522" s="5"/>
    </row>
    <row r="523" spans="1:9" ht="17.399999999999999" x14ac:dyDescent="0.25">
      <c r="A523" s="16"/>
      <c r="B523" s="17"/>
      <c r="C523" s="2"/>
      <c r="D523" s="2"/>
      <c r="E523" s="2"/>
      <c r="F523" s="2"/>
      <c r="G523" s="2"/>
      <c r="H523" s="2"/>
      <c r="I523" s="5"/>
    </row>
    <row r="524" spans="1:9" ht="17.399999999999999" x14ac:dyDescent="0.25">
      <c r="A524" s="16"/>
      <c r="B524" s="17"/>
      <c r="C524" s="2"/>
      <c r="D524" s="2"/>
      <c r="E524" s="2"/>
      <c r="F524" s="2"/>
      <c r="G524" s="2"/>
      <c r="H524" s="2"/>
      <c r="I524" s="5"/>
    </row>
    <row r="525" spans="1:9" ht="17.399999999999999" x14ac:dyDescent="0.25">
      <c r="A525" s="16"/>
      <c r="B525" s="17"/>
      <c r="C525" s="2"/>
      <c r="D525" s="2"/>
      <c r="E525" s="2"/>
      <c r="F525" s="2"/>
      <c r="G525" s="2"/>
      <c r="H525" s="2"/>
      <c r="I525" s="5"/>
    </row>
    <row r="526" spans="1:9" ht="17.399999999999999" x14ac:dyDescent="0.25">
      <c r="A526" s="16"/>
      <c r="B526" s="17"/>
      <c r="C526" s="2"/>
      <c r="D526" s="2"/>
      <c r="E526" s="2"/>
      <c r="F526" s="2"/>
      <c r="G526" s="2"/>
      <c r="H526" s="2"/>
      <c r="I526" s="5"/>
    </row>
    <row r="527" spans="1:9" ht="17.399999999999999" x14ac:dyDescent="0.25">
      <c r="A527" s="16"/>
      <c r="B527" s="17"/>
      <c r="C527" s="2"/>
      <c r="D527" s="2"/>
      <c r="E527" s="2"/>
      <c r="F527" s="2"/>
      <c r="G527" s="2"/>
      <c r="H527" s="2"/>
      <c r="I527" s="5"/>
    </row>
    <row r="528" spans="1:9" ht="17.399999999999999" x14ac:dyDescent="0.25">
      <c r="A528" s="16"/>
      <c r="B528" s="17"/>
      <c r="C528" s="2"/>
      <c r="D528" s="2"/>
      <c r="E528" s="2"/>
      <c r="F528" s="2"/>
      <c r="G528" s="2"/>
      <c r="H528" s="2"/>
      <c r="I528" s="5"/>
    </row>
    <row r="529" spans="1:9" ht="17.399999999999999" x14ac:dyDescent="0.25">
      <c r="A529" s="16"/>
      <c r="B529" s="17"/>
      <c r="C529" s="2"/>
      <c r="D529" s="2"/>
      <c r="E529" s="2"/>
      <c r="F529" s="2"/>
      <c r="G529" s="2"/>
      <c r="H529" s="2"/>
      <c r="I529" s="5"/>
    </row>
    <row r="530" spans="1:9" ht="17.399999999999999" x14ac:dyDescent="0.25">
      <c r="A530" s="16"/>
      <c r="B530" s="17"/>
      <c r="C530" s="2"/>
      <c r="D530" s="2"/>
      <c r="E530" s="2"/>
      <c r="F530" s="2"/>
      <c r="G530" s="2"/>
      <c r="H530" s="2"/>
      <c r="I530" s="5"/>
    </row>
    <row r="531" spans="1:9" ht="17.399999999999999" x14ac:dyDescent="0.25">
      <c r="A531" s="16"/>
      <c r="B531" s="17"/>
      <c r="C531" s="2"/>
      <c r="D531" s="2"/>
      <c r="E531" s="2"/>
      <c r="F531" s="2"/>
      <c r="G531" s="2"/>
      <c r="H531" s="2"/>
      <c r="I531" s="5"/>
    </row>
    <row r="532" spans="1:9" ht="17.399999999999999" x14ac:dyDescent="0.25">
      <c r="A532" s="16"/>
      <c r="B532" s="17"/>
      <c r="C532" s="2"/>
      <c r="D532" s="2"/>
      <c r="E532" s="2"/>
      <c r="F532" s="2"/>
      <c r="G532" s="2"/>
      <c r="H532" s="2"/>
      <c r="I532" s="5"/>
    </row>
    <row r="533" spans="1:9" ht="17.399999999999999" x14ac:dyDescent="0.25">
      <c r="A533" s="16"/>
      <c r="B533" s="17"/>
      <c r="C533" s="2"/>
      <c r="D533" s="2"/>
      <c r="E533" s="2"/>
      <c r="F533" s="2"/>
      <c r="G533" s="2"/>
      <c r="H533" s="2"/>
      <c r="I533" s="5"/>
    </row>
    <row r="534" spans="1:9" ht="17.399999999999999" x14ac:dyDescent="0.25">
      <c r="A534" s="16"/>
      <c r="B534" s="17"/>
      <c r="C534" s="2"/>
      <c r="D534" s="2"/>
      <c r="E534" s="2"/>
      <c r="F534" s="2"/>
      <c r="G534" s="2"/>
      <c r="H534" s="2"/>
      <c r="I534" s="5"/>
    </row>
    <row r="535" spans="1:9" ht="17.399999999999999" x14ac:dyDescent="0.25">
      <c r="A535" s="16"/>
      <c r="B535" s="17"/>
      <c r="C535" s="2"/>
      <c r="D535" s="2"/>
      <c r="E535" s="2"/>
      <c r="F535" s="2"/>
      <c r="G535" s="2"/>
      <c r="H535" s="2"/>
      <c r="I535" s="5"/>
    </row>
    <row r="536" spans="1:9" ht="17.399999999999999" x14ac:dyDescent="0.25">
      <c r="A536" s="16"/>
      <c r="B536" s="17"/>
      <c r="C536" s="2"/>
      <c r="D536" s="2"/>
      <c r="E536" s="2"/>
      <c r="F536" s="2"/>
      <c r="G536" s="2"/>
      <c r="H536" s="2"/>
      <c r="I536" s="5"/>
    </row>
    <row r="537" spans="1:9" ht="17.399999999999999" x14ac:dyDescent="0.25">
      <c r="A537" s="16"/>
      <c r="B537" s="17"/>
      <c r="C537" s="2"/>
      <c r="D537" s="2"/>
      <c r="E537" s="2"/>
      <c r="F537" s="2"/>
      <c r="G537" s="2"/>
      <c r="H537" s="2"/>
      <c r="I537" s="5"/>
    </row>
    <row r="538" spans="1:9" ht="17.399999999999999" x14ac:dyDescent="0.25">
      <c r="A538" s="16"/>
      <c r="B538" s="17"/>
      <c r="C538" s="2"/>
      <c r="D538" s="2"/>
      <c r="E538" s="2"/>
      <c r="F538" s="2"/>
      <c r="G538" s="2"/>
      <c r="H538" s="2"/>
      <c r="I538" s="5"/>
    </row>
    <row r="539" spans="1:9" ht="17.399999999999999" x14ac:dyDescent="0.25">
      <c r="A539" s="16"/>
      <c r="B539" s="17"/>
      <c r="C539" s="2"/>
      <c r="D539" s="2"/>
      <c r="E539" s="2"/>
      <c r="F539" s="2"/>
      <c r="G539" s="2"/>
      <c r="H539" s="2"/>
      <c r="I539" s="5"/>
    </row>
    <row r="540" spans="1:9" ht="17.399999999999999" x14ac:dyDescent="0.25">
      <c r="A540" s="16"/>
      <c r="B540" s="17"/>
      <c r="C540" s="2"/>
      <c r="D540" s="2"/>
      <c r="E540" s="2"/>
      <c r="F540" s="2"/>
      <c r="G540" s="2"/>
      <c r="H540" s="2"/>
      <c r="I540" s="5"/>
    </row>
    <row r="541" spans="1:9" ht="17.399999999999999" x14ac:dyDescent="0.25">
      <c r="A541" s="16"/>
      <c r="B541" s="17"/>
      <c r="C541" s="2"/>
      <c r="D541" s="2"/>
      <c r="E541" s="2"/>
      <c r="F541" s="2"/>
      <c r="G541" s="2"/>
      <c r="H541" s="2"/>
      <c r="I541" s="5"/>
    </row>
    <row r="542" spans="1:9" ht="17.399999999999999" x14ac:dyDescent="0.25">
      <c r="A542" s="16"/>
      <c r="B542" s="17"/>
      <c r="C542" s="2"/>
      <c r="D542" s="2"/>
      <c r="E542" s="2"/>
      <c r="F542" s="2"/>
      <c r="G542" s="2"/>
      <c r="H542" s="2"/>
      <c r="I542" s="5"/>
    </row>
    <row r="543" spans="1:9" ht="17.399999999999999" x14ac:dyDescent="0.25">
      <c r="A543" s="16"/>
      <c r="B543" s="17"/>
      <c r="C543" s="2"/>
      <c r="D543" s="2"/>
      <c r="E543" s="2"/>
      <c r="F543" s="2"/>
      <c r="G543" s="2"/>
      <c r="H543" s="2"/>
      <c r="I543" s="5"/>
    </row>
    <row r="544" spans="1:9" ht="17.399999999999999" x14ac:dyDescent="0.25">
      <c r="A544" s="16"/>
      <c r="B544" s="17"/>
      <c r="C544" s="2"/>
      <c r="D544" s="2"/>
      <c r="E544" s="2"/>
      <c r="F544" s="2"/>
      <c r="G544" s="2"/>
      <c r="H544" s="2"/>
      <c r="I544" s="5"/>
    </row>
    <row r="545" spans="1:9" ht="17.399999999999999" x14ac:dyDescent="0.25">
      <c r="A545" s="16"/>
      <c r="B545" s="17"/>
      <c r="C545" s="2"/>
      <c r="D545" s="2"/>
      <c r="E545" s="2"/>
      <c r="F545" s="2"/>
      <c r="G545" s="2"/>
      <c r="H545" s="2"/>
      <c r="I545" s="5"/>
    </row>
    <row r="546" spans="1:9" ht="17.399999999999999" x14ac:dyDescent="0.25">
      <c r="A546" s="16"/>
      <c r="B546" s="17"/>
      <c r="C546" s="2"/>
      <c r="D546" s="2"/>
      <c r="E546" s="2"/>
      <c r="F546" s="2"/>
      <c r="G546" s="2"/>
      <c r="H546" s="2"/>
      <c r="I546" s="5"/>
    </row>
    <row r="547" spans="1:9" ht="17.399999999999999" x14ac:dyDescent="0.25">
      <c r="A547" s="16"/>
      <c r="B547" s="17"/>
      <c r="C547" s="2"/>
      <c r="D547" s="2"/>
      <c r="E547" s="2"/>
      <c r="F547" s="2"/>
      <c r="G547" s="2"/>
      <c r="H547" s="2"/>
      <c r="I547" s="5"/>
    </row>
    <row r="548" spans="1:9" ht="17.399999999999999" x14ac:dyDescent="0.25">
      <c r="A548" s="16"/>
      <c r="B548" s="17"/>
      <c r="C548" s="2"/>
      <c r="D548" s="2"/>
      <c r="E548" s="2"/>
      <c r="F548" s="2"/>
      <c r="G548" s="2"/>
      <c r="H548" s="2"/>
      <c r="I548" s="5"/>
    </row>
    <row r="549" spans="1:9" ht="17.399999999999999" x14ac:dyDescent="0.25">
      <c r="A549" s="16"/>
      <c r="B549" s="17"/>
      <c r="C549" s="2"/>
      <c r="D549" s="2"/>
      <c r="E549" s="2"/>
      <c r="F549" s="2"/>
      <c r="G549" s="2"/>
      <c r="H549" s="2"/>
      <c r="I549" s="5"/>
    </row>
    <row r="550" spans="1:9" ht="17.399999999999999" x14ac:dyDescent="0.25">
      <c r="A550" s="16"/>
      <c r="B550" s="17"/>
      <c r="C550" s="2"/>
      <c r="D550" s="2"/>
      <c r="E550" s="2"/>
      <c r="F550" s="2"/>
      <c r="G550" s="2"/>
      <c r="H550" s="2"/>
      <c r="I550" s="5"/>
    </row>
    <row r="551" spans="1:9" ht="17.399999999999999" x14ac:dyDescent="0.25">
      <c r="A551" s="16"/>
      <c r="B551" s="17"/>
      <c r="C551" s="2"/>
      <c r="D551" s="2"/>
      <c r="E551" s="2"/>
      <c r="F551" s="2"/>
      <c r="G551" s="2"/>
      <c r="H551" s="2"/>
      <c r="I551" s="5"/>
    </row>
    <row r="552" spans="1:9" ht="17.399999999999999" x14ac:dyDescent="0.25">
      <c r="A552" s="16"/>
      <c r="B552" s="17"/>
      <c r="C552" s="2"/>
      <c r="D552" s="2"/>
      <c r="E552" s="2"/>
      <c r="F552" s="2"/>
      <c r="G552" s="2"/>
      <c r="H552" s="2"/>
      <c r="I552" s="5"/>
    </row>
    <row r="553" spans="1:9" ht="17.399999999999999" x14ac:dyDescent="0.25">
      <c r="A553" s="16"/>
      <c r="B553" s="17"/>
      <c r="C553" s="2"/>
      <c r="D553" s="2"/>
      <c r="E553" s="2"/>
      <c r="F553" s="2"/>
      <c r="G553" s="2"/>
      <c r="H553" s="2"/>
      <c r="I553" s="5"/>
    </row>
    <row r="554" spans="1:9" ht="17.399999999999999" x14ac:dyDescent="0.25">
      <c r="A554" s="16"/>
      <c r="B554" s="17"/>
      <c r="C554" s="2"/>
      <c r="D554" s="2"/>
      <c r="E554" s="2"/>
      <c r="F554" s="2"/>
      <c r="G554" s="2"/>
      <c r="H554" s="2"/>
      <c r="I554" s="5"/>
    </row>
    <row r="555" spans="1:9" ht="17.399999999999999" x14ac:dyDescent="0.25">
      <c r="A555" s="16"/>
      <c r="B555" s="17"/>
      <c r="C555" s="2"/>
      <c r="D555" s="2"/>
      <c r="E555" s="2"/>
      <c r="F555" s="2"/>
      <c r="G555" s="2"/>
      <c r="H555" s="2"/>
      <c r="I555" s="5"/>
    </row>
    <row r="556" spans="1:9" ht="17.399999999999999" x14ac:dyDescent="0.25">
      <c r="A556" s="16"/>
      <c r="B556" s="17"/>
      <c r="C556" s="2"/>
      <c r="D556" s="2"/>
      <c r="E556" s="2"/>
      <c r="F556" s="2"/>
      <c r="G556" s="2"/>
      <c r="H556" s="2"/>
      <c r="I556" s="5"/>
    </row>
    <row r="557" spans="1:9" ht="17.399999999999999" x14ac:dyDescent="0.25">
      <c r="A557" s="16"/>
      <c r="B557" s="17"/>
      <c r="C557" s="2"/>
      <c r="D557" s="2"/>
      <c r="E557" s="2"/>
      <c r="F557" s="2"/>
      <c r="G557" s="2"/>
      <c r="H557" s="2"/>
      <c r="I557" s="5"/>
    </row>
    <row r="558" spans="1:9" ht="17.399999999999999" x14ac:dyDescent="0.25">
      <c r="A558" s="16"/>
      <c r="B558" s="17"/>
      <c r="C558" s="2"/>
      <c r="D558" s="2"/>
      <c r="E558" s="2"/>
      <c r="F558" s="2"/>
      <c r="G558" s="2"/>
      <c r="H558" s="2"/>
      <c r="I558" s="5"/>
    </row>
    <row r="559" spans="1:9" ht="17.399999999999999" x14ac:dyDescent="0.25">
      <c r="A559" s="16"/>
      <c r="B559" s="17"/>
      <c r="C559" s="2"/>
      <c r="D559" s="2"/>
      <c r="E559" s="2"/>
      <c r="F559" s="2"/>
      <c r="G559" s="2"/>
      <c r="H559" s="2"/>
      <c r="I559" s="5"/>
    </row>
    <row r="560" spans="1:9" ht="17.399999999999999" x14ac:dyDescent="0.25">
      <c r="A560" s="16"/>
      <c r="B560" s="17"/>
      <c r="C560" s="2"/>
      <c r="D560" s="2"/>
      <c r="E560" s="2"/>
      <c r="F560" s="2"/>
      <c r="G560" s="2"/>
      <c r="H560" s="2"/>
      <c r="I560" s="5"/>
    </row>
    <row r="561" spans="1:9" ht="17.399999999999999" x14ac:dyDescent="0.25">
      <c r="A561" s="16"/>
      <c r="B561" s="17"/>
      <c r="C561" s="2"/>
      <c r="D561" s="2"/>
      <c r="E561" s="2"/>
      <c r="F561" s="2"/>
      <c r="G561" s="2"/>
      <c r="H561" s="2"/>
      <c r="I561" s="5"/>
    </row>
    <row r="562" spans="1:9" ht="17.399999999999999" x14ac:dyDescent="0.25">
      <c r="A562" s="16"/>
      <c r="B562" s="17"/>
      <c r="C562" s="2"/>
      <c r="D562" s="2"/>
      <c r="E562" s="2"/>
      <c r="F562" s="2"/>
      <c r="G562" s="2"/>
      <c r="H562" s="2"/>
      <c r="I562" s="5"/>
    </row>
    <row r="563" spans="1:9" ht="17.399999999999999" x14ac:dyDescent="0.25">
      <c r="A563" s="16"/>
      <c r="B563" s="17"/>
      <c r="C563" s="2"/>
      <c r="D563" s="2"/>
      <c r="E563" s="2"/>
      <c r="F563" s="2"/>
      <c r="G563" s="2"/>
      <c r="H563" s="2"/>
      <c r="I563" s="5"/>
    </row>
    <row r="564" spans="1:9" ht="17.399999999999999" x14ac:dyDescent="0.25">
      <c r="A564" s="16"/>
      <c r="B564" s="17"/>
      <c r="C564" s="2"/>
      <c r="D564" s="2"/>
      <c r="E564" s="2"/>
      <c r="F564" s="2"/>
      <c r="G564" s="2"/>
      <c r="H564" s="2"/>
      <c r="I564" s="5"/>
    </row>
    <row r="565" spans="1:9" ht="17.399999999999999" x14ac:dyDescent="0.25">
      <c r="A565" s="16"/>
      <c r="B565" s="17"/>
      <c r="C565" s="2"/>
      <c r="D565" s="2"/>
      <c r="E565" s="2"/>
      <c r="F565" s="2"/>
      <c r="G565" s="2"/>
      <c r="H565" s="2"/>
      <c r="I565" s="5"/>
    </row>
    <row r="566" spans="1:9" ht="17.399999999999999" x14ac:dyDescent="0.25">
      <c r="A566" s="16"/>
      <c r="B566" s="17"/>
      <c r="C566" s="2"/>
      <c r="D566" s="2"/>
      <c r="E566" s="2"/>
      <c r="F566" s="2"/>
      <c r="G566" s="2"/>
      <c r="H566" s="2"/>
      <c r="I566" s="5"/>
    </row>
    <row r="567" spans="1:9" ht="17.399999999999999" x14ac:dyDescent="0.25">
      <c r="A567" s="16"/>
      <c r="B567" s="17"/>
      <c r="C567" s="2"/>
      <c r="D567" s="2"/>
      <c r="E567" s="2"/>
      <c r="F567" s="2"/>
      <c r="G567" s="2"/>
      <c r="H567" s="2"/>
      <c r="I567" s="5"/>
    </row>
    <row r="568" spans="1:9" ht="17.399999999999999" x14ac:dyDescent="0.25">
      <c r="A568" s="16"/>
      <c r="B568" s="17"/>
      <c r="C568" s="2"/>
      <c r="D568" s="2"/>
      <c r="E568" s="2"/>
      <c r="F568" s="2"/>
      <c r="G568" s="2"/>
      <c r="H568" s="2"/>
      <c r="I568" s="5"/>
    </row>
    <row r="569" spans="1:9" ht="17.399999999999999" x14ac:dyDescent="0.25">
      <c r="A569" s="16"/>
      <c r="B569" s="17"/>
      <c r="C569" s="2"/>
      <c r="D569" s="2"/>
      <c r="E569" s="2"/>
      <c r="F569" s="2"/>
      <c r="G569" s="2"/>
      <c r="H569" s="2"/>
      <c r="I569" s="5"/>
    </row>
    <row r="570" spans="1:9" ht="17.399999999999999" x14ac:dyDescent="0.25">
      <c r="A570" s="16"/>
      <c r="B570" s="17"/>
      <c r="C570" s="2"/>
      <c r="D570" s="2"/>
      <c r="E570" s="2"/>
      <c r="F570" s="2"/>
      <c r="G570" s="2"/>
      <c r="H570" s="2"/>
      <c r="I570" s="5"/>
    </row>
    <row r="571" spans="1:9" ht="17.399999999999999" x14ac:dyDescent="0.25">
      <c r="A571" s="16"/>
      <c r="B571" s="17"/>
      <c r="C571" s="2"/>
      <c r="D571" s="2"/>
      <c r="E571" s="2"/>
      <c r="F571" s="2"/>
      <c r="G571" s="2"/>
      <c r="H571" s="2"/>
      <c r="I571" s="5"/>
    </row>
    <row r="572" spans="1:9" ht="17.399999999999999" x14ac:dyDescent="0.25">
      <c r="A572" s="16"/>
      <c r="B572" s="17"/>
      <c r="C572" s="2"/>
      <c r="D572" s="2"/>
      <c r="E572" s="2"/>
      <c r="F572" s="2"/>
      <c r="G572" s="2"/>
      <c r="H572" s="2"/>
      <c r="I572" s="5"/>
    </row>
    <row r="573" spans="1:9" ht="17.399999999999999" x14ac:dyDescent="0.25">
      <c r="A573" s="16"/>
      <c r="B573" s="17"/>
      <c r="C573" s="2"/>
      <c r="D573" s="2"/>
      <c r="E573" s="2"/>
      <c r="F573" s="2"/>
      <c r="G573" s="2"/>
      <c r="H573" s="2"/>
      <c r="I573" s="5"/>
    </row>
    <row r="574" spans="1:9" ht="17.399999999999999" x14ac:dyDescent="0.25">
      <c r="A574" s="16"/>
      <c r="B574" s="17"/>
      <c r="C574" s="2"/>
      <c r="D574" s="2"/>
      <c r="E574" s="2"/>
      <c r="F574" s="2"/>
      <c r="G574" s="2"/>
      <c r="H574" s="2"/>
      <c r="I574" s="5"/>
    </row>
    <row r="575" spans="1:9" ht="17.399999999999999" x14ac:dyDescent="0.25">
      <c r="A575" s="16"/>
      <c r="B575" s="17"/>
      <c r="C575" s="2"/>
      <c r="D575" s="2"/>
      <c r="E575" s="2"/>
      <c r="F575" s="2"/>
      <c r="G575" s="2"/>
      <c r="H575" s="2"/>
      <c r="I575" s="5"/>
    </row>
    <row r="576" spans="1:9" ht="17.399999999999999" x14ac:dyDescent="0.25">
      <c r="A576" s="16"/>
      <c r="B576" s="17"/>
      <c r="C576" s="2"/>
      <c r="D576" s="2"/>
      <c r="E576" s="2"/>
      <c r="F576" s="2"/>
      <c r="G576" s="2"/>
      <c r="H576" s="2"/>
      <c r="I576" s="5"/>
    </row>
    <row r="577" spans="1:9" ht="17.399999999999999" x14ac:dyDescent="0.25">
      <c r="A577" s="16"/>
      <c r="B577" s="17"/>
      <c r="C577" s="2"/>
      <c r="D577" s="2"/>
      <c r="E577" s="2"/>
      <c r="F577" s="2"/>
      <c r="G577" s="2"/>
      <c r="H577" s="2"/>
      <c r="I577" s="5"/>
    </row>
    <row r="578" spans="1:9" ht="17.399999999999999" x14ac:dyDescent="0.25">
      <c r="A578" s="16"/>
      <c r="B578" s="17"/>
      <c r="C578" s="2"/>
      <c r="D578" s="2"/>
      <c r="E578" s="2"/>
      <c r="F578" s="2"/>
      <c r="G578" s="2"/>
      <c r="H578" s="2"/>
      <c r="I578" s="5"/>
    </row>
    <row r="579" spans="1:9" ht="17.399999999999999" x14ac:dyDescent="0.25">
      <c r="A579" s="16"/>
      <c r="B579" s="17"/>
      <c r="C579" s="2"/>
      <c r="D579" s="2"/>
      <c r="E579" s="2"/>
      <c r="F579" s="2"/>
      <c r="G579" s="2"/>
      <c r="H579" s="2"/>
      <c r="I579" s="5"/>
    </row>
    <row r="580" spans="1:9" ht="17.399999999999999" x14ac:dyDescent="0.25">
      <c r="A580" s="16"/>
      <c r="B580" s="17"/>
      <c r="C580" s="2"/>
      <c r="D580" s="2"/>
      <c r="E580" s="2"/>
      <c r="F580" s="2"/>
      <c r="G580" s="2"/>
      <c r="H580" s="2"/>
      <c r="I580" s="5"/>
    </row>
    <row r="581" spans="1:9" ht="17.399999999999999" x14ac:dyDescent="0.25">
      <c r="A581" s="16"/>
      <c r="B581" s="17"/>
      <c r="C581" s="2"/>
      <c r="D581" s="2"/>
      <c r="E581" s="2"/>
      <c r="F581" s="2"/>
      <c r="G581" s="2"/>
      <c r="H581" s="2"/>
      <c r="I581" s="5"/>
    </row>
    <row r="582" spans="1:9" ht="17.399999999999999" x14ac:dyDescent="0.25">
      <c r="A582" s="16"/>
      <c r="B582" s="17"/>
      <c r="C582" s="2"/>
      <c r="D582" s="2"/>
      <c r="E582" s="2"/>
      <c r="F582" s="2"/>
      <c r="G582" s="2"/>
      <c r="H582" s="2"/>
      <c r="I582" s="5"/>
    </row>
    <row r="583" spans="1:9" ht="17.399999999999999" x14ac:dyDescent="0.25">
      <c r="A583" s="16"/>
      <c r="B583" s="17"/>
      <c r="C583" s="2"/>
      <c r="D583" s="2"/>
      <c r="E583" s="2"/>
      <c r="F583" s="2"/>
      <c r="G583" s="2"/>
      <c r="H583" s="2"/>
      <c r="I583" s="5"/>
    </row>
    <row r="584" spans="1:9" ht="17.399999999999999" x14ac:dyDescent="0.25">
      <c r="A584" s="16"/>
      <c r="B584" s="17"/>
      <c r="C584" s="2"/>
      <c r="D584" s="2"/>
      <c r="E584" s="2"/>
      <c r="F584" s="2"/>
      <c r="G584" s="2"/>
      <c r="H584" s="2"/>
      <c r="I584" s="5"/>
    </row>
    <row r="585" spans="1:9" ht="17.399999999999999" x14ac:dyDescent="0.25">
      <c r="A585" s="16"/>
      <c r="B585" s="17"/>
      <c r="C585" s="2"/>
      <c r="D585" s="2"/>
      <c r="E585" s="2"/>
      <c r="F585" s="2"/>
      <c r="G585" s="2"/>
      <c r="H585" s="2"/>
      <c r="I585" s="5"/>
    </row>
    <row r="586" spans="1:9" ht="17.399999999999999" x14ac:dyDescent="0.25">
      <c r="A586" s="16"/>
      <c r="B586" s="17"/>
      <c r="C586" s="2"/>
      <c r="D586" s="2"/>
      <c r="E586" s="2"/>
      <c r="F586" s="2"/>
      <c r="G586" s="2"/>
      <c r="H586" s="2"/>
      <c r="I586" s="5"/>
    </row>
    <row r="587" spans="1:9" ht="17.399999999999999" x14ac:dyDescent="0.25">
      <c r="A587" s="16"/>
      <c r="B587" s="17"/>
      <c r="C587" s="2"/>
      <c r="D587" s="2"/>
      <c r="E587" s="2"/>
      <c r="F587" s="2"/>
      <c r="G587" s="2"/>
      <c r="H587" s="2"/>
      <c r="I587" s="5"/>
    </row>
    <row r="588" spans="1:9" ht="17.399999999999999" x14ac:dyDescent="0.25">
      <c r="A588" s="16"/>
      <c r="B588" s="17"/>
      <c r="C588" s="2"/>
      <c r="D588" s="2"/>
      <c r="E588" s="2"/>
      <c r="F588" s="2"/>
      <c r="G588" s="2"/>
      <c r="H588" s="2"/>
      <c r="I588" s="5"/>
    </row>
    <row r="589" spans="1:9" ht="17.399999999999999" x14ac:dyDescent="0.25">
      <c r="A589" s="16"/>
      <c r="B589" s="17"/>
      <c r="C589" s="2"/>
      <c r="D589" s="2"/>
      <c r="E589" s="2"/>
      <c r="F589" s="2"/>
      <c r="G589" s="2"/>
      <c r="H589" s="2"/>
      <c r="I589" s="5"/>
    </row>
    <row r="590" spans="1:9" ht="17.399999999999999" x14ac:dyDescent="0.25">
      <c r="A590" s="16"/>
      <c r="B590" s="17"/>
      <c r="C590" s="2"/>
      <c r="D590" s="2"/>
      <c r="E590" s="2"/>
      <c r="F590" s="2"/>
      <c r="G590" s="2"/>
      <c r="H590" s="2"/>
      <c r="I590" s="5"/>
    </row>
    <row r="591" spans="1:9" ht="17.399999999999999" x14ac:dyDescent="0.25">
      <c r="A591" s="16"/>
      <c r="B591" s="17"/>
      <c r="C591" s="2"/>
      <c r="D591" s="2"/>
      <c r="E591" s="2"/>
      <c r="F591" s="2"/>
      <c r="G591" s="2"/>
      <c r="H591" s="2"/>
      <c r="I591" s="5"/>
    </row>
    <row r="592" spans="1:9" ht="17.399999999999999" x14ac:dyDescent="0.25">
      <c r="A592" s="16"/>
      <c r="B592" s="17"/>
      <c r="C592" s="2"/>
      <c r="D592" s="2"/>
      <c r="E592" s="2"/>
      <c r="F592" s="2"/>
      <c r="G592" s="2"/>
      <c r="H592" s="2"/>
      <c r="I592" s="5"/>
    </row>
    <row r="593" spans="1:9" ht="17.399999999999999" x14ac:dyDescent="0.25">
      <c r="A593" s="16"/>
      <c r="B593" s="17"/>
      <c r="C593" s="2"/>
      <c r="D593" s="2"/>
      <c r="E593" s="2"/>
      <c r="F593" s="2"/>
      <c r="G593" s="2"/>
      <c r="H593" s="2"/>
      <c r="I593" s="5"/>
    </row>
    <row r="594" spans="1:9" ht="17.399999999999999" x14ac:dyDescent="0.25">
      <c r="A594" s="16"/>
      <c r="B594" s="17"/>
      <c r="C594" s="2"/>
      <c r="D594" s="2"/>
      <c r="E594" s="2"/>
      <c r="F594" s="2"/>
      <c r="G594" s="2"/>
      <c r="H594" s="2"/>
      <c r="I594" s="5"/>
    </row>
    <row r="595" spans="1:9" ht="17.399999999999999" x14ac:dyDescent="0.25">
      <c r="A595" s="16"/>
      <c r="B595" s="17"/>
      <c r="C595" s="2"/>
      <c r="D595" s="2"/>
      <c r="E595" s="2"/>
      <c r="F595" s="2"/>
      <c r="G595" s="2"/>
      <c r="H595" s="2"/>
      <c r="I595" s="5"/>
    </row>
    <row r="596" spans="1:9" ht="17.399999999999999" x14ac:dyDescent="0.25">
      <c r="A596" s="16"/>
      <c r="B596" s="17"/>
      <c r="C596" s="2"/>
      <c r="D596" s="2"/>
      <c r="E596" s="2"/>
      <c r="F596" s="2"/>
      <c r="G596" s="2"/>
      <c r="H596" s="2"/>
      <c r="I596" s="5"/>
    </row>
    <row r="597" spans="1:9" ht="17.399999999999999" x14ac:dyDescent="0.25">
      <c r="A597" s="16"/>
      <c r="B597" s="17"/>
      <c r="C597" s="2"/>
      <c r="D597" s="2"/>
      <c r="E597" s="2"/>
      <c r="F597" s="2"/>
      <c r="G597" s="2"/>
      <c r="H597" s="2"/>
      <c r="I597" s="5"/>
    </row>
    <row r="598" spans="1:9" ht="17.399999999999999" x14ac:dyDescent="0.25">
      <c r="A598" s="16"/>
      <c r="B598" s="17"/>
      <c r="C598" s="2"/>
      <c r="D598" s="2"/>
      <c r="E598" s="2"/>
      <c r="F598" s="2"/>
      <c r="G598" s="2"/>
      <c r="H598" s="2"/>
      <c r="I598" s="5"/>
    </row>
    <row r="599" spans="1:9" ht="17.399999999999999" x14ac:dyDescent="0.25">
      <c r="A599" s="16"/>
      <c r="B599" s="17"/>
      <c r="C599" s="2"/>
      <c r="D599" s="2"/>
      <c r="E599" s="2"/>
      <c r="F599" s="2"/>
      <c r="G599" s="2"/>
      <c r="H599" s="2"/>
      <c r="I599" s="5"/>
    </row>
    <row r="600" spans="1:9" ht="17.399999999999999" x14ac:dyDescent="0.25">
      <c r="A600" s="16"/>
      <c r="B600" s="17"/>
      <c r="C600" s="2"/>
      <c r="D600" s="2"/>
      <c r="E600" s="2"/>
      <c r="F600" s="2"/>
      <c r="G600" s="2"/>
      <c r="H600" s="2"/>
      <c r="I600" s="5"/>
    </row>
    <row r="601" spans="1:9" ht="17.399999999999999" x14ac:dyDescent="0.25">
      <c r="A601" s="16"/>
      <c r="B601" s="17"/>
      <c r="C601" s="2"/>
      <c r="D601" s="2"/>
      <c r="E601" s="2"/>
      <c r="F601" s="2"/>
      <c r="G601" s="2"/>
      <c r="H601" s="2"/>
      <c r="I601" s="5"/>
    </row>
    <row r="602" spans="1:9" ht="17.399999999999999" x14ac:dyDescent="0.25">
      <c r="A602" s="16"/>
      <c r="B602" s="17"/>
      <c r="C602" s="2"/>
      <c r="D602" s="2"/>
      <c r="E602" s="2"/>
      <c r="F602" s="2"/>
      <c r="G602" s="2"/>
      <c r="H602" s="2"/>
      <c r="I602" s="5"/>
    </row>
    <row r="603" spans="1:9" ht="17.399999999999999" x14ac:dyDescent="0.25">
      <c r="A603" s="16"/>
      <c r="B603" s="17"/>
      <c r="C603" s="2"/>
      <c r="D603" s="2"/>
      <c r="E603" s="2"/>
      <c r="F603" s="2"/>
      <c r="G603" s="2"/>
      <c r="H603" s="2"/>
      <c r="I603" s="5"/>
    </row>
    <row r="604" spans="1:9" ht="17.399999999999999" x14ac:dyDescent="0.25">
      <c r="A604" s="16"/>
      <c r="B604" s="17"/>
      <c r="C604" s="2"/>
      <c r="D604" s="2"/>
      <c r="E604" s="2"/>
      <c r="F604" s="2"/>
      <c r="G604" s="2"/>
      <c r="H604" s="2"/>
      <c r="I604" s="5"/>
    </row>
    <row r="605" spans="1:9" ht="17.399999999999999" x14ac:dyDescent="0.25">
      <c r="A605" s="16"/>
      <c r="B605" s="17"/>
      <c r="C605" s="2"/>
      <c r="D605" s="2"/>
      <c r="E605" s="2"/>
      <c r="F605" s="2"/>
      <c r="G605" s="2"/>
      <c r="H605" s="2"/>
      <c r="I605" s="5"/>
    </row>
    <row r="606" spans="1:9" ht="17.399999999999999" x14ac:dyDescent="0.25">
      <c r="A606" s="16"/>
      <c r="B606" s="17"/>
      <c r="C606" s="2"/>
      <c r="D606" s="2"/>
      <c r="E606" s="2"/>
      <c r="F606" s="2"/>
      <c r="G606" s="2"/>
      <c r="H606" s="2"/>
      <c r="I606" s="5"/>
    </row>
    <row r="607" spans="1:9" ht="17.399999999999999" x14ac:dyDescent="0.25">
      <c r="A607" s="16"/>
      <c r="B607" s="17"/>
      <c r="C607" s="2"/>
      <c r="D607" s="2"/>
      <c r="E607" s="2"/>
      <c r="F607" s="2"/>
      <c r="G607" s="2"/>
      <c r="H607" s="2"/>
      <c r="I607" s="5"/>
    </row>
    <row r="608" spans="1:9" ht="17.399999999999999" x14ac:dyDescent="0.25">
      <c r="A608" s="16"/>
      <c r="B608" s="17"/>
      <c r="C608" s="2"/>
      <c r="D608" s="2"/>
      <c r="E608" s="2"/>
      <c r="F608" s="2"/>
      <c r="G608" s="2"/>
      <c r="H608" s="2"/>
      <c r="I608" s="5"/>
    </row>
    <row r="609" spans="1:9" ht="17.399999999999999" x14ac:dyDescent="0.25">
      <c r="A609" s="16"/>
      <c r="B609" s="17"/>
      <c r="C609" s="2"/>
      <c r="D609" s="2"/>
      <c r="E609" s="2"/>
      <c r="F609" s="2"/>
      <c r="G609" s="2"/>
      <c r="H609" s="2"/>
      <c r="I609" s="5"/>
    </row>
    <row r="610" spans="1:9" ht="17.399999999999999" x14ac:dyDescent="0.25">
      <c r="A610" s="16"/>
      <c r="B610" s="17"/>
      <c r="C610" s="2"/>
      <c r="D610" s="2"/>
      <c r="E610" s="2"/>
      <c r="F610" s="2"/>
      <c r="G610" s="2"/>
      <c r="H610" s="2"/>
      <c r="I610" s="5"/>
    </row>
    <row r="611" spans="1:9" ht="17.399999999999999" x14ac:dyDescent="0.25">
      <c r="A611" s="16"/>
      <c r="B611" s="17"/>
      <c r="C611" s="2"/>
      <c r="D611" s="2"/>
      <c r="E611" s="2"/>
      <c r="F611" s="2"/>
      <c r="G611" s="2"/>
      <c r="H611" s="2"/>
      <c r="I611" s="5"/>
    </row>
    <row r="612" spans="1:9" ht="17.399999999999999" x14ac:dyDescent="0.25">
      <c r="A612" s="16"/>
      <c r="B612" s="17"/>
      <c r="C612" s="2"/>
      <c r="D612" s="2"/>
      <c r="E612" s="2"/>
      <c r="F612" s="2"/>
      <c r="G612" s="2"/>
      <c r="H612" s="2"/>
      <c r="I612" s="5"/>
    </row>
    <row r="613" spans="1:9" ht="17.399999999999999" x14ac:dyDescent="0.25">
      <c r="A613" s="16"/>
      <c r="B613" s="17"/>
      <c r="C613" s="2"/>
      <c r="D613" s="2"/>
      <c r="E613" s="2"/>
      <c r="F613" s="2"/>
      <c r="G613" s="2"/>
      <c r="H613" s="2"/>
      <c r="I613" s="5"/>
    </row>
    <row r="614" spans="1:9" ht="17.399999999999999" x14ac:dyDescent="0.25">
      <c r="A614" s="16"/>
      <c r="B614" s="17"/>
      <c r="C614" s="2"/>
      <c r="D614" s="2"/>
      <c r="E614" s="2"/>
      <c r="F614" s="2"/>
      <c r="G614" s="2"/>
      <c r="H614" s="2"/>
      <c r="I614" s="5"/>
    </row>
    <row r="615" spans="1:9" ht="17.399999999999999" x14ac:dyDescent="0.25">
      <c r="A615" s="16"/>
      <c r="B615" s="17"/>
      <c r="C615" s="2"/>
      <c r="D615" s="2"/>
      <c r="E615" s="2"/>
      <c r="F615" s="2"/>
      <c r="G615" s="2"/>
      <c r="H615" s="2"/>
      <c r="I615" s="5"/>
    </row>
    <row r="616" spans="1:9" ht="17.399999999999999" x14ac:dyDescent="0.25">
      <c r="A616" s="16"/>
      <c r="B616" s="17"/>
      <c r="C616" s="2"/>
      <c r="D616" s="2"/>
      <c r="E616" s="2"/>
      <c r="F616" s="2"/>
      <c r="G616" s="2"/>
      <c r="H616" s="2"/>
      <c r="I616" s="5"/>
    </row>
    <row r="617" spans="1:9" ht="17.399999999999999" x14ac:dyDescent="0.25">
      <c r="A617" s="16"/>
      <c r="B617" s="17"/>
      <c r="C617" s="2"/>
      <c r="D617" s="2"/>
      <c r="E617" s="2"/>
      <c r="F617" s="2"/>
      <c r="G617" s="2"/>
      <c r="H617" s="2"/>
      <c r="I617" s="5"/>
    </row>
    <row r="618" spans="1:9" ht="17.399999999999999" x14ac:dyDescent="0.25">
      <c r="A618" s="16"/>
      <c r="B618" s="17"/>
      <c r="C618" s="2"/>
      <c r="D618" s="2"/>
      <c r="E618" s="2"/>
      <c r="F618" s="2"/>
      <c r="G618" s="2"/>
      <c r="H618" s="2"/>
      <c r="I618" s="5"/>
    </row>
    <row r="619" spans="1:9" ht="17.399999999999999" x14ac:dyDescent="0.25">
      <c r="A619" s="16"/>
      <c r="B619" s="17"/>
      <c r="C619" s="2"/>
      <c r="D619" s="2"/>
      <c r="E619" s="2"/>
      <c r="F619" s="2"/>
      <c r="G619" s="2"/>
      <c r="H619" s="2"/>
      <c r="I619" s="5"/>
    </row>
    <row r="620" spans="1:9" ht="17.399999999999999" x14ac:dyDescent="0.25">
      <c r="A620" s="16"/>
      <c r="B620" s="17"/>
      <c r="C620" s="2"/>
      <c r="D620" s="2"/>
      <c r="E620" s="2"/>
      <c r="F620" s="2"/>
      <c r="G620" s="2"/>
      <c r="H620" s="2"/>
      <c r="I620" s="5"/>
    </row>
    <row r="621" spans="1:9" ht="17.399999999999999" x14ac:dyDescent="0.25">
      <c r="A621" s="16"/>
      <c r="B621" s="17"/>
      <c r="C621" s="2"/>
      <c r="D621" s="2"/>
      <c r="E621" s="2"/>
      <c r="F621" s="2"/>
      <c r="G621" s="2"/>
      <c r="H621" s="2"/>
      <c r="I621" s="5"/>
    </row>
    <row r="622" spans="1:9" ht="17.399999999999999" x14ac:dyDescent="0.25">
      <c r="A622" s="16"/>
      <c r="B622" s="17"/>
      <c r="C622" s="2"/>
      <c r="D622" s="2"/>
      <c r="E622" s="2"/>
      <c r="F622" s="2"/>
      <c r="G622" s="2"/>
      <c r="H622" s="2"/>
      <c r="I622" s="5"/>
    </row>
    <row r="623" spans="1:9" ht="17.399999999999999" x14ac:dyDescent="0.25">
      <c r="A623" s="16"/>
      <c r="B623" s="17"/>
      <c r="C623" s="2"/>
      <c r="D623" s="2"/>
      <c r="E623" s="2"/>
      <c r="F623" s="2"/>
      <c r="G623" s="2"/>
      <c r="H623" s="2"/>
      <c r="I623" s="5"/>
    </row>
    <row r="624" spans="1:9" ht="17.399999999999999" x14ac:dyDescent="0.25">
      <c r="A624" s="16"/>
      <c r="B624" s="17"/>
      <c r="C624" s="2"/>
      <c r="D624" s="2"/>
      <c r="E624" s="2"/>
      <c r="F624" s="2"/>
      <c r="G624" s="2"/>
      <c r="H624" s="2"/>
      <c r="I624" s="5"/>
    </row>
    <row r="625" spans="1:9" ht="17.399999999999999" x14ac:dyDescent="0.25">
      <c r="A625" s="16"/>
      <c r="B625" s="17"/>
      <c r="C625" s="2"/>
      <c r="D625" s="2"/>
      <c r="E625" s="2"/>
      <c r="F625" s="2"/>
      <c r="G625" s="2"/>
      <c r="H625" s="2"/>
      <c r="I625" s="5"/>
    </row>
    <row r="626" spans="1:9" ht="17.399999999999999" x14ac:dyDescent="0.25">
      <c r="A626" s="16"/>
      <c r="B626" s="17"/>
      <c r="C626" s="2"/>
      <c r="D626" s="2"/>
      <c r="E626" s="2"/>
      <c r="F626" s="2"/>
      <c r="G626" s="2"/>
      <c r="H626" s="2"/>
      <c r="I626" s="5"/>
    </row>
    <row r="627" spans="1:9" ht="17.399999999999999" x14ac:dyDescent="0.25">
      <c r="A627" s="16"/>
      <c r="B627" s="17"/>
      <c r="C627" s="2"/>
      <c r="D627" s="2"/>
      <c r="E627" s="2"/>
      <c r="F627" s="2"/>
      <c r="G627" s="2"/>
      <c r="H627" s="2"/>
      <c r="I627" s="5"/>
    </row>
    <row r="628" spans="1:9" ht="17.399999999999999" x14ac:dyDescent="0.25">
      <c r="A628" s="16"/>
      <c r="B628" s="17"/>
      <c r="C628" s="2"/>
      <c r="D628" s="2"/>
      <c r="E628" s="2"/>
      <c r="F628" s="2"/>
      <c r="G628" s="2"/>
      <c r="H628" s="2"/>
      <c r="I628" s="5"/>
    </row>
    <row r="629" spans="1:9" ht="17.399999999999999" x14ac:dyDescent="0.25">
      <c r="A629" s="16"/>
      <c r="B629" s="17"/>
      <c r="C629" s="2"/>
      <c r="D629" s="2"/>
      <c r="E629" s="2"/>
      <c r="F629" s="2"/>
      <c r="G629" s="2"/>
      <c r="H629" s="2"/>
      <c r="I629" s="5"/>
    </row>
    <row r="630" spans="1:9" ht="17.399999999999999" x14ac:dyDescent="0.25">
      <c r="A630" s="16"/>
      <c r="B630" s="17"/>
      <c r="C630" s="2"/>
      <c r="D630" s="2"/>
      <c r="E630" s="2"/>
      <c r="F630" s="2"/>
      <c r="G630" s="2"/>
      <c r="H630" s="2"/>
      <c r="I630" s="5"/>
    </row>
    <row r="631" spans="1:9" ht="17.399999999999999" x14ac:dyDescent="0.25">
      <c r="A631" s="16"/>
      <c r="B631" s="17"/>
      <c r="C631" s="2"/>
      <c r="D631" s="2"/>
      <c r="E631" s="2"/>
      <c r="F631" s="2"/>
      <c r="G631" s="2"/>
      <c r="H631" s="2"/>
      <c r="I631" s="5"/>
    </row>
    <row r="632" spans="1:9" ht="17.399999999999999" x14ac:dyDescent="0.25">
      <c r="A632" s="16"/>
      <c r="B632" s="17"/>
      <c r="C632" s="2"/>
      <c r="D632" s="2"/>
      <c r="E632" s="2"/>
      <c r="F632" s="2"/>
      <c r="G632" s="2"/>
      <c r="H632" s="2"/>
      <c r="I632" s="5"/>
    </row>
    <row r="633" spans="1:9" ht="17.399999999999999" x14ac:dyDescent="0.25">
      <c r="A633" s="16"/>
      <c r="B633" s="17"/>
      <c r="C633" s="2"/>
      <c r="D633" s="2"/>
      <c r="E633" s="2"/>
      <c r="F633" s="2"/>
      <c r="G633" s="2"/>
      <c r="H633" s="2"/>
      <c r="I633" s="5"/>
    </row>
    <row r="634" spans="1:9" ht="17.399999999999999" x14ac:dyDescent="0.25">
      <c r="A634" s="16"/>
      <c r="B634" s="17"/>
      <c r="C634" s="2"/>
      <c r="D634" s="2"/>
      <c r="E634" s="2"/>
      <c r="F634" s="2"/>
      <c r="G634" s="2"/>
      <c r="H634" s="2"/>
      <c r="I634" s="5"/>
    </row>
    <row r="635" spans="1:9" ht="17.399999999999999" x14ac:dyDescent="0.25">
      <c r="A635" s="16"/>
      <c r="B635" s="17"/>
      <c r="C635" s="2"/>
      <c r="D635" s="2"/>
      <c r="E635" s="2"/>
      <c r="F635" s="2"/>
      <c r="G635" s="2"/>
      <c r="H635" s="2"/>
      <c r="I635" s="5"/>
    </row>
    <row r="636" spans="1:9" ht="17.399999999999999" x14ac:dyDescent="0.25">
      <c r="A636" s="16"/>
      <c r="B636" s="17"/>
      <c r="C636" s="2"/>
      <c r="D636" s="2"/>
      <c r="E636" s="2"/>
      <c r="F636" s="2"/>
      <c r="G636" s="2"/>
      <c r="H636" s="2"/>
      <c r="I636" s="5"/>
    </row>
    <row r="637" spans="1:9" ht="17.399999999999999" x14ac:dyDescent="0.25">
      <c r="A637" s="16"/>
      <c r="B637" s="17"/>
      <c r="C637" s="2"/>
      <c r="D637" s="2"/>
      <c r="E637" s="2"/>
      <c r="F637" s="2"/>
      <c r="G637" s="2"/>
      <c r="H637" s="2"/>
      <c r="I637" s="5"/>
    </row>
    <row r="638" spans="1:9" ht="17.399999999999999" x14ac:dyDescent="0.25">
      <c r="A638" s="16"/>
      <c r="B638" s="17"/>
      <c r="C638" s="2"/>
      <c r="D638" s="2"/>
      <c r="E638" s="2"/>
      <c r="F638" s="2"/>
      <c r="G638" s="2"/>
      <c r="H638" s="2"/>
      <c r="I638" s="5"/>
    </row>
    <row r="639" spans="1:9" ht="17.399999999999999" x14ac:dyDescent="0.25">
      <c r="A639" s="16"/>
      <c r="B639" s="17"/>
      <c r="C639" s="2"/>
      <c r="D639" s="2"/>
      <c r="E639" s="2"/>
      <c r="F639" s="2"/>
      <c r="G639" s="2"/>
      <c r="H639" s="2"/>
      <c r="I639" s="5"/>
    </row>
    <row r="640" spans="1:9" ht="17.399999999999999" x14ac:dyDescent="0.25">
      <c r="A640" s="16"/>
      <c r="B640" s="17"/>
      <c r="C640" s="2"/>
      <c r="D640" s="2"/>
      <c r="E640" s="2"/>
      <c r="F640" s="2"/>
      <c r="G640" s="2"/>
      <c r="H640" s="2"/>
      <c r="I640" s="5"/>
    </row>
    <row r="641" spans="1:9" ht="17.399999999999999" x14ac:dyDescent="0.25">
      <c r="A641" s="16"/>
      <c r="B641" s="17"/>
      <c r="C641" s="2"/>
      <c r="D641" s="2"/>
      <c r="E641" s="2"/>
      <c r="F641" s="2"/>
      <c r="G641" s="2"/>
      <c r="H641" s="2"/>
      <c r="I641" s="5"/>
    </row>
    <row r="642" spans="1:9" ht="17.399999999999999" x14ac:dyDescent="0.25">
      <c r="A642" s="16"/>
      <c r="B642" s="17"/>
      <c r="C642" s="2"/>
      <c r="D642" s="2"/>
      <c r="E642" s="2"/>
      <c r="F642" s="2"/>
      <c r="G642" s="2"/>
      <c r="H642" s="2"/>
      <c r="I642" s="5"/>
    </row>
    <row r="643" spans="1:9" ht="17.399999999999999" x14ac:dyDescent="0.25">
      <c r="A643" s="16"/>
      <c r="B643" s="17"/>
      <c r="C643" s="2"/>
      <c r="D643" s="2"/>
      <c r="E643" s="2"/>
      <c r="F643" s="2"/>
      <c r="G643" s="2"/>
      <c r="H643" s="2"/>
      <c r="I643" s="5"/>
    </row>
    <row r="644" spans="1:9" ht="17.399999999999999" x14ac:dyDescent="0.25">
      <c r="A644" s="16"/>
      <c r="B644" s="17"/>
      <c r="C644" s="2"/>
      <c r="D644" s="2"/>
      <c r="E644" s="2"/>
      <c r="F644" s="2"/>
      <c r="G644" s="2"/>
      <c r="H644" s="2"/>
      <c r="I644" s="5"/>
    </row>
    <row r="645" spans="1:9" ht="17.399999999999999" x14ac:dyDescent="0.25">
      <c r="A645" s="16"/>
      <c r="B645" s="17"/>
      <c r="C645" s="2"/>
      <c r="D645" s="2"/>
      <c r="E645" s="2"/>
      <c r="F645" s="2"/>
      <c r="G645" s="2"/>
      <c r="H645" s="2"/>
      <c r="I645" s="5"/>
    </row>
    <row r="646" spans="1:9" ht="17.399999999999999" x14ac:dyDescent="0.25">
      <c r="A646" s="16"/>
      <c r="B646" s="17"/>
      <c r="C646" s="2"/>
      <c r="D646" s="2"/>
      <c r="E646" s="2"/>
      <c r="F646" s="2"/>
      <c r="G646" s="2"/>
      <c r="H646" s="2"/>
      <c r="I646" s="5"/>
    </row>
    <row r="647" spans="1:9" ht="17.399999999999999" x14ac:dyDescent="0.25">
      <c r="A647" s="16"/>
      <c r="B647" s="17"/>
      <c r="C647" s="2"/>
      <c r="D647" s="2"/>
      <c r="E647" s="2"/>
      <c r="F647" s="2"/>
      <c r="G647" s="2"/>
      <c r="H647" s="2"/>
      <c r="I647" s="5"/>
    </row>
    <row r="648" spans="1:9" ht="17.399999999999999" x14ac:dyDescent="0.25">
      <c r="A648" s="16"/>
      <c r="B648" s="17"/>
      <c r="C648" s="2"/>
      <c r="D648" s="2"/>
      <c r="E648" s="2"/>
      <c r="F648" s="2"/>
      <c r="G648" s="2"/>
      <c r="H648" s="2"/>
      <c r="I648" s="5"/>
    </row>
    <row r="649" spans="1:9" ht="17.399999999999999" x14ac:dyDescent="0.25">
      <c r="A649" s="16"/>
      <c r="B649" s="17"/>
      <c r="C649" s="2"/>
      <c r="D649" s="2"/>
      <c r="E649" s="2"/>
      <c r="F649" s="2"/>
      <c r="G649" s="2"/>
      <c r="H649" s="2"/>
      <c r="I649" s="5"/>
    </row>
    <row r="650" spans="1:9" ht="17.399999999999999" x14ac:dyDescent="0.25">
      <c r="A650" s="16"/>
      <c r="B650" s="17"/>
      <c r="C650" s="2"/>
      <c r="D650" s="2"/>
      <c r="E650" s="2"/>
      <c r="F650" s="2"/>
      <c r="G650" s="2"/>
      <c r="H650" s="2"/>
      <c r="I650" s="5"/>
    </row>
    <row r="651" spans="1:9" ht="17.399999999999999" x14ac:dyDescent="0.25">
      <c r="A651" s="16"/>
      <c r="B651" s="17"/>
      <c r="C651" s="2"/>
      <c r="D651" s="2"/>
      <c r="E651" s="2"/>
      <c r="F651" s="2"/>
      <c r="G651" s="2"/>
      <c r="H651" s="2"/>
      <c r="I651" s="5"/>
    </row>
    <row r="652" spans="1:9" ht="17.399999999999999" x14ac:dyDescent="0.25">
      <c r="A652" s="16"/>
      <c r="B652" s="17"/>
      <c r="C652" s="2"/>
      <c r="D652" s="2"/>
      <c r="E652" s="2"/>
      <c r="F652" s="2"/>
      <c r="G652" s="2"/>
      <c r="H652" s="2"/>
      <c r="I652" s="5"/>
    </row>
    <row r="653" spans="1:9" ht="17.399999999999999" x14ac:dyDescent="0.25">
      <c r="A653" s="16"/>
      <c r="B653" s="17"/>
      <c r="C653" s="2"/>
      <c r="D653" s="2"/>
      <c r="E653" s="2"/>
      <c r="F653" s="2"/>
      <c r="G653" s="2"/>
      <c r="H653" s="2"/>
      <c r="I653" s="5"/>
    </row>
    <row r="654" spans="1:9" ht="17.399999999999999" x14ac:dyDescent="0.25">
      <c r="A654" s="16"/>
      <c r="B654" s="17"/>
      <c r="C654" s="2"/>
      <c r="D654" s="2"/>
      <c r="E654" s="2"/>
      <c r="F654" s="2"/>
      <c r="G654" s="2"/>
      <c r="H654" s="2"/>
      <c r="I654" s="5"/>
    </row>
    <row r="655" spans="1:9" ht="17.399999999999999" x14ac:dyDescent="0.25">
      <c r="A655" s="16"/>
      <c r="B655" s="17"/>
      <c r="C655" s="2"/>
      <c r="D655" s="2"/>
      <c r="E655" s="2"/>
      <c r="F655" s="2"/>
      <c r="G655" s="2"/>
      <c r="H655" s="2"/>
      <c r="I655" s="5"/>
    </row>
    <row r="656" spans="1:9" ht="17.399999999999999" x14ac:dyDescent="0.25">
      <c r="A656" s="16"/>
      <c r="B656" s="17"/>
      <c r="C656" s="2"/>
      <c r="D656" s="2"/>
      <c r="E656" s="2"/>
      <c r="F656" s="2"/>
      <c r="G656" s="2"/>
      <c r="H656" s="2"/>
      <c r="I656" s="5"/>
    </row>
    <row r="657" spans="1:9" ht="17.399999999999999" x14ac:dyDescent="0.25">
      <c r="A657" s="16"/>
      <c r="B657" s="17"/>
      <c r="C657" s="2"/>
      <c r="D657" s="2"/>
      <c r="E657" s="2"/>
      <c r="F657" s="2"/>
      <c r="G657" s="2"/>
      <c r="H657" s="2"/>
      <c r="I657" s="5"/>
    </row>
    <row r="658" spans="1:9" ht="17.399999999999999" x14ac:dyDescent="0.25">
      <c r="A658" s="16"/>
      <c r="B658" s="17"/>
      <c r="C658" s="2"/>
      <c r="D658" s="2"/>
      <c r="E658" s="2"/>
      <c r="F658" s="2"/>
      <c r="G658" s="2"/>
      <c r="H658" s="2"/>
      <c r="I658" s="5"/>
    </row>
    <row r="659" spans="1:9" ht="17.399999999999999" x14ac:dyDescent="0.25">
      <c r="A659" s="16"/>
      <c r="B659" s="17"/>
      <c r="C659" s="2"/>
      <c r="D659" s="2"/>
      <c r="E659" s="2"/>
      <c r="F659" s="2"/>
      <c r="G659" s="2"/>
      <c r="H659" s="2"/>
      <c r="I659" s="5"/>
    </row>
    <row r="660" spans="1:9" ht="17.399999999999999" x14ac:dyDescent="0.25">
      <c r="A660" s="16"/>
      <c r="B660" s="17"/>
      <c r="C660" s="2"/>
      <c r="D660" s="2"/>
      <c r="E660" s="2"/>
      <c r="F660" s="2"/>
      <c r="G660" s="2"/>
      <c r="H660" s="2"/>
      <c r="I660" s="5"/>
    </row>
    <row r="661" spans="1:9" ht="17.399999999999999" x14ac:dyDescent="0.25">
      <c r="A661" s="16"/>
      <c r="B661" s="17"/>
      <c r="C661" s="2"/>
      <c r="D661" s="2"/>
      <c r="E661" s="2"/>
      <c r="F661" s="2"/>
      <c r="G661" s="2"/>
      <c r="H661" s="2"/>
      <c r="I661" s="5"/>
    </row>
    <row r="662" spans="1:9" ht="17.399999999999999" x14ac:dyDescent="0.25">
      <c r="A662" s="16"/>
      <c r="B662" s="17"/>
      <c r="C662" s="2"/>
      <c r="D662" s="2"/>
      <c r="E662" s="2"/>
      <c r="F662" s="2"/>
      <c r="G662" s="2"/>
      <c r="H662" s="2"/>
      <c r="I662" s="5"/>
    </row>
    <row r="663" spans="1:9" ht="17.399999999999999" x14ac:dyDescent="0.25">
      <c r="A663" s="16"/>
      <c r="B663" s="17"/>
      <c r="C663" s="2"/>
      <c r="D663" s="2"/>
      <c r="E663" s="2"/>
      <c r="F663" s="2"/>
      <c r="G663" s="2"/>
      <c r="H663" s="2"/>
      <c r="I663" s="5"/>
    </row>
    <row r="664" spans="1:9" ht="17.399999999999999" x14ac:dyDescent="0.25">
      <c r="A664" s="16"/>
      <c r="B664" s="17"/>
      <c r="C664" s="2"/>
      <c r="D664" s="2"/>
      <c r="E664" s="2"/>
      <c r="F664" s="2"/>
      <c r="G664" s="2"/>
      <c r="H664" s="2"/>
      <c r="I664" s="5"/>
    </row>
    <row r="665" spans="1:9" ht="17.399999999999999" x14ac:dyDescent="0.25">
      <c r="A665" s="16"/>
      <c r="B665" s="17"/>
      <c r="C665" s="2"/>
      <c r="D665" s="2"/>
      <c r="E665" s="2"/>
      <c r="F665" s="2"/>
      <c r="G665" s="2"/>
      <c r="H665" s="2"/>
      <c r="I665" s="5"/>
    </row>
    <row r="666" spans="1:9" ht="17.399999999999999" x14ac:dyDescent="0.25">
      <c r="A666" s="16"/>
      <c r="B666" s="17"/>
      <c r="C666" s="2"/>
      <c r="D666" s="2"/>
      <c r="E666" s="2"/>
      <c r="F666" s="2"/>
      <c r="G666" s="2"/>
      <c r="H666" s="2"/>
      <c r="I666" s="5"/>
    </row>
    <row r="667" spans="1:9" ht="17.399999999999999" x14ac:dyDescent="0.25">
      <c r="A667" s="16"/>
      <c r="B667" s="17"/>
      <c r="C667" s="2"/>
      <c r="D667" s="2"/>
      <c r="E667" s="2"/>
      <c r="F667" s="2"/>
      <c r="G667" s="2"/>
      <c r="H667" s="2"/>
      <c r="I667" s="5"/>
    </row>
    <row r="668" spans="1:9" ht="17.399999999999999" x14ac:dyDescent="0.25">
      <c r="A668" s="16"/>
      <c r="B668" s="17"/>
      <c r="C668" s="2"/>
      <c r="D668" s="2"/>
      <c r="E668" s="2"/>
      <c r="F668" s="2"/>
      <c r="G668" s="2"/>
      <c r="H668" s="2"/>
      <c r="I668" s="5"/>
    </row>
    <row r="669" spans="1:9" ht="17.399999999999999" x14ac:dyDescent="0.25">
      <c r="A669" s="16"/>
      <c r="B669" s="17"/>
      <c r="C669" s="2"/>
      <c r="D669" s="2"/>
      <c r="E669" s="2"/>
      <c r="F669" s="2"/>
      <c r="G669" s="2"/>
      <c r="H669" s="2"/>
      <c r="I669" s="5"/>
    </row>
    <row r="670" spans="1:9" ht="17.399999999999999" x14ac:dyDescent="0.25">
      <c r="A670" s="16"/>
      <c r="B670" s="17"/>
      <c r="C670" s="2"/>
      <c r="D670" s="2"/>
      <c r="E670" s="2"/>
      <c r="F670" s="2"/>
      <c r="G670" s="2"/>
      <c r="H670" s="2"/>
      <c r="I670" s="5"/>
    </row>
    <row r="671" spans="1:9" ht="17.399999999999999" x14ac:dyDescent="0.25">
      <c r="A671" s="16"/>
      <c r="B671" s="17"/>
      <c r="C671" s="2"/>
      <c r="D671" s="2"/>
      <c r="E671" s="2"/>
      <c r="F671" s="2"/>
      <c r="G671" s="2"/>
      <c r="H671" s="2"/>
      <c r="I671" s="5"/>
    </row>
    <row r="672" spans="1:9" ht="17.399999999999999" x14ac:dyDescent="0.25">
      <c r="A672" s="16"/>
      <c r="B672" s="17"/>
      <c r="C672" s="2"/>
      <c r="D672" s="2"/>
      <c r="E672" s="2"/>
      <c r="F672" s="2"/>
      <c r="G672" s="2"/>
      <c r="H672" s="2"/>
      <c r="I672" s="5"/>
    </row>
    <row r="673" spans="1:9" ht="17.399999999999999" x14ac:dyDescent="0.25">
      <c r="A673" s="16"/>
      <c r="B673" s="17"/>
      <c r="C673" s="2"/>
      <c r="D673" s="2"/>
      <c r="E673" s="2"/>
      <c r="F673" s="2"/>
      <c r="G673" s="2"/>
      <c r="H673" s="2"/>
      <c r="I673" s="5"/>
    </row>
    <row r="674" spans="1:9" ht="17.399999999999999" x14ac:dyDescent="0.25">
      <c r="A674" s="16"/>
      <c r="B674" s="17"/>
      <c r="C674" s="2"/>
      <c r="D674" s="2"/>
      <c r="E674" s="2"/>
      <c r="F674" s="2"/>
      <c r="G674" s="2"/>
      <c r="H674" s="2"/>
      <c r="I674" s="5"/>
    </row>
    <row r="675" spans="1:9" ht="17.399999999999999" x14ac:dyDescent="0.25">
      <c r="A675" s="16"/>
      <c r="B675" s="17"/>
      <c r="C675" s="2"/>
      <c r="D675" s="2"/>
      <c r="E675" s="2"/>
      <c r="F675" s="2"/>
      <c r="G675" s="2"/>
      <c r="H675" s="2"/>
      <c r="I675" s="5"/>
    </row>
    <row r="676" spans="1:9" ht="17.399999999999999" x14ac:dyDescent="0.25">
      <c r="A676" s="16"/>
      <c r="B676" s="17"/>
      <c r="C676" s="2"/>
      <c r="D676" s="2"/>
      <c r="E676" s="2"/>
      <c r="F676" s="2"/>
      <c r="G676" s="2"/>
      <c r="H676" s="2"/>
      <c r="I676" s="5"/>
    </row>
    <row r="677" spans="1:9" ht="17.399999999999999" x14ac:dyDescent="0.25">
      <c r="A677" s="16"/>
      <c r="B677" s="17"/>
      <c r="C677" s="2"/>
      <c r="D677" s="2"/>
      <c r="E677" s="2"/>
      <c r="F677" s="2"/>
      <c r="G677" s="2"/>
      <c r="H677" s="2"/>
      <c r="I677" s="5"/>
    </row>
    <row r="678" spans="1:9" ht="17.399999999999999" x14ac:dyDescent="0.25">
      <c r="A678" s="16"/>
      <c r="B678" s="17"/>
      <c r="C678" s="2"/>
      <c r="D678" s="2"/>
      <c r="E678" s="2"/>
      <c r="F678" s="2"/>
      <c r="G678" s="2"/>
      <c r="H678" s="2"/>
      <c r="I678" s="5"/>
    </row>
    <row r="679" spans="1:9" ht="17.399999999999999" x14ac:dyDescent="0.25">
      <c r="A679" s="16"/>
      <c r="B679" s="17"/>
      <c r="C679" s="2"/>
      <c r="D679" s="2"/>
      <c r="E679" s="2"/>
      <c r="F679" s="2"/>
      <c r="G679" s="2"/>
      <c r="H679" s="2"/>
      <c r="I679" s="5"/>
    </row>
    <row r="680" spans="1:9" ht="17.399999999999999" x14ac:dyDescent="0.25">
      <c r="A680" s="16"/>
      <c r="B680" s="17"/>
      <c r="C680" s="2"/>
      <c r="D680" s="2"/>
      <c r="E680" s="2"/>
      <c r="F680" s="2"/>
      <c r="G680" s="2"/>
      <c r="H680" s="2"/>
      <c r="I680" s="5"/>
    </row>
    <row r="681" spans="1:9" ht="17.399999999999999" x14ac:dyDescent="0.25">
      <c r="A681" s="16"/>
      <c r="B681" s="17"/>
      <c r="C681" s="2"/>
      <c r="D681" s="2"/>
      <c r="E681" s="2"/>
      <c r="F681" s="2"/>
      <c r="G681" s="2"/>
      <c r="H681" s="2"/>
      <c r="I681" s="5"/>
    </row>
    <row r="682" spans="1:9" ht="17.399999999999999" x14ac:dyDescent="0.25">
      <c r="A682" s="16"/>
      <c r="B682" s="17"/>
      <c r="C682" s="2"/>
      <c r="D682" s="2"/>
      <c r="E682" s="2"/>
      <c r="F682" s="2"/>
      <c r="G682" s="2"/>
      <c r="H682" s="2"/>
      <c r="I682" s="5"/>
    </row>
    <row r="683" spans="1:9" ht="17.399999999999999" x14ac:dyDescent="0.25">
      <c r="A683" s="16"/>
      <c r="B683" s="17"/>
      <c r="C683" s="2"/>
      <c r="D683" s="2"/>
      <c r="E683" s="2"/>
      <c r="F683" s="2"/>
      <c r="G683" s="2"/>
      <c r="H683" s="2"/>
      <c r="I683" s="5"/>
    </row>
    <row r="684" spans="1:9" ht="17.399999999999999" x14ac:dyDescent="0.25">
      <c r="A684" s="16"/>
      <c r="B684" s="17"/>
      <c r="C684" s="2"/>
      <c r="D684" s="2"/>
      <c r="E684" s="2"/>
      <c r="F684" s="2"/>
      <c r="G684" s="2"/>
      <c r="H684" s="2"/>
      <c r="I684" s="5"/>
    </row>
    <row r="685" spans="1:9" ht="17.399999999999999" x14ac:dyDescent="0.25">
      <c r="A685" s="16"/>
      <c r="B685" s="17"/>
      <c r="C685" s="2"/>
      <c r="D685" s="2"/>
      <c r="E685" s="2"/>
      <c r="F685" s="2"/>
      <c r="G685" s="2"/>
      <c r="H685" s="2"/>
      <c r="I685" s="5"/>
    </row>
    <row r="686" spans="1:9" ht="17.399999999999999" x14ac:dyDescent="0.25">
      <c r="A686" s="16"/>
      <c r="B686" s="17"/>
      <c r="C686" s="2"/>
      <c r="D686" s="2"/>
      <c r="E686" s="2"/>
      <c r="F686" s="2"/>
      <c r="G686" s="2"/>
      <c r="H686" s="2"/>
      <c r="I686" s="5"/>
    </row>
    <row r="687" spans="1:9" ht="17.399999999999999" x14ac:dyDescent="0.25">
      <c r="A687" s="16"/>
      <c r="B687" s="17"/>
      <c r="C687" s="2"/>
      <c r="D687" s="2"/>
      <c r="E687" s="2"/>
      <c r="F687" s="2"/>
      <c r="G687" s="2"/>
      <c r="H687" s="2"/>
      <c r="I687" s="5"/>
    </row>
    <row r="688" spans="1:9" ht="17.399999999999999" x14ac:dyDescent="0.25">
      <c r="A688" s="16"/>
      <c r="B688" s="17"/>
      <c r="C688" s="2"/>
      <c r="D688" s="2"/>
      <c r="E688" s="2"/>
      <c r="F688" s="2"/>
      <c r="G688" s="2"/>
      <c r="H688" s="2"/>
      <c r="I688" s="5"/>
    </row>
    <row r="689" spans="1:9" ht="17.399999999999999" x14ac:dyDescent="0.25">
      <c r="A689" s="16"/>
      <c r="B689" s="17"/>
      <c r="C689" s="2"/>
      <c r="D689" s="2"/>
      <c r="E689" s="2"/>
      <c r="F689" s="2"/>
      <c r="G689" s="2"/>
      <c r="H689" s="2"/>
      <c r="I689" s="5"/>
    </row>
    <row r="690" spans="1:9" ht="17.399999999999999" x14ac:dyDescent="0.25">
      <c r="A690" s="16"/>
      <c r="B690" s="17"/>
      <c r="C690" s="2"/>
      <c r="D690" s="2"/>
      <c r="E690" s="2"/>
      <c r="F690" s="2"/>
      <c r="G690" s="2"/>
      <c r="H690" s="2"/>
      <c r="I690" s="5"/>
    </row>
    <row r="691" spans="1:9" ht="17.399999999999999" x14ac:dyDescent="0.25">
      <c r="A691" s="16"/>
      <c r="B691" s="17"/>
      <c r="C691" s="2"/>
      <c r="D691" s="2"/>
      <c r="E691" s="2"/>
      <c r="F691" s="2"/>
      <c r="G691" s="2"/>
      <c r="H691" s="2"/>
      <c r="I691" s="5"/>
    </row>
    <row r="692" spans="1:9" ht="17.399999999999999" x14ac:dyDescent="0.25">
      <c r="A692" s="16"/>
      <c r="B692" s="17"/>
      <c r="C692" s="2"/>
      <c r="D692" s="2"/>
      <c r="E692" s="2"/>
      <c r="F692" s="2"/>
      <c r="G692" s="2"/>
      <c r="H692" s="2"/>
      <c r="I692" s="5"/>
    </row>
    <row r="693" spans="1:9" ht="17.399999999999999" x14ac:dyDescent="0.25">
      <c r="A693" s="16"/>
      <c r="B693" s="17"/>
      <c r="C693" s="2"/>
      <c r="D693" s="2"/>
      <c r="E693" s="2"/>
      <c r="F693" s="2"/>
      <c r="G693" s="2"/>
      <c r="H693" s="2"/>
      <c r="I693" s="5"/>
    </row>
    <row r="694" spans="1:9" ht="17.399999999999999" x14ac:dyDescent="0.25">
      <c r="A694" s="16"/>
      <c r="B694" s="17"/>
      <c r="C694" s="2"/>
      <c r="D694" s="2"/>
      <c r="E694" s="2"/>
      <c r="F694" s="2"/>
      <c r="G694" s="2"/>
      <c r="H694" s="2"/>
      <c r="I694" s="5"/>
    </row>
    <row r="695" spans="1:9" ht="17.399999999999999" x14ac:dyDescent="0.25">
      <c r="A695" s="16"/>
      <c r="B695" s="17"/>
      <c r="C695" s="2"/>
      <c r="D695" s="2"/>
      <c r="E695" s="2"/>
      <c r="F695" s="2"/>
      <c r="G695" s="2"/>
      <c r="H695" s="2"/>
      <c r="I695" s="5"/>
    </row>
    <row r="696" spans="1:9" ht="17.399999999999999" x14ac:dyDescent="0.25">
      <c r="A696" s="16"/>
      <c r="B696" s="17"/>
      <c r="C696" s="2"/>
      <c r="D696" s="2"/>
      <c r="E696" s="2"/>
      <c r="F696" s="2"/>
      <c r="G696" s="2"/>
      <c r="H696" s="2"/>
      <c r="I696" s="5"/>
    </row>
    <row r="697" spans="1:9" ht="17.399999999999999" x14ac:dyDescent="0.25">
      <c r="A697" s="16"/>
      <c r="B697" s="17"/>
      <c r="C697" s="2"/>
      <c r="D697" s="2"/>
      <c r="E697" s="2"/>
      <c r="F697" s="2"/>
      <c r="G697" s="2"/>
      <c r="H697" s="2"/>
      <c r="I697" s="5"/>
    </row>
    <row r="698" spans="1:9" ht="17.399999999999999" x14ac:dyDescent="0.25">
      <c r="A698" s="16"/>
      <c r="B698" s="17"/>
      <c r="C698" s="2"/>
      <c r="D698" s="2"/>
      <c r="E698" s="2"/>
      <c r="F698" s="2"/>
      <c r="G698" s="2"/>
      <c r="H698" s="2"/>
      <c r="I698" s="5"/>
    </row>
    <row r="699" spans="1:9" ht="17.399999999999999" x14ac:dyDescent="0.25">
      <c r="A699" s="16"/>
      <c r="B699" s="17"/>
      <c r="C699" s="2"/>
      <c r="D699" s="2"/>
      <c r="E699" s="2"/>
      <c r="F699" s="2"/>
      <c r="G699" s="2"/>
      <c r="H699" s="2"/>
      <c r="I699" s="5"/>
    </row>
    <row r="700" spans="1:9" ht="17.399999999999999" x14ac:dyDescent="0.25">
      <c r="A700" s="16"/>
      <c r="B700" s="17"/>
      <c r="C700" s="2"/>
      <c r="D700" s="2"/>
      <c r="E700" s="2"/>
      <c r="F700" s="2"/>
      <c r="G700" s="2"/>
      <c r="H700" s="2"/>
      <c r="I700" s="5"/>
    </row>
    <row r="701" spans="1:9" ht="17.399999999999999" x14ac:dyDescent="0.25">
      <c r="A701" s="16"/>
      <c r="B701" s="17"/>
      <c r="C701" s="2"/>
      <c r="D701" s="2"/>
      <c r="E701" s="2"/>
      <c r="F701" s="2"/>
      <c r="G701" s="2"/>
      <c r="H701" s="2"/>
      <c r="I701" s="5"/>
    </row>
    <row r="702" spans="1:9" ht="17.399999999999999" x14ac:dyDescent="0.25">
      <c r="A702" s="16"/>
      <c r="B702" s="17"/>
      <c r="C702" s="2"/>
      <c r="D702" s="2"/>
      <c r="E702" s="2"/>
      <c r="F702" s="2"/>
      <c r="G702" s="2"/>
      <c r="H702" s="2"/>
      <c r="I702" s="5"/>
    </row>
    <row r="703" spans="1:9" ht="17.399999999999999" x14ac:dyDescent="0.25">
      <c r="A703" s="16"/>
      <c r="B703" s="17"/>
      <c r="C703" s="2"/>
      <c r="D703" s="2"/>
      <c r="E703" s="2"/>
      <c r="F703" s="2"/>
      <c r="G703" s="2"/>
      <c r="H703" s="2"/>
      <c r="I703" s="5"/>
    </row>
    <row r="704" spans="1:9" ht="17.399999999999999" x14ac:dyDescent="0.25">
      <c r="A704" s="16"/>
      <c r="B704" s="17"/>
      <c r="C704" s="2"/>
      <c r="D704" s="2"/>
      <c r="E704" s="2"/>
      <c r="F704" s="2"/>
      <c r="G704" s="2"/>
      <c r="H704" s="2"/>
      <c r="I704" s="5"/>
    </row>
    <row r="705" spans="1:9" ht="17.399999999999999" x14ac:dyDescent="0.25">
      <c r="A705" s="16"/>
      <c r="B705" s="17"/>
      <c r="C705" s="2"/>
      <c r="D705" s="2"/>
      <c r="E705" s="2"/>
      <c r="F705" s="2"/>
      <c r="G705" s="2"/>
      <c r="H705" s="2"/>
      <c r="I705" s="5"/>
    </row>
    <row r="706" spans="1:9" ht="17.399999999999999" x14ac:dyDescent="0.25">
      <c r="A706" s="16"/>
      <c r="B706" s="17"/>
      <c r="C706" s="2"/>
      <c r="D706" s="2"/>
      <c r="E706" s="2"/>
      <c r="F706" s="2"/>
      <c r="G706" s="2"/>
      <c r="H706" s="2"/>
      <c r="I706" s="5"/>
    </row>
    <row r="707" spans="1:9" ht="17.399999999999999" x14ac:dyDescent="0.25">
      <c r="A707" s="16"/>
      <c r="B707" s="17"/>
      <c r="C707" s="2"/>
      <c r="D707" s="2"/>
      <c r="E707" s="2"/>
      <c r="F707" s="2"/>
      <c r="G707" s="2"/>
      <c r="H707" s="2"/>
      <c r="I707" s="5"/>
    </row>
    <row r="708" spans="1:9" ht="17.399999999999999" x14ac:dyDescent="0.25">
      <c r="A708" s="16"/>
      <c r="B708" s="17"/>
      <c r="C708" s="2"/>
      <c r="D708" s="2"/>
      <c r="E708" s="2"/>
      <c r="F708" s="2"/>
      <c r="G708" s="2"/>
      <c r="H708" s="2"/>
      <c r="I708" s="5"/>
    </row>
    <row r="709" spans="1:9" ht="17.399999999999999" x14ac:dyDescent="0.25">
      <c r="A709" s="16"/>
      <c r="B709" s="17"/>
      <c r="C709" s="2"/>
      <c r="D709" s="2"/>
      <c r="E709" s="2"/>
      <c r="F709" s="2"/>
      <c r="G709" s="2"/>
      <c r="H709" s="2"/>
      <c r="I709" s="5"/>
    </row>
    <row r="710" spans="1:9" ht="17.399999999999999" x14ac:dyDescent="0.25">
      <c r="A710" s="16"/>
      <c r="B710" s="17"/>
      <c r="C710" s="2"/>
      <c r="D710" s="2"/>
      <c r="E710" s="2"/>
      <c r="F710" s="2"/>
      <c r="G710" s="2"/>
      <c r="H710" s="2"/>
      <c r="I710" s="5"/>
    </row>
    <row r="711" spans="1:9" ht="17.399999999999999" x14ac:dyDescent="0.25">
      <c r="A711" s="16"/>
      <c r="B711" s="17"/>
      <c r="C711" s="2"/>
      <c r="D711" s="2"/>
      <c r="E711" s="2"/>
      <c r="F711" s="2"/>
      <c r="G711" s="2"/>
      <c r="H711" s="2"/>
      <c r="I711" s="5"/>
    </row>
    <row r="712" spans="1:9" ht="17.399999999999999" x14ac:dyDescent="0.25">
      <c r="A712" s="16"/>
      <c r="B712" s="17"/>
      <c r="C712" s="2"/>
      <c r="D712" s="2"/>
      <c r="E712" s="2"/>
      <c r="F712" s="2"/>
      <c r="G712" s="2"/>
      <c r="H712" s="2"/>
      <c r="I712" s="5"/>
    </row>
    <row r="713" spans="1:9" ht="17.399999999999999" x14ac:dyDescent="0.25">
      <c r="A713" s="16"/>
      <c r="B713" s="17"/>
      <c r="C713" s="2"/>
      <c r="D713" s="2"/>
      <c r="E713" s="2"/>
      <c r="F713" s="2"/>
      <c r="G713" s="2"/>
      <c r="H713" s="2"/>
      <c r="I713" s="5"/>
    </row>
    <row r="714" spans="1:9" ht="17.399999999999999" x14ac:dyDescent="0.25">
      <c r="A714" s="16"/>
      <c r="B714" s="17"/>
      <c r="C714" s="2"/>
      <c r="D714" s="2"/>
      <c r="E714" s="2"/>
      <c r="F714" s="2"/>
      <c r="G714" s="2"/>
      <c r="H714" s="2"/>
      <c r="I714" s="5"/>
    </row>
    <row r="715" spans="1:9" ht="17.399999999999999" x14ac:dyDescent="0.25">
      <c r="A715" s="16"/>
      <c r="B715" s="17"/>
      <c r="C715" s="2"/>
      <c r="D715" s="2"/>
      <c r="E715" s="2"/>
      <c r="F715" s="2"/>
      <c r="G715" s="2"/>
      <c r="H715" s="2"/>
      <c r="I715" s="5"/>
    </row>
    <row r="716" spans="1:9" ht="17.399999999999999" x14ac:dyDescent="0.25">
      <c r="A716" s="16"/>
      <c r="B716" s="17"/>
      <c r="C716" s="2"/>
      <c r="D716" s="2"/>
      <c r="E716" s="2"/>
      <c r="F716" s="2"/>
      <c r="G716" s="2"/>
      <c r="H716" s="2"/>
      <c r="I716" s="5"/>
    </row>
    <row r="717" spans="1:9" ht="17.399999999999999" x14ac:dyDescent="0.25">
      <c r="A717" s="16"/>
      <c r="B717" s="17"/>
      <c r="C717" s="2"/>
      <c r="D717" s="2"/>
      <c r="E717" s="2"/>
      <c r="F717" s="2"/>
      <c r="G717" s="2"/>
      <c r="H717" s="2"/>
      <c r="I717" s="5"/>
    </row>
    <row r="718" spans="1:9" ht="17.399999999999999" x14ac:dyDescent="0.25">
      <c r="A718" s="16"/>
      <c r="B718" s="17"/>
      <c r="C718" s="2"/>
      <c r="D718" s="2"/>
      <c r="E718" s="2"/>
      <c r="F718" s="2"/>
      <c r="G718" s="2"/>
      <c r="H718" s="2"/>
      <c r="I718" s="5"/>
    </row>
    <row r="719" spans="1:9" ht="17.399999999999999" x14ac:dyDescent="0.25">
      <c r="A719" s="16"/>
      <c r="B719" s="17"/>
      <c r="C719" s="2"/>
      <c r="D719" s="2"/>
      <c r="E719" s="2"/>
      <c r="F719" s="2"/>
      <c r="G719" s="2"/>
      <c r="H719" s="2"/>
      <c r="I719" s="5"/>
    </row>
    <row r="720" spans="1:9" ht="17.399999999999999" x14ac:dyDescent="0.25">
      <c r="A720" s="16"/>
      <c r="B720" s="17"/>
      <c r="C720" s="2"/>
      <c r="D720" s="2"/>
      <c r="E720" s="2"/>
      <c r="F720" s="2"/>
      <c r="G720" s="2"/>
      <c r="H720" s="2"/>
      <c r="I720" s="5"/>
    </row>
    <row r="721" spans="1:9" ht="17.399999999999999" x14ac:dyDescent="0.25">
      <c r="A721" s="16"/>
      <c r="B721" s="17"/>
      <c r="C721" s="2"/>
      <c r="D721" s="2"/>
      <c r="E721" s="2"/>
      <c r="F721" s="2"/>
      <c r="G721" s="2"/>
      <c r="H721" s="2"/>
      <c r="I721" s="5"/>
    </row>
    <row r="722" spans="1:9" ht="17.399999999999999" x14ac:dyDescent="0.25">
      <c r="A722" s="16"/>
      <c r="B722" s="17"/>
      <c r="C722" s="2"/>
      <c r="D722" s="2"/>
      <c r="E722" s="2"/>
      <c r="F722" s="2"/>
      <c r="G722" s="2"/>
      <c r="H722" s="2"/>
      <c r="I722" s="5"/>
    </row>
    <row r="723" spans="1:9" ht="17.399999999999999" x14ac:dyDescent="0.25">
      <c r="A723" s="16"/>
      <c r="B723" s="17"/>
      <c r="C723" s="2"/>
      <c r="D723" s="2"/>
      <c r="E723" s="2"/>
      <c r="F723" s="2"/>
      <c r="G723" s="2"/>
      <c r="H723" s="2"/>
      <c r="I723" s="5"/>
    </row>
    <row r="724" spans="1:9" ht="17.399999999999999" x14ac:dyDescent="0.25">
      <c r="A724" s="16"/>
      <c r="B724" s="17"/>
      <c r="C724" s="2"/>
      <c r="D724" s="2"/>
      <c r="E724" s="2"/>
      <c r="F724" s="2"/>
      <c r="G724" s="2"/>
      <c r="H724" s="2"/>
      <c r="I724" s="5"/>
    </row>
    <row r="725" spans="1:9" ht="17.399999999999999" x14ac:dyDescent="0.25">
      <c r="A725" s="16"/>
      <c r="B725" s="17"/>
      <c r="C725" s="2"/>
      <c r="D725" s="2"/>
      <c r="E725" s="2"/>
      <c r="F725" s="2"/>
      <c r="G725" s="2"/>
      <c r="H725" s="2"/>
      <c r="I725" s="5"/>
    </row>
    <row r="726" spans="1:9" ht="17.399999999999999" x14ac:dyDescent="0.25">
      <c r="A726" s="16"/>
      <c r="B726" s="17"/>
      <c r="C726" s="2"/>
      <c r="D726" s="2"/>
      <c r="E726" s="2"/>
      <c r="F726" s="2"/>
      <c r="G726" s="2"/>
      <c r="H726" s="2"/>
      <c r="I726" s="5"/>
    </row>
    <row r="727" spans="1:9" ht="17.399999999999999" x14ac:dyDescent="0.25">
      <c r="A727" s="16"/>
      <c r="B727" s="17"/>
      <c r="C727" s="2"/>
      <c r="D727" s="2"/>
      <c r="E727" s="2"/>
      <c r="F727" s="2"/>
      <c r="G727" s="2"/>
      <c r="H727" s="2"/>
      <c r="I727" s="5"/>
    </row>
    <row r="728" spans="1:9" ht="17.399999999999999" x14ac:dyDescent="0.25">
      <c r="A728" s="16"/>
      <c r="B728" s="17"/>
      <c r="C728" s="2"/>
      <c r="D728" s="2"/>
      <c r="E728" s="2"/>
      <c r="F728" s="2"/>
      <c r="G728" s="2"/>
      <c r="H728" s="2"/>
      <c r="I728" s="5"/>
    </row>
    <row r="729" spans="1:9" ht="17.399999999999999" x14ac:dyDescent="0.25">
      <c r="A729" s="16"/>
      <c r="B729" s="17"/>
      <c r="C729" s="2"/>
      <c r="D729" s="2"/>
      <c r="E729" s="2"/>
      <c r="F729" s="2"/>
      <c r="G729" s="2"/>
      <c r="H729" s="2"/>
      <c r="I729" s="5"/>
    </row>
    <row r="730" spans="1:9" ht="17.399999999999999" x14ac:dyDescent="0.25">
      <c r="A730" s="16"/>
      <c r="B730" s="17"/>
      <c r="C730" s="2"/>
      <c r="D730" s="2"/>
      <c r="E730" s="2"/>
      <c r="F730" s="2"/>
      <c r="G730" s="2"/>
      <c r="H730" s="2"/>
      <c r="I730" s="5"/>
    </row>
    <row r="731" spans="1:9" ht="17.399999999999999" x14ac:dyDescent="0.25">
      <c r="A731" s="16"/>
      <c r="B731" s="17"/>
      <c r="C731" s="2"/>
      <c r="D731" s="2"/>
      <c r="E731" s="2"/>
      <c r="F731" s="2"/>
      <c r="G731" s="2"/>
      <c r="H731" s="2"/>
      <c r="I731" s="5"/>
    </row>
    <row r="732" spans="1:9" ht="17.399999999999999" x14ac:dyDescent="0.25">
      <c r="A732" s="16"/>
      <c r="B732" s="17"/>
      <c r="C732" s="2"/>
      <c r="D732" s="2"/>
      <c r="E732" s="2"/>
      <c r="F732" s="2"/>
      <c r="G732" s="2"/>
      <c r="H732" s="2"/>
      <c r="I732" s="5"/>
    </row>
    <row r="733" spans="1:9" ht="17.399999999999999" x14ac:dyDescent="0.25">
      <c r="A733" s="16"/>
      <c r="B733" s="17"/>
      <c r="C733" s="2"/>
      <c r="D733" s="2"/>
      <c r="E733" s="2"/>
      <c r="F733" s="2"/>
      <c r="G733" s="2"/>
      <c r="H733" s="2"/>
      <c r="I733" s="5"/>
    </row>
    <row r="734" spans="1:9" ht="17.399999999999999" x14ac:dyDescent="0.25">
      <c r="A734" s="16"/>
      <c r="B734" s="17"/>
      <c r="C734" s="2"/>
      <c r="D734" s="2"/>
      <c r="E734" s="2"/>
      <c r="F734" s="2"/>
      <c r="G734" s="2"/>
      <c r="H734" s="2"/>
      <c r="I734" s="5"/>
    </row>
    <row r="735" spans="1:9" ht="17.399999999999999" x14ac:dyDescent="0.25">
      <c r="A735" s="16"/>
      <c r="B735" s="17"/>
      <c r="C735" s="2"/>
      <c r="D735" s="2"/>
      <c r="E735" s="2"/>
      <c r="F735" s="2"/>
      <c r="G735" s="2"/>
      <c r="H735" s="2"/>
      <c r="I735" s="5"/>
    </row>
    <row r="736" spans="1:9" ht="17.399999999999999" x14ac:dyDescent="0.25">
      <c r="A736" s="16"/>
      <c r="B736" s="17"/>
      <c r="C736" s="2"/>
      <c r="D736" s="2"/>
      <c r="E736" s="2"/>
      <c r="F736" s="2"/>
      <c r="G736" s="2"/>
      <c r="H736" s="2"/>
      <c r="I736" s="5"/>
    </row>
    <row r="737" spans="1:9" ht="17.399999999999999" x14ac:dyDescent="0.25">
      <c r="A737" s="16"/>
      <c r="B737" s="17"/>
      <c r="C737" s="2"/>
      <c r="D737" s="2"/>
      <c r="E737" s="2"/>
      <c r="F737" s="2"/>
      <c r="G737" s="2"/>
      <c r="H737" s="2"/>
      <c r="I737" s="5"/>
    </row>
    <row r="738" spans="1:9" ht="17.399999999999999" x14ac:dyDescent="0.25">
      <c r="A738" s="16"/>
      <c r="B738" s="17"/>
      <c r="C738" s="2"/>
      <c r="D738" s="2"/>
      <c r="E738" s="2"/>
      <c r="F738" s="2"/>
      <c r="G738" s="2"/>
      <c r="H738" s="2"/>
      <c r="I738" s="5"/>
    </row>
    <row r="739" spans="1:9" ht="17.399999999999999" x14ac:dyDescent="0.25">
      <c r="A739" s="16"/>
      <c r="B739" s="17"/>
      <c r="C739" s="2"/>
      <c r="D739" s="2"/>
      <c r="E739" s="2"/>
      <c r="F739" s="2"/>
      <c r="G739" s="2"/>
      <c r="H739" s="2"/>
      <c r="I739" s="5"/>
    </row>
    <row r="740" spans="1:9" ht="17.399999999999999" x14ac:dyDescent="0.25">
      <c r="A740" s="16"/>
      <c r="B740" s="17"/>
      <c r="C740" s="2"/>
      <c r="D740" s="2"/>
      <c r="E740" s="2"/>
      <c r="F740" s="2"/>
      <c r="G740" s="2"/>
      <c r="H740" s="2"/>
      <c r="I740" s="5"/>
    </row>
    <row r="741" spans="1:9" ht="17.399999999999999" x14ac:dyDescent="0.25">
      <c r="A741" s="16"/>
      <c r="B741" s="17"/>
      <c r="C741" s="2"/>
      <c r="D741" s="2"/>
      <c r="E741" s="2"/>
      <c r="F741" s="2"/>
      <c r="G741" s="2"/>
      <c r="H741" s="2"/>
      <c r="I741" s="5"/>
    </row>
    <row r="742" spans="1:9" ht="17.399999999999999" x14ac:dyDescent="0.25">
      <c r="A742" s="16"/>
      <c r="B742" s="17"/>
      <c r="C742" s="2"/>
      <c r="D742" s="2"/>
      <c r="E742" s="2"/>
      <c r="F742" s="2"/>
      <c r="G742" s="2"/>
      <c r="H742" s="2"/>
      <c r="I742" s="5"/>
    </row>
    <row r="743" spans="1:9" ht="17.399999999999999" x14ac:dyDescent="0.25">
      <c r="A743" s="16"/>
      <c r="B743" s="17"/>
      <c r="C743" s="2"/>
      <c r="D743" s="2"/>
      <c r="E743" s="2"/>
      <c r="F743" s="2"/>
      <c r="G743" s="2"/>
      <c r="H743" s="2"/>
      <c r="I743" s="5"/>
    </row>
    <row r="744" spans="1:9" ht="17.399999999999999" x14ac:dyDescent="0.25">
      <c r="A744" s="16"/>
      <c r="B744" s="17"/>
      <c r="C744" s="2"/>
      <c r="D744" s="2"/>
      <c r="E744" s="2"/>
      <c r="F744" s="2"/>
      <c r="G744" s="2"/>
      <c r="H744" s="2"/>
      <c r="I744" s="5"/>
    </row>
    <row r="745" spans="1:9" ht="17.399999999999999" x14ac:dyDescent="0.25">
      <c r="A745" s="16"/>
      <c r="B745" s="17"/>
      <c r="C745" s="2"/>
      <c r="D745" s="2"/>
      <c r="E745" s="2"/>
      <c r="F745" s="2"/>
      <c r="G745" s="2"/>
      <c r="H745" s="2"/>
      <c r="I745" s="5"/>
    </row>
    <row r="746" spans="1:9" ht="17.399999999999999" x14ac:dyDescent="0.25">
      <c r="A746" s="16"/>
      <c r="B746" s="17"/>
      <c r="C746" s="2"/>
      <c r="D746" s="2"/>
      <c r="E746" s="2"/>
      <c r="F746" s="2"/>
      <c r="G746" s="2"/>
      <c r="H746" s="2"/>
      <c r="I746" s="5"/>
    </row>
    <row r="747" spans="1:9" ht="17.399999999999999" x14ac:dyDescent="0.25">
      <c r="A747" s="16"/>
      <c r="B747" s="17"/>
      <c r="C747" s="2"/>
      <c r="D747" s="2"/>
      <c r="E747" s="2"/>
      <c r="F747" s="2"/>
      <c r="G747" s="2"/>
      <c r="H747" s="2"/>
      <c r="I747" s="5"/>
    </row>
    <row r="748" spans="1:9" ht="17.399999999999999" x14ac:dyDescent="0.25">
      <c r="A748" s="16"/>
      <c r="B748" s="17"/>
      <c r="C748" s="2"/>
      <c r="D748" s="2"/>
      <c r="E748" s="2"/>
      <c r="F748" s="2"/>
      <c r="G748" s="2"/>
      <c r="H748" s="2"/>
      <c r="I748" s="5"/>
    </row>
    <row r="749" spans="1:9" ht="17.399999999999999" x14ac:dyDescent="0.25">
      <c r="A749" s="16"/>
      <c r="B749" s="17"/>
      <c r="C749" s="2"/>
      <c r="D749" s="2"/>
      <c r="E749" s="2"/>
      <c r="F749" s="2"/>
      <c r="G749" s="2"/>
      <c r="H749" s="2"/>
      <c r="I749" s="5"/>
    </row>
    <row r="750" spans="1:9" ht="17.399999999999999" x14ac:dyDescent="0.25">
      <c r="A750" s="16"/>
      <c r="B750" s="17"/>
      <c r="C750" s="2"/>
      <c r="D750" s="2"/>
      <c r="E750" s="2"/>
      <c r="F750" s="2"/>
      <c r="G750" s="2"/>
      <c r="H750" s="2"/>
      <c r="I750" s="5"/>
    </row>
    <row r="751" spans="1:9" ht="17.399999999999999" x14ac:dyDescent="0.25">
      <c r="A751" s="16"/>
      <c r="B751" s="17"/>
      <c r="C751" s="2"/>
      <c r="D751" s="2"/>
      <c r="E751" s="2"/>
      <c r="F751" s="2"/>
      <c r="G751" s="2"/>
      <c r="H751" s="2"/>
      <c r="I751" s="5"/>
    </row>
    <row r="752" spans="1:9" ht="17.399999999999999" x14ac:dyDescent="0.25">
      <c r="A752" s="16"/>
      <c r="B752" s="17"/>
      <c r="C752" s="2"/>
      <c r="D752" s="2"/>
      <c r="E752" s="2"/>
      <c r="F752" s="2"/>
      <c r="G752" s="2"/>
      <c r="H752" s="2"/>
      <c r="I752" s="5"/>
    </row>
    <row r="753" spans="1:9" ht="17.399999999999999" x14ac:dyDescent="0.25">
      <c r="A753" s="16"/>
      <c r="B753" s="17"/>
      <c r="C753" s="2"/>
      <c r="D753" s="2"/>
      <c r="E753" s="2"/>
      <c r="F753" s="2"/>
      <c r="G753" s="2"/>
      <c r="H753" s="2"/>
      <c r="I753" s="5"/>
    </row>
    <row r="754" spans="1:9" ht="17.399999999999999" x14ac:dyDescent="0.25">
      <c r="A754" s="16"/>
      <c r="B754" s="17"/>
      <c r="C754" s="2"/>
      <c r="D754" s="2"/>
      <c r="E754" s="2"/>
      <c r="F754" s="2"/>
      <c r="G754" s="2"/>
      <c r="H754" s="2"/>
      <c r="I754" s="5"/>
    </row>
    <row r="755" spans="1:9" ht="17.399999999999999" x14ac:dyDescent="0.25">
      <c r="A755" s="16"/>
      <c r="B755" s="17"/>
      <c r="C755" s="2"/>
      <c r="D755" s="2"/>
      <c r="E755" s="2"/>
      <c r="F755" s="2"/>
      <c r="G755" s="2"/>
      <c r="H755" s="2"/>
      <c r="I755" s="5"/>
    </row>
    <row r="756" spans="1:9" ht="17.399999999999999" x14ac:dyDescent="0.25">
      <c r="A756" s="16"/>
      <c r="B756" s="17"/>
      <c r="C756" s="2"/>
      <c r="D756" s="2"/>
      <c r="E756" s="2"/>
      <c r="F756" s="2"/>
      <c r="G756" s="2"/>
      <c r="H756" s="2"/>
      <c r="I756" s="5"/>
    </row>
    <row r="757" spans="1:9" ht="17.399999999999999" x14ac:dyDescent="0.25">
      <c r="A757" s="16"/>
      <c r="B757" s="17"/>
      <c r="C757" s="2"/>
      <c r="D757" s="2"/>
      <c r="E757" s="2"/>
      <c r="F757" s="2"/>
      <c r="G757" s="2"/>
      <c r="H757" s="2"/>
      <c r="I757" s="5"/>
    </row>
    <row r="758" spans="1:9" ht="17.399999999999999" x14ac:dyDescent="0.25">
      <c r="A758" s="16"/>
      <c r="B758" s="17"/>
      <c r="C758" s="2"/>
      <c r="D758" s="2"/>
      <c r="E758" s="2"/>
      <c r="F758" s="2"/>
      <c r="G758" s="2"/>
      <c r="H758" s="2"/>
      <c r="I758" s="5"/>
    </row>
    <row r="759" spans="1:9" ht="17.399999999999999" x14ac:dyDescent="0.25">
      <c r="A759" s="16"/>
      <c r="B759" s="17"/>
      <c r="C759" s="2"/>
      <c r="D759" s="2"/>
      <c r="E759" s="2"/>
      <c r="F759" s="2"/>
      <c r="G759" s="2"/>
      <c r="H759" s="2"/>
      <c r="I759" s="5"/>
    </row>
    <row r="760" spans="1:9" ht="17.399999999999999" x14ac:dyDescent="0.25">
      <c r="A760" s="16"/>
      <c r="B760" s="17"/>
      <c r="C760" s="2"/>
      <c r="D760" s="2"/>
      <c r="E760" s="2"/>
      <c r="F760" s="2"/>
      <c r="G760" s="2"/>
      <c r="H760" s="2"/>
      <c r="I760" s="5"/>
    </row>
    <row r="761" spans="1:9" ht="17.399999999999999" x14ac:dyDescent="0.25">
      <c r="A761" s="16"/>
      <c r="B761" s="17"/>
      <c r="C761" s="2"/>
      <c r="D761" s="2"/>
      <c r="E761" s="2"/>
      <c r="F761" s="2"/>
      <c r="G761" s="2"/>
      <c r="H761" s="2"/>
      <c r="I761" s="5"/>
    </row>
    <row r="762" spans="1:9" ht="17.399999999999999" x14ac:dyDescent="0.25">
      <c r="A762" s="16"/>
      <c r="B762" s="17"/>
      <c r="C762" s="2"/>
      <c r="D762" s="2"/>
      <c r="E762" s="2"/>
      <c r="F762" s="2"/>
      <c r="G762" s="2"/>
      <c r="H762" s="2"/>
      <c r="I762" s="5"/>
    </row>
    <row r="763" spans="1:9" ht="17.399999999999999" x14ac:dyDescent="0.25">
      <c r="A763" s="16"/>
      <c r="B763" s="17"/>
      <c r="C763" s="2"/>
      <c r="D763" s="2"/>
      <c r="E763" s="2"/>
      <c r="F763" s="2"/>
      <c r="G763" s="2"/>
      <c r="H763" s="2"/>
      <c r="I763" s="5"/>
    </row>
    <row r="764" spans="1:9" ht="17.399999999999999" x14ac:dyDescent="0.25">
      <c r="A764" s="16"/>
      <c r="B764" s="17"/>
      <c r="C764" s="2"/>
      <c r="D764" s="2"/>
      <c r="E764" s="2"/>
      <c r="F764" s="2"/>
      <c r="G764" s="2"/>
      <c r="H764" s="2"/>
      <c r="I764" s="5"/>
    </row>
    <row r="765" spans="1:9" ht="17.399999999999999" x14ac:dyDescent="0.25">
      <c r="A765" s="16"/>
      <c r="B765" s="17"/>
      <c r="C765" s="2"/>
      <c r="D765" s="2"/>
      <c r="E765" s="2"/>
      <c r="F765" s="2"/>
      <c r="G765" s="2"/>
      <c r="H765" s="2"/>
      <c r="I765" s="5"/>
    </row>
    <row r="766" spans="1:9" ht="17.399999999999999" x14ac:dyDescent="0.25">
      <c r="A766" s="16"/>
      <c r="B766" s="17"/>
      <c r="C766" s="2"/>
      <c r="D766" s="2"/>
      <c r="E766" s="2"/>
      <c r="F766" s="2"/>
      <c r="G766" s="2"/>
      <c r="H766" s="2"/>
      <c r="I766" s="5"/>
    </row>
    <row r="767" spans="1:9" ht="17.399999999999999" x14ac:dyDescent="0.25">
      <c r="A767" s="16"/>
      <c r="B767" s="17"/>
      <c r="C767" s="2"/>
      <c r="D767" s="2"/>
      <c r="E767" s="2"/>
      <c r="F767" s="2"/>
      <c r="G767" s="2"/>
      <c r="H767" s="2"/>
      <c r="I767" s="5"/>
    </row>
    <row r="768" spans="1:9" ht="17.399999999999999" x14ac:dyDescent="0.25">
      <c r="A768" s="16"/>
      <c r="B768" s="17"/>
      <c r="C768" s="2"/>
      <c r="D768" s="2"/>
      <c r="E768" s="2"/>
      <c r="F768" s="2"/>
      <c r="G768" s="2"/>
      <c r="H768" s="2"/>
      <c r="I768" s="5"/>
    </row>
    <row r="769" spans="1:9" ht="17.399999999999999" x14ac:dyDescent="0.25">
      <c r="A769" s="16"/>
      <c r="B769" s="17"/>
      <c r="C769" s="2"/>
      <c r="D769" s="2"/>
      <c r="E769" s="2"/>
      <c r="F769" s="2"/>
      <c r="G769" s="2"/>
      <c r="H769" s="2"/>
      <c r="I769" s="5"/>
    </row>
    <row r="770" spans="1:9" ht="17.399999999999999" x14ac:dyDescent="0.25">
      <c r="A770" s="16"/>
      <c r="B770" s="17"/>
      <c r="C770" s="2"/>
      <c r="D770" s="2"/>
      <c r="E770" s="2"/>
      <c r="F770" s="2"/>
      <c r="G770" s="2"/>
      <c r="H770" s="2"/>
      <c r="I770" s="5"/>
    </row>
    <row r="771" spans="1:9" ht="17.399999999999999" x14ac:dyDescent="0.25">
      <c r="A771" s="16"/>
      <c r="B771" s="17"/>
      <c r="C771" s="2"/>
      <c r="D771" s="2"/>
      <c r="E771" s="2"/>
      <c r="F771" s="2"/>
      <c r="G771" s="2"/>
      <c r="H771" s="2"/>
      <c r="I771" s="5"/>
    </row>
    <row r="772" spans="1:9" ht="17.399999999999999" x14ac:dyDescent="0.25">
      <c r="A772" s="16"/>
      <c r="B772" s="17"/>
      <c r="C772" s="2"/>
      <c r="D772" s="2"/>
      <c r="E772" s="2"/>
      <c r="F772" s="2"/>
      <c r="G772" s="2"/>
      <c r="H772" s="2"/>
      <c r="I772" s="5"/>
    </row>
    <row r="773" spans="1:9" ht="17.399999999999999" x14ac:dyDescent="0.25">
      <c r="A773" s="16"/>
      <c r="B773" s="17"/>
      <c r="C773" s="2"/>
      <c r="D773" s="2"/>
      <c r="E773" s="2"/>
      <c r="F773" s="2"/>
      <c r="G773" s="2"/>
      <c r="H773" s="2"/>
      <c r="I773" s="5"/>
    </row>
    <row r="774" spans="1:9" ht="17.399999999999999" x14ac:dyDescent="0.25">
      <c r="A774" s="16"/>
      <c r="B774" s="17"/>
      <c r="C774" s="2"/>
      <c r="D774" s="2"/>
      <c r="E774" s="2"/>
      <c r="F774" s="2"/>
      <c r="G774" s="2"/>
      <c r="H774" s="2"/>
      <c r="I774" s="5"/>
    </row>
    <row r="775" spans="1:9" ht="17.399999999999999" x14ac:dyDescent="0.25">
      <c r="A775" s="16"/>
      <c r="B775" s="17"/>
      <c r="C775" s="2"/>
      <c r="D775" s="2"/>
      <c r="E775" s="2"/>
      <c r="F775" s="2"/>
      <c r="G775" s="2"/>
      <c r="H775" s="2"/>
      <c r="I775" s="5"/>
    </row>
    <row r="776" spans="1:9" ht="17.399999999999999" x14ac:dyDescent="0.25">
      <c r="A776" s="16"/>
      <c r="B776" s="17"/>
      <c r="C776" s="2"/>
      <c r="D776" s="2"/>
      <c r="E776" s="2"/>
      <c r="F776" s="2"/>
      <c r="G776" s="2"/>
      <c r="H776" s="2"/>
      <c r="I776" s="5"/>
    </row>
    <row r="777" spans="1:9" ht="17.399999999999999" x14ac:dyDescent="0.25">
      <c r="A777" s="16"/>
      <c r="B777" s="17"/>
      <c r="C777" s="2"/>
      <c r="D777" s="2"/>
      <c r="E777" s="2"/>
      <c r="F777" s="2"/>
      <c r="G777" s="2"/>
      <c r="H777" s="2"/>
      <c r="I777" s="5"/>
    </row>
    <row r="778" spans="1:9" ht="17.399999999999999" x14ac:dyDescent="0.25">
      <c r="A778" s="16"/>
      <c r="B778" s="17"/>
      <c r="C778" s="2"/>
      <c r="D778" s="2"/>
      <c r="E778" s="2"/>
      <c r="F778" s="2"/>
      <c r="G778" s="2"/>
      <c r="H778" s="2"/>
      <c r="I778" s="5"/>
    </row>
    <row r="779" spans="1:9" ht="17.399999999999999" x14ac:dyDescent="0.25">
      <c r="A779" s="16"/>
      <c r="B779" s="17"/>
      <c r="C779" s="2"/>
      <c r="D779" s="2"/>
      <c r="E779" s="2"/>
      <c r="F779" s="2"/>
      <c r="G779" s="2"/>
      <c r="H779" s="2"/>
      <c r="I779" s="5"/>
    </row>
    <row r="780" spans="1:9" ht="17.399999999999999" x14ac:dyDescent="0.25">
      <c r="A780" s="16"/>
      <c r="B780" s="17"/>
      <c r="C780" s="2"/>
      <c r="D780" s="2"/>
      <c r="E780" s="2"/>
      <c r="F780" s="2"/>
      <c r="G780" s="2"/>
      <c r="H780" s="2"/>
      <c r="I780" s="5"/>
    </row>
    <row r="781" spans="1:9" ht="17.399999999999999" x14ac:dyDescent="0.25">
      <c r="A781" s="16"/>
      <c r="B781" s="17"/>
      <c r="C781" s="2"/>
      <c r="D781" s="2"/>
      <c r="E781" s="2"/>
      <c r="F781" s="2"/>
      <c r="G781" s="2"/>
      <c r="H781" s="2"/>
      <c r="I781" s="5"/>
    </row>
    <row r="782" spans="1:9" ht="17.399999999999999" x14ac:dyDescent="0.25">
      <c r="A782" s="16"/>
      <c r="B782" s="17"/>
      <c r="C782" s="2"/>
      <c r="D782" s="2"/>
      <c r="E782" s="2"/>
      <c r="F782" s="2"/>
      <c r="G782" s="2"/>
      <c r="H782" s="2"/>
      <c r="I782" s="5"/>
    </row>
    <row r="783" spans="1:9" ht="17.399999999999999" x14ac:dyDescent="0.25">
      <c r="A783" s="16"/>
      <c r="B783" s="17"/>
      <c r="C783" s="2"/>
      <c r="D783" s="2"/>
      <c r="E783" s="2"/>
      <c r="F783" s="2"/>
      <c r="G783" s="2"/>
      <c r="H783" s="2"/>
      <c r="I783" s="5"/>
    </row>
    <row r="784" spans="1:9" ht="17.399999999999999" x14ac:dyDescent="0.25">
      <c r="A784" s="16"/>
      <c r="B784" s="17"/>
      <c r="C784" s="2"/>
      <c r="D784" s="2"/>
      <c r="E784" s="2"/>
      <c r="F784" s="2"/>
      <c r="G784" s="2"/>
      <c r="H784" s="2"/>
      <c r="I784" s="5"/>
    </row>
    <row r="785" spans="1:9" ht="17.399999999999999" x14ac:dyDescent="0.25">
      <c r="A785" s="16"/>
      <c r="B785" s="17"/>
      <c r="C785" s="2"/>
      <c r="D785" s="2"/>
      <c r="E785" s="2"/>
      <c r="F785" s="2"/>
      <c r="G785" s="2"/>
      <c r="H785" s="2"/>
      <c r="I785" s="5"/>
    </row>
    <row r="786" spans="1:9" ht="17.399999999999999" x14ac:dyDescent="0.25">
      <c r="A786" s="16"/>
      <c r="B786" s="17"/>
      <c r="C786" s="2"/>
      <c r="D786" s="2"/>
      <c r="E786" s="2"/>
      <c r="F786" s="2"/>
      <c r="G786" s="2"/>
      <c r="H786" s="2"/>
      <c r="I786" s="5"/>
    </row>
    <row r="787" spans="1:9" ht="17.399999999999999" x14ac:dyDescent="0.25">
      <c r="A787" s="16"/>
      <c r="B787" s="17"/>
      <c r="C787" s="2"/>
      <c r="D787" s="2"/>
      <c r="E787" s="2"/>
      <c r="F787" s="2"/>
      <c r="G787" s="2"/>
      <c r="H787" s="2"/>
      <c r="I787" s="5"/>
    </row>
    <row r="788" spans="1:9" ht="17.399999999999999" x14ac:dyDescent="0.25">
      <c r="A788" s="16"/>
      <c r="B788" s="17"/>
      <c r="C788" s="2"/>
      <c r="D788" s="2"/>
      <c r="E788" s="2"/>
      <c r="F788" s="2"/>
      <c r="G788" s="2"/>
      <c r="H788" s="2"/>
      <c r="I788" s="5"/>
    </row>
    <row r="789" spans="1:9" ht="17.399999999999999" x14ac:dyDescent="0.25">
      <c r="A789" s="16"/>
      <c r="B789" s="17"/>
      <c r="C789" s="2"/>
      <c r="D789" s="2"/>
      <c r="E789" s="2"/>
      <c r="F789" s="2"/>
      <c r="G789" s="2"/>
      <c r="H789" s="2"/>
      <c r="I789" s="5"/>
    </row>
    <row r="790" spans="1:9" ht="17.399999999999999" x14ac:dyDescent="0.25">
      <c r="A790" s="16"/>
      <c r="B790" s="17"/>
      <c r="C790" s="2"/>
      <c r="D790" s="2"/>
      <c r="E790" s="2"/>
      <c r="F790" s="2"/>
      <c r="G790" s="2"/>
      <c r="H790" s="2"/>
      <c r="I790" s="5"/>
    </row>
    <row r="791" spans="1:9" ht="17.399999999999999" x14ac:dyDescent="0.25">
      <c r="A791" s="16"/>
      <c r="B791" s="17"/>
      <c r="C791" s="2"/>
      <c r="D791" s="2"/>
      <c r="E791" s="2"/>
      <c r="F791" s="2"/>
      <c r="G791" s="2"/>
      <c r="H791" s="2"/>
      <c r="I791" s="5"/>
    </row>
    <row r="792" spans="1:9" ht="17.399999999999999" x14ac:dyDescent="0.25">
      <c r="A792" s="16"/>
      <c r="B792" s="17"/>
      <c r="C792" s="2"/>
      <c r="D792" s="2"/>
      <c r="E792" s="2"/>
      <c r="F792" s="2"/>
      <c r="G792" s="2"/>
      <c r="H792" s="2"/>
      <c r="I792" s="5"/>
    </row>
    <row r="793" spans="1:9" ht="17.399999999999999" x14ac:dyDescent="0.25">
      <c r="A793" s="16"/>
      <c r="B793" s="17"/>
      <c r="C793" s="2"/>
      <c r="D793" s="2"/>
      <c r="E793" s="2"/>
      <c r="F793" s="2"/>
      <c r="G793" s="2"/>
      <c r="H793" s="2"/>
      <c r="I793" s="5"/>
    </row>
    <row r="794" spans="1:9" ht="17.399999999999999" x14ac:dyDescent="0.25">
      <c r="A794" s="16"/>
      <c r="B794" s="17"/>
      <c r="C794" s="2"/>
      <c r="D794" s="2"/>
      <c r="E794" s="2"/>
      <c r="F794" s="2"/>
      <c r="G794" s="2"/>
      <c r="H794" s="2"/>
      <c r="I794" s="5"/>
    </row>
    <row r="795" spans="1:9" ht="17.399999999999999" x14ac:dyDescent="0.25">
      <c r="A795" s="16"/>
      <c r="B795" s="17"/>
      <c r="C795" s="2"/>
      <c r="D795" s="2"/>
      <c r="E795" s="2"/>
      <c r="F795" s="2"/>
      <c r="G795" s="2"/>
      <c r="H795" s="2"/>
      <c r="I795" s="5"/>
    </row>
    <row r="796" spans="1:9" ht="17.399999999999999" x14ac:dyDescent="0.25">
      <c r="A796" s="16"/>
      <c r="B796" s="17"/>
      <c r="C796" s="2"/>
      <c r="D796" s="2"/>
      <c r="E796" s="2"/>
      <c r="F796" s="2"/>
      <c r="G796" s="2"/>
      <c r="H796" s="2"/>
      <c r="I796" s="5"/>
    </row>
    <row r="797" spans="1:9" ht="17.399999999999999" x14ac:dyDescent="0.25">
      <c r="A797" s="16"/>
      <c r="B797" s="17"/>
      <c r="C797" s="2"/>
      <c r="D797" s="2"/>
      <c r="E797" s="2"/>
      <c r="F797" s="2"/>
      <c r="G797" s="2"/>
      <c r="H797" s="2"/>
      <c r="I797" s="5"/>
    </row>
    <row r="798" spans="1:9" ht="17.399999999999999" x14ac:dyDescent="0.25">
      <c r="A798" s="16"/>
      <c r="B798" s="17"/>
      <c r="C798" s="2"/>
      <c r="D798" s="2"/>
      <c r="E798" s="2"/>
      <c r="F798" s="2"/>
      <c r="G798" s="2"/>
      <c r="H798" s="2"/>
      <c r="I798" s="5"/>
    </row>
    <row r="799" spans="1:9" ht="17.399999999999999" x14ac:dyDescent="0.25">
      <c r="A799" s="16"/>
      <c r="B799" s="17"/>
      <c r="C799" s="2"/>
      <c r="D799" s="2"/>
      <c r="E799" s="2"/>
      <c r="F799" s="2"/>
      <c r="G799" s="2"/>
      <c r="H799" s="2"/>
      <c r="I799" s="5"/>
    </row>
    <row r="800" spans="1:9" ht="17.399999999999999" x14ac:dyDescent="0.25">
      <c r="A800" s="16"/>
      <c r="B800" s="17"/>
      <c r="C800" s="2"/>
      <c r="D800" s="2"/>
      <c r="E800" s="2"/>
      <c r="F800" s="2"/>
      <c r="G800" s="2"/>
      <c r="H800" s="2"/>
      <c r="I800" s="5"/>
    </row>
    <row r="801" spans="1:9" ht="17.399999999999999" x14ac:dyDescent="0.25">
      <c r="A801" s="16"/>
      <c r="B801" s="17"/>
      <c r="C801" s="2"/>
      <c r="D801" s="2"/>
      <c r="E801" s="2"/>
      <c r="F801" s="2"/>
      <c r="G801" s="2"/>
      <c r="H801" s="2"/>
      <c r="I801" s="5"/>
    </row>
    <row r="802" spans="1:9" ht="17.399999999999999" x14ac:dyDescent="0.25">
      <c r="A802" s="16"/>
      <c r="B802" s="17"/>
      <c r="C802" s="2"/>
      <c r="D802" s="2"/>
      <c r="E802" s="2"/>
      <c r="F802" s="2"/>
      <c r="G802" s="2"/>
      <c r="H802" s="2"/>
      <c r="I802" s="5"/>
    </row>
    <row r="803" spans="1:9" ht="17.399999999999999" x14ac:dyDescent="0.25">
      <c r="A803" s="16"/>
      <c r="B803" s="17"/>
      <c r="C803" s="2"/>
      <c r="D803" s="2"/>
      <c r="E803" s="2"/>
      <c r="F803" s="2"/>
      <c r="G803" s="2"/>
      <c r="H803" s="2"/>
      <c r="I803" s="5"/>
    </row>
    <row r="804" spans="1:9" ht="17.399999999999999" x14ac:dyDescent="0.25">
      <c r="A804" s="16"/>
      <c r="B804" s="17"/>
      <c r="C804" s="2"/>
      <c r="D804" s="2"/>
      <c r="E804" s="2"/>
      <c r="F804" s="2"/>
      <c r="G804" s="2"/>
      <c r="H804" s="2"/>
      <c r="I804" s="5"/>
    </row>
    <row r="805" spans="1:9" ht="17.399999999999999" x14ac:dyDescent="0.25">
      <c r="A805" s="16"/>
      <c r="B805" s="17"/>
      <c r="C805" s="2"/>
      <c r="D805" s="2"/>
      <c r="E805" s="2"/>
      <c r="F805" s="2"/>
      <c r="G805" s="2"/>
      <c r="H805" s="2"/>
      <c r="I805" s="5"/>
    </row>
    <row r="806" spans="1:9" ht="17.399999999999999" x14ac:dyDescent="0.25">
      <c r="A806" s="16"/>
      <c r="B806" s="17"/>
      <c r="C806" s="2"/>
      <c r="D806" s="2"/>
      <c r="E806" s="2"/>
      <c r="F806" s="2"/>
      <c r="G806" s="2"/>
      <c r="H806" s="2"/>
      <c r="I806" s="5"/>
    </row>
    <row r="807" spans="1:9" ht="17.399999999999999" x14ac:dyDescent="0.25">
      <c r="A807" s="16"/>
      <c r="B807" s="17"/>
      <c r="C807" s="2"/>
      <c r="D807" s="2"/>
      <c r="E807" s="2"/>
      <c r="F807" s="2"/>
      <c r="G807" s="2"/>
      <c r="H807" s="2"/>
      <c r="I807" s="5"/>
    </row>
    <row r="808" spans="1:9" ht="17.399999999999999" x14ac:dyDescent="0.25">
      <c r="A808" s="16"/>
      <c r="B808" s="17"/>
      <c r="C808" s="2"/>
      <c r="D808" s="2"/>
      <c r="E808" s="2"/>
      <c r="F808" s="2"/>
      <c r="G808" s="2"/>
      <c r="H808" s="2"/>
      <c r="I808" s="5"/>
    </row>
    <row r="809" spans="1:9" ht="17.399999999999999" x14ac:dyDescent="0.25">
      <c r="A809" s="16"/>
      <c r="B809" s="17"/>
      <c r="C809" s="2"/>
      <c r="D809" s="2"/>
      <c r="E809" s="2"/>
      <c r="F809" s="2"/>
      <c r="G809" s="2"/>
      <c r="H809" s="2"/>
      <c r="I809" s="5"/>
    </row>
    <row r="810" spans="1:9" ht="17.399999999999999" x14ac:dyDescent="0.25">
      <c r="A810" s="16"/>
      <c r="B810" s="17"/>
      <c r="C810" s="2"/>
      <c r="D810" s="2"/>
      <c r="E810" s="2"/>
      <c r="F810" s="2"/>
      <c r="G810" s="2"/>
      <c r="H810" s="2"/>
      <c r="I810" s="5"/>
    </row>
    <row r="811" spans="1:9" ht="17.399999999999999" x14ac:dyDescent="0.25">
      <c r="A811" s="16"/>
      <c r="B811" s="17"/>
      <c r="C811" s="2"/>
      <c r="D811" s="2"/>
      <c r="E811" s="2"/>
      <c r="F811" s="2"/>
      <c r="G811" s="2"/>
      <c r="H811" s="2"/>
      <c r="I811" s="5"/>
    </row>
    <row r="812" spans="1:9" ht="17.399999999999999" x14ac:dyDescent="0.25">
      <c r="A812" s="16"/>
      <c r="B812" s="17"/>
      <c r="C812" s="2"/>
      <c r="D812" s="2"/>
      <c r="E812" s="2"/>
      <c r="F812" s="2"/>
      <c r="G812" s="2"/>
      <c r="H812" s="2"/>
      <c r="I812" s="5"/>
    </row>
    <row r="813" spans="1:9" ht="17.399999999999999" x14ac:dyDescent="0.25">
      <c r="A813" s="16"/>
      <c r="B813" s="17"/>
      <c r="C813" s="2"/>
      <c r="D813" s="2"/>
      <c r="E813" s="2"/>
      <c r="F813" s="2"/>
      <c r="G813" s="2"/>
      <c r="H813" s="2"/>
      <c r="I813" s="5"/>
    </row>
    <row r="814" spans="1:9" ht="17.399999999999999" x14ac:dyDescent="0.25">
      <c r="A814" s="16"/>
      <c r="B814" s="17"/>
      <c r="C814" s="2"/>
      <c r="D814" s="2"/>
      <c r="E814" s="2"/>
      <c r="F814" s="2"/>
      <c r="G814" s="2"/>
      <c r="H814" s="2"/>
      <c r="I814" s="5"/>
    </row>
    <row r="815" spans="1:9" ht="17.399999999999999" x14ac:dyDescent="0.25">
      <c r="A815" s="16"/>
      <c r="B815" s="17"/>
      <c r="C815" s="2"/>
      <c r="D815" s="2"/>
      <c r="E815" s="2"/>
      <c r="F815" s="2"/>
      <c r="G815" s="2"/>
      <c r="H815" s="2"/>
      <c r="I815" s="5"/>
    </row>
    <row r="816" spans="1:9" ht="17.399999999999999" x14ac:dyDescent="0.25">
      <c r="A816" s="16"/>
      <c r="B816" s="17"/>
      <c r="C816" s="2"/>
      <c r="D816" s="2"/>
      <c r="E816" s="2"/>
      <c r="F816" s="2"/>
      <c r="G816" s="2"/>
      <c r="H816" s="2"/>
      <c r="I816" s="5"/>
    </row>
    <row r="817" spans="1:9" ht="17.399999999999999" x14ac:dyDescent="0.25">
      <c r="A817" s="16"/>
      <c r="B817" s="17"/>
      <c r="C817" s="2"/>
      <c r="D817" s="2"/>
      <c r="E817" s="2"/>
      <c r="F817" s="2"/>
      <c r="G817" s="2"/>
      <c r="H817" s="2"/>
      <c r="I817" s="5"/>
    </row>
    <row r="818" spans="1:9" ht="17.399999999999999" x14ac:dyDescent="0.25">
      <c r="A818" s="16"/>
      <c r="B818" s="17"/>
      <c r="C818" s="2"/>
      <c r="D818" s="2"/>
      <c r="E818" s="2"/>
      <c r="F818" s="2"/>
      <c r="G818" s="2"/>
      <c r="H818" s="2"/>
      <c r="I818" s="5"/>
    </row>
    <row r="819" spans="1:9" ht="17.399999999999999" x14ac:dyDescent="0.25">
      <c r="A819" s="16"/>
      <c r="B819" s="17"/>
      <c r="C819" s="2"/>
      <c r="D819" s="2"/>
      <c r="E819" s="2"/>
      <c r="F819" s="2"/>
      <c r="G819" s="2"/>
      <c r="H819" s="2"/>
      <c r="I819" s="5"/>
    </row>
    <row r="820" spans="1:9" ht="17.399999999999999" x14ac:dyDescent="0.25">
      <c r="A820" s="16"/>
      <c r="B820" s="17"/>
      <c r="C820" s="2"/>
      <c r="D820" s="2"/>
      <c r="E820" s="2"/>
      <c r="F820" s="2"/>
      <c r="G820" s="2"/>
      <c r="H820" s="2"/>
      <c r="I820" s="5"/>
    </row>
    <row r="821" spans="1:9" ht="17.399999999999999" x14ac:dyDescent="0.25">
      <c r="A821" s="16"/>
      <c r="B821" s="17"/>
      <c r="C821" s="2"/>
      <c r="D821" s="2"/>
      <c r="E821" s="2"/>
      <c r="F821" s="2"/>
      <c r="G821" s="2"/>
      <c r="H821" s="2"/>
      <c r="I821" s="5"/>
    </row>
    <row r="822" spans="1:9" ht="17.399999999999999" x14ac:dyDescent="0.25">
      <c r="A822" s="16"/>
      <c r="B822" s="17"/>
      <c r="C822" s="2"/>
      <c r="D822" s="2"/>
      <c r="E822" s="2"/>
      <c r="F822" s="2"/>
      <c r="G822" s="2"/>
      <c r="H822" s="2"/>
      <c r="I822" s="5"/>
    </row>
    <row r="823" spans="1:9" ht="17.399999999999999" x14ac:dyDescent="0.25">
      <c r="A823" s="16"/>
      <c r="B823" s="17"/>
      <c r="C823" s="2"/>
      <c r="D823" s="2"/>
      <c r="E823" s="2"/>
      <c r="F823" s="2"/>
      <c r="G823" s="2"/>
      <c r="H823" s="2"/>
      <c r="I823" s="5"/>
    </row>
    <row r="824" spans="1:9" ht="17.399999999999999" x14ac:dyDescent="0.25">
      <c r="A824" s="16"/>
      <c r="B824" s="17"/>
      <c r="C824" s="2"/>
      <c r="D824" s="2"/>
      <c r="E824" s="2"/>
      <c r="F824" s="2"/>
      <c r="G824" s="2"/>
      <c r="H824" s="2"/>
      <c r="I824" s="5"/>
    </row>
    <row r="825" spans="1:9" ht="17.399999999999999" x14ac:dyDescent="0.25">
      <c r="A825" s="16"/>
      <c r="B825" s="17"/>
      <c r="C825" s="2"/>
      <c r="D825" s="2"/>
      <c r="E825" s="2"/>
      <c r="F825" s="2"/>
      <c r="G825" s="2"/>
      <c r="H825" s="2"/>
      <c r="I825" s="5"/>
    </row>
    <row r="826" spans="1:9" ht="17.399999999999999" x14ac:dyDescent="0.25">
      <c r="A826" s="16"/>
      <c r="B826" s="17"/>
      <c r="C826" s="2"/>
      <c r="D826" s="2"/>
      <c r="E826" s="2"/>
      <c r="F826" s="2"/>
      <c r="G826" s="2"/>
      <c r="H826" s="2"/>
      <c r="I826" s="5"/>
    </row>
    <row r="827" spans="1:9" ht="17.399999999999999" x14ac:dyDescent="0.25">
      <c r="A827" s="16"/>
      <c r="B827" s="17"/>
      <c r="C827" s="2"/>
      <c r="D827" s="2"/>
      <c r="E827" s="2"/>
      <c r="F827" s="2"/>
      <c r="G827" s="2"/>
      <c r="H827" s="2"/>
      <c r="I827" s="5"/>
    </row>
    <row r="828" spans="1:9" ht="17.399999999999999" x14ac:dyDescent="0.25">
      <c r="A828" s="16"/>
      <c r="B828" s="17"/>
      <c r="C828" s="2"/>
      <c r="D828" s="2"/>
      <c r="E828" s="2"/>
      <c r="F828" s="2"/>
      <c r="G828" s="2"/>
      <c r="H828" s="2"/>
      <c r="I828" s="5"/>
    </row>
    <row r="829" spans="1:9" ht="17.399999999999999" x14ac:dyDescent="0.25">
      <c r="A829" s="16"/>
      <c r="B829" s="17"/>
      <c r="C829" s="2"/>
      <c r="D829" s="2"/>
      <c r="E829" s="2"/>
      <c r="F829" s="2"/>
      <c r="G829" s="2"/>
      <c r="H829" s="2"/>
      <c r="I829" s="5"/>
    </row>
    <row r="830" spans="1:9" ht="17.399999999999999" x14ac:dyDescent="0.25">
      <c r="A830" s="16"/>
      <c r="B830" s="17"/>
      <c r="C830" s="2"/>
      <c r="D830" s="2"/>
      <c r="E830" s="2"/>
      <c r="F830" s="2"/>
      <c r="G830" s="2"/>
      <c r="H830" s="2"/>
      <c r="I830" s="5"/>
    </row>
    <row r="831" spans="1:9" ht="17.399999999999999" x14ac:dyDescent="0.25">
      <c r="A831" s="16"/>
      <c r="B831" s="17"/>
      <c r="C831" s="2"/>
      <c r="D831" s="2"/>
      <c r="E831" s="2"/>
      <c r="F831" s="2"/>
      <c r="G831" s="2"/>
      <c r="H831" s="2"/>
      <c r="I831" s="5"/>
    </row>
    <row r="832" spans="1:9" ht="17.399999999999999" x14ac:dyDescent="0.25">
      <c r="A832" s="16"/>
      <c r="B832" s="17"/>
      <c r="C832" s="2"/>
      <c r="D832" s="2"/>
      <c r="E832" s="2"/>
      <c r="F832" s="2"/>
      <c r="G832" s="2"/>
      <c r="H832" s="2"/>
      <c r="I832" s="5"/>
    </row>
    <row r="833" spans="1:9" ht="17.399999999999999" x14ac:dyDescent="0.25">
      <c r="A833" s="16"/>
      <c r="B833" s="17"/>
      <c r="C833" s="2"/>
      <c r="D833" s="2"/>
      <c r="E833" s="2"/>
      <c r="F833" s="2"/>
      <c r="G833" s="2"/>
      <c r="H833" s="2"/>
      <c r="I833" s="5"/>
    </row>
    <row r="834" spans="1:9" ht="17.399999999999999" x14ac:dyDescent="0.25">
      <c r="A834" s="16"/>
      <c r="B834" s="17"/>
      <c r="C834" s="2"/>
      <c r="D834" s="2"/>
      <c r="E834" s="2"/>
      <c r="F834" s="2"/>
      <c r="G834" s="2"/>
      <c r="H834" s="2"/>
      <c r="I834" s="5"/>
    </row>
    <row r="835" spans="1:9" ht="17.399999999999999" x14ac:dyDescent="0.25">
      <c r="A835" s="16"/>
      <c r="B835" s="17"/>
      <c r="C835" s="2"/>
      <c r="D835" s="2"/>
      <c r="E835" s="2"/>
      <c r="F835" s="2"/>
      <c r="G835" s="2"/>
      <c r="H835" s="2"/>
      <c r="I835" s="5"/>
    </row>
    <row r="836" spans="1:9" ht="17.399999999999999" x14ac:dyDescent="0.25">
      <c r="A836" s="16"/>
      <c r="B836" s="17"/>
      <c r="C836" s="2"/>
      <c r="D836" s="2"/>
      <c r="E836" s="2"/>
      <c r="F836" s="2"/>
      <c r="G836" s="2"/>
      <c r="H836" s="2"/>
      <c r="I836" s="5"/>
    </row>
    <row r="837" spans="1:9" ht="17.399999999999999" x14ac:dyDescent="0.25">
      <c r="A837" s="16"/>
      <c r="B837" s="17"/>
      <c r="C837" s="2"/>
      <c r="D837" s="2"/>
      <c r="E837" s="2"/>
      <c r="F837" s="2"/>
      <c r="G837" s="2"/>
      <c r="H837" s="2"/>
      <c r="I837" s="5"/>
    </row>
    <row r="838" spans="1:9" ht="17.399999999999999" x14ac:dyDescent="0.25">
      <c r="A838" s="16"/>
      <c r="B838" s="17"/>
      <c r="C838" s="2"/>
      <c r="D838" s="2"/>
      <c r="E838" s="2"/>
      <c r="F838" s="2"/>
      <c r="G838" s="2"/>
      <c r="H838" s="2"/>
      <c r="I838" s="5"/>
    </row>
    <row r="839" spans="1:9" ht="17.399999999999999" x14ac:dyDescent="0.25">
      <c r="A839" s="16"/>
      <c r="B839" s="17"/>
      <c r="C839" s="2"/>
      <c r="D839" s="2"/>
      <c r="E839" s="2"/>
      <c r="F839" s="2"/>
      <c r="G839" s="2"/>
      <c r="H839" s="2"/>
      <c r="I839" s="5"/>
    </row>
    <row r="840" spans="1:9" ht="17.399999999999999" x14ac:dyDescent="0.25">
      <c r="A840" s="16"/>
      <c r="B840" s="17"/>
      <c r="C840" s="2"/>
      <c r="D840" s="2"/>
      <c r="E840" s="2"/>
      <c r="F840" s="2"/>
      <c r="G840" s="2"/>
      <c r="H840" s="2"/>
      <c r="I840" s="5"/>
    </row>
    <row r="841" spans="1:9" ht="17.399999999999999" x14ac:dyDescent="0.25">
      <c r="A841" s="16"/>
      <c r="B841" s="17"/>
      <c r="C841" s="2"/>
      <c r="D841" s="2"/>
      <c r="E841" s="2"/>
      <c r="F841" s="2"/>
      <c r="G841" s="2"/>
      <c r="H841" s="2"/>
      <c r="I841" s="5"/>
    </row>
    <row r="842" spans="1:9" ht="17.399999999999999" x14ac:dyDescent="0.25">
      <c r="A842" s="16"/>
      <c r="B842" s="17"/>
      <c r="C842" s="2"/>
      <c r="D842" s="2"/>
      <c r="E842" s="2"/>
      <c r="F842" s="2"/>
      <c r="G842" s="2"/>
      <c r="H842" s="2"/>
      <c r="I842" s="5"/>
    </row>
    <row r="843" spans="1:9" ht="17.399999999999999" x14ac:dyDescent="0.25">
      <c r="A843" s="16"/>
      <c r="B843" s="17"/>
      <c r="C843" s="2"/>
      <c r="D843" s="2"/>
      <c r="E843" s="2"/>
      <c r="F843" s="2"/>
      <c r="G843" s="2"/>
      <c r="H843" s="2"/>
      <c r="I843" s="5"/>
    </row>
    <row r="844" spans="1:9" ht="17.399999999999999" x14ac:dyDescent="0.25">
      <c r="A844" s="16"/>
      <c r="B844" s="17"/>
      <c r="C844" s="2"/>
      <c r="D844" s="2"/>
      <c r="E844" s="2"/>
      <c r="F844" s="2"/>
      <c r="G844" s="2"/>
      <c r="H844" s="2"/>
      <c r="I844" s="5"/>
    </row>
    <row r="845" spans="1:9" ht="17.399999999999999" x14ac:dyDescent="0.25">
      <c r="A845" s="16"/>
      <c r="B845" s="17"/>
      <c r="C845" s="2"/>
      <c r="D845" s="2"/>
      <c r="E845" s="2"/>
      <c r="F845" s="2"/>
      <c r="G845" s="2"/>
      <c r="H845" s="2"/>
      <c r="I845" s="5"/>
    </row>
    <row r="846" spans="1:9" ht="17.399999999999999" x14ac:dyDescent="0.25">
      <c r="A846" s="16"/>
      <c r="B846" s="17"/>
      <c r="C846" s="2"/>
      <c r="D846" s="2"/>
      <c r="E846" s="2"/>
      <c r="F846" s="2"/>
      <c r="G846" s="2"/>
      <c r="H846" s="2"/>
      <c r="I846" s="5"/>
    </row>
    <row r="847" spans="1:9" ht="17.399999999999999" x14ac:dyDescent="0.25">
      <c r="A847" s="16"/>
      <c r="B847" s="17"/>
      <c r="C847" s="2"/>
      <c r="D847" s="2"/>
      <c r="E847" s="2"/>
      <c r="F847" s="2"/>
      <c r="G847" s="2"/>
      <c r="H847" s="2"/>
      <c r="I847" s="5"/>
    </row>
    <row r="848" spans="1:9" ht="17.399999999999999" x14ac:dyDescent="0.25">
      <c r="A848" s="16"/>
      <c r="B848" s="17"/>
      <c r="C848" s="2"/>
      <c r="D848" s="2"/>
      <c r="E848" s="2"/>
      <c r="F848" s="2"/>
      <c r="G848" s="2"/>
      <c r="H848" s="2"/>
      <c r="I848" s="5"/>
    </row>
    <row r="849" spans="1:9" ht="17.399999999999999" x14ac:dyDescent="0.25">
      <c r="A849" s="16"/>
      <c r="B849" s="17"/>
      <c r="C849" s="2"/>
      <c r="D849" s="2"/>
      <c r="E849" s="2"/>
      <c r="F849" s="2"/>
      <c r="G849" s="2"/>
      <c r="H849" s="2"/>
      <c r="I849" s="5"/>
    </row>
    <row r="850" spans="1:9" ht="17.399999999999999" x14ac:dyDescent="0.25">
      <c r="A850" s="16"/>
      <c r="B850" s="17"/>
      <c r="C850" s="2"/>
      <c r="D850" s="2"/>
      <c r="E850" s="2"/>
      <c r="F850" s="2"/>
      <c r="G850" s="2"/>
      <c r="H850" s="2"/>
      <c r="I850" s="5"/>
    </row>
    <row r="851" spans="1:9" ht="17.399999999999999" x14ac:dyDescent="0.25">
      <c r="A851" s="16"/>
      <c r="B851" s="17"/>
      <c r="C851" s="2"/>
      <c r="D851" s="2"/>
      <c r="E851" s="2"/>
      <c r="F851" s="2"/>
      <c r="G851" s="2"/>
      <c r="H851" s="2"/>
      <c r="I851" s="5"/>
    </row>
    <row r="852" spans="1:9" ht="17.399999999999999" x14ac:dyDescent="0.25">
      <c r="A852" s="16"/>
      <c r="B852" s="17"/>
      <c r="C852" s="2"/>
      <c r="D852" s="2"/>
      <c r="E852" s="2"/>
      <c r="F852" s="2"/>
      <c r="G852" s="2"/>
      <c r="H852" s="2"/>
      <c r="I852" s="5"/>
    </row>
    <row r="853" spans="1:9" ht="17.399999999999999" x14ac:dyDescent="0.25">
      <c r="A853" s="16"/>
      <c r="B853" s="17"/>
      <c r="C853" s="2"/>
      <c r="D853" s="2"/>
      <c r="E853" s="2"/>
      <c r="F853" s="2"/>
      <c r="G853" s="2"/>
      <c r="H853" s="2"/>
      <c r="I853" s="5"/>
    </row>
    <row r="854" spans="1:9" ht="17.399999999999999" x14ac:dyDescent="0.25">
      <c r="A854" s="16"/>
      <c r="B854" s="17"/>
      <c r="C854" s="2"/>
      <c r="D854" s="2"/>
      <c r="E854" s="2"/>
      <c r="F854" s="2"/>
      <c r="G854" s="2"/>
      <c r="H854" s="2"/>
      <c r="I854" s="5"/>
    </row>
    <row r="855" spans="1:9" ht="17.399999999999999" x14ac:dyDescent="0.25">
      <c r="A855" s="16"/>
      <c r="B855" s="17"/>
      <c r="C855" s="2"/>
      <c r="D855" s="2"/>
      <c r="E855" s="2"/>
      <c r="F855" s="2"/>
      <c r="G855" s="2"/>
      <c r="H855" s="2"/>
      <c r="I855" s="5"/>
    </row>
    <row r="856" spans="1:9" ht="17.399999999999999" x14ac:dyDescent="0.25">
      <c r="A856" s="16"/>
      <c r="B856" s="17"/>
      <c r="C856" s="2"/>
      <c r="D856" s="2"/>
      <c r="E856" s="2"/>
      <c r="F856" s="2"/>
      <c r="G856" s="2"/>
      <c r="H856" s="2"/>
      <c r="I856" s="5"/>
    </row>
    <row r="857" spans="1:9" ht="17.399999999999999" x14ac:dyDescent="0.25">
      <c r="A857" s="16"/>
      <c r="B857" s="17"/>
      <c r="C857" s="2"/>
      <c r="D857" s="2"/>
      <c r="E857" s="2"/>
      <c r="F857" s="2"/>
      <c r="G857" s="2"/>
      <c r="H857" s="2"/>
      <c r="I857" s="5"/>
    </row>
    <row r="858" spans="1:9" ht="17.399999999999999" x14ac:dyDescent="0.25">
      <c r="A858" s="16"/>
      <c r="B858" s="17"/>
      <c r="C858" s="2"/>
      <c r="D858" s="2"/>
      <c r="E858" s="2"/>
      <c r="F858" s="2"/>
      <c r="G858" s="2"/>
      <c r="H858" s="2"/>
      <c r="I858" s="5"/>
    </row>
    <row r="859" spans="1:9" ht="17.399999999999999" x14ac:dyDescent="0.25">
      <c r="A859" s="16"/>
      <c r="B859" s="17"/>
      <c r="C859" s="2"/>
      <c r="D859" s="2"/>
      <c r="E859" s="2"/>
      <c r="F859" s="2"/>
      <c r="G859" s="2"/>
      <c r="H859" s="2"/>
      <c r="I859" s="5"/>
    </row>
    <row r="860" spans="1:9" ht="17.399999999999999" x14ac:dyDescent="0.25">
      <c r="A860" s="16"/>
      <c r="B860" s="17"/>
      <c r="C860" s="2"/>
      <c r="D860" s="2"/>
      <c r="E860" s="2"/>
      <c r="F860" s="2"/>
      <c r="G860" s="2"/>
      <c r="H860" s="2"/>
      <c r="I860" s="5"/>
    </row>
    <row r="861" spans="1:9" ht="17.399999999999999" x14ac:dyDescent="0.25">
      <c r="A861" s="16"/>
      <c r="B861" s="17"/>
      <c r="C861" s="2"/>
      <c r="D861" s="2"/>
      <c r="E861" s="2"/>
      <c r="F861" s="2"/>
      <c r="G861" s="2"/>
      <c r="H861" s="2"/>
      <c r="I861" s="5"/>
    </row>
    <row r="862" spans="1:9" ht="17.399999999999999" x14ac:dyDescent="0.25">
      <c r="A862" s="16"/>
      <c r="B862" s="17"/>
      <c r="C862" s="2"/>
      <c r="D862" s="2"/>
      <c r="E862" s="2"/>
      <c r="F862" s="2"/>
      <c r="G862" s="2"/>
      <c r="H862" s="2"/>
      <c r="I862" s="5"/>
    </row>
    <row r="863" spans="1:9" ht="17.399999999999999" x14ac:dyDescent="0.25">
      <c r="A863" s="16"/>
      <c r="B863" s="17"/>
      <c r="C863" s="2"/>
      <c r="D863" s="2"/>
      <c r="E863" s="2"/>
      <c r="F863" s="2"/>
      <c r="G863" s="2"/>
      <c r="H863" s="2"/>
      <c r="I863" s="5"/>
    </row>
    <row r="864" spans="1:9" ht="17.399999999999999" x14ac:dyDescent="0.25">
      <c r="A864" s="16"/>
      <c r="B864" s="17"/>
      <c r="C864" s="2"/>
      <c r="D864" s="2"/>
      <c r="E864" s="2"/>
      <c r="F864" s="2"/>
      <c r="G864" s="2"/>
      <c r="H864" s="2"/>
      <c r="I864" s="5"/>
    </row>
    <row r="865" spans="1:9" ht="17.399999999999999" x14ac:dyDescent="0.25">
      <c r="A865" s="16"/>
      <c r="B865" s="17"/>
      <c r="C865" s="2"/>
      <c r="D865" s="2"/>
      <c r="E865" s="2"/>
      <c r="F865" s="2"/>
      <c r="G865" s="2"/>
      <c r="H865" s="2"/>
      <c r="I865" s="5"/>
    </row>
    <row r="866" spans="1:9" ht="17.399999999999999" x14ac:dyDescent="0.25">
      <c r="A866" s="16"/>
      <c r="B866" s="17"/>
      <c r="C866" s="2"/>
      <c r="D866" s="2"/>
      <c r="E866" s="2"/>
      <c r="F866" s="2"/>
      <c r="G866" s="2"/>
      <c r="H866" s="2"/>
      <c r="I866" s="5"/>
    </row>
    <row r="867" spans="1:9" ht="17.399999999999999" x14ac:dyDescent="0.25">
      <c r="A867" s="16"/>
      <c r="B867" s="17"/>
      <c r="C867" s="2"/>
      <c r="D867" s="2"/>
      <c r="E867" s="2"/>
      <c r="F867" s="2"/>
      <c r="G867" s="2"/>
      <c r="H867" s="2"/>
      <c r="I867" s="5"/>
    </row>
    <row r="868" spans="1:9" ht="17.399999999999999" x14ac:dyDescent="0.25">
      <c r="A868" s="16"/>
      <c r="B868" s="17"/>
      <c r="C868" s="2"/>
      <c r="D868" s="2"/>
      <c r="E868" s="2"/>
      <c r="F868" s="2"/>
      <c r="G868" s="2"/>
      <c r="H868" s="2"/>
      <c r="I868" s="5"/>
    </row>
    <row r="869" spans="1:9" ht="17.399999999999999" x14ac:dyDescent="0.25">
      <c r="A869" s="16"/>
      <c r="B869" s="17"/>
      <c r="C869" s="2"/>
      <c r="D869" s="2"/>
      <c r="E869" s="2"/>
      <c r="F869" s="2"/>
      <c r="G869" s="2"/>
      <c r="H869" s="2"/>
      <c r="I869" s="5"/>
    </row>
    <row r="870" spans="1:9" ht="17.399999999999999" x14ac:dyDescent="0.25">
      <c r="A870" s="16"/>
      <c r="B870" s="17"/>
      <c r="C870" s="2"/>
      <c r="D870" s="2"/>
      <c r="E870" s="2"/>
      <c r="F870" s="2"/>
      <c r="G870" s="2"/>
      <c r="H870" s="2"/>
      <c r="I870" s="5"/>
    </row>
    <row r="871" spans="1:9" ht="17.399999999999999" x14ac:dyDescent="0.25">
      <c r="A871" s="16"/>
      <c r="B871" s="17"/>
      <c r="C871" s="2"/>
      <c r="D871" s="2"/>
      <c r="E871" s="2"/>
      <c r="F871" s="2"/>
      <c r="G871" s="2"/>
      <c r="H871" s="2"/>
      <c r="I871" s="5"/>
    </row>
    <row r="872" spans="1:9" ht="17.399999999999999" x14ac:dyDescent="0.25">
      <c r="A872" s="16"/>
      <c r="B872" s="17"/>
      <c r="C872" s="2"/>
      <c r="D872" s="2"/>
      <c r="E872" s="2"/>
      <c r="F872" s="2"/>
      <c r="G872" s="2"/>
      <c r="H872" s="2"/>
      <c r="I872" s="5"/>
    </row>
    <row r="873" spans="1:9" ht="17.399999999999999" x14ac:dyDescent="0.25">
      <c r="A873" s="16"/>
      <c r="B873" s="17"/>
      <c r="C873" s="2"/>
      <c r="D873" s="2"/>
      <c r="E873" s="2"/>
      <c r="F873" s="2"/>
      <c r="G873" s="2"/>
      <c r="H873" s="2"/>
      <c r="I873" s="5"/>
    </row>
    <row r="874" spans="1:9" ht="17.399999999999999" x14ac:dyDescent="0.25">
      <c r="A874" s="16"/>
      <c r="B874" s="17"/>
      <c r="C874" s="2"/>
      <c r="D874" s="2"/>
      <c r="E874" s="2"/>
      <c r="F874" s="2"/>
      <c r="G874" s="2"/>
      <c r="H874" s="2"/>
      <c r="I874" s="5"/>
    </row>
    <row r="875" spans="1:9" ht="17.399999999999999" x14ac:dyDescent="0.25">
      <c r="A875" s="16"/>
      <c r="B875" s="17"/>
      <c r="C875" s="2"/>
      <c r="D875" s="2"/>
      <c r="E875" s="2"/>
      <c r="F875" s="2"/>
      <c r="G875" s="2"/>
      <c r="H875" s="2"/>
      <c r="I875" s="5"/>
    </row>
    <row r="876" spans="1:9" ht="17.399999999999999" x14ac:dyDescent="0.25">
      <c r="A876" s="16"/>
      <c r="B876" s="17"/>
      <c r="C876" s="2"/>
      <c r="D876" s="2"/>
      <c r="E876" s="2"/>
      <c r="F876" s="2"/>
      <c r="G876" s="2"/>
      <c r="H876" s="2"/>
      <c r="I876" s="5"/>
    </row>
    <row r="877" spans="1:9" ht="17.399999999999999" x14ac:dyDescent="0.25">
      <c r="A877" s="16"/>
      <c r="B877" s="17"/>
      <c r="C877" s="2"/>
      <c r="D877" s="2"/>
      <c r="E877" s="2"/>
      <c r="F877" s="2"/>
      <c r="G877" s="2"/>
      <c r="H877" s="2"/>
      <c r="I877" s="5"/>
    </row>
    <row r="878" spans="1:9" ht="17.399999999999999" x14ac:dyDescent="0.25">
      <c r="A878" s="16"/>
      <c r="B878" s="17"/>
      <c r="C878" s="2"/>
      <c r="D878" s="2"/>
      <c r="E878" s="2"/>
      <c r="F878" s="2"/>
      <c r="G878" s="2"/>
      <c r="H878" s="2"/>
      <c r="I878" s="5"/>
    </row>
    <row r="879" spans="1:9" ht="17.399999999999999" x14ac:dyDescent="0.25">
      <c r="A879" s="16"/>
      <c r="B879" s="17"/>
      <c r="C879" s="2"/>
      <c r="D879" s="2"/>
      <c r="E879" s="2"/>
      <c r="F879" s="2"/>
      <c r="G879" s="2"/>
      <c r="H879" s="2"/>
      <c r="I879" s="5"/>
    </row>
    <row r="880" spans="1:9" ht="17.399999999999999" x14ac:dyDescent="0.25">
      <c r="A880" s="16"/>
      <c r="B880" s="17"/>
      <c r="C880" s="2"/>
      <c r="D880" s="2"/>
      <c r="E880" s="2"/>
      <c r="F880" s="2"/>
      <c r="G880" s="2"/>
      <c r="H880" s="2"/>
      <c r="I880" s="5"/>
    </row>
    <row r="881" spans="1:9" ht="17.399999999999999" x14ac:dyDescent="0.25">
      <c r="A881" s="16"/>
      <c r="B881" s="17"/>
      <c r="C881" s="2"/>
      <c r="D881" s="2"/>
      <c r="E881" s="2"/>
      <c r="F881" s="2"/>
      <c r="G881" s="2"/>
      <c r="H881" s="2"/>
      <c r="I881" s="5"/>
    </row>
    <row r="882" spans="1:9" ht="17.399999999999999" x14ac:dyDescent="0.25">
      <c r="A882" s="16"/>
      <c r="B882" s="17"/>
      <c r="C882" s="2"/>
      <c r="D882" s="2"/>
      <c r="E882" s="2"/>
      <c r="F882" s="2"/>
      <c r="G882" s="2"/>
      <c r="H882" s="2"/>
      <c r="I882" s="5"/>
    </row>
    <row r="883" spans="1:9" ht="17.399999999999999" x14ac:dyDescent="0.25">
      <c r="A883" s="16"/>
      <c r="B883" s="17"/>
      <c r="C883" s="2"/>
      <c r="D883" s="2"/>
      <c r="E883" s="2"/>
      <c r="F883" s="2"/>
      <c r="G883" s="2"/>
      <c r="H883" s="2"/>
      <c r="I883" s="5"/>
    </row>
    <row r="884" spans="1:9" ht="17.399999999999999" x14ac:dyDescent="0.25">
      <c r="A884" s="16"/>
      <c r="B884" s="17"/>
      <c r="C884" s="2"/>
      <c r="D884" s="2"/>
      <c r="E884" s="2"/>
      <c r="F884" s="2"/>
      <c r="G884" s="2"/>
      <c r="H884" s="2"/>
      <c r="I884" s="5"/>
    </row>
    <row r="885" spans="1:9" ht="17.399999999999999" x14ac:dyDescent="0.25">
      <c r="A885" s="16"/>
      <c r="B885" s="17"/>
      <c r="C885" s="2"/>
      <c r="D885" s="2"/>
      <c r="E885" s="2"/>
      <c r="F885" s="2"/>
      <c r="G885" s="2"/>
      <c r="H885" s="2"/>
      <c r="I885" s="5"/>
    </row>
    <row r="886" spans="1:9" ht="17.399999999999999" x14ac:dyDescent="0.25">
      <c r="A886" s="16"/>
      <c r="B886" s="17"/>
      <c r="C886" s="2"/>
      <c r="D886" s="2"/>
      <c r="E886" s="2"/>
      <c r="F886" s="2"/>
      <c r="G886" s="2"/>
      <c r="H886" s="2"/>
      <c r="I886" s="5"/>
    </row>
    <row r="887" spans="1:9" ht="17.399999999999999" x14ac:dyDescent="0.25">
      <c r="A887" s="16"/>
      <c r="B887" s="17"/>
      <c r="C887" s="2"/>
      <c r="D887" s="2"/>
      <c r="E887" s="2"/>
      <c r="F887" s="2"/>
      <c r="G887" s="2"/>
      <c r="H887" s="2"/>
      <c r="I887" s="5"/>
    </row>
    <row r="888" spans="1:9" ht="17.399999999999999" x14ac:dyDescent="0.25">
      <c r="A888" s="16"/>
      <c r="B888" s="17"/>
      <c r="C888" s="2"/>
      <c r="D888" s="2"/>
      <c r="E888" s="2"/>
      <c r="F888" s="2"/>
      <c r="G888" s="2"/>
      <c r="H888" s="2"/>
      <c r="I888" s="5"/>
    </row>
    <row r="889" spans="1:9" ht="17.399999999999999" x14ac:dyDescent="0.25">
      <c r="A889" s="16"/>
      <c r="B889" s="17"/>
      <c r="C889" s="2"/>
      <c r="D889" s="2"/>
      <c r="E889" s="2"/>
      <c r="F889" s="2"/>
      <c r="G889" s="2"/>
      <c r="H889" s="2"/>
      <c r="I889" s="5"/>
    </row>
    <row r="890" spans="1:9" ht="17.399999999999999" x14ac:dyDescent="0.25">
      <c r="A890" s="16"/>
      <c r="B890" s="17"/>
      <c r="C890" s="2"/>
      <c r="D890" s="2"/>
      <c r="E890" s="2"/>
      <c r="F890" s="2"/>
      <c r="G890" s="2"/>
      <c r="H890" s="2"/>
      <c r="I890" s="5"/>
    </row>
    <row r="891" spans="1:9" ht="17.399999999999999" x14ac:dyDescent="0.25">
      <c r="A891" s="16"/>
      <c r="B891" s="17"/>
      <c r="C891" s="2"/>
      <c r="D891" s="2"/>
      <c r="E891" s="2"/>
      <c r="F891" s="2"/>
      <c r="G891" s="2"/>
      <c r="H891" s="2"/>
      <c r="I891" s="5"/>
    </row>
    <row r="892" spans="1:9" ht="17.399999999999999" x14ac:dyDescent="0.25">
      <c r="A892" s="16"/>
      <c r="B892" s="17"/>
      <c r="C892" s="2"/>
      <c r="D892" s="2"/>
      <c r="E892" s="2"/>
      <c r="F892" s="2"/>
      <c r="G892" s="2"/>
      <c r="H892" s="2"/>
      <c r="I892" s="5"/>
    </row>
    <row r="893" spans="1:9" ht="17.399999999999999" x14ac:dyDescent="0.25">
      <c r="A893" s="16"/>
      <c r="B893" s="17"/>
      <c r="C893" s="2"/>
      <c r="D893" s="2"/>
      <c r="E893" s="2"/>
      <c r="F893" s="2"/>
      <c r="G893" s="2"/>
      <c r="H893" s="2"/>
      <c r="I893" s="5"/>
    </row>
    <row r="894" spans="1:9" ht="17.399999999999999" x14ac:dyDescent="0.25">
      <c r="A894" s="16"/>
      <c r="B894" s="17"/>
      <c r="C894" s="2"/>
      <c r="D894" s="2"/>
      <c r="E894" s="2"/>
      <c r="F894" s="2"/>
      <c r="G894" s="2"/>
      <c r="H894" s="2"/>
      <c r="I894" s="5"/>
    </row>
    <row r="895" spans="1:9" ht="17.399999999999999" x14ac:dyDescent="0.25">
      <c r="A895" s="16"/>
      <c r="B895" s="17"/>
      <c r="C895" s="2"/>
      <c r="D895" s="2"/>
      <c r="E895" s="2"/>
      <c r="F895" s="2"/>
      <c r="G895" s="2"/>
      <c r="H895" s="2"/>
      <c r="I895" s="5"/>
    </row>
    <row r="896" spans="1:9" ht="17.399999999999999" x14ac:dyDescent="0.25">
      <c r="A896" s="16"/>
      <c r="B896" s="17"/>
      <c r="C896" s="2"/>
      <c r="D896" s="2"/>
      <c r="E896" s="2"/>
      <c r="F896" s="2"/>
      <c r="G896" s="2"/>
      <c r="H896" s="2"/>
      <c r="I896" s="5"/>
    </row>
    <row r="897" spans="1:9" ht="17.399999999999999" x14ac:dyDescent="0.25">
      <c r="A897" s="16"/>
      <c r="B897" s="17"/>
      <c r="C897" s="2"/>
      <c r="D897" s="2"/>
      <c r="E897" s="2"/>
      <c r="F897" s="2"/>
      <c r="G897" s="2"/>
      <c r="H897" s="2"/>
      <c r="I897" s="5"/>
    </row>
    <row r="898" spans="1:9" ht="17.399999999999999" x14ac:dyDescent="0.25">
      <c r="A898" s="16"/>
      <c r="B898" s="17"/>
      <c r="C898" s="2"/>
      <c r="D898" s="2"/>
      <c r="E898" s="2"/>
      <c r="F898" s="2"/>
      <c r="G898" s="2"/>
      <c r="H898" s="2"/>
      <c r="I898" s="5"/>
    </row>
    <row r="899" spans="1:9" ht="17.399999999999999" x14ac:dyDescent="0.25">
      <c r="A899" s="16"/>
      <c r="B899" s="17"/>
      <c r="C899" s="2"/>
      <c r="D899" s="2"/>
      <c r="E899" s="2"/>
      <c r="F899" s="2"/>
      <c r="G899" s="2"/>
      <c r="H899" s="2"/>
      <c r="I899" s="5"/>
    </row>
    <row r="900" spans="1:9" ht="17.399999999999999" x14ac:dyDescent="0.25">
      <c r="A900" s="16"/>
      <c r="B900" s="17"/>
      <c r="C900" s="2"/>
      <c r="D900" s="2"/>
      <c r="E900" s="2"/>
      <c r="F900" s="2"/>
      <c r="G900" s="2"/>
      <c r="H900" s="2"/>
      <c r="I900" s="5"/>
    </row>
    <row r="901" spans="1:9" ht="17.399999999999999" x14ac:dyDescent="0.25">
      <c r="A901" s="16"/>
      <c r="B901" s="17"/>
      <c r="C901" s="2"/>
      <c r="D901" s="2"/>
      <c r="E901" s="2"/>
      <c r="F901" s="2"/>
      <c r="G901" s="2"/>
      <c r="H901" s="2"/>
      <c r="I901" s="5"/>
    </row>
    <row r="902" spans="1:9" ht="17.399999999999999" x14ac:dyDescent="0.25">
      <c r="A902" s="16"/>
      <c r="B902" s="17"/>
      <c r="C902" s="2"/>
      <c r="D902" s="2"/>
      <c r="E902" s="2"/>
      <c r="F902" s="2"/>
      <c r="G902" s="2"/>
      <c r="H902" s="2"/>
      <c r="I902" s="5"/>
    </row>
    <row r="903" spans="1:9" ht="17.399999999999999" x14ac:dyDescent="0.25">
      <c r="A903" s="16"/>
      <c r="B903" s="17"/>
      <c r="C903" s="2"/>
      <c r="D903" s="2"/>
      <c r="E903" s="2"/>
      <c r="F903" s="2"/>
      <c r="G903" s="2"/>
      <c r="H903" s="2"/>
      <c r="I903" s="5"/>
    </row>
    <row r="904" spans="1:9" ht="17.399999999999999" x14ac:dyDescent="0.25">
      <c r="A904" s="16"/>
      <c r="B904" s="17"/>
      <c r="C904" s="2"/>
      <c r="D904" s="2"/>
      <c r="E904" s="2"/>
      <c r="F904" s="2"/>
      <c r="G904" s="2"/>
      <c r="H904" s="2"/>
      <c r="I904" s="5"/>
    </row>
    <row r="905" spans="1:9" ht="17.399999999999999" x14ac:dyDescent="0.25">
      <c r="A905" s="16"/>
      <c r="B905" s="17"/>
      <c r="C905" s="2"/>
      <c r="D905" s="2"/>
      <c r="E905" s="2"/>
      <c r="F905" s="2"/>
      <c r="G905" s="2"/>
      <c r="H905" s="2"/>
      <c r="I905" s="5"/>
    </row>
    <row r="906" spans="1:9" ht="17.399999999999999" x14ac:dyDescent="0.25">
      <c r="A906" s="16"/>
      <c r="B906" s="17"/>
      <c r="C906" s="2"/>
      <c r="D906" s="2"/>
      <c r="E906" s="2"/>
      <c r="F906" s="2"/>
      <c r="G906" s="2"/>
      <c r="H906" s="2"/>
      <c r="I906" s="5"/>
    </row>
    <row r="907" spans="1:9" ht="17.399999999999999" x14ac:dyDescent="0.25">
      <c r="A907" s="16"/>
      <c r="B907" s="17"/>
      <c r="C907" s="2"/>
      <c r="D907" s="2"/>
      <c r="E907" s="2"/>
      <c r="F907" s="2"/>
      <c r="G907" s="2"/>
      <c r="H907" s="2"/>
      <c r="I907" s="5"/>
    </row>
    <row r="908" spans="1:9" ht="17.399999999999999" x14ac:dyDescent="0.25">
      <c r="A908" s="16"/>
      <c r="B908" s="17"/>
      <c r="C908" s="2"/>
      <c r="D908" s="2"/>
      <c r="E908" s="2"/>
      <c r="F908" s="2"/>
      <c r="G908" s="2"/>
      <c r="H908" s="2"/>
      <c r="I908" s="5"/>
    </row>
    <row r="909" spans="1:9" ht="17.399999999999999" x14ac:dyDescent="0.25">
      <c r="A909" s="16"/>
      <c r="B909" s="17"/>
      <c r="C909" s="2"/>
      <c r="D909" s="2"/>
      <c r="E909" s="2"/>
      <c r="F909" s="2"/>
      <c r="G909" s="2"/>
      <c r="H909" s="2"/>
      <c r="I909" s="5"/>
    </row>
    <row r="910" spans="1:9" ht="17.399999999999999" x14ac:dyDescent="0.25">
      <c r="A910" s="16"/>
      <c r="B910" s="17"/>
      <c r="C910" s="2"/>
      <c r="D910" s="2"/>
      <c r="E910" s="2"/>
      <c r="F910" s="2"/>
      <c r="G910" s="2"/>
      <c r="H910" s="2"/>
      <c r="I910" s="5"/>
    </row>
    <row r="911" spans="1:9" ht="17.399999999999999" x14ac:dyDescent="0.25">
      <c r="A911" s="16"/>
      <c r="B911" s="17"/>
      <c r="C911" s="2"/>
      <c r="D911" s="2"/>
      <c r="E911" s="2"/>
      <c r="F911" s="2"/>
      <c r="G911" s="2"/>
      <c r="H911" s="2"/>
      <c r="I911" s="5"/>
    </row>
    <row r="912" spans="1:9" ht="17.399999999999999" x14ac:dyDescent="0.25">
      <c r="A912" s="16"/>
      <c r="B912" s="17"/>
      <c r="C912" s="2"/>
      <c r="D912" s="2"/>
      <c r="E912" s="2"/>
      <c r="F912" s="2"/>
      <c r="G912" s="2"/>
      <c r="H912" s="2"/>
      <c r="I912" s="5"/>
    </row>
    <row r="913" spans="1:9" ht="17.399999999999999" x14ac:dyDescent="0.25">
      <c r="A913" s="16"/>
      <c r="B913" s="17"/>
      <c r="C913" s="2"/>
      <c r="D913" s="2"/>
      <c r="E913" s="2"/>
      <c r="F913" s="2"/>
      <c r="G913" s="2"/>
      <c r="H913" s="2"/>
      <c r="I913" s="5"/>
    </row>
    <row r="914" spans="1:9" ht="17.399999999999999" x14ac:dyDescent="0.25">
      <c r="A914" s="16"/>
      <c r="B914" s="17"/>
      <c r="C914" s="2"/>
      <c r="D914" s="2"/>
      <c r="E914" s="2"/>
      <c r="F914" s="2"/>
      <c r="G914" s="2"/>
      <c r="H914" s="2"/>
      <c r="I914" s="5"/>
    </row>
    <row r="915" spans="1:9" ht="17.399999999999999" x14ac:dyDescent="0.25">
      <c r="A915" s="16"/>
      <c r="B915" s="17"/>
      <c r="C915" s="2"/>
      <c r="D915" s="2"/>
      <c r="E915" s="2"/>
      <c r="F915" s="2"/>
      <c r="G915" s="2"/>
      <c r="H915" s="2"/>
      <c r="I915" s="5"/>
    </row>
    <row r="916" spans="1:9" ht="17.399999999999999" x14ac:dyDescent="0.25">
      <c r="A916" s="16"/>
      <c r="B916" s="17"/>
      <c r="C916" s="2"/>
      <c r="D916" s="2"/>
      <c r="E916" s="2"/>
      <c r="F916" s="2"/>
      <c r="G916" s="2"/>
      <c r="H916" s="2"/>
      <c r="I916" s="5"/>
    </row>
    <row r="917" spans="1:9" ht="17.399999999999999" x14ac:dyDescent="0.25">
      <c r="A917" s="16"/>
      <c r="B917" s="17"/>
      <c r="C917" s="2"/>
      <c r="D917" s="2"/>
      <c r="E917" s="2"/>
      <c r="F917" s="2"/>
      <c r="G917" s="2"/>
      <c r="H917" s="2"/>
      <c r="I917" s="5"/>
    </row>
    <row r="918" spans="1:9" ht="17.399999999999999" x14ac:dyDescent="0.25">
      <c r="A918" s="16"/>
      <c r="B918" s="17"/>
      <c r="C918" s="2"/>
      <c r="D918" s="2"/>
      <c r="E918" s="2"/>
      <c r="F918" s="2"/>
      <c r="G918" s="2"/>
      <c r="H918" s="2"/>
      <c r="I918" s="5"/>
    </row>
    <row r="919" spans="1:9" ht="17.399999999999999" x14ac:dyDescent="0.25">
      <c r="A919" s="16"/>
      <c r="B919" s="17"/>
      <c r="C919" s="2"/>
      <c r="D919" s="2"/>
      <c r="E919" s="2"/>
      <c r="F919" s="2"/>
      <c r="G919" s="2"/>
      <c r="H919" s="2"/>
      <c r="I919" s="5"/>
    </row>
    <row r="920" spans="1:9" ht="17.399999999999999" x14ac:dyDescent="0.25">
      <c r="A920" s="16"/>
      <c r="B920" s="17"/>
      <c r="C920" s="2"/>
      <c r="D920" s="2"/>
      <c r="E920" s="2"/>
      <c r="F920" s="2"/>
      <c r="G920" s="2"/>
      <c r="H920" s="2"/>
      <c r="I920" s="5"/>
    </row>
    <row r="921" spans="1:9" ht="17.399999999999999" x14ac:dyDescent="0.25">
      <c r="A921" s="16"/>
      <c r="B921" s="17"/>
      <c r="C921" s="2"/>
      <c r="D921" s="2"/>
      <c r="E921" s="2"/>
      <c r="F921" s="2"/>
      <c r="G921" s="2"/>
      <c r="H921" s="2"/>
      <c r="I921" s="5"/>
    </row>
    <row r="922" spans="1:9" ht="17.399999999999999" x14ac:dyDescent="0.25">
      <c r="A922" s="16"/>
      <c r="B922" s="17"/>
      <c r="C922" s="2"/>
      <c r="D922" s="2"/>
      <c r="E922" s="2"/>
      <c r="F922" s="2"/>
      <c r="G922" s="2"/>
      <c r="H922" s="2"/>
      <c r="I922" s="5"/>
    </row>
    <row r="923" spans="1:9" ht="17.399999999999999" x14ac:dyDescent="0.25">
      <c r="A923" s="16"/>
      <c r="B923" s="17"/>
      <c r="C923" s="2"/>
      <c r="D923" s="2"/>
      <c r="E923" s="2"/>
      <c r="F923" s="2"/>
      <c r="G923" s="2"/>
      <c r="H923" s="2"/>
      <c r="I923" s="5"/>
    </row>
    <row r="924" spans="1:9" ht="17.399999999999999" x14ac:dyDescent="0.25">
      <c r="A924" s="16"/>
      <c r="B924" s="17"/>
      <c r="C924" s="2"/>
      <c r="D924" s="2"/>
      <c r="E924" s="2"/>
      <c r="F924" s="2"/>
      <c r="G924" s="2"/>
      <c r="H924" s="2"/>
      <c r="I924" s="5"/>
    </row>
    <row r="925" spans="1:9" ht="17.399999999999999" x14ac:dyDescent="0.25">
      <c r="A925" s="16"/>
      <c r="B925" s="17"/>
      <c r="C925" s="2"/>
      <c r="D925" s="2"/>
      <c r="E925" s="2"/>
      <c r="F925" s="2"/>
      <c r="G925" s="2"/>
      <c r="H925" s="2"/>
      <c r="I925" s="5"/>
    </row>
    <row r="926" spans="1:9" ht="17.399999999999999" x14ac:dyDescent="0.25">
      <c r="A926" s="16"/>
      <c r="B926" s="17"/>
      <c r="C926" s="2"/>
      <c r="D926" s="2"/>
      <c r="E926" s="2"/>
      <c r="F926" s="2"/>
      <c r="G926" s="2"/>
      <c r="H926" s="2"/>
      <c r="I926" s="5"/>
    </row>
    <row r="927" spans="1:9" ht="17.399999999999999" x14ac:dyDescent="0.25">
      <c r="A927" s="16"/>
      <c r="B927" s="17"/>
      <c r="C927" s="2"/>
      <c r="D927" s="2"/>
      <c r="E927" s="2"/>
      <c r="F927" s="2"/>
      <c r="G927" s="2"/>
      <c r="H927" s="2"/>
      <c r="I927" s="5"/>
    </row>
    <row r="928" spans="1:9" ht="17.399999999999999" x14ac:dyDescent="0.25">
      <c r="A928" s="16"/>
      <c r="B928" s="17"/>
      <c r="C928" s="2"/>
      <c r="D928" s="2"/>
      <c r="E928" s="2"/>
      <c r="F928" s="2"/>
      <c r="G928" s="2"/>
      <c r="H928" s="2"/>
      <c r="I928" s="5"/>
    </row>
    <row r="929" spans="1:9" ht="17.399999999999999" x14ac:dyDescent="0.25">
      <c r="A929" s="16"/>
      <c r="B929" s="17"/>
      <c r="C929" s="2"/>
      <c r="D929" s="2"/>
      <c r="E929" s="2"/>
      <c r="F929" s="2"/>
      <c r="G929" s="2"/>
      <c r="H929" s="2"/>
      <c r="I929" s="5"/>
    </row>
    <row r="930" spans="1:9" ht="17.399999999999999" x14ac:dyDescent="0.25">
      <c r="A930" s="16"/>
      <c r="B930" s="17"/>
      <c r="C930" s="2"/>
      <c r="D930" s="2"/>
      <c r="E930" s="2"/>
      <c r="F930" s="2"/>
      <c r="G930" s="2"/>
      <c r="H930" s="2"/>
      <c r="I930" s="5"/>
    </row>
    <row r="931" spans="1:9" ht="17.399999999999999" x14ac:dyDescent="0.25">
      <c r="A931" s="16"/>
      <c r="B931" s="17"/>
      <c r="C931" s="2"/>
      <c r="D931" s="2"/>
      <c r="E931" s="2"/>
      <c r="F931" s="2"/>
      <c r="G931" s="2"/>
      <c r="H931" s="2"/>
      <c r="I931" s="5"/>
    </row>
    <row r="932" spans="1:9" ht="17.399999999999999" x14ac:dyDescent="0.25">
      <c r="A932" s="16"/>
      <c r="B932" s="17"/>
      <c r="C932" s="2"/>
      <c r="D932" s="2"/>
      <c r="E932" s="2"/>
      <c r="F932" s="2"/>
      <c r="G932" s="2"/>
      <c r="H932" s="2"/>
      <c r="I932" s="5"/>
    </row>
    <row r="933" spans="1:9" ht="17.399999999999999" x14ac:dyDescent="0.25">
      <c r="A933" s="16"/>
      <c r="B933" s="17"/>
      <c r="C933" s="2"/>
      <c r="D933" s="2"/>
      <c r="E933" s="2"/>
      <c r="F933" s="2"/>
      <c r="G933" s="2"/>
      <c r="H933" s="2"/>
      <c r="I933" s="5"/>
    </row>
    <row r="934" spans="1:9" ht="17.399999999999999" x14ac:dyDescent="0.25">
      <c r="A934" s="16"/>
      <c r="B934" s="17"/>
      <c r="C934" s="2"/>
      <c r="D934" s="2"/>
      <c r="E934" s="2"/>
      <c r="F934" s="2"/>
      <c r="G934" s="2"/>
      <c r="H934" s="2"/>
      <c r="I934" s="5"/>
    </row>
    <row r="935" spans="1:9" ht="17.399999999999999" x14ac:dyDescent="0.25">
      <c r="A935" s="16"/>
      <c r="B935" s="17"/>
      <c r="C935" s="2"/>
      <c r="D935" s="2"/>
      <c r="E935" s="2"/>
      <c r="F935" s="2"/>
      <c r="G935" s="2"/>
      <c r="H935" s="2"/>
      <c r="I935" s="5"/>
    </row>
    <row r="936" spans="1:9" ht="17.399999999999999" x14ac:dyDescent="0.25">
      <c r="A936" s="16"/>
      <c r="B936" s="17"/>
      <c r="C936" s="2"/>
      <c r="D936" s="2"/>
      <c r="E936" s="2"/>
      <c r="F936" s="2"/>
      <c r="G936" s="2"/>
      <c r="H936" s="2"/>
      <c r="I936" s="5"/>
    </row>
    <row r="937" spans="1:9" ht="17.399999999999999" x14ac:dyDescent="0.25">
      <c r="A937" s="16"/>
      <c r="B937" s="17"/>
      <c r="C937" s="2"/>
      <c r="D937" s="2"/>
      <c r="E937" s="2"/>
      <c r="F937" s="2"/>
      <c r="G937" s="2"/>
      <c r="H937" s="2"/>
      <c r="I937" s="5"/>
    </row>
    <row r="938" spans="1:9" ht="17.399999999999999" x14ac:dyDescent="0.25">
      <c r="A938" s="16"/>
      <c r="B938" s="17"/>
      <c r="C938" s="2"/>
      <c r="D938" s="2"/>
      <c r="E938" s="2"/>
      <c r="F938" s="2"/>
      <c r="G938" s="2"/>
      <c r="H938" s="2"/>
      <c r="I938" s="5"/>
    </row>
    <row r="939" spans="1:9" ht="17.399999999999999" x14ac:dyDescent="0.25">
      <c r="A939" s="16"/>
      <c r="B939" s="17"/>
      <c r="C939" s="2"/>
      <c r="D939" s="2"/>
      <c r="E939" s="2"/>
      <c r="F939" s="2"/>
      <c r="G939" s="2"/>
      <c r="H939" s="2"/>
      <c r="I939" s="5"/>
    </row>
    <row r="940" spans="1:9" ht="17.399999999999999" x14ac:dyDescent="0.25">
      <c r="A940" s="16"/>
      <c r="B940" s="17"/>
      <c r="C940" s="2"/>
      <c r="D940" s="2"/>
      <c r="E940" s="2"/>
      <c r="F940" s="2"/>
      <c r="G940" s="2"/>
      <c r="H940" s="2"/>
      <c r="I940" s="5"/>
    </row>
    <row r="941" spans="1:9" ht="17.399999999999999" x14ac:dyDescent="0.25">
      <c r="A941" s="16"/>
      <c r="B941" s="17"/>
      <c r="C941" s="2"/>
      <c r="D941" s="2"/>
      <c r="E941" s="2"/>
      <c r="F941" s="2"/>
      <c r="G941" s="2"/>
      <c r="H941" s="2"/>
      <c r="I941" s="5"/>
    </row>
    <row r="942" spans="1:9" ht="17.399999999999999" x14ac:dyDescent="0.25">
      <c r="A942" s="16"/>
      <c r="B942" s="17"/>
      <c r="C942" s="2"/>
      <c r="D942" s="2"/>
      <c r="E942" s="2"/>
      <c r="F942" s="2"/>
      <c r="G942" s="2"/>
      <c r="H942" s="2"/>
      <c r="I942" s="5"/>
    </row>
    <row r="943" spans="1:9" ht="17.399999999999999" x14ac:dyDescent="0.25">
      <c r="A943" s="16"/>
      <c r="B943" s="17"/>
      <c r="C943" s="2"/>
      <c r="D943" s="2"/>
      <c r="E943" s="2"/>
      <c r="F943" s="2"/>
      <c r="G943" s="2"/>
      <c r="H943" s="2"/>
      <c r="I943" s="5"/>
    </row>
    <row r="944" spans="1:9" ht="17.399999999999999" x14ac:dyDescent="0.25">
      <c r="A944" s="16"/>
      <c r="B944" s="17"/>
      <c r="C944" s="2"/>
      <c r="D944" s="2"/>
      <c r="E944" s="2"/>
      <c r="F944" s="2"/>
      <c r="G944" s="2"/>
      <c r="H944" s="2"/>
      <c r="I944" s="5"/>
    </row>
    <row r="945" spans="1:9" ht="17.399999999999999" x14ac:dyDescent="0.25">
      <c r="A945" s="16"/>
      <c r="B945" s="17"/>
      <c r="C945" s="2"/>
      <c r="D945" s="2"/>
      <c r="E945" s="2"/>
      <c r="F945" s="2"/>
      <c r="G945" s="2"/>
      <c r="H945" s="2"/>
      <c r="I945" s="5"/>
    </row>
    <row r="946" spans="1:9" ht="17.399999999999999" x14ac:dyDescent="0.25">
      <c r="A946" s="16"/>
      <c r="B946" s="17"/>
      <c r="C946" s="2"/>
      <c r="D946" s="2"/>
      <c r="E946" s="2"/>
      <c r="F946" s="2"/>
      <c r="G946" s="2"/>
      <c r="H946" s="2"/>
      <c r="I946" s="5"/>
    </row>
    <row r="947" spans="1:9" ht="17.399999999999999" x14ac:dyDescent="0.25">
      <c r="A947" s="16"/>
      <c r="B947" s="17"/>
      <c r="C947" s="2"/>
      <c r="D947" s="2"/>
      <c r="E947" s="2"/>
      <c r="F947" s="2"/>
      <c r="G947" s="2"/>
      <c r="H947" s="2"/>
      <c r="I947" s="5"/>
    </row>
    <row r="948" spans="1:9" ht="17.399999999999999" x14ac:dyDescent="0.25">
      <c r="A948" s="16"/>
      <c r="B948" s="17"/>
      <c r="C948" s="2"/>
      <c r="D948" s="2"/>
      <c r="E948" s="2"/>
      <c r="F948" s="2"/>
      <c r="G948" s="2"/>
      <c r="H948" s="2"/>
      <c r="I948" s="5"/>
    </row>
    <row r="949" spans="1:9" ht="17.399999999999999" x14ac:dyDescent="0.25">
      <c r="A949" s="16"/>
      <c r="B949" s="17"/>
      <c r="C949" s="2"/>
      <c r="D949" s="2"/>
      <c r="E949" s="2"/>
      <c r="F949" s="2"/>
      <c r="G949" s="2"/>
      <c r="H949" s="2"/>
      <c r="I949" s="5"/>
    </row>
    <row r="950" spans="1:9" ht="17.399999999999999" x14ac:dyDescent="0.25">
      <c r="A950" s="16"/>
      <c r="B950" s="17"/>
      <c r="C950" s="2"/>
      <c r="D950" s="2"/>
      <c r="E950" s="2"/>
      <c r="F950" s="2"/>
      <c r="G950" s="2"/>
      <c r="H950" s="2"/>
      <c r="I950" s="5"/>
    </row>
    <row r="951" spans="1:9" ht="17.399999999999999" x14ac:dyDescent="0.25">
      <c r="A951" s="16"/>
      <c r="B951" s="17"/>
      <c r="C951" s="2"/>
      <c r="D951" s="2"/>
      <c r="E951" s="2"/>
      <c r="F951" s="2"/>
      <c r="G951" s="2"/>
      <c r="H951" s="2"/>
      <c r="I951" s="5"/>
    </row>
    <row r="952" spans="1:9" ht="17.399999999999999" x14ac:dyDescent="0.25">
      <c r="A952" s="16"/>
      <c r="B952" s="17"/>
      <c r="C952" s="2"/>
      <c r="D952" s="2"/>
      <c r="E952" s="2"/>
      <c r="F952" s="2"/>
      <c r="G952" s="2"/>
      <c r="H952" s="2"/>
      <c r="I952" s="5"/>
    </row>
    <row r="953" spans="1:9" ht="17.399999999999999" x14ac:dyDescent="0.25">
      <c r="A953" s="16"/>
      <c r="B953" s="17"/>
      <c r="C953" s="2"/>
      <c r="D953" s="2"/>
      <c r="E953" s="2"/>
      <c r="F953" s="2"/>
      <c r="G953" s="2"/>
      <c r="H953" s="2"/>
      <c r="I953" s="5"/>
    </row>
    <row r="954" spans="1:9" ht="17.399999999999999" x14ac:dyDescent="0.25">
      <c r="A954" s="16"/>
      <c r="B954" s="17"/>
      <c r="C954" s="2"/>
      <c r="D954" s="2"/>
      <c r="E954" s="2"/>
      <c r="F954" s="2"/>
      <c r="G954" s="2"/>
      <c r="H954" s="2"/>
      <c r="I954" s="5"/>
    </row>
    <row r="955" spans="1:9" ht="17.399999999999999" x14ac:dyDescent="0.25">
      <c r="A955" s="16"/>
      <c r="B955" s="17"/>
      <c r="C955" s="2"/>
      <c r="D955" s="2"/>
      <c r="E955" s="2"/>
      <c r="F955" s="2"/>
      <c r="G955" s="2"/>
      <c r="H955" s="2"/>
      <c r="I955" s="5"/>
    </row>
    <row r="956" spans="1:9" ht="17.399999999999999" x14ac:dyDescent="0.25">
      <c r="A956" s="16"/>
      <c r="B956" s="17"/>
      <c r="C956" s="2"/>
      <c r="D956" s="2"/>
      <c r="E956" s="2"/>
      <c r="F956" s="2"/>
      <c r="G956" s="2"/>
      <c r="H956" s="2"/>
      <c r="I956" s="5"/>
    </row>
    <row r="957" spans="1:9" ht="17.399999999999999" x14ac:dyDescent="0.25">
      <c r="A957" s="16"/>
      <c r="B957" s="17"/>
      <c r="C957" s="2"/>
      <c r="D957" s="2"/>
      <c r="E957" s="2"/>
      <c r="F957" s="2"/>
      <c r="G957" s="2"/>
      <c r="H957" s="2"/>
      <c r="I957" s="5"/>
    </row>
    <row r="958" spans="1:9" ht="17.399999999999999" x14ac:dyDescent="0.25">
      <c r="A958" s="16"/>
      <c r="B958" s="17"/>
      <c r="C958" s="2"/>
      <c r="D958" s="2"/>
      <c r="E958" s="2"/>
      <c r="F958" s="2"/>
      <c r="G958" s="2"/>
      <c r="H958" s="2"/>
      <c r="I958" s="5"/>
    </row>
    <row r="959" spans="1:9" ht="17.399999999999999" x14ac:dyDescent="0.25">
      <c r="A959" s="16"/>
      <c r="B959" s="17"/>
      <c r="C959" s="2"/>
      <c r="D959" s="2"/>
      <c r="E959" s="2"/>
      <c r="F959" s="2"/>
      <c r="G959" s="2"/>
      <c r="H959" s="2"/>
      <c r="I959" s="5"/>
    </row>
    <row r="960" spans="1:9" ht="17.399999999999999" x14ac:dyDescent="0.25">
      <c r="A960" s="16"/>
      <c r="B960" s="17"/>
      <c r="C960" s="2"/>
      <c r="D960" s="2"/>
      <c r="E960" s="2"/>
      <c r="F960" s="2"/>
      <c r="G960" s="2"/>
      <c r="H960" s="2"/>
      <c r="I960" s="5"/>
    </row>
    <row r="961" spans="1:9" ht="17.399999999999999" x14ac:dyDescent="0.25">
      <c r="A961" s="16"/>
      <c r="B961" s="17"/>
      <c r="C961" s="2"/>
      <c r="D961" s="2"/>
      <c r="E961" s="2"/>
      <c r="F961" s="2"/>
      <c r="G961" s="2"/>
      <c r="H961" s="2"/>
      <c r="I961" s="5"/>
    </row>
    <row r="962" spans="1:9" ht="17.399999999999999" x14ac:dyDescent="0.25">
      <c r="A962" s="16"/>
      <c r="B962" s="17"/>
      <c r="C962" s="2"/>
      <c r="D962" s="2"/>
      <c r="E962" s="2"/>
      <c r="F962" s="2"/>
      <c r="G962" s="2"/>
      <c r="H962" s="2"/>
      <c r="I962" s="5"/>
    </row>
    <row r="963" spans="1:9" ht="17.399999999999999" x14ac:dyDescent="0.25">
      <c r="A963" s="16"/>
      <c r="B963" s="17"/>
      <c r="C963" s="2"/>
      <c r="D963" s="2"/>
      <c r="E963" s="2"/>
      <c r="F963" s="2"/>
      <c r="G963" s="2"/>
      <c r="H963" s="2"/>
      <c r="I963" s="5"/>
    </row>
    <row r="964" spans="1:9" ht="17.399999999999999" x14ac:dyDescent="0.25">
      <c r="A964" s="16"/>
      <c r="B964" s="17"/>
      <c r="C964" s="2"/>
      <c r="D964" s="2"/>
      <c r="E964" s="2"/>
      <c r="F964" s="2"/>
      <c r="G964" s="2"/>
      <c r="H964" s="2"/>
      <c r="I964" s="5"/>
    </row>
    <row r="965" spans="1:9" ht="17.399999999999999" x14ac:dyDescent="0.25">
      <c r="A965" s="16"/>
      <c r="B965" s="17"/>
      <c r="C965" s="2"/>
      <c r="D965" s="2"/>
      <c r="E965" s="2"/>
      <c r="F965" s="2"/>
      <c r="G965" s="2"/>
      <c r="H965" s="2"/>
      <c r="I965" s="5"/>
    </row>
    <row r="966" spans="1:9" ht="17.399999999999999" x14ac:dyDescent="0.25">
      <c r="A966" s="16"/>
      <c r="B966" s="17"/>
      <c r="C966" s="2"/>
      <c r="D966" s="2"/>
      <c r="E966" s="2"/>
      <c r="F966" s="2"/>
      <c r="G966" s="2"/>
      <c r="H966" s="2"/>
      <c r="I966" s="5"/>
    </row>
    <row r="967" spans="1:9" ht="17.399999999999999" x14ac:dyDescent="0.25">
      <c r="A967" s="16"/>
      <c r="B967" s="17"/>
      <c r="C967" s="2"/>
      <c r="D967" s="2"/>
      <c r="E967" s="2"/>
      <c r="F967" s="2"/>
      <c r="G967" s="2"/>
      <c r="H967" s="2"/>
      <c r="I967" s="5"/>
    </row>
    <row r="968" spans="1:9" ht="17.399999999999999" x14ac:dyDescent="0.25">
      <c r="A968" s="16"/>
      <c r="B968" s="17"/>
      <c r="C968" s="2"/>
      <c r="D968" s="2"/>
      <c r="E968" s="2"/>
      <c r="F968" s="2"/>
      <c r="G968" s="2"/>
      <c r="H968" s="2"/>
      <c r="I968" s="5"/>
    </row>
    <row r="969" spans="1:9" ht="17.399999999999999" x14ac:dyDescent="0.25">
      <c r="A969" s="16"/>
      <c r="B969" s="17"/>
      <c r="C969" s="2"/>
      <c r="D969" s="2"/>
      <c r="E969" s="2"/>
      <c r="F969" s="2"/>
      <c r="G969" s="2"/>
      <c r="H969" s="2"/>
      <c r="I969" s="5"/>
    </row>
    <row r="970" spans="1:9" ht="17.399999999999999" x14ac:dyDescent="0.25">
      <c r="A970" s="16"/>
      <c r="B970" s="17"/>
      <c r="C970" s="2"/>
      <c r="D970" s="2"/>
      <c r="E970" s="2"/>
      <c r="F970" s="2"/>
      <c r="G970" s="2"/>
      <c r="H970" s="2"/>
      <c r="I970" s="5"/>
    </row>
    <row r="971" spans="1:9" ht="17.399999999999999" x14ac:dyDescent="0.25">
      <c r="A971" s="16"/>
      <c r="B971" s="17"/>
      <c r="C971" s="2"/>
      <c r="D971" s="2"/>
      <c r="E971" s="2"/>
      <c r="F971" s="2"/>
      <c r="G971" s="2"/>
      <c r="H971" s="2"/>
      <c r="I971" s="5"/>
    </row>
    <row r="972" spans="1:9" ht="17.399999999999999" x14ac:dyDescent="0.25">
      <c r="A972" s="16"/>
      <c r="B972" s="17"/>
      <c r="C972" s="2"/>
      <c r="D972" s="2"/>
      <c r="E972" s="2"/>
      <c r="F972" s="2"/>
      <c r="G972" s="2"/>
      <c r="H972" s="2"/>
      <c r="I972" s="5"/>
    </row>
    <row r="973" spans="1:9" ht="17.399999999999999" x14ac:dyDescent="0.25">
      <c r="A973" s="16"/>
      <c r="B973" s="17"/>
      <c r="C973" s="2"/>
      <c r="D973" s="2"/>
      <c r="E973" s="2"/>
      <c r="F973" s="2"/>
      <c r="G973" s="2"/>
      <c r="H973" s="2"/>
      <c r="I973" s="5"/>
    </row>
    <row r="974" spans="1:9" ht="17.399999999999999" x14ac:dyDescent="0.25">
      <c r="A974" s="16"/>
      <c r="B974" s="17"/>
      <c r="C974" s="2"/>
      <c r="D974" s="2"/>
      <c r="E974" s="2"/>
      <c r="F974" s="2"/>
      <c r="G974" s="2"/>
      <c r="H974" s="2"/>
      <c r="I974" s="5"/>
    </row>
    <row r="975" spans="1:9" ht="17.399999999999999" x14ac:dyDescent="0.25">
      <c r="A975" s="16"/>
      <c r="B975" s="17"/>
      <c r="C975" s="2"/>
      <c r="D975" s="2"/>
      <c r="E975" s="2"/>
      <c r="F975" s="2"/>
      <c r="G975" s="2"/>
      <c r="H975" s="2"/>
      <c r="I975" s="5"/>
    </row>
    <row r="976" spans="1:9" ht="17.399999999999999" x14ac:dyDescent="0.25">
      <c r="A976" s="16"/>
      <c r="B976" s="17"/>
      <c r="C976" s="2"/>
      <c r="D976" s="2"/>
      <c r="E976" s="2"/>
      <c r="F976" s="2"/>
      <c r="G976" s="2"/>
      <c r="H976" s="2"/>
      <c r="I976" s="5"/>
    </row>
    <row r="977" spans="1:9" ht="17.399999999999999" x14ac:dyDescent="0.25">
      <c r="A977" s="16"/>
      <c r="B977" s="17"/>
      <c r="C977" s="2"/>
      <c r="D977" s="2"/>
      <c r="E977" s="2"/>
      <c r="F977" s="2"/>
      <c r="G977" s="2"/>
      <c r="H977" s="2"/>
      <c r="I977" s="5"/>
    </row>
    <row r="978" spans="1:9" ht="17.399999999999999" x14ac:dyDescent="0.25">
      <c r="A978" s="16"/>
      <c r="B978" s="17"/>
      <c r="C978" s="2"/>
      <c r="D978" s="2"/>
      <c r="E978" s="2"/>
      <c r="F978" s="2"/>
      <c r="G978" s="2"/>
      <c r="H978" s="2"/>
      <c r="I978" s="5"/>
    </row>
    <row r="979" spans="1:9" ht="17.399999999999999" x14ac:dyDescent="0.25">
      <c r="A979" s="16"/>
      <c r="B979" s="17"/>
      <c r="C979" s="2"/>
      <c r="D979" s="2"/>
      <c r="E979" s="2"/>
      <c r="F979" s="2"/>
      <c r="G979" s="2"/>
      <c r="H979" s="2"/>
      <c r="I979" s="5"/>
    </row>
    <row r="980" spans="1:9" ht="17.399999999999999" x14ac:dyDescent="0.25">
      <c r="A980" s="16"/>
      <c r="B980" s="17"/>
      <c r="C980" s="2"/>
      <c r="D980" s="2"/>
      <c r="E980" s="2"/>
      <c r="F980" s="2"/>
      <c r="G980" s="2"/>
      <c r="H980" s="2"/>
      <c r="I980" s="5"/>
    </row>
    <row r="981" spans="1:9" ht="17.399999999999999" x14ac:dyDescent="0.25">
      <c r="A981" s="16"/>
      <c r="B981" s="17"/>
      <c r="C981" s="2"/>
      <c r="D981" s="2"/>
      <c r="E981" s="2"/>
      <c r="F981" s="2"/>
      <c r="G981" s="2"/>
      <c r="H981" s="2"/>
      <c r="I981" s="5"/>
    </row>
    <row r="982" spans="1:9" ht="17.399999999999999" x14ac:dyDescent="0.25">
      <c r="A982" s="16"/>
      <c r="B982" s="17"/>
      <c r="C982" s="2"/>
      <c r="D982" s="2"/>
      <c r="E982" s="2"/>
      <c r="F982" s="2"/>
      <c r="G982" s="2"/>
      <c r="H982" s="2"/>
      <c r="I982" s="5"/>
    </row>
    <row r="983" spans="1:9" ht="17.399999999999999" x14ac:dyDescent="0.25">
      <c r="A983" s="16"/>
      <c r="B983" s="17"/>
      <c r="C983" s="2"/>
      <c r="D983" s="2"/>
      <c r="E983" s="2"/>
      <c r="F983" s="2"/>
      <c r="G983" s="2"/>
      <c r="H983" s="2"/>
      <c r="I983" s="5"/>
    </row>
    <row r="984" spans="1:9" ht="17.399999999999999" x14ac:dyDescent="0.25">
      <c r="A984" s="16"/>
      <c r="B984" s="17"/>
      <c r="C984" s="2"/>
      <c r="D984" s="2"/>
      <c r="E984" s="2"/>
      <c r="F984" s="2"/>
      <c r="G984" s="2"/>
      <c r="H984" s="2"/>
      <c r="I984" s="5"/>
    </row>
    <row r="985" spans="1:9" ht="17.399999999999999" x14ac:dyDescent="0.25">
      <c r="A985" s="16"/>
      <c r="B985" s="17"/>
      <c r="C985" s="2"/>
      <c r="D985" s="2"/>
      <c r="E985" s="2"/>
      <c r="F985" s="2"/>
      <c r="G985" s="2"/>
      <c r="H985" s="2"/>
      <c r="I985" s="5"/>
    </row>
    <row r="986" spans="1:9" ht="17.399999999999999" x14ac:dyDescent="0.25">
      <c r="A986" s="16"/>
      <c r="B986" s="17"/>
      <c r="C986" s="2"/>
      <c r="D986" s="2"/>
      <c r="E986" s="2"/>
      <c r="F986" s="2"/>
      <c r="G986" s="2"/>
      <c r="H986" s="2"/>
      <c r="I986" s="5"/>
    </row>
    <row r="987" spans="1:9" ht="17.399999999999999" x14ac:dyDescent="0.25">
      <c r="A987" s="16"/>
      <c r="B987" s="17"/>
      <c r="C987" s="2"/>
      <c r="D987" s="2"/>
      <c r="E987" s="2"/>
      <c r="F987" s="2"/>
      <c r="G987" s="2"/>
      <c r="H987" s="2"/>
      <c r="I987" s="5"/>
    </row>
    <row r="988" spans="1:9" ht="17.399999999999999" x14ac:dyDescent="0.25">
      <c r="A988" s="16"/>
      <c r="B988" s="17"/>
      <c r="C988" s="2"/>
      <c r="D988" s="2"/>
      <c r="E988" s="2"/>
      <c r="F988" s="2"/>
      <c r="G988" s="2"/>
      <c r="H988" s="2"/>
      <c r="I988" s="5"/>
    </row>
    <row r="989" spans="1:9" ht="17.399999999999999" x14ac:dyDescent="0.25">
      <c r="A989" s="16"/>
      <c r="B989" s="17"/>
      <c r="C989" s="2"/>
      <c r="D989" s="2"/>
      <c r="E989" s="2"/>
      <c r="F989" s="2"/>
      <c r="G989" s="2"/>
      <c r="H989" s="2"/>
      <c r="I989" s="5"/>
    </row>
    <row r="990" spans="1:9" ht="17.399999999999999" x14ac:dyDescent="0.25">
      <c r="A990" s="16"/>
      <c r="B990" s="17"/>
      <c r="C990" s="2"/>
      <c r="D990" s="2"/>
      <c r="E990" s="2"/>
      <c r="F990" s="2"/>
      <c r="G990" s="2"/>
      <c r="H990" s="2"/>
      <c r="I990" s="5"/>
    </row>
    <row r="991" spans="1:9" ht="17.399999999999999" x14ac:dyDescent="0.25">
      <c r="A991" s="16"/>
      <c r="B991" s="17"/>
      <c r="C991" s="2"/>
      <c r="D991" s="2"/>
      <c r="E991" s="2"/>
      <c r="F991" s="2"/>
      <c r="G991" s="2"/>
      <c r="H991" s="2"/>
      <c r="I991" s="5"/>
    </row>
    <row r="992" spans="1:9" ht="17.399999999999999" x14ac:dyDescent="0.25">
      <c r="A992" s="16"/>
      <c r="B992" s="17"/>
      <c r="C992" s="2"/>
      <c r="D992" s="2"/>
      <c r="E992" s="2"/>
      <c r="F992" s="2"/>
      <c r="G992" s="2"/>
      <c r="H992" s="2"/>
      <c r="I992" s="5"/>
    </row>
    <row r="993" spans="1:9" ht="17.399999999999999" x14ac:dyDescent="0.25">
      <c r="A993" s="16"/>
      <c r="B993" s="17"/>
      <c r="C993" s="2"/>
      <c r="D993" s="2"/>
      <c r="E993" s="2"/>
      <c r="F993" s="2"/>
      <c r="G993" s="2"/>
      <c r="H993" s="2"/>
      <c r="I993" s="5"/>
    </row>
    <row r="994" spans="1:9" ht="17.399999999999999" x14ac:dyDescent="0.25">
      <c r="A994" s="16"/>
      <c r="B994" s="17"/>
      <c r="C994" s="2"/>
      <c r="D994" s="2"/>
      <c r="E994" s="2"/>
      <c r="F994" s="2"/>
      <c r="G994" s="2"/>
      <c r="H994" s="2"/>
      <c r="I994" s="5"/>
    </row>
    <row r="995" spans="1:9" ht="17.399999999999999" x14ac:dyDescent="0.25">
      <c r="A995" s="16"/>
      <c r="B995" s="17"/>
      <c r="C995" s="2"/>
      <c r="D995" s="2"/>
      <c r="E995" s="2"/>
      <c r="F995" s="2"/>
      <c r="G995" s="2"/>
      <c r="H995" s="2"/>
      <c r="I995" s="5"/>
    </row>
    <row r="996" spans="1:9" ht="17.399999999999999" x14ac:dyDescent="0.25">
      <c r="A996" s="16"/>
      <c r="B996" s="17"/>
      <c r="C996" s="2"/>
      <c r="D996" s="2"/>
      <c r="E996" s="2"/>
      <c r="F996" s="2"/>
      <c r="G996" s="2"/>
      <c r="H996" s="2"/>
      <c r="I996" s="5"/>
    </row>
    <row r="997" spans="1:9" ht="17.399999999999999" x14ac:dyDescent="0.25">
      <c r="A997" s="16"/>
      <c r="B997" s="17"/>
      <c r="C997" s="2"/>
      <c r="D997" s="2"/>
      <c r="E997" s="2"/>
      <c r="F997" s="2"/>
      <c r="G997" s="2"/>
      <c r="H997" s="2"/>
      <c r="I997" s="5"/>
    </row>
    <row r="998" spans="1:9" ht="17.399999999999999" x14ac:dyDescent="0.25">
      <c r="A998" s="16"/>
      <c r="B998" s="17"/>
      <c r="C998" s="2"/>
      <c r="D998" s="2"/>
      <c r="E998" s="2"/>
      <c r="F998" s="2"/>
      <c r="G998" s="2"/>
      <c r="H998" s="2"/>
      <c r="I998" s="5"/>
    </row>
    <row r="999" spans="1:9" ht="17.399999999999999" x14ac:dyDescent="0.25">
      <c r="A999" s="16"/>
      <c r="B999" s="17"/>
      <c r="C999" s="2"/>
      <c r="D999" s="2"/>
      <c r="E999" s="2"/>
      <c r="F999" s="2"/>
      <c r="G999" s="2"/>
      <c r="H999" s="2"/>
      <c r="I999" s="5"/>
    </row>
    <row r="1000" spans="1:9" ht="17.399999999999999" x14ac:dyDescent="0.25">
      <c r="A1000" s="16"/>
      <c r="B1000" s="17"/>
      <c r="C1000" s="2"/>
      <c r="D1000" s="2"/>
      <c r="E1000" s="2"/>
      <c r="F1000" s="2"/>
      <c r="G1000" s="2"/>
      <c r="H1000" s="2"/>
      <c r="I1000" s="5"/>
    </row>
    <row r="1001" spans="1:9" ht="17.399999999999999" x14ac:dyDescent="0.25">
      <c r="A1001" s="16"/>
      <c r="B1001" s="17"/>
      <c r="C1001" s="2"/>
      <c r="D1001" s="2"/>
      <c r="E1001" s="2"/>
      <c r="F1001" s="2"/>
      <c r="G1001" s="2"/>
      <c r="H1001" s="2"/>
      <c r="I1001" s="5"/>
    </row>
    <row r="1002" spans="1:9" ht="17.399999999999999" x14ac:dyDescent="0.25">
      <c r="A1002" s="16"/>
      <c r="B1002" s="17"/>
      <c r="C1002" s="2"/>
      <c r="D1002" s="2"/>
      <c r="E1002" s="2"/>
      <c r="F1002" s="2"/>
      <c r="G1002" s="2"/>
      <c r="H1002" s="2"/>
      <c r="I1002" s="5"/>
    </row>
    <row r="1003" spans="1:9" ht="17.399999999999999" x14ac:dyDescent="0.25">
      <c r="A1003" s="16"/>
      <c r="B1003" s="17"/>
      <c r="C1003" s="2"/>
      <c r="D1003" s="2"/>
      <c r="E1003" s="2"/>
      <c r="F1003" s="2"/>
      <c r="G1003" s="2"/>
      <c r="H1003" s="2"/>
      <c r="I1003" s="5"/>
    </row>
    <row r="1004" spans="1:9" ht="17.399999999999999" x14ac:dyDescent="0.25">
      <c r="A1004" s="16"/>
      <c r="B1004" s="17"/>
      <c r="C1004" s="2"/>
      <c r="D1004" s="2"/>
      <c r="E1004" s="2"/>
      <c r="F1004" s="2"/>
      <c r="G1004" s="2"/>
      <c r="H1004" s="2"/>
      <c r="I1004" s="5"/>
    </row>
    <row r="1005" spans="1:9" ht="17.399999999999999" x14ac:dyDescent="0.25">
      <c r="A1005" s="16"/>
      <c r="B1005" s="17"/>
      <c r="C1005" s="2"/>
      <c r="D1005" s="2"/>
      <c r="E1005" s="2"/>
      <c r="F1005" s="2"/>
      <c r="G1005" s="2"/>
      <c r="H1005" s="2"/>
      <c r="I1005" s="5"/>
    </row>
    <row r="1006" spans="1:9" ht="17.399999999999999" x14ac:dyDescent="0.25">
      <c r="A1006" s="16"/>
      <c r="B1006" s="17"/>
      <c r="C1006" s="2"/>
      <c r="D1006" s="2"/>
      <c r="E1006" s="2"/>
      <c r="F1006" s="2"/>
      <c r="G1006" s="2"/>
      <c r="H1006" s="2"/>
      <c r="I1006" s="5"/>
    </row>
    <row r="1007" spans="1:9" ht="17.399999999999999" x14ac:dyDescent="0.25">
      <c r="A1007" s="16"/>
      <c r="B1007" s="17"/>
      <c r="C1007" s="2"/>
      <c r="D1007" s="2"/>
      <c r="E1007" s="2"/>
      <c r="F1007" s="2"/>
      <c r="G1007" s="2"/>
      <c r="H1007" s="2"/>
      <c r="I1007" s="5"/>
    </row>
    <row r="1008" spans="1:9" ht="17.399999999999999" x14ac:dyDescent="0.25">
      <c r="A1008" s="16"/>
      <c r="B1008" s="17"/>
      <c r="C1008" s="2"/>
      <c r="D1008" s="2"/>
      <c r="E1008" s="2"/>
      <c r="F1008" s="2"/>
      <c r="G1008" s="2"/>
      <c r="H1008" s="2"/>
      <c r="I1008" s="5"/>
    </row>
    <row r="1009" spans="1:9" ht="17.399999999999999" x14ac:dyDescent="0.25">
      <c r="A1009" s="16"/>
      <c r="B1009" s="17"/>
      <c r="C1009" s="2"/>
      <c r="D1009" s="2"/>
      <c r="E1009" s="2"/>
      <c r="F1009" s="2"/>
      <c r="G1009" s="2"/>
      <c r="H1009" s="2"/>
      <c r="I1009" s="5"/>
    </row>
    <row r="1010" spans="1:9" ht="17.399999999999999" x14ac:dyDescent="0.25">
      <c r="A1010" s="16"/>
      <c r="B1010" s="17"/>
      <c r="C1010" s="2"/>
      <c r="D1010" s="2"/>
      <c r="E1010" s="2"/>
      <c r="F1010" s="2"/>
      <c r="G1010" s="2"/>
      <c r="H1010" s="2"/>
      <c r="I1010" s="5"/>
    </row>
    <row r="1011" spans="1:9" ht="17.399999999999999" x14ac:dyDescent="0.25">
      <c r="A1011" s="16"/>
      <c r="B1011" s="17"/>
      <c r="C1011" s="2"/>
      <c r="D1011" s="2"/>
      <c r="E1011" s="2"/>
      <c r="F1011" s="2"/>
      <c r="G1011" s="2"/>
      <c r="H1011" s="2"/>
      <c r="I1011" s="5"/>
    </row>
    <row r="1012" spans="1:9" ht="17.399999999999999" x14ac:dyDescent="0.25">
      <c r="A1012" s="16"/>
      <c r="B1012" s="17"/>
      <c r="C1012" s="2"/>
      <c r="D1012" s="2"/>
      <c r="E1012" s="2"/>
      <c r="F1012" s="2"/>
      <c r="G1012" s="2"/>
      <c r="H1012" s="2"/>
      <c r="I1012" s="5"/>
    </row>
    <row r="1013" spans="1:9" ht="17.399999999999999" x14ac:dyDescent="0.25">
      <c r="A1013" s="16"/>
      <c r="B1013" s="17"/>
      <c r="C1013" s="2"/>
      <c r="D1013" s="2"/>
      <c r="E1013" s="2"/>
      <c r="F1013" s="2"/>
      <c r="G1013" s="2"/>
      <c r="H1013" s="2"/>
      <c r="I1013" s="5"/>
    </row>
    <row r="1014" spans="1:9" ht="17.399999999999999" x14ac:dyDescent="0.25">
      <c r="A1014" s="16"/>
      <c r="B1014" s="17"/>
      <c r="C1014" s="2"/>
      <c r="D1014" s="2"/>
      <c r="E1014" s="2"/>
      <c r="F1014" s="2"/>
      <c r="G1014" s="2"/>
      <c r="H1014" s="2"/>
      <c r="I1014" s="5"/>
    </row>
    <row r="1015" spans="1:9" ht="17.399999999999999" x14ac:dyDescent="0.25">
      <c r="A1015" s="16"/>
      <c r="B1015" s="17"/>
      <c r="C1015" s="2"/>
      <c r="D1015" s="2"/>
      <c r="E1015" s="2"/>
      <c r="F1015" s="2"/>
      <c r="G1015" s="2"/>
      <c r="H1015" s="2"/>
      <c r="I1015" s="5"/>
    </row>
    <row r="1016" spans="1:9" ht="17.399999999999999" x14ac:dyDescent="0.25">
      <c r="A1016" s="16"/>
      <c r="B1016" s="17"/>
      <c r="C1016" s="2"/>
      <c r="D1016" s="2"/>
      <c r="E1016" s="2"/>
      <c r="F1016" s="2"/>
      <c r="G1016" s="2"/>
      <c r="H1016" s="2"/>
      <c r="I1016" s="5"/>
    </row>
    <row r="1017" spans="1:9" ht="17.399999999999999" x14ac:dyDescent="0.25">
      <c r="A1017" s="16"/>
      <c r="B1017" s="17"/>
      <c r="C1017" s="2"/>
      <c r="D1017" s="2"/>
      <c r="E1017" s="2"/>
      <c r="F1017" s="2"/>
      <c r="G1017" s="2"/>
      <c r="H1017" s="2"/>
      <c r="I1017" s="5"/>
    </row>
    <row r="1018" spans="1:9" ht="17.399999999999999" x14ac:dyDescent="0.25">
      <c r="A1018" s="16"/>
      <c r="B1018" s="17"/>
      <c r="C1018" s="2"/>
      <c r="D1018" s="2"/>
      <c r="E1018" s="2"/>
      <c r="F1018" s="2"/>
      <c r="G1018" s="2"/>
      <c r="H1018" s="2"/>
      <c r="I1018" s="5"/>
    </row>
    <row r="1019" spans="1:9" ht="17.399999999999999" x14ac:dyDescent="0.25">
      <c r="A1019" s="16"/>
      <c r="B1019" s="17"/>
      <c r="C1019" s="2"/>
      <c r="D1019" s="2"/>
      <c r="E1019" s="2"/>
      <c r="F1019" s="2"/>
      <c r="G1019" s="2"/>
      <c r="H1019" s="2"/>
      <c r="I1019" s="5"/>
    </row>
    <row r="1020" spans="1:9" ht="17.399999999999999" x14ac:dyDescent="0.25">
      <c r="A1020" s="16"/>
      <c r="B1020" s="17"/>
      <c r="C1020" s="2"/>
      <c r="D1020" s="2"/>
      <c r="E1020" s="2"/>
      <c r="F1020" s="2"/>
      <c r="G1020" s="2"/>
      <c r="H1020" s="2"/>
      <c r="I1020" s="5"/>
    </row>
    <row r="1021" spans="1:9" ht="17.399999999999999" x14ac:dyDescent="0.25">
      <c r="A1021" s="16"/>
      <c r="B1021" s="17"/>
      <c r="C1021" s="2"/>
      <c r="D1021" s="2"/>
      <c r="E1021" s="2"/>
      <c r="F1021" s="2"/>
      <c r="G1021" s="2"/>
      <c r="H1021" s="2"/>
      <c r="I1021" s="5"/>
    </row>
    <row r="1022" spans="1:9" ht="17.399999999999999" x14ac:dyDescent="0.25">
      <c r="A1022" s="16"/>
      <c r="B1022" s="17"/>
      <c r="C1022" s="2"/>
      <c r="D1022" s="2"/>
      <c r="E1022" s="2"/>
      <c r="F1022" s="2"/>
      <c r="G1022" s="2"/>
      <c r="H1022" s="2"/>
      <c r="I1022" s="5"/>
    </row>
    <row r="1023" spans="1:9" ht="17.399999999999999" x14ac:dyDescent="0.25">
      <c r="A1023" s="16"/>
      <c r="B1023" s="17"/>
      <c r="C1023" s="2"/>
      <c r="D1023" s="2"/>
      <c r="E1023" s="2"/>
      <c r="F1023" s="2"/>
      <c r="G1023" s="2"/>
      <c r="H1023" s="2"/>
      <c r="I1023" s="5"/>
    </row>
    <row r="1024" spans="1:9" ht="17.399999999999999" x14ac:dyDescent="0.25">
      <c r="A1024" s="16"/>
      <c r="B1024" s="17"/>
      <c r="C1024" s="2"/>
      <c r="D1024" s="2"/>
      <c r="E1024" s="2"/>
      <c r="F1024" s="2"/>
      <c r="G1024" s="2"/>
      <c r="H1024" s="2"/>
      <c r="I1024" s="5"/>
    </row>
    <row r="1025" spans="1:9" ht="17.399999999999999" x14ac:dyDescent="0.25">
      <c r="A1025" s="16"/>
      <c r="B1025" s="17"/>
      <c r="C1025" s="2"/>
      <c r="D1025" s="2"/>
      <c r="E1025" s="2"/>
      <c r="F1025" s="2"/>
      <c r="G1025" s="2"/>
      <c r="H1025" s="2"/>
      <c r="I1025" s="5"/>
    </row>
    <row r="1026" spans="1:9" ht="17.399999999999999" x14ac:dyDescent="0.25">
      <c r="A1026" s="16"/>
      <c r="B1026" s="17"/>
      <c r="C1026" s="2"/>
      <c r="D1026" s="2"/>
      <c r="E1026" s="2"/>
      <c r="F1026" s="2"/>
      <c r="G1026" s="2"/>
      <c r="H1026" s="2"/>
      <c r="I1026" s="5"/>
    </row>
    <row r="1027" spans="1:9" ht="17.399999999999999" x14ac:dyDescent="0.25">
      <c r="A1027" s="16"/>
      <c r="B1027" s="17"/>
      <c r="C1027" s="2"/>
      <c r="D1027" s="2"/>
      <c r="E1027" s="2"/>
      <c r="F1027" s="2"/>
      <c r="G1027" s="2"/>
      <c r="H1027" s="2"/>
      <c r="I1027" s="5"/>
    </row>
    <row r="1028" spans="1:9" ht="17.399999999999999" x14ac:dyDescent="0.25">
      <c r="A1028" s="16"/>
      <c r="B1028" s="17"/>
      <c r="C1028" s="2"/>
      <c r="D1028" s="2"/>
      <c r="E1028" s="2"/>
      <c r="F1028" s="2"/>
      <c r="G1028" s="2"/>
      <c r="H1028" s="2"/>
      <c r="I1028" s="5"/>
    </row>
    <row r="1029" spans="1:9" ht="17.399999999999999" x14ac:dyDescent="0.25">
      <c r="A1029" s="16"/>
      <c r="B1029" s="17"/>
      <c r="C1029" s="2"/>
      <c r="D1029" s="2"/>
      <c r="E1029" s="2"/>
      <c r="F1029" s="2"/>
      <c r="G1029" s="2"/>
      <c r="H1029" s="2"/>
      <c r="I1029" s="5"/>
    </row>
    <row r="1030" spans="1:9" ht="17.399999999999999" x14ac:dyDescent="0.25">
      <c r="A1030" s="16"/>
      <c r="B1030" s="17"/>
      <c r="C1030" s="2"/>
      <c r="D1030" s="2"/>
      <c r="E1030" s="2"/>
      <c r="F1030" s="2"/>
      <c r="G1030" s="2"/>
      <c r="H1030" s="2"/>
      <c r="I1030" s="5"/>
    </row>
    <row r="1031" spans="1:9" ht="17.399999999999999" x14ac:dyDescent="0.25">
      <c r="A1031" s="16"/>
      <c r="B1031" s="17"/>
      <c r="C1031" s="2"/>
      <c r="D1031" s="2"/>
      <c r="E1031" s="2"/>
      <c r="F1031" s="2"/>
      <c r="G1031" s="2"/>
      <c r="H1031" s="2"/>
      <c r="I1031" s="5"/>
    </row>
    <row r="1032" spans="1:9" ht="17.399999999999999" x14ac:dyDescent="0.25">
      <c r="A1032" s="16"/>
      <c r="B1032" s="17"/>
      <c r="C1032" s="2"/>
      <c r="D1032" s="2"/>
      <c r="E1032" s="2"/>
      <c r="F1032" s="2"/>
      <c r="G1032" s="2"/>
      <c r="H1032" s="2"/>
      <c r="I1032" s="5"/>
    </row>
    <row r="1033" spans="1:9" ht="17.399999999999999" x14ac:dyDescent="0.25">
      <c r="A1033" s="16"/>
      <c r="B1033" s="17"/>
      <c r="C1033" s="2"/>
      <c r="D1033" s="2"/>
      <c r="E1033" s="2"/>
      <c r="F1033" s="2"/>
      <c r="G1033" s="2"/>
      <c r="H1033" s="2"/>
      <c r="I1033" s="5"/>
    </row>
    <row r="1034" spans="1:9" ht="17.399999999999999" x14ac:dyDescent="0.25">
      <c r="A1034" s="16"/>
      <c r="B1034" s="17"/>
      <c r="C1034" s="2"/>
      <c r="D1034" s="2"/>
      <c r="E1034" s="2"/>
      <c r="F1034" s="2"/>
      <c r="G1034" s="2"/>
      <c r="H1034" s="2"/>
      <c r="I1034" s="5"/>
    </row>
    <row r="1035" spans="1:9" ht="17.399999999999999" x14ac:dyDescent="0.25">
      <c r="A1035" s="16"/>
      <c r="B1035" s="17"/>
      <c r="C1035" s="2"/>
      <c r="D1035" s="2"/>
      <c r="E1035" s="2"/>
      <c r="F1035" s="2"/>
      <c r="G1035" s="2"/>
      <c r="H1035" s="2"/>
      <c r="I1035" s="5"/>
    </row>
    <row r="1036" spans="1:9" ht="17.399999999999999" x14ac:dyDescent="0.25">
      <c r="A1036" s="16"/>
      <c r="B1036" s="17"/>
      <c r="C1036" s="2"/>
      <c r="D1036" s="2"/>
      <c r="E1036" s="2"/>
      <c r="F1036" s="2"/>
      <c r="G1036" s="2"/>
      <c r="H1036" s="2"/>
      <c r="I1036" s="5"/>
    </row>
    <row r="1037" spans="1:9" ht="17.399999999999999" x14ac:dyDescent="0.25">
      <c r="A1037" s="16"/>
      <c r="B1037" s="17"/>
      <c r="C1037" s="2"/>
      <c r="D1037" s="2"/>
      <c r="E1037" s="2"/>
      <c r="F1037" s="2"/>
      <c r="G1037" s="2"/>
      <c r="H1037" s="2"/>
      <c r="I1037" s="5"/>
    </row>
    <row r="1038" spans="1:9" ht="17.399999999999999" x14ac:dyDescent="0.25">
      <c r="A1038" s="16"/>
      <c r="B1038" s="17"/>
      <c r="C1038" s="2"/>
      <c r="D1038" s="2"/>
      <c r="E1038" s="2"/>
      <c r="F1038" s="2"/>
      <c r="G1038" s="2"/>
      <c r="H1038" s="2"/>
      <c r="I1038" s="5"/>
    </row>
    <row r="1039" spans="1:9" ht="17.399999999999999" x14ac:dyDescent="0.25">
      <c r="A1039" s="16"/>
      <c r="B1039" s="17"/>
      <c r="C1039" s="2"/>
      <c r="D1039" s="2"/>
      <c r="E1039" s="2"/>
      <c r="F1039" s="2"/>
      <c r="G1039" s="2"/>
      <c r="H1039" s="2"/>
      <c r="I1039" s="5"/>
    </row>
    <row r="1040" spans="1:9" ht="17.399999999999999" x14ac:dyDescent="0.25">
      <c r="A1040" s="16"/>
      <c r="B1040" s="17"/>
      <c r="C1040" s="2"/>
      <c r="D1040" s="2"/>
      <c r="E1040" s="2"/>
      <c r="F1040" s="2"/>
      <c r="G1040" s="2"/>
      <c r="H1040" s="2"/>
      <c r="I1040" s="5"/>
    </row>
    <row r="1041" spans="1:9" ht="17.399999999999999" x14ac:dyDescent="0.25">
      <c r="A1041" s="16"/>
      <c r="B1041" s="17"/>
      <c r="C1041" s="2"/>
      <c r="D1041" s="2"/>
      <c r="E1041" s="2"/>
      <c r="F1041" s="2"/>
      <c r="G1041" s="2"/>
      <c r="H1041" s="2"/>
      <c r="I1041" s="5"/>
    </row>
    <row r="1042" spans="1:9" ht="17.399999999999999" x14ac:dyDescent="0.25">
      <c r="A1042" s="16"/>
      <c r="B1042" s="17"/>
      <c r="C1042" s="2"/>
      <c r="D1042" s="2"/>
      <c r="E1042" s="2"/>
      <c r="F1042" s="2"/>
      <c r="G1042" s="2"/>
      <c r="H1042" s="2"/>
      <c r="I1042" s="5"/>
    </row>
    <row r="1043" spans="1:9" ht="17.399999999999999" x14ac:dyDescent="0.25">
      <c r="A1043" s="16"/>
      <c r="B1043" s="17"/>
      <c r="C1043" s="2"/>
      <c r="D1043" s="2"/>
      <c r="E1043" s="2"/>
      <c r="F1043" s="2"/>
      <c r="G1043" s="2"/>
      <c r="H1043" s="2"/>
      <c r="I1043" s="5"/>
    </row>
    <row r="1044" spans="1:9" ht="17.399999999999999" x14ac:dyDescent="0.25">
      <c r="A1044" s="16"/>
      <c r="B1044" s="17"/>
      <c r="C1044" s="2"/>
      <c r="D1044" s="2"/>
      <c r="E1044" s="2"/>
      <c r="F1044" s="2"/>
      <c r="G1044" s="2"/>
      <c r="H1044" s="2"/>
      <c r="I1044" s="5"/>
    </row>
    <row r="1045" spans="1:9" ht="17.399999999999999" x14ac:dyDescent="0.25">
      <c r="A1045" s="16"/>
      <c r="B1045" s="17"/>
      <c r="C1045" s="2"/>
      <c r="D1045" s="2"/>
      <c r="E1045" s="2"/>
      <c r="F1045" s="2"/>
      <c r="G1045" s="2"/>
      <c r="H1045" s="2"/>
      <c r="I1045" s="5"/>
    </row>
    <row r="1046" spans="1:9" ht="17.399999999999999" x14ac:dyDescent="0.25">
      <c r="A1046" s="16"/>
      <c r="B1046" s="17"/>
      <c r="C1046" s="2"/>
      <c r="D1046" s="2"/>
      <c r="E1046" s="2"/>
      <c r="F1046" s="2"/>
      <c r="G1046" s="2"/>
      <c r="H1046" s="2"/>
      <c r="I1046" s="5"/>
    </row>
    <row r="1047" spans="1:9" ht="17.399999999999999" x14ac:dyDescent="0.25">
      <c r="A1047" s="16"/>
      <c r="B1047" s="17"/>
      <c r="C1047" s="2"/>
      <c r="D1047" s="2"/>
      <c r="E1047" s="2"/>
      <c r="F1047" s="2"/>
      <c r="G1047" s="2"/>
      <c r="H1047" s="2"/>
      <c r="I1047" s="5"/>
    </row>
    <row r="1048" spans="1:9" ht="17.399999999999999" x14ac:dyDescent="0.25">
      <c r="A1048" s="16"/>
      <c r="B1048" s="17"/>
      <c r="C1048" s="2"/>
      <c r="D1048" s="2"/>
      <c r="E1048" s="2"/>
      <c r="F1048" s="2"/>
      <c r="G1048" s="2"/>
      <c r="H1048" s="2"/>
      <c r="I1048" s="5"/>
    </row>
    <row r="1049" spans="1:9" ht="17.399999999999999" x14ac:dyDescent="0.25">
      <c r="A1049" s="16"/>
      <c r="B1049" s="17"/>
      <c r="C1049" s="2"/>
      <c r="D1049" s="2"/>
      <c r="E1049" s="2"/>
      <c r="F1049" s="2"/>
      <c r="G1049" s="2"/>
      <c r="H1049" s="2"/>
      <c r="I1049" s="5"/>
    </row>
    <row r="1050" spans="1:9" ht="17.399999999999999" x14ac:dyDescent="0.25">
      <c r="A1050" s="16"/>
      <c r="B1050" s="17"/>
      <c r="C1050" s="2"/>
      <c r="D1050" s="2"/>
      <c r="E1050" s="2"/>
      <c r="F1050" s="2"/>
      <c r="G1050" s="2"/>
      <c r="H1050" s="2"/>
      <c r="I1050" s="5"/>
    </row>
    <row r="1051" spans="1:9" ht="17.399999999999999" x14ac:dyDescent="0.25">
      <c r="A1051" s="16"/>
      <c r="B1051" s="17"/>
      <c r="C1051" s="2"/>
      <c r="D1051" s="2"/>
      <c r="E1051" s="2"/>
      <c r="F1051" s="2"/>
      <c r="G1051" s="2"/>
      <c r="H1051" s="2"/>
      <c r="I1051" s="5"/>
    </row>
    <row r="1052" spans="1:9" ht="17.399999999999999" x14ac:dyDescent="0.25">
      <c r="A1052" s="16"/>
      <c r="B1052" s="17"/>
      <c r="C1052" s="2"/>
      <c r="D1052" s="2"/>
      <c r="E1052" s="2"/>
      <c r="F1052" s="2"/>
      <c r="G1052" s="2"/>
      <c r="H1052" s="2"/>
      <c r="I1052" s="5"/>
    </row>
    <row r="1053" spans="1:9" ht="17.399999999999999" x14ac:dyDescent="0.25">
      <c r="A1053" s="16"/>
      <c r="B1053" s="17"/>
      <c r="C1053" s="2"/>
      <c r="D1053" s="2"/>
      <c r="E1053" s="2"/>
      <c r="F1053" s="2"/>
      <c r="G1053" s="2"/>
      <c r="H1053" s="2"/>
      <c r="I1053" s="5"/>
    </row>
    <row r="1054" spans="1:9" ht="17.399999999999999" x14ac:dyDescent="0.25">
      <c r="A1054" s="16"/>
      <c r="B1054" s="17"/>
      <c r="C1054" s="2"/>
      <c r="D1054" s="2"/>
      <c r="E1054" s="2"/>
      <c r="F1054" s="2"/>
      <c r="G1054" s="2"/>
      <c r="H1054" s="2"/>
      <c r="I1054" s="5"/>
    </row>
    <row r="1055" spans="1:9" ht="17.399999999999999" x14ac:dyDescent="0.25">
      <c r="A1055" s="16"/>
      <c r="B1055" s="17"/>
      <c r="C1055" s="2"/>
      <c r="D1055" s="2"/>
      <c r="E1055" s="2"/>
      <c r="F1055" s="2"/>
      <c r="G1055" s="2"/>
      <c r="H1055" s="2"/>
      <c r="I1055" s="5"/>
    </row>
    <row r="1056" spans="1:9" ht="17.399999999999999" x14ac:dyDescent="0.25">
      <c r="A1056" s="16"/>
      <c r="B1056" s="17"/>
      <c r="C1056" s="2"/>
      <c r="D1056" s="2"/>
      <c r="E1056" s="2"/>
      <c r="F1056" s="2"/>
      <c r="G1056" s="2"/>
      <c r="H1056" s="2"/>
      <c r="I1056" s="5"/>
    </row>
    <row r="1057" spans="1:9" ht="17.399999999999999" x14ac:dyDescent="0.25">
      <c r="A1057" s="16"/>
      <c r="B1057" s="17"/>
      <c r="C1057" s="2"/>
      <c r="D1057" s="2"/>
      <c r="E1057" s="2"/>
      <c r="F1057" s="2"/>
      <c r="G1057" s="2"/>
      <c r="H1057" s="2"/>
      <c r="I1057" s="5"/>
    </row>
    <row r="1058" spans="1:9" ht="17.399999999999999" x14ac:dyDescent="0.25">
      <c r="A1058" s="16"/>
      <c r="B1058" s="17"/>
      <c r="C1058" s="2"/>
      <c r="D1058" s="2"/>
      <c r="E1058" s="2"/>
      <c r="F1058" s="2"/>
      <c r="G1058" s="2"/>
      <c r="H1058" s="2"/>
      <c r="I1058" s="5"/>
    </row>
    <row r="1059" spans="1:9" ht="17.399999999999999" x14ac:dyDescent="0.25">
      <c r="A1059" s="16"/>
      <c r="B1059" s="17"/>
      <c r="C1059" s="2"/>
      <c r="D1059" s="2"/>
      <c r="E1059" s="2"/>
      <c r="F1059" s="2"/>
      <c r="G1059" s="2"/>
      <c r="H1059" s="2"/>
      <c r="I1059" s="5"/>
    </row>
    <row r="1060" spans="1:9" ht="17.399999999999999" x14ac:dyDescent="0.25">
      <c r="A1060" s="16"/>
      <c r="B1060" s="17"/>
      <c r="C1060" s="2"/>
      <c r="D1060" s="2"/>
      <c r="E1060" s="2"/>
      <c r="F1060" s="2"/>
      <c r="G1060" s="2"/>
      <c r="H1060" s="2"/>
      <c r="I1060" s="5"/>
    </row>
    <row r="1061" spans="1:9" ht="17.399999999999999" x14ac:dyDescent="0.25">
      <c r="A1061" s="16"/>
      <c r="B1061" s="17"/>
      <c r="C1061" s="2"/>
      <c r="D1061" s="2"/>
      <c r="E1061" s="2"/>
      <c r="F1061" s="2"/>
      <c r="G1061" s="2"/>
      <c r="H1061" s="2"/>
      <c r="I1061" s="5"/>
    </row>
    <row r="1062" spans="1:9" ht="17.399999999999999" x14ac:dyDescent="0.25">
      <c r="A1062" s="16"/>
      <c r="B1062" s="17"/>
      <c r="C1062" s="2"/>
      <c r="D1062" s="2"/>
      <c r="E1062" s="2"/>
      <c r="F1062" s="2"/>
      <c r="G1062" s="2"/>
      <c r="H1062" s="2"/>
      <c r="I1062" s="5"/>
    </row>
    <row r="1063" spans="1:9" ht="17.399999999999999" x14ac:dyDescent="0.25">
      <c r="A1063" s="16"/>
      <c r="B1063" s="17"/>
      <c r="C1063" s="2"/>
      <c r="D1063" s="2"/>
      <c r="E1063" s="2"/>
      <c r="F1063" s="2"/>
      <c r="G1063" s="2"/>
      <c r="H1063" s="2"/>
      <c r="I1063" s="5"/>
    </row>
    <row r="1064" spans="1:9" ht="17.399999999999999" x14ac:dyDescent="0.25">
      <c r="A1064" s="16"/>
      <c r="B1064" s="17"/>
      <c r="C1064" s="2"/>
      <c r="D1064" s="2"/>
      <c r="E1064" s="2"/>
      <c r="F1064" s="2"/>
      <c r="G1064" s="2"/>
      <c r="H1064" s="2"/>
      <c r="I1064" s="5"/>
    </row>
    <row r="1065" spans="1:9" ht="17.399999999999999" x14ac:dyDescent="0.25">
      <c r="A1065" s="16"/>
      <c r="B1065" s="17"/>
      <c r="C1065" s="2"/>
      <c r="D1065" s="2"/>
      <c r="E1065" s="2"/>
      <c r="F1065" s="2"/>
      <c r="G1065" s="2"/>
      <c r="H1065" s="2"/>
      <c r="I1065" s="5"/>
    </row>
    <row r="1066" spans="1:9" ht="17.399999999999999" x14ac:dyDescent="0.25">
      <c r="A1066" s="16"/>
      <c r="B1066" s="17"/>
      <c r="C1066" s="2"/>
      <c r="D1066" s="2"/>
      <c r="E1066" s="2"/>
      <c r="F1066" s="2"/>
      <c r="G1066" s="2"/>
      <c r="H1066" s="2"/>
      <c r="I1066" s="5"/>
    </row>
    <row r="1067" spans="1:9" ht="17.399999999999999" x14ac:dyDescent="0.25">
      <c r="A1067" s="16"/>
      <c r="B1067" s="17"/>
      <c r="C1067" s="2"/>
      <c r="D1067" s="2"/>
      <c r="E1067" s="2"/>
      <c r="F1067" s="2"/>
      <c r="G1067" s="2"/>
      <c r="H1067" s="2"/>
      <c r="I1067" s="5"/>
    </row>
    <row r="1068" spans="1:9" ht="17.399999999999999" x14ac:dyDescent="0.25">
      <c r="A1068" s="16"/>
      <c r="B1068" s="17"/>
      <c r="C1068" s="2"/>
      <c r="D1068" s="2"/>
      <c r="E1068" s="2"/>
      <c r="F1068" s="2"/>
      <c r="G1068" s="2"/>
      <c r="H1068" s="2"/>
      <c r="I1068" s="5"/>
    </row>
    <row r="1069" spans="1:9" ht="17.399999999999999" x14ac:dyDescent="0.25">
      <c r="A1069" s="16"/>
      <c r="B1069" s="17"/>
      <c r="C1069" s="2"/>
      <c r="D1069" s="2"/>
      <c r="E1069" s="2"/>
      <c r="F1069" s="2"/>
      <c r="G1069" s="2"/>
      <c r="H1069" s="2"/>
      <c r="I1069" s="5"/>
    </row>
    <row r="1070" spans="1:9" ht="17.399999999999999" x14ac:dyDescent="0.25">
      <c r="A1070" s="16"/>
      <c r="B1070" s="17"/>
      <c r="C1070" s="2"/>
      <c r="D1070" s="2"/>
      <c r="E1070" s="2"/>
      <c r="F1070" s="2"/>
      <c r="G1070" s="2"/>
      <c r="H1070" s="2"/>
      <c r="I1070" s="5"/>
    </row>
    <row r="1071" spans="1:9" ht="17.399999999999999" x14ac:dyDescent="0.25">
      <c r="A1071" s="16"/>
      <c r="B1071" s="17"/>
      <c r="C1071" s="2"/>
      <c r="D1071" s="2"/>
      <c r="E1071" s="2"/>
      <c r="F1071" s="2"/>
      <c r="G1071" s="2"/>
      <c r="H1071" s="2"/>
      <c r="I1071" s="5"/>
    </row>
    <row r="1072" spans="1:9" ht="17.399999999999999" x14ac:dyDescent="0.25">
      <c r="A1072" s="16"/>
      <c r="B1072" s="17"/>
      <c r="C1072" s="2"/>
      <c r="D1072" s="2"/>
      <c r="E1072" s="2"/>
      <c r="F1072" s="2"/>
      <c r="G1072" s="2"/>
      <c r="H1072" s="2"/>
      <c r="I1072" s="5"/>
    </row>
    <row r="1073" spans="1:9" ht="17.399999999999999" x14ac:dyDescent="0.25">
      <c r="A1073" s="16"/>
      <c r="B1073" s="17"/>
      <c r="C1073" s="2"/>
      <c r="D1073" s="2"/>
      <c r="E1073" s="2"/>
      <c r="F1073" s="2"/>
      <c r="G1073" s="2"/>
      <c r="H1073" s="2"/>
      <c r="I1073" s="5"/>
    </row>
    <row r="1074" spans="1:9" ht="17.399999999999999" x14ac:dyDescent="0.25">
      <c r="A1074" s="16"/>
      <c r="B1074" s="17"/>
      <c r="C1074" s="2"/>
      <c r="D1074" s="2"/>
      <c r="E1074" s="2"/>
      <c r="F1074" s="2"/>
      <c r="G1074" s="2"/>
      <c r="H1074" s="2"/>
      <c r="I1074" s="5"/>
    </row>
    <row r="1075" spans="1:9" ht="17.399999999999999" x14ac:dyDescent="0.25">
      <c r="A1075" s="16"/>
      <c r="B1075" s="17"/>
      <c r="C1075" s="2"/>
      <c r="D1075" s="2"/>
      <c r="E1075" s="2"/>
      <c r="F1075" s="2"/>
      <c r="G1075" s="2"/>
      <c r="H1075" s="2"/>
      <c r="I1075" s="5"/>
    </row>
    <row r="1076" spans="1:9" ht="17.399999999999999" x14ac:dyDescent="0.25">
      <c r="A1076" s="16"/>
      <c r="B1076" s="17"/>
      <c r="C1076" s="2"/>
      <c r="D1076" s="2"/>
      <c r="E1076" s="2"/>
      <c r="F1076" s="2"/>
      <c r="G1076" s="2"/>
      <c r="H1076" s="2"/>
      <c r="I1076" s="5"/>
    </row>
    <row r="1077" spans="1:9" ht="17.399999999999999" x14ac:dyDescent="0.25">
      <c r="A1077" s="16"/>
      <c r="B1077" s="17"/>
      <c r="C1077" s="2"/>
      <c r="D1077" s="2"/>
      <c r="E1077" s="2"/>
      <c r="F1077" s="2"/>
      <c r="G1077" s="2"/>
      <c r="H1077" s="2"/>
      <c r="I1077" s="5"/>
    </row>
    <row r="1078" spans="1:9" ht="17.399999999999999" x14ac:dyDescent="0.25">
      <c r="A1078" s="16"/>
      <c r="B1078" s="17"/>
      <c r="C1078" s="2"/>
      <c r="D1078" s="2"/>
      <c r="E1078" s="2"/>
      <c r="F1078" s="2"/>
      <c r="G1078" s="2"/>
      <c r="H1078" s="2"/>
      <c r="I1078" s="5"/>
    </row>
    <row r="1079" spans="1:9" ht="17.399999999999999" x14ac:dyDescent="0.25">
      <c r="A1079" s="16"/>
      <c r="B1079" s="17"/>
      <c r="C1079" s="2"/>
      <c r="D1079" s="2"/>
      <c r="E1079" s="2"/>
      <c r="F1079" s="2"/>
      <c r="G1079" s="2"/>
      <c r="H1079" s="2"/>
      <c r="I1079" s="5"/>
    </row>
    <row r="1080" spans="1:9" ht="17.399999999999999" x14ac:dyDescent="0.25">
      <c r="A1080" s="16"/>
      <c r="B1080" s="17"/>
      <c r="C1080" s="2"/>
      <c r="D1080" s="2"/>
      <c r="E1080" s="2"/>
      <c r="F1080" s="2"/>
      <c r="G1080" s="2"/>
      <c r="H1080" s="2"/>
      <c r="I1080" s="5"/>
    </row>
    <row r="1081" spans="1:9" ht="17.399999999999999" x14ac:dyDescent="0.25">
      <c r="A1081" s="16"/>
      <c r="B1081" s="17"/>
      <c r="C1081" s="2"/>
      <c r="D1081" s="2"/>
      <c r="E1081" s="2"/>
      <c r="F1081" s="2"/>
      <c r="G1081" s="2"/>
      <c r="H1081" s="2"/>
      <c r="I1081" s="5"/>
    </row>
    <row r="1082" spans="1:9" ht="17.399999999999999" x14ac:dyDescent="0.25">
      <c r="A1082" s="16"/>
      <c r="B1082" s="17"/>
      <c r="C1082" s="2"/>
      <c r="D1082" s="2"/>
      <c r="E1082" s="2"/>
      <c r="F1082" s="2"/>
      <c r="G1082" s="2"/>
      <c r="H1082" s="2"/>
      <c r="I1082" s="5"/>
    </row>
    <row r="1083" spans="1:9" ht="17.399999999999999" x14ac:dyDescent="0.25">
      <c r="A1083" s="16"/>
      <c r="B1083" s="17"/>
      <c r="C1083" s="2"/>
      <c r="D1083" s="2"/>
      <c r="E1083" s="2"/>
      <c r="F1083" s="2"/>
      <c r="G1083" s="2"/>
      <c r="H1083" s="2"/>
      <c r="I1083" s="5"/>
    </row>
    <row r="1084" spans="1:9" ht="17.399999999999999" x14ac:dyDescent="0.25">
      <c r="A1084" s="16"/>
      <c r="B1084" s="17"/>
      <c r="C1084" s="2"/>
      <c r="D1084" s="2"/>
      <c r="E1084" s="2"/>
      <c r="F1084" s="2"/>
      <c r="G1084" s="2"/>
      <c r="H1084" s="2"/>
      <c r="I1084" s="5"/>
    </row>
    <row r="1085" spans="1:9" ht="17.399999999999999" x14ac:dyDescent="0.25">
      <c r="A1085" s="16"/>
      <c r="B1085" s="17"/>
      <c r="C1085" s="2"/>
      <c r="D1085" s="2"/>
      <c r="E1085" s="2"/>
      <c r="F1085" s="2"/>
      <c r="G1085" s="2"/>
      <c r="H1085" s="2"/>
      <c r="I1085" s="5"/>
    </row>
    <row r="1086" spans="1:9" ht="17.399999999999999" x14ac:dyDescent="0.25">
      <c r="A1086" s="16"/>
      <c r="B1086" s="17"/>
      <c r="C1086" s="2"/>
      <c r="D1086" s="2"/>
      <c r="E1086" s="2"/>
      <c r="F1086" s="2"/>
      <c r="G1086" s="2"/>
      <c r="H1086" s="2"/>
      <c r="I1086" s="5"/>
    </row>
    <row r="1087" spans="1:9" ht="17.399999999999999" x14ac:dyDescent="0.25">
      <c r="A1087" s="16"/>
      <c r="B1087" s="17"/>
      <c r="C1087" s="2"/>
      <c r="D1087" s="2"/>
      <c r="E1087" s="2"/>
      <c r="F1087" s="2"/>
      <c r="G1087" s="2"/>
      <c r="H1087" s="2"/>
      <c r="I1087" s="5"/>
    </row>
    <row r="1088" spans="1:9" ht="17.399999999999999" x14ac:dyDescent="0.25">
      <c r="A1088" s="16"/>
      <c r="B1088" s="17"/>
      <c r="C1088" s="2"/>
      <c r="D1088" s="2"/>
      <c r="E1088" s="2"/>
      <c r="F1088" s="2"/>
      <c r="G1088" s="2"/>
      <c r="H1088" s="2"/>
      <c r="I1088" s="5"/>
    </row>
    <row r="1089" spans="1:9" ht="17.399999999999999" x14ac:dyDescent="0.25">
      <c r="A1089" s="16"/>
      <c r="B1089" s="17"/>
      <c r="C1089" s="2"/>
      <c r="D1089" s="2"/>
      <c r="E1089" s="2"/>
      <c r="F1089" s="2"/>
      <c r="G1089" s="2"/>
      <c r="H1089" s="2"/>
      <c r="I1089" s="5"/>
    </row>
    <row r="1090" spans="1:9" ht="17.399999999999999" x14ac:dyDescent="0.25">
      <c r="A1090" s="16"/>
      <c r="B1090" s="17"/>
      <c r="C1090" s="2"/>
      <c r="D1090" s="2"/>
      <c r="E1090" s="2"/>
      <c r="F1090" s="2"/>
      <c r="G1090" s="2"/>
      <c r="H1090" s="2"/>
      <c r="I1090" s="5"/>
    </row>
    <row r="1091" spans="1:9" ht="17.399999999999999" x14ac:dyDescent="0.25">
      <c r="A1091" s="16"/>
      <c r="B1091" s="17"/>
      <c r="C1091" s="2"/>
      <c r="D1091" s="2"/>
      <c r="E1091" s="2"/>
      <c r="F1091" s="2"/>
      <c r="G1091" s="2"/>
      <c r="H1091" s="2"/>
      <c r="I1091" s="5"/>
    </row>
    <row r="1092" spans="1:9" ht="17.399999999999999" x14ac:dyDescent="0.25">
      <c r="A1092" s="16"/>
      <c r="B1092" s="17"/>
      <c r="C1092" s="2"/>
      <c r="D1092" s="2"/>
      <c r="E1092" s="2"/>
      <c r="F1092" s="2"/>
      <c r="G1092" s="2"/>
      <c r="H1092" s="2"/>
      <c r="I1092" s="5"/>
    </row>
    <row r="1093" spans="1:9" ht="17.399999999999999" x14ac:dyDescent="0.25">
      <c r="A1093" s="16"/>
      <c r="B1093" s="17"/>
      <c r="C1093" s="2"/>
      <c r="D1093" s="2"/>
      <c r="E1093" s="2"/>
      <c r="F1093" s="2"/>
      <c r="G1093" s="2"/>
      <c r="H1093" s="2"/>
      <c r="I1093" s="5"/>
    </row>
    <row r="1094" spans="1:9" ht="17.399999999999999" x14ac:dyDescent="0.25">
      <c r="A1094" s="16"/>
      <c r="B1094" s="17"/>
      <c r="C1094" s="2"/>
      <c r="D1094" s="2"/>
      <c r="E1094" s="2"/>
      <c r="F1094" s="2"/>
      <c r="G1094" s="2"/>
      <c r="H1094" s="2"/>
      <c r="I1094" s="5"/>
    </row>
    <row r="1095" spans="1:9" ht="17.399999999999999" x14ac:dyDescent="0.25">
      <c r="A1095" s="16"/>
      <c r="B1095" s="17"/>
      <c r="C1095" s="2"/>
      <c r="D1095" s="2"/>
      <c r="E1095" s="2"/>
      <c r="F1095" s="2"/>
      <c r="G1095" s="2"/>
      <c r="H1095" s="2"/>
      <c r="I1095" s="5"/>
    </row>
    <row r="1096" spans="1:9" ht="17.399999999999999" x14ac:dyDescent="0.25">
      <c r="A1096" s="16"/>
      <c r="B1096" s="17"/>
      <c r="C1096" s="2"/>
      <c r="D1096" s="2"/>
      <c r="E1096" s="2"/>
      <c r="F1096" s="2"/>
      <c r="G1096" s="2"/>
      <c r="H1096" s="2"/>
      <c r="I1096" s="5"/>
    </row>
    <row r="1097" spans="1:9" ht="17.399999999999999" x14ac:dyDescent="0.25">
      <c r="A1097" s="16"/>
      <c r="B1097" s="17"/>
      <c r="C1097" s="2"/>
      <c r="D1097" s="2"/>
      <c r="E1097" s="2"/>
      <c r="F1097" s="2"/>
      <c r="G1097" s="2"/>
      <c r="H1097" s="2"/>
      <c r="I1097" s="5"/>
    </row>
    <row r="1098" spans="1:9" ht="17.399999999999999" x14ac:dyDescent="0.25">
      <c r="A1098" s="16"/>
      <c r="B1098" s="17"/>
      <c r="C1098" s="2"/>
      <c r="D1098" s="2"/>
      <c r="E1098" s="2"/>
      <c r="F1098" s="2"/>
      <c r="G1098" s="2"/>
      <c r="H1098" s="2"/>
      <c r="I1098" s="5"/>
    </row>
    <row r="1099" spans="1:9" ht="17.399999999999999" x14ac:dyDescent="0.25">
      <c r="A1099" s="16"/>
      <c r="B1099" s="17"/>
      <c r="C1099" s="2"/>
      <c r="D1099" s="2"/>
      <c r="E1099" s="2"/>
      <c r="F1099" s="2"/>
      <c r="G1099" s="2"/>
      <c r="H1099" s="2"/>
      <c r="I1099" s="5"/>
    </row>
    <row r="1100" spans="1:9" ht="17.399999999999999" x14ac:dyDescent="0.25">
      <c r="A1100" s="16"/>
      <c r="B1100" s="17"/>
      <c r="C1100" s="2"/>
      <c r="D1100" s="2"/>
      <c r="E1100" s="2"/>
      <c r="F1100" s="2"/>
      <c r="G1100" s="2"/>
      <c r="H1100" s="2"/>
      <c r="I1100" s="5"/>
    </row>
    <row r="1101" spans="1:9" ht="17.399999999999999" x14ac:dyDescent="0.25">
      <c r="A1101" s="16"/>
      <c r="B1101" s="17"/>
      <c r="C1101" s="2"/>
      <c r="D1101" s="2"/>
      <c r="E1101" s="2"/>
      <c r="F1101" s="2"/>
      <c r="G1101" s="2"/>
      <c r="H1101" s="2"/>
      <c r="I1101" s="5"/>
    </row>
    <row r="1102" spans="1:9" ht="17.399999999999999" x14ac:dyDescent="0.25">
      <c r="A1102" s="16"/>
      <c r="B1102" s="17"/>
      <c r="C1102" s="2"/>
      <c r="D1102" s="2"/>
      <c r="E1102" s="2"/>
      <c r="F1102" s="2"/>
      <c r="G1102" s="2"/>
      <c r="H1102" s="2"/>
      <c r="I1102" s="5"/>
    </row>
    <row r="1103" spans="1:9" ht="17.399999999999999" x14ac:dyDescent="0.25">
      <c r="A1103" s="16"/>
      <c r="B1103" s="17"/>
      <c r="C1103" s="2"/>
      <c r="D1103" s="2"/>
      <c r="E1103" s="2"/>
      <c r="F1103" s="2"/>
      <c r="G1103" s="2"/>
      <c r="H1103" s="2"/>
      <c r="I1103" s="5"/>
    </row>
    <row r="1104" spans="1:9" ht="17.399999999999999" x14ac:dyDescent="0.25">
      <c r="A1104" s="16"/>
      <c r="B1104" s="17"/>
      <c r="C1104" s="2"/>
      <c r="D1104" s="2"/>
      <c r="E1104" s="2"/>
      <c r="F1104" s="2"/>
      <c r="G1104" s="2"/>
      <c r="H1104" s="2"/>
      <c r="I1104" s="5"/>
    </row>
    <row r="1105" spans="1:9" ht="17.399999999999999" x14ac:dyDescent="0.25">
      <c r="A1105" s="16"/>
      <c r="B1105" s="17"/>
      <c r="C1105" s="2"/>
      <c r="D1105" s="2"/>
      <c r="E1105" s="2"/>
      <c r="F1105" s="2"/>
      <c r="G1105" s="2"/>
      <c r="H1105" s="2"/>
      <c r="I1105" s="5"/>
    </row>
    <row r="1106" spans="1:9" ht="17.399999999999999" x14ac:dyDescent="0.25">
      <c r="A1106" s="16"/>
      <c r="B1106" s="17"/>
      <c r="C1106" s="2"/>
      <c r="D1106" s="2"/>
      <c r="E1106" s="2"/>
      <c r="F1106" s="2"/>
      <c r="G1106" s="2"/>
      <c r="H1106" s="2"/>
      <c r="I1106" s="5"/>
    </row>
    <row r="1107" spans="1:9" ht="17.399999999999999" x14ac:dyDescent="0.25">
      <c r="A1107" s="16"/>
      <c r="B1107" s="17"/>
      <c r="C1107" s="2"/>
      <c r="D1107" s="2"/>
      <c r="E1107" s="2"/>
      <c r="F1107" s="2"/>
      <c r="G1107" s="2"/>
      <c r="H1107" s="2"/>
      <c r="I1107" s="5"/>
    </row>
    <row r="1108" spans="1:9" ht="17.399999999999999" x14ac:dyDescent="0.25">
      <c r="A1108" s="16"/>
      <c r="B1108" s="17"/>
      <c r="C1108" s="2"/>
      <c r="D1108" s="2"/>
      <c r="E1108" s="2"/>
      <c r="F1108" s="2"/>
      <c r="G1108" s="2"/>
      <c r="H1108" s="2"/>
      <c r="I1108" s="5"/>
    </row>
    <row r="1109" spans="1:9" ht="17.399999999999999" x14ac:dyDescent="0.25">
      <c r="A1109" s="16"/>
      <c r="B1109" s="17"/>
      <c r="C1109" s="2"/>
      <c r="D1109" s="2"/>
      <c r="E1109" s="2"/>
      <c r="F1109" s="2"/>
      <c r="G1109" s="2"/>
      <c r="H1109" s="2"/>
      <c r="I1109" s="5"/>
    </row>
    <row r="1110" spans="1:9" ht="17.399999999999999" x14ac:dyDescent="0.25">
      <c r="A1110" s="16"/>
      <c r="B1110" s="17"/>
      <c r="C1110" s="2"/>
      <c r="D1110" s="2"/>
      <c r="E1110" s="2"/>
      <c r="F1110" s="2"/>
      <c r="G1110" s="2"/>
      <c r="H1110" s="2"/>
      <c r="I1110" s="5"/>
    </row>
    <row r="1111" spans="1:9" ht="17.399999999999999" x14ac:dyDescent="0.25">
      <c r="A1111" s="16"/>
      <c r="B1111" s="17"/>
      <c r="C1111" s="2"/>
      <c r="D1111" s="2"/>
      <c r="E1111" s="2"/>
      <c r="F1111" s="2"/>
      <c r="G1111" s="2"/>
      <c r="H1111" s="2"/>
      <c r="I1111" s="5"/>
    </row>
    <row r="1112" spans="1:9" ht="17.399999999999999" x14ac:dyDescent="0.25">
      <c r="A1112" s="16"/>
      <c r="B1112" s="17"/>
      <c r="C1112" s="2"/>
      <c r="D1112" s="2"/>
      <c r="E1112" s="2"/>
      <c r="F1112" s="2"/>
      <c r="G1112" s="2"/>
      <c r="H1112" s="2"/>
      <c r="I1112" s="5"/>
    </row>
    <row r="1113" spans="1:9" ht="17.399999999999999" x14ac:dyDescent="0.25">
      <c r="A1113" s="16"/>
      <c r="B1113" s="17"/>
      <c r="C1113" s="2"/>
      <c r="D1113" s="2"/>
      <c r="E1113" s="2"/>
      <c r="F1113" s="2"/>
      <c r="G1113" s="2"/>
      <c r="H1113" s="2"/>
      <c r="I1113" s="5"/>
    </row>
    <row r="1114" spans="1:9" ht="17.399999999999999" x14ac:dyDescent="0.25">
      <c r="A1114" s="16"/>
      <c r="B1114" s="17"/>
      <c r="C1114" s="2"/>
      <c r="D1114" s="2"/>
      <c r="E1114" s="2"/>
      <c r="F1114" s="2"/>
      <c r="G1114" s="2"/>
      <c r="H1114" s="2"/>
      <c r="I1114" s="5"/>
    </row>
    <row r="1115" spans="1:9" ht="17.399999999999999" x14ac:dyDescent="0.25">
      <c r="A1115" s="16"/>
      <c r="B1115" s="17"/>
      <c r="C1115" s="2"/>
      <c r="D1115" s="2"/>
      <c r="E1115" s="2"/>
      <c r="F1115" s="2"/>
      <c r="G1115" s="2"/>
      <c r="H1115" s="2"/>
      <c r="I1115" s="5"/>
    </row>
    <row r="1116" spans="1:9" ht="17.399999999999999" x14ac:dyDescent="0.25">
      <c r="A1116" s="16"/>
      <c r="B1116" s="17"/>
      <c r="C1116" s="2"/>
      <c r="D1116" s="2"/>
      <c r="E1116" s="2"/>
      <c r="F1116" s="2"/>
      <c r="G1116" s="2"/>
      <c r="H1116" s="2"/>
      <c r="I1116" s="5"/>
    </row>
    <row r="1117" spans="1:9" ht="17.399999999999999" x14ac:dyDescent="0.25">
      <c r="A1117" s="16"/>
      <c r="B1117" s="17"/>
      <c r="C1117" s="2"/>
      <c r="D1117" s="2"/>
      <c r="E1117" s="2"/>
      <c r="F1117" s="2"/>
      <c r="G1117" s="2"/>
      <c r="H1117" s="2"/>
      <c r="I1117" s="5"/>
    </row>
    <row r="1118" spans="1:9" ht="17.399999999999999" x14ac:dyDescent="0.25">
      <c r="A1118" s="16"/>
      <c r="B1118" s="17"/>
      <c r="C1118" s="2"/>
      <c r="D1118" s="2"/>
      <c r="E1118" s="2"/>
      <c r="F1118" s="2"/>
      <c r="G1118" s="2"/>
      <c r="H1118" s="2"/>
      <c r="I1118" s="5"/>
    </row>
    <row r="1119" spans="1:9" ht="17.399999999999999" x14ac:dyDescent="0.25">
      <c r="A1119" s="16"/>
      <c r="B1119" s="17"/>
      <c r="C1119" s="2"/>
      <c r="D1119" s="2"/>
      <c r="E1119" s="2"/>
      <c r="F1119" s="2"/>
      <c r="G1119" s="2"/>
      <c r="H1119" s="2"/>
      <c r="I1119" s="5"/>
    </row>
    <row r="1120" spans="1:9" ht="17.399999999999999" x14ac:dyDescent="0.25">
      <c r="A1120" s="16"/>
      <c r="B1120" s="17"/>
      <c r="C1120" s="2"/>
      <c r="D1120" s="2"/>
      <c r="E1120" s="2"/>
      <c r="F1120" s="2"/>
      <c r="G1120" s="2"/>
      <c r="H1120" s="2"/>
      <c r="I1120" s="5"/>
    </row>
    <row r="1121" spans="1:9" ht="17.399999999999999" x14ac:dyDescent="0.25">
      <c r="A1121" s="16"/>
      <c r="B1121" s="17"/>
      <c r="C1121" s="2"/>
      <c r="D1121" s="2"/>
      <c r="E1121" s="2"/>
      <c r="F1121" s="2"/>
      <c r="G1121" s="2"/>
      <c r="H1121" s="2"/>
      <c r="I1121" s="5"/>
    </row>
    <row r="1122" spans="1:9" ht="17.399999999999999" x14ac:dyDescent="0.25">
      <c r="A1122" s="16"/>
      <c r="B1122" s="17"/>
      <c r="C1122" s="2"/>
      <c r="D1122" s="2"/>
      <c r="E1122" s="2"/>
      <c r="F1122" s="2"/>
      <c r="G1122" s="2"/>
      <c r="H1122" s="2"/>
      <c r="I1122" s="5"/>
    </row>
    <row r="1123" spans="1:9" ht="17.399999999999999" x14ac:dyDescent="0.25">
      <c r="A1123" s="16"/>
      <c r="B1123" s="17"/>
      <c r="C1123" s="2"/>
      <c r="D1123" s="2"/>
      <c r="E1123" s="2"/>
      <c r="F1123" s="2"/>
      <c r="G1123" s="2"/>
      <c r="H1123" s="2"/>
      <c r="I1123" s="5"/>
    </row>
    <row r="1124" spans="1:9" ht="17.399999999999999" x14ac:dyDescent="0.25">
      <c r="A1124" s="16"/>
      <c r="B1124" s="17"/>
      <c r="C1124" s="2"/>
      <c r="D1124" s="2"/>
      <c r="E1124" s="2"/>
      <c r="F1124" s="2"/>
      <c r="G1124" s="2"/>
      <c r="H1124" s="2"/>
      <c r="I1124" s="5"/>
    </row>
    <row r="1125" spans="1:9" ht="17.399999999999999" x14ac:dyDescent="0.25">
      <c r="A1125" s="16"/>
      <c r="B1125" s="17"/>
      <c r="C1125" s="2"/>
      <c r="D1125" s="2"/>
      <c r="E1125" s="2"/>
      <c r="F1125" s="2"/>
      <c r="G1125" s="2"/>
      <c r="H1125" s="2"/>
      <c r="I1125" s="5"/>
    </row>
    <row r="1126" spans="1:9" ht="17.399999999999999" x14ac:dyDescent="0.25">
      <c r="A1126" s="16"/>
      <c r="B1126" s="17"/>
      <c r="C1126" s="2"/>
      <c r="D1126" s="2"/>
      <c r="E1126" s="2"/>
      <c r="F1126" s="2"/>
      <c r="G1126" s="2"/>
      <c r="H1126" s="2"/>
      <c r="I1126" s="5"/>
    </row>
    <row r="1127" spans="1:9" ht="17.399999999999999" x14ac:dyDescent="0.25">
      <c r="A1127" s="16"/>
      <c r="B1127" s="17"/>
      <c r="C1127" s="2"/>
      <c r="D1127" s="2"/>
      <c r="E1127" s="2"/>
      <c r="F1127" s="2"/>
      <c r="G1127" s="2"/>
      <c r="H1127" s="2"/>
      <c r="I1127" s="5"/>
    </row>
    <row r="1128" spans="1:9" ht="17.399999999999999" x14ac:dyDescent="0.25">
      <c r="A1128" s="16"/>
      <c r="B1128" s="17"/>
      <c r="C1128" s="2"/>
      <c r="D1128" s="2"/>
      <c r="E1128" s="2"/>
      <c r="F1128" s="2"/>
      <c r="G1128" s="2"/>
      <c r="H1128" s="2"/>
      <c r="I1128" s="5"/>
    </row>
    <row r="1129" spans="1:9" ht="17.399999999999999" x14ac:dyDescent="0.25">
      <c r="A1129" s="16"/>
      <c r="B1129" s="17"/>
      <c r="C1129" s="2"/>
      <c r="D1129" s="2"/>
      <c r="E1129" s="2"/>
      <c r="F1129" s="2"/>
      <c r="G1129" s="2"/>
      <c r="H1129" s="2"/>
      <c r="I1129" s="5"/>
    </row>
    <row r="1130" spans="1:9" ht="17.399999999999999" x14ac:dyDescent="0.25">
      <c r="A1130" s="16"/>
      <c r="B1130" s="17"/>
      <c r="C1130" s="2"/>
      <c r="D1130" s="2"/>
      <c r="E1130" s="2"/>
      <c r="F1130" s="2"/>
      <c r="G1130" s="2"/>
      <c r="H1130" s="2"/>
      <c r="I1130" s="5"/>
    </row>
    <row r="1131" spans="1:9" ht="17.399999999999999" x14ac:dyDescent="0.25">
      <c r="A1131" s="16"/>
      <c r="B1131" s="17"/>
      <c r="C1131" s="2"/>
      <c r="D1131" s="2"/>
      <c r="E1131" s="2"/>
      <c r="F1131" s="2"/>
      <c r="G1131" s="2"/>
      <c r="H1131" s="2"/>
      <c r="I1131" s="5"/>
    </row>
    <row r="1132" spans="1:9" ht="17.399999999999999" x14ac:dyDescent="0.25">
      <c r="A1132" s="16"/>
      <c r="B1132" s="17"/>
      <c r="C1132" s="2"/>
      <c r="D1132" s="2"/>
      <c r="E1132" s="2"/>
      <c r="F1132" s="2"/>
      <c r="G1132" s="2"/>
      <c r="H1132" s="2"/>
      <c r="I1132" s="5"/>
    </row>
    <row r="1133" spans="1:9" ht="17.399999999999999" x14ac:dyDescent="0.25">
      <c r="A1133" s="16"/>
      <c r="B1133" s="17"/>
      <c r="C1133" s="2"/>
      <c r="D1133" s="2"/>
      <c r="E1133" s="2"/>
      <c r="F1133" s="2"/>
      <c r="G1133" s="2"/>
      <c r="H1133" s="2"/>
      <c r="I1133" s="5"/>
    </row>
    <row r="1134" spans="1:9" ht="17.399999999999999" x14ac:dyDescent="0.25">
      <c r="A1134" s="16"/>
      <c r="B1134" s="17"/>
      <c r="C1134" s="2"/>
      <c r="D1134" s="2"/>
      <c r="E1134" s="2"/>
      <c r="F1134" s="2"/>
      <c r="G1134" s="2"/>
      <c r="H1134" s="2"/>
      <c r="I1134" s="5"/>
    </row>
    <row r="1135" spans="1:9" ht="17.399999999999999" x14ac:dyDescent="0.25">
      <c r="A1135" s="16"/>
      <c r="B1135" s="17"/>
      <c r="C1135" s="2"/>
      <c r="D1135" s="2"/>
      <c r="E1135" s="2"/>
      <c r="F1135" s="2"/>
      <c r="G1135" s="2"/>
      <c r="H1135" s="2"/>
      <c r="I1135" s="5"/>
    </row>
    <row r="1136" spans="1:9" ht="17.399999999999999" x14ac:dyDescent="0.25">
      <c r="A1136" s="16"/>
      <c r="B1136" s="17"/>
      <c r="C1136" s="2"/>
      <c r="D1136" s="2"/>
      <c r="E1136" s="2"/>
      <c r="F1136" s="2"/>
      <c r="G1136" s="2"/>
      <c r="H1136" s="2"/>
      <c r="I1136" s="5"/>
    </row>
    <row r="1137" spans="1:9" ht="17.399999999999999" x14ac:dyDescent="0.25">
      <c r="A1137" s="16"/>
      <c r="B1137" s="17"/>
      <c r="C1137" s="2"/>
      <c r="D1137" s="2"/>
      <c r="E1137" s="2"/>
      <c r="F1137" s="2"/>
      <c r="G1137" s="2"/>
      <c r="H1137" s="2"/>
      <c r="I1137" s="5"/>
    </row>
    <row r="1138" spans="1:9" ht="17.399999999999999" x14ac:dyDescent="0.25">
      <c r="A1138" s="16"/>
      <c r="B1138" s="17"/>
      <c r="C1138" s="2"/>
      <c r="D1138" s="2"/>
      <c r="E1138" s="2"/>
      <c r="F1138" s="2"/>
      <c r="G1138" s="2"/>
      <c r="H1138" s="2"/>
      <c r="I1138" s="5"/>
    </row>
    <row r="1139" spans="1:9" ht="17.399999999999999" x14ac:dyDescent="0.25">
      <c r="A1139" s="16"/>
      <c r="B1139" s="17"/>
      <c r="C1139" s="2"/>
      <c r="D1139" s="2"/>
      <c r="E1139" s="2"/>
      <c r="F1139" s="2"/>
      <c r="G1139" s="2"/>
      <c r="H1139" s="2"/>
      <c r="I1139" s="5"/>
    </row>
    <row r="1140" spans="1:9" ht="17.399999999999999" x14ac:dyDescent="0.25">
      <c r="A1140" s="16"/>
      <c r="B1140" s="17"/>
      <c r="C1140" s="2"/>
      <c r="D1140" s="2"/>
      <c r="E1140" s="2"/>
      <c r="F1140" s="2"/>
      <c r="G1140" s="2"/>
      <c r="H1140" s="2"/>
      <c r="I1140" s="5"/>
    </row>
    <row r="1141" spans="1:9" ht="17.399999999999999" x14ac:dyDescent="0.25">
      <c r="A1141" s="16"/>
      <c r="B1141" s="17"/>
      <c r="C1141" s="2"/>
      <c r="D1141" s="2"/>
      <c r="E1141" s="2"/>
      <c r="F1141" s="2"/>
      <c r="G1141" s="2"/>
      <c r="H1141" s="2"/>
      <c r="I1141" s="5"/>
    </row>
    <row r="1142" spans="1:9" ht="17.399999999999999" x14ac:dyDescent="0.25">
      <c r="A1142" s="16"/>
      <c r="B1142" s="17"/>
      <c r="C1142" s="2"/>
      <c r="D1142" s="2"/>
      <c r="E1142" s="2"/>
      <c r="F1142" s="2"/>
      <c r="G1142" s="2"/>
      <c r="H1142" s="2"/>
      <c r="I1142" s="5"/>
    </row>
    <row r="1143" spans="1:9" ht="17.399999999999999" x14ac:dyDescent="0.25">
      <c r="A1143" s="16"/>
      <c r="B1143" s="17"/>
      <c r="C1143" s="2"/>
      <c r="D1143" s="2"/>
      <c r="E1143" s="2"/>
      <c r="F1143" s="2"/>
      <c r="G1143" s="2"/>
      <c r="H1143" s="2"/>
      <c r="I1143" s="5"/>
    </row>
    <row r="1144" spans="1:9" ht="17.399999999999999" x14ac:dyDescent="0.25">
      <c r="A1144" s="16"/>
      <c r="B1144" s="17"/>
      <c r="C1144" s="2"/>
      <c r="D1144" s="2"/>
      <c r="E1144" s="2"/>
      <c r="F1144" s="2"/>
      <c r="G1144" s="2"/>
      <c r="H1144" s="2"/>
      <c r="I1144" s="5"/>
    </row>
    <row r="1145" spans="1:9" ht="17.399999999999999" x14ac:dyDescent="0.25">
      <c r="A1145" s="16"/>
      <c r="B1145" s="17"/>
      <c r="C1145" s="2"/>
      <c r="D1145" s="2"/>
      <c r="E1145" s="2"/>
      <c r="F1145" s="2"/>
      <c r="G1145" s="2"/>
      <c r="H1145" s="2"/>
      <c r="I1145" s="5"/>
    </row>
    <row r="1146" spans="1:9" ht="17.399999999999999" x14ac:dyDescent="0.25">
      <c r="A1146" s="16"/>
      <c r="B1146" s="17"/>
      <c r="C1146" s="2"/>
      <c r="D1146" s="2"/>
      <c r="E1146" s="2"/>
      <c r="F1146" s="2"/>
      <c r="G1146" s="2"/>
      <c r="H1146" s="2"/>
      <c r="I1146" s="5"/>
    </row>
    <row r="1147" spans="1:9" ht="17.399999999999999" x14ac:dyDescent="0.25">
      <c r="A1147" s="16"/>
      <c r="B1147" s="17"/>
      <c r="C1147" s="2"/>
      <c r="D1147" s="2"/>
      <c r="E1147" s="2"/>
      <c r="F1147" s="2"/>
      <c r="G1147" s="2"/>
      <c r="H1147" s="2"/>
      <c r="I1147" s="5"/>
    </row>
    <row r="1148" spans="1:9" ht="17.399999999999999" x14ac:dyDescent="0.25">
      <c r="A1148" s="16"/>
      <c r="B1148" s="17"/>
      <c r="C1148" s="2"/>
      <c r="D1148" s="2"/>
      <c r="E1148" s="2"/>
      <c r="F1148" s="2"/>
      <c r="G1148" s="2"/>
      <c r="H1148" s="2"/>
      <c r="I1148" s="5"/>
    </row>
    <row r="1149" spans="1:9" ht="17.399999999999999" x14ac:dyDescent="0.25">
      <c r="A1149" s="16"/>
      <c r="B1149" s="17"/>
      <c r="C1149" s="2"/>
      <c r="D1149" s="2"/>
      <c r="E1149" s="2"/>
      <c r="F1149" s="2"/>
      <c r="G1149" s="2"/>
      <c r="H1149" s="2"/>
      <c r="I1149" s="5"/>
    </row>
    <row r="1150" spans="1:9" ht="17.399999999999999" x14ac:dyDescent="0.25">
      <c r="A1150" s="16"/>
      <c r="B1150" s="17"/>
      <c r="C1150" s="2"/>
      <c r="D1150" s="2"/>
      <c r="E1150" s="2"/>
      <c r="F1150" s="2"/>
      <c r="G1150" s="2"/>
      <c r="H1150" s="2"/>
      <c r="I1150" s="5"/>
    </row>
    <row r="1151" spans="1:9" ht="17.399999999999999" x14ac:dyDescent="0.25">
      <c r="A1151" s="16"/>
      <c r="B1151" s="17"/>
      <c r="C1151" s="2"/>
      <c r="D1151" s="2"/>
      <c r="E1151" s="2"/>
      <c r="F1151" s="2"/>
      <c r="G1151" s="2"/>
      <c r="H1151" s="2"/>
      <c r="I1151" s="5"/>
    </row>
    <row r="1152" spans="1:9" ht="17.399999999999999" x14ac:dyDescent="0.25">
      <c r="A1152" s="16"/>
      <c r="B1152" s="17"/>
      <c r="C1152" s="2"/>
      <c r="D1152" s="2"/>
      <c r="E1152" s="2"/>
      <c r="F1152" s="2"/>
      <c r="G1152" s="2"/>
      <c r="H1152" s="2"/>
      <c r="I1152" s="5"/>
    </row>
    <row r="1153" spans="1:9" ht="17.399999999999999" x14ac:dyDescent="0.25">
      <c r="A1153" s="16"/>
      <c r="B1153" s="17"/>
      <c r="C1153" s="2"/>
      <c r="D1153" s="2"/>
      <c r="E1153" s="2"/>
      <c r="F1153" s="2"/>
      <c r="G1153" s="2"/>
      <c r="H1153" s="2"/>
      <c r="I1153" s="5"/>
    </row>
    <row r="1154" spans="1:9" ht="17.399999999999999" x14ac:dyDescent="0.25">
      <c r="A1154" s="16"/>
      <c r="B1154" s="17"/>
      <c r="C1154" s="2"/>
      <c r="D1154" s="2"/>
      <c r="E1154" s="2"/>
      <c r="F1154" s="2"/>
      <c r="G1154" s="2"/>
      <c r="H1154" s="2"/>
      <c r="I1154" s="5"/>
    </row>
    <row r="1155" spans="1:9" ht="17.399999999999999" x14ac:dyDescent="0.25">
      <c r="A1155" s="16"/>
      <c r="B1155" s="17"/>
      <c r="C1155" s="2"/>
      <c r="D1155" s="2"/>
      <c r="E1155" s="2"/>
      <c r="F1155" s="2"/>
      <c r="G1155" s="2"/>
      <c r="H1155" s="2"/>
      <c r="I1155" s="5"/>
    </row>
    <row r="1156" spans="1:9" ht="17.399999999999999" x14ac:dyDescent="0.25">
      <c r="A1156" s="16"/>
      <c r="B1156" s="17"/>
      <c r="C1156" s="2"/>
      <c r="D1156" s="2"/>
      <c r="E1156" s="2"/>
      <c r="F1156" s="2"/>
      <c r="G1156" s="2"/>
      <c r="H1156" s="2"/>
      <c r="I1156" s="5"/>
    </row>
    <row r="1157" spans="1:9" ht="17.399999999999999" x14ac:dyDescent="0.25">
      <c r="A1157" s="16"/>
      <c r="B1157" s="17"/>
      <c r="C1157" s="2"/>
      <c r="D1157" s="2"/>
      <c r="E1157" s="2"/>
      <c r="F1157" s="2"/>
      <c r="G1157" s="2"/>
      <c r="H1157" s="2"/>
      <c r="I1157" s="5"/>
    </row>
    <row r="1158" spans="1:9" ht="17.399999999999999" x14ac:dyDescent="0.25">
      <c r="A1158" s="16"/>
      <c r="B1158" s="17"/>
      <c r="C1158" s="2"/>
      <c r="D1158" s="2"/>
      <c r="E1158" s="2"/>
      <c r="F1158" s="2"/>
      <c r="G1158" s="2"/>
      <c r="H1158" s="2"/>
      <c r="I1158" s="5"/>
    </row>
    <row r="1159" spans="1:9" ht="17.399999999999999" x14ac:dyDescent="0.25">
      <c r="A1159" s="16"/>
      <c r="B1159" s="17"/>
      <c r="C1159" s="2"/>
      <c r="D1159" s="2"/>
      <c r="E1159" s="2"/>
      <c r="F1159" s="2"/>
      <c r="G1159" s="2"/>
      <c r="H1159" s="2"/>
      <c r="I1159" s="5"/>
    </row>
    <row r="1160" spans="1:9" ht="17.399999999999999" x14ac:dyDescent="0.25">
      <c r="A1160" s="16"/>
      <c r="B1160" s="17"/>
      <c r="C1160" s="2"/>
      <c r="D1160" s="2"/>
      <c r="E1160" s="2"/>
      <c r="F1160" s="2"/>
      <c r="G1160" s="2"/>
      <c r="H1160" s="2"/>
      <c r="I1160" s="5"/>
    </row>
    <row r="1161" spans="1:9" ht="17.399999999999999" x14ac:dyDescent="0.25">
      <c r="A1161" s="16"/>
      <c r="B1161" s="17"/>
      <c r="C1161" s="2"/>
      <c r="D1161" s="2"/>
      <c r="E1161" s="2"/>
      <c r="F1161" s="2"/>
      <c r="G1161" s="2"/>
      <c r="H1161" s="2"/>
      <c r="I1161" s="5"/>
    </row>
    <row r="1162" spans="1:9" ht="17.399999999999999" x14ac:dyDescent="0.25">
      <c r="A1162" s="16"/>
      <c r="B1162" s="17"/>
      <c r="C1162" s="2"/>
      <c r="D1162" s="2"/>
      <c r="E1162" s="2"/>
      <c r="F1162" s="2"/>
      <c r="G1162" s="2"/>
      <c r="H1162" s="2"/>
      <c r="I1162" s="5"/>
    </row>
    <row r="1163" spans="1:9" ht="17.399999999999999" x14ac:dyDescent="0.25">
      <c r="A1163" s="16"/>
      <c r="B1163" s="17"/>
      <c r="C1163" s="2"/>
      <c r="D1163" s="2"/>
      <c r="E1163" s="2"/>
      <c r="F1163" s="2"/>
      <c r="G1163" s="2"/>
      <c r="H1163" s="2"/>
      <c r="I1163" s="5"/>
    </row>
    <row r="1164" spans="1:9" ht="17.399999999999999" x14ac:dyDescent="0.25">
      <c r="A1164" s="16"/>
      <c r="B1164" s="17"/>
      <c r="C1164" s="2"/>
      <c r="D1164" s="2"/>
      <c r="E1164" s="2"/>
      <c r="F1164" s="2"/>
      <c r="G1164" s="2"/>
      <c r="H1164" s="2"/>
      <c r="I1164" s="5"/>
    </row>
    <row r="1165" spans="1:9" ht="17.399999999999999" x14ac:dyDescent="0.25">
      <c r="A1165" s="16"/>
      <c r="B1165" s="17"/>
      <c r="C1165" s="2"/>
      <c r="D1165" s="2"/>
      <c r="E1165" s="2"/>
      <c r="F1165" s="2"/>
      <c r="G1165" s="2"/>
      <c r="H1165" s="2"/>
      <c r="I1165" s="5"/>
    </row>
    <row r="1166" spans="1:9" ht="17.399999999999999" x14ac:dyDescent="0.25">
      <c r="A1166" s="16"/>
      <c r="B1166" s="17"/>
      <c r="C1166" s="2"/>
      <c r="D1166" s="2"/>
      <c r="E1166" s="2"/>
      <c r="F1166" s="2"/>
      <c r="G1166" s="2"/>
      <c r="H1166" s="2"/>
      <c r="I1166" s="5"/>
    </row>
    <row r="1167" spans="1:9" ht="17.399999999999999" x14ac:dyDescent="0.25">
      <c r="A1167" s="16"/>
      <c r="B1167" s="17"/>
      <c r="C1167" s="2"/>
      <c r="D1167" s="2"/>
      <c r="E1167" s="2"/>
      <c r="F1167" s="2"/>
      <c r="G1167" s="2"/>
      <c r="H1167" s="2"/>
      <c r="I1167" s="5"/>
    </row>
    <row r="1168" spans="1:9" ht="17.399999999999999" x14ac:dyDescent="0.25">
      <c r="A1168" s="16"/>
      <c r="B1168" s="17"/>
      <c r="C1168" s="2"/>
      <c r="D1168" s="2"/>
      <c r="E1168" s="2"/>
      <c r="F1168" s="2"/>
      <c r="G1168" s="2"/>
      <c r="H1168" s="2"/>
      <c r="I1168" s="5"/>
    </row>
    <row r="1169" spans="1:9" ht="17.399999999999999" x14ac:dyDescent="0.25">
      <c r="A1169" s="16"/>
      <c r="B1169" s="17"/>
      <c r="C1169" s="2"/>
      <c r="D1169" s="2"/>
      <c r="E1169" s="2"/>
      <c r="F1169" s="2"/>
      <c r="G1169" s="2"/>
      <c r="H1169" s="2"/>
      <c r="I1169" s="5"/>
    </row>
    <row r="1170" spans="1:9" ht="17.399999999999999" x14ac:dyDescent="0.25">
      <c r="A1170" s="16"/>
      <c r="B1170" s="17"/>
      <c r="C1170" s="2"/>
      <c r="D1170" s="2"/>
      <c r="E1170" s="2"/>
      <c r="F1170" s="2"/>
      <c r="G1170" s="2"/>
      <c r="H1170" s="2"/>
      <c r="I1170" s="5"/>
    </row>
    <row r="1171" spans="1:9" ht="17.399999999999999" x14ac:dyDescent="0.25">
      <c r="A1171" s="16"/>
      <c r="B1171" s="17"/>
      <c r="C1171" s="2"/>
      <c r="D1171" s="2"/>
      <c r="E1171" s="2"/>
      <c r="F1171" s="2"/>
      <c r="G1171" s="2"/>
      <c r="H1171" s="2"/>
      <c r="I1171" s="5"/>
    </row>
    <row r="1172" spans="1:9" ht="17.399999999999999" x14ac:dyDescent="0.25">
      <c r="A1172" s="16"/>
      <c r="B1172" s="17"/>
      <c r="C1172" s="2"/>
      <c r="D1172" s="2"/>
      <c r="E1172" s="2"/>
      <c r="F1172" s="2"/>
      <c r="G1172" s="2"/>
      <c r="H1172" s="2"/>
      <c r="I1172" s="5"/>
    </row>
    <row r="1173" spans="1:9" ht="17.399999999999999" x14ac:dyDescent="0.25">
      <c r="A1173" s="16"/>
      <c r="B1173" s="17"/>
      <c r="C1173" s="2"/>
      <c r="D1173" s="2"/>
      <c r="E1173" s="2"/>
      <c r="F1173" s="2"/>
      <c r="G1173" s="2"/>
      <c r="H1173" s="2"/>
      <c r="I1173" s="5"/>
    </row>
    <row r="1174" spans="1:9" ht="17.399999999999999" x14ac:dyDescent="0.25">
      <c r="A1174" s="16"/>
      <c r="B1174" s="17"/>
      <c r="C1174" s="2"/>
      <c r="D1174" s="2"/>
      <c r="E1174" s="2"/>
      <c r="F1174" s="2"/>
      <c r="G1174" s="2"/>
      <c r="H1174" s="2"/>
      <c r="I1174" s="5"/>
    </row>
    <row r="1175" spans="1:9" ht="17.399999999999999" x14ac:dyDescent="0.25">
      <c r="A1175" s="16"/>
      <c r="B1175" s="17"/>
      <c r="C1175" s="2"/>
      <c r="D1175" s="2"/>
      <c r="E1175" s="2"/>
      <c r="F1175" s="2"/>
      <c r="G1175" s="2"/>
      <c r="H1175" s="2"/>
      <c r="I1175" s="5"/>
    </row>
    <row r="1176" spans="1:9" ht="17.399999999999999" x14ac:dyDescent="0.25">
      <c r="A1176" s="16"/>
      <c r="B1176" s="17"/>
      <c r="C1176" s="2"/>
      <c r="D1176" s="2"/>
      <c r="E1176" s="2"/>
      <c r="F1176" s="2"/>
      <c r="G1176" s="2"/>
      <c r="H1176" s="2"/>
      <c r="I1176" s="5"/>
    </row>
    <row r="1177" spans="1:9" ht="17.399999999999999" x14ac:dyDescent="0.25">
      <c r="A1177" s="16"/>
      <c r="B1177" s="17"/>
      <c r="C1177" s="2"/>
      <c r="D1177" s="2"/>
      <c r="E1177" s="2"/>
      <c r="F1177" s="2"/>
      <c r="G1177" s="2"/>
      <c r="H1177" s="2"/>
      <c r="I1177" s="5"/>
    </row>
    <row r="1178" spans="1:9" ht="17.399999999999999" x14ac:dyDescent="0.25">
      <c r="A1178" s="16"/>
      <c r="B1178" s="17"/>
      <c r="C1178" s="2"/>
      <c r="D1178" s="2"/>
      <c r="E1178" s="2"/>
      <c r="F1178" s="2"/>
      <c r="G1178" s="2"/>
      <c r="H1178" s="2"/>
      <c r="I1178" s="5"/>
    </row>
    <row r="1179" spans="1:9" ht="17.399999999999999" x14ac:dyDescent="0.25">
      <c r="A1179" s="16"/>
      <c r="B1179" s="17"/>
      <c r="C1179" s="2"/>
      <c r="D1179" s="2"/>
      <c r="E1179" s="2"/>
      <c r="F1179" s="2"/>
      <c r="G1179" s="2"/>
      <c r="H1179" s="2"/>
      <c r="I1179" s="5"/>
    </row>
    <row r="1180" spans="1:9" ht="17.399999999999999" x14ac:dyDescent="0.25">
      <c r="A1180" s="16"/>
      <c r="B1180" s="17"/>
      <c r="C1180" s="2"/>
      <c r="D1180" s="2"/>
      <c r="E1180" s="2"/>
      <c r="F1180" s="2"/>
      <c r="G1180" s="2"/>
      <c r="H1180" s="2"/>
      <c r="I1180" s="5"/>
    </row>
    <row r="1181" spans="1:9" ht="17.399999999999999" x14ac:dyDescent="0.25">
      <c r="A1181" s="16"/>
      <c r="B1181" s="17"/>
      <c r="C1181" s="2"/>
      <c r="D1181" s="2"/>
      <c r="E1181" s="2"/>
      <c r="F1181" s="2"/>
      <c r="G1181" s="2"/>
      <c r="H1181" s="2"/>
      <c r="I1181" s="5"/>
    </row>
    <row r="1182" spans="1:9" ht="17.399999999999999" x14ac:dyDescent="0.25">
      <c r="A1182" s="16"/>
      <c r="B1182" s="17"/>
      <c r="C1182" s="2"/>
      <c r="D1182" s="2"/>
      <c r="E1182" s="2"/>
      <c r="F1182" s="2"/>
      <c r="G1182" s="2"/>
      <c r="H1182" s="2"/>
      <c r="I1182" s="5"/>
    </row>
    <row r="1183" spans="1:9" ht="17.399999999999999" x14ac:dyDescent="0.25">
      <c r="A1183" s="16"/>
      <c r="B1183" s="17"/>
      <c r="C1183" s="2"/>
      <c r="D1183" s="2"/>
      <c r="E1183" s="2"/>
      <c r="F1183" s="2"/>
      <c r="G1183" s="2"/>
      <c r="H1183" s="2"/>
      <c r="I1183" s="5"/>
    </row>
    <row r="1184" spans="1:9" ht="17.399999999999999" x14ac:dyDescent="0.25">
      <c r="A1184" s="16"/>
      <c r="B1184" s="17"/>
      <c r="C1184" s="2"/>
      <c r="D1184" s="2"/>
      <c r="E1184" s="2"/>
      <c r="F1184" s="2"/>
      <c r="G1184" s="2"/>
      <c r="H1184" s="2"/>
      <c r="I1184" s="5"/>
    </row>
    <row r="1185" spans="1:9" ht="17.399999999999999" x14ac:dyDescent="0.25">
      <c r="A1185" s="16"/>
      <c r="B1185" s="17"/>
      <c r="C1185" s="2"/>
      <c r="D1185" s="2"/>
      <c r="E1185" s="2"/>
      <c r="F1185" s="2"/>
      <c r="G1185" s="2"/>
      <c r="H1185" s="2"/>
      <c r="I1185" s="5"/>
    </row>
    <row r="1186" spans="1:9" ht="17.399999999999999" x14ac:dyDescent="0.25">
      <c r="A1186" s="16"/>
      <c r="B1186" s="17"/>
      <c r="C1186" s="2"/>
      <c r="D1186" s="2"/>
      <c r="E1186" s="2"/>
      <c r="F1186" s="2"/>
      <c r="G1186" s="2"/>
      <c r="H1186" s="2"/>
      <c r="I1186" s="5"/>
    </row>
    <row r="1187" spans="1:9" ht="17.399999999999999" x14ac:dyDescent="0.25">
      <c r="A1187" s="16"/>
      <c r="B1187" s="17"/>
      <c r="C1187" s="2"/>
      <c r="D1187" s="2"/>
      <c r="E1187" s="2"/>
      <c r="F1187" s="2"/>
      <c r="G1187" s="2"/>
      <c r="H1187" s="2"/>
      <c r="I1187" s="5"/>
    </row>
    <row r="1188" spans="1:9" ht="17.399999999999999" x14ac:dyDescent="0.25">
      <c r="A1188" s="16"/>
      <c r="B1188" s="17"/>
      <c r="C1188" s="2"/>
      <c r="D1188" s="2"/>
      <c r="E1188" s="2"/>
      <c r="F1188" s="2"/>
      <c r="G1188" s="2"/>
      <c r="H1188" s="2"/>
      <c r="I1188" s="5"/>
    </row>
    <row r="1189" spans="1:9" ht="17.399999999999999" x14ac:dyDescent="0.25">
      <c r="A1189" s="16"/>
      <c r="B1189" s="17"/>
      <c r="C1189" s="2"/>
      <c r="D1189" s="2"/>
      <c r="E1189" s="2"/>
      <c r="F1189" s="2"/>
      <c r="G1189" s="2"/>
      <c r="H1189" s="2"/>
      <c r="I1189" s="5"/>
    </row>
    <row r="1190" spans="1:9" ht="17.399999999999999" x14ac:dyDescent="0.25">
      <c r="A1190" s="16"/>
      <c r="B1190" s="17"/>
      <c r="C1190" s="2"/>
      <c r="D1190" s="2"/>
      <c r="E1190" s="2"/>
      <c r="F1190" s="2"/>
      <c r="G1190" s="2"/>
      <c r="H1190" s="2"/>
      <c r="I1190" s="5"/>
    </row>
    <row r="1191" spans="1:9" ht="17.399999999999999" x14ac:dyDescent="0.25">
      <c r="A1191" s="16"/>
      <c r="B1191" s="17"/>
      <c r="C1191" s="2"/>
      <c r="D1191" s="2"/>
      <c r="E1191" s="2"/>
      <c r="F1191" s="2"/>
      <c r="G1191" s="2"/>
      <c r="H1191" s="2"/>
      <c r="I1191" s="5"/>
    </row>
    <row r="1192" spans="1:9" ht="17.399999999999999" x14ac:dyDescent="0.25">
      <c r="A1192" s="16"/>
      <c r="B1192" s="17"/>
      <c r="C1192" s="2"/>
      <c r="D1192" s="2"/>
      <c r="E1192" s="2"/>
      <c r="F1192" s="2"/>
      <c r="G1192" s="2"/>
      <c r="H1192" s="2"/>
      <c r="I1192" s="5"/>
    </row>
    <row r="1193" spans="1:9" ht="17.399999999999999" x14ac:dyDescent="0.25">
      <c r="A1193" s="16"/>
      <c r="B1193" s="17"/>
      <c r="C1193" s="2"/>
      <c r="D1193" s="2"/>
      <c r="E1193" s="2"/>
      <c r="F1193" s="2"/>
      <c r="G1193" s="2"/>
      <c r="H1193" s="2"/>
      <c r="I1193" s="5"/>
    </row>
    <row r="1194" spans="1:9" ht="17.399999999999999" x14ac:dyDescent="0.25">
      <c r="A1194" s="16"/>
      <c r="B1194" s="17"/>
      <c r="C1194" s="2"/>
      <c r="D1194" s="2"/>
      <c r="E1194" s="2"/>
      <c r="F1194" s="2"/>
      <c r="G1194" s="2"/>
      <c r="H1194" s="2"/>
      <c r="I1194" s="5"/>
    </row>
    <row r="1195" spans="1:9" ht="17.399999999999999" x14ac:dyDescent="0.25">
      <c r="A1195" s="16"/>
      <c r="B1195" s="17"/>
      <c r="C1195" s="2"/>
      <c r="D1195" s="2"/>
      <c r="E1195" s="2"/>
      <c r="F1195" s="2"/>
      <c r="G1195" s="2"/>
      <c r="H1195" s="2"/>
      <c r="I1195" s="5"/>
    </row>
    <row r="1196" spans="1:9" ht="17.399999999999999" x14ac:dyDescent="0.25">
      <c r="A1196" s="16"/>
      <c r="B1196" s="17"/>
      <c r="C1196" s="2"/>
      <c r="D1196" s="2"/>
      <c r="E1196" s="2"/>
      <c r="F1196" s="2"/>
      <c r="G1196" s="2"/>
      <c r="H1196" s="2"/>
      <c r="I1196" s="5"/>
    </row>
    <row r="1197" spans="1:9" ht="17.399999999999999" x14ac:dyDescent="0.25">
      <c r="A1197" s="16"/>
      <c r="B1197" s="17"/>
      <c r="C1197" s="2"/>
      <c r="D1197" s="2"/>
      <c r="E1197" s="2"/>
      <c r="F1197" s="2"/>
      <c r="G1197" s="2"/>
      <c r="H1197" s="2"/>
      <c r="I1197" s="5"/>
    </row>
    <row r="1198" spans="1:9" ht="17.399999999999999" x14ac:dyDescent="0.25">
      <c r="A1198" s="16"/>
      <c r="B1198" s="17"/>
      <c r="C1198" s="2"/>
      <c r="D1198" s="2"/>
      <c r="E1198" s="2"/>
      <c r="F1198" s="2"/>
      <c r="G1198" s="2"/>
      <c r="H1198" s="2"/>
      <c r="I1198" s="5"/>
    </row>
    <row r="1199" spans="1:9" ht="17.399999999999999" x14ac:dyDescent="0.25">
      <c r="A1199" s="16"/>
      <c r="B1199" s="17"/>
      <c r="C1199" s="2"/>
      <c r="D1199" s="2"/>
      <c r="E1199" s="2"/>
      <c r="F1199" s="2"/>
      <c r="G1199" s="2"/>
      <c r="H1199" s="2"/>
      <c r="I1199" s="5"/>
    </row>
    <row r="1200" spans="1:9" ht="17.399999999999999" x14ac:dyDescent="0.25">
      <c r="A1200" s="16"/>
      <c r="B1200" s="17"/>
      <c r="C1200" s="2"/>
      <c r="D1200" s="2"/>
      <c r="E1200" s="2"/>
      <c r="F1200" s="2"/>
      <c r="G1200" s="2"/>
      <c r="H1200" s="2"/>
      <c r="I1200" s="5"/>
    </row>
    <row r="1201" spans="1:9" ht="17.399999999999999" x14ac:dyDescent="0.25">
      <c r="A1201" s="16"/>
      <c r="B1201" s="17"/>
      <c r="C1201" s="2"/>
      <c r="D1201" s="2"/>
      <c r="E1201" s="2"/>
      <c r="F1201" s="2"/>
      <c r="G1201" s="2"/>
      <c r="H1201" s="2"/>
      <c r="I1201" s="5"/>
    </row>
    <row r="1202" spans="1:9" ht="17.399999999999999" x14ac:dyDescent="0.25">
      <c r="A1202" s="16"/>
      <c r="B1202" s="17"/>
      <c r="C1202" s="2"/>
      <c r="D1202" s="2"/>
      <c r="E1202" s="2"/>
      <c r="F1202" s="2"/>
      <c r="G1202" s="2"/>
      <c r="H1202" s="2"/>
      <c r="I1202" s="5"/>
    </row>
    <row r="1203" spans="1:9" ht="17.399999999999999" x14ac:dyDescent="0.25">
      <c r="A1203" s="16"/>
      <c r="B1203" s="17"/>
      <c r="C1203" s="2"/>
      <c r="D1203" s="2"/>
      <c r="E1203" s="2"/>
      <c r="F1203" s="2"/>
      <c r="G1203" s="2"/>
      <c r="H1203" s="2"/>
      <c r="I1203" s="5"/>
    </row>
    <row r="1204" spans="1:9" ht="17.399999999999999" x14ac:dyDescent="0.25">
      <c r="A1204" s="16"/>
      <c r="B1204" s="17"/>
      <c r="C1204" s="2"/>
      <c r="D1204" s="2"/>
      <c r="E1204" s="2"/>
      <c r="F1204" s="2"/>
      <c r="G1204" s="2"/>
      <c r="H1204" s="2"/>
      <c r="I1204" s="5"/>
    </row>
    <row r="1205" spans="1:9" ht="17.399999999999999" x14ac:dyDescent="0.25">
      <c r="A1205" s="16"/>
      <c r="B1205" s="17"/>
      <c r="C1205" s="2"/>
      <c r="D1205" s="2"/>
      <c r="E1205" s="2"/>
      <c r="F1205" s="2"/>
      <c r="G1205" s="2"/>
      <c r="H1205" s="2"/>
      <c r="I1205" s="5"/>
    </row>
    <row r="1206" spans="1:9" ht="17.399999999999999" x14ac:dyDescent="0.25">
      <c r="A1206" s="16"/>
      <c r="B1206" s="17"/>
      <c r="C1206" s="2"/>
      <c r="D1206" s="2"/>
      <c r="E1206" s="2"/>
      <c r="F1206" s="2"/>
      <c r="G1206" s="2"/>
      <c r="H1206" s="2"/>
      <c r="I1206" s="5"/>
    </row>
    <row r="1207" spans="1:9" ht="17.399999999999999" x14ac:dyDescent="0.25">
      <c r="A1207" s="16"/>
      <c r="B1207" s="17"/>
      <c r="C1207" s="2"/>
      <c r="D1207" s="2"/>
      <c r="E1207" s="2"/>
      <c r="F1207" s="2"/>
      <c r="G1207" s="2"/>
      <c r="H1207" s="2"/>
      <c r="I1207" s="5"/>
    </row>
    <row r="1208" spans="1:9" ht="17.399999999999999" x14ac:dyDescent="0.25">
      <c r="A1208" s="16"/>
      <c r="B1208" s="17"/>
      <c r="C1208" s="2"/>
      <c r="D1208" s="2"/>
      <c r="E1208" s="2"/>
      <c r="F1208" s="2"/>
      <c r="G1208" s="2"/>
      <c r="H1208" s="2"/>
      <c r="I1208" s="5"/>
    </row>
    <row r="1209" spans="1:9" ht="17.399999999999999" x14ac:dyDescent="0.25">
      <c r="A1209" s="16"/>
      <c r="B1209" s="17"/>
      <c r="C1209" s="2"/>
      <c r="D1209" s="2"/>
      <c r="E1209" s="2"/>
      <c r="F1209" s="2"/>
      <c r="G1209" s="2"/>
      <c r="H1209" s="2"/>
      <c r="I1209" s="5"/>
    </row>
    <row r="1210" spans="1:9" ht="17.399999999999999" x14ac:dyDescent="0.25">
      <c r="A1210" s="16"/>
      <c r="B1210" s="17"/>
      <c r="C1210" s="2"/>
      <c r="D1210" s="2"/>
      <c r="E1210" s="2"/>
      <c r="F1210" s="2"/>
      <c r="G1210" s="2"/>
      <c r="H1210" s="2"/>
      <c r="I1210" s="5"/>
    </row>
    <row r="1211" spans="1:9" ht="17.399999999999999" x14ac:dyDescent="0.25">
      <c r="A1211" s="16"/>
      <c r="B1211" s="17"/>
      <c r="C1211" s="2"/>
      <c r="D1211" s="2"/>
      <c r="E1211" s="2"/>
      <c r="F1211" s="2"/>
      <c r="G1211" s="2"/>
      <c r="H1211" s="2"/>
      <c r="I1211" s="5"/>
    </row>
    <row r="1212" spans="1:9" ht="17.399999999999999" x14ac:dyDescent="0.25">
      <c r="A1212" s="16"/>
      <c r="B1212" s="17"/>
      <c r="C1212" s="2"/>
      <c r="D1212" s="2"/>
      <c r="E1212" s="2"/>
      <c r="F1212" s="2"/>
      <c r="G1212" s="2"/>
      <c r="H1212" s="2"/>
      <c r="I1212" s="5"/>
    </row>
    <row r="1213" spans="1:9" ht="17.399999999999999" x14ac:dyDescent="0.25">
      <c r="A1213" s="16"/>
      <c r="B1213" s="17"/>
      <c r="C1213" s="2"/>
      <c r="D1213" s="2"/>
      <c r="E1213" s="2"/>
      <c r="F1213" s="2"/>
      <c r="G1213" s="2"/>
      <c r="H1213" s="2"/>
      <c r="I1213" s="5"/>
    </row>
    <row r="1214" spans="1:9" ht="17.399999999999999" x14ac:dyDescent="0.25">
      <c r="A1214" s="16"/>
      <c r="B1214" s="17"/>
      <c r="C1214" s="2"/>
      <c r="D1214" s="2"/>
      <c r="E1214" s="2"/>
      <c r="F1214" s="2"/>
      <c r="G1214" s="2"/>
      <c r="H1214" s="2"/>
      <c r="I1214" s="5"/>
    </row>
    <row r="1215" spans="1:9" ht="17.399999999999999" x14ac:dyDescent="0.25">
      <c r="A1215" s="16"/>
      <c r="B1215" s="17"/>
      <c r="C1215" s="2"/>
      <c r="D1215" s="2"/>
      <c r="E1215" s="2"/>
      <c r="F1215" s="2"/>
      <c r="G1215" s="2"/>
      <c r="H1215" s="2"/>
      <c r="I1215" s="5"/>
    </row>
    <row r="1216" spans="1:9" ht="17.399999999999999" x14ac:dyDescent="0.25">
      <c r="A1216" s="16"/>
      <c r="B1216" s="17"/>
      <c r="C1216" s="2"/>
      <c r="D1216" s="2"/>
      <c r="E1216" s="2"/>
      <c r="F1216" s="2"/>
      <c r="G1216" s="2"/>
      <c r="H1216" s="2"/>
      <c r="I1216" s="5"/>
    </row>
    <row r="1217" spans="1:9" ht="17.399999999999999" x14ac:dyDescent="0.25">
      <c r="A1217" s="16"/>
      <c r="B1217" s="17"/>
      <c r="C1217" s="2"/>
      <c r="D1217" s="2"/>
      <c r="E1217" s="2"/>
      <c r="F1217" s="2"/>
      <c r="G1217" s="2"/>
      <c r="H1217" s="2"/>
      <c r="I1217" s="5"/>
    </row>
    <row r="1218" spans="1:9" ht="17.399999999999999" x14ac:dyDescent="0.25">
      <c r="A1218" s="16"/>
      <c r="B1218" s="17"/>
      <c r="C1218" s="2"/>
      <c r="D1218" s="2"/>
      <c r="E1218" s="2"/>
      <c r="F1218" s="2"/>
      <c r="G1218" s="2"/>
      <c r="H1218" s="2"/>
      <c r="I1218" s="5"/>
    </row>
    <row r="1219" spans="1:9" ht="17.399999999999999" x14ac:dyDescent="0.25">
      <c r="A1219" s="16"/>
      <c r="B1219" s="17"/>
      <c r="C1219" s="2"/>
      <c r="D1219" s="2"/>
      <c r="E1219" s="2"/>
      <c r="F1219" s="2"/>
      <c r="G1219" s="2"/>
      <c r="H1219" s="2"/>
      <c r="I1219" s="5"/>
    </row>
    <row r="1220" spans="1:9" ht="17.399999999999999" x14ac:dyDescent="0.25">
      <c r="A1220" s="16"/>
      <c r="B1220" s="17"/>
      <c r="C1220" s="2"/>
      <c r="D1220" s="2"/>
      <c r="E1220" s="2"/>
      <c r="F1220" s="2"/>
      <c r="G1220" s="2"/>
      <c r="H1220" s="2"/>
      <c r="I1220" s="5"/>
    </row>
    <row r="1221" spans="1:9" ht="17.399999999999999" x14ac:dyDescent="0.25">
      <c r="A1221" s="16"/>
      <c r="B1221" s="17"/>
      <c r="C1221" s="2"/>
      <c r="D1221" s="2"/>
      <c r="E1221" s="2"/>
      <c r="F1221" s="2"/>
      <c r="G1221" s="2"/>
      <c r="H1221" s="2"/>
      <c r="I1221" s="5"/>
    </row>
    <row r="1222" spans="1:9" ht="17.399999999999999" x14ac:dyDescent="0.25">
      <c r="A1222" s="16"/>
      <c r="B1222" s="17"/>
      <c r="C1222" s="2"/>
      <c r="D1222" s="2"/>
      <c r="E1222" s="2"/>
      <c r="F1222" s="2"/>
      <c r="G1222" s="2"/>
      <c r="H1222" s="2"/>
      <c r="I1222" s="5"/>
    </row>
    <row r="1223" spans="1:9" ht="17.399999999999999" x14ac:dyDescent="0.25">
      <c r="A1223" s="16"/>
      <c r="B1223" s="17"/>
      <c r="C1223" s="2"/>
      <c r="D1223" s="2"/>
      <c r="E1223" s="2"/>
      <c r="F1223" s="2"/>
      <c r="G1223" s="2"/>
      <c r="H1223" s="2"/>
      <c r="I1223" s="5"/>
    </row>
    <row r="1224" spans="1:9" ht="17.399999999999999" x14ac:dyDescent="0.25">
      <c r="A1224" s="16"/>
      <c r="B1224" s="17"/>
      <c r="C1224" s="2"/>
      <c r="D1224" s="2"/>
      <c r="E1224" s="2"/>
      <c r="F1224" s="2"/>
      <c r="G1224" s="2"/>
      <c r="H1224" s="2"/>
      <c r="I1224" s="5"/>
    </row>
    <row r="1225" spans="1:9" ht="17.399999999999999" x14ac:dyDescent="0.25">
      <c r="A1225" s="16"/>
      <c r="B1225" s="17"/>
      <c r="C1225" s="2"/>
      <c r="D1225" s="2"/>
      <c r="E1225" s="2"/>
      <c r="F1225" s="2"/>
      <c r="G1225" s="2"/>
      <c r="H1225" s="2"/>
      <c r="I1225" s="5"/>
    </row>
    <row r="1226" spans="1:9" ht="17.399999999999999" x14ac:dyDescent="0.25">
      <c r="A1226" s="16"/>
      <c r="B1226" s="17"/>
      <c r="C1226" s="2"/>
      <c r="D1226" s="2"/>
      <c r="E1226" s="2"/>
      <c r="F1226" s="2"/>
      <c r="G1226" s="2"/>
      <c r="H1226" s="2"/>
      <c r="I1226" s="5"/>
    </row>
    <row r="1227" spans="1:9" ht="17.399999999999999" x14ac:dyDescent="0.25">
      <c r="A1227" s="16"/>
      <c r="B1227" s="17"/>
      <c r="C1227" s="2"/>
      <c r="D1227" s="2"/>
      <c r="E1227" s="2"/>
      <c r="F1227" s="2"/>
      <c r="G1227" s="2"/>
      <c r="H1227" s="2"/>
      <c r="I1227" s="5"/>
    </row>
    <row r="1228" spans="1:9" ht="17.399999999999999" x14ac:dyDescent="0.25">
      <c r="A1228" s="16"/>
      <c r="B1228" s="17"/>
      <c r="C1228" s="2"/>
      <c r="D1228" s="2"/>
      <c r="E1228" s="2"/>
      <c r="F1228" s="2"/>
      <c r="G1228" s="2"/>
      <c r="H1228" s="2"/>
      <c r="I1228" s="5"/>
    </row>
    <row r="1229" spans="1:9" ht="17.399999999999999" x14ac:dyDescent="0.25">
      <c r="A1229" s="16"/>
      <c r="B1229" s="17"/>
      <c r="C1229" s="2"/>
      <c r="D1229" s="2"/>
      <c r="E1229" s="2"/>
      <c r="F1229" s="2"/>
      <c r="G1229" s="2"/>
      <c r="H1229" s="2"/>
      <c r="I1229" s="5"/>
    </row>
    <row r="1230" spans="1:9" ht="17.399999999999999" x14ac:dyDescent="0.25">
      <c r="A1230" s="16"/>
      <c r="B1230" s="17"/>
      <c r="C1230" s="2"/>
      <c r="D1230" s="2"/>
      <c r="E1230" s="2"/>
      <c r="F1230" s="2"/>
      <c r="G1230" s="2"/>
      <c r="H1230" s="2"/>
      <c r="I1230" s="5"/>
    </row>
    <row r="1231" spans="1:9" ht="17.399999999999999" x14ac:dyDescent="0.25">
      <c r="A1231" s="16"/>
      <c r="B1231" s="17"/>
      <c r="C1231" s="2"/>
      <c r="D1231" s="2"/>
      <c r="E1231" s="2"/>
      <c r="F1231" s="2"/>
      <c r="G1231" s="2"/>
      <c r="H1231" s="2"/>
      <c r="I1231" s="5"/>
    </row>
    <row r="1232" spans="1:9" ht="17.399999999999999" x14ac:dyDescent="0.25">
      <c r="A1232" s="16"/>
      <c r="B1232" s="17"/>
      <c r="C1232" s="2"/>
      <c r="D1232" s="2"/>
      <c r="E1232" s="2"/>
      <c r="F1232" s="2"/>
      <c r="G1232" s="2"/>
      <c r="H1232" s="2"/>
      <c r="I1232" s="5"/>
    </row>
    <row r="1233" spans="1:9" ht="17.399999999999999" x14ac:dyDescent="0.25">
      <c r="A1233" s="16"/>
      <c r="B1233" s="17"/>
      <c r="C1233" s="2"/>
      <c r="D1233" s="2"/>
      <c r="E1233" s="2"/>
      <c r="F1233" s="2"/>
      <c r="G1233" s="2"/>
      <c r="H1233" s="2"/>
      <c r="I1233" s="5"/>
    </row>
    <row r="1234" spans="1:9" ht="17.399999999999999" x14ac:dyDescent="0.25">
      <c r="A1234" s="16"/>
      <c r="B1234" s="17"/>
      <c r="C1234" s="2"/>
      <c r="D1234" s="2"/>
      <c r="E1234" s="2"/>
      <c r="F1234" s="2"/>
      <c r="G1234" s="2"/>
      <c r="H1234" s="2"/>
      <c r="I1234" s="5"/>
    </row>
    <row r="1235" spans="1:9" ht="17.399999999999999" x14ac:dyDescent="0.25">
      <c r="A1235" s="16"/>
      <c r="B1235" s="17"/>
      <c r="C1235" s="2"/>
      <c r="D1235" s="2"/>
      <c r="E1235" s="2"/>
      <c r="F1235" s="2"/>
      <c r="G1235" s="2"/>
      <c r="H1235" s="2"/>
      <c r="I1235" s="5"/>
    </row>
    <row r="1236" spans="1:9" ht="17.399999999999999" x14ac:dyDescent="0.25">
      <c r="A1236" s="16"/>
      <c r="B1236" s="17"/>
      <c r="C1236" s="2"/>
      <c r="D1236" s="2"/>
      <c r="E1236" s="2"/>
      <c r="F1236" s="2"/>
      <c r="G1236" s="2"/>
      <c r="H1236" s="2"/>
      <c r="I1236" s="5"/>
    </row>
    <row r="1237" spans="1:9" ht="17.399999999999999" x14ac:dyDescent="0.25">
      <c r="A1237" s="16"/>
      <c r="B1237" s="17"/>
      <c r="C1237" s="2"/>
      <c r="D1237" s="2"/>
      <c r="E1237" s="2"/>
      <c r="F1237" s="2"/>
      <c r="G1237" s="2"/>
      <c r="H1237" s="2"/>
      <c r="I1237" s="5"/>
    </row>
    <row r="1238" spans="1:9" ht="17.399999999999999" x14ac:dyDescent="0.25">
      <c r="A1238" s="16"/>
      <c r="B1238" s="17"/>
      <c r="C1238" s="2"/>
      <c r="D1238" s="2"/>
      <c r="E1238" s="2"/>
      <c r="F1238" s="2"/>
      <c r="G1238" s="2"/>
      <c r="H1238" s="2"/>
      <c r="I1238" s="5"/>
    </row>
    <row r="1239" spans="1:9" ht="17.399999999999999" x14ac:dyDescent="0.25">
      <c r="A1239" s="16"/>
      <c r="B1239" s="17"/>
      <c r="C1239" s="2"/>
      <c r="D1239" s="2"/>
      <c r="E1239" s="2"/>
      <c r="F1239" s="2"/>
      <c r="G1239" s="2"/>
      <c r="H1239" s="2"/>
      <c r="I1239" s="5"/>
    </row>
    <row r="1240" spans="1:9" ht="17.399999999999999" x14ac:dyDescent="0.25">
      <c r="A1240" s="16"/>
      <c r="B1240" s="17"/>
      <c r="C1240" s="2"/>
      <c r="D1240" s="2"/>
      <c r="E1240" s="2"/>
      <c r="F1240" s="2"/>
      <c r="G1240" s="2"/>
      <c r="H1240" s="2"/>
      <c r="I1240" s="5"/>
    </row>
    <row r="1241" spans="1:9" ht="17.399999999999999" x14ac:dyDescent="0.25">
      <c r="A1241" s="16"/>
      <c r="B1241" s="17"/>
      <c r="C1241" s="2"/>
      <c r="D1241" s="2"/>
      <c r="E1241" s="2"/>
      <c r="F1241" s="2"/>
      <c r="G1241" s="2"/>
      <c r="H1241" s="2"/>
      <c r="I1241" s="5"/>
    </row>
    <row r="1242" spans="1:9" ht="17.399999999999999" x14ac:dyDescent="0.25">
      <c r="A1242" s="16"/>
      <c r="B1242" s="17"/>
      <c r="C1242" s="2"/>
      <c r="D1242" s="2"/>
      <c r="E1242" s="2"/>
      <c r="F1242" s="2"/>
      <c r="G1242" s="2"/>
      <c r="H1242" s="2"/>
      <c r="I1242" s="5"/>
    </row>
    <row r="1243" spans="1:9" ht="17.399999999999999" x14ac:dyDescent="0.25">
      <c r="A1243" s="16"/>
      <c r="B1243" s="17"/>
      <c r="C1243" s="2"/>
      <c r="D1243" s="2"/>
      <c r="E1243" s="2"/>
      <c r="F1243" s="2"/>
      <c r="G1243" s="2"/>
      <c r="H1243" s="2"/>
      <c r="I1243" s="5"/>
    </row>
    <row r="1244" spans="1:9" ht="17.399999999999999" x14ac:dyDescent="0.25">
      <c r="A1244" s="16"/>
      <c r="B1244" s="17"/>
      <c r="C1244" s="2"/>
      <c r="D1244" s="2"/>
      <c r="E1244" s="2"/>
      <c r="F1244" s="2"/>
      <c r="G1244" s="2"/>
      <c r="H1244" s="2"/>
      <c r="I1244" s="5"/>
    </row>
    <row r="1245" spans="1:9" ht="17.399999999999999" x14ac:dyDescent="0.25">
      <c r="A1245" s="16"/>
      <c r="B1245" s="17"/>
      <c r="C1245" s="2"/>
      <c r="D1245" s="2"/>
      <c r="E1245" s="2"/>
      <c r="F1245" s="2"/>
      <c r="G1245" s="2"/>
      <c r="H1245" s="2"/>
      <c r="I1245" s="5"/>
    </row>
    <row r="1246" spans="1:9" ht="17.399999999999999" x14ac:dyDescent="0.25">
      <c r="A1246" s="16"/>
      <c r="B1246" s="17"/>
      <c r="C1246" s="2"/>
      <c r="D1246" s="2"/>
      <c r="E1246" s="2"/>
      <c r="F1246" s="2"/>
      <c r="G1246" s="2"/>
      <c r="H1246" s="2"/>
      <c r="I1246" s="5"/>
    </row>
    <row r="1247" spans="1:9" ht="17.399999999999999" x14ac:dyDescent="0.25">
      <c r="A1247" s="16"/>
      <c r="B1247" s="17"/>
      <c r="C1247" s="2"/>
      <c r="D1247" s="2"/>
      <c r="E1247" s="2"/>
      <c r="F1247" s="2"/>
      <c r="G1247" s="2"/>
      <c r="H1247" s="2"/>
      <c r="I1247" s="5"/>
    </row>
    <row r="1248" spans="1:9" ht="17.399999999999999" x14ac:dyDescent="0.25">
      <c r="A1248" s="16"/>
      <c r="B1248" s="17"/>
      <c r="C1248" s="2"/>
      <c r="D1248" s="2"/>
      <c r="E1248" s="2"/>
      <c r="F1248" s="2"/>
      <c r="G1248" s="2"/>
      <c r="H1248" s="2"/>
      <c r="I1248" s="5"/>
    </row>
    <row r="1249" spans="1:9" ht="17.399999999999999" x14ac:dyDescent="0.25">
      <c r="A1249" s="16"/>
      <c r="B1249" s="17"/>
      <c r="C1249" s="2"/>
      <c r="D1249" s="2"/>
      <c r="E1249" s="2"/>
      <c r="F1249" s="2"/>
      <c r="G1249" s="2"/>
      <c r="H1249" s="2"/>
      <c r="I1249" s="5"/>
    </row>
    <row r="1250" spans="1:9" ht="17.399999999999999" x14ac:dyDescent="0.25">
      <c r="A1250" s="16"/>
      <c r="B1250" s="17"/>
      <c r="C1250" s="2"/>
      <c r="D1250" s="2"/>
      <c r="E1250" s="2"/>
      <c r="F1250" s="2"/>
      <c r="G1250" s="2"/>
      <c r="H1250" s="2"/>
      <c r="I1250" s="5"/>
    </row>
    <row r="1251" spans="1:9" ht="17.399999999999999" x14ac:dyDescent="0.25">
      <c r="A1251" s="16"/>
      <c r="B1251" s="17"/>
      <c r="C1251" s="2"/>
      <c r="D1251" s="2"/>
      <c r="E1251" s="2"/>
      <c r="F1251" s="2"/>
      <c r="G1251" s="2"/>
      <c r="H1251" s="2"/>
      <c r="I1251" s="5"/>
    </row>
    <row r="1252" spans="1:9" ht="17.399999999999999" x14ac:dyDescent="0.25">
      <c r="A1252" s="16"/>
      <c r="B1252" s="17"/>
      <c r="C1252" s="2"/>
      <c r="D1252" s="2"/>
      <c r="E1252" s="2"/>
      <c r="F1252" s="2"/>
      <c r="G1252" s="2"/>
      <c r="H1252" s="2"/>
      <c r="I1252" s="5"/>
    </row>
    <row r="1253" spans="1:9" ht="17.399999999999999" x14ac:dyDescent="0.25">
      <c r="A1253" s="16"/>
      <c r="B1253" s="17"/>
      <c r="C1253" s="2"/>
      <c r="D1253" s="2"/>
      <c r="E1253" s="2"/>
      <c r="F1253" s="2"/>
      <c r="G1253" s="2"/>
      <c r="H1253" s="2"/>
      <c r="I1253" s="5"/>
    </row>
    <row r="1254" spans="1:9" ht="17.399999999999999" x14ac:dyDescent="0.25">
      <c r="A1254" s="16"/>
      <c r="B1254" s="17"/>
      <c r="C1254" s="2"/>
      <c r="D1254" s="2"/>
      <c r="E1254" s="2"/>
      <c r="F1254" s="2"/>
      <c r="G1254" s="2"/>
      <c r="H1254" s="2"/>
      <c r="I1254" s="5"/>
    </row>
    <row r="1255" spans="1:9" ht="17.399999999999999" x14ac:dyDescent="0.25">
      <c r="A1255" s="16"/>
      <c r="B1255" s="17"/>
      <c r="C1255" s="2"/>
      <c r="D1255" s="2"/>
      <c r="E1255" s="2"/>
      <c r="F1255" s="2"/>
      <c r="G1255" s="2"/>
      <c r="H1255" s="2"/>
      <c r="I1255" s="5"/>
    </row>
    <row r="1256" spans="1:9" ht="17.399999999999999" x14ac:dyDescent="0.25">
      <c r="A1256" s="16"/>
      <c r="B1256" s="17"/>
      <c r="C1256" s="2"/>
      <c r="D1256" s="2"/>
      <c r="E1256" s="2"/>
      <c r="F1256" s="2"/>
      <c r="G1256" s="2"/>
      <c r="H1256" s="2"/>
      <c r="I1256" s="5"/>
    </row>
    <row r="1257" spans="1:9" ht="17.399999999999999" x14ac:dyDescent="0.25">
      <c r="A1257" s="16"/>
      <c r="B1257" s="17"/>
      <c r="C1257" s="2"/>
      <c r="D1257" s="2"/>
      <c r="E1257" s="2"/>
      <c r="F1257" s="2"/>
      <c r="G1257" s="2"/>
      <c r="H1257" s="2"/>
      <c r="I1257" s="5"/>
    </row>
    <row r="1258" spans="1:9" ht="17.399999999999999" x14ac:dyDescent="0.25">
      <c r="A1258" s="16"/>
      <c r="B1258" s="17"/>
      <c r="C1258" s="2"/>
      <c r="D1258" s="2"/>
      <c r="E1258" s="2"/>
      <c r="F1258" s="2"/>
      <c r="G1258" s="2"/>
      <c r="H1258" s="2"/>
      <c r="I1258" s="5"/>
    </row>
    <row r="1259" spans="1:9" ht="17.399999999999999" x14ac:dyDescent="0.25">
      <c r="A1259" s="16"/>
      <c r="B1259" s="17"/>
      <c r="C1259" s="2"/>
      <c r="D1259" s="2"/>
      <c r="E1259" s="2"/>
      <c r="F1259" s="2"/>
      <c r="G1259" s="2"/>
      <c r="H1259" s="2"/>
      <c r="I1259" s="5"/>
    </row>
    <row r="1260" spans="1:9" ht="17.399999999999999" x14ac:dyDescent="0.25">
      <c r="A1260" s="16"/>
      <c r="B1260" s="17"/>
      <c r="C1260" s="2"/>
      <c r="D1260" s="2"/>
      <c r="E1260" s="2"/>
      <c r="F1260" s="2"/>
      <c r="G1260" s="2"/>
      <c r="H1260" s="2"/>
      <c r="I1260" s="5"/>
    </row>
    <row r="1261" spans="1:9" ht="17.399999999999999" x14ac:dyDescent="0.25">
      <c r="A1261" s="16"/>
      <c r="B1261" s="17"/>
      <c r="C1261" s="2"/>
      <c r="D1261" s="2"/>
      <c r="E1261" s="2"/>
      <c r="F1261" s="2"/>
      <c r="G1261" s="2"/>
      <c r="H1261" s="2"/>
      <c r="I1261" s="5"/>
    </row>
    <row r="1262" spans="1:9" ht="17.399999999999999" x14ac:dyDescent="0.25">
      <c r="A1262" s="16"/>
      <c r="B1262" s="17"/>
      <c r="C1262" s="2"/>
      <c r="D1262" s="2"/>
      <c r="E1262" s="2"/>
      <c r="F1262" s="2"/>
      <c r="G1262" s="2"/>
      <c r="H1262" s="2"/>
      <c r="I1262" s="5"/>
    </row>
    <row r="1263" spans="1:9" ht="17.399999999999999" x14ac:dyDescent="0.25">
      <c r="A1263" s="16"/>
      <c r="B1263" s="17"/>
      <c r="C1263" s="2"/>
      <c r="D1263" s="2"/>
      <c r="E1263" s="2"/>
      <c r="F1263" s="2"/>
      <c r="G1263" s="2"/>
      <c r="H1263" s="2"/>
      <c r="I1263" s="5"/>
    </row>
    <row r="1264" spans="1:9" ht="17.399999999999999" x14ac:dyDescent="0.25">
      <c r="A1264" s="16"/>
      <c r="B1264" s="17"/>
      <c r="C1264" s="2"/>
      <c r="D1264" s="2"/>
      <c r="E1264" s="2"/>
      <c r="F1264" s="2"/>
      <c r="G1264" s="2"/>
      <c r="H1264" s="2"/>
      <c r="I1264" s="5"/>
    </row>
    <row r="1265" spans="1:9" ht="17.399999999999999" x14ac:dyDescent="0.25">
      <c r="A1265" s="16"/>
      <c r="B1265" s="17"/>
      <c r="C1265" s="2"/>
      <c r="D1265" s="2"/>
      <c r="E1265" s="2"/>
      <c r="F1265" s="2"/>
      <c r="G1265" s="2"/>
      <c r="H1265" s="2"/>
      <c r="I1265" s="5"/>
    </row>
    <row r="1266" spans="1:9" ht="17.399999999999999" x14ac:dyDescent="0.25">
      <c r="A1266" s="16"/>
      <c r="B1266" s="17"/>
      <c r="C1266" s="2"/>
      <c r="D1266" s="2"/>
      <c r="E1266" s="2"/>
      <c r="F1266" s="2"/>
      <c r="G1266" s="2"/>
      <c r="H1266" s="2"/>
      <c r="I1266" s="5"/>
    </row>
    <row r="1267" spans="1:9" ht="17.399999999999999" x14ac:dyDescent="0.25">
      <c r="A1267" s="16"/>
      <c r="B1267" s="17"/>
      <c r="C1267" s="2"/>
      <c r="D1267" s="2"/>
      <c r="E1267" s="2"/>
      <c r="F1267" s="2"/>
      <c r="G1267" s="2"/>
      <c r="H1267" s="2"/>
      <c r="I1267" s="5"/>
    </row>
    <row r="1268" spans="1:9" ht="17.399999999999999" x14ac:dyDescent="0.25">
      <c r="A1268" s="16"/>
      <c r="B1268" s="17"/>
      <c r="C1268" s="2"/>
      <c r="D1268" s="2"/>
      <c r="E1268" s="2"/>
      <c r="F1268" s="2"/>
      <c r="G1268" s="2"/>
      <c r="H1268" s="2"/>
      <c r="I1268" s="5"/>
    </row>
    <row r="1269" spans="1:9" ht="17.399999999999999" x14ac:dyDescent="0.25">
      <c r="A1269" s="16"/>
      <c r="B1269" s="17"/>
      <c r="C1269" s="2"/>
      <c r="D1269" s="2"/>
      <c r="E1269" s="2"/>
      <c r="F1269" s="2"/>
      <c r="G1269" s="2"/>
      <c r="H1269" s="2"/>
      <c r="I1269" s="5"/>
    </row>
    <row r="1270" spans="1:9" ht="17.399999999999999" x14ac:dyDescent="0.25">
      <c r="A1270" s="16"/>
      <c r="B1270" s="17"/>
      <c r="C1270" s="2"/>
      <c r="D1270" s="2"/>
      <c r="E1270" s="2"/>
      <c r="F1270" s="2"/>
      <c r="G1270" s="2"/>
      <c r="H1270" s="2"/>
      <c r="I1270" s="5"/>
    </row>
    <row r="1271" spans="1:9" ht="17.399999999999999" x14ac:dyDescent="0.25">
      <c r="A1271" s="16"/>
      <c r="B1271" s="17"/>
      <c r="C1271" s="2"/>
      <c r="D1271" s="2"/>
      <c r="E1271" s="2"/>
      <c r="F1271" s="2"/>
      <c r="G1271" s="2"/>
      <c r="H1271" s="2"/>
      <c r="I1271" s="5"/>
    </row>
    <row r="1272" spans="1:9" ht="17.399999999999999" x14ac:dyDescent="0.25">
      <c r="A1272" s="16"/>
      <c r="B1272" s="17"/>
      <c r="C1272" s="2"/>
      <c r="D1272" s="2"/>
      <c r="E1272" s="2"/>
      <c r="F1272" s="2"/>
      <c r="G1272" s="2"/>
      <c r="H1272" s="2"/>
      <c r="I1272" s="5"/>
    </row>
    <row r="1273" spans="1:9" ht="17.399999999999999" x14ac:dyDescent="0.25">
      <c r="A1273" s="16"/>
      <c r="B1273" s="17"/>
      <c r="C1273" s="2"/>
      <c r="D1273" s="2"/>
      <c r="E1273" s="2"/>
      <c r="F1273" s="2"/>
      <c r="G1273" s="2"/>
      <c r="H1273" s="2"/>
      <c r="I1273" s="5"/>
    </row>
    <row r="1274" spans="1:9" ht="17.399999999999999" x14ac:dyDescent="0.25">
      <c r="A1274" s="16"/>
      <c r="B1274" s="17"/>
      <c r="C1274" s="2"/>
      <c r="D1274" s="2"/>
      <c r="E1274" s="2"/>
      <c r="F1274" s="2"/>
      <c r="G1274" s="2"/>
      <c r="H1274" s="2"/>
      <c r="I1274" s="5"/>
    </row>
    <row r="1275" spans="1:9" ht="17.399999999999999" x14ac:dyDescent="0.25">
      <c r="A1275" s="16"/>
      <c r="B1275" s="17"/>
      <c r="C1275" s="2"/>
      <c r="D1275" s="2"/>
      <c r="E1275" s="2"/>
      <c r="F1275" s="2"/>
      <c r="G1275" s="2"/>
      <c r="H1275" s="2"/>
      <c r="I1275" s="5"/>
    </row>
    <row r="1276" spans="1:9" ht="17.399999999999999" x14ac:dyDescent="0.25">
      <c r="A1276" s="16"/>
      <c r="B1276" s="17"/>
      <c r="C1276" s="2"/>
      <c r="D1276" s="2"/>
      <c r="E1276" s="2"/>
      <c r="F1276" s="2"/>
      <c r="G1276" s="2"/>
      <c r="H1276" s="2"/>
      <c r="I1276" s="5"/>
    </row>
    <row r="1277" spans="1:9" ht="17.399999999999999" x14ac:dyDescent="0.25">
      <c r="A1277" s="16"/>
      <c r="B1277" s="17"/>
      <c r="C1277" s="2"/>
      <c r="D1277" s="2"/>
      <c r="E1277" s="2"/>
      <c r="F1277" s="2"/>
      <c r="G1277" s="2"/>
      <c r="H1277" s="2"/>
      <c r="I1277" s="5"/>
    </row>
    <row r="1278" spans="1:9" ht="17.399999999999999" x14ac:dyDescent="0.25">
      <c r="A1278" s="16"/>
      <c r="B1278" s="17"/>
      <c r="C1278" s="2"/>
      <c r="D1278" s="2"/>
      <c r="E1278" s="2"/>
      <c r="F1278" s="2"/>
      <c r="G1278" s="2"/>
      <c r="H1278" s="2"/>
      <c r="I1278" s="5"/>
    </row>
    <row r="1279" spans="1:9" ht="17.399999999999999" x14ac:dyDescent="0.25">
      <c r="A1279" s="16"/>
      <c r="B1279" s="17"/>
      <c r="C1279" s="2"/>
      <c r="D1279" s="2"/>
      <c r="E1279" s="2"/>
      <c r="F1279" s="2"/>
      <c r="G1279" s="2"/>
      <c r="H1279" s="2"/>
      <c r="I1279" s="5"/>
    </row>
    <row r="1280" spans="1:9" ht="17.399999999999999" x14ac:dyDescent="0.25">
      <c r="A1280" s="16"/>
      <c r="B1280" s="17"/>
      <c r="C1280" s="2"/>
      <c r="D1280" s="2"/>
      <c r="E1280" s="2"/>
      <c r="F1280" s="2"/>
      <c r="G1280" s="2"/>
      <c r="H1280" s="2"/>
      <c r="I1280" s="5"/>
    </row>
    <row r="1281" spans="1:9" ht="17.399999999999999" x14ac:dyDescent="0.25">
      <c r="A1281" s="16"/>
      <c r="B1281" s="17"/>
      <c r="C1281" s="2"/>
      <c r="D1281" s="2"/>
      <c r="E1281" s="2"/>
      <c r="F1281" s="2"/>
      <c r="G1281" s="2"/>
      <c r="H1281" s="2"/>
      <c r="I1281" s="5"/>
    </row>
    <row r="1282" spans="1:9" ht="17.399999999999999" x14ac:dyDescent="0.25">
      <c r="A1282" s="16"/>
      <c r="B1282" s="17"/>
      <c r="C1282" s="2"/>
      <c r="D1282" s="2"/>
      <c r="E1282" s="2"/>
      <c r="F1282" s="2"/>
      <c r="G1282" s="2"/>
      <c r="H1282" s="2"/>
      <c r="I1282" s="5"/>
    </row>
    <row r="1283" spans="1:9" ht="17.399999999999999" x14ac:dyDescent="0.25">
      <c r="A1283" s="16"/>
      <c r="B1283" s="17"/>
      <c r="C1283" s="2"/>
      <c r="D1283" s="2"/>
      <c r="E1283" s="2"/>
      <c r="F1283" s="2"/>
      <c r="G1283" s="2"/>
      <c r="H1283" s="2"/>
      <c r="I1283" s="5"/>
    </row>
    <row r="1284" spans="1:9" ht="17.399999999999999" x14ac:dyDescent="0.25">
      <c r="A1284" s="16"/>
      <c r="B1284" s="17"/>
      <c r="C1284" s="2"/>
      <c r="D1284" s="2"/>
      <c r="E1284" s="2"/>
      <c r="F1284" s="2"/>
      <c r="G1284" s="2"/>
      <c r="H1284" s="2"/>
      <c r="I1284" s="5"/>
    </row>
    <row r="1285" spans="1:9" ht="17.399999999999999" x14ac:dyDescent="0.25">
      <c r="A1285" s="16"/>
      <c r="B1285" s="17"/>
      <c r="C1285" s="2"/>
      <c r="D1285" s="2"/>
      <c r="E1285" s="2"/>
      <c r="F1285" s="2"/>
      <c r="G1285" s="2"/>
      <c r="H1285" s="2"/>
      <c r="I1285" s="5"/>
    </row>
    <row r="1286" spans="1:9" ht="17.399999999999999" x14ac:dyDescent="0.25">
      <c r="A1286" s="16"/>
      <c r="B1286" s="17"/>
      <c r="C1286" s="2"/>
      <c r="D1286" s="2"/>
      <c r="E1286" s="2"/>
      <c r="F1286" s="2"/>
      <c r="G1286" s="2"/>
      <c r="H1286" s="2"/>
      <c r="I1286" s="5"/>
    </row>
    <row r="1287" spans="1:9" ht="17.399999999999999" x14ac:dyDescent="0.25">
      <c r="A1287" s="16"/>
      <c r="B1287" s="17"/>
      <c r="C1287" s="2"/>
      <c r="D1287" s="2"/>
      <c r="E1287" s="2"/>
      <c r="F1287" s="2"/>
      <c r="G1287" s="2"/>
      <c r="H1287" s="2"/>
      <c r="I1287" s="5"/>
    </row>
    <row r="1288" spans="1:9" ht="17.399999999999999" x14ac:dyDescent="0.25">
      <c r="A1288" s="16"/>
      <c r="B1288" s="17"/>
      <c r="C1288" s="2"/>
      <c r="D1288" s="2"/>
      <c r="E1288" s="2"/>
      <c r="F1288" s="2"/>
      <c r="G1288" s="2"/>
      <c r="H1288" s="2"/>
      <c r="I1288" s="5"/>
    </row>
    <row r="1289" spans="1:9" ht="17.399999999999999" x14ac:dyDescent="0.25">
      <c r="A1289" s="16"/>
      <c r="B1289" s="17"/>
      <c r="C1289" s="2"/>
      <c r="D1289" s="2"/>
      <c r="E1289" s="2"/>
      <c r="F1289" s="2"/>
      <c r="G1289" s="2"/>
      <c r="H1289" s="2"/>
      <c r="I1289" s="5"/>
    </row>
    <row r="1290" spans="1:9" ht="17.399999999999999" x14ac:dyDescent="0.25">
      <c r="A1290" s="16"/>
      <c r="B1290" s="17"/>
      <c r="C1290" s="2"/>
      <c r="D1290" s="2"/>
      <c r="E1290" s="2"/>
      <c r="F1290" s="2"/>
      <c r="G1290" s="2"/>
      <c r="H1290" s="2"/>
      <c r="I1290" s="5"/>
    </row>
    <row r="1291" spans="1:9" ht="17.399999999999999" x14ac:dyDescent="0.25">
      <c r="A1291" s="16"/>
      <c r="B1291" s="17"/>
      <c r="C1291" s="2"/>
      <c r="D1291" s="2"/>
      <c r="E1291" s="2"/>
      <c r="F1291" s="2"/>
      <c r="G1291" s="2"/>
      <c r="H1291" s="2"/>
      <c r="I1291" s="5"/>
    </row>
    <row r="1292" spans="1:9" ht="17.399999999999999" x14ac:dyDescent="0.25">
      <c r="A1292" s="16"/>
      <c r="B1292" s="17"/>
      <c r="C1292" s="2"/>
      <c r="D1292" s="2"/>
      <c r="E1292" s="2"/>
      <c r="F1292" s="2"/>
      <c r="G1292" s="2"/>
      <c r="H1292" s="2"/>
      <c r="I1292" s="5"/>
    </row>
    <row r="1293" spans="1:9" ht="17.399999999999999" x14ac:dyDescent="0.25">
      <c r="A1293" s="16"/>
      <c r="B1293" s="17"/>
      <c r="C1293" s="2"/>
      <c r="D1293" s="2"/>
      <c r="E1293" s="2"/>
      <c r="F1293" s="2"/>
      <c r="G1293" s="2"/>
      <c r="H1293" s="2"/>
      <c r="I1293" s="5"/>
    </row>
    <row r="1294" spans="1:9" ht="17.399999999999999" x14ac:dyDescent="0.25">
      <c r="A1294" s="16"/>
      <c r="B1294" s="17"/>
      <c r="C1294" s="2"/>
      <c r="D1294" s="2"/>
      <c r="E1294" s="2"/>
      <c r="F1294" s="2"/>
      <c r="G1294" s="2"/>
      <c r="H1294" s="2"/>
      <c r="I1294" s="5"/>
    </row>
    <row r="1295" spans="1:9" ht="17.399999999999999" x14ac:dyDescent="0.25">
      <c r="A1295" s="16"/>
      <c r="B1295" s="17"/>
      <c r="C1295" s="2"/>
      <c r="D1295" s="2"/>
      <c r="E1295" s="2"/>
      <c r="F1295" s="2"/>
      <c r="G1295" s="2"/>
      <c r="H1295" s="2"/>
      <c r="I1295" s="5"/>
    </row>
    <row r="1296" spans="1:9" ht="17.399999999999999" x14ac:dyDescent="0.25">
      <c r="A1296" s="16"/>
      <c r="B1296" s="17"/>
      <c r="C1296" s="2"/>
      <c r="D1296" s="2"/>
      <c r="E1296" s="2"/>
      <c r="F1296" s="2"/>
      <c r="G1296" s="2"/>
      <c r="H1296" s="2"/>
      <c r="I1296" s="5"/>
    </row>
    <row r="1297" spans="1:9" ht="17.399999999999999" x14ac:dyDescent="0.25">
      <c r="A1297" s="16"/>
      <c r="B1297" s="17"/>
      <c r="C1297" s="2"/>
      <c r="D1297" s="2"/>
      <c r="E1297" s="2"/>
      <c r="F1297" s="2"/>
      <c r="G1297" s="2"/>
      <c r="H1297" s="2"/>
      <c r="I1297" s="5"/>
    </row>
    <row r="1298" spans="1:9" ht="17.399999999999999" x14ac:dyDescent="0.25">
      <c r="A1298" s="16"/>
      <c r="B1298" s="17"/>
      <c r="C1298" s="2"/>
      <c r="D1298" s="2"/>
      <c r="E1298" s="2"/>
      <c r="F1298" s="2"/>
      <c r="G1298" s="2"/>
      <c r="H1298" s="2"/>
      <c r="I1298" s="5"/>
    </row>
    <row r="1299" spans="1:9" ht="17.399999999999999" x14ac:dyDescent="0.25">
      <c r="A1299" s="16"/>
      <c r="B1299" s="17"/>
      <c r="C1299" s="2"/>
      <c r="D1299" s="2"/>
      <c r="E1299" s="2"/>
      <c r="F1299" s="2"/>
      <c r="G1299" s="2"/>
      <c r="H1299" s="2"/>
      <c r="I1299" s="5"/>
    </row>
    <row r="1300" spans="1:9" ht="17.399999999999999" x14ac:dyDescent="0.25">
      <c r="A1300" s="16"/>
      <c r="B1300" s="17"/>
      <c r="C1300" s="2"/>
      <c r="D1300" s="2"/>
      <c r="E1300" s="2"/>
      <c r="F1300" s="2"/>
      <c r="G1300" s="2"/>
      <c r="H1300" s="2"/>
      <c r="I1300" s="5"/>
    </row>
    <row r="1301" spans="1:9" ht="17.399999999999999" x14ac:dyDescent="0.25">
      <c r="A1301" s="16"/>
      <c r="B1301" s="17"/>
      <c r="C1301" s="2"/>
      <c r="D1301" s="2"/>
      <c r="E1301" s="2"/>
      <c r="F1301" s="2"/>
      <c r="G1301" s="2"/>
      <c r="H1301" s="2"/>
      <c r="I1301" s="5"/>
    </row>
    <row r="1302" spans="1:9" ht="17.399999999999999" x14ac:dyDescent="0.25">
      <c r="A1302" s="16"/>
      <c r="B1302" s="17"/>
      <c r="C1302" s="2"/>
      <c r="D1302" s="2"/>
      <c r="E1302" s="2"/>
      <c r="F1302" s="2"/>
      <c r="G1302" s="2"/>
      <c r="H1302" s="2"/>
      <c r="I1302" s="5"/>
    </row>
    <row r="1303" spans="1:9" ht="17.399999999999999" x14ac:dyDescent="0.25">
      <c r="A1303" s="16"/>
      <c r="B1303" s="17"/>
      <c r="C1303" s="2"/>
      <c r="D1303" s="2"/>
      <c r="E1303" s="2"/>
      <c r="F1303" s="2"/>
      <c r="G1303" s="2"/>
      <c r="H1303" s="2"/>
      <c r="I1303" s="5"/>
    </row>
    <row r="1304" spans="1:9" ht="17.399999999999999" x14ac:dyDescent="0.25">
      <c r="A1304" s="16"/>
      <c r="B1304" s="17"/>
      <c r="C1304" s="2"/>
      <c r="D1304" s="2"/>
      <c r="E1304" s="2"/>
      <c r="F1304" s="2"/>
      <c r="G1304" s="2"/>
      <c r="H1304" s="2"/>
      <c r="I1304" s="5"/>
    </row>
    <row r="1305" spans="1:9" ht="17.399999999999999" x14ac:dyDescent="0.25">
      <c r="A1305" s="16"/>
      <c r="B1305" s="17"/>
      <c r="C1305" s="2"/>
      <c r="D1305" s="2"/>
      <c r="E1305" s="2"/>
      <c r="F1305" s="2"/>
      <c r="G1305" s="2"/>
      <c r="H1305" s="2"/>
      <c r="I1305" s="5"/>
    </row>
    <row r="1306" spans="1:9" ht="17.399999999999999" x14ac:dyDescent="0.25">
      <c r="A1306" s="16"/>
      <c r="B1306" s="17"/>
      <c r="C1306" s="2"/>
      <c r="D1306" s="2"/>
      <c r="E1306" s="2"/>
      <c r="F1306" s="2"/>
      <c r="G1306" s="2"/>
      <c r="H1306" s="2"/>
      <c r="I1306" s="5"/>
    </row>
    <row r="1307" spans="1:9" ht="17.399999999999999" x14ac:dyDescent="0.25">
      <c r="A1307" s="16"/>
      <c r="B1307" s="17"/>
      <c r="C1307" s="2"/>
      <c r="D1307" s="2"/>
      <c r="E1307" s="2"/>
      <c r="F1307" s="2"/>
      <c r="G1307" s="2"/>
      <c r="H1307" s="2"/>
      <c r="I1307" s="5"/>
    </row>
    <row r="1308" spans="1:9" ht="17.399999999999999" x14ac:dyDescent="0.25">
      <c r="A1308" s="16"/>
      <c r="B1308" s="17"/>
      <c r="C1308" s="2"/>
      <c r="D1308" s="2"/>
      <c r="E1308" s="2"/>
      <c r="F1308" s="2"/>
      <c r="G1308" s="2"/>
      <c r="H1308" s="2"/>
      <c r="I1308" s="5"/>
    </row>
    <row r="1309" spans="1:9" ht="17.399999999999999" x14ac:dyDescent="0.25">
      <c r="A1309" s="16"/>
      <c r="B1309" s="17"/>
      <c r="C1309" s="2"/>
      <c r="D1309" s="2"/>
      <c r="E1309" s="2"/>
      <c r="F1309" s="2"/>
      <c r="G1309" s="2"/>
      <c r="H1309" s="2"/>
      <c r="I1309" s="5"/>
    </row>
    <row r="1310" spans="1:9" ht="17.399999999999999" x14ac:dyDescent="0.25">
      <c r="A1310" s="16"/>
      <c r="B1310" s="17"/>
      <c r="C1310" s="2"/>
      <c r="D1310" s="2"/>
      <c r="E1310" s="2"/>
      <c r="F1310" s="2"/>
      <c r="G1310" s="2"/>
      <c r="H1310" s="2"/>
      <c r="I1310" s="5"/>
    </row>
    <row r="1311" spans="1:9" ht="17.399999999999999" x14ac:dyDescent="0.25">
      <c r="A1311" s="16"/>
      <c r="B1311" s="17"/>
      <c r="C1311" s="2"/>
      <c r="D1311" s="2"/>
      <c r="E1311" s="2"/>
      <c r="F1311" s="2"/>
      <c r="G1311" s="2"/>
      <c r="H1311" s="2"/>
      <c r="I1311" s="5"/>
    </row>
    <row r="1312" spans="1:9" ht="17.399999999999999" x14ac:dyDescent="0.25">
      <c r="A1312" s="16"/>
      <c r="B1312" s="17"/>
      <c r="C1312" s="2"/>
      <c r="D1312" s="2"/>
      <c r="E1312" s="2"/>
      <c r="F1312" s="2"/>
      <c r="G1312" s="2"/>
      <c r="H1312" s="2"/>
      <c r="I1312" s="5"/>
    </row>
    <row r="1313" spans="1:9" ht="17.399999999999999" x14ac:dyDescent="0.25">
      <c r="A1313" s="16"/>
      <c r="B1313" s="17"/>
      <c r="C1313" s="2"/>
      <c r="D1313" s="2"/>
      <c r="E1313" s="2"/>
      <c r="F1313" s="2"/>
      <c r="G1313" s="2"/>
      <c r="H1313" s="2"/>
      <c r="I1313" s="5"/>
    </row>
    <row r="1314" spans="1:9" ht="17.399999999999999" x14ac:dyDescent="0.25">
      <c r="A1314" s="16"/>
      <c r="B1314" s="17"/>
      <c r="C1314" s="2"/>
      <c r="D1314" s="2"/>
      <c r="E1314" s="2"/>
      <c r="F1314" s="2"/>
      <c r="G1314" s="2"/>
      <c r="H1314" s="2"/>
      <c r="I1314" s="5"/>
    </row>
    <row r="1315" spans="1:9" ht="17.399999999999999" x14ac:dyDescent="0.25">
      <c r="A1315" s="16"/>
      <c r="B1315" s="17"/>
      <c r="C1315" s="2"/>
      <c r="D1315" s="2"/>
      <c r="E1315" s="2"/>
      <c r="F1315" s="2"/>
      <c r="G1315" s="2"/>
      <c r="H1315" s="2"/>
      <c r="I1315" s="5"/>
    </row>
    <row r="1316" spans="1:9" ht="17.399999999999999" x14ac:dyDescent="0.25">
      <c r="A1316" s="16"/>
      <c r="B1316" s="17"/>
      <c r="C1316" s="2"/>
      <c r="D1316" s="2"/>
      <c r="E1316" s="2"/>
      <c r="F1316" s="2"/>
      <c r="G1316" s="2"/>
      <c r="H1316" s="2"/>
      <c r="I1316" s="5"/>
    </row>
    <row r="1317" spans="1:9" ht="17.399999999999999" x14ac:dyDescent="0.25">
      <c r="A1317" s="16"/>
      <c r="B1317" s="17"/>
      <c r="C1317" s="2"/>
      <c r="D1317" s="2"/>
      <c r="E1317" s="2"/>
      <c r="F1317" s="2"/>
      <c r="G1317" s="2"/>
      <c r="H1317" s="2"/>
      <c r="I1317" s="5"/>
    </row>
    <row r="1318" spans="1:9" ht="17.399999999999999" x14ac:dyDescent="0.25">
      <c r="A1318" s="16"/>
      <c r="B1318" s="17"/>
      <c r="C1318" s="2"/>
      <c r="D1318" s="2"/>
      <c r="E1318" s="2"/>
      <c r="F1318" s="2"/>
      <c r="G1318" s="2"/>
      <c r="H1318" s="2"/>
      <c r="I1318" s="5"/>
    </row>
    <row r="1319" spans="1:9" ht="17.399999999999999" x14ac:dyDescent="0.25">
      <c r="A1319" s="16"/>
      <c r="B1319" s="17"/>
      <c r="C1319" s="2"/>
      <c r="D1319" s="2"/>
      <c r="E1319" s="2"/>
      <c r="F1319" s="2"/>
      <c r="G1319" s="2"/>
      <c r="H1319" s="2"/>
      <c r="I1319" s="5"/>
    </row>
    <row r="1320" spans="1:9" ht="17.399999999999999" x14ac:dyDescent="0.25">
      <c r="A1320" s="16"/>
      <c r="B1320" s="17"/>
      <c r="C1320" s="2"/>
      <c r="D1320" s="2"/>
      <c r="E1320" s="2"/>
      <c r="F1320" s="2"/>
      <c r="G1320" s="2"/>
      <c r="H1320" s="2"/>
      <c r="I1320" s="5"/>
    </row>
    <row r="1321" spans="1:9" ht="17.399999999999999" x14ac:dyDescent="0.25">
      <c r="A1321" s="16"/>
      <c r="B1321" s="17"/>
      <c r="C1321" s="2"/>
      <c r="D1321" s="2"/>
      <c r="E1321" s="2"/>
      <c r="F1321" s="2"/>
      <c r="G1321" s="2"/>
      <c r="H1321" s="2"/>
      <c r="I1321" s="5"/>
    </row>
    <row r="1322" spans="1:9" ht="17.399999999999999" x14ac:dyDescent="0.25">
      <c r="A1322" s="16"/>
      <c r="B1322" s="17"/>
      <c r="C1322" s="2"/>
      <c r="D1322" s="2"/>
      <c r="E1322" s="2"/>
      <c r="F1322" s="2"/>
      <c r="G1322" s="2"/>
      <c r="H1322" s="2"/>
      <c r="I1322" s="5"/>
    </row>
    <row r="1323" spans="1:9" ht="17.399999999999999" x14ac:dyDescent="0.25">
      <c r="A1323" s="16"/>
      <c r="B1323" s="17"/>
      <c r="C1323" s="2"/>
      <c r="D1323" s="2"/>
      <c r="E1323" s="2"/>
      <c r="F1323" s="2"/>
      <c r="G1323" s="2"/>
      <c r="H1323" s="2"/>
      <c r="I1323" s="5"/>
    </row>
    <row r="1324" spans="1:9" ht="17.399999999999999" x14ac:dyDescent="0.25">
      <c r="A1324" s="16"/>
      <c r="B1324" s="17"/>
      <c r="C1324" s="2"/>
      <c r="D1324" s="2"/>
      <c r="E1324" s="2"/>
      <c r="F1324" s="2"/>
      <c r="G1324" s="2"/>
      <c r="H1324" s="2"/>
      <c r="I1324" s="5"/>
    </row>
    <row r="1325" spans="1:9" ht="17.399999999999999" x14ac:dyDescent="0.25">
      <c r="A1325" s="16"/>
      <c r="B1325" s="17"/>
      <c r="C1325" s="2"/>
      <c r="D1325" s="2"/>
      <c r="E1325" s="2"/>
      <c r="F1325" s="2"/>
      <c r="G1325" s="2"/>
      <c r="H1325" s="2"/>
      <c r="I1325" s="5"/>
    </row>
    <row r="1326" spans="1:9" ht="17.399999999999999" x14ac:dyDescent="0.25">
      <c r="A1326" s="16"/>
      <c r="B1326" s="17"/>
      <c r="C1326" s="2"/>
      <c r="D1326" s="2"/>
      <c r="E1326" s="2"/>
      <c r="F1326" s="2"/>
      <c r="G1326" s="2"/>
      <c r="H1326" s="2"/>
      <c r="I1326" s="5"/>
    </row>
    <row r="1327" spans="1:9" ht="17.399999999999999" x14ac:dyDescent="0.25">
      <c r="A1327" s="16"/>
      <c r="B1327" s="17"/>
      <c r="C1327" s="2"/>
      <c r="D1327" s="2"/>
      <c r="E1327" s="2"/>
      <c r="F1327" s="2"/>
      <c r="G1327" s="2"/>
      <c r="H1327" s="2"/>
      <c r="I1327" s="5"/>
    </row>
    <row r="1328" spans="1:9" ht="17.399999999999999" x14ac:dyDescent="0.25">
      <c r="A1328" s="16"/>
      <c r="B1328" s="17"/>
      <c r="C1328" s="2"/>
      <c r="D1328" s="2"/>
      <c r="E1328" s="2"/>
      <c r="F1328" s="2"/>
      <c r="G1328" s="2"/>
      <c r="H1328" s="2"/>
      <c r="I1328" s="5"/>
    </row>
    <row r="1329" spans="1:9" ht="17.399999999999999" x14ac:dyDescent="0.25">
      <c r="A1329" s="16"/>
      <c r="B1329" s="17"/>
      <c r="C1329" s="2"/>
      <c r="D1329" s="2"/>
      <c r="E1329" s="2"/>
      <c r="F1329" s="2"/>
      <c r="G1329" s="2"/>
      <c r="H1329" s="2"/>
      <c r="I1329" s="5"/>
    </row>
    <row r="1330" spans="1:9" ht="17.399999999999999" x14ac:dyDescent="0.25">
      <c r="A1330" s="16"/>
      <c r="B1330" s="17"/>
      <c r="C1330" s="2"/>
      <c r="D1330" s="2"/>
      <c r="E1330" s="2"/>
      <c r="F1330" s="2"/>
      <c r="G1330" s="2"/>
      <c r="H1330" s="2"/>
      <c r="I1330" s="5"/>
    </row>
    <row r="1331" spans="1:9" ht="17.399999999999999" x14ac:dyDescent="0.25">
      <c r="A1331" s="16"/>
      <c r="B1331" s="17"/>
      <c r="C1331" s="2"/>
      <c r="D1331" s="2"/>
      <c r="E1331" s="2"/>
      <c r="F1331" s="2"/>
      <c r="G1331" s="2"/>
      <c r="H1331" s="2"/>
      <c r="I1331" s="5"/>
    </row>
    <row r="1332" spans="1:9" ht="17.399999999999999" x14ac:dyDescent="0.25">
      <c r="A1332" s="16"/>
      <c r="B1332" s="17"/>
      <c r="C1332" s="2"/>
      <c r="D1332" s="2"/>
      <c r="E1332" s="2"/>
      <c r="F1332" s="2"/>
      <c r="G1332" s="2"/>
      <c r="H1332" s="2"/>
      <c r="I1332" s="5"/>
    </row>
    <row r="1333" spans="1:9" ht="17.399999999999999" x14ac:dyDescent="0.25">
      <c r="A1333" s="16"/>
      <c r="B1333" s="17"/>
      <c r="C1333" s="2"/>
      <c r="D1333" s="2"/>
      <c r="E1333" s="2"/>
      <c r="F1333" s="2"/>
      <c r="G1333" s="2"/>
      <c r="H1333" s="2"/>
      <c r="I1333" s="5"/>
    </row>
    <row r="1334" spans="1:9" ht="17.399999999999999" x14ac:dyDescent="0.25">
      <c r="A1334" s="16"/>
      <c r="B1334" s="17"/>
      <c r="C1334" s="2"/>
      <c r="D1334" s="2"/>
      <c r="E1334" s="2"/>
      <c r="F1334" s="2"/>
      <c r="G1334" s="2"/>
      <c r="H1334" s="2"/>
      <c r="I1334" s="5"/>
    </row>
    <row r="1335" spans="1:9" ht="17.399999999999999" x14ac:dyDescent="0.25">
      <c r="A1335" s="16"/>
      <c r="B1335" s="17"/>
      <c r="C1335" s="2"/>
      <c r="D1335" s="2"/>
      <c r="E1335" s="2"/>
      <c r="F1335" s="2"/>
      <c r="G1335" s="2"/>
      <c r="H1335" s="2"/>
      <c r="I1335" s="5"/>
    </row>
    <row r="1336" spans="1:9" ht="17.399999999999999" x14ac:dyDescent="0.25">
      <c r="A1336" s="16"/>
      <c r="B1336" s="17"/>
      <c r="C1336" s="2"/>
      <c r="D1336" s="2"/>
      <c r="E1336" s="2"/>
      <c r="F1336" s="2"/>
      <c r="G1336" s="2"/>
      <c r="H1336" s="2"/>
      <c r="I1336" s="5"/>
    </row>
    <row r="1337" spans="1:9" ht="17.399999999999999" x14ac:dyDescent="0.25">
      <c r="A1337" s="16"/>
      <c r="B1337" s="17"/>
      <c r="C1337" s="2"/>
      <c r="D1337" s="2"/>
      <c r="E1337" s="2"/>
      <c r="F1337" s="2"/>
      <c r="G1337" s="2"/>
      <c r="H1337" s="2"/>
      <c r="I1337" s="5"/>
    </row>
    <row r="1338" spans="1:9" ht="17.399999999999999" x14ac:dyDescent="0.25">
      <c r="A1338" s="16"/>
      <c r="B1338" s="17"/>
      <c r="C1338" s="2"/>
      <c r="D1338" s="2"/>
      <c r="E1338" s="2"/>
      <c r="F1338" s="2"/>
      <c r="G1338" s="2"/>
      <c r="H1338" s="2"/>
      <c r="I1338" s="5"/>
    </row>
    <row r="1339" spans="1:9" ht="17.399999999999999" x14ac:dyDescent="0.25">
      <c r="A1339" s="16"/>
      <c r="B1339" s="17"/>
      <c r="C1339" s="2"/>
      <c r="D1339" s="2"/>
      <c r="E1339" s="2"/>
      <c r="F1339" s="2"/>
      <c r="G1339" s="2"/>
      <c r="H1339" s="2"/>
      <c r="I1339" s="5"/>
    </row>
    <row r="1340" spans="1:9" ht="17.399999999999999" x14ac:dyDescent="0.25">
      <c r="A1340" s="16"/>
      <c r="B1340" s="17"/>
      <c r="C1340" s="2"/>
      <c r="D1340" s="2"/>
      <c r="E1340" s="2"/>
      <c r="F1340" s="2"/>
      <c r="G1340" s="2"/>
      <c r="H1340" s="2"/>
      <c r="I1340" s="5"/>
    </row>
    <row r="1341" spans="1:9" ht="17.399999999999999" x14ac:dyDescent="0.25">
      <c r="A1341" s="16"/>
      <c r="B1341" s="17"/>
      <c r="C1341" s="2"/>
      <c r="D1341" s="2"/>
      <c r="E1341" s="2"/>
      <c r="F1341" s="2"/>
      <c r="G1341" s="2"/>
      <c r="H1341" s="2"/>
      <c r="I1341" s="5"/>
    </row>
    <row r="1342" spans="1:9" ht="17.399999999999999" x14ac:dyDescent="0.25">
      <c r="A1342" s="16"/>
      <c r="B1342" s="17"/>
      <c r="C1342" s="2"/>
      <c r="D1342" s="2"/>
      <c r="E1342" s="2"/>
      <c r="F1342" s="2"/>
      <c r="G1342" s="2"/>
      <c r="H1342" s="2"/>
      <c r="I1342" s="5"/>
    </row>
    <row r="1343" spans="1:9" ht="17.399999999999999" x14ac:dyDescent="0.25">
      <c r="A1343" s="16"/>
      <c r="B1343" s="17"/>
      <c r="C1343" s="2"/>
      <c r="D1343" s="2"/>
      <c r="E1343" s="2"/>
      <c r="F1343" s="2"/>
      <c r="G1343" s="2"/>
      <c r="H1343" s="2"/>
      <c r="I1343" s="5"/>
    </row>
    <row r="1344" spans="1:9" ht="17.399999999999999" x14ac:dyDescent="0.25">
      <c r="A1344" s="16"/>
      <c r="B1344" s="17"/>
      <c r="C1344" s="2"/>
      <c r="D1344" s="2"/>
      <c r="E1344" s="2"/>
      <c r="F1344" s="2"/>
      <c r="G1344" s="2"/>
      <c r="H1344" s="2"/>
      <c r="I1344" s="5"/>
    </row>
    <row r="1345" spans="1:9" ht="17.399999999999999" x14ac:dyDescent="0.25">
      <c r="A1345" s="16"/>
      <c r="B1345" s="17"/>
      <c r="C1345" s="2"/>
      <c r="D1345" s="2"/>
      <c r="E1345" s="2"/>
      <c r="F1345" s="2"/>
      <c r="G1345" s="2"/>
      <c r="H1345" s="2"/>
      <c r="I1345" s="5"/>
    </row>
    <row r="1346" spans="1:9" ht="17.399999999999999" x14ac:dyDescent="0.25">
      <c r="A1346" s="16"/>
      <c r="B1346" s="17"/>
      <c r="C1346" s="2"/>
      <c r="D1346" s="2"/>
      <c r="E1346" s="2"/>
      <c r="F1346" s="2"/>
      <c r="G1346" s="2"/>
      <c r="H1346" s="2"/>
      <c r="I1346" s="5"/>
    </row>
    <row r="1347" spans="1:9" ht="17.399999999999999" x14ac:dyDescent="0.25">
      <c r="A1347" s="16"/>
      <c r="B1347" s="17"/>
      <c r="C1347" s="2"/>
      <c r="D1347" s="2"/>
      <c r="E1347" s="2"/>
      <c r="F1347" s="2"/>
      <c r="G1347" s="2"/>
      <c r="H1347" s="2"/>
      <c r="I1347" s="5"/>
    </row>
    <row r="1348" spans="1:9" ht="17.399999999999999" x14ac:dyDescent="0.25">
      <c r="A1348" s="16"/>
      <c r="B1348" s="17"/>
      <c r="C1348" s="2"/>
      <c r="D1348" s="2"/>
      <c r="E1348" s="2"/>
      <c r="F1348" s="2"/>
      <c r="G1348" s="2"/>
      <c r="H1348" s="2"/>
      <c r="I1348" s="5"/>
    </row>
    <row r="1349" spans="1:9" ht="17.399999999999999" x14ac:dyDescent="0.25">
      <c r="A1349" s="16"/>
      <c r="B1349" s="17"/>
      <c r="C1349" s="2"/>
      <c r="D1349" s="2"/>
      <c r="E1349" s="2"/>
      <c r="F1349" s="2"/>
      <c r="G1349" s="2"/>
      <c r="H1349" s="2"/>
      <c r="I1349" s="5"/>
    </row>
    <row r="1350" spans="1:9" ht="17.399999999999999" x14ac:dyDescent="0.25">
      <c r="A1350" s="16"/>
      <c r="B1350" s="17"/>
      <c r="C1350" s="2"/>
      <c r="D1350" s="2"/>
      <c r="E1350" s="2"/>
      <c r="F1350" s="2"/>
      <c r="G1350" s="2"/>
      <c r="H1350" s="2"/>
      <c r="I1350" s="5"/>
    </row>
    <row r="1351" spans="1:9" ht="17.399999999999999" x14ac:dyDescent="0.25">
      <c r="A1351" s="16"/>
      <c r="B1351" s="17"/>
      <c r="C1351" s="2"/>
      <c r="D1351" s="2"/>
      <c r="E1351" s="2"/>
      <c r="F1351" s="2"/>
      <c r="G1351" s="2"/>
      <c r="H1351" s="2"/>
      <c r="I1351" s="5"/>
    </row>
    <row r="1352" spans="1:9" ht="17.399999999999999" x14ac:dyDescent="0.25">
      <c r="A1352" s="16"/>
      <c r="B1352" s="17"/>
      <c r="C1352" s="2"/>
      <c r="D1352" s="2"/>
      <c r="E1352" s="2"/>
      <c r="F1352" s="2"/>
      <c r="G1352" s="2"/>
      <c r="H1352" s="2"/>
      <c r="I1352" s="5"/>
    </row>
    <row r="1353" spans="1:9" ht="17.399999999999999" x14ac:dyDescent="0.25">
      <c r="A1353" s="16"/>
      <c r="B1353" s="17"/>
      <c r="C1353" s="2"/>
      <c r="D1353" s="2"/>
      <c r="E1353" s="2"/>
      <c r="F1353" s="2"/>
      <c r="G1353" s="2"/>
      <c r="H1353" s="2"/>
      <c r="I1353" s="5"/>
    </row>
    <row r="1354" spans="1:9" ht="17.399999999999999" x14ac:dyDescent="0.25">
      <c r="A1354" s="16"/>
      <c r="B1354" s="17"/>
      <c r="C1354" s="2"/>
      <c r="D1354" s="2"/>
      <c r="E1354" s="2"/>
      <c r="F1354" s="2"/>
      <c r="G1354" s="2"/>
      <c r="H1354" s="2"/>
      <c r="I1354" s="5"/>
    </row>
    <row r="1355" spans="1:9" ht="17.399999999999999" x14ac:dyDescent="0.25">
      <c r="A1355" s="16"/>
      <c r="B1355" s="17"/>
      <c r="C1355" s="2"/>
      <c r="D1355" s="2"/>
      <c r="E1355" s="2"/>
      <c r="F1355" s="2"/>
      <c r="G1355" s="2"/>
      <c r="H1355" s="2"/>
      <c r="I1355" s="5"/>
    </row>
    <row r="1356" spans="1:9" ht="17.399999999999999" x14ac:dyDescent="0.25">
      <c r="A1356" s="16"/>
      <c r="B1356" s="17"/>
      <c r="C1356" s="2"/>
      <c r="D1356" s="2"/>
      <c r="E1356" s="2"/>
      <c r="F1356" s="2"/>
      <c r="G1356" s="2"/>
      <c r="H1356" s="2"/>
      <c r="I1356" s="5"/>
    </row>
    <row r="1357" spans="1:9" ht="17.399999999999999" x14ac:dyDescent="0.25">
      <c r="A1357" s="16"/>
      <c r="B1357" s="17"/>
      <c r="C1357" s="2"/>
      <c r="D1357" s="2"/>
      <c r="E1357" s="2"/>
      <c r="F1357" s="2"/>
      <c r="G1357" s="2"/>
      <c r="H1357" s="2"/>
      <c r="I1357" s="5"/>
    </row>
    <row r="1358" spans="1:9" ht="17.399999999999999" x14ac:dyDescent="0.25">
      <c r="A1358" s="16"/>
      <c r="B1358" s="17"/>
      <c r="C1358" s="2"/>
      <c r="D1358" s="2"/>
      <c r="E1358" s="2"/>
      <c r="F1358" s="2"/>
      <c r="G1358" s="2"/>
      <c r="H1358" s="2"/>
      <c r="I1358" s="5"/>
    </row>
    <row r="1359" spans="1:9" ht="17.399999999999999" x14ac:dyDescent="0.25">
      <c r="A1359" s="16"/>
      <c r="B1359" s="17"/>
      <c r="C1359" s="2"/>
      <c r="D1359" s="2"/>
      <c r="E1359" s="2"/>
      <c r="F1359" s="2"/>
      <c r="G1359" s="2"/>
      <c r="H1359" s="2"/>
      <c r="I1359" s="5"/>
    </row>
    <row r="1360" spans="1:9" ht="17.399999999999999" x14ac:dyDescent="0.25">
      <c r="A1360" s="16"/>
      <c r="B1360" s="17"/>
      <c r="C1360" s="2"/>
      <c r="D1360" s="2"/>
      <c r="E1360" s="2"/>
      <c r="F1360" s="2"/>
      <c r="G1360" s="2"/>
      <c r="H1360" s="2"/>
      <c r="I1360" s="5"/>
    </row>
    <row r="1361" spans="1:9" ht="17.399999999999999" x14ac:dyDescent="0.25">
      <c r="A1361" s="16"/>
      <c r="B1361" s="17"/>
      <c r="C1361" s="2"/>
      <c r="D1361" s="2"/>
      <c r="E1361" s="2"/>
      <c r="F1361" s="2"/>
      <c r="G1361" s="2"/>
      <c r="H1361" s="2"/>
      <c r="I1361" s="5"/>
    </row>
    <row r="1362" spans="1:9" ht="17.399999999999999" x14ac:dyDescent="0.25">
      <c r="A1362" s="16"/>
      <c r="B1362" s="17"/>
      <c r="C1362" s="2"/>
      <c r="D1362" s="2"/>
      <c r="E1362" s="2"/>
      <c r="F1362" s="2"/>
      <c r="G1362" s="2"/>
      <c r="H1362" s="2"/>
      <c r="I1362" s="5"/>
    </row>
    <row r="1363" spans="1:9" ht="17.399999999999999" x14ac:dyDescent="0.25">
      <c r="A1363" s="16"/>
      <c r="B1363" s="17"/>
      <c r="C1363" s="2"/>
      <c r="D1363" s="2"/>
      <c r="E1363" s="2"/>
      <c r="F1363" s="2"/>
      <c r="G1363" s="2"/>
      <c r="H1363" s="2"/>
      <c r="I1363" s="5"/>
    </row>
    <row r="1364" spans="1:9" ht="17.399999999999999" x14ac:dyDescent="0.25">
      <c r="A1364" s="16"/>
      <c r="B1364" s="17"/>
      <c r="C1364" s="2"/>
      <c r="D1364" s="2"/>
      <c r="E1364" s="2"/>
      <c r="F1364" s="2"/>
      <c r="G1364" s="2"/>
      <c r="H1364" s="2"/>
      <c r="I1364" s="5"/>
    </row>
    <row r="1365" spans="1:9" ht="17.399999999999999" x14ac:dyDescent="0.25">
      <c r="A1365" s="16"/>
      <c r="B1365" s="17"/>
      <c r="C1365" s="2"/>
      <c r="D1365" s="2"/>
      <c r="E1365" s="2"/>
      <c r="F1365" s="2"/>
      <c r="G1365" s="2"/>
      <c r="H1365" s="2"/>
      <c r="I1365" s="5"/>
    </row>
    <row r="1366" spans="1:9" ht="17.399999999999999" x14ac:dyDescent="0.25">
      <c r="A1366" s="16"/>
      <c r="B1366" s="17"/>
      <c r="C1366" s="2"/>
      <c r="D1366" s="2"/>
      <c r="E1366" s="2"/>
      <c r="F1366" s="2"/>
      <c r="G1366" s="2"/>
      <c r="H1366" s="2"/>
      <c r="I1366" s="5"/>
    </row>
    <row r="1367" spans="1:9" ht="17.399999999999999" x14ac:dyDescent="0.25">
      <c r="A1367" s="16"/>
      <c r="B1367" s="17"/>
      <c r="C1367" s="2"/>
      <c r="D1367" s="2"/>
      <c r="E1367" s="2"/>
      <c r="F1367" s="2"/>
      <c r="G1367" s="2"/>
      <c r="H1367" s="2"/>
      <c r="I1367" s="5"/>
    </row>
    <row r="1368" spans="1:9" ht="17.399999999999999" x14ac:dyDescent="0.25">
      <c r="A1368" s="16"/>
      <c r="B1368" s="17"/>
      <c r="C1368" s="2"/>
      <c r="D1368" s="2"/>
      <c r="E1368" s="2"/>
      <c r="F1368" s="2"/>
      <c r="G1368" s="2"/>
      <c r="H1368" s="2"/>
      <c r="I1368" s="5"/>
    </row>
    <row r="1369" spans="1:9" ht="17.399999999999999" x14ac:dyDescent="0.25">
      <c r="A1369" s="16"/>
      <c r="B1369" s="17"/>
      <c r="C1369" s="2"/>
      <c r="D1369" s="2"/>
      <c r="E1369" s="2"/>
      <c r="F1369" s="2"/>
      <c r="G1369" s="2"/>
      <c r="H1369" s="2"/>
      <c r="I1369" s="5"/>
    </row>
    <row r="1370" spans="1:9" ht="17.399999999999999" x14ac:dyDescent="0.25">
      <c r="A1370" s="16"/>
      <c r="B1370" s="17"/>
      <c r="C1370" s="2"/>
      <c r="D1370" s="2"/>
      <c r="E1370" s="2"/>
      <c r="F1370" s="2"/>
      <c r="G1370" s="2"/>
      <c r="H1370" s="2"/>
      <c r="I1370" s="5"/>
    </row>
    <row r="1371" spans="1:9" ht="17.399999999999999" x14ac:dyDescent="0.25">
      <c r="A1371" s="16"/>
      <c r="B1371" s="17"/>
      <c r="C1371" s="2"/>
      <c r="D1371" s="2"/>
      <c r="E1371" s="2"/>
      <c r="F1371" s="2"/>
      <c r="G1371" s="2"/>
      <c r="H1371" s="2"/>
      <c r="I1371" s="5"/>
    </row>
    <row r="1372" spans="1:9" ht="17.399999999999999" x14ac:dyDescent="0.25">
      <c r="A1372" s="16"/>
      <c r="B1372" s="17"/>
      <c r="C1372" s="2"/>
      <c r="D1372" s="2"/>
      <c r="E1372" s="2"/>
      <c r="F1372" s="2"/>
      <c r="G1372" s="2"/>
      <c r="H1372" s="2"/>
      <c r="I1372" s="5"/>
    </row>
    <row r="1373" spans="1:9" ht="17.399999999999999" x14ac:dyDescent="0.25">
      <c r="A1373" s="16"/>
      <c r="B1373" s="17"/>
      <c r="C1373" s="2"/>
      <c r="D1373" s="2"/>
      <c r="E1373" s="2"/>
      <c r="F1373" s="2"/>
      <c r="G1373" s="2"/>
      <c r="H1373" s="2"/>
      <c r="I1373" s="5"/>
    </row>
    <row r="1374" spans="1:9" ht="17.399999999999999" x14ac:dyDescent="0.25">
      <c r="A1374" s="16"/>
      <c r="B1374" s="17"/>
      <c r="C1374" s="2"/>
      <c r="D1374" s="2"/>
      <c r="E1374" s="2"/>
      <c r="F1374" s="2"/>
      <c r="G1374" s="2"/>
      <c r="H1374" s="2"/>
      <c r="I1374" s="5"/>
    </row>
    <row r="1375" spans="1:9" ht="17.399999999999999" x14ac:dyDescent="0.25">
      <c r="A1375" s="16"/>
      <c r="B1375" s="17"/>
      <c r="C1375" s="2"/>
      <c r="D1375" s="2"/>
      <c r="E1375" s="2"/>
      <c r="F1375" s="2"/>
      <c r="G1375" s="2"/>
      <c r="H1375" s="2"/>
      <c r="I1375" s="5"/>
    </row>
    <row r="1376" spans="1:9" ht="17.399999999999999" x14ac:dyDescent="0.25">
      <c r="A1376" s="16"/>
      <c r="B1376" s="17"/>
      <c r="C1376" s="2"/>
      <c r="D1376" s="2"/>
      <c r="E1376" s="2"/>
      <c r="F1376" s="2"/>
      <c r="G1376" s="2"/>
      <c r="H1376" s="2"/>
      <c r="I1376" s="5"/>
    </row>
    <row r="1377" spans="1:9" ht="17.399999999999999" x14ac:dyDescent="0.25">
      <c r="A1377" s="16"/>
      <c r="B1377" s="17"/>
      <c r="C1377" s="2"/>
      <c r="D1377" s="2"/>
      <c r="E1377" s="2"/>
      <c r="F1377" s="2"/>
      <c r="G1377" s="2"/>
      <c r="H1377" s="2"/>
      <c r="I1377" s="5"/>
    </row>
    <row r="1378" spans="1:9" ht="17.399999999999999" x14ac:dyDescent="0.25">
      <c r="A1378" s="16"/>
      <c r="B1378" s="17"/>
      <c r="C1378" s="2"/>
      <c r="D1378" s="2"/>
      <c r="E1378" s="2"/>
      <c r="F1378" s="2"/>
      <c r="G1378" s="2"/>
      <c r="H1378" s="2"/>
      <c r="I1378" s="5"/>
    </row>
    <row r="1379" spans="1:9" ht="17.399999999999999" x14ac:dyDescent="0.25">
      <c r="A1379" s="16"/>
      <c r="B1379" s="17"/>
      <c r="C1379" s="2"/>
      <c r="D1379" s="2"/>
      <c r="E1379" s="2"/>
      <c r="F1379" s="2"/>
      <c r="G1379" s="2"/>
      <c r="H1379" s="2"/>
      <c r="I1379" s="5"/>
    </row>
    <row r="1380" spans="1:9" ht="17.399999999999999" x14ac:dyDescent="0.25">
      <c r="A1380" s="16"/>
      <c r="B1380" s="17"/>
      <c r="C1380" s="2"/>
      <c r="D1380" s="2"/>
      <c r="E1380" s="2"/>
      <c r="F1380" s="2"/>
      <c r="G1380" s="2"/>
      <c r="H1380" s="2"/>
      <c r="I1380" s="5"/>
    </row>
    <row r="1381" spans="1:9" ht="17.399999999999999" x14ac:dyDescent="0.25">
      <c r="A1381" s="16"/>
      <c r="B1381" s="17"/>
      <c r="C1381" s="2"/>
      <c r="D1381" s="2"/>
      <c r="E1381" s="2"/>
      <c r="F1381" s="2"/>
      <c r="G1381" s="2"/>
      <c r="H1381" s="2"/>
      <c r="I1381" s="5"/>
    </row>
    <row r="1382" spans="1:9" ht="17.399999999999999" x14ac:dyDescent="0.25">
      <c r="A1382" s="16"/>
      <c r="B1382" s="17"/>
      <c r="C1382" s="2"/>
      <c r="D1382" s="2"/>
      <c r="E1382" s="2"/>
      <c r="F1382" s="2"/>
      <c r="G1382" s="2"/>
      <c r="H1382" s="2"/>
      <c r="I1382" s="5"/>
    </row>
    <row r="1383" spans="1:9" ht="17.399999999999999" x14ac:dyDescent="0.25">
      <c r="A1383" s="16"/>
      <c r="B1383" s="17"/>
      <c r="C1383" s="2"/>
      <c r="D1383" s="2"/>
      <c r="E1383" s="2"/>
      <c r="F1383" s="2"/>
      <c r="G1383" s="2"/>
      <c r="H1383" s="2"/>
      <c r="I1383" s="5"/>
    </row>
    <row r="1384" spans="1:9" ht="17.399999999999999" x14ac:dyDescent="0.25">
      <c r="A1384" s="16"/>
      <c r="B1384" s="17"/>
      <c r="C1384" s="2"/>
      <c r="D1384" s="2"/>
      <c r="E1384" s="2"/>
      <c r="F1384" s="2"/>
      <c r="G1384" s="2"/>
      <c r="H1384" s="2"/>
      <c r="I1384" s="5"/>
    </row>
    <row r="1385" spans="1:9" ht="17.399999999999999" x14ac:dyDescent="0.25">
      <c r="A1385" s="16"/>
      <c r="B1385" s="17"/>
      <c r="C1385" s="2"/>
      <c r="D1385" s="2"/>
      <c r="E1385" s="2"/>
      <c r="F1385" s="2"/>
      <c r="G1385" s="2"/>
      <c r="H1385" s="2"/>
      <c r="I1385" s="5"/>
    </row>
    <row r="1386" spans="1:9" ht="17.399999999999999" x14ac:dyDescent="0.25">
      <c r="A1386" s="16"/>
      <c r="B1386" s="17"/>
      <c r="C1386" s="2"/>
      <c r="D1386" s="2"/>
      <c r="E1386" s="2"/>
      <c r="F1386" s="2"/>
      <c r="G1386" s="2"/>
      <c r="H1386" s="2"/>
      <c r="I1386" s="5"/>
    </row>
    <row r="1387" spans="1:9" ht="17.399999999999999" x14ac:dyDescent="0.25">
      <c r="A1387" s="16"/>
      <c r="B1387" s="17"/>
      <c r="C1387" s="2"/>
      <c r="D1387" s="2"/>
      <c r="E1387" s="2"/>
      <c r="F1387" s="2"/>
      <c r="G1387" s="2"/>
      <c r="H1387" s="2"/>
      <c r="I1387" s="5"/>
    </row>
    <row r="1388" spans="1:9" ht="17.399999999999999" x14ac:dyDescent="0.25">
      <c r="A1388" s="16"/>
      <c r="B1388" s="17"/>
      <c r="C1388" s="2"/>
      <c r="D1388" s="2"/>
      <c r="E1388" s="2"/>
      <c r="F1388" s="2"/>
      <c r="G1388" s="2"/>
      <c r="H1388" s="2"/>
      <c r="I1388" s="5"/>
    </row>
    <row r="1389" spans="1:9" ht="17.399999999999999" x14ac:dyDescent="0.25">
      <c r="A1389" s="16"/>
      <c r="B1389" s="17"/>
      <c r="C1389" s="2"/>
      <c r="D1389" s="2"/>
      <c r="E1389" s="2"/>
      <c r="F1389" s="2"/>
      <c r="G1389" s="2"/>
      <c r="H1389" s="2"/>
      <c r="I1389" s="5"/>
    </row>
    <row r="1390" spans="1:9" ht="17.399999999999999" x14ac:dyDescent="0.25">
      <c r="A1390" s="16"/>
      <c r="B1390" s="17"/>
      <c r="C1390" s="2"/>
      <c r="D1390" s="2"/>
      <c r="E1390" s="2"/>
      <c r="F1390" s="2"/>
      <c r="G1390" s="2"/>
      <c r="H1390" s="2"/>
      <c r="I1390" s="5"/>
    </row>
    <row r="1391" spans="1:9" ht="17.399999999999999" x14ac:dyDescent="0.25">
      <c r="A1391" s="16"/>
      <c r="B1391" s="17"/>
      <c r="C1391" s="2"/>
      <c r="D1391" s="2"/>
      <c r="E1391" s="2"/>
      <c r="F1391" s="2"/>
      <c r="G1391" s="2"/>
      <c r="H1391" s="2"/>
      <c r="I1391" s="5"/>
    </row>
    <row r="1392" spans="1:9" ht="17.399999999999999" x14ac:dyDescent="0.25">
      <c r="A1392" s="16"/>
      <c r="B1392" s="17"/>
      <c r="C1392" s="2"/>
      <c r="D1392" s="2"/>
      <c r="E1392" s="2"/>
      <c r="F1392" s="2"/>
      <c r="G1392" s="2"/>
      <c r="H1392" s="2"/>
      <c r="I1392" s="5"/>
    </row>
    <row r="1393" spans="1:9" ht="17.399999999999999" x14ac:dyDescent="0.25">
      <c r="A1393" s="16"/>
      <c r="B1393" s="17"/>
      <c r="C1393" s="2"/>
      <c r="D1393" s="2"/>
      <c r="E1393" s="2"/>
      <c r="F1393" s="2"/>
      <c r="G1393" s="2"/>
      <c r="H1393" s="2"/>
      <c r="I1393" s="5"/>
    </row>
    <row r="1394" spans="1:9" ht="17.399999999999999" x14ac:dyDescent="0.25">
      <c r="A1394" s="16"/>
      <c r="B1394" s="17"/>
      <c r="C1394" s="2"/>
      <c r="D1394" s="2"/>
      <c r="E1394" s="2"/>
      <c r="F1394" s="2"/>
      <c r="G1394" s="2"/>
      <c r="H1394" s="2"/>
      <c r="I1394" s="5"/>
    </row>
    <row r="1395" spans="1:9" ht="17.399999999999999" x14ac:dyDescent="0.25">
      <c r="A1395" s="16"/>
      <c r="B1395" s="17"/>
      <c r="C1395" s="2"/>
      <c r="D1395" s="2"/>
      <c r="E1395" s="2"/>
      <c r="F1395" s="2"/>
      <c r="G1395" s="2"/>
      <c r="H1395" s="2"/>
      <c r="I1395" s="5"/>
    </row>
    <row r="1396" spans="1:9" ht="17.399999999999999" x14ac:dyDescent="0.25">
      <c r="A1396" s="16"/>
      <c r="B1396" s="17"/>
      <c r="C1396" s="2"/>
      <c r="D1396" s="2"/>
      <c r="E1396" s="2"/>
      <c r="F1396" s="2"/>
      <c r="G1396" s="2"/>
      <c r="H1396" s="2"/>
      <c r="I1396" s="5"/>
    </row>
    <row r="1397" spans="1:9" ht="17.399999999999999" x14ac:dyDescent="0.25">
      <c r="A1397" s="16"/>
      <c r="B1397" s="17"/>
      <c r="C1397" s="2"/>
      <c r="D1397" s="2"/>
      <c r="E1397" s="2"/>
      <c r="F1397" s="2"/>
      <c r="G1397" s="2"/>
      <c r="H1397" s="2"/>
      <c r="I1397" s="5"/>
    </row>
    <row r="1398" spans="1:9" ht="17.399999999999999" x14ac:dyDescent="0.25">
      <c r="A1398" s="16"/>
      <c r="B1398" s="17"/>
      <c r="C1398" s="2"/>
      <c r="D1398" s="2"/>
      <c r="E1398" s="2"/>
      <c r="F1398" s="2"/>
      <c r="G1398" s="2"/>
      <c r="H1398" s="2"/>
      <c r="I1398" s="5"/>
    </row>
    <row r="1399" spans="1:9" ht="17.399999999999999" x14ac:dyDescent="0.25">
      <c r="A1399" s="16"/>
      <c r="B1399" s="17"/>
      <c r="C1399" s="2"/>
      <c r="D1399" s="2"/>
      <c r="E1399" s="2"/>
      <c r="F1399" s="2"/>
      <c r="G1399" s="2"/>
      <c r="H1399" s="2"/>
      <c r="I1399" s="5"/>
    </row>
    <row r="1400" spans="1:9" ht="17.399999999999999" x14ac:dyDescent="0.25">
      <c r="A1400" s="16"/>
      <c r="B1400" s="17"/>
      <c r="C1400" s="2"/>
      <c r="D1400" s="2"/>
      <c r="E1400" s="2"/>
      <c r="F1400" s="2"/>
      <c r="G1400" s="2"/>
      <c r="H1400" s="2"/>
      <c r="I1400" s="5"/>
    </row>
    <row r="1401" spans="1:9" ht="17.399999999999999" x14ac:dyDescent="0.25">
      <c r="A1401" s="16"/>
      <c r="B1401" s="17"/>
      <c r="C1401" s="2"/>
      <c r="D1401" s="2"/>
      <c r="E1401" s="2"/>
      <c r="F1401" s="2"/>
      <c r="G1401" s="2"/>
      <c r="H1401" s="2"/>
      <c r="I1401" s="5"/>
    </row>
    <row r="1402" spans="1:9" ht="17.399999999999999" x14ac:dyDescent="0.25">
      <c r="A1402" s="16"/>
      <c r="B1402" s="17"/>
      <c r="C1402" s="2"/>
      <c r="D1402" s="2"/>
      <c r="E1402" s="2"/>
      <c r="F1402" s="2"/>
      <c r="G1402" s="2"/>
      <c r="H1402" s="2"/>
      <c r="I1402" s="5"/>
    </row>
    <row r="1403" spans="1:9" ht="17.399999999999999" x14ac:dyDescent="0.25">
      <c r="A1403" s="16"/>
      <c r="B1403" s="17"/>
      <c r="C1403" s="2"/>
      <c r="D1403" s="2"/>
      <c r="E1403" s="2"/>
      <c r="F1403" s="2"/>
      <c r="G1403" s="2"/>
      <c r="H1403" s="2"/>
      <c r="I1403" s="5"/>
    </row>
    <row r="1404" spans="1:9" ht="17.399999999999999" x14ac:dyDescent="0.25">
      <c r="A1404" s="16"/>
      <c r="B1404" s="17"/>
      <c r="C1404" s="2"/>
      <c r="D1404" s="2"/>
      <c r="E1404" s="2"/>
      <c r="F1404" s="2"/>
      <c r="G1404" s="2"/>
      <c r="H1404" s="2"/>
      <c r="I1404" s="5"/>
    </row>
    <row r="1405" spans="1:9" ht="17.399999999999999" x14ac:dyDescent="0.25">
      <c r="A1405" s="16"/>
      <c r="B1405" s="17"/>
      <c r="C1405" s="2"/>
      <c r="D1405" s="2"/>
      <c r="E1405" s="2"/>
      <c r="F1405" s="2"/>
      <c r="G1405" s="2"/>
      <c r="H1405" s="2"/>
      <c r="I1405" s="5"/>
    </row>
    <row r="1406" spans="1:9" ht="17.399999999999999" x14ac:dyDescent="0.25">
      <c r="A1406" s="16"/>
      <c r="B1406" s="17"/>
      <c r="C1406" s="2"/>
      <c r="D1406" s="2"/>
      <c r="E1406" s="2"/>
      <c r="F1406" s="2"/>
      <c r="G1406" s="2"/>
      <c r="H1406" s="2"/>
      <c r="I1406" s="5"/>
    </row>
    <row r="1407" spans="1:9" ht="17.399999999999999" x14ac:dyDescent="0.25">
      <c r="A1407" s="16"/>
      <c r="B1407" s="17"/>
      <c r="C1407" s="2"/>
      <c r="D1407" s="2"/>
      <c r="E1407" s="2"/>
      <c r="F1407" s="2"/>
      <c r="G1407" s="2"/>
      <c r="H1407" s="2"/>
      <c r="I1407" s="5"/>
    </row>
    <row r="1408" spans="1:9" ht="17.399999999999999" x14ac:dyDescent="0.25">
      <c r="A1408" s="16"/>
      <c r="B1408" s="17"/>
      <c r="C1408" s="2"/>
      <c r="D1408" s="2"/>
      <c r="E1408" s="2"/>
      <c r="F1408" s="2"/>
      <c r="G1408" s="2"/>
      <c r="H1408" s="2"/>
      <c r="I1408" s="5"/>
    </row>
    <row r="1409" spans="1:9" ht="17.399999999999999" x14ac:dyDescent="0.25">
      <c r="A1409" s="16"/>
      <c r="B1409" s="17"/>
      <c r="C1409" s="2"/>
      <c r="D1409" s="2"/>
      <c r="E1409" s="2"/>
      <c r="F1409" s="2"/>
      <c r="G1409" s="2"/>
      <c r="H1409" s="2"/>
      <c r="I1409" s="5"/>
    </row>
    <row r="1410" spans="1:9" ht="17.399999999999999" x14ac:dyDescent="0.25">
      <c r="A1410" s="16"/>
      <c r="B1410" s="17"/>
      <c r="C1410" s="2"/>
      <c r="D1410" s="2"/>
      <c r="E1410" s="2"/>
      <c r="F1410" s="2"/>
      <c r="G1410" s="2"/>
      <c r="H1410" s="2"/>
      <c r="I1410" s="5"/>
    </row>
    <row r="1411" spans="1:9" ht="17.399999999999999" x14ac:dyDescent="0.25">
      <c r="A1411" s="16"/>
      <c r="B1411" s="17"/>
      <c r="C1411" s="2"/>
      <c r="D1411" s="2"/>
      <c r="E1411" s="2"/>
      <c r="F1411" s="2"/>
      <c r="G1411" s="2"/>
      <c r="H1411" s="2"/>
      <c r="I1411" s="5"/>
    </row>
    <row r="1412" spans="1:9" ht="17.399999999999999" x14ac:dyDescent="0.25">
      <c r="A1412" s="16"/>
      <c r="B1412" s="17"/>
      <c r="C1412" s="2"/>
      <c r="D1412" s="2"/>
      <c r="E1412" s="2"/>
      <c r="F1412" s="2"/>
      <c r="G1412" s="2"/>
      <c r="H1412" s="2"/>
      <c r="I1412" s="5"/>
    </row>
    <row r="1413" spans="1:9" ht="17.399999999999999" x14ac:dyDescent="0.25">
      <c r="A1413" s="16"/>
      <c r="B1413" s="17"/>
      <c r="C1413" s="2"/>
      <c r="D1413" s="2"/>
      <c r="E1413" s="2"/>
      <c r="F1413" s="2"/>
      <c r="G1413" s="2"/>
      <c r="H1413" s="2"/>
      <c r="I1413" s="5"/>
    </row>
    <row r="1414" spans="1:9" ht="17.399999999999999" x14ac:dyDescent="0.25">
      <c r="A1414" s="16"/>
      <c r="B1414" s="17"/>
      <c r="C1414" s="2"/>
      <c r="D1414" s="2"/>
      <c r="E1414" s="2"/>
      <c r="F1414" s="2"/>
      <c r="G1414" s="2"/>
      <c r="H1414" s="2"/>
      <c r="I1414" s="5"/>
    </row>
    <row r="1415" spans="1:9" ht="17.399999999999999" x14ac:dyDescent="0.25">
      <c r="A1415" s="16"/>
      <c r="B1415" s="17"/>
      <c r="C1415" s="2"/>
      <c r="D1415" s="2"/>
      <c r="E1415" s="2"/>
      <c r="F1415" s="2"/>
      <c r="G1415" s="2"/>
      <c r="H1415" s="2"/>
      <c r="I1415" s="5"/>
    </row>
    <row r="1416" spans="1:9" ht="17.399999999999999" x14ac:dyDescent="0.25">
      <c r="A1416" s="16"/>
      <c r="B1416" s="17"/>
      <c r="C1416" s="2"/>
      <c r="D1416" s="2"/>
      <c r="E1416" s="2"/>
      <c r="F1416" s="2"/>
      <c r="G1416" s="2"/>
      <c r="H1416" s="2"/>
      <c r="I1416" s="5"/>
    </row>
    <row r="1417" spans="1:9" ht="17.399999999999999" x14ac:dyDescent="0.25">
      <c r="A1417" s="16"/>
      <c r="B1417" s="17"/>
      <c r="C1417" s="2"/>
      <c r="D1417" s="2"/>
      <c r="E1417" s="2"/>
      <c r="F1417" s="2"/>
      <c r="G1417" s="2"/>
      <c r="H1417" s="2"/>
      <c r="I1417" s="5"/>
    </row>
    <row r="1418" spans="1:9" ht="17.399999999999999" x14ac:dyDescent="0.25">
      <c r="A1418" s="16"/>
      <c r="B1418" s="17"/>
      <c r="C1418" s="2"/>
      <c r="D1418" s="2"/>
      <c r="E1418" s="2"/>
      <c r="F1418" s="2"/>
      <c r="G1418" s="2"/>
      <c r="H1418" s="2"/>
      <c r="I1418" s="5"/>
    </row>
    <row r="1419" spans="1:9" ht="17.399999999999999" x14ac:dyDescent="0.25">
      <c r="A1419" s="16"/>
      <c r="B1419" s="17"/>
      <c r="C1419" s="2"/>
      <c r="D1419" s="2"/>
      <c r="E1419" s="2"/>
      <c r="F1419" s="2"/>
      <c r="G1419" s="2"/>
      <c r="H1419" s="2"/>
      <c r="I1419" s="5"/>
    </row>
    <row r="1420" spans="1:9" ht="17.399999999999999" x14ac:dyDescent="0.25">
      <c r="A1420" s="16"/>
      <c r="B1420" s="17"/>
      <c r="C1420" s="2"/>
      <c r="D1420" s="2"/>
      <c r="E1420" s="2"/>
      <c r="F1420" s="2"/>
      <c r="G1420" s="2"/>
      <c r="H1420" s="2"/>
      <c r="I1420" s="5"/>
    </row>
    <row r="1421" spans="1:9" ht="17.399999999999999" x14ac:dyDescent="0.25">
      <c r="A1421" s="16"/>
      <c r="B1421" s="17"/>
      <c r="C1421" s="2"/>
      <c r="D1421" s="2"/>
      <c r="E1421" s="2"/>
      <c r="F1421" s="2"/>
      <c r="G1421" s="2"/>
      <c r="H1421" s="2"/>
      <c r="I1421" s="5"/>
    </row>
    <row r="1422" spans="1:9" ht="17.399999999999999" x14ac:dyDescent="0.25">
      <c r="A1422" s="16"/>
      <c r="B1422" s="17"/>
      <c r="C1422" s="2"/>
      <c r="D1422" s="2"/>
      <c r="E1422" s="2"/>
      <c r="F1422" s="2"/>
      <c r="G1422" s="2"/>
      <c r="H1422" s="2"/>
      <c r="I1422" s="5"/>
    </row>
    <row r="1423" spans="1:9" ht="17.399999999999999" x14ac:dyDescent="0.25">
      <c r="A1423" s="16"/>
      <c r="B1423" s="17"/>
      <c r="C1423" s="2"/>
      <c r="D1423" s="2"/>
      <c r="E1423" s="2"/>
      <c r="F1423" s="2"/>
      <c r="G1423" s="2"/>
      <c r="H1423" s="2"/>
      <c r="I1423" s="5"/>
    </row>
    <row r="1424" spans="1:9" ht="17.399999999999999" x14ac:dyDescent="0.25">
      <c r="A1424" s="16"/>
      <c r="B1424" s="17"/>
      <c r="C1424" s="2"/>
      <c r="D1424" s="2"/>
      <c r="E1424" s="2"/>
      <c r="F1424" s="2"/>
      <c r="G1424" s="2"/>
      <c r="H1424" s="2"/>
      <c r="I1424" s="5"/>
    </row>
    <row r="1425" spans="1:9" ht="17.399999999999999" x14ac:dyDescent="0.25">
      <c r="A1425" s="16"/>
      <c r="B1425" s="17"/>
      <c r="C1425" s="2"/>
      <c r="D1425" s="2"/>
      <c r="E1425" s="2"/>
      <c r="F1425" s="2"/>
      <c r="G1425" s="2"/>
      <c r="H1425" s="2"/>
      <c r="I1425" s="5"/>
    </row>
    <row r="1426" spans="1:9" ht="17.399999999999999" x14ac:dyDescent="0.25">
      <c r="A1426" s="16"/>
      <c r="B1426" s="17"/>
      <c r="C1426" s="2"/>
      <c r="D1426" s="2"/>
      <c r="E1426" s="2"/>
      <c r="F1426" s="2"/>
      <c r="G1426" s="2"/>
      <c r="H1426" s="2"/>
      <c r="I1426" s="5"/>
    </row>
    <row r="1427" spans="1:9" ht="17.399999999999999" x14ac:dyDescent="0.25">
      <c r="A1427" s="16"/>
      <c r="B1427" s="17"/>
      <c r="C1427" s="2"/>
      <c r="D1427" s="2"/>
      <c r="E1427" s="2"/>
      <c r="F1427" s="2"/>
      <c r="G1427" s="2"/>
      <c r="H1427" s="2"/>
      <c r="I1427" s="5"/>
    </row>
    <row r="1428" spans="1:9" ht="17.399999999999999" x14ac:dyDescent="0.25">
      <c r="A1428" s="16"/>
      <c r="B1428" s="17"/>
      <c r="C1428" s="2"/>
      <c r="D1428" s="2"/>
      <c r="E1428" s="2"/>
      <c r="F1428" s="2"/>
      <c r="G1428" s="2"/>
      <c r="H1428" s="2"/>
      <c r="I1428" s="5"/>
    </row>
    <row r="1429" spans="1:9" ht="17.399999999999999" x14ac:dyDescent="0.25">
      <c r="A1429" s="16"/>
      <c r="B1429" s="17"/>
      <c r="C1429" s="2"/>
      <c r="D1429" s="2"/>
      <c r="E1429" s="2"/>
      <c r="F1429" s="2"/>
      <c r="G1429" s="2"/>
      <c r="H1429" s="2"/>
      <c r="I1429" s="5"/>
    </row>
    <row r="1430" spans="1:9" ht="17.399999999999999" x14ac:dyDescent="0.25">
      <c r="A1430" s="16"/>
      <c r="B1430" s="17"/>
      <c r="C1430" s="2"/>
      <c r="D1430" s="2"/>
      <c r="E1430" s="2"/>
      <c r="F1430" s="2"/>
      <c r="G1430" s="2"/>
      <c r="H1430" s="2"/>
      <c r="I1430" s="5"/>
    </row>
    <row r="1431" spans="1:9" ht="17.399999999999999" x14ac:dyDescent="0.25">
      <c r="A1431" s="16"/>
      <c r="B1431" s="17"/>
      <c r="C1431" s="2"/>
      <c r="D1431" s="2"/>
      <c r="E1431" s="2"/>
      <c r="F1431" s="2"/>
      <c r="G1431" s="2"/>
      <c r="H1431" s="2"/>
      <c r="I1431" s="5"/>
    </row>
    <row r="1432" spans="1:9" ht="17.399999999999999" x14ac:dyDescent="0.25">
      <c r="A1432" s="16"/>
      <c r="B1432" s="17"/>
      <c r="C1432" s="2"/>
      <c r="D1432" s="2"/>
      <c r="E1432" s="2"/>
      <c r="F1432" s="2"/>
      <c r="G1432" s="2"/>
      <c r="H1432" s="2"/>
      <c r="I1432" s="5"/>
    </row>
    <row r="1433" spans="1:9" ht="17.399999999999999" x14ac:dyDescent="0.25">
      <c r="A1433" s="16"/>
      <c r="B1433" s="17"/>
      <c r="C1433" s="2"/>
      <c r="D1433" s="2"/>
      <c r="E1433" s="2"/>
      <c r="F1433" s="2"/>
      <c r="G1433" s="2"/>
      <c r="H1433" s="2"/>
      <c r="I1433" s="5"/>
    </row>
    <row r="1434" spans="1:9" ht="17.399999999999999" x14ac:dyDescent="0.25">
      <c r="A1434" s="16"/>
      <c r="B1434" s="17"/>
      <c r="C1434" s="2"/>
      <c r="D1434" s="2"/>
      <c r="E1434" s="2"/>
      <c r="F1434" s="2"/>
      <c r="G1434" s="2"/>
      <c r="H1434" s="2"/>
      <c r="I1434" s="5"/>
    </row>
    <row r="1435" spans="1:9" ht="17.399999999999999" x14ac:dyDescent="0.25">
      <c r="A1435" s="16"/>
      <c r="B1435" s="17"/>
      <c r="C1435" s="2"/>
      <c r="D1435" s="2"/>
      <c r="E1435" s="2"/>
      <c r="F1435" s="2"/>
      <c r="G1435" s="2"/>
      <c r="H1435" s="2"/>
      <c r="I1435" s="5"/>
    </row>
    <row r="1436" spans="1:9" ht="17.399999999999999" x14ac:dyDescent="0.25">
      <c r="A1436" s="16"/>
      <c r="B1436" s="17"/>
      <c r="C1436" s="2"/>
      <c r="D1436" s="2"/>
      <c r="E1436" s="2"/>
      <c r="F1436" s="2"/>
      <c r="G1436" s="2"/>
      <c r="H1436" s="2"/>
      <c r="I1436" s="5"/>
    </row>
    <row r="1437" spans="1:9" ht="17.399999999999999" x14ac:dyDescent="0.25">
      <c r="A1437" s="16"/>
      <c r="B1437" s="17"/>
      <c r="C1437" s="2"/>
      <c r="D1437" s="2"/>
      <c r="E1437" s="2"/>
      <c r="F1437" s="2"/>
      <c r="G1437" s="2"/>
      <c r="H1437" s="2"/>
      <c r="I1437" s="5"/>
    </row>
    <row r="1438" spans="1:9" ht="17.399999999999999" x14ac:dyDescent="0.25">
      <c r="A1438" s="16"/>
      <c r="B1438" s="17"/>
      <c r="C1438" s="2"/>
      <c r="D1438" s="2"/>
      <c r="E1438" s="2"/>
      <c r="F1438" s="2"/>
      <c r="G1438" s="2"/>
      <c r="H1438" s="2"/>
      <c r="I1438" s="5"/>
    </row>
    <row r="1439" spans="1:9" ht="17.399999999999999" x14ac:dyDescent="0.25">
      <c r="A1439" s="16"/>
      <c r="B1439" s="17"/>
      <c r="C1439" s="2"/>
      <c r="D1439" s="2"/>
      <c r="E1439" s="2"/>
      <c r="F1439" s="2"/>
      <c r="G1439" s="2"/>
      <c r="H1439" s="2"/>
      <c r="I1439" s="5"/>
    </row>
    <row r="1440" spans="1:9" ht="17.399999999999999" x14ac:dyDescent="0.25">
      <c r="A1440" s="16"/>
      <c r="B1440" s="17"/>
      <c r="C1440" s="2"/>
      <c r="D1440" s="2"/>
      <c r="E1440" s="2"/>
      <c r="F1440" s="2"/>
      <c r="G1440" s="2"/>
      <c r="H1440" s="2"/>
      <c r="I1440" s="5"/>
    </row>
    <row r="1441" spans="1:9" ht="17.399999999999999" x14ac:dyDescent="0.25">
      <c r="A1441" s="16"/>
      <c r="B1441" s="17"/>
      <c r="C1441" s="2"/>
      <c r="D1441" s="2"/>
      <c r="E1441" s="2"/>
      <c r="F1441" s="2"/>
      <c r="G1441" s="2"/>
      <c r="H1441" s="2"/>
      <c r="I1441" s="5"/>
    </row>
    <row r="1442" spans="1:9" ht="17.399999999999999" x14ac:dyDescent="0.25">
      <c r="A1442" s="16"/>
      <c r="B1442" s="17"/>
      <c r="C1442" s="2"/>
      <c r="D1442" s="2"/>
      <c r="E1442" s="2"/>
      <c r="F1442" s="2"/>
      <c r="G1442" s="2"/>
      <c r="H1442" s="2"/>
      <c r="I1442" s="5"/>
    </row>
    <row r="1443" spans="1:9" ht="17.399999999999999" x14ac:dyDescent="0.25">
      <c r="A1443" s="16"/>
      <c r="B1443" s="17"/>
      <c r="C1443" s="2"/>
      <c r="D1443" s="2"/>
      <c r="E1443" s="2"/>
      <c r="F1443" s="2"/>
      <c r="G1443" s="2"/>
      <c r="H1443" s="2"/>
      <c r="I1443" s="5"/>
    </row>
    <row r="1444" spans="1:9" ht="17.399999999999999" x14ac:dyDescent="0.25">
      <c r="A1444" s="16"/>
      <c r="B1444" s="17"/>
      <c r="C1444" s="2"/>
      <c r="D1444" s="2"/>
      <c r="E1444" s="2"/>
      <c r="F1444" s="2"/>
      <c r="G1444" s="2"/>
      <c r="H1444" s="2"/>
      <c r="I1444" s="5"/>
    </row>
    <row r="1445" spans="1:9" ht="17.399999999999999" x14ac:dyDescent="0.25">
      <c r="A1445" s="16"/>
      <c r="B1445" s="17"/>
      <c r="C1445" s="2"/>
      <c r="D1445" s="2"/>
      <c r="E1445" s="2"/>
      <c r="F1445" s="2"/>
      <c r="G1445" s="2"/>
      <c r="H1445" s="2"/>
      <c r="I1445" s="5"/>
    </row>
    <row r="1446" spans="1:9" ht="17.399999999999999" x14ac:dyDescent="0.25">
      <c r="A1446" s="16"/>
      <c r="B1446" s="17"/>
      <c r="C1446" s="2"/>
      <c r="D1446" s="2"/>
      <c r="E1446" s="2"/>
      <c r="F1446" s="2"/>
      <c r="G1446" s="2"/>
      <c r="H1446" s="2"/>
      <c r="I1446" s="5"/>
    </row>
    <row r="1447" spans="1:9" ht="17.399999999999999" x14ac:dyDescent="0.25">
      <c r="A1447" s="16"/>
      <c r="B1447" s="17"/>
      <c r="C1447" s="2"/>
      <c r="D1447" s="2"/>
      <c r="E1447" s="2"/>
      <c r="F1447" s="2"/>
      <c r="G1447" s="2"/>
      <c r="H1447" s="2"/>
      <c r="I1447" s="5"/>
    </row>
    <row r="1448" spans="1:9" ht="17.399999999999999" x14ac:dyDescent="0.25">
      <c r="A1448" s="16"/>
      <c r="B1448" s="17"/>
      <c r="C1448" s="2"/>
      <c r="D1448" s="2"/>
      <c r="E1448" s="2"/>
      <c r="F1448" s="2"/>
      <c r="G1448" s="2"/>
      <c r="H1448" s="2"/>
      <c r="I1448" s="5"/>
    </row>
    <row r="1449" spans="1:9" ht="17.399999999999999" x14ac:dyDescent="0.25">
      <c r="A1449" s="16"/>
      <c r="B1449" s="17"/>
      <c r="C1449" s="2"/>
      <c r="D1449" s="2"/>
      <c r="E1449" s="2"/>
      <c r="F1449" s="2"/>
      <c r="G1449" s="2"/>
      <c r="H1449" s="2"/>
      <c r="I1449" s="5"/>
    </row>
    <row r="1450" spans="1:9" ht="17.399999999999999" x14ac:dyDescent="0.25">
      <c r="A1450" s="16"/>
      <c r="B1450" s="17"/>
      <c r="C1450" s="2"/>
      <c r="D1450" s="2"/>
      <c r="E1450" s="2"/>
      <c r="F1450" s="2"/>
      <c r="G1450" s="2"/>
      <c r="H1450" s="2"/>
      <c r="I1450" s="5"/>
    </row>
    <row r="1451" spans="1:9" ht="17.399999999999999" x14ac:dyDescent="0.25">
      <c r="A1451" s="16"/>
      <c r="B1451" s="17"/>
      <c r="C1451" s="2"/>
      <c r="D1451" s="2"/>
      <c r="E1451" s="2"/>
      <c r="F1451" s="2"/>
      <c r="G1451" s="2"/>
      <c r="H1451" s="2"/>
      <c r="I1451" s="5"/>
    </row>
    <row r="1452" spans="1:9" ht="17.399999999999999" x14ac:dyDescent="0.25">
      <c r="A1452" s="16"/>
      <c r="B1452" s="17"/>
      <c r="C1452" s="2"/>
      <c r="D1452" s="2"/>
      <c r="E1452" s="2"/>
      <c r="F1452" s="2"/>
      <c r="G1452" s="2"/>
      <c r="H1452" s="2"/>
      <c r="I1452" s="5"/>
    </row>
    <row r="1453" spans="1:9" ht="17.399999999999999" x14ac:dyDescent="0.25">
      <c r="A1453" s="16"/>
      <c r="B1453" s="17"/>
      <c r="C1453" s="2"/>
      <c r="D1453" s="2"/>
      <c r="E1453" s="2"/>
      <c r="F1453" s="2"/>
      <c r="G1453" s="2"/>
      <c r="H1453" s="2"/>
      <c r="I1453" s="5"/>
    </row>
    <row r="1454" spans="1:9" ht="17.399999999999999" x14ac:dyDescent="0.25">
      <c r="A1454" s="16"/>
      <c r="B1454" s="17"/>
      <c r="C1454" s="2"/>
      <c r="D1454" s="2"/>
      <c r="E1454" s="2"/>
      <c r="F1454" s="2"/>
      <c r="G1454" s="2"/>
      <c r="H1454" s="2"/>
      <c r="I1454" s="5"/>
    </row>
    <row r="1455" spans="1:9" ht="17.399999999999999" x14ac:dyDescent="0.25">
      <c r="A1455" s="16"/>
      <c r="B1455" s="17"/>
      <c r="C1455" s="2"/>
      <c r="D1455" s="2"/>
      <c r="E1455" s="2"/>
      <c r="F1455" s="2"/>
      <c r="G1455" s="2"/>
      <c r="H1455" s="2"/>
      <c r="I1455" s="5"/>
    </row>
    <row r="1456" spans="1:9" ht="17.399999999999999" x14ac:dyDescent="0.25">
      <c r="A1456" s="16"/>
      <c r="B1456" s="17"/>
      <c r="C1456" s="2"/>
      <c r="D1456" s="2"/>
      <c r="E1456" s="2"/>
      <c r="F1456" s="2"/>
      <c r="G1456" s="2"/>
      <c r="H1456" s="2"/>
      <c r="I1456" s="5"/>
    </row>
    <row r="1457" spans="1:9" ht="17.399999999999999" x14ac:dyDescent="0.25">
      <c r="A1457" s="16"/>
      <c r="B1457" s="17"/>
      <c r="C1457" s="2"/>
      <c r="D1457" s="2"/>
      <c r="E1457" s="2"/>
      <c r="F1457" s="2"/>
      <c r="G1457" s="2"/>
      <c r="H1457" s="2"/>
      <c r="I1457" s="5"/>
    </row>
    <row r="1458" spans="1:9" ht="17.399999999999999" x14ac:dyDescent="0.25">
      <c r="A1458" s="16"/>
      <c r="B1458" s="17"/>
      <c r="C1458" s="2"/>
      <c r="D1458" s="2"/>
      <c r="E1458" s="2"/>
      <c r="F1458" s="2"/>
      <c r="G1458" s="2"/>
      <c r="H1458" s="2"/>
      <c r="I1458" s="5"/>
    </row>
    <row r="1459" spans="1:9" ht="17.399999999999999" x14ac:dyDescent="0.25">
      <c r="A1459" s="16"/>
      <c r="B1459" s="17"/>
      <c r="C1459" s="2"/>
      <c r="D1459" s="2"/>
      <c r="E1459" s="2"/>
      <c r="F1459" s="2"/>
      <c r="G1459" s="2"/>
      <c r="H1459" s="2"/>
      <c r="I1459" s="5"/>
    </row>
    <row r="1460" spans="1:9" ht="17.399999999999999" x14ac:dyDescent="0.25">
      <c r="A1460" s="16"/>
      <c r="B1460" s="17"/>
      <c r="C1460" s="2"/>
      <c r="D1460" s="2"/>
      <c r="E1460" s="2"/>
      <c r="F1460" s="2"/>
      <c r="G1460" s="2"/>
      <c r="H1460" s="2"/>
      <c r="I1460" s="5"/>
    </row>
    <row r="1461" spans="1:9" ht="17.399999999999999" x14ac:dyDescent="0.25">
      <c r="A1461" s="16"/>
      <c r="B1461" s="17"/>
      <c r="C1461" s="2"/>
      <c r="D1461" s="2"/>
      <c r="E1461" s="2"/>
      <c r="F1461" s="2"/>
      <c r="G1461" s="2"/>
      <c r="H1461" s="2"/>
      <c r="I1461" s="5"/>
    </row>
    <row r="1462" spans="1:9" ht="17.399999999999999" x14ac:dyDescent="0.25">
      <c r="A1462" s="16"/>
      <c r="B1462" s="17"/>
      <c r="C1462" s="2"/>
      <c r="D1462" s="2"/>
      <c r="E1462" s="2"/>
      <c r="F1462" s="2"/>
      <c r="G1462" s="2"/>
      <c r="H1462" s="2"/>
      <c r="I1462" s="5"/>
    </row>
    <row r="1463" spans="1:9" ht="17.399999999999999" x14ac:dyDescent="0.25">
      <c r="A1463" s="16"/>
      <c r="B1463" s="17"/>
      <c r="C1463" s="2"/>
      <c r="D1463" s="2"/>
      <c r="E1463" s="2"/>
      <c r="F1463" s="2"/>
      <c r="G1463" s="2"/>
      <c r="H1463" s="2"/>
      <c r="I1463" s="5"/>
    </row>
    <row r="1464" spans="1:9" ht="17.399999999999999" x14ac:dyDescent="0.25">
      <c r="A1464" s="16"/>
      <c r="B1464" s="17"/>
      <c r="C1464" s="2"/>
      <c r="D1464" s="2"/>
      <c r="E1464" s="2"/>
      <c r="F1464" s="2"/>
      <c r="G1464" s="2"/>
      <c r="H1464" s="2"/>
      <c r="I1464" s="5"/>
    </row>
    <row r="1465" spans="1:9" ht="17.399999999999999" x14ac:dyDescent="0.25">
      <c r="A1465" s="16"/>
      <c r="B1465" s="17"/>
      <c r="C1465" s="2"/>
      <c r="D1465" s="2"/>
      <c r="E1465" s="2"/>
      <c r="F1465" s="2"/>
      <c r="G1465" s="2"/>
      <c r="H1465" s="2"/>
      <c r="I1465" s="5"/>
    </row>
    <row r="1466" spans="1:9" ht="17.399999999999999" x14ac:dyDescent="0.25">
      <c r="A1466" s="16"/>
      <c r="B1466" s="17"/>
      <c r="C1466" s="2"/>
      <c r="D1466" s="2"/>
      <c r="E1466" s="2"/>
      <c r="F1466" s="2"/>
      <c r="G1466" s="2"/>
      <c r="H1466" s="2"/>
      <c r="I1466" s="5"/>
    </row>
    <row r="1467" spans="1:9" ht="17.399999999999999" x14ac:dyDescent="0.25">
      <c r="A1467" s="16"/>
      <c r="B1467" s="17"/>
      <c r="C1467" s="2"/>
      <c r="D1467" s="2"/>
      <c r="E1467" s="2"/>
      <c r="F1467" s="2"/>
      <c r="G1467" s="2"/>
      <c r="H1467" s="2"/>
      <c r="I1467" s="5"/>
    </row>
    <row r="1468" spans="1:9" ht="17.399999999999999" x14ac:dyDescent="0.25">
      <c r="A1468" s="16"/>
      <c r="B1468" s="17"/>
      <c r="C1468" s="2"/>
      <c r="D1468" s="2"/>
      <c r="E1468" s="2"/>
      <c r="F1468" s="2"/>
      <c r="G1468" s="2"/>
      <c r="H1468" s="2"/>
      <c r="I1468" s="5"/>
    </row>
    <row r="1469" spans="1:9" ht="17.399999999999999" x14ac:dyDescent="0.25">
      <c r="A1469" s="16"/>
      <c r="B1469" s="17"/>
      <c r="C1469" s="2"/>
      <c r="D1469" s="2"/>
      <c r="E1469" s="2"/>
      <c r="F1469" s="2"/>
      <c r="G1469" s="2"/>
      <c r="H1469" s="2"/>
      <c r="I1469" s="5"/>
    </row>
    <row r="1470" spans="1:9" ht="17.399999999999999" x14ac:dyDescent="0.25">
      <c r="A1470" s="16"/>
      <c r="B1470" s="17"/>
      <c r="C1470" s="2"/>
      <c r="D1470" s="2"/>
      <c r="E1470" s="2"/>
      <c r="F1470" s="2"/>
      <c r="G1470" s="2"/>
      <c r="H1470" s="2"/>
      <c r="I1470" s="5"/>
    </row>
    <row r="1471" spans="1:9" ht="17.399999999999999" x14ac:dyDescent="0.25">
      <c r="A1471" s="16"/>
      <c r="B1471" s="17"/>
      <c r="C1471" s="2"/>
      <c r="D1471" s="2"/>
      <c r="E1471" s="2"/>
      <c r="F1471" s="2"/>
      <c r="G1471" s="2"/>
      <c r="H1471" s="2"/>
      <c r="I1471" s="5"/>
    </row>
    <row r="1472" spans="1:9" ht="17.399999999999999" x14ac:dyDescent="0.25">
      <c r="A1472" s="16"/>
      <c r="B1472" s="17"/>
      <c r="C1472" s="2"/>
      <c r="D1472" s="2"/>
      <c r="E1472" s="2"/>
      <c r="F1472" s="2"/>
      <c r="G1472" s="2"/>
      <c r="H1472" s="2"/>
      <c r="I1472" s="5"/>
    </row>
    <row r="1473" spans="1:9" ht="17.399999999999999" x14ac:dyDescent="0.25">
      <c r="A1473" s="16"/>
      <c r="B1473" s="17"/>
      <c r="C1473" s="2"/>
      <c r="D1473" s="2"/>
      <c r="E1473" s="2"/>
      <c r="F1473" s="2"/>
      <c r="G1473" s="2"/>
      <c r="H1473" s="2"/>
      <c r="I1473" s="5"/>
    </row>
    <row r="1474" spans="1:9" ht="17.399999999999999" x14ac:dyDescent="0.25">
      <c r="A1474" s="16"/>
      <c r="B1474" s="17"/>
      <c r="C1474" s="2"/>
      <c r="D1474" s="2"/>
      <c r="E1474" s="2"/>
      <c r="F1474" s="2"/>
      <c r="G1474" s="2"/>
      <c r="H1474" s="2"/>
      <c r="I1474" s="5"/>
    </row>
    <row r="1475" spans="1:9" ht="17.399999999999999" x14ac:dyDescent="0.25">
      <c r="A1475" s="16"/>
      <c r="B1475" s="17"/>
      <c r="C1475" s="2"/>
      <c r="D1475" s="2"/>
      <c r="E1475" s="2"/>
      <c r="F1475" s="2"/>
      <c r="G1475" s="2"/>
      <c r="H1475" s="2"/>
      <c r="I1475" s="5"/>
    </row>
    <row r="1476" spans="1:9" ht="17.399999999999999" x14ac:dyDescent="0.25">
      <c r="A1476" s="16"/>
      <c r="B1476" s="17"/>
      <c r="C1476" s="2"/>
      <c r="D1476" s="2"/>
      <c r="E1476" s="2"/>
      <c r="F1476" s="2"/>
      <c r="G1476" s="2"/>
      <c r="H1476" s="2"/>
      <c r="I1476" s="5"/>
    </row>
    <row r="1477" spans="1:9" ht="17.399999999999999" x14ac:dyDescent="0.25">
      <c r="A1477" s="16"/>
      <c r="B1477" s="17"/>
      <c r="C1477" s="2"/>
      <c r="D1477" s="2"/>
      <c r="E1477" s="2"/>
      <c r="F1477" s="2"/>
      <c r="G1477" s="2"/>
      <c r="H1477" s="2"/>
      <c r="I1477" s="5"/>
    </row>
    <row r="1478" spans="1:9" ht="17.399999999999999" x14ac:dyDescent="0.25">
      <c r="A1478" s="16"/>
      <c r="B1478" s="17"/>
      <c r="C1478" s="2"/>
      <c r="D1478" s="2"/>
      <c r="E1478" s="2"/>
      <c r="F1478" s="2"/>
      <c r="G1478" s="2"/>
      <c r="H1478" s="2"/>
      <c r="I1478" s="5"/>
    </row>
    <row r="1479" spans="1:9" ht="17.399999999999999" x14ac:dyDescent="0.25">
      <c r="A1479" s="16"/>
      <c r="B1479" s="17"/>
      <c r="C1479" s="2"/>
      <c r="D1479" s="2"/>
      <c r="E1479" s="2"/>
      <c r="F1479" s="2"/>
      <c r="G1479" s="2"/>
      <c r="H1479" s="2"/>
      <c r="I1479" s="5"/>
    </row>
    <row r="1480" spans="1:9" ht="17.399999999999999" x14ac:dyDescent="0.25">
      <c r="A1480" s="16"/>
      <c r="B1480" s="17"/>
      <c r="C1480" s="2"/>
      <c r="D1480" s="2"/>
      <c r="E1480" s="2"/>
      <c r="F1480" s="2"/>
      <c r="G1480" s="2"/>
      <c r="H1480" s="2"/>
      <c r="I1480" s="5"/>
    </row>
    <row r="1481" spans="1:9" ht="17.399999999999999" x14ac:dyDescent="0.25">
      <c r="A1481" s="16"/>
      <c r="B1481" s="17"/>
      <c r="C1481" s="2"/>
      <c r="D1481" s="2"/>
      <c r="E1481" s="2"/>
      <c r="F1481" s="2"/>
      <c r="G1481" s="2"/>
      <c r="H1481" s="2"/>
      <c r="I1481" s="5"/>
    </row>
    <row r="1482" spans="1:9" ht="17.399999999999999" x14ac:dyDescent="0.25">
      <c r="A1482" s="16"/>
      <c r="B1482" s="17"/>
      <c r="C1482" s="2"/>
      <c r="D1482" s="2"/>
      <c r="E1482" s="2"/>
      <c r="F1482" s="2"/>
      <c r="G1482" s="2"/>
      <c r="H1482" s="2"/>
      <c r="I1482" s="5"/>
    </row>
    <row r="1483" spans="1:9" ht="17.399999999999999" x14ac:dyDescent="0.25">
      <c r="A1483" s="16"/>
      <c r="B1483" s="17"/>
      <c r="C1483" s="2"/>
      <c r="D1483" s="2"/>
      <c r="E1483" s="2"/>
      <c r="F1483" s="2"/>
      <c r="G1483" s="2"/>
      <c r="H1483" s="2"/>
      <c r="I1483" s="5"/>
    </row>
    <row r="1484" spans="1:9" ht="17.399999999999999" x14ac:dyDescent="0.25">
      <c r="A1484" s="16"/>
      <c r="B1484" s="17"/>
      <c r="C1484" s="2"/>
      <c r="D1484" s="2"/>
      <c r="E1484" s="2"/>
      <c r="F1484" s="2"/>
      <c r="G1484" s="2"/>
      <c r="H1484" s="2"/>
      <c r="I1484" s="5"/>
    </row>
    <row r="1485" spans="1:9" ht="17.399999999999999" x14ac:dyDescent="0.25">
      <c r="A1485" s="16"/>
      <c r="B1485" s="17"/>
      <c r="C1485" s="2"/>
      <c r="D1485" s="2"/>
      <c r="E1485" s="2"/>
      <c r="F1485" s="2"/>
      <c r="G1485" s="2"/>
      <c r="H1485" s="2"/>
      <c r="I1485" s="5"/>
    </row>
    <row r="1486" spans="1:9" ht="17.399999999999999" x14ac:dyDescent="0.25">
      <c r="A1486" s="16"/>
      <c r="B1486" s="17"/>
      <c r="C1486" s="2"/>
      <c r="D1486" s="2"/>
      <c r="E1486" s="2"/>
      <c r="F1486" s="2"/>
      <c r="G1486" s="2"/>
      <c r="H1486" s="2"/>
      <c r="I1486" s="5"/>
    </row>
    <row r="1487" spans="1:9" ht="17.399999999999999" x14ac:dyDescent="0.25">
      <c r="A1487" s="16"/>
      <c r="B1487" s="17"/>
      <c r="C1487" s="2"/>
      <c r="D1487" s="2"/>
      <c r="E1487" s="2"/>
      <c r="F1487" s="2"/>
      <c r="G1487" s="2"/>
      <c r="H1487" s="2"/>
      <c r="I1487" s="5"/>
    </row>
    <row r="1488" spans="1:9" ht="17.399999999999999" x14ac:dyDescent="0.25">
      <c r="A1488" s="16"/>
      <c r="B1488" s="17"/>
      <c r="C1488" s="2"/>
      <c r="D1488" s="2"/>
      <c r="E1488" s="2"/>
      <c r="F1488" s="2"/>
      <c r="G1488" s="2"/>
      <c r="H1488" s="2"/>
      <c r="I1488" s="5"/>
    </row>
    <row r="1489" spans="1:9" ht="17.399999999999999" x14ac:dyDescent="0.25">
      <c r="A1489" s="16"/>
      <c r="B1489" s="17"/>
      <c r="C1489" s="2"/>
      <c r="D1489" s="2"/>
      <c r="E1489" s="2"/>
      <c r="F1489" s="2"/>
      <c r="G1489" s="2"/>
      <c r="H1489" s="2"/>
      <c r="I1489" s="5"/>
    </row>
    <row r="1490" spans="1:9" ht="17.399999999999999" x14ac:dyDescent="0.25">
      <c r="A1490" s="16"/>
      <c r="B1490" s="17"/>
      <c r="C1490" s="2"/>
      <c r="D1490" s="2"/>
      <c r="E1490" s="2"/>
      <c r="F1490" s="2"/>
      <c r="G1490" s="2"/>
      <c r="H1490" s="2"/>
      <c r="I1490" s="5"/>
    </row>
    <row r="1491" spans="1:9" ht="17.399999999999999" x14ac:dyDescent="0.25">
      <c r="A1491" s="16"/>
      <c r="B1491" s="17"/>
      <c r="C1491" s="2"/>
      <c r="D1491" s="2"/>
      <c r="E1491" s="2"/>
      <c r="F1491" s="2"/>
      <c r="G1491" s="2"/>
      <c r="H1491" s="2"/>
      <c r="I1491" s="5"/>
    </row>
    <row r="1492" spans="1:9" ht="17.399999999999999" x14ac:dyDescent="0.25">
      <c r="A1492" s="16"/>
      <c r="B1492" s="17"/>
      <c r="C1492" s="2"/>
      <c r="D1492" s="2"/>
      <c r="E1492" s="2"/>
      <c r="F1492" s="2"/>
      <c r="G1492" s="2"/>
      <c r="H1492" s="2"/>
      <c r="I1492" s="5"/>
    </row>
    <row r="1493" spans="1:9" ht="17.399999999999999" x14ac:dyDescent="0.25">
      <c r="A1493" s="16"/>
      <c r="B1493" s="17"/>
      <c r="C1493" s="2"/>
      <c r="D1493" s="2"/>
      <c r="E1493" s="2"/>
      <c r="F1493" s="2"/>
      <c r="G1493" s="2"/>
      <c r="H1493" s="2"/>
      <c r="I1493" s="5"/>
    </row>
    <row r="1494" spans="1:9" ht="17.399999999999999" x14ac:dyDescent="0.25">
      <c r="A1494" s="16"/>
      <c r="B1494" s="17"/>
      <c r="C1494" s="2"/>
      <c r="D1494" s="2"/>
      <c r="E1494" s="2"/>
      <c r="F1494" s="2"/>
      <c r="G1494" s="2"/>
      <c r="H1494" s="2"/>
      <c r="I1494" s="5"/>
    </row>
    <row r="1495" spans="1:9" ht="17.399999999999999" x14ac:dyDescent="0.25">
      <c r="A1495" s="16"/>
      <c r="B1495" s="17"/>
      <c r="C1495" s="2"/>
      <c r="D1495" s="2"/>
      <c r="E1495" s="2"/>
      <c r="F1495" s="2"/>
      <c r="G1495" s="2"/>
      <c r="H1495" s="2"/>
      <c r="I1495" s="5"/>
    </row>
    <row r="1496" spans="1:9" ht="17.399999999999999" x14ac:dyDescent="0.25">
      <c r="A1496" s="16"/>
      <c r="B1496" s="17"/>
      <c r="C1496" s="2"/>
      <c r="D1496" s="2"/>
      <c r="E1496" s="2"/>
      <c r="F1496" s="2"/>
      <c r="G1496" s="2"/>
      <c r="H1496" s="2"/>
      <c r="I1496" s="5"/>
    </row>
    <row r="1497" spans="1:9" ht="17.399999999999999" x14ac:dyDescent="0.25">
      <c r="A1497" s="16"/>
      <c r="B1497" s="17"/>
      <c r="C1497" s="2"/>
      <c r="D1497" s="2"/>
      <c r="E1497" s="2"/>
      <c r="F1497" s="2"/>
      <c r="G1497" s="2"/>
      <c r="H1497" s="2"/>
      <c r="I1497" s="5"/>
    </row>
    <row r="1498" spans="1:9" ht="17.399999999999999" x14ac:dyDescent="0.25">
      <c r="A1498" s="16"/>
      <c r="B1498" s="17"/>
      <c r="C1498" s="2"/>
      <c r="D1498" s="2"/>
      <c r="E1498" s="2"/>
      <c r="F1498" s="2"/>
      <c r="G1498" s="2"/>
      <c r="H1498" s="2"/>
      <c r="I1498" s="5"/>
    </row>
    <row r="1499" spans="1:9" ht="17.399999999999999" x14ac:dyDescent="0.25">
      <c r="A1499" s="16"/>
      <c r="B1499" s="17"/>
      <c r="C1499" s="2"/>
      <c r="D1499" s="2"/>
      <c r="E1499" s="2"/>
      <c r="F1499" s="2"/>
      <c r="G1499" s="2"/>
      <c r="H1499" s="2"/>
      <c r="I1499" s="5"/>
    </row>
    <row r="1500" spans="1:9" ht="17.399999999999999" x14ac:dyDescent="0.25">
      <c r="A1500" s="16"/>
      <c r="B1500" s="17"/>
      <c r="C1500" s="2"/>
      <c r="D1500" s="2"/>
      <c r="E1500" s="2"/>
      <c r="F1500" s="2"/>
      <c r="G1500" s="2"/>
      <c r="H1500" s="2"/>
      <c r="I1500" s="5"/>
    </row>
    <row r="1501" spans="1:9" ht="17.399999999999999" x14ac:dyDescent="0.25">
      <c r="A1501" s="16"/>
      <c r="B1501" s="17"/>
      <c r="C1501" s="2"/>
      <c r="D1501" s="2"/>
      <c r="E1501" s="2"/>
      <c r="F1501" s="2"/>
      <c r="G1501" s="2"/>
      <c r="H1501" s="2"/>
      <c r="I1501" s="5"/>
    </row>
    <row r="1502" spans="1:9" ht="17.399999999999999" x14ac:dyDescent="0.25">
      <c r="A1502" s="16"/>
      <c r="B1502" s="17"/>
      <c r="C1502" s="2"/>
      <c r="D1502" s="2"/>
      <c r="E1502" s="2"/>
      <c r="F1502" s="2"/>
      <c r="G1502" s="2"/>
      <c r="H1502" s="2"/>
      <c r="I1502" s="5"/>
    </row>
    <row r="1503" spans="1:9" ht="17.399999999999999" x14ac:dyDescent="0.25">
      <c r="A1503" s="16"/>
      <c r="B1503" s="17"/>
      <c r="C1503" s="2"/>
      <c r="D1503" s="2"/>
      <c r="E1503" s="2"/>
      <c r="F1503" s="2"/>
      <c r="G1503" s="2"/>
      <c r="H1503" s="2"/>
      <c r="I1503" s="5"/>
    </row>
    <row r="1504" spans="1:9" ht="17.399999999999999" x14ac:dyDescent="0.25">
      <c r="A1504" s="16"/>
      <c r="B1504" s="17"/>
      <c r="C1504" s="2"/>
      <c r="D1504" s="2"/>
      <c r="E1504" s="2"/>
      <c r="F1504" s="2"/>
      <c r="G1504" s="2"/>
      <c r="H1504" s="2"/>
      <c r="I1504" s="5"/>
    </row>
    <row r="1505" spans="1:9" ht="17.399999999999999" x14ac:dyDescent="0.25">
      <c r="A1505" s="16"/>
      <c r="B1505" s="17"/>
      <c r="C1505" s="2"/>
      <c r="D1505" s="2"/>
      <c r="E1505" s="2"/>
      <c r="F1505" s="2"/>
      <c r="G1505" s="2"/>
      <c r="H1505" s="2"/>
      <c r="I1505" s="5"/>
    </row>
    <row r="1506" spans="1:9" ht="17.399999999999999" x14ac:dyDescent="0.25">
      <c r="A1506" s="16"/>
      <c r="B1506" s="17"/>
      <c r="C1506" s="2"/>
      <c r="D1506" s="2"/>
      <c r="E1506" s="2"/>
      <c r="F1506" s="2"/>
      <c r="G1506" s="2"/>
      <c r="H1506" s="2"/>
      <c r="I1506" s="5"/>
    </row>
    <row r="1507" spans="1:9" ht="17.399999999999999" x14ac:dyDescent="0.25">
      <c r="A1507" s="16"/>
      <c r="B1507" s="17"/>
      <c r="C1507" s="2"/>
      <c r="D1507" s="2"/>
      <c r="E1507" s="2"/>
      <c r="F1507" s="2"/>
      <c r="G1507" s="2"/>
      <c r="H1507" s="2"/>
      <c r="I1507" s="5"/>
    </row>
    <row r="1508" spans="1:9" ht="17.399999999999999" x14ac:dyDescent="0.25">
      <c r="A1508" s="16"/>
      <c r="B1508" s="17"/>
      <c r="C1508" s="2"/>
      <c r="D1508" s="2"/>
      <c r="E1508" s="2"/>
      <c r="F1508" s="2"/>
      <c r="G1508" s="2"/>
      <c r="H1508" s="2"/>
      <c r="I1508" s="5"/>
    </row>
    <row r="1509" spans="1:9" ht="17.399999999999999" x14ac:dyDescent="0.25">
      <c r="A1509" s="16"/>
      <c r="B1509" s="17"/>
      <c r="C1509" s="2"/>
      <c r="D1509" s="2"/>
      <c r="E1509" s="2"/>
      <c r="F1509" s="2"/>
      <c r="G1509" s="2"/>
      <c r="H1509" s="2"/>
      <c r="I1509" s="5"/>
    </row>
    <row r="1510" spans="1:9" ht="17.399999999999999" x14ac:dyDescent="0.25">
      <c r="A1510" s="16"/>
      <c r="B1510" s="17"/>
      <c r="C1510" s="2"/>
      <c r="D1510" s="2"/>
      <c r="E1510" s="2"/>
      <c r="F1510" s="2"/>
      <c r="G1510" s="2"/>
      <c r="H1510" s="2"/>
      <c r="I1510" s="5"/>
    </row>
    <row r="1511" spans="1:9" ht="17.399999999999999" x14ac:dyDescent="0.25">
      <c r="A1511" s="16"/>
      <c r="B1511" s="17"/>
      <c r="C1511" s="2"/>
      <c r="D1511" s="2"/>
      <c r="E1511" s="2"/>
      <c r="F1511" s="2"/>
      <c r="G1511" s="2"/>
      <c r="H1511" s="2"/>
      <c r="I1511" s="5"/>
    </row>
    <row r="1512" spans="1:9" ht="17.399999999999999" x14ac:dyDescent="0.25">
      <c r="A1512" s="16"/>
      <c r="B1512" s="17"/>
      <c r="C1512" s="2"/>
      <c r="D1512" s="2"/>
      <c r="E1512" s="2"/>
      <c r="F1512" s="2"/>
      <c r="G1512" s="2"/>
      <c r="H1512" s="2"/>
      <c r="I1512" s="5"/>
    </row>
    <row r="1513" spans="1:9" ht="17.399999999999999" x14ac:dyDescent="0.25">
      <c r="A1513" s="16"/>
      <c r="B1513" s="17"/>
      <c r="C1513" s="2"/>
      <c r="D1513" s="2"/>
      <c r="E1513" s="2"/>
      <c r="F1513" s="2"/>
      <c r="G1513" s="2"/>
      <c r="H1513" s="2"/>
      <c r="I1513" s="5"/>
    </row>
    <row r="1514" spans="1:9" ht="17.399999999999999" x14ac:dyDescent="0.25">
      <c r="A1514" s="16"/>
      <c r="B1514" s="17"/>
      <c r="C1514" s="2"/>
      <c r="D1514" s="2"/>
      <c r="E1514" s="2"/>
      <c r="F1514" s="2"/>
      <c r="G1514" s="2"/>
      <c r="H1514" s="2"/>
      <c r="I1514" s="5"/>
    </row>
    <row r="1515" spans="1:9" ht="17.399999999999999" x14ac:dyDescent="0.25">
      <c r="A1515" s="16"/>
      <c r="B1515" s="17"/>
      <c r="C1515" s="2"/>
      <c r="D1515" s="2"/>
      <c r="E1515" s="2"/>
      <c r="F1515" s="2"/>
      <c r="G1515" s="2"/>
      <c r="H1515" s="2"/>
      <c r="I1515" s="5"/>
    </row>
    <row r="1516" spans="1:9" ht="17.399999999999999" x14ac:dyDescent="0.25">
      <c r="A1516" s="16"/>
      <c r="B1516" s="17"/>
      <c r="C1516" s="2"/>
      <c r="D1516" s="2"/>
      <c r="E1516" s="2"/>
      <c r="F1516" s="2"/>
      <c r="G1516" s="2"/>
      <c r="H1516" s="2"/>
      <c r="I1516" s="5"/>
    </row>
    <row r="1517" spans="1:9" ht="17.399999999999999" x14ac:dyDescent="0.25">
      <c r="A1517" s="16"/>
      <c r="B1517" s="17"/>
      <c r="C1517" s="2"/>
      <c r="D1517" s="2"/>
      <c r="E1517" s="2"/>
      <c r="F1517" s="2"/>
      <c r="G1517" s="2"/>
      <c r="H1517" s="2"/>
      <c r="I1517" s="5"/>
    </row>
    <row r="1518" spans="1:9" ht="17.399999999999999" x14ac:dyDescent="0.25">
      <c r="A1518" s="16"/>
      <c r="B1518" s="17"/>
      <c r="C1518" s="2"/>
      <c r="D1518" s="2"/>
      <c r="E1518" s="2"/>
      <c r="F1518" s="2"/>
      <c r="G1518" s="2"/>
      <c r="H1518" s="2"/>
      <c r="I1518" s="5"/>
    </row>
    <row r="1519" spans="1:9" ht="17.399999999999999" x14ac:dyDescent="0.25">
      <c r="A1519" s="16"/>
      <c r="B1519" s="17"/>
      <c r="C1519" s="2"/>
      <c r="D1519" s="2"/>
      <c r="E1519" s="2"/>
      <c r="F1519" s="2"/>
      <c r="G1519" s="2"/>
      <c r="H1519" s="2"/>
      <c r="I1519" s="5"/>
    </row>
    <row r="1520" spans="1:9" ht="17.399999999999999" x14ac:dyDescent="0.25">
      <c r="A1520" s="16"/>
      <c r="B1520" s="17"/>
      <c r="C1520" s="2"/>
      <c r="D1520" s="2"/>
      <c r="E1520" s="2"/>
      <c r="F1520" s="2"/>
      <c r="G1520" s="2"/>
      <c r="H1520" s="2"/>
      <c r="I1520" s="5"/>
    </row>
    <row r="1521" spans="1:9" ht="17.399999999999999" x14ac:dyDescent="0.25">
      <c r="A1521" s="16"/>
      <c r="B1521" s="17"/>
      <c r="C1521" s="2"/>
      <c r="D1521" s="2"/>
      <c r="E1521" s="2"/>
      <c r="F1521" s="2"/>
      <c r="G1521" s="2"/>
      <c r="H1521" s="2"/>
      <c r="I1521" s="5"/>
    </row>
    <row r="1522" spans="1:9" ht="17.399999999999999" x14ac:dyDescent="0.25">
      <c r="A1522" s="16"/>
      <c r="B1522" s="17"/>
      <c r="C1522" s="2"/>
      <c r="D1522" s="2"/>
      <c r="E1522" s="2"/>
      <c r="F1522" s="2"/>
      <c r="G1522" s="2"/>
      <c r="H1522" s="2"/>
      <c r="I1522" s="5"/>
    </row>
    <row r="1523" spans="1:9" ht="17.399999999999999" x14ac:dyDescent="0.25">
      <c r="A1523" s="16"/>
      <c r="B1523" s="17"/>
      <c r="C1523" s="2"/>
      <c r="D1523" s="2"/>
      <c r="E1523" s="2"/>
      <c r="F1523" s="2"/>
      <c r="G1523" s="2"/>
      <c r="H1523" s="2"/>
      <c r="I1523" s="5"/>
    </row>
    <row r="1524" spans="1:9" ht="17.399999999999999" x14ac:dyDescent="0.25">
      <c r="A1524" s="16"/>
      <c r="B1524" s="17"/>
      <c r="C1524" s="2"/>
      <c r="D1524" s="2"/>
      <c r="E1524" s="2"/>
      <c r="F1524" s="2"/>
      <c r="G1524" s="2"/>
      <c r="H1524" s="2"/>
      <c r="I1524" s="5"/>
    </row>
    <row r="1525" spans="1:9" ht="17.399999999999999" x14ac:dyDescent="0.25">
      <c r="A1525" s="16"/>
      <c r="B1525" s="17"/>
      <c r="C1525" s="2"/>
      <c r="D1525" s="2"/>
      <c r="E1525" s="2"/>
      <c r="F1525" s="2"/>
      <c r="G1525" s="2"/>
      <c r="H1525" s="2"/>
      <c r="I1525" s="5"/>
    </row>
    <row r="1526" spans="1:9" ht="17.399999999999999" x14ac:dyDescent="0.25">
      <c r="A1526" s="16"/>
      <c r="B1526" s="17"/>
      <c r="C1526" s="2"/>
      <c r="D1526" s="2"/>
      <c r="E1526" s="2"/>
      <c r="F1526" s="2"/>
      <c r="G1526" s="2"/>
      <c r="H1526" s="2"/>
      <c r="I1526" s="5"/>
    </row>
    <row r="1527" spans="1:9" ht="17.399999999999999" x14ac:dyDescent="0.25">
      <c r="A1527" s="16"/>
      <c r="B1527" s="17"/>
      <c r="C1527" s="2"/>
      <c r="D1527" s="2"/>
      <c r="E1527" s="2"/>
      <c r="F1527" s="2"/>
      <c r="G1527" s="2"/>
      <c r="H1527" s="2"/>
      <c r="I1527" s="5"/>
    </row>
    <row r="1528" spans="1:9" ht="17.399999999999999" x14ac:dyDescent="0.25">
      <c r="A1528" s="16"/>
      <c r="B1528" s="17"/>
      <c r="C1528" s="2"/>
      <c r="D1528" s="2"/>
      <c r="E1528" s="2"/>
      <c r="F1528" s="2"/>
      <c r="G1528" s="2"/>
      <c r="H1528" s="2"/>
      <c r="I1528" s="5"/>
    </row>
    <row r="1529" spans="1:9" ht="17.399999999999999" x14ac:dyDescent="0.25">
      <c r="A1529" s="16"/>
      <c r="B1529" s="17"/>
      <c r="C1529" s="2"/>
      <c r="D1529" s="2"/>
      <c r="E1529" s="2"/>
      <c r="F1529" s="2"/>
      <c r="G1529" s="2"/>
      <c r="H1529" s="2"/>
      <c r="I1529" s="5"/>
    </row>
    <row r="1530" spans="1:9" ht="17.399999999999999" x14ac:dyDescent="0.25">
      <c r="A1530" s="16"/>
      <c r="B1530" s="17"/>
      <c r="C1530" s="2"/>
      <c r="D1530" s="2"/>
      <c r="E1530" s="2"/>
      <c r="F1530" s="2"/>
      <c r="G1530" s="2"/>
      <c r="H1530" s="2"/>
      <c r="I1530" s="5"/>
    </row>
    <row r="1531" spans="1:9" ht="17.399999999999999" x14ac:dyDescent="0.25">
      <c r="A1531" s="16"/>
      <c r="B1531" s="17"/>
      <c r="C1531" s="2"/>
      <c r="D1531" s="2"/>
      <c r="E1531" s="2"/>
      <c r="F1531" s="2"/>
      <c r="G1531" s="2"/>
      <c r="H1531" s="2"/>
      <c r="I1531" s="5"/>
    </row>
    <row r="1532" spans="1:9" ht="17.399999999999999" x14ac:dyDescent="0.25">
      <c r="A1532" s="16"/>
      <c r="B1532" s="17"/>
      <c r="C1532" s="2"/>
      <c r="D1532" s="2"/>
      <c r="E1532" s="2"/>
      <c r="F1532" s="2"/>
      <c r="G1532" s="2"/>
      <c r="H1532" s="2"/>
      <c r="I1532" s="5"/>
    </row>
    <row r="1533" spans="1:9" ht="17.399999999999999" x14ac:dyDescent="0.25">
      <c r="A1533" s="16"/>
      <c r="B1533" s="17"/>
      <c r="C1533" s="2"/>
      <c r="D1533" s="2"/>
      <c r="E1533" s="2"/>
      <c r="F1533" s="2"/>
      <c r="G1533" s="2"/>
      <c r="H1533" s="2"/>
      <c r="I1533" s="5"/>
    </row>
    <row r="1534" spans="1:9" ht="17.399999999999999" x14ac:dyDescent="0.25">
      <c r="A1534" s="16"/>
      <c r="B1534" s="17"/>
      <c r="C1534" s="2"/>
      <c r="D1534" s="2"/>
      <c r="E1534" s="2"/>
      <c r="F1534" s="2"/>
      <c r="G1534" s="2"/>
      <c r="H1534" s="2"/>
      <c r="I1534" s="5"/>
    </row>
    <row r="1535" spans="1:9" ht="17.399999999999999" x14ac:dyDescent="0.25">
      <c r="A1535" s="16"/>
      <c r="B1535" s="17"/>
      <c r="C1535" s="2"/>
      <c r="D1535" s="2"/>
      <c r="E1535" s="2"/>
      <c r="F1535" s="2"/>
      <c r="G1535" s="2"/>
      <c r="H1535" s="2"/>
      <c r="I1535" s="5"/>
    </row>
    <row r="1536" spans="1:9" ht="17.399999999999999" x14ac:dyDescent="0.25">
      <c r="A1536" s="16"/>
      <c r="B1536" s="17"/>
      <c r="C1536" s="2"/>
      <c r="D1536" s="2"/>
      <c r="E1536" s="2"/>
      <c r="F1536" s="2"/>
      <c r="G1536" s="2"/>
      <c r="H1536" s="2"/>
      <c r="I1536" s="5"/>
    </row>
    <row r="1537" spans="1:9" ht="17.399999999999999" x14ac:dyDescent="0.25">
      <c r="A1537" s="16"/>
      <c r="B1537" s="17"/>
      <c r="C1537" s="2"/>
      <c r="D1537" s="2"/>
      <c r="E1537" s="2"/>
      <c r="F1537" s="2"/>
      <c r="G1537" s="2"/>
      <c r="H1537" s="2"/>
      <c r="I1537" s="5"/>
    </row>
    <row r="1538" spans="1:9" ht="17.399999999999999" x14ac:dyDescent="0.25">
      <c r="A1538" s="16"/>
      <c r="B1538" s="17"/>
      <c r="C1538" s="2"/>
      <c r="D1538" s="2"/>
      <c r="E1538" s="2"/>
      <c r="F1538" s="2"/>
      <c r="G1538" s="2"/>
      <c r="H1538" s="2"/>
      <c r="I1538" s="5"/>
    </row>
    <row r="1539" spans="1:9" ht="17.399999999999999" x14ac:dyDescent="0.25">
      <c r="A1539" s="16"/>
      <c r="B1539" s="17"/>
      <c r="C1539" s="2"/>
      <c r="D1539" s="2"/>
      <c r="E1539" s="2"/>
      <c r="F1539" s="2"/>
      <c r="G1539" s="2"/>
      <c r="H1539" s="2"/>
      <c r="I1539" s="5"/>
    </row>
    <row r="1540" spans="1:9" ht="17.399999999999999" x14ac:dyDescent="0.25">
      <c r="A1540" s="16"/>
      <c r="B1540" s="17"/>
      <c r="C1540" s="2"/>
      <c r="D1540" s="2"/>
      <c r="E1540" s="2"/>
      <c r="F1540" s="2"/>
      <c r="G1540" s="2"/>
      <c r="H1540" s="2"/>
      <c r="I1540" s="5"/>
    </row>
    <row r="1541" spans="1:9" ht="17.399999999999999" x14ac:dyDescent="0.25">
      <c r="A1541" s="16"/>
      <c r="B1541" s="17"/>
      <c r="C1541" s="2"/>
      <c r="D1541" s="2"/>
      <c r="E1541" s="2"/>
      <c r="F1541" s="2"/>
      <c r="G1541" s="2"/>
      <c r="H1541" s="2"/>
      <c r="I1541" s="5"/>
    </row>
    <row r="1542" spans="1:9" ht="17.399999999999999" x14ac:dyDescent="0.25">
      <c r="A1542" s="16"/>
      <c r="B1542" s="17"/>
      <c r="C1542" s="2"/>
      <c r="D1542" s="2"/>
      <c r="E1542" s="2"/>
      <c r="F1542" s="2"/>
      <c r="G1542" s="2"/>
      <c r="H1542" s="2"/>
      <c r="I1542" s="5"/>
    </row>
    <row r="1543" spans="1:9" ht="17.399999999999999" x14ac:dyDescent="0.25">
      <c r="A1543" s="16"/>
      <c r="B1543" s="17"/>
      <c r="C1543" s="2"/>
      <c r="D1543" s="2"/>
      <c r="E1543" s="2"/>
      <c r="F1543" s="2"/>
      <c r="G1543" s="2"/>
      <c r="H1543" s="2"/>
      <c r="I1543" s="5"/>
    </row>
    <row r="1544" spans="1:9" ht="17.399999999999999" x14ac:dyDescent="0.25">
      <c r="A1544" s="16"/>
      <c r="B1544" s="17"/>
      <c r="C1544" s="2"/>
      <c r="D1544" s="2"/>
      <c r="E1544" s="2"/>
      <c r="F1544" s="2"/>
      <c r="G1544" s="2"/>
      <c r="H1544" s="2"/>
      <c r="I1544" s="5"/>
    </row>
    <row r="1545" spans="1:9" ht="17.399999999999999" x14ac:dyDescent="0.25">
      <c r="A1545" s="16"/>
      <c r="B1545" s="17"/>
      <c r="C1545" s="2"/>
      <c r="D1545" s="2"/>
      <c r="E1545" s="2"/>
      <c r="F1545" s="2"/>
      <c r="G1545" s="2"/>
      <c r="H1545" s="2"/>
      <c r="I1545" s="5"/>
    </row>
    <row r="1546" spans="1:9" ht="17.399999999999999" x14ac:dyDescent="0.25">
      <c r="A1546" s="16"/>
      <c r="B1546" s="17"/>
      <c r="C1546" s="2"/>
      <c r="D1546" s="2"/>
      <c r="E1546" s="2"/>
      <c r="F1546" s="2"/>
      <c r="G1546" s="2"/>
      <c r="H1546" s="2"/>
      <c r="I1546" s="5"/>
    </row>
    <row r="1547" spans="1:9" ht="17.399999999999999" x14ac:dyDescent="0.25">
      <c r="A1547" s="16"/>
      <c r="B1547" s="17"/>
      <c r="C1547" s="2"/>
      <c r="D1547" s="2"/>
      <c r="E1547" s="2"/>
      <c r="F1547" s="2"/>
      <c r="G1547" s="2"/>
      <c r="H1547" s="2"/>
      <c r="I1547" s="5"/>
    </row>
    <row r="1548" spans="1:9" ht="17.399999999999999" x14ac:dyDescent="0.25">
      <c r="A1548" s="16"/>
      <c r="B1548" s="17"/>
      <c r="C1548" s="2"/>
      <c r="D1548" s="2"/>
      <c r="E1548" s="2"/>
      <c r="F1548" s="2"/>
      <c r="G1548" s="2"/>
      <c r="H1548" s="2"/>
      <c r="I1548" s="5"/>
    </row>
    <row r="1549" spans="1:9" ht="17.399999999999999" x14ac:dyDescent="0.25">
      <c r="A1549" s="16"/>
      <c r="B1549" s="17"/>
      <c r="C1549" s="2"/>
      <c r="D1549" s="2"/>
      <c r="E1549" s="2"/>
      <c r="F1549" s="2"/>
      <c r="G1549" s="2"/>
      <c r="H1549" s="2"/>
      <c r="I1549" s="5"/>
    </row>
    <row r="1550" spans="1:9" ht="17.399999999999999" x14ac:dyDescent="0.25">
      <c r="A1550" s="16"/>
      <c r="B1550" s="17"/>
      <c r="C1550" s="2"/>
      <c r="D1550" s="2"/>
      <c r="E1550" s="2"/>
      <c r="F1550" s="2"/>
      <c r="G1550" s="2"/>
      <c r="H1550" s="2"/>
      <c r="I1550" s="5"/>
    </row>
    <row r="1551" spans="1:9" ht="17.399999999999999" x14ac:dyDescent="0.25">
      <c r="A1551" s="16"/>
      <c r="B1551" s="17"/>
      <c r="C1551" s="2"/>
      <c r="D1551" s="2"/>
      <c r="E1551" s="2"/>
      <c r="F1551" s="2"/>
      <c r="G1551" s="2"/>
      <c r="H1551" s="2"/>
      <c r="I1551" s="5"/>
    </row>
    <row r="1552" spans="1:9" ht="17.399999999999999" x14ac:dyDescent="0.25">
      <c r="A1552" s="16"/>
      <c r="B1552" s="17"/>
      <c r="C1552" s="2"/>
      <c r="D1552" s="2"/>
      <c r="E1552" s="2"/>
      <c r="F1552" s="2"/>
      <c r="G1552" s="2"/>
      <c r="H1552" s="2"/>
      <c r="I1552" s="5"/>
    </row>
    <row r="1553" spans="1:9" ht="17.399999999999999" x14ac:dyDescent="0.25">
      <c r="A1553" s="16"/>
      <c r="B1553" s="17"/>
      <c r="C1553" s="2"/>
      <c r="D1553" s="2"/>
      <c r="E1553" s="2"/>
      <c r="F1553" s="2"/>
      <c r="G1553" s="2"/>
      <c r="H1553" s="2"/>
      <c r="I1553" s="5"/>
    </row>
    <row r="1554" spans="1:9" ht="17.399999999999999" x14ac:dyDescent="0.25">
      <c r="A1554" s="16"/>
      <c r="B1554" s="17"/>
      <c r="C1554" s="2"/>
      <c r="D1554" s="2"/>
      <c r="E1554" s="2"/>
      <c r="F1554" s="2"/>
      <c r="G1554" s="2"/>
      <c r="H1554" s="2"/>
      <c r="I1554" s="5"/>
    </row>
    <row r="1555" spans="1:9" ht="17.399999999999999" x14ac:dyDescent="0.25">
      <c r="A1555" s="16"/>
      <c r="B1555" s="17"/>
      <c r="C1555" s="2"/>
      <c r="D1555" s="2"/>
      <c r="E1555" s="2"/>
      <c r="F1555" s="2"/>
      <c r="G1555" s="2"/>
      <c r="H1555" s="2"/>
      <c r="I1555" s="5"/>
    </row>
    <row r="1556" spans="1:9" ht="17.399999999999999" x14ac:dyDescent="0.25">
      <c r="A1556" s="16"/>
      <c r="B1556" s="17"/>
      <c r="C1556" s="2"/>
      <c r="D1556" s="2"/>
      <c r="E1556" s="2"/>
      <c r="F1556" s="2"/>
      <c r="G1556" s="2"/>
      <c r="H1556" s="2"/>
      <c r="I1556" s="5"/>
    </row>
    <row r="1557" spans="1:9" ht="17.399999999999999" x14ac:dyDescent="0.25">
      <c r="A1557" s="16"/>
      <c r="B1557" s="17"/>
      <c r="C1557" s="2"/>
      <c r="D1557" s="2"/>
      <c r="E1557" s="2"/>
      <c r="F1557" s="2"/>
      <c r="G1557" s="2"/>
      <c r="H1557" s="2"/>
      <c r="I1557" s="5"/>
    </row>
    <row r="1558" spans="1:9" ht="17.399999999999999" x14ac:dyDescent="0.25">
      <c r="A1558" s="16"/>
      <c r="B1558" s="17"/>
      <c r="C1558" s="2"/>
      <c r="D1558" s="2"/>
      <c r="E1558" s="2"/>
      <c r="F1558" s="2"/>
      <c r="G1558" s="2"/>
      <c r="H1558" s="2"/>
      <c r="I1558" s="5"/>
    </row>
    <row r="1559" spans="1:9" ht="17.399999999999999" x14ac:dyDescent="0.25">
      <c r="A1559" s="16"/>
      <c r="B1559" s="17"/>
      <c r="C1559" s="2"/>
      <c r="D1559" s="2"/>
      <c r="E1559" s="2"/>
      <c r="F1559" s="2"/>
      <c r="G1559" s="2"/>
      <c r="H1559" s="2"/>
      <c r="I1559" s="5"/>
    </row>
    <row r="1560" spans="1:9" ht="17.399999999999999" x14ac:dyDescent="0.25">
      <c r="A1560" s="16"/>
      <c r="B1560" s="17"/>
      <c r="C1560" s="2"/>
      <c r="D1560" s="2"/>
      <c r="E1560" s="2"/>
      <c r="F1560" s="2"/>
      <c r="G1560" s="2"/>
      <c r="H1560" s="2"/>
      <c r="I1560" s="5"/>
    </row>
    <row r="1561" spans="1:9" ht="17.399999999999999" x14ac:dyDescent="0.25">
      <c r="A1561" s="16"/>
      <c r="B1561" s="17"/>
      <c r="C1561" s="2"/>
      <c r="D1561" s="2"/>
      <c r="E1561" s="2"/>
      <c r="F1561" s="2"/>
      <c r="G1561" s="2"/>
      <c r="H1561" s="2"/>
      <c r="I1561" s="5"/>
    </row>
    <row r="1562" spans="1:9" ht="17.399999999999999" x14ac:dyDescent="0.25">
      <c r="A1562" s="16"/>
      <c r="B1562" s="17"/>
      <c r="C1562" s="2"/>
      <c r="D1562" s="2"/>
      <c r="E1562" s="2"/>
      <c r="F1562" s="2"/>
      <c r="G1562" s="2"/>
      <c r="H1562" s="2"/>
      <c r="I1562" s="5"/>
    </row>
    <row r="1563" spans="1:9" ht="17.399999999999999" x14ac:dyDescent="0.25">
      <c r="A1563" s="16"/>
      <c r="B1563" s="17"/>
      <c r="C1563" s="2"/>
      <c r="D1563" s="2"/>
      <c r="E1563" s="2"/>
      <c r="F1563" s="2"/>
      <c r="G1563" s="2"/>
      <c r="H1563" s="2"/>
      <c r="I1563" s="5"/>
    </row>
    <row r="1564" spans="1:9" ht="17.399999999999999" x14ac:dyDescent="0.25">
      <c r="A1564" s="16"/>
      <c r="B1564" s="17"/>
      <c r="C1564" s="2"/>
      <c r="D1564" s="2"/>
      <c r="E1564" s="2"/>
      <c r="F1564" s="2"/>
      <c r="G1564" s="2"/>
      <c r="H1564" s="2"/>
      <c r="I1564" s="5"/>
    </row>
    <row r="1565" spans="1:9" ht="17.399999999999999" x14ac:dyDescent="0.25">
      <c r="A1565" s="16"/>
      <c r="B1565" s="17"/>
      <c r="C1565" s="2"/>
      <c r="D1565" s="2"/>
      <c r="E1565" s="2"/>
      <c r="F1565" s="2"/>
      <c r="G1565" s="2"/>
      <c r="H1565" s="2"/>
      <c r="I1565" s="5"/>
    </row>
    <row r="1566" spans="1:9" ht="17.399999999999999" x14ac:dyDescent="0.25">
      <c r="A1566" s="16"/>
      <c r="B1566" s="17"/>
      <c r="C1566" s="2"/>
      <c r="D1566" s="2"/>
      <c r="E1566" s="2"/>
      <c r="F1566" s="2"/>
      <c r="G1566" s="2"/>
      <c r="H1566" s="2"/>
      <c r="I1566" s="5"/>
    </row>
    <row r="1567" spans="1:9" ht="17.399999999999999" x14ac:dyDescent="0.25">
      <c r="A1567" s="16"/>
      <c r="B1567" s="17"/>
      <c r="C1567" s="2"/>
      <c r="D1567" s="2"/>
      <c r="E1567" s="2"/>
      <c r="F1567" s="2"/>
      <c r="G1567" s="2"/>
      <c r="H1567" s="2"/>
      <c r="I1567" s="5"/>
    </row>
    <row r="1568" spans="1:9" ht="17.399999999999999" x14ac:dyDescent="0.25">
      <c r="A1568" s="16"/>
      <c r="B1568" s="17"/>
      <c r="C1568" s="2"/>
      <c r="D1568" s="2"/>
      <c r="E1568" s="2"/>
      <c r="F1568" s="2"/>
      <c r="G1568" s="2"/>
      <c r="H1568" s="2"/>
      <c r="I1568" s="5"/>
    </row>
    <row r="1569" spans="1:9" ht="17.399999999999999" x14ac:dyDescent="0.25">
      <c r="A1569" s="16"/>
      <c r="B1569" s="17"/>
      <c r="C1569" s="2"/>
      <c r="D1569" s="2"/>
      <c r="E1569" s="2"/>
      <c r="F1569" s="2"/>
      <c r="G1569" s="2"/>
      <c r="H1569" s="2"/>
      <c r="I1569" s="5"/>
    </row>
    <row r="1570" spans="1:9" ht="17.399999999999999" x14ac:dyDescent="0.25">
      <c r="A1570" s="16"/>
      <c r="B1570" s="17"/>
      <c r="C1570" s="2"/>
      <c r="D1570" s="2"/>
      <c r="E1570" s="2"/>
      <c r="F1570" s="2"/>
      <c r="G1570" s="2"/>
      <c r="H1570" s="2"/>
      <c r="I1570" s="5"/>
    </row>
    <row r="1571" spans="1:9" ht="17.399999999999999" x14ac:dyDescent="0.25">
      <c r="A1571" s="16"/>
      <c r="B1571" s="17"/>
      <c r="C1571" s="2"/>
      <c r="D1571" s="2"/>
      <c r="E1571" s="2"/>
      <c r="F1571" s="2"/>
      <c r="G1571" s="2"/>
      <c r="H1571" s="2"/>
      <c r="I1571" s="5"/>
    </row>
    <row r="1572" spans="1:9" ht="17.399999999999999" x14ac:dyDescent="0.25">
      <c r="A1572" s="16"/>
      <c r="B1572" s="17"/>
      <c r="C1572" s="2"/>
      <c r="D1572" s="2"/>
      <c r="E1572" s="2"/>
      <c r="F1572" s="2"/>
      <c r="G1572" s="2"/>
      <c r="H1572" s="2"/>
      <c r="I1572" s="5"/>
    </row>
    <row r="1573" spans="1:9" ht="17.399999999999999" x14ac:dyDescent="0.25">
      <c r="A1573" s="16"/>
      <c r="B1573" s="17"/>
      <c r="C1573" s="2"/>
      <c r="D1573" s="2"/>
      <c r="E1573" s="2"/>
      <c r="F1573" s="2"/>
      <c r="G1573" s="2"/>
      <c r="H1573" s="2"/>
      <c r="I1573" s="5"/>
    </row>
    <row r="1574" spans="1:9" ht="17.399999999999999" x14ac:dyDescent="0.25">
      <c r="A1574" s="16"/>
      <c r="B1574" s="17"/>
      <c r="C1574" s="2"/>
      <c r="D1574" s="2"/>
      <c r="E1574" s="2"/>
      <c r="F1574" s="2"/>
      <c r="G1574" s="2"/>
      <c r="H1574" s="2"/>
      <c r="I1574" s="5"/>
    </row>
    <row r="1575" spans="1:9" ht="17.399999999999999" x14ac:dyDescent="0.25">
      <c r="A1575" s="16"/>
      <c r="B1575" s="17"/>
      <c r="C1575" s="2"/>
      <c r="D1575" s="2"/>
      <c r="E1575" s="2"/>
      <c r="F1575" s="2"/>
      <c r="G1575" s="2"/>
      <c r="H1575" s="2"/>
      <c r="I1575" s="5"/>
    </row>
    <row r="1576" spans="1:9" ht="17.399999999999999" x14ac:dyDescent="0.25">
      <c r="A1576" s="16"/>
      <c r="B1576" s="17"/>
      <c r="C1576" s="2"/>
      <c r="D1576" s="2"/>
      <c r="E1576" s="2"/>
      <c r="F1576" s="2"/>
      <c r="G1576" s="2"/>
      <c r="H1576" s="2"/>
      <c r="I1576" s="5"/>
    </row>
    <row r="1577" spans="1:9" ht="17.399999999999999" x14ac:dyDescent="0.25">
      <c r="A1577" s="16"/>
      <c r="B1577" s="17"/>
      <c r="C1577" s="2"/>
      <c r="D1577" s="2"/>
      <c r="E1577" s="2"/>
      <c r="F1577" s="2"/>
      <c r="G1577" s="2"/>
      <c r="H1577" s="2"/>
      <c r="I1577" s="5"/>
    </row>
    <row r="1578" spans="1:9" ht="17.399999999999999" x14ac:dyDescent="0.25">
      <c r="A1578" s="16"/>
      <c r="B1578" s="17"/>
      <c r="C1578" s="2"/>
      <c r="D1578" s="2"/>
      <c r="E1578" s="2"/>
      <c r="F1578" s="2"/>
      <c r="G1578" s="2"/>
      <c r="H1578" s="2"/>
      <c r="I1578" s="5"/>
    </row>
    <row r="1579" spans="1:9" ht="17.399999999999999" x14ac:dyDescent="0.25">
      <c r="A1579" s="16"/>
      <c r="B1579" s="17"/>
      <c r="C1579" s="2"/>
      <c r="D1579" s="2"/>
      <c r="E1579" s="2"/>
      <c r="F1579" s="2"/>
      <c r="G1579" s="2"/>
      <c r="H1579" s="2"/>
      <c r="I1579" s="5"/>
    </row>
    <row r="1580" spans="1:9" ht="17.399999999999999" x14ac:dyDescent="0.25">
      <c r="A1580" s="16"/>
      <c r="B1580" s="17"/>
      <c r="C1580" s="2"/>
      <c r="D1580" s="2"/>
      <c r="E1580" s="2"/>
      <c r="F1580" s="2"/>
      <c r="G1580" s="2"/>
      <c r="H1580" s="2"/>
      <c r="I1580" s="5"/>
    </row>
    <row r="1581" spans="1:9" ht="17.399999999999999" x14ac:dyDescent="0.25">
      <c r="A1581" s="16"/>
      <c r="B1581" s="17"/>
      <c r="C1581" s="2"/>
      <c r="D1581" s="2"/>
      <c r="E1581" s="2"/>
      <c r="F1581" s="2"/>
      <c r="G1581" s="2"/>
      <c r="H1581" s="2"/>
      <c r="I1581" s="5"/>
    </row>
    <row r="1582" spans="1:9" ht="17.399999999999999" x14ac:dyDescent="0.25">
      <c r="A1582" s="16"/>
      <c r="B1582" s="17"/>
      <c r="C1582" s="2"/>
      <c r="D1582" s="2"/>
      <c r="E1582" s="2"/>
      <c r="F1582" s="2"/>
      <c r="G1582" s="2"/>
      <c r="H1582" s="2"/>
      <c r="I1582" s="5"/>
    </row>
    <row r="1583" spans="1:9" ht="17.399999999999999" x14ac:dyDescent="0.25">
      <c r="A1583" s="16"/>
      <c r="B1583" s="17"/>
      <c r="C1583" s="2"/>
      <c r="D1583" s="2"/>
      <c r="E1583" s="2"/>
      <c r="F1583" s="2"/>
      <c r="G1583" s="2"/>
      <c r="H1583" s="2"/>
      <c r="I1583" s="5"/>
    </row>
    <row r="1584" spans="1:9" ht="17.399999999999999" x14ac:dyDescent="0.25">
      <c r="A1584" s="16"/>
      <c r="B1584" s="17"/>
      <c r="C1584" s="2"/>
      <c r="D1584" s="2"/>
      <c r="E1584" s="2"/>
      <c r="F1584" s="2"/>
      <c r="G1584" s="2"/>
      <c r="H1584" s="2"/>
      <c r="I1584" s="5"/>
    </row>
    <row r="1585" spans="1:9" ht="17.399999999999999" x14ac:dyDescent="0.25">
      <c r="A1585" s="16"/>
      <c r="B1585" s="17"/>
      <c r="C1585" s="2"/>
      <c r="D1585" s="2"/>
      <c r="E1585" s="2"/>
      <c r="F1585" s="2"/>
      <c r="G1585" s="2"/>
      <c r="H1585" s="2"/>
      <c r="I1585" s="5"/>
    </row>
    <row r="1586" spans="1:9" ht="17.399999999999999" x14ac:dyDescent="0.25">
      <c r="A1586" s="16"/>
      <c r="B1586" s="17"/>
      <c r="C1586" s="2"/>
      <c r="D1586" s="2"/>
      <c r="E1586" s="2"/>
      <c r="F1586" s="2"/>
      <c r="G1586" s="2"/>
      <c r="H1586" s="2"/>
      <c r="I1586" s="5"/>
    </row>
    <row r="1587" spans="1:9" ht="17.399999999999999" x14ac:dyDescent="0.25">
      <c r="A1587" s="16"/>
      <c r="B1587" s="17"/>
      <c r="C1587" s="2"/>
      <c r="D1587" s="2"/>
      <c r="E1587" s="2"/>
      <c r="F1587" s="2"/>
      <c r="G1587" s="2"/>
      <c r="H1587" s="2"/>
      <c r="I1587" s="5"/>
    </row>
    <row r="1588" spans="1:9" ht="17.399999999999999" x14ac:dyDescent="0.25">
      <c r="A1588" s="16"/>
      <c r="B1588" s="17"/>
      <c r="C1588" s="2"/>
      <c r="D1588" s="2"/>
      <c r="E1588" s="2"/>
      <c r="F1588" s="2"/>
      <c r="G1588" s="2"/>
      <c r="H1588" s="2"/>
      <c r="I1588" s="5"/>
    </row>
    <row r="1589" spans="1:9" ht="17.399999999999999" x14ac:dyDescent="0.25">
      <c r="A1589" s="16"/>
      <c r="B1589" s="17"/>
      <c r="C1589" s="2"/>
      <c r="D1589" s="2"/>
      <c r="E1589" s="2"/>
      <c r="F1589" s="2"/>
      <c r="G1589" s="2"/>
      <c r="H1589" s="2"/>
      <c r="I1589" s="5"/>
    </row>
    <row r="1590" spans="1:9" ht="17.399999999999999" x14ac:dyDescent="0.25">
      <c r="A1590" s="16"/>
      <c r="B1590" s="17"/>
      <c r="C1590" s="2"/>
      <c r="D1590" s="2"/>
      <c r="E1590" s="2"/>
      <c r="F1590" s="2"/>
      <c r="G1590" s="2"/>
      <c r="H1590" s="2"/>
      <c r="I1590" s="5"/>
    </row>
    <row r="1591" spans="1:9" ht="17.399999999999999" x14ac:dyDescent="0.25">
      <c r="A1591" s="16"/>
      <c r="B1591" s="17"/>
      <c r="C1591" s="2"/>
      <c r="D1591" s="2"/>
      <c r="E1591" s="2"/>
      <c r="F1591" s="2"/>
      <c r="G1591" s="2"/>
      <c r="H1591" s="2"/>
      <c r="I1591" s="5"/>
    </row>
    <row r="1592" spans="1:9" ht="17.399999999999999" x14ac:dyDescent="0.25">
      <c r="A1592" s="16"/>
      <c r="B1592" s="17"/>
      <c r="C1592" s="2"/>
      <c r="D1592" s="2"/>
      <c r="E1592" s="2"/>
      <c r="F1592" s="2"/>
      <c r="G1592" s="2"/>
      <c r="H1592" s="2"/>
      <c r="I1592" s="5"/>
    </row>
    <row r="1593" spans="1:9" ht="17.399999999999999" x14ac:dyDescent="0.25">
      <c r="A1593" s="16"/>
      <c r="B1593" s="17"/>
      <c r="C1593" s="2"/>
      <c r="D1593" s="2"/>
      <c r="E1593" s="2"/>
      <c r="F1593" s="2"/>
      <c r="G1593" s="2"/>
      <c r="H1593" s="2"/>
      <c r="I1593" s="5"/>
    </row>
    <row r="1594" spans="1:9" ht="17.399999999999999" x14ac:dyDescent="0.25">
      <c r="A1594" s="16"/>
      <c r="B1594" s="17"/>
      <c r="C1594" s="2"/>
      <c r="D1594" s="2"/>
      <c r="E1594" s="2"/>
      <c r="F1594" s="2"/>
      <c r="G1594" s="2"/>
      <c r="H1594" s="2"/>
      <c r="I1594" s="5"/>
    </row>
    <row r="1595" spans="1:9" ht="17.399999999999999" x14ac:dyDescent="0.25">
      <c r="A1595" s="16"/>
      <c r="B1595" s="17"/>
      <c r="C1595" s="2"/>
      <c r="D1595" s="2"/>
      <c r="E1595" s="2"/>
      <c r="F1595" s="2"/>
      <c r="G1595" s="2"/>
      <c r="H1595" s="2"/>
      <c r="I1595" s="5"/>
    </row>
    <row r="1596" spans="1:9" ht="17.399999999999999" x14ac:dyDescent="0.25">
      <c r="A1596" s="16"/>
      <c r="B1596" s="17"/>
      <c r="C1596" s="2"/>
      <c r="D1596" s="2"/>
      <c r="E1596" s="2"/>
      <c r="F1596" s="2"/>
      <c r="G1596" s="2"/>
      <c r="H1596" s="2"/>
      <c r="I1596" s="5"/>
    </row>
    <row r="1597" spans="1:9" ht="17.399999999999999" x14ac:dyDescent="0.25">
      <c r="A1597" s="16"/>
      <c r="B1597" s="17"/>
      <c r="C1597" s="2"/>
      <c r="D1597" s="2"/>
      <c r="E1597" s="2"/>
      <c r="F1597" s="2"/>
      <c r="G1597" s="2"/>
      <c r="H1597" s="2"/>
      <c r="I1597" s="5"/>
    </row>
    <row r="1598" spans="1:9" ht="17.399999999999999" x14ac:dyDescent="0.25">
      <c r="A1598" s="16"/>
      <c r="B1598" s="17"/>
      <c r="C1598" s="2"/>
      <c r="D1598" s="2"/>
      <c r="E1598" s="2"/>
      <c r="F1598" s="2"/>
      <c r="G1598" s="2"/>
      <c r="H1598" s="2"/>
      <c r="I1598" s="5"/>
    </row>
    <row r="1599" spans="1:9" ht="17.399999999999999" x14ac:dyDescent="0.25">
      <c r="A1599" s="16"/>
      <c r="B1599" s="17"/>
      <c r="C1599" s="2"/>
      <c r="D1599" s="2"/>
      <c r="E1599" s="2"/>
      <c r="F1599" s="2"/>
      <c r="G1599" s="2"/>
      <c r="H1599" s="2"/>
      <c r="I1599" s="5"/>
    </row>
    <row r="1600" spans="1:9" ht="17.399999999999999" x14ac:dyDescent="0.25">
      <c r="A1600" s="16"/>
      <c r="B1600" s="17"/>
      <c r="C1600" s="2"/>
      <c r="D1600" s="2"/>
      <c r="E1600" s="2"/>
      <c r="F1600" s="2"/>
      <c r="G1600" s="2"/>
      <c r="H1600" s="2"/>
      <c r="I1600" s="5"/>
    </row>
    <row r="1601" spans="1:9" ht="17.399999999999999" x14ac:dyDescent="0.25">
      <c r="A1601" s="16"/>
      <c r="B1601" s="17"/>
      <c r="C1601" s="2"/>
      <c r="D1601" s="2"/>
      <c r="E1601" s="2"/>
      <c r="F1601" s="2"/>
      <c r="G1601" s="2"/>
      <c r="H1601" s="2"/>
      <c r="I1601" s="5"/>
    </row>
    <row r="1602" spans="1:9" ht="17.399999999999999" x14ac:dyDescent="0.25">
      <c r="A1602" s="16"/>
      <c r="B1602" s="17"/>
      <c r="C1602" s="2"/>
      <c r="D1602" s="2"/>
      <c r="E1602" s="2"/>
      <c r="F1602" s="2"/>
      <c r="G1602" s="2"/>
      <c r="H1602" s="2"/>
      <c r="I1602" s="5"/>
    </row>
    <row r="1603" spans="1:9" ht="17.399999999999999" x14ac:dyDescent="0.25">
      <c r="A1603" s="16"/>
      <c r="B1603" s="17"/>
      <c r="C1603" s="2"/>
      <c r="D1603" s="2"/>
      <c r="E1603" s="2"/>
      <c r="F1603" s="2"/>
      <c r="G1603" s="2"/>
      <c r="H1603" s="2"/>
      <c r="I1603" s="5"/>
    </row>
    <row r="1604" spans="1:9" ht="17.399999999999999" x14ac:dyDescent="0.25">
      <c r="A1604" s="16"/>
      <c r="B1604" s="17"/>
      <c r="C1604" s="2"/>
      <c r="D1604" s="2"/>
      <c r="E1604" s="2"/>
      <c r="F1604" s="2"/>
      <c r="G1604" s="2"/>
      <c r="H1604" s="2"/>
      <c r="I1604" s="5"/>
    </row>
    <row r="1605" spans="1:9" ht="17.399999999999999" x14ac:dyDescent="0.25">
      <c r="A1605" s="16"/>
      <c r="B1605" s="17"/>
      <c r="C1605" s="2"/>
      <c r="D1605" s="2"/>
      <c r="E1605" s="2"/>
      <c r="F1605" s="2"/>
      <c r="G1605" s="2"/>
      <c r="H1605" s="2"/>
      <c r="I1605" s="5"/>
    </row>
    <row r="1606" spans="1:9" ht="17.399999999999999" x14ac:dyDescent="0.25">
      <c r="A1606" s="16"/>
      <c r="B1606" s="17"/>
      <c r="C1606" s="2"/>
      <c r="D1606" s="2"/>
      <c r="E1606" s="2"/>
      <c r="F1606" s="2"/>
      <c r="G1606" s="2"/>
      <c r="H1606" s="2"/>
      <c r="I1606" s="5"/>
    </row>
    <row r="1607" spans="1:9" ht="17.399999999999999" x14ac:dyDescent="0.25">
      <c r="A1607" s="16"/>
      <c r="B1607" s="17"/>
      <c r="C1607" s="2"/>
      <c r="D1607" s="2"/>
      <c r="E1607" s="2"/>
      <c r="F1607" s="2"/>
      <c r="G1607" s="2"/>
      <c r="H1607" s="2"/>
      <c r="I1607" s="5"/>
    </row>
    <row r="1608" spans="1:9" ht="17.399999999999999" x14ac:dyDescent="0.25">
      <c r="A1608" s="16"/>
      <c r="B1608" s="17"/>
      <c r="C1608" s="2"/>
      <c r="D1608" s="2"/>
      <c r="E1608" s="2"/>
      <c r="F1608" s="2"/>
      <c r="G1608" s="2"/>
      <c r="H1608" s="2"/>
      <c r="I1608" s="5"/>
    </row>
    <row r="1609" spans="1:9" ht="17.399999999999999" x14ac:dyDescent="0.25">
      <c r="A1609" s="16"/>
      <c r="B1609" s="17"/>
      <c r="C1609" s="2"/>
      <c r="D1609" s="2"/>
      <c r="E1609" s="2"/>
      <c r="F1609" s="2"/>
      <c r="G1609" s="2"/>
      <c r="H1609" s="2"/>
      <c r="I1609" s="5"/>
    </row>
    <row r="1610" spans="1:9" ht="17.399999999999999" x14ac:dyDescent="0.25">
      <c r="A1610" s="16"/>
      <c r="B1610" s="17"/>
      <c r="C1610" s="2"/>
      <c r="D1610" s="2"/>
      <c r="E1610" s="2"/>
      <c r="F1610" s="2"/>
      <c r="G1610" s="2"/>
      <c r="H1610" s="2"/>
      <c r="I1610" s="5"/>
    </row>
    <row r="1611" spans="1:9" ht="17.399999999999999" x14ac:dyDescent="0.25">
      <c r="A1611" s="16"/>
      <c r="B1611" s="17"/>
      <c r="C1611" s="2"/>
      <c r="D1611" s="2"/>
      <c r="E1611" s="2"/>
      <c r="F1611" s="2"/>
      <c r="G1611" s="2"/>
      <c r="H1611" s="2"/>
      <c r="I1611" s="5"/>
    </row>
    <row r="1612" spans="1:9" ht="17.399999999999999" x14ac:dyDescent="0.25">
      <c r="A1612" s="16"/>
      <c r="B1612" s="17"/>
      <c r="C1612" s="2"/>
      <c r="D1612" s="2"/>
      <c r="E1612" s="2"/>
      <c r="F1612" s="2"/>
      <c r="G1612" s="2"/>
      <c r="H1612" s="2"/>
      <c r="I1612" s="5"/>
    </row>
    <row r="1613" spans="1:9" ht="17.399999999999999" x14ac:dyDescent="0.25">
      <c r="A1613" s="16"/>
      <c r="B1613" s="17"/>
      <c r="C1613" s="2"/>
      <c r="D1613" s="2"/>
      <c r="E1613" s="2"/>
      <c r="F1613" s="2"/>
      <c r="G1613" s="2"/>
      <c r="H1613" s="2"/>
      <c r="I1613" s="5"/>
    </row>
    <row r="1614" spans="1:9" ht="17.399999999999999" x14ac:dyDescent="0.25">
      <c r="A1614" s="16"/>
      <c r="B1614" s="17"/>
      <c r="C1614" s="2"/>
      <c r="D1614" s="2"/>
      <c r="E1614" s="2"/>
      <c r="F1614" s="2"/>
      <c r="G1614" s="2"/>
      <c r="H1614" s="2"/>
      <c r="I1614" s="5"/>
    </row>
    <row r="1615" spans="1:9" ht="17.399999999999999" x14ac:dyDescent="0.25">
      <c r="A1615" s="16"/>
      <c r="B1615" s="17"/>
      <c r="C1615" s="2"/>
      <c r="D1615" s="2"/>
      <c r="E1615" s="2"/>
      <c r="F1615" s="2"/>
      <c r="G1615" s="2"/>
      <c r="H1615" s="2"/>
      <c r="I1615" s="5"/>
    </row>
    <row r="1616" spans="1:9" ht="17.399999999999999" x14ac:dyDescent="0.25">
      <c r="A1616" s="16"/>
      <c r="B1616" s="17"/>
      <c r="C1616" s="2"/>
      <c r="D1616" s="2"/>
      <c r="E1616" s="2"/>
      <c r="F1616" s="2"/>
      <c r="G1616" s="2"/>
      <c r="H1616" s="2"/>
      <c r="I1616" s="5"/>
    </row>
    <row r="1617" spans="1:9" ht="17.399999999999999" x14ac:dyDescent="0.25">
      <c r="A1617" s="16"/>
      <c r="B1617" s="17"/>
      <c r="C1617" s="2"/>
      <c r="D1617" s="2"/>
      <c r="E1617" s="2"/>
      <c r="F1617" s="2"/>
      <c r="G1617" s="2"/>
      <c r="H1617" s="2"/>
      <c r="I1617" s="5"/>
    </row>
    <row r="1618" spans="1:9" ht="17.399999999999999" x14ac:dyDescent="0.25">
      <c r="A1618" s="16"/>
      <c r="B1618" s="17"/>
      <c r="C1618" s="2"/>
      <c r="D1618" s="2"/>
      <c r="E1618" s="2"/>
      <c r="F1618" s="2"/>
      <c r="G1618" s="2"/>
      <c r="H1618" s="2"/>
      <c r="I1618" s="5"/>
    </row>
    <row r="1619" spans="1:9" ht="17.399999999999999" x14ac:dyDescent="0.25">
      <c r="A1619" s="16"/>
      <c r="B1619" s="17"/>
      <c r="C1619" s="2"/>
      <c r="D1619" s="2"/>
      <c r="E1619" s="2"/>
      <c r="F1619" s="2"/>
      <c r="G1619" s="2"/>
      <c r="H1619" s="2"/>
      <c r="I1619" s="5"/>
    </row>
    <row r="1620" spans="1:9" ht="17.399999999999999" x14ac:dyDescent="0.25">
      <c r="A1620" s="16"/>
      <c r="B1620" s="17"/>
      <c r="C1620" s="2"/>
      <c r="D1620" s="2"/>
      <c r="E1620" s="2"/>
      <c r="F1620" s="2"/>
      <c r="G1620" s="2"/>
      <c r="H1620" s="2"/>
      <c r="I1620" s="5"/>
    </row>
    <row r="1621" spans="1:9" ht="17.399999999999999" x14ac:dyDescent="0.25">
      <c r="A1621" s="16"/>
      <c r="B1621" s="17"/>
      <c r="C1621" s="2"/>
      <c r="D1621" s="2"/>
      <c r="E1621" s="2"/>
      <c r="F1621" s="2"/>
      <c r="G1621" s="2"/>
      <c r="H1621" s="2"/>
      <c r="I1621" s="5"/>
    </row>
    <row r="1622" spans="1:9" ht="17.399999999999999" x14ac:dyDescent="0.25">
      <c r="A1622" s="16"/>
      <c r="B1622" s="17"/>
      <c r="C1622" s="2"/>
      <c r="D1622" s="2"/>
      <c r="E1622" s="2"/>
      <c r="F1622" s="2"/>
      <c r="G1622" s="2"/>
      <c r="H1622" s="2"/>
      <c r="I1622" s="5"/>
    </row>
    <row r="1623" spans="1:9" ht="17.399999999999999" x14ac:dyDescent="0.25">
      <c r="A1623" s="16"/>
      <c r="B1623" s="17"/>
      <c r="C1623" s="2"/>
      <c r="D1623" s="2"/>
      <c r="E1623" s="2"/>
      <c r="F1623" s="2"/>
      <c r="G1623" s="2"/>
      <c r="H1623" s="2"/>
      <c r="I1623" s="5"/>
    </row>
    <row r="1624" spans="1:9" ht="17.399999999999999" x14ac:dyDescent="0.25">
      <c r="A1624" s="16"/>
      <c r="B1624" s="17"/>
      <c r="C1624" s="2"/>
      <c r="D1624" s="2"/>
      <c r="E1624" s="2"/>
      <c r="F1624" s="2"/>
      <c r="G1624" s="2"/>
      <c r="H1624" s="2"/>
      <c r="I1624" s="5"/>
    </row>
    <row r="1625" spans="1:9" ht="17.399999999999999" x14ac:dyDescent="0.25">
      <c r="A1625" s="16"/>
      <c r="B1625" s="17"/>
      <c r="C1625" s="2"/>
      <c r="D1625" s="2"/>
      <c r="E1625" s="2"/>
      <c r="F1625" s="2"/>
      <c r="G1625" s="2"/>
      <c r="H1625" s="2"/>
      <c r="I1625" s="5"/>
    </row>
    <row r="1626" spans="1:9" ht="17.399999999999999" x14ac:dyDescent="0.25">
      <c r="A1626" s="16"/>
      <c r="B1626" s="17"/>
      <c r="C1626" s="2"/>
      <c r="D1626" s="2"/>
      <c r="E1626" s="2"/>
      <c r="F1626" s="2"/>
      <c r="G1626" s="2"/>
      <c r="H1626" s="2"/>
      <c r="I1626" s="5"/>
    </row>
    <row r="1627" spans="1:9" ht="17.399999999999999" x14ac:dyDescent="0.25">
      <c r="A1627" s="16"/>
      <c r="B1627" s="17"/>
      <c r="C1627" s="2"/>
      <c r="D1627" s="2"/>
      <c r="E1627" s="2"/>
      <c r="F1627" s="2"/>
      <c r="G1627" s="2"/>
      <c r="H1627" s="2"/>
      <c r="I1627" s="5"/>
    </row>
    <row r="1628" spans="1:9" ht="17.399999999999999" x14ac:dyDescent="0.25">
      <c r="A1628" s="16"/>
      <c r="B1628" s="17"/>
      <c r="C1628" s="2"/>
      <c r="D1628" s="2"/>
      <c r="E1628" s="2"/>
      <c r="F1628" s="2"/>
      <c r="G1628" s="2"/>
      <c r="H1628" s="2"/>
      <c r="I1628" s="5"/>
    </row>
    <row r="1629" spans="1:9" ht="17.399999999999999" x14ac:dyDescent="0.25">
      <c r="A1629" s="16"/>
      <c r="B1629" s="17"/>
      <c r="C1629" s="2"/>
      <c r="D1629" s="2"/>
      <c r="E1629" s="2"/>
      <c r="F1629" s="2"/>
      <c r="G1629" s="2"/>
      <c r="H1629" s="2"/>
      <c r="I1629" s="5"/>
    </row>
    <row r="1630" spans="1:9" ht="17.399999999999999" x14ac:dyDescent="0.25">
      <c r="A1630" s="16"/>
      <c r="B1630" s="17"/>
      <c r="C1630" s="2"/>
      <c r="D1630" s="2"/>
      <c r="E1630" s="2"/>
      <c r="F1630" s="2"/>
      <c r="G1630" s="2"/>
      <c r="H1630" s="2"/>
      <c r="I1630" s="5"/>
    </row>
    <row r="1631" spans="1:9" ht="17.399999999999999" x14ac:dyDescent="0.25">
      <c r="A1631" s="16"/>
      <c r="B1631" s="17"/>
      <c r="C1631" s="2"/>
      <c r="D1631" s="2"/>
      <c r="E1631" s="2"/>
      <c r="F1631" s="2"/>
      <c r="G1631" s="2"/>
      <c r="H1631" s="2"/>
      <c r="I1631" s="5"/>
    </row>
    <row r="1632" spans="1:9" ht="17.399999999999999" x14ac:dyDescent="0.25">
      <c r="A1632" s="16"/>
      <c r="B1632" s="17"/>
      <c r="C1632" s="2"/>
      <c r="D1632" s="2"/>
      <c r="E1632" s="2"/>
      <c r="F1632" s="2"/>
      <c r="G1632" s="2"/>
      <c r="H1632" s="2"/>
      <c r="I1632" s="5"/>
    </row>
    <row r="1633" spans="1:9" ht="17.399999999999999" x14ac:dyDescent="0.25">
      <c r="A1633" s="16"/>
      <c r="B1633" s="17"/>
      <c r="C1633" s="2"/>
      <c r="D1633" s="2"/>
      <c r="E1633" s="2"/>
      <c r="F1633" s="2"/>
      <c r="G1633" s="2"/>
      <c r="H1633" s="2"/>
      <c r="I1633" s="5"/>
    </row>
    <row r="1634" spans="1:9" ht="17.399999999999999" x14ac:dyDescent="0.25">
      <c r="A1634" s="16"/>
      <c r="B1634" s="17"/>
      <c r="C1634" s="2"/>
      <c r="D1634" s="2"/>
      <c r="E1634" s="2"/>
      <c r="F1634" s="2"/>
      <c r="G1634" s="2"/>
      <c r="H1634" s="2"/>
      <c r="I1634" s="5"/>
    </row>
    <row r="1635" spans="1:9" ht="17.399999999999999" x14ac:dyDescent="0.25">
      <c r="A1635" s="16"/>
      <c r="B1635" s="17"/>
      <c r="C1635" s="2"/>
      <c r="D1635" s="2"/>
      <c r="E1635" s="2"/>
      <c r="F1635" s="2"/>
      <c r="G1635" s="2"/>
      <c r="H1635" s="2"/>
      <c r="I1635" s="5"/>
    </row>
    <row r="1636" spans="1:9" ht="17.399999999999999" x14ac:dyDescent="0.25">
      <c r="A1636" s="16"/>
      <c r="B1636" s="17"/>
      <c r="C1636" s="2"/>
      <c r="D1636" s="2"/>
      <c r="E1636" s="2"/>
      <c r="F1636" s="2"/>
      <c r="G1636" s="2"/>
      <c r="H1636" s="2"/>
      <c r="I1636" s="5"/>
    </row>
    <row r="1637" spans="1:9" ht="17.399999999999999" x14ac:dyDescent="0.25">
      <c r="A1637" s="16"/>
      <c r="B1637" s="17"/>
      <c r="C1637" s="2"/>
      <c r="D1637" s="2"/>
      <c r="E1637" s="2"/>
      <c r="F1637" s="2"/>
      <c r="G1637" s="2"/>
      <c r="H1637" s="2"/>
      <c r="I1637" s="5"/>
    </row>
    <row r="1638" spans="1:9" ht="17.399999999999999" x14ac:dyDescent="0.25">
      <c r="A1638" s="16"/>
      <c r="B1638" s="17"/>
      <c r="C1638" s="2"/>
      <c r="D1638" s="2"/>
      <c r="E1638" s="2"/>
      <c r="F1638" s="2"/>
      <c r="G1638" s="2"/>
      <c r="H1638" s="2"/>
      <c r="I1638" s="5"/>
    </row>
    <row r="1639" spans="1:9" ht="17.399999999999999" x14ac:dyDescent="0.25">
      <c r="A1639" s="16"/>
      <c r="B1639" s="17"/>
      <c r="C1639" s="2"/>
      <c r="D1639" s="2"/>
      <c r="E1639" s="2"/>
      <c r="F1639" s="2"/>
      <c r="G1639" s="2"/>
      <c r="H1639" s="2"/>
      <c r="I1639" s="5"/>
    </row>
    <row r="1640" spans="1:9" ht="17.399999999999999" x14ac:dyDescent="0.25">
      <c r="A1640" s="16"/>
      <c r="B1640" s="17"/>
      <c r="C1640" s="2"/>
      <c r="D1640" s="2"/>
      <c r="E1640" s="2"/>
      <c r="F1640" s="2"/>
      <c r="G1640" s="2"/>
      <c r="H1640" s="2"/>
      <c r="I1640" s="5"/>
    </row>
    <row r="1641" spans="1:9" ht="17.399999999999999" x14ac:dyDescent="0.25">
      <c r="A1641" s="16"/>
      <c r="B1641" s="17"/>
      <c r="C1641" s="2"/>
      <c r="D1641" s="2"/>
      <c r="E1641" s="2"/>
      <c r="F1641" s="2"/>
      <c r="G1641" s="2"/>
      <c r="H1641" s="2"/>
      <c r="I1641" s="5"/>
    </row>
    <row r="1642" spans="1:9" ht="17.399999999999999" x14ac:dyDescent="0.25">
      <c r="A1642" s="16"/>
      <c r="B1642" s="17"/>
      <c r="C1642" s="2"/>
      <c r="D1642" s="2"/>
      <c r="E1642" s="2"/>
      <c r="F1642" s="2"/>
      <c r="G1642" s="2"/>
      <c r="H1642" s="2"/>
      <c r="I1642" s="5"/>
    </row>
    <row r="1643" spans="1:9" ht="17.399999999999999" x14ac:dyDescent="0.25">
      <c r="A1643" s="16"/>
      <c r="B1643" s="17"/>
      <c r="C1643" s="2"/>
      <c r="D1643" s="2"/>
      <c r="E1643" s="2"/>
      <c r="F1643" s="2"/>
      <c r="G1643" s="2"/>
      <c r="H1643" s="2"/>
      <c r="I1643" s="5"/>
    </row>
    <row r="1644" spans="1:9" ht="17.399999999999999" x14ac:dyDescent="0.25">
      <c r="A1644" s="16"/>
      <c r="B1644" s="17"/>
      <c r="C1644" s="2"/>
      <c r="D1644" s="2"/>
      <c r="E1644" s="2"/>
      <c r="F1644" s="2"/>
      <c r="G1644" s="2"/>
      <c r="H1644" s="2"/>
      <c r="I1644" s="5"/>
    </row>
    <row r="1645" spans="1:9" ht="17.399999999999999" x14ac:dyDescent="0.25">
      <c r="A1645" s="16"/>
      <c r="B1645" s="17"/>
      <c r="C1645" s="2"/>
      <c r="D1645" s="2"/>
      <c r="E1645" s="2"/>
      <c r="F1645" s="2"/>
      <c r="G1645" s="2"/>
      <c r="H1645" s="2"/>
      <c r="I1645" s="5"/>
    </row>
    <row r="1646" spans="1:9" ht="17.399999999999999" x14ac:dyDescent="0.25">
      <c r="A1646" s="16"/>
      <c r="B1646" s="17"/>
      <c r="C1646" s="2"/>
      <c r="D1646" s="2"/>
      <c r="E1646" s="2"/>
      <c r="F1646" s="2"/>
      <c r="G1646" s="2"/>
      <c r="H1646" s="2"/>
      <c r="I1646" s="5"/>
    </row>
    <row r="1647" spans="1:9" ht="17.399999999999999" x14ac:dyDescent="0.25">
      <c r="A1647" s="16"/>
      <c r="B1647" s="17"/>
      <c r="C1647" s="2"/>
      <c r="D1647" s="2"/>
      <c r="E1647" s="2"/>
      <c r="F1647" s="2"/>
      <c r="G1647" s="2"/>
      <c r="H1647" s="2"/>
      <c r="I1647" s="5"/>
    </row>
    <row r="1648" spans="1:9" ht="17.399999999999999" x14ac:dyDescent="0.25">
      <c r="A1648" s="16"/>
      <c r="B1648" s="17"/>
      <c r="C1648" s="2"/>
      <c r="D1648" s="2"/>
      <c r="E1648" s="2"/>
      <c r="F1648" s="2"/>
      <c r="G1648" s="2"/>
      <c r="H1648" s="2"/>
      <c r="I1648" s="5"/>
    </row>
    <row r="1649" spans="1:9" ht="17.399999999999999" x14ac:dyDescent="0.25">
      <c r="A1649" s="16"/>
      <c r="B1649" s="17"/>
      <c r="C1649" s="2"/>
      <c r="D1649" s="2"/>
      <c r="E1649" s="2"/>
      <c r="F1649" s="2"/>
      <c r="G1649" s="2"/>
      <c r="H1649" s="2"/>
      <c r="I1649" s="5"/>
    </row>
    <row r="1650" spans="1:9" ht="17.399999999999999" x14ac:dyDescent="0.25">
      <c r="A1650" s="16"/>
      <c r="B1650" s="17"/>
      <c r="C1650" s="2"/>
      <c r="D1650" s="2"/>
      <c r="E1650" s="2"/>
      <c r="F1650" s="2"/>
      <c r="G1650" s="2"/>
      <c r="H1650" s="2"/>
      <c r="I1650" s="5"/>
    </row>
    <row r="1651" spans="1:9" ht="17.399999999999999" x14ac:dyDescent="0.25">
      <c r="A1651" s="16"/>
      <c r="B1651" s="17"/>
      <c r="C1651" s="2"/>
      <c r="D1651" s="2"/>
      <c r="E1651" s="2"/>
      <c r="F1651" s="2"/>
      <c r="G1651" s="2"/>
      <c r="H1651" s="2"/>
      <c r="I1651" s="5"/>
    </row>
    <row r="1652" spans="1:9" ht="17.399999999999999" x14ac:dyDescent="0.25">
      <c r="A1652" s="16"/>
      <c r="B1652" s="17"/>
      <c r="C1652" s="2"/>
      <c r="D1652" s="2"/>
      <c r="E1652" s="2"/>
      <c r="F1652" s="2"/>
      <c r="G1652" s="2"/>
      <c r="H1652" s="2"/>
      <c r="I1652" s="5"/>
    </row>
    <row r="1653" spans="1:9" ht="17.399999999999999" x14ac:dyDescent="0.25">
      <c r="A1653" s="16"/>
      <c r="B1653" s="17"/>
      <c r="C1653" s="2"/>
      <c r="D1653" s="2"/>
      <c r="E1653" s="2"/>
      <c r="F1653" s="2"/>
      <c r="G1653" s="2"/>
      <c r="H1653" s="2"/>
      <c r="I1653" s="5"/>
    </row>
    <row r="1654" spans="1:9" ht="17.399999999999999" x14ac:dyDescent="0.25">
      <c r="A1654" s="16"/>
      <c r="B1654" s="17"/>
      <c r="C1654" s="2"/>
      <c r="D1654" s="2"/>
      <c r="E1654" s="2"/>
      <c r="F1654" s="2"/>
      <c r="G1654" s="2"/>
      <c r="H1654" s="2"/>
      <c r="I1654" s="5"/>
    </row>
    <row r="1655" spans="1:9" ht="17.399999999999999" x14ac:dyDescent="0.25">
      <c r="A1655" s="16"/>
      <c r="B1655" s="17"/>
      <c r="C1655" s="2"/>
      <c r="D1655" s="2"/>
      <c r="E1655" s="2"/>
      <c r="F1655" s="2"/>
      <c r="G1655" s="2"/>
      <c r="H1655" s="2"/>
      <c r="I1655" s="5"/>
    </row>
    <row r="1656" spans="1:9" ht="17.399999999999999" x14ac:dyDescent="0.25">
      <c r="A1656" s="16"/>
      <c r="B1656" s="17"/>
      <c r="C1656" s="2"/>
      <c r="D1656" s="2"/>
      <c r="E1656" s="2"/>
      <c r="F1656" s="2"/>
      <c r="G1656" s="2"/>
      <c r="H1656" s="2"/>
      <c r="I1656" s="5"/>
    </row>
    <row r="1657" spans="1:9" ht="17.399999999999999" x14ac:dyDescent="0.25">
      <c r="A1657" s="16"/>
      <c r="B1657" s="17"/>
      <c r="C1657" s="2"/>
      <c r="D1657" s="2"/>
      <c r="E1657" s="2"/>
      <c r="F1657" s="2"/>
      <c r="G1657" s="2"/>
      <c r="H1657" s="2"/>
      <c r="I1657" s="5"/>
    </row>
    <row r="1658" spans="1:9" ht="17.399999999999999" x14ac:dyDescent="0.25">
      <c r="A1658" s="16"/>
      <c r="B1658" s="17"/>
      <c r="C1658" s="2"/>
      <c r="D1658" s="2"/>
      <c r="E1658" s="2"/>
      <c r="F1658" s="2"/>
      <c r="G1658" s="2"/>
      <c r="H1658" s="2"/>
      <c r="I1658" s="5"/>
    </row>
    <row r="1659" spans="1:9" ht="17.399999999999999" x14ac:dyDescent="0.25">
      <c r="A1659" s="16"/>
      <c r="B1659" s="17"/>
      <c r="C1659" s="2"/>
      <c r="D1659" s="2"/>
      <c r="E1659" s="2"/>
      <c r="F1659" s="2"/>
      <c r="G1659" s="2"/>
      <c r="H1659" s="2"/>
      <c r="I1659" s="5"/>
    </row>
    <row r="1660" spans="1:9" ht="17.399999999999999" x14ac:dyDescent="0.25">
      <c r="A1660" s="16"/>
      <c r="B1660" s="17"/>
      <c r="C1660" s="2"/>
      <c r="D1660" s="2"/>
      <c r="E1660" s="2"/>
      <c r="F1660" s="2"/>
      <c r="G1660" s="2"/>
      <c r="H1660" s="2"/>
      <c r="I1660" s="5"/>
    </row>
    <row r="1661" spans="1:9" ht="17.399999999999999" x14ac:dyDescent="0.25">
      <c r="A1661" s="16"/>
      <c r="B1661" s="17"/>
      <c r="C1661" s="2"/>
      <c r="D1661" s="2"/>
      <c r="E1661" s="2"/>
      <c r="F1661" s="2"/>
      <c r="G1661" s="2"/>
      <c r="H1661" s="2"/>
      <c r="I1661" s="5"/>
    </row>
    <row r="1662" spans="1:9" ht="17.399999999999999" x14ac:dyDescent="0.25">
      <c r="A1662" s="16"/>
      <c r="B1662" s="17"/>
      <c r="C1662" s="2"/>
      <c r="D1662" s="2"/>
      <c r="E1662" s="2"/>
      <c r="F1662" s="2"/>
      <c r="G1662" s="2"/>
      <c r="H1662" s="2"/>
      <c r="I1662" s="5"/>
    </row>
    <row r="1663" spans="1:9" ht="17.399999999999999" x14ac:dyDescent="0.25">
      <c r="A1663" s="16"/>
      <c r="B1663" s="17"/>
      <c r="C1663" s="2"/>
      <c r="D1663" s="2"/>
      <c r="E1663" s="2"/>
      <c r="F1663" s="2"/>
      <c r="G1663" s="2"/>
      <c r="H1663" s="2"/>
      <c r="I1663" s="5"/>
    </row>
    <row r="1664" spans="1:9" ht="17.399999999999999" x14ac:dyDescent="0.25">
      <c r="A1664" s="16"/>
      <c r="B1664" s="17"/>
      <c r="C1664" s="2"/>
      <c r="D1664" s="2"/>
      <c r="E1664" s="2"/>
      <c r="F1664" s="2"/>
      <c r="G1664" s="2"/>
      <c r="H1664" s="2"/>
      <c r="I1664" s="5"/>
    </row>
    <row r="1665" spans="1:9" ht="17.399999999999999" x14ac:dyDescent="0.25">
      <c r="A1665" s="16"/>
      <c r="B1665" s="17"/>
      <c r="C1665" s="2"/>
      <c r="D1665" s="2"/>
      <c r="E1665" s="2"/>
      <c r="F1665" s="2"/>
      <c r="G1665" s="2"/>
      <c r="H1665" s="2"/>
      <c r="I1665" s="5"/>
    </row>
    <row r="1666" spans="1:9" ht="17.399999999999999" x14ac:dyDescent="0.25">
      <c r="A1666" s="16"/>
      <c r="B1666" s="17"/>
      <c r="C1666" s="2"/>
      <c r="D1666" s="2"/>
      <c r="E1666" s="2"/>
      <c r="F1666" s="2"/>
      <c r="G1666" s="2"/>
      <c r="H1666" s="2"/>
      <c r="I1666" s="5"/>
    </row>
    <row r="1667" spans="1:9" ht="17.399999999999999" x14ac:dyDescent="0.25">
      <c r="A1667" s="16"/>
      <c r="B1667" s="17"/>
      <c r="C1667" s="2"/>
      <c r="D1667" s="2"/>
      <c r="E1667" s="2"/>
      <c r="F1667" s="2"/>
      <c r="G1667" s="2"/>
      <c r="H1667" s="2"/>
      <c r="I1667" s="5"/>
    </row>
    <row r="1668" spans="1:9" ht="17.399999999999999" x14ac:dyDescent="0.25">
      <c r="A1668" s="16"/>
      <c r="B1668" s="17"/>
      <c r="C1668" s="2"/>
      <c r="D1668" s="2"/>
      <c r="E1668" s="2"/>
      <c r="F1668" s="2"/>
      <c r="G1668" s="2"/>
      <c r="H1668" s="2"/>
      <c r="I1668" s="5"/>
    </row>
    <row r="1669" spans="1:9" ht="17.399999999999999" x14ac:dyDescent="0.25">
      <c r="A1669" s="16"/>
      <c r="B1669" s="17"/>
      <c r="C1669" s="2"/>
      <c r="D1669" s="2"/>
      <c r="E1669" s="2"/>
      <c r="F1669" s="2"/>
      <c r="G1669" s="2"/>
      <c r="H1669" s="2"/>
      <c r="I1669" s="5"/>
    </row>
    <row r="1670" spans="1:9" ht="17.399999999999999" x14ac:dyDescent="0.25">
      <c r="A1670" s="16"/>
      <c r="B1670" s="17"/>
      <c r="C1670" s="2"/>
      <c r="D1670" s="2"/>
      <c r="E1670" s="2"/>
      <c r="F1670" s="2"/>
      <c r="G1670" s="2"/>
      <c r="H1670" s="2"/>
      <c r="I1670" s="5"/>
    </row>
    <row r="1671" spans="1:9" ht="17.399999999999999" x14ac:dyDescent="0.25">
      <c r="A1671" s="16"/>
      <c r="B1671" s="17"/>
      <c r="C1671" s="2"/>
      <c r="D1671" s="2"/>
      <c r="E1671" s="2"/>
      <c r="F1671" s="2"/>
      <c r="G1671" s="2"/>
      <c r="H1671" s="2"/>
      <c r="I1671" s="5"/>
    </row>
    <row r="1672" spans="1:9" ht="17.399999999999999" x14ac:dyDescent="0.25">
      <c r="A1672" s="16"/>
      <c r="B1672" s="17"/>
      <c r="C1672" s="2"/>
      <c r="D1672" s="2"/>
      <c r="E1672" s="2"/>
      <c r="F1672" s="2"/>
      <c r="G1672" s="2"/>
      <c r="H1672" s="2"/>
      <c r="I1672" s="5"/>
    </row>
    <row r="1673" spans="1:9" ht="17.399999999999999" x14ac:dyDescent="0.25">
      <c r="A1673" s="16"/>
      <c r="B1673" s="17"/>
      <c r="C1673" s="2"/>
      <c r="D1673" s="2"/>
      <c r="E1673" s="2"/>
      <c r="F1673" s="2"/>
      <c r="G1673" s="2"/>
      <c r="H1673" s="2"/>
      <c r="I1673" s="5"/>
    </row>
    <row r="1674" spans="1:9" ht="17.399999999999999" x14ac:dyDescent="0.25">
      <c r="A1674" s="16"/>
      <c r="B1674" s="17"/>
      <c r="C1674" s="2"/>
      <c r="D1674" s="2"/>
      <c r="E1674" s="2"/>
      <c r="F1674" s="2"/>
      <c r="G1674" s="2"/>
      <c r="H1674" s="2"/>
      <c r="I1674" s="5"/>
    </row>
    <row r="1675" spans="1:9" ht="17.399999999999999" x14ac:dyDescent="0.25">
      <c r="A1675" s="16"/>
      <c r="B1675" s="17"/>
      <c r="C1675" s="2"/>
      <c r="D1675" s="2"/>
      <c r="E1675" s="2"/>
      <c r="F1675" s="2"/>
      <c r="G1675" s="2"/>
      <c r="H1675" s="2"/>
      <c r="I1675" s="5"/>
    </row>
    <row r="1676" spans="1:9" ht="17.399999999999999" x14ac:dyDescent="0.25">
      <c r="A1676" s="16"/>
      <c r="B1676" s="17"/>
      <c r="C1676" s="2"/>
      <c r="D1676" s="2"/>
      <c r="E1676" s="2"/>
      <c r="F1676" s="2"/>
      <c r="G1676" s="2"/>
      <c r="H1676" s="2"/>
      <c r="I1676" s="5"/>
    </row>
    <row r="1677" spans="1:9" ht="17.399999999999999" x14ac:dyDescent="0.25">
      <c r="A1677" s="16"/>
      <c r="B1677" s="17"/>
      <c r="C1677" s="2"/>
      <c r="D1677" s="2"/>
      <c r="E1677" s="2"/>
      <c r="F1677" s="2"/>
      <c r="G1677" s="2"/>
      <c r="H1677" s="2"/>
      <c r="I1677" s="5"/>
    </row>
    <row r="1678" spans="1:9" ht="17.399999999999999" x14ac:dyDescent="0.25">
      <c r="A1678" s="16"/>
      <c r="B1678" s="17"/>
      <c r="C1678" s="2"/>
      <c r="D1678" s="2"/>
      <c r="E1678" s="2"/>
      <c r="F1678" s="2"/>
      <c r="G1678" s="2"/>
      <c r="H1678" s="2"/>
      <c r="I1678" s="5"/>
    </row>
    <row r="1679" spans="1:9" ht="17.399999999999999" x14ac:dyDescent="0.25">
      <c r="A1679" s="16"/>
      <c r="B1679" s="17"/>
      <c r="C1679" s="2"/>
      <c r="D1679" s="2"/>
      <c r="E1679" s="2"/>
      <c r="F1679" s="2"/>
      <c r="G1679" s="2"/>
      <c r="H1679" s="2"/>
      <c r="I1679" s="5"/>
    </row>
    <row r="1680" spans="1:9" ht="17.399999999999999" x14ac:dyDescent="0.25">
      <c r="A1680" s="16"/>
      <c r="B1680" s="17"/>
      <c r="C1680" s="2"/>
      <c r="D1680" s="2"/>
      <c r="E1680" s="2"/>
      <c r="F1680" s="2"/>
      <c r="G1680" s="2"/>
      <c r="H1680" s="2"/>
      <c r="I1680" s="5"/>
    </row>
    <row r="1681" spans="1:9" ht="17.399999999999999" x14ac:dyDescent="0.25">
      <c r="A1681" s="16"/>
      <c r="B1681" s="17"/>
      <c r="C1681" s="2"/>
      <c r="D1681" s="2"/>
      <c r="E1681" s="2"/>
      <c r="F1681" s="2"/>
      <c r="G1681" s="2"/>
      <c r="H1681" s="2"/>
      <c r="I1681" s="5"/>
    </row>
    <row r="1682" spans="1:9" ht="17.399999999999999" x14ac:dyDescent="0.25">
      <c r="A1682" s="16"/>
      <c r="B1682" s="17"/>
      <c r="C1682" s="2"/>
      <c r="D1682" s="2"/>
      <c r="E1682" s="2"/>
      <c r="F1682" s="2"/>
      <c r="G1682" s="2"/>
      <c r="H1682" s="2"/>
      <c r="I1682" s="5"/>
    </row>
    <row r="1683" spans="1:9" ht="17.399999999999999" x14ac:dyDescent="0.25">
      <c r="A1683" s="16"/>
      <c r="B1683" s="17"/>
      <c r="C1683" s="2"/>
      <c r="D1683" s="2"/>
      <c r="E1683" s="2"/>
      <c r="F1683" s="2"/>
      <c r="G1683" s="2"/>
      <c r="H1683" s="2"/>
      <c r="I1683" s="5"/>
    </row>
    <row r="1684" spans="1:9" ht="17.399999999999999" x14ac:dyDescent="0.25">
      <c r="A1684" s="16"/>
      <c r="B1684" s="17"/>
      <c r="C1684" s="2"/>
      <c r="D1684" s="2"/>
      <c r="E1684" s="2"/>
      <c r="F1684" s="2"/>
      <c r="G1684" s="2"/>
      <c r="H1684" s="2"/>
      <c r="I1684" s="5"/>
    </row>
    <row r="1685" spans="1:9" ht="17.399999999999999" x14ac:dyDescent="0.25">
      <c r="A1685" s="16"/>
      <c r="B1685" s="17"/>
      <c r="C1685" s="2"/>
      <c r="D1685" s="2"/>
      <c r="E1685" s="2"/>
      <c r="F1685" s="2"/>
      <c r="G1685" s="2"/>
      <c r="H1685" s="2"/>
      <c r="I1685" s="5"/>
    </row>
    <row r="1686" spans="1:9" ht="17.399999999999999" x14ac:dyDescent="0.25">
      <c r="A1686" s="16"/>
      <c r="B1686" s="17"/>
      <c r="C1686" s="2"/>
      <c r="D1686" s="2"/>
      <c r="E1686" s="2"/>
      <c r="F1686" s="2"/>
      <c r="G1686" s="2"/>
      <c r="H1686" s="2"/>
      <c r="I1686" s="5"/>
    </row>
    <row r="1687" spans="1:9" ht="17.399999999999999" x14ac:dyDescent="0.25">
      <c r="A1687" s="16"/>
      <c r="B1687" s="17"/>
      <c r="C1687" s="2"/>
      <c r="D1687" s="2"/>
      <c r="E1687" s="2"/>
      <c r="F1687" s="2"/>
      <c r="G1687" s="2"/>
      <c r="H1687" s="2"/>
      <c r="I1687" s="5"/>
    </row>
    <row r="1688" spans="1:9" ht="17.399999999999999" x14ac:dyDescent="0.25">
      <c r="A1688" s="16"/>
      <c r="B1688" s="17"/>
      <c r="C1688" s="2"/>
      <c r="D1688" s="2"/>
      <c r="E1688" s="2"/>
      <c r="F1688" s="2"/>
      <c r="G1688" s="2"/>
      <c r="H1688" s="2"/>
      <c r="I1688" s="5"/>
    </row>
    <row r="1689" spans="1:9" ht="17.399999999999999" x14ac:dyDescent="0.25">
      <c r="A1689" s="16"/>
      <c r="B1689" s="17"/>
      <c r="C1689" s="2"/>
      <c r="D1689" s="2"/>
      <c r="E1689" s="2"/>
      <c r="F1689" s="2"/>
      <c r="G1689" s="2"/>
      <c r="H1689" s="2"/>
      <c r="I1689" s="5"/>
    </row>
    <row r="1690" spans="1:9" ht="17.399999999999999" x14ac:dyDescent="0.25">
      <c r="A1690" s="16"/>
      <c r="B1690" s="17"/>
      <c r="C1690" s="2"/>
      <c r="D1690" s="2"/>
      <c r="E1690" s="2"/>
      <c r="F1690" s="2"/>
      <c r="G1690" s="2"/>
      <c r="H1690" s="2"/>
      <c r="I1690" s="5"/>
    </row>
    <row r="1691" spans="1:9" ht="17.399999999999999" x14ac:dyDescent="0.25">
      <c r="A1691" s="16"/>
      <c r="B1691" s="17"/>
      <c r="C1691" s="2"/>
      <c r="D1691" s="2"/>
      <c r="E1691" s="2"/>
      <c r="F1691" s="2"/>
      <c r="G1691" s="2"/>
      <c r="H1691" s="2"/>
      <c r="I1691" s="5"/>
    </row>
    <row r="1692" spans="1:9" ht="17.399999999999999" x14ac:dyDescent="0.25">
      <c r="A1692" s="16"/>
      <c r="B1692" s="17"/>
      <c r="C1692" s="2"/>
      <c r="D1692" s="2"/>
      <c r="E1692" s="2"/>
      <c r="F1692" s="2"/>
      <c r="G1692" s="2"/>
      <c r="H1692" s="2"/>
      <c r="I1692" s="5"/>
    </row>
    <row r="1693" spans="1:9" ht="17.399999999999999" x14ac:dyDescent="0.25">
      <c r="A1693" s="16"/>
      <c r="B1693" s="17"/>
      <c r="C1693" s="2"/>
      <c r="D1693" s="2"/>
      <c r="E1693" s="2"/>
      <c r="F1693" s="2"/>
      <c r="G1693" s="2"/>
      <c r="H1693" s="2"/>
      <c r="I1693" s="5"/>
    </row>
    <row r="1694" spans="1:9" ht="17.399999999999999" x14ac:dyDescent="0.25">
      <c r="A1694" s="16"/>
      <c r="B1694" s="17"/>
      <c r="C1694" s="2"/>
      <c r="D1694" s="2"/>
      <c r="E1694" s="2"/>
      <c r="F1694" s="2"/>
      <c r="G1694" s="2"/>
      <c r="H1694" s="2"/>
      <c r="I1694" s="5"/>
    </row>
    <row r="1695" spans="1:9" ht="17.399999999999999" x14ac:dyDescent="0.25">
      <c r="A1695" s="16"/>
      <c r="B1695" s="17"/>
      <c r="C1695" s="2"/>
      <c r="D1695" s="2"/>
      <c r="E1695" s="2"/>
      <c r="F1695" s="2"/>
      <c r="G1695" s="2"/>
      <c r="H1695" s="2"/>
      <c r="I1695" s="5"/>
    </row>
    <row r="1696" spans="1:9" ht="17.399999999999999" x14ac:dyDescent="0.25">
      <c r="A1696" s="16"/>
      <c r="B1696" s="17"/>
      <c r="C1696" s="2"/>
      <c r="D1696" s="2"/>
      <c r="E1696" s="2"/>
      <c r="F1696" s="2"/>
      <c r="G1696" s="2"/>
      <c r="H1696" s="2"/>
      <c r="I1696" s="5"/>
    </row>
    <row r="1697" spans="1:9" ht="17.399999999999999" x14ac:dyDescent="0.25">
      <c r="A1697" s="16"/>
      <c r="B1697" s="17"/>
      <c r="C1697" s="2"/>
      <c r="D1697" s="2"/>
      <c r="E1697" s="2"/>
      <c r="F1697" s="2"/>
      <c r="G1697" s="2"/>
      <c r="H1697" s="2"/>
      <c r="I1697" s="5"/>
    </row>
    <row r="1698" spans="1:9" ht="17.399999999999999" x14ac:dyDescent="0.25">
      <c r="A1698" s="16"/>
      <c r="B1698" s="17"/>
      <c r="C1698" s="2"/>
      <c r="D1698" s="2"/>
      <c r="E1698" s="2"/>
      <c r="F1698" s="2"/>
      <c r="G1698" s="2"/>
      <c r="H1698" s="2"/>
      <c r="I1698" s="5"/>
    </row>
    <row r="1699" spans="1:9" ht="17.399999999999999" x14ac:dyDescent="0.25">
      <c r="A1699" s="16"/>
      <c r="B1699" s="17"/>
      <c r="C1699" s="2"/>
      <c r="D1699" s="2"/>
      <c r="E1699" s="2"/>
      <c r="F1699" s="2"/>
      <c r="G1699" s="2"/>
      <c r="H1699" s="2"/>
      <c r="I1699" s="5"/>
    </row>
    <row r="1700" spans="1:9" ht="17.399999999999999" x14ac:dyDescent="0.25">
      <c r="A1700" s="16"/>
      <c r="B1700" s="17"/>
      <c r="C1700" s="2"/>
      <c r="D1700" s="2"/>
      <c r="E1700" s="2"/>
      <c r="F1700" s="2"/>
      <c r="G1700" s="2"/>
      <c r="H1700" s="2"/>
      <c r="I1700" s="5"/>
    </row>
    <row r="1701" spans="1:9" ht="17.399999999999999" x14ac:dyDescent="0.25">
      <c r="A1701" s="16"/>
      <c r="B1701" s="17"/>
      <c r="C1701" s="2"/>
      <c r="D1701" s="2"/>
      <c r="E1701" s="2"/>
      <c r="F1701" s="2"/>
      <c r="G1701" s="2"/>
      <c r="H1701" s="2"/>
      <c r="I1701" s="5"/>
    </row>
    <row r="1702" spans="1:9" ht="17.399999999999999" x14ac:dyDescent="0.25">
      <c r="A1702" s="16"/>
      <c r="B1702" s="17"/>
      <c r="C1702" s="2"/>
      <c r="D1702" s="2"/>
      <c r="E1702" s="2"/>
      <c r="F1702" s="2"/>
      <c r="G1702" s="2"/>
      <c r="H1702" s="2"/>
      <c r="I1702" s="5"/>
    </row>
    <row r="1703" spans="1:9" ht="17.399999999999999" x14ac:dyDescent="0.25">
      <c r="A1703" s="16"/>
      <c r="B1703" s="17"/>
      <c r="C1703" s="2"/>
      <c r="D1703" s="2"/>
      <c r="E1703" s="2"/>
      <c r="F1703" s="2"/>
      <c r="G1703" s="2"/>
      <c r="H1703" s="2"/>
      <c r="I1703" s="5"/>
    </row>
    <row r="1704" spans="1:9" ht="17.399999999999999" x14ac:dyDescent="0.25">
      <c r="A1704" s="16"/>
      <c r="B1704" s="17"/>
      <c r="C1704" s="2"/>
      <c r="D1704" s="2"/>
      <c r="E1704" s="2"/>
      <c r="F1704" s="2"/>
      <c r="G1704" s="2"/>
      <c r="H1704" s="2"/>
      <c r="I1704" s="5"/>
    </row>
    <row r="1705" spans="1:9" ht="17.399999999999999" x14ac:dyDescent="0.25">
      <c r="A1705" s="16"/>
      <c r="B1705" s="17"/>
      <c r="C1705" s="2"/>
      <c r="D1705" s="2"/>
      <c r="E1705" s="2"/>
      <c r="F1705" s="2"/>
      <c r="G1705" s="2"/>
      <c r="H1705" s="2"/>
      <c r="I1705" s="5"/>
    </row>
    <row r="1706" spans="1:9" ht="17.399999999999999" x14ac:dyDescent="0.25">
      <c r="A1706" s="16"/>
      <c r="B1706" s="17"/>
      <c r="C1706" s="2"/>
      <c r="D1706" s="2"/>
      <c r="E1706" s="2"/>
      <c r="F1706" s="2"/>
      <c r="G1706" s="2"/>
      <c r="H1706" s="2"/>
      <c r="I1706" s="5"/>
    </row>
    <row r="1707" spans="1:9" ht="17.399999999999999" x14ac:dyDescent="0.25">
      <c r="A1707" s="16"/>
      <c r="B1707" s="17"/>
      <c r="C1707" s="2"/>
      <c r="D1707" s="2"/>
      <c r="E1707" s="2"/>
      <c r="F1707" s="2"/>
      <c r="G1707" s="2"/>
      <c r="H1707" s="2"/>
      <c r="I1707" s="5"/>
    </row>
    <row r="1708" spans="1:9" ht="17.399999999999999" x14ac:dyDescent="0.25">
      <c r="A1708" s="16"/>
      <c r="B1708" s="17"/>
      <c r="C1708" s="2"/>
      <c r="D1708" s="2"/>
      <c r="E1708" s="2"/>
      <c r="F1708" s="2"/>
      <c r="G1708" s="2"/>
      <c r="H1708" s="2"/>
      <c r="I1708" s="5"/>
    </row>
    <row r="1709" spans="1:9" ht="17.399999999999999" x14ac:dyDescent="0.25">
      <c r="A1709" s="16"/>
      <c r="B1709" s="17"/>
      <c r="C1709" s="2"/>
      <c r="D1709" s="2"/>
      <c r="E1709" s="2"/>
      <c r="F1709" s="2"/>
      <c r="G1709" s="2"/>
      <c r="H1709" s="2"/>
      <c r="I1709" s="5"/>
    </row>
    <row r="1710" spans="1:9" ht="17.399999999999999" x14ac:dyDescent="0.25">
      <c r="A1710" s="16"/>
      <c r="B1710" s="17"/>
      <c r="C1710" s="2"/>
      <c r="D1710" s="2"/>
      <c r="E1710" s="2"/>
      <c r="F1710" s="2"/>
      <c r="G1710" s="2"/>
      <c r="H1710" s="2"/>
      <c r="I1710" s="5"/>
    </row>
    <row r="1711" spans="1:9" ht="17.399999999999999" x14ac:dyDescent="0.25">
      <c r="A1711" s="16"/>
      <c r="B1711" s="17"/>
      <c r="C1711" s="2"/>
      <c r="D1711" s="2"/>
      <c r="E1711" s="2"/>
      <c r="F1711" s="2"/>
      <c r="G1711" s="2"/>
      <c r="H1711" s="2"/>
      <c r="I1711" s="5"/>
    </row>
    <row r="1712" spans="1:9" ht="17.399999999999999" x14ac:dyDescent="0.25">
      <c r="A1712" s="16"/>
      <c r="B1712" s="17"/>
      <c r="C1712" s="2"/>
      <c r="D1712" s="2"/>
      <c r="E1712" s="2"/>
      <c r="F1712" s="2"/>
      <c r="G1712" s="2"/>
      <c r="H1712" s="2"/>
      <c r="I1712" s="5"/>
    </row>
    <row r="1713" spans="1:9" ht="17.399999999999999" x14ac:dyDescent="0.25">
      <c r="A1713" s="16"/>
      <c r="B1713" s="17"/>
      <c r="C1713" s="2"/>
      <c r="D1713" s="2"/>
      <c r="E1713" s="2"/>
      <c r="F1713" s="2"/>
      <c r="G1713" s="2"/>
      <c r="H1713" s="2"/>
      <c r="I1713" s="5"/>
    </row>
    <row r="1714" spans="1:9" ht="17.399999999999999" x14ac:dyDescent="0.25">
      <c r="A1714" s="16"/>
      <c r="B1714" s="17"/>
      <c r="C1714" s="2"/>
      <c r="D1714" s="2"/>
      <c r="E1714" s="2"/>
      <c r="F1714" s="2"/>
      <c r="G1714" s="2"/>
      <c r="H1714" s="2"/>
      <c r="I1714" s="5"/>
    </row>
    <row r="1715" spans="1:9" ht="17.399999999999999" x14ac:dyDescent="0.25">
      <c r="A1715" s="16"/>
      <c r="B1715" s="17"/>
      <c r="C1715" s="2"/>
      <c r="D1715" s="2"/>
      <c r="E1715" s="2"/>
      <c r="F1715" s="2"/>
      <c r="G1715" s="2"/>
      <c r="H1715" s="2"/>
      <c r="I1715" s="5"/>
    </row>
    <row r="1716" spans="1:9" ht="17.399999999999999" x14ac:dyDescent="0.25">
      <c r="A1716" s="16"/>
      <c r="B1716" s="17"/>
      <c r="C1716" s="2"/>
      <c r="D1716" s="2"/>
      <c r="E1716" s="2"/>
      <c r="F1716" s="2"/>
      <c r="G1716" s="2"/>
      <c r="H1716" s="2"/>
      <c r="I1716" s="5"/>
    </row>
    <row r="1717" spans="1:9" ht="17.399999999999999" x14ac:dyDescent="0.25">
      <c r="A1717" s="16"/>
      <c r="B1717" s="17"/>
      <c r="C1717" s="2"/>
      <c r="D1717" s="2"/>
      <c r="E1717" s="2"/>
      <c r="F1717" s="2"/>
      <c r="G1717" s="2"/>
      <c r="H1717" s="2"/>
      <c r="I1717" s="5"/>
    </row>
    <row r="1718" spans="1:9" ht="17.399999999999999" x14ac:dyDescent="0.25">
      <c r="A1718" s="16"/>
      <c r="B1718" s="17"/>
      <c r="C1718" s="2"/>
      <c r="D1718" s="2"/>
      <c r="E1718" s="2"/>
      <c r="F1718" s="2"/>
      <c r="G1718" s="2"/>
      <c r="H1718" s="2"/>
      <c r="I1718" s="5"/>
    </row>
    <row r="1719" spans="1:9" ht="17.399999999999999" x14ac:dyDescent="0.25">
      <c r="A1719" s="16"/>
      <c r="B1719" s="17"/>
      <c r="C1719" s="2"/>
      <c r="D1719" s="2"/>
      <c r="E1719" s="2"/>
      <c r="F1719" s="2"/>
      <c r="G1719" s="2"/>
      <c r="H1719" s="2"/>
      <c r="I1719" s="5"/>
    </row>
    <row r="1720" spans="1:9" ht="17.399999999999999" x14ac:dyDescent="0.25">
      <c r="A1720" s="16"/>
      <c r="B1720" s="17"/>
      <c r="C1720" s="2"/>
      <c r="D1720" s="2"/>
      <c r="E1720" s="2"/>
      <c r="F1720" s="2"/>
      <c r="G1720" s="2"/>
      <c r="H1720" s="2"/>
      <c r="I1720" s="5"/>
    </row>
    <row r="1721" spans="1:9" ht="17.399999999999999" x14ac:dyDescent="0.25">
      <c r="A1721" s="16"/>
      <c r="B1721" s="17"/>
      <c r="C1721" s="2"/>
      <c r="D1721" s="2"/>
      <c r="E1721" s="2"/>
      <c r="F1721" s="2"/>
      <c r="G1721" s="2"/>
      <c r="H1721" s="2"/>
      <c r="I1721" s="5"/>
    </row>
    <row r="1722" spans="1:9" ht="17.399999999999999" x14ac:dyDescent="0.25">
      <c r="A1722" s="16"/>
      <c r="B1722" s="17"/>
      <c r="C1722" s="2"/>
      <c r="D1722" s="2"/>
      <c r="E1722" s="2"/>
      <c r="F1722" s="2"/>
      <c r="G1722" s="2"/>
      <c r="H1722" s="2"/>
      <c r="I1722" s="5"/>
    </row>
    <row r="1723" spans="1:9" ht="17.399999999999999" x14ac:dyDescent="0.25">
      <c r="A1723" s="16"/>
      <c r="B1723" s="17"/>
      <c r="C1723" s="2"/>
      <c r="D1723" s="2"/>
      <c r="E1723" s="2"/>
      <c r="F1723" s="2"/>
      <c r="G1723" s="2"/>
      <c r="H1723" s="2"/>
      <c r="I1723" s="5"/>
    </row>
    <row r="1724" spans="1:9" ht="17.399999999999999" x14ac:dyDescent="0.25">
      <c r="A1724" s="16"/>
      <c r="B1724" s="17"/>
      <c r="C1724" s="2"/>
      <c r="D1724" s="2"/>
      <c r="E1724" s="2"/>
      <c r="F1724" s="2"/>
      <c r="G1724" s="2"/>
      <c r="H1724" s="2"/>
      <c r="I1724" s="5"/>
    </row>
    <row r="1725" spans="1:9" ht="17.399999999999999" x14ac:dyDescent="0.25">
      <c r="A1725" s="16"/>
      <c r="B1725" s="17"/>
      <c r="C1725" s="2"/>
      <c r="D1725" s="2"/>
      <c r="E1725" s="2"/>
      <c r="F1725" s="2"/>
      <c r="G1725" s="2"/>
      <c r="H1725" s="2"/>
      <c r="I1725" s="5"/>
    </row>
    <row r="1726" spans="1:9" ht="17.399999999999999" x14ac:dyDescent="0.25">
      <c r="A1726" s="16"/>
      <c r="B1726" s="17"/>
      <c r="C1726" s="2"/>
      <c r="D1726" s="2"/>
      <c r="E1726" s="2"/>
      <c r="F1726" s="2"/>
      <c r="G1726" s="2"/>
      <c r="H1726" s="2"/>
      <c r="I1726" s="5"/>
    </row>
    <row r="1727" spans="1:9" ht="17.399999999999999" x14ac:dyDescent="0.25">
      <c r="A1727" s="16"/>
      <c r="B1727" s="17"/>
      <c r="C1727" s="2"/>
      <c r="D1727" s="2"/>
      <c r="E1727" s="2"/>
      <c r="F1727" s="2"/>
      <c r="G1727" s="2"/>
      <c r="H1727" s="2"/>
      <c r="I1727" s="5"/>
    </row>
    <row r="1728" spans="1:9" ht="17.399999999999999" x14ac:dyDescent="0.25">
      <c r="A1728" s="16"/>
      <c r="B1728" s="17"/>
      <c r="C1728" s="2"/>
      <c r="D1728" s="2"/>
      <c r="E1728" s="2"/>
      <c r="F1728" s="2"/>
      <c r="G1728" s="2"/>
      <c r="H1728" s="2"/>
      <c r="I1728" s="5"/>
    </row>
    <row r="1729" spans="1:9" ht="17.399999999999999" x14ac:dyDescent="0.25">
      <c r="A1729" s="16"/>
      <c r="B1729" s="17"/>
      <c r="C1729" s="2"/>
      <c r="D1729" s="2"/>
      <c r="E1729" s="2"/>
      <c r="F1729" s="2"/>
      <c r="G1729" s="2"/>
      <c r="H1729" s="2"/>
      <c r="I1729" s="5"/>
    </row>
    <row r="1730" spans="1:9" ht="17.399999999999999" x14ac:dyDescent="0.25">
      <c r="A1730" s="16"/>
      <c r="B1730" s="17"/>
      <c r="C1730" s="2"/>
      <c r="D1730" s="2"/>
      <c r="E1730" s="2"/>
      <c r="F1730" s="2"/>
      <c r="G1730" s="2"/>
      <c r="H1730" s="2"/>
      <c r="I1730" s="5"/>
    </row>
    <row r="1731" spans="1:9" ht="17.399999999999999" x14ac:dyDescent="0.25">
      <c r="A1731" s="16"/>
      <c r="B1731" s="17"/>
      <c r="C1731" s="2"/>
      <c r="D1731" s="2"/>
      <c r="E1731" s="2"/>
      <c r="F1731" s="2"/>
      <c r="G1731" s="2"/>
      <c r="H1731" s="2"/>
      <c r="I1731" s="5"/>
    </row>
    <row r="1732" spans="1:9" ht="17.399999999999999" x14ac:dyDescent="0.25">
      <c r="A1732" s="16"/>
      <c r="B1732" s="17"/>
      <c r="C1732" s="2"/>
      <c r="D1732" s="2"/>
      <c r="E1732" s="2"/>
      <c r="F1732" s="2"/>
      <c r="G1732" s="2"/>
      <c r="H1732" s="2"/>
      <c r="I1732" s="5"/>
    </row>
    <row r="1733" spans="1:9" ht="17.399999999999999" x14ac:dyDescent="0.25">
      <c r="A1733" s="16"/>
      <c r="B1733" s="17"/>
      <c r="C1733" s="2"/>
      <c r="D1733" s="2"/>
      <c r="E1733" s="2"/>
      <c r="F1733" s="2"/>
      <c r="G1733" s="2"/>
      <c r="H1733" s="2"/>
      <c r="I1733" s="5"/>
    </row>
    <row r="1734" spans="1:9" ht="17.399999999999999" x14ac:dyDescent="0.25">
      <c r="A1734" s="16"/>
      <c r="B1734" s="17"/>
      <c r="C1734" s="2"/>
      <c r="D1734" s="2"/>
      <c r="E1734" s="2"/>
      <c r="F1734" s="2"/>
      <c r="G1734" s="2"/>
      <c r="H1734" s="2"/>
      <c r="I1734" s="5"/>
    </row>
    <row r="1735" spans="1:9" ht="17.399999999999999" x14ac:dyDescent="0.25">
      <c r="A1735" s="16"/>
      <c r="B1735" s="17"/>
      <c r="C1735" s="2"/>
      <c r="D1735" s="2"/>
      <c r="E1735" s="2"/>
      <c r="F1735" s="2"/>
      <c r="G1735" s="2"/>
      <c r="H1735" s="2"/>
      <c r="I1735" s="5"/>
    </row>
    <row r="1736" spans="1:9" ht="17.399999999999999" x14ac:dyDescent="0.25">
      <c r="A1736" s="16"/>
      <c r="B1736" s="17"/>
      <c r="C1736" s="2"/>
      <c r="D1736" s="2"/>
      <c r="E1736" s="2"/>
      <c r="F1736" s="2"/>
      <c r="G1736" s="2"/>
      <c r="H1736" s="2"/>
      <c r="I1736" s="5"/>
    </row>
    <row r="1737" spans="1:9" ht="17.399999999999999" x14ac:dyDescent="0.25">
      <c r="A1737" s="16"/>
      <c r="B1737" s="17"/>
      <c r="C1737" s="2"/>
      <c r="D1737" s="2"/>
      <c r="E1737" s="2"/>
      <c r="F1737" s="2"/>
      <c r="G1737" s="2"/>
      <c r="H1737" s="2"/>
      <c r="I1737" s="5"/>
    </row>
    <row r="1738" spans="1:9" ht="17.399999999999999" x14ac:dyDescent="0.25">
      <c r="A1738" s="16"/>
      <c r="B1738" s="17"/>
      <c r="C1738" s="2"/>
      <c r="D1738" s="2"/>
      <c r="E1738" s="2"/>
      <c r="F1738" s="2"/>
      <c r="G1738" s="2"/>
      <c r="H1738" s="2"/>
      <c r="I1738" s="5"/>
    </row>
    <row r="1739" spans="1:9" ht="17.399999999999999" x14ac:dyDescent="0.25">
      <c r="A1739" s="16"/>
      <c r="B1739" s="17"/>
      <c r="C1739" s="2"/>
      <c r="D1739" s="2"/>
      <c r="E1739" s="2"/>
      <c r="F1739" s="2"/>
      <c r="G1739" s="2"/>
      <c r="H1739" s="2"/>
      <c r="I1739" s="5"/>
    </row>
    <row r="1740" spans="1:9" ht="17.399999999999999" x14ac:dyDescent="0.25">
      <c r="A1740" s="16"/>
      <c r="B1740" s="17"/>
      <c r="C1740" s="2"/>
      <c r="D1740" s="2"/>
      <c r="E1740" s="2"/>
      <c r="F1740" s="2"/>
      <c r="G1740" s="2"/>
      <c r="H1740" s="2"/>
      <c r="I1740" s="5"/>
    </row>
    <row r="1741" spans="1:9" ht="17.399999999999999" x14ac:dyDescent="0.25">
      <c r="A1741" s="16"/>
      <c r="B1741" s="17"/>
      <c r="C1741" s="2"/>
      <c r="D1741" s="2"/>
      <c r="E1741" s="2"/>
      <c r="F1741" s="2"/>
      <c r="G1741" s="2"/>
      <c r="H1741" s="2"/>
      <c r="I1741" s="5"/>
    </row>
    <row r="1742" spans="1:9" ht="17.399999999999999" x14ac:dyDescent="0.25">
      <c r="A1742" s="16"/>
      <c r="B1742" s="17"/>
      <c r="C1742" s="2"/>
      <c r="D1742" s="2"/>
      <c r="E1742" s="2"/>
      <c r="F1742" s="2"/>
      <c r="G1742" s="2"/>
      <c r="H1742" s="2"/>
      <c r="I1742" s="5"/>
    </row>
    <row r="1743" spans="1:9" ht="17.399999999999999" x14ac:dyDescent="0.25">
      <c r="A1743" s="16"/>
      <c r="B1743" s="17"/>
      <c r="C1743" s="2"/>
      <c r="D1743" s="2"/>
      <c r="E1743" s="2"/>
      <c r="F1743" s="2"/>
      <c r="G1743" s="2"/>
      <c r="H1743" s="2"/>
      <c r="I1743" s="5"/>
    </row>
    <row r="1744" spans="1:9" ht="17.399999999999999" x14ac:dyDescent="0.25">
      <c r="A1744" s="16"/>
      <c r="B1744" s="17"/>
      <c r="C1744" s="2"/>
      <c r="D1744" s="2"/>
      <c r="E1744" s="2"/>
      <c r="F1744" s="2"/>
      <c r="G1744" s="2"/>
      <c r="H1744" s="2"/>
      <c r="I1744" s="5"/>
    </row>
    <row r="1745" spans="1:9" ht="17.399999999999999" x14ac:dyDescent="0.25">
      <c r="A1745" s="16"/>
      <c r="B1745" s="17"/>
      <c r="C1745" s="2"/>
      <c r="D1745" s="2"/>
      <c r="E1745" s="2"/>
      <c r="F1745" s="2"/>
      <c r="G1745" s="2"/>
      <c r="H1745" s="2"/>
      <c r="I1745" s="5"/>
    </row>
    <row r="1746" spans="1:9" ht="17.399999999999999" x14ac:dyDescent="0.25">
      <c r="A1746" s="16"/>
      <c r="B1746" s="17"/>
      <c r="C1746" s="2"/>
      <c r="D1746" s="2"/>
      <c r="E1746" s="2"/>
      <c r="F1746" s="2"/>
      <c r="G1746" s="2"/>
      <c r="H1746" s="2"/>
      <c r="I1746" s="5"/>
    </row>
    <row r="1747" spans="1:9" ht="17.399999999999999" x14ac:dyDescent="0.25">
      <c r="A1747" s="16"/>
      <c r="B1747" s="17"/>
      <c r="C1747" s="2"/>
      <c r="D1747" s="2"/>
      <c r="E1747" s="2"/>
      <c r="F1747" s="2"/>
      <c r="G1747" s="2"/>
      <c r="H1747" s="2"/>
      <c r="I1747" s="5"/>
    </row>
    <row r="1748" spans="1:9" ht="17.399999999999999" x14ac:dyDescent="0.25">
      <c r="A1748" s="16"/>
      <c r="B1748" s="17"/>
      <c r="C1748" s="2"/>
      <c r="D1748" s="2"/>
      <c r="E1748" s="2"/>
      <c r="F1748" s="2"/>
      <c r="G1748" s="2"/>
      <c r="H1748" s="2"/>
      <c r="I1748" s="5"/>
    </row>
    <row r="1749" spans="1:9" ht="17.399999999999999" x14ac:dyDescent="0.25">
      <c r="A1749" s="16"/>
      <c r="B1749" s="17"/>
      <c r="C1749" s="2"/>
      <c r="D1749" s="2"/>
      <c r="E1749" s="2"/>
      <c r="F1749" s="2"/>
      <c r="G1749" s="2"/>
      <c r="H1749" s="2"/>
      <c r="I1749" s="5"/>
    </row>
    <row r="1750" spans="1:9" ht="17.399999999999999" x14ac:dyDescent="0.25">
      <c r="A1750" s="16"/>
      <c r="B1750" s="17"/>
      <c r="C1750" s="2"/>
      <c r="D1750" s="2"/>
      <c r="E1750" s="2"/>
      <c r="F1750" s="2"/>
      <c r="G1750" s="2"/>
      <c r="H1750" s="2"/>
      <c r="I1750" s="5"/>
    </row>
    <row r="1751" spans="1:9" ht="17.399999999999999" x14ac:dyDescent="0.25">
      <c r="A1751" s="16"/>
      <c r="B1751" s="17"/>
      <c r="C1751" s="2"/>
      <c r="D1751" s="2"/>
      <c r="E1751" s="2"/>
      <c r="F1751" s="2"/>
      <c r="G1751" s="2"/>
      <c r="H1751" s="2"/>
      <c r="I1751" s="5"/>
    </row>
    <row r="1752" spans="1:9" ht="17.399999999999999" x14ac:dyDescent="0.25">
      <c r="A1752" s="16"/>
      <c r="B1752" s="17"/>
      <c r="C1752" s="2"/>
      <c r="D1752" s="2"/>
      <c r="E1752" s="2"/>
      <c r="F1752" s="2"/>
      <c r="G1752" s="2"/>
      <c r="H1752" s="2"/>
      <c r="I1752" s="5"/>
    </row>
    <row r="1753" spans="1:9" ht="17.399999999999999" x14ac:dyDescent="0.25">
      <c r="A1753" s="16"/>
      <c r="B1753" s="17"/>
      <c r="C1753" s="2"/>
      <c r="D1753" s="2"/>
      <c r="E1753" s="2"/>
      <c r="F1753" s="2"/>
      <c r="G1753" s="2"/>
      <c r="H1753" s="2"/>
      <c r="I1753" s="5"/>
    </row>
    <row r="1754" spans="1:9" ht="17.399999999999999" x14ac:dyDescent="0.25">
      <c r="A1754" s="16"/>
      <c r="B1754" s="17"/>
      <c r="C1754" s="2"/>
      <c r="D1754" s="2"/>
      <c r="E1754" s="2"/>
      <c r="F1754" s="2"/>
      <c r="G1754" s="2"/>
      <c r="H1754" s="2"/>
      <c r="I1754" s="5"/>
    </row>
    <row r="1755" spans="1:9" ht="17.399999999999999" x14ac:dyDescent="0.25">
      <c r="A1755" s="16"/>
      <c r="B1755" s="17"/>
      <c r="C1755" s="2"/>
      <c r="D1755" s="2"/>
      <c r="E1755" s="2"/>
      <c r="F1755" s="2"/>
      <c r="G1755" s="2"/>
      <c r="H1755" s="2"/>
      <c r="I1755" s="5"/>
    </row>
    <row r="1756" spans="1:9" ht="17.399999999999999" x14ac:dyDescent="0.25">
      <c r="A1756" s="16"/>
      <c r="B1756" s="17"/>
      <c r="C1756" s="2"/>
      <c r="D1756" s="2"/>
      <c r="E1756" s="2"/>
      <c r="F1756" s="2"/>
      <c r="G1756" s="2"/>
      <c r="H1756" s="2"/>
      <c r="I1756" s="5"/>
    </row>
    <row r="1757" spans="1:9" ht="17.399999999999999" x14ac:dyDescent="0.25">
      <c r="A1757" s="16"/>
      <c r="B1757" s="17"/>
      <c r="C1757" s="2"/>
      <c r="D1757" s="2"/>
      <c r="E1757" s="2"/>
      <c r="F1757" s="2"/>
      <c r="G1757" s="2"/>
      <c r="H1757" s="2"/>
      <c r="I1757" s="5"/>
    </row>
    <row r="1758" spans="1:9" ht="17.399999999999999" x14ac:dyDescent="0.25">
      <c r="A1758" s="16"/>
      <c r="B1758" s="17"/>
      <c r="C1758" s="2"/>
      <c r="D1758" s="2"/>
      <c r="E1758" s="2"/>
      <c r="F1758" s="2"/>
      <c r="G1758" s="2"/>
      <c r="H1758" s="2"/>
      <c r="I1758" s="5"/>
    </row>
    <row r="1759" spans="1:9" ht="17.399999999999999" x14ac:dyDescent="0.25">
      <c r="A1759" s="16"/>
      <c r="B1759" s="17"/>
      <c r="C1759" s="2"/>
      <c r="D1759" s="2"/>
      <c r="E1759" s="2"/>
      <c r="F1759" s="2"/>
      <c r="G1759" s="2"/>
      <c r="H1759" s="2"/>
      <c r="I1759" s="5"/>
    </row>
    <row r="1760" spans="1:9" ht="17.399999999999999" x14ac:dyDescent="0.25">
      <c r="A1760" s="16"/>
      <c r="B1760" s="17"/>
      <c r="C1760" s="2"/>
      <c r="D1760" s="2"/>
      <c r="E1760" s="2"/>
      <c r="F1760" s="2"/>
      <c r="G1760" s="2"/>
      <c r="H1760" s="2"/>
      <c r="I1760" s="5"/>
    </row>
    <row r="1761" spans="1:9" ht="17.399999999999999" x14ac:dyDescent="0.25">
      <c r="A1761" s="16"/>
      <c r="B1761" s="17"/>
      <c r="C1761" s="2"/>
      <c r="D1761" s="2"/>
      <c r="E1761" s="2"/>
      <c r="F1761" s="2"/>
      <c r="G1761" s="2"/>
      <c r="H1761" s="2"/>
      <c r="I1761" s="5"/>
    </row>
    <row r="1762" spans="1:9" ht="17.399999999999999" x14ac:dyDescent="0.25">
      <c r="A1762" s="16"/>
      <c r="B1762" s="17"/>
      <c r="C1762" s="2"/>
      <c r="D1762" s="2"/>
      <c r="E1762" s="2"/>
      <c r="F1762" s="2"/>
      <c r="G1762" s="2"/>
      <c r="H1762" s="2"/>
      <c r="I1762" s="5"/>
    </row>
    <row r="1763" spans="1:9" ht="17.399999999999999" x14ac:dyDescent="0.25">
      <c r="A1763" s="16"/>
      <c r="B1763" s="17"/>
      <c r="C1763" s="2"/>
      <c r="D1763" s="2"/>
      <c r="E1763" s="2"/>
      <c r="F1763" s="2"/>
      <c r="G1763" s="2"/>
      <c r="H1763" s="2"/>
      <c r="I1763" s="5"/>
    </row>
    <row r="1764" spans="1:9" ht="17.399999999999999" x14ac:dyDescent="0.25">
      <c r="A1764" s="16"/>
      <c r="B1764" s="17"/>
      <c r="C1764" s="2"/>
      <c r="D1764" s="2"/>
      <c r="E1764" s="2"/>
      <c r="F1764" s="2"/>
      <c r="G1764" s="2"/>
      <c r="H1764" s="2"/>
      <c r="I1764" s="5"/>
    </row>
    <row r="1765" spans="1:9" ht="17.399999999999999" x14ac:dyDescent="0.25">
      <c r="A1765" s="16"/>
      <c r="B1765" s="17"/>
      <c r="C1765" s="2"/>
      <c r="D1765" s="2"/>
      <c r="E1765" s="2"/>
      <c r="F1765" s="2"/>
      <c r="G1765" s="2"/>
      <c r="H1765" s="2"/>
      <c r="I1765" s="5"/>
    </row>
    <row r="1766" spans="1:9" ht="17.399999999999999" x14ac:dyDescent="0.25">
      <c r="A1766" s="16"/>
      <c r="B1766" s="17"/>
      <c r="C1766" s="2"/>
      <c r="D1766" s="2"/>
      <c r="E1766" s="2"/>
      <c r="F1766" s="2"/>
      <c r="G1766" s="2"/>
      <c r="H1766" s="2"/>
      <c r="I1766" s="5"/>
    </row>
    <row r="1767" spans="1:9" ht="17.399999999999999" x14ac:dyDescent="0.25">
      <c r="A1767" s="16"/>
      <c r="B1767" s="17"/>
      <c r="C1767" s="2"/>
      <c r="D1767" s="2"/>
      <c r="E1767" s="2"/>
      <c r="F1767" s="2"/>
      <c r="G1767" s="2"/>
      <c r="H1767" s="2"/>
      <c r="I1767" s="5"/>
    </row>
    <row r="1768" spans="1:9" ht="17.399999999999999" x14ac:dyDescent="0.25">
      <c r="A1768" s="16"/>
      <c r="B1768" s="17"/>
      <c r="C1768" s="2"/>
      <c r="D1768" s="2"/>
      <c r="E1768" s="2"/>
      <c r="F1768" s="2"/>
      <c r="G1768" s="2"/>
      <c r="H1768" s="2"/>
      <c r="I1768" s="5"/>
    </row>
    <row r="1769" spans="1:9" ht="17.399999999999999" x14ac:dyDescent="0.25">
      <c r="A1769" s="16"/>
      <c r="B1769" s="17"/>
      <c r="C1769" s="2"/>
      <c r="D1769" s="2"/>
      <c r="E1769" s="2"/>
      <c r="F1769" s="2"/>
      <c r="G1769" s="2"/>
      <c r="H1769" s="2"/>
      <c r="I1769" s="5"/>
    </row>
    <row r="1770" spans="1:9" ht="17.399999999999999" x14ac:dyDescent="0.25">
      <c r="A1770" s="16"/>
      <c r="B1770" s="17"/>
      <c r="C1770" s="2"/>
      <c r="D1770" s="2"/>
      <c r="E1770" s="2"/>
      <c r="F1770" s="2"/>
      <c r="G1770" s="2"/>
      <c r="H1770" s="2"/>
      <c r="I1770" s="5"/>
    </row>
    <row r="1771" spans="1:9" ht="17.399999999999999" x14ac:dyDescent="0.25">
      <c r="A1771" s="16"/>
      <c r="B1771" s="17"/>
      <c r="C1771" s="2"/>
      <c r="D1771" s="2"/>
      <c r="E1771" s="2"/>
      <c r="F1771" s="2"/>
      <c r="G1771" s="2"/>
      <c r="H1771" s="2"/>
      <c r="I1771" s="5"/>
    </row>
    <row r="1772" spans="1:9" ht="17.399999999999999" x14ac:dyDescent="0.25">
      <c r="A1772" s="16"/>
      <c r="B1772" s="17"/>
      <c r="C1772" s="2"/>
      <c r="D1772" s="2"/>
      <c r="E1772" s="2"/>
      <c r="F1772" s="2"/>
      <c r="G1772" s="2"/>
      <c r="H1772" s="2"/>
      <c r="I1772" s="5"/>
    </row>
    <row r="1773" spans="1:9" ht="17.399999999999999" x14ac:dyDescent="0.25">
      <c r="A1773" s="16"/>
      <c r="B1773" s="17"/>
      <c r="C1773" s="2"/>
      <c r="D1773" s="2"/>
      <c r="E1773" s="2"/>
      <c r="F1773" s="2"/>
      <c r="G1773" s="2"/>
      <c r="H1773" s="2"/>
      <c r="I1773" s="5"/>
    </row>
    <row r="1774" spans="1:9" ht="17.399999999999999" x14ac:dyDescent="0.25">
      <c r="A1774" s="16"/>
      <c r="B1774" s="17"/>
      <c r="C1774" s="2"/>
      <c r="D1774" s="2"/>
      <c r="E1774" s="2"/>
      <c r="F1774" s="2"/>
      <c r="G1774" s="2"/>
      <c r="H1774" s="2"/>
      <c r="I1774" s="5"/>
    </row>
    <row r="1775" spans="1:9" ht="17.399999999999999" x14ac:dyDescent="0.25">
      <c r="A1775" s="16"/>
      <c r="B1775" s="17"/>
      <c r="C1775" s="2"/>
      <c r="D1775" s="2"/>
      <c r="E1775" s="2"/>
      <c r="F1775" s="2"/>
      <c r="G1775" s="2"/>
      <c r="H1775" s="2"/>
      <c r="I1775" s="5"/>
    </row>
    <row r="1776" spans="1:9" ht="17.399999999999999" x14ac:dyDescent="0.25">
      <c r="A1776" s="16"/>
      <c r="B1776" s="17"/>
      <c r="C1776" s="2"/>
      <c r="D1776" s="2"/>
      <c r="E1776" s="2"/>
      <c r="F1776" s="2"/>
      <c r="G1776" s="2"/>
      <c r="H1776" s="2"/>
      <c r="I1776" s="5"/>
    </row>
    <row r="1777" spans="1:9" ht="17.399999999999999" x14ac:dyDescent="0.25">
      <c r="A1777" s="16"/>
      <c r="B1777" s="17"/>
      <c r="C1777" s="2"/>
      <c r="D1777" s="2"/>
      <c r="E1777" s="2"/>
      <c r="F1777" s="2"/>
      <c r="G1777" s="2"/>
      <c r="H1777" s="2"/>
      <c r="I1777" s="5"/>
    </row>
    <row r="1778" spans="1:9" ht="17.399999999999999" x14ac:dyDescent="0.25">
      <c r="A1778" s="16"/>
      <c r="B1778" s="17"/>
      <c r="C1778" s="2"/>
      <c r="D1778" s="2"/>
      <c r="E1778" s="2"/>
      <c r="F1778" s="2"/>
      <c r="G1778" s="2"/>
      <c r="H1778" s="2"/>
      <c r="I1778" s="5"/>
    </row>
    <row r="1779" spans="1:9" ht="17.399999999999999" x14ac:dyDescent="0.25">
      <c r="A1779" s="16"/>
      <c r="B1779" s="17"/>
      <c r="C1779" s="2"/>
      <c r="D1779" s="2"/>
      <c r="E1779" s="2"/>
      <c r="F1779" s="2"/>
      <c r="G1779" s="2"/>
      <c r="H1779" s="2"/>
      <c r="I1779" s="5"/>
    </row>
    <row r="1780" spans="1:9" ht="17.399999999999999" x14ac:dyDescent="0.25">
      <c r="A1780" s="16"/>
      <c r="B1780" s="17"/>
      <c r="C1780" s="2"/>
      <c r="D1780" s="2"/>
      <c r="E1780" s="2"/>
      <c r="F1780" s="2"/>
      <c r="G1780" s="2"/>
      <c r="H1780" s="2"/>
      <c r="I1780" s="5"/>
    </row>
    <row r="1781" spans="1:9" ht="17.399999999999999" x14ac:dyDescent="0.25">
      <c r="A1781" s="16"/>
      <c r="B1781" s="17"/>
      <c r="C1781" s="2"/>
      <c r="D1781" s="2"/>
      <c r="E1781" s="2"/>
      <c r="F1781" s="2"/>
      <c r="G1781" s="2"/>
      <c r="H1781" s="2"/>
      <c r="I1781" s="5"/>
    </row>
    <row r="1782" spans="1:9" ht="17.399999999999999" x14ac:dyDescent="0.25">
      <c r="A1782" s="16"/>
      <c r="B1782" s="17"/>
      <c r="C1782" s="2"/>
      <c r="D1782" s="2"/>
      <c r="E1782" s="2"/>
      <c r="F1782" s="2"/>
      <c r="G1782" s="2"/>
      <c r="H1782" s="2"/>
      <c r="I1782" s="5"/>
    </row>
    <row r="1783" spans="1:9" ht="17.399999999999999" x14ac:dyDescent="0.25">
      <c r="A1783" s="16"/>
      <c r="B1783" s="17"/>
      <c r="C1783" s="2"/>
      <c r="D1783" s="2"/>
      <c r="E1783" s="2"/>
      <c r="F1783" s="2"/>
      <c r="G1783" s="2"/>
      <c r="H1783" s="2"/>
      <c r="I1783" s="5"/>
    </row>
    <row r="1784" spans="1:9" ht="17.399999999999999" x14ac:dyDescent="0.25">
      <c r="A1784" s="16"/>
      <c r="B1784" s="17"/>
      <c r="C1784" s="2"/>
      <c r="D1784" s="2"/>
      <c r="E1784" s="2"/>
      <c r="F1784" s="2"/>
      <c r="G1784" s="2"/>
      <c r="H1784" s="2"/>
      <c r="I1784" s="5"/>
    </row>
    <row r="1785" spans="1:9" ht="17.399999999999999" x14ac:dyDescent="0.25">
      <c r="A1785" s="16"/>
      <c r="B1785" s="17"/>
      <c r="C1785" s="2"/>
      <c r="D1785" s="2"/>
      <c r="E1785" s="2"/>
      <c r="F1785" s="2"/>
      <c r="G1785" s="2"/>
      <c r="H1785" s="2"/>
      <c r="I1785" s="5"/>
    </row>
    <row r="1786" spans="1:9" ht="17.399999999999999" x14ac:dyDescent="0.25">
      <c r="A1786" s="16"/>
      <c r="B1786" s="17"/>
      <c r="C1786" s="2"/>
      <c r="D1786" s="2"/>
      <c r="E1786" s="2"/>
      <c r="F1786" s="2"/>
      <c r="G1786" s="2"/>
      <c r="H1786" s="2"/>
      <c r="I1786" s="5"/>
    </row>
    <row r="1787" spans="1:9" ht="17.399999999999999" x14ac:dyDescent="0.25">
      <c r="A1787" s="16"/>
      <c r="B1787" s="17"/>
      <c r="C1787" s="2"/>
      <c r="D1787" s="2"/>
      <c r="E1787" s="2"/>
      <c r="F1787" s="2"/>
      <c r="G1787" s="2"/>
      <c r="H1787" s="2"/>
      <c r="I1787" s="5"/>
    </row>
    <row r="1788" spans="1:9" ht="17.399999999999999" x14ac:dyDescent="0.25">
      <c r="A1788" s="16"/>
      <c r="B1788" s="17"/>
      <c r="C1788" s="2"/>
      <c r="D1788" s="2"/>
      <c r="E1788" s="2"/>
      <c r="F1788" s="2"/>
      <c r="G1788" s="2"/>
      <c r="H1788" s="2"/>
      <c r="I1788" s="5"/>
    </row>
    <row r="1789" spans="1:9" ht="17.399999999999999" x14ac:dyDescent="0.25">
      <c r="A1789" s="16"/>
      <c r="B1789" s="17"/>
      <c r="C1789" s="2"/>
      <c r="D1789" s="2"/>
      <c r="E1789" s="2"/>
      <c r="F1789" s="2"/>
      <c r="G1789" s="2"/>
      <c r="H1789" s="2"/>
      <c r="I1789" s="5"/>
    </row>
    <row r="1790" spans="1:9" ht="17.399999999999999" x14ac:dyDescent="0.25">
      <c r="A1790" s="16"/>
      <c r="B1790" s="17"/>
      <c r="C1790" s="2"/>
      <c r="D1790" s="2"/>
      <c r="E1790" s="2"/>
      <c r="F1790" s="2"/>
      <c r="G1790" s="2"/>
      <c r="H1790" s="2"/>
      <c r="I1790" s="5"/>
    </row>
    <row r="1791" spans="1:9" ht="17.399999999999999" x14ac:dyDescent="0.25">
      <c r="A1791" s="16"/>
      <c r="B1791" s="17"/>
      <c r="C1791" s="2"/>
      <c r="D1791" s="2"/>
      <c r="E1791" s="2"/>
      <c r="F1791" s="2"/>
      <c r="G1791" s="2"/>
      <c r="H1791" s="2"/>
      <c r="I1791" s="5"/>
    </row>
    <row r="1792" spans="1:9" ht="17.399999999999999" x14ac:dyDescent="0.25">
      <c r="A1792" s="16"/>
      <c r="B1792" s="17"/>
      <c r="C1792" s="2"/>
      <c r="D1792" s="2"/>
      <c r="E1792" s="2"/>
      <c r="F1792" s="2"/>
      <c r="G1792" s="2"/>
      <c r="H1792" s="2"/>
      <c r="I1792" s="5"/>
    </row>
    <row r="1793" spans="1:9" ht="17.399999999999999" x14ac:dyDescent="0.25">
      <c r="A1793" s="16"/>
      <c r="B1793" s="17"/>
      <c r="C1793" s="2"/>
      <c r="D1793" s="2"/>
      <c r="E1793" s="2"/>
      <c r="F1793" s="2"/>
      <c r="G1793" s="2"/>
      <c r="H1793" s="2"/>
      <c r="I1793" s="5"/>
    </row>
    <row r="1794" spans="1:9" ht="17.399999999999999" x14ac:dyDescent="0.25">
      <c r="A1794" s="16"/>
      <c r="B1794" s="17"/>
      <c r="C1794" s="2"/>
      <c r="D1794" s="2"/>
      <c r="E1794" s="2"/>
      <c r="F1794" s="2"/>
      <c r="G1794" s="2"/>
      <c r="H1794" s="2"/>
      <c r="I1794" s="5"/>
    </row>
    <row r="1795" spans="1:9" ht="17.399999999999999" x14ac:dyDescent="0.25">
      <c r="A1795" s="16"/>
      <c r="B1795" s="17"/>
      <c r="C1795" s="2"/>
      <c r="D1795" s="2"/>
      <c r="E1795" s="2"/>
      <c r="F1795" s="2"/>
      <c r="G1795" s="2"/>
      <c r="H1795" s="2"/>
      <c r="I1795" s="5"/>
    </row>
    <row r="1796" spans="1:9" ht="17.399999999999999" x14ac:dyDescent="0.25">
      <c r="A1796" s="16"/>
      <c r="B1796" s="17"/>
      <c r="C1796" s="2"/>
      <c r="D1796" s="2"/>
      <c r="E1796" s="2"/>
      <c r="F1796" s="2"/>
      <c r="G1796" s="2"/>
      <c r="H1796" s="2"/>
      <c r="I1796" s="5"/>
    </row>
    <row r="1797" spans="1:9" ht="17.399999999999999" x14ac:dyDescent="0.25">
      <c r="A1797" s="16"/>
      <c r="B1797" s="17"/>
      <c r="C1797" s="2"/>
      <c r="D1797" s="2"/>
      <c r="E1797" s="2"/>
      <c r="F1797" s="2"/>
      <c r="G1797" s="2"/>
      <c r="H1797" s="2"/>
      <c r="I1797" s="5"/>
    </row>
    <row r="1798" spans="1:9" ht="17.399999999999999" x14ac:dyDescent="0.25">
      <c r="A1798" s="16"/>
      <c r="B1798" s="17"/>
      <c r="C1798" s="2"/>
      <c r="D1798" s="2"/>
      <c r="E1798" s="2"/>
      <c r="F1798" s="2"/>
      <c r="G1798" s="2"/>
      <c r="H1798" s="2"/>
      <c r="I1798" s="5"/>
    </row>
    <row r="1799" spans="1:9" ht="17.399999999999999" x14ac:dyDescent="0.25">
      <c r="A1799" s="16"/>
      <c r="B1799" s="17"/>
      <c r="C1799" s="2"/>
      <c r="D1799" s="2"/>
      <c r="E1799" s="2"/>
      <c r="F1799" s="2"/>
      <c r="G1799" s="2"/>
      <c r="H1799" s="2"/>
      <c r="I1799" s="5"/>
    </row>
    <row r="1800" spans="1:9" ht="17.399999999999999" x14ac:dyDescent="0.25">
      <c r="A1800" s="16"/>
      <c r="B1800" s="17"/>
      <c r="C1800" s="2"/>
      <c r="D1800" s="2"/>
      <c r="E1800" s="2"/>
      <c r="F1800" s="2"/>
      <c r="G1800" s="2"/>
      <c r="H1800" s="2"/>
      <c r="I1800" s="5"/>
    </row>
    <row r="1801" spans="1:9" ht="17.399999999999999" x14ac:dyDescent="0.25">
      <c r="A1801" s="16"/>
      <c r="B1801" s="17"/>
      <c r="C1801" s="2"/>
      <c r="D1801" s="2"/>
      <c r="E1801" s="2"/>
      <c r="F1801" s="2"/>
      <c r="G1801" s="2"/>
      <c r="H1801" s="2"/>
      <c r="I1801" s="5"/>
    </row>
    <row r="1802" spans="1:9" ht="17.399999999999999" x14ac:dyDescent="0.25">
      <c r="A1802" s="16"/>
      <c r="B1802" s="17"/>
      <c r="C1802" s="2"/>
      <c r="D1802" s="2"/>
      <c r="E1802" s="2"/>
      <c r="F1802" s="2"/>
      <c r="G1802" s="2"/>
      <c r="H1802" s="2"/>
      <c r="I1802" s="5"/>
    </row>
    <row r="1803" spans="1:9" ht="17.399999999999999" x14ac:dyDescent="0.25">
      <c r="A1803" s="16"/>
      <c r="B1803" s="17"/>
      <c r="C1803" s="2"/>
      <c r="D1803" s="2"/>
      <c r="E1803" s="2"/>
      <c r="F1803" s="2"/>
      <c r="G1803" s="2"/>
      <c r="H1803" s="2"/>
      <c r="I1803" s="5"/>
    </row>
    <row r="1804" spans="1:9" ht="17.399999999999999" x14ac:dyDescent="0.25">
      <c r="A1804" s="16"/>
      <c r="B1804" s="17"/>
      <c r="C1804" s="2"/>
      <c r="D1804" s="2"/>
      <c r="E1804" s="2"/>
      <c r="F1804" s="2"/>
      <c r="G1804" s="2"/>
      <c r="H1804" s="2"/>
      <c r="I1804" s="5"/>
    </row>
    <row r="1805" spans="1:9" ht="17.399999999999999" x14ac:dyDescent="0.25">
      <c r="A1805" s="16"/>
      <c r="B1805" s="17"/>
      <c r="C1805" s="2"/>
      <c r="D1805" s="2"/>
      <c r="E1805" s="2"/>
      <c r="F1805" s="2"/>
      <c r="G1805" s="2"/>
      <c r="H1805" s="2"/>
      <c r="I1805" s="5"/>
    </row>
    <row r="1806" spans="1:9" ht="17.399999999999999" x14ac:dyDescent="0.25">
      <c r="A1806" s="16"/>
      <c r="B1806" s="17"/>
      <c r="C1806" s="2"/>
      <c r="D1806" s="2"/>
      <c r="E1806" s="2"/>
      <c r="F1806" s="2"/>
      <c r="G1806" s="2"/>
      <c r="H1806" s="2"/>
      <c r="I1806" s="5"/>
    </row>
    <row r="1807" spans="1:9" ht="17.399999999999999" x14ac:dyDescent="0.25">
      <c r="A1807" s="16"/>
      <c r="B1807" s="17"/>
      <c r="C1807" s="2"/>
      <c r="D1807" s="2"/>
      <c r="E1807" s="2"/>
      <c r="F1807" s="2"/>
      <c r="G1807" s="2"/>
      <c r="H1807" s="2"/>
      <c r="I1807" s="5"/>
    </row>
    <row r="1808" spans="1:9" ht="17.399999999999999" x14ac:dyDescent="0.25">
      <c r="A1808" s="16"/>
      <c r="B1808" s="17"/>
      <c r="C1808" s="2"/>
      <c r="D1808" s="2"/>
      <c r="E1808" s="2"/>
      <c r="F1808" s="2"/>
      <c r="G1808" s="2"/>
      <c r="H1808" s="2"/>
      <c r="I1808" s="5"/>
    </row>
    <row r="1809" spans="1:9" ht="17.399999999999999" x14ac:dyDescent="0.25">
      <c r="A1809" s="16"/>
      <c r="B1809" s="17"/>
      <c r="C1809" s="2"/>
      <c r="D1809" s="2"/>
      <c r="E1809" s="2"/>
      <c r="F1809" s="2"/>
      <c r="G1809" s="2"/>
      <c r="H1809" s="2"/>
      <c r="I1809" s="5"/>
    </row>
    <row r="1810" spans="1:9" ht="17.399999999999999" x14ac:dyDescent="0.25">
      <c r="A1810" s="16"/>
      <c r="B1810" s="17"/>
      <c r="C1810" s="2"/>
      <c r="D1810" s="2"/>
      <c r="E1810" s="2"/>
      <c r="F1810" s="2"/>
      <c r="G1810" s="2"/>
      <c r="H1810" s="2"/>
      <c r="I1810" s="5"/>
    </row>
    <row r="1811" spans="1:9" ht="17.399999999999999" x14ac:dyDescent="0.25">
      <c r="A1811" s="16"/>
      <c r="B1811" s="17"/>
      <c r="C1811" s="2"/>
      <c r="D1811" s="2"/>
      <c r="E1811" s="2"/>
      <c r="F1811" s="2"/>
      <c r="G1811" s="2"/>
      <c r="H1811" s="2"/>
      <c r="I1811" s="5"/>
    </row>
    <row r="1812" spans="1:9" ht="17.399999999999999" x14ac:dyDescent="0.25">
      <c r="A1812" s="16"/>
      <c r="B1812" s="17"/>
      <c r="C1812" s="2"/>
      <c r="D1812" s="2"/>
      <c r="E1812" s="2"/>
      <c r="F1812" s="2"/>
      <c r="G1812" s="2"/>
      <c r="H1812" s="2"/>
      <c r="I1812" s="5"/>
    </row>
    <row r="1813" spans="1:9" ht="17.399999999999999" x14ac:dyDescent="0.25">
      <c r="A1813" s="16"/>
      <c r="B1813" s="17"/>
      <c r="C1813" s="2"/>
      <c r="D1813" s="2"/>
      <c r="E1813" s="2"/>
      <c r="F1813" s="2"/>
      <c r="G1813" s="2"/>
      <c r="H1813" s="2"/>
      <c r="I1813" s="5"/>
    </row>
    <row r="1814" spans="1:9" ht="17.399999999999999" x14ac:dyDescent="0.25">
      <c r="A1814" s="16"/>
      <c r="B1814" s="17"/>
      <c r="C1814" s="2"/>
      <c r="D1814" s="2"/>
      <c r="E1814" s="2"/>
      <c r="F1814" s="2"/>
      <c r="G1814" s="2"/>
      <c r="H1814" s="2"/>
      <c r="I1814" s="5"/>
    </row>
    <row r="1815" spans="1:9" ht="17.399999999999999" x14ac:dyDescent="0.25">
      <c r="A1815" s="16"/>
      <c r="B1815" s="17"/>
      <c r="C1815" s="2"/>
      <c r="D1815" s="2"/>
      <c r="E1815" s="2"/>
      <c r="F1815" s="2"/>
      <c r="G1815" s="2"/>
      <c r="H1815" s="2"/>
      <c r="I1815" s="5"/>
    </row>
    <row r="1816" spans="1:9" ht="17.399999999999999" x14ac:dyDescent="0.25">
      <c r="A1816" s="16"/>
      <c r="B1816" s="17"/>
      <c r="C1816" s="2"/>
      <c r="D1816" s="2"/>
      <c r="E1816" s="2"/>
      <c r="F1816" s="2"/>
      <c r="G1816" s="2"/>
      <c r="H1816" s="2"/>
      <c r="I1816" s="5"/>
    </row>
    <row r="1817" spans="1:9" ht="17.399999999999999" x14ac:dyDescent="0.25">
      <c r="A1817" s="16"/>
      <c r="B1817" s="17"/>
      <c r="C1817" s="2"/>
      <c r="D1817" s="2"/>
      <c r="E1817" s="2"/>
      <c r="F1817" s="2"/>
      <c r="G1817" s="2"/>
      <c r="H1817" s="2"/>
      <c r="I1817" s="5"/>
    </row>
    <row r="1818" spans="1:9" ht="17.399999999999999" x14ac:dyDescent="0.25">
      <c r="A1818" s="16"/>
      <c r="B1818" s="17"/>
      <c r="C1818" s="2"/>
      <c r="D1818" s="2"/>
      <c r="E1818" s="2"/>
      <c r="F1818" s="2"/>
      <c r="G1818" s="2"/>
      <c r="H1818" s="2"/>
      <c r="I1818" s="5"/>
    </row>
    <row r="1819" spans="1:9" ht="17.399999999999999" x14ac:dyDescent="0.25">
      <c r="A1819" s="16"/>
      <c r="B1819" s="17"/>
      <c r="C1819" s="2"/>
      <c r="D1819" s="2"/>
      <c r="E1819" s="2"/>
      <c r="F1819" s="2"/>
      <c r="G1819" s="2"/>
      <c r="H1819" s="2"/>
      <c r="I1819" s="5"/>
    </row>
    <row r="1820" spans="1:9" ht="17.399999999999999" x14ac:dyDescent="0.25">
      <c r="A1820" s="16"/>
      <c r="B1820" s="17"/>
      <c r="C1820" s="2"/>
      <c r="D1820" s="2"/>
      <c r="E1820" s="2"/>
      <c r="F1820" s="2"/>
      <c r="G1820" s="2"/>
      <c r="H1820" s="2"/>
      <c r="I1820" s="5"/>
    </row>
    <row r="1821" spans="1:9" ht="17.399999999999999" x14ac:dyDescent="0.25">
      <c r="A1821" s="16"/>
      <c r="B1821" s="17"/>
      <c r="C1821" s="2"/>
      <c r="D1821" s="2"/>
      <c r="E1821" s="2"/>
      <c r="F1821" s="2"/>
      <c r="G1821" s="2"/>
      <c r="H1821" s="2"/>
      <c r="I1821" s="5"/>
    </row>
    <row r="1822" spans="1:9" ht="17.399999999999999" x14ac:dyDescent="0.25">
      <c r="A1822" s="16"/>
      <c r="B1822" s="17"/>
      <c r="C1822" s="2"/>
      <c r="D1822" s="2"/>
      <c r="E1822" s="2"/>
      <c r="F1822" s="2"/>
      <c r="G1822" s="2"/>
      <c r="H1822" s="2"/>
      <c r="I1822" s="5"/>
    </row>
    <row r="1823" spans="1:9" ht="17.399999999999999" x14ac:dyDescent="0.25">
      <c r="A1823" s="16"/>
      <c r="B1823" s="17"/>
      <c r="C1823" s="2"/>
      <c r="D1823" s="2"/>
      <c r="E1823" s="2"/>
      <c r="F1823" s="2"/>
      <c r="G1823" s="2"/>
      <c r="H1823" s="2"/>
      <c r="I1823" s="5"/>
    </row>
    <row r="1824" spans="1:9" ht="17.399999999999999" x14ac:dyDescent="0.25">
      <c r="A1824" s="16"/>
      <c r="B1824" s="17"/>
      <c r="C1824" s="2"/>
      <c r="D1824" s="2"/>
      <c r="E1824" s="2"/>
      <c r="F1824" s="2"/>
      <c r="G1824" s="2"/>
      <c r="H1824" s="2"/>
      <c r="I1824" s="5"/>
    </row>
    <row r="1825" spans="1:9" ht="17.399999999999999" x14ac:dyDescent="0.25">
      <c r="A1825" s="16"/>
      <c r="B1825" s="17"/>
      <c r="C1825" s="2"/>
      <c r="D1825" s="2"/>
      <c r="E1825" s="2"/>
      <c r="F1825" s="2"/>
      <c r="G1825" s="2"/>
      <c r="H1825" s="2"/>
      <c r="I1825" s="5"/>
    </row>
    <row r="1826" spans="1:9" ht="17.399999999999999" x14ac:dyDescent="0.25">
      <c r="A1826" s="16"/>
      <c r="B1826" s="17"/>
      <c r="C1826" s="2"/>
      <c r="D1826" s="2"/>
      <c r="E1826" s="2"/>
      <c r="F1826" s="2"/>
      <c r="G1826" s="2"/>
      <c r="H1826" s="2"/>
      <c r="I1826" s="5"/>
    </row>
    <row r="1827" spans="1:9" ht="17.399999999999999" x14ac:dyDescent="0.25">
      <c r="A1827" s="16"/>
      <c r="B1827" s="17"/>
      <c r="C1827" s="2"/>
      <c r="D1827" s="2"/>
      <c r="E1827" s="2"/>
      <c r="F1827" s="2"/>
      <c r="G1827" s="2"/>
      <c r="H1827" s="2"/>
      <c r="I1827" s="5"/>
    </row>
    <row r="1828" spans="1:9" ht="17.399999999999999" x14ac:dyDescent="0.25">
      <c r="A1828" s="16"/>
      <c r="B1828" s="17"/>
      <c r="C1828" s="2"/>
      <c r="D1828" s="2"/>
      <c r="E1828" s="2"/>
      <c r="F1828" s="2"/>
      <c r="G1828" s="2"/>
      <c r="H1828" s="2"/>
      <c r="I1828" s="5"/>
    </row>
    <row r="1829" spans="1:9" ht="17.399999999999999" x14ac:dyDescent="0.25">
      <c r="A1829" s="16"/>
      <c r="B1829" s="17"/>
      <c r="C1829" s="2"/>
      <c r="D1829" s="2"/>
      <c r="E1829" s="2"/>
      <c r="F1829" s="2"/>
      <c r="G1829" s="2"/>
      <c r="H1829" s="2"/>
      <c r="I1829" s="5"/>
    </row>
    <row r="1830" spans="1:9" ht="17.399999999999999" x14ac:dyDescent="0.25">
      <c r="A1830" s="16"/>
      <c r="B1830" s="17"/>
      <c r="C1830" s="2"/>
      <c r="D1830" s="2"/>
      <c r="E1830" s="2"/>
      <c r="F1830" s="2"/>
      <c r="G1830" s="2"/>
      <c r="H1830" s="2"/>
      <c r="I1830" s="5"/>
    </row>
    <row r="1831" spans="1:9" ht="17.399999999999999" x14ac:dyDescent="0.25">
      <c r="A1831" s="16"/>
      <c r="B1831" s="17"/>
      <c r="C1831" s="2"/>
      <c r="D1831" s="2"/>
      <c r="E1831" s="2"/>
      <c r="F1831" s="2"/>
      <c r="G1831" s="2"/>
      <c r="H1831" s="2"/>
      <c r="I1831" s="5"/>
    </row>
    <row r="1832" spans="1:9" ht="17.399999999999999" x14ac:dyDescent="0.25">
      <c r="A1832" s="16"/>
      <c r="B1832" s="17"/>
      <c r="C1832" s="2"/>
      <c r="D1832" s="2"/>
      <c r="E1832" s="2"/>
      <c r="F1832" s="2"/>
      <c r="G1832" s="2"/>
      <c r="H1832" s="2"/>
      <c r="I1832" s="5"/>
    </row>
    <row r="1833" spans="1:9" ht="17.399999999999999" x14ac:dyDescent="0.25">
      <c r="A1833" s="16"/>
      <c r="B1833" s="17"/>
      <c r="C1833" s="2"/>
      <c r="D1833" s="2"/>
      <c r="E1833" s="2"/>
      <c r="F1833" s="2"/>
      <c r="G1833" s="2"/>
      <c r="H1833" s="2"/>
      <c r="I1833" s="5"/>
    </row>
    <row r="1834" spans="1:9" ht="17.399999999999999" x14ac:dyDescent="0.25">
      <c r="A1834" s="16"/>
      <c r="B1834" s="17"/>
      <c r="C1834" s="2"/>
      <c r="D1834" s="2"/>
      <c r="E1834" s="2"/>
      <c r="F1834" s="2"/>
      <c r="G1834" s="2"/>
      <c r="H1834" s="2"/>
      <c r="I1834" s="5"/>
    </row>
    <row r="1835" spans="1:9" ht="17.399999999999999" x14ac:dyDescent="0.25">
      <c r="A1835" s="16"/>
      <c r="B1835" s="17"/>
      <c r="C1835" s="2"/>
      <c r="D1835" s="2"/>
      <c r="E1835" s="2"/>
      <c r="F1835" s="2"/>
      <c r="G1835" s="2"/>
      <c r="H1835" s="2"/>
      <c r="I1835" s="5"/>
    </row>
    <row r="1836" spans="1:9" ht="17.399999999999999" x14ac:dyDescent="0.25">
      <c r="A1836" s="16"/>
      <c r="B1836" s="17"/>
      <c r="C1836" s="2"/>
      <c r="D1836" s="2"/>
      <c r="E1836" s="2"/>
      <c r="F1836" s="2"/>
      <c r="G1836" s="2"/>
      <c r="H1836" s="2"/>
      <c r="I1836" s="5"/>
    </row>
    <row r="1837" spans="1:9" ht="17.399999999999999" x14ac:dyDescent="0.25">
      <c r="A1837" s="16"/>
      <c r="B1837" s="17"/>
      <c r="C1837" s="2"/>
      <c r="D1837" s="2"/>
      <c r="E1837" s="2"/>
      <c r="F1837" s="2"/>
      <c r="G1837" s="2"/>
      <c r="H1837" s="2"/>
      <c r="I1837" s="5"/>
    </row>
    <row r="1838" spans="1:9" ht="17.399999999999999" x14ac:dyDescent="0.25">
      <c r="A1838" s="16"/>
      <c r="B1838" s="17"/>
      <c r="C1838" s="2"/>
      <c r="D1838" s="2"/>
      <c r="E1838" s="2"/>
      <c r="F1838" s="2"/>
      <c r="G1838" s="2"/>
      <c r="H1838" s="2"/>
      <c r="I1838" s="5"/>
    </row>
    <row r="1839" spans="1:9" ht="17.399999999999999" x14ac:dyDescent="0.25">
      <c r="A1839" s="16"/>
      <c r="B1839" s="17"/>
      <c r="C1839" s="2"/>
      <c r="D1839" s="2"/>
      <c r="E1839" s="2"/>
      <c r="F1839" s="2"/>
      <c r="G1839" s="2"/>
      <c r="H1839" s="2"/>
      <c r="I1839" s="5"/>
    </row>
    <row r="1840" spans="1:9" ht="17.399999999999999" x14ac:dyDescent="0.25">
      <c r="A1840" s="16"/>
      <c r="B1840" s="17"/>
      <c r="C1840" s="2"/>
      <c r="D1840" s="2"/>
      <c r="E1840" s="2"/>
      <c r="F1840" s="2"/>
      <c r="G1840" s="2"/>
      <c r="H1840" s="2"/>
      <c r="I1840" s="5"/>
    </row>
    <row r="1841" spans="1:9" ht="17.399999999999999" x14ac:dyDescent="0.25">
      <c r="A1841" s="16"/>
      <c r="B1841" s="17"/>
      <c r="C1841" s="2"/>
      <c r="D1841" s="2"/>
      <c r="E1841" s="2"/>
      <c r="F1841" s="2"/>
      <c r="G1841" s="2"/>
      <c r="H1841" s="2"/>
      <c r="I1841" s="5"/>
    </row>
    <row r="1842" spans="1:9" ht="17.399999999999999" x14ac:dyDescent="0.25">
      <c r="A1842" s="16"/>
      <c r="B1842" s="17"/>
      <c r="C1842" s="2"/>
      <c r="D1842" s="2"/>
      <c r="E1842" s="2"/>
      <c r="F1842" s="2"/>
      <c r="G1842" s="2"/>
      <c r="H1842" s="2"/>
      <c r="I1842" s="5"/>
    </row>
    <row r="1843" spans="1:9" ht="17.399999999999999" x14ac:dyDescent="0.25">
      <c r="A1843" s="16"/>
      <c r="B1843" s="17"/>
      <c r="C1843" s="2"/>
      <c r="D1843" s="2"/>
      <c r="E1843" s="2"/>
      <c r="F1843" s="2"/>
      <c r="G1843" s="2"/>
      <c r="H1843" s="2"/>
      <c r="I1843" s="5"/>
    </row>
    <row r="1844" spans="1:9" ht="17.399999999999999" x14ac:dyDescent="0.25">
      <c r="A1844" s="16"/>
      <c r="B1844" s="17"/>
      <c r="C1844" s="2"/>
      <c r="D1844" s="2"/>
      <c r="E1844" s="2"/>
      <c r="F1844" s="2"/>
      <c r="G1844" s="2"/>
      <c r="H1844" s="2"/>
      <c r="I1844" s="5"/>
    </row>
    <row r="1845" spans="1:9" ht="17.399999999999999" x14ac:dyDescent="0.25">
      <c r="A1845" s="16"/>
      <c r="B1845" s="17"/>
      <c r="C1845" s="2"/>
      <c r="D1845" s="2"/>
      <c r="E1845" s="2"/>
      <c r="F1845" s="2"/>
      <c r="G1845" s="2"/>
      <c r="H1845" s="2"/>
      <c r="I1845" s="5"/>
    </row>
    <row r="1846" spans="1:9" ht="17.399999999999999" x14ac:dyDescent="0.25">
      <c r="A1846" s="16"/>
      <c r="B1846" s="17"/>
      <c r="C1846" s="2"/>
      <c r="D1846" s="2"/>
      <c r="E1846" s="2"/>
      <c r="F1846" s="2"/>
      <c r="G1846" s="2"/>
      <c r="H1846" s="2"/>
      <c r="I1846" s="5"/>
    </row>
    <row r="1847" spans="1:9" ht="17.399999999999999" x14ac:dyDescent="0.25">
      <c r="A1847" s="16"/>
      <c r="B1847" s="17"/>
      <c r="C1847" s="2"/>
      <c r="D1847" s="2"/>
      <c r="E1847" s="2"/>
      <c r="F1847" s="2"/>
      <c r="G1847" s="2"/>
      <c r="H1847" s="2"/>
      <c r="I1847" s="5"/>
    </row>
    <row r="1848" spans="1:9" ht="17.399999999999999" x14ac:dyDescent="0.25">
      <c r="A1848" s="16"/>
      <c r="B1848" s="17"/>
      <c r="C1848" s="2"/>
      <c r="D1848" s="2"/>
      <c r="E1848" s="2"/>
      <c r="F1848" s="2"/>
      <c r="G1848" s="2"/>
      <c r="H1848" s="2"/>
      <c r="I1848" s="5"/>
    </row>
    <row r="1849" spans="1:9" ht="17.399999999999999" x14ac:dyDescent="0.25">
      <c r="A1849" s="16"/>
      <c r="B1849" s="17"/>
      <c r="C1849" s="2"/>
      <c r="D1849" s="2"/>
      <c r="E1849" s="2"/>
      <c r="F1849" s="2"/>
      <c r="G1849" s="2"/>
      <c r="H1849" s="2"/>
      <c r="I1849" s="5"/>
    </row>
    <row r="1850" spans="1:9" ht="17.399999999999999" x14ac:dyDescent="0.25">
      <c r="A1850" s="16"/>
      <c r="B1850" s="17"/>
      <c r="C1850" s="2"/>
      <c r="D1850" s="2"/>
      <c r="E1850" s="2"/>
      <c r="F1850" s="2"/>
      <c r="G1850" s="2"/>
      <c r="H1850" s="2"/>
      <c r="I1850" s="5"/>
    </row>
    <row r="1851" spans="1:9" ht="17.399999999999999" x14ac:dyDescent="0.25">
      <c r="A1851" s="16"/>
      <c r="B1851" s="17"/>
      <c r="C1851" s="2"/>
      <c r="D1851" s="2"/>
      <c r="E1851" s="2"/>
      <c r="F1851" s="2"/>
      <c r="G1851" s="2"/>
      <c r="H1851" s="2"/>
      <c r="I1851" s="5"/>
    </row>
    <row r="1852" spans="1:9" ht="17.399999999999999" x14ac:dyDescent="0.25">
      <c r="A1852" s="16"/>
      <c r="B1852" s="17"/>
      <c r="C1852" s="2"/>
      <c r="D1852" s="2"/>
      <c r="E1852" s="2"/>
      <c r="F1852" s="2"/>
      <c r="G1852" s="2"/>
      <c r="H1852" s="2"/>
      <c r="I1852" s="5"/>
    </row>
    <row r="1853" spans="1:9" ht="17.399999999999999" x14ac:dyDescent="0.25">
      <c r="A1853" s="16"/>
      <c r="B1853" s="17"/>
      <c r="C1853" s="2"/>
      <c r="D1853" s="2"/>
      <c r="E1853" s="2"/>
      <c r="F1853" s="2"/>
      <c r="G1853" s="2"/>
      <c r="H1853" s="2"/>
      <c r="I1853" s="5"/>
    </row>
    <row r="1854" spans="1:9" ht="17.399999999999999" x14ac:dyDescent="0.25">
      <c r="A1854" s="16"/>
      <c r="B1854" s="17"/>
      <c r="C1854" s="2"/>
      <c r="D1854" s="2"/>
      <c r="E1854" s="2"/>
      <c r="F1854" s="2"/>
      <c r="G1854" s="2"/>
      <c r="H1854" s="2"/>
      <c r="I1854" s="5"/>
    </row>
    <row r="1855" spans="1:9" ht="17.399999999999999" x14ac:dyDescent="0.25">
      <c r="A1855" s="16"/>
      <c r="B1855" s="17"/>
      <c r="C1855" s="2"/>
      <c r="D1855" s="2"/>
      <c r="E1855" s="2"/>
      <c r="F1855" s="2"/>
      <c r="G1855" s="2"/>
      <c r="H1855" s="2"/>
      <c r="I1855" s="5"/>
    </row>
    <row r="1856" spans="1:9" ht="17.399999999999999" x14ac:dyDescent="0.25">
      <c r="A1856" s="16"/>
      <c r="B1856" s="17"/>
      <c r="C1856" s="2"/>
      <c r="D1856" s="2"/>
      <c r="E1856" s="2"/>
      <c r="F1856" s="2"/>
      <c r="G1856" s="2"/>
      <c r="H1856" s="2"/>
      <c r="I1856" s="5"/>
    </row>
    <row r="1857" spans="1:9" ht="17.399999999999999" x14ac:dyDescent="0.25">
      <c r="A1857" s="16"/>
      <c r="B1857" s="17"/>
      <c r="C1857" s="2"/>
      <c r="D1857" s="2"/>
      <c r="E1857" s="2"/>
      <c r="F1857" s="2"/>
      <c r="G1857" s="2"/>
      <c r="H1857" s="2"/>
      <c r="I1857" s="5"/>
    </row>
    <row r="1858" spans="1:9" ht="17.399999999999999" x14ac:dyDescent="0.25">
      <c r="A1858" s="16"/>
      <c r="B1858" s="17"/>
      <c r="C1858" s="2"/>
      <c r="D1858" s="2"/>
      <c r="E1858" s="2"/>
      <c r="F1858" s="2"/>
      <c r="G1858" s="2"/>
      <c r="H1858" s="2"/>
      <c r="I1858" s="5"/>
    </row>
    <row r="1859" spans="1:9" ht="17.399999999999999" x14ac:dyDescent="0.25">
      <c r="A1859" s="16"/>
      <c r="B1859" s="17"/>
      <c r="C1859" s="2"/>
      <c r="D1859" s="2"/>
      <c r="E1859" s="2"/>
      <c r="F1859" s="2"/>
      <c r="G1859" s="2"/>
      <c r="H1859" s="2"/>
      <c r="I1859" s="5"/>
    </row>
    <row r="1860" spans="1:9" ht="17.399999999999999" x14ac:dyDescent="0.25">
      <c r="A1860" s="16"/>
      <c r="B1860" s="17"/>
      <c r="C1860" s="2"/>
      <c r="D1860" s="2"/>
      <c r="E1860" s="2"/>
      <c r="F1860" s="2"/>
      <c r="G1860" s="2"/>
      <c r="H1860" s="2"/>
      <c r="I1860" s="5"/>
    </row>
    <row r="1861" spans="1:9" ht="17.399999999999999" x14ac:dyDescent="0.25">
      <c r="A1861" s="16"/>
      <c r="B1861" s="17"/>
      <c r="C1861" s="2"/>
      <c r="D1861" s="2"/>
      <c r="E1861" s="2"/>
      <c r="F1861" s="2"/>
      <c r="G1861" s="2"/>
      <c r="H1861" s="2"/>
      <c r="I1861" s="5"/>
    </row>
    <row r="1862" spans="1:9" ht="17.399999999999999" x14ac:dyDescent="0.25">
      <c r="A1862" s="16"/>
      <c r="B1862" s="17"/>
      <c r="C1862" s="2"/>
      <c r="D1862" s="2"/>
      <c r="E1862" s="2"/>
      <c r="F1862" s="2"/>
      <c r="G1862" s="2"/>
      <c r="H1862" s="2"/>
      <c r="I1862" s="5"/>
    </row>
    <row r="1863" spans="1:9" ht="17.399999999999999" x14ac:dyDescent="0.25">
      <c r="A1863" s="16"/>
      <c r="B1863" s="17"/>
      <c r="C1863" s="2"/>
      <c r="D1863" s="2"/>
      <c r="E1863" s="2"/>
      <c r="F1863" s="2"/>
      <c r="G1863" s="2"/>
      <c r="H1863" s="2"/>
      <c r="I1863" s="5"/>
    </row>
    <row r="1864" spans="1:9" ht="17.399999999999999" x14ac:dyDescent="0.25">
      <c r="A1864" s="16"/>
      <c r="B1864" s="17"/>
      <c r="C1864" s="2"/>
      <c r="D1864" s="2"/>
      <c r="E1864" s="2"/>
      <c r="F1864" s="2"/>
      <c r="G1864" s="2"/>
      <c r="H1864" s="2"/>
      <c r="I1864" s="5"/>
    </row>
    <row r="1865" spans="1:9" ht="17.399999999999999" x14ac:dyDescent="0.25">
      <c r="A1865" s="16"/>
      <c r="B1865" s="17"/>
      <c r="C1865" s="2"/>
      <c r="D1865" s="2"/>
      <c r="E1865" s="2"/>
      <c r="F1865" s="2"/>
      <c r="G1865" s="2"/>
      <c r="H1865" s="2"/>
      <c r="I1865" s="5"/>
    </row>
    <row r="1866" spans="1:9" ht="17.399999999999999" x14ac:dyDescent="0.25">
      <c r="A1866" s="16"/>
      <c r="B1866" s="17"/>
      <c r="C1866" s="2"/>
      <c r="D1866" s="2"/>
      <c r="E1866" s="2"/>
      <c r="F1866" s="2"/>
      <c r="G1866" s="2"/>
      <c r="H1866" s="2"/>
      <c r="I1866" s="5"/>
    </row>
    <row r="1867" spans="1:9" ht="17.399999999999999" x14ac:dyDescent="0.25">
      <c r="A1867" s="16"/>
      <c r="B1867" s="17"/>
      <c r="C1867" s="2"/>
      <c r="D1867" s="2"/>
      <c r="E1867" s="2"/>
      <c r="F1867" s="2"/>
      <c r="G1867" s="2"/>
      <c r="H1867" s="2"/>
      <c r="I1867" s="5"/>
    </row>
    <row r="1868" spans="1:9" ht="17.399999999999999" x14ac:dyDescent="0.25">
      <c r="A1868" s="16"/>
      <c r="B1868" s="17"/>
      <c r="C1868" s="2"/>
      <c r="D1868" s="2"/>
      <c r="E1868" s="2"/>
      <c r="F1868" s="2"/>
      <c r="G1868" s="2"/>
      <c r="H1868" s="2"/>
      <c r="I1868" s="5"/>
    </row>
    <row r="1869" spans="1:9" ht="17.399999999999999" x14ac:dyDescent="0.25">
      <c r="A1869" s="16"/>
      <c r="B1869" s="17"/>
      <c r="C1869" s="2"/>
      <c r="D1869" s="2"/>
      <c r="E1869" s="2"/>
      <c r="F1869" s="2"/>
      <c r="G1869" s="2"/>
      <c r="H1869" s="2"/>
      <c r="I1869" s="5"/>
    </row>
    <row r="1870" spans="1:9" ht="17.399999999999999" x14ac:dyDescent="0.25">
      <c r="A1870" s="16"/>
      <c r="B1870" s="17"/>
      <c r="C1870" s="2"/>
      <c r="D1870" s="2"/>
      <c r="E1870" s="2"/>
      <c r="F1870" s="2"/>
      <c r="G1870" s="2"/>
      <c r="H1870" s="2"/>
      <c r="I1870" s="5"/>
    </row>
    <row r="1871" spans="1:9" ht="17.399999999999999" x14ac:dyDescent="0.25">
      <c r="A1871" s="16"/>
      <c r="B1871" s="17"/>
      <c r="C1871" s="2"/>
      <c r="D1871" s="2"/>
      <c r="E1871" s="2"/>
      <c r="F1871" s="2"/>
      <c r="G1871" s="2"/>
      <c r="H1871" s="2"/>
      <c r="I1871" s="5"/>
    </row>
    <row r="1872" spans="1:9" ht="17.399999999999999" x14ac:dyDescent="0.25">
      <c r="A1872" s="16"/>
      <c r="B1872" s="17"/>
      <c r="C1872" s="2"/>
      <c r="D1872" s="2"/>
      <c r="E1872" s="2"/>
      <c r="F1872" s="2"/>
      <c r="G1872" s="2"/>
      <c r="H1872" s="2"/>
      <c r="I1872" s="5"/>
    </row>
    <row r="1873" spans="1:9" ht="17.399999999999999" x14ac:dyDescent="0.25">
      <c r="A1873" s="16"/>
      <c r="B1873" s="17"/>
      <c r="C1873" s="2"/>
      <c r="D1873" s="2"/>
      <c r="E1873" s="2"/>
      <c r="F1873" s="2"/>
      <c r="G1873" s="2"/>
      <c r="H1873" s="2"/>
      <c r="I1873" s="5"/>
    </row>
    <row r="1874" spans="1:9" ht="17.399999999999999" x14ac:dyDescent="0.25">
      <c r="A1874" s="16"/>
      <c r="B1874" s="17"/>
      <c r="C1874" s="2"/>
      <c r="D1874" s="2"/>
      <c r="E1874" s="2"/>
      <c r="F1874" s="2"/>
      <c r="G1874" s="2"/>
      <c r="H1874" s="2"/>
      <c r="I1874" s="5"/>
    </row>
    <row r="1875" spans="1:9" ht="17.399999999999999" x14ac:dyDescent="0.25">
      <c r="A1875" s="16"/>
      <c r="B1875" s="17"/>
      <c r="C1875" s="2"/>
      <c r="D1875" s="2"/>
      <c r="E1875" s="2"/>
      <c r="F1875" s="2"/>
      <c r="G1875" s="2"/>
      <c r="H1875" s="2"/>
      <c r="I1875" s="5"/>
    </row>
    <row r="1876" spans="1:9" ht="17.399999999999999" x14ac:dyDescent="0.25">
      <c r="A1876" s="16"/>
      <c r="B1876" s="17"/>
      <c r="C1876" s="2"/>
      <c r="D1876" s="2"/>
      <c r="E1876" s="2"/>
      <c r="F1876" s="2"/>
      <c r="G1876" s="2"/>
      <c r="H1876" s="2"/>
      <c r="I1876" s="5"/>
    </row>
    <row r="1877" spans="1:9" ht="17.399999999999999" x14ac:dyDescent="0.25">
      <c r="A1877" s="16"/>
      <c r="B1877" s="17"/>
      <c r="C1877" s="2"/>
      <c r="D1877" s="2"/>
      <c r="E1877" s="2"/>
      <c r="F1877" s="2"/>
      <c r="G1877" s="2"/>
      <c r="H1877" s="2"/>
      <c r="I1877" s="5"/>
    </row>
    <row r="1878" spans="1:9" ht="17.399999999999999" x14ac:dyDescent="0.25">
      <c r="A1878" s="16"/>
      <c r="B1878" s="17"/>
      <c r="C1878" s="2"/>
      <c r="D1878" s="2"/>
      <c r="E1878" s="2"/>
      <c r="F1878" s="2"/>
      <c r="G1878" s="2"/>
      <c r="H1878" s="2"/>
      <c r="I1878" s="5"/>
    </row>
    <row r="1879" spans="1:9" ht="17.399999999999999" x14ac:dyDescent="0.25">
      <c r="A1879" s="16"/>
      <c r="B1879" s="17"/>
      <c r="C1879" s="2"/>
      <c r="D1879" s="2"/>
      <c r="E1879" s="2"/>
      <c r="F1879" s="2"/>
      <c r="G1879" s="2"/>
      <c r="H1879" s="2"/>
      <c r="I1879" s="5"/>
    </row>
    <row r="1880" spans="1:9" ht="17.399999999999999" x14ac:dyDescent="0.25">
      <c r="A1880" s="16"/>
      <c r="B1880" s="17"/>
      <c r="C1880" s="2"/>
      <c r="D1880" s="2"/>
      <c r="E1880" s="2"/>
      <c r="F1880" s="2"/>
      <c r="G1880" s="2"/>
      <c r="H1880" s="2"/>
      <c r="I1880" s="5"/>
    </row>
    <row r="1881" spans="1:9" ht="17.399999999999999" x14ac:dyDescent="0.25">
      <c r="A1881" s="16"/>
      <c r="B1881" s="17"/>
      <c r="C1881" s="2"/>
      <c r="D1881" s="2"/>
      <c r="E1881" s="2"/>
      <c r="F1881" s="2"/>
      <c r="G1881" s="2"/>
      <c r="H1881" s="2"/>
      <c r="I1881" s="5"/>
    </row>
    <row r="1882" spans="1:9" ht="17.399999999999999" x14ac:dyDescent="0.25">
      <c r="A1882" s="16"/>
      <c r="B1882" s="17"/>
      <c r="C1882" s="2"/>
      <c r="D1882" s="2"/>
      <c r="E1882" s="2"/>
      <c r="F1882" s="2"/>
      <c r="G1882" s="2"/>
      <c r="H1882" s="2"/>
      <c r="I1882" s="5"/>
    </row>
    <row r="1883" spans="1:9" ht="17.399999999999999" x14ac:dyDescent="0.25">
      <c r="A1883" s="16"/>
      <c r="B1883" s="17"/>
      <c r="C1883" s="2"/>
      <c r="D1883" s="2"/>
      <c r="E1883" s="2"/>
      <c r="F1883" s="2"/>
      <c r="G1883" s="2"/>
      <c r="H1883" s="2"/>
      <c r="I1883" s="5"/>
    </row>
    <row r="1884" spans="1:9" ht="17.399999999999999" x14ac:dyDescent="0.25">
      <c r="A1884" s="16"/>
      <c r="B1884" s="17"/>
      <c r="C1884" s="2"/>
      <c r="D1884" s="2"/>
      <c r="E1884" s="2"/>
      <c r="F1884" s="2"/>
      <c r="G1884" s="2"/>
      <c r="H1884" s="2"/>
      <c r="I1884" s="5"/>
    </row>
    <row r="1885" spans="1:9" ht="17.399999999999999" x14ac:dyDescent="0.25">
      <c r="A1885" s="16"/>
      <c r="B1885" s="17"/>
      <c r="C1885" s="2"/>
      <c r="D1885" s="2"/>
      <c r="E1885" s="2"/>
      <c r="F1885" s="2"/>
      <c r="G1885" s="2"/>
      <c r="H1885" s="2"/>
      <c r="I1885" s="5"/>
    </row>
    <row r="1886" spans="1:9" ht="17.399999999999999" x14ac:dyDescent="0.25">
      <c r="A1886" s="16"/>
      <c r="B1886" s="17"/>
      <c r="C1886" s="2"/>
      <c r="D1886" s="2"/>
      <c r="E1886" s="2"/>
      <c r="F1886" s="2"/>
      <c r="G1886" s="2"/>
      <c r="H1886" s="2"/>
      <c r="I1886" s="5"/>
    </row>
    <row r="1887" spans="1:9" ht="17.399999999999999" x14ac:dyDescent="0.25">
      <c r="A1887" s="16"/>
      <c r="B1887" s="17"/>
      <c r="C1887" s="2"/>
      <c r="D1887" s="2"/>
      <c r="E1887" s="2"/>
      <c r="F1887" s="2"/>
      <c r="G1887" s="2"/>
      <c r="H1887" s="2"/>
      <c r="I1887" s="5"/>
    </row>
    <row r="1888" spans="1:9" ht="17.399999999999999" x14ac:dyDescent="0.25">
      <c r="A1888" s="16"/>
      <c r="B1888" s="17"/>
      <c r="C1888" s="2"/>
      <c r="D1888" s="2"/>
      <c r="E1888" s="2"/>
      <c r="F1888" s="2"/>
      <c r="G1888" s="2"/>
      <c r="H1888" s="2"/>
      <c r="I1888" s="5"/>
    </row>
    <row r="1889" spans="1:9" ht="17.399999999999999" x14ac:dyDescent="0.25">
      <c r="A1889" s="16"/>
      <c r="B1889" s="17"/>
      <c r="C1889" s="2"/>
      <c r="D1889" s="2"/>
      <c r="E1889" s="2"/>
      <c r="F1889" s="2"/>
      <c r="G1889" s="2"/>
      <c r="H1889" s="2"/>
      <c r="I1889" s="5"/>
    </row>
    <row r="1890" spans="1:9" ht="17.399999999999999" x14ac:dyDescent="0.25">
      <c r="A1890" s="16"/>
      <c r="B1890" s="17"/>
      <c r="C1890" s="2"/>
      <c r="D1890" s="2"/>
      <c r="E1890" s="2"/>
      <c r="F1890" s="2"/>
      <c r="G1890" s="2"/>
      <c r="H1890" s="2"/>
      <c r="I1890" s="5"/>
    </row>
    <row r="1891" spans="1:9" ht="17.399999999999999" x14ac:dyDescent="0.25">
      <c r="A1891" s="16"/>
      <c r="B1891" s="17"/>
      <c r="C1891" s="2"/>
      <c r="D1891" s="2"/>
      <c r="E1891" s="2"/>
      <c r="F1891" s="2"/>
      <c r="G1891" s="2"/>
      <c r="H1891" s="2"/>
      <c r="I1891" s="5"/>
    </row>
    <row r="1892" spans="1:9" ht="17.399999999999999" x14ac:dyDescent="0.25">
      <c r="A1892" s="16"/>
      <c r="B1892" s="17"/>
      <c r="C1892" s="2"/>
      <c r="D1892" s="2"/>
      <c r="E1892" s="2"/>
      <c r="F1892" s="2"/>
      <c r="G1892" s="2"/>
      <c r="H1892" s="2"/>
      <c r="I1892" s="5"/>
    </row>
    <row r="1893" spans="1:9" ht="17.399999999999999" x14ac:dyDescent="0.25">
      <c r="A1893" s="16"/>
      <c r="B1893" s="17"/>
      <c r="C1893" s="2"/>
      <c r="D1893" s="2"/>
      <c r="E1893" s="2"/>
      <c r="F1893" s="2"/>
      <c r="G1893" s="2"/>
      <c r="H1893" s="2"/>
      <c r="I1893" s="5"/>
    </row>
    <row r="1894" spans="1:9" ht="17.399999999999999" x14ac:dyDescent="0.25">
      <c r="A1894" s="16"/>
      <c r="B1894" s="17"/>
      <c r="C1894" s="2"/>
      <c r="D1894" s="2"/>
      <c r="E1894" s="2"/>
      <c r="F1894" s="2"/>
      <c r="G1894" s="2"/>
      <c r="H1894" s="2"/>
      <c r="I1894" s="5"/>
    </row>
    <row r="1895" spans="1:9" ht="17.399999999999999" x14ac:dyDescent="0.25">
      <c r="A1895" s="16"/>
      <c r="B1895" s="17"/>
      <c r="C1895" s="2"/>
      <c r="D1895" s="2"/>
      <c r="E1895" s="2"/>
      <c r="F1895" s="2"/>
      <c r="G1895" s="2"/>
      <c r="H1895" s="2"/>
      <c r="I1895" s="5"/>
    </row>
    <row r="1896" spans="1:9" ht="17.399999999999999" x14ac:dyDescent="0.25">
      <c r="A1896" s="16"/>
      <c r="B1896" s="17"/>
      <c r="C1896" s="2"/>
      <c r="D1896" s="2"/>
      <c r="E1896" s="2"/>
      <c r="F1896" s="2"/>
      <c r="G1896" s="2"/>
      <c r="H1896" s="2"/>
      <c r="I1896" s="5"/>
    </row>
    <row r="1897" spans="1:9" ht="17.399999999999999" x14ac:dyDescent="0.25">
      <c r="A1897" s="16"/>
      <c r="B1897" s="17"/>
      <c r="C1897" s="2"/>
      <c r="D1897" s="2"/>
      <c r="E1897" s="2"/>
      <c r="F1897" s="2"/>
      <c r="G1897" s="2"/>
      <c r="H1897" s="2"/>
      <c r="I1897" s="5"/>
    </row>
    <row r="1898" spans="1:9" ht="17.399999999999999" x14ac:dyDescent="0.25">
      <c r="A1898" s="16"/>
      <c r="B1898" s="17"/>
      <c r="C1898" s="2"/>
      <c r="D1898" s="2"/>
      <c r="E1898" s="2"/>
      <c r="F1898" s="2"/>
      <c r="G1898" s="2"/>
      <c r="H1898" s="2"/>
      <c r="I1898" s="5"/>
    </row>
    <row r="1899" spans="1:9" ht="17.399999999999999" x14ac:dyDescent="0.25">
      <c r="A1899" s="16"/>
      <c r="B1899" s="17"/>
      <c r="C1899" s="2"/>
      <c r="D1899" s="2"/>
      <c r="E1899" s="2"/>
      <c r="F1899" s="2"/>
      <c r="G1899" s="2"/>
      <c r="H1899" s="2"/>
      <c r="I1899" s="5"/>
    </row>
    <row r="1900" spans="1:9" ht="17.399999999999999" x14ac:dyDescent="0.25">
      <c r="A1900" s="16"/>
      <c r="B1900" s="17"/>
      <c r="C1900" s="2"/>
      <c r="D1900" s="2"/>
      <c r="E1900" s="2"/>
      <c r="F1900" s="2"/>
      <c r="G1900" s="2"/>
      <c r="H1900" s="2"/>
      <c r="I1900" s="5"/>
    </row>
    <row r="1901" spans="1:9" ht="17.399999999999999" x14ac:dyDescent="0.25">
      <c r="A1901" s="16"/>
      <c r="B1901" s="17"/>
      <c r="C1901" s="2"/>
      <c r="D1901" s="2"/>
      <c r="E1901" s="2"/>
      <c r="F1901" s="2"/>
      <c r="G1901" s="2"/>
      <c r="H1901" s="2"/>
      <c r="I1901" s="5"/>
    </row>
    <row r="1902" spans="1:9" ht="17.399999999999999" x14ac:dyDescent="0.25">
      <c r="A1902" s="16"/>
      <c r="B1902" s="17"/>
      <c r="C1902" s="2"/>
      <c r="D1902" s="2"/>
      <c r="E1902" s="2"/>
      <c r="F1902" s="2"/>
      <c r="G1902" s="2"/>
      <c r="H1902" s="2"/>
      <c r="I1902" s="5"/>
    </row>
    <row r="1903" spans="1:9" ht="17.399999999999999" x14ac:dyDescent="0.25">
      <c r="A1903" s="16"/>
      <c r="B1903" s="17"/>
      <c r="C1903" s="2"/>
      <c r="D1903" s="2"/>
      <c r="E1903" s="2"/>
      <c r="F1903" s="2"/>
      <c r="G1903" s="2"/>
      <c r="H1903" s="2"/>
      <c r="I1903" s="5"/>
    </row>
    <row r="1904" spans="1:9" ht="17.399999999999999" x14ac:dyDescent="0.25">
      <c r="A1904" s="16"/>
      <c r="B1904" s="17"/>
      <c r="C1904" s="2"/>
      <c r="D1904" s="2"/>
      <c r="E1904" s="2"/>
      <c r="F1904" s="2"/>
      <c r="G1904" s="2"/>
      <c r="H1904" s="2"/>
      <c r="I1904" s="5"/>
    </row>
    <row r="1905" spans="1:9" ht="17.399999999999999" x14ac:dyDescent="0.25">
      <c r="A1905" s="16"/>
      <c r="B1905" s="17"/>
      <c r="C1905" s="2"/>
      <c r="D1905" s="2"/>
      <c r="E1905" s="2"/>
      <c r="F1905" s="2"/>
      <c r="G1905" s="2"/>
      <c r="H1905" s="2"/>
      <c r="I1905" s="5"/>
    </row>
    <row r="1906" spans="1:9" ht="17.399999999999999" x14ac:dyDescent="0.25">
      <c r="A1906" s="16"/>
      <c r="B1906" s="17"/>
      <c r="C1906" s="2"/>
      <c r="D1906" s="2"/>
      <c r="E1906" s="2"/>
      <c r="F1906" s="2"/>
      <c r="G1906" s="2"/>
      <c r="H1906" s="2"/>
      <c r="I1906" s="5"/>
    </row>
    <row r="1907" spans="1:9" ht="17.399999999999999" x14ac:dyDescent="0.25">
      <c r="A1907" s="16"/>
      <c r="B1907" s="17"/>
      <c r="C1907" s="2"/>
      <c r="D1907" s="2"/>
      <c r="E1907" s="2"/>
      <c r="F1907" s="2"/>
      <c r="G1907" s="2"/>
      <c r="H1907" s="2"/>
      <c r="I1907" s="5"/>
    </row>
    <row r="1908" spans="1:9" ht="17.399999999999999" x14ac:dyDescent="0.25">
      <c r="A1908" s="16"/>
      <c r="B1908" s="17"/>
      <c r="C1908" s="2"/>
      <c r="D1908" s="2"/>
      <c r="E1908" s="2"/>
      <c r="F1908" s="2"/>
      <c r="G1908" s="2"/>
      <c r="H1908" s="2"/>
      <c r="I1908" s="5"/>
    </row>
    <row r="1909" spans="1:9" ht="17.399999999999999" x14ac:dyDescent="0.25">
      <c r="A1909" s="16"/>
      <c r="B1909" s="17"/>
      <c r="C1909" s="2"/>
      <c r="D1909" s="2"/>
      <c r="E1909" s="2"/>
      <c r="F1909" s="2"/>
      <c r="G1909" s="2"/>
      <c r="H1909" s="2"/>
      <c r="I1909" s="5"/>
    </row>
    <row r="1910" spans="1:9" ht="17.399999999999999" x14ac:dyDescent="0.25">
      <c r="A1910" s="16"/>
      <c r="B1910" s="17"/>
      <c r="C1910" s="2"/>
      <c r="D1910" s="2"/>
      <c r="E1910" s="2"/>
      <c r="F1910" s="2"/>
      <c r="G1910" s="2"/>
      <c r="H1910" s="2"/>
      <c r="I1910" s="5"/>
    </row>
    <row r="1911" spans="1:9" ht="17.399999999999999" x14ac:dyDescent="0.25">
      <c r="A1911" s="16"/>
      <c r="B1911" s="17"/>
      <c r="C1911" s="2"/>
      <c r="D1911" s="2"/>
      <c r="E1911" s="2"/>
      <c r="F1911" s="2"/>
      <c r="G1911" s="2"/>
      <c r="H1911" s="2"/>
      <c r="I1911" s="5"/>
    </row>
    <row r="1912" spans="1:9" ht="17.399999999999999" x14ac:dyDescent="0.25">
      <c r="A1912" s="16"/>
      <c r="B1912" s="17"/>
      <c r="C1912" s="2"/>
      <c r="D1912" s="2"/>
      <c r="E1912" s="2"/>
      <c r="F1912" s="2"/>
      <c r="G1912" s="2"/>
      <c r="H1912" s="2"/>
      <c r="I1912" s="5"/>
    </row>
    <row r="1913" spans="1:9" ht="17.399999999999999" x14ac:dyDescent="0.25">
      <c r="A1913" s="16"/>
      <c r="B1913" s="17"/>
      <c r="C1913" s="2"/>
      <c r="D1913" s="2"/>
      <c r="E1913" s="2"/>
      <c r="F1913" s="2"/>
      <c r="G1913" s="2"/>
      <c r="H1913" s="2"/>
      <c r="I1913" s="5"/>
    </row>
    <row r="1914" spans="1:9" ht="17.399999999999999" x14ac:dyDescent="0.25">
      <c r="A1914" s="16"/>
      <c r="B1914" s="17"/>
      <c r="C1914" s="2"/>
      <c r="D1914" s="2"/>
      <c r="E1914" s="2"/>
      <c r="F1914" s="2"/>
      <c r="G1914" s="2"/>
      <c r="H1914" s="2"/>
      <c r="I1914" s="5"/>
    </row>
    <row r="1915" spans="1:9" ht="17.399999999999999" x14ac:dyDescent="0.25">
      <c r="A1915" s="16"/>
      <c r="B1915" s="17"/>
      <c r="C1915" s="2"/>
      <c r="D1915" s="2"/>
      <c r="E1915" s="2"/>
      <c r="F1915" s="2"/>
      <c r="G1915" s="2"/>
      <c r="H1915" s="2"/>
      <c r="I1915" s="5"/>
    </row>
    <row r="1916" spans="1:9" ht="17.399999999999999" x14ac:dyDescent="0.25">
      <c r="A1916" s="16"/>
      <c r="B1916" s="17"/>
      <c r="C1916" s="2"/>
      <c r="D1916" s="2"/>
      <c r="E1916" s="2"/>
      <c r="F1916" s="2"/>
      <c r="G1916" s="2"/>
      <c r="H1916" s="2"/>
      <c r="I1916" s="5"/>
    </row>
    <row r="1917" spans="1:9" ht="17.399999999999999" x14ac:dyDescent="0.25">
      <c r="A1917" s="16"/>
      <c r="B1917" s="17"/>
      <c r="C1917" s="2"/>
      <c r="D1917" s="2"/>
      <c r="E1917" s="2"/>
      <c r="F1917" s="2"/>
      <c r="G1917" s="2"/>
      <c r="H1917" s="2"/>
      <c r="I1917" s="5"/>
    </row>
    <row r="1918" spans="1:9" ht="17.399999999999999" x14ac:dyDescent="0.25">
      <c r="A1918" s="16"/>
      <c r="B1918" s="17"/>
      <c r="C1918" s="2"/>
      <c r="D1918" s="2"/>
      <c r="E1918" s="2"/>
      <c r="F1918" s="2"/>
      <c r="G1918" s="2"/>
      <c r="H1918" s="2"/>
      <c r="I1918" s="5"/>
    </row>
    <row r="1919" spans="1:9" ht="17.399999999999999" x14ac:dyDescent="0.25">
      <c r="A1919" s="16"/>
      <c r="B1919" s="17"/>
      <c r="C1919" s="2"/>
      <c r="D1919" s="2"/>
      <c r="E1919" s="2"/>
      <c r="F1919" s="2"/>
      <c r="G1919" s="2"/>
      <c r="H1919" s="2"/>
      <c r="I1919" s="5"/>
    </row>
    <row r="1920" spans="1:9" ht="17.399999999999999" x14ac:dyDescent="0.25">
      <c r="A1920" s="16"/>
      <c r="B1920" s="17"/>
      <c r="C1920" s="2"/>
      <c r="D1920" s="2"/>
      <c r="E1920" s="2"/>
      <c r="F1920" s="2"/>
      <c r="G1920" s="2"/>
      <c r="H1920" s="2"/>
      <c r="I1920" s="5"/>
    </row>
    <row r="1921" spans="1:9" ht="17.399999999999999" x14ac:dyDescent="0.25">
      <c r="A1921" s="16"/>
      <c r="B1921" s="17"/>
      <c r="C1921" s="2"/>
      <c r="D1921" s="2"/>
      <c r="E1921" s="2"/>
      <c r="F1921" s="2"/>
      <c r="G1921" s="2"/>
      <c r="H1921" s="2"/>
      <c r="I1921" s="5"/>
    </row>
    <row r="1922" spans="1:9" ht="17.399999999999999" x14ac:dyDescent="0.25">
      <c r="A1922" s="16"/>
      <c r="B1922" s="17"/>
      <c r="C1922" s="2"/>
      <c r="D1922" s="2"/>
      <c r="E1922" s="2"/>
      <c r="F1922" s="2"/>
      <c r="G1922" s="2"/>
      <c r="H1922" s="2"/>
      <c r="I1922" s="5"/>
    </row>
    <row r="1923" spans="1:9" ht="17.399999999999999" x14ac:dyDescent="0.25">
      <c r="A1923" s="16"/>
      <c r="B1923" s="17"/>
      <c r="C1923" s="2"/>
      <c r="D1923" s="2"/>
      <c r="E1923" s="2"/>
      <c r="F1923" s="2"/>
      <c r="G1923" s="2"/>
      <c r="H1923" s="2"/>
      <c r="I1923" s="5"/>
    </row>
    <row r="1924" spans="1:9" ht="17.399999999999999" x14ac:dyDescent="0.25">
      <c r="A1924" s="16"/>
      <c r="B1924" s="17"/>
      <c r="C1924" s="2"/>
      <c r="D1924" s="2"/>
      <c r="E1924" s="2"/>
      <c r="F1924" s="2"/>
      <c r="G1924" s="2"/>
      <c r="H1924" s="2"/>
      <c r="I1924" s="5"/>
    </row>
    <row r="1925" spans="1:9" ht="17.399999999999999" x14ac:dyDescent="0.25">
      <c r="A1925" s="16"/>
      <c r="B1925" s="17"/>
      <c r="C1925" s="2"/>
      <c r="D1925" s="2"/>
      <c r="E1925" s="2"/>
      <c r="F1925" s="2"/>
      <c r="G1925" s="2"/>
      <c r="H1925" s="2"/>
      <c r="I1925" s="5"/>
    </row>
    <row r="1926" spans="1:9" ht="17.399999999999999" x14ac:dyDescent="0.25">
      <c r="A1926" s="16"/>
      <c r="B1926" s="17"/>
      <c r="C1926" s="2"/>
      <c r="D1926" s="2"/>
      <c r="E1926" s="2"/>
      <c r="F1926" s="2"/>
      <c r="G1926" s="2"/>
      <c r="H1926" s="2"/>
      <c r="I1926" s="5"/>
    </row>
    <row r="1927" spans="1:9" ht="17.399999999999999" x14ac:dyDescent="0.25">
      <c r="A1927" s="16"/>
      <c r="B1927" s="17"/>
      <c r="C1927" s="2"/>
      <c r="D1927" s="2"/>
      <c r="E1927" s="2"/>
      <c r="F1927" s="2"/>
      <c r="G1927" s="2"/>
      <c r="H1927" s="2"/>
      <c r="I1927" s="5"/>
    </row>
    <row r="1928" spans="1:9" ht="17.399999999999999" x14ac:dyDescent="0.25">
      <c r="A1928" s="16"/>
      <c r="B1928" s="17"/>
      <c r="C1928" s="2"/>
      <c r="D1928" s="2"/>
      <c r="E1928" s="2"/>
      <c r="F1928" s="2"/>
      <c r="G1928" s="2"/>
      <c r="H1928" s="2"/>
      <c r="I1928" s="5"/>
    </row>
    <row r="1929" spans="1:9" ht="17.399999999999999" x14ac:dyDescent="0.25">
      <c r="A1929" s="16"/>
      <c r="B1929" s="17"/>
      <c r="C1929" s="2"/>
      <c r="D1929" s="2"/>
      <c r="E1929" s="2"/>
      <c r="F1929" s="2"/>
      <c r="G1929" s="2"/>
      <c r="H1929" s="2"/>
      <c r="I1929" s="5"/>
    </row>
    <row r="1930" spans="1:9" ht="17.399999999999999" x14ac:dyDescent="0.25">
      <c r="A1930" s="16"/>
      <c r="B1930" s="17"/>
      <c r="C1930" s="2"/>
      <c r="D1930" s="2"/>
      <c r="E1930" s="2"/>
      <c r="F1930" s="2"/>
      <c r="G1930" s="2"/>
      <c r="H1930" s="2"/>
      <c r="I1930" s="5"/>
    </row>
    <row r="1931" spans="1:9" ht="17.399999999999999" x14ac:dyDescent="0.25">
      <c r="A1931" s="16"/>
      <c r="B1931" s="17"/>
      <c r="C1931" s="2"/>
      <c r="D1931" s="2"/>
      <c r="E1931" s="2"/>
      <c r="F1931" s="2"/>
      <c r="G1931" s="2"/>
      <c r="H1931" s="2"/>
      <c r="I1931" s="5"/>
    </row>
    <row r="1932" spans="1:9" ht="17.399999999999999" x14ac:dyDescent="0.25">
      <c r="A1932" s="16"/>
      <c r="B1932" s="17"/>
      <c r="C1932" s="2"/>
      <c r="D1932" s="2"/>
      <c r="E1932" s="2"/>
      <c r="F1932" s="2"/>
      <c r="G1932" s="2"/>
      <c r="H1932" s="2"/>
      <c r="I1932" s="5"/>
    </row>
    <row r="1933" spans="1:9" ht="17.399999999999999" x14ac:dyDescent="0.25">
      <c r="A1933" s="16"/>
      <c r="B1933" s="17"/>
      <c r="C1933" s="2"/>
      <c r="D1933" s="2"/>
      <c r="E1933" s="2"/>
      <c r="F1933" s="2"/>
      <c r="G1933" s="2"/>
      <c r="H1933" s="2"/>
      <c r="I1933" s="5"/>
    </row>
    <row r="1934" spans="1:9" ht="17.399999999999999" x14ac:dyDescent="0.25">
      <c r="A1934" s="16"/>
      <c r="B1934" s="17"/>
      <c r="C1934" s="2"/>
      <c r="D1934" s="2"/>
      <c r="E1934" s="2"/>
      <c r="F1934" s="2"/>
      <c r="G1934" s="2"/>
      <c r="H1934" s="2"/>
      <c r="I1934" s="5"/>
    </row>
    <row r="1935" spans="1:9" ht="17.399999999999999" x14ac:dyDescent="0.25">
      <c r="A1935" s="16"/>
      <c r="B1935" s="17"/>
      <c r="C1935" s="2"/>
      <c r="D1935" s="2"/>
      <c r="E1935" s="2"/>
      <c r="F1935" s="2"/>
      <c r="G1935" s="2"/>
      <c r="H1935" s="2"/>
      <c r="I1935" s="5"/>
    </row>
    <row r="1936" spans="1:9" ht="17.399999999999999" x14ac:dyDescent="0.25">
      <c r="A1936" s="16"/>
      <c r="B1936" s="17"/>
      <c r="C1936" s="2"/>
      <c r="D1936" s="2"/>
      <c r="E1936" s="2"/>
      <c r="F1936" s="2"/>
      <c r="G1936" s="2"/>
      <c r="H1936" s="2"/>
      <c r="I1936" s="5"/>
    </row>
    <row r="1937" spans="1:9" ht="17.399999999999999" x14ac:dyDescent="0.25">
      <c r="A1937" s="16"/>
      <c r="B1937" s="17"/>
      <c r="C1937" s="2"/>
      <c r="D1937" s="2"/>
      <c r="E1937" s="2"/>
      <c r="F1937" s="2"/>
      <c r="G1937" s="2"/>
      <c r="H1937" s="2"/>
      <c r="I1937" s="5"/>
    </row>
    <row r="1938" spans="1:9" ht="17.399999999999999" x14ac:dyDescent="0.25">
      <c r="A1938" s="16"/>
      <c r="B1938" s="17"/>
      <c r="C1938" s="2"/>
      <c r="D1938" s="2"/>
      <c r="E1938" s="2"/>
      <c r="F1938" s="2"/>
      <c r="G1938" s="2"/>
      <c r="H1938" s="2"/>
      <c r="I1938" s="5"/>
    </row>
    <row r="1939" spans="1:9" ht="17.399999999999999" x14ac:dyDescent="0.25">
      <c r="A1939" s="16"/>
      <c r="B1939" s="17"/>
      <c r="C1939" s="2"/>
      <c r="D1939" s="2"/>
      <c r="E1939" s="2"/>
      <c r="F1939" s="2"/>
      <c r="G1939" s="2"/>
      <c r="H1939" s="2"/>
      <c r="I1939" s="5"/>
    </row>
    <row r="1940" spans="1:9" ht="17.399999999999999" x14ac:dyDescent="0.25">
      <c r="A1940" s="16"/>
      <c r="B1940" s="17"/>
      <c r="C1940" s="2"/>
      <c r="D1940" s="2"/>
      <c r="E1940" s="2"/>
      <c r="F1940" s="2"/>
      <c r="G1940" s="2"/>
      <c r="H1940" s="2"/>
      <c r="I1940" s="5"/>
    </row>
    <row r="1941" spans="1:9" ht="17.399999999999999" x14ac:dyDescent="0.25">
      <c r="A1941" s="16"/>
      <c r="B1941" s="17"/>
      <c r="C1941" s="2" t="b">
        <v>0</v>
      </c>
      <c r="D1941" s="2"/>
      <c r="E1941" s="2"/>
      <c r="F1941" s="2"/>
      <c r="G1941" s="2"/>
      <c r="H1941" s="2"/>
      <c r="I1941" s="5"/>
    </row>
    <row r="1942" spans="1:9" ht="17.399999999999999" x14ac:dyDescent="0.25">
      <c r="A1942" s="16"/>
      <c r="B1942" s="17"/>
      <c r="C1942" s="2" t="b">
        <v>0</v>
      </c>
      <c r="D1942" s="2"/>
      <c r="E1942" s="2"/>
      <c r="F1942" s="2"/>
      <c r="G1942" s="2"/>
      <c r="H1942" s="2"/>
      <c r="I1942" s="5"/>
    </row>
    <row r="1943" spans="1:9" ht="17.399999999999999" x14ac:dyDescent="0.25">
      <c r="A1943" s="16"/>
      <c r="B1943" s="17"/>
      <c r="C1943" s="2" t="b">
        <v>0</v>
      </c>
      <c r="D1943" s="2"/>
      <c r="E1943" s="2"/>
      <c r="F1943" s="2"/>
      <c r="G1943" s="2"/>
      <c r="H1943" s="2"/>
      <c r="I1943" s="5"/>
    </row>
    <row r="1944" spans="1:9" ht="17.399999999999999" x14ac:dyDescent="0.25">
      <c r="A1944" s="16"/>
      <c r="B1944" s="17"/>
      <c r="C1944" s="2" t="b">
        <v>0</v>
      </c>
      <c r="D1944" s="2"/>
      <c r="E1944" s="2"/>
      <c r="F1944" s="2"/>
      <c r="G1944" s="2"/>
      <c r="H1944" s="2"/>
      <c r="I1944" s="5"/>
    </row>
    <row r="1945" spans="1:9" ht="17.399999999999999" x14ac:dyDescent="0.25">
      <c r="A1945" s="16"/>
      <c r="B1945" s="17"/>
      <c r="C1945" s="2" t="b">
        <v>0</v>
      </c>
      <c r="D1945" s="2"/>
      <c r="E1945" s="2"/>
      <c r="F1945" s="2"/>
      <c r="G1945" s="2"/>
      <c r="H1945" s="2"/>
      <c r="I1945" s="5"/>
    </row>
    <row r="1946" spans="1:9" ht="17.399999999999999" x14ac:dyDescent="0.25">
      <c r="A1946" s="16"/>
      <c r="B1946" s="17"/>
      <c r="C1946" s="2" t="b">
        <v>0</v>
      </c>
      <c r="D1946" s="2"/>
      <c r="E1946" s="2"/>
      <c r="F1946" s="2"/>
      <c r="G1946" s="2"/>
      <c r="H1946" s="2"/>
      <c r="I1946" s="5"/>
    </row>
    <row r="1947" spans="1:9" ht="17.399999999999999" x14ac:dyDescent="0.25">
      <c r="A1947" s="16"/>
      <c r="B1947" s="17"/>
      <c r="C1947" s="2" t="b">
        <v>0</v>
      </c>
      <c r="D1947" s="2"/>
      <c r="E1947" s="2"/>
      <c r="F1947" s="2"/>
      <c r="G1947" s="2"/>
      <c r="H1947" s="2"/>
      <c r="I1947" s="5"/>
    </row>
    <row r="1948" spans="1:9" ht="17.399999999999999" x14ac:dyDescent="0.25">
      <c r="A1948" s="16"/>
      <c r="B1948" s="17"/>
      <c r="C1948" s="2" t="b">
        <v>0</v>
      </c>
      <c r="D1948" s="2"/>
      <c r="E1948" s="2"/>
      <c r="F1948" s="2"/>
      <c r="G1948" s="2"/>
      <c r="H1948" s="2"/>
      <c r="I1948" s="5"/>
    </row>
    <row r="1949" spans="1:9" ht="17.399999999999999" x14ac:dyDescent="0.25">
      <c r="A1949" s="16"/>
      <c r="B1949" s="17"/>
      <c r="C1949" s="2" t="b">
        <v>0</v>
      </c>
      <c r="D1949" s="2"/>
      <c r="E1949" s="2"/>
      <c r="F1949" s="2"/>
      <c r="G1949" s="2"/>
      <c r="H1949" s="2"/>
      <c r="I1949" s="5"/>
    </row>
    <row r="1950" spans="1:9" ht="17.399999999999999" x14ac:dyDescent="0.25">
      <c r="A1950" s="16"/>
      <c r="B1950" s="17"/>
      <c r="C1950" s="2" t="b">
        <v>0</v>
      </c>
      <c r="D1950" s="2"/>
      <c r="E1950" s="2"/>
      <c r="F1950" s="2"/>
      <c r="G1950" s="2"/>
      <c r="H1950" s="2"/>
      <c r="I1950" s="5"/>
    </row>
    <row r="1951" spans="1:9" ht="17.399999999999999" x14ac:dyDescent="0.25">
      <c r="A1951" s="16"/>
      <c r="B1951" s="17"/>
      <c r="C1951" s="2" t="b">
        <v>0</v>
      </c>
      <c r="D1951" s="2"/>
      <c r="E1951" s="2"/>
      <c r="F1951" s="2"/>
      <c r="G1951" s="2"/>
      <c r="H1951" s="2"/>
      <c r="I1951" s="5"/>
    </row>
    <row r="1952" spans="1:9" ht="17.399999999999999" x14ac:dyDescent="0.25">
      <c r="A1952" s="16"/>
      <c r="B1952" s="17"/>
      <c r="C1952" s="2" t="b">
        <v>0</v>
      </c>
      <c r="D1952" s="2"/>
      <c r="E1952" s="2"/>
      <c r="F1952" s="2"/>
      <c r="G1952" s="2"/>
      <c r="H1952" s="2"/>
      <c r="I1952" s="5"/>
    </row>
    <row r="1953" spans="1:9" ht="17.399999999999999" x14ac:dyDescent="0.25">
      <c r="A1953" s="16"/>
      <c r="B1953" s="17"/>
      <c r="C1953" s="2" t="b">
        <v>0</v>
      </c>
      <c r="D1953" s="2"/>
      <c r="E1953" s="2"/>
      <c r="F1953" s="2"/>
      <c r="G1953" s="2"/>
      <c r="H1953" s="2"/>
      <c r="I1953" s="5"/>
    </row>
    <row r="1954" spans="1:9" ht="17.399999999999999" x14ac:dyDescent="0.25">
      <c r="A1954" s="16"/>
      <c r="B1954" s="17"/>
      <c r="C1954" s="2" t="b">
        <v>0</v>
      </c>
      <c r="D1954" s="2"/>
      <c r="E1954" s="2"/>
      <c r="F1954" s="2"/>
      <c r="G1954" s="2"/>
      <c r="H1954" s="2"/>
      <c r="I1954" s="5"/>
    </row>
    <row r="1955" spans="1:9" ht="17.399999999999999" x14ac:dyDescent="0.25">
      <c r="A1955" s="16"/>
      <c r="B1955" s="17"/>
      <c r="C1955" s="2" t="b">
        <v>0</v>
      </c>
      <c r="D1955" s="2"/>
      <c r="E1955" s="2"/>
      <c r="F1955" s="2"/>
      <c r="G1955" s="2"/>
      <c r="H1955" s="2"/>
      <c r="I1955" s="5"/>
    </row>
    <row r="1956" spans="1:9" ht="17.399999999999999" x14ac:dyDescent="0.25">
      <c r="A1956" s="16"/>
      <c r="B1956" s="17"/>
      <c r="C1956" s="2" t="b">
        <v>0</v>
      </c>
      <c r="D1956" s="2"/>
      <c r="E1956" s="2"/>
      <c r="F1956" s="2"/>
      <c r="G1956" s="2"/>
      <c r="H1956" s="2"/>
      <c r="I1956" s="5"/>
    </row>
    <row r="1957" spans="1:9" ht="17.399999999999999" x14ac:dyDescent="0.25">
      <c r="A1957" s="16"/>
      <c r="B1957" s="17"/>
      <c r="C1957" s="2" t="b">
        <v>0</v>
      </c>
      <c r="D1957" s="2"/>
      <c r="E1957" s="2"/>
      <c r="F1957" s="2"/>
      <c r="G1957" s="2"/>
      <c r="H1957" s="2"/>
      <c r="I1957" s="5"/>
    </row>
    <row r="1958" spans="1:9" ht="17.399999999999999" x14ac:dyDescent="0.25">
      <c r="A1958" s="16"/>
      <c r="B1958" s="17"/>
      <c r="C1958" s="2" t="b">
        <v>0</v>
      </c>
      <c r="D1958" s="2"/>
      <c r="E1958" s="2"/>
      <c r="F1958" s="2"/>
      <c r="G1958" s="2"/>
      <c r="H1958" s="2"/>
      <c r="I1958" s="5"/>
    </row>
    <row r="1959" spans="1:9" ht="17.399999999999999" x14ac:dyDescent="0.25">
      <c r="A1959" s="16"/>
      <c r="B1959" s="17"/>
      <c r="C1959" s="2" t="b">
        <v>0</v>
      </c>
      <c r="D1959" s="2"/>
      <c r="E1959" s="2"/>
      <c r="F1959" s="2"/>
      <c r="G1959" s="2"/>
      <c r="H1959" s="2"/>
      <c r="I1959" s="5"/>
    </row>
    <row r="1960" spans="1:9" ht="17.399999999999999" x14ac:dyDescent="0.25">
      <c r="A1960" s="16"/>
      <c r="B1960" s="17"/>
      <c r="C1960" s="2" t="b">
        <v>0</v>
      </c>
      <c r="D1960" s="2"/>
      <c r="E1960" s="2"/>
      <c r="F1960" s="2"/>
      <c r="G1960" s="2"/>
      <c r="H1960" s="2"/>
      <c r="I1960" s="5"/>
    </row>
    <row r="1961" spans="1:9" ht="17.399999999999999" x14ac:dyDescent="0.25">
      <c r="A1961" s="16"/>
      <c r="B1961" s="17"/>
      <c r="C1961" s="2" t="b">
        <v>0</v>
      </c>
      <c r="D1961" s="2"/>
      <c r="E1961" s="2"/>
      <c r="F1961" s="2"/>
      <c r="G1961" s="2"/>
      <c r="H1961" s="2"/>
      <c r="I1961" s="5"/>
    </row>
    <row r="1962" spans="1:9" ht="17.399999999999999" x14ac:dyDescent="0.25">
      <c r="A1962" s="16"/>
      <c r="B1962" s="17"/>
      <c r="C1962" s="2" t="b">
        <v>0</v>
      </c>
      <c r="D1962" s="2"/>
      <c r="E1962" s="2"/>
      <c r="F1962" s="2"/>
      <c r="G1962" s="2"/>
      <c r="H1962" s="2"/>
      <c r="I1962" s="5"/>
    </row>
    <row r="1963" spans="1:9" ht="17.399999999999999" x14ac:dyDescent="0.25">
      <c r="A1963" s="16"/>
      <c r="B1963" s="17"/>
      <c r="C1963" s="2" t="b">
        <v>0</v>
      </c>
      <c r="D1963" s="2"/>
      <c r="E1963" s="2"/>
      <c r="F1963" s="2"/>
      <c r="G1963" s="2"/>
      <c r="H1963" s="2"/>
      <c r="I1963" s="5"/>
    </row>
    <row r="1964" spans="1:9" ht="17.399999999999999" x14ac:dyDescent="0.25">
      <c r="A1964" s="16"/>
      <c r="B1964" s="17"/>
      <c r="C1964" s="2" t="b">
        <v>0</v>
      </c>
      <c r="D1964" s="2"/>
      <c r="E1964" s="2"/>
      <c r="F1964" s="2"/>
      <c r="G1964" s="2"/>
      <c r="H1964" s="2"/>
      <c r="I1964" s="5"/>
    </row>
    <row r="1965" spans="1:9" ht="17.399999999999999" x14ac:dyDescent="0.25">
      <c r="A1965" s="16"/>
      <c r="B1965" s="17"/>
      <c r="C1965" s="2" t="b">
        <v>0</v>
      </c>
      <c r="D1965" s="2"/>
      <c r="E1965" s="2"/>
      <c r="F1965" s="2"/>
      <c r="G1965" s="2"/>
      <c r="H1965" s="2"/>
      <c r="I1965" s="5"/>
    </row>
    <row r="1966" spans="1:9" ht="17.399999999999999" x14ac:dyDescent="0.25">
      <c r="A1966" s="16"/>
      <c r="B1966" s="17"/>
      <c r="C1966" s="2" t="b">
        <v>0</v>
      </c>
      <c r="D1966" s="2"/>
      <c r="E1966" s="2"/>
      <c r="F1966" s="2"/>
      <c r="G1966" s="2"/>
      <c r="H1966" s="2"/>
      <c r="I1966" s="5"/>
    </row>
    <row r="1967" spans="1:9" ht="17.399999999999999" x14ac:dyDescent="0.25">
      <c r="A1967" s="16"/>
      <c r="B1967" s="17"/>
      <c r="C1967" s="2" t="b">
        <v>0</v>
      </c>
      <c r="D1967" s="2"/>
      <c r="E1967" s="2"/>
      <c r="F1967" s="2"/>
      <c r="G1967" s="2"/>
      <c r="H1967" s="2"/>
      <c r="I1967" s="5"/>
    </row>
    <row r="1968" spans="1:9" ht="17.399999999999999" x14ac:dyDescent="0.25">
      <c r="A1968" s="16"/>
      <c r="B1968" s="17"/>
      <c r="C1968" s="2" t="b">
        <v>0</v>
      </c>
      <c r="D1968" s="2"/>
      <c r="E1968" s="2"/>
      <c r="F1968" s="2"/>
      <c r="G1968" s="2"/>
      <c r="H1968" s="2"/>
      <c r="I1968" s="5"/>
    </row>
    <row r="1969" spans="1:9" ht="17.399999999999999" x14ac:dyDescent="0.25">
      <c r="A1969" s="16"/>
      <c r="B1969" s="17"/>
      <c r="C1969" s="2" t="b">
        <v>0</v>
      </c>
      <c r="D1969" s="2"/>
      <c r="E1969" s="2"/>
      <c r="F1969" s="2"/>
      <c r="G1969" s="2"/>
      <c r="H1969" s="2"/>
      <c r="I1969" s="5"/>
    </row>
    <row r="1970" spans="1:9" ht="17.399999999999999" x14ac:dyDescent="0.25">
      <c r="A1970" s="16"/>
      <c r="B1970" s="17"/>
      <c r="C1970" s="2" t="b">
        <v>0</v>
      </c>
      <c r="D1970" s="2"/>
      <c r="E1970" s="2"/>
      <c r="F1970" s="2"/>
      <c r="G1970" s="2"/>
      <c r="H1970" s="2"/>
      <c r="I1970" s="5"/>
    </row>
    <row r="1971" spans="1:9" ht="17.399999999999999" x14ac:dyDescent="0.25">
      <c r="A1971" s="16"/>
      <c r="B1971" s="17"/>
      <c r="C1971" s="2" t="b">
        <v>0</v>
      </c>
      <c r="D1971" s="2"/>
      <c r="E1971" s="2"/>
      <c r="F1971" s="2"/>
      <c r="G1971" s="2"/>
      <c r="H1971" s="2"/>
      <c r="I1971" s="5"/>
    </row>
    <row r="1972" spans="1:9" ht="17.399999999999999" x14ac:dyDescent="0.25">
      <c r="A1972" s="16"/>
      <c r="B1972" s="17"/>
      <c r="C1972" s="2" t="b">
        <v>0</v>
      </c>
      <c r="D1972" s="2"/>
      <c r="E1972" s="2"/>
      <c r="F1972" s="2"/>
      <c r="G1972" s="2"/>
      <c r="H1972" s="2"/>
      <c r="I1972" s="5"/>
    </row>
    <row r="1973" spans="1:9" ht="17.399999999999999" x14ac:dyDescent="0.25">
      <c r="A1973" s="16"/>
      <c r="B1973" s="17"/>
      <c r="C1973" s="2" t="b">
        <v>0</v>
      </c>
      <c r="D1973" s="2"/>
      <c r="E1973" s="2"/>
      <c r="F1973" s="2"/>
      <c r="G1973" s="2"/>
      <c r="H1973" s="2"/>
      <c r="I1973" s="5"/>
    </row>
    <row r="1974" spans="1:9" ht="17.399999999999999" x14ac:dyDescent="0.25">
      <c r="A1974" s="16"/>
      <c r="B1974" s="17"/>
      <c r="C1974" s="2" t="b">
        <v>0</v>
      </c>
      <c r="D1974" s="2"/>
      <c r="E1974" s="2"/>
      <c r="F1974" s="2"/>
      <c r="G1974" s="2"/>
      <c r="H1974" s="2"/>
      <c r="I1974" s="5"/>
    </row>
    <row r="1975" spans="1:9" ht="17.399999999999999" x14ac:dyDescent="0.25">
      <c r="A1975" s="16"/>
      <c r="B1975" s="17"/>
      <c r="C1975" s="2" t="b">
        <v>0</v>
      </c>
      <c r="D1975" s="2"/>
      <c r="E1975" s="2"/>
      <c r="F1975" s="2"/>
      <c r="G1975" s="2"/>
      <c r="H1975" s="2"/>
      <c r="I1975" s="5"/>
    </row>
    <row r="1976" spans="1:9" ht="17.399999999999999" x14ac:dyDescent="0.25">
      <c r="A1976" s="16"/>
      <c r="B1976" s="17"/>
      <c r="C1976" s="2" t="b">
        <v>0</v>
      </c>
      <c r="D1976" s="2"/>
      <c r="E1976" s="2"/>
      <c r="F1976" s="2"/>
      <c r="G1976" s="2"/>
      <c r="H1976" s="2"/>
      <c r="I1976" s="5"/>
    </row>
    <row r="1977" spans="1:9" ht="17.399999999999999" x14ac:dyDescent="0.25">
      <c r="A1977" s="16"/>
      <c r="B1977" s="17"/>
      <c r="C1977" s="2" t="b">
        <v>0</v>
      </c>
      <c r="D1977" s="2"/>
      <c r="E1977" s="2"/>
      <c r="F1977" s="2"/>
      <c r="G1977" s="2"/>
      <c r="H1977" s="2"/>
      <c r="I1977" s="5"/>
    </row>
    <row r="1978" spans="1:9" ht="17.399999999999999" x14ac:dyDescent="0.25">
      <c r="A1978" s="16"/>
      <c r="B1978" s="17"/>
      <c r="C1978" s="2" t="b">
        <v>0</v>
      </c>
      <c r="D1978" s="2"/>
      <c r="E1978" s="2"/>
      <c r="F1978" s="2"/>
      <c r="G1978" s="2"/>
      <c r="H1978" s="2"/>
      <c r="I1978" s="5"/>
    </row>
    <row r="1979" spans="1:9" ht="17.399999999999999" x14ac:dyDescent="0.25">
      <c r="A1979" s="16"/>
      <c r="B1979" s="17"/>
      <c r="C1979" s="2" t="b">
        <v>0</v>
      </c>
      <c r="D1979" s="2"/>
      <c r="E1979" s="2"/>
      <c r="F1979" s="2"/>
      <c r="G1979" s="2"/>
      <c r="H1979" s="2"/>
      <c r="I1979" s="5"/>
    </row>
    <row r="1980" spans="1:9" ht="17.399999999999999" x14ac:dyDescent="0.25">
      <c r="A1980" s="16"/>
      <c r="B1980" s="17"/>
      <c r="C1980" s="2" t="b">
        <v>0</v>
      </c>
      <c r="D1980" s="2"/>
      <c r="E1980" s="2"/>
      <c r="F1980" s="2"/>
      <c r="G1980" s="2"/>
      <c r="H1980" s="2"/>
      <c r="I1980" s="5"/>
    </row>
    <row r="1981" spans="1:9" ht="17.399999999999999" x14ac:dyDescent="0.25">
      <c r="A1981" s="16"/>
      <c r="B1981" s="17"/>
      <c r="C1981" s="2" t="b">
        <v>0</v>
      </c>
      <c r="D1981" s="2"/>
      <c r="E1981" s="2"/>
      <c r="F1981" s="2"/>
      <c r="G1981" s="2"/>
      <c r="H1981" s="2"/>
      <c r="I1981" s="5"/>
    </row>
    <row r="1982" spans="1:9" ht="17.399999999999999" x14ac:dyDescent="0.25">
      <c r="A1982" s="16"/>
      <c r="B1982" s="17"/>
      <c r="C1982" s="2" t="b">
        <v>0</v>
      </c>
      <c r="D1982" s="2"/>
      <c r="E1982" s="2"/>
      <c r="F1982" s="2"/>
      <c r="G1982" s="2"/>
      <c r="H1982" s="2"/>
      <c r="I1982" s="5"/>
    </row>
    <row r="1983" spans="1:9" ht="17.399999999999999" x14ac:dyDescent="0.25">
      <c r="A1983" s="16"/>
      <c r="B1983" s="17"/>
      <c r="C1983" s="2" t="b">
        <v>0</v>
      </c>
      <c r="D1983" s="2"/>
      <c r="E1983" s="2"/>
      <c r="F1983" s="2"/>
      <c r="G1983" s="2"/>
      <c r="H1983" s="2"/>
      <c r="I1983" s="5"/>
    </row>
    <row r="1984" spans="1:9" ht="17.399999999999999" x14ac:dyDescent="0.25">
      <c r="A1984" s="16"/>
      <c r="B1984" s="17"/>
      <c r="C1984" s="2" t="b">
        <v>0</v>
      </c>
      <c r="D1984" s="2"/>
      <c r="E1984" s="2"/>
      <c r="F1984" s="2"/>
      <c r="G1984" s="2"/>
      <c r="H1984" s="2"/>
      <c r="I1984" s="5"/>
    </row>
    <row r="1985" spans="1:9" ht="17.399999999999999" x14ac:dyDescent="0.25">
      <c r="A1985" s="16"/>
      <c r="B1985" s="17"/>
      <c r="C1985" s="2" t="b">
        <v>0</v>
      </c>
      <c r="D1985" s="2"/>
      <c r="E1985" s="2"/>
      <c r="F1985" s="2"/>
      <c r="G1985" s="2"/>
      <c r="H1985" s="2"/>
      <c r="I1985" s="5"/>
    </row>
    <row r="1986" spans="1:9" ht="17.399999999999999" x14ac:dyDescent="0.25">
      <c r="A1986" s="16"/>
      <c r="B1986" s="17"/>
      <c r="C1986" s="2" t="b">
        <v>0</v>
      </c>
      <c r="D1986" s="2"/>
      <c r="E1986" s="2"/>
      <c r="F1986" s="2"/>
      <c r="G1986" s="2"/>
      <c r="H1986" s="2"/>
      <c r="I1986" s="5"/>
    </row>
    <row r="1987" spans="1:9" ht="17.399999999999999" x14ac:dyDescent="0.25">
      <c r="A1987" s="16"/>
      <c r="B1987" s="17"/>
      <c r="C1987" s="2" t="b">
        <v>0</v>
      </c>
      <c r="D1987" s="2"/>
      <c r="E1987" s="2"/>
      <c r="F1987" s="2"/>
      <c r="G1987" s="2"/>
      <c r="H1987" s="2"/>
      <c r="I1987" s="5"/>
    </row>
    <row r="1988" spans="1:9" ht="17.399999999999999" x14ac:dyDescent="0.25">
      <c r="A1988" s="16"/>
      <c r="B1988" s="17"/>
      <c r="C1988" s="2" t="b">
        <v>0</v>
      </c>
      <c r="D1988" s="2"/>
      <c r="E1988" s="2"/>
      <c r="F1988" s="2"/>
      <c r="G1988" s="2"/>
      <c r="H1988" s="2"/>
      <c r="I1988" s="5"/>
    </row>
    <row r="1989" spans="1:9" ht="17.399999999999999" x14ac:dyDescent="0.25">
      <c r="A1989" s="16"/>
      <c r="B1989" s="17"/>
      <c r="C1989" s="2" t="b">
        <v>0</v>
      </c>
      <c r="D1989" s="2"/>
      <c r="E1989" s="2"/>
      <c r="F1989" s="2"/>
      <c r="G1989" s="2"/>
      <c r="H1989" s="2"/>
      <c r="I1989" s="5"/>
    </row>
    <row r="1990" spans="1:9" ht="17.399999999999999" x14ac:dyDescent="0.25">
      <c r="A1990" s="16"/>
      <c r="B1990" s="17"/>
      <c r="C1990" s="2" t="b">
        <v>0</v>
      </c>
      <c r="D1990" s="2"/>
      <c r="E1990" s="2"/>
      <c r="F1990" s="2"/>
      <c r="G1990" s="2"/>
      <c r="H1990" s="2"/>
      <c r="I1990" s="5"/>
    </row>
    <row r="1991" spans="1:9" ht="17.399999999999999" x14ac:dyDescent="0.25">
      <c r="A1991" s="16"/>
      <c r="B1991" s="17"/>
      <c r="C1991" s="2" t="b">
        <v>0</v>
      </c>
      <c r="D1991" s="2"/>
      <c r="E1991" s="2"/>
      <c r="F1991" s="2"/>
      <c r="G1991" s="2"/>
      <c r="H1991" s="2"/>
      <c r="I1991" s="5"/>
    </row>
    <row r="1992" spans="1:9" ht="17.399999999999999" x14ac:dyDescent="0.25">
      <c r="A1992" s="16"/>
      <c r="B1992" s="17"/>
      <c r="C1992" s="2" t="b">
        <v>0</v>
      </c>
      <c r="D1992" s="2"/>
      <c r="E1992" s="2"/>
      <c r="F1992" s="2"/>
      <c r="G1992" s="2"/>
      <c r="H1992" s="2"/>
      <c r="I1992" s="5"/>
    </row>
    <row r="1993" spans="1:9" ht="17.399999999999999" x14ac:dyDescent="0.25">
      <c r="A1993" s="16"/>
      <c r="B1993" s="17"/>
      <c r="C1993" s="2" t="b">
        <v>0</v>
      </c>
      <c r="D1993" s="2"/>
      <c r="E1993" s="2"/>
      <c r="F1993" s="2"/>
      <c r="G1993" s="2"/>
      <c r="H1993" s="2"/>
      <c r="I1993" s="5"/>
    </row>
    <row r="1994" spans="1:9" ht="17.399999999999999" x14ac:dyDescent="0.25">
      <c r="A1994" s="16"/>
      <c r="B1994" s="17"/>
      <c r="C1994" s="2" t="b">
        <v>0</v>
      </c>
      <c r="D1994" s="2"/>
      <c r="E1994" s="2"/>
      <c r="F1994" s="2"/>
      <c r="G1994" s="2"/>
      <c r="H1994" s="2"/>
      <c r="I1994" s="5"/>
    </row>
    <row r="1995" spans="1:9" ht="17.399999999999999" x14ac:dyDescent="0.25">
      <c r="A1995" s="16"/>
      <c r="B1995" s="17"/>
      <c r="C1995" s="2" t="b">
        <v>0</v>
      </c>
      <c r="D1995" s="2"/>
      <c r="E1995" s="2"/>
      <c r="F1995" s="2"/>
      <c r="G1995" s="2"/>
      <c r="H1995" s="2"/>
      <c r="I1995" s="5"/>
    </row>
    <row r="1996" spans="1:9" ht="17.399999999999999" x14ac:dyDescent="0.25">
      <c r="A1996" s="16"/>
      <c r="B1996" s="17"/>
      <c r="C1996" s="2" t="b">
        <v>0</v>
      </c>
      <c r="D1996" s="2"/>
      <c r="E1996" s="2"/>
      <c r="F1996" s="2"/>
      <c r="G1996" s="2"/>
      <c r="H1996" s="2"/>
      <c r="I1996" s="5"/>
    </row>
    <row r="1997" spans="1:9" ht="17.399999999999999" x14ac:dyDescent="0.25">
      <c r="A1997" s="16"/>
      <c r="B1997" s="17"/>
      <c r="C1997" s="2" t="b">
        <v>0</v>
      </c>
      <c r="D1997" s="2"/>
      <c r="E1997" s="2"/>
      <c r="F1997" s="2"/>
      <c r="G1997" s="2"/>
      <c r="H1997" s="2"/>
      <c r="I1997" s="5"/>
    </row>
    <row r="1998" spans="1:9" ht="17.399999999999999" x14ac:dyDescent="0.25">
      <c r="A1998" s="16"/>
      <c r="B1998" s="17"/>
      <c r="C1998" s="2" t="b">
        <v>0</v>
      </c>
      <c r="D1998" s="2"/>
      <c r="E1998" s="2"/>
      <c r="F1998" s="2"/>
      <c r="G1998" s="2"/>
      <c r="H1998" s="2"/>
      <c r="I1998" s="5"/>
    </row>
    <row r="1999" spans="1:9" ht="17.399999999999999" x14ac:dyDescent="0.25">
      <c r="A1999" s="16"/>
      <c r="B1999" s="17"/>
      <c r="C1999" s="2" t="b">
        <v>0</v>
      </c>
      <c r="D1999" s="2"/>
      <c r="E1999" s="2"/>
      <c r="F1999" s="2"/>
      <c r="G1999" s="2"/>
      <c r="H1999" s="2"/>
      <c r="I1999" s="5"/>
    </row>
    <row r="2000" spans="1:9" ht="17.399999999999999" x14ac:dyDescent="0.25">
      <c r="A2000" s="16"/>
      <c r="B2000" s="17"/>
      <c r="C2000" s="2" t="b">
        <v>0</v>
      </c>
      <c r="D2000" s="2"/>
      <c r="E2000" s="2"/>
      <c r="F2000" s="2"/>
      <c r="G2000" s="2"/>
      <c r="H2000" s="2"/>
      <c r="I2000" s="5"/>
    </row>
    <row r="2001" spans="1:9" ht="17.399999999999999" x14ac:dyDescent="0.25">
      <c r="A2001" s="16"/>
      <c r="B2001" s="17"/>
      <c r="C2001" s="2" t="b">
        <v>0</v>
      </c>
      <c r="D2001" s="2"/>
      <c r="E2001" s="2"/>
      <c r="F2001" s="2"/>
      <c r="G2001" s="2"/>
      <c r="H2001" s="2"/>
      <c r="I2001" s="5"/>
    </row>
    <row r="2002" spans="1:9" ht="17.399999999999999" x14ac:dyDescent="0.25">
      <c r="A2002" s="16"/>
      <c r="B2002" s="17"/>
      <c r="C2002" s="2" t="b">
        <v>0</v>
      </c>
      <c r="D2002" s="2"/>
      <c r="E2002" s="2"/>
      <c r="F2002" s="2"/>
      <c r="G2002" s="2"/>
      <c r="H2002" s="2"/>
      <c r="I2002" s="5"/>
    </row>
    <row r="2003" spans="1:9" ht="17.399999999999999" x14ac:dyDescent="0.25">
      <c r="A2003" s="16"/>
      <c r="B2003" s="17"/>
      <c r="C2003" s="2" t="b">
        <v>0</v>
      </c>
      <c r="D2003" s="2"/>
      <c r="E2003" s="2"/>
      <c r="F2003" s="2"/>
      <c r="G2003" s="2"/>
      <c r="H2003" s="2"/>
      <c r="I2003" s="5"/>
    </row>
    <row r="2004" spans="1:9" ht="17.399999999999999" x14ac:dyDescent="0.25">
      <c r="A2004" s="16"/>
      <c r="B2004" s="17"/>
      <c r="C2004" s="2" t="b">
        <v>0</v>
      </c>
      <c r="D2004" s="2"/>
      <c r="E2004" s="2"/>
      <c r="F2004" s="2"/>
      <c r="G2004" s="2"/>
      <c r="H2004" s="2"/>
      <c r="I2004" s="5"/>
    </row>
    <row r="2005" spans="1:9" ht="17.399999999999999" x14ac:dyDescent="0.25">
      <c r="A2005" s="16"/>
      <c r="B2005" s="17"/>
      <c r="C2005" s="2" t="b">
        <v>0</v>
      </c>
      <c r="D2005" s="2"/>
      <c r="E2005" s="2"/>
      <c r="F2005" s="2"/>
      <c r="G2005" s="2"/>
      <c r="H2005" s="2"/>
      <c r="I2005" s="5"/>
    </row>
    <row r="2006" spans="1:9" ht="17.399999999999999" x14ac:dyDescent="0.25">
      <c r="A2006" s="16"/>
      <c r="B2006" s="17"/>
      <c r="C2006" s="2" t="b">
        <v>0</v>
      </c>
      <c r="D2006" s="2"/>
      <c r="E2006" s="2"/>
      <c r="F2006" s="2"/>
      <c r="G2006" s="2"/>
      <c r="H2006" s="2"/>
      <c r="I2006" s="5"/>
    </row>
    <row r="2007" spans="1:9" ht="17.399999999999999" x14ac:dyDescent="0.25">
      <c r="A2007" s="16"/>
      <c r="B2007" s="17"/>
      <c r="C2007" s="2" t="b">
        <v>0</v>
      </c>
      <c r="D2007" s="2"/>
      <c r="E2007" s="2"/>
      <c r="F2007" s="2"/>
      <c r="G2007" s="2"/>
      <c r="H2007" s="2"/>
      <c r="I2007" s="5"/>
    </row>
    <row r="2008" spans="1:9" ht="17.399999999999999" x14ac:dyDescent="0.25">
      <c r="A2008" s="16"/>
      <c r="B2008" s="17"/>
      <c r="C2008" s="2" t="b">
        <v>0</v>
      </c>
      <c r="D2008" s="2"/>
      <c r="E2008" s="2"/>
      <c r="F2008" s="2"/>
      <c r="G2008" s="2"/>
      <c r="H2008" s="2"/>
      <c r="I2008" s="5"/>
    </row>
    <row r="2009" spans="1:9" ht="17.399999999999999" x14ac:dyDescent="0.25">
      <c r="A2009" s="16"/>
      <c r="B2009" s="17"/>
      <c r="C2009" s="2" t="b">
        <v>0</v>
      </c>
      <c r="D2009" s="2"/>
      <c r="E2009" s="2"/>
      <c r="F2009" s="2"/>
      <c r="G2009" s="2"/>
      <c r="H2009" s="2"/>
      <c r="I2009" s="5"/>
    </row>
    <row r="2010" spans="1:9" ht="17.399999999999999" x14ac:dyDescent="0.25">
      <c r="A2010" s="16"/>
      <c r="B2010" s="17"/>
      <c r="C2010" s="2" t="b">
        <v>0</v>
      </c>
      <c r="D2010" s="2"/>
      <c r="E2010" s="2"/>
      <c r="F2010" s="2"/>
      <c r="G2010" s="2"/>
      <c r="H2010" s="2"/>
      <c r="I2010" s="5"/>
    </row>
    <row r="2011" spans="1:9" ht="17.399999999999999" x14ac:dyDescent="0.25">
      <c r="A2011" s="16"/>
      <c r="B2011" s="17"/>
      <c r="C2011" s="2" t="b">
        <v>0</v>
      </c>
      <c r="D2011" s="2"/>
      <c r="E2011" s="2"/>
      <c r="F2011" s="2"/>
      <c r="G2011" s="2"/>
      <c r="H2011" s="2"/>
      <c r="I2011" s="5"/>
    </row>
    <row r="2012" spans="1:9" ht="17.399999999999999" x14ac:dyDescent="0.25">
      <c r="A2012" s="16"/>
      <c r="B2012" s="17"/>
      <c r="C2012" s="2" t="b">
        <v>0</v>
      </c>
      <c r="D2012" s="2"/>
      <c r="E2012" s="2"/>
      <c r="F2012" s="2"/>
      <c r="G2012" s="2"/>
      <c r="H2012" s="2"/>
      <c r="I2012" s="5"/>
    </row>
    <row r="2013" spans="1:9" ht="17.399999999999999" x14ac:dyDescent="0.25">
      <c r="A2013" s="16"/>
      <c r="B2013" s="17"/>
      <c r="C2013" s="2" t="b">
        <v>0</v>
      </c>
      <c r="D2013" s="2"/>
      <c r="E2013" s="2"/>
      <c r="F2013" s="2"/>
      <c r="G2013" s="2"/>
      <c r="H2013" s="2"/>
      <c r="I2013" s="5"/>
    </row>
    <row r="2014" spans="1:9" ht="17.399999999999999" x14ac:dyDescent="0.25">
      <c r="A2014" s="16"/>
      <c r="B2014" s="17"/>
      <c r="C2014" s="2" t="b">
        <v>0</v>
      </c>
      <c r="D2014" s="2"/>
      <c r="E2014" s="2"/>
      <c r="F2014" s="2"/>
      <c r="G2014" s="2"/>
      <c r="H2014" s="2"/>
      <c r="I2014" s="5"/>
    </row>
    <row r="2015" spans="1:9" ht="17.399999999999999" x14ac:dyDescent="0.25">
      <c r="A2015" s="16"/>
      <c r="B2015" s="17"/>
      <c r="C2015" s="2" t="b">
        <v>0</v>
      </c>
      <c r="D2015" s="2"/>
      <c r="E2015" s="2"/>
      <c r="F2015" s="2"/>
      <c r="G2015" s="2"/>
      <c r="H2015" s="2"/>
      <c r="I2015" s="5"/>
    </row>
    <row r="2016" spans="1:9" ht="17.399999999999999" x14ac:dyDescent="0.25">
      <c r="A2016" s="16"/>
      <c r="B2016" s="17"/>
      <c r="C2016" s="2" t="b">
        <v>0</v>
      </c>
      <c r="D2016" s="2"/>
      <c r="E2016" s="2"/>
      <c r="F2016" s="2"/>
      <c r="G2016" s="2"/>
      <c r="H2016" s="2"/>
      <c r="I2016" s="5"/>
    </row>
    <row r="2017" spans="1:9" ht="17.399999999999999" x14ac:dyDescent="0.25">
      <c r="A2017" s="16"/>
      <c r="B2017" s="17"/>
      <c r="C2017" s="2" t="b">
        <v>0</v>
      </c>
      <c r="D2017" s="2"/>
      <c r="E2017" s="2"/>
      <c r="F2017" s="2"/>
      <c r="G2017" s="2"/>
      <c r="H2017" s="2"/>
      <c r="I2017" s="5"/>
    </row>
    <row r="2018" spans="1:9" ht="17.399999999999999" x14ac:dyDescent="0.25">
      <c r="A2018" s="16"/>
      <c r="B2018" s="17"/>
      <c r="C2018" s="2" t="b">
        <v>0</v>
      </c>
      <c r="D2018" s="2"/>
      <c r="E2018" s="2"/>
      <c r="F2018" s="2"/>
      <c r="G2018" s="2"/>
      <c r="H2018" s="2"/>
      <c r="I2018" s="5"/>
    </row>
    <row r="2019" spans="1:9" ht="17.399999999999999" x14ac:dyDescent="0.25">
      <c r="A2019" s="16"/>
      <c r="B2019" s="17"/>
      <c r="C2019" s="2" t="b">
        <v>0</v>
      </c>
      <c r="D2019" s="2"/>
      <c r="E2019" s="2"/>
      <c r="F2019" s="2"/>
      <c r="G2019" s="2"/>
      <c r="H2019" s="2"/>
      <c r="I2019" s="5"/>
    </row>
    <row r="2020" spans="1:9" ht="17.399999999999999" x14ac:dyDescent="0.25">
      <c r="A2020" s="16"/>
      <c r="B2020" s="17"/>
      <c r="C2020" s="2" t="b">
        <v>0</v>
      </c>
      <c r="D2020" s="2"/>
      <c r="E2020" s="2"/>
      <c r="F2020" s="2"/>
      <c r="G2020" s="2"/>
      <c r="H2020" s="2"/>
      <c r="I2020" s="5"/>
    </row>
    <row r="2021" spans="1:9" ht="17.399999999999999" x14ac:dyDescent="0.25">
      <c r="A2021" s="16"/>
      <c r="B2021" s="17"/>
      <c r="C2021" s="2" t="b">
        <v>0</v>
      </c>
      <c r="D2021" s="2"/>
      <c r="E2021" s="2"/>
      <c r="F2021" s="2"/>
      <c r="G2021" s="2"/>
      <c r="H2021" s="2"/>
      <c r="I2021" s="5"/>
    </row>
    <row r="2022" spans="1:9" ht="17.399999999999999" x14ac:dyDescent="0.25">
      <c r="A2022" s="16"/>
      <c r="B2022" s="17"/>
      <c r="C2022" s="2" t="b">
        <v>0</v>
      </c>
      <c r="D2022" s="2"/>
      <c r="E2022" s="2"/>
      <c r="F2022" s="2"/>
      <c r="G2022" s="2"/>
      <c r="H2022" s="2"/>
      <c r="I2022" s="5"/>
    </row>
    <row r="2023" spans="1:9" ht="17.399999999999999" x14ac:dyDescent="0.25">
      <c r="A2023" s="16"/>
      <c r="B2023" s="17"/>
      <c r="C2023" s="2" t="b">
        <v>0</v>
      </c>
      <c r="D2023" s="2"/>
      <c r="E2023" s="2"/>
      <c r="F2023" s="2"/>
      <c r="G2023" s="2"/>
      <c r="H2023" s="2"/>
      <c r="I2023" s="5"/>
    </row>
    <row r="2024" spans="1:9" ht="17.399999999999999" x14ac:dyDescent="0.25">
      <c r="A2024" s="16"/>
      <c r="B2024" s="17"/>
      <c r="C2024" s="2" t="b">
        <v>0</v>
      </c>
      <c r="D2024" s="2"/>
      <c r="E2024" s="2"/>
      <c r="F2024" s="2"/>
      <c r="G2024" s="2"/>
      <c r="H2024" s="2"/>
      <c r="I2024" s="5"/>
    </row>
    <row r="2025" spans="1:9" ht="17.399999999999999" x14ac:dyDescent="0.25">
      <c r="A2025" s="16"/>
      <c r="B2025" s="17"/>
      <c r="C2025" s="2" t="b">
        <v>0</v>
      </c>
      <c r="D2025" s="2"/>
      <c r="E2025" s="2"/>
      <c r="F2025" s="2"/>
      <c r="G2025" s="2"/>
      <c r="H2025" s="2"/>
      <c r="I2025" s="5"/>
    </row>
    <row r="2026" spans="1:9" ht="17.399999999999999" x14ac:dyDescent="0.25">
      <c r="A2026" s="16"/>
      <c r="B2026" s="17"/>
      <c r="C2026" s="2" t="b">
        <v>0</v>
      </c>
      <c r="D2026" s="2"/>
      <c r="E2026" s="2"/>
      <c r="F2026" s="2"/>
      <c r="G2026" s="2"/>
      <c r="H2026" s="2"/>
      <c r="I2026" s="5"/>
    </row>
    <row r="2027" spans="1:9" ht="17.399999999999999" x14ac:dyDescent="0.25">
      <c r="A2027" s="16"/>
      <c r="B2027" s="17"/>
      <c r="C2027" s="2" t="b">
        <v>0</v>
      </c>
      <c r="D2027" s="2"/>
      <c r="E2027" s="2"/>
      <c r="F2027" s="2"/>
      <c r="G2027" s="2"/>
      <c r="H2027" s="2"/>
      <c r="I2027" s="5"/>
    </row>
    <row r="2028" spans="1:9" ht="17.399999999999999" x14ac:dyDescent="0.25">
      <c r="A2028" s="16"/>
      <c r="B2028" s="17"/>
      <c r="C2028" s="2" t="b">
        <v>0</v>
      </c>
      <c r="D2028" s="2"/>
      <c r="E2028" s="2"/>
      <c r="F2028" s="2"/>
      <c r="G2028" s="2"/>
      <c r="H2028" s="2"/>
      <c r="I2028" s="5"/>
    </row>
    <row r="2029" spans="1:9" ht="17.399999999999999" x14ac:dyDescent="0.25">
      <c r="A2029" s="16"/>
      <c r="B2029" s="17"/>
      <c r="C2029" s="2" t="b">
        <v>0</v>
      </c>
      <c r="D2029" s="2"/>
      <c r="E2029" s="2"/>
      <c r="F2029" s="2"/>
      <c r="G2029" s="2"/>
      <c r="H2029" s="2"/>
      <c r="I2029" s="5"/>
    </row>
    <row r="2030" spans="1:9" ht="17.399999999999999" x14ac:dyDescent="0.25">
      <c r="A2030" s="16"/>
      <c r="B2030" s="17"/>
      <c r="C2030" s="2" t="b">
        <v>0</v>
      </c>
      <c r="D2030" s="2"/>
      <c r="E2030" s="2"/>
      <c r="F2030" s="2"/>
      <c r="G2030" s="2"/>
      <c r="H2030" s="2"/>
      <c r="I2030" s="5"/>
    </row>
    <row r="2031" spans="1:9" ht="17.399999999999999" x14ac:dyDescent="0.25">
      <c r="A2031" s="16"/>
      <c r="B2031" s="17"/>
      <c r="C2031" s="2" t="b">
        <v>0</v>
      </c>
      <c r="D2031" s="2"/>
      <c r="E2031" s="2"/>
      <c r="F2031" s="2"/>
      <c r="G2031" s="2"/>
      <c r="H2031" s="2"/>
      <c r="I2031" s="5"/>
    </row>
    <row r="2032" spans="1:9" ht="17.399999999999999" x14ac:dyDescent="0.25">
      <c r="A2032" s="16"/>
      <c r="B2032" s="17"/>
      <c r="C2032" s="2" t="b">
        <v>0</v>
      </c>
      <c r="D2032" s="2"/>
      <c r="E2032" s="2"/>
      <c r="F2032" s="2"/>
      <c r="G2032" s="2"/>
      <c r="H2032" s="2"/>
      <c r="I2032" s="5"/>
    </row>
    <row r="2033" spans="1:9" ht="17.399999999999999" x14ac:dyDescent="0.25">
      <c r="A2033" s="16"/>
      <c r="B2033" s="17"/>
      <c r="C2033" s="2" t="b">
        <v>0</v>
      </c>
      <c r="D2033" s="2"/>
      <c r="E2033" s="2"/>
      <c r="F2033" s="2"/>
      <c r="G2033" s="2"/>
      <c r="H2033" s="2"/>
      <c r="I2033" s="5"/>
    </row>
    <row r="2034" spans="1:9" ht="17.399999999999999" x14ac:dyDescent="0.25">
      <c r="A2034" s="16"/>
      <c r="B2034" s="17"/>
      <c r="C2034" s="2" t="b">
        <v>0</v>
      </c>
      <c r="D2034" s="2"/>
      <c r="E2034" s="2"/>
      <c r="F2034" s="2"/>
      <c r="G2034" s="2"/>
      <c r="H2034" s="2"/>
      <c r="I2034" s="5"/>
    </row>
    <row r="2035" spans="1:9" ht="17.399999999999999" x14ac:dyDescent="0.25">
      <c r="A2035" s="16"/>
      <c r="B2035" s="17"/>
      <c r="C2035" s="2" t="b">
        <v>0</v>
      </c>
      <c r="D2035" s="2"/>
      <c r="E2035" s="2"/>
      <c r="F2035" s="2"/>
      <c r="G2035" s="2"/>
      <c r="H2035" s="2"/>
      <c r="I2035" s="5"/>
    </row>
    <row r="2036" spans="1:9" ht="17.399999999999999" x14ac:dyDescent="0.25">
      <c r="A2036" s="16"/>
      <c r="B2036" s="17"/>
      <c r="C2036" s="2" t="b">
        <v>0</v>
      </c>
      <c r="D2036" s="2"/>
      <c r="E2036" s="2"/>
      <c r="F2036" s="2"/>
      <c r="G2036" s="2"/>
      <c r="H2036" s="2"/>
      <c r="I2036" s="5"/>
    </row>
    <row r="2037" spans="1:9" ht="17.399999999999999" x14ac:dyDescent="0.25">
      <c r="A2037" s="16"/>
      <c r="B2037" s="17"/>
      <c r="C2037" s="2" t="b">
        <v>0</v>
      </c>
      <c r="D2037" s="2"/>
      <c r="E2037" s="2"/>
      <c r="F2037" s="2"/>
      <c r="G2037" s="2"/>
      <c r="H2037" s="2"/>
      <c r="I2037" s="5"/>
    </row>
    <row r="2038" spans="1:9" ht="17.399999999999999" x14ac:dyDescent="0.25">
      <c r="A2038" s="16"/>
      <c r="B2038" s="17"/>
      <c r="C2038" s="2" t="b">
        <v>0</v>
      </c>
      <c r="D2038" s="2"/>
      <c r="E2038" s="2"/>
      <c r="F2038" s="2"/>
      <c r="G2038" s="2"/>
      <c r="H2038" s="2"/>
      <c r="I2038" s="5"/>
    </row>
    <row r="2039" spans="1:9" ht="17.399999999999999" x14ac:dyDescent="0.25">
      <c r="A2039" s="16"/>
      <c r="B2039" s="17"/>
      <c r="C2039" s="2" t="b">
        <v>0</v>
      </c>
      <c r="D2039" s="2"/>
      <c r="E2039" s="2"/>
      <c r="F2039" s="2"/>
      <c r="G2039" s="2"/>
      <c r="H2039" s="2"/>
      <c r="I2039" s="5"/>
    </row>
    <row r="2040" spans="1:9" ht="17.399999999999999" x14ac:dyDescent="0.25">
      <c r="A2040" s="16"/>
      <c r="B2040" s="17"/>
      <c r="C2040" s="2" t="b">
        <v>0</v>
      </c>
      <c r="D2040" s="2"/>
      <c r="E2040" s="2"/>
      <c r="F2040" s="2"/>
      <c r="G2040" s="2"/>
      <c r="H2040" s="2"/>
      <c r="I2040" s="5"/>
    </row>
    <row r="2041" spans="1:9" ht="17.399999999999999" x14ac:dyDescent="0.25">
      <c r="A2041" s="16"/>
      <c r="B2041" s="17"/>
      <c r="C2041" s="2" t="b">
        <v>0</v>
      </c>
      <c r="D2041" s="2"/>
      <c r="E2041" s="2"/>
      <c r="F2041" s="2"/>
      <c r="G2041" s="2"/>
      <c r="H2041" s="2"/>
      <c r="I2041" s="5"/>
    </row>
    <row r="2042" spans="1:9" ht="17.399999999999999" x14ac:dyDescent="0.25">
      <c r="A2042" s="16"/>
      <c r="B2042" s="17"/>
      <c r="C2042" s="2" t="b">
        <v>0</v>
      </c>
      <c r="D2042" s="2"/>
      <c r="E2042" s="2"/>
      <c r="F2042" s="2"/>
      <c r="G2042" s="2"/>
      <c r="H2042" s="2"/>
      <c r="I2042" s="5"/>
    </row>
    <row r="2043" spans="1:9" ht="17.399999999999999" x14ac:dyDescent="0.25">
      <c r="A2043" s="16"/>
      <c r="B2043" s="17"/>
      <c r="C2043" s="2" t="b">
        <v>0</v>
      </c>
      <c r="D2043" s="2"/>
      <c r="E2043" s="2"/>
      <c r="F2043" s="2"/>
      <c r="G2043" s="2"/>
      <c r="H2043" s="2"/>
      <c r="I2043" s="5"/>
    </row>
    <row r="2044" spans="1:9" ht="17.399999999999999" x14ac:dyDescent="0.25">
      <c r="A2044" s="16"/>
      <c r="B2044" s="17"/>
      <c r="C2044" s="2" t="b">
        <v>0</v>
      </c>
      <c r="D2044" s="2"/>
      <c r="E2044" s="2"/>
      <c r="F2044" s="2"/>
      <c r="G2044" s="2"/>
      <c r="H2044" s="2"/>
      <c r="I2044" s="5"/>
    </row>
    <row r="2045" spans="1:9" ht="17.399999999999999" x14ac:dyDescent="0.25">
      <c r="A2045" s="16"/>
      <c r="B2045" s="17"/>
      <c r="C2045" s="2" t="b">
        <v>0</v>
      </c>
      <c r="D2045" s="2"/>
      <c r="E2045" s="2"/>
      <c r="F2045" s="2"/>
      <c r="G2045" s="2"/>
      <c r="H2045" s="2"/>
      <c r="I2045" s="5"/>
    </row>
    <row r="2046" spans="1:9" ht="17.399999999999999" x14ac:dyDescent="0.25">
      <c r="A2046" s="16"/>
      <c r="B2046" s="17"/>
      <c r="C2046" s="2" t="b">
        <v>0</v>
      </c>
      <c r="D2046" s="2"/>
      <c r="E2046" s="2"/>
      <c r="F2046" s="2"/>
      <c r="G2046" s="2"/>
      <c r="H2046" s="2"/>
      <c r="I2046" s="5"/>
    </row>
    <row r="2047" spans="1:9" ht="17.399999999999999" x14ac:dyDescent="0.25">
      <c r="A2047" s="16"/>
      <c r="B2047" s="17"/>
      <c r="C2047" s="2" t="b">
        <v>0</v>
      </c>
      <c r="D2047" s="2"/>
      <c r="E2047" s="2"/>
      <c r="F2047" s="2"/>
      <c r="G2047" s="2"/>
      <c r="H2047" s="2"/>
      <c r="I2047" s="5"/>
    </row>
    <row r="2048" spans="1:9" ht="17.399999999999999" x14ac:dyDescent="0.25">
      <c r="A2048" s="16"/>
      <c r="B2048" s="17"/>
      <c r="C2048" s="2" t="b">
        <v>0</v>
      </c>
      <c r="D2048" s="2"/>
      <c r="E2048" s="2"/>
      <c r="F2048" s="2"/>
      <c r="G2048" s="2"/>
      <c r="H2048" s="2"/>
      <c r="I2048" s="5"/>
    </row>
    <row r="2049" spans="1:9" ht="17.399999999999999" x14ac:dyDescent="0.25">
      <c r="A2049" s="16"/>
      <c r="B2049" s="17"/>
      <c r="C2049" s="2" t="b">
        <v>0</v>
      </c>
      <c r="D2049" s="2"/>
      <c r="E2049" s="2"/>
      <c r="F2049" s="2"/>
      <c r="G2049" s="2"/>
      <c r="H2049" s="2"/>
      <c r="I2049" s="5"/>
    </row>
    <row r="2050" spans="1:9" ht="17.399999999999999" x14ac:dyDescent="0.25">
      <c r="A2050" s="16"/>
      <c r="B2050" s="17"/>
      <c r="C2050" s="2" t="b">
        <v>0</v>
      </c>
      <c r="D2050" s="2"/>
      <c r="E2050" s="2"/>
      <c r="F2050" s="2"/>
      <c r="G2050" s="2"/>
      <c r="H2050" s="2"/>
      <c r="I2050" s="5"/>
    </row>
    <row r="2051" spans="1:9" ht="17.399999999999999" x14ac:dyDescent="0.25">
      <c r="A2051" s="16"/>
      <c r="B2051" s="17"/>
      <c r="C2051" s="2" t="b">
        <v>0</v>
      </c>
      <c r="D2051" s="2"/>
      <c r="E2051" s="2"/>
      <c r="F2051" s="2"/>
      <c r="G2051" s="2"/>
      <c r="H2051" s="2"/>
      <c r="I2051" s="5"/>
    </row>
    <row r="2052" spans="1:9" ht="17.399999999999999" x14ac:dyDescent="0.25">
      <c r="A2052" s="16"/>
      <c r="B2052" s="17"/>
      <c r="C2052" s="2" t="b">
        <v>0</v>
      </c>
      <c r="D2052" s="2"/>
      <c r="E2052" s="2"/>
      <c r="F2052" s="2"/>
      <c r="G2052" s="2"/>
      <c r="H2052" s="2"/>
      <c r="I2052" s="5"/>
    </row>
    <row r="2053" spans="1:9" ht="17.399999999999999" x14ac:dyDescent="0.25">
      <c r="A2053" s="16"/>
      <c r="B2053" s="17"/>
      <c r="C2053" s="2" t="b">
        <v>0</v>
      </c>
      <c r="D2053" s="2"/>
      <c r="E2053" s="2"/>
      <c r="F2053" s="2"/>
      <c r="G2053" s="2"/>
      <c r="H2053" s="2"/>
      <c r="I2053" s="5"/>
    </row>
    <row r="2054" spans="1:9" ht="17.399999999999999" x14ac:dyDescent="0.25">
      <c r="A2054" s="16"/>
      <c r="B2054" s="17"/>
      <c r="C2054" s="2" t="b">
        <v>0</v>
      </c>
      <c r="D2054" s="2"/>
      <c r="E2054" s="2"/>
      <c r="F2054" s="2"/>
      <c r="G2054" s="2"/>
      <c r="H2054" s="2"/>
      <c r="I2054" s="5"/>
    </row>
    <row r="2055" spans="1:9" ht="17.399999999999999" x14ac:dyDescent="0.25">
      <c r="A2055" s="16"/>
      <c r="B2055" s="17"/>
      <c r="C2055" s="2" t="b">
        <v>0</v>
      </c>
      <c r="D2055" s="2"/>
      <c r="E2055" s="2"/>
      <c r="F2055" s="2"/>
      <c r="G2055" s="2"/>
      <c r="H2055" s="2"/>
      <c r="I2055" s="5"/>
    </row>
    <row r="2056" spans="1:9" ht="17.399999999999999" x14ac:dyDescent="0.25">
      <c r="A2056" s="16"/>
      <c r="B2056" s="17"/>
      <c r="C2056" s="2" t="b">
        <v>0</v>
      </c>
      <c r="D2056" s="2"/>
      <c r="E2056" s="2"/>
      <c r="F2056" s="2"/>
      <c r="G2056" s="2"/>
      <c r="H2056" s="2"/>
      <c r="I2056" s="5"/>
    </row>
    <row r="2057" spans="1:9" ht="17.399999999999999" x14ac:dyDescent="0.25">
      <c r="A2057" s="16"/>
      <c r="B2057" s="17"/>
      <c r="C2057" s="2" t="b">
        <v>0</v>
      </c>
      <c r="D2057" s="2"/>
      <c r="E2057" s="2"/>
      <c r="F2057" s="2"/>
      <c r="G2057" s="2"/>
      <c r="H2057" s="2"/>
      <c r="I2057" s="5"/>
    </row>
    <row r="2058" spans="1:9" ht="17.399999999999999" x14ac:dyDescent="0.25">
      <c r="A2058" s="16"/>
      <c r="B2058" s="17"/>
      <c r="C2058" s="2" t="b">
        <v>0</v>
      </c>
      <c r="D2058" s="2"/>
      <c r="E2058" s="2"/>
      <c r="F2058" s="2"/>
      <c r="G2058" s="2"/>
      <c r="H2058" s="2"/>
      <c r="I2058" s="5"/>
    </row>
    <row r="2059" spans="1:9" ht="17.399999999999999" x14ac:dyDescent="0.25">
      <c r="A2059" s="16"/>
      <c r="B2059" s="17"/>
      <c r="C2059" s="2" t="b">
        <v>0</v>
      </c>
      <c r="D2059" s="2"/>
      <c r="E2059" s="2"/>
      <c r="F2059" s="2"/>
      <c r="G2059" s="2"/>
      <c r="H2059" s="2"/>
      <c r="I2059" s="5"/>
    </row>
    <row r="2060" spans="1:9" ht="17.399999999999999" x14ac:dyDescent="0.25">
      <c r="A2060" s="16"/>
      <c r="B2060" s="17"/>
      <c r="C2060" s="2" t="b">
        <v>0</v>
      </c>
      <c r="D2060" s="2"/>
      <c r="E2060" s="2"/>
      <c r="F2060" s="2"/>
      <c r="G2060" s="2"/>
      <c r="H2060" s="2"/>
      <c r="I2060" s="5"/>
    </row>
    <row r="2061" spans="1:9" ht="17.399999999999999" x14ac:dyDescent="0.25">
      <c r="A2061" s="16"/>
      <c r="B2061" s="17"/>
      <c r="C2061" s="2" t="b">
        <v>0</v>
      </c>
      <c r="D2061" s="2"/>
      <c r="E2061" s="2"/>
      <c r="F2061" s="2"/>
      <c r="G2061" s="2"/>
      <c r="H2061" s="2"/>
      <c r="I2061" s="5"/>
    </row>
    <row r="2062" spans="1:9" ht="17.399999999999999" x14ac:dyDescent="0.25">
      <c r="A2062" s="16"/>
      <c r="B2062" s="17"/>
      <c r="C2062" s="2" t="b">
        <v>0</v>
      </c>
      <c r="D2062" s="2"/>
      <c r="E2062" s="2"/>
      <c r="F2062" s="2"/>
      <c r="G2062" s="2"/>
      <c r="H2062" s="2"/>
      <c r="I2062" s="5"/>
    </row>
    <row r="2063" spans="1:9" ht="17.399999999999999" x14ac:dyDescent="0.25">
      <c r="A2063" s="16"/>
      <c r="B2063" s="17"/>
      <c r="C2063" s="2" t="b">
        <v>0</v>
      </c>
      <c r="D2063" s="2"/>
      <c r="E2063" s="2"/>
      <c r="F2063" s="2"/>
      <c r="G2063" s="2"/>
      <c r="H2063" s="2"/>
      <c r="I2063" s="5"/>
    </row>
    <row r="2064" spans="1:9" ht="17.399999999999999" x14ac:dyDescent="0.25">
      <c r="A2064" s="16"/>
      <c r="B2064" s="17"/>
      <c r="C2064" s="2" t="b">
        <v>0</v>
      </c>
      <c r="D2064" s="2"/>
      <c r="E2064" s="2"/>
      <c r="F2064" s="2"/>
      <c r="G2064" s="2"/>
      <c r="H2064" s="2"/>
      <c r="I2064" s="5"/>
    </row>
    <row r="2065" spans="1:9" ht="17.399999999999999" x14ac:dyDescent="0.25">
      <c r="A2065" s="16"/>
      <c r="B2065" s="17"/>
      <c r="C2065" s="2" t="b">
        <v>0</v>
      </c>
      <c r="D2065" s="2"/>
      <c r="E2065" s="2"/>
      <c r="F2065" s="2"/>
      <c r="G2065" s="2"/>
      <c r="H2065" s="2"/>
      <c r="I2065" s="5"/>
    </row>
    <row r="2066" spans="1:9" ht="17.399999999999999" x14ac:dyDescent="0.25">
      <c r="A2066" s="16"/>
      <c r="B2066" s="17"/>
      <c r="C2066" s="2" t="b">
        <v>0</v>
      </c>
      <c r="D2066" s="2"/>
      <c r="E2066" s="2"/>
      <c r="F2066" s="2"/>
      <c r="G2066" s="2"/>
      <c r="H2066" s="2"/>
      <c r="I2066" s="5"/>
    </row>
    <row r="2067" spans="1:9" ht="17.399999999999999" x14ac:dyDescent="0.25">
      <c r="A2067" s="16"/>
      <c r="B2067" s="17"/>
      <c r="C2067" s="2" t="b">
        <v>0</v>
      </c>
      <c r="D2067" s="2"/>
      <c r="E2067" s="2"/>
      <c r="F2067" s="2"/>
      <c r="G2067" s="2"/>
      <c r="H2067" s="2"/>
      <c r="I2067" s="5"/>
    </row>
    <row r="2068" spans="1:9" ht="17.399999999999999" x14ac:dyDescent="0.25">
      <c r="A2068" s="16"/>
      <c r="B2068" s="17"/>
      <c r="C2068" s="2" t="b">
        <v>0</v>
      </c>
      <c r="D2068" s="2"/>
      <c r="E2068" s="2"/>
      <c r="F2068" s="2"/>
      <c r="G2068" s="2"/>
      <c r="H2068" s="2"/>
      <c r="I2068" s="5"/>
    </row>
    <row r="2069" spans="1:9" ht="17.399999999999999" x14ac:dyDescent="0.25">
      <c r="A2069" s="16"/>
      <c r="B2069" s="17"/>
      <c r="C2069" s="2" t="b">
        <v>0</v>
      </c>
      <c r="D2069" s="2"/>
      <c r="E2069" s="2"/>
      <c r="F2069" s="2"/>
      <c r="G2069" s="2"/>
      <c r="H2069" s="2"/>
      <c r="I2069" s="5"/>
    </row>
    <row r="2070" spans="1:9" ht="17.399999999999999" x14ac:dyDescent="0.25">
      <c r="A2070" s="16"/>
      <c r="B2070" s="17"/>
      <c r="C2070" s="2" t="b">
        <v>0</v>
      </c>
      <c r="D2070" s="2"/>
      <c r="E2070" s="2"/>
      <c r="F2070" s="2"/>
      <c r="G2070" s="2"/>
      <c r="H2070" s="2"/>
      <c r="I2070" s="5"/>
    </row>
    <row r="2071" spans="1:9" ht="17.399999999999999" x14ac:dyDescent="0.25">
      <c r="A2071" s="16"/>
      <c r="B2071" s="17"/>
      <c r="C2071" s="2" t="b">
        <v>0</v>
      </c>
      <c r="D2071" s="2"/>
      <c r="E2071" s="2"/>
      <c r="F2071" s="2"/>
      <c r="G2071" s="2"/>
      <c r="H2071" s="2"/>
      <c r="I2071" s="5"/>
    </row>
    <row r="2072" spans="1:9" ht="17.399999999999999" x14ac:dyDescent="0.25">
      <c r="A2072" s="16"/>
      <c r="B2072" s="17"/>
      <c r="C2072" s="2" t="b">
        <v>0</v>
      </c>
      <c r="D2072" s="2"/>
      <c r="E2072" s="2"/>
      <c r="F2072" s="2"/>
      <c r="G2072" s="2"/>
      <c r="H2072" s="2"/>
      <c r="I2072" s="5"/>
    </row>
    <row r="2073" spans="1:9" ht="17.399999999999999" x14ac:dyDescent="0.25">
      <c r="A2073" s="16"/>
      <c r="B2073" s="17"/>
      <c r="C2073" s="2" t="b">
        <v>0</v>
      </c>
      <c r="D2073" s="2"/>
      <c r="E2073" s="2"/>
      <c r="F2073" s="2"/>
      <c r="G2073" s="2"/>
      <c r="H2073" s="2"/>
      <c r="I2073" s="5"/>
    </row>
    <row r="2074" spans="1:9" ht="17.399999999999999" x14ac:dyDescent="0.25">
      <c r="A2074" s="16"/>
      <c r="B2074" s="17"/>
      <c r="C2074" s="2" t="b">
        <v>0</v>
      </c>
      <c r="D2074" s="2"/>
      <c r="E2074" s="2"/>
      <c r="F2074" s="2"/>
      <c r="G2074" s="2"/>
      <c r="H2074" s="2"/>
      <c r="I2074" s="5"/>
    </row>
    <row r="2075" spans="1:9" ht="17.399999999999999" x14ac:dyDescent="0.25">
      <c r="A2075" s="16"/>
      <c r="B2075" s="17"/>
      <c r="C2075" s="2" t="b">
        <v>0</v>
      </c>
      <c r="D2075" s="2"/>
      <c r="E2075" s="2"/>
      <c r="F2075" s="2"/>
      <c r="G2075" s="2"/>
      <c r="H2075" s="2"/>
      <c r="I2075" s="5"/>
    </row>
    <row r="2076" spans="1:9" ht="17.399999999999999" x14ac:dyDescent="0.25">
      <c r="A2076" s="16"/>
      <c r="B2076" s="17"/>
      <c r="C2076" s="2" t="b">
        <v>0</v>
      </c>
      <c r="D2076" s="2"/>
      <c r="E2076" s="2"/>
      <c r="F2076" s="2"/>
      <c r="G2076" s="2"/>
      <c r="H2076" s="2"/>
      <c r="I2076" s="5"/>
    </row>
    <row r="2077" spans="1:9" ht="17.399999999999999" x14ac:dyDescent="0.25">
      <c r="A2077" s="16"/>
      <c r="B2077" s="17"/>
      <c r="C2077" s="2" t="b">
        <v>0</v>
      </c>
      <c r="D2077" s="2"/>
      <c r="E2077" s="2"/>
      <c r="F2077" s="2"/>
      <c r="G2077" s="2"/>
      <c r="H2077" s="2"/>
      <c r="I2077" s="5"/>
    </row>
    <row r="2078" spans="1:9" ht="17.399999999999999" x14ac:dyDescent="0.25">
      <c r="A2078" s="16"/>
      <c r="B2078" s="17"/>
      <c r="C2078" s="2" t="b">
        <v>0</v>
      </c>
      <c r="D2078" s="2"/>
      <c r="E2078" s="2"/>
      <c r="F2078" s="2"/>
      <c r="G2078" s="2"/>
      <c r="H2078" s="2"/>
      <c r="I2078" s="5"/>
    </row>
    <row r="2079" spans="1:9" ht="17.399999999999999" x14ac:dyDescent="0.25">
      <c r="A2079" s="16"/>
      <c r="B2079" s="17"/>
      <c r="C2079" s="2" t="b">
        <v>0</v>
      </c>
      <c r="D2079" s="2"/>
      <c r="E2079" s="2"/>
      <c r="F2079" s="2"/>
      <c r="G2079" s="2"/>
      <c r="H2079" s="2"/>
      <c r="I2079" s="5"/>
    </row>
    <row r="2080" spans="1:9" ht="17.399999999999999" x14ac:dyDescent="0.25">
      <c r="A2080" s="16"/>
      <c r="B2080" s="17"/>
      <c r="C2080" s="2" t="b">
        <v>0</v>
      </c>
      <c r="D2080" s="2"/>
      <c r="E2080" s="2"/>
      <c r="F2080" s="2"/>
      <c r="G2080" s="2"/>
      <c r="H2080" s="2"/>
      <c r="I2080" s="5"/>
    </row>
    <row r="2081" spans="1:9" ht="17.399999999999999" x14ac:dyDescent="0.25">
      <c r="A2081" s="16"/>
      <c r="B2081" s="17"/>
      <c r="C2081" s="2" t="b">
        <v>0</v>
      </c>
      <c r="D2081" s="2"/>
      <c r="E2081" s="2"/>
      <c r="F2081" s="2"/>
      <c r="G2081" s="2"/>
      <c r="H2081" s="2"/>
      <c r="I2081" s="5"/>
    </row>
    <row r="2082" spans="1:9" ht="17.399999999999999" x14ac:dyDescent="0.25">
      <c r="A2082" s="16"/>
      <c r="B2082" s="17"/>
      <c r="C2082" s="2" t="b">
        <v>0</v>
      </c>
      <c r="D2082" s="2"/>
      <c r="E2082" s="2"/>
      <c r="F2082" s="2"/>
      <c r="G2082" s="2"/>
      <c r="H2082" s="2"/>
      <c r="I2082" s="5"/>
    </row>
    <row r="2083" spans="1:9" ht="17.399999999999999" x14ac:dyDescent="0.25">
      <c r="A2083" s="16"/>
      <c r="B2083" s="17"/>
      <c r="C2083" s="2" t="b">
        <v>0</v>
      </c>
      <c r="D2083" s="2"/>
      <c r="E2083" s="2"/>
      <c r="F2083" s="2"/>
      <c r="G2083" s="2"/>
      <c r="H2083" s="2"/>
      <c r="I2083" s="5"/>
    </row>
    <row r="2084" spans="1:9" ht="17.399999999999999" x14ac:dyDescent="0.25">
      <c r="A2084" s="16"/>
      <c r="B2084" s="17"/>
      <c r="C2084" s="2" t="b">
        <v>0</v>
      </c>
      <c r="D2084" s="2"/>
      <c r="E2084" s="2"/>
      <c r="F2084" s="2"/>
      <c r="G2084" s="2"/>
      <c r="H2084" s="2"/>
      <c r="I2084" s="5"/>
    </row>
    <row r="2085" spans="1:9" ht="17.399999999999999" x14ac:dyDescent="0.25">
      <c r="A2085" s="16"/>
      <c r="B2085" s="17"/>
      <c r="C2085" s="2" t="b">
        <v>0</v>
      </c>
      <c r="D2085" s="2"/>
      <c r="E2085" s="2"/>
      <c r="F2085" s="2"/>
      <c r="G2085" s="2"/>
      <c r="H2085" s="2"/>
      <c r="I2085" s="5"/>
    </row>
    <row r="2086" spans="1:9" ht="17.399999999999999" x14ac:dyDescent="0.25">
      <c r="A2086" s="16"/>
      <c r="B2086" s="17"/>
      <c r="C2086" s="2" t="b">
        <v>0</v>
      </c>
      <c r="D2086" s="2"/>
      <c r="E2086" s="2"/>
      <c r="F2086" s="2"/>
      <c r="G2086" s="2"/>
      <c r="H2086" s="2"/>
      <c r="I2086" s="5"/>
    </row>
    <row r="2087" spans="1:9" ht="17.399999999999999" x14ac:dyDescent="0.25">
      <c r="A2087" s="16"/>
      <c r="B2087" s="17"/>
      <c r="C2087" s="2" t="b">
        <v>0</v>
      </c>
      <c r="D2087" s="2"/>
      <c r="E2087" s="2"/>
      <c r="F2087" s="2"/>
      <c r="G2087" s="2"/>
      <c r="H2087" s="2"/>
      <c r="I2087" s="5"/>
    </row>
    <row r="2088" spans="1:9" ht="17.399999999999999" x14ac:dyDescent="0.25">
      <c r="A2088" s="16"/>
      <c r="B2088" s="17"/>
      <c r="C2088" s="2" t="b">
        <v>0</v>
      </c>
      <c r="D2088" s="2"/>
      <c r="E2088" s="2"/>
      <c r="F2088" s="2"/>
      <c r="G2088" s="2"/>
      <c r="H2088" s="2"/>
      <c r="I2088" s="5"/>
    </row>
    <row r="2089" spans="1:9" ht="17.399999999999999" x14ac:dyDescent="0.25">
      <c r="A2089" s="16"/>
      <c r="B2089" s="17"/>
      <c r="C2089" s="2" t="b">
        <v>0</v>
      </c>
      <c r="D2089" s="2"/>
      <c r="E2089" s="2"/>
      <c r="F2089" s="2"/>
      <c r="G2089" s="2"/>
      <c r="H2089" s="2"/>
      <c r="I2089" s="5"/>
    </row>
    <row r="2090" spans="1:9" ht="17.399999999999999" x14ac:dyDescent="0.25">
      <c r="A2090" s="16"/>
      <c r="B2090" s="17"/>
      <c r="C2090" s="2" t="b">
        <v>0</v>
      </c>
      <c r="D2090" s="2"/>
      <c r="E2090" s="2"/>
      <c r="F2090" s="2"/>
      <c r="G2090" s="2"/>
      <c r="H2090" s="2"/>
      <c r="I2090" s="5"/>
    </row>
    <row r="2091" spans="1:9" ht="17.399999999999999" x14ac:dyDescent="0.25">
      <c r="A2091" s="16"/>
      <c r="B2091" s="17"/>
      <c r="C2091" s="2" t="b">
        <v>0</v>
      </c>
      <c r="D2091" s="2"/>
      <c r="E2091" s="2"/>
      <c r="F2091" s="2"/>
      <c r="G2091" s="2"/>
      <c r="H2091" s="2"/>
      <c r="I2091" s="5"/>
    </row>
    <row r="2092" spans="1:9" ht="17.399999999999999" x14ac:dyDescent="0.25">
      <c r="A2092" s="16"/>
      <c r="B2092" s="17"/>
      <c r="C2092" s="2" t="b">
        <v>0</v>
      </c>
      <c r="D2092" s="2"/>
      <c r="E2092" s="2"/>
      <c r="F2092" s="2"/>
      <c r="G2092" s="2"/>
      <c r="H2092" s="2"/>
      <c r="I2092" s="5"/>
    </row>
    <row r="2093" spans="1:9" ht="17.399999999999999" x14ac:dyDescent="0.25">
      <c r="A2093" s="16"/>
      <c r="B2093" s="17"/>
      <c r="C2093" s="2" t="b">
        <v>0</v>
      </c>
      <c r="D2093" s="2"/>
      <c r="E2093" s="2"/>
      <c r="F2093" s="2"/>
      <c r="G2093" s="2"/>
      <c r="H2093" s="2"/>
      <c r="I2093" s="5"/>
    </row>
    <row r="2094" spans="1:9" ht="17.399999999999999" x14ac:dyDescent="0.25">
      <c r="A2094" s="16"/>
      <c r="B2094" s="17"/>
      <c r="C2094" s="2" t="b">
        <v>0</v>
      </c>
      <c r="D2094" s="2"/>
      <c r="E2094" s="2"/>
      <c r="F2094" s="2"/>
      <c r="G2094" s="2"/>
      <c r="H2094" s="2"/>
      <c r="I2094" s="5"/>
    </row>
    <row r="2095" spans="1:9" ht="17.399999999999999" x14ac:dyDescent="0.25">
      <c r="A2095" s="16"/>
      <c r="B2095" s="17"/>
      <c r="C2095" s="2" t="b">
        <v>0</v>
      </c>
      <c r="D2095" s="2"/>
      <c r="E2095" s="2"/>
      <c r="F2095" s="2"/>
      <c r="G2095" s="2"/>
      <c r="H2095" s="2"/>
      <c r="I2095" s="5"/>
    </row>
    <row r="2096" spans="1:9" ht="17.399999999999999" x14ac:dyDescent="0.25">
      <c r="A2096" s="16"/>
      <c r="B2096" s="17"/>
      <c r="C2096" s="2" t="b">
        <v>0</v>
      </c>
      <c r="D2096" s="2"/>
      <c r="E2096" s="2"/>
      <c r="F2096" s="2"/>
      <c r="G2096" s="2"/>
      <c r="H2096" s="2"/>
      <c r="I2096" s="5"/>
    </row>
    <row r="2097" spans="1:9" ht="17.399999999999999" x14ac:dyDescent="0.25">
      <c r="A2097" s="16"/>
      <c r="B2097" s="17"/>
      <c r="C2097" s="2" t="b">
        <v>0</v>
      </c>
      <c r="D2097" s="2"/>
      <c r="E2097" s="2"/>
      <c r="F2097" s="2"/>
      <c r="G2097" s="2"/>
      <c r="H2097" s="2"/>
      <c r="I2097" s="5"/>
    </row>
    <row r="2098" spans="1:9" ht="17.399999999999999" x14ac:dyDescent="0.25">
      <c r="A2098" s="16"/>
      <c r="B2098" s="17"/>
      <c r="C2098" s="2" t="b">
        <v>0</v>
      </c>
      <c r="D2098" s="2"/>
      <c r="E2098" s="2"/>
      <c r="F2098" s="2"/>
      <c r="G2098" s="2"/>
      <c r="H2098" s="2"/>
      <c r="I2098" s="5"/>
    </row>
    <row r="2099" spans="1:9" ht="17.399999999999999" x14ac:dyDescent="0.25">
      <c r="A2099" s="16"/>
      <c r="B2099" s="17"/>
      <c r="C2099" s="2" t="b">
        <v>0</v>
      </c>
      <c r="D2099" s="2"/>
      <c r="E2099" s="2"/>
      <c r="F2099" s="2"/>
      <c r="G2099" s="2"/>
      <c r="H2099" s="2"/>
      <c r="I2099" s="5"/>
    </row>
    <row r="2100" spans="1:9" ht="17.399999999999999" x14ac:dyDescent="0.25">
      <c r="A2100" s="16"/>
      <c r="B2100" s="17"/>
      <c r="C2100" s="2" t="b">
        <v>0</v>
      </c>
      <c r="D2100" s="2"/>
      <c r="E2100" s="2"/>
      <c r="F2100" s="2"/>
      <c r="G2100" s="2"/>
      <c r="H2100" s="2"/>
      <c r="I2100" s="5"/>
    </row>
    <row r="2101" spans="1:9" ht="17.399999999999999" x14ac:dyDescent="0.25">
      <c r="A2101" s="16"/>
      <c r="B2101" s="17"/>
      <c r="C2101" s="2" t="b">
        <v>0</v>
      </c>
      <c r="D2101" s="2"/>
      <c r="E2101" s="2"/>
      <c r="F2101" s="2"/>
      <c r="G2101" s="2"/>
      <c r="H2101" s="2"/>
      <c r="I2101" s="5"/>
    </row>
    <row r="2102" spans="1:9" ht="17.399999999999999" x14ac:dyDescent="0.25">
      <c r="A2102" s="16"/>
      <c r="B2102" s="17"/>
      <c r="C2102" s="2" t="b">
        <v>0</v>
      </c>
      <c r="D2102" s="2"/>
      <c r="E2102" s="2"/>
      <c r="F2102" s="2"/>
      <c r="G2102" s="2"/>
      <c r="H2102" s="2"/>
      <c r="I2102" s="5"/>
    </row>
    <row r="2103" spans="1:9" ht="17.399999999999999" x14ac:dyDescent="0.25">
      <c r="A2103" s="16"/>
      <c r="B2103" s="17"/>
      <c r="C2103" s="2" t="b">
        <v>0</v>
      </c>
      <c r="D2103" s="2"/>
      <c r="E2103" s="2"/>
      <c r="F2103" s="2"/>
      <c r="G2103" s="2"/>
      <c r="H2103" s="2"/>
      <c r="I2103" s="5"/>
    </row>
    <row r="2104" spans="1:9" ht="17.399999999999999" x14ac:dyDescent="0.25">
      <c r="A2104" s="16"/>
      <c r="B2104" s="17"/>
      <c r="C2104" s="2" t="b">
        <v>0</v>
      </c>
      <c r="D2104" s="2"/>
      <c r="E2104" s="2"/>
      <c r="F2104" s="2"/>
      <c r="G2104" s="2"/>
      <c r="H2104" s="2"/>
      <c r="I2104" s="5"/>
    </row>
    <row r="2105" spans="1:9" ht="17.399999999999999" x14ac:dyDescent="0.25">
      <c r="A2105" s="16"/>
      <c r="B2105" s="17"/>
      <c r="C2105" s="2" t="b">
        <v>0</v>
      </c>
      <c r="D2105" s="2"/>
      <c r="E2105" s="2"/>
      <c r="F2105" s="2"/>
      <c r="G2105" s="2"/>
      <c r="H2105" s="2"/>
      <c r="I2105" s="5"/>
    </row>
    <row r="2106" spans="1:9" ht="17.399999999999999" x14ac:dyDescent="0.25">
      <c r="A2106" s="16"/>
      <c r="B2106" s="17"/>
      <c r="C2106" s="2" t="b">
        <v>0</v>
      </c>
      <c r="D2106" s="2"/>
      <c r="E2106" s="2"/>
      <c r="F2106" s="2"/>
      <c r="G2106" s="2"/>
      <c r="H2106" s="2"/>
      <c r="I2106" s="5"/>
    </row>
    <row r="2107" spans="1:9" ht="17.399999999999999" x14ac:dyDescent="0.25">
      <c r="A2107" s="16"/>
      <c r="B2107" s="17"/>
      <c r="C2107" s="2" t="b">
        <v>0</v>
      </c>
      <c r="D2107" s="2"/>
      <c r="E2107" s="2"/>
      <c r="F2107" s="2"/>
      <c r="G2107" s="2"/>
      <c r="H2107" s="2"/>
      <c r="I2107" s="5"/>
    </row>
    <row r="2108" spans="1:9" ht="17.399999999999999" x14ac:dyDescent="0.25">
      <c r="A2108" s="16"/>
      <c r="B2108" s="17"/>
      <c r="C2108" s="2" t="b">
        <v>0</v>
      </c>
      <c r="D2108" s="2"/>
      <c r="E2108" s="2"/>
      <c r="F2108" s="2"/>
      <c r="G2108" s="2"/>
      <c r="H2108" s="2"/>
      <c r="I2108" s="5"/>
    </row>
    <row r="2109" spans="1:9" ht="17.399999999999999" x14ac:dyDescent="0.25">
      <c r="A2109" s="16"/>
      <c r="B2109" s="17"/>
      <c r="C2109" s="2" t="b">
        <v>0</v>
      </c>
      <c r="D2109" s="2"/>
      <c r="E2109" s="2"/>
      <c r="F2109" s="2"/>
      <c r="G2109" s="2"/>
      <c r="H2109" s="2"/>
      <c r="I2109" s="5"/>
    </row>
    <row r="2110" spans="1:9" ht="17.399999999999999" x14ac:dyDescent="0.25">
      <c r="A2110" s="16"/>
      <c r="B2110" s="17"/>
      <c r="C2110" s="2" t="b">
        <v>0</v>
      </c>
      <c r="D2110" s="2"/>
      <c r="E2110" s="2"/>
      <c r="F2110" s="2"/>
      <c r="G2110" s="2"/>
      <c r="H2110" s="2"/>
      <c r="I2110" s="5"/>
    </row>
    <row r="2111" spans="1:9" ht="17.399999999999999" x14ac:dyDescent="0.25">
      <c r="A2111" s="16"/>
      <c r="B2111" s="17"/>
      <c r="C2111" s="2" t="b">
        <v>0</v>
      </c>
      <c r="D2111" s="2"/>
      <c r="E2111" s="2"/>
      <c r="F2111" s="2"/>
      <c r="G2111" s="2"/>
      <c r="H2111" s="2"/>
      <c r="I2111" s="5"/>
    </row>
    <row r="2112" spans="1:9" ht="17.399999999999999" x14ac:dyDescent="0.25">
      <c r="A2112" s="16"/>
      <c r="B2112" s="17"/>
      <c r="C2112" s="2" t="b">
        <v>0</v>
      </c>
      <c r="D2112" s="2"/>
      <c r="E2112" s="2"/>
      <c r="F2112" s="2"/>
      <c r="G2112" s="2"/>
      <c r="H2112" s="2"/>
      <c r="I2112" s="5"/>
    </row>
    <row r="2113" spans="1:9" ht="17.399999999999999" x14ac:dyDescent="0.25">
      <c r="A2113" s="16"/>
      <c r="B2113" s="17"/>
      <c r="C2113" s="2" t="b">
        <v>0</v>
      </c>
      <c r="D2113" s="2"/>
      <c r="E2113" s="2"/>
      <c r="F2113" s="2"/>
      <c r="G2113" s="2"/>
      <c r="H2113" s="2"/>
      <c r="I2113" s="5"/>
    </row>
    <row r="2114" spans="1:9" ht="17.399999999999999" x14ac:dyDescent="0.25">
      <c r="A2114" s="16"/>
      <c r="B2114" s="17"/>
      <c r="C2114" s="2" t="b">
        <v>0</v>
      </c>
      <c r="D2114" s="2"/>
      <c r="E2114" s="2"/>
      <c r="F2114" s="2"/>
      <c r="G2114" s="2"/>
      <c r="H2114" s="2"/>
      <c r="I2114" s="5"/>
    </row>
    <row r="2115" spans="1:9" ht="17.399999999999999" x14ac:dyDescent="0.25">
      <c r="A2115" s="16"/>
      <c r="B2115" s="17"/>
      <c r="C2115" s="2" t="b">
        <v>0</v>
      </c>
      <c r="D2115" s="2"/>
      <c r="E2115" s="2"/>
      <c r="F2115" s="2"/>
      <c r="G2115" s="2"/>
      <c r="H2115" s="2"/>
      <c r="I2115" s="5"/>
    </row>
    <row r="2116" spans="1:9" ht="17.399999999999999" x14ac:dyDescent="0.25">
      <c r="A2116" s="16"/>
      <c r="B2116" s="17"/>
      <c r="C2116" s="2" t="b">
        <v>0</v>
      </c>
      <c r="D2116" s="2"/>
      <c r="E2116" s="2"/>
      <c r="F2116" s="2"/>
      <c r="G2116" s="2"/>
      <c r="H2116" s="2"/>
      <c r="I2116" s="5"/>
    </row>
    <row r="2117" spans="1:9" ht="17.399999999999999" x14ac:dyDescent="0.25">
      <c r="A2117" s="16"/>
      <c r="B2117" s="17"/>
      <c r="C2117" s="2" t="b">
        <v>0</v>
      </c>
      <c r="D2117" s="2"/>
      <c r="E2117" s="2"/>
      <c r="F2117" s="2"/>
      <c r="G2117" s="2"/>
      <c r="H2117" s="2"/>
      <c r="I2117" s="5"/>
    </row>
    <row r="2118" spans="1:9" ht="17.399999999999999" x14ac:dyDescent="0.25">
      <c r="A2118" s="16"/>
      <c r="B2118" s="17"/>
      <c r="C2118" s="2" t="b">
        <v>0</v>
      </c>
      <c r="D2118" s="2"/>
      <c r="E2118" s="2"/>
      <c r="F2118" s="2"/>
      <c r="G2118" s="2"/>
      <c r="H2118" s="2"/>
      <c r="I2118" s="5"/>
    </row>
    <row r="2119" spans="1:9" ht="17.399999999999999" x14ac:dyDescent="0.25">
      <c r="A2119" s="16"/>
      <c r="B2119" s="17"/>
      <c r="C2119" s="2" t="b">
        <v>0</v>
      </c>
      <c r="D2119" s="2"/>
      <c r="E2119" s="2"/>
      <c r="F2119" s="2"/>
      <c r="G2119" s="2"/>
      <c r="H2119" s="2"/>
      <c r="I2119" s="5"/>
    </row>
    <row r="2120" spans="1:9" ht="17.399999999999999" x14ac:dyDescent="0.25">
      <c r="A2120" s="16"/>
      <c r="B2120" s="17"/>
      <c r="C2120" s="2" t="b">
        <v>0</v>
      </c>
      <c r="D2120" s="2"/>
      <c r="E2120" s="2"/>
      <c r="F2120" s="2"/>
      <c r="G2120" s="2"/>
      <c r="H2120" s="2"/>
      <c r="I2120" s="5"/>
    </row>
    <row r="2121" spans="1:9" ht="17.399999999999999" x14ac:dyDescent="0.25">
      <c r="A2121" s="16"/>
      <c r="B2121" s="17"/>
      <c r="C2121" s="2" t="b">
        <v>0</v>
      </c>
      <c r="D2121" s="2"/>
      <c r="E2121" s="2"/>
      <c r="F2121" s="2"/>
      <c r="G2121" s="2"/>
      <c r="H2121" s="2"/>
      <c r="I2121" s="5"/>
    </row>
    <row r="2122" spans="1:9" ht="17.399999999999999" x14ac:dyDescent="0.25">
      <c r="A2122" s="16"/>
      <c r="B2122" s="17"/>
      <c r="C2122" s="2" t="b">
        <v>0</v>
      </c>
      <c r="D2122" s="2"/>
      <c r="E2122" s="2"/>
      <c r="F2122" s="2"/>
      <c r="G2122" s="2"/>
      <c r="H2122" s="2"/>
      <c r="I2122" s="5"/>
    </row>
    <row r="2123" spans="1:9" ht="17.399999999999999" x14ac:dyDescent="0.25">
      <c r="A2123" s="16"/>
      <c r="B2123" s="17"/>
      <c r="C2123" s="2" t="b">
        <v>0</v>
      </c>
      <c r="D2123" s="2"/>
      <c r="E2123" s="2"/>
      <c r="F2123" s="2"/>
      <c r="G2123" s="2"/>
      <c r="H2123" s="2"/>
      <c r="I2123" s="5"/>
    </row>
    <row r="2124" spans="1:9" ht="17.399999999999999" x14ac:dyDescent="0.25">
      <c r="A2124" s="16"/>
      <c r="B2124" s="17"/>
      <c r="C2124" s="2" t="b">
        <v>0</v>
      </c>
      <c r="D2124" s="2"/>
      <c r="E2124" s="2"/>
      <c r="F2124" s="2"/>
      <c r="G2124" s="2"/>
      <c r="H2124" s="2"/>
      <c r="I2124" s="5"/>
    </row>
    <row r="2125" spans="1:9" ht="17.399999999999999" x14ac:dyDescent="0.25">
      <c r="A2125" s="16"/>
      <c r="B2125" s="17"/>
      <c r="C2125" s="2" t="b">
        <v>0</v>
      </c>
      <c r="D2125" s="2"/>
      <c r="E2125" s="2"/>
      <c r="F2125" s="2"/>
      <c r="G2125" s="2"/>
      <c r="H2125" s="2"/>
      <c r="I2125" s="5"/>
    </row>
    <row r="2126" spans="1:9" ht="17.399999999999999" x14ac:dyDescent="0.25">
      <c r="A2126" s="16"/>
      <c r="B2126" s="17"/>
      <c r="C2126" s="2" t="b">
        <v>0</v>
      </c>
      <c r="D2126" s="2"/>
      <c r="E2126" s="2"/>
      <c r="F2126" s="2"/>
      <c r="G2126" s="2"/>
      <c r="H2126" s="2"/>
      <c r="I2126" s="5"/>
    </row>
    <row r="2127" spans="1:9" ht="17.399999999999999" x14ac:dyDescent="0.25">
      <c r="A2127" s="16"/>
      <c r="B2127" s="17"/>
      <c r="C2127" s="2" t="b">
        <v>0</v>
      </c>
      <c r="D2127" s="2"/>
      <c r="E2127" s="2"/>
      <c r="F2127" s="2"/>
      <c r="G2127" s="2"/>
      <c r="H2127" s="2"/>
      <c r="I2127" s="5"/>
    </row>
    <row r="2128" spans="1:9" ht="17.399999999999999" x14ac:dyDescent="0.25">
      <c r="A2128" s="16"/>
      <c r="B2128" s="17"/>
      <c r="C2128" s="2" t="b">
        <v>0</v>
      </c>
      <c r="D2128" s="2"/>
      <c r="E2128" s="2"/>
      <c r="F2128" s="2"/>
      <c r="G2128" s="2"/>
      <c r="H2128" s="2"/>
      <c r="I2128" s="5"/>
    </row>
    <row r="2129" spans="1:9" ht="17.399999999999999" x14ac:dyDescent="0.25">
      <c r="A2129" s="16"/>
      <c r="B2129" s="17"/>
      <c r="C2129" s="2" t="b">
        <v>0</v>
      </c>
      <c r="D2129" s="2"/>
      <c r="E2129" s="2"/>
      <c r="F2129" s="2"/>
      <c r="G2129" s="2"/>
      <c r="H2129" s="2"/>
      <c r="I2129" s="5"/>
    </row>
    <row r="2130" spans="1:9" ht="17.399999999999999" x14ac:dyDescent="0.25">
      <c r="A2130" s="16"/>
      <c r="B2130" s="17"/>
      <c r="C2130" s="2" t="b">
        <v>0</v>
      </c>
      <c r="D2130" s="2"/>
      <c r="E2130" s="2"/>
      <c r="F2130" s="2"/>
      <c r="G2130" s="2"/>
      <c r="H2130" s="2"/>
      <c r="I2130" s="5"/>
    </row>
    <row r="2131" spans="1:9" ht="17.399999999999999" x14ac:dyDescent="0.25">
      <c r="A2131" s="16"/>
      <c r="B2131" s="17"/>
      <c r="C2131" s="2" t="b">
        <v>0</v>
      </c>
      <c r="D2131" s="2"/>
      <c r="E2131" s="2"/>
      <c r="F2131" s="2"/>
      <c r="G2131" s="2"/>
      <c r="H2131" s="2"/>
      <c r="I2131" s="5"/>
    </row>
    <row r="2132" spans="1:9" ht="17.399999999999999" x14ac:dyDescent="0.25">
      <c r="A2132" s="16"/>
      <c r="B2132" s="17"/>
      <c r="C2132" s="2" t="b">
        <v>0</v>
      </c>
      <c r="D2132" s="2"/>
      <c r="E2132" s="2"/>
      <c r="F2132" s="2"/>
      <c r="G2132" s="2"/>
      <c r="H2132" s="2"/>
      <c r="I2132" s="5"/>
    </row>
    <row r="2133" spans="1:9" ht="17.399999999999999" x14ac:dyDescent="0.25">
      <c r="A2133" s="16"/>
      <c r="B2133" s="17"/>
      <c r="C2133" s="2" t="b">
        <v>0</v>
      </c>
      <c r="D2133" s="2"/>
      <c r="E2133" s="2"/>
      <c r="F2133" s="2"/>
      <c r="G2133" s="2"/>
      <c r="H2133" s="2"/>
      <c r="I2133" s="5"/>
    </row>
    <row r="2134" spans="1:9" ht="17.399999999999999" x14ac:dyDescent="0.25">
      <c r="A2134" s="16"/>
      <c r="B2134" s="17"/>
      <c r="C2134" s="2" t="b">
        <v>0</v>
      </c>
      <c r="D2134" s="2"/>
      <c r="E2134" s="2"/>
      <c r="F2134" s="2"/>
      <c r="G2134" s="2"/>
      <c r="H2134" s="2"/>
      <c r="I2134" s="5"/>
    </row>
    <row r="2135" spans="1:9" ht="17.399999999999999" x14ac:dyDescent="0.25">
      <c r="A2135" s="16"/>
      <c r="B2135" s="17"/>
      <c r="C2135" s="2" t="b">
        <v>0</v>
      </c>
      <c r="D2135" s="2"/>
      <c r="E2135" s="2"/>
      <c r="F2135" s="2"/>
      <c r="G2135" s="2"/>
      <c r="H2135" s="2"/>
      <c r="I2135" s="5"/>
    </row>
    <row r="2136" spans="1:9" ht="17.399999999999999" x14ac:dyDescent="0.25">
      <c r="A2136" s="16"/>
      <c r="B2136" s="17"/>
      <c r="C2136" s="2" t="b">
        <v>0</v>
      </c>
      <c r="D2136" s="2"/>
      <c r="E2136" s="2"/>
      <c r="F2136" s="2"/>
      <c r="G2136" s="2"/>
      <c r="H2136" s="2"/>
      <c r="I2136" s="5"/>
    </row>
    <row r="2137" spans="1:9" ht="17.399999999999999" x14ac:dyDescent="0.25">
      <c r="A2137" s="16"/>
      <c r="B2137" s="17"/>
      <c r="C2137" s="2" t="b">
        <v>0</v>
      </c>
      <c r="D2137" s="2"/>
      <c r="E2137" s="2"/>
      <c r="F2137" s="2"/>
      <c r="G2137" s="2"/>
      <c r="H2137" s="2"/>
      <c r="I2137" s="5"/>
    </row>
    <row r="2138" spans="1:9" ht="17.399999999999999" x14ac:dyDescent="0.25">
      <c r="A2138" s="16"/>
      <c r="B2138" s="17"/>
      <c r="C2138" s="2" t="b">
        <v>0</v>
      </c>
      <c r="D2138" s="2"/>
      <c r="E2138" s="2"/>
      <c r="F2138" s="2"/>
      <c r="G2138" s="2"/>
      <c r="H2138" s="2"/>
      <c r="I2138" s="5"/>
    </row>
    <row r="2139" spans="1:9" ht="17.399999999999999" x14ac:dyDescent="0.25">
      <c r="A2139" s="16"/>
      <c r="B2139" s="17"/>
      <c r="C2139" s="2" t="b">
        <v>0</v>
      </c>
      <c r="D2139" s="2"/>
      <c r="E2139" s="2"/>
      <c r="F2139" s="2"/>
      <c r="G2139" s="2"/>
      <c r="H2139" s="2"/>
      <c r="I2139" s="5"/>
    </row>
    <row r="2140" spans="1:9" ht="17.399999999999999" x14ac:dyDescent="0.25">
      <c r="A2140" s="16"/>
      <c r="B2140" s="17"/>
      <c r="C2140" s="2" t="b">
        <v>0</v>
      </c>
      <c r="D2140" s="2"/>
      <c r="E2140" s="2"/>
      <c r="F2140" s="2"/>
      <c r="G2140" s="2"/>
      <c r="H2140" s="2"/>
      <c r="I2140" s="5"/>
    </row>
    <row r="2141" spans="1:9" ht="17.399999999999999" x14ac:dyDescent="0.25">
      <c r="A2141" s="16"/>
      <c r="B2141" s="17"/>
      <c r="C2141" s="2" t="b">
        <v>0</v>
      </c>
      <c r="D2141" s="2"/>
      <c r="E2141" s="2"/>
      <c r="F2141" s="2"/>
      <c r="G2141" s="2"/>
      <c r="H2141" s="2"/>
      <c r="I2141" s="5"/>
    </row>
    <row r="2142" spans="1:9" ht="17.399999999999999" x14ac:dyDescent="0.25">
      <c r="A2142" s="16"/>
      <c r="B2142" s="17"/>
      <c r="C2142" s="2" t="b">
        <v>0</v>
      </c>
      <c r="D2142" s="2"/>
      <c r="E2142" s="2"/>
      <c r="F2142" s="2"/>
      <c r="G2142" s="2"/>
      <c r="H2142" s="2"/>
      <c r="I2142" s="5"/>
    </row>
    <row r="2143" spans="1:9" ht="17.399999999999999" x14ac:dyDescent="0.25">
      <c r="A2143" s="16"/>
      <c r="B2143" s="17"/>
      <c r="C2143" s="2" t="b">
        <v>0</v>
      </c>
      <c r="D2143" s="2"/>
      <c r="E2143" s="2"/>
      <c r="F2143" s="2"/>
      <c r="G2143" s="2"/>
      <c r="H2143" s="2"/>
      <c r="I2143" s="5"/>
    </row>
    <row r="2144" spans="1:9" ht="17.399999999999999" x14ac:dyDescent="0.25">
      <c r="A2144" s="16"/>
      <c r="B2144" s="17"/>
      <c r="C2144" s="2" t="b">
        <v>0</v>
      </c>
      <c r="D2144" s="2"/>
      <c r="E2144" s="2"/>
      <c r="F2144" s="2"/>
      <c r="G2144" s="2"/>
      <c r="H2144" s="2"/>
      <c r="I2144" s="5"/>
    </row>
    <row r="2145" spans="1:9" ht="17.399999999999999" x14ac:dyDescent="0.25">
      <c r="A2145" s="16"/>
      <c r="B2145" s="17"/>
      <c r="C2145" s="2" t="b">
        <v>0</v>
      </c>
      <c r="D2145" s="2"/>
      <c r="E2145" s="2"/>
      <c r="F2145" s="2"/>
      <c r="G2145" s="2"/>
      <c r="H2145" s="2"/>
      <c r="I2145" s="5"/>
    </row>
    <row r="2146" spans="1:9" ht="17.399999999999999" x14ac:dyDescent="0.25">
      <c r="A2146" s="16"/>
      <c r="B2146" s="17"/>
      <c r="C2146" s="2" t="b">
        <v>0</v>
      </c>
      <c r="D2146" s="2"/>
      <c r="E2146" s="2"/>
      <c r="F2146" s="2"/>
      <c r="G2146" s="2"/>
      <c r="H2146" s="2"/>
      <c r="I2146" s="5"/>
    </row>
    <row r="2147" spans="1:9" ht="17.399999999999999" x14ac:dyDescent="0.25">
      <c r="A2147" s="16"/>
      <c r="B2147" s="17"/>
      <c r="C2147" s="2" t="b">
        <v>0</v>
      </c>
      <c r="D2147" s="2"/>
      <c r="E2147" s="2"/>
      <c r="F2147" s="2"/>
      <c r="G2147" s="2"/>
      <c r="H2147" s="2"/>
      <c r="I2147" s="5"/>
    </row>
    <row r="2148" spans="1:9" ht="17.399999999999999" x14ac:dyDescent="0.25">
      <c r="A2148" s="16"/>
      <c r="B2148" s="17"/>
      <c r="C2148" s="2" t="b">
        <v>0</v>
      </c>
      <c r="D2148" s="2"/>
      <c r="E2148" s="2"/>
      <c r="F2148" s="2"/>
      <c r="G2148" s="2"/>
      <c r="H2148" s="2"/>
      <c r="I2148" s="5"/>
    </row>
    <row r="2149" spans="1:9" ht="17.399999999999999" x14ac:dyDescent="0.25">
      <c r="A2149" s="16"/>
      <c r="B2149" s="17"/>
      <c r="C2149" s="2" t="b">
        <v>0</v>
      </c>
      <c r="D2149" s="2"/>
      <c r="E2149" s="2"/>
      <c r="F2149" s="2"/>
      <c r="G2149" s="2"/>
      <c r="H2149" s="2"/>
      <c r="I2149" s="5"/>
    </row>
    <row r="2150" spans="1:9" ht="17.399999999999999" x14ac:dyDescent="0.25">
      <c r="A2150" s="16"/>
      <c r="B2150" s="17"/>
      <c r="C2150" s="2" t="b">
        <v>0</v>
      </c>
      <c r="D2150" s="2"/>
      <c r="E2150" s="2"/>
      <c r="F2150" s="2"/>
      <c r="G2150" s="2"/>
      <c r="H2150" s="2"/>
      <c r="I2150" s="5"/>
    </row>
    <row r="2151" spans="1:9" ht="17.399999999999999" x14ac:dyDescent="0.25">
      <c r="A2151" s="16"/>
      <c r="B2151" s="17"/>
      <c r="C2151" s="2" t="b">
        <v>0</v>
      </c>
      <c r="D2151" s="2"/>
      <c r="E2151" s="2"/>
      <c r="F2151" s="2"/>
      <c r="G2151" s="2"/>
      <c r="H2151" s="2"/>
      <c r="I2151" s="5"/>
    </row>
    <row r="2152" spans="1:9" ht="17.399999999999999" x14ac:dyDescent="0.25">
      <c r="A2152" s="16"/>
      <c r="B2152" s="17"/>
      <c r="C2152" s="2" t="b">
        <v>0</v>
      </c>
      <c r="D2152" s="2"/>
      <c r="E2152" s="2"/>
      <c r="F2152" s="2"/>
      <c r="G2152" s="2"/>
      <c r="H2152" s="2"/>
      <c r="I2152" s="5"/>
    </row>
    <row r="2153" spans="1:9" ht="17.399999999999999" x14ac:dyDescent="0.25">
      <c r="A2153" s="16"/>
      <c r="B2153" s="17"/>
      <c r="C2153" s="2" t="b">
        <v>0</v>
      </c>
      <c r="D2153" s="2"/>
      <c r="E2153" s="2"/>
      <c r="F2153" s="2"/>
      <c r="G2153" s="2"/>
      <c r="H2153" s="2"/>
      <c r="I2153" s="5"/>
    </row>
    <row r="2154" spans="1:9" ht="17.399999999999999" x14ac:dyDescent="0.25">
      <c r="A2154" s="16"/>
      <c r="B2154" s="17"/>
      <c r="C2154" s="2" t="b">
        <v>0</v>
      </c>
      <c r="D2154" s="2"/>
      <c r="E2154" s="2"/>
      <c r="F2154" s="2"/>
      <c r="G2154" s="2"/>
      <c r="H2154" s="2"/>
      <c r="I2154" s="5"/>
    </row>
    <row r="2155" spans="1:9" ht="17.399999999999999" x14ac:dyDescent="0.25">
      <c r="A2155" s="16"/>
      <c r="B2155" s="17"/>
      <c r="C2155" s="2" t="b">
        <v>0</v>
      </c>
      <c r="D2155" s="2"/>
      <c r="E2155" s="2"/>
      <c r="F2155" s="2"/>
      <c r="G2155" s="2"/>
      <c r="H2155" s="2"/>
      <c r="I2155" s="5"/>
    </row>
    <row r="2156" spans="1:9" ht="17.399999999999999" x14ac:dyDescent="0.25">
      <c r="A2156" s="16"/>
      <c r="B2156" s="17"/>
      <c r="C2156" s="2" t="b">
        <v>0</v>
      </c>
      <c r="D2156" s="2"/>
      <c r="E2156" s="2"/>
      <c r="F2156" s="2"/>
      <c r="G2156" s="2"/>
      <c r="H2156" s="2"/>
      <c r="I2156" s="5"/>
    </row>
    <row r="2157" spans="1:9" ht="17.399999999999999" x14ac:dyDescent="0.25">
      <c r="A2157" s="16"/>
      <c r="B2157" s="17"/>
      <c r="C2157" s="2" t="b">
        <v>0</v>
      </c>
      <c r="D2157" s="2"/>
      <c r="E2157" s="2"/>
      <c r="F2157" s="2"/>
      <c r="G2157" s="2"/>
      <c r="H2157" s="2"/>
      <c r="I2157" s="5"/>
    </row>
    <row r="2158" spans="1:9" ht="17.399999999999999" x14ac:dyDescent="0.25">
      <c r="A2158" s="16"/>
      <c r="B2158" s="17"/>
      <c r="C2158" s="2" t="b">
        <v>0</v>
      </c>
      <c r="D2158" s="2"/>
      <c r="E2158" s="2"/>
      <c r="F2158" s="2"/>
      <c r="G2158" s="2"/>
      <c r="H2158" s="2"/>
      <c r="I2158" s="5"/>
    </row>
    <row r="2159" spans="1:9" ht="17.399999999999999" x14ac:dyDescent="0.25">
      <c r="A2159" s="16"/>
      <c r="B2159" s="17"/>
      <c r="C2159" s="2" t="b">
        <v>0</v>
      </c>
      <c r="D2159" s="2"/>
      <c r="E2159" s="2"/>
      <c r="F2159" s="2"/>
      <c r="G2159" s="2"/>
      <c r="H2159" s="2"/>
      <c r="I2159" s="5"/>
    </row>
    <row r="2160" spans="1:9" ht="17.399999999999999" x14ac:dyDescent="0.25">
      <c r="A2160" s="16"/>
      <c r="B2160" s="17"/>
      <c r="C2160" s="2" t="b">
        <v>0</v>
      </c>
      <c r="D2160" s="2"/>
      <c r="E2160" s="2"/>
      <c r="F2160" s="2"/>
      <c r="G2160" s="2"/>
      <c r="H2160" s="2"/>
      <c r="I2160" s="5"/>
    </row>
    <row r="2161" spans="1:9" ht="17.399999999999999" x14ac:dyDescent="0.25">
      <c r="A2161" s="16"/>
      <c r="B2161" s="17"/>
      <c r="C2161" s="2" t="b">
        <v>0</v>
      </c>
      <c r="D2161" s="2"/>
      <c r="E2161" s="2"/>
      <c r="F2161" s="2"/>
      <c r="G2161" s="2"/>
      <c r="H2161" s="2"/>
      <c r="I2161" s="5"/>
    </row>
    <row r="2162" spans="1:9" ht="17.399999999999999" x14ac:dyDescent="0.25">
      <c r="A2162" s="16"/>
      <c r="B2162" s="17"/>
      <c r="C2162" s="2" t="b">
        <v>0</v>
      </c>
      <c r="D2162" s="2"/>
      <c r="E2162" s="2"/>
      <c r="F2162" s="2"/>
      <c r="G2162" s="2"/>
      <c r="H2162" s="2"/>
      <c r="I2162" s="5"/>
    </row>
    <row r="2163" spans="1:9" ht="17.399999999999999" x14ac:dyDescent="0.25">
      <c r="A2163" s="16"/>
      <c r="B2163" s="17"/>
      <c r="C2163" s="2" t="b">
        <v>0</v>
      </c>
      <c r="D2163" s="2"/>
      <c r="E2163" s="2"/>
      <c r="F2163" s="2"/>
      <c r="G2163" s="2"/>
      <c r="H2163" s="2"/>
      <c r="I2163" s="5"/>
    </row>
    <row r="2164" spans="1:9" ht="17.399999999999999" x14ac:dyDescent="0.25">
      <c r="A2164" s="16"/>
      <c r="B2164" s="17"/>
      <c r="C2164" s="2" t="b">
        <v>0</v>
      </c>
      <c r="D2164" s="2"/>
      <c r="E2164" s="2"/>
      <c r="F2164" s="2"/>
      <c r="G2164" s="2"/>
      <c r="H2164" s="2"/>
      <c r="I2164" s="5"/>
    </row>
    <row r="2165" spans="1:9" ht="17.399999999999999" x14ac:dyDescent="0.25">
      <c r="A2165" s="16"/>
      <c r="B2165" s="17"/>
      <c r="C2165" s="2" t="b">
        <v>0</v>
      </c>
      <c r="D2165" s="2"/>
      <c r="E2165" s="2"/>
      <c r="F2165" s="2"/>
      <c r="G2165" s="2"/>
      <c r="H2165" s="2"/>
      <c r="I2165" s="5"/>
    </row>
    <row r="2166" spans="1:9" ht="17.399999999999999" x14ac:dyDescent="0.25">
      <c r="A2166" s="16"/>
      <c r="B2166" s="17"/>
      <c r="C2166" s="2" t="b">
        <v>0</v>
      </c>
      <c r="D2166" s="2"/>
      <c r="E2166" s="2"/>
      <c r="F2166" s="2"/>
      <c r="G2166" s="2"/>
      <c r="H2166" s="2"/>
      <c r="I2166" s="5"/>
    </row>
    <row r="2167" spans="1:9" ht="17.399999999999999" x14ac:dyDescent="0.25">
      <c r="A2167" s="16"/>
      <c r="B2167" s="17"/>
      <c r="C2167" s="2" t="b">
        <v>0</v>
      </c>
      <c r="D2167" s="2"/>
      <c r="E2167" s="2"/>
      <c r="F2167" s="2"/>
      <c r="G2167" s="2"/>
      <c r="H2167" s="2"/>
      <c r="I2167" s="5"/>
    </row>
    <row r="2168" spans="1:9" ht="17.399999999999999" x14ac:dyDescent="0.25">
      <c r="A2168" s="16"/>
      <c r="B2168" s="17"/>
      <c r="C2168" s="2" t="b">
        <v>0</v>
      </c>
      <c r="D2168" s="2"/>
      <c r="E2168" s="2"/>
      <c r="F2168" s="2"/>
      <c r="G2168" s="2"/>
      <c r="H2168" s="2"/>
      <c r="I2168" s="5"/>
    </row>
    <row r="2169" spans="1:9" ht="17.399999999999999" x14ac:dyDescent="0.25">
      <c r="A2169" s="16"/>
      <c r="B2169" s="17"/>
      <c r="C2169" s="2" t="b">
        <v>0</v>
      </c>
      <c r="D2169" s="2"/>
      <c r="E2169" s="2"/>
      <c r="F2169" s="2"/>
      <c r="G2169" s="2"/>
      <c r="H2169" s="2"/>
      <c r="I2169" s="5"/>
    </row>
    <row r="2170" spans="1:9" ht="17.399999999999999" x14ac:dyDescent="0.25">
      <c r="A2170" s="16"/>
      <c r="B2170" s="17"/>
      <c r="C2170" s="2" t="b">
        <v>0</v>
      </c>
      <c r="D2170" s="2"/>
      <c r="E2170" s="2"/>
      <c r="F2170" s="2"/>
      <c r="G2170" s="2"/>
      <c r="H2170" s="2"/>
      <c r="I2170" s="5"/>
    </row>
    <row r="2171" spans="1:9" ht="17.399999999999999" x14ac:dyDescent="0.25">
      <c r="A2171" s="16"/>
      <c r="B2171" s="17"/>
      <c r="C2171" s="2" t="b">
        <v>0</v>
      </c>
      <c r="D2171" s="2"/>
      <c r="E2171" s="2"/>
      <c r="F2171" s="2"/>
      <c r="G2171" s="2"/>
      <c r="H2171" s="2"/>
      <c r="I2171" s="5"/>
    </row>
    <row r="2172" spans="1:9" ht="17.399999999999999" x14ac:dyDescent="0.25">
      <c r="A2172" s="16"/>
      <c r="B2172" s="17"/>
      <c r="C2172" s="2" t="b">
        <v>0</v>
      </c>
      <c r="D2172" s="2"/>
      <c r="E2172" s="2"/>
      <c r="F2172" s="2"/>
      <c r="G2172" s="2"/>
      <c r="H2172" s="2"/>
      <c r="I2172" s="5"/>
    </row>
    <row r="2173" spans="1:9" ht="17.399999999999999" x14ac:dyDescent="0.25">
      <c r="A2173" s="16"/>
      <c r="B2173" s="17"/>
      <c r="C2173" s="2" t="b">
        <v>0</v>
      </c>
      <c r="D2173" s="2"/>
      <c r="E2173" s="2"/>
      <c r="F2173" s="2"/>
      <c r="G2173" s="2"/>
      <c r="H2173" s="2"/>
      <c r="I2173" s="5"/>
    </row>
    <row r="2174" spans="1:9" ht="17.399999999999999" x14ac:dyDescent="0.25">
      <c r="A2174" s="16"/>
      <c r="B2174" s="17"/>
      <c r="C2174" s="2" t="b">
        <v>0</v>
      </c>
      <c r="D2174" s="2"/>
      <c r="E2174" s="2"/>
      <c r="F2174" s="2"/>
      <c r="G2174" s="2"/>
      <c r="H2174" s="2"/>
      <c r="I2174" s="5"/>
    </row>
    <row r="2175" spans="1:9" ht="17.399999999999999" x14ac:dyDescent="0.25">
      <c r="A2175" s="16"/>
      <c r="B2175" s="17"/>
      <c r="C2175" s="2" t="b">
        <v>0</v>
      </c>
      <c r="D2175" s="2"/>
      <c r="E2175" s="2"/>
      <c r="F2175" s="2"/>
      <c r="G2175" s="2"/>
      <c r="H2175" s="2"/>
      <c r="I2175" s="5"/>
    </row>
    <row r="2176" spans="1:9" ht="17.399999999999999" x14ac:dyDescent="0.25">
      <c r="A2176" s="16"/>
      <c r="B2176" s="17"/>
      <c r="C2176" s="2" t="b">
        <v>0</v>
      </c>
      <c r="D2176" s="2"/>
      <c r="E2176" s="2"/>
      <c r="F2176" s="2"/>
      <c r="G2176" s="2"/>
      <c r="H2176" s="2"/>
      <c r="I2176" s="5"/>
    </row>
    <row r="2177" spans="1:9" ht="17.399999999999999" x14ac:dyDescent="0.25">
      <c r="A2177" s="16"/>
      <c r="B2177" s="17"/>
      <c r="C2177" s="2" t="b">
        <v>0</v>
      </c>
      <c r="D2177" s="2"/>
      <c r="E2177" s="2"/>
      <c r="F2177" s="2"/>
      <c r="G2177" s="2"/>
      <c r="H2177" s="2"/>
      <c r="I2177" s="5"/>
    </row>
    <row r="2178" spans="1:9" ht="17.399999999999999" x14ac:dyDescent="0.25">
      <c r="A2178" s="16"/>
      <c r="B2178" s="17"/>
      <c r="C2178" s="2" t="b">
        <v>0</v>
      </c>
      <c r="D2178" s="2"/>
      <c r="E2178" s="2"/>
      <c r="F2178" s="2"/>
      <c r="G2178" s="2"/>
      <c r="H2178" s="2"/>
      <c r="I2178" s="5"/>
    </row>
    <row r="2179" spans="1:9" ht="17.399999999999999" x14ac:dyDescent="0.25">
      <c r="A2179" s="16"/>
      <c r="B2179" s="17"/>
      <c r="C2179" s="2" t="b">
        <v>0</v>
      </c>
      <c r="D2179" s="2"/>
      <c r="E2179" s="2"/>
      <c r="F2179" s="2"/>
      <c r="G2179" s="2"/>
      <c r="H2179" s="2"/>
      <c r="I2179" s="5"/>
    </row>
    <row r="2180" spans="1:9" ht="17.399999999999999" x14ac:dyDescent="0.25">
      <c r="A2180" s="16"/>
      <c r="B2180" s="17"/>
      <c r="C2180" s="2" t="b">
        <v>0</v>
      </c>
      <c r="D2180" s="2"/>
      <c r="E2180" s="2"/>
      <c r="F2180" s="2"/>
      <c r="G2180" s="2"/>
      <c r="H2180" s="2"/>
      <c r="I2180" s="5"/>
    </row>
    <row r="2181" spans="1:9" ht="17.399999999999999" x14ac:dyDescent="0.25">
      <c r="A2181" s="16"/>
      <c r="B2181" s="17"/>
      <c r="C2181" s="2" t="b">
        <v>0</v>
      </c>
      <c r="D2181" s="2"/>
      <c r="E2181" s="2"/>
      <c r="F2181" s="2"/>
      <c r="G2181" s="2"/>
      <c r="H2181" s="2"/>
      <c r="I2181" s="5"/>
    </row>
    <row r="2182" spans="1:9" ht="17.399999999999999" x14ac:dyDescent="0.25">
      <c r="A2182" s="16"/>
      <c r="B2182" s="17"/>
      <c r="C2182" s="2" t="b">
        <v>0</v>
      </c>
      <c r="D2182" s="2"/>
      <c r="E2182" s="2"/>
      <c r="F2182" s="2"/>
      <c r="G2182" s="2"/>
      <c r="H2182" s="2"/>
      <c r="I2182" s="5"/>
    </row>
    <row r="2183" spans="1:9" ht="17.399999999999999" x14ac:dyDescent="0.25">
      <c r="A2183" s="16"/>
      <c r="B2183" s="17"/>
      <c r="C2183" s="2" t="b">
        <v>0</v>
      </c>
      <c r="D2183" s="2"/>
      <c r="E2183" s="2"/>
      <c r="F2183" s="2"/>
      <c r="G2183" s="2"/>
      <c r="H2183" s="2"/>
      <c r="I2183" s="5"/>
    </row>
    <row r="2184" spans="1:9" ht="17.399999999999999" x14ac:dyDescent="0.25">
      <c r="A2184" s="16"/>
      <c r="B2184" s="17"/>
      <c r="C2184" s="2" t="b">
        <v>0</v>
      </c>
      <c r="D2184" s="2"/>
      <c r="E2184" s="2"/>
      <c r="F2184" s="2"/>
      <c r="G2184" s="2"/>
      <c r="H2184" s="2"/>
      <c r="I2184" s="5"/>
    </row>
    <row r="2185" spans="1:9" ht="17.399999999999999" x14ac:dyDescent="0.25">
      <c r="A2185" s="16"/>
      <c r="B2185" s="17"/>
      <c r="C2185" s="2" t="b">
        <v>0</v>
      </c>
      <c r="D2185" s="2"/>
      <c r="E2185" s="2"/>
      <c r="F2185" s="2"/>
      <c r="G2185" s="2"/>
      <c r="H2185" s="2"/>
      <c r="I2185" s="5"/>
    </row>
    <row r="2186" spans="1:9" ht="17.399999999999999" x14ac:dyDescent="0.25">
      <c r="A2186" s="16"/>
      <c r="B2186" s="17"/>
      <c r="C2186" s="2" t="b">
        <v>0</v>
      </c>
      <c r="D2186" s="2"/>
      <c r="E2186" s="2"/>
      <c r="F2186" s="2"/>
      <c r="G2186" s="2"/>
      <c r="H2186" s="2"/>
      <c r="I2186" s="5"/>
    </row>
    <row r="2187" spans="1:9" ht="17.399999999999999" x14ac:dyDescent="0.25">
      <c r="A2187" s="16"/>
      <c r="B2187" s="17"/>
      <c r="C2187" s="2" t="b">
        <v>0</v>
      </c>
      <c r="D2187" s="2"/>
      <c r="E2187" s="2"/>
      <c r="F2187" s="2"/>
      <c r="G2187" s="2"/>
      <c r="H2187" s="2"/>
      <c r="I2187" s="5"/>
    </row>
    <row r="2188" spans="1:9" ht="17.399999999999999" x14ac:dyDescent="0.25">
      <c r="A2188" s="16"/>
      <c r="B2188" s="17"/>
      <c r="C2188" s="2" t="b">
        <v>0</v>
      </c>
      <c r="D2188" s="2"/>
      <c r="E2188" s="2"/>
      <c r="F2188" s="2"/>
      <c r="G2188" s="2"/>
      <c r="H2188" s="2"/>
      <c r="I2188" s="5"/>
    </row>
    <row r="2189" spans="1:9" ht="17.399999999999999" x14ac:dyDescent="0.25">
      <c r="A2189" s="16"/>
      <c r="B2189" s="17"/>
      <c r="C2189" s="2" t="b">
        <v>0</v>
      </c>
      <c r="D2189" s="2"/>
      <c r="E2189" s="2"/>
      <c r="F2189" s="2"/>
      <c r="G2189" s="2"/>
      <c r="H2189" s="2"/>
      <c r="I2189" s="5"/>
    </row>
    <row r="2190" spans="1:9" ht="17.399999999999999" x14ac:dyDescent="0.25">
      <c r="A2190" s="16"/>
      <c r="B2190" s="17"/>
      <c r="C2190" s="2" t="b">
        <v>0</v>
      </c>
      <c r="D2190" s="2"/>
      <c r="E2190" s="2"/>
      <c r="F2190" s="2"/>
      <c r="G2190" s="2"/>
      <c r="H2190" s="2"/>
      <c r="I2190" s="5"/>
    </row>
    <row r="2191" spans="1:9" ht="17.399999999999999" x14ac:dyDescent="0.25">
      <c r="A2191" s="16"/>
      <c r="B2191" s="17"/>
      <c r="C2191" s="2" t="b">
        <v>0</v>
      </c>
      <c r="D2191" s="2"/>
      <c r="E2191" s="2"/>
      <c r="F2191" s="2"/>
      <c r="G2191" s="2"/>
      <c r="H2191" s="2"/>
      <c r="I2191" s="5"/>
    </row>
    <row r="2192" spans="1:9" ht="17.399999999999999" x14ac:dyDescent="0.25">
      <c r="A2192" s="16"/>
      <c r="B2192" s="17"/>
      <c r="C2192" s="2" t="b">
        <v>0</v>
      </c>
      <c r="D2192" s="2"/>
      <c r="E2192" s="2"/>
      <c r="F2192" s="2"/>
      <c r="G2192" s="2"/>
      <c r="H2192" s="2"/>
      <c r="I2192" s="5"/>
    </row>
    <row r="2193" spans="1:9" ht="17.399999999999999" x14ac:dyDescent="0.25">
      <c r="A2193" s="16"/>
      <c r="B2193" s="17"/>
      <c r="C2193" s="2" t="b">
        <v>0</v>
      </c>
      <c r="D2193" s="2"/>
      <c r="E2193" s="2"/>
      <c r="F2193" s="2"/>
      <c r="G2193" s="2"/>
      <c r="H2193" s="2"/>
      <c r="I2193" s="5"/>
    </row>
    <row r="2194" spans="1:9" ht="17.399999999999999" x14ac:dyDescent="0.25">
      <c r="A2194" s="16"/>
      <c r="B2194" s="17"/>
      <c r="C2194" s="2" t="b">
        <v>0</v>
      </c>
      <c r="D2194" s="2"/>
      <c r="E2194" s="2"/>
      <c r="F2194" s="2"/>
      <c r="G2194" s="2"/>
      <c r="H2194" s="2"/>
      <c r="I2194" s="5"/>
    </row>
    <row r="2195" spans="1:9" ht="17.399999999999999" x14ac:dyDescent="0.25">
      <c r="A2195" s="16"/>
      <c r="B2195" s="17"/>
      <c r="C2195" s="2" t="b">
        <v>0</v>
      </c>
      <c r="D2195" s="2"/>
      <c r="E2195" s="2"/>
      <c r="F2195" s="2"/>
      <c r="G2195" s="2"/>
      <c r="H2195" s="2"/>
      <c r="I2195" s="5"/>
    </row>
    <row r="2196" spans="1:9" ht="17.399999999999999" x14ac:dyDescent="0.25">
      <c r="A2196" s="16"/>
      <c r="B2196" s="17"/>
      <c r="C2196" s="2" t="b">
        <v>0</v>
      </c>
      <c r="D2196" s="2"/>
      <c r="E2196" s="2"/>
      <c r="F2196" s="2"/>
      <c r="G2196" s="2"/>
      <c r="H2196" s="2"/>
      <c r="I2196" s="5"/>
    </row>
    <row r="2197" spans="1:9" ht="17.399999999999999" x14ac:dyDescent="0.25">
      <c r="A2197" s="16"/>
      <c r="B2197" s="17"/>
      <c r="C2197" s="2" t="b">
        <v>0</v>
      </c>
      <c r="D2197" s="2"/>
      <c r="E2197" s="2"/>
      <c r="F2197" s="2"/>
      <c r="G2197" s="2"/>
      <c r="H2197" s="2"/>
      <c r="I2197" s="5"/>
    </row>
    <row r="2198" spans="1:9" ht="17.399999999999999" x14ac:dyDescent="0.25">
      <c r="A2198" s="16"/>
      <c r="B2198" s="17"/>
      <c r="C2198" s="2" t="b">
        <v>0</v>
      </c>
      <c r="D2198" s="2"/>
      <c r="E2198" s="2"/>
      <c r="F2198" s="2"/>
      <c r="G2198" s="2"/>
      <c r="H2198" s="2"/>
      <c r="I2198" s="5"/>
    </row>
    <row r="2199" spans="1:9" ht="17.399999999999999" x14ac:dyDescent="0.25">
      <c r="A2199" s="16"/>
      <c r="B2199" s="17"/>
      <c r="C2199" s="2" t="b">
        <v>0</v>
      </c>
      <c r="D2199" s="2"/>
      <c r="E2199" s="2"/>
      <c r="F2199" s="2"/>
      <c r="G2199" s="2"/>
      <c r="H2199" s="2"/>
      <c r="I2199" s="5"/>
    </row>
    <row r="2200" spans="1:9" ht="17.399999999999999" x14ac:dyDescent="0.25">
      <c r="A2200" s="16"/>
      <c r="B2200" s="17"/>
      <c r="C2200" s="2" t="b">
        <v>0</v>
      </c>
      <c r="D2200" s="2"/>
      <c r="E2200" s="2"/>
      <c r="F2200" s="2"/>
      <c r="G2200" s="2"/>
      <c r="H2200" s="2"/>
      <c r="I2200" s="5"/>
    </row>
    <row r="2201" spans="1:9" ht="17.399999999999999" x14ac:dyDescent="0.25">
      <c r="A2201" s="16"/>
      <c r="B2201" s="17"/>
      <c r="C2201" s="2" t="b">
        <v>0</v>
      </c>
      <c r="D2201" s="2"/>
      <c r="E2201" s="2"/>
      <c r="F2201" s="2"/>
      <c r="G2201" s="2"/>
      <c r="H2201" s="2"/>
      <c r="I2201" s="5"/>
    </row>
    <row r="2202" spans="1:9" ht="17.399999999999999" x14ac:dyDescent="0.25">
      <c r="A2202" s="16"/>
      <c r="B2202" s="17"/>
      <c r="C2202" s="2" t="b">
        <v>0</v>
      </c>
      <c r="D2202" s="2"/>
      <c r="E2202" s="2"/>
      <c r="F2202" s="2"/>
      <c r="G2202" s="2"/>
      <c r="H2202" s="2"/>
      <c r="I2202" s="5"/>
    </row>
    <row r="2203" spans="1:9" ht="17.399999999999999" x14ac:dyDescent="0.25">
      <c r="A2203" s="16"/>
      <c r="B2203" s="17"/>
      <c r="C2203" s="2" t="b">
        <v>0</v>
      </c>
      <c r="D2203" s="2"/>
      <c r="E2203" s="2"/>
      <c r="F2203" s="2"/>
      <c r="G2203" s="2"/>
      <c r="H2203" s="2"/>
      <c r="I2203" s="5"/>
    </row>
    <row r="2204" spans="1:9" ht="17.399999999999999" x14ac:dyDescent="0.25">
      <c r="A2204" s="16"/>
      <c r="B2204" s="17"/>
      <c r="C2204" s="2" t="b">
        <v>0</v>
      </c>
      <c r="D2204" s="2"/>
      <c r="E2204" s="2"/>
      <c r="F2204" s="2"/>
      <c r="G2204" s="2"/>
      <c r="H2204" s="2"/>
      <c r="I2204" s="5"/>
    </row>
    <row r="2205" spans="1:9" ht="17.399999999999999" x14ac:dyDescent="0.25">
      <c r="A2205" s="16"/>
      <c r="B2205" s="17"/>
      <c r="C2205" s="2" t="b">
        <v>0</v>
      </c>
      <c r="D2205" s="2"/>
      <c r="E2205" s="2"/>
      <c r="F2205" s="2"/>
      <c r="G2205" s="2"/>
      <c r="H2205" s="2"/>
      <c r="I2205" s="5"/>
    </row>
    <row r="2206" spans="1:9" ht="17.399999999999999" x14ac:dyDescent="0.25">
      <c r="A2206" s="16"/>
      <c r="B2206" s="17"/>
      <c r="C2206" s="2" t="b">
        <v>0</v>
      </c>
      <c r="D2206" s="2"/>
      <c r="E2206" s="2"/>
      <c r="F2206" s="2"/>
      <c r="G2206" s="2"/>
      <c r="H2206" s="2"/>
      <c r="I2206" s="5"/>
    </row>
    <row r="2207" spans="1:9" ht="17.399999999999999" x14ac:dyDescent="0.25">
      <c r="A2207" s="16"/>
      <c r="B2207" s="17"/>
      <c r="C2207" s="2" t="b">
        <v>0</v>
      </c>
      <c r="D2207" s="2"/>
      <c r="E2207" s="2"/>
      <c r="F2207" s="2"/>
      <c r="G2207" s="2"/>
      <c r="H2207" s="2"/>
      <c r="I2207" s="5"/>
    </row>
    <row r="2208" spans="1:9" ht="17.399999999999999" x14ac:dyDescent="0.25">
      <c r="A2208" s="16"/>
      <c r="B2208" s="17"/>
      <c r="C2208" s="2" t="b">
        <v>0</v>
      </c>
      <c r="D2208" s="2"/>
      <c r="E2208" s="2"/>
      <c r="F2208" s="2"/>
      <c r="G2208" s="2"/>
      <c r="H2208" s="2"/>
      <c r="I2208" s="5"/>
    </row>
    <row r="2209" spans="1:9" ht="17.399999999999999" x14ac:dyDescent="0.25">
      <c r="A2209" s="16"/>
      <c r="B2209" s="17"/>
      <c r="C2209" s="2" t="b">
        <v>0</v>
      </c>
      <c r="D2209" s="2"/>
      <c r="E2209" s="2"/>
      <c r="F2209" s="2"/>
      <c r="G2209" s="2"/>
      <c r="H2209" s="2"/>
      <c r="I2209" s="5"/>
    </row>
    <row r="2210" spans="1:9" ht="17.399999999999999" x14ac:dyDescent="0.25">
      <c r="A2210" s="16"/>
      <c r="B2210" s="17"/>
      <c r="C2210" s="2" t="b">
        <v>0</v>
      </c>
      <c r="D2210" s="2"/>
      <c r="E2210" s="2"/>
      <c r="F2210" s="2"/>
      <c r="G2210" s="2"/>
      <c r="H2210" s="2"/>
      <c r="I2210" s="5"/>
    </row>
    <row r="2211" spans="1:9" ht="17.399999999999999" x14ac:dyDescent="0.25">
      <c r="A2211" s="16"/>
      <c r="B2211" s="17"/>
      <c r="C2211" s="2" t="b">
        <v>0</v>
      </c>
      <c r="D2211" s="2"/>
      <c r="E2211" s="2"/>
      <c r="F2211" s="2"/>
      <c r="G2211" s="2"/>
      <c r="H2211" s="2"/>
      <c r="I2211" s="5"/>
    </row>
    <row r="2212" spans="1:9" ht="17.399999999999999" x14ac:dyDescent="0.25">
      <c r="A2212" s="16"/>
      <c r="B2212" s="17"/>
      <c r="C2212" s="2" t="b">
        <v>0</v>
      </c>
      <c r="D2212" s="2"/>
      <c r="E2212" s="2"/>
      <c r="F2212" s="2"/>
      <c r="G2212" s="2"/>
      <c r="H2212" s="2"/>
      <c r="I2212" s="5"/>
    </row>
    <row r="2213" spans="1:9" ht="17.399999999999999" x14ac:dyDescent="0.25">
      <c r="A2213" s="16"/>
      <c r="B2213" s="17"/>
      <c r="C2213" s="2" t="b">
        <v>0</v>
      </c>
      <c r="D2213" s="2"/>
      <c r="E2213" s="2"/>
      <c r="F2213" s="2"/>
      <c r="G2213" s="2"/>
      <c r="H2213" s="2"/>
      <c r="I2213" s="5"/>
    </row>
    <row r="2214" spans="1:9" ht="17.399999999999999" x14ac:dyDescent="0.25">
      <c r="A2214" s="16"/>
      <c r="B2214" s="17"/>
      <c r="C2214" s="2" t="b">
        <v>0</v>
      </c>
      <c r="D2214" s="2"/>
      <c r="E2214" s="2"/>
      <c r="F2214" s="2"/>
      <c r="G2214" s="2"/>
      <c r="H2214" s="2"/>
      <c r="I2214" s="5"/>
    </row>
    <row r="2215" spans="1:9" ht="17.399999999999999" x14ac:dyDescent="0.25">
      <c r="A2215" s="16"/>
      <c r="B2215" s="17"/>
      <c r="C2215" s="2" t="b">
        <v>0</v>
      </c>
      <c r="D2215" s="2"/>
      <c r="E2215" s="2"/>
      <c r="F2215" s="2"/>
      <c r="G2215" s="2"/>
      <c r="H2215" s="2"/>
      <c r="I2215" s="5"/>
    </row>
    <row r="2216" spans="1:9" ht="17.399999999999999" x14ac:dyDescent="0.25">
      <c r="A2216" s="16"/>
      <c r="B2216" s="17"/>
      <c r="C2216" s="2" t="b">
        <v>0</v>
      </c>
      <c r="D2216" s="2"/>
      <c r="E2216" s="2"/>
      <c r="F2216" s="2"/>
      <c r="G2216" s="2"/>
      <c r="H2216" s="2"/>
      <c r="I2216" s="5"/>
    </row>
    <row r="2217" spans="1:9" ht="17.399999999999999" x14ac:dyDescent="0.25">
      <c r="A2217" s="16"/>
      <c r="B2217" s="17"/>
      <c r="C2217" s="2" t="b">
        <v>0</v>
      </c>
      <c r="D2217" s="2"/>
      <c r="E2217" s="2"/>
      <c r="F2217" s="2"/>
      <c r="G2217" s="2"/>
      <c r="H2217" s="2"/>
      <c r="I2217" s="5"/>
    </row>
    <row r="2218" spans="1:9" ht="17.399999999999999" x14ac:dyDescent="0.25">
      <c r="A2218" s="16"/>
      <c r="B2218" s="17"/>
      <c r="C2218" s="2" t="b">
        <v>0</v>
      </c>
      <c r="D2218" s="2"/>
      <c r="E2218" s="2"/>
      <c r="F2218" s="2"/>
      <c r="G2218" s="2"/>
      <c r="H2218" s="2"/>
      <c r="I2218" s="5"/>
    </row>
    <row r="2219" spans="1:9" ht="17.399999999999999" x14ac:dyDescent="0.25">
      <c r="A2219" s="16"/>
      <c r="B2219" s="17"/>
      <c r="C2219" s="2" t="b">
        <v>0</v>
      </c>
      <c r="D2219" s="2"/>
      <c r="E2219" s="2"/>
      <c r="F2219" s="2"/>
      <c r="G2219" s="2"/>
      <c r="H2219" s="2"/>
      <c r="I2219" s="5"/>
    </row>
    <row r="2220" spans="1:9" ht="17.399999999999999" x14ac:dyDescent="0.25">
      <c r="A2220" s="16"/>
      <c r="B2220" s="17"/>
      <c r="C2220" s="2" t="b">
        <v>0</v>
      </c>
      <c r="D2220" s="2"/>
      <c r="E2220" s="2"/>
      <c r="F2220" s="2"/>
      <c r="G2220" s="2"/>
      <c r="H2220" s="2"/>
      <c r="I2220" s="5"/>
    </row>
    <row r="2221" spans="1:9" ht="17.399999999999999" x14ac:dyDescent="0.25">
      <c r="A2221" s="16"/>
      <c r="B2221" s="17"/>
      <c r="C2221" s="2" t="b">
        <v>0</v>
      </c>
      <c r="D2221" s="2"/>
      <c r="E2221" s="2"/>
      <c r="F2221" s="2"/>
      <c r="G2221" s="2"/>
      <c r="H2221" s="2"/>
      <c r="I2221" s="5"/>
    </row>
    <row r="2222" spans="1:9" ht="17.399999999999999" x14ac:dyDescent="0.25">
      <c r="A2222" s="16"/>
      <c r="B2222" s="17"/>
      <c r="C2222" s="2" t="b">
        <v>0</v>
      </c>
      <c r="D2222" s="2"/>
      <c r="E2222" s="2"/>
      <c r="F2222" s="2"/>
      <c r="G2222" s="2"/>
      <c r="H2222" s="2"/>
      <c r="I2222" s="5"/>
    </row>
    <row r="2223" spans="1:9" ht="17.399999999999999" x14ac:dyDescent="0.25">
      <c r="A2223" s="16"/>
      <c r="B2223" s="17"/>
      <c r="C2223" s="2" t="b">
        <v>0</v>
      </c>
      <c r="D2223" s="2"/>
      <c r="E2223" s="2"/>
      <c r="F2223" s="2"/>
      <c r="G2223" s="2"/>
      <c r="H2223" s="2"/>
      <c r="I2223" s="5"/>
    </row>
    <row r="2224" spans="1:9" ht="17.399999999999999" x14ac:dyDescent="0.25">
      <c r="A2224" s="16"/>
      <c r="B2224" s="17"/>
      <c r="C2224" s="2" t="b">
        <v>0</v>
      </c>
      <c r="D2224" s="2"/>
      <c r="E2224" s="2"/>
      <c r="F2224" s="2"/>
      <c r="G2224" s="2"/>
      <c r="H2224" s="2"/>
      <c r="I2224" s="5"/>
    </row>
    <row r="2225" spans="1:9" ht="17.399999999999999" x14ac:dyDescent="0.25">
      <c r="A2225" s="16"/>
      <c r="B2225" s="17"/>
      <c r="C2225" s="2" t="b">
        <v>0</v>
      </c>
      <c r="D2225" s="2"/>
      <c r="E2225" s="2"/>
      <c r="F2225" s="2"/>
      <c r="G2225" s="2"/>
      <c r="H2225" s="2"/>
      <c r="I2225" s="5"/>
    </row>
    <row r="2226" spans="1:9" ht="17.399999999999999" x14ac:dyDescent="0.25">
      <c r="A2226" s="16"/>
      <c r="B2226" s="17"/>
      <c r="C2226" s="2" t="b">
        <v>0</v>
      </c>
      <c r="D2226" s="2"/>
      <c r="E2226" s="2"/>
      <c r="F2226" s="2"/>
      <c r="G2226" s="2"/>
      <c r="H2226" s="2"/>
      <c r="I2226" s="5"/>
    </row>
    <row r="2227" spans="1:9" ht="17.399999999999999" x14ac:dyDescent="0.25">
      <c r="A2227" s="16"/>
      <c r="B2227" s="17"/>
      <c r="C2227" s="2" t="b">
        <v>0</v>
      </c>
      <c r="D2227" s="2"/>
      <c r="E2227" s="2"/>
      <c r="F2227" s="2"/>
      <c r="G2227" s="2"/>
      <c r="H2227" s="2"/>
      <c r="I2227" s="5"/>
    </row>
    <row r="2228" spans="1:9" ht="17.399999999999999" x14ac:dyDescent="0.25">
      <c r="A2228" s="16"/>
      <c r="B2228" s="17"/>
      <c r="C2228" s="2" t="b">
        <v>0</v>
      </c>
      <c r="D2228" s="2"/>
      <c r="E2228" s="2"/>
      <c r="F2228" s="2"/>
      <c r="G2228" s="2"/>
      <c r="H2228" s="2"/>
      <c r="I2228" s="5"/>
    </row>
    <row r="2229" spans="1:9" ht="17.399999999999999" x14ac:dyDescent="0.25">
      <c r="A2229" s="16"/>
      <c r="B2229" s="17"/>
      <c r="C2229" s="2" t="b">
        <v>0</v>
      </c>
      <c r="D2229" s="2"/>
      <c r="E2229" s="2"/>
      <c r="F2229" s="2"/>
      <c r="G2229" s="2"/>
      <c r="H2229" s="2"/>
      <c r="I2229" s="5"/>
    </row>
    <row r="2230" spans="1:9" ht="17.399999999999999" x14ac:dyDescent="0.25">
      <c r="A2230" s="16"/>
      <c r="B2230" s="17"/>
      <c r="C2230" s="2" t="b">
        <v>0</v>
      </c>
      <c r="D2230" s="2"/>
      <c r="E2230" s="2"/>
      <c r="F2230" s="2"/>
      <c r="G2230" s="2"/>
      <c r="H2230" s="2"/>
      <c r="I2230" s="5"/>
    </row>
    <row r="2231" spans="1:9" ht="17.399999999999999" x14ac:dyDescent="0.25">
      <c r="A2231" s="16"/>
      <c r="B2231" s="17"/>
      <c r="C2231" s="2" t="b">
        <v>0</v>
      </c>
      <c r="D2231" s="2"/>
      <c r="E2231" s="2"/>
      <c r="F2231" s="2"/>
      <c r="G2231" s="2"/>
      <c r="H2231" s="2"/>
      <c r="I2231" s="5"/>
    </row>
    <row r="2232" spans="1:9" ht="17.399999999999999" x14ac:dyDescent="0.25">
      <c r="A2232" s="16"/>
      <c r="B2232" s="17"/>
      <c r="C2232" s="2" t="b">
        <v>0</v>
      </c>
      <c r="D2232" s="2"/>
      <c r="E2232" s="2"/>
      <c r="F2232" s="2"/>
      <c r="G2232" s="2"/>
      <c r="H2232" s="2"/>
      <c r="I2232" s="5"/>
    </row>
    <row r="2233" spans="1:9" ht="17.399999999999999" x14ac:dyDescent="0.25">
      <c r="A2233" s="16"/>
      <c r="B2233" s="17"/>
      <c r="C2233" s="2" t="b">
        <v>0</v>
      </c>
      <c r="D2233" s="2"/>
      <c r="E2233" s="2"/>
      <c r="F2233" s="2"/>
      <c r="G2233" s="2"/>
      <c r="H2233" s="2"/>
      <c r="I2233" s="5"/>
    </row>
    <row r="2234" spans="1:9" ht="17.399999999999999" x14ac:dyDescent="0.25">
      <c r="A2234" s="16"/>
      <c r="B2234" s="17"/>
      <c r="C2234" s="2" t="b">
        <v>0</v>
      </c>
      <c r="D2234" s="2"/>
      <c r="E2234" s="2"/>
      <c r="F2234" s="2"/>
      <c r="G2234" s="2"/>
      <c r="H2234" s="2"/>
      <c r="I2234" s="5"/>
    </row>
    <row r="2235" spans="1:9" ht="17.399999999999999" x14ac:dyDescent="0.25">
      <c r="A2235" s="16"/>
      <c r="B2235" s="17"/>
      <c r="C2235" s="2" t="b">
        <v>0</v>
      </c>
      <c r="D2235" s="2"/>
      <c r="E2235" s="2"/>
      <c r="F2235" s="2"/>
      <c r="G2235" s="2"/>
      <c r="H2235" s="2"/>
      <c r="I2235" s="5"/>
    </row>
    <row r="2236" spans="1:9" ht="17.399999999999999" x14ac:dyDescent="0.25">
      <c r="A2236" s="16"/>
      <c r="B2236" s="17"/>
      <c r="C2236" s="2" t="b">
        <v>0</v>
      </c>
      <c r="D2236" s="2"/>
      <c r="E2236" s="2"/>
      <c r="F2236" s="2"/>
      <c r="G2236" s="2"/>
      <c r="H2236" s="2"/>
      <c r="I2236" s="5"/>
    </row>
    <row r="2237" spans="1:9" ht="17.399999999999999" x14ac:dyDescent="0.25">
      <c r="A2237" s="16"/>
      <c r="B2237" s="17"/>
      <c r="C2237" s="2" t="b">
        <v>0</v>
      </c>
      <c r="D2237" s="2"/>
      <c r="E2237" s="2"/>
      <c r="F2237" s="2"/>
      <c r="G2237" s="2"/>
      <c r="H2237" s="2"/>
      <c r="I2237" s="5"/>
    </row>
    <row r="2238" spans="1:9" ht="17.399999999999999" x14ac:dyDescent="0.25">
      <c r="A2238" s="16"/>
      <c r="B2238" s="17"/>
      <c r="C2238" s="2" t="b">
        <v>0</v>
      </c>
      <c r="D2238" s="2"/>
      <c r="E2238" s="2"/>
      <c r="F2238" s="2"/>
      <c r="G2238" s="2"/>
      <c r="H2238" s="2"/>
      <c r="I2238" s="5"/>
    </row>
    <row r="2239" spans="1:9" ht="17.399999999999999" x14ac:dyDescent="0.25">
      <c r="A2239" s="16"/>
      <c r="B2239" s="17"/>
      <c r="C2239" s="2" t="b">
        <v>0</v>
      </c>
      <c r="D2239" s="2"/>
      <c r="E2239" s="2"/>
      <c r="F2239" s="2"/>
      <c r="G2239" s="2"/>
      <c r="H2239" s="2"/>
      <c r="I2239" s="5"/>
    </row>
    <row r="2240" spans="1:9" ht="17.399999999999999" x14ac:dyDescent="0.25">
      <c r="A2240" s="16"/>
      <c r="B2240" s="17"/>
      <c r="C2240" s="2" t="b">
        <v>0</v>
      </c>
      <c r="D2240" s="2"/>
      <c r="E2240" s="2"/>
      <c r="F2240" s="2"/>
      <c r="G2240" s="2"/>
      <c r="H2240" s="2"/>
      <c r="I2240" s="5"/>
    </row>
    <row r="2241" spans="1:9" ht="17.399999999999999" x14ac:dyDescent="0.25">
      <c r="A2241" s="16"/>
      <c r="B2241" s="17"/>
      <c r="C2241" s="2" t="b">
        <v>0</v>
      </c>
      <c r="D2241" s="2"/>
      <c r="E2241" s="2"/>
      <c r="F2241" s="2"/>
      <c r="G2241" s="2"/>
      <c r="H2241" s="2"/>
      <c r="I2241" s="5"/>
    </row>
    <row r="2242" spans="1:9" ht="17.399999999999999" x14ac:dyDescent="0.25">
      <c r="A2242" s="16"/>
      <c r="B2242" s="17"/>
      <c r="C2242" s="2" t="b">
        <v>0</v>
      </c>
      <c r="D2242" s="2"/>
      <c r="E2242" s="2"/>
      <c r="F2242" s="2"/>
      <c r="G2242" s="2"/>
      <c r="H2242" s="2"/>
      <c r="I2242" s="5"/>
    </row>
    <row r="2243" spans="1:9" ht="17.399999999999999" x14ac:dyDescent="0.25">
      <c r="A2243" s="16"/>
      <c r="B2243" s="17"/>
      <c r="C2243" s="2" t="b">
        <v>0</v>
      </c>
      <c r="D2243" s="2"/>
      <c r="E2243" s="2"/>
      <c r="F2243" s="2"/>
      <c r="G2243" s="2"/>
      <c r="H2243" s="2"/>
      <c r="I2243" s="5"/>
    </row>
    <row r="2244" spans="1:9" ht="17.399999999999999" x14ac:dyDescent="0.25">
      <c r="A2244" s="16"/>
      <c r="B2244" s="17"/>
      <c r="C2244" s="2" t="b">
        <v>0</v>
      </c>
      <c r="D2244" s="2"/>
      <c r="E2244" s="2"/>
      <c r="F2244" s="2"/>
      <c r="G2244" s="2"/>
      <c r="H2244" s="2"/>
      <c r="I2244" s="5"/>
    </row>
    <row r="2245" spans="1:9" ht="17.399999999999999" x14ac:dyDescent="0.25">
      <c r="A2245" s="16"/>
      <c r="B2245" s="17"/>
      <c r="C2245" s="2" t="b">
        <v>0</v>
      </c>
      <c r="D2245" s="2"/>
      <c r="E2245" s="2"/>
      <c r="F2245" s="2"/>
      <c r="G2245" s="2"/>
      <c r="H2245" s="2"/>
      <c r="I2245" s="5"/>
    </row>
    <row r="2246" spans="1:9" ht="17.399999999999999" x14ac:dyDescent="0.25">
      <c r="A2246" s="16"/>
      <c r="B2246" s="17"/>
      <c r="C2246" s="2" t="b">
        <v>0</v>
      </c>
      <c r="D2246" s="2"/>
      <c r="E2246" s="2"/>
      <c r="F2246" s="2"/>
      <c r="G2246" s="2"/>
      <c r="H2246" s="2"/>
      <c r="I2246" s="5"/>
    </row>
    <row r="2247" spans="1:9" ht="17.399999999999999" x14ac:dyDescent="0.25">
      <c r="A2247" s="16"/>
      <c r="B2247" s="17"/>
      <c r="C2247" s="2" t="b">
        <v>0</v>
      </c>
      <c r="D2247" s="2"/>
      <c r="E2247" s="2"/>
      <c r="F2247" s="2"/>
      <c r="G2247" s="2"/>
      <c r="H2247" s="2"/>
      <c r="I2247" s="5"/>
    </row>
    <row r="2248" spans="1:9" ht="17.399999999999999" x14ac:dyDescent="0.25">
      <c r="A2248" s="16"/>
      <c r="B2248" s="17"/>
      <c r="C2248" s="2" t="b">
        <v>0</v>
      </c>
      <c r="D2248" s="2"/>
      <c r="E2248" s="2"/>
      <c r="F2248" s="2"/>
      <c r="G2248" s="2"/>
      <c r="H2248" s="2"/>
      <c r="I2248" s="5"/>
    </row>
    <row r="2249" spans="1:9" ht="17.399999999999999" x14ac:dyDescent="0.25">
      <c r="A2249" s="16"/>
      <c r="B2249" s="17"/>
      <c r="C2249" s="2" t="b">
        <v>0</v>
      </c>
      <c r="D2249" s="2"/>
      <c r="E2249" s="2"/>
      <c r="F2249" s="2"/>
      <c r="G2249" s="2"/>
      <c r="H2249" s="2"/>
      <c r="I2249" s="5"/>
    </row>
    <row r="2250" spans="1:9" ht="17.399999999999999" x14ac:dyDescent="0.25">
      <c r="A2250" s="16"/>
      <c r="B2250" s="17"/>
      <c r="C2250" s="2" t="b">
        <v>0</v>
      </c>
      <c r="D2250" s="2"/>
      <c r="E2250" s="2"/>
      <c r="F2250" s="2"/>
      <c r="G2250" s="2"/>
      <c r="H2250" s="2"/>
      <c r="I2250" s="5"/>
    </row>
    <row r="2251" spans="1:9" ht="17.399999999999999" x14ac:dyDescent="0.25">
      <c r="A2251" s="16"/>
      <c r="B2251" s="17"/>
      <c r="C2251" s="2" t="b">
        <v>0</v>
      </c>
      <c r="D2251" s="2"/>
      <c r="E2251" s="2"/>
      <c r="F2251" s="2"/>
      <c r="G2251" s="2"/>
      <c r="H2251" s="2"/>
      <c r="I2251" s="5"/>
    </row>
    <row r="2252" spans="1:9" ht="17.399999999999999" x14ac:dyDescent="0.25">
      <c r="A2252" s="16"/>
      <c r="B2252" s="17"/>
      <c r="C2252" s="2" t="b">
        <v>0</v>
      </c>
      <c r="D2252" s="2"/>
      <c r="E2252" s="2"/>
      <c r="F2252" s="2"/>
      <c r="G2252" s="2"/>
      <c r="H2252" s="2"/>
      <c r="I2252" s="5"/>
    </row>
    <row r="2253" spans="1:9" ht="17.399999999999999" x14ac:dyDescent="0.25">
      <c r="A2253" s="16"/>
      <c r="B2253" s="17"/>
      <c r="C2253" s="2" t="b">
        <v>0</v>
      </c>
      <c r="D2253" s="2"/>
      <c r="E2253" s="2"/>
      <c r="F2253" s="2"/>
      <c r="G2253" s="2"/>
      <c r="H2253" s="2"/>
      <c r="I2253" s="5"/>
    </row>
    <row r="2254" spans="1:9" ht="17.399999999999999" x14ac:dyDescent="0.25">
      <c r="A2254" s="16"/>
      <c r="B2254" s="17"/>
      <c r="C2254" s="2" t="b">
        <v>0</v>
      </c>
      <c r="D2254" s="2"/>
      <c r="E2254" s="2"/>
      <c r="F2254" s="2"/>
      <c r="G2254" s="2"/>
      <c r="H2254" s="2"/>
      <c r="I2254" s="5"/>
    </row>
    <row r="2255" spans="1:9" ht="17.399999999999999" x14ac:dyDescent="0.25">
      <c r="A2255" s="16"/>
      <c r="B2255" s="17"/>
      <c r="C2255" s="2" t="b">
        <v>0</v>
      </c>
      <c r="D2255" s="2"/>
      <c r="E2255" s="2"/>
      <c r="F2255" s="2"/>
      <c r="G2255" s="2"/>
      <c r="H2255" s="2"/>
      <c r="I2255" s="5"/>
    </row>
    <row r="2256" spans="1:9" ht="17.399999999999999" x14ac:dyDescent="0.25">
      <c r="A2256" s="16"/>
      <c r="B2256" s="17"/>
      <c r="C2256" s="2" t="b">
        <v>0</v>
      </c>
      <c r="D2256" s="2"/>
      <c r="E2256" s="2"/>
      <c r="F2256" s="2"/>
      <c r="G2256" s="2"/>
      <c r="H2256" s="2"/>
      <c r="I2256" s="5"/>
    </row>
    <row r="2257" spans="1:9" ht="17.399999999999999" x14ac:dyDescent="0.25">
      <c r="A2257" s="16"/>
      <c r="B2257" s="17"/>
      <c r="C2257" s="2" t="b">
        <v>0</v>
      </c>
      <c r="D2257" s="2"/>
      <c r="E2257" s="2"/>
      <c r="F2257" s="2"/>
      <c r="G2257" s="2"/>
      <c r="H2257" s="2"/>
      <c r="I2257" s="5"/>
    </row>
    <row r="2258" spans="1:9" ht="17.399999999999999" x14ac:dyDescent="0.25">
      <c r="A2258" s="16"/>
      <c r="B2258" s="17"/>
      <c r="C2258" s="2" t="b">
        <v>0</v>
      </c>
      <c r="D2258" s="2"/>
      <c r="E2258" s="2"/>
      <c r="F2258" s="2"/>
      <c r="G2258" s="2"/>
      <c r="H2258" s="2"/>
      <c r="I2258" s="5"/>
    </row>
    <row r="2259" spans="1:9" ht="17.399999999999999" x14ac:dyDescent="0.25">
      <c r="A2259" s="16"/>
      <c r="B2259" s="17"/>
      <c r="C2259" s="2" t="b">
        <v>0</v>
      </c>
      <c r="D2259" s="2"/>
      <c r="E2259" s="2"/>
      <c r="F2259" s="2"/>
      <c r="G2259" s="2"/>
      <c r="H2259" s="2"/>
      <c r="I2259" s="5"/>
    </row>
    <row r="2260" spans="1:9" ht="17.399999999999999" x14ac:dyDescent="0.25">
      <c r="A2260" s="16"/>
      <c r="B2260" s="17"/>
      <c r="C2260" s="2" t="b">
        <v>0</v>
      </c>
      <c r="D2260" s="2"/>
      <c r="E2260" s="2"/>
      <c r="F2260" s="2"/>
      <c r="G2260" s="2"/>
      <c r="H2260" s="2"/>
      <c r="I2260" s="5"/>
    </row>
    <row r="2261" spans="1:9" ht="17.399999999999999" x14ac:dyDescent="0.25">
      <c r="A2261" s="16"/>
      <c r="B2261" s="17"/>
      <c r="C2261" s="2" t="b">
        <v>0</v>
      </c>
      <c r="D2261" s="2"/>
      <c r="E2261" s="2"/>
      <c r="F2261" s="2"/>
      <c r="G2261" s="2"/>
      <c r="H2261" s="2"/>
      <c r="I2261" s="5"/>
    </row>
    <row r="2262" spans="1:9" ht="17.399999999999999" x14ac:dyDescent="0.25">
      <c r="A2262" s="16"/>
      <c r="B2262" s="17"/>
      <c r="C2262" s="2" t="b">
        <v>0</v>
      </c>
      <c r="D2262" s="2"/>
      <c r="E2262" s="2"/>
      <c r="F2262" s="2"/>
      <c r="G2262" s="2"/>
      <c r="H2262" s="2"/>
      <c r="I2262" s="5"/>
    </row>
    <row r="2263" spans="1:9" ht="17.399999999999999" x14ac:dyDescent="0.25">
      <c r="A2263" s="16"/>
      <c r="B2263" s="17"/>
      <c r="C2263" s="2" t="b">
        <v>0</v>
      </c>
      <c r="D2263" s="2"/>
      <c r="E2263" s="2"/>
      <c r="F2263" s="2"/>
      <c r="G2263" s="2"/>
      <c r="H2263" s="2"/>
      <c r="I2263" s="5"/>
    </row>
    <row r="2264" spans="1:9" ht="17.399999999999999" x14ac:dyDescent="0.25">
      <c r="A2264" s="16"/>
      <c r="B2264" s="17"/>
      <c r="C2264" s="2" t="b">
        <v>0</v>
      </c>
      <c r="D2264" s="2"/>
      <c r="E2264" s="2"/>
      <c r="F2264" s="2"/>
      <c r="G2264" s="2"/>
      <c r="H2264" s="2"/>
      <c r="I2264" s="5"/>
    </row>
    <row r="2265" spans="1:9" ht="17.399999999999999" x14ac:dyDescent="0.25">
      <c r="A2265" s="16"/>
      <c r="B2265" s="17"/>
      <c r="C2265" s="2" t="b">
        <v>0</v>
      </c>
      <c r="D2265" s="2"/>
      <c r="E2265" s="2"/>
      <c r="F2265" s="2"/>
      <c r="G2265" s="2"/>
      <c r="H2265" s="2"/>
      <c r="I2265" s="5"/>
    </row>
    <row r="2266" spans="1:9" ht="17.399999999999999" x14ac:dyDescent="0.25">
      <c r="A2266" s="16"/>
      <c r="B2266" s="17"/>
      <c r="C2266" s="2" t="b">
        <v>0</v>
      </c>
      <c r="D2266" s="2"/>
      <c r="E2266" s="2"/>
      <c r="F2266" s="2"/>
      <c r="G2266" s="2"/>
      <c r="H2266" s="2"/>
      <c r="I2266" s="5"/>
    </row>
    <row r="2267" spans="1:9" ht="17.399999999999999" x14ac:dyDescent="0.25">
      <c r="A2267" s="16"/>
      <c r="B2267" s="17"/>
      <c r="C2267" s="2" t="b">
        <v>0</v>
      </c>
      <c r="D2267" s="2"/>
      <c r="E2267" s="2"/>
      <c r="F2267" s="2"/>
      <c r="G2267" s="2"/>
      <c r="H2267" s="2"/>
      <c r="I2267" s="5"/>
    </row>
    <row r="2268" spans="1:9" ht="17.399999999999999" x14ac:dyDescent="0.25">
      <c r="A2268" s="16"/>
      <c r="B2268" s="17"/>
      <c r="C2268" s="2" t="b">
        <v>0</v>
      </c>
      <c r="D2268" s="2"/>
      <c r="E2268" s="2"/>
      <c r="F2268" s="2"/>
      <c r="G2268" s="2"/>
      <c r="H2268" s="2"/>
      <c r="I2268" s="5"/>
    </row>
    <row r="2269" spans="1:9" ht="17.399999999999999" x14ac:dyDescent="0.25">
      <c r="A2269" s="16"/>
      <c r="B2269" s="17"/>
      <c r="C2269" s="2" t="b">
        <v>0</v>
      </c>
      <c r="D2269" s="2"/>
      <c r="E2269" s="2"/>
      <c r="F2269" s="2"/>
      <c r="G2269" s="2"/>
      <c r="H2269" s="2"/>
      <c r="I2269" s="5"/>
    </row>
    <row r="2270" spans="1:9" ht="17.399999999999999" x14ac:dyDescent="0.25">
      <c r="A2270" s="16"/>
      <c r="B2270" s="17"/>
      <c r="C2270" s="2" t="b">
        <v>0</v>
      </c>
      <c r="D2270" s="2"/>
      <c r="E2270" s="2"/>
      <c r="F2270" s="2"/>
      <c r="G2270" s="2"/>
      <c r="H2270" s="2"/>
      <c r="I2270" s="5"/>
    </row>
    <row r="2271" spans="1:9" ht="17.399999999999999" x14ac:dyDescent="0.25">
      <c r="A2271" s="16"/>
      <c r="B2271" s="17"/>
      <c r="C2271" s="2" t="b">
        <v>0</v>
      </c>
      <c r="D2271" s="2"/>
      <c r="E2271" s="2"/>
      <c r="F2271" s="2"/>
      <c r="G2271" s="2"/>
      <c r="H2271" s="2"/>
      <c r="I2271" s="5"/>
    </row>
    <row r="2272" spans="1:9" ht="17.399999999999999" x14ac:dyDescent="0.25">
      <c r="A2272" s="16"/>
      <c r="B2272" s="17"/>
      <c r="C2272" s="2" t="b">
        <v>0</v>
      </c>
      <c r="D2272" s="2"/>
      <c r="E2272" s="2"/>
      <c r="F2272" s="2"/>
      <c r="G2272" s="2"/>
      <c r="H2272" s="2"/>
      <c r="I2272" s="5"/>
    </row>
    <row r="2273" spans="1:9" ht="17.399999999999999" x14ac:dyDescent="0.25">
      <c r="A2273" s="16"/>
      <c r="B2273" s="17"/>
      <c r="C2273" s="2" t="b">
        <v>0</v>
      </c>
      <c r="D2273" s="2"/>
      <c r="E2273" s="2"/>
      <c r="F2273" s="2"/>
      <c r="G2273" s="2"/>
      <c r="H2273" s="2"/>
      <c r="I2273" s="5"/>
    </row>
    <row r="2274" spans="1:9" ht="17.399999999999999" x14ac:dyDescent="0.25">
      <c r="A2274" s="16"/>
      <c r="B2274" s="17"/>
      <c r="C2274" s="2" t="b">
        <v>0</v>
      </c>
      <c r="D2274" s="2"/>
      <c r="E2274" s="2"/>
      <c r="F2274" s="2"/>
      <c r="G2274" s="2"/>
      <c r="H2274" s="2"/>
      <c r="I2274" s="5"/>
    </row>
    <row r="2275" spans="1:9" ht="17.399999999999999" x14ac:dyDescent="0.25">
      <c r="A2275" s="16"/>
      <c r="B2275" s="17"/>
      <c r="C2275" s="2" t="b">
        <v>0</v>
      </c>
      <c r="D2275" s="2"/>
      <c r="E2275" s="2"/>
      <c r="F2275" s="2"/>
      <c r="G2275" s="2"/>
      <c r="H2275" s="2"/>
      <c r="I2275" s="5"/>
    </row>
    <row r="2276" spans="1:9" ht="17.399999999999999" x14ac:dyDescent="0.25">
      <c r="A2276" s="16"/>
      <c r="B2276" s="17"/>
      <c r="C2276" s="2" t="b">
        <v>0</v>
      </c>
      <c r="D2276" s="2"/>
      <c r="E2276" s="2"/>
      <c r="F2276" s="2"/>
      <c r="G2276" s="2"/>
      <c r="H2276" s="2"/>
      <c r="I2276" s="5"/>
    </row>
    <row r="2277" spans="1:9" ht="17.399999999999999" x14ac:dyDescent="0.25">
      <c r="A2277" s="16"/>
      <c r="B2277" s="17"/>
      <c r="C2277" s="2" t="b">
        <v>0</v>
      </c>
      <c r="D2277" s="2"/>
      <c r="E2277" s="2"/>
      <c r="F2277" s="2"/>
      <c r="G2277" s="2"/>
      <c r="H2277" s="2"/>
      <c r="I2277" s="5"/>
    </row>
    <row r="2278" spans="1:9" ht="17.399999999999999" x14ac:dyDescent="0.25">
      <c r="A2278" s="16"/>
      <c r="B2278" s="17"/>
      <c r="C2278" s="2" t="b">
        <v>0</v>
      </c>
      <c r="D2278" s="2"/>
      <c r="E2278" s="2"/>
      <c r="F2278" s="2"/>
      <c r="G2278" s="2"/>
      <c r="H2278" s="2"/>
      <c r="I2278" s="5"/>
    </row>
    <row r="2279" spans="1:9" ht="17.399999999999999" x14ac:dyDescent="0.25">
      <c r="A2279" s="16"/>
      <c r="B2279" s="17"/>
      <c r="C2279" s="2" t="b">
        <v>0</v>
      </c>
      <c r="D2279" s="2"/>
      <c r="E2279" s="2"/>
      <c r="F2279" s="2"/>
      <c r="G2279" s="2"/>
      <c r="H2279" s="2"/>
      <c r="I2279" s="5"/>
    </row>
    <row r="2280" spans="1:9" ht="17.399999999999999" x14ac:dyDescent="0.25">
      <c r="A2280" s="16"/>
      <c r="B2280" s="17"/>
      <c r="C2280" s="2" t="b">
        <v>0</v>
      </c>
      <c r="D2280" s="2"/>
      <c r="E2280" s="2"/>
      <c r="F2280" s="2"/>
      <c r="G2280" s="2"/>
      <c r="H2280" s="2"/>
      <c r="I2280" s="5"/>
    </row>
    <row r="2281" spans="1:9" ht="17.399999999999999" x14ac:dyDescent="0.25">
      <c r="A2281" s="16"/>
      <c r="B2281" s="17"/>
      <c r="C2281" s="2" t="b">
        <v>0</v>
      </c>
      <c r="D2281" s="2"/>
      <c r="E2281" s="2"/>
      <c r="F2281" s="2"/>
      <c r="G2281" s="2"/>
      <c r="H2281" s="2"/>
      <c r="I2281" s="5"/>
    </row>
    <row r="2282" spans="1:9" ht="17.399999999999999" x14ac:dyDescent="0.25">
      <c r="A2282" s="16"/>
      <c r="B2282" s="17"/>
      <c r="C2282" s="2" t="b">
        <v>0</v>
      </c>
      <c r="D2282" s="2"/>
      <c r="E2282" s="2"/>
      <c r="F2282" s="2"/>
      <c r="G2282" s="2"/>
      <c r="H2282" s="2"/>
      <c r="I2282" s="5"/>
    </row>
    <row r="2283" spans="1:9" ht="17.399999999999999" x14ac:dyDescent="0.25">
      <c r="A2283" s="16"/>
      <c r="B2283" s="17"/>
      <c r="C2283" s="2" t="b">
        <v>0</v>
      </c>
      <c r="D2283" s="2"/>
      <c r="E2283" s="2"/>
      <c r="F2283" s="2"/>
      <c r="G2283" s="2"/>
      <c r="H2283" s="2"/>
      <c r="I2283" s="5"/>
    </row>
    <row r="2284" spans="1:9" ht="17.399999999999999" x14ac:dyDescent="0.25">
      <c r="A2284" s="16"/>
      <c r="B2284" s="17"/>
      <c r="C2284" s="2" t="b">
        <v>0</v>
      </c>
      <c r="D2284" s="2"/>
      <c r="E2284" s="2"/>
      <c r="F2284" s="2"/>
      <c r="G2284" s="2"/>
      <c r="H2284" s="2"/>
      <c r="I2284" s="5"/>
    </row>
    <row r="2285" spans="1:9" ht="17.399999999999999" x14ac:dyDescent="0.25">
      <c r="A2285" s="16"/>
      <c r="B2285" s="17"/>
      <c r="C2285" s="2" t="b">
        <v>0</v>
      </c>
      <c r="D2285" s="2"/>
      <c r="E2285" s="2"/>
      <c r="F2285" s="2"/>
      <c r="G2285" s="2"/>
      <c r="H2285" s="2"/>
      <c r="I2285" s="5"/>
    </row>
    <row r="2286" spans="1:9" ht="17.399999999999999" x14ac:dyDescent="0.25">
      <c r="A2286" s="16"/>
      <c r="B2286" s="17"/>
      <c r="C2286" s="2" t="b">
        <v>0</v>
      </c>
      <c r="D2286" s="2"/>
      <c r="E2286" s="2"/>
      <c r="F2286" s="2"/>
      <c r="G2286" s="2"/>
      <c r="H2286" s="2"/>
      <c r="I2286" s="5"/>
    </row>
    <row r="2287" spans="1:9" ht="17.399999999999999" x14ac:dyDescent="0.25">
      <c r="A2287" s="16"/>
      <c r="B2287" s="17"/>
      <c r="C2287" s="2" t="b">
        <v>0</v>
      </c>
      <c r="D2287" s="2"/>
      <c r="E2287" s="2"/>
      <c r="F2287" s="2"/>
      <c r="G2287" s="2"/>
      <c r="H2287" s="2"/>
      <c r="I2287" s="5"/>
    </row>
    <row r="2288" spans="1:9" ht="17.399999999999999" x14ac:dyDescent="0.25">
      <c r="A2288" s="16"/>
      <c r="B2288" s="17"/>
      <c r="C2288" s="2" t="b">
        <v>0</v>
      </c>
      <c r="D2288" s="2"/>
      <c r="E2288" s="2"/>
      <c r="F2288" s="2"/>
      <c r="G2288" s="2"/>
      <c r="H2288" s="2"/>
      <c r="I2288" s="5"/>
    </row>
    <row r="2289" spans="1:9" ht="17.399999999999999" x14ac:dyDescent="0.25">
      <c r="A2289" s="16"/>
      <c r="B2289" s="17"/>
      <c r="C2289" s="2" t="b">
        <v>0</v>
      </c>
      <c r="D2289" s="2"/>
      <c r="E2289" s="2"/>
      <c r="F2289" s="2"/>
      <c r="G2289" s="2"/>
      <c r="H2289" s="2"/>
      <c r="I2289" s="5"/>
    </row>
    <row r="2290" spans="1:9" ht="17.399999999999999" x14ac:dyDescent="0.25">
      <c r="A2290" s="16"/>
      <c r="B2290" s="17"/>
      <c r="C2290" s="2" t="b">
        <v>0</v>
      </c>
      <c r="D2290" s="2"/>
      <c r="E2290" s="2"/>
      <c r="F2290" s="2"/>
      <c r="G2290" s="2"/>
      <c r="H2290" s="2"/>
      <c r="I2290" s="5"/>
    </row>
    <row r="2291" spans="1:9" ht="17.399999999999999" x14ac:dyDescent="0.25">
      <c r="A2291" s="16"/>
      <c r="B2291" s="17"/>
      <c r="C2291" s="2" t="b">
        <v>0</v>
      </c>
      <c r="D2291" s="2"/>
      <c r="E2291" s="2"/>
      <c r="F2291" s="2"/>
      <c r="G2291" s="2"/>
      <c r="H2291" s="2"/>
      <c r="I2291" s="5"/>
    </row>
    <row r="2292" spans="1:9" ht="17.399999999999999" x14ac:dyDescent="0.25">
      <c r="A2292" s="16"/>
      <c r="B2292" s="17"/>
      <c r="C2292" s="2" t="b">
        <v>0</v>
      </c>
      <c r="D2292" s="2"/>
      <c r="E2292" s="2"/>
      <c r="F2292" s="2"/>
      <c r="G2292" s="2"/>
      <c r="H2292" s="2"/>
      <c r="I2292" s="5"/>
    </row>
    <row r="2293" spans="1:9" ht="17.399999999999999" x14ac:dyDescent="0.25">
      <c r="A2293" s="16"/>
      <c r="B2293" s="17"/>
      <c r="C2293" s="2" t="b">
        <v>0</v>
      </c>
      <c r="D2293" s="2"/>
      <c r="E2293" s="2"/>
      <c r="F2293" s="2"/>
      <c r="G2293" s="2"/>
      <c r="H2293" s="2"/>
      <c r="I2293" s="5"/>
    </row>
    <row r="2294" spans="1:9" ht="17.399999999999999" x14ac:dyDescent="0.25">
      <c r="A2294" s="16"/>
      <c r="B2294" s="17"/>
      <c r="C2294" s="2" t="b">
        <v>0</v>
      </c>
      <c r="D2294" s="2"/>
      <c r="E2294" s="2"/>
      <c r="F2294" s="2"/>
      <c r="G2294" s="2"/>
      <c r="H2294" s="2"/>
      <c r="I2294" s="5"/>
    </row>
    <row r="2295" spans="1:9" ht="17.399999999999999" x14ac:dyDescent="0.25">
      <c r="A2295" s="16"/>
      <c r="B2295" s="17"/>
      <c r="C2295" s="2" t="b">
        <v>0</v>
      </c>
      <c r="D2295" s="2"/>
      <c r="E2295" s="2"/>
      <c r="F2295" s="2"/>
      <c r="G2295" s="2"/>
      <c r="H2295" s="2"/>
      <c r="I2295" s="5"/>
    </row>
    <row r="2296" spans="1:9" ht="17.399999999999999" x14ac:dyDescent="0.25">
      <c r="A2296" s="16"/>
      <c r="B2296" s="17"/>
      <c r="C2296" s="2" t="b">
        <v>0</v>
      </c>
      <c r="D2296" s="2"/>
      <c r="E2296" s="2"/>
      <c r="F2296" s="2"/>
      <c r="G2296" s="2"/>
      <c r="H2296" s="2"/>
      <c r="I2296" s="5"/>
    </row>
    <row r="2297" spans="1:9" ht="17.399999999999999" x14ac:dyDescent="0.25">
      <c r="A2297" s="16"/>
      <c r="B2297" s="17"/>
      <c r="C2297" s="2" t="b">
        <v>0</v>
      </c>
      <c r="D2297" s="2"/>
      <c r="E2297" s="2"/>
      <c r="F2297" s="2"/>
      <c r="G2297" s="2"/>
      <c r="H2297" s="2"/>
      <c r="I2297" s="5"/>
    </row>
    <row r="2298" spans="1:9" ht="17.399999999999999" x14ac:dyDescent="0.25">
      <c r="A2298" s="16"/>
      <c r="B2298" s="17"/>
      <c r="C2298" s="2" t="b">
        <v>0</v>
      </c>
      <c r="D2298" s="2"/>
      <c r="E2298" s="2"/>
      <c r="F2298" s="2"/>
      <c r="G2298" s="2"/>
      <c r="H2298" s="2"/>
      <c r="I2298" s="5"/>
    </row>
    <row r="2299" spans="1:9" ht="17.399999999999999" x14ac:dyDescent="0.25">
      <c r="A2299" s="16"/>
      <c r="B2299" s="17"/>
      <c r="C2299" s="2" t="b">
        <v>0</v>
      </c>
      <c r="D2299" s="2"/>
      <c r="E2299" s="2"/>
      <c r="F2299" s="2"/>
      <c r="G2299" s="2"/>
      <c r="H2299" s="2"/>
      <c r="I2299" s="5"/>
    </row>
    <row r="2300" spans="1:9" ht="17.399999999999999" x14ac:dyDescent="0.25">
      <c r="A2300" s="16"/>
      <c r="B2300" s="17"/>
      <c r="C2300" s="2" t="b">
        <v>0</v>
      </c>
      <c r="D2300" s="2"/>
      <c r="E2300" s="2"/>
      <c r="F2300" s="2"/>
      <c r="G2300" s="2"/>
      <c r="H2300" s="2"/>
      <c r="I2300" s="5"/>
    </row>
    <row r="2301" spans="1:9" ht="17.399999999999999" x14ac:dyDescent="0.25">
      <c r="A2301" s="16"/>
      <c r="B2301" s="17"/>
      <c r="C2301" s="2" t="b">
        <v>0</v>
      </c>
      <c r="D2301" s="2"/>
      <c r="E2301" s="2"/>
      <c r="F2301" s="2"/>
      <c r="G2301" s="2"/>
      <c r="H2301" s="2"/>
      <c r="I2301" s="5"/>
    </row>
    <row r="2302" spans="1:9" ht="17.399999999999999" x14ac:dyDescent="0.25">
      <c r="A2302" s="16"/>
      <c r="B2302" s="17"/>
      <c r="C2302" s="2" t="b">
        <v>0</v>
      </c>
      <c r="D2302" s="2"/>
      <c r="E2302" s="2"/>
      <c r="F2302" s="2"/>
      <c r="G2302" s="2"/>
      <c r="H2302" s="2"/>
      <c r="I2302" s="5"/>
    </row>
    <row r="2303" spans="1:9" ht="17.399999999999999" x14ac:dyDescent="0.25">
      <c r="A2303" s="16"/>
      <c r="B2303" s="17"/>
      <c r="C2303" s="2" t="b">
        <v>0</v>
      </c>
      <c r="D2303" s="2"/>
      <c r="E2303" s="2"/>
      <c r="F2303" s="2"/>
      <c r="G2303" s="2"/>
      <c r="H2303" s="2"/>
      <c r="I2303" s="5"/>
    </row>
    <row r="2304" spans="1:9" ht="17.399999999999999" x14ac:dyDescent="0.25">
      <c r="A2304" s="16"/>
      <c r="B2304" s="17"/>
      <c r="C2304" s="2" t="b">
        <v>0</v>
      </c>
      <c r="D2304" s="2"/>
      <c r="E2304" s="2"/>
      <c r="F2304" s="2"/>
      <c r="G2304" s="2"/>
      <c r="H2304" s="2"/>
      <c r="I2304" s="5"/>
    </row>
    <row r="2305" spans="1:9" ht="17.399999999999999" x14ac:dyDescent="0.25">
      <c r="A2305" s="16"/>
      <c r="B2305" s="17"/>
      <c r="C2305" s="2" t="b">
        <v>0</v>
      </c>
      <c r="D2305" s="2"/>
      <c r="E2305" s="2"/>
      <c r="F2305" s="2"/>
      <c r="G2305" s="2"/>
      <c r="H2305" s="2"/>
      <c r="I2305" s="5"/>
    </row>
    <row r="2306" spans="1:9" ht="17.399999999999999" x14ac:dyDescent="0.25">
      <c r="A2306" s="16"/>
      <c r="B2306" s="17"/>
      <c r="C2306" s="2" t="b">
        <v>0</v>
      </c>
      <c r="D2306" s="2"/>
      <c r="E2306" s="2"/>
      <c r="F2306" s="2"/>
      <c r="G2306" s="2"/>
      <c r="H2306" s="2"/>
      <c r="I2306" s="5"/>
    </row>
    <row r="2307" spans="1:9" ht="17.399999999999999" x14ac:dyDescent="0.25">
      <c r="A2307" s="16"/>
      <c r="B2307" s="17"/>
      <c r="C2307" s="2" t="b">
        <v>0</v>
      </c>
      <c r="D2307" s="2"/>
      <c r="E2307" s="2"/>
      <c r="F2307" s="2"/>
      <c r="G2307" s="2"/>
      <c r="H2307" s="2"/>
      <c r="I2307" s="5"/>
    </row>
    <row r="2308" spans="1:9" ht="17.399999999999999" x14ac:dyDescent="0.25">
      <c r="A2308" s="16"/>
      <c r="B2308" s="17"/>
      <c r="C2308" s="2" t="b">
        <v>0</v>
      </c>
      <c r="D2308" s="2"/>
      <c r="E2308" s="2"/>
      <c r="F2308" s="2"/>
      <c r="G2308" s="2"/>
      <c r="H2308" s="2"/>
      <c r="I2308" s="5"/>
    </row>
    <row r="2309" spans="1:9" ht="17.399999999999999" x14ac:dyDescent="0.25">
      <c r="A2309" s="16"/>
      <c r="B2309" s="17"/>
      <c r="C2309" s="2" t="b">
        <v>0</v>
      </c>
      <c r="D2309" s="2"/>
      <c r="E2309" s="2"/>
      <c r="F2309" s="2"/>
      <c r="G2309" s="2"/>
      <c r="H2309" s="2"/>
      <c r="I2309" s="5"/>
    </row>
    <row r="2310" spans="1:9" ht="17.399999999999999" x14ac:dyDescent="0.25">
      <c r="A2310" s="16"/>
      <c r="B2310" s="17"/>
      <c r="C2310" s="2" t="b">
        <v>0</v>
      </c>
      <c r="D2310" s="2"/>
      <c r="E2310" s="2"/>
      <c r="F2310" s="2"/>
      <c r="G2310" s="2"/>
      <c r="H2310" s="2"/>
      <c r="I2310" s="5"/>
    </row>
    <row r="2311" spans="1:9" ht="17.399999999999999" x14ac:dyDescent="0.25">
      <c r="A2311" s="16"/>
      <c r="B2311" s="17"/>
      <c r="C2311" s="2" t="b">
        <v>0</v>
      </c>
      <c r="D2311" s="2"/>
      <c r="E2311" s="2"/>
      <c r="F2311" s="2"/>
      <c r="G2311" s="2"/>
      <c r="H2311" s="2"/>
      <c r="I2311" s="5"/>
    </row>
    <row r="2312" spans="1:9" ht="17.399999999999999" x14ac:dyDescent="0.25">
      <c r="A2312" s="16"/>
      <c r="B2312" s="17"/>
      <c r="C2312" s="2" t="b">
        <v>0</v>
      </c>
      <c r="D2312" s="2"/>
      <c r="E2312" s="2"/>
      <c r="F2312" s="2"/>
      <c r="G2312" s="2"/>
      <c r="H2312" s="2"/>
      <c r="I2312" s="5"/>
    </row>
    <row r="2313" spans="1:9" ht="17.399999999999999" x14ac:dyDescent="0.25">
      <c r="A2313" s="16"/>
      <c r="B2313" s="17"/>
      <c r="C2313" s="2" t="b">
        <v>0</v>
      </c>
      <c r="D2313" s="2"/>
      <c r="E2313" s="2"/>
      <c r="F2313" s="2"/>
      <c r="G2313" s="2"/>
      <c r="H2313" s="2"/>
      <c r="I2313" s="5"/>
    </row>
    <row r="2314" spans="1:9" ht="17.399999999999999" x14ac:dyDescent="0.25">
      <c r="A2314" s="16"/>
      <c r="B2314" s="17"/>
      <c r="C2314" s="2" t="b">
        <v>0</v>
      </c>
      <c r="D2314" s="2"/>
      <c r="E2314" s="2"/>
      <c r="F2314" s="2"/>
      <c r="G2314" s="2"/>
      <c r="H2314" s="2"/>
      <c r="I2314" s="5"/>
    </row>
    <row r="2315" spans="1:9" ht="17.399999999999999" x14ac:dyDescent="0.25">
      <c r="A2315" s="16"/>
      <c r="B2315" s="17"/>
      <c r="C2315" s="2" t="b">
        <v>0</v>
      </c>
      <c r="D2315" s="2"/>
      <c r="E2315" s="2"/>
      <c r="F2315" s="2"/>
      <c r="G2315" s="2"/>
      <c r="H2315" s="2"/>
      <c r="I2315" s="5"/>
    </row>
    <row r="2316" spans="1:9" ht="17.399999999999999" x14ac:dyDescent="0.25">
      <c r="A2316" s="16"/>
      <c r="B2316" s="17"/>
      <c r="C2316" s="2" t="b">
        <v>0</v>
      </c>
      <c r="D2316" s="2"/>
      <c r="E2316" s="2"/>
      <c r="F2316" s="2"/>
      <c r="G2316" s="2"/>
      <c r="H2316" s="2"/>
      <c r="I2316" s="5"/>
    </row>
    <row r="2317" spans="1:9" ht="17.399999999999999" x14ac:dyDescent="0.25">
      <c r="A2317" s="16"/>
      <c r="B2317" s="17"/>
      <c r="C2317" s="2" t="b">
        <v>0</v>
      </c>
      <c r="D2317" s="2"/>
      <c r="E2317" s="2"/>
      <c r="F2317" s="2"/>
      <c r="G2317" s="2"/>
      <c r="H2317" s="2"/>
      <c r="I2317" s="5"/>
    </row>
    <row r="2318" spans="1:9" ht="17.399999999999999" x14ac:dyDescent="0.25">
      <c r="A2318" s="16"/>
      <c r="B2318" s="17"/>
      <c r="C2318" s="2" t="b">
        <v>0</v>
      </c>
      <c r="D2318" s="2"/>
      <c r="E2318" s="2"/>
      <c r="F2318" s="2"/>
      <c r="G2318" s="2"/>
      <c r="H2318" s="2"/>
      <c r="I2318" s="5"/>
    </row>
    <row r="2319" spans="1:9" ht="17.399999999999999" x14ac:dyDescent="0.25">
      <c r="A2319" s="16"/>
      <c r="B2319" s="17"/>
      <c r="C2319" s="2" t="b">
        <v>0</v>
      </c>
      <c r="D2319" s="2"/>
      <c r="E2319" s="2"/>
      <c r="F2319" s="2"/>
      <c r="G2319" s="2"/>
      <c r="H2319" s="2"/>
      <c r="I2319" s="5"/>
    </row>
    <row r="2320" spans="1:9" ht="17.399999999999999" x14ac:dyDescent="0.25">
      <c r="A2320" s="16"/>
      <c r="B2320" s="17"/>
      <c r="C2320" s="2" t="b">
        <v>0</v>
      </c>
      <c r="D2320" s="2"/>
      <c r="E2320" s="2"/>
      <c r="F2320" s="2"/>
      <c r="G2320" s="2"/>
      <c r="H2320" s="2"/>
      <c r="I2320" s="5"/>
    </row>
    <row r="2321" spans="1:9" ht="17.399999999999999" x14ac:dyDescent="0.25">
      <c r="A2321" s="16"/>
      <c r="B2321" s="17"/>
      <c r="C2321" s="2" t="b">
        <v>0</v>
      </c>
      <c r="D2321" s="2"/>
      <c r="E2321" s="2"/>
      <c r="F2321" s="2"/>
      <c r="G2321" s="2"/>
      <c r="H2321" s="2"/>
      <c r="I2321" s="5"/>
    </row>
    <row r="2322" spans="1:9" ht="17.399999999999999" x14ac:dyDescent="0.25">
      <c r="A2322" s="16"/>
      <c r="B2322" s="17"/>
      <c r="C2322" s="2" t="b">
        <v>0</v>
      </c>
      <c r="D2322" s="2"/>
      <c r="E2322" s="2"/>
      <c r="F2322" s="2"/>
      <c r="G2322" s="2"/>
      <c r="H2322" s="2"/>
      <c r="I2322" s="5"/>
    </row>
    <row r="2323" spans="1:9" ht="17.399999999999999" x14ac:dyDescent="0.25">
      <c r="A2323" s="16"/>
      <c r="B2323" s="17"/>
      <c r="C2323" s="2" t="b">
        <v>0</v>
      </c>
      <c r="D2323" s="2"/>
      <c r="E2323" s="2"/>
      <c r="F2323" s="2"/>
      <c r="G2323" s="2"/>
      <c r="H2323" s="2"/>
      <c r="I2323" s="5"/>
    </row>
    <row r="2324" spans="1:9" ht="17.399999999999999" x14ac:dyDescent="0.25">
      <c r="A2324" s="16"/>
      <c r="B2324" s="17"/>
      <c r="C2324" s="2" t="b">
        <v>0</v>
      </c>
      <c r="D2324" s="2"/>
      <c r="E2324" s="2"/>
      <c r="F2324" s="2"/>
      <c r="G2324" s="2"/>
      <c r="H2324" s="2"/>
      <c r="I2324" s="5"/>
    </row>
    <row r="2325" spans="1:9" ht="17.399999999999999" x14ac:dyDescent="0.25">
      <c r="A2325" s="16"/>
      <c r="B2325" s="17"/>
      <c r="C2325" s="2" t="b">
        <v>0</v>
      </c>
      <c r="D2325" s="2"/>
      <c r="E2325" s="2"/>
      <c r="F2325" s="2"/>
      <c r="G2325" s="2"/>
      <c r="H2325" s="2"/>
      <c r="I2325" s="5"/>
    </row>
    <row r="2326" spans="1:9" ht="17.399999999999999" x14ac:dyDescent="0.25">
      <c r="A2326" s="16"/>
      <c r="B2326" s="17"/>
      <c r="C2326" s="2" t="b">
        <v>0</v>
      </c>
      <c r="D2326" s="2"/>
      <c r="E2326" s="2"/>
      <c r="F2326" s="2"/>
      <c r="G2326" s="2"/>
      <c r="H2326" s="2"/>
      <c r="I2326" s="5"/>
    </row>
    <row r="2327" spans="1:9" ht="17.399999999999999" x14ac:dyDescent="0.25">
      <c r="A2327" s="16"/>
      <c r="B2327" s="17"/>
      <c r="C2327" s="2" t="b">
        <v>0</v>
      </c>
      <c r="D2327" s="2"/>
      <c r="E2327" s="2"/>
      <c r="F2327" s="2"/>
      <c r="G2327" s="2"/>
      <c r="H2327" s="2"/>
      <c r="I2327" s="5"/>
    </row>
    <row r="2328" spans="1:9" ht="17.399999999999999" x14ac:dyDescent="0.25">
      <c r="A2328" s="16"/>
      <c r="B2328" s="17"/>
      <c r="C2328" s="2" t="b">
        <v>0</v>
      </c>
      <c r="D2328" s="2"/>
      <c r="E2328" s="2"/>
      <c r="F2328" s="2"/>
      <c r="G2328" s="2"/>
      <c r="H2328" s="2"/>
      <c r="I2328" s="5"/>
    </row>
    <row r="2329" spans="1:9" ht="17.399999999999999" x14ac:dyDescent="0.25">
      <c r="A2329" s="16"/>
      <c r="B2329" s="17"/>
      <c r="C2329" s="2" t="b">
        <v>0</v>
      </c>
      <c r="D2329" s="2"/>
      <c r="E2329" s="2"/>
      <c r="F2329" s="2"/>
      <c r="G2329" s="2"/>
      <c r="H2329" s="2"/>
      <c r="I2329" s="5"/>
    </row>
    <row r="2330" spans="1:9" ht="17.399999999999999" x14ac:dyDescent="0.25">
      <c r="A2330" s="16"/>
      <c r="B2330" s="17"/>
      <c r="C2330" s="2" t="b">
        <v>0</v>
      </c>
      <c r="D2330" s="2"/>
      <c r="E2330" s="2"/>
      <c r="F2330" s="2"/>
      <c r="G2330" s="2"/>
      <c r="H2330" s="2"/>
      <c r="I2330" s="5"/>
    </row>
    <row r="2331" spans="1:9" ht="17.399999999999999" x14ac:dyDescent="0.25">
      <c r="A2331" s="16"/>
      <c r="B2331" s="17"/>
      <c r="C2331" s="2" t="b">
        <v>0</v>
      </c>
      <c r="D2331" s="2"/>
      <c r="E2331" s="2"/>
      <c r="F2331" s="2"/>
      <c r="G2331" s="2"/>
      <c r="H2331" s="2"/>
      <c r="I2331" s="5"/>
    </row>
    <row r="2332" spans="1:9" ht="17.399999999999999" x14ac:dyDescent="0.25">
      <c r="A2332" s="16"/>
      <c r="B2332" s="17"/>
      <c r="C2332" s="2" t="b">
        <v>0</v>
      </c>
      <c r="D2332" s="2"/>
      <c r="E2332" s="2"/>
      <c r="F2332" s="2"/>
      <c r="G2332" s="2"/>
      <c r="H2332" s="2"/>
      <c r="I2332" s="5"/>
    </row>
    <row r="2333" spans="1:9" ht="17.399999999999999" x14ac:dyDescent="0.25">
      <c r="A2333" s="16"/>
      <c r="B2333" s="17"/>
      <c r="C2333" s="2" t="b">
        <v>0</v>
      </c>
      <c r="D2333" s="2"/>
      <c r="E2333" s="2"/>
      <c r="F2333" s="2"/>
      <c r="G2333" s="2"/>
      <c r="H2333" s="2"/>
      <c r="I2333" s="5"/>
    </row>
    <row r="2334" spans="1:9" ht="17.399999999999999" x14ac:dyDescent="0.25">
      <c r="A2334" s="16"/>
      <c r="B2334" s="17"/>
      <c r="C2334" s="2" t="b">
        <v>0</v>
      </c>
      <c r="D2334" s="2"/>
      <c r="E2334" s="2"/>
      <c r="F2334" s="2"/>
      <c r="G2334" s="2"/>
      <c r="H2334" s="2"/>
      <c r="I2334" s="5"/>
    </row>
    <row r="2335" spans="1:9" ht="17.399999999999999" x14ac:dyDescent="0.25">
      <c r="A2335" s="16"/>
      <c r="B2335" s="17"/>
      <c r="C2335" s="2" t="b">
        <v>0</v>
      </c>
      <c r="D2335" s="2"/>
      <c r="E2335" s="2"/>
      <c r="F2335" s="2"/>
      <c r="G2335" s="2"/>
      <c r="H2335" s="2"/>
      <c r="I2335" s="5"/>
    </row>
    <row r="2336" spans="1:9" ht="17.399999999999999" x14ac:dyDescent="0.25">
      <c r="A2336" s="16"/>
      <c r="B2336" s="17"/>
      <c r="C2336" s="2" t="b">
        <v>0</v>
      </c>
      <c r="D2336" s="2"/>
      <c r="E2336" s="2"/>
      <c r="F2336" s="2"/>
      <c r="G2336" s="2"/>
      <c r="H2336" s="2"/>
      <c r="I2336" s="5"/>
    </row>
    <row r="2337" spans="1:9" ht="17.399999999999999" x14ac:dyDescent="0.25">
      <c r="A2337" s="16"/>
      <c r="B2337" s="17"/>
      <c r="C2337" s="2" t="b">
        <v>0</v>
      </c>
      <c r="D2337" s="2"/>
      <c r="E2337" s="2"/>
      <c r="F2337" s="2"/>
      <c r="G2337" s="2"/>
      <c r="H2337" s="2"/>
      <c r="I2337" s="5"/>
    </row>
    <row r="2338" spans="1:9" ht="17.399999999999999" x14ac:dyDescent="0.25">
      <c r="A2338" s="16"/>
      <c r="B2338" s="17"/>
      <c r="C2338" s="2" t="b">
        <v>0</v>
      </c>
      <c r="D2338" s="2"/>
      <c r="E2338" s="2"/>
      <c r="F2338" s="2"/>
      <c r="G2338" s="2"/>
      <c r="H2338" s="2"/>
      <c r="I2338" s="5"/>
    </row>
    <row r="2339" spans="1:9" ht="17.399999999999999" x14ac:dyDescent="0.25">
      <c r="A2339" s="16"/>
      <c r="B2339" s="17"/>
      <c r="C2339" s="2" t="b">
        <v>0</v>
      </c>
      <c r="D2339" s="2"/>
      <c r="E2339" s="2"/>
      <c r="F2339" s="2"/>
      <c r="G2339" s="2"/>
      <c r="H2339" s="2"/>
      <c r="I2339" s="5"/>
    </row>
    <row r="2340" spans="1:9" ht="17.399999999999999" x14ac:dyDescent="0.25">
      <c r="A2340" s="16"/>
      <c r="B2340" s="17"/>
      <c r="C2340" s="2" t="b">
        <v>0</v>
      </c>
      <c r="D2340" s="2"/>
      <c r="E2340" s="2"/>
      <c r="F2340" s="2"/>
      <c r="G2340" s="2"/>
      <c r="H2340" s="2"/>
      <c r="I2340" s="5"/>
    </row>
    <row r="2341" spans="1:9" ht="17.399999999999999" x14ac:dyDescent="0.25">
      <c r="A2341" s="16"/>
      <c r="B2341" s="17"/>
      <c r="C2341" s="2" t="b">
        <v>0</v>
      </c>
      <c r="D2341" s="2"/>
      <c r="E2341" s="2"/>
      <c r="F2341" s="2"/>
      <c r="G2341" s="2"/>
      <c r="H2341" s="2"/>
      <c r="I2341" s="5"/>
    </row>
    <row r="2342" spans="1:9" ht="17.399999999999999" x14ac:dyDescent="0.25">
      <c r="A2342" s="16"/>
      <c r="B2342" s="17"/>
      <c r="C2342" s="2" t="b">
        <v>0</v>
      </c>
      <c r="D2342" s="2"/>
      <c r="E2342" s="2"/>
      <c r="F2342" s="2"/>
      <c r="G2342" s="2"/>
      <c r="H2342" s="2"/>
      <c r="I2342" s="5"/>
    </row>
    <row r="2343" spans="1:9" ht="17.399999999999999" x14ac:dyDescent="0.25">
      <c r="A2343" s="16"/>
      <c r="B2343" s="17"/>
      <c r="C2343" s="2" t="b">
        <v>0</v>
      </c>
      <c r="D2343" s="2"/>
      <c r="E2343" s="2"/>
      <c r="F2343" s="2"/>
      <c r="G2343" s="2"/>
      <c r="H2343" s="2"/>
      <c r="I2343" s="5"/>
    </row>
    <row r="2344" spans="1:9" ht="17.399999999999999" x14ac:dyDescent="0.25">
      <c r="A2344" s="16"/>
      <c r="B2344" s="17"/>
      <c r="C2344" s="2" t="b">
        <v>0</v>
      </c>
      <c r="D2344" s="2"/>
      <c r="E2344" s="2"/>
      <c r="F2344" s="2"/>
      <c r="G2344" s="2"/>
      <c r="H2344" s="2"/>
      <c r="I2344" s="5"/>
    </row>
    <row r="2345" spans="1:9" ht="17.399999999999999" x14ac:dyDescent="0.25">
      <c r="A2345" s="16"/>
      <c r="B2345" s="17"/>
      <c r="C2345" s="2" t="b">
        <v>0</v>
      </c>
      <c r="D2345" s="2"/>
      <c r="E2345" s="2"/>
      <c r="F2345" s="2"/>
      <c r="G2345" s="2"/>
      <c r="H2345" s="2"/>
      <c r="I2345" s="5"/>
    </row>
    <row r="2346" spans="1:9" ht="17.399999999999999" x14ac:dyDescent="0.25">
      <c r="A2346" s="16"/>
      <c r="B2346" s="17"/>
      <c r="C2346" s="2" t="b">
        <v>0</v>
      </c>
      <c r="D2346" s="2"/>
      <c r="E2346" s="2"/>
      <c r="F2346" s="2"/>
      <c r="G2346" s="2"/>
      <c r="H2346" s="2"/>
      <c r="I2346" s="5"/>
    </row>
    <row r="2347" spans="1:9" ht="17.399999999999999" x14ac:dyDescent="0.25">
      <c r="A2347" s="16"/>
      <c r="B2347" s="17"/>
      <c r="C2347" s="2" t="b">
        <v>0</v>
      </c>
      <c r="D2347" s="2"/>
      <c r="E2347" s="2"/>
      <c r="F2347" s="2"/>
      <c r="G2347" s="2"/>
      <c r="H2347" s="2"/>
      <c r="I2347" s="5"/>
    </row>
    <row r="2348" spans="1:9" ht="17.399999999999999" x14ac:dyDescent="0.25">
      <c r="A2348" s="16"/>
      <c r="B2348" s="17"/>
      <c r="C2348" s="2" t="b">
        <v>0</v>
      </c>
      <c r="D2348" s="2"/>
      <c r="E2348" s="2"/>
      <c r="F2348" s="2"/>
      <c r="G2348" s="2"/>
      <c r="H2348" s="2"/>
      <c r="I2348" s="5"/>
    </row>
    <row r="2349" spans="1:9" ht="17.399999999999999" x14ac:dyDescent="0.25">
      <c r="A2349" s="16"/>
      <c r="B2349" s="17"/>
      <c r="C2349" s="2" t="b">
        <v>0</v>
      </c>
      <c r="D2349" s="2"/>
      <c r="E2349" s="2"/>
      <c r="F2349" s="2"/>
      <c r="G2349" s="2"/>
      <c r="H2349" s="2"/>
      <c r="I2349" s="5"/>
    </row>
    <row r="2350" spans="1:9" ht="17.399999999999999" x14ac:dyDescent="0.25">
      <c r="A2350" s="16"/>
      <c r="B2350" s="17"/>
      <c r="C2350" s="2" t="b">
        <v>0</v>
      </c>
      <c r="D2350" s="2"/>
      <c r="E2350" s="2"/>
      <c r="F2350" s="2"/>
      <c r="G2350" s="2"/>
      <c r="H2350" s="2"/>
      <c r="I2350" s="5"/>
    </row>
    <row r="2351" spans="1:9" ht="17.399999999999999" x14ac:dyDescent="0.25">
      <c r="A2351" s="16"/>
      <c r="B2351" s="17"/>
      <c r="C2351" s="2" t="b">
        <v>0</v>
      </c>
      <c r="D2351" s="2"/>
      <c r="E2351" s="2"/>
      <c r="F2351" s="2"/>
      <c r="G2351" s="2"/>
      <c r="H2351" s="2"/>
      <c r="I2351" s="5"/>
    </row>
    <row r="2352" spans="1:9" ht="17.399999999999999" x14ac:dyDescent="0.25">
      <c r="A2352" s="16"/>
      <c r="B2352" s="17"/>
      <c r="C2352" s="2" t="b">
        <v>0</v>
      </c>
      <c r="D2352" s="2"/>
      <c r="E2352" s="2"/>
      <c r="F2352" s="2"/>
      <c r="G2352" s="2"/>
      <c r="H2352" s="2"/>
      <c r="I2352" s="5"/>
    </row>
    <row r="2353" spans="1:9" ht="17.399999999999999" x14ac:dyDescent="0.25">
      <c r="A2353" s="16"/>
      <c r="B2353" s="17"/>
      <c r="C2353" s="2" t="b">
        <v>0</v>
      </c>
      <c r="D2353" s="2"/>
      <c r="E2353" s="2"/>
      <c r="F2353" s="2"/>
      <c r="G2353" s="2"/>
      <c r="H2353" s="2"/>
      <c r="I2353" s="5"/>
    </row>
    <row r="2354" spans="1:9" ht="17.399999999999999" x14ac:dyDescent="0.25">
      <c r="A2354" s="16"/>
      <c r="B2354" s="17"/>
      <c r="C2354" s="2" t="b">
        <v>0</v>
      </c>
      <c r="D2354" s="2"/>
      <c r="E2354" s="2"/>
      <c r="F2354" s="2"/>
      <c r="G2354" s="2"/>
      <c r="H2354" s="2"/>
      <c r="I2354" s="5"/>
    </row>
    <row r="2355" spans="1:9" ht="17.399999999999999" x14ac:dyDescent="0.25">
      <c r="A2355" s="16"/>
      <c r="B2355" s="17"/>
      <c r="C2355" s="2" t="b">
        <v>0</v>
      </c>
      <c r="D2355" s="2"/>
      <c r="E2355" s="2"/>
      <c r="F2355" s="2"/>
      <c r="G2355" s="2"/>
      <c r="H2355" s="2"/>
      <c r="I2355" s="5"/>
    </row>
    <row r="2356" spans="1:9" ht="17.399999999999999" x14ac:dyDescent="0.25">
      <c r="A2356" s="16"/>
      <c r="B2356" s="17"/>
      <c r="C2356" s="2" t="b">
        <v>0</v>
      </c>
      <c r="D2356" s="2"/>
      <c r="E2356" s="2"/>
      <c r="F2356" s="2"/>
      <c r="G2356" s="2"/>
      <c r="H2356" s="2"/>
      <c r="I2356" s="5"/>
    </row>
    <row r="2357" spans="1:9" ht="17.399999999999999" x14ac:dyDescent="0.25">
      <c r="A2357" s="16"/>
      <c r="B2357" s="17"/>
      <c r="C2357" s="2" t="b">
        <v>0</v>
      </c>
      <c r="D2357" s="2"/>
      <c r="E2357" s="2"/>
      <c r="F2357" s="2"/>
      <c r="G2357" s="2"/>
      <c r="H2357" s="2"/>
      <c r="I2357" s="5"/>
    </row>
    <row r="2358" spans="1:9" ht="17.399999999999999" x14ac:dyDescent="0.25">
      <c r="A2358" s="16"/>
      <c r="B2358" s="17"/>
      <c r="C2358" s="2" t="b">
        <v>0</v>
      </c>
      <c r="D2358" s="2"/>
      <c r="E2358" s="2"/>
      <c r="F2358" s="2"/>
      <c r="G2358" s="2"/>
      <c r="H2358" s="2"/>
      <c r="I2358" s="5"/>
    </row>
    <row r="2359" spans="1:9" ht="17.399999999999999" x14ac:dyDescent="0.25">
      <c r="A2359" s="16"/>
      <c r="B2359" s="17"/>
      <c r="C2359" s="2" t="b">
        <v>0</v>
      </c>
      <c r="D2359" s="2"/>
      <c r="E2359" s="2"/>
      <c r="F2359" s="2"/>
      <c r="G2359" s="2"/>
      <c r="H2359" s="2"/>
      <c r="I2359" s="5"/>
    </row>
    <row r="2360" spans="1:9" ht="17.399999999999999" x14ac:dyDescent="0.25">
      <c r="A2360" s="16"/>
      <c r="B2360" s="17"/>
      <c r="C2360" s="2" t="b">
        <v>0</v>
      </c>
      <c r="D2360" s="2"/>
      <c r="E2360" s="2"/>
      <c r="F2360" s="2"/>
      <c r="G2360" s="2"/>
      <c r="H2360" s="2"/>
      <c r="I2360" s="5"/>
    </row>
    <row r="2361" spans="1:9" ht="17.399999999999999" x14ac:dyDescent="0.25">
      <c r="A2361" s="16"/>
      <c r="B2361" s="17"/>
      <c r="C2361" s="2" t="b">
        <v>0</v>
      </c>
      <c r="D2361" s="2"/>
      <c r="E2361" s="2"/>
      <c r="F2361" s="2"/>
      <c r="G2361" s="2"/>
      <c r="H2361" s="2"/>
      <c r="I2361" s="5"/>
    </row>
    <row r="2362" spans="1:9" ht="17.399999999999999" x14ac:dyDescent="0.25">
      <c r="A2362" s="16"/>
      <c r="B2362" s="17"/>
      <c r="C2362" s="2" t="b">
        <v>0</v>
      </c>
      <c r="D2362" s="2"/>
      <c r="E2362" s="2"/>
      <c r="F2362" s="2"/>
      <c r="G2362" s="2"/>
      <c r="H2362" s="2"/>
      <c r="I2362" s="5"/>
    </row>
    <row r="2363" spans="1:9" ht="17.399999999999999" x14ac:dyDescent="0.25">
      <c r="A2363" s="16"/>
      <c r="B2363" s="17"/>
      <c r="C2363" s="2" t="b">
        <v>0</v>
      </c>
      <c r="D2363" s="2"/>
      <c r="E2363" s="2"/>
      <c r="F2363" s="2"/>
      <c r="G2363" s="2"/>
      <c r="H2363" s="2"/>
      <c r="I2363" s="5"/>
    </row>
    <row r="2364" spans="1:9" ht="17.399999999999999" x14ac:dyDescent="0.25">
      <c r="A2364" s="16"/>
      <c r="B2364" s="17"/>
      <c r="C2364" s="2" t="b">
        <v>0</v>
      </c>
      <c r="D2364" s="2"/>
      <c r="E2364" s="2"/>
      <c r="F2364" s="2"/>
      <c r="G2364" s="2"/>
      <c r="H2364" s="2"/>
      <c r="I2364" s="5"/>
    </row>
    <row r="2365" spans="1:9" ht="17.399999999999999" x14ac:dyDescent="0.25">
      <c r="A2365" s="16"/>
      <c r="B2365" s="17"/>
      <c r="C2365" s="2" t="b">
        <v>0</v>
      </c>
      <c r="D2365" s="2"/>
      <c r="E2365" s="2"/>
      <c r="F2365" s="2"/>
      <c r="G2365" s="2"/>
      <c r="H2365" s="2"/>
      <c r="I2365" s="5"/>
    </row>
    <row r="2366" spans="1:9" ht="17.399999999999999" x14ac:dyDescent="0.25">
      <c r="A2366" s="16"/>
      <c r="B2366" s="17"/>
      <c r="C2366" s="2" t="b">
        <v>0</v>
      </c>
      <c r="D2366" s="2"/>
      <c r="E2366" s="2"/>
      <c r="F2366" s="2"/>
      <c r="G2366" s="2"/>
      <c r="H2366" s="2"/>
      <c r="I2366" s="5"/>
    </row>
    <row r="2367" spans="1:9" ht="17.399999999999999" x14ac:dyDescent="0.25">
      <c r="A2367" s="16"/>
      <c r="B2367" s="17"/>
      <c r="C2367" s="2" t="b">
        <v>0</v>
      </c>
      <c r="D2367" s="2"/>
      <c r="E2367" s="2"/>
      <c r="F2367" s="2"/>
      <c r="G2367" s="2"/>
      <c r="H2367" s="2"/>
      <c r="I2367" s="5"/>
    </row>
    <row r="2368" spans="1:9" ht="17.399999999999999" x14ac:dyDescent="0.25">
      <c r="A2368" s="16"/>
      <c r="B2368" s="17"/>
      <c r="C2368" s="2" t="b">
        <v>0</v>
      </c>
      <c r="D2368" s="2"/>
      <c r="E2368" s="2"/>
      <c r="F2368" s="2"/>
      <c r="G2368" s="2"/>
      <c r="H2368" s="2"/>
      <c r="I2368" s="5"/>
    </row>
    <row r="2369" spans="1:9" ht="17.399999999999999" x14ac:dyDescent="0.25">
      <c r="A2369" s="16"/>
      <c r="B2369" s="17"/>
      <c r="C2369" s="2" t="b">
        <v>0</v>
      </c>
      <c r="D2369" s="2"/>
      <c r="E2369" s="2"/>
      <c r="F2369" s="2"/>
      <c r="G2369" s="2"/>
      <c r="H2369" s="2"/>
      <c r="I2369" s="5"/>
    </row>
    <row r="2370" spans="1:9" ht="17.399999999999999" x14ac:dyDescent="0.25">
      <c r="A2370" s="16"/>
      <c r="B2370" s="17"/>
      <c r="C2370" s="2" t="b">
        <v>0</v>
      </c>
      <c r="D2370" s="2"/>
      <c r="E2370" s="2"/>
      <c r="F2370" s="2"/>
      <c r="G2370" s="2"/>
      <c r="H2370" s="2"/>
      <c r="I2370" s="5"/>
    </row>
    <row r="2371" spans="1:9" ht="17.399999999999999" x14ac:dyDescent="0.25">
      <c r="A2371" s="16"/>
      <c r="B2371" s="17"/>
      <c r="C2371" s="2" t="b">
        <v>0</v>
      </c>
      <c r="D2371" s="2"/>
      <c r="E2371" s="2"/>
      <c r="F2371" s="2"/>
      <c r="G2371" s="2"/>
      <c r="H2371" s="2"/>
      <c r="I2371" s="5"/>
    </row>
    <row r="2372" spans="1:9" ht="17.399999999999999" x14ac:dyDescent="0.25">
      <c r="A2372" s="16"/>
      <c r="B2372" s="17"/>
      <c r="C2372" s="2" t="b">
        <v>0</v>
      </c>
      <c r="D2372" s="2"/>
      <c r="E2372" s="2"/>
      <c r="F2372" s="2"/>
      <c r="G2372" s="2"/>
      <c r="H2372" s="2"/>
      <c r="I2372" s="5"/>
    </row>
    <row r="2373" spans="1:9" ht="17.399999999999999" x14ac:dyDescent="0.25">
      <c r="A2373" s="16"/>
      <c r="B2373" s="17"/>
      <c r="C2373" s="2" t="b">
        <v>0</v>
      </c>
      <c r="D2373" s="2"/>
      <c r="E2373" s="2"/>
      <c r="F2373" s="2"/>
      <c r="G2373" s="2"/>
      <c r="H2373" s="2"/>
      <c r="I2373" s="5"/>
    </row>
    <row r="2374" spans="1:9" ht="17.399999999999999" x14ac:dyDescent="0.25">
      <c r="A2374" s="16"/>
      <c r="B2374" s="17"/>
      <c r="C2374" s="2" t="b">
        <v>0</v>
      </c>
      <c r="D2374" s="2"/>
      <c r="E2374" s="2"/>
      <c r="F2374" s="2"/>
      <c r="G2374" s="2"/>
      <c r="H2374" s="2"/>
      <c r="I2374" s="5"/>
    </row>
    <row r="2375" spans="1:9" ht="17.399999999999999" x14ac:dyDescent="0.25">
      <c r="A2375" s="16"/>
      <c r="B2375" s="17"/>
      <c r="C2375" s="2" t="b">
        <v>0</v>
      </c>
      <c r="D2375" s="2"/>
      <c r="E2375" s="2"/>
      <c r="F2375" s="2"/>
      <c r="G2375" s="2"/>
      <c r="H2375" s="2"/>
      <c r="I2375" s="5"/>
    </row>
    <row r="2376" spans="1:9" ht="17.399999999999999" x14ac:dyDescent="0.25">
      <c r="A2376" s="16"/>
      <c r="B2376" s="17"/>
      <c r="C2376" s="2" t="b">
        <v>0</v>
      </c>
      <c r="D2376" s="2"/>
      <c r="E2376" s="2"/>
      <c r="F2376" s="2"/>
      <c r="G2376" s="2"/>
      <c r="H2376" s="2"/>
      <c r="I2376" s="5"/>
    </row>
    <row r="2377" spans="1:9" ht="17.399999999999999" x14ac:dyDescent="0.25">
      <c r="A2377" s="16"/>
      <c r="B2377" s="17"/>
      <c r="C2377" s="2" t="b">
        <v>0</v>
      </c>
      <c r="D2377" s="2"/>
      <c r="E2377" s="2"/>
      <c r="F2377" s="2"/>
      <c r="G2377" s="2"/>
      <c r="H2377" s="2"/>
      <c r="I2377" s="5"/>
    </row>
    <row r="2378" spans="1:9" ht="17.399999999999999" x14ac:dyDescent="0.25">
      <c r="A2378" s="16"/>
      <c r="B2378" s="17"/>
      <c r="C2378" s="2" t="b">
        <v>0</v>
      </c>
      <c r="D2378" s="2"/>
      <c r="E2378" s="2"/>
      <c r="F2378" s="2"/>
      <c r="G2378" s="2"/>
      <c r="H2378" s="2"/>
      <c r="I2378" s="5"/>
    </row>
    <row r="2379" spans="1:9" ht="17.399999999999999" x14ac:dyDescent="0.25">
      <c r="A2379" s="16"/>
      <c r="B2379" s="17"/>
      <c r="C2379" s="2" t="b">
        <v>0</v>
      </c>
      <c r="D2379" s="2"/>
      <c r="E2379" s="2"/>
      <c r="F2379" s="2"/>
      <c r="G2379" s="2"/>
      <c r="H2379" s="2"/>
      <c r="I2379" s="5"/>
    </row>
    <row r="2380" spans="1:9" ht="17.399999999999999" x14ac:dyDescent="0.25">
      <c r="A2380" s="16"/>
      <c r="B2380" s="17"/>
      <c r="C2380" s="2" t="b">
        <v>0</v>
      </c>
      <c r="D2380" s="2"/>
      <c r="E2380" s="2"/>
      <c r="F2380" s="2"/>
      <c r="G2380" s="2"/>
      <c r="H2380" s="2"/>
      <c r="I2380" s="5"/>
    </row>
    <row r="2381" spans="1:9" ht="17.399999999999999" x14ac:dyDescent="0.25">
      <c r="A2381" s="16"/>
      <c r="B2381" s="17"/>
      <c r="C2381" s="2" t="b">
        <v>0</v>
      </c>
      <c r="D2381" s="2"/>
      <c r="E2381" s="2"/>
      <c r="F2381" s="2"/>
      <c r="G2381" s="2"/>
      <c r="H2381" s="2"/>
      <c r="I2381" s="5"/>
    </row>
    <row r="2382" spans="1:9" ht="17.399999999999999" x14ac:dyDescent="0.25">
      <c r="A2382" s="16"/>
      <c r="B2382" s="17"/>
      <c r="C2382" s="2" t="b">
        <v>0</v>
      </c>
      <c r="D2382" s="2"/>
      <c r="E2382" s="2"/>
      <c r="F2382" s="2"/>
      <c r="G2382" s="2"/>
      <c r="H2382" s="2"/>
      <c r="I2382" s="5"/>
    </row>
    <row r="2383" spans="1:9" ht="17.399999999999999" x14ac:dyDescent="0.25">
      <c r="A2383" s="16"/>
      <c r="B2383" s="17"/>
      <c r="C2383" s="2" t="b">
        <v>0</v>
      </c>
      <c r="D2383" s="2"/>
      <c r="E2383" s="2"/>
      <c r="F2383" s="2"/>
      <c r="G2383" s="2"/>
      <c r="H2383" s="2"/>
      <c r="I2383" s="5"/>
    </row>
    <row r="2384" spans="1:9" ht="17.399999999999999" x14ac:dyDescent="0.25">
      <c r="A2384" s="16"/>
      <c r="B2384" s="17"/>
      <c r="C2384" s="2" t="b">
        <v>0</v>
      </c>
      <c r="D2384" s="2"/>
      <c r="E2384" s="2"/>
      <c r="F2384" s="2"/>
      <c r="G2384" s="2"/>
      <c r="H2384" s="2"/>
      <c r="I2384" s="5"/>
    </row>
    <row r="2385" spans="1:9" ht="17.399999999999999" x14ac:dyDescent="0.25">
      <c r="A2385" s="16"/>
      <c r="B2385" s="17"/>
      <c r="C2385" s="2" t="b">
        <v>0</v>
      </c>
      <c r="D2385" s="2"/>
      <c r="E2385" s="2"/>
      <c r="F2385" s="2"/>
      <c r="G2385" s="2"/>
      <c r="H2385" s="2"/>
      <c r="I2385" s="5"/>
    </row>
    <row r="2386" spans="1:9" ht="17.399999999999999" x14ac:dyDescent="0.25">
      <c r="A2386" s="16"/>
      <c r="B2386" s="17"/>
      <c r="C2386" s="2" t="b">
        <v>0</v>
      </c>
      <c r="D2386" s="2"/>
      <c r="E2386" s="2"/>
      <c r="F2386" s="2"/>
      <c r="G2386" s="2"/>
      <c r="H2386" s="2"/>
      <c r="I2386" s="5"/>
    </row>
    <row r="2387" spans="1:9" ht="17.399999999999999" x14ac:dyDescent="0.25">
      <c r="A2387" s="16"/>
      <c r="B2387" s="17"/>
      <c r="C2387" s="2" t="b">
        <v>0</v>
      </c>
      <c r="D2387" s="2"/>
      <c r="E2387" s="2"/>
      <c r="F2387" s="2"/>
      <c r="G2387" s="2"/>
      <c r="H2387" s="2"/>
      <c r="I2387" s="5"/>
    </row>
    <row r="2388" spans="1:9" ht="17.399999999999999" x14ac:dyDescent="0.25">
      <c r="A2388" s="16"/>
      <c r="B2388" s="17"/>
      <c r="C2388" s="2" t="b">
        <v>0</v>
      </c>
      <c r="D2388" s="2"/>
      <c r="E2388" s="2"/>
      <c r="F2388" s="2"/>
      <c r="G2388" s="2"/>
      <c r="H2388" s="2"/>
      <c r="I2388" s="5"/>
    </row>
    <row r="2389" spans="1:9" ht="17.399999999999999" x14ac:dyDescent="0.25">
      <c r="A2389" s="16"/>
      <c r="B2389" s="17"/>
      <c r="C2389" s="2" t="b">
        <v>0</v>
      </c>
      <c r="D2389" s="2"/>
      <c r="E2389" s="2"/>
      <c r="F2389" s="2"/>
      <c r="G2389" s="2"/>
      <c r="H2389" s="2"/>
      <c r="I2389" s="5"/>
    </row>
    <row r="2390" spans="1:9" ht="17.399999999999999" x14ac:dyDescent="0.25">
      <c r="A2390" s="16"/>
      <c r="B2390" s="17"/>
      <c r="C2390" s="2" t="b">
        <v>0</v>
      </c>
      <c r="D2390" s="2"/>
      <c r="E2390" s="2"/>
      <c r="F2390" s="2"/>
      <c r="G2390" s="2"/>
      <c r="H2390" s="2"/>
      <c r="I2390" s="5"/>
    </row>
    <row r="2391" spans="1:9" ht="17.399999999999999" x14ac:dyDescent="0.25">
      <c r="A2391" s="16"/>
      <c r="B2391" s="17"/>
      <c r="C2391" s="2" t="b">
        <v>0</v>
      </c>
      <c r="D2391" s="2"/>
      <c r="E2391" s="2"/>
      <c r="F2391" s="2"/>
      <c r="G2391" s="2"/>
      <c r="H2391" s="2"/>
      <c r="I2391" s="5"/>
    </row>
    <row r="2392" spans="1:9" ht="17.399999999999999" x14ac:dyDescent="0.25">
      <c r="A2392" s="16"/>
      <c r="B2392" s="17"/>
      <c r="C2392" s="2" t="b">
        <v>0</v>
      </c>
      <c r="D2392" s="2"/>
      <c r="E2392" s="2"/>
      <c r="F2392" s="2"/>
      <c r="G2392" s="2"/>
      <c r="H2392" s="2"/>
      <c r="I2392" s="5"/>
    </row>
    <row r="2393" spans="1:9" ht="17.399999999999999" x14ac:dyDescent="0.25">
      <c r="A2393" s="16"/>
      <c r="B2393" s="17"/>
      <c r="C2393" s="2" t="b">
        <v>0</v>
      </c>
      <c r="D2393" s="2"/>
      <c r="E2393" s="2"/>
      <c r="F2393" s="2"/>
      <c r="G2393" s="2"/>
      <c r="H2393" s="2"/>
      <c r="I2393" s="5"/>
    </row>
    <row r="2394" spans="1:9" ht="17.399999999999999" x14ac:dyDescent="0.25">
      <c r="A2394" s="16"/>
      <c r="B2394" s="17"/>
      <c r="C2394" s="2" t="b">
        <v>0</v>
      </c>
      <c r="D2394" s="2"/>
      <c r="E2394" s="2"/>
      <c r="F2394" s="2"/>
      <c r="G2394" s="2"/>
      <c r="H2394" s="2"/>
      <c r="I2394" s="5"/>
    </row>
    <row r="2395" spans="1:9" ht="17.399999999999999" x14ac:dyDescent="0.25">
      <c r="A2395" s="16"/>
      <c r="B2395" s="17"/>
      <c r="C2395" s="2" t="b">
        <v>0</v>
      </c>
      <c r="D2395" s="2"/>
      <c r="E2395" s="2"/>
      <c r="F2395" s="2"/>
      <c r="G2395" s="2"/>
      <c r="H2395" s="2"/>
      <c r="I2395" s="5"/>
    </row>
    <row r="2396" spans="1:9" ht="17.399999999999999" x14ac:dyDescent="0.25">
      <c r="A2396" s="16"/>
      <c r="B2396" s="17"/>
      <c r="C2396" s="2" t="b">
        <v>0</v>
      </c>
      <c r="D2396" s="2"/>
      <c r="E2396" s="2"/>
      <c r="F2396" s="2"/>
      <c r="G2396" s="2"/>
      <c r="H2396" s="2"/>
      <c r="I2396" s="5"/>
    </row>
    <row r="2397" spans="1:9" ht="17.399999999999999" x14ac:dyDescent="0.25">
      <c r="A2397" s="16"/>
      <c r="B2397" s="17"/>
      <c r="C2397" s="2" t="b">
        <v>0</v>
      </c>
      <c r="D2397" s="2"/>
      <c r="E2397" s="2"/>
      <c r="F2397" s="2"/>
      <c r="G2397" s="2"/>
      <c r="H2397" s="2"/>
      <c r="I2397" s="5"/>
    </row>
    <row r="2398" spans="1:9" ht="17.399999999999999" x14ac:dyDescent="0.25">
      <c r="A2398" s="16"/>
      <c r="B2398" s="17"/>
      <c r="C2398" s="2" t="b">
        <v>0</v>
      </c>
      <c r="D2398" s="2"/>
      <c r="E2398" s="2"/>
      <c r="F2398" s="2"/>
      <c r="G2398" s="2"/>
      <c r="H2398" s="2"/>
      <c r="I2398" s="5"/>
    </row>
    <row r="2399" spans="1:9" ht="17.399999999999999" x14ac:dyDescent="0.25">
      <c r="A2399" s="16"/>
      <c r="B2399" s="17"/>
      <c r="C2399" s="2" t="b">
        <v>0</v>
      </c>
      <c r="D2399" s="2"/>
      <c r="E2399" s="2"/>
      <c r="F2399" s="2"/>
      <c r="G2399" s="2"/>
      <c r="H2399" s="2"/>
      <c r="I2399" s="5"/>
    </row>
    <row r="2400" spans="1:9" ht="17.399999999999999" x14ac:dyDescent="0.25">
      <c r="A2400" s="16"/>
      <c r="B2400" s="17"/>
      <c r="C2400" s="2" t="b">
        <v>0</v>
      </c>
      <c r="D2400" s="2"/>
      <c r="E2400" s="2"/>
      <c r="F2400" s="2"/>
      <c r="G2400" s="2"/>
      <c r="H2400" s="2"/>
      <c r="I2400" s="5"/>
    </row>
    <row r="2401" spans="1:9" ht="17.399999999999999" x14ac:dyDescent="0.25">
      <c r="A2401" s="16"/>
      <c r="B2401" s="17"/>
      <c r="C2401" s="2" t="b">
        <v>0</v>
      </c>
      <c r="D2401" s="2"/>
      <c r="E2401" s="2"/>
      <c r="F2401" s="2"/>
      <c r="G2401" s="2"/>
      <c r="H2401" s="2"/>
      <c r="I2401" s="5"/>
    </row>
    <row r="2402" spans="1:9" ht="17.399999999999999" x14ac:dyDescent="0.25">
      <c r="A2402" s="16"/>
      <c r="B2402" s="17"/>
      <c r="C2402" s="2" t="b">
        <v>0</v>
      </c>
      <c r="D2402" s="2"/>
      <c r="E2402" s="2"/>
      <c r="F2402" s="2"/>
      <c r="G2402" s="2"/>
      <c r="H2402" s="2"/>
      <c r="I2402" s="5"/>
    </row>
    <row r="2403" spans="1:9" ht="17.399999999999999" x14ac:dyDescent="0.25">
      <c r="A2403" s="16"/>
      <c r="B2403" s="17"/>
      <c r="C2403" s="2" t="b">
        <v>0</v>
      </c>
      <c r="D2403" s="2"/>
      <c r="E2403" s="2"/>
      <c r="F2403" s="2"/>
      <c r="G2403" s="2"/>
      <c r="H2403" s="2"/>
      <c r="I2403" s="5"/>
    </row>
    <row r="2404" spans="1:9" ht="17.399999999999999" x14ac:dyDescent="0.25">
      <c r="A2404" s="16"/>
      <c r="B2404" s="17"/>
      <c r="C2404" s="2" t="b">
        <v>0</v>
      </c>
      <c r="D2404" s="2"/>
      <c r="E2404" s="2"/>
      <c r="F2404" s="2"/>
      <c r="G2404" s="2"/>
      <c r="H2404" s="2"/>
      <c r="I2404" s="5"/>
    </row>
    <row r="2405" spans="1:9" ht="17.399999999999999" x14ac:dyDescent="0.25">
      <c r="A2405" s="16"/>
      <c r="B2405" s="17"/>
      <c r="C2405" s="2" t="b">
        <v>0</v>
      </c>
      <c r="D2405" s="2"/>
      <c r="E2405" s="2"/>
      <c r="F2405" s="2"/>
      <c r="G2405" s="2"/>
      <c r="H2405" s="2"/>
      <c r="I2405" s="5"/>
    </row>
    <row r="2406" spans="1:9" ht="17.399999999999999" x14ac:dyDescent="0.25">
      <c r="A2406" s="16"/>
      <c r="B2406" s="17"/>
      <c r="C2406" s="2" t="b">
        <v>0</v>
      </c>
      <c r="D2406" s="2"/>
      <c r="E2406" s="2"/>
      <c r="F2406" s="2"/>
      <c r="G2406" s="2"/>
      <c r="H2406" s="2"/>
      <c r="I2406" s="5"/>
    </row>
    <row r="2407" spans="1:9" ht="17.399999999999999" x14ac:dyDescent="0.25">
      <c r="A2407" s="16"/>
      <c r="B2407" s="17"/>
      <c r="C2407" s="2" t="b">
        <v>0</v>
      </c>
      <c r="D2407" s="2"/>
      <c r="E2407" s="2"/>
      <c r="F2407" s="2"/>
      <c r="G2407" s="2"/>
      <c r="H2407" s="2"/>
      <c r="I2407" s="5"/>
    </row>
    <row r="2408" spans="1:9" ht="17.399999999999999" x14ac:dyDescent="0.25">
      <c r="A2408" s="16"/>
      <c r="B2408" s="17"/>
      <c r="C2408" s="2" t="b">
        <v>0</v>
      </c>
      <c r="D2408" s="2"/>
      <c r="E2408" s="2"/>
      <c r="F2408" s="2"/>
      <c r="G2408" s="2"/>
      <c r="H2408" s="2"/>
      <c r="I2408" s="5"/>
    </row>
    <row r="2409" spans="1:9" ht="17.399999999999999" x14ac:dyDescent="0.25">
      <c r="A2409" s="16"/>
      <c r="B2409" s="17"/>
      <c r="C2409" s="2" t="b">
        <v>0</v>
      </c>
      <c r="D2409" s="2"/>
      <c r="E2409" s="2"/>
      <c r="F2409" s="2"/>
      <c r="G2409" s="2"/>
      <c r="H2409" s="2"/>
      <c r="I2409" s="5"/>
    </row>
    <row r="2410" spans="1:9" ht="17.399999999999999" x14ac:dyDescent="0.25">
      <c r="A2410" s="16"/>
      <c r="B2410" s="17"/>
      <c r="C2410" s="2" t="b">
        <v>0</v>
      </c>
      <c r="D2410" s="2"/>
      <c r="E2410" s="2"/>
      <c r="F2410" s="2"/>
      <c r="G2410" s="2"/>
      <c r="H2410" s="2"/>
      <c r="I2410" s="5"/>
    </row>
    <row r="2411" spans="1:9" ht="17.399999999999999" x14ac:dyDescent="0.25">
      <c r="A2411" s="16"/>
      <c r="B2411" s="17"/>
      <c r="C2411" s="2" t="b">
        <v>0</v>
      </c>
      <c r="D2411" s="2"/>
      <c r="E2411" s="2"/>
      <c r="F2411" s="2"/>
      <c r="G2411" s="2"/>
      <c r="H2411" s="2"/>
      <c r="I2411" s="5"/>
    </row>
    <row r="2412" spans="1:9" ht="17.399999999999999" x14ac:dyDescent="0.25">
      <c r="A2412" s="16"/>
      <c r="B2412" s="17"/>
      <c r="C2412" s="2" t="b">
        <v>0</v>
      </c>
      <c r="D2412" s="2"/>
      <c r="E2412" s="2"/>
      <c r="F2412" s="2"/>
      <c r="G2412" s="2"/>
      <c r="H2412" s="2"/>
      <c r="I2412" s="5"/>
    </row>
    <row r="2413" spans="1:9" ht="17.399999999999999" x14ac:dyDescent="0.25">
      <c r="A2413" s="16"/>
      <c r="B2413" s="17"/>
      <c r="C2413" s="2" t="b">
        <v>0</v>
      </c>
      <c r="D2413" s="2"/>
      <c r="E2413" s="2"/>
      <c r="F2413" s="2"/>
      <c r="G2413" s="2"/>
      <c r="H2413" s="2"/>
      <c r="I2413" s="5"/>
    </row>
    <row r="2414" spans="1:9" ht="17.399999999999999" x14ac:dyDescent="0.25">
      <c r="A2414" s="16"/>
      <c r="B2414" s="17"/>
      <c r="C2414" s="2" t="b">
        <v>0</v>
      </c>
      <c r="D2414" s="2"/>
      <c r="E2414" s="2"/>
      <c r="F2414" s="2"/>
      <c r="G2414" s="2"/>
      <c r="H2414" s="2"/>
      <c r="I2414" s="5"/>
    </row>
    <row r="2415" spans="1:9" ht="17.399999999999999" x14ac:dyDescent="0.25">
      <c r="A2415" s="16"/>
      <c r="B2415" s="17"/>
      <c r="C2415" s="2" t="b">
        <v>0</v>
      </c>
      <c r="D2415" s="2"/>
      <c r="E2415" s="2"/>
      <c r="F2415" s="2"/>
      <c r="G2415" s="2"/>
      <c r="H2415" s="2"/>
      <c r="I2415" s="5"/>
    </row>
    <row r="2416" spans="1:9" ht="17.399999999999999" x14ac:dyDescent="0.25">
      <c r="A2416" s="16"/>
      <c r="B2416" s="17"/>
      <c r="C2416" s="2" t="b">
        <v>0</v>
      </c>
      <c r="D2416" s="2"/>
      <c r="E2416" s="2"/>
      <c r="F2416" s="2"/>
      <c r="G2416" s="2"/>
      <c r="H2416" s="2"/>
      <c r="I2416" s="5"/>
    </row>
    <row r="2417" spans="1:9" ht="17.399999999999999" x14ac:dyDescent="0.25">
      <c r="A2417" s="16"/>
      <c r="B2417" s="17"/>
      <c r="C2417" s="2" t="b">
        <v>0</v>
      </c>
      <c r="D2417" s="2"/>
      <c r="E2417" s="2"/>
      <c r="F2417" s="2"/>
      <c r="G2417" s="2"/>
      <c r="H2417" s="2"/>
      <c r="I2417" s="5"/>
    </row>
    <row r="2418" spans="1:9" ht="17.399999999999999" x14ac:dyDescent="0.25">
      <c r="A2418" s="16"/>
      <c r="B2418" s="17"/>
      <c r="C2418" s="2" t="b">
        <v>0</v>
      </c>
      <c r="D2418" s="2"/>
      <c r="E2418" s="2"/>
      <c r="F2418" s="2"/>
      <c r="G2418" s="2"/>
      <c r="H2418" s="2"/>
      <c r="I2418" s="5"/>
    </row>
    <row r="2419" spans="1:9" ht="17.399999999999999" x14ac:dyDescent="0.25">
      <c r="A2419" s="16"/>
      <c r="B2419" s="17"/>
      <c r="C2419" s="2" t="b">
        <v>0</v>
      </c>
      <c r="D2419" s="2"/>
      <c r="E2419" s="2"/>
      <c r="F2419" s="2"/>
      <c r="G2419" s="2"/>
      <c r="H2419" s="2"/>
      <c r="I2419" s="5"/>
    </row>
    <row r="2420" spans="1:9" ht="17.399999999999999" x14ac:dyDescent="0.25">
      <c r="A2420" s="16"/>
      <c r="B2420" s="17"/>
      <c r="C2420" s="2" t="b">
        <v>0</v>
      </c>
      <c r="D2420" s="2"/>
      <c r="E2420" s="2"/>
      <c r="F2420" s="2"/>
      <c r="G2420" s="2"/>
      <c r="H2420" s="2"/>
      <c r="I2420" s="5"/>
    </row>
    <row r="2421" spans="1:9" ht="17.399999999999999" x14ac:dyDescent="0.25">
      <c r="A2421" s="16"/>
      <c r="B2421" s="17"/>
      <c r="C2421" s="2" t="b">
        <v>0</v>
      </c>
      <c r="D2421" s="2"/>
      <c r="E2421" s="2"/>
      <c r="F2421" s="2"/>
      <c r="G2421" s="2"/>
      <c r="H2421" s="2"/>
      <c r="I2421" s="5"/>
    </row>
    <row r="2422" spans="1:9" ht="17.399999999999999" x14ac:dyDescent="0.25">
      <c r="A2422" s="16"/>
      <c r="B2422" s="17"/>
      <c r="C2422" s="2" t="b">
        <v>0</v>
      </c>
      <c r="D2422" s="2"/>
      <c r="E2422" s="2"/>
      <c r="F2422" s="2"/>
      <c r="G2422" s="2"/>
      <c r="H2422" s="2"/>
      <c r="I2422" s="5"/>
    </row>
    <row r="2423" spans="1:9" ht="17.399999999999999" x14ac:dyDescent="0.25">
      <c r="A2423" s="16"/>
      <c r="B2423" s="17"/>
      <c r="C2423" s="2" t="b">
        <v>0</v>
      </c>
      <c r="D2423" s="2"/>
      <c r="E2423" s="2"/>
      <c r="F2423" s="2"/>
      <c r="G2423" s="2"/>
      <c r="H2423" s="2"/>
      <c r="I2423" s="5"/>
    </row>
    <row r="2424" spans="1:9" ht="17.399999999999999" x14ac:dyDescent="0.25">
      <c r="A2424" s="16"/>
      <c r="B2424" s="17"/>
      <c r="C2424" s="2" t="b">
        <v>0</v>
      </c>
      <c r="D2424" s="2"/>
      <c r="E2424" s="2"/>
      <c r="F2424" s="2"/>
      <c r="G2424" s="2"/>
      <c r="H2424" s="2"/>
      <c r="I2424" s="5"/>
    </row>
    <row r="2425" spans="1:9" ht="17.399999999999999" x14ac:dyDescent="0.25">
      <c r="A2425" s="16"/>
      <c r="B2425" s="17"/>
      <c r="C2425" s="2" t="b">
        <v>0</v>
      </c>
      <c r="D2425" s="2"/>
      <c r="E2425" s="2"/>
      <c r="F2425" s="2"/>
      <c r="G2425" s="2"/>
      <c r="H2425" s="2"/>
      <c r="I2425" s="5"/>
    </row>
    <row r="2426" spans="1:9" ht="17.399999999999999" x14ac:dyDescent="0.25">
      <c r="A2426" s="16"/>
      <c r="B2426" s="17"/>
      <c r="C2426" s="2" t="b">
        <v>0</v>
      </c>
      <c r="D2426" s="2"/>
      <c r="E2426" s="2"/>
      <c r="F2426" s="2"/>
      <c r="G2426" s="2"/>
      <c r="H2426" s="2"/>
      <c r="I2426" s="5"/>
    </row>
    <row r="2427" spans="1:9" ht="17.399999999999999" x14ac:dyDescent="0.25">
      <c r="A2427" s="16"/>
      <c r="B2427" s="17"/>
      <c r="C2427" s="2" t="b">
        <v>0</v>
      </c>
      <c r="D2427" s="2"/>
      <c r="E2427" s="2"/>
      <c r="F2427" s="2"/>
      <c r="G2427" s="2"/>
      <c r="H2427" s="2"/>
      <c r="I2427" s="5"/>
    </row>
    <row r="2428" spans="1:9" ht="17.399999999999999" x14ac:dyDescent="0.25">
      <c r="A2428" s="16"/>
      <c r="B2428" s="17"/>
      <c r="C2428" s="2" t="b">
        <v>0</v>
      </c>
      <c r="D2428" s="2"/>
      <c r="E2428" s="2"/>
      <c r="F2428" s="2"/>
      <c r="G2428" s="2"/>
      <c r="H2428" s="2"/>
      <c r="I2428" s="5"/>
    </row>
    <row r="2429" spans="1:9" ht="17.399999999999999" x14ac:dyDescent="0.25">
      <c r="A2429" s="16"/>
      <c r="B2429" s="17"/>
      <c r="C2429" s="2" t="b">
        <v>0</v>
      </c>
      <c r="D2429" s="2"/>
      <c r="E2429" s="2"/>
      <c r="F2429" s="2"/>
      <c r="G2429" s="2"/>
      <c r="H2429" s="2"/>
      <c r="I2429" s="5"/>
    </row>
    <row r="2430" spans="1:9" ht="17.399999999999999" x14ac:dyDescent="0.25">
      <c r="A2430" s="16"/>
      <c r="B2430" s="17"/>
      <c r="C2430" s="2" t="b">
        <v>0</v>
      </c>
      <c r="D2430" s="2"/>
      <c r="E2430" s="2"/>
      <c r="F2430" s="2"/>
      <c r="G2430" s="2"/>
      <c r="H2430" s="2"/>
      <c r="I2430" s="5"/>
    </row>
    <row r="2431" spans="1:9" ht="17.399999999999999" x14ac:dyDescent="0.25">
      <c r="A2431" s="16"/>
      <c r="B2431" s="17"/>
      <c r="C2431" s="2" t="b">
        <v>0</v>
      </c>
      <c r="D2431" s="2"/>
      <c r="E2431" s="2"/>
      <c r="F2431" s="2"/>
      <c r="G2431" s="2"/>
      <c r="H2431" s="2"/>
      <c r="I2431" s="5"/>
    </row>
    <row r="2432" spans="1:9" ht="17.399999999999999" x14ac:dyDescent="0.25">
      <c r="A2432" s="16"/>
      <c r="B2432" s="17"/>
      <c r="C2432" s="2" t="b">
        <v>0</v>
      </c>
      <c r="D2432" s="2"/>
      <c r="E2432" s="2"/>
      <c r="F2432" s="2"/>
      <c r="G2432" s="2"/>
      <c r="H2432" s="2"/>
      <c r="I2432" s="5"/>
    </row>
    <row r="2433" spans="1:9" ht="17.399999999999999" x14ac:dyDescent="0.25">
      <c r="A2433" s="16"/>
      <c r="B2433" s="17"/>
      <c r="C2433" s="2" t="b">
        <v>0</v>
      </c>
      <c r="D2433" s="2"/>
      <c r="E2433" s="2"/>
      <c r="F2433" s="2"/>
      <c r="G2433" s="2"/>
      <c r="H2433" s="2"/>
      <c r="I2433" s="5"/>
    </row>
    <row r="2434" spans="1:9" ht="17.399999999999999" x14ac:dyDescent="0.25">
      <c r="A2434" s="16"/>
      <c r="B2434" s="17"/>
      <c r="C2434" s="2" t="b">
        <v>0</v>
      </c>
      <c r="D2434" s="2"/>
      <c r="E2434" s="2"/>
      <c r="F2434" s="2"/>
      <c r="G2434" s="2"/>
      <c r="H2434" s="2"/>
      <c r="I2434" s="5"/>
    </row>
    <row r="2435" spans="1:9" ht="17.399999999999999" x14ac:dyDescent="0.25">
      <c r="A2435" s="16"/>
      <c r="B2435" s="17"/>
      <c r="C2435" s="2" t="b">
        <v>0</v>
      </c>
      <c r="D2435" s="2"/>
      <c r="E2435" s="2"/>
      <c r="F2435" s="2"/>
      <c r="G2435" s="2"/>
      <c r="H2435" s="2"/>
      <c r="I2435" s="5"/>
    </row>
    <row r="2436" spans="1:9" ht="17.399999999999999" x14ac:dyDescent="0.25">
      <c r="A2436" s="16"/>
      <c r="B2436" s="17"/>
      <c r="C2436" s="2" t="b">
        <v>0</v>
      </c>
      <c r="D2436" s="2"/>
      <c r="E2436" s="2"/>
      <c r="F2436" s="2"/>
      <c r="G2436" s="2"/>
      <c r="H2436" s="2"/>
      <c r="I2436" s="5"/>
    </row>
    <row r="2437" spans="1:9" ht="17.399999999999999" x14ac:dyDescent="0.25">
      <c r="A2437" s="16"/>
      <c r="B2437" s="17"/>
      <c r="C2437" s="2" t="b">
        <v>0</v>
      </c>
      <c r="D2437" s="2"/>
      <c r="E2437" s="2"/>
      <c r="F2437" s="2"/>
      <c r="G2437" s="2"/>
      <c r="H2437" s="2"/>
      <c r="I2437" s="5"/>
    </row>
    <row r="2438" spans="1:9" ht="17.399999999999999" x14ac:dyDescent="0.25">
      <c r="A2438" s="16"/>
      <c r="B2438" s="17"/>
      <c r="C2438" s="2" t="b">
        <v>0</v>
      </c>
      <c r="D2438" s="2"/>
      <c r="E2438" s="2"/>
      <c r="F2438" s="2"/>
      <c r="G2438" s="2"/>
      <c r="H2438" s="2"/>
      <c r="I2438" s="5"/>
    </row>
    <row r="2439" spans="1:9" ht="17.399999999999999" x14ac:dyDescent="0.25">
      <c r="A2439" s="16"/>
      <c r="B2439" s="17"/>
      <c r="C2439" s="2" t="b">
        <v>0</v>
      </c>
      <c r="D2439" s="2"/>
      <c r="E2439" s="2"/>
      <c r="F2439" s="2"/>
      <c r="G2439" s="2"/>
      <c r="H2439" s="2"/>
      <c r="I2439" s="5"/>
    </row>
    <row r="2440" spans="1:9" ht="17.399999999999999" x14ac:dyDescent="0.25">
      <c r="A2440" s="16"/>
      <c r="B2440" s="17"/>
      <c r="C2440" s="2" t="b">
        <v>0</v>
      </c>
      <c r="D2440" s="2"/>
      <c r="E2440" s="2"/>
      <c r="F2440" s="2"/>
      <c r="G2440" s="2"/>
      <c r="H2440" s="2"/>
      <c r="I2440" s="5"/>
    </row>
  </sheetData>
  <mergeCells count="2">
    <mergeCell ref="B2:H2"/>
    <mergeCell ref="B3:H3"/>
  </mergeCells>
  <conditionalFormatting sqref="A1:H2440">
    <cfRule type="cellIs" dxfId="1" priority="1" operator="equal">
      <formula>"Purchased Perks"</formula>
    </cfRule>
    <cfRule type="expression" dxfId="0" priority="2">
      <formula>IF($E1="Purchased Perks",TRUE,FALSE)</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outlinePr summaryBelow="0" summaryRight="0"/>
  </sheetPr>
  <dimension ref="A1:XFD1015"/>
  <sheetViews>
    <sheetView topLeftCell="A2" workbookViewId="0"/>
  </sheetViews>
  <sheetFormatPr defaultColWidth="12.6640625" defaultRowHeight="15.75" customHeight="1" x14ac:dyDescent="0.25"/>
  <cols>
    <col min="16384" max="16384" width="0" hidden="1" customWidth="1"/>
  </cols>
  <sheetData>
    <row r="1" spans="1:26 16384:16384" ht="13.2" hidden="1" x14ac:dyDescent="0.25">
      <c r="A1" s="55" t="s">
        <v>5662</v>
      </c>
      <c r="B1" s="40"/>
      <c r="C1" s="40"/>
      <c r="D1" s="40"/>
      <c r="E1" s="40"/>
      <c r="F1" s="40"/>
      <c r="G1" s="28"/>
      <c r="H1" s="28"/>
      <c r="I1" s="28"/>
      <c r="J1" s="28"/>
      <c r="K1" s="28"/>
      <c r="L1" s="28"/>
      <c r="M1" s="28"/>
      <c r="N1" s="28"/>
      <c r="O1" s="28"/>
      <c r="P1" s="28"/>
      <c r="Q1" s="28"/>
      <c r="R1" s="28"/>
      <c r="S1" s="28"/>
      <c r="T1" s="28"/>
      <c r="U1" s="28"/>
      <c r="V1" s="28"/>
      <c r="W1" s="28"/>
      <c r="X1" s="28"/>
      <c r="Y1" s="28"/>
      <c r="Z1" s="28"/>
      <c r="XFD1">
        <f ca="1">IF('Roll All'!$B$4="Roll!",RAND(),RAND())</f>
        <v>0.89881403435375007</v>
      </c>
    </row>
    <row r="2" spans="1:26 16384:16384" ht="13.2" x14ac:dyDescent="0.25">
      <c r="A2" s="40"/>
      <c r="B2" s="40"/>
      <c r="C2" s="40"/>
      <c r="D2" s="40"/>
      <c r="E2" s="40"/>
      <c r="F2" s="40"/>
      <c r="G2" s="28"/>
      <c r="H2" s="28"/>
      <c r="I2" s="28"/>
      <c r="J2" s="28"/>
      <c r="K2" s="28"/>
      <c r="L2" s="28"/>
      <c r="M2" s="28"/>
      <c r="N2" s="28"/>
      <c r="O2" s="28"/>
      <c r="P2" s="28"/>
      <c r="Q2" s="28"/>
      <c r="R2" s="28"/>
      <c r="S2" s="28"/>
      <c r="T2" s="28"/>
      <c r="U2" s="28"/>
      <c r="V2" s="28"/>
      <c r="W2" s="28"/>
      <c r="X2" s="28"/>
      <c r="Y2" s="28"/>
      <c r="Z2" s="28"/>
    </row>
    <row r="3" spans="1:26 16384:16384" ht="13.2" x14ac:dyDescent="0.25">
      <c r="A3" s="42" t="s">
        <v>5663</v>
      </c>
      <c r="B3" s="40"/>
      <c r="C3" s="40"/>
      <c r="D3" s="40"/>
      <c r="E3" s="40"/>
      <c r="F3" s="40"/>
      <c r="G3" s="28"/>
      <c r="H3" s="28"/>
      <c r="I3" s="28"/>
      <c r="J3" s="28"/>
      <c r="K3" s="28"/>
      <c r="L3" s="28"/>
      <c r="M3" s="28"/>
      <c r="N3" s="28"/>
      <c r="O3" s="28"/>
      <c r="P3" s="28"/>
      <c r="Q3" s="28"/>
      <c r="R3" s="28"/>
      <c r="S3" s="28"/>
      <c r="T3" s="28"/>
      <c r="U3" s="28"/>
      <c r="V3" s="28"/>
      <c r="W3" s="28"/>
      <c r="X3" s="28"/>
      <c r="Y3" s="28"/>
      <c r="Z3" s="28"/>
    </row>
    <row r="4" spans="1:26 16384:16384" ht="13.2" x14ac:dyDescent="0.25">
      <c r="A4" s="40"/>
      <c r="B4" s="40"/>
      <c r="C4" s="40"/>
      <c r="D4" s="40"/>
      <c r="E4" s="40"/>
      <c r="F4" s="40"/>
      <c r="G4" s="28"/>
      <c r="H4" s="28"/>
      <c r="I4" s="28"/>
      <c r="J4" s="28"/>
      <c r="K4" s="28"/>
      <c r="L4" s="28"/>
      <c r="M4" s="28"/>
      <c r="N4" s="28"/>
      <c r="O4" s="28"/>
      <c r="P4" s="28"/>
      <c r="Q4" s="28"/>
      <c r="R4" s="28"/>
      <c r="S4" s="28"/>
      <c r="T4" s="28"/>
      <c r="U4" s="28"/>
      <c r="V4" s="28"/>
      <c r="W4" s="28"/>
      <c r="X4" s="28"/>
      <c r="Y4" s="28"/>
      <c r="Z4" s="28"/>
    </row>
    <row r="5" spans="1:26 16384:16384" ht="13.2" x14ac:dyDescent="0.25">
      <c r="A5" s="40"/>
      <c r="B5" s="40"/>
      <c r="C5" s="40"/>
      <c r="D5" s="40"/>
      <c r="E5" s="40"/>
      <c r="F5" s="40"/>
      <c r="G5" s="28"/>
      <c r="H5" s="28"/>
      <c r="I5" s="28"/>
      <c r="J5" s="28"/>
      <c r="K5" s="28"/>
      <c r="L5" s="28"/>
      <c r="M5" s="28"/>
      <c r="N5" s="28"/>
      <c r="O5" s="28"/>
      <c r="P5" s="28"/>
      <c r="Q5" s="28"/>
      <c r="R5" s="28"/>
      <c r="S5" s="28"/>
      <c r="T5" s="28"/>
      <c r="U5" s="28"/>
      <c r="V5" s="28"/>
      <c r="W5" s="28"/>
      <c r="X5" s="28"/>
      <c r="Y5" s="28"/>
      <c r="Z5" s="28"/>
    </row>
    <row r="6" spans="1:26 16384:16384" ht="13.2" x14ac:dyDescent="0.25">
      <c r="A6" s="55" t="s">
        <v>5664</v>
      </c>
      <c r="B6" s="40"/>
      <c r="C6" s="40"/>
      <c r="D6" s="40"/>
      <c r="E6" s="40"/>
      <c r="F6" s="40"/>
      <c r="G6" s="28"/>
      <c r="H6" s="28"/>
      <c r="I6" s="28"/>
      <c r="J6" s="28"/>
      <c r="K6" s="28"/>
      <c r="L6" s="28"/>
      <c r="M6" s="28"/>
      <c r="N6" s="28"/>
      <c r="O6" s="28"/>
      <c r="P6" s="28"/>
      <c r="Q6" s="28"/>
      <c r="R6" s="28"/>
      <c r="S6" s="28"/>
      <c r="T6" s="28"/>
      <c r="U6" s="28"/>
      <c r="V6" s="28"/>
      <c r="W6" s="28"/>
      <c r="X6" s="28"/>
      <c r="Y6" s="28"/>
      <c r="Z6" s="28"/>
    </row>
    <row r="7" spans="1:26 16384:16384" ht="13.2" x14ac:dyDescent="0.25">
      <c r="A7" s="40"/>
      <c r="B7" s="40"/>
      <c r="C7" s="40"/>
      <c r="D7" s="40"/>
      <c r="E7" s="40"/>
      <c r="F7" s="40"/>
      <c r="G7" s="28"/>
      <c r="H7" s="28"/>
      <c r="I7" s="28"/>
      <c r="J7" s="28"/>
      <c r="K7" s="28"/>
      <c r="L7" s="28"/>
      <c r="M7" s="28"/>
      <c r="N7" s="28"/>
      <c r="O7" s="28"/>
      <c r="P7" s="28"/>
      <c r="Q7" s="28"/>
      <c r="R7" s="28"/>
      <c r="S7" s="28"/>
      <c r="T7" s="28"/>
      <c r="U7" s="28"/>
      <c r="V7" s="28"/>
      <c r="W7" s="28"/>
      <c r="X7" s="28"/>
      <c r="Y7" s="28"/>
      <c r="Z7" s="28"/>
    </row>
    <row r="8" spans="1:26 16384:16384" ht="13.2" x14ac:dyDescent="0.25">
      <c r="A8" s="42" t="s">
        <v>5665</v>
      </c>
      <c r="B8" s="40"/>
      <c r="C8" s="40"/>
      <c r="D8" s="40"/>
      <c r="E8" s="40"/>
      <c r="F8" s="40"/>
      <c r="G8" s="28"/>
      <c r="H8" s="28"/>
      <c r="I8" s="28"/>
      <c r="J8" s="28"/>
      <c r="K8" s="28"/>
      <c r="L8" s="28"/>
      <c r="M8" s="28"/>
      <c r="N8" s="28"/>
      <c r="O8" s="28"/>
      <c r="P8" s="28"/>
      <c r="Q8" s="28"/>
      <c r="R8" s="28"/>
      <c r="S8" s="28"/>
      <c r="T8" s="28"/>
      <c r="U8" s="28"/>
      <c r="V8" s="28"/>
      <c r="W8" s="28"/>
      <c r="X8" s="28"/>
      <c r="Y8" s="28"/>
      <c r="Z8" s="28"/>
    </row>
    <row r="9" spans="1:26 16384:16384" ht="13.2" x14ac:dyDescent="0.25">
      <c r="A9" s="40"/>
      <c r="B9" s="40"/>
      <c r="C9" s="40"/>
      <c r="D9" s="40"/>
      <c r="E9" s="40"/>
      <c r="F9" s="40"/>
      <c r="G9" s="28"/>
      <c r="H9" s="28"/>
      <c r="I9" s="28"/>
      <c r="J9" s="28"/>
      <c r="K9" s="28"/>
      <c r="L9" s="28"/>
      <c r="M9" s="28"/>
      <c r="N9" s="28"/>
      <c r="O9" s="28"/>
      <c r="P9" s="28"/>
      <c r="Q9" s="28"/>
      <c r="R9" s="28"/>
      <c r="S9" s="28"/>
      <c r="T9" s="28"/>
      <c r="U9" s="28"/>
      <c r="V9" s="28"/>
      <c r="W9" s="28"/>
      <c r="X9" s="28"/>
      <c r="Y9" s="28"/>
      <c r="Z9" s="28"/>
    </row>
    <row r="10" spans="1:26 16384:16384" ht="13.2" x14ac:dyDescent="0.25">
      <c r="A10" s="40"/>
      <c r="B10" s="40"/>
      <c r="C10" s="40"/>
      <c r="D10" s="40"/>
      <c r="E10" s="40"/>
      <c r="F10" s="40"/>
      <c r="G10" s="28"/>
      <c r="H10" s="28"/>
      <c r="I10" s="28"/>
      <c r="J10" s="28"/>
      <c r="K10" s="28"/>
      <c r="L10" s="28"/>
      <c r="M10" s="28"/>
      <c r="N10" s="28"/>
      <c r="O10" s="28"/>
      <c r="P10" s="28"/>
      <c r="Q10" s="28"/>
      <c r="R10" s="28"/>
      <c r="S10" s="28"/>
      <c r="T10" s="28"/>
      <c r="U10" s="28"/>
      <c r="V10" s="28"/>
      <c r="W10" s="28"/>
      <c r="X10" s="28"/>
      <c r="Y10" s="28"/>
      <c r="Z10" s="28"/>
    </row>
    <row r="11" spans="1:26 16384:16384" ht="13.2" x14ac:dyDescent="0.25">
      <c r="A11" s="55" t="s">
        <v>5666</v>
      </c>
      <c r="B11" s="40"/>
      <c r="C11" s="40"/>
      <c r="D11" s="40"/>
      <c r="E11" s="40"/>
      <c r="F11" s="40"/>
      <c r="G11" s="28"/>
      <c r="H11" s="28"/>
      <c r="I11" s="28"/>
      <c r="J11" s="28"/>
      <c r="K11" s="28"/>
      <c r="L11" s="28"/>
      <c r="M11" s="28"/>
      <c r="N11" s="28"/>
      <c r="O11" s="28"/>
      <c r="P11" s="28"/>
      <c r="Q11" s="28"/>
      <c r="R11" s="28"/>
      <c r="S11" s="28"/>
      <c r="T11" s="28"/>
      <c r="U11" s="28"/>
      <c r="V11" s="28"/>
      <c r="W11" s="28"/>
      <c r="X11" s="28"/>
      <c r="Y11" s="28"/>
      <c r="Z11" s="28"/>
    </row>
    <row r="12" spans="1:26 16384:16384" ht="13.2" x14ac:dyDescent="0.25">
      <c r="A12" s="40"/>
      <c r="B12" s="40"/>
      <c r="C12" s="40"/>
      <c r="D12" s="40"/>
      <c r="E12" s="40"/>
      <c r="F12" s="40"/>
      <c r="G12" s="28"/>
      <c r="H12" s="28"/>
      <c r="I12" s="28"/>
      <c r="J12" s="28"/>
      <c r="K12" s="28"/>
      <c r="L12" s="28"/>
      <c r="M12" s="28"/>
      <c r="N12" s="28"/>
      <c r="O12" s="28"/>
      <c r="P12" s="28"/>
      <c r="Q12" s="28"/>
      <c r="R12" s="28"/>
      <c r="S12" s="28"/>
      <c r="T12" s="28"/>
      <c r="U12" s="28"/>
      <c r="V12" s="28"/>
      <c r="W12" s="28"/>
      <c r="X12" s="28"/>
      <c r="Y12" s="28"/>
      <c r="Z12" s="28"/>
    </row>
    <row r="13" spans="1:26 16384:16384" ht="13.2" x14ac:dyDescent="0.25">
      <c r="A13" s="42" t="s">
        <v>5667</v>
      </c>
      <c r="B13" s="40"/>
      <c r="C13" s="40"/>
      <c r="D13" s="40"/>
      <c r="E13" s="40"/>
      <c r="F13" s="40"/>
      <c r="G13" s="28"/>
      <c r="H13" s="28"/>
      <c r="I13" s="28"/>
      <c r="J13" s="28"/>
      <c r="K13" s="28"/>
      <c r="L13" s="28"/>
      <c r="M13" s="28"/>
      <c r="N13" s="28"/>
      <c r="O13" s="28"/>
      <c r="P13" s="28"/>
      <c r="Q13" s="28"/>
      <c r="R13" s="28"/>
      <c r="S13" s="28"/>
      <c r="T13" s="28"/>
      <c r="U13" s="28"/>
      <c r="V13" s="28"/>
      <c r="W13" s="28"/>
      <c r="X13" s="28"/>
      <c r="Y13" s="28"/>
      <c r="Z13" s="28"/>
    </row>
    <row r="14" spans="1:26 16384:16384" ht="13.2" x14ac:dyDescent="0.25">
      <c r="A14" s="40"/>
      <c r="B14" s="40"/>
      <c r="C14" s="40"/>
      <c r="D14" s="40"/>
      <c r="E14" s="40"/>
      <c r="F14" s="40"/>
      <c r="G14" s="28"/>
      <c r="H14" s="28"/>
      <c r="I14" s="28"/>
      <c r="J14" s="28"/>
      <c r="K14" s="28"/>
      <c r="L14" s="28"/>
      <c r="M14" s="28"/>
      <c r="N14" s="28"/>
      <c r="O14" s="28"/>
      <c r="P14" s="28"/>
      <c r="Q14" s="28"/>
      <c r="R14" s="28"/>
      <c r="S14" s="28"/>
      <c r="T14" s="28"/>
      <c r="U14" s="28"/>
      <c r="V14" s="28"/>
      <c r="W14" s="28"/>
      <c r="X14" s="28"/>
      <c r="Y14" s="28"/>
      <c r="Z14" s="28"/>
    </row>
    <row r="15" spans="1:26 16384:16384" ht="13.2" x14ac:dyDescent="0.25">
      <c r="A15" s="40"/>
      <c r="B15" s="40"/>
      <c r="C15" s="40"/>
      <c r="D15" s="40"/>
      <c r="E15" s="40"/>
      <c r="F15" s="40"/>
      <c r="G15" s="28"/>
      <c r="H15" s="28"/>
      <c r="I15" s="28"/>
      <c r="J15" s="28"/>
      <c r="K15" s="28"/>
      <c r="L15" s="28"/>
      <c r="M15" s="28"/>
      <c r="N15" s="28"/>
      <c r="O15" s="28"/>
      <c r="P15" s="28"/>
      <c r="Q15" s="28"/>
      <c r="R15" s="28"/>
      <c r="S15" s="28"/>
      <c r="T15" s="28"/>
      <c r="U15" s="28"/>
      <c r="V15" s="28"/>
      <c r="W15" s="28"/>
      <c r="X15" s="28"/>
      <c r="Y15" s="28"/>
      <c r="Z15" s="28"/>
    </row>
    <row r="16" spans="1:26 16384:16384" ht="17.399999999999999" x14ac:dyDescent="0.25">
      <c r="A16" s="55" t="s">
        <v>5668</v>
      </c>
      <c r="B16" s="40"/>
      <c r="C16" s="40"/>
      <c r="D16" s="40"/>
      <c r="E16" s="40"/>
      <c r="F16" s="40"/>
      <c r="G16" s="2"/>
      <c r="H16" s="2"/>
      <c r="I16" s="2"/>
      <c r="J16" s="2"/>
      <c r="K16" s="2"/>
      <c r="L16" s="2"/>
      <c r="M16" s="2"/>
      <c r="N16" s="2"/>
      <c r="O16" s="2"/>
      <c r="P16" s="2"/>
      <c r="Q16" s="2"/>
      <c r="R16" s="2"/>
      <c r="S16" s="2"/>
      <c r="T16" s="2"/>
      <c r="U16" s="2"/>
      <c r="V16" s="2"/>
      <c r="W16" s="2"/>
      <c r="X16" s="2"/>
      <c r="Y16" s="2"/>
      <c r="Z16" s="2"/>
    </row>
    <row r="17" spans="1:26" ht="17.399999999999999" x14ac:dyDescent="0.25">
      <c r="A17" s="40"/>
      <c r="B17" s="40"/>
      <c r="C17" s="40"/>
      <c r="D17" s="40"/>
      <c r="E17" s="40"/>
      <c r="F17" s="40"/>
      <c r="G17" s="2"/>
      <c r="H17" s="2"/>
      <c r="I17" s="2"/>
      <c r="J17" s="2"/>
      <c r="K17" s="2"/>
      <c r="L17" s="2"/>
      <c r="M17" s="2"/>
      <c r="N17" s="2"/>
      <c r="O17" s="2"/>
      <c r="P17" s="2"/>
      <c r="Q17" s="2"/>
      <c r="R17" s="2"/>
      <c r="S17" s="2"/>
      <c r="T17" s="2"/>
      <c r="U17" s="2"/>
      <c r="V17" s="2"/>
      <c r="W17" s="2"/>
      <c r="X17" s="2"/>
      <c r="Y17" s="2"/>
      <c r="Z17" s="2"/>
    </row>
    <row r="18" spans="1:26" ht="17.399999999999999" x14ac:dyDescent="0.25">
      <c r="A18" s="42" t="s">
        <v>5669</v>
      </c>
      <c r="B18" s="40"/>
      <c r="C18" s="40"/>
      <c r="D18" s="40"/>
      <c r="E18" s="40"/>
      <c r="F18" s="40"/>
      <c r="G18" s="2"/>
      <c r="H18" s="2"/>
      <c r="I18" s="2"/>
      <c r="J18" s="2"/>
      <c r="K18" s="2"/>
      <c r="L18" s="2"/>
      <c r="M18" s="2"/>
      <c r="N18" s="2"/>
      <c r="O18" s="2"/>
      <c r="P18" s="2"/>
      <c r="Q18" s="2"/>
      <c r="R18" s="2"/>
      <c r="S18" s="2"/>
      <c r="T18" s="2"/>
      <c r="U18" s="2"/>
      <c r="V18" s="2"/>
      <c r="W18" s="2"/>
      <c r="X18" s="2"/>
      <c r="Y18" s="2"/>
      <c r="Z18" s="2"/>
    </row>
    <row r="19" spans="1:26" ht="17.399999999999999" x14ac:dyDescent="0.25">
      <c r="A19" s="40"/>
      <c r="B19" s="40"/>
      <c r="C19" s="40"/>
      <c r="D19" s="40"/>
      <c r="E19" s="40"/>
      <c r="F19" s="40"/>
      <c r="G19" s="2"/>
      <c r="H19" s="2"/>
      <c r="I19" s="2"/>
      <c r="J19" s="2"/>
      <c r="K19" s="2"/>
      <c r="L19" s="2"/>
      <c r="M19" s="2"/>
      <c r="N19" s="2"/>
      <c r="O19" s="2"/>
      <c r="P19" s="2"/>
      <c r="Q19" s="2"/>
      <c r="R19" s="2"/>
      <c r="S19" s="2"/>
      <c r="T19" s="2"/>
      <c r="U19" s="2"/>
      <c r="V19" s="2"/>
      <c r="W19" s="2"/>
      <c r="X19" s="2"/>
      <c r="Y19" s="2"/>
      <c r="Z19" s="2"/>
    </row>
    <row r="20" spans="1:26" ht="17.399999999999999" x14ac:dyDescent="0.25">
      <c r="A20" s="40"/>
      <c r="B20" s="40"/>
      <c r="C20" s="40"/>
      <c r="D20" s="40"/>
      <c r="E20" s="40"/>
      <c r="F20" s="40"/>
      <c r="G20" s="2"/>
      <c r="H20" s="2"/>
      <c r="I20" s="2"/>
      <c r="J20" s="2"/>
      <c r="K20" s="2"/>
      <c r="L20" s="2"/>
      <c r="M20" s="2"/>
      <c r="N20" s="2"/>
      <c r="O20" s="2"/>
      <c r="P20" s="2"/>
      <c r="Q20" s="2"/>
      <c r="R20" s="2"/>
      <c r="S20" s="2"/>
      <c r="T20" s="2"/>
      <c r="U20" s="2"/>
      <c r="V20" s="2"/>
      <c r="W20" s="2"/>
      <c r="X20" s="2"/>
      <c r="Y20" s="2"/>
      <c r="Z20" s="2"/>
    </row>
    <row r="21" spans="1:26" ht="17.39999999999999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row>
    <row r="22" spans="1:26" ht="17.39999999999999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row>
    <row r="23" spans="1:26" ht="17.39999999999999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row>
    <row r="24" spans="1:26" ht="17.39999999999999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row>
    <row r="25" spans="1:26" ht="17.39999999999999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row>
    <row r="26" spans="1:26" ht="17.39999999999999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row>
    <row r="27" spans="1:26" ht="17.39999999999999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row>
    <row r="28" spans="1:26" ht="17.39999999999999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row>
    <row r="29" spans="1:26" ht="17.39999999999999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row>
    <row r="30" spans="1:26" ht="17.39999999999999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row>
    <row r="31" spans="1:26" ht="17.39999999999999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row>
    <row r="32" spans="1:26" ht="17.39999999999999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row>
    <row r="33" spans="1:26" ht="17.39999999999999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17.39999999999999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17.39999999999999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17.39999999999999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17.39999999999999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17.39999999999999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7.39999999999999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17.39999999999999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17.39999999999999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17.39999999999999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7.39999999999999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17.39999999999999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7.39999999999999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17.39999999999999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17.39999999999999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17.39999999999999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17.39999999999999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17.39999999999999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7.39999999999999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7.39999999999999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7.39999999999999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7.39999999999999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7.39999999999999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7.39999999999999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7.39999999999999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7.39999999999999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7.39999999999999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7.39999999999999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7.39999999999999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7.39999999999999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7.39999999999999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7.39999999999999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7.39999999999999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7.39999999999999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7.39999999999999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7.39999999999999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7.39999999999999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7.39999999999999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7.39999999999999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7.39999999999999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7.39999999999999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7.39999999999999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7.39999999999999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7.39999999999999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7.39999999999999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7.39999999999999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7.39999999999999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7.39999999999999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7.39999999999999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7.39999999999999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7.39999999999999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7.39999999999999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7.39999999999999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7.39999999999999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7.39999999999999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7.39999999999999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7.39999999999999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7.39999999999999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7.39999999999999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7.39999999999999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7.39999999999999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7.39999999999999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7.39999999999999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7.39999999999999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7.39999999999999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7.39999999999999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7.39999999999999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7.39999999999999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7.39999999999999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7.39999999999999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7.39999999999999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7.39999999999999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7.39999999999999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7.39999999999999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7.39999999999999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7.39999999999999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7.39999999999999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7.39999999999999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7.39999999999999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7.39999999999999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7.39999999999999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7.39999999999999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7.39999999999999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7.39999999999999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7.39999999999999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7.39999999999999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7.39999999999999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7.39999999999999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7.39999999999999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7.39999999999999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7.39999999999999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7.39999999999999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7.39999999999999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7.39999999999999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7.39999999999999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7.39999999999999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7.39999999999999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7.39999999999999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7.39999999999999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7.39999999999999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7.39999999999999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7.39999999999999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7.39999999999999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7.39999999999999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7.39999999999999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7.39999999999999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7.39999999999999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7.39999999999999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7.39999999999999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7.39999999999999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7.39999999999999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7.39999999999999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7.39999999999999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7.39999999999999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7.39999999999999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7.39999999999999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7.39999999999999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7.39999999999999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7.39999999999999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7.39999999999999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7.39999999999999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7.39999999999999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7.39999999999999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7.39999999999999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7.39999999999999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7.39999999999999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7.39999999999999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7.39999999999999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7.39999999999999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7.39999999999999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7.39999999999999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7.39999999999999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7.39999999999999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7.39999999999999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7.39999999999999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7.39999999999999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7.39999999999999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7.39999999999999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7.39999999999999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7.39999999999999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7.39999999999999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7.39999999999999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7.39999999999999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7.39999999999999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7.39999999999999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7.39999999999999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7.39999999999999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7.39999999999999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7.39999999999999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7.39999999999999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7.39999999999999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7.39999999999999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7.39999999999999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7.39999999999999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7.39999999999999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7.39999999999999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7.39999999999999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7.39999999999999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7.39999999999999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7.39999999999999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7.39999999999999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7.39999999999999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7.39999999999999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7.39999999999999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7.39999999999999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7.39999999999999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7.39999999999999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7.39999999999999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7.39999999999999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7.39999999999999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7.39999999999999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7.39999999999999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7.39999999999999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7.39999999999999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7.39999999999999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7.39999999999999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7.39999999999999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7.39999999999999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7.39999999999999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7.39999999999999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7.39999999999999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7.39999999999999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7.39999999999999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7.39999999999999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7.39999999999999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7.39999999999999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7.39999999999999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7.39999999999999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7.39999999999999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7.39999999999999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7.39999999999999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7.39999999999999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7.39999999999999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7.39999999999999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7.39999999999999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7.39999999999999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7.39999999999999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7.39999999999999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7.39999999999999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7.39999999999999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7.39999999999999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7.39999999999999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7.39999999999999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7.39999999999999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7.39999999999999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7.39999999999999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7.39999999999999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7.39999999999999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7.39999999999999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7.39999999999999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7.39999999999999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7.39999999999999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7.39999999999999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7.39999999999999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7.39999999999999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7.39999999999999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7.39999999999999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7.39999999999999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7.39999999999999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7.39999999999999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7.39999999999999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7.39999999999999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7.39999999999999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7.39999999999999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7.39999999999999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7.39999999999999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7.39999999999999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7.39999999999999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7.39999999999999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7.39999999999999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7.39999999999999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7.39999999999999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7.39999999999999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7.39999999999999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7.39999999999999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7.39999999999999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7.39999999999999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7.39999999999999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7.39999999999999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7.39999999999999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7.39999999999999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7.39999999999999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7.39999999999999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7.39999999999999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7.39999999999999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7.39999999999999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7.39999999999999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7.39999999999999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7.39999999999999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7.39999999999999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7.39999999999999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7.39999999999999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7.39999999999999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7.39999999999999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7.39999999999999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7.39999999999999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7.39999999999999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7.39999999999999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7.39999999999999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7.39999999999999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7.39999999999999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7.39999999999999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7.39999999999999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7.39999999999999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7.39999999999999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7.39999999999999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7.39999999999999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7.39999999999999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7.39999999999999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7.39999999999999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7.39999999999999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7.39999999999999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7.39999999999999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7.39999999999999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7.39999999999999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7.39999999999999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7.39999999999999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7.39999999999999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7.39999999999999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7.39999999999999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7.39999999999999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7.39999999999999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7.39999999999999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7.39999999999999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7.39999999999999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7.39999999999999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7.39999999999999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7.39999999999999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7.39999999999999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7.39999999999999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7.39999999999999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7.39999999999999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7.39999999999999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7.39999999999999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7.39999999999999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7.39999999999999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7.39999999999999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7.39999999999999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7.39999999999999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7.39999999999999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7.39999999999999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7.39999999999999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7.39999999999999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7.39999999999999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7.39999999999999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7.39999999999999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7.39999999999999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7.39999999999999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7.39999999999999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7.39999999999999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7.39999999999999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7.39999999999999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7.39999999999999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7.39999999999999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7.39999999999999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7.39999999999999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7.39999999999999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7.39999999999999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7.39999999999999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7.39999999999999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7.39999999999999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7.39999999999999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7.39999999999999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7.39999999999999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7.39999999999999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7.39999999999999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7.39999999999999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7.39999999999999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7.39999999999999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7.39999999999999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7.39999999999999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7.39999999999999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7.39999999999999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7.39999999999999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7.39999999999999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7.39999999999999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7.39999999999999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7.39999999999999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7.39999999999999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7.39999999999999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7.39999999999999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7.39999999999999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7.39999999999999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7.39999999999999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7.39999999999999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7.39999999999999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7.39999999999999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7.39999999999999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7.39999999999999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7.39999999999999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7.39999999999999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7.39999999999999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7.39999999999999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7.39999999999999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7.39999999999999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7.39999999999999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7.39999999999999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7.39999999999999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7.39999999999999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7.39999999999999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7.39999999999999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7.39999999999999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7.39999999999999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7.39999999999999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7.39999999999999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7.39999999999999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7.39999999999999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7.39999999999999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7.39999999999999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7.39999999999999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7.39999999999999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7.39999999999999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7.39999999999999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7.39999999999999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7.39999999999999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7.39999999999999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7.39999999999999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7.39999999999999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7.39999999999999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7.39999999999999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7.39999999999999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7.39999999999999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7.39999999999999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7.39999999999999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7.39999999999999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7.39999999999999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7.39999999999999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7.39999999999999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7.39999999999999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7.39999999999999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7.39999999999999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7.39999999999999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7.39999999999999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7.39999999999999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7.39999999999999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7.39999999999999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7.39999999999999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7.39999999999999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7.39999999999999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7.39999999999999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7.39999999999999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7.39999999999999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7.39999999999999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7.39999999999999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7.39999999999999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7.39999999999999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7.39999999999999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7.39999999999999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7.39999999999999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7.39999999999999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7.39999999999999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7.39999999999999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7.39999999999999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7.39999999999999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7.39999999999999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7.39999999999999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7.39999999999999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7.39999999999999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7.39999999999999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7.39999999999999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7.39999999999999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7.39999999999999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7.39999999999999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7.39999999999999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7.39999999999999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7.39999999999999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7.39999999999999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7.39999999999999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7.39999999999999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7.39999999999999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7.39999999999999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7.39999999999999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7.39999999999999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7.39999999999999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7.39999999999999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7.39999999999999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7.39999999999999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7.39999999999999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7.39999999999999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7.39999999999999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7.39999999999999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7.39999999999999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7.39999999999999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7.39999999999999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7.39999999999999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7.39999999999999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7.39999999999999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7.39999999999999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7.39999999999999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7.39999999999999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7.39999999999999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7.39999999999999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7.39999999999999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7.39999999999999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7.39999999999999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7.39999999999999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7.39999999999999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7.39999999999999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7.39999999999999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7.39999999999999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7.39999999999999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7.39999999999999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7.39999999999999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7.39999999999999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7.39999999999999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7.39999999999999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7.39999999999999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7.39999999999999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7.39999999999999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7.39999999999999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7.39999999999999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7.39999999999999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7.39999999999999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7.39999999999999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7.39999999999999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7.39999999999999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7.39999999999999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7.39999999999999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7.39999999999999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7.39999999999999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7.39999999999999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7.39999999999999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7.39999999999999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7.39999999999999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7.39999999999999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7.39999999999999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7.39999999999999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7.39999999999999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7.39999999999999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7.39999999999999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7.39999999999999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7.39999999999999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7.39999999999999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7.39999999999999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7.39999999999999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7.39999999999999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7.39999999999999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7.39999999999999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7.39999999999999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7.39999999999999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7.39999999999999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7.39999999999999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7.39999999999999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7.39999999999999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7.39999999999999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7.39999999999999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7.39999999999999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7.39999999999999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7.39999999999999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7.39999999999999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7.39999999999999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7.39999999999999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7.39999999999999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7.39999999999999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7.39999999999999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7.39999999999999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7.39999999999999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7.39999999999999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7.39999999999999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7.39999999999999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7.39999999999999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7.39999999999999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7.39999999999999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7.39999999999999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7.39999999999999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7.39999999999999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7.39999999999999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7.39999999999999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7.39999999999999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7.39999999999999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7.39999999999999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7.39999999999999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7.39999999999999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7.39999999999999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7.39999999999999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7.39999999999999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7.39999999999999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7.39999999999999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7.39999999999999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7.39999999999999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7.39999999999999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7.39999999999999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7.39999999999999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7.39999999999999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7.39999999999999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7.39999999999999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7.39999999999999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7.39999999999999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7.39999999999999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7.39999999999999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7.39999999999999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7.39999999999999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7.39999999999999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7.39999999999999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7.39999999999999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7.39999999999999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7.39999999999999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7.39999999999999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7.39999999999999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7.39999999999999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7.39999999999999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7.39999999999999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7.39999999999999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7.39999999999999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7.39999999999999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7.39999999999999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7.39999999999999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7.39999999999999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7.39999999999999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7.39999999999999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7.39999999999999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7.39999999999999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7.39999999999999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7.39999999999999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7.39999999999999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7.39999999999999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7.39999999999999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7.39999999999999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7.39999999999999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7.39999999999999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7.39999999999999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7.39999999999999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7.39999999999999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7.39999999999999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7.39999999999999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7.39999999999999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7.39999999999999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7.39999999999999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7.39999999999999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7.39999999999999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7.39999999999999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7.39999999999999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7.39999999999999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7.39999999999999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7.39999999999999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7.39999999999999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7.39999999999999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7.39999999999999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7.39999999999999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7.39999999999999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7.39999999999999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7.39999999999999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7.39999999999999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7.39999999999999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7.39999999999999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7.39999999999999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7.39999999999999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7.39999999999999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7.39999999999999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7.39999999999999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7.39999999999999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7.39999999999999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7.39999999999999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7.39999999999999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7.39999999999999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7.39999999999999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7.39999999999999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7.39999999999999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7.39999999999999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7.39999999999999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7.39999999999999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7.39999999999999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7.39999999999999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7.39999999999999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7.39999999999999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7.39999999999999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7.39999999999999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7.39999999999999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7.39999999999999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7.39999999999999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7.39999999999999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7.39999999999999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7.39999999999999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7.39999999999999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7.39999999999999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7.39999999999999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7.39999999999999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7.39999999999999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7.39999999999999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7.39999999999999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7.39999999999999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7.39999999999999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7.39999999999999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7.39999999999999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7.39999999999999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7.39999999999999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7.39999999999999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7.39999999999999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7.39999999999999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7.39999999999999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7.39999999999999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7.39999999999999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7.39999999999999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7.39999999999999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7.39999999999999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7.39999999999999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7.39999999999999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7.39999999999999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7.39999999999999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7.39999999999999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7.39999999999999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7.39999999999999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7.39999999999999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7.39999999999999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7.39999999999999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7.39999999999999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7.39999999999999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7.39999999999999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7.39999999999999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7.39999999999999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7.39999999999999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7.39999999999999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7.39999999999999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7.39999999999999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7.39999999999999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7.39999999999999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7.39999999999999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7.39999999999999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7.39999999999999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7.39999999999999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7.39999999999999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7.39999999999999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7.39999999999999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7.39999999999999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7.39999999999999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7.39999999999999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7.39999999999999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7.39999999999999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7.39999999999999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7.39999999999999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7.39999999999999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7.39999999999999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7.39999999999999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7.39999999999999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7.39999999999999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7.39999999999999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7.39999999999999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7.39999999999999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7.39999999999999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7.39999999999999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7.39999999999999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7.39999999999999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7.39999999999999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7.39999999999999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7.39999999999999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7.39999999999999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7.39999999999999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7.39999999999999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7.39999999999999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7.39999999999999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7.39999999999999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7.39999999999999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7.39999999999999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7.39999999999999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7.39999999999999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7.39999999999999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7.39999999999999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7.39999999999999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7.39999999999999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7.39999999999999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7.39999999999999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7.39999999999999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7.39999999999999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7.39999999999999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7.39999999999999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7.39999999999999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7.39999999999999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7.39999999999999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7.39999999999999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7.39999999999999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7.39999999999999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7.39999999999999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7.39999999999999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7.39999999999999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7.39999999999999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7.39999999999999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7.39999999999999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7.39999999999999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7.39999999999999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7.39999999999999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7.39999999999999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7.39999999999999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7.39999999999999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7.39999999999999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7.39999999999999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7.39999999999999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7.39999999999999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7.39999999999999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7.39999999999999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7.39999999999999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7.39999999999999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7.39999999999999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7.39999999999999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7.39999999999999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7.39999999999999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7.39999999999999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7.39999999999999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7.39999999999999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7.39999999999999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7.39999999999999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7.39999999999999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7.39999999999999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7.39999999999999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7.39999999999999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7.39999999999999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7.39999999999999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7.39999999999999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7.39999999999999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7.39999999999999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7.39999999999999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7.39999999999999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7.39999999999999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7.39999999999999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7.39999999999999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7.39999999999999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7.39999999999999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7.39999999999999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7.39999999999999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7.39999999999999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7.39999999999999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7.39999999999999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7.39999999999999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7.39999999999999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7.39999999999999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7.39999999999999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7.39999999999999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7.39999999999999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7.39999999999999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7.39999999999999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7.39999999999999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7.39999999999999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7.39999999999999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7.39999999999999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7.39999999999999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7.39999999999999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7.39999999999999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7.39999999999999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7.39999999999999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7.39999999999999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7.39999999999999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7.39999999999999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7.39999999999999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7.39999999999999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7.39999999999999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7.39999999999999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7.39999999999999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7.39999999999999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7.39999999999999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7.39999999999999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7.39999999999999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7.39999999999999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7.39999999999999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7.39999999999999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7.39999999999999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7.39999999999999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7.39999999999999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7.39999999999999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7.39999999999999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7.39999999999999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7.39999999999999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7.39999999999999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7.39999999999999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7.39999999999999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7.39999999999999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7.39999999999999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7.39999999999999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7.39999999999999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7.39999999999999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7.39999999999999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7.39999999999999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7.39999999999999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7.39999999999999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7.39999999999999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7.39999999999999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7.39999999999999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7.39999999999999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7.39999999999999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7.39999999999999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7.39999999999999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7.39999999999999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7.39999999999999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7.39999999999999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7.39999999999999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7.39999999999999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7.39999999999999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7.39999999999999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7.39999999999999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7.39999999999999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7.39999999999999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7.39999999999999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7.39999999999999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7.39999999999999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7.39999999999999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7.39999999999999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7.39999999999999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7.39999999999999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7.39999999999999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7.39999999999999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7.39999999999999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7.39999999999999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7.39999999999999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7.39999999999999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7.39999999999999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7.39999999999999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7.39999999999999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7.39999999999999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7.39999999999999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7.39999999999999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7.39999999999999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7.39999999999999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7.39999999999999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7.39999999999999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7.39999999999999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7.39999999999999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7.39999999999999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7.39999999999999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7.39999999999999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7.39999999999999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7.39999999999999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7.39999999999999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7.39999999999999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7.39999999999999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7.39999999999999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7.39999999999999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7.39999999999999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7.39999999999999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7.39999999999999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7.39999999999999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7.39999999999999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7.39999999999999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7.39999999999999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7.39999999999999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7.39999999999999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7.39999999999999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7.39999999999999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7.39999999999999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7.39999999999999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7.39999999999999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7.39999999999999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7.39999999999999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7.39999999999999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7.39999999999999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7.39999999999999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7.39999999999999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7.39999999999999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7.39999999999999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7.39999999999999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7.39999999999999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7.39999999999999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7.39999999999999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7.39999999999999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7.39999999999999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7.399999999999999"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7.399999999999999"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7.399999999999999"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7.399999999999999"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7.399999999999999"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7.399999999999999"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7.399999999999999"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7.399999999999999"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7.399999999999999"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7.399999999999999"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7.399999999999999"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7.399999999999999"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7.399999999999999"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7.399999999999999"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7.399999999999999"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7.399999999999999"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7.399999999999999"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7.399999999999999"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7.399999999999999"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7.399999999999999"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7.399999999999999"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7.399999999999999"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7.399999999999999"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7.399999999999999"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7.399999999999999"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7.399999999999999"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7.399999999999999"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7.399999999999999"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7.399999999999999"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7.399999999999999"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7.399999999999999"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7.399999999999999"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7.399999999999999"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7.399999999999999"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7.399999999999999"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7.399999999999999"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7.399999999999999"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7.399999999999999"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7.399999999999999"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7.399999999999999"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7.399999999999999"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7.399999999999999"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7.399999999999999"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7.399999999999999"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7.399999999999999"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7.399999999999999"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7.399999999999999"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7.399999999999999"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7.399999999999999"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7.399999999999999"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7.399999999999999"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7.399999999999999"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7.399999999999999"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7.399999999999999"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7.399999999999999"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7.399999999999999"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row r="1001" spans="1:26" ht="17.399999999999999" x14ac:dyDescent="0.25">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row>
    <row r="1002" spans="1:26" ht="17.399999999999999" x14ac:dyDescent="0.25">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row>
    <row r="1003" spans="1:26" ht="17.399999999999999" x14ac:dyDescent="0.25">
      <c r="A1003" s="2"/>
      <c r="B1003" s="2"/>
      <c r="C1003" s="2"/>
      <c r="D1003" s="2"/>
      <c r="E1003" s="2"/>
      <c r="F1003" s="2"/>
      <c r="G1003" s="2"/>
      <c r="H1003" s="2"/>
      <c r="I1003" s="2"/>
      <c r="J1003" s="2"/>
      <c r="K1003" s="2"/>
      <c r="L1003" s="2"/>
      <c r="M1003" s="2"/>
      <c r="N1003" s="2"/>
      <c r="O1003" s="2"/>
      <c r="P1003" s="2"/>
      <c r="Q1003" s="2"/>
      <c r="R1003" s="2"/>
      <c r="S1003" s="2"/>
      <c r="T1003" s="2"/>
      <c r="U1003" s="2"/>
      <c r="V1003" s="2"/>
      <c r="W1003" s="2"/>
      <c r="X1003" s="2"/>
      <c r="Y1003" s="2"/>
      <c r="Z1003" s="2"/>
    </row>
    <row r="1004" spans="1:26" ht="17.399999999999999" x14ac:dyDescent="0.25">
      <c r="A1004" s="2"/>
      <c r="B1004" s="2"/>
      <c r="C1004" s="2"/>
      <c r="D1004" s="2"/>
      <c r="E1004" s="2"/>
      <c r="F1004" s="2"/>
      <c r="G1004" s="2"/>
      <c r="H1004" s="2"/>
      <c r="I1004" s="2"/>
      <c r="J1004" s="2"/>
      <c r="K1004" s="2"/>
      <c r="L1004" s="2"/>
      <c r="M1004" s="2"/>
      <c r="N1004" s="2"/>
      <c r="O1004" s="2"/>
      <c r="P1004" s="2"/>
      <c r="Q1004" s="2"/>
      <c r="R1004" s="2"/>
      <c r="S1004" s="2"/>
      <c r="T1004" s="2"/>
      <c r="U1004" s="2"/>
      <c r="V1004" s="2"/>
      <c r="W1004" s="2"/>
      <c r="X1004" s="2"/>
      <c r="Y1004" s="2"/>
      <c r="Z1004" s="2"/>
    </row>
    <row r="1005" spans="1:26" ht="17.399999999999999" x14ac:dyDescent="0.25">
      <c r="A1005" s="2"/>
      <c r="B1005" s="2"/>
      <c r="C1005" s="2"/>
      <c r="D1005" s="2"/>
      <c r="E1005" s="2"/>
      <c r="F1005" s="2"/>
      <c r="G1005" s="2"/>
      <c r="H1005" s="2"/>
      <c r="I1005" s="2"/>
      <c r="J1005" s="2"/>
      <c r="K1005" s="2"/>
      <c r="L1005" s="2"/>
      <c r="M1005" s="2"/>
      <c r="N1005" s="2"/>
      <c r="O1005" s="2"/>
      <c r="P1005" s="2"/>
      <c r="Q1005" s="2"/>
      <c r="R1005" s="2"/>
      <c r="S1005" s="2"/>
      <c r="T1005" s="2"/>
      <c r="U1005" s="2"/>
      <c r="V1005" s="2"/>
      <c r="W1005" s="2"/>
      <c r="X1005" s="2"/>
      <c r="Y1005" s="2"/>
      <c r="Z1005" s="2"/>
    </row>
    <row r="1006" spans="1:26" ht="17.399999999999999" x14ac:dyDescent="0.25">
      <c r="A1006" s="2"/>
      <c r="B1006" s="2"/>
      <c r="C1006" s="2"/>
      <c r="D1006" s="2"/>
      <c r="E1006" s="2"/>
      <c r="F1006" s="2"/>
      <c r="G1006" s="2"/>
      <c r="H1006" s="2"/>
      <c r="I1006" s="2"/>
      <c r="J1006" s="2"/>
      <c r="K1006" s="2"/>
      <c r="L1006" s="2"/>
      <c r="M1006" s="2"/>
      <c r="N1006" s="2"/>
      <c r="O1006" s="2"/>
      <c r="P1006" s="2"/>
      <c r="Q1006" s="2"/>
      <c r="R1006" s="2"/>
      <c r="S1006" s="2"/>
      <c r="T1006" s="2"/>
      <c r="U1006" s="2"/>
      <c r="V1006" s="2"/>
      <c r="W1006" s="2"/>
      <c r="X1006" s="2"/>
      <c r="Y1006" s="2"/>
      <c r="Z1006" s="2"/>
    </row>
    <row r="1007" spans="1:26" ht="17.399999999999999" x14ac:dyDescent="0.25">
      <c r="A1007" s="2"/>
      <c r="B1007" s="2"/>
      <c r="C1007" s="2"/>
      <c r="D1007" s="2"/>
      <c r="E1007" s="2"/>
      <c r="F1007" s="2"/>
      <c r="G1007" s="2"/>
      <c r="H1007" s="2"/>
      <c r="I1007" s="2"/>
      <c r="J1007" s="2"/>
      <c r="K1007" s="2"/>
      <c r="L1007" s="2"/>
      <c r="M1007" s="2"/>
      <c r="N1007" s="2"/>
      <c r="O1007" s="2"/>
      <c r="P1007" s="2"/>
      <c r="Q1007" s="2"/>
      <c r="R1007" s="2"/>
      <c r="S1007" s="2"/>
      <c r="T1007" s="2"/>
      <c r="U1007" s="2"/>
      <c r="V1007" s="2"/>
      <c r="W1007" s="2"/>
      <c r="X1007" s="2"/>
      <c r="Y1007" s="2"/>
      <c r="Z1007" s="2"/>
    </row>
    <row r="1008" spans="1:26" ht="17.399999999999999" x14ac:dyDescent="0.25">
      <c r="A1008" s="2"/>
      <c r="B1008" s="2"/>
      <c r="C1008" s="2"/>
      <c r="D1008" s="2"/>
      <c r="E1008" s="2"/>
      <c r="F1008" s="2"/>
      <c r="G1008" s="2"/>
      <c r="H1008" s="2"/>
      <c r="I1008" s="2"/>
      <c r="J1008" s="2"/>
      <c r="K1008" s="2"/>
      <c r="L1008" s="2"/>
      <c r="M1008" s="2"/>
      <c r="N1008" s="2"/>
      <c r="O1008" s="2"/>
      <c r="P1008" s="2"/>
      <c r="Q1008" s="2"/>
      <c r="R1008" s="2"/>
      <c r="S1008" s="2"/>
      <c r="T1008" s="2"/>
      <c r="U1008" s="2"/>
      <c r="V1008" s="2"/>
      <c r="W1008" s="2"/>
      <c r="X1008" s="2"/>
      <c r="Y1008" s="2"/>
      <c r="Z1008" s="2"/>
    </row>
    <row r="1009" spans="1:26" ht="17.399999999999999" x14ac:dyDescent="0.25">
      <c r="A1009" s="2"/>
      <c r="B1009" s="2"/>
      <c r="C1009" s="2"/>
      <c r="D1009" s="2"/>
      <c r="E1009" s="2"/>
      <c r="F1009" s="2"/>
      <c r="G1009" s="2"/>
      <c r="H1009" s="2"/>
      <c r="I1009" s="2"/>
      <c r="J1009" s="2"/>
      <c r="K1009" s="2"/>
      <c r="L1009" s="2"/>
      <c r="M1009" s="2"/>
      <c r="N1009" s="2"/>
      <c r="O1009" s="2"/>
      <c r="P1009" s="2"/>
      <c r="Q1009" s="2"/>
      <c r="R1009" s="2"/>
      <c r="S1009" s="2"/>
      <c r="T1009" s="2"/>
      <c r="U1009" s="2"/>
      <c r="V1009" s="2"/>
      <c r="W1009" s="2"/>
      <c r="X1009" s="2"/>
      <c r="Y1009" s="2"/>
      <c r="Z1009" s="2"/>
    </row>
    <row r="1010" spans="1:26" ht="17.399999999999999" x14ac:dyDescent="0.25">
      <c r="A1010" s="2"/>
      <c r="B1010" s="2"/>
      <c r="C1010" s="2"/>
      <c r="D1010" s="2"/>
      <c r="E1010" s="2"/>
      <c r="F1010" s="2"/>
      <c r="G1010" s="2"/>
      <c r="H1010" s="2"/>
      <c r="I1010" s="2"/>
      <c r="J1010" s="2"/>
      <c r="K1010" s="2"/>
      <c r="L1010" s="2"/>
      <c r="M1010" s="2"/>
      <c r="N1010" s="2"/>
      <c r="O1010" s="2"/>
      <c r="P1010" s="2"/>
      <c r="Q1010" s="2"/>
      <c r="R1010" s="2"/>
      <c r="S1010" s="2"/>
      <c r="T1010" s="2"/>
      <c r="U1010" s="2"/>
      <c r="V1010" s="2"/>
      <c r="W1010" s="2"/>
      <c r="X1010" s="2"/>
      <c r="Y1010" s="2"/>
      <c r="Z1010" s="2"/>
    </row>
    <row r="1011" spans="1:26" ht="17.399999999999999" x14ac:dyDescent="0.25">
      <c r="A1011" s="2"/>
      <c r="B1011" s="2"/>
      <c r="C1011" s="2"/>
      <c r="D1011" s="2"/>
      <c r="E1011" s="2"/>
      <c r="F1011" s="2"/>
      <c r="G1011" s="2"/>
      <c r="H1011" s="2"/>
      <c r="I1011" s="2"/>
      <c r="J1011" s="2"/>
      <c r="K1011" s="2"/>
      <c r="L1011" s="2"/>
      <c r="M1011" s="2"/>
      <c r="N1011" s="2"/>
      <c r="O1011" s="2"/>
      <c r="P1011" s="2"/>
      <c r="Q1011" s="2"/>
      <c r="R1011" s="2"/>
      <c r="S1011" s="2"/>
      <c r="T1011" s="2"/>
      <c r="U1011" s="2"/>
      <c r="V1011" s="2"/>
      <c r="W1011" s="2"/>
      <c r="X1011" s="2"/>
      <c r="Y1011" s="2"/>
      <c r="Z1011" s="2"/>
    </row>
    <row r="1012" spans="1:26" ht="17.399999999999999" x14ac:dyDescent="0.25">
      <c r="A1012" s="2"/>
      <c r="B1012" s="2"/>
      <c r="C1012" s="2"/>
      <c r="D1012" s="2"/>
      <c r="E1012" s="2"/>
      <c r="F1012" s="2"/>
      <c r="G1012" s="2"/>
      <c r="H1012" s="2"/>
      <c r="I1012" s="2"/>
      <c r="J1012" s="2"/>
      <c r="K1012" s="2"/>
      <c r="L1012" s="2"/>
      <c r="M1012" s="2"/>
      <c r="N1012" s="2"/>
      <c r="O1012" s="2"/>
      <c r="P1012" s="2"/>
      <c r="Q1012" s="2"/>
      <c r="R1012" s="2"/>
      <c r="S1012" s="2"/>
      <c r="T1012" s="2"/>
      <c r="U1012" s="2"/>
      <c r="V1012" s="2"/>
      <c r="W1012" s="2"/>
      <c r="X1012" s="2"/>
      <c r="Y1012" s="2"/>
      <c r="Z1012" s="2"/>
    </row>
    <row r="1013" spans="1:26" ht="17.399999999999999" x14ac:dyDescent="0.25">
      <c r="A1013" s="2"/>
      <c r="B1013" s="2"/>
      <c r="C1013" s="2"/>
      <c r="D1013" s="2"/>
      <c r="E1013" s="2"/>
      <c r="F1013" s="2"/>
      <c r="G1013" s="2"/>
      <c r="H1013" s="2"/>
      <c r="I1013" s="2"/>
      <c r="J1013" s="2"/>
      <c r="K1013" s="2"/>
      <c r="L1013" s="2"/>
      <c r="M1013" s="2"/>
      <c r="N1013" s="2"/>
      <c r="O1013" s="2"/>
      <c r="P1013" s="2"/>
      <c r="Q1013" s="2"/>
      <c r="R1013" s="2"/>
      <c r="S1013" s="2"/>
      <c r="T1013" s="2"/>
      <c r="U1013" s="2"/>
      <c r="V1013" s="2"/>
      <c r="W1013" s="2"/>
      <c r="X1013" s="2"/>
      <c r="Y1013" s="2"/>
      <c r="Z1013" s="2"/>
    </row>
    <row r="1014" spans="1:26" ht="17.399999999999999" x14ac:dyDescent="0.25">
      <c r="A1014" s="2"/>
      <c r="B1014" s="2"/>
      <c r="C1014" s="2"/>
      <c r="D1014" s="2"/>
      <c r="E1014" s="2"/>
      <c r="F1014" s="2"/>
      <c r="G1014" s="2"/>
      <c r="H1014" s="2"/>
      <c r="I1014" s="2"/>
      <c r="J1014" s="2"/>
      <c r="K1014" s="2"/>
      <c r="L1014" s="2"/>
      <c r="M1014" s="2"/>
      <c r="N1014" s="2"/>
      <c r="O1014" s="2"/>
      <c r="P1014" s="2"/>
      <c r="Q1014" s="2"/>
      <c r="R1014" s="2"/>
      <c r="S1014" s="2"/>
      <c r="T1014" s="2"/>
      <c r="U1014" s="2"/>
      <c r="V1014" s="2"/>
      <c r="W1014" s="2"/>
      <c r="X1014" s="2"/>
      <c r="Y1014" s="2"/>
      <c r="Z1014" s="2"/>
    </row>
    <row r="1015" spans="1:26" ht="17.399999999999999" x14ac:dyDescent="0.25">
      <c r="A1015" s="2"/>
      <c r="B1015" s="2"/>
      <c r="C1015" s="2"/>
      <c r="D1015" s="2"/>
      <c r="E1015" s="2"/>
      <c r="F1015" s="2"/>
      <c r="G1015" s="2"/>
      <c r="H1015" s="2"/>
      <c r="I1015" s="2"/>
      <c r="J1015" s="2"/>
      <c r="K1015" s="2"/>
      <c r="L1015" s="2"/>
      <c r="M1015" s="2"/>
      <c r="N1015" s="2"/>
      <c r="O1015" s="2"/>
      <c r="P1015" s="2"/>
      <c r="Q1015" s="2"/>
      <c r="R1015" s="2"/>
      <c r="S1015" s="2"/>
      <c r="T1015" s="2"/>
      <c r="U1015" s="2"/>
      <c r="V1015" s="2"/>
      <c r="W1015" s="2"/>
      <c r="X1015" s="2"/>
      <c r="Y1015" s="2"/>
      <c r="Z1015" s="2"/>
    </row>
  </sheetData>
  <mergeCells count="8">
    <mergeCell ref="A13:F15"/>
    <mergeCell ref="A16:F17"/>
    <mergeCell ref="A18:F20"/>
    <mergeCell ref="A1:F2"/>
    <mergeCell ref="A3:F5"/>
    <mergeCell ref="A6:F7"/>
    <mergeCell ref="A8:F10"/>
    <mergeCell ref="A11:F1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outlinePr summaryBelow="0" summaryRight="0"/>
  </sheetPr>
  <dimension ref="A1:XFD1003"/>
  <sheetViews>
    <sheetView workbookViewId="0">
      <pane ySplit="1" topLeftCell="A2" activePane="bottomLeft" state="frozen"/>
      <selection pane="bottomLeft" activeCell="B3" sqref="B3"/>
    </sheetView>
  </sheetViews>
  <sheetFormatPr defaultColWidth="12.6640625" defaultRowHeight="15.75" customHeight="1" x14ac:dyDescent="0.25"/>
  <cols>
    <col min="1" max="2" width="62.21875" customWidth="1"/>
    <col min="16384" max="16384" width="0" hidden="1" customWidth="1"/>
  </cols>
  <sheetData>
    <row r="1" spans="1:27 16384:16384" ht="17.399999999999999" hidden="1" x14ac:dyDescent="0.25">
      <c r="A1" s="17" t="s">
        <v>5670</v>
      </c>
      <c r="B1" s="17" t="s">
        <v>5671</v>
      </c>
      <c r="C1" s="20"/>
      <c r="D1" s="20"/>
      <c r="E1" s="20"/>
      <c r="F1" s="20"/>
      <c r="G1" s="20"/>
      <c r="H1" s="20"/>
      <c r="I1" s="20"/>
      <c r="J1" s="20"/>
      <c r="K1" s="20"/>
      <c r="L1" s="20"/>
      <c r="M1" s="20"/>
      <c r="N1" s="20"/>
      <c r="O1" s="20"/>
      <c r="P1" s="20"/>
      <c r="Q1" s="20"/>
      <c r="R1" s="20"/>
      <c r="S1" s="20"/>
      <c r="T1" s="20"/>
      <c r="U1" s="20"/>
      <c r="V1" s="20"/>
      <c r="W1" s="20"/>
      <c r="X1" s="20"/>
      <c r="Y1" s="20"/>
      <c r="Z1" s="20"/>
      <c r="AA1" s="20"/>
      <c r="XFD1">
        <f ca="1">IF('Roll All'!$B$4="Roll!",RAND(),RAND())</f>
        <v>0.73666138507434598</v>
      </c>
    </row>
    <row r="2" spans="1:27 16384:16384" ht="15.75" customHeight="1" x14ac:dyDescent="0.35">
      <c r="A2" s="29" t="s">
        <v>1239</v>
      </c>
      <c r="B2" s="29" t="s">
        <v>1239</v>
      </c>
      <c r="C2" s="13"/>
      <c r="D2" s="13"/>
      <c r="E2" s="13"/>
      <c r="F2" s="13"/>
      <c r="G2" s="13"/>
      <c r="H2" s="13"/>
      <c r="I2" s="13"/>
      <c r="J2" s="13"/>
      <c r="K2" s="13"/>
      <c r="L2" s="13"/>
      <c r="M2" s="13"/>
      <c r="N2" s="13"/>
      <c r="O2" s="13"/>
      <c r="P2" s="13"/>
      <c r="Q2" s="13"/>
      <c r="R2" s="13"/>
      <c r="S2" s="13"/>
      <c r="T2" s="13"/>
      <c r="U2" s="13"/>
      <c r="V2" s="13"/>
      <c r="W2" s="13"/>
      <c r="X2" s="13"/>
      <c r="Y2" s="13"/>
      <c r="Z2" s="13"/>
      <c r="AA2" s="13"/>
    </row>
    <row r="3" spans="1:27 16384:16384" ht="15.75" customHeight="1" x14ac:dyDescent="0.35">
      <c r="A3" s="30" t="s">
        <v>87</v>
      </c>
      <c r="B3" s="30" t="s">
        <v>87</v>
      </c>
      <c r="C3" s="13"/>
      <c r="D3" s="13"/>
      <c r="E3" s="13"/>
      <c r="F3" s="13"/>
      <c r="G3" s="13"/>
      <c r="H3" s="13"/>
      <c r="I3" s="13"/>
      <c r="J3" s="13"/>
      <c r="K3" s="13"/>
      <c r="L3" s="13"/>
      <c r="M3" s="13"/>
      <c r="N3" s="13"/>
      <c r="O3" s="13"/>
      <c r="P3" s="13"/>
      <c r="Q3" s="13"/>
      <c r="R3" s="13"/>
      <c r="S3" s="13"/>
      <c r="T3" s="13"/>
      <c r="U3" s="13"/>
      <c r="V3" s="13"/>
      <c r="W3" s="13"/>
      <c r="X3" s="13"/>
      <c r="Y3" s="13"/>
      <c r="Z3" s="13"/>
      <c r="AA3" s="13"/>
    </row>
    <row r="4" spans="1:27 16384:16384" ht="15.75" customHeight="1" x14ac:dyDescent="0.35">
      <c r="A4" s="29" t="s">
        <v>592</v>
      </c>
      <c r="B4" s="29" t="s">
        <v>592</v>
      </c>
      <c r="C4" s="13"/>
      <c r="D4" s="13"/>
      <c r="E4" s="13"/>
      <c r="F4" s="13"/>
      <c r="G4" s="13"/>
      <c r="H4" s="13"/>
      <c r="I4" s="13"/>
      <c r="J4" s="13"/>
      <c r="K4" s="13"/>
      <c r="L4" s="13"/>
      <c r="M4" s="13"/>
      <c r="N4" s="13"/>
      <c r="O4" s="13"/>
      <c r="P4" s="13"/>
      <c r="Q4" s="13"/>
      <c r="R4" s="13"/>
      <c r="S4" s="13"/>
      <c r="T4" s="13"/>
      <c r="U4" s="13"/>
      <c r="V4" s="13"/>
      <c r="W4" s="13"/>
      <c r="X4" s="13"/>
      <c r="Y4" s="13"/>
      <c r="Z4" s="13"/>
      <c r="AA4" s="13"/>
    </row>
    <row r="5" spans="1:27 16384:16384" ht="15.75" customHeight="1" x14ac:dyDescent="0.35">
      <c r="A5" s="30" t="s">
        <v>401</v>
      </c>
      <c r="B5" s="30" t="s">
        <v>401</v>
      </c>
      <c r="C5" s="13"/>
      <c r="D5" s="13"/>
      <c r="E5" s="13"/>
      <c r="F5" s="13"/>
      <c r="G5" s="13"/>
      <c r="H5" s="13"/>
      <c r="I5" s="13"/>
      <c r="J5" s="13"/>
      <c r="K5" s="13"/>
      <c r="L5" s="13"/>
      <c r="M5" s="13"/>
      <c r="N5" s="13"/>
      <c r="O5" s="13"/>
      <c r="P5" s="13"/>
      <c r="Q5" s="13"/>
      <c r="R5" s="13"/>
      <c r="S5" s="13"/>
      <c r="T5" s="13"/>
      <c r="U5" s="13"/>
      <c r="V5" s="13"/>
      <c r="W5" s="13"/>
      <c r="X5" s="13"/>
      <c r="Y5" s="13"/>
      <c r="Z5" s="13"/>
      <c r="AA5" s="13"/>
    </row>
    <row r="6" spans="1:27 16384:16384" ht="15.75" customHeight="1" x14ac:dyDescent="0.35">
      <c r="A6" s="29" t="s">
        <v>69</v>
      </c>
      <c r="B6" s="29" t="s">
        <v>69</v>
      </c>
      <c r="C6" s="13"/>
      <c r="D6" s="13"/>
      <c r="E6" s="13"/>
      <c r="F6" s="13"/>
      <c r="G6" s="13"/>
      <c r="H6" s="13"/>
      <c r="I6" s="13"/>
      <c r="J6" s="13"/>
      <c r="K6" s="13"/>
      <c r="L6" s="13"/>
      <c r="M6" s="13"/>
      <c r="N6" s="13"/>
      <c r="O6" s="13"/>
      <c r="P6" s="13"/>
      <c r="Q6" s="13"/>
      <c r="R6" s="13"/>
      <c r="S6" s="13"/>
      <c r="T6" s="13"/>
      <c r="U6" s="13"/>
      <c r="V6" s="13"/>
      <c r="W6" s="13"/>
      <c r="X6" s="13"/>
      <c r="Y6" s="13"/>
      <c r="Z6" s="13"/>
      <c r="AA6" s="13"/>
    </row>
    <row r="7" spans="1:27 16384:16384" ht="15.75" customHeight="1" x14ac:dyDescent="0.35">
      <c r="A7" s="30" t="s">
        <v>3506</v>
      </c>
      <c r="B7" s="30" t="s">
        <v>3506</v>
      </c>
      <c r="C7" s="13"/>
      <c r="D7" s="13"/>
      <c r="E7" s="13"/>
      <c r="F7" s="13"/>
      <c r="G7" s="13"/>
      <c r="H7" s="13"/>
      <c r="I7" s="13"/>
      <c r="J7" s="13"/>
      <c r="K7" s="13"/>
      <c r="L7" s="13"/>
      <c r="M7" s="13"/>
      <c r="N7" s="13"/>
      <c r="O7" s="13"/>
      <c r="P7" s="13"/>
      <c r="Q7" s="13"/>
      <c r="R7" s="13"/>
      <c r="S7" s="13"/>
      <c r="T7" s="13"/>
      <c r="U7" s="13"/>
      <c r="V7" s="13"/>
      <c r="W7" s="13"/>
      <c r="X7" s="13"/>
      <c r="Y7" s="13"/>
      <c r="Z7" s="13"/>
      <c r="AA7" s="13"/>
    </row>
    <row r="8" spans="1:27 16384:16384" ht="15.75" customHeight="1" x14ac:dyDescent="0.35">
      <c r="A8" s="29" t="s">
        <v>214</v>
      </c>
      <c r="B8" s="29" t="s">
        <v>214</v>
      </c>
      <c r="C8" s="13"/>
      <c r="D8" s="13"/>
      <c r="E8" s="13"/>
      <c r="F8" s="13"/>
      <c r="G8" s="13"/>
      <c r="H8" s="13"/>
      <c r="I8" s="13"/>
      <c r="J8" s="13"/>
      <c r="K8" s="13"/>
      <c r="L8" s="13"/>
      <c r="M8" s="13"/>
      <c r="N8" s="13"/>
      <c r="O8" s="13"/>
      <c r="P8" s="13"/>
      <c r="Q8" s="13"/>
      <c r="R8" s="13"/>
      <c r="S8" s="13"/>
      <c r="T8" s="13"/>
      <c r="U8" s="13"/>
      <c r="V8" s="13"/>
      <c r="W8" s="13"/>
      <c r="X8" s="13"/>
      <c r="Y8" s="13"/>
      <c r="Z8" s="13"/>
      <c r="AA8" s="13"/>
    </row>
    <row r="9" spans="1:27 16384:16384" ht="15.75" customHeight="1" x14ac:dyDescent="0.35">
      <c r="A9" s="30" t="s">
        <v>863</v>
      </c>
      <c r="B9" s="30" t="s">
        <v>863</v>
      </c>
      <c r="C9" s="13"/>
      <c r="D9" s="13"/>
      <c r="E9" s="13"/>
      <c r="F9" s="13"/>
      <c r="G9" s="13"/>
      <c r="H9" s="13"/>
      <c r="I9" s="13"/>
      <c r="J9" s="13"/>
      <c r="K9" s="13"/>
      <c r="L9" s="13"/>
      <c r="M9" s="13"/>
      <c r="N9" s="13"/>
      <c r="O9" s="13"/>
      <c r="P9" s="13"/>
      <c r="Q9" s="13"/>
      <c r="R9" s="13"/>
      <c r="S9" s="13"/>
      <c r="T9" s="13"/>
      <c r="U9" s="13"/>
      <c r="V9" s="13"/>
      <c r="W9" s="13"/>
      <c r="X9" s="13"/>
      <c r="Y9" s="13"/>
      <c r="Z9" s="13"/>
      <c r="AA9" s="13"/>
    </row>
    <row r="10" spans="1:27 16384:16384" ht="15.75" customHeight="1" x14ac:dyDescent="0.35">
      <c r="A10" s="29" t="s">
        <v>119</v>
      </c>
      <c r="B10" s="29" t="s">
        <v>119</v>
      </c>
      <c r="C10" s="13"/>
      <c r="D10" s="13"/>
      <c r="E10" s="13"/>
      <c r="F10" s="13"/>
      <c r="G10" s="13"/>
      <c r="H10" s="13"/>
      <c r="I10" s="13"/>
      <c r="J10" s="13"/>
      <c r="K10" s="13"/>
      <c r="L10" s="13"/>
      <c r="M10" s="13"/>
      <c r="N10" s="13"/>
      <c r="O10" s="13"/>
      <c r="P10" s="13"/>
      <c r="Q10" s="13"/>
      <c r="R10" s="13"/>
      <c r="S10" s="13"/>
      <c r="T10" s="13"/>
      <c r="U10" s="13"/>
      <c r="V10" s="13"/>
      <c r="W10" s="13"/>
      <c r="X10" s="13"/>
      <c r="Y10" s="13"/>
      <c r="Z10" s="13"/>
      <c r="AA10" s="13"/>
    </row>
    <row r="11" spans="1:27 16384:16384" ht="15.75" customHeight="1" x14ac:dyDescent="0.35">
      <c r="A11" s="30" t="s">
        <v>277</v>
      </c>
      <c r="B11" s="30" t="s">
        <v>277</v>
      </c>
      <c r="C11" s="13"/>
      <c r="D11" s="13"/>
      <c r="E11" s="13"/>
      <c r="F11" s="13"/>
      <c r="G11" s="13"/>
      <c r="H11" s="13"/>
      <c r="I11" s="13"/>
      <c r="J11" s="13"/>
      <c r="K11" s="13"/>
      <c r="L11" s="13"/>
      <c r="M11" s="13"/>
      <c r="N11" s="13"/>
      <c r="O11" s="13"/>
      <c r="P11" s="13"/>
      <c r="Q11" s="13"/>
      <c r="R11" s="13"/>
      <c r="S11" s="13"/>
      <c r="T11" s="13"/>
      <c r="U11" s="13"/>
      <c r="V11" s="13"/>
      <c r="W11" s="13"/>
      <c r="X11" s="13"/>
      <c r="Y11" s="13"/>
      <c r="Z11" s="13"/>
      <c r="AA11" s="13"/>
    </row>
    <row r="12" spans="1:27 16384:16384" ht="15.75" customHeight="1" x14ac:dyDescent="0.35">
      <c r="A12" s="29" t="s">
        <v>3022</v>
      </c>
      <c r="B12" s="29" t="s">
        <v>3022</v>
      </c>
      <c r="C12" s="13"/>
      <c r="D12" s="13"/>
      <c r="E12" s="13"/>
      <c r="F12" s="13"/>
      <c r="G12" s="13"/>
      <c r="H12" s="13"/>
      <c r="I12" s="13"/>
      <c r="J12" s="13"/>
      <c r="K12" s="13"/>
      <c r="L12" s="13"/>
      <c r="M12" s="13"/>
      <c r="N12" s="13"/>
      <c r="O12" s="13"/>
      <c r="P12" s="13"/>
      <c r="Q12" s="13"/>
      <c r="R12" s="13"/>
      <c r="S12" s="13"/>
      <c r="T12" s="13"/>
      <c r="U12" s="13"/>
      <c r="V12" s="13"/>
      <c r="W12" s="13"/>
      <c r="X12" s="13"/>
      <c r="Y12" s="13"/>
      <c r="Z12" s="13"/>
      <c r="AA12" s="13"/>
    </row>
    <row r="13" spans="1:27 16384:16384" ht="15.75" customHeight="1" x14ac:dyDescent="0.35">
      <c r="A13" s="30" t="s">
        <v>521</v>
      </c>
      <c r="B13" s="30" t="s">
        <v>521</v>
      </c>
      <c r="C13" s="13"/>
      <c r="D13" s="13"/>
      <c r="E13" s="13"/>
      <c r="F13" s="13"/>
      <c r="G13" s="13"/>
      <c r="H13" s="13"/>
      <c r="I13" s="13"/>
      <c r="J13" s="13"/>
      <c r="K13" s="13"/>
      <c r="L13" s="13"/>
      <c r="M13" s="13"/>
      <c r="N13" s="13"/>
      <c r="O13" s="13"/>
      <c r="P13" s="13"/>
      <c r="Q13" s="13"/>
      <c r="R13" s="13"/>
      <c r="S13" s="13"/>
      <c r="T13" s="13"/>
      <c r="U13" s="13"/>
      <c r="V13" s="13"/>
      <c r="W13" s="13"/>
      <c r="X13" s="13"/>
      <c r="Y13" s="13"/>
      <c r="Z13" s="13"/>
      <c r="AA13" s="13"/>
    </row>
    <row r="14" spans="1:27 16384:16384" ht="15.75" customHeight="1" x14ac:dyDescent="0.35">
      <c r="A14" s="29" t="s">
        <v>291</v>
      </c>
      <c r="B14" s="29" t="s">
        <v>291</v>
      </c>
      <c r="C14" s="13"/>
      <c r="D14" s="13"/>
      <c r="E14" s="13"/>
      <c r="F14" s="13"/>
      <c r="G14" s="13"/>
      <c r="H14" s="13"/>
      <c r="I14" s="13"/>
      <c r="J14" s="13"/>
      <c r="K14" s="13"/>
      <c r="L14" s="13"/>
      <c r="M14" s="13"/>
      <c r="N14" s="13"/>
      <c r="O14" s="13"/>
      <c r="P14" s="13"/>
      <c r="Q14" s="13"/>
      <c r="R14" s="13"/>
      <c r="S14" s="13"/>
      <c r="T14" s="13"/>
      <c r="U14" s="13"/>
      <c r="V14" s="13"/>
      <c r="W14" s="13"/>
      <c r="X14" s="13"/>
      <c r="Y14" s="13"/>
      <c r="Z14" s="13"/>
      <c r="AA14" s="13"/>
    </row>
    <row r="15" spans="1:27 16384:16384" ht="15.75" customHeight="1" x14ac:dyDescent="0.35">
      <c r="A15" s="30" t="s">
        <v>109</v>
      </c>
      <c r="B15" s="30" t="s">
        <v>109</v>
      </c>
      <c r="C15" s="13"/>
      <c r="D15" s="13"/>
      <c r="E15" s="13"/>
      <c r="F15" s="13"/>
      <c r="G15" s="13"/>
      <c r="H15" s="13"/>
      <c r="I15" s="13"/>
      <c r="J15" s="13"/>
      <c r="K15" s="13"/>
      <c r="L15" s="13"/>
      <c r="M15" s="13"/>
      <c r="N15" s="13"/>
      <c r="O15" s="13"/>
      <c r="P15" s="13"/>
      <c r="Q15" s="13"/>
      <c r="R15" s="13"/>
      <c r="S15" s="13"/>
      <c r="T15" s="13"/>
      <c r="U15" s="13"/>
      <c r="V15" s="13"/>
      <c r="W15" s="13"/>
      <c r="X15" s="13"/>
      <c r="Y15" s="13"/>
      <c r="Z15" s="13"/>
      <c r="AA15" s="13"/>
    </row>
    <row r="16" spans="1:27 16384:16384" ht="15.75" customHeight="1" x14ac:dyDescent="0.35">
      <c r="A16" s="29" t="s">
        <v>347</v>
      </c>
      <c r="B16" s="29" t="s">
        <v>347</v>
      </c>
      <c r="C16" s="13"/>
      <c r="D16" s="13"/>
      <c r="E16" s="13"/>
      <c r="F16" s="13"/>
      <c r="G16" s="13"/>
      <c r="H16" s="13"/>
      <c r="I16" s="13"/>
      <c r="J16" s="13"/>
      <c r="K16" s="13"/>
      <c r="L16" s="13"/>
      <c r="M16" s="13"/>
      <c r="N16" s="13"/>
      <c r="O16" s="13"/>
      <c r="P16" s="13"/>
      <c r="Q16" s="13"/>
      <c r="R16" s="13"/>
      <c r="S16" s="13"/>
      <c r="T16" s="13"/>
      <c r="U16" s="13"/>
      <c r="V16" s="13"/>
      <c r="W16" s="13"/>
      <c r="X16" s="13"/>
      <c r="Y16" s="13"/>
      <c r="Z16" s="13"/>
      <c r="AA16" s="13"/>
    </row>
    <row r="17" spans="1:27" ht="15.75" customHeight="1" x14ac:dyDescent="0.35">
      <c r="A17" s="30" t="s">
        <v>238</v>
      </c>
      <c r="B17" s="30" t="s">
        <v>238</v>
      </c>
      <c r="C17" s="13"/>
      <c r="D17" s="13"/>
      <c r="E17" s="13"/>
      <c r="F17" s="13"/>
      <c r="G17" s="13"/>
      <c r="H17" s="13"/>
      <c r="I17" s="13"/>
      <c r="J17" s="13"/>
      <c r="K17" s="13"/>
      <c r="L17" s="13"/>
      <c r="M17" s="13"/>
      <c r="N17" s="13"/>
      <c r="O17" s="13"/>
      <c r="P17" s="13"/>
      <c r="Q17" s="13"/>
      <c r="R17" s="13"/>
      <c r="S17" s="13"/>
      <c r="T17" s="13"/>
      <c r="U17" s="13"/>
      <c r="V17" s="13"/>
      <c r="W17" s="13"/>
      <c r="X17" s="13"/>
      <c r="Y17" s="13"/>
      <c r="Z17" s="13"/>
      <c r="AA17" s="13"/>
    </row>
    <row r="18" spans="1:27" ht="15.75" customHeight="1" x14ac:dyDescent="0.35">
      <c r="A18" s="29" t="s">
        <v>534</v>
      </c>
      <c r="B18" s="29" t="s">
        <v>534</v>
      </c>
      <c r="C18" s="13"/>
      <c r="D18" s="13"/>
      <c r="E18" s="13"/>
      <c r="F18" s="13"/>
      <c r="G18" s="13"/>
      <c r="H18" s="13"/>
      <c r="I18" s="13"/>
      <c r="J18" s="13"/>
      <c r="K18" s="13"/>
      <c r="L18" s="13"/>
      <c r="M18" s="13"/>
      <c r="N18" s="13"/>
      <c r="O18" s="13"/>
      <c r="P18" s="13"/>
      <c r="Q18" s="13"/>
      <c r="R18" s="13"/>
      <c r="S18" s="13"/>
      <c r="T18" s="13"/>
      <c r="U18" s="13"/>
      <c r="V18" s="13"/>
      <c r="W18" s="13"/>
      <c r="X18" s="13"/>
      <c r="Y18" s="13"/>
      <c r="Z18" s="13"/>
      <c r="AA18" s="13"/>
    </row>
    <row r="19" spans="1:27" ht="15.75" customHeight="1" x14ac:dyDescent="0.35">
      <c r="A19" s="30" t="s">
        <v>461</v>
      </c>
      <c r="B19" s="30" t="s">
        <v>461</v>
      </c>
      <c r="C19" s="13"/>
      <c r="D19" s="13"/>
      <c r="E19" s="13"/>
      <c r="F19" s="13"/>
      <c r="G19" s="13"/>
      <c r="H19" s="13"/>
      <c r="I19" s="13"/>
      <c r="J19" s="13"/>
      <c r="K19" s="13"/>
      <c r="L19" s="13"/>
      <c r="M19" s="13"/>
      <c r="N19" s="13"/>
      <c r="O19" s="13"/>
      <c r="P19" s="13"/>
      <c r="Q19" s="13"/>
      <c r="R19" s="13"/>
      <c r="S19" s="13"/>
      <c r="T19" s="13"/>
      <c r="U19" s="13"/>
      <c r="V19" s="13"/>
      <c r="W19" s="13"/>
      <c r="X19" s="13"/>
      <c r="Y19" s="13"/>
      <c r="Z19" s="13"/>
      <c r="AA19" s="13"/>
    </row>
    <row r="20" spans="1:27" ht="15.75" customHeight="1" x14ac:dyDescent="0.35">
      <c r="A20" s="29" t="s">
        <v>124</v>
      </c>
      <c r="B20" s="29" t="s">
        <v>124</v>
      </c>
      <c r="C20" s="13"/>
      <c r="D20" s="13"/>
      <c r="E20" s="13"/>
      <c r="F20" s="13"/>
      <c r="G20" s="13"/>
      <c r="H20" s="13"/>
      <c r="I20" s="13"/>
      <c r="J20" s="13"/>
      <c r="K20" s="13"/>
      <c r="L20" s="13"/>
      <c r="M20" s="13"/>
      <c r="N20" s="13"/>
      <c r="O20" s="13"/>
      <c r="P20" s="13"/>
      <c r="Q20" s="13"/>
      <c r="R20" s="13"/>
      <c r="S20" s="13"/>
      <c r="T20" s="13"/>
      <c r="U20" s="13"/>
      <c r="V20" s="13"/>
      <c r="W20" s="13"/>
      <c r="X20" s="13"/>
      <c r="Y20" s="13"/>
      <c r="Z20" s="13"/>
      <c r="AA20" s="13"/>
    </row>
    <row r="21" spans="1:27" ht="15.75" customHeight="1" x14ac:dyDescent="0.35">
      <c r="A21" s="30" t="s">
        <v>750</v>
      </c>
      <c r="B21" s="30" t="s">
        <v>750</v>
      </c>
      <c r="C21" s="13"/>
      <c r="D21" s="13"/>
      <c r="E21" s="13"/>
      <c r="F21" s="13"/>
      <c r="G21" s="13"/>
      <c r="H21" s="13"/>
      <c r="I21" s="13"/>
      <c r="J21" s="13"/>
      <c r="K21" s="13"/>
      <c r="L21" s="13"/>
      <c r="M21" s="13"/>
      <c r="N21" s="13"/>
      <c r="O21" s="13"/>
      <c r="P21" s="13"/>
      <c r="Q21" s="13"/>
      <c r="R21" s="13"/>
      <c r="S21" s="13"/>
      <c r="T21" s="13"/>
      <c r="U21" s="13"/>
      <c r="V21" s="13"/>
      <c r="W21" s="13"/>
      <c r="X21" s="13"/>
      <c r="Y21" s="13"/>
      <c r="Z21" s="13"/>
      <c r="AA21" s="13"/>
    </row>
    <row r="22" spans="1:27" ht="15.75" customHeight="1" x14ac:dyDescent="0.35">
      <c r="A22" s="29" t="s">
        <v>298</v>
      </c>
      <c r="B22" s="29" t="s">
        <v>298</v>
      </c>
      <c r="C22" s="13"/>
      <c r="D22" s="13"/>
      <c r="E22" s="13"/>
      <c r="F22" s="13"/>
      <c r="G22" s="13"/>
      <c r="H22" s="13"/>
      <c r="I22" s="13"/>
      <c r="J22" s="13"/>
      <c r="K22" s="13"/>
      <c r="L22" s="13"/>
      <c r="M22" s="13"/>
      <c r="N22" s="13"/>
      <c r="O22" s="13"/>
      <c r="P22" s="13"/>
      <c r="Q22" s="13"/>
      <c r="R22" s="13"/>
      <c r="S22" s="13"/>
      <c r="T22" s="13"/>
      <c r="U22" s="13"/>
      <c r="V22" s="13"/>
      <c r="W22" s="13"/>
      <c r="X22" s="13"/>
      <c r="Y22" s="13"/>
      <c r="Z22" s="13"/>
      <c r="AA22" s="13"/>
    </row>
    <row r="23" spans="1:27" ht="15.75" customHeight="1" x14ac:dyDescent="0.35">
      <c r="A23" s="30" t="s">
        <v>358</v>
      </c>
      <c r="B23" s="30" t="s">
        <v>358</v>
      </c>
      <c r="C23" s="13"/>
      <c r="D23" s="13"/>
      <c r="E23" s="13"/>
      <c r="F23" s="13"/>
      <c r="G23" s="13"/>
      <c r="H23" s="13"/>
      <c r="I23" s="13"/>
      <c r="J23" s="13"/>
      <c r="K23" s="13"/>
      <c r="L23" s="13"/>
      <c r="M23" s="13"/>
      <c r="N23" s="13"/>
      <c r="O23" s="13"/>
      <c r="P23" s="13"/>
      <c r="Q23" s="13"/>
      <c r="R23" s="13"/>
      <c r="S23" s="13"/>
      <c r="T23" s="13"/>
      <c r="U23" s="13"/>
      <c r="V23" s="13"/>
      <c r="W23" s="13"/>
      <c r="X23" s="13"/>
      <c r="Y23" s="13"/>
      <c r="Z23" s="13"/>
      <c r="AA23" s="13"/>
    </row>
    <row r="24" spans="1:27" ht="15.75" customHeight="1" x14ac:dyDescent="0.35">
      <c r="A24" s="29" t="s">
        <v>3787</v>
      </c>
      <c r="B24" s="29" t="s">
        <v>3787</v>
      </c>
      <c r="C24" s="13"/>
      <c r="D24" s="13"/>
      <c r="E24" s="13"/>
      <c r="F24" s="13"/>
      <c r="G24" s="13"/>
      <c r="H24" s="13"/>
      <c r="I24" s="13"/>
      <c r="J24" s="13"/>
      <c r="K24" s="13"/>
      <c r="L24" s="13"/>
      <c r="M24" s="13"/>
      <c r="N24" s="13"/>
      <c r="O24" s="13"/>
      <c r="P24" s="13"/>
      <c r="Q24" s="13"/>
      <c r="R24" s="13"/>
      <c r="S24" s="13"/>
      <c r="T24" s="13"/>
      <c r="U24" s="13"/>
      <c r="V24" s="13"/>
      <c r="W24" s="13"/>
      <c r="X24" s="13"/>
      <c r="Y24" s="13"/>
      <c r="Z24" s="13"/>
      <c r="AA24" s="13"/>
    </row>
    <row r="25" spans="1:27" ht="15.75" customHeight="1" x14ac:dyDescent="0.35">
      <c r="A25" s="30" t="s">
        <v>775</v>
      </c>
      <c r="B25" s="30" t="s">
        <v>775</v>
      </c>
      <c r="C25" s="13"/>
      <c r="D25" s="13"/>
      <c r="E25" s="13"/>
      <c r="F25" s="13"/>
      <c r="G25" s="13"/>
      <c r="H25" s="13"/>
      <c r="I25" s="13"/>
      <c r="J25" s="13"/>
      <c r="K25" s="13"/>
      <c r="L25" s="13"/>
      <c r="M25" s="13"/>
      <c r="N25" s="13"/>
      <c r="O25" s="13"/>
      <c r="P25" s="13"/>
      <c r="Q25" s="13"/>
      <c r="R25" s="13"/>
      <c r="S25" s="13"/>
      <c r="T25" s="13"/>
      <c r="U25" s="13"/>
      <c r="V25" s="13"/>
      <c r="W25" s="13"/>
      <c r="X25" s="13"/>
      <c r="Y25" s="13"/>
      <c r="Z25" s="13"/>
      <c r="AA25" s="13"/>
    </row>
    <row r="26" spans="1:27" ht="15.75" customHeight="1" x14ac:dyDescent="0.35">
      <c r="A26" s="29" t="s">
        <v>924</v>
      </c>
      <c r="B26" s="29" t="s">
        <v>924</v>
      </c>
      <c r="C26" s="13"/>
      <c r="D26" s="13"/>
      <c r="E26" s="13"/>
      <c r="F26" s="13"/>
      <c r="G26" s="13"/>
      <c r="H26" s="13"/>
      <c r="I26" s="13"/>
      <c r="J26" s="13"/>
      <c r="K26" s="13"/>
      <c r="L26" s="13"/>
      <c r="M26" s="13"/>
      <c r="N26" s="13"/>
      <c r="O26" s="13"/>
      <c r="P26" s="13"/>
      <c r="Q26" s="13"/>
      <c r="R26" s="13"/>
      <c r="S26" s="13"/>
      <c r="T26" s="13"/>
      <c r="U26" s="13"/>
      <c r="V26" s="13"/>
      <c r="W26" s="13"/>
      <c r="X26" s="13"/>
      <c r="Y26" s="13"/>
      <c r="Z26" s="13"/>
      <c r="AA26" s="13"/>
    </row>
    <row r="27" spans="1:27" ht="15.75" customHeight="1" x14ac:dyDescent="0.35">
      <c r="A27" s="30" t="s">
        <v>758</v>
      </c>
      <c r="B27" s="30" t="s">
        <v>758</v>
      </c>
      <c r="C27" s="13"/>
      <c r="D27" s="13"/>
      <c r="E27" s="13"/>
      <c r="F27" s="13"/>
      <c r="G27" s="13"/>
      <c r="H27" s="13"/>
      <c r="I27" s="13"/>
      <c r="J27" s="13"/>
      <c r="K27" s="13"/>
      <c r="L27" s="13"/>
      <c r="M27" s="13"/>
      <c r="N27" s="13"/>
      <c r="O27" s="13"/>
      <c r="P27" s="13"/>
      <c r="Q27" s="13"/>
      <c r="R27" s="13"/>
      <c r="S27" s="13"/>
      <c r="T27" s="13"/>
      <c r="U27" s="13"/>
      <c r="V27" s="13"/>
      <c r="W27" s="13"/>
      <c r="X27" s="13"/>
      <c r="Y27" s="13"/>
      <c r="Z27" s="13"/>
      <c r="AA27" s="13"/>
    </row>
    <row r="28" spans="1:27" ht="15.75" customHeight="1" x14ac:dyDescent="0.35">
      <c r="A28" s="29" t="s">
        <v>230</v>
      </c>
      <c r="B28" s="29" t="s">
        <v>230</v>
      </c>
      <c r="C28" s="13"/>
      <c r="D28" s="13"/>
      <c r="E28" s="13"/>
      <c r="F28" s="13"/>
      <c r="G28" s="13"/>
      <c r="H28" s="13"/>
      <c r="I28" s="13"/>
      <c r="J28" s="13"/>
      <c r="K28" s="13"/>
      <c r="L28" s="13"/>
      <c r="M28" s="13"/>
      <c r="N28" s="13"/>
      <c r="O28" s="13"/>
      <c r="P28" s="13"/>
      <c r="Q28" s="13"/>
      <c r="R28" s="13"/>
      <c r="S28" s="13"/>
      <c r="T28" s="13"/>
      <c r="U28" s="13"/>
      <c r="V28" s="13"/>
      <c r="W28" s="13"/>
      <c r="X28" s="13"/>
      <c r="Y28" s="13"/>
      <c r="Z28" s="13"/>
      <c r="AA28" s="13"/>
    </row>
    <row r="29" spans="1:27" ht="17.399999999999999" x14ac:dyDescent="0.35">
      <c r="A29" s="30" t="s">
        <v>408</v>
      </c>
      <c r="B29" s="30" t="s">
        <v>408</v>
      </c>
      <c r="C29" s="13"/>
      <c r="D29" s="13"/>
      <c r="E29" s="13"/>
      <c r="F29" s="13"/>
      <c r="G29" s="13"/>
      <c r="H29" s="13"/>
      <c r="I29" s="13"/>
      <c r="J29" s="13"/>
      <c r="K29" s="13"/>
      <c r="L29" s="13"/>
      <c r="M29" s="13"/>
      <c r="N29" s="13"/>
      <c r="O29" s="13"/>
      <c r="P29" s="13"/>
      <c r="Q29" s="13"/>
      <c r="R29" s="13"/>
      <c r="S29" s="13"/>
      <c r="T29" s="13"/>
      <c r="U29" s="13"/>
      <c r="V29" s="13"/>
      <c r="W29" s="13"/>
      <c r="X29" s="13"/>
      <c r="Y29" s="13"/>
      <c r="Z29" s="13"/>
      <c r="AA29" s="13"/>
    </row>
    <row r="30" spans="1:27" ht="17.399999999999999" x14ac:dyDescent="0.35">
      <c r="A30" s="29" t="s">
        <v>1828</v>
      </c>
      <c r="B30" s="29" t="s">
        <v>1828</v>
      </c>
      <c r="C30" s="13"/>
      <c r="D30" s="13"/>
      <c r="E30" s="13"/>
      <c r="F30" s="13"/>
      <c r="G30" s="13"/>
      <c r="H30" s="13"/>
      <c r="I30" s="13"/>
      <c r="J30" s="13"/>
      <c r="K30" s="13"/>
      <c r="L30" s="13"/>
      <c r="M30" s="13"/>
      <c r="N30" s="13"/>
      <c r="O30" s="13"/>
      <c r="P30" s="13"/>
      <c r="Q30" s="13"/>
      <c r="R30" s="13"/>
      <c r="S30" s="13"/>
      <c r="T30" s="13"/>
      <c r="U30" s="13"/>
      <c r="V30" s="13"/>
      <c r="W30" s="13"/>
      <c r="X30" s="13"/>
      <c r="Y30" s="13"/>
      <c r="Z30" s="13"/>
      <c r="AA30" s="13"/>
    </row>
    <row r="31" spans="1:27" ht="17.399999999999999" x14ac:dyDescent="0.35">
      <c r="A31" s="30" t="s">
        <v>208</v>
      </c>
      <c r="B31" s="30" t="s">
        <v>208</v>
      </c>
      <c r="C31" s="13"/>
      <c r="D31" s="13"/>
      <c r="E31" s="13"/>
      <c r="F31" s="13"/>
      <c r="G31" s="13"/>
      <c r="H31" s="13"/>
      <c r="I31" s="13"/>
      <c r="J31" s="13"/>
      <c r="K31" s="13"/>
      <c r="L31" s="13"/>
      <c r="M31" s="13"/>
      <c r="N31" s="13"/>
      <c r="O31" s="13"/>
      <c r="P31" s="13"/>
      <c r="Q31" s="13"/>
      <c r="R31" s="13"/>
      <c r="S31" s="13"/>
      <c r="T31" s="13"/>
      <c r="U31" s="13"/>
      <c r="V31" s="13"/>
      <c r="W31" s="13"/>
      <c r="X31" s="13"/>
      <c r="Y31" s="13"/>
      <c r="Z31" s="13"/>
      <c r="AA31" s="13"/>
    </row>
    <row r="32" spans="1:27" ht="17.399999999999999" x14ac:dyDescent="0.35">
      <c r="A32" s="29" t="s">
        <v>328</v>
      </c>
      <c r="B32" s="29" t="s">
        <v>328</v>
      </c>
      <c r="C32" s="13"/>
      <c r="D32" s="13"/>
      <c r="E32" s="13"/>
      <c r="F32" s="13"/>
      <c r="G32" s="13"/>
      <c r="H32" s="13"/>
      <c r="I32" s="13"/>
      <c r="J32" s="13"/>
      <c r="K32" s="13"/>
      <c r="L32" s="13"/>
      <c r="M32" s="13"/>
      <c r="N32" s="13"/>
      <c r="O32" s="13"/>
      <c r="P32" s="13"/>
      <c r="Q32" s="13"/>
      <c r="R32" s="13"/>
      <c r="S32" s="13"/>
      <c r="T32" s="13"/>
      <c r="U32" s="13"/>
      <c r="V32" s="13"/>
      <c r="W32" s="13"/>
      <c r="X32" s="13"/>
      <c r="Y32" s="13"/>
      <c r="Z32" s="13"/>
      <c r="AA32" s="13"/>
    </row>
    <row r="33" spans="1:27" ht="17.399999999999999" x14ac:dyDescent="0.35">
      <c r="A33" s="30" t="s">
        <v>1093</v>
      </c>
      <c r="B33" s="30" t="s">
        <v>1093</v>
      </c>
      <c r="C33" s="13"/>
      <c r="D33" s="13"/>
      <c r="E33" s="13"/>
      <c r="F33" s="13"/>
      <c r="G33" s="13"/>
      <c r="H33" s="13"/>
      <c r="I33" s="13"/>
      <c r="J33" s="13"/>
      <c r="K33" s="13"/>
      <c r="L33" s="13"/>
      <c r="M33" s="13"/>
      <c r="N33" s="13"/>
      <c r="O33" s="13"/>
      <c r="P33" s="13"/>
      <c r="Q33" s="13"/>
      <c r="R33" s="13"/>
      <c r="S33" s="13"/>
      <c r="T33" s="13"/>
      <c r="U33" s="13"/>
      <c r="V33" s="13"/>
      <c r="W33" s="13"/>
      <c r="X33" s="13"/>
      <c r="Y33" s="13"/>
      <c r="Z33" s="13"/>
      <c r="AA33" s="13"/>
    </row>
    <row r="34" spans="1:27" ht="17.399999999999999" x14ac:dyDescent="0.35">
      <c r="A34" s="29" t="s">
        <v>2951</v>
      </c>
      <c r="B34" s="29" t="s">
        <v>2951</v>
      </c>
      <c r="C34" s="13"/>
      <c r="D34" s="13"/>
      <c r="E34" s="13"/>
      <c r="F34" s="13"/>
      <c r="G34" s="13"/>
      <c r="H34" s="13"/>
      <c r="I34" s="13"/>
      <c r="J34" s="13"/>
      <c r="K34" s="13"/>
      <c r="L34" s="13"/>
      <c r="M34" s="13"/>
      <c r="N34" s="13"/>
      <c r="O34" s="13"/>
      <c r="P34" s="13"/>
      <c r="Q34" s="13"/>
      <c r="R34" s="13"/>
      <c r="S34" s="13"/>
      <c r="T34" s="13"/>
      <c r="U34" s="13"/>
      <c r="V34" s="13"/>
      <c r="W34" s="13"/>
      <c r="X34" s="13"/>
      <c r="Y34" s="13"/>
      <c r="Z34" s="13"/>
      <c r="AA34" s="13"/>
    </row>
    <row r="35" spans="1:27" ht="17.399999999999999" x14ac:dyDescent="0.35">
      <c r="A35" s="30" t="s">
        <v>2214</v>
      </c>
      <c r="B35" s="30" t="s">
        <v>2214</v>
      </c>
      <c r="C35" s="13"/>
      <c r="D35" s="13"/>
      <c r="E35" s="13"/>
      <c r="F35" s="13"/>
      <c r="G35" s="13"/>
      <c r="H35" s="13"/>
      <c r="I35" s="13"/>
      <c r="J35" s="13"/>
      <c r="K35" s="13"/>
      <c r="L35" s="13"/>
      <c r="M35" s="13"/>
      <c r="N35" s="13"/>
      <c r="O35" s="13"/>
      <c r="P35" s="13"/>
      <c r="Q35" s="13"/>
      <c r="R35" s="13"/>
      <c r="S35" s="13"/>
      <c r="T35" s="13"/>
      <c r="U35" s="13"/>
      <c r="V35" s="13"/>
      <c r="W35" s="13"/>
      <c r="X35" s="13"/>
      <c r="Y35" s="13"/>
      <c r="Z35" s="13"/>
      <c r="AA35" s="13"/>
    </row>
    <row r="36" spans="1:27" ht="17.399999999999999" x14ac:dyDescent="0.35">
      <c r="A36" s="29" t="s">
        <v>3894</v>
      </c>
      <c r="B36" s="29" t="s">
        <v>3894</v>
      </c>
      <c r="C36" s="13"/>
      <c r="D36" s="13"/>
      <c r="E36" s="13"/>
      <c r="F36" s="13"/>
      <c r="G36" s="13"/>
      <c r="H36" s="13"/>
      <c r="I36" s="13"/>
      <c r="J36" s="13"/>
      <c r="K36" s="13"/>
      <c r="L36" s="13"/>
      <c r="M36" s="13"/>
      <c r="N36" s="13"/>
      <c r="O36" s="13"/>
      <c r="P36" s="13"/>
      <c r="Q36" s="13"/>
      <c r="R36" s="13"/>
      <c r="S36" s="13"/>
      <c r="T36" s="13"/>
      <c r="U36" s="13"/>
      <c r="V36" s="13"/>
      <c r="W36" s="13"/>
      <c r="X36" s="13"/>
      <c r="Y36" s="13"/>
      <c r="Z36" s="13"/>
      <c r="AA36" s="13"/>
    </row>
    <row r="37" spans="1:27" ht="17.399999999999999" x14ac:dyDescent="0.35">
      <c r="A37" s="30" t="s">
        <v>192</v>
      </c>
      <c r="B37" s="30" t="s">
        <v>192</v>
      </c>
      <c r="C37" s="13"/>
      <c r="D37" s="13"/>
      <c r="E37" s="13"/>
      <c r="F37" s="13"/>
      <c r="G37" s="13"/>
      <c r="H37" s="13"/>
      <c r="I37" s="13"/>
      <c r="J37" s="13"/>
      <c r="K37" s="13"/>
      <c r="L37" s="13"/>
      <c r="M37" s="13"/>
      <c r="N37" s="13"/>
      <c r="O37" s="13"/>
      <c r="P37" s="13"/>
      <c r="Q37" s="13"/>
      <c r="R37" s="13"/>
      <c r="S37" s="13"/>
      <c r="T37" s="13"/>
      <c r="U37" s="13"/>
      <c r="V37" s="13"/>
      <c r="W37" s="13"/>
      <c r="X37" s="13"/>
      <c r="Y37" s="13"/>
      <c r="Z37" s="13"/>
      <c r="AA37" s="13"/>
    </row>
    <row r="38" spans="1:27" ht="17.399999999999999" x14ac:dyDescent="0.35">
      <c r="A38" s="29" t="s">
        <v>341</v>
      </c>
      <c r="B38" s="29" t="s">
        <v>341</v>
      </c>
      <c r="C38" s="13"/>
      <c r="D38" s="13"/>
      <c r="E38" s="13"/>
      <c r="F38" s="13"/>
      <c r="G38" s="13"/>
      <c r="H38" s="13"/>
      <c r="I38" s="13"/>
      <c r="J38" s="13"/>
      <c r="K38" s="13"/>
      <c r="L38" s="13"/>
      <c r="M38" s="13"/>
      <c r="N38" s="13"/>
      <c r="O38" s="13"/>
      <c r="P38" s="13"/>
      <c r="Q38" s="13"/>
      <c r="R38" s="13"/>
      <c r="S38" s="13"/>
      <c r="T38" s="13"/>
      <c r="U38" s="13"/>
      <c r="V38" s="13"/>
      <c r="W38" s="13"/>
      <c r="X38" s="13"/>
      <c r="Y38" s="13"/>
      <c r="Z38" s="13"/>
      <c r="AA38" s="13"/>
    </row>
    <row r="39" spans="1:27" ht="17.399999999999999" x14ac:dyDescent="0.35">
      <c r="A39" s="30" t="s">
        <v>630</v>
      </c>
      <c r="B39" s="30" t="s">
        <v>630</v>
      </c>
      <c r="C39" s="13"/>
      <c r="D39" s="13"/>
      <c r="E39" s="13"/>
      <c r="F39" s="13"/>
      <c r="G39" s="13"/>
      <c r="H39" s="13"/>
      <c r="I39" s="13"/>
      <c r="J39" s="13"/>
      <c r="K39" s="13"/>
      <c r="L39" s="13"/>
      <c r="M39" s="13"/>
      <c r="N39" s="13"/>
      <c r="O39" s="13"/>
      <c r="P39" s="13"/>
      <c r="Q39" s="13"/>
      <c r="R39" s="13"/>
      <c r="S39" s="13"/>
      <c r="T39" s="13"/>
      <c r="U39" s="13"/>
      <c r="V39" s="13"/>
      <c r="W39" s="13"/>
      <c r="X39" s="13"/>
      <c r="Y39" s="13"/>
      <c r="Z39" s="13"/>
      <c r="AA39" s="13"/>
    </row>
    <row r="40" spans="1:27" ht="17.399999999999999" x14ac:dyDescent="0.35">
      <c r="A40" s="29" t="s">
        <v>122</v>
      </c>
      <c r="B40" s="29" t="s">
        <v>122</v>
      </c>
      <c r="C40" s="13"/>
      <c r="D40" s="13"/>
      <c r="E40" s="13"/>
      <c r="F40" s="13"/>
      <c r="G40" s="13"/>
      <c r="H40" s="13"/>
      <c r="I40" s="13"/>
      <c r="J40" s="13"/>
      <c r="K40" s="13"/>
      <c r="L40" s="13"/>
      <c r="M40" s="13"/>
      <c r="N40" s="13"/>
      <c r="O40" s="13"/>
      <c r="P40" s="13"/>
      <c r="Q40" s="13"/>
      <c r="R40" s="13"/>
      <c r="S40" s="13"/>
      <c r="T40" s="13"/>
      <c r="U40" s="13"/>
      <c r="V40" s="13"/>
      <c r="W40" s="13"/>
      <c r="X40" s="13"/>
      <c r="Y40" s="13"/>
      <c r="Z40" s="13"/>
      <c r="AA40" s="13"/>
    </row>
    <row r="41" spans="1:27" ht="17.399999999999999" x14ac:dyDescent="0.35">
      <c r="A41" s="30" t="s">
        <v>139</v>
      </c>
      <c r="B41" s="30" t="s">
        <v>139</v>
      </c>
      <c r="C41" s="13"/>
      <c r="D41" s="13"/>
      <c r="E41" s="13"/>
      <c r="F41" s="13"/>
      <c r="G41" s="13"/>
      <c r="H41" s="13"/>
      <c r="I41" s="13"/>
      <c r="J41" s="13"/>
      <c r="K41" s="13"/>
      <c r="L41" s="13"/>
      <c r="M41" s="13"/>
      <c r="N41" s="13"/>
      <c r="O41" s="13"/>
      <c r="P41" s="13"/>
      <c r="Q41" s="13"/>
      <c r="R41" s="13"/>
      <c r="S41" s="13"/>
      <c r="T41" s="13"/>
      <c r="U41" s="13"/>
      <c r="V41" s="13"/>
      <c r="W41" s="13"/>
      <c r="X41" s="13"/>
      <c r="Y41" s="13"/>
      <c r="Z41" s="13"/>
      <c r="AA41" s="13"/>
    </row>
    <row r="42" spans="1:27" ht="17.399999999999999" x14ac:dyDescent="0.35">
      <c r="A42" s="29" t="s">
        <v>386</v>
      </c>
      <c r="B42" s="29" t="s">
        <v>386</v>
      </c>
      <c r="C42" s="13"/>
      <c r="D42" s="13"/>
      <c r="E42" s="13"/>
      <c r="F42" s="13"/>
      <c r="G42" s="13"/>
      <c r="H42" s="13"/>
      <c r="I42" s="13"/>
      <c r="J42" s="13"/>
      <c r="K42" s="13"/>
      <c r="L42" s="13"/>
      <c r="M42" s="13"/>
      <c r="N42" s="13"/>
      <c r="O42" s="13"/>
      <c r="P42" s="13"/>
      <c r="Q42" s="13"/>
      <c r="R42" s="13"/>
      <c r="S42" s="13"/>
      <c r="T42" s="13"/>
      <c r="U42" s="13"/>
      <c r="V42" s="13"/>
      <c r="W42" s="13"/>
      <c r="X42" s="13"/>
      <c r="Y42" s="13"/>
      <c r="Z42" s="13"/>
      <c r="AA42" s="13"/>
    </row>
    <row r="43" spans="1:27" ht="17.399999999999999" x14ac:dyDescent="0.35">
      <c r="A43" s="30" t="s">
        <v>325</v>
      </c>
      <c r="B43" s="30" t="s">
        <v>325</v>
      </c>
      <c r="C43" s="13"/>
      <c r="D43" s="13"/>
      <c r="E43" s="13"/>
      <c r="F43" s="13"/>
      <c r="G43" s="13"/>
      <c r="H43" s="13"/>
      <c r="I43" s="13"/>
      <c r="J43" s="13"/>
      <c r="K43" s="13"/>
      <c r="L43" s="13"/>
      <c r="M43" s="13"/>
      <c r="N43" s="13"/>
      <c r="O43" s="13"/>
      <c r="P43" s="13"/>
      <c r="Q43" s="13"/>
      <c r="R43" s="13"/>
      <c r="S43" s="13"/>
      <c r="T43" s="13"/>
      <c r="U43" s="13"/>
      <c r="V43" s="13"/>
      <c r="W43" s="13"/>
      <c r="X43" s="13"/>
      <c r="Y43" s="13"/>
      <c r="Z43" s="13"/>
      <c r="AA43" s="13"/>
    </row>
    <row r="44" spans="1:27" ht="17.399999999999999" x14ac:dyDescent="0.35">
      <c r="A44" s="29" t="s">
        <v>81</v>
      </c>
      <c r="B44" s="29" t="s">
        <v>81</v>
      </c>
      <c r="C44" s="13"/>
      <c r="D44" s="13"/>
      <c r="E44" s="13"/>
      <c r="F44" s="13"/>
      <c r="G44" s="13"/>
      <c r="H44" s="13"/>
      <c r="I44" s="13"/>
      <c r="J44" s="13"/>
      <c r="K44" s="13"/>
      <c r="L44" s="13"/>
      <c r="M44" s="13"/>
      <c r="N44" s="13"/>
      <c r="O44" s="13"/>
      <c r="P44" s="13"/>
      <c r="Q44" s="13"/>
      <c r="R44" s="13"/>
      <c r="S44" s="13"/>
      <c r="T44" s="13"/>
      <c r="U44" s="13"/>
      <c r="V44" s="13"/>
      <c r="W44" s="13"/>
      <c r="X44" s="13"/>
      <c r="Y44" s="13"/>
      <c r="Z44" s="13"/>
      <c r="AA44" s="13"/>
    </row>
    <row r="45" spans="1:27" ht="17.399999999999999" x14ac:dyDescent="0.35">
      <c r="A45" s="30" t="s">
        <v>173</v>
      </c>
      <c r="B45" s="30" t="s">
        <v>173</v>
      </c>
      <c r="C45" s="13"/>
      <c r="D45" s="13"/>
      <c r="E45" s="13"/>
      <c r="F45" s="13"/>
      <c r="G45" s="13"/>
      <c r="H45" s="13"/>
      <c r="I45" s="13"/>
      <c r="J45" s="13"/>
      <c r="K45" s="13"/>
      <c r="L45" s="13"/>
      <c r="M45" s="13"/>
      <c r="N45" s="13"/>
      <c r="O45" s="13"/>
      <c r="P45" s="13"/>
      <c r="Q45" s="13"/>
      <c r="R45" s="13"/>
      <c r="S45" s="13"/>
      <c r="T45" s="13"/>
      <c r="U45" s="13"/>
      <c r="V45" s="13"/>
      <c r="W45" s="13"/>
      <c r="X45" s="13"/>
      <c r="Y45" s="13"/>
      <c r="Z45" s="13"/>
      <c r="AA45" s="13"/>
    </row>
    <row r="46" spans="1:27" ht="17.399999999999999" x14ac:dyDescent="0.35">
      <c r="A46" s="29" t="s">
        <v>1206</v>
      </c>
      <c r="B46" s="29" t="s">
        <v>1206</v>
      </c>
      <c r="C46" s="13"/>
      <c r="D46" s="13"/>
      <c r="E46" s="13"/>
      <c r="F46" s="13"/>
      <c r="G46" s="13"/>
      <c r="H46" s="13"/>
      <c r="I46" s="13"/>
      <c r="J46" s="13"/>
      <c r="K46" s="13"/>
      <c r="L46" s="13"/>
      <c r="M46" s="13"/>
      <c r="N46" s="13"/>
      <c r="O46" s="13"/>
      <c r="P46" s="13"/>
      <c r="Q46" s="13"/>
      <c r="R46" s="13"/>
      <c r="S46" s="13"/>
      <c r="T46" s="13"/>
      <c r="U46" s="13"/>
      <c r="V46" s="13"/>
      <c r="W46" s="13"/>
      <c r="X46" s="13"/>
      <c r="Y46" s="13"/>
      <c r="Z46" s="13"/>
      <c r="AA46" s="13"/>
    </row>
    <row r="47" spans="1:27" ht="17.399999999999999" x14ac:dyDescent="0.35">
      <c r="A47" s="30" t="s">
        <v>818</v>
      </c>
      <c r="B47" s="30" t="s">
        <v>818</v>
      </c>
      <c r="C47" s="13"/>
      <c r="D47" s="13"/>
      <c r="E47" s="13"/>
      <c r="F47" s="13"/>
      <c r="G47" s="13"/>
      <c r="H47" s="13"/>
      <c r="I47" s="13"/>
      <c r="J47" s="13"/>
      <c r="K47" s="13"/>
      <c r="L47" s="13"/>
      <c r="M47" s="13"/>
      <c r="N47" s="13"/>
      <c r="O47" s="13"/>
      <c r="P47" s="13"/>
      <c r="Q47" s="13"/>
      <c r="R47" s="13"/>
      <c r="S47" s="13"/>
      <c r="T47" s="13"/>
      <c r="U47" s="13"/>
      <c r="V47" s="13"/>
      <c r="W47" s="13"/>
      <c r="X47" s="13"/>
      <c r="Y47" s="13"/>
      <c r="Z47" s="13"/>
      <c r="AA47" s="13"/>
    </row>
    <row r="48" spans="1:27" ht="17.399999999999999" x14ac:dyDescent="0.35">
      <c r="A48" s="29" t="s">
        <v>72</v>
      </c>
      <c r="B48" s="29" t="s">
        <v>72</v>
      </c>
      <c r="C48" s="13"/>
      <c r="D48" s="13"/>
      <c r="E48" s="13"/>
      <c r="F48" s="13"/>
      <c r="G48" s="13"/>
      <c r="H48" s="13"/>
      <c r="I48" s="13"/>
      <c r="J48" s="13"/>
      <c r="K48" s="13"/>
      <c r="L48" s="13"/>
      <c r="M48" s="13"/>
      <c r="N48" s="13"/>
      <c r="O48" s="13"/>
      <c r="P48" s="13"/>
      <c r="Q48" s="13"/>
      <c r="R48" s="13"/>
      <c r="S48" s="13"/>
      <c r="T48" s="13"/>
      <c r="U48" s="13"/>
      <c r="V48" s="13"/>
      <c r="W48" s="13"/>
      <c r="X48" s="13"/>
      <c r="Y48" s="13"/>
      <c r="Z48" s="13"/>
      <c r="AA48" s="13"/>
    </row>
    <row r="49" spans="1:27" ht="17.399999999999999" x14ac:dyDescent="0.35">
      <c r="A49" s="30" t="s">
        <v>1244</v>
      </c>
      <c r="B49" s="30" t="s">
        <v>1244</v>
      </c>
      <c r="C49" s="13"/>
      <c r="D49" s="13"/>
      <c r="E49" s="13"/>
      <c r="F49" s="13"/>
      <c r="G49" s="13"/>
      <c r="H49" s="13"/>
      <c r="I49" s="13"/>
      <c r="J49" s="13"/>
      <c r="K49" s="13"/>
      <c r="L49" s="13"/>
      <c r="M49" s="13"/>
      <c r="N49" s="13"/>
      <c r="O49" s="13"/>
      <c r="P49" s="13"/>
      <c r="Q49" s="13"/>
      <c r="R49" s="13"/>
      <c r="S49" s="13"/>
      <c r="T49" s="13"/>
      <c r="U49" s="13"/>
      <c r="V49" s="13"/>
      <c r="W49" s="13"/>
      <c r="X49" s="13"/>
      <c r="Y49" s="13"/>
      <c r="Z49" s="13"/>
      <c r="AA49" s="13"/>
    </row>
    <row r="50" spans="1:27" ht="17.399999999999999" x14ac:dyDescent="0.35">
      <c r="A50" s="29" t="s">
        <v>136</v>
      </c>
      <c r="B50" s="29" t="s">
        <v>136</v>
      </c>
      <c r="C50" s="13"/>
      <c r="D50" s="13"/>
      <c r="E50" s="13"/>
      <c r="F50" s="13"/>
      <c r="G50" s="13"/>
      <c r="H50" s="13"/>
      <c r="I50" s="13"/>
      <c r="J50" s="13"/>
      <c r="K50" s="13"/>
      <c r="L50" s="13"/>
      <c r="M50" s="13"/>
      <c r="N50" s="13"/>
      <c r="O50" s="13"/>
      <c r="P50" s="13"/>
      <c r="Q50" s="13"/>
      <c r="R50" s="13"/>
      <c r="S50" s="13"/>
      <c r="T50" s="13"/>
      <c r="U50" s="13"/>
      <c r="V50" s="13"/>
      <c r="W50" s="13"/>
      <c r="X50" s="13"/>
      <c r="Y50" s="13"/>
      <c r="Z50" s="13"/>
      <c r="AA50" s="13"/>
    </row>
    <row r="51" spans="1:27" ht="17.399999999999999" x14ac:dyDescent="0.35">
      <c r="A51" s="31" t="s">
        <v>1052</v>
      </c>
      <c r="B51" s="31" t="s">
        <v>1052</v>
      </c>
      <c r="C51" s="13"/>
      <c r="D51" s="13"/>
      <c r="E51" s="13"/>
      <c r="F51" s="13"/>
      <c r="G51" s="13"/>
      <c r="H51" s="13"/>
      <c r="I51" s="13"/>
      <c r="J51" s="13"/>
      <c r="K51" s="13"/>
      <c r="L51" s="13"/>
      <c r="M51" s="13"/>
      <c r="N51" s="13"/>
      <c r="O51" s="13"/>
      <c r="P51" s="13"/>
      <c r="Q51" s="13"/>
      <c r="R51" s="13"/>
      <c r="S51" s="13"/>
      <c r="T51" s="13"/>
      <c r="U51" s="13"/>
      <c r="V51" s="13"/>
      <c r="W51" s="13"/>
      <c r="X51" s="13"/>
      <c r="Y51" s="13"/>
      <c r="Z51" s="13"/>
      <c r="AA51" s="13"/>
    </row>
    <row r="52" spans="1:27" ht="17.399999999999999" x14ac:dyDescent="0.35">
      <c r="A52" s="29" t="s">
        <v>720</v>
      </c>
      <c r="B52" s="29" t="s">
        <v>720</v>
      </c>
      <c r="C52" s="13"/>
      <c r="D52" s="13"/>
      <c r="E52" s="13"/>
      <c r="F52" s="13"/>
      <c r="G52" s="13"/>
      <c r="H52" s="13"/>
      <c r="I52" s="13"/>
      <c r="J52" s="13"/>
      <c r="K52" s="13"/>
      <c r="L52" s="13"/>
      <c r="M52" s="13"/>
      <c r="N52" s="13"/>
      <c r="O52" s="13"/>
      <c r="P52" s="13"/>
      <c r="Q52" s="13"/>
      <c r="R52" s="13"/>
      <c r="S52" s="13"/>
      <c r="T52" s="13"/>
      <c r="U52" s="13"/>
      <c r="V52" s="13"/>
      <c r="W52" s="13"/>
      <c r="X52" s="13"/>
      <c r="Y52" s="13"/>
      <c r="Z52" s="13"/>
      <c r="AA52" s="13"/>
    </row>
    <row r="53" spans="1:27" ht="17.399999999999999" x14ac:dyDescent="0.35">
      <c r="A53" s="30" t="s">
        <v>786</v>
      </c>
      <c r="B53" s="30" t="s">
        <v>786</v>
      </c>
      <c r="C53" s="13"/>
      <c r="D53" s="13"/>
      <c r="E53" s="13"/>
      <c r="F53" s="13"/>
      <c r="G53" s="13"/>
      <c r="H53" s="13"/>
      <c r="I53" s="13"/>
      <c r="J53" s="13"/>
      <c r="K53" s="13"/>
      <c r="L53" s="13"/>
      <c r="M53" s="13"/>
      <c r="N53" s="13"/>
      <c r="O53" s="13"/>
      <c r="P53" s="13"/>
      <c r="Q53" s="13"/>
      <c r="R53" s="13"/>
      <c r="S53" s="13"/>
      <c r="T53" s="13"/>
      <c r="U53" s="13"/>
      <c r="V53" s="13"/>
      <c r="W53" s="13"/>
      <c r="X53" s="13"/>
      <c r="Y53" s="13"/>
      <c r="Z53" s="13"/>
      <c r="AA53" s="13"/>
    </row>
    <row r="54" spans="1:27" ht="17.399999999999999" x14ac:dyDescent="0.35">
      <c r="A54" s="29" t="s">
        <v>747</v>
      </c>
      <c r="B54" s="29" t="s">
        <v>747</v>
      </c>
      <c r="C54" s="13"/>
      <c r="D54" s="13"/>
      <c r="E54" s="13"/>
      <c r="F54" s="13"/>
      <c r="G54" s="13"/>
      <c r="H54" s="13"/>
      <c r="I54" s="13"/>
      <c r="J54" s="13"/>
      <c r="K54" s="13"/>
      <c r="L54" s="13"/>
      <c r="M54" s="13"/>
      <c r="N54" s="13"/>
      <c r="O54" s="13"/>
      <c r="P54" s="13"/>
      <c r="Q54" s="13"/>
      <c r="R54" s="13"/>
      <c r="S54" s="13"/>
      <c r="T54" s="13"/>
      <c r="U54" s="13"/>
      <c r="V54" s="13"/>
      <c r="W54" s="13"/>
      <c r="X54" s="13"/>
      <c r="Y54" s="13"/>
      <c r="Z54" s="13"/>
      <c r="AA54" s="13"/>
    </row>
    <row r="55" spans="1:27" ht="17.399999999999999" x14ac:dyDescent="0.35">
      <c r="A55" s="30" t="s">
        <v>1116</v>
      </c>
      <c r="B55" s="30" t="s">
        <v>1116</v>
      </c>
      <c r="C55" s="13"/>
      <c r="D55" s="13"/>
      <c r="E55" s="13"/>
      <c r="F55" s="13"/>
      <c r="G55" s="13"/>
      <c r="H55" s="13"/>
      <c r="I55" s="13"/>
      <c r="J55" s="13"/>
      <c r="K55" s="13"/>
      <c r="L55" s="13"/>
      <c r="M55" s="13"/>
      <c r="N55" s="13"/>
      <c r="O55" s="13"/>
      <c r="P55" s="13"/>
      <c r="Q55" s="13"/>
      <c r="R55" s="13"/>
      <c r="S55" s="13"/>
      <c r="T55" s="13"/>
      <c r="U55" s="13"/>
      <c r="V55" s="13"/>
      <c r="W55" s="13"/>
      <c r="X55" s="13"/>
      <c r="Y55" s="13"/>
      <c r="Z55" s="13"/>
      <c r="AA55" s="13"/>
    </row>
    <row r="56" spans="1:27" ht="17.399999999999999" x14ac:dyDescent="0.35">
      <c r="A56" s="29" t="s">
        <v>917</v>
      </c>
      <c r="B56" s="29" t="s">
        <v>917</v>
      </c>
      <c r="C56" s="13"/>
      <c r="D56" s="13"/>
      <c r="E56" s="13"/>
      <c r="F56" s="13"/>
      <c r="G56" s="13"/>
      <c r="H56" s="13"/>
      <c r="I56" s="13"/>
      <c r="J56" s="13"/>
      <c r="K56" s="13"/>
      <c r="L56" s="13"/>
      <c r="M56" s="13"/>
      <c r="N56" s="13"/>
      <c r="O56" s="13"/>
      <c r="P56" s="13"/>
      <c r="Q56" s="13"/>
      <c r="R56" s="13"/>
      <c r="S56" s="13"/>
      <c r="T56" s="13"/>
      <c r="U56" s="13"/>
      <c r="V56" s="13"/>
      <c r="W56" s="13"/>
      <c r="X56" s="13"/>
      <c r="Y56" s="13"/>
      <c r="Z56" s="13"/>
      <c r="AA56" s="13"/>
    </row>
    <row r="57" spans="1:27" ht="17.399999999999999" x14ac:dyDescent="0.35">
      <c r="A57" s="30" t="s">
        <v>772</v>
      </c>
      <c r="B57" s="30" t="s">
        <v>772</v>
      </c>
      <c r="C57" s="13"/>
      <c r="D57" s="13"/>
      <c r="E57" s="13"/>
      <c r="F57" s="13"/>
      <c r="G57" s="13"/>
      <c r="H57" s="13"/>
      <c r="I57" s="13"/>
      <c r="J57" s="13"/>
      <c r="K57" s="13"/>
      <c r="L57" s="13"/>
      <c r="M57" s="13"/>
      <c r="N57" s="13"/>
      <c r="O57" s="13"/>
      <c r="P57" s="13"/>
      <c r="Q57" s="13"/>
      <c r="R57" s="13"/>
      <c r="S57" s="13"/>
      <c r="T57" s="13"/>
      <c r="U57" s="13"/>
      <c r="V57" s="13"/>
      <c r="W57" s="13"/>
      <c r="X57" s="13"/>
      <c r="Y57" s="13"/>
      <c r="Z57" s="13"/>
      <c r="AA57" s="13"/>
    </row>
    <row r="58" spans="1:27" ht="17.399999999999999" x14ac:dyDescent="0.35">
      <c r="A58" s="29" t="s">
        <v>84</v>
      </c>
      <c r="B58" s="29" t="s">
        <v>84</v>
      </c>
      <c r="C58" s="13"/>
      <c r="D58" s="13"/>
      <c r="E58" s="13"/>
      <c r="F58" s="13"/>
      <c r="G58" s="13"/>
      <c r="H58" s="13"/>
      <c r="I58" s="13"/>
      <c r="J58" s="13"/>
      <c r="K58" s="13"/>
      <c r="L58" s="13"/>
      <c r="M58" s="13"/>
      <c r="N58" s="13"/>
      <c r="O58" s="13"/>
      <c r="P58" s="13"/>
      <c r="Q58" s="13"/>
      <c r="R58" s="13"/>
      <c r="S58" s="13"/>
      <c r="T58" s="13"/>
      <c r="U58" s="13"/>
      <c r="V58" s="13"/>
      <c r="W58" s="13"/>
      <c r="X58" s="13"/>
      <c r="Y58" s="13"/>
      <c r="Z58" s="13"/>
      <c r="AA58" s="13"/>
    </row>
    <row r="59" spans="1:27" ht="17.399999999999999" x14ac:dyDescent="0.35">
      <c r="A59" s="30" t="s">
        <v>331</v>
      </c>
      <c r="B59" s="30" t="s">
        <v>331</v>
      </c>
      <c r="C59" s="13"/>
      <c r="D59" s="13"/>
      <c r="E59" s="13"/>
      <c r="F59" s="13"/>
      <c r="G59" s="13"/>
      <c r="H59" s="13"/>
      <c r="I59" s="13"/>
      <c r="J59" s="13"/>
      <c r="K59" s="13"/>
      <c r="L59" s="13"/>
      <c r="M59" s="13"/>
      <c r="N59" s="13"/>
      <c r="O59" s="13"/>
      <c r="P59" s="13"/>
      <c r="Q59" s="13"/>
      <c r="R59" s="13"/>
      <c r="S59" s="13"/>
      <c r="T59" s="13"/>
      <c r="U59" s="13"/>
      <c r="V59" s="13"/>
      <c r="W59" s="13"/>
      <c r="X59" s="13"/>
      <c r="Y59" s="13"/>
      <c r="Z59" s="13"/>
      <c r="AA59" s="13"/>
    </row>
    <row r="60" spans="1:27" ht="17.399999999999999" x14ac:dyDescent="0.35">
      <c r="A60" s="29" t="s">
        <v>2325</v>
      </c>
      <c r="B60" s="29" t="s">
        <v>2325</v>
      </c>
      <c r="C60" s="13"/>
      <c r="D60" s="13"/>
      <c r="E60" s="13"/>
      <c r="F60" s="13"/>
      <c r="G60" s="13"/>
      <c r="H60" s="13"/>
      <c r="I60" s="13"/>
      <c r="J60" s="13"/>
      <c r="K60" s="13"/>
      <c r="L60" s="13"/>
      <c r="M60" s="13"/>
      <c r="N60" s="13"/>
      <c r="O60" s="13"/>
      <c r="P60" s="13"/>
      <c r="Q60" s="13"/>
      <c r="R60" s="13"/>
      <c r="S60" s="13"/>
      <c r="T60" s="13"/>
      <c r="U60" s="13"/>
      <c r="V60" s="13"/>
      <c r="W60" s="13"/>
      <c r="X60" s="13"/>
      <c r="Y60" s="13"/>
      <c r="Z60" s="13"/>
      <c r="AA60" s="13"/>
    </row>
    <row r="61" spans="1:27" ht="17.399999999999999" x14ac:dyDescent="0.35">
      <c r="A61" s="30" t="s">
        <v>361</v>
      </c>
      <c r="B61" s="30" t="s">
        <v>361</v>
      </c>
      <c r="C61" s="13"/>
      <c r="D61" s="13"/>
      <c r="E61" s="13"/>
      <c r="F61" s="13"/>
      <c r="G61" s="13"/>
      <c r="H61" s="13"/>
      <c r="I61" s="13"/>
      <c r="J61" s="13"/>
      <c r="K61" s="13"/>
      <c r="L61" s="13"/>
      <c r="M61" s="13"/>
      <c r="N61" s="13"/>
      <c r="O61" s="13"/>
      <c r="P61" s="13"/>
      <c r="Q61" s="13"/>
      <c r="R61" s="13"/>
      <c r="S61" s="13"/>
      <c r="T61" s="13"/>
      <c r="U61" s="13"/>
      <c r="V61" s="13"/>
      <c r="W61" s="13"/>
      <c r="X61" s="13"/>
      <c r="Y61" s="13"/>
      <c r="Z61" s="13"/>
      <c r="AA61" s="13"/>
    </row>
    <row r="62" spans="1:27" ht="17.399999999999999" x14ac:dyDescent="0.35">
      <c r="A62" s="29" t="s">
        <v>391</v>
      </c>
      <c r="B62" s="29" t="s">
        <v>391</v>
      </c>
      <c r="C62" s="13"/>
      <c r="D62" s="13"/>
      <c r="E62" s="13"/>
      <c r="F62" s="13"/>
      <c r="G62" s="13"/>
      <c r="H62" s="13"/>
      <c r="I62" s="13"/>
      <c r="J62" s="13"/>
      <c r="K62" s="13"/>
      <c r="L62" s="13"/>
      <c r="M62" s="13"/>
      <c r="N62" s="13"/>
      <c r="O62" s="13"/>
      <c r="P62" s="13"/>
      <c r="Q62" s="13"/>
      <c r="R62" s="13"/>
      <c r="S62" s="13"/>
      <c r="T62" s="13"/>
      <c r="U62" s="13"/>
      <c r="V62" s="13"/>
      <c r="W62" s="13"/>
      <c r="X62" s="13"/>
      <c r="Y62" s="13"/>
      <c r="Z62" s="13"/>
      <c r="AA62" s="13"/>
    </row>
    <row r="63" spans="1:27" ht="17.399999999999999" x14ac:dyDescent="0.35">
      <c r="A63" s="30" t="s">
        <v>425</v>
      </c>
      <c r="B63" s="30" t="s">
        <v>425</v>
      </c>
      <c r="C63" s="13"/>
      <c r="D63" s="13"/>
      <c r="E63" s="13"/>
      <c r="F63" s="13"/>
      <c r="G63" s="13"/>
      <c r="H63" s="13"/>
      <c r="I63" s="13"/>
      <c r="J63" s="13"/>
      <c r="K63" s="13"/>
      <c r="L63" s="13"/>
      <c r="M63" s="13"/>
      <c r="N63" s="13"/>
      <c r="O63" s="13"/>
      <c r="P63" s="13"/>
      <c r="Q63" s="13"/>
      <c r="R63" s="13"/>
      <c r="S63" s="13"/>
      <c r="T63" s="13"/>
      <c r="U63" s="13"/>
      <c r="V63" s="13"/>
      <c r="W63" s="13"/>
      <c r="X63" s="13"/>
      <c r="Y63" s="13"/>
      <c r="Z63" s="13"/>
      <c r="AA63" s="13"/>
    </row>
    <row r="64" spans="1:27" ht="17.399999999999999" x14ac:dyDescent="0.35">
      <c r="A64" s="29" t="s">
        <v>162</v>
      </c>
      <c r="B64" s="29" t="s">
        <v>162</v>
      </c>
      <c r="C64" s="13"/>
      <c r="D64" s="13"/>
      <c r="E64" s="13"/>
      <c r="F64" s="13"/>
      <c r="G64" s="13"/>
      <c r="H64" s="13"/>
      <c r="I64" s="13"/>
      <c r="J64" s="13"/>
      <c r="K64" s="13"/>
      <c r="L64" s="13"/>
      <c r="M64" s="13"/>
      <c r="N64" s="13"/>
      <c r="O64" s="13"/>
      <c r="P64" s="13"/>
      <c r="Q64" s="13"/>
      <c r="R64" s="13"/>
      <c r="S64" s="13"/>
      <c r="T64" s="13"/>
      <c r="U64" s="13"/>
      <c r="V64" s="13"/>
      <c r="W64" s="13"/>
      <c r="X64" s="13"/>
      <c r="Y64" s="13"/>
      <c r="Z64" s="13"/>
      <c r="AA64" s="13"/>
    </row>
    <row r="65" spans="1:27" ht="17.399999999999999" x14ac:dyDescent="0.35">
      <c r="A65" s="30" t="s">
        <v>442</v>
      </c>
      <c r="B65" s="30" t="s">
        <v>442</v>
      </c>
      <c r="C65" s="13"/>
      <c r="D65" s="13"/>
      <c r="E65" s="13"/>
      <c r="F65" s="13"/>
      <c r="G65" s="13"/>
      <c r="H65" s="13"/>
      <c r="I65" s="13"/>
      <c r="J65" s="13"/>
      <c r="K65" s="13"/>
      <c r="L65" s="13"/>
      <c r="M65" s="13"/>
      <c r="N65" s="13"/>
      <c r="O65" s="13"/>
      <c r="P65" s="13"/>
      <c r="Q65" s="13"/>
      <c r="R65" s="13"/>
      <c r="S65" s="13"/>
      <c r="T65" s="13"/>
      <c r="U65" s="13"/>
      <c r="V65" s="13"/>
      <c r="W65" s="13"/>
      <c r="X65" s="13"/>
      <c r="Y65" s="13"/>
      <c r="Z65" s="13"/>
      <c r="AA65" s="13"/>
    </row>
    <row r="66" spans="1:27" ht="17.399999999999999" x14ac:dyDescent="0.35">
      <c r="A66" s="29" t="s">
        <v>475</v>
      </c>
      <c r="B66" s="29" t="s">
        <v>475</v>
      </c>
      <c r="C66" s="13"/>
      <c r="D66" s="13"/>
      <c r="E66" s="13"/>
      <c r="F66" s="13"/>
      <c r="G66" s="13"/>
      <c r="H66" s="13"/>
      <c r="I66" s="13"/>
      <c r="J66" s="13"/>
      <c r="K66" s="13"/>
      <c r="L66" s="13"/>
      <c r="M66" s="13"/>
      <c r="N66" s="13"/>
      <c r="O66" s="13"/>
      <c r="P66" s="13"/>
      <c r="Q66" s="13"/>
      <c r="R66" s="13"/>
      <c r="S66" s="13"/>
      <c r="T66" s="13"/>
      <c r="U66" s="13"/>
      <c r="V66" s="13"/>
      <c r="W66" s="13"/>
      <c r="X66" s="13"/>
      <c r="Y66" s="13"/>
      <c r="Z66" s="13"/>
      <c r="AA66" s="13"/>
    </row>
    <row r="67" spans="1:27" ht="17.399999999999999" x14ac:dyDescent="0.35">
      <c r="A67" s="30" t="s">
        <v>1693</v>
      </c>
      <c r="B67" s="30" t="s">
        <v>1693</v>
      </c>
      <c r="C67" s="13"/>
      <c r="D67" s="13"/>
      <c r="E67" s="13"/>
      <c r="F67" s="13"/>
      <c r="G67" s="13"/>
      <c r="H67" s="13"/>
      <c r="I67" s="13"/>
      <c r="J67" s="13"/>
      <c r="K67" s="13"/>
      <c r="L67" s="13"/>
      <c r="M67" s="13"/>
      <c r="N67" s="13"/>
      <c r="O67" s="13"/>
      <c r="P67" s="13"/>
      <c r="Q67" s="13"/>
      <c r="R67" s="13"/>
      <c r="S67" s="13"/>
      <c r="T67" s="13"/>
      <c r="U67" s="13"/>
      <c r="V67" s="13"/>
      <c r="W67" s="13"/>
      <c r="X67" s="13"/>
      <c r="Y67" s="13"/>
      <c r="Z67" s="13"/>
      <c r="AA67" s="13"/>
    </row>
    <row r="68" spans="1:27" ht="17.399999999999999" x14ac:dyDescent="0.35">
      <c r="A68" s="29" t="s">
        <v>179</v>
      </c>
      <c r="B68" s="29" t="s">
        <v>179</v>
      </c>
      <c r="C68" s="13"/>
      <c r="D68" s="13"/>
      <c r="E68" s="13"/>
      <c r="F68" s="13"/>
      <c r="G68" s="13"/>
      <c r="H68" s="13"/>
      <c r="I68" s="13"/>
      <c r="J68" s="13"/>
      <c r="K68" s="13"/>
      <c r="L68" s="13"/>
      <c r="M68" s="13"/>
      <c r="N68" s="13"/>
      <c r="O68" s="13"/>
      <c r="P68" s="13"/>
      <c r="Q68" s="13"/>
      <c r="R68" s="13"/>
      <c r="S68" s="13"/>
      <c r="T68" s="13"/>
      <c r="U68" s="13"/>
      <c r="V68" s="13"/>
      <c r="W68" s="13"/>
      <c r="X68" s="13"/>
      <c r="Y68" s="13"/>
      <c r="Z68" s="13"/>
      <c r="AA68" s="13"/>
    </row>
    <row r="69" spans="1:27" ht="17.399999999999999" x14ac:dyDescent="0.35">
      <c r="A69" s="30" t="s">
        <v>845</v>
      </c>
      <c r="B69" s="30" t="s">
        <v>845</v>
      </c>
      <c r="C69" s="13"/>
      <c r="D69" s="13"/>
      <c r="E69" s="13"/>
      <c r="F69" s="13"/>
      <c r="G69" s="13"/>
      <c r="H69" s="13"/>
      <c r="I69" s="13"/>
      <c r="J69" s="13"/>
      <c r="K69" s="13"/>
      <c r="L69" s="13"/>
      <c r="M69" s="13"/>
      <c r="N69" s="13"/>
      <c r="O69" s="13"/>
      <c r="P69" s="13"/>
      <c r="Q69" s="13"/>
      <c r="R69" s="13"/>
      <c r="S69" s="13"/>
      <c r="T69" s="13"/>
      <c r="U69" s="13"/>
      <c r="V69" s="13"/>
      <c r="W69" s="13"/>
      <c r="X69" s="13"/>
      <c r="Y69" s="13"/>
      <c r="Z69" s="13"/>
      <c r="AA69" s="13"/>
    </row>
    <row r="70" spans="1:27" ht="17.399999999999999" x14ac:dyDescent="0.35">
      <c r="A70" s="32" t="s">
        <v>288</v>
      </c>
      <c r="B70" s="32" t="s">
        <v>288</v>
      </c>
      <c r="C70" s="13"/>
      <c r="D70" s="13"/>
      <c r="E70" s="13"/>
      <c r="F70" s="13"/>
      <c r="G70" s="13"/>
      <c r="H70" s="13"/>
      <c r="I70" s="13"/>
      <c r="J70" s="13"/>
      <c r="K70" s="13"/>
      <c r="L70" s="13"/>
      <c r="M70" s="13"/>
      <c r="N70" s="13"/>
      <c r="O70" s="13"/>
      <c r="P70" s="13"/>
      <c r="Q70" s="13"/>
      <c r="R70" s="13"/>
      <c r="S70" s="13"/>
      <c r="T70" s="13"/>
      <c r="U70" s="13"/>
      <c r="V70" s="13"/>
      <c r="W70" s="13"/>
      <c r="X70" s="13"/>
      <c r="Y70" s="13"/>
      <c r="Z70" s="13"/>
      <c r="AA70" s="13"/>
    </row>
    <row r="71" spans="1:27" ht="17.399999999999999" x14ac:dyDescent="0.35">
      <c r="A71" s="30" t="s">
        <v>241</v>
      </c>
      <c r="B71" s="30" t="s">
        <v>241</v>
      </c>
      <c r="C71" s="13"/>
      <c r="D71" s="13"/>
      <c r="E71" s="13"/>
      <c r="F71" s="13"/>
      <c r="G71" s="13"/>
      <c r="H71" s="13"/>
      <c r="I71" s="13"/>
      <c r="J71" s="13"/>
      <c r="K71" s="13"/>
      <c r="L71" s="13"/>
      <c r="M71" s="13"/>
      <c r="N71" s="13"/>
      <c r="O71" s="13"/>
      <c r="P71" s="13"/>
      <c r="Q71" s="13"/>
      <c r="R71" s="13"/>
      <c r="S71" s="13"/>
      <c r="T71" s="13"/>
      <c r="U71" s="13"/>
      <c r="V71" s="13"/>
      <c r="W71" s="13"/>
      <c r="X71" s="13"/>
      <c r="Y71" s="13"/>
      <c r="Z71" s="13"/>
      <c r="AA71" s="13"/>
    </row>
    <row r="72" spans="1:27" ht="17.399999999999999" x14ac:dyDescent="0.35">
      <c r="A72" s="29" t="s">
        <v>1702</v>
      </c>
      <c r="B72" s="29" t="s">
        <v>1702</v>
      </c>
      <c r="C72" s="13"/>
      <c r="D72" s="13"/>
      <c r="E72" s="13"/>
      <c r="F72" s="13"/>
      <c r="G72" s="13"/>
      <c r="H72" s="13"/>
      <c r="I72" s="13"/>
      <c r="J72" s="13"/>
      <c r="K72" s="13"/>
      <c r="L72" s="13"/>
      <c r="M72" s="13"/>
      <c r="N72" s="13"/>
      <c r="O72" s="13"/>
      <c r="P72" s="13"/>
      <c r="Q72" s="13"/>
      <c r="R72" s="13"/>
      <c r="S72" s="13"/>
      <c r="T72" s="13"/>
      <c r="U72" s="13"/>
      <c r="V72" s="13"/>
      <c r="W72" s="13"/>
      <c r="X72" s="13"/>
      <c r="Y72" s="13"/>
      <c r="Z72" s="13"/>
      <c r="AA72" s="13"/>
    </row>
    <row r="73" spans="1:27" ht="17.399999999999999" x14ac:dyDescent="0.35">
      <c r="A73" s="30" t="s">
        <v>2567</v>
      </c>
      <c r="B73" s="30" t="s">
        <v>2567</v>
      </c>
      <c r="C73" s="13"/>
      <c r="D73" s="13"/>
      <c r="E73" s="13"/>
      <c r="F73" s="13"/>
      <c r="G73" s="13"/>
      <c r="H73" s="13"/>
      <c r="I73" s="13"/>
      <c r="J73" s="13"/>
      <c r="K73" s="13"/>
      <c r="L73" s="13"/>
      <c r="M73" s="13"/>
      <c r="N73" s="13"/>
      <c r="O73" s="13"/>
      <c r="P73" s="13"/>
      <c r="Q73" s="13"/>
      <c r="R73" s="13"/>
      <c r="S73" s="13"/>
      <c r="T73" s="13"/>
      <c r="U73" s="13"/>
      <c r="V73" s="13"/>
      <c r="W73" s="13"/>
      <c r="X73" s="13"/>
      <c r="Y73" s="13"/>
      <c r="Z73" s="13"/>
      <c r="AA73" s="13"/>
    </row>
    <row r="74" spans="1:27" ht="17.399999999999999" x14ac:dyDescent="0.35">
      <c r="A74" s="29" t="s">
        <v>943</v>
      </c>
      <c r="B74" s="29" t="s">
        <v>943</v>
      </c>
      <c r="C74" s="13"/>
      <c r="D74" s="13"/>
      <c r="E74" s="13"/>
      <c r="F74" s="13"/>
      <c r="G74" s="13"/>
      <c r="H74" s="13"/>
      <c r="I74" s="13"/>
      <c r="J74" s="13"/>
      <c r="K74" s="13"/>
      <c r="L74" s="13"/>
      <c r="M74" s="13"/>
      <c r="N74" s="13"/>
      <c r="O74" s="13"/>
      <c r="P74" s="13"/>
      <c r="Q74" s="13"/>
      <c r="R74" s="13"/>
      <c r="S74" s="13"/>
      <c r="T74" s="13"/>
      <c r="U74" s="13"/>
      <c r="V74" s="13"/>
      <c r="W74" s="13"/>
      <c r="X74" s="13"/>
      <c r="Y74" s="13"/>
      <c r="Z74" s="13"/>
      <c r="AA74" s="13"/>
    </row>
    <row r="75" spans="1:27" ht="17.399999999999999" x14ac:dyDescent="0.35">
      <c r="A75" s="30" t="s">
        <v>285</v>
      </c>
      <c r="B75" s="30" t="s">
        <v>285</v>
      </c>
      <c r="C75" s="13"/>
      <c r="D75" s="13"/>
      <c r="E75" s="13"/>
      <c r="F75" s="13"/>
      <c r="G75" s="13"/>
      <c r="H75" s="13"/>
      <c r="I75" s="13"/>
      <c r="J75" s="13"/>
      <c r="K75" s="13"/>
      <c r="L75" s="13"/>
      <c r="M75" s="13"/>
      <c r="N75" s="13"/>
      <c r="O75" s="13"/>
      <c r="P75" s="13"/>
      <c r="Q75" s="13"/>
      <c r="R75" s="13"/>
      <c r="S75" s="13"/>
      <c r="T75" s="13"/>
      <c r="U75" s="13"/>
      <c r="V75" s="13"/>
      <c r="W75" s="13"/>
      <c r="X75" s="13"/>
      <c r="Y75" s="13"/>
      <c r="Z75" s="13"/>
      <c r="AA75" s="13"/>
    </row>
    <row r="76" spans="1:27" ht="17.399999999999999" x14ac:dyDescent="0.35">
      <c r="A76" s="29" t="s">
        <v>176</v>
      </c>
      <c r="B76" s="29" t="s">
        <v>176</v>
      </c>
      <c r="C76" s="13"/>
      <c r="D76" s="13"/>
      <c r="E76" s="13"/>
      <c r="F76" s="13"/>
      <c r="G76" s="13"/>
      <c r="H76" s="13"/>
      <c r="I76" s="13"/>
      <c r="J76" s="13"/>
      <c r="K76" s="13"/>
      <c r="L76" s="13"/>
      <c r="M76" s="13"/>
      <c r="N76" s="13"/>
      <c r="O76" s="13"/>
      <c r="P76" s="13"/>
      <c r="Q76" s="13"/>
      <c r="R76" s="13"/>
      <c r="S76" s="13"/>
      <c r="T76" s="13"/>
      <c r="U76" s="13"/>
      <c r="V76" s="13"/>
      <c r="W76" s="13"/>
      <c r="X76" s="13"/>
      <c r="Y76" s="13"/>
      <c r="Z76" s="13"/>
      <c r="AA76" s="13"/>
    </row>
    <row r="77" spans="1:27" ht="17.399999999999999" x14ac:dyDescent="0.35">
      <c r="A77" s="31" t="s">
        <v>274</v>
      </c>
      <c r="B77" s="31" t="s">
        <v>274</v>
      </c>
      <c r="C77" s="13"/>
      <c r="D77" s="13"/>
      <c r="E77" s="13"/>
      <c r="F77" s="13"/>
      <c r="G77" s="13"/>
      <c r="H77" s="13"/>
      <c r="I77" s="13"/>
      <c r="J77" s="13"/>
      <c r="K77" s="13"/>
      <c r="L77" s="13"/>
      <c r="M77" s="13"/>
      <c r="N77" s="13"/>
      <c r="O77" s="13"/>
      <c r="P77" s="13"/>
      <c r="Q77" s="13"/>
      <c r="R77" s="13"/>
      <c r="S77" s="13"/>
      <c r="T77" s="13"/>
      <c r="U77" s="13"/>
      <c r="V77" s="13"/>
      <c r="W77" s="13"/>
      <c r="X77" s="13"/>
      <c r="Y77" s="13"/>
      <c r="Z77" s="13"/>
      <c r="AA77" s="13"/>
    </row>
    <row r="78" spans="1:27" ht="17.399999999999999" x14ac:dyDescent="0.35">
      <c r="A78" s="29" t="s">
        <v>220</v>
      </c>
      <c r="B78" s="29" t="s">
        <v>220</v>
      </c>
      <c r="C78" s="13"/>
      <c r="D78" s="13"/>
      <c r="E78" s="13"/>
      <c r="F78" s="13"/>
      <c r="G78" s="13"/>
      <c r="H78" s="13"/>
      <c r="I78" s="13"/>
      <c r="J78" s="13"/>
      <c r="K78" s="13"/>
      <c r="L78" s="13"/>
      <c r="M78" s="13"/>
      <c r="N78" s="13"/>
      <c r="O78" s="13"/>
      <c r="P78" s="13"/>
      <c r="Q78" s="13"/>
      <c r="R78" s="13"/>
      <c r="S78" s="13"/>
      <c r="T78" s="13"/>
      <c r="U78" s="13"/>
      <c r="V78" s="13"/>
      <c r="W78" s="13"/>
      <c r="X78" s="13"/>
      <c r="Y78" s="13"/>
      <c r="Z78" s="13"/>
      <c r="AA78" s="13"/>
    </row>
    <row r="79" spans="1:27" ht="17.399999999999999" x14ac:dyDescent="0.35">
      <c r="A79" s="30" t="s">
        <v>144</v>
      </c>
      <c r="B79" s="30" t="s">
        <v>144</v>
      </c>
      <c r="C79" s="13"/>
      <c r="D79" s="13"/>
      <c r="E79" s="13"/>
      <c r="F79" s="13"/>
      <c r="G79" s="13"/>
      <c r="H79" s="13"/>
      <c r="I79" s="13"/>
      <c r="J79" s="13"/>
      <c r="K79" s="13"/>
      <c r="L79" s="13"/>
      <c r="M79" s="13"/>
      <c r="N79" s="13"/>
      <c r="O79" s="13"/>
      <c r="P79" s="13"/>
      <c r="Q79" s="13"/>
      <c r="R79" s="13"/>
      <c r="S79" s="13"/>
      <c r="T79" s="13"/>
      <c r="U79" s="13"/>
      <c r="V79" s="13"/>
      <c r="W79" s="13"/>
      <c r="X79" s="13"/>
      <c r="Y79" s="13"/>
      <c r="Z79" s="13"/>
      <c r="AA79" s="13"/>
    </row>
    <row r="80" spans="1:27" ht="17.399999999999999" x14ac:dyDescent="0.35">
      <c r="A80" s="29" t="s">
        <v>649</v>
      </c>
      <c r="B80" s="29" t="s">
        <v>649</v>
      </c>
      <c r="C80" s="13"/>
      <c r="D80" s="13"/>
      <c r="E80" s="13"/>
      <c r="F80" s="13"/>
      <c r="G80" s="13"/>
      <c r="H80" s="13"/>
      <c r="I80" s="13"/>
      <c r="J80" s="13"/>
      <c r="K80" s="13"/>
      <c r="L80" s="13"/>
      <c r="M80" s="13"/>
      <c r="N80" s="13"/>
      <c r="O80" s="13"/>
      <c r="P80" s="13"/>
      <c r="Q80" s="13"/>
      <c r="R80" s="13"/>
      <c r="S80" s="13"/>
      <c r="T80" s="13"/>
      <c r="U80" s="13"/>
      <c r="V80" s="13"/>
      <c r="W80" s="13"/>
      <c r="X80" s="13"/>
      <c r="Y80" s="13"/>
      <c r="Z80" s="13"/>
      <c r="AA80" s="13"/>
    </row>
    <row r="81" spans="1:27" ht="17.399999999999999" x14ac:dyDescent="0.35">
      <c r="A81" s="31" t="s">
        <v>1787</v>
      </c>
      <c r="B81" s="31" t="s">
        <v>1787</v>
      </c>
      <c r="C81" s="13"/>
      <c r="D81" s="13"/>
      <c r="E81" s="13"/>
      <c r="F81" s="13"/>
      <c r="G81" s="13"/>
      <c r="H81" s="13"/>
      <c r="I81" s="13"/>
      <c r="J81" s="13"/>
      <c r="K81" s="13"/>
      <c r="L81" s="13"/>
      <c r="M81" s="13"/>
      <c r="N81" s="13"/>
      <c r="O81" s="13"/>
      <c r="P81" s="13"/>
      <c r="Q81" s="13"/>
      <c r="R81" s="13"/>
      <c r="S81" s="13"/>
      <c r="T81" s="13"/>
      <c r="U81" s="13"/>
      <c r="V81" s="13"/>
      <c r="W81" s="13"/>
      <c r="X81" s="13"/>
      <c r="Y81" s="13"/>
      <c r="Z81" s="13"/>
      <c r="AA81" s="13"/>
    </row>
    <row r="82" spans="1:27" ht="17.399999999999999" x14ac:dyDescent="0.35">
      <c r="A82" s="29" t="s">
        <v>93</v>
      </c>
      <c r="B82" s="29" t="s">
        <v>93</v>
      </c>
      <c r="C82" s="13"/>
      <c r="D82" s="13"/>
      <c r="E82" s="13"/>
      <c r="F82" s="13"/>
      <c r="G82" s="13"/>
      <c r="H82" s="13"/>
      <c r="I82" s="13"/>
      <c r="J82" s="13"/>
      <c r="K82" s="13"/>
      <c r="L82" s="13"/>
      <c r="M82" s="13"/>
      <c r="N82" s="13"/>
      <c r="O82" s="13"/>
      <c r="P82" s="13"/>
      <c r="Q82" s="13"/>
      <c r="R82" s="13"/>
      <c r="S82" s="13"/>
      <c r="T82" s="13"/>
      <c r="U82" s="13"/>
      <c r="V82" s="13"/>
      <c r="W82" s="13"/>
      <c r="X82" s="13"/>
      <c r="Y82" s="13"/>
      <c r="Z82" s="13"/>
      <c r="AA82" s="13"/>
    </row>
    <row r="83" spans="1:27" ht="17.399999999999999" x14ac:dyDescent="0.35">
      <c r="A83" s="30" t="s">
        <v>262</v>
      </c>
      <c r="B83" s="30" t="s">
        <v>262</v>
      </c>
      <c r="C83" s="13"/>
      <c r="D83" s="13"/>
      <c r="E83" s="13"/>
      <c r="F83" s="13"/>
      <c r="G83" s="13"/>
      <c r="H83" s="13"/>
      <c r="I83" s="13"/>
      <c r="J83" s="13"/>
      <c r="K83" s="13"/>
      <c r="L83" s="13"/>
      <c r="M83" s="13"/>
      <c r="N83" s="13"/>
      <c r="O83" s="13"/>
      <c r="P83" s="13"/>
      <c r="Q83" s="13"/>
      <c r="R83" s="13"/>
      <c r="S83" s="13"/>
      <c r="T83" s="13"/>
      <c r="U83" s="13"/>
      <c r="V83" s="13"/>
      <c r="W83" s="13"/>
      <c r="X83" s="13"/>
      <c r="Y83" s="13"/>
      <c r="Z83" s="13"/>
      <c r="AA83" s="13"/>
    </row>
    <row r="84" spans="1:27" ht="17.399999999999999" x14ac:dyDescent="0.35">
      <c r="A84" s="29" t="s">
        <v>914</v>
      </c>
      <c r="B84" s="29" t="s">
        <v>914</v>
      </c>
      <c r="C84" s="13"/>
      <c r="D84" s="13"/>
      <c r="E84" s="13"/>
      <c r="F84" s="13"/>
      <c r="G84" s="13"/>
      <c r="H84" s="13"/>
      <c r="I84" s="13"/>
      <c r="J84" s="13"/>
      <c r="K84" s="13"/>
      <c r="L84" s="13"/>
      <c r="M84" s="13"/>
      <c r="N84" s="13"/>
      <c r="O84" s="13"/>
      <c r="P84" s="13"/>
      <c r="Q84" s="13"/>
      <c r="R84" s="13"/>
      <c r="S84" s="13"/>
      <c r="T84" s="13"/>
      <c r="U84" s="13"/>
      <c r="V84" s="13"/>
      <c r="W84" s="13"/>
      <c r="X84" s="13"/>
      <c r="Y84" s="13"/>
      <c r="Z84" s="13"/>
      <c r="AA84" s="13"/>
    </row>
    <row r="85" spans="1:27" ht="17.399999999999999" x14ac:dyDescent="0.35">
      <c r="A85" s="30" t="s">
        <v>211</v>
      </c>
      <c r="B85" s="30" t="s">
        <v>211</v>
      </c>
      <c r="C85" s="13"/>
      <c r="D85" s="13"/>
      <c r="E85" s="13"/>
      <c r="F85" s="13"/>
      <c r="G85" s="13"/>
      <c r="H85" s="13"/>
      <c r="I85" s="13"/>
      <c r="J85" s="13"/>
      <c r="K85" s="13"/>
      <c r="L85" s="13"/>
      <c r="M85" s="13"/>
      <c r="N85" s="13"/>
      <c r="O85" s="13"/>
      <c r="P85" s="13"/>
      <c r="Q85" s="13"/>
      <c r="R85" s="13"/>
      <c r="S85" s="13"/>
      <c r="T85" s="13"/>
      <c r="U85" s="13"/>
      <c r="V85" s="13"/>
      <c r="W85" s="13"/>
      <c r="X85" s="13"/>
      <c r="Y85" s="13"/>
      <c r="Z85" s="13"/>
      <c r="AA85" s="13"/>
    </row>
    <row r="86" spans="1:27" ht="17.399999999999999" x14ac:dyDescent="0.35">
      <c r="A86" s="29" t="s">
        <v>3244</v>
      </c>
      <c r="B86" s="29" t="s">
        <v>3244</v>
      </c>
      <c r="C86" s="13"/>
      <c r="D86" s="13"/>
      <c r="E86" s="13"/>
      <c r="F86" s="13"/>
      <c r="G86" s="13"/>
      <c r="H86" s="13"/>
      <c r="I86" s="13"/>
      <c r="J86" s="13"/>
      <c r="K86" s="13"/>
      <c r="L86" s="13"/>
      <c r="M86" s="13"/>
      <c r="N86" s="13"/>
      <c r="O86" s="13"/>
      <c r="P86" s="13"/>
      <c r="Q86" s="13"/>
      <c r="R86" s="13"/>
      <c r="S86" s="13"/>
      <c r="T86" s="13"/>
      <c r="U86" s="13"/>
      <c r="V86" s="13"/>
      <c r="W86" s="13"/>
      <c r="X86" s="13"/>
      <c r="Y86" s="13"/>
      <c r="Z86" s="13"/>
      <c r="AA86" s="13"/>
    </row>
    <row r="87" spans="1:27" ht="17.399999999999999" x14ac:dyDescent="0.35">
      <c r="A87" s="30" t="s">
        <v>1690</v>
      </c>
      <c r="B87" s="30" t="s">
        <v>1690</v>
      </c>
      <c r="C87" s="13"/>
      <c r="D87" s="13"/>
      <c r="E87" s="13"/>
      <c r="F87" s="13"/>
      <c r="G87" s="13"/>
      <c r="H87" s="13"/>
      <c r="I87" s="13"/>
      <c r="J87" s="13"/>
      <c r="K87" s="13"/>
      <c r="L87" s="13"/>
      <c r="M87" s="13"/>
      <c r="N87" s="13"/>
      <c r="O87" s="13"/>
      <c r="P87" s="13"/>
      <c r="Q87" s="13"/>
      <c r="R87" s="13"/>
      <c r="S87" s="13"/>
      <c r="T87" s="13"/>
      <c r="U87" s="13"/>
      <c r="V87" s="13"/>
      <c r="W87" s="13"/>
      <c r="X87" s="13"/>
      <c r="Y87" s="13"/>
      <c r="Z87" s="13"/>
      <c r="AA87" s="13"/>
    </row>
    <row r="88" spans="1:27" ht="17.399999999999999" x14ac:dyDescent="0.35">
      <c r="A88" s="29" t="s">
        <v>610</v>
      </c>
      <c r="B88" s="29" t="s">
        <v>610</v>
      </c>
      <c r="C88" s="13"/>
      <c r="D88" s="13"/>
      <c r="E88" s="13"/>
      <c r="F88" s="13"/>
      <c r="G88" s="13"/>
      <c r="H88" s="13"/>
      <c r="I88" s="13"/>
      <c r="J88" s="13"/>
      <c r="K88" s="13"/>
      <c r="L88" s="13"/>
      <c r="M88" s="13"/>
      <c r="N88" s="13"/>
      <c r="O88" s="13"/>
      <c r="P88" s="13"/>
      <c r="Q88" s="13"/>
      <c r="R88" s="13"/>
      <c r="S88" s="13"/>
      <c r="T88" s="13"/>
      <c r="U88" s="13"/>
      <c r="V88" s="13"/>
      <c r="W88" s="13"/>
      <c r="X88" s="13"/>
      <c r="Y88" s="13"/>
      <c r="Z88" s="13"/>
      <c r="AA88" s="13"/>
    </row>
    <row r="89" spans="1:27" ht="17.399999999999999" x14ac:dyDescent="0.35">
      <c r="A89" s="30" t="s">
        <v>996</v>
      </c>
      <c r="B89" s="30" t="s">
        <v>996</v>
      </c>
      <c r="C89" s="13"/>
      <c r="D89" s="13"/>
      <c r="E89" s="13"/>
      <c r="F89" s="13"/>
      <c r="G89" s="13"/>
      <c r="H89" s="13"/>
      <c r="I89" s="13"/>
      <c r="J89" s="13"/>
      <c r="K89" s="13"/>
      <c r="L89" s="13"/>
      <c r="M89" s="13"/>
      <c r="N89" s="13"/>
      <c r="O89" s="13"/>
      <c r="P89" s="13"/>
      <c r="Q89" s="13"/>
      <c r="R89" s="13"/>
      <c r="S89" s="13"/>
      <c r="T89" s="13"/>
      <c r="U89" s="13"/>
      <c r="V89" s="13"/>
      <c r="W89" s="13"/>
      <c r="X89" s="13"/>
      <c r="Y89" s="13"/>
      <c r="Z89" s="13"/>
      <c r="AA89" s="13"/>
    </row>
    <row r="90" spans="1:27" ht="17.399999999999999" x14ac:dyDescent="0.35">
      <c r="A90" s="29" t="s">
        <v>2340</v>
      </c>
      <c r="B90" s="29" t="s">
        <v>2340</v>
      </c>
      <c r="C90" s="13"/>
      <c r="D90" s="13"/>
      <c r="E90" s="13"/>
      <c r="F90" s="13"/>
      <c r="G90" s="13"/>
      <c r="H90" s="13"/>
      <c r="I90" s="13"/>
      <c r="J90" s="13"/>
      <c r="K90" s="13"/>
      <c r="L90" s="13"/>
      <c r="M90" s="13"/>
      <c r="N90" s="13"/>
      <c r="O90" s="13"/>
      <c r="P90" s="13"/>
      <c r="Q90" s="13"/>
      <c r="R90" s="13"/>
      <c r="S90" s="13"/>
      <c r="T90" s="13"/>
      <c r="U90" s="13"/>
      <c r="V90" s="13"/>
      <c r="W90" s="13"/>
      <c r="X90" s="13"/>
      <c r="Y90" s="13"/>
      <c r="Z90" s="13"/>
      <c r="AA90" s="13"/>
    </row>
    <row r="91" spans="1:27" ht="17.399999999999999" x14ac:dyDescent="0.35">
      <c r="A91" s="30" t="s">
        <v>225</v>
      </c>
      <c r="B91" s="30" t="s">
        <v>225</v>
      </c>
      <c r="C91" s="13"/>
      <c r="D91" s="13"/>
      <c r="E91" s="13"/>
      <c r="F91" s="13"/>
      <c r="G91" s="13"/>
      <c r="H91" s="13"/>
      <c r="I91" s="13"/>
      <c r="J91" s="13"/>
      <c r="K91" s="13"/>
      <c r="L91" s="13"/>
      <c r="M91" s="13"/>
      <c r="N91" s="13"/>
      <c r="O91" s="13"/>
      <c r="P91" s="13"/>
      <c r="Q91" s="13"/>
      <c r="R91" s="13"/>
      <c r="S91" s="13"/>
      <c r="T91" s="13"/>
      <c r="U91" s="13"/>
      <c r="V91" s="13"/>
      <c r="W91" s="13"/>
      <c r="X91" s="13"/>
      <c r="Y91" s="13"/>
      <c r="Z91" s="13"/>
      <c r="AA91" s="13"/>
    </row>
    <row r="92" spans="1:27" ht="17.399999999999999" x14ac:dyDescent="0.35">
      <c r="A92" s="29" t="s">
        <v>378</v>
      </c>
      <c r="B92" s="29" t="s">
        <v>378</v>
      </c>
      <c r="C92" s="13"/>
      <c r="D92" s="13"/>
      <c r="E92" s="13"/>
      <c r="F92" s="13"/>
      <c r="G92" s="13"/>
      <c r="H92" s="13"/>
      <c r="I92" s="13"/>
      <c r="J92" s="13"/>
      <c r="K92" s="13"/>
      <c r="L92" s="13"/>
      <c r="M92" s="13"/>
      <c r="N92" s="13"/>
      <c r="O92" s="13"/>
      <c r="P92" s="13"/>
      <c r="Q92" s="13"/>
      <c r="R92" s="13"/>
      <c r="S92" s="13"/>
      <c r="T92" s="13"/>
      <c r="U92" s="13"/>
      <c r="V92" s="13"/>
      <c r="W92" s="13"/>
      <c r="X92" s="13"/>
      <c r="Y92" s="13"/>
      <c r="Z92" s="13"/>
      <c r="AA92" s="13"/>
    </row>
    <row r="93" spans="1:27" ht="17.399999999999999" x14ac:dyDescent="0.35">
      <c r="A93" s="30" t="s">
        <v>187</v>
      </c>
      <c r="B93" s="30" t="s">
        <v>187</v>
      </c>
      <c r="C93" s="13"/>
      <c r="D93" s="13"/>
      <c r="E93" s="13"/>
      <c r="F93" s="13"/>
      <c r="G93" s="13"/>
      <c r="H93" s="13"/>
      <c r="I93" s="13"/>
      <c r="J93" s="13"/>
      <c r="K93" s="13"/>
      <c r="L93" s="13"/>
      <c r="M93" s="13"/>
      <c r="N93" s="13"/>
      <c r="O93" s="13"/>
      <c r="P93" s="13"/>
      <c r="Q93" s="13"/>
      <c r="R93" s="13"/>
      <c r="S93" s="13"/>
      <c r="T93" s="13"/>
      <c r="U93" s="13"/>
      <c r="V93" s="13"/>
      <c r="W93" s="13"/>
      <c r="X93" s="13"/>
      <c r="Y93" s="13"/>
      <c r="Z93" s="13"/>
      <c r="AA93" s="13"/>
    </row>
    <row r="94" spans="1:27" ht="17.399999999999999" x14ac:dyDescent="0.35">
      <c r="A94" s="29" t="s">
        <v>838</v>
      </c>
      <c r="B94" s="29" t="s">
        <v>838</v>
      </c>
      <c r="C94" s="13"/>
      <c r="D94" s="13"/>
      <c r="E94" s="13"/>
      <c r="F94" s="13"/>
      <c r="G94" s="13"/>
      <c r="H94" s="13"/>
      <c r="I94" s="13"/>
      <c r="J94" s="13"/>
      <c r="K94" s="13"/>
      <c r="L94" s="13"/>
      <c r="M94" s="13"/>
      <c r="N94" s="13"/>
      <c r="O94" s="13"/>
      <c r="P94" s="13"/>
      <c r="Q94" s="13"/>
      <c r="R94" s="13"/>
      <c r="S94" s="13"/>
      <c r="T94" s="13"/>
      <c r="U94" s="13"/>
      <c r="V94" s="13"/>
      <c r="W94" s="13"/>
      <c r="X94" s="13"/>
      <c r="Y94" s="13"/>
      <c r="Z94" s="13"/>
      <c r="AA94" s="13"/>
    </row>
    <row r="95" spans="1:27" ht="17.399999999999999" x14ac:dyDescent="0.35">
      <c r="A95" s="30" t="s">
        <v>112</v>
      </c>
      <c r="B95" s="30" t="s">
        <v>112</v>
      </c>
      <c r="C95" s="13"/>
      <c r="D95" s="13"/>
      <c r="E95" s="13"/>
      <c r="F95" s="13"/>
      <c r="G95" s="13"/>
      <c r="H95" s="13"/>
      <c r="I95" s="13"/>
      <c r="J95" s="13"/>
      <c r="K95" s="13"/>
      <c r="L95" s="13"/>
      <c r="M95" s="13"/>
      <c r="N95" s="13"/>
      <c r="O95" s="13"/>
      <c r="P95" s="13"/>
      <c r="Q95" s="13"/>
      <c r="R95" s="13"/>
      <c r="S95" s="13"/>
      <c r="T95" s="13"/>
      <c r="U95" s="13"/>
      <c r="V95" s="13"/>
      <c r="W95" s="13"/>
      <c r="X95" s="13"/>
      <c r="Y95" s="13"/>
      <c r="Z95" s="13"/>
      <c r="AA95" s="13"/>
    </row>
    <row r="96" spans="1:27" ht="17.399999999999999" x14ac:dyDescent="0.35">
      <c r="A96" s="29" t="s">
        <v>472</v>
      </c>
      <c r="B96" s="29" t="s">
        <v>472</v>
      </c>
      <c r="C96" s="13"/>
      <c r="D96" s="13"/>
      <c r="E96" s="13"/>
      <c r="F96" s="13"/>
      <c r="G96" s="13"/>
      <c r="H96" s="13"/>
      <c r="I96" s="13"/>
      <c r="J96" s="13"/>
      <c r="K96" s="13"/>
      <c r="L96" s="13"/>
      <c r="M96" s="13"/>
      <c r="N96" s="13"/>
      <c r="O96" s="13"/>
      <c r="P96" s="13"/>
      <c r="Q96" s="13"/>
      <c r="R96" s="13"/>
      <c r="S96" s="13"/>
      <c r="T96" s="13"/>
      <c r="U96" s="13"/>
      <c r="V96" s="13"/>
      <c r="W96" s="13"/>
      <c r="X96" s="13"/>
      <c r="Y96" s="13"/>
      <c r="Z96" s="13"/>
      <c r="AA96" s="13"/>
    </row>
    <row r="97" spans="1:27" ht="17.399999999999999" x14ac:dyDescent="0.35">
      <c r="A97" s="30" t="s">
        <v>250</v>
      </c>
      <c r="B97" s="30" t="s">
        <v>250</v>
      </c>
      <c r="C97" s="13"/>
      <c r="D97" s="13"/>
      <c r="E97" s="13"/>
      <c r="F97" s="13"/>
      <c r="G97" s="13"/>
      <c r="H97" s="13"/>
      <c r="I97" s="13"/>
      <c r="J97" s="13"/>
      <c r="K97" s="13"/>
      <c r="L97" s="13"/>
      <c r="M97" s="13"/>
      <c r="N97" s="13"/>
      <c r="O97" s="13"/>
      <c r="P97" s="13"/>
      <c r="Q97" s="13"/>
      <c r="R97" s="13"/>
      <c r="S97" s="13"/>
      <c r="T97" s="13"/>
      <c r="U97" s="13"/>
      <c r="V97" s="13"/>
      <c r="W97" s="13"/>
      <c r="X97" s="13"/>
      <c r="Y97" s="13"/>
      <c r="Z97" s="13"/>
      <c r="AA97" s="13"/>
    </row>
    <row r="98" spans="1:27" ht="17.399999999999999" x14ac:dyDescent="0.35">
      <c r="A98" s="29" t="s">
        <v>1373</v>
      </c>
      <c r="B98" s="29" t="s">
        <v>1373</v>
      </c>
      <c r="C98" s="13"/>
      <c r="D98" s="13"/>
      <c r="E98" s="13"/>
      <c r="F98" s="13"/>
      <c r="G98" s="13"/>
      <c r="H98" s="13"/>
      <c r="I98" s="13"/>
      <c r="J98" s="13"/>
      <c r="K98" s="13"/>
      <c r="L98" s="13"/>
      <c r="M98" s="13"/>
      <c r="N98" s="13"/>
      <c r="O98" s="13"/>
      <c r="P98" s="13"/>
      <c r="Q98" s="13"/>
      <c r="R98" s="13"/>
      <c r="S98" s="13"/>
      <c r="T98" s="13"/>
      <c r="U98" s="13"/>
      <c r="V98" s="13"/>
      <c r="W98" s="13"/>
      <c r="X98" s="13"/>
      <c r="Y98" s="13"/>
      <c r="Z98" s="13"/>
      <c r="AA98" s="13"/>
    </row>
    <row r="99" spans="1:27" ht="17.399999999999999" x14ac:dyDescent="0.35">
      <c r="A99" s="30" t="s">
        <v>282</v>
      </c>
      <c r="B99" s="30" t="s">
        <v>282</v>
      </c>
      <c r="C99" s="13"/>
      <c r="D99" s="13"/>
      <c r="E99" s="13"/>
      <c r="F99" s="13"/>
      <c r="G99" s="13"/>
      <c r="H99" s="13"/>
      <c r="I99" s="13"/>
      <c r="J99" s="13"/>
      <c r="K99" s="13"/>
      <c r="L99" s="13"/>
      <c r="M99" s="13"/>
      <c r="N99" s="13"/>
      <c r="O99" s="13"/>
      <c r="P99" s="13"/>
      <c r="Q99" s="13"/>
      <c r="R99" s="13"/>
      <c r="S99" s="13"/>
      <c r="T99" s="13"/>
      <c r="U99" s="13"/>
      <c r="V99" s="13"/>
      <c r="W99" s="13"/>
      <c r="X99" s="13"/>
      <c r="Y99" s="13"/>
      <c r="Z99" s="13"/>
      <c r="AA99" s="13"/>
    </row>
    <row r="100" spans="1:27" ht="17.399999999999999" x14ac:dyDescent="0.35">
      <c r="A100" s="29" t="s">
        <v>1217</v>
      </c>
      <c r="B100" s="29" t="s">
        <v>1217</v>
      </c>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row>
    <row r="101" spans="1:27" ht="17.399999999999999" x14ac:dyDescent="0.35">
      <c r="A101" s="30" t="s">
        <v>2651</v>
      </c>
      <c r="B101" s="30" t="s">
        <v>2651</v>
      </c>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row>
    <row r="102" spans="1:27" ht="17.399999999999999" x14ac:dyDescent="0.35">
      <c r="A102" s="29" t="s">
        <v>3099</v>
      </c>
      <c r="B102" s="29" t="s">
        <v>3099</v>
      </c>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row>
    <row r="103" spans="1:27" ht="17.399999999999999" x14ac:dyDescent="0.35">
      <c r="A103" s="30" t="s">
        <v>75</v>
      </c>
      <c r="B103" s="30" t="s">
        <v>5672</v>
      </c>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row>
    <row r="104" spans="1:27" ht="17.399999999999999" x14ac:dyDescent="0.35">
      <c r="A104" s="29" t="s">
        <v>306</v>
      </c>
      <c r="B104" s="29" t="s">
        <v>306</v>
      </c>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row>
    <row r="105" spans="1:27" ht="17.399999999999999" x14ac:dyDescent="0.35">
      <c r="A105" s="30" t="s">
        <v>603</v>
      </c>
      <c r="B105" s="30" t="s">
        <v>603</v>
      </c>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row>
    <row r="106" spans="1:27" ht="17.399999999999999" x14ac:dyDescent="0.35">
      <c r="A106" s="29" t="s">
        <v>761</v>
      </c>
      <c r="B106" s="29" t="s">
        <v>761</v>
      </c>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c r="AA106" s="13"/>
    </row>
    <row r="107" spans="1:27" ht="17.399999999999999" x14ac:dyDescent="0.35">
      <c r="A107" s="30" t="s">
        <v>583</v>
      </c>
      <c r="B107" s="30" t="s">
        <v>583</v>
      </c>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row>
    <row r="108" spans="1:27" ht="17.399999999999999" x14ac:dyDescent="0.35">
      <c r="A108" s="29" t="s">
        <v>311</v>
      </c>
      <c r="B108" s="29" t="s">
        <v>311</v>
      </c>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3"/>
    </row>
    <row r="109" spans="1:27" ht="17.399999999999999" x14ac:dyDescent="0.35">
      <c r="A109" s="30" t="s">
        <v>3419</v>
      </c>
      <c r="B109" s="30" t="s">
        <v>3419</v>
      </c>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row>
    <row r="110" spans="1:27" ht="17.399999999999999" x14ac:dyDescent="0.35">
      <c r="A110" s="29" t="s">
        <v>478</v>
      </c>
      <c r="B110" s="29" t="s">
        <v>478</v>
      </c>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c r="AA110" s="13"/>
    </row>
    <row r="111" spans="1:27" ht="17.399999999999999" x14ac:dyDescent="0.35">
      <c r="A111" s="30" t="s">
        <v>1130</v>
      </c>
      <c r="B111" s="30" t="s">
        <v>1130</v>
      </c>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row>
    <row r="112" spans="1:27" ht="17.399999999999999" x14ac:dyDescent="0.35">
      <c r="A112" s="29" t="s">
        <v>202</v>
      </c>
      <c r="B112" s="29" t="s">
        <v>202</v>
      </c>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row>
    <row r="113" spans="1:27" ht="17.399999999999999" x14ac:dyDescent="0.35">
      <c r="A113" s="30" t="s">
        <v>738</v>
      </c>
      <c r="B113" s="30" t="s">
        <v>738</v>
      </c>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row>
    <row r="114" spans="1:27" ht="17.399999999999999" x14ac:dyDescent="0.35">
      <c r="A114" s="29" t="s">
        <v>662</v>
      </c>
      <c r="B114" s="29" t="s">
        <v>662</v>
      </c>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row>
    <row r="115" spans="1:27" ht="17.399999999999999" x14ac:dyDescent="0.35">
      <c r="A115" s="30" t="s">
        <v>1137</v>
      </c>
      <c r="B115" s="30" t="s">
        <v>1137</v>
      </c>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row>
    <row r="116" spans="1:27" ht="17.399999999999999" x14ac:dyDescent="0.35">
      <c r="A116" s="29" t="s">
        <v>872</v>
      </c>
      <c r="B116" s="29" t="s">
        <v>872</v>
      </c>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row>
    <row r="117" spans="1:27" ht="17.399999999999999" x14ac:dyDescent="0.35">
      <c r="A117" s="30" t="s">
        <v>2910</v>
      </c>
      <c r="B117" s="30" t="s">
        <v>2910</v>
      </c>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row>
    <row r="118" spans="1:27" ht="17.399999999999999" x14ac:dyDescent="0.35">
      <c r="A118" s="29" t="s">
        <v>322</v>
      </c>
      <c r="B118" s="29" t="s">
        <v>322</v>
      </c>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row>
    <row r="119" spans="1:27" ht="17.399999999999999" x14ac:dyDescent="0.35">
      <c r="A119" s="30" t="s">
        <v>894</v>
      </c>
      <c r="B119" s="30" t="s">
        <v>894</v>
      </c>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row>
    <row r="120" spans="1:27" ht="17.399999999999999" x14ac:dyDescent="0.35">
      <c r="A120" s="32" t="s">
        <v>334</v>
      </c>
      <c r="B120" s="33" t="s">
        <v>334</v>
      </c>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row>
    <row r="121" spans="1:27" ht="17.399999999999999" x14ac:dyDescent="0.35">
      <c r="A121" s="30" t="s">
        <v>253</v>
      </c>
      <c r="B121" s="30" t="s">
        <v>253</v>
      </c>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row>
    <row r="122" spans="1:27" ht="17.399999999999999" x14ac:dyDescent="0.35">
      <c r="A122" s="29" t="s">
        <v>159</v>
      </c>
      <c r="B122" s="29" t="s">
        <v>159</v>
      </c>
      <c r="C122" s="13"/>
      <c r="D122" s="13"/>
      <c r="E122" s="13"/>
      <c r="F122" s="13"/>
      <c r="G122" s="13"/>
      <c r="H122" s="13"/>
      <c r="I122" s="13"/>
      <c r="J122" s="13"/>
      <c r="K122" s="13"/>
      <c r="L122" s="13"/>
      <c r="M122" s="13"/>
      <c r="N122" s="13"/>
      <c r="O122" s="13"/>
      <c r="P122" s="13"/>
      <c r="Q122" s="13"/>
      <c r="R122" s="13"/>
      <c r="S122" s="13"/>
      <c r="T122" s="13"/>
      <c r="U122" s="13"/>
      <c r="V122" s="13"/>
      <c r="W122" s="13"/>
      <c r="X122" s="13"/>
      <c r="Y122" s="13"/>
      <c r="Z122" s="13"/>
      <c r="AA122" s="13"/>
    </row>
    <row r="123" spans="1:27" ht="17.399999999999999" x14ac:dyDescent="0.35">
      <c r="A123" s="30" t="s">
        <v>317</v>
      </c>
      <c r="B123" s="30" t="s">
        <v>317</v>
      </c>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c r="AA123" s="13"/>
    </row>
    <row r="124" spans="1:27" ht="17.399999999999999" x14ac:dyDescent="0.35">
      <c r="A124" s="29" t="s">
        <v>877</v>
      </c>
      <c r="B124" s="29" t="s">
        <v>877</v>
      </c>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c r="AA124" s="13"/>
    </row>
    <row r="125" spans="1:27" ht="17.399999999999999" x14ac:dyDescent="0.35">
      <c r="A125" s="30" t="s">
        <v>451</v>
      </c>
      <c r="B125" s="30" t="s">
        <v>451</v>
      </c>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row>
    <row r="126" spans="1:27" ht="17.399999999999999" x14ac:dyDescent="0.35">
      <c r="A126" s="29" t="s">
        <v>615</v>
      </c>
      <c r="B126" s="29" t="s">
        <v>615</v>
      </c>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c r="AA126" s="13"/>
    </row>
    <row r="127" spans="1:27" ht="17.399999999999999" x14ac:dyDescent="0.35">
      <c r="A127" s="30" t="s">
        <v>366</v>
      </c>
      <c r="B127" s="30" t="s">
        <v>366</v>
      </c>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row>
    <row r="128" spans="1:27" ht="17.399999999999999" x14ac:dyDescent="0.35">
      <c r="A128" s="29" t="s">
        <v>90</v>
      </c>
      <c r="B128" s="29" t="s">
        <v>90</v>
      </c>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c r="AA128" s="13"/>
    </row>
    <row r="129" spans="1:27" ht="17.399999999999999" x14ac:dyDescent="0.35">
      <c r="A129" s="30" t="s">
        <v>344</v>
      </c>
      <c r="B129" s="30" t="s">
        <v>344</v>
      </c>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c r="AA129" s="13"/>
    </row>
    <row r="130" spans="1:27" ht="17.399999999999999" x14ac:dyDescent="0.35">
      <c r="A130" s="29" t="s">
        <v>369</v>
      </c>
      <c r="B130" s="29" t="s">
        <v>369</v>
      </c>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row>
    <row r="131" spans="1:27" ht="17.399999999999999" x14ac:dyDescent="0.35">
      <c r="A131" s="30" t="s">
        <v>217</v>
      </c>
      <c r="B131" s="30" t="s">
        <v>217</v>
      </c>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row>
    <row r="132" spans="1:27" ht="17.399999999999999" x14ac:dyDescent="0.35">
      <c r="A132" s="29" t="s">
        <v>753</v>
      </c>
      <c r="B132" s="29" t="s">
        <v>753</v>
      </c>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row>
    <row r="133" spans="1:27" ht="17.399999999999999" x14ac:dyDescent="0.35">
      <c r="A133" s="30" t="s">
        <v>131</v>
      </c>
      <c r="B133" s="30" t="s">
        <v>131</v>
      </c>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row>
    <row r="134" spans="1:27" ht="17.399999999999999" x14ac:dyDescent="0.35">
      <c r="A134" s="29" t="s">
        <v>652</v>
      </c>
      <c r="B134" s="29" t="s">
        <v>652</v>
      </c>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c r="AA134" s="13"/>
    </row>
    <row r="135" spans="1:27" ht="17.399999999999999" x14ac:dyDescent="0.35">
      <c r="A135" s="30" t="s">
        <v>642</v>
      </c>
      <c r="B135" s="30" t="s">
        <v>642</v>
      </c>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c r="AA135" s="13"/>
    </row>
    <row r="136" spans="1:27" ht="17.399999999999999" x14ac:dyDescent="0.35">
      <c r="A136" s="29" t="s">
        <v>1015</v>
      </c>
      <c r="B136" s="29" t="s">
        <v>1015</v>
      </c>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c r="AA136" s="13"/>
    </row>
    <row r="137" spans="1:27" ht="17.399999999999999" x14ac:dyDescent="0.35">
      <c r="A137" s="30" t="s">
        <v>371</v>
      </c>
      <c r="B137" s="30" t="s">
        <v>371</v>
      </c>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c r="AA137" s="13"/>
    </row>
    <row r="138" spans="1:27" ht="17.399999999999999" x14ac:dyDescent="0.35">
      <c r="A138" s="29" t="s">
        <v>197</v>
      </c>
      <c r="B138" s="29" t="s">
        <v>197</v>
      </c>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row>
    <row r="139" spans="1:27" ht="17.399999999999999" x14ac:dyDescent="0.35">
      <c r="A139" s="30" t="s">
        <v>355</v>
      </c>
      <c r="B139" s="30" t="s">
        <v>355</v>
      </c>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row>
    <row r="140" spans="1:27" ht="17.399999999999999" x14ac:dyDescent="0.35">
      <c r="A140" s="29" t="s">
        <v>2014</v>
      </c>
      <c r="B140" s="29" t="s">
        <v>2014</v>
      </c>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c r="AA140" s="13"/>
    </row>
    <row r="141" spans="1:27" ht="17.399999999999999" x14ac:dyDescent="0.35">
      <c r="A141" s="30" t="s">
        <v>469</v>
      </c>
      <c r="B141" s="30" t="s">
        <v>469</v>
      </c>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c r="AA141" s="13"/>
    </row>
    <row r="142" spans="1:27" ht="17.399999999999999" x14ac:dyDescent="0.35">
      <c r="A142" s="29" t="s">
        <v>514</v>
      </c>
      <c r="B142" s="29" t="s">
        <v>514</v>
      </c>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row>
    <row r="143" spans="1:27" ht="17.399999999999999" x14ac:dyDescent="0.35">
      <c r="A143" s="30" t="s">
        <v>711</v>
      </c>
      <c r="B143" s="30" t="s">
        <v>711</v>
      </c>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c r="AA143" s="13"/>
    </row>
    <row r="144" spans="1:27" ht="17.399999999999999" x14ac:dyDescent="0.35">
      <c r="A144" s="29" t="s">
        <v>2636</v>
      </c>
      <c r="B144" s="29" t="s">
        <v>2636</v>
      </c>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c r="AA144" s="13"/>
    </row>
    <row r="145" spans="1:27" ht="17.399999999999999" x14ac:dyDescent="0.35">
      <c r="A145" s="30" t="s">
        <v>1285</v>
      </c>
      <c r="B145" s="30" t="s">
        <v>1285</v>
      </c>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c r="AA145" s="13"/>
    </row>
    <row r="146" spans="1:27" ht="17.399999999999999" x14ac:dyDescent="0.35">
      <c r="A146" s="29" t="s">
        <v>1897</v>
      </c>
      <c r="B146" s="29" t="s">
        <v>1897</v>
      </c>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c r="AA146" s="13"/>
    </row>
    <row r="147" spans="1:27" ht="17.399999999999999" x14ac:dyDescent="0.35">
      <c r="A147" s="30" t="s">
        <v>3430</v>
      </c>
      <c r="B147" s="30" t="s">
        <v>3430</v>
      </c>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c r="AA147" s="13"/>
    </row>
    <row r="148" spans="1:27" ht="17.399999999999999" x14ac:dyDescent="0.35">
      <c r="A148" s="29" t="s">
        <v>1970</v>
      </c>
      <c r="B148" s="29" t="s">
        <v>1970</v>
      </c>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c r="AA148" s="13"/>
    </row>
    <row r="149" spans="1:27" ht="17.399999999999999" x14ac:dyDescent="0.35">
      <c r="A149" s="30" t="s">
        <v>3774</v>
      </c>
      <c r="B149" s="30" t="s">
        <v>3774</v>
      </c>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c r="AA149" s="13"/>
    </row>
    <row r="150" spans="1:27" ht="17.399999999999999" x14ac:dyDescent="0.35">
      <c r="A150" s="29" t="s">
        <v>381</v>
      </c>
      <c r="B150" s="29" t="s">
        <v>381</v>
      </c>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c r="AA150" s="13"/>
    </row>
    <row r="151" spans="1:27" ht="17.399999999999999" x14ac:dyDescent="0.35">
      <c r="A151" s="30" t="s">
        <v>416</v>
      </c>
      <c r="B151" s="30" t="s">
        <v>416</v>
      </c>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c r="AA151" s="13"/>
    </row>
    <row r="152" spans="1:27" ht="17.399999999999999" x14ac:dyDescent="0.35">
      <c r="A152" s="29" t="s">
        <v>637</v>
      </c>
      <c r="B152" s="29" t="s">
        <v>637</v>
      </c>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c r="AA152" s="13"/>
    </row>
    <row r="153" spans="1:27" ht="17.399999999999999" x14ac:dyDescent="0.35">
      <c r="A153" s="30" t="s">
        <v>100</v>
      </c>
      <c r="B153" s="30" t="s">
        <v>100</v>
      </c>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row>
    <row r="154" spans="1:27" ht="17.399999999999999" x14ac:dyDescent="0.35">
      <c r="A154" s="29" t="s">
        <v>428</v>
      </c>
      <c r="B154" s="29" t="s">
        <v>428</v>
      </c>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c r="AA154" s="13"/>
    </row>
    <row r="155" spans="1:27" ht="17.399999999999999" x14ac:dyDescent="0.35">
      <c r="A155" s="30" t="s">
        <v>248</v>
      </c>
      <c r="B155" s="30" t="s">
        <v>248</v>
      </c>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c r="AA155" s="13"/>
    </row>
    <row r="156" spans="1:27" ht="17.399999999999999" x14ac:dyDescent="0.35">
      <c r="A156" s="29" t="s">
        <v>464</v>
      </c>
      <c r="B156" s="29" t="s">
        <v>464</v>
      </c>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c r="AA156" s="13"/>
    </row>
    <row r="157" spans="1:27" ht="17.399999999999999" x14ac:dyDescent="0.35">
      <c r="A157" s="30" t="s">
        <v>973</v>
      </c>
      <c r="B157" s="30" t="s">
        <v>973</v>
      </c>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c r="AA157" s="13"/>
    </row>
    <row r="158" spans="1:27" ht="17.399999999999999" x14ac:dyDescent="0.35">
      <c r="A158" s="29" t="s">
        <v>655</v>
      </c>
      <c r="B158" s="29" t="s">
        <v>655</v>
      </c>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c r="AA158" s="13"/>
    </row>
    <row r="159" spans="1:27" ht="17.399999999999999" x14ac:dyDescent="0.35">
      <c r="A159" s="30" t="s">
        <v>848</v>
      </c>
      <c r="B159" s="30" t="s">
        <v>848</v>
      </c>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c r="AA159" s="13"/>
    </row>
    <row r="160" spans="1:27" ht="17.399999999999999" x14ac:dyDescent="0.35">
      <c r="A160" s="29" t="s">
        <v>1975</v>
      </c>
      <c r="B160" s="29" t="s">
        <v>1975</v>
      </c>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13"/>
    </row>
    <row r="161" spans="1:27" ht="17.399999999999999" x14ac:dyDescent="0.35">
      <c r="A161" s="30" t="s">
        <v>394</v>
      </c>
      <c r="B161" s="30" t="s">
        <v>394</v>
      </c>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c r="AA161" s="13"/>
    </row>
    <row r="162" spans="1:27" ht="17.399999999999999" x14ac:dyDescent="0.35">
      <c r="A162" s="29" t="s">
        <v>539</v>
      </c>
      <c r="B162" s="29" t="s">
        <v>539</v>
      </c>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c r="AA162" s="13"/>
    </row>
    <row r="163" spans="1:27" ht="17.399999999999999" x14ac:dyDescent="0.35">
      <c r="A163" s="30" t="s">
        <v>3066</v>
      </c>
      <c r="B163" s="30" t="s">
        <v>3066</v>
      </c>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row>
    <row r="164" spans="1:27" ht="17.399999999999999" x14ac:dyDescent="0.35">
      <c r="A164" s="29" t="s">
        <v>1924</v>
      </c>
      <c r="B164" s="29" t="s">
        <v>1924</v>
      </c>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c r="AA164" s="13"/>
    </row>
    <row r="165" spans="1:27" ht="17.399999999999999" x14ac:dyDescent="0.35">
      <c r="A165" s="30" t="s">
        <v>350</v>
      </c>
      <c r="B165" s="30" t="s">
        <v>350</v>
      </c>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c r="AA165" s="13"/>
    </row>
    <row r="166" spans="1:27" ht="17.399999999999999" x14ac:dyDescent="0.35">
      <c r="A166" s="29" t="s">
        <v>78</v>
      </c>
      <c r="B166" s="29" t="s">
        <v>78</v>
      </c>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c r="AA166" s="13"/>
    </row>
    <row r="167" spans="1:27" ht="17.399999999999999" x14ac:dyDescent="0.35">
      <c r="A167" s="30" t="s">
        <v>338</v>
      </c>
      <c r="B167" s="30" t="s">
        <v>338</v>
      </c>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c r="AA167" s="13"/>
    </row>
    <row r="168" spans="1:27" ht="17.399999999999999" x14ac:dyDescent="0.35">
      <c r="A168" s="29" t="s">
        <v>182</v>
      </c>
      <c r="B168" s="29" t="s">
        <v>182</v>
      </c>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c r="AA168" s="13"/>
    </row>
    <row r="169" spans="1:27" ht="17.399999999999999" x14ac:dyDescent="0.35">
      <c r="A169" s="30" t="s">
        <v>1941</v>
      </c>
      <c r="B169" s="30" t="s">
        <v>1941</v>
      </c>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row>
    <row r="170" spans="1:27" ht="17.399999999999999" x14ac:dyDescent="0.35">
      <c r="A170" s="29" t="s">
        <v>825</v>
      </c>
      <c r="B170" s="29" t="s">
        <v>825</v>
      </c>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row>
    <row r="171" spans="1:27" ht="17.399999999999999" x14ac:dyDescent="0.35">
      <c r="A171" s="30" t="s">
        <v>271</v>
      </c>
      <c r="B171" s="30" t="s">
        <v>271</v>
      </c>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row>
    <row r="172" spans="1:27" ht="17.399999999999999" x14ac:dyDescent="0.35">
      <c r="A172" s="29" t="s">
        <v>314</v>
      </c>
      <c r="B172" s="29" t="s">
        <v>314</v>
      </c>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row>
    <row r="173" spans="1:27" ht="17.399999999999999" x14ac:dyDescent="0.35">
      <c r="A173" s="30" t="s">
        <v>103</v>
      </c>
      <c r="B173" s="30" t="s">
        <v>103</v>
      </c>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row>
    <row r="174" spans="1:27" ht="17.399999999999999" x14ac:dyDescent="0.35">
      <c r="A174" s="29" t="s">
        <v>106</v>
      </c>
      <c r="B174" s="29" t="s">
        <v>106</v>
      </c>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row>
    <row r="175" spans="1:27" ht="17.399999999999999" x14ac:dyDescent="0.35">
      <c r="A175" s="30" t="s">
        <v>576</v>
      </c>
      <c r="B175" s="30" t="s">
        <v>576</v>
      </c>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row>
    <row r="176" spans="1:27" ht="17.399999999999999" x14ac:dyDescent="0.35">
      <c r="A176" s="29" t="s">
        <v>4010</v>
      </c>
      <c r="B176" s="29" t="s">
        <v>4010</v>
      </c>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row>
    <row r="177" spans="1:27" ht="17.399999999999999" x14ac:dyDescent="0.35">
      <c r="A177" s="31" t="s">
        <v>1330</v>
      </c>
      <c r="B177" s="31" t="s">
        <v>1330</v>
      </c>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row>
    <row r="178" spans="1:27" ht="17.399999999999999" x14ac:dyDescent="0.35">
      <c r="A178" s="29" t="s">
        <v>435</v>
      </c>
      <c r="B178" s="29" t="s">
        <v>435</v>
      </c>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row>
    <row r="179" spans="1:27" ht="17.399999999999999" x14ac:dyDescent="0.35">
      <c r="A179" s="31" t="s">
        <v>731</v>
      </c>
      <c r="B179" s="34" t="s">
        <v>731</v>
      </c>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row>
    <row r="180" spans="1:27" ht="17.399999999999999" x14ac:dyDescent="0.35">
      <c r="A180" s="29" t="s">
        <v>815</v>
      </c>
      <c r="B180" s="29" t="s">
        <v>815</v>
      </c>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row>
    <row r="181" spans="1:27" ht="17.399999999999999" x14ac:dyDescent="0.35">
      <c r="A181" s="31" t="s">
        <v>1554</v>
      </c>
      <c r="B181" s="31" t="s">
        <v>1554</v>
      </c>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row>
    <row r="182" spans="1:27" ht="17.399999999999999" x14ac:dyDescent="0.35">
      <c r="A182" s="29" t="s">
        <v>66</v>
      </c>
      <c r="B182" s="29" t="s">
        <v>66</v>
      </c>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row>
    <row r="183" spans="1:27" ht="17.399999999999999" x14ac:dyDescent="0.35">
      <c r="A183" s="30" t="s">
        <v>165</v>
      </c>
      <c r="B183" s="30" t="s">
        <v>165</v>
      </c>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row>
    <row r="184" spans="1:27" ht="17.399999999999999" x14ac:dyDescent="0.35">
      <c r="A184" s="29" t="s">
        <v>156</v>
      </c>
      <c r="B184" s="29" t="s">
        <v>156</v>
      </c>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row>
    <row r="185" spans="1:27" ht="17.399999999999999" x14ac:dyDescent="0.35">
      <c r="A185" s="30" t="s">
        <v>970</v>
      </c>
      <c r="B185" s="30" t="s">
        <v>970</v>
      </c>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c r="AA185" s="13"/>
    </row>
    <row r="186" spans="1:27" ht="17.399999999999999" x14ac:dyDescent="0.35">
      <c r="A186" s="29" t="s">
        <v>303</v>
      </c>
      <c r="B186" s="29" t="s">
        <v>303</v>
      </c>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c r="AA186" s="13"/>
    </row>
    <row r="187" spans="1:27" ht="17.399999999999999" x14ac:dyDescent="0.35">
      <c r="A187" s="30" t="s">
        <v>704</v>
      </c>
      <c r="B187" s="30" t="s">
        <v>704</v>
      </c>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row>
    <row r="188" spans="1:27" ht="17.399999999999999" x14ac:dyDescent="0.35">
      <c r="A188" s="29" t="s">
        <v>958</v>
      </c>
      <c r="B188" s="29" t="s">
        <v>958</v>
      </c>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c r="AA188" s="13"/>
    </row>
    <row r="189" spans="1:27" ht="17.399999999999999" x14ac:dyDescent="0.35">
      <c r="A189" s="30" t="s">
        <v>149</v>
      </c>
      <c r="B189" s="30" t="s">
        <v>149</v>
      </c>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row>
    <row r="190" spans="1:27" ht="17.399999999999999" x14ac:dyDescent="0.35">
      <c r="A190" s="29" t="s">
        <v>265</v>
      </c>
      <c r="B190" s="29" t="s">
        <v>265</v>
      </c>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row>
    <row r="191" spans="1:27" ht="17.399999999999999" x14ac:dyDescent="0.35">
      <c r="A191" s="30" t="s">
        <v>911</v>
      </c>
      <c r="B191" s="30" t="s">
        <v>911</v>
      </c>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row>
    <row r="192" spans="1:27" ht="17.399999999999999" x14ac:dyDescent="0.35">
      <c r="A192" s="29" t="s">
        <v>963</v>
      </c>
      <c r="B192" s="29" t="s">
        <v>963</v>
      </c>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c r="AA192" s="13"/>
    </row>
    <row r="193" spans="1:27" ht="17.399999999999999" x14ac:dyDescent="0.35">
      <c r="A193" s="30" t="s">
        <v>168</v>
      </c>
      <c r="B193" s="30" t="s">
        <v>168</v>
      </c>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c r="AA193" s="13"/>
    </row>
    <row r="194" spans="1:27" ht="17.399999999999999" x14ac:dyDescent="0.35">
      <c r="A194" s="29" t="s">
        <v>413</v>
      </c>
      <c r="B194" s="29" t="s">
        <v>413</v>
      </c>
      <c r="C194" s="13"/>
      <c r="D194" s="13"/>
      <c r="E194" s="13"/>
      <c r="F194" s="13"/>
      <c r="G194" s="13"/>
      <c r="H194" s="13"/>
      <c r="I194" s="13"/>
      <c r="J194" s="13"/>
      <c r="K194" s="13"/>
      <c r="L194" s="13"/>
      <c r="M194" s="13"/>
      <c r="N194" s="13"/>
      <c r="O194" s="13"/>
      <c r="P194" s="13"/>
      <c r="Q194" s="13"/>
      <c r="R194" s="13"/>
      <c r="S194" s="13"/>
      <c r="T194" s="13"/>
      <c r="U194" s="13"/>
      <c r="V194" s="13"/>
      <c r="W194" s="13"/>
      <c r="X194" s="13"/>
      <c r="Y194" s="13"/>
      <c r="Z194" s="13"/>
      <c r="AA194" s="13"/>
    </row>
    <row r="195" spans="1:27" ht="17.399999999999999" x14ac:dyDescent="0.35">
      <c r="A195" s="30" t="s">
        <v>501</v>
      </c>
      <c r="B195" s="30" t="s">
        <v>501</v>
      </c>
      <c r="C195" s="13"/>
      <c r="D195" s="13"/>
      <c r="E195" s="13"/>
      <c r="F195" s="13"/>
      <c r="G195" s="13"/>
      <c r="H195" s="13"/>
      <c r="I195" s="13"/>
      <c r="J195" s="13"/>
      <c r="K195" s="13"/>
      <c r="L195" s="13"/>
      <c r="M195" s="13"/>
      <c r="N195" s="13"/>
      <c r="O195" s="13"/>
      <c r="P195" s="13"/>
      <c r="Q195" s="13"/>
      <c r="R195" s="13"/>
      <c r="S195" s="13"/>
      <c r="T195" s="13"/>
      <c r="U195" s="13"/>
      <c r="V195" s="13"/>
      <c r="W195" s="13"/>
      <c r="X195" s="13"/>
      <c r="Y195" s="13"/>
      <c r="Z195" s="13"/>
      <c r="AA195" s="13"/>
    </row>
    <row r="196" spans="1:27" ht="17.399999999999999" x14ac:dyDescent="0.35">
      <c r="A196" s="29" t="s">
        <v>268</v>
      </c>
      <c r="B196" s="29" t="s">
        <v>268</v>
      </c>
      <c r="C196" s="13"/>
      <c r="D196" s="13"/>
      <c r="E196" s="13"/>
      <c r="F196" s="13"/>
      <c r="G196" s="13"/>
      <c r="H196" s="13"/>
      <c r="I196" s="13"/>
      <c r="J196" s="13"/>
      <c r="K196" s="13"/>
      <c r="L196" s="13"/>
      <c r="M196" s="13"/>
      <c r="N196" s="13"/>
      <c r="O196" s="13"/>
      <c r="P196" s="13"/>
      <c r="Q196" s="13"/>
      <c r="R196" s="13"/>
      <c r="S196" s="13"/>
      <c r="T196" s="13"/>
      <c r="U196" s="13"/>
      <c r="V196" s="13"/>
      <c r="W196" s="13"/>
      <c r="X196" s="13"/>
      <c r="Y196" s="13"/>
      <c r="Z196" s="13"/>
      <c r="AA196" s="13"/>
    </row>
    <row r="197" spans="1:27" ht="17.399999999999999" x14ac:dyDescent="0.35">
      <c r="A197" s="30" t="s">
        <v>3317</v>
      </c>
      <c r="B197" s="30" t="s">
        <v>3317</v>
      </c>
      <c r="C197" s="13"/>
      <c r="D197" s="13"/>
      <c r="E197" s="13"/>
      <c r="F197" s="13"/>
      <c r="G197" s="13"/>
      <c r="H197" s="13"/>
      <c r="I197" s="13"/>
      <c r="J197" s="13"/>
      <c r="K197" s="13"/>
      <c r="L197" s="13"/>
      <c r="M197" s="13"/>
      <c r="N197" s="13"/>
      <c r="O197" s="13"/>
      <c r="P197" s="13"/>
      <c r="Q197" s="13"/>
      <c r="R197" s="13"/>
      <c r="S197" s="13"/>
      <c r="T197" s="13"/>
      <c r="U197" s="13"/>
      <c r="V197" s="13"/>
      <c r="W197" s="13"/>
      <c r="X197" s="13"/>
      <c r="Y197" s="13"/>
      <c r="Z197" s="13"/>
      <c r="AA197" s="13"/>
    </row>
    <row r="198" spans="1:27" ht="17.399999999999999" x14ac:dyDescent="0.35">
      <c r="A198" s="29" t="s">
        <v>1677</v>
      </c>
      <c r="B198" s="29" t="s">
        <v>1677</v>
      </c>
      <c r="C198" s="13"/>
      <c r="D198" s="13"/>
      <c r="E198" s="13"/>
      <c r="F198" s="13"/>
      <c r="G198" s="13"/>
      <c r="H198" s="13"/>
      <c r="I198" s="13"/>
      <c r="J198" s="13"/>
      <c r="K198" s="13"/>
      <c r="L198" s="13"/>
      <c r="M198" s="13"/>
      <c r="N198" s="13"/>
      <c r="O198" s="13"/>
      <c r="P198" s="13"/>
      <c r="Q198" s="13"/>
      <c r="R198" s="13"/>
      <c r="S198" s="13"/>
      <c r="T198" s="13"/>
      <c r="U198" s="13"/>
      <c r="V198" s="13"/>
      <c r="W198" s="13"/>
      <c r="X198" s="13"/>
      <c r="Y198" s="13"/>
      <c r="Z198" s="13"/>
      <c r="AA198" s="13"/>
    </row>
    <row r="199" spans="1:27" ht="17.399999999999999" x14ac:dyDescent="0.35">
      <c r="A199" s="13"/>
      <c r="B199" s="13"/>
      <c r="C199" s="13"/>
      <c r="D199" s="13"/>
      <c r="E199" s="13"/>
      <c r="F199" s="13"/>
      <c r="G199" s="13"/>
      <c r="H199" s="13"/>
      <c r="I199" s="13"/>
      <c r="J199" s="13"/>
      <c r="K199" s="13"/>
      <c r="L199" s="13"/>
      <c r="M199" s="13"/>
      <c r="N199" s="13"/>
      <c r="O199" s="13"/>
      <c r="P199" s="13"/>
      <c r="Q199" s="13"/>
      <c r="R199" s="13"/>
      <c r="S199" s="13"/>
      <c r="T199" s="13"/>
      <c r="U199" s="13"/>
      <c r="V199" s="13"/>
      <c r="W199" s="13"/>
      <c r="X199" s="13"/>
      <c r="Y199" s="13"/>
      <c r="Z199" s="13"/>
      <c r="AA199" s="13"/>
    </row>
    <row r="200" spans="1:27" ht="17.399999999999999" x14ac:dyDescent="0.35">
      <c r="A200" s="13"/>
      <c r="B200" s="13"/>
      <c r="C200" s="13"/>
      <c r="D200" s="13"/>
      <c r="E200" s="13"/>
      <c r="F200" s="13"/>
      <c r="G200" s="13"/>
      <c r="H200" s="13"/>
      <c r="I200" s="13"/>
      <c r="J200" s="13"/>
      <c r="K200" s="13"/>
      <c r="L200" s="13"/>
      <c r="M200" s="13"/>
      <c r="N200" s="13"/>
      <c r="O200" s="13"/>
      <c r="P200" s="13"/>
      <c r="Q200" s="13"/>
      <c r="R200" s="13"/>
      <c r="S200" s="13"/>
      <c r="T200" s="13"/>
      <c r="U200" s="13"/>
      <c r="V200" s="13"/>
      <c r="W200" s="13"/>
      <c r="X200" s="13"/>
      <c r="Y200" s="13"/>
      <c r="Z200" s="13"/>
      <c r="AA200" s="13"/>
    </row>
    <row r="201" spans="1:27" ht="17.399999999999999" x14ac:dyDescent="0.35">
      <c r="A201" s="13"/>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row>
    <row r="202" spans="1:27" ht="17.399999999999999" x14ac:dyDescent="0.35">
      <c r="A202" s="13"/>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row>
    <row r="203" spans="1:27" ht="17.399999999999999" x14ac:dyDescent="0.35">
      <c r="A203" s="13"/>
      <c r="B203" s="13"/>
      <c r="C203" s="13"/>
      <c r="D203" s="13"/>
      <c r="E203" s="13"/>
      <c r="F203" s="13"/>
      <c r="G203" s="13"/>
      <c r="H203" s="13"/>
      <c r="I203" s="13"/>
      <c r="J203" s="13"/>
      <c r="K203" s="13"/>
      <c r="L203" s="13"/>
      <c r="M203" s="13"/>
      <c r="N203" s="13"/>
      <c r="O203" s="13"/>
      <c r="P203" s="13"/>
      <c r="Q203" s="13"/>
      <c r="R203" s="13"/>
      <c r="S203" s="13"/>
      <c r="T203" s="13"/>
      <c r="U203" s="13"/>
      <c r="V203" s="13"/>
      <c r="W203" s="13"/>
      <c r="X203" s="13"/>
      <c r="Y203" s="13"/>
      <c r="Z203" s="13"/>
      <c r="AA203" s="13"/>
    </row>
    <row r="204" spans="1:27" ht="17.399999999999999" x14ac:dyDescent="0.35">
      <c r="A204" s="13"/>
      <c r="B204" s="13"/>
      <c r="C204" s="13"/>
      <c r="D204" s="13"/>
      <c r="E204" s="13"/>
      <c r="F204" s="13"/>
      <c r="G204" s="13"/>
      <c r="H204" s="13"/>
      <c r="I204" s="13"/>
      <c r="J204" s="13"/>
      <c r="K204" s="13"/>
      <c r="L204" s="13"/>
      <c r="M204" s="13"/>
      <c r="N204" s="13"/>
      <c r="O204" s="13"/>
      <c r="P204" s="13"/>
      <c r="Q204" s="13"/>
      <c r="R204" s="13"/>
      <c r="S204" s="13"/>
      <c r="T204" s="13"/>
      <c r="U204" s="13"/>
      <c r="V204" s="13"/>
      <c r="W204" s="13"/>
      <c r="X204" s="13"/>
      <c r="Y204" s="13"/>
      <c r="Z204" s="13"/>
      <c r="AA204" s="13"/>
    </row>
    <row r="205" spans="1:27" ht="17.399999999999999" x14ac:dyDescent="0.35">
      <c r="A205" s="13"/>
      <c r="B205" s="13"/>
      <c r="C205" s="13"/>
      <c r="D205" s="13"/>
      <c r="E205" s="13"/>
      <c r="F205" s="13"/>
      <c r="G205" s="13"/>
      <c r="H205" s="13"/>
      <c r="I205" s="13"/>
      <c r="J205" s="13"/>
      <c r="K205" s="13"/>
      <c r="L205" s="13"/>
      <c r="M205" s="13"/>
      <c r="N205" s="13"/>
      <c r="O205" s="13"/>
      <c r="P205" s="13"/>
      <c r="Q205" s="13"/>
      <c r="R205" s="13"/>
      <c r="S205" s="13"/>
      <c r="T205" s="13"/>
      <c r="U205" s="13"/>
      <c r="V205" s="13"/>
      <c r="W205" s="13"/>
      <c r="X205" s="13"/>
      <c r="Y205" s="13"/>
      <c r="Z205" s="13"/>
      <c r="AA205" s="13"/>
    </row>
    <row r="206" spans="1:27" ht="17.399999999999999" x14ac:dyDescent="0.35">
      <c r="A206" s="13"/>
      <c r="B206" s="13"/>
      <c r="C206" s="13"/>
      <c r="D206" s="13"/>
      <c r="E206" s="13"/>
      <c r="F206" s="13"/>
      <c r="G206" s="13"/>
      <c r="H206" s="13"/>
      <c r="I206" s="13"/>
      <c r="J206" s="13"/>
      <c r="K206" s="13"/>
      <c r="L206" s="13"/>
      <c r="M206" s="13"/>
      <c r="N206" s="13"/>
      <c r="O206" s="13"/>
      <c r="P206" s="13"/>
      <c r="Q206" s="13"/>
      <c r="R206" s="13"/>
      <c r="S206" s="13"/>
      <c r="T206" s="13"/>
      <c r="U206" s="13"/>
      <c r="V206" s="13"/>
      <c r="W206" s="13"/>
      <c r="X206" s="13"/>
      <c r="Y206" s="13"/>
      <c r="Z206" s="13"/>
      <c r="AA206" s="13"/>
    </row>
    <row r="207" spans="1:27" ht="17.399999999999999" x14ac:dyDescent="0.35">
      <c r="A207" s="13"/>
      <c r="B207" s="13"/>
      <c r="C207" s="13"/>
      <c r="D207" s="13"/>
      <c r="E207" s="13"/>
      <c r="F207" s="13"/>
      <c r="G207" s="13"/>
      <c r="H207" s="13"/>
      <c r="I207" s="13"/>
      <c r="J207" s="13"/>
      <c r="K207" s="13"/>
      <c r="L207" s="13"/>
      <c r="M207" s="13"/>
      <c r="N207" s="13"/>
      <c r="O207" s="13"/>
      <c r="P207" s="13"/>
      <c r="Q207" s="13"/>
      <c r="R207" s="13"/>
      <c r="S207" s="13"/>
      <c r="T207" s="13"/>
      <c r="U207" s="13"/>
      <c r="V207" s="13"/>
      <c r="W207" s="13"/>
      <c r="X207" s="13"/>
      <c r="Y207" s="13"/>
      <c r="Z207" s="13"/>
      <c r="AA207" s="13"/>
    </row>
    <row r="208" spans="1:27" ht="17.399999999999999" x14ac:dyDescent="0.35">
      <c r="A208" s="13"/>
      <c r="B208" s="13"/>
      <c r="C208" s="13"/>
      <c r="D208" s="13"/>
      <c r="E208" s="13"/>
      <c r="F208" s="13"/>
      <c r="G208" s="13"/>
      <c r="H208" s="13"/>
      <c r="I208" s="13"/>
      <c r="J208" s="13"/>
      <c r="K208" s="13"/>
      <c r="L208" s="13"/>
      <c r="M208" s="13"/>
      <c r="N208" s="13"/>
      <c r="O208" s="13"/>
      <c r="P208" s="13"/>
      <c r="Q208" s="13"/>
      <c r="R208" s="13"/>
      <c r="S208" s="13"/>
      <c r="T208" s="13"/>
      <c r="U208" s="13"/>
      <c r="V208" s="13"/>
      <c r="W208" s="13"/>
      <c r="X208" s="13"/>
      <c r="Y208" s="13"/>
      <c r="Z208" s="13"/>
      <c r="AA208" s="13"/>
    </row>
    <row r="209" spans="1:27" ht="17.399999999999999" x14ac:dyDescent="0.35">
      <c r="A209" s="13"/>
      <c r="B209" s="13"/>
      <c r="C209" s="13"/>
      <c r="D209" s="13"/>
      <c r="E209" s="13"/>
      <c r="F209" s="13"/>
      <c r="G209" s="13"/>
      <c r="H209" s="13"/>
      <c r="I209" s="13"/>
      <c r="J209" s="13"/>
      <c r="K209" s="13"/>
      <c r="L209" s="13"/>
      <c r="M209" s="13"/>
      <c r="N209" s="13"/>
      <c r="O209" s="13"/>
      <c r="P209" s="13"/>
      <c r="Q209" s="13"/>
      <c r="R209" s="13"/>
      <c r="S209" s="13"/>
      <c r="T209" s="13"/>
      <c r="U209" s="13"/>
      <c r="V209" s="13"/>
      <c r="W209" s="13"/>
      <c r="X209" s="13"/>
      <c r="Y209" s="13"/>
      <c r="Z209" s="13"/>
      <c r="AA209" s="13"/>
    </row>
    <row r="210" spans="1:27" ht="17.399999999999999" x14ac:dyDescent="0.35">
      <c r="A210" s="13"/>
      <c r="B210" s="13"/>
      <c r="C210" s="13"/>
      <c r="D210" s="13"/>
      <c r="E210" s="13"/>
      <c r="F210" s="13"/>
      <c r="G210" s="13"/>
      <c r="H210" s="13"/>
      <c r="I210" s="13"/>
      <c r="J210" s="13"/>
      <c r="K210" s="13"/>
      <c r="L210" s="13"/>
      <c r="M210" s="13"/>
      <c r="N210" s="13"/>
      <c r="O210" s="13"/>
      <c r="P210" s="13"/>
      <c r="Q210" s="13"/>
      <c r="R210" s="13"/>
      <c r="S210" s="13"/>
      <c r="T210" s="13"/>
      <c r="U210" s="13"/>
      <c r="V210" s="13"/>
      <c r="W210" s="13"/>
      <c r="X210" s="13"/>
      <c r="Y210" s="13"/>
      <c r="Z210" s="13"/>
      <c r="AA210" s="13"/>
    </row>
    <row r="211" spans="1:27" ht="17.399999999999999" x14ac:dyDescent="0.35">
      <c r="A211" s="13"/>
      <c r="B211" s="13"/>
      <c r="C211" s="13"/>
      <c r="D211" s="13"/>
      <c r="E211" s="13"/>
      <c r="F211" s="13"/>
      <c r="G211" s="13"/>
      <c r="H211" s="13"/>
      <c r="I211" s="13"/>
      <c r="J211" s="13"/>
      <c r="K211" s="13"/>
      <c r="L211" s="13"/>
      <c r="M211" s="13"/>
      <c r="N211" s="13"/>
      <c r="O211" s="13"/>
      <c r="P211" s="13"/>
      <c r="Q211" s="13"/>
      <c r="R211" s="13"/>
      <c r="S211" s="13"/>
      <c r="T211" s="13"/>
      <c r="U211" s="13"/>
      <c r="V211" s="13"/>
      <c r="W211" s="13"/>
      <c r="X211" s="13"/>
      <c r="Y211" s="13"/>
      <c r="Z211" s="13"/>
      <c r="AA211" s="13"/>
    </row>
    <row r="212" spans="1:27" ht="17.399999999999999" x14ac:dyDescent="0.35">
      <c r="A212" s="13"/>
      <c r="B212" s="13"/>
      <c r="C212" s="13"/>
      <c r="D212" s="13"/>
      <c r="E212" s="13"/>
      <c r="F212" s="13"/>
      <c r="G212" s="13"/>
      <c r="H212" s="13"/>
      <c r="I212" s="13"/>
      <c r="J212" s="13"/>
      <c r="K212" s="13"/>
      <c r="L212" s="13"/>
      <c r="M212" s="13"/>
      <c r="N212" s="13"/>
      <c r="O212" s="13"/>
      <c r="P212" s="13"/>
      <c r="Q212" s="13"/>
      <c r="R212" s="13"/>
      <c r="S212" s="13"/>
      <c r="T212" s="13"/>
      <c r="U212" s="13"/>
      <c r="V212" s="13"/>
      <c r="W212" s="13"/>
      <c r="X212" s="13"/>
      <c r="Y212" s="13"/>
      <c r="Z212" s="13"/>
      <c r="AA212" s="13"/>
    </row>
    <row r="213" spans="1:27" ht="17.399999999999999" x14ac:dyDescent="0.35">
      <c r="A213" s="13"/>
      <c r="B213" s="13"/>
      <c r="C213" s="13"/>
      <c r="D213" s="13"/>
      <c r="E213" s="13"/>
      <c r="F213" s="13"/>
      <c r="G213" s="13"/>
      <c r="H213" s="13"/>
      <c r="I213" s="13"/>
      <c r="J213" s="13"/>
      <c r="K213" s="13"/>
      <c r="L213" s="13"/>
      <c r="M213" s="13"/>
      <c r="N213" s="13"/>
      <c r="O213" s="13"/>
      <c r="P213" s="13"/>
      <c r="Q213" s="13"/>
      <c r="R213" s="13"/>
      <c r="S213" s="13"/>
      <c r="T213" s="13"/>
      <c r="U213" s="13"/>
      <c r="V213" s="13"/>
      <c r="W213" s="13"/>
      <c r="X213" s="13"/>
      <c r="Y213" s="13"/>
      <c r="Z213" s="13"/>
      <c r="AA213" s="13"/>
    </row>
    <row r="214" spans="1:27" ht="17.399999999999999" x14ac:dyDescent="0.35">
      <c r="A214" s="13"/>
      <c r="B214" s="13"/>
      <c r="C214" s="13"/>
      <c r="D214" s="13"/>
      <c r="E214" s="13"/>
      <c r="F214" s="13"/>
      <c r="G214" s="13"/>
      <c r="H214" s="13"/>
      <c r="I214" s="13"/>
      <c r="J214" s="13"/>
      <c r="K214" s="13"/>
      <c r="L214" s="13"/>
      <c r="M214" s="13"/>
      <c r="N214" s="13"/>
      <c r="O214" s="13"/>
      <c r="P214" s="13"/>
      <c r="Q214" s="13"/>
      <c r="R214" s="13"/>
      <c r="S214" s="13"/>
      <c r="T214" s="13"/>
      <c r="U214" s="13"/>
      <c r="V214" s="13"/>
      <c r="W214" s="13"/>
      <c r="X214" s="13"/>
      <c r="Y214" s="13"/>
      <c r="Z214" s="13"/>
      <c r="AA214" s="13"/>
    </row>
    <row r="215" spans="1:27" ht="17.399999999999999" x14ac:dyDescent="0.35">
      <c r="A215" s="13"/>
      <c r="B215" s="13"/>
      <c r="C215" s="13"/>
      <c r="D215" s="13"/>
      <c r="E215" s="13"/>
      <c r="F215" s="13"/>
      <c r="G215" s="13"/>
      <c r="H215" s="13"/>
      <c r="I215" s="13"/>
      <c r="J215" s="13"/>
      <c r="K215" s="13"/>
      <c r="L215" s="13"/>
      <c r="M215" s="13"/>
      <c r="N215" s="13"/>
      <c r="O215" s="13"/>
      <c r="P215" s="13"/>
      <c r="Q215" s="13"/>
      <c r="R215" s="13"/>
      <c r="S215" s="13"/>
      <c r="T215" s="13"/>
      <c r="U215" s="13"/>
      <c r="V215" s="13"/>
      <c r="W215" s="13"/>
      <c r="X215" s="13"/>
      <c r="Y215" s="13"/>
      <c r="Z215" s="13"/>
      <c r="AA215" s="13"/>
    </row>
    <row r="216" spans="1:27" ht="17.399999999999999" x14ac:dyDescent="0.35">
      <c r="A216" s="13"/>
      <c r="B216" s="13"/>
      <c r="C216" s="13"/>
      <c r="D216" s="13"/>
      <c r="E216" s="13"/>
      <c r="F216" s="13"/>
      <c r="G216" s="13"/>
      <c r="H216" s="13"/>
      <c r="I216" s="13"/>
      <c r="J216" s="13"/>
      <c r="K216" s="13"/>
      <c r="L216" s="13"/>
      <c r="M216" s="13"/>
      <c r="N216" s="13"/>
      <c r="O216" s="13"/>
      <c r="P216" s="13"/>
      <c r="Q216" s="13"/>
      <c r="R216" s="13"/>
      <c r="S216" s="13"/>
      <c r="T216" s="13"/>
      <c r="U216" s="13"/>
      <c r="V216" s="13"/>
      <c r="W216" s="13"/>
      <c r="X216" s="13"/>
      <c r="Y216" s="13"/>
      <c r="Z216" s="13"/>
      <c r="AA216" s="13"/>
    </row>
    <row r="217" spans="1:27" ht="17.399999999999999" x14ac:dyDescent="0.35">
      <c r="A217" s="13"/>
      <c r="B217" s="13"/>
      <c r="C217" s="13"/>
      <c r="D217" s="13"/>
      <c r="E217" s="13"/>
      <c r="F217" s="13"/>
      <c r="G217" s="13"/>
      <c r="H217" s="13"/>
      <c r="I217" s="13"/>
      <c r="J217" s="13"/>
      <c r="K217" s="13"/>
      <c r="L217" s="13"/>
      <c r="M217" s="13"/>
      <c r="N217" s="13"/>
      <c r="O217" s="13"/>
      <c r="P217" s="13"/>
      <c r="Q217" s="13"/>
      <c r="R217" s="13"/>
      <c r="S217" s="13"/>
      <c r="T217" s="13"/>
      <c r="U217" s="13"/>
      <c r="V217" s="13"/>
      <c r="W217" s="13"/>
      <c r="X217" s="13"/>
      <c r="Y217" s="13"/>
      <c r="Z217" s="13"/>
      <c r="AA217" s="13"/>
    </row>
    <row r="218" spans="1:27" ht="17.399999999999999" x14ac:dyDescent="0.35">
      <c r="A218" s="13"/>
      <c r="B218" s="13"/>
      <c r="C218" s="13"/>
      <c r="D218" s="13"/>
      <c r="E218" s="13"/>
      <c r="F218" s="13"/>
      <c r="G218" s="13"/>
      <c r="H218" s="13"/>
      <c r="I218" s="13"/>
      <c r="J218" s="13"/>
      <c r="K218" s="13"/>
      <c r="L218" s="13"/>
      <c r="M218" s="13"/>
      <c r="N218" s="13"/>
      <c r="O218" s="13"/>
      <c r="P218" s="13"/>
      <c r="Q218" s="13"/>
      <c r="R218" s="13"/>
      <c r="S218" s="13"/>
      <c r="T218" s="13"/>
      <c r="U218" s="13"/>
      <c r="V218" s="13"/>
      <c r="W218" s="13"/>
      <c r="X218" s="13"/>
      <c r="Y218" s="13"/>
      <c r="Z218" s="13"/>
      <c r="AA218" s="13"/>
    </row>
    <row r="219" spans="1:27" ht="17.399999999999999" x14ac:dyDescent="0.35">
      <c r="A219" s="13"/>
      <c r="B219" s="13"/>
      <c r="C219" s="13"/>
      <c r="D219" s="13"/>
      <c r="E219" s="13"/>
      <c r="F219" s="13"/>
      <c r="G219" s="13"/>
      <c r="H219" s="13"/>
      <c r="I219" s="13"/>
      <c r="J219" s="13"/>
      <c r="K219" s="13"/>
      <c r="L219" s="13"/>
      <c r="M219" s="13"/>
      <c r="N219" s="13"/>
      <c r="O219" s="13"/>
      <c r="P219" s="13"/>
      <c r="Q219" s="13"/>
      <c r="R219" s="13"/>
      <c r="S219" s="13"/>
      <c r="T219" s="13"/>
      <c r="U219" s="13"/>
      <c r="V219" s="13"/>
      <c r="W219" s="13"/>
      <c r="X219" s="13"/>
      <c r="Y219" s="13"/>
      <c r="Z219" s="13"/>
      <c r="AA219" s="13"/>
    </row>
    <row r="220" spans="1:27" ht="17.399999999999999" x14ac:dyDescent="0.35">
      <c r="A220" s="13"/>
      <c r="B220" s="13"/>
      <c r="C220" s="13"/>
      <c r="D220" s="13"/>
      <c r="E220" s="13"/>
      <c r="F220" s="13"/>
      <c r="G220" s="13"/>
      <c r="H220" s="13"/>
      <c r="I220" s="13"/>
      <c r="J220" s="13"/>
      <c r="K220" s="13"/>
      <c r="L220" s="13"/>
      <c r="M220" s="13"/>
      <c r="N220" s="13"/>
      <c r="O220" s="13"/>
      <c r="P220" s="13"/>
      <c r="Q220" s="13"/>
      <c r="R220" s="13"/>
      <c r="S220" s="13"/>
      <c r="T220" s="13"/>
      <c r="U220" s="13"/>
      <c r="V220" s="13"/>
      <c r="W220" s="13"/>
      <c r="X220" s="13"/>
      <c r="Y220" s="13"/>
      <c r="Z220" s="13"/>
      <c r="AA220" s="13"/>
    </row>
    <row r="221" spans="1:27" ht="17.399999999999999" x14ac:dyDescent="0.35">
      <c r="A221" s="13"/>
      <c r="B221" s="13"/>
      <c r="C221" s="13"/>
      <c r="D221" s="13"/>
      <c r="E221" s="13"/>
      <c r="F221" s="13"/>
      <c r="G221" s="13"/>
      <c r="H221" s="13"/>
      <c r="I221" s="13"/>
      <c r="J221" s="13"/>
      <c r="K221" s="13"/>
      <c r="L221" s="13"/>
      <c r="M221" s="13"/>
      <c r="N221" s="13"/>
      <c r="O221" s="13"/>
      <c r="P221" s="13"/>
      <c r="Q221" s="13"/>
      <c r="R221" s="13"/>
      <c r="S221" s="13"/>
      <c r="T221" s="13"/>
      <c r="U221" s="13"/>
      <c r="V221" s="13"/>
      <c r="W221" s="13"/>
      <c r="X221" s="13"/>
      <c r="Y221" s="13"/>
      <c r="Z221" s="13"/>
      <c r="AA221" s="13"/>
    </row>
    <row r="222" spans="1:27" ht="17.399999999999999" x14ac:dyDescent="0.35">
      <c r="A222" s="13"/>
      <c r="B222" s="13"/>
      <c r="C222" s="13"/>
      <c r="D222" s="13"/>
      <c r="E222" s="13"/>
      <c r="F222" s="13"/>
      <c r="G222" s="13"/>
      <c r="H222" s="13"/>
      <c r="I222" s="13"/>
      <c r="J222" s="13"/>
      <c r="K222" s="13"/>
      <c r="L222" s="13"/>
      <c r="M222" s="13"/>
      <c r="N222" s="13"/>
      <c r="O222" s="13"/>
      <c r="P222" s="13"/>
      <c r="Q222" s="13"/>
      <c r="R222" s="13"/>
      <c r="S222" s="13"/>
      <c r="T222" s="13"/>
      <c r="U222" s="13"/>
      <c r="V222" s="13"/>
      <c r="W222" s="13"/>
      <c r="X222" s="13"/>
      <c r="Y222" s="13"/>
      <c r="Z222" s="13"/>
      <c r="AA222" s="13"/>
    </row>
    <row r="223" spans="1:27" ht="17.399999999999999" x14ac:dyDescent="0.35">
      <c r="A223" s="13"/>
      <c r="B223" s="13"/>
      <c r="C223" s="13"/>
      <c r="D223" s="13"/>
      <c r="E223" s="13"/>
      <c r="F223" s="13"/>
      <c r="G223" s="13"/>
      <c r="H223" s="13"/>
      <c r="I223" s="13"/>
      <c r="J223" s="13"/>
      <c r="K223" s="13"/>
      <c r="L223" s="13"/>
      <c r="M223" s="13"/>
      <c r="N223" s="13"/>
      <c r="O223" s="13"/>
      <c r="P223" s="13"/>
      <c r="Q223" s="13"/>
      <c r="R223" s="13"/>
      <c r="S223" s="13"/>
      <c r="T223" s="13"/>
      <c r="U223" s="13"/>
      <c r="V223" s="13"/>
      <c r="W223" s="13"/>
      <c r="X223" s="13"/>
      <c r="Y223" s="13"/>
      <c r="Z223" s="13"/>
      <c r="AA223" s="13"/>
    </row>
    <row r="224" spans="1:27" ht="17.399999999999999" x14ac:dyDescent="0.35">
      <c r="A224" s="13"/>
      <c r="B224" s="13"/>
      <c r="C224" s="13"/>
      <c r="D224" s="13"/>
      <c r="E224" s="13"/>
      <c r="F224" s="13"/>
      <c r="G224" s="13"/>
      <c r="H224" s="13"/>
      <c r="I224" s="13"/>
      <c r="J224" s="13"/>
      <c r="K224" s="13"/>
      <c r="L224" s="13"/>
      <c r="M224" s="13"/>
      <c r="N224" s="13"/>
      <c r="O224" s="13"/>
      <c r="P224" s="13"/>
      <c r="Q224" s="13"/>
      <c r="R224" s="13"/>
      <c r="S224" s="13"/>
      <c r="T224" s="13"/>
      <c r="U224" s="13"/>
      <c r="V224" s="13"/>
      <c r="W224" s="13"/>
      <c r="X224" s="13"/>
      <c r="Y224" s="13"/>
      <c r="Z224" s="13"/>
      <c r="AA224" s="13"/>
    </row>
    <row r="225" spans="1:27" ht="17.399999999999999" x14ac:dyDescent="0.35">
      <c r="A225" s="13"/>
      <c r="B225" s="13"/>
      <c r="C225" s="13"/>
      <c r="D225" s="13"/>
      <c r="E225" s="13"/>
      <c r="F225" s="13"/>
      <c r="G225" s="13"/>
      <c r="H225" s="13"/>
      <c r="I225" s="13"/>
      <c r="J225" s="13"/>
      <c r="K225" s="13"/>
      <c r="L225" s="13"/>
      <c r="M225" s="13"/>
      <c r="N225" s="13"/>
      <c r="O225" s="13"/>
      <c r="P225" s="13"/>
      <c r="Q225" s="13"/>
      <c r="R225" s="13"/>
      <c r="S225" s="13"/>
      <c r="T225" s="13"/>
      <c r="U225" s="13"/>
      <c r="V225" s="13"/>
      <c r="W225" s="13"/>
      <c r="X225" s="13"/>
      <c r="Y225" s="13"/>
      <c r="Z225" s="13"/>
      <c r="AA225" s="13"/>
    </row>
    <row r="226" spans="1:27" ht="17.399999999999999" x14ac:dyDescent="0.35">
      <c r="A226" s="13"/>
      <c r="B226" s="13"/>
      <c r="C226" s="13"/>
      <c r="D226" s="13"/>
      <c r="E226" s="13"/>
      <c r="F226" s="13"/>
      <c r="G226" s="13"/>
      <c r="H226" s="13"/>
      <c r="I226" s="13"/>
      <c r="J226" s="13"/>
      <c r="K226" s="13"/>
      <c r="L226" s="13"/>
      <c r="M226" s="13"/>
      <c r="N226" s="13"/>
      <c r="O226" s="13"/>
      <c r="P226" s="13"/>
      <c r="Q226" s="13"/>
      <c r="R226" s="13"/>
      <c r="S226" s="13"/>
      <c r="T226" s="13"/>
      <c r="U226" s="13"/>
      <c r="V226" s="13"/>
      <c r="W226" s="13"/>
      <c r="X226" s="13"/>
      <c r="Y226" s="13"/>
      <c r="Z226" s="13"/>
      <c r="AA226" s="13"/>
    </row>
    <row r="227" spans="1:27" ht="17.399999999999999" x14ac:dyDescent="0.35">
      <c r="A227" s="13"/>
      <c r="B227" s="13"/>
      <c r="C227" s="13"/>
      <c r="D227" s="13"/>
      <c r="E227" s="13"/>
      <c r="F227" s="13"/>
      <c r="G227" s="13"/>
      <c r="H227" s="13"/>
      <c r="I227" s="13"/>
      <c r="J227" s="13"/>
      <c r="K227" s="13"/>
      <c r="L227" s="13"/>
      <c r="M227" s="13"/>
      <c r="N227" s="13"/>
      <c r="O227" s="13"/>
      <c r="P227" s="13"/>
      <c r="Q227" s="13"/>
      <c r="R227" s="13"/>
      <c r="S227" s="13"/>
      <c r="T227" s="13"/>
      <c r="U227" s="13"/>
      <c r="V227" s="13"/>
      <c r="W227" s="13"/>
      <c r="X227" s="13"/>
      <c r="Y227" s="13"/>
      <c r="Z227" s="13"/>
      <c r="AA227" s="13"/>
    </row>
    <row r="228" spans="1:27" ht="17.399999999999999" x14ac:dyDescent="0.35">
      <c r="A228" s="13"/>
      <c r="B228" s="13"/>
      <c r="C228" s="13"/>
      <c r="D228" s="13"/>
      <c r="E228" s="13"/>
      <c r="F228" s="13"/>
      <c r="G228" s="13"/>
      <c r="H228" s="13"/>
      <c r="I228" s="13"/>
      <c r="J228" s="13"/>
      <c r="K228" s="13"/>
      <c r="L228" s="13"/>
      <c r="M228" s="13"/>
      <c r="N228" s="13"/>
      <c r="O228" s="13"/>
      <c r="P228" s="13"/>
      <c r="Q228" s="13"/>
      <c r="R228" s="13"/>
      <c r="S228" s="13"/>
      <c r="T228" s="13"/>
      <c r="U228" s="13"/>
      <c r="V228" s="13"/>
      <c r="W228" s="13"/>
      <c r="X228" s="13"/>
      <c r="Y228" s="13"/>
      <c r="Z228" s="13"/>
      <c r="AA228" s="13"/>
    </row>
    <row r="229" spans="1:27" ht="17.399999999999999" x14ac:dyDescent="0.35">
      <c r="A229" s="13"/>
      <c r="B229" s="13"/>
      <c r="C229" s="13"/>
      <c r="D229" s="13"/>
      <c r="E229" s="13"/>
      <c r="F229" s="13"/>
      <c r="G229" s="13"/>
      <c r="H229" s="13"/>
      <c r="I229" s="13"/>
      <c r="J229" s="13"/>
      <c r="K229" s="13"/>
      <c r="L229" s="13"/>
      <c r="M229" s="13"/>
      <c r="N229" s="13"/>
      <c r="O229" s="13"/>
      <c r="P229" s="13"/>
      <c r="Q229" s="13"/>
      <c r="R229" s="13"/>
      <c r="S229" s="13"/>
      <c r="T229" s="13"/>
      <c r="U229" s="13"/>
      <c r="V229" s="13"/>
      <c r="W229" s="13"/>
      <c r="X229" s="13"/>
      <c r="Y229" s="13"/>
      <c r="Z229" s="13"/>
      <c r="AA229" s="13"/>
    </row>
    <row r="230" spans="1:27" ht="17.399999999999999" x14ac:dyDescent="0.35">
      <c r="A230" s="13"/>
      <c r="B230" s="13"/>
      <c r="C230" s="13"/>
      <c r="D230" s="13"/>
      <c r="E230" s="13"/>
      <c r="F230" s="13"/>
      <c r="G230" s="13"/>
      <c r="H230" s="13"/>
      <c r="I230" s="13"/>
      <c r="J230" s="13"/>
      <c r="K230" s="13"/>
      <c r="L230" s="13"/>
      <c r="M230" s="13"/>
      <c r="N230" s="13"/>
      <c r="O230" s="13"/>
      <c r="P230" s="13"/>
      <c r="Q230" s="13"/>
      <c r="R230" s="13"/>
      <c r="S230" s="13"/>
      <c r="T230" s="13"/>
      <c r="U230" s="13"/>
      <c r="V230" s="13"/>
      <c r="W230" s="13"/>
      <c r="X230" s="13"/>
      <c r="Y230" s="13"/>
      <c r="Z230" s="13"/>
      <c r="AA230" s="13"/>
    </row>
    <row r="231" spans="1:27" ht="17.399999999999999" x14ac:dyDescent="0.35">
      <c r="A231" s="13"/>
      <c r="B231" s="13"/>
      <c r="C231" s="13"/>
      <c r="D231" s="13"/>
      <c r="E231" s="13"/>
      <c r="F231" s="13"/>
      <c r="G231" s="13"/>
      <c r="H231" s="13"/>
      <c r="I231" s="13"/>
      <c r="J231" s="13"/>
      <c r="K231" s="13"/>
      <c r="L231" s="13"/>
      <c r="M231" s="13"/>
      <c r="N231" s="13"/>
      <c r="O231" s="13"/>
      <c r="P231" s="13"/>
      <c r="Q231" s="13"/>
      <c r="R231" s="13"/>
      <c r="S231" s="13"/>
      <c r="T231" s="13"/>
      <c r="U231" s="13"/>
      <c r="V231" s="13"/>
      <c r="W231" s="13"/>
      <c r="X231" s="13"/>
      <c r="Y231" s="13"/>
      <c r="Z231" s="13"/>
      <c r="AA231" s="13"/>
    </row>
    <row r="232" spans="1:27" ht="17.399999999999999" x14ac:dyDescent="0.35">
      <c r="A232" s="13"/>
      <c r="B232" s="13"/>
      <c r="C232" s="13"/>
      <c r="D232" s="13"/>
      <c r="E232" s="13"/>
      <c r="F232" s="13"/>
      <c r="G232" s="13"/>
      <c r="H232" s="13"/>
      <c r="I232" s="13"/>
      <c r="J232" s="13"/>
      <c r="K232" s="13"/>
      <c r="L232" s="13"/>
      <c r="M232" s="13"/>
      <c r="N232" s="13"/>
      <c r="O232" s="13"/>
      <c r="P232" s="13"/>
      <c r="Q232" s="13"/>
      <c r="R232" s="13"/>
      <c r="S232" s="13"/>
      <c r="T232" s="13"/>
      <c r="U232" s="13"/>
      <c r="V232" s="13"/>
      <c r="W232" s="13"/>
      <c r="X232" s="13"/>
      <c r="Y232" s="13"/>
      <c r="Z232" s="13"/>
      <c r="AA232" s="13"/>
    </row>
    <row r="233" spans="1:27" ht="17.399999999999999" x14ac:dyDescent="0.35">
      <c r="A233" s="13"/>
      <c r="B233" s="13"/>
      <c r="C233" s="13"/>
      <c r="D233" s="13"/>
      <c r="E233" s="13"/>
      <c r="F233" s="13"/>
      <c r="G233" s="13"/>
      <c r="H233" s="13"/>
      <c r="I233" s="13"/>
      <c r="J233" s="13"/>
      <c r="K233" s="13"/>
      <c r="L233" s="13"/>
      <c r="M233" s="13"/>
      <c r="N233" s="13"/>
      <c r="O233" s="13"/>
      <c r="P233" s="13"/>
      <c r="Q233" s="13"/>
      <c r="R233" s="13"/>
      <c r="S233" s="13"/>
      <c r="T233" s="13"/>
      <c r="U233" s="13"/>
      <c r="V233" s="13"/>
      <c r="W233" s="13"/>
      <c r="X233" s="13"/>
      <c r="Y233" s="13"/>
      <c r="Z233" s="13"/>
      <c r="AA233" s="13"/>
    </row>
    <row r="234" spans="1:27" ht="17.399999999999999" x14ac:dyDescent="0.35">
      <c r="A234" s="13"/>
      <c r="B234" s="13"/>
      <c r="C234" s="13"/>
      <c r="D234" s="13"/>
      <c r="E234" s="13"/>
      <c r="F234" s="13"/>
      <c r="G234" s="13"/>
      <c r="H234" s="13"/>
      <c r="I234" s="13"/>
      <c r="J234" s="13"/>
      <c r="K234" s="13"/>
      <c r="L234" s="13"/>
      <c r="M234" s="13"/>
      <c r="N234" s="13"/>
      <c r="O234" s="13"/>
      <c r="P234" s="13"/>
      <c r="Q234" s="13"/>
      <c r="R234" s="13"/>
      <c r="S234" s="13"/>
      <c r="T234" s="13"/>
      <c r="U234" s="13"/>
      <c r="V234" s="13"/>
      <c r="W234" s="13"/>
      <c r="X234" s="13"/>
      <c r="Y234" s="13"/>
      <c r="Z234" s="13"/>
      <c r="AA234" s="13"/>
    </row>
    <row r="235" spans="1:27" ht="17.399999999999999" x14ac:dyDescent="0.35">
      <c r="A235" s="13"/>
      <c r="B235" s="13"/>
      <c r="C235" s="13"/>
      <c r="D235" s="13"/>
      <c r="E235" s="13"/>
      <c r="F235" s="13"/>
      <c r="G235" s="13"/>
      <c r="H235" s="13"/>
      <c r="I235" s="13"/>
      <c r="J235" s="13"/>
      <c r="K235" s="13"/>
      <c r="L235" s="13"/>
      <c r="M235" s="13"/>
      <c r="N235" s="13"/>
      <c r="O235" s="13"/>
      <c r="P235" s="13"/>
      <c r="Q235" s="13"/>
      <c r="R235" s="13"/>
      <c r="S235" s="13"/>
      <c r="T235" s="13"/>
      <c r="U235" s="13"/>
      <c r="V235" s="13"/>
      <c r="W235" s="13"/>
      <c r="X235" s="13"/>
      <c r="Y235" s="13"/>
      <c r="Z235" s="13"/>
      <c r="AA235" s="13"/>
    </row>
    <row r="236" spans="1:27" ht="17.399999999999999" x14ac:dyDescent="0.35">
      <c r="A236" s="13"/>
      <c r="B236" s="13"/>
      <c r="C236" s="13"/>
      <c r="D236" s="13"/>
      <c r="E236" s="13"/>
      <c r="F236" s="13"/>
      <c r="G236" s="13"/>
      <c r="H236" s="13"/>
      <c r="I236" s="13"/>
      <c r="J236" s="13"/>
      <c r="K236" s="13"/>
      <c r="L236" s="13"/>
      <c r="M236" s="13"/>
      <c r="N236" s="13"/>
      <c r="O236" s="13"/>
      <c r="P236" s="13"/>
      <c r="Q236" s="13"/>
      <c r="R236" s="13"/>
      <c r="S236" s="13"/>
      <c r="T236" s="13"/>
      <c r="U236" s="13"/>
      <c r="V236" s="13"/>
      <c r="W236" s="13"/>
      <c r="X236" s="13"/>
      <c r="Y236" s="13"/>
      <c r="Z236" s="13"/>
      <c r="AA236" s="13"/>
    </row>
    <row r="237" spans="1:27" ht="17.399999999999999" x14ac:dyDescent="0.35">
      <c r="A237" s="13"/>
      <c r="B237" s="13"/>
      <c r="C237" s="13"/>
      <c r="D237" s="13"/>
      <c r="E237" s="13"/>
      <c r="F237" s="13"/>
      <c r="G237" s="13"/>
      <c r="H237" s="13"/>
      <c r="I237" s="13"/>
      <c r="J237" s="13"/>
      <c r="K237" s="13"/>
      <c r="L237" s="13"/>
      <c r="M237" s="13"/>
      <c r="N237" s="13"/>
      <c r="O237" s="13"/>
      <c r="P237" s="13"/>
      <c r="Q237" s="13"/>
      <c r="R237" s="13"/>
      <c r="S237" s="13"/>
      <c r="T237" s="13"/>
      <c r="U237" s="13"/>
      <c r="V237" s="13"/>
      <c r="W237" s="13"/>
      <c r="X237" s="13"/>
      <c r="Y237" s="13"/>
      <c r="Z237" s="13"/>
      <c r="AA237" s="13"/>
    </row>
    <row r="238" spans="1:27" ht="17.399999999999999" x14ac:dyDescent="0.35">
      <c r="A238" s="13"/>
      <c r="B238" s="13"/>
      <c r="C238" s="13"/>
      <c r="D238" s="13"/>
      <c r="E238" s="13"/>
      <c r="F238" s="13"/>
      <c r="G238" s="13"/>
      <c r="H238" s="13"/>
      <c r="I238" s="13"/>
      <c r="J238" s="13"/>
      <c r="K238" s="13"/>
      <c r="L238" s="13"/>
      <c r="M238" s="13"/>
      <c r="N238" s="13"/>
      <c r="O238" s="13"/>
      <c r="P238" s="13"/>
      <c r="Q238" s="13"/>
      <c r="R238" s="13"/>
      <c r="S238" s="13"/>
      <c r="T238" s="13"/>
      <c r="U238" s="13"/>
      <c r="V238" s="13"/>
      <c r="W238" s="13"/>
      <c r="X238" s="13"/>
      <c r="Y238" s="13"/>
      <c r="Z238" s="13"/>
      <c r="AA238" s="13"/>
    </row>
    <row r="239" spans="1:27" ht="17.399999999999999" x14ac:dyDescent="0.35">
      <c r="A239" s="13"/>
      <c r="B239" s="13"/>
      <c r="C239" s="13"/>
      <c r="D239" s="13"/>
      <c r="E239" s="13"/>
      <c r="F239" s="13"/>
      <c r="G239" s="13"/>
      <c r="H239" s="13"/>
      <c r="I239" s="13"/>
      <c r="J239" s="13"/>
      <c r="K239" s="13"/>
      <c r="L239" s="13"/>
      <c r="M239" s="13"/>
      <c r="N239" s="13"/>
      <c r="O239" s="13"/>
      <c r="P239" s="13"/>
      <c r="Q239" s="13"/>
      <c r="R239" s="13"/>
      <c r="S239" s="13"/>
      <c r="T239" s="13"/>
      <c r="U239" s="13"/>
      <c r="V239" s="13"/>
      <c r="W239" s="13"/>
      <c r="X239" s="13"/>
      <c r="Y239" s="13"/>
      <c r="Z239" s="13"/>
      <c r="AA239" s="13"/>
    </row>
    <row r="240" spans="1:27" ht="17.399999999999999" x14ac:dyDescent="0.35">
      <c r="A240" s="13"/>
      <c r="B240" s="13"/>
      <c r="C240" s="13"/>
      <c r="D240" s="13"/>
      <c r="E240" s="13"/>
      <c r="F240" s="13"/>
      <c r="G240" s="13"/>
      <c r="H240" s="13"/>
      <c r="I240" s="13"/>
      <c r="J240" s="13"/>
      <c r="K240" s="13"/>
      <c r="L240" s="13"/>
      <c r="M240" s="13"/>
      <c r="N240" s="13"/>
      <c r="O240" s="13"/>
      <c r="P240" s="13"/>
      <c r="Q240" s="13"/>
      <c r="R240" s="13"/>
      <c r="S240" s="13"/>
      <c r="T240" s="13"/>
      <c r="U240" s="13"/>
      <c r="V240" s="13"/>
      <c r="W240" s="13"/>
      <c r="X240" s="13"/>
      <c r="Y240" s="13"/>
      <c r="Z240" s="13"/>
      <c r="AA240" s="13"/>
    </row>
    <row r="241" spans="1:27" ht="17.399999999999999" x14ac:dyDescent="0.35">
      <c r="A241" s="13"/>
      <c r="B241" s="13"/>
      <c r="C241" s="13"/>
      <c r="D241" s="13"/>
      <c r="E241" s="13"/>
      <c r="F241" s="13"/>
      <c r="G241" s="13"/>
      <c r="H241" s="13"/>
      <c r="I241" s="13"/>
      <c r="J241" s="13"/>
      <c r="K241" s="13"/>
      <c r="L241" s="13"/>
      <c r="M241" s="13"/>
      <c r="N241" s="13"/>
      <c r="O241" s="13"/>
      <c r="P241" s="13"/>
      <c r="Q241" s="13"/>
      <c r="R241" s="13"/>
      <c r="S241" s="13"/>
      <c r="T241" s="13"/>
      <c r="U241" s="13"/>
      <c r="V241" s="13"/>
      <c r="W241" s="13"/>
      <c r="X241" s="13"/>
      <c r="Y241" s="13"/>
      <c r="Z241" s="13"/>
      <c r="AA241" s="13"/>
    </row>
    <row r="242" spans="1:27" ht="17.399999999999999" x14ac:dyDescent="0.35">
      <c r="A242" s="13"/>
      <c r="B242" s="13"/>
      <c r="C242" s="13"/>
      <c r="D242" s="13"/>
      <c r="E242" s="13"/>
      <c r="F242" s="13"/>
      <c r="G242" s="13"/>
      <c r="H242" s="13"/>
      <c r="I242" s="13"/>
      <c r="J242" s="13"/>
      <c r="K242" s="13"/>
      <c r="L242" s="13"/>
      <c r="M242" s="13"/>
      <c r="N242" s="13"/>
      <c r="O242" s="13"/>
      <c r="P242" s="13"/>
      <c r="Q242" s="13"/>
      <c r="R242" s="13"/>
      <c r="S242" s="13"/>
      <c r="T242" s="13"/>
      <c r="U242" s="13"/>
      <c r="V242" s="13"/>
      <c r="W242" s="13"/>
      <c r="X242" s="13"/>
      <c r="Y242" s="13"/>
      <c r="Z242" s="13"/>
      <c r="AA242" s="13"/>
    </row>
    <row r="243" spans="1:27" ht="17.399999999999999" x14ac:dyDescent="0.35">
      <c r="A243" s="13"/>
      <c r="B243" s="13"/>
      <c r="C243" s="13"/>
      <c r="D243" s="13"/>
      <c r="E243" s="13"/>
      <c r="F243" s="13"/>
      <c r="G243" s="13"/>
      <c r="H243" s="13"/>
      <c r="I243" s="13"/>
      <c r="J243" s="13"/>
      <c r="K243" s="13"/>
      <c r="L243" s="13"/>
      <c r="M243" s="13"/>
      <c r="N243" s="13"/>
      <c r="O243" s="13"/>
      <c r="P243" s="13"/>
      <c r="Q243" s="13"/>
      <c r="R243" s="13"/>
      <c r="S243" s="13"/>
      <c r="T243" s="13"/>
      <c r="U243" s="13"/>
      <c r="V243" s="13"/>
      <c r="W243" s="13"/>
      <c r="X243" s="13"/>
      <c r="Y243" s="13"/>
      <c r="Z243" s="13"/>
      <c r="AA243" s="13"/>
    </row>
    <row r="244" spans="1:27" ht="17.399999999999999" x14ac:dyDescent="0.35">
      <c r="A244" s="13"/>
      <c r="B244" s="13"/>
      <c r="C244" s="13"/>
      <c r="D244" s="13"/>
      <c r="E244" s="13"/>
      <c r="F244" s="13"/>
      <c r="G244" s="13"/>
      <c r="H244" s="13"/>
      <c r="I244" s="13"/>
      <c r="J244" s="13"/>
      <c r="K244" s="13"/>
      <c r="L244" s="13"/>
      <c r="M244" s="13"/>
      <c r="N244" s="13"/>
      <c r="O244" s="13"/>
      <c r="P244" s="13"/>
      <c r="Q244" s="13"/>
      <c r="R244" s="13"/>
      <c r="S244" s="13"/>
      <c r="T244" s="13"/>
      <c r="U244" s="13"/>
      <c r="V244" s="13"/>
      <c r="W244" s="13"/>
      <c r="X244" s="13"/>
      <c r="Y244" s="13"/>
      <c r="Z244" s="13"/>
      <c r="AA244" s="13"/>
    </row>
    <row r="245" spans="1:27" ht="17.399999999999999" x14ac:dyDescent="0.35">
      <c r="A245" s="13"/>
      <c r="B245" s="13"/>
      <c r="C245" s="13"/>
      <c r="D245" s="13"/>
      <c r="E245" s="13"/>
      <c r="F245" s="13"/>
      <c r="G245" s="13"/>
      <c r="H245" s="13"/>
      <c r="I245" s="13"/>
      <c r="J245" s="13"/>
      <c r="K245" s="13"/>
      <c r="L245" s="13"/>
      <c r="M245" s="13"/>
      <c r="N245" s="13"/>
      <c r="O245" s="13"/>
      <c r="P245" s="13"/>
      <c r="Q245" s="13"/>
      <c r="R245" s="13"/>
      <c r="S245" s="13"/>
      <c r="T245" s="13"/>
      <c r="U245" s="13"/>
      <c r="V245" s="13"/>
      <c r="W245" s="13"/>
      <c r="X245" s="13"/>
      <c r="Y245" s="13"/>
      <c r="Z245" s="13"/>
      <c r="AA245" s="13"/>
    </row>
    <row r="246" spans="1:27" ht="17.399999999999999" x14ac:dyDescent="0.35">
      <c r="A246" s="13"/>
      <c r="B246" s="13"/>
      <c r="C246" s="13"/>
      <c r="D246" s="13"/>
      <c r="E246" s="13"/>
      <c r="F246" s="13"/>
      <c r="G246" s="13"/>
      <c r="H246" s="13"/>
      <c r="I246" s="13"/>
      <c r="J246" s="13"/>
      <c r="K246" s="13"/>
      <c r="L246" s="13"/>
      <c r="M246" s="13"/>
      <c r="N246" s="13"/>
      <c r="O246" s="13"/>
      <c r="P246" s="13"/>
      <c r="Q246" s="13"/>
      <c r="R246" s="13"/>
      <c r="S246" s="13"/>
      <c r="T246" s="13"/>
      <c r="U246" s="13"/>
      <c r="V246" s="13"/>
      <c r="W246" s="13"/>
      <c r="X246" s="13"/>
      <c r="Y246" s="13"/>
      <c r="Z246" s="13"/>
      <c r="AA246" s="13"/>
    </row>
    <row r="247" spans="1:27" ht="17.399999999999999" x14ac:dyDescent="0.35">
      <c r="A247" s="13"/>
      <c r="B247" s="13"/>
      <c r="C247" s="13"/>
      <c r="D247" s="13"/>
      <c r="E247" s="13"/>
      <c r="F247" s="13"/>
      <c r="G247" s="13"/>
      <c r="H247" s="13"/>
      <c r="I247" s="13"/>
      <c r="J247" s="13"/>
      <c r="K247" s="13"/>
      <c r="L247" s="13"/>
      <c r="M247" s="13"/>
      <c r="N247" s="13"/>
      <c r="O247" s="13"/>
      <c r="P247" s="13"/>
      <c r="Q247" s="13"/>
      <c r="R247" s="13"/>
      <c r="S247" s="13"/>
      <c r="T247" s="13"/>
      <c r="U247" s="13"/>
      <c r="V247" s="13"/>
      <c r="W247" s="13"/>
      <c r="X247" s="13"/>
      <c r="Y247" s="13"/>
      <c r="Z247" s="13"/>
      <c r="AA247" s="13"/>
    </row>
    <row r="248" spans="1:27" ht="17.399999999999999" x14ac:dyDescent="0.35">
      <c r="A248" s="13"/>
      <c r="B248" s="13"/>
      <c r="C248" s="13"/>
      <c r="D248" s="13"/>
      <c r="E248" s="13"/>
      <c r="F248" s="13"/>
      <c r="G248" s="13"/>
      <c r="H248" s="13"/>
      <c r="I248" s="13"/>
      <c r="J248" s="13"/>
      <c r="K248" s="13"/>
      <c r="L248" s="13"/>
      <c r="M248" s="13"/>
      <c r="N248" s="13"/>
      <c r="O248" s="13"/>
      <c r="P248" s="13"/>
      <c r="Q248" s="13"/>
      <c r="R248" s="13"/>
      <c r="S248" s="13"/>
      <c r="T248" s="13"/>
      <c r="U248" s="13"/>
      <c r="V248" s="13"/>
      <c r="W248" s="13"/>
      <c r="X248" s="13"/>
      <c r="Y248" s="13"/>
      <c r="Z248" s="13"/>
      <c r="AA248" s="13"/>
    </row>
    <row r="249" spans="1:27" ht="17.399999999999999" x14ac:dyDescent="0.35">
      <c r="A249" s="13"/>
      <c r="B249" s="13"/>
      <c r="C249" s="13"/>
      <c r="D249" s="13"/>
      <c r="E249" s="13"/>
      <c r="F249" s="13"/>
      <c r="G249" s="13"/>
      <c r="H249" s="13"/>
      <c r="I249" s="13"/>
      <c r="J249" s="13"/>
      <c r="K249" s="13"/>
      <c r="L249" s="13"/>
      <c r="M249" s="13"/>
      <c r="N249" s="13"/>
      <c r="O249" s="13"/>
      <c r="P249" s="13"/>
      <c r="Q249" s="13"/>
      <c r="R249" s="13"/>
      <c r="S249" s="13"/>
      <c r="T249" s="13"/>
      <c r="U249" s="13"/>
      <c r="V249" s="13"/>
      <c r="W249" s="13"/>
      <c r="X249" s="13"/>
      <c r="Y249" s="13"/>
      <c r="Z249" s="13"/>
      <c r="AA249" s="13"/>
    </row>
    <row r="250" spans="1:27" ht="17.399999999999999" x14ac:dyDescent="0.35">
      <c r="A250" s="13"/>
      <c r="B250" s="13"/>
      <c r="C250" s="13"/>
      <c r="D250" s="13"/>
      <c r="E250" s="13"/>
      <c r="F250" s="13"/>
      <c r="G250" s="13"/>
      <c r="H250" s="13"/>
      <c r="I250" s="13"/>
      <c r="J250" s="13"/>
      <c r="K250" s="13"/>
      <c r="L250" s="13"/>
      <c r="M250" s="13"/>
      <c r="N250" s="13"/>
      <c r="O250" s="13"/>
      <c r="P250" s="13"/>
      <c r="Q250" s="13"/>
      <c r="R250" s="13"/>
      <c r="S250" s="13"/>
      <c r="T250" s="13"/>
      <c r="U250" s="13"/>
      <c r="V250" s="13"/>
      <c r="W250" s="13"/>
      <c r="X250" s="13"/>
      <c r="Y250" s="13"/>
      <c r="Z250" s="13"/>
      <c r="AA250" s="13"/>
    </row>
    <row r="251" spans="1:27" ht="17.399999999999999" x14ac:dyDescent="0.35">
      <c r="A251" s="13"/>
      <c r="B251" s="13"/>
      <c r="C251" s="13"/>
      <c r="D251" s="13"/>
      <c r="E251" s="13"/>
      <c r="F251" s="13"/>
      <c r="G251" s="13"/>
      <c r="H251" s="13"/>
      <c r="I251" s="13"/>
      <c r="J251" s="13"/>
      <c r="K251" s="13"/>
      <c r="L251" s="13"/>
      <c r="M251" s="13"/>
      <c r="N251" s="13"/>
      <c r="O251" s="13"/>
      <c r="P251" s="13"/>
      <c r="Q251" s="13"/>
      <c r="R251" s="13"/>
      <c r="S251" s="13"/>
      <c r="T251" s="13"/>
      <c r="U251" s="13"/>
      <c r="V251" s="13"/>
      <c r="W251" s="13"/>
      <c r="X251" s="13"/>
      <c r="Y251" s="13"/>
      <c r="Z251" s="13"/>
      <c r="AA251" s="13"/>
    </row>
    <row r="252" spans="1:27" ht="17.399999999999999" x14ac:dyDescent="0.35">
      <c r="A252" s="13"/>
      <c r="B252" s="13"/>
      <c r="C252" s="13"/>
      <c r="D252" s="13"/>
      <c r="E252" s="13"/>
      <c r="F252" s="13"/>
      <c r="G252" s="13"/>
      <c r="H252" s="13"/>
      <c r="I252" s="13"/>
      <c r="J252" s="13"/>
      <c r="K252" s="13"/>
      <c r="L252" s="13"/>
      <c r="M252" s="13"/>
      <c r="N252" s="13"/>
      <c r="O252" s="13"/>
      <c r="P252" s="13"/>
      <c r="Q252" s="13"/>
      <c r="R252" s="13"/>
      <c r="S252" s="13"/>
      <c r="T252" s="13"/>
      <c r="U252" s="13"/>
      <c r="V252" s="13"/>
      <c r="W252" s="13"/>
      <c r="X252" s="13"/>
      <c r="Y252" s="13"/>
      <c r="Z252" s="13"/>
      <c r="AA252" s="13"/>
    </row>
    <row r="253" spans="1:27" ht="17.399999999999999" x14ac:dyDescent="0.35">
      <c r="A253" s="13"/>
      <c r="B253" s="13"/>
      <c r="C253" s="13"/>
      <c r="D253" s="13"/>
      <c r="E253" s="13"/>
      <c r="F253" s="13"/>
      <c r="G253" s="13"/>
      <c r="H253" s="13"/>
      <c r="I253" s="13"/>
      <c r="J253" s="13"/>
      <c r="K253" s="13"/>
      <c r="L253" s="13"/>
      <c r="M253" s="13"/>
      <c r="N253" s="13"/>
      <c r="O253" s="13"/>
      <c r="P253" s="13"/>
      <c r="Q253" s="13"/>
      <c r="R253" s="13"/>
      <c r="S253" s="13"/>
      <c r="T253" s="13"/>
      <c r="U253" s="13"/>
      <c r="V253" s="13"/>
      <c r="W253" s="13"/>
      <c r="X253" s="13"/>
      <c r="Y253" s="13"/>
      <c r="Z253" s="13"/>
      <c r="AA253" s="13"/>
    </row>
    <row r="254" spans="1:27" ht="17.399999999999999" x14ac:dyDescent="0.35">
      <c r="A254" s="13"/>
      <c r="B254" s="13"/>
      <c r="C254" s="13"/>
      <c r="D254" s="13"/>
      <c r="E254" s="13"/>
      <c r="F254" s="13"/>
      <c r="G254" s="13"/>
      <c r="H254" s="13"/>
      <c r="I254" s="13"/>
      <c r="J254" s="13"/>
      <c r="K254" s="13"/>
      <c r="L254" s="13"/>
      <c r="M254" s="13"/>
      <c r="N254" s="13"/>
      <c r="O254" s="13"/>
      <c r="P254" s="13"/>
      <c r="Q254" s="13"/>
      <c r="R254" s="13"/>
      <c r="S254" s="13"/>
      <c r="T254" s="13"/>
      <c r="U254" s="13"/>
      <c r="V254" s="13"/>
      <c r="W254" s="13"/>
      <c r="X254" s="13"/>
      <c r="Y254" s="13"/>
      <c r="Z254" s="13"/>
      <c r="AA254" s="13"/>
    </row>
    <row r="255" spans="1:27" ht="17.399999999999999" x14ac:dyDescent="0.35">
      <c r="A255" s="13"/>
      <c r="B255" s="13"/>
      <c r="C255" s="13"/>
      <c r="D255" s="13"/>
      <c r="E255" s="13"/>
      <c r="F255" s="13"/>
      <c r="G255" s="13"/>
      <c r="H255" s="13"/>
      <c r="I255" s="13"/>
      <c r="J255" s="13"/>
      <c r="K255" s="13"/>
      <c r="L255" s="13"/>
      <c r="M255" s="13"/>
      <c r="N255" s="13"/>
      <c r="O255" s="13"/>
      <c r="P255" s="13"/>
      <c r="Q255" s="13"/>
      <c r="R255" s="13"/>
      <c r="S255" s="13"/>
      <c r="T255" s="13"/>
      <c r="U255" s="13"/>
      <c r="V255" s="13"/>
      <c r="W255" s="13"/>
      <c r="X255" s="13"/>
      <c r="Y255" s="13"/>
      <c r="Z255" s="13"/>
      <c r="AA255" s="13"/>
    </row>
    <row r="256" spans="1:27" ht="17.399999999999999" x14ac:dyDescent="0.35">
      <c r="A256" s="13"/>
      <c r="B256" s="13"/>
      <c r="C256" s="13"/>
      <c r="D256" s="13"/>
      <c r="E256" s="13"/>
      <c r="F256" s="13"/>
      <c r="G256" s="13"/>
      <c r="H256" s="13"/>
      <c r="I256" s="13"/>
      <c r="J256" s="13"/>
      <c r="K256" s="13"/>
      <c r="L256" s="13"/>
      <c r="M256" s="13"/>
      <c r="N256" s="13"/>
      <c r="O256" s="13"/>
      <c r="P256" s="13"/>
      <c r="Q256" s="13"/>
      <c r="R256" s="13"/>
      <c r="S256" s="13"/>
      <c r="T256" s="13"/>
      <c r="U256" s="13"/>
      <c r="V256" s="13"/>
      <c r="W256" s="13"/>
      <c r="X256" s="13"/>
      <c r="Y256" s="13"/>
      <c r="Z256" s="13"/>
      <c r="AA256" s="13"/>
    </row>
    <row r="257" spans="1:27" ht="17.399999999999999" x14ac:dyDescent="0.35">
      <c r="A257" s="13"/>
      <c r="B257" s="13"/>
      <c r="C257" s="13"/>
      <c r="D257" s="13"/>
      <c r="E257" s="13"/>
      <c r="F257" s="13"/>
      <c r="G257" s="13"/>
      <c r="H257" s="13"/>
      <c r="I257" s="13"/>
      <c r="J257" s="13"/>
      <c r="K257" s="13"/>
      <c r="L257" s="13"/>
      <c r="M257" s="13"/>
      <c r="N257" s="13"/>
      <c r="O257" s="13"/>
      <c r="P257" s="13"/>
      <c r="Q257" s="13"/>
      <c r="R257" s="13"/>
      <c r="S257" s="13"/>
      <c r="T257" s="13"/>
      <c r="U257" s="13"/>
      <c r="V257" s="13"/>
      <c r="W257" s="13"/>
      <c r="X257" s="13"/>
      <c r="Y257" s="13"/>
      <c r="Z257" s="13"/>
      <c r="AA257" s="13"/>
    </row>
    <row r="258" spans="1:27" ht="17.399999999999999" x14ac:dyDescent="0.35">
      <c r="A258" s="13"/>
      <c r="B258" s="13"/>
      <c r="C258" s="13"/>
      <c r="D258" s="13"/>
      <c r="E258" s="13"/>
      <c r="F258" s="13"/>
      <c r="G258" s="13"/>
      <c r="H258" s="13"/>
      <c r="I258" s="13"/>
      <c r="J258" s="13"/>
      <c r="K258" s="13"/>
      <c r="L258" s="13"/>
      <c r="M258" s="13"/>
      <c r="N258" s="13"/>
      <c r="O258" s="13"/>
      <c r="P258" s="13"/>
      <c r="Q258" s="13"/>
      <c r="R258" s="13"/>
      <c r="S258" s="13"/>
      <c r="T258" s="13"/>
      <c r="U258" s="13"/>
      <c r="V258" s="13"/>
      <c r="W258" s="13"/>
      <c r="X258" s="13"/>
      <c r="Y258" s="13"/>
      <c r="Z258" s="13"/>
      <c r="AA258" s="13"/>
    </row>
    <row r="259" spans="1:27" ht="17.399999999999999" x14ac:dyDescent="0.35">
      <c r="A259" s="13"/>
      <c r="B259" s="13"/>
      <c r="C259" s="13"/>
      <c r="D259" s="13"/>
      <c r="E259" s="13"/>
      <c r="F259" s="13"/>
      <c r="G259" s="13"/>
      <c r="H259" s="13"/>
      <c r="I259" s="13"/>
      <c r="J259" s="13"/>
      <c r="K259" s="13"/>
      <c r="L259" s="13"/>
      <c r="M259" s="13"/>
      <c r="N259" s="13"/>
      <c r="O259" s="13"/>
      <c r="P259" s="13"/>
      <c r="Q259" s="13"/>
      <c r="R259" s="13"/>
      <c r="S259" s="13"/>
      <c r="T259" s="13"/>
      <c r="U259" s="13"/>
      <c r="V259" s="13"/>
      <c r="W259" s="13"/>
      <c r="X259" s="13"/>
      <c r="Y259" s="13"/>
      <c r="Z259" s="13"/>
      <c r="AA259" s="13"/>
    </row>
    <row r="260" spans="1:27" ht="17.399999999999999" x14ac:dyDescent="0.35">
      <c r="A260" s="13"/>
      <c r="B260" s="13"/>
      <c r="C260" s="13"/>
      <c r="D260" s="13"/>
      <c r="E260" s="13"/>
      <c r="F260" s="13"/>
      <c r="G260" s="13"/>
      <c r="H260" s="13"/>
      <c r="I260" s="13"/>
      <c r="J260" s="13"/>
      <c r="K260" s="13"/>
      <c r="L260" s="13"/>
      <c r="M260" s="13"/>
      <c r="N260" s="13"/>
      <c r="O260" s="13"/>
      <c r="P260" s="13"/>
      <c r="Q260" s="13"/>
      <c r="R260" s="13"/>
      <c r="S260" s="13"/>
      <c r="T260" s="13"/>
      <c r="U260" s="13"/>
      <c r="V260" s="13"/>
      <c r="W260" s="13"/>
      <c r="X260" s="13"/>
      <c r="Y260" s="13"/>
      <c r="Z260" s="13"/>
      <c r="AA260" s="13"/>
    </row>
    <row r="261" spans="1:27" ht="17.399999999999999" x14ac:dyDescent="0.35">
      <c r="A261" s="13"/>
      <c r="B261" s="13"/>
      <c r="C261" s="13"/>
      <c r="D261" s="13"/>
      <c r="E261" s="13"/>
      <c r="F261" s="13"/>
      <c r="G261" s="13"/>
      <c r="H261" s="13"/>
      <c r="I261" s="13"/>
      <c r="J261" s="13"/>
      <c r="K261" s="13"/>
      <c r="L261" s="13"/>
      <c r="M261" s="13"/>
      <c r="N261" s="13"/>
      <c r="O261" s="13"/>
      <c r="P261" s="13"/>
      <c r="Q261" s="13"/>
      <c r="R261" s="13"/>
      <c r="S261" s="13"/>
      <c r="T261" s="13"/>
      <c r="U261" s="13"/>
      <c r="V261" s="13"/>
      <c r="W261" s="13"/>
      <c r="X261" s="13"/>
      <c r="Y261" s="13"/>
      <c r="Z261" s="13"/>
      <c r="AA261" s="13"/>
    </row>
    <row r="262" spans="1:27" ht="17.399999999999999" x14ac:dyDescent="0.35">
      <c r="A262" s="13"/>
      <c r="B262" s="13"/>
      <c r="C262" s="13"/>
      <c r="D262" s="13"/>
      <c r="E262" s="13"/>
      <c r="F262" s="13"/>
      <c r="G262" s="13"/>
      <c r="H262" s="13"/>
      <c r="I262" s="13"/>
      <c r="J262" s="13"/>
      <c r="K262" s="13"/>
      <c r="L262" s="13"/>
      <c r="M262" s="13"/>
      <c r="N262" s="13"/>
      <c r="O262" s="13"/>
      <c r="P262" s="13"/>
      <c r="Q262" s="13"/>
      <c r="R262" s="13"/>
      <c r="S262" s="13"/>
      <c r="T262" s="13"/>
      <c r="U262" s="13"/>
      <c r="V262" s="13"/>
      <c r="W262" s="13"/>
      <c r="X262" s="13"/>
      <c r="Y262" s="13"/>
      <c r="Z262" s="13"/>
      <c r="AA262" s="13"/>
    </row>
    <row r="263" spans="1:27" ht="17.399999999999999" x14ac:dyDescent="0.35">
      <c r="A263" s="13"/>
      <c r="B263" s="13"/>
      <c r="C263" s="13"/>
      <c r="D263" s="13"/>
      <c r="E263" s="13"/>
      <c r="F263" s="13"/>
      <c r="G263" s="13"/>
      <c r="H263" s="13"/>
      <c r="I263" s="13"/>
      <c r="J263" s="13"/>
      <c r="K263" s="13"/>
      <c r="L263" s="13"/>
      <c r="M263" s="13"/>
      <c r="N263" s="13"/>
      <c r="O263" s="13"/>
      <c r="P263" s="13"/>
      <c r="Q263" s="13"/>
      <c r="R263" s="13"/>
      <c r="S263" s="13"/>
      <c r="T263" s="13"/>
      <c r="U263" s="13"/>
      <c r="V263" s="13"/>
      <c r="W263" s="13"/>
      <c r="X263" s="13"/>
      <c r="Y263" s="13"/>
      <c r="Z263" s="13"/>
      <c r="AA263" s="13"/>
    </row>
    <row r="264" spans="1:27" ht="17.399999999999999" x14ac:dyDescent="0.35">
      <c r="A264" s="13"/>
      <c r="B264" s="13"/>
      <c r="C264" s="13"/>
      <c r="D264" s="13"/>
      <c r="E264" s="13"/>
      <c r="F264" s="13"/>
      <c r="G264" s="13"/>
      <c r="H264" s="13"/>
      <c r="I264" s="13"/>
      <c r="J264" s="13"/>
      <c r="K264" s="13"/>
      <c r="L264" s="13"/>
      <c r="M264" s="13"/>
      <c r="N264" s="13"/>
      <c r="O264" s="13"/>
      <c r="P264" s="13"/>
      <c r="Q264" s="13"/>
      <c r="R264" s="13"/>
      <c r="S264" s="13"/>
      <c r="T264" s="13"/>
      <c r="U264" s="13"/>
      <c r="V264" s="13"/>
      <c r="W264" s="13"/>
      <c r="X264" s="13"/>
      <c r="Y264" s="13"/>
      <c r="Z264" s="13"/>
      <c r="AA264" s="13"/>
    </row>
    <row r="265" spans="1:27" ht="17.399999999999999" x14ac:dyDescent="0.35">
      <c r="A265" s="13"/>
      <c r="B265" s="13"/>
      <c r="C265" s="13"/>
      <c r="D265" s="13"/>
      <c r="E265" s="13"/>
      <c r="F265" s="13"/>
      <c r="G265" s="13"/>
      <c r="H265" s="13"/>
      <c r="I265" s="13"/>
      <c r="J265" s="13"/>
      <c r="K265" s="13"/>
      <c r="L265" s="13"/>
      <c r="M265" s="13"/>
      <c r="N265" s="13"/>
      <c r="O265" s="13"/>
      <c r="P265" s="13"/>
      <c r="Q265" s="13"/>
      <c r="R265" s="13"/>
      <c r="S265" s="13"/>
      <c r="T265" s="13"/>
      <c r="U265" s="13"/>
      <c r="V265" s="13"/>
      <c r="W265" s="13"/>
      <c r="X265" s="13"/>
      <c r="Y265" s="13"/>
      <c r="Z265" s="13"/>
      <c r="AA265" s="13"/>
    </row>
    <row r="266" spans="1:27" ht="17.399999999999999" x14ac:dyDescent="0.35">
      <c r="A266" s="13"/>
      <c r="B266" s="13"/>
      <c r="C266" s="13"/>
      <c r="D266" s="13"/>
      <c r="E266" s="13"/>
      <c r="F266" s="13"/>
      <c r="G266" s="13"/>
      <c r="H266" s="13"/>
      <c r="I266" s="13"/>
      <c r="J266" s="13"/>
      <c r="K266" s="13"/>
      <c r="L266" s="13"/>
      <c r="M266" s="13"/>
      <c r="N266" s="13"/>
      <c r="O266" s="13"/>
      <c r="P266" s="13"/>
      <c r="Q266" s="13"/>
      <c r="R266" s="13"/>
      <c r="S266" s="13"/>
      <c r="T266" s="13"/>
      <c r="U266" s="13"/>
      <c r="V266" s="13"/>
      <c r="W266" s="13"/>
      <c r="X266" s="13"/>
      <c r="Y266" s="13"/>
      <c r="Z266" s="13"/>
      <c r="AA266" s="13"/>
    </row>
    <row r="267" spans="1:27" ht="17.399999999999999" x14ac:dyDescent="0.35">
      <c r="A267" s="13"/>
      <c r="B267" s="13"/>
      <c r="C267" s="13"/>
      <c r="D267" s="13"/>
      <c r="E267" s="13"/>
      <c r="F267" s="13"/>
      <c r="G267" s="13"/>
      <c r="H267" s="13"/>
      <c r="I267" s="13"/>
      <c r="J267" s="13"/>
      <c r="K267" s="13"/>
      <c r="L267" s="13"/>
      <c r="M267" s="13"/>
      <c r="N267" s="13"/>
      <c r="O267" s="13"/>
      <c r="P267" s="13"/>
      <c r="Q267" s="13"/>
      <c r="R267" s="13"/>
      <c r="S267" s="13"/>
      <c r="T267" s="13"/>
      <c r="U267" s="13"/>
      <c r="V267" s="13"/>
      <c r="W267" s="13"/>
      <c r="X267" s="13"/>
      <c r="Y267" s="13"/>
      <c r="Z267" s="13"/>
      <c r="AA267" s="13"/>
    </row>
    <row r="268" spans="1:27" ht="17.399999999999999" x14ac:dyDescent="0.35">
      <c r="A268" s="13"/>
      <c r="B268" s="13"/>
      <c r="C268" s="13"/>
      <c r="D268" s="13"/>
      <c r="E268" s="13"/>
      <c r="F268" s="13"/>
      <c r="G268" s="13"/>
      <c r="H268" s="13"/>
      <c r="I268" s="13"/>
      <c r="J268" s="13"/>
      <c r="K268" s="13"/>
      <c r="L268" s="13"/>
      <c r="M268" s="13"/>
      <c r="N268" s="13"/>
      <c r="O268" s="13"/>
      <c r="P268" s="13"/>
      <c r="Q268" s="13"/>
      <c r="R268" s="13"/>
      <c r="S268" s="13"/>
      <c r="T268" s="13"/>
      <c r="U268" s="13"/>
      <c r="V268" s="13"/>
      <c r="W268" s="13"/>
      <c r="X268" s="13"/>
      <c r="Y268" s="13"/>
      <c r="Z268" s="13"/>
      <c r="AA268" s="13"/>
    </row>
    <row r="269" spans="1:27" ht="17.399999999999999" x14ac:dyDescent="0.35">
      <c r="A269" s="13"/>
      <c r="B269" s="13"/>
      <c r="C269" s="13"/>
      <c r="D269" s="13"/>
      <c r="E269" s="13"/>
      <c r="F269" s="13"/>
      <c r="G269" s="13"/>
      <c r="H269" s="13"/>
      <c r="I269" s="13"/>
      <c r="J269" s="13"/>
      <c r="K269" s="13"/>
      <c r="L269" s="13"/>
      <c r="M269" s="13"/>
      <c r="N269" s="13"/>
      <c r="O269" s="13"/>
      <c r="P269" s="13"/>
      <c r="Q269" s="13"/>
      <c r="R269" s="13"/>
      <c r="S269" s="13"/>
      <c r="T269" s="13"/>
      <c r="U269" s="13"/>
      <c r="V269" s="13"/>
      <c r="W269" s="13"/>
      <c r="X269" s="13"/>
      <c r="Y269" s="13"/>
      <c r="Z269" s="13"/>
      <c r="AA269" s="13"/>
    </row>
    <row r="270" spans="1:27" ht="17.399999999999999" x14ac:dyDescent="0.35">
      <c r="A270" s="13"/>
      <c r="B270" s="13"/>
      <c r="C270" s="13"/>
      <c r="D270" s="13"/>
      <c r="E270" s="13"/>
      <c r="F270" s="13"/>
      <c r="G270" s="13"/>
      <c r="H270" s="13"/>
      <c r="I270" s="13"/>
      <c r="J270" s="13"/>
      <c r="K270" s="13"/>
      <c r="L270" s="13"/>
      <c r="M270" s="13"/>
      <c r="N270" s="13"/>
      <c r="O270" s="13"/>
      <c r="P270" s="13"/>
      <c r="Q270" s="13"/>
      <c r="R270" s="13"/>
      <c r="S270" s="13"/>
      <c r="T270" s="13"/>
      <c r="U270" s="13"/>
      <c r="V270" s="13"/>
      <c r="W270" s="13"/>
      <c r="X270" s="13"/>
      <c r="Y270" s="13"/>
      <c r="Z270" s="13"/>
      <c r="AA270" s="13"/>
    </row>
    <row r="271" spans="1:27" ht="17.399999999999999" x14ac:dyDescent="0.35">
      <c r="A271" s="13"/>
      <c r="B271" s="13"/>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c r="AA271" s="13"/>
    </row>
    <row r="272" spans="1:27" ht="17.399999999999999" x14ac:dyDescent="0.35">
      <c r="A272" s="13"/>
      <c r="B272" s="13"/>
      <c r="C272" s="13"/>
      <c r="D272" s="13"/>
      <c r="E272" s="13"/>
      <c r="F272" s="13"/>
      <c r="G272" s="13"/>
      <c r="H272" s="13"/>
      <c r="I272" s="13"/>
      <c r="J272" s="13"/>
      <c r="K272" s="13"/>
      <c r="L272" s="13"/>
      <c r="M272" s="13"/>
      <c r="N272" s="13"/>
      <c r="O272" s="13"/>
      <c r="P272" s="13"/>
      <c r="Q272" s="13"/>
      <c r="R272" s="13"/>
      <c r="S272" s="13"/>
      <c r="T272" s="13"/>
      <c r="U272" s="13"/>
      <c r="V272" s="13"/>
      <c r="W272" s="13"/>
      <c r="X272" s="13"/>
      <c r="Y272" s="13"/>
      <c r="Z272" s="13"/>
      <c r="AA272" s="13"/>
    </row>
    <row r="273" spans="1:27" ht="17.399999999999999" x14ac:dyDescent="0.35">
      <c r="A273" s="13"/>
      <c r="B273" s="13"/>
      <c r="C273" s="13"/>
      <c r="D273" s="13"/>
      <c r="E273" s="13"/>
      <c r="F273" s="13"/>
      <c r="G273" s="13"/>
      <c r="H273" s="13"/>
      <c r="I273" s="13"/>
      <c r="J273" s="13"/>
      <c r="K273" s="13"/>
      <c r="L273" s="13"/>
      <c r="M273" s="13"/>
      <c r="N273" s="13"/>
      <c r="O273" s="13"/>
      <c r="P273" s="13"/>
      <c r="Q273" s="13"/>
      <c r="R273" s="13"/>
      <c r="S273" s="13"/>
      <c r="T273" s="13"/>
      <c r="U273" s="13"/>
      <c r="V273" s="13"/>
      <c r="W273" s="13"/>
      <c r="X273" s="13"/>
      <c r="Y273" s="13"/>
      <c r="Z273" s="13"/>
      <c r="AA273" s="13"/>
    </row>
    <row r="274" spans="1:27" ht="17.399999999999999" x14ac:dyDescent="0.35">
      <c r="A274" s="13"/>
      <c r="B274" s="13"/>
      <c r="C274" s="13"/>
      <c r="D274" s="13"/>
      <c r="E274" s="13"/>
      <c r="F274" s="13"/>
      <c r="G274" s="13"/>
      <c r="H274" s="13"/>
      <c r="I274" s="13"/>
      <c r="J274" s="13"/>
      <c r="K274" s="13"/>
      <c r="L274" s="13"/>
      <c r="M274" s="13"/>
      <c r="N274" s="13"/>
      <c r="O274" s="13"/>
      <c r="P274" s="13"/>
      <c r="Q274" s="13"/>
      <c r="R274" s="13"/>
      <c r="S274" s="13"/>
      <c r="T274" s="13"/>
      <c r="U274" s="13"/>
      <c r="V274" s="13"/>
      <c r="W274" s="13"/>
      <c r="X274" s="13"/>
      <c r="Y274" s="13"/>
      <c r="Z274" s="13"/>
      <c r="AA274" s="13"/>
    </row>
    <row r="275" spans="1:27" ht="17.399999999999999" x14ac:dyDescent="0.35">
      <c r="A275" s="13"/>
      <c r="B275" s="13"/>
      <c r="C275" s="13"/>
      <c r="D275" s="13"/>
      <c r="E275" s="13"/>
      <c r="F275" s="13"/>
      <c r="G275" s="13"/>
      <c r="H275" s="13"/>
      <c r="I275" s="13"/>
      <c r="J275" s="13"/>
      <c r="K275" s="13"/>
      <c r="L275" s="13"/>
      <c r="M275" s="13"/>
      <c r="N275" s="13"/>
      <c r="O275" s="13"/>
      <c r="P275" s="13"/>
      <c r="Q275" s="13"/>
      <c r="R275" s="13"/>
      <c r="S275" s="13"/>
      <c r="T275" s="13"/>
      <c r="U275" s="13"/>
      <c r="V275" s="13"/>
      <c r="W275" s="13"/>
      <c r="X275" s="13"/>
      <c r="Y275" s="13"/>
      <c r="Z275" s="13"/>
      <c r="AA275" s="13"/>
    </row>
    <row r="276" spans="1:27" ht="17.399999999999999" x14ac:dyDescent="0.35">
      <c r="A276" s="13"/>
      <c r="B276" s="13"/>
      <c r="C276" s="13"/>
      <c r="D276" s="13"/>
      <c r="E276" s="13"/>
      <c r="F276" s="13"/>
      <c r="G276" s="13"/>
      <c r="H276" s="13"/>
      <c r="I276" s="13"/>
      <c r="J276" s="13"/>
      <c r="K276" s="13"/>
      <c r="L276" s="13"/>
      <c r="M276" s="13"/>
      <c r="N276" s="13"/>
      <c r="O276" s="13"/>
      <c r="P276" s="13"/>
      <c r="Q276" s="13"/>
      <c r="R276" s="13"/>
      <c r="S276" s="13"/>
      <c r="T276" s="13"/>
      <c r="U276" s="13"/>
      <c r="V276" s="13"/>
      <c r="W276" s="13"/>
      <c r="X276" s="13"/>
      <c r="Y276" s="13"/>
      <c r="Z276" s="13"/>
      <c r="AA276" s="13"/>
    </row>
    <row r="277" spans="1:27" ht="17.399999999999999" x14ac:dyDescent="0.35">
      <c r="A277" s="13"/>
      <c r="B277" s="13"/>
      <c r="C277" s="13"/>
      <c r="D277" s="13"/>
      <c r="E277" s="13"/>
      <c r="F277" s="13"/>
      <c r="G277" s="13"/>
      <c r="H277" s="13"/>
      <c r="I277" s="13"/>
      <c r="J277" s="13"/>
      <c r="K277" s="13"/>
      <c r="L277" s="13"/>
      <c r="M277" s="13"/>
      <c r="N277" s="13"/>
      <c r="O277" s="13"/>
      <c r="P277" s="13"/>
      <c r="Q277" s="13"/>
      <c r="R277" s="13"/>
      <c r="S277" s="13"/>
      <c r="T277" s="13"/>
      <c r="U277" s="13"/>
      <c r="V277" s="13"/>
      <c r="W277" s="13"/>
      <c r="X277" s="13"/>
      <c r="Y277" s="13"/>
      <c r="Z277" s="13"/>
      <c r="AA277" s="13"/>
    </row>
    <row r="278" spans="1:27" ht="17.399999999999999" x14ac:dyDescent="0.35">
      <c r="A278" s="13"/>
      <c r="B278" s="13"/>
      <c r="C278" s="13"/>
      <c r="D278" s="13"/>
      <c r="E278" s="13"/>
      <c r="F278" s="13"/>
      <c r="G278" s="13"/>
      <c r="H278" s="13"/>
      <c r="I278" s="13"/>
      <c r="J278" s="13"/>
      <c r="K278" s="13"/>
      <c r="L278" s="13"/>
      <c r="M278" s="13"/>
      <c r="N278" s="13"/>
      <c r="O278" s="13"/>
      <c r="P278" s="13"/>
      <c r="Q278" s="13"/>
      <c r="R278" s="13"/>
      <c r="S278" s="13"/>
      <c r="T278" s="13"/>
      <c r="U278" s="13"/>
      <c r="V278" s="13"/>
      <c r="W278" s="13"/>
      <c r="X278" s="13"/>
      <c r="Y278" s="13"/>
      <c r="Z278" s="13"/>
      <c r="AA278" s="13"/>
    </row>
    <row r="279" spans="1:27" ht="17.399999999999999" x14ac:dyDescent="0.35">
      <c r="A279" s="13"/>
      <c r="B279" s="13"/>
      <c r="C279" s="13"/>
      <c r="D279" s="13"/>
      <c r="E279" s="13"/>
      <c r="F279" s="13"/>
      <c r="G279" s="13"/>
      <c r="H279" s="13"/>
      <c r="I279" s="13"/>
      <c r="J279" s="13"/>
      <c r="K279" s="13"/>
      <c r="L279" s="13"/>
      <c r="M279" s="13"/>
      <c r="N279" s="13"/>
      <c r="O279" s="13"/>
      <c r="P279" s="13"/>
      <c r="Q279" s="13"/>
      <c r="R279" s="13"/>
      <c r="S279" s="13"/>
      <c r="T279" s="13"/>
      <c r="U279" s="13"/>
      <c r="V279" s="13"/>
      <c r="W279" s="13"/>
      <c r="X279" s="13"/>
      <c r="Y279" s="13"/>
      <c r="Z279" s="13"/>
      <c r="AA279" s="13"/>
    </row>
    <row r="280" spans="1:27" ht="17.399999999999999" x14ac:dyDescent="0.35">
      <c r="A280" s="13"/>
      <c r="B280" s="13"/>
      <c r="C280" s="13"/>
      <c r="D280" s="13"/>
      <c r="E280" s="13"/>
      <c r="F280" s="13"/>
      <c r="G280" s="13"/>
      <c r="H280" s="13"/>
      <c r="I280" s="13"/>
      <c r="J280" s="13"/>
      <c r="K280" s="13"/>
      <c r="L280" s="13"/>
      <c r="M280" s="13"/>
      <c r="N280" s="13"/>
      <c r="O280" s="13"/>
      <c r="P280" s="13"/>
      <c r="Q280" s="13"/>
      <c r="R280" s="13"/>
      <c r="S280" s="13"/>
      <c r="T280" s="13"/>
      <c r="U280" s="13"/>
      <c r="V280" s="13"/>
      <c r="W280" s="13"/>
      <c r="X280" s="13"/>
      <c r="Y280" s="13"/>
      <c r="Z280" s="13"/>
      <c r="AA280" s="13"/>
    </row>
    <row r="281" spans="1:27" ht="17.399999999999999" x14ac:dyDescent="0.35">
      <c r="A281" s="13"/>
      <c r="B281" s="13"/>
      <c r="C281" s="13"/>
      <c r="D281" s="13"/>
      <c r="E281" s="13"/>
      <c r="F281" s="13"/>
      <c r="G281" s="13"/>
      <c r="H281" s="13"/>
      <c r="I281" s="13"/>
      <c r="J281" s="13"/>
      <c r="K281" s="13"/>
      <c r="L281" s="13"/>
      <c r="M281" s="13"/>
      <c r="N281" s="13"/>
      <c r="O281" s="13"/>
      <c r="P281" s="13"/>
      <c r="Q281" s="13"/>
      <c r="R281" s="13"/>
      <c r="S281" s="13"/>
      <c r="T281" s="13"/>
      <c r="U281" s="13"/>
      <c r="V281" s="13"/>
      <c r="W281" s="13"/>
      <c r="X281" s="13"/>
      <c r="Y281" s="13"/>
      <c r="Z281" s="13"/>
      <c r="AA281" s="13"/>
    </row>
    <row r="282" spans="1:27" ht="17.399999999999999" x14ac:dyDescent="0.35">
      <c r="A282" s="13"/>
      <c r="B282" s="13"/>
      <c r="C282" s="13"/>
      <c r="D282" s="13"/>
      <c r="E282" s="13"/>
      <c r="F282" s="13"/>
      <c r="G282" s="13"/>
      <c r="H282" s="13"/>
      <c r="I282" s="13"/>
      <c r="J282" s="13"/>
      <c r="K282" s="13"/>
      <c r="L282" s="13"/>
      <c r="M282" s="13"/>
      <c r="N282" s="13"/>
      <c r="O282" s="13"/>
      <c r="P282" s="13"/>
      <c r="Q282" s="13"/>
      <c r="R282" s="13"/>
      <c r="S282" s="13"/>
      <c r="T282" s="13"/>
      <c r="U282" s="13"/>
      <c r="V282" s="13"/>
      <c r="W282" s="13"/>
      <c r="X282" s="13"/>
      <c r="Y282" s="13"/>
      <c r="Z282" s="13"/>
      <c r="AA282" s="13"/>
    </row>
    <row r="283" spans="1:27" ht="17.399999999999999" x14ac:dyDescent="0.35">
      <c r="A283" s="13"/>
      <c r="B283" s="13"/>
      <c r="C283" s="13"/>
      <c r="D283" s="13"/>
      <c r="E283" s="13"/>
      <c r="F283" s="13"/>
      <c r="G283" s="13"/>
      <c r="H283" s="13"/>
      <c r="I283" s="13"/>
      <c r="J283" s="13"/>
      <c r="K283" s="13"/>
      <c r="L283" s="13"/>
      <c r="M283" s="13"/>
      <c r="N283" s="13"/>
      <c r="O283" s="13"/>
      <c r="P283" s="13"/>
      <c r="Q283" s="13"/>
      <c r="R283" s="13"/>
      <c r="S283" s="13"/>
      <c r="T283" s="13"/>
      <c r="U283" s="13"/>
      <c r="V283" s="13"/>
      <c r="W283" s="13"/>
      <c r="X283" s="13"/>
      <c r="Y283" s="13"/>
      <c r="Z283" s="13"/>
      <c r="AA283" s="13"/>
    </row>
    <row r="284" spans="1:27" ht="17.399999999999999" x14ac:dyDescent="0.35">
      <c r="A284" s="13"/>
      <c r="B284" s="13"/>
      <c r="C284" s="13"/>
      <c r="D284" s="13"/>
      <c r="E284" s="13"/>
      <c r="F284" s="13"/>
      <c r="G284" s="13"/>
      <c r="H284" s="13"/>
      <c r="I284" s="13"/>
      <c r="J284" s="13"/>
      <c r="K284" s="13"/>
      <c r="L284" s="13"/>
      <c r="M284" s="13"/>
      <c r="N284" s="13"/>
      <c r="O284" s="13"/>
      <c r="P284" s="13"/>
      <c r="Q284" s="13"/>
      <c r="R284" s="13"/>
      <c r="S284" s="13"/>
      <c r="T284" s="13"/>
      <c r="U284" s="13"/>
      <c r="V284" s="13"/>
      <c r="W284" s="13"/>
      <c r="X284" s="13"/>
      <c r="Y284" s="13"/>
      <c r="Z284" s="13"/>
      <c r="AA284" s="13"/>
    </row>
    <row r="285" spans="1:27" ht="17.399999999999999" x14ac:dyDescent="0.35">
      <c r="A285" s="13"/>
      <c r="B285" s="13"/>
      <c r="C285" s="13"/>
      <c r="D285" s="13"/>
      <c r="E285" s="13"/>
      <c r="F285" s="13"/>
      <c r="G285" s="13"/>
      <c r="H285" s="13"/>
      <c r="I285" s="13"/>
      <c r="J285" s="13"/>
      <c r="K285" s="13"/>
      <c r="L285" s="13"/>
      <c r="M285" s="13"/>
      <c r="N285" s="13"/>
      <c r="O285" s="13"/>
      <c r="P285" s="13"/>
      <c r="Q285" s="13"/>
      <c r="R285" s="13"/>
      <c r="S285" s="13"/>
      <c r="T285" s="13"/>
      <c r="U285" s="13"/>
      <c r="V285" s="13"/>
      <c r="W285" s="13"/>
      <c r="X285" s="13"/>
      <c r="Y285" s="13"/>
      <c r="Z285" s="13"/>
      <c r="AA285" s="13"/>
    </row>
    <row r="286" spans="1:27" ht="17.399999999999999" x14ac:dyDescent="0.35">
      <c r="A286" s="13"/>
      <c r="B286" s="13"/>
      <c r="C286" s="13"/>
      <c r="D286" s="13"/>
      <c r="E286" s="13"/>
      <c r="F286" s="13"/>
      <c r="G286" s="13"/>
      <c r="H286" s="13"/>
      <c r="I286" s="13"/>
      <c r="J286" s="13"/>
      <c r="K286" s="13"/>
      <c r="L286" s="13"/>
      <c r="M286" s="13"/>
      <c r="N286" s="13"/>
      <c r="O286" s="13"/>
      <c r="P286" s="13"/>
      <c r="Q286" s="13"/>
      <c r="R286" s="13"/>
      <c r="S286" s="13"/>
      <c r="T286" s="13"/>
      <c r="U286" s="13"/>
      <c r="V286" s="13"/>
      <c r="W286" s="13"/>
      <c r="X286" s="13"/>
      <c r="Y286" s="13"/>
      <c r="Z286" s="13"/>
      <c r="AA286" s="13"/>
    </row>
    <row r="287" spans="1:27" ht="17.399999999999999" x14ac:dyDescent="0.35">
      <c r="A287" s="13"/>
      <c r="B287" s="13"/>
      <c r="C287" s="13"/>
      <c r="D287" s="13"/>
      <c r="E287" s="13"/>
      <c r="F287" s="13"/>
      <c r="G287" s="13"/>
      <c r="H287" s="13"/>
      <c r="I287" s="13"/>
      <c r="J287" s="13"/>
      <c r="K287" s="13"/>
      <c r="L287" s="13"/>
      <c r="M287" s="13"/>
      <c r="N287" s="13"/>
      <c r="O287" s="13"/>
      <c r="P287" s="13"/>
      <c r="Q287" s="13"/>
      <c r="R287" s="13"/>
      <c r="S287" s="13"/>
      <c r="T287" s="13"/>
      <c r="U287" s="13"/>
      <c r="V287" s="13"/>
      <c r="W287" s="13"/>
      <c r="X287" s="13"/>
      <c r="Y287" s="13"/>
      <c r="Z287" s="13"/>
      <c r="AA287" s="13"/>
    </row>
    <row r="288" spans="1:27" ht="17.399999999999999" x14ac:dyDescent="0.35">
      <c r="A288" s="13"/>
      <c r="B288" s="13"/>
      <c r="C288" s="13"/>
      <c r="D288" s="13"/>
      <c r="E288" s="13"/>
      <c r="F288" s="13"/>
      <c r="G288" s="13"/>
      <c r="H288" s="13"/>
      <c r="I288" s="13"/>
      <c r="J288" s="13"/>
      <c r="K288" s="13"/>
      <c r="L288" s="13"/>
      <c r="M288" s="13"/>
      <c r="N288" s="13"/>
      <c r="O288" s="13"/>
      <c r="P288" s="13"/>
      <c r="Q288" s="13"/>
      <c r="R288" s="13"/>
      <c r="S288" s="13"/>
      <c r="T288" s="13"/>
      <c r="U288" s="13"/>
      <c r="V288" s="13"/>
      <c r="W288" s="13"/>
      <c r="X288" s="13"/>
      <c r="Y288" s="13"/>
      <c r="Z288" s="13"/>
      <c r="AA288" s="13"/>
    </row>
    <row r="289" spans="1:27" ht="17.399999999999999" x14ac:dyDescent="0.35">
      <c r="A289" s="13"/>
      <c r="B289" s="13"/>
      <c r="C289" s="13"/>
      <c r="D289" s="13"/>
      <c r="E289" s="13"/>
      <c r="F289" s="13"/>
      <c r="G289" s="13"/>
      <c r="H289" s="13"/>
      <c r="I289" s="13"/>
      <c r="J289" s="13"/>
      <c r="K289" s="13"/>
      <c r="L289" s="13"/>
      <c r="M289" s="13"/>
      <c r="N289" s="13"/>
      <c r="O289" s="13"/>
      <c r="P289" s="13"/>
      <c r="Q289" s="13"/>
      <c r="R289" s="13"/>
      <c r="S289" s="13"/>
      <c r="T289" s="13"/>
      <c r="U289" s="13"/>
      <c r="V289" s="13"/>
      <c r="W289" s="13"/>
      <c r="X289" s="13"/>
      <c r="Y289" s="13"/>
      <c r="Z289" s="13"/>
      <c r="AA289" s="13"/>
    </row>
    <row r="290" spans="1:27" ht="17.399999999999999" x14ac:dyDescent="0.35">
      <c r="A290" s="13"/>
      <c r="B290" s="13"/>
      <c r="C290" s="13"/>
      <c r="D290" s="13"/>
      <c r="E290" s="13"/>
      <c r="F290" s="13"/>
      <c r="G290" s="13"/>
      <c r="H290" s="13"/>
      <c r="I290" s="13"/>
      <c r="J290" s="13"/>
      <c r="K290" s="13"/>
      <c r="L290" s="13"/>
      <c r="M290" s="13"/>
      <c r="N290" s="13"/>
      <c r="O290" s="13"/>
      <c r="P290" s="13"/>
      <c r="Q290" s="13"/>
      <c r="R290" s="13"/>
      <c r="S290" s="13"/>
      <c r="T290" s="13"/>
      <c r="U290" s="13"/>
      <c r="V290" s="13"/>
      <c r="W290" s="13"/>
      <c r="X290" s="13"/>
      <c r="Y290" s="13"/>
      <c r="Z290" s="13"/>
      <c r="AA290" s="13"/>
    </row>
    <row r="291" spans="1:27" ht="17.399999999999999" x14ac:dyDescent="0.35">
      <c r="A291" s="13"/>
      <c r="B291" s="13"/>
      <c r="C291" s="13"/>
      <c r="D291" s="13"/>
      <c r="E291" s="13"/>
      <c r="F291" s="13"/>
      <c r="G291" s="13"/>
      <c r="H291" s="13"/>
      <c r="I291" s="13"/>
      <c r="J291" s="13"/>
      <c r="K291" s="13"/>
      <c r="L291" s="13"/>
      <c r="M291" s="13"/>
      <c r="N291" s="13"/>
      <c r="O291" s="13"/>
      <c r="P291" s="13"/>
      <c r="Q291" s="13"/>
      <c r="R291" s="13"/>
      <c r="S291" s="13"/>
      <c r="T291" s="13"/>
      <c r="U291" s="13"/>
      <c r="V291" s="13"/>
      <c r="W291" s="13"/>
      <c r="X291" s="13"/>
      <c r="Y291" s="13"/>
      <c r="Z291" s="13"/>
      <c r="AA291" s="13"/>
    </row>
    <row r="292" spans="1:27" ht="17.399999999999999" x14ac:dyDescent="0.35">
      <c r="A292" s="13"/>
      <c r="B292" s="13"/>
      <c r="C292" s="13"/>
      <c r="D292" s="13"/>
      <c r="E292" s="13"/>
      <c r="F292" s="13"/>
      <c r="G292" s="13"/>
      <c r="H292" s="13"/>
      <c r="I292" s="13"/>
      <c r="J292" s="13"/>
      <c r="K292" s="13"/>
      <c r="L292" s="13"/>
      <c r="M292" s="13"/>
      <c r="N292" s="13"/>
      <c r="O292" s="13"/>
      <c r="P292" s="13"/>
      <c r="Q292" s="13"/>
      <c r="R292" s="13"/>
      <c r="S292" s="13"/>
      <c r="T292" s="13"/>
      <c r="U292" s="13"/>
      <c r="V292" s="13"/>
      <c r="W292" s="13"/>
      <c r="X292" s="13"/>
      <c r="Y292" s="13"/>
      <c r="Z292" s="13"/>
      <c r="AA292" s="13"/>
    </row>
    <row r="293" spans="1:27" ht="17.399999999999999" x14ac:dyDescent="0.35">
      <c r="A293" s="13"/>
      <c r="B293" s="13"/>
      <c r="C293" s="13"/>
      <c r="D293" s="13"/>
      <c r="E293" s="13"/>
      <c r="F293" s="13"/>
      <c r="G293" s="13"/>
      <c r="H293" s="13"/>
      <c r="I293" s="13"/>
      <c r="J293" s="13"/>
      <c r="K293" s="13"/>
      <c r="L293" s="13"/>
      <c r="M293" s="13"/>
      <c r="N293" s="13"/>
      <c r="O293" s="13"/>
      <c r="P293" s="13"/>
      <c r="Q293" s="13"/>
      <c r="R293" s="13"/>
      <c r="S293" s="13"/>
      <c r="T293" s="13"/>
      <c r="U293" s="13"/>
      <c r="V293" s="13"/>
      <c r="W293" s="13"/>
      <c r="X293" s="13"/>
      <c r="Y293" s="13"/>
      <c r="Z293" s="13"/>
      <c r="AA293" s="13"/>
    </row>
    <row r="294" spans="1:27" ht="17.399999999999999" x14ac:dyDescent="0.35">
      <c r="A294" s="13"/>
      <c r="B294" s="13"/>
      <c r="C294" s="13"/>
      <c r="D294" s="13"/>
      <c r="E294" s="13"/>
      <c r="F294" s="13"/>
      <c r="G294" s="13"/>
      <c r="H294" s="13"/>
      <c r="I294" s="13"/>
      <c r="J294" s="13"/>
      <c r="K294" s="13"/>
      <c r="L294" s="13"/>
      <c r="M294" s="13"/>
      <c r="N294" s="13"/>
      <c r="O294" s="13"/>
      <c r="P294" s="13"/>
      <c r="Q294" s="13"/>
      <c r="R294" s="13"/>
      <c r="S294" s="13"/>
      <c r="T294" s="13"/>
      <c r="U294" s="13"/>
      <c r="V294" s="13"/>
      <c r="W294" s="13"/>
      <c r="X294" s="13"/>
      <c r="Y294" s="13"/>
      <c r="Z294" s="13"/>
      <c r="AA294" s="13"/>
    </row>
    <row r="295" spans="1:27" ht="17.399999999999999" x14ac:dyDescent="0.35">
      <c r="A295" s="13"/>
      <c r="B295" s="13"/>
      <c r="C295" s="13"/>
      <c r="D295" s="13"/>
      <c r="E295" s="13"/>
      <c r="F295" s="13"/>
      <c r="G295" s="13"/>
      <c r="H295" s="13"/>
      <c r="I295" s="13"/>
      <c r="J295" s="13"/>
      <c r="K295" s="13"/>
      <c r="L295" s="13"/>
      <c r="M295" s="13"/>
      <c r="N295" s="13"/>
      <c r="O295" s="13"/>
      <c r="P295" s="13"/>
      <c r="Q295" s="13"/>
      <c r="R295" s="13"/>
      <c r="S295" s="13"/>
      <c r="T295" s="13"/>
      <c r="U295" s="13"/>
      <c r="V295" s="13"/>
      <c r="W295" s="13"/>
      <c r="X295" s="13"/>
      <c r="Y295" s="13"/>
      <c r="Z295" s="13"/>
      <c r="AA295" s="13"/>
    </row>
    <row r="296" spans="1:27" ht="17.399999999999999" x14ac:dyDescent="0.35">
      <c r="A296" s="13"/>
      <c r="B296" s="13"/>
      <c r="C296" s="13"/>
      <c r="D296" s="13"/>
      <c r="E296" s="13"/>
      <c r="F296" s="13"/>
      <c r="G296" s="13"/>
      <c r="H296" s="13"/>
      <c r="I296" s="13"/>
      <c r="J296" s="13"/>
      <c r="K296" s="13"/>
      <c r="L296" s="13"/>
      <c r="M296" s="13"/>
      <c r="N296" s="13"/>
      <c r="O296" s="13"/>
      <c r="P296" s="13"/>
      <c r="Q296" s="13"/>
      <c r="R296" s="13"/>
      <c r="S296" s="13"/>
      <c r="T296" s="13"/>
      <c r="U296" s="13"/>
      <c r="V296" s="13"/>
      <c r="W296" s="13"/>
      <c r="X296" s="13"/>
      <c r="Y296" s="13"/>
      <c r="Z296" s="13"/>
      <c r="AA296" s="13"/>
    </row>
    <row r="297" spans="1:27" ht="17.399999999999999" x14ac:dyDescent="0.35">
      <c r="A297" s="13"/>
      <c r="B297" s="13"/>
      <c r="C297" s="13"/>
      <c r="D297" s="13"/>
      <c r="E297" s="13"/>
      <c r="F297" s="13"/>
      <c r="G297" s="13"/>
      <c r="H297" s="13"/>
      <c r="I297" s="13"/>
      <c r="J297" s="13"/>
      <c r="K297" s="13"/>
      <c r="L297" s="13"/>
      <c r="M297" s="13"/>
      <c r="N297" s="13"/>
      <c r="O297" s="13"/>
      <c r="P297" s="13"/>
      <c r="Q297" s="13"/>
      <c r="R297" s="13"/>
      <c r="S297" s="13"/>
      <c r="T297" s="13"/>
      <c r="U297" s="13"/>
      <c r="V297" s="13"/>
      <c r="W297" s="13"/>
      <c r="X297" s="13"/>
      <c r="Y297" s="13"/>
      <c r="Z297" s="13"/>
      <c r="AA297" s="13"/>
    </row>
    <row r="298" spans="1:27" ht="17.399999999999999" x14ac:dyDescent="0.35">
      <c r="A298" s="13"/>
      <c r="B298" s="13"/>
      <c r="C298" s="13"/>
      <c r="D298" s="13"/>
      <c r="E298" s="13"/>
      <c r="F298" s="13"/>
      <c r="G298" s="13"/>
      <c r="H298" s="13"/>
      <c r="I298" s="13"/>
      <c r="J298" s="13"/>
      <c r="K298" s="13"/>
      <c r="L298" s="13"/>
      <c r="M298" s="13"/>
      <c r="N298" s="13"/>
      <c r="O298" s="13"/>
      <c r="P298" s="13"/>
      <c r="Q298" s="13"/>
      <c r="R298" s="13"/>
      <c r="S298" s="13"/>
      <c r="T298" s="13"/>
      <c r="U298" s="13"/>
      <c r="V298" s="13"/>
      <c r="W298" s="13"/>
      <c r="X298" s="13"/>
      <c r="Y298" s="13"/>
      <c r="Z298" s="13"/>
      <c r="AA298" s="13"/>
    </row>
    <row r="299" spans="1:27" ht="17.399999999999999" x14ac:dyDescent="0.35">
      <c r="A299" s="13"/>
      <c r="B299" s="13"/>
      <c r="C299" s="13"/>
      <c r="D299" s="13"/>
      <c r="E299" s="13"/>
      <c r="F299" s="13"/>
      <c r="G299" s="13"/>
      <c r="H299" s="13"/>
      <c r="I299" s="13"/>
      <c r="J299" s="13"/>
      <c r="K299" s="13"/>
      <c r="L299" s="13"/>
      <c r="M299" s="13"/>
      <c r="N299" s="13"/>
      <c r="O299" s="13"/>
      <c r="P299" s="13"/>
      <c r="Q299" s="13"/>
      <c r="R299" s="13"/>
      <c r="S299" s="13"/>
      <c r="T299" s="13"/>
      <c r="U299" s="13"/>
      <c r="V299" s="13"/>
      <c r="W299" s="13"/>
      <c r="X299" s="13"/>
      <c r="Y299" s="13"/>
      <c r="Z299" s="13"/>
      <c r="AA299" s="13"/>
    </row>
    <row r="300" spans="1:27" ht="17.399999999999999" x14ac:dyDescent="0.35">
      <c r="A300" s="13"/>
      <c r="B300" s="13"/>
      <c r="C300" s="13"/>
      <c r="D300" s="13"/>
      <c r="E300" s="13"/>
      <c r="F300" s="13"/>
      <c r="G300" s="13"/>
      <c r="H300" s="13"/>
      <c r="I300" s="13"/>
      <c r="J300" s="13"/>
      <c r="K300" s="13"/>
      <c r="L300" s="13"/>
      <c r="M300" s="13"/>
      <c r="N300" s="13"/>
      <c r="O300" s="13"/>
      <c r="P300" s="13"/>
      <c r="Q300" s="13"/>
      <c r="R300" s="13"/>
      <c r="S300" s="13"/>
      <c r="T300" s="13"/>
      <c r="U300" s="13"/>
      <c r="V300" s="13"/>
      <c r="W300" s="13"/>
      <c r="X300" s="13"/>
      <c r="Y300" s="13"/>
      <c r="Z300" s="13"/>
      <c r="AA300" s="13"/>
    </row>
    <row r="301" spans="1:27" ht="17.399999999999999" x14ac:dyDescent="0.35">
      <c r="A301" s="13"/>
      <c r="B301" s="13"/>
      <c r="C301" s="13"/>
      <c r="D301" s="13"/>
      <c r="E301" s="13"/>
      <c r="F301" s="13"/>
      <c r="G301" s="13"/>
      <c r="H301" s="13"/>
      <c r="I301" s="13"/>
      <c r="J301" s="13"/>
      <c r="K301" s="13"/>
      <c r="L301" s="13"/>
      <c r="M301" s="13"/>
      <c r="N301" s="13"/>
      <c r="O301" s="13"/>
      <c r="P301" s="13"/>
      <c r="Q301" s="13"/>
      <c r="R301" s="13"/>
      <c r="S301" s="13"/>
      <c r="T301" s="13"/>
      <c r="U301" s="13"/>
      <c r="V301" s="13"/>
      <c r="W301" s="13"/>
      <c r="X301" s="13"/>
      <c r="Y301" s="13"/>
      <c r="Z301" s="13"/>
      <c r="AA301" s="13"/>
    </row>
    <row r="302" spans="1:27" ht="17.399999999999999" x14ac:dyDescent="0.35">
      <c r="A302" s="13"/>
      <c r="B302" s="13"/>
      <c r="C302" s="13"/>
      <c r="D302" s="13"/>
      <c r="E302" s="13"/>
      <c r="F302" s="13"/>
      <c r="G302" s="13"/>
      <c r="H302" s="13"/>
      <c r="I302" s="13"/>
      <c r="J302" s="13"/>
      <c r="K302" s="13"/>
      <c r="L302" s="13"/>
      <c r="M302" s="13"/>
      <c r="N302" s="13"/>
      <c r="O302" s="13"/>
      <c r="P302" s="13"/>
      <c r="Q302" s="13"/>
      <c r="R302" s="13"/>
      <c r="S302" s="13"/>
      <c r="T302" s="13"/>
      <c r="U302" s="13"/>
      <c r="V302" s="13"/>
      <c r="W302" s="13"/>
      <c r="X302" s="13"/>
      <c r="Y302" s="13"/>
      <c r="Z302" s="13"/>
      <c r="AA302" s="13"/>
    </row>
    <row r="303" spans="1:27" ht="17.399999999999999" x14ac:dyDescent="0.35">
      <c r="A303" s="13"/>
      <c r="B303" s="13"/>
      <c r="C303" s="13"/>
      <c r="D303" s="13"/>
      <c r="E303" s="13"/>
      <c r="F303" s="13"/>
      <c r="G303" s="13"/>
      <c r="H303" s="13"/>
      <c r="I303" s="13"/>
      <c r="J303" s="13"/>
      <c r="K303" s="13"/>
      <c r="L303" s="13"/>
      <c r="M303" s="13"/>
      <c r="N303" s="13"/>
      <c r="O303" s="13"/>
      <c r="P303" s="13"/>
      <c r="Q303" s="13"/>
      <c r="R303" s="13"/>
      <c r="S303" s="13"/>
      <c r="T303" s="13"/>
      <c r="U303" s="13"/>
      <c r="V303" s="13"/>
      <c r="W303" s="13"/>
      <c r="X303" s="13"/>
      <c r="Y303" s="13"/>
      <c r="Z303" s="13"/>
      <c r="AA303" s="13"/>
    </row>
    <row r="304" spans="1:27" ht="17.399999999999999" x14ac:dyDescent="0.35">
      <c r="A304" s="13"/>
      <c r="B304" s="13"/>
      <c r="C304" s="13"/>
      <c r="D304" s="13"/>
      <c r="E304" s="13"/>
      <c r="F304" s="13"/>
      <c r="G304" s="13"/>
      <c r="H304" s="13"/>
      <c r="I304" s="13"/>
      <c r="J304" s="13"/>
      <c r="K304" s="13"/>
      <c r="L304" s="13"/>
      <c r="M304" s="13"/>
      <c r="N304" s="13"/>
      <c r="O304" s="13"/>
      <c r="P304" s="13"/>
      <c r="Q304" s="13"/>
      <c r="R304" s="13"/>
      <c r="S304" s="13"/>
      <c r="T304" s="13"/>
      <c r="U304" s="13"/>
      <c r="V304" s="13"/>
      <c r="W304" s="13"/>
      <c r="X304" s="13"/>
      <c r="Y304" s="13"/>
      <c r="Z304" s="13"/>
      <c r="AA304" s="13"/>
    </row>
    <row r="305" spans="1:27" ht="17.399999999999999" x14ac:dyDescent="0.35">
      <c r="A305" s="13"/>
      <c r="B305" s="13"/>
      <c r="C305" s="13"/>
      <c r="D305" s="13"/>
      <c r="E305" s="13"/>
      <c r="F305" s="13"/>
      <c r="G305" s="13"/>
      <c r="H305" s="13"/>
      <c r="I305" s="13"/>
      <c r="J305" s="13"/>
      <c r="K305" s="13"/>
      <c r="L305" s="13"/>
      <c r="M305" s="13"/>
      <c r="N305" s="13"/>
      <c r="O305" s="13"/>
      <c r="P305" s="13"/>
      <c r="Q305" s="13"/>
      <c r="R305" s="13"/>
      <c r="S305" s="13"/>
      <c r="T305" s="13"/>
      <c r="U305" s="13"/>
      <c r="V305" s="13"/>
      <c r="W305" s="13"/>
      <c r="X305" s="13"/>
      <c r="Y305" s="13"/>
      <c r="Z305" s="13"/>
      <c r="AA305" s="13"/>
    </row>
    <row r="306" spans="1:27" ht="17.399999999999999" x14ac:dyDescent="0.35">
      <c r="A306" s="13"/>
      <c r="B306" s="13"/>
      <c r="C306" s="13"/>
      <c r="D306" s="13"/>
      <c r="E306" s="13"/>
      <c r="F306" s="13"/>
      <c r="G306" s="13"/>
      <c r="H306" s="13"/>
      <c r="I306" s="13"/>
      <c r="J306" s="13"/>
      <c r="K306" s="13"/>
      <c r="L306" s="13"/>
      <c r="M306" s="13"/>
      <c r="N306" s="13"/>
      <c r="O306" s="13"/>
      <c r="P306" s="13"/>
      <c r="Q306" s="13"/>
      <c r="R306" s="13"/>
      <c r="S306" s="13"/>
      <c r="T306" s="13"/>
      <c r="U306" s="13"/>
      <c r="V306" s="13"/>
      <c r="W306" s="13"/>
      <c r="X306" s="13"/>
      <c r="Y306" s="13"/>
      <c r="Z306" s="13"/>
      <c r="AA306" s="13"/>
    </row>
    <row r="307" spans="1:27" ht="17.399999999999999" x14ac:dyDescent="0.35">
      <c r="A307" s="13"/>
      <c r="B307" s="13"/>
      <c r="C307" s="13"/>
      <c r="D307" s="13"/>
      <c r="E307" s="13"/>
      <c r="F307" s="13"/>
      <c r="G307" s="13"/>
      <c r="H307" s="13"/>
      <c r="I307" s="13"/>
      <c r="J307" s="13"/>
      <c r="K307" s="13"/>
      <c r="L307" s="13"/>
      <c r="M307" s="13"/>
      <c r="N307" s="13"/>
      <c r="O307" s="13"/>
      <c r="P307" s="13"/>
      <c r="Q307" s="13"/>
      <c r="R307" s="13"/>
      <c r="S307" s="13"/>
      <c r="T307" s="13"/>
      <c r="U307" s="13"/>
      <c r="V307" s="13"/>
      <c r="W307" s="13"/>
      <c r="X307" s="13"/>
      <c r="Y307" s="13"/>
      <c r="Z307" s="13"/>
      <c r="AA307" s="13"/>
    </row>
    <row r="308" spans="1:27" ht="17.399999999999999" x14ac:dyDescent="0.35">
      <c r="A308" s="13"/>
      <c r="B308" s="13"/>
      <c r="C308" s="13"/>
      <c r="D308" s="13"/>
      <c r="E308" s="13"/>
      <c r="F308" s="13"/>
      <c r="G308" s="13"/>
      <c r="H308" s="13"/>
      <c r="I308" s="13"/>
      <c r="J308" s="13"/>
      <c r="K308" s="13"/>
      <c r="L308" s="13"/>
      <c r="M308" s="13"/>
      <c r="N308" s="13"/>
      <c r="O308" s="13"/>
      <c r="P308" s="13"/>
      <c r="Q308" s="13"/>
      <c r="R308" s="13"/>
      <c r="S308" s="13"/>
      <c r="T308" s="13"/>
      <c r="U308" s="13"/>
      <c r="V308" s="13"/>
      <c r="W308" s="13"/>
      <c r="X308" s="13"/>
      <c r="Y308" s="13"/>
      <c r="Z308" s="13"/>
      <c r="AA308" s="13"/>
    </row>
    <row r="309" spans="1:27" ht="17.399999999999999" x14ac:dyDescent="0.35">
      <c r="A309" s="13"/>
      <c r="B309" s="13"/>
      <c r="C309" s="13"/>
      <c r="D309" s="13"/>
      <c r="E309" s="13"/>
      <c r="F309" s="13"/>
      <c r="G309" s="13"/>
      <c r="H309" s="13"/>
      <c r="I309" s="13"/>
      <c r="J309" s="13"/>
      <c r="K309" s="13"/>
      <c r="L309" s="13"/>
      <c r="M309" s="13"/>
      <c r="N309" s="13"/>
      <c r="O309" s="13"/>
      <c r="P309" s="13"/>
      <c r="Q309" s="13"/>
      <c r="R309" s="13"/>
      <c r="S309" s="13"/>
      <c r="T309" s="13"/>
      <c r="U309" s="13"/>
      <c r="V309" s="13"/>
      <c r="W309" s="13"/>
      <c r="X309" s="13"/>
      <c r="Y309" s="13"/>
      <c r="Z309" s="13"/>
      <c r="AA309" s="13"/>
    </row>
    <row r="310" spans="1:27" ht="17.399999999999999" x14ac:dyDescent="0.35">
      <c r="A310" s="13"/>
      <c r="B310" s="13"/>
      <c r="C310" s="13"/>
      <c r="D310" s="13"/>
      <c r="E310" s="13"/>
      <c r="F310" s="13"/>
      <c r="G310" s="13"/>
      <c r="H310" s="13"/>
      <c r="I310" s="13"/>
      <c r="J310" s="13"/>
      <c r="K310" s="13"/>
      <c r="L310" s="13"/>
      <c r="M310" s="13"/>
      <c r="N310" s="13"/>
      <c r="O310" s="13"/>
      <c r="P310" s="13"/>
      <c r="Q310" s="13"/>
      <c r="R310" s="13"/>
      <c r="S310" s="13"/>
      <c r="T310" s="13"/>
      <c r="U310" s="13"/>
      <c r="V310" s="13"/>
      <c r="W310" s="13"/>
      <c r="X310" s="13"/>
      <c r="Y310" s="13"/>
      <c r="Z310" s="13"/>
      <c r="AA310" s="13"/>
    </row>
    <row r="311" spans="1:27" ht="17.399999999999999" x14ac:dyDescent="0.35">
      <c r="A311" s="13"/>
      <c r="B311" s="13"/>
      <c r="C311" s="13"/>
      <c r="D311" s="13"/>
      <c r="E311" s="13"/>
      <c r="F311" s="13"/>
      <c r="G311" s="13"/>
      <c r="H311" s="13"/>
      <c r="I311" s="13"/>
      <c r="J311" s="13"/>
      <c r="K311" s="13"/>
      <c r="L311" s="13"/>
      <c r="M311" s="13"/>
      <c r="N311" s="13"/>
      <c r="O311" s="13"/>
      <c r="P311" s="13"/>
      <c r="Q311" s="13"/>
      <c r="R311" s="13"/>
      <c r="S311" s="13"/>
      <c r="T311" s="13"/>
      <c r="U311" s="13"/>
      <c r="V311" s="13"/>
      <c r="W311" s="13"/>
      <c r="X311" s="13"/>
      <c r="Y311" s="13"/>
      <c r="Z311" s="13"/>
      <c r="AA311" s="13"/>
    </row>
    <row r="312" spans="1:27" ht="17.399999999999999" x14ac:dyDescent="0.35">
      <c r="A312" s="13"/>
      <c r="B312" s="13"/>
      <c r="C312" s="13"/>
      <c r="D312" s="13"/>
      <c r="E312" s="13"/>
      <c r="F312" s="13"/>
      <c r="G312" s="13"/>
      <c r="H312" s="13"/>
      <c r="I312" s="13"/>
      <c r="J312" s="13"/>
      <c r="K312" s="13"/>
      <c r="L312" s="13"/>
      <c r="M312" s="13"/>
      <c r="N312" s="13"/>
      <c r="O312" s="13"/>
      <c r="P312" s="13"/>
      <c r="Q312" s="13"/>
      <c r="R312" s="13"/>
      <c r="S312" s="13"/>
      <c r="T312" s="13"/>
      <c r="U312" s="13"/>
      <c r="V312" s="13"/>
      <c r="W312" s="13"/>
      <c r="X312" s="13"/>
      <c r="Y312" s="13"/>
      <c r="Z312" s="13"/>
      <c r="AA312" s="13"/>
    </row>
    <row r="313" spans="1:27" ht="17.399999999999999" x14ac:dyDescent="0.35">
      <c r="A313" s="13"/>
      <c r="B313" s="13"/>
      <c r="C313" s="13"/>
      <c r="D313" s="13"/>
      <c r="E313" s="13"/>
      <c r="F313" s="13"/>
      <c r="G313" s="13"/>
      <c r="H313" s="13"/>
      <c r="I313" s="13"/>
      <c r="J313" s="13"/>
      <c r="K313" s="13"/>
      <c r="L313" s="13"/>
      <c r="M313" s="13"/>
      <c r="N313" s="13"/>
      <c r="O313" s="13"/>
      <c r="P313" s="13"/>
      <c r="Q313" s="13"/>
      <c r="R313" s="13"/>
      <c r="S313" s="13"/>
      <c r="T313" s="13"/>
      <c r="U313" s="13"/>
      <c r="V313" s="13"/>
      <c r="W313" s="13"/>
      <c r="X313" s="13"/>
      <c r="Y313" s="13"/>
      <c r="Z313" s="13"/>
      <c r="AA313" s="13"/>
    </row>
    <row r="314" spans="1:27" ht="17.399999999999999" x14ac:dyDescent="0.35">
      <c r="A314" s="13"/>
      <c r="B314" s="13"/>
      <c r="C314" s="13"/>
      <c r="D314" s="13"/>
      <c r="E314" s="13"/>
      <c r="F314" s="13"/>
      <c r="G314" s="13"/>
      <c r="H314" s="13"/>
      <c r="I314" s="13"/>
      <c r="J314" s="13"/>
      <c r="K314" s="13"/>
      <c r="L314" s="13"/>
      <c r="M314" s="13"/>
      <c r="N314" s="13"/>
      <c r="O314" s="13"/>
      <c r="P314" s="13"/>
      <c r="Q314" s="13"/>
      <c r="R314" s="13"/>
      <c r="S314" s="13"/>
      <c r="T314" s="13"/>
      <c r="U314" s="13"/>
      <c r="V314" s="13"/>
      <c r="W314" s="13"/>
      <c r="X314" s="13"/>
      <c r="Y314" s="13"/>
      <c r="Z314" s="13"/>
      <c r="AA314" s="13"/>
    </row>
    <row r="315" spans="1:27" ht="17.399999999999999" x14ac:dyDescent="0.35">
      <c r="A315" s="13"/>
      <c r="B315" s="13"/>
      <c r="C315" s="13"/>
      <c r="D315" s="13"/>
      <c r="E315" s="13"/>
      <c r="F315" s="13"/>
      <c r="G315" s="13"/>
      <c r="H315" s="13"/>
      <c r="I315" s="13"/>
      <c r="J315" s="13"/>
      <c r="K315" s="13"/>
      <c r="L315" s="13"/>
      <c r="M315" s="13"/>
      <c r="N315" s="13"/>
      <c r="O315" s="13"/>
      <c r="P315" s="13"/>
      <c r="Q315" s="13"/>
      <c r="R315" s="13"/>
      <c r="S315" s="13"/>
      <c r="T315" s="13"/>
      <c r="U315" s="13"/>
      <c r="V315" s="13"/>
      <c r="W315" s="13"/>
      <c r="X315" s="13"/>
      <c r="Y315" s="13"/>
      <c r="Z315" s="13"/>
      <c r="AA315" s="13"/>
    </row>
    <row r="316" spans="1:27" ht="17.399999999999999" x14ac:dyDescent="0.35">
      <c r="A316" s="13"/>
      <c r="B316" s="13"/>
      <c r="C316" s="13"/>
      <c r="D316" s="13"/>
      <c r="E316" s="13"/>
      <c r="F316" s="13"/>
      <c r="G316" s="13"/>
      <c r="H316" s="13"/>
      <c r="I316" s="13"/>
      <c r="J316" s="13"/>
      <c r="K316" s="13"/>
      <c r="L316" s="13"/>
      <c r="M316" s="13"/>
      <c r="N316" s="13"/>
      <c r="O316" s="13"/>
      <c r="P316" s="13"/>
      <c r="Q316" s="13"/>
      <c r="R316" s="13"/>
      <c r="S316" s="13"/>
      <c r="T316" s="13"/>
      <c r="U316" s="13"/>
      <c r="V316" s="13"/>
      <c r="W316" s="13"/>
      <c r="X316" s="13"/>
      <c r="Y316" s="13"/>
      <c r="Z316" s="13"/>
      <c r="AA316" s="13"/>
    </row>
    <row r="317" spans="1:27" ht="17.399999999999999" x14ac:dyDescent="0.35">
      <c r="A317" s="13"/>
      <c r="B317" s="13"/>
      <c r="C317" s="13"/>
      <c r="D317" s="13"/>
      <c r="E317" s="13"/>
      <c r="F317" s="13"/>
      <c r="G317" s="13"/>
      <c r="H317" s="13"/>
      <c r="I317" s="13"/>
      <c r="J317" s="13"/>
      <c r="K317" s="13"/>
      <c r="L317" s="13"/>
      <c r="M317" s="13"/>
      <c r="N317" s="13"/>
      <c r="O317" s="13"/>
      <c r="P317" s="13"/>
      <c r="Q317" s="13"/>
      <c r="R317" s="13"/>
      <c r="S317" s="13"/>
      <c r="T317" s="13"/>
      <c r="U317" s="13"/>
      <c r="V317" s="13"/>
      <c r="W317" s="13"/>
      <c r="X317" s="13"/>
      <c r="Y317" s="13"/>
      <c r="Z317" s="13"/>
      <c r="AA317" s="13"/>
    </row>
    <row r="318" spans="1:27" ht="17.399999999999999" x14ac:dyDescent="0.35">
      <c r="A318" s="13"/>
      <c r="B318" s="13"/>
      <c r="C318" s="13"/>
      <c r="D318" s="13"/>
      <c r="E318" s="13"/>
      <c r="F318" s="13"/>
      <c r="G318" s="13"/>
      <c r="H318" s="13"/>
      <c r="I318" s="13"/>
      <c r="J318" s="13"/>
      <c r="K318" s="13"/>
      <c r="L318" s="13"/>
      <c r="M318" s="13"/>
      <c r="N318" s="13"/>
      <c r="O318" s="13"/>
      <c r="P318" s="13"/>
      <c r="Q318" s="13"/>
      <c r="R318" s="13"/>
      <c r="S318" s="13"/>
      <c r="T318" s="13"/>
      <c r="U318" s="13"/>
      <c r="V318" s="13"/>
      <c r="W318" s="13"/>
      <c r="X318" s="13"/>
      <c r="Y318" s="13"/>
      <c r="Z318" s="13"/>
      <c r="AA318" s="13"/>
    </row>
    <row r="319" spans="1:27" ht="17.399999999999999" x14ac:dyDescent="0.35">
      <c r="A319" s="13"/>
      <c r="B319" s="13"/>
      <c r="C319" s="13"/>
      <c r="D319" s="13"/>
      <c r="E319" s="13"/>
      <c r="F319" s="13"/>
      <c r="G319" s="13"/>
      <c r="H319" s="13"/>
      <c r="I319" s="13"/>
      <c r="J319" s="13"/>
      <c r="K319" s="13"/>
      <c r="L319" s="13"/>
      <c r="M319" s="13"/>
      <c r="N319" s="13"/>
      <c r="O319" s="13"/>
      <c r="P319" s="13"/>
      <c r="Q319" s="13"/>
      <c r="R319" s="13"/>
      <c r="S319" s="13"/>
      <c r="T319" s="13"/>
      <c r="U319" s="13"/>
      <c r="V319" s="13"/>
      <c r="W319" s="13"/>
      <c r="X319" s="13"/>
      <c r="Y319" s="13"/>
      <c r="Z319" s="13"/>
      <c r="AA319" s="13"/>
    </row>
    <row r="320" spans="1:27" ht="17.399999999999999" x14ac:dyDescent="0.35">
      <c r="A320" s="13"/>
      <c r="B320" s="13"/>
      <c r="C320" s="13"/>
      <c r="D320" s="13"/>
      <c r="E320" s="13"/>
      <c r="F320" s="13"/>
      <c r="G320" s="13"/>
      <c r="H320" s="13"/>
      <c r="I320" s="13"/>
      <c r="J320" s="13"/>
      <c r="K320" s="13"/>
      <c r="L320" s="13"/>
      <c r="M320" s="13"/>
      <c r="N320" s="13"/>
      <c r="O320" s="13"/>
      <c r="P320" s="13"/>
      <c r="Q320" s="13"/>
      <c r="R320" s="13"/>
      <c r="S320" s="13"/>
      <c r="T320" s="13"/>
      <c r="U320" s="13"/>
      <c r="V320" s="13"/>
      <c r="W320" s="13"/>
      <c r="X320" s="13"/>
      <c r="Y320" s="13"/>
      <c r="Z320" s="13"/>
      <c r="AA320" s="13"/>
    </row>
    <row r="321" spans="1:27" ht="17.399999999999999" x14ac:dyDescent="0.35">
      <c r="A321" s="13"/>
      <c r="B321" s="13"/>
      <c r="C321" s="13"/>
      <c r="D321" s="13"/>
      <c r="E321" s="13"/>
      <c r="F321" s="13"/>
      <c r="G321" s="13"/>
      <c r="H321" s="13"/>
      <c r="I321" s="13"/>
      <c r="J321" s="13"/>
      <c r="K321" s="13"/>
      <c r="L321" s="13"/>
      <c r="M321" s="13"/>
      <c r="N321" s="13"/>
      <c r="O321" s="13"/>
      <c r="P321" s="13"/>
      <c r="Q321" s="13"/>
      <c r="R321" s="13"/>
      <c r="S321" s="13"/>
      <c r="T321" s="13"/>
      <c r="U321" s="13"/>
      <c r="V321" s="13"/>
      <c r="W321" s="13"/>
      <c r="X321" s="13"/>
      <c r="Y321" s="13"/>
      <c r="Z321" s="13"/>
      <c r="AA321" s="13"/>
    </row>
    <row r="322" spans="1:27" ht="17.399999999999999" x14ac:dyDescent="0.35">
      <c r="A322" s="13"/>
      <c r="B322" s="13"/>
      <c r="C322" s="13"/>
      <c r="D322" s="13"/>
      <c r="E322" s="13"/>
      <c r="F322" s="13"/>
      <c r="G322" s="13"/>
      <c r="H322" s="13"/>
      <c r="I322" s="13"/>
      <c r="J322" s="13"/>
      <c r="K322" s="13"/>
      <c r="L322" s="13"/>
      <c r="M322" s="13"/>
      <c r="N322" s="13"/>
      <c r="O322" s="13"/>
      <c r="P322" s="13"/>
      <c r="Q322" s="13"/>
      <c r="R322" s="13"/>
      <c r="S322" s="13"/>
      <c r="T322" s="13"/>
      <c r="U322" s="13"/>
      <c r="V322" s="13"/>
      <c r="W322" s="13"/>
      <c r="X322" s="13"/>
      <c r="Y322" s="13"/>
      <c r="Z322" s="13"/>
      <c r="AA322" s="13"/>
    </row>
    <row r="323" spans="1:27" ht="17.399999999999999" x14ac:dyDescent="0.35">
      <c r="A323" s="13"/>
      <c r="B323" s="13"/>
      <c r="C323" s="13"/>
      <c r="D323" s="13"/>
      <c r="E323" s="13"/>
      <c r="F323" s="13"/>
      <c r="G323" s="13"/>
      <c r="H323" s="13"/>
      <c r="I323" s="13"/>
      <c r="J323" s="13"/>
      <c r="K323" s="13"/>
      <c r="L323" s="13"/>
      <c r="M323" s="13"/>
      <c r="N323" s="13"/>
      <c r="O323" s="13"/>
      <c r="P323" s="13"/>
      <c r="Q323" s="13"/>
      <c r="R323" s="13"/>
      <c r="S323" s="13"/>
      <c r="T323" s="13"/>
      <c r="U323" s="13"/>
      <c r="V323" s="13"/>
      <c r="W323" s="13"/>
      <c r="X323" s="13"/>
      <c r="Y323" s="13"/>
      <c r="Z323" s="13"/>
      <c r="AA323" s="13"/>
    </row>
    <row r="324" spans="1:27" ht="17.399999999999999" x14ac:dyDescent="0.35">
      <c r="A324" s="13"/>
      <c r="B324" s="13"/>
      <c r="C324" s="13"/>
      <c r="D324" s="13"/>
      <c r="E324" s="13"/>
      <c r="F324" s="13"/>
      <c r="G324" s="13"/>
      <c r="H324" s="13"/>
      <c r="I324" s="13"/>
      <c r="J324" s="13"/>
      <c r="K324" s="13"/>
      <c r="L324" s="13"/>
      <c r="M324" s="13"/>
      <c r="N324" s="13"/>
      <c r="O324" s="13"/>
      <c r="P324" s="13"/>
      <c r="Q324" s="13"/>
      <c r="R324" s="13"/>
      <c r="S324" s="13"/>
      <c r="T324" s="13"/>
      <c r="U324" s="13"/>
      <c r="V324" s="13"/>
      <c r="W324" s="13"/>
      <c r="X324" s="13"/>
      <c r="Y324" s="13"/>
      <c r="Z324" s="13"/>
      <c r="AA324" s="13"/>
    </row>
    <row r="325" spans="1:27" ht="17.399999999999999" x14ac:dyDescent="0.35">
      <c r="A325" s="13"/>
      <c r="B325" s="13"/>
      <c r="C325" s="13"/>
      <c r="D325" s="13"/>
      <c r="E325" s="13"/>
      <c r="F325" s="13"/>
      <c r="G325" s="13"/>
      <c r="H325" s="13"/>
      <c r="I325" s="13"/>
      <c r="J325" s="13"/>
      <c r="K325" s="13"/>
      <c r="L325" s="13"/>
      <c r="M325" s="13"/>
      <c r="N325" s="13"/>
      <c r="O325" s="13"/>
      <c r="P325" s="13"/>
      <c r="Q325" s="13"/>
      <c r="R325" s="13"/>
      <c r="S325" s="13"/>
      <c r="T325" s="13"/>
      <c r="U325" s="13"/>
      <c r="V325" s="13"/>
      <c r="W325" s="13"/>
      <c r="X325" s="13"/>
      <c r="Y325" s="13"/>
      <c r="Z325" s="13"/>
      <c r="AA325" s="13"/>
    </row>
    <row r="326" spans="1:27" ht="17.399999999999999" x14ac:dyDescent="0.35">
      <c r="A326" s="13"/>
      <c r="B326" s="13"/>
      <c r="C326" s="13"/>
      <c r="D326" s="13"/>
      <c r="E326" s="13"/>
      <c r="F326" s="13"/>
      <c r="G326" s="13"/>
      <c r="H326" s="13"/>
      <c r="I326" s="13"/>
      <c r="J326" s="13"/>
      <c r="K326" s="13"/>
      <c r="L326" s="13"/>
      <c r="M326" s="13"/>
      <c r="N326" s="13"/>
      <c r="O326" s="13"/>
      <c r="P326" s="13"/>
      <c r="Q326" s="13"/>
      <c r="R326" s="13"/>
      <c r="S326" s="13"/>
      <c r="T326" s="13"/>
      <c r="U326" s="13"/>
      <c r="V326" s="13"/>
      <c r="W326" s="13"/>
      <c r="X326" s="13"/>
      <c r="Y326" s="13"/>
      <c r="Z326" s="13"/>
      <c r="AA326" s="13"/>
    </row>
    <row r="327" spans="1:27" ht="17.399999999999999" x14ac:dyDescent="0.35">
      <c r="A327" s="13"/>
      <c r="B327" s="13"/>
      <c r="C327" s="13"/>
      <c r="D327" s="13"/>
      <c r="E327" s="13"/>
      <c r="F327" s="13"/>
      <c r="G327" s="13"/>
      <c r="H327" s="13"/>
      <c r="I327" s="13"/>
      <c r="J327" s="13"/>
      <c r="K327" s="13"/>
      <c r="L327" s="13"/>
      <c r="M327" s="13"/>
      <c r="N327" s="13"/>
      <c r="O327" s="13"/>
      <c r="P327" s="13"/>
      <c r="Q327" s="13"/>
      <c r="R327" s="13"/>
      <c r="S327" s="13"/>
      <c r="T327" s="13"/>
      <c r="U327" s="13"/>
      <c r="V327" s="13"/>
      <c r="W327" s="13"/>
      <c r="X327" s="13"/>
      <c r="Y327" s="13"/>
      <c r="Z327" s="13"/>
      <c r="AA327" s="13"/>
    </row>
    <row r="328" spans="1:27" ht="17.399999999999999" x14ac:dyDescent="0.35">
      <c r="A328" s="13"/>
      <c r="B328" s="13"/>
      <c r="C328" s="13"/>
      <c r="D328" s="13"/>
      <c r="E328" s="13"/>
      <c r="F328" s="13"/>
      <c r="G328" s="13"/>
      <c r="H328" s="13"/>
      <c r="I328" s="13"/>
      <c r="J328" s="13"/>
      <c r="K328" s="13"/>
      <c r="L328" s="13"/>
      <c r="M328" s="13"/>
      <c r="N328" s="13"/>
      <c r="O328" s="13"/>
      <c r="P328" s="13"/>
      <c r="Q328" s="13"/>
      <c r="R328" s="13"/>
      <c r="S328" s="13"/>
      <c r="T328" s="13"/>
      <c r="U328" s="13"/>
      <c r="V328" s="13"/>
      <c r="W328" s="13"/>
      <c r="X328" s="13"/>
      <c r="Y328" s="13"/>
      <c r="Z328" s="13"/>
      <c r="AA328" s="13"/>
    </row>
    <row r="329" spans="1:27" ht="17.399999999999999" x14ac:dyDescent="0.35">
      <c r="A329" s="13"/>
      <c r="B329" s="13"/>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c r="AA329" s="13"/>
    </row>
    <row r="330" spans="1:27" ht="17.399999999999999" x14ac:dyDescent="0.35">
      <c r="A330" s="13"/>
      <c r="B330" s="13"/>
      <c r="C330" s="13"/>
      <c r="D330" s="13"/>
      <c r="E330" s="13"/>
      <c r="F330" s="13"/>
      <c r="G330" s="13"/>
      <c r="H330" s="13"/>
      <c r="I330" s="13"/>
      <c r="J330" s="13"/>
      <c r="K330" s="13"/>
      <c r="L330" s="13"/>
      <c r="M330" s="13"/>
      <c r="N330" s="13"/>
      <c r="O330" s="13"/>
      <c r="P330" s="13"/>
      <c r="Q330" s="13"/>
      <c r="R330" s="13"/>
      <c r="S330" s="13"/>
      <c r="T330" s="13"/>
      <c r="U330" s="13"/>
      <c r="V330" s="13"/>
      <c r="W330" s="13"/>
      <c r="X330" s="13"/>
      <c r="Y330" s="13"/>
      <c r="Z330" s="13"/>
      <c r="AA330" s="13"/>
    </row>
    <row r="331" spans="1:27" ht="17.399999999999999" x14ac:dyDescent="0.35">
      <c r="A331" s="13"/>
      <c r="B331" s="13"/>
      <c r="C331" s="13"/>
      <c r="D331" s="13"/>
      <c r="E331" s="13"/>
      <c r="F331" s="13"/>
      <c r="G331" s="13"/>
      <c r="H331" s="13"/>
      <c r="I331" s="13"/>
      <c r="J331" s="13"/>
      <c r="K331" s="13"/>
      <c r="L331" s="13"/>
      <c r="M331" s="13"/>
      <c r="N331" s="13"/>
      <c r="O331" s="13"/>
      <c r="P331" s="13"/>
      <c r="Q331" s="13"/>
      <c r="R331" s="13"/>
      <c r="S331" s="13"/>
      <c r="T331" s="13"/>
      <c r="U331" s="13"/>
      <c r="V331" s="13"/>
      <c r="W331" s="13"/>
      <c r="X331" s="13"/>
      <c r="Y331" s="13"/>
      <c r="Z331" s="13"/>
      <c r="AA331" s="13"/>
    </row>
    <row r="332" spans="1:27" ht="17.399999999999999" x14ac:dyDescent="0.35">
      <c r="A332" s="13"/>
      <c r="B332" s="13"/>
      <c r="C332" s="13"/>
      <c r="D332" s="13"/>
      <c r="E332" s="13"/>
      <c r="F332" s="13"/>
      <c r="G332" s="13"/>
      <c r="H332" s="13"/>
      <c r="I332" s="13"/>
      <c r="J332" s="13"/>
      <c r="K332" s="13"/>
      <c r="L332" s="13"/>
      <c r="M332" s="13"/>
      <c r="N332" s="13"/>
      <c r="O332" s="13"/>
      <c r="P332" s="13"/>
      <c r="Q332" s="13"/>
      <c r="R332" s="13"/>
      <c r="S332" s="13"/>
      <c r="T332" s="13"/>
      <c r="U332" s="13"/>
      <c r="V332" s="13"/>
      <c r="W332" s="13"/>
      <c r="X332" s="13"/>
      <c r="Y332" s="13"/>
      <c r="Z332" s="13"/>
      <c r="AA332" s="13"/>
    </row>
    <row r="333" spans="1:27" ht="17.399999999999999" x14ac:dyDescent="0.35">
      <c r="A333" s="13"/>
      <c r="B333" s="13"/>
      <c r="C333" s="13"/>
      <c r="D333" s="13"/>
      <c r="E333" s="13"/>
      <c r="F333" s="13"/>
      <c r="G333" s="13"/>
      <c r="H333" s="13"/>
      <c r="I333" s="13"/>
      <c r="J333" s="13"/>
      <c r="K333" s="13"/>
      <c r="L333" s="13"/>
      <c r="M333" s="13"/>
      <c r="N333" s="13"/>
      <c r="O333" s="13"/>
      <c r="P333" s="13"/>
      <c r="Q333" s="13"/>
      <c r="R333" s="13"/>
      <c r="S333" s="13"/>
      <c r="T333" s="13"/>
      <c r="U333" s="13"/>
      <c r="V333" s="13"/>
      <c r="W333" s="13"/>
      <c r="X333" s="13"/>
      <c r="Y333" s="13"/>
      <c r="Z333" s="13"/>
      <c r="AA333" s="13"/>
    </row>
    <row r="334" spans="1:27" ht="17.399999999999999" x14ac:dyDescent="0.35">
      <c r="A334" s="13"/>
      <c r="B334" s="13"/>
      <c r="C334" s="13"/>
      <c r="D334" s="13"/>
      <c r="E334" s="13"/>
      <c r="F334" s="13"/>
      <c r="G334" s="13"/>
      <c r="H334" s="13"/>
      <c r="I334" s="13"/>
      <c r="J334" s="13"/>
      <c r="K334" s="13"/>
      <c r="L334" s="13"/>
      <c r="M334" s="13"/>
      <c r="N334" s="13"/>
      <c r="O334" s="13"/>
      <c r="P334" s="13"/>
      <c r="Q334" s="13"/>
      <c r="R334" s="13"/>
      <c r="S334" s="13"/>
      <c r="T334" s="13"/>
      <c r="U334" s="13"/>
      <c r="V334" s="13"/>
      <c r="W334" s="13"/>
      <c r="X334" s="13"/>
      <c r="Y334" s="13"/>
      <c r="Z334" s="13"/>
      <c r="AA334" s="13"/>
    </row>
    <row r="335" spans="1:27" ht="17.399999999999999" x14ac:dyDescent="0.35">
      <c r="A335" s="13"/>
      <c r="B335" s="13"/>
      <c r="C335" s="13"/>
      <c r="D335" s="13"/>
      <c r="E335" s="13"/>
      <c r="F335" s="13"/>
      <c r="G335" s="13"/>
      <c r="H335" s="13"/>
      <c r="I335" s="13"/>
      <c r="J335" s="13"/>
      <c r="K335" s="13"/>
      <c r="L335" s="13"/>
      <c r="M335" s="13"/>
      <c r="N335" s="13"/>
      <c r="O335" s="13"/>
      <c r="P335" s="13"/>
      <c r="Q335" s="13"/>
      <c r="R335" s="13"/>
      <c r="S335" s="13"/>
      <c r="T335" s="13"/>
      <c r="U335" s="13"/>
      <c r="V335" s="13"/>
      <c r="W335" s="13"/>
      <c r="X335" s="13"/>
      <c r="Y335" s="13"/>
      <c r="Z335" s="13"/>
      <c r="AA335" s="13"/>
    </row>
    <row r="336" spans="1:27" ht="17.399999999999999" x14ac:dyDescent="0.35">
      <c r="A336" s="13"/>
      <c r="B336" s="13"/>
      <c r="C336" s="13"/>
      <c r="D336" s="13"/>
      <c r="E336" s="13"/>
      <c r="F336" s="13"/>
      <c r="G336" s="13"/>
      <c r="H336" s="13"/>
      <c r="I336" s="13"/>
      <c r="J336" s="13"/>
      <c r="K336" s="13"/>
      <c r="L336" s="13"/>
      <c r="M336" s="13"/>
      <c r="N336" s="13"/>
      <c r="O336" s="13"/>
      <c r="P336" s="13"/>
      <c r="Q336" s="13"/>
      <c r="R336" s="13"/>
      <c r="S336" s="13"/>
      <c r="T336" s="13"/>
      <c r="U336" s="13"/>
      <c r="V336" s="13"/>
      <c r="W336" s="13"/>
      <c r="X336" s="13"/>
      <c r="Y336" s="13"/>
      <c r="Z336" s="13"/>
      <c r="AA336" s="13"/>
    </row>
    <row r="337" spans="1:27" ht="17.399999999999999" x14ac:dyDescent="0.35">
      <c r="A337" s="13"/>
      <c r="B337" s="13"/>
      <c r="C337" s="13"/>
      <c r="D337" s="13"/>
      <c r="E337" s="13"/>
      <c r="F337" s="13"/>
      <c r="G337" s="13"/>
      <c r="H337" s="13"/>
      <c r="I337" s="13"/>
      <c r="J337" s="13"/>
      <c r="K337" s="13"/>
      <c r="L337" s="13"/>
      <c r="M337" s="13"/>
      <c r="N337" s="13"/>
      <c r="O337" s="13"/>
      <c r="P337" s="13"/>
      <c r="Q337" s="13"/>
      <c r="R337" s="13"/>
      <c r="S337" s="13"/>
      <c r="T337" s="13"/>
      <c r="U337" s="13"/>
      <c r="V337" s="13"/>
      <c r="W337" s="13"/>
      <c r="X337" s="13"/>
      <c r="Y337" s="13"/>
      <c r="Z337" s="13"/>
      <c r="AA337" s="13"/>
    </row>
    <row r="338" spans="1:27" ht="17.399999999999999" x14ac:dyDescent="0.35">
      <c r="A338" s="13"/>
      <c r="B338" s="13"/>
      <c r="C338" s="13"/>
      <c r="D338" s="13"/>
      <c r="E338" s="13"/>
      <c r="F338" s="13"/>
      <c r="G338" s="13"/>
      <c r="H338" s="13"/>
      <c r="I338" s="13"/>
      <c r="J338" s="13"/>
      <c r="K338" s="13"/>
      <c r="L338" s="13"/>
      <c r="M338" s="13"/>
      <c r="N338" s="13"/>
      <c r="O338" s="13"/>
      <c r="P338" s="13"/>
      <c r="Q338" s="13"/>
      <c r="R338" s="13"/>
      <c r="S338" s="13"/>
      <c r="T338" s="13"/>
      <c r="U338" s="13"/>
      <c r="V338" s="13"/>
      <c r="W338" s="13"/>
      <c r="X338" s="13"/>
      <c r="Y338" s="13"/>
      <c r="Z338" s="13"/>
      <c r="AA338" s="13"/>
    </row>
    <row r="339" spans="1:27" ht="17.399999999999999" x14ac:dyDescent="0.35">
      <c r="A339" s="13"/>
      <c r="B339" s="13"/>
      <c r="C339" s="13"/>
      <c r="D339" s="13"/>
      <c r="E339" s="13"/>
      <c r="F339" s="13"/>
      <c r="G339" s="13"/>
      <c r="H339" s="13"/>
      <c r="I339" s="13"/>
      <c r="J339" s="13"/>
      <c r="K339" s="13"/>
      <c r="L339" s="13"/>
      <c r="M339" s="13"/>
      <c r="N339" s="13"/>
      <c r="O339" s="13"/>
      <c r="P339" s="13"/>
      <c r="Q339" s="13"/>
      <c r="R339" s="13"/>
      <c r="S339" s="13"/>
      <c r="T339" s="13"/>
      <c r="U339" s="13"/>
      <c r="V339" s="13"/>
      <c r="W339" s="13"/>
      <c r="X339" s="13"/>
      <c r="Y339" s="13"/>
      <c r="Z339" s="13"/>
      <c r="AA339" s="13"/>
    </row>
    <row r="340" spans="1:27" ht="17.399999999999999" x14ac:dyDescent="0.35">
      <c r="A340" s="13"/>
      <c r="B340" s="13"/>
      <c r="C340" s="13"/>
      <c r="D340" s="13"/>
      <c r="E340" s="13"/>
      <c r="F340" s="13"/>
      <c r="G340" s="13"/>
      <c r="H340" s="13"/>
      <c r="I340" s="13"/>
      <c r="J340" s="13"/>
      <c r="K340" s="13"/>
      <c r="L340" s="13"/>
      <c r="M340" s="13"/>
      <c r="N340" s="13"/>
      <c r="O340" s="13"/>
      <c r="P340" s="13"/>
      <c r="Q340" s="13"/>
      <c r="R340" s="13"/>
      <c r="S340" s="13"/>
      <c r="T340" s="13"/>
      <c r="U340" s="13"/>
      <c r="V340" s="13"/>
      <c r="W340" s="13"/>
      <c r="X340" s="13"/>
      <c r="Y340" s="13"/>
      <c r="Z340" s="13"/>
      <c r="AA340" s="13"/>
    </row>
    <row r="341" spans="1:27" ht="17.399999999999999" x14ac:dyDescent="0.35">
      <c r="A341" s="13"/>
      <c r="B341" s="13"/>
      <c r="C341" s="13"/>
      <c r="D341" s="13"/>
      <c r="E341" s="13"/>
      <c r="F341" s="13"/>
      <c r="G341" s="13"/>
      <c r="H341" s="13"/>
      <c r="I341" s="13"/>
      <c r="J341" s="13"/>
      <c r="K341" s="13"/>
      <c r="L341" s="13"/>
      <c r="M341" s="13"/>
      <c r="N341" s="13"/>
      <c r="O341" s="13"/>
      <c r="P341" s="13"/>
      <c r="Q341" s="13"/>
      <c r="R341" s="13"/>
      <c r="S341" s="13"/>
      <c r="T341" s="13"/>
      <c r="U341" s="13"/>
      <c r="V341" s="13"/>
      <c r="W341" s="13"/>
      <c r="X341" s="13"/>
      <c r="Y341" s="13"/>
      <c r="Z341" s="13"/>
      <c r="AA341" s="13"/>
    </row>
    <row r="342" spans="1:27" ht="17.399999999999999" x14ac:dyDescent="0.35">
      <c r="A342" s="13"/>
      <c r="B342" s="13"/>
      <c r="C342" s="13"/>
      <c r="D342" s="13"/>
      <c r="E342" s="13"/>
      <c r="F342" s="13"/>
      <c r="G342" s="13"/>
      <c r="H342" s="13"/>
      <c r="I342" s="13"/>
      <c r="J342" s="13"/>
      <c r="K342" s="13"/>
      <c r="L342" s="13"/>
      <c r="M342" s="13"/>
      <c r="N342" s="13"/>
      <c r="O342" s="13"/>
      <c r="P342" s="13"/>
      <c r="Q342" s="13"/>
      <c r="R342" s="13"/>
      <c r="S342" s="13"/>
      <c r="T342" s="13"/>
      <c r="U342" s="13"/>
      <c r="V342" s="13"/>
      <c r="W342" s="13"/>
      <c r="X342" s="13"/>
      <c r="Y342" s="13"/>
      <c r="Z342" s="13"/>
      <c r="AA342" s="13"/>
    </row>
    <row r="343" spans="1:27" ht="17.399999999999999" x14ac:dyDescent="0.35">
      <c r="A343" s="13"/>
      <c r="B343" s="13"/>
      <c r="C343" s="13"/>
      <c r="D343" s="13"/>
      <c r="E343" s="13"/>
      <c r="F343" s="13"/>
      <c r="G343" s="13"/>
      <c r="H343" s="13"/>
      <c r="I343" s="13"/>
      <c r="J343" s="13"/>
      <c r="K343" s="13"/>
      <c r="L343" s="13"/>
      <c r="M343" s="13"/>
      <c r="N343" s="13"/>
      <c r="O343" s="13"/>
      <c r="P343" s="13"/>
      <c r="Q343" s="13"/>
      <c r="R343" s="13"/>
      <c r="S343" s="13"/>
      <c r="T343" s="13"/>
      <c r="U343" s="13"/>
      <c r="V343" s="13"/>
      <c r="W343" s="13"/>
      <c r="X343" s="13"/>
      <c r="Y343" s="13"/>
      <c r="Z343" s="13"/>
      <c r="AA343" s="13"/>
    </row>
    <row r="344" spans="1:27" ht="17.399999999999999" x14ac:dyDescent="0.35">
      <c r="A344" s="13"/>
      <c r="B344" s="13"/>
      <c r="C344" s="13"/>
      <c r="D344" s="13"/>
      <c r="E344" s="13"/>
      <c r="F344" s="13"/>
      <c r="G344" s="13"/>
      <c r="H344" s="13"/>
      <c r="I344" s="13"/>
      <c r="J344" s="13"/>
      <c r="K344" s="13"/>
      <c r="L344" s="13"/>
      <c r="M344" s="13"/>
      <c r="N344" s="13"/>
      <c r="O344" s="13"/>
      <c r="P344" s="13"/>
      <c r="Q344" s="13"/>
      <c r="R344" s="13"/>
      <c r="S344" s="13"/>
      <c r="T344" s="13"/>
      <c r="U344" s="13"/>
      <c r="V344" s="13"/>
      <c r="W344" s="13"/>
      <c r="X344" s="13"/>
      <c r="Y344" s="13"/>
      <c r="Z344" s="13"/>
      <c r="AA344" s="13"/>
    </row>
    <row r="345" spans="1:27" ht="17.399999999999999" x14ac:dyDescent="0.35">
      <c r="A345" s="13"/>
      <c r="B345" s="13"/>
      <c r="C345" s="13"/>
      <c r="D345" s="13"/>
      <c r="E345" s="13"/>
      <c r="F345" s="13"/>
      <c r="G345" s="13"/>
      <c r="H345" s="13"/>
      <c r="I345" s="13"/>
      <c r="J345" s="13"/>
      <c r="K345" s="13"/>
      <c r="L345" s="13"/>
      <c r="M345" s="13"/>
      <c r="N345" s="13"/>
      <c r="O345" s="13"/>
      <c r="P345" s="13"/>
      <c r="Q345" s="13"/>
      <c r="R345" s="13"/>
      <c r="S345" s="13"/>
      <c r="T345" s="13"/>
      <c r="U345" s="13"/>
      <c r="V345" s="13"/>
      <c r="W345" s="13"/>
      <c r="X345" s="13"/>
      <c r="Y345" s="13"/>
      <c r="Z345" s="13"/>
      <c r="AA345" s="13"/>
    </row>
    <row r="346" spans="1:27" ht="17.399999999999999" x14ac:dyDescent="0.35">
      <c r="A346" s="13"/>
      <c r="B346" s="13"/>
      <c r="C346" s="13"/>
      <c r="D346" s="13"/>
      <c r="E346" s="13"/>
      <c r="F346" s="13"/>
      <c r="G346" s="13"/>
      <c r="H346" s="13"/>
      <c r="I346" s="13"/>
      <c r="J346" s="13"/>
      <c r="K346" s="13"/>
      <c r="L346" s="13"/>
      <c r="M346" s="13"/>
      <c r="N346" s="13"/>
      <c r="O346" s="13"/>
      <c r="P346" s="13"/>
      <c r="Q346" s="13"/>
      <c r="R346" s="13"/>
      <c r="S346" s="13"/>
      <c r="T346" s="13"/>
      <c r="U346" s="13"/>
      <c r="V346" s="13"/>
      <c r="W346" s="13"/>
      <c r="X346" s="13"/>
      <c r="Y346" s="13"/>
      <c r="Z346" s="13"/>
      <c r="AA346" s="13"/>
    </row>
    <row r="347" spans="1:27" ht="17.399999999999999" x14ac:dyDescent="0.35">
      <c r="A347" s="13"/>
      <c r="B347" s="13"/>
      <c r="C347" s="13"/>
      <c r="D347" s="13"/>
      <c r="E347" s="13"/>
      <c r="F347" s="13"/>
      <c r="G347" s="13"/>
      <c r="H347" s="13"/>
      <c r="I347" s="13"/>
      <c r="J347" s="13"/>
      <c r="K347" s="13"/>
      <c r="L347" s="13"/>
      <c r="M347" s="13"/>
      <c r="N347" s="13"/>
      <c r="O347" s="13"/>
      <c r="P347" s="13"/>
      <c r="Q347" s="13"/>
      <c r="R347" s="13"/>
      <c r="S347" s="13"/>
      <c r="T347" s="13"/>
      <c r="U347" s="13"/>
      <c r="V347" s="13"/>
      <c r="W347" s="13"/>
      <c r="X347" s="13"/>
      <c r="Y347" s="13"/>
      <c r="Z347" s="13"/>
      <c r="AA347" s="13"/>
    </row>
    <row r="348" spans="1:27" ht="17.399999999999999" x14ac:dyDescent="0.35">
      <c r="A348" s="13"/>
      <c r="B348" s="13"/>
      <c r="C348" s="13"/>
      <c r="D348" s="13"/>
      <c r="E348" s="13"/>
      <c r="F348" s="13"/>
      <c r="G348" s="13"/>
      <c r="H348" s="13"/>
      <c r="I348" s="13"/>
      <c r="J348" s="13"/>
      <c r="K348" s="13"/>
      <c r="L348" s="13"/>
      <c r="M348" s="13"/>
      <c r="N348" s="13"/>
      <c r="O348" s="13"/>
      <c r="P348" s="13"/>
      <c r="Q348" s="13"/>
      <c r="R348" s="13"/>
      <c r="S348" s="13"/>
      <c r="T348" s="13"/>
      <c r="U348" s="13"/>
      <c r="V348" s="13"/>
      <c r="W348" s="13"/>
      <c r="X348" s="13"/>
      <c r="Y348" s="13"/>
      <c r="Z348" s="13"/>
      <c r="AA348" s="13"/>
    </row>
    <row r="349" spans="1:27" ht="17.399999999999999" x14ac:dyDescent="0.35">
      <c r="A349" s="13"/>
      <c r="B349" s="13"/>
      <c r="C349" s="13"/>
      <c r="D349" s="13"/>
      <c r="E349" s="13"/>
      <c r="F349" s="13"/>
      <c r="G349" s="13"/>
      <c r="H349" s="13"/>
      <c r="I349" s="13"/>
      <c r="J349" s="13"/>
      <c r="K349" s="13"/>
      <c r="L349" s="13"/>
      <c r="M349" s="13"/>
      <c r="N349" s="13"/>
      <c r="O349" s="13"/>
      <c r="P349" s="13"/>
      <c r="Q349" s="13"/>
      <c r="R349" s="13"/>
      <c r="S349" s="13"/>
      <c r="T349" s="13"/>
      <c r="U349" s="13"/>
      <c r="V349" s="13"/>
      <c r="W349" s="13"/>
      <c r="X349" s="13"/>
      <c r="Y349" s="13"/>
      <c r="Z349" s="13"/>
      <c r="AA349" s="13"/>
    </row>
    <row r="350" spans="1:27" ht="17.399999999999999" x14ac:dyDescent="0.35">
      <c r="A350" s="13"/>
      <c r="B350" s="13"/>
      <c r="C350" s="13"/>
      <c r="D350" s="13"/>
      <c r="E350" s="13"/>
      <c r="F350" s="13"/>
      <c r="G350" s="13"/>
      <c r="H350" s="13"/>
      <c r="I350" s="13"/>
      <c r="J350" s="13"/>
      <c r="K350" s="13"/>
      <c r="L350" s="13"/>
      <c r="M350" s="13"/>
      <c r="N350" s="13"/>
      <c r="O350" s="13"/>
      <c r="P350" s="13"/>
      <c r="Q350" s="13"/>
      <c r="R350" s="13"/>
      <c r="S350" s="13"/>
      <c r="T350" s="13"/>
      <c r="U350" s="13"/>
      <c r="V350" s="13"/>
      <c r="W350" s="13"/>
      <c r="X350" s="13"/>
      <c r="Y350" s="13"/>
      <c r="Z350" s="13"/>
      <c r="AA350" s="13"/>
    </row>
    <row r="351" spans="1:27" ht="17.399999999999999" x14ac:dyDescent="0.35">
      <c r="A351" s="13"/>
      <c r="B351" s="13"/>
      <c r="C351" s="13"/>
      <c r="D351" s="13"/>
      <c r="E351" s="13"/>
      <c r="F351" s="13"/>
      <c r="G351" s="13"/>
      <c r="H351" s="13"/>
      <c r="I351" s="13"/>
      <c r="J351" s="13"/>
      <c r="K351" s="13"/>
      <c r="L351" s="13"/>
      <c r="M351" s="13"/>
      <c r="N351" s="13"/>
      <c r="O351" s="13"/>
      <c r="P351" s="13"/>
      <c r="Q351" s="13"/>
      <c r="R351" s="13"/>
      <c r="S351" s="13"/>
      <c r="T351" s="13"/>
      <c r="U351" s="13"/>
      <c r="V351" s="13"/>
      <c r="W351" s="13"/>
      <c r="X351" s="13"/>
      <c r="Y351" s="13"/>
      <c r="Z351" s="13"/>
      <c r="AA351" s="13"/>
    </row>
    <row r="352" spans="1:27" ht="17.399999999999999" x14ac:dyDescent="0.35">
      <c r="A352" s="13"/>
      <c r="B352" s="13"/>
      <c r="C352" s="13"/>
      <c r="D352" s="13"/>
      <c r="E352" s="13"/>
      <c r="F352" s="13"/>
      <c r="G352" s="13"/>
      <c r="H352" s="13"/>
      <c r="I352" s="13"/>
      <c r="J352" s="13"/>
      <c r="K352" s="13"/>
      <c r="L352" s="13"/>
      <c r="M352" s="13"/>
      <c r="N352" s="13"/>
      <c r="O352" s="13"/>
      <c r="P352" s="13"/>
      <c r="Q352" s="13"/>
      <c r="R352" s="13"/>
      <c r="S352" s="13"/>
      <c r="T352" s="13"/>
      <c r="U352" s="13"/>
      <c r="V352" s="13"/>
      <c r="W352" s="13"/>
      <c r="X352" s="13"/>
      <c r="Y352" s="13"/>
      <c r="Z352" s="13"/>
      <c r="AA352" s="13"/>
    </row>
    <row r="353" spans="1:27" ht="17.399999999999999" x14ac:dyDescent="0.35">
      <c r="A353" s="13"/>
      <c r="B353" s="13"/>
      <c r="C353" s="13"/>
      <c r="D353" s="13"/>
      <c r="E353" s="13"/>
      <c r="F353" s="13"/>
      <c r="G353" s="13"/>
      <c r="H353" s="13"/>
      <c r="I353" s="13"/>
      <c r="J353" s="13"/>
      <c r="K353" s="13"/>
      <c r="L353" s="13"/>
      <c r="M353" s="13"/>
      <c r="N353" s="13"/>
      <c r="O353" s="13"/>
      <c r="P353" s="13"/>
      <c r="Q353" s="13"/>
      <c r="R353" s="13"/>
      <c r="S353" s="13"/>
      <c r="T353" s="13"/>
      <c r="U353" s="13"/>
      <c r="V353" s="13"/>
      <c r="W353" s="13"/>
      <c r="X353" s="13"/>
      <c r="Y353" s="13"/>
      <c r="Z353" s="13"/>
      <c r="AA353" s="13"/>
    </row>
    <row r="354" spans="1:27" ht="17.399999999999999" x14ac:dyDescent="0.35">
      <c r="A354" s="13"/>
      <c r="B354" s="13"/>
      <c r="C354" s="13"/>
      <c r="D354" s="13"/>
      <c r="E354" s="13"/>
      <c r="F354" s="13"/>
      <c r="G354" s="13"/>
      <c r="H354" s="13"/>
      <c r="I354" s="13"/>
      <c r="J354" s="13"/>
      <c r="K354" s="13"/>
      <c r="L354" s="13"/>
      <c r="M354" s="13"/>
      <c r="N354" s="13"/>
      <c r="O354" s="13"/>
      <c r="P354" s="13"/>
      <c r="Q354" s="13"/>
      <c r="R354" s="13"/>
      <c r="S354" s="13"/>
      <c r="T354" s="13"/>
      <c r="U354" s="13"/>
      <c r="V354" s="13"/>
      <c r="W354" s="13"/>
      <c r="X354" s="13"/>
      <c r="Y354" s="13"/>
      <c r="Z354" s="13"/>
      <c r="AA354" s="13"/>
    </row>
    <row r="355" spans="1:27" ht="17.399999999999999" x14ac:dyDescent="0.35">
      <c r="A355" s="13"/>
      <c r="B355" s="13"/>
      <c r="C355" s="13"/>
      <c r="D355" s="13"/>
      <c r="E355" s="13"/>
      <c r="F355" s="13"/>
      <c r="G355" s="13"/>
      <c r="H355" s="13"/>
      <c r="I355" s="13"/>
      <c r="J355" s="13"/>
      <c r="K355" s="13"/>
      <c r="L355" s="13"/>
      <c r="M355" s="13"/>
      <c r="N355" s="13"/>
      <c r="O355" s="13"/>
      <c r="P355" s="13"/>
      <c r="Q355" s="13"/>
      <c r="R355" s="13"/>
      <c r="S355" s="13"/>
      <c r="T355" s="13"/>
      <c r="U355" s="13"/>
      <c r="V355" s="13"/>
      <c r="W355" s="13"/>
      <c r="X355" s="13"/>
      <c r="Y355" s="13"/>
      <c r="Z355" s="13"/>
      <c r="AA355" s="13"/>
    </row>
    <row r="356" spans="1:27" ht="17.399999999999999" x14ac:dyDescent="0.35">
      <c r="A356" s="13"/>
      <c r="B356" s="13"/>
      <c r="C356" s="13"/>
      <c r="D356" s="13"/>
      <c r="E356" s="13"/>
      <c r="F356" s="13"/>
      <c r="G356" s="13"/>
      <c r="H356" s="13"/>
      <c r="I356" s="13"/>
      <c r="J356" s="13"/>
      <c r="K356" s="13"/>
      <c r="L356" s="13"/>
      <c r="M356" s="13"/>
      <c r="N356" s="13"/>
      <c r="O356" s="13"/>
      <c r="P356" s="13"/>
      <c r="Q356" s="13"/>
      <c r="R356" s="13"/>
      <c r="S356" s="13"/>
      <c r="T356" s="13"/>
      <c r="U356" s="13"/>
      <c r="V356" s="13"/>
      <c r="W356" s="13"/>
      <c r="X356" s="13"/>
      <c r="Y356" s="13"/>
      <c r="Z356" s="13"/>
      <c r="AA356" s="13"/>
    </row>
    <row r="357" spans="1:27" ht="17.399999999999999" x14ac:dyDescent="0.35">
      <c r="A357" s="13"/>
      <c r="B357" s="13"/>
      <c r="C357" s="13"/>
      <c r="D357" s="13"/>
      <c r="E357" s="13"/>
      <c r="F357" s="13"/>
      <c r="G357" s="13"/>
      <c r="H357" s="13"/>
      <c r="I357" s="13"/>
      <c r="J357" s="13"/>
      <c r="K357" s="13"/>
      <c r="L357" s="13"/>
      <c r="M357" s="13"/>
      <c r="N357" s="13"/>
      <c r="O357" s="13"/>
      <c r="P357" s="13"/>
      <c r="Q357" s="13"/>
      <c r="R357" s="13"/>
      <c r="S357" s="13"/>
      <c r="T357" s="13"/>
      <c r="U357" s="13"/>
      <c r="V357" s="13"/>
      <c r="W357" s="13"/>
      <c r="X357" s="13"/>
      <c r="Y357" s="13"/>
      <c r="Z357" s="13"/>
      <c r="AA357" s="13"/>
    </row>
    <row r="358" spans="1:27" ht="17.399999999999999" x14ac:dyDescent="0.35">
      <c r="A358" s="13"/>
      <c r="B358" s="13"/>
      <c r="C358" s="13"/>
      <c r="D358" s="13"/>
      <c r="E358" s="13"/>
      <c r="F358" s="13"/>
      <c r="G358" s="13"/>
      <c r="H358" s="13"/>
      <c r="I358" s="13"/>
      <c r="J358" s="13"/>
      <c r="K358" s="13"/>
      <c r="L358" s="13"/>
      <c r="M358" s="13"/>
      <c r="N358" s="13"/>
      <c r="O358" s="13"/>
      <c r="P358" s="13"/>
      <c r="Q358" s="13"/>
      <c r="R358" s="13"/>
      <c r="S358" s="13"/>
      <c r="T358" s="13"/>
      <c r="U358" s="13"/>
      <c r="V358" s="13"/>
      <c r="W358" s="13"/>
      <c r="X358" s="13"/>
      <c r="Y358" s="13"/>
      <c r="Z358" s="13"/>
      <c r="AA358" s="13"/>
    </row>
    <row r="359" spans="1:27" ht="17.399999999999999" x14ac:dyDescent="0.35">
      <c r="A359" s="13"/>
      <c r="B359" s="13"/>
      <c r="C359" s="13"/>
      <c r="D359" s="13"/>
      <c r="E359" s="13"/>
      <c r="F359" s="13"/>
      <c r="G359" s="13"/>
      <c r="H359" s="13"/>
      <c r="I359" s="13"/>
      <c r="J359" s="13"/>
      <c r="K359" s="13"/>
      <c r="L359" s="13"/>
      <c r="M359" s="13"/>
      <c r="N359" s="13"/>
      <c r="O359" s="13"/>
      <c r="P359" s="13"/>
      <c r="Q359" s="13"/>
      <c r="R359" s="13"/>
      <c r="S359" s="13"/>
      <c r="T359" s="13"/>
      <c r="U359" s="13"/>
      <c r="V359" s="13"/>
      <c r="W359" s="13"/>
      <c r="X359" s="13"/>
      <c r="Y359" s="13"/>
      <c r="Z359" s="13"/>
      <c r="AA359" s="13"/>
    </row>
    <row r="360" spans="1:27" ht="17.399999999999999" x14ac:dyDescent="0.35">
      <c r="A360" s="13"/>
      <c r="B360" s="13"/>
      <c r="C360" s="13"/>
      <c r="D360" s="13"/>
      <c r="E360" s="13"/>
      <c r="F360" s="13"/>
      <c r="G360" s="13"/>
      <c r="H360" s="13"/>
      <c r="I360" s="13"/>
      <c r="J360" s="13"/>
      <c r="K360" s="13"/>
      <c r="L360" s="13"/>
      <c r="M360" s="13"/>
      <c r="N360" s="13"/>
      <c r="O360" s="13"/>
      <c r="P360" s="13"/>
      <c r="Q360" s="13"/>
      <c r="R360" s="13"/>
      <c r="S360" s="13"/>
      <c r="T360" s="13"/>
      <c r="U360" s="13"/>
      <c r="V360" s="13"/>
      <c r="W360" s="13"/>
      <c r="X360" s="13"/>
      <c r="Y360" s="13"/>
      <c r="Z360" s="13"/>
      <c r="AA360" s="13"/>
    </row>
    <row r="361" spans="1:27" ht="17.399999999999999" x14ac:dyDescent="0.35">
      <c r="A361" s="13"/>
      <c r="B361" s="13"/>
      <c r="C361" s="13"/>
      <c r="D361" s="13"/>
      <c r="E361" s="13"/>
      <c r="F361" s="13"/>
      <c r="G361" s="13"/>
      <c r="H361" s="13"/>
      <c r="I361" s="13"/>
      <c r="J361" s="13"/>
      <c r="K361" s="13"/>
      <c r="L361" s="13"/>
      <c r="M361" s="13"/>
      <c r="N361" s="13"/>
      <c r="O361" s="13"/>
      <c r="P361" s="13"/>
      <c r="Q361" s="13"/>
      <c r="R361" s="13"/>
      <c r="S361" s="13"/>
      <c r="T361" s="13"/>
      <c r="U361" s="13"/>
      <c r="V361" s="13"/>
      <c r="W361" s="13"/>
      <c r="X361" s="13"/>
      <c r="Y361" s="13"/>
      <c r="Z361" s="13"/>
      <c r="AA361" s="13"/>
    </row>
    <row r="362" spans="1:27" ht="17.399999999999999" x14ac:dyDescent="0.35">
      <c r="A362" s="13"/>
      <c r="B362" s="13"/>
      <c r="C362" s="13"/>
      <c r="D362" s="13"/>
      <c r="E362" s="13"/>
      <c r="F362" s="13"/>
      <c r="G362" s="13"/>
      <c r="H362" s="13"/>
      <c r="I362" s="13"/>
      <c r="J362" s="13"/>
      <c r="K362" s="13"/>
      <c r="L362" s="13"/>
      <c r="M362" s="13"/>
      <c r="N362" s="13"/>
      <c r="O362" s="13"/>
      <c r="P362" s="13"/>
      <c r="Q362" s="13"/>
      <c r="R362" s="13"/>
      <c r="S362" s="13"/>
      <c r="T362" s="13"/>
      <c r="U362" s="13"/>
      <c r="V362" s="13"/>
      <c r="W362" s="13"/>
      <c r="X362" s="13"/>
      <c r="Y362" s="13"/>
      <c r="Z362" s="13"/>
      <c r="AA362" s="13"/>
    </row>
    <row r="363" spans="1:27" ht="17.399999999999999" x14ac:dyDescent="0.35">
      <c r="A363" s="13"/>
      <c r="B363" s="13"/>
      <c r="C363" s="13"/>
      <c r="D363" s="13"/>
      <c r="E363" s="13"/>
      <c r="F363" s="13"/>
      <c r="G363" s="13"/>
      <c r="H363" s="13"/>
      <c r="I363" s="13"/>
      <c r="J363" s="13"/>
      <c r="K363" s="13"/>
      <c r="L363" s="13"/>
      <c r="M363" s="13"/>
      <c r="N363" s="13"/>
      <c r="O363" s="13"/>
      <c r="P363" s="13"/>
      <c r="Q363" s="13"/>
      <c r="R363" s="13"/>
      <c r="S363" s="13"/>
      <c r="T363" s="13"/>
      <c r="U363" s="13"/>
      <c r="V363" s="13"/>
      <c r="W363" s="13"/>
      <c r="X363" s="13"/>
      <c r="Y363" s="13"/>
      <c r="Z363" s="13"/>
      <c r="AA363" s="13"/>
    </row>
    <row r="364" spans="1:27" ht="17.399999999999999" x14ac:dyDescent="0.35">
      <c r="A364" s="13"/>
      <c r="B364" s="13"/>
      <c r="C364" s="13"/>
      <c r="D364" s="13"/>
      <c r="E364" s="13"/>
      <c r="F364" s="13"/>
      <c r="G364" s="13"/>
      <c r="H364" s="13"/>
      <c r="I364" s="13"/>
      <c r="J364" s="13"/>
      <c r="K364" s="13"/>
      <c r="L364" s="13"/>
      <c r="M364" s="13"/>
      <c r="N364" s="13"/>
      <c r="O364" s="13"/>
      <c r="P364" s="13"/>
      <c r="Q364" s="13"/>
      <c r="R364" s="13"/>
      <c r="S364" s="13"/>
      <c r="T364" s="13"/>
      <c r="U364" s="13"/>
      <c r="V364" s="13"/>
      <c r="W364" s="13"/>
      <c r="X364" s="13"/>
      <c r="Y364" s="13"/>
      <c r="Z364" s="13"/>
      <c r="AA364" s="13"/>
    </row>
    <row r="365" spans="1:27" ht="17.399999999999999" x14ac:dyDescent="0.35">
      <c r="A365" s="13"/>
      <c r="B365" s="13"/>
      <c r="C365" s="13"/>
      <c r="D365" s="13"/>
      <c r="E365" s="13"/>
      <c r="F365" s="13"/>
      <c r="G365" s="13"/>
      <c r="H365" s="13"/>
      <c r="I365" s="13"/>
      <c r="J365" s="13"/>
      <c r="K365" s="13"/>
      <c r="L365" s="13"/>
      <c r="M365" s="13"/>
      <c r="N365" s="13"/>
      <c r="O365" s="13"/>
      <c r="P365" s="13"/>
      <c r="Q365" s="13"/>
      <c r="R365" s="13"/>
      <c r="S365" s="13"/>
      <c r="T365" s="13"/>
      <c r="U365" s="13"/>
      <c r="V365" s="13"/>
      <c r="W365" s="13"/>
      <c r="X365" s="13"/>
      <c r="Y365" s="13"/>
      <c r="Z365" s="13"/>
      <c r="AA365" s="13"/>
    </row>
    <row r="366" spans="1:27" ht="17.399999999999999" x14ac:dyDescent="0.35">
      <c r="A366" s="13"/>
      <c r="B366" s="13"/>
      <c r="C366" s="13"/>
      <c r="D366" s="13"/>
      <c r="E366" s="13"/>
      <c r="F366" s="13"/>
      <c r="G366" s="13"/>
      <c r="H366" s="13"/>
      <c r="I366" s="13"/>
      <c r="J366" s="13"/>
      <c r="K366" s="13"/>
      <c r="L366" s="13"/>
      <c r="M366" s="13"/>
      <c r="N366" s="13"/>
      <c r="O366" s="13"/>
      <c r="P366" s="13"/>
      <c r="Q366" s="13"/>
      <c r="R366" s="13"/>
      <c r="S366" s="13"/>
      <c r="T366" s="13"/>
      <c r="U366" s="13"/>
      <c r="V366" s="13"/>
      <c r="W366" s="13"/>
      <c r="X366" s="13"/>
      <c r="Y366" s="13"/>
      <c r="Z366" s="13"/>
      <c r="AA366" s="13"/>
    </row>
    <row r="367" spans="1:27" ht="17.399999999999999" x14ac:dyDescent="0.35">
      <c r="A367" s="13"/>
      <c r="B367" s="13"/>
      <c r="C367" s="13"/>
      <c r="D367" s="13"/>
      <c r="E367" s="13"/>
      <c r="F367" s="13"/>
      <c r="G367" s="13"/>
      <c r="H367" s="13"/>
      <c r="I367" s="13"/>
      <c r="J367" s="13"/>
      <c r="K367" s="13"/>
      <c r="L367" s="13"/>
      <c r="M367" s="13"/>
      <c r="N367" s="13"/>
      <c r="O367" s="13"/>
      <c r="P367" s="13"/>
      <c r="Q367" s="13"/>
      <c r="R367" s="13"/>
      <c r="S367" s="13"/>
      <c r="T367" s="13"/>
      <c r="U367" s="13"/>
      <c r="V367" s="13"/>
      <c r="W367" s="13"/>
      <c r="X367" s="13"/>
      <c r="Y367" s="13"/>
      <c r="Z367" s="13"/>
      <c r="AA367" s="13"/>
    </row>
    <row r="368" spans="1:27" ht="17.399999999999999" x14ac:dyDescent="0.35">
      <c r="A368" s="13"/>
      <c r="B368" s="13"/>
      <c r="C368" s="13"/>
      <c r="D368" s="13"/>
      <c r="E368" s="13"/>
      <c r="F368" s="13"/>
      <c r="G368" s="13"/>
      <c r="H368" s="13"/>
      <c r="I368" s="13"/>
      <c r="J368" s="13"/>
      <c r="K368" s="13"/>
      <c r="L368" s="13"/>
      <c r="M368" s="13"/>
      <c r="N368" s="13"/>
      <c r="O368" s="13"/>
      <c r="P368" s="13"/>
      <c r="Q368" s="13"/>
      <c r="R368" s="13"/>
      <c r="S368" s="13"/>
      <c r="T368" s="13"/>
      <c r="U368" s="13"/>
      <c r="V368" s="13"/>
      <c r="W368" s="13"/>
      <c r="X368" s="13"/>
      <c r="Y368" s="13"/>
      <c r="Z368" s="13"/>
      <c r="AA368" s="13"/>
    </row>
    <row r="369" spans="1:27" ht="17.399999999999999" x14ac:dyDescent="0.35">
      <c r="A369" s="13"/>
      <c r="B369" s="13"/>
      <c r="C369" s="13"/>
      <c r="D369" s="13"/>
      <c r="E369" s="13"/>
      <c r="F369" s="13"/>
      <c r="G369" s="13"/>
      <c r="H369" s="13"/>
      <c r="I369" s="13"/>
      <c r="J369" s="13"/>
      <c r="K369" s="13"/>
      <c r="L369" s="13"/>
      <c r="M369" s="13"/>
      <c r="N369" s="13"/>
      <c r="O369" s="13"/>
      <c r="P369" s="13"/>
      <c r="Q369" s="13"/>
      <c r="R369" s="13"/>
      <c r="S369" s="13"/>
      <c r="T369" s="13"/>
      <c r="U369" s="13"/>
      <c r="V369" s="13"/>
      <c r="W369" s="13"/>
      <c r="X369" s="13"/>
      <c r="Y369" s="13"/>
      <c r="Z369" s="13"/>
      <c r="AA369" s="13"/>
    </row>
    <row r="370" spans="1:27" ht="17.399999999999999" x14ac:dyDescent="0.35">
      <c r="A370" s="13"/>
      <c r="B370" s="13"/>
      <c r="C370" s="13"/>
      <c r="D370" s="13"/>
      <c r="E370" s="13"/>
      <c r="F370" s="13"/>
      <c r="G370" s="13"/>
      <c r="H370" s="13"/>
      <c r="I370" s="13"/>
      <c r="J370" s="13"/>
      <c r="K370" s="13"/>
      <c r="L370" s="13"/>
      <c r="M370" s="13"/>
      <c r="N370" s="13"/>
      <c r="O370" s="13"/>
      <c r="P370" s="13"/>
      <c r="Q370" s="13"/>
      <c r="R370" s="13"/>
      <c r="S370" s="13"/>
      <c r="T370" s="13"/>
      <c r="U370" s="13"/>
      <c r="V370" s="13"/>
      <c r="W370" s="13"/>
      <c r="X370" s="13"/>
      <c r="Y370" s="13"/>
      <c r="Z370" s="13"/>
      <c r="AA370" s="13"/>
    </row>
    <row r="371" spans="1:27" ht="17.399999999999999" x14ac:dyDescent="0.35">
      <c r="A371" s="13"/>
      <c r="B371" s="13"/>
      <c r="C371" s="13"/>
      <c r="D371" s="13"/>
      <c r="E371" s="13"/>
      <c r="F371" s="13"/>
      <c r="G371" s="13"/>
      <c r="H371" s="13"/>
      <c r="I371" s="13"/>
      <c r="J371" s="13"/>
      <c r="K371" s="13"/>
      <c r="L371" s="13"/>
      <c r="M371" s="13"/>
      <c r="N371" s="13"/>
      <c r="O371" s="13"/>
      <c r="P371" s="13"/>
      <c r="Q371" s="13"/>
      <c r="R371" s="13"/>
      <c r="S371" s="13"/>
      <c r="T371" s="13"/>
      <c r="U371" s="13"/>
      <c r="V371" s="13"/>
      <c r="W371" s="13"/>
      <c r="X371" s="13"/>
      <c r="Y371" s="13"/>
      <c r="Z371" s="13"/>
      <c r="AA371" s="13"/>
    </row>
    <row r="372" spans="1:27" ht="17.399999999999999" x14ac:dyDescent="0.35">
      <c r="A372" s="13"/>
      <c r="B372" s="13"/>
      <c r="C372" s="13"/>
      <c r="D372" s="13"/>
      <c r="E372" s="13"/>
      <c r="F372" s="13"/>
      <c r="G372" s="13"/>
      <c r="H372" s="13"/>
      <c r="I372" s="13"/>
      <c r="J372" s="13"/>
      <c r="K372" s="13"/>
      <c r="L372" s="13"/>
      <c r="M372" s="13"/>
      <c r="N372" s="13"/>
      <c r="O372" s="13"/>
      <c r="P372" s="13"/>
      <c r="Q372" s="13"/>
      <c r="R372" s="13"/>
      <c r="S372" s="13"/>
      <c r="T372" s="13"/>
      <c r="U372" s="13"/>
      <c r="V372" s="13"/>
      <c r="W372" s="13"/>
      <c r="X372" s="13"/>
      <c r="Y372" s="13"/>
      <c r="Z372" s="13"/>
      <c r="AA372" s="13"/>
    </row>
    <row r="373" spans="1:27" ht="17.399999999999999" x14ac:dyDescent="0.35">
      <c r="A373" s="13"/>
      <c r="B373" s="13"/>
      <c r="C373" s="13"/>
      <c r="D373" s="13"/>
      <c r="E373" s="13"/>
      <c r="F373" s="13"/>
      <c r="G373" s="13"/>
      <c r="H373" s="13"/>
      <c r="I373" s="13"/>
      <c r="J373" s="13"/>
      <c r="K373" s="13"/>
      <c r="L373" s="13"/>
      <c r="M373" s="13"/>
      <c r="N373" s="13"/>
      <c r="O373" s="13"/>
      <c r="P373" s="13"/>
      <c r="Q373" s="13"/>
      <c r="R373" s="13"/>
      <c r="S373" s="13"/>
      <c r="T373" s="13"/>
      <c r="U373" s="13"/>
      <c r="V373" s="13"/>
      <c r="W373" s="13"/>
      <c r="X373" s="13"/>
      <c r="Y373" s="13"/>
      <c r="Z373" s="13"/>
      <c r="AA373" s="13"/>
    </row>
    <row r="374" spans="1:27" ht="17.399999999999999" x14ac:dyDescent="0.35">
      <c r="A374" s="13"/>
      <c r="B374" s="13"/>
      <c r="C374" s="13"/>
      <c r="D374" s="13"/>
      <c r="E374" s="13"/>
      <c r="F374" s="13"/>
      <c r="G374" s="13"/>
      <c r="H374" s="13"/>
      <c r="I374" s="13"/>
      <c r="J374" s="13"/>
      <c r="K374" s="13"/>
      <c r="L374" s="13"/>
      <c r="M374" s="13"/>
      <c r="N374" s="13"/>
      <c r="O374" s="13"/>
      <c r="P374" s="13"/>
      <c r="Q374" s="13"/>
      <c r="R374" s="13"/>
      <c r="S374" s="13"/>
      <c r="T374" s="13"/>
      <c r="U374" s="13"/>
      <c r="V374" s="13"/>
      <c r="W374" s="13"/>
      <c r="X374" s="13"/>
      <c r="Y374" s="13"/>
      <c r="Z374" s="13"/>
      <c r="AA374" s="13"/>
    </row>
    <row r="375" spans="1:27" ht="17.399999999999999" x14ac:dyDescent="0.35">
      <c r="A375" s="13"/>
      <c r="B375" s="13"/>
      <c r="C375" s="13"/>
      <c r="D375" s="13"/>
      <c r="E375" s="13"/>
      <c r="F375" s="13"/>
      <c r="G375" s="13"/>
      <c r="H375" s="13"/>
      <c r="I375" s="13"/>
      <c r="J375" s="13"/>
      <c r="K375" s="13"/>
      <c r="L375" s="13"/>
      <c r="M375" s="13"/>
      <c r="N375" s="13"/>
      <c r="O375" s="13"/>
      <c r="P375" s="13"/>
      <c r="Q375" s="13"/>
      <c r="R375" s="13"/>
      <c r="S375" s="13"/>
      <c r="T375" s="13"/>
      <c r="U375" s="13"/>
      <c r="V375" s="13"/>
      <c r="W375" s="13"/>
      <c r="X375" s="13"/>
      <c r="Y375" s="13"/>
      <c r="Z375" s="13"/>
      <c r="AA375" s="13"/>
    </row>
    <row r="376" spans="1:27" ht="17.399999999999999" x14ac:dyDescent="0.35">
      <c r="A376" s="13"/>
      <c r="B376" s="13"/>
      <c r="C376" s="13"/>
      <c r="D376" s="13"/>
      <c r="E376" s="13"/>
      <c r="F376" s="13"/>
      <c r="G376" s="13"/>
      <c r="H376" s="13"/>
      <c r="I376" s="13"/>
      <c r="J376" s="13"/>
      <c r="K376" s="13"/>
      <c r="L376" s="13"/>
      <c r="M376" s="13"/>
      <c r="N376" s="13"/>
      <c r="O376" s="13"/>
      <c r="P376" s="13"/>
      <c r="Q376" s="13"/>
      <c r="R376" s="13"/>
      <c r="S376" s="13"/>
      <c r="T376" s="13"/>
      <c r="U376" s="13"/>
      <c r="V376" s="13"/>
      <c r="W376" s="13"/>
      <c r="X376" s="13"/>
      <c r="Y376" s="13"/>
      <c r="Z376" s="13"/>
      <c r="AA376" s="13"/>
    </row>
    <row r="377" spans="1:27" ht="17.399999999999999" x14ac:dyDescent="0.35">
      <c r="A377" s="13"/>
      <c r="B377" s="13"/>
      <c r="C377" s="13"/>
      <c r="D377" s="13"/>
      <c r="E377" s="13"/>
      <c r="F377" s="13"/>
      <c r="G377" s="13"/>
      <c r="H377" s="13"/>
      <c r="I377" s="13"/>
      <c r="J377" s="13"/>
      <c r="K377" s="13"/>
      <c r="L377" s="13"/>
      <c r="M377" s="13"/>
      <c r="N377" s="13"/>
      <c r="O377" s="13"/>
      <c r="P377" s="13"/>
      <c r="Q377" s="13"/>
      <c r="R377" s="13"/>
      <c r="S377" s="13"/>
      <c r="T377" s="13"/>
      <c r="U377" s="13"/>
      <c r="V377" s="13"/>
      <c r="W377" s="13"/>
      <c r="X377" s="13"/>
      <c r="Y377" s="13"/>
      <c r="Z377" s="13"/>
      <c r="AA377" s="13"/>
    </row>
    <row r="378" spans="1:27" ht="17.399999999999999" x14ac:dyDescent="0.35">
      <c r="A378" s="13"/>
      <c r="B378" s="13"/>
      <c r="C378" s="13"/>
      <c r="D378" s="13"/>
      <c r="E378" s="13"/>
      <c r="F378" s="13"/>
      <c r="G378" s="13"/>
      <c r="H378" s="13"/>
      <c r="I378" s="13"/>
      <c r="J378" s="13"/>
      <c r="K378" s="13"/>
      <c r="L378" s="13"/>
      <c r="M378" s="13"/>
      <c r="N378" s="13"/>
      <c r="O378" s="13"/>
      <c r="P378" s="13"/>
      <c r="Q378" s="13"/>
      <c r="R378" s="13"/>
      <c r="S378" s="13"/>
      <c r="T378" s="13"/>
      <c r="U378" s="13"/>
      <c r="V378" s="13"/>
      <c r="W378" s="13"/>
      <c r="X378" s="13"/>
      <c r="Y378" s="13"/>
      <c r="Z378" s="13"/>
      <c r="AA378" s="13"/>
    </row>
    <row r="379" spans="1:27" ht="17.399999999999999" x14ac:dyDescent="0.35">
      <c r="A379" s="13"/>
      <c r="B379" s="13"/>
      <c r="C379" s="13"/>
      <c r="D379" s="13"/>
      <c r="E379" s="13"/>
      <c r="F379" s="13"/>
      <c r="G379" s="13"/>
      <c r="H379" s="13"/>
      <c r="I379" s="13"/>
      <c r="J379" s="13"/>
      <c r="K379" s="13"/>
      <c r="L379" s="13"/>
      <c r="M379" s="13"/>
      <c r="N379" s="13"/>
      <c r="O379" s="13"/>
      <c r="P379" s="13"/>
      <c r="Q379" s="13"/>
      <c r="R379" s="13"/>
      <c r="S379" s="13"/>
      <c r="T379" s="13"/>
      <c r="U379" s="13"/>
      <c r="V379" s="13"/>
      <c r="W379" s="13"/>
      <c r="X379" s="13"/>
      <c r="Y379" s="13"/>
      <c r="Z379" s="13"/>
      <c r="AA379" s="13"/>
    </row>
    <row r="380" spans="1:27" ht="17.399999999999999" x14ac:dyDescent="0.35">
      <c r="A380" s="13"/>
      <c r="B380" s="13"/>
      <c r="C380" s="13"/>
      <c r="D380" s="13"/>
      <c r="E380" s="13"/>
      <c r="F380" s="13"/>
      <c r="G380" s="13"/>
      <c r="H380" s="13"/>
      <c r="I380" s="13"/>
      <c r="J380" s="13"/>
      <c r="K380" s="13"/>
      <c r="L380" s="13"/>
      <c r="M380" s="13"/>
      <c r="N380" s="13"/>
      <c r="O380" s="13"/>
      <c r="P380" s="13"/>
      <c r="Q380" s="13"/>
      <c r="R380" s="13"/>
      <c r="S380" s="13"/>
      <c r="T380" s="13"/>
      <c r="U380" s="13"/>
      <c r="V380" s="13"/>
      <c r="W380" s="13"/>
      <c r="X380" s="13"/>
      <c r="Y380" s="13"/>
      <c r="Z380" s="13"/>
      <c r="AA380" s="13"/>
    </row>
    <row r="381" spans="1:27" ht="17.399999999999999" x14ac:dyDescent="0.35">
      <c r="A381" s="13"/>
      <c r="B381" s="13"/>
      <c r="C381" s="13"/>
      <c r="D381" s="13"/>
      <c r="E381" s="13"/>
      <c r="F381" s="13"/>
      <c r="G381" s="13"/>
      <c r="H381" s="13"/>
      <c r="I381" s="13"/>
      <c r="J381" s="13"/>
      <c r="K381" s="13"/>
      <c r="L381" s="13"/>
      <c r="M381" s="13"/>
      <c r="N381" s="13"/>
      <c r="O381" s="13"/>
      <c r="P381" s="13"/>
      <c r="Q381" s="13"/>
      <c r="R381" s="13"/>
      <c r="S381" s="13"/>
      <c r="T381" s="13"/>
      <c r="U381" s="13"/>
      <c r="V381" s="13"/>
      <c r="W381" s="13"/>
      <c r="X381" s="13"/>
      <c r="Y381" s="13"/>
      <c r="Z381" s="13"/>
      <c r="AA381" s="13"/>
    </row>
    <row r="382" spans="1:27" ht="17.399999999999999" x14ac:dyDescent="0.35">
      <c r="A382" s="13"/>
      <c r="B382" s="13"/>
      <c r="C382" s="13"/>
      <c r="D382" s="13"/>
      <c r="E382" s="13"/>
      <c r="F382" s="13"/>
      <c r="G382" s="13"/>
      <c r="H382" s="13"/>
      <c r="I382" s="13"/>
      <c r="J382" s="13"/>
      <c r="K382" s="13"/>
      <c r="L382" s="13"/>
      <c r="M382" s="13"/>
      <c r="N382" s="13"/>
      <c r="O382" s="13"/>
      <c r="P382" s="13"/>
      <c r="Q382" s="13"/>
      <c r="R382" s="13"/>
      <c r="S382" s="13"/>
      <c r="T382" s="13"/>
      <c r="U382" s="13"/>
      <c r="V382" s="13"/>
      <c r="W382" s="13"/>
      <c r="X382" s="13"/>
      <c r="Y382" s="13"/>
      <c r="Z382" s="13"/>
      <c r="AA382" s="13"/>
    </row>
    <row r="383" spans="1:27" ht="17.399999999999999" x14ac:dyDescent="0.35">
      <c r="A383" s="13"/>
      <c r="B383" s="13"/>
      <c r="C383" s="13"/>
      <c r="D383" s="13"/>
      <c r="E383" s="13"/>
      <c r="F383" s="13"/>
      <c r="G383" s="13"/>
      <c r="H383" s="13"/>
      <c r="I383" s="13"/>
      <c r="J383" s="13"/>
      <c r="K383" s="13"/>
      <c r="L383" s="13"/>
      <c r="M383" s="13"/>
      <c r="N383" s="13"/>
      <c r="O383" s="13"/>
      <c r="P383" s="13"/>
      <c r="Q383" s="13"/>
      <c r="R383" s="13"/>
      <c r="S383" s="13"/>
      <c r="T383" s="13"/>
      <c r="U383" s="13"/>
      <c r="V383" s="13"/>
      <c r="W383" s="13"/>
      <c r="X383" s="13"/>
      <c r="Y383" s="13"/>
      <c r="Z383" s="13"/>
      <c r="AA383" s="13"/>
    </row>
    <row r="384" spans="1:27" ht="17.399999999999999" x14ac:dyDescent="0.35">
      <c r="A384" s="13"/>
      <c r="B384" s="13"/>
      <c r="C384" s="13"/>
      <c r="D384" s="13"/>
      <c r="E384" s="13"/>
      <c r="F384" s="13"/>
      <c r="G384" s="13"/>
      <c r="H384" s="13"/>
      <c r="I384" s="13"/>
      <c r="J384" s="13"/>
      <c r="K384" s="13"/>
      <c r="L384" s="13"/>
      <c r="M384" s="13"/>
      <c r="N384" s="13"/>
      <c r="O384" s="13"/>
      <c r="P384" s="13"/>
      <c r="Q384" s="13"/>
      <c r="R384" s="13"/>
      <c r="S384" s="13"/>
      <c r="T384" s="13"/>
      <c r="U384" s="13"/>
      <c r="V384" s="13"/>
      <c r="W384" s="13"/>
      <c r="X384" s="13"/>
      <c r="Y384" s="13"/>
      <c r="Z384" s="13"/>
      <c r="AA384" s="13"/>
    </row>
    <row r="385" spans="1:27" ht="17.399999999999999" x14ac:dyDescent="0.35">
      <c r="A385" s="13"/>
      <c r="B385" s="13"/>
      <c r="C385" s="13"/>
      <c r="D385" s="13"/>
      <c r="E385" s="13"/>
      <c r="F385" s="13"/>
      <c r="G385" s="13"/>
      <c r="H385" s="13"/>
      <c r="I385" s="13"/>
      <c r="J385" s="13"/>
      <c r="K385" s="13"/>
      <c r="L385" s="13"/>
      <c r="M385" s="13"/>
      <c r="N385" s="13"/>
      <c r="O385" s="13"/>
      <c r="P385" s="13"/>
      <c r="Q385" s="13"/>
      <c r="R385" s="13"/>
      <c r="S385" s="13"/>
      <c r="T385" s="13"/>
      <c r="U385" s="13"/>
      <c r="V385" s="13"/>
      <c r="W385" s="13"/>
      <c r="X385" s="13"/>
      <c r="Y385" s="13"/>
      <c r="Z385" s="13"/>
      <c r="AA385" s="13"/>
    </row>
    <row r="386" spans="1:27" ht="17.399999999999999" x14ac:dyDescent="0.35">
      <c r="A386" s="13"/>
      <c r="B386" s="13"/>
      <c r="C386" s="13"/>
      <c r="D386" s="13"/>
      <c r="E386" s="13"/>
      <c r="F386" s="13"/>
      <c r="G386" s="13"/>
      <c r="H386" s="13"/>
      <c r="I386" s="13"/>
      <c r="J386" s="13"/>
      <c r="K386" s="13"/>
      <c r="L386" s="13"/>
      <c r="M386" s="13"/>
      <c r="N386" s="13"/>
      <c r="O386" s="13"/>
      <c r="P386" s="13"/>
      <c r="Q386" s="13"/>
      <c r="R386" s="13"/>
      <c r="S386" s="13"/>
      <c r="T386" s="13"/>
      <c r="U386" s="13"/>
      <c r="V386" s="13"/>
      <c r="W386" s="13"/>
      <c r="X386" s="13"/>
      <c r="Y386" s="13"/>
      <c r="Z386" s="13"/>
      <c r="AA386" s="13"/>
    </row>
    <row r="387" spans="1:27" ht="17.399999999999999" x14ac:dyDescent="0.35">
      <c r="A387" s="13"/>
      <c r="B387" s="13"/>
      <c r="C387" s="13"/>
      <c r="D387" s="13"/>
      <c r="E387" s="13"/>
      <c r="F387" s="13"/>
      <c r="G387" s="13"/>
      <c r="H387" s="13"/>
      <c r="I387" s="13"/>
      <c r="J387" s="13"/>
      <c r="K387" s="13"/>
      <c r="L387" s="13"/>
      <c r="M387" s="13"/>
      <c r="N387" s="13"/>
      <c r="O387" s="13"/>
      <c r="P387" s="13"/>
      <c r="Q387" s="13"/>
      <c r="R387" s="13"/>
      <c r="S387" s="13"/>
      <c r="T387" s="13"/>
      <c r="U387" s="13"/>
      <c r="V387" s="13"/>
      <c r="W387" s="13"/>
      <c r="X387" s="13"/>
      <c r="Y387" s="13"/>
      <c r="Z387" s="13"/>
      <c r="AA387" s="13"/>
    </row>
    <row r="388" spans="1:27" ht="17.399999999999999" x14ac:dyDescent="0.35">
      <c r="A388" s="13"/>
      <c r="B388" s="13"/>
      <c r="C388" s="13"/>
      <c r="D388" s="13"/>
      <c r="E388" s="13"/>
      <c r="F388" s="13"/>
      <c r="G388" s="13"/>
      <c r="H388" s="13"/>
      <c r="I388" s="13"/>
      <c r="J388" s="13"/>
      <c r="K388" s="13"/>
      <c r="L388" s="13"/>
      <c r="M388" s="13"/>
      <c r="N388" s="13"/>
      <c r="O388" s="13"/>
      <c r="P388" s="13"/>
      <c r="Q388" s="13"/>
      <c r="R388" s="13"/>
      <c r="S388" s="13"/>
      <c r="T388" s="13"/>
      <c r="U388" s="13"/>
      <c r="V388" s="13"/>
      <c r="W388" s="13"/>
      <c r="X388" s="13"/>
      <c r="Y388" s="13"/>
      <c r="Z388" s="13"/>
      <c r="AA388" s="13"/>
    </row>
    <row r="389" spans="1:27" ht="17.399999999999999" x14ac:dyDescent="0.35">
      <c r="A389" s="13"/>
      <c r="B389" s="13"/>
      <c r="C389" s="13"/>
      <c r="D389" s="13"/>
      <c r="E389" s="13"/>
      <c r="F389" s="13"/>
      <c r="G389" s="13"/>
      <c r="H389" s="13"/>
      <c r="I389" s="13"/>
      <c r="J389" s="13"/>
      <c r="K389" s="13"/>
      <c r="L389" s="13"/>
      <c r="M389" s="13"/>
      <c r="N389" s="13"/>
      <c r="O389" s="13"/>
      <c r="P389" s="13"/>
      <c r="Q389" s="13"/>
      <c r="R389" s="13"/>
      <c r="S389" s="13"/>
      <c r="T389" s="13"/>
      <c r="U389" s="13"/>
      <c r="V389" s="13"/>
      <c r="W389" s="13"/>
      <c r="X389" s="13"/>
      <c r="Y389" s="13"/>
      <c r="Z389" s="13"/>
      <c r="AA389" s="13"/>
    </row>
    <row r="390" spans="1:27" ht="17.399999999999999" x14ac:dyDescent="0.35">
      <c r="A390" s="13"/>
      <c r="B390" s="13"/>
      <c r="C390" s="13"/>
      <c r="D390" s="13"/>
      <c r="E390" s="13"/>
      <c r="F390" s="13"/>
      <c r="G390" s="13"/>
      <c r="H390" s="13"/>
      <c r="I390" s="13"/>
      <c r="J390" s="13"/>
      <c r="K390" s="13"/>
      <c r="L390" s="13"/>
      <c r="M390" s="13"/>
      <c r="N390" s="13"/>
      <c r="O390" s="13"/>
      <c r="P390" s="13"/>
      <c r="Q390" s="13"/>
      <c r="R390" s="13"/>
      <c r="S390" s="13"/>
      <c r="T390" s="13"/>
      <c r="U390" s="13"/>
      <c r="V390" s="13"/>
      <c r="W390" s="13"/>
      <c r="X390" s="13"/>
      <c r="Y390" s="13"/>
      <c r="Z390" s="13"/>
      <c r="AA390" s="13"/>
    </row>
    <row r="391" spans="1:27" ht="17.399999999999999" x14ac:dyDescent="0.35">
      <c r="A391" s="13"/>
      <c r="B391" s="13"/>
      <c r="C391" s="13"/>
      <c r="D391" s="13"/>
      <c r="E391" s="13"/>
      <c r="F391" s="13"/>
      <c r="G391" s="13"/>
      <c r="H391" s="13"/>
      <c r="I391" s="13"/>
      <c r="J391" s="13"/>
      <c r="K391" s="13"/>
      <c r="L391" s="13"/>
      <c r="M391" s="13"/>
      <c r="N391" s="13"/>
      <c r="O391" s="13"/>
      <c r="P391" s="13"/>
      <c r="Q391" s="13"/>
      <c r="R391" s="13"/>
      <c r="S391" s="13"/>
      <c r="T391" s="13"/>
      <c r="U391" s="13"/>
      <c r="V391" s="13"/>
      <c r="W391" s="13"/>
      <c r="X391" s="13"/>
      <c r="Y391" s="13"/>
      <c r="Z391" s="13"/>
      <c r="AA391" s="13"/>
    </row>
    <row r="392" spans="1:27" ht="17.399999999999999" x14ac:dyDescent="0.35">
      <c r="A392" s="13"/>
      <c r="B392" s="13"/>
      <c r="C392" s="13"/>
      <c r="D392" s="13"/>
      <c r="E392" s="13"/>
      <c r="F392" s="13"/>
      <c r="G392" s="13"/>
      <c r="H392" s="13"/>
      <c r="I392" s="13"/>
      <c r="J392" s="13"/>
      <c r="K392" s="13"/>
      <c r="L392" s="13"/>
      <c r="M392" s="13"/>
      <c r="N392" s="13"/>
      <c r="O392" s="13"/>
      <c r="P392" s="13"/>
      <c r="Q392" s="13"/>
      <c r="R392" s="13"/>
      <c r="S392" s="13"/>
      <c r="T392" s="13"/>
      <c r="U392" s="13"/>
      <c r="V392" s="13"/>
      <c r="W392" s="13"/>
      <c r="X392" s="13"/>
      <c r="Y392" s="13"/>
      <c r="Z392" s="13"/>
      <c r="AA392" s="13"/>
    </row>
    <row r="393" spans="1:27" ht="17.399999999999999" x14ac:dyDescent="0.35">
      <c r="A393" s="13"/>
      <c r="B393" s="13"/>
      <c r="C393" s="13"/>
      <c r="D393" s="13"/>
      <c r="E393" s="13"/>
      <c r="F393" s="13"/>
      <c r="G393" s="13"/>
      <c r="H393" s="13"/>
      <c r="I393" s="13"/>
      <c r="J393" s="13"/>
      <c r="K393" s="13"/>
      <c r="L393" s="13"/>
      <c r="M393" s="13"/>
      <c r="N393" s="13"/>
      <c r="O393" s="13"/>
      <c r="P393" s="13"/>
      <c r="Q393" s="13"/>
      <c r="R393" s="13"/>
      <c r="S393" s="13"/>
      <c r="T393" s="13"/>
      <c r="U393" s="13"/>
      <c r="V393" s="13"/>
      <c r="W393" s="13"/>
      <c r="X393" s="13"/>
      <c r="Y393" s="13"/>
      <c r="Z393" s="13"/>
      <c r="AA393" s="13"/>
    </row>
    <row r="394" spans="1:27" ht="17.399999999999999" x14ac:dyDescent="0.35">
      <c r="A394" s="13"/>
      <c r="B394" s="13"/>
      <c r="C394" s="13"/>
      <c r="D394" s="13"/>
      <c r="E394" s="13"/>
      <c r="F394" s="13"/>
      <c r="G394" s="13"/>
      <c r="H394" s="13"/>
      <c r="I394" s="13"/>
      <c r="J394" s="13"/>
      <c r="K394" s="13"/>
      <c r="L394" s="13"/>
      <c r="M394" s="13"/>
      <c r="N394" s="13"/>
      <c r="O394" s="13"/>
      <c r="P394" s="13"/>
      <c r="Q394" s="13"/>
      <c r="R394" s="13"/>
      <c r="S394" s="13"/>
      <c r="T394" s="13"/>
      <c r="U394" s="13"/>
      <c r="V394" s="13"/>
      <c r="W394" s="13"/>
      <c r="X394" s="13"/>
      <c r="Y394" s="13"/>
      <c r="Z394" s="13"/>
      <c r="AA394" s="13"/>
    </row>
    <row r="395" spans="1:27" ht="17.399999999999999" x14ac:dyDescent="0.35">
      <c r="A395" s="13"/>
      <c r="B395" s="13"/>
      <c r="C395" s="13"/>
      <c r="D395" s="13"/>
      <c r="E395" s="13"/>
      <c r="F395" s="13"/>
      <c r="G395" s="13"/>
      <c r="H395" s="13"/>
      <c r="I395" s="13"/>
      <c r="J395" s="13"/>
      <c r="K395" s="13"/>
      <c r="L395" s="13"/>
      <c r="M395" s="13"/>
      <c r="N395" s="13"/>
      <c r="O395" s="13"/>
      <c r="P395" s="13"/>
      <c r="Q395" s="13"/>
      <c r="R395" s="13"/>
      <c r="S395" s="13"/>
      <c r="T395" s="13"/>
      <c r="U395" s="13"/>
      <c r="V395" s="13"/>
      <c r="W395" s="13"/>
      <c r="X395" s="13"/>
      <c r="Y395" s="13"/>
      <c r="Z395" s="13"/>
      <c r="AA395" s="13"/>
    </row>
    <row r="396" spans="1:27" ht="17.399999999999999" x14ac:dyDescent="0.35">
      <c r="A396" s="13"/>
      <c r="B396" s="13"/>
      <c r="C396" s="13"/>
      <c r="D396" s="13"/>
      <c r="E396" s="13"/>
      <c r="F396" s="13"/>
      <c r="G396" s="13"/>
      <c r="H396" s="13"/>
      <c r="I396" s="13"/>
      <c r="J396" s="13"/>
      <c r="K396" s="13"/>
      <c r="L396" s="13"/>
      <c r="M396" s="13"/>
      <c r="N396" s="13"/>
      <c r="O396" s="13"/>
      <c r="P396" s="13"/>
      <c r="Q396" s="13"/>
      <c r="R396" s="13"/>
      <c r="S396" s="13"/>
      <c r="T396" s="13"/>
      <c r="U396" s="13"/>
      <c r="V396" s="13"/>
      <c r="W396" s="13"/>
      <c r="X396" s="13"/>
      <c r="Y396" s="13"/>
      <c r="Z396" s="13"/>
      <c r="AA396" s="13"/>
    </row>
    <row r="397" spans="1:27" ht="17.399999999999999" x14ac:dyDescent="0.35">
      <c r="A397" s="13"/>
      <c r="B397" s="13"/>
      <c r="C397" s="13"/>
      <c r="D397" s="13"/>
      <c r="E397" s="13"/>
      <c r="F397" s="13"/>
      <c r="G397" s="13"/>
      <c r="H397" s="13"/>
      <c r="I397" s="13"/>
      <c r="J397" s="13"/>
      <c r="K397" s="13"/>
      <c r="L397" s="13"/>
      <c r="M397" s="13"/>
      <c r="N397" s="13"/>
      <c r="O397" s="13"/>
      <c r="P397" s="13"/>
      <c r="Q397" s="13"/>
      <c r="R397" s="13"/>
      <c r="S397" s="13"/>
      <c r="T397" s="13"/>
      <c r="U397" s="13"/>
      <c r="V397" s="13"/>
      <c r="W397" s="13"/>
      <c r="X397" s="13"/>
      <c r="Y397" s="13"/>
      <c r="Z397" s="13"/>
      <c r="AA397" s="13"/>
    </row>
    <row r="398" spans="1:27" ht="17.399999999999999" x14ac:dyDescent="0.35">
      <c r="A398" s="13"/>
      <c r="B398" s="13"/>
      <c r="C398" s="13"/>
      <c r="D398" s="13"/>
      <c r="E398" s="13"/>
      <c r="F398" s="13"/>
      <c r="G398" s="13"/>
      <c r="H398" s="13"/>
      <c r="I398" s="13"/>
      <c r="J398" s="13"/>
      <c r="K398" s="13"/>
      <c r="L398" s="13"/>
      <c r="M398" s="13"/>
      <c r="N398" s="13"/>
      <c r="O398" s="13"/>
      <c r="P398" s="13"/>
      <c r="Q398" s="13"/>
      <c r="R398" s="13"/>
      <c r="S398" s="13"/>
      <c r="T398" s="13"/>
      <c r="U398" s="13"/>
      <c r="V398" s="13"/>
      <c r="W398" s="13"/>
      <c r="X398" s="13"/>
      <c r="Y398" s="13"/>
      <c r="Z398" s="13"/>
      <c r="AA398" s="13"/>
    </row>
    <row r="399" spans="1:27" ht="17.399999999999999" x14ac:dyDescent="0.35">
      <c r="A399" s="13"/>
      <c r="B399" s="13"/>
      <c r="C399" s="13"/>
      <c r="D399" s="13"/>
      <c r="E399" s="13"/>
      <c r="F399" s="13"/>
      <c r="G399" s="13"/>
      <c r="H399" s="13"/>
      <c r="I399" s="13"/>
      <c r="J399" s="13"/>
      <c r="K399" s="13"/>
      <c r="L399" s="13"/>
      <c r="M399" s="13"/>
      <c r="N399" s="13"/>
      <c r="O399" s="13"/>
      <c r="P399" s="13"/>
      <c r="Q399" s="13"/>
      <c r="R399" s="13"/>
      <c r="S399" s="13"/>
      <c r="T399" s="13"/>
      <c r="U399" s="13"/>
      <c r="V399" s="13"/>
      <c r="W399" s="13"/>
      <c r="X399" s="13"/>
      <c r="Y399" s="13"/>
      <c r="Z399" s="13"/>
      <c r="AA399" s="13"/>
    </row>
    <row r="400" spans="1:27" ht="17.399999999999999" x14ac:dyDescent="0.35">
      <c r="A400" s="13"/>
      <c r="B400" s="13"/>
      <c r="C400" s="13"/>
      <c r="D400" s="13"/>
      <c r="E400" s="13"/>
      <c r="F400" s="13"/>
      <c r="G400" s="13"/>
      <c r="H400" s="13"/>
      <c r="I400" s="13"/>
      <c r="J400" s="13"/>
      <c r="K400" s="13"/>
      <c r="L400" s="13"/>
      <c r="M400" s="13"/>
      <c r="N400" s="13"/>
      <c r="O400" s="13"/>
      <c r="P400" s="13"/>
      <c r="Q400" s="13"/>
      <c r="R400" s="13"/>
      <c r="S400" s="13"/>
      <c r="T400" s="13"/>
      <c r="U400" s="13"/>
      <c r="V400" s="13"/>
      <c r="W400" s="13"/>
      <c r="X400" s="13"/>
      <c r="Y400" s="13"/>
      <c r="Z400" s="13"/>
      <c r="AA400" s="13"/>
    </row>
    <row r="401" spans="1:27" ht="17.399999999999999" x14ac:dyDescent="0.35">
      <c r="A401" s="13"/>
      <c r="B401" s="13"/>
      <c r="C401" s="13"/>
      <c r="D401" s="13"/>
      <c r="E401" s="13"/>
      <c r="F401" s="13"/>
      <c r="G401" s="13"/>
      <c r="H401" s="13"/>
      <c r="I401" s="13"/>
      <c r="J401" s="13"/>
      <c r="K401" s="13"/>
      <c r="L401" s="13"/>
      <c r="M401" s="13"/>
      <c r="N401" s="13"/>
      <c r="O401" s="13"/>
      <c r="P401" s="13"/>
      <c r="Q401" s="13"/>
      <c r="R401" s="13"/>
      <c r="S401" s="13"/>
      <c r="T401" s="13"/>
      <c r="U401" s="13"/>
      <c r="V401" s="13"/>
      <c r="W401" s="13"/>
      <c r="X401" s="13"/>
      <c r="Y401" s="13"/>
      <c r="Z401" s="13"/>
      <c r="AA401" s="13"/>
    </row>
    <row r="402" spans="1:27" ht="17.399999999999999" x14ac:dyDescent="0.35">
      <c r="A402" s="13"/>
      <c r="B402" s="13"/>
      <c r="C402" s="13"/>
      <c r="D402" s="13"/>
      <c r="E402" s="13"/>
      <c r="F402" s="13"/>
      <c r="G402" s="13"/>
      <c r="H402" s="13"/>
      <c r="I402" s="13"/>
      <c r="J402" s="13"/>
      <c r="K402" s="13"/>
      <c r="L402" s="13"/>
      <c r="M402" s="13"/>
      <c r="N402" s="13"/>
      <c r="O402" s="13"/>
      <c r="P402" s="13"/>
      <c r="Q402" s="13"/>
      <c r="R402" s="13"/>
      <c r="S402" s="13"/>
      <c r="T402" s="13"/>
      <c r="U402" s="13"/>
      <c r="V402" s="13"/>
      <c r="W402" s="13"/>
      <c r="X402" s="13"/>
      <c r="Y402" s="13"/>
      <c r="Z402" s="13"/>
      <c r="AA402" s="13"/>
    </row>
    <row r="403" spans="1:27" ht="17.399999999999999" x14ac:dyDescent="0.35">
      <c r="A403" s="13"/>
      <c r="B403" s="13"/>
      <c r="C403" s="13"/>
      <c r="D403" s="13"/>
      <c r="E403" s="13"/>
      <c r="F403" s="13"/>
      <c r="G403" s="13"/>
      <c r="H403" s="13"/>
      <c r="I403" s="13"/>
      <c r="J403" s="13"/>
      <c r="K403" s="13"/>
      <c r="L403" s="13"/>
      <c r="M403" s="13"/>
      <c r="N403" s="13"/>
      <c r="O403" s="13"/>
      <c r="P403" s="13"/>
      <c r="Q403" s="13"/>
      <c r="R403" s="13"/>
      <c r="S403" s="13"/>
      <c r="T403" s="13"/>
      <c r="U403" s="13"/>
      <c r="V403" s="13"/>
      <c r="W403" s="13"/>
      <c r="X403" s="13"/>
      <c r="Y403" s="13"/>
      <c r="Z403" s="13"/>
      <c r="AA403" s="13"/>
    </row>
    <row r="404" spans="1:27" ht="17.399999999999999" x14ac:dyDescent="0.35">
      <c r="A404" s="13"/>
      <c r="B404" s="13"/>
      <c r="C404" s="13"/>
      <c r="D404" s="13"/>
      <c r="E404" s="13"/>
      <c r="F404" s="13"/>
      <c r="G404" s="13"/>
      <c r="H404" s="13"/>
      <c r="I404" s="13"/>
      <c r="J404" s="13"/>
      <c r="K404" s="13"/>
      <c r="L404" s="13"/>
      <c r="M404" s="13"/>
      <c r="N404" s="13"/>
      <c r="O404" s="13"/>
      <c r="P404" s="13"/>
      <c r="Q404" s="13"/>
      <c r="R404" s="13"/>
      <c r="S404" s="13"/>
      <c r="T404" s="13"/>
      <c r="U404" s="13"/>
      <c r="V404" s="13"/>
      <c r="W404" s="13"/>
      <c r="X404" s="13"/>
      <c r="Y404" s="13"/>
      <c r="Z404" s="13"/>
      <c r="AA404" s="13"/>
    </row>
    <row r="405" spans="1:27" ht="17.399999999999999" x14ac:dyDescent="0.35">
      <c r="A405" s="13"/>
      <c r="B405" s="13"/>
      <c r="C405" s="13"/>
      <c r="D405" s="13"/>
      <c r="E405" s="13"/>
      <c r="F405" s="13"/>
      <c r="G405" s="13"/>
      <c r="H405" s="13"/>
      <c r="I405" s="13"/>
      <c r="J405" s="13"/>
      <c r="K405" s="13"/>
      <c r="L405" s="13"/>
      <c r="M405" s="13"/>
      <c r="N405" s="13"/>
      <c r="O405" s="13"/>
      <c r="P405" s="13"/>
      <c r="Q405" s="13"/>
      <c r="R405" s="13"/>
      <c r="S405" s="13"/>
      <c r="T405" s="13"/>
      <c r="U405" s="13"/>
      <c r="V405" s="13"/>
      <c r="W405" s="13"/>
      <c r="X405" s="13"/>
      <c r="Y405" s="13"/>
      <c r="Z405" s="13"/>
      <c r="AA405" s="13"/>
    </row>
    <row r="406" spans="1:27" ht="17.399999999999999" x14ac:dyDescent="0.35">
      <c r="A406" s="13"/>
      <c r="B406" s="13"/>
      <c r="C406" s="13"/>
      <c r="D406" s="13"/>
      <c r="E406" s="13"/>
      <c r="F406" s="13"/>
      <c r="G406" s="13"/>
      <c r="H406" s="13"/>
      <c r="I406" s="13"/>
      <c r="J406" s="13"/>
      <c r="K406" s="13"/>
      <c r="L406" s="13"/>
      <c r="M406" s="13"/>
      <c r="N406" s="13"/>
      <c r="O406" s="13"/>
      <c r="P406" s="13"/>
      <c r="Q406" s="13"/>
      <c r="R406" s="13"/>
      <c r="S406" s="13"/>
      <c r="T406" s="13"/>
      <c r="U406" s="13"/>
      <c r="V406" s="13"/>
      <c r="W406" s="13"/>
      <c r="X406" s="13"/>
      <c r="Y406" s="13"/>
      <c r="Z406" s="13"/>
      <c r="AA406" s="13"/>
    </row>
    <row r="407" spans="1:27" ht="17.399999999999999" x14ac:dyDescent="0.35">
      <c r="A407" s="13"/>
      <c r="B407" s="13"/>
      <c r="C407" s="13"/>
      <c r="D407" s="13"/>
      <c r="E407" s="13"/>
      <c r="F407" s="13"/>
      <c r="G407" s="13"/>
      <c r="H407" s="13"/>
      <c r="I407" s="13"/>
      <c r="J407" s="13"/>
      <c r="K407" s="13"/>
      <c r="L407" s="13"/>
      <c r="M407" s="13"/>
      <c r="N407" s="13"/>
      <c r="O407" s="13"/>
      <c r="P407" s="13"/>
      <c r="Q407" s="13"/>
      <c r="R407" s="13"/>
      <c r="S407" s="13"/>
      <c r="T407" s="13"/>
      <c r="U407" s="13"/>
      <c r="V407" s="13"/>
      <c r="W407" s="13"/>
      <c r="X407" s="13"/>
      <c r="Y407" s="13"/>
      <c r="Z407" s="13"/>
      <c r="AA407" s="13"/>
    </row>
    <row r="408" spans="1:27" ht="17.399999999999999" x14ac:dyDescent="0.35">
      <c r="A408" s="13"/>
      <c r="B408" s="13"/>
      <c r="C408" s="13"/>
      <c r="D408" s="13"/>
      <c r="E408" s="13"/>
      <c r="F408" s="13"/>
      <c r="G408" s="13"/>
      <c r="H408" s="13"/>
      <c r="I408" s="13"/>
      <c r="J408" s="13"/>
      <c r="K408" s="13"/>
      <c r="L408" s="13"/>
      <c r="M408" s="13"/>
      <c r="N408" s="13"/>
      <c r="O408" s="13"/>
      <c r="P408" s="13"/>
      <c r="Q408" s="13"/>
      <c r="R408" s="13"/>
      <c r="S408" s="13"/>
      <c r="T408" s="13"/>
      <c r="U408" s="13"/>
      <c r="V408" s="13"/>
      <c r="W408" s="13"/>
      <c r="X408" s="13"/>
      <c r="Y408" s="13"/>
      <c r="Z408" s="13"/>
      <c r="AA408" s="13"/>
    </row>
    <row r="409" spans="1:27" ht="17.399999999999999" x14ac:dyDescent="0.35">
      <c r="A409" s="13"/>
      <c r="B409" s="13"/>
      <c r="C409" s="13"/>
      <c r="D409" s="13"/>
      <c r="E409" s="13"/>
      <c r="F409" s="13"/>
      <c r="G409" s="13"/>
      <c r="H409" s="13"/>
      <c r="I409" s="13"/>
      <c r="J409" s="13"/>
      <c r="K409" s="13"/>
      <c r="L409" s="13"/>
      <c r="M409" s="13"/>
      <c r="N409" s="13"/>
      <c r="O409" s="13"/>
      <c r="P409" s="13"/>
      <c r="Q409" s="13"/>
      <c r="R409" s="13"/>
      <c r="S409" s="13"/>
      <c r="T409" s="13"/>
      <c r="U409" s="13"/>
      <c r="V409" s="13"/>
      <c r="W409" s="13"/>
      <c r="X409" s="13"/>
      <c r="Y409" s="13"/>
      <c r="Z409" s="13"/>
      <c r="AA409" s="13"/>
    </row>
    <row r="410" spans="1:27" ht="17.399999999999999" x14ac:dyDescent="0.35">
      <c r="A410" s="13"/>
      <c r="B410" s="13"/>
      <c r="C410" s="13"/>
      <c r="D410" s="13"/>
      <c r="E410" s="13"/>
      <c r="F410" s="13"/>
      <c r="G410" s="13"/>
      <c r="H410" s="13"/>
      <c r="I410" s="13"/>
      <c r="J410" s="13"/>
      <c r="K410" s="13"/>
      <c r="L410" s="13"/>
      <c r="M410" s="13"/>
      <c r="N410" s="13"/>
      <c r="O410" s="13"/>
      <c r="P410" s="13"/>
      <c r="Q410" s="13"/>
      <c r="R410" s="13"/>
      <c r="S410" s="13"/>
      <c r="T410" s="13"/>
      <c r="U410" s="13"/>
      <c r="V410" s="13"/>
      <c r="W410" s="13"/>
      <c r="X410" s="13"/>
      <c r="Y410" s="13"/>
      <c r="Z410" s="13"/>
      <c r="AA410" s="13"/>
    </row>
    <row r="411" spans="1:27" ht="17.399999999999999" x14ac:dyDescent="0.35">
      <c r="A411" s="13"/>
      <c r="B411" s="13"/>
      <c r="C411" s="13"/>
      <c r="D411" s="13"/>
      <c r="E411" s="13"/>
      <c r="F411" s="13"/>
      <c r="G411" s="13"/>
      <c r="H411" s="13"/>
      <c r="I411" s="13"/>
      <c r="J411" s="13"/>
      <c r="K411" s="13"/>
      <c r="L411" s="13"/>
      <c r="M411" s="13"/>
      <c r="N411" s="13"/>
      <c r="O411" s="13"/>
      <c r="P411" s="13"/>
      <c r="Q411" s="13"/>
      <c r="R411" s="13"/>
      <c r="S411" s="13"/>
      <c r="T411" s="13"/>
      <c r="U411" s="13"/>
      <c r="V411" s="13"/>
      <c r="W411" s="13"/>
      <c r="X411" s="13"/>
      <c r="Y411" s="13"/>
      <c r="Z411" s="13"/>
      <c r="AA411" s="13"/>
    </row>
    <row r="412" spans="1:27" ht="17.399999999999999" x14ac:dyDescent="0.35">
      <c r="A412" s="13"/>
      <c r="B412" s="13"/>
      <c r="C412" s="13"/>
      <c r="D412" s="13"/>
      <c r="E412" s="13"/>
      <c r="F412" s="13"/>
      <c r="G412" s="13"/>
      <c r="H412" s="13"/>
      <c r="I412" s="13"/>
      <c r="J412" s="13"/>
      <c r="K412" s="13"/>
      <c r="L412" s="13"/>
      <c r="M412" s="13"/>
      <c r="N412" s="13"/>
      <c r="O412" s="13"/>
      <c r="P412" s="13"/>
      <c r="Q412" s="13"/>
      <c r="R412" s="13"/>
      <c r="S412" s="13"/>
      <c r="T412" s="13"/>
      <c r="U412" s="13"/>
      <c r="V412" s="13"/>
      <c r="W412" s="13"/>
      <c r="X412" s="13"/>
      <c r="Y412" s="13"/>
      <c r="Z412" s="13"/>
      <c r="AA412" s="13"/>
    </row>
    <row r="413" spans="1:27" ht="17.399999999999999" x14ac:dyDescent="0.35">
      <c r="A413" s="13"/>
      <c r="B413" s="13"/>
      <c r="C413" s="13"/>
      <c r="D413" s="13"/>
      <c r="E413" s="13"/>
      <c r="F413" s="13"/>
      <c r="G413" s="13"/>
      <c r="H413" s="13"/>
      <c r="I413" s="13"/>
      <c r="J413" s="13"/>
      <c r="K413" s="13"/>
      <c r="L413" s="13"/>
      <c r="M413" s="13"/>
      <c r="N413" s="13"/>
      <c r="O413" s="13"/>
      <c r="P413" s="13"/>
      <c r="Q413" s="13"/>
      <c r="R413" s="13"/>
      <c r="S413" s="13"/>
      <c r="T413" s="13"/>
      <c r="U413" s="13"/>
      <c r="V413" s="13"/>
      <c r="W413" s="13"/>
      <c r="X413" s="13"/>
      <c r="Y413" s="13"/>
      <c r="Z413" s="13"/>
      <c r="AA413" s="13"/>
    </row>
    <row r="414" spans="1:27" ht="17.399999999999999" x14ac:dyDescent="0.35">
      <c r="A414" s="13"/>
      <c r="B414" s="13"/>
      <c r="C414" s="13"/>
      <c r="D414" s="13"/>
      <c r="E414" s="13"/>
      <c r="F414" s="13"/>
      <c r="G414" s="13"/>
      <c r="H414" s="13"/>
      <c r="I414" s="13"/>
      <c r="J414" s="13"/>
      <c r="K414" s="13"/>
      <c r="L414" s="13"/>
      <c r="M414" s="13"/>
      <c r="N414" s="13"/>
      <c r="O414" s="13"/>
      <c r="P414" s="13"/>
      <c r="Q414" s="13"/>
      <c r="R414" s="13"/>
      <c r="S414" s="13"/>
      <c r="T414" s="13"/>
      <c r="U414" s="13"/>
      <c r="V414" s="13"/>
      <c r="W414" s="13"/>
      <c r="X414" s="13"/>
      <c r="Y414" s="13"/>
      <c r="Z414" s="13"/>
      <c r="AA414" s="13"/>
    </row>
    <row r="415" spans="1:27" ht="17.399999999999999" x14ac:dyDescent="0.35">
      <c r="A415" s="13"/>
      <c r="B415" s="13"/>
      <c r="C415" s="13"/>
      <c r="D415" s="13"/>
      <c r="E415" s="13"/>
      <c r="F415" s="13"/>
      <c r="G415" s="13"/>
      <c r="H415" s="13"/>
      <c r="I415" s="13"/>
      <c r="J415" s="13"/>
      <c r="K415" s="13"/>
      <c r="L415" s="13"/>
      <c r="M415" s="13"/>
      <c r="N415" s="13"/>
      <c r="O415" s="13"/>
      <c r="P415" s="13"/>
      <c r="Q415" s="13"/>
      <c r="R415" s="13"/>
      <c r="S415" s="13"/>
      <c r="T415" s="13"/>
      <c r="U415" s="13"/>
      <c r="V415" s="13"/>
      <c r="W415" s="13"/>
      <c r="X415" s="13"/>
      <c r="Y415" s="13"/>
      <c r="Z415" s="13"/>
      <c r="AA415" s="13"/>
    </row>
    <row r="416" spans="1:27" ht="17.399999999999999" x14ac:dyDescent="0.35">
      <c r="A416" s="13"/>
      <c r="B416" s="13"/>
      <c r="C416" s="13"/>
      <c r="D416" s="13"/>
      <c r="E416" s="13"/>
      <c r="F416" s="13"/>
      <c r="G416" s="13"/>
      <c r="H416" s="13"/>
      <c r="I416" s="13"/>
      <c r="J416" s="13"/>
      <c r="K416" s="13"/>
      <c r="L416" s="13"/>
      <c r="M416" s="13"/>
      <c r="N416" s="13"/>
      <c r="O416" s="13"/>
      <c r="P416" s="13"/>
      <c r="Q416" s="13"/>
      <c r="R416" s="13"/>
      <c r="S416" s="13"/>
      <c r="T416" s="13"/>
      <c r="U416" s="13"/>
      <c r="V416" s="13"/>
      <c r="W416" s="13"/>
      <c r="X416" s="13"/>
      <c r="Y416" s="13"/>
      <c r="Z416" s="13"/>
      <c r="AA416" s="13"/>
    </row>
    <row r="417" spans="1:27" ht="17.399999999999999" x14ac:dyDescent="0.35">
      <c r="A417" s="13"/>
      <c r="B417" s="13"/>
      <c r="C417" s="13"/>
      <c r="D417" s="13"/>
      <c r="E417" s="13"/>
      <c r="F417" s="13"/>
      <c r="G417" s="13"/>
      <c r="H417" s="13"/>
      <c r="I417" s="13"/>
      <c r="J417" s="13"/>
      <c r="K417" s="13"/>
      <c r="L417" s="13"/>
      <c r="M417" s="13"/>
      <c r="N417" s="13"/>
      <c r="O417" s="13"/>
      <c r="P417" s="13"/>
      <c r="Q417" s="13"/>
      <c r="R417" s="13"/>
      <c r="S417" s="13"/>
      <c r="T417" s="13"/>
      <c r="U417" s="13"/>
      <c r="V417" s="13"/>
      <c r="W417" s="13"/>
      <c r="X417" s="13"/>
      <c r="Y417" s="13"/>
      <c r="Z417" s="13"/>
      <c r="AA417" s="13"/>
    </row>
    <row r="418" spans="1:27" ht="17.399999999999999" x14ac:dyDescent="0.35">
      <c r="A418" s="13"/>
      <c r="B418" s="13"/>
      <c r="C418" s="13"/>
      <c r="D418" s="13"/>
      <c r="E418" s="13"/>
      <c r="F418" s="13"/>
      <c r="G418" s="13"/>
      <c r="H418" s="13"/>
      <c r="I418" s="13"/>
      <c r="J418" s="13"/>
      <c r="K418" s="13"/>
      <c r="L418" s="13"/>
      <c r="M418" s="13"/>
      <c r="N418" s="13"/>
      <c r="O418" s="13"/>
      <c r="P418" s="13"/>
      <c r="Q418" s="13"/>
      <c r="R418" s="13"/>
      <c r="S418" s="13"/>
      <c r="T418" s="13"/>
      <c r="U418" s="13"/>
      <c r="V418" s="13"/>
      <c r="W418" s="13"/>
      <c r="X418" s="13"/>
      <c r="Y418" s="13"/>
      <c r="Z418" s="13"/>
      <c r="AA418" s="13"/>
    </row>
    <row r="419" spans="1:27" ht="17.399999999999999" x14ac:dyDescent="0.35">
      <c r="A419" s="13"/>
      <c r="B419" s="13"/>
      <c r="C419" s="13"/>
      <c r="D419" s="13"/>
      <c r="E419" s="13"/>
      <c r="F419" s="13"/>
      <c r="G419" s="13"/>
      <c r="H419" s="13"/>
      <c r="I419" s="13"/>
      <c r="J419" s="13"/>
      <c r="K419" s="13"/>
      <c r="L419" s="13"/>
      <c r="M419" s="13"/>
      <c r="N419" s="13"/>
      <c r="O419" s="13"/>
      <c r="P419" s="13"/>
      <c r="Q419" s="13"/>
      <c r="R419" s="13"/>
      <c r="S419" s="13"/>
      <c r="T419" s="13"/>
      <c r="U419" s="13"/>
      <c r="V419" s="13"/>
      <c r="W419" s="13"/>
      <c r="X419" s="13"/>
      <c r="Y419" s="13"/>
      <c r="Z419" s="13"/>
      <c r="AA419" s="13"/>
    </row>
    <row r="420" spans="1:27" ht="17.399999999999999" x14ac:dyDescent="0.35">
      <c r="A420" s="13"/>
      <c r="B420" s="13"/>
      <c r="C420" s="13"/>
      <c r="D420" s="13"/>
      <c r="E420" s="13"/>
      <c r="F420" s="13"/>
      <c r="G420" s="13"/>
      <c r="H420" s="13"/>
      <c r="I420" s="13"/>
      <c r="J420" s="13"/>
      <c r="K420" s="13"/>
      <c r="L420" s="13"/>
      <c r="M420" s="13"/>
      <c r="N420" s="13"/>
      <c r="O420" s="13"/>
      <c r="P420" s="13"/>
      <c r="Q420" s="13"/>
      <c r="R420" s="13"/>
      <c r="S420" s="13"/>
      <c r="T420" s="13"/>
      <c r="U420" s="13"/>
      <c r="V420" s="13"/>
      <c r="W420" s="13"/>
      <c r="X420" s="13"/>
      <c r="Y420" s="13"/>
      <c r="Z420" s="13"/>
      <c r="AA420" s="13"/>
    </row>
    <row r="421" spans="1:27" ht="17.399999999999999" x14ac:dyDescent="0.35">
      <c r="A421" s="13"/>
      <c r="B421" s="13"/>
      <c r="C421" s="13"/>
      <c r="D421" s="13"/>
      <c r="E421" s="13"/>
      <c r="F421" s="13"/>
      <c r="G421" s="13"/>
      <c r="H421" s="13"/>
      <c r="I421" s="13"/>
      <c r="J421" s="13"/>
      <c r="K421" s="13"/>
      <c r="L421" s="13"/>
      <c r="M421" s="13"/>
      <c r="N421" s="13"/>
      <c r="O421" s="13"/>
      <c r="P421" s="13"/>
      <c r="Q421" s="13"/>
      <c r="R421" s="13"/>
      <c r="S421" s="13"/>
      <c r="T421" s="13"/>
      <c r="U421" s="13"/>
      <c r="V421" s="13"/>
      <c r="W421" s="13"/>
      <c r="X421" s="13"/>
      <c r="Y421" s="13"/>
      <c r="Z421" s="13"/>
      <c r="AA421" s="13"/>
    </row>
    <row r="422" spans="1:27" ht="17.399999999999999" x14ac:dyDescent="0.35">
      <c r="A422" s="13"/>
      <c r="B422" s="13"/>
      <c r="C422" s="13"/>
      <c r="D422" s="13"/>
      <c r="E422" s="13"/>
      <c r="F422" s="13"/>
      <c r="G422" s="13"/>
      <c r="H422" s="13"/>
      <c r="I422" s="13"/>
      <c r="J422" s="13"/>
      <c r="K422" s="13"/>
      <c r="L422" s="13"/>
      <c r="M422" s="13"/>
      <c r="N422" s="13"/>
      <c r="O422" s="13"/>
      <c r="P422" s="13"/>
      <c r="Q422" s="13"/>
      <c r="R422" s="13"/>
      <c r="S422" s="13"/>
      <c r="T422" s="13"/>
      <c r="U422" s="13"/>
      <c r="V422" s="13"/>
      <c r="W422" s="13"/>
      <c r="X422" s="13"/>
      <c r="Y422" s="13"/>
      <c r="Z422" s="13"/>
      <c r="AA422" s="13"/>
    </row>
    <row r="423" spans="1:27" ht="17.399999999999999" x14ac:dyDescent="0.35">
      <c r="A423" s="13"/>
      <c r="B423" s="13"/>
      <c r="C423" s="13"/>
      <c r="D423" s="13"/>
      <c r="E423" s="13"/>
      <c r="F423" s="13"/>
      <c r="G423" s="13"/>
      <c r="H423" s="13"/>
      <c r="I423" s="13"/>
      <c r="J423" s="13"/>
      <c r="K423" s="13"/>
      <c r="L423" s="13"/>
      <c r="M423" s="13"/>
      <c r="N423" s="13"/>
      <c r="O423" s="13"/>
      <c r="P423" s="13"/>
      <c r="Q423" s="13"/>
      <c r="R423" s="13"/>
      <c r="S423" s="13"/>
      <c r="T423" s="13"/>
      <c r="U423" s="13"/>
      <c r="V423" s="13"/>
      <c r="W423" s="13"/>
      <c r="X423" s="13"/>
      <c r="Y423" s="13"/>
      <c r="Z423" s="13"/>
      <c r="AA423" s="13"/>
    </row>
    <row r="424" spans="1:27" ht="17.399999999999999" x14ac:dyDescent="0.35">
      <c r="A424" s="13"/>
      <c r="B424" s="13"/>
      <c r="C424" s="13"/>
      <c r="D424" s="13"/>
      <c r="E424" s="13"/>
      <c r="F424" s="13"/>
      <c r="G424" s="13"/>
      <c r="H424" s="13"/>
      <c r="I424" s="13"/>
      <c r="J424" s="13"/>
      <c r="K424" s="13"/>
      <c r="L424" s="13"/>
      <c r="M424" s="13"/>
      <c r="N424" s="13"/>
      <c r="O424" s="13"/>
      <c r="P424" s="13"/>
      <c r="Q424" s="13"/>
      <c r="R424" s="13"/>
      <c r="S424" s="13"/>
      <c r="T424" s="13"/>
      <c r="U424" s="13"/>
      <c r="V424" s="13"/>
      <c r="W424" s="13"/>
      <c r="X424" s="13"/>
      <c r="Y424" s="13"/>
      <c r="Z424" s="13"/>
      <c r="AA424" s="13"/>
    </row>
    <row r="425" spans="1:27" ht="17.399999999999999" x14ac:dyDescent="0.35">
      <c r="A425" s="13"/>
      <c r="B425" s="13"/>
      <c r="C425" s="13"/>
      <c r="D425" s="13"/>
      <c r="E425" s="13"/>
      <c r="F425" s="13"/>
      <c r="G425" s="13"/>
      <c r="H425" s="13"/>
      <c r="I425" s="13"/>
      <c r="J425" s="13"/>
      <c r="K425" s="13"/>
      <c r="L425" s="13"/>
      <c r="M425" s="13"/>
      <c r="N425" s="13"/>
      <c r="O425" s="13"/>
      <c r="P425" s="13"/>
      <c r="Q425" s="13"/>
      <c r="R425" s="13"/>
      <c r="S425" s="13"/>
      <c r="T425" s="13"/>
      <c r="U425" s="13"/>
      <c r="V425" s="13"/>
      <c r="W425" s="13"/>
      <c r="X425" s="13"/>
      <c r="Y425" s="13"/>
      <c r="Z425" s="13"/>
      <c r="AA425" s="13"/>
    </row>
    <row r="426" spans="1:27" ht="17.399999999999999" x14ac:dyDescent="0.35">
      <c r="A426" s="13"/>
      <c r="B426" s="13"/>
      <c r="C426" s="13"/>
      <c r="D426" s="13"/>
      <c r="E426" s="13"/>
      <c r="F426" s="13"/>
      <c r="G426" s="13"/>
      <c r="H426" s="13"/>
      <c r="I426" s="13"/>
      <c r="J426" s="13"/>
      <c r="K426" s="13"/>
      <c r="L426" s="13"/>
      <c r="M426" s="13"/>
      <c r="N426" s="13"/>
      <c r="O426" s="13"/>
      <c r="P426" s="13"/>
      <c r="Q426" s="13"/>
      <c r="R426" s="13"/>
      <c r="S426" s="13"/>
      <c r="T426" s="13"/>
      <c r="U426" s="13"/>
      <c r="V426" s="13"/>
      <c r="W426" s="13"/>
      <c r="X426" s="13"/>
      <c r="Y426" s="13"/>
      <c r="Z426" s="13"/>
      <c r="AA426" s="13"/>
    </row>
    <row r="427" spans="1:27" ht="17.399999999999999" x14ac:dyDescent="0.35">
      <c r="A427" s="13"/>
      <c r="B427" s="13"/>
      <c r="C427" s="13"/>
      <c r="D427" s="13"/>
      <c r="E427" s="13"/>
      <c r="F427" s="13"/>
      <c r="G427" s="13"/>
      <c r="H427" s="13"/>
      <c r="I427" s="13"/>
      <c r="J427" s="13"/>
      <c r="K427" s="13"/>
      <c r="L427" s="13"/>
      <c r="M427" s="13"/>
      <c r="N427" s="13"/>
      <c r="O427" s="13"/>
      <c r="P427" s="13"/>
      <c r="Q427" s="13"/>
      <c r="R427" s="13"/>
      <c r="S427" s="13"/>
      <c r="T427" s="13"/>
      <c r="U427" s="13"/>
      <c r="V427" s="13"/>
      <c r="W427" s="13"/>
      <c r="X427" s="13"/>
      <c r="Y427" s="13"/>
      <c r="Z427" s="13"/>
      <c r="AA427" s="13"/>
    </row>
    <row r="428" spans="1:27" ht="17.399999999999999" x14ac:dyDescent="0.35">
      <c r="A428" s="13"/>
      <c r="B428" s="13"/>
      <c r="C428" s="13"/>
      <c r="D428" s="13"/>
      <c r="E428" s="13"/>
      <c r="F428" s="13"/>
      <c r="G428" s="13"/>
      <c r="H428" s="13"/>
      <c r="I428" s="13"/>
      <c r="J428" s="13"/>
      <c r="K428" s="13"/>
      <c r="L428" s="13"/>
      <c r="M428" s="13"/>
      <c r="N428" s="13"/>
      <c r="O428" s="13"/>
      <c r="P428" s="13"/>
      <c r="Q428" s="13"/>
      <c r="R428" s="13"/>
      <c r="S428" s="13"/>
      <c r="T428" s="13"/>
      <c r="U428" s="13"/>
      <c r="V428" s="13"/>
      <c r="W428" s="13"/>
      <c r="X428" s="13"/>
      <c r="Y428" s="13"/>
      <c r="Z428" s="13"/>
      <c r="AA428" s="13"/>
    </row>
    <row r="429" spans="1:27" ht="17.399999999999999" x14ac:dyDescent="0.35">
      <c r="A429" s="13"/>
      <c r="B429" s="13"/>
      <c r="C429" s="13"/>
      <c r="D429" s="13"/>
      <c r="E429" s="13"/>
      <c r="F429" s="13"/>
      <c r="G429" s="13"/>
      <c r="H429" s="13"/>
      <c r="I429" s="13"/>
      <c r="J429" s="13"/>
      <c r="K429" s="13"/>
      <c r="L429" s="13"/>
      <c r="M429" s="13"/>
      <c r="N429" s="13"/>
      <c r="O429" s="13"/>
      <c r="P429" s="13"/>
      <c r="Q429" s="13"/>
      <c r="R429" s="13"/>
      <c r="S429" s="13"/>
      <c r="T429" s="13"/>
      <c r="U429" s="13"/>
      <c r="V429" s="13"/>
      <c r="W429" s="13"/>
      <c r="X429" s="13"/>
      <c r="Y429" s="13"/>
      <c r="Z429" s="13"/>
      <c r="AA429" s="13"/>
    </row>
    <row r="430" spans="1:27" ht="17.399999999999999" x14ac:dyDescent="0.35">
      <c r="A430" s="13"/>
      <c r="B430" s="13"/>
      <c r="C430" s="13"/>
      <c r="D430" s="13"/>
      <c r="E430" s="13"/>
      <c r="F430" s="13"/>
      <c r="G430" s="13"/>
      <c r="H430" s="13"/>
      <c r="I430" s="13"/>
      <c r="J430" s="13"/>
      <c r="K430" s="13"/>
      <c r="L430" s="13"/>
      <c r="M430" s="13"/>
      <c r="N430" s="13"/>
      <c r="O430" s="13"/>
      <c r="P430" s="13"/>
      <c r="Q430" s="13"/>
      <c r="R430" s="13"/>
      <c r="S430" s="13"/>
      <c r="T430" s="13"/>
      <c r="U430" s="13"/>
      <c r="V430" s="13"/>
      <c r="W430" s="13"/>
      <c r="X430" s="13"/>
      <c r="Y430" s="13"/>
      <c r="Z430" s="13"/>
      <c r="AA430" s="13"/>
    </row>
    <row r="431" spans="1:27" ht="17.399999999999999" x14ac:dyDescent="0.35">
      <c r="A431" s="13"/>
      <c r="B431" s="13"/>
      <c r="C431" s="13"/>
      <c r="D431" s="13"/>
      <c r="E431" s="13"/>
      <c r="F431" s="13"/>
      <c r="G431" s="13"/>
      <c r="H431" s="13"/>
      <c r="I431" s="13"/>
      <c r="J431" s="13"/>
      <c r="K431" s="13"/>
      <c r="L431" s="13"/>
      <c r="M431" s="13"/>
      <c r="N431" s="13"/>
      <c r="O431" s="13"/>
      <c r="P431" s="13"/>
      <c r="Q431" s="13"/>
      <c r="R431" s="13"/>
      <c r="S431" s="13"/>
      <c r="T431" s="13"/>
      <c r="U431" s="13"/>
      <c r="V431" s="13"/>
      <c r="W431" s="13"/>
      <c r="X431" s="13"/>
      <c r="Y431" s="13"/>
      <c r="Z431" s="13"/>
      <c r="AA431" s="13"/>
    </row>
    <row r="432" spans="1:27" ht="17.399999999999999" x14ac:dyDescent="0.35">
      <c r="A432" s="13"/>
      <c r="B432" s="13"/>
      <c r="C432" s="13"/>
      <c r="D432" s="13"/>
      <c r="E432" s="13"/>
      <c r="F432" s="13"/>
      <c r="G432" s="13"/>
      <c r="H432" s="13"/>
      <c r="I432" s="13"/>
      <c r="J432" s="13"/>
      <c r="K432" s="13"/>
      <c r="L432" s="13"/>
      <c r="M432" s="13"/>
      <c r="N432" s="13"/>
      <c r="O432" s="13"/>
      <c r="P432" s="13"/>
      <c r="Q432" s="13"/>
      <c r="R432" s="13"/>
      <c r="S432" s="13"/>
      <c r="T432" s="13"/>
      <c r="U432" s="13"/>
      <c r="V432" s="13"/>
      <c r="W432" s="13"/>
      <c r="X432" s="13"/>
      <c r="Y432" s="13"/>
      <c r="Z432" s="13"/>
      <c r="AA432" s="13"/>
    </row>
    <row r="433" spans="1:27" ht="17.399999999999999" x14ac:dyDescent="0.35">
      <c r="A433" s="13"/>
      <c r="B433" s="13"/>
      <c r="C433" s="13"/>
      <c r="D433" s="13"/>
      <c r="E433" s="13"/>
      <c r="F433" s="13"/>
      <c r="G433" s="13"/>
      <c r="H433" s="13"/>
      <c r="I433" s="13"/>
      <c r="J433" s="13"/>
      <c r="K433" s="13"/>
      <c r="L433" s="13"/>
      <c r="M433" s="13"/>
      <c r="N433" s="13"/>
      <c r="O433" s="13"/>
      <c r="P433" s="13"/>
      <c r="Q433" s="13"/>
      <c r="R433" s="13"/>
      <c r="S433" s="13"/>
      <c r="T433" s="13"/>
      <c r="U433" s="13"/>
      <c r="V433" s="13"/>
      <c r="W433" s="13"/>
      <c r="X433" s="13"/>
      <c r="Y433" s="13"/>
      <c r="Z433" s="13"/>
      <c r="AA433" s="13"/>
    </row>
    <row r="434" spans="1:27" ht="17.399999999999999" x14ac:dyDescent="0.35">
      <c r="A434" s="13"/>
      <c r="B434" s="13"/>
      <c r="C434" s="13"/>
      <c r="D434" s="13"/>
      <c r="E434" s="13"/>
      <c r="F434" s="13"/>
      <c r="G434" s="13"/>
      <c r="H434" s="13"/>
      <c r="I434" s="13"/>
      <c r="J434" s="13"/>
      <c r="K434" s="13"/>
      <c r="L434" s="13"/>
      <c r="M434" s="13"/>
      <c r="N434" s="13"/>
      <c r="O434" s="13"/>
      <c r="P434" s="13"/>
      <c r="Q434" s="13"/>
      <c r="R434" s="13"/>
      <c r="S434" s="13"/>
      <c r="T434" s="13"/>
      <c r="U434" s="13"/>
      <c r="V434" s="13"/>
      <c r="W434" s="13"/>
      <c r="X434" s="13"/>
      <c r="Y434" s="13"/>
      <c r="Z434" s="13"/>
      <c r="AA434" s="13"/>
    </row>
    <row r="435" spans="1:27" ht="17.399999999999999" x14ac:dyDescent="0.35">
      <c r="A435" s="13"/>
      <c r="B435" s="13"/>
      <c r="C435" s="13"/>
      <c r="D435" s="13"/>
      <c r="E435" s="13"/>
      <c r="F435" s="13"/>
      <c r="G435" s="13"/>
      <c r="H435" s="13"/>
      <c r="I435" s="13"/>
      <c r="J435" s="13"/>
      <c r="K435" s="13"/>
      <c r="L435" s="13"/>
      <c r="M435" s="13"/>
      <c r="N435" s="13"/>
      <c r="O435" s="13"/>
      <c r="P435" s="13"/>
      <c r="Q435" s="13"/>
      <c r="R435" s="13"/>
      <c r="S435" s="13"/>
      <c r="T435" s="13"/>
      <c r="U435" s="13"/>
      <c r="V435" s="13"/>
      <c r="W435" s="13"/>
      <c r="X435" s="13"/>
      <c r="Y435" s="13"/>
      <c r="Z435" s="13"/>
      <c r="AA435" s="13"/>
    </row>
    <row r="436" spans="1:27" ht="17.399999999999999" x14ac:dyDescent="0.35">
      <c r="A436" s="13"/>
      <c r="B436" s="13"/>
      <c r="C436" s="13"/>
      <c r="D436" s="13"/>
      <c r="E436" s="13"/>
      <c r="F436" s="13"/>
      <c r="G436" s="13"/>
      <c r="H436" s="13"/>
      <c r="I436" s="13"/>
      <c r="J436" s="13"/>
      <c r="K436" s="13"/>
      <c r="L436" s="13"/>
      <c r="M436" s="13"/>
      <c r="N436" s="13"/>
      <c r="O436" s="13"/>
      <c r="P436" s="13"/>
      <c r="Q436" s="13"/>
      <c r="R436" s="13"/>
      <c r="S436" s="13"/>
      <c r="T436" s="13"/>
      <c r="U436" s="13"/>
      <c r="V436" s="13"/>
      <c r="W436" s="13"/>
      <c r="X436" s="13"/>
      <c r="Y436" s="13"/>
      <c r="Z436" s="13"/>
      <c r="AA436" s="13"/>
    </row>
    <row r="437" spans="1:27" ht="17.399999999999999" x14ac:dyDescent="0.35">
      <c r="A437" s="13"/>
      <c r="B437" s="13"/>
      <c r="C437" s="13"/>
      <c r="D437" s="13"/>
      <c r="E437" s="13"/>
      <c r="F437" s="13"/>
      <c r="G437" s="13"/>
      <c r="H437" s="13"/>
      <c r="I437" s="13"/>
      <c r="J437" s="13"/>
      <c r="K437" s="13"/>
      <c r="L437" s="13"/>
      <c r="M437" s="13"/>
      <c r="N437" s="13"/>
      <c r="O437" s="13"/>
      <c r="P437" s="13"/>
      <c r="Q437" s="13"/>
      <c r="R437" s="13"/>
      <c r="S437" s="13"/>
      <c r="T437" s="13"/>
      <c r="U437" s="13"/>
      <c r="V437" s="13"/>
      <c r="W437" s="13"/>
      <c r="X437" s="13"/>
      <c r="Y437" s="13"/>
      <c r="Z437" s="13"/>
      <c r="AA437" s="13"/>
    </row>
    <row r="438" spans="1:27" ht="17.399999999999999" x14ac:dyDescent="0.35">
      <c r="A438" s="13"/>
      <c r="B438" s="13"/>
      <c r="C438" s="13"/>
      <c r="D438" s="13"/>
      <c r="E438" s="13"/>
      <c r="F438" s="13"/>
      <c r="G438" s="13"/>
      <c r="H438" s="13"/>
      <c r="I438" s="13"/>
      <c r="J438" s="13"/>
      <c r="K438" s="13"/>
      <c r="L438" s="13"/>
      <c r="M438" s="13"/>
      <c r="N438" s="13"/>
      <c r="O438" s="13"/>
      <c r="P438" s="13"/>
      <c r="Q438" s="13"/>
      <c r="R438" s="13"/>
      <c r="S438" s="13"/>
      <c r="T438" s="13"/>
      <c r="U438" s="13"/>
      <c r="V438" s="13"/>
      <c r="W438" s="13"/>
      <c r="X438" s="13"/>
      <c r="Y438" s="13"/>
      <c r="Z438" s="13"/>
      <c r="AA438" s="13"/>
    </row>
    <row r="439" spans="1:27" ht="17.399999999999999" x14ac:dyDescent="0.35">
      <c r="A439" s="13"/>
      <c r="B439" s="13"/>
      <c r="C439" s="13"/>
      <c r="D439" s="13"/>
      <c r="E439" s="13"/>
      <c r="F439" s="13"/>
      <c r="G439" s="13"/>
      <c r="H439" s="13"/>
      <c r="I439" s="13"/>
      <c r="J439" s="13"/>
      <c r="K439" s="13"/>
      <c r="L439" s="13"/>
      <c r="M439" s="13"/>
      <c r="N439" s="13"/>
      <c r="O439" s="13"/>
      <c r="P439" s="13"/>
      <c r="Q439" s="13"/>
      <c r="R439" s="13"/>
      <c r="S439" s="13"/>
      <c r="T439" s="13"/>
      <c r="U439" s="13"/>
      <c r="V439" s="13"/>
      <c r="W439" s="13"/>
      <c r="X439" s="13"/>
      <c r="Y439" s="13"/>
      <c r="Z439" s="13"/>
      <c r="AA439" s="13"/>
    </row>
    <row r="440" spans="1:27" ht="17.399999999999999" x14ac:dyDescent="0.35">
      <c r="A440" s="13"/>
      <c r="B440" s="13"/>
      <c r="C440" s="13"/>
      <c r="D440" s="13"/>
      <c r="E440" s="13"/>
      <c r="F440" s="13"/>
      <c r="G440" s="13"/>
      <c r="H440" s="13"/>
      <c r="I440" s="13"/>
      <c r="J440" s="13"/>
      <c r="K440" s="13"/>
      <c r="L440" s="13"/>
      <c r="M440" s="13"/>
      <c r="N440" s="13"/>
      <c r="O440" s="13"/>
      <c r="P440" s="13"/>
      <c r="Q440" s="13"/>
      <c r="R440" s="13"/>
      <c r="S440" s="13"/>
      <c r="T440" s="13"/>
      <c r="U440" s="13"/>
      <c r="V440" s="13"/>
      <c r="W440" s="13"/>
      <c r="X440" s="13"/>
      <c r="Y440" s="13"/>
      <c r="Z440" s="13"/>
      <c r="AA440" s="13"/>
    </row>
    <row r="441" spans="1:27" ht="17.399999999999999" x14ac:dyDescent="0.35">
      <c r="A441" s="13"/>
      <c r="B441" s="13"/>
      <c r="C441" s="13"/>
      <c r="D441" s="13"/>
      <c r="E441" s="13"/>
      <c r="F441" s="13"/>
      <c r="G441" s="13"/>
      <c r="H441" s="13"/>
      <c r="I441" s="13"/>
      <c r="J441" s="13"/>
      <c r="K441" s="13"/>
      <c r="L441" s="13"/>
      <c r="M441" s="13"/>
      <c r="N441" s="13"/>
      <c r="O441" s="13"/>
      <c r="P441" s="13"/>
      <c r="Q441" s="13"/>
      <c r="R441" s="13"/>
      <c r="S441" s="13"/>
      <c r="T441" s="13"/>
      <c r="U441" s="13"/>
      <c r="V441" s="13"/>
      <c r="W441" s="13"/>
      <c r="X441" s="13"/>
      <c r="Y441" s="13"/>
      <c r="Z441" s="13"/>
      <c r="AA441" s="13"/>
    </row>
    <row r="442" spans="1:27" ht="17.399999999999999" x14ac:dyDescent="0.35">
      <c r="A442" s="13"/>
      <c r="B442" s="13"/>
      <c r="C442" s="13"/>
      <c r="D442" s="13"/>
      <c r="E442" s="13"/>
      <c r="F442" s="13"/>
      <c r="G442" s="13"/>
      <c r="H442" s="13"/>
      <c r="I442" s="13"/>
      <c r="J442" s="13"/>
      <c r="K442" s="13"/>
      <c r="L442" s="13"/>
      <c r="M442" s="13"/>
      <c r="N442" s="13"/>
      <c r="O442" s="13"/>
      <c r="P442" s="13"/>
      <c r="Q442" s="13"/>
      <c r="R442" s="13"/>
      <c r="S442" s="13"/>
      <c r="T442" s="13"/>
      <c r="U442" s="13"/>
      <c r="V442" s="13"/>
      <c r="W442" s="13"/>
      <c r="X442" s="13"/>
      <c r="Y442" s="13"/>
      <c r="Z442" s="13"/>
      <c r="AA442" s="13"/>
    </row>
    <row r="443" spans="1:27" ht="17.399999999999999" x14ac:dyDescent="0.35">
      <c r="A443" s="13"/>
      <c r="B443" s="13"/>
      <c r="C443" s="13"/>
      <c r="D443" s="13"/>
      <c r="E443" s="13"/>
      <c r="F443" s="13"/>
      <c r="G443" s="13"/>
      <c r="H443" s="13"/>
      <c r="I443" s="13"/>
      <c r="J443" s="13"/>
      <c r="K443" s="13"/>
      <c r="L443" s="13"/>
      <c r="M443" s="13"/>
      <c r="N443" s="13"/>
      <c r="O443" s="13"/>
      <c r="P443" s="13"/>
      <c r="Q443" s="13"/>
      <c r="R443" s="13"/>
      <c r="S443" s="13"/>
      <c r="T443" s="13"/>
      <c r="U443" s="13"/>
      <c r="V443" s="13"/>
      <c r="W443" s="13"/>
      <c r="X443" s="13"/>
      <c r="Y443" s="13"/>
      <c r="Z443" s="13"/>
      <c r="AA443" s="13"/>
    </row>
    <row r="444" spans="1:27" ht="17.399999999999999" x14ac:dyDescent="0.35">
      <c r="A444" s="13"/>
      <c r="B444" s="13"/>
      <c r="C444" s="13"/>
      <c r="D444" s="13"/>
      <c r="E444" s="13"/>
      <c r="F444" s="13"/>
      <c r="G444" s="13"/>
      <c r="H444" s="13"/>
      <c r="I444" s="13"/>
      <c r="J444" s="13"/>
      <c r="K444" s="13"/>
      <c r="L444" s="13"/>
      <c r="M444" s="13"/>
      <c r="N444" s="13"/>
      <c r="O444" s="13"/>
      <c r="P444" s="13"/>
      <c r="Q444" s="13"/>
      <c r="R444" s="13"/>
      <c r="S444" s="13"/>
      <c r="T444" s="13"/>
      <c r="U444" s="13"/>
      <c r="V444" s="13"/>
      <c r="W444" s="13"/>
      <c r="X444" s="13"/>
      <c r="Y444" s="13"/>
      <c r="Z444" s="13"/>
      <c r="AA444" s="13"/>
    </row>
    <row r="445" spans="1:27" ht="17.399999999999999" x14ac:dyDescent="0.35">
      <c r="A445" s="13"/>
      <c r="B445" s="13"/>
      <c r="C445" s="13"/>
      <c r="D445" s="13"/>
      <c r="E445" s="13"/>
      <c r="F445" s="13"/>
      <c r="G445" s="13"/>
      <c r="H445" s="13"/>
      <c r="I445" s="13"/>
      <c r="J445" s="13"/>
      <c r="K445" s="13"/>
      <c r="L445" s="13"/>
      <c r="M445" s="13"/>
      <c r="N445" s="13"/>
      <c r="O445" s="13"/>
      <c r="P445" s="13"/>
      <c r="Q445" s="13"/>
      <c r="R445" s="13"/>
      <c r="S445" s="13"/>
      <c r="T445" s="13"/>
      <c r="U445" s="13"/>
      <c r="V445" s="13"/>
      <c r="W445" s="13"/>
      <c r="X445" s="13"/>
      <c r="Y445" s="13"/>
      <c r="Z445" s="13"/>
      <c r="AA445" s="13"/>
    </row>
    <row r="446" spans="1:27" ht="17.399999999999999" x14ac:dyDescent="0.35">
      <c r="A446" s="13"/>
      <c r="B446" s="13"/>
      <c r="C446" s="13"/>
      <c r="D446" s="13"/>
      <c r="E446" s="13"/>
      <c r="F446" s="13"/>
      <c r="G446" s="13"/>
      <c r="H446" s="13"/>
      <c r="I446" s="13"/>
      <c r="J446" s="13"/>
      <c r="K446" s="13"/>
      <c r="L446" s="13"/>
      <c r="M446" s="13"/>
      <c r="N446" s="13"/>
      <c r="O446" s="13"/>
      <c r="P446" s="13"/>
      <c r="Q446" s="13"/>
      <c r="R446" s="13"/>
      <c r="S446" s="13"/>
      <c r="T446" s="13"/>
      <c r="U446" s="13"/>
      <c r="V446" s="13"/>
      <c r="W446" s="13"/>
      <c r="X446" s="13"/>
      <c r="Y446" s="13"/>
      <c r="Z446" s="13"/>
      <c r="AA446" s="13"/>
    </row>
    <row r="447" spans="1:27" ht="17.399999999999999" x14ac:dyDescent="0.35">
      <c r="A447" s="13"/>
      <c r="B447" s="13"/>
      <c r="C447" s="13"/>
      <c r="D447" s="13"/>
      <c r="E447" s="13"/>
      <c r="F447" s="13"/>
      <c r="G447" s="13"/>
      <c r="H447" s="13"/>
      <c r="I447" s="13"/>
      <c r="J447" s="13"/>
      <c r="K447" s="13"/>
      <c r="L447" s="13"/>
      <c r="M447" s="13"/>
      <c r="N447" s="13"/>
      <c r="O447" s="13"/>
      <c r="P447" s="13"/>
      <c r="Q447" s="13"/>
      <c r="R447" s="13"/>
      <c r="S447" s="13"/>
      <c r="T447" s="13"/>
      <c r="U447" s="13"/>
      <c r="V447" s="13"/>
      <c r="W447" s="13"/>
      <c r="X447" s="13"/>
      <c r="Y447" s="13"/>
      <c r="Z447" s="13"/>
      <c r="AA447" s="13"/>
    </row>
    <row r="448" spans="1:27" ht="17.399999999999999" x14ac:dyDescent="0.35">
      <c r="A448" s="13"/>
      <c r="B448" s="13"/>
      <c r="C448" s="13"/>
      <c r="D448" s="13"/>
      <c r="E448" s="13"/>
      <c r="F448" s="13"/>
      <c r="G448" s="13"/>
      <c r="H448" s="13"/>
      <c r="I448" s="13"/>
      <c r="J448" s="13"/>
      <c r="K448" s="13"/>
      <c r="L448" s="13"/>
      <c r="M448" s="13"/>
      <c r="N448" s="13"/>
      <c r="O448" s="13"/>
      <c r="P448" s="13"/>
      <c r="Q448" s="13"/>
      <c r="R448" s="13"/>
      <c r="S448" s="13"/>
      <c r="T448" s="13"/>
      <c r="U448" s="13"/>
      <c r="V448" s="13"/>
      <c r="W448" s="13"/>
      <c r="X448" s="13"/>
      <c r="Y448" s="13"/>
      <c r="Z448" s="13"/>
      <c r="AA448" s="13"/>
    </row>
    <row r="449" spans="1:27" ht="17.399999999999999" x14ac:dyDescent="0.35">
      <c r="A449" s="13"/>
      <c r="B449" s="13"/>
      <c r="C449" s="13"/>
      <c r="D449" s="13"/>
      <c r="E449" s="13"/>
      <c r="F449" s="13"/>
      <c r="G449" s="13"/>
      <c r="H449" s="13"/>
      <c r="I449" s="13"/>
      <c r="J449" s="13"/>
      <c r="K449" s="13"/>
      <c r="L449" s="13"/>
      <c r="M449" s="13"/>
      <c r="N449" s="13"/>
      <c r="O449" s="13"/>
      <c r="P449" s="13"/>
      <c r="Q449" s="13"/>
      <c r="R449" s="13"/>
      <c r="S449" s="13"/>
      <c r="T449" s="13"/>
      <c r="U449" s="13"/>
      <c r="V449" s="13"/>
      <c r="W449" s="13"/>
      <c r="X449" s="13"/>
      <c r="Y449" s="13"/>
      <c r="Z449" s="13"/>
      <c r="AA449" s="13"/>
    </row>
    <row r="450" spans="1:27" ht="17.399999999999999" x14ac:dyDescent="0.35">
      <c r="A450" s="13"/>
      <c r="B450" s="13"/>
      <c r="C450" s="13"/>
      <c r="D450" s="13"/>
      <c r="E450" s="13"/>
      <c r="F450" s="13"/>
      <c r="G450" s="13"/>
      <c r="H450" s="13"/>
      <c r="I450" s="13"/>
      <c r="J450" s="13"/>
      <c r="K450" s="13"/>
      <c r="L450" s="13"/>
      <c r="M450" s="13"/>
      <c r="N450" s="13"/>
      <c r="O450" s="13"/>
      <c r="P450" s="13"/>
      <c r="Q450" s="13"/>
      <c r="R450" s="13"/>
      <c r="S450" s="13"/>
      <c r="T450" s="13"/>
      <c r="U450" s="13"/>
      <c r="V450" s="13"/>
      <c r="W450" s="13"/>
      <c r="X450" s="13"/>
      <c r="Y450" s="13"/>
      <c r="Z450" s="13"/>
      <c r="AA450" s="13"/>
    </row>
    <row r="451" spans="1:27" ht="17.399999999999999" x14ac:dyDescent="0.35">
      <c r="A451" s="13"/>
      <c r="B451" s="13"/>
      <c r="C451" s="13"/>
      <c r="D451" s="13"/>
      <c r="E451" s="13"/>
      <c r="F451" s="13"/>
      <c r="G451" s="13"/>
      <c r="H451" s="13"/>
      <c r="I451" s="13"/>
      <c r="J451" s="13"/>
      <c r="K451" s="13"/>
      <c r="L451" s="13"/>
      <c r="M451" s="13"/>
      <c r="N451" s="13"/>
      <c r="O451" s="13"/>
      <c r="P451" s="13"/>
      <c r="Q451" s="13"/>
      <c r="R451" s="13"/>
      <c r="S451" s="13"/>
      <c r="T451" s="13"/>
      <c r="U451" s="13"/>
      <c r="V451" s="13"/>
      <c r="W451" s="13"/>
      <c r="X451" s="13"/>
      <c r="Y451" s="13"/>
      <c r="Z451" s="13"/>
      <c r="AA451" s="13"/>
    </row>
    <row r="452" spans="1:27" ht="17.399999999999999" x14ac:dyDescent="0.35">
      <c r="A452" s="13"/>
      <c r="B452" s="13"/>
      <c r="C452" s="13"/>
      <c r="D452" s="13"/>
      <c r="E452" s="13"/>
      <c r="F452" s="13"/>
      <c r="G452" s="13"/>
      <c r="H452" s="13"/>
      <c r="I452" s="13"/>
      <c r="J452" s="13"/>
      <c r="K452" s="13"/>
      <c r="L452" s="13"/>
      <c r="M452" s="13"/>
      <c r="N452" s="13"/>
      <c r="O452" s="13"/>
      <c r="P452" s="13"/>
      <c r="Q452" s="13"/>
      <c r="R452" s="13"/>
      <c r="S452" s="13"/>
      <c r="T452" s="13"/>
      <c r="U452" s="13"/>
      <c r="V452" s="13"/>
      <c r="W452" s="13"/>
      <c r="X452" s="13"/>
      <c r="Y452" s="13"/>
      <c r="Z452" s="13"/>
      <c r="AA452" s="13"/>
    </row>
    <row r="453" spans="1:27" ht="17.399999999999999" x14ac:dyDescent="0.35">
      <c r="A453" s="13"/>
      <c r="B453" s="13"/>
      <c r="C453" s="13"/>
      <c r="D453" s="13"/>
      <c r="E453" s="13"/>
      <c r="F453" s="13"/>
      <c r="G453" s="13"/>
      <c r="H453" s="13"/>
      <c r="I453" s="13"/>
      <c r="J453" s="13"/>
      <c r="K453" s="13"/>
      <c r="L453" s="13"/>
      <c r="M453" s="13"/>
      <c r="N453" s="13"/>
      <c r="O453" s="13"/>
      <c r="P453" s="13"/>
      <c r="Q453" s="13"/>
      <c r="R453" s="13"/>
      <c r="S453" s="13"/>
      <c r="T453" s="13"/>
      <c r="U453" s="13"/>
      <c r="V453" s="13"/>
      <c r="W453" s="13"/>
      <c r="X453" s="13"/>
      <c r="Y453" s="13"/>
      <c r="Z453" s="13"/>
      <c r="AA453" s="13"/>
    </row>
    <row r="454" spans="1:27" ht="17.399999999999999" x14ac:dyDescent="0.35">
      <c r="A454" s="13"/>
      <c r="B454" s="13"/>
      <c r="C454" s="13"/>
      <c r="D454" s="13"/>
      <c r="E454" s="13"/>
      <c r="F454" s="13"/>
      <c r="G454" s="13"/>
      <c r="H454" s="13"/>
      <c r="I454" s="13"/>
      <c r="J454" s="13"/>
      <c r="K454" s="13"/>
      <c r="L454" s="13"/>
      <c r="M454" s="13"/>
      <c r="N454" s="13"/>
      <c r="O454" s="13"/>
      <c r="P454" s="13"/>
      <c r="Q454" s="13"/>
      <c r="R454" s="13"/>
      <c r="S454" s="13"/>
      <c r="T454" s="13"/>
      <c r="U454" s="13"/>
      <c r="V454" s="13"/>
      <c r="W454" s="13"/>
      <c r="X454" s="13"/>
      <c r="Y454" s="13"/>
      <c r="Z454" s="13"/>
      <c r="AA454" s="13"/>
    </row>
    <row r="455" spans="1:27" ht="17.399999999999999" x14ac:dyDescent="0.35">
      <c r="A455" s="13"/>
      <c r="B455" s="13"/>
      <c r="C455" s="13"/>
      <c r="D455" s="13"/>
      <c r="E455" s="13"/>
      <c r="F455" s="13"/>
      <c r="G455" s="13"/>
      <c r="H455" s="13"/>
      <c r="I455" s="13"/>
      <c r="J455" s="13"/>
      <c r="K455" s="13"/>
      <c r="L455" s="13"/>
      <c r="M455" s="13"/>
      <c r="N455" s="13"/>
      <c r="O455" s="13"/>
      <c r="P455" s="13"/>
      <c r="Q455" s="13"/>
      <c r="R455" s="13"/>
      <c r="S455" s="13"/>
      <c r="T455" s="13"/>
      <c r="U455" s="13"/>
      <c r="V455" s="13"/>
      <c r="W455" s="13"/>
      <c r="X455" s="13"/>
      <c r="Y455" s="13"/>
      <c r="Z455" s="13"/>
      <c r="AA455" s="13"/>
    </row>
    <row r="456" spans="1:27" ht="17.399999999999999" x14ac:dyDescent="0.35">
      <c r="A456" s="13"/>
      <c r="B456" s="13"/>
      <c r="C456" s="13"/>
      <c r="D456" s="13"/>
      <c r="E456" s="13"/>
      <c r="F456" s="13"/>
      <c r="G456" s="13"/>
      <c r="H456" s="13"/>
      <c r="I456" s="13"/>
      <c r="J456" s="13"/>
      <c r="K456" s="13"/>
      <c r="L456" s="13"/>
      <c r="M456" s="13"/>
      <c r="N456" s="13"/>
      <c r="O456" s="13"/>
      <c r="P456" s="13"/>
      <c r="Q456" s="13"/>
      <c r="R456" s="13"/>
      <c r="S456" s="13"/>
      <c r="T456" s="13"/>
      <c r="U456" s="13"/>
      <c r="V456" s="13"/>
      <c r="W456" s="13"/>
      <c r="X456" s="13"/>
      <c r="Y456" s="13"/>
      <c r="Z456" s="13"/>
      <c r="AA456" s="13"/>
    </row>
    <row r="457" spans="1:27" ht="17.399999999999999" x14ac:dyDescent="0.35">
      <c r="A457" s="13"/>
      <c r="B457" s="13"/>
      <c r="C457" s="13"/>
      <c r="D457" s="13"/>
      <c r="E457" s="13"/>
      <c r="F457" s="13"/>
      <c r="G457" s="13"/>
      <c r="H457" s="13"/>
      <c r="I457" s="13"/>
      <c r="J457" s="13"/>
      <c r="K457" s="13"/>
      <c r="L457" s="13"/>
      <c r="M457" s="13"/>
      <c r="N457" s="13"/>
      <c r="O457" s="13"/>
      <c r="P457" s="13"/>
      <c r="Q457" s="13"/>
      <c r="R457" s="13"/>
      <c r="S457" s="13"/>
      <c r="T457" s="13"/>
      <c r="U457" s="13"/>
      <c r="V457" s="13"/>
      <c r="W457" s="13"/>
      <c r="X457" s="13"/>
      <c r="Y457" s="13"/>
      <c r="Z457" s="13"/>
      <c r="AA457" s="13"/>
    </row>
    <row r="458" spans="1:27" ht="17.399999999999999" x14ac:dyDescent="0.35">
      <c r="A458" s="13"/>
      <c r="B458" s="13"/>
      <c r="C458" s="13"/>
      <c r="D458" s="13"/>
      <c r="E458" s="13"/>
      <c r="F458" s="13"/>
      <c r="G458" s="13"/>
      <c r="H458" s="13"/>
      <c r="I458" s="13"/>
      <c r="J458" s="13"/>
      <c r="K458" s="13"/>
      <c r="L458" s="13"/>
      <c r="M458" s="13"/>
      <c r="N458" s="13"/>
      <c r="O458" s="13"/>
      <c r="P458" s="13"/>
      <c r="Q458" s="13"/>
      <c r="R458" s="13"/>
      <c r="S458" s="13"/>
      <c r="T458" s="13"/>
      <c r="U458" s="13"/>
      <c r="V458" s="13"/>
      <c r="W458" s="13"/>
      <c r="X458" s="13"/>
      <c r="Y458" s="13"/>
      <c r="Z458" s="13"/>
      <c r="AA458" s="13"/>
    </row>
    <row r="459" spans="1:27" ht="17.399999999999999" x14ac:dyDescent="0.35">
      <c r="A459" s="13"/>
      <c r="B459" s="13"/>
      <c r="C459" s="13"/>
      <c r="D459" s="13"/>
      <c r="E459" s="13"/>
      <c r="F459" s="13"/>
      <c r="G459" s="13"/>
      <c r="H459" s="13"/>
      <c r="I459" s="13"/>
      <c r="J459" s="13"/>
      <c r="K459" s="13"/>
      <c r="L459" s="13"/>
      <c r="M459" s="13"/>
      <c r="N459" s="13"/>
      <c r="O459" s="13"/>
      <c r="P459" s="13"/>
      <c r="Q459" s="13"/>
      <c r="R459" s="13"/>
      <c r="S459" s="13"/>
      <c r="T459" s="13"/>
      <c r="U459" s="13"/>
      <c r="V459" s="13"/>
      <c r="W459" s="13"/>
      <c r="X459" s="13"/>
      <c r="Y459" s="13"/>
      <c r="Z459" s="13"/>
      <c r="AA459" s="13"/>
    </row>
    <row r="460" spans="1:27" ht="17.399999999999999" x14ac:dyDescent="0.35">
      <c r="A460" s="13"/>
      <c r="B460" s="13"/>
      <c r="C460" s="13"/>
      <c r="D460" s="13"/>
      <c r="E460" s="13"/>
      <c r="F460" s="13"/>
      <c r="G460" s="13"/>
      <c r="H460" s="13"/>
      <c r="I460" s="13"/>
      <c r="J460" s="13"/>
      <c r="K460" s="13"/>
      <c r="L460" s="13"/>
      <c r="M460" s="13"/>
      <c r="N460" s="13"/>
      <c r="O460" s="13"/>
      <c r="P460" s="13"/>
      <c r="Q460" s="13"/>
      <c r="R460" s="13"/>
      <c r="S460" s="13"/>
      <c r="T460" s="13"/>
      <c r="U460" s="13"/>
      <c r="V460" s="13"/>
      <c r="W460" s="13"/>
      <c r="X460" s="13"/>
      <c r="Y460" s="13"/>
      <c r="Z460" s="13"/>
      <c r="AA460" s="13"/>
    </row>
    <row r="461" spans="1:27" ht="17.399999999999999" x14ac:dyDescent="0.35">
      <c r="A461" s="13"/>
      <c r="B461" s="13"/>
      <c r="C461" s="13"/>
      <c r="D461" s="13"/>
      <c r="E461" s="13"/>
      <c r="F461" s="13"/>
      <c r="G461" s="13"/>
      <c r="H461" s="13"/>
      <c r="I461" s="13"/>
      <c r="J461" s="13"/>
      <c r="K461" s="13"/>
      <c r="L461" s="13"/>
      <c r="M461" s="13"/>
      <c r="N461" s="13"/>
      <c r="O461" s="13"/>
      <c r="P461" s="13"/>
      <c r="Q461" s="13"/>
      <c r="R461" s="13"/>
      <c r="S461" s="13"/>
      <c r="T461" s="13"/>
      <c r="U461" s="13"/>
      <c r="V461" s="13"/>
      <c r="W461" s="13"/>
      <c r="X461" s="13"/>
      <c r="Y461" s="13"/>
      <c r="Z461" s="13"/>
      <c r="AA461" s="13"/>
    </row>
    <row r="462" spans="1:27" ht="17.399999999999999" x14ac:dyDescent="0.35">
      <c r="A462" s="13"/>
      <c r="B462" s="13"/>
      <c r="C462" s="13"/>
      <c r="D462" s="13"/>
      <c r="E462" s="13"/>
      <c r="F462" s="13"/>
      <c r="G462" s="13"/>
      <c r="H462" s="13"/>
      <c r="I462" s="13"/>
      <c r="J462" s="13"/>
      <c r="K462" s="13"/>
      <c r="L462" s="13"/>
      <c r="M462" s="13"/>
      <c r="N462" s="13"/>
      <c r="O462" s="13"/>
      <c r="P462" s="13"/>
      <c r="Q462" s="13"/>
      <c r="R462" s="13"/>
      <c r="S462" s="13"/>
      <c r="T462" s="13"/>
      <c r="U462" s="13"/>
      <c r="V462" s="13"/>
      <c r="W462" s="13"/>
      <c r="X462" s="13"/>
      <c r="Y462" s="13"/>
      <c r="Z462" s="13"/>
      <c r="AA462" s="13"/>
    </row>
    <row r="463" spans="1:27" ht="17.399999999999999" x14ac:dyDescent="0.35">
      <c r="A463" s="13"/>
      <c r="B463" s="13"/>
      <c r="C463" s="13"/>
      <c r="D463" s="13"/>
      <c r="E463" s="13"/>
      <c r="F463" s="13"/>
      <c r="G463" s="13"/>
      <c r="H463" s="13"/>
      <c r="I463" s="13"/>
      <c r="J463" s="13"/>
      <c r="K463" s="13"/>
      <c r="L463" s="13"/>
      <c r="M463" s="13"/>
      <c r="N463" s="13"/>
      <c r="O463" s="13"/>
      <c r="P463" s="13"/>
      <c r="Q463" s="13"/>
      <c r="R463" s="13"/>
      <c r="S463" s="13"/>
      <c r="T463" s="13"/>
      <c r="U463" s="13"/>
      <c r="V463" s="13"/>
      <c r="W463" s="13"/>
      <c r="X463" s="13"/>
      <c r="Y463" s="13"/>
      <c r="Z463" s="13"/>
      <c r="AA463" s="13"/>
    </row>
    <row r="464" spans="1:27" ht="17.399999999999999" x14ac:dyDescent="0.35">
      <c r="A464" s="13"/>
      <c r="B464" s="13"/>
      <c r="C464" s="13"/>
      <c r="D464" s="13"/>
      <c r="E464" s="13"/>
      <c r="F464" s="13"/>
      <c r="G464" s="13"/>
      <c r="H464" s="13"/>
      <c r="I464" s="13"/>
      <c r="J464" s="13"/>
      <c r="K464" s="13"/>
      <c r="L464" s="13"/>
      <c r="M464" s="13"/>
      <c r="N464" s="13"/>
      <c r="O464" s="13"/>
      <c r="P464" s="13"/>
      <c r="Q464" s="13"/>
      <c r="R464" s="13"/>
      <c r="S464" s="13"/>
      <c r="T464" s="13"/>
      <c r="U464" s="13"/>
      <c r="V464" s="13"/>
      <c r="W464" s="13"/>
      <c r="X464" s="13"/>
      <c r="Y464" s="13"/>
      <c r="Z464" s="13"/>
      <c r="AA464" s="13"/>
    </row>
    <row r="465" spans="1:27" ht="17.399999999999999" x14ac:dyDescent="0.35">
      <c r="A465" s="13"/>
      <c r="B465" s="13"/>
      <c r="C465" s="13"/>
      <c r="D465" s="13"/>
      <c r="E465" s="13"/>
      <c r="F465" s="13"/>
      <c r="G465" s="13"/>
      <c r="H465" s="13"/>
      <c r="I465" s="13"/>
      <c r="J465" s="13"/>
      <c r="K465" s="13"/>
      <c r="L465" s="13"/>
      <c r="M465" s="13"/>
      <c r="N465" s="13"/>
      <c r="O465" s="13"/>
      <c r="P465" s="13"/>
      <c r="Q465" s="13"/>
      <c r="R465" s="13"/>
      <c r="S465" s="13"/>
      <c r="T465" s="13"/>
      <c r="U465" s="13"/>
      <c r="V465" s="13"/>
      <c r="W465" s="13"/>
      <c r="X465" s="13"/>
      <c r="Y465" s="13"/>
      <c r="Z465" s="13"/>
      <c r="AA465" s="13"/>
    </row>
    <row r="466" spans="1:27" ht="17.399999999999999" x14ac:dyDescent="0.35">
      <c r="A466" s="13"/>
      <c r="B466" s="13"/>
      <c r="C466" s="13"/>
      <c r="D466" s="13"/>
      <c r="E466" s="13"/>
      <c r="F466" s="13"/>
      <c r="G466" s="13"/>
      <c r="H466" s="13"/>
      <c r="I466" s="13"/>
      <c r="J466" s="13"/>
      <c r="K466" s="13"/>
      <c r="L466" s="13"/>
      <c r="M466" s="13"/>
      <c r="N466" s="13"/>
      <c r="O466" s="13"/>
      <c r="P466" s="13"/>
      <c r="Q466" s="13"/>
      <c r="R466" s="13"/>
      <c r="S466" s="13"/>
      <c r="T466" s="13"/>
      <c r="U466" s="13"/>
      <c r="V466" s="13"/>
      <c r="W466" s="13"/>
      <c r="X466" s="13"/>
      <c r="Y466" s="13"/>
      <c r="Z466" s="13"/>
      <c r="AA466" s="13"/>
    </row>
    <row r="467" spans="1:27" ht="17.399999999999999" x14ac:dyDescent="0.35">
      <c r="A467" s="13"/>
      <c r="B467" s="13"/>
      <c r="C467" s="13"/>
      <c r="D467" s="13"/>
      <c r="E467" s="13"/>
      <c r="F467" s="13"/>
      <c r="G467" s="13"/>
      <c r="H467" s="13"/>
      <c r="I467" s="13"/>
      <c r="J467" s="13"/>
      <c r="K467" s="13"/>
      <c r="L467" s="13"/>
      <c r="M467" s="13"/>
      <c r="N467" s="13"/>
      <c r="O467" s="13"/>
      <c r="P467" s="13"/>
      <c r="Q467" s="13"/>
      <c r="R467" s="13"/>
      <c r="S467" s="13"/>
      <c r="T467" s="13"/>
      <c r="U467" s="13"/>
      <c r="V467" s="13"/>
      <c r="W467" s="13"/>
      <c r="X467" s="13"/>
      <c r="Y467" s="13"/>
      <c r="Z467" s="13"/>
      <c r="AA467" s="13"/>
    </row>
    <row r="468" spans="1:27" ht="17.399999999999999" x14ac:dyDescent="0.35">
      <c r="A468" s="13"/>
      <c r="B468" s="13"/>
      <c r="C468" s="13"/>
      <c r="D468" s="13"/>
      <c r="E468" s="13"/>
      <c r="F468" s="13"/>
      <c r="G468" s="13"/>
      <c r="H468" s="13"/>
      <c r="I468" s="13"/>
      <c r="J468" s="13"/>
      <c r="K468" s="13"/>
      <c r="L468" s="13"/>
      <c r="M468" s="13"/>
      <c r="N468" s="13"/>
      <c r="O468" s="13"/>
      <c r="P468" s="13"/>
      <c r="Q468" s="13"/>
      <c r="R468" s="13"/>
      <c r="S468" s="13"/>
      <c r="T468" s="13"/>
      <c r="U468" s="13"/>
      <c r="V468" s="13"/>
      <c r="W468" s="13"/>
      <c r="X468" s="13"/>
      <c r="Y468" s="13"/>
      <c r="Z468" s="13"/>
      <c r="AA468" s="13"/>
    </row>
    <row r="469" spans="1:27" ht="17.399999999999999" x14ac:dyDescent="0.35">
      <c r="A469" s="13"/>
      <c r="B469" s="13"/>
      <c r="C469" s="13"/>
      <c r="D469" s="13"/>
      <c r="E469" s="13"/>
      <c r="F469" s="13"/>
      <c r="G469" s="13"/>
      <c r="H469" s="13"/>
      <c r="I469" s="13"/>
      <c r="J469" s="13"/>
      <c r="K469" s="13"/>
      <c r="L469" s="13"/>
      <c r="M469" s="13"/>
      <c r="N469" s="13"/>
      <c r="O469" s="13"/>
      <c r="P469" s="13"/>
      <c r="Q469" s="13"/>
      <c r="R469" s="13"/>
      <c r="S469" s="13"/>
      <c r="T469" s="13"/>
      <c r="U469" s="13"/>
      <c r="V469" s="13"/>
      <c r="W469" s="13"/>
      <c r="X469" s="13"/>
      <c r="Y469" s="13"/>
      <c r="Z469" s="13"/>
      <c r="AA469" s="13"/>
    </row>
    <row r="470" spans="1:27" ht="17.399999999999999" x14ac:dyDescent="0.35">
      <c r="A470" s="13"/>
      <c r="B470" s="13"/>
      <c r="C470" s="13"/>
      <c r="D470" s="13"/>
      <c r="E470" s="13"/>
      <c r="F470" s="13"/>
      <c r="G470" s="13"/>
      <c r="H470" s="13"/>
      <c r="I470" s="13"/>
      <c r="J470" s="13"/>
      <c r="K470" s="13"/>
      <c r="L470" s="13"/>
      <c r="M470" s="13"/>
      <c r="N470" s="13"/>
      <c r="O470" s="13"/>
      <c r="P470" s="13"/>
      <c r="Q470" s="13"/>
      <c r="R470" s="13"/>
      <c r="S470" s="13"/>
      <c r="T470" s="13"/>
      <c r="U470" s="13"/>
      <c r="V470" s="13"/>
      <c r="W470" s="13"/>
      <c r="X470" s="13"/>
      <c r="Y470" s="13"/>
      <c r="Z470" s="13"/>
      <c r="AA470" s="13"/>
    </row>
    <row r="471" spans="1:27" ht="17.399999999999999" x14ac:dyDescent="0.35">
      <c r="A471" s="13"/>
      <c r="B471" s="13"/>
      <c r="C471" s="13"/>
      <c r="D471" s="13"/>
      <c r="E471" s="13"/>
      <c r="F471" s="13"/>
      <c r="G471" s="13"/>
      <c r="H471" s="13"/>
      <c r="I471" s="13"/>
      <c r="J471" s="13"/>
      <c r="K471" s="13"/>
      <c r="L471" s="13"/>
      <c r="M471" s="13"/>
      <c r="N471" s="13"/>
      <c r="O471" s="13"/>
      <c r="P471" s="13"/>
      <c r="Q471" s="13"/>
      <c r="R471" s="13"/>
      <c r="S471" s="13"/>
      <c r="T471" s="13"/>
      <c r="U471" s="13"/>
      <c r="V471" s="13"/>
      <c r="W471" s="13"/>
      <c r="X471" s="13"/>
      <c r="Y471" s="13"/>
      <c r="Z471" s="13"/>
      <c r="AA471" s="13"/>
    </row>
    <row r="472" spans="1:27" ht="17.399999999999999" x14ac:dyDescent="0.35">
      <c r="A472" s="13"/>
      <c r="B472" s="13"/>
      <c r="C472" s="13"/>
      <c r="D472" s="13"/>
      <c r="E472" s="13"/>
      <c r="F472" s="13"/>
      <c r="G472" s="13"/>
      <c r="H472" s="13"/>
      <c r="I472" s="13"/>
      <c r="J472" s="13"/>
      <c r="K472" s="13"/>
      <c r="L472" s="13"/>
      <c r="M472" s="13"/>
      <c r="N472" s="13"/>
      <c r="O472" s="13"/>
      <c r="P472" s="13"/>
      <c r="Q472" s="13"/>
      <c r="R472" s="13"/>
      <c r="S472" s="13"/>
      <c r="T472" s="13"/>
      <c r="U472" s="13"/>
      <c r="V472" s="13"/>
      <c r="W472" s="13"/>
      <c r="X472" s="13"/>
      <c r="Y472" s="13"/>
      <c r="Z472" s="13"/>
      <c r="AA472" s="13"/>
    </row>
    <row r="473" spans="1:27" ht="17.399999999999999" x14ac:dyDescent="0.35">
      <c r="A473" s="13"/>
      <c r="B473" s="13"/>
      <c r="C473" s="13"/>
      <c r="D473" s="13"/>
      <c r="E473" s="13"/>
      <c r="F473" s="13"/>
      <c r="G473" s="13"/>
      <c r="H473" s="13"/>
      <c r="I473" s="13"/>
      <c r="J473" s="13"/>
      <c r="K473" s="13"/>
      <c r="L473" s="13"/>
      <c r="M473" s="13"/>
      <c r="N473" s="13"/>
      <c r="O473" s="13"/>
      <c r="P473" s="13"/>
      <c r="Q473" s="13"/>
      <c r="R473" s="13"/>
      <c r="S473" s="13"/>
      <c r="T473" s="13"/>
      <c r="U473" s="13"/>
      <c r="V473" s="13"/>
      <c r="W473" s="13"/>
      <c r="X473" s="13"/>
      <c r="Y473" s="13"/>
      <c r="Z473" s="13"/>
      <c r="AA473" s="13"/>
    </row>
    <row r="474" spans="1:27" ht="17.399999999999999" x14ac:dyDescent="0.35">
      <c r="A474" s="13"/>
      <c r="B474" s="13"/>
      <c r="C474" s="13"/>
      <c r="D474" s="13"/>
      <c r="E474" s="13"/>
      <c r="F474" s="13"/>
      <c r="G474" s="13"/>
      <c r="H474" s="13"/>
      <c r="I474" s="13"/>
      <c r="J474" s="13"/>
      <c r="K474" s="13"/>
      <c r="L474" s="13"/>
      <c r="M474" s="13"/>
      <c r="N474" s="13"/>
      <c r="O474" s="13"/>
      <c r="P474" s="13"/>
      <c r="Q474" s="13"/>
      <c r="R474" s="13"/>
      <c r="S474" s="13"/>
      <c r="T474" s="13"/>
      <c r="U474" s="13"/>
      <c r="V474" s="13"/>
      <c r="W474" s="13"/>
      <c r="X474" s="13"/>
      <c r="Y474" s="13"/>
      <c r="Z474" s="13"/>
      <c r="AA474" s="13"/>
    </row>
    <row r="475" spans="1:27" ht="17.399999999999999" x14ac:dyDescent="0.35">
      <c r="A475" s="13"/>
      <c r="B475" s="13"/>
      <c r="C475" s="13"/>
      <c r="D475" s="13"/>
      <c r="E475" s="13"/>
      <c r="F475" s="13"/>
      <c r="G475" s="13"/>
      <c r="H475" s="13"/>
      <c r="I475" s="13"/>
      <c r="J475" s="13"/>
      <c r="K475" s="13"/>
      <c r="L475" s="13"/>
      <c r="M475" s="13"/>
      <c r="N475" s="13"/>
      <c r="O475" s="13"/>
      <c r="P475" s="13"/>
      <c r="Q475" s="13"/>
      <c r="R475" s="13"/>
      <c r="S475" s="13"/>
      <c r="T475" s="13"/>
      <c r="U475" s="13"/>
      <c r="V475" s="13"/>
      <c r="W475" s="13"/>
      <c r="X475" s="13"/>
      <c r="Y475" s="13"/>
      <c r="Z475" s="13"/>
      <c r="AA475" s="13"/>
    </row>
    <row r="476" spans="1:27" ht="17.399999999999999" x14ac:dyDescent="0.35">
      <c r="A476" s="13"/>
      <c r="B476" s="13"/>
      <c r="C476" s="13"/>
      <c r="D476" s="13"/>
      <c r="E476" s="13"/>
      <c r="F476" s="13"/>
      <c r="G476" s="13"/>
      <c r="H476" s="13"/>
      <c r="I476" s="13"/>
      <c r="J476" s="13"/>
      <c r="K476" s="13"/>
      <c r="L476" s="13"/>
      <c r="M476" s="13"/>
      <c r="N476" s="13"/>
      <c r="O476" s="13"/>
      <c r="P476" s="13"/>
      <c r="Q476" s="13"/>
      <c r="R476" s="13"/>
      <c r="S476" s="13"/>
      <c r="T476" s="13"/>
      <c r="U476" s="13"/>
      <c r="V476" s="13"/>
      <c r="W476" s="13"/>
      <c r="X476" s="13"/>
      <c r="Y476" s="13"/>
      <c r="Z476" s="13"/>
      <c r="AA476" s="13"/>
    </row>
    <row r="477" spans="1:27" ht="17.399999999999999" x14ac:dyDescent="0.35">
      <c r="A477" s="13"/>
      <c r="B477" s="13"/>
      <c r="C477" s="13"/>
      <c r="D477" s="13"/>
      <c r="E477" s="13"/>
      <c r="F477" s="13"/>
      <c r="G477" s="13"/>
      <c r="H477" s="13"/>
      <c r="I477" s="13"/>
      <c r="J477" s="13"/>
      <c r="K477" s="13"/>
      <c r="L477" s="13"/>
      <c r="M477" s="13"/>
      <c r="N477" s="13"/>
      <c r="O477" s="13"/>
      <c r="P477" s="13"/>
      <c r="Q477" s="13"/>
      <c r="R477" s="13"/>
      <c r="S477" s="13"/>
      <c r="T477" s="13"/>
      <c r="U477" s="13"/>
      <c r="V477" s="13"/>
      <c r="W477" s="13"/>
      <c r="X477" s="13"/>
      <c r="Y477" s="13"/>
      <c r="Z477" s="13"/>
      <c r="AA477" s="13"/>
    </row>
    <row r="478" spans="1:27" ht="17.399999999999999" x14ac:dyDescent="0.35">
      <c r="A478" s="13"/>
      <c r="B478" s="13"/>
      <c r="C478" s="13"/>
      <c r="D478" s="13"/>
      <c r="E478" s="13"/>
      <c r="F478" s="13"/>
      <c r="G478" s="13"/>
      <c r="H478" s="13"/>
      <c r="I478" s="13"/>
      <c r="J478" s="13"/>
      <c r="K478" s="13"/>
      <c r="L478" s="13"/>
      <c r="M478" s="13"/>
      <c r="N478" s="13"/>
      <c r="O478" s="13"/>
      <c r="P478" s="13"/>
      <c r="Q478" s="13"/>
      <c r="R478" s="13"/>
      <c r="S478" s="13"/>
      <c r="T478" s="13"/>
      <c r="U478" s="13"/>
      <c r="V478" s="13"/>
      <c r="W478" s="13"/>
      <c r="X478" s="13"/>
      <c r="Y478" s="13"/>
      <c r="Z478" s="13"/>
      <c r="AA478" s="13"/>
    </row>
    <row r="479" spans="1:27" ht="17.399999999999999" x14ac:dyDescent="0.35">
      <c r="A479" s="13"/>
      <c r="B479" s="13"/>
      <c r="C479" s="13"/>
      <c r="D479" s="13"/>
      <c r="E479" s="13"/>
      <c r="F479" s="13"/>
      <c r="G479" s="13"/>
      <c r="H479" s="13"/>
      <c r="I479" s="13"/>
      <c r="J479" s="13"/>
      <c r="K479" s="13"/>
      <c r="L479" s="13"/>
      <c r="M479" s="13"/>
      <c r="N479" s="13"/>
      <c r="O479" s="13"/>
      <c r="P479" s="13"/>
      <c r="Q479" s="13"/>
      <c r="R479" s="13"/>
      <c r="S479" s="13"/>
      <c r="T479" s="13"/>
      <c r="U479" s="13"/>
      <c r="V479" s="13"/>
      <c r="W479" s="13"/>
      <c r="X479" s="13"/>
      <c r="Y479" s="13"/>
      <c r="Z479" s="13"/>
      <c r="AA479" s="13"/>
    </row>
    <row r="480" spans="1:27" ht="17.399999999999999" x14ac:dyDescent="0.35">
      <c r="A480" s="13"/>
      <c r="B480" s="13"/>
      <c r="C480" s="13"/>
      <c r="D480" s="13"/>
      <c r="E480" s="13"/>
      <c r="F480" s="13"/>
      <c r="G480" s="13"/>
      <c r="H480" s="13"/>
      <c r="I480" s="13"/>
      <c r="J480" s="13"/>
      <c r="K480" s="13"/>
      <c r="L480" s="13"/>
      <c r="M480" s="13"/>
      <c r="N480" s="13"/>
      <c r="O480" s="13"/>
      <c r="P480" s="13"/>
      <c r="Q480" s="13"/>
      <c r="R480" s="13"/>
      <c r="S480" s="13"/>
      <c r="T480" s="13"/>
      <c r="U480" s="13"/>
      <c r="V480" s="13"/>
      <c r="W480" s="13"/>
      <c r="X480" s="13"/>
      <c r="Y480" s="13"/>
      <c r="Z480" s="13"/>
      <c r="AA480" s="13"/>
    </row>
    <row r="481" spans="1:27" ht="17.399999999999999" x14ac:dyDescent="0.35">
      <c r="A481" s="13"/>
      <c r="B481" s="13"/>
      <c r="C481" s="13"/>
      <c r="D481" s="13"/>
      <c r="E481" s="13"/>
      <c r="F481" s="13"/>
      <c r="G481" s="13"/>
      <c r="H481" s="13"/>
      <c r="I481" s="13"/>
      <c r="J481" s="13"/>
      <c r="K481" s="13"/>
      <c r="L481" s="13"/>
      <c r="M481" s="13"/>
      <c r="N481" s="13"/>
      <c r="O481" s="13"/>
      <c r="P481" s="13"/>
      <c r="Q481" s="13"/>
      <c r="R481" s="13"/>
      <c r="S481" s="13"/>
      <c r="T481" s="13"/>
      <c r="U481" s="13"/>
      <c r="V481" s="13"/>
      <c r="W481" s="13"/>
      <c r="X481" s="13"/>
      <c r="Y481" s="13"/>
      <c r="Z481" s="13"/>
      <c r="AA481" s="13"/>
    </row>
    <row r="482" spans="1:27" ht="17.399999999999999" x14ac:dyDescent="0.35">
      <c r="A482" s="13"/>
      <c r="B482" s="13"/>
      <c r="C482" s="13"/>
      <c r="D482" s="13"/>
      <c r="E482" s="13"/>
      <c r="F482" s="13"/>
      <c r="G482" s="13"/>
      <c r="H482" s="13"/>
      <c r="I482" s="13"/>
      <c r="J482" s="13"/>
      <c r="K482" s="13"/>
      <c r="L482" s="13"/>
      <c r="M482" s="13"/>
      <c r="N482" s="13"/>
      <c r="O482" s="13"/>
      <c r="P482" s="13"/>
      <c r="Q482" s="13"/>
      <c r="R482" s="13"/>
      <c r="S482" s="13"/>
      <c r="T482" s="13"/>
      <c r="U482" s="13"/>
      <c r="V482" s="13"/>
      <c r="W482" s="13"/>
      <c r="X482" s="13"/>
      <c r="Y482" s="13"/>
      <c r="Z482" s="13"/>
      <c r="AA482" s="13"/>
    </row>
    <row r="483" spans="1:27" ht="17.399999999999999" x14ac:dyDescent="0.35">
      <c r="A483" s="13"/>
      <c r="B483" s="13"/>
      <c r="C483" s="13"/>
      <c r="D483" s="13"/>
      <c r="E483" s="13"/>
      <c r="F483" s="13"/>
      <c r="G483" s="13"/>
      <c r="H483" s="13"/>
      <c r="I483" s="13"/>
      <c r="J483" s="13"/>
      <c r="K483" s="13"/>
      <c r="L483" s="13"/>
      <c r="M483" s="13"/>
      <c r="N483" s="13"/>
      <c r="O483" s="13"/>
      <c r="P483" s="13"/>
      <c r="Q483" s="13"/>
      <c r="R483" s="13"/>
      <c r="S483" s="13"/>
      <c r="T483" s="13"/>
      <c r="U483" s="13"/>
      <c r="V483" s="13"/>
      <c r="W483" s="13"/>
      <c r="X483" s="13"/>
      <c r="Y483" s="13"/>
      <c r="Z483" s="13"/>
      <c r="AA483" s="13"/>
    </row>
    <row r="484" spans="1:27" ht="17.399999999999999" x14ac:dyDescent="0.35">
      <c r="A484" s="13"/>
      <c r="B484" s="13"/>
      <c r="C484" s="13"/>
      <c r="D484" s="13"/>
      <c r="E484" s="13"/>
      <c r="F484" s="13"/>
      <c r="G484" s="13"/>
      <c r="H484" s="13"/>
      <c r="I484" s="13"/>
      <c r="J484" s="13"/>
      <c r="K484" s="13"/>
      <c r="L484" s="13"/>
      <c r="M484" s="13"/>
      <c r="N484" s="13"/>
      <c r="O484" s="13"/>
      <c r="P484" s="13"/>
      <c r="Q484" s="13"/>
      <c r="R484" s="13"/>
      <c r="S484" s="13"/>
      <c r="T484" s="13"/>
      <c r="U484" s="13"/>
      <c r="V484" s="13"/>
      <c r="W484" s="13"/>
      <c r="X484" s="13"/>
      <c r="Y484" s="13"/>
      <c r="Z484" s="13"/>
      <c r="AA484" s="13"/>
    </row>
    <row r="485" spans="1:27" ht="17.399999999999999" x14ac:dyDescent="0.35">
      <c r="A485" s="13"/>
      <c r="B485" s="13"/>
      <c r="C485" s="13"/>
      <c r="D485" s="13"/>
      <c r="E485" s="13"/>
      <c r="F485" s="13"/>
      <c r="G485" s="13"/>
      <c r="H485" s="13"/>
      <c r="I485" s="13"/>
      <c r="J485" s="13"/>
      <c r="K485" s="13"/>
      <c r="L485" s="13"/>
      <c r="M485" s="13"/>
      <c r="N485" s="13"/>
      <c r="O485" s="13"/>
      <c r="P485" s="13"/>
      <c r="Q485" s="13"/>
      <c r="R485" s="13"/>
      <c r="S485" s="13"/>
      <c r="T485" s="13"/>
      <c r="U485" s="13"/>
      <c r="V485" s="13"/>
      <c r="W485" s="13"/>
      <c r="X485" s="13"/>
      <c r="Y485" s="13"/>
      <c r="Z485" s="13"/>
      <c r="AA485" s="13"/>
    </row>
    <row r="486" spans="1:27" ht="17.399999999999999" x14ac:dyDescent="0.35">
      <c r="A486" s="13"/>
      <c r="B486" s="13"/>
      <c r="C486" s="13"/>
      <c r="D486" s="13"/>
      <c r="E486" s="13"/>
      <c r="F486" s="13"/>
      <c r="G486" s="13"/>
      <c r="H486" s="13"/>
      <c r="I486" s="13"/>
      <c r="J486" s="13"/>
      <c r="K486" s="13"/>
      <c r="L486" s="13"/>
      <c r="M486" s="13"/>
      <c r="N486" s="13"/>
      <c r="O486" s="13"/>
      <c r="P486" s="13"/>
      <c r="Q486" s="13"/>
      <c r="R486" s="13"/>
      <c r="S486" s="13"/>
      <c r="T486" s="13"/>
      <c r="U486" s="13"/>
      <c r="V486" s="13"/>
      <c r="W486" s="13"/>
      <c r="X486" s="13"/>
      <c r="Y486" s="13"/>
      <c r="Z486" s="13"/>
      <c r="AA486" s="13"/>
    </row>
    <row r="487" spans="1:27" ht="17.399999999999999" x14ac:dyDescent="0.35">
      <c r="A487" s="13"/>
      <c r="B487" s="13"/>
      <c r="C487" s="13"/>
      <c r="D487" s="13"/>
      <c r="E487" s="13"/>
      <c r="F487" s="13"/>
      <c r="G487" s="13"/>
      <c r="H487" s="13"/>
      <c r="I487" s="13"/>
      <c r="J487" s="13"/>
      <c r="K487" s="13"/>
      <c r="L487" s="13"/>
      <c r="M487" s="13"/>
      <c r="N487" s="13"/>
      <c r="O487" s="13"/>
      <c r="P487" s="13"/>
      <c r="Q487" s="13"/>
      <c r="R487" s="13"/>
      <c r="S487" s="13"/>
      <c r="T487" s="13"/>
      <c r="U487" s="13"/>
      <c r="V487" s="13"/>
      <c r="W487" s="13"/>
      <c r="X487" s="13"/>
      <c r="Y487" s="13"/>
      <c r="Z487" s="13"/>
      <c r="AA487" s="13"/>
    </row>
    <row r="488" spans="1:27" ht="17.399999999999999" x14ac:dyDescent="0.35">
      <c r="A488" s="13"/>
      <c r="B488" s="13"/>
      <c r="C488" s="13"/>
      <c r="D488" s="13"/>
      <c r="E488" s="13"/>
      <c r="F488" s="13"/>
      <c r="G488" s="13"/>
      <c r="H488" s="13"/>
      <c r="I488" s="13"/>
      <c r="J488" s="13"/>
      <c r="K488" s="13"/>
      <c r="L488" s="13"/>
      <c r="M488" s="13"/>
      <c r="N488" s="13"/>
      <c r="O488" s="13"/>
      <c r="P488" s="13"/>
      <c r="Q488" s="13"/>
      <c r="R488" s="13"/>
      <c r="S488" s="13"/>
      <c r="T488" s="13"/>
      <c r="U488" s="13"/>
      <c r="V488" s="13"/>
      <c r="W488" s="13"/>
      <c r="X488" s="13"/>
      <c r="Y488" s="13"/>
      <c r="Z488" s="13"/>
      <c r="AA488" s="13"/>
    </row>
    <row r="489" spans="1:27" ht="17.399999999999999" x14ac:dyDescent="0.35">
      <c r="A489" s="13"/>
      <c r="B489" s="13"/>
      <c r="C489" s="13"/>
      <c r="D489" s="13"/>
      <c r="E489" s="13"/>
      <c r="F489" s="13"/>
      <c r="G489" s="13"/>
      <c r="H489" s="13"/>
      <c r="I489" s="13"/>
      <c r="J489" s="13"/>
      <c r="K489" s="13"/>
      <c r="L489" s="13"/>
      <c r="M489" s="13"/>
      <c r="N489" s="13"/>
      <c r="O489" s="13"/>
      <c r="P489" s="13"/>
      <c r="Q489" s="13"/>
      <c r="R489" s="13"/>
      <c r="S489" s="13"/>
      <c r="T489" s="13"/>
      <c r="U489" s="13"/>
      <c r="V489" s="13"/>
      <c r="W489" s="13"/>
      <c r="X489" s="13"/>
      <c r="Y489" s="13"/>
      <c r="Z489" s="13"/>
      <c r="AA489" s="13"/>
    </row>
    <row r="490" spans="1:27" ht="17.399999999999999" x14ac:dyDescent="0.35">
      <c r="A490" s="13"/>
      <c r="B490" s="13"/>
      <c r="C490" s="13"/>
      <c r="D490" s="13"/>
      <c r="E490" s="13"/>
      <c r="F490" s="13"/>
      <c r="G490" s="13"/>
      <c r="H490" s="13"/>
      <c r="I490" s="13"/>
      <c r="J490" s="13"/>
      <c r="K490" s="13"/>
      <c r="L490" s="13"/>
      <c r="M490" s="13"/>
      <c r="N490" s="13"/>
      <c r="O490" s="13"/>
      <c r="P490" s="13"/>
      <c r="Q490" s="13"/>
      <c r="R490" s="13"/>
      <c r="S490" s="13"/>
      <c r="T490" s="13"/>
      <c r="U490" s="13"/>
      <c r="V490" s="13"/>
      <c r="W490" s="13"/>
      <c r="X490" s="13"/>
      <c r="Y490" s="13"/>
      <c r="Z490" s="13"/>
      <c r="AA490" s="13"/>
    </row>
    <row r="491" spans="1:27" ht="17.399999999999999" x14ac:dyDescent="0.35">
      <c r="A491" s="13"/>
      <c r="B491" s="13"/>
      <c r="C491" s="13"/>
      <c r="D491" s="13"/>
      <c r="E491" s="13"/>
      <c r="F491" s="13"/>
      <c r="G491" s="13"/>
      <c r="H491" s="13"/>
      <c r="I491" s="13"/>
      <c r="J491" s="13"/>
      <c r="K491" s="13"/>
      <c r="L491" s="13"/>
      <c r="M491" s="13"/>
      <c r="N491" s="13"/>
      <c r="O491" s="13"/>
      <c r="P491" s="13"/>
      <c r="Q491" s="13"/>
      <c r="R491" s="13"/>
      <c r="S491" s="13"/>
      <c r="T491" s="13"/>
      <c r="U491" s="13"/>
      <c r="V491" s="13"/>
      <c r="W491" s="13"/>
      <c r="X491" s="13"/>
      <c r="Y491" s="13"/>
      <c r="Z491" s="13"/>
      <c r="AA491" s="13"/>
    </row>
    <row r="492" spans="1:27" ht="17.399999999999999" x14ac:dyDescent="0.35">
      <c r="A492" s="13"/>
      <c r="B492" s="13"/>
      <c r="C492" s="13"/>
      <c r="D492" s="13"/>
      <c r="E492" s="13"/>
      <c r="F492" s="13"/>
      <c r="G492" s="13"/>
      <c r="H492" s="13"/>
      <c r="I492" s="13"/>
      <c r="J492" s="13"/>
      <c r="K492" s="13"/>
      <c r="L492" s="13"/>
      <c r="M492" s="13"/>
      <c r="N492" s="13"/>
      <c r="O492" s="13"/>
      <c r="P492" s="13"/>
      <c r="Q492" s="13"/>
      <c r="R492" s="13"/>
      <c r="S492" s="13"/>
      <c r="T492" s="13"/>
      <c r="U492" s="13"/>
      <c r="V492" s="13"/>
      <c r="W492" s="13"/>
      <c r="X492" s="13"/>
      <c r="Y492" s="13"/>
      <c r="Z492" s="13"/>
      <c r="AA492" s="13"/>
    </row>
    <row r="493" spans="1:27" ht="17.399999999999999" x14ac:dyDescent="0.35">
      <c r="A493" s="13"/>
      <c r="B493" s="13"/>
      <c r="C493" s="13"/>
      <c r="D493" s="13"/>
      <c r="E493" s="13"/>
      <c r="F493" s="13"/>
      <c r="G493" s="13"/>
      <c r="H493" s="13"/>
      <c r="I493" s="13"/>
      <c r="J493" s="13"/>
      <c r="K493" s="13"/>
      <c r="L493" s="13"/>
      <c r="M493" s="13"/>
      <c r="N493" s="13"/>
      <c r="O493" s="13"/>
      <c r="P493" s="13"/>
      <c r="Q493" s="13"/>
      <c r="R493" s="13"/>
      <c r="S493" s="13"/>
      <c r="T493" s="13"/>
      <c r="U493" s="13"/>
      <c r="V493" s="13"/>
      <c r="W493" s="13"/>
      <c r="X493" s="13"/>
      <c r="Y493" s="13"/>
      <c r="Z493" s="13"/>
      <c r="AA493" s="13"/>
    </row>
    <row r="494" spans="1:27" ht="17.399999999999999" x14ac:dyDescent="0.35">
      <c r="A494" s="13"/>
      <c r="B494" s="13"/>
      <c r="C494" s="13"/>
      <c r="D494" s="13"/>
      <c r="E494" s="13"/>
      <c r="F494" s="13"/>
      <c r="G494" s="13"/>
      <c r="H494" s="13"/>
      <c r="I494" s="13"/>
      <c r="J494" s="13"/>
      <c r="K494" s="13"/>
      <c r="L494" s="13"/>
      <c r="M494" s="13"/>
      <c r="N494" s="13"/>
      <c r="O494" s="13"/>
      <c r="P494" s="13"/>
      <c r="Q494" s="13"/>
      <c r="R494" s="13"/>
      <c r="S494" s="13"/>
      <c r="T494" s="13"/>
      <c r="U494" s="13"/>
      <c r="V494" s="13"/>
      <c r="W494" s="13"/>
      <c r="X494" s="13"/>
      <c r="Y494" s="13"/>
      <c r="Z494" s="13"/>
      <c r="AA494" s="13"/>
    </row>
    <row r="495" spans="1:27" ht="17.399999999999999" x14ac:dyDescent="0.35">
      <c r="A495" s="13"/>
      <c r="B495" s="13"/>
      <c r="C495" s="13"/>
      <c r="D495" s="13"/>
      <c r="E495" s="13"/>
      <c r="F495" s="13"/>
      <c r="G495" s="13"/>
      <c r="H495" s="13"/>
      <c r="I495" s="13"/>
      <c r="J495" s="13"/>
      <c r="K495" s="13"/>
      <c r="L495" s="13"/>
      <c r="M495" s="13"/>
      <c r="N495" s="13"/>
      <c r="O495" s="13"/>
      <c r="P495" s="13"/>
      <c r="Q495" s="13"/>
      <c r="R495" s="13"/>
      <c r="S495" s="13"/>
      <c r="T495" s="13"/>
      <c r="U495" s="13"/>
      <c r="V495" s="13"/>
      <c r="W495" s="13"/>
      <c r="X495" s="13"/>
      <c r="Y495" s="13"/>
      <c r="Z495" s="13"/>
      <c r="AA495" s="13"/>
    </row>
    <row r="496" spans="1:27" ht="17.399999999999999" x14ac:dyDescent="0.35">
      <c r="A496" s="13"/>
      <c r="B496" s="13"/>
      <c r="C496" s="13"/>
      <c r="D496" s="13"/>
      <c r="E496" s="13"/>
      <c r="F496" s="13"/>
      <c r="G496" s="13"/>
      <c r="H496" s="13"/>
      <c r="I496" s="13"/>
      <c r="J496" s="13"/>
      <c r="K496" s="13"/>
      <c r="L496" s="13"/>
      <c r="M496" s="13"/>
      <c r="N496" s="13"/>
      <c r="O496" s="13"/>
      <c r="P496" s="13"/>
      <c r="Q496" s="13"/>
      <c r="R496" s="13"/>
      <c r="S496" s="13"/>
      <c r="T496" s="13"/>
      <c r="U496" s="13"/>
      <c r="V496" s="13"/>
      <c r="W496" s="13"/>
      <c r="X496" s="13"/>
      <c r="Y496" s="13"/>
      <c r="Z496" s="13"/>
      <c r="AA496" s="13"/>
    </row>
    <row r="497" spans="1:27" ht="17.399999999999999" x14ac:dyDescent="0.35">
      <c r="A497" s="13"/>
      <c r="B497" s="13"/>
      <c r="C497" s="13"/>
      <c r="D497" s="13"/>
      <c r="E497" s="13"/>
      <c r="F497" s="13"/>
      <c r="G497" s="13"/>
      <c r="H497" s="13"/>
      <c r="I497" s="13"/>
      <c r="J497" s="13"/>
      <c r="K497" s="13"/>
      <c r="L497" s="13"/>
      <c r="M497" s="13"/>
      <c r="N497" s="13"/>
      <c r="O497" s="13"/>
      <c r="P497" s="13"/>
      <c r="Q497" s="13"/>
      <c r="R497" s="13"/>
      <c r="S497" s="13"/>
      <c r="T497" s="13"/>
      <c r="U497" s="13"/>
      <c r="V497" s="13"/>
      <c r="W497" s="13"/>
      <c r="X497" s="13"/>
      <c r="Y497" s="13"/>
      <c r="Z497" s="13"/>
      <c r="AA497" s="13"/>
    </row>
    <row r="498" spans="1:27" ht="17.399999999999999" x14ac:dyDescent="0.35">
      <c r="A498" s="13"/>
      <c r="B498" s="13"/>
      <c r="C498" s="13"/>
      <c r="D498" s="13"/>
      <c r="E498" s="13"/>
      <c r="F498" s="13"/>
      <c r="G498" s="13"/>
      <c r="H498" s="13"/>
      <c r="I498" s="13"/>
      <c r="J498" s="13"/>
      <c r="K498" s="13"/>
      <c r="L498" s="13"/>
      <c r="M498" s="13"/>
      <c r="N498" s="13"/>
      <c r="O498" s="13"/>
      <c r="P498" s="13"/>
      <c r="Q498" s="13"/>
      <c r="R498" s="13"/>
      <c r="S498" s="13"/>
      <c r="T498" s="13"/>
      <c r="U498" s="13"/>
      <c r="V498" s="13"/>
      <c r="W498" s="13"/>
      <c r="X498" s="13"/>
      <c r="Y498" s="13"/>
      <c r="Z498" s="13"/>
      <c r="AA498" s="13"/>
    </row>
    <row r="499" spans="1:27" ht="17.399999999999999" x14ac:dyDescent="0.35">
      <c r="A499" s="13"/>
      <c r="B499" s="13"/>
      <c r="C499" s="13"/>
      <c r="D499" s="13"/>
      <c r="E499" s="13"/>
      <c r="F499" s="13"/>
      <c r="G499" s="13"/>
      <c r="H499" s="13"/>
      <c r="I499" s="13"/>
      <c r="J499" s="13"/>
      <c r="K499" s="13"/>
      <c r="L499" s="13"/>
      <c r="M499" s="13"/>
      <c r="N499" s="13"/>
      <c r="O499" s="13"/>
      <c r="P499" s="13"/>
      <c r="Q499" s="13"/>
      <c r="R499" s="13"/>
      <c r="S499" s="13"/>
      <c r="T499" s="13"/>
      <c r="U499" s="13"/>
      <c r="V499" s="13"/>
      <c r="W499" s="13"/>
      <c r="X499" s="13"/>
      <c r="Y499" s="13"/>
      <c r="Z499" s="13"/>
      <c r="AA499" s="13"/>
    </row>
    <row r="500" spans="1:27" ht="17.399999999999999" x14ac:dyDescent="0.35">
      <c r="A500" s="13"/>
      <c r="B500" s="13"/>
      <c r="C500" s="13"/>
      <c r="D500" s="13"/>
      <c r="E500" s="13"/>
      <c r="F500" s="13"/>
      <c r="G500" s="13"/>
      <c r="H500" s="13"/>
      <c r="I500" s="13"/>
      <c r="J500" s="13"/>
      <c r="K500" s="13"/>
      <c r="L500" s="13"/>
      <c r="M500" s="13"/>
      <c r="N500" s="13"/>
      <c r="O500" s="13"/>
      <c r="P500" s="13"/>
      <c r="Q500" s="13"/>
      <c r="R500" s="13"/>
      <c r="S500" s="13"/>
      <c r="T500" s="13"/>
      <c r="U500" s="13"/>
      <c r="V500" s="13"/>
      <c r="W500" s="13"/>
      <c r="X500" s="13"/>
      <c r="Y500" s="13"/>
      <c r="Z500" s="13"/>
      <c r="AA500" s="13"/>
    </row>
    <row r="501" spans="1:27" ht="17.399999999999999" x14ac:dyDescent="0.35">
      <c r="A501" s="13"/>
      <c r="B501" s="13"/>
      <c r="C501" s="13"/>
      <c r="D501" s="13"/>
      <c r="E501" s="13"/>
      <c r="F501" s="13"/>
      <c r="G501" s="13"/>
      <c r="H501" s="13"/>
      <c r="I501" s="13"/>
      <c r="J501" s="13"/>
      <c r="K501" s="13"/>
      <c r="L501" s="13"/>
      <c r="M501" s="13"/>
      <c r="N501" s="13"/>
      <c r="O501" s="13"/>
      <c r="P501" s="13"/>
      <c r="Q501" s="13"/>
      <c r="R501" s="13"/>
      <c r="S501" s="13"/>
      <c r="T501" s="13"/>
      <c r="U501" s="13"/>
      <c r="V501" s="13"/>
      <c r="W501" s="13"/>
      <c r="X501" s="13"/>
      <c r="Y501" s="13"/>
      <c r="Z501" s="13"/>
      <c r="AA501" s="13"/>
    </row>
    <row r="502" spans="1:27" ht="17.399999999999999" x14ac:dyDescent="0.35">
      <c r="A502" s="13"/>
      <c r="B502" s="13"/>
      <c r="C502" s="13"/>
      <c r="D502" s="13"/>
      <c r="E502" s="13"/>
      <c r="F502" s="13"/>
      <c r="G502" s="13"/>
      <c r="H502" s="13"/>
      <c r="I502" s="13"/>
      <c r="J502" s="13"/>
      <c r="K502" s="13"/>
      <c r="L502" s="13"/>
      <c r="M502" s="13"/>
      <c r="N502" s="13"/>
      <c r="O502" s="13"/>
      <c r="P502" s="13"/>
      <c r="Q502" s="13"/>
      <c r="R502" s="13"/>
      <c r="S502" s="13"/>
      <c r="T502" s="13"/>
      <c r="U502" s="13"/>
      <c r="V502" s="13"/>
      <c r="W502" s="13"/>
      <c r="X502" s="13"/>
      <c r="Y502" s="13"/>
      <c r="Z502" s="13"/>
      <c r="AA502" s="13"/>
    </row>
    <row r="503" spans="1:27" ht="17.399999999999999" x14ac:dyDescent="0.35">
      <c r="A503" s="13"/>
      <c r="B503" s="13"/>
      <c r="C503" s="13"/>
      <c r="D503" s="13"/>
      <c r="E503" s="13"/>
      <c r="F503" s="13"/>
      <c r="G503" s="13"/>
      <c r="H503" s="13"/>
      <c r="I503" s="13"/>
      <c r="J503" s="13"/>
      <c r="K503" s="13"/>
      <c r="L503" s="13"/>
      <c r="M503" s="13"/>
      <c r="N503" s="13"/>
      <c r="O503" s="13"/>
      <c r="P503" s="13"/>
      <c r="Q503" s="13"/>
      <c r="R503" s="13"/>
      <c r="S503" s="13"/>
      <c r="T503" s="13"/>
      <c r="U503" s="13"/>
      <c r="V503" s="13"/>
      <c r="W503" s="13"/>
      <c r="X503" s="13"/>
      <c r="Y503" s="13"/>
      <c r="Z503" s="13"/>
      <c r="AA503" s="13"/>
    </row>
    <row r="504" spans="1:27" ht="17.399999999999999" x14ac:dyDescent="0.35">
      <c r="A504" s="13"/>
      <c r="B504" s="13"/>
      <c r="C504" s="13"/>
      <c r="D504" s="13"/>
      <c r="E504" s="13"/>
      <c r="F504" s="13"/>
      <c r="G504" s="13"/>
      <c r="H504" s="13"/>
      <c r="I504" s="13"/>
      <c r="J504" s="13"/>
      <c r="K504" s="13"/>
      <c r="L504" s="13"/>
      <c r="M504" s="13"/>
      <c r="N504" s="13"/>
      <c r="O504" s="13"/>
      <c r="P504" s="13"/>
      <c r="Q504" s="13"/>
      <c r="R504" s="13"/>
      <c r="S504" s="13"/>
      <c r="T504" s="13"/>
      <c r="U504" s="13"/>
      <c r="V504" s="13"/>
      <c r="W504" s="13"/>
      <c r="X504" s="13"/>
      <c r="Y504" s="13"/>
      <c r="Z504" s="13"/>
      <c r="AA504" s="13"/>
    </row>
    <row r="505" spans="1:27" ht="17.399999999999999" x14ac:dyDescent="0.35">
      <c r="A505" s="13"/>
      <c r="B505" s="13"/>
      <c r="C505" s="13"/>
      <c r="D505" s="13"/>
      <c r="E505" s="13"/>
      <c r="F505" s="13"/>
      <c r="G505" s="13"/>
      <c r="H505" s="13"/>
      <c r="I505" s="13"/>
      <c r="J505" s="13"/>
      <c r="K505" s="13"/>
      <c r="L505" s="13"/>
      <c r="M505" s="13"/>
      <c r="N505" s="13"/>
      <c r="O505" s="13"/>
      <c r="P505" s="13"/>
      <c r="Q505" s="13"/>
      <c r="R505" s="13"/>
      <c r="S505" s="13"/>
      <c r="T505" s="13"/>
      <c r="U505" s="13"/>
      <c r="V505" s="13"/>
      <c r="W505" s="13"/>
      <c r="X505" s="13"/>
      <c r="Y505" s="13"/>
      <c r="Z505" s="13"/>
      <c r="AA505" s="13"/>
    </row>
    <row r="506" spans="1:27" ht="17.399999999999999" x14ac:dyDescent="0.35">
      <c r="A506" s="13"/>
      <c r="B506" s="13"/>
      <c r="C506" s="13"/>
      <c r="D506" s="13"/>
      <c r="E506" s="13"/>
      <c r="F506" s="13"/>
      <c r="G506" s="13"/>
      <c r="H506" s="13"/>
      <c r="I506" s="13"/>
      <c r="J506" s="13"/>
      <c r="K506" s="13"/>
      <c r="L506" s="13"/>
      <c r="M506" s="13"/>
      <c r="N506" s="13"/>
      <c r="O506" s="13"/>
      <c r="P506" s="13"/>
      <c r="Q506" s="13"/>
      <c r="R506" s="13"/>
      <c r="S506" s="13"/>
      <c r="T506" s="13"/>
      <c r="U506" s="13"/>
      <c r="V506" s="13"/>
      <c r="W506" s="13"/>
      <c r="X506" s="13"/>
      <c r="Y506" s="13"/>
      <c r="Z506" s="13"/>
      <c r="AA506" s="13"/>
    </row>
    <row r="507" spans="1:27" ht="17.399999999999999" x14ac:dyDescent="0.35">
      <c r="A507" s="13"/>
      <c r="B507" s="13"/>
      <c r="C507" s="13"/>
      <c r="D507" s="13"/>
      <c r="E507" s="13"/>
      <c r="F507" s="13"/>
      <c r="G507" s="13"/>
      <c r="H507" s="13"/>
      <c r="I507" s="13"/>
      <c r="J507" s="13"/>
      <c r="K507" s="13"/>
      <c r="L507" s="13"/>
      <c r="M507" s="13"/>
      <c r="N507" s="13"/>
      <c r="O507" s="13"/>
      <c r="P507" s="13"/>
      <c r="Q507" s="13"/>
      <c r="R507" s="13"/>
      <c r="S507" s="13"/>
      <c r="T507" s="13"/>
      <c r="U507" s="13"/>
      <c r="V507" s="13"/>
      <c r="W507" s="13"/>
      <c r="X507" s="13"/>
      <c r="Y507" s="13"/>
      <c r="Z507" s="13"/>
      <c r="AA507" s="13"/>
    </row>
    <row r="508" spans="1:27" ht="17.399999999999999" x14ac:dyDescent="0.35">
      <c r="A508" s="13"/>
      <c r="B508" s="13"/>
      <c r="C508" s="13"/>
      <c r="D508" s="13"/>
      <c r="E508" s="13"/>
      <c r="F508" s="13"/>
      <c r="G508" s="13"/>
      <c r="H508" s="13"/>
      <c r="I508" s="13"/>
      <c r="J508" s="13"/>
      <c r="K508" s="13"/>
      <c r="L508" s="13"/>
      <c r="M508" s="13"/>
      <c r="N508" s="13"/>
      <c r="O508" s="13"/>
      <c r="P508" s="13"/>
      <c r="Q508" s="13"/>
      <c r="R508" s="13"/>
      <c r="S508" s="13"/>
      <c r="T508" s="13"/>
      <c r="U508" s="13"/>
      <c r="V508" s="13"/>
      <c r="W508" s="13"/>
      <c r="X508" s="13"/>
      <c r="Y508" s="13"/>
      <c r="Z508" s="13"/>
      <c r="AA508" s="13"/>
    </row>
    <row r="509" spans="1:27" ht="17.399999999999999" x14ac:dyDescent="0.35">
      <c r="A509" s="13"/>
      <c r="B509" s="13"/>
      <c r="C509" s="13"/>
      <c r="D509" s="13"/>
      <c r="E509" s="13"/>
      <c r="F509" s="13"/>
      <c r="G509" s="13"/>
      <c r="H509" s="13"/>
      <c r="I509" s="13"/>
      <c r="J509" s="13"/>
      <c r="K509" s="13"/>
      <c r="L509" s="13"/>
      <c r="M509" s="13"/>
      <c r="N509" s="13"/>
      <c r="O509" s="13"/>
      <c r="P509" s="13"/>
      <c r="Q509" s="13"/>
      <c r="R509" s="13"/>
      <c r="S509" s="13"/>
      <c r="T509" s="13"/>
      <c r="U509" s="13"/>
      <c r="V509" s="13"/>
      <c r="W509" s="13"/>
      <c r="X509" s="13"/>
      <c r="Y509" s="13"/>
      <c r="Z509" s="13"/>
      <c r="AA509" s="13"/>
    </row>
    <row r="510" spans="1:27" ht="17.399999999999999" x14ac:dyDescent="0.35">
      <c r="A510" s="13"/>
      <c r="B510" s="13"/>
      <c r="C510" s="13"/>
      <c r="D510" s="13"/>
      <c r="E510" s="13"/>
      <c r="F510" s="13"/>
      <c r="G510" s="13"/>
      <c r="H510" s="13"/>
      <c r="I510" s="13"/>
      <c r="J510" s="13"/>
      <c r="K510" s="13"/>
      <c r="L510" s="13"/>
      <c r="M510" s="13"/>
      <c r="N510" s="13"/>
      <c r="O510" s="13"/>
      <c r="P510" s="13"/>
      <c r="Q510" s="13"/>
      <c r="R510" s="13"/>
      <c r="S510" s="13"/>
      <c r="T510" s="13"/>
      <c r="U510" s="13"/>
      <c r="V510" s="13"/>
      <c r="W510" s="13"/>
      <c r="X510" s="13"/>
      <c r="Y510" s="13"/>
      <c r="Z510" s="13"/>
      <c r="AA510" s="13"/>
    </row>
    <row r="511" spans="1:27" ht="17.399999999999999" x14ac:dyDescent="0.35">
      <c r="A511" s="13"/>
      <c r="B511" s="13"/>
      <c r="C511" s="13"/>
      <c r="D511" s="13"/>
      <c r="E511" s="13"/>
      <c r="F511" s="13"/>
      <c r="G511" s="13"/>
      <c r="H511" s="13"/>
      <c r="I511" s="13"/>
      <c r="J511" s="13"/>
      <c r="K511" s="13"/>
      <c r="L511" s="13"/>
      <c r="M511" s="13"/>
      <c r="N511" s="13"/>
      <c r="O511" s="13"/>
      <c r="P511" s="13"/>
      <c r="Q511" s="13"/>
      <c r="R511" s="13"/>
      <c r="S511" s="13"/>
      <c r="T511" s="13"/>
      <c r="U511" s="13"/>
      <c r="V511" s="13"/>
      <c r="W511" s="13"/>
      <c r="X511" s="13"/>
      <c r="Y511" s="13"/>
      <c r="Z511" s="13"/>
      <c r="AA511" s="13"/>
    </row>
    <row r="512" spans="1:27" ht="17.399999999999999" x14ac:dyDescent="0.35">
      <c r="A512" s="13"/>
      <c r="B512" s="13"/>
      <c r="C512" s="13"/>
      <c r="D512" s="13"/>
      <c r="E512" s="13"/>
      <c r="F512" s="13"/>
      <c r="G512" s="13"/>
      <c r="H512" s="13"/>
      <c r="I512" s="13"/>
      <c r="J512" s="13"/>
      <c r="K512" s="13"/>
      <c r="L512" s="13"/>
      <c r="M512" s="13"/>
      <c r="N512" s="13"/>
      <c r="O512" s="13"/>
      <c r="P512" s="13"/>
      <c r="Q512" s="13"/>
      <c r="R512" s="13"/>
      <c r="S512" s="13"/>
      <c r="T512" s="13"/>
      <c r="U512" s="13"/>
      <c r="V512" s="13"/>
      <c r="W512" s="13"/>
      <c r="X512" s="13"/>
      <c r="Y512" s="13"/>
      <c r="Z512" s="13"/>
      <c r="AA512" s="13"/>
    </row>
    <row r="513" spans="1:27" ht="17.399999999999999" x14ac:dyDescent="0.35">
      <c r="A513" s="13"/>
      <c r="B513" s="13"/>
      <c r="C513" s="13"/>
      <c r="D513" s="13"/>
      <c r="E513" s="13"/>
      <c r="F513" s="13"/>
      <c r="G513" s="13"/>
      <c r="H513" s="13"/>
      <c r="I513" s="13"/>
      <c r="J513" s="13"/>
      <c r="K513" s="13"/>
      <c r="L513" s="13"/>
      <c r="M513" s="13"/>
      <c r="N513" s="13"/>
      <c r="O513" s="13"/>
      <c r="P513" s="13"/>
      <c r="Q513" s="13"/>
      <c r="R513" s="13"/>
      <c r="S513" s="13"/>
      <c r="T513" s="13"/>
      <c r="U513" s="13"/>
      <c r="V513" s="13"/>
      <c r="W513" s="13"/>
      <c r="X513" s="13"/>
      <c r="Y513" s="13"/>
      <c r="Z513" s="13"/>
      <c r="AA513" s="13"/>
    </row>
    <row r="514" spans="1:27" ht="17.399999999999999" x14ac:dyDescent="0.35">
      <c r="A514" s="13"/>
      <c r="B514" s="13"/>
      <c r="C514" s="13"/>
      <c r="D514" s="13"/>
      <c r="E514" s="13"/>
      <c r="F514" s="13"/>
      <c r="G514" s="13"/>
      <c r="H514" s="13"/>
      <c r="I514" s="13"/>
      <c r="J514" s="13"/>
      <c r="K514" s="13"/>
      <c r="L514" s="13"/>
      <c r="M514" s="13"/>
      <c r="N514" s="13"/>
      <c r="O514" s="13"/>
      <c r="P514" s="13"/>
      <c r="Q514" s="13"/>
      <c r="R514" s="13"/>
      <c r="S514" s="13"/>
      <c r="T514" s="13"/>
      <c r="U514" s="13"/>
      <c r="V514" s="13"/>
      <c r="W514" s="13"/>
      <c r="X514" s="13"/>
      <c r="Y514" s="13"/>
      <c r="Z514" s="13"/>
      <c r="AA514" s="13"/>
    </row>
    <row r="515" spans="1:27" ht="17.399999999999999" x14ac:dyDescent="0.35">
      <c r="A515" s="13"/>
      <c r="B515" s="13"/>
      <c r="C515" s="13"/>
      <c r="D515" s="13"/>
      <c r="E515" s="13"/>
      <c r="F515" s="13"/>
      <c r="G515" s="13"/>
      <c r="H515" s="13"/>
      <c r="I515" s="13"/>
      <c r="J515" s="13"/>
      <c r="K515" s="13"/>
      <c r="L515" s="13"/>
      <c r="M515" s="13"/>
      <c r="N515" s="13"/>
      <c r="O515" s="13"/>
      <c r="P515" s="13"/>
      <c r="Q515" s="13"/>
      <c r="R515" s="13"/>
      <c r="S515" s="13"/>
      <c r="T515" s="13"/>
      <c r="U515" s="13"/>
      <c r="V515" s="13"/>
      <c r="W515" s="13"/>
      <c r="X515" s="13"/>
      <c r="Y515" s="13"/>
      <c r="Z515" s="13"/>
      <c r="AA515" s="13"/>
    </row>
    <row r="516" spans="1:27" ht="17.399999999999999" x14ac:dyDescent="0.35">
      <c r="A516" s="13"/>
      <c r="B516" s="13"/>
      <c r="C516" s="13"/>
      <c r="D516" s="13"/>
      <c r="E516" s="13"/>
      <c r="F516" s="13"/>
      <c r="G516" s="13"/>
      <c r="H516" s="13"/>
      <c r="I516" s="13"/>
      <c r="J516" s="13"/>
      <c r="K516" s="13"/>
      <c r="L516" s="13"/>
      <c r="M516" s="13"/>
      <c r="N516" s="13"/>
      <c r="O516" s="13"/>
      <c r="P516" s="13"/>
      <c r="Q516" s="13"/>
      <c r="R516" s="13"/>
      <c r="S516" s="13"/>
      <c r="T516" s="13"/>
      <c r="U516" s="13"/>
      <c r="V516" s="13"/>
      <c r="W516" s="13"/>
      <c r="X516" s="13"/>
      <c r="Y516" s="13"/>
      <c r="Z516" s="13"/>
      <c r="AA516" s="13"/>
    </row>
    <row r="517" spans="1:27" ht="17.399999999999999" x14ac:dyDescent="0.35">
      <c r="A517" s="13"/>
      <c r="B517" s="13"/>
      <c r="C517" s="13"/>
      <c r="D517" s="13"/>
      <c r="E517" s="13"/>
      <c r="F517" s="13"/>
      <c r="G517" s="13"/>
      <c r="H517" s="13"/>
      <c r="I517" s="13"/>
      <c r="J517" s="13"/>
      <c r="K517" s="13"/>
      <c r="L517" s="13"/>
      <c r="M517" s="13"/>
      <c r="N517" s="13"/>
      <c r="O517" s="13"/>
      <c r="P517" s="13"/>
      <c r="Q517" s="13"/>
      <c r="R517" s="13"/>
      <c r="S517" s="13"/>
      <c r="T517" s="13"/>
      <c r="U517" s="13"/>
      <c r="V517" s="13"/>
      <c r="W517" s="13"/>
      <c r="X517" s="13"/>
      <c r="Y517" s="13"/>
      <c r="Z517" s="13"/>
      <c r="AA517" s="13"/>
    </row>
    <row r="518" spans="1:27" ht="17.399999999999999" x14ac:dyDescent="0.35">
      <c r="A518" s="13"/>
      <c r="B518" s="13"/>
      <c r="C518" s="13"/>
      <c r="D518" s="13"/>
      <c r="E518" s="13"/>
      <c r="F518" s="13"/>
      <c r="G518" s="13"/>
      <c r="H518" s="13"/>
      <c r="I518" s="13"/>
      <c r="J518" s="13"/>
      <c r="K518" s="13"/>
      <c r="L518" s="13"/>
      <c r="M518" s="13"/>
      <c r="N518" s="13"/>
      <c r="O518" s="13"/>
      <c r="P518" s="13"/>
      <c r="Q518" s="13"/>
      <c r="R518" s="13"/>
      <c r="S518" s="13"/>
      <c r="T518" s="13"/>
      <c r="U518" s="13"/>
      <c r="V518" s="13"/>
      <c r="W518" s="13"/>
      <c r="X518" s="13"/>
      <c r="Y518" s="13"/>
      <c r="Z518" s="13"/>
      <c r="AA518" s="13"/>
    </row>
    <row r="519" spans="1:27" ht="17.399999999999999" x14ac:dyDescent="0.35">
      <c r="A519" s="13"/>
      <c r="B519" s="13"/>
      <c r="C519" s="13"/>
      <c r="D519" s="13"/>
      <c r="E519" s="13"/>
      <c r="F519" s="13"/>
      <c r="G519" s="13"/>
      <c r="H519" s="13"/>
      <c r="I519" s="13"/>
      <c r="J519" s="13"/>
      <c r="K519" s="13"/>
      <c r="L519" s="13"/>
      <c r="M519" s="13"/>
      <c r="N519" s="13"/>
      <c r="O519" s="13"/>
      <c r="P519" s="13"/>
      <c r="Q519" s="13"/>
      <c r="R519" s="13"/>
      <c r="S519" s="13"/>
      <c r="T519" s="13"/>
      <c r="U519" s="13"/>
      <c r="V519" s="13"/>
      <c r="W519" s="13"/>
      <c r="X519" s="13"/>
      <c r="Y519" s="13"/>
      <c r="Z519" s="13"/>
      <c r="AA519" s="13"/>
    </row>
    <row r="520" spans="1:27" ht="17.399999999999999" x14ac:dyDescent="0.35">
      <c r="A520" s="13"/>
      <c r="B520" s="13"/>
      <c r="C520" s="13"/>
      <c r="D520" s="13"/>
      <c r="E520" s="13"/>
      <c r="F520" s="13"/>
      <c r="G520" s="13"/>
      <c r="H520" s="13"/>
      <c r="I520" s="13"/>
      <c r="J520" s="13"/>
      <c r="K520" s="13"/>
      <c r="L520" s="13"/>
      <c r="M520" s="13"/>
      <c r="N520" s="13"/>
      <c r="O520" s="13"/>
      <c r="P520" s="13"/>
      <c r="Q520" s="13"/>
      <c r="R520" s="13"/>
      <c r="S520" s="13"/>
      <c r="T520" s="13"/>
      <c r="U520" s="13"/>
      <c r="V520" s="13"/>
      <c r="W520" s="13"/>
      <c r="X520" s="13"/>
      <c r="Y520" s="13"/>
      <c r="Z520" s="13"/>
      <c r="AA520" s="13"/>
    </row>
    <row r="521" spans="1:27" ht="17.399999999999999" x14ac:dyDescent="0.35">
      <c r="A521" s="13"/>
      <c r="B521" s="13"/>
      <c r="C521" s="13"/>
      <c r="D521" s="13"/>
      <c r="E521" s="13"/>
      <c r="F521" s="13"/>
      <c r="G521" s="13"/>
      <c r="H521" s="13"/>
      <c r="I521" s="13"/>
      <c r="J521" s="13"/>
      <c r="K521" s="13"/>
      <c r="L521" s="13"/>
      <c r="M521" s="13"/>
      <c r="N521" s="13"/>
      <c r="O521" s="13"/>
      <c r="P521" s="13"/>
      <c r="Q521" s="13"/>
      <c r="R521" s="13"/>
      <c r="S521" s="13"/>
      <c r="T521" s="13"/>
      <c r="U521" s="13"/>
      <c r="V521" s="13"/>
      <c r="W521" s="13"/>
      <c r="X521" s="13"/>
      <c r="Y521" s="13"/>
      <c r="Z521" s="13"/>
      <c r="AA521" s="13"/>
    </row>
    <row r="522" spans="1:27" ht="17.399999999999999" x14ac:dyDescent="0.35">
      <c r="A522" s="13"/>
      <c r="B522" s="13"/>
      <c r="C522" s="13"/>
      <c r="D522" s="13"/>
      <c r="E522" s="13"/>
      <c r="F522" s="13"/>
      <c r="G522" s="13"/>
      <c r="H522" s="13"/>
      <c r="I522" s="13"/>
      <c r="J522" s="13"/>
      <c r="K522" s="13"/>
      <c r="L522" s="13"/>
      <c r="M522" s="13"/>
      <c r="N522" s="13"/>
      <c r="O522" s="13"/>
      <c r="P522" s="13"/>
      <c r="Q522" s="13"/>
      <c r="R522" s="13"/>
      <c r="S522" s="13"/>
      <c r="T522" s="13"/>
      <c r="U522" s="13"/>
      <c r="V522" s="13"/>
      <c r="W522" s="13"/>
      <c r="X522" s="13"/>
      <c r="Y522" s="13"/>
      <c r="Z522" s="13"/>
      <c r="AA522" s="13"/>
    </row>
    <row r="523" spans="1:27" ht="17.399999999999999" x14ac:dyDescent="0.35">
      <c r="A523" s="13"/>
      <c r="B523" s="13"/>
      <c r="C523" s="13"/>
      <c r="D523" s="13"/>
      <c r="E523" s="13"/>
      <c r="F523" s="13"/>
      <c r="G523" s="13"/>
      <c r="H523" s="13"/>
      <c r="I523" s="13"/>
      <c r="J523" s="13"/>
      <c r="K523" s="13"/>
      <c r="L523" s="13"/>
      <c r="M523" s="13"/>
      <c r="N523" s="13"/>
      <c r="O523" s="13"/>
      <c r="P523" s="13"/>
      <c r="Q523" s="13"/>
      <c r="R523" s="13"/>
      <c r="S523" s="13"/>
      <c r="T523" s="13"/>
      <c r="U523" s="13"/>
      <c r="V523" s="13"/>
      <c r="W523" s="13"/>
      <c r="X523" s="13"/>
      <c r="Y523" s="13"/>
      <c r="Z523" s="13"/>
      <c r="AA523" s="13"/>
    </row>
    <row r="524" spans="1:27" ht="17.399999999999999" x14ac:dyDescent="0.35">
      <c r="A524" s="13"/>
      <c r="B524" s="13"/>
      <c r="C524" s="13"/>
      <c r="D524" s="13"/>
      <c r="E524" s="13"/>
      <c r="F524" s="13"/>
      <c r="G524" s="13"/>
      <c r="H524" s="13"/>
      <c r="I524" s="13"/>
      <c r="J524" s="13"/>
      <c r="K524" s="13"/>
      <c r="L524" s="13"/>
      <c r="M524" s="13"/>
      <c r="N524" s="13"/>
      <c r="O524" s="13"/>
      <c r="P524" s="13"/>
      <c r="Q524" s="13"/>
      <c r="R524" s="13"/>
      <c r="S524" s="13"/>
      <c r="T524" s="13"/>
      <c r="U524" s="13"/>
      <c r="V524" s="13"/>
      <c r="W524" s="13"/>
      <c r="X524" s="13"/>
      <c r="Y524" s="13"/>
      <c r="Z524" s="13"/>
      <c r="AA524" s="13"/>
    </row>
    <row r="525" spans="1:27" ht="17.399999999999999" x14ac:dyDescent="0.35">
      <c r="A525" s="13"/>
      <c r="B525" s="13"/>
      <c r="C525" s="13"/>
      <c r="D525" s="13"/>
      <c r="E525" s="13"/>
      <c r="F525" s="13"/>
      <c r="G525" s="13"/>
      <c r="H525" s="13"/>
      <c r="I525" s="13"/>
      <c r="J525" s="13"/>
      <c r="K525" s="13"/>
      <c r="L525" s="13"/>
      <c r="M525" s="13"/>
      <c r="N525" s="13"/>
      <c r="O525" s="13"/>
      <c r="P525" s="13"/>
      <c r="Q525" s="13"/>
      <c r="R525" s="13"/>
      <c r="S525" s="13"/>
      <c r="T525" s="13"/>
      <c r="U525" s="13"/>
      <c r="V525" s="13"/>
      <c r="W525" s="13"/>
      <c r="X525" s="13"/>
      <c r="Y525" s="13"/>
      <c r="Z525" s="13"/>
      <c r="AA525" s="13"/>
    </row>
    <row r="526" spans="1:27" ht="17.399999999999999" x14ac:dyDescent="0.35">
      <c r="A526" s="13"/>
      <c r="B526" s="13"/>
      <c r="C526" s="13"/>
      <c r="D526" s="13"/>
      <c r="E526" s="13"/>
      <c r="F526" s="13"/>
      <c r="G526" s="13"/>
      <c r="H526" s="13"/>
      <c r="I526" s="13"/>
      <c r="J526" s="13"/>
      <c r="K526" s="13"/>
      <c r="L526" s="13"/>
      <c r="M526" s="13"/>
      <c r="N526" s="13"/>
      <c r="O526" s="13"/>
      <c r="P526" s="13"/>
      <c r="Q526" s="13"/>
      <c r="R526" s="13"/>
      <c r="S526" s="13"/>
      <c r="T526" s="13"/>
      <c r="U526" s="13"/>
      <c r="V526" s="13"/>
      <c r="W526" s="13"/>
      <c r="X526" s="13"/>
      <c r="Y526" s="13"/>
      <c r="Z526" s="13"/>
      <c r="AA526" s="13"/>
    </row>
    <row r="527" spans="1:27" ht="17.399999999999999" x14ac:dyDescent="0.35">
      <c r="A527" s="13"/>
      <c r="B527" s="13"/>
      <c r="C527" s="13"/>
      <c r="D527" s="13"/>
      <c r="E527" s="13"/>
      <c r="F527" s="13"/>
      <c r="G527" s="13"/>
      <c r="H527" s="13"/>
      <c r="I527" s="13"/>
      <c r="J527" s="13"/>
      <c r="K527" s="13"/>
      <c r="L527" s="13"/>
      <c r="M527" s="13"/>
      <c r="N527" s="13"/>
      <c r="O527" s="13"/>
      <c r="P527" s="13"/>
      <c r="Q527" s="13"/>
      <c r="R527" s="13"/>
      <c r="S527" s="13"/>
      <c r="T527" s="13"/>
      <c r="U527" s="13"/>
      <c r="V527" s="13"/>
      <c r="W527" s="13"/>
      <c r="X527" s="13"/>
      <c r="Y527" s="13"/>
      <c r="Z527" s="13"/>
      <c r="AA527" s="13"/>
    </row>
    <row r="528" spans="1:27" ht="17.399999999999999" x14ac:dyDescent="0.35">
      <c r="A528" s="13"/>
      <c r="B528" s="13"/>
      <c r="C528" s="13"/>
      <c r="D528" s="13"/>
      <c r="E528" s="13"/>
      <c r="F528" s="13"/>
      <c r="G528" s="13"/>
      <c r="H528" s="13"/>
      <c r="I528" s="13"/>
      <c r="J528" s="13"/>
      <c r="K528" s="13"/>
      <c r="L528" s="13"/>
      <c r="M528" s="13"/>
      <c r="N528" s="13"/>
      <c r="O528" s="13"/>
      <c r="P528" s="13"/>
      <c r="Q528" s="13"/>
      <c r="R528" s="13"/>
      <c r="S528" s="13"/>
      <c r="T528" s="13"/>
      <c r="U528" s="13"/>
      <c r="V528" s="13"/>
      <c r="W528" s="13"/>
      <c r="X528" s="13"/>
      <c r="Y528" s="13"/>
      <c r="Z528" s="13"/>
      <c r="AA528" s="13"/>
    </row>
    <row r="529" spans="1:27" ht="17.399999999999999" x14ac:dyDescent="0.35">
      <c r="A529" s="13"/>
      <c r="B529" s="13"/>
      <c r="C529" s="13"/>
      <c r="D529" s="13"/>
      <c r="E529" s="13"/>
      <c r="F529" s="13"/>
      <c r="G529" s="13"/>
      <c r="H529" s="13"/>
      <c r="I529" s="13"/>
      <c r="J529" s="13"/>
      <c r="K529" s="13"/>
      <c r="L529" s="13"/>
      <c r="M529" s="13"/>
      <c r="N529" s="13"/>
      <c r="O529" s="13"/>
      <c r="P529" s="13"/>
      <c r="Q529" s="13"/>
      <c r="R529" s="13"/>
      <c r="S529" s="13"/>
      <c r="T529" s="13"/>
      <c r="U529" s="13"/>
      <c r="V529" s="13"/>
      <c r="W529" s="13"/>
      <c r="X529" s="13"/>
      <c r="Y529" s="13"/>
      <c r="Z529" s="13"/>
      <c r="AA529" s="13"/>
    </row>
    <row r="530" spans="1:27" ht="17.399999999999999" x14ac:dyDescent="0.35">
      <c r="A530" s="13"/>
      <c r="B530" s="13"/>
      <c r="C530" s="13"/>
      <c r="D530" s="13"/>
      <c r="E530" s="13"/>
      <c r="F530" s="13"/>
      <c r="G530" s="13"/>
      <c r="H530" s="13"/>
      <c r="I530" s="13"/>
      <c r="J530" s="13"/>
      <c r="K530" s="13"/>
      <c r="L530" s="13"/>
      <c r="M530" s="13"/>
      <c r="N530" s="13"/>
      <c r="O530" s="13"/>
      <c r="P530" s="13"/>
      <c r="Q530" s="13"/>
      <c r="R530" s="13"/>
      <c r="S530" s="13"/>
      <c r="T530" s="13"/>
      <c r="U530" s="13"/>
      <c r="V530" s="13"/>
      <c r="W530" s="13"/>
      <c r="X530" s="13"/>
      <c r="Y530" s="13"/>
      <c r="Z530" s="13"/>
      <c r="AA530" s="13"/>
    </row>
    <row r="531" spans="1:27" ht="17.399999999999999" x14ac:dyDescent="0.35">
      <c r="A531" s="13"/>
      <c r="B531" s="13"/>
      <c r="C531" s="13"/>
      <c r="D531" s="13"/>
      <c r="E531" s="13"/>
      <c r="F531" s="13"/>
      <c r="G531" s="13"/>
      <c r="H531" s="13"/>
      <c r="I531" s="13"/>
      <c r="J531" s="13"/>
      <c r="K531" s="13"/>
      <c r="L531" s="13"/>
      <c r="M531" s="13"/>
      <c r="N531" s="13"/>
      <c r="O531" s="13"/>
      <c r="P531" s="13"/>
      <c r="Q531" s="13"/>
      <c r="R531" s="13"/>
      <c r="S531" s="13"/>
      <c r="T531" s="13"/>
      <c r="U531" s="13"/>
      <c r="V531" s="13"/>
      <c r="W531" s="13"/>
      <c r="X531" s="13"/>
      <c r="Y531" s="13"/>
      <c r="Z531" s="13"/>
      <c r="AA531" s="13"/>
    </row>
    <row r="532" spans="1:27" ht="17.399999999999999" x14ac:dyDescent="0.35">
      <c r="A532" s="13"/>
      <c r="B532" s="13"/>
      <c r="C532" s="13"/>
      <c r="D532" s="13"/>
      <c r="E532" s="13"/>
      <c r="F532" s="13"/>
      <c r="G532" s="13"/>
      <c r="H532" s="13"/>
      <c r="I532" s="13"/>
      <c r="J532" s="13"/>
      <c r="K532" s="13"/>
      <c r="L532" s="13"/>
      <c r="M532" s="13"/>
      <c r="N532" s="13"/>
      <c r="O532" s="13"/>
      <c r="P532" s="13"/>
      <c r="Q532" s="13"/>
      <c r="R532" s="13"/>
      <c r="S532" s="13"/>
      <c r="T532" s="13"/>
      <c r="U532" s="13"/>
      <c r="V532" s="13"/>
      <c r="W532" s="13"/>
      <c r="X532" s="13"/>
      <c r="Y532" s="13"/>
      <c r="Z532" s="13"/>
      <c r="AA532" s="13"/>
    </row>
    <row r="533" spans="1:27" ht="17.399999999999999" x14ac:dyDescent="0.35">
      <c r="A533" s="13"/>
      <c r="B533" s="13"/>
      <c r="C533" s="13"/>
      <c r="D533" s="13"/>
      <c r="E533" s="13"/>
      <c r="F533" s="13"/>
      <c r="G533" s="13"/>
      <c r="H533" s="13"/>
      <c r="I533" s="13"/>
      <c r="J533" s="13"/>
      <c r="K533" s="13"/>
      <c r="L533" s="13"/>
      <c r="M533" s="13"/>
      <c r="N533" s="13"/>
      <c r="O533" s="13"/>
      <c r="P533" s="13"/>
      <c r="Q533" s="13"/>
      <c r="R533" s="13"/>
      <c r="S533" s="13"/>
      <c r="T533" s="13"/>
      <c r="U533" s="13"/>
      <c r="V533" s="13"/>
      <c r="W533" s="13"/>
      <c r="X533" s="13"/>
      <c r="Y533" s="13"/>
      <c r="Z533" s="13"/>
      <c r="AA533" s="13"/>
    </row>
    <row r="534" spans="1:27" ht="17.399999999999999" x14ac:dyDescent="0.35">
      <c r="A534" s="13"/>
      <c r="B534" s="13"/>
      <c r="C534" s="13"/>
      <c r="D534" s="13"/>
      <c r="E534" s="13"/>
      <c r="F534" s="13"/>
      <c r="G534" s="13"/>
      <c r="H534" s="13"/>
      <c r="I534" s="13"/>
      <c r="J534" s="13"/>
      <c r="K534" s="13"/>
      <c r="L534" s="13"/>
      <c r="M534" s="13"/>
      <c r="N534" s="13"/>
      <c r="O534" s="13"/>
      <c r="P534" s="13"/>
      <c r="Q534" s="13"/>
      <c r="R534" s="13"/>
      <c r="S534" s="13"/>
      <c r="T534" s="13"/>
      <c r="U534" s="13"/>
      <c r="V534" s="13"/>
      <c r="W534" s="13"/>
      <c r="X534" s="13"/>
      <c r="Y534" s="13"/>
      <c r="Z534" s="13"/>
      <c r="AA534" s="13"/>
    </row>
    <row r="535" spans="1:27" ht="17.399999999999999" x14ac:dyDescent="0.35">
      <c r="A535" s="13"/>
      <c r="B535" s="13"/>
      <c r="C535" s="13"/>
      <c r="D535" s="13"/>
      <c r="E535" s="13"/>
      <c r="F535" s="13"/>
      <c r="G535" s="13"/>
      <c r="H535" s="13"/>
      <c r="I535" s="13"/>
      <c r="J535" s="13"/>
      <c r="K535" s="13"/>
      <c r="L535" s="13"/>
      <c r="M535" s="13"/>
      <c r="N535" s="13"/>
      <c r="O535" s="13"/>
      <c r="P535" s="13"/>
      <c r="Q535" s="13"/>
      <c r="R535" s="13"/>
      <c r="S535" s="13"/>
      <c r="T535" s="13"/>
      <c r="U535" s="13"/>
      <c r="V535" s="13"/>
      <c r="W535" s="13"/>
      <c r="X535" s="13"/>
      <c r="Y535" s="13"/>
      <c r="Z535" s="13"/>
      <c r="AA535" s="13"/>
    </row>
    <row r="536" spans="1:27" ht="17.399999999999999" x14ac:dyDescent="0.35">
      <c r="A536" s="13"/>
      <c r="B536" s="13"/>
      <c r="C536" s="13"/>
      <c r="D536" s="13"/>
      <c r="E536" s="13"/>
      <c r="F536" s="13"/>
      <c r="G536" s="13"/>
      <c r="H536" s="13"/>
      <c r="I536" s="13"/>
      <c r="J536" s="13"/>
      <c r="K536" s="13"/>
      <c r="L536" s="13"/>
      <c r="M536" s="13"/>
      <c r="N536" s="13"/>
      <c r="O536" s="13"/>
      <c r="P536" s="13"/>
      <c r="Q536" s="13"/>
      <c r="R536" s="13"/>
      <c r="S536" s="13"/>
      <c r="T536" s="13"/>
      <c r="U536" s="13"/>
      <c r="V536" s="13"/>
      <c r="W536" s="13"/>
      <c r="X536" s="13"/>
      <c r="Y536" s="13"/>
      <c r="Z536" s="13"/>
      <c r="AA536" s="13"/>
    </row>
    <row r="537" spans="1:27" ht="17.399999999999999" x14ac:dyDescent="0.35">
      <c r="A537" s="13"/>
      <c r="B537" s="13"/>
      <c r="C537" s="13"/>
      <c r="D537" s="13"/>
      <c r="E537" s="13"/>
      <c r="F537" s="13"/>
      <c r="G537" s="13"/>
      <c r="H537" s="13"/>
      <c r="I537" s="13"/>
      <c r="J537" s="13"/>
      <c r="K537" s="13"/>
      <c r="L537" s="13"/>
      <c r="M537" s="13"/>
      <c r="N537" s="13"/>
      <c r="O537" s="13"/>
      <c r="P537" s="13"/>
      <c r="Q537" s="13"/>
      <c r="R537" s="13"/>
      <c r="S537" s="13"/>
      <c r="T537" s="13"/>
      <c r="U537" s="13"/>
      <c r="V537" s="13"/>
      <c r="W537" s="13"/>
      <c r="X537" s="13"/>
      <c r="Y537" s="13"/>
      <c r="Z537" s="13"/>
      <c r="AA537" s="13"/>
    </row>
    <row r="538" spans="1:27" ht="17.399999999999999" x14ac:dyDescent="0.35">
      <c r="A538" s="13"/>
      <c r="B538" s="13"/>
      <c r="C538" s="13"/>
      <c r="D538" s="13"/>
      <c r="E538" s="13"/>
      <c r="F538" s="13"/>
      <c r="G538" s="13"/>
      <c r="H538" s="13"/>
      <c r="I538" s="13"/>
      <c r="J538" s="13"/>
      <c r="K538" s="13"/>
      <c r="L538" s="13"/>
      <c r="M538" s="13"/>
      <c r="N538" s="13"/>
      <c r="O538" s="13"/>
      <c r="P538" s="13"/>
      <c r="Q538" s="13"/>
      <c r="R538" s="13"/>
      <c r="S538" s="13"/>
      <c r="T538" s="13"/>
      <c r="U538" s="13"/>
      <c r="V538" s="13"/>
      <c r="W538" s="13"/>
      <c r="X538" s="13"/>
      <c r="Y538" s="13"/>
      <c r="Z538" s="13"/>
      <c r="AA538" s="13"/>
    </row>
    <row r="539" spans="1:27" ht="17.399999999999999" x14ac:dyDescent="0.35">
      <c r="A539" s="13"/>
      <c r="B539" s="13"/>
      <c r="C539" s="13"/>
      <c r="D539" s="13"/>
      <c r="E539" s="13"/>
      <c r="F539" s="13"/>
      <c r="G539" s="13"/>
      <c r="H539" s="13"/>
      <c r="I539" s="13"/>
      <c r="J539" s="13"/>
      <c r="K539" s="13"/>
      <c r="L539" s="13"/>
      <c r="M539" s="13"/>
      <c r="N539" s="13"/>
      <c r="O539" s="13"/>
      <c r="P539" s="13"/>
      <c r="Q539" s="13"/>
      <c r="R539" s="13"/>
      <c r="S539" s="13"/>
      <c r="T539" s="13"/>
      <c r="U539" s="13"/>
      <c r="V539" s="13"/>
      <c r="W539" s="13"/>
      <c r="X539" s="13"/>
      <c r="Y539" s="13"/>
      <c r="Z539" s="13"/>
      <c r="AA539" s="13"/>
    </row>
    <row r="540" spans="1:27" ht="17.399999999999999" x14ac:dyDescent="0.35">
      <c r="A540" s="13"/>
      <c r="B540" s="13"/>
      <c r="C540" s="13"/>
      <c r="D540" s="13"/>
      <c r="E540" s="13"/>
      <c r="F540" s="13"/>
      <c r="G540" s="13"/>
      <c r="H540" s="13"/>
      <c r="I540" s="13"/>
      <c r="J540" s="13"/>
      <c r="K540" s="13"/>
      <c r="L540" s="13"/>
      <c r="M540" s="13"/>
      <c r="N540" s="13"/>
      <c r="O540" s="13"/>
      <c r="P540" s="13"/>
      <c r="Q540" s="13"/>
      <c r="R540" s="13"/>
      <c r="S540" s="13"/>
      <c r="T540" s="13"/>
      <c r="U540" s="13"/>
      <c r="V540" s="13"/>
      <c r="W540" s="13"/>
      <c r="X540" s="13"/>
      <c r="Y540" s="13"/>
      <c r="Z540" s="13"/>
      <c r="AA540" s="13"/>
    </row>
    <row r="541" spans="1:27" ht="17.399999999999999" x14ac:dyDescent="0.35">
      <c r="A541" s="13"/>
      <c r="B541" s="13"/>
      <c r="C541" s="13"/>
      <c r="D541" s="13"/>
      <c r="E541" s="13"/>
      <c r="F541" s="13"/>
      <c r="G541" s="13"/>
      <c r="H541" s="13"/>
      <c r="I541" s="13"/>
      <c r="J541" s="13"/>
      <c r="K541" s="13"/>
      <c r="L541" s="13"/>
      <c r="M541" s="13"/>
      <c r="N541" s="13"/>
      <c r="O541" s="13"/>
      <c r="P541" s="13"/>
      <c r="Q541" s="13"/>
      <c r="R541" s="13"/>
      <c r="S541" s="13"/>
      <c r="T541" s="13"/>
      <c r="U541" s="13"/>
      <c r="V541" s="13"/>
      <c r="W541" s="13"/>
      <c r="X541" s="13"/>
      <c r="Y541" s="13"/>
      <c r="Z541" s="13"/>
      <c r="AA541" s="13"/>
    </row>
    <row r="542" spans="1:27" ht="17.399999999999999" x14ac:dyDescent="0.35">
      <c r="A542" s="13"/>
      <c r="B542" s="13"/>
      <c r="C542" s="13"/>
      <c r="D542" s="13"/>
      <c r="E542" s="13"/>
      <c r="F542" s="13"/>
      <c r="G542" s="13"/>
      <c r="H542" s="13"/>
      <c r="I542" s="13"/>
      <c r="J542" s="13"/>
      <c r="K542" s="13"/>
      <c r="L542" s="13"/>
      <c r="M542" s="13"/>
      <c r="N542" s="13"/>
      <c r="O542" s="13"/>
      <c r="P542" s="13"/>
      <c r="Q542" s="13"/>
      <c r="R542" s="13"/>
      <c r="S542" s="13"/>
      <c r="T542" s="13"/>
      <c r="U542" s="13"/>
      <c r="V542" s="13"/>
      <c r="W542" s="13"/>
      <c r="X542" s="13"/>
      <c r="Y542" s="13"/>
      <c r="Z542" s="13"/>
      <c r="AA542" s="13"/>
    </row>
    <row r="543" spans="1:27" ht="17.399999999999999" x14ac:dyDescent="0.35">
      <c r="A543" s="13"/>
      <c r="B543" s="13"/>
      <c r="C543" s="13"/>
      <c r="D543" s="13"/>
      <c r="E543" s="13"/>
      <c r="F543" s="13"/>
      <c r="G543" s="13"/>
      <c r="H543" s="13"/>
      <c r="I543" s="13"/>
      <c r="J543" s="13"/>
      <c r="K543" s="13"/>
      <c r="L543" s="13"/>
      <c r="M543" s="13"/>
      <c r="N543" s="13"/>
      <c r="O543" s="13"/>
      <c r="P543" s="13"/>
      <c r="Q543" s="13"/>
      <c r="R543" s="13"/>
      <c r="S543" s="13"/>
      <c r="T543" s="13"/>
      <c r="U543" s="13"/>
      <c r="V543" s="13"/>
      <c r="W543" s="13"/>
      <c r="X543" s="13"/>
      <c r="Y543" s="13"/>
      <c r="Z543" s="13"/>
      <c r="AA543" s="13"/>
    </row>
    <row r="544" spans="1:27" ht="17.399999999999999" x14ac:dyDescent="0.35">
      <c r="A544" s="13"/>
      <c r="B544" s="13"/>
      <c r="C544" s="13"/>
      <c r="D544" s="13"/>
      <c r="E544" s="13"/>
      <c r="F544" s="13"/>
      <c r="G544" s="13"/>
      <c r="H544" s="13"/>
      <c r="I544" s="13"/>
      <c r="J544" s="13"/>
      <c r="K544" s="13"/>
      <c r="L544" s="13"/>
      <c r="M544" s="13"/>
      <c r="N544" s="13"/>
      <c r="O544" s="13"/>
      <c r="P544" s="13"/>
      <c r="Q544" s="13"/>
      <c r="R544" s="13"/>
      <c r="S544" s="13"/>
      <c r="T544" s="13"/>
      <c r="U544" s="13"/>
      <c r="V544" s="13"/>
      <c r="W544" s="13"/>
      <c r="X544" s="13"/>
      <c r="Y544" s="13"/>
      <c r="Z544" s="13"/>
      <c r="AA544" s="13"/>
    </row>
    <row r="545" spans="1:27" ht="17.399999999999999" x14ac:dyDescent="0.35">
      <c r="A545" s="13"/>
      <c r="B545" s="13"/>
      <c r="C545" s="13"/>
      <c r="D545" s="13"/>
      <c r="E545" s="13"/>
      <c r="F545" s="13"/>
      <c r="G545" s="13"/>
      <c r="H545" s="13"/>
      <c r="I545" s="13"/>
      <c r="J545" s="13"/>
      <c r="K545" s="13"/>
      <c r="L545" s="13"/>
      <c r="M545" s="13"/>
      <c r="N545" s="13"/>
      <c r="O545" s="13"/>
      <c r="P545" s="13"/>
      <c r="Q545" s="13"/>
      <c r="R545" s="13"/>
      <c r="S545" s="13"/>
      <c r="T545" s="13"/>
      <c r="U545" s="13"/>
      <c r="V545" s="13"/>
      <c r="W545" s="13"/>
      <c r="X545" s="13"/>
      <c r="Y545" s="13"/>
      <c r="Z545" s="13"/>
      <c r="AA545" s="13"/>
    </row>
    <row r="546" spans="1:27" ht="17.399999999999999" x14ac:dyDescent="0.35">
      <c r="A546" s="13"/>
      <c r="B546" s="13"/>
      <c r="C546" s="13"/>
      <c r="D546" s="13"/>
      <c r="E546" s="13"/>
      <c r="F546" s="13"/>
      <c r="G546" s="13"/>
      <c r="H546" s="13"/>
      <c r="I546" s="13"/>
      <c r="J546" s="13"/>
      <c r="K546" s="13"/>
      <c r="L546" s="13"/>
      <c r="M546" s="13"/>
      <c r="N546" s="13"/>
      <c r="O546" s="13"/>
      <c r="P546" s="13"/>
      <c r="Q546" s="13"/>
      <c r="R546" s="13"/>
      <c r="S546" s="13"/>
      <c r="T546" s="13"/>
      <c r="U546" s="13"/>
      <c r="V546" s="13"/>
      <c r="W546" s="13"/>
      <c r="X546" s="13"/>
      <c r="Y546" s="13"/>
      <c r="Z546" s="13"/>
      <c r="AA546" s="13"/>
    </row>
    <row r="547" spans="1:27" ht="17.399999999999999" x14ac:dyDescent="0.35">
      <c r="A547" s="13"/>
      <c r="B547" s="13"/>
      <c r="C547" s="13"/>
      <c r="D547" s="13"/>
      <c r="E547" s="13"/>
      <c r="F547" s="13"/>
      <c r="G547" s="13"/>
      <c r="H547" s="13"/>
      <c r="I547" s="13"/>
      <c r="J547" s="13"/>
      <c r="K547" s="13"/>
      <c r="L547" s="13"/>
      <c r="M547" s="13"/>
      <c r="N547" s="13"/>
      <c r="O547" s="13"/>
      <c r="P547" s="13"/>
      <c r="Q547" s="13"/>
      <c r="R547" s="13"/>
      <c r="S547" s="13"/>
      <c r="T547" s="13"/>
      <c r="U547" s="13"/>
      <c r="V547" s="13"/>
      <c r="W547" s="13"/>
      <c r="X547" s="13"/>
      <c r="Y547" s="13"/>
      <c r="Z547" s="13"/>
      <c r="AA547" s="13"/>
    </row>
    <row r="548" spans="1:27" ht="17.399999999999999" x14ac:dyDescent="0.35">
      <c r="A548" s="13"/>
      <c r="B548" s="13"/>
      <c r="C548" s="13"/>
      <c r="D548" s="13"/>
      <c r="E548" s="13"/>
      <c r="F548" s="13"/>
      <c r="G548" s="13"/>
      <c r="H548" s="13"/>
      <c r="I548" s="13"/>
      <c r="J548" s="13"/>
      <c r="K548" s="13"/>
      <c r="L548" s="13"/>
      <c r="M548" s="13"/>
      <c r="N548" s="13"/>
      <c r="O548" s="13"/>
      <c r="P548" s="13"/>
      <c r="Q548" s="13"/>
      <c r="R548" s="13"/>
      <c r="S548" s="13"/>
      <c r="T548" s="13"/>
      <c r="U548" s="13"/>
      <c r="V548" s="13"/>
      <c r="W548" s="13"/>
      <c r="X548" s="13"/>
      <c r="Y548" s="13"/>
      <c r="Z548" s="13"/>
      <c r="AA548" s="13"/>
    </row>
    <row r="549" spans="1:27" ht="17.399999999999999" x14ac:dyDescent="0.35">
      <c r="A549" s="13"/>
      <c r="B549" s="13"/>
      <c r="C549" s="13"/>
      <c r="D549" s="13"/>
      <c r="E549" s="13"/>
      <c r="F549" s="13"/>
      <c r="G549" s="13"/>
      <c r="H549" s="13"/>
      <c r="I549" s="13"/>
      <c r="J549" s="13"/>
      <c r="K549" s="13"/>
      <c r="L549" s="13"/>
      <c r="M549" s="13"/>
      <c r="N549" s="13"/>
      <c r="O549" s="13"/>
      <c r="P549" s="13"/>
      <c r="Q549" s="13"/>
      <c r="R549" s="13"/>
      <c r="S549" s="13"/>
      <c r="T549" s="13"/>
      <c r="U549" s="13"/>
      <c r="V549" s="13"/>
      <c r="W549" s="13"/>
      <c r="X549" s="13"/>
      <c r="Y549" s="13"/>
      <c r="Z549" s="13"/>
      <c r="AA549" s="13"/>
    </row>
    <row r="550" spans="1:27" ht="17.399999999999999" x14ac:dyDescent="0.35">
      <c r="A550" s="13"/>
      <c r="B550" s="13"/>
      <c r="C550" s="13"/>
      <c r="D550" s="13"/>
      <c r="E550" s="13"/>
      <c r="F550" s="13"/>
      <c r="G550" s="13"/>
      <c r="H550" s="13"/>
      <c r="I550" s="13"/>
      <c r="J550" s="13"/>
      <c r="K550" s="13"/>
      <c r="L550" s="13"/>
      <c r="M550" s="13"/>
      <c r="N550" s="13"/>
      <c r="O550" s="13"/>
      <c r="P550" s="13"/>
      <c r="Q550" s="13"/>
      <c r="R550" s="13"/>
      <c r="S550" s="13"/>
      <c r="T550" s="13"/>
      <c r="U550" s="13"/>
      <c r="V550" s="13"/>
      <c r="W550" s="13"/>
      <c r="X550" s="13"/>
      <c r="Y550" s="13"/>
      <c r="Z550" s="13"/>
      <c r="AA550" s="13"/>
    </row>
    <row r="551" spans="1:27" ht="17.399999999999999" x14ac:dyDescent="0.35">
      <c r="A551" s="13"/>
      <c r="B551" s="13"/>
      <c r="C551" s="13"/>
      <c r="D551" s="13"/>
      <c r="E551" s="13"/>
      <c r="F551" s="13"/>
      <c r="G551" s="13"/>
      <c r="H551" s="13"/>
      <c r="I551" s="13"/>
      <c r="J551" s="13"/>
      <c r="K551" s="13"/>
      <c r="L551" s="13"/>
      <c r="M551" s="13"/>
      <c r="N551" s="13"/>
      <c r="O551" s="13"/>
      <c r="P551" s="13"/>
      <c r="Q551" s="13"/>
      <c r="R551" s="13"/>
      <c r="S551" s="13"/>
      <c r="T551" s="13"/>
      <c r="U551" s="13"/>
      <c r="V551" s="13"/>
      <c r="W551" s="13"/>
      <c r="X551" s="13"/>
      <c r="Y551" s="13"/>
      <c r="Z551" s="13"/>
      <c r="AA551" s="13"/>
    </row>
    <row r="552" spans="1:27" ht="17.399999999999999" x14ac:dyDescent="0.35">
      <c r="A552" s="13"/>
      <c r="B552" s="13"/>
      <c r="C552" s="13"/>
      <c r="D552" s="13"/>
      <c r="E552" s="13"/>
      <c r="F552" s="13"/>
      <c r="G552" s="13"/>
      <c r="H552" s="13"/>
      <c r="I552" s="13"/>
      <c r="J552" s="13"/>
      <c r="K552" s="13"/>
      <c r="L552" s="13"/>
      <c r="M552" s="13"/>
      <c r="N552" s="13"/>
      <c r="O552" s="13"/>
      <c r="P552" s="13"/>
      <c r="Q552" s="13"/>
      <c r="R552" s="13"/>
      <c r="S552" s="13"/>
      <c r="T552" s="13"/>
      <c r="U552" s="13"/>
      <c r="V552" s="13"/>
      <c r="W552" s="13"/>
      <c r="X552" s="13"/>
      <c r="Y552" s="13"/>
      <c r="Z552" s="13"/>
      <c r="AA552" s="13"/>
    </row>
    <row r="553" spans="1:27" ht="17.399999999999999" x14ac:dyDescent="0.35">
      <c r="A553" s="13"/>
      <c r="B553" s="13"/>
      <c r="C553" s="13"/>
      <c r="D553" s="13"/>
      <c r="E553" s="13"/>
      <c r="F553" s="13"/>
      <c r="G553" s="13"/>
      <c r="H553" s="13"/>
      <c r="I553" s="13"/>
      <c r="J553" s="13"/>
      <c r="K553" s="13"/>
      <c r="L553" s="13"/>
      <c r="M553" s="13"/>
      <c r="N553" s="13"/>
      <c r="O553" s="13"/>
      <c r="P553" s="13"/>
      <c r="Q553" s="13"/>
      <c r="R553" s="13"/>
      <c r="S553" s="13"/>
      <c r="T553" s="13"/>
      <c r="U553" s="13"/>
      <c r="V553" s="13"/>
      <c r="W553" s="13"/>
      <c r="X553" s="13"/>
      <c r="Y553" s="13"/>
      <c r="Z553" s="13"/>
      <c r="AA553" s="13"/>
    </row>
    <row r="554" spans="1:27" ht="17.399999999999999" x14ac:dyDescent="0.35">
      <c r="A554" s="13"/>
      <c r="B554" s="13"/>
      <c r="C554" s="13"/>
      <c r="D554" s="13"/>
      <c r="E554" s="13"/>
      <c r="F554" s="13"/>
      <c r="G554" s="13"/>
      <c r="H554" s="13"/>
      <c r="I554" s="13"/>
      <c r="J554" s="13"/>
      <c r="K554" s="13"/>
      <c r="L554" s="13"/>
      <c r="M554" s="13"/>
      <c r="N554" s="13"/>
      <c r="O554" s="13"/>
      <c r="P554" s="13"/>
      <c r="Q554" s="13"/>
      <c r="R554" s="13"/>
      <c r="S554" s="13"/>
      <c r="T554" s="13"/>
      <c r="U554" s="13"/>
      <c r="V554" s="13"/>
      <c r="W554" s="13"/>
      <c r="X554" s="13"/>
      <c r="Y554" s="13"/>
      <c r="Z554" s="13"/>
      <c r="AA554" s="13"/>
    </row>
    <row r="555" spans="1:27" ht="17.399999999999999" x14ac:dyDescent="0.35">
      <c r="A555" s="13"/>
      <c r="B555" s="13"/>
      <c r="C555" s="13"/>
      <c r="D555" s="13"/>
      <c r="E555" s="13"/>
      <c r="F555" s="13"/>
      <c r="G555" s="13"/>
      <c r="H555" s="13"/>
      <c r="I555" s="13"/>
      <c r="J555" s="13"/>
      <c r="K555" s="13"/>
      <c r="L555" s="13"/>
      <c r="M555" s="13"/>
      <c r="N555" s="13"/>
      <c r="O555" s="13"/>
      <c r="P555" s="13"/>
      <c r="Q555" s="13"/>
      <c r="R555" s="13"/>
      <c r="S555" s="13"/>
      <c r="T555" s="13"/>
      <c r="U555" s="13"/>
      <c r="V555" s="13"/>
      <c r="W555" s="13"/>
      <c r="X555" s="13"/>
      <c r="Y555" s="13"/>
      <c r="Z555" s="13"/>
      <c r="AA555" s="13"/>
    </row>
    <row r="556" spans="1:27" ht="17.399999999999999" x14ac:dyDescent="0.35">
      <c r="A556" s="13"/>
      <c r="B556" s="13"/>
      <c r="C556" s="13"/>
      <c r="D556" s="13"/>
      <c r="E556" s="13"/>
      <c r="F556" s="13"/>
      <c r="G556" s="13"/>
      <c r="H556" s="13"/>
      <c r="I556" s="13"/>
      <c r="J556" s="13"/>
      <c r="K556" s="13"/>
      <c r="L556" s="13"/>
      <c r="M556" s="13"/>
      <c r="N556" s="13"/>
      <c r="O556" s="13"/>
      <c r="P556" s="13"/>
      <c r="Q556" s="13"/>
      <c r="R556" s="13"/>
      <c r="S556" s="13"/>
      <c r="T556" s="13"/>
      <c r="U556" s="13"/>
      <c r="V556" s="13"/>
      <c r="W556" s="13"/>
      <c r="X556" s="13"/>
      <c r="Y556" s="13"/>
      <c r="Z556" s="13"/>
      <c r="AA556" s="13"/>
    </row>
    <row r="557" spans="1:27" ht="17.399999999999999" x14ac:dyDescent="0.35">
      <c r="A557" s="13"/>
      <c r="B557" s="13"/>
      <c r="C557" s="13"/>
      <c r="D557" s="13"/>
      <c r="E557" s="13"/>
      <c r="F557" s="13"/>
      <c r="G557" s="13"/>
      <c r="H557" s="13"/>
      <c r="I557" s="13"/>
      <c r="J557" s="13"/>
      <c r="K557" s="13"/>
      <c r="L557" s="13"/>
      <c r="M557" s="13"/>
      <c r="N557" s="13"/>
      <c r="O557" s="13"/>
      <c r="P557" s="13"/>
      <c r="Q557" s="13"/>
      <c r="R557" s="13"/>
      <c r="S557" s="13"/>
      <c r="T557" s="13"/>
      <c r="U557" s="13"/>
      <c r="V557" s="13"/>
      <c r="W557" s="13"/>
      <c r="X557" s="13"/>
      <c r="Y557" s="13"/>
      <c r="Z557" s="13"/>
      <c r="AA557" s="13"/>
    </row>
    <row r="558" spans="1:27" ht="17.399999999999999" x14ac:dyDescent="0.35">
      <c r="A558" s="13"/>
      <c r="B558" s="13"/>
      <c r="C558" s="13"/>
      <c r="D558" s="13"/>
      <c r="E558" s="13"/>
      <c r="F558" s="13"/>
      <c r="G558" s="13"/>
      <c r="H558" s="13"/>
      <c r="I558" s="13"/>
      <c r="J558" s="13"/>
      <c r="K558" s="13"/>
      <c r="L558" s="13"/>
      <c r="M558" s="13"/>
      <c r="N558" s="13"/>
      <c r="O558" s="13"/>
      <c r="P558" s="13"/>
      <c r="Q558" s="13"/>
      <c r="R558" s="13"/>
      <c r="S558" s="13"/>
      <c r="T558" s="13"/>
      <c r="U558" s="13"/>
      <c r="V558" s="13"/>
      <c r="W558" s="13"/>
      <c r="X558" s="13"/>
      <c r="Y558" s="13"/>
      <c r="Z558" s="13"/>
      <c r="AA558" s="13"/>
    </row>
    <row r="559" spans="1:27" ht="17.399999999999999" x14ac:dyDescent="0.35">
      <c r="A559" s="13"/>
      <c r="B559" s="13"/>
      <c r="C559" s="13"/>
      <c r="D559" s="13"/>
      <c r="E559" s="13"/>
      <c r="F559" s="13"/>
      <c r="G559" s="13"/>
      <c r="H559" s="13"/>
      <c r="I559" s="13"/>
      <c r="J559" s="13"/>
      <c r="K559" s="13"/>
      <c r="L559" s="13"/>
      <c r="M559" s="13"/>
      <c r="N559" s="13"/>
      <c r="O559" s="13"/>
      <c r="P559" s="13"/>
      <c r="Q559" s="13"/>
      <c r="R559" s="13"/>
      <c r="S559" s="13"/>
      <c r="T559" s="13"/>
      <c r="U559" s="13"/>
      <c r="V559" s="13"/>
      <c r="W559" s="13"/>
      <c r="X559" s="13"/>
      <c r="Y559" s="13"/>
      <c r="Z559" s="13"/>
      <c r="AA559" s="13"/>
    </row>
    <row r="560" spans="1:27" ht="17.399999999999999" x14ac:dyDescent="0.35">
      <c r="A560" s="13"/>
      <c r="B560" s="13"/>
      <c r="C560" s="13"/>
      <c r="D560" s="13"/>
      <c r="E560" s="13"/>
      <c r="F560" s="13"/>
      <c r="G560" s="13"/>
      <c r="H560" s="13"/>
      <c r="I560" s="13"/>
      <c r="J560" s="13"/>
      <c r="K560" s="13"/>
      <c r="L560" s="13"/>
      <c r="M560" s="13"/>
      <c r="N560" s="13"/>
      <c r="O560" s="13"/>
      <c r="P560" s="13"/>
      <c r="Q560" s="13"/>
      <c r="R560" s="13"/>
      <c r="S560" s="13"/>
      <c r="T560" s="13"/>
      <c r="U560" s="13"/>
      <c r="V560" s="13"/>
      <c r="W560" s="13"/>
      <c r="X560" s="13"/>
      <c r="Y560" s="13"/>
      <c r="Z560" s="13"/>
      <c r="AA560" s="13"/>
    </row>
    <row r="561" spans="1:27" ht="17.399999999999999" x14ac:dyDescent="0.35">
      <c r="A561" s="13"/>
      <c r="B561" s="13"/>
      <c r="C561" s="13"/>
      <c r="D561" s="13"/>
      <c r="E561" s="13"/>
      <c r="F561" s="13"/>
      <c r="G561" s="13"/>
      <c r="H561" s="13"/>
      <c r="I561" s="13"/>
      <c r="J561" s="13"/>
      <c r="K561" s="13"/>
      <c r="L561" s="13"/>
      <c r="M561" s="13"/>
      <c r="N561" s="13"/>
      <c r="O561" s="13"/>
      <c r="P561" s="13"/>
      <c r="Q561" s="13"/>
      <c r="R561" s="13"/>
      <c r="S561" s="13"/>
      <c r="T561" s="13"/>
      <c r="U561" s="13"/>
      <c r="V561" s="13"/>
      <c r="W561" s="13"/>
      <c r="X561" s="13"/>
      <c r="Y561" s="13"/>
      <c r="Z561" s="13"/>
      <c r="AA561" s="13"/>
    </row>
    <row r="562" spans="1:27" ht="17.399999999999999" x14ac:dyDescent="0.35">
      <c r="A562" s="13"/>
      <c r="B562" s="13"/>
      <c r="C562" s="13"/>
      <c r="D562" s="13"/>
      <c r="E562" s="13"/>
      <c r="F562" s="13"/>
      <c r="G562" s="13"/>
      <c r="H562" s="13"/>
      <c r="I562" s="13"/>
      <c r="J562" s="13"/>
      <c r="K562" s="13"/>
      <c r="L562" s="13"/>
      <c r="M562" s="13"/>
      <c r="N562" s="13"/>
      <c r="O562" s="13"/>
      <c r="P562" s="13"/>
      <c r="Q562" s="13"/>
      <c r="R562" s="13"/>
      <c r="S562" s="13"/>
      <c r="T562" s="13"/>
      <c r="U562" s="13"/>
      <c r="V562" s="13"/>
      <c r="W562" s="13"/>
      <c r="X562" s="13"/>
      <c r="Y562" s="13"/>
      <c r="Z562" s="13"/>
      <c r="AA562" s="13"/>
    </row>
    <row r="563" spans="1:27" ht="17.399999999999999" x14ac:dyDescent="0.35">
      <c r="A563" s="13"/>
      <c r="B563" s="13"/>
      <c r="C563" s="13"/>
      <c r="D563" s="13"/>
      <c r="E563" s="13"/>
      <c r="F563" s="13"/>
      <c r="G563" s="13"/>
      <c r="H563" s="13"/>
      <c r="I563" s="13"/>
      <c r="J563" s="13"/>
      <c r="K563" s="13"/>
      <c r="L563" s="13"/>
      <c r="M563" s="13"/>
      <c r="N563" s="13"/>
      <c r="O563" s="13"/>
      <c r="P563" s="13"/>
      <c r="Q563" s="13"/>
      <c r="R563" s="13"/>
      <c r="S563" s="13"/>
      <c r="T563" s="13"/>
      <c r="U563" s="13"/>
      <c r="V563" s="13"/>
      <c r="W563" s="13"/>
      <c r="X563" s="13"/>
      <c r="Y563" s="13"/>
      <c r="Z563" s="13"/>
      <c r="AA563" s="13"/>
    </row>
    <row r="564" spans="1:27" ht="17.399999999999999" x14ac:dyDescent="0.35">
      <c r="A564" s="13"/>
      <c r="B564" s="13"/>
      <c r="C564" s="13"/>
      <c r="D564" s="13"/>
      <c r="E564" s="13"/>
      <c r="F564" s="13"/>
      <c r="G564" s="13"/>
      <c r="H564" s="13"/>
      <c r="I564" s="13"/>
      <c r="J564" s="13"/>
      <c r="K564" s="13"/>
      <c r="L564" s="13"/>
      <c r="M564" s="13"/>
      <c r="N564" s="13"/>
      <c r="O564" s="13"/>
      <c r="P564" s="13"/>
      <c r="Q564" s="13"/>
      <c r="R564" s="13"/>
      <c r="S564" s="13"/>
      <c r="T564" s="13"/>
      <c r="U564" s="13"/>
      <c r="V564" s="13"/>
      <c r="W564" s="13"/>
      <c r="X564" s="13"/>
      <c r="Y564" s="13"/>
      <c r="Z564" s="13"/>
      <c r="AA564" s="13"/>
    </row>
    <row r="565" spans="1:27" ht="17.399999999999999" x14ac:dyDescent="0.35">
      <c r="A565" s="13"/>
      <c r="B565" s="13"/>
      <c r="C565" s="13"/>
      <c r="D565" s="13"/>
      <c r="E565" s="13"/>
      <c r="F565" s="13"/>
      <c r="G565" s="13"/>
      <c r="H565" s="13"/>
      <c r="I565" s="13"/>
      <c r="J565" s="13"/>
      <c r="K565" s="13"/>
      <c r="L565" s="13"/>
      <c r="M565" s="13"/>
      <c r="N565" s="13"/>
      <c r="O565" s="13"/>
      <c r="P565" s="13"/>
      <c r="Q565" s="13"/>
      <c r="R565" s="13"/>
      <c r="S565" s="13"/>
      <c r="T565" s="13"/>
      <c r="U565" s="13"/>
      <c r="V565" s="13"/>
      <c r="W565" s="13"/>
      <c r="X565" s="13"/>
      <c r="Y565" s="13"/>
      <c r="Z565" s="13"/>
      <c r="AA565" s="13"/>
    </row>
    <row r="566" spans="1:27" ht="17.399999999999999" x14ac:dyDescent="0.35">
      <c r="A566" s="13"/>
      <c r="B566" s="13"/>
      <c r="C566" s="13"/>
      <c r="D566" s="13"/>
      <c r="E566" s="13"/>
      <c r="F566" s="13"/>
      <c r="G566" s="13"/>
      <c r="H566" s="13"/>
      <c r="I566" s="13"/>
      <c r="J566" s="13"/>
      <c r="K566" s="13"/>
      <c r="L566" s="13"/>
      <c r="M566" s="13"/>
      <c r="N566" s="13"/>
      <c r="O566" s="13"/>
      <c r="P566" s="13"/>
      <c r="Q566" s="13"/>
      <c r="R566" s="13"/>
      <c r="S566" s="13"/>
      <c r="T566" s="13"/>
      <c r="U566" s="13"/>
      <c r="V566" s="13"/>
      <c r="W566" s="13"/>
      <c r="X566" s="13"/>
      <c r="Y566" s="13"/>
      <c r="Z566" s="13"/>
      <c r="AA566" s="13"/>
    </row>
    <row r="567" spans="1:27" ht="17.399999999999999" x14ac:dyDescent="0.35">
      <c r="A567" s="13"/>
      <c r="B567" s="13"/>
      <c r="C567" s="13"/>
      <c r="D567" s="13"/>
      <c r="E567" s="13"/>
      <c r="F567" s="13"/>
      <c r="G567" s="13"/>
      <c r="H567" s="13"/>
      <c r="I567" s="13"/>
      <c r="J567" s="13"/>
      <c r="K567" s="13"/>
      <c r="L567" s="13"/>
      <c r="M567" s="13"/>
      <c r="N567" s="13"/>
      <c r="O567" s="13"/>
      <c r="P567" s="13"/>
      <c r="Q567" s="13"/>
      <c r="R567" s="13"/>
      <c r="S567" s="13"/>
      <c r="T567" s="13"/>
      <c r="U567" s="13"/>
      <c r="V567" s="13"/>
      <c r="W567" s="13"/>
      <c r="X567" s="13"/>
      <c r="Y567" s="13"/>
      <c r="Z567" s="13"/>
      <c r="AA567" s="13"/>
    </row>
    <row r="568" spans="1:27" ht="17.399999999999999" x14ac:dyDescent="0.35">
      <c r="A568" s="13"/>
      <c r="B568" s="13"/>
      <c r="C568" s="13"/>
      <c r="D568" s="13"/>
      <c r="E568" s="13"/>
      <c r="F568" s="13"/>
      <c r="G568" s="13"/>
      <c r="H568" s="13"/>
      <c r="I568" s="13"/>
      <c r="J568" s="13"/>
      <c r="K568" s="13"/>
      <c r="L568" s="13"/>
      <c r="M568" s="13"/>
      <c r="N568" s="13"/>
      <c r="O568" s="13"/>
      <c r="P568" s="13"/>
      <c r="Q568" s="13"/>
      <c r="R568" s="13"/>
      <c r="S568" s="13"/>
      <c r="T568" s="13"/>
      <c r="U568" s="13"/>
      <c r="V568" s="13"/>
      <c r="W568" s="13"/>
      <c r="X568" s="13"/>
      <c r="Y568" s="13"/>
      <c r="Z568" s="13"/>
      <c r="AA568" s="13"/>
    </row>
    <row r="569" spans="1:27" ht="17.399999999999999" x14ac:dyDescent="0.35">
      <c r="A569" s="13"/>
      <c r="B569" s="13"/>
      <c r="C569" s="13"/>
      <c r="D569" s="13"/>
      <c r="E569" s="13"/>
      <c r="F569" s="13"/>
      <c r="G569" s="13"/>
      <c r="H569" s="13"/>
      <c r="I569" s="13"/>
      <c r="J569" s="13"/>
      <c r="K569" s="13"/>
      <c r="L569" s="13"/>
      <c r="M569" s="13"/>
      <c r="N569" s="13"/>
      <c r="O569" s="13"/>
      <c r="P569" s="13"/>
      <c r="Q569" s="13"/>
      <c r="R569" s="13"/>
      <c r="S569" s="13"/>
      <c r="T569" s="13"/>
      <c r="U569" s="13"/>
      <c r="V569" s="13"/>
      <c r="W569" s="13"/>
      <c r="X569" s="13"/>
      <c r="Y569" s="13"/>
      <c r="Z569" s="13"/>
      <c r="AA569" s="13"/>
    </row>
    <row r="570" spans="1:27" ht="17.399999999999999" x14ac:dyDescent="0.35">
      <c r="A570" s="13"/>
      <c r="B570" s="13"/>
      <c r="C570" s="13"/>
      <c r="D570" s="13"/>
      <c r="E570" s="13"/>
      <c r="F570" s="13"/>
      <c r="G570" s="13"/>
      <c r="H570" s="13"/>
      <c r="I570" s="13"/>
      <c r="J570" s="13"/>
      <c r="K570" s="13"/>
      <c r="L570" s="13"/>
      <c r="M570" s="13"/>
      <c r="N570" s="13"/>
      <c r="O570" s="13"/>
      <c r="P570" s="13"/>
      <c r="Q570" s="13"/>
      <c r="R570" s="13"/>
      <c r="S570" s="13"/>
      <c r="T570" s="13"/>
      <c r="U570" s="13"/>
      <c r="V570" s="13"/>
      <c r="W570" s="13"/>
      <c r="X570" s="13"/>
      <c r="Y570" s="13"/>
      <c r="Z570" s="13"/>
      <c r="AA570" s="13"/>
    </row>
    <row r="571" spans="1:27" ht="17.399999999999999" x14ac:dyDescent="0.35">
      <c r="A571" s="13"/>
      <c r="B571" s="13"/>
      <c r="C571" s="13"/>
      <c r="D571" s="13"/>
      <c r="E571" s="13"/>
      <c r="F571" s="13"/>
      <c r="G571" s="13"/>
      <c r="H571" s="13"/>
      <c r="I571" s="13"/>
      <c r="J571" s="13"/>
      <c r="K571" s="13"/>
      <c r="L571" s="13"/>
      <c r="M571" s="13"/>
      <c r="N571" s="13"/>
      <c r="O571" s="13"/>
      <c r="P571" s="13"/>
      <c r="Q571" s="13"/>
      <c r="R571" s="13"/>
      <c r="S571" s="13"/>
      <c r="T571" s="13"/>
      <c r="U571" s="13"/>
      <c r="V571" s="13"/>
      <c r="W571" s="13"/>
      <c r="X571" s="13"/>
      <c r="Y571" s="13"/>
      <c r="Z571" s="13"/>
      <c r="AA571" s="13"/>
    </row>
    <row r="572" spans="1:27" ht="17.399999999999999" x14ac:dyDescent="0.35">
      <c r="A572" s="13"/>
      <c r="B572" s="13"/>
      <c r="C572" s="13"/>
      <c r="D572" s="13"/>
      <c r="E572" s="13"/>
      <c r="F572" s="13"/>
      <c r="G572" s="13"/>
      <c r="H572" s="13"/>
      <c r="I572" s="13"/>
      <c r="J572" s="13"/>
      <c r="K572" s="13"/>
      <c r="L572" s="13"/>
      <c r="M572" s="13"/>
      <c r="N572" s="13"/>
      <c r="O572" s="13"/>
      <c r="P572" s="13"/>
      <c r="Q572" s="13"/>
      <c r="R572" s="13"/>
      <c r="S572" s="13"/>
      <c r="T572" s="13"/>
      <c r="U572" s="13"/>
      <c r="V572" s="13"/>
      <c r="W572" s="13"/>
      <c r="X572" s="13"/>
      <c r="Y572" s="13"/>
      <c r="Z572" s="13"/>
      <c r="AA572" s="13"/>
    </row>
    <row r="573" spans="1:27" ht="17.399999999999999" x14ac:dyDescent="0.35">
      <c r="A573" s="13"/>
      <c r="B573" s="13"/>
      <c r="C573" s="13"/>
      <c r="D573" s="13"/>
      <c r="E573" s="13"/>
      <c r="F573" s="13"/>
      <c r="G573" s="13"/>
      <c r="H573" s="13"/>
      <c r="I573" s="13"/>
      <c r="J573" s="13"/>
      <c r="K573" s="13"/>
      <c r="L573" s="13"/>
      <c r="M573" s="13"/>
      <c r="N573" s="13"/>
      <c r="O573" s="13"/>
      <c r="P573" s="13"/>
      <c r="Q573" s="13"/>
      <c r="R573" s="13"/>
      <c r="S573" s="13"/>
      <c r="T573" s="13"/>
      <c r="U573" s="13"/>
      <c r="V573" s="13"/>
      <c r="W573" s="13"/>
      <c r="X573" s="13"/>
      <c r="Y573" s="13"/>
      <c r="Z573" s="13"/>
      <c r="AA573" s="13"/>
    </row>
    <row r="574" spans="1:27" ht="17.399999999999999" x14ac:dyDescent="0.35">
      <c r="A574" s="13"/>
      <c r="B574" s="13"/>
      <c r="C574" s="13"/>
      <c r="D574" s="13"/>
      <c r="E574" s="13"/>
      <c r="F574" s="13"/>
      <c r="G574" s="13"/>
      <c r="H574" s="13"/>
      <c r="I574" s="13"/>
      <c r="J574" s="13"/>
      <c r="K574" s="13"/>
      <c r="L574" s="13"/>
      <c r="M574" s="13"/>
      <c r="N574" s="13"/>
      <c r="O574" s="13"/>
      <c r="P574" s="13"/>
      <c r="Q574" s="13"/>
      <c r="R574" s="13"/>
      <c r="S574" s="13"/>
      <c r="T574" s="13"/>
      <c r="U574" s="13"/>
      <c r="V574" s="13"/>
      <c r="W574" s="13"/>
      <c r="X574" s="13"/>
      <c r="Y574" s="13"/>
      <c r="Z574" s="13"/>
      <c r="AA574" s="13"/>
    </row>
    <row r="575" spans="1:27" ht="17.399999999999999" x14ac:dyDescent="0.35">
      <c r="A575" s="13"/>
      <c r="B575" s="13"/>
      <c r="C575" s="13"/>
      <c r="D575" s="13"/>
      <c r="E575" s="13"/>
      <c r="F575" s="13"/>
      <c r="G575" s="13"/>
      <c r="H575" s="13"/>
      <c r="I575" s="13"/>
      <c r="J575" s="13"/>
      <c r="K575" s="13"/>
      <c r="L575" s="13"/>
      <c r="M575" s="13"/>
      <c r="N575" s="13"/>
      <c r="O575" s="13"/>
      <c r="P575" s="13"/>
      <c r="Q575" s="13"/>
      <c r="R575" s="13"/>
      <c r="S575" s="13"/>
      <c r="T575" s="13"/>
      <c r="U575" s="13"/>
      <c r="V575" s="13"/>
      <c r="W575" s="13"/>
      <c r="X575" s="13"/>
      <c r="Y575" s="13"/>
      <c r="Z575" s="13"/>
      <c r="AA575" s="13"/>
    </row>
    <row r="576" spans="1:27" ht="17.399999999999999" x14ac:dyDescent="0.35">
      <c r="A576" s="13"/>
      <c r="B576" s="13"/>
      <c r="C576" s="13"/>
      <c r="D576" s="13"/>
      <c r="E576" s="13"/>
      <c r="F576" s="13"/>
      <c r="G576" s="13"/>
      <c r="H576" s="13"/>
      <c r="I576" s="13"/>
      <c r="J576" s="13"/>
      <c r="K576" s="13"/>
      <c r="L576" s="13"/>
      <c r="M576" s="13"/>
      <c r="N576" s="13"/>
      <c r="O576" s="13"/>
      <c r="P576" s="13"/>
      <c r="Q576" s="13"/>
      <c r="R576" s="13"/>
      <c r="S576" s="13"/>
      <c r="T576" s="13"/>
      <c r="U576" s="13"/>
      <c r="V576" s="13"/>
      <c r="W576" s="13"/>
      <c r="X576" s="13"/>
      <c r="Y576" s="13"/>
      <c r="Z576" s="13"/>
      <c r="AA576" s="13"/>
    </row>
    <row r="577" spans="1:27" ht="17.399999999999999" x14ac:dyDescent="0.35">
      <c r="A577" s="13"/>
      <c r="B577" s="13"/>
      <c r="C577" s="13"/>
      <c r="D577" s="13"/>
      <c r="E577" s="13"/>
      <c r="F577" s="13"/>
      <c r="G577" s="13"/>
      <c r="H577" s="13"/>
      <c r="I577" s="13"/>
      <c r="J577" s="13"/>
      <c r="K577" s="13"/>
      <c r="L577" s="13"/>
      <c r="M577" s="13"/>
      <c r="N577" s="13"/>
      <c r="O577" s="13"/>
      <c r="P577" s="13"/>
      <c r="Q577" s="13"/>
      <c r="R577" s="13"/>
      <c r="S577" s="13"/>
      <c r="T577" s="13"/>
      <c r="U577" s="13"/>
      <c r="V577" s="13"/>
      <c r="W577" s="13"/>
      <c r="X577" s="13"/>
      <c r="Y577" s="13"/>
      <c r="Z577" s="13"/>
      <c r="AA577" s="13"/>
    </row>
    <row r="578" spans="1:27" ht="17.399999999999999" x14ac:dyDescent="0.35">
      <c r="A578" s="13"/>
      <c r="B578" s="13"/>
      <c r="C578" s="13"/>
      <c r="D578" s="13"/>
      <c r="E578" s="13"/>
      <c r="F578" s="13"/>
      <c r="G578" s="13"/>
      <c r="H578" s="13"/>
      <c r="I578" s="13"/>
      <c r="J578" s="13"/>
      <c r="K578" s="13"/>
      <c r="L578" s="13"/>
      <c r="M578" s="13"/>
      <c r="N578" s="13"/>
      <c r="O578" s="13"/>
      <c r="P578" s="13"/>
      <c r="Q578" s="13"/>
      <c r="R578" s="13"/>
      <c r="S578" s="13"/>
      <c r="T578" s="13"/>
      <c r="U578" s="13"/>
      <c r="V578" s="13"/>
      <c r="W578" s="13"/>
      <c r="X578" s="13"/>
      <c r="Y578" s="13"/>
      <c r="Z578" s="13"/>
      <c r="AA578" s="13"/>
    </row>
    <row r="579" spans="1:27" ht="17.399999999999999" x14ac:dyDescent="0.35">
      <c r="A579" s="13"/>
      <c r="B579" s="13"/>
      <c r="C579" s="13"/>
      <c r="D579" s="13"/>
      <c r="E579" s="13"/>
      <c r="F579" s="13"/>
      <c r="G579" s="13"/>
      <c r="H579" s="13"/>
      <c r="I579" s="13"/>
      <c r="J579" s="13"/>
      <c r="K579" s="13"/>
      <c r="L579" s="13"/>
      <c r="M579" s="13"/>
      <c r="N579" s="13"/>
      <c r="O579" s="13"/>
      <c r="P579" s="13"/>
      <c r="Q579" s="13"/>
      <c r="R579" s="13"/>
      <c r="S579" s="13"/>
      <c r="T579" s="13"/>
      <c r="U579" s="13"/>
      <c r="V579" s="13"/>
      <c r="W579" s="13"/>
      <c r="X579" s="13"/>
      <c r="Y579" s="13"/>
      <c r="Z579" s="13"/>
      <c r="AA579" s="13"/>
    </row>
    <row r="580" spans="1:27" ht="17.399999999999999" x14ac:dyDescent="0.35">
      <c r="A580" s="13"/>
      <c r="B580" s="13"/>
      <c r="C580" s="13"/>
      <c r="D580" s="13"/>
      <c r="E580" s="13"/>
      <c r="F580" s="13"/>
      <c r="G580" s="13"/>
      <c r="H580" s="13"/>
      <c r="I580" s="13"/>
      <c r="J580" s="13"/>
      <c r="K580" s="13"/>
      <c r="L580" s="13"/>
      <c r="M580" s="13"/>
      <c r="N580" s="13"/>
      <c r="O580" s="13"/>
      <c r="P580" s="13"/>
      <c r="Q580" s="13"/>
      <c r="R580" s="13"/>
      <c r="S580" s="13"/>
      <c r="T580" s="13"/>
      <c r="U580" s="13"/>
      <c r="V580" s="13"/>
      <c r="W580" s="13"/>
      <c r="X580" s="13"/>
      <c r="Y580" s="13"/>
      <c r="Z580" s="13"/>
      <c r="AA580" s="13"/>
    </row>
    <row r="581" spans="1:27" ht="17.399999999999999" x14ac:dyDescent="0.35">
      <c r="A581" s="13"/>
      <c r="B581" s="13"/>
      <c r="C581" s="13"/>
      <c r="D581" s="13"/>
      <c r="E581" s="13"/>
      <c r="F581" s="13"/>
      <c r="G581" s="13"/>
      <c r="H581" s="13"/>
      <c r="I581" s="13"/>
      <c r="J581" s="13"/>
      <c r="K581" s="13"/>
      <c r="L581" s="13"/>
      <c r="M581" s="13"/>
      <c r="N581" s="13"/>
      <c r="O581" s="13"/>
      <c r="P581" s="13"/>
      <c r="Q581" s="13"/>
      <c r="R581" s="13"/>
      <c r="S581" s="13"/>
      <c r="T581" s="13"/>
      <c r="U581" s="13"/>
      <c r="V581" s="13"/>
      <c r="W581" s="13"/>
      <c r="X581" s="13"/>
      <c r="Y581" s="13"/>
      <c r="Z581" s="13"/>
      <c r="AA581" s="13"/>
    </row>
    <row r="582" spans="1:27" ht="17.399999999999999" x14ac:dyDescent="0.35">
      <c r="A582" s="13"/>
      <c r="B582" s="13"/>
      <c r="C582" s="13"/>
      <c r="D582" s="13"/>
      <c r="E582" s="13"/>
      <c r="F582" s="13"/>
      <c r="G582" s="13"/>
      <c r="H582" s="13"/>
      <c r="I582" s="13"/>
      <c r="J582" s="13"/>
      <c r="K582" s="13"/>
      <c r="L582" s="13"/>
      <c r="M582" s="13"/>
      <c r="N582" s="13"/>
      <c r="O582" s="13"/>
      <c r="P582" s="13"/>
      <c r="Q582" s="13"/>
      <c r="R582" s="13"/>
      <c r="S582" s="13"/>
      <c r="T582" s="13"/>
      <c r="U582" s="13"/>
      <c r="V582" s="13"/>
      <c r="W582" s="13"/>
      <c r="X582" s="13"/>
      <c r="Y582" s="13"/>
      <c r="Z582" s="13"/>
      <c r="AA582" s="13"/>
    </row>
    <row r="583" spans="1:27" ht="17.399999999999999" x14ac:dyDescent="0.35">
      <c r="A583" s="13"/>
      <c r="B583" s="13"/>
      <c r="C583" s="13"/>
      <c r="D583" s="13"/>
      <c r="E583" s="13"/>
      <c r="F583" s="13"/>
      <c r="G583" s="13"/>
      <c r="H583" s="13"/>
      <c r="I583" s="13"/>
      <c r="J583" s="13"/>
      <c r="K583" s="13"/>
      <c r="L583" s="13"/>
      <c r="M583" s="13"/>
      <c r="N583" s="13"/>
      <c r="O583" s="13"/>
      <c r="P583" s="13"/>
      <c r="Q583" s="13"/>
      <c r="R583" s="13"/>
      <c r="S583" s="13"/>
      <c r="T583" s="13"/>
      <c r="U583" s="13"/>
      <c r="V583" s="13"/>
      <c r="W583" s="13"/>
      <c r="X583" s="13"/>
      <c r="Y583" s="13"/>
      <c r="Z583" s="13"/>
      <c r="AA583" s="13"/>
    </row>
    <row r="584" spans="1:27" ht="17.399999999999999" x14ac:dyDescent="0.35">
      <c r="A584" s="13"/>
      <c r="B584" s="13"/>
      <c r="C584" s="13"/>
      <c r="D584" s="13"/>
      <c r="E584" s="13"/>
      <c r="F584" s="13"/>
      <c r="G584" s="13"/>
      <c r="H584" s="13"/>
      <c r="I584" s="13"/>
      <c r="J584" s="13"/>
      <c r="K584" s="13"/>
      <c r="L584" s="13"/>
      <c r="M584" s="13"/>
      <c r="N584" s="13"/>
      <c r="O584" s="13"/>
      <c r="P584" s="13"/>
      <c r="Q584" s="13"/>
      <c r="R584" s="13"/>
      <c r="S584" s="13"/>
      <c r="T584" s="13"/>
      <c r="U584" s="13"/>
      <c r="V584" s="13"/>
      <c r="W584" s="13"/>
      <c r="X584" s="13"/>
      <c r="Y584" s="13"/>
      <c r="Z584" s="13"/>
      <c r="AA584" s="13"/>
    </row>
    <row r="585" spans="1:27" ht="17.399999999999999" x14ac:dyDescent="0.35">
      <c r="A585" s="13"/>
      <c r="B585" s="13"/>
      <c r="C585" s="13"/>
      <c r="D585" s="13"/>
      <c r="E585" s="13"/>
      <c r="F585" s="13"/>
      <c r="G585" s="13"/>
      <c r="H585" s="13"/>
      <c r="I585" s="13"/>
      <c r="J585" s="13"/>
      <c r="K585" s="13"/>
      <c r="L585" s="13"/>
      <c r="M585" s="13"/>
      <c r="N585" s="13"/>
      <c r="O585" s="13"/>
      <c r="P585" s="13"/>
      <c r="Q585" s="13"/>
      <c r="R585" s="13"/>
      <c r="S585" s="13"/>
      <c r="T585" s="13"/>
      <c r="U585" s="13"/>
      <c r="V585" s="13"/>
      <c r="W585" s="13"/>
      <c r="X585" s="13"/>
      <c r="Y585" s="13"/>
      <c r="Z585" s="13"/>
      <c r="AA585" s="13"/>
    </row>
    <row r="586" spans="1:27" ht="17.399999999999999" x14ac:dyDescent="0.35">
      <c r="A586" s="13"/>
      <c r="B586" s="13"/>
      <c r="C586" s="13"/>
      <c r="D586" s="13"/>
      <c r="E586" s="13"/>
      <c r="F586" s="13"/>
      <c r="G586" s="13"/>
      <c r="H586" s="13"/>
      <c r="I586" s="13"/>
      <c r="J586" s="13"/>
      <c r="K586" s="13"/>
      <c r="L586" s="13"/>
      <c r="M586" s="13"/>
      <c r="N586" s="13"/>
      <c r="O586" s="13"/>
      <c r="P586" s="13"/>
      <c r="Q586" s="13"/>
      <c r="R586" s="13"/>
      <c r="S586" s="13"/>
      <c r="T586" s="13"/>
      <c r="U586" s="13"/>
      <c r="V586" s="13"/>
      <c r="W586" s="13"/>
      <c r="X586" s="13"/>
      <c r="Y586" s="13"/>
      <c r="Z586" s="13"/>
      <c r="AA586" s="13"/>
    </row>
    <row r="587" spans="1:27" ht="17.399999999999999" x14ac:dyDescent="0.35">
      <c r="A587" s="13"/>
      <c r="B587" s="13"/>
      <c r="C587" s="13"/>
      <c r="D587" s="13"/>
      <c r="E587" s="13"/>
      <c r="F587" s="13"/>
      <c r="G587" s="13"/>
      <c r="H587" s="13"/>
      <c r="I587" s="13"/>
      <c r="J587" s="13"/>
      <c r="K587" s="13"/>
      <c r="L587" s="13"/>
      <c r="M587" s="13"/>
      <c r="N587" s="13"/>
      <c r="O587" s="13"/>
      <c r="P587" s="13"/>
      <c r="Q587" s="13"/>
      <c r="R587" s="13"/>
      <c r="S587" s="13"/>
      <c r="T587" s="13"/>
      <c r="U587" s="13"/>
      <c r="V587" s="13"/>
      <c r="W587" s="13"/>
      <c r="X587" s="13"/>
      <c r="Y587" s="13"/>
      <c r="Z587" s="13"/>
      <c r="AA587" s="13"/>
    </row>
    <row r="588" spans="1:27" ht="17.399999999999999" x14ac:dyDescent="0.35">
      <c r="A588" s="13"/>
      <c r="B588" s="13"/>
      <c r="C588" s="13"/>
      <c r="D588" s="13"/>
      <c r="E588" s="13"/>
      <c r="F588" s="13"/>
      <c r="G588" s="13"/>
      <c r="H588" s="13"/>
      <c r="I588" s="13"/>
      <c r="J588" s="13"/>
      <c r="K588" s="13"/>
      <c r="L588" s="13"/>
      <c r="M588" s="13"/>
      <c r="N588" s="13"/>
      <c r="O588" s="13"/>
      <c r="P588" s="13"/>
      <c r="Q588" s="13"/>
      <c r="R588" s="13"/>
      <c r="S588" s="13"/>
      <c r="T588" s="13"/>
      <c r="U588" s="13"/>
      <c r="V588" s="13"/>
      <c r="W588" s="13"/>
      <c r="X588" s="13"/>
      <c r="Y588" s="13"/>
      <c r="Z588" s="13"/>
      <c r="AA588" s="13"/>
    </row>
    <row r="589" spans="1:27" ht="17.399999999999999" x14ac:dyDescent="0.35">
      <c r="A589" s="13"/>
      <c r="B589" s="13"/>
      <c r="C589" s="13"/>
      <c r="D589" s="13"/>
      <c r="E589" s="13"/>
      <c r="F589" s="13"/>
      <c r="G589" s="13"/>
      <c r="H589" s="13"/>
      <c r="I589" s="13"/>
      <c r="J589" s="13"/>
      <c r="K589" s="13"/>
      <c r="L589" s="13"/>
      <c r="M589" s="13"/>
      <c r="N589" s="13"/>
      <c r="O589" s="13"/>
      <c r="P589" s="13"/>
      <c r="Q589" s="13"/>
      <c r="R589" s="13"/>
      <c r="S589" s="13"/>
      <c r="T589" s="13"/>
      <c r="U589" s="13"/>
      <c r="V589" s="13"/>
      <c r="W589" s="13"/>
      <c r="X589" s="13"/>
      <c r="Y589" s="13"/>
      <c r="Z589" s="13"/>
      <c r="AA589" s="13"/>
    </row>
    <row r="590" spans="1:27" ht="17.399999999999999" x14ac:dyDescent="0.35">
      <c r="A590" s="13"/>
      <c r="B590" s="13"/>
      <c r="C590" s="13"/>
      <c r="D590" s="13"/>
      <c r="E590" s="13"/>
      <c r="F590" s="13"/>
      <c r="G590" s="13"/>
      <c r="H590" s="13"/>
      <c r="I590" s="13"/>
      <c r="J590" s="13"/>
      <c r="K590" s="13"/>
      <c r="L590" s="13"/>
      <c r="M590" s="13"/>
      <c r="N590" s="13"/>
      <c r="O590" s="13"/>
      <c r="P590" s="13"/>
      <c r="Q590" s="13"/>
      <c r="R590" s="13"/>
      <c r="S590" s="13"/>
      <c r="T590" s="13"/>
      <c r="U590" s="13"/>
      <c r="V590" s="13"/>
      <c r="W590" s="13"/>
      <c r="X590" s="13"/>
      <c r="Y590" s="13"/>
      <c r="Z590" s="13"/>
      <c r="AA590" s="13"/>
    </row>
    <row r="591" spans="1:27" ht="17.399999999999999" x14ac:dyDescent="0.35">
      <c r="A591" s="13"/>
      <c r="B591" s="13"/>
      <c r="C591" s="13"/>
      <c r="D591" s="13"/>
      <c r="E591" s="13"/>
      <c r="F591" s="13"/>
      <c r="G591" s="13"/>
      <c r="H591" s="13"/>
      <c r="I591" s="13"/>
      <c r="J591" s="13"/>
      <c r="K591" s="13"/>
      <c r="L591" s="13"/>
      <c r="M591" s="13"/>
      <c r="N591" s="13"/>
      <c r="O591" s="13"/>
      <c r="P591" s="13"/>
      <c r="Q591" s="13"/>
      <c r="R591" s="13"/>
      <c r="S591" s="13"/>
      <c r="T591" s="13"/>
      <c r="U591" s="13"/>
      <c r="V591" s="13"/>
      <c r="W591" s="13"/>
      <c r="X591" s="13"/>
      <c r="Y591" s="13"/>
      <c r="Z591" s="13"/>
      <c r="AA591" s="13"/>
    </row>
    <row r="592" spans="1:27" ht="17.399999999999999" x14ac:dyDescent="0.35">
      <c r="A592" s="13"/>
      <c r="B592" s="13"/>
      <c r="C592" s="13"/>
      <c r="D592" s="13"/>
      <c r="E592" s="13"/>
      <c r="F592" s="13"/>
      <c r="G592" s="13"/>
      <c r="H592" s="13"/>
      <c r="I592" s="13"/>
      <c r="J592" s="13"/>
      <c r="K592" s="13"/>
      <c r="L592" s="13"/>
      <c r="M592" s="13"/>
      <c r="N592" s="13"/>
      <c r="O592" s="13"/>
      <c r="P592" s="13"/>
      <c r="Q592" s="13"/>
      <c r="R592" s="13"/>
      <c r="S592" s="13"/>
      <c r="T592" s="13"/>
      <c r="U592" s="13"/>
      <c r="V592" s="13"/>
      <c r="W592" s="13"/>
      <c r="X592" s="13"/>
      <c r="Y592" s="13"/>
      <c r="Z592" s="13"/>
      <c r="AA592" s="13"/>
    </row>
    <row r="593" spans="1:27" ht="17.399999999999999" x14ac:dyDescent="0.35">
      <c r="A593" s="13"/>
      <c r="B593" s="13"/>
      <c r="C593" s="13"/>
      <c r="D593" s="13"/>
      <c r="E593" s="13"/>
      <c r="F593" s="13"/>
      <c r="G593" s="13"/>
      <c r="H593" s="13"/>
      <c r="I593" s="13"/>
      <c r="J593" s="13"/>
      <c r="K593" s="13"/>
      <c r="L593" s="13"/>
      <c r="M593" s="13"/>
      <c r="N593" s="13"/>
      <c r="O593" s="13"/>
      <c r="P593" s="13"/>
      <c r="Q593" s="13"/>
      <c r="R593" s="13"/>
      <c r="S593" s="13"/>
      <c r="T593" s="13"/>
      <c r="U593" s="13"/>
      <c r="V593" s="13"/>
      <c r="W593" s="13"/>
      <c r="X593" s="13"/>
      <c r="Y593" s="13"/>
      <c r="Z593" s="13"/>
      <c r="AA593" s="13"/>
    </row>
    <row r="594" spans="1:27" ht="17.399999999999999" x14ac:dyDescent="0.35">
      <c r="A594" s="13"/>
      <c r="B594" s="13"/>
      <c r="C594" s="13"/>
      <c r="D594" s="13"/>
      <c r="E594" s="13"/>
      <c r="F594" s="13"/>
      <c r="G594" s="13"/>
      <c r="H594" s="13"/>
      <c r="I594" s="13"/>
      <c r="J594" s="13"/>
      <c r="K594" s="13"/>
      <c r="L594" s="13"/>
      <c r="M594" s="13"/>
      <c r="N594" s="13"/>
      <c r="O594" s="13"/>
      <c r="P594" s="13"/>
      <c r="Q594" s="13"/>
      <c r="R594" s="13"/>
      <c r="S594" s="13"/>
      <c r="T594" s="13"/>
      <c r="U594" s="13"/>
      <c r="V594" s="13"/>
      <c r="W594" s="13"/>
      <c r="X594" s="13"/>
      <c r="Y594" s="13"/>
      <c r="Z594" s="13"/>
      <c r="AA594" s="13"/>
    </row>
    <row r="595" spans="1:27" ht="17.399999999999999" x14ac:dyDescent="0.35">
      <c r="A595" s="13"/>
      <c r="B595" s="13"/>
      <c r="C595" s="13"/>
      <c r="D595" s="13"/>
      <c r="E595" s="13"/>
      <c r="F595" s="13"/>
      <c r="G595" s="13"/>
      <c r="H595" s="13"/>
      <c r="I595" s="13"/>
      <c r="J595" s="13"/>
      <c r="K595" s="13"/>
      <c r="L595" s="13"/>
      <c r="M595" s="13"/>
      <c r="N595" s="13"/>
      <c r="O595" s="13"/>
      <c r="P595" s="13"/>
      <c r="Q595" s="13"/>
      <c r="R595" s="13"/>
      <c r="S595" s="13"/>
      <c r="T595" s="13"/>
      <c r="U595" s="13"/>
      <c r="V595" s="13"/>
      <c r="W595" s="13"/>
      <c r="X595" s="13"/>
      <c r="Y595" s="13"/>
      <c r="Z595" s="13"/>
      <c r="AA595" s="13"/>
    </row>
    <row r="596" spans="1:27" ht="17.399999999999999" x14ac:dyDescent="0.35">
      <c r="A596" s="13"/>
      <c r="B596" s="13"/>
      <c r="C596" s="13"/>
      <c r="D596" s="13"/>
      <c r="E596" s="13"/>
      <c r="F596" s="13"/>
      <c r="G596" s="13"/>
      <c r="H596" s="13"/>
      <c r="I596" s="13"/>
      <c r="J596" s="13"/>
      <c r="K596" s="13"/>
      <c r="L596" s="13"/>
      <c r="M596" s="13"/>
      <c r="N596" s="13"/>
      <c r="O596" s="13"/>
      <c r="P596" s="13"/>
      <c r="Q596" s="13"/>
      <c r="R596" s="13"/>
      <c r="S596" s="13"/>
      <c r="T596" s="13"/>
      <c r="U596" s="13"/>
      <c r="V596" s="13"/>
      <c r="W596" s="13"/>
      <c r="X596" s="13"/>
      <c r="Y596" s="13"/>
      <c r="Z596" s="13"/>
      <c r="AA596" s="13"/>
    </row>
    <row r="597" spans="1:27" ht="17.399999999999999" x14ac:dyDescent="0.35">
      <c r="A597" s="13"/>
      <c r="B597" s="13"/>
      <c r="C597" s="13"/>
      <c r="D597" s="13"/>
      <c r="E597" s="13"/>
      <c r="F597" s="13"/>
      <c r="G597" s="13"/>
      <c r="H597" s="13"/>
      <c r="I597" s="13"/>
      <c r="J597" s="13"/>
      <c r="K597" s="13"/>
      <c r="L597" s="13"/>
      <c r="M597" s="13"/>
      <c r="N597" s="13"/>
      <c r="O597" s="13"/>
      <c r="P597" s="13"/>
      <c r="Q597" s="13"/>
      <c r="R597" s="13"/>
      <c r="S597" s="13"/>
      <c r="T597" s="13"/>
      <c r="U597" s="13"/>
      <c r="V597" s="13"/>
      <c r="W597" s="13"/>
      <c r="X597" s="13"/>
      <c r="Y597" s="13"/>
      <c r="Z597" s="13"/>
      <c r="AA597" s="13"/>
    </row>
    <row r="598" spans="1:27" ht="17.399999999999999" x14ac:dyDescent="0.35">
      <c r="A598" s="13"/>
      <c r="B598" s="13"/>
      <c r="C598" s="13"/>
      <c r="D598" s="13"/>
      <c r="E598" s="13"/>
      <c r="F598" s="13"/>
      <c r="G598" s="13"/>
      <c r="H598" s="13"/>
      <c r="I598" s="13"/>
      <c r="J598" s="13"/>
      <c r="K598" s="13"/>
      <c r="L598" s="13"/>
      <c r="M598" s="13"/>
      <c r="N598" s="13"/>
      <c r="O598" s="13"/>
      <c r="P598" s="13"/>
      <c r="Q598" s="13"/>
      <c r="R598" s="13"/>
      <c r="S598" s="13"/>
      <c r="T598" s="13"/>
      <c r="U598" s="13"/>
      <c r="V598" s="13"/>
      <c r="W598" s="13"/>
      <c r="X598" s="13"/>
      <c r="Y598" s="13"/>
      <c r="Z598" s="13"/>
      <c r="AA598" s="13"/>
    </row>
    <row r="599" spans="1:27" ht="17.399999999999999" x14ac:dyDescent="0.35">
      <c r="A599" s="13"/>
      <c r="B599" s="13"/>
      <c r="C599" s="13"/>
      <c r="D599" s="13"/>
      <c r="E599" s="13"/>
      <c r="F599" s="13"/>
      <c r="G599" s="13"/>
      <c r="H599" s="13"/>
      <c r="I599" s="13"/>
      <c r="J599" s="13"/>
      <c r="K599" s="13"/>
      <c r="L599" s="13"/>
      <c r="M599" s="13"/>
      <c r="N599" s="13"/>
      <c r="O599" s="13"/>
      <c r="P599" s="13"/>
      <c r="Q599" s="13"/>
      <c r="R599" s="13"/>
      <c r="S599" s="13"/>
      <c r="T599" s="13"/>
      <c r="U599" s="13"/>
      <c r="V599" s="13"/>
      <c r="W599" s="13"/>
      <c r="X599" s="13"/>
      <c r="Y599" s="13"/>
      <c r="Z599" s="13"/>
      <c r="AA599" s="13"/>
    </row>
    <row r="600" spans="1:27" ht="17.399999999999999" x14ac:dyDescent="0.35">
      <c r="A600" s="13"/>
      <c r="B600" s="13"/>
      <c r="C600" s="13"/>
      <c r="D600" s="13"/>
      <c r="E600" s="13"/>
      <c r="F600" s="13"/>
      <c r="G600" s="13"/>
      <c r="H600" s="13"/>
      <c r="I600" s="13"/>
      <c r="J600" s="13"/>
      <c r="K600" s="13"/>
      <c r="L600" s="13"/>
      <c r="M600" s="13"/>
      <c r="N600" s="13"/>
      <c r="O600" s="13"/>
      <c r="P600" s="13"/>
      <c r="Q600" s="13"/>
      <c r="R600" s="13"/>
      <c r="S600" s="13"/>
      <c r="T600" s="13"/>
      <c r="U600" s="13"/>
      <c r="V600" s="13"/>
      <c r="W600" s="13"/>
      <c r="X600" s="13"/>
      <c r="Y600" s="13"/>
      <c r="Z600" s="13"/>
      <c r="AA600" s="13"/>
    </row>
    <row r="601" spans="1:27" ht="17.399999999999999" x14ac:dyDescent="0.35">
      <c r="A601" s="13"/>
      <c r="B601" s="13"/>
      <c r="C601" s="13"/>
      <c r="D601" s="13"/>
      <c r="E601" s="13"/>
      <c r="F601" s="13"/>
      <c r="G601" s="13"/>
      <c r="H601" s="13"/>
      <c r="I601" s="13"/>
      <c r="J601" s="13"/>
      <c r="K601" s="13"/>
      <c r="L601" s="13"/>
      <c r="M601" s="13"/>
      <c r="N601" s="13"/>
      <c r="O601" s="13"/>
      <c r="P601" s="13"/>
      <c r="Q601" s="13"/>
      <c r="R601" s="13"/>
      <c r="S601" s="13"/>
      <c r="T601" s="13"/>
      <c r="U601" s="13"/>
      <c r="V601" s="13"/>
      <c r="W601" s="13"/>
      <c r="X601" s="13"/>
      <c r="Y601" s="13"/>
      <c r="Z601" s="13"/>
      <c r="AA601" s="13"/>
    </row>
    <row r="602" spans="1:27" ht="17.399999999999999" x14ac:dyDescent="0.35">
      <c r="A602" s="13"/>
      <c r="B602" s="13"/>
      <c r="C602" s="13"/>
      <c r="D602" s="13"/>
      <c r="E602" s="13"/>
      <c r="F602" s="13"/>
      <c r="G602" s="13"/>
      <c r="H602" s="13"/>
      <c r="I602" s="13"/>
      <c r="J602" s="13"/>
      <c r="K602" s="13"/>
      <c r="L602" s="13"/>
      <c r="M602" s="13"/>
      <c r="N602" s="13"/>
      <c r="O602" s="13"/>
      <c r="P602" s="13"/>
      <c r="Q602" s="13"/>
      <c r="R602" s="13"/>
      <c r="S602" s="13"/>
      <c r="T602" s="13"/>
      <c r="U602" s="13"/>
      <c r="V602" s="13"/>
      <c r="W602" s="13"/>
      <c r="X602" s="13"/>
      <c r="Y602" s="13"/>
      <c r="Z602" s="13"/>
      <c r="AA602" s="13"/>
    </row>
    <row r="603" spans="1:27" ht="17.399999999999999" x14ac:dyDescent="0.35">
      <c r="A603" s="13"/>
      <c r="B603" s="13"/>
      <c r="C603" s="13"/>
      <c r="D603" s="13"/>
      <c r="E603" s="13"/>
      <c r="F603" s="13"/>
      <c r="G603" s="13"/>
      <c r="H603" s="13"/>
      <c r="I603" s="13"/>
      <c r="J603" s="13"/>
      <c r="K603" s="13"/>
      <c r="L603" s="13"/>
      <c r="M603" s="13"/>
      <c r="N603" s="13"/>
      <c r="O603" s="13"/>
      <c r="P603" s="13"/>
      <c r="Q603" s="13"/>
      <c r="R603" s="13"/>
      <c r="S603" s="13"/>
      <c r="T603" s="13"/>
      <c r="U603" s="13"/>
      <c r="V603" s="13"/>
      <c r="W603" s="13"/>
      <c r="X603" s="13"/>
      <c r="Y603" s="13"/>
      <c r="Z603" s="13"/>
      <c r="AA603" s="13"/>
    </row>
    <row r="604" spans="1:27" ht="17.399999999999999" x14ac:dyDescent="0.35">
      <c r="A604" s="13"/>
      <c r="B604" s="13"/>
      <c r="C604" s="13"/>
      <c r="D604" s="13"/>
      <c r="E604" s="13"/>
      <c r="F604" s="13"/>
      <c r="G604" s="13"/>
      <c r="H604" s="13"/>
      <c r="I604" s="13"/>
      <c r="J604" s="13"/>
      <c r="K604" s="13"/>
      <c r="L604" s="13"/>
      <c r="M604" s="13"/>
      <c r="N604" s="13"/>
      <c r="O604" s="13"/>
      <c r="P604" s="13"/>
      <c r="Q604" s="13"/>
      <c r="R604" s="13"/>
      <c r="S604" s="13"/>
      <c r="T604" s="13"/>
      <c r="U604" s="13"/>
      <c r="V604" s="13"/>
      <c r="W604" s="13"/>
      <c r="X604" s="13"/>
      <c r="Y604" s="13"/>
      <c r="Z604" s="13"/>
      <c r="AA604" s="13"/>
    </row>
    <row r="605" spans="1:27" ht="17.399999999999999" x14ac:dyDescent="0.35">
      <c r="A605" s="13"/>
      <c r="B605" s="13"/>
      <c r="C605" s="13"/>
      <c r="D605" s="13"/>
      <c r="E605" s="13"/>
      <c r="F605" s="13"/>
      <c r="G605" s="13"/>
      <c r="H605" s="13"/>
      <c r="I605" s="13"/>
      <c r="J605" s="13"/>
      <c r="K605" s="13"/>
      <c r="L605" s="13"/>
      <c r="M605" s="13"/>
      <c r="N605" s="13"/>
      <c r="O605" s="13"/>
      <c r="P605" s="13"/>
      <c r="Q605" s="13"/>
      <c r="R605" s="13"/>
      <c r="S605" s="13"/>
      <c r="T605" s="13"/>
      <c r="U605" s="13"/>
      <c r="V605" s="13"/>
      <c r="W605" s="13"/>
      <c r="X605" s="13"/>
      <c r="Y605" s="13"/>
      <c r="Z605" s="13"/>
      <c r="AA605" s="13"/>
    </row>
    <row r="606" spans="1:27" ht="17.399999999999999" x14ac:dyDescent="0.35">
      <c r="A606" s="13"/>
      <c r="B606" s="13"/>
      <c r="C606" s="13"/>
      <c r="D606" s="13"/>
      <c r="E606" s="13"/>
      <c r="F606" s="13"/>
      <c r="G606" s="13"/>
      <c r="H606" s="13"/>
      <c r="I606" s="13"/>
      <c r="J606" s="13"/>
      <c r="K606" s="13"/>
      <c r="L606" s="13"/>
      <c r="M606" s="13"/>
      <c r="N606" s="13"/>
      <c r="O606" s="13"/>
      <c r="P606" s="13"/>
      <c r="Q606" s="13"/>
      <c r="R606" s="13"/>
      <c r="S606" s="13"/>
      <c r="T606" s="13"/>
      <c r="U606" s="13"/>
      <c r="V606" s="13"/>
      <c r="W606" s="13"/>
      <c r="X606" s="13"/>
      <c r="Y606" s="13"/>
      <c r="Z606" s="13"/>
      <c r="AA606" s="13"/>
    </row>
    <row r="607" spans="1:27" ht="17.399999999999999" x14ac:dyDescent="0.35">
      <c r="A607" s="13"/>
      <c r="B607" s="13"/>
      <c r="C607" s="13"/>
      <c r="D607" s="13"/>
      <c r="E607" s="13"/>
      <c r="F607" s="13"/>
      <c r="G607" s="13"/>
      <c r="H607" s="13"/>
      <c r="I607" s="13"/>
      <c r="J607" s="13"/>
      <c r="K607" s="13"/>
      <c r="L607" s="13"/>
      <c r="M607" s="13"/>
      <c r="N607" s="13"/>
      <c r="O607" s="13"/>
      <c r="P607" s="13"/>
      <c r="Q607" s="13"/>
      <c r="R607" s="13"/>
      <c r="S607" s="13"/>
      <c r="T607" s="13"/>
      <c r="U607" s="13"/>
      <c r="V607" s="13"/>
      <c r="W607" s="13"/>
      <c r="X607" s="13"/>
      <c r="Y607" s="13"/>
      <c r="Z607" s="13"/>
      <c r="AA607" s="13"/>
    </row>
    <row r="608" spans="1:27" ht="17.399999999999999" x14ac:dyDescent="0.35">
      <c r="A608" s="13"/>
      <c r="B608" s="13"/>
      <c r="C608" s="13"/>
      <c r="D608" s="13"/>
      <c r="E608" s="13"/>
      <c r="F608" s="13"/>
      <c r="G608" s="13"/>
      <c r="H608" s="13"/>
      <c r="I608" s="13"/>
      <c r="J608" s="13"/>
      <c r="K608" s="13"/>
      <c r="L608" s="13"/>
      <c r="M608" s="13"/>
      <c r="N608" s="13"/>
      <c r="O608" s="13"/>
      <c r="P608" s="13"/>
      <c r="Q608" s="13"/>
      <c r="R608" s="13"/>
      <c r="S608" s="13"/>
      <c r="T608" s="13"/>
      <c r="U608" s="13"/>
      <c r="V608" s="13"/>
      <c r="W608" s="13"/>
      <c r="X608" s="13"/>
      <c r="Y608" s="13"/>
      <c r="Z608" s="13"/>
      <c r="AA608" s="13"/>
    </row>
    <row r="609" spans="1:27" ht="17.399999999999999" x14ac:dyDescent="0.35">
      <c r="A609" s="13"/>
      <c r="B609" s="13"/>
      <c r="C609" s="13"/>
      <c r="D609" s="13"/>
      <c r="E609" s="13"/>
      <c r="F609" s="13"/>
      <c r="G609" s="13"/>
      <c r="H609" s="13"/>
      <c r="I609" s="13"/>
      <c r="J609" s="13"/>
      <c r="K609" s="13"/>
      <c r="L609" s="13"/>
      <c r="M609" s="13"/>
      <c r="N609" s="13"/>
      <c r="O609" s="13"/>
      <c r="P609" s="13"/>
      <c r="Q609" s="13"/>
      <c r="R609" s="13"/>
      <c r="S609" s="13"/>
      <c r="T609" s="13"/>
      <c r="U609" s="13"/>
      <c r="V609" s="13"/>
      <c r="W609" s="13"/>
      <c r="X609" s="13"/>
      <c r="Y609" s="13"/>
      <c r="Z609" s="13"/>
      <c r="AA609" s="13"/>
    </row>
    <row r="610" spans="1:27" ht="17.399999999999999" x14ac:dyDescent="0.35">
      <c r="A610" s="13"/>
      <c r="B610" s="13"/>
      <c r="C610" s="13"/>
      <c r="D610" s="13"/>
      <c r="E610" s="13"/>
      <c r="F610" s="13"/>
      <c r="G610" s="13"/>
      <c r="H610" s="13"/>
      <c r="I610" s="13"/>
      <c r="J610" s="13"/>
      <c r="K610" s="13"/>
      <c r="L610" s="13"/>
      <c r="M610" s="13"/>
      <c r="N610" s="13"/>
      <c r="O610" s="13"/>
      <c r="P610" s="13"/>
      <c r="Q610" s="13"/>
      <c r="R610" s="13"/>
      <c r="S610" s="13"/>
      <c r="T610" s="13"/>
      <c r="U610" s="13"/>
      <c r="V610" s="13"/>
      <c r="W610" s="13"/>
      <c r="X610" s="13"/>
      <c r="Y610" s="13"/>
      <c r="Z610" s="13"/>
      <c r="AA610" s="13"/>
    </row>
    <row r="611" spans="1:27" ht="17.399999999999999" x14ac:dyDescent="0.35">
      <c r="A611" s="13"/>
      <c r="B611" s="13"/>
      <c r="C611" s="13"/>
      <c r="D611" s="13"/>
      <c r="E611" s="13"/>
      <c r="F611" s="13"/>
      <c r="G611" s="13"/>
      <c r="H611" s="13"/>
      <c r="I611" s="13"/>
      <c r="J611" s="13"/>
      <c r="K611" s="13"/>
      <c r="L611" s="13"/>
      <c r="M611" s="13"/>
      <c r="N611" s="13"/>
      <c r="O611" s="13"/>
      <c r="P611" s="13"/>
      <c r="Q611" s="13"/>
      <c r="R611" s="13"/>
      <c r="S611" s="13"/>
      <c r="T611" s="13"/>
      <c r="U611" s="13"/>
      <c r="V611" s="13"/>
      <c r="W611" s="13"/>
      <c r="X611" s="13"/>
      <c r="Y611" s="13"/>
      <c r="Z611" s="13"/>
      <c r="AA611" s="13"/>
    </row>
    <row r="612" spans="1:27" ht="17.399999999999999" x14ac:dyDescent="0.35">
      <c r="A612" s="13"/>
      <c r="B612" s="13"/>
      <c r="C612" s="13"/>
      <c r="D612" s="13"/>
      <c r="E612" s="13"/>
      <c r="F612" s="13"/>
      <c r="G612" s="13"/>
      <c r="H612" s="13"/>
      <c r="I612" s="13"/>
      <c r="J612" s="13"/>
      <c r="K612" s="13"/>
      <c r="L612" s="13"/>
      <c r="M612" s="13"/>
      <c r="N612" s="13"/>
      <c r="O612" s="13"/>
      <c r="P612" s="13"/>
      <c r="Q612" s="13"/>
      <c r="R612" s="13"/>
      <c r="S612" s="13"/>
      <c r="T612" s="13"/>
      <c r="U612" s="13"/>
      <c r="V612" s="13"/>
      <c r="W612" s="13"/>
      <c r="X612" s="13"/>
      <c r="Y612" s="13"/>
      <c r="Z612" s="13"/>
      <c r="AA612" s="13"/>
    </row>
    <row r="613" spans="1:27" ht="17.399999999999999" x14ac:dyDescent="0.35">
      <c r="A613" s="13"/>
      <c r="B613" s="13"/>
      <c r="C613" s="13"/>
      <c r="D613" s="13"/>
      <c r="E613" s="13"/>
      <c r="F613" s="13"/>
      <c r="G613" s="13"/>
      <c r="H613" s="13"/>
      <c r="I613" s="13"/>
      <c r="J613" s="13"/>
      <c r="K613" s="13"/>
      <c r="L613" s="13"/>
      <c r="M613" s="13"/>
      <c r="N613" s="13"/>
      <c r="O613" s="13"/>
      <c r="P613" s="13"/>
      <c r="Q613" s="13"/>
      <c r="R613" s="13"/>
      <c r="S613" s="13"/>
      <c r="T613" s="13"/>
      <c r="U613" s="13"/>
      <c r="V613" s="13"/>
      <c r="W613" s="13"/>
      <c r="X613" s="13"/>
      <c r="Y613" s="13"/>
      <c r="Z613" s="13"/>
      <c r="AA613" s="13"/>
    </row>
    <row r="614" spans="1:27" ht="17.399999999999999" x14ac:dyDescent="0.35">
      <c r="A614" s="13"/>
      <c r="B614" s="13"/>
      <c r="C614" s="13"/>
      <c r="D614" s="13"/>
      <c r="E614" s="13"/>
      <c r="F614" s="13"/>
      <c r="G614" s="13"/>
      <c r="H614" s="13"/>
      <c r="I614" s="13"/>
      <c r="J614" s="13"/>
      <c r="K614" s="13"/>
      <c r="L614" s="13"/>
      <c r="M614" s="13"/>
      <c r="N614" s="13"/>
      <c r="O614" s="13"/>
      <c r="P614" s="13"/>
      <c r="Q614" s="13"/>
      <c r="R614" s="13"/>
      <c r="S614" s="13"/>
      <c r="T614" s="13"/>
      <c r="U614" s="13"/>
      <c r="V614" s="13"/>
      <c r="W614" s="13"/>
      <c r="X614" s="13"/>
      <c r="Y614" s="13"/>
      <c r="Z614" s="13"/>
      <c r="AA614" s="13"/>
    </row>
    <row r="615" spans="1:27" ht="17.399999999999999" x14ac:dyDescent="0.35">
      <c r="A615" s="13"/>
      <c r="B615" s="13"/>
      <c r="C615" s="13"/>
      <c r="D615" s="13"/>
      <c r="E615" s="13"/>
      <c r="F615" s="13"/>
      <c r="G615" s="13"/>
      <c r="H615" s="13"/>
      <c r="I615" s="13"/>
      <c r="J615" s="13"/>
      <c r="K615" s="13"/>
      <c r="L615" s="13"/>
      <c r="M615" s="13"/>
      <c r="N615" s="13"/>
      <c r="O615" s="13"/>
      <c r="P615" s="13"/>
      <c r="Q615" s="13"/>
      <c r="R615" s="13"/>
      <c r="S615" s="13"/>
      <c r="T615" s="13"/>
      <c r="U615" s="13"/>
      <c r="V615" s="13"/>
      <c r="W615" s="13"/>
      <c r="X615" s="13"/>
      <c r="Y615" s="13"/>
      <c r="Z615" s="13"/>
      <c r="AA615" s="13"/>
    </row>
    <row r="616" spans="1:27" ht="17.399999999999999" x14ac:dyDescent="0.35">
      <c r="A616" s="13"/>
      <c r="B616" s="13"/>
      <c r="C616" s="13"/>
      <c r="D616" s="13"/>
      <c r="E616" s="13"/>
      <c r="F616" s="13"/>
      <c r="G616" s="13"/>
      <c r="H616" s="13"/>
      <c r="I616" s="13"/>
      <c r="J616" s="13"/>
      <c r="K616" s="13"/>
      <c r="L616" s="13"/>
      <c r="M616" s="13"/>
      <c r="N616" s="13"/>
      <c r="O616" s="13"/>
      <c r="P616" s="13"/>
      <c r="Q616" s="13"/>
      <c r="R616" s="13"/>
      <c r="S616" s="13"/>
      <c r="T616" s="13"/>
      <c r="U616" s="13"/>
      <c r="V616" s="13"/>
      <c r="W616" s="13"/>
      <c r="X616" s="13"/>
      <c r="Y616" s="13"/>
      <c r="Z616" s="13"/>
      <c r="AA616" s="13"/>
    </row>
    <row r="617" spans="1:27" ht="17.399999999999999" x14ac:dyDescent="0.35">
      <c r="A617" s="13"/>
      <c r="B617" s="13"/>
      <c r="C617" s="13"/>
      <c r="D617" s="13"/>
      <c r="E617" s="13"/>
      <c r="F617" s="13"/>
      <c r="G617" s="13"/>
      <c r="H617" s="13"/>
      <c r="I617" s="13"/>
      <c r="J617" s="13"/>
      <c r="K617" s="13"/>
      <c r="L617" s="13"/>
      <c r="M617" s="13"/>
      <c r="N617" s="13"/>
      <c r="O617" s="13"/>
      <c r="P617" s="13"/>
      <c r="Q617" s="13"/>
      <c r="R617" s="13"/>
      <c r="S617" s="13"/>
      <c r="T617" s="13"/>
      <c r="U617" s="13"/>
      <c r="V617" s="13"/>
      <c r="W617" s="13"/>
      <c r="X617" s="13"/>
      <c r="Y617" s="13"/>
      <c r="Z617" s="13"/>
      <c r="AA617" s="13"/>
    </row>
    <row r="618" spans="1:27" ht="17.399999999999999" x14ac:dyDescent="0.35">
      <c r="A618" s="13"/>
      <c r="B618" s="13"/>
      <c r="C618" s="13"/>
      <c r="D618" s="13"/>
      <c r="E618" s="13"/>
      <c r="F618" s="13"/>
      <c r="G618" s="13"/>
      <c r="H618" s="13"/>
      <c r="I618" s="13"/>
      <c r="J618" s="13"/>
      <c r="K618" s="13"/>
      <c r="L618" s="13"/>
      <c r="M618" s="13"/>
      <c r="N618" s="13"/>
      <c r="O618" s="13"/>
      <c r="P618" s="13"/>
      <c r="Q618" s="13"/>
      <c r="R618" s="13"/>
      <c r="S618" s="13"/>
      <c r="T618" s="13"/>
      <c r="U618" s="13"/>
      <c r="V618" s="13"/>
      <c r="W618" s="13"/>
      <c r="X618" s="13"/>
      <c r="Y618" s="13"/>
      <c r="Z618" s="13"/>
      <c r="AA618" s="13"/>
    </row>
    <row r="619" spans="1:27" ht="17.399999999999999" x14ac:dyDescent="0.35">
      <c r="A619" s="13"/>
      <c r="B619" s="13"/>
      <c r="C619" s="13"/>
      <c r="D619" s="13"/>
      <c r="E619" s="13"/>
      <c r="F619" s="13"/>
      <c r="G619" s="13"/>
      <c r="H619" s="13"/>
      <c r="I619" s="13"/>
      <c r="J619" s="13"/>
      <c r="K619" s="13"/>
      <c r="L619" s="13"/>
      <c r="M619" s="13"/>
      <c r="N619" s="13"/>
      <c r="O619" s="13"/>
      <c r="P619" s="13"/>
      <c r="Q619" s="13"/>
      <c r="R619" s="13"/>
      <c r="S619" s="13"/>
      <c r="T619" s="13"/>
      <c r="U619" s="13"/>
      <c r="V619" s="13"/>
      <c r="W619" s="13"/>
      <c r="X619" s="13"/>
      <c r="Y619" s="13"/>
      <c r="Z619" s="13"/>
      <c r="AA619" s="13"/>
    </row>
    <row r="620" spans="1:27" ht="17.399999999999999" x14ac:dyDescent="0.35">
      <c r="A620" s="13"/>
      <c r="B620" s="13"/>
      <c r="C620" s="13"/>
      <c r="D620" s="13"/>
      <c r="E620" s="13"/>
      <c r="F620" s="13"/>
      <c r="G620" s="13"/>
      <c r="H620" s="13"/>
      <c r="I620" s="13"/>
      <c r="J620" s="13"/>
      <c r="K620" s="13"/>
      <c r="L620" s="13"/>
      <c r="M620" s="13"/>
      <c r="N620" s="13"/>
      <c r="O620" s="13"/>
      <c r="P620" s="13"/>
      <c r="Q620" s="13"/>
      <c r="R620" s="13"/>
      <c r="S620" s="13"/>
      <c r="T620" s="13"/>
      <c r="U620" s="13"/>
      <c r="V620" s="13"/>
      <c r="W620" s="13"/>
      <c r="X620" s="13"/>
      <c r="Y620" s="13"/>
      <c r="Z620" s="13"/>
      <c r="AA620" s="13"/>
    </row>
    <row r="621" spans="1:27" ht="17.399999999999999" x14ac:dyDescent="0.35">
      <c r="A621" s="13"/>
      <c r="B621" s="13"/>
      <c r="C621" s="13"/>
      <c r="D621" s="13"/>
      <c r="E621" s="13"/>
      <c r="F621" s="13"/>
      <c r="G621" s="13"/>
      <c r="H621" s="13"/>
      <c r="I621" s="13"/>
      <c r="J621" s="13"/>
      <c r="K621" s="13"/>
      <c r="L621" s="13"/>
      <c r="M621" s="13"/>
      <c r="N621" s="13"/>
      <c r="O621" s="13"/>
      <c r="P621" s="13"/>
      <c r="Q621" s="13"/>
      <c r="R621" s="13"/>
      <c r="S621" s="13"/>
      <c r="T621" s="13"/>
      <c r="U621" s="13"/>
      <c r="V621" s="13"/>
      <c r="W621" s="13"/>
      <c r="X621" s="13"/>
      <c r="Y621" s="13"/>
      <c r="Z621" s="13"/>
      <c r="AA621" s="13"/>
    </row>
    <row r="622" spans="1:27" ht="17.399999999999999" x14ac:dyDescent="0.35">
      <c r="A622" s="13"/>
      <c r="B622" s="13"/>
      <c r="C622" s="13"/>
      <c r="D622" s="13"/>
      <c r="E622" s="13"/>
      <c r="F622" s="13"/>
      <c r="G622" s="13"/>
      <c r="H622" s="13"/>
      <c r="I622" s="13"/>
      <c r="J622" s="13"/>
      <c r="K622" s="13"/>
      <c r="L622" s="13"/>
      <c r="M622" s="13"/>
      <c r="N622" s="13"/>
      <c r="O622" s="13"/>
      <c r="P622" s="13"/>
      <c r="Q622" s="13"/>
      <c r="R622" s="13"/>
      <c r="S622" s="13"/>
      <c r="T622" s="13"/>
      <c r="U622" s="13"/>
      <c r="V622" s="13"/>
      <c r="W622" s="13"/>
      <c r="X622" s="13"/>
      <c r="Y622" s="13"/>
      <c r="Z622" s="13"/>
      <c r="AA622" s="13"/>
    </row>
    <row r="623" spans="1:27" ht="17.399999999999999" x14ac:dyDescent="0.35">
      <c r="A623" s="13"/>
      <c r="B623" s="13"/>
      <c r="C623" s="13"/>
      <c r="D623" s="13"/>
      <c r="E623" s="13"/>
      <c r="F623" s="13"/>
      <c r="G623" s="13"/>
      <c r="H623" s="13"/>
      <c r="I623" s="13"/>
      <c r="J623" s="13"/>
      <c r="K623" s="13"/>
      <c r="L623" s="13"/>
      <c r="M623" s="13"/>
      <c r="N623" s="13"/>
      <c r="O623" s="13"/>
      <c r="P623" s="13"/>
      <c r="Q623" s="13"/>
      <c r="R623" s="13"/>
      <c r="S623" s="13"/>
      <c r="T623" s="13"/>
      <c r="U623" s="13"/>
      <c r="V623" s="13"/>
      <c r="W623" s="13"/>
      <c r="X623" s="13"/>
      <c r="Y623" s="13"/>
      <c r="Z623" s="13"/>
      <c r="AA623" s="13"/>
    </row>
    <row r="624" spans="1:27" ht="17.399999999999999" x14ac:dyDescent="0.35">
      <c r="A624" s="13"/>
      <c r="B624" s="13"/>
      <c r="C624" s="13"/>
      <c r="D624" s="13"/>
      <c r="E624" s="13"/>
      <c r="F624" s="13"/>
      <c r="G624" s="13"/>
      <c r="H624" s="13"/>
      <c r="I624" s="13"/>
      <c r="J624" s="13"/>
      <c r="K624" s="13"/>
      <c r="L624" s="13"/>
      <c r="M624" s="13"/>
      <c r="N624" s="13"/>
      <c r="O624" s="13"/>
      <c r="P624" s="13"/>
      <c r="Q624" s="13"/>
      <c r="R624" s="13"/>
      <c r="S624" s="13"/>
      <c r="T624" s="13"/>
      <c r="U624" s="13"/>
      <c r="V624" s="13"/>
      <c r="W624" s="13"/>
      <c r="X624" s="13"/>
      <c r="Y624" s="13"/>
      <c r="Z624" s="13"/>
      <c r="AA624" s="13"/>
    </row>
    <row r="625" spans="1:27" ht="17.399999999999999" x14ac:dyDescent="0.35">
      <c r="A625" s="13"/>
      <c r="B625" s="13"/>
      <c r="C625" s="13"/>
      <c r="D625" s="13"/>
      <c r="E625" s="13"/>
      <c r="F625" s="13"/>
      <c r="G625" s="13"/>
      <c r="H625" s="13"/>
      <c r="I625" s="13"/>
      <c r="J625" s="13"/>
      <c r="K625" s="13"/>
      <c r="L625" s="13"/>
      <c r="M625" s="13"/>
      <c r="N625" s="13"/>
      <c r="O625" s="13"/>
      <c r="P625" s="13"/>
      <c r="Q625" s="13"/>
      <c r="R625" s="13"/>
      <c r="S625" s="13"/>
      <c r="T625" s="13"/>
      <c r="U625" s="13"/>
      <c r="V625" s="13"/>
      <c r="W625" s="13"/>
      <c r="X625" s="13"/>
      <c r="Y625" s="13"/>
      <c r="Z625" s="13"/>
      <c r="AA625" s="13"/>
    </row>
    <row r="626" spans="1:27" ht="17.399999999999999" x14ac:dyDescent="0.35">
      <c r="A626" s="13"/>
      <c r="B626" s="13"/>
      <c r="C626" s="13"/>
      <c r="D626" s="13"/>
      <c r="E626" s="13"/>
      <c r="F626" s="13"/>
      <c r="G626" s="13"/>
      <c r="H626" s="13"/>
      <c r="I626" s="13"/>
      <c r="J626" s="13"/>
      <c r="K626" s="13"/>
      <c r="L626" s="13"/>
      <c r="M626" s="13"/>
      <c r="N626" s="13"/>
      <c r="O626" s="13"/>
      <c r="P626" s="13"/>
      <c r="Q626" s="13"/>
      <c r="R626" s="13"/>
      <c r="S626" s="13"/>
      <c r="T626" s="13"/>
      <c r="U626" s="13"/>
      <c r="V626" s="13"/>
      <c r="W626" s="13"/>
      <c r="X626" s="13"/>
      <c r="Y626" s="13"/>
      <c r="Z626" s="13"/>
      <c r="AA626" s="13"/>
    </row>
    <row r="627" spans="1:27" ht="17.399999999999999" x14ac:dyDescent="0.35">
      <c r="A627" s="13"/>
      <c r="B627" s="13"/>
      <c r="C627" s="13"/>
      <c r="D627" s="13"/>
      <c r="E627" s="13"/>
      <c r="F627" s="13"/>
      <c r="G627" s="13"/>
      <c r="H627" s="13"/>
      <c r="I627" s="13"/>
      <c r="J627" s="13"/>
      <c r="K627" s="13"/>
      <c r="L627" s="13"/>
      <c r="M627" s="13"/>
      <c r="N627" s="13"/>
      <c r="O627" s="13"/>
      <c r="P627" s="13"/>
      <c r="Q627" s="13"/>
      <c r="R627" s="13"/>
      <c r="S627" s="13"/>
      <c r="T627" s="13"/>
      <c r="U627" s="13"/>
      <c r="V627" s="13"/>
      <c r="W627" s="13"/>
      <c r="X627" s="13"/>
      <c r="Y627" s="13"/>
      <c r="Z627" s="13"/>
      <c r="AA627" s="13"/>
    </row>
    <row r="628" spans="1:27" ht="17.399999999999999" x14ac:dyDescent="0.35">
      <c r="A628" s="13"/>
      <c r="B628" s="13"/>
      <c r="C628" s="13"/>
      <c r="D628" s="13"/>
      <c r="E628" s="13"/>
      <c r="F628" s="13"/>
      <c r="G628" s="13"/>
      <c r="H628" s="13"/>
      <c r="I628" s="13"/>
      <c r="J628" s="13"/>
      <c r="K628" s="13"/>
      <c r="L628" s="13"/>
      <c r="M628" s="13"/>
      <c r="N628" s="13"/>
      <c r="O628" s="13"/>
      <c r="P628" s="13"/>
      <c r="Q628" s="13"/>
      <c r="R628" s="13"/>
      <c r="S628" s="13"/>
      <c r="T628" s="13"/>
      <c r="U628" s="13"/>
      <c r="V628" s="13"/>
      <c r="W628" s="13"/>
      <c r="X628" s="13"/>
      <c r="Y628" s="13"/>
      <c r="Z628" s="13"/>
      <c r="AA628" s="13"/>
    </row>
    <row r="629" spans="1:27" ht="17.399999999999999" x14ac:dyDescent="0.35">
      <c r="A629" s="13"/>
      <c r="B629" s="13"/>
      <c r="C629" s="13"/>
      <c r="D629" s="13"/>
      <c r="E629" s="13"/>
      <c r="F629" s="13"/>
      <c r="G629" s="13"/>
      <c r="H629" s="13"/>
      <c r="I629" s="13"/>
      <c r="J629" s="13"/>
      <c r="K629" s="13"/>
      <c r="L629" s="13"/>
      <c r="M629" s="13"/>
      <c r="N629" s="13"/>
      <c r="O629" s="13"/>
      <c r="P629" s="13"/>
      <c r="Q629" s="13"/>
      <c r="R629" s="13"/>
      <c r="S629" s="13"/>
      <c r="T629" s="13"/>
      <c r="U629" s="13"/>
      <c r="V629" s="13"/>
      <c r="W629" s="13"/>
      <c r="X629" s="13"/>
      <c r="Y629" s="13"/>
      <c r="Z629" s="13"/>
      <c r="AA629" s="13"/>
    </row>
    <row r="630" spans="1:27" ht="17.399999999999999" x14ac:dyDescent="0.35">
      <c r="A630" s="13"/>
      <c r="B630" s="13"/>
      <c r="C630" s="13"/>
      <c r="D630" s="13"/>
      <c r="E630" s="13"/>
      <c r="F630" s="13"/>
      <c r="G630" s="13"/>
      <c r="H630" s="13"/>
      <c r="I630" s="13"/>
      <c r="J630" s="13"/>
      <c r="K630" s="13"/>
      <c r="L630" s="13"/>
      <c r="M630" s="13"/>
      <c r="N630" s="13"/>
      <c r="O630" s="13"/>
      <c r="P630" s="13"/>
      <c r="Q630" s="13"/>
      <c r="R630" s="13"/>
      <c r="S630" s="13"/>
      <c r="T630" s="13"/>
      <c r="U630" s="13"/>
      <c r="V630" s="13"/>
      <c r="W630" s="13"/>
      <c r="X630" s="13"/>
      <c r="Y630" s="13"/>
      <c r="Z630" s="13"/>
      <c r="AA630" s="13"/>
    </row>
    <row r="631" spans="1:27" ht="17.399999999999999" x14ac:dyDescent="0.35">
      <c r="A631" s="13"/>
      <c r="B631" s="13"/>
      <c r="C631" s="13"/>
      <c r="D631" s="13"/>
      <c r="E631" s="13"/>
      <c r="F631" s="13"/>
      <c r="G631" s="13"/>
      <c r="H631" s="13"/>
      <c r="I631" s="13"/>
      <c r="J631" s="13"/>
      <c r="K631" s="13"/>
      <c r="L631" s="13"/>
      <c r="M631" s="13"/>
      <c r="N631" s="13"/>
      <c r="O631" s="13"/>
      <c r="P631" s="13"/>
      <c r="Q631" s="13"/>
      <c r="R631" s="13"/>
      <c r="S631" s="13"/>
      <c r="T631" s="13"/>
      <c r="U631" s="13"/>
      <c r="V631" s="13"/>
      <c r="W631" s="13"/>
      <c r="X631" s="13"/>
      <c r="Y631" s="13"/>
      <c r="Z631" s="13"/>
      <c r="AA631" s="13"/>
    </row>
    <row r="632" spans="1:27" ht="17.399999999999999" x14ac:dyDescent="0.35">
      <c r="A632" s="13"/>
      <c r="B632" s="13"/>
      <c r="C632" s="13"/>
      <c r="D632" s="13"/>
      <c r="E632" s="13"/>
      <c r="F632" s="13"/>
      <c r="G632" s="13"/>
      <c r="H632" s="13"/>
      <c r="I632" s="13"/>
      <c r="J632" s="13"/>
      <c r="K632" s="13"/>
      <c r="L632" s="13"/>
      <c r="M632" s="13"/>
      <c r="N632" s="13"/>
      <c r="O632" s="13"/>
      <c r="P632" s="13"/>
      <c r="Q632" s="13"/>
      <c r="R632" s="13"/>
      <c r="S632" s="13"/>
      <c r="T632" s="13"/>
      <c r="U632" s="13"/>
      <c r="V632" s="13"/>
      <c r="W632" s="13"/>
      <c r="X632" s="13"/>
      <c r="Y632" s="13"/>
      <c r="Z632" s="13"/>
      <c r="AA632" s="13"/>
    </row>
    <row r="633" spans="1:27" ht="17.399999999999999" x14ac:dyDescent="0.35">
      <c r="A633" s="13"/>
      <c r="B633" s="13"/>
      <c r="C633" s="13"/>
      <c r="D633" s="13"/>
      <c r="E633" s="13"/>
      <c r="F633" s="13"/>
      <c r="G633" s="13"/>
      <c r="H633" s="13"/>
      <c r="I633" s="13"/>
      <c r="J633" s="13"/>
      <c r="K633" s="13"/>
      <c r="L633" s="13"/>
      <c r="M633" s="13"/>
      <c r="N633" s="13"/>
      <c r="O633" s="13"/>
      <c r="P633" s="13"/>
      <c r="Q633" s="13"/>
      <c r="R633" s="13"/>
      <c r="S633" s="13"/>
      <c r="T633" s="13"/>
      <c r="U633" s="13"/>
      <c r="V633" s="13"/>
      <c r="W633" s="13"/>
      <c r="X633" s="13"/>
      <c r="Y633" s="13"/>
      <c r="Z633" s="13"/>
      <c r="AA633" s="13"/>
    </row>
    <row r="634" spans="1:27" ht="17.399999999999999" x14ac:dyDescent="0.35">
      <c r="A634" s="13"/>
      <c r="B634" s="13"/>
      <c r="C634" s="13"/>
      <c r="D634" s="13"/>
      <c r="E634" s="13"/>
      <c r="F634" s="13"/>
      <c r="G634" s="13"/>
      <c r="H634" s="13"/>
      <c r="I634" s="13"/>
      <c r="J634" s="13"/>
      <c r="K634" s="13"/>
      <c r="L634" s="13"/>
      <c r="M634" s="13"/>
      <c r="N634" s="13"/>
      <c r="O634" s="13"/>
      <c r="P634" s="13"/>
      <c r="Q634" s="13"/>
      <c r="R634" s="13"/>
      <c r="S634" s="13"/>
      <c r="T634" s="13"/>
      <c r="U634" s="13"/>
      <c r="V634" s="13"/>
      <c r="W634" s="13"/>
      <c r="X634" s="13"/>
      <c r="Y634" s="13"/>
      <c r="Z634" s="13"/>
      <c r="AA634" s="13"/>
    </row>
    <row r="635" spans="1:27" ht="17.399999999999999" x14ac:dyDescent="0.35">
      <c r="A635" s="13"/>
      <c r="B635" s="13"/>
      <c r="C635" s="13"/>
      <c r="D635" s="13"/>
      <c r="E635" s="13"/>
      <c r="F635" s="13"/>
      <c r="G635" s="13"/>
      <c r="H635" s="13"/>
      <c r="I635" s="13"/>
      <c r="J635" s="13"/>
      <c r="K635" s="13"/>
      <c r="L635" s="13"/>
      <c r="M635" s="13"/>
      <c r="N635" s="13"/>
      <c r="O635" s="13"/>
      <c r="P635" s="13"/>
      <c r="Q635" s="13"/>
      <c r="R635" s="13"/>
      <c r="S635" s="13"/>
      <c r="T635" s="13"/>
      <c r="U635" s="13"/>
      <c r="V635" s="13"/>
      <c r="W635" s="13"/>
      <c r="X635" s="13"/>
      <c r="Y635" s="13"/>
      <c r="Z635" s="13"/>
      <c r="AA635" s="13"/>
    </row>
    <row r="636" spans="1:27" ht="17.399999999999999" x14ac:dyDescent="0.35">
      <c r="A636" s="13"/>
      <c r="B636" s="13"/>
      <c r="C636" s="13"/>
      <c r="D636" s="13"/>
      <c r="E636" s="13"/>
      <c r="F636" s="13"/>
      <c r="G636" s="13"/>
      <c r="H636" s="13"/>
      <c r="I636" s="13"/>
      <c r="J636" s="13"/>
      <c r="K636" s="13"/>
      <c r="L636" s="13"/>
      <c r="M636" s="13"/>
      <c r="N636" s="13"/>
      <c r="O636" s="13"/>
      <c r="P636" s="13"/>
      <c r="Q636" s="13"/>
      <c r="R636" s="13"/>
      <c r="S636" s="13"/>
      <c r="T636" s="13"/>
      <c r="U636" s="13"/>
      <c r="V636" s="13"/>
      <c r="W636" s="13"/>
      <c r="X636" s="13"/>
      <c r="Y636" s="13"/>
      <c r="Z636" s="13"/>
      <c r="AA636" s="13"/>
    </row>
    <row r="637" spans="1:27" ht="17.399999999999999" x14ac:dyDescent="0.35">
      <c r="A637" s="13"/>
      <c r="B637" s="13"/>
      <c r="C637" s="13"/>
      <c r="D637" s="13"/>
      <c r="E637" s="13"/>
      <c r="F637" s="13"/>
      <c r="G637" s="13"/>
      <c r="H637" s="13"/>
      <c r="I637" s="13"/>
      <c r="J637" s="13"/>
      <c r="K637" s="13"/>
      <c r="L637" s="13"/>
      <c r="M637" s="13"/>
      <c r="N637" s="13"/>
      <c r="O637" s="13"/>
      <c r="P637" s="13"/>
      <c r="Q637" s="13"/>
      <c r="R637" s="13"/>
      <c r="S637" s="13"/>
      <c r="T637" s="13"/>
      <c r="U637" s="13"/>
      <c r="V637" s="13"/>
      <c r="W637" s="13"/>
      <c r="X637" s="13"/>
      <c r="Y637" s="13"/>
      <c r="Z637" s="13"/>
      <c r="AA637" s="13"/>
    </row>
    <row r="638" spans="1:27" ht="17.399999999999999" x14ac:dyDescent="0.35">
      <c r="A638" s="13"/>
      <c r="B638" s="13"/>
      <c r="C638" s="13"/>
      <c r="D638" s="13"/>
      <c r="E638" s="13"/>
      <c r="F638" s="13"/>
      <c r="G638" s="13"/>
      <c r="H638" s="13"/>
      <c r="I638" s="13"/>
      <c r="J638" s="13"/>
      <c r="K638" s="13"/>
      <c r="L638" s="13"/>
      <c r="M638" s="13"/>
      <c r="N638" s="13"/>
      <c r="O638" s="13"/>
      <c r="P638" s="13"/>
      <c r="Q638" s="13"/>
      <c r="R638" s="13"/>
      <c r="S638" s="13"/>
      <c r="T638" s="13"/>
      <c r="U638" s="13"/>
      <c r="V638" s="13"/>
      <c r="W638" s="13"/>
      <c r="X638" s="13"/>
      <c r="Y638" s="13"/>
      <c r="Z638" s="13"/>
      <c r="AA638" s="13"/>
    </row>
    <row r="639" spans="1:27" ht="17.399999999999999" x14ac:dyDescent="0.35">
      <c r="A639" s="13"/>
      <c r="B639" s="13"/>
      <c r="C639" s="13"/>
      <c r="D639" s="13"/>
      <c r="E639" s="13"/>
      <c r="F639" s="13"/>
      <c r="G639" s="13"/>
      <c r="H639" s="13"/>
      <c r="I639" s="13"/>
      <c r="J639" s="13"/>
      <c r="K639" s="13"/>
      <c r="L639" s="13"/>
      <c r="M639" s="13"/>
      <c r="N639" s="13"/>
      <c r="O639" s="13"/>
      <c r="P639" s="13"/>
      <c r="Q639" s="13"/>
      <c r="R639" s="13"/>
      <c r="S639" s="13"/>
      <c r="T639" s="13"/>
      <c r="U639" s="13"/>
      <c r="V639" s="13"/>
      <c r="W639" s="13"/>
      <c r="X639" s="13"/>
      <c r="Y639" s="13"/>
      <c r="Z639" s="13"/>
      <c r="AA639" s="13"/>
    </row>
    <row r="640" spans="1:27" ht="17.399999999999999" x14ac:dyDescent="0.35">
      <c r="A640" s="13"/>
      <c r="B640" s="13"/>
      <c r="C640" s="13"/>
      <c r="D640" s="13"/>
      <c r="E640" s="13"/>
      <c r="F640" s="13"/>
      <c r="G640" s="13"/>
      <c r="H640" s="13"/>
      <c r="I640" s="13"/>
      <c r="J640" s="13"/>
      <c r="K640" s="13"/>
      <c r="L640" s="13"/>
      <c r="M640" s="13"/>
      <c r="N640" s="13"/>
      <c r="O640" s="13"/>
      <c r="P640" s="13"/>
      <c r="Q640" s="13"/>
      <c r="R640" s="13"/>
      <c r="S640" s="13"/>
      <c r="T640" s="13"/>
      <c r="U640" s="13"/>
      <c r="V640" s="13"/>
      <c r="W640" s="13"/>
      <c r="X640" s="13"/>
      <c r="Y640" s="13"/>
      <c r="Z640" s="13"/>
      <c r="AA640" s="13"/>
    </row>
    <row r="641" spans="1:27" ht="17.399999999999999" x14ac:dyDescent="0.35">
      <c r="A641" s="13"/>
      <c r="B641" s="13"/>
      <c r="C641" s="13"/>
      <c r="D641" s="13"/>
      <c r="E641" s="13"/>
      <c r="F641" s="13"/>
      <c r="G641" s="13"/>
      <c r="H641" s="13"/>
      <c r="I641" s="13"/>
      <c r="J641" s="13"/>
      <c r="K641" s="13"/>
      <c r="L641" s="13"/>
      <c r="M641" s="13"/>
      <c r="N641" s="13"/>
      <c r="O641" s="13"/>
      <c r="P641" s="13"/>
      <c r="Q641" s="13"/>
      <c r="R641" s="13"/>
      <c r="S641" s="13"/>
      <c r="T641" s="13"/>
      <c r="U641" s="13"/>
      <c r="V641" s="13"/>
      <c r="W641" s="13"/>
      <c r="X641" s="13"/>
      <c r="Y641" s="13"/>
      <c r="Z641" s="13"/>
      <c r="AA641" s="13"/>
    </row>
    <row r="642" spans="1:27" ht="17.399999999999999" x14ac:dyDescent="0.35">
      <c r="A642" s="13"/>
      <c r="B642" s="13"/>
      <c r="C642" s="13"/>
      <c r="D642" s="13"/>
      <c r="E642" s="13"/>
      <c r="F642" s="13"/>
      <c r="G642" s="13"/>
      <c r="H642" s="13"/>
      <c r="I642" s="13"/>
      <c r="J642" s="13"/>
      <c r="K642" s="13"/>
      <c r="L642" s="13"/>
      <c r="M642" s="13"/>
      <c r="N642" s="13"/>
      <c r="O642" s="13"/>
      <c r="P642" s="13"/>
      <c r="Q642" s="13"/>
      <c r="R642" s="13"/>
      <c r="S642" s="13"/>
      <c r="T642" s="13"/>
      <c r="U642" s="13"/>
      <c r="V642" s="13"/>
      <c r="W642" s="13"/>
      <c r="X642" s="13"/>
      <c r="Y642" s="13"/>
      <c r="Z642" s="13"/>
      <c r="AA642" s="13"/>
    </row>
    <row r="643" spans="1:27" ht="17.399999999999999" x14ac:dyDescent="0.35">
      <c r="A643" s="13"/>
      <c r="B643" s="13"/>
      <c r="C643" s="13"/>
      <c r="D643" s="13"/>
      <c r="E643" s="13"/>
      <c r="F643" s="13"/>
      <c r="G643" s="13"/>
      <c r="H643" s="13"/>
      <c r="I643" s="13"/>
      <c r="J643" s="13"/>
      <c r="K643" s="13"/>
      <c r="L643" s="13"/>
      <c r="M643" s="13"/>
      <c r="N643" s="13"/>
      <c r="O643" s="13"/>
      <c r="P643" s="13"/>
      <c r="Q643" s="13"/>
      <c r="R643" s="13"/>
      <c r="S643" s="13"/>
      <c r="T643" s="13"/>
      <c r="U643" s="13"/>
      <c r="V643" s="13"/>
      <c r="W643" s="13"/>
      <c r="X643" s="13"/>
      <c r="Y643" s="13"/>
      <c r="Z643" s="13"/>
      <c r="AA643" s="13"/>
    </row>
    <row r="644" spans="1:27" ht="17.399999999999999" x14ac:dyDescent="0.35">
      <c r="A644" s="13"/>
      <c r="B644" s="13"/>
      <c r="C644" s="13"/>
      <c r="D644" s="13"/>
      <c r="E644" s="13"/>
      <c r="F644" s="13"/>
      <c r="G644" s="13"/>
      <c r="H644" s="13"/>
      <c r="I644" s="13"/>
      <c r="J644" s="13"/>
      <c r="K644" s="13"/>
      <c r="L644" s="13"/>
      <c r="M644" s="13"/>
      <c r="N644" s="13"/>
      <c r="O644" s="13"/>
      <c r="P644" s="13"/>
      <c r="Q644" s="13"/>
      <c r="R644" s="13"/>
      <c r="S644" s="13"/>
      <c r="T644" s="13"/>
      <c r="U644" s="13"/>
      <c r="V644" s="13"/>
      <c r="W644" s="13"/>
      <c r="X644" s="13"/>
      <c r="Y644" s="13"/>
      <c r="Z644" s="13"/>
      <c r="AA644" s="13"/>
    </row>
    <row r="645" spans="1:27" ht="17.399999999999999" x14ac:dyDescent="0.35">
      <c r="A645" s="13"/>
      <c r="B645" s="13"/>
      <c r="C645" s="13"/>
      <c r="D645" s="13"/>
      <c r="E645" s="13"/>
      <c r="F645" s="13"/>
      <c r="G645" s="13"/>
      <c r="H645" s="13"/>
      <c r="I645" s="13"/>
      <c r="J645" s="13"/>
      <c r="K645" s="13"/>
      <c r="L645" s="13"/>
      <c r="M645" s="13"/>
      <c r="N645" s="13"/>
      <c r="O645" s="13"/>
      <c r="P645" s="13"/>
      <c r="Q645" s="13"/>
      <c r="R645" s="13"/>
      <c r="S645" s="13"/>
      <c r="T645" s="13"/>
      <c r="U645" s="13"/>
      <c r="V645" s="13"/>
      <c r="W645" s="13"/>
      <c r="X645" s="13"/>
      <c r="Y645" s="13"/>
      <c r="Z645" s="13"/>
      <c r="AA645" s="13"/>
    </row>
    <row r="646" spans="1:27" ht="17.399999999999999" x14ac:dyDescent="0.35">
      <c r="A646" s="13"/>
      <c r="B646" s="13"/>
      <c r="C646" s="13"/>
      <c r="D646" s="13"/>
      <c r="E646" s="13"/>
      <c r="F646" s="13"/>
      <c r="G646" s="13"/>
      <c r="H646" s="13"/>
      <c r="I646" s="13"/>
      <c r="J646" s="13"/>
      <c r="K646" s="13"/>
      <c r="L646" s="13"/>
      <c r="M646" s="13"/>
      <c r="N646" s="13"/>
      <c r="O646" s="13"/>
      <c r="P646" s="13"/>
      <c r="Q646" s="13"/>
      <c r="R646" s="13"/>
      <c r="S646" s="13"/>
      <c r="T646" s="13"/>
      <c r="U646" s="13"/>
      <c r="V646" s="13"/>
      <c r="W646" s="13"/>
      <c r="X646" s="13"/>
      <c r="Y646" s="13"/>
      <c r="Z646" s="13"/>
      <c r="AA646" s="13"/>
    </row>
    <row r="647" spans="1:27" ht="17.399999999999999" x14ac:dyDescent="0.35">
      <c r="A647" s="13"/>
      <c r="B647" s="13"/>
      <c r="C647" s="13"/>
      <c r="D647" s="13"/>
      <c r="E647" s="13"/>
      <c r="F647" s="13"/>
      <c r="G647" s="13"/>
      <c r="H647" s="13"/>
      <c r="I647" s="13"/>
      <c r="J647" s="13"/>
      <c r="K647" s="13"/>
      <c r="L647" s="13"/>
      <c r="M647" s="13"/>
      <c r="N647" s="13"/>
      <c r="O647" s="13"/>
      <c r="P647" s="13"/>
      <c r="Q647" s="13"/>
      <c r="R647" s="13"/>
      <c r="S647" s="13"/>
      <c r="T647" s="13"/>
      <c r="U647" s="13"/>
      <c r="V647" s="13"/>
      <c r="W647" s="13"/>
      <c r="X647" s="13"/>
      <c r="Y647" s="13"/>
      <c r="Z647" s="13"/>
      <c r="AA647" s="13"/>
    </row>
    <row r="648" spans="1:27" ht="17.399999999999999" x14ac:dyDescent="0.35">
      <c r="A648" s="13"/>
      <c r="B648" s="13"/>
      <c r="C648" s="13"/>
      <c r="D648" s="13"/>
      <c r="E648" s="13"/>
      <c r="F648" s="13"/>
      <c r="G648" s="13"/>
      <c r="H648" s="13"/>
      <c r="I648" s="13"/>
      <c r="J648" s="13"/>
      <c r="K648" s="13"/>
      <c r="L648" s="13"/>
      <c r="M648" s="13"/>
      <c r="N648" s="13"/>
      <c r="O648" s="13"/>
      <c r="P648" s="13"/>
      <c r="Q648" s="13"/>
      <c r="R648" s="13"/>
      <c r="S648" s="13"/>
      <c r="T648" s="13"/>
      <c r="U648" s="13"/>
      <c r="V648" s="13"/>
      <c r="W648" s="13"/>
      <c r="X648" s="13"/>
      <c r="Y648" s="13"/>
      <c r="Z648" s="13"/>
      <c r="AA648" s="13"/>
    </row>
    <row r="649" spans="1:27" ht="17.399999999999999" x14ac:dyDescent="0.35">
      <c r="A649" s="13"/>
      <c r="B649" s="13"/>
      <c r="C649" s="13"/>
      <c r="D649" s="13"/>
      <c r="E649" s="13"/>
      <c r="F649" s="13"/>
      <c r="G649" s="13"/>
      <c r="H649" s="13"/>
      <c r="I649" s="13"/>
      <c r="J649" s="13"/>
      <c r="K649" s="13"/>
      <c r="L649" s="13"/>
      <c r="M649" s="13"/>
      <c r="N649" s="13"/>
      <c r="O649" s="13"/>
      <c r="P649" s="13"/>
      <c r="Q649" s="13"/>
      <c r="R649" s="13"/>
      <c r="S649" s="13"/>
      <c r="T649" s="13"/>
      <c r="U649" s="13"/>
      <c r="V649" s="13"/>
      <c r="W649" s="13"/>
      <c r="X649" s="13"/>
      <c r="Y649" s="13"/>
      <c r="Z649" s="13"/>
      <c r="AA649" s="13"/>
    </row>
    <row r="650" spans="1:27" ht="17.399999999999999" x14ac:dyDescent="0.35">
      <c r="A650" s="13"/>
      <c r="B650" s="13"/>
      <c r="C650" s="13"/>
      <c r="D650" s="13"/>
      <c r="E650" s="13"/>
      <c r="F650" s="13"/>
      <c r="G650" s="13"/>
      <c r="H650" s="13"/>
      <c r="I650" s="13"/>
      <c r="J650" s="13"/>
      <c r="K650" s="13"/>
      <c r="L650" s="13"/>
      <c r="M650" s="13"/>
      <c r="N650" s="13"/>
      <c r="O650" s="13"/>
      <c r="P650" s="13"/>
      <c r="Q650" s="13"/>
      <c r="R650" s="13"/>
      <c r="S650" s="13"/>
      <c r="T650" s="13"/>
      <c r="U650" s="13"/>
      <c r="V650" s="13"/>
      <c r="W650" s="13"/>
      <c r="X650" s="13"/>
      <c r="Y650" s="13"/>
      <c r="Z650" s="13"/>
      <c r="AA650" s="13"/>
    </row>
    <row r="651" spans="1:27" ht="17.399999999999999" x14ac:dyDescent="0.35">
      <c r="A651" s="13"/>
      <c r="B651" s="13"/>
      <c r="C651" s="13"/>
      <c r="D651" s="13"/>
      <c r="E651" s="13"/>
      <c r="F651" s="13"/>
      <c r="G651" s="13"/>
      <c r="H651" s="13"/>
      <c r="I651" s="13"/>
      <c r="J651" s="13"/>
      <c r="K651" s="13"/>
      <c r="L651" s="13"/>
      <c r="M651" s="13"/>
      <c r="N651" s="13"/>
      <c r="O651" s="13"/>
      <c r="P651" s="13"/>
      <c r="Q651" s="13"/>
      <c r="R651" s="13"/>
      <c r="S651" s="13"/>
      <c r="T651" s="13"/>
      <c r="U651" s="13"/>
      <c r="V651" s="13"/>
      <c r="W651" s="13"/>
      <c r="X651" s="13"/>
      <c r="Y651" s="13"/>
      <c r="Z651" s="13"/>
      <c r="AA651" s="13"/>
    </row>
    <row r="652" spans="1:27" ht="17.399999999999999" x14ac:dyDescent="0.35">
      <c r="A652" s="13"/>
      <c r="B652" s="13"/>
      <c r="C652" s="13"/>
      <c r="D652" s="13"/>
      <c r="E652" s="13"/>
      <c r="F652" s="13"/>
      <c r="G652" s="13"/>
      <c r="H652" s="13"/>
      <c r="I652" s="13"/>
      <c r="J652" s="13"/>
      <c r="K652" s="13"/>
      <c r="L652" s="13"/>
      <c r="M652" s="13"/>
      <c r="N652" s="13"/>
      <c r="O652" s="13"/>
      <c r="P652" s="13"/>
      <c r="Q652" s="13"/>
      <c r="R652" s="13"/>
      <c r="S652" s="13"/>
      <c r="T652" s="13"/>
      <c r="U652" s="13"/>
      <c r="V652" s="13"/>
      <c r="W652" s="13"/>
      <c r="X652" s="13"/>
      <c r="Y652" s="13"/>
      <c r="Z652" s="13"/>
      <c r="AA652" s="13"/>
    </row>
    <row r="653" spans="1:27" ht="17.399999999999999" x14ac:dyDescent="0.35">
      <c r="A653" s="13"/>
      <c r="B653" s="13"/>
      <c r="C653" s="13"/>
      <c r="D653" s="13"/>
      <c r="E653" s="13"/>
      <c r="F653" s="13"/>
      <c r="G653" s="13"/>
      <c r="H653" s="13"/>
      <c r="I653" s="13"/>
      <c r="J653" s="13"/>
      <c r="K653" s="13"/>
      <c r="L653" s="13"/>
      <c r="M653" s="13"/>
      <c r="N653" s="13"/>
      <c r="O653" s="13"/>
      <c r="P653" s="13"/>
      <c r="Q653" s="13"/>
      <c r="R653" s="13"/>
      <c r="S653" s="13"/>
      <c r="T653" s="13"/>
      <c r="U653" s="13"/>
      <c r="V653" s="13"/>
      <c r="W653" s="13"/>
      <c r="X653" s="13"/>
      <c r="Y653" s="13"/>
      <c r="Z653" s="13"/>
      <c r="AA653" s="13"/>
    </row>
    <row r="654" spans="1:27" ht="17.399999999999999" x14ac:dyDescent="0.35">
      <c r="A654" s="13"/>
      <c r="B654" s="13"/>
      <c r="C654" s="13"/>
      <c r="D654" s="13"/>
      <c r="E654" s="13"/>
      <c r="F654" s="13"/>
      <c r="G654" s="13"/>
      <c r="H654" s="13"/>
      <c r="I654" s="13"/>
      <c r="J654" s="13"/>
      <c r="K654" s="13"/>
      <c r="L654" s="13"/>
      <c r="M654" s="13"/>
      <c r="N654" s="13"/>
      <c r="O654" s="13"/>
      <c r="P654" s="13"/>
      <c r="Q654" s="13"/>
      <c r="R654" s="13"/>
      <c r="S654" s="13"/>
      <c r="T654" s="13"/>
      <c r="U654" s="13"/>
      <c r="V654" s="13"/>
      <c r="W654" s="13"/>
      <c r="X654" s="13"/>
      <c r="Y654" s="13"/>
      <c r="Z654" s="13"/>
      <c r="AA654" s="13"/>
    </row>
    <row r="655" spans="1:27" ht="17.399999999999999" x14ac:dyDescent="0.35">
      <c r="A655" s="13"/>
      <c r="B655" s="13"/>
      <c r="C655" s="13"/>
      <c r="D655" s="13"/>
      <c r="E655" s="13"/>
      <c r="F655" s="13"/>
      <c r="G655" s="13"/>
      <c r="H655" s="13"/>
      <c r="I655" s="13"/>
      <c r="J655" s="13"/>
      <c r="K655" s="13"/>
      <c r="L655" s="13"/>
      <c r="M655" s="13"/>
      <c r="N655" s="13"/>
      <c r="O655" s="13"/>
      <c r="P655" s="13"/>
      <c r="Q655" s="13"/>
      <c r="R655" s="13"/>
      <c r="S655" s="13"/>
      <c r="T655" s="13"/>
      <c r="U655" s="13"/>
      <c r="V655" s="13"/>
      <c r="W655" s="13"/>
      <c r="X655" s="13"/>
      <c r="Y655" s="13"/>
      <c r="Z655" s="13"/>
      <c r="AA655" s="13"/>
    </row>
    <row r="656" spans="1:27" ht="17.399999999999999" x14ac:dyDescent="0.35">
      <c r="A656" s="13"/>
      <c r="B656" s="13"/>
      <c r="C656" s="13"/>
      <c r="D656" s="13"/>
      <c r="E656" s="13"/>
      <c r="F656" s="13"/>
      <c r="G656" s="13"/>
      <c r="H656" s="13"/>
      <c r="I656" s="13"/>
      <c r="J656" s="13"/>
      <c r="K656" s="13"/>
      <c r="L656" s="13"/>
      <c r="M656" s="13"/>
      <c r="N656" s="13"/>
      <c r="O656" s="13"/>
      <c r="P656" s="13"/>
      <c r="Q656" s="13"/>
      <c r="R656" s="13"/>
      <c r="S656" s="13"/>
      <c r="T656" s="13"/>
      <c r="U656" s="13"/>
      <c r="V656" s="13"/>
      <c r="W656" s="13"/>
      <c r="X656" s="13"/>
      <c r="Y656" s="13"/>
      <c r="Z656" s="13"/>
      <c r="AA656" s="13"/>
    </row>
    <row r="657" spans="1:27" ht="17.399999999999999" x14ac:dyDescent="0.35">
      <c r="A657" s="13"/>
      <c r="B657" s="13"/>
      <c r="C657" s="13"/>
      <c r="D657" s="13"/>
      <c r="E657" s="13"/>
      <c r="F657" s="13"/>
      <c r="G657" s="13"/>
      <c r="H657" s="13"/>
      <c r="I657" s="13"/>
      <c r="J657" s="13"/>
      <c r="K657" s="13"/>
      <c r="L657" s="13"/>
      <c r="M657" s="13"/>
      <c r="N657" s="13"/>
      <c r="O657" s="13"/>
      <c r="P657" s="13"/>
      <c r="Q657" s="13"/>
      <c r="R657" s="13"/>
      <c r="S657" s="13"/>
      <c r="T657" s="13"/>
      <c r="U657" s="13"/>
      <c r="V657" s="13"/>
      <c r="W657" s="13"/>
      <c r="X657" s="13"/>
      <c r="Y657" s="13"/>
      <c r="Z657" s="13"/>
      <c r="AA657" s="13"/>
    </row>
    <row r="658" spans="1:27" ht="17.399999999999999" x14ac:dyDescent="0.35">
      <c r="A658" s="13"/>
      <c r="B658" s="13"/>
      <c r="C658" s="13"/>
      <c r="D658" s="13"/>
      <c r="E658" s="13"/>
      <c r="F658" s="13"/>
      <c r="G658" s="13"/>
      <c r="H658" s="13"/>
      <c r="I658" s="13"/>
      <c r="J658" s="13"/>
      <c r="K658" s="13"/>
      <c r="L658" s="13"/>
      <c r="M658" s="13"/>
      <c r="N658" s="13"/>
      <c r="O658" s="13"/>
      <c r="P658" s="13"/>
      <c r="Q658" s="13"/>
      <c r="R658" s="13"/>
      <c r="S658" s="13"/>
      <c r="T658" s="13"/>
      <c r="U658" s="13"/>
      <c r="V658" s="13"/>
      <c r="W658" s="13"/>
      <c r="X658" s="13"/>
      <c r="Y658" s="13"/>
      <c r="Z658" s="13"/>
      <c r="AA658" s="13"/>
    </row>
    <row r="659" spans="1:27" ht="17.399999999999999" x14ac:dyDescent="0.35">
      <c r="A659" s="13"/>
      <c r="B659" s="13"/>
      <c r="C659" s="13"/>
      <c r="D659" s="13"/>
      <c r="E659" s="13"/>
      <c r="F659" s="13"/>
      <c r="G659" s="13"/>
      <c r="H659" s="13"/>
      <c r="I659" s="13"/>
      <c r="J659" s="13"/>
      <c r="K659" s="13"/>
      <c r="L659" s="13"/>
      <c r="M659" s="13"/>
      <c r="N659" s="13"/>
      <c r="O659" s="13"/>
      <c r="P659" s="13"/>
      <c r="Q659" s="13"/>
      <c r="R659" s="13"/>
      <c r="S659" s="13"/>
      <c r="T659" s="13"/>
      <c r="U659" s="13"/>
      <c r="V659" s="13"/>
      <c r="W659" s="13"/>
      <c r="X659" s="13"/>
      <c r="Y659" s="13"/>
      <c r="Z659" s="13"/>
      <c r="AA659" s="13"/>
    </row>
    <row r="660" spans="1:27" ht="17.399999999999999" x14ac:dyDescent="0.35">
      <c r="A660" s="13"/>
      <c r="B660" s="13"/>
      <c r="C660" s="13"/>
      <c r="D660" s="13"/>
      <c r="E660" s="13"/>
      <c r="F660" s="13"/>
      <c r="G660" s="13"/>
      <c r="H660" s="13"/>
      <c r="I660" s="13"/>
      <c r="J660" s="13"/>
      <c r="K660" s="13"/>
      <c r="L660" s="13"/>
      <c r="M660" s="13"/>
      <c r="N660" s="13"/>
      <c r="O660" s="13"/>
      <c r="P660" s="13"/>
      <c r="Q660" s="13"/>
      <c r="R660" s="13"/>
      <c r="S660" s="13"/>
      <c r="T660" s="13"/>
      <c r="U660" s="13"/>
      <c r="V660" s="13"/>
      <c r="W660" s="13"/>
      <c r="X660" s="13"/>
      <c r="Y660" s="13"/>
      <c r="Z660" s="13"/>
      <c r="AA660" s="13"/>
    </row>
    <row r="661" spans="1:27" ht="17.399999999999999" x14ac:dyDescent="0.35">
      <c r="A661" s="13"/>
      <c r="B661" s="13"/>
      <c r="C661" s="13"/>
      <c r="D661" s="13"/>
      <c r="E661" s="13"/>
      <c r="F661" s="13"/>
      <c r="G661" s="13"/>
      <c r="H661" s="13"/>
      <c r="I661" s="13"/>
      <c r="J661" s="13"/>
      <c r="K661" s="13"/>
      <c r="L661" s="13"/>
      <c r="M661" s="13"/>
      <c r="N661" s="13"/>
      <c r="O661" s="13"/>
      <c r="P661" s="13"/>
      <c r="Q661" s="13"/>
      <c r="R661" s="13"/>
      <c r="S661" s="13"/>
      <c r="T661" s="13"/>
      <c r="U661" s="13"/>
      <c r="V661" s="13"/>
      <c r="W661" s="13"/>
      <c r="X661" s="13"/>
      <c r="Y661" s="13"/>
      <c r="Z661" s="13"/>
      <c r="AA661" s="13"/>
    </row>
    <row r="662" spans="1:27" ht="17.399999999999999" x14ac:dyDescent="0.35">
      <c r="A662" s="13"/>
      <c r="B662" s="13"/>
      <c r="C662" s="13"/>
      <c r="D662" s="13"/>
      <c r="E662" s="13"/>
      <c r="F662" s="13"/>
      <c r="G662" s="13"/>
      <c r="H662" s="13"/>
      <c r="I662" s="13"/>
      <c r="J662" s="13"/>
      <c r="K662" s="13"/>
      <c r="L662" s="13"/>
      <c r="M662" s="13"/>
      <c r="N662" s="13"/>
      <c r="O662" s="13"/>
      <c r="P662" s="13"/>
      <c r="Q662" s="13"/>
      <c r="R662" s="13"/>
      <c r="S662" s="13"/>
      <c r="T662" s="13"/>
      <c r="U662" s="13"/>
      <c r="V662" s="13"/>
      <c r="W662" s="13"/>
      <c r="X662" s="13"/>
      <c r="Y662" s="13"/>
      <c r="Z662" s="13"/>
      <c r="AA662" s="13"/>
    </row>
    <row r="663" spans="1:27" ht="17.399999999999999" x14ac:dyDescent="0.35">
      <c r="A663" s="13"/>
      <c r="B663" s="13"/>
      <c r="C663" s="13"/>
      <c r="D663" s="13"/>
      <c r="E663" s="13"/>
      <c r="F663" s="13"/>
      <c r="G663" s="13"/>
      <c r="H663" s="13"/>
      <c r="I663" s="13"/>
      <c r="J663" s="13"/>
      <c r="K663" s="13"/>
      <c r="L663" s="13"/>
      <c r="M663" s="13"/>
      <c r="N663" s="13"/>
      <c r="O663" s="13"/>
      <c r="P663" s="13"/>
      <c r="Q663" s="13"/>
      <c r="R663" s="13"/>
      <c r="S663" s="13"/>
      <c r="T663" s="13"/>
      <c r="U663" s="13"/>
      <c r="V663" s="13"/>
      <c r="W663" s="13"/>
      <c r="X663" s="13"/>
      <c r="Y663" s="13"/>
      <c r="Z663" s="13"/>
      <c r="AA663" s="13"/>
    </row>
    <row r="664" spans="1:27" ht="17.399999999999999" x14ac:dyDescent="0.35">
      <c r="A664" s="13"/>
      <c r="B664" s="13"/>
      <c r="C664" s="13"/>
      <c r="D664" s="13"/>
      <c r="E664" s="13"/>
      <c r="F664" s="13"/>
      <c r="G664" s="13"/>
      <c r="H664" s="13"/>
      <c r="I664" s="13"/>
      <c r="J664" s="13"/>
      <c r="K664" s="13"/>
      <c r="L664" s="13"/>
      <c r="M664" s="13"/>
      <c r="N664" s="13"/>
      <c r="O664" s="13"/>
      <c r="P664" s="13"/>
      <c r="Q664" s="13"/>
      <c r="R664" s="13"/>
      <c r="S664" s="13"/>
      <c r="T664" s="13"/>
      <c r="U664" s="13"/>
      <c r="V664" s="13"/>
      <c r="W664" s="13"/>
      <c r="X664" s="13"/>
      <c r="Y664" s="13"/>
      <c r="Z664" s="13"/>
      <c r="AA664" s="13"/>
    </row>
    <row r="665" spans="1:27" ht="17.399999999999999" x14ac:dyDescent="0.35">
      <c r="A665" s="13"/>
      <c r="B665" s="13"/>
      <c r="C665" s="13"/>
      <c r="D665" s="13"/>
      <c r="E665" s="13"/>
      <c r="F665" s="13"/>
      <c r="G665" s="13"/>
      <c r="H665" s="13"/>
      <c r="I665" s="13"/>
      <c r="J665" s="13"/>
      <c r="K665" s="13"/>
      <c r="L665" s="13"/>
      <c r="M665" s="13"/>
      <c r="N665" s="13"/>
      <c r="O665" s="13"/>
      <c r="P665" s="13"/>
      <c r="Q665" s="13"/>
      <c r="R665" s="13"/>
      <c r="S665" s="13"/>
      <c r="T665" s="13"/>
      <c r="U665" s="13"/>
      <c r="V665" s="13"/>
      <c r="W665" s="13"/>
      <c r="X665" s="13"/>
      <c r="Y665" s="13"/>
      <c r="Z665" s="13"/>
      <c r="AA665" s="13"/>
    </row>
    <row r="666" spans="1:27" ht="17.399999999999999" x14ac:dyDescent="0.35">
      <c r="A666" s="13"/>
      <c r="B666" s="13"/>
      <c r="C666" s="13"/>
      <c r="D666" s="13"/>
      <c r="E666" s="13"/>
      <c r="F666" s="13"/>
      <c r="G666" s="13"/>
      <c r="H666" s="13"/>
      <c r="I666" s="13"/>
      <c r="J666" s="13"/>
      <c r="K666" s="13"/>
      <c r="L666" s="13"/>
      <c r="M666" s="13"/>
      <c r="N666" s="13"/>
      <c r="O666" s="13"/>
      <c r="P666" s="13"/>
      <c r="Q666" s="13"/>
      <c r="R666" s="13"/>
      <c r="S666" s="13"/>
      <c r="T666" s="13"/>
      <c r="U666" s="13"/>
      <c r="V666" s="13"/>
      <c r="W666" s="13"/>
      <c r="X666" s="13"/>
      <c r="Y666" s="13"/>
      <c r="Z666" s="13"/>
      <c r="AA666" s="13"/>
    </row>
    <row r="667" spans="1:27" ht="17.399999999999999" x14ac:dyDescent="0.35">
      <c r="A667" s="13"/>
      <c r="B667" s="13"/>
      <c r="C667" s="13"/>
      <c r="D667" s="13"/>
      <c r="E667" s="13"/>
      <c r="F667" s="13"/>
      <c r="G667" s="13"/>
      <c r="H667" s="13"/>
      <c r="I667" s="13"/>
      <c r="J667" s="13"/>
      <c r="K667" s="13"/>
      <c r="L667" s="13"/>
      <c r="M667" s="13"/>
      <c r="N667" s="13"/>
      <c r="O667" s="13"/>
      <c r="P667" s="13"/>
      <c r="Q667" s="13"/>
      <c r="R667" s="13"/>
      <c r="S667" s="13"/>
      <c r="T667" s="13"/>
      <c r="U667" s="13"/>
      <c r="V667" s="13"/>
      <c r="W667" s="13"/>
      <c r="X667" s="13"/>
      <c r="Y667" s="13"/>
      <c r="Z667" s="13"/>
      <c r="AA667" s="13"/>
    </row>
    <row r="668" spans="1:27" ht="17.399999999999999" x14ac:dyDescent="0.35">
      <c r="A668" s="13"/>
      <c r="B668" s="13"/>
      <c r="C668" s="13"/>
      <c r="D668" s="13"/>
      <c r="E668" s="13"/>
      <c r="F668" s="13"/>
      <c r="G668" s="13"/>
      <c r="H668" s="13"/>
      <c r="I668" s="13"/>
      <c r="J668" s="13"/>
      <c r="K668" s="13"/>
      <c r="L668" s="13"/>
      <c r="M668" s="13"/>
      <c r="N668" s="13"/>
      <c r="O668" s="13"/>
      <c r="P668" s="13"/>
      <c r="Q668" s="13"/>
      <c r="R668" s="13"/>
      <c r="S668" s="13"/>
      <c r="T668" s="13"/>
      <c r="U668" s="13"/>
      <c r="V668" s="13"/>
      <c r="W668" s="13"/>
      <c r="X668" s="13"/>
      <c r="Y668" s="13"/>
      <c r="Z668" s="13"/>
      <c r="AA668" s="13"/>
    </row>
    <row r="669" spans="1:27" ht="17.399999999999999" x14ac:dyDescent="0.35">
      <c r="A669" s="13"/>
      <c r="B669" s="13"/>
      <c r="C669" s="13"/>
      <c r="D669" s="13"/>
      <c r="E669" s="13"/>
      <c r="F669" s="13"/>
      <c r="G669" s="13"/>
      <c r="H669" s="13"/>
      <c r="I669" s="13"/>
      <c r="J669" s="13"/>
      <c r="K669" s="13"/>
      <c r="L669" s="13"/>
      <c r="M669" s="13"/>
      <c r="N669" s="13"/>
      <c r="O669" s="13"/>
      <c r="P669" s="13"/>
      <c r="Q669" s="13"/>
      <c r="R669" s="13"/>
      <c r="S669" s="13"/>
      <c r="T669" s="13"/>
      <c r="U669" s="13"/>
      <c r="V669" s="13"/>
      <c r="W669" s="13"/>
      <c r="X669" s="13"/>
      <c r="Y669" s="13"/>
      <c r="Z669" s="13"/>
      <c r="AA669" s="13"/>
    </row>
    <row r="670" spans="1:27" ht="17.399999999999999" x14ac:dyDescent="0.35">
      <c r="A670" s="13"/>
      <c r="B670" s="13"/>
      <c r="C670" s="13"/>
      <c r="D670" s="13"/>
      <c r="E670" s="13"/>
      <c r="F670" s="13"/>
      <c r="G670" s="13"/>
      <c r="H670" s="13"/>
      <c r="I670" s="13"/>
      <c r="J670" s="13"/>
      <c r="K670" s="13"/>
      <c r="L670" s="13"/>
      <c r="M670" s="13"/>
      <c r="N670" s="13"/>
      <c r="O670" s="13"/>
      <c r="P670" s="13"/>
      <c r="Q670" s="13"/>
      <c r="R670" s="13"/>
      <c r="S670" s="13"/>
      <c r="T670" s="13"/>
      <c r="U670" s="13"/>
      <c r="V670" s="13"/>
      <c r="W670" s="13"/>
      <c r="X670" s="13"/>
      <c r="Y670" s="13"/>
      <c r="Z670" s="13"/>
      <c r="AA670" s="13"/>
    </row>
    <row r="671" spans="1:27" ht="17.399999999999999" x14ac:dyDescent="0.35">
      <c r="A671" s="13"/>
      <c r="B671" s="13"/>
      <c r="C671" s="13"/>
      <c r="D671" s="13"/>
      <c r="E671" s="13"/>
      <c r="F671" s="13"/>
      <c r="G671" s="13"/>
      <c r="H671" s="13"/>
      <c r="I671" s="13"/>
      <c r="J671" s="13"/>
      <c r="K671" s="13"/>
      <c r="L671" s="13"/>
      <c r="M671" s="13"/>
      <c r="N671" s="13"/>
      <c r="O671" s="13"/>
      <c r="P671" s="13"/>
      <c r="Q671" s="13"/>
      <c r="R671" s="13"/>
      <c r="S671" s="13"/>
      <c r="T671" s="13"/>
      <c r="U671" s="13"/>
      <c r="V671" s="13"/>
      <c r="W671" s="13"/>
      <c r="X671" s="13"/>
      <c r="Y671" s="13"/>
      <c r="Z671" s="13"/>
      <c r="AA671" s="13"/>
    </row>
    <row r="672" spans="1:27" ht="17.399999999999999" x14ac:dyDescent="0.35">
      <c r="A672" s="13"/>
      <c r="B672" s="13"/>
      <c r="C672" s="13"/>
      <c r="D672" s="13"/>
      <c r="E672" s="13"/>
      <c r="F672" s="13"/>
      <c r="G672" s="13"/>
      <c r="H672" s="13"/>
      <c r="I672" s="13"/>
      <c r="J672" s="13"/>
      <c r="K672" s="13"/>
      <c r="L672" s="13"/>
      <c r="M672" s="13"/>
      <c r="N672" s="13"/>
      <c r="O672" s="13"/>
      <c r="P672" s="13"/>
      <c r="Q672" s="13"/>
      <c r="R672" s="13"/>
      <c r="S672" s="13"/>
      <c r="T672" s="13"/>
      <c r="U672" s="13"/>
      <c r="V672" s="13"/>
      <c r="W672" s="13"/>
      <c r="X672" s="13"/>
      <c r="Y672" s="13"/>
      <c r="Z672" s="13"/>
      <c r="AA672" s="13"/>
    </row>
    <row r="673" spans="1:27" ht="17.399999999999999" x14ac:dyDescent="0.35">
      <c r="A673" s="13"/>
      <c r="B673" s="13"/>
      <c r="C673" s="13"/>
      <c r="D673" s="13"/>
      <c r="E673" s="13"/>
      <c r="F673" s="13"/>
      <c r="G673" s="13"/>
      <c r="H673" s="13"/>
      <c r="I673" s="13"/>
      <c r="J673" s="13"/>
      <c r="K673" s="13"/>
      <c r="L673" s="13"/>
      <c r="M673" s="13"/>
      <c r="N673" s="13"/>
      <c r="O673" s="13"/>
      <c r="P673" s="13"/>
      <c r="Q673" s="13"/>
      <c r="R673" s="13"/>
      <c r="S673" s="13"/>
      <c r="T673" s="13"/>
      <c r="U673" s="13"/>
      <c r="V673" s="13"/>
      <c r="W673" s="13"/>
      <c r="X673" s="13"/>
      <c r="Y673" s="13"/>
      <c r="Z673" s="13"/>
      <c r="AA673" s="13"/>
    </row>
    <row r="674" spans="1:27" ht="17.399999999999999" x14ac:dyDescent="0.35">
      <c r="A674" s="13"/>
      <c r="B674" s="13"/>
      <c r="C674" s="13"/>
      <c r="D674" s="13"/>
      <c r="E674" s="13"/>
      <c r="F674" s="13"/>
      <c r="G674" s="13"/>
      <c r="H674" s="13"/>
      <c r="I674" s="13"/>
      <c r="J674" s="13"/>
      <c r="K674" s="13"/>
      <c r="L674" s="13"/>
      <c r="M674" s="13"/>
      <c r="N674" s="13"/>
      <c r="O674" s="13"/>
      <c r="P674" s="13"/>
      <c r="Q674" s="13"/>
      <c r="R674" s="13"/>
      <c r="S674" s="13"/>
      <c r="T674" s="13"/>
      <c r="U674" s="13"/>
      <c r="V674" s="13"/>
      <c r="W674" s="13"/>
      <c r="X674" s="13"/>
      <c r="Y674" s="13"/>
      <c r="Z674" s="13"/>
      <c r="AA674" s="13"/>
    </row>
    <row r="675" spans="1:27" ht="17.399999999999999" x14ac:dyDescent="0.35">
      <c r="A675" s="13"/>
      <c r="B675" s="13"/>
      <c r="C675" s="13"/>
      <c r="D675" s="13"/>
      <c r="E675" s="13"/>
      <c r="F675" s="13"/>
      <c r="G675" s="13"/>
      <c r="H675" s="13"/>
      <c r="I675" s="13"/>
      <c r="J675" s="13"/>
      <c r="K675" s="13"/>
      <c r="L675" s="13"/>
      <c r="M675" s="13"/>
      <c r="N675" s="13"/>
      <c r="O675" s="13"/>
      <c r="P675" s="13"/>
      <c r="Q675" s="13"/>
      <c r="R675" s="13"/>
      <c r="S675" s="13"/>
      <c r="T675" s="13"/>
      <c r="U675" s="13"/>
      <c r="V675" s="13"/>
      <c r="W675" s="13"/>
      <c r="X675" s="13"/>
      <c r="Y675" s="13"/>
      <c r="Z675" s="13"/>
      <c r="AA675" s="13"/>
    </row>
    <row r="676" spans="1:27" ht="17.399999999999999" x14ac:dyDescent="0.35">
      <c r="A676" s="13"/>
      <c r="B676" s="13"/>
      <c r="C676" s="13"/>
      <c r="D676" s="13"/>
      <c r="E676" s="13"/>
      <c r="F676" s="13"/>
      <c r="G676" s="13"/>
      <c r="H676" s="13"/>
      <c r="I676" s="13"/>
      <c r="J676" s="13"/>
      <c r="K676" s="13"/>
      <c r="L676" s="13"/>
      <c r="M676" s="13"/>
      <c r="N676" s="13"/>
      <c r="O676" s="13"/>
      <c r="P676" s="13"/>
      <c r="Q676" s="13"/>
      <c r="R676" s="13"/>
      <c r="S676" s="13"/>
      <c r="T676" s="13"/>
      <c r="U676" s="13"/>
      <c r="V676" s="13"/>
      <c r="W676" s="13"/>
      <c r="X676" s="13"/>
      <c r="Y676" s="13"/>
      <c r="Z676" s="13"/>
      <c r="AA676" s="13"/>
    </row>
    <row r="677" spans="1:27" ht="17.399999999999999" x14ac:dyDescent="0.35">
      <c r="A677" s="13"/>
      <c r="B677" s="13"/>
      <c r="C677" s="13"/>
      <c r="D677" s="13"/>
      <c r="E677" s="13"/>
      <c r="F677" s="13"/>
      <c r="G677" s="13"/>
      <c r="H677" s="13"/>
      <c r="I677" s="13"/>
      <c r="J677" s="13"/>
      <c r="K677" s="13"/>
      <c r="L677" s="13"/>
      <c r="M677" s="13"/>
      <c r="N677" s="13"/>
      <c r="O677" s="13"/>
      <c r="P677" s="13"/>
      <c r="Q677" s="13"/>
      <c r="R677" s="13"/>
      <c r="S677" s="13"/>
      <c r="T677" s="13"/>
      <c r="U677" s="13"/>
      <c r="V677" s="13"/>
      <c r="W677" s="13"/>
      <c r="X677" s="13"/>
      <c r="Y677" s="13"/>
      <c r="Z677" s="13"/>
      <c r="AA677" s="13"/>
    </row>
    <row r="678" spans="1:27" ht="17.399999999999999" x14ac:dyDescent="0.35">
      <c r="A678" s="13"/>
      <c r="B678" s="13"/>
      <c r="C678" s="13"/>
      <c r="D678" s="13"/>
      <c r="E678" s="13"/>
      <c r="F678" s="13"/>
      <c r="G678" s="13"/>
      <c r="H678" s="13"/>
      <c r="I678" s="13"/>
      <c r="J678" s="13"/>
      <c r="K678" s="13"/>
      <c r="L678" s="13"/>
      <c r="M678" s="13"/>
      <c r="N678" s="13"/>
      <c r="O678" s="13"/>
      <c r="P678" s="13"/>
      <c r="Q678" s="13"/>
      <c r="R678" s="13"/>
      <c r="S678" s="13"/>
      <c r="T678" s="13"/>
      <c r="U678" s="13"/>
      <c r="V678" s="13"/>
      <c r="W678" s="13"/>
      <c r="X678" s="13"/>
      <c r="Y678" s="13"/>
      <c r="Z678" s="13"/>
      <c r="AA678" s="13"/>
    </row>
    <row r="679" spans="1:27" ht="17.399999999999999" x14ac:dyDescent="0.35">
      <c r="A679" s="13"/>
      <c r="B679" s="13"/>
      <c r="C679" s="13"/>
      <c r="D679" s="13"/>
      <c r="E679" s="13"/>
      <c r="F679" s="13"/>
      <c r="G679" s="13"/>
      <c r="H679" s="13"/>
      <c r="I679" s="13"/>
      <c r="J679" s="13"/>
      <c r="K679" s="13"/>
      <c r="L679" s="13"/>
      <c r="M679" s="13"/>
      <c r="N679" s="13"/>
      <c r="O679" s="13"/>
      <c r="P679" s="13"/>
      <c r="Q679" s="13"/>
      <c r="R679" s="13"/>
      <c r="S679" s="13"/>
      <c r="T679" s="13"/>
      <c r="U679" s="13"/>
      <c r="V679" s="13"/>
      <c r="W679" s="13"/>
      <c r="X679" s="13"/>
      <c r="Y679" s="13"/>
      <c r="Z679" s="13"/>
      <c r="AA679" s="13"/>
    </row>
    <row r="680" spans="1:27" ht="17.399999999999999" x14ac:dyDescent="0.35">
      <c r="A680" s="13"/>
      <c r="B680" s="13"/>
      <c r="C680" s="13"/>
      <c r="D680" s="13"/>
      <c r="E680" s="13"/>
      <c r="F680" s="13"/>
      <c r="G680" s="13"/>
      <c r="H680" s="13"/>
      <c r="I680" s="13"/>
      <c r="J680" s="13"/>
      <c r="K680" s="13"/>
      <c r="L680" s="13"/>
      <c r="M680" s="13"/>
      <c r="N680" s="13"/>
      <c r="O680" s="13"/>
      <c r="P680" s="13"/>
      <c r="Q680" s="13"/>
      <c r="R680" s="13"/>
      <c r="S680" s="13"/>
      <c r="T680" s="13"/>
      <c r="U680" s="13"/>
      <c r="V680" s="13"/>
      <c r="W680" s="13"/>
      <c r="X680" s="13"/>
      <c r="Y680" s="13"/>
      <c r="Z680" s="13"/>
      <c r="AA680" s="13"/>
    </row>
    <row r="681" spans="1:27" ht="17.399999999999999" x14ac:dyDescent="0.35">
      <c r="A681" s="13"/>
      <c r="B681" s="13"/>
      <c r="C681" s="13"/>
      <c r="D681" s="13"/>
      <c r="E681" s="13"/>
      <c r="F681" s="13"/>
      <c r="G681" s="13"/>
      <c r="H681" s="13"/>
      <c r="I681" s="13"/>
      <c r="J681" s="13"/>
      <c r="K681" s="13"/>
      <c r="L681" s="13"/>
      <c r="M681" s="13"/>
      <c r="N681" s="13"/>
      <c r="O681" s="13"/>
      <c r="P681" s="13"/>
      <c r="Q681" s="13"/>
      <c r="R681" s="13"/>
      <c r="S681" s="13"/>
      <c r="T681" s="13"/>
      <c r="U681" s="13"/>
      <c r="V681" s="13"/>
      <c r="W681" s="13"/>
      <c r="X681" s="13"/>
      <c r="Y681" s="13"/>
      <c r="Z681" s="13"/>
      <c r="AA681" s="13"/>
    </row>
    <row r="682" spans="1:27" ht="17.399999999999999" x14ac:dyDescent="0.35">
      <c r="A682" s="13"/>
      <c r="B682" s="13"/>
      <c r="C682" s="13"/>
      <c r="D682" s="13"/>
      <c r="E682" s="13"/>
      <c r="F682" s="13"/>
      <c r="G682" s="13"/>
      <c r="H682" s="13"/>
      <c r="I682" s="13"/>
      <c r="J682" s="13"/>
      <c r="K682" s="13"/>
      <c r="L682" s="13"/>
      <c r="M682" s="13"/>
      <c r="N682" s="13"/>
      <c r="O682" s="13"/>
      <c r="P682" s="13"/>
      <c r="Q682" s="13"/>
      <c r="R682" s="13"/>
      <c r="S682" s="13"/>
      <c r="T682" s="13"/>
      <c r="U682" s="13"/>
      <c r="V682" s="13"/>
      <c r="W682" s="13"/>
      <c r="X682" s="13"/>
      <c r="Y682" s="13"/>
      <c r="Z682" s="13"/>
      <c r="AA682" s="13"/>
    </row>
    <row r="683" spans="1:27" ht="17.399999999999999" x14ac:dyDescent="0.35">
      <c r="A683" s="13"/>
      <c r="B683" s="13"/>
      <c r="C683" s="13"/>
      <c r="D683" s="13"/>
      <c r="E683" s="13"/>
      <c r="F683" s="13"/>
      <c r="G683" s="13"/>
      <c r="H683" s="13"/>
      <c r="I683" s="13"/>
      <c r="J683" s="13"/>
      <c r="K683" s="13"/>
      <c r="L683" s="13"/>
      <c r="M683" s="13"/>
      <c r="N683" s="13"/>
      <c r="O683" s="13"/>
      <c r="P683" s="13"/>
      <c r="Q683" s="13"/>
      <c r="R683" s="13"/>
      <c r="S683" s="13"/>
      <c r="T683" s="13"/>
      <c r="U683" s="13"/>
      <c r="V683" s="13"/>
      <c r="W683" s="13"/>
      <c r="X683" s="13"/>
      <c r="Y683" s="13"/>
      <c r="Z683" s="13"/>
      <c r="AA683" s="13"/>
    </row>
    <row r="684" spans="1:27" ht="17.399999999999999" x14ac:dyDescent="0.35">
      <c r="A684" s="13"/>
      <c r="B684" s="13"/>
      <c r="C684" s="13"/>
      <c r="D684" s="13"/>
      <c r="E684" s="13"/>
      <c r="F684" s="13"/>
      <c r="G684" s="13"/>
      <c r="H684" s="13"/>
      <c r="I684" s="13"/>
      <c r="J684" s="13"/>
      <c r="K684" s="13"/>
      <c r="L684" s="13"/>
      <c r="M684" s="13"/>
      <c r="N684" s="13"/>
      <c r="O684" s="13"/>
      <c r="P684" s="13"/>
      <c r="Q684" s="13"/>
      <c r="R684" s="13"/>
      <c r="S684" s="13"/>
      <c r="T684" s="13"/>
      <c r="U684" s="13"/>
      <c r="V684" s="13"/>
      <c r="W684" s="13"/>
      <c r="X684" s="13"/>
      <c r="Y684" s="13"/>
      <c r="Z684" s="13"/>
      <c r="AA684" s="13"/>
    </row>
    <row r="685" spans="1:27" ht="17.399999999999999" x14ac:dyDescent="0.35">
      <c r="A685" s="13"/>
      <c r="B685" s="13"/>
      <c r="C685" s="13"/>
      <c r="D685" s="13"/>
      <c r="E685" s="13"/>
      <c r="F685" s="13"/>
      <c r="G685" s="13"/>
      <c r="H685" s="13"/>
      <c r="I685" s="13"/>
      <c r="J685" s="13"/>
      <c r="K685" s="13"/>
      <c r="L685" s="13"/>
      <c r="M685" s="13"/>
      <c r="N685" s="13"/>
      <c r="O685" s="13"/>
      <c r="P685" s="13"/>
      <c r="Q685" s="13"/>
      <c r="R685" s="13"/>
      <c r="S685" s="13"/>
      <c r="T685" s="13"/>
      <c r="U685" s="13"/>
      <c r="V685" s="13"/>
      <c r="W685" s="13"/>
      <c r="X685" s="13"/>
      <c r="Y685" s="13"/>
      <c r="Z685" s="13"/>
      <c r="AA685" s="13"/>
    </row>
    <row r="686" spans="1:27" ht="17.399999999999999" x14ac:dyDescent="0.35">
      <c r="A686" s="13"/>
      <c r="B686" s="13"/>
      <c r="C686" s="13"/>
      <c r="D686" s="13"/>
      <c r="E686" s="13"/>
      <c r="F686" s="13"/>
      <c r="G686" s="13"/>
      <c r="H686" s="13"/>
      <c r="I686" s="13"/>
      <c r="J686" s="13"/>
      <c r="K686" s="13"/>
      <c r="L686" s="13"/>
      <c r="M686" s="13"/>
      <c r="N686" s="13"/>
      <c r="O686" s="13"/>
      <c r="P686" s="13"/>
      <c r="Q686" s="13"/>
      <c r="R686" s="13"/>
      <c r="S686" s="13"/>
      <c r="T686" s="13"/>
      <c r="U686" s="13"/>
      <c r="V686" s="13"/>
      <c r="W686" s="13"/>
      <c r="X686" s="13"/>
      <c r="Y686" s="13"/>
      <c r="Z686" s="13"/>
      <c r="AA686" s="13"/>
    </row>
    <row r="687" spans="1:27" ht="17.399999999999999" x14ac:dyDescent="0.35">
      <c r="A687" s="13"/>
      <c r="B687" s="13"/>
      <c r="C687" s="13"/>
      <c r="D687" s="13"/>
      <c r="E687" s="13"/>
      <c r="F687" s="13"/>
      <c r="G687" s="13"/>
      <c r="H687" s="13"/>
      <c r="I687" s="13"/>
      <c r="J687" s="13"/>
      <c r="K687" s="13"/>
      <c r="L687" s="13"/>
      <c r="M687" s="13"/>
      <c r="N687" s="13"/>
      <c r="O687" s="13"/>
      <c r="P687" s="13"/>
      <c r="Q687" s="13"/>
      <c r="R687" s="13"/>
      <c r="S687" s="13"/>
      <c r="T687" s="13"/>
      <c r="U687" s="13"/>
      <c r="V687" s="13"/>
      <c r="W687" s="13"/>
      <c r="X687" s="13"/>
      <c r="Y687" s="13"/>
      <c r="Z687" s="13"/>
      <c r="AA687" s="13"/>
    </row>
    <row r="688" spans="1:27" ht="17.399999999999999" x14ac:dyDescent="0.35">
      <c r="A688" s="13"/>
      <c r="B688" s="13"/>
      <c r="C688" s="13"/>
      <c r="D688" s="13"/>
      <c r="E688" s="13"/>
      <c r="F688" s="13"/>
      <c r="G688" s="13"/>
      <c r="H688" s="13"/>
      <c r="I688" s="13"/>
      <c r="J688" s="13"/>
      <c r="K688" s="13"/>
      <c r="L688" s="13"/>
      <c r="M688" s="13"/>
      <c r="N688" s="13"/>
      <c r="O688" s="13"/>
      <c r="P688" s="13"/>
      <c r="Q688" s="13"/>
      <c r="R688" s="13"/>
      <c r="S688" s="13"/>
      <c r="T688" s="13"/>
      <c r="U688" s="13"/>
      <c r="V688" s="13"/>
      <c r="W688" s="13"/>
      <c r="X688" s="13"/>
      <c r="Y688" s="13"/>
      <c r="Z688" s="13"/>
      <c r="AA688" s="13"/>
    </row>
    <row r="689" spans="1:27" ht="17.399999999999999" x14ac:dyDescent="0.35">
      <c r="A689" s="13"/>
      <c r="B689" s="13"/>
      <c r="C689" s="13"/>
      <c r="D689" s="13"/>
      <c r="E689" s="13"/>
      <c r="F689" s="13"/>
      <c r="G689" s="13"/>
      <c r="H689" s="13"/>
      <c r="I689" s="13"/>
      <c r="J689" s="13"/>
      <c r="K689" s="13"/>
      <c r="L689" s="13"/>
      <c r="M689" s="13"/>
      <c r="N689" s="13"/>
      <c r="O689" s="13"/>
      <c r="P689" s="13"/>
      <c r="Q689" s="13"/>
      <c r="R689" s="13"/>
      <c r="S689" s="13"/>
      <c r="T689" s="13"/>
      <c r="U689" s="13"/>
      <c r="V689" s="13"/>
      <c r="W689" s="13"/>
      <c r="X689" s="13"/>
      <c r="Y689" s="13"/>
      <c r="Z689" s="13"/>
      <c r="AA689" s="13"/>
    </row>
    <row r="690" spans="1:27" ht="17.399999999999999" x14ac:dyDescent="0.35">
      <c r="A690" s="13"/>
      <c r="B690" s="13"/>
      <c r="C690" s="13"/>
      <c r="D690" s="13"/>
      <c r="E690" s="13"/>
      <c r="F690" s="13"/>
      <c r="G690" s="13"/>
      <c r="H690" s="13"/>
      <c r="I690" s="13"/>
      <c r="J690" s="13"/>
      <c r="K690" s="13"/>
      <c r="L690" s="13"/>
      <c r="M690" s="13"/>
      <c r="N690" s="13"/>
      <c r="O690" s="13"/>
      <c r="P690" s="13"/>
      <c r="Q690" s="13"/>
      <c r="R690" s="13"/>
      <c r="S690" s="13"/>
      <c r="T690" s="13"/>
      <c r="U690" s="13"/>
      <c r="V690" s="13"/>
      <c r="W690" s="13"/>
      <c r="X690" s="13"/>
      <c r="Y690" s="13"/>
      <c r="Z690" s="13"/>
      <c r="AA690" s="13"/>
    </row>
    <row r="691" spans="1:27" ht="17.399999999999999" x14ac:dyDescent="0.35">
      <c r="A691" s="13"/>
      <c r="B691" s="13"/>
      <c r="C691" s="13"/>
      <c r="D691" s="13"/>
      <c r="E691" s="13"/>
      <c r="F691" s="13"/>
      <c r="G691" s="13"/>
      <c r="H691" s="13"/>
      <c r="I691" s="13"/>
      <c r="J691" s="13"/>
      <c r="K691" s="13"/>
      <c r="L691" s="13"/>
      <c r="M691" s="13"/>
      <c r="N691" s="13"/>
      <c r="O691" s="13"/>
      <c r="P691" s="13"/>
      <c r="Q691" s="13"/>
      <c r="R691" s="13"/>
      <c r="S691" s="13"/>
      <c r="T691" s="13"/>
      <c r="U691" s="13"/>
      <c r="V691" s="13"/>
      <c r="W691" s="13"/>
      <c r="X691" s="13"/>
      <c r="Y691" s="13"/>
      <c r="Z691" s="13"/>
      <c r="AA691" s="13"/>
    </row>
    <row r="692" spans="1:27" ht="17.399999999999999" x14ac:dyDescent="0.35">
      <c r="A692" s="13"/>
      <c r="B692" s="13"/>
      <c r="C692" s="13"/>
      <c r="D692" s="13"/>
      <c r="E692" s="13"/>
      <c r="F692" s="13"/>
      <c r="G692" s="13"/>
      <c r="H692" s="13"/>
      <c r="I692" s="13"/>
      <c r="J692" s="13"/>
      <c r="K692" s="13"/>
      <c r="L692" s="13"/>
      <c r="M692" s="13"/>
      <c r="N692" s="13"/>
      <c r="O692" s="13"/>
      <c r="P692" s="13"/>
      <c r="Q692" s="13"/>
      <c r="R692" s="13"/>
      <c r="S692" s="13"/>
      <c r="T692" s="13"/>
      <c r="U692" s="13"/>
      <c r="V692" s="13"/>
      <c r="W692" s="13"/>
      <c r="X692" s="13"/>
      <c r="Y692" s="13"/>
      <c r="Z692" s="13"/>
      <c r="AA692" s="13"/>
    </row>
    <row r="693" spans="1:27" ht="17.399999999999999" x14ac:dyDescent="0.35">
      <c r="A693" s="13"/>
      <c r="B693" s="13"/>
      <c r="C693" s="13"/>
      <c r="D693" s="13"/>
      <c r="E693" s="13"/>
      <c r="F693" s="13"/>
      <c r="G693" s="13"/>
      <c r="H693" s="13"/>
      <c r="I693" s="13"/>
      <c r="J693" s="13"/>
      <c r="K693" s="13"/>
      <c r="L693" s="13"/>
      <c r="M693" s="13"/>
      <c r="N693" s="13"/>
      <c r="O693" s="13"/>
      <c r="P693" s="13"/>
      <c r="Q693" s="13"/>
      <c r="R693" s="13"/>
      <c r="S693" s="13"/>
      <c r="T693" s="13"/>
      <c r="U693" s="13"/>
      <c r="V693" s="13"/>
      <c r="W693" s="13"/>
      <c r="X693" s="13"/>
      <c r="Y693" s="13"/>
      <c r="Z693" s="13"/>
      <c r="AA693" s="13"/>
    </row>
    <row r="694" spans="1:27" ht="17.399999999999999" x14ac:dyDescent="0.35">
      <c r="A694" s="13"/>
      <c r="B694" s="13"/>
      <c r="C694" s="13"/>
      <c r="D694" s="13"/>
      <c r="E694" s="13"/>
      <c r="F694" s="13"/>
      <c r="G694" s="13"/>
      <c r="H694" s="13"/>
      <c r="I694" s="13"/>
      <c r="J694" s="13"/>
      <c r="K694" s="13"/>
      <c r="L694" s="13"/>
      <c r="M694" s="13"/>
      <c r="N694" s="13"/>
      <c r="O694" s="13"/>
      <c r="P694" s="13"/>
      <c r="Q694" s="13"/>
      <c r="R694" s="13"/>
      <c r="S694" s="13"/>
      <c r="T694" s="13"/>
      <c r="U694" s="13"/>
      <c r="V694" s="13"/>
      <c r="W694" s="13"/>
      <c r="X694" s="13"/>
      <c r="Y694" s="13"/>
      <c r="Z694" s="13"/>
      <c r="AA694" s="13"/>
    </row>
    <row r="695" spans="1:27" ht="17.399999999999999" x14ac:dyDescent="0.35">
      <c r="A695" s="13"/>
      <c r="B695" s="13"/>
      <c r="C695" s="13"/>
      <c r="D695" s="13"/>
      <c r="E695" s="13"/>
      <c r="F695" s="13"/>
      <c r="G695" s="13"/>
      <c r="H695" s="13"/>
      <c r="I695" s="13"/>
      <c r="J695" s="13"/>
      <c r="K695" s="13"/>
      <c r="L695" s="13"/>
      <c r="M695" s="13"/>
      <c r="N695" s="13"/>
      <c r="O695" s="13"/>
      <c r="P695" s="13"/>
      <c r="Q695" s="13"/>
      <c r="R695" s="13"/>
      <c r="S695" s="13"/>
      <c r="T695" s="13"/>
      <c r="U695" s="13"/>
      <c r="V695" s="13"/>
      <c r="W695" s="13"/>
      <c r="X695" s="13"/>
      <c r="Y695" s="13"/>
      <c r="Z695" s="13"/>
      <c r="AA695" s="13"/>
    </row>
    <row r="696" spans="1:27" ht="17.399999999999999" x14ac:dyDescent="0.35">
      <c r="A696" s="13"/>
      <c r="B696" s="13"/>
      <c r="C696" s="13"/>
      <c r="D696" s="13"/>
      <c r="E696" s="13"/>
      <c r="F696" s="13"/>
      <c r="G696" s="13"/>
      <c r="H696" s="13"/>
      <c r="I696" s="13"/>
      <c r="J696" s="13"/>
      <c r="K696" s="13"/>
      <c r="L696" s="13"/>
      <c r="M696" s="13"/>
      <c r="N696" s="13"/>
      <c r="O696" s="13"/>
      <c r="P696" s="13"/>
      <c r="Q696" s="13"/>
      <c r="R696" s="13"/>
      <c r="S696" s="13"/>
      <c r="T696" s="13"/>
      <c r="U696" s="13"/>
      <c r="V696" s="13"/>
      <c r="W696" s="13"/>
      <c r="X696" s="13"/>
      <c r="Y696" s="13"/>
      <c r="Z696" s="13"/>
      <c r="AA696" s="13"/>
    </row>
    <row r="697" spans="1:27" ht="17.399999999999999" x14ac:dyDescent="0.35">
      <c r="A697" s="13"/>
      <c r="B697" s="13"/>
      <c r="C697" s="13"/>
      <c r="D697" s="13"/>
      <c r="E697" s="13"/>
      <c r="F697" s="13"/>
      <c r="G697" s="13"/>
      <c r="H697" s="13"/>
      <c r="I697" s="13"/>
      <c r="J697" s="13"/>
      <c r="K697" s="13"/>
      <c r="L697" s="13"/>
      <c r="M697" s="13"/>
      <c r="N697" s="13"/>
      <c r="O697" s="13"/>
      <c r="P697" s="13"/>
      <c r="Q697" s="13"/>
      <c r="R697" s="13"/>
      <c r="S697" s="13"/>
      <c r="T697" s="13"/>
      <c r="U697" s="13"/>
      <c r="V697" s="13"/>
      <c r="W697" s="13"/>
      <c r="X697" s="13"/>
      <c r="Y697" s="13"/>
      <c r="Z697" s="13"/>
      <c r="AA697" s="13"/>
    </row>
    <row r="698" spans="1:27" ht="17.399999999999999" x14ac:dyDescent="0.35">
      <c r="A698" s="13"/>
      <c r="B698" s="13"/>
      <c r="C698" s="13"/>
      <c r="D698" s="13"/>
      <c r="E698" s="13"/>
      <c r="F698" s="13"/>
      <c r="G698" s="13"/>
      <c r="H698" s="13"/>
      <c r="I698" s="13"/>
      <c r="J698" s="13"/>
      <c r="K698" s="13"/>
      <c r="L698" s="13"/>
      <c r="M698" s="13"/>
      <c r="N698" s="13"/>
      <c r="O698" s="13"/>
      <c r="P698" s="13"/>
      <c r="Q698" s="13"/>
      <c r="R698" s="13"/>
      <c r="S698" s="13"/>
      <c r="T698" s="13"/>
      <c r="U698" s="13"/>
      <c r="V698" s="13"/>
      <c r="W698" s="13"/>
      <c r="X698" s="13"/>
      <c r="Y698" s="13"/>
      <c r="Z698" s="13"/>
      <c r="AA698" s="13"/>
    </row>
    <row r="699" spans="1:27" ht="17.399999999999999" x14ac:dyDescent="0.35">
      <c r="A699" s="13"/>
      <c r="B699" s="13"/>
      <c r="C699" s="13"/>
      <c r="D699" s="13"/>
      <c r="E699" s="13"/>
      <c r="F699" s="13"/>
      <c r="G699" s="13"/>
      <c r="H699" s="13"/>
      <c r="I699" s="13"/>
      <c r="J699" s="13"/>
      <c r="K699" s="13"/>
      <c r="L699" s="13"/>
      <c r="M699" s="13"/>
      <c r="N699" s="13"/>
      <c r="O699" s="13"/>
      <c r="P699" s="13"/>
      <c r="Q699" s="13"/>
      <c r="R699" s="13"/>
      <c r="S699" s="13"/>
      <c r="T699" s="13"/>
      <c r="U699" s="13"/>
      <c r="V699" s="13"/>
      <c r="W699" s="13"/>
      <c r="X699" s="13"/>
      <c r="Y699" s="13"/>
      <c r="Z699" s="13"/>
      <c r="AA699" s="13"/>
    </row>
    <row r="700" spans="1:27" ht="17.399999999999999" x14ac:dyDescent="0.35">
      <c r="A700" s="13"/>
      <c r="B700" s="13"/>
      <c r="C700" s="13"/>
      <c r="D700" s="13"/>
      <c r="E700" s="13"/>
      <c r="F700" s="13"/>
      <c r="G700" s="13"/>
      <c r="H700" s="13"/>
      <c r="I700" s="13"/>
      <c r="J700" s="13"/>
      <c r="K700" s="13"/>
      <c r="L700" s="13"/>
      <c r="M700" s="13"/>
      <c r="N700" s="13"/>
      <c r="O700" s="13"/>
      <c r="P700" s="13"/>
      <c r="Q700" s="13"/>
      <c r="R700" s="13"/>
      <c r="S700" s="13"/>
      <c r="T700" s="13"/>
      <c r="U700" s="13"/>
      <c r="V700" s="13"/>
      <c r="W700" s="13"/>
      <c r="X700" s="13"/>
      <c r="Y700" s="13"/>
      <c r="Z700" s="13"/>
      <c r="AA700" s="13"/>
    </row>
    <row r="701" spans="1:27" ht="17.399999999999999" x14ac:dyDescent="0.35">
      <c r="A701" s="13"/>
      <c r="B701" s="13"/>
      <c r="C701" s="13"/>
      <c r="D701" s="13"/>
      <c r="E701" s="13"/>
      <c r="F701" s="13"/>
      <c r="G701" s="13"/>
      <c r="H701" s="13"/>
      <c r="I701" s="13"/>
      <c r="J701" s="13"/>
      <c r="K701" s="13"/>
      <c r="L701" s="13"/>
      <c r="M701" s="13"/>
      <c r="N701" s="13"/>
      <c r="O701" s="13"/>
      <c r="P701" s="13"/>
      <c r="Q701" s="13"/>
      <c r="R701" s="13"/>
      <c r="S701" s="13"/>
      <c r="T701" s="13"/>
      <c r="U701" s="13"/>
      <c r="V701" s="13"/>
      <c r="W701" s="13"/>
      <c r="X701" s="13"/>
      <c r="Y701" s="13"/>
      <c r="Z701" s="13"/>
      <c r="AA701" s="13"/>
    </row>
    <row r="702" spans="1:27" ht="17.399999999999999" x14ac:dyDescent="0.35">
      <c r="A702" s="13"/>
      <c r="B702" s="13"/>
      <c r="C702" s="13"/>
      <c r="D702" s="13"/>
      <c r="E702" s="13"/>
      <c r="F702" s="13"/>
      <c r="G702" s="13"/>
      <c r="H702" s="13"/>
      <c r="I702" s="13"/>
      <c r="J702" s="13"/>
      <c r="K702" s="13"/>
      <c r="L702" s="13"/>
      <c r="M702" s="13"/>
      <c r="N702" s="13"/>
      <c r="O702" s="13"/>
      <c r="P702" s="13"/>
      <c r="Q702" s="13"/>
      <c r="R702" s="13"/>
      <c r="S702" s="13"/>
      <c r="T702" s="13"/>
      <c r="U702" s="13"/>
      <c r="V702" s="13"/>
      <c r="W702" s="13"/>
      <c r="X702" s="13"/>
      <c r="Y702" s="13"/>
      <c r="Z702" s="13"/>
      <c r="AA702" s="13"/>
    </row>
    <row r="703" spans="1:27" ht="17.399999999999999" x14ac:dyDescent="0.35">
      <c r="A703" s="13"/>
      <c r="B703" s="13"/>
      <c r="C703" s="13"/>
      <c r="D703" s="13"/>
      <c r="E703" s="13"/>
      <c r="F703" s="13"/>
      <c r="G703" s="13"/>
      <c r="H703" s="13"/>
      <c r="I703" s="13"/>
      <c r="J703" s="13"/>
      <c r="K703" s="13"/>
      <c r="L703" s="13"/>
      <c r="M703" s="13"/>
      <c r="N703" s="13"/>
      <c r="O703" s="13"/>
      <c r="P703" s="13"/>
      <c r="Q703" s="13"/>
      <c r="R703" s="13"/>
      <c r="S703" s="13"/>
      <c r="T703" s="13"/>
      <c r="U703" s="13"/>
      <c r="V703" s="13"/>
      <c r="W703" s="13"/>
      <c r="X703" s="13"/>
      <c r="Y703" s="13"/>
      <c r="Z703" s="13"/>
      <c r="AA703" s="13"/>
    </row>
    <row r="704" spans="1:27" ht="17.399999999999999" x14ac:dyDescent="0.35">
      <c r="A704" s="13"/>
      <c r="B704" s="13"/>
      <c r="C704" s="13"/>
      <c r="D704" s="13"/>
      <c r="E704" s="13"/>
      <c r="F704" s="13"/>
      <c r="G704" s="13"/>
      <c r="H704" s="13"/>
      <c r="I704" s="13"/>
      <c r="J704" s="13"/>
      <c r="K704" s="13"/>
      <c r="L704" s="13"/>
      <c r="M704" s="13"/>
      <c r="N704" s="13"/>
      <c r="O704" s="13"/>
      <c r="P704" s="13"/>
      <c r="Q704" s="13"/>
      <c r="R704" s="13"/>
      <c r="S704" s="13"/>
      <c r="T704" s="13"/>
      <c r="U704" s="13"/>
      <c r="V704" s="13"/>
      <c r="W704" s="13"/>
      <c r="X704" s="13"/>
      <c r="Y704" s="13"/>
      <c r="Z704" s="13"/>
      <c r="AA704" s="13"/>
    </row>
    <row r="705" spans="1:27" ht="17.399999999999999" x14ac:dyDescent="0.35">
      <c r="A705" s="13"/>
      <c r="B705" s="13"/>
      <c r="C705" s="13"/>
      <c r="D705" s="13"/>
      <c r="E705" s="13"/>
      <c r="F705" s="13"/>
      <c r="G705" s="13"/>
      <c r="H705" s="13"/>
      <c r="I705" s="13"/>
      <c r="J705" s="13"/>
      <c r="K705" s="13"/>
      <c r="L705" s="13"/>
      <c r="M705" s="13"/>
      <c r="N705" s="13"/>
      <c r="O705" s="13"/>
      <c r="P705" s="13"/>
      <c r="Q705" s="13"/>
      <c r="R705" s="13"/>
      <c r="S705" s="13"/>
      <c r="T705" s="13"/>
      <c r="U705" s="13"/>
      <c r="V705" s="13"/>
      <c r="W705" s="13"/>
      <c r="X705" s="13"/>
      <c r="Y705" s="13"/>
      <c r="Z705" s="13"/>
      <c r="AA705" s="13"/>
    </row>
    <row r="706" spans="1:27" ht="17.399999999999999" x14ac:dyDescent="0.35">
      <c r="A706" s="13"/>
      <c r="B706" s="13"/>
      <c r="C706" s="13"/>
      <c r="D706" s="13"/>
      <c r="E706" s="13"/>
      <c r="F706" s="13"/>
      <c r="G706" s="13"/>
      <c r="H706" s="13"/>
      <c r="I706" s="13"/>
      <c r="J706" s="13"/>
      <c r="K706" s="13"/>
      <c r="L706" s="13"/>
      <c r="M706" s="13"/>
      <c r="N706" s="13"/>
      <c r="O706" s="13"/>
      <c r="P706" s="13"/>
      <c r="Q706" s="13"/>
      <c r="R706" s="13"/>
      <c r="S706" s="13"/>
      <c r="T706" s="13"/>
      <c r="U706" s="13"/>
      <c r="V706" s="13"/>
      <c r="W706" s="13"/>
      <c r="X706" s="13"/>
      <c r="Y706" s="13"/>
      <c r="Z706" s="13"/>
      <c r="AA706" s="13"/>
    </row>
    <row r="707" spans="1:27" ht="17.399999999999999" x14ac:dyDescent="0.35">
      <c r="A707" s="13"/>
      <c r="B707" s="13"/>
      <c r="C707" s="13"/>
      <c r="D707" s="13"/>
      <c r="E707" s="13"/>
      <c r="F707" s="13"/>
      <c r="G707" s="13"/>
      <c r="H707" s="13"/>
      <c r="I707" s="13"/>
      <c r="J707" s="13"/>
      <c r="K707" s="13"/>
      <c r="L707" s="13"/>
      <c r="M707" s="13"/>
      <c r="N707" s="13"/>
      <c r="O707" s="13"/>
      <c r="P707" s="13"/>
      <c r="Q707" s="13"/>
      <c r="R707" s="13"/>
      <c r="S707" s="13"/>
      <c r="T707" s="13"/>
      <c r="U707" s="13"/>
      <c r="V707" s="13"/>
      <c r="W707" s="13"/>
      <c r="X707" s="13"/>
      <c r="Y707" s="13"/>
      <c r="Z707" s="13"/>
      <c r="AA707" s="13"/>
    </row>
    <row r="708" spans="1:27" ht="17.399999999999999" x14ac:dyDescent="0.35">
      <c r="A708" s="13"/>
      <c r="B708" s="13"/>
      <c r="C708" s="13"/>
      <c r="D708" s="13"/>
      <c r="E708" s="13"/>
      <c r="F708" s="13"/>
      <c r="G708" s="13"/>
      <c r="H708" s="13"/>
      <c r="I708" s="13"/>
      <c r="J708" s="13"/>
      <c r="K708" s="13"/>
      <c r="L708" s="13"/>
      <c r="M708" s="13"/>
      <c r="N708" s="13"/>
      <c r="O708" s="13"/>
      <c r="P708" s="13"/>
      <c r="Q708" s="13"/>
      <c r="R708" s="13"/>
      <c r="S708" s="13"/>
      <c r="T708" s="13"/>
      <c r="U708" s="13"/>
      <c r="V708" s="13"/>
      <c r="W708" s="13"/>
      <c r="X708" s="13"/>
      <c r="Y708" s="13"/>
      <c r="Z708" s="13"/>
      <c r="AA708" s="13"/>
    </row>
    <row r="709" spans="1:27" ht="17.399999999999999" x14ac:dyDescent="0.35">
      <c r="A709" s="13"/>
      <c r="B709" s="13"/>
      <c r="C709" s="13"/>
      <c r="D709" s="13"/>
      <c r="E709" s="13"/>
      <c r="F709" s="13"/>
      <c r="G709" s="13"/>
      <c r="H709" s="13"/>
      <c r="I709" s="13"/>
      <c r="J709" s="13"/>
      <c r="K709" s="13"/>
      <c r="L709" s="13"/>
      <c r="M709" s="13"/>
      <c r="N709" s="13"/>
      <c r="O709" s="13"/>
      <c r="P709" s="13"/>
      <c r="Q709" s="13"/>
      <c r="R709" s="13"/>
      <c r="S709" s="13"/>
      <c r="T709" s="13"/>
      <c r="U709" s="13"/>
      <c r="V709" s="13"/>
      <c r="W709" s="13"/>
      <c r="X709" s="13"/>
      <c r="Y709" s="13"/>
      <c r="Z709" s="13"/>
      <c r="AA709" s="13"/>
    </row>
    <row r="710" spans="1:27" ht="17.399999999999999" x14ac:dyDescent="0.35">
      <c r="A710" s="13"/>
      <c r="B710" s="13"/>
      <c r="C710" s="13"/>
      <c r="D710" s="13"/>
      <c r="E710" s="13"/>
      <c r="F710" s="13"/>
      <c r="G710" s="13"/>
      <c r="H710" s="13"/>
      <c r="I710" s="13"/>
      <c r="J710" s="13"/>
      <c r="K710" s="13"/>
      <c r="L710" s="13"/>
      <c r="M710" s="13"/>
      <c r="N710" s="13"/>
      <c r="O710" s="13"/>
      <c r="P710" s="13"/>
      <c r="Q710" s="13"/>
      <c r="R710" s="13"/>
      <c r="S710" s="13"/>
      <c r="T710" s="13"/>
      <c r="U710" s="13"/>
      <c r="V710" s="13"/>
      <c r="W710" s="13"/>
      <c r="X710" s="13"/>
      <c r="Y710" s="13"/>
      <c r="Z710" s="13"/>
      <c r="AA710" s="13"/>
    </row>
    <row r="711" spans="1:27" ht="17.399999999999999" x14ac:dyDescent="0.35">
      <c r="A711" s="13"/>
      <c r="B711" s="13"/>
      <c r="C711" s="13"/>
      <c r="D711" s="13"/>
      <c r="E711" s="13"/>
      <c r="F711" s="13"/>
      <c r="G711" s="13"/>
      <c r="H711" s="13"/>
      <c r="I711" s="13"/>
      <c r="J711" s="13"/>
      <c r="K711" s="13"/>
      <c r="L711" s="13"/>
      <c r="M711" s="13"/>
      <c r="N711" s="13"/>
      <c r="O711" s="13"/>
      <c r="P711" s="13"/>
      <c r="Q711" s="13"/>
      <c r="R711" s="13"/>
      <c r="S711" s="13"/>
      <c r="T711" s="13"/>
      <c r="U711" s="13"/>
      <c r="V711" s="13"/>
      <c r="W711" s="13"/>
      <c r="X711" s="13"/>
      <c r="Y711" s="13"/>
      <c r="Z711" s="13"/>
      <c r="AA711" s="13"/>
    </row>
    <row r="712" spans="1:27" ht="17.399999999999999" x14ac:dyDescent="0.35">
      <c r="A712" s="13"/>
      <c r="B712" s="13"/>
      <c r="C712" s="13"/>
      <c r="D712" s="13"/>
      <c r="E712" s="13"/>
      <c r="F712" s="13"/>
      <c r="G712" s="13"/>
      <c r="H712" s="13"/>
      <c r="I712" s="13"/>
      <c r="J712" s="13"/>
      <c r="K712" s="13"/>
      <c r="L712" s="13"/>
      <c r="M712" s="13"/>
      <c r="N712" s="13"/>
      <c r="O712" s="13"/>
      <c r="P712" s="13"/>
      <c r="Q712" s="13"/>
      <c r="R712" s="13"/>
      <c r="S712" s="13"/>
      <c r="T712" s="13"/>
      <c r="U712" s="13"/>
      <c r="V712" s="13"/>
      <c r="W712" s="13"/>
      <c r="X712" s="13"/>
      <c r="Y712" s="13"/>
      <c r="Z712" s="13"/>
      <c r="AA712" s="13"/>
    </row>
    <row r="713" spans="1:27" ht="17.399999999999999" x14ac:dyDescent="0.35">
      <c r="A713" s="13"/>
      <c r="B713" s="13"/>
      <c r="C713" s="13"/>
      <c r="D713" s="13"/>
      <c r="E713" s="13"/>
      <c r="F713" s="13"/>
      <c r="G713" s="13"/>
      <c r="H713" s="13"/>
      <c r="I713" s="13"/>
      <c r="J713" s="13"/>
      <c r="K713" s="13"/>
      <c r="L713" s="13"/>
      <c r="M713" s="13"/>
      <c r="N713" s="13"/>
      <c r="O713" s="13"/>
      <c r="P713" s="13"/>
      <c r="Q713" s="13"/>
      <c r="R713" s="13"/>
      <c r="S713" s="13"/>
      <c r="T713" s="13"/>
      <c r="U713" s="13"/>
      <c r="V713" s="13"/>
      <c r="W713" s="13"/>
      <c r="X713" s="13"/>
      <c r="Y713" s="13"/>
      <c r="Z713" s="13"/>
      <c r="AA713" s="13"/>
    </row>
    <row r="714" spans="1:27" ht="17.399999999999999" x14ac:dyDescent="0.35">
      <c r="A714" s="13"/>
      <c r="B714" s="13"/>
      <c r="C714" s="13"/>
      <c r="D714" s="13"/>
      <c r="E714" s="13"/>
      <c r="F714" s="13"/>
      <c r="G714" s="13"/>
      <c r="H714" s="13"/>
      <c r="I714" s="13"/>
      <c r="J714" s="13"/>
      <c r="K714" s="13"/>
      <c r="L714" s="13"/>
      <c r="M714" s="13"/>
      <c r="N714" s="13"/>
      <c r="O714" s="13"/>
      <c r="P714" s="13"/>
      <c r="Q714" s="13"/>
      <c r="R714" s="13"/>
      <c r="S714" s="13"/>
      <c r="T714" s="13"/>
      <c r="U714" s="13"/>
      <c r="V714" s="13"/>
      <c r="W714" s="13"/>
      <c r="X714" s="13"/>
      <c r="Y714" s="13"/>
      <c r="Z714" s="13"/>
      <c r="AA714" s="13"/>
    </row>
    <row r="715" spans="1:27" ht="17.399999999999999" x14ac:dyDescent="0.35">
      <c r="A715" s="13"/>
      <c r="B715" s="13"/>
      <c r="C715" s="13"/>
      <c r="D715" s="13"/>
      <c r="E715" s="13"/>
      <c r="F715" s="13"/>
      <c r="G715" s="13"/>
      <c r="H715" s="13"/>
      <c r="I715" s="13"/>
      <c r="J715" s="13"/>
      <c r="K715" s="13"/>
      <c r="L715" s="13"/>
      <c r="M715" s="13"/>
      <c r="N715" s="13"/>
      <c r="O715" s="13"/>
      <c r="P715" s="13"/>
      <c r="Q715" s="13"/>
      <c r="R715" s="13"/>
      <c r="S715" s="13"/>
      <c r="T715" s="13"/>
      <c r="U715" s="13"/>
      <c r="V715" s="13"/>
      <c r="W715" s="13"/>
      <c r="X715" s="13"/>
      <c r="Y715" s="13"/>
      <c r="Z715" s="13"/>
      <c r="AA715" s="13"/>
    </row>
    <row r="716" spans="1:27" ht="17.399999999999999" x14ac:dyDescent="0.35">
      <c r="A716" s="13"/>
      <c r="B716" s="13"/>
      <c r="C716" s="13"/>
      <c r="D716" s="13"/>
      <c r="E716" s="13"/>
      <c r="F716" s="13"/>
      <c r="G716" s="13"/>
      <c r="H716" s="13"/>
      <c r="I716" s="13"/>
      <c r="J716" s="13"/>
      <c r="K716" s="13"/>
      <c r="L716" s="13"/>
      <c r="M716" s="13"/>
      <c r="N716" s="13"/>
      <c r="O716" s="13"/>
      <c r="P716" s="13"/>
      <c r="Q716" s="13"/>
      <c r="R716" s="13"/>
      <c r="S716" s="13"/>
      <c r="T716" s="13"/>
      <c r="U716" s="13"/>
      <c r="V716" s="13"/>
      <c r="W716" s="13"/>
      <c r="X716" s="13"/>
      <c r="Y716" s="13"/>
      <c r="Z716" s="13"/>
      <c r="AA716" s="13"/>
    </row>
    <row r="717" spans="1:27" ht="17.399999999999999" x14ac:dyDescent="0.35">
      <c r="A717" s="13"/>
      <c r="B717" s="13"/>
      <c r="C717" s="13"/>
      <c r="D717" s="13"/>
      <c r="E717" s="13"/>
      <c r="F717" s="13"/>
      <c r="G717" s="13"/>
      <c r="H717" s="13"/>
      <c r="I717" s="13"/>
      <c r="J717" s="13"/>
      <c r="K717" s="13"/>
      <c r="L717" s="13"/>
      <c r="M717" s="13"/>
      <c r="N717" s="13"/>
      <c r="O717" s="13"/>
      <c r="P717" s="13"/>
      <c r="Q717" s="13"/>
      <c r="R717" s="13"/>
      <c r="S717" s="13"/>
      <c r="T717" s="13"/>
      <c r="U717" s="13"/>
      <c r="V717" s="13"/>
      <c r="W717" s="13"/>
      <c r="X717" s="13"/>
      <c r="Y717" s="13"/>
      <c r="Z717" s="13"/>
      <c r="AA717" s="13"/>
    </row>
    <row r="718" spans="1:27" ht="17.399999999999999" x14ac:dyDescent="0.35">
      <c r="A718" s="13"/>
      <c r="B718" s="13"/>
      <c r="C718" s="13"/>
      <c r="D718" s="13"/>
      <c r="E718" s="13"/>
      <c r="F718" s="13"/>
      <c r="G718" s="13"/>
      <c r="H718" s="13"/>
      <c r="I718" s="13"/>
      <c r="J718" s="13"/>
      <c r="K718" s="13"/>
      <c r="L718" s="13"/>
      <c r="M718" s="13"/>
      <c r="N718" s="13"/>
      <c r="O718" s="13"/>
      <c r="P718" s="13"/>
      <c r="Q718" s="13"/>
      <c r="R718" s="13"/>
      <c r="S718" s="13"/>
      <c r="T718" s="13"/>
      <c r="U718" s="13"/>
      <c r="V718" s="13"/>
      <c r="W718" s="13"/>
      <c r="X718" s="13"/>
      <c r="Y718" s="13"/>
      <c r="Z718" s="13"/>
      <c r="AA718" s="13"/>
    </row>
    <row r="719" spans="1:27" ht="17.399999999999999" x14ac:dyDescent="0.35">
      <c r="A719" s="13"/>
      <c r="B719" s="13"/>
      <c r="C719" s="13"/>
      <c r="D719" s="13"/>
      <c r="E719" s="13"/>
      <c r="F719" s="13"/>
      <c r="G719" s="13"/>
      <c r="H719" s="13"/>
      <c r="I719" s="13"/>
      <c r="J719" s="13"/>
      <c r="K719" s="13"/>
      <c r="L719" s="13"/>
      <c r="M719" s="13"/>
      <c r="N719" s="13"/>
      <c r="O719" s="13"/>
      <c r="P719" s="13"/>
      <c r="Q719" s="13"/>
      <c r="R719" s="13"/>
      <c r="S719" s="13"/>
      <c r="T719" s="13"/>
      <c r="U719" s="13"/>
      <c r="V719" s="13"/>
      <c r="W719" s="13"/>
      <c r="X719" s="13"/>
      <c r="Y719" s="13"/>
      <c r="Z719" s="13"/>
      <c r="AA719" s="13"/>
    </row>
    <row r="720" spans="1:27" ht="17.399999999999999" x14ac:dyDescent="0.35">
      <c r="A720" s="13"/>
      <c r="B720" s="13"/>
      <c r="C720" s="13"/>
      <c r="D720" s="13"/>
      <c r="E720" s="13"/>
      <c r="F720" s="13"/>
      <c r="G720" s="13"/>
      <c r="H720" s="13"/>
      <c r="I720" s="13"/>
      <c r="J720" s="13"/>
      <c r="K720" s="13"/>
      <c r="L720" s="13"/>
      <c r="M720" s="13"/>
      <c r="N720" s="13"/>
      <c r="O720" s="13"/>
      <c r="P720" s="13"/>
      <c r="Q720" s="13"/>
      <c r="R720" s="13"/>
      <c r="S720" s="13"/>
      <c r="T720" s="13"/>
      <c r="U720" s="13"/>
      <c r="V720" s="13"/>
      <c r="W720" s="13"/>
      <c r="X720" s="13"/>
      <c r="Y720" s="13"/>
      <c r="Z720" s="13"/>
      <c r="AA720" s="13"/>
    </row>
    <row r="721" spans="1:27" ht="17.399999999999999" x14ac:dyDescent="0.35">
      <c r="A721" s="13"/>
      <c r="B721" s="13"/>
      <c r="C721" s="13"/>
      <c r="D721" s="13"/>
      <c r="E721" s="13"/>
      <c r="F721" s="13"/>
      <c r="G721" s="13"/>
      <c r="H721" s="13"/>
      <c r="I721" s="13"/>
      <c r="J721" s="13"/>
      <c r="K721" s="13"/>
      <c r="L721" s="13"/>
      <c r="M721" s="13"/>
      <c r="N721" s="13"/>
      <c r="O721" s="13"/>
      <c r="P721" s="13"/>
      <c r="Q721" s="13"/>
      <c r="R721" s="13"/>
      <c r="S721" s="13"/>
      <c r="T721" s="13"/>
      <c r="U721" s="13"/>
      <c r="V721" s="13"/>
      <c r="W721" s="13"/>
      <c r="X721" s="13"/>
      <c r="Y721" s="13"/>
      <c r="Z721" s="13"/>
      <c r="AA721" s="13"/>
    </row>
    <row r="722" spans="1:27" ht="17.399999999999999" x14ac:dyDescent="0.35">
      <c r="A722" s="13"/>
      <c r="B722" s="13"/>
      <c r="C722" s="13"/>
      <c r="D722" s="13"/>
      <c r="E722" s="13"/>
      <c r="F722" s="13"/>
      <c r="G722" s="13"/>
      <c r="H722" s="13"/>
      <c r="I722" s="13"/>
      <c r="J722" s="13"/>
      <c r="K722" s="13"/>
      <c r="L722" s="13"/>
      <c r="M722" s="13"/>
      <c r="N722" s="13"/>
      <c r="O722" s="13"/>
      <c r="P722" s="13"/>
      <c r="Q722" s="13"/>
      <c r="R722" s="13"/>
      <c r="S722" s="13"/>
      <c r="T722" s="13"/>
      <c r="U722" s="13"/>
      <c r="V722" s="13"/>
      <c r="W722" s="13"/>
      <c r="X722" s="13"/>
      <c r="Y722" s="13"/>
      <c r="Z722" s="13"/>
      <c r="AA722" s="13"/>
    </row>
    <row r="723" spans="1:27" ht="17.399999999999999" x14ac:dyDescent="0.35">
      <c r="A723" s="13"/>
      <c r="B723" s="13"/>
      <c r="C723" s="13"/>
      <c r="D723" s="13"/>
      <c r="E723" s="13"/>
      <c r="F723" s="13"/>
      <c r="G723" s="13"/>
      <c r="H723" s="13"/>
      <c r="I723" s="13"/>
      <c r="J723" s="13"/>
      <c r="K723" s="13"/>
      <c r="L723" s="13"/>
      <c r="M723" s="13"/>
      <c r="N723" s="13"/>
      <c r="O723" s="13"/>
      <c r="P723" s="13"/>
      <c r="Q723" s="13"/>
      <c r="R723" s="13"/>
      <c r="S723" s="13"/>
      <c r="T723" s="13"/>
      <c r="U723" s="13"/>
      <c r="V723" s="13"/>
      <c r="W723" s="13"/>
      <c r="X723" s="13"/>
      <c r="Y723" s="13"/>
      <c r="Z723" s="13"/>
      <c r="AA723" s="13"/>
    </row>
    <row r="724" spans="1:27" ht="17.399999999999999" x14ac:dyDescent="0.35">
      <c r="A724" s="13"/>
      <c r="B724" s="13"/>
      <c r="C724" s="13"/>
      <c r="D724" s="13"/>
      <c r="E724" s="13"/>
      <c r="F724" s="13"/>
      <c r="G724" s="13"/>
      <c r="H724" s="13"/>
      <c r="I724" s="13"/>
      <c r="J724" s="13"/>
      <c r="K724" s="13"/>
      <c r="L724" s="13"/>
      <c r="M724" s="13"/>
      <c r="N724" s="13"/>
      <c r="O724" s="13"/>
      <c r="P724" s="13"/>
      <c r="Q724" s="13"/>
      <c r="R724" s="13"/>
      <c r="S724" s="13"/>
      <c r="T724" s="13"/>
      <c r="U724" s="13"/>
      <c r="V724" s="13"/>
      <c r="W724" s="13"/>
      <c r="X724" s="13"/>
      <c r="Y724" s="13"/>
      <c r="Z724" s="13"/>
      <c r="AA724" s="13"/>
    </row>
    <row r="725" spans="1:27" ht="17.399999999999999" x14ac:dyDescent="0.35">
      <c r="A725" s="13"/>
      <c r="B725" s="13"/>
      <c r="C725" s="13"/>
      <c r="D725" s="13"/>
      <c r="E725" s="13"/>
      <c r="F725" s="13"/>
      <c r="G725" s="13"/>
      <c r="H725" s="13"/>
      <c r="I725" s="13"/>
      <c r="J725" s="13"/>
      <c r="K725" s="13"/>
      <c r="L725" s="13"/>
      <c r="M725" s="13"/>
      <c r="N725" s="13"/>
      <c r="O725" s="13"/>
      <c r="P725" s="13"/>
      <c r="Q725" s="13"/>
      <c r="R725" s="13"/>
      <c r="S725" s="13"/>
      <c r="T725" s="13"/>
      <c r="U725" s="13"/>
      <c r="V725" s="13"/>
      <c r="W725" s="13"/>
      <c r="X725" s="13"/>
      <c r="Y725" s="13"/>
      <c r="Z725" s="13"/>
      <c r="AA725" s="13"/>
    </row>
    <row r="726" spans="1:27" ht="17.399999999999999" x14ac:dyDescent="0.35">
      <c r="A726" s="13"/>
      <c r="B726" s="13"/>
      <c r="C726" s="13"/>
      <c r="D726" s="13"/>
      <c r="E726" s="13"/>
      <c r="F726" s="13"/>
      <c r="G726" s="13"/>
      <c r="H726" s="13"/>
      <c r="I726" s="13"/>
      <c r="J726" s="13"/>
      <c r="K726" s="13"/>
      <c r="L726" s="13"/>
      <c r="M726" s="13"/>
      <c r="N726" s="13"/>
      <c r="O726" s="13"/>
      <c r="P726" s="13"/>
      <c r="Q726" s="13"/>
      <c r="R726" s="13"/>
      <c r="S726" s="13"/>
      <c r="T726" s="13"/>
      <c r="U726" s="13"/>
      <c r="V726" s="13"/>
      <c r="W726" s="13"/>
      <c r="X726" s="13"/>
      <c r="Y726" s="13"/>
      <c r="Z726" s="13"/>
      <c r="AA726" s="13"/>
    </row>
    <row r="727" spans="1:27" ht="17.399999999999999" x14ac:dyDescent="0.35">
      <c r="A727" s="13"/>
      <c r="B727" s="13"/>
      <c r="C727" s="13"/>
      <c r="D727" s="13"/>
      <c r="E727" s="13"/>
      <c r="F727" s="13"/>
      <c r="G727" s="13"/>
      <c r="H727" s="13"/>
      <c r="I727" s="13"/>
      <c r="J727" s="13"/>
      <c r="K727" s="13"/>
      <c r="L727" s="13"/>
      <c r="M727" s="13"/>
      <c r="N727" s="13"/>
      <c r="O727" s="13"/>
      <c r="P727" s="13"/>
      <c r="Q727" s="13"/>
      <c r="R727" s="13"/>
      <c r="S727" s="13"/>
      <c r="T727" s="13"/>
      <c r="U727" s="13"/>
      <c r="V727" s="13"/>
      <c r="W727" s="13"/>
      <c r="X727" s="13"/>
      <c r="Y727" s="13"/>
      <c r="Z727" s="13"/>
      <c r="AA727" s="13"/>
    </row>
    <row r="728" spans="1:27" ht="17.399999999999999" x14ac:dyDescent="0.35">
      <c r="A728" s="13"/>
      <c r="B728" s="13"/>
      <c r="C728" s="13"/>
      <c r="D728" s="13"/>
      <c r="E728" s="13"/>
      <c r="F728" s="13"/>
      <c r="G728" s="13"/>
      <c r="H728" s="13"/>
      <c r="I728" s="13"/>
      <c r="J728" s="13"/>
      <c r="K728" s="13"/>
      <c r="L728" s="13"/>
      <c r="M728" s="13"/>
      <c r="N728" s="13"/>
      <c r="O728" s="13"/>
      <c r="P728" s="13"/>
      <c r="Q728" s="13"/>
      <c r="R728" s="13"/>
      <c r="S728" s="13"/>
      <c r="T728" s="13"/>
      <c r="U728" s="13"/>
      <c r="V728" s="13"/>
      <c r="W728" s="13"/>
      <c r="X728" s="13"/>
      <c r="Y728" s="13"/>
      <c r="Z728" s="13"/>
      <c r="AA728" s="13"/>
    </row>
    <row r="729" spans="1:27" ht="17.399999999999999" x14ac:dyDescent="0.35">
      <c r="A729" s="13"/>
      <c r="B729" s="13"/>
      <c r="C729" s="13"/>
      <c r="D729" s="13"/>
      <c r="E729" s="13"/>
      <c r="F729" s="13"/>
      <c r="G729" s="13"/>
      <c r="H729" s="13"/>
      <c r="I729" s="13"/>
      <c r="J729" s="13"/>
      <c r="K729" s="13"/>
      <c r="L729" s="13"/>
      <c r="M729" s="13"/>
      <c r="N729" s="13"/>
      <c r="O729" s="13"/>
      <c r="P729" s="13"/>
      <c r="Q729" s="13"/>
      <c r="R729" s="13"/>
      <c r="S729" s="13"/>
      <c r="T729" s="13"/>
      <c r="U729" s="13"/>
      <c r="V729" s="13"/>
      <c r="W729" s="13"/>
      <c r="X729" s="13"/>
      <c r="Y729" s="13"/>
      <c r="Z729" s="13"/>
      <c r="AA729" s="13"/>
    </row>
    <row r="730" spans="1:27" ht="17.399999999999999" x14ac:dyDescent="0.35">
      <c r="A730" s="13"/>
      <c r="B730" s="13"/>
      <c r="C730" s="13"/>
      <c r="D730" s="13"/>
      <c r="E730" s="13"/>
      <c r="F730" s="13"/>
      <c r="G730" s="13"/>
      <c r="H730" s="13"/>
      <c r="I730" s="13"/>
      <c r="J730" s="13"/>
      <c r="K730" s="13"/>
      <c r="L730" s="13"/>
      <c r="M730" s="13"/>
      <c r="N730" s="13"/>
      <c r="O730" s="13"/>
      <c r="P730" s="13"/>
      <c r="Q730" s="13"/>
      <c r="R730" s="13"/>
      <c r="S730" s="13"/>
      <c r="T730" s="13"/>
      <c r="U730" s="13"/>
      <c r="V730" s="13"/>
      <c r="W730" s="13"/>
      <c r="X730" s="13"/>
      <c r="Y730" s="13"/>
      <c r="Z730" s="13"/>
      <c r="AA730" s="13"/>
    </row>
    <row r="731" spans="1:27" ht="17.399999999999999" x14ac:dyDescent="0.35">
      <c r="A731" s="13"/>
      <c r="B731" s="13"/>
      <c r="C731" s="13"/>
      <c r="D731" s="13"/>
      <c r="E731" s="13"/>
      <c r="F731" s="13"/>
      <c r="G731" s="13"/>
      <c r="H731" s="13"/>
      <c r="I731" s="13"/>
      <c r="J731" s="13"/>
      <c r="K731" s="13"/>
      <c r="L731" s="13"/>
      <c r="M731" s="13"/>
      <c r="N731" s="13"/>
      <c r="O731" s="13"/>
      <c r="P731" s="13"/>
      <c r="Q731" s="13"/>
      <c r="R731" s="13"/>
      <c r="S731" s="13"/>
      <c r="T731" s="13"/>
      <c r="U731" s="13"/>
      <c r="V731" s="13"/>
      <c r="W731" s="13"/>
      <c r="X731" s="13"/>
      <c r="Y731" s="13"/>
      <c r="Z731" s="13"/>
      <c r="AA731" s="13"/>
    </row>
    <row r="732" spans="1:27" ht="17.399999999999999" x14ac:dyDescent="0.35">
      <c r="A732" s="13"/>
      <c r="B732" s="13"/>
      <c r="C732" s="13"/>
      <c r="D732" s="13"/>
      <c r="E732" s="13"/>
      <c r="F732" s="13"/>
      <c r="G732" s="13"/>
      <c r="H732" s="13"/>
      <c r="I732" s="13"/>
      <c r="J732" s="13"/>
      <c r="K732" s="13"/>
      <c r="L732" s="13"/>
      <c r="M732" s="13"/>
      <c r="N732" s="13"/>
      <c r="O732" s="13"/>
      <c r="P732" s="13"/>
      <c r="Q732" s="13"/>
      <c r="R732" s="13"/>
      <c r="S732" s="13"/>
      <c r="T732" s="13"/>
      <c r="U732" s="13"/>
      <c r="V732" s="13"/>
      <c r="W732" s="13"/>
      <c r="X732" s="13"/>
      <c r="Y732" s="13"/>
      <c r="Z732" s="13"/>
      <c r="AA732" s="13"/>
    </row>
    <row r="733" spans="1:27" ht="17.399999999999999" x14ac:dyDescent="0.35">
      <c r="A733" s="13"/>
      <c r="B733" s="13"/>
      <c r="C733" s="13"/>
      <c r="D733" s="13"/>
      <c r="E733" s="13"/>
      <c r="F733" s="13"/>
      <c r="G733" s="13"/>
      <c r="H733" s="13"/>
      <c r="I733" s="13"/>
      <c r="J733" s="13"/>
      <c r="K733" s="13"/>
      <c r="L733" s="13"/>
      <c r="M733" s="13"/>
      <c r="N733" s="13"/>
      <c r="O733" s="13"/>
      <c r="P733" s="13"/>
      <c r="Q733" s="13"/>
      <c r="R733" s="13"/>
      <c r="S733" s="13"/>
      <c r="T733" s="13"/>
      <c r="U733" s="13"/>
      <c r="V733" s="13"/>
      <c r="W733" s="13"/>
      <c r="X733" s="13"/>
      <c r="Y733" s="13"/>
      <c r="Z733" s="13"/>
      <c r="AA733" s="13"/>
    </row>
    <row r="734" spans="1:27" ht="17.399999999999999" x14ac:dyDescent="0.35">
      <c r="A734" s="13"/>
      <c r="B734" s="13"/>
      <c r="C734" s="13"/>
      <c r="D734" s="13"/>
      <c r="E734" s="13"/>
      <c r="F734" s="13"/>
      <c r="G734" s="13"/>
      <c r="H734" s="13"/>
      <c r="I734" s="13"/>
      <c r="J734" s="13"/>
      <c r="K734" s="13"/>
      <c r="L734" s="13"/>
      <c r="M734" s="13"/>
      <c r="N734" s="13"/>
      <c r="O734" s="13"/>
      <c r="P734" s="13"/>
      <c r="Q734" s="13"/>
      <c r="R734" s="13"/>
      <c r="S734" s="13"/>
      <c r="T734" s="13"/>
      <c r="U734" s="13"/>
      <c r="V734" s="13"/>
      <c r="W734" s="13"/>
      <c r="X734" s="13"/>
      <c r="Y734" s="13"/>
      <c r="Z734" s="13"/>
      <c r="AA734" s="13"/>
    </row>
    <row r="735" spans="1:27" ht="17.399999999999999" x14ac:dyDescent="0.35">
      <c r="A735" s="13"/>
      <c r="B735" s="13"/>
      <c r="C735" s="13"/>
      <c r="D735" s="13"/>
      <c r="E735" s="13"/>
      <c r="F735" s="13"/>
      <c r="G735" s="13"/>
      <c r="H735" s="13"/>
      <c r="I735" s="13"/>
      <c r="J735" s="13"/>
      <c r="K735" s="13"/>
      <c r="L735" s="13"/>
      <c r="M735" s="13"/>
      <c r="N735" s="13"/>
      <c r="O735" s="13"/>
      <c r="P735" s="13"/>
      <c r="Q735" s="13"/>
      <c r="R735" s="13"/>
      <c r="S735" s="13"/>
      <c r="T735" s="13"/>
      <c r="U735" s="13"/>
      <c r="V735" s="13"/>
      <c r="W735" s="13"/>
      <c r="X735" s="13"/>
      <c r="Y735" s="13"/>
      <c r="Z735" s="13"/>
      <c r="AA735" s="13"/>
    </row>
    <row r="736" spans="1:27" ht="17.399999999999999" x14ac:dyDescent="0.35">
      <c r="A736" s="13"/>
      <c r="B736" s="13"/>
      <c r="C736" s="13"/>
      <c r="D736" s="13"/>
      <c r="E736" s="13"/>
      <c r="F736" s="13"/>
      <c r="G736" s="13"/>
      <c r="H736" s="13"/>
      <c r="I736" s="13"/>
      <c r="J736" s="13"/>
      <c r="K736" s="13"/>
      <c r="L736" s="13"/>
      <c r="M736" s="13"/>
      <c r="N736" s="13"/>
      <c r="O736" s="13"/>
      <c r="P736" s="13"/>
      <c r="Q736" s="13"/>
      <c r="R736" s="13"/>
      <c r="S736" s="13"/>
      <c r="T736" s="13"/>
      <c r="U736" s="13"/>
      <c r="V736" s="13"/>
      <c r="W736" s="13"/>
      <c r="X736" s="13"/>
      <c r="Y736" s="13"/>
      <c r="Z736" s="13"/>
      <c r="AA736" s="13"/>
    </row>
    <row r="737" spans="1:27" ht="17.399999999999999" x14ac:dyDescent="0.35">
      <c r="A737" s="13"/>
      <c r="B737" s="13"/>
      <c r="C737" s="13"/>
      <c r="D737" s="13"/>
      <c r="E737" s="13"/>
      <c r="F737" s="13"/>
      <c r="G737" s="13"/>
      <c r="H737" s="13"/>
      <c r="I737" s="13"/>
      <c r="J737" s="13"/>
      <c r="K737" s="13"/>
      <c r="L737" s="13"/>
      <c r="M737" s="13"/>
      <c r="N737" s="13"/>
      <c r="O737" s="13"/>
      <c r="P737" s="13"/>
      <c r="Q737" s="13"/>
      <c r="R737" s="13"/>
      <c r="S737" s="13"/>
      <c r="T737" s="13"/>
      <c r="U737" s="13"/>
      <c r="V737" s="13"/>
      <c r="W737" s="13"/>
      <c r="X737" s="13"/>
      <c r="Y737" s="13"/>
      <c r="Z737" s="13"/>
      <c r="AA737" s="13"/>
    </row>
    <row r="738" spans="1:27" ht="17.399999999999999" x14ac:dyDescent="0.35">
      <c r="A738" s="13"/>
      <c r="B738" s="13"/>
      <c r="C738" s="13"/>
      <c r="D738" s="13"/>
      <c r="E738" s="13"/>
      <c r="F738" s="13"/>
      <c r="G738" s="13"/>
      <c r="H738" s="13"/>
      <c r="I738" s="13"/>
      <c r="J738" s="13"/>
      <c r="K738" s="13"/>
      <c r="L738" s="13"/>
      <c r="M738" s="13"/>
      <c r="N738" s="13"/>
      <c r="O738" s="13"/>
      <c r="P738" s="13"/>
      <c r="Q738" s="13"/>
      <c r="R738" s="13"/>
      <c r="S738" s="13"/>
      <c r="T738" s="13"/>
      <c r="U738" s="13"/>
      <c r="V738" s="13"/>
      <c r="W738" s="13"/>
      <c r="X738" s="13"/>
      <c r="Y738" s="13"/>
      <c r="Z738" s="13"/>
      <c r="AA738" s="13"/>
    </row>
    <row r="739" spans="1:27" ht="17.399999999999999" x14ac:dyDescent="0.35">
      <c r="A739" s="13"/>
      <c r="B739" s="13"/>
      <c r="C739" s="13"/>
      <c r="D739" s="13"/>
      <c r="E739" s="13"/>
      <c r="F739" s="13"/>
      <c r="G739" s="13"/>
      <c r="H739" s="13"/>
      <c r="I739" s="13"/>
      <c r="J739" s="13"/>
      <c r="K739" s="13"/>
      <c r="L739" s="13"/>
      <c r="M739" s="13"/>
      <c r="N739" s="13"/>
      <c r="O739" s="13"/>
      <c r="P739" s="13"/>
      <c r="Q739" s="13"/>
      <c r="R739" s="13"/>
      <c r="S739" s="13"/>
      <c r="T739" s="13"/>
      <c r="U739" s="13"/>
      <c r="V739" s="13"/>
      <c r="W739" s="13"/>
      <c r="X739" s="13"/>
      <c r="Y739" s="13"/>
      <c r="Z739" s="13"/>
      <c r="AA739" s="13"/>
    </row>
    <row r="740" spans="1:27" ht="17.399999999999999" x14ac:dyDescent="0.35">
      <c r="A740" s="13"/>
      <c r="B740" s="13"/>
      <c r="C740" s="13"/>
      <c r="D740" s="13"/>
      <c r="E740" s="13"/>
      <c r="F740" s="13"/>
      <c r="G740" s="13"/>
      <c r="H740" s="13"/>
      <c r="I740" s="13"/>
      <c r="J740" s="13"/>
      <c r="K740" s="13"/>
      <c r="L740" s="13"/>
      <c r="M740" s="13"/>
      <c r="N740" s="13"/>
      <c r="O740" s="13"/>
      <c r="P740" s="13"/>
      <c r="Q740" s="13"/>
      <c r="R740" s="13"/>
      <c r="S740" s="13"/>
      <c r="T740" s="13"/>
      <c r="U740" s="13"/>
      <c r="V740" s="13"/>
      <c r="W740" s="13"/>
      <c r="X740" s="13"/>
      <c r="Y740" s="13"/>
      <c r="Z740" s="13"/>
      <c r="AA740" s="13"/>
    </row>
    <row r="741" spans="1:27" ht="17.399999999999999" x14ac:dyDescent="0.35">
      <c r="A741" s="13"/>
      <c r="B741" s="13"/>
      <c r="C741" s="13"/>
      <c r="D741" s="13"/>
      <c r="E741" s="13"/>
      <c r="F741" s="13"/>
      <c r="G741" s="13"/>
      <c r="H741" s="13"/>
      <c r="I741" s="13"/>
      <c r="J741" s="13"/>
      <c r="K741" s="13"/>
      <c r="L741" s="13"/>
      <c r="M741" s="13"/>
      <c r="N741" s="13"/>
      <c r="O741" s="13"/>
      <c r="P741" s="13"/>
      <c r="Q741" s="13"/>
      <c r="R741" s="13"/>
      <c r="S741" s="13"/>
      <c r="T741" s="13"/>
      <c r="U741" s="13"/>
      <c r="V741" s="13"/>
      <c r="W741" s="13"/>
      <c r="X741" s="13"/>
      <c r="Y741" s="13"/>
      <c r="Z741" s="13"/>
      <c r="AA741" s="13"/>
    </row>
    <row r="742" spans="1:27" ht="17.399999999999999" x14ac:dyDescent="0.35">
      <c r="A742" s="13"/>
      <c r="B742" s="13"/>
      <c r="C742" s="13"/>
      <c r="D742" s="13"/>
      <c r="E742" s="13"/>
      <c r="F742" s="13"/>
      <c r="G742" s="13"/>
      <c r="H742" s="13"/>
      <c r="I742" s="13"/>
      <c r="J742" s="13"/>
      <c r="K742" s="13"/>
      <c r="L742" s="13"/>
      <c r="M742" s="13"/>
      <c r="N742" s="13"/>
      <c r="O742" s="13"/>
      <c r="P742" s="13"/>
      <c r="Q742" s="13"/>
      <c r="R742" s="13"/>
      <c r="S742" s="13"/>
      <c r="T742" s="13"/>
      <c r="U742" s="13"/>
      <c r="V742" s="13"/>
      <c r="W742" s="13"/>
      <c r="X742" s="13"/>
      <c r="Y742" s="13"/>
      <c r="Z742" s="13"/>
      <c r="AA742" s="13"/>
    </row>
    <row r="743" spans="1:27" ht="17.399999999999999" x14ac:dyDescent="0.35">
      <c r="A743" s="13"/>
      <c r="B743" s="13"/>
      <c r="C743" s="13"/>
      <c r="D743" s="13"/>
      <c r="E743" s="13"/>
      <c r="F743" s="13"/>
      <c r="G743" s="13"/>
      <c r="H743" s="13"/>
      <c r="I743" s="13"/>
      <c r="J743" s="13"/>
      <c r="K743" s="13"/>
      <c r="L743" s="13"/>
      <c r="M743" s="13"/>
      <c r="N743" s="13"/>
      <c r="O743" s="13"/>
      <c r="P743" s="13"/>
      <c r="Q743" s="13"/>
      <c r="R743" s="13"/>
      <c r="S743" s="13"/>
      <c r="T743" s="13"/>
      <c r="U743" s="13"/>
      <c r="V743" s="13"/>
      <c r="W743" s="13"/>
      <c r="X743" s="13"/>
      <c r="Y743" s="13"/>
      <c r="Z743" s="13"/>
      <c r="AA743" s="13"/>
    </row>
    <row r="744" spans="1:27" ht="17.399999999999999" x14ac:dyDescent="0.35">
      <c r="A744" s="13"/>
      <c r="B744" s="13"/>
      <c r="C744" s="13"/>
      <c r="D744" s="13"/>
      <c r="E744" s="13"/>
      <c r="F744" s="13"/>
      <c r="G744" s="13"/>
      <c r="H744" s="13"/>
      <c r="I744" s="13"/>
      <c r="J744" s="13"/>
      <c r="K744" s="13"/>
      <c r="L744" s="13"/>
      <c r="M744" s="13"/>
      <c r="N744" s="13"/>
      <c r="O744" s="13"/>
      <c r="P744" s="13"/>
      <c r="Q744" s="13"/>
      <c r="R744" s="13"/>
      <c r="S744" s="13"/>
      <c r="T744" s="13"/>
      <c r="U744" s="13"/>
      <c r="V744" s="13"/>
      <c r="W744" s="13"/>
      <c r="X744" s="13"/>
      <c r="Y744" s="13"/>
      <c r="Z744" s="13"/>
      <c r="AA744" s="13"/>
    </row>
    <row r="745" spans="1:27" ht="17.399999999999999" x14ac:dyDescent="0.35">
      <c r="A745" s="13"/>
      <c r="B745" s="13"/>
      <c r="C745" s="13"/>
      <c r="D745" s="13"/>
      <c r="E745" s="13"/>
      <c r="F745" s="13"/>
      <c r="G745" s="13"/>
      <c r="H745" s="13"/>
      <c r="I745" s="13"/>
      <c r="J745" s="13"/>
      <c r="K745" s="13"/>
      <c r="L745" s="13"/>
      <c r="M745" s="13"/>
      <c r="N745" s="13"/>
      <c r="O745" s="13"/>
      <c r="P745" s="13"/>
      <c r="Q745" s="13"/>
      <c r="R745" s="13"/>
      <c r="S745" s="13"/>
      <c r="T745" s="13"/>
      <c r="U745" s="13"/>
      <c r="V745" s="13"/>
      <c r="W745" s="13"/>
      <c r="X745" s="13"/>
      <c r="Y745" s="13"/>
      <c r="Z745" s="13"/>
      <c r="AA745" s="13"/>
    </row>
    <row r="746" spans="1:27" ht="17.399999999999999" x14ac:dyDescent="0.35">
      <c r="A746" s="13"/>
      <c r="B746" s="13"/>
      <c r="C746" s="13"/>
      <c r="D746" s="13"/>
      <c r="E746" s="13"/>
      <c r="F746" s="13"/>
      <c r="G746" s="13"/>
      <c r="H746" s="13"/>
      <c r="I746" s="13"/>
      <c r="J746" s="13"/>
      <c r="K746" s="13"/>
      <c r="L746" s="13"/>
      <c r="M746" s="13"/>
      <c r="N746" s="13"/>
      <c r="O746" s="13"/>
      <c r="P746" s="13"/>
      <c r="Q746" s="13"/>
      <c r="R746" s="13"/>
      <c r="S746" s="13"/>
      <c r="T746" s="13"/>
      <c r="U746" s="13"/>
      <c r="V746" s="13"/>
      <c r="W746" s="13"/>
      <c r="X746" s="13"/>
      <c r="Y746" s="13"/>
      <c r="Z746" s="13"/>
      <c r="AA746" s="13"/>
    </row>
    <row r="747" spans="1:27" ht="17.399999999999999" x14ac:dyDescent="0.35">
      <c r="A747" s="13"/>
      <c r="B747" s="13"/>
      <c r="C747" s="13"/>
      <c r="D747" s="13"/>
      <c r="E747" s="13"/>
      <c r="F747" s="13"/>
      <c r="G747" s="13"/>
      <c r="H747" s="13"/>
      <c r="I747" s="13"/>
      <c r="J747" s="13"/>
      <c r="K747" s="13"/>
      <c r="L747" s="13"/>
      <c r="M747" s="13"/>
      <c r="N747" s="13"/>
      <c r="O747" s="13"/>
      <c r="P747" s="13"/>
      <c r="Q747" s="13"/>
      <c r="R747" s="13"/>
      <c r="S747" s="13"/>
      <c r="T747" s="13"/>
      <c r="U747" s="13"/>
      <c r="V747" s="13"/>
      <c r="W747" s="13"/>
      <c r="X747" s="13"/>
      <c r="Y747" s="13"/>
      <c r="Z747" s="13"/>
      <c r="AA747" s="13"/>
    </row>
    <row r="748" spans="1:27" ht="17.399999999999999" x14ac:dyDescent="0.35">
      <c r="A748" s="13"/>
      <c r="B748" s="13"/>
      <c r="C748" s="13"/>
      <c r="D748" s="13"/>
      <c r="E748" s="13"/>
      <c r="F748" s="13"/>
      <c r="G748" s="13"/>
      <c r="H748" s="13"/>
      <c r="I748" s="13"/>
      <c r="J748" s="13"/>
      <c r="K748" s="13"/>
      <c r="L748" s="13"/>
      <c r="M748" s="13"/>
      <c r="N748" s="13"/>
      <c r="O748" s="13"/>
      <c r="P748" s="13"/>
      <c r="Q748" s="13"/>
      <c r="R748" s="13"/>
      <c r="S748" s="13"/>
      <c r="T748" s="13"/>
      <c r="U748" s="13"/>
      <c r="V748" s="13"/>
      <c r="W748" s="13"/>
      <c r="X748" s="13"/>
      <c r="Y748" s="13"/>
      <c r="Z748" s="13"/>
      <c r="AA748" s="13"/>
    </row>
    <row r="749" spans="1:27" ht="17.399999999999999" x14ac:dyDescent="0.35">
      <c r="A749" s="13"/>
      <c r="B749" s="13"/>
      <c r="C749" s="13"/>
      <c r="D749" s="13"/>
      <c r="E749" s="13"/>
      <c r="F749" s="13"/>
      <c r="G749" s="13"/>
      <c r="H749" s="13"/>
      <c r="I749" s="13"/>
      <c r="J749" s="13"/>
      <c r="K749" s="13"/>
      <c r="L749" s="13"/>
      <c r="M749" s="13"/>
      <c r="N749" s="13"/>
      <c r="O749" s="13"/>
      <c r="P749" s="13"/>
      <c r="Q749" s="13"/>
      <c r="R749" s="13"/>
      <c r="S749" s="13"/>
      <c r="T749" s="13"/>
      <c r="U749" s="13"/>
      <c r="V749" s="13"/>
      <c r="W749" s="13"/>
      <c r="X749" s="13"/>
      <c r="Y749" s="13"/>
      <c r="Z749" s="13"/>
      <c r="AA749" s="13"/>
    </row>
    <row r="750" spans="1:27" ht="17.399999999999999" x14ac:dyDescent="0.35">
      <c r="A750" s="13"/>
      <c r="B750" s="13"/>
      <c r="C750" s="13"/>
      <c r="D750" s="13"/>
      <c r="E750" s="13"/>
      <c r="F750" s="13"/>
      <c r="G750" s="13"/>
      <c r="H750" s="13"/>
      <c r="I750" s="13"/>
      <c r="J750" s="13"/>
      <c r="K750" s="13"/>
      <c r="L750" s="13"/>
      <c r="M750" s="13"/>
      <c r="N750" s="13"/>
      <c r="O750" s="13"/>
      <c r="P750" s="13"/>
      <c r="Q750" s="13"/>
      <c r="R750" s="13"/>
      <c r="S750" s="13"/>
      <c r="T750" s="13"/>
      <c r="U750" s="13"/>
      <c r="V750" s="13"/>
      <c r="W750" s="13"/>
      <c r="X750" s="13"/>
      <c r="Y750" s="13"/>
      <c r="Z750" s="13"/>
      <c r="AA750" s="13"/>
    </row>
    <row r="751" spans="1:27" ht="17.399999999999999" x14ac:dyDescent="0.35">
      <c r="A751" s="13"/>
      <c r="B751" s="13"/>
      <c r="C751" s="13"/>
      <c r="D751" s="13"/>
      <c r="E751" s="13"/>
      <c r="F751" s="13"/>
      <c r="G751" s="13"/>
      <c r="H751" s="13"/>
      <c r="I751" s="13"/>
      <c r="J751" s="13"/>
      <c r="K751" s="13"/>
      <c r="L751" s="13"/>
      <c r="M751" s="13"/>
      <c r="N751" s="13"/>
      <c r="O751" s="13"/>
      <c r="P751" s="13"/>
      <c r="Q751" s="13"/>
      <c r="R751" s="13"/>
      <c r="S751" s="13"/>
      <c r="T751" s="13"/>
      <c r="U751" s="13"/>
      <c r="V751" s="13"/>
      <c r="W751" s="13"/>
      <c r="X751" s="13"/>
      <c r="Y751" s="13"/>
      <c r="Z751" s="13"/>
      <c r="AA751" s="13"/>
    </row>
    <row r="752" spans="1:27" ht="17.399999999999999" x14ac:dyDescent="0.35">
      <c r="A752" s="13"/>
      <c r="B752" s="13"/>
      <c r="C752" s="13"/>
      <c r="D752" s="13"/>
      <c r="E752" s="13"/>
      <c r="F752" s="13"/>
      <c r="G752" s="13"/>
      <c r="H752" s="13"/>
      <c r="I752" s="13"/>
      <c r="J752" s="13"/>
      <c r="K752" s="13"/>
      <c r="L752" s="13"/>
      <c r="M752" s="13"/>
      <c r="N752" s="13"/>
      <c r="O752" s="13"/>
      <c r="P752" s="13"/>
      <c r="Q752" s="13"/>
      <c r="R752" s="13"/>
      <c r="S752" s="13"/>
      <c r="T752" s="13"/>
      <c r="U752" s="13"/>
      <c r="V752" s="13"/>
      <c r="W752" s="13"/>
      <c r="X752" s="13"/>
      <c r="Y752" s="13"/>
      <c r="Z752" s="13"/>
      <c r="AA752" s="13"/>
    </row>
    <row r="753" spans="1:27" ht="17.399999999999999" x14ac:dyDescent="0.35">
      <c r="A753" s="13"/>
      <c r="B753" s="13"/>
      <c r="C753" s="13"/>
      <c r="D753" s="13"/>
      <c r="E753" s="13"/>
      <c r="F753" s="13"/>
      <c r="G753" s="13"/>
      <c r="H753" s="13"/>
      <c r="I753" s="13"/>
      <c r="J753" s="13"/>
      <c r="K753" s="13"/>
      <c r="L753" s="13"/>
      <c r="M753" s="13"/>
      <c r="N753" s="13"/>
      <c r="O753" s="13"/>
      <c r="P753" s="13"/>
      <c r="Q753" s="13"/>
      <c r="R753" s="13"/>
      <c r="S753" s="13"/>
      <c r="T753" s="13"/>
      <c r="U753" s="13"/>
      <c r="V753" s="13"/>
      <c r="W753" s="13"/>
      <c r="X753" s="13"/>
      <c r="Y753" s="13"/>
      <c r="Z753" s="13"/>
      <c r="AA753" s="13"/>
    </row>
    <row r="754" spans="1:27" ht="17.399999999999999" x14ac:dyDescent="0.35">
      <c r="A754" s="13"/>
      <c r="B754" s="13"/>
      <c r="C754" s="13"/>
      <c r="D754" s="13"/>
      <c r="E754" s="13"/>
      <c r="F754" s="13"/>
      <c r="G754" s="13"/>
      <c r="H754" s="13"/>
      <c r="I754" s="13"/>
      <c r="J754" s="13"/>
      <c r="K754" s="13"/>
      <c r="L754" s="13"/>
      <c r="M754" s="13"/>
      <c r="N754" s="13"/>
      <c r="O754" s="13"/>
      <c r="P754" s="13"/>
      <c r="Q754" s="13"/>
      <c r="R754" s="13"/>
      <c r="S754" s="13"/>
      <c r="T754" s="13"/>
      <c r="U754" s="13"/>
      <c r="V754" s="13"/>
      <c r="W754" s="13"/>
      <c r="X754" s="13"/>
      <c r="Y754" s="13"/>
      <c r="Z754" s="13"/>
      <c r="AA754" s="13"/>
    </row>
    <row r="755" spans="1:27" ht="17.399999999999999" x14ac:dyDescent="0.35">
      <c r="A755" s="13"/>
      <c r="B755" s="13"/>
      <c r="C755" s="13"/>
      <c r="D755" s="13"/>
      <c r="E755" s="13"/>
      <c r="F755" s="13"/>
      <c r="G755" s="13"/>
      <c r="H755" s="13"/>
      <c r="I755" s="13"/>
      <c r="J755" s="13"/>
      <c r="K755" s="13"/>
      <c r="L755" s="13"/>
      <c r="M755" s="13"/>
      <c r="N755" s="13"/>
      <c r="O755" s="13"/>
      <c r="P755" s="13"/>
      <c r="Q755" s="13"/>
      <c r="R755" s="13"/>
      <c r="S755" s="13"/>
      <c r="T755" s="13"/>
      <c r="U755" s="13"/>
      <c r="V755" s="13"/>
      <c r="W755" s="13"/>
      <c r="X755" s="13"/>
      <c r="Y755" s="13"/>
      <c r="Z755" s="13"/>
      <c r="AA755" s="13"/>
    </row>
    <row r="756" spans="1:27" ht="17.399999999999999" x14ac:dyDescent="0.35">
      <c r="A756" s="13"/>
      <c r="B756" s="13"/>
      <c r="C756" s="13"/>
      <c r="D756" s="13"/>
      <c r="E756" s="13"/>
      <c r="F756" s="13"/>
      <c r="G756" s="13"/>
      <c r="H756" s="13"/>
      <c r="I756" s="13"/>
      <c r="J756" s="13"/>
      <c r="K756" s="13"/>
      <c r="L756" s="13"/>
      <c r="M756" s="13"/>
      <c r="N756" s="13"/>
      <c r="O756" s="13"/>
      <c r="P756" s="13"/>
      <c r="Q756" s="13"/>
      <c r="R756" s="13"/>
      <c r="S756" s="13"/>
      <c r="T756" s="13"/>
      <c r="U756" s="13"/>
      <c r="V756" s="13"/>
      <c r="W756" s="13"/>
      <c r="X756" s="13"/>
      <c r="Y756" s="13"/>
      <c r="Z756" s="13"/>
      <c r="AA756" s="13"/>
    </row>
    <row r="757" spans="1:27" ht="17.399999999999999" x14ac:dyDescent="0.35">
      <c r="A757" s="13"/>
      <c r="B757" s="13"/>
      <c r="C757" s="13"/>
      <c r="D757" s="13"/>
      <c r="E757" s="13"/>
      <c r="F757" s="13"/>
      <c r="G757" s="13"/>
      <c r="H757" s="13"/>
      <c r="I757" s="13"/>
      <c r="J757" s="13"/>
      <c r="K757" s="13"/>
      <c r="L757" s="13"/>
      <c r="M757" s="13"/>
      <c r="N757" s="13"/>
      <c r="O757" s="13"/>
      <c r="P757" s="13"/>
      <c r="Q757" s="13"/>
      <c r="R757" s="13"/>
      <c r="S757" s="13"/>
      <c r="T757" s="13"/>
      <c r="U757" s="13"/>
      <c r="V757" s="13"/>
      <c r="W757" s="13"/>
      <c r="X757" s="13"/>
      <c r="Y757" s="13"/>
      <c r="Z757" s="13"/>
      <c r="AA757" s="13"/>
    </row>
    <row r="758" spans="1:27" ht="17.399999999999999" x14ac:dyDescent="0.35">
      <c r="A758" s="13"/>
      <c r="B758" s="13"/>
      <c r="C758" s="13"/>
      <c r="D758" s="13"/>
      <c r="E758" s="13"/>
      <c r="F758" s="13"/>
      <c r="G758" s="13"/>
      <c r="H758" s="13"/>
      <c r="I758" s="13"/>
      <c r="J758" s="13"/>
      <c r="K758" s="13"/>
      <c r="L758" s="13"/>
      <c r="M758" s="13"/>
      <c r="N758" s="13"/>
      <c r="O758" s="13"/>
      <c r="P758" s="13"/>
      <c r="Q758" s="13"/>
      <c r="R758" s="13"/>
      <c r="S758" s="13"/>
      <c r="T758" s="13"/>
      <c r="U758" s="13"/>
      <c r="V758" s="13"/>
      <c r="W758" s="13"/>
      <c r="X758" s="13"/>
      <c r="Y758" s="13"/>
      <c r="Z758" s="13"/>
      <c r="AA758" s="13"/>
    </row>
    <row r="759" spans="1:27" ht="17.399999999999999" x14ac:dyDescent="0.35">
      <c r="A759" s="13"/>
      <c r="B759" s="13"/>
      <c r="C759" s="13"/>
      <c r="D759" s="13"/>
      <c r="E759" s="13"/>
      <c r="F759" s="13"/>
      <c r="G759" s="13"/>
      <c r="H759" s="13"/>
      <c r="I759" s="13"/>
      <c r="J759" s="13"/>
      <c r="K759" s="13"/>
      <c r="L759" s="13"/>
      <c r="M759" s="13"/>
      <c r="N759" s="13"/>
      <c r="O759" s="13"/>
      <c r="P759" s="13"/>
      <c r="Q759" s="13"/>
      <c r="R759" s="13"/>
      <c r="S759" s="13"/>
      <c r="T759" s="13"/>
      <c r="U759" s="13"/>
      <c r="V759" s="13"/>
      <c r="W759" s="13"/>
      <c r="X759" s="13"/>
      <c r="Y759" s="13"/>
      <c r="Z759" s="13"/>
      <c r="AA759" s="13"/>
    </row>
    <row r="760" spans="1:27" ht="17.399999999999999" x14ac:dyDescent="0.35">
      <c r="A760" s="13"/>
      <c r="B760" s="13"/>
      <c r="C760" s="13"/>
      <c r="D760" s="13"/>
      <c r="E760" s="13"/>
      <c r="F760" s="13"/>
      <c r="G760" s="13"/>
      <c r="H760" s="13"/>
      <c r="I760" s="13"/>
      <c r="J760" s="13"/>
      <c r="K760" s="13"/>
      <c r="L760" s="13"/>
      <c r="M760" s="13"/>
      <c r="N760" s="13"/>
      <c r="O760" s="13"/>
      <c r="P760" s="13"/>
      <c r="Q760" s="13"/>
      <c r="R760" s="13"/>
      <c r="S760" s="13"/>
      <c r="T760" s="13"/>
      <c r="U760" s="13"/>
      <c r="V760" s="13"/>
      <c r="W760" s="13"/>
      <c r="X760" s="13"/>
      <c r="Y760" s="13"/>
      <c r="Z760" s="13"/>
      <c r="AA760" s="13"/>
    </row>
    <row r="761" spans="1:27" ht="17.399999999999999" x14ac:dyDescent="0.35">
      <c r="A761" s="13"/>
      <c r="B761" s="13"/>
      <c r="C761" s="13"/>
      <c r="D761" s="13"/>
      <c r="E761" s="13"/>
      <c r="F761" s="13"/>
      <c r="G761" s="13"/>
      <c r="H761" s="13"/>
      <c r="I761" s="13"/>
      <c r="J761" s="13"/>
      <c r="K761" s="13"/>
      <c r="L761" s="13"/>
      <c r="M761" s="13"/>
      <c r="N761" s="13"/>
      <c r="O761" s="13"/>
      <c r="P761" s="13"/>
      <c r="Q761" s="13"/>
      <c r="R761" s="13"/>
      <c r="S761" s="13"/>
      <c r="T761" s="13"/>
      <c r="U761" s="13"/>
      <c r="V761" s="13"/>
      <c r="W761" s="13"/>
      <c r="X761" s="13"/>
      <c r="Y761" s="13"/>
      <c r="Z761" s="13"/>
      <c r="AA761" s="13"/>
    </row>
    <row r="762" spans="1:27" ht="17.399999999999999" x14ac:dyDescent="0.35">
      <c r="A762" s="13"/>
      <c r="B762" s="13"/>
      <c r="C762" s="13"/>
      <c r="D762" s="13"/>
      <c r="E762" s="13"/>
      <c r="F762" s="13"/>
      <c r="G762" s="13"/>
      <c r="H762" s="13"/>
      <c r="I762" s="13"/>
      <c r="J762" s="13"/>
      <c r="K762" s="13"/>
      <c r="L762" s="13"/>
      <c r="M762" s="13"/>
      <c r="N762" s="13"/>
      <c r="O762" s="13"/>
      <c r="P762" s="13"/>
      <c r="Q762" s="13"/>
      <c r="R762" s="13"/>
      <c r="S762" s="13"/>
      <c r="T762" s="13"/>
      <c r="U762" s="13"/>
      <c r="V762" s="13"/>
      <c r="W762" s="13"/>
      <c r="X762" s="13"/>
      <c r="Y762" s="13"/>
      <c r="Z762" s="13"/>
      <c r="AA762" s="13"/>
    </row>
    <row r="763" spans="1:27" ht="17.399999999999999" x14ac:dyDescent="0.35">
      <c r="A763" s="13"/>
      <c r="B763" s="13"/>
      <c r="C763" s="13"/>
      <c r="D763" s="13"/>
      <c r="E763" s="13"/>
      <c r="F763" s="13"/>
      <c r="G763" s="13"/>
      <c r="H763" s="13"/>
      <c r="I763" s="13"/>
      <c r="J763" s="13"/>
      <c r="K763" s="13"/>
      <c r="L763" s="13"/>
      <c r="M763" s="13"/>
      <c r="N763" s="13"/>
      <c r="O763" s="13"/>
      <c r="P763" s="13"/>
      <c r="Q763" s="13"/>
      <c r="R763" s="13"/>
      <c r="S763" s="13"/>
      <c r="T763" s="13"/>
      <c r="U763" s="13"/>
      <c r="V763" s="13"/>
      <c r="W763" s="13"/>
      <c r="X763" s="13"/>
      <c r="Y763" s="13"/>
      <c r="Z763" s="13"/>
      <c r="AA763" s="13"/>
    </row>
    <row r="764" spans="1:27" ht="17.399999999999999" x14ac:dyDescent="0.35">
      <c r="A764" s="13"/>
      <c r="B764" s="13"/>
      <c r="C764" s="13"/>
      <c r="D764" s="13"/>
      <c r="E764" s="13"/>
      <c r="F764" s="13"/>
      <c r="G764" s="13"/>
      <c r="H764" s="13"/>
      <c r="I764" s="13"/>
      <c r="J764" s="13"/>
      <c r="K764" s="13"/>
      <c r="L764" s="13"/>
      <c r="M764" s="13"/>
      <c r="N764" s="13"/>
      <c r="O764" s="13"/>
      <c r="P764" s="13"/>
      <c r="Q764" s="13"/>
      <c r="R764" s="13"/>
      <c r="S764" s="13"/>
      <c r="T764" s="13"/>
      <c r="U764" s="13"/>
      <c r="V764" s="13"/>
      <c r="W764" s="13"/>
      <c r="X764" s="13"/>
      <c r="Y764" s="13"/>
      <c r="Z764" s="13"/>
      <c r="AA764" s="13"/>
    </row>
    <row r="765" spans="1:27" ht="17.399999999999999" x14ac:dyDescent="0.35">
      <c r="A765" s="13"/>
      <c r="B765" s="13"/>
      <c r="C765" s="13"/>
      <c r="D765" s="13"/>
      <c r="E765" s="13"/>
      <c r="F765" s="13"/>
      <c r="G765" s="13"/>
      <c r="H765" s="13"/>
      <c r="I765" s="13"/>
      <c r="J765" s="13"/>
      <c r="K765" s="13"/>
      <c r="L765" s="13"/>
      <c r="M765" s="13"/>
      <c r="N765" s="13"/>
      <c r="O765" s="13"/>
      <c r="P765" s="13"/>
      <c r="Q765" s="13"/>
      <c r="R765" s="13"/>
      <c r="S765" s="13"/>
      <c r="T765" s="13"/>
      <c r="U765" s="13"/>
      <c r="V765" s="13"/>
      <c r="W765" s="13"/>
      <c r="X765" s="13"/>
      <c r="Y765" s="13"/>
      <c r="Z765" s="13"/>
      <c r="AA765" s="13"/>
    </row>
    <row r="766" spans="1:27" ht="17.399999999999999" x14ac:dyDescent="0.35">
      <c r="A766" s="13"/>
      <c r="B766" s="13"/>
      <c r="C766" s="13"/>
      <c r="D766" s="13"/>
      <c r="E766" s="13"/>
      <c r="F766" s="13"/>
      <c r="G766" s="13"/>
      <c r="H766" s="13"/>
      <c r="I766" s="13"/>
      <c r="J766" s="13"/>
      <c r="K766" s="13"/>
      <c r="L766" s="13"/>
      <c r="M766" s="13"/>
      <c r="N766" s="13"/>
      <c r="O766" s="13"/>
      <c r="P766" s="13"/>
      <c r="Q766" s="13"/>
      <c r="R766" s="13"/>
      <c r="S766" s="13"/>
      <c r="T766" s="13"/>
      <c r="U766" s="13"/>
      <c r="V766" s="13"/>
      <c r="W766" s="13"/>
      <c r="X766" s="13"/>
      <c r="Y766" s="13"/>
      <c r="Z766" s="13"/>
      <c r="AA766" s="13"/>
    </row>
    <row r="767" spans="1:27" ht="17.399999999999999" x14ac:dyDescent="0.35">
      <c r="A767" s="13"/>
      <c r="B767" s="13"/>
      <c r="C767" s="13"/>
      <c r="D767" s="13"/>
      <c r="E767" s="13"/>
      <c r="F767" s="13"/>
      <c r="G767" s="13"/>
      <c r="H767" s="13"/>
      <c r="I767" s="13"/>
      <c r="J767" s="13"/>
      <c r="K767" s="13"/>
      <c r="L767" s="13"/>
      <c r="M767" s="13"/>
      <c r="N767" s="13"/>
      <c r="O767" s="13"/>
      <c r="P767" s="13"/>
      <c r="Q767" s="13"/>
      <c r="R767" s="13"/>
      <c r="S767" s="13"/>
      <c r="T767" s="13"/>
      <c r="U767" s="13"/>
      <c r="V767" s="13"/>
      <c r="W767" s="13"/>
      <c r="X767" s="13"/>
      <c r="Y767" s="13"/>
      <c r="Z767" s="13"/>
      <c r="AA767" s="13"/>
    </row>
    <row r="768" spans="1:27" ht="17.399999999999999" x14ac:dyDescent="0.35">
      <c r="A768" s="13"/>
      <c r="B768" s="13"/>
      <c r="C768" s="13"/>
      <c r="D768" s="13"/>
      <c r="E768" s="13"/>
      <c r="F768" s="13"/>
      <c r="G768" s="13"/>
      <c r="H768" s="13"/>
      <c r="I768" s="13"/>
      <c r="J768" s="13"/>
      <c r="K768" s="13"/>
      <c r="L768" s="13"/>
      <c r="M768" s="13"/>
      <c r="N768" s="13"/>
      <c r="O768" s="13"/>
      <c r="P768" s="13"/>
      <c r="Q768" s="13"/>
      <c r="R768" s="13"/>
      <c r="S768" s="13"/>
      <c r="T768" s="13"/>
      <c r="U768" s="13"/>
      <c r="V768" s="13"/>
      <c r="W768" s="13"/>
      <c r="X768" s="13"/>
      <c r="Y768" s="13"/>
      <c r="Z768" s="13"/>
      <c r="AA768" s="13"/>
    </row>
    <row r="769" spans="1:27" ht="17.399999999999999" x14ac:dyDescent="0.35">
      <c r="A769" s="13"/>
      <c r="B769" s="13"/>
      <c r="C769" s="13"/>
      <c r="D769" s="13"/>
      <c r="E769" s="13"/>
      <c r="F769" s="13"/>
      <c r="G769" s="13"/>
      <c r="H769" s="13"/>
      <c r="I769" s="13"/>
      <c r="J769" s="13"/>
      <c r="K769" s="13"/>
      <c r="L769" s="13"/>
      <c r="M769" s="13"/>
      <c r="N769" s="13"/>
      <c r="O769" s="13"/>
      <c r="P769" s="13"/>
      <c r="Q769" s="13"/>
      <c r="R769" s="13"/>
      <c r="S769" s="13"/>
      <c r="T769" s="13"/>
      <c r="U769" s="13"/>
      <c r="V769" s="13"/>
      <c r="W769" s="13"/>
      <c r="X769" s="13"/>
      <c r="Y769" s="13"/>
      <c r="Z769" s="13"/>
      <c r="AA769" s="13"/>
    </row>
    <row r="770" spans="1:27" ht="17.399999999999999" x14ac:dyDescent="0.35">
      <c r="A770" s="13"/>
      <c r="B770" s="13"/>
      <c r="C770" s="13"/>
      <c r="D770" s="13"/>
      <c r="E770" s="13"/>
      <c r="F770" s="13"/>
      <c r="G770" s="13"/>
      <c r="H770" s="13"/>
      <c r="I770" s="13"/>
      <c r="J770" s="13"/>
      <c r="K770" s="13"/>
      <c r="L770" s="13"/>
      <c r="M770" s="13"/>
      <c r="N770" s="13"/>
      <c r="O770" s="13"/>
      <c r="P770" s="13"/>
      <c r="Q770" s="13"/>
      <c r="R770" s="13"/>
      <c r="S770" s="13"/>
      <c r="T770" s="13"/>
      <c r="U770" s="13"/>
      <c r="V770" s="13"/>
      <c r="W770" s="13"/>
      <c r="X770" s="13"/>
      <c r="Y770" s="13"/>
      <c r="Z770" s="13"/>
      <c r="AA770" s="13"/>
    </row>
    <row r="771" spans="1:27" ht="17.399999999999999" x14ac:dyDescent="0.35">
      <c r="A771" s="13"/>
      <c r="B771" s="13"/>
      <c r="C771" s="13"/>
      <c r="D771" s="13"/>
      <c r="E771" s="13"/>
      <c r="F771" s="13"/>
      <c r="G771" s="13"/>
      <c r="H771" s="13"/>
      <c r="I771" s="13"/>
      <c r="J771" s="13"/>
      <c r="K771" s="13"/>
      <c r="L771" s="13"/>
      <c r="M771" s="13"/>
      <c r="N771" s="13"/>
      <c r="O771" s="13"/>
      <c r="P771" s="13"/>
      <c r="Q771" s="13"/>
      <c r="R771" s="13"/>
      <c r="S771" s="13"/>
      <c r="T771" s="13"/>
      <c r="U771" s="13"/>
      <c r="V771" s="13"/>
      <c r="W771" s="13"/>
      <c r="X771" s="13"/>
      <c r="Y771" s="13"/>
      <c r="Z771" s="13"/>
      <c r="AA771" s="13"/>
    </row>
    <row r="772" spans="1:27" ht="17.399999999999999" x14ac:dyDescent="0.35">
      <c r="A772" s="13"/>
      <c r="B772" s="13"/>
      <c r="C772" s="13"/>
      <c r="D772" s="13"/>
      <c r="E772" s="13"/>
      <c r="F772" s="13"/>
      <c r="G772" s="13"/>
      <c r="H772" s="13"/>
      <c r="I772" s="13"/>
      <c r="J772" s="13"/>
      <c r="K772" s="13"/>
      <c r="L772" s="13"/>
      <c r="M772" s="13"/>
      <c r="N772" s="13"/>
      <c r="O772" s="13"/>
      <c r="P772" s="13"/>
      <c r="Q772" s="13"/>
      <c r="R772" s="13"/>
      <c r="S772" s="13"/>
      <c r="T772" s="13"/>
      <c r="U772" s="13"/>
      <c r="V772" s="13"/>
      <c r="W772" s="13"/>
      <c r="X772" s="13"/>
      <c r="Y772" s="13"/>
      <c r="Z772" s="13"/>
      <c r="AA772" s="13"/>
    </row>
    <row r="773" spans="1:27" ht="17.399999999999999" x14ac:dyDescent="0.35">
      <c r="A773" s="13"/>
      <c r="B773" s="13"/>
      <c r="C773" s="13"/>
      <c r="D773" s="13"/>
      <c r="E773" s="13"/>
      <c r="F773" s="13"/>
      <c r="G773" s="13"/>
      <c r="H773" s="13"/>
      <c r="I773" s="13"/>
      <c r="J773" s="13"/>
      <c r="K773" s="13"/>
      <c r="L773" s="13"/>
      <c r="M773" s="13"/>
      <c r="N773" s="13"/>
      <c r="O773" s="13"/>
      <c r="P773" s="13"/>
      <c r="Q773" s="13"/>
      <c r="R773" s="13"/>
      <c r="S773" s="13"/>
      <c r="T773" s="13"/>
      <c r="U773" s="13"/>
      <c r="V773" s="13"/>
      <c r="W773" s="13"/>
      <c r="X773" s="13"/>
      <c r="Y773" s="13"/>
      <c r="Z773" s="13"/>
      <c r="AA773" s="13"/>
    </row>
    <row r="774" spans="1:27" ht="17.399999999999999" x14ac:dyDescent="0.35">
      <c r="A774" s="13"/>
      <c r="B774" s="13"/>
      <c r="C774" s="13"/>
      <c r="D774" s="13"/>
      <c r="E774" s="13"/>
      <c r="F774" s="13"/>
      <c r="G774" s="13"/>
      <c r="H774" s="13"/>
      <c r="I774" s="13"/>
      <c r="J774" s="13"/>
      <c r="K774" s="13"/>
      <c r="L774" s="13"/>
      <c r="M774" s="13"/>
      <c r="N774" s="13"/>
      <c r="O774" s="13"/>
      <c r="P774" s="13"/>
      <c r="Q774" s="13"/>
      <c r="R774" s="13"/>
      <c r="S774" s="13"/>
      <c r="T774" s="13"/>
      <c r="U774" s="13"/>
      <c r="V774" s="13"/>
      <c r="W774" s="13"/>
      <c r="X774" s="13"/>
      <c r="Y774" s="13"/>
      <c r="Z774" s="13"/>
      <c r="AA774" s="13"/>
    </row>
    <row r="775" spans="1:27" ht="17.399999999999999" x14ac:dyDescent="0.35">
      <c r="A775" s="13"/>
      <c r="B775" s="13"/>
      <c r="C775" s="13"/>
      <c r="D775" s="13"/>
      <c r="E775" s="13"/>
      <c r="F775" s="13"/>
      <c r="G775" s="13"/>
      <c r="H775" s="13"/>
      <c r="I775" s="13"/>
      <c r="J775" s="13"/>
      <c r="K775" s="13"/>
      <c r="L775" s="13"/>
      <c r="M775" s="13"/>
      <c r="N775" s="13"/>
      <c r="O775" s="13"/>
      <c r="P775" s="13"/>
      <c r="Q775" s="13"/>
      <c r="R775" s="13"/>
      <c r="S775" s="13"/>
      <c r="T775" s="13"/>
      <c r="U775" s="13"/>
      <c r="V775" s="13"/>
      <c r="W775" s="13"/>
      <c r="X775" s="13"/>
      <c r="Y775" s="13"/>
      <c r="Z775" s="13"/>
      <c r="AA775" s="13"/>
    </row>
    <row r="776" spans="1:27" ht="17.399999999999999" x14ac:dyDescent="0.35">
      <c r="A776" s="13"/>
      <c r="B776" s="13"/>
      <c r="C776" s="13"/>
      <c r="D776" s="13"/>
      <c r="E776" s="13"/>
      <c r="F776" s="13"/>
      <c r="G776" s="13"/>
      <c r="H776" s="13"/>
      <c r="I776" s="13"/>
      <c r="J776" s="13"/>
      <c r="K776" s="13"/>
      <c r="L776" s="13"/>
      <c r="M776" s="13"/>
      <c r="N776" s="13"/>
      <c r="O776" s="13"/>
      <c r="P776" s="13"/>
      <c r="Q776" s="13"/>
      <c r="R776" s="13"/>
      <c r="S776" s="13"/>
      <c r="T776" s="13"/>
      <c r="U776" s="13"/>
      <c r="V776" s="13"/>
      <c r="W776" s="13"/>
      <c r="X776" s="13"/>
      <c r="Y776" s="13"/>
      <c r="Z776" s="13"/>
      <c r="AA776" s="13"/>
    </row>
    <row r="777" spans="1:27" ht="17.399999999999999" x14ac:dyDescent="0.35">
      <c r="A777" s="13"/>
      <c r="B777" s="13"/>
      <c r="C777" s="13"/>
      <c r="D777" s="13"/>
      <c r="E777" s="13"/>
      <c r="F777" s="13"/>
      <c r="G777" s="13"/>
      <c r="H777" s="13"/>
      <c r="I777" s="13"/>
      <c r="J777" s="13"/>
      <c r="K777" s="13"/>
      <c r="L777" s="13"/>
      <c r="M777" s="13"/>
      <c r="N777" s="13"/>
      <c r="O777" s="13"/>
      <c r="P777" s="13"/>
      <c r="Q777" s="13"/>
      <c r="R777" s="13"/>
      <c r="S777" s="13"/>
      <c r="T777" s="13"/>
      <c r="U777" s="13"/>
      <c r="V777" s="13"/>
      <c r="W777" s="13"/>
      <c r="X777" s="13"/>
      <c r="Y777" s="13"/>
      <c r="Z777" s="13"/>
      <c r="AA777" s="13"/>
    </row>
    <row r="778" spans="1:27" ht="17.399999999999999" x14ac:dyDescent="0.35">
      <c r="A778" s="13"/>
      <c r="B778" s="13"/>
      <c r="C778" s="13"/>
      <c r="D778" s="13"/>
      <c r="E778" s="13"/>
      <c r="F778" s="13"/>
      <c r="G778" s="13"/>
      <c r="H778" s="13"/>
      <c r="I778" s="13"/>
      <c r="J778" s="13"/>
      <c r="K778" s="13"/>
      <c r="L778" s="13"/>
      <c r="M778" s="13"/>
      <c r="N778" s="13"/>
      <c r="O778" s="13"/>
      <c r="P778" s="13"/>
      <c r="Q778" s="13"/>
      <c r="R778" s="13"/>
      <c r="S778" s="13"/>
      <c r="T778" s="13"/>
      <c r="U778" s="13"/>
      <c r="V778" s="13"/>
      <c r="W778" s="13"/>
      <c r="X778" s="13"/>
      <c r="Y778" s="13"/>
      <c r="Z778" s="13"/>
      <c r="AA778" s="13"/>
    </row>
    <row r="779" spans="1:27" ht="17.399999999999999" x14ac:dyDescent="0.35">
      <c r="A779" s="13"/>
      <c r="B779" s="13"/>
      <c r="C779" s="13"/>
      <c r="D779" s="13"/>
      <c r="E779" s="13"/>
      <c r="F779" s="13"/>
      <c r="G779" s="13"/>
      <c r="H779" s="13"/>
      <c r="I779" s="13"/>
      <c r="J779" s="13"/>
      <c r="K779" s="13"/>
      <c r="L779" s="13"/>
      <c r="M779" s="13"/>
      <c r="N779" s="13"/>
      <c r="O779" s="13"/>
      <c r="P779" s="13"/>
      <c r="Q779" s="13"/>
      <c r="R779" s="13"/>
      <c r="S779" s="13"/>
      <c r="T779" s="13"/>
      <c r="U779" s="13"/>
      <c r="V779" s="13"/>
      <c r="W779" s="13"/>
      <c r="X779" s="13"/>
      <c r="Y779" s="13"/>
      <c r="Z779" s="13"/>
      <c r="AA779" s="13"/>
    </row>
    <row r="780" spans="1:27" ht="17.399999999999999" x14ac:dyDescent="0.35">
      <c r="A780" s="13"/>
      <c r="B780" s="13"/>
      <c r="C780" s="13"/>
      <c r="D780" s="13"/>
      <c r="E780" s="13"/>
      <c r="F780" s="13"/>
      <c r="G780" s="13"/>
      <c r="H780" s="13"/>
      <c r="I780" s="13"/>
      <c r="J780" s="13"/>
      <c r="K780" s="13"/>
      <c r="L780" s="13"/>
      <c r="M780" s="13"/>
      <c r="N780" s="13"/>
      <c r="O780" s="13"/>
      <c r="P780" s="13"/>
      <c r="Q780" s="13"/>
      <c r="R780" s="13"/>
      <c r="S780" s="13"/>
      <c r="T780" s="13"/>
      <c r="U780" s="13"/>
      <c r="V780" s="13"/>
      <c r="W780" s="13"/>
      <c r="X780" s="13"/>
      <c r="Y780" s="13"/>
      <c r="Z780" s="13"/>
      <c r="AA780" s="13"/>
    </row>
    <row r="781" spans="1:27" ht="17.399999999999999" x14ac:dyDescent="0.35">
      <c r="A781" s="13"/>
      <c r="B781" s="13"/>
      <c r="C781" s="13"/>
      <c r="D781" s="13"/>
      <c r="E781" s="13"/>
      <c r="F781" s="13"/>
      <c r="G781" s="13"/>
      <c r="H781" s="13"/>
      <c r="I781" s="13"/>
      <c r="J781" s="13"/>
      <c r="K781" s="13"/>
      <c r="L781" s="13"/>
      <c r="M781" s="13"/>
      <c r="N781" s="13"/>
      <c r="O781" s="13"/>
      <c r="P781" s="13"/>
      <c r="Q781" s="13"/>
      <c r="R781" s="13"/>
      <c r="S781" s="13"/>
      <c r="T781" s="13"/>
      <c r="U781" s="13"/>
      <c r="V781" s="13"/>
      <c r="W781" s="13"/>
      <c r="X781" s="13"/>
      <c r="Y781" s="13"/>
      <c r="Z781" s="13"/>
      <c r="AA781" s="13"/>
    </row>
    <row r="782" spans="1:27" ht="17.399999999999999" x14ac:dyDescent="0.35">
      <c r="A782" s="13"/>
      <c r="B782" s="13"/>
      <c r="C782" s="13"/>
      <c r="D782" s="13"/>
      <c r="E782" s="13"/>
      <c r="F782" s="13"/>
      <c r="G782" s="13"/>
      <c r="H782" s="13"/>
      <c r="I782" s="13"/>
      <c r="J782" s="13"/>
      <c r="K782" s="13"/>
      <c r="L782" s="13"/>
      <c r="M782" s="13"/>
      <c r="N782" s="13"/>
      <c r="O782" s="13"/>
      <c r="P782" s="13"/>
      <c r="Q782" s="13"/>
      <c r="R782" s="13"/>
      <c r="S782" s="13"/>
      <c r="T782" s="13"/>
      <c r="U782" s="13"/>
      <c r="V782" s="13"/>
      <c r="W782" s="13"/>
      <c r="X782" s="13"/>
      <c r="Y782" s="13"/>
      <c r="Z782" s="13"/>
      <c r="AA782" s="13"/>
    </row>
    <row r="783" spans="1:27" ht="17.399999999999999" x14ac:dyDescent="0.35">
      <c r="A783" s="13"/>
      <c r="B783" s="13"/>
      <c r="C783" s="13"/>
      <c r="D783" s="13"/>
      <c r="E783" s="13"/>
      <c r="F783" s="13"/>
      <c r="G783" s="13"/>
      <c r="H783" s="13"/>
      <c r="I783" s="13"/>
      <c r="J783" s="13"/>
      <c r="K783" s="13"/>
      <c r="L783" s="13"/>
      <c r="M783" s="13"/>
      <c r="N783" s="13"/>
      <c r="O783" s="13"/>
      <c r="P783" s="13"/>
      <c r="Q783" s="13"/>
      <c r="R783" s="13"/>
      <c r="S783" s="13"/>
      <c r="T783" s="13"/>
      <c r="U783" s="13"/>
      <c r="V783" s="13"/>
      <c r="W783" s="13"/>
      <c r="X783" s="13"/>
      <c r="Y783" s="13"/>
      <c r="Z783" s="13"/>
      <c r="AA783" s="13"/>
    </row>
    <row r="784" spans="1:27" ht="17.399999999999999" x14ac:dyDescent="0.35">
      <c r="A784" s="13"/>
      <c r="B784" s="13"/>
      <c r="C784" s="13"/>
      <c r="D784" s="13"/>
      <c r="E784" s="13"/>
      <c r="F784" s="13"/>
      <c r="G784" s="13"/>
      <c r="H784" s="13"/>
      <c r="I784" s="13"/>
      <c r="J784" s="13"/>
      <c r="K784" s="13"/>
      <c r="L784" s="13"/>
      <c r="M784" s="13"/>
      <c r="N784" s="13"/>
      <c r="O784" s="13"/>
      <c r="P784" s="13"/>
      <c r="Q784" s="13"/>
      <c r="R784" s="13"/>
      <c r="S784" s="13"/>
      <c r="T784" s="13"/>
      <c r="U784" s="13"/>
      <c r="V784" s="13"/>
      <c r="W784" s="13"/>
      <c r="X784" s="13"/>
      <c r="Y784" s="13"/>
      <c r="Z784" s="13"/>
      <c r="AA784" s="13"/>
    </row>
    <row r="785" spans="1:27" ht="17.399999999999999" x14ac:dyDescent="0.35">
      <c r="A785" s="13"/>
      <c r="B785" s="13"/>
      <c r="C785" s="13"/>
      <c r="D785" s="13"/>
      <c r="E785" s="13"/>
      <c r="F785" s="13"/>
      <c r="G785" s="13"/>
      <c r="H785" s="13"/>
      <c r="I785" s="13"/>
      <c r="J785" s="13"/>
      <c r="K785" s="13"/>
      <c r="L785" s="13"/>
      <c r="M785" s="13"/>
      <c r="N785" s="13"/>
      <c r="O785" s="13"/>
      <c r="P785" s="13"/>
      <c r="Q785" s="13"/>
      <c r="R785" s="13"/>
      <c r="S785" s="13"/>
      <c r="T785" s="13"/>
      <c r="U785" s="13"/>
      <c r="V785" s="13"/>
      <c r="W785" s="13"/>
      <c r="X785" s="13"/>
      <c r="Y785" s="13"/>
      <c r="Z785" s="13"/>
      <c r="AA785" s="13"/>
    </row>
    <row r="786" spans="1:27" ht="17.399999999999999" x14ac:dyDescent="0.35">
      <c r="A786" s="13"/>
      <c r="B786" s="13"/>
      <c r="C786" s="13"/>
      <c r="D786" s="13"/>
      <c r="E786" s="13"/>
      <c r="F786" s="13"/>
      <c r="G786" s="13"/>
      <c r="H786" s="13"/>
      <c r="I786" s="13"/>
      <c r="J786" s="13"/>
      <c r="K786" s="13"/>
      <c r="L786" s="13"/>
      <c r="M786" s="13"/>
      <c r="N786" s="13"/>
      <c r="O786" s="13"/>
      <c r="P786" s="13"/>
      <c r="Q786" s="13"/>
      <c r="R786" s="13"/>
      <c r="S786" s="13"/>
      <c r="T786" s="13"/>
      <c r="U786" s="13"/>
      <c r="V786" s="13"/>
      <c r="W786" s="13"/>
      <c r="X786" s="13"/>
      <c r="Y786" s="13"/>
      <c r="Z786" s="13"/>
      <c r="AA786" s="13"/>
    </row>
    <row r="787" spans="1:27" ht="17.399999999999999" x14ac:dyDescent="0.35">
      <c r="A787" s="13"/>
      <c r="B787" s="13"/>
      <c r="C787" s="13"/>
      <c r="D787" s="13"/>
      <c r="E787" s="13"/>
      <c r="F787" s="13"/>
      <c r="G787" s="13"/>
      <c r="H787" s="13"/>
      <c r="I787" s="13"/>
      <c r="J787" s="13"/>
      <c r="K787" s="13"/>
      <c r="L787" s="13"/>
      <c r="M787" s="13"/>
      <c r="N787" s="13"/>
      <c r="O787" s="13"/>
      <c r="P787" s="13"/>
      <c r="Q787" s="13"/>
      <c r="R787" s="13"/>
      <c r="S787" s="13"/>
      <c r="T787" s="13"/>
      <c r="U787" s="13"/>
      <c r="V787" s="13"/>
      <c r="W787" s="13"/>
      <c r="X787" s="13"/>
      <c r="Y787" s="13"/>
      <c r="Z787" s="13"/>
      <c r="AA787" s="13"/>
    </row>
    <row r="788" spans="1:27" ht="17.399999999999999" x14ac:dyDescent="0.35">
      <c r="A788" s="13"/>
      <c r="B788" s="13"/>
      <c r="C788" s="13"/>
      <c r="D788" s="13"/>
      <c r="E788" s="13"/>
      <c r="F788" s="13"/>
      <c r="G788" s="13"/>
      <c r="H788" s="13"/>
      <c r="I788" s="13"/>
      <c r="J788" s="13"/>
      <c r="K788" s="13"/>
      <c r="L788" s="13"/>
      <c r="M788" s="13"/>
      <c r="N788" s="13"/>
      <c r="O788" s="13"/>
      <c r="P788" s="13"/>
      <c r="Q788" s="13"/>
      <c r="R788" s="13"/>
      <c r="S788" s="13"/>
      <c r="T788" s="13"/>
      <c r="U788" s="13"/>
      <c r="V788" s="13"/>
      <c r="W788" s="13"/>
      <c r="X788" s="13"/>
      <c r="Y788" s="13"/>
      <c r="Z788" s="13"/>
      <c r="AA788" s="13"/>
    </row>
    <row r="789" spans="1:27" ht="17.399999999999999" x14ac:dyDescent="0.35">
      <c r="A789" s="13"/>
      <c r="B789" s="13"/>
      <c r="C789" s="13"/>
      <c r="D789" s="13"/>
      <c r="E789" s="13"/>
      <c r="F789" s="13"/>
      <c r="G789" s="13"/>
      <c r="H789" s="13"/>
      <c r="I789" s="13"/>
      <c r="J789" s="13"/>
      <c r="K789" s="13"/>
      <c r="L789" s="13"/>
      <c r="M789" s="13"/>
      <c r="N789" s="13"/>
      <c r="O789" s="13"/>
      <c r="P789" s="13"/>
      <c r="Q789" s="13"/>
      <c r="R789" s="13"/>
      <c r="S789" s="13"/>
      <c r="T789" s="13"/>
      <c r="U789" s="13"/>
      <c r="V789" s="13"/>
      <c r="W789" s="13"/>
      <c r="X789" s="13"/>
      <c r="Y789" s="13"/>
      <c r="Z789" s="13"/>
      <c r="AA789" s="13"/>
    </row>
    <row r="790" spans="1:27" ht="17.399999999999999" x14ac:dyDescent="0.35">
      <c r="A790" s="13"/>
      <c r="B790" s="13"/>
      <c r="C790" s="13"/>
      <c r="D790" s="13"/>
      <c r="E790" s="13"/>
      <c r="F790" s="13"/>
      <c r="G790" s="13"/>
      <c r="H790" s="13"/>
      <c r="I790" s="13"/>
      <c r="J790" s="13"/>
      <c r="K790" s="13"/>
      <c r="L790" s="13"/>
      <c r="M790" s="13"/>
      <c r="N790" s="13"/>
      <c r="O790" s="13"/>
      <c r="P790" s="13"/>
      <c r="Q790" s="13"/>
      <c r="R790" s="13"/>
      <c r="S790" s="13"/>
      <c r="T790" s="13"/>
      <c r="U790" s="13"/>
      <c r="V790" s="13"/>
      <c r="W790" s="13"/>
      <c r="X790" s="13"/>
      <c r="Y790" s="13"/>
      <c r="Z790" s="13"/>
      <c r="AA790" s="13"/>
    </row>
    <row r="791" spans="1:27" ht="17.399999999999999" x14ac:dyDescent="0.35">
      <c r="A791" s="13"/>
      <c r="B791" s="13"/>
      <c r="C791" s="13"/>
      <c r="D791" s="13"/>
      <c r="E791" s="13"/>
      <c r="F791" s="13"/>
      <c r="G791" s="13"/>
      <c r="H791" s="13"/>
      <c r="I791" s="13"/>
      <c r="J791" s="13"/>
      <c r="K791" s="13"/>
      <c r="L791" s="13"/>
      <c r="M791" s="13"/>
      <c r="N791" s="13"/>
      <c r="O791" s="13"/>
      <c r="P791" s="13"/>
      <c r="Q791" s="13"/>
      <c r="R791" s="13"/>
      <c r="S791" s="13"/>
      <c r="T791" s="13"/>
      <c r="U791" s="13"/>
      <c r="V791" s="13"/>
      <c r="W791" s="13"/>
      <c r="X791" s="13"/>
      <c r="Y791" s="13"/>
      <c r="Z791" s="13"/>
      <c r="AA791" s="13"/>
    </row>
    <row r="792" spans="1:27" ht="17.399999999999999" x14ac:dyDescent="0.35">
      <c r="A792" s="13"/>
      <c r="B792" s="13"/>
      <c r="C792" s="13"/>
      <c r="D792" s="13"/>
      <c r="E792" s="13"/>
      <c r="F792" s="13"/>
      <c r="G792" s="13"/>
      <c r="H792" s="13"/>
      <c r="I792" s="13"/>
      <c r="J792" s="13"/>
      <c r="K792" s="13"/>
      <c r="L792" s="13"/>
      <c r="M792" s="13"/>
      <c r="N792" s="13"/>
      <c r="O792" s="13"/>
      <c r="P792" s="13"/>
      <c r="Q792" s="13"/>
      <c r="R792" s="13"/>
      <c r="S792" s="13"/>
      <c r="T792" s="13"/>
      <c r="U792" s="13"/>
      <c r="V792" s="13"/>
      <c r="W792" s="13"/>
      <c r="X792" s="13"/>
      <c r="Y792" s="13"/>
      <c r="Z792" s="13"/>
      <c r="AA792" s="13"/>
    </row>
    <row r="793" spans="1:27" ht="17.399999999999999" x14ac:dyDescent="0.35">
      <c r="A793" s="13"/>
      <c r="B793" s="13"/>
      <c r="C793" s="13"/>
      <c r="D793" s="13"/>
      <c r="E793" s="13"/>
      <c r="F793" s="13"/>
      <c r="G793" s="13"/>
      <c r="H793" s="13"/>
      <c r="I793" s="13"/>
      <c r="J793" s="13"/>
      <c r="K793" s="13"/>
      <c r="L793" s="13"/>
      <c r="M793" s="13"/>
      <c r="N793" s="13"/>
      <c r="O793" s="13"/>
      <c r="P793" s="13"/>
      <c r="Q793" s="13"/>
      <c r="R793" s="13"/>
      <c r="S793" s="13"/>
      <c r="T793" s="13"/>
      <c r="U793" s="13"/>
      <c r="V793" s="13"/>
      <c r="W793" s="13"/>
      <c r="X793" s="13"/>
      <c r="Y793" s="13"/>
      <c r="Z793" s="13"/>
      <c r="AA793" s="13"/>
    </row>
    <row r="794" spans="1:27" ht="17.399999999999999" x14ac:dyDescent="0.35">
      <c r="A794" s="13"/>
      <c r="B794" s="13"/>
      <c r="C794" s="13"/>
      <c r="D794" s="13"/>
      <c r="E794" s="13"/>
      <c r="F794" s="13"/>
      <c r="G794" s="13"/>
      <c r="H794" s="13"/>
      <c r="I794" s="13"/>
      <c r="J794" s="13"/>
      <c r="K794" s="13"/>
      <c r="L794" s="13"/>
      <c r="M794" s="13"/>
      <c r="N794" s="13"/>
      <c r="O794" s="13"/>
      <c r="P794" s="13"/>
      <c r="Q794" s="13"/>
      <c r="R794" s="13"/>
      <c r="S794" s="13"/>
      <c r="T794" s="13"/>
      <c r="U794" s="13"/>
      <c r="V794" s="13"/>
      <c r="W794" s="13"/>
      <c r="X794" s="13"/>
      <c r="Y794" s="13"/>
      <c r="Z794" s="13"/>
      <c r="AA794" s="13"/>
    </row>
    <row r="795" spans="1:27" ht="17.399999999999999" x14ac:dyDescent="0.35">
      <c r="A795" s="13"/>
      <c r="B795" s="13"/>
      <c r="C795" s="13"/>
      <c r="D795" s="13"/>
      <c r="E795" s="13"/>
      <c r="F795" s="13"/>
      <c r="G795" s="13"/>
      <c r="H795" s="13"/>
      <c r="I795" s="13"/>
      <c r="J795" s="13"/>
      <c r="K795" s="13"/>
      <c r="L795" s="13"/>
      <c r="M795" s="13"/>
      <c r="N795" s="13"/>
      <c r="O795" s="13"/>
      <c r="P795" s="13"/>
      <c r="Q795" s="13"/>
      <c r="R795" s="13"/>
      <c r="S795" s="13"/>
      <c r="T795" s="13"/>
      <c r="U795" s="13"/>
      <c r="V795" s="13"/>
      <c r="W795" s="13"/>
      <c r="X795" s="13"/>
      <c r="Y795" s="13"/>
      <c r="Z795" s="13"/>
      <c r="AA795" s="13"/>
    </row>
    <row r="796" spans="1:27" ht="17.399999999999999" x14ac:dyDescent="0.35">
      <c r="A796" s="13"/>
      <c r="B796" s="13"/>
      <c r="C796" s="13"/>
      <c r="D796" s="13"/>
      <c r="E796" s="13"/>
      <c r="F796" s="13"/>
      <c r="G796" s="13"/>
      <c r="H796" s="13"/>
      <c r="I796" s="13"/>
      <c r="J796" s="13"/>
      <c r="K796" s="13"/>
      <c r="L796" s="13"/>
      <c r="M796" s="13"/>
      <c r="N796" s="13"/>
      <c r="O796" s="13"/>
      <c r="P796" s="13"/>
      <c r="Q796" s="13"/>
      <c r="R796" s="13"/>
      <c r="S796" s="13"/>
      <c r="T796" s="13"/>
      <c r="U796" s="13"/>
      <c r="V796" s="13"/>
      <c r="W796" s="13"/>
      <c r="X796" s="13"/>
      <c r="Y796" s="13"/>
      <c r="Z796" s="13"/>
      <c r="AA796" s="13"/>
    </row>
    <row r="797" spans="1:27" ht="17.399999999999999" x14ac:dyDescent="0.35">
      <c r="A797" s="13"/>
      <c r="B797" s="13"/>
      <c r="C797" s="13"/>
      <c r="D797" s="13"/>
      <c r="E797" s="13"/>
      <c r="F797" s="13"/>
      <c r="G797" s="13"/>
      <c r="H797" s="13"/>
      <c r="I797" s="13"/>
      <c r="J797" s="13"/>
      <c r="K797" s="13"/>
      <c r="L797" s="13"/>
      <c r="M797" s="13"/>
      <c r="N797" s="13"/>
      <c r="O797" s="13"/>
      <c r="P797" s="13"/>
      <c r="Q797" s="13"/>
      <c r="R797" s="13"/>
      <c r="S797" s="13"/>
      <c r="T797" s="13"/>
      <c r="U797" s="13"/>
      <c r="V797" s="13"/>
      <c r="W797" s="13"/>
      <c r="X797" s="13"/>
      <c r="Y797" s="13"/>
      <c r="Z797" s="13"/>
      <c r="AA797" s="13"/>
    </row>
    <row r="798" spans="1:27" ht="17.399999999999999" x14ac:dyDescent="0.35">
      <c r="A798" s="13"/>
      <c r="B798" s="13"/>
      <c r="C798" s="13"/>
      <c r="D798" s="13"/>
      <c r="E798" s="13"/>
      <c r="F798" s="13"/>
      <c r="G798" s="13"/>
      <c r="H798" s="13"/>
      <c r="I798" s="13"/>
      <c r="J798" s="13"/>
      <c r="K798" s="13"/>
      <c r="L798" s="13"/>
      <c r="M798" s="13"/>
      <c r="N798" s="13"/>
      <c r="O798" s="13"/>
      <c r="P798" s="13"/>
      <c r="Q798" s="13"/>
      <c r="R798" s="13"/>
      <c r="S798" s="13"/>
      <c r="T798" s="13"/>
      <c r="U798" s="13"/>
      <c r="V798" s="13"/>
      <c r="W798" s="13"/>
      <c r="X798" s="13"/>
      <c r="Y798" s="13"/>
      <c r="Z798" s="13"/>
      <c r="AA798" s="13"/>
    </row>
    <row r="799" spans="1:27" ht="17.399999999999999" x14ac:dyDescent="0.35">
      <c r="A799" s="13"/>
      <c r="B799" s="13"/>
      <c r="C799" s="13"/>
      <c r="D799" s="13"/>
      <c r="E799" s="13"/>
      <c r="F799" s="13"/>
      <c r="G799" s="13"/>
      <c r="H799" s="13"/>
      <c r="I799" s="13"/>
      <c r="J799" s="13"/>
      <c r="K799" s="13"/>
      <c r="L799" s="13"/>
      <c r="M799" s="13"/>
      <c r="N799" s="13"/>
      <c r="O799" s="13"/>
      <c r="P799" s="13"/>
      <c r="Q799" s="13"/>
      <c r="R799" s="13"/>
      <c r="S799" s="13"/>
      <c r="T799" s="13"/>
      <c r="U799" s="13"/>
      <c r="V799" s="13"/>
      <c r="W799" s="13"/>
      <c r="X799" s="13"/>
      <c r="Y799" s="13"/>
      <c r="Z799" s="13"/>
      <c r="AA799" s="13"/>
    </row>
    <row r="800" spans="1:27" ht="17.399999999999999" x14ac:dyDescent="0.35">
      <c r="A800" s="13"/>
      <c r="B800" s="13"/>
      <c r="C800" s="13"/>
      <c r="D800" s="13"/>
      <c r="E800" s="13"/>
      <c r="F800" s="13"/>
      <c r="G800" s="13"/>
      <c r="H800" s="13"/>
      <c r="I800" s="13"/>
      <c r="J800" s="13"/>
      <c r="K800" s="13"/>
      <c r="L800" s="13"/>
      <c r="M800" s="13"/>
      <c r="N800" s="13"/>
      <c r="O800" s="13"/>
      <c r="P800" s="13"/>
      <c r="Q800" s="13"/>
      <c r="R800" s="13"/>
      <c r="S800" s="13"/>
      <c r="T800" s="13"/>
      <c r="U800" s="13"/>
      <c r="V800" s="13"/>
      <c r="W800" s="13"/>
      <c r="X800" s="13"/>
      <c r="Y800" s="13"/>
      <c r="Z800" s="13"/>
      <c r="AA800" s="13"/>
    </row>
    <row r="801" spans="1:27" ht="17.399999999999999" x14ac:dyDescent="0.35">
      <c r="A801" s="13"/>
      <c r="B801" s="13"/>
      <c r="C801" s="13"/>
      <c r="D801" s="13"/>
      <c r="E801" s="13"/>
      <c r="F801" s="13"/>
      <c r="G801" s="13"/>
      <c r="H801" s="13"/>
      <c r="I801" s="13"/>
      <c r="J801" s="13"/>
      <c r="K801" s="13"/>
      <c r="L801" s="13"/>
      <c r="M801" s="13"/>
      <c r="N801" s="13"/>
      <c r="O801" s="13"/>
      <c r="P801" s="13"/>
      <c r="Q801" s="13"/>
      <c r="R801" s="13"/>
      <c r="S801" s="13"/>
      <c r="T801" s="13"/>
      <c r="U801" s="13"/>
      <c r="V801" s="13"/>
      <c r="W801" s="13"/>
      <c r="X801" s="13"/>
      <c r="Y801" s="13"/>
      <c r="Z801" s="13"/>
      <c r="AA801" s="13"/>
    </row>
    <row r="802" spans="1:27" ht="17.399999999999999" x14ac:dyDescent="0.35">
      <c r="A802" s="13"/>
      <c r="B802" s="13"/>
      <c r="C802" s="13"/>
      <c r="D802" s="13"/>
      <c r="E802" s="13"/>
      <c r="F802" s="13"/>
      <c r="G802" s="13"/>
      <c r="H802" s="13"/>
      <c r="I802" s="13"/>
      <c r="J802" s="13"/>
      <c r="K802" s="13"/>
      <c r="L802" s="13"/>
      <c r="M802" s="13"/>
      <c r="N802" s="13"/>
      <c r="O802" s="13"/>
      <c r="P802" s="13"/>
      <c r="Q802" s="13"/>
      <c r="R802" s="13"/>
      <c r="S802" s="13"/>
      <c r="T802" s="13"/>
      <c r="U802" s="13"/>
      <c r="V802" s="13"/>
      <c r="W802" s="13"/>
      <c r="X802" s="13"/>
      <c r="Y802" s="13"/>
      <c r="Z802" s="13"/>
      <c r="AA802" s="13"/>
    </row>
    <row r="803" spans="1:27" ht="17.399999999999999" x14ac:dyDescent="0.35">
      <c r="A803" s="13"/>
      <c r="B803" s="13"/>
      <c r="C803" s="13"/>
      <c r="D803" s="13"/>
      <c r="E803" s="13"/>
      <c r="F803" s="13"/>
      <c r="G803" s="13"/>
      <c r="H803" s="13"/>
      <c r="I803" s="13"/>
      <c r="J803" s="13"/>
      <c r="K803" s="13"/>
      <c r="L803" s="13"/>
      <c r="M803" s="13"/>
      <c r="N803" s="13"/>
      <c r="O803" s="13"/>
      <c r="P803" s="13"/>
      <c r="Q803" s="13"/>
      <c r="R803" s="13"/>
      <c r="S803" s="13"/>
      <c r="T803" s="13"/>
      <c r="U803" s="13"/>
      <c r="V803" s="13"/>
      <c r="W803" s="13"/>
      <c r="X803" s="13"/>
      <c r="Y803" s="13"/>
      <c r="Z803" s="13"/>
      <c r="AA803" s="13"/>
    </row>
    <row r="804" spans="1:27" ht="17.399999999999999" x14ac:dyDescent="0.35">
      <c r="A804" s="13"/>
      <c r="B804" s="13"/>
      <c r="C804" s="13"/>
      <c r="D804" s="13"/>
      <c r="E804" s="13"/>
      <c r="F804" s="13"/>
      <c r="G804" s="13"/>
      <c r="H804" s="13"/>
      <c r="I804" s="13"/>
      <c r="J804" s="13"/>
      <c r="K804" s="13"/>
      <c r="L804" s="13"/>
      <c r="M804" s="13"/>
      <c r="N804" s="13"/>
      <c r="O804" s="13"/>
      <c r="P804" s="13"/>
      <c r="Q804" s="13"/>
      <c r="R804" s="13"/>
      <c r="S804" s="13"/>
      <c r="T804" s="13"/>
      <c r="U804" s="13"/>
      <c r="V804" s="13"/>
      <c r="W804" s="13"/>
      <c r="X804" s="13"/>
      <c r="Y804" s="13"/>
      <c r="Z804" s="13"/>
      <c r="AA804" s="13"/>
    </row>
    <row r="805" spans="1:27" ht="17.399999999999999" x14ac:dyDescent="0.35">
      <c r="A805" s="13"/>
      <c r="B805" s="13"/>
      <c r="C805" s="13"/>
      <c r="D805" s="13"/>
      <c r="E805" s="13"/>
      <c r="F805" s="13"/>
      <c r="G805" s="13"/>
      <c r="H805" s="13"/>
      <c r="I805" s="13"/>
      <c r="J805" s="13"/>
      <c r="K805" s="13"/>
      <c r="L805" s="13"/>
      <c r="M805" s="13"/>
      <c r="N805" s="13"/>
      <c r="O805" s="13"/>
      <c r="P805" s="13"/>
      <c r="Q805" s="13"/>
      <c r="R805" s="13"/>
      <c r="S805" s="13"/>
      <c r="T805" s="13"/>
      <c r="U805" s="13"/>
      <c r="V805" s="13"/>
      <c r="W805" s="13"/>
      <c r="X805" s="13"/>
      <c r="Y805" s="13"/>
      <c r="Z805" s="13"/>
      <c r="AA805" s="13"/>
    </row>
    <row r="806" spans="1:27" ht="17.399999999999999" x14ac:dyDescent="0.35">
      <c r="A806" s="13"/>
      <c r="B806" s="13"/>
      <c r="C806" s="13"/>
      <c r="D806" s="13"/>
      <c r="E806" s="13"/>
      <c r="F806" s="13"/>
      <c r="G806" s="13"/>
      <c r="H806" s="13"/>
      <c r="I806" s="13"/>
      <c r="J806" s="13"/>
      <c r="K806" s="13"/>
      <c r="L806" s="13"/>
      <c r="M806" s="13"/>
      <c r="N806" s="13"/>
      <c r="O806" s="13"/>
      <c r="P806" s="13"/>
      <c r="Q806" s="13"/>
      <c r="R806" s="13"/>
      <c r="S806" s="13"/>
      <c r="T806" s="13"/>
      <c r="U806" s="13"/>
      <c r="V806" s="13"/>
      <c r="W806" s="13"/>
      <c r="X806" s="13"/>
      <c r="Y806" s="13"/>
      <c r="Z806" s="13"/>
      <c r="AA806" s="13"/>
    </row>
    <row r="807" spans="1:27" ht="17.399999999999999" x14ac:dyDescent="0.35">
      <c r="A807" s="13"/>
      <c r="B807" s="13"/>
      <c r="C807" s="13"/>
      <c r="D807" s="13"/>
      <c r="E807" s="13"/>
      <c r="F807" s="13"/>
      <c r="G807" s="13"/>
      <c r="H807" s="13"/>
      <c r="I807" s="13"/>
      <c r="J807" s="13"/>
      <c r="K807" s="13"/>
      <c r="L807" s="13"/>
      <c r="M807" s="13"/>
      <c r="N807" s="13"/>
      <c r="O807" s="13"/>
      <c r="P807" s="13"/>
      <c r="Q807" s="13"/>
      <c r="R807" s="13"/>
      <c r="S807" s="13"/>
      <c r="T807" s="13"/>
      <c r="U807" s="13"/>
      <c r="V807" s="13"/>
      <c r="W807" s="13"/>
      <c r="X807" s="13"/>
      <c r="Y807" s="13"/>
      <c r="Z807" s="13"/>
      <c r="AA807" s="13"/>
    </row>
    <row r="808" spans="1:27" ht="17.399999999999999" x14ac:dyDescent="0.35">
      <c r="A808" s="13"/>
      <c r="B808" s="13"/>
      <c r="C808" s="13"/>
      <c r="D808" s="13"/>
      <c r="E808" s="13"/>
      <c r="F808" s="13"/>
      <c r="G808" s="13"/>
      <c r="H808" s="13"/>
      <c r="I808" s="13"/>
      <c r="J808" s="13"/>
      <c r="K808" s="13"/>
      <c r="L808" s="13"/>
      <c r="M808" s="13"/>
      <c r="N808" s="13"/>
      <c r="O808" s="13"/>
      <c r="P808" s="13"/>
      <c r="Q808" s="13"/>
      <c r="R808" s="13"/>
      <c r="S808" s="13"/>
      <c r="T808" s="13"/>
      <c r="U808" s="13"/>
      <c r="V808" s="13"/>
      <c r="W808" s="13"/>
      <c r="X808" s="13"/>
      <c r="Y808" s="13"/>
      <c r="Z808" s="13"/>
      <c r="AA808" s="13"/>
    </row>
    <row r="809" spans="1:27" ht="17.399999999999999" x14ac:dyDescent="0.35">
      <c r="A809" s="13"/>
      <c r="B809" s="13"/>
      <c r="C809" s="13"/>
      <c r="D809" s="13"/>
      <c r="E809" s="13"/>
      <c r="F809" s="13"/>
      <c r="G809" s="13"/>
      <c r="H809" s="13"/>
      <c r="I809" s="13"/>
      <c r="J809" s="13"/>
      <c r="K809" s="13"/>
      <c r="L809" s="13"/>
      <c r="M809" s="13"/>
      <c r="N809" s="13"/>
      <c r="O809" s="13"/>
      <c r="P809" s="13"/>
      <c r="Q809" s="13"/>
      <c r="R809" s="13"/>
      <c r="S809" s="13"/>
      <c r="T809" s="13"/>
      <c r="U809" s="13"/>
      <c r="V809" s="13"/>
      <c r="W809" s="13"/>
      <c r="X809" s="13"/>
      <c r="Y809" s="13"/>
      <c r="Z809" s="13"/>
      <c r="AA809" s="13"/>
    </row>
    <row r="810" spans="1:27" ht="17.399999999999999" x14ac:dyDescent="0.35">
      <c r="A810" s="13"/>
      <c r="B810" s="13"/>
      <c r="C810" s="13"/>
      <c r="D810" s="13"/>
      <c r="E810" s="13"/>
      <c r="F810" s="13"/>
      <c r="G810" s="13"/>
      <c r="H810" s="13"/>
      <c r="I810" s="13"/>
      <c r="J810" s="13"/>
      <c r="K810" s="13"/>
      <c r="L810" s="13"/>
      <c r="M810" s="13"/>
      <c r="N810" s="13"/>
      <c r="O810" s="13"/>
      <c r="P810" s="13"/>
      <c r="Q810" s="13"/>
      <c r="R810" s="13"/>
      <c r="S810" s="13"/>
      <c r="T810" s="13"/>
      <c r="U810" s="13"/>
      <c r="V810" s="13"/>
      <c r="W810" s="13"/>
      <c r="X810" s="13"/>
      <c r="Y810" s="13"/>
      <c r="Z810" s="13"/>
      <c r="AA810" s="13"/>
    </row>
    <row r="811" spans="1:27" ht="17.399999999999999" x14ac:dyDescent="0.35">
      <c r="A811" s="13"/>
      <c r="B811" s="13"/>
      <c r="C811" s="13"/>
      <c r="D811" s="13"/>
      <c r="E811" s="13"/>
      <c r="F811" s="13"/>
      <c r="G811" s="13"/>
      <c r="H811" s="13"/>
      <c r="I811" s="13"/>
      <c r="J811" s="13"/>
      <c r="K811" s="13"/>
      <c r="L811" s="13"/>
      <c r="M811" s="13"/>
      <c r="N811" s="13"/>
      <c r="O811" s="13"/>
      <c r="P811" s="13"/>
      <c r="Q811" s="13"/>
      <c r="R811" s="13"/>
      <c r="S811" s="13"/>
      <c r="T811" s="13"/>
      <c r="U811" s="13"/>
      <c r="V811" s="13"/>
      <c r="W811" s="13"/>
      <c r="X811" s="13"/>
      <c r="Y811" s="13"/>
      <c r="Z811" s="13"/>
      <c r="AA811" s="13"/>
    </row>
    <row r="812" spans="1:27" ht="17.399999999999999" x14ac:dyDescent="0.35">
      <c r="A812" s="13"/>
      <c r="B812" s="13"/>
      <c r="C812" s="13"/>
      <c r="D812" s="13"/>
      <c r="E812" s="13"/>
      <c r="F812" s="13"/>
      <c r="G812" s="13"/>
      <c r="H812" s="13"/>
      <c r="I812" s="13"/>
      <c r="J812" s="13"/>
      <c r="K812" s="13"/>
      <c r="L812" s="13"/>
      <c r="M812" s="13"/>
      <c r="N812" s="13"/>
      <c r="O812" s="13"/>
      <c r="P812" s="13"/>
      <c r="Q812" s="13"/>
      <c r="R812" s="13"/>
      <c r="S812" s="13"/>
      <c r="T812" s="13"/>
      <c r="U812" s="13"/>
      <c r="V812" s="13"/>
      <c r="W812" s="13"/>
      <c r="X812" s="13"/>
      <c r="Y812" s="13"/>
      <c r="Z812" s="13"/>
      <c r="AA812" s="13"/>
    </row>
    <row r="813" spans="1:27" ht="17.399999999999999" x14ac:dyDescent="0.35">
      <c r="A813" s="13"/>
      <c r="B813" s="13"/>
      <c r="C813" s="13"/>
      <c r="D813" s="13"/>
      <c r="E813" s="13"/>
      <c r="F813" s="13"/>
      <c r="G813" s="13"/>
      <c r="H813" s="13"/>
      <c r="I813" s="13"/>
      <c r="J813" s="13"/>
      <c r="K813" s="13"/>
      <c r="L813" s="13"/>
      <c r="M813" s="13"/>
      <c r="N813" s="13"/>
      <c r="O813" s="13"/>
      <c r="P813" s="13"/>
      <c r="Q813" s="13"/>
      <c r="R813" s="13"/>
      <c r="S813" s="13"/>
      <c r="T813" s="13"/>
      <c r="U813" s="13"/>
      <c r="V813" s="13"/>
      <c r="W813" s="13"/>
      <c r="X813" s="13"/>
      <c r="Y813" s="13"/>
      <c r="Z813" s="13"/>
      <c r="AA813" s="13"/>
    </row>
    <row r="814" spans="1:27" ht="17.399999999999999" x14ac:dyDescent="0.35">
      <c r="A814" s="13"/>
      <c r="B814" s="13"/>
      <c r="C814" s="13"/>
      <c r="D814" s="13"/>
      <c r="E814" s="13"/>
      <c r="F814" s="13"/>
      <c r="G814" s="13"/>
      <c r="H814" s="13"/>
      <c r="I814" s="13"/>
      <c r="J814" s="13"/>
      <c r="K814" s="13"/>
      <c r="L814" s="13"/>
      <c r="M814" s="13"/>
      <c r="N814" s="13"/>
      <c r="O814" s="13"/>
      <c r="P814" s="13"/>
      <c r="Q814" s="13"/>
      <c r="R814" s="13"/>
      <c r="S814" s="13"/>
      <c r="T814" s="13"/>
      <c r="U814" s="13"/>
      <c r="V814" s="13"/>
      <c r="W814" s="13"/>
      <c r="X814" s="13"/>
      <c r="Y814" s="13"/>
      <c r="Z814" s="13"/>
      <c r="AA814" s="13"/>
    </row>
    <row r="815" spans="1:27" ht="17.399999999999999" x14ac:dyDescent="0.35">
      <c r="A815" s="13"/>
      <c r="B815" s="13"/>
      <c r="C815" s="13"/>
      <c r="D815" s="13"/>
      <c r="E815" s="13"/>
      <c r="F815" s="13"/>
      <c r="G815" s="13"/>
      <c r="H815" s="13"/>
      <c r="I815" s="13"/>
      <c r="J815" s="13"/>
      <c r="K815" s="13"/>
      <c r="L815" s="13"/>
      <c r="M815" s="13"/>
      <c r="N815" s="13"/>
      <c r="O815" s="13"/>
      <c r="P815" s="13"/>
      <c r="Q815" s="13"/>
      <c r="R815" s="13"/>
      <c r="S815" s="13"/>
      <c r="T815" s="13"/>
      <c r="U815" s="13"/>
      <c r="V815" s="13"/>
      <c r="W815" s="13"/>
      <c r="X815" s="13"/>
      <c r="Y815" s="13"/>
      <c r="Z815" s="13"/>
      <c r="AA815" s="13"/>
    </row>
    <row r="816" spans="1:27" ht="17.399999999999999" x14ac:dyDescent="0.35">
      <c r="A816" s="13"/>
      <c r="B816" s="13"/>
      <c r="C816" s="13"/>
      <c r="D816" s="13"/>
      <c r="E816" s="13"/>
      <c r="F816" s="13"/>
      <c r="G816" s="13"/>
      <c r="H816" s="13"/>
      <c r="I816" s="13"/>
      <c r="J816" s="13"/>
      <c r="K816" s="13"/>
      <c r="L816" s="13"/>
      <c r="M816" s="13"/>
      <c r="N816" s="13"/>
      <c r="O816" s="13"/>
      <c r="P816" s="13"/>
      <c r="Q816" s="13"/>
      <c r="R816" s="13"/>
      <c r="S816" s="13"/>
      <c r="T816" s="13"/>
      <c r="U816" s="13"/>
      <c r="V816" s="13"/>
      <c r="W816" s="13"/>
      <c r="X816" s="13"/>
      <c r="Y816" s="13"/>
      <c r="Z816" s="13"/>
      <c r="AA816" s="13"/>
    </row>
    <row r="817" spans="1:27" ht="17.399999999999999" x14ac:dyDescent="0.35">
      <c r="A817" s="13"/>
      <c r="B817" s="13"/>
      <c r="C817" s="13"/>
      <c r="D817" s="13"/>
      <c r="E817" s="13"/>
      <c r="F817" s="13"/>
      <c r="G817" s="13"/>
      <c r="H817" s="13"/>
      <c r="I817" s="13"/>
      <c r="J817" s="13"/>
      <c r="K817" s="13"/>
      <c r="L817" s="13"/>
      <c r="M817" s="13"/>
      <c r="N817" s="13"/>
      <c r="O817" s="13"/>
      <c r="P817" s="13"/>
      <c r="Q817" s="13"/>
      <c r="R817" s="13"/>
      <c r="S817" s="13"/>
      <c r="T817" s="13"/>
      <c r="U817" s="13"/>
      <c r="V817" s="13"/>
      <c r="W817" s="13"/>
      <c r="X817" s="13"/>
      <c r="Y817" s="13"/>
      <c r="Z817" s="13"/>
      <c r="AA817" s="13"/>
    </row>
    <row r="818" spans="1:27" ht="17.399999999999999" x14ac:dyDescent="0.35">
      <c r="A818" s="13"/>
      <c r="B818" s="13"/>
      <c r="C818" s="13"/>
      <c r="D818" s="13"/>
      <c r="E818" s="13"/>
      <c r="F818" s="13"/>
      <c r="G818" s="13"/>
      <c r="H818" s="13"/>
      <c r="I818" s="13"/>
      <c r="J818" s="13"/>
      <c r="K818" s="13"/>
      <c r="L818" s="13"/>
      <c r="M818" s="13"/>
      <c r="N818" s="13"/>
      <c r="O818" s="13"/>
      <c r="P818" s="13"/>
      <c r="Q818" s="13"/>
      <c r="R818" s="13"/>
      <c r="S818" s="13"/>
      <c r="T818" s="13"/>
      <c r="U818" s="13"/>
      <c r="V818" s="13"/>
      <c r="W818" s="13"/>
      <c r="X818" s="13"/>
      <c r="Y818" s="13"/>
      <c r="Z818" s="13"/>
      <c r="AA818" s="13"/>
    </row>
    <row r="819" spans="1:27" ht="17.399999999999999" x14ac:dyDescent="0.35">
      <c r="A819" s="13"/>
      <c r="B819" s="13"/>
      <c r="C819" s="13"/>
      <c r="D819" s="13"/>
      <c r="E819" s="13"/>
      <c r="F819" s="13"/>
      <c r="G819" s="13"/>
      <c r="H819" s="13"/>
      <c r="I819" s="13"/>
      <c r="J819" s="13"/>
      <c r="K819" s="13"/>
      <c r="L819" s="13"/>
      <c r="M819" s="13"/>
      <c r="N819" s="13"/>
      <c r="O819" s="13"/>
      <c r="P819" s="13"/>
      <c r="Q819" s="13"/>
      <c r="R819" s="13"/>
      <c r="S819" s="13"/>
      <c r="T819" s="13"/>
      <c r="U819" s="13"/>
      <c r="V819" s="13"/>
      <c r="W819" s="13"/>
      <c r="X819" s="13"/>
      <c r="Y819" s="13"/>
      <c r="Z819" s="13"/>
      <c r="AA819" s="13"/>
    </row>
    <row r="820" spans="1:27" ht="17.399999999999999" x14ac:dyDescent="0.35">
      <c r="A820" s="13"/>
      <c r="B820" s="13"/>
      <c r="C820" s="13"/>
      <c r="D820" s="13"/>
      <c r="E820" s="13"/>
      <c r="F820" s="13"/>
      <c r="G820" s="13"/>
      <c r="H820" s="13"/>
      <c r="I820" s="13"/>
      <c r="J820" s="13"/>
      <c r="K820" s="13"/>
      <c r="L820" s="13"/>
      <c r="M820" s="13"/>
      <c r="N820" s="13"/>
      <c r="O820" s="13"/>
      <c r="P820" s="13"/>
      <c r="Q820" s="13"/>
      <c r="R820" s="13"/>
      <c r="S820" s="13"/>
      <c r="T820" s="13"/>
      <c r="U820" s="13"/>
      <c r="V820" s="13"/>
      <c r="W820" s="13"/>
      <c r="X820" s="13"/>
      <c r="Y820" s="13"/>
      <c r="Z820" s="13"/>
      <c r="AA820" s="13"/>
    </row>
    <row r="821" spans="1:27" ht="17.399999999999999" x14ac:dyDescent="0.35">
      <c r="A821" s="13"/>
      <c r="B821" s="13"/>
      <c r="C821" s="13"/>
      <c r="D821" s="13"/>
      <c r="E821" s="13"/>
      <c r="F821" s="13"/>
      <c r="G821" s="13"/>
      <c r="H821" s="13"/>
      <c r="I821" s="13"/>
      <c r="J821" s="13"/>
      <c r="K821" s="13"/>
      <c r="L821" s="13"/>
      <c r="M821" s="13"/>
      <c r="N821" s="13"/>
      <c r="O821" s="13"/>
      <c r="P821" s="13"/>
      <c r="Q821" s="13"/>
      <c r="R821" s="13"/>
      <c r="S821" s="13"/>
      <c r="T821" s="13"/>
      <c r="U821" s="13"/>
      <c r="V821" s="13"/>
      <c r="W821" s="13"/>
      <c r="X821" s="13"/>
      <c r="Y821" s="13"/>
      <c r="Z821" s="13"/>
      <c r="AA821" s="13"/>
    </row>
    <row r="822" spans="1:27" ht="17.399999999999999" x14ac:dyDescent="0.35">
      <c r="A822" s="13"/>
      <c r="B822" s="13"/>
      <c r="C822" s="13"/>
      <c r="D822" s="13"/>
      <c r="E822" s="13"/>
      <c r="F822" s="13"/>
      <c r="G822" s="13"/>
      <c r="H822" s="13"/>
      <c r="I822" s="13"/>
      <c r="J822" s="13"/>
      <c r="K822" s="13"/>
      <c r="L822" s="13"/>
      <c r="M822" s="13"/>
      <c r="N822" s="13"/>
      <c r="O822" s="13"/>
      <c r="P822" s="13"/>
      <c r="Q822" s="13"/>
      <c r="R822" s="13"/>
      <c r="S822" s="13"/>
      <c r="T822" s="13"/>
      <c r="U822" s="13"/>
      <c r="V822" s="13"/>
      <c r="W822" s="13"/>
      <c r="X822" s="13"/>
      <c r="Y822" s="13"/>
      <c r="Z822" s="13"/>
      <c r="AA822" s="13"/>
    </row>
    <row r="823" spans="1:27" ht="17.399999999999999" x14ac:dyDescent="0.35">
      <c r="A823" s="13"/>
      <c r="B823" s="13"/>
      <c r="C823" s="13"/>
      <c r="D823" s="13"/>
      <c r="E823" s="13"/>
      <c r="F823" s="13"/>
      <c r="G823" s="13"/>
      <c r="H823" s="13"/>
      <c r="I823" s="13"/>
      <c r="J823" s="13"/>
      <c r="K823" s="13"/>
      <c r="L823" s="13"/>
      <c r="M823" s="13"/>
      <c r="N823" s="13"/>
      <c r="O823" s="13"/>
      <c r="P823" s="13"/>
      <c r="Q823" s="13"/>
      <c r="R823" s="13"/>
      <c r="S823" s="13"/>
      <c r="T823" s="13"/>
      <c r="U823" s="13"/>
      <c r="V823" s="13"/>
      <c r="W823" s="13"/>
      <c r="X823" s="13"/>
      <c r="Y823" s="13"/>
      <c r="Z823" s="13"/>
      <c r="AA823" s="13"/>
    </row>
    <row r="824" spans="1:27" ht="17.399999999999999" x14ac:dyDescent="0.35">
      <c r="A824" s="13"/>
      <c r="B824" s="13"/>
      <c r="C824" s="13"/>
      <c r="D824" s="13"/>
      <c r="E824" s="13"/>
      <c r="F824" s="13"/>
      <c r="G824" s="13"/>
      <c r="H824" s="13"/>
      <c r="I824" s="13"/>
      <c r="J824" s="13"/>
      <c r="K824" s="13"/>
      <c r="L824" s="13"/>
      <c r="M824" s="13"/>
      <c r="N824" s="13"/>
      <c r="O824" s="13"/>
      <c r="P824" s="13"/>
      <c r="Q824" s="13"/>
      <c r="R824" s="13"/>
      <c r="S824" s="13"/>
      <c r="T824" s="13"/>
      <c r="U824" s="13"/>
      <c r="V824" s="13"/>
      <c r="W824" s="13"/>
      <c r="X824" s="13"/>
      <c r="Y824" s="13"/>
      <c r="Z824" s="13"/>
      <c r="AA824" s="13"/>
    </row>
    <row r="825" spans="1:27" ht="17.399999999999999" x14ac:dyDescent="0.35">
      <c r="A825" s="13"/>
      <c r="B825" s="13"/>
      <c r="C825" s="13"/>
      <c r="D825" s="13"/>
      <c r="E825" s="13"/>
      <c r="F825" s="13"/>
      <c r="G825" s="13"/>
      <c r="H825" s="13"/>
      <c r="I825" s="13"/>
      <c r="J825" s="13"/>
      <c r="K825" s="13"/>
      <c r="L825" s="13"/>
      <c r="M825" s="13"/>
      <c r="N825" s="13"/>
      <c r="O825" s="13"/>
      <c r="P825" s="13"/>
      <c r="Q825" s="13"/>
      <c r="R825" s="13"/>
      <c r="S825" s="13"/>
      <c r="T825" s="13"/>
      <c r="U825" s="13"/>
      <c r="V825" s="13"/>
      <c r="W825" s="13"/>
      <c r="X825" s="13"/>
      <c r="Y825" s="13"/>
      <c r="Z825" s="13"/>
      <c r="AA825" s="13"/>
    </row>
    <row r="826" spans="1:27" ht="17.399999999999999" x14ac:dyDescent="0.35">
      <c r="A826" s="13"/>
      <c r="B826" s="13"/>
      <c r="C826" s="13"/>
      <c r="D826" s="13"/>
      <c r="E826" s="13"/>
      <c r="F826" s="13"/>
      <c r="G826" s="13"/>
      <c r="H826" s="13"/>
      <c r="I826" s="13"/>
      <c r="J826" s="13"/>
      <c r="K826" s="13"/>
      <c r="L826" s="13"/>
      <c r="M826" s="13"/>
      <c r="N826" s="13"/>
      <c r="O826" s="13"/>
      <c r="P826" s="13"/>
      <c r="Q826" s="13"/>
      <c r="R826" s="13"/>
      <c r="S826" s="13"/>
      <c r="T826" s="13"/>
      <c r="U826" s="13"/>
      <c r="V826" s="13"/>
      <c r="W826" s="13"/>
      <c r="X826" s="13"/>
      <c r="Y826" s="13"/>
      <c r="Z826" s="13"/>
      <c r="AA826" s="13"/>
    </row>
    <row r="827" spans="1:27" ht="17.399999999999999" x14ac:dyDescent="0.35">
      <c r="A827" s="13"/>
      <c r="B827" s="13"/>
      <c r="C827" s="13"/>
      <c r="D827" s="13"/>
      <c r="E827" s="13"/>
      <c r="F827" s="13"/>
      <c r="G827" s="13"/>
      <c r="H827" s="13"/>
      <c r="I827" s="13"/>
      <c r="J827" s="13"/>
      <c r="K827" s="13"/>
      <c r="L827" s="13"/>
      <c r="M827" s="13"/>
      <c r="N827" s="13"/>
      <c r="O827" s="13"/>
      <c r="P827" s="13"/>
      <c r="Q827" s="13"/>
      <c r="R827" s="13"/>
      <c r="S827" s="13"/>
      <c r="T827" s="13"/>
      <c r="U827" s="13"/>
      <c r="V827" s="13"/>
      <c r="W827" s="13"/>
      <c r="X827" s="13"/>
      <c r="Y827" s="13"/>
      <c r="Z827" s="13"/>
      <c r="AA827" s="13"/>
    </row>
    <row r="828" spans="1:27" ht="17.399999999999999" x14ac:dyDescent="0.35">
      <c r="A828" s="13"/>
      <c r="B828" s="13"/>
      <c r="C828" s="13"/>
      <c r="D828" s="13"/>
      <c r="E828" s="13"/>
      <c r="F828" s="13"/>
      <c r="G828" s="13"/>
      <c r="H828" s="13"/>
      <c r="I828" s="13"/>
      <c r="J828" s="13"/>
      <c r="K828" s="13"/>
      <c r="L828" s="13"/>
      <c r="M828" s="13"/>
      <c r="N828" s="13"/>
      <c r="O828" s="13"/>
      <c r="P828" s="13"/>
      <c r="Q828" s="13"/>
      <c r="R828" s="13"/>
      <c r="S828" s="13"/>
      <c r="T828" s="13"/>
      <c r="U828" s="13"/>
      <c r="V828" s="13"/>
      <c r="W828" s="13"/>
      <c r="X828" s="13"/>
      <c r="Y828" s="13"/>
      <c r="Z828" s="13"/>
      <c r="AA828" s="13"/>
    </row>
    <row r="829" spans="1:27" ht="17.399999999999999" x14ac:dyDescent="0.35">
      <c r="A829" s="13"/>
      <c r="B829" s="13"/>
      <c r="C829" s="13"/>
      <c r="D829" s="13"/>
      <c r="E829" s="13"/>
      <c r="F829" s="13"/>
      <c r="G829" s="13"/>
      <c r="H829" s="13"/>
      <c r="I829" s="13"/>
      <c r="J829" s="13"/>
      <c r="K829" s="13"/>
      <c r="L829" s="13"/>
      <c r="M829" s="13"/>
      <c r="N829" s="13"/>
      <c r="O829" s="13"/>
      <c r="P829" s="13"/>
      <c r="Q829" s="13"/>
      <c r="R829" s="13"/>
      <c r="S829" s="13"/>
      <c r="T829" s="13"/>
      <c r="U829" s="13"/>
      <c r="V829" s="13"/>
      <c r="W829" s="13"/>
      <c r="X829" s="13"/>
      <c r="Y829" s="13"/>
      <c r="Z829" s="13"/>
      <c r="AA829" s="13"/>
    </row>
    <row r="830" spans="1:27" ht="17.399999999999999" x14ac:dyDescent="0.35">
      <c r="A830" s="13"/>
      <c r="B830" s="13"/>
      <c r="C830" s="13"/>
      <c r="D830" s="13"/>
      <c r="E830" s="13"/>
      <c r="F830" s="13"/>
      <c r="G830" s="13"/>
      <c r="H830" s="13"/>
      <c r="I830" s="13"/>
      <c r="J830" s="13"/>
      <c r="K830" s="13"/>
      <c r="L830" s="13"/>
      <c r="M830" s="13"/>
      <c r="N830" s="13"/>
      <c r="O830" s="13"/>
      <c r="P830" s="13"/>
      <c r="Q830" s="13"/>
      <c r="R830" s="13"/>
      <c r="S830" s="13"/>
      <c r="T830" s="13"/>
      <c r="U830" s="13"/>
      <c r="V830" s="13"/>
      <c r="W830" s="13"/>
      <c r="X830" s="13"/>
      <c r="Y830" s="13"/>
      <c r="Z830" s="13"/>
      <c r="AA830" s="13"/>
    </row>
    <row r="831" spans="1:27" ht="17.399999999999999" x14ac:dyDescent="0.35">
      <c r="A831" s="13"/>
      <c r="B831" s="13"/>
      <c r="C831" s="13"/>
      <c r="D831" s="13"/>
      <c r="E831" s="13"/>
      <c r="F831" s="13"/>
      <c r="G831" s="13"/>
      <c r="H831" s="13"/>
      <c r="I831" s="13"/>
      <c r="J831" s="13"/>
      <c r="K831" s="13"/>
      <c r="L831" s="13"/>
      <c r="M831" s="13"/>
      <c r="N831" s="13"/>
      <c r="O831" s="13"/>
      <c r="P831" s="13"/>
      <c r="Q831" s="13"/>
      <c r="R831" s="13"/>
      <c r="S831" s="13"/>
      <c r="T831" s="13"/>
      <c r="U831" s="13"/>
      <c r="V831" s="13"/>
      <c r="W831" s="13"/>
      <c r="X831" s="13"/>
      <c r="Y831" s="13"/>
      <c r="Z831" s="13"/>
      <c r="AA831" s="13"/>
    </row>
    <row r="832" spans="1:27" ht="17.399999999999999" x14ac:dyDescent="0.35">
      <c r="A832" s="13"/>
      <c r="B832" s="13"/>
      <c r="C832" s="13"/>
      <c r="D832" s="13"/>
      <c r="E832" s="13"/>
      <c r="F832" s="13"/>
      <c r="G832" s="13"/>
      <c r="H832" s="13"/>
      <c r="I832" s="13"/>
      <c r="J832" s="13"/>
      <c r="K832" s="13"/>
      <c r="L832" s="13"/>
      <c r="M832" s="13"/>
      <c r="N832" s="13"/>
      <c r="O832" s="13"/>
      <c r="P832" s="13"/>
      <c r="Q832" s="13"/>
      <c r="R832" s="13"/>
      <c r="S832" s="13"/>
      <c r="T832" s="13"/>
      <c r="U832" s="13"/>
      <c r="V832" s="13"/>
      <c r="W832" s="13"/>
      <c r="X832" s="13"/>
      <c r="Y832" s="13"/>
      <c r="Z832" s="13"/>
      <c r="AA832" s="13"/>
    </row>
    <row r="833" spans="1:27" ht="17.399999999999999" x14ac:dyDescent="0.35">
      <c r="A833" s="13"/>
      <c r="B833" s="13"/>
      <c r="C833" s="13"/>
      <c r="D833" s="13"/>
      <c r="E833" s="13"/>
      <c r="F833" s="13"/>
      <c r="G833" s="13"/>
      <c r="H833" s="13"/>
      <c r="I833" s="13"/>
      <c r="J833" s="13"/>
      <c r="K833" s="13"/>
      <c r="L833" s="13"/>
      <c r="M833" s="13"/>
      <c r="N833" s="13"/>
      <c r="O833" s="13"/>
      <c r="P833" s="13"/>
      <c r="Q833" s="13"/>
      <c r="R833" s="13"/>
      <c r="S833" s="13"/>
      <c r="T833" s="13"/>
      <c r="U833" s="13"/>
      <c r="V833" s="13"/>
      <c r="W833" s="13"/>
      <c r="X833" s="13"/>
      <c r="Y833" s="13"/>
      <c r="Z833" s="13"/>
      <c r="AA833" s="13"/>
    </row>
    <row r="834" spans="1:27" ht="17.399999999999999" x14ac:dyDescent="0.35">
      <c r="A834" s="13"/>
      <c r="B834" s="13"/>
      <c r="C834" s="13"/>
      <c r="D834" s="13"/>
      <c r="E834" s="13"/>
      <c r="F834" s="13"/>
      <c r="G834" s="13"/>
      <c r="H834" s="13"/>
      <c r="I834" s="13"/>
      <c r="J834" s="13"/>
      <c r="K834" s="13"/>
      <c r="L834" s="13"/>
      <c r="M834" s="13"/>
      <c r="N834" s="13"/>
      <c r="O834" s="13"/>
      <c r="P834" s="13"/>
      <c r="Q834" s="13"/>
      <c r="R834" s="13"/>
      <c r="S834" s="13"/>
      <c r="T834" s="13"/>
      <c r="U834" s="13"/>
      <c r="V834" s="13"/>
      <c r="W834" s="13"/>
      <c r="X834" s="13"/>
      <c r="Y834" s="13"/>
      <c r="Z834" s="13"/>
      <c r="AA834" s="13"/>
    </row>
    <row r="835" spans="1:27" ht="17.399999999999999" x14ac:dyDescent="0.35">
      <c r="A835" s="13"/>
      <c r="B835" s="13"/>
      <c r="C835" s="13"/>
      <c r="D835" s="13"/>
      <c r="E835" s="13"/>
      <c r="F835" s="13"/>
      <c r="G835" s="13"/>
      <c r="H835" s="13"/>
      <c r="I835" s="13"/>
      <c r="J835" s="13"/>
      <c r="K835" s="13"/>
      <c r="L835" s="13"/>
      <c r="M835" s="13"/>
      <c r="N835" s="13"/>
      <c r="O835" s="13"/>
      <c r="P835" s="13"/>
      <c r="Q835" s="13"/>
      <c r="R835" s="13"/>
      <c r="S835" s="13"/>
      <c r="T835" s="13"/>
      <c r="U835" s="13"/>
      <c r="V835" s="13"/>
      <c r="W835" s="13"/>
      <c r="X835" s="13"/>
      <c r="Y835" s="13"/>
      <c r="Z835" s="13"/>
      <c r="AA835" s="13"/>
    </row>
    <row r="836" spans="1:27" ht="17.399999999999999" x14ac:dyDescent="0.35">
      <c r="A836" s="13"/>
      <c r="B836" s="13"/>
      <c r="C836" s="13"/>
      <c r="D836" s="13"/>
      <c r="E836" s="13"/>
      <c r="F836" s="13"/>
      <c r="G836" s="13"/>
      <c r="H836" s="13"/>
      <c r="I836" s="13"/>
      <c r="J836" s="13"/>
      <c r="K836" s="13"/>
      <c r="L836" s="13"/>
      <c r="M836" s="13"/>
      <c r="N836" s="13"/>
      <c r="O836" s="13"/>
      <c r="P836" s="13"/>
      <c r="Q836" s="13"/>
      <c r="R836" s="13"/>
      <c r="S836" s="13"/>
      <c r="T836" s="13"/>
      <c r="U836" s="13"/>
      <c r="V836" s="13"/>
      <c r="W836" s="13"/>
      <c r="X836" s="13"/>
      <c r="Y836" s="13"/>
      <c r="Z836" s="13"/>
      <c r="AA836" s="13"/>
    </row>
    <row r="837" spans="1:27" ht="17.399999999999999" x14ac:dyDescent="0.35">
      <c r="A837" s="13"/>
      <c r="B837" s="13"/>
      <c r="C837" s="13"/>
      <c r="D837" s="13"/>
      <c r="E837" s="13"/>
      <c r="F837" s="13"/>
      <c r="G837" s="13"/>
      <c r="H837" s="13"/>
      <c r="I837" s="13"/>
      <c r="J837" s="13"/>
      <c r="K837" s="13"/>
      <c r="L837" s="13"/>
      <c r="M837" s="13"/>
      <c r="N837" s="13"/>
      <c r="O837" s="13"/>
      <c r="P837" s="13"/>
      <c r="Q837" s="13"/>
      <c r="R837" s="13"/>
      <c r="S837" s="13"/>
      <c r="T837" s="13"/>
      <c r="U837" s="13"/>
      <c r="V837" s="13"/>
      <c r="W837" s="13"/>
      <c r="X837" s="13"/>
      <c r="Y837" s="13"/>
      <c r="Z837" s="13"/>
      <c r="AA837" s="13"/>
    </row>
    <row r="838" spans="1:27" ht="17.399999999999999" x14ac:dyDescent="0.35">
      <c r="A838" s="13"/>
      <c r="B838" s="13"/>
      <c r="C838" s="13"/>
      <c r="D838" s="13"/>
      <c r="E838" s="13"/>
      <c r="F838" s="13"/>
      <c r="G838" s="13"/>
      <c r="H838" s="13"/>
      <c r="I838" s="13"/>
      <c r="J838" s="13"/>
      <c r="K838" s="13"/>
      <c r="L838" s="13"/>
      <c r="M838" s="13"/>
      <c r="N838" s="13"/>
      <c r="O838" s="13"/>
      <c r="P838" s="13"/>
      <c r="Q838" s="13"/>
      <c r="R838" s="13"/>
      <c r="S838" s="13"/>
      <c r="T838" s="13"/>
      <c r="U838" s="13"/>
      <c r="V838" s="13"/>
      <c r="W838" s="13"/>
      <c r="X838" s="13"/>
      <c r="Y838" s="13"/>
      <c r="Z838" s="13"/>
      <c r="AA838" s="13"/>
    </row>
    <row r="839" spans="1:27" ht="17.399999999999999" x14ac:dyDescent="0.35">
      <c r="A839" s="13"/>
      <c r="B839" s="13"/>
      <c r="C839" s="13"/>
      <c r="D839" s="13"/>
      <c r="E839" s="13"/>
      <c r="F839" s="13"/>
      <c r="G839" s="13"/>
      <c r="H839" s="13"/>
      <c r="I839" s="13"/>
      <c r="J839" s="13"/>
      <c r="K839" s="13"/>
      <c r="L839" s="13"/>
      <c r="M839" s="13"/>
      <c r="N839" s="13"/>
      <c r="O839" s="13"/>
      <c r="P839" s="13"/>
      <c r="Q839" s="13"/>
      <c r="R839" s="13"/>
      <c r="S839" s="13"/>
      <c r="T839" s="13"/>
      <c r="U839" s="13"/>
      <c r="V839" s="13"/>
      <c r="W839" s="13"/>
      <c r="X839" s="13"/>
      <c r="Y839" s="13"/>
      <c r="Z839" s="13"/>
      <c r="AA839" s="13"/>
    </row>
    <row r="840" spans="1:27" ht="17.399999999999999" x14ac:dyDescent="0.35">
      <c r="A840" s="13"/>
      <c r="B840" s="13"/>
      <c r="C840" s="13"/>
      <c r="D840" s="13"/>
      <c r="E840" s="13"/>
      <c r="F840" s="13"/>
      <c r="G840" s="13"/>
      <c r="H840" s="13"/>
      <c r="I840" s="13"/>
      <c r="J840" s="13"/>
      <c r="K840" s="13"/>
      <c r="L840" s="13"/>
      <c r="M840" s="13"/>
      <c r="N840" s="13"/>
      <c r="O840" s="13"/>
      <c r="P840" s="13"/>
      <c r="Q840" s="13"/>
      <c r="R840" s="13"/>
      <c r="S840" s="13"/>
      <c r="T840" s="13"/>
      <c r="U840" s="13"/>
      <c r="V840" s="13"/>
      <c r="W840" s="13"/>
      <c r="X840" s="13"/>
      <c r="Y840" s="13"/>
      <c r="Z840" s="13"/>
      <c r="AA840" s="13"/>
    </row>
    <row r="841" spans="1:27" ht="17.399999999999999" x14ac:dyDescent="0.35">
      <c r="A841" s="13"/>
      <c r="B841" s="13"/>
      <c r="C841" s="13"/>
      <c r="D841" s="13"/>
      <c r="E841" s="13"/>
      <c r="F841" s="13"/>
      <c r="G841" s="13"/>
      <c r="H841" s="13"/>
      <c r="I841" s="13"/>
      <c r="J841" s="13"/>
      <c r="K841" s="13"/>
      <c r="L841" s="13"/>
      <c r="M841" s="13"/>
      <c r="N841" s="13"/>
      <c r="O841" s="13"/>
      <c r="P841" s="13"/>
      <c r="Q841" s="13"/>
      <c r="R841" s="13"/>
      <c r="S841" s="13"/>
      <c r="T841" s="13"/>
      <c r="U841" s="13"/>
      <c r="V841" s="13"/>
      <c r="W841" s="13"/>
      <c r="X841" s="13"/>
      <c r="Y841" s="13"/>
      <c r="Z841" s="13"/>
      <c r="AA841" s="13"/>
    </row>
    <row r="842" spans="1:27" ht="17.399999999999999" x14ac:dyDescent="0.35">
      <c r="A842" s="13"/>
      <c r="B842" s="13"/>
      <c r="C842" s="13"/>
      <c r="D842" s="13"/>
      <c r="E842" s="13"/>
      <c r="F842" s="13"/>
      <c r="G842" s="13"/>
      <c r="H842" s="13"/>
      <c r="I842" s="13"/>
      <c r="J842" s="13"/>
      <c r="K842" s="13"/>
      <c r="L842" s="13"/>
      <c r="M842" s="13"/>
      <c r="N842" s="13"/>
      <c r="O842" s="13"/>
      <c r="P842" s="13"/>
      <c r="Q842" s="13"/>
      <c r="R842" s="13"/>
      <c r="S842" s="13"/>
      <c r="T842" s="13"/>
      <c r="U842" s="13"/>
      <c r="V842" s="13"/>
      <c r="W842" s="13"/>
      <c r="X842" s="13"/>
      <c r="Y842" s="13"/>
      <c r="Z842" s="13"/>
      <c r="AA842" s="13"/>
    </row>
    <row r="843" spans="1:27" ht="17.399999999999999" x14ac:dyDescent="0.35">
      <c r="A843" s="13"/>
      <c r="B843" s="13"/>
      <c r="C843" s="13"/>
      <c r="D843" s="13"/>
      <c r="E843" s="13"/>
      <c r="F843" s="13"/>
      <c r="G843" s="13"/>
      <c r="H843" s="13"/>
      <c r="I843" s="13"/>
      <c r="J843" s="13"/>
      <c r="K843" s="13"/>
      <c r="L843" s="13"/>
      <c r="M843" s="13"/>
      <c r="N843" s="13"/>
      <c r="O843" s="13"/>
      <c r="P843" s="13"/>
      <c r="Q843" s="13"/>
      <c r="R843" s="13"/>
      <c r="S843" s="13"/>
      <c r="T843" s="13"/>
      <c r="U843" s="13"/>
      <c r="V843" s="13"/>
      <c r="W843" s="13"/>
      <c r="X843" s="13"/>
      <c r="Y843" s="13"/>
      <c r="Z843" s="13"/>
      <c r="AA843" s="13"/>
    </row>
    <row r="844" spans="1:27" ht="17.399999999999999" x14ac:dyDescent="0.35">
      <c r="A844" s="13"/>
      <c r="B844" s="13"/>
      <c r="C844" s="13"/>
      <c r="D844" s="13"/>
      <c r="E844" s="13"/>
      <c r="F844" s="13"/>
      <c r="G844" s="13"/>
      <c r="H844" s="13"/>
      <c r="I844" s="13"/>
      <c r="J844" s="13"/>
      <c r="K844" s="13"/>
      <c r="L844" s="13"/>
      <c r="M844" s="13"/>
      <c r="N844" s="13"/>
      <c r="O844" s="13"/>
      <c r="P844" s="13"/>
      <c r="Q844" s="13"/>
      <c r="R844" s="13"/>
      <c r="S844" s="13"/>
      <c r="T844" s="13"/>
      <c r="U844" s="13"/>
      <c r="V844" s="13"/>
      <c r="W844" s="13"/>
      <c r="X844" s="13"/>
      <c r="Y844" s="13"/>
      <c r="Z844" s="13"/>
      <c r="AA844" s="13"/>
    </row>
    <row r="845" spans="1:27" ht="17.399999999999999" x14ac:dyDescent="0.35">
      <c r="A845" s="13"/>
      <c r="B845" s="13"/>
      <c r="C845" s="13"/>
      <c r="D845" s="13"/>
      <c r="E845" s="13"/>
      <c r="F845" s="13"/>
      <c r="G845" s="13"/>
      <c r="H845" s="13"/>
      <c r="I845" s="13"/>
      <c r="J845" s="13"/>
      <c r="K845" s="13"/>
      <c r="L845" s="13"/>
      <c r="M845" s="13"/>
      <c r="N845" s="13"/>
      <c r="O845" s="13"/>
      <c r="P845" s="13"/>
      <c r="Q845" s="13"/>
      <c r="R845" s="13"/>
      <c r="S845" s="13"/>
      <c r="T845" s="13"/>
      <c r="U845" s="13"/>
      <c r="V845" s="13"/>
      <c r="W845" s="13"/>
      <c r="X845" s="13"/>
      <c r="Y845" s="13"/>
      <c r="Z845" s="13"/>
      <c r="AA845" s="13"/>
    </row>
    <row r="846" spans="1:27" ht="17.399999999999999" x14ac:dyDescent="0.35">
      <c r="A846" s="13"/>
      <c r="B846" s="13"/>
      <c r="C846" s="13"/>
      <c r="D846" s="13"/>
      <c r="E846" s="13"/>
      <c r="F846" s="13"/>
      <c r="G846" s="13"/>
      <c r="H846" s="13"/>
      <c r="I846" s="13"/>
      <c r="J846" s="13"/>
      <c r="K846" s="13"/>
      <c r="L846" s="13"/>
      <c r="M846" s="13"/>
      <c r="N846" s="13"/>
      <c r="O846" s="13"/>
      <c r="P846" s="13"/>
      <c r="Q846" s="13"/>
      <c r="R846" s="13"/>
      <c r="S846" s="13"/>
      <c r="T846" s="13"/>
      <c r="U846" s="13"/>
      <c r="V846" s="13"/>
      <c r="W846" s="13"/>
      <c r="X846" s="13"/>
      <c r="Y846" s="13"/>
      <c r="Z846" s="13"/>
      <c r="AA846" s="13"/>
    </row>
    <row r="847" spans="1:27" ht="17.399999999999999" x14ac:dyDescent="0.35">
      <c r="A847" s="13"/>
      <c r="B847" s="13"/>
      <c r="C847" s="13"/>
      <c r="D847" s="13"/>
      <c r="E847" s="13"/>
      <c r="F847" s="13"/>
      <c r="G847" s="13"/>
      <c r="H847" s="13"/>
      <c r="I847" s="13"/>
      <c r="J847" s="13"/>
      <c r="K847" s="13"/>
      <c r="L847" s="13"/>
      <c r="M847" s="13"/>
      <c r="N847" s="13"/>
      <c r="O847" s="13"/>
      <c r="P847" s="13"/>
      <c r="Q847" s="13"/>
      <c r="R847" s="13"/>
      <c r="S847" s="13"/>
      <c r="T847" s="13"/>
      <c r="U847" s="13"/>
      <c r="V847" s="13"/>
      <c r="W847" s="13"/>
      <c r="X847" s="13"/>
      <c r="Y847" s="13"/>
      <c r="Z847" s="13"/>
      <c r="AA847" s="13"/>
    </row>
    <row r="848" spans="1:27" ht="17.399999999999999" x14ac:dyDescent="0.35">
      <c r="A848" s="13"/>
      <c r="B848" s="13"/>
      <c r="C848" s="13"/>
      <c r="D848" s="13"/>
      <c r="E848" s="13"/>
      <c r="F848" s="13"/>
      <c r="G848" s="13"/>
      <c r="H848" s="13"/>
      <c r="I848" s="13"/>
      <c r="J848" s="13"/>
      <c r="K848" s="13"/>
      <c r="L848" s="13"/>
      <c r="M848" s="13"/>
      <c r="N848" s="13"/>
      <c r="O848" s="13"/>
      <c r="P848" s="13"/>
      <c r="Q848" s="13"/>
      <c r="R848" s="13"/>
      <c r="S848" s="13"/>
      <c r="T848" s="13"/>
      <c r="U848" s="13"/>
      <c r="V848" s="13"/>
      <c r="W848" s="13"/>
      <c r="X848" s="13"/>
      <c r="Y848" s="13"/>
      <c r="Z848" s="13"/>
      <c r="AA848" s="13"/>
    </row>
    <row r="849" spans="1:27" ht="17.399999999999999" x14ac:dyDescent="0.35">
      <c r="A849" s="13"/>
      <c r="B849" s="13"/>
      <c r="C849" s="13"/>
      <c r="D849" s="13"/>
      <c r="E849" s="13"/>
      <c r="F849" s="13"/>
      <c r="G849" s="13"/>
      <c r="H849" s="13"/>
      <c r="I849" s="13"/>
      <c r="J849" s="13"/>
      <c r="K849" s="13"/>
      <c r="L849" s="13"/>
      <c r="M849" s="13"/>
      <c r="N849" s="13"/>
      <c r="O849" s="13"/>
      <c r="P849" s="13"/>
      <c r="Q849" s="13"/>
      <c r="R849" s="13"/>
      <c r="S849" s="13"/>
      <c r="T849" s="13"/>
      <c r="U849" s="13"/>
      <c r="V849" s="13"/>
      <c r="W849" s="13"/>
      <c r="X849" s="13"/>
      <c r="Y849" s="13"/>
      <c r="Z849" s="13"/>
      <c r="AA849" s="13"/>
    </row>
    <row r="850" spans="1:27" ht="17.399999999999999" x14ac:dyDescent="0.35">
      <c r="A850" s="13"/>
      <c r="B850" s="13"/>
      <c r="C850" s="13"/>
      <c r="D850" s="13"/>
      <c r="E850" s="13"/>
      <c r="F850" s="13"/>
      <c r="G850" s="13"/>
      <c r="H850" s="13"/>
      <c r="I850" s="13"/>
      <c r="J850" s="13"/>
      <c r="K850" s="13"/>
      <c r="L850" s="13"/>
      <c r="M850" s="13"/>
      <c r="N850" s="13"/>
      <c r="O850" s="13"/>
      <c r="P850" s="13"/>
      <c r="Q850" s="13"/>
      <c r="R850" s="13"/>
      <c r="S850" s="13"/>
      <c r="T850" s="13"/>
      <c r="U850" s="13"/>
      <c r="V850" s="13"/>
      <c r="W850" s="13"/>
      <c r="X850" s="13"/>
      <c r="Y850" s="13"/>
      <c r="Z850" s="13"/>
      <c r="AA850" s="13"/>
    </row>
    <row r="851" spans="1:27" ht="17.399999999999999" x14ac:dyDescent="0.35">
      <c r="A851" s="13"/>
      <c r="B851" s="13"/>
      <c r="C851" s="13"/>
      <c r="D851" s="13"/>
      <c r="E851" s="13"/>
      <c r="F851" s="13"/>
      <c r="G851" s="13"/>
      <c r="H851" s="13"/>
      <c r="I851" s="13"/>
      <c r="J851" s="13"/>
      <c r="K851" s="13"/>
      <c r="L851" s="13"/>
      <c r="M851" s="13"/>
      <c r="N851" s="13"/>
      <c r="O851" s="13"/>
      <c r="P851" s="13"/>
      <c r="Q851" s="13"/>
      <c r="R851" s="13"/>
      <c r="S851" s="13"/>
      <c r="T851" s="13"/>
      <c r="U851" s="13"/>
      <c r="V851" s="13"/>
      <c r="W851" s="13"/>
      <c r="X851" s="13"/>
      <c r="Y851" s="13"/>
      <c r="Z851" s="13"/>
      <c r="AA851" s="13"/>
    </row>
    <row r="852" spans="1:27" ht="17.399999999999999" x14ac:dyDescent="0.35">
      <c r="A852" s="13"/>
      <c r="B852" s="13"/>
      <c r="C852" s="13"/>
      <c r="D852" s="13"/>
      <c r="E852" s="13"/>
      <c r="F852" s="13"/>
      <c r="G852" s="13"/>
      <c r="H852" s="13"/>
      <c r="I852" s="13"/>
      <c r="J852" s="13"/>
      <c r="K852" s="13"/>
      <c r="L852" s="13"/>
      <c r="M852" s="13"/>
      <c r="N852" s="13"/>
      <c r="O852" s="13"/>
      <c r="P852" s="13"/>
      <c r="Q852" s="13"/>
      <c r="R852" s="13"/>
      <c r="S852" s="13"/>
      <c r="T852" s="13"/>
      <c r="U852" s="13"/>
      <c r="V852" s="13"/>
      <c r="W852" s="13"/>
      <c r="X852" s="13"/>
      <c r="Y852" s="13"/>
      <c r="Z852" s="13"/>
      <c r="AA852" s="13"/>
    </row>
    <row r="853" spans="1:27" ht="17.399999999999999" x14ac:dyDescent="0.35">
      <c r="A853" s="13"/>
      <c r="B853" s="13"/>
      <c r="C853" s="13"/>
      <c r="D853" s="13"/>
      <c r="E853" s="13"/>
      <c r="F853" s="13"/>
      <c r="G853" s="13"/>
      <c r="H853" s="13"/>
      <c r="I853" s="13"/>
      <c r="J853" s="13"/>
      <c r="K853" s="13"/>
      <c r="L853" s="13"/>
      <c r="M853" s="13"/>
      <c r="N853" s="13"/>
      <c r="O853" s="13"/>
      <c r="P853" s="13"/>
      <c r="Q853" s="13"/>
      <c r="R853" s="13"/>
      <c r="S853" s="13"/>
      <c r="T853" s="13"/>
      <c r="U853" s="13"/>
      <c r="V853" s="13"/>
      <c r="W853" s="13"/>
      <c r="X853" s="13"/>
      <c r="Y853" s="13"/>
      <c r="Z853" s="13"/>
      <c r="AA853" s="13"/>
    </row>
    <row r="854" spans="1:27" ht="17.399999999999999" x14ac:dyDescent="0.35">
      <c r="A854" s="13"/>
      <c r="B854" s="13"/>
      <c r="C854" s="13"/>
      <c r="D854" s="13"/>
      <c r="E854" s="13"/>
      <c r="F854" s="13"/>
      <c r="G854" s="13"/>
      <c r="H854" s="13"/>
      <c r="I854" s="13"/>
      <c r="J854" s="13"/>
      <c r="K854" s="13"/>
      <c r="L854" s="13"/>
      <c r="M854" s="13"/>
      <c r="N854" s="13"/>
      <c r="O854" s="13"/>
      <c r="P854" s="13"/>
      <c r="Q854" s="13"/>
      <c r="R854" s="13"/>
      <c r="S854" s="13"/>
      <c r="T854" s="13"/>
      <c r="U854" s="13"/>
      <c r="V854" s="13"/>
      <c r="W854" s="13"/>
      <c r="X854" s="13"/>
      <c r="Y854" s="13"/>
      <c r="Z854" s="13"/>
      <c r="AA854" s="13"/>
    </row>
    <row r="855" spans="1:27" ht="17.399999999999999" x14ac:dyDescent="0.35">
      <c r="A855" s="13"/>
      <c r="B855" s="13"/>
      <c r="C855" s="13"/>
      <c r="D855" s="13"/>
      <c r="E855" s="13"/>
      <c r="F855" s="13"/>
      <c r="G855" s="13"/>
      <c r="H855" s="13"/>
      <c r="I855" s="13"/>
      <c r="J855" s="13"/>
      <c r="K855" s="13"/>
      <c r="L855" s="13"/>
      <c r="M855" s="13"/>
      <c r="N855" s="13"/>
      <c r="O855" s="13"/>
      <c r="P855" s="13"/>
      <c r="Q855" s="13"/>
      <c r="R855" s="13"/>
      <c r="S855" s="13"/>
      <c r="T855" s="13"/>
      <c r="U855" s="13"/>
      <c r="V855" s="13"/>
      <c r="W855" s="13"/>
      <c r="X855" s="13"/>
      <c r="Y855" s="13"/>
      <c r="Z855" s="13"/>
      <c r="AA855" s="13"/>
    </row>
    <row r="856" spans="1:27" ht="17.399999999999999" x14ac:dyDescent="0.35">
      <c r="A856" s="13"/>
      <c r="B856" s="13"/>
      <c r="C856" s="13"/>
      <c r="D856" s="13"/>
      <c r="E856" s="13"/>
      <c r="F856" s="13"/>
      <c r="G856" s="13"/>
      <c r="H856" s="13"/>
      <c r="I856" s="13"/>
      <c r="J856" s="13"/>
      <c r="K856" s="13"/>
      <c r="L856" s="13"/>
      <c r="M856" s="13"/>
      <c r="N856" s="13"/>
      <c r="O856" s="13"/>
      <c r="P856" s="13"/>
      <c r="Q856" s="13"/>
      <c r="R856" s="13"/>
      <c r="S856" s="13"/>
      <c r="T856" s="13"/>
      <c r="U856" s="13"/>
      <c r="V856" s="13"/>
      <c r="W856" s="13"/>
      <c r="X856" s="13"/>
      <c r="Y856" s="13"/>
      <c r="Z856" s="13"/>
      <c r="AA856" s="13"/>
    </row>
    <row r="857" spans="1:27" ht="17.399999999999999" x14ac:dyDescent="0.35">
      <c r="A857" s="13"/>
      <c r="B857" s="13"/>
      <c r="C857" s="13"/>
      <c r="D857" s="13"/>
      <c r="E857" s="13"/>
      <c r="F857" s="13"/>
      <c r="G857" s="13"/>
      <c r="H857" s="13"/>
      <c r="I857" s="13"/>
      <c r="J857" s="13"/>
      <c r="K857" s="13"/>
      <c r="L857" s="13"/>
      <c r="M857" s="13"/>
      <c r="N857" s="13"/>
      <c r="O857" s="13"/>
      <c r="P857" s="13"/>
      <c r="Q857" s="13"/>
      <c r="R857" s="13"/>
      <c r="S857" s="13"/>
      <c r="T857" s="13"/>
      <c r="U857" s="13"/>
      <c r="V857" s="13"/>
      <c r="W857" s="13"/>
      <c r="X857" s="13"/>
      <c r="Y857" s="13"/>
      <c r="Z857" s="13"/>
      <c r="AA857" s="13"/>
    </row>
    <row r="858" spans="1:27" ht="17.399999999999999" x14ac:dyDescent="0.35">
      <c r="A858" s="13"/>
      <c r="B858" s="13"/>
      <c r="C858" s="13"/>
      <c r="D858" s="13"/>
      <c r="E858" s="13"/>
      <c r="F858" s="13"/>
      <c r="G858" s="13"/>
      <c r="H858" s="13"/>
      <c r="I858" s="13"/>
      <c r="J858" s="13"/>
      <c r="K858" s="13"/>
      <c r="L858" s="13"/>
      <c r="M858" s="13"/>
      <c r="N858" s="13"/>
      <c r="O858" s="13"/>
      <c r="P858" s="13"/>
      <c r="Q858" s="13"/>
      <c r="R858" s="13"/>
      <c r="S858" s="13"/>
      <c r="T858" s="13"/>
      <c r="U858" s="13"/>
      <c r="V858" s="13"/>
      <c r="W858" s="13"/>
      <c r="X858" s="13"/>
      <c r="Y858" s="13"/>
      <c r="Z858" s="13"/>
      <c r="AA858" s="13"/>
    </row>
    <row r="859" spans="1:27" ht="17.399999999999999" x14ac:dyDescent="0.35">
      <c r="A859" s="13"/>
      <c r="B859" s="13"/>
      <c r="C859" s="13"/>
      <c r="D859" s="13"/>
      <c r="E859" s="13"/>
      <c r="F859" s="13"/>
      <c r="G859" s="13"/>
      <c r="H859" s="13"/>
      <c r="I859" s="13"/>
      <c r="J859" s="13"/>
      <c r="K859" s="13"/>
      <c r="L859" s="13"/>
      <c r="M859" s="13"/>
      <c r="N859" s="13"/>
      <c r="O859" s="13"/>
      <c r="P859" s="13"/>
      <c r="Q859" s="13"/>
      <c r="R859" s="13"/>
      <c r="S859" s="13"/>
      <c r="T859" s="13"/>
      <c r="U859" s="13"/>
      <c r="V859" s="13"/>
      <c r="W859" s="13"/>
      <c r="X859" s="13"/>
      <c r="Y859" s="13"/>
      <c r="Z859" s="13"/>
      <c r="AA859" s="13"/>
    </row>
    <row r="860" spans="1:27" ht="17.399999999999999" x14ac:dyDescent="0.35">
      <c r="A860" s="13"/>
      <c r="B860" s="13"/>
      <c r="C860" s="13"/>
      <c r="D860" s="13"/>
      <c r="E860" s="13"/>
      <c r="F860" s="13"/>
      <c r="G860" s="13"/>
      <c r="H860" s="13"/>
      <c r="I860" s="13"/>
      <c r="J860" s="13"/>
      <c r="K860" s="13"/>
      <c r="L860" s="13"/>
      <c r="M860" s="13"/>
      <c r="N860" s="13"/>
      <c r="O860" s="13"/>
      <c r="P860" s="13"/>
      <c r="Q860" s="13"/>
      <c r="R860" s="13"/>
      <c r="S860" s="13"/>
      <c r="T860" s="13"/>
      <c r="U860" s="13"/>
      <c r="V860" s="13"/>
      <c r="W860" s="13"/>
      <c r="X860" s="13"/>
      <c r="Y860" s="13"/>
      <c r="Z860" s="13"/>
      <c r="AA860" s="13"/>
    </row>
    <row r="861" spans="1:27" ht="17.399999999999999" x14ac:dyDescent="0.35">
      <c r="A861" s="13"/>
      <c r="B861" s="13"/>
      <c r="C861" s="13"/>
      <c r="D861" s="13"/>
      <c r="E861" s="13"/>
      <c r="F861" s="13"/>
      <c r="G861" s="13"/>
      <c r="H861" s="13"/>
      <c r="I861" s="13"/>
      <c r="J861" s="13"/>
      <c r="K861" s="13"/>
      <c r="L861" s="13"/>
      <c r="M861" s="13"/>
      <c r="N861" s="13"/>
      <c r="O861" s="13"/>
      <c r="P861" s="13"/>
      <c r="Q861" s="13"/>
      <c r="R861" s="13"/>
      <c r="S861" s="13"/>
      <c r="T861" s="13"/>
      <c r="U861" s="13"/>
      <c r="V861" s="13"/>
      <c r="W861" s="13"/>
      <c r="X861" s="13"/>
      <c r="Y861" s="13"/>
      <c r="Z861" s="13"/>
      <c r="AA861" s="13"/>
    </row>
    <row r="862" spans="1:27" ht="17.399999999999999" x14ac:dyDescent="0.35">
      <c r="A862" s="13"/>
      <c r="B862" s="13"/>
      <c r="C862" s="13"/>
      <c r="D862" s="13"/>
      <c r="E862" s="13"/>
      <c r="F862" s="13"/>
      <c r="G862" s="13"/>
      <c r="H862" s="13"/>
      <c r="I862" s="13"/>
      <c r="J862" s="13"/>
      <c r="K862" s="13"/>
      <c r="L862" s="13"/>
      <c r="M862" s="13"/>
      <c r="N862" s="13"/>
      <c r="O862" s="13"/>
      <c r="P862" s="13"/>
      <c r="Q862" s="13"/>
      <c r="R862" s="13"/>
      <c r="S862" s="13"/>
      <c r="T862" s="13"/>
      <c r="U862" s="13"/>
      <c r="V862" s="13"/>
      <c r="W862" s="13"/>
      <c r="X862" s="13"/>
      <c r="Y862" s="13"/>
      <c r="Z862" s="13"/>
      <c r="AA862" s="13"/>
    </row>
    <row r="863" spans="1:27" ht="17.399999999999999" x14ac:dyDescent="0.35">
      <c r="A863" s="13"/>
      <c r="B863" s="13"/>
      <c r="C863" s="13"/>
      <c r="D863" s="13"/>
      <c r="E863" s="13"/>
      <c r="F863" s="13"/>
      <c r="G863" s="13"/>
      <c r="H863" s="13"/>
      <c r="I863" s="13"/>
      <c r="J863" s="13"/>
      <c r="K863" s="13"/>
      <c r="L863" s="13"/>
      <c r="M863" s="13"/>
      <c r="N863" s="13"/>
      <c r="O863" s="13"/>
      <c r="P863" s="13"/>
      <c r="Q863" s="13"/>
      <c r="R863" s="13"/>
      <c r="S863" s="13"/>
      <c r="T863" s="13"/>
      <c r="U863" s="13"/>
      <c r="V863" s="13"/>
      <c r="W863" s="13"/>
      <c r="X863" s="13"/>
      <c r="Y863" s="13"/>
      <c r="Z863" s="13"/>
      <c r="AA863" s="13"/>
    </row>
    <row r="864" spans="1:27" ht="17.399999999999999" x14ac:dyDescent="0.35">
      <c r="A864" s="13"/>
      <c r="B864" s="13"/>
      <c r="C864" s="13"/>
      <c r="D864" s="13"/>
      <c r="E864" s="13"/>
      <c r="F864" s="13"/>
      <c r="G864" s="13"/>
      <c r="H864" s="13"/>
      <c r="I864" s="13"/>
      <c r="J864" s="13"/>
      <c r="K864" s="13"/>
      <c r="L864" s="13"/>
      <c r="M864" s="13"/>
      <c r="N864" s="13"/>
      <c r="O864" s="13"/>
      <c r="P864" s="13"/>
      <c r="Q864" s="13"/>
      <c r="R864" s="13"/>
      <c r="S864" s="13"/>
      <c r="T864" s="13"/>
      <c r="U864" s="13"/>
      <c r="V864" s="13"/>
      <c r="W864" s="13"/>
      <c r="X864" s="13"/>
      <c r="Y864" s="13"/>
      <c r="Z864" s="13"/>
      <c r="AA864" s="13"/>
    </row>
    <row r="865" spans="1:27" ht="17.399999999999999" x14ac:dyDescent="0.35">
      <c r="A865" s="13"/>
      <c r="B865" s="13"/>
      <c r="C865" s="13"/>
      <c r="D865" s="13"/>
      <c r="E865" s="13"/>
      <c r="F865" s="13"/>
      <c r="G865" s="13"/>
      <c r="H865" s="13"/>
      <c r="I865" s="13"/>
      <c r="J865" s="13"/>
      <c r="K865" s="13"/>
      <c r="L865" s="13"/>
      <c r="M865" s="13"/>
      <c r="N865" s="13"/>
      <c r="O865" s="13"/>
      <c r="P865" s="13"/>
      <c r="Q865" s="13"/>
      <c r="R865" s="13"/>
      <c r="S865" s="13"/>
      <c r="T865" s="13"/>
      <c r="U865" s="13"/>
      <c r="V865" s="13"/>
      <c r="W865" s="13"/>
      <c r="X865" s="13"/>
      <c r="Y865" s="13"/>
      <c r="Z865" s="13"/>
      <c r="AA865" s="13"/>
    </row>
    <row r="866" spans="1:27" ht="17.399999999999999" x14ac:dyDescent="0.35">
      <c r="A866" s="13"/>
      <c r="B866" s="13"/>
      <c r="C866" s="13"/>
      <c r="D866" s="13"/>
      <c r="E866" s="13"/>
      <c r="F866" s="13"/>
      <c r="G866" s="13"/>
      <c r="H866" s="13"/>
      <c r="I866" s="13"/>
      <c r="J866" s="13"/>
      <c r="K866" s="13"/>
      <c r="L866" s="13"/>
      <c r="M866" s="13"/>
      <c r="N866" s="13"/>
      <c r="O866" s="13"/>
      <c r="P866" s="13"/>
      <c r="Q866" s="13"/>
      <c r="R866" s="13"/>
      <c r="S866" s="13"/>
      <c r="T866" s="13"/>
      <c r="U866" s="13"/>
      <c r="V866" s="13"/>
      <c r="W866" s="13"/>
      <c r="X866" s="13"/>
      <c r="Y866" s="13"/>
      <c r="Z866" s="13"/>
      <c r="AA866" s="13"/>
    </row>
    <row r="867" spans="1:27" ht="17.399999999999999" x14ac:dyDescent="0.35">
      <c r="A867" s="13"/>
      <c r="B867" s="13"/>
      <c r="C867" s="13"/>
      <c r="D867" s="13"/>
      <c r="E867" s="13"/>
      <c r="F867" s="13"/>
      <c r="G867" s="13"/>
      <c r="H867" s="13"/>
      <c r="I867" s="13"/>
      <c r="J867" s="13"/>
      <c r="K867" s="13"/>
      <c r="L867" s="13"/>
      <c r="M867" s="13"/>
      <c r="N867" s="13"/>
      <c r="O867" s="13"/>
      <c r="P867" s="13"/>
      <c r="Q867" s="13"/>
      <c r="R867" s="13"/>
      <c r="S867" s="13"/>
      <c r="T867" s="13"/>
      <c r="U867" s="13"/>
      <c r="V867" s="13"/>
      <c r="W867" s="13"/>
      <c r="X867" s="13"/>
      <c r="Y867" s="13"/>
      <c r="Z867" s="13"/>
      <c r="AA867" s="13"/>
    </row>
    <row r="868" spans="1:27" ht="17.399999999999999" x14ac:dyDescent="0.35">
      <c r="A868" s="13"/>
      <c r="B868" s="13"/>
      <c r="C868" s="13"/>
      <c r="D868" s="13"/>
      <c r="E868" s="13"/>
      <c r="F868" s="13"/>
      <c r="G868" s="13"/>
      <c r="H868" s="13"/>
      <c r="I868" s="13"/>
      <c r="J868" s="13"/>
      <c r="K868" s="13"/>
      <c r="L868" s="13"/>
      <c r="M868" s="13"/>
      <c r="N868" s="13"/>
      <c r="O868" s="13"/>
      <c r="P868" s="13"/>
      <c r="Q868" s="13"/>
      <c r="R868" s="13"/>
      <c r="S868" s="13"/>
      <c r="T868" s="13"/>
      <c r="U868" s="13"/>
      <c r="V868" s="13"/>
      <c r="W868" s="13"/>
      <c r="X868" s="13"/>
      <c r="Y868" s="13"/>
      <c r="Z868" s="13"/>
      <c r="AA868" s="13"/>
    </row>
    <row r="869" spans="1:27" ht="17.399999999999999" x14ac:dyDescent="0.35">
      <c r="A869" s="13"/>
      <c r="B869" s="13"/>
      <c r="C869" s="13"/>
      <c r="D869" s="13"/>
      <c r="E869" s="13"/>
      <c r="F869" s="13"/>
      <c r="G869" s="13"/>
      <c r="H869" s="13"/>
      <c r="I869" s="13"/>
      <c r="J869" s="13"/>
      <c r="K869" s="13"/>
      <c r="L869" s="13"/>
      <c r="M869" s="13"/>
      <c r="N869" s="13"/>
      <c r="O869" s="13"/>
      <c r="P869" s="13"/>
      <c r="Q869" s="13"/>
      <c r="R869" s="13"/>
      <c r="S869" s="13"/>
      <c r="T869" s="13"/>
      <c r="U869" s="13"/>
      <c r="V869" s="13"/>
      <c r="W869" s="13"/>
      <c r="X869" s="13"/>
      <c r="Y869" s="13"/>
      <c r="Z869" s="13"/>
      <c r="AA869" s="13"/>
    </row>
    <row r="870" spans="1:27" ht="17.399999999999999" x14ac:dyDescent="0.35">
      <c r="A870" s="13"/>
      <c r="B870" s="13"/>
      <c r="C870" s="13"/>
      <c r="D870" s="13"/>
      <c r="E870" s="13"/>
      <c r="F870" s="13"/>
      <c r="G870" s="13"/>
      <c r="H870" s="13"/>
      <c r="I870" s="13"/>
      <c r="J870" s="13"/>
      <c r="K870" s="13"/>
      <c r="L870" s="13"/>
      <c r="M870" s="13"/>
      <c r="N870" s="13"/>
      <c r="O870" s="13"/>
      <c r="P870" s="13"/>
      <c r="Q870" s="13"/>
      <c r="R870" s="13"/>
      <c r="S870" s="13"/>
      <c r="T870" s="13"/>
      <c r="U870" s="13"/>
      <c r="V870" s="13"/>
      <c r="W870" s="13"/>
      <c r="X870" s="13"/>
      <c r="Y870" s="13"/>
      <c r="Z870" s="13"/>
      <c r="AA870" s="13"/>
    </row>
    <row r="871" spans="1:27" ht="17.399999999999999" x14ac:dyDescent="0.35">
      <c r="A871" s="13"/>
      <c r="B871" s="13"/>
      <c r="C871" s="13"/>
      <c r="D871" s="13"/>
      <c r="E871" s="13"/>
      <c r="F871" s="13"/>
      <c r="G871" s="13"/>
      <c r="H871" s="13"/>
      <c r="I871" s="13"/>
      <c r="J871" s="13"/>
      <c r="K871" s="13"/>
      <c r="L871" s="13"/>
      <c r="M871" s="13"/>
      <c r="N871" s="13"/>
      <c r="O871" s="13"/>
      <c r="P871" s="13"/>
      <c r="Q871" s="13"/>
      <c r="R871" s="13"/>
      <c r="S871" s="13"/>
      <c r="T871" s="13"/>
      <c r="U871" s="13"/>
      <c r="V871" s="13"/>
      <c r="W871" s="13"/>
      <c r="X871" s="13"/>
      <c r="Y871" s="13"/>
      <c r="Z871" s="13"/>
      <c r="AA871" s="13"/>
    </row>
    <row r="872" spans="1:27" ht="17.399999999999999" x14ac:dyDescent="0.35">
      <c r="A872" s="13"/>
      <c r="B872" s="13"/>
      <c r="C872" s="13"/>
      <c r="D872" s="13"/>
      <c r="E872" s="13"/>
      <c r="F872" s="13"/>
      <c r="G872" s="13"/>
      <c r="H872" s="13"/>
      <c r="I872" s="13"/>
      <c r="J872" s="13"/>
      <c r="K872" s="13"/>
      <c r="L872" s="13"/>
      <c r="M872" s="13"/>
      <c r="N872" s="13"/>
      <c r="O872" s="13"/>
      <c r="P872" s="13"/>
      <c r="Q872" s="13"/>
      <c r="R872" s="13"/>
      <c r="S872" s="13"/>
      <c r="T872" s="13"/>
      <c r="U872" s="13"/>
      <c r="V872" s="13"/>
      <c r="W872" s="13"/>
      <c r="X872" s="13"/>
      <c r="Y872" s="13"/>
      <c r="Z872" s="13"/>
      <c r="AA872" s="13"/>
    </row>
    <row r="873" spans="1:27" ht="17.399999999999999" x14ac:dyDescent="0.35">
      <c r="A873" s="13"/>
      <c r="B873" s="13"/>
      <c r="C873" s="13"/>
      <c r="D873" s="13"/>
      <c r="E873" s="13"/>
      <c r="F873" s="13"/>
      <c r="G873" s="13"/>
      <c r="H873" s="13"/>
      <c r="I873" s="13"/>
      <c r="J873" s="13"/>
      <c r="K873" s="13"/>
      <c r="L873" s="13"/>
      <c r="M873" s="13"/>
      <c r="N873" s="13"/>
      <c r="O873" s="13"/>
      <c r="P873" s="13"/>
      <c r="Q873" s="13"/>
      <c r="R873" s="13"/>
      <c r="S873" s="13"/>
      <c r="T873" s="13"/>
      <c r="U873" s="13"/>
      <c r="V873" s="13"/>
      <c r="W873" s="13"/>
      <c r="X873" s="13"/>
      <c r="Y873" s="13"/>
      <c r="Z873" s="13"/>
      <c r="AA873" s="13"/>
    </row>
    <row r="874" spans="1:27" ht="17.399999999999999" x14ac:dyDescent="0.35">
      <c r="A874" s="13"/>
      <c r="B874" s="13"/>
      <c r="C874" s="13"/>
      <c r="D874" s="13"/>
      <c r="E874" s="13"/>
      <c r="F874" s="13"/>
      <c r="G874" s="13"/>
      <c r="H874" s="13"/>
      <c r="I874" s="13"/>
      <c r="J874" s="13"/>
      <c r="K874" s="13"/>
      <c r="L874" s="13"/>
      <c r="M874" s="13"/>
      <c r="N874" s="13"/>
      <c r="O874" s="13"/>
      <c r="P874" s="13"/>
      <c r="Q874" s="13"/>
      <c r="R874" s="13"/>
      <c r="S874" s="13"/>
      <c r="T874" s="13"/>
      <c r="U874" s="13"/>
      <c r="V874" s="13"/>
      <c r="W874" s="13"/>
      <c r="X874" s="13"/>
      <c r="Y874" s="13"/>
      <c r="Z874" s="13"/>
      <c r="AA874" s="13"/>
    </row>
    <row r="875" spans="1:27" ht="17.399999999999999" x14ac:dyDescent="0.35">
      <c r="A875" s="13"/>
      <c r="B875" s="13"/>
      <c r="C875" s="13"/>
      <c r="D875" s="13"/>
      <c r="E875" s="13"/>
      <c r="F875" s="13"/>
      <c r="G875" s="13"/>
      <c r="H875" s="13"/>
      <c r="I875" s="13"/>
      <c r="J875" s="13"/>
      <c r="K875" s="13"/>
      <c r="L875" s="13"/>
      <c r="M875" s="13"/>
      <c r="N875" s="13"/>
      <c r="O875" s="13"/>
      <c r="P875" s="13"/>
      <c r="Q875" s="13"/>
      <c r="R875" s="13"/>
      <c r="S875" s="13"/>
      <c r="T875" s="13"/>
      <c r="U875" s="13"/>
      <c r="V875" s="13"/>
      <c r="W875" s="13"/>
      <c r="X875" s="13"/>
      <c r="Y875" s="13"/>
      <c r="Z875" s="13"/>
      <c r="AA875" s="13"/>
    </row>
    <row r="876" spans="1:27" ht="17.399999999999999" x14ac:dyDescent="0.35">
      <c r="A876" s="13"/>
      <c r="B876" s="13"/>
      <c r="C876" s="13"/>
      <c r="D876" s="13"/>
      <c r="E876" s="13"/>
      <c r="F876" s="13"/>
      <c r="G876" s="13"/>
      <c r="H876" s="13"/>
      <c r="I876" s="13"/>
      <c r="J876" s="13"/>
      <c r="K876" s="13"/>
      <c r="L876" s="13"/>
      <c r="M876" s="13"/>
      <c r="N876" s="13"/>
      <c r="O876" s="13"/>
      <c r="P876" s="13"/>
      <c r="Q876" s="13"/>
      <c r="R876" s="13"/>
      <c r="S876" s="13"/>
      <c r="T876" s="13"/>
      <c r="U876" s="13"/>
      <c r="V876" s="13"/>
      <c r="W876" s="13"/>
      <c r="X876" s="13"/>
      <c r="Y876" s="13"/>
      <c r="Z876" s="13"/>
      <c r="AA876" s="13"/>
    </row>
    <row r="877" spans="1:27" ht="17.399999999999999" x14ac:dyDescent="0.35">
      <c r="A877" s="13"/>
      <c r="B877" s="13"/>
      <c r="C877" s="13"/>
      <c r="D877" s="13"/>
      <c r="E877" s="13"/>
      <c r="F877" s="13"/>
      <c r="G877" s="13"/>
      <c r="H877" s="13"/>
      <c r="I877" s="13"/>
      <c r="J877" s="13"/>
      <c r="K877" s="13"/>
      <c r="L877" s="13"/>
      <c r="M877" s="13"/>
      <c r="N877" s="13"/>
      <c r="O877" s="13"/>
      <c r="P877" s="13"/>
      <c r="Q877" s="13"/>
      <c r="R877" s="13"/>
      <c r="S877" s="13"/>
      <c r="T877" s="13"/>
      <c r="U877" s="13"/>
      <c r="V877" s="13"/>
      <c r="W877" s="13"/>
      <c r="X877" s="13"/>
      <c r="Y877" s="13"/>
      <c r="Z877" s="13"/>
      <c r="AA877" s="13"/>
    </row>
    <row r="878" spans="1:27" ht="17.399999999999999" x14ac:dyDescent="0.35">
      <c r="A878" s="13"/>
      <c r="B878" s="13"/>
      <c r="C878" s="13"/>
      <c r="D878" s="13"/>
      <c r="E878" s="13"/>
      <c r="F878" s="13"/>
      <c r="G878" s="13"/>
      <c r="H878" s="13"/>
      <c r="I878" s="13"/>
      <c r="J878" s="13"/>
      <c r="K878" s="13"/>
      <c r="L878" s="13"/>
      <c r="M878" s="13"/>
      <c r="N878" s="13"/>
      <c r="O878" s="13"/>
      <c r="P878" s="13"/>
      <c r="Q878" s="13"/>
      <c r="R878" s="13"/>
      <c r="S878" s="13"/>
      <c r="T878" s="13"/>
      <c r="U878" s="13"/>
      <c r="V878" s="13"/>
      <c r="W878" s="13"/>
      <c r="X878" s="13"/>
      <c r="Y878" s="13"/>
      <c r="Z878" s="13"/>
      <c r="AA878" s="13"/>
    </row>
    <row r="879" spans="1:27" ht="17.399999999999999" x14ac:dyDescent="0.35">
      <c r="A879" s="13"/>
      <c r="B879" s="13"/>
      <c r="C879" s="13"/>
      <c r="D879" s="13"/>
      <c r="E879" s="13"/>
      <c r="F879" s="13"/>
      <c r="G879" s="13"/>
      <c r="H879" s="13"/>
      <c r="I879" s="13"/>
      <c r="J879" s="13"/>
      <c r="K879" s="13"/>
      <c r="L879" s="13"/>
      <c r="M879" s="13"/>
      <c r="N879" s="13"/>
      <c r="O879" s="13"/>
      <c r="P879" s="13"/>
      <c r="Q879" s="13"/>
      <c r="R879" s="13"/>
      <c r="S879" s="13"/>
      <c r="T879" s="13"/>
      <c r="U879" s="13"/>
      <c r="V879" s="13"/>
      <c r="W879" s="13"/>
      <c r="X879" s="13"/>
      <c r="Y879" s="13"/>
      <c r="Z879" s="13"/>
      <c r="AA879" s="13"/>
    </row>
    <row r="880" spans="1:27" ht="17.399999999999999" x14ac:dyDescent="0.35">
      <c r="A880" s="13"/>
      <c r="B880" s="13"/>
      <c r="C880" s="13"/>
      <c r="D880" s="13"/>
      <c r="E880" s="13"/>
      <c r="F880" s="13"/>
      <c r="G880" s="13"/>
      <c r="H880" s="13"/>
      <c r="I880" s="13"/>
      <c r="J880" s="13"/>
      <c r="K880" s="13"/>
      <c r="L880" s="13"/>
      <c r="M880" s="13"/>
      <c r="N880" s="13"/>
      <c r="O880" s="13"/>
      <c r="P880" s="13"/>
      <c r="Q880" s="13"/>
      <c r="R880" s="13"/>
      <c r="S880" s="13"/>
      <c r="T880" s="13"/>
      <c r="U880" s="13"/>
      <c r="V880" s="13"/>
      <c r="W880" s="13"/>
      <c r="X880" s="13"/>
      <c r="Y880" s="13"/>
      <c r="Z880" s="13"/>
      <c r="AA880" s="13"/>
    </row>
    <row r="881" spans="1:27" ht="17.399999999999999" x14ac:dyDescent="0.35">
      <c r="A881" s="13"/>
      <c r="B881" s="13"/>
      <c r="C881" s="13"/>
      <c r="D881" s="13"/>
      <c r="E881" s="13"/>
      <c r="F881" s="13"/>
      <c r="G881" s="13"/>
      <c r="H881" s="13"/>
      <c r="I881" s="13"/>
      <c r="J881" s="13"/>
      <c r="K881" s="13"/>
      <c r="L881" s="13"/>
      <c r="M881" s="13"/>
      <c r="N881" s="13"/>
      <c r="O881" s="13"/>
      <c r="P881" s="13"/>
      <c r="Q881" s="13"/>
      <c r="R881" s="13"/>
      <c r="S881" s="13"/>
      <c r="T881" s="13"/>
      <c r="U881" s="13"/>
      <c r="V881" s="13"/>
      <c r="W881" s="13"/>
      <c r="X881" s="13"/>
      <c r="Y881" s="13"/>
      <c r="Z881" s="13"/>
      <c r="AA881" s="13"/>
    </row>
    <row r="882" spans="1:27" ht="17.399999999999999" x14ac:dyDescent="0.35">
      <c r="A882" s="13"/>
      <c r="B882" s="13"/>
      <c r="C882" s="13"/>
      <c r="D882" s="13"/>
      <c r="E882" s="13"/>
      <c r="F882" s="13"/>
      <c r="G882" s="13"/>
      <c r="H882" s="13"/>
      <c r="I882" s="13"/>
      <c r="J882" s="13"/>
      <c r="K882" s="13"/>
      <c r="L882" s="13"/>
      <c r="M882" s="13"/>
      <c r="N882" s="13"/>
      <c r="O882" s="13"/>
      <c r="P882" s="13"/>
      <c r="Q882" s="13"/>
      <c r="R882" s="13"/>
      <c r="S882" s="13"/>
      <c r="T882" s="13"/>
      <c r="U882" s="13"/>
      <c r="V882" s="13"/>
      <c r="W882" s="13"/>
      <c r="X882" s="13"/>
      <c r="Y882" s="13"/>
      <c r="Z882" s="13"/>
      <c r="AA882" s="13"/>
    </row>
    <row r="883" spans="1:27" ht="17.399999999999999" x14ac:dyDescent="0.35">
      <c r="A883" s="13"/>
      <c r="B883" s="13"/>
      <c r="C883" s="13"/>
      <c r="D883" s="13"/>
      <c r="E883" s="13"/>
      <c r="F883" s="13"/>
      <c r="G883" s="13"/>
      <c r="H883" s="13"/>
      <c r="I883" s="13"/>
      <c r="J883" s="13"/>
      <c r="K883" s="13"/>
      <c r="L883" s="13"/>
      <c r="M883" s="13"/>
      <c r="N883" s="13"/>
      <c r="O883" s="13"/>
      <c r="P883" s="13"/>
      <c r="Q883" s="13"/>
      <c r="R883" s="13"/>
      <c r="S883" s="13"/>
      <c r="T883" s="13"/>
      <c r="U883" s="13"/>
      <c r="V883" s="13"/>
      <c r="W883" s="13"/>
      <c r="X883" s="13"/>
      <c r="Y883" s="13"/>
      <c r="Z883" s="13"/>
      <c r="AA883" s="13"/>
    </row>
    <row r="884" spans="1:27" ht="17.399999999999999" x14ac:dyDescent="0.35">
      <c r="A884" s="13"/>
      <c r="B884" s="13"/>
      <c r="C884" s="13"/>
      <c r="D884" s="13"/>
      <c r="E884" s="13"/>
      <c r="F884" s="13"/>
      <c r="G884" s="13"/>
      <c r="H884" s="13"/>
      <c r="I884" s="13"/>
      <c r="J884" s="13"/>
      <c r="K884" s="13"/>
      <c r="L884" s="13"/>
      <c r="M884" s="13"/>
      <c r="N884" s="13"/>
      <c r="O884" s="13"/>
      <c r="P884" s="13"/>
      <c r="Q884" s="13"/>
      <c r="R884" s="13"/>
      <c r="S884" s="13"/>
      <c r="T884" s="13"/>
      <c r="U884" s="13"/>
      <c r="V884" s="13"/>
      <c r="W884" s="13"/>
      <c r="X884" s="13"/>
      <c r="Y884" s="13"/>
      <c r="Z884" s="13"/>
      <c r="AA884" s="13"/>
    </row>
    <row r="885" spans="1:27" ht="17.399999999999999" x14ac:dyDescent="0.35">
      <c r="A885" s="13"/>
      <c r="B885" s="13"/>
      <c r="C885" s="13"/>
      <c r="D885" s="13"/>
      <c r="E885" s="13"/>
      <c r="F885" s="13"/>
      <c r="G885" s="13"/>
      <c r="H885" s="13"/>
      <c r="I885" s="13"/>
      <c r="J885" s="13"/>
      <c r="K885" s="13"/>
      <c r="L885" s="13"/>
      <c r="M885" s="13"/>
      <c r="N885" s="13"/>
      <c r="O885" s="13"/>
      <c r="P885" s="13"/>
      <c r="Q885" s="13"/>
      <c r="R885" s="13"/>
      <c r="S885" s="13"/>
      <c r="T885" s="13"/>
      <c r="U885" s="13"/>
      <c r="V885" s="13"/>
      <c r="W885" s="13"/>
      <c r="X885" s="13"/>
      <c r="Y885" s="13"/>
      <c r="Z885" s="13"/>
      <c r="AA885" s="13"/>
    </row>
    <row r="886" spans="1:27" ht="17.399999999999999" x14ac:dyDescent="0.35">
      <c r="A886" s="13"/>
      <c r="B886" s="13"/>
      <c r="C886" s="13"/>
      <c r="D886" s="13"/>
      <c r="E886" s="13"/>
      <c r="F886" s="13"/>
      <c r="G886" s="13"/>
      <c r="H886" s="13"/>
      <c r="I886" s="13"/>
      <c r="J886" s="13"/>
      <c r="K886" s="13"/>
      <c r="L886" s="13"/>
      <c r="M886" s="13"/>
      <c r="N886" s="13"/>
      <c r="O886" s="13"/>
      <c r="P886" s="13"/>
      <c r="Q886" s="13"/>
      <c r="R886" s="13"/>
      <c r="S886" s="13"/>
      <c r="T886" s="13"/>
      <c r="U886" s="13"/>
      <c r="V886" s="13"/>
      <c r="W886" s="13"/>
      <c r="X886" s="13"/>
      <c r="Y886" s="13"/>
      <c r="Z886" s="13"/>
      <c r="AA886" s="13"/>
    </row>
    <row r="887" spans="1:27" ht="17.399999999999999" x14ac:dyDescent="0.35">
      <c r="A887" s="13"/>
      <c r="B887" s="13"/>
      <c r="C887" s="13"/>
      <c r="D887" s="13"/>
      <c r="E887" s="13"/>
      <c r="F887" s="13"/>
      <c r="G887" s="13"/>
      <c r="H887" s="13"/>
      <c r="I887" s="13"/>
      <c r="J887" s="13"/>
      <c r="K887" s="13"/>
      <c r="L887" s="13"/>
      <c r="M887" s="13"/>
      <c r="N887" s="13"/>
      <c r="O887" s="13"/>
      <c r="P887" s="13"/>
      <c r="Q887" s="13"/>
      <c r="R887" s="13"/>
      <c r="S887" s="13"/>
      <c r="T887" s="13"/>
      <c r="U887" s="13"/>
      <c r="V887" s="13"/>
      <c r="W887" s="13"/>
      <c r="X887" s="13"/>
      <c r="Y887" s="13"/>
      <c r="Z887" s="13"/>
      <c r="AA887" s="13"/>
    </row>
    <row r="888" spans="1:27" ht="17.399999999999999" x14ac:dyDescent="0.35">
      <c r="A888" s="13"/>
      <c r="B888" s="13"/>
      <c r="C888" s="13"/>
      <c r="D888" s="13"/>
      <c r="E888" s="13"/>
      <c r="F888" s="13"/>
      <c r="G888" s="13"/>
      <c r="H888" s="13"/>
      <c r="I888" s="13"/>
      <c r="J888" s="13"/>
      <c r="K888" s="13"/>
      <c r="L888" s="13"/>
      <c r="M888" s="13"/>
      <c r="N888" s="13"/>
      <c r="O888" s="13"/>
      <c r="P888" s="13"/>
      <c r="Q888" s="13"/>
      <c r="R888" s="13"/>
      <c r="S888" s="13"/>
      <c r="T888" s="13"/>
      <c r="U888" s="13"/>
      <c r="V888" s="13"/>
      <c r="W888" s="13"/>
      <c r="X888" s="13"/>
      <c r="Y888" s="13"/>
      <c r="Z888" s="13"/>
      <c r="AA888" s="13"/>
    </row>
    <row r="889" spans="1:27" ht="17.399999999999999" x14ac:dyDescent="0.35">
      <c r="A889" s="13"/>
      <c r="B889" s="13"/>
      <c r="C889" s="13"/>
      <c r="D889" s="13"/>
      <c r="E889" s="13"/>
      <c r="F889" s="13"/>
      <c r="G889" s="13"/>
      <c r="H889" s="13"/>
      <c r="I889" s="13"/>
      <c r="J889" s="13"/>
      <c r="K889" s="13"/>
      <c r="L889" s="13"/>
      <c r="M889" s="13"/>
      <c r="N889" s="13"/>
      <c r="O889" s="13"/>
      <c r="P889" s="13"/>
      <c r="Q889" s="13"/>
      <c r="R889" s="13"/>
      <c r="S889" s="13"/>
      <c r="T889" s="13"/>
      <c r="U889" s="13"/>
      <c r="V889" s="13"/>
      <c r="W889" s="13"/>
      <c r="X889" s="13"/>
      <c r="Y889" s="13"/>
      <c r="Z889" s="13"/>
      <c r="AA889" s="13"/>
    </row>
    <row r="890" spans="1:27" ht="17.399999999999999" x14ac:dyDescent="0.35">
      <c r="A890" s="13"/>
      <c r="B890" s="13"/>
      <c r="C890" s="13"/>
      <c r="D890" s="13"/>
      <c r="E890" s="13"/>
      <c r="F890" s="13"/>
      <c r="G890" s="13"/>
      <c r="H890" s="13"/>
      <c r="I890" s="13"/>
      <c r="J890" s="13"/>
      <c r="K890" s="13"/>
      <c r="L890" s="13"/>
      <c r="M890" s="13"/>
      <c r="N890" s="13"/>
      <c r="O890" s="13"/>
      <c r="P890" s="13"/>
      <c r="Q890" s="13"/>
      <c r="R890" s="13"/>
      <c r="S890" s="13"/>
      <c r="T890" s="13"/>
      <c r="U890" s="13"/>
      <c r="V890" s="13"/>
      <c r="W890" s="13"/>
      <c r="X890" s="13"/>
      <c r="Y890" s="13"/>
      <c r="Z890" s="13"/>
      <c r="AA890" s="13"/>
    </row>
    <row r="891" spans="1:27" ht="17.399999999999999" x14ac:dyDescent="0.35">
      <c r="A891" s="13"/>
      <c r="B891" s="13"/>
      <c r="C891" s="13"/>
      <c r="D891" s="13"/>
      <c r="E891" s="13"/>
      <c r="F891" s="13"/>
      <c r="G891" s="13"/>
      <c r="H891" s="13"/>
      <c r="I891" s="13"/>
      <c r="J891" s="13"/>
      <c r="K891" s="13"/>
      <c r="L891" s="13"/>
      <c r="M891" s="13"/>
      <c r="N891" s="13"/>
      <c r="O891" s="13"/>
      <c r="P891" s="13"/>
      <c r="Q891" s="13"/>
      <c r="R891" s="13"/>
      <c r="S891" s="13"/>
      <c r="T891" s="13"/>
      <c r="U891" s="13"/>
      <c r="V891" s="13"/>
      <c r="W891" s="13"/>
      <c r="X891" s="13"/>
      <c r="Y891" s="13"/>
      <c r="Z891" s="13"/>
      <c r="AA891" s="13"/>
    </row>
    <row r="892" spans="1:27" ht="17.399999999999999" x14ac:dyDescent="0.35">
      <c r="A892" s="13"/>
      <c r="B892" s="13"/>
      <c r="C892" s="13"/>
      <c r="D892" s="13"/>
      <c r="E892" s="13"/>
      <c r="F892" s="13"/>
      <c r="G892" s="13"/>
      <c r="H892" s="13"/>
      <c r="I892" s="13"/>
      <c r="J892" s="13"/>
      <c r="K892" s="13"/>
      <c r="L892" s="13"/>
      <c r="M892" s="13"/>
      <c r="N892" s="13"/>
      <c r="O892" s="13"/>
      <c r="P892" s="13"/>
      <c r="Q892" s="13"/>
      <c r="R892" s="13"/>
      <c r="S892" s="13"/>
      <c r="T892" s="13"/>
      <c r="U892" s="13"/>
      <c r="V892" s="13"/>
      <c r="W892" s="13"/>
      <c r="X892" s="13"/>
      <c r="Y892" s="13"/>
      <c r="Z892" s="13"/>
      <c r="AA892" s="13"/>
    </row>
    <row r="893" spans="1:27" ht="17.399999999999999" x14ac:dyDescent="0.35">
      <c r="A893" s="13"/>
      <c r="B893" s="13"/>
      <c r="C893" s="13"/>
      <c r="D893" s="13"/>
      <c r="E893" s="13"/>
      <c r="F893" s="13"/>
      <c r="G893" s="13"/>
      <c r="H893" s="13"/>
      <c r="I893" s="13"/>
      <c r="J893" s="13"/>
      <c r="K893" s="13"/>
      <c r="L893" s="13"/>
      <c r="M893" s="13"/>
      <c r="N893" s="13"/>
      <c r="O893" s="13"/>
      <c r="P893" s="13"/>
      <c r="Q893" s="13"/>
      <c r="R893" s="13"/>
      <c r="S893" s="13"/>
      <c r="T893" s="13"/>
      <c r="U893" s="13"/>
      <c r="V893" s="13"/>
      <c r="W893" s="13"/>
      <c r="X893" s="13"/>
      <c r="Y893" s="13"/>
      <c r="Z893" s="13"/>
      <c r="AA893" s="13"/>
    </row>
    <row r="894" spans="1:27" ht="17.399999999999999" x14ac:dyDescent="0.35">
      <c r="A894" s="13"/>
      <c r="B894" s="13"/>
      <c r="C894" s="13"/>
      <c r="D894" s="13"/>
      <c r="E894" s="13"/>
      <c r="F894" s="13"/>
      <c r="G894" s="13"/>
      <c r="H894" s="13"/>
      <c r="I894" s="13"/>
      <c r="J894" s="13"/>
      <c r="K894" s="13"/>
      <c r="L894" s="13"/>
      <c r="M894" s="13"/>
      <c r="N894" s="13"/>
      <c r="O894" s="13"/>
      <c r="P894" s="13"/>
      <c r="Q894" s="13"/>
      <c r="R894" s="13"/>
      <c r="S894" s="13"/>
      <c r="T894" s="13"/>
      <c r="U894" s="13"/>
      <c r="V894" s="13"/>
      <c r="W894" s="13"/>
      <c r="X894" s="13"/>
      <c r="Y894" s="13"/>
      <c r="Z894" s="13"/>
      <c r="AA894" s="13"/>
    </row>
    <row r="895" spans="1:27" ht="17.399999999999999" x14ac:dyDescent="0.35">
      <c r="A895" s="13"/>
      <c r="B895" s="13"/>
      <c r="C895" s="13"/>
      <c r="D895" s="13"/>
      <c r="E895" s="13"/>
      <c r="F895" s="13"/>
      <c r="G895" s="13"/>
      <c r="H895" s="13"/>
      <c r="I895" s="13"/>
      <c r="J895" s="13"/>
      <c r="K895" s="13"/>
      <c r="L895" s="13"/>
      <c r="M895" s="13"/>
      <c r="N895" s="13"/>
      <c r="O895" s="13"/>
      <c r="P895" s="13"/>
      <c r="Q895" s="13"/>
      <c r="R895" s="13"/>
      <c r="S895" s="13"/>
      <c r="T895" s="13"/>
      <c r="U895" s="13"/>
      <c r="V895" s="13"/>
      <c r="W895" s="13"/>
      <c r="X895" s="13"/>
      <c r="Y895" s="13"/>
      <c r="Z895" s="13"/>
      <c r="AA895" s="13"/>
    </row>
    <row r="896" spans="1:27" ht="17.399999999999999" x14ac:dyDescent="0.35">
      <c r="A896" s="13"/>
      <c r="B896" s="13"/>
      <c r="C896" s="13"/>
      <c r="D896" s="13"/>
      <c r="E896" s="13"/>
      <c r="F896" s="13"/>
      <c r="G896" s="13"/>
      <c r="H896" s="13"/>
      <c r="I896" s="13"/>
      <c r="J896" s="13"/>
      <c r="K896" s="13"/>
      <c r="L896" s="13"/>
      <c r="M896" s="13"/>
      <c r="N896" s="13"/>
      <c r="O896" s="13"/>
      <c r="P896" s="13"/>
      <c r="Q896" s="13"/>
      <c r="R896" s="13"/>
      <c r="S896" s="13"/>
      <c r="T896" s="13"/>
      <c r="U896" s="13"/>
      <c r="V896" s="13"/>
      <c r="W896" s="13"/>
      <c r="X896" s="13"/>
      <c r="Y896" s="13"/>
      <c r="Z896" s="13"/>
      <c r="AA896" s="13"/>
    </row>
    <row r="897" spans="1:27" ht="17.399999999999999" x14ac:dyDescent="0.35">
      <c r="A897" s="13"/>
      <c r="B897" s="13"/>
      <c r="C897" s="13"/>
      <c r="D897" s="13"/>
      <c r="E897" s="13"/>
      <c r="F897" s="13"/>
      <c r="G897" s="13"/>
      <c r="H897" s="13"/>
      <c r="I897" s="13"/>
      <c r="J897" s="13"/>
      <c r="K897" s="13"/>
      <c r="L897" s="13"/>
      <c r="M897" s="13"/>
      <c r="N897" s="13"/>
      <c r="O897" s="13"/>
      <c r="P897" s="13"/>
      <c r="Q897" s="13"/>
      <c r="R897" s="13"/>
      <c r="S897" s="13"/>
      <c r="T897" s="13"/>
      <c r="U897" s="13"/>
      <c r="V897" s="13"/>
      <c r="W897" s="13"/>
      <c r="X897" s="13"/>
      <c r="Y897" s="13"/>
      <c r="Z897" s="13"/>
      <c r="AA897" s="13"/>
    </row>
    <row r="898" spans="1:27" ht="17.399999999999999" x14ac:dyDescent="0.35">
      <c r="A898" s="13"/>
      <c r="B898" s="13"/>
      <c r="C898" s="13"/>
      <c r="D898" s="13"/>
      <c r="E898" s="13"/>
      <c r="F898" s="13"/>
      <c r="G898" s="13"/>
      <c r="H898" s="13"/>
      <c r="I898" s="13"/>
      <c r="J898" s="13"/>
      <c r="K898" s="13"/>
      <c r="L898" s="13"/>
      <c r="M898" s="13"/>
      <c r="N898" s="13"/>
      <c r="O898" s="13"/>
      <c r="P898" s="13"/>
      <c r="Q898" s="13"/>
      <c r="R898" s="13"/>
      <c r="S898" s="13"/>
      <c r="T898" s="13"/>
      <c r="U898" s="13"/>
      <c r="V898" s="13"/>
      <c r="W898" s="13"/>
      <c r="X898" s="13"/>
      <c r="Y898" s="13"/>
      <c r="Z898" s="13"/>
      <c r="AA898" s="13"/>
    </row>
    <row r="899" spans="1:27" ht="17.399999999999999" x14ac:dyDescent="0.35">
      <c r="A899" s="13"/>
      <c r="B899" s="13"/>
      <c r="C899" s="13"/>
      <c r="D899" s="13"/>
      <c r="E899" s="13"/>
      <c r="F899" s="13"/>
      <c r="G899" s="13"/>
      <c r="H899" s="13"/>
      <c r="I899" s="13"/>
      <c r="J899" s="13"/>
      <c r="K899" s="13"/>
      <c r="L899" s="13"/>
      <c r="M899" s="13"/>
      <c r="N899" s="13"/>
      <c r="O899" s="13"/>
      <c r="P899" s="13"/>
      <c r="Q899" s="13"/>
      <c r="R899" s="13"/>
      <c r="S899" s="13"/>
      <c r="T899" s="13"/>
      <c r="U899" s="13"/>
      <c r="V899" s="13"/>
      <c r="W899" s="13"/>
      <c r="X899" s="13"/>
      <c r="Y899" s="13"/>
      <c r="Z899" s="13"/>
      <c r="AA899" s="13"/>
    </row>
    <row r="900" spans="1:27" ht="17.399999999999999" x14ac:dyDescent="0.35">
      <c r="A900" s="13"/>
      <c r="B900" s="13"/>
      <c r="C900" s="13"/>
      <c r="D900" s="13"/>
      <c r="E900" s="13"/>
      <c r="F900" s="13"/>
      <c r="G900" s="13"/>
      <c r="H900" s="13"/>
      <c r="I900" s="13"/>
      <c r="J900" s="13"/>
      <c r="K900" s="13"/>
      <c r="L900" s="13"/>
      <c r="M900" s="13"/>
      <c r="N900" s="13"/>
      <c r="O900" s="13"/>
      <c r="P900" s="13"/>
      <c r="Q900" s="13"/>
      <c r="R900" s="13"/>
      <c r="S900" s="13"/>
      <c r="T900" s="13"/>
      <c r="U900" s="13"/>
      <c r="V900" s="13"/>
      <c r="W900" s="13"/>
      <c r="X900" s="13"/>
      <c r="Y900" s="13"/>
      <c r="Z900" s="13"/>
      <c r="AA900" s="13"/>
    </row>
    <row r="901" spans="1:27" ht="17.399999999999999" x14ac:dyDescent="0.35">
      <c r="A901" s="13"/>
      <c r="B901" s="13"/>
      <c r="C901" s="13"/>
      <c r="D901" s="13"/>
      <c r="E901" s="13"/>
      <c r="F901" s="13"/>
      <c r="G901" s="13"/>
      <c r="H901" s="13"/>
      <c r="I901" s="13"/>
      <c r="J901" s="13"/>
      <c r="K901" s="13"/>
      <c r="L901" s="13"/>
      <c r="M901" s="13"/>
      <c r="N901" s="13"/>
      <c r="O901" s="13"/>
      <c r="P901" s="13"/>
      <c r="Q901" s="13"/>
      <c r="R901" s="13"/>
      <c r="S901" s="13"/>
      <c r="T901" s="13"/>
      <c r="U901" s="13"/>
      <c r="V901" s="13"/>
      <c r="W901" s="13"/>
      <c r="X901" s="13"/>
      <c r="Y901" s="13"/>
      <c r="Z901" s="13"/>
      <c r="AA901" s="13"/>
    </row>
    <row r="902" spans="1:27" ht="17.399999999999999" x14ac:dyDescent="0.35">
      <c r="A902" s="13"/>
      <c r="B902" s="13"/>
      <c r="C902" s="13"/>
      <c r="D902" s="13"/>
      <c r="E902" s="13"/>
      <c r="F902" s="13"/>
      <c r="G902" s="13"/>
      <c r="H902" s="13"/>
      <c r="I902" s="13"/>
      <c r="J902" s="13"/>
      <c r="K902" s="13"/>
      <c r="L902" s="13"/>
      <c r="M902" s="13"/>
      <c r="N902" s="13"/>
      <c r="O902" s="13"/>
      <c r="P902" s="13"/>
      <c r="Q902" s="13"/>
      <c r="R902" s="13"/>
      <c r="S902" s="13"/>
      <c r="T902" s="13"/>
      <c r="U902" s="13"/>
      <c r="V902" s="13"/>
      <c r="W902" s="13"/>
      <c r="X902" s="13"/>
      <c r="Y902" s="13"/>
      <c r="Z902" s="13"/>
      <c r="AA902" s="13"/>
    </row>
    <row r="903" spans="1:27" ht="17.399999999999999" x14ac:dyDescent="0.35">
      <c r="A903" s="13"/>
      <c r="B903" s="13"/>
      <c r="C903" s="13"/>
      <c r="D903" s="13"/>
      <c r="E903" s="13"/>
      <c r="F903" s="13"/>
      <c r="G903" s="13"/>
      <c r="H903" s="13"/>
      <c r="I903" s="13"/>
      <c r="J903" s="13"/>
      <c r="K903" s="13"/>
      <c r="L903" s="13"/>
      <c r="M903" s="13"/>
      <c r="N903" s="13"/>
      <c r="O903" s="13"/>
      <c r="P903" s="13"/>
      <c r="Q903" s="13"/>
      <c r="R903" s="13"/>
      <c r="S903" s="13"/>
      <c r="T903" s="13"/>
      <c r="U903" s="13"/>
      <c r="V903" s="13"/>
      <c r="W903" s="13"/>
      <c r="X903" s="13"/>
      <c r="Y903" s="13"/>
      <c r="Z903" s="13"/>
      <c r="AA903" s="13"/>
    </row>
    <row r="904" spans="1:27" ht="17.399999999999999" x14ac:dyDescent="0.35">
      <c r="A904" s="13"/>
      <c r="B904" s="13"/>
      <c r="C904" s="13"/>
      <c r="D904" s="13"/>
      <c r="E904" s="13"/>
      <c r="F904" s="13"/>
      <c r="G904" s="13"/>
      <c r="H904" s="13"/>
      <c r="I904" s="13"/>
      <c r="J904" s="13"/>
      <c r="K904" s="13"/>
      <c r="L904" s="13"/>
      <c r="M904" s="13"/>
      <c r="N904" s="13"/>
      <c r="O904" s="13"/>
      <c r="P904" s="13"/>
      <c r="Q904" s="13"/>
      <c r="R904" s="13"/>
      <c r="S904" s="13"/>
      <c r="T904" s="13"/>
      <c r="U904" s="13"/>
      <c r="V904" s="13"/>
      <c r="W904" s="13"/>
      <c r="X904" s="13"/>
      <c r="Y904" s="13"/>
      <c r="Z904" s="13"/>
      <c r="AA904" s="13"/>
    </row>
    <row r="905" spans="1:27" ht="17.399999999999999" x14ac:dyDescent="0.35">
      <c r="A905" s="13"/>
      <c r="B905" s="13"/>
      <c r="C905" s="13"/>
      <c r="D905" s="13"/>
      <c r="E905" s="13"/>
      <c r="F905" s="13"/>
      <c r="G905" s="13"/>
      <c r="H905" s="13"/>
      <c r="I905" s="13"/>
      <c r="J905" s="13"/>
      <c r="K905" s="13"/>
      <c r="L905" s="13"/>
      <c r="M905" s="13"/>
      <c r="N905" s="13"/>
      <c r="O905" s="13"/>
      <c r="P905" s="13"/>
      <c r="Q905" s="13"/>
      <c r="R905" s="13"/>
      <c r="S905" s="13"/>
      <c r="T905" s="13"/>
      <c r="U905" s="13"/>
      <c r="V905" s="13"/>
      <c r="W905" s="13"/>
      <c r="X905" s="13"/>
      <c r="Y905" s="13"/>
      <c r="Z905" s="13"/>
      <c r="AA905" s="13"/>
    </row>
    <row r="906" spans="1:27" ht="17.399999999999999" x14ac:dyDescent="0.35">
      <c r="A906" s="13"/>
      <c r="B906" s="13"/>
      <c r="C906" s="13"/>
      <c r="D906" s="13"/>
      <c r="E906" s="13"/>
      <c r="F906" s="13"/>
      <c r="G906" s="13"/>
      <c r="H906" s="13"/>
      <c r="I906" s="13"/>
      <c r="J906" s="13"/>
      <c r="K906" s="13"/>
      <c r="L906" s="13"/>
      <c r="M906" s="13"/>
      <c r="N906" s="13"/>
      <c r="O906" s="13"/>
      <c r="P906" s="13"/>
      <c r="Q906" s="13"/>
      <c r="R906" s="13"/>
      <c r="S906" s="13"/>
      <c r="T906" s="13"/>
      <c r="U906" s="13"/>
      <c r="V906" s="13"/>
      <c r="W906" s="13"/>
      <c r="X906" s="13"/>
      <c r="Y906" s="13"/>
      <c r="Z906" s="13"/>
      <c r="AA906" s="13"/>
    </row>
    <row r="907" spans="1:27" ht="17.399999999999999" x14ac:dyDescent="0.35">
      <c r="A907" s="13"/>
      <c r="B907" s="13"/>
      <c r="C907" s="13"/>
      <c r="D907" s="13"/>
      <c r="E907" s="13"/>
      <c r="F907" s="13"/>
      <c r="G907" s="13"/>
      <c r="H907" s="13"/>
      <c r="I907" s="13"/>
      <c r="J907" s="13"/>
      <c r="K907" s="13"/>
      <c r="L907" s="13"/>
      <c r="M907" s="13"/>
      <c r="N907" s="13"/>
      <c r="O907" s="13"/>
      <c r="P907" s="13"/>
      <c r="Q907" s="13"/>
      <c r="R907" s="13"/>
      <c r="S907" s="13"/>
      <c r="T907" s="13"/>
      <c r="U907" s="13"/>
      <c r="V907" s="13"/>
      <c r="W907" s="13"/>
      <c r="X907" s="13"/>
      <c r="Y907" s="13"/>
      <c r="Z907" s="13"/>
      <c r="AA907" s="13"/>
    </row>
    <row r="908" spans="1:27" ht="17.399999999999999" x14ac:dyDescent="0.35">
      <c r="A908" s="13"/>
      <c r="B908" s="13"/>
      <c r="C908" s="13"/>
      <c r="D908" s="13"/>
      <c r="E908" s="13"/>
      <c r="F908" s="13"/>
      <c r="G908" s="13"/>
      <c r="H908" s="13"/>
      <c r="I908" s="13"/>
      <c r="J908" s="13"/>
      <c r="K908" s="13"/>
      <c r="L908" s="13"/>
      <c r="M908" s="13"/>
      <c r="N908" s="13"/>
      <c r="O908" s="13"/>
      <c r="P908" s="13"/>
      <c r="Q908" s="13"/>
      <c r="R908" s="13"/>
      <c r="S908" s="13"/>
      <c r="T908" s="13"/>
      <c r="U908" s="13"/>
      <c r="V908" s="13"/>
      <c r="W908" s="13"/>
      <c r="X908" s="13"/>
      <c r="Y908" s="13"/>
      <c r="Z908" s="13"/>
      <c r="AA908" s="13"/>
    </row>
    <row r="909" spans="1:27" ht="17.399999999999999" x14ac:dyDescent="0.35">
      <c r="A909" s="13"/>
      <c r="B909" s="13"/>
      <c r="C909" s="13"/>
      <c r="D909" s="13"/>
      <c r="E909" s="13"/>
      <c r="F909" s="13"/>
      <c r="G909" s="13"/>
      <c r="H909" s="13"/>
      <c r="I909" s="13"/>
      <c r="J909" s="13"/>
      <c r="K909" s="13"/>
      <c r="L909" s="13"/>
      <c r="M909" s="13"/>
      <c r="N909" s="13"/>
      <c r="O909" s="13"/>
      <c r="P909" s="13"/>
      <c r="Q909" s="13"/>
      <c r="R909" s="13"/>
      <c r="S909" s="13"/>
      <c r="T909" s="13"/>
      <c r="U909" s="13"/>
      <c r="V909" s="13"/>
      <c r="W909" s="13"/>
      <c r="X909" s="13"/>
      <c r="Y909" s="13"/>
      <c r="Z909" s="13"/>
      <c r="AA909" s="13"/>
    </row>
    <row r="910" spans="1:27" ht="17.399999999999999" x14ac:dyDescent="0.35">
      <c r="A910" s="13"/>
      <c r="B910" s="13"/>
      <c r="C910" s="13"/>
      <c r="D910" s="13"/>
      <c r="E910" s="13"/>
      <c r="F910" s="13"/>
      <c r="G910" s="13"/>
      <c r="H910" s="13"/>
      <c r="I910" s="13"/>
      <c r="J910" s="13"/>
      <c r="K910" s="13"/>
      <c r="L910" s="13"/>
      <c r="M910" s="13"/>
      <c r="N910" s="13"/>
      <c r="O910" s="13"/>
      <c r="P910" s="13"/>
      <c r="Q910" s="13"/>
      <c r="R910" s="13"/>
      <c r="S910" s="13"/>
      <c r="T910" s="13"/>
      <c r="U910" s="13"/>
      <c r="V910" s="13"/>
      <c r="W910" s="13"/>
      <c r="X910" s="13"/>
      <c r="Y910" s="13"/>
      <c r="Z910" s="13"/>
      <c r="AA910" s="13"/>
    </row>
    <row r="911" spans="1:27" ht="17.399999999999999" x14ac:dyDescent="0.35">
      <c r="A911" s="13"/>
      <c r="B911" s="13"/>
      <c r="C911" s="13"/>
      <c r="D911" s="13"/>
      <c r="E911" s="13"/>
      <c r="F911" s="13"/>
      <c r="G911" s="13"/>
      <c r="H911" s="13"/>
      <c r="I911" s="13"/>
      <c r="J911" s="13"/>
      <c r="K911" s="13"/>
      <c r="L911" s="13"/>
      <c r="M911" s="13"/>
      <c r="N911" s="13"/>
      <c r="O911" s="13"/>
      <c r="P911" s="13"/>
      <c r="Q911" s="13"/>
      <c r="R911" s="13"/>
      <c r="S911" s="13"/>
      <c r="T911" s="13"/>
      <c r="U911" s="13"/>
      <c r="V911" s="13"/>
      <c r="W911" s="13"/>
      <c r="X911" s="13"/>
      <c r="Y911" s="13"/>
      <c r="Z911" s="13"/>
      <c r="AA911" s="13"/>
    </row>
    <row r="912" spans="1:27" ht="17.399999999999999" x14ac:dyDescent="0.35">
      <c r="A912" s="13"/>
      <c r="B912" s="13"/>
      <c r="C912" s="13"/>
      <c r="D912" s="13"/>
      <c r="E912" s="13"/>
      <c r="F912" s="13"/>
      <c r="G912" s="13"/>
      <c r="H912" s="13"/>
      <c r="I912" s="13"/>
      <c r="J912" s="13"/>
      <c r="K912" s="13"/>
      <c r="L912" s="13"/>
      <c r="M912" s="13"/>
      <c r="N912" s="13"/>
      <c r="O912" s="13"/>
      <c r="P912" s="13"/>
      <c r="Q912" s="13"/>
      <c r="R912" s="13"/>
      <c r="S912" s="13"/>
      <c r="T912" s="13"/>
      <c r="U912" s="13"/>
      <c r="V912" s="13"/>
      <c r="W912" s="13"/>
      <c r="X912" s="13"/>
      <c r="Y912" s="13"/>
      <c r="Z912" s="13"/>
      <c r="AA912" s="13"/>
    </row>
    <row r="913" spans="1:27" ht="17.399999999999999" x14ac:dyDescent="0.35">
      <c r="A913" s="13"/>
      <c r="B913" s="13"/>
      <c r="C913" s="13"/>
      <c r="D913" s="13"/>
      <c r="E913" s="13"/>
      <c r="F913" s="13"/>
      <c r="G913" s="13"/>
      <c r="H913" s="13"/>
      <c r="I913" s="13"/>
      <c r="J913" s="13"/>
      <c r="K913" s="13"/>
      <c r="L913" s="13"/>
      <c r="M913" s="13"/>
      <c r="N913" s="13"/>
      <c r="O913" s="13"/>
      <c r="P913" s="13"/>
      <c r="Q913" s="13"/>
      <c r="R913" s="13"/>
      <c r="S913" s="13"/>
      <c r="T913" s="13"/>
      <c r="U913" s="13"/>
      <c r="V913" s="13"/>
      <c r="W913" s="13"/>
      <c r="X913" s="13"/>
      <c r="Y913" s="13"/>
      <c r="Z913" s="13"/>
      <c r="AA913" s="13"/>
    </row>
    <row r="914" spans="1:27" ht="17.399999999999999" x14ac:dyDescent="0.35">
      <c r="A914" s="13"/>
      <c r="B914" s="13"/>
      <c r="C914" s="13"/>
      <c r="D914" s="13"/>
      <c r="E914" s="13"/>
      <c r="F914" s="13"/>
      <c r="G914" s="13"/>
      <c r="H914" s="13"/>
      <c r="I914" s="13"/>
      <c r="J914" s="13"/>
      <c r="K914" s="13"/>
      <c r="L914" s="13"/>
      <c r="M914" s="13"/>
      <c r="N914" s="13"/>
      <c r="O914" s="13"/>
      <c r="P914" s="13"/>
      <c r="Q914" s="13"/>
      <c r="R914" s="13"/>
      <c r="S914" s="13"/>
      <c r="T914" s="13"/>
      <c r="U914" s="13"/>
      <c r="V914" s="13"/>
      <c r="W914" s="13"/>
      <c r="X914" s="13"/>
      <c r="Y914" s="13"/>
      <c r="Z914" s="13"/>
      <c r="AA914" s="13"/>
    </row>
    <row r="915" spans="1:27" ht="17.399999999999999" x14ac:dyDescent="0.35">
      <c r="A915" s="13"/>
      <c r="B915" s="13"/>
      <c r="C915" s="13"/>
      <c r="D915" s="13"/>
      <c r="E915" s="13"/>
      <c r="F915" s="13"/>
      <c r="G915" s="13"/>
      <c r="H915" s="13"/>
      <c r="I915" s="13"/>
      <c r="J915" s="13"/>
      <c r="K915" s="13"/>
      <c r="L915" s="13"/>
      <c r="M915" s="13"/>
      <c r="N915" s="13"/>
      <c r="O915" s="13"/>
      <c r="P915" s="13"/>
      <c r="Q915" s="13"/>
      <c r="R915" s="13"/>
      <c r="S915" s="13"/>
      <c r="T915" s="13"/>
      <c r="U915" s="13"/>
      <c r="V915" s="13"/>
      <c r="W915" s="13"/>
      <c r="X915" s="13"/>
      <c r="Y915" s="13"/>
      <c r="Z915" s="13"/>
      <c r="AA915" s="13"/>
    </row>
    <row r="916" spans="1:27" ht="17.399999999999999" x14ac:dyDescent="0.35">
      <c r="A916" s="13"/>
      <c r="B916" s="13"/>
      <c r="C916" s="13"/>
      <c r="D916" s="13"/>
      <c r="E916" s="13"/>
      <c r="F916" s="13"/>
      <c r="G916" s="13"/>
      <c r="H916" s="13"/>
      <c r="I916" s="13"/>
      <c r="J916" s="13"/>
      <c r="K916" s="13"/>
      <c r="L916" s="13"/>
      <c r="M916" s="13"/>
      <c r="N916" s="13"/>
      <c r="O916" s="13"/>
      <c r="P916" s="13"/>
      <c r="Q916" s="13"/>
      <c r="R916" s="13"/>
      <c r="S916" s="13"/>
      <c r="T916" s="13"/>
      <c r="U916" s="13"/>
      <c r="V916" s="13"/>
      <c r="W916" s="13"/>
      <c r="X916" s="13"/>
      <c r="Y916" s="13"/>
      <c r="Z916" s="13"/>
      <c r="AA916" s="13"/>
    </row>
    <row r="917" spans="1:27" ht="17.399999999999999" x14ac:dyDescent="0.35">
      <c r="A917" s="13"/>
      <c r="B917" s="13"/>
      <c r="C917" s="13"/>
      <c r="D917" s="13"/>
      <c r="E917" s="13"/>
      <c r="F917" s="13"/>
      <c r="G917" s="13"/>
      <c r="H917" s="13"/>
      <c r="I917" s="13"/>
      <c r="J917" s="13"/>
      <c r="K917" s="13"/>
      <c r="L917" s="13"/>
      <c r="M917" s="13"/>
      <c r="N917" s="13"/>
      <c r="O917" s="13"/>
      <c r="P917" s="13"/>
      <c r="Q917" s="13"/>
      <c r="R917" s="13"/>
      <c r="S917" s="13"/>
      <c r="T917" s="13"/>
      <c r="U917" s="13"/>
      <c r="V917" s="13"/>
      <c r="W917" s="13"/>
      <c r="X917" s="13"/>
      <c r="Y917" s="13"/>
      <c r="Z917" s="13"/>
      <c r="AA917" s="13"/>
    </row>
    <row r="918" spans="1:27" ht="17.399999999999999" x14ac:dyDescent="0.35">
      <c r="A918" s="13"/>
      <c r="B918" s="13"/>
      <c r="C918" s="13"/>
      <c r="D918" s="13"/>
      <c r="E918" s="13"/>
      <c r="F918" s="13"/>
      <c r="G918" s="13"/>
      <c r="H918" s="13"/>
      <c r="I918" s="13"/>
      <c r="J918" s="13"/>
      <c r="K918" s="13"/>
      <c r="L918" s="13"/>
      <c r="M918" s="13"/>
      <c r="N918" s="13"/>
      <c r="O918" s="13"/>
      <c r="P918" s="13"/>
      <c r="Q918" s="13"/>
      <c r="R918" s="13"/>
      <c r="S918" s="13"/>
      <c r="T918" s="13"/>
      <c r="U918" s="13"/>
      <c r="V918" s="13"/>
      <c r="W918" s="13"/>
      <c r="X918" s="13"/>
      <c r="Y918" s="13"/>
      <c r="Z918" s="13"/>
      <c r="AA918" s="13"/>
    </row>
    <row r="919" spans="1:27" ht="17.399999999999999" x14ac:dyDescent="0.35">
      <c r="A919" s="13"/>
      <c r="B919" s="13"/>
      <c r="C919" s="13"/>
      <c r="D919" s="13"/>
      <c r="E919" s="13"/>
      <c r="F919" s="13"/>
      <c r="G919" s="13"/>
      <c r="H919" s="13"/>
      <c r="I919" s="13"/>
      <c r="J919" s="13"/>
      <c r="K919" s="13"/>
      <c r="L919" s="13"/>
      <c r="M919" s="13"/>
      <c r="N919" s="13"/>
      <c r="O919" s="13"/>
      <c r="P919" s="13"/>
      <c r="Q919" s="13"/>
      <c r="R919" s="13"/>
      <c r="S919" s="13"/>
      <c r="T919" s="13"/>
      <c r="U919" s="13"/>
      <c r="V919" s="13"/>
      <c r="W919" s="13"/>
      <c r="X919" s="13"/>
      <c r="Y919" s="13"/>
      <c r="Z919" s="13"/>
      <c r="AA919" s="13"/>
    </row>
    <row r="920" spans="1:27" ht="17.399999999999999" x14ac:dyDescent="0.35">
      <c r="A920" s="13"/>
      <c r="B920" s="13"/>
      <c r="C920" s="13"/>
      <c r="D920" s="13"/>
      <c r="E920" s="13"/>
      <c r="F920" s="13"/>
      <c r="G920" s="13"/>
      <c r="H920" s="13"/>
      <c r="I920" s="13"/>
      <c r="J920" s="13"/>
      <c r="K920" s="13"/>
      <c r="L920" s="13"/>
      <c r="M920" s="13"/>
      <c r="N920" s="13"/>
      <c r="O920" s="13"/>
      <c r="P920" s="13"/>
      <c r="Q920" s="13"/>
      <c r="R920" s="13"/>
      <c r="S920" s="13"/>
      <c r="T920" s="13"/>
      <c r="U920" s="13"/>
      <c r="V920" s="13"/>
      <c r="W920" s="13"/>
      <c r="X920" s="13"/>
      <c r="Y920" s="13"/>
      <c r="Z920" s="13"/>
      <c r="AA920" s="13"/>
    </row>
    <row r="921" spans="1:27" ht="17.399999999999999" x14ac:dyDescent="0.35">
      <c r="A921" s="13"/>
      <c r="B921" s="13"/>
      <c r="C921" s="13"/>
      <c r="D921" s="13"/>
      <c r="E921" s="13"/>
      <c r="F921" s="13"/>
      <c r="G921" s="13"/>
      <c r="H921" s="13"/>
      <c r="I921" s="13"/>
      <c r="J921" s="13"/>
      <c r="K921" s="13"/>
      <c r="L921" s="13"/>
      <c r="M921" s="13"/>
      <c r="N921" s="13"/>
      <c r="O921" s="13"/>
      <c r="P921" s="13"/>
      <c r="Q921" s="13"/>
      <c r="R921" s="13"/>
      <c r="S921" s="13"/>
      <c r="T921" s="13"/>
      <c r="U921" s="13"/>
      <c r="V921" s="13"/>
      <c r="W921" s="13"/>
      <c r="X921" s="13"/>
      <c r="Y921" s="13"/>
      <c r="Z921" s="13"/>
      <c r="AA921" s="13"/>
    </row>
    <row r="922" spans="1:27" ht="17.399999999999999" x14ac:dyDescent="0.35">
      <c r="A922" s="13"/>
      <c r="B922" s="13"/>
      <c r="C922" s="13"/>
      <c r="D922" s="13"/>
      <c r="E922" s="13"/>
      <c r="F922" s="13"/>
      <c r="G922" s="13"/>
      <c r="H922" s="13"/>
      <c r="I922" s="13"/>
      <c r="J922" s="13"/>
      <c r="K922" s="13"/>
      <c r="L922" s="13"/>
      <c r="M922" s="13"/>
      <c r="N922" s="13"/>
      <c r="O922" s="13"/>
      <c r="P922" s="13"/>
      <c r="Q922" s="13"/>
      <c r="R922" s="13"/>
      <c r="S922" s="13"/>
      <c r="T922" s="13"/>
      <c r="U922" s="13"/>
      <c r="V922" s="13"/>
      <c r="W922" s="13"/>
      <c r="X922" s="13"/>
      <c r="Y922" s="13"/>
      <c r="Z922" s="13"/>
      <c r="AA922" s="13"/>
    </row>
    <row r="923" spans="1:27" ht="17.399999999999999" x14ac:dyDescent="0.35">
      <c r="A923" s="13"/>
      <c r="B923" s="13"/>
      <c r="C923" s="13"/>
      <c r="D923" s="13"/>
      <c r="E923" s="13"/>
      <c r="F923" s="13"/>
      <c r="G923" s="13"/>
      <c r="H923" s="13"/>
      <c r="I923" s="13"/>
      <c r="J923" s="13"/>
      <c r="K923" s="13"/>
      <c r="L923" s="13"/>
      <c r="M923" s="13"/>
      <c r="N923" s="13"/>
      <c r="O923" s="13"/>
      <c r="P923" s="13"/>
      <c r="Q923" s="13"/>
      <c r="R923" s="13"/>
      <c r="S923" s="13"/>
      <c r="T923" s="13"/>
      <c r="U923" s="13"/>
      <c r="V923" s="13"/>
      <c r="W923" s="13"/>
      <c r="X923" s="13"/>
      <c r="Y923" s="13"/>
      <c r="Z923" s="13"/>
      <c r="AA923" s="13"/>
    </row>
    <row r="924" spans="1:27" ht="17.399999999999999" x14ac:dyDescent="0.35">
      <c r="A924" s="13"/>
      <c r="B924" s="13"/>
      <c r="C924" s="13"/>
      <c r="D924" s="13"/>
      <c r="E924" s="13"/>
      <c r="F924" s="13"/>
      <c r="G924" s="13"/>
      <c r="H924" s="13"/>
      <c r="I924" s="13"/>
      <c r="J924" s="13"/>
      <c r="K924" s="13"/>
      <c r="L924" s="13"/>
      <c r="M924" s="13"/>
      <c r="N924" s="13"/>
      <c r="O924" s="13"/>
      <c r="P924" s="13"/>
      <c r="Q924" s="13"/>
      <c r="R924" s="13"/>
      <c r="S924" s="13"/>
      <c r="T924" s="13"/>
      <c r="U924" s="13"/>
      <c r="V924" s="13"/>
      <c r="W924" s="13"/>
      <c r="X924" s="13"/>
      <c r="Y924" s="13"/>
      <c r="Z924" s="13"/>
      <c r="AA924" s="13"/>
    </row>
    <row r="925" spans="1:27" ht="17.399999999999999" x14ac:dyDescent="0.35">
      <c r="A925" s="13"/>
      <c r="B925" s="13"/>
      <c r="C925" s="13"/>
      <c r="D925" s="13"/>
      <c r="E925" s="13"/>
      <c r="F925" s="13"/>
      <c r="G925" s="13"/>
      <c r="H925" s="13"/>
      <c r="I925" s="13"/>
      <c r="J925" s="13"/>
      <c r="K925" s="13"/>
      <c r="L925" s="13"/>
      <c r="M925" s="13"/>
      <c r="N925" s="13"/>
      <c r="O925" s="13"/>
      <c r="P925" s="13"/>
      <c r="Q925" s="13"/>
      <c r="R925" s="13"/>
      <c r="S925" s="13"/>
      <c r="T925" s="13"/>
      <c r="U925" s="13"/>
      <c r="V925" s="13"/>
      <c r="W925" s="13"/>
      <c r="X925" s="13"/>
      <c r="Y925" s="13"/>
      <c r="Z925" s="13"/>
      <c r="AA925" s="13"/>
    </row>
    <row r="926" spans="1:27" ht="17.399999999999999" x14ac:dyDescent="0.35">
      <c r="A926" s="13"/>
      <c r="B926" s="13"/>
      <c r="C926" s="13"/>
      <c r="D926" s="13"/>
      <c r="E926" s="13"/>
      <c r="F926" s="13"/>
      <c r="G926" s="13"/>
      <c r="H926" s="13"/>
      <c r="I926" s="13"/>
      <c r="J926" s="13"/>
      <c r="K926" s="13"/>
      <c r="L926" s="13"/>
      <c r="M926" s="13"/>
      <c r="N926" s="13"/>
      <c r="O926" s="13"/>
      <c r="P926" s="13"/>
      <c r="Q926" s="13"/>
      <c r="R926" s="13"/>
      <c r="S926" s="13"/>
      <c r="T926" s="13"/>
      <c r="U926" s="13"/>
      <c r="V926" s="13"/>
      <c r="W926" s="13"/>
      <c r="X926" s="13"/>
      <c r="Y926" s="13"/>
      <c r="Z926" s="13"/>
      <c r="AA926" s="13"/>
    </row>
    <row r="927" spans="1:27" ht="17.399999999999999" x14ac:dyDescent="0.35">
      <c r="A927" s="13"/>
      <c r="B927" s="13"/>
      <c r="C927" s="13"/>
      <c r="D927" s="13"/>
      <c r="E927" s="13"/>
      <c r="F927" s="13"/>
      <c r="G927" s="13"/>
      <c r="H927" s="13"/>
      <c r="I927" s="13"/>
      <c r="J927" s="13"/>
      <c r="K927" s="13"/>
      <c r="L927" s="13"/>
      <c r="M927" s="13"/>
      <c r="N927" s="13"/>
      <c r="O927" s="13"/>
      <c r="P927" s="13"/>
      <c r="Q927" s="13"/>
      <c r="R927" s="13"/>
      <c r="S927" s="13"/>
      <c r="T927" s="13"/>
      <c r="U927" s="13"/>
      <c r="V927" s="13"/>
      <c r="W927" s="13"/>
      <c r="X927" s="13"/>
      <c r="Y927" s="13"/>
      <c r="Z927" s="13"/>
      <c r="AA927" s="13"/>
    </row>
    <row r="928" spans="1:27" ht="17.399999999999999" x14ac:dyDescent="0.35">
      <c r="A928" s="13"/>
      <c r="B928" s="13"/>
      <c r="C928" s="13"/>
      <c r="D928" s="13"/>
      <c r="E928" s="13"/>
      <c r="F928" s="13"/>
      <c r="G928" s="13"/>
      <c r="H928" s="13"/>
      <c r="I928" s="13"/>
      <c r="J928" s="13"/>
      <c r="K928" s="13"/>
      <c r="L928" s="13"/>
      <c r="M928" s="13"/>
      <c r="N928" s="13"/>
      <c r="O928" s="13"/>
      <c r="P928" s="13"/>
      <c r="Q928" s="13"/>
      <c r="R928" s="13"/>
      <c r="S928" s="13"/>
      <c r="T928" s="13"/>
      <c r="U928" s="13"/>
      <c r="V928" s="13"/>
      <c r="W928" s="13"/>
      <c r="X928" s="13"/>
      <c r="Y928" s="13"/>
      <c r="Z928" s="13"/>
      <c r="AA928" s="13"/>
    </row>
    <row r="929" spans="1:27" ht="17.399999999999999" x14ac:dyDescent="0.35">
      <c r="A929" s="13"/>
      <c r="B929" s="13"/>
      <c r="C929" s="13"/>
      <c r="D929" s="13"/>
      <c r="E929" s="13"/>
      <c r="F929" s="13"/>
      <c r="G929" s="13"/>
      <c r="H929" s="13"/>
      <c r="I929" s="13"/>
      <c r="J929" s="13"/>
      <c r="K929" s="13"/>
      <c r="L929" s="13"/>
      <c r="M929" s="13"/>
      <c r="N929" s="13"/>
      <c r="O929" s="13"/>
      <c r="P929" s="13"/>
      <c r="Q929" s="13"/>
      <c r="R929" s="13"/>
      <c r="S929" s="13"/>
      <c r="T929" s="13"/>
      <c r="U929" s="13"/>
      <c r="V929" s="13"/>
      <c r="W929" s="13"/>
      <c r="X929" s="13"/>
      <c r="Y929" s="13"/>
      <c r="Z929" s="13"/>
      <c r="AA929" s="13"/>
    </row>
    <row r="930" spans="1:27" ht="17.399999999999999" x14ac:dyDescent="0.35">
      <c r="A930" s="13"/>
      <c r="B930" s="13"/>
      <c r="C930" s="13"/>
      <c r="D930" s="13"/>
      <c r="E930" s="13"/>
      <c r="F930" s="13"/>
      <c r="G930" s="13"/>
      <c r="H930" s="13"/>
      <c r="I930" s="13"/>
      <c r="J930" s="13"/>
      <c r="K930" s="13"/>
      <c r="L930" s="13"/>
      <c r="M930" s="13"/>
      <c r="N930" s="13"/>
      <c r="O930" s="13"/>
      <c r="P930" s="13"/>
      <c r="Q930" s="13"/>
      <c r="R930" s="13"/>
      <c r="S930" s="13"/>
      <c r="T930" s="13"/>
      <c r="U930" s="13"/>
      <c r="V930" s="13"/>
      <c r="W930" s="13"/>
      <c r="X930" s="13"/>
      <c r="Y930" s="13"/>
      <c r="Z930" s="13"/>
      <c r="AA930" s="13"/>
    </row>
    <row r="931" spans="1:27" ht="17.399999999999999" x14ac:dyDescent="0.35">
      <c r="A931" s="13"/>
      <c r="B931" s="13"/>
      <c r="C931" s="13"/>
      <c r="D931" s="13"/>
      <c r="E931" s="13"/>
      <c r="F931" s="13"/>
      <c r="G931" s="13"/>
      <c r="H931" s="13"/>
      <c r="I931" s="13"/>
      <c r="J931" s="13"/>
      <c r="K931" s="13"/>
      <c r="L931" s="13"/>
      <c r="M931" s="13"/>
      <c r="N931" s="13"/>
      <c r="O931" s="13"/>
      <c r="P931" s="13"/>
      <c r="Q931" s="13"/>
      <c r="R931" s="13"/>
      <c r="S931" s="13"/>
      <c r="T931" s="13"/>
      <c r="U931" s="13"/>
      <c r="V931" s="13"/>
      <c r="W931" s="13"/>
      <c r="X931" s="13"/>
      <c r="Y931" s="13"/>
      <c r="Z931" s="13"/>
      <c r="AA931" s="13"/>
    </row>
    <row r="932" spans="1:27" ht="17.399999999999999" x14ac:dyDescent="0.35">
      <c r="A932" s="13"/>
      <c r="B932" s="13"/>
      <c r="C932" s="13"/>
      <c r="D932" s="13"/>
      <c r="E932" s="13"/>
      <c r="F932" s="13"/>
      <c r="G932" s="13"/>
      <c r="H932" s="13"/>
      <c r="I932" s="13"/>
      <c r="J932" s="13"/>
      <c r="K932" s="13"/>
      <c r="L932" s="13"/>
      <c r="M932" s="13"/>
      <c r="N932" s="13"/>
      <c r="O932" s="13"/>
      <c r="P932" s="13"/>
      <c r="Q932" s="13"/>
      <c r="R932" s="13"/>
      <c r="S932" s="13"/>
      <c r="T932" s="13"/>
      <c r="U932" s="13"/>
      <c r="V932" s="13"/>
      <c r="W932" s="13"/>
      <c r="X932" s="13"/>
      <c r="Y932" s="13"/>
      <c r="Z932" s="13"/>
      <c r="AA932" s="13"/>
    </row>
    <row r="933" spans="1:27" ht="17.399999999999999" x14ac:dyDescent="0.35">
      <c r="A933" s="13"/>
      <c r="B933" s="13"/>
      <c r="C933" s="13"/>
      <c r="D933" s="13"/>
      <c r="E933" s="13"/>
      <c r="F933" s="13"/>
      <c r="G933" s="13"/>
      <c r="H933" s="13"/>
      <c r="I933" s="13"/>
      <c r="J933" s="13"/>
      <c r="K933" s="13"/>
      <c r="L933" s="13"/>
      <c r="M933" s="13"/>
      <c r="N933" s="13"/>
      <c r="O933" s="13"/>
      <c r="P933" s="13"/>
      <c r="Q933" s="13"/>
      <c r="R933" s="13"/>
      <c r="S933" s="13"/>
      <c r="T933" s="13"/>
      <c r="U933" s="13"/>
      <c r="V933" s="13"/>
      <c r="W933" s="13"/>
      <c r="X933" s="13"/>
      <c r="Y933" s="13"/>
      <c r="Z933" s="13"/>
      <c r="AA933" s="13"/>
    </row>
    <row r="934" spans="1:27" ht="17.399999999999999" x14ac:dyDescent="0.35">
      <c r="A934" s="13"/>
      <c r="B934" s="13"/>
      <c r="C934" s="13"/>
      <c r="D934" s="13"/>
      <c r="E934" s="13"/>
      <c r="F934" s="13"/>
      <c r="G934" s="13"/>
      <c r="H934" s="13"/>
      <c r="I934" s="13"/>
      <c r="J934" s="13"/>
      <c r="K934" s="13"/>
      <c r="L934" s="13"/>
      <c r="M934" s="13"/>
      <c r="N934" s="13"/>
      <c r="O934" s="13"/>
      <c r="P934" s="13"/>
      <c r="Q934" s="13"/>
      <c r="R934" s="13"/>
      <c r="S934" s="13"/>
      <c r="T934" s="13"/>
      <c r="U934" s="13"/>
      <c r="V934" s="13"/>
      <c r="W934" s="13"/>
      <c r="X934" s="13"/>
      <c r="Y934" s="13"/>
      <c r="Z934" s="13"/>
      <c r="AA934" s="13"/>
    </row>
    <row r="935" spans="1:27" ht="17.399999999999999" x14ac:dyDescent="0.35">
      <c r="A935" s="13"/>
      <c r="B935" s="13"/>
      <c r="C935" s="13"/>
      <c r="D935" s="13"/>
      <c r="E935" s="13"/>
      <c r="F935" s="13"/>
      <c r="G935" s="13"/>
      <c r="H935" s="13"/>
      <c r="I935" s="13"/>
      <c r="J935" s="13"/>
      <c r="K935" s="13"/>
      <c r="L935" s="13"/>
      <c r="M935" s="13"/>
      <c r="N935" s="13"/>
      <c r="O935" s="13"/>
      <c r="P935" s="13"/>
      <c r="Q935" s="13"/>
      <c r="R935" s="13"/>
      <c r="S935" s="13"/>
      <c r="T935" s="13"/>
      <c r="U935" s="13"/>
      <c r="V935" s="13"/>
      <c r="W935" s="13"/>
      <c r="X935" s="13"/>
      <c r="Y935" s="13"/>
      <c r="Z935" s="13"/>
      <c r="AA935" s="13"/>
    </row>
    <row r="936" spans="1:27" ht="17.399999999999999" x14ac:dyDescent="0.35">
      <c r="A936" s="13"/>
      <c r="B936" s="13"/>
      <c r="C936" s="13"/>
      <c r="D936" s="13"/>
      <c r="E936" s="13"/>
      <c r="F936" s="13"/>
      <c r="G936" s="13"/>
      <c r="H936" s="13"/>
      <c r="I936" s="13"/>
      <c r="J936" s="13"/>
      <c r="K936" s="13"/>
      <c r="L936" s="13"/>
      <c r="M936" s="13"/>
      <c r="N936" s="13"/>
      <c r="O936" s="13"/>
      <c r="P936" s="13"/>
      <c r="Q936" s="13"/>
      <c r="R936" s="13"/>
      <c r="S936" s="13"/>
      <c r="T936" s="13"/>
      <c r="U936" s="13"/>
      <c r="V936" s="13"/>
      <c r="W936" s="13"/>
      <c r="X936" s="13"/>
      <c r="Y936" s="13"/>
      <c r="Z936" s="13"/>
      <c r="AA936" s="13"/>
    </row>
    <row r="937" spans="1:27" ht="17.399999999999999" x14ac:dyDescent="0.35">
      <c r="A937" s="13"/>
      <c r="B937" s="13"/>
      <c r="C937" s="13"/>
      <c r="D937" s="13"/>
      <c r="E937" s="13"/>
      <c r="F937" s="13"/>
      <c r="G937" s="13"/>
      <c r="H937" s="13"/>
      <c r="I937" s="13"/>
      <c r="J937" s="13"/>
      <c r="K937" s="13"/>
      <c r="L937" s="13"/>
      <c r="M937" s="13"/>
      <c r="N937" s="13"/>
      <c r="O937" s="13"/>
      <c r="P937" s="13"/>
      <c r="Q937" s="13"/>
      <c r="R937" s="13"/>
      <c r="S937" s="13"/>
      <c r="T937" s="13"/>
      <c r="U937" s="13"/>
      <c r="V937" s="13"/>
      <c r="W937" s="13"/>
      <c r="X937" s="13"/>
      <c r="Y937" s="13"/>
      <c r="Z937" s="13"/>
      <c r="AA937" s="13"/>
    </row>
    <row r="938" spans="1:27" ht="17.399999999999999" x14ac:dyDescent="0.35">
      <c r="A938" s="13"/>
      <c r="B938" s="13"/>
      <c r="C938" s="13"/>
      <c r="D938" s="13"/>
      <c r="E938" s="13"/>
      <c r="F938" s="13"/>
      <c r="G938" s="13"/>
      <c r="H938" s="13"/>
      <c r="I938" s="13"/>
      <c r="J938" s="13"/>
      <c r="K938" s="13"/>
      <c r="L938" s="13"/>
      <c r="M938" s="13"/>
      <c r="N938" s="13"/>
      <c r="O938" s="13"/>
      <c r="P938" s="13"/>
      <c r="Q938" s="13"/>
      <c r="R938" s="13"/>
      <c r="S938" s="13"/>
      <c r="T938" s="13"/>
      <c r="U938" s="13"/>
      <c r="V938" s="13"/>
      <c r="W938" s="13"/>
      <c r="X938" s="13"/>
      <c r="Y938" s="13"/>
      <c r="Z938" s="13"/>
      <c r="AA938" s="13"/>
    </row>
    <row r="939" spans="1:27" ht="17.399999999999999" x14ac:dyDescent="0.35">
      <c r="A939" s="13"/>
      <c r="B939" s="13"/>
      <c r="C939" s="13"/>
      <c r="D939" s="13"/>
      <c r="E939" s="13"/>
      <c r="F939" s="13"/>
      <c r="G939" s="13"/>
      <c r="H939" s="13"/>
      <c r="I939" s="13"/>
      <c r="J939" s="13"/>
      <c r="K939" s="13"/>
      <c r="L939" s="13"/>
      <c r="M939" s="13"/>
      <c r="N939" s="13"/>
      <c r="O939" s="13"/>
      <c r="P939" s="13"/>
      <c r="Q939" s="13"/>
      <c r="R939" s="13"/>
      <c r="S939" s="13"/>
      <c r="T939" s="13"/>
      <c r="U939" s="13"/>
      <c r="V939" s="13"/>
      <c r="W939" s="13"/>
      <c r="X939" s="13"/>
      <c r="Y939" s="13"/>
      <c r="Z939" s="13"/>
      <c r="AA939" s="13"/>
    </row>
    <row r="940" spans="1:27" ht="17.399999999999999" x14ac:dyDescent="0.35">
      <c r="A940" s="13"/>
      <c r="B940" s="13"/>
      <c r="C940" s="13"/>
      <c r="D940" s="13"/>
      <c r="E940" s="13"/>
      <c r="F940" s="13"/>
      <c r="G940" s="13"/>
      <c r="H940" s="13"/>
      <c r="I940" s="13"/>
      <c r="J940" s="13"/>
      <c r="K940" s="13"/>
      <c r="L940" s="13"/>
      <c r="M940" s="13"/>
      <c r="N940" s="13"/>
      <c r="O940" s="13"/>
      <c r="P940" s="13"/>
      <c r="Q940" s="13"/>
      <c r="R940" s="13"/>
      <c r="S940" s="13"/>
      <c r="T940" s="13"/>
      <c r="U940" s="13"/>
      <c r="V940" s="13"/>
      <c r="W940" s="13"/>
      <c r="X940" s="13"/>
      <c r="Y940" s="13"/>
      <c r="Z940" s="13"/>
      <c r="AA940" s="13"/>
    </row>
    <row r="941" spans="1:27" ht="17.399999999999999" x14ac:dyDescent="0.35">
      <c r="A941" s="13"/>
      <c r="B941" s="13"/>
      <c r="C941" s="13"/>
      <c r="D941" s="13"/>
      <c r="E941" s="13"/>
      <c r="F941" s="13"/>
      <c r="G941" s="13"/>
      <c r="H941" s="13"/>
      <c r="I941" s="13"/>
      <c r="J941" s="13"/>
      <c r="K941" s="13"/>
      <c r="L941" s="13"/>
      <c r="M941" s="13"/>
      <c r="N941" s="13"/>
      <c r="O941" s="13"/>
      <c r="P941" s="13"/>
      <c r="Q941" s="13"/>
      <c r="R941" s="13"/>
      <c r="S941" s="13"/>
      <c r="T941" s="13"/>
      <c r="U941" s="13"/>
      <c r="V941" s="13"/>
      <c r="W941" s="13"/>
      <c r="X941" s="13"/>
      <c r="Y941" s="13"/>
      <c r="Z941" s="13"/>
      <c r="AA941" s="13"/>
    </row>
    <row r="942" spans="1:27" ht="17.399999999999999" x14ac:dyDescent="0.35">
      <c r="A942" s="13"/>
      <c r="B942" s="13"/>
      <c r="C942" s="13"/>
      <c r="D942" s="13"/>
      <c r="E942" s="13"/>
      <c r="F942" s="13"/>
      <c r="G942" s="13"/>
      <c r="H942" s="13"/>
      <c r="I942" s="13"/>
      <c r="J942" s="13"/>
      <c r="K942" s="13"/>
      <c r="L942" s="13"/>
      <c r="M942" s="13"/>
      <c r="N942" s="13"/>
      <c r="O942" s="13"/>
      <c r="P942" s="13"/>
      <c r="Q942" s="13"/>
      <c r="R942" s="13"/>
      <c r="S942" s="13"/>
      <c r="T942" s="13"/>
      <c r="U942" s="13"/>
      <c r="V942" s="13"/>
      <c r="W942" s="13"/>
      <c r="X942" s="13"/>
      <c r="Y942" s="13"/>
      <c r="Z942" s="13"/>
      <c r="AA942" s="13"/>
    </row>
    <row r="943" spans="1:27" ht="17.399999999999999" x14ac:dyDescent="0.35">
      <c r="A943" s="13"/>
      <c r="B943" s="13"/>
      <c r="C943" s="13"/>
      <c r="D943" s="13"/>
      <c r="E943" s="13"/>
      <c r="F943" s="13"/>
      <c r="G943" s="13"/>
      <c r="H943" s="13"/>
      <c r="I943" s="13"/>
      <c r="J943" s="13"/>
      <c r="K943" s="13"/>
      <c r="L943" s="13"/>
      <c r="M943" s="13"/>
      <c r="N943" s="13"/>
      <c r="O943" s="13"/>
      <c r="P943" s="13"/>
      <c r="Q943" s="13"/>
      <c r="R943" s="13"/>
      <c r="S943" s="13"/>
      <c r="T943" s="13"/>
      <c r="U943" s="13"/>
      <c r="V943" s="13"/>
      <c r="W943" s="13"/>
      <c r="X943" s="13"/>
      <c r="Y943" s="13"/>
      <c r="Z943" s="13"/>
      <c r="AA943" s="13"/>
    </row>
    <row r="944" spans="1:27" ht="17.399999999999999" x14ac:dyDescent="0.35">
      <c r="A944" s="13"/>
      <c r="B944" s="13"/>
      <c r="C944" s="13"/>
      <c r="D944" s="13"/>
      <c r="E944" s="13"/>
      <c r="F944" s="13"/>
      <c r="G944" s="13"/>
      <c r="H944" s="13"/>
      <c r="I944" s="13"/>
      <c r="J944" s="13"/>
      <c r="K944" s="13"/>
      <c r="L944" s="13"/>
      <c r="M944" s="13"/>
      <c r="N944" s="13"/>
      <c r="O944" s="13"/>
      <c r="P944" s="13"/>
      <c r="Q944" s="13"/>
      <c r="R944" s="13"/>
      <c r="S944" s="13"/>
      <c r="T944" s="13"/>
      <c r="U944" s="13"/>
      <c r="V944" s="13"/>
      <c r="W944" s="13"/>
      <c r="X944" s="13"/>
      <c r="Y944" s="13"/>
      <c r="Z944" s="13"/>
      <c r="AA944" s="13"/>
    </row>
    <row r="945" spans="1:27" ht="17.399999999999999" x14ac:dyDescent="0.35">
      <c r="A945" s="13"/>
      <c r="B945" s="13"/>
      <c r="C945" s="13"/>
      <c r="D945" s="13"/>
      <c r="E945" s="13"/>
      <c r="F945" s="13"/>
      <c r="G945" s="13"/>
      <c r="H945" s="13"/>
      <c r="I945" s="13"/>
      <c r="J945" s="13"/>
      <c r="K945" s="13"/>
      <c r="L945" s="13"/>
      <c r="M945" s="13"/>
      <c r="N945" s="13"/>
      <c r="O945" s="13"/>
      <c r="P945" s="13"/>
      <c r="Q945" s="13"/>
      <c r="R945" s="13"/>
      <c r="S945" s="13"/>
      <c r="T945" s="13"/>
      <c r="U945" s="13"/>
      <c r="V945" s="13"/>
      <c r="W945" s="13"/>
      <c r="X945" s="13"/>
      <c r="Y945" s="13"/>
      <c r="Z945" s="13"/>
      <c r="AA945" s="13"/>
    </row>
    <row r="946" spans="1:27" ht="17.399999999999999" x14ac:dyDescent="0.35">
      <c r="A946" s="13"/>
      <c r="B946" s="13"/>
      <c r="C946" s="13"/>
      <c r="D946" s="13"/>
      <c r="E946" s="13"/>
      <c r="F946" s="13"/>
      <c r="G946" s="13"/>
      <c r="H946" s="13"/>
      <c r="I946" s="13"/>
      <c r="J946" s="13"/>
      <c r="K946" s="13"/>
      <c r="L946" s="13"/>
      <c r="M946" s="13"/>
      <c r="N946" s="13"/>
      <c r="O946" s="13"/>
      <c r="P946" s="13"/>
      <c r="Q946" s="13"/>
      <c r="R946" s="13"/>
      <c r="S946" s="13"/>
      <c r="T946" s="13"/>
      <c r="U946" s="13"/>
      <c r="V946" s="13"/>
      <c r="W946" s="13"/>
      <c r="X946" s="13"/>
      <c r="Y946" s="13"/>
      <c r="Z946" s="13"/>
      <c r="AA946" s="13"/>
    </row>
    <row r="947" spans="1:27" ht="17.399999999999999" x14ac:dyDescent="0.35">
      <c r="A947" s="13"/>
      <c r="B947" s="13"/>
      <c r="C947" s="13"/>
      <c r="D947" s="13"/>
      <c r="E947" s="13"/>
      <c r="F947" s="13"/>
      <c r="G947" s="13"/>
      <c r="H947" s="13"/>
      <c r="I947" s="13"/>
      <c r="J947" s="13"/>
      <c r="K947" s="13"/>
      <c r="L947" s="13"/>
      <c r="M947" s="13"/>
      <c r="N947" s="13"/>
      <c r="O947" s="13"/>
      <c r="P947" s="13"/>
      <c r="Q947" s="13"/>
      <c r="R947" s="13"/>
      <c r="S947" s="13"/>
      <c r="T947" s="13"/>
      <c r="U947" s="13"/>
      <c r="V947" s="13"/>
      <c r="W947" s="13"/>
      <c r="X947" s="13"/>
      <c r="Y947" s="13"/>
      <c r="Z947" s="13"/>
      <c r="AA947" s="13"/>
    </row>
    <row r="948" spans="1:27" ht="17.399999999999999" x14ac:dyDescent="0.35">
      <c r="A948" s="13"/>
      <c r="B948" s="13"/>
      <c r="C948" s="13"/>
      <c r="D948" s="13"/>
      <c r="E948" s="13"/>
      <c r="F948" s="13"/>
      <c r="G948" s="13"/>
      <c r="H948" s="13"/>
      <c r="I948" s="13"/>
      <c r="J948" s="13"/>
      <c r="K948" s="13"/>
      <c r="L948" s="13"/>
      <c r="M948" s="13"/>
      <c r="N948" s="13"/>
      <c r="O948" s="13"/>
      <c r="P948" s="13"/>
      <c r="Q948" s="13"/>
      <c r="R948" s="13"/>
      <c r="S948" s="13"/>
      <c r="T948" s="13"/>
      <c r="U948" s="13"/>
      <c r="V948" s="13"/>
      <c r="W948" s="13"/>
      <c r="X948" s="13"/>
      <c r="Y948" s="13"/>
      <c r="Z948" s="13"/>
      <c r="AA948" s="13"/>
    </row>
    <row r="949" spans="1:27" ht="17.399999999999999" x14ac:dyDescent="0.35">
      <c r="A949" s="13"/>
      <c r="B949" s="13"/>
      <c r="C949" s="13"/>
      <c r="D949" s="13"/>
      <c r="E949" s="13"/>
      <c r="F949" s="13"/>
      <c r="G949" s="13"/>
      <c r="H949" s="13"/>
      <c r="I949" s="13"/>
      <c r="J949" s="13"/>
      <c r="K949" s="13"/>
      <c r="L949" s="13"/>
      <c r="M949" s="13"/>
      <c r="N949" s="13"/>
      <c r="O949" s="13"/>
      <c r="P949" s="13"/>
      <c r="Q949" s="13"/>
      <c r="R949" s="13"/>
      <c r="S949" s="13"/>
      <c r="T949" s="13"/>
      <c r="U949" s="13"/>
      <c r="V949" s="13"/>
      <c r="W949" s="13"/>
      <c r="X949" s="13"/>
      <c r="Y949" s="13"/>
      <c r="Z949" s="13"/>
      <c r="AA949" s="13"/>
    </row>
    <row r="950" spans="1:27" ht="17.399999999999999" x14ac:dyDescent="0.35">
      <c r="A950" s="13"/>
      <c r="B950" s="13"/>
      <c r="C950" s="13"/>
      <c r="D950" s="13"/>
      <c r="E950" s="13"/>
      <c r="F950" s="13"/>
      <c r="G950" s="13"/>
      <c r="H950" s="13"/>
      <c r="I950" s="13"/>
      <c r="J950" s="13"/>
      <c r="K950" s="13"/>
      <c r="L950" s="13"/>
      <c r="M950" s="13"/>
      <c r="N950" s="13"/>
      <c r="O950" s="13"/>
      <c r="P950" s="13"/>
      <c r="Q950" s="13"/>
      <c r="R950" s="13"/>
      <c r="S950" s="13"/>
      <c r="T950" s="13"/>
      <c r="U950" s="13"/>
      <c r="V950" s="13"/>
      <c r="W950" s="13"/>
      <c r="X950" s="13"/>
      <c r="Y950" s="13"/>
      <c r="Z950" s="13"/>
      <c r="AA950" s="13"/>
    </row>
    <row r="951" spans="1:27" ht="17.399999999999999" x14ac:dyDescent="0.35">
      <c r="A951" s="13"/>
      <c r="B951" s="13"/>
      <c r="C951" s="13"/>
      <c r="D951" s="13"/>
      <c r="E951" s="13"/>
      <c r="F951" s="13"/>
      <c r="G951" s="13"/>
      <c r="H951" s="13"/>
      <c r="I951" s="13"/>
      <c r="J951" s="13"/>
      <c r="K951" s="13"/>
      <c r="L951" s="13"/>
      <c r="M951" s="13"/>
      <c r="N951" s="13"/>
      <c r="O951" s="13"/>
      <c r="P951" s="13"/>
      <c r="Q951" s="13"/>
      <c r="R951" s="13"/>
      <c r="S951" s="13"/>
      <c r="T951" s="13"/>
      <c r="U951" s="13"/>
      <c r="V951" s="13"/>
      <c r="W951" s="13"/>
      <c r="X951" s="13"/>
      <c r="Y951" s="13"/>
      <c r="Z951" s="13"/>
      <c r="AA951" s="13"/>
    </row>
    <row r="952" spans="1:27" ht="17.399999999999999" x14ac:dyDescent="0.35">
      <c r="A952" s="13"/>
      <c r="B952" s="13"/>
      <c r="C952" s="13"/>
      <c r="D952" s="13"/>
      <c r="E952" s="13"/>
      <c r="F952" s="13"/>
      <c r="G952" s="13"/>
      <c r="H952" s="13"/>
      <c r="I952" s="13"/>
      <c r="J952" s="13"/>
      <c r="K952" s="13"/>
      <c r="L952" s="13"/>
      <c r="M952" s="13"/>
      <c r="N952" s="13"/>
      <c r="O952" s="13"/>
      <c r="P952" s="13"/>
      <c r="Q952" s="13"/>
      <c r="R952" s="13"/>
      <c r="S952" s="13"/>
      <c r="T952" s="13"/>
      <c r="U952" s="13"/>
      <c r="V952" s="13"/>
      <c r="W952" s="13"/>
      <c r="X952" s="13"/>
      <c r="Y952" s="13"/>
      <c r="Z952" s="13"/>
      <c r="AA952" s="13"/>
    </row>
    <row r="953" spans="1:27" ht="17.399999999999999" x14ac:dyDescent="0.35">
      <c r="A953" s="13"/>
      <c r="B953" s="13"/>
      <c r="C953" s="13"/>
      <c r="D953" s="13"/>
      <c r="E953" s="13"/>
      <c r="F953" s="13"/>
      <c r="G953" s="13"/>
      <c r="H953" s="13"/>
      <c r="I953" s="13"/>
      <c r="J953" s="13"/>
      <c r="K953" s="13"/>
      <c r="L953" s="13"/>
      <c r="M953" s="13"/>
      <c r="N953" s="13"/>
      <c r="O953" s="13"/>
      <c r="P953" s="13"/>
      <c r="Q953" s="13"/>
      <c r="R953" s="13"/>
      <c r="S953" s="13"/>
      <c r="T953" s="13"/>
      <c r="U953" s="13"/>
      <c r="V953" s="13"/>
      <c r="W953" s="13"/>
      <c r="X953" s="13"/>
      <c r="Y953" s="13"/>
      <c r="Z953" s="13"/>
      <c r="AA953" s="13"/>
    </row>
    <row r="954" spans="1:27" ht="17.399999999999999" x14ac:dyDescent="0.35">
      <c r="A954" s="13"/>
      <c r="B954" s="13"/>
      <c r="C954" s="13"/>
      <c r="D954" s="13"/>
      <c r="E954" s="13"/>
      <c r="F954" s="13"/>
      <c r="G954" s="13"/>
      <c r="H954" s="13"/>
      <c r="I954" s="13"/>
      <c r="J954" s="13"/>
      <c r="K954" s="13"/>
      <c r="L954" s="13"/>
      <c r="M954" s="13"/>
      <c r="N954" s="13"/>
      <c r="O954" s="13"/>
      <c r="P954" s="13"/>
      <c r="Q954" s="13"/>
      <c r="R954" s="13"/>
      <c r="S954" s="13"/>
      <c r="T954" s="13"/>
      <c r="U954" s="13"/>
      <c r="V954" s="13"/>
      <c r="W954" s="13"/>
      <c r="X954" s="13"/>
      <c r="Y954" s="13"/>
      <c r="Z954" s="13"/>
      <c r="AA954" s="13"/>
    </row>
    <row r="955" spans="1:27" ht="17.399999999999999" x14ac:dyDescent="0.35">
      <c r="A955" s="13"/>
      <c r="B955" s="13"/>
      <c r="C955" s="13"/>
      <c r="D955" s="13"/>
      <c r="E955" s="13"/>
      <c r="F955" s="13"/>
      <c r="G955" s="13"/>
      <c r="H955" s="13"/>
      <c r="I955" s="13"/>
      <c r="J955" s="13"/>
      <c r="K955" s="13"/>
      <c r="L955" s="13"/>
      <c r="M955" s="13"/>
      <c r="N955" s="13"/>
      <c r="O955" s="13"/>
      <c r="P955" s="13"/>
      <c r="Q955" s="13"/>
      <c r="R955" s="13"/>
      <c r="S955" s="13"/>
      <c r="T955" s="13"/>
      <c r="U955" s="13"/>
      <c r="V955" s="13"/>
      <c r="W955" s="13"/>
      <c r="X955" s="13"/>
      <c r="Y955" s="13"/>
      <c r="Z955" s="13"/>
      <c r="AA955" s="13"/>
    </row>
    <row r="956" spans="1:27" ht="17.399999999999999" x14ac:dyDescent="0.35">
      <c r="A956" s="13"/>
      <c r="B956" s="13"/>
      <c r="C956" s="13"/>
      <c r="D956" s="13"/>
      <c r="E956" s="13"/>
      <c r="F956" s="13"/>
      <c r="G956" s="13"/>
      <c r="H956" s="13"/>
      <c r="I956" s="13"/>
      <c r="J956" s="13"/>
      <c r="K956" s="13"/>
      <c r="L956" s="13"/>
      <c r="M956" s="13"/>
      <c r="N956" s="13"/>
      <c r="O956" s="13"/>
      <c r="P956" s="13"/>
      <c r="Q956" s="13"/>
      <c r="R956" s="13"/>
      <c r="S956" s="13"/>
      <c r="T956" s="13"/>
      <c r="U956" s="13"/>
      <c r="V956" s="13"/>
      <c r="W956" s="13"/>
      <c r="X956" s="13"/>
      <c r="Y956" s="13"/>
      <c r="Z956" s="13"/>
      <c r="AA956" s="13"/>
    </row>
    <row r="957" spans="1:27" ht="17.399999999999999" x14ac:dyDescent="0.35">
      <c r="A957" s="13"/>
      <c r="B957" s="13"/>
      <c r="C957" s="13"/>
      <c r="D957" s="13"/>
      <c r="E957" s="13"/>
      <c r="F957" s="13"/>
      <c r="G957" s="13"/>
      <c r="H957" s="13"/>
      <c r="I957" s="13"/>
      <c r="J957" s="13"/>
      <c r="K957" s="13"/>
      <c r="L957" s="13"/>
      <c r="M957" s="13"/>
      <c r="N957" s="13"/>
      <c r="O957" s="13"/>
      <c r="P957" s="13"/>
      <c r="Q957" s="13"/>
      <c r="R957" s="13"/>
      <c r="S957" s="13"/>
      <c r="T957" s="13"/>
      <c r="U957" s="13"/>
      <c r="V957" s="13"/>
      <c r="W957" s="13"/>
      <c r="X957" s="13"/>
      <c r="Y957" s="13"/>
      <c r="Z957" s="13"/>
      <c r="AA957" s="13"/>
    </row>
    <row r="958" spans="1:27" ht="17.399999999999999" x14ac:dyDescent="0.35">
      <c r="A958" s="13"/>
      <c r="B958" s="13"/>
      <c r="C958" s="13"/>
      <c r="D958" s="13"/>
      <c r="E958" s="13"/>
      <c r="F958" s="13"/>
      <c r="G958" s="13"/>
      <c r="H958" s="13"/>
      <c r="I958" s="13"/>
      <c r="J958" s="13"/>
      <c r="K958" s="13"/>
      <c r="L958" s="13"/>
      <c r="M958" s="13"/>
      <c r="N958" s="13"/>
      <c r="O958" s="13"/>
      <c r="P958" s="13"/>
      <c r="Q958" s="13"/>
      <c r="R958" s="13"/>
      <c r="S958" s="13"/>
      <c r="T958" s="13"/>
      <c r="U958" s="13"/>
      <c r="V958" s="13"/>
      <c r="W958" s="13"/>
      <c r="X958" s="13"/>
      <c r="Y958" s="13"/>
      <c r="Z958" s="13"/>
      <c r="AA958" s="13"/>
    </row>
    <row r="959" spans="1:27" ht="17.399999999999999" x14ac:dyDescent="0.35">
      <c r="A959" s="13"/>
      <c r="B959" s="13"/>
      <c r="C959" s="13"/>
      <c r="D959" s="13"/>
      <c r="E959" s="13"/>
      <c r="F959" s="13"/>
      <c r="G959" s="13"/>
      <c r="H959" s="13"/>
      <c r="I959" s="13"/>
      <c r="J959" s="13"/>
      <c r="K959" s="13"/>
      <c r="L959" s="13"/>
      <c r="M959" s="13"/>
      <c r="N959" s="13"/>
      <c r="O959" s="13"/>
      <c r="P959" s="13"/>
      <c r="Q959" s="13"/>
      <c r="R959" s="13"/>
      <c r="S959" s="13"/>
      <c r="T959" s="13"/>
      <c r="U959" s="13"/>
      <c r="V959" s="13"/>
      <c r="W959" s="13"/>
      <c r="X959" s="13"/>
      <c r="Y959" s="13"/>
      <c r="Z959" s="13"/>
      <c r="AA959" s="13"/>
    </row>
    <row r="960" spans="1:27" ht="17.399999999999999" x14ac:dyDescent="0.35">
      <c r="A960" s="13"/>
      <c r="B960" s="13"/>
      <c r="C960" s="13"/>
      <c r="D960" s="13"/>
      <c r="E960" s="13"/>
      <c r="F960" s="13"/>
      <c r="G960" s="13"/>
      <c r="H960" s="13"/>
      <c r="I960" s="13"/>
      <c r="J960" s="13"/>
      <c r="K960" s="13"/>
      <c r="L960" s="13"/>
      <c r="M960" s="13"/>
      <c r="N960" s="13"/>
      <c r="O960" s="13"/>
      <c r="P960" s="13"/>
      <c r="Q960" s="13"/>
      <c r="R960" s="13"/>
      <c r="S960" s="13"/>
      <c r="T960" s="13"/>
      <c r="U960" s="13"/>
      <c r="V960" s="13"/>
      <c r="W960" s="13"/>
      <c r="X960" s="13"/>
      <c r="Y960" s="13"/>
      <c r="Z960" s="13"/>
      <c r="AA960" s="13"/>
    </row>
    <row r="961" spans="1:27" ht="17.399999999999999" x14ac:dyDescent="0.35">
      <c r="A961" s="13"/>
      <c r="B961" s="13"/>
      <c r="C961" s="13"/>
      <c r="D961" s="13"/>
      <c r="E961" s="13"/>
      <c r="F961" s="13"/>
      <c r="G961" s="13"/>
      <c r="H961" s="13"/>
      <c r="I961" s="13"/>
      <c r="J961" s="13"/>
      <c r="K961" s="13"/>
      <c r="L961" s="13"/>
      <c r="M961" s="13"/>
      <c r="N961" s="13"/>
      <c r="O961" s="13"/>
      <c r="P961" s="13"/>
      <c r="Q961" s="13"/>
      <c r="R961" s="13"/>
      <c r="S961" s="13"/>
      <c r="T961" s="13"/>
      <c r="U961" s="13"/>
      <c r="V961" s="13"/>
      <c r="W961" s="13"/>
      <c r="X961" s="13"/>
      <c r="Y961" s="13"/>
      <c r="Z961" s="13"/>
      <c r="AA961" s="13"/>
    </row>
    <row r="962" spans="1:27" ht="17.399999999999999" x14ac:dyDescent="0.35">
      <c r="A962" s="13"/>
      <c r="B962" s="13"/>
      <c r="C962" s="13"/>
      <c r="D962" s="13"/>
      <c r="E962" s="13"/>
      <c r="F962" s="13"/>
      <c r="G962" s="13"/>
      <c r="H962" s="13"/>
      <c r="I962" s="13"/>
      <c r="J962" s="13"/>
      <c r="K962" s="13"/>
      <c r="L962" s="13"/>
      <c r="M962" s="13"/>
      <c r="N962" s="13"/>
      <c r="O962" s="13"/>
      <c r="P962" s="13"/>
      <c r="Q962" s="13"/>
      <c r="R962" s="13"/>
      <c r="S962" s="13"/>
      <c r="T962" s="13"/>
      <c r="U962" s="13"/>
      <c r="V962" s="13"/>
      <c r="W962" s="13"/>
      <c r="X962" s="13"/>
      <c r="Y962" s="13"/>
      <c r="Z962" s="13"/>
      <c r="AA962" s="13"/>
    </row>
    <row r="963" spans="1:27" ht="17.399999999999999" x14ac:dyDescent="0.35">
      <c r="A963" s="13"/>
      <c r="B963" s="13"/>
      <c r="C963" s="13"/>
      <c r="D963" s="13"/>
      <c r="E963" s="13"/>
      <c r="F963" s="13"/>
      <c r="G963" s="13"/>
      <c r="H963" s="13"/>
      <c r="I963" s="13"/>
      <c r="J963" s="13"/>
      <c r="K963" s="13"/>
      <c r="L963" s="13"/>
      <c r="M963" s="13"/>
      <c r="N963" s="13"/>
      <c r="O963" s="13"/>
      <c r="P963" s="13"/>
      <c r="Q963" s="13"/>
      <c r="R963" s="13"/>
      <c r="S963" s="13"/>
      <c r="T963" s="13"/>
      <c r="U963" s="13"/>
      <c r="V963" s="13"/>
      <c r="W963" s="13"/>
      <c r="X963" s="13"/>
      <c r="Y963" s="13"/>
      <c r="Z963" s="13"/>
      <c r="AA963" s="13"/>
    </row>
    <row r="964" spans="1:27" ht="17.399999999999999" x14ac:dyDescent="0.35">
      <c r="A964" s="13"/>
      <c r="B964" s="13"/>
      <c r="C964" s="13"/>
      <c r="D964" s="13"/>
      <c r="E964" s="13"/>
      <c r="F964" s="13"/>
      <c r="G964" s="13"/>
      <c r="H964" s="13"/>
      <c r="I964" s="13"/>
      <c r="J964" s="13"/>
      <c r="K964" s="13"/>
      <c r="L964" s="13"/>
      <c r="M964" s="13"/>
      <c r="N964" s="13"/>
      <c r="O964" s="13"/>
      <c r="P964" s="13"/>
      <c r="Q964" s="13"/>
      <c r="R964" s="13"/>
      <c r="S964" s="13"/>
      <c r="T964" s="13"/>
      <c r="U964" s="13"/>
      <c r="V964" s="13"/>
      <c r="W964" s="13"/>
      <c r="X964" s="13"/>
      <c r="Y964" s="13"/>
      <c r="Z964" s="13"/>
      <c r="AA964" s="13"/>
    </row>
    <row r="965" spans="1:27" ht="17.399999999999999" x14ac:dyDescent="0.35">
      <c r="A965" s="13"/>
      <c r="B965" s="13"/>
      <c r="C965" s="13"/>
      <c r="D965" s="13"/>
      <c r="E965" s="13"/>
      <c r="F965" s="13"/>
      <c r="G965" s="13"/>
      <c r="H965" s="13"/>
      <c r="I965" s="13"/>
      <c r="J965" s="13"/>
      <c r="K965" s="13"/>
      <c r="L965" s="13"/>
      <c r="M965" s="13"/>
      <c r="N965" s="13"/>
      <c r="O965" s="13"/>
      <c r="P965" s="13"/>
      <c r="Q965" s="13"/>
      <c r="R965" s="13"/>
      <c r="S965" s="13"/>
      <c r="T965" s="13"/>
      <c r="U965" s="13"/>
      <c r="V965" s="13"/>
      <c r="W965" s="13"/>
      <c r="X965" s="13"/>
      <c r="Y965" s="13"/>
      <c r="Z965" s="13"/>
      <c r="AA965" s="13"/>
    </row>
    <row r="966" spans="1:27" ht="17.399999999999999" x14ac:dyDescent="0.35">
      <c r="A966" s="13"/>
      <c r="B966" s="13"/>
      <c r="C966" s="13"/>
      <c r="D966" s="13"/>
      <c r="E966" s="13"/>
      <c r="F966" s="13"/>
      <c r="G966" s="13"/>
      <c r="H966" s="13"/>
      <c r="I966" s="13"/>
      <c r="J966" s="13"/>
      <c r="K966" s="13"/>
      <c r="L966" s="13"/>
      <c r="M966" s="13"/>
      <c r="N966" s="13"/>
      <c r="O966" s="13"/>
      <c r="P966" s="13"/>
      <c r="Q966" s="13"/>
      <c r="R966" s="13"/>
      <c r="S966" s="13"/>
      <c r="T966" s="13"/>
      <c r="U966" s="13"/>
      <c r="V966" s="13"/>
      <c r="W966" s="13"/>
      <c r="X966" s="13"/>
      <c r="Y966" s="13"/>
      <c r="Z966" s="13"/>
      <c r="AA966" s="13"/>
    </row>
    <row r="967" spans="1:27" ht="17.399999999999999" x14ac:dyDescent="0.35">
      <c r="A967" s="13"/>
      <c r="B967" s="13"/>
      <c r="C967" s="13"/>
      <c r="D967" s="13"/>
      <c r="E967" s="13"/>
      <c r="F967" s="13"/>
      <c r="G967" s="13"/>
      <c r="H967" s="13"/>
      <c r="I967" s="13"/>
      <c r="J967" s="13"/>
      <c r="K967" s="13"/>
      <c r="L967" s="13"/>
      <c r="M967" s="13"/>
      <c r="N967" s="13"/>
      <c r="O967" s="13"/>
      <c r="P967" s="13"/>
      <c r="Q967" s="13"/>
      <c r="R967" s="13"/>
      <c r="S967" s="13"/>
      <c r="T967" s="13"/>
      <c r="U967" s="13"/>
      <c r="V967" s="13"/>
      <c r="W967" s="13"/>
      <c r="X967" s="13"/>
      <c r="Y967" s="13"/>
      <c r="Z967" s="13"/>
      <c r="AA967" s="13"/>
    </row>
    <row r="968" spans="1:27" ht="17.399999999999999" x14ac:dyDescent="0.35">
      <c r="A968" s="13"/>
      <c r="B968" s="13"/>
      <c r="C968" s="13"/>
      <c r="D968" s="13"/>
      <c r="E968" s="13"/>
      <c r="F968" s="13"/>
      <c r="G968" s="13"/>
      <c r="H968" s="13"/>
      <c r="I968" s="13"/>
      <c r="J968" s="13"/>
      <c r="K968" s="13"/>
      <c r="L968" s="13"/>
      <c r="M968" s="13"/>
      <c r="N968" s="13"/>
      <c r="O968" s="13"/>
      <c r="P968" s="13"/>
      <c r="Q968" s="13"/>
      <c r="R968" s="13"/>
      <c r="S968" s="13"/>
      <c r="T968" s="13"/>
      <c r="U968" s="13"/>
      <c r="V968" s="13"/>
      <c r="W968" s="13"/>
      <c r="X968" s="13"/>
      <c r="Y968" s="13"/>
      <c r="Z968" s="13"/>
      <c r="AA968" s="13"/>
    </row>
    <row r="969" spans="1:27" ht="17.399999999999999" x14ac:dyDescent="0.35">
      <c r="A969" s="13"/>
      <c r="B969" s="13"/>
      <c r="C969" s="13"/>
      <c r="D969" s="13"/>
      <c r="E969" s="13"/>
      <c r="F969" s="13"/>
      <c r="G969" s="13"/>
      <c r="H969" s="13"/>
      <c r="I969" s="13"/>
      <c r="J969" s="13"/>
      <c r="K969" s="13"/>
      <c r="L969" s="13"/>
      <c r="M969" s="13"/>
      <c r="N969" s="13"/>
      <c r="O969" s="13"/>
      <c r="P969" s="13"/>
      <c r="Q969" s="13"/>
      <c r="R969" s="13"/>
      <c r="S969" s="13"/>
      <c r="T969" s="13"/>
      <c r="U969" s="13"/>
      <c r="V969" s="13"/>
      <c r="W969" s="13"/>
      <c r="X969" s="13"/>
      <c r="Y969" s="13"/>
      <c r="Z969" s="13"/>
      <c r="AA969" s="13"/>
    </row>
    <row r="970" spans="1:27" ht="17.399999999999999" x14ac:dyDescent="0.35">
      <c r="A970" s="13"/>
      <c r="B970" s="13"/>
      <c r="C970" s="13"/>
      <c r="D970" s="13"/>
      <c r="E970" s="13"/>
      <c r="F970" s="13"/>
      <c r="G970" s="13"/>
      <c r="H970" s="13"/>
      <c r="I970" s="13"/>
      <c r="J970" s="13"/>
      <c r="K970" s="13"/>
      <c r="L970" s="13"/>
      <c r="M970" s="13"/>
      <c r="N970" s="13"/>
      <c r="O970" s="13"/>
      <c r="P970" s="13"/>
      <c r="Q970" s="13"/>
      <c r="R970" s="13"/>
      <c r="S970" s="13"/>
      <c r="T970" s="13"/>
      <c r="U970" s="13"/>
      <c r="V970" s="13"/>
      <c r="W970" s="13"/>
      <c r="X970" s="13"/>
      <c r="Y970" s="13"/>
      <c r="Z970" s="13"/>
      <c r="AA970" s="13"/>
    </row>
    <row r="971" spans="1:27" ht="17.399999999999999" x14ac:dyDescent="0.35">
      <c r="A971" s="13"/>
      <c r="B971" s="13"/>
      <c r="C971" s="13"/>
      <c r="D971" s="13"/>
      <c r="E971" s="13"/>
      <c r="F971" s="13"/>
      <c r="G971" s="13"/>
      <c r="H971" s="13"/>
      <c r="I971" s="13"/>
      <c r="J971" s="13"/>
      <c r="K971" s="13"/>
      <c r="L971" s="13"/>
      <c r="M971" s="13"/>
      <c r="N971" s="13"/>
      <c r="O971" s="13"/>
      <c r="P971" s="13"/>
      <c r="Q971" s="13"/>
      <c r="R971" s="13"/>
      <c r="S971" s="13"/>
      <c r="T971" s="13"/>
      <c r="U971" s="13"/>
      <c r="V971" s="13"/>
      <c r="W971" s="13"/>
      <c r="X971" s="13"/>
      <c r="Y971" s="13"/>
      <c r="Z971" s="13"/>
      <c r="AA971" s="13"/>
    </row>
    <row r="972" spans="1:27" ht="17.399999999999999" x14ac:dyDescent="0.35">
      <c r="A972" s="13"/>
      <c r="B972" s="13"/>
      <c r="C972" s="13"/>
      <c r="D972" s="13"/>
      <c r="E972" s="13"/>
      <c r="F972" s="13"/>
      <c r="G972" s="13"/>
      <c r="H972" s="13"/>
      <c r="I972" s="13"/>
      <c r="J972" s="13"/>
      <c r="K972" s="13"/>
      <c r="L972" s="13"/>
      <c r="M972" s="13"/>
      <c r="N972" s="13"/>
      <c r="O972" s="13"/>
      <c r="P972" s="13"/>
      <c r="Q972" s="13"/>
      <c r="R972" s="13"/>
      <c r="S972" s="13"/>
      <c r="T972" s="13"/>
      <c r="U972" s="13"/>
      <c r="V972" s="13"/>
      <c r="W972" s="13"/>
      <c r="X972" s="13"/>
      <c r="Y972" s="13"/>
      <c r="Z972" s="13"/>
      <c r="AA972" s="13"/>
    </row>
    <row r="973" spans="1:27" ht="17.399999999999999" x14ac:dyDescent="0.35">
      <c r="A973" s="13"/>
      <c r="B973" s="13"/>
      <c r="C973" s="13"/>
      <c r="D973" s="13"/>
      <c r="E973" s="13"/>
      <c r="F973" s="13"/>
      <c r="G973" s="13"/>
      <c r="H973" s="13"/>
      <c r="I973" s="13"/>
      <c r="J973" s="13"/>
      <c r="K973" s="13"/>
      <c r="L973" s="13"/>
      <c r="M973" s="13"/>
      <c r="N973" s="13"/>
      <c r="O973" s="13"/>
      <c r="P973" s="13"/>
      <c r="Q973" s="13"/>
      <c r="R973" s="13"/>
      <c r="S973" s="13"/>
      <c r="T973" s="13"/>
      <c r="U973" s="13"/>
      <c r="V973" s="13"/>
      <c r="W973" s="13"/>
      <c r="X973" s="13"/>
      <c r="Y973" s="13"/>
      <c r="Z973" s="13"/>
      <c r="AA973" s="13"/>
    </row>
    <row r="974" spans="1:27" ht="17.399999999999999" x14ac:dyDescent="0.35">
      <c r="A974" s="13"/>
      <c r="B974" s="13"/>
      <c r="C974" s="13"/>
      <c r="D974" s="13"/>
      <c r="E974" s="13"/>
      <c r="F974" s="13"/>
      <c r="G974" s="13"/>
      <c r="H974" s="13"/>
      <c r="I974" s="13"/>
      <c r="J974" s="13"/>
      <c r="K974" s="13"/>
      <c r="L974" s="13"/>
      <c r="M974" s="13"/>
      <c r="N974" s="13"/>
      <c r="O974" s="13"/>
      <c r="P974" s="13"/>
      <c r="Q974" s="13"/>
      <c r="R974" s="13"/>
      <c r="S974" s="13"/>
      <c r="T974" s="13"/>
      <c r="U974" s="13"/>
      <c r="V974" s="13"/>
      <c r="W974" s="13"/>
      <c r="X974" s="13"/>
      <c r="Y974" s="13"/>
      <c r="Z974" s="13"/>
      <c r="AA974" s="13"/>
    </row>
    <row r="975" spans="1:27" ht="17.399999999999999" x14ac:dyDescent="0.35">
      <c r="A975" s="13"/>
      <c r="B975" s="13"/>
      <c r="C975" s="13"/>
      <c r="D975" s="13"/>
      <c r="E975" s="13"/>
      <c r="F975" s="13"/>
      <c r="G975" s="13"/>
      <c r="H975" s="13"/>
      <c r="I975" s="13"/>
      <c r="J975" s="13"/>
      <c r="K975" s="13"/>
      <c r="L975" s="13"/>
      <c r="M975" s="13"/>
      <c r="N975" s="13"/>
      <c r="O975" s="13"/>
      <c r="P975" s="13"/>
      <c r="Q975" s="13"/>
      <c r="R975" s="13"/>
      <c r="S975" s="13"/>
      <c r="T975" s="13"/>
      <c r="U975" s="13"/>
      <c r="V975" s="13"/>
      <c r="W975" s="13"/>
      <c r="X975" s="13"/>
      <c r="Y975" s="13"/>
      <c r="Z975" s="13"/>
      <c r="AA975" s="13"/>
    </row>
    <row r="976" spans="1:27" ht="17.399999999999999" x14ac:dyDescent="0.35">
      <c r="A976" s="13"/>
      <c r="B976" s="13"/>
      <c r="C976" s="13"/>
      <c r="D976" s="13"/>
      <c r="E976" s="13"/>
      <c r="F976" s="13"/>
      <c r="G976" s="13"/>
      <c r="H976" s="13"/>
      <c r="I976" s="13"/>
      <c r="J976" s="13"/>
      <c r="K976" s="13"/>
      <c r="L976" s="13"/>
      <c r="M976" s="13"/>
      <c r="N976" s="13"/>
      <c r="O976" s="13"/>
      <c r="P976" s="13"/>
      <c r="Q976" s="13"/>
      <c r="R976" s="13"/>
      <c r="S976" s="13"/>
      <c r="T976" s="13"/>
      <c r="U976" s="13"/>
      <c r="V976" s="13"/>
      <c r="W976" s="13"/>
      <c r="X976" s="13"/>
      <c r="Y976" s="13"/>
      <c r="Z976" s="13"/>
      <c r="AA976" s="13"/>
    </row>
    <row r="977" spans="1:27" ht="17.399999999999999" x14ac:dyDescent="0.35">
      <c r="A977" s="13"/>
      <c r="B977" s="13"/>
      <c r="C977" s="13"/>
      <c r="D977" s="13"/>
      <c r="E977" s="13"/>
      <c r="F977" s="13"/>
      <c r="G977" s="13"/>
      <c r="H977" s="13"/>
      <c r="I977" s="13"/>
      <c r="J977" s="13"/>
      <c r="K977" s="13"/>
      <c r="L977" s="13"/>
      <c r="M977" s="13"/>
      <c r="N977" s="13"/>
      <c r="O977" s="13"/>
      <c r="P977" s="13"/>
      <c r="Q977" s="13"/>
      <c r="R977" s="13"/>
      <c r="S977" s="13"/>
      <c r="T977" s="13"/>
      <c r="U977" s="13"/>
      <c r="V977" s="13"/>
      <c r="W977" s="13"/>
      <c r="X977" s="13"/>
      <c r="Y977" s="13"/>
      <c r="Z977" s="13"/>
      <c r="AA977" s="13"/>
    </row>
    <row r="978" spans="1:27" ht="17.399999999999999" x14ac:dyDescent="0.35">
      <c r="A978" s="13"/>
      <c r="B978" s="13"/>
      <c r="C978" s="13"/>
      <c r="D978" s="13"/>
      <c r="E978" s="13"/>
      <c r="F978" s="13"/>
      <c r="G978" s="13"/>
      <c r="H978" s="13"/>
      <c r="I978" s="13"/>
      <c r="J978" s="13"/>
      <c r="K978" s="13"/>
      <c r="L978" s="13"/>
      <c r="M978" s="13"/>
      <c r="N978" s="13"/>
      <c r="O978" s="13"/>
      <c r="P978" s="13"/>
      <c r="Q978" s="13"/>
      <c r="R978" s="13"/>
      <c r="S978" s="13"/>
      <c r="T978" s="13"/>
      <c r="U978" s="13"/>
      <c r="V978" s="13"/>
      <c r="W978" s="13"/>
      <c r="X978" s="13"/>
      <c r="Y978" s="13"/>
      <c r="Z978" s="13"/>
      <c r="AA978" s="13"/>
    </row>
    <row r="979" spans="1:27" ht="17.399999999999999" x14ac:dyDescent="0.35">
      <c r="A979" s="13"/>
      <c r="B979" s="13"/>
      <c r="C979" s="13"/>
      <c r="D979" s="13"/>
      <c r="E979" s="13"/>
      <c r="F979" s="13"/>
      <c r="G979" s="13"/>
      <c r="H979" s="13"/>
      <c r="I979" s="13"/>
      <c r="J979" s="13"/>
      <c r="K979" s="13"/>
      <c r="L979" s="13"/>
      <c r="M979" s="13"/>
      <c r="N979" s="13"/>
      <c r="O979" s="13"/>
      <c r="P979" s="13"/>
      <c r="Q979" s="13"/>
      <c r="R979" s="13"/>
      <c r="S979" s="13"/>
      <c r="T979" s="13"/>
      <c r="U979" s="13"/>
      <c r="V979" s="13"/>
      <c r="W979" s="13"/>
      <c r="X979" s="13"/>
      <c r="Y979" s="13"/>
      <c r="Z979" s="13"/>
      <c r="AA979" s="13"/>
    </row>
    <row r="980" spans="1:27" ht="17.399999999999999" x14ac:dyDescent="0.35">
      <c r="A980" s="13"/>
      <c r="B980" s="13"/>
      <c r="C980" s="13"/>
      <c r="D980" s="13"/>
      <c r="E980" s="13"/>
      <c r="F980" s="13"/>
      <c r="G980" s="13"/>
      <c r="H980" s="13"/>
      <c r="I980" s="13"/>
      <c r="J980" s="13"/>
      <c r="K980" s="13"/>
      <c r="L980" s="13"/>
      <c r="M980" s="13"/>
      <c r="N980" s="13"/>
      <c r="O980" s="13"/>
      <c r="P980" s="13"/>
      <c r="Q980" s="13"/>
      <c r="R980" s="13"/>
      <c r="S980" s="13"/>
      <c r="T980" s="13"/>
      <c r="U980" s="13"/>
      <c r="V980" s="13"/>
      <c r="W980" s="13"/>
      <c r="X980" s="13"/>
      <c r="Y980" s="13"/>
      <c r="Z980" s="13"/>
      <c r="AA980" s="13"/>
    </row>
    <row r="981" spans="1:27" ht="17.399999999999999" x14ac:dyDescent="0.35">
      <c r="A981" s="13"/>
      <c r="B981" s="13"/>
      <c r="C981" s="13"/>
      <c r="D981" s="13"/>
      <c r="E981" s="13"/>
      <c r="F981" s="13"/>
      <c r="G981" s="13"/>
      <c r="H981" s="13"/>
      <c r="I981" s="13"/>
      <c r="J981" s="13"/>
      <c r="K981" s="13"/>
      <c r="L981" s="13"/>
      <c r="M981" s="13"/>
      <c r="N981" s="13"/>
      <c r="O981" s="13"/>
      <c r="P981" s="13"/>
      <c r="Q981" s="13"/>
      <c r="R981" s="13"/>
      <c r="S981" s="13"/>
      <c r="T981" s="13"/>
      <c r="U981" s="13"/>
      <c r="V981" s="13"/>
      <c r="W981" s="13"/>
      <c r="X981" s="13"/>
      <c r="Y981" s="13"/>
      <c r="Z981" s="13"/>
      <c r="AA981" s="13"/>
    </row>
    <row r="982" spans="1:27" ht="17.399999999999999" x14ac:dyDescent="0.35">
      <c r="A982" s="13"/>
      <c r="B982" s="13"/>
      <c r="C982" s="13"/>
      <c r="D982" s="13"/>
      <c r="E982" s="13"/>
      <c r="F982" s="13"/>
      <c r="G982" s="13"/>
      <c r="H982" s="13"/>
      <c r="I982" s="13"/>
      <c r="J982" s="13"/>
      <c r="K982" s="13"/>
      <c r="L982" s="13"/>
      <c r="M982" s="13"/>
      <c r="N982" s="13"/>
      <c r="O982" s="13"/>
      <c r="P982" s="13"/>
      <c r="Q982" s="13"/>
      <c r="R982" s="13"/>
      <c r="S982" s="13"/>
      <c r="T982" s="13"/>
      <c r="U982" s="13"/>
      <c r="V982" s="13"/>
      <c r="W982" s="13"/>
      <c r="X982" s="13"/>
      <c r="Y982" s="13"/>
      <c r="Z982" s="13"/>
      <c r="AA982" s="13"/>
    </row>
    <row r="983" spans="1:27" ht="17.399999999999999" x14ac:dyDescent="0.35">
      <c r="A983" s="13"/>
      <c r="B983" s="13"/>
      <c r="C983" s="13"/>
      <c r="D983" s="13"/>
      <c r="E983" s="13"/>
      <c r="F983" s="13"/>
      <c r="G983" s="13"/>
      <c r="H983" s="13"/>
      <c r="I983" s="13"/>
      <c r="J983" s="13"/>
      <c r="K983" s="13"/>
      <c r="L983" s="13"/>
      <c r="M983" s="13"/>
      <c r="N983" s="13"/>
      <c r="O983" s="13"/>
      <c r="P983" s="13"/>
      <c r="Q983" s="13"/>
      <c r="R983" s="13"/>
      <c r="S983" s="13"/>
      <c r="T983" s="13"/>
      <c r="U983" s="13"/>
      <c r="V983" s="13"/>
      <c r="W983" s="13"/>
      <c r="X983" s="13"/>
      <c r="Y983" s="13"/>
      <c r="Z983" s="13"/>
      <c r="AA983" s="13"/>
    </row>
    <row r="984" spans="1:27" ht="17.399999999999999" x14ac:dyDescent="0.35">
      <c r="A984" s="13"/>
      <c r="B984" s="13"/>
      <c r="C984" s="13"/>
      <c r="D984" s="13"/>
      <c r="E984" s="13"/>
      <c r="F984" s="13"/>
      <c r="G984" s="13"/>
      <c r="H984" s="13"/>
      <c r="I984" s="13"/>
      <c r="J984" s="13"/>
      <c r="K984" s="13"/>
      <c r="L984" s="13"/>
      <c r="M984" s="13"/>
      <c r="N984" s="13"/>
      <c r="O984" s="13"/>
      <c r="P984" s="13"/>
      <c r="Q984" s="13"/>
      <c r="R984" s="13"/>
      <c r="S984" s="13"/>
      <c r="T984" s="13"/>
      <c r="U984" s="13"/>
      <c r="V984" s="13"/>
      <c r="W984" s="13"/>
      <c r="X984" s="13"/>
      <c r="Y984" s="13"/>
      <c r="Z984" s="13"/>
      <c r="AA984" s="13"/>
    </row>
    <row r="985" spans="1:27" ht="17.399999999999999" x14ac:dyDescent="0.35">
      <c r="A985" s="13"/>
      <c r="B985" s="13"/>
      <c r="C985" s="13"/>
      <c r="D985" s="13"/>
      <c r="E985" s="13"/>
      <c r="F985" s="13"/>
      <c r="G985" s="13"/>
      <c r="H985" s="13"/>
      <c r="I985" s="13"/>
      <c r="J985" s="13"/>
      <c r="K985" s="13"/>
      <c r="L985" s="13"/>
      <c r="M985" s="13"/>
      <c r="N985" s="13"/>
      <c r="O985" s="13"/>
      <c r="P985" s="13"/>
      <c r="Q985" s="13"/>
      <c r="R985" s="13"/>
      <c r="S985" s="13"/>
      <c r="T985" s="13"/>
      <c r="U985" s="13"/>
      <c r="V985" s="13"/>
      <c r="W985" s="13"/>
      <c r="X985" s="13"/>
      <c r="Y985" s="13"/>
      <c r="Z985" s="13"/>
      <c r="AA985" s="13"/>
    </row>
    <row r="986" spans="1:27" ht="17.399999999999999" x14ac:dyDescent="0.35">
      <c r="A986" s="13"/>
      <c r="B986" s="13"/>
      <c r="C986" s="13"/>
      <c r="D986" s="13"/>
      <c r="E986" s="13"/>
      <c r="F986" s="13"/>
      <c r="G986" s="13"/>
      <c r="H986" s="13"/>
      <c r="I986" s="13"/>
      <c r="J986" s="13"/>
      <c r="K986" s="13"/>
      <c r="L986" s="13"/>
      <c r="M986" s="13"/>
      <c r="N986" s="13"/>
      <c r="O986" s="13"/>
      <c r="P986" s="13"/>
      <c r="Q986" s="13"/>
      <c r="R986" s="13"/>
      <c r="S986" s="13"/>
      <c r="T986" s="13"/>
      <c r="U986" s="13"/>
      <c r="V986" s="13"/>
      <c r="W986" s="13"/>
      <c r="X986" s="13"/>
      <c r="Y986" s="13"/>
      <c r="Z986" s="13"/>
      <c r="AA986" s="13"/>
    </row>
    <row r="987" spans="1:27" ht="17.399999999999999" x14ac:dyDescent="0.35">
      <c r="A987" s="13"/>
      <c r="B987" s="13"/>
      <c r="C987" s="13"/>
      <c r="D987" s="13"/>
      <c r="E987" s="13"/>
      <c r="F987" s="13"/>
      <c r="G987" s="13"/>
      <c r="H987" s="13"/>
      <c r="I987" s="13"/>
      <c r="J987" s="13"/>
      <c r="K987" s="13"/>
      <c r="L987" s="13"/>
      <c r="M987" s="13"/>
      <c r="N987" s="13"/>
      <c r="O987" s="13"/>
      <c r="P987" s="13"/>
      <c r="Q987" s="13"/>
      <c r="R987" s="13"/>
      <c r="S987" s="13"/>
      <c r="T987" s="13"/>
      <c r="U987" s="13"/>
      <c r="V987" s="13"/>
      <c r="W987" s="13"/>
      <c r="X987" s="13"/>
      <c r="Y987" s="13"/>
      <c r="Z987" s="13"/>
      <c r="AA987" s="13"/>
    </row>
    <row r="988" spans="1:27" ht="17.399999999999999" x14ac:dyDescent="0.35">
      <c r="A988" s="13"/>
      <c r="B988" s="13"/>
      <c r="C988" s="13"/>
      <c r="D988" s="13"/>
      <c r="E988" s="13"/>
      <c r="F988" s="13"/>
      <c r="G988" s="13"/>
      <c r="H988" s="13"/>
      <c r="I988" s="13"/>
      <c r="J988" s="13"/>
      <c r="K988" s="13"/>
      <c r="L988" s="13"/>
      <c r="M988" s="13"/>
      <c r="N988" s="13"/>
      <c r="O988" s="13"/>
      <c r="P988" s="13"/>
      <c r="Q988" s="13"/>
      <c r="R988" s="13"/>
      <c r="S988" s="13"/>
      <c r="T988" s="13"/>
      <c r="U988" s="13"/>
      <c r="V988" s="13"/>
      <c r="W988" s="13"/>
      <c r="X988" s="13"/>
      <c r="Y988" s="13"/>
      <c r="Z988" s="13"/>
      <c r="AA988" s="13"/>
    </row>
    <row r="989" spans="1:27" ht="17.399999999999999" x14ac:dyDescent="0.35">
      <c r="A989" s="13"/>
      <c r="B989" s="13"/>
      <c r="C989" s="13"/>
      <c r="D989" s="13"/>
      <c r="E989" s="13"/>
      <c r="F989" s="13"/>
      <c r="G989" s="13"/>
      <c r="H989" s="13"/>
      <c r="I989" s="13"/>
      <c r="J989" s="13"/>
      <c r="K989" s="13"/>
      <c r="L989" s="13"/>
      <c r="M989" s="13"/>
      <c r="N989" s="13"/>
      <c r="O989" s="13"/>
      <c r="P989" s="13"/>
      <c r="Q989" s="13"/>
      <c r="R989" s="13"/>
      <c r="S989" s="13"/>
      <c r="T989" s="13"/>
      <c r="U989" s="13"/>
      <c r="V989" s="13"/>
      <c r="W989" s="13"/>
      <c r="X989" s="13"/>
      <c r="Y989" s="13"/>
      <c r="Z989" s="13"/>
      <c r="AA989" s="13"/>
    </row>
    <row r="990" spans="1:27" ht="17.399999999999999" x14ac:dyDescent="0.35">
      <c r="A990" s="13"/>
      <c r="B990" s="13"/>
      <c r="C990" s="13"/>
      <c r="D990" s="13"/>
      <c r="E990" s="13"/>
      <c r="F990" s="13"/>
      <c r="G990" s="13"/>
      <c r="H990" s="13"/>
      <c r="I990" s="13"/>
      <c r="J990" s="13"/>
      <c r="K990" s="13"/>
      <c r="L990" s="13"/>
      <c r="M990" s="13"/>
      <c r="N990" s="13"/>
      <c r="O990" s="13"/>
      <c r="P990" s="13"/>
      <c r="Q990" s="13"/>
      <c r="R990" s="13"/>
      <c r="S990" s="13"/>
      <c r="T990" s="13"/>
      <c r="U990" s="13"/>
      <c r="V990" s="13"/>
      <c r="W990" s="13"/>
      <c r="X990" s="13"/>
      <c r="Y990" s="13"/>
      <c r="Z990" s="13"/>
      <c r="AA990" s="13"/>
    </row>
    <row r="991" spans="1:27" ht="17.399999999999999" x14ac:dyDescent="0.35">
      <c r="A991" s="13"/>
      <c r="B991" s="13"/>
      <c r="C991" s="13"/>
      <c r="D991" s="13"/>
      <c r="E991" s="13"/>
      <c r="F991" s="13"/>
      <c r="G991" s="13"/>
      <c r="H991" s="13"/>
      <c r="I991" s="13"/>
      <c r="J991" s="13"/>
      <c r="K991" s="13"/>
      <c r="L991" s="13"/>
      <c r="M991" s="13"/>
      <c r="N991" s="13"/>
      <c r="O991" s="13"/>
      <c r="P991" s="13"/>
      <c r="Q991" s="13"/>
      <c r="R991" s="13"/>
      <c r="S991" s="13"/>
      <c r="T991" s="13"/>
      <c r="U991" s="13"/>
      <c r="V991" s="13"/>
      <c r="W991" s="13"/>
      <c r="X991" s="13"/>
      <c r="Y991" s="13"/>
      <c r="Z991" s="13"/>
      <c r="AA991" s="13"/>
    </row>
    <row r="992" spans="1:27" ht="17.399999999999999" x14ac:dyDescent="0.35">
      <c r="A992" s="13"/>
      <c r="B992" s="13"/>
      <c r="C992" s="13"/>
      <c r="D992" s="13"/>
      <c r="E992" s="13"/>
      <c r="F992" s="13"/>
      <c r="G992" s="13"/>
      <c r="H992" s="13"/>
      <c r="I992" s="13"/>
      <c r="J992" s="13"/>
      <c r="K992" s="13"/>
      <c r="L992" s="13"/>
      <c r="M992" s="13"/>
      <c r="N992" s="13"/>
      <c r="O992" s="13"/>
      <c r="P992" s="13"/>
      <c r="Q992" s="13"/>
      <c r="R992" s="13"/>
      <c r="S992" s="13"/>
      <c r="T992" s="13"/>
      <c r="U992" s="13"/>
      <c r="V992" s="13"/>
      <c r="W992" s="13"/>
      <c r="X992" s="13"/>
      <c r="Y992" s="13"/>
      <c r="Z992" s="13"/>
      <c r="AA992" s="13"/>
    </row>
    <row r="993" spans="1:27" ht="17.399999999999999" x14ac:dyDescent="0.35">
      <c r="A993" s="13"/>
      <c r="B993" s="13"/>
      <c r="C993" s="13"/>
      <c r="D993" s="13"/>
      <c r="E993" s="13"/>
      <c r="F993" s="13"/>
      <c r="G993" s="13"/>
      <c r="H993" s="13"/>
      <c r="I993" s="13"/>
      <c r="J993" s="13"/>
      <c r="K993" s="13"/>
      <c r="L993" s="13"/>
      <c r="M993" s="13"/>
      <c r="N993" s="13"/>
      <c r="O993" s="13"/>
      <c r="P993" s="13"/>
      <c r="Q993" s="13"/>
      <c r="R993" s="13"/>
      <c r="S993" s="13"/>
      <c r="T993" s="13"/>
      <c r="U993" s="13"/>
      <c r="V993" s="13"/>
      <c r="W993" s="13"/>
      <c r="X993" s="13"/>
      <c r="Y993" s="13"/>
      <c r="Z993" s="13"/>
      <c r="AA993" s="13"/>
    </row>
    <row r="994" spans="1:27" ht="17.399999999999999" x14ac:dyDescent="0.35">
      <c r="A994" s="13"/>
      <c r="B994" s="13"/>
      <c r="C994" s="13"/>
      <c r="D994" s="13"/>
      <c r="E994" s="13"/>
      <c r="F994" s="13"/>
      <c r="G994" s="13"/>
      <c r="H994" s="13"/>
      <c r="I994" s="13"/>
      <c r="J994" s="13"/>
      <c r="K994" s="13"/>
      <c r="L994" s="13"/>
      <c r="M994" s="13"/>
      <c r="N994" s="13"/>
      <c r="O994" s="13"/>
      <c r="P994" s="13"/>
      <c r="Q994" s="13"/>
      <c r="R994" s="13"/>
      <c r="S994" s="13"/>
      <c r="T994" s="13"/>
      <c r="U994" s="13"/>
      <c r="V994" s="13"/>
      <c r="W994" s="13"/>
      <c r="X994" s="13"/>
      <c r="Y994" s="13"/>
      <c r="Z994" s="13"/>
      <c r="AA994" s="13"/>
    </row>
    <row r="995" spans="1:27" ht="17.399999999999999" x14ac:dyDescent="0.35">
      <c r="A995" s="13"/>
      <c r="B995" s="13"/>
      <c r="C995" s="13"/>
      <c r="D995" s="13"/>
      <c r="E995" s="13"/>
      <c r="F995" s="13"/>
      <c r="G995" s="13"/>
      <c r="H995" s="13"/>
      <c r="I995" s="13"/>
      <c r="J995" s="13"/>
      <c r="K995" s="13"/>
      <c r="L995" s="13"/>
      <c r="M995" s="13"/>
      <c r="N995" s="13"/>
      <c r="O995" s="13"/>
      <c r="P995" s="13"/>
      <c r="Q995" s="13"/>
      <c r="R995" s="13"/>
      <c r="S995" s="13"/>
      <c r="T995" s="13"/>
      <c r="U995" s="13"/>
      <c r="V995" s="13"/>
      <c r="W995" s="13"/>
      <c r="X995" s="13"/>
      <c r="Y995" s="13"/>
      <c r="Z995" s="13"/>
      <c r="AA995" s="13"/>
    </row>
    <row r="996" spans="1:27" ht="17.399999999999999" x14ac:dyDescent="0.35">
      <c r="A996" s="13"/>
      <c r="B996" s="13"/>
      <c r="C996" s="13"/>
      <c r="D996" s="13"/>
      <c r="E996" s="13"/>
      <c r="F996" s="13"/>
      <c r="G996" s="13"/>
      <c r="H996" s="13"/>
      <c r="I996" s="13"/>
      <c r="J996" s="13"/>
      <c r="K996" s="13"/>
      <c r="L996" s="13"/>
      <c r="M996" s="13"/>
      <c r="N996" s="13"/>
      <c r="O996" s="13"/>
      <c r="P996" s="13"/>
      <c r="Q996" s="13"/>
      <c r="R996" s="13"/>
      <c r="S996" s="13"/>
      <c r="T996" s="13"/>
      <c r="U996" s="13"/>
      <c r="V996" s="13"/>
      <c r="W996" s="13"/>
      <c r="X996" s="13"/>
      <c r="Y996" s="13"/>
      <c r="Z996" s="13"/>
      <c r="AA996" s="13"/>
    </row>
    <row r="997" spans="1:27" ht="17.399999999999999" x14ac:dyDescent="0.35">
      <c r="A997" s="13"/>
      <c r="B997" s="13"/>
      <c r="C997" s="13"/>
      <c r="D997" s="13"/>
      <c r="E997" s="13"/>
      <c r="F997" s="13"/>
      <c r="G997" s="13"/>
      <c r="H997" s="13"/>
      <c r="I997" s="13"/>
      <c r="J997" s="13"/>
      <c r="K997" s="13"/>
      <c r="L997" s="13"/>
      <c r="M997" s="13"/>
      <c r="N997" s="13"/>
      <c r="O997" s="13"/>
      <c r="P997" s="13"/>
      <c r="Q997" s="13"/>
      <c r="R997" s="13"/>
      <c r="S997" s="13"/>
      <c r="T997" s="13"/>
      <c r="U997" s="13"/>
      <c r="V997" s="13"/>
      <c r="W997" s="13"/>
      <c r="X997" s="13"/>
      <c r="Y997" s="13"/>
      <c r="Z997" s="13"/>
      <c r="AA997" s="13"/>
    </row>
    <row r="998" spans="1:27" ht="17.399999999999999" x14ac:dyDescent="0.35">
      <c r="A998" s="13"/>
      <c r="B998" s="13"/>
      <c r="C998" s="13"/>
      <c r="D998" s="13"/>
      <c r="E998" s="13"/>
      <c r="F998" s="13"/>
      <c r="G998" s="13"/>
      <c r="H998" s="13"/>
      <c r="I998" s="13"/>
      <c r="J998" s="13"/>
      <c r="K998" s="13"/>
      <c r="L998" s="13"/>
      <c r="M998" s="13"/>
      <c r="N998" s="13"/>
      <c r="O998" s="13"/>
      <c r="P998" s="13"/>
      <c r="Q998" s="13"/>
      <c r="R998" s="13"/>
      <c r="S998" s="13"/>
      <c r="T998" s="13"/>
      <c r="U998" s="13"/>
      <c r="V998" s="13"/>
      <c r="W998" s="13"/>
      <c r="X998" s="13"/>
      <c r="Y998" s="13"/>
      <c r="Z998" s="13"/>
      <c r="AA998" s="13"/>
    </row>
    <row r="999" spans="1:27" ht="17.399999999999999" x14ac:dyDescent="0.35">
      <c r="A999" s="13"/>
      <c r="B999" s="13"/>
      <c r="C999" s="13"/>
      <c r="D999" s="13"/>
      <c r="E999" s="13"/>
      <c r="F999" s="13"/>
      <c r="G999" s="13"/>
      <c r="H999" s="13"/>
      <c r="I999" s="13"/>
      <c r="J999" s="13"/>
      <c r="K999" s="13"/>
      <c r="L999" s="13"/>
      <c r="M999" s="13"/>
      <c r="N999" s="13"/>
      <c r="O999" s="13"/>
      <c r="P999" s="13"/>
      <c r="Q999" s="13"/>
      <c r="R999" s="13"/>
      <c r="S999" s="13"/>
      <c r="T999" s="13"/>
      <c r="U999" s="13"/>
      <c r="V999" s="13"/>
      <c r="W999" s="13"/>
      <c r="X999" s="13"/>
      <c r="Y999" s="13"/>
      <c r="Z999" s="13"/>
      <c r="AA999" s="13"/>
    </row>
    <row r="1000" spans="1:27" ht="17.399999999999999" x14ac:dyDescent="0.35">
      <c r="A1000" s="13"/>
      <c r="B1000" s="13"/>
      <c r="C1000" s="13"/>
      <c r="D1000" s="13"/>
      <c r="E1000" s="13"/>
      <c r="F1000" s="13"/>
      <c r="G1000" s="13"/>
      <c r="H1000" s="13"/>
      <c r="I1000" s="13"/>
      <c r="J1000" s="13"/>
      <c r="K1000" s="13"/>
      <c r="L1000" s="13"/>
      <c r="M1000" s="13"/>
      <c r="N1000" s="13"/>
      <c r="O1000" s="13"/>
      <c r="P1000" s="13"/>
      <c r="Q1000" s="13"/>
      <c r="R1000" s="13"/>
      <c r="S1000" s="13"/>
      <c r="T1000" s="13"/>
      <c r="U1000" s="13"/>
      <c r="V1000" s="13"/>
      <c r="W1000" s="13"/>
      <c r="X1000" s="13"/>
      <c r="Y1000" s="13"/>
      <c r="Z1000" s="13"/>
      <c r="AA1000" s="13"/>
    </row>
    <row r="1001" spans="1:27" ht="17.399999999999999" x14ac:dyDescent="0.35">
      <c r="A1001" s="13"/>
      <c r="B1001" s="13"/>
      <c r="C1001" s="13"/>
      <c r="D1001" s="13"/>
      <c r="E1001" s="13"/>
      <c r="F1001" s="13"/>
      <c r="G1001" s="13"/>
      <c r="H1001" s="13"/>
      <c r="I1001" s="13"/>
      <c r="J1001" s="13"/>
      <c r="K1001" s="13"/>
      <c r="L1001" s="13"/>
      <c r="M1001" s="13"/>
      <c r="N1001" s="13"/>
      <c r="O1001" s="13"/>
      <c r="P1001" s="13"/>
      <c r="Q1001" s="13"/>
      <c r="R1001" s="13"/>
      <c r="S1001" s="13"/>
      <c r="T1001" s="13"/>
      <c r="U1001" s="13"/>
      <c r="V1001" s="13"/>
      <c r="W1001" s="13"/>
      <c r="X1001" s="13"/>
      <c r="Y1001" s="13"/>
      <c r="Z1001" s="13"/>
      <c r="AA1001" s="13"/>
    </row>
    <row r="1002" spans="1:27" ht="17.399999999999999" x14ac:dyDescent="0.35">
      <c r="A1002" s="13"/>
      <c r="B1002" s="13"/>
      <c r="C1002" s="13"/>
      <c r="D1002" s="13"/>
      <c r="E1002" s="13"/>
      <c r="F1002" s="13"/>
      <c r="G1002" s="13"/>
      <c r="H1002" s="13"/>
      <c r="I1002" s="13"/>
      <c r="J1002" s="13"/>
      <c r="K1002" s="13"/>
      <c r="L1002" s="13"/>
      <c r="M1002" s="13"/>
      <c r="N1002" s="13"/>
      <c r="O1002" s="13"/>
      <c r="P1002" s="13"/>
      <c r="Q1002" s="13"/>
      <c r="R1002" s="13"/>
      <c r="S1002" s="13"/>
      <c r="T1002" s="13"/>
      <c r="U1002" s="13"/>
      <c r="V1002" s="13"/>
      <c r="W1002" s="13"/>
      <c r="X1002" s="13"/>
      <c r="Y1002" s="13"/>
      <c r="Z1002" s="13"/>
      <c r="AA1002" s="13"/>
    </row>
    <row r="1003" spans="1:27" ht="17.399999999999999" x14ac:dyDescent="0.35">
      <c r="A1003" s="13"/>
      <c r="B1003" s="13"/>
      <c r="C1003" s="13"/>
      <c r="D1003" s="13"/>
      <c r="E1003" s="13"/>
      <c r="F1003" s="13"/>
      <c r="G1003" s="13"/>
      <c r="H1003" s="13"/>
      <c r="I1003" s="13"/>
      <c r="J1003" s="13"/>
      <c r="K1003" s="13"/>
      <c r="L1003" s="13"/>
      <c r="M1003" s="13"/>
      <c r="N1003" s="13"/>
      <c r="O1003" s="13"/>
      <c r="P1003" s="13"/>
      <c r="Q1003" s="13"/>
      <c r="R1003" s="13"/>
      <c r="S1003" s="13"/>
      <c r="T1003" s="13"/>
      <c r="U1003" s="13"/>
      <c r="V1003" s="13"/>
      <c r="W1003" s="13"/>
      <c r="X1003" s="13"/>
      <c r="Y1003" s="13"/>
      <c r="Z1003" s="13"/>
      <c r="AA1003" s="13"/>
    </row>
  </sheetData>
  <hyperlinks>
    <hyperlink ref="A2" r:id="rId1" xr:uid="{00000000-0004-0000-1200-000000000000}"/>
    <hyperlink ref="B2" r:id="rId2" xr:uid="{00000000-0004-0000-1200-000001000000}"/>
    <hyperlink ref="A3" r:id="rId3" xr:uid="{00000000-0004-0000-1200-000002000000}"/>
    <hyperlink ref="B3" r:id="rId4" xr:uid="{00000000-0004-0000-1200-000003000000}"/>
    <hyperlink ref="A4" r:id="rId5" xr:uid="{00000000-0004-0000-1200-000004000000}"/>
    <hyperlink ref="B4" r:id="rId6" xr:uid="{00000000-0004-0000-1200-000005000000}"/>
    <hyperlink ref="A5" r:id="rId7" xr:uid="{00000000-0004-0000-1200-000006000000}"/>
    <hyperlink ref="B5" r:id="rId8" xr:uid="{00000000-0004-0000-1200-000007000000}"/>
    <hyperlink ref="A6" r:id="rId9" xr:uid="{00000000-0004-0000-1200-000008000000}"/>
    <hyperlink ref="B6" r:id="rId10" xr:uid="{00000000-0004-0000-1200-000009000000}"/>
    <hyperlink ref="A7" r:id="rId11" xr:uid="{00000000-0004-0000-1200-00000A000000}"/>
    <hyperlink ref="B7" r:id="rId12" xr:uid="{00000000-0004-0000-1200-00000B000000}"/>
    <hyperlink ref="A8" r:id="rId13" xr:uid="{00000000-0004-0000-1200-00000C000000}"/>
    <hyperlink ref="B8" r:id="rId14" xr:uid="{00000000-0004-0000-1200-00000D000000}"/>
    <hyperlink ref="A9" r:id="rId15" xr:uid="{00000000-0004-0000-1200-00000E000000}"/>
    <hyperlink ref="B9" r:id="rId16" xr:uid="{00000000-0004-0000-1200-00000F000000}"/>
    <hyperlink ref="A10" r:id="rId17" xr:uid="{00000000-0004-0000-1200-000010000000}"/>
    <hyperlink ref="B10" r:id="rId18" xr:uid="{00000000-0004-0000-1200-000011000000}"/>
    <hyperlink ref="A11" r:id="rId19" xr:uid="{00000000-0004-0000-1200-000012000000}"/>
    <hyperlink ref="B11" r:id="rId20" xr:uid="{00000000-0004-0000-1200-000013000000}"/>
    <hyperlink ref="A12" r:id="rId21" xr:uid="{00000000-0004-0000-1200-000014000000}"/>
    <hyperlink ref="B12" r:id="rId22" xr:uid="{00000000-0004-0000-1200-000015000000}"/>
    <hyperlink ref="A13" r:id="rId23" xr:uid="{00000000-0004-0000-1200-000016000000}"/>
    <hyperlink ref="B13" r:id="rId24" xr:uid="{00000000-0004-0000-1200-000017000000}"/>
    <hyperlink ref="A14" r:id="rId25" xr:uid="{00000000-0004-0000-1200-000018000000}"/>
    <hyperlink ref="B14" r:id="rId26" xr:uid="{00000000-0004-0000-1200-000019000000}"/>
    <hyperlink ref="A15" r:id="rId27" xr:uid="{00000000-0004-0000-1200-00001A000000}"/>
    <hyperlink ref="B15" r:id="rId28" xr:uid="{00000000-0004-0000-1200-00001B000000}"/>
    <hyperlink ref="A16" r:id="rId29" xr:uid="{00000000-0004-0000-1200-00001C000000}"/>
    <hyperlink ref="B16" r:id="rId30" xr:uid="{00000000-0004-0000-1200-00001D000000}"/>
    <hyperlink ref="A17" r:id="rId31" xr:uid="{00000000-0004-0000-1200-00001E000000}"/>
    <hyperlink ref="B17" r:id="rId32" xr:uid="{00000000-0004-0000-1200-00001F000000}"/>
    <hyperlink ref="A18" r:id="rId33" xr:uid="{00000000-0004-0000-1200-000020000000}"/>
    <hyperlink ref="B18" r:id="rId34" xr:uid="{00000000-0004-0000-1200-000021000000}"/>
    <hyperlink ref="A19" r:id="rId35" xr:uid="{00000000-0004-0000-1200-000022000000}"/>
    <hyperlink ref="B19" r:id="rId36" xr:uid="{00000000-0004-0000-1200-000023000000}"/>
    <hyperlink ref="A20" r:id="rId37" xr:uid="{00000000-0004-0000-1200-000024000000}"/>
    <hyperlink ref="B20" r:id="rId38" xr:uid="{00000000-0004-0000-1200-000025000000}"/>
    <hyperlink ref="A21" r:id="rId39" xr:uid="{00000000-0004-0000-1200-000026000000}"/>
    <hyperlink ref="B21" r:id="rId40" xr:uid="{00000000-0004-0000-1200-000027000000}"/>
    <hyperlink ref="A22" r:id="rId41" xr:uid="{00000000-0004-0000-1200-000028000000}"/>
    <hyperlink ref="B22" r:id="rId42" xr:uid="{00000000-0004-0000-1200-000029000000}"/>
    <hyperlink ref="A23" r:id="rId43" xr:uid="{00000000-0004-0000-1200-00002A000000}"/>
    <hyperlink ref="B23" r:id="rId44" xr:uid="{00000000-0004-0000-1200-00002B000000}"/>
    <hyperlink ref="A24" r:id="rId45" xr:uid="{00000000-0004-0000-1200-00002C000000}"/>
    <hyperlink ref="B24" r:id="rId46" xr:uid="{00000000-0004-0000-1200-00002D000000}"/>
    <hyperlink ref="A25" r:id="rId47" xr:uid="{00000000-0004-0000-1200-00002E000000}"/>
    <hyperlink ref="B25" r:id="rId48" xr:uid="{00000000-0004-0000-1200-00002F000000}"/>
    <hyperlink ref="A26" r:id="rId49" xr:uid="{00000000-0004-0000-1200-000030000000}"/>
    <hyperlink ref="B26" r:id="rId50" xr:uid="{00000000-0004-0000-1200-000031000000}"/>
    <hyperlink ref="A27" r:id="rId51" xr:uid="{00000000-0004-0000-1200-000032000000}"/>
    <hyperlink ref="B27" r:id="rId52" xr:uid="{00000000-0004-0000-1200-000033000000}"/>
    <hyperlink ref="A28" r:id="rId53" xr:uid="{00000000-0004-0000-1200-000034000000}"/>
    <hyperlink ref="B28" r:id="rId54" xr:uid="{00000000-0004-0000-1200-000035000000}"/>
    <hyperlink ref="A29" r:id="rId55" xr:uid="{00000000-0004-0000-1200-000036000000}"/>
    <hyperlink ref="B29" r:id="rId56" xr:uid="{00000000-0004-0000-1200-000037000000}"/>
    <hyperlink ref="A30" r:id="rId57" xr:uid="{00000000-0004-0000-1200-000038000000}"/>
    <hyperlink ref="B30" r:id="rId58" xr:uid="{00000000-0004-0000-1200-000039000000}"/>
    <hyperlink ref="A31" r:id="rId59" xr:uid="{00000000-0004-0000-1200-00003A000000}"/>
    <hyperlink ref="B31" r:id="rId60" xr:uid="{00000000-0004-0000-1200-00003B000000}"/>
    <hyperlink ref="A32" r:id="rId61" xr:uid="{00000000-0004-0000-1200-00003C000000}"/>
    <hyperlink ref="B32" r:id="rId62" xr:uid="{00000000-0004-0000-1200-00003D000000}"/>
    <hyperlink ref="A33" r:id="rId63" xr:uid="{00000000-0004-0000-1200-00003E000000}"/>
    <hyperlink ref="B33" r:id="rId64" xr:uid="{00000000-0004-0000-1200-00003F000000}"/>
    <hyperlink ref="A34" r:id="rId65" xr:uid="{00000000-0004-0000-1200-000040000000}"/>
    <hyperlink ref="B34" r:id="rId66" xr:uid="{00000000-0004-0000-1200-000041000000}"/>
    <hyperlink ref="A35" r:id="rId67" xr:uid="{00000000-0004-0000-1200-000042000000}"/>
    <hyperlink ref="B35" r:id="rId68" xr:uid="{00000000-0004-0000-1200-000043000000}"/>
    <hyperlink ref="A36" r:id="rId69" xr:uid="{00000000-0004-0000-1200-000044000000}"/>
    <hyperlink ref="B36" r:id="rId70" xr:uid="{00000000-0004-0000-1200-000045000000}"/>
    <hyperlink ref="A37" r:id="rId71" xr:uid="{00000000-0004-0000-1200-000046000000}"/>
    <hyperlink ref="B37" r:id="rId72" xr:uid="{00000000-0004-0000-1200-000047000000}"/>
    <hyperlink ref="A38" r:id="rId73" xr:uid="{00000000-0004-0000-1200-000048000000}"/>
    <hyperlink ref="B38" r:id="rId74" xr:uid="{00000000-0004-0000-1200-000049000000}"/>
    <hyperlink ref="A39" r:id="rId75" xr:uid="{00000000-0004-0000-1200-00004A000000}"/>
    <hyperlink ref="B39" r:id="rId76" xr:uid="{00000000-0004-0000-1200-00004B000000}"/>
    <hyperlink ref="A40" r:id="rId77" xr:uid="{00000000-0004-0000-1200-00004C000000}"/>
    <hyperlink ref="B40" r:id="rId78" xr:uid="{00000000-0004-0000-1200-00004D000000}"/>
    <hyperlink ref="A41" r:id="rId79" xr:uid="{00000000-0004-0000-1200-00004E000000}"/>
    <hyperlink ref="B41" r:id="rId80" xr:uid="{00000000-0004-0000-1200-00004F000000}"/>
    <hyperlink ref="A42" r:id="rId81" xr:uid="{00000000-0004-0000-1200-000050000000}"/>
    <hyperlink ref="B42" r:id="rId82" xr:uid="{00000000-0004-0000-1200-000051000000}"/>
    <hyperlink ref="A43" r:id="rId83" xr:uid="{00000000-0004-0000-1200-000052000000}"/>
    <hyperlink ref="B43" r:id="rId84" xr:uid="{00000000-0004-0000-1200-000053000000}"/>
    <hyperlink ref="A44" r:id="rId85" xr:uid="{00000000-0004-0000-1200-000054000000}"/>
    <hyperlink ref="B44" r:id="rId86" xr:uid="{00000000-0004-0000-1200-000055000000}"/>
    <hyperlink ref="A45" r:id="rId87" xr:uid="{00000000-0004-0000-1200-000056000000}"/>
    <hyperlink ref="B45" r:id="rId88" xr:uid="{00000000-0004-0000-1200-000057000000}"/>
    <hyperlink ref="A46" r:id="rId89" xr:uid="{00000000-0004-0000-1200-000058000000}"/>
    <hyperlink ref="B46" r:id="rId90" xr:uid="{00000000-0004-0000-1200-000059000000}"/>
    <hyperlink ref="A47" r:id="rId91" xr:uid="{00000000-0004-0000-1200-00005A000000}"/>
    <hyperlink ref="B47" r:id="rId92" xr:uid="{00000000-0004-0000-1200-00005B000000}"/>
    <hyperlink ref="A48" r:id="rId93" xr:uid="{00000000-0004-0000-1200-00005C000000}"/>
    <hyperlink ref="B48" r:id="rId94" xr:uid="{00000000-0004-0000-1200-00005D000000}"/>
    <hyperlink ref="A49" r:id="rId95" xr:uid="{00000000-0004-0000-1200-00005E000000}"/>
    <hyperlink ref="B49" r:id="rId96" xr:uid="{00000000-0004-0000-1200-00005F000000}"/>
    <hyperlink ref="A50" r:id="rId97" xr:uid="{00000000-0004-0000-1200-000060000000}"/>
    <hyperlink ref="B50" r:id="rId98" xr:uid="{00000000-0004-0000-1200-000061000000}"/>
    <hyperlink ref="A52" r:id="rId99" xr:uid="{00000000-0004-0000-1200-000062000000}"/>
    <hyperlink ref="B52" r:id="rId100" xr:uid="{00000000-0004-0000-1200-000063000000}"/>
    <hyperlink ref="A53" r:id="rId101" xr:uid="{00000000-0004-0000-1200-000064000000}"/>
    <hyperlink ref="B53" r:id="rId102" xr:uid="{00000000-0004-0000-1200-000065000000}"/>
    <hyperlink ref="A54" r:id="rId103" xr:uid="{00000000-0004-0000-1200-000066000000}"/>
    <hyperlink ref="B54" r:id="rId104" xr:uid="{00000000-0004-0000-1200-000067000000}"/>
    <hyperlink ref="A55" r:id="rId105" xr:uid="{00000000-0004-0000-1200-000068000000}"/>
    <hyperlink ref="B55" r:id="rId106" xr:uid="{00000000-0004-0000-1200-000069000000}"/>
    <hyperlink ref="A56" r:id="rId107" xr:uid="{00000000-0004-0000-1200-00006A000000}"/>
    <hyperlink ref="B56" r:id="rId108" xr:uid="{00000000-0004-0000-1200-00006B000000}"/>
    <hyperlink ref="A57" r:id="rId109" xr:uid="{00000000-0004-0000-1200-00006C000000}"/>
    <hyperlink ref="B57" r:id="rId110" xr:uid="{00000000-0004-0000-1200-00006D000000}"/>
    <hyperlink ref="A58" r:id="rId111" xr:uid="{00000000-0004-0000-1200-00006E000000}"/>
    <hyperlink ref="B58" r:id="rId112" xr:uid="{00000000-0004-0000-1200-00006F000000}"/>
    <hyperlink ref="A59" r:id="rId113" xr:uid="{00000000-0004-0000-1200-000070000000}"/>
    <hyperlink ref="B59" r:id="rId114" xr:uid="{00000000-0004-0000-1200-000071000000}"/>
    <hyperlink ref="A60" r:id="rId115" xr:uid="{00000000-0004-0000-1200-000072000000}"/>
    <hyperlink ref="B60" r:id="rId116" xr:uid="{00000000-0004-0000-1200-000073000000}"/>
    <hyperlink ref="A61" r:id="rId117" xr:uid="{00000000-0004-0000-1200-000074000000}"/>
    <hyperlink ref="B61" r:id="rId118" xr:uid="{00000000-0004-0000-1200-000075000000}"/>
    <hyperlink ref="A62" r:id="rId119" xr:uid="{00000000-0004-0000-1200-000076000000}"/>
    <hyperlink ref="B62" r:id="rId120" xr:uid="{00000000-0004-0000-1200-000077000000}"/>
    <hyperlink ref="A63" r:id="rId121" xr:uid="{00000000-0004-0000-1200-000078000000}"/>
    <hyperlink ref="B63" r:id="rId122" xr:uid="{00000000-0004-0000-1200-000079000000}"/>
    <hyperlink ref="A64" r:id="rId123" xr:uid="{00000000-0004-0000-1200-00007A000000}"/>
    <hyperlink ref="B64" r:id="rId124" xr:uid="{00000000-0004-0000-1200-00007B000000}"/>
    <hyperlink ref="A65" r:id="rId125" xr:uid="{00000000-0004-0000-1200-00007C000000}"/>
    <hyperlink ref="B65" r:id="rId126" xr:uid="{00000000-0004-0000-1200-00007D000000}"/>
    <hyperlink ref="A66" r:id="rId127" xr:uid="{00000000-0004-0000-1200-00007E000000}"/>
    <hyperlink ref="B66" r:id="rId128" xr:uid="{00000000-0004-0000-1200-00007F000000}"/>
    <hyperlink ref="A67" r:id="rId129" xr:uid="{00000000-0004-0000-1200-000080000000}"/>
    <hyperlink ref="B67" r:id="rId130" xr:uid="{00000000-0004-0000-1200-000081000000}"/>
    <hyperlink ref="A68" r:id="rId131" xr:uid="{00000000-0004-0000-1200-000082000000}"/>
    <hyperlink ref="B68" r:id="rId132" xr:uid="{00000000-0004-0000-1200-000083000000}"/>
    <hyperlink ref="A69" r:id="rId133" xr:uid="{00000000-0004-0000-1200-000084000000}"/>
    <hyperlink ref="B69" r:id="rId134" xr:uid="{00000000-0004-0000-1200-000085000000}"/>
    <hyperlink ref="A71" r:id="rId135" xr:uid="{00000000-0004-0000-1200-000086000000}"/>
    <hyperlink ref="B71" r:id="rId136" xr:uid="{00000000-0004-0000-1200-000087000000}"/>
    <hyperlink ref="A72" r:id="rId137" xr:uid="{00000000-0004-0000-1200-000088000000}"/>
    <hyperlink ref="B72" r:id="rId138" xr:uid="{00000000-0004-0000-1200-000089000000}"/>
    <hyperlink ref="A73" r:id="rId139" xr:uid="{00000000-0004-0000-1200-00008A000000}"/>
    <hyperlink ref="B73" r:id="rId140" xr:uid="{00000000-0004-0000-1200-00008B000000}"/>
    <hyperlink ref="A74" r:id="rId141" xr:uid="{00000000-0004-0000-1200-00008C000000}"/>
    <hyperlink ref="B74" r:id="rId142" xr:uid="{00000000-0004-0000-1200-00008D000000}"/>
    <hyperlink ref="A75" r:id="rId143" xr:uid="{00000000-0004-0000-1200-00008E000000}"/>
    <hyperlink ref="B75" r:id="rId144" xr:uid="{00000000-0004-0000-1200-00008F000000}"/>
    <hyperlink ref="A76" r:id="rId145" xr:uid="{00000000-0004-0000-1200-000090000000}"/>
    <hyperlink ref="B76" r:id="rId146" xr:uid="{00000000-0004-0000-1200-000091000000}"/>
    <hyperlink ref="A78" r:id="rId147" xr:uid="{00000000-0004-0000-1200-000092000000}"/>
    <hyperlink ref="B78" r:id="rId148" xr:uid="{00000000-0004-0000-1200-000093000000}"/>
    <hyperlink ref="A79" r:id="rId149" xr:uid="{00000000-0004-0000-1200-000094000000}"/>
    <hyperlink ref="B79" r:id="rId150" xr:uid="{00000000-0004-0000-1200-000095000000}"/>
    <hyperlink ref="A80" r:id="rId151" xr:uid="{00000000-0004-0000-1200-000096000000}"/>
    <hyperlink ref="B80" r:id="rId152" xr:uid="{00000000-0004-0000-1200-000097000000}"/>
    <hyperlink ref="A82" r:id="rId153" xr:uid="{00000000-0004-0000-1200-000098000000}"/>
    <hyperlink ref="B82" r:id="rId154" xr:uid="{00000000-0004-0000-1200-000099000000}"/>
    <hyperlink ref="A83" r:id="rId155" xr:uid="{00000000-0004-0000-1200-00009A000000}"/>
    <hyperlink ref="B83" r:id="rId156" xr:uid="{00000000-0004-0000-1200-00009B000000}"/>
    <hyperlink ref="A84" r:id="rId157" xr:uid="{00000000-0004-0000-1200-00009C000000}"/>
    <hyperlink ref="B84" r:id="rId158" xr:uid="{00000000-0004-0000-1200-00009D000000}"/>
    <hyperlink ref="A85" r:id="rId159" xr:uid="{00000000-0004-0000-1200-00009E000000}"/>
    <hyperlink ref="B85" r:id="rId160" xr:uid="{00000000-0004-0000-1200-00009F000000}"/>
    <hyperlink ref="A86" r:id="rId161" xr:uid="{00000000-0004-0000-1200-0000A0000000}"/>
    <hyperlink ref="B86" r:id="rId162" xr:uid="{00000000-0004-0000-1200-0000A1000000}"/>
    <hyperlink ref="A87" r:id="rId163" xr:uid="{00000000-0004-0000-1200-0000A2000000}"/>
    <hyperlink ref="B87" r:id="rId164" xr:uid="{00000000-0004-0000-1200-0000A3000000}"/>
    <hyperlink ref="A88" r:id="rId165" xr:uid="{00000000-0004-0000-1200-0000A4000000}"/>
    <hyperlink ref="B88" r:id="rId166" xr:uid="{00000000-0004-0000-1200-0000A5000000}"/>
    <hyperlink ref="A89" r:id="rId167" xr:uid="{00000000-0004-0000-1200-0000A6000000}"/>
    <hyperlink ref="B89" r:id="rId168" xr:uid="{00000000-0004-0000-1200-0000A7000000}"/>
    <hyperlink ref="A90" r:id="rId169" xr:uid="{00000000-0004-0000-1200-0000A8000000}"/>
    <hyperlink ref="B90" r:id="rId170" xr:uid="{00000000-0004-0000-1200-0000A9000000}"/>
    <hyperlink ref="A91" r:id="rId171" xr:uid="{00000000-0004-0000-1200-0000AA000000}"/>
    <hyperlink ref="B91" r:id="rId172" xr:uid="{00000000-0004-0000-1200-0000AB000000}"/>
    <hyperlink ref="A92" r:id="rId173" xr:uid="{00000000-0004-0000-1200-0000AC000000}"/>
    <hyperlink ref="B92" r:id="rId174" xr:uid="{00000000-0004-0000-1200-0000AD000000}"/>
    <hyperlink ref="A93" r:id="rId175" xr:uid="{00000000-0004-0000-1200-0000AE000000}"/>
    <hyperlink ref="B93" r:id="rId176" xr:uid="{00000000-0004-0000-1200-0000AF000000}"/>
    <hyperlink ref="A94" r:id="rId177" xr:uid="{00000000-0004-0000-1200-0000B0000000}"/>
    <hyperlink ref="B94" r:id="rId178" xr:uid="{00000000-0004-0000-1200-0000B1000000}"/>
    <hyperlink ref="A95" r:id="rId179" xr:uid="{00000000-0004-0000-1200-0000B2000000}"/>
    <hyperlink ref="B95" r:id="rId180" xr:uid="{00000000-0004-0000-1200-0000B3000000}"/>
    <hyperlink ref="A96" r:id="rId181" xr:uid="{00000000-0004-0000-1200-0000B4000000}"/>
    <hyperlink ref="B96" r:id="rId182" xr:uid="{00000000-0004-0000-1200-0000B5000000}"/>
    <hyperlink ref="A97" r:id="rId183" xr:uid="{00000000-0004-0000-1200-0000B6000000}"/>
    <hyperlink ref="B97" r:id="rId184" xr:uid="{00000000-0004-0000-1200-0000B7000000}"/>
    <hyperlink ref="A98" r:id="rId185" xr:uid="{00000000-0004-0000-1200-0000B8000000}"/>
    <hyperlink ref="B98" r:id="rId186" xr:uid="{00000000-0004-0000-1200-0000B9000000}"/>
    <hyperlink ref="A99" r:id="rId187" xr:uid="{00000000-0004-0000-1200-0000BA000000}"/>
    <hyperlink ref="B99" r:id="rId188" xr:uid="{00000000-0004-0000-1200-0000BB000000}"/>
    <hyperlink ref="A100" r:id="rId189" xr:uid="{00000000-0004-0000-1200-0000BC000000}"/>
    <hyperlink ref="B100" r:id="rId190" xr:uid="{00000000-0004-0000-1200-0000BD000000}"/>
    <hyperlink ref="A101" r:id="rId191" xr:uid="{00000000-0004-0000-1200-0000BE000000}"/>
    <hyperlink ref="B101" r:id="rId192" xr:uid="{00000000-0004-0000-1200-0000BF000000}"/>
    <hyperlink ref="A102" r:id="rId193" xr:uid="{00000000-0004-0000-1200-0000C0000000}"/>
    <hyperlink ref="B102" r:id="rId194" xr:uid="{00000000-0004-0000-1200-0000C1000000}"/>
    <hyperlink ref="A103" r:id="rId195" xr:uid="{00000000-0004-0000-1200-0000C2000000}"/>
    <hyperlink ref="B103" r:id="rId196" xr:uid="{00000000-0004-0000-1200-0000C3000000}"/>
    <hyperlink ref="A104" r:id="rId197" xr:uid="{00000000-0004-0000-1200-0000C4000000}"/>
    <hyperlink ref="B104" r:id="rId198" xr:uid="{00000000-0004-0000-1200-0000C5000000}"/>
    <hyperlink ref="A105" r:id="rId199" xr:uid="{00000000-0004-0000-1200-0000C6000000}"/>
    <hyperlink ref="B105" r:id="rId200" xr:uid="{00000000-0004-0000-1200-0000C7000000}"/>
    <hyperlink ref="A106" r:id="rId201" xr:uid="{00000000-0004-0000-1200-0000C8000000}"/>
    <hyperlink ref="B106" r:id="rId202" xr:uid="{00000000-0004-0000-1200-0000C9000000}"/>
    <hyperlink ref="A107" r:id="rId203" xr:uid="{00000000-0004-0000-1200-0000CA000000}"/>
    <hyperlink ref="B107" r:id="rId204" xr:uid="{00000000-0004-0000-1200-0000CB000000}"/>
    <hyperlink ref="A108" r:id="rId205" xr:uid="{00000000-0004-0000-1200-0000CC000000}"/>
    <hyperlink ref="B108" r:id="rId206" xr:uid="{00000000-0004-0000-1200-0000CD000000}"/>
    <hyperlink ref="A109" r:id="rId207" xr:uid="{00000000-0004-0000-1200-0000CE000000}"/>
    <hyperlink ref="B109" r:id="rId208" xr:uid="{00000000-0004-0000-1200-0000CF000000}"/>
    <hyperlink ref="A110" r:id="rId209" xr:uid="{00000000-0004-0000-1200-0000D0000000}"/>
    <hyperlink ref="B110" r:id="rId210" xr:uid="{00000000-0004-0000-1200-0000D1000000}"/>
    <hyperlink ref="A111" r:id="rId211" xr:uid="{00000000-0004-0000-1200-0000D2000000}"/>
    <hyperlink ref="B111" r:id="rId212" xr:uid="{00000000-0004-0000-1200-0000D3000000}"/>
    <hyperlink ref="A112" r:id="rId213" xr:uid="{00000000-0004-0000-1200-0000D4000000}"/>
    <hyperlink ref="B112" r:id="rId214" xr:uid="{00000000-0004-0000-1200-0000D5000000}"/>
    <hyperlink ref="A113" r:id="rId215" xr:uid="{00000000-0004-0000-1200-0000D6000000}"/>
    <hyperlink ref="B113" r:id="rId216" xr:uid="{00000000-0004-0000-1200-0000D7000000}"/>
    <hyperlink ref="A114" r:id="rId217" xr:uid="{00000000-0004-0000-1200-0000D8000000}"/>
    <hyperlink ref="B114" r:id="rId218" xr:uid="{00000000-0004-0000-1200-0000D9000000}"/>
    <hyperlink ref="A115" r:id="rId219" xr:uid="{00000000-0004-0000-1200-0000DA000000}"/>
    <hyperlink ref="B115" r:id="rId220" xr:uid="{00000000-0004-0000-1200-0000DB000000}"/>
    <hyperlink ref="A116" r:id="rId221" xr:uid="{00000000-0004-0000-1200-0000DC000000}"/>
    <hyperlink ref="B116" r:id="rId222" xr:uid="{00000000-0004-0000-1200-0000DD000000}"/>
    <hyperlink ref="A117" r:id="rId223" xr:uid="{00000000-0004-0000-1200-0000DE000000}"/>
    <hyperlink ref="B117" r:id="rId224" xr:uid="{00000000-0004-0000-1200-0000DF000000}"/>
    <hyperlink ref="A118" r:id="rId225" xr:uid="{00000000-0004-0000-1200-0000E0000000}"/>
    <hyperlink ref="B118" r:id="rId226" xr:uid="{00000000-0004-0000-1200-0000E1000000}"/>
    <hyperlink ref="A119" r:id="rId227" xr:uid="{00000000-0004-0000-1200-0000E2000000}"/>
    <hyperlink ref="B119" r:id="rId228" xr:uid="{00000000-0004-0000-1200-0000E3000000}"/>
    <hyperlink ref="B120" r:id="rId229" xr:uid="{00000000-0004-0000-1200-0000E4000000}"/>
    <hyperlink ref="A121" r:id="rId230" xr:uid="{00000000-0004-0000-1200-0000E5000000}"/>
    <hyperlink ref="B121" r:id="rId231" xr:uid="{00000000-0004-0000-1200-0000E6000000}"/>
    <hyperlink ref="A122" r:id="rId232" xr:uid="{00000000-0004-0000-1200-0000E7000000}"/>
    <hyperlink ref="B122" r:id="rId233" xr:uid="{00000000-0004-0000-1200-0000E8000000}"/>
    <hyperlink ref="A123" r:id="rId234" xr:uid="{00000000-0004-0000-1200-0000E9000000}"/>
    <hyperlink ref="B123" r:id="rId235" xr:uid="{00000000-0004-0000-1200-0000EA000000}"/>
    <hyperlink ref="A124" r:id="rId236" xr:uid="{00000000-0004-0000-1200-0000EB000000}"/>
    <hyperlink ref="B124" r:id="rId237" xr:uid="{00000000-0004-0000-1200-0000EC000000}"/>
    <hyperlink ref="A125" r:id="rId238" xr:uid="{00000000-0004-0000-1200-0000ED000000}"/>
    <hyperlink ref="B125" r:id="rId239" xr:uid="{00000000-0004-0000-1200-0000EE000000}"/>
    <hyperlink ref="A126" r:id="rId240" xr:uid="{00000000-0004-0000-1200-0000EF000000}"/>
    <hyperlink ref="B126" r:id="rId241" xr:uid="{00000000-0004-0000-1200-0000F0000000}"/>
    <hyperlink ref="A127" r:id="rId242" xr:uid="{00000000-0004-0000-1200-0000F1000000}"/>
    <hyperlink ref="B127" r:id="rId243" xr:uid="{00000000-0004-0000-1200-0000F2000000}"/>
    <hyperlink ref="A128" r:id="rId244" xr:uid="{00000000-0004-0000-1200-0000F3000000}"/>
    <hyperlink ref="B128" r:id="rId245" xr:uid="{00000000-0004-0000-1200-0000F4000000}"/>
    <hyperlink ref="A129" r:id="rId246" xr:uid="{00000000-0004-0000-1200-0000F5000000}"/>
    <hyperlink ref="B129" r:id="rId247" xr:uid="{00000000-0004-0000-1200-0000F6000000}"/>
    <hyperlink ref="A130" r:id="rId248" xr:uid="{00000000-0004-0000-1200-0000F7000000}"/>
    <hyperlink ref="B130" r:id="rId249" xr:uid="{00000000-0004-0000-1200-0000F8000000}"/>
    <hyperlink ref="A131" r:id="rId250" xr:uid="{00000000-0004-0000-1200-0000F9000000}"/>
    <hyperlink ref="B131" r:id="rId251" xr:uid="{00000000-0004-0000-1200-0000FA000000}"/>
    <hyperlink ref="A132" r:id="rId252" xr:uid="{00000000-0004-0000-1200-0000FB000000}"/>
    <hyperlink ref="B132" r:id="rId253" xr:uid="{00000000-0004-0000-1200-0000FC000000}"/>
    <hyperlink ref="A133" r:id="rId254" xr:uid="{00000000-0004-0000-1200-0000FD000000}"/>
    <hyperlink ref="B133" r:id="rId255" xr:uid="{00000000-0004-0000-1200-0000FE000000}"/>
    <hyperlink ref="A134" r:id="rId256" xr:uid="{00000000-0004-0000-1200-0000FF000000}"/>
    <hyperlink ref="B134" r:id="rId257" xr:uid="{00000000-0004-0000-1200-000000010000}"/>
    <hyperlink ref="A135" r:id="rId258" xr:uid="{00000000-0004-0000-1200-000001010000}"/>
    <hyperlink ref="B135" r:id="rId259" xr:uid="{00000000-0004-0000-1200-000002010000}"/>
    <hyperlink ref="A136" r:id="rId260" xr:uid="{00000000-0004-0000-1200-000003010000}"/>
    <hyperlink ref="B136" r:id="rId261" xr:uid="{00000000-0004-0000-1200-000004010000}"/>
    <hyperlink ref="A137" r:id="rId262" xr:uid="{00000000-0004-0000-1200-000005010000}"/>
    <hyperlink ref="B137" r:id="rId263" xr:uid="{00000000-0004-0000-1200-000006010000}"/>
    <hyperlink ref="A138" r:id="rId264" xr:uid="{00000000-0004-0000-1200-000007010000}"/>
    <hyperlink ref="B138" r:id="rId265" xr:uid="{00000000-0004-0000-1200-000008010000}"/>
    <hyperlink ref="A139" r:id="rId266" xr:uid="{00000000-0004-0000-1200-000009010000}"/>
    <hyperlink ref="B139" r:id="rId267" xr:uid="{00000000-0004-0000-1200-00000A010000}"/>
    <hyperlink ref="A140" r:id="rId268" xr:uid="{00000000-0004-0000-1200-00000B010000}"/>
    <hyperlink ref="B140" r:id="rId269" xr:uid="{00000000-0004-0000-1200-00000C010000}"/>
    <hyperlink ref="A141" r:id="rId270" xr:uid="{00000000-0004-0000-1200-00000D010000}"/>
    <hyperlink ref="B141" r:id="rId271" xr:uid="{00000000-0004-0000-1200-00000E010000}"/>
    <hyperlink ref="A142" r:id="rId272" xr:uid="{00000000-0004-0000-1200-00000F010000}"/>
    <hyperlink ref="B142" r:id="rId273" xr:uid="{00000000-0004-0000-1200-000010010000}"/>
    <hyperlink ref="A143" r:id="rId274" xr:uid="{00000000-0004-0000-1200-000011010000}"/>
    <hyperlink ref="B143" r:id="rId275" xr:uid="{00000000-0004-0000-1200-000012010000}"/>
    <hyperlink ref="A144" r:id="rId276" xr:uid="{00000000-0004-0000-1200-000013010000}"/>
    <hyperlink ref="B144" r:id="rId277" xr:uid="{00000000-0004-0000-1200-000014010000}"/>
    <hyperlink ref="A145" r:id="rId278" xr:uid="{00000000-0004-0000-1200-000015010000}"/>
    <hyperlink ref="B145" r:id="rId279" xr:uid="{00000000-0004-0000-1200-000016010000}"/>
    <hyperlink ref="A146" r:id="rId280" xr:uid="{00000000-0004-0000-1200-000017010000}"/>
    <hyperlink ref="B146" r:id="rId281" xr:uid="{00000000-0004-0000-1200-000018010000}"/>
    <hyperlink ref="A147" r:id="rId282" xr:uid="{00000000-0004-0000-1200-000019010000}"/>
    <hyperlink ref="B147" r:id="rId283" xr:uid="{00000000-0004-0000-1200-00001A010000}"/>
    <hyperlink ref="A148" r:id="rId284" xr:uid="{00000000-0004-0000-1200-00001B010000}"/>
    <hyperlink ref="B148" r:id="rId285" xr:uid="{00000000-0004-0000-1200-00001C010000}"/>
    <hyperlink ref="A149" r:id="rId286" xr:uid="{00000000-0004-0000-1200-00001D010000}"/>
    <hyperlink ref="B149" r:id="rId287" xr:uid="{00000000-0004-0000-1200-00001E010000}"/>
    <hyperlink ref="A150" r:id="rId288" xr:uid="{00000000-0004-0000-1200-00001F010000}"/>
    <hyperlink ref="B150" r:id="rId289" xr:uid="{00000000-0004-0000-1200-000020010000}"/>
    <hyperlink ref="A151" r:id="rId290" xr:uid="{00000000-0004-0000-1200-000021010000}"/>
    <hyperlink ref="B151" r:id="rId291" xr:uid="{00000000-0004-0000-1200-000022010000}"/>
    <hyperlink ref="A152" r:id="rId292" xr:uid="{00000000-0004-0000-1200-000023010000}"/>
    <hyperlink ref="B152" r:id="rId293" xr:uid="{00000000-0004-0000-1200-000024010000}"/>
    <hyperlink ref="A153" r:id="rId294" xr:uid="{00000000-0004-0000-1200-000025010000}"/>
    <hyperlink ref="B153" r:id="rId295" xr:uid="{00000000-0004-0000-1200-000026010000}"/>
    <hyperlink ref="A154" r:id="rId296" xr:uid="{00000000-0004-0000-1200-000027010000}"/>
    <hyperlink ref="B154" r:id="rId297" xr:uid="{00000000-0004-0000-1200-000028010000}"/>
    <hyperlink ref="A155" r:id="rId298" xr:uid="{00000000-0004-0000-1200-000029010000}"/>
    <hyperlink ref="B155" r:id="rId299" xr:uid="{00000000-0004-0000-1200-00002A010000}"/>
    <hyperlink ref="A156" r:id="rId300" xr:uid="{00000000-0004-0000-1200-00002B010000}"/>
    <hyperlink ref="B156" r:id="rId301" xr:uid="{00000000-0004-0000-1200-00002C010000}"/>
    <hyperlink ref="A157" r:id="rId302" xr:uid="{00000000-0004-0000-1200-00002D010000}"/>
    <hyperlink ref="B157" r:id="rId303" xr:uid="{00000000-0004-0000-1200-00002E010000}"/>
    <hyperlink ref="A158" r:id="rId304" xr:uid="{00000000-0004-0000-1200-00002F010000}"/>
    <hyperlink ref="B158" r:id="rId305" xr:uid="{00000000-0004-0000-1200-000030010000}"/>
    <hyperlink ref="A159" r:id="rId306" xr:uid="{00000000-0004-0000-1200-000031010000}"/>
    <hyperlink ref="B159" r:id="rId307" xr:uid="{00000000-0004-0000-1200-000032010000}"/>
    <hyperlink ref="A160" r:id="rId308" xr:uid="{00000000-0004-0000-1200-000033010000}"/>
    <hyperlink ref="B160" r:id="rId309" xr:uid="{00000000-0004-0000-1200-000034010000}"/>
    <hyperlink ref="A161" r:id="rId310" xr:uid="{00000000-0004-0000-1200-000035010000}"/>
    <hyperlink ref="B161" r:id="rId311" xr:uid="{00000000-0004-0000-1200-000036010000}"/>
    <hyperlink ref="A162" r:id="rId312" xr:uid="{00000000-0004-0000-1200-000037010000}"/>
    <hyperlink ref="B162" r:id="rId313" xr:uid="{00000000-0004-0000-1200-000038010000}"/>
    <hyperlink ref="A163" r:id="rId314" xr:uid="{00000000-0004-0000-1200-000039010000}"/>
    <hyperlink ref="B163" r:id="rId315" xr:uid="{00000000-0004-0000-1200-00003A010000}"/>
    <hyperlink ref="A164" r:id="rId316" xr:uid="{00000000-0004-0000-1200-00003B010000}"/>
    <hyperlink ref="B164" r:id="rId317" xr:uid="{00000000-0004-0000-1200-00003C010000}"/>
    <hyperlink ref="A165" r:id="rId318" xr:uid="{00000000-0004-0000-1200-00003D010000}"/>
    <hyperlink ref="B165" r:id="rId319" xr:uid="{00000000-0004-0000-1200-00003E010000}"/>
    <hyperlink ref="A166" r:id="rId320" xr:uid="{00000000-0004-0000-1200-00003F010000}"/>
    <hyperlink ref="B166" r:id="rId321" xr:uid="{00000000-0004-0000-1200-000040010000}"/>
    <hyperlink ref="A167" r:id="rId322" xr:uid="{00000000-0004-0000-1200-000041010000}"/>
    <hyperlink ref="B167" r:id="rId323" xr:uid="{00000000-0004-0000-1200-000042010000}"/>
    <hyperlink ref="A168" r:id="rId324" xr:uid="{00000000-0004-0000-1200-000043010000}"/>
    <hyperlink ref="B168" r:id="rId325" xr:uid="{00000000-0004-0000-1200-000044010000}"/>
    <hyperlink ref="A169" r:id="rId326" xr:uid="{00000000-0004-0000-1200-000045010000}"/>
    <hyperlink ref="B169" r:id="rId327" xr:uid="{00000000-0004-0000-1200-000046010000}"/>
    <hyperlink ref="A170" r:id="rId328" xr:uid="{00000000-0004-0000-1200-000047010000}"/>
    <hyperlink ref="B170" r:id="rId329" xr:uid="{00000000-0004-0000-1200-000048010000}"/>
    <hyperlink ref="A171" r:id="rId330" xr:uid="{00000000-0004-0000-1200-000049010000}"/>
    <hyperlink ref="B171" r:id="rId331" xr:uid="{00000000-0004-0000-1200-00004A010000}"/>
    <hyperlink ref="A172" r:id="rId332" xr:uid="{00000000-0004-0000-1200-00004B010000}"/>
    <hyperlink ref="B172" r:id="rId333" xr:uid="{00000000-0004-0000-1200-00004C010000}"/>
    <hyperlink ref="A173" r:id="rId334" xr:uid="{00000000-0004-0000-1200-00004D010000}"/>
    <hyperlink ref="B173" r:id="rId335" xr:uid="{00000000-0004-0000-1200-00004E010000}"/>
    <hyperlink ref="A174" r:id="rId336" xr:uid="{00000000-0004-0000-1200-00004F010000}"/>
    <hyperlink ref="B174" r:id="rId337" xr:uid="{00000000-0004-0000-1200-000050010000}"/>
    <hyperlink ref="A175" r:id="rId338" xr:uid="{00000000-0004-0000-1200-000051010000}"/>
    <hyperlink ref="B175" r:id="rId339" xr:uid="{00000000-0004-0000-1200-000052010000}"/>
    <hyperlink ref="A176" r:id="rId340" xr:uid="{00000000-0004-0000-1200-000053010000}"/>
    <hyperlink ref="B176" r:id="rId341" xr:uid="{00000000-0004-0000-1200-000054010000}"/>
    <hyperlink ref="A178" r:id="rId342" xr:uid="{00000000-0004-0000-1200-000055010000}"/>
    <hyperlink ref="B178" r:id="rId343" xr:uid="{00000000-0004-0000-1200-000056010000}"/>
    <hyperlink ref="B179" r:id="rId344" xr:uid="{00000000-0004-0000-1200-000057010000}"/>
    <hyperlink ref="A180" r:id="rId345" xr:uid="{00000000-0004-0000-1200-000058010000}"/>
    <hyperlink ref="B180" r:id="rId346" xr:uid="{00000000-0004-0000-1200-000059010000}"/>
    <hyperlink ref="A182" r:id="rId347" xr:uid="{00000000-0004-0000-1200-00005A010000}"/>
    <hyperlink ref="B182" r:id="rId348" xr:uid="{00000000-0004-0000-1200-00005B010000}"/>
    <hyperlink ref="A183" r:id="rId349" xr:uid="{00000000-0004-0000-1200-00005C010000}"/>
    <hyperlink ref="B183" r:id="rId350" xr:uid="{00000000-0004-0000-1200-00005D010000}"/>
    <hyperlink ref="A184" r:id="rId351" xr:uid="{00000000-0004-0000-1200-00005E010000}"/>
    <hyperlink ref="B184" r:id="rId352" xr:uid="{00000000-0004-0000-1200-00005F010000}"/>
    <hyperlink ref="A185" r:id="rId353" xr:uid="{00000000-0004-0000-1200-000060010000}"/>
    <hyperlink ref="B185" r:id="rId354" xr:uid="{00000000-0004-0000-1200-000061010000}"/>
    <hyperlink ref="A186" r:id="rId355" xr:uid="{00000000-0004-0000-1200-000062010000}"/>
    <hyperlink ref="B186" r:id="rId356" xr:uid="{00000000-0004-0000-1200-000063010000}"/>
    <hyperlink ref="A187" r:id="rId357" xr:uid="{00000000-0004-0000-1200-000064010000}"/>
    <hyperlink ref="B187" r:id="rId358" xr:uid="{00000000-0004-0000-1200-000065010000}"/>
    <hyperlink ref="A188" r:id="rId359" xr:uid="{00000000-0004-0000-1200-000066010000}"/>
    <hyperlink ref="B188" r:id="rId360" xr:uid="{00000000-0004-0000-1200-000067010000}"/>
    <hyperlink ref="A189" r:id="rId361" xr:uid="{00000000-0004-0000-1200-000068010000}"/>
    <hyperlink ref="B189" r:id="rId362" xr:uid="{00000000-0004-0000-1200-000069010000}"/>
    <hyperlink ref="A190" r:id="rId363" xr:uid="{00000000-0004-0000-1200-00006A010000}"/>
    <hyperlink ref="B190" r:id="rId364" xr:uid="{00000000-0004-0000-1200-00006B010000}"/>
    <hyperlink ref="A191" r:id="rId365" xr:uid="{00000000-0004-0000-1200-00006C010000}"/>
    <hyperlink ref="B191" r:id="rId366" xr:uid="{00000000-0004-0000-1200-00006D010000}"/>
    <hyperlink ref="A192" r:id="rId367" xr:uid="{00000000-0004-0000-1200-00006E010000}"/>
    <hyperlink ref="B192" r:id="rId368" xr:uid="{00000000-0004-0000-1200-00006F010000}"/>
    <hyperlink ref="A193" r:id="rId369" xr:uid="{00000000-0004-0000-1200-000070010000}"/>
    <hyperlink ref="B193" r:id="rId370" xr:uid="{00000000-0004-0000-1200-000071010000}"/>
    <hyperlink ref="A194" r:id="rId371" xr:uid="{00000000-0004-0000-1200-000072010000}"/>
    <hyperlink ref="B194" r:id="rId372" xr:uid="{00000000-0004-0000-1200-000073010000}"/>
    <hyperlink ref="A195" r:id="rId373" xr:uid="{00000000-0004-0000-1200-000074010000}"/>
    <hyperlink ref="B195" r:id="rId374" xr:uid="{00000000-0004-0000-1200-000075010000}"/>
    <hyperlink ref="A196" r:id="rId375" xr:uid="{00000000-0004-0000-1200-000076010000}"/>
    <hyperlink ref="B196" r:id="rId376" xr:uid="{00000000-0004-0000-1200-000077010000}"/>
    <hyperlink ref="A197" r:id="rId377" xr:uid="{00000000-0004-0000-1200-000078010000}"/>
    <hyperlink ref="B197" r:id="rId378" xr:uid="{00000000-0004-0000-1200-000079010000}"/>
    <hyperlink ref="A198" r:id="rId379" xr:uid="{00000000-0004-0000-1200-00007A010000}"/>
    <hyperlink ref="B198" r:id="rId380" xr:uid="{00000000-0004-0000-1200-00007B01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vt:i4>
      </vt:variant>
    </vt:vector>
  </HeadingPairs>
  <TitlesOfParts>
    <vt:vector size="22" baseType="lpstr">
      <vt:lpstr>Roll All</vt:lpstr>
      <vt:lpstr>Front Page</vt:lpstr>
      <vt:lpstr>Character Sheet</vt:lpstr>
      <vt:lpstr>Calculation Sheet</vt:lpstr>
      <vt:lpstr>Full Perk List</vt:lpstr>
      <vt:lpstr>Alternate Forms</vt:lpstr>
      <vt:lpstr>Body &amp; Beauty</vt:lpstr>
      <vt:lpstr>Corruption</vt:lpstr>
      <vt:lpstr>Fertility &amp; Family</vt:lpstr>
      <vt:lpstr>Magic</vt:lpstr>
      <vt:lpstr>Mind &amp; Control</vt:lpstr>
      <vt:lpstr>Pocket Dimension</vt:lpstr>
      <vt:lpstr>Porn &amp; Paraphernalia</vt:lpstr>
      <vt:lpstr>Powers</vt:lpstr>
      <vt:lpstr>Relationships</vt:lpstr>
      <vt:lpstr>Seduction</vt:lpstr>
      <vt:lpstr>Skills</vt:lpstr>
      <vt:lpstr>Transformation</vt:lpstr>
      <vt:lpstr>Update History</vt:lpstr>
      <vt:lpstr>Bibliography</vt:lpstr>
      <vt:lpstr>ROLL_RESULTS</vt:lpstr>
      <vt:lpstr>ROLL_TOGGLE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Sheldon Crowder</dc:creator>
  <cp:lastModifiedBy>Sheldon Crowder</cp:lastModifiedBy>
  <dcterms:created xsi:type="dcterms:W3CDTF">2025-11-03T07:37:54Z</dcterms:created>
  <dcterms:modified xsi:type="dcterms:W3CDTF">2025-11-03T13:28:46Z</dcterms:modified>
</cp:coreProperties>
</file>